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g" ContentType="image/jpeg"/>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pivotCache/pivotCacheDefinition3.xml" ContentType="application/vnd.openxmlformats-officedocument.spreadsheetml.pivotCacheDefinition+xml"/>
  <Override PartName="/xl/pivotCache/pivotCacheRecords3.xml" ContentType="application/vnd.openxmlformats-officedocument.spreadsheetml.pivotCacheRecords+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slicerCaches/slicerCache4.xml" ContentType="application/vnd.ms-excel.slicerCache+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tables/table1.xml" ContentType="application/vnd.openxmlformats-officedocument.spreadsheetml.table+xml"/>
  <Override PartName="/xl/slicers/slicer1.xml" ContentType="application/vnd.ms-excel.slicer+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xl/pivotTables/pivotTable5.xml" ContentType="application/vnd.openxmlformats-officedocument.spreadsheetml.pivot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drawings/drawing2.xml" ContentType="application/vnd.openxmlformats-officedocument.drawing+xml"/>
  <Override PartName="/xl/drawings/drawing3.xml" ContentType="application/vnd.openxmlformats-officedocument.drawing+xml"/>
  <Override PartName="/xl/tables/table9.xml" ContentType="application/vnd.openxmlformats-officedocument.spreadsheetml.table+xml"/>
  <Override PartName="/xl/tables/table10.xml" ContentType="application/vnd.openxmlformats-officedocument.spreadsheetml.table+xml"/>
  <Override PartName="/xl/slicers/slicer2.xml" ContentType="application/vnd.ms-excel.slicer+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drawings/drawing4.xml" ContentType="application/vnd.openxmlformats-officedocument.drawing+xml"/>
  <Override PartName="/xl/tables/table18.xml" ContentType="application/vnd.openxmlformats-officedocument.spreadsheetml.table+xml"/>
  <Override PartName="/xl/tables/table19.xml" ContentType="application/vnd.openxmlformats-officedocument.spreadsheetml.table+xml"/>
  <Override PartName="/xl/slicers/slicer3.xml" ContentType="application/vnd.ms-excel.slicer+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drawings/drawing5.xml" ContentType="application/vnd.openxmlformats-officedocument.drawing+xml"/>
  <Override PartName="/xl/tables/table28.xml" ContentType="application/vnd.openxmlformats-officedocument.spreadsheetml.tab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xl/tables/table32.xml" ContentType="application/vnd.openxmlformats-officedocument.spreadsheetml.table+xml"/>
  <Override PartName="/xl/tables/table33.xml" ContentType="application/vnd.openxmlformats-officedocument.spreadsheetml.table+xml"/>
  <Override PartName="/xl/tables/table34.xml" ContentType="application/vnd.openxmlformats-officedocument.spreadsheetml.table+xml"/>
  <Override PartName="/xl/tables/table35.xml" ContentType="application/vnd.openxmlformats-officedocument.spreadsheetml.table+xml"/>
  <Override PartName="/xl/tables/table36.xml" ContentType="application/vnd.openxmlformats-officedocument.spreadsheetml.table+xml"/>
  <Override PartName="/xl/tables/table37.xml" ContentType="application/vnd.openxmlformats-officedocument.spreadsheetml.table+xml"/>
  <Override PartName="/xl/tables/table38.xml" ContentType="application/vnd.openxmlformats-officedocument.spreadsheetml.table+xml"/>
  <Override PartName="/xl/tables/table39.xml" ContentType="application/vnd.openxmlformats-officedocument.spreadsheetml.table+xml"/>
  <Override PartName="/xl/tables/table40.xml" ContentType="application/vnd.openxmlformats-officedocument.spreadsheetml.table+xml"/>
  <Override PartName="/xl/tables/table41.xml" ContentType="application/vnd.openxmlformats-officedocument.spreadsheetml.table+xml"/>
  <Override PartName="/xl/tables/table42.xml" ContentType="application/vnd.openxmlformats-officedocument.spreadsheetml.table+xml"/>
  <Override PartName="/xl/tables/table43.xml" ContentType="application/vnd.openxmlformats-officedocument.spreadsheetml.table+xml"/>
  <Override PartName="/xl/tables/table44.xml" ContentType="application/vnd.openxmlformats-officedocument.spreadsheetml.table+xml"/>
  <Override PartName="/xl/tables/table45.xml" ContentType="application/vnd.openxmlformats-officedocument.spreadsheetml.table+xml"/>
  <Override PartName="/xl/tables/table46.xml" ContentType="application/vnd.openxmlformats-officedocument.spreadsheetml.table+xml"/>
  <Override PartName="/xl/tables/table47.xml" ContentType="application/vnd.openxmlformats-officedocument.spreadsheetml.table+xml"/>
  <Override PartName="/xl/tables/table48.xml" ContentType="application/vnd.openxmlformats-officedocument.spreadsheetml.table+xml"/>
  <Override PartName="/xl/tables/table49.xml" ContentType="application/vnd.openxmlformats-officedocument.spreadsheetml.table+xml"/>
  <Override PartName="/xl/tables/table50.xml" ContentType="application/vnd.openxmlformats-officedocument.spreadsheetml.table+xml"/>
  <Override PartName="/xl/tables/table51.xml" ContentType="application/vnd.openxmlformats-officedocument.spreadsheetml.table+xml"/>
  <Override PartName="/xl/tables/table52.xml" ContentType="application/vnd.openxmlformats-officedocument.spreadsheetml.table+xml"/>
  <Override PartName="/xl/tables/table53.xml" ContentType="application/vnd.openxmlformats-officedocument.spreadsheetml.table+xml"/>
  <Override PartName="/xl/tables/table54.xml" ContentType="application/vnd.openxmlformats-officedocument.spreadsheetml.table+xml"/>
  <Override PartName="/xl/tables/table55.xml" ContentType="application/vnd.openxmlformats-officedocument.spreadsheetml.table+xml"/>
  <Override PartName="/xl/tables/table56.xml" ContentType="application/vnd.openxmlformats-officedocument.spreadsheetml.table+xml"/>
  <Override PartName="/xl/tables/table57.xml" ContentType="application/vnd.openxmlformats-officedocument.spreadsheetml.table+xml"/>
  <Override PartName="/xl/tables/table58.xml" ContentType="application/vnd.openxmlformats-officedocument.spreadsheetml.table+xml"/>
  <Override PartName="/xl/tables/table59.xml" ContentType="application/vnd.openxmlformats-officedocument.spreadsheetml.table+xml"/>
  <Override PartName="/xl/queryTables/queryTable1.xml" ContentType="application/vnd.openxmlformats-officedocument.spreadsheetml.queryTable+xml"/>
  <Override PartName="/xl/tables/table60.xml" ContentType="application/vnd.openxmlformats-officedocument.spreadsheetml.table+xml"/>
  <Override PartName="/xl/queryTables/queryTable2.xml" ContentType="application/vnd.openxmlformats-officedocument.spreadsheetml.query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xl/activeX/activeX1.xml" ContentType="application/vnd.ms-office.activeX+xml"/>
  <Override PartName="/xl/activeX/activeX2.xml" ContentType="application/vnd.ms-office.activeX+xml"/>
  <Override PartName="/xl/activeX/activeX1.bin" ContentType="application/vnd.ms-office.activeX"/>
  <Override PartName="/xl/activeX/activeX2.bin" ContentType="application/vnd.ms-office.activeX"/>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1"/>
  <workbookPr codeName="ThisWorkbook" hidePivotFieldList="1" defaultThemeVersion="166925"/>
  <mc:AlternateContent xmlns:mc="http://schemas.openxmlformats.org/markup-compatibility/2006">
    <mc:Choice Requires="x15">
      <x15ac:absPath xmlns:x15ac="http://schemas.microsoft.com/office/spreadsheetml/2010/11/ac" url="https://ecomonitor321.sharepoint.com/sites/GemeenteAmersfoort-Noordewierweg/Gedeelde documenten/23 Noordewierweg/300 MKI berekeningen/"/>
    </mc:Choice>
  </mc:AlternateContent>
  <xr:revisionPtr revIDLastSave="19" documentId="8_{4D9793C9-32CE-409C-9C47-251194E5F006}" xr6:coauthVersionLast="47" xr6:coauthVersionMax="47" xr10:uidLastSave="{D9A6E088-C263-4181-AAC8-922723795CC6}"/>
  <workbookProtection workbookAlgorithmName="SHA-512" workbookHashValue="Cek43JHgC7Q67PlDoB+wM9tLwUimA6gUBRJkFYT5UQtB5TgmJY3J1BHlSuPEB7FzacPeWsND+uKO+7X9QRsMcQ==" workbookSaltValue="Pca7iE/7ZeXvVVlysLeWKw==" workbookSpinCount="100000" lockStructure="1"/>
  <bookViews>
    <workbookView xWindow="-120" yWindow="-120" windowWidth="29040" windowHeight="15720" tabRatio="849" firstSheet="5" activeTab="5" xr2:uid="{F360B3FB-A901-40D5-B657-EA83BA7FE771}"/>
  </bookViews>
  <sheets>
    <sheet name="Ontwerpberekening" sheetId="31" state="hidden" r:id="rId1"/>
    <sheet name="Ontwerp_Backlog" sheetId="32" state="hidden" r:id="rId2"/>
    <sheet name="Handleiding" sheetId="38" r:id="rId3"/>
    <sheet name="Baseline" sheetId="1" r:id="rId4"/>
    <sheet name="Baseline_Backlog" sheetId="8" state="hidden" r:id="rId5"/>
    <sheet name="Optimalisatie" sheetId="4" r:id="rId6"/>
    <sheet name="Optimalisatie_Backlog" sheetId="9" state="hidden" r:id="rId7"/>
    <sheet name="Cat. 1 LCA's" sheetId="7" state="hidden" r:id="rId8"/>
    <sheet name="Monitorings Dashboard" sheetId="6" state="hidden" r:id="rId9"/>
    <sheet name="Database" sheetId="2" state="hidden" r:id="rId10"/>
    <sheet name="Kladblad 1" sheetId="39" state="hidden" r:id="rId11"/>
    <sheet name="Processen Database" sheetId="35" state="hidden" r:id="rId12"/>
    <sheet name="Lijsten" sheetId="3" state="hidden" r:id="rId13"/>
    <sheet name="applicant" sheetId="30" state="hidden" r:id="rId14"/>
    <sheet name="reference" sheetId="27" state="hidden" r:id="rId15"/>
  </sheets>
  <definedNames>
    <definedName name="ExterneGegevens_1" localSheetId="14" hidden="1">reference!$A$1:$DY$61</definedName>
    <definedName name="ExterneGegevens_2" localSheetId="13" hidden="1">applicant!$A$1:$DY$20</definedName>
    <definedName name="Kutools_AddTotalToChart">Ontwerp_Backlog!$AA$91:$AA$97+Ontwerp_Backlog!$AB$91:$AB$97</definedName>
    <definedName name="Slicer_Product">#N/A</definedName>
    <definedName name="Slicer_Product1">#N/A</definedName>
    <definedName name="Slicer_Variant">#N/A</definedName>
    <definedName name="Slicer_Variant1">#N/A</definedName>
  </definedNames>
  <calcPr calcId="191028"/>
  <pivotCaches>
    <pivotCache cacheId="42485" r:id="rId16"/>
    <pivotCache cacheId="42486" r:id="rId17"/>
    <pivotCache cacheId="42487" r:id="rId18"/>
  </pivotCaches>
  <extLst>
    <ext xmlns:x14="http://schemas.microsoft.com/office/spreadsheetml/2009/9/main" uri="{BBE1A952-AA13-448e-AADC-164F8A28A991}">
      <x14:slicerCaches>
        <x14:slicerCache r:id="rId19"/>
        <x14:slicerCache r:id="rId20"/>
      </x14:slicerCaches>
    </ext>
    <ext xmlns:x14="http://schemas.microsoft.com/office/spreadsheetml/2009/9/main" uri="{79F54976-1DA5-4618-B147-4CDE4B953A38}">
      <x14:workbookPr/>
    </ext>
    <ext xmlns:x15="http://schemas.microsoft.com/office/spreadsheetml/2010/11/main" uri="{46BE6895-7355-4a93-B00E-2C351335B9C9}">
      <x15:slicerCaches xmlns:x14="http://schemas.microsoft.com/office/spreadsheetml/2009/9/main">
        <x14:slicerCache r:id="rId21"/>
        <x14:slicerCache r:id="rId22"/>
      </x15:slicerCaches>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W6" i="1" l="1"/>
  <c r="X6" i="1"/>
  <c r="AA6" i="1"/>
  <c r="AB6" i="1"/>
  <c r="W7" i="1"/>
  <c r="X7" i="1"/>
  <c r="AA7" i="1"/>
  <c r="AC7" i="4" s="1"/>
  <c r="AB7" i="1"/>
  <c r="W8" i="1"/>
  <c r="X8" i="1"/>
  <c r="AA8" i="1"/>
  <c r="AB8" i="1"/>
  <c r="W9" i="1"/>
  <c r="X9" i="1"/>
  <c r="Z9" i="4" s="1"/>
  <c r="AA9" i="1"/>
  <c r="AC9" i="4" s="1"/>
  <c r="AB9" i="1"/>
  <c r="W10" i="1"/>
  <c r="X10" i="1"/>
  <c r="AA10" i="1"/>
  <c r="AB10" i="1"/>
  <c r="W11" i="1"/>
  <c r="X11" i="1"/>
  <c r="Z11" i="4" s="1"/>
  <c r="AA11" i="1"/>
  <c r="AB11" i="1"/>
  <c r="W12" i="1"/>
  <c r="X12" i="1"/>
  <c r="AA12" i="1"/>
  <c r="AB12" i="1"/>
  <c r="W13" i="1"/>
  <c r="X13" i="1"/>
  <c r="Z13" i="4" s="1"/>
  <c r="AA13" i="1"/>
  <c r="AB13" i="1"/>
  <c r="AD13" i="4" s="1"/>
  <c r="W14" i="1"/>
  <c r="X14" i="1"/>
  <c r="AA14" i="1"/>
  <c r="AB14" i="1"/>
  <c r="W15" i="1"/>
  <c r="X15" i="1"/>
  <c r="AA15" i="1"/>
  <c r="AC15" i="4" s="1"/>
  <c r="AB15" i="1"/>
  <c r="W16" i="1"/>
  <c r="X16" i="1"/>
  <c r="AA16" i="1"/>
  <c r="AB16" i="1"/>
  <c r="W17" i="1"/>
  <c r="X17" i="1"/>
  <c r="Z17" i="4" s="1"/>
  <c r="AA17" i="1"/>
  <c r="AC17" i="4" s="1"/>
  <c r="AB17" i="1"/>
  <c r="W18" i="1"/>
  <c r="X18" i="1"/>
  <c r="AA18" i="1"/>
  <c r="AB18" i="1"/>
  <c r="W19" i="1"/>
  <c r="X19" i="1"/>
  <c r="Z19" i="4" s="1"/>
  <c r="AA19" i="1"/>
  <c r="AC19" i="4" s="1"/>
  <c r="AB19" i="1"/>
  <c r="W20" i="1"/>
  <c r="X20" i="1"/>
  <c r="AA20" i="1"/>
  <c r="AB20" i="1"/>
  <c r="W21" i="1"/>
  <c r="X21" i="1"/>
  <c r="AA21" i="1"/>
  <c r="AB21" i="1"/>
  <c r="AD21" i="4" s="1"/>
  <c r="AB19" i="9" s="1"/>
  <c r="W22" i="1"/>
  <c r="X22" i="1"/>
  <c r="AA22" i="1"/>
  <c r="AB22" i="1"/>
  <c r="W23" i="1"/>
  <c r="X23" i="1"/>
  <c r="Z23" i="4" s="1"/>
  <c r="E651" i="9" s="1"/>
  <c r="AA23" i="1"/>
  <c r="AB23" i="1"/>
  <c r="AD23" i="4" s="1"/>
  <c r="AB21" i="9" s="1"/>
  <c r="W24" i="1"/>
  <c r="X24" i="1"/>
  <c r="AA24" i="1"/>
  <c r="AB24" i="1"/>
  <c r="W25" i="1"/>
  <c r="X25" i="1"/>
  <c r="AA25" i="1"/>
  <c r="AB25" i="1"/>
  <c r="AD25" i="4" s="1"/>
  <c r="W26" i="1"/>
  <c r="X26" i="1"/>
  <c r="AA26" i="1"/>
  <c r="AB26" i="1"/>
  <c r="W27" i="1"/>
  <c r="X27" i="1"/>
  <c r="AA27" i="1"/>
  <c r="AB27" i="1"/>
  <c r="AD27" i="4" s="1"/>
  <c r="W28" i="1"/>
  <c r="X28" i="1"/>
  <c r="AA28" i="1"/>
  <c r="AB28" i="1"/>
  <c r="W29" i="1"/>
  <c r="X29" i="1"/>
  <c r="AA29" i="1"/>
  <c r="AB29" i="1"/>
  <c r="AD29" i="4" s="1"/>
  <c r="W30" i="1"/>
  <c r="X30" i="1"/>
  <c r="AA30" i="1"/>
  <c r="AB30" i="1"/>
  <c r="W31" i="1"/>
  <c r="X31" i="1"/>
  <c r="Z31" i="4" s="1"/>
  <c r="E659" i="9" s="1"/>
  <c r="AA31" i="1"/>
  <c r="AB31" i="1"/>
  <c r="AD31" i="4" s="1"/>
  <c r="W32" i="1"/>
  <c r="X32" i="1"/>
  <c r="AA32" i="1"/>
  <c r="AB32" i="1"/>
  <c r="W33" i="1"/>
  <c r="X33" i="1"/>
  <c r="AA33" i="1"/>
  <c r="AB33" i="1"/>
  <c r="AD33" i="4" s="1"/>
  <c r="W34" i="1"/>
  <c r="X34" i="1"/>
  <c r="AA34" i="1"/>
  <c r="AB34" i="1"/>
  <c r="W35" i="1"/>
  <c r="X35" i="1"/>
  <c r="Z35" i="4" s="1"/>
  <c r="AA35" i="1"/>
  <c r="AB35" i="1"/>
  <c r="AD35" i="4" s="1"/>
  <c r="W36" i="1"/>
  <c r="X36" i="1"/>
  <c r="AA36" i="1"/>
  <c r="AB36" i="1"/>
  <c r="W37" i="1"/>
  <c r="X37" i="1"/>
  <c r="AA37" i="1"/>
  <c r="AB37" i="1"/>
  <c r="AD37" i="4" s="1"/>
  <c r="W38" i="1"/>
  <c r="X38" i="1"/>
  <c r="AA38" i="1"/>
  <c r="AB38" i="1"/>
  <c r="W39" i="1"/>
  <c r="X39" i="1"/>
  <c r="AA39" i="1"/>
  <c r="AB39" i="1"/>
  <c r="AD39" i="4" s="1"/>
  <c r="W40" i="1"/>
  <c r="W41" i="1"/>
  <c r="W42" i="1"/>
  <c r="W43" i="1"/>
  <c r="W44" i="1"/>
  <c r="W45" i="1"/>
  <c r="W46" i="1"/>
  <c r="W47" i="1"/>
  <c r="W48" i="1"/>
  <c r="W49" i="1"/>
  <c r="W50" i="1"/>
  <c r="W51" i="1"/>
  <c r="W52" i="1"/>
  <c r="W53" i="1"/>
  <c r="W54" i="1"/>
  <c r="W55" i="1"/>
  <c r="W56" i="1"/>
  <c r="W57" i="1"/>
  <c r="W58" i="1"/>
  <c r="W59" i="1"/>
  <c r="W60" i="1"/>
  <c r="W61" i="1"/>
  <c r="W62" i="1"/>
  <c r="W63" i="1"/>
  <c r="W64" i="1"/>
  <c r="W65" i="1"/>
  <c r="W66" i="1"/>
  <c r="W67" i="1"/>
  <c r="W68" i="1"/>
  <c r="W69" i="1"/>
  <c r="W70" i="1"/>
  <c r="W71" i="1"/>
  <c r="W72" i="1"/>
  <c r="W73" i="1"/>
  <c r="W74" i="1"/>
  <c r="W75" i="1"/>
  <c r="W76" i="1"/>
  <c r="W77" i="1"/>
  <c r="W78" i="1"/>
  <c r="W79" i="1"/>
  <c r="W80" i="1"/>
  <c r="W81" i="1"/>
  <c r="W82" i="1"/>
  <c r="W83" i="1"/>
  <c r="W84" i="1"/>
  <c r="W85" i="1"/>
  <c r="W86" i="1"/>
  <c r="W87" i="1"/>
  <c r="W88" i="1"/>
  <c r="W89" i="1"/>
  <c r="W90" i="1"/>
  <c r="W91" i="1"/>
  <c r="W92" i="1"/>
  <c r="W93" i="1"/>
  <c r="W94" i="1"/>
  <c r="W95" i="1"/>
  <c r="W96" i="1"/>
  <c r="W97" i="1"/>
  <c r="W98" i="1"/>
  <c r="W99" i="1"/>
  <c r="W100" i="1"/>
  <c r="W101" i="1"/>
  <c r="W102" i="1"/>
  <c r="W103" i="1"/>
  <c r="W104" i="1"/>
  <c r="W105" i="1"/>
  <c r="AA40" i="1"/>
  <c r="AA41" i="1"/>
  <c r="AA42" i="1"/>
  <c r="AA43" i="1"/>
  <c r="AA44" i="1"/>
  <c r="AA45" i="1"/>
  <c r="AA46" i="1"/>
  <c r="AA47" i="1"/>
  <c r="AA48" i="1"/>
  <c r="AA49" i="1"/>
  <c r="AA50" i="1"/>
  <c r="AA51" i="1"/>
  <c r="AA52" i="1"/>
  <c r="AA53" i="1"/>
  <c r="AA54" i="1"/>
  <c r="AA55" i="1"/>
  <c r="AA56" i="1"/>
  <c r="AA57" i="1"/>
  <c r="AA58" i="1"/>
  <c r="AA59" i="1"/>
  <c r="AA60" i="1"/>
  <c r="AA61" i="1"/>
  <c r="AA62" i="1"/>
  <c r="AA63" i="1"/>
  <c r="AA64" i="1"/>
  <c r="AA65" i="1"/>
  <c r="AA66" i="1"/>
  <c r="AA67" i="1"/>
  <c r="AA68" i="1"/>
  <c r="AA69" i="1"/>
  <c r="AA70" i="1"/>
  <c r="AA71" i="1"/>
  <c r="AA72" i="1"/>
  <c r="AA73" i="1"/>
  <c r="AA74" i="1"/>
  <c r="AA75" i="1"/>
  <c r="AA76" i="1"/>
  <c r="AA77" i="1"/>
  <c r="AA78" i="1"/>
  <c r="AA79" i="1"/>
  <c r="AA80" i="1"/>
  <c r="AA81" i="1"/>
  <c r="AA82" i="1"/>
  <c r="AA83" i="1"/>
  <c r="AA84" i="1"/>
  <c r="AA85" i="1"/>
  <c r="AA86" i="1"/>
  <c r="AA87" i="1"/>
  <c r="AA88" i="1"/>
  <c r="AA89" i="1"/>
  <c r="AA90" i="1"/>
  <c r="AA91" i="1"/>
  <c r="AA92" i="1"/>
  <c r="AA93" i="1"/>
  <c r="AA94" i="1"/>
  <c r="AA95" i="1"/>
  <c r="AA96" i="1"/>
  <c r="AA97" i="1"/>
  <c r="AA98" i="1"/>
  <c r="AA99" i="1"/>
  <c r="AA100" i="1"/>
  <c r="AA101" i="1"/>
  <c r="AA102" i="1"/>
  <c r="AA103" i="1"/>
  <c r="AA104" i="1"/>
  <c r="AA105" i="1"/>
  <c r="I640" i="8"/>
  <c r="I648" i="8"/>
  <c r="I656" i="8"/>
  <c r="I664" i="8"/>
  <c r="I672" i="8"/>
  <c r="I680" i="8"/>
  <c r="I688" i="8"/>
  <c r="I696" i="8"/>
  <c r="I704" i="8"/>
  <c r="I712" i="8"/>
  <c r="I720" i="8"/>
  <c r="Q720" i="8" s="1"/>
  <c r="I728" i="8"/>
  <c r="K640" i="8"/>
  <c r="K648" i="8"/>
  <c r="K656" i="8"/>
  <c r="K664" i="8"/>
  <c r="K672" i="8"/>
  <c r="K680" i="8"/>
  <c r="K688" i="8"/>
  <c r="K696" i="8"/>
  <c r="K704" i="8"/>
  <c r="K712" i="8"/>
  <c r="K720" i="8"/>
  <c r="K728" i="8"/>
  <c r="I27" i="1"/>
  <c r="I16" i="1"/>
  <c r="I15" i="1"/>
  <c r="AE151" i="3"/>
  <c r="AC151" i="3"/>
  <c r="AB151" i="3"/>
  <c r="Z151" i="3"/>
  <c r="AE150" i="3"/>
  <c r="AC150" i="3"/>
  <c r="AB150" i="3"/>
  <c r="Z150" i="3"/>
  <c r="AE149" i="3"/>
  <c r="AC149" i="3"/>
  <c r="AB149" i="3"/>
  <c r="Z149" i="3"/>
  <c r="AD148" i="3"/>
  <c r="AC148" i="3"/>
  <c r="AB148" i="3"/>
  <c r="AA148" i="3"/>
  <c r="AE147" i="3"/>
  <c r="AC147" i="3"/>
  <c r="AB147" i="3"/>
  <c r="Z147" i="3"/>
  <c r="AE146" i="3"/>
  <c r="AC146" i="3"/>
  <c r="AB146" i="3"/>
  <c r="Z146" i="3"/>
  <c r="AE145" i="3"/>
  <c r="AC145" i="3"/>
  <c r="AB145" i="3"/>
  <c r="Z145" i="3"/>
  <c r="AE144" i="3"/>
  <c r="AC144" i="3"/>
  <c r="Z144" i="3"/>
  <c r="AE143" i="3"/>
  <c r="AC143" i="3"/>
  <c r="Z143" i="3"/>
  <c r="AD142" i="3"/>
  <c r="AA142" i="3"/>
  <c r="AB142" i="3"/>
  <c r="AD141" i="3"/>
  <c r="AB141" i="3"/>
  <c r="AA141" i="3"/>
  <c r="AD140" i="3"/>
  <c r="AB140" i="3"/>
  <c r="AA140" i="3"/>
  <c r="AD139" i="3"/>
  <c r="AC139" i="3"/>
  <c r="AA139" i="3"/>
  <c r="AD138" i="3"/>
  <c r="AA138" i="3"/>
  <c r="AD137" i="3"/>
  <c r="AC137" i="3"/>
  <c r="AA137" i="3"/>
  <c r="AD136" i="3"/>
  <c r="AA136" i="3"/>
  <c r="AD135" i="3"/>
  <c r="AA135" i="3"/>
  <c r="AD134" i="3"/>
  <c r="AA134" i="3"/>
  <c r="AD133" i="3"/>
  <c r="AA133" i="3"/>
  <c r="AD132" i="3"/>
  <c r="AA132" i="3"/>
  <c r="AD131" i="3"/>
  <c r="AC131" i="3"/>
  <c r="AA131" i="3"/>
  <c r="AE130" i="3"/>
  <c r="AC130" i="3"/>
  <c r="AB130" i="3"/>
  <c r="AA130" i="3"/>
  <c r="Z130" i="3"/>
  <c r="AD8" i="4"/>
  <c r="AB6" i="9" s="1"/>
  <c r="AD10" i="4"/>
  <c r="AB8" i="9" s="1"/>
  <c r="AD14" i="4"/>
  <c r="AD18" i="4"/>
  <c r="AD22" i="4"/>
  <c r="AB20" i="9" s="1"/>
  <c r="AD24" i="4"/>
  <c r="AB22" i="9" s="1"/>
  <c r="AD26" i="4"/>
  <c r="AD30" i="4"/>
  <c r="AD32" i="4"/>
  <c r="AD34" i="4"/>
  <c r="AD38" i="4"/>
  <c r="AB40" i="1"/>
  <c r="AD40" i="4" s="1"/>
  <c r="AB41" i="1"/>
  <c r="AD41" i="4" s="1"/>
  <c r="AB42" i="1"/>
  <c r="AD42" i="4"/>
  <c r="AB43" i="1"/>
  <c r="AD43" i="4" s="1"/>
  <c r="AB44" i="1"/>
  <c r="AB45" i="1"/>
  <c r="AB46" i="1"/>
  <c r="AD46" i="4" s="1"/>
  <c r="AB47" i="1"/>
  <c r="AD47" i="4"/>
  <c r="AB48" i="1"/>
  <c r="AD48" i="4"/>
  <c r="AB49" i="1"/>
  <c r="AD49" i="4" s="1"/>
  <c r="AB50" i="1"/>
  <c r="AD50" i="4" s="1"/>
  <c r="AB51" i="1"/>
  <c r="AD51" i="4" s="1"/>
  <c r="AB52" i="1"/>
  <c r="AB53" i="1"/>
  <c r="AB54" i="1"/>
  <c r="AD54" i="4" s="1"/>
  <c r="AB55" i="1"/>
  <c r="AD55" i="4" s="1"/>
  <c r="AB56" i="1"/>
  <c r="AD56" i="4" s="1"/>
  <c r="AB57" i="1"/>
  <c r="AD57" i="4"/>
  <c r="AB58" i="1"/>
  <c r="AD58" i="4" s="1"/>
  <c r="AB59" i="1"/>
  <c r="AD59" i="4" s="1"/>
  <c r="AB60" i="1"/>
  <c r="AB61" i="1"/>
  <c r="AD61" i="4"/>
  <c r="AB62" i="1"/>
  <c r="AD62" i="4" s="1"/>
  <c r="AB63" i="1"/>
  <c r="AB64" i="1"/>
  <c r="AD64" i="4" s="1"/>
  <c r="AB65" i="1"/>
  <c r="AD65" i="4" s="1"/>
  <c r="AB66" i="1"/>
  <c r="AD66" i="4" s="1"/>
  <c r="AB67" i="1"/>
  <c r="AD67" i="4" s="1"/>
  <c r="AB68" i="1"/>
  <c r="AB69" i="1"/>
  <c r="AD69" i="4"/>
  <c r="AB70" i="1"/>
  <c r="AD70" i="4"/>
  <c r="AB71" i="1"/>
  <c r="AD71" i="4" s="1"/>
  <c r="AB72" i="1"/>
  <c r="AD72" i="4"/>
  <c r="AB73" i="1"/>
  <c r="AD73" i="4"/>
  <c r="AB74" i="1"/>
  <c r="AD74" i="4"/>
  <c r="AB75" i="1"/>
  <c r="AD75" i="4" s="1"/>
  <c r="AB76" i="1"/>
  <c r="AB77" i="1"/>
  <c r="AD77" i="4" s="1"/>
  <c r="AB78" i="1"/>
  <c r="AD78" i="4" s="1"/>
  <c r="AB79" i="1"/>
  <c r="AD79" i="4"/>
  <c r="AB80" i="1"/>
  <c r="AD80" i="4" s="1"/>
  <c r="AB81" i="1"/>
  <c r="AD81" i="4" s="1"/>
  <c r="AB82" i="1"/>
  <c r="AD82" i="4" s="1"/>
  <c r="AB83" i="1"/>
  <c r="AD83" i="4" s="1"/>
  <c r="AB84" i="1"/>
  <c r="AB85" i="1"/>
  <c r="AD85" i="4"/>
  <c r="AB86" i="1"/>
  <c r="AD86" i="4"/>
  <c r="AB87" i="1"/>
  <c r="AB88" i="1"/>
  <c r="AD88" i="4" s="1"/>
  <c r="AB89" i="1"/>
  <c r="AD89" i="4" s="1"/>
  <c r="AB90" i="1"/>
  <c r="AD90" i="4" s="1"/>
  <c r="AB91" i="1"/>
  <c r="AD91" i="4" s="1"/>
  <c r="AB92" i="1"/>
  <c r="AB93" i="1"/>
  <c r="AD93" i="4" s="1"/>
  <c r="AB94" i="1"/>
  <c r="AD94" i="4"/>
  <c r="AB95" i="1"/>
  <c r="AD95" i="4"/>
  <c r="AB96" i="1"/>
  <c r="AD96" i="4"/>
  <c r="AB97" i="1"/>
  <c r="AD97" i="4" s="1"/>
  <c r="AB98" i="1"/>
  <c r="AD98" i="4"/>
  <c r="AB99" i="1"/>
  <c r="AD99" i="4"/>
  <c r="AB100" i="1"/>
  <c r="AB101" i="1"/>
  <c r="AD101" i="4"/>
  <c r="AB102" i="1"/>
  <c r="AD102" i="4" s="1"/>
  <c r="AB103" i="1"/>
  <c r="AB104" i="1"/>
  <c r="AD104" i="4"/>
  <c r="AB105" i="1"/>
  <c r="Z6" i="4"/>
  <c r="Z7" i="4"/>
  <c r="Z8" i="4"/>
  <c r="Z10" i="4"/>
  <c r="Z14" i="4"/>
  <c r="Z15" i="4"/>
  <c r="Z16" i="4"/>
  <c r="Z18" i="4"/>
  <c r="Z20" i="4"/>
  <c r="Z22" i="4"/>
  <c r="Z24" i="4"/>
  <c r="Z26" i="4"/>
  <c r="E654" i="9" s="1"/>
  <c r="Z30" i="4"/>
  <c r="Z32" i="4"/>
  <c r="Z34" i="4"/>
  <c r="E662" i="9" s="1"/>
  <c r="X40" i="1"/>
  <c r="Z40" i="4" s="1"/>
  <c r="X41" i="1"/>
  <c r="Z41" i="4" s="1"/>
  <c r="X42" i="1"/>
  <c r="Z42" i="4"/>
  <c r="X43" i="1"/>
  <c r="Z43" i="4" s="1"/>
  <c r="X44" i="1"/>
  <c r="X45" i="1"/>
  <c r="Z45" i="4"/>
  <c r="X46" i="1"/>
  <c r="Z46" i="4"/>
  <c r="X47" i="1"/>
  <c r="Z47" i="4" s="1"/>
  <c r="X48" i="1"/>
  <c r="Z48" i="4" s="1"/>
  <c r="X49" i="1"/>
  <c r="Z49" i="4" s="1"/>
  <c r="X50" i="1"/>
  <c r="Z50" i="4" s="1"/>
  <c r="X51" i="1"/>
  <c r="Z51" i="4" s="1"/>
  <c r="X52" i="1"/>
  <c r="X53" i="1"/>
  <c r="Z53" i="4"/>
  <c r="X54" i="1"/>
  <c r="Z54" i="4"/>
  <c r="X55" i="1"/>
  <c r="Z55" i="4"/>
  <c r="X56" i="1"/>
  <c r="Z56" i="4" s="1"/>
  <c r="X57" i="1"/>
  <c r="Z57" i="4"/>
  <c r="X58" i="1"/>
  <c r="Z58" i="4"/>
  <c r="X59" i="1"/>
  <c r="Z59" i="4"/>
  <c r="X60" i="1"/>
  <c r="Z60" i="4" s="1"/>
  <c r="X61" i="1"/>
  <c r="Z61" i="4" s="1"/>
  <c r="X62" i="1"/>
  <c r="Z62" i="4" s="1"/>
  <c r="X63" i="1"/>
  <c r="Z63" i="4"/>
  <c r="X64" i="1"/>
  <c r="Z64" i="4"/>
  <c r="X65" i="1"/>
  <c r="Z65" i="4" s="1"/>
  <c r="X66" i="1"/>
  <c r="Z66" i="4" s="1"/>
  <c r="X67" i="1"/>
  <c r="Z67" i="4" s="1"/>
  <c r="X68" i="1"/>
  <c r="Z68" i="4" s="1"/>
  <c r="X69" i="1"/>
  <c r="Z69" i="4" s="1"/>
  <c r="X70" i="1"/>
  <c r="Z70" i="4"/>
  <c r="X71" i="1"/>
  <c r="X72" i="1"/>
  <c r="Z72" i="4" s="1"/>
  <c r="X73" i="1"/>
  <c r="Z73" i="4" s="1"/>
  <c r="X74" i="1"/>
  <c r="Z74" i="4" s="1"/>
  <c r="X75" i="1"/>
  <c r="Z75" i="4" s="1"/>
  <c r="X76" i="1"/>
  <c r="X77" i="1"/>
  <c r="X78" i="1"/>
  <c r="Z78" i="4"/>
  <c r="X79" i="1"/>
  <c r="Z79" i="4" s="1"/>
  <c r="X80" i="1"/>
  <c r="Z80" i="4" s="1"/>
  <c r="X81" i="1"/>
  <c r="Z81" i="4" s="1"/>
  <c r="X82" i="1"/>
  <c r="Z82" i="4" s="1"/>
  <c r="X83" i="1"/>
  <c r="Z83" i="4" s="1"/>
  <c r="X84" i="1"/>
  <c r="X85" i="1"/>
  <c r="Z85" i="4"/>
  <c r="X86" i="1"/>
  <c r="Z86" i="4"/>
  <c r="X87" i="1"/>
  <c r="Z87" i="4" s="1"/>
  <c r="X88" i="1"/>
  <c r="Z88" i="4"/>
  <c r="X89" i="1"/>
  <c r="Z89" i="4"/>
  <c r="X90" i="1"/>
  <c r="Z90" i="4"/>
  <c r="X91" i="1"/>
  <c r="Z91" i="4" s="1"/>
  <c r="X92" i="1"/>
  <c r="X93" i="1"/>
  <c r="Z93" i="4" s="1"/>
  <c r="X94" i="1"/>
  <c r="Z94" i="4" s="1"/>
  <c r="X95" i="1"/>
  <c r="Z95" i="4" s="1"/>
  <c r="X96" i="1"/>
  <c r="Z96" i="4" s="1"/>
  <c r="X97" i="1"/>
  <c r="Z97" i="4"/>
  <c r="X98" i="1"/>
  <c r="Z98" i="4"/>
  <c r="X99" i="1"/>
  <c r="Z99" i="4"/>
  <c r="X100" i="1"/>
  <c r="Z100" i="4" s="1"/>
  <c r="X101" i="1"/>
  <c r="Z101" i="4" s="1"/>
  <c r="X102" i="1"/>
  <c r="Z102" i="4" s="1"/>
  <c r="X103" i="1"/>
  <c r="Z103" i="4" s="1"/>
  <c r="X104" i="1"/>
  <c r="Z104" i="4"/>
  <c r="X105" i="1"/>
  <c r="Z77" i="3"/>
  <c r="AB77" i="3"/>
  <c r="AE77" i="3"/>
  <c r="AC77" i="3"/>
  <c r="AE88" i="3"/>
  <c r="AC88" i="3"/>
  <c r="AB88" i="3"/>
  <c r="Z88" i="3"/>
  <c r="AE86" i="3"/>
  <c r="AC86" i="3"/>
  <c r="AD87" i="3"/>
  <c r="AC87" i="3"/>
  <c r="Z83" i="3"/>
  <c r="Z82" i="3"/>
  <c r="AB86" i="3"/>
  <c r="Z86" i="3"/>
  <c r="AE105" i="3"/>
  <c r="AC105" i="3"/>
  <c r="AB105" i="3"/>
  <c r="Z105" i="3"/>
  <c r="AD114" i="3"/>
  <c r="AC114" i="3"/>
  <c r="AA114" i="3"/>
  <c r="Z114" i="3"/>
  <c r="AD108" i="3"/>
  <c r="AC108" i="3"/>
  <c r="AA108" i="3"/>
  <c r="Z108" i="3"/>
  <c r="AD107" i="3"/>
  <c r="AC107" i="3"/>
  <c r="AD106" i="3"/>
  <c r="AC106" i="3"/>
  <c r="AA107" i="3"/>
  <c r="Z107" i="3"/>
  <c r="AA106" i="3"/>
  <c r="Z106" i="3"/>
  <c r="AE83" i="3"/>
  <c r="AC83" i="3"/>
  <c r="AE82" i="3"/>
  <c r="AC82" i="3"/>
  <c r="AD81" i="3"/>
  <c r="AD80" i="3"/>
  <c r="AD79" i="3"/>
  <c r="AD76" i="3"/>
  <c r="AD72" i="3"/>
  <c r="AD71" i="3"/>
  <c r="AD70" i="3"/>
  <c r="AD69" i="3"/>
  <c r="AD68" i="3"/>
  <c r="AD67" i="3"/>
  <c r="AD75" i="3"/>
  <c r="AD74" i="3"/>
  <c r="AD73" i="3"/>
  <c r="AC73" i="3"/>
  <c r="AA87" i="3"/>
  <c r="AB87" i="3"/>
  <c r="AE85" i="3"/>
  <c r="AC85" i="3"/>
  <c r="AE84" i="3"/>
  <c r="AC84" i="3"/>
  <c r="AB85" i="3"/>
  <c r="Z85" i="3"/>
  <c r="AB84" i="3"/>
  <c r="Z84" i="3"/>
  <c r="Z118" i="3"/>
  <c r="AB113" i="3"/>
  <c r="AE113" i="3"/>
  <c r="AC113" i="3"/>
  <c r="AA113" i="3"/>
  <c r="Z113" i="3"/>
  <c r="AE126" i="3"/>
  <c r="AC126" i="3"/>
  <c r="AB126" i="3"/>
  <c r="Z126" i="3"/>
  <c r="AA76" i="3"/>
  <c r="AA75" i="3"/>
  <c r="AA74" i="3"/>
  <c r="AA73" i="3"/>
  <c r="AA72" i="3"/>
  <c r="AA71" i="3"/>
  <c r="AA70" i="3"/>
  <c r="AA69" i="3"/>
  <c r="AA67" i="3"/>
  <c r="AC123" i="3"/>
  <c r="Z124" i="3"/>
  <c r="Z123" i="3"/>
  <c r="AE125" i="3"/>
  <c r="AD6" i="4"/>
  <c r="AB4" i="9" s="1"/>
  <c r="AB125" i="3"/>
  <c r="AA125" i="3"/>
  <c r="Z125" i="3"/>
  <c r="AB124" i="3"/>
  <c r="AA124" i="3"/>
  <c r="AE124" i="3"/>
  <c r="AC124" i="3"/>
  <c r="AE128" i="3"/>
  <c r="AE127" i="3"/>
  <c r="AE104" i="3"/>
  <c r="AC104" i="3"/>
  <c r="AB104" i="3"/>
  <c r="Z104" i="3"/>
  <c r="AB89" i="3"/>
  <c r="AE89" i="3"/>
  <c r="AE90" i="3"/>
  <c r="AE103" i="3"/>
  <c r="AE102" i="3"/>
  <c r="AE101" i="3"/>
  <c r="AE100" i="3"/>
  <c r="AE99" i="3"/>
  <c r="AE98" i="3"/>
  <c r="AE97" i="3"/>
  <c r="AE96" i="3"/>
  <c r="AE95" i="3"/>
  <c r="AE94" i="3"/>
  <c r="AE93" i="3"/>
  <c r="AE92" i="3"/>
  <c r="AE91" i="3"/>
  <c r="AB103" i="3"/>
  <c r="AB102" i="3"/>
  <c r="AB101" i="3"/>
  <c r="AB100" i="3"/>
  <c r="AB99" i="3"/>
  <c r="AB98" i="3"/>
  <c r="AB97" i="3"/>
  <c r="AB96" i="3"/>
  <c r="AB95" i="3"/>
  <c r="AB94" i="3"/>
  <c r="AB93" i="3"/>
  <c r="AB92" i="3"/>
  <c r="AB91" i="3"/>
  <c r="AB119" i="3"/>
  <c r="AB118" i="3"/>
  <c r="AA118" i="3"/>
  <c r="AB117" i="3"/>
  <c r="AA117" i="3"/>
  <c r="Z117" i="3"/>
  <c r="AB116" i="3"/>
  <c r="AA116" i="3"/>
  <c r="Z116" i="3"/>
  <c r="AB115" i="3"/>
  <c r="AA115" i="3"/>
  <c r="AE119" i="3"/>
  <c r="AE118" i="3"/>
  <c r="AE117" i="3"/>
  <c r="AE116" i="3"/>
  <c r="AE115" i="3"/>
  <c r="AD118" i="3"/>
  <c r="AC118" i="3"/>
  <c r="AD117" i="3"/>
  <c r="AC117" i="3"/>
  <c r="AD116" i="3"/>
  <c r="AD115" i="3"/>
  <c r="AC115" i="3"/>
  <c r="AE112" i="3"/>
  <c r="AE111" i="3"/>
  <c r="AE110" i="3"/>
  <c r="AC110" i="3"/>
  <c r="AE122" i="3"/>
  <c r="AE121" i="3"/>
  <c r="AE120" i="3"/>
  <c r="AD112" i="3"/>
  <c r="AC112" i="3"/>
  <c r="AD111" i="3"/>
  <c r="AC111" i="3"/>
  <c r="AD110" i="3"/>
  <c r="AD122" i="3"/>
  <c r="AD121" i="3"/>
  <c r="AC121" i="3"/>
  <c r="AD120" i="3"/>
  <c r="AD119" i="3"/>
  <c r="AC119" i="3"/>
  <c r="AA119" i="3"/>
  <c r="Z119" i="3"/>
  <c r="AA112" i="3"/>
  <c r="Z112" i="3"/>
  <c r="AA111" i="3"/>
  <c r="AA110" i="3"/>
  <c r="Z110" i="3"/>
  <c r="AB112" i="3"/>
  <c r="AB111" i="3"/>
  <c r="AB110" i="3"/>
  <c r="AA122" i="3"/>
  <c r="AA121" i="3"/>
  <c r="Z121" i="3"/>
  <c r="AA120" i="3"/>
  <c r="Z120" i="3"/>
  <c r="AB122" i="3"/>
  <c r="AB121" i="3"/>
  <c r="AB120" i="3"/>
  <c r="AA68" i="3"/>
  <c r="AA81" i="3"/>
  <c r="AB81" i="3"/>
  <c r="AA80" i="3"/>
  <c r="AB80" i="3"/>
  <c r="AB90" i="3"/>
  <c r="Z89" i="3"/>
  <c r="Z90" i="3"/>
  <c r="AA79" i="3"/>
  <c r="AB79" i="3"/>
  <c r="AC67" i="3"/>
  <c r="AC90" i="3"/>
  <c r="AC89" i="3"/>
  <c r="AC75" i="3"/>
  <c r="AC76" i="3"/>
  <c r="Z92" i="3"/>
  <c r="AC92" i="3"/>
  <c r="Z93" i="3"/>
  <c r="AC93" i="3"/>
  <c r="Z94" i="3"/>
  <c r="AC94" i="3"/>
  <c r="Z95" i="3"/>
  <c r="AC95" i="3"/>
  <c r="Z96" i="3"/>
  <c r="AC96" i="3"/>
  <c r="Z97" i="3"/>
  <c r="AC97" i="3"/>
  <c r="Z98" i="3"/>
  <c r="AC98" i="3"/>
  <c r="Z99" i="3"/>
  <c r="AC99" i="3"/>
  <c r="Z100" i="3"/>
  <c r="AC100" i="3"/>
  <c r="Z101" i="3"/>
  <c r="AC101" i="3"/>
  <c r="Z102" i="3"/>
  <c r="AC102" i="3"/>
  <c r="Z103" i="3"/>
  <c r="AC103" i="3"/>
  <c r="AC91" i="3"/>
  <c r="Z91" i="3"/>
  <c r="F2" i="1"/>
  <c r="O6" i="4"/>
  <c r="O7" i="4"/>
  <c r="O8" i="4"/>
  <c r="O9" i="4"/>
  <c r="O10" i="4"/>
  <c r="O11" i="4"/>
  <c r="O12" i="4"/>
  <c r="Z12" i="4"/>
  <c r="AD12" i="4"/>
  <c r="O13" i="4"/>
  <c r="O14" i="4"/>
  <c r="O15" i="4"/>
  <c r="O16" i="4"/>
  <c r="O17" i="4"/>
  <c r="O18" i="4"/>
  <c r="O19" i="4"/>
  <c r="O20" i="4"/>
  <c r="AD20" i="4"/>
  <c r="O21" i="4"/>
  <c r="O22" i="4"/>
  <c r="O23" i="4"/>
  <c r="O24" i="4"/>
  <c r="O25" i="4"/>
  <c r="O26" i="4"/>
  <c r="O27" i="4"/>
  <c r="O28" i="4"/>
  <c r="Z28" i="4"/>
  <c r="AD28" i="4"/>
  <c r="O29" i="4"/>
  <c r="O30" i="4"/>
  <c r="O31" i="4"/>
  <c r="O32" i="4"/>
  <c r="O33" i="4"/>
  <c r="O34" i="4"/>
  <c r="O35" i="4"/>
  <c r="O36" i="4"/>
  <c r="Z36" i="4"/>
  <c r="AD36" i="4"/>
  <c r="O37" i="4"/>
  <c r="O38" i="4"/>
  <c r="O39" i="4"/>
  <c r="N6" i="1"/>
  <c r="N7" i="1"/>
  <c r="N8" i="1"/>
  <c r="N9" i="1"/>
  <c r="N10" i="1"/>
  <c r="N11" i="1"/>
  <c r="N12" i="1"/>
  <c r="N13" i="1"/>
  <c r="N14" i="1"/>
  <c r="N15" i="1"/>
  <c r="N16" i="1"/>
  <c r="N17" i="1"/>
  <c r="N18" i="1"/>
  <c r="N19" i="1"/>
  <c r="N20" i="1"/>
  <c r="N21" i="1"/>
  <c r="N22" i="1"/>
  <c r="N23" i="1"/>
  <c r="N24" i="1"/>
  <c r="N25" i="1"/>
  <c r="N26" i="1"/>
  <c r="N27" i="1"/>
  <c r="N28" i="1"/>
  <c r="N29" i="1"/>
  <c r="N30" i="1"/>
  <c r="N31" i="1"/>
  <c r="N32" i="1"/>
  <c r="N33" i="1"/>
  <c r="N34" i="1"/>
  <c r="N35" i="1"/>
  <c r="N36" i="1"/>
  <c r="N37" i="1"/>
  <c r="N38" i="1"/>
  <c r="B628" i="9"/>
  <c r="C628" i="9"/>
  <c r="D628" i="9"/>
  <c r="E628" i="9"/>
  <c r="F628" i="9"/>
  <c r="G628" i="9"/>
  <c r="I628" i="9"/>
  <c r="J628" i="9"/>
  <c r="L523" i="9"/>
  <c r="L522" i="9"/>
  <c r="L521" i="9"/>
  <c r="L520" i="9"/>
  <c r="L519" i="9"/>
  <c r="L518" i="9"/>
  <c r="L517" i="9"/>
  <c r="L516" i="9"/>
  <c r="L515" i="9"/>
  <c r="L514" i="9"/>
  <c r="L513" i="9"/>
  <c r="L512" i="9"/>
  <c r="L511" i="9"/>
  <c r="L510" i="9"/>
  <c r="L509" i="9"/>
  <c r="L508" i="9"/>
  <c r="L507" i="9"/>
  <c r="L506" i="9"/>
  <c r="L505" i="9"/>
  <c r="L504" i="9"/>
  <c r="L503" i="9"/>
  <c r="L502" i="9"/>
  <c r="L501" i="9"/>
  <c r="L500" i="9"/>
  <c r="L499" i="9"/>
  <c r="L498" i="9"/>
  <c r="L497" i="9"/>
  <c r="L496" i="9"/>
  <c r="L495" i="9"/>
  <c r="L494" i="9"/>
  <c r="L493" i="9"/>
  <c r="L492" i="9"/>
  <c r="L491" i="9"/>
  <c r="L490" i="9"/>
  <c r="L489" i="9"/>
  <c r="L488" i="9"/>
  <c r="L487" i="9"/>
  <c r="L486" i="9"/>
  <c r="L485" i="9"/>
  <c r="L484" i="9"/>
  <c r="L483" i="9"/>
  <c r="L482" i="9"/>
  <c r="L481" i="9"/>
  <c r="L480" i="9"/>
  <c r="L479" i="9"/>
  <c r="L478" i="9"/>
  <c r="L477" i="9"/>
  <c r="L476" i="9"/>
  <c r="L475" i="9"/>
  <c r="L474" i="9"/>
  <c r="L473" i="9"/>
  <c r="L472" i="9"/>
  <c r="L471" i="9"/>
  <c r="L470" i="9"/>
  <c r="L469" i="9"/>
  <c r="L468" i="9"/>
  <c r="L467" i="9"/>
  <c r="L466" i="9"/>
  <c r="L465" i="9"/>
  <c r="L464" i="9"/>
  <c r="L463" i="9"/>
  <c r="L462" i="9"/>
  <c r="L461" i="9"/>
  <c r="L460" i="9"/>
  <c r="L459" i="9"/>
  <c r="L458" i="9"/>
  <c r="L457" i="9"/>
  <c r="L456" i="9"/>
  <c r="L455" i="9"/>
  <c r="L454" i="9"/>
  <c r="L453" i="9"/>
  <c r="L452" i="9"/>
  <c r="L451" i="9"/>
  <c r="L450" i="9"/>
  <c r="L449" i="9"/>
  <c r="L448" i="9"/>
  <c r="L447" i="9"/>
  <c r="L446" i="9"/>
  <c r="L445" i="9"/>
  <c r="L444" i="9"/>
  <c r="L443" i="9"/>
  <c r="L442" i="9"/>
  <c r="L441" i="9"/>
  <c r="L440" i="9"/>
  <c r="L439" i="9"/>
  <c r="I523" i="9"/>
  <c r="I522" i="9"/>
  <c r="I521" i="9"/>
  <c r="I520" i="9"/>
  <c r="I519" i="9"/>
  <c r="I518" i="9"/>
  <c r="I517" i="9"/>
  <c r="I516" i="9"/>
  <c r="I515" i="9"/>
  <c r="I514" i="9"/>
  <c r="I513" i="9"/>
  <c r="I512" i="9"/>
  <c r="I511" i="9"/>
  <c r="I510" i="9"/>
  <c r="I509" i="9"/>
  <c r="I508" i="9"/>
  <c r="I507" i="9"/>
  <c r="I506" i="9"/>
  <c r="I505" i="9"/>
  <c r="I504" i="9"/>
  <c r="I503" i="9"/>
  <c r="I502" i="9"/>
  <c r="I501" i="9"/>
  <c r="I500" i="9"/>
  <c r="I499" i="9"/>
  <c r="I498" i="9"/>
  <c r="I497" i="9"/>
  <c r="I496" i="9"/>
  <c r="I495" i="9"/>
  <c r="I494" i="9"/>
  <c r="I493" i="9"/>
  <c r="I492" i="9"/>
  <c r="I491" i="9"/>
  <c r="I490" i="9"/>
  <c r="I489" i="9"/>
  <c r="I488" i="9"/>
  <c r="I487" i="9"/>
  <c r="I486" i="9"/>
  <c r="I485" i="9"/>
  <c r="I484" i="9"/>
  <c r="I483" i="9"/>
  <c r="I482" i="9"/>
  <c r="I481" i="9"/>
  <c r="I480" i="9"/>
  <c r="I479" i="9"/>
  <c r="I478" i="9"/>
  <c r="I477" i="9"/>
  <c r="I476" i="9"/>
  <c r="I475" i="9"/>
  <c r="I474" i="9"/>
  <c r="I473" i="9"/>
  <c r="I472" i="9"/>
  <c r="I471" i="9"/>
  <c r="I470" i="9"/>
  <c r="I469" i="9"/>
  <c r="I468" i="9"/>
  <c r="I467" i="9"/>
  <c r="I466" i="9"/>
  <c r="I465" i="9"/>
  <c r="I464" i="9"/>
  <c r="I463" i="9"/>
  <c r="I462" i="9"/>
  <c r="I461" i="9"/>
  <c r="I460" i="9"/>
  <c r="I459" i="9"/>
  <c r="I458" i="9"/>
  <c r="I430" i="9"/>
  <c r="I429" i="9"/>
  <c r="I428" i="9"/>
  <c r="I427" i="9"/>
  <c r="I426" i="9"/>
  <c r="I425" i="9"/>
  <c r="I424" i="9"/>
  <c r="L418" i="9"/>
  <c r="L417" i="9"/>
  <c r="L416" i="9"/>
  <c r="L415" i="9"/>
  <c r="L414" i="9"/>
  <c r="L413" i="9"/>
  <c r="L412" i="9"/>
  <c r="L411" i="9"/>
  <c r="L410" i="9"/>
  <c r="L409" i="9"/>
  <c r="L408" i="9"/>
  <c r="L407" i="9"/>
  <c r="L406" i="9"/>
  <c r="L405" i="9"/>
  <c r="L404" i="9"/>
  <c r="L403" i="9"/>
  <c r="L402" i="9"/>
  <c r="L401" i="9"/>
  <c r="L400" i="9"/>
  <c r="L399" i="9"/>
  <c r="L398" i="9"/>
  <c r="L397" i="9"/>
  <c r="L396" i="9"/>
  <c r="L395" i="9"/>
  <c r="L394" i="9"/>
  <c r="L393" i="9"/>
  <c r="L392" i="9"/>
  <c r="L391" i="9"/>
  <c r="L390" i="9"/>
  <c r="L389" i="9"/>
  <c r="L388" i="9"/>
  <c r="L387" i="9"/>
  <c r="L386" i="9"/>
  <c r="L385" i="9"/>
  <c r="L384" i="9"/>
  <c r="L383" i="9"/>
  <c r="L382" i="9"/>
  <c r="L381" i="9"/>
  <c r="L380" i="9"/>
  <c r="L379" i="9"/>
  <c r="L378" i="9"/>
  <c r="L377" i="9"/>
  <c r="L376" i="9"/>
  <c r="L375" i="9"/>
  <c r="L374" i="9"/>
  <c r="L373" i="9"/>
  <c r="L372" i="9"/>
  <c r="L371" i="9"/>
  <c r="L370" i="9"/>
  <c r="L369" i="9"/>
  <c r="L368" i="9"/>
  <c r="L367" i="9"/>
  <c r="L366" i="9"/>
  <c r="L365" i="9"/>
  <c r="L364" i="9"/>
  <c r="L363" i="9"/>
  <c r="L362" i="9"/>
  <c r="L361" i="9"/>
  <c r="L360" i="9"/>
  <c r="L359" i="9"/>
  <c r="L358" i="9"/>
  <c r="L357" i="9"/>
  <c r="L356" i="9"/>
  <c r="L355" i="9"/>
  <c r="L354" i="9"/>
  <c r="L353" i="9"/>
  <c r="L352" i="9"/>
  <c r="L351" i="9"/>
  <c r="L350" i="9"/>
  <c r="L349" i="9"/>
  <c r="L348" i="9"/>
  <c r="L347" i="9"/>
  <c r="L346" i="9"/>
  <c r="L345" i="9"/>
  <c r="L344" i="9"/>
  <c r="L343" i="9"/>
  <c r="L342" i="9"/>
  <c r="L341" i="9"/>
  <c r="L340" i="9"/>
  <c r="L339" i="9"/>
  <c r="L338" i="9"/>
  <c r="L337" i="9"/>
  <c r="L336" i="9"/>
  <c r="L335" i="9"/>
  <c r="L334" i="9"/>
  <c r="I418" i="9"/>
  <c r="I417" i="9"/>
  <c r="I416" i="9"/>
  <c r="I415" i="9"/>
  <c r="I414" i="9"/>
  <c r="I413" i="9"/>
  <c r="I412" i="9"/>
  <c r="I411" i="9"/>
  <c r="I410" i="9"/>
  <c r="I409" i="9"/>
  <c r="I408" i="9"/>
  <c r="I407" i="9"/>
  <c r="I406" i="9"/>
  <c r="I405" i="9"/>
  <c r="I404" i="9"/>
  <c r="I403" i="9"/>
  <c r="I402" i="9"/>
  <c r="I401" i="9"/>
  <c r="I400" i="9"/>
  <c r="I399" i="9"/>
  <c r="I398" i="9"/>
  <c r="I397" i="9"/>
  <c r="I396" i="9"/>
  <c r="I395" i="9"/>
  <c r="I394" i="9"/>
  <c r="I393" i="9"/>
  <c r="I392" i="9"/>
  <c r="I391" i="9"/>
  <c r="I390" i="9"/>
  <c r="I389" i="9"/>
  <c r="I388" i="9"/>
  <c r="I387" i="9"/>
  <c r="I386" i="9"/>
  <c r="I385" i="9"/>
  <c r="I384" i="9"/>
  <c r="I383" i="9"/>
  <c r="I382" i="9"/>
  <c r="I381" i="9"/>
  <c r="I380" i="9"/>
  <c r="I379" i="9"/>
  <c r="I378" i="9"/>
  <c r="I377" i="9"/>
  <c r="I376" i="9"/>
  <c r="I375" i="9"/>
  <c r="I374" i="9"/>
  <c r="I373" i="9"/>
  <c r="I372" i="9"/>
  <c r="I371" i="9"/>
  <c r="I370" i="9"/>
  <c r="I369" i="9"/>
  <c r="I368" i="9"/>
  <c r="I367" i="9"/>
  <c r="I366" i="9"/>
  <c r="I365" i="9"/>
  <c r="I364" i="9"/>
  <c r="I363" i="9"/>
  <c r="I362" i="9"/>
  <c r="I361" i="9"/>
  <c r="I360" i="9"/>
  <c r="I359" i="9"/>
  <c r="I358" i="9"/>
  <c r="I357" i="9"/>
  <c r="I356" i="9"/>
  <c r="I355" i="9"/>
  <c r="I354" i="9"/>
  <c r="I353" i="9"/>
  <c r="I329" i="9"/>
  <c r="I325" i="9"/>
  <c r="I324" i="9"/>
  <c r="I323" i="9"/>
  <c r="I322" i="9"/>
  <c r="I321" i="9"/>
  <c r="I320" i="9"/>
  <c r="I319" i="9"/>
  <c r="L208" i="9"/>
  <c r="L207" i="9"/>
  <c r="L206" i="9"/>
  <c r="L205" i="9"/>
  <c r="L204" i="9"/>
  <c r="L203" i="9"/>
  <c r="L202" i="9"/>
  <c r="L201" i="9"/>
  <c r="L200" i="9"/>
  <c r="L199" i="9"/>
  <c r="L198" i="9"/>
  <c r="L197" i="9"/>
  <c r="L196" i="9"/>
  <c r="L195" i="9"/>
  <c r="L194" i="9"/>
  <c r="L193" i="9"/>
  <c r="L192" i="9"/>
  <c r="L191" i="9"/>
  <c r="L190" i="9"/>
  <c r="L189" i="9"/>
  <c r="L188" i="9"/>
  <c r="L187" i="9"/>
  <c r="L186" i="9"/>
  <c r="L185" i="9"/>
  <c r="L184" i="9"/>
  <c r="L183" i="9"/>
  <c r="L182" i="9"/>
  <c r="L181" i="9"/>
  <c r="L180" i="9"/>
  <c r="L179" i="9"/>
  <c r="L178" i="9"/>
  <c r="L177" i="9"/>
  <c r="L176" i="9"/>
  <c r="L175" i="9"/>
  <c r="L174" i="9"/>
  <c r="L173" i="9"/>
  <c r="L172" i="9"/>
  <c r="L171" i="9"/>
  <c r="L170" i="9"/>
  <c r="L169" i="9"/>
  <c r="L168" i="9"/>
  <c r="L167" i="9"/>
  <c r="L166" i="9"/>
  <c r="L165" i="9"/>
  <c r="L164" i="9"/>
  <c r="L163" i="9"/>
  <c r="L162" i="9"/>
  <c r="L161" i="9"/>
  <c r="L160" i="9"/>
  <c r="L159" i="9"/>
  <c r="L158" i="9"/>
  <c r="L157" i="9"/>
  <c r="L156" i="9"/>
  <c r="L155" i="9"/>
  <c r="L154" i="9"/>
  <c r="L153" i="9"/>
  <c r="L152" i="9"/>
  <c r="L151" i="9"/>
  <c r="L150" i="9"/>
  <c r="L149" i="9"/>
  <c r="L148" i="9"/>
  <c r="L147" i="9"/>
  <c r="L146" i="9"/>
  <c r="L145" i="9"/>
  <c r="L144" i="9"/>
  <c r="L143" i="9"/>
  <c r="L142" i="9"/>
  <c r="L141" i="9"/>
  <c r="L140" i="9"/>
  <c r="L139" i="9"/>
  <c r="L138" i="9"/>
  <c r="L137" i="9"/>
  <c r="L136" i="9"/>
  <c r="L135" i="9"/>
  <c r="L134" i="9"/>
  <c r="L133" i="9"/>
  <c r="L132" i="9"/>
  <c r="L131" i="9"/>
  <c r="L130" i="9"/>
  <c r="L129" i="9"/>
  <c r="L128" i="9"/>
  <c r="L127" i="9"/>
  <c r="L126" i="9"/>
  <c r="L125" i="9"/>
  <c r="L124" i="9"/>
  <c r="I208" i="9"/>
  <c r="I207" i="9"/>
  <c r="I206" i="9"/>
  <c r="I205" i="9"/>
  <c r="I204" i="9"/>
  <c r="I203" i="9"/>
  <c r="I202" i="9"/>
  <c r="I201" i="9"/>
  <c r="I200" i="9"/>
  <c r="I199" i="9"/>
  <c r="I198" i="9"/>
  <c r="I197" i="9"/>
  <c r="I196" i="9"/>
  <c r="I195" i="9"/>
  <c r="I194" i="9"/>
  <c r="I193" i="9"/>
  <c r="I192" i="9"/>
  <c r="I191" i="9"/>
  <c r="I190" i="9"/>
  <c r="I189" i="9"/>
  <c r="I188" i="9"/>
  <c r="I187" i="9"/>
  <c r="I186" i="9"/>
  <c r="I185" i="9"/>
  <c r="I184" i="9"/>
  <c r="I183" i="9"/>
  <c r="I182" i="9"/>
  <c r="I181" i="9"/>
  <c r="I180" i="9"/>
  <c r="I179" i="9"/>
  <c r="I178" i="9"/>
  <c r="I177" i="9"/>
  <c r="I176" i="9"/>
  <c r="I175" i="9"/>
  <c r="I174" i="9"/>
  <c r="I173" i="9"/>
  <c r="I172" i="9"/>
  <c r="I171" i="9"/>
  <c r="I170" i="9"/>
  <c r="I169" i="9"/>
  <c r="I168" i="9"/>
  <c r="I167" i="9"/>
  <c r="I166" i="9"/>
  <c r="I165" i="9"/>
  <c r="I164" i="9"/>
  <c r="I163" i="9"/>
  <c r="I162" i="9"/>
  <c r="I161" i="9"/>
  <c r="I160" i="9"/>
  <c r="I159" i="9"/>
  <c r="I158" i="9"/>
  <c r="I157" i="9"/>
  <c r="I156" i="9"/>
  <c r="I155" i="9"/>
  <c r="I154" i="9"/>
  <c r="I153" i="9"/>
  <c r="I152" i="9"/>
  <c r="I151" i="9"/>
  <c r="I150" i="9"/>
  <c r="I149" i="9"/>
  <c r="I148" i="9"/>
  <c r="I147" i="9"/>
  <c r="I146" i="9"/>
  <c r="I145" i="9"/>
  <c r="I144" i="9"/>
  <c r="I143" i="9"/>
  <c r="I115" i="9"/>
  <c r="I114" i="9"/>
  <c r="I113" i="9"/>
  <c r="I112" i="9"/>
  <c r="I111" i="9"/>
  <c r="I110" i="9"/>
  <c r="I109" i="9"/>
  <c r="K634" i="8"/>
  <c r="L439" i="8"/>
  <c r="L440" i="8"/>
  <c r="L441" i="8"/>
  <c r="L442" i="8"/>
  <c r="L443" i="8"/>
  <c r="L444" i="8"/>
  <c r="L445" i="8"/>
  <c r="L446" i="8"/>
  <c r="L447" i="8"/>
  <c r="L448" i="8"/>
  <c r="L449" i="8"/>
  <c r="L450" i="8"/>
  <c r="L451" i="8"/>
  <c r="L452" i="8"/>
  <c r="L453" i="8"/>
  <c r="L454" i="8"/>
  <c r="L455" i="8"/>
  <c r="L456" i="8"/>
  <c r="L457" i="8"/>
  <c r="L458" i="8"/>
  <c r="L459" i="8"/>
  <c r="L460" i="8"/>
  <c r="L461" i="8"/>
  <c r="L462" i="8"/>
  <c r="L463" i="8"/>
  <c r="L464" i="8"/>
  <c r="L465" i="8"/>
  <c r="L466" i="8"/>
  <c r="L467" i="8"/>
  <c r="L468" i="8"/>
  <c r="L469" i="8"/>
  <c r="L470" i="8"/>
  <c r="L471" i="8"/>
  <c r="L472" i="8"/>
  <c r="L473" i="8"/>
  <c r="L474" i="8"/>
  <c r="L475" i="8"/>
  <c r="L476" i="8"/>
  <c r="L477" i="8"/>
  <c r="L478" i="8"/>
  <c r="L479" i="8"/>
  <c r="L480" i="8"/>
  <c r="L481" i="8"/>
  <c r="L482" i="8"/>
  <c r="L483" i="8"/>
  <c r="L484" i="8"/>
  <c r="L485" i="8"/>
  <c r="L486" i="8"/>
  <c r="L487" i="8"/>
  <c r="L488" i="8"/>
  <c r="L489" i="8"/>
  <c r="L490" i="8"/>
  <c r="L491" i="8"/>
  <c r="L492" i="8"/>
  <c r="L493" i="8"/>
  <c r="L494" i="8"/>
  <c r="L495" i="8"/>
  <c r="L496" i="8"/>
  <c r="L497" i="8"/>
  <c r="L498" i="8"/>
  <c r="L499" i="8"/>
  <c r="L500" i="8"/>
  <c r="L501" i="8"/>
  <c r="L502" i="8"/>
  <c r="L503" i="8"/>
  <c r="L504" i="8"/>
  <c r="L505" i="8"/>
  <c r="L506" i="8"/>
  <c r="L507" i="8"/>
  <c r="L508" i="8"/>
  <c r="L509" i="8"/>
  <c r="L510" i="8"/>
  <c r="L511" i="8"/>
  <c r="L512" i="8"/>
  <c r="L513" i="8"/>
  <c r="L514" i="8"/>
  <c r="L515" i="8"/>
  <c r="L516" i="8"/>
  <c r="L517" i="8"/>
  <c r="L518" i="8"/>
  <c r="L519" i="8"/>
  <c r="L520" i="8"/>
  <c r="L521" i="8"/>
  <c r="L522" i="8"/>
  <c r="L523" i="8"/>
  <c r="I523" i="8"/>
  <c r="I522" i="8"/>
  <c r="I521" i="8"/>
  <c r="I520" i="8"/>
  <c r="I519" i="8"/>
  <c r="I518" i="8"/>
  <c r="I517" i="8"/>
  <c r="I516" i="8"/>
  <c r="I515" i="8"/>
  <c r="I514" i="8"/>
  <c r="I513" i="8"/>
  <c r="I512" i="8"/>
  <c r="I511" i="8"/>
  <c r="I510" i="8"/>
  <c r="I509" i="8"/>
  <c r="I508" i="8"/>
  <c r="I507" i="8"/>
  <c r="I506" i="8"/>
  <c r="I505" i="8"/>
  <c r="I504" i="8"/>
  <c r="I503" i="8"/>
  <c r="I502" i="8"/>
  <c r="I501" i="8"/>
  <c r="I500" i="8"/>
  <c r="I499" i="8"/>
  <c r="I498" i="8"/>
  <c r="I497" i="8"/>
  <c r="I496" i="8"/>
  <c r="I495" i="8"/>
  <c r="I494" i="8"/>
  <c r="I493" i="8"/>
  <c r="I492" i="8"/>
  <c r="I491" i="8"/>
  <c r="I490" i="8"/>
  <c r="I489" i="8"/>
  <c r="I488" i="8"/>
  <c r="I487" i="8"/>
  <c r="I486" i="8"/>
  <c r="I485" i="8"/>
  <c r="I484" i="8"/>
  <c r="I483" i="8"/>
  <c r="I482" i="8"/>
  <c r="I481" i="8"/>
  <c r="I480" i="8"/>
  <c r="I479" i="8"/>
  <c r="I478" i="8"/>
  <c r="I477" i="8"/>
  <c r="I476" i="8"/>
  <c r="I475" i="8"/>
  <c r="I474" i="8"/>
  <c r="I473" i="8"/>
  <c r="I472" i="8"/>
  <c r="I471" i="8"/>
  <c r="I470" i="8"/>
  <c r="I469" i="8"/>
  <c r="I468" i="8"/>
  <c r="I467" i="8"/>
  <c r="I466" i="8"/>
  <c r="I465" i="8"/>
  <c r="I464" i="8"/>
  <c r="I463" i="8"/>
  <c r="I462" i="8"/>
  <c r="I461" i="8"/>
  <c r="I460" i="8"/>
  <c r="I459" i="8"/>
  <c r="I458" i="8"/>
  <c r="I453" i="8"/>
  <c r="I438" i="8"/>
  <c r="I437" i="8"/>
  <c r="I436" i="8"/>
  <c r="I435" i="8"/>
  <c r="I434" i="8"/>
  <c r="I433" i="8"/>
  <c r="I432" i="8"/>
  <c r="I431" i="8"/>
  <c r="I430" i="8"/>
  <c r="I429" i="8"/>
  <c r="I428" i="8"/>
  <c r="I427" i="8"/>
  <c r="I426" i="8"/>
  <c r="I425" i="8"/>
  <c r="I424" i="8"/>
  <c r="L418" i="8"/>
  <c r="L417" i="8"/>
  <c r="L416" i="8"/>
  <c r="L415" i="8"/>
  <c r="L414" i="8"/>
  <c r="L413" i="8"/>
  <c r="L412" i="8"/>
  <c r="L411" i="8"/>
  <c r="L410" i="8"/>
  <c r="L409" i="8"/>
  <c r="L408" i="8"/>
  <c r="L407" i="8"/>
  <c r="L406" i="8"/>
  <c r="L405" i="8"/>
  <c r="L404" i="8"/>
  <c r="L403" i="8"/>
  <c r="L402" i="8"/>
  <c r="L401" i="8"/>
  <c r="L400" i="8"/>
  <c r="L399" i="8"/>
  <c r="L398" i="8"/>
  <c r="L397" i="8"/>
  <c r="L396" i="8"/>
  <c r="L395" i="8"/>
  <c r="L394" i="8"/>
  <c r="L393" i="8"/>
  <c r="L392" i="8"/>
  <c r="L391" i="8"/>
  <c r="L390" i="8"/>
  <c r="L389" i="8"/>
  <c r="L388" i="8"/>
  <c r="L387" i="8"/>
  <c r="L386" i="8"/>
  <c r="L385" i="8"/>
  <c r="L384" i="8"/>
  <c r="L383" i="8"/>
  <c r="L382" i="8"/>
  <c r="L381" i="8"/>
  <c r="L380" i="8"/>
  <c r="L379" i="8"/>
  <c r="L378" i="8"/>
  <c r="L377" i="8"/>
  <c r="L376" i="8"/>
  <c r="L375" i="8"/>
  <c r="L374" i="8"/>
  <c r="L373" i="8"/>
  <c r="L372" i="8"/>
  <c r="L371" i="8"/>
  <c r="L370" i="8"/>
  <c r="L369" i="8"/>
  <c r="L368" i="8"/>
  <c r="L367" i="8"/>
  <c r="L366" i="8"/>
  <c r="L365" i="8"/>
  <c r="L364" i="8"/>
  <c r="L363" i="8"/>
  <c r="L362" i="8"/>
  <c r="L361" i="8"/>
  <c r="L360" i="8"/>
  <c r="L359" i="8"/>
  <c r="L358" i="8"/>
  <c r="L357" i="8"/>
  <c r="L356" i="8"/>
  <c r="L355" i="8"/>
  <c r="L354" i="8"/>
  <c r="L353" i="8"/>
  <c r="L352" i="8"/>
  <c r="L351" i="8"/>
  <c r="L350" i="8"/>
  <c r="L349" i="8"/>
  <c r="L348" i="8"/>
  <c r="L347" i="8"/>
  <c r="L346" i="8"/>
  <c r="L345" i="8"/>
  <c r="L344" i="8"/>
  <c r="L343" i="8"/>
  <c r="L342" i="8"/>
  <c r="L341" i="8"/>
  <c r="L340" i="8"/>
  <c r="L339" i="8"/>
  <c r="L338" i="8"/>
  <c r="L337" i="8"/>
  <c r="L336" i="8"/>
  <c r="L335" i="8"/>
  <c r="L334" i="8"/>
  <c r="I418" i="8"/>
  <c r="I417" i="8"/>
  <c r="I416" i="8"/>
  <c r="I415" i="8"/>
  <c r="I414" i="8"/>
  <c r="I413" i="8"/>
  <c r="I412" i="8"/>
  <c r="I411" i="8"/>
  <c r="I410" i="8"/>
  <c r="I409" i="8"/>
  <c r="I408" i="8"/>
  <c r="I407" i="8"/>
  <c r="I406" i="8"/>
  <c r="I405" i="8"/>
  <c r="I404" i="8"/>
  <c r="I403" i="8"/>
  <c r="I402" i="8"/>
  <c r="I401" i="8"/>
  <c r="I400" i="8"/>
  <c r="I399" i="8"/>
  <c r="I398" i="8"/>
  <c r="I397" i="8"/>
  <c r="I396" i="8"/>
  <c r="I395" i="8"/>
  <c r="I394" i="8"/>
  <c r="I393" i="8"/>
  <c r="I392" i="8"/>
  <c r="I391" i="8"/>
  <c r="I390" i="8"/>
  <c r="I389" i="8"/>
  <c r="I388" i="8"/>
  <c r="I387" i="8"/>
  <c r="I386" i="8"/>
  <c r="I385" i="8"/>
  <c r="I384" i="8"/>
  <c r="I383" i="8"/>
  <c r="I382" i="8"/>
  <c r="I381" i="8"/>
  <c r="I380" i="8"/>
  <c r="I379" i="8"/>
  <c r="I378" i="8"/>
  <c r="I377" i="8"/>
  <c r="I376" i="8"/>
  <c r="I375" i="8"/>
  <c r="I374" i="8"/>
  <c r="I373" i="8"/>
  <c r="I372" i="8"/>
  <c r="I371" i="8"/>
  <c r="I370" i="8"/>
  <c r="I369" i="8"/>
  <c r="I368" i="8"/>
  <c r="I367" i="8"/>
  <c r="I366" i="8"/>
  <c r="I365" i="8"/>
  <c r="I364" i="8"/>
  <c r="I363" i="8"/>
  <c r="I362" i="8"/>
  <c r="I361" i="8"/>
  <c r="I360" i="8"/>
  <c r="I359" i="8"/>
  <c r="I358" i="8"/>
  <c r="I357" i="8"/>
  <c r="I356" i="8"/>
  <c r="I355" i="8"/>
  <c r="I354" i="8"/>
  <c r="I353" i="8"/>
  <c r="I347" i="8"/>
  <c r="I339" i="8"/>
  <c r="I333" i="8"/>
  <c r="I332" i="8"/>
  <c r="I331" i="8"/>
  <c r="I330" i="8"/>
  <c r="I329" i="8"/>
  <c r="I328" i="8"/>
  <c r="I327" i="8"/>
  <c r="I326" i="8"/>
  <c r="I325" i="8"/>
  <c r="I324" i="8"/>
  <c r="I323" i="8"/>
  <c r="I322" i="8"/>
  <c r="I321" i="8"/>
  <c r="I320" i="8"/>
  <c r="I319" i="8"/>
  <c r="L208" i="8"/>
  <c r="L207" i="8"/>
  <c r="L206" i="8"/>
  <c r="L205" i="8"/>
  <c r="L204" i="8"/>
  <c r="L203" i="8"/>
  <c r="L202" i="8"/>
  <c r="L201" i="8"/>
  <c r="L200" i="8"/>
  <c r="L199" i="8"/>
  <c r="L198" i="8"/>
  <c r="L197" i="8"/>
  <c r="L196" i="8"/>
  <c r="L195" i="8"/>
  <c r="L194" i="8"/>
  <c r="L193" i="8"/>
  <c r="L192" i="8"/>
  <c r="L191" i="8"/>
  <c r="L190" i="8"/>
  <c r="L189" i="8"/>
  <c r="L188" i="8"/>
  <c r="L187" i="8"/>
  <c r="L186" i="8"/>
  <c r="L185" i="8"/>
  <c r="L184" i="8"/>
  <c r="L183" i="8"/>
  <c r="L182" i="8"/>
  <c r="L181" i="8"/>
  <c r="L180" i="8"/>
  <c r="L179" i="8"/>
  <c r="L178" i="8"/>
  <c r="L177" i="8"/>
  <c r="L176" i="8"/>
  <c r="L175" i="8"/>
  <c r="L174" i="8"/>
  <c r="L173" i="8"/>
  <c r="L172" i="8"/>
  <c r="L171" i="8"/>
  <c r="L170" i="8"/>
  <c r="L169" i="8"/>
  <c r="L168" i="8"/>
  <c r="L167" i="8"/>
  <c r="L166" i="8"/>
  <c r="L165" i="8"/>
  <c r="L164" i="8"/>
  <c r="L163" i="8"/>
  <c r="L162" i="8"/>
  <c r="L161" i="8"/>
  <c r="L160" i="8"/>
  <c r="L159" i="8"/>
  <c r="L158" i="8"/>
  <c r="L157" i="8"/>
  <c r="L156" i="8"/>
  <c r="L155" i="8"/>
  <c r="L154" i="8"/>
  <c r="L153" i="8"/>
  <c r="L152" i="8"/>
  <c r="L151" i="8"/>
  <c r="L150" i="8"/>
  <c r="L149" i="8"/>
  <c r="L148" i="8"/>
  <c r="L147" i="8"/>
  <c r="L146" i="8"/>
  <c r="L145" i="8"/>
  <c r="L144" i="8"/>
  <c r="L143" i="8"/>
  <c r="L142" i="8"/>
  <c r="L141" i="8"/>
  <c r="L140" i="8"/>
  <c r="L139" i="8"/>
  <c r="L138" i="8"/>
  <c r="L137" i="8"/>
  <c r="L136" i="8"/>
  <c r="L135" i="8"/>
  <c r="L134" i="8"/>
  <c r="L133" i="8"/>
  <c r="L132" i="8"/>
  <c r="L131" i="8"/>
  <c r="L130" i="8"/>
  <c r="L129" i="8"/>
  <c r="L128" i="8"/>
  <c r="L127" i="8"/>
  <c r="L126" i="8"/>
  <c r="L125" i="8"/>
  <c r="L124" i="8"/>
  <c r="L117" i="8"/>
  <c r="L109" i="8"/>
  <c r="I109" i="8"/>
  <c r="I110" i="8"/>
  <c r="I111" i="8"/>
  <c r="I112" i="8"/>
  <c r="I113" i="8"/>
  <c r="I114" i="8"/>
  <c r="I115" i="8"/>
  <c r="I116" i="8"/>
  <c r="I117" i="8"/>
  <c r="I118" i="8"/>
  <c r="I119" i="8"/>
  <c r="I120" i="8"/>
  <c r="I121" i="8"/>
  <c r="I122" i="8"/>
  <c r="I123" i="8"/>
  <c r="I124" i="8"/>
  <c r="I132" i="8"/>
  <c r="I143" i="8"/>
  <c r="I144" i="8"/>
  <c r="I145" i="8"/>
  <c r="I146" i="8"/>
  <c r="I147" i="8"/>
  <c r="I148" i="8"/>
  <c r="I149" i="8"/>
  <c r="I150" i="8"/>
  <c r="I151" i="8"/>
  <c r="I152" i="8"/>
  <c r="I153" i="8"/>
  <c r="I154" i="8"/>
  <c r="I155" i="8"/>
  <c r="I156" i="8"/>
  <c r="I157" i="8"/>
  <c r="I158" i="8"/>
  <c r="I159" i="8"/>
  <c r="I160" i="8"/>
  <c r="I161" i="8"/>
  <c r="I162" i="8"/>
  <c r="I163" i="8"/>
  <c r="I164" i="8"/>
  <c r="I165" i="8"/>
  <c r="I166" i="8"/>
  <c r="I167" i="8"/>
  <c r="I168" i="8"/>
  <c r="I169" i="8"/>
  <c r="I170" i="8"/>
  <c r="I171" i="8"/>
  <c r="I172" i="8"/>
  <c r="I173" i="8"/>
  <c r="I174" i="8"/>
  <c r="I175" i="8"/>
  <c r="I176" i="8"/>
  <c r="I177" i="8"/>
  <c r="I178" i="8"/>
  <c r="I179" i="8"/>
  <c r="I180" i="8"/>
  <c r="I181" i="8"/>
  <c r="I182" i="8"/>
  <c r="I183" i="8"/>
  <c r="I184" i="8"/>
  <c r="I185" i="8"/>
  <c r="I186" i="8"/>
  <c r="I187" i="8"/>
  <c r="I188" i="8"/>
  <c r="I189" i="8"/>
  <c r="I190" i="8"/>
  <c r="I191" i="8"/>
  <c r="I192" i="8"/>
  <c r="I193" i="8"/>
  <c r="I194" i="8"/>
  <c r="I195" i="8"/>
  <c r="I196" i="8"/>
  <c r="I197" i="8"/>
  <c r="I198" i="8"/>
  <c r="I199" i="8"/>
  <c r="I200" i="8"/>
  <c r="I201" i="8"/>
  <c r="I202" i="8"/>
  <c r="I203" i="8"/>
  <c r="I204" i="8"/>
  <c r="I205" i="8"/>
  <c r="I206" i="8"/>
  <c r="I207" i="8"/>
  <c r="I208" i="8"/>
  <c r="I4" i="8"/>
  <c r="I103" i="8"/>
  <c r="I102" i="8"/>
  <c r="I101" i="8"/>
  <c r="I100" i="8"/>
  <c r="I99" i="8"/>
  <c r="I98" i="8"/>
  <c r="I97" i="8"/>
  <c r="I96" i="8"/>
  <c r="I95" i="8"/>
  <c r="I94" i="8"/>
  <c r="I93" i="8"/>
  <c r="I92" i="8"/>
  <c r="I91" i="8"/>
  <c r="I90" i="8"/>
  <c r="I89" i="8"/>
  <c r="I88" i="8"/>
  <c r="I87" i="8"/>
  <c r="I86" i="8"/>
  <c r="I85" i="8"/>
  <c r="I84" i="8"/>
  <c r="I83" i="8"/>
  <c r="I82" i="8"/>
  <c r="I81" i="8"/>
  <c r="I80" i="8"/>
  <c r="I79" i="8"/>
  <c r="I78" i="8"/>
  <c r="I77" i="8"/>
  <c r="I76" i="8"/>
  <c r="I75" i="8"/>
  <c r="I74" i="8"/>
  <c r="I73" i="8"/>
  <c r="I72" i="8"/>
  <c r="I71" i="8"/>
  <c r="I70" i="8"/>
  <c r="I69" i="8"/>
  <c r="I68" i="8"/>
  <c r="I67" i="8"/>
  <c r="I66" i="8"/>
  <c r="I65" i="8"/>
  <c r="I64" i="8"/>
  <c r="I63" i="8"/>
  <c r="I62" i="8"/>
  <c r="I61" i="8"/>
  <c r="I60" i="8"/>
  <c r="I59" i="8"/>
  <c r="I58" i="8"/>
  <c r="I57" i="8"/>
  <c r="I56" i="8"/>
  <c r="I55" i="8"/>
  <c r="I54" i="8"/>
  <c r="I53" i="8"/>
  <c r="I52" i="8"/>
  <c r="I51" i="8"/>
  <c r="I50" i="8"/>
  <c r="I49" i="8"/>
  <c r="I48" i="8"/>
  <c r="I47" i="8"/>
  <c r="I46" i="8"/>
  <c r="I45" i="8"/>
  <c r="I44" i="8"/>
  <c r="I43" i="8"/>
  <c r="I42" i="8"/>
  <c r="I41" i="8"/>
  <c r="I40" i="8"/>
  <c r="I39" i="8"/>
  <c r="I38" i="8"/>
  <c r="I37" i="8"/>
  <c r="I28" i="8"/>
  <c r="I20" i="8"/>
  <c r="I18" i="8"/>
  <c r="I17" i="8"/>
  <c r="I16" i="8"/>
  <c r="I15" i="8"/>
  <c r="I14" i="8"/>
  <c r="I13" i="8"/>
  <c r="I12" i="8"/>
  <c r="I11" i="8"/>
  <c r="I10" i="8"/>
  <c r="I9" i="8"/>
  <c r="I8" i="8"/>
  <c r="I7" i="8"/>
  <c r="I6" i="8"/>
  <c r="I5" i="8"/>
  <c r="G2631" i="2"/>
  <c r="O2631" i="2"/>
  <c r="J2631" i="2"/>
  <c r="R2631" i="2"/>
  <c r="AY2631" i="2"/>
  <c r="K2631" i="2"/>
  <c r="L2631" i="2"/>
  <c r="T2631" i="2"/>
  <c r="M2631" i="2"/>
  <c r="N2631" i="2"/>
  <c r="P2631" i="2"/>
  <c r="AW2631" i="2"/>
  <c r="Q2631" i="2"/>
  <c r="AX2631" i="2"/>
  <c r="S2631" i="2"/>
  <c r="AZ2631" i="2"/>
  <c r="AP2631" i="2"/>
  <c r="AS2631" i="2"/>
  <c r="F2632" i="2"/>
  <c r="N2632" i="2"/>
  <c r="P2632" i="2"/>
  <c r="AW2632" i="2"/>
  <c r="Q2632" i="2"/>
  <c r="AX2632" i="2"/>
  <c r="F2633" i="2"/>
  <c r="P2633" i="2"/>
  <c r="AW2633" i="2"/>
  <c r="Q2633" i="2"/>
  <c r="AX2633" i="2"/>
  <c r="F2634" i="2"/>
  <c r="P2634" i="2"/>
  <c r="AW2634" i="2"/>
  <c r="Q2634" i="2"/>
  <c r="AX2634" i="2"/>
  <c r="G2635" i="2"/>
  <c r="O2635" i="2"/>
  <c r="J2635" i="2"/>
  <c r="R2635" i="2"/>
  <c r="AY2635" i="2"/>
  <c r="K2635" i="2"/>
  <c r="S2635" i="2"/>
  <c r="AZ2635" i="2"/>
  <c r="L2635" i="2"/>
  <c r="T2635" i="2"/>
  <c r="M2635" i="2"/>
  <c r="N2635" i="2"/>
  <c r="P2635" i="2"/>
  <c r="AW2635" i="2"/>
  <c r="Q2635" i="2"/>
  <c r="AX2635" i="2"/>
  <c r="AP2635" i="2"/>
  <c r="AS2635" i="2"/>
  <c r="F2636" i="2"/>
  <c r="P2636" i="2"/>
  <c r="AW2636" i="2"/>
  <c r="Q2636" i="2"/>
  <c r="AX2636" i="2"/>
  <c r="F2637" i="2"/>
  <c r="P2637" i="2"/>
  <c r="AW2637" i="2"/>
  <c r="Q2637" i="2"/>
  <c r="AX2637" i="2"/>
  <c r="F2638" i="2"/>
  <c r="M2638" i="2"/>
  <c r="P2638" i="2"/>
  <c r="AW2638" i="2"/>
  <c r="Q2638" i="2"/>
  <c r="AX2638" i="2"/>
  <c r="G2639" i="2"/>
  <c r="O2639" i="2"/>
  <c r="J2639" i="2"/>
  <c r="R2639" i="2"/>
  <c r="AY2639" i="2"/>
  <c r="K2639" i="2"/>
  <c r="L2639" i="2"/>
  <c r="T2639" i="2"/>
  <c r="M2639" i="2"/>
  <c r="N2639" i="2"/>
  <c r="P2639" i="2"/>
  <c r="AW2639" i="2"/>
  <c r="Q2639" i="2"/>
  <c r="AX2639" i="2"/>
  <c r="S2639" i="2"/>
  <c r="AZ2639" i="2"/>
  <c r="AP2639" i="2"/>
  <c r="AS2639" i="2"/>
  <c r="F2640" i="2"/>
  <c r="P2640" i="2"/>
  <c r="AW2640" i="2"/>
  <c r="Q2640" i="2"/>
  <c r="AX2640" i="2"/>
  <c r="F2641" i="2"/>
  <c r="P2641" i="2"/>
  <c r="AW2641" i="2"/>
  <c r="Q2641" i="2"/>
  <c r="AX2641" i="2"/>
  <c r="F2642" i="2"/>
  <c r="J2642" i="2"/>
  <c r="R2642" i="2"/>
  <c r="AY2642" i="2"/>
  <c r="P2642" i="2"/>
  <c r="AW2642" i="2"/>
  <c r="Q2642" i="2"/>
  <c r="AX2642" i="2"/>
  <c r="F2643" i="2"/>
  <c r="K2643" i="2"/>
  <c r="P2643" i="2"/>
  <c r="R2643" i="2"/>
  <c r="F2644" i="2"/>
  <c r="O2644" i="2"/>
  <c r="G2645" i="2"/>
  <c r="J2645" i="2"/>
  <c r="K2645" i="2"/>
  <c r="L2645" i="2"/>
  <c r="M2645" i="2"/>
  <c r="N2645" i="2"/>
  <c r="O2645" i="2"/>
  <c r="P2645" i="2"/>
  <c r="Q2645" i="2"/>
  <c r="R2645" i="2"/>
  <c r="S2645" i="2"/>
  <c r="T2645" i="2"/>
  <c r="AP2645" i="2"/>
  <c r="AS2645" i="2"/>
  <c r="AW2645" i="2"/>
  <c r="AX2645" i="2"/>
  <c r="AY2645" i="2"/>
  <c r="AZ2645" i="2"/>
  <c r="F2646" i="2"/>
  <c r="R2646" i="2"/>
  <c r="AY2646" i="2"/>
  <c r="F2647" i="2"/>
  <c r="P2647" i="2"/>
  <c r="F2648" i="2"/>
  <c r="J2648" i="2"/>
  <c r="G2649" i="2"/>
  <c r="J2649" i="2"/>
  <c r="K2649" i="2"/>
  <c r="L2649" i="2"/>
  <c r="M2649" i="2"/>
  <c r="N2649" i="2"/>
  <c r="O2649" i="2"/>
  <c r="P2649" i="2"/>
  <c r="Q2649" i="2"/>
  <c r="R2649" i="2"/>
  <c r="S2649" i="2"/>
  <c r="T2649" i="2"/>
  <c r="AP2649" i="2"/>
  <c r="AS2649" i="2"/>
  <c r="AW2649" i="2"/>
  <c r="AX2649" i="2"/>
  <c r="AY2649" i="2"/>
  <c r="AZ2649" i="2"/>
  <c r="F2650" i="2"/>
  <c r="T2650" i="2"/>
  <c r="F2651" i="2"/>
  <c r="M2651" i="2"/>
  <c r="O2651" i="2"/>
  <c r="AS2651" i="2"/>
  <c r="AW2651" i="2"/>
  <c r="F2652" i="2"/>
  <c r="G2652" i="2"/>
  <c r="G2653" i="2"/>
  <c r="J2653" i="2"/>
  <c r="K2653" i="2"/>
  <c r="L2653" i="2"/>
  <c r="M2653" i="2"/>
  <c r="N2653" i="2"/>
  <c r="O2653" i="2"/>
  <c r="P2653" i="2"/>
  <c r="Q2653" i="2"/>
  <c r="R2653" i="2"/>
  <c r="S2653" i="2"/>
  <c r="T2653" i="2"/>
  <c r="AP2653" i="2"/>
  <c r="AS2653" i="2"/>
  <c r="AW2653" i="2"/>
  <c r="AX2653" i="2"/>
  <c r="AY2653" i="2"/>
  <c r="AZ2653" i="2"/>
  <c r="F2654" i="2"/>
  <c r="L2654" i="2"/>
  <c r="O2654" i="2"/>
  <c r="P2654" i="2"/>
  <c r="AX2654" i="2"/>
  <c r="AY2654" i="2"/>
  <c r="AZ2654" i="2"/>
  <c r="F2655" i="2"/>
  <c r="AW2655" i="2"/>
  <c r="L2655" i="2"/>
  <c r="AY2655" i="2"/>
  <c r="F2656" i="2"/>
  <c r="J2656" i="2"/>
  <c r="F2657" i="2"/>
  <c r="K2657" i="2"/>
  <c r="F2658" i="2"/>
  <c r="N2658" i="2"/>
  <c r="S2658" i="2"/>
  <c r="AS2658" i="2"/>
  <c r="G2659" i="2"/>
  <c r="J2659" i="2"/>
  <c r="K2659" i="2"/>
  <c r="L2659" i="2"/>
  <c r="M2659" i="2"/>
  <c r="N2659" i="2"/>
  <c r="O2659" i="2"/>
  <c r="P2659" i="2"/>
  <c r="Q2659" i="2"/>
  <c r="R2659" i="2"/>
  <c r="S2659" i="2"/>
  <c r="T2659" i="2"/>
  <c r="AP2659" i="2"/>
  <c r="AS2659" i="2"/>
  <c r="AW2659" i="2"/>
  <c r="AX2659" i="2"/>
  <c r="AY2659" i="2"/>
  <c r="AZ2659" i="2"/>
  <c r="F2660" i="2"/>
  <c r="K2660" i="2"/>
  <c r="F2661" i="2"/>
  <c r="K2661" i="2"/>
  <c r="AW2661" i="2"/>
  <c r="AY2661" i="2"/>
  <c r="F2662" i="2"/>
  <c r="AX2662" i="2"/>
  <c r="G2663" i="2"/>
  <c r="J2663" i="2"/>
  <c r="K2663" i="2"/>
  <c r="L2663" i="2"/>
  <c r="M2663" i="2"/>
  <c r="N2663" i="2"/>
  <c r="O2663" i="2"/>
  <c r="P2663" i="2"/>
  <c r="Q2663" i="2"/>
  <c r="R2663" i="2"/>
  <c r="S2663" i="2"/>
  <c r="T2663" i="2"/>
  <c r="AP2663" i="2"/>
  <c r="AS2663" i="2"/>
  <c r="AW2663" i="2"/>
  <c r="AX2663" i="2"/>
  <c r="AY2663" i="2"/>
  <c r="AZ2663" i="2"/>
  <c r="F2664" i="2"/>
  <c r="G2664" i="2"/>
  <c r="F2665" i="2"/>
  <c r="J2665" i="2"/>
  <c r="F2666" i="2"/>
  <c r="G2666" i="2"/>
  <c r="G2667" i="2"/>
  <c r="J2667" i="2"/>
  <c r="K2667" i="2"/>
  <c r="L2667" i="2"/>
  <c r="M2667" i="2"/>
  <c r="N2667" i="2"/>
  <c r="O2667" i="2"/>
  <c r="P2667" i="2"/>
  <c r="Q2667" i="2"/>
  <c r="R2667" i="2"/>
  <c r="S2667" i="2"/>
  <c r="T2667" i="2"/>
  <c r="AP2667" i="2"/>
  <c r="AS2667" i="2"/>
  <c r="AW2667" i="2"/>
  <c r="AX2667" i="2"/>
  <c r="AY2667" i="2"/>
  <c r="AZ2667" i="2"/>
  <c r="F2668" i="2"/>
  <c r="L2668" i="2"/>
  <c r="F2669" i="2"/>
  <c r="P2669" i="2"/>
  <c r="F2670" i="2"/>
  <c r="F2671" i="2"/>
  <c r="G2671" i="2"/>
  <c r="F2672" i="2"/>
  <c r="O2672" i="2"/>
  <c r="G2673" i="2"/>
  <c r="J2673" i="2"/>
  <c r="K2673" i="2"/>
  <c r="L2673" i="2"/>
  <c r="M2673" i="2"/>
  <c r="N2673" i="2"/>
  <c r="O2673" i="2"/>
  <c r="P2673" i="2"/>
  <c r="Q2673" i="2"/>
  <c r="R2673" i="2"/>
  <c r="S2673" i="2"/>
  <c r="T2673" i="2"/>
  <c r="AP2673" i="2"/>
  <c r="AS2673" i="2"/>
  <c r="AW2673" i="2"/>
  <c r="AX2673" i="2"/>
  <c r="AY2673" i="2"/>
  <c r="AZ2673" i="2"/>
  <c r="F2674" i="2"/>
  <c r="L2674" i="2"/>
  <c r="F2675" i="2"/>
  <c r="F2676" i="2"/>
  <c r="N2676" i="2"/>
  <c r="G2677" i="2"/>
  <c r="J2677" i="2"/>
  <c r="K2677" i="2"/>
  <c r="L2677" i="2"/>
  <c r="M2677" i="2"/>
  <c r="N2677" i="2"/>
  <c r="O2677" i="2"/>
  <c r="P2677" i="2"/>
  <c r="Q2677" i="2"/>
  <c r="R2677" i="2"/>
  <c r="S2677" i="2"/>
  <c r="T2677" i="2"/>
  <c r="AP2677" i="2"/>
  <c r="AS2677" i="2"/>
  <c r="AW2677" i="2"/>
  <c r="AX2677" i="2"/>
  <c r="AY2677" i="2"/>
  <c r="AZ2677" i="2"/>
  <c r="F2678" i="2"/>
  <c r="AS2678" i="2"/>
  <c r="F2679" i="2"/>
  <c r="J2679" i="2"/>
  <c r="F2680" i="2"/>
  <c r="K2680" i="2"/>
  <c r="G2681" i="2"/>
  <c r="J2681" i="2"/>
  <c r="K2681" i="2"/>
  <c r="L2681" i="2"/>
  <c r="M2681" i="2"/>
  <c r="N2681" i="2"/>
  <c r="O2681" i="2"/>
  <c r="P2681" i="2"/>
  <c r="Q2681" i="2"/>
  <c r="R2681" i="2"/>
  <c r="S2681" i="2"/>
  <c r="T2681" i="2"/>
  <c r="AP2681" i="2"/>
  <c r="AS2681" i="2"/>
  <c r="AW2681" i="2"/>
  <c r="AX2681" i="2"/>
  <c r="AY2681" i="2"/>
  <c r="AZ2681" i="2"/>
  <c r="G2682" i="2"/>
  <c r="J2682" i="2"/>
  <c r="K2682" i="2"/>
  <c r="L2682" i="2"/>
  <c r="M2682" i="2"/>
  <c r="N2682" i="2"/>
  <c r="O2682" i="2"/>
  <c r="P2682" i="2"/>
  <c r="Q2682" i="2"/>
  <c r="R2682" i="2"/>
  <c r="S2682" i="2"/>
  <c r="T2682" i="2"/>
  <c r="AP2682" i="2"/>
  <c r="AS2682" i="2"/>
  <c r="AW2682" i="2"/>
  <c r="AX2682" i="2"/>
  <c r="AY2682" i="2"/>
  <c r="AZ2682" i="2"/>
  <c r="G2683" i="2"/>
  <c r="J2683" i="2"/>
  <c r="K2683" i="2"/>
  <c r="L2683" i="2"/>
  <c r="M2683" i="2"/>
  <c r="N2683" i="2"/>
  <c r="O2683" i="2"/>
  <c r="P2683" i="2"/>
  <c r="Q2683" i="2"/>
  <c r="R2683" i="2"/>
  <c r="S2683" i="2"/>
  <c r="T2683" i="2"/>
  <c r="AP2683" i="2"/>
  <c r="AS2683" i="2"/>
  <c r="AW2683" i="2"/>
  <c r="AX2683" i="2"/>
  <c r="AY2683" i="2"/>
  <c r="AZ2683" i="2"/>
  <c r="G2684" i="2"/>
  <c r="J2684" i="2"/>
  <c r="K2684" i="2"/>
  <c r="L2684" i="2"/>
  <c r="M2684" i="2"/>
  <c r="N2684" i="2"/>
  <c r="O2684" i="2"/>
  <c r="P2684" i="2"/>
  <c r="Q2684" i="2"/>
  <c r="R2684" i="2"/>
  <c r="S2684" i="2"/>
  <c r="T2684" i="2"/>
  <c r="AP2684" i="2"/>
  <c r="AS2684" i="2"/>
  <c r="AW2684" i="2"/>
  <c r="AX2684" i="2"/>
  <c r="AY2684" i="2"/>
  <c r="AZ2684" i="2"/>
  <c r="F2685" i="2"/>
  <c r="O2685" i="2"/>
  <c r="F2686" i="2"/>
  <c r="AZ2686" i="2"/>
  <c r="G2687" i="2"/>
  <c r="J2687" i="2"/>
  <c r="K2687" i="2"/>
  <c r="L2687" i="2"/>
  <c r="M2687" i="2"/>
  <c r="N2687" i="2"/>
  <c r="O2687" i="2"/>
  <c r="P2687" i="2"/>
  <c r="Q2687" i="2"/>
  <c r="R2687" i="2"/>
  <c r="S2687" i="2"/>
  <c r="T2687" i="2"/>
  <c r="AP2687" i="2"/>
  <c r="AS2687" i="2"/>
  <c r="AW2687" i="2"/>
  <c r="AX2687" i="2"/>
  <c r="AY2687" i="2"/>
  <c r="AZ2687" i="2"/>
  <c r="F2688" i="2"/>
  <c r="G2688" i="2"/>
  <c r="F2689" i="2"/>
  <c r="F2690" i="2"/>
  <c r="K2690" i="2"/>
  <c r="G2691" i="2"/>
  <c r="J2691" i="2"/>
  <c r="K2691" i="2"/>
  <c r="L2691" i="2"/>
  <c r="M2691" i="2"/>
  <c r="N2691" i="2"/>
  <c r="O2691" i="2"/>
  <c r="P2691" i="2"/>
  <c r="Q2691" i="2"/>
  <c r="R2691" i="2"/>
  <c r="S2691" i="2"/>
  <c r="T2691" i="2"/>
  <c r="AP2691" i="2"/>
  <c r="AS2691" i="2"/>
  <c r="AW2691" i="2"/>
  <c r="AX2691" i="2"/>
  <c r="AY2691" i="2"/>
  <c r="AZ2691" i="2"/>
  <c r="F2692" i="2"/>
  <c r="J2692" i="2"/>
  <c r="F2693" i="2"/>
  <c r="M2693" i="2"/>
  <c r="Q2693" i="2"/>
  <c r="AX2693" i="2"/>
  <c r="AY2693" i="2"/>
  <c r="AZ2693" i="2"/>
  <c r="F2694" i="2"/>
  <c r="J2694" i="2"/>
  <c r="G2695" i="2"/>
  <c r="J2695" i="2"/>
  <c r="K2695" i="2"/>
  <c r="L2695" i="2"/>
  <c r="M2695" i="2"/>
  <c r="N2695" i="2"/>
  <c r="O2695" i="2"/>
  <c r="P2695" i="2"/>
  <c r="Q2695" i="2"/>
  <c r="R2695" i="2"/>
  <c r="S2695" i="2"/>
  <c r="T2695" i="2"/>
  <c r="AP2695" i="2"/>
  <c r="AS2695" i="2"/>
  <c r="AW2695" i="2"/>
  <c r="AX2695" i="2"/>
  <c r="AY2695" i="2"/>
  <c r="AZ2695" i="2"/>
  <c r="F2696" i="2"/>
  <c r="M2696" i="2"/>
  <c r="F2697" i="2"/>
  <c r="J2697" i="2"/>
  <c r="F2698" i="2"/>
  <c r="N2698" i="2"/>
  <c r="F2699" i="2"/>
  <c r="K2699" i="2"/>
  <c r="F2700" i="2"/>
  <c r="K2700" i="2"/>
  <c r="M2700" i="2"/>
  <c r="N2700" i="2"/>
  <c r="P2700" i="2"/>
  <c r="AP2700" i="2"/>
  <c r="AS2700" i="2"/>
  <c r="G2701" i="2"/>
  <c r="J2701" i="2"/>
  <c r="K2701" i="2"/>
  <c r="L2701" i="2"/>
  <c r="M2701" i="2"/>
  <c r="N2701" i="2"/>
  <c r="O2701" i="2"/>
  <c r="P2701" i="2"/>
  <c r="Q2701" i="2"/>
  <c r="R2701" i="2"/>
  <c r="S2701" i="2"/>
  <c r="T2701" i="2"/>
  <c r="AP2701" i="2"/>
  <c r="AS2701" i="2"/>
  <c r="AW2701" i="2"/>
  <c r="AX2701" i="2"/>
  <c r="AY2701" i="2"/>
  <c r="AZ2701" i="2"/>
  <c r="F2702" i="2"/>
  <c r="K2702" i="2"/>
  <c r="F2703" i="2"/>
  <c r="G2703" i="2"/>
  <c r="F2704" i="2"/>
  <c r="K2704" i="2"/>
  <c r="G2705" i="2"/>
  <c r="J2705" i="2"/>
  <c r="K2705" i="2"/>
  <c r="L2705" i="2"/>
  <c r="M2705" i="2"/>
  <c r="N2705" i="2"/>
  <c r="O2705" i="2"/>
  <c r="P2705" i="2"/>
  <c r="Q2705" i="2"/>
  <c r="R2705" i="2"/>
  <c r="S2705" i="2"/>
  <c r="T2705" i="2"/>
  <c r="AP2705" i="2"/>
  <c r="AS2705" i="2"/>
  <c r="AW2705" i="2"/>
  <c r="AX2705" i="2"/>
  <c r="AY2705" i="2"/>
  <c r="AZ2705" i="2"/>
  <c r="F2706" i="2"/>
  <c r="AP2706" i="2"/>
  <c r="F2707" i="2"/>
  <c r="M2707" i="2"/>
  <c r="F2708" i="2"/>
  <c r="J2708" i="2"/>
  <c r="G2709" i="2"/>
  <c r="J2709" i="2"/>
  <c r="K2709" i="2"/>
  <c r="L2709" i="2"/>
  <c r="M2709" i="2"/>
  <c r="N2709" i="2"/>
  <c r="O2709" i="2"/>
  <c r="P2709" i="2"/>
  <c r="Q2709" i="2"/>
  <c r="R2709" i="2"/>
  <c r="S2709" i="2"/>
  <c r="T2709" i="2"/>
  <c r="AP2709" i="2"/>
  <c r="AS2709" i="2"/>
  <c r="AW2709" i="2"/>
  <c r="AX2709" i="2"/>
  <c r="AY2709" i="2"/>
  <c r="AZ2709" i="2"/>
  <c r="F2710" i="2"/>
  <c r="M2710" i="2"/>
  <c r="F2711" i="2"/>
  <c r="J2711" i="2"/>
  <c r="F2712" i="2"/>
  <c r="G2712" i="2"/>
  <c r="P2712" i="2"/>
  <c r="AP2712" i="2"/>
  <c r="AW2712" i="2"/>
  <c r="AX2712" i="2"/>
  <c r="AY2712" i="2"/>
  <c r="AZ2712" i="2"/>
  <c r="F2713" i="2"/>
  <c r="M2713" i="2"/>
  <c r="G2713" i="2"/>
  <c r="F2714" i="2"/>
  <c r="R2714" i="2"/>
  <c r="P2714" i="2"/>
  <c r="I437" i="9"/>
  <c r="I436" i="9"/>
  <c r="I435" i="9"/>
  <c r="I434" i="9"/>
  <c r="BE2719" i="2"/>
  <c r="BE2722" i="2"/>
  <c r="BE2725" i="2"/>
  <c r="BD2719" i="2"/>
  <c r="BD2722" i="2"/>
  <c r="BD2725" i="2"/>
  <c r="BC2719" i="2"/>
  <c r="BC2722" i="2"/>
  <c r="BC2725" i="2"/>
  <c r="BB2719" i="2"/>
  <c r="BB2722" i="2"/>
  <c r="BB2725" i="2"/>
  <c r="BA2719" i="2"/>
  <c r="BA2722" i="2"/>
  <c r="BA2725" i="2"/>
  <c r="AZ2719" i="2"/>
  <c r="AZ2722" i="2"/>
  <c r="AY2719" i="2"/>
  <c r="AX2719" i="2"/>
  <c r="AW2719" i="2"/>
  <c r="AV2719" i="2"/>
  <c r="AV2722" i="2"/>
  <c r="AV2725" i="2"/>
  <c r="AU2719" i="2"/>
  <c r="AU2722" i="2"/>
  <c r="AU2725" i="2"/>
  <c r="AT2719" i="2"/>
  <c r="AT2722" i="2"/>
  <c r="AT2725" i="2"/>
  <c r="AS2719" i="2"/>
  <c r="AR2719" i="2"/>
  <c r="AR2722" i="2"/>
  <c r="AR2725" i="2"/>
  <c r="AQ2719" i="2"/>
  <c r="AQ2722" i="2"/>
  <c r="AQ2725" i="2"/>
  <c r="AP2719" i="2"/>
  <c r="AO2719" i="2"/>
  <c r="AO2722" i="2"/>
  <c r="AO2725" i="2"/>
  <c r="AN2719" i="2"/>
  <c r="AN2722" i="2"/>
  <c r="AN2725" i="2"/>
  <c r="AM2719" i="2"/>
  <c r="AM2722" i="2"/>
  <c r="AM2725" i="2"/>
  <c r="AL2719" i="2"/>
  <c r="AL2722" i="2"/>
  <c r="AL2725" i="2"/>
  <c r="AK2719" i="2"/>
  <c r="AK2722" i="2"/>
  <c r="AK2725" i="2"/>
  <c r="AJ2719" i="2"/>
  <c r="AJ2722" i="2"/>
  <c r="AJ2725" i="2"/>
  <c r="AI2719" i="2"/>
  <c r="AI2722" i="2"/>
  <c r="AI2725" i="2"/>
  <c r="AH2719" i="2"/>
  <c r="AH2722" i="2"/>
  <c r="AH2725" i="2"/>
  <c r="AG2719" i="2"/>
  <c r="AG2722" i="2"/>
  <c r="AG2725" i="2"/>
  <c r="AF2719" i="2"/>
  <c r="AF2722" i="2"/>
  <c r="AF2725" i="2"/>
  <c r="AE2719" i="2"/>
  <c r="AE2722" i="2"/>
  <c r="AE2725" i="2"/>
  <c r="AD2719" i="2"/>
  <c r="AD2722" i="2"/>
  <c r="AD2725" i="2"/>
  <c r="AC2719" i="2"/>
  <c r="AC2722" i="2"/>
  <c r="AC2725" i="2"/>
  <c r="AB2719" i="2"/>
  <c r="AB2722" i="2"/>
  <c r="AB2725" i="2"/>
  <c r="AA2719" i="2"/>
  <c r="AA2722" i="2"/>
  <c r="AA2725" i="2"/>
  <c r="Z2719" i="2"/>
  <c r="Z2722" i="2"/>
  <c r="Z2725" i="2"/>
  <c r="Y2719" i="2"/>
  <c r="Y2722" i="2"/>
  <c r="Y2725" i="2"/>
  <c r="X2719" i="2"/>
  <c r="X2722" i="2"/>
  <c r="X2725" i="2"/>
  <c r="W2719" i="2"/>
  <c r="W2722" i="2"/>
  <c r="W2725" i="2"/>
  <c r="V2719" i="2"/>
  <c r="V2722" i="2"/>
  <c r="V2725" i="2"/>
  <c r="U2719" i="2"/>
  <c r="U2722" i="2"/>
  <c r="U2725" i="2"/>
  <c r="T2719" i="2"/>
  <c r="S2719" i="2"/>
  <c r="R2719" i="2"/>
  <c r="R2722" i="2"/>
  <c r="Q2719" i="2"/>
  <c r="P2719" i="2"/>
  <c r="O2719" i="2"/>
  <c r="N2719" i="2"/>
  <c r="N2722" i="2"/>
  <c r="M2719" i="2"/>
  <c r="K2719" i="2"/>
  <c r="L2719" i="2"/>
  <c r="J2719" i="2"/>
  <c r="G2719" i="2"/>
  <c r="H2745" i="2"/>
  <c r="AD103" i="4"/>
  <c r="AD100" i="4"/>
  <c r="AD92" i="4"/>
  <c r="AD87" i="4"/>
  <c r="AD84" i="4"/>
  <c r="AD76" i="4"/>
  <c r="AD68" i="4"/>
  <c r="AD63" i="4"/>
  <c r="AD60" i="4"/>
  <c r="AD53" i="4"/>
  <c r="AD52" i="4"/>
  <c r="AD45" i="4"/>
  <c r="AD44" i="4"/>
  <c r="Z92" i="4"/>
  <c r="Z84" i="4"/>
  <c r="Z77" i="4"/>
  <c r="Z76" i="4"/>
  <c r="Z71" i="4"/>
  <c r="Z52" i="4"/>
  <c r="Z44" i="4"/>
  <c r="I123" i="9"/>
  <c r="I122" i="9"/>
  <c r="I121" i="9"/>
  <c r="I120" i="9"/>
  <c r="I119" i="9"/>
  <c r="I328" i="9"/>
  <c r="I117" i="9"/>
  <c r="I116" i="9"/>
  <c r="Z122" i="3"/>
  <c r="AC120" i="3"/>
  <c r="AC122" i="3"/>
  <c r="AC125" i="3"/>
  <c r="Z111" i="3"/>
  <c r="AC116" i="3"/>
  <c r="Z115" i="3"/>
  <c r="AW2693" i="2"/>
  <c r="AX2661" i="2"/>
  <c r="P2693" i="2"/>
  <c r="AS2671" i="2"/>
  <c r="AP2661" i="2"/>
  <c r="S2661" i="2"/>
  <c r="AX2713" i="2"/>
  <c r="AX2708" i="2"/>
  <c r="Q2713" i="2"/>
  <c r="R2712" i="2"/>
  <c r="AW2708" i="2"/>
  <c r="AY2685" i="2"/>
  <c r="O2712" i="2"/>
  <c r="T2671" i="2"/>
  <c r="S2669" i="2"/>
  <c r="AS2661" i="2"/>
  <c r="L2651" i="2"/>
  <c r="AP2671" i="2"/>
  <c r="G2693" i="2"/>
  <c r="S2671" i="2"/>
  <c r="AW2713" i="2"/>
  <c r="AS2712" i="2"/>
  <c r="P2711" i="2"/>
  <c r="AZ2698" i="2"/>
  <c r="AZ2671" i="2"/>
  <c r="R2671" i="2"/>
  <c r="T2668" i="2"/>
  <c r="AX2698" i="2"/>
  <c r="AY2671" i="2"/>
  <c r="P2671" i="2"/>
  <c r="K2668" i="2"/>
  <c r="O2661" i="2"/>
  <c r="AX2644" i="2"/>
  <c r="T2712" i="2"/>
  <c r="T2698" i="2"/>
  <c r="AX2671" i="2"/>
  <c r="L2671" i="2"/>
  <c r="AS2656" i="2"/>
  <c r="AW2644" i="2"/>
  <c r="S2712" i="2"/>
  <c r="AX2674" i="2"/>
  <c r="AW2671" i="2"/>
  <c r="J2671" i="2"/>
  <c r="AP2656" i="2"/>
  <c r="P2644" i="2"/>
  <c r="M2634" i="2"/>
  <c r="G2634" i="2"/>
  <c r="O2634" i="2"/>
  <c r="M2722" i="2"/>
  <c r="AS2722" i="2"/>
  <c r="R2713" i="2"/>
  <c r="AP2698" i="2"/>
  <c r="AY2696" i="2"/>
  <c r="L2676" i="2"/>
  <c r="AX2651" i="2"/>
  <c r="J2634" i="2"/>
  <c r="R2634" i="2"/>
  <c r="AY2634" i="2"/>
  <c r="O2722" i="2"/>
  <c r="P2713" i="2"/>
  <c r="S2698" i="2"/>
  <c r="G2651" i="2"/>
  <c r="J2651" i="2"/>
  <c r="T2651" i="2"/>
  <c r="R2651" i="2"/>
  <c r="AZ2651" i="2"/>
  <c r="P2722" i="2"/>
  <c r="AZ2713" i="2"/>
  <c r="O2713" i="2"/>
  <c r="G2700" i="2"/>
  <c r="S2700" i="2"/>
  <c r="P2698" i="2"/>
  <c r="N2655" i="2"/>
  <c r="AX2655" i="2"/>
  <c r="AS2655" i="2"/>
  <c r="G2654" i="2"/>
  <c r="AP2654" i="2"/>
  <c r="R2654" i="2"/>
  <c r="AP2651" i="2"/>
  <c r="G2722" i="2"/>
  <c r="Q2722" i="2"/>
  <c r="AW2722" i="2"/>
  <c r="AY2713" i="2"/>
  <c r="L2713" i="2"/>
  <c r="AX2700" i="2"/>
  <c r="AY2660" i="2"/>
  <c r="S2651" i="2"/>
  <c r="M2650" i="2"/>
  <c r="AP2650" i="2"/>
  <c r="G2643" i="2"/>
  <c r="Q2643" i="2"/>
  <c r="J2633" i="2"/>
  <c r="R2633" i="2"/>
  <c r="AY2633" i="2"/>
  <c r="N2633" i="2"/>
  <c r="J2722" i="2"/>
  <c r="R2725" i="2"/>
  <c r="AP2722" i="2"/>
  <c r="AX2722" i="2"/>
  <c r="O2698" i="2"/>
  <c r="G2698" i="2"/>
  <c r="AY2698" i="2"/>
  <c r="J2666" i="2"/>
  <c r="AX2660" i="2"/>
  <c r="P2651" i="2"/>
  <c r="N2725" i="2"/>
  <c r="L2722" i="2"/>
  <c r="S2722" i="2"/>
  <c r="AY2722" i="2"/>
  <c r="AS2676" i="2"/>
  <c r="K2722" i="2"/>
  <c r="T2722" i="2"/>
  <c r="AZ2725" i="2"/>
  <c r="T2713" i="2"/>
  <c r="AS2698" i="2"/>
  <c r="AZ2696" i="2"/>
  <c r="AP2676" i="2"/>
  <c r="S2654" i="2"/>
  <c r="AY2651" i="2"/>
  <c r="N2651" i="2"/>
  <c r="Q2661" i="2"/>
  <c r="I331" i="9"/>
  <c r="I330" i="9"/>
  <c r="I332" i="9"/>
  <c r="I438" i="9"/>
  <c r="I118" i="9"/>
  <c r="I333" i="9"/>
  <c r="I431" i="9"/>
  <c r="I326" i="9"/>
  <c r="I432" i="9"/>
  <c r="I327" i="9"/>
  <c r="I433" i="9"/>
  <c r="AX2685" i="2"/>
  <c r="L2712" i="2"/>
  <c r="AY2688" i="2"/>
  <c r="AW2685" i="2"/>
  <c r="T2676" i="2"/>
  <c r="T2660" i="2"/>
  <c r="M2658" i="2"/>
  <c r="M2656" i="2"/>
  <c r="T2655" i="2"/>
  <c r="AW2654" i="2"/>
  <c r="N2654" i="2"/>
  <c r="R2652" i="2"/>
  <c r="R2650" i="2"/>
  <c r="Q2646" i="2"/>
  <c r="N2644" i="2"/>
  <c r="O2708" i="2"/>
  <c r="AX2696" i="2"/>
  <c r="AW2688" i="2"/>
  <c r="AS2685" i="2"/>
  <c r="AW2679" i="2"/>
  <c r="S2676" i="2"/>
  <c r="AZ2674" i="2"/>
  <c r="Q2671" i="2"/>
  <c r="AY2664" i="2"/>
  <c r="P2661" i="2"/>
  <c r="J2660" i="2"/>
  <c r="K2658" i="2"/>
  <c r="K2656" i="2"/>
  <c r="R2655" i="2"/>
  <c r="AS2654" i="2"/>
  <c r="M2654" i="2"/>
  <c r="Q2652" i="2"/>
  <c r="K2651" i="2"/>
  <c r="P2650" i="2"/>
  <c r="G2646" i="2"/>
  <c r="M2644" i="2"/>
  <c r="AP2642" i="2"/>
  <c r="AY2697" i="2"/>
  <c r="AW2696" i="2"/>
  <c r="AP2685" i="2"/>
  <c r="AS2679" i="2"/>
  <c r="AZ2676" i="2"/>
  <c r="R2676" i="2"/>
  <c r="AX2664" i="2"/>
  <c r="AS2697" i="2"/>
  <c r="P2696" i="2"/>
  <c r="P2685" i="2"/>
  <c r="T2679" i="2"/>
  <c r="AY2676" i="2"/>
  <c r="Q2676" i="2"/>
  <c r="K2674" i="2"/>
  <c r="O2671" i="2"/>
  <c r="AW2666" i="2"/>
  <c r="AP2664" i="2"/>
  <c r="N2661" i="2"/>
  <c r="AZ2655" i="2"/>
  <c r="G2655" i="2"/>
  <c r="T2654" i="2"/>
  <c r="K2654" i="2"/>
  <c r="AZ2643" i="2"/>
  <c r="AX2714" i="2"/>
  <c r="AX2706" i="2"/>
  <c r="AP2697" i="2"/>
  <c r="O2696" i="2"/>
  <c r="AX2690" i="2"/>
  <c r="N2685" i="2"/>
  <c r="O2679" i="2"/>
  <c r="AX2676" i="2"/>
  <c r="P2676" i="2"/>
  <c r="N2671" i="2"/>
  <c r="AP2666" i="2"/>
  <c r="S2664" i="2"/>
  <c r="G2661" i="2"/>
  <c r="AX2656" i="2"/>
  <c r="J2654" i="2"/>
  <c r="AW2650" i="2"/>
  <c r="Q2712" i="2"/>
  <c r="Q2697" i="2"/>
  <c r="AP2690" i="2"/>
  <c r="K2685" i="2"/>
  <c r="M2679" i="2"/>
  <c r="AW2676" i="2"/>
  <c r="M2676" i="2"/>
  <c r="M2671" i="2"/>
  <c r="AP2668" i="2"/>
  <c r="R2666" i="2"/>
  <c r="P2664" i="2"/>
  <c r="AW2658" i="2"/>
  <c r="AW2656" i="2"/>
  <c r="AS2650" i="2"/>
  <c r="AX2703" i="2"/>
  <c r="M2698" i="2"/>
  <c r="T2697" i="2"/>
  <c r="J2696" i="2"/>
  <c r="AP2694" i="2"/>
  <c r="O2693" i="2"/>
  <c r="S2690" i="2"/>
  <c r="AP2679" i="2"/>
  <c r="K2679" i="2"/>
  <c r="AY2674" i="2"/>
  <c r="G2674" i="2"/>
  <c r="T2672" i="2"/>
  <c r="M2668" i="2"/>
  <c r="Q2664" i="2"/>
  <c r="AS2660" i="2"/>
  <c r="G2660" i="2"/>
  <c r="AP2658" i="2"/>
  <c r="G2658" i="2"/>
  <c r="AY2648" i="2"/>
  <c r="N2712" i="2"/>
  <c r="R2710" i="2"/>
  <c r="AS2703" i="2"/>
  <c r="T2694" i="2"/>
  <c r="R2690" i="2"/>
  <c r="R2672" i="2"/>
  <c r="M2712" i="2"/>
  <c r="K2710" i="2"/>
  <c r="AP2703" i="2"/>
  <c r="P2697" i="2"/>
  <c r="Q2694" i="2"/>
  <c r="Q2690" i="2"/>
  <c r="S2679" i="2"/>
  <c r="R2678" i="2"/>
  <c r="AW2674" i="2"/>
  <c r="P2672" i="2"/>
  <c r="J2668" i="2"/>
  <c r="N2664" i="2"/>
  <c r="M2661" i="2"/>
  <c r="S2660" i="2"/>
  <c r="Q2658" i="2"/>
  <c r="T2656" i="2"/>
  <c r="AX2647" i="2"/>
  <c r="J2643" i="2"/>
  <c r="H628" i="9"/>
  <c r="S2703" i="2"/>
  <c r="O2697" i="2"/>
  <c r="T2696" i="2"/>
  <c r="P2694" i="2"/>
  <c r="M2690" i="2"/>
  <c r="AZ2679" i="2"/>
  <c r="R2679" i="2"/>
  <c r="K2676" i="2"/>
  <c r="AS2674" i="2"/>
  <c r="N2672" i="2"/>
  <c r="R2660" i="2"/>
  <c r="P2658" i="2"/>
  <c r="S2656" i="2"/>
  <c r="AW2647" i="2"/>
  <c r="AS2694" i="2"/>
  <c r="K2712" i="2"/>
  <c r="P2703" i="2"/>
  <c r="R2698" i="2"/>
  <c r="AX2697" i="2"/>
  <c r="M2697" i="2"/>
  <c r="R2696" i="2"/>
  <c r="AY2694" i="2"/>
  <c r="N2694" i="2"/>
  <c r="T2693" i="2"/>
  <c r="J2690" i="2"/>
  <c r="S2685" i="2"/>
  <c r="AY2679" i="2"/>
  <c r="Q2679" i="2"/>
  <c r="J2676" i="2"/>
  <c r="S2674" i="2"/>
  <c r="AZ2672" i="2"/>
  <c r="L2672" i="2"/>
  <c r="P2660" i="2"/>
  <c r="AY2658" i="2"/>
  <c r="O2658" i="2"/>
  <c r="AZ2656" i="2"/>
  <c r="R2656" i="2"/>
  <c r="Q2654" i="2"/>
  <c r="Q2651" i="2"/>
  <c r="O2647" i="2"/>
  <c r="AX2643" i="2"/>
  <c r="AS2672" i="2"/>
  <c r="N2703" i="2"/>
  <c r="Q2698" i="2"/>
  <c r="AW2697" i="2"/>
  <c r="L2697" i="2"/>
  <c r="Q2696" i="2"/>
  <c r="AX2694" i="2"/>
  <c r="M2694" i="2"/>
  <c r="R2693" i="2"/>
  <c r="G2690" i="2"/>
  <c r="AX2679" i="2"/>
  <c r="P2679" i="2"/>
  <c r="Q2674" i="2"/>
  <c r="AX2672" i="2"/>
  <c r="J2672" i="2"/>
  <c r="AX2668" i="2"/>
  <c r="AZ2660" i="2"/>
  <c r="N2660" i="2"/>
  <c r="AX2658" i="2"/>
  <c r="AY2656" i="2"/>
  <c r="Q2656" i="2"/>
  <c r="M2647" i="2"/>
  <c r="S2643" i="2"/>
  <c r="AS2642" i="2"/>
  <c r="AX2711" i="2"/>
  <c r="K2703" i="2"/>
  <c r="AW2694" i="2"/>
  <c r="L2694" i="2"/>
  <c r="P2674" i="2"/>
  <c r="AW2672" i="2"/>
  <c r="G2672" i="2"/>
  <c r="S2662" i="2"/>
  <c r="L2660" i="2"/>
  <c r="J2714" i="2"/>
  <c r="G2714" i="2"/>
  <c r="S2714" i="2"/>
  <c r="L2714" i="2"/>
  <c r="T2714" i="2"/>
  <c r="M2714" i="2"/>
  <c r="AP2714" i="2"/>
  <c r="N2714" i="2"/>
  <c r="AS2714" i="2"/>
  <c r="O2714" i="2"/>
  <c r="AW2714" i="2"/>
  <c r="Q2714" i="2"/>
  <c r="AY2714" i="2"/>
  <c r="J2686" i="2"/>
  <c r="L2686" i="2"/>
  <c r="N2686" i="2"/>
  <c r="P2686" i="2"/>
  <c r="S2686" i="2"/>
  <c r="AS2686" i="2"/>
  <c r="S2648" i="2"/>
  <c r="M2670" i="2"/>
  <c r="AW2670" i="2"/>
  <c r="N2670" i="2"/>
  <c r="AX2670" i="2"/>
  <c r="O2670" i="2"/>
  <c r="AZ2670" i="2"/>
  <c r="P2670" i="2"/>
  <c r="R2670" i="2"/>
  <c r="J2670" i="2"/>
  <c r="AP2670" i="2"/>
  <c r="M2637" i="2"/>
  <c r="K2637" i="2"/>
  <c r="S2637" i="2"/>
  <c r="AZ2637" i="2"/>
  <c r="AS2637" i="2"/>
  <c r="L2637" i="2"/>
  <c r="T2637" i="2"/>
  <c r="N2637" i="2"/>
  <c r="G2637" i="2"/>
  <c r="O2637" i="2"/>
  <c r="M2704" i="2"/>
  <c r="P2704" i="2"/>
  <c r="R2704" i="2"/>
  <c r="S2704" i="2"/>
  <c r="AX2704" i="2"/>
  <c r="AZ2704" i="2"/>
  <c r="J2704" i="2"/>
  <c r="J2689" i="2"/>
  <c r="R2689" i="2"/>
  <c r="S2689" i="2"/>
  <c r="G2675" i="2"/>
  <c r="Q2675" i="2"/>
  <c r="R2675" i="2"/>
  <c r="Q2648" i="2"/>
  <c r="G2669" i="2"/>
  <c r="AP2669" i="2"/>
  <c r="J2669" i="2"/>
  <c r="AW2669" i="2"/>
  <c r="K2669" i="2"/>
  <c r="AX2669" i="2"/>
  <c r="M2669" i="2"/>
  <c r="AY2669" i="2"/>
  <c r="O2669" i="2"/>
  <c r="AZ2669" i="2"/>
  <c r="R2669" i="2"/>
  <c r="G2657" i="2"/>
  <c r="R2657" i="2"/>
  <c r="T2657" i="2"/>
  <c r="AS2657" i="2"/>
  <c r="J2657" i="2"/>
  <c r="N2648" i="2"/>
  <c r="K2648" i="2"/>
  <c r="T2648" i="2"/>
  <c r="L2648" i="2"/>
  <c r="AP2648" i="2"/>
  <c r="M2648" i="2"/>
  <c r="AS2648" i="2"/>
  <c r="O2648" i="2"/>
  <c r="AW2648" i="2"/>
  <c r="P2648" i="2"/>
  <c r="AX2648" i="2"/>
  <c r="G2648" i="2"/>
  <c r="R2648" i="2"/>
  <c r="AZ2648" i="2"/>
  <c r="J2636" i="2"/>
  <c r="R2636" i="2"/>
  <c r="AY2636" i="2"/>
  <c r="G2636" i="2"/>
  <c r="O2636" i="2"/>
  <c r="K2636" i="2"/>
  <c r="S2636" i="2"/>
  <c r="AZ2636" i="2"/>
  <c r="L2636" i="2"/>
  <c r="T2636" i="2"/>
  <c r="AP2636" i="2"/>
  <c r="M2636" i="2"/>
  <c r="AS2636" i="2"/>
  <c r="N2636" i="2"/>
  <c r="AZ2714" i="2"/>
  <c r="G2680" i="2"/>
  <c r="R2680" i="2"/>
  <c r="T2680" i="2"/>
  <c r="AS2680" i="2"/>
  <c r="J2680" i="2"/>
  <c r="AS2670" i="2"/>
  <c r="M2640" i="2"/>
  <c r="G2640" i="2"/>
  <c r="O2640" i="2"/>
  <c r="J2640" i="2"/>
  <c r="R2640" i="2"/>
  <c r="AY2640" i="2"/>
  <c r="K2640" i="2"/>
  <c r="S2640" i="2"/>
  <c r="AZ2640" i="2"/>
  <c r="AS2640" i="2"/>
  <c r="L2640" i="2"/>
  <c r="T2640" i="2"/>
  <c r="N2640" i="2"/>
  <c r="G2706" i="2"/>
  <c r="K2706" i="2"/>
  <c r="M2706" i="2"/>
  <c r="N2706" i="2"/>
  <c r="P2706" i="2"/>
  <c r="S2706" i="2"/>
  <c r="AS2706" i="2"/>
  <c r="T2670" i="2"/>
  <c r="O2678" i="2"/>
  <c r="G2678" i="2"/>
  <c r="AW2678" i="2"/>
  <c r="J2678" i="2"/>
  <c r="AX2678" i="2"/>
  <c r="L2678" i="2"/>
  <c r="AZ2678" i="2"/>
  <c r="N2678" i="2"/>
  <c r="P2678" i="2"/>
  <c r="T2678" i="2"/>
  <c r="L2670" i="2"/>
  <c r="J2662" i="2"/>
  <c r="AZ2662" i="2"/>
  <c r="M2662" i="2"/>
  <c r="N2662" i="2"/>
  <c r="P2662" i="2"/>
  <c r="R2662" i="2"/>
  <c r="T2662" i="2"/>
  <c r="J2637" i="2"/>
  <c r="R2637" i="2"/>
  <c r="AY2637" i="2"/>
  <c r="AW2711" i="2"/>
  <c r="P2710" i="2"/>
  <c r="P2708" i="2"/>
  <c r="M2703" i="2"/>
  <c r="L2696" i="2"/>
  <c r="M2685" i="2"/>
  <c r="L2679" i="2"/>
  <c r="R2674" i="2"/>
  <c r="J2674" i="2"/>
  <c r="K2671" i="2"/>
  <c r="O2664" i="2"/>
  <c r="L2656" i="2"/>
  <c r="J2655" i="2"/>
  <c r="N2647" i="2"/>
  <c r="P2646" i="2"/>
  <c r="J2713" i="2"/>
  <c r="O2711" i="2"/>
  <c r="J2710" i="2"/>
  <c r="N2697" i="2"/>
  <c r="G2696" i="2"/>
  <c r="G2694" i="2"/>
  <c r="S2688" i="2"/>
  <c r="G2685" i="2"/>
  <c r="G2679" i="2"/>
  <c r="G2656" i="2"/>
  <c r="N2642" i="2"/>
  <c r="AS2633" i="2"/>
  <c r="M2633" i="2"/>
  <c r="K628" i="9"/>
  <c r="AZ2707" i="2"/>
  <c r="P2688" i="2"/>
  <c r="G2676" i="2"/>
  <c r="O2674" i="2"/>
  <c r="S2668" i="2"/>
  <c r="Q2655" i="2"/>
  <c r="M2642" i="2"/>
  <c r="AP2633" i="2"/>
  <c r="L2633" i="2"/>
  <c r="T2633" i="2"/>
  <c r="AZ2710" i="2"/>
  <c r="R2707" i="2"/>
  <c r="L2698" i="2"/>
  <c r="O2688" i="2"/>
  <c r="N2674" i="2"/>
  <c r="R2668" i="2"/>
  <c r="P2656" i="2"/>
  <c r="P2655" i="2"/>
  <c r="AS2647" i="2"/>
  <c r="AX2646" i="2"/>
  <c r="L2642" i="2"/>
  <c r="T2642" i="2"/>
  <c r="L2634" i="2"/>
  <c r="T2634" i="2"/>
  <c r="K2633" i="2"/>
  <c r="S2633" i="2"/>
  <c r="AZ2633" i="2"/>
  <c r="J2712" i="2"/>
  <c r="AX2710" i="2"/>
  <c r="J2707" i="2"/>
  <c r="K2698" i="2"/>
  <c r="G2697" i="2"/>
  <c r="L2693" i="2"/>
  <c r="M2688" i="2"/>
  <c r="O2676" i="2"/>
  <c r="AP2674" i="2"/>
  <c r="M2674" i="2"/>
  <c r="O2656" i="2"/>
  <c r="O2655" i="2"/>
  <c r="AP2647" i="2"/>
  <c r="S2646" i="2"/>
  <c r="K2642" i="2"/>
  <c r="S2642" i="2"/>
  <c r="AZ2642" i="2"/>
  <c r="K2634" i="2"/>
  <c r="S2634" i="2"/>
  <c r="AZ2634" i="2"/>
  <c r="G2633" i="2"/>
  <c r="O2633" i="2"/>
  <c r="S2710" i="2"/>
  <c r="J2698" i="2"/>
  <c r="O2694" i="2"/>
  <c r="J2693" i="2"/>
  <c r="N2679" i="2"/>
  <c r="T2674" i="2"/>
  <c r="K2666" i="2"/>
  <c r="N2656" i="2"/>
  <c r="L628" i="9"/>
  <c r="M628" i="9"/>
  <c r="AP2711" i="2"/>
  <c r="AX2707" i="2"/>
  <c r="S2713" i="2"/>
  <c r="K2713" i="2"/>
  <c r="AY2711" i="2"/>
  <c r="Q2711" i="2"/>
  <c r="G2711" i="2"/>
  <c r="T2710" i="2"/>
  <c r="L2710" i="2"/>
  <c r="AY2708" i="2"/>
  <c r="Q2708" i="2"/>
  <c r="G2708" i="2"/>
  <c r="T2707" i="2"/>
  <c r="L2707" i="2"/>
  <c r="AW2706" i="2"/>
  <c r="O2706" i="2"/>
  <c r="T2704" i="2"/>
  <c r="L2704" i="2"/>
  <c r="AW2703" i="2"/>
  <c r="O2703" i="2"/>
  <c r="AZ2702" i="2"/>
  <c r="R2702" i="2"/>
  <c r="J2702" i="2"/>
  <c r="AW2700" i="2"/>
  <c r="O2700" i="2"/>
  <c r="AZ2699" i="2"/>
  <c r="R2699" i="2"/>
  <c r="J2699" i="2"/>
  <c r="S2696" i="2"/>
  <c r="K2696" i="2"/>
  <c r="S2693" i="2"/>
  <c r="K2693" i="2"/>
  <c r="AP2692" i="2"/>
  <c r="K2692" i="2"/>
  <c r="AW2690" i="2"/>
  <c r="T2689" i="2"/>
  <c r="Q2688" i="2"/>
  <c r="R2686" i="2"/>
  <c r="AX2680" i="2"/>
  <c r="L2680" i="2"/>
  <c r="AY2678" i="2"/>
  <c r="T2675" i="2"/>
  <c r="AY2672" i="2"/>
  <c r="AS2668" i="2"/>
  <c r="AX2666" i="2"/>
  <c r="M2666" i="2"/>
  <c r="AP2665" i="2"/>
  <c r="K2665" i="2"/>
  <c r="J2664" i="2"/>
  <c r="R2664" i="2"/>
  <c r="AZ2664" i="2"/>
  <c r="L2664" i="2"/>
  <c r="T2664" i="2"/>
  <c r="O2662" i="2"/>
  <c r="AW2662" i="2"/>
  <c r="G2662" i="2"/>
  <c r="Q2662" i="2"/>
  <c r="AY2662" i="2"/>
  <c r="AX2657" i="2"/>
  <c r="L2657" i="2"/>
  <c r="T2652" i="2"/>
  <c r="L2650" i="2"/>
  <c r="G2650" i="2"/>
  <c r="Q2650" i="2"/>
  <c r="AY2650" i="2"/>
  <c r="J2650" i="2"/>
  <c r="K2650" i="2"/>
  <c r="S2650" i="2"/>
  <c r="O2646" i="2"/>
  <c r="AW2646" i="2"/>
  <c r="L2646" i="2"/>
  <c r="T2646" i="2"/>
  <c r="M2646" i="2"/>
  <c r="AP2646" i="2"/>
  <c r="N2646" i="2"/>
  <c r="AS2646" i="2"/>
  <c r="S2707" i="2"/>
  <c r="K2707" i="2"/>
  <c r="AY2702" i="2"/>
  <c r="Q2702" i="2"/>
  <c r="G2702" i="2"/>
  <c r="AY2699" i="2"/>
  <c r="Q2699" i="2"/>
  <c r="G2699" i="2"/>
  <c r="T2692" i="2"/>
  <c r="O2689" i="2"/>
  <c r="AW2689" i="2"/>
  <c r="G2689" i="2"/>
  <c r="Q2689" i="2"/>
  <c r="AY2689" i="2"/>
  <c r="K2675" i="2"/>
  <c r="S2675" i="2"/>
  <c r="M2675" i="2"/>
  <c r="AP2675" i="2"/>
  <c r="T2665" i="2"/>
  <c r="K2652" i="2"/>
  <c r="S2652" i="2"/>
  <c r="M2652" i="2"/>
  <c r="AP2652" i="2"/>
  <c r="O2665" i="2"/>
  <c r="AW2665" i="2"/>
  <c r="G2665" i="2"/>
  <c r="Q2665" i="2"/>
  <c r="AY2665" i="2"/>
  <c r="P2699" i="2"/>
  <c r="O2692" i="2"/>
  <c r="AW2692" i="2"/>
  <c r="G2692" i="2"/>
  <c r="Q2692" i="2"/>
  <c r="M2641" i="2"/>
  <c r="AP2641" i="2"/>
  <c r="N2641" i="2"/>
  <c r="G2641" i="2"/>
  <c r="O2641" i="2"/>
  <c r="J2641" i="2"/>
  <c r="R2641" i="2"/>
  <c r="AY2641" i="2"/>
  <c r="K2641" i="2"/>
  <c r="S2641" i="2"/>
  <c r="AZ2641" i="2"/>
  <c r="L2641" i="2"/>
  <c r="T2641" i="2"/>
  <c r="AS2711" i="2"/>
  <c r="N2711" i="2"/>
  <c r="AY2710" i="2"/>
  <c r="Q2710" i="2"/>
  <c r="G2710" i="2"/>
  <c r="AS2708" i="2"/>
  <c r="N2708" i="2"/>
  <c r="AY2707" i="2"/>
  <c r="Q2707" i="2"/>
  <c r="G2707" i="2"/>
  <c r="T2706" i="2"/>
  <c r="L2706" i="2"/>
  <c r="AY2704" i="2"/>
  <c r="Q2704" i="2"/>
  <c r="G2704" i="2"/>
  <c r="T2703" i="2"/>
  <c r="L2703" i="2"/>
  <c r="AW2702" i="2"/>
  <c r="O2702" i="2"/>
  <c r="T2700" i="2"/>
  <c r="L2700" i="2"/>
  <c r="AW2699" i="2"/>
  <c r="O2699" i="2"/>
  <c r="R2692" i="2"/>
  <c r="L2690" i="2"/>
  <c r="T2690" i="2"/>
  <c r="N2690" i="2"/>
  <c r="AS2690" i="2"/>
  <c r="P2689" i="2"/>
  <c r="AX2688" i="2"/>
  <c r="N2688" i="2"/>
  <c r="AX2686" i="2"/>
  <c r="M2686" i="2"/>
  <c r="S2680" i="2"/>
  <c r="AZ2675" i="2"/>
  <c r="P2675" i="2"/>
  <c r="O2668" i="2"/>
  <c r="AW2668" i="2"/>
  <c r="G2668" i="2"/>
  <c r="Q2668" i="2"/>
  <c r="AY2668" i="2"/>
  <c r="S2666" i="2"/>
  <c r="R2665" i="2"/>
  <c r="S2657" i="2"/>
  <c r="AZ2652" i="2"/>
  <c r="P2652" i="2"/>
  <c r="L2644" i="2"/>
  <c r="T2644" i="2"/>
  <c r="G2644" i="2"/>
  <c r="Q2644" i="2"/>
  <c r="AY2644" i="2"/>
  <c r="J2644" i="2"/>
  <c r="R2644" i="2"/>
  <c r="AZ2644" i="2"/>
  <c r="K2644" i="2"/>
  <c r="S2644" i="2"/>
  <c r="AX2702" i="2"/>
  <c r="AX2699" i="2"/>
  <c r="M2711" i="2"/>
  <c r="AP2708" i="2"/>
  <c r="M2708" i="2"/>
  <c r="AS2702" i="2"/>
  <c r="N2702" i="2"/>
  <c r="AS2699" i="2"/>
  <c r="N2699" i="2"/>
  <c r="AZ2692" i="2"/>
  <c r="P2692" i="2"/>
  <c r="AZ2689" i="2"/>
  <c r="N2689" i="2"/>
  <c r="M2680" i="2"/>
  <c r="AP2680" i="2"/>
  <c r="O2680" i="2"/>
  <c r="AW2680" i="2"/>
  <c r="AY2675" i="2"/>
  <c r="O2675" i="2"/>
  <c r="L2666" i="2"/>
  <c r="T2666" i="2"/>
  <c r="N2666" i="2"/>
  <c r="AS2666" i="2"/>
  <c r="P2665" i="2"/>
  <c r="M2657" i="2"/>
  <c r="AP2657" i="2"/>
  <c r="O2657" i="2"/>
  <c r="AW2657" i="2"/>
  <c r="AY2652" i="2"/>
  <c r="O2652" i="2"/>
  <c r="S2665" i="2"/>
  <c r="K2714" i="2"/>
  <c r="AS2713" i="2"/>
  <c r="N2713" i="2"/>
  <c r="T2711" i="2"/>
  <c r="L2711" i="2"/>
  <c r="AW2710" i="2"/>
  <c r="O2710" i="2"/>
  <c r="T2708" i="2"/>
  <c r="L2708" i="2"/>
  <c r="AW2707" i="2"/>
  <c r="O2707" i="2"/>
  <c r="AZ2706" i="2"/>
  <c r="R2706" i="2"/>
  <c r="J2706" i="2"/>
  <c r="AW2704" i="2"/>
  <c r="O2704" i="2"/>
  <c r="AZ2703" i="2"/>
  <c r="R2703" i="2"/>
  <c r="J2703" i="2"/>
  <c r="AP2702" i="2"/>
  <c r="M2702" i="2"/>
  <c r="AZ2700" i="2"/>
  <c r="R2700" i="2"/>
  <c r="J2700" i="2"/>
  <c r="AP2699" i="2"/>
  <c r="M2699" i="2"/>
  <c r="S2697" i="2"/>
  <c r="K2697" i="2"/>
  <c r="AS2696" i="2"/>
  <c r="N2696" i="2"/>
  <c r="S2694" i="2"/>
  <c r="K2694" i="2"/>
  <c r="AS2693" i="2"/>
  <c r="N2693" i="2"/>
  <c r="AY2692" i="2"/>
  <c r="N2692" i="2"/>
  <c r="AZ2690" i="2"/>
  <c r="P2690" i="2"/>
  <c r="AX2689" i="2"/>
  <c r="M2689" i="2"/>
  <c r="AS2688" i="2"/>
  <c r="K2688" i="2"/>
  <c r="AP2686" i="2"/>
  <c r="K2686" i="2"/>
  <c r="J2685" i="2"/>
  <c r="R2685" i="2"/>
  <c r="AZ2685" i="2"/>
  <c r="L2685" i="2"/>
  <c r="T2685" i="2"/>
  <c r="Q2680" i="2"/>
  <c r="K2678" i="2"/>
  <c r="S2678" i="2"/>
  <c r="M2678" i="2"/>
  <c r="AP2678" i="2"/>
  <c r="AX2675" i="2"/>
  <c r="N2675" i="2"/>
  <c r="K2672" i="2"/>
  <c r="S2672" i="2"/>
  <c r="M2672" i="2"/>
  <c r="AP2672" i="2"/>
  <c r="L2669" i="2"/>
  <c r="T2669" i="2"/>
  <c r="N2669" i="2"/>
  <c r="AS2669" i="2"/>
  <c r="P2668" i="2"/>
  <c r="Q2666" i="2"/>
  <c r="AZ2665" i="2"/>
  <c r="N2665" i="2"/>
  <c r="AW2664" i="2"/>
  <c r="M2664" i="2"/>
  <c r="AS2662" i="2"/>
  <c r="L2662" i="2"/>
  <c r="M2660" i="2"/>
  <c r="AP2660" i="2"/>
  <c r="O2660" i="2"/>
  <c r="AW2660" i="2"/>
  <c r="J2658" i="2"/>
  <c r="R2658" i="2"/>
  <c r="AZ2658" i="2"/>
  <c r="L2658" i="2"/>
  <c r="T2658" i="2"/>
  <c r="Q2657" i="2"/>
  <c r="K2655" i="2"/>
  <c r="S2655" i="2"/>
  <c r="M2655" i="2"/>
  <c r="AP2655" i="2"/>
  <c r="AX2652" i="2"/>
  <c r="N2652" i="2"/>
  <c r="AZ2650" i="2"/>
  <c r="O2650" i="2"/>
  <c r="L2647" i="2"/>
  <c r="T2647" i="2"/>
  <c r="G2647" i="2"/>
  <c r="Q2647" i="2"/>
  <c r="AY2647" i="2"/>
  <c r="J2647" i="2"/>
  <c r="R2647" i="2"/>
  <c r="AZ2647" i="2"/>
  <c r="K2647" i="2"/>
  <c r="S2647" i="2"/>
  <c r="K2646" i="2"/>
  <c r="AS2644" i="2"/>
  <c r="AY2643" i="2"/>
  <c r="P2702" i="2"/>
  <c r="S2692" i="2"/>
  <c r="AP2713" i="2"/>
  <c r="S2711" i="2"/>
  <c r="K2711" i="2"/>
  <c r="AS2710" i="2"/>
  <c r="N2710" i="2"/>
  <c r="S2708" i="2"/>
  <c r="K2708" i="2"/>
  <c r="AS2707" i="2"/>
  <c r="N2707" i="2"/>
  <c r="AY2706" i="2"/>
  <c r="Q2706" i="2"/>
  <c r="AS2704" i="2"/>
  <c r="N2704" i="2"/>
  <c r="AY2703" i="2"/>
  <c r="Q2703" i="2"/>
  <c r="T2702" i="2"/>
  <c r="L2702" i="2"/>
  <c r="AY2700" i="2"/>
  <c r="Q2700" i="2"/>
  <c r="T2699" i="2"/>
  <c r="L2699" i="2"/>
  <c r="AW2698" i="2"/>
  <c r="AZ2697" i="2"/>
  <c r="R2697" i="2"/>
  <c r="AP2696" i="2"/>
  <c r="AZ2694" i="2"/>
  <c r="R2694" i="2"/>
  <c r="AP2693" i="2"/>
  <c r="AX2692" i="2"/>
  <c r="M2692" i="2"/>
  <c r="AY2690" i="2"/>
  <c r="O2690" i="2"/>
  <c r="AS2689" i="2"/>
  <c r="L2689" i="2"/>
  <c r="AP2688" i="2"/>
  <c r="T2686" i="2"/>
  <c r="Q2685" i="2"/>
  <c r="AZ2680" i="2"/>
  <c r="P2680" i="2"/>
  <c r="Q2678" i="2"/>
  <c r="AW2675" i="2"/>
  <c r="L2675" i="2"/>
  <c r="Q2672" i="2"/>
  <c r="G2670" i="2"/>
  <c r="Q2670" i="2"/>
  <c r="AY2670" i="2"/>
  <c r="K2670" i="2"/>
  <c r="S2670" i="2"/>
  <c r="Q2669" i="2"/>
  <c r="AZ2668" i="2"/>
  <c r="N2668" i="2"/>
  <c r="AZ2666" i="2"/>
  <c r="P2666" i="2"/>
  <c r="AX2665" i="2"/>
  <c r="M2665" i="2"/>
  <c r="AS2664" i="2"/>
  <c r="K2664" i="2"/>
  <c r="AP2662" i="2"/>
  <c r="K2662" i="2"/>
  <c r="J2661" i="2"/>
  <c r="R2661" i="2"/>
  <c r="AZ2661" i="2"/>
  <c r="L2661" i="2"/>
  <c r="T2661" i="2"/>
  <c r="Q2660" i="2"/>
  <c r="AZ2657" i="2"/>
  <c r="P2657" i="2"/>
  <c r="AW2652" i="2"/>
  <c r="L2652" i="2"/>
  <c r="AX2650" i="2"/>
  <c r="N2650" i="2"/>
  <c r="AZ2646" i="2"/>
  <c r="J2646" i="2"/>
  <c r="AP2644" i="2"/>
  <c r="O2643" i="2"/>
  <c r="AW2643" i="2"/>
  <c r="L2643" i="2"/>
  <c r="T2643" i="2"/>
  <c r="M2643" i="2"/>
  <c r="AP2643" i="2"/>
  <c r="N2643" i="2"/>
  <c r="AS2643" i="2"/>
  <c r="AS2641" i="2"/>
  <c r="P2707" i="2"/>
  <c r="AZ2711" i="2"/>
  <c r="R2711" i="2"/>
  <c r="AP2710" i="2"/>
  <c r="AZ2708" i="2"/>
  <c r="R2708" i="2"/>
  <c r="AP2707" i="2"/>
  <c r="AP2704" i="2"/>
  <c r="S2702" i="2"/>
  <c r="S2699" i="2"/>
  <c r="AS2692" i="2"/>
  <c r="L2692" i="2"/>
  <c r="AP2689" i="2"/>
  <c r="K2689" i="2"/>
  <c r="J2688" i="2"/>
  <c r="R2688" i="2"/>
  <c r="AZ2688" i="2"/>
  <c r="L2688" i="2"/>
  <c r="T2688" i="2"/>
  <c r="O2686" i="2"/>
  <c r="AW2686" i="2"/>
  <c r="G2686" i="2"/>
  <c r="Q2686" i="2"/>
  <c r="AY2686" i="2"/>
  <c r="AY2680" i="2"/>
  <c r="N2680" i="2"/>
  <c r="AS2675" i="2"/>
  <c r="J2675" i="2"/>
  <c r="AY2666" i="2"/>
  <c r="O2666" i="2"/>
  <c r="AS2665" i="2"/>
  <c r="L2665" i="2"/>
  <c r="AY2657" i="2"/>
  <c r="N2657" i="2"/>
  <c r="AS2652" i="2"/>
  <c r="J2652" i="2"/>
  <c r="G2642" i="2"/>
  <c r="O2642" i="2"/>
  <c r="L2638" i="2"/>
  <c r="T2638" i="2"/>
  <c r="AP2632" i="2"/>
  <c r="M2632" i="2"/>
  <c r="K2638" i="2"/>
  <c r="S2638" i="2"/>
  <c r="AZ2638" i="2"/>
  <c r="AS2634" i="2"/>
  <c r="N2634" i="2"/>
  <c r="L2632" i="2"/>
  <c r="T2632" i="2"/>
  <c r="AP2640" i="2"/>
  <c r="J2638" i="2"/>
  <c r="R2638" i="2"/>
  <c r="AY2638" i="2"/>
  <c r="AP2637" i="2"/>
  <c r="AP2634" i="2"/>
  <c r="K2632" i="2"/>
  <c r="S2632" i="2"/>
  <c r="AZ2632" i="2"/>
  <c r="G2638" i="2"/>
  <c r="O2638" i="2"/>
  <c r="J2632" i="2"/>
  <c r="R2632" i="2"/>
  <c r="AY2632" i="2"/>
  <c r="G2632" i="2"/>
  <c r="O2632" i="2"/>
  <c r="AS2638" i="2"/>
  <c r="N2638" i="2"/>
  <c r="AP2638" i="2"/>
  <c r="AS2632" i="2"/>
  <c r="BE1537" i="2"/>
  <c r="BD1537" i="2"/>
  <c r="BC1537" i="2"/>
  <c r="AY1537" i="2"/>
  <c r="AV1537" i="2"/>
  <c r="Z1537" i="2"/>
  <c r="Y1537" i="2"/>
  <c r="X1537" i="2"/>
  <c r="W1537" i="2"/>
  <c r="V1537" i="2"/>
  <c r="U1537" i="2"/>
  <c r="T1537" i="2"/>
  <c r="S1537" i="2"/>
  <c r="R1537" i="2"/>
  <c r="Q1537" i="2"/>
  <c r="P1537" i="2"/>
  <c r="N1537" i="2"/>
  <c r="BE1536" i="2"/>
  <c r="BD1536" i="2"/>
  <c r="BC1536" i="2"/>
  <c r="AY1536" i="2"/>
  <c r="AV1536" i="2"/>
  <c r="Z1536" i="2"/>
  <c r="Y1536" i="2"/>
  <c r="X1536" i="2"/>
  <c r="W1536" i="2"/>
  <c r="V1536" i="2"/>
  <c r="U1536" i="2"/>
  <c r="T1536" i="2"/>
  <c r="S1536" i="2"/>
  <c r="R1536" i="2"/>
  <c r="Q1536" i="2"/>
  <c r="P1536" i="2"/>
  <c r="N1536" i="2"/>
  <c r="BE1535" i="2"/>
  <c r="BD1535" i="2"/>
  <c r="BC1535" i="2"/>
  <c r="AY1535" i="2"/>
  <c r="AV1535" i="2"/>
  <c r="Z1535" i="2"/>
  <c r="Y1535" i="2"/>
  <c r="X1535" i="2"/>
  <c r="W1535" i="2"/>
  <c r="V1535" i="2"/>
  <c r="U1535" i="2"/>
  <c r="T1535" i="2"/>
  <c r="S1535" i="2"/>
  <c r="R1535" i="2"/>
  <c r="Q1535" i="2"/>
  <c r="P1535" i="2"/>
  <c r="N1535" i="2"/>
  <c r="BE1534" i="2"/>
  <c r="BD1534" i="2"/>
  <c r="BC1534" i="2"/>
  <c r="AY1534" i="2"/>
  <c r="AV1534" i="2"/>
  <c r="Z1534" i="2"/>
  <c r="Y1534" i="2"/>
  <c r="X1534" i="2"/>
  <c r="W1534" i="2"/>
  <c r="V1534" i="2"/>
  <c r="U1534" i="2"/>
  <c r="T1534" i="2"/>
  <c r="S1534" i="2"/>
  <c r="R1534" i="2"/>
  <c r="Q1534" i="2"/>
  <c r="P1534" i="2"/>
  <c r="N1534" i="2"/>
  <c r="BE1533" i="2"/>
  <c r="BD1533" i="2"/>
  <c r="BC1533" i="2"/>
  <c r="AY1533" i="2"/>
  <c r="AV1533" i="2"/>
  <c r="Z1533" i="2"/>
  <c r="Y1533" i="2"/>
  <c r="X1533" i="2"/>
  <c r="W1533" i="2"/>
  <c r="V1533" i="2"/>
  <c r="U1533" i="2"/>
  <c r="T1533" i="2"/>
  <c r="S1533" i="2"/>
  <c r="R1533" i="2"/>
  <c r="Q1533" i="2"/>
  <c r="P1533" i="2"/>
  <c r="N1533" i="2"/>
  <c r="BE1532" i="2"/>
  <c r="BD1532" i="2"/>
  <c r="BC1532" i="2"/>
  <c r="AY1532" i="2"/>
  <c r="AV1532" i="2"/>
  <c r="Z1532" i="2"/>
  <c r="Y1532" i="2"/>
  <c r="X1532" i="2"/>
  <c r="W1532" i="2"/>
  <c r="V1532" i="2"/>
  <c r="U1532" i="2"/>
  <c r="T1532" i="2"/>
  <c r="S1532" i="2"/>
  <c r="R1532" i="2"/>
  <c r="Q1532" i="2"/>
  <c r="P1532" i="2"/>
  <c r="N1532" i="2"/>
  <c r="BE1531" i="2"/>
  <c r="BD1531" i="2"/>
  <c r="BC1531" i="2"/>
  <c r="AY1531" i="2"/>
  <c r="AV1531" i="2"/>
  <c r="Z1531" i="2"/>
  <c r="Y1531" i="2"/>
  <c r="X1531" i="2"/>
  <c r="W1531" i="2"/>
  <c r="V1531" i="2"/>
  <c r="U1531" i="2"/>
  <c r="T1531" i="2"/>
  <c r="S1531" i="2"/>
  <c r="R1531" i="2"/>
  <c r="Q1531" i="2"/>
  <c r="P1531" i="2"/>
  <c r="N1531" i="2"/>
  <c r="BE1530" i="2"/>
  <c r="BD1530" i="2"/>
  <c r="BC1530" i="2"/>
  <c r="AY1530" i="2"/>
  <c r="AV1530" i="2"/>
  <c r="Z1530" i="2"/>
  <c r="Y1530" i="2"/>
  <c r="X1530" i="2"/>
  <c r="W1530" i="2"/>
  <c r="V1530" i="2"/>
  <c r="U1530" i="2"/>
  <c r="T1530" i="2"/>
  <c r="S1530" i="2"/>
  <c r="R1530" i="2"/>
  <c r="Q1530" i="2"/>
  <c r="P1530" i="2"/>
  <c r="N1530" i="2"/>
  <c r="AV1506" i="2"/>
  <c r="BE1505" i="2"/>
  <c r="BD1505" i="2"/>
  <c r="BC1505" i="2"/>
  <c r="AY1505" i="2"/>
  <c r="AV1505" i="2"/>
  <c r="Z1505" i="2"/>
  <c r="Y1505" i="2"/>
  <c r="X1505" i="2"/>
  <c r="W1505" i="2"/>
  <c r="V1505" i="2"/>
  <c r="U1505" i="2"/>
  <c r="T1505" i="2"/>
  <c r="S1505" i="2"/>
  <c r="R1505" i="2"/>
  <c r="Q1505" i="2"/>
  <c r="P1505" i="2"/>
  <c r="N1505" i="2"/>
  <c r="BE1504" i="2"/>
  <c r="BD1504" i="2"/>
  <c r="BC1504" i="2"/>
  <c r="AY1504" i="2"/>
  <c r="AV1504" i="2"/>
  <c r="Z1504" i="2"/>
  <c r="Y1504" i="2"/>
  <c r="X1504" i="2"/>
  <c r="W1504" i="2"/>
  <c r="V1504" i="2"/>
  <c r="U1504" i="2"/>
  <c r="T1504" i="2"/>
  <c r="S1504" i="2"/>
  <c r="R1504" i="2"/>
  <c r="Q1504" i="2"/>
  <c r="P1504" i="2"/>
  <c r="N1504" i="2"/>
  <c r="BE1503" i="2"/>
  <c r="BD1503" i="2"/>
  <c r="BC1503" i="2"/>
  <c r="AY1503" i="2"/>
  <c r="AV1503" i="2"/>
  <c r="Z1503" i="2"/>
  <c r="Y1503" i="2"/>
  <c r="X1503" i="2"/>
  <c r="W1503" i="2"/>
  <c r="V1503" i="2"/>
  <c r="U1503" i="2"/>
  <c r="T1503" i="2"/>
  <c r="S1503" i="2"/>
  <c r="R1503" i="2"/>
  <c r="Q1503" i="2"/>
  <c r="P1503" i="2"/>
  <c r="N1503" i="2"/>
  <c r="BE1502" i="2"/>
  <c r="BD1502" i="2"/>
  <c r="BC1502" i="2"/>
  <c r="AY1502" i="2"/>
  <c r="AV1502" i="2"/>
  <c r="Z1502" i="2"/>
  <c r="Y1502" i="2"/>
  <c r="X1502" i="2"/>
  <c r="W1502" i="2"/>
  <c r="V1502" i="2"/>
  <c r="U1502" i="2"/>
  <c r="T1502" i="2"/>
  <c r="S1502" i="2"/>
  <c r="R1502" i="2"/>
  <c r="Q1502" i="2"/>
  <c r="P1502" i="2"/>
  <c r="N1502" i="2"/>
  <c r="BE1501" i="2"/>
  <c r="BD1501" i="2"/>
  <c r="BC1501" i="2"/>
  <c r="AY1501" i="2"/>
  <c r="AV1501" i="2"/>
  <c r="Z1501" i="2"/>
  <c r="Y1501" i="2"/>
  <c r="X1501" i="2"/>
  <c r="W1501" i="2"/>
  <c r="V1501" i="2"/>
  <c r="U1501" i="2"/>
  <c r="T1501" i="2"/>
  <c r="S1501" i="2"/>
  <c r="R1501" i="2"/>
  <c r="Q1501" i="2"/>
  <c r="P1501" i="2"/>
  <c r="BE1500" i="2"/>
  <c r="BD1500" i="2"/>
  <c r="BC1500" i="2"/>
  <c r="AY1500" i="2"/>
  <c r="AV1500" i="2"/>
  <c r="Z1500" i="2"/>
  <c r="Y1500" i="2"/>
  <c r="X1500" i="2"/>
  <c r="W1500" i="2"/>
  <c r="V1500" i="2"/>
  <c r="U1500" i="2"/>
  <c r="T1500" i="2"/>
  <c r="S1500" i="2"/>
  <c r="R1500" i="2"/>
  <c r="Q1500" i="2"/>
  <c r="P1500" i="2"/>
  <c r="N1500" i="2"/>
  <c r="BE1499" i="2"/>
  <c r="BD1499" i="2"/>
  <c r="BC1499" i="2"/>
  <c r="AY1499" i="2"/>
  <c r="AV1499" i="2"/>
  <c r="Z1499" i="2"/>
  <c r="Y1499" i="2"/>
  <c r="X1499" i="2"/>
  <c r="W1499" i="2"/>
  <c r="V1499" i="2"/>
  <c r="U1499" i="2"/>
  <c r="T1499" i="2"/>
  <c r="S1499" i="2"/>
  <c r="R1499" i="2"/>
  <c r="Q1499" i="2"/>
  <c r="P1499" i="2"/>
  <c r="N1499" i="2"/>
  <c r="BE1498" i="2"/>
  <c r="BD1498" i="2"/>
  <c r="BC1498" i="2"/>
  <c r="AY1498" i="2"/>
  <c r="AV1498" i="2"/>
  <c r="Z1498" i="2"/>
  <c r="Y1498" i="2"/>
  <c r="X1498" i="2"/>
  <c r="W1498" i="2"/>
  <c r="V1498" i="2"/>
  <c r="U1498" i="2"/>
  <c r="T1498" i="2"/>
  <c r="S1498" i="2"/>
  <c r="R1498" i="2"/>
  <c r="Q1498" i="2"/>
  <c r="P1498" i="2"/>
  <c r="N1498" i="2"/>
  <c r="BE1473" i="2"/>
  <c r="BE1472" i="2"/>
  <c r="BE1471" i="2"/>
  <c r="BE1470" i="2"/>
  <c r="BE1469" i="2"/>
  <c r="BE1468" i="2"/>
  <c r="BE1467" i="2"/>
  <c r="BE1466" i="2"/>
  <c r="BD1473" i="2"/>
  <c r="BD1472" i="2"/>
  <c r="BD1471" i="2"/>
  <c r="BD1470" i="2"/>
  <c r="BD1469" i="2"/>
  <c r="BD1468" i="2"/>
  <c r="BD1467" i="2"/>
  <c r="BD1466" i="2"/>
  <c r="BC1473" i="2"/>
  <c r="BC1472" i="2"/>
  <c r="BC1471" i="2"/>
  <c r="BC1470" i="2"/>
  <c r="BC1469" i="2"/>
  <c r="BC1468" i="2"/>
  <c r="BC1467" i="2"/>
  <c r="BC1466" i="2"/>
  <c r="Z1473" i="2"/>
  <c r="Y1473" i="2"/>
  <c r="X1473" i="2"/>
  <c r="W1473" i="2"/>
  <c r="V1473" i="2"/>
  <c r="U1473" i="2"/>
  <c r="T1473" i="2"/>
  <c r="S1473" i="2"/>
  <c r="R1473" i="2"/>
  <c r="Q1473" i="2"/>
  <c r="P1473" i="2"/>
  <c r="Z1472" i="2"/>
  <c r="Y1472" i="2"/>
  <c r="X1472" i="2"/>
  <c r="W1472" i="2"/>
  <c r="V1472" i="2"/>
  <c r="U1472" i="2"/>
  <c r="T1472" i="2"/>
  <c r="S1472" i="2"/>
  <c r="R1472" i="2"/>
  <c r="Q1472" i="2"/>
  <c r="P1472" i="2"/>
  <c r="Z1471" i="2"/>
  <c r="Y1471" i="2"/>
  <c r="X1471" i="2"/>
  <c r="W1471" i="2"/>
  <c r="V1471" i="2"/>
  <c r="U1471" i="2"/>
  <c r="T1471" i="2"/>
  <c r="S1471" i="2"/>
  <c r="R1471" i="2"/>
  <c r="Q1471" i="2"/>
  <c r="P1471" i="2"/>
  <c r="Z1468" i="2"/>
  <c r="Y1468" i="2"/>
  <c r="X1468" i="2"/>
  <c r="W1468" i="2"/>
  <c r="V1468" i="2"/>
  <c r="U1468" i="2"/>
  <c r="T1468" i="2"/>
  <c r="S1468" i="2"/>
  <c r="R1468" i="2"/>
  <c r="Q1468" i="2"/>
  <c r="P1468" i="2"/>
  <c r="Z1467" i="2"/>
  <c r="Y1467" i="2"/>
  <c r="X1467" i="2"/>
  <c r="W1467" i="2"/>
  <c r="V1467" i="2"/>
  <c r="U1467" i="2"/>
  <c r="T1467" i="2"/>
  <c r="S1467" i="2"/>
  <c r="R1467" i="2"/>
  <c r="Q1467" i="2"/>
  <c r="P1467" i="2"/>
  <c r="Z1466" i="2"/>
  <c r="Y1466" i="2"/>
  <c r="X1466" i="2"/>
  <c r="W1466" i="2"/>
  <c r="V1466" i="2"/>
  <c r="U1466" i="2"/>
  <c r="T1466" i="2"/>
  <c r="S1466" i="2"/>
  <c r="R1466" i="2"/>
  <c r="Q1466" i="2"/>
  <c r="P1466" i="2"/>
  <c r="N1473" i="2"/>
  <c r="N1472" i="2"/>
  <c r="N1470" i="2"/>
  <c r="N1468" i="2"/>
  <c r="N1467" i="2"/>
  <c r="N1466" i="2"/>
  <c r="BF1597" i="2"/>
  <c r="BE1597" i="2"/>
  <c r="BD1597" i="2"/>
  <c r="BC1597" i="2"/>
  <c r="AY1597" i="2"/>
  <c r="AV1597" i="2"/>
  <c r="Z1597" i="2"/>
  <c r="Y1597" i="2"/>
  <c r="X1597" i="2"/>
  <c r="W1597" i="2"/>
  <c r="V1597" i="2"/>
  <c r="U1597" i="2"/>
  <c r="T1597" i="2"/>
  <c r="S1597" i="2"/>
  <c r="R1597" i="2"/>
  <c r="Q1597" i="2"/>
  <c r="P1597" i="2"/>
  <c r="N1597" i="2"/>
  <c r="BF1596" i="2"/>
  <c r="BE1596" i="2"/>
  <c r="BD1596" i="2"/>
  <c r="BC1596" i="2"/>
  <c r="AY1596" i="2"/>
  <c r="AV1596" i="2"/>
  <c r="Z1596" i="2"/>
  <c r="Y1596" i="2"/>
  <c r="X1596" i="2"/>
  <c r="W1596" i="2"/>
  <c r="V1596" i="2"/>
  <c r="U1596" i="2"/>
  <c r="T1596" i="2"/>
  <c r="S1596" i="2"/>
  <c r="R1596" i="2"/>
  <c r="Q1596" i="2"/>
  <c r="P1596" i="2"/>
  <c r="N1596" i="2"/>
  <c r="BF1595" i="2"/>
  <c r="BE1595" i="2"/>
  <c r="BD1595" i="2"/>
  <c r="BC1595" i="2"/>
  <c r="AY1595" i="2"/>
  <c r="AV1595" i="2"/>
  <c r="Z1595" i="2"/>
  <c r="Y1595" i="2"/>
  <c r="X1595" i="2"/>
  <c r="W1595" i="2"/>
  <c r="V1595" i="2"/>
  <c r="U1595" i="2"/>
  <c r="T1595" i="2"/>
  <c r="S1595" i="2"/>
  <c r="R1595" i="2"/>
  <c r="Q1595" i="2"/>
  <c r="P1595" i="2"/>
  <c r="N1595" i="2"/>
  <c r="BF1594" i="2"/>
  <c r="BE1594" i="2"/>
  <c r="BD1594" i="2"/>
  <c r="BC1594" i="2"/>
  <c r="AY1594" i="2"/>
  <c r="AV1594" i="2"/>
  <c r="Z1594" i="2"/>
  <c r="Y1594" i="2"/>
  <c r="X1594" i="2"/>
  <c r="W1594" i="2"/>
  <c r="V1594" i="2"/>
  <c r="U1594" i="2"/>
  <c r="T1594" i="2"/>
  <c r="S1594" i="2"/>
  <c r="R1594" i="2"/>
  <c r="Q1594" i="2"/>
  <c r="P1594" i="2"/>
  <c r="N1594" i="2"/>
  <c r="BF1593" i="2"/>
  <c r="BE1593" i="2"/>
  <c r="BD1593" i="2"/>
  <c r="BC1593" i="2"/>
  <c r="AY1593" i="2"/>
  <c r="AV1593" i="2"/>
  <c r="Z1593" i="2"/>
  <c r="Y1593" i="2"/>
  <c r="X1593" i="2"/>
  <c r="W1593" i="2"/>
  <c r="V1593" i="2"/>
  <c r="U1593" i="2"/>
  <c r="T1593" i="2"/>
  <c r="S1593" i="2"/>
  <c r="R1593" i="2"/>
  <c r="Q1593" i="2"/>
  <c r="P1593" i="2"/>
  <c r="N1593" i="2"/>
  <c r="BF1592" i="2"/>
  <c r="BE1592" i="2"/>
  <c r="BD1592" i="2"/>
  <c r="BC1592" i="2"/>
  <c r="AY1592" i="2"/>
  <c r="AV1592" i="2"/>
  <c r="Z1592" i="2"/>
  <c r="Y1592" i="2"/>
  <c r="X1592" i="2"/>
  <c r="W1592" i="2"/>
  <c r="V1592" i="2"/>
  <c r="U1592" i="2"/>
  <c r="T1592" i="2"/>
  <c r="S1592" i="2"/>
  <c r="R1592" i="2"/>
  <c r="Q1592" i="2"/>
  <c r="P1592" i="2"/>
  <c r="N1592" i="2"/>
  <c r="BF1591" i="2"/>
  <c r="BE1591" i="2"/>
  <c r="BD1591" i="2"/>
  <c r="BC1591" i="2"/>
  <c r="AY1591" i="2"/>
  <c r="AV1591" i="2"/>
  <c r="Z1591" i="2"/>
  <c r="Y1591" i="2"/>
  <c r="X1591" i="2"/>
  <c r="W1591" i="2"/>
  <c r="V1591" i="2"/>
  <c r="U1591" i="2"/>
  <c r="T1591" i="2"/>
  <c r="S1591" i="2"/>
  <c r="R1591" i="2"/>
  <c r="Q1591" i="2"/>
  <c r="P1591" i="2"/>
  <c r="N1591" i="2"/>
  <c r="BF1590" i="2"/>
  <c r="BE1590" i="2"/>
  <c r="BD1590" i="2"/>
  <c r="BC1590" i="2"/>
  <c r="AY1590" i="2"/>
  <c r="AV1590" i="2"/>
  <c r="Z1590" i="2"/>
  <c r="Y1590" i="2"/>
  <c r="X1590" i="2"/>
  <c r="W1590" i="2"/>
  <c r="V1590" i="2"/>
  <c r="U1590" i="2"/>
  <c r="T1590" i="2"/>
  <c r="S1590" i="2"/>
  <c r="R1590" i="2"/>
  <c r="Q1590" i="2"/>
  <c r="P1590" i="2"/>
  <c r="N1590" i="2"/>
  <c r="BF1567" i="2"/>
  <c r="BE1567" i="2"/>
  <c r="BD1567" i="2"/>
  <c r="BC1567" i="2"/>
  <c r="AY1567" i="2"/>
  <c r="AV1567" i="2"/>
  <c r="Z1567" i="2"/>
  <c r="Y1567" i="2"/>
  <c r="X1567" i="2"/>
  <c r="W1567" i="2"/>
  <c r="V1567" i="2"/>
  <c r="U1567" i="2"/>
  <c r="T1567" i="2"/>
  <c r="S1567" i="2"/>
  <c r="R1567" i="2"/>
  <c r="Q1567" i="2"/>
  <c r="P1567" i="2"/>
  <c r="N1567" i="2"/>
  <c r="BF1566" i="2"/>
  <c r="BE1566" i="2"/>
  <c r="BD1566" i="2"/>
  <c r="BC1566" i="2"/>
  <c r="AY1566" i="2"/>
  <c r="AV1566" i="2"/>
  <c r="Z1566" i="2"/>
  <c r="Y1566" i="2"/>
  <c r="X1566" i="2"/>
  <c r="W1566" i="2"/>
  <c r="V1566" i="2"/>
  <c r="U1566" i="2"/>
  <c r="T1566" i="2"/>
  <c r="S1566" i="2"/>
  <c r="R1566" i="2"/>
  <c r="Q1566" i="2"/>
  <c r="P1566" i="2"/>
  <c r="N1566" i="2"/>
  <c r="BF1565" i="2"/>
  <c r="BE1565" i="2"/>
  <c r="BD1565" i="2"/>
  <c r="BC1565" i="2"/>
  <c r="AY1565" i="2"/>
  <c r="AV1565" i="2"/>
  <c r="Z1565" i="2"/>
  <c r="Y1565" i="2"/>
  <c r="X1565" i="2"/>
  <c r="W1565" i="2"/>
  <c r="V1565" i="2"/>
  <c r="U1565" i="2"/>
  <c r="T1565" i="2"/>
  <c r="S1565" i="2"/>
  <c r="R1565" i="2"/>
  <c r="Q1565" i="2"/>
  <c r="P1565" i="2"/>
  <c r="N1565" i="2"/>
  <c r="BF1564" i="2"/>
  <c r="BE1564" i="2"/>
  <c r="BD1564" i="2"/>
  <c r="BC1564" i="2"/>
  <c r="AY1564" i="2"/>
  <c r="AV1564" i="2"/>
  <c r="Z1564" i="2"/>
  <c r="Y1564" i="2"/>
  <c r="X1564" i="2"/>
  <c r="W1564" i="2"/>
  <c r="V1564" i="2"/>
  <c r="U1564" i="2"/>
  <c r="T1564" i="2"/>
  <c r="S1564" i="2"/>
  <c r="R1564" i="2"/>
  <c r="Q1564" i="2"/>
  <c r="P1564" i="2"/>
  <c r="N1564" i="2"/>
  <c r="BF1563" i="2"/>
  <c r="BE1563" i="2"/>
  <c r="BD1563" i="2"/>
  <c r="BC1563" i="2"/>
  <c r="AY1563" i="2"/>
  <c r="AV1563" i="2"/>
  <c r="Z1563" i="2"/>
  <c r="Y1563" i="2"/>
  <c r="X1563" i="2"/>
  <c r="W1563" i="2"/>
  <c r="V1563" i="2"/>
  <c r="U1563" i="2"/>
  <c r="T1563" i="2"/>
  <c r="S1563" i="2"/>
  <c r="R1563" i="2"/>
  <c r="Q1563" i="2"/>
  <c r="P1563" i="2"/>
  <c r="N1563" i="2"/>
  <c r="BF1562" i="2"/>
  <c r="BE1562" i="2"/>
  <c r="BD1562" i="2"/>
  <c r="BC1562" i="2"/>
  <c r="AY1562" i="2"/>
  <c r="AV1562" i="2"/>
  <c r="Z1562" i="2"/>
  <c r="Y1562" i="2"/>
  <c r="X1562" i="2"/>
  <c r="W1562" i="2"/>
  <c r="V1562" i="2"/>
  <c r="U1562" i="2"/>
  <c r="T1562" i="2"/>
  <c r="S1562" i="2"/>
  <c r="R1562" i="2"/>
  <c r="Q1562" i="2"/>
  <c r="P1562" i="2"/>
  <c r="N1562" i="2"/>
  <c r="BF1561" i="2"/>
  <c r="BE1561" i="2"/>
  <c r="BD1561" i="2"/>
  <c r="BC1561" i="2"/>
  <c r="AY1561" i="2"/>
  <c r="AV1561" i="2"/>
  <c r="Z1561" i="2"/>
  <c r="Y1561" i="2"/>
  <c r="X1561" i="2"/>
  <c r="W1561" i="2"/>
  <c r="V1561" i="2"/>
  <c r="U1561" i="2"/>
  <c r="T1561" i="2"/>
  <c r="S1561" i="2"/>
  <c r="R1561" i="2"/>
  <c r="Q1561" i="2"/>
  <c r="P1561" i="2"/>
  <c r="N1561" i="2"/>
  <c r="BF1560" i="2"/>
  <c r="BE1560" i="2"/>
  <c r="BD1560" i="2"/>
  <c r="BC1560" i="2"/>
  <c r="AY1560" i="2"/>
  <c r="AV1560" i="2"/>
  <c r="Z1560" i="2"/>
  <c r="Y1560" i="2"/>
  <c r="X1560" i="2"/>
  <c r="W1560" i="2"/>
  <c r="V1560" i="2"/>
  <c r="U1560" i="2"/>
  <c r="T1560" i="2"/>
  <c r="S1560" i="2"/>
  <c r="R1560" i="2"/>
  <c r="Q1560" i="2"/>
  <c r="P1560" i="2"/>
  <c r="N1560" i="2"/>
  <c r="BE1441" i="2"/>
  <c r="BD1441" i="2"/>
  <c r="BC1441" i="2"/>
  <c r="AY1441" i="2"/>
  <c r="AV1441" i="2"/>
  <c r="Z1441" i="2"/>
  <c r="Y1441" i="2"/>
  <c r="X1441" i="2"/>
  <c r="W1441" i="2"/>
  <c r="V1441" i="2"/>
  <c r="U1441" i="2"/>
  <c r="T1441" i="2"/>
  <c r="S1441" i="2"/>
  <c r="R1441" i="2"/>
  <c r="Q1441" i="2"/>
  <c r="P1441" i="2"/>
  <c r="N1441" i="2"/>
  <c r="BE1440" i="2"/>
  <c r="BD1440" i="2"/>
  <c r="BC1440" i="2"/>
  <c r="AY1440" i="2"/>
  <c r="AV1440" i="2"/>
  <c r="Z1440" i="2"/>
  <c r="Y1440" i="2"/>
  <c r="X1440" i="2"/>
  <c r="W1440" i="2"/>
  <c r="V1440" i="2"/>
  <c r="U1440" i="2"/>
  <c r="T1440" i="2"/>
  <c r="S1440" i="2"/>
  <c r="R1440" i="2"/>
  <c r="Q1440" i="2"/>
  <c r="P1440" i="2"/>
  <c r="N1440" i="2"/>
  <c r="BE1439" i="2"/>
  <c r="BD1439" i="2"/>
  <c r="BC1439" i="2"/>
  <c r="AY1439" i="2"/>
  <c r="AV1439" i="2"/>
  <c r="Z1439" i="2"/>
  <c r="Y1439" i="2"/>
  <c r="X1439" i="2"/>
  <c r="W1439" i="2"/>
  <c r="V1439" i="2"/>
  <c r="U1439" i="2"/>
  <c r="T1439" i="2"/>
  <c r="S1439" i="2"/>
  <c r="R1439" i="2"/>
  <c r="Q1439" i="2"/>
  <c r="P1439" i="2"/>
  <c r="N1439" i="2"/>
  <c r="BE1438" i="2"/>
  <c r="BD1438" i="2"/>
  <c r="BC1438" i="2"/>
  <c r="AY1438" i="2"/>
  <c r="AV1438" i="2"/>
  <c r="Z1438" i="2"/>
  <c r="Y1438" i="2"/>
  <c r="X1438" i="2"/>
  <c r="W1438" i="2"/>
  <c r="V1438" i="2"/>
  <c r="U1438" i="2"/>
  <c r="T1438" i="2"/>
  <c r="S1438" i="2"/>
  <c r="R1438" i="2"/>
  <c r="Q1438" i="2"/>
  <c r="P1438" i="2"/>
  <c r="N1438" i="2"/>
  <c r="BE1437" i="2"/>
  <c r="BD1437" i="2"/>
  <c r="BC1437" i="2"/>
  <c r="AY1437" i="2"/>
  <c r="AV1437" i="2"/>
  <c r="Z1437" i="2"/>
  <c r="Y1437" i="2"/>
  <c r="X1437" i="2"/>
  <c r="W1437" i="2"/>
  <c r="V1437" i="2"/>
  <c r="U1437" i="2"/>
  <c r="T1437" i="2"/>
  <c r="S1437" i="2"/>
  <c r="R1437" i="2"/>
  <c r="Q1437" i="2"/>
  <c r="P1437" i="2"/>
  <c r="N1437" i="2"/>
  <c r="BE1436" i="2"/>
  <c r="BD1436" i="2"/>
  <c r="BC1436" i="2"/>
  <c r="AY1436" i="2"/>
  <c r="AV1436" i="2"/>
  <c r="Z1436" i="2"/>
  <c r="Y1436" i="2"/>
  <c r="X1436" i="2"/>
  <c r="W1436" i="2"/>
  <c r="V1436" i="2"/>
  <c r="U1436" i="2"/>
  <c r="T1436" i="2"/>
  <c r="S1436" i="2"/>
  <c r="R1436" i="2"/>
  <c r="Q1436" i="2"/>
  <c r="P1436" i="2"/>
  <c r="N1436" i="2"/>
  <c r="BE1435" i="2"/>
  <c r="BD1435" i="2"/>
  <c r="BC1435" i="2"/>
  <c r="AY1435" i="2"/>
  <c r="AV1435" i="2"/>
  <c r="Z1435" i="2"/>
  <c r="Y1435" i="2"/>
  <c r="X1435" i="2"/>
  <c r="W1435" i="2"/>
  <c r="V1435" i="2"/>
  <c r="U1435" i="2"/>
  <c r="T1435" i="2"/>
  <c r="S1435" i="2"/>
  <c r="R1435" i="2"/>
  <c r="Q1435" i="2"/>
  <c r="P1435" i="2"/>
  <c r="N1435" i="2"/>
  <c r="BE1411" i="2"/>
  <c r="BD1411" i="2"/>
  <c r="BC1411" i="2"/>
  <c r="AY1411" i="2"/>
  <c r="AV1411" i="2"/>
  <c r="Z1411" i="2"/>
  <c r="Y1411" i="2"/>
  <c r="X1411" i="2"/>
  <c r="W1411" i="2"/>
  <c r="V1411" i="2"/>
  <c r="U1411" i="2"/>
  <c r="T1411" i="2"/>
  <c r="S1411" i="2"/>
  <c r="R1411" i="2"/>
  <c r="Q1411" i="2"/>
  <c r="P1411" i="2"/>
  <c r="N1411" i="2"/>
  <c r="BE1410" i="2"/>
  <c r="BD1410" i="2"/>
  <c r="BC1410" i="2"/>
  <c r="AY1410" i="2"/>
  <c r="AV1410" i="2"/>
  <c r="Z1410" i="2"/>
  <c r="Y1410" i="2"/>
  <c r="X1410" i="2"/>
  <c r="W1410" i="2"/>
  <c r="V1410" i="2"/>
  <c r="U1410" i="2"/>
  <c r="T1410" i="2"/>
  <c r="S1410" i="2"/>
  <c r="R1410" i="2"/>
  <c r="Q1410" i="2"/>
  <c r="P1410" i="2"/>
  <c r="N1410" i="2"/>
  <c r="BE1409" i="2"/>
  <c r="BD1409" i="2"/>
  <c r="BC1409" i="2"/>
  <c r="AY1409" i="2"/>
  <c r="AV1409" i="2"/>
  <c r="Z1409" i="2"/>
  <c r="Y1409" i="2"/>
  <c r="X1409" i="2"/>
  <c r="W1409" i="2"/>
  <c r="V1409" i="2"/>
  <c r="U1409" i="2"/>
  <c r="T1409" i="2"/>
  <c r="S1409" i="2"/>
  <c r="R1409" i="2"/>
  <c r="Q1409" i="2"/>
  <c r="P1409" i="2"/>
  <c r="N1409" i="2"/>
  <c r="BE1408" i="2"/>
  <c r="BD1408" i="2"/>
  <c r="BC1408" i="2"/>
  <c r="AY1408" i="2"/>
  <c r="AV1408" i="2"/>
  <c r="Z1408" i="2"/>
  <c r="Y1408" i="2"/>
  <c r="X1408" i="2"/>
  <c r="W1408" i="2"/>
  <c r="V1408" i="2"/>
  <c r="U1408" i="2"/>
  <c r="T1408" i="2"/>
  <c r="S1408" i="2"/>
  <c r="R1408" i="2"/>
  <c r="Q1408" i="2"/>
  <c r="P1408" i="2"/>
  <c r="N1408" i="2"/>
  <c r="BE1407" i="2"/>
  <c r="BD1407" i="2"/>
  <c r="BC1407" i="2"/>
  <c r="AY1407" i="2"/>
  <c r="AV1407" i="2"/>
  <c r="Z1407" i="2"/>
  <c r="Y1407" i="2"/>
  <c r="X1407" i="2"/>
  <c r="W1407" i="2"/>
  <c r="V1407" i="2"/>
  <c r="U1407" i="2"/>
  <c r="T1407" i="2"/>
  <c r="S1407" i="2"/>
  <c r="R1407" i="2"/>
  <c r="Q1407" i="2"/>
  <c r="P1407" i="2"/>
  <c r="N1407" i="2"/>
  <c r="BE1406" i="2"/>
  <c r="BD1406" i="2"/>
  <c r="BC1406" i="2"/>
  <c r="AY1406" i="2"/>
  <c r="AV1406" i="2"/>
  <c r="Z1406" i="2"/>
  <c r="Y1406" i="2"/>
  <c r="X1406" i="2"/>
  <c r="W1406" i="2"/>
  <c r="V1406" i="2"/>
  <c r="U1406" i="2"/>
  <c r="T1406" i="2"/>
  <c r="S1406" i="2"/>
  <c r="R1406" i="2"/>
  <c r="Q1406" i="2"/>
  <c r="P1406" i="2"/>
  <c r="N1406" i="2"/>
  <c r="BE1405" i="2"/>
  <c r="BD1405" i="2"/>
  <c r="BC1405" i="2"/>
  <c r="AY1405" i="2"/>
  <c r="AV1405" i="2"/>
  <c r="Z1405" i="2"/>
  <c r="Y1405" i="2"/>
  <c r="X1405" i="2"/>
  <c r="W1405" i="2"/>
  <c r="V1405" i="2"/>
  <c r="U1405" i="2"/>
  <c r="T1405" i="2"/>
  <c r="S1405" i="2"/>
  <c r="R1405" i="2"/>
  <c r="Q1405" i="2"/>
  <c r="P1405" i="2"/>
  <c r="N1405" i="2"/>
  <c r="BE1381" i="2"/>
  <c r="BD1381" i="2"/>
  <c r="BC1381" i="2"/>
  <c r="AY1381" i="2"/>
  <c r="AV1381" i="2"/>
  <c r="Z1381" i="2"/>
  <c r="Y1381" i="2"/>
  <c r="X1381" i="2"/>
  <c r="W1381" i="2"/>
  <c r="V1381" i="2"/>
  <c r="U1381" i="2"/>
  <c r="T1381" i="2"/>
  <c r="S1381" i="2"/>
  <c r="R1381" i="2"/>
  <c r="Q1381" i="2"/>
  <c r="P1381" i="2"/>
  <c r="N1381" i="2"/>
  <c r="BE1380" i="2"/>
  <c r="BD1380" i="2"/>
  <c r="BC1380" i="2"/>
  <c r="AY1380" i="2"/>
  <c r="AV1380" i="2"/>
  <c r="Z1380" i="2"/>
  <c r="Y1380" i="2"/>
  <c r="X1380" i="2"/>
  <c r="W1380" i="2"/>
  <c r="V1380" i="2"/>
  <c r="U1380" i="2"/>
  <c r="T1380" i="2"/>
  <c r="S1380" i="2"/>
  <c r="R1380" i="2"/>
  <c r="Q1380" i="2"/>
  <c r="P1380" i="2"/>
  <c r="N1380" i="2"/>
  <c r="BE1379" i="2"/>
  <c r="BD1379" i="2"/>
  <c r="BC1379" i="2"/>
  <c r="AY1379" i="2"/>
  <c r="AV1379" i="2"/>
  <c r="Z1379" i="2"/>
  <c r="Y1379" i="2"/>
  <c r="X1379" i="2"/>
  <c r="W1379" i="2"/>
  <c r="V1379" i="2"/>
  <c r="U1379" i="2"/>
  <c r="T1379" i="2"/>
  <c r="S1379" i="2"/>
  <c r="R1379" i="2"/>
  <c r="Q1379" i="2"/>
  <c r="P1379" i="2"/>
  <c r="N1379" i="2"/>
  <c r="BE1378" i="2"/>
  <c r="BD1378" i="2"/>
  <c r="BC1378" i="2"/>
  <c r="AY1378" i="2"/>
  <c r="AV1378" i="2"/>
  <c r="Z1378" i="2"/>
  <c r="Y1378" i="2"/>
  <c r="X1378" i="2"/>
  <c r="W1378" i="2"/>
  <c r="V1378" i="2"/>
  <c r="U1378" i="2"/>
  <c r="T1378" i="2"/>
  <c r="S1378" i="2"/>
  <c r="R1378" i="2"/>
  <c r="Q1378" i="2"/>
  <c r="P1378" i="2"/>
  <c r="N1378" i="2"/>
  <c r="BE1377" i="2"/>
  <c r="BD1377" i="2"/>
  <c r="BC1377" i="2"/>
  <c r="AY1377" i="2"/>
  <c r="AV1377" i="2"/>
  <c r="Z1377" i="2"/>
  <c r="Y1377" i="2"/>
  <c r="X1377" i="2"/>
  <c r="W1377" i="2"/>
  <c r="V1377" i="2"/>
  <c r="U1377" i="2"/>
  <c r="T1377" i="2"/>
  <c r="S1377" i="2"/>
  <c r="R1377" i="2"/>
  <c r="Q1377" i="2"/>
  <c r="P1377" i="2"/>
  <c r="N1377" i="2"/>
  <c r="BE1376" i="2"/>
  <c r="BD1376" i="2"/>
  <c r="BC1376" i="2"/>
  <c r="AY1376" i="2"/>
  <c r="AV1376" i="2"/>
  <c r="Z1376" i="2"/>
  <c r="Y1376" i="2"/>
  <c r="X1376" i="2"/>
  <c r="W1376" i="2"/>
  <c r="V1376" i="2"/>
  <c r="U1376" i="2"/>
  <c r="T1376" i="2"/>
  <c r="S1376" i="2"/>
  <c r="R1376" i="2"/>
  <c r="Q1376" i="2"/>
  <c r="P1376" i="2"/>
  <c r="N1376" i="2"/>
  <c r="BE1375" i="2"/>
  <c r="BD1375" i="2"/>
  <c r="BC1375" i="2"/>
  <c r="AY1375" i="2"/>
  <c r="AV1375" i="2"/>
  <c r="Z1375" i="2"/>
  <c r="Y1375" i="2"/>
  <c r="X1375" i="2"/>
  <c r="W1375" i="2"/>
  <c r="V1375" i="2"/>
  <c r="U1375" i="2"/>
  <c r="T1375" i="2"/>
  <c r="S1375" i="2"/>
  <c r="R1375" i="2"/>
  <c r="Q1375" i="2"/>
  <c r="P1375" i="2"/>
  <c r="N1375" i="2"/>
  <c r="BE1351" i="2"/>
  <c r="BD1351" i="2"/>
  <c r="BC1351" i="2"/>
  <c r="AY1351" i="2"/>
  <c r="AV1351" i="2"/>
  <c r="Z1351" i="2"/>
  <c r="Y1351" i="2"/>
  <c r="X1351" i="2"/>
  <c r="W1351" i="2"/>
  <c r="V1351" i="2"/>
  <c r="U1351" i="2"/>
  <c r="T1351" i="2"/>
  <c r="S1351" i="2"/>
  <c r="R1351" i="2"/>
  <c r="Q1351" i="2"/>
  <c r="P1351" i="2"/>
  <c r="N1351" i="2"/>
  <c r="BE1350" i="2"/>
  <c r="BD1350" i="2"/>
  <c r="BC1350" i="2"/>
  <c r="AY1350" i="2"/>
  <c r="AV1350" i="2"/>
  <c r="Z1350" i="2"/>
  <c r="Y1350" i="2"/>
  <c r="X1350" i="2"/>
  <c r="W1350" i="2"/>
  <c r="V1350" i="2"/>
  <c r="U1350" i="2"/>
  <c r="T1350" i="2"/>
  <c r="S1350" i="2"/>
  <c r="R1350" i="2"/>
  <c r="Q1350" i="2"/>
  <c r="P1350" i="2"/>
  <c r="N1350" i="2"/>
  <c r="BE1349" i="2"/>
  <c r="BD1349" i="2"/>
  <c r="BC1349" i="2"/>
  <c r="AY1349" i="2"/>
  <c r="AV1349" i="2"/>
  <c r="Z1349" i="2"/>
  <c r="Y1349" i="2"/>
  <c r="X1349" i="2"/>
  <c r="W1349" i="2"/>
  <c r="V1349" i="2"/>
  <c r="U1349" i="2"/>
  <c r="T1349" i="2"/>
  <c r="S1349" i="2"/>
  <c r="R1349" i="2"/>
  <c r="Q1349" i="2"/>
  <c r="P1349" i="2"/>
  <c r="N1349" i="2"/>
  <c r="BE1348" i="2"/>
  <c r="BD1348" i="2"/>
  <c r="BC1348" i="2"/>
  <c r="AY1348" i="2"/>
  <c r="AV1348" i="2"/>
  <c r="Z1348" i="2"/>
  <c r="Y1348" i="2"/>
  <c r="X1348" i="2"/>
  <c r="W1348" i="2"/>
  <c r="V1348" i="2"/>
  <c r="U1348" i="2"/>
  <c r="T1348" i="2"/>
  <c r="S1348" i="2"/>
  <c r="R1348" i="2"/>
  <c r="Q1348" i="2"/>
  <c r="P1348" i="2"/>
  <c r="N1348" i="2"/>
  <c r="BE1347" i="2"/>
  <c r="BD1347" i="2"/>
  <c r="BC1347" i="2"/>
  <c r="AY1347" i="2"/>
  <c r="AV1347" i="2"/>
  <c r="Z1347" i="2"/>
  <c r="Y1347" i="2"/>
  <c r="X1347" i="2"/>
  <c r="W1347" i="2"/>
  <c r="V1347" i="2"/>
  <c r="U1347" i="2"/>
  <c r="T1347" i="2"/>
  <c r="S1347" i="2"/>
  <c r="R1347" i="2"/>
  <c r="Q1347" i="2"/>
  <c r="P1347" i="2"/>
  <c r="N1347" i="2"/>
  <c r="BE1346" i="2"/>
  <c r="BD1346" i="2"/>
  <c r="BC1346" i="2"/>
  <c r="AY1346" i="2"/>
  <c r="AV1346" i="2"/>
  <c r="Z1346" i="2"/>
  <c r="Y1346" i="2"/>
  <c r="X1346" i="2"/>
  <c r="W1346" i="2"/>
  <c r="V1346" i="2"/>
  <c r="U1346" i="2"/>
  <c r="T1346" i="2"/>
  <c r="S1346" i="2"/>
  <c r="R1346" i="2"/>
  <c r="Q1346" i="2"/>
  <c r="P1346" i="2"/>
  <c r="N1346" i="2"/>
  <c r="BE1345" i="2"/>
  <c r="BD1345" i="2"/>
  <c r="BC1345" i="2"/>
  <c r="AY1345" i="2"/>
  <c r="AV1345" i="2"/>
  <c r="Z1345" i="2"/>
  <c r="Y1345" i="2"/>
  <c r="X1345" i="2"/>
  <c r="W1345" i="2"/>
  <c r="V1345" i="2"/>
  <c r="U1345" i="2"/>
  <c r="T1345" i="2"/>
  <c r="S1345" i="2"/>
  <c r="R1345" i="2"/>
  <c r="Q1345" i="2"/>
  <c r="P1345" i="2"/>
  <c r="N1345" i="2"/>
  <c r="N1292" i="2"/>
  <c r="BE1291" i="2"/>
  <c r="BD1291" i="2"/>
  <c r="BC1291" i="2"/>
  <c r="AY1291" i="2"/>
  <c r="AV1291" i="2"/>
  <c r="Z1291" i="2"/>
  <c r="Y1291" i="2"/>
  <c r="X1291" i="2"/>
  <c r="W1291" i="2"/>
  <c r="V1291" i="2"/>
  <c r="U1291" i="2"/>
  <c r="T1291" i="2"/>
  <c r="S1291" i="2"/>
  <c r="R1291" i="2"/>
  <c r="Q1291" i="2"/>
  <c r="P1291" i="2"/>
  <c r="N1291" i="2"/>
  <c r="BE1290" i="2"/>
  <c r="BD1290" i="2"/>
  <c r="BC1290" i="2"/>
  <c r="AY1290" i="2"/>
  <c r="AV1290" i="2"/>
  <c r="Z1290" i="2"/>
  <c r="Y1290" i="2"/>
  <c r="X1290" i="2"/>
  <c r="W1290" i="2"/>
  <c r="V1290" i="2"/>
  <c r="U1290" i="2"/>
  <c r="T1290" i="2"/>
  <c r="S1290" i="2"/>
  <c r="R1290" i="2"/>
  <c r="Q1290" i="2"/>
  <c r="P1290" i="2"/>
  <c r="N1290" i="2"/>
  <c r="BE1289" i="2"/>
  <c r="BD1289" i="2"/>
  <c r="BC1289" i="2"/>
  <c r="AY1289" i="2"/>
  <c r="AV1289" i="2"/>
  <c r="Z1289" i="2"/>
  <c r="Y1289" i="2"/>
  <c r="X1289" i="2"/>
  <c r="W1289" i="2"/>
  <c r="V1289" i="2"/>
  <c r="U1289" i="2"/>
  <c r="T1289" i="2"/>
  <c r="S1289" i="2"/>
  <c r="R1289" i="2"/>
  <c r="Q1289" i="2"/>
  <c r="P1289" i="2"/>
  <c r="N1289" i="2"/>
  <c r="BE1288" i="2"/>
  <c r="BD1288" i="2"/>
  <c r="BC1288" i="2"/>
  <c r="AY1288" i="2"/>
  <c r="AV1288" i="2"/>
  <c r="Z1288" i="2"/>
  <c r="Y1288" i="2"/>
  <c r="X1288" i="2"/>
  <c r="W1288" i="2"/>
  <c r="V1288" i="2"/>
  <c r="U1288" i="2"/>
  <c r="T1288" i="2"/>
  <c r="S1288" i="2"/>
  <c r="R1288" i="2"/>
  <c r="Q1288" i="2"/>
  <c r="P1288" i="2"/>
  <c r="N1288" i="2"/>
  <c r="BE1287" i="2"/>
  <c r="BD1287" i="2"/>
  <c r="BC1287" i="2"/>
  <c r="AY1287" i="2"/>
  <c r="AV1287" i="2"/>
  <c r="Z1287" i="2"/>
  <c r="Y1287" i="2"/>
  <c r="X1287" i="2"/>
  <c r="W1287" i="2"/>
  <c r="V1287" i="2"/>
  <c r="U1287" i="2"/>
  <c r="T1287" i="2"/>
  <c r="S1287" i="2"/>
  <c r="R1287" i="2"/>
  <c r="Q1287" i="2"/>
  <c r="P1287" i="2"/>
  <c r="N1287" i="2"/>
  <c r="BE1286" i="2"/>
  <c r="BD1286" i="2"/>
  <c r="BC1286" i="2"/>
  <c r="AY1286" i="2"/>
  <c r="AV1286" i="2"/>
  <c r="Z1286" i="2"/>
  <c r="Y1286" i="2"/>
  <c r="X1286" i="2"/>
  <c r="W1286" i="2"/>
  <c r="V1286" i="2"/>
  <c r="U1286" i="2"/>
  <c r="T1286" i="2"/>
  <c r="S1286" i="2"/>
  <c r="R1286" i="2"/>
  <c r="Q1286" i="2"/>
  <c r="P1286" i="2"/>
  <c r="BE1285" i="2"/>
  <c r="BD1285" i="2"/>
  <c r="BC1285" i="2"/>
  <c r="AY1285" i="2"/>
  <c r="AV1285" i="2"/>
  <c r="Z1285" i="2"/>
  <c r="Y1285" i="2"/>
  <c r="X1285" i="2"/>
  <c r="W1285" i="2"/>
  <c r="V1285" i="2"/>
  <c r="U1285" i="2"/>
  <c r="T1285" i="2"/>
  <c r="S1285" i="2"/>
  <c r="R1285" i="2"/>
  <c r="Q1285" i="2"/>
  <c r="P1285" i="2"/>
  <c r="N1285" i="2"/>
  <c r="N1262" i="2"/>
  <c r="BE1261" i="2"/>
  <c r="BD1261" i="2"/>
  <c r="BC1261" i="2"/>
  <c r="AY1261" i="2"/>
  <c r="AV1261" i="2"/>
  <c r="Z1261" i="2"/>
  <c r="Y1261" i="2"/>
  <c r="X1261" i="2"/>
  <c r="W1261" i="2"/>
  <c r="V1261" i="2"/>
  <c r="U1261" i="2"/>
  <c r="T1261" i="2"/>
  <c r="S1261" i="2"/>
  <c r="R1261" i="2"/>
  <c r="Q1261" i="2"/>
  <c r="P1261" i="2"/>
  <c r="N1261" i="2"/>
  <c r="BE1260" i="2"/>
  <c r="BD1260" i="2"/>
  <c r="BC1260" i="2"/>
  <c r="AY1260" i="2"/>
  <c r="AV1260" i="2"/>
  <c r="Z1260" i="2"/>
  <c r="Y1260" i="2"/>
  <c r="X1260" i="2"/>
  <c r="W1260" i="2"/>
  <c r="V1260" i="2"/>
  <c r="U1260" i="2"/>
  <c r="T1260" i="2"/>
  <c r="S1260" i="2"/>
  <c r="R1260" i="2"/>
  <c r="Q1260" i="2"/>
  <c r="P1260" i="2"/>
  <c r="N1260" i="2"/>
  <c r="BE1259" i="2"/>
  <c r="BD1259" i="2"/>
  <c r="BC1259" i="2"/>
  <c r="AY1259" i="2"/>
  <c r="AV1259" i="2"/>
  <c r="Z1259" i="2"/>
  <c r="Y1259" i="2"/>
  <c r="X1259" i="2"/>
  <c r="W1259" i="2"/>
  <c r="V1259" i="2"/>
  <c r="U1259" i="2"/>
  <c r="T1259" i="2"/>
  <c r="S1259" i="2"/>
  <c r="R1259" i="2"/>
  <c r="Q1259" i="2"/>
  <c r="P1259" i="2"/>
  <c r="N1259" i="2"/>
  <c r="BE1258" i="2"/>
  <c r="BD1258" i="2"/>
  <c r="BC1258" i="2"/>
  <c r="AY1258" i="2"/>
  <c r="AV1258" i="2"/>
  <c r="Z1258" i="2"/>
  <c r="Y1258" i="2"/>
  <c r="X1258" i="2"/>
  <c r="W1258" i="2"/>
  <c r="V1258" i="2"/>
  <c r="U1258" i="2"/>
  <c r="T1258" i="2"/>
  <c r="S1258" i="2"/>
  <c r="R1258" i="2"/>
  <c r="Q1258" i="2"/>
  <c r="P1258" i="2"/>
  <c r="N1258" i="2"/>
  <c r="BE1257" i="2"/>
  <c r="BD1257" i="2"/>
  <c r="BC1257" i="2"/>
  <c r="AY1257" i="2"/>
  <c r="AV1257" i="2"/>
  <c r="Z1257" i="2"/>
  <c r="Y1257" i="2"/>
  <c r="X1257" i="2"/>
  <c r="W1257" i="2"/>
  <c r="V1257" i="2"/>
  <c r="U1257" i="2"/>
  <c r="T1257" i="2"/>
  <c r="S1257" i="2"/>
  <c r="R1257" i="2"/>
  <c r="Q1257" i="2"/>
  <c r="P1257" i="2"/>
  <c r="N1257" i="2"/>
  <c r="BE1256" i="2"/>
  <c r="BD1256" i="2"/>
  <c r="BC1256" i="2"/>
  <c r="AY1256" i="2"/>
  <c r="AV1256" i="2"/>
  <c r="Z1256" i="2"/>
  <c r="Y1256" i="2"/>
  <c r="X1256" i="2"/>
  <c r="W1256" i="2"/>
  <c r="V1256" i="2"/>
  <c r="U1256" i="2"/>
  <c r="T1256" i="2"/>
  <c r="S1256" i="2"/>
  <c r="R1256" i="2"/>
  <c r="Q1256" i="2"/>
  <c r="P1256" i="2"/>
  <c r="BE1255" i="2"/>
  <c r="BD1255" i="2"/>
  <c r="BC1255" i="2"/>
  <c r="AY1255" i="2"/>
  <c r="AV1255" i="2"/>
  <c r="Z1255" i="2"/>
  <c r="Y1255" i="2"/>
  <c r="X1255" i="2"/>
  <c r="W1255" i="2"/>
  <c r="V1255" i="2"/>
  <c r="U1255" i="2"/>
  <c r="T1255" i="2"/>
  <c r="S1255" i="2"/>
  <c r="R1255" i="2"/>
  <c r="Q1255" i="2"/>
  <c r="P1255" i="2"/>
  <c r="N1255" i="2"/>
  <c r="M1294" i="2"/>
  <c r="M1324" i="2"/>
  <c r="M1293" i="2"/>
  <c r="M1323" i="2"/>
  <c r="M1292" i="2"/>
  <c r="M1322" i="2"/>
  <c r="M1291" i="2"/>
  <c r="M1321" i="2"/>
  <c r="M1290" i="2"/>
  <c r="M1320" i="2"/>
  <c r="M1289" i="2"/>
  <c r="M1319" i="2"/>
  <c r="M1288" i="2"/>
  <c r="M1318" i="2"/>
  <c r="M1287" i="2"/>
  <c r="M1317" i="2"/>
  <c r="M1286" i="2"/>
  <c r="M1316" i="2"/>
  <c r="M1285" i="2"/>
  <c r="M1315" i="2"/>
  <c r="M1284" i="2"/>
  <c r="M1314" i="2"/>
  <c r="M1283" i="2"/>
  <c r="M1313" i="2"/>
  <c r="M1282" i="2"/>
  <c r="M1312" i="2"/>
  <c r="M1281" i="2"/>
  <c r="M1311" i="2"/>
  <c r="M1280" i="2"/>
  <c r="M1310" i="2"/>
  <c r="M1264" i="2"/>
  <c r="M1263" i="2"/>
  <c r="M1262" i="2"/>
  <c r="M1261" i="2"/>
  <c r="M1260" i="2"/>
  <c r="M1259" i="2"/>
  <c r="M1258" i="2"/>
  <c r="M1257" i="2"/>
  <c r="M1256" i="2"/>
  <c r="M1255" i="2"/>
  <c r="M1254" i="2"/>
  <c r="M1253" i="2"/>
  <c r="M1252" i="2"/>
  <c r="M1251" i="2"/>
  <c r="M1250" i="2"/>
  <c r="M1265" i="2"/>
  <c r="I1506" i="2"/>
  <c r="H1506" i="2"/>
  <c r="G1506" i="2"/>
  <c r="E1506" i="2"/>
  <c r="D1506" i="2"/>
  <c r="C1506" i="2"/>
  <c r="I1497" i="2"/>
  <c r="H1497" i="2"/>
  <c r="G1497" i="2"/>
  <c r="E1497" i="2"/>
  <c r="D1497" i="2"/>
  <c r="C1497" i="2"/>
  <c r="I1474" i="2"/>
  <c r="H1474" i="2"/>
  <c r="G1474" i="2"/>
  <c r="E1474" i="2"/>
  <c r="D1474" i="2"/>
  <c r="C1474" i="2"/>
  <c r="I1465" i="2"/>
  <c r="H1465" i="2"/>
  <c r="G1465" i="2"/>
  <c r="E1465" i="2"/>
  <c r="D1465" i="2"/>
  <c r="C1465" i="2"/>
  <c r="I1442" i="2"/>
  <c r="H1442" i="2"/>
  <c r="G1442" i="2"/>
  <c r="E1442" i="2"/>
  <c r="C1442" i="2"/>
  <c r="I1434" i="2"/>
  <c r="H1434" i="2"/>
  <c r="G1434" i="2"/>
  <c r="E1434" i="2"/>
  <c r="C1434" i="2"/>
  <c r="I1412" i="2"/>
  <c r="H1412" i="2"/>
  <c r="G1412" i="2"/>
  <c r="E1412" i="2"/>
  <c r="C1412" i="2"/>
  <c r="I1404" i="2"/>
  <c r="H1404" i="2"/>
  <c r="G1404" i="2"/>
  <c r="E1404" i="2"/>
  <c r="C1404" i="2"/>
  <c r="I1382" i="2"/>
  <c r="H1382" i="2"/>
  <c r="G1382" i="2"/>
  <c r="E1382" i="2"/>
  <c r="D1382" i="2"/>
  <c r="C1382" i="2"/>
  <c r="I1374" i="2"/>
  <c r="H1374" i="2"/>
  <c r="G1374" i="2"/>
  <c r="E1374" i="2"/>
  <c r="D1374" i="2"/>
  <c r="C1374" i="2"/>
  <c r="I1352" i="2"/>
  <c r="H1352" i="2"/>
  <c r="G1352" i="2"/>
  <c r="E1352" i="2"/>
  <c r="D1352" i="2"/>
  <c r="C1352" i="2"/>
  <c r="I1344" i="2"/>
  <c r="H1344" i="2"/>
  <c r="G1344" i="2"/>
  <c r="E1344" i="2"/>
  <c r="D1344" i="2"/>
  <c r="C1344" i="2"/>
  <c r="I1322" i="2"/>
  <c r="H1322" i="2"/>
  <c r="G1322" i="2"/>
  <c r="E1322" i="2"/>
  <c r="D1322" i="2"/>
  <c r="C1322" i="2"/>
  <c r="I1314" i="2"/>
  <c r="H1314" i="2"/>
  <c r="G1314" i="2"/>
  <c r="E1314" i="2"/>
  <c r="D1314" i="2"/>
  <c r="C1314" i="2"/>
  <c r="I1292" i="2"/>
  <c r="H1292" i="2"/>
  <c r="G1292" i="2"/>
  <c r="E1292" i="2"/>
  <c r="D1292" i="2"/>
  <c r="C1292" i="2"/>
  <c r="I1262" i="2"/>
  <c r="H1262" i="2"/>
  <c r="G1262" i="2"/>
  <c r="E1262" i="2"/>
  <c r="D1262" i="2"/>
  <c r="C1262" i="2"/>
  <c r="I1538" i="2"/>
  <c r="H1538" i="2"/>
  <c r="G1538" i="2"/>
  <c r="E1538" i="2"/>
  <c r="D1538" i="2"/>
  <c r="C1538" i="2"/>
  <c r="I1529" i="2"/>
  <c r="H1529" i="2"/>
  <c r="G1529" i="2"/>
  <c r="E1529" i="2"/>
  <c r="D1529" i="2"/>
  <c r="C1529" i="2"/>
  <c r="E1567" i="2"/>
  <c r="D1567" i="2"/>
  <c r="C1567" i="2"/>
  <c r="E1559" i="2"/>
  <c r="D1559" i="2"/>
  <c r="C1559" i="2"/>
  <c r="E1597" i="2"/>
  <c r="C1597" i="2"/>
  <c r="E1589" i="2"/>
  <c r="C1589" i="2"/>
  <c r="A1585" i="2"/>
  <c r="A1586" i="2"/>
  <c r="A1587" i="2"/>
  <c r="A1588" i="2"/>
  <c r="A1589" i="2"/>
  <c r="A1590" i="2"/>
  <c r="A1591" i="2"/>
  <c r="A1592" i="2"/>
  <c r="A1593" i="2"/>
  <c r="A1594" i="2"/>
  <c r="A1595" i="2"/>
  <c r="A1596" i="2"/>
  <c r="A1597" i="2"/>
  <c r="A1598" i="2"/>
  <c r="A1599" i="2"/>
  <c r="A1555" i="2"/>
  <c r="A1556" i="2"/>
  <c r="A1557" i="2"/>
  <c r="A1558" i="2"/>
  <c r="A1559" i="2"/>
  <c r="A1560" i="2"/>
  <c r="A1561" i="2"/>
  <c r="A1562" i="2"/>
  <c r="A1563" i="2"/>
  <c r="A1564" i="2"/>
  <c r="A1565" i="2"/>
  <c r="A1566" i="2"/>
  <c r="A1567" i="2"/>
  <c r="A1568" i="2"/>
  <c r="A1569" i="2"/>
  <c r="A1525" i="2"/>
  <c r="A1526" i="2"/>
  <c r="A1527" i="2"/>
  <c r="A1528" i="2"/>
  <c r="A1529" i="2"/>
  <c r="A1530" i="2"/>
  <c r="A1531" i="2"/>
  <c r="A1532" i="2"/>
  <c r="A1533" i="2"/>
  <c r="A1534" i="2"/>
  <c r="A1535" i="2"/>
  <c r="A1536" i="2"/>
  <c r="A1537" i="2"/>
  <c r="A1538" i="2"/>
  <c r="A1539" i="2"/>
  <c r="A1493" i="2"/>
  <c r="A1494" i="2"/>
  <c r="A1495" i="2"/>
  <c r="A1496" i="2"/>
  <c r="A1497" i="2"/>
  <c r="A1498" i="2"/>
  <c r="A1499" i="2"/>
  <c r="A1500" i="2"/>
  <c r="A1501" i="2"/>
  <c r="A1502" i="2"/>
  <c r="A1503" i="2"/>
  <c r="A1504" i="2"/>
  <c r="A1505" i="2"/>
  <c r="A1506" i="2"/>
  <c r="A1507" i="2"/>
  <c r="A1508" i="2"/>
  <c r="A1461" i="2"/>
  <c r="A1462" i="2"/>
  <c r="A1463" i="2"/>
  <c r="A1464" i="2"/>
  <c r="A1465" i="2"/>
  <c r="A1466" i="2"/>
  <c r="A1467" i="2"/>
  <c r="A1468" i="2"/>
  <c r="A1469" i="2"/>
  <c r="A1470" i="2"/>
  <c r="A1471" i="2"/>
  <c r="A1472" i="2"/>
  <c r="A1473" i="2"/>
  <c r="A1474" i="2"/>
  <c r="A1475" i="2"/>
  <c r="A1476" i="2"/>
  <c r="A1430" i="2"/>
  <c r="A1431" i="2"/>
  <c r="A1432" i="2"/>
  <c r="A1433" i="2"/>
  <c r="A1434" i="2"/>
  <c r="A1435" i="2"/>
  <c r="A1436" i="2"/>
  <c r="A1437" i="2"/>
  <c r="A1438" i="2"/>
  <c r="A1439" i="2"/>
  <c r="A1440" i="2"/>
  <c r="A1441" i="2"/>
  <c r="A1442" i="2"/>
  <c r="A1443" i="2"/>
  <c r="A1444" i="2"/>
  <c r="A1400" i="2"/>
  <c r="A1401" i="2"/>
  <c r="A1402" i="2"/>
  <c r="A1403" i="2"/>
  <c r="A1404" i="2"/>
  <c r="A1405" i="2"/>
  <c r="A1406" i="2"/>
  <c r="A1407" i="2"/>
  <c r="A1408" i="2"/>
  <c r="A1409" i="2"/>
  <c r="A1410" i="2"/>
  <c r="A1411" i="2"/>
  <c r="A1412" i="2"/>
  <c r="A1413" i="2"/>
  <c r="A1414" i="2"/>
  <c r="A1370" i="2"/>
  <c r="A1371" i="2"/>
  <c r="A1372" i="2"/>
  <c r="A1373" i="2"/>
  <c r="A1374" i="2"/>
  <c r="A1375" i="2"/>
  <c r="A1376" i="2"/>
  <c r="A1377" i="2"/>
  <c r="A1378" i="2"/>
  <c r="A1379" i="2"/>
  <c r="A1380" i="2"/>
  <c r="A1381" i="2"/>
  <c r="A1382" i="2"/>
  <c r="A1383" i="2"/>
  <c r="A1384" i="2"/>
  <c r="A1340" i="2"/>
  <c r="A1341" i="2"/>
  <c r="A1342" i="2"/>
  <c r="A1343" i="2"/>
  <c r="A1344" i="2"/>
  <c r="A1345" i="2"/>
  <c r="A1346" i="2"/>
  <c r="A1347" i="2"/>
  <c r="A1348" i="2"/>
  <c r="A1349" i="2"/>
  <c r="A1350" i="2"/>
  <c r="A1351" i="2"/>
  <c r="A1352" i="2"/>
  <c r="A1353" i="2"/>
  <c r="A1354" i="2"/>
  <c r="A1310" i="2"/>
  <c r="A1311" i="2"/>
  <c r="A1312" i="2"/>
  <c r="A1313" i="2"/>
  <c r="A1314" i="2"/>
  <c r="A1315" i="2"/>
  <c r="A1316" i="2"/>
  <c r="A1317" i="2"/>
  <c r="A1318" i="2"/>
  <c r="A1319" i="2"/>
  <c r="A1320" i="2"/>
  <c r="A1321" i="2"/>
  <c r="A1322" i="2"/>
  <c r="A1323" i="2"/>
  <c r="A1324" i="2"/>
  <c r="A1280" i="2"/>
  <c r="A1281" i="2"/>
  <c r="A1282" i="2"/>
  <c r="A1283" i="2"/>
  <c r="A1284" i="2"/>
  <c r="A1285" i="2"/>
  <c r="A1286" i="2"/>
  <c r="A1287" i="2"/>
  <c r="A1288" i="2"/>
  <c r="A1289" i="2"/>
  <c r="A1290" i="2"/>
  <c r="A1291" i="2"/>
  <c r="A1292" i="2"/>
  <c r="A1293" i="2"/>
  <c r="A1294" i="2"/>
  <c r="A1250" i="2"/>
  <c r="A1251" i="2"/>
  <c r="A1252" i="2"/>
  <c r="A1253" i="2"/>
  <c r="A1254" i="2"/>
  <c r="A1255" i="2"/>
  <c r="A1256" i="2"/>
  <c r="A1257" i="2"/>
  <c r="A1258" i="2"/>
  <c r="A1259" i="2"/>
  <c r="A1260" i="2"/>
  <c r="A1261" i="2"/>
  <c r="A1262" i="2"/>
  <c r="A1263" i="2"/>
  <c r="A1264" i="2"/>
  <c r="N1187" i="2"/>
  <c r="N1186" i="2"/>
  <c r="N1185" i="2"/>
  <c r="N1184" i="2"/>
  <c r="N1183" i="2"/>
  <c r="N1182" i="2"/>
  <c r="N1181" i="2"/>
  <c r="N1180" i="2"/>
  <c r="N1157" i="2"/>
  <c r="BE1156" i="2"/>
  <c r="BD1156" i="2"/>
  <c r="BC1156" i="2"/>
  <c r="AY1156" i="2"/>
  <c r="AV1156" i="2"/>
  <c r="Z1156" i="2"/>
  <c r="Y1156" i="2"/>
  <c r="X1156" i="2"/>
  <c r="W1156" i="2"/>
  <c r="V1156" i="2"/>
  <c r="U1156" i="2"/>
  <c r="T1156" i="2"/>
  <c r="S1156" i="2"/>
  <c r="R1156" i="2"/>
  <c r="Q1156" i="2"/>
  <c r="P1156" i="2"/>
  <c r="N1156" i="2"/>
  <c r="BE1155" i="2"/>
  <c r="BD1155" i="2"/>
  <c r="BC1155" i="2"/>
  <c r="AY1155" i="2"/>
  <c r="AV1155" i="2"/>
  <c r="Z1155" i="2"/>
  <c r="Y1155" i="2"/>
  <c r="X1155" i="2"/>
  <c r="W1155" i="2"/>
  <c r="V1155" i="2"/>
  <c r="U1155" i="2"/>
  <c r="T1155" i="2"/>
  <c r="S1155" i="2"/>
  <c r="R1155" i="2"/>
  <c r="Q1155" i="2"/>
  <c r="P1155" i="2"/>
  <c r="N1155" i="2"/>
  <c r="BE1154" i="2"/>
  <c r="BD1154" i="2"/>
  <c r="BC1154" i="2"/>
  <c r="AY1154" i="2"/>
  <c r="AV1154" i="2"/>
  <c r="Z1154" i="2"/>
  <c r="Y1154" i="2"/>
  <c r="X1154" i="2"/>
  <c r="W1154" i="2"/>
  <c r="V1154" i="2"/>
  <c r="U1154" i="2"/>
  <c r="T1154" i="2"/>
  <c r="S1154" i="2"/>
  <c r="R1154" i="2"/>
  <c r="Q1154" i="2"/>
  <c r="P1154" i="2"/>
  <c r="N1154" i="2"/>
  <c r="BE1153" i="2"/>
  <c r="BD1153" i="2"/>
  <c r="BC1153" i="2"/>
  <c r="AY1153" i="2"/>
  <c r="AV1153" i="2"/>
  <c r="Z1153" i="2"/>
  <c r="Y1153" i="2"/>
  <c r="X1153" i="2"/>
  <c r="W1153" i="2"/>
  <c r="V1153" i="2"/>
  <c r="U1153" i="2"/>
  <c r="T1153" i="2"/>
  <c r="S1153" i="2"/>
  <c r="R1153" i="2"/>
  <c r="Q1153" i="2"/>
  <c r="P1153" i="2"/>
  <c r="N1153" i="2"/>
  <c r="BE1152" i="2"/>
  <c r="BD1152" i="2"/>
  <c r="BC1152" i="2"/>
  <c r="AY1152" i="2"/>
  <c r="AV1152" i="2"/>
  <c r="Z1152" i="2"/>
  <c r="Y1152" i="2"/>
  <c r="X1152" i="2"/>
  <c r="W1152" i="2"/>
  <c r="V1152" i="2"/>
  <c r="U1152" i="2"/>
  <c r="T1152" i="2"/>
  <c r="S1152" i="2"/>
  <c r="R1152" i="2"/>
  <c r="Q1152" i="2"/>
  <c r="P1152" i="2"/>
  <c r="N1152" i="2"/>
  <c r="BE1151" i="2"/>
  <c r="BD1151" i="2"/>
  <c r="BC1151" i="2"/>
  <c r="AY1151" i="2"/>
  <c r="AV1151" i="2"/>
  <c r="Z1151" i="2"/>
  <c r="Y1151" i="2"/>
  <c r="X1151" i="2"/>
  <c r="W1151" i="2"/>
  <c r="V1151" i="2"/>
  <c r="U1151" i="2"/>
  <c r="T1151" i="2"/>
  <c r="S1151" i="2"/>
  <c r="R1151" i="2"/>
  <c r="Q1151" i="2"/>
  <c r="P1151" i="2"/>
  <c r="N1151" i="2"/>
  <c r="BE1150" i="2"/>
  <c r="BD1150" i="2"/>
  <c r="BC1150" i="2"/>
  <c r="AY1150" i="2"/>
  <c r="AV1150" i="2"/>
  <c r="Z1150" i="2"/>
  <c r="Y1150" i="2"/>
  <c r="X1150" i="2"/>
  <c r="W1150" i="2"/>
  <c r="V1150" i="2"/>
  <c r="U1150" i="2"/>
  <c r="T1150" i="2"/>
  <c r="S1150" i="2"/>
  <c r="R1150" i="2"/>
  <c r="Q1150" i="2"/>
  <c r="P1150" i="2"/>
  <c r="N1150" i="2"/>
  <c r="BE1126" i="2"/>
  <c r="BD1126" i="2"/>
  <c r="BC1126" i="2"/>
  <c r="BE1125" i="2"/>
  <c r="BD1125" i="2"/>
  <c r="BC1125" i="2"/>
  <c r="BE1124" i="2"/>
  <c r="BD1124" i="2"/>
  <c r="BC1124" i="2"/>
  <c r="BE1123" i="2"/>
  <c r="BD1123" i="2"/>
  <c r="BC1123" i="2"/>
  <c r="BE1122" i="2"/>
  <c r="BD1122" i="2"/>
  <c r="BC1122" i="2"/>
  <c r="BE1121" i="2"/>
  <c r="BD1121" i="2"/>
  <c r="BC1121" i="2"/>
  <c r="BE1120" i="2"/>
  <c r="BD1120" i="2"/>
  <c r="BC1120" i="2"/>
  <c r="N1097" i="2"/>
  <c r="BE1096" i="2"/>
  <c r="BD1096" i="2"/>
  <c r="BC1096" i="2"/>
  <c r="AY1096" i="2"/>
  <c r="AV1096" i="2"/>
  <c r="Z1096" i="2"/>
  <c r="Y1096" i="2"/>
  <c r="X1096" i="2"/>
  <c r="W1096" i="2"/>
  <c r="V1096" i="2"/>
  <c r="U1096" i="2"/>
  <c r="T1096" i="2"/>
  <c r="S1096" i="2"/>
  <c r="R1096" i="2"/>
  <c r="Q1096" i="2"/>
  <c r="P1096" i="2"/>
  <c r="N1096" i="2"/>
  <c r="BE1095" i="2"/>
  <c r="BD1095" i="2"/>
  <c r="BC1095" i="2"/>
  <c r="AY1095" i="2"/>
  <c r="AV1095" i="2"/>
  <c r="Z1095" i="2"/>
  <c r="Y1095" i="2"/>
  <c r="X1095" i="2"/>
  <c r="W1095" i="2"/>
  <c r="V1095" i="2"/>
  <c r="U1095" i="2"/>
  <c r="T1095" i="2"/>
  <c r="S1095" i="2"/>
  <c r="R1095" i="2"/>
  <c r="Q1095" i="2"/>
  <c r="P1095" i="2"/>
  <c r="N1095" i="2"/>
  <c r="BE1094" i="2"/>
  <c r="BD1094" i="2"/>
  <c r="BC1094" i="2"/>
  <c r="AY1094" i="2"/>
  <c r="AV1094" i="2"/>
  <c r="Z1094" i="2"/>
  <c r="Y1094" i="2"/>
  <c r="X1094" i="2"/>
  <c r="W1094" i="2"/>
  <c r="V1094" i="2"/>
  <c r="U1094" i="2"/>
  <c r="T1094" i="2"/>
  <c r="S1094" i="2"/>
  <c r="R1094" i="2"/>
  <c r="Q1094" i="2"/>
  <c r="P1094" i="2"/>
  <c r="N1094" i="2"/>
  <c r="BE1093" i="2"/>
  <c r="BD1093" i="2"/>
  <c r="BC1093" i="2"/>
  <c r="AY1093" i="2"/>
  <c r="AV1093" i="2"/>
  <c r="Z1093" i="2"/>
  <c r="Y1093" i="2"/>
  <c r="X1093" i="2"/>
  <c r="W1093" i="2"/>
  <c r="V1093" i="2"/>
  <c r="U1093" i="2"/>
  <c r="T1093" i="2"/>
  <c r="S1093" i="2"/>
  <c r="R1093" i="2"/>
  <c r="Q1093" i="2"/>
  <c r="P1093" i="2"/>
  <c r="N1093" i="2"/>
  <c r="BE1092" i="2"/>
  <c r="BD1092" i="2"/>
  <c r="BC1092" i="2"/>
  <c r="AY1092" i="2"/>
  <c r="AV1092" i="2"/>
  <c r="Z1092" i="2"/>
  <c r="Y1092" i="2"/>
  <c r="X1092" i="2"/>
  <c r="W1092" i="2"/>
  <c r="V1092" i="2"/>
  <c r="U1092" i="2"/>
  <c r="T1092" i="2"/>
  <c r="S1092" i="2"/>
  <c r="R1092" i="2"/>
  <c r="Q1092" i="2"/>
  <c r="P1092" i="2"/>
  <c r="N1092" i="2"/>
  <c r="BE1091" i="2"/>
  <c r="BD1091" i="2"/>
  <c r="BC1091" i="2"/>
  <c r="AY1091" i="2"/>
  <c r="AV1091" i="2"/>
  <c r="Z1091" i="2"/>
  <c r="Y1091" i="2"/>
  <c r="X1091" i="2"/>
  <c r="W1091" i="2"/>
  <c r="V1091" i="2"/>
  <c r="U1091" i="2"/>
  <c r="T1091" i="2"/>
  <c r="S1091" i="2"/>
  <c r="R1091" i="2"/>
  <c r="Q1091" i="2"/>
  <c r="P1091" i="2"/>
  <c r="N1091" i="2"/>
  <c r="BE1090" i="2"/>
  <c r="BD1090" i="2"/>
  <c r="BC1090" i="2"/>
  <c r="AY1090" i="2"/>
  <c r="AV1090" i="2"/>
  <c r="Z1090" i="2"/>
  <c r="Y1090" i="2"/>
  <c r="X1090" i="2"/>
  <c r="W1090" i="2"/>
  <c r="V1090" i="2"/>
  <c r="U1090" i="2"/>
  <c r="T1090" i="2"/>
  <c r="S1090" i="2"/>
  <c r="R1090" i="2"/>
  <c r="Q1090" i="2"/>
  <c r="P1090" i="2"/>
  <c r="N1090" i="2"/>
  <c r="N1067" i="2"/>
  <c r="N1066" i="2"/>
  <c r="N1065" i="2"/>
  <c r="N1064" i="2"/>
  <c r="N1063" i="2"/>
  <c r="N1062" i="2"/>
  <c r="N1061" i="2"/>
  <c r="N1060" i="2"/>
  <c r="N921" i="2"/>
  <c r="N947" i="2"/>
  <c r="N946" i="2"/>
  <c r="N945" i="2"/>
  <c r="N944" i="2"/>
  <c r="N943" i="2"/>
  <c r="N942" i="2"/>
  <c r="N941" i="2"/>
  <c r="N940" i="2"/>
  <c r="Z946" i="2"/>
  <c r="Y946" i="2"/>
  <c r="X946" i="2"/>
  <c r="W946" i="2"/>
  <c r="V946" i="2"/>
  <c r="U946" i="2"/>
  <c r="T946" i="2"/>
  <c r="S946" i="2"/>
  <c r="R946" i="2"/>
  <c r="Q946" i="2"/>
  <c r="P946" i="2"/>
  <c r="Z945" i="2"/>
  <c r="Y945" i="2"/>
  <c r="X945" i="2"/>
  <c r="W945" i="2"/>
  <c r="V945" i="2"/>
  <c r="U945" i="2"/>
  <c r="T945" i="2"/>
  <c r="S945" i="2"/>
  <c r="R945" i="2"/>
  <c r="Q945" i="2"/>
  <c r="P945" i="2"/>
  <c r="Z944" i="2"/>
  <c r="Y944" i="2"/>
  <c r="X944" i="2"/>
  <c r="W944" i="2"/>
  <c r="V944" i="2"/>
  <c r="U944" i="2"/>
  <c r="T944" i="2"/>
  <c r="S944" i="2"/>
  <c r="R944" i="2"/>
  <c r="Q944" i="2"/>
  <c r="P944" i="2"/>
  <c r="Z943" i="2"/>
  <c r="Y943" i="2"/>
  <c r="X943" i="2"/>
  <c r="W943" i="2"/>
  <c r="V943" i="2"/>
  <c r="U943" i="2"/>
  <c r="T943" i="2"/>
  <c r="S943" i="2"/>
  <c r="R943" i="2"/>
  <c r="Q943" i="2"/>
  <c r="P943" i="2"/>
  <c r="Z942" i="2"/>
  <c r="Y942" i="2"/>
  <c r="X942" i="2"/>
  <c r="W942" i="2"/>
  <c r="V942" i="2"/>
  <c r="U942" i="2"/>
  <c r="T942" i="2"/>
  <c r="S942" i="2"/>
  <c r="R942" i="2"/>
  <c r="Q942" i="2"/>
  <c r="P942" i="2"/>
  <c r="Z941" i="2"/>
  <c r="Y941" i="2"/>
  <c r="X941" i="2"/>
  <c r="W941" i="2"/>
  <c r="V941" i="2"/>
  <c r="U941" i="2"/>
  <c r="T941" i="2"/>
  <c r="S941" i="2"/>
  <c r="R941" i="2"/>
  <c r="Q941" i="2"/>
  <c r="P941" i="2"/>
  <c r="Z940" i="2"/>
  <c r="Y940" i="2"/>
  <c r="X940" i="2"/>
  <c r="W940" i="2"/>
  <c r="V940" i="2"/>
  <c r="U940" i="2"/>
  <c r="T940" i="2"/>
  <c r="S940" i="2"/>
  <c r="R940" i="2"/>
  <c r="Q940" i="2"/>
  <c r="P940" i="2"/>
  <c r="BE946" i="2"/>
  <c r="BD946" i="2"/>
  <c r="BC946" i="2"/>
  <c r="BE945" i="2"/>
  <c r="BD945" i="2"/>
  <c r="BC945" i="2"/>
  <c r="BE944" i="2"/>
  <c r="BD944" i="2"/>
  <c r="BC944" i="2"/>
  <c r="BE943" i="2"/>
  <c r="BD943" i="2"/>
  <c r="BC943" i="2"/>
  <c r="BE942" i="2"/>
  <c r="BD942" i="2"/>
  <c r="BC942" i="2"/>
  <c r="BE941" i="2"/>
  <c r="BD941" i="2"/>
  <c r="BC941" i="2"/>
  <c r="BE940" i="2"/>
  <c r="BD940" i="2"/>
  <c r="BC940" i="2"/>
  <c r="AY946" i="2"/>
  <c r="AY945" i="2"/>
  <c r="AY944" i="2"/>
  <c r="AY943" i="2"/>
  <c r="AY942" i="2"/>
  <c r="AY941" i="2"/>
  <c r="AY940" i="2"/>
  <c r="AV946" i="2"/>
  <c r="AV945" i="2"/>
  <c r="AV944" i="2"/>
  <c r="AV943" i="2"/>
  <c r="AV942" i="2"/>
  <c r="AV941" i="2"/>
  <c r="AV940" i="2"/>
  <c r="M1129" i="2"/>
  <c r="M1128" i="2"/>
  <c r="M1127" i="2"/>
  <c r="M1126" i="2"/>
  <c r="M1125" i="2"/>
  <c r="M1124" i="2"/>
  <c r="M1123" i="2"/>
  <c r="M1122" i="2"/>
  <c r="M1121" i="2"/>
  <c r="M1120" i="2"/>
  <c r="M1119" i="2"/>
  <c r="M1118" i="2"/>
  <c r="M1117" i="2"/>
  <c r="M1116" i="2"/>
  <c r="M1115" i="2"/>
  <c r="M979" i="2"/>
  <c r="M978" i="2"/>
  <c r="M977" i="2"/>
  <c r="M976" i="2"/>
  <c r="M975" i="2"/>
  <c r="M974" i="2"/>
  <c r="M973" i="2"/>
  <c r="M972" i="2"/>
  <c r="M971" i="2"/>
  <c r="M970" i="2"/>
  <c r="M969" i="2"/>
  <c r="M968" i="2"/>
  <c r="M967" i="2"/>
  <c r="M966" i="2"/>
  <c r="M965" i="2"/>
  <c r="M1009" i="2"/>
  <c r="M1008" i="2"/>
  <c r="M1007" i="2"/>
  <c r="M1006" i="2"/>
  <c r="M1005" i="2"/>
  <c r="M1004" i="2"/>
  <c r="M1003" i="2"/>
  <c r="M1002" i="2"/>
  <c r="M1001" i="2"/>
  <c r="M1000" i="2"/>
  <c r="M999" i="2"/>
  <c r="M998" i="2"/>
  <c r="M997" i="2"/>
  <c r="M996" i="2"/>
  <c r="M995" i="2"/>
  <c r="M1039" i="2"/>
  <c r="M1038" i="2"/>
  <c r="M1037" i="2"/>
  <c r="M1036" i="2"/>
  <c r="M1035" i="2"/>
  <c r="M1034" i="2"/>
  <c r="M1033" i="2"/>
  <c r="M1032" i="2"/>
  <c r="M1031" i="2"/>
  <c r="M1030" i="2"/>
  <c r="M1029" i="2"/>
  <c r="M1028" i="2"/>
  <c r="M1027" i="2"/>
  <c r="M1026" i="2"/>
  <c r="M1025" i="2"/>
  <c r="I947" i="2"/>
  <c r="H947" i="2"/>
  <c r="G947" i="2"/>
  <c r="E947" i="2"/>
  <c r="D947" i="2"/>
  <c r="C947" i="2"/>
  <c r="A947" i="2"/>
  <c r="I939" i="2"/>
  <c r="H939" i="2"/>
  <c r="G939" i="2"/>
  <c r="E939" i="2"/>
  <c r="D939" i="2"/>
  <c r="C939" i="2"/>
  <c r="A939" i="2"/>
  <c r="I977" i="2"/>
  <c r="H977" i="2"/>
  <c r="G977" i="2"/>
  <c r="E977" i="2"/>
  <c r="D977" i="2"/>
  <c r="C977" i="2"/>
  <c r="I969" i="2"/>
  <c r="H969" i="2"/>
  <c r="G969" i="2"/>
  <c r="E969" i="2"/>
  <c r="D969" i="2"/>
  <c r="C969" i="2"/>
  <c r="I1007" i="2"/>
  <c r="H1007" i="2"/>
  <c r="G1007" i="2"/>
  <c r="E1007" i="2"/>
  <c r="D1007" i="2"/>
  <c r="C1007" i="2"/>
  <c r="I999" i="2"/>
  <c r="H999" i="2"/>
  <c r="G999" i="2"/>
  <c r="E999" i="2"/>
  <c r="D999" i="2"/>
  <c r="C999" i="2"/>
  <c r="D1037" i="2"/>
  <c r="C1037" i="2"/>
  <c r="D1029" i="2"/>
  <c r="C1029" i="2"/>
  <c r="I1037" i="2"/>
  <c r="H1037" i="2"/>
  <c r="G1037" i="2"/>
  <c r="E1037" i="2"/>
  <c r="I1029" i="2"/>
  <c r="H1029" i="2"/>
  <c r="G1029" i="2"/>
  <c r="E1029" i="2"/>
  <c r="I1127" i="2"/>
  <c r="H1127" i="2"/>
  <c r="G1127" i="2"/>
  <c r="E1127" i="2"/>
  <c r="D1127" i="2"/>
  <c r="C1127" i="2"/>
  <c r="I1119" i="2"/>
  <c r="H1119" i="2"/>
  <c r="G1119" i="2"/>
  <c r="E1119" i="2"/>
  <c r="D1119" i="2"/>
  <c r="C1119" i="2"/>
  <c r="G1157" i="2"/>
  <c r="E1157" i="2"/>
  <c r="D1157" i="2"/>
  <c r="C1157" i="2"/>
  <c r="G1149" i="2"/>
  <c r="E1149" i="2"/>
  <c r="D1149" i="2"/>
  <c r="C1149" i="2"/>
  <c r="G1187" i="2"/>
  <c r="E1187" i="2"/>
  <c r="D1187" i="2"/>
  <c r="C1187" i="2"/>
  <c r="G1179" i="2"/>
  <c r="E1179" i="2"/>
  <c r="D1179" i="2"/>
  <c r="C1179" i="2"/>
  <c r="A1175" i="2"/>
  <c r="A1176" i="2"/>
  <c r="A1177" i="2"/>
  <c r="A1178" i="2"/>
  <c r="A1179" i="2"/>
  <c r="A1180" i="2"/>
  <c r="A1181" i="2"/>
  <c r="A1182" i="2"/>
  <c r="A1183" i="2"/>
  <c r="A1184" i="2"/>
  <c r="A1185" i="2"/>
  <c r="A1186" i="2"/>
  <c r="A1187" i="2"/>
  <c r="A1188" i="2"/>
  <c r="A1189" i="2"/>
  <c r="A1145" i="2"/>
  <c r="A1146" i="2"/>
  <c r="A1147" i="2"/>
  <c r="A1148" i="2"/>
  <c r="A1149" i="2"/>
  <c r="A1150" i="2"/>
  <c r="A1151" i="2"/>
  <c r="A1152" i="2"/>
  <c r="A1153" i="2"/>
  <c r="A1154" i="2"/>
  <c r="A1155" i="2"/>
  <c r="A1156" i="2"/>
  <c r="A1157" i="2"/>
  <c r="A1158" i="2"/>
  <c r="A1159" i="2"/>
  <c r="A1115" i="2"/>
  <c r="A1116" i="2"/>
  <c r="A1117" i="2"/>
  <c r="A1118" i="2"/>
  <c r="A1119" i="2"/>
  <c r="A1120" i="2"/>
  <c r="A1121" i="2"/>
  <c r="A1122" i="2"/>
  <c r="A1123" i="2"/>
  <c r="A1124" i="2"/>
  <c r="A1125" i="2"/>
  <c r="A1126" i="2"/>
  <c r="A1127" i="2"/>
  <c r="A1128" i="2"/>
  <c r="A1129" i="2"/>
  <c r="A1085" i="2"/>
  <c r="A1086" i="2"/>
  <c r="A1087" i="2"/>
  <c r="A1088" i="2"/>
  <c r="A1089" i="2"/>
  <c r="A1090" i="2"/>
  <c r="A1091" i="2"/>
  <c r="A1092" i="2"/>
  <c r="A1093" i="2"/>
  <c r="A1094" i="2"/>
  <c r="A1095" i="2"/>
  <c r="A1096" i="2"/>
  <c r="A1097" i="2"/>
  <c r="A1098" i="2"/>
  <c r="A1099" i="2"/>
  <c r="A1055" i="2"/>
  <c r="A1056" i="2"/>
  <c r="A1057" i="2"/>
  <c r="A1058" i="2"/>
  <c r="A1059" i="2"/>
  <c r="A1060" i="2"/>
  <c r="A1061" i="2"/>
  <c r="A1062" i="2"/>
  <c r="A1063" i="2"/>
  <c r="A1064" i="2"/>
  <c r="A1065" i="2"/>
  <c r="A1066" i="2"/>
  <c r="A1067" i="2"/>
  <c r="A1068" i="2"/>
  <c r="A1069" i="2"/>
  <c r="A1025" i="2"/>
  <c r="A1026" i="2"/>
  <c r="A1027" i="2"/>
  <c r="A1028" i="2"/>
  <c r="A1029" i="2"/>
  <c r="A1030" i="2"/>
  <c r="A1031" i="2"/>
  <c r="A1032" i="2"/>
  <c r="A1033" i="2"/>
  <c r="A1034" i="2"/>
  <c r="A1035" i="2"/>
  <c r="A1036" i="2"/>
  <c r="A1037" i="2"/>
  <c r="A1038" i="2"/>
  <c r="A1039" i="2"/>
  <c r="A995" i="2"/>
  <c r="A996" i="2"/>
  <c r="A997" i="2"/>
  <c r="A998" i="2"/>
  <c r="A999" i="2"/>
  <c r="A1000" i="2"/>
  <c r="A1001" i="2"/>
  <c r="A1002" i="2"/>
  <c r="A1003" i="2"/>
  <c r="A1004" i="2"/>
  <c r="A1005" i="2"/>
  <c r="A1006" i="2"/>
  <c r="A1007" i="2"/>
  <c r="A1008" i="2"/>
  <c r="A1009" i="2"/>
  <c r="A965" i="2"/>
  <c r="A966" i="2"/>
  <c r="A967" i="2"/>
  <c r="A968" i="2"/>
  <c r="A969" i="2"/>
  <c r="A970" i="2"/>
  <c r="A971" i="2"/>
  <c r="A972" i="2"/>
  <c r="A973" i="2"/>
  <c r="A974" i="2"/>
  <c r="A975" i="2"/>
  <c r="A976" i="2"/>
  <c r="A977" i="2"/>
  <c r="A978" i="2"/>
  <c r="A979" i="2"/>
  <c r="A935" i="2"/>
  <c r="A936" i="2"/>
  <c r="A937" i="2"/>
  <c r="A938" i="2"/>
  <c r="A940" i="2"/>
  <c r="A941" i="2"/>
  <c r="A942" i="2"/>
  <c r="A943" i="2"/>
  <c r="A944" i="2"/>
  <c r="A945" i="2"/>
  <c r="A946" i="2"/>
  <c r="A948" i="2"/>
  <c r="A949" i="2"/>
  <c r="N40" i="1"/>
  <c r="N41" i="1"/>
  <c r="N42" i="1"/>
  <c r="N43" i="1"/>
  <c r="N44" i="1"/>
  <c r="N45" i="1"/>
  <c r="N46" i="1"/>
  <c r="N47" i="1"/>
  <c r="N48" i="1"/>
  <c r="N49" i="1"/>
  <c r="N50" i="1"/>
  <c r="N51" i="1"/>
  <c r="N52" i="1"/>
  <c r="N53" i="1"/>
  <c r="N54" i="1"/>
  <c r="N55" i="1"/>
  <c r="N56" i="1"/>
  <c r="N57" i="1"/>
  <c r="N58" i="1"/>
  <c r="N59" i="1"/>
  <c r="N60" i="1"/>
  <c r="N61" i="1"/>
  <c r="N62" i="1"/>
  <c r="N63" i="1"/>
  <c r="N64" i="1"/>
  <c r="N65" i="1"/>
  <c r="N66" i="1"/>
  <c r="N67" i="1"/>
  <c r="N68" i="1"/>
  <c r="N69" i="1"/>
  <c r="N70" i="1"/>
  <c r="N71" i="1"/>
  <c r="N72" i="1"/>
  <c r="N73" i="1"/>
  <c r="N74" i="1"/>
  <c r="N75" i="1"/>
  <c r="N76" i="1"/>
  <c r="N77" i="1"/>
  <c r="N78" i="1"/>
  <c r="N79" i="1"/>
  <c r="N80" i="1"/>
  <c r="N81" i="1"/>
  <c r="N82" i="1"/>
  <c r="N83" i="1"/>
  <c r="N84" i="1"/>
  <c r="N85" i="1"/>
  <c r="N86" i="1"/>
  <c r="N87" i="1"/>
  <c r="N88" i="1"/>
  <c r="N89" i="1"/>
  <c r="N90" i="1"/>
  <c r="N91" i="1"/>
  <c r="N92" i="1"/>
  <c r="N93" i="1"/>
  <c r="N94" i="1"/>
  <c r="N95" i="1"/>
  <c r="N96" i="1"/>
  <c r="N97" i="1"/>
  <c r="N98" i="1"/>
  <c r="N99" i="1"/>
  <c r="N100" i="1"/>
  <c r="N101" i="1"/>
  <c r="N102" i="1"/>
  <c r="N103" i="1"/>
  <c r="N104" i="1"/>
  <c r="N105" i="1"/>
  <c r="K733" i="9"/>
  <c r="K732" i="9"/>
  <c r="K731" i="9"/>
  <c r="K730" i="9"/>
  <c r="K729" i="9"/>
  <c r="K728" i="9"/>
  <c r="K727" i="9"/>
  <c r="K726" i="9"/>
  <c r="K725" i="9"/>
  <c r="K724" i="9"/>
  <c r="K723" i="9"/>
  <c r="K722" i="9"/>
  <c r="K721" i="9"/>
  <c r="K720" i="9"/>
  <c r="K719" i="9"/>
  <c r="K718" i="9"/>
  <c r="K717" i="9"/>
  <c r="K716" i="9"/>
  <c r="K715" i="9"/>
  <c r="K714" i="9"/>
  <c r="K713" i="9"/>
  <c r="K712" i="9"/>
  <c r="K711" i="9"/>
  <c r="K710" i="9"/>
  <c r="K709" i="9"/>
  <c r="K708" i="9"/>
  <c r="K707" i="9"/>
  <c r="K706" i="9"/>
  <c r="K705" i="9"/>
  <c r="K704" i="9"/>
  <c r="K703" i="9"/>
  <c r="K702" i="9"/>
  <c r="K701" i="9"/>
  <c r="K700" i="9"/>
  <c r="K699" i="9"/>
  <c r="K698" i="9"/>
  <c r="K697" i="9"/>
  <c r="K696" i="9"/>
  <c r="K695" i="9"/>
  <c r="K694" i="9"/>
  <c r="K693" i="9"/>
  <c r="K692" i="9"/>
  <c r="K691" i="9"/>
  <c r="K690" i="9"/>
  <c r="K689" i="9"/>
  <c r="K688" i="9"/>
  <c r="K687" i="9"/>
  <c r="K686" i="9"/>
  <c r="K685" i="9"/>
  <c r="K684" i="9"/>
  <c r="K683" i="9"/>
  <c r="K682" i="9"/>
  <c r="K681" i="9"/>
  <c r="K680" i="9"/>
  <c r="K679" i="9"/>
  <c r="K678" i="9"/>
  <c r="K677" i="9"/>
  <c r="K676" i="9"/>
  <c r="K675" i="9"/>
  <c r="K674" i="9"/>
  <c r="K673" i="9"/>
  <c r="K672" i="9"/>
  <c r="K671" i="9"/>
  <c r="K670" i="9"/>
  <c r="K669" i="9"/>
  <c r="K668" i="9"/>
  <c r="K667" i="9"/>
  <c r="K666" i="9"/>
  <c r="K665" i="9"/>
  <c r="K664" i="9"/>
  <c r="K663" i="9"/>
  <c r="K662" i="9"/>
  <c r="K661" i="9"/>
  <c r="K660" i="9"/>
  <c r="K659" i="9"/>
  <c r="K658" i="9"/>
  <c r="K657" i="9"/>
  <c r="K656" i="9"/>
  <c r="K655" i="9"/>
  <c r="K654" i="9"/>
  <c r="K653" i="9"/>
  <c r="K652" i="9"/>
  <c r="K651" i="9"/>
  <c r="K650" i="9"/>
  <c r="K649" i="9"/>
  <c r="K648" i="9"/>
  <c r="K647" i="9"/>
  <c r="K646" i="9"/>
  <c r="L646" i="9" s="1"/>
  <c r="K645" i="9"/>
  <c r="K644" i="9"/>
  <c r="K643" i="9"/>
  <c r="K642" i="9"/>
  <c r="K641" i="9"/>
  <c r="K640" i="9"/>
  <c r="K639" i="9"/>
  <c r="K638" i="9"/>
  <c r="K637" i="9"/>
  <c r="K636" i="9"/>
  <c r="K635" i="9"/>
  <c r="K634" i="9"/>
  <c r="I634" i="9"/>
  <c r="I635" i="9"/>
  <c r="I636" i="9"/>
  <c r="I637" i="9"/>
  <c r="I638" i="9"/>
  <c r="I639" i="9"/>
  <c r="I640" i="9"/>
  <c r="L640" i="9" s="1"/>
  <c r="I641" i="9"/>
  <c r="I642" i="9"/>
  <c r="I643" i="9"/>
  <c r="I644" i="9"/>
  <c r="I645" i="9"/>
  <c r="I646" i="9"/>
  <c r="I647" i="9"/>
  <c r="I648" i="9"/>
  <c r="L648" i="9" s="1"/>
  <c r="I649" i="9"/>
  <c r="I650" i="9"/>
  <c r="I651" i="9"/>
  <c r="I652" i="9"/>
  <c r="I653" i="9"/>
  <c r="I654" i="9"/>
  <c r="L654" i="9" s="1"/>
  <c r="I655" i="9"/>
  <c r="I656" i="9"/>
  <c r="I657" i="9"/>
  <c r="I658" i="9"/>
  <c r="I659" i="9"/>
  <c r="I660" i="9"/>
  <c r="L660" i="9" s="1"/>
  <c r="I661" i="9"/>
  <c r="I662" i="9"/>
  <c r="L662" i="9" s="1"/>
  <c r="I663" i="9"/>
  <c r="I664" i="9"/>
  <c r="I665" i="9"/>
  <c r="I666" i="9"/>
  <c r="I667" i="9"/>
  <c r="I668" i="9"/>
  <c r="I669" i="9"/>
  <c r="I670" i="9"/>
  <c r="I671" i="9"/>
  <c r="I672" i="9"/>
  <c r="I673" i="9"/>
  <c r="I674" i="9"/>
  <c r="I675" i="9"/>
  <c r="I676" i="9"/>
  <c r="I677" i="9"/>
  <c r="I678" i="9"/>
  <c r="I679" i="9"/>
  <c r="I680" i="9"/>
  <c r="I681" i="9"/>
  <c r="I682" i="9"/>
  <c r="I683" i="9"/>
  <c r="I684" i="9"/>
  <c r="I685" i="9"/>
  <c r="I686" i="9"/>
  <c r="I687" i="9"/>
  <c r="I688" i="9"/>
  <c r="I689" i="9"/>
  <c r="I690" i="9"/>
  <c r="I691" i="9"/>
  <c r="I692" i="9"/>
  <c r="I693" i="9"/>
  <c r="I694" i="9"/>
  <c r="I695" i="9"/>
  <c r="I696" i="9"/>
  <c r="I697" i="9"/>
  <c r="I698" i="9"/>
  <c r="I699" i="9"/>
  <c r="I700" i="9"/>
  <c r="I701" i="9"/>
  <c r="I702" i="9"/>
  <c r="I703" i="9"/>
  <c r="I704" i="9"/>
  <c r="I705" i="9"/>
  <c r="I706" i="9"/>
  <c r="I707" i="9"/>
  <c r="I708" i="9"/>
  <c r="I709" i="9"/>
  <c r="I710" i="9"/>
  <c r="I711" i="9"/>
  <c r="I712" i="9"/>
  <c r="I713" i="9"/>
  <c r="I714" i="9"/>
  <c r="I715" i="9"/>
  <c r="I716" i="9"/>
  <c r="I717" i="9"/>
  <c r="I718" i="9"/>
  <c r="I719" i="9"/>
  <c r="I720" i="9"/>
  <c r="I721" i="9"/>
  <c r="I722" i="9"/>
  <c r="I723" i="9"/>
  <c r="I724" i="9"/>
  <c r="I725" i="9"/>
  <c r="I726" i="9"/>
  <c r="I727" i="9"/>
  <c r="I728" i="9"/>
  <c r="I729" i="9"/>
  <c r="I730" i="9"/>
  <c r="I731" i="9"/>
  <c r="I732" i="9"/>
  <c r="I733" i="9"/>
  <c r="K635" i="8"/>
  <c r="K636" i="8"/>
  <c r="K637" i="8"/>
  <c r="K638" i="8"/>
  <c r="K639" i="8"/>
  <c r="K641" i="8"/>
  <c r="K642" i="8"/>
  <c r="K643" i="8"/>
  <c r="K644" i="8"/>
  <c r="K645" i="8"/>
  <c r="K646" i="8"/>
  <c r="K647" i="8"/>
  <c r="K649" i="8"/>
  <c r="K650" i="8"/>
  <c r="K651" i="8"/>
  <c r="K652" i="8"/>
  <c r="K653" i="8"/>
  <c r="K654" i="8"/>
  <c r="K655" i="8"/>
  <c r="K657" i="8"/>
  <c r="K658" i="8"/>
  <c r="K659" i="8"/>
  <c r="K660" i="8"/>
  <c r="K661" i="8"/>
  <c r="K662" i="8"/>
  <c r="K663" i="8"/>
  <c r="K665" i="8"/>
  <c r="K666" i="8"/>
  <c r="K667" i="8"/>
  <c r="K668" i="8"/>
  <c r="K669" i="8"/>
  <c r="K670" i="8"/>
  <c r="K671" i="8"/>
  <c r="K673" i="8"/>
  <c r="K674" i="8"/>
  <c r="K675" i="8"/>
  <c r="K676" i="8"/>
  <c r="K677" i="8"/>
  <c r="K678" i="8"/>
  <c r="K679" i="8"/>
  <c r="K681" i="8"/>
  <c r="K682" i="8"/>
  <c r="K683" i="8"/>
  <c r="K684" i="8"/>
  <c r="K685" i="8"/>
  <c r="K686" i="8"/>
  <c r="K687" i="8"/>
  <c r="K689" i="8"/>
  <c r="K690" i="8"/>
  <c r="K691" i="8"/>
  <c r="K692" i="8"/>
  <c r="K693" i="8"/>
  <c r="K694" i="8"/>
  <c r="K695" i="8"/>
  <c r="K697" i="8"/>
  <c r="K698" i="8"/>
  <c r="K699" i="8"/>
  <c r="K700" i="8"/>
  <c r="K701" i="8"/>
  <c r="K702" i="8"/>
  <c r="K703" i="8"/>
  <c r="K705" i="8"/>
  <c r="K706" i="8"/>
  <c r="K707" i="8"/>
  <c r="K708" i="8"/>
  <c r="K709" i="8"/>
  <c r="K710" i="8"/>
  <c r="K711" i="8"/>
  <c r="K713" i="8"/>
  <c r="K714" i="8"/>
  <c r="K715" i="8"/>
  <c r="K716" i="8"/>
  <c r="K717" i="8"/>
  <c r="K718" i="8"/>
  <c r="K719" i="8"/>
  <c r="K721" i="8"/>
  <c r="K722" i="8"/>
  <c r="K723" i="8"/>
  <c r="K724" i="8"/>
  <c r="K725" i="8"/>
  <c r="K726" i="8"/>
  <c r="K727" i="8"/>
  <c r="K729" i="8"/>
  <c r="K730" i="8"/>
  <c r="K731" i="8"/>
  <c r="K732" i="8"/>
  <c r="K733" i="8"/>
  <c r="I634" i="8"/>
  <c r="I635" i="8"/>
  <c r="I636" i="8"/>
  <c r="I637" i="8"/>
  <c r="I638" i="8"/>
  <c r="I639" i="8"/>
  <c r="I641" i="8"/>
  <c r="I642" i="8"/>
  <c r="I643" i="8"/>
  <c r="I644" i="8"/>
  <c r="I645" i="8"/>
  <c r="I646" i="8"/>
  <c r="I647" i="8"/>
  <c r="I649" i="8"/>
  <c r="I650" i="8"/>
  <c r="I651" i="8"/>
  <c r="I652" i="8"/>
  <c r="I653" i="8"/>
  <c r="I654" i="8"/>
  <c r="I655" i="8"/>
  <c r="I657" i="8"/>
  <c r="I658" i="8"/>
  <c r="I659" i="8"/>
  <c r="I660" i="8"/>
  <c r="I661" i="8"/>
  <c r="I662" i="8"/>
  <c r="I663" i="8"/>
  <c r="I665" i="8"/>
  <c r="I666" i="8"/>
  <c r="I667" i="8"/>
  <c r="I668" i="8"/>
  <c r="I669" i="8"/>
  <c r="I670" i="8"/>
  <c r="I671" i="8"/>
  <c r="I673" i="8"/>
  <c r="I674" i="8"/>
  <c r="I675" i="8"/>
  <c r="I676" i="8"/>
  <c r="I677" i="8"/>
  <c r="I678" i="8"/>
  <c r="I679" i="8"/>
  <c r="I681" i="8"/>
  <c r="I682" i="8"/>
  <c r="I683" i="8"/>
  <c r="L683" i="8" s="1"/>
  <c r="I684" i="8"/>
  <c r="I685" i="8"/>
  <c r="I686" i="8"/>
  <c r="I687" i="8"/>
  <c r="I689" i="8"/>
  <c r="I690" i="8"/>
  <c r="I691" i="8"/>
  <c r="L691" i="8" s="1"/>
  <c r="I692" i="8"/>
  <c r="I693" i="8"/>
  <c r="I694" i="8"/>
  <c r="I695" i="8"/>
  <c r="I697" i="8"/>
  <c r="I698" i="8"/>
  <c r="I699" i="8"/>
  <c r="I700" i="8"/>
  <c r="I701" i="8"/>
  <c r="I702" i="8"/>
  <c r="I703" i="8"/>
  <c r="I705" i="8"/>
  <c r="I706" i="8"/>
  <c r="I707" i="8"/>
  <c r="I708" i="8"/>
  <c r="I709" i="8"/>
  <c r="I710" i="8"/>
  <c r="Q710" i="8" s="1"/>
  <c r="I711" i="8"/>
  <c r="I713" i="8"/>
  <c r="I714" i="8"/>
  <c r="I715" i="8"/>
  <c r="I716" i="8"/>
  <c r="I717" i="8"/>
  <c r="I718" i="8"/>
  <c r="I719" i="8"/>
  <c r="I721" i="8"/>
  <c r="I722" i="8"/>
  <c r="I723" i="8"/>
  <c r="I724" i="8"/>
  <c r="I725" i="8"/>
  <c r="I726" i="8"/>
  <c r="I727" i="8"/>
  <c r="I729" i="8"/>
  <c r="I730" i="8"/>
  <c r="I731" i="8"/>
  <c r="I732" i="8"/>
  <c r="I733" i="8"/>
  <c r="C2" i="4"/>
  <c r="AX2725" i="2"/>
  <c r="AY2725" i="2"/>
  <c r="G2725" i="2"/>
  <c r="T2725" i="2"/>
  <c r="AP2725" i="2"/>
  <c r="P2725" i="2"/>
  <c r="S2725" i="2"/>
  <c r="AS2725" i="2"/>
  <c r="K2725" i="2"/>
  <c r="L2725" i="2"/>
  <c r="AW2725" i="2"/>
  <c r="M2725" i="2"/>
  <c r="J2725" i="2"/>
  <c r="Q2725" i="2"/>
  <c r="O2725" i="2"/>
  <c r="N628" i="9"/>
  <c r="N1585" i="2"/>
  <c r="W1585" i="2"/>
  <c r="U1585" i="2"/>
  <c r="S1585" i="2"/>
  <c r="AV1585" i="2"/>
  <c r="T1493" i="2"/>
  <c r="AY1493" i="2"/>
  <c r="Q1555" i="2"/>
  <c r="Z1555" i="2"/>
  <c r="P1585" i="2"/>
  <c r="X1585" i="2"/>
  <c r="BF1585" i="2"/>
  <c r="V1585" i="2"/>
  <c r="BD1585" i="2"/>
  <c r="T1585" i="2"/>
  <c r="P1493" i="2"/>
  <c r="X1493" i="2"/>
  <c r="W1493" i="2"/>
  <c r="BE1493" i="2"/>
  <c r="V1493" i="2"/>
  <c r="BD1493" i="2"/>
  <c r="Y1555" i="2"/>
  <c r="Q1585" i="2"/>
  <c r="Y1585" i="2"/>
  <c r="BC1585" i="2"/>
  <c r="Y1493" i="2"/>
  <c r="Y1525" i="2"/>
  <c r="U1493" i="2"/>
  <c r="V1555" i="2"/>
  <c r="BD1555" i="2"/>
  <c r="R1585" i="2"/>
  <c r="Z1585" i="2"/>
  <c r="BC1493" i="2"/>
  <c r="Q1493" i="2"/>
  <c r="AY1585" i="2"/>
  <c r="P1555" i="2"/>
  <c r="X1555" i="2"/>
  <c r="BF1555" i="2"/>
  <c r="T1555" i="2"/>
  <c r="AY1555" i="2"/>
  <c r="R1555" i="2"/>
  <c r="P1525" i="2"/>
  <c r="X1525" i="2"/>
  <c r="V1525" i="2"/>
  <c r="BD1525" i="2"/>
  <c r="R1525" i="2"/>
  <c r="Z1525" i="2"/>
  <c r="Q1525" i="2"/>
  <c r="BE1585" i="2"/>
  <c r="S1493" i="2"/>
  <c r="AV1493" i="2"/>
  <c r="R1493" i="2"/>
  <c r="Z1493" i="2"/>
  <c r="BC1461" i="2"/>
  <c r="BD1461" i="2"/>
  <c r="BE1461" i="2"/>
  <c r="U1555" i="2"/>
  <c r="BC1555" i="2"/>
  <c r="S1555" i="2"/>
  <c r="AV1555" i="2"/>
  <c r="U1525" i="2"/>
  <c r="BC1525" i="2"/>
  <c r="T1525" i="2"/>
  <c r="AY1525" i="2"/>
  <c r="S1525" i="2"/>
  <c r="AV1525" i="2"/>
  <c r="N1555" i="2"/>
  <c r="W1555" i="2"/>
  <c r="BE1555" i="2"/>
  <c r="N1525" i="2"/>
  <c r="W1525" i="2"/>
  <c r="BE1525" i="2"/>
  <c r="N1175" i="2"/>
  <c r="N935" i="2"/>
  <c r="N1145" i="2"/>
  <c r="N1055" i="2"/>
  <c r="N1085" i="2"/>
  <c r="L103" i="9"/>
  <c r="L102" i="9"/>
  <c r="L101" i="9"/>
  <c r="L100" i="9"/>
  <c r="L99" i="9"/>
  <c r="L98" i="9"/>
  <c r="L97" i="9"/>
  <c r="L96" i="9"/>
  <c r="L95" i="9"/>
  <c r="L94" i="9"/>
  <c r="L93" i="9"/>
  <c r="L92" i="9"/>
  <c r="L91" i="9"/>
  <c r="L90" i="9"/>
  <c r="L89" i="9"/>
  <c r="L88" i="9"/>
  <c r="L87" i="9"/>
  <c r="L86" i="9"/>
  <c r="L85" i="9"/>
  <c r="L84" i="9"/>
  <c r="L83" i="9"/>
  <c r="L82" i="9"/>
  <c r="L81" i="9"/>
  <c r="L80" i="9"/>
  <c r="L79" i="9"/>
  <c r="L78" i="9"/>
  <c r="L77" i="9"/>
  <c r="L76" i="9"/>
  <c r="L75" i="9"/>
  <c r="L74" i="9"/>
  <c r="L73" i="9"/>
  <c r="L72" i="9"/>
  <c r="L71" i="9"/>
  <c r="L70" i="9"/>
  <c r="L69" i="9"/>
  <c r="L68" i="9"/>
  <c r="L67" i="9"/>
  <c r="L66" i="9"/>
  <c r="L65" i="9"/>
  <c r="L64" i="9"/>
  <c r="L63" i="9"/>
  <c r="L62" i="9"/>
  <c r="L61" i="9"/>
  <c r="L60" i="9"/>
  <c r="L59" i="9"/>
  <c r="L58" i="9"/>
  <c r="L57" i="9"/>
  <c r="L56" i="9"/>
  <c r="L55" i="9"/>
  <c r="L54" i="9"/>
  <c r="L53" i="9"/>
  <c r="L52" i="9"/>
  <c r="L51" i="9"/>
  <c r="L50" i="9"/>
  <c r="L49" i="9"/>
  <c r="L48" i="9"/>
  <c r="L47" i="9"/>
  <c r="L46" i="9"/>
  <c r="L45" i="9"/>
  <c r="L44" i="9"/>
  <c r="L43" i="9"/>
  <c r="L42" i="9"/>
  <c r="L41" i="9"/>
  <c r="L40" i="9"/>
  <c r="L39" i="9"/>
  <c r="L38" i="9"/>
  <c r="L37" i="9"/>
  <c r="L36" i="9"/>
  <c r="L35" i="9"/>
  <c r="L34" i="9"/>
  <c r="L33" i="9"/>
  <c r="L32" i="9"/>
  <c r="L31" i="9"/>
  <c r="L30" i="9"/>
  <c r="L29" i="9"/>
  <c r="L28" i="9"/>
  <c r="L27" i="9"/>
  <c r="L26" i="9"/>
  <c r="L25" i="9"/>
  <c r="L24" i="9"/>
  <c r="L23" i="9"/>
  <c r="L22" i="9"/>
  <c r="L21" i="9"/>
  <c r="L20" i="9"/>
  <c r="L19" i="9"/>
  <c r="AC36" i="3"/>
  <c r="X24" i="3"/>
  <c r="X23" i="3"/>
  <c r="X25" i="3"/>
  <c r="X26" i="3"/>
  <c r="X27" i="3"/>
  <c r="X28" i="3"/>
  <c r="X29" i="3"/>
  <c r="X30" i="3"/>
  <c r="X31" i="3"/>
  <c r="X32" i="3"/>
  <c r="X33" i="3"/>
  <c r="X34" i="3"/>
  <c r="AC34" i="3"/>
  <c r="AC33" i="3"/>
  <c r="AC35" i="3"/>
  <c r="AC31" i="3"/>
  <c r="AC30" i="3"/>
  <c r="AC32" i="3"/>
  <c r="AC28" i="3"/>
  <c r="AC27" i="3"/>
  <c r="AC29" i="3"/>
  <c r="AC25" i="3"/>
  <c r="AC24" i="3"/>
  <c r="AC26" i="3"/>
  <c r="I103" i="9"/>
  <c r="I102" i="9"/>
  <c r="I101" i="9"/>
  <c r="I100" i="9"/>
  <c r="I99" i="9"/>
  <c r="I98" i="9"/>
  <c r="I97" i="9"/>
  <c r="I96" i="9"/>
  <c r="I95" i="9"/>
  <c r="I94" i="9"/>
  <c r="I93" i="9"/>
  <c r="I92" i="9"/>
  <c r="I91" i="9"/>
  <c r="I90" i="9"/>
  <c r="I89" i="9"/>
  <c r="I88" i="9"/>
  <c r="I87" i="9"/>
  <c r="I86" i="9"/>
  <c r="I85" i="9"/>
  <c r="I84" i="9"/>
  <c r="I83" i="9"/>
  <c r="I82" i="9"/>
  <c r="I81" i="9"/>
  <c r="I80" i="9"/>
  <c r="I79" i="9"/>
  <c r="I78" i="9"/>
  <c r="I77" i="9"/>
  <c r="I76" i="9"/>
  <c r="I75" i="9"/>
  <c r="I74" i="9"/>
  <c r="I73" i="9"/>
  <c r="I72" i="9"/>
  <c r="I71" i="9"/>
  <c r="I70" i="9"/>
  <c r="I69" i="9"/>
  <c r="I68" i="9"/>
  <c r="I67" i="9"/>
  <c r="I66" i="9"/>
  <c r="I65" i="9"/>
  <c r="I64" i="9"/>
  <c r="I63" i="9"/>
  <c r="I62" i="9"/>
  <c r="I61" i="9"/>
  <c r="I60" i="9"/>
  <c r="I59" i="9"/>
  <c r="I58" i="9"/>
  <c r="I57" i="9"/>
  <c r="I56" i="9"/>
  <c r="I55" i="9"/>
  <c r="I54" i="9"/>
  <c r="I53" i="9"/>
  <c r="I52" i="9"/>
  <c r="I51" i="9"/>
  <c r="I50" i="9"/>
  <c r="I49" i="9"/>
  <c r="I48" i="9"/>
  <c r="I47" i="9"/>
  <c r="I46" i="9"/>
  <c r="I45" i="9"/>
  <c r="I44" i="9"/>
  <c r="I43" i="9"/>
  <c r="I42" i="9"/>
  <c r="I41" i="9"/>
  <c r="I40" i="9"/>
  <c r="I39" i="9"/>
  <c r="I38" i="9"/>
  <c r="I10" i="9"/>
  <c r="I9" i="9"/>
  <c r="I8" i="9"/>
  <c r="I7" i="9"/>
  <c r="I6" i="9"/>
  <c r="I5" i="9"/>
  <c r="I4" i="9"/>
  <c r="AC23" i="3"/>
  <c r="L103" i="8"/>
  <c r="L102" i="8"/>
  <c r="L101" i="8"/>
  <c r="L100" i="8"/>
  <c r="L99" i="8"/>
  <c r="L98" i="8"/>
  <c r="L97" i="8"/>
  <c r="L96" i="8"/>
  <c r="L95" i="8"/>
  <c r="L94" i="8"/>
  <c r="L93" i="8"/>
  <c r="L92" i="8"/>
  <c r="L91" i="8"/>
  <c r="L90" i="8"/>
  <c r="L89" i="8"/>
  <c r="L88" i="8"/>
  <c r="L87" i="8"/>
  <c r="L86" i="8"/>
  <c r="L85" i="8"/>
  <c r="L84" i="8"/>
  <c r="L83" i="8"/>
  <c r="L82" i="8"/>
  <c r="L81" i="8"/>
  <c r="L80" i="8"/>
  <c r="L79" i="8"/>
  <c r="L78" i="8"/>
  <c r="L77" i="8"/>
  <c r="L76" i="8"/>
  <c r="L75" i="8"/>
  <c r="L74" i="8"/>
  <c r="L73" i="8"/>
  <c r="L72" i="8"/>
  <c r="L71" i="8"/>
  <c r="L70" i="8"/>
  <c r="L69" i="8"/>
  <c r="L68" i="8"/>
  <c r="L67" i="8"/>
  <c r="L66" i="8"/>
  <c r="L65" i="8"/>
  <c r="L64" i="8"/>
  <c r="L63" i="8"/>
  <c r="L62" i="8"/>
  <c r="L61" i="8"/>
  <c r="L60" i="8"/>
  <c r="L59" i="8"/>
  <c r="L58" i="8"/>
  <c r="L57" i="8"/>
  <c r="L56" i="8"/>
  <c r="L55" i="8"/>
  <c r="L54" i="8"/>
  <c r="L53" i="8"/>
  <c r="L52" i="8"/>
  <c r="L51" i="8"/>
  <c r="L50" i="8"/>
  <c r="L49" i="8"/>
  <c r="L48" i="8"/>
  <c r="L47" i="8"/>
  <c r="L46" i="8"/>
  <c r="L45" i="8"/>
  <c r="L44" i="8"/>
  <c r="L43" i="8"/>
  <c r="L42" i="8"/>
  <c r="L41" i="8"/>
  <c r="L40" i="8"/>
  <c r="L39" i="8"/>
  <c r="L38" i="8"/>
  <c r="L37" i="8"/>
  <c r="L36" i="8"/>
  <c r="L35" i="8"/>
  <c r="L34" i="8"/>
  <c r="L33" i="8"/>
  <c r="L32" i="8"/>
  <c r="L31" i="8"/>
  <c r="L30" i="8"/>
  <c r="L29" i="8"/>
  <c r="L28" i="8"/>
  <c r="L27" i="8"/>
  <c r="L26" i="8"/>
  <c r="L25" i="8"/>
  <c r="L24" i="8"/>
  <c r="L23" i="8"/>
  <c r="L22" i="8"/>
  <c r="L21" i="8"/>
  <c r="L20" i="8"/>
  <c r="L19" i="8"/>
  <c r="L12" i="8"/>
  <c r="N1654" i="2"/>
  <c r="N1630" i="2"/>
  <c r="N1642" i="2"/>
  <c r="N1618" i="2"/>
  <c r="BD1654" i="2"/>
  <c r="BE1654" i="2"/>
  <c r="BC1654" i="2"/>
  <c r="AY1654" i="2"/>
  <c r="AV1654" i="2"/>
  <c r="Z1654" i="2"/>
  <c r="Y1654" i="2"/>
  <c r="X1654" i="2"/>
  <c r="W1654" i="2"/>
  <c r="V1654" i="2"/>
  <c r="U1654" i="2"/>
  <c r="T1654" i="2"/>
  <c r="S1654" i="2"/>
  <c r="R1654" i="2"/>
  <c r="Q1654" i="2"/>
  <c r="P1654" i="2"/>
  <c r="BD1642" i="2"/>
  <c r="BE1642" i="2"/>
  <c r="BC1642" i="2"/>
  <c r="AY1642" i="2"/>
  <c r="AV1642" i="2"/>
  <c r="Z1642" i="2"/>
  <c r="Y1642" i="2"/>
  <c r="X1642" i="2"/>
  <c r="W1642" i="2"/>
  <c r="V1642" i="2"/>
  <c r="U1642" i="2"/>
  <c r="T1642" i="2"/>
  <c r="S1642" i="2"/>
  <c r="R1642" i="2"/>
  <c r="Q1642" i="2"/>
  <c r="P1642" i="2"/>
  <c r="BD1630" i="2"/>
  <c r="BE1630" i="2"/>
  <c r="BC1630" i="2"/>
  <c r="AY1630" i="2"/>
  <c r="AV1630" i="2"/>
  <c r="Z1630" i="2"/>
  <c r="Y1630" i="2"/>
  <c r="X1630" i="2"/>
  <c r="W1630" i="2"/>
  <c r="V1630" i="2"/>
  <c r="U1630" i="2"/>
  <c r="T1630" i="2"/>
  <c r="S1630" i="2"/>
  <c r="R1630" i="2"/>
  <c r="Q1630" i="2"/>
  <c r="P1630" i="2"/>
  <c r="BD1618" i="2"/>
  <c r="BE1618" i="2"/>
  <c r="BC1618" i="2"/>
  <c r="AY1618" i="2"/>
  <c r="AV1618" i="2"/>
  <c r="Z1618" i="2"/>
  <c r="Y1618" i="2"/>
  <c r="X1618" i="2"/>
  <c r="W1618" i="2"/>
  <c r="V1618" i="2"/>
  <c r="U1618" i="2"/>
  <c r="T1618" i="2"/>
  <c r="S1618" i="2"/>
  <c r="R1618" i="2"/>
  <c r="Q1618" i="2"/>
  <c r="P1618" i="2"/>
  <c r="A1627" i="2"/>
  <c r="A1628" i="2"/>
  <c r="A1629" i="2"/>
  <c r="A1630" i="2"/>
  <c r="A1631" i="2"/>
  <c r="A1632" i="2"/>
  <c r="A1633" i="2"/>
  <c r="A1634" i="2"/>
  <c r="A1635" i="2"/>
  <c r="A1636" i="2"/>
  <c r="A1637" i="2"/>
  <c r="A1638" i="2"/>
  <c r="A1652" i="2"/>
  <c r="A1651" i="2"/>
  <c r="A1639" i="2"/>
  <c r="A1640" i="2"/>
  <c r="A1641" i="2"/>
  <c r="A1642" i="2"/>
  <c r="A1643" i="2"/>
  <c r="A1644" i="2"/>
  <c r="A1645" i="2"/>
  <c r="A1646" i="2"/>
  <c r="A1647" i="2"/>
  <c r="A1648" i="2"/>
  <c r="A1649" i="2"/>
  <c r="A1650" i="2"/>
  <c r="A1653" i="2"/>
  <c r="A1654" i="2"/>
  <c r="A1655" i="2"/>
  <c r="A1656" i="2"/>
  <c r="A1657" i="2"/>
  <c r="A1658" i="2"/>
  <c r="A1659" i="2"/>
  <c r="A1660" i="2"/>
  <c r="A1661" i="2"/>
  <c r="A1662" i="2"/>
  <c r="A1615" i="2"/>
  <c r="A1616" i="2"/>
  <c r="A1617" i="2"/>
  <c r="A1618" i="2"/>
  <c r="A1619" i="2"/>
  <c r="A1620" i="2"/>
  <c r="A1621" i="2"/>
  <c r="A1622" i="2"/>
  <c r="A1623" i="2"/>
  <c r="A1624" i="2"/>
  <c r="A1625" i="2"/>
  <c r="A1626" i="2"/>
  <c r="AC10" i="4"/>
  <c r="L8" i="9" s="1"/>
  <c r="Y12" i="4"/>
  <c r="AC18" i="4"/>
  <c r="Y20" i="4"/>
  <c r="AC26" i="4"/>
  <c r="Y28" i="4"/>
  <c r="AC34" i="4"/>
  <c r="Y36" i="4"/>
  <c r="AC45" i="4"/>
  <c r="AC53" i="4"/>
  <c r="AC61" i="4"/>
  <c r="AC69" i="4"/>
  <c r="AC77" i="4"/>
  <c r="AC85" i="4"/>
  <c r="AC93" i="4"/>
  <c r="AC101" i="4"/>
  <c r="Y100" i="4"/>
  <c r="Y92" i="4"/>
  <c r="Y84" i="4"/>
  <c r="Y76" i="4"/>
  <c r="Y68" i="4"/>
  <c r="Y60" i="4"/>
  <c r="Y52" i="4"/>
  <c r="Y44" i="4"/>
  <c r="AC12" i="4"/>
  <c r="L10" i="9" s="1"/>
  <c r="Y14" i="4"/>
  <c r="AC20" i="4"/>
  <c r="AC28" i="4"/>
  <c r="Y30" i="4"/>
  <c r="I28" i="9" s="1"/>
  <c r="Y38" i="4"/>
  <c r="AC47" i="4"/>
  <c r="AC63" i="4"/>
  <c r="AC79" i="4"/>
  <c r="AC95" i="4"/>
  <c r="Y98" i="4"/>
  <c r="Y82" i="4"/>
  <c r="Y74" i="4"/>
  <c r="Y58" i="4"/>
  <c r="Y42" i="4"/>
  <c r="Y27" i="4"/>
  <c r="Y35" i="4"/>
  <c r="AC48" i="4"/>
  <c r="AC72" i="4"/>
  <c r="AC104" i="4"/>
  <c r="Y65" i="4"/>
  <c r="Y6" i="4"/>
  <c r="AC22" i="4"/>
  <c r="AC38" i="4"/>
  <c r="Y9" i="4"/>
  <c r="Y17" i="4"/>
  <c r="AC23" i="4"/>
  <c r="Y25" i="4"/>
  <c r="AC31" i="4"/>
  <c r="Y33" i="4"/>
  <c r="AC39" i="4"/>
  <c r="AC46" i="4"/>
  <c r="AC54" i="4"/>
  <c r="AC62" i="4"/>
  <c r="AC70" i="4"/>
  <c r="AC78" i="4"/>
  <c r="AC86" i="4"/>
  <c r="AC94" i="4"/>
  <c r="AC102" i="4"/>
  <c r="Y99" i="4"/>
  <c r="Y91" i="4"/>
  <c r="Y83" i="4"/>
  <c r="Y75" i="4"/>
  <c r="Y67" i="4"/>
  <c r="Y59" i="4"/>
  <c r="Y51" i="4"/>
  <c r="Y43" i="4"/>
  <c r="Y22" i="4"/>
  <c r="AC36" i="4"/>
  <c r="AC55" i="4"/>
  <c r="AC71" i="4"/>
  <c r="AC87" i="4"/>
  <c r="AC103" i="4"/>
  <c r="Y90" i="4"/>
  <c r="Y66" i="4"/>
  <c r="Y50" i="4"/>
  <c r="Y11" i="4"/>
  <c r="Y19" i="4"/>
  <c r="AC25" i="4"/>
  <c r="AC33" i="4"/>
  <c r="AC64" i="4"/>
  <c r="AC96" i="4"/>
  <c r="Y89" i="4"/>
  <c r="Y57" i="4"/>
  <c r="Y16" i="4"/>
  <c r="Y32" i="4"/>
  <c r="I30" i="9" s="1"/>
  <c r="AC41" i="4"/>
  <c r="AC81" i="4"/>
  <c r="Y104" i="4"/>
  <c r="AC6" i="4"/>
  <c r="AC11" i="4"/>
  <c r="Y13" i="4"/>
  <c r="Y21" i="4"/>
  <c r="AC27" i="4"/>
  <c r="Y29" i="4"/>
  <c r="AC35" i="4"/>
  <c r="Y37" i="4"/>
  <c r="AC42" i="4"/>
  <c r="AC50" i="4"/>
  <c r="AC58" i="4"/>
  <c r="AC66" i="4"/>
  <c r="AC74" i="4"/>
  <c r="AC82" i="4"/>
  <c r="AC90" i="4"/>
  <c r="AC98" i="4"/>
  <c r="Y103" i="4"/>
  <c r="Y95" i="4"/>
  <c r="Y87" i="4"/>
  <c r="Y79" i="4"/>
  <c r="Y71" i="4"/>
  <c r="Y63" i="4"/>
  <c r="Y55" i="4"/>
  <c r="Y47" i="4"/>
  <c r="AC13" i="4"/>
  <c r="AC21" i="4"/>
  <c r="Y31" i="4"/>
  <c r="AC37" i="4"/>
  <c r="AC44" i="4"/>
  <c r="AC68" i="4"/>
  <c r="AC84" i="4"/>
  <c r="Y101" i="4"/>
  <c r="Y85" i="4"/>
  <c r="Y61" i="4"/>
  <c r="Y45" i="4"/>
  <c r="AC40" i="4"/>
  <c r="AC80" i="4"/>
  <c r="Y97" i="4"/>
  <c r="Y49" i="4"/>
  <c r="Y8" i="4"/>
  <c r="AC30" i="4"/>
  <c r="AC49" i="4"/>
  <c r="AC73" i="4"/>
  <c r="AC97" i="4"/>
  <c r="Y88" i="4"/>
  <c r="Y72" i="4"/>
  <c r="Y56" i="4"/>
  <c r="Y40" i="4"/>
  <c r="AC8" i="4"/>
  <c r="Y10" i="4"/>
  <c r="AC16" i="4"/>
  <c r="Y18" i="4"/>
  <c r="AC24" i="4"/>
  <c r="Y26" i="4"/>
  <c r="AC32" i="4"/>
  <c r="Y34" i="4"/>
  <c r="AC43" i="4"/>
  <c r="AC51" i="4"/>
  <c r="AC59" i="4"/>
  <c r="AC67" i="4"/>
  <c r="AC75" i="4"/>
  <c r="AC83" i="4"/>
  <c r="AC91" i="4"/>
  <c r="AC99" i="4"/>
  <c r="Y102" i="4"/>
  <c r="Y94" i="4"/>
  <c r="Y86" i="4"/>
  <c r="Y78" i="4"/>
  <c r="Y70" i="4"/>
  <c r="Y62" i="4"/>
  <c r="Y54" i="4"/>
  <c r="Y46" i="4"/>
  <c r="Y7" i="4"/>
  <c r="Y15" i="4"/>
  <c r="Y23" i="4"/>
  <c r="AC29" i="4"/>
  <c r="Y39" i="4"/>
  <c r="AC52" i="4"/>
  <c r="AC60" i="4"/>
  <c r="AC76" i="4"/>
  <c r="AC92" i="4"/>
  <c r="AC100" i="4"/>
  <c r="Y93" i="4"/>
  <c r="Y77" i="4"/>
  <c r="Y69" i="4"/>
  <c r="Y53" i="4"/>
  <c r="AC56" i="4"/>
  <c r="AC88" i="4"/>
  <c r="Y81" i="4"/>
  <c r="Y73" i="4"/>
  <c r="Y41" i="4"/>
  <c r="AC14" i="4"/>
  <c r="Y24" i="4"/>
  <c r="AC57" i="4"/>
  <c r="AC65" i="4"/>
  <c r="AC89" i="4"/>
  <c r="Y96" i="4"/>
  <c r="Y80" i="4"/>
  <c r="Y64" i="4"/>
  <c r="Y48" i="4"/>
  <c r="I11" i="9"/>
  <c r="I15" i="9"/>
  <c r="I12" i="9"/>
  <c r="I13" i="9"/>
  <c r="I14" i="9"/>
  <c r="G628" i="8"/>
  <c r="G627" i="8"/>
  <c r="G626" i="8"/>
  <c r="G625" i="8"/>
  <c r="G624" i="8"/>
  <c r="G623" i="8"/>
  <c r="G622" i="8"/>
  <c r="G621" i="8"/>
  <c r="G620" i="8"/>
  <c r="K620" i="8" s="1"/>
  <c r="G619" i="8"/>
  <c r="G618" i="8"/>
  <c r="G617" i="8"/>
  <c r="G616" i="8"/>
  <c r="G615" i="8"/>
  <c r="G614" i="8"/>
  <c r="G613" i="8"/>
  <c r="K613" i="8" s="1"/>
  <c r="G612" i="8"/>
  <c r="H612" i="8" s="1"/>
  <c r="G611" i="8"/>
  <c r="G610" i="8"/>
  <c r="G609" i="8"/>
  <c r="G608" i="8"/>
  <c r="G607" i="8"/>
  <c r="G606" i="8"/>
  <c r="G605" i="8"/>
  <c r="G604" i="8"/>
  <c r="G603" i="8"/>
  <c r="G602" i="8"/>
  <c r="G601" i="8"/>
  <c r="G600" i="8"/>
  <c r="G599" i="8"/>
  <c r="G598" i="8"/>
  <c r="G597" i="8"/>
  <c r="K597" i="8" s="1"/>
  <c r="G596" i="8"/>
  <c r="K596" i="8" s="1"/>
  <c r="G595" i="8"/>
  <c r="G594" i="8"/>
  <c r="G593" i="8"/>
  <c r="G592" i="8"/>
  <c r="G591" i="8"/>
  <c r="G590" i="8"/>
  <c r="G589" i="8"/>
  <c r="H589" i="8" s="1"/>
  <c r="G588" i="8"/>
  <c r="K588" i="8" s="1"/>
  <c r="G587" i="8"/>
  <c r="G586" i="8"/>
  <c r="G585" i="8"/>
  <c r="G584" i="8"/>
  <c r="G583" i="8"/>
  <c r="G582" i="8"/>
  <c r="G581" i="8"/>
  <c r="G580" i="8"/>
  <c r="G579" i="8"/>
  <c r="G578" i="8"/>
  <c r="G577" i="8"/>
  <c r="G576" i="8"/>
  <c r="G575" i="8"/>
  <c r="G574" i="8"/>
  <c r="G573" i="8"/>
  <c r="G572" i="8"/>
  <c r="K572" i="8" s="1"/>
  <c r="G571" i="8"/>
  <c r="G570" i="8"/>
  <c r="G569" i="8"/>
  <c r="G568" i="8"/>
  <c r="G567" i="8"/>
  <c r="G566" i="8"/>
  <c r="G565" i="8"/>
  <c r="H565" i="8" s="1"/>
  <c r="G564" i="8"/>
  <c r="K564" i="8" s="1"/>
  <c r="G563" i="8"/>
  <c r="G562" i="8"/>
  <c r="G561" i="8"/>
  <c r="G560" i="8"/>
  <c r="G559" i="8"/>
  <c r="G558" i="8"/>
  <c r="G557" i="8"/>
  <c r="H557" i="8" s="1"/>
  <c r="G556" i="8"/>
  <c r="G555" i="8"/>
  <c r="G554" i="8"/>
  <c r="G553" i="8"/>
  <c r="G552" i="8"/>
  <c r="G551" i="8"/>
  <c r="G550" i="8"/>
  <c r="G549" i="8"/>
  <c r="G548" i="8"/>
  <c r="G547" i="8"/>
  <c r="G546" i="8"/>
  <c r="G545" i="8"/>
  <c r="G544" i="8"/>
  <c r="G543" i="8"/>
  <c r="G542" i="8"/>
  <c r="G541" i="8"/>
  <c r="G540" i="8"/>
  <c r="G539" i="8"/>
  <c r="G538" i="8"/>
  <c r="G537" i="8"/>
  <c r="G536" i="8"/>
  <c r="G535" i="8"/>
  <c r="G534" i="8"/>
  <c r="G533" i="8"/>
  <c r="G532" i="8"/>
  <c r="G531" i="8"/>
  <c r="G530" i="8"/>
  <c r="G733" i="8"/>
  <c r="G732" i="8"/>
  <c r="G731" i="8"/>
  <c r="G730" i="8"/>
  <c r="G729" i="8"/>
  <c r="G728" i="8"/>
  <c r="G727" i="8"/>
  <c r="G726" i="8"/>
  <c r="G725" i="8"/>
  <c r="G724" i="8"/>
  <c r="G723" i="8"/>
  <c r="G722" i="8"/>
  <c r="G721" i="8"/>
  <c r="G720" i="8"/>
  <c r="G719" i="8"/>
  <c r="G718" i="8"/>
  <c r="G717" i="8"/>
  <c r="G716" i="8"/>
  <c r="G715" i="8"/>
  <c r="G714" i="8"/>
  <c r="G713" i="8"/>
  <c r="G712" i="8"/>
  <c r="G711" i="8"/>
  <c r="G710" i="8"/>
  <c r="G709" i="8"/>
  <c r="G708" i="8"/>
  <c r="G707" i="8"/>
  <c r="G706" i="8"/>
  <c r="G705" i="8"/>
  <c r="G704" i="8"/>
  <c r="G703" i="8"/>
  <c r="G702" i="8"/>
  <c r="G701" i="8"/>
  <c r="G700" i="8"/>
  <c r="G699" i="8"/>
  <c r="G698" i="8"/>
  <c r="G697" i="8"/>
  <c r="G696" i="8"/>
  <c r="G695" i="8"/>
  <c r="G694" i="8"/>
  <c r="G693" i="8"/>
  <c r="G692" i="8"/>
  <c r="G691" i="8"/>
  <c r="G690" i="8"/>
  <c r="G689" i="8"/>
  <c r="G688" i="8"/>
  <c r="G687" i="8"/>
  <c r="G686" i="8"/>
  <c r="G685" i="8"/>
  <c r="G684" i="8"/>
  <c r="G683" i="8"/>
  <c r="G682" i="8"/>
  <c r="G681" i="8"/>
  <c r="G680" i="8"/>
  <c r="G679" i="8"/>
  <c r="G678" i="8"/>
  <c r="G677" i="8"/>
  <c r="G676" i="8"/>
  <c r="G675" i="8"/>
  <c r="G674" i="8"/>
  <c r="G673" i="8"/>
  <c r="G672" i="8"/>
  <c r="G671" i="8"/>
  <c r="G670" i="8"/>
  <c r="G669" i="8"/>
  <c r="G668" i="8"/>
  <c r="G667" i="8"/>
  <c r="G666" i="8"/>
  <c r="G665" i="8"/>
  <c r="G664" i="8"/>
  <c r="G663" i="8"/>
  <c r="G662" i="8"/>
  <c r="G661" i="8"/>
  <c r="G660" i="8"/>
  <c r="G659" i="8"/>
  <c r="G658" i="8"/>
  <c r="G657" i="8"/>
  <c r="G656" i="8"/>
  <c r="G655" i="8"/>
  <c r="G654" i="8"/>
  <c r="G653" i="8"/>
  <c r="G652" i="8"/>
  <c r="G651" i="8"/>
  <c r="G650" i="8"/>
  <c r="G649" i="8"/>
  <c r="G648" i="8"/>
  <c r="G646" i="8"/>
  <c r="G642" i="8"/>
  <c r="G641" i="8"/>
  <c r="G640" i="8"/>
  <c r="G638" i="8"/>
  <c r="G636" i="8"/>
  <c r="M523" i="8"/>
  <c r="M522" i="8"/>
  <c r="M521" i="8"/>
  <c r="M520" i="8"/>
  <c r="M519" i="8"/>
  <c r="M518" i="8"/>
  <c r="M517" i="8"/>
  <c r="M516" i="8"/>
  <c r="M515" i="8"/>
  <c r="M514" i="8"/>
  <c r="M513" i="8"/>
  <c r="M512" i="8"/>
  <c r="M511" i="8"/>
  <c r="M510" i="8"/>
  <c r="M509" i="8"/>
  <c r="M508" i="8"/>
  <c r="M507" i="8"/>
  <c r="M506" i="8"/>
  <c r="M505" i="8"/>
  <c r="M504" i="8"/>
  <c r="M503" i="8"/>
  <c r="M502" i="8"/>
  <c r="M501" i="8"/>
  <c r="M500" i="8"/>
  <c r="M499" i="8"/>
  <c r="M498" i="8"/>
  <c r="M497" i="8"/>
  <c r="M496" i="8"/>
  <c r="M495" i="8"/>
  <c r="M494" i="8"/>
  <c r="M493" i="8"/>
  <c r="M492" i="8"/>
  <c r="M491" i="8"/>
  <c r="M490" i="8"/>
  <c r="M489" i="8"/>
  <c r="M488" i="8"/>
  <c r="M487" i="8"/>
  <c r="M486" i="8"/>
  <c r="M485" i="8"/>
  <c r="M484" i="8"/>
  <c r="M483" i="8"/>
  <c r="M482" i="8"/>
  <c r="M481" i="8"/>
  <c r="M480" i="8"/>
  <c r="M479" i="8"/>
  <c r="M478" i="8"/>
  <c r="M477" i="8"/>
  <c r="M476" i="8"/>
  <c r="M475" i="8"/>
  <c r="M474" i="8"/>
  <c r="M473" i="8"/>
  <c r="M472" i="8"/>
  <c r="M471" i="8"/>
  <c r="M470" i="8"/>
  <c r="M469" i="8"/>
  <c r="M468" i="8"/>
  <c r="M467" i="8"/>
  <c r="M466" i="8"/>
  <c r="M465" i="8"/>
  <c r="M464" i="8"/>
  <c r="M463" i="8"/>
  <c r="M462" i="8"/>
  <c r="M461" i="8"/>
  <c r="M460" i="8"/>
  <c r="M459" i="8"/>
  <c r="M458" i="8"/>
  <c r="M457" i="8"/>
  <c r="M456" i="8"/>
  <c r="M455" i="8"/>
  <c r="M454" i="8"/>
  <c r="M453" i="8"/>
  <c r="M452" i="8"/>
  <c r="M451" i="8"/>
  <c r="M450" i="8"/>
  <c r="M449" i="8"/>
  <c r="M448" i="8"/>
  <c r="M447" i="8"/>
  <c r="M446" i="8"/>
  <c r="M445" i="8"/>
  <c r="M444" i="8"/>
  <c r="M443" i="8"/>
  <c r="M442" i="8"/>
  <c r="M441" i="8"/>
  <c r="M440" i="8"/>
  <c r="M439" i="8"/>
  <c r="M418" i="8"/>
  <c r="M417" i="8"/>
  <c r="M416" i="8"/>
  <c r="M415" i="8"/>
  <c r="M414" i="8"/>
  <c r="M413" i="8"/>
  <c r="M412" i="8"/>
  <c r="M411" i="8"/>
  <c r="M410" i="8"/>
  <c r="M409" i="8"/>
  <c r="M408" i="8"/>
  <c r="M407" i="8"/>
  <c r="M406" i="8"/>
  <c r="M405" i="8"/>
  <c r="M404" i="8"/>
  <c r="M403" i="8"/>
  <c r="M402" i="8"/>
  <c r="M401" i="8"/>
  <c r="M400" i="8"/>
  <c r="M399" i="8"/>
  <c r="M398" i="8"/>
  <c r="M397" i="8"/>
  <c r="M396" i="8"/>
  <c r="M395" i="8"/>
  <c r="M394" i="8"/>
  <c r="M393" i="8"/>
  <c r="M392" i="8"/>
  <c r="M391" i="8"/>
  <c r="M390" i="8"/>
  <c r="M389" i="8"/>
  <c r="M388" i="8"/>
  <c r="M387" i="8"/>
  <c r="M386" i="8"/>
  <c r="M385" i="8"/>
  <c r="M384" i="8"/>
  <c r="M383" i="8"/>
  <c r="M382" i="8"/>
  <c r="M381" i="8"/>
  <c r="M380" i="8"/>
  <c r="M379" i="8"/>
  <c r="M378" i="8"/>
  <c r="M377" i="8"/>
  <c r="M376" i="8"/>
  <c r="M375" i="8"/>
  <c r="M374" i="8"/>
  <c r="M373" i="8"/>
  <c r="M372" i="8"/>
  <c r="M371" i="8"/>
  <c r="M370" i="8"/>
  <c r="M369" i="8"/>
  <c r="M368" i="8"/>
  <c r="M367" i="8"/>
  <c r="M366" i="8"/>
  <c r="M365" i="8"/>
  <c r="M364" i="8"/>
  <c r="M363" i="8"/>
  <c r="M362" i="8"/>
  <c r="M361" i="8"/>
  <c r="M360" i="8"/>
  <c r="M359" i="8"/>
  <c r="M358" i="8"/>
  <c r="M357" i="8"/>
  <c r="M356" i="8"/>
  <c r="M355" i="8"/>
  <c r="M354" i="8"/>
  <c r="M353" i="8"/>
  <c r="M352" i="8"/>
  <c r="M351" i="8"/>
  <c r="M350" i="8"/>
  <c r="M349" i="8"/>
  <c r="M348" i="8"/>
  <c r="M347" i="8"/>
  <c r="M346" i="8"/>
  <c r="M345" i="8"/>
  <c r="M344" i="8"/>
  <c r="M343" i="8"/>
  <c r="M342" i="8"/>
  <c r="M341" i="8"/>
  <c r="M340" i="8"/>
  <c r="M339" i="8"/>
  <c r="M338" i="8"/>
  <c r="M337" i="8"/>
  <c r="M336" i="8"/>
  <c r="M335" i="8"/>
  <c r="M334" i="8"/>
  <c r="M208" i="8"/>
  <c r="M207" i="8"/>
  <c r="M206" i="8"/>
  <c r="M205" i="8"/>
  <c r="M204" i="8"/>
  <c r="M203" i="8"/>
  <c r="M202" i="8"/>
  <c r="M201" i="8"/>
  <c r="M200" i="8"/>
  <c r="M199" i="8"/>
  <c r="M198" i="8"/>
  <c r="M197" i="8"/>
  <c r="M196" i="8"/>
  <c r="M195" i="8"/>
  <c r="M194" i="8"/>
  <c r="M193" i="8"/>
  <c r="M192" i="8"/>
  <c r="M191" i="8"/>
  <c r="M190" i="8"/>
  <c r="M189" i="8"/>
  <c r="M188" i="8"/>
  <c r="M187" i="8"/>
  <c r="M186" i="8"/>
  <c r="M185" i="8"/>
  <c r="M184" i="8"/>
  <c r="M183" i="8"/>
  <c r="M182" i="8"/>
  <c r="M181" i="8"/>
  <c r="M180" i="8"/>
  <c r="M179" i="8"/>
  <c r="M178" i="8"/>
  <c r="M177" i="8"/>
  <c r="M176" i="8"/>
  <c r="M175" i="8"/>
  <c r="M174" i="8"/>
  <c r="M173" i="8"/>
  <c r="M172" i="8"/>
  <c r="M171" i="8"/>
  <c r="M170" i="8"/>
  <c r="M169" i="8"/>
  <c r="M168" i="8"/>
  <c r="M167" i="8"/>
  <c r="M166" i="8"/>
  <c r="M165" i="8"/>
  <c r="M164" i="8"/>
  <c r="M163" i="8"/>
  <c r="M162" i="8"/>
  <c r="M161" i="8"/>
  <c r="M160" i="8"/>
  <c r="M159" i="8"/>
  <c r="M158" i="8"/>
  <c r="M157" i="8"/>
  <c r="M156" i="8"/>
  <c r="M155" i="8"/>
  <c r="M154" i="8"/>
  <c r="M153" i="8"/>
  <c r="M152" i="8"/>
  <c r="M151" i="8"/>
  <c r="M150" i="8"/>
  <c r="M149" i="8"/>
  <c r="M148" i="8"/>
  <c r="M147" i="8"/>
  <c r="M146" i="8"/>
  <c r="M145" i="8"/>
  <c r="M144" i="8"/>
  <c r="M143" i="8"/>
  <c r="M142" i="8"/>
  <c r="M141" i="8"/>
  <c r="M140" i="8"/>
  <c r="M139" i="8"/>
  <c r="M138" i="8"/>
  <c r="M137" i="8"/>
  <c r="M136" i="8"/>
  <c r="M135" i="8"/>
  <c r="M134" i="8"/>
  <c r="M133" i="8"/>
  <c r="M132" i="8"/>
  <c r="M131" i="8"/>
  <c r="M130" i="8"/>
  <c r="M129" i="8"/>
  <c r="M128" i="8"/>
  <c r="M127" i="8"/>
  <c r="M126" i="8"/>
  <c r="M125" i="8"/>
  <c r="M124" i="8"/>
  <c r="M103" i="8"/>
  <c r="M102" i="8"/>
  <c r="M101" i="8"/>
  <c r="M100" i="8"/>
  <c r="M99" i="8"/>
  <c r="M98" i="8"/>
  <c r="M97" i="8"/>
  <c r="M96" i="8"/>
  <c r="M95" i="8"/>
  <c r="M94" i="8"/>
  <c r="M93" i="8"/>
  <c r="M92" i="8"/>
  <c r="M91" i="8"/>
  <c r="M90" i="8"/>
  <c r="M89" i="8"/>
  <c r="M88" i="8"/>
  <c r="M87" i="8"/>
  <c r="M86" i="8"/>
  <c r="M85" i="8"/>
  <c r="M84" i="8"/>
  <c r="M83" i="8"/>
  <c r="M82" i="8"/>
  <c r="M81" i="8"/>
  <c r="M80" i="8"/>
  <c r="M79" i="8"/>
  <c r="M78" i="8"/>
  <c r="M77" i="8"/>
  <c r="M76" i="8"/>
  <c r="M75" i="8"/>
  <c r="M74" i="8"/>
  <c r="M73" i="8"/>
  <c r="M72" i="8"/>
  <c r="M71" i="8"/>
  <c r="M70" i="8"/>
  <c r="M69" i="8"/>
  <c r="M68" i="8"/>
  <c r="M67" i="8"/>
  <c r="M66" i="8"/>
  <c r="M65" i="8"/>
  <c r="M64" i="8"/>
  <c r="M63" i="8"/>
  <c r="M62" i="8"/>
  <c r="M61" i="8"/>
  <c r="M60" i="8"/>
  <c r="M59" i="8"/>
  <c r="M58" i="8"/>
  <c r="M57" i="8"/>
  <c r="M56" i="8"/>
  <c r="M55" i="8"/>
  <c r="M54" i="8"/>
  <c r="M53" i="8"/>
  <c r="M52" i="8"/>
  <c r="M51" i="8"/>
  <c r="M50" i="8"/>
  <c r="M49" i="8"/>
  <c r="M48" i="8"/>
  <c r="M47" i="8"/>
  <c r="M46" i="8"/>
  <c r="M45" i="8"/>
  <c r="M44" i="8"/>
  <c r="M43" i="8"/>
  <c r="M42" i="8"/>
  <c r="M41" i="8"/>
  <c r="M40" i="8"/>
  <c r="M39" i="8"/>
  <c r="M38" i="8"/>
  <c r="M37" i="8"/>
  <c r="M36" i="8"/>
  <c r="M35" i="8"/>
  <c r="M34" i="8"/>
  <c r="M33" i="8"/>
  <c r="M32" i="8"/>
  <c r="M31" i="8"/>
  <c r="M30" i="8"/>
  <c r="M29" i="8"/>
  <c r="M28" i="8"/>
  <c r="M27" i="8"/>
  <c r="M26" i="8"/>
  <c r="M25" i="8"/>
  <c r="M24" i="8"/>
  <c r="M23" i="8"/>
  <c r="M22" i="8"/>
  <c r="M21" i="8"/>
  <c r="M20" i="8"/>
  <c r="M19" i="8"/>
  <c r="Z2307" i="2"/>
  <c r="Y2307" i="2"/>
  <c r="X2307" i="2"/>
  <c r="W2307" i="2"/>
  <c r="V2307" i="2"/>
  <c r="U2307" i="2"/>
  <c r="T2307" i="2"/>
  <c r="S2307" i="2"/>
  <c r="R2307" i="2"/>
  <c r="Q2307" i="2"/>
  <c r="P2307" i="2"/>
  <c r="Z2306" i="2"/>
  <c r="Y2306" i="2"/>
  <c r="X2306" i="2"/>
  <c r="W2306" i="2"/>
  <c r="V2306" i="2"/>
  <c r="U2306" i="2"/>
  <c r="T2306" i="2"/>
  <c r="S2306" i="2"/>
  <c r="R2306" i="2"/>
  <c r="Q2306" i="2"/>
  <c r="P2306" i="2"/>
  <c r="Z2304" i="2"/>
  <c r="Y2304" i="2"/>
  <c r="X2304" i="2"/>
  <c r="W2304" i="2"/>
  <c r="V2304" i="2"/>
  <c r="U2304" i="2"/>
  <c r="T2304" i="2"/>
  <c r="S2304" i="2"/>
  <c r="R2304" i="2"/>
  <c r="Q2304" i="2"/>
  <c r="P2304" i="2"/>
  <c r="Z2303" i="2"/>
  <c r="Y2303" i="2"/>
  <c r="X2303" i="2"/>
  <c r="W2303" i="2"/>
  <c r="V2303" i="2"/>
  <c r="U2303" i="2"/>
  <c r="T2303" i="2"/>
  <c r="S2303" i="2"/>
  <c r="R2303" i="2"/>
  <c r="Q2303" i="2"/>
  <c r="P2303" i="2"/>
  <c r="Z2301" i="2"/>
  <c r="Y2301" i="2"/>
  <c r="X2301" i="2"/>
  <c r="W2301" i="2"/>
  <c r="V2301" i="2"/>
  <c r="U2301" i="2"/>
  <c r="T2301" i="2"/>
  <c r="S2301" i="2"/>
  <c r="R2301" i="2"/>
  <c r="Q2301" i="2"/>
  <c r="P2301" i="2"/>
  <c r="Z2300" i="2"/>
  <c r="Y2300" i="2"/>
  <c r="X2300" i="2"/>
  <c r="W2300" i="2"/>
  <c r="V2300" i="2"/>
  <c r="U2300" i="2"/>
  <c r="T2300" i="2"/>
  <c r="S2300" i="2"/>
  <c r="R2300" i="2"/>
  <c r="Q2300" i="2"/>
  <c r="P2300" i="2"/>
  <c r="N2307" i="2"/>
  <c r="N2306" i="2"/>
  <c r="N2304" i="2"/>
  <c r="N2303" i="2"/>
  <c r="N2301" i="2"/>
  <c r="N2300" i="2"/>
  <c r="A1979" i="2"/>
  <c r="A1978" i="2"/>
  <c r="A1977" i="2"/>
  <c r="A1976" i="2"/>
  <c r="A1975" i="2"/>
  <c r="A1974" i="2"/>
  <c r="A1973" i="2"/>
  <c r="A1972" i="2"/>
  <c r="A1971" i="2"/>
  <c r="A1970" i="2"/>
  <c r="A1969" i="2"/>
  <c r="A1968" i="2"/>
  <c r="A1967" i="2"/>
  <c r="A1966" i="2"/>
  <c r="A1965" i="2"/>
  <c r="N2119" i="2"/>
  <c r="AK175" i="39"/>
  <c r="AJ175" i="39"/>
  <c r="AM165" i="39"/>
  <c r="AL165" i="39"/>
  <c r="AK165" i="39"/>
  <c r="AJ165" i="39"/>
  <c r="AI165" i="39"/>
  <c r="AH165" i="39"/>
  <c r="AG165" i="39"/>
  <c r="AF165" i="39"/>
  <c r="AE165" i="39"/>
  <c r="AM164" i="39"/>
  <c r="AL164" i="39"/>
  <c r="AK164" i="39"/>
  <c r="AJ164" i="39"/>
  <c r="AI164" i="39"/>
  <c r="AH164" i="39"/>
  <c r="AG164" i="39"/>
  <c r="AF164" i="39"/>
  <c r="AE164" i="39"/>
  <c r="AM163" i="39"/>
  <c r="AL163" i="39"/>
  <c r="AK163" i="39"/>
  <c r="AJ163" i="39"/>
  <c r="AI163" i="39"/>
  <c r="AH163" i="39"/>
  <c r="AG163" i="39"/>
  <c r="AF163" i="39"/>
  <c r="AE163" i="39"/>
  <c r="AM162" i="39"/>
  <c r="AL162" i="39"/>
  <c r="AK162" i="39"/>
  <c r="AJ162" i="39"/>
  <c r="AI162" i="39"/>
  <c r="AH162" i="39"/>
  <c r="AG162" i="39"/>
  <c r="AF162" i="39"/>
  <c r="AE162" i="39"/>
  <c r="AM161" i="39"/>
  <c r="AL161" i="39"/>
  <c r="AK161" i="39"/>
  <c r="AJ161" i="39"/>
  <c r="AI161" i="39"/>
  <c r="AH161" i="39"/>
  <c r="AG161" i="39"/>
  <c r="AF161" i="39"/>
  <c r="AE161" i="39"/>
  <c r="AM160" i="39"/>
  <c r="AL160" i="39"/>
  <c r="AK160" i="39"/>
  <c r="AJ160" i="39"/>
  <c r="AI160" i="39"/>
  <c r="AH160" i="39"/>
  <c r="AG160" i="39"/>
  <c r="AF160" i="39"/>
  <c r="AE160" i="39"/>
  <c r="AM159" i="39"/>
  <c r="AL159" i="39"/>
  <c r="AK159" i="39"/>
  <c r="AJ159" i="39"/>
  <c r="AI159" i="39"/>
  <c r="AH159" i="39"/>
  <c r="AG159" i="39"/>
  <c r="AF159" i="39"/>
  <c r="AE159" i="39"/>
  <c r="AM158" i="39"/>
  <c r="AL158" i="39"/>
  <c r="AK158" i="39"/>
  <c r="AJ158" i="39"/>
  <c r="AI158" i="39"/>
  <c r="AH158" i="39"/>
  <c r="AG158" i="39"/>
  <c r="AG166" i="39"/>
  <c r="AF158" i="39"/>
  <c r="AE158" i="39"/>
  <c r="AM157" i="39"/>
  <c r="AL157" i="39"/>
  <c r="AK157" i="39"/>
  <c r="AJ157" i="39"/>
  <c r="AI157" i="39"/>
  <c r="AH157" i="39"/>
  <c r="AH166" i="39"/>
  <c r="AG157" i="39"/>
  <c r="AF157" i="39"/>
  <c r="AE157" i="39"/>
  <c r="AM156" i="39"/>
  <c r="AL156" i="39"/>
  <c r="AK156" i="39"/>
  <c r="AJ156" i="39"/>
  <c r="AI156" i="39"/>
  <c r="AH156" i="39"/>
  <c r="AG156" i="39"/>
  <c r="AF156" i="39"/>
  <c r="AE156" i="39"/>
  <c r="AM155" i="39"/>
  <c r="AM166" i="39"/>
  <c r="AL155" i="39"/>
  <c r="AL166" i="39"/>
  <c r="AK155" i="39"/>
  <c r="AK166" i="39"/>
  <c r="AJ155" i="39"/>
  <c r="AJ166" i="39"/>
  <c r="AI155" i="39"/>
  <c r="AI166" i="39"/>
  <c r="AH155" i="39"/>
  <c r="AG155" i="39"/>
  <c r="AF155" i="39"/>
  <c r="AF166" i="39"/>
  <c r="AE155" i="39"/>
  <c r="AE166" i="39"/>
  <c r="AM145" i="39"/>
  <c r="AL145" i="39"/>
  <c r="AK145" i="39"/>
  <c r="AJ145" i="39"/>
  <c r="AI145" i="39"/>
  <c r="AH145" i="39"/>
  <c r="AG145" i="39"/>
  <c r="AF145" i="39"/>
  <c r="AE145" i="39"/>
  <c r="AM144" i="39"/>
  <c r="AL144" i="39"/>
  <c r="AK144" i="39"/>
  <c r="AJ144" i="39"/>
  <c r="AI144" i="39"/>
  <c r="AH144" i="39"/>
  <c r="AG144" i="39"/>
  <c r="AF144" i="39"/>
  <c r="AE144" i="39"/>
  <c r="AM143" i="39"/>
  <c r="AL143" i="39"/>
  <c r="AK143" i="39"/>
  <c r="AJ143" i="39"/>
  <c r="AI143" i="39"/>
  <c r="AH143" i="39"/>
  <c r="AG143" i="39"/>
  <c r="AF143" i="39"/>
  <c r="AE143" i="39"/>
  <c r="AM142" i="39"/>
  <c r="AL142" i="39"/>
  <c r="AK142" i="39"/>
  <c r="AJ142" i="39"/>
  <c r="AI142" i="39"/>
  <c r="AH142" i="39"/>
  <c r="AG142" i="39"/>
  <c r="AF142" i="39"/>
  <c r="AE142" i="39"/>
  <c r="AM141" i="39"/>
  <c r="AL141" i="39"/>
  <c r="AK141" i="39"/>
  <c r="AJ141" i="39"/>
  <c r="AI141" i="39"/>
  <c r="AH141" i="39"/>
  <c r="AG141" i="39"/>
  <c r="AF141" i="39"/>
  <c r="AE141" i="39"/>
  <c r="AM140" i="39"/>
  <c r="AL140" i="39"/>
  <c r="AK140" i="39"/>
  <c r="AJ140" i="39"/>
  <c r="AI140" i="39"/>
  <c r="AH140" i="39"/>
  <c r="AG140" i="39"/>
  <c r="AF140" i="39"/>
  <c r="AE140" i="39"/>
  <c r="AM139" i="39"/>
  <c r="AL139" i="39"/>
  <c r="AK139" i="39"/>
  <c r="AJ139" i="39"/>
  <c r="AI139" i="39"/>
  <c r="AH139" i="39"/>
  <c r="AG139" i="39"/>
  <c r="AF139" i="39"/>
  <c r="AE139" i="39"/>
  <c r="AM138" i="39"/>
  <c r="AL138" i="39"/>
  <c r="AK138" i="39"/>
  <c r="AJ138" i="39"/>
  <c r="AI138" i="39"/>
  <c r="AI146" i="39"/>
  <c r="AH138" i="39"/>
  <c r="AG138" i="39"/>
  <c r="AF138" i="39"/>
  <c r="AF146" i="39"/>
  <c r="AE138" i="39"/>
  <c r="AM137" i="39"/>
  <c r="AL137" i="39"/>
  <c r="AK137" i="39"/>
  <c r="AJ137" i="39"/>
  <c r="AJ146" i="39"/>
  <c r="AI137" i="39"/>
  <c r="AH137" i="39"/>
  <c r="AG137" i="39"/>
  <c r="AF137" i="39"/>
  <c r="AE137" i="39"/>
  <c r="AM136" i="39"/>
  <c r="AL136" i="39"/>
  <c r="AK136" i="39"/>
  <c r="AJ136" i="39"/>
  <c r="AI136" i="39"/>
  <c r="AH136" i="39"/>
  <c r="AG136" i="39"/>
  <c r="AF136" i="39"/>
  <c r="AE136" i="39"/>
  <c r="AM135" i="39"/>
  <c r="AM146" i="39"/>
  <c r="AL135" i="39"/>
  <c r="AL146" i="39"/>
  <c r="AK135" i="39"/>
  <c r="AK146" i="39"/>
  <c r="AJ135" i="39"/>
  <c r="AI135" i="39"/>
  <c r="AH135" i="39"/>
  <c r="AH146" i="39"/>
  <c r="AG135" i="39"/>
  <c r="AG146" i="39"/>
  <c r="AF135" i="39"/>
  <c r="AE135" i="39"/>
  <c r="AE146" i="39"/>
  <c r="AM126" i="39"/>
  <c r="AL126" i="39"/>
  <c r="AK126" i="39"/>
  <c r="AJ126" i="39"/>
  <c r="AI126" i="39"/>
  <c r="AH126" i="39"/>
  <c r="AG126" i="39"/>
  <c r="AF126" i="39"/>
  <c r="AD126" i="39"/>
  <c r="AE126" i="39"/>
  <c r="AM125" i="39"/>
  <c r="AL125" i="39"/>
  <c r="AK125" i="39"/>
  <c r="AJ125" i="39"/>
  <c r="AI125" i="39"/>
  <c r="AH125" i="39"/>
  <c r="AG125" i="39"/>
  <c r="AF125" i="39"/>
  <c r="AE125" i="39"/>
  <c r="AM124" i="39"/>
  <c r="AL124" i="39"/>
  <c r="AK124" i="39"/>
  <c r="AJ124" i="39"/>
  <c r="AI124" i="39"/>
  <c r="AH124" i="39"/>
  <c r="AG124" i="39"/>
  <c r="AF124" i="39"/>
  <c r="AE124" i="39"/>
  <c r="AM123" i="39"/>
  <c r="AL123" i="39"/>
  <c r="AK123" i="39"/>
  <c r="AJ123" i="39"/>
  <c r="AI123" i="39"/>
  <c r="AH123" i="39"/>
  <c r="AG123" i="39"/>
  <c r="AF123" i="39"/>
  <c r="AE123" i="39"/>
  <c r="AM122" i="39"/>
  <c r="AL122" i="39"/>
  <c r="AK122" i="39"/>
  <c r="AJ122" i="39"/>
  <c r="AI122" i="39"/>
  <c r="AH122" i="39"/>
  <c r="AG122" i="39"/>
  <c r="AF122" i="39"/>
  <c r="AE122" i="39"/>
  <c r="AM121" i="39"/>
  <c r="AL121" i="39"/>
  <c r="AK121" i="39"/>
  <c r="AJ121" i="39"/>
  <c r="AI121" i="39"/>
  <c r="AH121" i="39"/>
  <c r="AG121" i="39"/>
  <c r="AF121" i="39"/>
  <c r="AE121" i="39"/>
  <c r="AM120" i="39"/>
  <c r="AL120" i="39"/>
  <c r="AK120" i="39"/>
  <c r="AJ120" i="39"/>
  <c r="AI120" i="39"/>
  <c r="AH120" i="39"/>
  <c r="AG120" i="39"/>
  <c r="AF120" i="39"/>
  <c r="AE120" i="39"/>
  <c r="AM119" i="39"/>
  <c r="AL119" i="39"/>
  <c r="AK119" i="39"/>
  <c r="AJ119" i="39"/>
  <c r="AI119" i="39"/>
  <c r="AH119" i="39"/>
  <c r="AG119" i="39"/>
  <c r="AF119" i="39"/>
  <c r="AE119" i="39"/>
  <c r="AM118" i="39"/>
  <c r="AL118" i="39"/>
  <c r="AK118" i="39"/>
  <c r="AJ118" i="39"/>
  <c r="AI118" i="39"/>
  <c r="AH118" i="39"/>
  <c r="AG118" i="39"/>
  <c r="AF118" i="39"/>
  <c r="AE118" i="39"/>
  <c r="AM117" i="39"/>
  <c r="AL117" i="39"/>
  <c r="AK117" i="39"/>
  <c r="AJ117" i="39"/>
  <c r="AI117" i="39"/>
  <c r="AH117" i="39"/>
  <c r="AG117" i="39"/>
  <c r="AF117" i="39"/>
  <c r="AE117" i="39"/>
  <c r="AM116" i="39"/>
  <c r="AL116" i="39"/>
  <c r="AK116" i="39"/>
  <c r="AJ116" i="39"/>
  <c r="AI116" i="39"/>
  <c r="AH116" i="39"/>
  <c r="AG116" i="39"/>
  <c r="AF116" i="39"/>
  <c r="AE116" i="39"/>
  <c r="AM115" i="39"/>
  <c r="AL115" i="39"/>
  <c r="AK115" i="39"/>
  <c r="AJ115" i="39"/>
  <c r="AI115" i="39"/>
  <c r="AH115" i="39"/>
  <c r="AG115" i="39"/>
  <c r="AF115" i="39"/>
  <c r="AE115" i="39"/>
  <c r="BD2119" i="2"/>
  <c r="BE2119" i="2"/>
  <c r="BC2119" i="2"/>
  <c r="AY2119" i="2"/>
  <c r="AV2119" i="2"/>
  <c r="Z2119" i="2"/>
  <c r="Y2119" i="2"/>
  <c r="X2119" i="2"/>
  <c r="W2119" i="2"/>
  <c r="V2119" i="2"/>
  <c r="U2119" i="2"/>
  <c r="T2119" i="2"/>
  <c r="S2119" i="2"/>
  <c r="R2119" i="2"/>
  <c r="Q2119" i="2"/>
  <c r="P2119" i="2"/>
  <c r="A2115" i="2"/>
  <c r="A2116" i="2"/>
  <c r="A2117" i="2"/>
  <c r="A2118" i="2"/>
  <c r="A2119" i="2"/>
  <c r="A2120" i="2"/>
  <c r="A2121" i="2"/>
  <c r="A2122" i="2"/>
  <c r="A2123" i="2"/>
  <c r="A2124" i="2"/>
  <c r="A2125" i="2"/>
  <c r="A2126" i="2"/>
  <c r="A2127" i="2"/>
  <c r="A2128" i="2"/>
  <c r="A2129" i="2"/>
  <c r="AD165" i="39"/>
  <c r="AD164" i="39"/>
  <c r="AD163" i="39"/>
  <c r="AD162" i="39"/>
  <c r="AD161" i="39"/>
  <c r="AD160" i="39"/>
  <c r="AD159" i="39"/>
  <c r="AD158" i="39"/>
  <c r="AD157" i="39"/>
  <c r="AD156" i="39"/>
  <c r="AD155" i="39"/>
  <c r="AD145" i="39"/>
  <c r="AD144" i="39"/>
  <c r="AD143" i="39"/>
  <c r="AD142" i="39"/>
  <c r="AD141" i="39"/>
  <c r="AD140" i="39"/>
  <c r="AD139" i="39"/>
  <c r="AD138" i="39"/>
  <c r="AD137" i="39"/>
  <c r="AD136" i="39"/>
  <c r="AD135" i="39"/>
  <c r="AD125" i="39"/>
  <c r="AD124" i="39"/>
  <c r="AD123" i="39"/>
  <c r="AD122" i="39"/>
  <c r="AD121" i="39"/>
  <c r="AD120" i="39"/>
  <c r="AD119" i="39"/>
  <c r="AD118" i="39"/>
  <c r="AD117" i="39"/>
  <c r="AD116" i="39"/>
  <c r="AD115" i="39"/>
  <c r="Z125" i="39"/>
  <c r="Z124" i="39"/>
  <c r="Z123" i="39"/>
  <c r="Z122" i="39"/>
  <c r="Z121" i="39"/>
  <c r="Z120" i="39"/>
  <c r="Z119" i="39"/>
  <c r="Z118" i="39"/>
  <c r="Z117" i="39"/>
  <c r="Z116" i="39"/>
  <c r="Z115" i="39"/>
  <c r="A1920" i="2"/>
  <c r="A1921" i="2"/>
  <c r="A1922" i="2"/>
  <c r="A1923" i="2"/>
  <c r="A1924" i="2"/>
  <c r="A1925" i="2"/>
  <c r="A1926" i="2"/>
  <c r="A1927" i="2"/>
  <c r="A1928" i="2"/>
  <c r="A1929" i="2"/>
  <c r="A1930" i="2"/>
  <c r="A1931" i="2"/>
  <c r="A1932" i="2"/>
  <c r="A1933" i="2"/>
  <c r="A1934" i="2"/>
  <c r="A1935" i="2"/>
  <c r="A1936" i="2"/>
  <c r="A1937" i="2"/>
  <c r="A1938" i="2"/>
  <c r="A1939" i="2"/>
  <c r="A1940" i="2"/>
  <c r="A1941" i="2"/>
  <c r="A1942" i="2"/>
  <c r="A1943" i="2"/>
  <c r="A1944" i="2"/>
  <c r="A1945" i="2"/>
  <c r="A1946" i="2"/>
  <c r="A1947" i="2"/>
  <c r="A1948" i="2"/>
  <c r="A1949" i="2"/>
  <c r="A1950" i="2"/>
  <c r="A1951" i="2"/>
  <c r="A1952" i="2"/>
  <c r="A1953" i="2"/>
  <c r="A1954" i="2"/>
  <c r="A1955" i="2"/>
  <c r="A1956" i="2"/>
  <c r="A1957" i="2"/>
  <c r="A1958" i="2"/>
  <c r="A1959" i="2"/>
  <c r="A1960" i="2"/>
  <c r="A1961" i="2"/>
  <c r="A1962" i="2"/>
  <c r="A1963" i="2"/>
  <c r="A1964" i="2"/>
  <c r="BD2134" i="2"/>
  <c r="BE2134" i="2"/>
  <c r="BC2134" i="2"/>
  <c r="AY2134" i="2"/>
  <c r="AV2134" i="2"/>
  <c r="Z2134" i="2"/>
  <c r="Y2134" i="2"/>
  <c r="X2134" i="2"/>
  <c r="W2134" i="2"/>
  <c r="V2134" i="2"/>
  <c r="U2134" i="2"/>
  <c r="T2134" i="2"/>
  <c r="S2134" i="2"/>
  <c r="R2134" i="2"/>
  <c r="Q2134" i="2"/>
  <c r="P2134" i="2"/>
  <c r="BD2149" i="2"/>
  <c r="BE2149" i="2"/>
  <c r="BC2149" i="2"/>
  <c r="AY2149" i="2"/>
  <c r="AV2149" i="2"/>
  <c r="Z2149" i="2"/>
  <c r="Y2149" i="2"/>
  <c r="X2149" i="2"/>
  <c r="W2149" i="2"/>
  <c r="V2149" i="2"/>
  <c r="U2149" i="2"/>
  <c r="T2149" i="2"/>
  <c r="S2149" i="2"/>
  <c r="R2149" i="2"/>
  <c r="Q2149" i="2"/>
  <c r="P2149" i="2"/>
  <c r="BD2164" i="2"/>
  <c r="BE2164" i="2"/>
  <c r="BC2164" i="2"/>
  <c r="AY2164" i="2"/>
  <c r="AV2164" i="2"/>
  <c r="Z2164" i="2"/>
  <c r="Y2164" i="2"/>
  <c r="X2164" i="2"/>
  <c r="W2164" i="2"/>
  <c r="V2164" i="2"/>
  <c r="U2164" i="2"/>
  <c r="T2164" i="2"/>
  <c r="S2164" i="2"/>
  <c r="R2164" i="2"/>
  <c r="Q2164" i="2"/>
  <c r="P2164" i="2"/>
  <c r="N2164" i="2"/>
  <c r="N2160" i="2"/>
  <c r="N2149" i="2"/>
  <c r="N2145" i="2"/>
  <c r="N2134" i="2"/>
  <c r="N2130" i="2"/>
  <c r="A2145" i="2"/>
  <c r="A2146" i="2"/>
  <c r="A2147" i="2"/>
  <c r="A2148" i="2"/>
  <c r="A2149" i="2"/>
  <c r="A2150" i="2"/>
  <c r="A2151" i="2"/>
  <c r="A2152" i="2"/>
  <c r="A2153" i="2"/>
  <c r="A2154" i="2"/>
  <c r="A2155" i="2"/>
  <c r="A2156" i="2"/>
  <c r="A2157" i="2"/>
  <c r="A2158" i="2"/>
  <c r="A2159" i="2"/>
  <c r="A2160" i="2"/>
  <c r="A2161" i="2"/>
  <c r="A2162" i="2"/>
  <c r="A2163" i="2"/>
  <c r="A2164" i="2"/>
  <c r="A2165" i="2"/>
  <c r="A2166" i="2"/>
  <c r="A2167" i="2"/>
  <c r="A2168" i="2"/>
  <c r="A2169" i="2"/>
  <c r="A2170" i="2"/>
  <c r="A2171" i="2"/>
  <c r="A2172" i="2"/>
  <c r="A2173" i="2"/>
  <c r="A2174" i="2"/>
  <c r="AK13" i="39"/>
  <c r="AL13" i="39"/>
  <c r="AK9" i="39"/>
  <c r="AL9" i="39"/>
  <c r="AK6" i="39"/>
  <c r="AL6" i="39"/>
  <c r="Z7" i="39" a="1"/>
  <c r="Z7" i="39"/>
  <c r="A2144" i="2"/>
  <c r="A2130" i="2"/>
  <c r="A2131" i="2"/>
  <c r="A2132" i="2"/>
  <c r="A2133" i="2"/>
  <c r="A2134" i="2"/>
  <c r="A2135" i="2"/>
  <c r="A2136" i="2"/>
  <c r="A2137" i="2"/>
  <c r="A2138" i="2"/>
  <c r="A2139" i="2"/>
  <c r="A2140" i="2"/>
  <c r="A2141" i="2"/>
  <c r="A2142" i="2"/>
  <c r="A2143" i="2"/>
  <c r="A2219" i="2"/>
  <c r="A2218" i="2"/>
  <c r="A2217" i="2"/>
  <c r="A2216" i="2"/>
  <c r="A2215" i="2"/>
  <c r="A2214" i="2"/>
  <c r="A2213" i="2"/>
  <c r="A2212" i="2"/>
  <c r="A2211" i="2"/>
  <c r="A2210" i="2"/>
  <c r="A2209" i="2"/>
  <c r="A2208" i="2"/>
  <c r="A2207" i="2"/>
  <c r="A2206" i="2"/>
  <c r="A2205" i="2"/>
  <c r="A3" i="2"/>
  <c r="A4" i="2"/>
  <c r="A5" i="2"/>
  <c r="A6" i="2"/>
  <c r="A8" i="2"/>
  <c r="A9" i="2"/>
  <c r="A10" i="2"/>
  <c r="A11" i="2"/>
  <c r="A12" i="2"/>
  <c r="A13" i="2"/>
  <c r="A15" i="2"/>
  <c r="A16" i="2"/>
  <c r="A17" i="2"/>
  <c r="A18" i="2"/>
  <c r="A19" i="2"/>
  <c r="A20" i="2"/>
  <c r="A22" i="2"/>
  <c r="A23" i="2"/>
  <c r="A24" i="2"/>
  <c r="A25" i="2"/>
  <c r="A26" i="2"/>
  <c r="A27" i="2"/>
  <c r="A29" i="2"/>
  <c r="A30" i="2"/>
  <c r="A31" i="2"/>
  <c r="A32" i="2"/>
  <c r="A33" i="2"/>
  <c r="A34" i="2"/>
  <c r="A36" i="2"/>
  <c r="A37" i="2"/>
  <c r="A38" i="2"/>
  <c r="A39" i="2"/>
  <c r="A40" i="2"/>
  <c r="A41" i="2"/>
  <c r="A43" i="2"/>
  <c r="A44" i="2"/>
  <c r="A45" i="2"/>
  <c r="A46" i="2"/>
  <c r="A47" i="2"/>
  <c r="A48" i="2"/>
  <c r="A50" i="2"/>
  <c r="A51" i="2"/>
  <c r="A52" i="2"/>
  <c r="A53" i="2"/>
  <c r="A54" i="2"/>
  <c r="A55" i="2"/>
  <c r="A57" i="2"/>
  <c r="A58" i="2"/>
  <c r="A59" i="2"/>
  <c r="A60" i="2"/>
  <c r="A61" i="2"/>
  <c r="A62" i="2"/>
  <c r="A64" i="2"/>
  <c r="A65" i="2"/>
  <c r="A66" i="2"/>
  <c r="A67" i="2"/>
  <c r="A68" i="2"/>
  <c r="A69" i="2"/>
  <c r="A71" i="2"/>
  <c r="A72" i="2"/>
  <c r="A73" i="2"/>
  <c r="A74" i="2"/>
  <c r="A75" i="2"/>
  <c r="A76" i="2"/>
  <c r="A78" i="2"/>
  <c r="A79" i="2"/>
  <c r="A80" i="2"/>
  <c r="A81" i="2"/>
  <c r="A82" i="2"/>
  <c r="A83" i="2"/>
  <c r="A85" i="2"/>
  <c r="A86" i="2"/>
  <c r="A87" i="2"/>
  <c r="A88" i="2"/>
  <c r="A89" i="2"/>
  <c r="A90" i="2"/>
  <c r="A92" i="2"/>
  <c r="A93" i="2"/>
  <c r="A94" i="2"/>
  <c r="A95" i="2"/>
  <c r="A96" i="2"/>
  <c r="A97" i="2"/>
  <c r="A99" i="2"/>
  <c r="A100" i="2"/>
  <c r="A101" i="2"/>
  <c r="A102" i="2"/>
  <c r="A103" i="2"/>
  <c r="A104" i="2"/>
  <c r="A106" i="2"/>
  <c r="A107" i="2"/>
  <c r="A108" i="2"/>
  <c r="A109" i="2"/>
  <c r="A110" i="2"/>
  <c r="A111" i="2"/>
  <c r="A113" i="2"/>
  <c r="A114" i="2"/>
  <c r="A115" i="2"/>
  <c r="A116" i="2"/>
  <c r="A117" i="2"/>
  <c r="A118" i="2"/>
  <c r="A120" i="2"/>
  <c r="A121" i="2"/>
  <c r="A122" i="2"/>
  <c r="A123" i="2"/>
  <c r="A124" i="2"/>
  <c r="A125" i="2"/>
  <c r="A127" i="2"/>
  <c r="A128" i="2"/>
  <c r="A129" i="2"/>
  <c r="A130" i="2"/>
  <c r="A131" i="2"/>
  <c r="A132" i="2"/>
  <c r="A134" i="2"/>
  <c r="A135" i="2"/>
  <c r="A136" i="2"/>
  <c r="A137" i="2"/>
  <c r="A138" i="2"/>
  <c r="A139" i="2"/>
  <c r="A141" i="2"/>
  <c r="A142" i="2"/>
  <c r="A143" i="2"/>
  <c r="A144" i="2"/>
  <c r="A145" i="2"/>
  <c r="A146" i="2"/>
  <c r="A148" i="2"/>
  <c r="A149" i="2"/>
  <c r="A150" i="2"/>
  <c r="A151" i="2"/>
  <c r="A152" i="2"/>
  <c r="A153" i="2"/>
  <c r="A155" i="2"/>
  <c r="A156" i="2"/>
  <c r="A157" i="2"/>
  <c r="A158" i="2"/>
  <c r="A159" i="2"/>
  <c r="A160" i="2"/>
  <c r="A162" i="2"/>
  <c r="A163" i="2"/>
  <c r="A164" i="2"/>
  <c r="A165" i="2"/>
  <c r="A166" i="2"/>
  <c r="A167" i="2"/>
  <c r="A169" i="2"/>
  <c r="A170" i="2"/>
  <c r="A171" i="2"/>
  <c r="A172" i="2"/>
  <c r="A173" i="2"/>
  <c r="A174" i="2"/>
  <c r="A176" i="2"/>
  <c r="A177" i="2"/>
  <c r="A178" i="2"/>
  <c r="A179" i="2"/>
  <c r="A180" i="2"/>
  <c r="A181" i="2"/>
  <c r="A183" i="2"/>
  <c r="A184" i="2"/>
  <c r="A185" i="2"/>
  <c r="A186" i="2"/>
  <c r="A187" i="2"/>
  <c r="A188" i="2"/>
  <c r="A190" i="2"/>
  <c r="A191" i="2"/>
  <c r="A192" i="2"/>
  <c r="A193" i="2"/>
  <c r="A194" i="2"/>
  <c r="A195" i="2"/>
  <c r="A197" i="2"/>
  <c r="A198" i="2"/>
  <c r="A199" i="2"/>
  <c r="A200" i="2"/>
  <c r="A201" i="2"/>
  <c r="A202" i="2"/>
  <c r="A204" i="2"/>
  <c r="A205" i="2"/>
  <c r="A206" i="2"/>
  <c r="A207" i="2"/>
  <c r="A208" i="2"/>
  <c r="A209" i="2"/>
  <c r="A211" i="2"/>
  <c r="A212" i="2"/>
  <c r="A213" i="2"/>
  <c r="A214" i="2"/>
  <c r="A215" i="2"/>
  <c r="A216" i="2"/>
  <c r="A218" i="2"/>
  <c r="A219" i="2"/>
  <c r="A220" i="2"/>
  <c r="A221" i="2"/>
  <c r="A222" i="2"/>
  <c r="A223" i="2"/>
  <c r="A225" i="2"/>
  <c r="A226" i="2"/>
  <c r="A227" i="2"/>
  <c r="A228" i="2"/>
  <c r="A229" i="2"/>
  <c r="A230" i="2"/>
  <c r="A232" i="2"/>
  <c r="A233" i="2"/>
  <c r="A234" i="2"/>
  <c r="A235" i="2"/>
  <c r="A236" i="2"/>
  <c r="A237" i="2"/>
  <c r="A239" i="2"/>
  <c r="A240" i="2"/>
  <c r="A241" i="2"/>
  <c r="A242" i="2"/>
  <c r="A243" i="2"/>
  <c r="A244" i="2"/>
  <c r="A246" i="2"/>
  <c r="A247" i="2"/>
  <c r="A248" i="2"/>
  <c r="A249" i="2"/>
  <c r="A250" i="2"/>
  <c r="A251" i="2"/>
  <c r="A253" i="2"/>
  <c r="A254" i="2"/>
  <c r="A255" i="2"/>
  <c r="A256" i="2"/>
  <c r="A257" i="2"/>
  <c r="A258" i="2"/>
  <c r="A260" i="2"/>
  <c r="A261" i="2"/>
  <c r="A262" i="2"/>
  <c r="A263" i="2"/>
  <c r="A264" i="2"/>
  <c r="A265" i="2"/>
  <c r="A267" i="2"/>
  <c r="A268" i="2"/>
  <c r="A269" i="2"/>
  <c r="A270" i="2"/>
  <c r="A271" i="2"/>
  <c r="A272" i="2"/>
  <c r="A274" i="2"/>
  <c r="A275" i="2"/>
  <c r="A276" i="2"/>
  <c r="A277" i="2"/>
  <c r="A278" i="2"/>
  <c r="A279" i="2"/>
  <c r="A281" i="2"/>
  <c r="A282" i="2"/>
  <c r="A283" i="2"/>
  <c r="A284" i="2"/>
  <c r="A285" i="2"/>
  <c r="A286" i="2"/>
  <c r="A287" i="2"/>
  <c r="A288" i="2"/>
  <c r="A289" i="2"/>
  <c r="A290" i="2"/>
  <c r="A291" i="2"/>
  <c r="A292" i="2"/>
  <c r="A293" i="2"/>
  <c r="A294" i="2"/>
  <c r="A295" i="2"/>
  <c r="A296" i="2"/>
  <c r="A297" i="2"/>
  <c r="A298" i="2"/>
  <c r="A299" i="2"/>
  <c r="A300" i="2"/>
  <c r="A301" i="2"/>
  <c r="A302" i="2"/>
  <c r="A303" i="2"/>
  <c r="A304" i="2"/>
  <c r="A305" i="2"/>
  <c r="A306" i="2"/>
  <c r="A307" i="2"/>
  <c r="A308" i="2"/>
  <c r="A309" i="2"/>
  <c r="A310" i="2"/>
  <c r="A311" i="2"/>
  <c r="A312" i="2"/>
  <c r="A313" i="2"/>
  <c r="A314" i="2"/>
  <c r="A315" i="2"/>
  <c r="A316" i="2"/>
  <c r="A317" i="2"/>
  <c r="A318" i="2"/>
  <c r="A319" i="2"/>
  <c r="A320" i="2"/>
  <c r="A321" i="2"/>
  <c r="A322" i="2"/>
  <c r="A323" i="2"/>
  <c r="A324" i="2"/>
  <c r="A325" i="2"/>
  <c r="A326" i="2"/>
  <c r="A327" i="2"/>
  <c r="A328" i="2"/>
  <c r="A329" i="2"/>
  <c r="A330" i="2"/>
  <c r="A331" i="2"/>
  <c r="A332" i="2"/>
  <c r="A333" i="2"/>
  <c r="A334" i="2"/>
  <c r="A335" i="2"/>
  <c r="A336" i="2"/>
  <c r="A337" i="2"/>
  <c r="A338" i="2"/>
  <c r="A339" i="2"/>
  <c r="A340" i="2"/>
  <c r="A341" i="2"/>
  <c r="A342" i="2"/>
  <c r="A343" i="2"/>
  <c r="A344" i="2"/>
  <c r="A345" i="2"/>
  <c r="A346" i="2"/>
  <c r="A347" i="2"/>
  <c r="A348" i="2"/>
  <c r="A349" i="2"/>
  <c r="A350" i="2"/>
  <c r="A351" i="2"/>
  <c r="A352" i="2"/>
  <c r="A353" i="2"/>
  <c r="A354" i="2"/>
  <c r="A355" i="2"/>
  <c r="A356" i="2"/>
  <c r="A357" i="2"/>
  <c r="A358" i="2"/>
  <c r="A359" i="2"/>
  <c r="A360" i="2"/>
  <c r="A361" i="2"/>
  <c r="A362" i="2"/>
  <c r="A363" i="2"/>
  <c r="A364" i="2"/>
  <c r="A365" i="2"/>
  <c r="A366" i="2"/>
  <c r="A367" i="2"/>
  <c r="A368" i="2"/>
  <c r="A369" i="2"/>
  <c r="A370" i="2"/>
  <c r="A371" i="2"/>
  <c r="A372" i="2"/>
  <c r="A373" i="2"/>
  <c r="A374" i="2"/>
  <c r="A375" i="2"/>
  <c r="A376" i="2"/>
  <c r="A377" i="2"/>
  <c r="A378" i="2"/>
  <c r="A379" i="2"/>
  <c r="A380" i="2"/>
  <c r="A381" i="2"/>
  <c r="A382" i="2"/>
  <c r="A383" i="2"/>
  <c r="A384" i="2"/>
  <c r="A385" i="2"/>
  <c r="A386" i="2"/>
  <c r="A387" i="2"/>
  <c r="A388" i="2"/>
  <c r="A389" i="2"/>
  <c r="A390" i="2"/>
  <c r="A391" i="2"/>
  <c r="A392" i="2"/>
  <c r="A393" i="2"/>
  <c r="A394" i="2"/>
  <c r="A395" i="2"/>
  <c r="A396" i="2"/>
  <c r="A397" i="2"/>
  <c r="A398" i="2"/>
  <c r="A399" i="2"/>
  <c r="A400" i="2"/>
  <c r="A401" i="2"/>
  <c r="A402" i="2"/>
  <c r="A403" i="2"/>
  <c r="A404" i="2"/>
  <c r="A405" i="2"/>
  <c r="A406" i="2"/>
  <c r="A407" i="2"/>
  <c r="A408" i="2"/>
  <c r="A409" i="2"/>
  <c r="A410" i="2"/>
  <c r="A411" i="2"/>
  <c r="A412" i="2"/>
  <c r="A413" i="2"/>
  <c r="A414" i="2"/>
  <c r="A415" i="2"/>
  <c r="A416" i="2"/>
  <c r="A418" i="2"/>
  <c r="A419" i="2"/>
  <c r="A420" i="2"/>
  <c r="A421" i="2"/>
  <c r="A422" i="2"/>
  <c r="A423" i="2"/>
  <c r="A424" i="2"/>
  <c r="A425" i="2"/>
  <c r="A426" i="2"/>
  <c r="A427" i="2"/>
  <c r="A428" i="2"/>
  <c r="A429" i="2"/>
  <c r="A430" i="2"/>
  <c r="A431" i="2"/>
  <c r="A432" i="2"/>
  <c r="A433" i="2"/>
  <c r="A435" i="2"/>
  <c r="A436" i="2"/>
  <c r="A437" i="2"/>
  <c r="A438" i="2"/>
  <c r="A439" i="2"/>
  <c r="A440" i="2"/>
  <c r="A441" i="2"/>
  <c r="A442" i="2"/>
  <c r="A443" i="2"/>
  <c r="A444" i="2"/>
  <c r="A445" i="2"/>
  <c r="A446" i="2"/>
  <c r="A447" i="2"/>
  <c r="A448" i="2"/>
  <c r="A449" i="2"/>
  <c r="A450" i="2"/>
  <c r="A452" i="2"/>
  <c r="A453" i="2"/>
  <c r="A454" i="2"/>
  <c r="A455" i="2"/>
  <c r="A456" i="2"/>
  <c r="A457" i="2"/>
  <c r="A458" i="2"/>
  <c r="A459" i="2"/>
  <c r="A460" i="2"/>
  <c r="A461" i="2"/>
  <c r="A462" i="2"/>
  <c r="A463" i="2"/>
  <c r="A464" i="2"/>
  <c r="A465" i="2"/>
  <c r="A466" i="2"/>
  <c r="A467" i="2"/>
  <c r="A469" i="2"/>
  <c r="A470" i="2"/>
  <c r="A471" i="2"/>
  <c r="A472" i="2"/>
  <c r="A473" i="2"/>
  <c r="A474" i="2"/>
  <c r="A475" i="2"/>
  <c r="A476" i="2"/>
  <c r="A477" i="2"/>
  <c r="A478" i="2"/>
  <c r="A479" i="2"/>
  <c r="A480" i="2"/>
  <c r="A481" i="2"/>
  <c r="A482" i="2"/>
  <c r="A483" i="2"/>
  <c r="A484" i="2"/>
  <c r="A486" i="2"/>
  <c r="A487" i="2"/>
  <c r="A488" i="2"/>
  <c r="A489" i="2"/>
  <c r="A490" i="2"/>
  <c r="A491" i="2"/>
  <c r="A492" i="2"/>
  <c r="A493" i="2"/>
  <c r="A494" i="2"/>
  <c r="A495" i="2"/>
  <c r="A496" i="2"/>
  <c r="A497" i="2"/>
  <c r="A498" i="2"/>
  <c r="A499" i="2"/>
  <c r="A500" i="2"/>
  <c r="A501" i="2"/>
  <c r="A503" i="2"/>
  <c r="A504" i="2"/>
  <c r="A505" i="2"/>
  <c r="A506" i="2"/>
  <c r="A507" i="2"/>
  <c r="A508" i="2"/>
  <c r="A509" i="2"/>
  <c r="A510" i="2"/>
  <c r="A511" i="2"/>
  <c r="A512" i="2"/>
  <c r="A513" i="2"/>
  <c r="A514" i="2"/>
  <c r="A515" i="2"/>
  <c r="A516" i="2"/>
  <c r="A517" i="2"/>
  <c r="A518" i="2"/>
  <c r="A520" i="2"/>
  <c r="A521" i="2"/>
  <c r="A522" i="2"/>
  <c r="A523" i="2"/>
  <c r="A524" i="2"/>
  <c r="A525" i="2"/>
  <c r="A526" i="2"/>
  <c r="A527" i="2"/>
  <c r="A528" i="2"/>
  <c r="A529" i="2"/>
  <c r="A530" i="2"/>
  <c r="A531" i="2"/>
  <c r="A532" i="2"/>
  <c r="A533" i="2"/>
  <c r="A534" i="2"/>
  <c r="A535" i="2"/>
  <c r="A537" i="2"/>
  <c r="A538" i="2"/>
  <c r="A539" i="2"/>
  <c r="A540" i="2"/>
  <c r="A541" i="2"/>
  <c r="A542" i="2"/>
  <c r="A543" i="2"/>
  <c r="A544" i="2"/>
  <c r="A545" i="2"/>
  <c r="A546" i="2"/>
  <c r="A547" i="2"/>
  <c r="A548" i="2"/>
  <c r="A549" i="2"/>
  <c r="A550" i="2"/>
  <c r="A551" i="2"/>
  <c r="A552" i="2"/>
  <c r="A554" i="2"/>
  <c r="A555" i="2"/>
  <c r="A556" i="2"/>
  <c r="A557" i="2"/>
  <c r="A558" i="2"/>
  <c r="A559" i="2"/>
  <c r="A560" i="2"/>
  <c r="A561" i="2"/>
  <c r="A562" i="2"/>
  <c r="A563" i="2"/>
  <c r="A564" i="2"/>
  <c r="A565" i="2"/>
  <c r="A566" i="2"/>
  <c r="A567" i="2"/>
  <c r="A568" i="2"/>
  <c r="A569" i="2"/>
  <c r="A571" i="2"/>
  <c r="A572" i="2"/>
  <c r="A573" i="2"/>
  <c r="A574" i="2"/>
  <c r="A575" i="2"/>
  <c r="A576" i="2"/>
  <c r="A577" i="2"/>
  <c r="A578" i="2"/>
  <c r="A579" i="2"/>
  <c r="A580" i="2"/>
  <c r="A581" i="2"/>
  <c r="A582" i="2"/>
  <c r="A583" i="2"/>
  <c r="A584" i="2"/>
  <c r="A585" i="2"/>
  <c r="A586" i="2"/>
  <c r="A588" i="2"/>
  <c r="A589" i="2"/>
  <c r="A590" i="2"/>
  <c r="A591" i="2"/>
  <c r="A592" i="2"/>
  <c r="A593" i="2"/>
  <c r="A594" i="2"/>
  <c r="A595" i="2"/>
  <c r="A596" i="2"/>
  <c r="A597" i="2"/>
  <c r="A598" i="2"/>
  <c r="A599" i="2"/>
  <c r="A600" i="2"/>
  <c r="A601" i="2"/>
  <c r="A602" i="2"/>
  <c r="A603" i="2"/>
  <c r="A605" i="2"/>
  <c r="A606" i="2"/>
  <c r="A607" i="2"/>
  <c r="A608" i="2"/>
  <c r="A609" i="2"/>
  <c r="A610" i="2"/>
  <c r="A611" i="2"/>
  <c r="A612" i="2"/>
  <c r="A613" i="2"/>
  <c r="A614" i="2"/>
  <c r="A615" i="2"/>
  <c r="A616" i="2"/>
  <c r="A617" i="2"/>
  <c r="A618" i="2"/>
  <c r="A619" i="2"/>
  <c r="A620" i="2"/>
  <c r="A622" i="2"/>
  <c r="A623" i="2"/>
  <c r="A624" i="2"/>
  <c r="A625" i="2"/>
  <c r="A626" i="2"/>
  <c r="A627" i="2"/>
  <c r="A628" i="2"/>
  <c r="A629" i="2"/>
  <c r="A630" i="2"/>
  <c r="A631" i="2"/>
  <c r="A632" i="2"/>
  <c r="A633" i="2"/>
  <c r="A634" i="2"/>
  <c r="A635" i="2"/>
  <c r="A636" i="2"/>
  <c r="A637" i="2"/>
  <c r="A639" i="2"/>
  <c r="A640" i="2"/>
  <c r="A641" i="2"/>
  <c r="A642" i="2"/>
  <c r="A643" i="2"/>
  <c r="A644" i="2"/>
  <c r="A645" i="2"/>
  <c r="A646" i="2"/>
  <c r="A647" i="2"/>
  <c r="A648" i="2"/>
  <c r="A649" i="2"/>
  <c r="A650" i="2"/>
  <c r="A651" i="2"/>
  <c r="A652" i="2"/>
  <c r="A653" i="2"/>
  <c r="A654" i="2"/>
  <c r="A656" i="2"/>
  <c r="A657" i="2"/>
  <c r="A658" i="2"/>
  <c r="A659" i="2"/>
  <c r="A660" i="2"/>
  <c r="A661" i="2"/>
  <c r="A662" i="2"/>
  <c r="A663" i="2"/>
  <c r="A664" i="2"/>
  <c r="A665" i="2"/>
  <c r="A666" i="2"/>
  <c r="A667" i="2"/>
  <c r="A668" i="2"/>
  <c r="A669" i="2"/>
  <c r="A670" i="2"/>
  <c r="A671" i="2"/>
  <c r="A673" i="2"/>
  <c r="A674" i="2"/>
  <c r="A675" i="2"/>
  <c r="A676" i="2"/>
  <c r="A677" i="2"/>
  <c r="A678" i="2"/>
  <c r="A679" i="2"/>
  <c r="A680" i="2"/>
  <c r="A681" i="2"/>
  <c r="A682" i="2"/>
  <c r="A683" i="2"/>
  <c r="A684" i="2"/>
  <c r="A685" i="2"/>
  <c r="A686" i="2"/>
  <c r="A687" i="2"/>
  <c r="A688" i="2"/>
  <c r="A690" i="2"/>
  <c r="A691" i="2"/>
  <c r="A692" i="2"/>
  <c r="A693" i="2"/>
  <c r="A694" i="2"/>
  <c r="A695" i="2"/>
  <c r="A696" i="2"/>
  <c r="A697" i="2"/>
  <c r="A698" i="2"/>
  <c r="A699" i="2"/>
  <c r="A700" i="2"/>
  <c r="A701" i="2"/>
  <c r="A702" i="2"/>
  <c r="A703" i="2"/>
  <c r="A704" i="2"/>
  <c r="A705" i="2"/>
  <c r="A707" i="2"/>
  <c r="A708" i="2"/>
  <c r="A709" i="2"/>
  <c r="A710" i="2"/>
  <c r="A711" i="2"/>
  <c r="A712" i="2"/>
  <c r="A713" i="2"/>
  <c r="A714" i="2"/>
  <c r="A715" i="2"/>
  <c r="A716" i="2"/>
  <c r="A717" i="2"/>
  <c r="A718" i="2"/>
  <c r="A719" i="2"/>
  <c r="A720" i="2"/>
  <c r="A721" i="2"/>
  <c r="A722" i="2"/>
  <c r="A724" i="2"/>
  <c r="A725" i="2"/>
  <c r="A726" i="2"/>
  <c r="A727" i="2"/>
  <c r="A728" i="2"/>
  <c r="A729" i="2"/>
  <c r="A730" i="2"/>
  <c r="A731" i="2"/>
  <c r="A732" i="2"/>
  <c r="A733" i="2"/>
  <c r="A734" i="2"/>
  <c r="A735" i="2"/>
  <c r="A736" i="2"/>
  <c r="A737" i="2"/>
  <c r="A738" i="2"/>
  <c r="A739" i="2"/>
  <c r="A741" i="2"/>
  <c r="A742" i="2"/>
  <c r="A743" i="2"/>
  <c r="A744" i="2"/>
  <c r="A745" i="2"/>
  <c r="A746" i="2"/>
  <c r="A747" i="2"/>
  <c r="A748" i="2"/>
  <c r="A749" i="2"/>
  <c r="A750" i="2"/>
  <c r="A751" i="2"/>
  <c r="A752" i="2"/>
  <c r="A753" i="2"/>
  <c r="A754" i="2"/>
  <c r="A755" i="2"/>
  <c r="A756" i="2"/>
  <c r="A758" i="2"/>
  <c r="A759" i="2"/>
  <c r="A760" i="2"/>
  <c r="A761" i="2"/>
  <c r="A762" i="2"/>
  <c r="A763" i="2"/>
  <c r="A764" i="2"/>
  <c r="A765" i="2"/>
  <c r="A766" i="2"/>
  <c r="A767" i="2"/>
  <c r="A768" i="2"/>
  <c r="A769" i="2"/>
  <c r="A770" i="2"/>
  <c r="A771" i="2"/>
  <c r="A772" i="2"/>
  <c r="A773" i="2"/>
  <c r="A775" i="2"/>
  <c r="A776" i="2"/>
  <c r="A777" i="2"/>
  <c r="A778" i="2"/>
  <c r="A779" i="2"/>
  <c r="A780" i="2"/>
  <c r="A781" i="2"/>
  <c r="A782" i="2"/>
  <c r="A783" i="2"/>
  <c r="A784" i="2"/>
  <c r="A785" i="2"/>
  <c r="A786" i="2"/>
  <c r="A787" i="2"/>
  <c r="A788" i="2"/>
  <c r="A789" i="2"/>
  <c r="A790" i="2"/>
  <c r="A792" i="2"/>
  <c r="A793" i="2"/>
  <c r="A794" i="2"/>
  <c r="A795" i="2"/>
  <c r="A796" i="2"/>
  <c r="A797" i="2"/>
  <c r="A799" i="2"/>
  <c r="A800" i="2"/>
  <c r="A801" i="2"/>
  <c r="A802" i="2"/>
  <c r="A803" i="2"/>
  <c r="A804" i="2"/>
  <c r="A806" i="2"/>
  <c r="A807" i="2"/>
  <c r="A808" i="2"/>
  <c r="A809" i="2"/>
  <c r="A810" i="2"/>
  <c r="A811" i="2"/>
  <c r="A813" i="2"/>
  <c r="A814" i="2"/>
  <c r="A815" i="2"/>
  <c r="A816" i="2"/>
  <c r="A817" i="2"/>
  <c r="A818" i="2"/>
  <c r="A820" i="2"/>
  <c r="A821" i="2"/>
  <c r="A822" i="2"/>
  <c r="A823" i="2"/>
  <c r="A824" i="2"/>
  <c r="A825" i="2"/>
  <c r="A826" i="2"/>
  <c r="A828" i="2"/>
  <c r="A829" i="2"/>
  <c r="A830" i="2"/>
  <c r="A831" i="2"/>
  <c r="A832" i="2"/>
  <c r="A833" i="2"/>
  <c r="A834" i="2"/>
  <c r="A835" i="2"/>
  <c r="A836" i="2"/>
  <c r="A837" i="2"/>
  <c r="A838" i="2"/>
  <c r="A839" i="2"/>
  <c r="A840" i="2"/>
  <c r="A841" i="2"/>
  <c r="A842" i="2"/>
  <c r="A843" i="2"/>
  <c r="A844" i="2"/>
  <c r="A845" i="2"/>
  <c r="A846" i="2"/>
  <c r="A847" i="2"/>
  <c r="A848" i="2"/>
  <c r="A849" i="2"/>
  <c r="A850" i="2"/>
  <c r="A851" i="2"/>
  <c r="A852" i="2"/>
  <c r="A853" i="2"/>
  <c r="A854" i="2"/>
  <c r="A855" i="2"/>
  <c r="A856" i="2"/>
  <c r="A857" i="2"/>
  <c r="A858" i="2"/>
  <c r="A859" i="2"/>
  <c r="A860" i="2"/>
  <c r="A861" i="2"/>
  <c r="A862" i="2"/>
  <c r="A863" i="2"/>
  <c r="A864" i="2"/>
  <c r="A865" i="2"/>
  <c r="A866" i="2"/>
  <c r="A867" i="2"/>
  <c r="A868" i="2"/>
  <c r="A869" i="2"/>
  <c r="A870" i="2"/>
  <c r="A871" i="2"/>
  <c r="A872" i="2"/>
  <c r="A873" i="2"/>
  <c r="A874" i="2"/>
  <c r="A875" i="2"/>
  <c r="A876" i="2"/>
  <c r="A877" i="2"/>
  <c r="A878" i="2"/>
  <c r="A880" i="2"/>
  <c r="A881" i="2"/>
  <c r="A882" i="2"/>
  <c r="A883" i="2"/>
  <c r="A884" i="2"/>
  <c r="A885" i="2"/>
  <c r="A886" i="2"/>
  <c r="A888" i="2"/>
  <c r="A889" i="2"/>
  <c r="A890" i="2"/>
  <c r="A891" i="2"/>
  <c r="A892" i="2"/>
  <c r="A893" i="2"/>
  <c r="A895" i="2"/>
  <c r="A896" i="2"/>
  <c r="A897" i="2"/>
  <c r="A898" i="2"/>
  <c r="A899" i="2"/>
  <c r="A900" i="2"/>
  <c r="A901" i="2"/>
  <c r="A903" i="2"/>
  <c r="A904" i="2"/>
  <c r="A905" i="2"/>
  <c r="A906" i="2"/>
  <c r="A907" i="2"/>
  <c r="A908" i="2"/>
  <c r="A910" i="2"/>
  <c r="A911" i="2"/>
  <c r="A912" i="2"/>
  <c r="A913" i="2"/>
  <c r="A914" i="2"/>
  <c r="A915" i="2"/>
  <c r="A916" i="2"/>
  <c r="A918" i="2"/>
  <c r="A919" i="2"/>
  <c r="A920" i="2"/>
  <c r="A921" i="2"/>
  <c r="A922" i="2"/>
  <c r="A923" i="2"/>
  <c r="A925" i="2"/>
  <c r="A926" i="2"/>
  <c r="A927" i="2"/>
  <c r="A928" i="2"/>
  <c r="A929" i="2"/>
  <c r="A930" i="2"/>
  <c r="A931" i="2"/>
  <c r="A933" i="2"/>
  <c r="A934" i="2"/>
  <c r="A950" i="2"/>
  <c r="A951" i="2"/>
  <c r="A952" i="2"/>
  <c r="A953" i="2"/>
  <c r="A955" i="2"/>
  <c r="A956" i="2"/>
  <c r="A957" i="2"/>
  <c r="A958" i="2"/>
  <c r="A959" i="2"/>
  <c r="A960" i="2"/>
  <c r="A961" i="2"/>
  <c r="A963" i="2"/>
  <c r="A964" i="2"/>
  <c r="A980" i="2"/>
  <c r="A981" i="2"/>
  <c r="A982" i="2"/>
  <c r="A983" i="2"/>
  <c r="A985" i="2"/>
  <c r="A986" i="2"/>
  <c r="A987" i="2"/>
  <c r="A988" i="2"/>
  <c r="A989" i="2"/>
  <c r="A990" i="2"/>
  <c r="A991" i="2"/>
  <c r="A993" i="2"/>
  <c r="A994" i="2"/>
  <c r="A1010" i="2"/>
  <c r="A1011" i="2"/>
  <c r="A1012" i="2"/>
  <c r="A1013" i="2"/>
  <c r="A1015" i="2"/>
  <c r="A1016" i="2"/>
  <c r="A1017" i="2"/>
  <c r="A1018" i="2"/>
  <c r="A1019" i="2"/>
  <c r="A1020" i="2"/>
  <c r="A1021" i="2"/>
  <c r="A1023" i="2"/>
  <c r="A1024" i="2"/>
  <c r="A1040" i="2"/>
  <c r="A1041" i="2"/>
  <c r="A1042" i="2"/>
  <c r="A1043" i="2"/>
  <c r="A1044" i="2"/>
  <c r="A1045" i="2"/>
  <c r="A1046" i="2"/>
  <c r="A1047" i="2"/>
  <c r="A1048" i="2"/>
  <c r="A1049" i="2"/>
  <c r="A1050" i="2"/>
  <c r="A1051" i="2"/>
  <c r="A1052" i="2"/>
  <c r="A1053" i="2"/>
  <c r="A1054" i="2"/>
  <c r="A1070" i="2"/>
  <c r="A1071" i="2"/>
  <c r="A1072" i="2"/>
  <c r="A1073" i="2"/>
  <c r="A1074" i="2"/>
  <c r="A1075" i="2"/>
  <c r="A1076" i="2"/>
  <c r="A1077" i="2"/>
  <c r="A1078" i="2"/>
  <c r="A1079" i="2"/>
  <c r="A1080" i="2"/>
  <c r="A1081" i="2"/>
  <c r="A1082" i="2"/>
  <c r="A1083" i="2"/>
  <c r="A1084" i="2"/>
  <c r="A1100" i="2"/>
  <c r="A1101" i="2"/>
  <c r="A1102" i="2"/>
  <c r="A1103" i="2"/>
  <c r="A1105" i="2"/>
  <c r="A1106" i="2"/>
  <c r="A1107" i="2"/>
  <c r="A1108" i="2"/>
  <c r="A1109" i="2"/>
  <c r="A1110" i="2"/>
  <c r="A1111" i="2"/>
  <c r="A1113" i="2"/>
  <c r="A1114" i="2"/>
  <c r="A1130" i="2"/>
  <c r="A1131" i="2"/>
  <c r="A1132" i="2"/>
  <c r="A1133" i="2"/>
  <c r="A1134" i="2"/>
  <c r="A1135" i="2"/>
  <c r="A1136" i="2"/>
  <c r="A1137" i="2"/>
  <c r="A1138" i="2"/>
  <c r="A1139" i="2"/>
  <c r="A1140" i="2"/>
  <c r="A1141" i="2"/>
  <c r="A1142" i="2"/>
  <c r="A1143" i="2"/>
  <c r="A1144" i="2"/>
  <c r="A1160" i="2"/>
  <c r="A1161" i="2"/>
  <c r="A1162" i="2"/>
  <c r="A1163" i="2"/>
  <c r="A1164" i="2"/>
  <c r="A1165" i="2"/>
  <c r="A1166" i="2"/>
  <c r="A1167" i="2"/>
  <c r="A1168" i="2"/>
  <c r="A1169" i="2"/>
  <c r="A1170" i="2"/>
  <c r="A1171" i="2"/>
  <c r="A1172" i="2"/>
  <c r="A1173" i="2"/>
  <c r="A1174" i="2"/>
  <c r="A1190" i="2"/>
  <c r="A1191" i="2"/>
  <c r="A1192" i="2"/>
  <c r="A1193" i="2"/>
  <c r="A1194" i="2"/>
  <c r="A1195" i="2"/>
  <c r="A1196" i="2"/>
  <c r="A1197" i="2"/>
  <c r="A1198" i="2"/>
  <c r="A1199" i="2"/>
  <c r="A1200" i="2"/>
  <c r="A1201" i="2"/>
  <c r="A1202" i="2"/>
  <c r="A1203" i="2"/>
  <c r="A1204" i="2"/>
  <c r="A1205" i="2"/>
  <c r="A1206" i="2"/>
  <c r="A1207" i="2"/>
  <c r="A1208" i="2"/>
  <c r="A1209" i="2"/>
  <c r="A1210" i="2"/>
  <c r="A1211" i="2"/>
  <c r="A1212" i="2"/>
  <c r="A1213" i="2"/>
  <c r="A1214" i="2"/>
  <c r="A1215" i="2"/>
  <c r="A1216" i="2"/>
  <c r="A1217" i="2"/>
  <c r="A1218" i="2"/>
  <c r="A1219" i="2"/>
  <c r="A1220" i="2"/>
  <c r="A1221" i="2"/>
  <c r="A1222" i="2"/>
  <c r="A1223" i="2"/>
  <c r="A1224" i="2"/>
  <c r="A1225" i="2"/>
  <c r="A1226" i="2"/>
  <c r="A1227" i="2"/>
  <c r="A1228" i="2"/>
  <c r="A1229" i="2"/>
  <c r="A1230" i="2"/>
  <c r="A1231" i="2"/>
  <c r="A1232" i="2"/>
  <c r="A1233" i="2"/>
  <c r="A1234" i="2"/>
  <c r="A1235" i="2"/>
  <c r="A1236" i="2"/>
  <c r="A1237" i="2"/>
  <c r="A1238" i="2"/>
  <c r="A1239" i="2"/>
  <c r="A1240" i="2"/>
  <c r="A1241" i="2"/>
  <c r="A1242" i="2"/>
  <c r="A1243" i="2"/>
  <c r="A1244" i="2"/>
  <c r="A1245" i="2"/>
  <c r="A1246" i="2"/>
  <c r="A1248" i="2"/>
  <c r="A1249" i="2"/>
  <c r="A1265" i="2"/>
  <c r="A1266" i="2"/>
  <c r="A1267" i="2"/>
  <c r="A1268" i="2"/>
  <c r="A1269" i="2"/>
  <c r="A1270" i="2"/>
  <c r="A1271" i="2"/>
  <c r="A1272" i="2"/>
  <c r="A1273" i="2"/>
  <c r="A1274" i="2"/>
  <c r="A1275" i="2"/>
  <c r="A1276" i="2"/>
  <c r="A1278" i="2"/>
  <c r="A1279" i="2"/>
  <c r="A1295" i="2"/>
  <c r="A1296" i="2"/>
  <c r="A1297" i="2"/>
  <c r="A1298" i="2"/>
  <c r="A1300" i="2"/>
  <c r="A1301" i="2"/>
  <c r="A1302" i="2"/>
  <c r="A1303" i="2"/>
  <c r="A1304" i="2"/>
  <c r="A1305" i="2"/>
  <c r="A1306" i="2"/>
  <c r="A1308" i="2"/>
  <c r="A1309" i="2"/>
  <c r="A1325" i="2"/>
  <c r="A1326" i="2"/>
  <c r="A1327" i="2"/>
  <c r="A1328" i="2"/>
  <c r="A1330" i="2"/>
  <c r="A1331" i="2"/>
  <c r="A1332" i="2"/>
  <c r="A1333" i="2"/>
  <c r="A1334" i="2"/>
  <c r="A1335" i="2"/>
  <c r="A1336" i="2"/>
  <c r="A1338" i="2"/>
  <c r="A1339" i="2"/>
  <c r="A1355" i="2"/>
  <c r="A1356" i="2"/>
  <c r="A1357" i="2"/>
  <c r="A1358" i="2"/>
  <c r="A1360" i="2"/>
  <c r="A1361" i="2"/>
  <c r="A1362" i="2"/>
  <c r="A1363" i="2"/>
  <c r="A1364" i="2"/>
  <c r="A1365" i="2"/>
  <c r="A1366" i="2"/>
  <c r="A1368" i="2"/>
  <c r="A1369" i="2"/>
  <c r="A1385" i="2"/>
  <c r="A1386" i="2"/>
  <c r="A1387" i="2"/>
  <c r="A1388" i="2"/>
  <c r="A1390" i="2"/>
  <c r="A1391" i="2"/>
  <c r="A1392" i="2"/>
  <c r="A1393" i="2"/>
  <c r="A1394" i="2"/>
  <c r="A1395" i="2"/>
  <c r="A1396" i="2"/>
  <c r="A1398" i="2"/>
  <c r="A1399" i="2"/>
  <c r="A1415" i="2"/>
  <c r="A1416" i="2"/>
  <c r="A1417" i="2"/>
  <c r="A1418" i="2"/>
  <c r="A1420" i="2"/>
  <c r="A1421" i="2"/>
  <c r="A1422" i="2"/>
  <c r="A1423" i="2"/>
  <c r="A1424" i="2"/>
  <c r="A1425" i="2"/>
  <c r="A1426" i="2"/>
  <c r="A1428" i="2"/>
  <c r="A1429" i="2"/>
  <c r="A1445" i="2"/>
  <c r="A1446" i="2"/>
  <c r="A1447" i="2"/>
  <c r="A1448" i="2"/>
  <c r="A1450" i="2"/>
  <c r="A1451" i="2"/>
  <c r="A1452" i="2"/>
  <c r="A1453" i="2"/>
  <c r="A1454" i="2"/>
  <c r="A1455" i="2"/>
  <c r="A1456" i="2"/>
  <c r="A1457" i="2"/>
  <c r="A1459" i="2"/>
  <c r="A1460" i="2"/>
  <c r="A1477" i="2"/>
  <c r="A1478" i="2"/>
  <c r="A1479" i="2"/>
  <c r="A1480" i="2"/>
  <c r="A1482" i="2"/>
  <c r="A1483" i="2"/>
  <c r="A1484" i="2"/>
  <c r="A1485" i="2"/>
  <c r="A1486" i="2"/>
  <c r="A1487" i="2"/>
  <c r="A1488" i="2"/>
  <c r="A1489" i="2"/>
  <c r="A1491" i="2"/>
  <c r="A1492" i="2"/>
  <c r="A1509" i="2"/>
  <c r="A1510" i="2"/>
  <c r="A1511" i="2"/>
  <c r="A1512" i="2"/>
  <c r="A1514" i="2"/>
  <c r="A1515" i="2"/>
  <c r="A1516" i="2"/>
  <c r="A1517" i="2"/>
  <c r="A1518" i="2"/>
  <c r="A1519" i="2"/>
  <c r="A1520" i="2"/>
  <c r="A1521" i="2"/>
  <c r="A1523" i="2"/>
  <c r="A1524" i="2"/>
  <c r="A1540" i="2"/>
  <c r="A1541" i="2"/>
  <c r="A1542" i="2"/>
  <c r="A1543" i="2"/>
  <c r="A1544" i="2"/>
  <c r="A1545" i="2"/>
  <c r="A1546" i="2"/>
  <c r="A1547" i="2"/>
  <c r="A1548" i="2"/>
  <c r="A1549" i="2"/>
  <c r="A1550" i="2"/>
  <c r="A1551" i="2"/>
  <c r="A1552" i="2"/>
  <c r="A1553" i="2"/>
  <c r="A1554" i="2"/>
  <c r="A1570" i="2"/>
  <c r="A1571" i="2"/>
  <c r="A1572" i="2"/>
  <c r="A1573" i="2"/>
  <c r="A1574" i="2"/>
  <c r="A1575" i="2"/>
  <c r="A1576" i="2"/>
  <c r="A1577" i="2"/>
  <c r="A1578" i="2"/>
  <c r="A1579" i="2"/>
  <c r="A1580" i="2"/>
  <c r="A1581" i="2"/>
  <c r="A1582" i="2"/>
  <c r="A1583" i="2"/>
  <c r="A1584" i="2"/>
  <c r="A1600" i="2"/>
  <c r="A1601" i="2"/>
  <c r="A1602" i="2"/>
  <c r="A1604" i="2"/>
  <c r="A1605" i="2"/>
  <c r="A1606" i="2"/>
  <c r="A1607" i="2"/>
  <c r="A1608" i="2"/>
  <c r="A1609" i="2"/>
  <c r="A1610" i="2"/>
  <c r="A1611" i="2"/>
  <c r="A1613" i="2"/>
  <c r="A1614" i="2"/>
  <c r="A1663" i="2"/>
  <c r="A1664" i="2"/>
  <c r="A1665" i="2"/>
  <c r="A1666" i="2"/>
  <c r="A1668" i="2"/>
  <c r="A1669" i="2"/>
  <c r="A1670" i="2"/>
  <c r="A1671" i="2"/>
  <c r="A1672" i="2"/>
  <c r="A1673" i="2"/>
  <c r="A1674" i="2"/>
  <c r="A1675" i="2"/>
  <c r="A1677" i="2"/>
  <c r="A1678" i="2"/>
  <c r="A1679" i="2"/>
  <c r="A1680" i="2"/>
  <c r="A1681" i="2"/>
  <c r="A1682" i="2"/>
  <c r="A1683" i="2"/>
  <c r="A1684" i="2"/>
  <c r="A1685" i="2"/>
  <c r="A1686" i="2"/>
  <c r="A1687" i="2"/>
  <c r="A1688" i="2"/>
  <c r="A1689" i="2"/>
  <c r="A1690" i="2"/>
  <c r="A1691" i="2"/>
  <c r="A1692" i="2"/>
  <c r="A1693" i="2"/>
  <c r="A1694" i="2"/>
  <c r="A1695" i="2"/>
  <c r="A1696" i="2"/>
  <c r="A1697" i="2"/>
  <c r="A1698" i="2"/>
  <c r="A1699" i="2"/>
  <c r="A1700" i="2"/>
  <c r="A1701" i="2"/>
  <c r="A1702" i="2"/>
  <c r="A1703" i="2"/>
  <c r="A1704" i="2"/>
  <c r="A1705" i="2"/>
  <c r="A1706" i="2"/>
  <c r="A1707" i="2"/>
  <c r="A1708" i="2"/>
  <c r="A1709" i="2"/>
  <c r="A1710" i="2"/>
  <c r="A1711" i="2"/>
  <c r="A1712" i="2"/>
  <c r="A1713" i="2"/>
  <c r="A1714" i="2"/>
  <c r="A1715" i="2"/>
  <c r="A1716" i="2"/>
  <c r="A1717" i="2"/>
  <c r="A1718" i="2"/>
  <c r="A1719" i="2"/>
  <c r="A1720" i="2"/>
  <c r="A1721" i="2"/>
  <c r="A1722" i="2"/>
  <c r="A1723" i="2"/>
  <c r="A1724" i="2"/>
  <c r="A1725" i="2"/>
  <c r="A1726" i="2"/>
  <c r="A1727" i="2"/>
  <c r="A1728" i="2"/>
  <c r="A1729" i="2"/>
  <c r="A1730" i="2"/>
  <c r="A1731" i="2"/>
  <c r="A1732" i="2"/>
  <c r="A1733" i="2"/>
  <c r="A1734" i="2"/>
  <c r="A1735" i="2"/>
  <c r="A1736" i="2"/>
  <c r="A1737" i="2"/>
  <c r="A1738" i="2"/>
  <c r="A1739" i="2"/>
  <c r="A1740" i="2"/>
  <c r="A1741" i="2"/>
  <c r="A1742" i="2"/>
  <c r="A1743" i="2"/>
  <c r="A1744" i="2"/>
  <c r="A1745" i="2"/>
  <c r="A1746" i="2"/>
  <c r="A1747" i="2"/>
  <c r="A1748" i="2"/>
  <c r="A1749" i="2"/>
  <c r="A1750" i="2"/>
  <c r="A1751" i="2"/>
  <c r="A1752" i="2"/>
  <c r="A1753" i="2"/>
  <c r="A1754" i="2"/>
  <c r="A1755" i="2"/>
  <c r="A1756" i="2"/>
  <c r="A1757" i="2"/>
  <c r="A1758" i="2"/>
  <c r="A1759" i="2"/>
  <c r="A1760" i="2"/>
  <c r="A1761" i="2"/>
  <c r="A1762" i="2"/>
  <c r="A1763" i="2"/>
  <c r="A1764" i="2"/>
  <c r="A1765" i="2"/>
  <c r="A1766" i="2"/>
  <c r="A1767" i="2"/>
  <c r="A1768" i="2"/>
  <c r="A1769" i="2"/>
  <c r="A1770" i="2"/>
  <c r="A1771" i="2"/>
  <c r="A1772" i="2"/>
  <c r="A1773" i="2"/>
  <c r="A1774" i="2"/>
  <c r="A1775" i="2"/>
  <c r="A1776" i="2"/>
  <c r="A1777" i="2"/>
  <c r="A1778" i="2"/>
  <c r="A1779" i="2"/>
  <c r="A1780" i="2"/>
  <c r="A1781" i="2"/>
  <c r="A1782" i="2"/>
  <c r="A1783" i="2"/>
  <c r="A1784" i="2"/>
  <c r="A1785" i="2"/>
  <c r="A1786" i="2"/>
  <c r="A1787" i="2"/>
  <c r="A1788" i="2"/>
  <c r="A1789" i="2"/>
  <c r="A1790" i="2"/>
  <c r="A1791" i="2"/>
  <c r="A1792" i="2"/>
  <c r="A1793" i="2"/>
  <c r="A1794" i="2"/>
  <c r="A1795" i="2"/>
  <c r="A1796" i="2"/>
  <c r="A1797" i="2"/>
  <c r="A1798" i="2"/>
  <c r="A1799" i="2"/>
  <c r="A1800" i="2"/>
  <c r="A1801" i="2"/>
  <c r="A1802" i="2"/>
  <c r="A1803" i="2"/>
  <c r="A1804" i="2"/>
  <c r="A1805" i="2"/>
  <c r="A1806" i="2"/>
  <c r="A1807" i="2"/>
  <c r="A1808" i="2"/>
  <c r="A1809" i="2"/>
  <c r="A1810" i="2"/>
  <c r="A1811" i="2"/>
  <c r="A1812" i="2"/>
  <c r="A1813" i="2"/>
  <c r="A1814" i="2"/>
  <c r="A1815" i="2"/>
  <c r="A1816" i="2"/>
  <c r="A1817" i="2"/>
  <c r="A1818" i="2"/>
  <c r="A1819" i="2"/>
  <c r="A1820" i="2"/>
  <c r="A1821" i="2"/>
  <c r="A1822" i="2"/>
  <c r="A1823" i="2"/>
  <c r="A1824" i="2"/>
  <c r="A1825" i="2"/>
  <c r="A1826" i="2"/>
  <c r="A1827" i="2"/>
  <c r="A1828" i="2"/>
  <c r="A1829" i="2"/>
  <c r="A1830" i="2"/>
  <c r="A1831" i="2"/>
  <c r="A1832" i="2"/>
  <c r="A1833" i="2"/>
  <c r="A1834" i="2"/>
  <c r="A1835" i="2"/>
  <c r="A1836" i="2"/>
  <c r="A1837" i="2"/>
  <c r="A1838" i="2"/>
  <c r="A1839" i="2"/>
  <c r="A1840" i="2"/>
  <c r="A1841" i="2"/>
  <c r="A1842" i="2"/>
  <c r="A1843" i="2"/>
  <c r="A1844" i="2"/>
  <c r="A1845" i="2"/>
  <c r="A1846" i="2"/>
  <c r="A1847" i="2"/>
  <c r="A1848" i="2"/>
  <c r="A1849" i="2"/>
  <c r="A1850" i="2"/>
  <c r="A1851" i="2"/>
  <c r="A1852" i="2"/>
  <c r="A1853" i="2"/>
  <c r="A1854" i="2"/>
  <c r="A1855" i="2"/>
  <c r="A1856" i="2"/>
  <c r="A1857" i="2"/>
  <c r="A1858" i="2"/>
  <c r="A1859" i="2"/>
  <c r="A1860" i="2"/>
  <c r="A1861" i="2"/>
  <c r="A1862" i="2"/>
  <c r="A1863" i="2"/>
  <c r="A1864" i="2"/>
  <c r="A1865" i="2"/>
  <c r="A1866" i="2"/>
  <c r="A1867" i="2"/>
  <c r="A1868" i="2"/>
  <c r="A1869" i="2"/>
  <c r="A1870" i="2"/>
  <c r="A1871" i="2"/>
  <c r="A1872" i="2"/>
  <c r="A1873" i="2"/>
  <c r="A1874" i="2"/>
  <c r="A1875" i="2"/>
  <c r="A1876" i="2"/>
  <c r="A1877" i="2"/>
  <c r="A1878" i="2"/>
  <c r="A1879" i="2"/>
  <c r="A1880" i="2"/>
  <c r="A1881" i="2"/>
  <c r="A1882" i="2"/>
  <c r="A1883" i="2"/>
  <c r="A1884" i="2"/>
  <c r="A1885" i="2"/>
  <c r="A1886" i="2"/>
  <c r="A1887" i="2"/>
  <c r="A1888" i="2"/>
  <c r="A1889" i="2"/>
  <c r="A1890" i="2"/>
  <c r="A1891" i="2"/>
  <c r="A1892" i="2"/>
  <c r="A1893" i="2"/>
  <c r="A1894" i="2"/>
  <c r="A1895" i="2"/>
  <c r="A1896" i="2"/>
  <c r="A1897" i="2"/>
  <c r="A1898" i="2"/>
  <c r="A1899" i="2"/>
  <c r="A1900" i="2"/>
  <c r="A1901" i="2"/>
  <c r="A1902" i="2"/>
  <c r="A1903" i="2"/>
  <c r="A1904" i="2"/>
  <c r="A1905" i="2"/>
  <c r="A1906" i="2"/>
  <c r="A1907" i="2"/>
  <c r="A1908" i="2"/>
  <c r="A1910" i="2"/>
  <c r="A1911" i="2"/>
  <c r="A1912" i="2"/>
  <c r="A1913" i="2"/>
  <c r="A1914" i="2"/>
  <c r="A1915" i="2"/>
  <c r="A1916" i="2"/>
  <c r="A1918" i="2"/>
  <c r="A1919" i="2"/>
  <c r="A1980" i="2"/>
  <c r="A1981" i="2"/>
  <c r="A1982" i="2"/>
  <c r="A1983" i="2"/>
  <c r="A1985" i="2"/>
  <c r="A1986" i="2"/>
  <c r="A1987" i="2"/>
  <c r="A1988" i="2"/>
  <c r="A1989" i="2"/>
  <c r="A1990" i="2"/>
  <c r="A1991" i="2"/>
  <c r="A1993" i="2"/>
  <c r="A1994" i="2"/>
  <c r="A1995" i="2"/>
  <c r="A1996" i="2"/>
  <c r="A1997" i="2"/>
  <c r="A1998" i="2"/>
  <c r="A2000" i="2"/>
  <c r="A2001" i="2"/>
  <c r="A2002" i="2"/>
  <c r="A2003" i="2"/>
  <c r="A2004" i="2"/>
  <c r="A2005" i="2"/>
  <c r="A2006" i="2"/>
  <c r="A2008" i="2"/>
  <c r="A2009" i="2"/>
  <c r="A2010" i="2"/>
  <c r="A2011" i="2"/>
  <c r="A2012" i="2"/>
  <c r="A2013" i="2"/>
  <c r="A2015" i="2"/>
  <c r="A2016" i="2"/>
  <c r="A2017" i="2"/>
  <c r="A2018" i="2"/>
  <c r="A2019" i="2"/>
  <c r="A2020" i="2"/>
  <c r="A2021" i="2"/>
  <c r="A2023" i="2"/>
  <c r="A2024" i="2"/>
  <c r="A2025" i="2"/>
  <c r="A2026" i="2"/>
  <c r="A2027" i="2"/>
  <c r="A2028" i="2"/>
  <c r="A2030" i="2"/>
  <c r="A2031" i="2"/>
  <c r="A2032" i="2"/>
  <c r="A2033" i="2"/>
  <c r="A2034" i="2"/>
  <c r="A2035" i="2"/>
  <c r="A2036" i="2"/>
  <c r="A2038" i="2"/>
  <c r="A2039" i="2"/>
  <c r="A2040" i="2"/>
  <c r="A2041" i="2"/>
  <c r="A2042" i="2"/>
  <c r="A2043" i="2"/>
  <c r="A2045" i="2"/>
  <c r="A2046" i="2"/>
  <c r="A2047" i="2"/>
  <c r="A2048" i="2"/>
  <c r="A2049" i="2"/>
  <c r="A2050" i="2"/>
  <c r="A2051" i="2"/>
  <c r="A2053" i="2"/>
  <c r="A2054" i="2"/>
  <c r="A2055" i="2"/>
  <c r="A2056" i="2"/>
  <c r="A2057" i="2"/>
  <c r="A2058" i="2"/>
  <c r="A2060" i="2"/>
  <c r="A2061" i="2"/>
  <c r="A2062" i="2"/>
  <c r="A2063" i="2"/>
  <c r="A2064" i="2"/>
  <c r="A2065" i="2"/>
  <c r="A2066" i="2"/>
  <c r="A2068" i="2"/>
  <c r="A2069" i="2"/>
  <c r="A2070" i="2"/>
  <c r="A2071" i="2"/>
  <c r="A2072" i="2"/>
  <c r="A2073" i="2"/>
  <c r="A2075" i="2"/>
  <c r="A2076" i="2"/>
  <c r="A2077" i="2"/>
  <c r="A2078" i="2"/>
  <c r="A2079" i="2"/>
  <c r="A2080" i="2"/>
  <c r="A2081" i="2"/>
  <c r="A2083" i="2"/>
  <c r="A2084" i="2"/>
  <c r="A2085" i="2"/>
  <c r="A2086" i="2"/>
  <c r="A2087" i="2"/>
  <c r="A2088" i="2"/>
  <c r="A2090" i="2"/>
  <c r="A2091" i="2"/>
  <c r="A2092" i="2"/>
  <c r="A2093" i="2"/>
  <c r="A2094" i="2"/>
  <c r="A2095" i="2"/>
  <c r="A2096" i="2"/>
  <c r="A2098" i="2"/>
  <c r="A2099" i="2"/>
  <c r="A2100" i="2"/>
  <c r="A2101" i="2"/>
  <c r="A2102" i="2"/>
  <c r="A2103" i="2"/>
  <c r="A2105" i="2"/>
  <c r="A2106" i="2"/>
  <c r="A2107" i="2"/>
  <c r="A2108" i="2"/>
  <c r="A2109" i="2"/>
  <c r="A2110" i="2"/>
  <c r="A2111" i="2"/>
  <c r="A2113" i="2"/>
  <c r="A2114" i="2"/>
  <c r="A2175" i="2"/>
  <c r="A2176" i="2"/>
  <c r="A2177" i="2"/>
  <c r="A2178" i="2"/>
  <c r="A2179" i="2"/>
  <c r="A2180" i="2"/>
  <c r="A2181" i="2"/>
  <c r="A2182" i="2"/>
  <c r="A2183" i="2"/>
  <c r="A2184" i="2"/>
  <c r="A2185" i="2"/>
  <c r="A2186" i="2"/>
  <c r="A2187" i="2"/>
  <c r="A2188" i="2"/>
  <c r="A2189" i="2"/>
  <c r="A2190" i="2"/>
  <c r="A2191" i="2"/>
  <c r="A2192" i="2"/>
  <c r="A2193" i="2"/>
  <c r="A2194" i="2"/>
  <c r="A2195" i="2"/>
  <c r="A2196" i="2"/>
  <c r="A2197" i="2"/>
  <c r="A2198" i="2"/>
  <c r="A2199" i="2"/>
  <c r="A2200" i="2"/>
  <c r="A2201" i="2"/>
  <c r="A2202" i="2"/>
  <c r="A2203" i="2"/>
  <c r="A2204" i="2"/>
  <c r="A2220" i="2"/>
  <c r="A2221" i="2"/>
  <c r="A2222" i="2"/>
  <c r="A2223" i="2"/>
  <c r="A2224" i="2"/>
  <c r="A2225" i="2"/>
  <c r="A2226" i="2"/>
  <c r="A2227" i="2"/>
  <c r="A2228" i="2"/>
  <c r="A2229" i="2"/>
  <c r="A2230" i="2"/>
  <c r="A2231" i="2"/>
  <c r="A2232" i="2"/>
  <c r="A2233" i="2"/>
  <c r="A2234" i="2"/>
  <c r="A2235" i="2"/>
  <c r="A2236" i="2"/>
  <c r="A2237" i="2"/>
  <c r="A2238" i="2"/>
  <c r="A2239" i="2"/>
  <c r="A2240" i="2"/>
  <c r="A2241" i="2"/>
  <c r="A2242" i="2"/>
  <c r="A2243" i="2"/>
  <c r="A2244" i="2"/>
  <c r="A2245" i="2"/>
  <c r="A2246" i="2"/>
  <c r="A2247" i="2"/>
  <c r="A2248" i="2"/>
  <c r="A2249" i="2"/>
  <c r="A2250" i="2"/>
  <c r="A2251" i="2"/>
  <c r="A2252" i="2"/>
  <c r="A2253" i="2"/>
  <c r="A2255" i="2"/>
  <c r="A2256" i="2"/>
  <c r="A2257" i="2"/>
  <c r="A2258" i="2"/>
  <c r="A2259" i="2"/>
  <c r="A2260" i="2"/>
  <c r="A2261" i="2"/>
  <c r="A2263" i="2"/>
  <c r="A2264" i="2"/>
  <c r="A2265" i="2"/>
  <c r="A2266" i="2"/>
  <c r="A2267" i="2"/>
  <c r="A2268" i="2"/>
  <c r="A2269" i="2"/>
  <c r="A2270" i="2"/>
  <c r="A2271" i="2"/>
  <c r="A2272" i="2"/>
  <c r="A2273" i="2"/>
  <c r="A2274" i="2"/>
  <c r="A2275" i="2"/>
  <c r="A2276" i="2"/>
  <c r="A2277" i="2"/>
  <c r="A2278" i="2"/>
  <c r="A2279" i="2"/>
  <c r="A2280" i="2"/>
  <c r="A2281" i="2"/>
  <c r="A2282" i="2"/>
  <c r="A2283" i="2"/>
  <c r="A2284" i="2"/>
  <c r="A2285" i="2"/>
  <c r="A2286" i="2"/>
  <c r="A2287" i="2"/>
  <c r="A2288" i="2"/>
  <c r="A2289" i="2"/>
  <c r="A2290" i="2"/>
  <c r="A2291" i="2"/>
  <c r="A2292" i="2"/>
  <c r="A2293" i="2"/>
  <c r="A2294" i="2"/>
  <c r="A2295" i="2"/>
  <c r="A2296" i="2"/>
  <c r="A2297" i="2"/>
  <c r="A2298" i="2"/>
  <c r="A2300" i="2"/>
  <c r="A2301" i="2"/>
  <c r="A2302" i="2"/>
  <c r="A2303" i="2"/>
  <c r="A2304" i="2"/>
  <c r="A2305" i="2"/>
  <c r="A2306" i="2"/>
  <c r="A2308" i="2"/>
  <c r="A2309" i="2"/>
  <c r="A2310" i="2"/>
  <c r="A2311" i="2"/>
  <c r="A2312" i="2"/>
  <c r="A2313" i="2"/>
  <c r="A2315" i="2"/>
  <c r="A2316" i="2"/>
  <c r="A2317" i="2"/>
  <c r="A2318" i="2"/>
  <c r="A2319" i="2"/>
  <c r="A2320" i="2"/>
  <c r="A2321" i="2"/>
  <c r="A2323" i="2"/>
  <c r="A2324" i="2"/>
  <c r="A2325" i="2"/>
  <c r="A2326" i="2"/>
  <c r="A2327" i="2"/>
  <c r="A2328" i="2"/>
  <c r="A2330" i="2"/>
  <c r="A2331" i="2"/>
  <c r="A2332" i="2"/>
  <c r="A2333" i="2"/>
  <c r="A2334" i="2"/>
  <c r="A2335" i="2"/>
  <c r="A2336" i="2"/>
  <c r="A2338" i="2"/>
  <c r="A2339" i="2"/>
  <c r="A2340" i="2"/>
  <c r="A2341" i="2"/>
  <c r="A2342" i="2"/>
  <c r="A2343" i="2"/>
  <c r="A2345" i="2"/>
  <c r="A2346" i="2"/>
  <c r="A2347" i="2"/>
  <c r="A2348" i="2"/>
  <c r="A2349" i="2"/>
  <c r="A2350" i="2"/>
  <c r="A2351" i="2"/>
  <c r="A2353" i="2"/>
  <c r="A2354" i="2"/>
  <c r="A2355" i="2"/>
  <c r="A2356" i="2"/>
  <c r="A2357" i="2"/>
  <c r="A2358" i="2"/>
  <c r="A2359" i="2"/>
  <c r="A2360" i="2"/>
  <c r="A2361" i="2"/>
  <c r="A2362" i="2"/>
  <c r="A2363" i="2"/>
  <c r="A2364" i="2"/>
  <c r="A2365" i="2"/>
  <c r="A2366" i="2"/>
  <c r="A2367" i="2"/>
  <c r="A2368" i="2"/>
  <c r="A2369" i="2"/>
  <c r="A2370" i="2"/>
  <c r="A2371" i="2"/>
  <c r="A2372" i="2"/>
  <c r="A2373" i="2"/>
  <c r="A2374" i="2"/>
  <c r="A2375" i="2"/>
  <c r="A2376" i="2"/>
  <c r="A2377" i="2"/>
  <c r="A2378" i="2"/>
  <c r="A2379" i="2"/>
  <c r="A2380" i="2"/>
  <c r="A2381" i="2"/>
  <c r="A2382" i="2"/>
  <c r="A2383" i="2"/>
  <c r="A2384" i="2"/>
  <c r="A2385" i="2"/>
  <c r="A2386" i="2"/>
  <c r="A2387" i="2"/>
  <c r="A2388" i="2"/>
  <c r="A2390" i="2"/>
  <c r="A2391" i="2"/>
  <c r="A2392" i="2"/>
  <c r="A2393" i="2"/>
  <c r="A2394" i="2"/>
  <c r="A2395" i="2"/>
  <c r="A2396" i="2"/>
  <c r="A2398" i="2"/>
  <c r="A2399" i="2"/>
  <c r="A2400" i="2"/>
  <c r="A2401" i="2"/>
  <c r="A2402" i="2"/>
  <c r="A2403" i="2"/>
  <c r="A2405" i="2"/>
  <c r="A2406" i="2"/>
  <c r="A2407" i="2"/>
  <c r="A2408" i="2"/>
  <c r="A2409" i="2"/>
  <c r="A2410" i="2"/>
  <c r="A2411" i="2"/>
  <c r="A2413" i="2"/>
  <c r="A2414" i="2"/>
  <c r="A2415" i="2"/>
  <c r="A2416" i="2"/>
  <c r="A2417" i="2"/>
  <c r="A2418" i="2"/>
  <c r="A2420" i="2"/>
  <c r="A2421" i="2"/>
  <c r="A2422" i="2"/>
  <c r="A2423" i="2"/>
  <c r="A2424" i="2"/>
  <c r="A2425" i="2"/>
  <c r="A2426" i="2"/>
  <c r="A2428" i="2"/>
  <c r="A2429" i="2"/>
  <c r="A2430" i="2"/>
  <c r="A2431" i="2"/>
  <c r="A2432" i="2"/>
  <c r="A2433" i="2"/>
  <c r="A2435" i="2"/>
  <c r="A2436" i="2"/>
  <c r="A2437" i="2"/>
  <c r="A2438" i="2"/>
  <c r="A2439" i="2"/>
  <c r="A2440" i="2"/>
  <c r="A2441" i="2"/>
  <c r="A2443" i="2"/>
  <c r="A2444" i="2"/>
  <c r="A2445" i="2"/>
  <c r="A2446" i="2"/>
  <c r="A2447" i="2"/>
  <c r="A2448" i="2"/>
  <c r="A2450" i="2"/>
  <c r="A2451" i="2"/>
  <c r="A2452" i="2"/>
  <c r="A2453" i="2"/>
  <c r="A2454" i="2"/>
  <c r="A2455" i="2"/>
  <c r="A2456" i="2"/>
  <c r="A2457" i="2"/>
  <c r="A2458" i="2"/>
  <c r="A2459" i="2"/>
  <c r="A2460" i="2"/>
  <c r="A2462" i="2"/>
  <c r="A2463" i="2"/>
  <c r="A2464" i="2"/>
  <c r="A2465" i="2"/>
  <c r="A2466" i="2"/>
  <c r="A2467" i="2"/>
  <c r="A2468" i="2"/>
  <c r="A2469" i="2"/>
  <c r="A2470" i="2"/>
  <c r="A2471" i="2"/>
  <c r="A2472" i="2"/>
  <c r="A2474" i="2"/>
  <c r="A2475" i="2"/>
  <c r="A2476" i="2"/>
  <c r="A2477" i="2"/>
  <c r="A2478" i="2"/>
  <c r="A2479" i="2"/>
  <c r="A2480" i="2"/>
  <c r="A2481" i="2"/>
  <c r="A2482" i="2"/>
  <c r="A2483" i="2"/>
  <c r="A2484" i="2"/>
  <c r="A2486" i="2"/>
  <c r="A2487" i="2"/>
  <c r="A2488" i="2"/>
  <c r="A2489" i="2"/>
  <c r="A2490" i="2"/>
  <c r="A2491" i="2"/>
  <c r="A2492" i="2"/>
  <c r="A2493" i="2"/>
  <c r="A2494" i="2"/>
  <c r="A2495" i="2"/>
  <c r="A2496" i="2"/>
  <c r="A2498" i="2"/>
  <c r="A2499" i="2"/>
  <c r="A2500" i="2"/>
  <c r="A2501" i="2"/>
  <c r="A2502" i="2"/>
  <c r="A2503" i="2"/>
  <c r="A2504" i="2"/>
  <c r="A2505" i="2"/>
  <c r="A2506" i="2"/>
  <c r="A2507" i="2"/>
  <c r="A2508" i="2"/>
  <c r="A2510" i="2"/>
  <c r="A2511" i="2"/>
  <c r="A2512" i="2"/>
  <c r="A2513" i="2"/>
  <c r="A2514" i="2"/>
  <c r="A2515" i="2"/>
  <c r="A2516" i="2"/>
  <c r="A2517" i="2"/>
  <c r="A2518" i="2"/>
  <c r="A2519" i="2"/>
  <c r="A2520" i="2"/>
  <c r="A2522" i="2"/>
  <c r="A2523" i="2"/>
  <c r="A2524" i="2"/>
  <c r="A2525" i="2"/>
  <c r="A2526" i="2"/>
  <c r="A2527" i="2"/>
  <c r="A2528" i="2"/>
  <c r="A2529" i="2"/>
  <c r="A2530" i="2"/>
  <c r="A2531" i="2"/>
  <c r="A2532" i="2"/>
  <c r="A2534" i="2"/>
  <c r="A2535" i="2"/>
  <c r="A2536" i="2"/>
  <c r="A2537" i="2"/>
  <c r="A2538" i="2"/>
  <c r="A2539" i="2"/>
  <c r="A2540" i="2"/>
  <c r="K23" i="3"/>
  <c r="K24" i="3"/>
  <c r="K25" i="3"/>
  <c r="K26" i="3"/>
  <c r="K27" i="3"/>
  <c r="K28" i="3"/>
  <c r="K29" i="3"/>
  <c r="K30" i="3"/>
  <c r="K31" i="3"/>
  <c r="K32" i="3"/>
  <c r="K33" i="3"/>
  <c r="K34" i="3"/>
  <c r="K35" i="3"/>
  <c r="K36" i="3"/>
  <c r="K37" i="3"/>
  <c r="K38" i="3"/>
  <c r="AD166" i="39"/>
  <c r="AD146" i="39"/>
  <c r="AB18" i="9"/>
  <c r="AB16" i="9"/>
  <c r="AB23" i="9"/>
  <c r="AB24" i="9"/>
  <c r="AB25" i="9"/>
  <c r="AB26" i="9"/>
  <c r="AB27" i="9"/>
  <c r="AB28" i="9"/>
  <c r="AB29" i="9"/>
  <c r="AB30" i="9"/>
  <c r="AB31" i="9"/>
  <c r="AB32" i="9"/>
  <c r="AB33" i="9"/>
  <c r="AB34" i="9"/>
  <c r="AB35" i="9"/>
  <c r="AB36" i="9"/>
  <c r="AB37" i="9"/>
  <c r="AB38" i="9"/>
  <c r="AB39" i="9"/>
  <c r="AB40" i="9"/>
  <c r="AB41" i="9"/>
  <c r="AB42" i="9"/>
  <c r="AB43" i="9"/>
  <c r="AB44" i="9"/>
  <c r="AB45" i="9"/>
  <c r="AB46" i="9"/>
  <c r="AB47" i="9"/>
  <c r="AB48" i="9"/>
  <c r="AB49" i="9"/>
  <c r="AB50" i="9"/>
  <c r="AB51" i="9"/>
  <c r="AB52" i="9"/>
  <c r="AB53" i="9"/>
  <c r="AB54" i="9"/>
  <c r="AB55" i="9"/>
  <c r="AB56" i="9"/>
  <c r="AB57" i="9"/>
  <c r="AB58" i="9"/>
  <c r="AB59" i="9"/>
  <c r="AB60" i="9"/>
  <c r="AB61" i="9"/>
  <c r="AB62" i="9"/>
  <c r="AB63" i="9"/>
  <c r="AB64" i="9"/>
  <c r="AB65" i="9"/>
  <c r="AB66" i="9"/>
  <c r="AB67" i="9"/>
  <c r="AB68" i="9"/>
  <c r="AB69" i="9"/>
  <c r="AB70" i="9"/>
  <c r="AB71" i="9"/>
  <c r="AB72" i="9"/>
  <c r="AB73" i="9"/>
  <c r="AB74" i="9"/>
  <c r="AB75" i="9"/>
  <c r="AB76" i="9"/>
  <c r="AB77" i="9"/>
  <c r="AB78" i="9"/>
  <c r="AB79" i="9"/>
  <c r="AB80" i="9"/>
  <c r="AB81" i="9"/>
  <c r="AB82" i="9"/>
  <c r="AB83" i="9"/>
  <c r="AB84" i="9"/>
  <c r="AB85" i="9"/>
  <c r="AB86" i="9"/>
  <c r="AB87" i="9"/>
  <c r="AB88" i="9"/>
  <c r="AB89" i="9"/>
  <c r="AB90" i="9"/>
  <c r="AB91" i="9"/>
  <c r="AB92" i="9"/>
  <c r="AB93" i="9"/>
  <c r="AB94" i="9"/>
  <c r="AB95" i="9"/>
  <c r="AB96" i="9"/>
  <c r="AB97" i="9"/>
  <c r="AB98" i="9"/>
  <c r="AB99" i="9"/>
  <c r="AB100" i="9"/>
  <c r="AB101" i="9"/>
  <c r="AB102" i="9"/>
  <c r="AB103" i="9"/>
  <c r="AA4" i="9"/>
  <c r="AA5" i="9"/>
  <c r="AA6" i="9"/>
  <c r="AA7" i="9"/>
  <c r="AA8" i="9"/>
  <c r="AA9" i="9"/>
  <c r="AA10" i="9"/>
  <c r="AA11" i="9"/>
  <c r="AA12" i="9"/>
  <c r="AA13" i="9"/>
  <c r="AA14" i="9"/>
  <c r="AA15" i="9"/>
  <c r="AA16" i="9"/>
  <c r="AA17" i="9"/>
  <c r="AA18" i="9"/>
  <c r="AA19" i="9"/>
  <c r="AA20" i="9"/>
  <c r="AA21" i="9"/>
  <c r="AA22" i="9"/>
  <c r="AA23" i="9"/>
  <c r="AA24" i="9"/>
  <c r="AA25" i="9"/>
  <c r="AA26" i="9"/>
  <c r="AA27" i="9"/>
  <c r="AA28" i="9"/>
  <c r="AA29" i="9"/>
  <c r="AA30" i="9"/>
  <c r="AA31" i="9"/>
  <c r="AA32" i="9"/>
  <c r="AA33" i="9"/>
  <c r="AA34" i="9"/>
  <c r="AA35" i="9"/>
  <c r="AA36" i="9"/>
  <c r="AA37" i="9"/>
  <c r="AA38" i="9"/>
  <c r="AA39" i="9"/>
  <c r="AA40" i="9"/>
  <c r="AA41" i="9"/>
  <c r="AA42" i="9"/>
  <c r="AA43" i="9"/>
  <c r="AA44" i="9"/>
  <c r="AA45" i="9"/>
  <c r="AA46" i="9"/>
  <c r="AA47" i="9"/>
  <c r="AA48" i="9"/>
  <c r="AA49" i="9"/>
  <c r="AA50" i="9"/>
  <c r="AA51" i="9"/>
  <c r="AA52" i="9"/>
  <c r="AA53" i="9"/>
  <c r="AA54" i="9"/>
  <c r="AA55" i="9"/>
  <c r="AA56" i="9"/>
  <c r="AA57" i="9"/>
  <c r="AA58" i="9"/>
  <c r="AA59" i="9"/>
  <c r="AA60" i="9"/>
  <c r="AA61" i="9"/>
  <c r="AA62" i="9"/>
  <c r="AA63" i="9"/>
  <c r="AA64" i="9"/>
  <c r="AA65" i="9"/>
  <c r="AA66" i="9"/>
  <c r="AA67" i="9"/>
  <c r="AA68" i="9"/>
  <c r="AA69" i="9"/>
  <c r="AA70" i="9"/>
  <c r="AA71" i="9"/>
  <c r="AA72" i="9"/>
  <c r="AA73" i="9"/>
  <c r="AA74" i="9"/>
  <c r="AA75" i="9"/>
  <c r="AA76" i="9"/>
  <c r="AA77" i="9"/>
  <c r="AA78" i="9"/>
  <c r="AA79" i="9"/>
  <c r="AA80" i="9"/>
  <c r="AA81" i="9"/>
  <c r="AA82" i="9"/>
  <c r="AA83" i="9"/>
  <c r="AA84" i="9"/>
  <c r="AA85" i="9"/>
  <c r="AA86" i="9"/>
  <c r="AA87" i="9"/>
  <c r="AA88" i="9"/>
  <c r="AA89" i="9"/>
  <c r="AA90" i="9"/>
  <c r="AA91" i="9"/>
  <c r="AA92" i="9"/>
  <c r="AA93" i="9"/>
  <c r="AA94" i="9"/>
  <c r="AA95" i="9"/>
  <c r="AA96" i="9"/>
  <c r="AA97" i="9"/>
  <c r="AA98" i="9"/>
  <c r="AA99" i="9"/>
  <c r="AA100" i="9"/>
  <c r="AA101" i="9"/>
  <c r="AA102" i="9"/>
  <c r="AA103" i="9"/>
  <c r="J424" i="9"/>
  <c r="J425" i="9"/>
  <c r="J426" i="9"/>
  <c r="J427" i="9"/>
  <c r="J428" i="9"/>
  <c r="J429" i="9"/>
  <c r="J430" i="9"/>
  <c r="J458" i="9"/>
  <c r="J459" i="9"/>
  <c r="J460" i="9"/>
  <c r="J461" i="9"/>
  <c r="J462" i="9"/>
  <c r="J463" i="9"/>
  <c r="J464" i="9"/>
  <c r="J465" i="9"/>
  <c r="J466" i="9"/>
  <c r="J467" i="9"/>
  <c r="J468" i="9"/>
  <c r="J469" i="9"/>
  <c r="J470" i="9"/>
  <c r="J471" i="9"/>
  <c r="J472" i="9"/>
  <c r="J473" i="9"/>
  <c r="J474" i="9"/>
  <c r="J475" i="9"/>
  <c r="J476" i="9"/>
  <c r="J477" i="9"/>
  <c r="J478" i="9"/>
  <c r="J479" i="9"/>
  <c r="J480" i="9"/>
  <c r="J481" i="9"/>
  <c r="J482" i="9"/>
  <c r="J483" i="9"/>
  <c r="J484" i="9"/>
  <c r="J485" i="9"/>
  <c r="J486" i="9"/>
  <c r="J487" i="9"/>
  <c r="J488" i="9"/>
  <c r="J489" i="9"/>
  <c r="J490" i="9"/>
  <c r="J491" i="9"/>
  <c r="J492" i="9"/>
  <c r="J493" i="9"/>
  <c r="J494" i="9"/>
  <c r="J495" i="9"/>
  <c r="J496" i="9"/>
  <c r="J497" i="9"/>
  <c r="J498" i="9"/>
  <c r="J499" i="9"/>
  <c r="J500" i="9"/>
  <c r="J501" i="9"/>
  <c r="J502" i="9"/>
  <c r="J503" i="9"/>
  <c r="J504" i="9"/>
  <c r="J505" i="9"/>
  <c r="J506" i="9"/>
  <c r="J507" i="9"/>
  <c r="J508" i="9"/>
  <c r="J509" i="9"/>
  <c r="J510" i="9"/>
  <c r="J511" i="9"/>
  <c r="J512" i="9"/>
  <c r="J513" i="9"/>
  <c r="J514" i="9"/>
  <c r="J515" i="9"/>
  <c r="J516" i="9"/>
  <c r="J517" i="9"/>
  <c r="J518" i="9"/>
  <c r="J519" i="9"/>
  <c r="J520" i="9"/>
  <c r="J521" i="9"/>
  <c r="J522" i="9"/>
  <c r="J523" i="9"/>
  <c r="D424" i="9"/>
  <c r="J319" i="9"/>
  <c r="J320" i="9"/>
  <c r="J321" i="9"/>
  <c r="J322" i="9"/>
  <c r="J323" i="9"/>
  <c r="J324" i="9"/>
  <c r="J325" i="9"/>
  <c r="J353" i="9"/>
  <c r="J354" i="9"/>
  <c r="J355" i="9"/>
  <c r="J356" i="9"/>
  <c r="J357" i="9"/>
  <c r="J358" i="9"/>
  <c r="J359" i="9"/>
  <c r="J360" i="9"/>
  <c r="J361" i="9"/>
  <c r="J362" i="9"/>
  <c r="J363" i="9"/>
  <c r="J364" i="9"/>
  <c r="J365" i="9"/>
  <c r="J366" i="9"/>
  <c r="J367" i="9"/>
  <c r="J368" i="9"/>
  <c r="J369" i="9"/>
  <c r="J370" i="9"/>
  <c r="J371" i="9"/>
  <c r="J372" i="9"/>
  <c r="J373" i="9"/>
  <c r="J374" i="9"/>
  <c r="J375" i="9"/>
  <c r="J376" i="9"/>
  <c r="J377" i="9"/>
  <c r="J378" i="9"/>
  <c r="J379" i="9"/>
  <c r="J380" i="9"/>
  <c r="J381" i="9"/>
  <c r="J382" i="9"/>
  <c r="J383" i="9"/>
  <c r="J384" i="9"/>
  <c r="J385" i="9"/>
  <c r="J386" i="9"/>
  <c r="J387" i="9"/>
  <c r="J388" i="9"/>
  <c r="J389" i="9"/>
  <c r="J390" i="9"/>
  <c r="J391" i="9"/>
  <c r="J392" i="9"/>
  <c r="J393" i="9"/>
  <c r="J394" i="9"/>
  <c r="J395" i="9"/>
  <c r="J396" i="9"/>
  <c r="J397" i="9"/>
  <c r="J398" i="9"/>
  <c r="J399" i="9"/>
  <c r="J400" i="9"/>
  <c r="J401" i="9"/>
  <c r="J402" i="9"/>
  <c r="J403" i="9"/>
  <c r="J404" i="9"/>
  <c r="J405" i="9"/>
  <c r="J406" i="9"/>
  <c r="J407" i="9"/>
  <c r="J408" i="9"/>
  <c r="J409" i="9"/>
  <c r="J410" i="9"/>
  <c r="J411" i="9"/>
  <c r="J412" i="9"/>
  <c r="J413" i="9"/>
  <c r="J414" i="9"/>
  <c r="J415" i="9"/>
  <c r="J416" i="9"/>
  <c r="J417" i="9"/>
  <c r="J418" i="9"/>
  <c r="J109" i="9"/>
  <c r="J110" i="9"/>
  <c r="J111" i="9"/>
  <c r="J112" i="9"/>
  <c r="J113" i="9"/>
  <c r="J114" i="9"/>
  <c r="J115" i="9"/>
  <c r="J143" i="9"/>
  <c r="J144" i="9"/>
  <c r="J145" i="9"/>
  <c r="J146" i="9"/>
  <c r="J147" i="9"/>
  <c r="J148" i="9"/>
  <c r="J149" i="9"/>
  <c r="J150" i="9"/>
  <c r="J151" i="9"/>
  <c r="J152" i="9"/>
  <c r="J153" i="9"/>
  <c r="J154" i="9"/>
  <c r="J155" i="9"/>
  <c r="J156" i="9"/>
  <c r="J157" i="9"/>
  <c r="J158" i="9"/>
  <c r="J159" i="9"/>
  <c r="J160" i="9"/>
  <c r="J161" i="9"/>
  <c r="J162" i="9"/>
  <c r="J163" i="9"/>
  <c r="J164" i="9"/>
  <c r="J165" i="9"/>
  <c r="J166" i="9"/>
  <c r="J167" i="9"/>
  <c r="J168" i="9"/>
  <c r="J169" i="9"/>
  <c r="J170" i="9"/>
  <c r="J171" i="9"/>
  <c r="J172" i="9"/>
  <c r="J173" i="9"/>
  <c r="J174" i="9"/>
  <c r="J175" i="9"/>
  <c r="J176" i="9"/>
  <c r="J177" i="9"/>
  <c r="J178" i="9"/>
  <c r="J179" i="9"/>
  <c r="J180" i="9"/>
  <c r="J181" i="9"/>
  <c r="J182" i="9"/>
  <c r="J183" i="9"/>
  <c r="J184" i="9"/>
  <c r="J185" i="9"/>
  <c r="J186" i="9"/>
  <c r="J187" i="9"/>
  <c r="J188" i="9"/>
  <c r="J189" i="9"/>
  <c r="J190" i="9"/>
  <c r="J191" i="9"/>
  <c r="J192" i="9"/>
  <c r="J193" i="9"/>
  <c r="J194" i="9"/>
  <c r="J195" i="9"/>
  <c r="J196" i="9"/>
  <c r="J197" i="9"/>
  <c r="J198" i="9"/>
  <c r="J199" i="9"/>
  <c r="J200" i="9"/>
  <c r="J201" i="9"/>
  <c r="J202" i="9"/>
  <c r="J203" i="9"/>
  <c r="J204" i="9"/>
  <c r="J205" i="9"/>
  <c r="J206" i="9"/>
  <c r="J207" i="9"/>
  <c r="J208" i="9"/>
  <c r="J147" i="8"/>
  <c r="J148" i="8"/>
  <c r="J149" i="8"/>
  <c r="J150" i="8"/>
  <c r="J151" i="8"/>
  <c r="J152" i="8"/>
  <c r="J153" i="8"/>
  <c r="J154" i="8"/>
  <c r="J155" i="8"/>
  <c r="J169" i="8"/>
  <c r="J170" i="8"/>
  <c r="J171" i="8"/>
  <c r="J172" i="8"/>
  <c r="J173" i="8"/>
  <c r="J174" i="8"/>
  <c r="J175" i="8"/>
  <c r="J176" i="8"/>
  <c r="J177" i="8"/>
  <c r="J178" i="8"/>
  <c r="J179" i="8"/>
  <c r="J180" i="8"/>
  <c r="J181" i="8"/>
  <c r="J182" i="8"/>
  <c r="J183" i="8"/>
  <c r="J184" i="8"/>
  <c r="J185" i="8"/>
  <c r="J186" i="8"/>
  <c r="J187" i="8"/>
  <c r="J188" i="8"/>
  <c r="J189" i="8"/>
  <c r="J190" i="8"/>
  <c r="J191" i="8"/>
  <c r="J192" i="8"/>
  <c r="J193" i="8"/>
  <c r="J194" i="8"/>
  <c r="J195" i="8"/>
  <c r="J196" i="8"/>
  <c r="J197" i="8"/>
  <c r="J198" i="8"/>
  <c r="J199" i="8"/>
  <c r="J200" i="8"/>
  <c r="J201" i="8"/>
  <c r="J202" i="8"/>
  <c r="J203" i="8"/>
  <c r="J204" i="8"/>
  <c r="J205" i="8"/>
  <c r="J206" i="8"/>
  <c r="J207" i="8"/>
  <c r="J208" i="8"/>
  <c r="R335" i="8"/>
  <c r="R336" i="8"/>
  <c r="R337" i="8"/>
  <c r="R338" i="8"/>
  <c r="R339" i="8"/>
  <c r="R340" i="8"/>
  <c r="R341" i="8"/>
  <c r="R342" i="8"/>
  <c r="R343" i="8"/>
  <c r="R344" i="8"/>
  <c r="R345" i="8"/>
  <c r="R346" i="8"/>
  <c r="R347" i="8"/>
  <c r="R348" i="8"/>
  <c r="R349" i="8"/>
  <c r="R352" i="8"/>
  <c r="R353" i="8"/>
  <c r="R354" i="8"/>
  <c r="R355" i="8"/>
  <c r="R356" i="8"/>
  <c r="R366" i="8"/>
  <c r="R367" i="8"/>
  <c r="R368" i="8"/>
  <c r="R369" i="8"/>
  <c r="R370" i="8"/>
  <c r="R371" i="8"/>
  <c r="R372" i="8"/>
  <c r="R373" i="8"/>
  <c r="R374" i="8"/>
  <c r="R375" i="8"/>
  <c r="R376" i="8"/>
  <c r="R377" i="8"/>
  <c r="R378" i="8"/>
  <c r="R379" i="8"/>
  <c r="R380" i="8"/>
  <c r="R381" i="8"/>
  <c r="R382" i="8"/>
  <c r="R383" i="8"/>
  <c r="R384" i="8"/>
  <c r="R385" i="8"/>
  <c r="R386" i="8"/>
  <c r="R387" i="8"/>
  <c r="R388" i="8"/>
  <c r="R389" i="8"/>
  <c r="R390" i="8"/>
  <c r="R391" i="8"/>
  <c r="R392" i="8"/>
  <c r="R393" i="8"/>
  <c r="R394" i="8"/>
  <c r="R395" i="8"/>
  <c r="R396" i="8"/>
  <c r="R397" i="8"/>
  <c r="R398" i="8"/>
  <c r="R399" i="8"/>
  <c r="R400" i="8"/>
  <c r="R401" i="8"/>
  <c r="R402" i="8"/>
  <c r="R403" i="8"/>
  <c r="R404" i="8"/>
  <c r="R405" i="8"/>
  <c r="R406" i="8"/>
  <c r="R407" i="8"/>
  <c r="R408" i="8"/>
  <c r="R409" i="8"/>
  <c r="R410" i="8"/>
  <c r="R411" i="8"/>
  <c r="R412" i="8"/>
  <c r="R413" i="8"/>
  <c r="R414" i="8"/>
  <c r="R415" i="8"/>
  <c r="R416" i="8"/>
  <c r="R417" i="8"/>
  <c r="R418" i="8"/>
  <c r="Q335" i="8"/>
  <c r="Q336" i="8"/>
  <c r="Q337" i="8"/>
  <c r="Q338" i="8"/>
  <c r="Q339" i="8"/>
  <c r="Q340" i="8"/>
  <c r="Q341" i="8"/>
  <c r="Q342" i="8"/>
  <c r="Q343" i="8"/>
  <c r="Q344" i="8"/>
  <c r="Q345" i="8"/>
  <c r="Q346" i="8"/>
  <c r="Q347" i="8"/>
  <c r="Q348" i="8"/>
  <c r="Q349" i="8"/>
  <c r="Q352" i="8"/>
  <c r="Q353" i="8"/>
  <c r="Q354" i="8"/>
  <c r="Q355" i="8"/>
  <c r="Q356" i="8"/>
  <c r="Q366" i="8"/>
  <c r="Q367" i="8"/>
  <c r="Q368" i="8"/>
  <c r="Q369" i="8"/>
  <c r="Q370" i="8"/>
  <c r="Q371" i="8"/>
  <c r="Q372" i="8"/>
  <c r="Q373" i="8"/>
  <c r="Q374" i="8"/>
  <c r="Q375" i="8"/>
  <c r="Q376" i="8"/>
  <c r="Q377" i="8"/>
  <c r="Q378" i="8"/>
  <c r="Q379" i="8"/>
  <c r="Q380" i="8"/>
  <c r="Q381" i="8"/>
  <c r="Q382" i="8"/>
  <c r="Q383" i="8"/>
  <c r="Q384" i="8"/>
  <c r="Q385" i="8"/>
  <c r="Q386" i="8"/>
  <c r="Q387" i="8"/>
  <c r="Q388" i="8"/>
  <c r="Q389" i="8"/>
  <c r="Q390" i="8"/>
  <c r="Q391" i="8"/>
  <c r="Q392" i="8"/>
  <c r="Q393" i="8"/>
  <c r="Q394" i="8"/>
  <c r="Q395" i="8"/>
  <c r="Q396" i="8"/>
  <c r="Q397" i="8"/>
  <c r="Q398" i="8"/>
  <c r="Q399" i="8"/>
  <c r="Q400" i="8"/>
  <c r="Q401" i="8"/>
  <c r="Q402" i="8"/>
  <c r="Q403" i="8"/>
  <c r="Q404" i="8"/>
  <c r="Q405" i="8"/>
  <c r="Q406" i="8"/>
  <c r="Q407" i="8"/>
  <c r="Q408" i="8"/>
  <c r="Q409" i="8"/>
  <c r="Q410" i="8"/>
  <c r="Q411" i="8"/>
  <c r="Q412" i="8"/>
  <c r="Q413" i="8"/>
  <c r="Q414" i="8"/>
  <c r="Q415" i="8"/>
  <c r="Q416" i="8"/>
  <c r="Q417" i="8"/>
  <c r="Q418" i="8"/>
  <c r="P328" i="8"/>
  <c r="P335" i="8"/>
  <c r="P336" i="8"/>
  <c r="P337" i="8"/>
  <c r="P338" i="8"/>
  <c r="P339" i="8"/>
  <c r="P340" i="8"/>
  <c r="P341" i="8"/>
  <c r="P342" i="8"/>
  <c r="P343" i="8"/>
  <c r="P344" i="8"/>
  <c r="P345" i="8"/>
  <c r="P346" i="8"/>
  <c r="P347" i="8"/>
  <c r="P348" i="8"/>
  <c r="P349" i="8"/>
  <c r="P352" i="8"/>
  <c r="P353" i="8"/>
  <c r="P354" i="8"/>
  <c r="P355" i="8"/>
  <c r="P356" i="8"/>
  <c r="P366" i="8"/>
  <c r="P367" i="8"/>
  <c r="P368" i="8"/>
  <c r="P369" i="8"/>
  <c r="P370" i="8"/>
  <c r="P371" i="8"/>
  <c r="P372" i="8"/>
  <c r="P373" i="8"/>
  <c r="P374" i="8"/>
  <c r="P375" i="8"/>
  <c r="P376" i="8"/>
  <c r="P377" i="8"/>
  <c r="P378" i="8"/>
  <c r="P379" i="8"/>
  <c r="P380" i="8"/>
  <c r="P381" i="8"/>
  <c r="P382" i="8"/>
  <c r="P383" i="8"/>
  <c r="P384" i="8"/>
  <c r="P385" i="8"/>
  <c r="P386" i="8"/>
  <c r="P387" i="8"/>
  <c r="P388" i="8"/>
  <c r="P389" i="8"/>
  <c r="P390" i="8"/>
  <c r="P391" i="8"/>
  <c r="P392" i="8"/>
  <c r="P393" i="8"/>
  <c r="P394" i="8"/>
  <c r="P395" i="8"/>
  <c r="P396" i="8"/>
  <c r="P397" i="8"/>
  <c r="P398" i="8"/>
  <c r="P399" i="8"/>
  <c r="P400" i="8"/>
  <c r="P401" i="8"/>
  <c r="P402" i="8"/>
  <c r="P403" i="8"/>
  <c r="P404" i="8"/>
  <c r="P405" i="8"/>
  <c r="P406" i="8"/>
  <c r="P407" i="8"/>
  <c r="P408" i="8"/>
  <c r="P409" i="8"/>
  <c r="P410" i="8"/>
  <c r="P411" i="8"/>
  <c r="P412" i="8"/>
  <c r="P413" i="8"/>
  <c r="P414" i="8"/>
  <c r="P415" i="8"/>
  <c r="P416" i="8"/>
  <c r="P417" i="8"/>
  <c r="P418" i="8"/>
  <c r="O335" i="8"/>
  <c r="O336" i="8"/>
  <c r="O337" i="8"/>
  <c r="O338" i="8"/>
  <c r="O339" i="8"/>
  <c r="O340" i="8"/>
  <c r="O341" i="8"/>
  <c r="O342" i="8"/>
  <c r="O343" i="8"/>
  <c r="O344" i="8"/>
  <c r="O345" i="8"/>
  <c r="O346" i="8"/>
  <c r="O347" i="8"/>
  <c r="O348" i="8"/>
  <c r="O349" i="8"/>
  <c r="O352" i="8"/>
  <c r="O353" i="8"/>
  <c r="O354" i="8"/>
  <c r="O355" i="8"/>
  <c r="O356" i="8"/>
  <c r="O366" i="8"/>
  <c r="O367" i="8"/>
  <c r="O368" i="8"/>
  <c r="O369" i="8"/>
  <c r="O370" i="8"/>
  <c r="O371" i="8"/>
  <c r="O372" i="8"/>
  <c r="O373" i="8"/>
  <c r="O374" i="8"/>
  <c r="O375" i="8"/>
  <c r="O376" i="8"/>
  <c r="O377" i="8"/>
  <c r="O378" i="8"/>
  <c r="O379" i="8"/>
  <c r="O380" i="8"/>
  <c r="O381" i="8"/>
  <c r="O382" i="8"/>
  <c r="O383" i="8"/>
  <c r="O384" i="8"/>
  <c r="O385" i="8"/>
  <c r="O386" i="8"/>
  <c r="O387" i="8"/>
  <c r="O388" i="8"/>
  <c r="O389" i="8"/>
  <c r="O390" i="8"/>
  <c r="O391" i="8"/>
  <c r="O392" i="8"/>
  <c r="O393" i="8"/>
  <c r="O394" i="8"/>
  <c r="O395" i="8"/>
  <c r="O396" i="8"/>
  <c r="O397" i="8"/>
  <c r="O398" i="8"/>
  <c r="O399" i="8"/>
  <c r="O400" i="8"/>
  <c r="O401" i="8"/>
  <c r="O402" i="8"/>
  <c r="O403" i="8"/>
  <c r="O404" i="8"/>
  <c r="O405" i="8"/>
  <c r="O406" i="8"/>
  <c r="O407" i="8"/>
  <c r="O408" i="8"/>
  <c r="O409" i="8"/>
  <c r="O410" i="8"/>
  <c r="O411" i="8"/>
  <c r="O412" i="8"/>
  <c r="O413" i="8"/>
  <c r="O414" i="8"/>
  <c r="O415" i="8"/>
  <c r="O416" i="8"/>
  <c r="O417" i="8"/>
  <c r="O418" i="8"/>
  <c r="N335" i="8"/>
  <c r="N336" i="8"/>
  <c r="N337" i="8"/>
  <c r="N338" i="8"/>
  <c r="N339" i="8"/>
  <c r="N340" i="8"/>
  <c r="N341" i="8"/>
  <c r="N342" i="8"/>
  <c r="N343" i="8"/>
  <c r="N344" i="8"/>
  <c r="N345" i="8"/>
  <c r="N346" i="8"/>
  <c r="N347" i="8"/>
  <c r="N348" i="8"/>
  <c r="N349" i="8"/>
  <c r="N352" i="8"/>
  <c r="N353" i="8"/>
  <c r="N354" i="8"/>
  <c r="N355" i="8"/>
  <c r="N356" i="8"/>
  <c r="N366" i="8"/>
  <c r="N367" i="8"/>
  <c r="N368" i="8"/>
  <c r="N369" i="8"/>
  <c r="N370" i="8"/>
  <c r="N371" i="8"/>
  <c r="N372" i="8"/>
  <c r="N373" i="8"/>
  <c r="N374" i="8"/>
  <c r="N375" i="8"/>
  <c r="N376" i="8"/>
  <c r="N377" i="8"/>
  <c r="N378" i="8"/>
  <c r="N379" i="8"/>
  <c r="N380" i="8"/>
  <c r="N381" i="8"/>
  <c r="N382" i="8"/>
  <c r="N383" i="8"/>
  <c r="N384" i="8"/>
  <c r="N385" i="8"/>
  <c r="N386" i="8"/>
  <c r="N387" i="8"/>
  <c r="N388" i="8"/>
  <c r="N389" i="8"/>
  <c r="N390" i="8"/>
  <c r="N391" i="8"/>
  <c r="N392" i="8"/>
  <c r="N393" i="8"/>
  <c r="N394" i="8"/>
  <c r="N395" i="8"/>
  <c r="N396" i="8"/>
  <c r="N397" i="8"/>
  <c r="N398" i="8"/>
  <c r="N399" i="8"/>
  <c r="N400" i="8"/>
  <c r="N401" i="8"/>
  <c r="N402" i="8"/>
  <c r="N403" i="8"/>
  <c r="N404" i="8"/>
  <c r="N405" i="8"/>
  <c r="N406" i="8"/>
  <c r="N407" i="8"/>
  <c r="N408" i="8"/>
  <c r="N409" i="8"/>
  <c r="N410" i="8"/>
  <c r="N411" i="8"/>
  <c r="N412" i="8"/>
  <c r="N413" i="8"/>
  <c r="N414" i="8"/>
  <c r="N415" i="8"/>
  <c r="N416" i="8"/>
  <c r="N417" i="8"/>
  <c r="N418" i="8"/>
  <c r="J357" i="8"/>
  <c r="J358" i="8"/>
  <c r="J359" i="8"/>
  <c r="J360" i="8"/>
  <c r="J361" i="8"/>
  <c r="J362" i="8"/>
  <c r="J363" i="8"/>
  <c r="J364" i="8"/>
  <c r="J365" i="8"/>
  <c r="J379" i="8"/>
  <c r="J380" i="8"/>
  <c r="J381" i="8"/>
  <c r="J382" i="8"/>
  <c r="J383" i="8"/>
  <c r="J384" i="8"/>
  <c r="J385" i="8"/>
  <c r="J386" i="8"/>
  <c r="J387" i="8"/>
  <c r="J388" i="8"/>
  <c r="J389" i="8"/>
  <c r="J390" i="8"/>
  <c r="J391" i="8"/>
  <c r="J392" i="8"/>
  <c r="J393" i="8"/>
  <c r="J394" i="8"/>
  <c r="J395" i="8"/>
  <c r="J396" i="8"/>
  <c r="J397" i="8"/>
  <c r="J398" i="8"/>
  <c r="J399" i="8"/>
  <c r="J400" i="8"/>
  <c r="J401" i="8"/>
  <c r="J402" i="8"/>
  <c r="J403" i="8"/>
  <c r="J404" i="8"/>
  <c r="J405" i="8"/>
  <c r="J406" i="8"/>
  <c r="J407" i="8"/>
  <c r="J408" i="8"/>
  <c r="J409" i="8"/>
  <c r="J410" i="8"/>
  <c r="J411" i="8"/>
  <c r="J412" i="8"/>
  <c r="J413" i="8"/>
  <c r="J414" i="8"/>
  <c r="J415" i="8"/>
  <c r="J416" i="8"/>
  <c r="J417" i="8"/>
  <c r="J418" i="8"/>
  <c r="R440" i="8"/>
  <c r="R441" i="8"/>
  <c r="R442" i="8"/>
  <c r="R443" i="8"/>
  <c r="R444" i="8"/>
  <c r="R445" i="8"/>
  <c r="R446" i="8"/>
  <c r="R447" i="8"/>
  <c r="R448" i="8"/>
  <c r="R449" i="8"/>
  <c r="R450" i="8"/>
  <c r="R451" i="8"/>
  <c r="R452" i="8"/>
  <c r="R453" i="8"/>
  <c r="R454" i="8"/>
  <c r="R457" i="8"/>
  <c r="R458" i="8"/>
  <c r="R459" i="8"/>
  <c r="R460" i="8"/>
  <c r="R461" i="8"/>
  <c r="R471" i="8"/>
  <c r="R472" i="8"/>
  <c r="R473" i="8"/>
  <c r="R474" i="8"/>
  <c r="R475" i="8"/>
  <c r="R476" i="8"/>
  <c r="R477" i="8"/>
  <c r="R478" i="8"/>
  <c r="R479" i="8"/>
  <c r="R480" i="8"/>
  <c r="R481" i="8"/>
  <c r="R482" i="8"/>
  <c r="R483" i="8"/>
  <c r="R484" i="8"/>
  <c r="R485" i="8"/>
  <c r="R486" i="8"/>
  <c r="R487" i="8"/>
  <c r="R488" i="8"/>
  <c r="R489" i="8"/>
  <c r="R490" i="8"/>
  <c r="R491" i="8"/>
  <c r="R492" i="8"/>
  <c r="R493" i="8"/>
  <c r="R494" i="8"/>
  <c r="R495" i="8"/>
  <c r="R496" i="8"/>
  <c r="R497" i="8"/>
  <c r="R498" i="8"/>
  <c r="R499" i="8"/>
  <c r="R500" i="8"/>
  <c r="R501" i="8"/>
  <c r="R502" i="8"/>
  <c r="R503" i="8"/>
  <c r="R504" i="8"/>
  <c r="R505" i="8"/>
  <c r="R506" i="8"/>
  <c r="R507" i="8"/>
  <c r="R508" i="8"/>
  <c r="R509" i="8"/>
  <c r="R510" i="8"/>
  <c r="R511" i="8"/>
  <c r="R512" i="8"/>
  <c r="R513" i="8"/>
  <c r="R514" i="8"/>
  <c r="R515" i="8"/>
  <c r="R516" i="8"/>
  <c r="R517" i="8"/>
  <c r="R518" i="8"/>
  <c r="R519" i="8"/>
  <c r="R520" i="8"/>
  <c r="R521" i="8"/>
  <c r="R522" i="8"/>
  <c r="R523" i="8"/>
  <c r="Q436" i="8"/>
  <c r="Q440" i="8"/>
  <c r="Q441" i="8"/>
  <c r="Q442" i="8"/>
  <c r="Q443" i="8"/>
  <c r="Q444" i="8"/>
  <c r="Q445" i="8"/>
  <c r="Q446" i="8"/>
  <c r="Q447" i="8"/>
  <c r="Q448" i="8"/>
  <c r="Q449" i="8"/>
  <c r="Q450" i="8"/>
  <c r="Q451" i="8"/>
  <c r="Q452" i="8"/>
  <c r="Q453" i="8"/>
  <c r="Q454" i="8"/>
  <c r="Q457" i="8"/>
  <c r="Q458" i="8"/>
  <c r="Q459" i="8"/>
  <c r="Q460" i="8"/>
  <c r="Q461" i="8"/>
  <c r="Q471" i="8"/>
  <c r="Q472" i="8"/>
  <c r="Q473" i="8"/>
  <c r="Q474" i="8"/>
  <c r="Q475" i="8"/>
  <c r="Q476" i="8"/>
  <c r="Q477" i="8"/>
  <c r="Q478" i="8"/>
  <c r="Q479" i="8"/>
  <c r="Q480" i="8"/>
  <c r="Q481" i="8"/>
  <c r="Q482" i="8"/>
  <c r="Q483" i="8"/>
  <c r="Q484" i="8"/>
  <c r="Q485" i="8"/>
  <c r="Q486" i="8"/>
  <c r="Q487" i="8"/>
  <c r="Q488" i="8"/>
  <c r="Q489" i="8"/>
  <c r="Q490" i="8"/>
  <c r="Q491" i="8"/>
  <c r="Q492" i="8"/>
  <c r="Q493" i="8"/>
  <c r="Q494" i="8"/>
  <c r="Q495" i="8"/>
  <c r="Q496" i="8"/>
  <c r="Q497" i="8"/>
  <c r="Q498" i="8"/>
  <c r="Q499" i="8"/>
  <c r="Q500" i="8"/>
  <c r="Q501" i="8"/>
  <c r="Q502" i="8"/>
  <c r="Q503" i="8"/>
  <c r="Q504" i="8"/>
  <c r="Q505" i="8"/>
  <c r="Q506" i="8"/>
  <c r="Q507" i="8"/>
  <c r="Q508" i="8"/>
  <c r="Q509" i="8"/>
  <c r="Q510" i="8"/>
  <c r="Q511" i="8"/>
  <c r="Q512" i="8"/>
  <c r="Q513" i="8"/>
  <c r="Q514" i="8"/>
  <c r="Q515" i="8"/>
  <c r="Q516" i="8"/>
  <c r="Q517" i="8"/>
  <c r="Q518" i="8"/>
  <c r="Q519" i="8"/>
  <c r="Q520" i="8"/>
  <c r="Q521" i="8"/>
  <c r="Q522" i="8"/>
  <c r="Q523" i="8"/>
  <c r="P440" i="8"/>
  <c r="P441" i="8"/>
  <c r="P442" i="8"/>
  <c r="P443" i="8"/>
  <c r="P444" i="8"/>
  <c r="P445" i="8"/>
  <c r="P446" i="8"/>
  <c r="P447" i="8"/>
  <c r="P448" i="8"/>
  <c r="P449" i="8"/>
  <c r="P450" i="8"/>
  <c r="P451" i="8"/>
  <c r="P452" i="8"/>
  <c r="P453" i="8"/>
  <c r="P454" i="8"/>
  <c r="P457" i="8"/>
  <c r="P458" i="8"/>
  <c r="P459" i="8"/>
  <c r="P460" i="8"/>
  <c r="P461" i="8"/>
  <c r="P471" i="8"/>
  <c r="P472" i="8"/>
  <c r="P473" i="8"/>
  <c r="P474" i="8"/>
  <c r="P475" i="8"/>
  <c r="P476" i="8"/>
  <c r="P477" i="8"/>
  <c r="P478" i="8"/>
  <c r="P479" i="8"/>
  <c r="P480" i="8"/>
  <c r="P481" i="8"/>
  <c r="P482" i="8"/>
  <c r="P483" i="8"/>
  <c r="P484" i="8"/>
  <c r="P485" i="8"/>
  <c r="P486" i="8"/>
  <c r="P487" i="8"/>
  <c r="P488" i="8"/>
  <c r="P489" i="8"/>
  <c r="P490" i="8"/>
  <c r="P491" i="8"/>
  <c r="P492" i="8"/>
  <c r="P493" i="8"/>
  <c r="P494" i="8"/>
  <c r="P495" i="8"/>
  <c r="P496" i="8"/>
  <c r="P497" i="8"/>
  <c r="P498" i="8"/>
  <c r="P499" i="8"/>
  <c r="P500" i="8"/>
  <c r="P501" i="8"/>
  <c r="P502" i="8"/>
  <c r="P503" i="8"/>
  <c r="P504" i="8"/>
  <c r="P505" i="8"/>
  <c r="P506" i="8"/>
  <c r="P507" i="8"/>
  <c r="P508" i="8"/>
  <c r="P509" i="8"/>
  <c r="P510" i="8"/>
  <c r="P511" i="8"/>
  <c r="P512" i="8"/>
  <c r="P513" i="8"/>
  <c r="P514" i="8"/>
  <c r="P515" i="8"/>
  <c r="P516" i="8"/>
  <c r="P517" i="8"/>
  <c r="P518" i="8"/>
  <c r="P519" i="8"/>
  <c r="P520" i="8"/>
  <c r="P521" i="8"/>
  <c r="P522" i="8"/>
  <c r="P523" i="8"/>
  <c r="O440" i="8"/>
  <c r="O441" i="8"/>
  <c r="O442" i="8"/>
  <c r="O443" i="8"/>
  <c r="O444" i="8"/>
  <c r="O445" i="8"/>
  <c r="O446" i="8"/>
  <c r="O447" i="8"/>
  <c r="O448" i="8"/>
  <c r="O449" i="8"/>
  <c r="O450" i="8"/>
  <c r="O451" i="8"/>
  <c r="O452" i="8"/>
  <c r="O453" i="8"/>
  <c r="O454" i="8"/>
  <c r="O457" i="8"/>
  <c r="O458" i="8"/>
  <c r="O459" i="8"/>
  <c r="O460" i="8"/>
  <c r="O461" i="8"/>
  <c r="O471" i="8"/>
  <c r="O472" i="8"/>
  <c r="O473" i="8"/>
  <c r="O474" i="8"/>
  <c r="O475" i="8"/>
  <c r="O476" i="8"/>
  <c r="O477" i="8"/>
  <c r="O478" i="8"/>
  <c r="O479" i="8"/>
  <c r="O480" i="8"/>
  <c r="O481" i="8"/>
  <c r="O482" i="8"/>
  <c r="O483" i="8"/>
  <c r="O484" i="8"/>
  <c r="O485" i="8"/>
  <c r="O486" i="8"/>
  <c r="O487" i="8"/>
  <c r="O488" i="8"/>
  <c r="O489" i="8"/>
  <c r="O490" i="8"/>
  <c r="O491" i="8"/>
  <c r="O492" i="8"/>
  <c r="O493" i="8"/>
  <c r="O494" i="8"/>
  <c r="O495" i="8"/>
  <c r="O496" i="8"/>
  <c r="O497" i="8"/>
  <c r="O498" i="8"/>
  <c r="O499" i="8"/>
  <c r="O500" i="8"/>
  <c r="O501" i="8"/>
  <c r="O502" i="8"/>
  <c r="O503" i="8"/>
  <c r="O504" i="8"/>
  <c r="O505" i="8"/>
  <c r="O506" i="8"/>
  <c r="O507" i="8"/>
  <c r="O508" i="8"/>
  <c r="O509" i="8"/>
  <c r="O510" i="8"/>
  <c r="O511" i="8"/>
  <c r="O512" i="8"/>
  <c r="O513" i="8"/>
  <c r="O514" i="8"/>
  <c r="O515" i="8"/>
  <c r="O516" i="8"/>
  <c r="O517" i="8"/>
  <c r="O518" i="8"/>
  <c r="O519" i="8"/>
  <c r="O520" i="8"/>
  <c r="O521" i="8"/>
  <c r="O522" i="8"/>
  <c r="O523" i="8"/>
  <c r="N440" i="8"/>
  <c r="N441" i="8"/>
  <c r="N442" i="8"/>
  <c r="N443" i="8"/>
  <c r="N444" i="8"/>
  <c r="N445" i="8"/>
  <c r="N446" i="8"/>
  <c r="N447" i="8"/>
  <c r="N448" i="8"/>
  <c r="N449" i="8"/>
  <c r="N450" i="8"/>
  <c r="N451" i="8"/>
  <c r="N452" i="8"/>
  <c r="N453" i="8"/>
  <c r="N454" i="8"/>
  <c r="N457" i="8"/>
  <c r="N458" i="8"/>
  <c r="N459" i="8"/>
  <c r="N460" i="8"/>
  <c r="N461" i="8"/>
  <c r="N471" i="8"/>
  <c r="N472" i="8"/>
  <c r="N473" i="8"/>
  <c r="N474" i="8"/>
  <c r="N475" i="8"/>
  <c r="N476" i="8"/>
  <c r="N477" i="8"/>
  <c r="N478" i="8"/>
  <c r="N479" i="8"/>
  <c r="N480" i="8"/>
  <c r="N481" i="8"/>
  <c r="N482" i="8"/>
  <c r="N483" i="8"/>
  <c r="N484" i="8"/>
  <c r="N485" i="8"/>
  <c r="N486" i="8"/>
  <c r="N487" i="8"/>
  <c r="N488" i="8"/>
  <c r="N489" i="8"/>
  <c r="N490" i="8"/>
  <c r="N491" i="8"/>
  <c r="N492" i="8"/>
  <c r="N493" i="8"/>
  <c r="N494" i="8"/>
  <c r="N495" i="8"/>
  <c r="N496" i="8"/>
  <c r="N497" i="8"/>
  <c r="N498" i="8"/>
  <c r="N499" i="8"/>
  <c r="N500" i="8"/>
  <c r="N501" i="8"/>
  <c r="N502" i="8"/>
  <c r="N503" i="8"/>
  <c r="N504" i="8"/>
  <c r="N505" i="8"/>
  <c r="N506" i="8"/>
  <c r="N507" i="8"/>
  <c r="N508" i="8"/>
  <c r="N509" i="8"/>
  <c r="N510" i="8"/>
  <c r="N511" i="8"/>
  <c r="N512" i="8"/>
  <c r="N513" i="8"/>
  <c r="N514" i="8"/>
  <c r="N515" i="8"/>
  <c r="N516" i="8"/>
  <c r="N517" i="8"/>
  <c r="N518" i="8"/>
  <c r="N519" i="8"/>
  <c r="N520" i="8"/>
  <c r="N521" i="8"/>
  <c r="N522" i="8"/>
  <c r="N523" i="8"/>
  <c r="J462" i="8"/>
  <c r="J463" i="8"/>
  <c r="J464" i="8"/>
  <c r="J465" i="8"/>
  <c r="J466" i="8"/>
  <c r="J467" i="8"/>
  <c r="J468" i="8"/>
  <c r="J469" i="8"/>
  <c r="J470" i="8"/>
  <c r="J484" i="8"/>
  <c r="J485" i="8"/>
  <c r="J486" i="8"/>
  <c r="J487" i="8"/>
  <c r="J488" i="8"/>
  <c r="J489" i="8"/>
  <c r="J490" i="8"/>
  <c r="J491" i="8"/>
  <c r="J492" i="8"/>
  <c r="J493" i="8"/>
  <c r="J494" i="8"/>
  <c r="J495" i="8"/>
  <c r="J496" i="8"/>
  <c r="J497" i="8"/>
  <c r="J498" i="8"/>
  <c r="J499" i="8"/>
  <c r="J500" i="8"/>
  <c r="J501" i="8"/>
  <c r="J502" i="8"/>
  <c r="J503" i="8"/>
  <c r="J504" i="8"/>
  <c r="J505" i="8"/>
  <c r="J506" i="8"/>
  <c r="J507" i="8"/>
  <c r="J508" i="8"/>
  <c r="J509" i="8"/>
  <c r="J510" i="8"/>
  <c r="J511" i="8"/>
  <c r="J512" i="8"/>
  <c r="J513" i="8"/>
  <c r="J514" i="8"/>
  <c r="J515" i="8"/>
  <c r="J516" i="8"/>
  <c r="J517" i="8"/>
  <c r="J518" i="8"/>
  <c r="J519" i="8"/>
  <c r="J520" i="8"/>
  <c r="J521" i="8"/>
  <c r="J522" i="8"/>
  <c r="J523" i="8"/>
  <c r="G462" i="8"/>
  <c r="G463" i="8"/>
  <c r="G464" i="8"/>
  <c r="G465" i="8"/>
  <c r="G466" i="8"/>
  <c r="G467" i="8"/>
  <c r="G468" i="8"/>
  <c r="G469" i="8"/>
  <c r="G470" i="8"/>
  <c r="G484" i="8"/>
  <c r="G485" i="8"/>
  <c r="G486" i="8"/>
  <c r="G487" i="8"/>
  <c r="G488" i="8"/>
  <c r="G489" i="8"/>
  <c r="G490" i="8"/>
  <c r="G491" i="8"/>
  <c r="G492" i="8"/>
  <c r="G493" i="8"/>
  <c r="G494" i="8"/>
  <c r="G495" i="8"/>
  <c r="G496" i="8"/>
  <c r="G497" i="8"/>
  <c r="G498" i="8"/>
  <c r="G499" i="8"/>
  <c r="G500" i="8"/>
  <c r="G501" i="8"/>
  <c r="G502" i="8"/>
  <c r="G503" i="8"/>
  <c r="G504" i="8"/>
  <c r="G505" i="8"/>
  <c r="G506" i="8"/>
  <c r="G507" i="8"/>
  <c r="G508" i="8"/>
  <c r="G509" i="8"/>
  <c r="G510" i="8"/>
  <c r="G511" i="8"/>
  <c r="G512" i="8"/>
  <c r="G513" i="8"/>
  <c r="G514" i="8"/>
  <c r="G515" i="8"/>
  <c r="G516" i="8"/>
  <c r="S516" i="8" s="1"/>
  <c r="G517" i="8"/>
  <c r="G518" i="8"/>
  <c r="G519" i="8"/>
  <c r="G520" i="8"/>
  <c r="G521" i="8"/>
  <c r="G522" i="8"/>
  <c r="G523" i="8"/>
  <c r="F462" i="8"/>
  <c r="F463" i="8"/>
  <c r="F464" i="8"/>
  <c r="F465" i="8"/>
  <c r="F466" i="8"/>
  <c r="F467" i="8"/>
  <c r="F468" i="8"/>
  <c r="F469" i="8"/>
  <c r="F470" i="8"/>
  <c r="F484" i="8"/>
  <c r="F485" i="8"/>
  <c r="F486" i="8"/>
  <c r="F487" i="8"/>
  <c r="F488" i="8"/>
  <c r="F489" i="8"/>
  <c r="F490" i="8"/>
  <c r="F491" i="8"/>
  <c r="F492" i="8"/>
  <c r="F493" i="8"/>
  <c r="F494" i="8"/>
  <c r="F495" i="8"/>
  <c r="F496" i="8"/>
  <c r="F497" i="8"/>
  <c r="F498" i="8"/>
  <c r="F499" i="8"/>
  <c r="F500" i="8"/>
  <c r="F501" i="8"/>
  <c r="F502" i="8"/>
  <c r="F503" i="8"/>
  <c r="F504" i="8"/>
  <c r="F505" i="8"/>
  <c r="F506" i="8"/>
  <c r="F507" i="8"/>
  <c r="F508" i="8"/>
  <c r="F509" i="8"/>
  <c r="F510" i="8"/>
  <c r="F511" i="8"/>
  <c r="F512" i="8"/>
  <c r="F513" i="8"/>
  <c r="F514" i="8"/>
  <c r="F515" i="8"/>
  <c r="F516" i="8"/>
  <c r="F517" i="8"/>
  <c r="F518" i="8"/>
  <c r="F519" i="8"/>
  <c r="F520" i="8"/>
  <c r="F521" i="8"/>
  <c r="F522" i="8"/>
  <c r="F523" i="8"/>
  <c r="E462" i="8"/>
  <c r="E463" i="8"/>
  <c r="E464" i="8"/>
  <c r="E465" i="8"/>
  <c r="E466" i="8"/>
  <c r="E467" i="8"/>
  <c r="E468" i="8"/>
  <c r="E469" i="8"/>
  <c r="E470" i="8"/>
  <c r="E484" i="8"/>
  <c r="E485" i="8"/>
  <c r="E486" i="8"/>
  <c r="E487" i="8"/>
  <c r="E488" i="8"/>
  <c r="E489" i="8"/>
  <c r="E490" i="8"/>
  <c r="E491" i="8"/>
  <c r="E492" i="8"/>
  <c r="E493" i="8"/>
  <c r="E494" i="8"/>
  <c r="E495" i="8"/>
  <c r="E496" i="8"/>
  <c r="E497" i="8"/>
  <c r="E498" i="8"/>
  <c r="E499" i="8"/>
  <c r="E500" i="8"/>
  <c r="E501" i="8"/>
  <c r="E502" i="8"/>
  <c r="E503" i="8"/>
  <c r="E504" i="8"/>
  <c r="E505" i="8"/>
  <c r="E506" i="8"/>
  <c r="E507" i="8"/>
  <c r="E508" i="8"/>
  <c r="E509" i="8"/>
  <c r="E510" i="8"/>
  <c r="E511" i="8"/>
  <c r="E512" i="8"/>
  <c r="E513" i="8"/>
  <c r="E514" i="8"/>
  <c r="E515" i="8"/>
  <c r="E516" i="8"/>
  <c r="E517" i="8"/>
  <c r="E518" i="8"/>
  <c r="E519" i="8"/>
  <c r="E520" i="8"/>
  <c r="E521" i="8"/>
  <c r="E522" i="8"/>
  <c r="E523" i="8"/>
  <c r="D462" i="8"/>
  <c r="D463" i="8"/>
  <c r="D464" i="8"/>
  <c r="D465" i="8"/>
  <c r="D466" i="8"/>
  <c r="D467" i="8"/>
  <c r="D468" i="8"/>
  <c r="D469" i="8"/>
  <c r="D470" i="8"/>
  <c r="D484" i="8"/>
  <c r="D485" i="8"/>
  <c r="D486" i="8"/>
  <c r="D487" i="8"/>
  <c r="D488" i="8"/>
  <c r="D489" i="8"/>
  <c r="D490" i="8"/>
  <c r="D491" i="8"/>
  <c r="D492" i="8"/>
  <c r="D493" i="8"/>
  <c r="D494" i="8"/>
  <c r="D495" i="8"/>
  <c r="D496" i="8"/>
  <c r="D497" i="8"/>
  <c r="D498" i="8"/>
  <c r="D499" i="8"/>
  <c r="D500" i="8"/>
  <c r="D501" i="8"/>
  <c r="D502" i="8"/>
  <c r="D503" i="8"/>
  <c r="D504" i="8"/>
  <c r="D505" i="8"/>
  <c r="D506" i="8"/>
  <c r="D507" i="8"/>
  <c r="D508" i="8"/>
  <c r="D509" i="8"/>
  <c r="D510" i="8"/>
  <c r="D511" i="8"/>
  <c r="D512" i="8"/>
  <c r="D513" i="8"/>
  <c r="D514" i="8"/>
  <c r="D515" i="8"/>
  <c r="D516" i="8"/>
  <c r="D517" i="8"/>
  <c r="D518" i="8"/>
  <c r="D519" i="8"/>
  <c r="D520" i="8"/>
  <c r="D521" i="8"/>
  <c r="D522" i="8"/>
  <c r="D523" i="8"/>
  <c r="B4" i="6"/>
  <c r="C4" i="6"/>
  <c r="B5" i="6"/>
  <c r="C5" i="6"/>
  <c r="B6" i="6"/>
  <c r="C6" i="6"/>
  <c r="B7" i="6"/>
  <c r="C7" i="6"/>
  <c r="B8" i="6"/>
  <c r="C8" i="6"/>
  <c r="B9" i="6"/>
  <c r="C9" i="6"/>
  <c r="B10" i="6"/>
  <c r="C10" i="6"/>
  <c r="B11" i="6"/>
  <c r="C11" i="6"/>
  <c r="B12" i="6"/>
  <c r="C12" i="6"/>
  <c r="B13" i="6"/>
  <c r="C13" i="6"/>
  <c r="B14" i="6"/>
  <c r="C14" i="6"/>
  <c r="B15" i="6"/>
  <c r="C15" i="6"/>
  <c r="B16" i="6"/>
  <c r="C16" i="6"/>
  <c r="B17" i="6"/>
  <c r="C17" i="6"/>
  <c r="B18" i="6"/>
  <c r="C18" i="6"/>
  <c r="B19" i="6"/>
  <c r="C19" i="6"/>
  <c r="B20" i="6"/>
  <c r="C20" i="6"/>
  <c r="B21" i="6"/>
  <c r="C21" i="6"/>
  <c r="O28" i="31"/>
  <c r="P28" i="31"/>
  <c r="O29" i="31"/>
  <c r="P29" i="31"/>
  <c r="O30" i="31"/>
  <c r="P30" i="31"/>
  <c r="O31" i="31"/>
  <c r="P31" i="31"/>
  <c r="O32" i="31"/>
  <c r="P32" i="31"/>
  <c r="O33" i="31"/>
  <c r="P33" i="31"/>
  <c r="O34" i="31"/>
  <c r="P34" i="31"/>
  <c r="O35" i="31"/>
  <c r="P35" i="31"/>
  <c r="O36" i="31"/>
  <c r="P36" i="31"/>
  <c r="O37" i="31"/>
  <c r="P37" i="31"/>
  <c r="O17" i="31"/>
  <c r="P17" i="31"/>
  <c r="O18" i="31"/>
  <c r="P18" i="31"/>
  <c r="O19" i="31"/>
  <c r="P19" i="31"/>
  <c r="O20" i="31"/>
  <c r="P20" i="31"/>
  <c r="O21" i="31"/>
  <c r="P21" i="31"/>
  <c r="O22" i="31"/>
  <c r="P22" i="31"/>
  <c r="O23" i="31"/>
  <c r="P23" i="31"/>
  <c r="O24" i="31"/>
  <c r="P24" i="31"/>
  <c r="O25" i="31"/>
  <c r="P25" i="31"/>
  <c r="O26" i="31"/>
  <c r="P26" i="31"/>
  <c r="O27" i="31"/>
  <c r="P27" i="31"/>
  <c r="O6" i="31"/>
  <c r="P6" i="31"/>
  <c r="O7" i="31"/>
  <c r="O8" i="31"/>
  <c r="P8" i="31"/>
  <c r="O9" i="31"/>
  <c r="P9" i="31"/>
  <c r="O10" i="31"/>
  <c r="P10" i="31"/>
  <c r="O11" i="31"/>
  <c r="P11" i="31"/>
  <c r="O12" i="31"/>
  <c r="O13" i="31"/>
  <c r="P13" i="31"/>
  <c r="O14" i="31"/>
  <c r="P14" i="31"/>
  <c r="O15" i="31"/>
  <c r="P15" i="31"/>
  <c r="O16" i="31"/>
  <c r="P16" i="31"/>
  <c r="T131" i="32"/>
  <c r="T132" i="32"/>
  <c r="T133" i="32"/>
  <c r="T134" i="32"/>
  <c r="T142" i="32"/>
  <c r="T143" i="32"/>
  <c r="T144" i="32"/>
  <c r="T153" i="32"/>
  <c r="T154" i="32"/>
  <c r="T163" i="32"/>
  <c r="T164" i="32"/>
  <c r="T165" i="32"/>
  <c r="T166" i="32"/>
  <c r="P2239" i="2"/>
  <c r="Q2239" i="2"/>
  <c r="R2239" i="2"/>
  <c r="S2239" i="2"/>
  <c r="T2239" i="2"/>
  <c r="U2239" i="2"/>
  <c r="V2239" i="2"/>
  <c r="W2239" i="2"/>
  <c r="X2239" i="2"/>
  <c r="Y2239" i="2"/>
  <c r="Z2239" i="2"/>
  <c r="AA2239" i="2"/>
  <c r="AB2239" i="2"/>
  <c r="AC2239" i="2"/>
  <c r="AD2239" i="2"/>
  <c r="AE2239" i="2"/>
  <c r="AF2239" i="2"/>
  <c r="AG2239" i="2"/>
  <c r="AH2239" i="2"/>
  <c r="AI2239" i="2"/>
  <c r="AJ2239" i="2"/>
  <c r="AK2239" i="2"/>
  <c r="AL2239" i="2"/>
  <c r="AM2239" i="2"/>
  <c r="AN2239" i="2"/>
  <c r="AO2239" i="2"/>
  <c r="AP2239" i="2"/>
  <c r="AQ2239" i="2"/>
  <c r="AR2239" i="2"/>
  <c r="AS2239" i="2"/>
  <c r="AT2239" i="2"/>
  <c r="AU2239" i="2"/>
  <c r="AV2239" i="2"/>
  <c r="AW2239" i="2"/>
  <c r="AX2239" i="2"/>
  <c r="AY2239" i="2"/>
  <c r="AZ2239" i="2"/>
  <c r="BA2239" i="2"/>
  <c r="BB2239" i="2"/>
  <c r="BC2239" i="2"/>
  <c r="BD2239" i="2"/>
  <c r="BE2239" i="2"/>
  <c r="BF2239" i="2"/>
  <c r="BG2239" i="2"/>
  <c r="BH2239" i="2"/>
  <c r="BI2239" i="2"/>
  <c r="BJ2239" i="2"/>
  <c r="BK2239" i="2"/>
  <c r="P2240" i="2"/>
  <c r="Q2240" i="2"/>
  <c r="R2240" i="2"/>
  <c r="S2240" i="2"/>
  <c r="T2240" i="2"/>
  <c r="U2240" i="2"/>
  <c r="V2240" i="2"/>
  <c r="W2240" i="2"/>
  <c r="X2240" i="2"/>
  <c r="Y2240" i="2"/>
  <c r="Z2240" i="2"/>
  <c r="AA2240" i="2"/>
  <c r="AB2240" i="2"/>
  <c r="AC2240" i="2"/>
  <c r="AD2240" i="2"/>
  <c r="AE2240" i="2"/>
  <c r="AF2240" i="2"/>
  <c r="AG2240" i="2"/>
  <c r="AH2240" i="2"/>
  <c r="AI2240" i="2"/>
  <c r="AJ2240" i="2"/>
  <c r="AK2240" i="2"/>
  <c r="AL2240" i="2"/>
  <c r="AM2240" i="2"/>
  <c r="AN2240" i="2"/>
  <c r="AO2240" i="2"/>
  <c r="AP2240" i="2"/>
  <c r="AQ2240" i="2"/>
  <c r="AR2240" i="2"/>
  <c r="AS2240" i="2"/>
  <c r="AT2240" i="2"/>
  <c r="AU2240" i="2"/>
  <c r="AV2240" i="2"/>
  <c r="AW2240" i="2"/>
  <c r="AX2240" i="2"/>
  <c r="AY2240" i="2"/>
  <c r="AZ2240" i="2"/>
  <c r="BA2240" i="2"/>
  <c r="BB2240" i="2"/>
  <c r="BC2240" i="2"/>
  <c r="BD2240" i="2"/>
  <c r="BE2240" i="2"/>
  <c r="BF2240" i="2"/>
  <c r="BG2240" i="2"/>
  <c r="BH2240" i="2"/>
  <c r="BI2240" i="2"/>
  <c r="BJ2240" i="2"/>
  <c r="BK2240" i="2"/>
  <c r="P2241" i="2"/>
  <c r="Q2241" i="2"/>
  <c r="R2241" i="2"/>
  <c r="S2241" i="2"/>
  <c r="T2241" i="2"/>
  <c r="U2241" i="2"/>
  <c r="V2241" i="2"/>
  <c r="W2241" i="2"/>
  <c r="X2241" i="2"/>
  <c r="Y2241" i="2"/>
  <c r="Z2241" i="2"/>
  <c r="AA2241" i="2"/>
  <c r="AB2241" i="2"/>
  <c r="AC2241" i="2"/>
  <c r="AD2241" i="2"/>
  <c r="AE2241" i="2"/>
  <c r="AF2241" i="2"/>
  <c r="AG2241" i="2"/>
  <c r="AH2241" i="2"/>
  <c r="AI2241" i="2"/>
  <c r="AJ2241" i="2"/>
  <c r="AK2241" i="2"/>
  <c r="AL2241" i="2"/>
  <c r="AM2241" i="2"/>
  <c r="AN2241" i="2"/>
  <c r="AO2241" i="2"/>
  <c r="AP2241" i="2"/>
  <c r="AQ2241" i="2"/>
  <c r="AR2241" i="2"/>
  <c r="AS2241" i="2"/>
  <c r="AT2241" i="2"/>
  <c r="AU2241" i="2"/>
  <c r="AV2241" i="2"/>
  <c r="AW2241" i="2"/>
  <c r="AX2241" i="2"/>
  <c r="AY2241" i="2"/>
  <c r="AZ2241" i="2"/>
  <c r="BA2241" i="2"/>
  <c r="BB2241" i="2"/>
  <c r="BC2241" i="2"/>
  <c r="BD2241" i="2"/>
  <c r="BE2241" i="2"/>
  <c r="BF2241" i="2"/>
  <c r="BG2241" i="2"/>
  <c r="BH2241" i="2"/>
  <c r="BI2241" i="2"/>
  <c r="BJ2241" i="2"/>
  <c r="BK2241" i="2"/>
  <c r="P2243" i="2"/>
  <c r="Q2243" i="2"/>
  <c r="R2243" i="2"/>
  <c r="S2243" i="2"/>
  <c r="T2243" i="2"/>
  <c r="U2243" i="2"/>
  <c r="V2243" i="2"/>
  <c r="W2243" i="2"/>
  <c r="X2243" i="2"/>
  <c r="Y2243" i="2"/>
  <c r="Z2243" i="2"/>
  <c r="AA2243" i="2"/>
  <c r="AB2243" i="2"/>
  <c r="AC2243" i="2"/>
  <c r="AD2243" i="2"/>
  <c r="AE2243" i="2"/>
  <c r="AF2243" i="2"/>
  <c r="AG2243" i="2"/>
  <c r="AH2243" i="2"/>
  <c r="AI2243" i="2"/>
  <c r="AJ2243" i="2"/>
  <c r="AK2243" i="2"/>
  <c r="AL2243" i="2"/>
  <c r="AM2243" i="2"/>
  <c r="AN2243" i="2"/>
  <c r="AO2243" i="2"/>
  <c r="AP2243" i="2"/>
  <c r="AQ2243" i="2"/>
  <c r="AR2243" i="2"/>
  <c r="AS2243" i="2"/>
  <c r="AT2243" i="2"/>
  <c r="AU2243" i="2"/>
  <c r="AV2243" i="2"/>
  <c r="AW2243" i="2"/>
  <c r="AX2243" i="2"/>
  <c r="AY2243" i="2"/>
  <c r="AZ2243" i="2"/>
  <c r="BA2243" i="2"/>
  <c r="BB2243" i="2"/>
  <c r="BC2243" i="2"/>
  <c r="BD2243" i="2"/>
  <c r="BE2243" i="2"/>
  <c r="BF2243" i="2"/>
  <c r="BG2243" i="2"/>
  <c r="BH2243" i="2"/>
  <c r="BI2243" i="2"/>
  <c r="BJ2243" i="2"/>
  <c r="BK2243" i="2"/>
  <c r="P2244" i="2"/>
  <c r="Q2244" i="2"/>
  <c r="R2244" i="2"/>
  <c r="S2244" i="2"/>
  <c r="T2244" i="2"/>
  <c r="U2244" i="2"/>
  <c r="V2244" i="2"/>
  <c r="W2244" i="2"/>
  <c r="X2244" i="2"/>
  <c r="Y2244" i="2"/>
  <c r="Z2244" i="2"/>
  <c r="AA2244" i="2"/>
  <c r="AB2244" i="2"/>
  <c r="AC2244" i="2"/>
  <c r="AD2244" i="2"/>
  <c r="AE2244" i="2"/>
  <c r="AF2244" i="2"/>
  <c r="AG2244" i="2"/>
  <c r="AH2244" i="2"/>
  <c r="AI2244" i="2"/>
  <c r="AJ2244" i="2"/>
  <c r="AK2244" i="2"/>
  <c r="AL2244" i="2"/>
  <c r="AM2244" i="2"/>
  <c r="AN2244" i="2"/>
  <c r="AO2244" i="2"/>
  <c r="AP2244" i="2"/>
  <c r="AQ2244" i="2"/>
  <c r="AR2244" i="2"/>
  <c r="AS2244" i="2"/>
  <c r="AT2244" i="2"/>
  <c r="AU2244" i="2"/>
  <c r="AV2244" i="2"/>
  <c r="AW2244" i="2"/>
  <c r="AX2244" i="2"/>
  <c r="AY2244" i="2"/>
  <c r="AZ2244" i="2"/>
  <c r="BA2244" i="2"/>
  <c r="BB2244" i="2"/>
  <c r="BC2244" i="2"/>
  <c r="BD2244" i="2"/>
  <c r="BE2244" i="2"/>
  <c r="BF2244" i="2"/>
  <c r="BG2244" i="2"/>
  <c r="BH2244" i="2"/>
  <c r="BI2244" i="2"/>
  <c r="BJ2244" i="2"/>
  <c r="BK2244" i="2"/>
  <c r="P2245" i="2"/>
  <c r="Q2245" i="2"/>
  <c r="R2245" i="2"/>
  <c r="S2245" i="2"/>
  <c r="T2245" i="2"/>
  <c r="U2245" i="2"/>
  <c r="V2245" i="2"/>
  <c r="W2245" i="2"/>
  <c r="X2245" i="2"/>
  <c r="Y2245" i="2"/>
  <c r="Z2245" i="2"/>
  <c r="AA2245" i="2"/>
  <c r="AB2245" i="2"/>
  <c r="AC2245" i="2"/>
  <c r="AD2245" i="2"/>
  <c r="AE2245" i="2"/>
  <c r="AF2245" i="2"/>
  <c r="AG2245" i="2"/>
  <c r="AH2245" i="2"/>
  <c r="AI2245" i="2"/>
  <c r="AJ2245" i="2"/>
  <c r="AK2245" i="2"/>
  <c r="AL2245" i="2"/>
  <c r="AM2245" i="2"/>
  <c r="AN2245" i="2"/>
  <c r="AO2245" i="2"/>
  <c r="AP2245" i="2"/>
  <c r="AQ2245" i="2"/>
  <c r="AR2245" i="2"/>
  <c r="AS2245" i="2"/>
  <c r="AT2245" i="2"/>
  <c r="AU2245" i="2"/>
  <c r="AV2245" i="2"/>
  <c r="AW2245" i="2"/>
  <c r="AX2245" i="2"/>
  <c r="AY2245" i="2"/>
  <c r="AZ2245" i="2"/>
  <c r="BA2245" i="2"/>
  <c r="BB2245" i="2"/>
  <c r="BC2245" i="2"/>
  <c r="BD2245" i="2"/>
  <c r="BE2245" i="2"/>
  <c r="BF2245" i="2"/>
  <c r="BG2245" i="2"/>
  <c r="BH2245" i="2"/>
  <c r="BI2245" i="2"/>
  <c r="BJ2245" i="2"/>
  <c r="BK2245" i="2"/>
  <c r="P2246" i="2"/>
  <c r="Q2246" i="2"/>
  <c r="R2246" i="2"/>
  <c r="S2246" i="2"/>
  <c r="T2246" i="2"/>
  <c r="U2246" i="2"/>
  <c r="V2246" i="2"/>
  <c r="W2246" i="2"/>
  <c r="X2246" i="2"/>
  <c r="Y2246" i="2"/>
  <c r="Z2246" i="2"/>
  <c r="AA2246" i="2"/>
  <c r="AB2246" i="2"/>
  <c r="AC2246" i="2"/>
  <c r="AD2246" i="2"/>
  <c r="AE2246" i="2"/>
  <c r="AF2246" i="2"/>
  <c r="AG2246" i="2"/>
  <c r="AH2246" i="2"/>
  <c r="AI2246" i="2"/>
  <c r="AJ2246" i="2"/>
  <c r="AK2246" i="2"/>
  <c r="AL2246" i="2"/>
  <c r="AM2246" i="2"/>
  <c r="AN2246" i="2"/>
  <c r="AO2246" i="2"/>
  <c r="AP2246" i="2"/>
  <c r="AQ2246" i="2"/>
  <c r="AR2246" i="2"/>
  <c r="AS2246" i="2"/>
  <c r="AT2246" i="2"/>
  <c r="AU2246" i="2"/>
  <c r="AV2246" i="2"/>
  <c r="AW2246" i="2"/>
  <c r="AX2246" i="2"/>
  <c r="AY2246" i="2"/>
  <c r="AZ2246" i="2"/>
  <c r="BA2246" i="2"/>
  <c r="BB2246" i="2"/>
  <c r="BC2246" i="2"/>
  <c r="BD2246" i="2"/>
  <c r="BE2246" i="2"/>
  <c r="BF2246" i="2"/>
  <c r="BG2246" i="2"/>
  <c r="BH2246" i="2"/>
  <c r="BI2246" i="2"/>
  <c r="BJ2246" i="2"/>
  <c r="BK2246" i="2"/>
  <c r="P2247" i="2"/>
  <c r="Q2247" i="2"/>
  <c r="R2247" i="2"/>
  <c r="S2247" i="2"/>
  <c r="T2247" i="2"/>
  <c r="U2247" i="2"/>
  <c r="V2247" i="2"/>
  <c r="W2247" i="2"/>
  <c r="X2247" i="2"/>
  <c r="Y2247" i="2"/>
  <c r="Z2247" i="2"/>
  <c r="AA2247" i="2"/>
  <c r="AB2247" i="2"/>
  <c r="AC2247" i="2"/>
  <c r="AD2247" i="2"/>
  <c r="AE2247" i="2"/>
  <c r="AF2247" i="2"/>
  <c r="AG2247" i="2"/>
  <c r="AH2247" i="2"/>
  <c r="AI2247" i="2"/>
  <c r="AJ2247" i="2"/>
  <c r="AK2247" i="2"/>
  <c r="AL2247" i="2"/>
  <c r="AM2247" i="2"/>
  <c r="AN2247" i="2"/>
  <c r="AO2247" i="2"/>
  <c r="AP2247" i="2"/>
  <c r="AQ2247" i="2"/>
  <c r="AR2247" i="2"/>
  <c r="AS2247" i="2"/>
  <c r="AT2247" i="2"/>
  <c r="AU2247" i="2"/>
  <c r="AV2247" i="2"/>
  <c r="AW2247" i="2"/>
  <c r="AX2247" i="2"/>
  <c r="AY2247" i="2"/>
  <c r="AZ2247" i="2"/>
  <c r="BA2247" i="2"/>
  <c r="BB2247" i="2"/>
  <c r="BC2247" i="2"/>
  <c r="BD2247" i="2"/>
  <c r="BE2247" i="2"/>
  <c r="BF2247" i="2"/>
  <c r="BG2247" i="2"/>
  <c r="BH2247" i="2"/>
  <c r="BI2247" i="2"/>
  <c r="BJ2247" i="2"/>
  <c r="BK2247" i="2"/>
  <c r="P2254" i="2"/>
  <c r="Q2254" i="2"/>
  <c r="R2254" i="2"/>
  <c r="S2254" i="2"/>
  <c r="T2254" i="2"/>
  <c r="U2254" i="2"/>
  <c r="V2254" i="2"/>
  <c r="W2254" i="2"/>
  <c r="X2254" i="2"/>
  <c r="Y2254" i="2"/>
  <c r="Z2254" i="2"/>
  <c r="AA2254" i="2"/>
  <c r="AB2254" i="2"/>
  <c r="AC2254" i="2"/>
  <c r="AD2254" i="2"/>
  <c r="AE2254" i="2"/>
  <c r="AF2254" i="2"/>
  <c r="AG2254" i="2"/>
  <c r="AH2254" i="2"/>
  <c r="AI2254" i="2"/>
  <c r="AJ2254" i="2"/>
  <c r="AK2254" i="2"/>
  <c r="AL2254" i="2"/>
  <c r="AM2254" i="2"/>
  <c r="AN2254" i="2"/>
  <c r="AO2254" i="2"/>
  <c r="AP2254" i="2"/>
  <c r="AQ2254" i="2"/>
  <c r="AR2254" i="2"/>
  <c r="AS2254" i="2"/>
  <c r="AT2254" i="2"/>
  <c r="AU2254" i="2"/>
  <c r="AV2254" i="2"/>
  <c r="AW2254" i="2"/>
  <c r="AX2254" i="2"/>
  <c r="AY2254" i="2"/>
  <c r="AZ2254" i="2"/>
  <c r="BA2254" i="2"/>
  <c r="BB2254" i="2"/>
  <c r="BC2254" i="2"/>
  <c r="BD2254" i="2"/>
  <c r="BE2254" i="2"/>
  <c r="BF2254" i="2"/>
  <c r="BG2254" i="2"/>
  <c r="BH2254" i="2"/>
  <c r="BI2254" i="2"/>
  <c r="BJ2254" i="2"/>
  <c r="BK2254" i="2"/>
  <c r="P2255" i="2"/>
  <c r="Q2255" i="2"/>
  <c r="R2255" i="2"/>
  <c r="S2255" i="2"/>
  <c r="T2255" i="2"/>
  <c r="U2255" i="2"/>
  <c r="V2255" i="2"/>
  <c r="W2255" i="2"/>
  <c r="X2255" i="2"/>
  <c r="Y2255" i="2"/>
  <c r="Z2255" i="2"/>
  <c r="AV2255" i="2"/>
  <c r="AY2255" i="2"/>
  <c r="BC2255" i="2"/>
  <c r="BD2255" i="2"/>
  <c r="BE2255" i="2"/>
  <c r="BF2255" i="2"/>
  <c r="BK2235" i="2"/>
  <c r="BC2235" i="2"/>
  <c r="AU2235" i="2"/>
  <c r="AM2235" i="2"/>
  <c r="AE2235" i="2"/>
  <c r="W2235" i="2"/>
  <c r="BJ2235" i="2"/>
  <c r="BB2235" i="2"/>
  <c r="AT2235" i="2"/>
  <c r="AL2235" i="2"/>
  <c r="AD2235" i="2"/>
  <c r="V2235" i="2"/>
  <c r="BI2235" i="2"/>
  <c r="BA2235" i="2"/>
  <c r="AS2235" i="2"/>
  <c r="AK2235" i="2"/>
  <c r="AC2235" i="2"/>
  <c r="U2235" i="2"/>
  <c r="BH2235" i="2"/>
  <c r="AZ2235" i="2"/>
  <c r="AR2235" i="2"/>
  <c r="AJ2235" i="2"/>
  <c r="AB2235" i="2"/>
  <c r="T2235" i="2"/>
  <c r="BG2235" i="2"/>
  <c r="AY2235" i="2"/>
  <c r="AQ2235" i="2"/>
  <c r="AI2235" i="2"/>
  <c r="AA2235" i="2"/>
  <c r="S2235" i="2"/>
  <c r="BF2235" i="2"/>
  <c r="AX2235" i="2"/>
  <c r="AP2235" i="2"/>
  <c r="AH2235" i="2"/>
  <c r="Z2235" i="2"/>
  <c r="R2235" i="2"/>
  <c r="BE2235" i="2"/>
  <c r="AW2235" i="2"/>
  <c r="AO2235" i="2"/>
  <c r="AG2235" i="2"/>
  <c r="Y2235" i="2"/>
  <c r="Q2235" i="2"/>
  <c r="BD2235" i="2"/>
  <c r="AV2235" i="2"/>
  <c r="AN2235" i="2"/>
  <c r="AF2235" i="2"/>
  <c r="X2235" i="2"/>
  <c r="P2235" i="2"/>
  <c r="R821" i="2"/>
  <c r="P2389" i="2"/>
  <c r="Q2389" i="2"/>
  <c r="R2389" i="2"/>
  <c r="S2389" i="2"/>
  <c r="T2389" i="2"/>
  <c r="U2389" i="2"/>
  <c r="V2389" i="2"/>
  <c r="W2389" i="2"/>
  <c r="X2389" i="2"/>
  <c r="Y2389" i="2"/>
  <c r="Z2389" i="2"/>
  <c r="AY1481" i="2"/>
  <c r="AY1506" i="2"/>
  <c r="M2249" i="2"/>
  <c r="M2248" i="2"/>
  <c r="M2247" i="2"/>
  <c r="M2246" i="2"/>
  <c r="M2245" i="2"/>
  <c r="M2244" i="2"/>
  <c r="M2243" i="2"/>
  <c r="M2242" i="2"/>
  <c r="M2241" i="2"/>
  <c r="M2240" i="2"/>
  <c r="M2239" i="2"/>
  <c r="M2238" i="2"/>
  <c r="M2237" i="2"/>
  <c r="M2236" i="2"/>
  <c r="M2235" i="2"/>
  <c r="AE96" i="32"/>
  <c r="AF96" i="32"/>
  <c r="AD97" i="32"/>
  <c r="AC97" i="32"/>
  <c r="AG96" i="32"/>
  <c r="AE97" i="32"/>
  <c r="AF97" i="32"/>
  <c r="AC98" i="32"/>
  <c r="AD98" i="32"/>
  <c r="AG97" i="32"/>
  <c r="AE98" i="32"/>
  <c r="AF98" i="32"/>
  <c r="T173" i="32"/>
  <c r="T174" i="32"/>
  <c r="T175" i="32"/>
  <c r="T176" i="32"/>
  <c r="T184" i="32"/>
  <c r="T185" i="32"/>
  <c r="T186" i="32"/>
  <c r="T195" i="32"/>
  <c r="T196" i="32"/>
  <c r="T205" i="32"/>
  <c r="T206" i="32"/>
  <c r="T207" i="32"/>
  <c r="T208" i="32"/>
  <c r="H202" i="32"/>
  <c r="H203" i="32"/>
  <c r="H204" i="32"/>
  <c r="H205" i="32"/>
  <c r="H206" i="32"/>
  <c r="H207" i="32"/>
  <c r="H208" i="32"/>
  <c r="L202" i="32"/>
  <c r="L203" i="32"/>
  <c r="L204" i="32"/>
  <c r="L205" i="32"/>
  <c r="L206" i="32"/>
  <c r="L207" i="32"/>
  <c r="L208" i="32"/>
  <c r="L160" i="32"/>
  <c r="L161" i="32"/>
  <c r="L162" i="32"/>
  <c r="L163" i="32"/>
  <c r="L164" i="32"/>
  <c r="L165" i="32"/>
  <c r="L166" i="32"/>
  <c r="H160" i="32"/>
  <c r="H161" i="32"/>
  <c r="H162" i="32"/>
  <c r="H163" i="32"/>
  <c r="H164" i="32"/>
  <c r="H165" i="32"/>
  <c r="H166" i="32"/>
  <c r="T47" i="32"/>
  <c r="T48" i="32"/>
  <c r="T49" i="32"/>
  <c r="T50" i="32"/>
  <c r="T58" i="32"/>
  <c r="T59" i="32"/>
  <c r="T60" i="32"/>
  <c r="T69" i="32"/>
  <c r="T70" i="32"/>
  <c r="T79" i="32"/>
  <c r="T80" i="32"/>
  <c r="T81" i="32"/>
  <c r="T82" i="32"/>
  <c r="H76" i="32"/>
  <c r="H77" i="32"/>
  <c r="H78" i="32"/>
  <c r="H79" i="32"/>
  <c r="H80" i="32"/>
  <c r="H81" i="32"/>
  <c r="H82" i="32"/>
  <c r="T5" i="32"/>
  <c r="T6" i="32"/>
  <c r="T7" i="32"/>
  <c r="T8" i="32"/>
  <c r="T16" i="32"/>
  <c r="T17" i="32"/>
  <c r="T18" i="32"/>
  <c r="T27" i="32"/>
  <c r="T28" i="32"/>
  <c r="T37" i="32"/>
  <c r="T38" i="32"/>
  <c r="T39" i="32"/>
  <c r="T40" i="32"/>
  <c r="H34" i="32"/>
  <c r="H35" i="32"/>
  <c r="H36" i="32"/>
  <c r="H37" i="32"/>
  <c r="H38" i="32"/>
  <c r="H39" i="32"/>
  <c r="H40" i="32"/>
  <c r="S40" i="32"/>
  <c r="R40" i="32"/>
  <c r="Q40" i="32"/>
  <c r="P40" i="32"/>
  <c r="O40" i="32"/>
  <c r="N40" i="32"/>
  <c r="M40" i="32"/>
  <c r="L40" i="32"/>
  <c r="K40" i="32"/>
  <c r="J40" i="32"/>
  <c r="S39" i="32"/>
  <c r="R39" i="32"/>
  <c r="Q39" i="32"/>
  <c r="P39" i="32"/>
  <c r="O39" i="32"/>
  <c r="N39" i="32"/>
  <c r="M39" i="32"/>
  <c r="L39" i="32"/>
  <c r="K39" i="32"/>
  <c r="J39" i="32"/>
  <c r="S38" i="32"/>
  <c r="R38" i="32"/>
  <c r="Q38" i="32"/>
  <c r="P38" i="32"/>
  <c r="O38" i="32"/>
  <c r="N38" i="32"/>
  <c r="M38" i="32"/>
  <c r="L38" i="32"/>
  <c r="K38" i="32"/>
  <c r="J38" i="32"/>
  <c r="S37" i="32"/>
  <c r="R37" i="32"/>
  <c r="Q37" i="32"/>
  <c r="P37" i="32"/>
  <c r="O37" i="32"/>
  <c r="N37" i="32"/>
  <c r="M37" i="32"/>
  <c r="L37" i="32"/>
  <c r="K37" i="32"/>
  <c r="J37" i="32"/>
  <c r="M36" i="32"/>
  <c r="L36" i="32"/>
  <c r="K36" i="32"/>
  <c r="J36" i="32"/>
  <c r="M35" i="32"/>
  <c r="L35" i="32"/>
  <c r="K35" i="32"/>
  <c r="J35" i="32"/>
  <c r="M34" i="32"/>
  <c r="L34" i="32"/>
  <c r="K34" i="32"/>
  <c r="J34" i="32"/>
  <c r="S28" i="32"/>
  <c r="R28" i="32"/>
  <c r="Q28" i="32"/>
  <c r="P28" i="32"/>
  <c r="O28" i="32"/>
  <c r="N28" i="32"/>
  <c r="S27" i="32"/>
  <c r="R27" i="32"/>
  <c r="Q27" i="32"/>
  <c r="P27" i="32"/>
  <c r="O27" i="32"/>
  <c r="N27" i="32"/>
  <c r="S18" i="32"/>
  <c r="R18" i="32"/>
  <c r="Q18" i="32"/>
  <c r="P18" i="32"/>
  <c r="O18" i="32"/>
  <c r="N18" i="32"/>
  <c r="S17" i="32"/>
  <c r="R17" i="32"/>
  <c r="Q17" i="32"/>
  <c r="P17" i="32"/>
  <c r="O17" i="32"/>
  <c r="N17" i="32"/>
  <c r="S16" i="32"/>
  <c r="R16" i="32"/>
  <c r="Q16" i="32"/>
  <c r="P16" i="32"/>
  <c r="O16" i="32"/>
  <c r="N16" i="32"/>
  <c r="S8" i="32"/>
  <c r="R8" i="32"/>
  <c r="Q8" i="32"/>
  <c r="P8" i="32"/>
  <c r="O8" i="32"/>
  <c r="N8" i="32"/>
  <c r="S7" i="32"/>
  <c r="R7" i="32"/>
  <c r="Q7" i="32"/>
  <c r="P7" i="32"/>
  <c r="O7" i="32"/>
  <c r="N7" i="32"/>
  <c r="S6" i="32"/>
  <c r="R6" i="32"/>
  <c r="Q6" i="32"/>
  <c r="P6" i="32"/>
  <c r="O6" i="32"/>
  <c r="N6" i="32"/>
  <c r="S5" i="32"/>
  <c r="R5" i="32"/>
  <c r="Q5" i="32"/>
  <c r="P5" i="32"/>
  <c r="O5" i="32"/>
  <c r="N5" i="32"/>
  <c r="N2247" i="2"/>
  <c r="N2246" i="2"/>
  <c r="N2245" i="2"/>
  <c r="N2244" i="2"/>
  <c r="N2243" i="2"/>
  <c r="N2240" i="2"/>
  <c r="N2239" i="2"/>
  <c r="N2241" i="2"/>
  <c r="N2235" i="2"/>
  <c r="AG98" i="32"/>
  <c r="BD1481" i="2"/>
  <c r="BD1506" i="2"/>
  <c r="BE1481" i="2"/>
  <c r="BE1506" i="2"/>
  <c r="BC1481" i="2"/>
  <c r="BC1506" i="2"/>
  <c r="N1481" i="2"/>
  <c r="N1506" i="2"/>
  <c r="Z1481" i="2"/>
  <c r="Z1506" i="2"/>
  <c r="Y1481" i="2"/>
  <c r="Y1506" i="2"/>
  <c r="X1481" i="2"/>
  <c r="X1506" i="2"/>
  <c r="W1481" i="2"/>
  <c r="W1506" i="2"/>
  <c r="V1481" i="2"/>
  <c r="V1506" i="2"/>
  <c r="U1481" i="2"/>
  <c r="U1506" i="2"/>
  <c r="T1481" i="2"/>
  <c r="T1506" i="2"/>
  <c r="S1481" i="2"/>
  <c r="S1506" i="2"/>
  <c r="R1481" i="2"/>
  <c r="R1506" i="2"/>
  <c r="Q1481" i="2"/>
  <c r="Q1506" i="2"/>
  <c r="P1481" i="2"/>
  <c r="P1506" i="2"/>
  <c r="BE1052" i="2"/>
  <c r="BD1052" i="2"/>
  <c r="BC1052" i="2"/>
  <c r="BE1051" i="2"/>
  <c r="BE1066" i="2"/>
  <c r="BD1051" i="2"/>
  <c r="BD1066" i="2"/>
  <c r="BC1051" i="2"/>
  <c r="BC1066" i="2"/>
  <c r="BE1050" i="2"/>
  <c r="BE1065" i="2"/>
  <c r="BD1050" i="2"/>
  <c r="BD1065" i="2"/>
  <c r="BC1050" i="2"/>
  <c r="BC1065" i="2"/>
  <c r="BE1049" i="2"/>
  <c r="BE1064" i="2"/>
  <c r="BD1049" i="2"/>
  <c r="BD1064" i="2"/>
  <c r="BC1049" i="2"/>
  <c r="BC1064" i="2"/>
  <c r="BE1048" i="2"/>
  <c r="BE1063" i="2"/>
  <c r="BD1048" i="2"/>
  <c r="BD1063" i="2"/>
  <c r="BC1048" i="2"/>
  <c r="BC1063" i="2"/>
  <c r="BE1047" i="2"/>
  <c r="BE1062" i="2"/>
  <c r="BD1047" i="2"/>
  <c r="BD1062" i="2"/>
  <c r="BC1047" i="2"/>
  <c r="BC1062" i="2"/>
  <c r="BE1046" i="2"/>
  <c r="BE1061" i="2"/>
  <c r="BD1046" i="2"/>
  <c r="BD1061" i="2"/>
  <c r="BC1046" i="2"/>
  <c r="BC1061" i="2"/>
  <c r="BE1045" i="2"/>
  <c r="BE1060" i="2"/>
  <c r="BD1045" i="2"/>
  <c r="BD1060" i="2"/>
  <c r="BC1045" i="2"/>
  <c r="BC1060" i="2"/>
  <c r="BE1043" i="2"/>
  <c r="BD1043" i="2"/>
  <c r="BC1043" i="2"/>
  <c r="BE1042" i="2"/>
  <c r="BD1042" i="2"/>
  <c r="BC1042" i="2"/>
  <c r="BE1041" i="2"/>
  <c r="BD1041" i="2"/>
  <c r="BC1041" i="2"/>
  <c r="AY1052" i="2"/>
  <c r="AY1051" i="2"/>
  <c r="AY1066" i="2"/>
  <c r="AY1050" i="2"/>
  <c r="AY1065" i="2"/>
  <c r="AY1049" i="2"/>
  <c r="AY1064" i="2"/>
  <c r="AY1048" i="2"/>
  <c r="AY1063" i="2"/>
  <c r="AY1047" i="2"/>
  <c r="AY1062" i="2"/>
  <c r="AY1046" i="2"/>
  <c r="AY1061" i="2"/>
  <c r="AY1045" i="2"/>
  <c r="AY1060" i="2"/>
  <c r="AY1043" i="2"/>
  <c r="AY1042" i="2"/>
  <c r="AY1041" i="2"/>
  <c r="AV1052" i="2"/>
  <c r="AV1051" i="2"/>
  <c r="AV1066" i="2"/>
  <c r="AV1050" i="2"/>
  <c r="AV1065" i="2"/>
  <c r="AV1049" i="2"/>
  <c r="AV1064" i="2"/>
  <c r="AV1048" i="2"/>
  <c r="AV1063" i="2"/>
  <c r="AV1047" i="2"/>
  <c r="AV1062" i="2"/>
  <c r="AV1046" i="2"/>
  <c r="AV1061" i="2"/>
  <c r="AV1045" i="2"/>
  <c r="AV1060" i="2"/>
  <c r="AV1043" i="2"/>
  <c r="AV1042" i="2"/>
  <c r="AV1041" i="2"/>
  <c r="Z1052" i="2"/>
  <c r="Y1052" i="2"/>
  <c r="X1052" i="2"/>
  <c r="W1052" i="2"/>
  <c r="V1052" i="2"/>
  <c r="U1052" i="2"/>
  <c r="T1052" i="2"/>
  <c r="S1052" i="2"/>
  <c r="R1052" i="2"/>
  <c r="Q1052" i="2"/>
  <c r="P1052" i="2"/>
  <c r="Z1051" i="2"/>
  <c r="Z1066" i="2"/>
  <c r="Y1051" i="2"/>
  <c r="Y1066" i="2"/>
  <c r="X1051" i="2"/>
  <c r="X1066" i="2"/>
  <c r="W1051" i="2"/>
  <c r="W1066" i="2"/>
  <c r="V1051" i="2"/>
  <c r="V1066" i="2"/>
  <c r="U1051" i="2"/>
  <c r="U1066" i="2"/>
  <c r="T1051" i="2"/>
  <c r="T1066" i="2"/>
  <c r="S1051" i="2"/>
  <c r="S1066" i="2"/>
  <c r="R1051" i="2"/>
  <c r="R1066" i="2"/>
  <c r="Q1051" i="2"/>
  <c r="Q1066" i="2"/>
  <c r="P1051" i="2"/>
  <c r="P1066" i="2"/>
  <c r="Z1050" i="2"/>
  <c r="Z1065" i="2"/>
  <c r="Y1050" i="2"/>
  <c r="Y1065" i="2"/>
  <c r="X1050" i="2"/>
  <c r="X1065" i="2"/>
  <c r="W1050" i="2"/>
  <c r="W1065" i="2"/>
  <c r="V1050" i="2"/>
  <c r="V1065" i="2"/>
  <c r="U1050" i="2"/>
  <c r="U1065" i="2"/>
  <c r="T1050" i="2"/>
  <c r="T1065" i="2"/>
  <c r="S1050" i="2"/>
  <c r="S1065" i="2"/>
  <c r="R1050" i="2"/>
  <c r="R1065" i="2"/>
  <c r="Q1050" i="2"/>
  <c r="Q1065" i="2"/>
  <c r="P1050" i="2"/>
  <c r="P1065" i="2"/>
  <c r="Z1049" i="2"/>
  <c r="Z1064" i="2"/>
  <c r="Y1049" i="2"/>
  <c r="Y1064" i="2"/>
  <c r="X1049" i="2"/>
  <c r="X1064" i="2"/>
  <c r="W1049" i="2"/>
  <c r="W1064" i="2"/>
  <c r="V1049" i="2"/>
  <c r="V1064" i="2"/>
  <c r="U1049" i="2"/>
  <c r="U1064" i="2"/>
  <c r="T1049" i="2"/>
  <c r="T1064" i="2"/>
  <c r="S1049" i="2"/>
  <c r="S1064" i="2"/>
  <c r="R1049" i="2"/>
  <c r="R1064" i="2"/>
  <c r="Q1049" i="2"/>
  <c r="Q1064" i="2"/>
  <c r="P1049" i="2"/>
  <c r="P1064" i="2"/>
  <c r="Z1048" i="2"/>
  <c r="Z1063" i="2"/>
  <c r="Y1048" i="2"/>
  <c r="Y1063" i="2"/>
  <c r="X1048" i="2"/>
  <c r="X1063" i="2"/>
  <c r="W1048" i="2"/>
  <c r="W1063" i="2"/>
  <c r="V1048" i="2"/>
  <c r="V1063" i="2"/>
  <c r="U1048" i="2"/>
  <c r="U1063" i="2"/>
  <c r="T1048" i="2"/>
  <c r="T1063" i="2"/>
  <c r="S1048" i="2"/>
  <c r="S1063" i="2"/>
  <c r="R1048" i="2"/>
  <c r="R1063" i="2"/>
  <c r="Q1048" i="2"/>
  <c r="Q1063" i="2"/>
  <c r="P1048" i="2"/>
  <c r="P1063" i="2"/>
  <c r="Z1047" i="2"/>
  <c r="Z1062" i="2"/>
  <c r="Y1047" i="2"/>
  <c r="Y1062" i="2"/>
  <c r="X1047" i="2"/>
  <c r="X1062" i="2"/>
  <c r="W1047" i="2"/>
  <c r="W1062" i="2"/>
  <c r="V1047" i="2"/>
  <c r="V1062" i="2"/>
  <c r="U1047" i="2"/>
  <c r="U1062" i="2"/>
  <c r="T1047" i="2"/>
  <c r="T1062" i="2"/>
  <c r="S1047" i="2"/>
  <c r="S1062" i="2"/>
  <c r="R1047" i="2"/>
  <c r="R1062" i="2"/>
  <c r="Q1047" i="2"/>
  <c r="Q1062" i="2"/>
  <c r="P1047" i="2"/>
  <c r="P1062" i="2"/>
  <c r="Z1046" i="2"/>
  <c r="Z1061" i="2"/>
  <c r="Y1046" i="2"/>
  <c r="Y1061" i="2"/>
  <c r="X1046" i="2"/>
  <c r="X1061" i="2"/>
  <c r="W1046" i="2"/>
  <c r="W1061" i="2"/>
  <c r="V1046" i="2"/>
  <c r="V1061" i="2"/>
  <c r="U1046" i="2"/>
  <c r="U1061" i="2"/>
  <c r="T1046" i="2"/>
  <c r="T1061" i="2"/>
  <c r="S1046" i="2"/>
  <c r="S1061" i="2"/>
  <c r="R1046" i="2"/>
  <c r="R1061" i="2"/>
  <c r="Q1046" i="2"/>
  <c r="Q1061" i="2"/>
  <c r="P1046" i="2"/>
  <c r="P1061" i="2"/>
  <c r="Z1045" i="2"/>
  <c r="Z1060" i="2"/>
  <c r="Y1045" i="2"/>
  <c r="Y1060" i="2"/>
  <c r="X1045" i="2"/>
  <c r="X1060" i="2"/>
  <c r="W1045" i="2"/>
  <c r="W1060" i="2"/>
  <c r="V1045" i="2"/>
  <c r="V1060" i="2"/>
  <c r="U1045" i="2"/>
  <c r="U1060" i="2"/>
  <c r="T1045" i="2"/>
  <c r="T1060" i="2"/>
  <c r="S1045" i="2"/>
  <c r="S1060" i="2"/>
  <c r="R1045" i="2"/>
  <c r="R1060" i="2"/>
  <c r="Q1045" i="2"/>
  <c r="Q1060" i="2"/>
  <c r="P1045" i="2"/>
  <c r="P1060" i="2"/>
  <c r="Z1043" i="2"/>
  <c r="Y1043" i="2"/>
  <c r="X1043" i="2"/>
  <c r="W1043" i="2"/>
  <c r="V1043" i="2"/>
  <c r="U1043" i="2"/>
  <c r="T1043" i="2"/>
  <c r="S1043" i="2"/>
  <c r="R1043" i="2"/>
  <c r="Q1043" i="2"/>
  <c r="P1043" i="2"/>
  <c r="Z1042" i="2"/>
  <c r="Y1042" i="2"/>
  <c r="X1042" i="2"/>
  <c r="W1042" i="2"/>
  <c r="V1042" i="2"/>
  <c r="U1042" i="2"/>
  <c r="T1042" i="2"/>
  <c r="S1042" i="2"/>
  <c r="R1042" i="2"/>
  <c r="Q1042" i="2"/>
  <c r="P1042" i="2"/>
  <c r="Z1041" i="2"/>
  <c r="Y1041" i="2"/>
  <c r="X1041" i="2"/>
  <c r="W1041" i="2"/>
  <c r="V1041" i="2"/>
  <c r="U1041" i="2"/>
  <c r="T1041" i="2"/>
  <c r="S1041" i="2"/>
  <c r="R1041" i="2"/>
  <c r="Q1041" i="2"/>
  <c r="P1041" i="2"/>
  <c r="Z1074" i="2"/>
  <c r="Z1097" i="2"/>
  <c r="Z1085" i="2"/>
  <c r="Y1074" i="2"/>
  <c r="Y1097" i="2"/>
  <c r="Y1085" i="2"/>
  <c r="X1074" i="2"/>
  <c r="X1097" i="2"/>
  <c r="X1085" i="2"/>
  <c r="W1074" i="2"/>
  <c r="W1097" i="2"/>
  <c r="W1085" i="2"/>
  <c r="V1074" i="2"/>
  <c r="V1097" i="2"/>
  <c r="V1085" i="2"/>
  <c r="U1074" i="2"/>
  <c r="U1097" i="2"/>
  <c r="U1085" i="2"/>
  <c r="T1074" i="2"/>
  <c r="T1097" i="2"/>
  <c r="T1085" i="2"/>
  <c r="S1074" i="2"/>
  <c r="S1097" i="2"/>
  <c r="S1085" i="2"/>
  <c r="R1074" i="2"/>
  <c r="R1097" i="2"/>
  <c r="R1085" i="2"/>
  <c r="Q1074" i="2"/>
  <c r="Q1097" i="2"/>
  <c r="Q1085" i="2"/>
  <c r="P1074" i="2"/>
  <c r="P1097" i="2"/>
  <c r="P1085" i="2"/>
  <c r="Z1134" i="2"/>
  <c r="Z1157" i="2"/>
  <c r="Z1145" i="2"/>
  <c r="Y1134" i="2"/>
  <c r="Y1157" i="2"/>
  <c r="Y1145" i="2"/>
  <c r="X1134" i="2"/>
  <c r="X1157" i="2"/>
  <c r="X1145" i="2"/>
  <c r="W1134" i="2"/>
  <c r="W1157" i="2"/>
  <c r="W1145" i="2"/>
  <c r="V1134" i="2"/>
  <c r="V1157" i="2"/>
  <c r="V1145" i="2"/>
  <c r="U1134" i="2"/>
  <c r="U1157" i="2"/>
  <c r="U1145" i="2"/>
  <c r="T1134" i="2"/>
  <c r="T1157" i="2"/>
  <c r="T1145" i="2"/>
  <c r="S1134" i="2"/>
  <c r="S1157" i="2"/>
  <c r="S1145" i="2"/>
  <c r="R1134" i="2"/>
  <c r="R1157" i="2"/>
  <c r="R1145" i="2"/>
  <c r="Q1134" i="2"/>
  <c r="Q1157" i="2"/>
  <c r="Q1145" i="2"/>
  <c r="P1134" i="2"/>
  <c r="P1157" i="2"/>
  <c r="P1145" i="2"/>
  <c r="Z924" i="2"/>
  <c r="Y924" i="2"/>
  <c r="X924" i="2"/>
  <c r="W924" i="2"/>
  <c r="V924" i="2"/>
  <c r="U924" i="2"/>
  <c r="T924" i="2"/>
  <c r="S924" i="2"/>
  <c r="R924" i="2"/>
  <c r="Q924" i="2"/>
  <c r="P924" i="2"/>
  <c r="M1277" i="2"/>
  <c r="M1307" i="2"/>
  <c r="Z1269" i="2"/>
  <c r="Z1292" i="2"/>
  <c r="Z1280" i="2"/>
  <c r="Y1269" i="2"/>
  <c r="Y1292" i="2"/>
  <c r="Y1280" i="2"/>
  <c r="X1269" i="2"/>
  <c r="X1292" i="2"/>
  <c r="X1280" i="2"/>
  <c r="W1269" i="2"/>
  <c r="W1292" i="2"/>
  <c r="W1280" i="2"/>
  <c r="V1269" i="2"/>
  <c r="V1292" i="2"/>
  <c r="V1280" i="2"/>
  <c r="U1269" i="2"/>
  <c r="U1292" i="2"/>
  <c r="U1280" i="2"/>
  <c r="T1269" i="2"/>
  <c r="T1292" i="2"/>
  <c r="T1280" i="2"/>
  <c r="S1269" i="2"/>
  <c r="S1292" i="2"/>
  <c r="S1280" i="2"/>
  <c r="R1269" i="2"/>
  <c r="R1292" i="2"/>
  <c r="R1280" i="2"/>
  <c r="Q1269" i="2"/>
  <c r="Q1292" i="2"/>
  <c r="Q1280" i="2"/>
  <c r="P1269" i="2"/>
  <c r="P1292" i="2"/>
  <c r="P1280" i="2"/>
  <c r="Z1239" i="2"/>
  <c r="Z1262" i="2"/>
  <c r="Z1250" i="2"/>
  <c r="Y1239" i="2"/>
  <c r="Y1262" i="2"/>
  <c r="Y1250" i="2"/>
  <c r="X1239" i="2"/>
  <c r="X1262" i="2"/>
  <c r="X1250" i="2"/>
  <c r="W1239" i="2"/>
  <c r="W1262" i="2"/>
  <c r="W1250" i="2"/>
  <c r="V1239" i="2"/>
  <c r="V1262" i="2"/>
  <c r="V1250" i="2"/>
  <c r="U1239" i="2"/>
  <c r="U1262" i="2"/>
  <c r="U1250" i="2"/>
  <c r="T1239" i="2"/>
  <c r="T1262" i="2"/>
  <c r="T1250" i="2"/>
  <c r="S1239" i="2"/>
  <c r="S1262" i="2"/>
  <c r="S1250" i="2"/>
  <c r="R1239" i="2"/>
  <c r="R1262" i="2"/>
  <c r="R1250" i="2"/>
  <c r="Q1239" i="2"/>
  <c r="Q1262" i="2"/>
  <c r="Q1250" i="2"/>
  <c r="P1239" i="2"/>
  <c r="P1262" i="2"/>
  <c r="P1250" i="2"/>
  <c r="N1104" i="2"/>
  <c r="N1127" i="2"/>
  <c r="R1044" i="2"/>
  <c r="R1067" i="2"/>
  <c r="R1055" i="2"/>
  <c r="R947" i="2"/>
  <c r="R935" i="2"/>
  <c r="S1044" i="2"/>
  <c r="S1067" i="2"/>
  <c r="S1055" i="2"/>
  <c r="S947" i="2"/>
  <c r="S935" i="2"/>
  <c r="T1044" i="2"/>
  <c r="T1067" i="2"/>
  <c r="T1055" i="2"/>
  <c r="T947" i="2"/>
  <c r="T935" i="2"/>
  <c r="U1044" i="2"/>
  <c r="U1067" i="2"/>
  <c r="U1055" i="2"/>
  <c r="U947" i="2"/>
  <c r="U935" i="2"/>
  <c r="V1044" i="2"/>
  <c r="V1067" i="2"/>
  <c r="V1055" i="2"/>
  <c r="V947" i="2"/>
  <c r="V935" i="2"/>
  <c r="W1044" i="2"/>
  <c r="W1067" i="2"/>
  <c r="W1055" i="2"/>
  <c r="W947" i="2"/>
  <c r="W935" i="2"/>
  <c r="P1044" i="2"/>
  <c r="P1067" i="2"/>
  <c r="P1055" i="2"/>
  <c r="P947" i="2"/>
  <c r="P935" i="2"/>
  <c r="X1044" i="2"/>
  <c r="X1067" i="2"/>
  <c r="X1055" i="2"/>
  <c r="X947" i="2"/>
  <c r="X935" i="2"/>
  <c r="Z1044" i="2"/>
  <c r="Z1067" i="2"/>
  <c r="Z1055" i="2"/>
  <c r="Z947" i="2"/>
  <c r="Z935" i="2"/>
  <c r="Q1044" i="2"/>
  <c r="Q1067" i="2"/>
  <c r="Q1055" i="2"/>
  <c r="Q947" i="2"/>
  <c r="Q935" i="2"/>
  <c r="Y1044" i="2"/>
  <c r="Y1067" i="2"/>
  <c r="Y1055" i="2"/>
  <c r="Y947" i="2"/>
  <c r="Y935" i="2"/>
  <c r="H103" i="9"/>
  <c r="H102" i="9"/>
  <c r="H101" i="9"/>
  <c r="H100" i="9"/>
  <c r="H99" i="9"/>
  <c r="H98" i="9"/>
  <c r="H97" i="9"/>
  <c r="H96" i="9"/>
  <c r="H95" i="9"/>
  <c r="H94" i="9"/>
  <c r="H93" i="9"/>
  <c r="H92" i="9"/>
  <c r="H91" i="9"/>
  <c r="H90" i="9"/>
  <c r="H89" i="9"/>
  <c r="H88" i="9"/>
  <c r="H87" i="9"/>
  <c r="H86" i="9"/>
  <c r="H85" i="9"/>
  <c r="H84" i="9"/>
  <c r="H83" i="9"/>
  <c r="H82" i="9"/>
  <c r="H81" i="9"/>
  <c r="H80" i="9"/>
  <c r="H79" i="9"/>
  <c r="H78" i="9"/>
  <c r="H77" i="9"/>
  <c r="H76" i="9"/>
  <c r="H75" i="9"/>
  <c r="H74" i="9"/>
  <c r="H73" i="9"/>
  <c r="H72" i="9"/>
  <c r="H71" i="9"/>
  <c r="H70" i="9"/>
  <c r="H69" i="9"/>
  <c r="H68" i="9"/>
  <c r="H67" i="9"/>
  <c r="H66" i="9"/>
  <c r="H65" i="9"/>
  <c r="H64" i="9"/>
  <c r="H63" i="9"/>
  <c r="H62" i="9"/>
  <c r="H61" i="9"/>
  <c r="H60" i="9"/>
  <c r="H59" i="9"/>
  <c r="H58" i="9"/>
  <c r="H57" i="9"/>
  <c r="H56" i="9"/>
  <c r="H55" i="9"/>
  <c r="H54" i="9"/>
  <c r="H53" i="9"/>
  <c r="H52" i="9"/>
  <c r="H51" i="9"/>
  <c r="H50" i="9"/>
  <c r="H49" i="9"/>
  <c r="H48" i="9"/>
  <c r="H47" i="9"/>
  <c r="H46" i="9"/>
  <c r="H45" i="9"/>
  <c r="H44" i="9"/>
  <c r="H43" i="9"/>
  <c r="H42" i="9"/>
  <c r="H41" i="9"/>
  <c r="H40" i="9"/>
  <c r="H39" i="9"/>
  <c r="H38" i="9"/>
  <c r="H10" i="9"/>
  <c r="H9" i="9"/>
  <c r="H8" i="9"/>
  <c r="H7" i="9"/>
  <c r="H6" i="9"/>
  <c r="H5" i="9"/>
  <c r="H4" i="9"/>
  <c r="G424" i="9"/>
  <c r="G425" i="9"/>
  <c r="G426" i="9"/>
  <c r="G427" i="9"/>
  <c r="G428" i="9"/>
  <c r="G429" i="9"/>
  <c r="G430" i="9"/>
  <c r="G458" i="9"/>
  <c r="G459" i="9"/>
  <c r="G460" i="9"/>
  <c r="G461" i="9"/>
  <c r="G462" i="9"/>
  <c r="G463" i="9"/>
  <c r="G464" i="9"/>
  <c r="G465" i="9"/>
  <c r="G466" i="9"/>
  <c r="G467" i="9"/>
  <c r="G468" i="9"/>
  <c r="G469" i="9"/>
  <c r="G470" i="9"/>
  <c r="G471" i="9"/>
  <c r="G472" i="9"/>
  <c r="G473" i="9"/>
  <c r="G474" i="9"/>
  <c r="G475" i="9"/>
  <c r="G476" i="9"/>
  <c r="G477" i="9"/>
  <c r="G478" i="9"/>
  <c r="G479" i="9"/>
  <c r="G480" i="9"/>
  <c r="G481" i="9"/>
  <c r="G482" i="9"/>
  <c r="G483" i="9"/>
  <c r="G484" i="9"/>
  <c r="G485" i="9"/>
  <c r="G486" i="9"/>
  <c r="G487" i="9"/>
  <c r="G488" i="9"/>
  <c r="G489" i="9"/>
  <c r="G490" i="9"/>
  <c r="G491" i="9"/>
  <c r="G492" i="9"/>
  <c r="G493" i="9"/>
  <c r="G494" i="9"/>
  <c r="G495" i="9"/>
  <c r="G496" i="9"/>
  <c r="G497" i="9"/>
  <c r="G498" i="9"/>
  <c r="G499" i="9"/>
  <c r="G500" i="9"/>
  <c r="G501" i="9"/>
  <c r="G502" i="9"/>
  <c r="G503" i="9"/>
  <c r="G504" i="9"/>
  <c r="G505" i="9"/>
  <c r="G506" i="9"/>
  <c r="G507" i="9"/>
  <c r="G508" i="9"/>
  <c r="G509" i="9"/>
  <c r="G510" i="9"/>
  <c r="G511" i="9"/>
  <c r="G512" i="9"/>
  <c r="G513" i="9"/>
  <c r="G514" i="9"/>
  <c r="G515" i="9"/>
  <c r="G516" i="9"/>
  <c r="G517" i="9"/>
  <c r="G518" i="9"/>
  <c r="G519" i="9"/>
  <c r="G520" i="9"/>
  <c r="G521" i="9"/>
  <c r="G522" i="9"/>
  <c r="G523" i="9"/>
  <c r="G319" i="9"/>
  <c r="G320" i="9"/>
  <c r="G321" i="9"/>
  <c r="G322" i="9"/>
  <c r="G323" i="9"/>
  <c r="G324" i="9"/>
  <c r="G325" i="9"/>
  <c r="G353" i="9"/>
  <c r="G354" i="9"/>
  <c r="G355" i="9"/>
  <c r="G356" i="9"/>
  <c r="G357" i="9"/>
  <c r="G358" i="9"/>
  <c r="G359" i="9"/>
  <c r="G360" i="9"/>
  <c r="G361" i="9"/>
  <c r="G362" i="9"/>
  <c r="G363" i="9"/>
  <c r="G364" i="9"/>
  <c r="G365" i="9"/>
  <c r="G366" i="9"/>
  <c r="G367" i="9"/>
  <c r="G368" i="9"/>
  <c r="G369" i="9"/>
  <c r="G370" i="9"/>
  <c r="G371" i="9"/>
  <c r="G372" i="9"/>
  <c r="G373" i="9"/>
  <c r="G374" i="9"/>
  <c r="G375" i="9"/>
  <c r="G376" i="9"/>
  <c r="G377" i="9"/>
  <c r="G378" i="9"/>
  <c r="G379" i="9"/>
  <c r="G380" i="9"/>
  <c r="G381" i="9"/>
  <c r="G382" i="9"/>
  <c r="G383" i="9"/>
  <c r="G384" i="9"/>
  <c r="G385" i="9"/>
  <c r="G386" i="9"/>
  <c r="G387" i="9"/>
  <c r="G388" i="9"/>
  <c r="G389" i="9"/>
  <c r="G390" i="9"/>
  <c r="G391" i="9"/>
  <c r="G392" i="9"/>
  <c r="G393" i="9"/>
  <c r="G394" i="9"/>
  <c r="G395" i="9"/>
  <c r="G396" i="9"/>
  <c r="G397" i="9"/>
  <c r="G398" i="9"/>
  <c r="G399" i="9"/>
  <c r="G400" i="9"/>
  <c r="G401" i="9"/>
  <c r="G402" i="9"/>
  <c r="G403" i="9"/>
  <c r="G404" i="9"/>
  <c r="G405" i="9"/>
  <c r="G406" i="9"/>
  <c r="G407" i="9"/>
  <c r="G408" i="9"/>
  <c r="G409" i="9"/>
  <c r="G410" i="9"/>
  <c r="G411" i="9"/>
  <c r="G412" i="9"/>
  <c r="G413" i="9"/>
  <c r="G414" i="9"/>
  <c r="G415" i="9"/>
  <c r="G416" i="9"/>
  <c r="G417" i="9"/>
  <c r="G418" i="9"/>
  <c r="G109" i="9"/>
  <c r="G110" i="9"/>
  <c r="G111" i="9"/>
  <c r="G112" i="9"/>
  <c r="G113" i="9"/>
  <c r="G114" i="9"/>
  <c r="G115" i="9"/>
  <c r="G143" i="9"/>
  <c r="G144" i="9"/>
  <c r="G145" i="9"/>
  <c r="G146" i="9"/>
  <c r="G147" i="9"/>
  <c r="G148" i="9"/>
  <c r="G149" i="9"/>
  <c r="G150" i="9"/>
  <c r="G151" i="9"/>
  <c r="G152" i="9"/>
  <c r="G153" i="9"/>
  <c r="G154" i="9"/>
  <c r="G155" i="9"/>
  <c r="G156" i="9"/>
  <c r="G157" i="9"/>
  <c r="G158" i="9"/>
  <c r="G159" i="9"/>
  <c r="G160" i="9"/>
  <c r="G161" i="9"/>
  <c r="G162" i="9"/>
  <c r="G163" i="9"/>
  <c r="G164" i="9"/>
  <c r="G165" i="9"/>
  <c r="G166" i="9"/>
  <c r="G167" i="9"/>
  <c r="G168" i="9"/>
  <c r="G169" i="9"/>
  <c r="G170" i="9"/>
  <c r="G171" i="9"/>
  <c r="G172" i="9"/>
  <c r="G173" i="9"/>
  <c r="G174" i="9"/>
  <c r="G175" i="9"/>
  <c r="G176" i="9"/>
  <c r="G177" i="9"/>
  <c r="G178" i="9"/>
  <c r="G179" i="9"/>
  <c r="G180" i="9"/>
  <c r="G181" i="9"/>
  <c r="G182" i="9"/>
  <c r="G183" i="9"/>
  <c r="G184" i="9"/>
  <c r="G185" i="9"/>
  <c r="G186" i="9"/>
  <c r="G187" i="9"/>
  <c r="G188" i="9"/>
  <c r="G189" i="9"/>
  <c r="G190" i="9"/>
  <c r="G191" i="9"/>
  <c r="G192" i="9"/>
  <c r="G193" i="9"/>
  <c r="G194" i="9"/>
  <c r="G195" i="9"/>
  <c r="G196" i="9"/>
  <c r="G197" i="9"/>
  <c r="G198" i="9"/>
  <c r="G199" i="9"/>
  <c r="G200" i="9"/>
  <c r="G201" i="9"/>
  <c r="G202" i="9"/>
  <c r="G203" i="9"/>
  <c r="G204" i="9"/>
  <c r="G205" i="9"/>
  <c r="G206" i="9"/>
  <c r="G207" i="9"/>
  <c r="G208" i="9"/>
  <c r="G4" i="9"/>
  <c r="G5" i="9"/>
  <c r="G6" i="9"/>
  <c r="G7" i="9"/>
  <c r="G8" i="9"/>
  <c r="G9" i="9"/>
  <c r="G10" i="9"/>
  <c r="G38" i="9"/>
  <c r="G39" i="9"/>
  <c r="G40" i="9"/>
  <c r="G41" i="9"/>
  <c r="G42" i="9"/>
  <c r="G43" i="9"/>
  <c r="G44" i="9"/>
  <c r="G45" i="9"/>
  <c r="G46" i="9"/>
  <c r="G47" i="9"/>
  <c r="G48" i="9"/>
  <c r="G49" i="9"/>
  <c r="G50" i="9"/>
  <c r="G51" i="9"/>
  <c r="G52" i="9"/>
  <c r="G53" i="9"/>
  <c r="G54" i="9"/>
  <c r="G55" i="9"/>
  <c r="G56" i="9"/>
  <c r="G57" i="9"/>
  <c r="G58" i="9"/>
  <c r="G59" i="9"/>
  <c r="G60" i="9"/>
  <c r="G61" i="9"/>
  <c r="G62" i="9"/>
  <c r="G63" i="9"/>
  <c r="G64" i="9"/>
  <c r="G65" i="9"/>
  <c r="G66" i="9"/>
  <c r="G67" i="9"/>
  <c r="G68" i="9"/>
  <c r="G69" i="9"/>
  <c r="G70" i="9"/>
  <c r="G71" i="9"/>
  <c r="G72" i="9"/>
  <c r="G73" i="9"/>
  <c r="G74" i="9"/>
  <c r="G75" i="9"/>
  <c r="G76" i="9"/>
  <c r="G77" i="9"/>
  <c r="G78" i="9"/>
  <c r="G79" i="9"/>
  <c r="G80" i="9"/>
  <c r="G81" i="9"/>
  <c r="G82" i="9"/>
  <c r="G83" i="9"/>
  <c r="G84" i="9"/>
  <c r="G85" i="9"/>
  <c r="G86" i="9"/>
  <c r="G87" i="9"/>
  <c r="G88" i="9"/>
  <c r="G89" i="9"/>
  <c r="G90" i="9"/>
  <c r="G91" i="9"/>
  <c r="G92" i="9"/>
  <c r="G93" i="9"/>
  <c r="G94" i="9"/>
  <c r="G95" i="9"/>
  <c r="G96" i="9"/>
  <c r="G97" i="9"/>
  <c r="G98" i="9"/>
  <c r="G99" i="9"/>
  <c r="G100" i="9"/>
  <c r="G101" i="9"/>
  <c r="G102" i="9"/>
  <c r="G103" i="9"/>
  <c r="K22" i="3"/>
  <c r="K6" i="3"/>
  <c r="K7" i="3"/>
  <c r="K8" i="3"/>
  <c r="K9" i="3"/>
  <c r="K10" i="3"/>
  <c r="K11" i="3"/>
  <c r="K12" i="3"/>
  <c r="K13" i="3"/>
  <c r="K14" i="3"/>
  <c r="K15" i="3"/>
  <c r="K16" i="3"/>
  <c r="K17" i="3"/>
  <c r="K18" i="3"/>
  <c r="K19" i="3"/>
  <c r="K20" i="3"/>
  <c r="K21" i="3"/>
  <c r="K4" i="3"/>
  <c r="BD2059" i="2"/>
  <c r="BE2059" i="2"/>
  <c r="BC2059" i="2"/>
  <c r="AY2059" i="2"/>
  <c r="AV2059" i="2"/>
  <c r="Z2059" i="2"/>
  <c r="Y2059" i="2"/>
  <c r="X2059" i="2"/>
  <c r="W2059" i="2"/>
  <c r="V2059" i="2"/>
  <c r="U2059" i="2"/>
  <c r="T2059" i="2"/>
  <c r="S2059" i="2"/>
  <c r="R2059" i="2"/>
  <c r="Q2059" i="2"/>
  <c r="P2059" i="2"/>
  <c r="BE2014" i="2"/>
  <c r="BF2014" i="2"/>
  <c r="BD2014" i="2"/>
  <c r="AY2014" i="2"/>
  <c r="AV2014" i="2"/>
  <c r="Z2014" i="2"/>
  <c r="Y2014" i="2"/>
  <c r="X2014" i="2"/>
  <c r="W2014" i="2"/>
  <c r="V2014" i="2"/>
  <c r="U2014" i="2"/>
  <c r="T2014" i="2"/>
  <c r="S2014" i="2"/>
  <c r="R2014" i="2"/>
  <c r="Q2014" i="2"/>
  <c r="P2014" i="2"/>
  <c r="BE1999" i="2"/>
  <c r="BF1999" i="2"/>
  <c r="BD1999" i="2"/>
  <c r="AY1999" i="2"/>
  <c r="AV1999" i="2"/>
  <c r="Z1999" i="2"/>
  <c r="Y1999" i="2"/>
  <c r="X1999" i="2"/>
  <c r="W1999" i="2"/>
  <c r="V1999" i="2"/>
  <c r="U1999" i="2"/>
  <c r="T1999" i="2"/>
  <c r="S1999" i="2"/>
  <c r="R1999" i="2"/>
  <c r="Q1999" i="2"/>
  <c r="P1999" i="2"/>
  <c r="BE1984" i="2"/>
  <c r="BF1984" i="2"/>
  <c r="BD1984" i="2"/>
  <c r="AY1984" i="2"/>
  <c r="AV1984" i="2"/>
  <c r="Z1984" i="2"/>
  <c r="Y1984" i="2"/>
  <c r="X1984" i="2"/>
  <c r="W1984" i="2"/>
  <c r="V1984" i="2"/>
  <c r="U1984" i="2"/>
  <c r="T1984" i="2"/>
  <c r="S1984" i="2"/>
  <c r="R1984" i="2"/>
  <c r="Q1984" i="2"/>
  <c r="P1984" i="2"/>
  <c r="BE1307" i="2"/>
  <c r="BD1307" i="2"/>
  <c r="BC1307" i="2"/>
  <c r="BE1306" i="2"/>
  <c r="BE1321" i="2"/>
  <c r="BD1306" i="2"/>
  <c r="BD1321" i="2"/>
  <c r="BC1306" i="2"/>
  <c r="BC1321" i="2"/>
  <c r="BE1305" i="2"/>
  <c r="BE1320" i="2"/>
  <c r="BD1305" i="2"/>
  <c r="BD1320" i="2"/>
  <c r="BC1305" i="2"/>
  <c r="BC1320" i="2"/>
  <c r="BE1304" i="2"/>
  <c r="BE1319" i="2"/>
  <c r="BD1304" i="2"/>
  <c r="BD1319" i="2"/>
  <c r="BC1304" i="2"/>
  <c r="BC1319" i="2"/>
  <c r="BE1303" i="2"/>
  <c r="BE1318" i="2"/>
  <c r="BD1303" i="2"/>
  <c r="BD1318" i="2"/>
  <c r="BC1303" i="2"/>
  <c r="BC1318" i="2"/>
  <c r="BE1302" i="2"/>
  <c r="BE1317" i="2"/>
  <c r="BD1302" i="2"/>
  <c r="BD1317" i="2"/>
  <c r="BC1302" i="2"/>
  <c r="BC1317" i="2"/>
  <c r="BE1301" i="2"/>
  <c r="BE1316" i="2"/>
  <c r="BD1301" i="2"/>
  <c r="BD1316" i="2"/>
  <c r="BC1301" i="2"/>
  <c r="BC1316" i="2"/>
  <c r="BE1300" i="2"/>
  <c r="BE1315" i="2"/>
  <c r="BD1300" i="2"/>
  <c r="BD1315" i="2"/>
  <c r="BC1300" i="2"/>
  <c r="BC1315" i="2"/>
  <c r="BE1298" i="2"/>
  <c r="BD1298" i="2"/>
  <c r="BC1298" i="2"/>
  <c r="BE1297" i="2"/>
  <c r="BD1297" i="2"/>
  <c r="BC1297" i="2"/>
  <c r="BE1296" i="2"/>
  <c r="BD1296" i="2"/>
  <c r="BC1296" i="2"/>
  <c r="AY1307" i="2"/>
  <c r="AY1306" i="2"/>
  <c r="AY1321" i="2"/>
  <c r="AY1305" i="2"/>
  <c r="AY1320" i="2"/>
  <c r="AY1304" i="2"/>
  <c r="AY1319" i="2"/>
  <c r="AY1303" i="2"/>
  <c r="AY1318" i="2"/>
  <c r="AY1302" i="2"/>
  <c r="AY1317" i="2"/>
  <c r="AY1301" i="2"/>
  <c r="AY1316" i="2"/>
  <c r="AY1300" i="2"/>
  <c r="AY1315" i="2"/>
  <c r="AY1298" i="2"/>
  <c r="AY1297" i="2"/>
  <c r="AY1296" i="2"/>
  <c r="AV1307" i="2"/>
  <c r="AV1306" i="2"/>
  <c r="AV1321" i="2"/>
  <c r="AV1305" i="2"/>
  <c r="AV1320" i="2"/>
  <c r="AV1304" i="2"/>
  <c r="AV1319" i="2"/>
  <c r="AV1303" i="2"/>
  <c r="AV1318" i="2"/>
  <c r="AV1302" i="2"/>
  <c r="AV1317" i="2"/>
  <c r="AV1301" i="2"/>
  <c r="AV1316" i="2"/>
  <c r="AV1300" i="2"/>
  <c r="AV1315" i="2"/>
  <c r="AV1298" i="2"/>
  <c r="AV1297" i="2"/>
  <c r="AV1296" i="2"/>
  <c r="BD1269" i="2"/>
  <c r="BE1269" i="2"/>
  <c r="BC1269" i="2"/>
  <c r="AY1269" i="2"/>
  <c r="AV1269" i="2"/>
  <c r="BE1239" i="2"/>
  <c r="BE1262" i="2"/>
  <c r="BE1250" i="2"/>
  <c r="BD1239" i="2"/>
  <c r="BD1262" i="2"/>
  <c r="BD1250" i="2"/>
  <c r="BC1239" i="2"/>
  <c r="BC1262" i="2"/>
  <c r="BC1250" i="2"/>
  <c r="AY1239" i="2"/>
  <c r="AY1262" i="2"/>
  <c r="AY1250" i="2"/>
  <c r="AV1239" i="2"/>
  <c r="AV1262" i="2"/>
  <c r="AV1250" i="2"/>
  <c r="AY1460" i="2"/>
  <c r="AY1459" i="2"/>
  <c r="AY1458" i="2"/>
  <c r="AY1456" i="2"/>
  <c r="AY1472" i="2"/>
  <c r="AY1455" i="2"/>
  <c r="AY1471" i="2"/>
  <c r="AY1454" i="2"/>
  <c r="AY1470" i="2"/>
  <c r="AY1453" i="2"/>
  <c r="AY1469" i="2"/>
  <c r="AY1452" i="2"/>
  <c r="AY1468" i="2"/>
  <c r="AY1451" i="2"/>
  <c r="AY1467" i="2"/>
  <c r="AY1450" i="2"/>
  <c r="AY1466" i="2"/>
  <c r="AY1449" i="2"/>
  <c r="AY1474" i="2"/>
  <c r="AY1447" i="2"/>
  <c r="AY1446" i="2"/>
  <c r="AY1445" i="2"/>
  <c r="AV1460" i="2"/>
  <c r="AV1459" i="2"/>
  <c r="AV1458" i="2"/>
  <c r="AV1456" i="2"/>
  <c r="AV1472" i="2"/>
  <c r="AV1455" i="2"/>
  <c r="AV1471" i="2"/>
  <c r="AV1454" i="2"/>
  <c r="AV1470" i="2"/>
  <c r="AV1453" i="2"/>
  <c r="AV1469" i="2"/>
  <c r="AV1452" i="2"/>
  <c r="AV1468" i="2"/>
  <c r="AV1451" i="2"/>
  <c r="AV1467" i="2"/>
  <c r="AV1450" i="2"/>
  <c r="AV1466" i="2"/>
  <c r="AV1449" i="2"/>
  <c r="AV1474" i="2"/>
  <c r="AV1447" i="2"/>
  <c r="AV1446" i="2"/>
  <c r="AV1445" i="2"/>
  <c r="BE1172" i="2"/>
  <c r="BD1172" i="2"/>
  <c r="BC1172" i="2"/>
  <c r="BE1171" i="2"/>
  <c r="BE1186" i="2"/>
  <c r="BD1171" i="2"/>
  <c r="BD1186" i="2"/>
  <c r="BC1171" i="2"/>
  <c r="BC1186" i="2"/>
  <c r="BE1170" i="2"/>
  <c r="BE1185" i="2"/>
  <c r="BD1170" i="2"/>
  <c r="BD1185" i="2"/>
  <c r="BC1170" i="2"/>
  <c r="BC1185" i="2"/>
  <c r="BE1169" i="2"/>
  <c r="BE1184" i="2"/>
  <c r="BD1169" i="2"/>
  <c r="BD1184" i="2"/>
  <c r="BC1169" i="2"/>
  <c r="BC1184" i="2"/>
  <c r="BE1168" i="2"/>
  <c r="BE1183" i="2"/>
  <c r="BD1168" i="2"/>
  <c r="BD1183" i="2"/>
  <c r="BC1168" i="2"/>
  <c r="BC1183" i="2"/>
  <c r="BE1167" i="2"/>
  <c r="BE1182" i="2"/>
  <c r="BD1167" i="2"/>
  <c r="BD1182" i="2"/>
  <c r="BC1167" i="2"/>
  <c r="BC1182" i="2"/>
  <c r="BE1166" i="2"/>
  <c r="BE1181" i="2"/>
  <c r="BD1166" i="2"/>
  <c r="BD1181" i="2"/>
  <c r="BC1166" i="2"/>
  <c r="BC1181" i="2"/>
  <c r="BE1165" i="2"/>
  <c r="BE1180" i="2"/>
  <c r="BD1165" i="2"/>
  <c r="BD1180" i="2"/>
  <c r="BC1165" i="2"/>
  <c r="BC1180" i="2"/>
  <c r="BE1163" i="2"/>
  <c r="BD1163" i="2"/>
  <c r="BC1163" i="2"/>
  <c r="BE1162" i="2"/>
  <c r="BD1162" i="2"/>
  <c r="BC1162" i="2"/>
  <c r="BE1161" i="2"/>
  <c r="BD1161" i="2"/>
  <c r="BC1161" i="2"/>
  <c r="AY1172" i="2"/>
  <c r="AY1171" i="2"/>
  <c r="AY1186" i="2"/>
  <c r="AY1170" i="2"/>
  <c r="AY1185" i="2"/>
  <c r="AY1169" i="2"/>
  <c r="AY1184" i="2"/>
  <c r="AY1168" i="2"/>
  <c r="AY1183" i="2"/>
  <c r="AY1167" i="2"/>
  <c r="AY1182" i="2"/>
  <c r="AY1166" i="2"/>
  <c r="AY1181" i="2"/>
  <c r="AY1165" i="2"/>
  <c r="AY1180" i="2"/>
  <c r="AY1163" i="2"/>
  <c r="AY1162" i="2"/>
  <c r="AY1161" i="2"/>
  <c r="AV1172" i="2"/>
  <c r="AV1171" i="2"/>
  <c r="AV1186" i="2"/>
  <c r="AV1170" i="2"/>
  <c r="AV1185" i="2"/>
  <c r="AV1169" i="2"/>
  <c r="AV1184" i="2"/>
  <c r="AV1168" i="2"/>
  <c r="AV1183" i="2"/>
  <c r="AV1167" i="2"/>
  <c r="AV1182" i="2"/>
  <c r="AV1166" i="2"/>
  <c r="AV1181" i="2"/>
  <c r="AV1165" i="2"/>
  <c r="AV1180" i="2"/>
  <c r="AV1163" i="2"/>
  <c r="AV1162" i="2"/>
  <c r="AV1161" i="2"/>
  <c r="BD1134" i="2"/>
  <c r="BE1134" i="2"/>
  <c r="BC1134" i="2"/>
  <c r="AY1134" i="2"/>
  <c r="AV1134" i="2"/>
  <c r="BE1022" i="2"/>
  <c r="BD1022" i="2"/>
  <c r="BC1022" i="2"/>
  <c r="BE1021" i="2"/>
  <c r="BE1036" i="2"/>
  <c r="BD1021" i="2"/>
  <c r="BD1036" i="2"/>
  <c r="BC1021" i="2"/>
  <c r="BC1036" i="2"/>
  <c r="BE1020" i="2"/>
  <c r="BE1035" i="2"/>
  <c r="BD1020" i="2"/>
  <c r="BD1035" i="2"/>
  <c r="BC1020" i="2"/>
  <c r="BC1035" i="2"/>
  <c r="BE1019" i="2"/>
  <c r="BE1034" i="2"/>
  <c r="BD1019" i="2"/>
  <c r="BD1034" i="2"/>
  <c r="BC1019" i="2"/>
  <c r="BC1034" i="2"/>
  <c r="BE1018" i="2"/>
  <c r="BE1033" i="2"/>
  <c r="BD1018" i="2"/>
  <c r="BD1033" i="2"/>
  <c r="BC1018" i="2"/>
  <c r="BC1033" i="2"/>
  <c r="BE1017" i="2"/>
  <c r="BE1032" i="2"/>
  <c r="BD1017" i="2"/>
  <c r="BD1032" i="2"/>
  <c r="BC1017" i="2"/>
  <c r="BC1032" i="2"/>
  <c r="BE1016" i="2"/>
  <c r="BE1031" i="2"/>
  <c r="BD1016" i="2"/>
  <c r="BD1031" i="2"/>
  <c r="BC1016" i="2"/>
  <c r="BC1031" i="2"/>
  <c r="BE1015" i="2"/>
  <c r="BE1030" i="2"/>
  <c r="BD1015" i="2"/>
  <c r="BD1030" i="2"/>
  <c r="BC1015" i="2"/>
  <c r="BC1030" i="2"/>
  <c r="BE1013" i="2"/>
  <c r="BD1013" i="2"/>
  <c r="BC1013" i="2"/>
  <c r="BE1012" i="2"/>
  <c r="BD1012" i="2"/>
  <c r="BC1012" i="2"/>
  <c r="BE1011" i="2"/>
  <c r="BD1011" i="2"/>
  <c r="BC1011" i="2"/>
  <c r="AY1022" i="2"/>
  <c r="AY1021" i="2"/>
  <c r="AY1036" i="2"/>
  <c r="AY1020" i="2"/>
  <c r="AY1035" i="2"/>
  <c r="AY1019" i="2"/>
  <c r="AY1034" i="2"/>
  <c r="AY1018" i="2"/>
  <c r="AY1033" i="2"/>
  <c r="AY1017" i="2"/>
  <c r="AY1032" i="2"/>
  <c r="AY1016" i="2"/>
  <c r="AY1031" i="2"/>
  <c r="AY1015" i="2"/>
  <c r="AY1030" i="2"/>
  <c r="AY1013" i="2"/>
  <c r="AY1012" i="2"/>
  <c r="AV1022" i="2"/>
  <c r="AV1021" i="2"/>
  <c r="AV1036" i="2"/>
  <c r="AV1020" i="2"/>
  <c r="AV1035" i="2"/>
  <c r="AV1019" i="2"/>
  <c r="AV1034" i="2"/>
  <c r="AV1018" i="2"/>
  <c r="AV1033" i="2"/>
  <c r="AV1017" i="2"/>
  <c r="AV1032" i="2"/>
  <c r="AV1016" i="2"/>
  <c r="AV1031" i="2"/>
  <c r="AV1015" i="2"/>
  <c r="AV1030" i="2"/>
  <c r="AV1013" i="2"/>
  <c r="AV1012" i="2"/>
  <c r="AY1011" i="2"/>
  <c r="BE992" i="2"/>
  <c r="BD992" i="2"/>
  <c r="BC992" i="2"/>
  <c r="BE991" i="2"/>
  <c r="BE1006" i="2"/>
  <c r="BD991" i="2"/>
  <c r="BD1006" i="2"/>
  <c r="BC991" i="2"/>
  <c r="BC1006" i="2"/>
  <c r="BE990" i="2"/>
  <c r="BE1005" i="2"/>
  <c r="BD990" i="2"/>
  <c r="BD1005" i="2"/>
  <c r="BC990" i="2"/>
  <c r="BC1005" i="2"/>
  <c r="BE989" i="2"/>
  <c r="BE1004" i="2"/>
  <c r="BD989" i="2"/>
  <c r="BD1004" i="2"/>
  <c r="BC989" i="2"/>
  <c r="BC1004" i="2"/>
  <c r="BE988" i="2"/>
  <c r="BE1003" i="2"/>
  <c r="BD988" i="2"/>
  <c r="BD1003" i="2"/>
  <c r="BC988" i="2"/>
  <c r="BC1003" i="2"/>
  <c r="BE987" i="2"/>
  <c r="BE1002" i="2"/>
  <c r="BD987" i="2"/>
  <c r="BD1002" i="2"/>
  <c r="BC987" i="2"/>
  <c r="BC1002" i="2"/>
  <c r="BE986" i="2"/>
  <c r="BE1001" i="2"/>
  <c r="BD986" i="2"/>
  <c r="BD1001" i="2"/>
  <c r="BC986" i="2"/>
  <c r="BC1001" i="2"/>
  <c r="BE985" i="2"/>
  <c r="BE1000" i="2"/>
  <c r="BD985" i="2"/>
  <c r="BD1000" i="2"/>
  <c r="BC985" i="2"/>
  <c r="BC1000" i="2"/>
  <c r="BE983" i="2"/>
  <c r="BD983" i="2"/>
  <c r="BC983" i="2"/>
  <c r="BE982" i="2"/>
  <c r="BD982" i="2"/>
  <c r="BC982" i="2"/>
  <c r="BE981" i="2"/>
  <c r="BD981" i="2"/>
  <c r="AY994" i="2"/>
  <c r="AY993" i="2"/>
  <c r="AY992" i="2"/>
  <c r="AY991" i="2"/>
  <c r="AY1006" i="2"/>
  <c r="AY990" i="2"/>
  <c r="AY1005" i="2"/>
  <c r="AY989" i="2"/>
  <c r="AY1004" i="2"/>
  <c r="AY988" i="2"/>
  <c r="AY1003" i="2"/>
  <c r="AY987" i="2"/>
  <c r="AY1002" i="2"/>
  <c r="AY986" i="2"/>
  <c r="AY1001" i="2"/>
  <c r="AY985" i="2"/>
  <c r="AY1000" i="2"/>
  <c r="AY983" i="2"/>
  <c r="AY982" i="2"/>
  <c r="AV994" i="2"/>
  <c r="AV993" i="2"/>
  <c r="AV992" i="2"/>
  <c r="AV991" i="2"/>
  <c r="AV1006" i="2"/>
  <c r="AV990" i="2"/>
  <c r="AV1005" i="2"/>
  <c r="AV989" i="2"/>
  <c r="AV1004" i="2"/>
  <c r="AV988" i="2"/>
  <c r="AV1003" i="2"/>
  <c r="AV987" i="2"/>
  <c r="AV1002" i="2"/>
  <c r="AV986" i="2"/>
  <c r="AV1001" i="2"/>
  <c r="AV985" i="2"/>
  <c r="AV1000" i="2"/>
  <c r="AV983" i="2"/>
  <c r="AV982" i="2"/>
  <c r="BE964" i="2"/>
  <c r="BD964" i="2"/>
  <c r="BC964" i="2"/>
  <c r="BE963" i="2"/>
  <c r="BD963" i="2"/>
  <c r="BC963" i="2"/>
  <c r="BE962" i="2"/>
  <c r="BD962" i="2"/>
  <c r="BC962" i="2"/>
  <c r="BE961" i="2"/>
  <c r="BE976" i="2"/>
  <c r="BD961" i="2"/>
  <c r="BD976" i="2"/>
  <c r="BC961" i="2"/>
  <c r="BC976" i="2"/>
  <c r="BE960" i="2"/>
  <c r="BE975" i="2"/>
  <c r="BD960" i="2"/>
  <c r="BD975" i="2"/>
  <c r="BC960" i="2"/>
  <c r="BC975" i="2"/>
  <c r="BE959" i="2"/>
  <c r="BE974" i="2"/>
  <c r="BD959" i="2"/>
  <c r="BD974" i="2"/>
  <c r="BC959" i="2"/>
  <c r="BC974" i="2"/>
  <c r="BE958" i="2"/>
  <c r="BE973" i="2"/>
  <c r="BD958" i="2"/>
  <c r="BD973" i="2"/>
  <c r="BC958" i="2"/>
  <c r="BC973" i="2"/>
  <c r="BE957" i="2"/>
  <c r="BE972" i="2"/>
  <c r="BD957" i="2"/>
  <c r="BD972" i="2"/>
  <c r="BC957" i="2"/>
  <c r="BC972" i="2"/>
  <c r="BE956" i="2"/>
  <c r="BE971" i="2"/>
  <c r="BD956" i="2"/>
  <c r="BD971" i="2"/>
  <c r="BC956" i="2"/>
  <c r="BC971" i="2"/>
  <c r="BE955" i="2"/>
  <c r="BE970" i="2"/>
  <c r="BD955" i="2"/>
  <c r="BD970" i="2"/>
  <c r="BC955" i="2"/>
  <c r="BC970" i="2"/>
  <c r="BE953" i="2"/>
  <c r="BD953" i="2"/>
  <c r="BC953" i="2"/>
  <c r="BE952" i="2"/>
  <c r="BD952" i="2"/>
  <c r="BC952" i="2"/>
  <c r="BE951" i="2"/>
  <c r="BD951" i="2"/>
  <c r="BC951" i="2"/>
  <c r="AY964" i="2"/>
  <c r="AY963" i="2"/>
  <c r="AY962" i="2"/>
  <c r="AY961" i="2"/>
  <c r="AY976" i="2"/>
  <c r="AY960" i="2"/>
  <c r="AY975" i="2"/>
  <c r="AY959" i="2"/>
  <c r="AY974" i="2"/>
  <c r="AY958" i="2"/>
  <c r="AY973" i="2"/>
  <c r="AY957" i="2"/>
  <c r="AY972" i="2"/>
  <c r="AY956" i="2"/>
  <c r="AY971" i="2"/>
  <c r="AY955" i="2"/>
  <c r="AY970" i="2"/>
  <c r="AY953" i="2"/>
  <c r="AY952" i="2"/>
  <c r="AY951" i="2"/>
  <c r="AV964" i="2"/>
  <c r="AV963" i="2"/>
  <c r="AV962" i="2"/>
  <c r="AV961" i="2"/>
  <c r="AV976" i="2"/>
  <c r="AV960" i="2"/>
  <c r="AV975" i="2"/>
  <c r="AV959" i="2"/>
  <c r="AV974" i="2"/>
  <c r="AV958" i="2"/>
  <c r="AV973" i="2"/>
  <c r="AV957" i="2"/>
  <c r="AV972" i="2"/>
  <c r="AV956" i="2"/>
  <c r="AV971" i="2"/>
  <c r="AV955" i="2"/>
  <c r="AV970" i="2"/>
  <c r="AV953" i="2"/>
  <c r="AV952" i="2"/>
  <c r="BE924" i="2"/>
  <c r="BE947" i="2"/>
  <c r="BE935" i="2"/>
  <c r="BD924" i="2"/>
  <c r="BD947" i="2"/>
  <c r="BD935" i="2"/>
  <c r="BC924" i="2"/>
  <c r="BC947" i="2"/>
  <c r="BC935" i="2"/>
  <c r="AY924" i="2"/>
  <c r="AY947" i="2"/>
  <c r="AY935" i="2"/>
  <c r="AV924" i="2"/>
  <c r="AV947" i="2"/>
  <c r="AV935" i="2"/>
  <c r="BC981" i="2"/>
  <c r="AY1074" i="2"/>
  <c r="AY1097" i="2"/>
  <c r="AY1085" i="2"/>
  <c r="BC1074" i="2"/>
  <c r="BC1097" i="2"/>
  <c r="BC1085" i="2"/>
  <c r="BE1074" i="2"/>
  <c r="BE1097" i="2"/>
  <c r="BE1085" i="2"/>
  <c r="BD1074" i="2"/>
  <c r="BD1097" i="2"/>
  <c r="BD1085" i="2"/>
  <c r="AV1074" i="2"/>
  <c r="AV1097" i="2"/>
  <c r="AV1085" i="2"/>
  <c r="BD1299" i="2"/>
  <c r="BD1322" i="2"/>
  <c r="BD1310" i="2"/>
  <c r="BD1292" i="2"/>
  <c r="BD1280" i="2"/>
  <c r="AV1299" i="2"/>
  <c r="AV1322" i="2"/>
  <c r="AV1310" i="2"/>
  <c r="AV1292" i="2"/>
  <c r="AV1280" i="2"/>
  <c r="AY1299" i="2"/>
  <c r="AY1322" i="2"/>
  <c r="AY1310" i="2"/>
  <c r="AY1292" i="2"/>
  <c r="AY1280" i="2"/>
  <c r="BC1299" i="2"/>
  <c r="BC1322" i="2"/>
  <c r="BC1310" i="2"/>
  <c r="BC1292" i="2"/>
  <c r="BC1280" i="2"/>
  <c r="AV1461" i="2"/>
  <c r="BE1299" i="2"/>
  <c r="BE1322" i="2"/>
  <c r="BE1310" i="2"/>
  <c r="BE1292" i="2"/>
  <c r="BE1280" i="2"/>
  <c r="AY1164" i="2"/>
  <c r="AY1187" i="2"/>
  <c r="AY1175" i="2"/>
  <c r="AY1157" i="2"/>
  <c r="AY1145" i="2"/>
  <c r="BC1164" i="2"/>
  <c r="BC1187" i="2"/>
  <c r="BC1175" i="2"/>
  <c r="BC1157" i="2"/>
  <c r="BC1145" i="2"/>
  <c r="BE1164" i="2"/>
  <c r="BE1187" i="2"/>
  <c r="BE1175" i="2"/>
  <c r="BE1157" i="2"/>
  <c r="BE1145" i="2"/>
  <c r="BD1164" i="2"/>
  <c r="BD1187" i="2"/>
  <c r="BD1175" i="2"/>
  <c r="BD1157" i="2"/>
  <c r="BD1145" i="2"/>
  <c r="AV1164" i="2"/>
  <c r="AV1187" i="2"/>
  <c r="AV1175" i="2"/>
  <c r="AV1157" i="2"/>
  <c r="AV1145" i="2"/>
  <c r="BE984" i="2"/>
  <c r="BE1007" i="2"/>
  <c r="BE995" i="2"/>
  <c r="BE1044" i="2"/>
  <c r="BE1067" i="2"/>
  <c r="BE1055" i="2"/>
  <c r="AV984" i="2"/>
  <c r="AV1007" i="2"/>
  <c r="AV995" i="2"/>
  <c r="AV1044" i="2"/>
  <c r="AV1067" i="2"/>
  <c r="AV1055" i="2"/>
  <c r="AY1014" i="2"/>
  <c r="AY1037" i="2"/>
  <c r="AY1025" i="2"/>
  <c r="AY1044" i="2"/>
  <c r="AY1067" i="2"/>
  <c r="AY1055" i="2"/>
  <c r="BC984" i="2"/>
  <c r="BC1007" i="2"/>
  <c r="BC995" i="2"/>
  <c r="BC1044" i="2"/>
  <c r="BC1067" i="2"/>
  <c r="BC1055" i="2"/>
  <c r="BD984" i="2"/>
  <c r="BD1007" i="2"/>
  <c r="BD995" i="2"/>
  <c r="BD1044" i="2"/>
  <c r="BD1067" i="2"/>
  <c r="BD1055" i="2"/>
  <c r="AV954" i="2"/>
  <c r="AV977" i="2"/>
  <c r="AV965" i="2"/>
  <c r="BD954" i="2"/>
  <c r="BD977" i="2"/>
  <c r="BD965" i="2"/>
  <c r="AV1014" i="2"/>
  <c r="AV1037" i="2"/>
  <c r="AV1025" i="2"/>
  <c r="BC1014" i="2"/>
  <c r="BC1037" i="2"/>
  <c r="BC1025" i="2"/>
  <c r="BD1014" i="2"/>
  <c r="BD1037" i="2"/>
  <c r="BD1025" i="2"/>
  <c r="BC954" i="2"/>
  <c r="BC977" i="2"/>
  <c r="BC965" i="2"/>
  <c r="AY984" i="2"/>
  <c r="AY1007" i="2"/>
  <c r="AY995" i="2"/>
  <c r="BE1014" i="2"/>
  <c r="BE1037" i="2"/>
  <c r="BE1025" i="2"/>
  <c r="BE954" i="2"/>
  <c r="BE977" i="2"/>
  <c r="BE965" i="2"/>
  <c r="AY954" i="2"/>
  <c r="AY977" i="2"/>
  <c r="AY965" i="2"/>
  <c r="P733" i="9"/>
  <c r="O733" i="9"/>
  <c r="N733" i="9"/>
  <c r="M733" i="9"/>
  <c r="J733" i="9"/>
  <c r="H733" i="9"/>
  <c r="G733" i="9"/>
  <c r="F733" i="9"/>
  <c r="E733" i="9"/>
  <c r="D733" i="9"/>
  <c r="C733" i="9"/>
  <c r="B733" i="9"/>
  <c r="J732" i="9"/>
  <c r="H732" i="9"/>
  <c r="H734" i="9" s="1"/>
  <c r="G732" i="9"/>
  <c r="F732" i="9"/>
  <c r="E732" i="9"/>
  <c r="D732" i="9"/>
  <c r="C732" i="9"/>
  <c r="B732" i="9"/>
  <c r="J731" i="9"/>
  <c r="H731" i="9"/>
  <c r="G731" i="9"/>
  <c r="F731" i="9"/>
  <c r="E731" i="9"/>
  <c r="D731" i="9"/>
  <c r="C731" i="9"/>
  <c r="B731" i="9"/>
  <c r="J730" i="9"/>
  <c r="H730" i="9"/>
  <c r="G730" i="9"/>
  <c r="F730" i="9"/>
  <c r="E730" i="9"/>
  <c r="D730" i="9"/>
  <c r="C730" i="9"/>
  <c r="B730" i="9"/>
  <c r="J729" i="9"/>
  <c r="H729" i="9"/>
  <c r="G729" i="9"/>
  <c r="F729" i="9"/>
  <c r="E729" i="9"/>
  <c r="D729" i="9"/>
  <c r="C729" i="9"/>
  <c r="B729" i="9"/>
  <c r="J728" i="9"/>
  <c r="H728" i="9"/>
  <c r="G728" i="9"/>
  <c r="F728" i="9"/>
  <c r="E728" i="9"/>
  <c r="D728" i="9"/>
  <c r="C728" i="9"/>
  <c r="B728" i="9"/>
  <c r="J727" i="9"/>
  <c r="H727" i="9"/>
  <c r="G727" i="9"/>
  <c r="F727" i="9"/>
  <c r="E727" i="9"/>
  <c r="D727" i="9"/>
  <c r="C727" i="9"/>
  <c r="B727" i="9"/>
  <c r="J726" i="9"/>
  <c r="H726" i="9"/>
  <c r="G726" i="9"/>
  <c r="F726" i="9"/>
  <c r="E726" i="9"/>
  <c r="D726" i="9"/>
  <c r="C726" i="9"/>
  <c r="B726" i="9"/>
  <c r="J725" i="9"/>
  <c r="H725" i="9"/>
  <c r="G725" i="9"/>
  <c r="F725" i="9"/>
  <c r="E725" i="9"/>
  <c r="D725" i="9"/>
  <c r="C725" i="9"/>
  <c r="B725" i="9"/>
  <c r="J724" i="9"/>
  <c r="H724" i="9"/>
  <c r="G724" i="9"/>
  <c r="F724" i="9"/>
  <c r="E724" i="9"/>
  <c r="D724" i="9"/>
  <c r="C724" i="9"/>
  <c r="B724" i="9"/>
  <c r="J723" i="9"/>
  <c r="H723" i="9"/>
  <c r="G723" i="9"/>
  <c r="F723" i="9"/>
  <c r="E723" i="9"/>
  <c r="D723" i="9"/>
  <c r="C723" i="9"/>
  <c r="B723" i="9"/>
  <c r="J722" i="9"/>
  <c r="H722" i="9"/>
  <c r="G722" i="9"/>
  <c r="F722" i="9"/>
  <c r="E722" i="9"/>
  <c r="D722" i="9"/>
  <c r="C722" i="9"/>
  <c r="B722" i="9"/>
  <c r="J721" i="9"/>
  <c r="H721" i="9"/>
  <c r="G721" i="9"/>
  <c r="F721" i="9"/>
  <c r="E721" i="9"/>
  <c r="D721" i="9"/>
  <c r="C721" i="9"/>
  <c r="B721" i="9"/>
  <c r="J720" i="9"/>
  <c r="H720" i="9"/>
  <c r="G720" i="9"/>
  <c r="F720" i="9"/>
  <c r="E720" i="9"/>
  <c r="D720" i="9"/>
  <c r="C720" i="9"/>
  <c r="B720" i="9"/>
  <c r="J719" i="9"/>
  <c r="H719" i="9"/>
  <c r="G719" i="9"/>
  <c r="F719" i="9"/>
  <c r="E719" i="9"/>
  <c r="D719" i="9"/>
  <c r="C719" i="9"/>
  <c r="B719" i="9"/>
  <c r="J718" i="9"/>
  <c r="H718" i="9"/>
  <c r="G718" i="9"/>
  <c r="F718" i="9"/>
  <c r="E718" i="9"/>
  <c r="D718" i="9"/>
  <c r="C718" i="9"/>
  <c r="B718" i="9"/>
  <c r="J717" i="9"/>
  <c r="H717" i="9"/>
  <c r="G717" i="9"/>
  <c r="F717" i="9"/>
  <c r="E717" i="9"/>
  <c r="D717" i="9"/>
  <c r="C717" i="9"/>
  <c r="B717" i="9"/>
  <c r="J716" i="9"/>
  <c r="H716" i="9"/>
  <c r="G716" i="9"/>
  <c r="F716" i="9"/>
  <c r="E716" i="9"/>
  <c r="D716" i="9"/>
  <c r="C716" i="9"/>
  <c r="B716" i="9"/>
  <c r="J715" i="9"/>
  <c r="H715" i="9"/>
  <c r="G715" i="9"/>
  <c r="F715" i="9"/>
  <c r="E715" i="9"/>
  <c r="D715" i="9"/>
  <c r="C715" i="9"/>
  <c r="B715" i="9"/>
  <c r="J714" i="9"/>
  <c r="H714" i="9"/>
  <c r="G714" i="9"/>
  <c r="F714" i="9"/>
  <c r="E714" i="9"/>
  <c r="D714" i="9"/>
  <c r="C714" i="9"/>
  <c r="B714" i="9"/>
  <c r="J713" i="9"/>
  <c r="H713" i="9"/>
  <c r="G713" i="9"/>
  <c r="F713" i="9"/>
  <c r="E713" i="9"/>
  <c r="D713" i="9"/>
  <c r="C713" i="9"/>
  <c r="B713" i="9"/>
  <c r="J712" i="9"/>
  <c r="H712" i="9"/>
  <c r="G712" i="9"/>
  <c r="F712" i="9"/>
  <c r="E712" i="9"/>
  <c r="D712" i="9"/>
  <c r="C712" i="9"/>
  <c r="B712" i="9"/>
  <c r="J711" i="9"/>
  <c r="H711" i="9"/>
  <c r="G711" i="9"/>
  <c r="F711" i="9"/>
  <c r="E711" i="9"/>
  <c r="D711" i="9"/>
  <c r="C711" i="9"/>
  <c r="B711" i="9"/>
  <c r="J710" i="9"/>
  <c r="H710" i="9"/>
  <c r="G710" i="9"/>
  <c r="F710" i="9"/>
  <c r="E710" i="9"/>
  <c r="D710" i="9"/>
  <c r="C710" i="9"/>
  <c r="B710" i="9"/>
  <c r="J709" i="9"/>
  <c r="H709" i="9"/>
  <c r="G709" i="9"/>
  <c r="F709" i="9"/>
  <c r="E709" i="9"/>
  <c r="D709" i="9"/>
  <c r="C709" i="9"/>
  <c r="B709" i="9"/>
  <c r="J708" i="9"/>
  <c r="H708" i="9"/>
  <c r="G708" i="9"/>
  <c r="F708" i="9"/>
  <c r="E708" i="9"/>
  <c r="D708" i="9"/>
  <c r="C708" i="9"/>
  <c r="B708" i="9"/>
  <c r="J707" i="9"/>
  <c r="H707" i="9"/>
  <c r="G707" i="9"/>
  <c r="F707" i="9"/>
  <c r="E707" i="9"/>
  <c r="D707" i="9"/>
  <c r="C707" i="9"/>
  <c r="B707" i="9"/>
  <c r="J706" i="9"/>
  <c r="H706" i="9"/>
  <c r="G706" i="9"/>
  <c r="F706" i="9"/>
  <c r="E706" i="9"/>
  <c r="D706" i="9"/>
  <c r="C706" i="9"/>
  <c r="B706" i="9"/>
  <c r="J705" i="9"/>
  <c r="H705" i="9"/>
  <c r="G705" i="9"/>
  <c r="F705" i="9"/>
  <c r="E705" i="9"/>
  <c r="D705" i="9"/>
  <c r="C705" i="9"/>
  <c r="B705" i="9"/>
  <c r="J704" i="9"/>
  <c r="H704" i="9"/>
  <c r="G704" i="9"/>
  <c r="F704" i="9"/>
  <c r="E704" i="9"/>
  <c r="D704" i="9"/>
  <c r="C704" i="9"/>
  <c r="B704" i="9"/>
  <c r="J703" i="9"/>
  <c r="H703" i="9"/>
  <c r="G703" i="9"/>
  <c r="F703" i="9"/>
  <c r="E703" i="9"/>
  <c r="D703" i="9"/>
  <c r="C703" i="9"/>
  <c r="B703" i="9"/>
  <c r="J702" i="9"/>
  <c r="H702" i="9"/>
  <c r="G702" i="9"/>
  <c r="F702" i="9"/>
  <c r="E702" i="9"/>
  <c r="D702" i="9"/>
  <c r="C702" i="9"/>
  <c r="B702" i="9"/>
  <c r="J701" i="9"/>
  <c r="H701" i="9"/>
  <c r="G701" i="9"/>
  <c r="F701" i="9"/>
  <c r="E701" i="9"/>
  <c r="D701" i="9"/>
  <c r="C701" i="9"/>
  <c r="B701" i="9"/>
  <c r="J700" i="9"/>
  <c r="H700" i="9"/>
  <c r="G700" i="9"/>
  <c r="F700" i="9"/>
  <c r="E700" i="9"/>
  <c r="D700" i="9"/>
  <c r="C700" i="9"/>
  <c r="B700" i="9"/>
  <c r="J699" i="9"/>
  <c r="H699" i="9"/>
  <c r="G699" i="9"/>
  <c r="F699" i="9"/>
  <c r="E699" i="9"/>
  <c r="D699" i="9"/>
  <c r="C699" i="9"/>
  <c r="B699" i="9"/>
  <c r="J698" i="9"/>
  <c r="H698" i="9"/>
  <c r="G698" i="9"/>
  <c r="F698" i="9"/>
  <c r="E698" i="9"/>
  <c r="D698" i="9"/>
  <c r="C698" i="9"/>
  <c r="B698" i="9"/>
  <c r="J697" i="9"/>
  <c r="H697" i="9"/>
  <c r="G697" i="9"/>
  <c r="F697" i="9"/>
  <c r="E697" i="9"/>
  <c r="D697" i="9"/>
  <c r="C697" i="9"/>
  <c r="B697" i="9"/>
  <c r="J696" i="9"/>
  <c r="H696" i="9"/>
  <c r="G696" i="9"/>
  <c r="F696" i="9"/>
  <c r="E696" i="9"/>
  <c r="D696" i="9"/>
  <c r="C696" i="9"/>
  <c r="B696" i="9"/>
  <c r="J695" i="9"/>
  <c r="H695" i="9"/>
  <c r="G695" i="9"/>
  <c r="F695" i="9"/>
  <c r="E695" i="9"/>
  <c r="D695" i="9"/>
  <c r="C695" i="9"/>
  <c r="B695" i="9"/>
  <c r="J694" i="9"/>
  <c r="H694" i="9"/>
  <c r="G694" i="9"/>
  <c r="F694" i="9"/>
  <c r="E694" i="9"/>
  <c r="D694" i="9"/>
  <c r="C694" i="9"/>
  <c r="B694" i="9"/>
  <c r="J693" i="9"/>
  <c r="H693" i="9"/>
  <c r="G693" i="9"/>
  <c r="F693" i="9"/>
  <c r="E693" i="9"/>
  <c r="D693" i="9"/>
  <c r="C693" i="9"/>
  <c r="B693" i="9"/>
  <c r="J692" i="9"/>
  <c r="H692" i="9"/>
  <c r="G692" i="9"/>
  <c r="F692" i="9"/>
  <c r="E692" i="9"/>
  <c r="D692" i="9"/>
  <c r="C692" i="9"/>
  <c r="B692" i="9"/>
  <c r="J691" i="9"/>
  <c r="H691" i="9"/>
  <c r="G691" i="9"/>
  <c r="F691" i="9"/>
  <c r="E691" i="9"/>
  <c r="D691" i="9"/>
  <c r="C691" i="9"/>
  <c r="B691" i="9"/>
  <c r="J690" i="9"/>
  <c r="H690" i="9"/>
  <c r="G690" i="9"/>
  <c r="F690" i="9"/>
  <c r="E690" i="9"/>
  <c r="D690" i="9"/>
  <c r="C690" i="9"/>
  <c r="B690" i="9"/>
  <c r="J689" i="9"/>
  <c r="H689" i="9"/>
  <c r="G689" i="9"/>
  <c r="F689" i="9"/>
  <c r="E689" i="9"/>
  <c r="D689" i="9"/>
  <c r="C689" i="9"/>
  <c r="B689" i="9"/>
  <c r="J688" i="9"/>
  <c r="H688" i="9"/>
  <c r="G688" i="9"/>
  <c r="F688" i="9"/>
  <c r="E688" i="9"/>
  <c r="D688" i="9"/>
  <c r="C688" i="9"/>
  <c r="B688" i="9"/>
  <c r="J687" i="9"/>
  <c r="H687" i="9"/>
  <c r="G687" i="9"/>
  <c r="F687" i="9"/>
  <c r="E687" i="9"/>
  <c r="D687" i="9"/>
  <c r="C687" i="9"/>
  <c r="B687" i="9"/>
  <c r="J686" i="9"/>
  <c r="H686" i="9"/>
  <c r="G686" i="9"/>
  <c r="F686" i="9"/>
  <c r="E686" i="9"/>
  <c r="D686" i="9"/>
  <c r="C686" i="9"/>
  <c r="B686" i="9"/>
  <c r="J685" i="9"/>
  <c r="H685" i="9"/>
  <c r="G685" i="9"/>
  <c r="F685" i="9"/>
  <c r="E685" i="9"/>
  <c r="D685" i="9"/>
  <c r="C685" i="9"/>
  <c r="B685" i="9"/>
  <c r="J684" i="9"/>
  <c r="H684" i="9"/>
  <c r="G684" i="9"/>
  <c r="F684" i="9"/>
  <c r="E684" i="9"/>
  <c r="D684" i="9"/>
  <c r="C684" i="9"/>
  <c r="B684" i="9"/>
  <c r="J683" i="9"/>
  <c r="H683" i="9"/>
  <c r="G683" i="9"/>
  <c r="F683" i="9"/>
  <c r="E683" i="9"/>
  <c r="D683" i="9"/>
  <c r="C683" i="9"/>
  <c r="B683" i="9"/>
  <c r="J682" i="9"/>
  <c r="H682" i="9"/>
  <c r="G682" i="9"/>
  <c r="F682" i="9"/>
  <c r="E682" i="9"/>
  <c r="D682" i="9"/>
  <c r="C682" i="9"/>
  <c r="B682" i="9"/>
  <c r="J681" i="9"/>
  <c r="H681" i="9"/>
  <c r="G681" i="9"/>
  <c r="F681" i="9"/>
  <c r="E681" i="9"/>
  <c r="D681" i="9"/>
  <c r="C681" i="9"/>
  <c r="B681" i="9"/>
  <c r="J680" i="9"/>
  <c r="H680" i="9"/>
  <c r="G680" i="9"/>
  <c r="F680" i="9"/>
  <c r="E680" i="9"/>
  <c r="D680" i="9"/>
  <c r="C680" i="9"/>
  <c r="B680" i="9"/>
  <c r="J679" i="9"/>
  <c r="H679" i="9"/>
  <c r="G679" i="9"/>
  <c r="F679" i="9"/>
  <c r="E679" i="9"/>
  <c r="D679" i="9"/>
  <c r="C679" i="9"/>
  <c r="B679" i="9"/>
  <c r="J678" i="9"/>
  <c r="H678" i="9"/>
  <c r="G678" i="9"/>
  <c r="F678" i="9"/>
  <c r="E678" i="9"/>
  <c r="D678" i="9"/>
  <c r="C678" i="9"/>
  <c r="B678" i="9"/>
  <c r="J677" i="9"/>
  <c r="H677" i="9"/>
  <c r="G677" i="9"/>
  <c r="F677" i="9"/>
  <c r="E677" i="9"/>
  <c r="D677" i="9"/>
  <c r="C677" i="9"/>
  <c r="B677" i="9"/>
  <c r="J676" i="9"/>
  <c r="H676" i="9"/>
  <c r="G676" i="9"/>
  <c r="F676" i="9"/>
  <c r="E676" i="9"/>
  <c r="D676" i="9"/>
  <c r="C676" i="9"/>
  <c r="B676" i="9"/>
  <c r="J675" i="9"/>
  <c r="H675" i="9"/>
  <c r="G675" i="9"/>
  <c r="F675" i="9"/>
  <c r="E675" i="9"/>
  <c r="D675" i="9"/>
  <c r="C675" i="9"/>
  <c r="B675" i="9"/>
  <c r="J674" i="9"/>
  <c r="H674" i="9"/>
  <c r="G674" i="9"/>
  <c r="F674" i="9"/>
  <c r="E674" i="9"/>
  <c r="D674" i="9"/>
  <c r="C674" i="9"/>
  <c r="B674" i="9"/>
  <c r="J673" i="9"/>
  <c r="H673" i="9"/>
  <c r="G673" i="9"/>
  <c r="F673" i="9"/>
  <c r="E673" i="9"/>
  <c r="D673" i="9"/>
  <c r="C673" i="9"/>
  <c r="B673" i="9"/>
  <c r="J672" i="9"/>
  <c r="H672" i="9"/>
  <c r="G672" i="9"/>
  <c r="F672" i="9"/>
  <c r="E672" i="9"/>
  <c r="D672" i="9"/>
  <c r="C672" i="9"/>
  <c r="B672" i="9"/>
  <c r="J671" i="9"/>
  <c r="H671" i="9"/>
  <c r="G671" i="9"/>
  <c r="F671" i="9"/>
  <c r="E671" i="9"/>
  <c r="D671" i="9"/>
  <c r="C671" i="9"/>
  <c r="B671" i="9"/>
  <c r="J670" i="9"/>
  <c r="H670" i="9"/>
  <c r="G670" i="9"/>
  <c r="F670" i="9"/>
  <c r="E670" i="9"/>
  <c r="D670" i="9"/>
  <c r="C670" i="9"/>
  <c r="B670" i="9"/>
  <c r="J669" i="9"/>
  <c r="H669" i="9"/>
  <c r="G669" i="9"/>
  <c r="F669" i="9"/>
  <c r="E669" i="9"/>
  <c r="D669" i="9"/>
  <c r="C669" i="9"/>
  <c r="B669" i="9"/>
  <c r="J668" i="9"/>
  <c r="H668" i="9"/>
  <c r="G668" i="9"/>
  <c r="F668" i="9"/>
  <c r="E668" i="9"/>
  <c r="D668" i="9"/>
  <c r="C668" i="9"/>
  <c r="B668" i="9"/>
  <c r="J667" i="9"/>
  <c r="H667" i="9"/>
  <c r="G667" i="9"/>
  <c r="F667" i="9"/>
  <c r="C667" i="9"/>
  <c r="B667" i="9"/>
  <c r="J666" i="9"/>
  <c r="H666" i="9"/>
  <c r="G666" i="9"/>
  <c r="F666" i="9"/>
  <c r="C666" i="9"/>
  <c r="B666" i="9"/>
  <c r="J665" i="9"/>
  <c r="H665" i="9"/>
  <c r="G665" i="9"/>
  <c r="F665" i="9"/>
  <c r="C665" i="9"/>
  <c r="B665" i="9"/>
  <c r="J664" i="9"/>
  <c r="H664" i="9"/>
  <c r="G664" i="9"/>
  <c r="F664" i="9"/>
  <c r="E664" i="9"/>
  <c r="C664" i="9"/>
  <c r="B664" i="9"/>
  <c r="J663" i="9"/>
  <c r="H663" i="9"/>
  <c r="G663" i="9"/>
  <c r="F663" i="9"/>
  <c r="C663" i="9"/>
  <c r="B663" i="9"/>
  <c r="J662" i="9"/>
  <c r="H662" i="9"/>
  <c r="G662" i="9"/>
  <c r="F662" i="9"/>
  <c r="C662" i="9"/>
  <c r="B662" i="9"/>
  <c r="J661" i="9"/>
  <c r="H661" i="9"/>
  <c r="G661" i="9"/>
  <c r="F661" i="9"/>
  <c r="C661" i="9"/>
  <c r="B661" i="9"/>
  <c r="J660" i="9"/>
  <c r="H660" i="9"/>
  <c r="G660" i="9"/>
  <c r="F660" i="9"/>
  <c r="E660" i="9"/>
  <c r="C660" i="9"/>
  <c r="B660" i="9"/>
  <c r="J659" i="9"/>
  <c r="H659" i="9"/>
  <c r="G659" i="9"/>
  <c r="F659" i="9"/>
  <c r="C659" i="9"/>
  <c r="B659" i="9"/>
  <c r="J658" i="9"/>
  <c r="H658" i="9"/>
  <c r="G658" i="9"/>
  <c r="F658" i="9"/>
  <c r="E658" i="9"/>
  <c r="C658" i="9"/>
  <c r="B658" i="9"/>
  <c r="J657" i="9"/>
  <c r="H657" i="9"/>
  <c r="G657" i="9"/>
  <c r="F657" i="9"/>
  <c r="C657" i="9"/>
  <c r="B657" i="9"/>
  <c r="J656" i="9"/>
  <c r="H656" i="9"/>
  <c r="G656" i="9"/>
  <c r="F656" i="9"/>
  <c r="E656" i="9"/>
  <c r="C656" i="9"/>
  <c r="B656" i="9"/>
  <c r="J655" i="9"/>
  <c r="H655" i="9"/>
  <c r="G655" i="9"/>
  <c r="F655" i="9"/>
  <c r="C655" i="9"/>
  <c r="B655" i="9"/>
  <c r="J654" i="9"/>
  <c r="H654" i="9"/>
  <c r="G654" i="9"/>
  <c r="F654" i="9"/>
  <c r="C654" i="9"/>
  <c r="B654" i="9"/>
  <c r="J653" i="9"/>
  <c r="H653" i="9"/>
  <c r="G653" i="9"/>
  <c r="F653" i="9"/>
  <c r="C653" i="9"/>
  <c r="B653" i="9"/>
  <c r="J652" i="9"/>
  <c r="H652" i="9"/>
  <c r="G652" i="9"/>
  <c r="F652" i="9"/>
  <c r="E652" i="9"/>
  <c r="L652" i="9" s="1"/>
  <c r="C652" i="9"/>
  <c r="B652" i="9"/>
  <c r="J651" i="9"/>
  <c r="H651" i="9"/>
  <c r="G651" i="9"/>
  <c r="F651" i="9"/>
  <c r="C651" i="9"/>
  <c r="B651" i="9"/>
  <c r="J650" i="9"/>
  <c r="H650" i="9"/>
  <c r="G650" i="9"/>
  <c r="F650" i="9"/>
  <c r="E650" i="9"/>
  <c r="C650" i="9"/>
  <c r="B650" i="9"/>
  <c r="J649" i="9"/>
  <c r="H649" i="9"/>
  <c r="G649" i="9"/>
  <c r="F649" i="9"/>
  <c r="C649" i="9"/>
  <c r="B649" i="9"/>
  <c r="J648" i="9"/>
  <c r="H648" i="9"/>
  <c r="G648" i="9"/>
  <c r="E648" i="9"/>
  <c r="C648" i="9"/>
  <c r="B648" i="9"/>
  <c r="J647" i="9"/>
  <c r="H647" i="9"/>
  <c r="E647" i="9"/>
  <c r="C647" i="9"/>
  <c r="B647" i="9"/>
  <c r="J646" i="9"/>
  <c r="H646" i="9"/>
  <c r="G646" i="9"/>
  <c r="E646" i="9"/>
  <c r="C646" i="9"/>
  <c r="B646" i="9"/>
  <c r="J645" i="9"/>
  <c r="H645" i="9"/>
  <c r="E645" i="9"/>
  <c r="C645" i="9"/>
  <c r="B645" i="9"/>
  <c r="J644" i="9"/>
  <c r="H644" i="9"/>
  <c r="E644" i="9"/>
  <c r="C644" i="9"/>
  <c r="B644" i="9"/>
  <c r="J643" i="9"/>
  <c r="H643" i="9"/>
  <c r="E643" i="9"/>
  <c r="C643" i="9"/>
  <c r="B643" i="9"/>
  <c r="J642" i="9"/>
  <c r="H642" i="9"/>
  <c r="E642" i="9"/>
  <c r="C642" i="9"/>
  <c r="B642" i="9"/>
  <c r="J641" i="9"/>
  <c r="H641" i="9"/>
  <c r="G641" i="9"/>
  <c r="E641" i="9"/>
  <c r="C641" i="9"/>
  <c r="B641" i="9"/>
  <c r="J640" i="9"/>
  <c r="H640" i="9"/>
  <c r="G640" i="9"/>
  <c r="E640" i="9"/>
  <c r="D640" i="9"/>
  <c r="C640" i="9"/>
  <c r="B640" i="9"/>
  <c r="J639" i="9"/>
  <c r="H639" i="9"/>
  <c r="E639" i="9"/>
  <c r="D639" i="9"/>
  <c r="C639" i="9"/>
  <c r="B639" i="9"/>
  <c r="J638" i="9"/>
  <c r="H638" i="9"/>
  <c r="G638" i="9"/>
  <c r="E638" i="9"/>
  <c r="D638" i="9"/>
  <c r="C638" i="9"/>
  <c r="B638" i="9"/>
  <c r="J637" i="9"/>
  <c r="H637" i="9"/>
  <c r="E637" i="9"/>
  <c r="D637" i="9"/>
  <c r="C637" i="9"/>
  <c r="B637" i="9"/>
  <c r="J636" i="9"/>
  <c r="H636" i="9"/>
  <c r="G636" i="9"/>
  <c r="E636" i="9"/>
  <c r="D636" i="9"/>
  <c r="C636" i="9"/>
  <c r="B636" i="9"/>
  <c r="J635" i="9"/>
  <c r="H635" i="9"/>
  <c r="E635" i="9"/>
  <c r="D635" i="9"/>
  <c r="C635" i="9"/>
  <c r="B635" i="9"/>
  <c r="G627" i="9"/>
  <c r="K627" i="9" s="1"/>
  <c r="F627" i="9"/>
  <c r="C627" i="9"/>
  <c r="B627" i="9"/>
  <c r="G626" i="9"/>
  <c r="F626" i="9"/>
  <c r="C626" i="9"/>
  <c r="B626" i="9"/>
  <c r="G625" i="9"/>
  <c r="F625" i="9"/>
  <c r="C625" i="9"/>
  <c r="B625" i="9"/>
  <c r="G624" i="9"/>
  <c r="F624" i="9"/>
  <c r="C624" i="9"/>
  <c r="B624" i="9"/>
  <c r="G623" i="9"/>
  <c r="F623" i="9"/>
  <c r="C623" i="9"/>
  <c r="B623" i="9"/>
  <c r="G622" i="9"/>
  <c r="F622" i="9"/>
  <c r="C622" i="9"/>
  <c r="B622" i="9"/>
  <c r="G621" i="9"/>
  <c r="F621" i="9"/>
  <c r="C621" i="9"/>
  <c r="B621" i="9"/>
  <c r="G620" i="9"/>
  <c r="F620" i="9"/>
  <c r="C620" i="9"/>
  <c r="B620" i="9"/>
  <c r="G619" i="9"/>
  <c r="F619" i="9"/>
  <c r="C619" i="9"/>
  <c r="B619" i="9"/>
  <c r="G618" i="9"/>
  <c r="F618" i="9"/>
  <c r="C618" i="9"/>
  <c r="B618" i="9"/>
  <c r="G617" i="9"/>
  <c r="F617" i="9"/>
  <c r="C617" i="9"/>
  <c r="B617" i="9"/>
  <c r="G616" i="9"/>
  <c r="F616" i="9"/>
  <c r="C616" i="9"/>
  <c r="B616" i="9"/>
  <c r="G615" i="9"/>
  <c r="F615" i="9"/>
  <c r="C615" i="9"/>
  <c r="B615" i="9"/>
  <c r="G614" i="9"/>
  <c r="F614" i="9"/>
  <c r="C614" i="9"/>
  <c r="B614" i="9"/>
  <c r="G613" i="9"/>
  <c r="F613" i="9"/>
  <c r="C613" i="9"/>
  <c r="B613" i="9"/>
  <c r="G612" i="9"/>
  <c r="F612" i="9"/>
  <c r="C612" i="9"/>
  <c r="B612" i="9"/>
  <c r="G611" i="9"/>
  <c r="F611" i="9"/>
  <c r="C611" i="9"/>
  <c r="B611" i="9"/>
  <c r="G610" i="9"/>
  <c r="F610" i="9"/>
  <c r="C610" i="9"/>
  <c r="B610" i="9"/>
  <c r="G609" i="9"/>
  <c r="F609" i="9"/>
  <c r="C609" i="9"/>
  <c r="B609" i="9"/>
  <c r="G608" i="9"/>
  <c r="F608" i="9"/>
  <c r="C608" i="9"/>
  <c r="B608" i="9"/>
  <c r="G607" i="9"/>
  <c r="F607" i="9"/>
  <c r="C607" i="9"/>
  <c r="B607" i="9"/>
  <c r="G606" i="9"/>
  <c r="F606" i="9"/>
  <c r="C606" i="9"/>
  <c r="B606" i="9"/>
  <c r="G605" i="9"/>
  <c r="F605" i="9"/>
  <c r="C605" i="9"/>
  <c r="B605" i="9"/>
  <c r="G604" i="9"/>
  <c r="F604" i="9"/>
  <c r="C604" i="9"/>
  <c r="B604" i="9"/>
  <c r="G603" i="9"/>
  <c r="F603" i="9"/>
  <c r="C603" i="9"/>
  <c r="B603" i="9"/>
  <c r="G602" i="9"/>
  <c r="F602" i="9"/>
  <c r="C602" i="9"/>
  <c r="B602" i="9"/>
  <c r="G601" i="9"/>
  <c r="F601" i="9"/>
  <c r="C601" i="9"/>
  <c r="B601" i="9"/>
  <c r="G600" i="9"/>
  <c r="F600" i="9"/>
  <c r="C600" i="9"/>
  <c r="B600" i="9"/>
  <c r="G599" i="9"/>
  <c r="F599" i="9"/>
  <c r="C599" i="9"/>
  <c r="B599" i="9"/>
  <c r="G598" i="9"/>
  <c r="F598" i="9"/>
  <c r="C598" i="9"/>
  <c r="B598" i="9"/>
  <c r="G597" i="9"/>
  <c r="F597" i="9"/>
  <c r="C597" i="9"/>
  <c r="B597" i="9"/>
  <c r="G596" i="9"/>
  <c r="F596" i="9"/>
  <c r="C596" i="9"/>
  <c r="B596" i="9"/>
  <c r="G595" i="9"/>
  <c r="F595" i="9"/>
  <c r="C595" i="9"/>
  <c r="B595" i="9"/>
  <c r="G594" i="9"/>
  <c r="F594" i="9"/>
  <c r="C594" i="9"/>
  <c r="B594" i="9"/>
  <c r="G593" i="9"/>
  <c r="F593" i="9"/>
  <c r="C593" i="9"/>
  <c r="B593" i="9"/>
  <c r="G592" i="9"/>
  <c r="F592" i="9"/>
  <c r="C592" i="9"/>
  <c r="B592" i="9"/>
  <c r="G591" i="9"/>
  <c r="F591" i="9"/>
  <c r="C591" i="9"/>
  <c r="B591" i="9"/>
  <c r="G590" i="9"/>
  <c r="F590" i="9"/>
  <c r="C590" i="9"/>
  <c r="B590" i="9"/>
  <c r="G589" i="9"/>
  <c r="F589" i="9"/>
  <c r="C589" i="9"/>
  <c r="B589" i="9"/>
  <c r="G588" i="9"/>
  <c r="F588" i="9"/>
  <c r="C588" i="9"/>
  <c r="B588" i="9"/>
  <c r="G587" i="9"/>
  <c r="F587" i="9"/>
  <c r="C587" i="9"/>
  <c r="B587" i="9"/>
  <c r="G586" i="9"/>
  <c r="F586" i="9"/>
  <c r="C586" i="9"/>
  <c r="B586" i="9"/>
  <c r="G585" i="9"/>
  <c r="F585" i="9"/>
  <c r="C585" i="9"/>
  <c r="B585" i="9"/>
  <c r="G584" i="9"/>
  <c r="F584" i="9"/>
  <c r="C584" i="9"/>
  <c r="B584" i="9"/>
  <c r="G583" i="9"/>
  <c r="F583" i="9"/>
  <c r="C583" i="9"/>
  <c r="B583" i="9"/>
  <c r="G582" i="9"/>
  <c r="F582" i="9"/>
  <c r="C582" i="9"/>
  <c r="B582" i="9"/>
  <c r="G581" i="9"/>
  <c r="F581" i="9"/>
  <c r="C581" i="9"/>
  <c r="B581" i="9"/>
  <c r="G580" i="9"/>
  <c r="F580" i="9"/>
  <c r="C580" i="9"/>
  <c r="B580" i="9"/>
  <c r="G579" i="9"/>
  <c r="F579" i="9"/>
  <c r="C579" i="9"/>
  <c r="B579" i="9"/>
  <c r="G578" i="9"/>
  <c r="F578" i="9"/>
  <c r="C578" i="9"/>
  <c r="B578" i="9"/>
  <c r="G577" i="9"/>
  <c r="F577" i="9"/>
  <c r="C577" i="9"/>
  <c r="B577" i="9"/>
  <c r="G576" i="9"/>
  <c r="F576" i="9"/>
  <c r="C576" i="9"/>
  <c r="B576" i="9"/>
  <c r="G575" i="9"/>
  <c r="F575" i="9"/>
  <c r="C575" i="9"/>
  <c r="B575" i="9"/>
  <c r="G574" i="9"/>
  <c r="F574" i="9"/>
  <c r="C574" i="9"/>
  <c r="B574" i="9"/>
  <c r="G573" i="9"/>
  <c r="F573" i="9"/>
  <c r="C573" i="9"/>
  <c r="B573" i="9"/>
  <c r="G572" i="9"/>
  <c r="F572" i="9"/>
  <c r="C572" i="9"/>
  <c r="B572" i="9"/>
  <c r="G571" i="9"/>
  <c r="F571" i="9"/>
  <c r="C571" i="9"/>
  <c r="B571" i="9"/>
  <c r="G570" i="9"/>
  <c r="F570" i="9"/>
  <c r="C570" i="9"/>
  <c r="B570" i="9"/>
  <c r="G569" i="9"/>
  <c r="F569" i="9"/>
  <c r="C569" i="9"/>
  <c r="B569" i="9"/>
  <c r="G568" i="9"/>
  <c r="F568" i="9"/>
  <c r="C568" i="9"/>
  <c r="B568" i="9"/>
  <c r="G567" i="9"/>
  <c r="F567" i="9"/>
  <c r="C567" i="9"/>
  <c r="B567" i="9"/>
  <c r="G566" i="9"/>
  <c r="F566" i="9"/>
  <c r="C566" i="9"/>
  <c r="B566" i="9"/>
  <c r="G565" i="9"/>
  <c r="F565" i="9"/>
  <c r="C565" i="9"/>
  <c r="B565" i="9"/>
  <c r="G564" i="9"/>
  <c r="F564" i="9"/>
  <c r="C564" i="9"/>
  <c r="B564" i="9"/>
  <c r="G563" i="9"/>
  <c r="F563" i="9"/>
  <c r="C563" i="9"/>
  <c r="B563" i="9"/>
  <c r="G562" i="9"/>
  <c r="F562" i="9"/>
  <c r="C562" i="9"/>
  <c r="B562" i="9"/>
  <c r="G561" i="9"/>
  <c r="F561" i="9"/>
  <c r="C561" i="9"/>
  <c r="B561" i="9"/>
  <c r="G560" i="9"/>
  <c r="F560" i="9"/>
  <c r="C560" i="9"/>
  <c r="B560" i="9"/>
  <c r="G559" i="9"/>
  <c r="F559" i="9"/>
  <c r="C559" i="9"/>
  <c r="B559" i="9"/>
  <c r="G558" i="9"/>
  <c r="F558" i="9"/>
  <c r="C558" i="9"/>
  <c r="B558" i="9"/>
  <c r="G557" i="9"/>
  <c r="F557" i="9"/>
  <c r="C557" i="9"/>
  <c r="B557" i="9"/>
  <c r="G556" i="9"/>
  <c r="F556" i="9"/>
  <c r="C556" i="9"/>
  <c r="B556" i="9"/>
  <c r="G555" i="9"/>
  <c r="F555" i="9"/>
  <c r="C555" i="9"/>
  <c r="B555" i="9"/>
  <c r="G554" i="9"/>
  <c r="F554" i="9"/>
  <c r="C554" i="9"/>
  <c r="B554" i="9"/>
  <c r="G553" i="9"/>
  <c r="F553" i="9"/>
  <c r="C553" i="9"/>
  <c r="B553" i="9"/>
  <c r="G552" i="9"/>
  <c r="F552" i="9"/>
  <c r="C552" i="9"/>
  <c r="B552" i="9"/>
  <c r="G551" i="9"/>
  <c r="F551" i="9"/>
  <c r="C551" i="9"/>
  <c r="B551" i="9"/>
  <c r="G550" i="9"/>
  <c r="F550" i="9"/>
  <c r="C550" i="9"/>
  <c r="B550" i="9"/>
  <c r="G549" i="9"/>
  <c r="F549" i="9"/>
  <c r="C549" i="9"/>
  <c r="B549" i="9"/>
  <c r="G548" i="9"/>
  <c r="F548" i="9"/>
  <c r="C548" i="9"/>
  <c r="B548" i="9"/>
  <c r="G547" i="9"/>
  <c r="F547" i="9"/>
  <c r="C547" i="9"/>
  <c r="B547" i="9"/>
  <c r="G546" i="9"/>
  <c r="F546" i="9"/>
  <c r="C546" i="9"/>
  <c r="B546" i="9"/>
  <c r="G545" i="9"/>
  <c r="F545" i="9"/>
  <c r="C545" i="9"/>
  <c r="B545" i="9"/>
  <c r="G544" i="9"/>
  <c r="F544" i="9"/>
  <c r="C544" i="9"/>
  <c r="B544" i="9"/>
  <c r="G543" i="9"/>
  <c r="F543" i="9"/>
  <c r="C543" i="9"/>
  <c r="B543" i="9"/>
  <c r="G542" i="9"/>
  <c r="F542" i="9"/>
  <c r="C542" i="9"/>
  <c r="B542" i="9"/>
  <c r="G541" i="9"/>
  <c r="K541" i="9" s="1"/>
  <c r="F541" i="9"/>
  <c r="C541" i="9"/>
  <c r="B541" i="9"/>
  <c r="G540" i="9"/>
  <c r="F540" i="9"/>
  <c r="C540" i="9"/>
  <c r="B540" i="9"/>
  <c r="G539" i="9"/>
  <c r="H539" i="9" s="1"/>
  <c r="F539" i="9"/>
  <c r="C539" i="9"/>
  <c r="B539" i="9"/>
  <c r="G538" i="9"/>
  <c r="F538" i="9"/>
  <c r="C538" i="9"/>
  <c r="B538" i="9"/>
  <c r="G537" i="9"/>
  <c r="H537" i="9" s="1"/>
  <c r="F537" i="9"/>
  <c r="C537" i="9"/>
  <c r="B537" i="9"/>
  <c r="G536" i="9"/>
  <c r="F536" i="9"/>
  <c r="C536" i="9"/>
  <c r="B536" i="9"/>
  <c r="G535" i="9"/>
  <c r="K535" i="9" s="1"/>
  <c r="F535" i="9"/>
  <c r="C535" i="9"/>
  <c r="B535" i="9"/>
  <c r="G534" i="9"/>
  <c r="F534" i="9"/>
  <c r="C534" i="9"/>
  <c r="B534" i="9"/>
  <c r="G533" i="9"/>
  <c r="H533" i="9" s="1"/>
  <c r="F533" i="9"/>
  <c r="C533" i="9"/>
  <c r="B533" i="9"/>
  <c r="G532" i="9"/>
  <c r="F532" i="9"/>
  <c r="C532" i="9"/>
  <c r="B532" i="9"/>
  <c r="G531" i="9"/>
  <c r="H531" i="9" s="1"/>
  <c r="F531" i="9"/>
  <c r="C531" i="9"/>
  <c r="B531" i="9"/>
  <c r="G530" i="9"/>
  <c r="F530" i="9"/>
  <c r="C530" i="9"/>
  <c r="B530" i="9"/>
  <c r="R523" i="9"/>
  <c r="Q523" i="9"/>
  <c r="P523" i="9"/>
  <c r="O523" i="9"/>
  <c r="N523" i="9"/>
  <c r="M523" i="9"/>
  <c r="K523" i="9"/>
  <c r="H523" i="9"/>
  <c r="F523" i="9"/>
  <c r="E523" i="9"/>
  <c r="D523" i="9"/>
  <c r="C523" i="9"/>
  <c r="B523" i="9"/>
  <c r="R522" i="9"/>
  <c r="Q522" i="9"/>
  <c r="P522" i="9"/>
  <c r="O522" i="9"/>
  <c r="N522" i="9"/>
  <c r="M522" i="9"/>
  <c r="K522" i="9"/>
  <c r="H522" i="9"/>
  <c r="F522" i="9"/>
  <c r="E522" i="9"/>
  <c r="D522" i="9"/>
  <c r="C522" i="9"/>
  <c r="B522" i="9"/>
  <c r="R521" i="9"/>
  <c r="Q521" i="9"/>
  <c r="P521" i="9"/>
  <c r="O521" i="9"/>
  <c r="N521" i="9"/>
  <c r="M521" i="9"/>
  <c r="K521" i="9"/>
  <c r="H521" i="9"/>
  <c r="F521" i="9"/>
  <c r="E521" i="9"/>
  <c r="D521" i="9"/>
  <c r="C521" i="9"/>
  <c r="B521" i="9"/>
  <c r="R520" i="9"/>
  <c r="S520" i="9" s="1"/>
  <c r="Q520" i="9"/>
  <c r="P520" i="9"/>
  <c r="O520" i="9"/>
  <c r="N520" i="9"/>
  <c r="M520" i="9"/>
  <c r="K520" i="9"/>
  <c r="H520" i="9"/>
  <c r="F520" i="9"/>
  <c r="E520" i="9"/>
  <c r="D520" i="9"/>
  <c r="C520" i="9"/>
  <c r="B520" i="9"/>
  <c r="R519" i="9"/>
  <c r="Q519" i="9"/>
  <c r="P519" i="9"/>
  <c r="O519" i="9"/>
  <c r="N519" i="9"/>
  <c r="M519" i="9"/>
  <c r="K519" i="9"/>
  <c r="H519" i="9"/>
  <c r="F519" i="9"/>
  <c r="E519" i="9"/>
  <c r="D519" i="9"/>
  <c r="C519" i="9"/>
  <c r="B519" i="9"/>
  <c r="R518" i="9"/>
  <c r="Q518" i="9"/>
  <c r="P518" i="9"/>
  <c r="O518" i="9"/>
  <c r="N518" i="9"/>
  <c r="M518" i="9"/>
  <c r="K518" i="9"/>
  <c r="H518" i="9"/>
  <c r="F518" i="9"/>
  <c r="E518" i="9"/>
  <c r="D518" i="9"/>
  <c r="C518" i="9"/>
  <c r="B518" i="9"/>
  <c r="R517" i="9"/>
  <c r="Q517" i="9"/>
  <c r="P517" i="9"/>
  <c r="O517" i="9"/>
  <c r="N517" i="9"/>
  <c r="M517" i="9"/>
  <c r="K517" i="9"/>
  <c r="H517" i="9"/>
  <c r="F517" i="9"/>
  <c r="E517" i="9"/>
  <c r="D517" i="9"/>
  <c r="C517" i="9"/>
  <c r="B517" i="9"/>
  <c r="R516" i="9"/>
  <c r="Q516" i="9"/>
  <c r="P516" i="9"/>
  <c r="O516" i="9"/>
  <c r="N516" i="9"/>
  <c r="M516" i="9"/>
  <c r="K516" i="9"/>
  <c r="H516" i="9"/>
  <c r="F516" i="9"/>
  <c r="E516" i="9"/>
  <c r="D516" i="9"/>
  <c r="C516" i="9"/>
  <c r="B516" i="9"/>
  <c r="R515" i="9"/>
  <c r="Q515" i="9"/>
  <c r="P515" i="9"/>
  <c r="O515" i="9"/>
  <c r="N515" i="9"/>
  <c r="M515" i="9"/>
  <c r="K515" i="9"/>
  <c r="H515" i="9"/>
  <c r="F515" i="9"/>
  <c r="E515" i="9"/>
  <c r="D515" i="9"/>
  <c r="C515" i="9"/>
  <c r="B515" i="9"/>
  <c r="R514" i="9"/>
  <c r="Q514" i="9"/>
  <c r="P514" i="9"/>
  <c r="O514" i="9"/>
  <c r="N514" i="9"/>
  <c r="M514" i="9"/>
  <c r="K514" i="9"/>
  <c r="H514" i="9"/>
  <c r="F514" i="9"/>
  <c r="E514" i="9"/>
  <c r="D514" i="9"/>
  <c r="C514" i="9"/>
  <c r="B514" i="9"/>
  <c r="R513" i="9"/>
  <c r="Q513" i="9"/>
  <c r="P513" i="9"/>
  <c r="O513" i="9"/>
  <c r="N513" i="9"/>
  <c r="M513" i="9"/>
  <c r="K513" i="9"/>
  <c r="H513" i="9"/>
  <c r="F513" i="9"/>
  <c r="E513" i="9"/>
  <c r="D513" i="9"/>
  <c r="C513" i="9"/>
  <c r="B513" i="9"/>
  <c r="R512" i="9"/>
  <c r="Q512" i="9"/>
  <c r="P512" i="9"/>
  <c r="O512" i="9"/>
  <c r="N512" i="9"/>
  <c r="M512" i="9"/>
  <c r="K512" i="9"/>
  <c r="H512" i="9"/>
  <c r="F512" i="9"/>
  <c r="E512" i="9"/>
  <c r="D512" i="9"/>
  <c r="C512" i="9"/>
  <c r="B512" i="9"/>
  <c r="R511" i="9"/>
  <c r="Q511" i="9"/>
  <c r="P511" i="9"/>
  <c r="O511" i="9"/>
  <c r="N511" i="9"/>
  <c r="M511" i="9"/>
  <c r="K511" i="9"/>
  <c r="H511" i="9"/>
  <c r="F511" i="9"/>
  <c r="E511" i="9"/>
  <c r="D511" i="9"/>
  <c r="C511" i="9"/>
  <c r="B511" i="9"/>
  <c r="R510" i="9"/>
  <c r="Q510" i="9"/>
  <c r="P510" i="9"/>
  <c r="O510" i="9"/>
  <c r="N510" i="9"/>
  <c r="M510" i="9"/>
  <c r="K510" i="9"/>
  <c r="H510" i="9"/>
  <c r="F510" i="9"/>
  <c r="E510" i="9"/>
  <c r="D510" i="9"/>
  <c r="C510" i="9"/>
  <c r="B510" i="9"/>
  <c r="R509" i="9"/>
  <c r="S509" i="9" s="1"/>
  <c r="Q509" i="9"/>
  <c r="P509" i="9"/>
  <c r="O509" i="9"/>
  <c r="N509" i="9"/>
  <c r="M509" i="9"/>
  <c r="K509" i="9"/>
  <c r="H509" i="9"/>
  <c r="F509" i="9"/>
  <c r="E509" i="9"/>
  <c r="D509" i="9"/>
  <c r="C509" i="9"/>
  <c r="B509" i="9"/>
  <c r="R508" i="9"/>
  <c r="Q508" i="9"/>
  <c r="P508" i="9"/>
  <c r="O508" i="9"/>
  <c r="N508" i="9"/>
  <c r="M508" i="9"/>
  <c r="K508" i="9"/>
  <c r="H508" i="9"/>
  <c r="F508" i="9"/>
  <c r="E508" i="9"/>
  <c r="D508" i="9"/>
  <c r="C508" i="9"/>
  <c r="B508" i="9"/>
  <c r="R507" i="9"/>
  <c r="Q507" i="9"/>
  <c r="P507" i="9"/>
  <c r="O507" i="9"/>
  <c r="N507" i="9"/>
  <c r="M507" i="9"/>
  <c r="K507" i="9"/>
  <c r="H507" i="9"/>
  <c r="F507" i="9"/>
  <c r="E507" i="9"/>
  <c r="D507" i="9"/>
  <c r="C507" i="9"/>
  <c r="B507" i="9"/>
  <c r="R506" i="9"/>
  <c r="Q506" i="9"/>
  <c r="P506" i="9"/>
  <c r="O506" i="9"/>
  <c r="N506" i="9"/>
  <c r="M506" i="9"/>
  <c r="K506" i="9"/>
  <c r="H506" i="9"/>
  <c r="F506" i="9"/>
  <c r="E506" i="9"/>
  <c r="D506" i="9"/>
  <c r="C506" i="9"/>
  <c r="B506" i="9"/>
  <c r="R505" i="9"/>
  <c r="Q505" i="9"/>
  <c r="P505" i="9"/>
  <c r="O505" i="9"/>
  <c r="N505" i="9"/>
  <c r="M505" i="9"/>
  <c r="K505" i="9"/>
  <c r="H505" i="9"/>
  <c r="F505" i="9"/>
  <c r="E505" i="9"/>
  <c r="D505" i="9"/>
  <c r="C505" i="9"/>
  <c r="B505" i="9"/>
  <c r="R504" i="9"/>
  <c r="Q504" i="9"/>
  <c r="P504" i="9"/>
  <c r="O504" i="9"/>
  <c r="N504" i="9"/>
  <c r="M504" i="9"/>
  <c r="K504" i="9"/>
  <c r="H504" i="9"/>
  <c r="F504" i="9"/>
  <c r="E504" i="9"/>
  <c r="D504" i="9"/>
  <c r="C504" i="9"/>
  <c r="B504" i="9"/>
  <c r="R503" i="9"/>
  <c r="Q503" i="9"/>
  <c r="P503" i="9"/>
  <c r="O503" i="9"/>
  <c r="N503" i="9"/>
  <c r="M503" i="9"/>
  <c r="K503" i="9"/>
  <c r="H503" i="9"/>
  <c r="F503" i="9"/>
  <c r="E503" i="9"/>
  <c r="D503" i="9"/>
  <c r="C503" i="9"/>
  <c r="B503" i="9"/>
  <c r="R502" i="9"/>
  <c r="Q502" i="9"/>
  <c r="P502" i="9"/>
  <c r="O502" i="9"/>
  <c r="N502" i="9"/>
  <c r="M502" i="9"/>
  <c r="K502" i="9"/>
  <c r="H502" i="9"/>
  <c r="F502" i="9"/>
  <c r="E502" i="9"/>
  <c r="D502" i="9"/>
  <c r="C502" i="9"/>
  <c r="B502" i="9"/>
  <c r="R501" i="9"/>
  <c r="Q501" i="9"/>
  <c r="P501" i="9"/>
  <c r="O501" i="9"/>
  <c r="N501" i="9"/>
  <c r="M501" i="9"/>
  <c r="K501" i="9"/>
  <c r="H501" i="9"/>
  <c r="F501" i="9"/>
  <c r="E501" i="9"/>
  <c r="D501" i="9"/>
  <c r="C501" i="9"/>
  <c r="B501" i="9"/>
  <c r="R500" i="9"/>
  <c r="Q500" i="9"/>
  <c r="P500" i="9"/>
  <c r="O500" i="9"/>
  <c r="N500" i="9"/>
  <c r="M500" i="9"/>
  <c r="K500" i="9"/>
  <c r="H500" i="9"/>
  <c r="F500" i="9"/>
  <c r="E500" i="9"/>
  <c r="D500" i="9"/>
  <c r="C500" i="9"/>
  <c r="B500" i="9"/>
  <c r="R499" i="9"/>
  <c r="Q499" i="9"/>
  <c r="P499" i="9"/>
  <c r="O499" i="9"/>
  <c r="N499" i="9"/>
  <c r="M499" i="9"/>
  <c r="K499" i="9"/>
  <c r="H499" i="9"/>
  <c r="F499" i="9"/>
  <c r="E499" i="9"/>
  <c r="D499" i="9"/>
  <c r="C499" i="9"/>
  <c r="B499" i="9"/>
  <c r="R498" i="9"/>
  <c r="Q498" i="9"/>
  <c r="P498" i="9"/>
  <c r="O498" i="9"/>
  <c r="N498" i="9"/>
  <c r="M498" i="9"/>
  <c r="K498" i="9"/>
  <c r="H498" i="9"/>
  <c r="F498" i="9"/>
  <c r="E498" i="9"/>
  <c r="D498" i="9"/>
  <c r="C498" i="9"/>
  <c r="B498" i="9"/>
  <c r="R497" i="9"/>
  <c r="Q497" i="9"/>
  <c r="P497" i="9"/>
  <c r="O497" i="9"/>
  <c r="N497" i="9"/>
  <c r="M497" i="9"/>
  <c r="K497" i="9"/>
  <c r="H497" i="9"/>
  <c r="F497" i="9"/>
  <c r="E497" i="9"/>
  <c r="D497" i="9"/>
  <c r="C497" i="9"/>
  <c r="B497" i="9"/>
  <c r="R496" i="9"/>
  <c r="Q496" i="9"/>
  <c r="P496" i="9"/>
  <c r="O496" i="9"/>
  <c r="N496" i="9"/>
  <c r="M496" i="9"/>
  <c r="K496" i="9"/>
  <c r="H496" i="9"/>
  <c r="F496" i="9"/>
  <c r="E496" i="9"/>
  <c r="D496" i="9"/>
  <c r="C496" i="9"/>
  <c r="B496" i="9"/>
  <c r="R495" i="9"/>
  <c r="Q495" i="9"/>
  <c r="P495" i="9"/>
  <c r="O495" i="9"/>
  <c r="N495" i="9"/>
  <c r="M495" i="9"/>
  <c r="K495" i="9"/>
  <c r="H495" i="9"/>
  <c r="F495" i="9"/>
  <c r="E495" i="9"/>
  <c r="D495" i="9"/>
  <c r="C495" i="9"/>
  <c r="B495" i="9"/>
  <c r="R494" i="9"/>
  <c r="Q494" i="9"/>
  <c r="P494" i="9"/>
  <c r="O494" i="9"/>
  <c r="N494" i="9"/>
  <c r="M494" i="9"/>
  <c r="K494" i="9"/>
  <c r="H494" i="9"/>
  <c r="F494" i="9"/>
  <c r="E494" i="9"/>
  <c r="D494" i="9"/>
  <c r="C494" i="9"/>
  <c r="B494" i="9"/>
  <c r="R493" i="9"/>
  <c r="Q493" i="9"/>
  <c r="P493" i="9"/>
  <c r="O493" i="9"/>
  <c r="N493" i="9"/>
  <c r="M493" i="9"/>
  <c r="K493" i="9"/>
  <c r="H493" i="9"/>
  <c r="F493" i="9"/>
  <c r="E493" i="9"/>
  <c r="D493" i="9"/>
  <c r="C493" i="9"/>
  <c r="B493" i="9"/>
  <c r="R492" i="9"/>
  <c r="Q492" i="9"/>
  <c r="P492" i="9"/>
  <c r="O492" i="9"/>
  <c r="N492" i="9"/>
  <c r="M492" i="9"/>
  <c r="K492" i="9"/>
  <c r="H492" i="9"/>
  <c r="F492" i="9"/>
  <c r="E492" i="9"/>
  <c r="D492" i="9"/>
  <c r="C492" i="9"/>
  <c r="B492" i="9"/>
  <c r="R491" i="9"/>
  <c r="Q491" i="9"/>
  <c r="P491" i="9"/>
  <c r="O491" i="9"/>
  <c r="N491" i="9"/>
  <c r="M491" i="9"/>
  <c r="K491" i="9"/>
  <c r="H491" i="9"/>
  <c r="F491" i="9"/>
  <c r="E491" i="9"/>
  <c r="D491" i="9"/>
  <c r="C491" i="9"/>
  <c r="B491" i="9"/>
  <c r="R490" i="9"/>
  <c r="Q490" i="9"/>
  <c r="P490" i="9"/>
  <c r="O490" i="9"/>
  <c r="N490" i="9"/>
  <c r="M490" i="9"/>
  <c r="K490" i="9"/>
  <c r="H490" i="9"/>
  <c r="F490" i="9"/>
  <c r="E490" i="9"/>
  <c r="D490" i="9"/>
  <c r="C490" i="9"/>
  <c r="B490" i="9"/>
  <c r="R489" i="9"/>
  <c r="Q489" i="9"/>
  <c r="P489" i="9"/>
  <c r="O489" i="9"/>
  <c r="N489" i="9"/>
  <c r="M489" i="9"/>
  <c r="K489" i="9"/>
  <c r="H489" i="9"/>
  <c r="F489" i="9"/>
  <c r="E489" i="9"/>
  <c r="D489" i="9"/>
  <c r="C489" i="9"/>
  <c r="B489" i="9"/>
  <c r="R488" i="9"/>
  <c r="Q488" i="9"/>
  <c r="P488" i="9"/>
  <c r="O488" i="9"/>
  <c r="N488" i="9"/>
  <c r="M488" i="9"/>
  <c r="K488" i="9"/>
  <c r="H488" i="9"/>
  <c r="F488" i="9"/>
  <c r="E488" i="9"/>
  <c r="D488" i="9"/>
  <c r="C488" i="9"/>
  <c r="B488" i="9"/>
  <c r="R487" i="9"/>
  <c r="Q487" i="9"/>
  <c r="P487" i="9"/>
  <c r="O487" i="9"/>
  <c r="N487" i="9"/>
  <c r="M487" i="9"/>
  <c r="K487" i="9"/>
  <c r="H487" i="9"/>
  <c r="F487" i="9"/>
  <c r="E487" i="9"/>
  <c r="D487" i="9"/>
  <c r="C487" i="9"/>
  <c r="B487" i="9"/>
  <c r="R486" i="9"/>
  <c r="Q486" i="9"/>
  <c r="P486" i="9"/>
  <c r="O486" i="9"/>
  <c r="N486" i="9"/>
  <c r="M486" i="9"/>
  <c r="K486" i="9"/>
  <c r="H486" i="9"/>
  <c r="F486" i="9"/>
  <c r="E486" i="9"/>
  <c r="D486" i="9"/>
  <c r="C486" i="9"/>
  <c r="B486" i="9"/>
  <c r="R485" i="9"/>
  <c r="Q485" i="9"/>
  <c r="P485" i="9"/>
  <c r="O485" i="9"/>
  <c r="N485" i="9"/>
  <c r="M485" i="9"/>
  <c r="K485" i="9"/>
  <c r="H485" i="9"/>
  <c r="F485" i="9"/>
  <c r="E485" i="9"/>
  <c r="D485" i="9"/>
  <c r="C485" i="9"/>
  <c r="B485" i="9"/>
  <c r="R484" i="9"/>
  <c r="Q484" i="9"/>
  <c r="P484" i="9"/>
  <c r="O484" i="9"/>
  <c r="N484" i="9"/>
  <c r="M484" i="9"/>
  <c r="K484" i="9"/>
  <c r="H484" i="9"/>
  <c r="F484" i="9"/>
  <c r="E484" i="9"/>
  <c r="D484" i="9"/>
  <c r="C484" i="9"/>
  <c r="B484" i="9"/>
  <c r="R483" i="9"/>
  <c r="Q483" i="9"/>
  <c r="P483" i="9"/>
  <c r="O483" i="9"/>
  <c r="N483" i="9"/>
  <c r="M483" i="9"/>
  <c r="K483" i="9"/>
  <c r="H483" i="9"/>
  <c r="F483" i="9"/>
  <c r="E483" i="9"/>
  <c r="D483" i="9"/>
  <c r="C483" i="9"/>
  <c r="B483" i="9"/>
  <c r="R482" i="9"/>
  <c r="Q482" i="9"/>
  <c r="P482" i="9"/>
  <c r="O482" i="9"/>
  <c r="N482" i="9"/>
  <c r="M482" i="9"/>
  <c r="K482" i="9"/>
  <c r="H482" i="9"/>
  <c r="F482" i="9"/>
  <c r="E482" i="9"/>
  <c r="D482" i="9"/>
  <c r="C482" i="9"/>
  <c r="B482" i="9"/>
  <c r="R481" i="9"/>
  <c r="Q481" i="9"/>
  <c r="P481" i="9"/>
  <c r="O481" i="9"/>
  <c r="N481" i="9"/>
  <c r="M481" i="9"/>
  <c r="K481" i="9"/>
  <c r="H481" i="9"/>
  <c r="F481" i="9"/>
  <c r="E481" i="9"/>
  <c r="D481" i="9"/>
  <c r="C481" i="9"/>
  <c r="B481" i="9"/>
  <c r="R480" i="9"/>
  <c r="Q480" i="9"/>
  <c r="P480" i="9"/>
  <c r="O480" i="9"/>
  <c r="N480" i="9"/>
  <c r="M480" i="9"/>
  <c r="K480" i="9"/>
  <c r="H480" i="9"/>
  <c r="F480" i="9"/>
  <c r="E480" i="9"/>
  <c r="D480" i="9"/>
  <c r="C480" i="9"/>
  <c r="B480" i="9"/>
  <c r="R479" i="9"/>
  <c r="Q479" i="9"/>
  <c r="P479" i="9"/>
  <c r="O479" i="9"/>
  <c r="N479" i="9"/>
  <c r="M479" i="9"/>
  <c r="K479" i="9"/>
  <c r="H479" i="9"/>
  <c r="F479" i="9"/>
  <c r="E479" i="9"/>
  <c r="D479" i="9"/>
  <c r="C479" i="9"/>
  <c r="B479" i="9"/>
  <c r="R478" i="9"/>
  <c r="Q478" i="9"/>
  <c r="P478" i="9"/>
  <c r="O478" i="9"/>
  <c r="N478" i="9"/>
  <c r="M478" i="9"/>
  <c r="K478" i="9"/>
  <c r="H478" i="9"/>
  <c r="F478" i="9"/>
  <c r="E478" i="9"/>
  <c r="D478" i="9"/>
  <c r="C478" i="9"/>
  <c r="B478" i="9"/>
  <c r="R477" i="9"/>
  <c r="Q477" i="9"/>
  <c r="P477" i="9"/>
  <c r="O477" i="9"/>
  <c r="N477" i="9"/>
  <c r="M477" i="9"/>
  <c r="K477" i="9"/>
  <c r="H477" i="9"/>
  <c r="F477" i="9"/>
  <c r="E477" i="9"/>
  <c r="D477" i="9"/>
  <c r="C477" i="9"/>
  <c r="B477" i="9"/>
  <c r="R476" i="9"/>
  <c r="Q476" i="9"/>
  <c r="P476" i="9"/>
  <c r="O476" i="9"/>
  <c r="N476" i="9"/>
  <c r="M476" i="9"/>
  <c r="K476" i="9"/>
  <c r="H476" i="9"/>
  <c r="F476" i="9"/>
  <c r="E476" i="9"/>
  <c r="D476" i="9"/>
  <c r="C476" i="9"/>
  <c r="B476" i="9"/>
  <c r="R475" i="9"/>
  <c r="Q475" i="9"/>
  <c r="P475" i="9"/>
  <c r="O475" i="9"/>
  <c r="N475" i="9"/>
  <c r="M475" i="9"/>
  <c r="K475" i="9"/>
  <c r="H475" i="9"/>
  <c r="F475" i="9"/>
  <c r="E475" i="9"/>
  <c r="D475" i="9"/>
  <c r="C475" i="9"/>
  <c r="B475" i="9"/>
  <c r="R474" i="9"/>
  <c r="Q474" i="9"/>
  <c r="P474" i="9"/>
  <c r="O474" i="9"/>
  <c r="N474" i="9"/>
  <c r="M474" i="9"/>
  <c r="K474" i="9"/>
  <c r="H474" i="9"/>
  <c r="F474" i="9"/>
  <c r="E474" i="9"/>
  <c r="D474" i="9"/>
  <c r="C474" i="9"/>
  <c r="B474" i="9"/>
  <c r="R473" i="9"/>
  <c r="Q473" i="9"/>
  <c r="P473" i="9"/>
  <c r="O473" i="9"/>
  <c r="N473" i="9"/>
  <c r="M473" i="9"/>
  <c r="K473" i="9"/>
  <c r="H473" i="9"/>
  <c r="F473" i="9"/>
  <c r="E473" i="9"/>
  <c r="D473" i="9"/>
  <c r="C473" i="9"/>
  <c r="B473" i="9"/>
  <c r="R472" i="9"/>
  <c r="Q472" i="9"/>
  <c r="P472" i="9"/>
  <c r="O472" i="9"/>
  <c r="N472" i="9"/>
  <c r="M472" i="9"/>
  <c r="K472" i="9"/>
  <c r="H472" i="9"/>
  <c r="F472" i="9"/>
  <c r="E472" i="9"/>
  <c r="D472" i="9"/>
  <c r="C472" i="9"/>
  <c r="B472" i="9"/>
  <c r="R471" i="9"/>
  <c r="Q471" i="9"/>
  <c r="P471" i="9"/>
  <c r="O471" i="9"/>
  <c r="S471" i="9" s="1"/>
  <c r="N471" i="9"/>
  <c r="M471" i="9"/>
  <c r="K471" i="9"/>
  <c r="H471" i="9"/>
  <c r="F471" i="9"/>
  <c r="E471" i="9"/>
  <c r="D471" i="9"/>
  <c r="C471" i="9"/>
  <c r="B471" i="9"/>
  <c r="R470" i="9"/>
  <c r="Q470" i="9"/>
  <c r="P470" i="9"/>
  <c r="O470" i="9"/>
  <c r="N470" i="9"/>
  <c r="M470" i="9"/>
  <c r="K470" i="9"/>
  <c r="H470" i="9"/>
  <c r="F470" i="9"/>
  <c r="E470" i="9"/>
  <c r="D470" i="9"/>
  <c r="C470" i="9"/>
  <c r="B470" i="9"/>
  <c r="R469" i="9"/>
  <c r="Q469" i="9"/>
  <c r="P469" i="9"/>
  <c r="O469" i="9"/>
  <c r="N469" i="9"/>
  <c r="M469" i="9"/>
  <c r="K469" i="9"/>
  <c r="H469" i="9"/>
  <c r="F469" i="9"/>
  <c r="E469" i="9"/>
  <c r="D469" i="9"/>
  <c r="C469" i="9"/>
  <c r="B469" i="9"/>
  <c r="R468" i="9"/>
  <c r="Q468" i="9"/>
  <c r="P468" i="9"/>
  <c r="O468" i="9"/>
  <c r="N468" i="9"/>
  <c r="M468" i="9"/>
  <c r="K468" i="9"/>
  <c r="H468" i="9"/>
  <c r="F468" i="9"/>
  <c r="E468" i="9"/>
  <c r="D468" i="9"/>
  <c r="C468" i="9"/>
  <c r="B468" i="9"/>
  <c r="R467" i="9"/>
  <c r="Q467" i="9"/>
  <c r="P467" i="9"/>
  <c r="O467" i="9"/>
  <c r="N467" i="9"/>
  <c r="M467" i="9"/>
  <c r="K467" i="9"/>
  <c r="H467" i="9"/>
  <c r="F467" i="9"/>
  <c r="E467" i="9"/>
  <c r="D467" i="9"/>
  <c r="C467" i="9"/>
  <c r="B467" i="9"/>
  <c r="R466" i="9"/>
  <c r="Q466" i="9"/>
  <c r="P466" i="9"/>
  <c r="O466" i="9"/>
  <c r="S466" i="9" s="1"/>
  <c r="N466" i="9"/>
  <c r="M466" i="9"/>
  <c r="K466" i="9"/>
  <c r="H466" i="9"/>
  <c r="F466" i="9"/>
  <c r="E466" i="9"/>
  <c r="D466" i="9"/>
  <c r="C466" i="9"/>
  <c r="B466" i="9"/>
  <c r="R465" i="9"/>
  <c r="Q465" i="9"/>
  <c r="P465" i="9"/>
  <c r="O465" i="9"/>
  <c r="N465" i="9"/>
  <c r="M465" i="9"/>
  <c r="K465" i="9"/>
  <c r="H465" i="9"/>
  <c r="F465" i="9"/>
  <c r="E465" i="9"/>
  <c r="D465" i="9"/>
  <c r="C465" i="9"/>
  <c r="B465" i="9"/>
  <c r="R464" i="9"/>
  <c r="Q464" i="9"/>
  <c r="P464" i="9"/>
  <c r="O464" i="9"/>
  <c r="N464" i="9"/>
  <c r="M464" i="9"/>
  <c r="K464" i="9"/>
  <c r="H464" i="9"/>
  <c r="F464" i="9"/>
  <c r="E464" i="9"/>
  <c r="D464" i="9"/>
  <c r="C464" i="9"/>
  <c r="B464" i="9"/>
  <c r="R463" i="9"/>
  <c r="Q463" i="9"/>
  <c r="P463" i="9"/>
  <c r="O463" i="9"/>
  <c r="N463" i="9"/>
  <c r="M463" i="9"/>
  <c r="K463" i="9"/>
  <c r="H463" i="9"/>
  <c r="F463" i="9"/>
  <c r="E463" i="9"/>
  <c r="D463" i="9"/>
  <c r="C463" i="9"/>
  <c r="B463" i="9"/>
  <c r="R462" i="9"/>
  <c r="Q462" i="9"/>
  <c r="P462" i="9"/>
  <c r="O462" i="9"/>
  <c r="N462" i="9"/>
  <c r="M462" i="9"/>
  <c r="K462" i="9"/>
  <c r="H462" i="9"/>
  <c r="F462" i="9"/>
  <c r="E462" i="9"/>
  <c r="D462" i="9"/>
  <c r="C462" i="9"/>
  <c r="B462" i="9"/>
  <c r="R461" i="9"/>
  <c r="Q461" i="9"/>
  <c r="P461" i="9"/>
  <c r="O461" i="9"/>
  <c r="N461" i="9"/>
  <c r="M461" i="9"/>
  <c r="K461" i="9"/>
  <c r="H461" i="9"/>
  <c r="F461" i="9"/>
  <c r="E461" i="9"/>
  <c r="D461" i="9"/>
  <c r="C461" i="9"/>
  <c r="B461" i="9"/>
  <c r="R460" i="9"/>
  <c r="Q460" i="9"/>
  <c r="P460" i="9"/>
  <c r="O460" i="9"/>
  <c r="N460" i="9"/>
  <c r="M460" i="9"/>
  <c r="K460" i="9"/>
  <c r="H460" i="9"/>
  <c r="F460" i="9"/>
  <c r="E460" i="9"/>
  <c r="D460" i="9"/>
  <c r="C460" i="9"/>
  <c r="B460" i="9"/>
  <c r="R459" i="9"/>
  <c r="Q459" i="9"/>
  <c r="P459" i="9"/>
  <c r="O459" i="9"/>
  <c r="N459" i="9"/>
  <c r="M459" i="9"/>
  <c r="K459" i="9"/>
  <c r="H459" i="9"/>
  <c r="F459" i="9"/>
  <c r="E459" i="9"/>
  <c r="D459" i="9"/>
  <c r="C459" i="9"/>
  <c r="B459" i="9"/>
  <c r="R458" i="9"/>
  <c r="Q458" i="9"/>
  <c r="P458" i="9"/>
  <c r="O458" i="9"/>
  <c r="S458" i="9" s="1"/>
  <c r="N458" i="9"/>
  <c r="M458" i="9"/>
  <c r="K458" i="9"/>
  <c r="H458" i="9"/>
  <c r="F458" i="9"/>
  <c r="E458" i="9"/>
  <c r="D458" i="9"/>
  <c r="C458" i="9"/>
  <c r="B458" i="9"/>
  <c r="R457" i="9"/>
  <c r="Q457" i="9"/>
  <c r="P457" i="9"/>
  <c r="O457" i="9"/>
  <c r="N457" i="9"/>
  <c r="M457" i="9"/>
  <c r="F457" i="9"/>
  <c r="E457" i="9"/>
  <c r="D457" i="9"/>
  <c r="C457" i="9"/>
  <c r="B457" i="9"/>
  <c r="R456" i="9"/>
  <c r="Q456" i="9"/>
  <c r="P456" i="9"/>
  <c r="O456" i="9"/>
  <c r="N456" i="9"/>
  <c r="M456" i="9"/>
  <c r="C456" i="9"/>
  <c r="B456" i="9"/>
  <c r="R455" i="9"/>
  <c r="Q455" i="9"/>
  <c r="P455" i="9"/>
  <c r="O455" i="9"/>
  <c r="N455" i="9"/>
  <c r="M455" i="9"/>
  <c r="C455" i="9"/>
  <c r="B455" i="9"/>
  <c r="R454" i="9"/>
  <c r="Q454" i="9"/>
  <c r="P454" i="9"/>
  <c r="O454" i="9"/>
  <c r="N454" i="9"/>
  <c r="M454" i="9"/>
  <c r="C454" i="9"/>
  <c r="I454" i="9" s="1"/>
  <c r="B454" i="9"/>
  <c r="R453" i="9"/>
  <c r="Q453" i="9"/>
  <c r="P453" i="9"/>
  <c r="O453" i="9"/>
  <c r="N453" i="9"/>
  <c r="M453" i="9"/>
  <c r="C453" i="9"/>
  <c r="B453" i="9"/>
  <c r="R452" i="9"/>
  <c r="Q452" i="9"/>
  <c r="P452" i="9"/>
  <c r="O452" i="9"/>
  <c r="N452" i="9"/>
  <c r="M452" i="9"/>
  <c r="C452" i="9"/>
  <c r="B452" i="9"/>
  <c r="R451" i="9"/>
  <c r="Q451" i="9"/>
  <c r="P451" i="9"/>
  <c r="O451" i="9"/>
  <c r="N451" i="9"/>
  <c r="M451" i="9"/>
  <c r="C451" i="9"/>
  <c r="B451" i="9"/>
  <c r="R450" i="9"/>
  <c r="Q450" i="9"/>
  <c r="P450" i="9"/>
  <c r="O450" i="9"/>
  <c r="N450" i="9"/>
  <c r="M450" i="9"/>
  <c r="C450" i="9"/>
  <c r="B450" i="9"/>
  <c r="R449" i="9"/>
  <c r="Q449" i="9"/>
  <c r="P449" i="9"/>
  <c r="O449" i="9"/>
  <c r="N449" i="9"/>
  <c r="M449" i="9"/>
  <c r="C449" i="9"/>
  <c r="B449" i="9"/>
  <c r="R448" i="9"/>
  <c r="Q448" i="9"/>
  <c r="P448" i="9"/>
  <c r="O448" i="9"/>
  <c r="N448" i="9"/>
  <c r="M448" i="9"/>
  <c r="C448" i="9"/>
  <c r="B448" i="9"/>
  <c r="R447" i="9"/>
  <c r="Q447" i="9"/>
  <c r="P447" i="9"/>
  <c r="O447" i="9"/>
  <c r="N447" i="9"/>
  <c r="M447" i="9"/>
  <c r="C447" i="9"/>
  <c r="B447" i="9"/>
  <c r="R446" i="9"/>
  <c r="Q446" i="9"/>
  <c r="P446" i="9"/>
  <c r="O446" i="9"/>
  <c r="N446" i="9"/>
  <c r="M446" i="9"/>
  <c r="C446" i="9"/>
  <c r="I446" i="9" s="1"/>
  <c r="B446" i="9"/>
  <c r="R445" i="9"/>
  <c r="Q445" i="9"/>
  <c r="P445" i="9"/>
  <c r="O445" i="9"/>
  <c r="N445" i="9"/>
  <c r="M445" i="9"/>
  <c r="C445" i="9"/>
  <c r="B445" i="9"/>
  <c r="R444" i="9"/>
  <c r="Q444" i="9"/>
  <c r="P444" i="9"/>
  <c r="O444" i="9"/>
  <c r="N444" i="9"/>
  <c r="M444" i="9"/>
  <c r="C444" i="9"/>
  <c r="B444" i="9"/>
  <c r="R443" i="9"/>
  <c r="Q443" i="9"/>
  <c r="P443" i="9"/>
  <c r="O443" i="9"/>
  <c r="N443" i="9"/>
  <c r="M443" i="9"/>
  <c r="C443" i="9"/>
  <c r="B443" i="9"/>
  <c r="R442" i="9"/>
  <c r="Q442" i="9"/>
  <c r="P442" i="9"/>
  <c r="O442" i="9"/>
  <c r="N442" i="9"/>
  <c r="M442" i="9"/>
  <c r="C442" i="9"/>
  <c r="B442" i="9"/>
  <c r="R441" i="9"/>
  <c r="Q441" i="9"/>
  <c r="P441" i="9"/>
  <c r="O441" i="9"/>
  <c r="N441" i="9"/>
  <c r="M441" i="9"/>
  <c r="C441" i="9"/>
  <c r="B441" i="9"/>
  <c r="R440" i="9"/>
  <c r="Q440" i="9"/>
  <c r="P440" i="9"/>
  <c r="O440" i="9"/>
  <c r="N440" i="9"/>
  <c r="M440" i="9"/>
  <c r="C440" i="9"/>
  <c r="B440" i="9"/>
  <c r="R439" i="9"/>
  <c r="Q439" i="9"/>
  <c r="P439" i="9"/>
  <c r="O439" i="9"/>
  <c r="N439" i="9"/>
  <c r="M439" i="9"/>
  <c r="C439" i="9"/>
  <c r="B439" i="9"/>
  <c r="R438" i="9"/>
  <c r="Q438" i="9"/>
  <c r="P438" i="9"/>
  <c r="O438" i="9"/>
  <c r="C438" i="9"/>
  <c r="B438" i="9"/>
  <c r="R437" i="9"/>
  <c r="Q437" i="9"/>
  <c r="P437" i="9"/>
  <c r="O437" i="9"/>
  <c r="C437" i="9"/>
  <c r="B437" i="9"/>
  <c r="R436" i="9"/>
  <c r="Q436" i="9"/>
  <c r="P436" i="9"/>
  <c r="O436" i="9"/>
  <c r="C436" i="9"/>
  <c r="B436" i="9"/>
  <c r="R435" i="9"/>
  <c r="Q435" i="9"/>
  <c r="P435" i="9"/>
  <c r="O435" i="9"/>
  <c r="C435" i="9"/>
  <c r="B435" i="9"/>
  <c r="R434" i="9"/>
  <c r="Q434" i="9"/>
  <c r="P434" i="9"/>
  <c r="O434" i="9"/>
  <c r="C434" i="9"/>
  <c r="B434" i="9"/>
  <c r="R433" i="9"/>
  <c r="Q433" i="9"/>
  <c r="P433" i="9"/>
  <c r="O433" i="9"/>
  <c r="C433" i="9"/>
  <c r="B433" i="9"/>
  <c r="R432" i="9"/>
  <c r="O432" i="9"/>
  <c r="C432" i="9"/>
  <c r="B432" i="9"/>
  <c r="C431" i="9"/>
  <c r="L431" i="9" s="1"/>
  <c r="B431" i="9"/>
  <c r="K430" i="9"/>
  <c r="H430" i="9"/>
  <c r="F430" i="9"/>
  <c r="E430" i="9"/>
  <c r="D430" i="9"/>
  <c r="C430" i="9"/>
  <c r="B430" i="9"/>
  <c r="K429" i="9"/>
  <c r="H429" i="9"/>
  <c r="F429" i="9"/>
  <c r="E429" i="9"/>
  <c r="D429" i="9"/>
  <c r="C429" i="9"/>
  <c r="B429" i="9"/>
  <c r="K428" i="9"/>
  <c r="H428" i="9"/>
  <c r="F428" i="9"/>
  <c r="E428" i="9"/>
  <c r="D428" i="9"/>
  <c r="C428" i="9"/>
  <c r="B428" i="9"/>
  <c r="K427" i="9"/>
  <c r="H427" i="9"/>
  <c r="F427" i="9"/>
  <c r="E427" i="9"/>
  <c r="D427" i="9"/>
  <c r="C427" i="9"/>
  <c r="B427" i="9"/>
  <c r="K426" i="9"/>
  <c r="H426" i="9"/>
  <c r="F426" i="9"/>
  <c r="E426" i="9"/>
  <c r="D426" i="9"/>
  <c r="C426" i="9"/>
  <c r="B426" i="9"/>
  <c r="K425" i="9"/>
  <c r="H425" i="9"/>
  <c r="F425" i="9"/>
  <c r="E425" i="9"/>
  <c r="D425" i="9"/>
  <c r="C425" i="9"/>
  <c r="B425" i="9"/>
  <c r="R418" i="9"/>
  <c r="Q418" i="9"/>
  <c r="P418" i="9"/>
  <c r="O418" i="9"/>
  <c r="N418" i="9"/>
  <c r="M418" i="9"/>
  <c r="K418" i="9"/>
  <c r="H418" i="9"/>
  <c r="F418" i="9"/>
  <c r="E418" i="9"/>
  <c r="D418" i="9"/>
  <c r="C418" i="9"/>
  <c r="B418" i="9"/>
  <c r="R417" i="9"/>
  <c r="Q417" i="9"/>
  <c r="P417" i="9"/>
  <c r="O417" i="9"/>
  <c r="N417" i="9"/>
  <c r="M417" i="9"/>
  <c r="K417" i="9"/>
  <c r="H417" i="9"/>
  <c r="F417" i="9"/>
  <c r="E417" i="9"/>
  <c r="D417" i="9"/>
  <c r="C417" i="9"/>
  <c r="B417" i="9"/>
  <c r="R416" i="9"/>
  <c r="Q416" i="9"/>
  <c r="P416" i="9"/>
  <c r="O416" i="9"/>
  <c r="N416" i="9"/>
  <c r="M416" i="9"/>
  <c r="K416" i="9"/>
  <c r="H416" i="9"/>
  <c r="F416" i="9"/>
  <c r="E416" i="9"/>
  <c r="D416" i="9"/>
  <c r="C416" i="9"/>
  <c r="B416" i="9"/>
  <c r="R415" i="9"/>
  <c r="Q415" i="9"/>
  <c r="P415" i="9"/>
  <c r="O415" i="9"/>
  <c r="N415" i="9"/>
  <c r="M415" i="9"/>
  <c r="K415" i="9"/>
  <c r="H415" i="9"/>
  <c r="F415" i="9"/>
  <c r="E415" i="9"/>
  <c r="D415" i="9"/>
  <c r="C415" i="9"/>
  <c r="B415" i="9"/>
  <c r="R414" i="9"/>
  <c r="Q414" i="9"/>
  <c r="P414" i="9"/>
  <c r="O414" i="9"/>
  <c r="N414" i="9"/>
  <c r="M414" i="9"/>
  <c r="K414" i="9"/>
  <c r="H414" i="9"/>
  <c r="F414" i="9"/>
  <c r="E414" i="9"/>
  <c r="D414" i="9"/>
  <c r="C414" i="9"/>
  <c r="B414" i="9"/>
  <c r="R413" i="9"/>
  <c r="Q413" i="9"/>
  <c r="P413" i="9"/>
  <c r="O413" i="9"/>
  <c r="N413" i="9"/>
  <c r="M413" i="9"/>
  <c r="K413" i="9"/>
  <c r="H413" i="9"/>
  <c r="F413" i="9"/>
  <c r="E413" i="9"/>
  <c r="D413" i="9"/>
  <c r="C413" i="9"/>
  <c r="B413" i="9"/>
  <c r="R412" i="9"/>
  <c r="Q412" i="9"/>
  <c r="P412" i="9"/>
  <c r="O412" i="9"/>
  <c r="N412" i="9"/>
  <c r="M412" i="9"/>
  <c r="K412" i="9"/>
  <c r="H412" i="9"/>
  <c r="F412" i="9"/>
  <c r="E412" i="9"/>
  <c r="D412" i="9"/>
  <c r="C412" i="9"/>
  <c r="B412" i="9"/>
  <c r="R411" i="9"/>
  <c r="Q411" i="9"/>
  <c r="P411" i="9"/>
  <c r="O411" i="9"/>
  <c r="N411" i="9"/>
  <c r="M411" i="9"/>
  <c r="K411" i="9"/>
  <c r="H411" i="9"/>
  <c r="F411" i="9"/>
  <c r="E411" i="9"/>
  <c r="D411" i="9"/>
  <c r="C411" i="9"/>
  <c r="B411" i="9"/>
  <c r="R410" i="9"/>
  <c r="Q410" i="9"/>
  <c r="P410" i="9"/>
  <c r="O410" i="9"/>
  <c r="N410" i="9"/>
  <c r="M410" i="9"/>
  <c r="K410" i="9"/>
  <c r="H410" i="9"/>
  <c r="F410" i="9"/>
  <c r="E410" i="9"/>
  <c r="D410" i="9"/>
  <c r="C410" i="9"/>
  <c r="B410" i="9"/>
  <c r="R409" i="9"/>
  <c r="Q409" i="9"/>
  <c r="P409" i="9"/>
  <c r="O409" i="9"/>
  <c r="N409" i="9"/>
  <c r="M409" i="9"/>
  <c r="K409" i="9"/>
  <c r="H409" i="9"/>
  <c r="F409" i="9"/>
  <c r="E409" i="9"/>
  <c r="D409" i="9"/>
  <c r="C409" i="9"/>
  <c r="B409" i="9"/>
  <c r="R408" i="9"/>
  <c r="Q408" i="9"/>
  <c r="P408" i="9"/>
  <c r="O408" i="9"/>
  <c r="N408" i="9"/>
  <c r="M408" i="9"/>
  <c r="K408" i="9"/>
  <c r="H408" i="9"/>
  <c r="F408" i="9"/>
  <c r="E408" i="9"/>
  <c r="D408" i="9"/>
  <c r="C408" i="9"/>
  <c r="B408" i="9"/>
  <c r="R407" i="9"/>
  <c r="Q407" i="9"/>
  <c r="P407" i="9"/>
  <c r="O407" i="9"/>
  <c r="N407" i="9"/>
  <c r="M407" i="9"/>
  <c r="K407" i="9"/>
  <c r="H407" i="9"/>
  <c r="F407" i="9"/>
  <c r="E407" i="9"/>
  <c r="D407" i="9"/>
  <c r="C407" i="9"/>
  <c r="B407" i="9"/>
  <c r="R406" i="9"/>
  <c r="S406" i="9" s="1"/>
  <c r="Q406" i="9"/>
  <c r="P406" i="9"/>
  <c r="O406" i="9"/>
  <c r="N406" i="9"/>
  <c r="M406" i="9"/>
  <c r="K406" i="9"/>
  <c r="H406" i="9"/>
  <c r="F406" i="9"/>
  <c r="E406" i="9"/>
  <c r="D406" i="9"/>
  <c r="C406" i="9"/>
  <c r="B406" i="9"/>
  <c r="R405" i="9"/>
  <c r="Q405" i="9"/>
  <c r="P405" i="9"/>
  <c r="O405" i="9"/>
  <c r="N405" i="9"/>
  <c r="M405" i="9"/>
  <c r="K405" i="9"/>
  <c r="H405" i="9"/>
  <c r="F405" i="9"/>
  <c r="E405" i="9"/>
  <c r="D405" i="9"/>
  <c r="C405" i="9"/>
  <c r="B405" i="9"/>
  <c r="R404" i="9"/>
  <c r="Q404" i="9"/>
  <c r="P404" i="9"/>
  <c r="O404" i="9"/>
  <c r="N404" i="9"/>
  <c r="M404" i="9"/>
  <c r="K404" i="9"/>
  <c r="H404" i="9"/>
  <c r="F404" i="9"/>
  <c r="E404" i="9"/>
  <c r="D404" i="9"/>
  <c r="C404" i="9"/>
  <c r="B404" i="9"/>
  <c r="R403" i="9"/>
  <c r="Q403" i="9"/>
  <c r="P403" i="9"/>
  <c r="O403" i="9"/>
  <c r="N403" i="9"/>
  <c r="M403" i="9"/>
  <c r="K403" i="9"/>
  <c r="H403" i="9"/>
  <c r="F403" i="9"/>
  <c r="E403" i="9"/>
  <c r="D403" i="9"/>
  <c r="C403" i="9"/>
  <c r="B403" i="9"/>
  <c r="R402" i="9"/>
  <c r="Q402" i="9"/>
  <c r="P402" i="9"/>
  <c r="O402" i="9"/>
  <c r="N402" i="9"/>
  <c r="M402" i="9"/>
  <c r="K402" i="9"/>
  <c r="H402" i="9"/>
  <c r="F402" i="9"/>
  <c r="E402" i="9"/>
  <c r="D402" i="9"/>
  <c r="C402" i="9"/>
  <c r="B402" i="9"/>
  <c r="R401" i="9"/>
  <c r="Q401" i="9"/>
  <c r="P401" i="9"/>
  <c r="O401" i="9"/>
  <c r="N401" i="9"/>
  <c r="M401" i="9"/>
  <c r="K401" i="9"/>
  <c r="H401" i="9"/>
  <c r="F401" i="9"/>
  <c r="E401" i="9"/>
  <c r="D401" i="9"/>
  <c r="C401" i="9"/>
  <c r="B401" i="9"/>
  <c r="R400" i="9"/>
  <c r="Q400" i="9"/>
  <c r="P400" i="9"/>
  <c r="O400" i="9"/>
  <c r="N400" i="9"/>
  <c r="M400" i="9"/>
  <c r="K400" i="9"/>
  <c r="H400" i="9"/>
  <c r="F400" i="9"/>
  <c r="E400" i="9"/>
  <c r="D400" i="9"/>
  <c r="C400" i="9"/>
  <c r="B400" i="9"/>
  <c r="R399" i="9"/>
  <c r="Q399" i="9"/>
  <c r="P399" i="9"/>
  <c r="O399" i="9"/>
  <c r="N399" i="9"/>
  <c r="M399" i="9"/>
  <c r="K399" i="9"/>
  <c r="H399" i="9"/>
  <c r="F399" i="9"/>
  <c r="E399" i="9"/>
  <c r="D399" i="9"/>
  <c r="C399" i="9"/>
  <c r="B399" i="9"/>
  <c r="R398" i="9"/>
  <c r="Q398" i="9"/>
  <c r="P398" i="9"/>
  <c r="O398" i="9"/>
  <c r="N398" i="9"/>
  <c r="M398" i="9"/>
  <c r="K398" i="9"/>
  <c r="H398" i="9"/>
  <c r="F398" i="9"/>
  <c r="E398" i="9"/>
  <c r="D398" i="9"/>
  <c r="C398" i="9"/>
  <c r="B398" i="9"/>
  <c r="R397" i="9"/>
  <c r="Q397" i="9"/>
  <c r="P397" i="9"/>
  <c r="O397" i="9"/>
  <c r="N397" i="9"/>
  <c r="M397" i="9"/>
  <c r="K397" i="9"/>
  <c r="H397" i="9"/>
  <c r="F397" i="9"/>
  <c r="E397" i="9"/>
  <c r="D397" i="9"/>
  <c r="C397" i="9"/>
  <c r="B397" i="9"/>
  <c r="R396" i="9"/>
  <c r="Q396" i="9"/>
  <c r="P396" i="9"/>
  <c r="O396" i="9"/>
  <c r="N396" i="9"/>
  <c r="M396" i="9"/>
  <c r="K396" i="9"/>
  <c r="H396" i="9"/>
  <c r="F396" i="9"/>
  <c r="E396" i="9"/>
  <c r="D396" i="9"/>
  <c r="C396" i="9"/>
  <c r="B396" i="9"/>
  <c r="R395" i="9"/>
  <c r="Q395" i="9"/>
  <c r="P395" i="9"/>
  <c r="O395" i="9"/>
  <c r="N395" i="9"/>
  <c r="M395" i="9"/>
  <c r="K395" i="9"/>
  <c r="H395" i="9"/>
  <c r="F395" i="9"/>
  <c r="E395" i="9"/>
  <c r="D395" i="9"/>
  <c r="C395" i="9"/>
  <c r="B395" i="9"/>
  <c r="R394" i="9"/>
  <c r="Q394" i="9"/>
  <c r="P394" i="9"/>
  <c r="O394" i="9"/>
  <c r="N394" i="9"/>
  <c r="M394" i="9"/>
  <c r="K394" i="9"/>
  <c r="H394" i="9"/>
  <c r="F394" i="9"/>
  <c r="E394" i="9"/>
  <c r="D394" i="9"/>
  <c r="C394" i="9"/>
  <c r="B394" i="9"/>
  <c r="R393" i="9"/>
  <c r="Q393" i="9"/>
  <c r="P393" i="9"/>
  <c r="O393" i="9"/>
  <c r="N393" i="9"/>
  <c r="M393" i="9"/>
  <c r="K393" i="9"/>
  <c r="H393" i="9"/>
  <c r="F393" i="9"/>
  <c r="E393" i="9"/>
  <c r="D393" i="9"/>
  <c r="C393" i="9"/>
  <c r="B393" i="9"/>
  <c r="R392" i="9"/>
  <c r="Q392" i="9"/>
  <c r="P392" i="9"/>
  <c r="O392" i="9"/>
  <c r="N392" i="9"/>
  <c r="M392" i="9"/>
  <c r="K392" i="9"/>
  <c r="H392" i="9"/>
  <c r="F392" i="9"/>
  <c r="E392" i="9"/>
  <c r="D392" i="9"/>
  <c r="C392" i="9"/>
  <c r="B392" i="9"/>
  <c r="R391" i="9"/>
  <c r="Q391" i="9"/>
  <c r="P391" i="9"/>
  <c r="O391" i="9"/>
  <c r="N391" i="9"/>
  <c r="M391" i="9"/>
  <c r="K391" i="9"/>
  <c r="H391" i="9"/>
  <c r="F391" i="9"/>
  <c r="E391" i="9"/>
  <c r="D391" i="9"/>
  <c r="C391" i="9"/>
  <c r="B391" i="9"/>
  <c r="R390" i="9"/>
  <c r="Q390" i="9"/>
  <c r="P390" i="9"/>
  <c r="O390" i="9"/>
  <c r="N390" i="9"/>
  <c r="M390" i="9"/>
  <c r="K390" i="9"/>
  <c r="H390" i="9"/>
  <c r="F390" i="9"/>
  <c r="E390" i="9"/>
  <c r="D390" i="9"/>
  <c r="C390" i="9"/>
  <c r="B390" i="9"/>
  <c r="R389" i="9"/>
  <c r="Q389" i="9"/>
  <c r="P389" i="9"/>
  <c r="O389" i="9"/>
  <c r="N389" i="9"/>
  <c r="M389" i="9"/>
  <c r="K389" i="9"/>
  <c r="H389" i="9"/>
  <c r="F389" i="9"/>
  <c r="E389" i="9"/>
  <c r="D389" i="9"/>
  <c r="C389" i="9"/>
  <c r="B389" i="9"/>
  <c r="R388" i="9"/>
  <c r="Q388" i="9"/>
  <c r="P388" i="9"/>
  <c r="O388" i="9"/>
  <c r="N388" i="9"/>
  <c r="M388" i="9"/>
  <c r="K388" i="9"/>
  <c r="H388" i="9"/>
  <c r="F388" i="9"/>
  <c r="E388" i="9"/>
  <c r="D388" i="9"/>
  <c r="C388" i="9"/>
  <c r="B388" i="9"/>
  <c r="R387" i="9"/>
  <c r="Q387" i="9"/>
  <c r="P387" i="9"/>
  <c r="O387" i="9"/>
  <c r="N387" i="9"/>
  <c r="M387" i="9"/>
  <c r="K387" i="9"/>
  <c r="H387" i="9"/>
  <c r="F387" i="9"/>
  <c r="E387" i="9"/>
  <c r="D387" i="9"/>
  <c r="C387" i="9"/>
  <c r="B387" i="9"/>
  <c r="R386" i="9"/>
  <c r="Q386" i="9"/>
  <c r="P386" i="9"/>
  <c r="O386" i="9"/>
  <c r="N386" i="9"/>
  <c r="M386" i="9"/>
  <c r="K386" i="9"/>
  <c r="H386" i="9"/>
  <c r="F386" i="9"/>
  <c r="E386" i="9"/>
  <c r="D386" i="9"/>
  <c r="C386" i="9"/>
  <c r="B386" i="9"/>
  <c r="R385" i="9"/>
  <c r="Q385" i="9"/>
  <c r="P385" i="9"/>
  <c r="O385" i="9"/>
  <c r="N385" i="9"/>
  <c r="M385" i="9"/>
  <c r="K385" i="9"/>
  <c r="H385" i="9"/>
  <c r="F385" i="9"/>
  <c r="E385" i="9"/>
  <c r="D385" i="9"/>
  <c r="C385" i="9"/>
  <c r="B385" i="9"/>
  <c r="R384" i="9"/>
  <c r="Q384" i="9"/>
  <c r="P384" i="9"/>
  <c r="O384" i="9"/>
  <c r="N384" i="9"/>
  <c r="M384" i="9"/>
  <c r="K384" i="9"/>
  <c r="H384" i="9"/>
  <c r="F384" i="9"/>
  <c r="E384" i="9"/>
  <c r="D384" i="9"/>
  <c r="C384" i="9"/>
  <c r="B384" i="9"/>
  <c r="R383" i="9"/>
  <c r="Q383" i="9"/>
  <c r="P383" i="9"/>
  <c r="O383" i="9"/>
  <c r="N383" i="9"/>
  <c r="M383" i="9"/>
  <c r="K383" i="9"/>
  <c r="H383" i="9"/>
  <c r="F383" i="9"/>
  <c r="E383" i="9"/>
  <c r="D383" i="9"/>
  <c r="C383" i="9"/>
  <c r="B383" i="9"/>
  <c r="R382" i="9"/>
  <c r="Q382" i="9"/>
  <c r="P382" i="9"/>
  <c r="O382" i="9"/>
  <c r="N382" i="9"/>
  <c r="M382" i="9"/>
  <c r="K382" i="9"/>
  <c r="H382" i="9"/>
  <c r="F382" i="9"/>
  <c r="E382" i="9"/>
  <c r="D382" i="9"/>
  <c r="C382" i="9"/>
  <c r="B382" i="9"/>
  <c r="R381" i="9"/>
  <c r="Q381" i="9"/>
  <c r="P381" i="9"/>
  <c r="O381" i="9"/>
  <c r="N381" i="9"/>
  <c r="M381" i="9"/>
  <c r="K381" i="9"/>
  <c r="H381" i="9"/>
  <c r="F381" i="9"/>
  <c r="E381" i="9"/>
  <c r="D381" i="9"/>
  <c r="C381" i="9"/>
  <c r="B381" i="9"/>
  <c r="R380" i="9"/>
  <c r="Q380" i="9"/>
  <c r="P380" i="9"/>
  <c r="O380" i="9"/>
  <c r="N380" i="9"/>
  <c r="M380" i="9"/>
  <c r="K380" i="9"/>
  <c r="H380" i="9"/>
  <c r="F380" i="9"/>
  <c r="E380" i="9"/>
  <c r="D380" i="9"/>
  <c r="C380" i="9"/>
  <c r="B380" i="9"/>
  <c r="R379" i="9"/>
  <c r="Q379" i="9"/>
  <c r="P379" i="9"/>
  <c r="O379" i="9"/>
  <c r="N379" i="9"/>
  <c r="M379" i="9"/>
  <c r="K379" i="9"/>
  <c r="H379" i="9"/>
  <c r="F379" i="9"/>
  <c r="E379" i="9"/>
  <c r="D379" i="9"/>
  <c r="C379" i="9"/>
  <c r="B379" i="9"/>
  <c r="R378" i="9"/>
  <c r="Q378" i="9"/>
  <c r="P378" i="9"/>
  <c r="O378" i="9"/>
  <c r="N378" i="9"/>
  <c r="M378" i="9"/>
  <c r="K378" i="9"/>
  <c r="H378" i="9"/>
  <c r="F378" i="9"/>
  <c r="E378" i="9"/>
  <c r="D378" i="9"/>
  <c r="C378" i="9"/>
  <c r="B378" i="9"/>
  <c r="R377" i="9"/>
  <c r="Q377" i="9"/>
  <c r="P377" i="9"/>
  <c r="O377" i="9"/>
  <c r="N377" i="9"/>
  <c r="M377" i="9"/>
  <c r="K377" i="9"/>
  <c r="H377" i="9"/>
  <c r="F377" i="9"/>
  <c r="E377" i="9"/>
  <c r="D377" i="9"/>
  <c r="C377" i="9"/>
  <c r="B377" i="9"/>
  <c r="R376" i="9"/>
  <c r="Q376" i="9"/>
  <c r="P376" i="9"/>
  <c r="O376" i="9"/>
  <c r="N376" i="9"/>
  <c r="M376" i="9"/>
  <c r="K376" i="9"/>
  <c r="H376" i="9"/>
  <c r="F376" i="9"/>
  <c r="E376" i="9"/>
  <c r="D376" i="9"/>
  <c r="C376" i="9"/>
  <c r="B376" i="9"/>
  <c r="R375" i="9"/>
  <c r="Q375" i="9"/>
  <c r="P375" i="9"/>
  <c r="O375" i="9"/>
  <c r="N375" i="9"/>
  <c r="M375" i="9"/>
  <c r="K375" i="9"/>
  <c r="H375" i="9"/>
  <c r="F375" i="9"/>
  <c r="E375" i="9"/>
  <c r="D375" i="9"/>
  <c r="C375" i="9"/>
  <c r="B375" i="9"/>
  <c r="R374" i="9"/>
  <c r="Q374" i="9"/>
  <c r="P374" i="9"/>
  <c r="O374" i="9"/>
  <c r="N374" i="9"/>
  <c r="M374" i="9"/>
  <c r="K374" i="9"/>
  <c r="H374" i="9"/>
  <c r="F374" i="9"/>
  <c r="E374" i="9"/>
  <c r="D374" i="9"/>
  <c r="C374" i="9"/>
  <c r="B374" i="9"/>
  <c r="R373" i="9"/>
  <c r="Q373" i="9"/>
  <c r="P373" i="9"/>
  <c r="O373" i="9"/>
  <c r="N373" i="9"/>
  <c r="M373" i="9"/>
  <c r="K373" i="9"/>
  <c r="H373" i="9"/>
  <c r="F373" i="9"/>
  <c r="E373" i="9"/>
  <c r="D373" i="9"/>
  <c r="C373" i="9"/>
  <c r="B373" i="9"/>
  <c r="R372" i="9"/>
  <c r="Q372" i="9"/>
  <c r="P372" i="9"/>
  <c r="O372" i="9"/>
  <c r="N372" i="9"/>
  <c r="M372" i="9"/>
  <c r="K372" i="9"/>
  <c r="H372" i="9"/>
  <c r="F372" i="9"/>
  <c r="E372" i="9"/>
  <c r="D372" i="9"/>
  <c r="C372" i="9"/>
  <c r="B372" i="9"/>
  <c r="R371" i="9"/>
  <c r="Q371" i="9"/>
  <c r="P371" i="9"/>
  <c r="O371" i="9"/>
  <c r="N371" i="9"/>
  <c r="M371" i="9"/>
  <c r="K371" i="9"/>
  <c r="H371" i="9"/>
  <c r="F371" i="9"/>
  <c r="E371" i="9"/>
  <c r="D371" i="9"/>
  <c r="C371" i="9"/>
  <c r="B371" i="9"/>
  <c r="R370" i="9"/>
  <c r="Q370" i="9"/>
  <c r="P370" i="9"/>
  <c r="O370" i="9"/>
  <c r="N370" i="9"/>
  <c r="M370" i="9"/>
  <c r="K370" i="9"/>
  <c r="H370" i="9"/>
  <c r="F370" i="9"/>
  <c r="E370" i="9"/>
  <c r="D370" i="9"/>
  <c r="C370" i="9"/>
  <c r="B370" i="9"/>
  <c r="R369" i="9"/>
  <c r="Q369" i="9"/>
  <c r="P369" i="9"/>
  <c r="O369" i="9"/>
  <c r="N369" i="9"/>
  <c r="M369" i="9"/>
  <c r="K369" i="9"/>
  <c r="H369" i="9"/>
  <c r="F369" i="9"/>
  <c r="E369" i="9"/>
  <c r="D369" i="9"/>
  <c r="C369" i="9"/>
  <c r="B369" i="9"/>
  <c r="R368" i="9"/>
  <c r="Q368" i="9"/>
  <c r="P368" i="9"/>
  <c r="O368" i="9"/>
  <c r="N368" i="9"/>
  <c r="M368" i="9"/>
  <c r="K368" i="9"/>
  <c r="H368" i="9"/>
  <c r="F368" i="9"/>
  <c r="E368" i="9"/>
  <c r="D368" i="9"/>
  <c r="C368" i="9"/>
  <c r="B368" i="9"/>
  <c r="R367" i="9"/>
  <c r="Q367" i="9"/>
  <c r="P367" i="9"/>
  <c r="O367" i="9"/>
  <c r="N367" i="9"/>
  <c r="M367" i="9"/>
  <c r="K367" i="9"/>
  <c r="H367" i="9"/>
  <c r="F367" i="9"/>
  <c r="E367" i="9"/>
  <c r="D367" i="9"/>
  <c r="C367" i="9"/>
  <c r="B367" i="9"/>
  <c r="R366" i="9"/>
  <c r="Q366" i="9"/>
  <c r="P366" i="9"/>
  <c r="O366" i="9"/>
  <c r="N366" i="9"/>
  <c r="M366" i="9"/>
  <c r="K366" i="9"/>
  <c r="H366" i="9"/>
  <c r="F366" i="9"/>
  <c r="E366" i="9"/>
  <c r="D366" i="9"/>
  <c r="C366" i="9"/>
  <c r="B366" i="9"/>
  <c r="R365" i="9"/>
  <c r="Q365" i="9"/>
  <c r="P365" i="9"/>
  <c r="O365" i="9"/>
  <c r="N365" i="9"/>
  <c r="M365" i="9"/>
  <c r="K365" i="9"/>
  <c r="H365" i="9"/>
  <c r="F365" i="9"/>
  <c r="E365" i="9"/>
  <c r="D365" i="9"/>
  <c r="C365" i="9"/>
  <c r="B365" i="9"/>
  <c r="R364" i="9"/>
  <c r="Q364" i="9"/>
  <c r="P364" i="9"/>
  <c r="O364" i="9"/>
  <c r="N364" i="9"/>
  <c r="M364" i="9"/>
  <c r="K364" i="9"/>
  <c r="H364" i="9"/>
  <c r="F364" i="9"/>
  <c r="E364" i="9"/>
  <c r="D364" i="9"/>
  <c r="C364" i="9"/>
  <c r="B364" i="9"/>
  <c r="R363" i="9"/>
  <c r="Q363" i="9"/>
  <c r="P363" i="9"/>
  <c r="O363" i="9"/>
  <c r="N363" i="9"/>
  <c r="M363" i="9"/>
  <c r="K363" i="9"/>
  <c r="H363" i="9"/>
  <c r="F363" i="9"/>
  <c r="E363" i="9"/>
  <c r="D363" i="9"/>
  <c r="C363" i="9"/>
  <c r="B363" i="9"/>
  <c r="R362" i="9"/>
  <c r="Q362" i="9"/>
  <c r="P362" i="9"/>
  <c r="O362" i="9"/>
  <c r="N362" i="9"/>
  <c r="M362" i="9"/>
  <c r="K362" i="9"/>
  <c r="H362" i="9"/>
  <c r="F362" i="9"/>
  <c r="E362" i="9"/>
  <c r="D362" i="9"/>
  <c r="C362" i="9"/>
  <c r="B362" i="9"/>
  <c r="R361" i="9"/>
  <c r="Q361" i="9"/>
  <c r="P361" i="9"/>
  <c r="O361" i="9"/>
  <c r="N361" i="9"/>
  <c r="M361" i="9"/>
  <c r="K361" i="9"/>
  <c r="H361" i="9"/>
  <c r="F361" i="9"/>
  <c r="E361" i="9"/>
  <c r="D361" i="9"/>
  <c r="C361" i="9"/>
  <c r="B361" i="9"/>
  <c r="R360" i="9"/>
  <c r="Q360" i="9"/>
  <c r="P360" i="9"/>
  <c r="O360" i="9"/>
  <c r="N360" i="9"/>
  <c r="M360" i="9"/>
  <c r="K360" i="9"/>
  <c r="H360" i="9"/>
  <c r="F360" i="9"/>
  <c r="E360" i="9"/>
  <c r="D360" i="9"/>
  <c r="C360" i="9"/>
  <c r="B360" i="9"/>
  <c r="R359" i="9"/>
  <c r="Q359" i="9"/>
  <c r="P359" i="9"/>
  <c r="O359" i="9"/>
  <c r="N359" i="9"/>
  <c r="M359" i="9"/>
  <c r="K359" i="9"/>
  <c r="H359" i="9"/>
  <c r="F359" i="9"/>
  <c r="E359" i="9"/>
  <c r="D359" i="9"/>
  <c r="C359" i="9"/>
  <c r="B359" i="9"/>
  <c r="R358" i="9"/>
  <c r="Q358" i="9"/>
  <c r="P358" i="9"/>
  <c r="O358" i="9"/>
  <c r="N358" i="9"/>
  <c r="M358" i="9"/>
  <c r="K358" i="9"/>
  <c r="H358" i="9"/>
  <c r="F358" i="9"/>
  <c r="E358" i="9"/>
  <c r="D358" i="9"/>
  <c r="C358" i="9"/>
  <c r="B358" i="9"/>
  <c r="R357" i="9"/>
  <c r="Q357" i="9"/>
  <c r="P357" i="9"/>
  <c r="O357" i="9"/>
  <c r="N357" i="9"/>
  <c r="M357" i="9"/>
  <c r="K357" i="9"/>
  <c r="H357" i="9"/>
  <c r="F357" i="9"/>
  <c r="E357" i="9"/>
  <c r="D357" i="9"/>
  <c r="C357" i="9"/>
  <c r="B357" i="9"/>
  <c r="R356" i="9"/>
  <c r="Q356" i="9"/>
  <c r="P356" i="9"/>
  <c r="O356" i="9"/>
  <c r="N356" i="9"/>
  <c r="M356" i="9"/>
  <c r="K356" i="9"/>
  <c r="H356" i="9"/>
  <c r="F356" i="9"/>
  <c r="E356" i="9"/>
  <c r="D356" i="9"/>
  <c r="C356" i="9"/>
  <c r="B356" i="9"/>
  <c r="R355" i="9"/>
  <c r="Q355" i="9"/>
  <c r="P355" i="9"/>
  <c r="O355" i="9"/>
  <c r="N355" i="9"/>
  <c r="M355" i="9"/>
  <c r="K355" i="9"/>
  <c r="H355" i="9"/>
  <c r="F355" i="9"/>
  <c r="E355" i="9"/>
  <c r="D355" i="9"/>
  <c r="C355" i="9"/>
  <c r="B355" i="9"/>
  <c r="R354" i="9"/>
  <c r="Q354" i="9"/>
  <c r="P354" i="9"/>
  <c r="O354" i="9"/>
  <c r="N354" i="9"/>
  <c r="M354" i="9"/>
  <c r="K354" i="9"/>
  <c r="H354" i="9"/>
  <c r="F354" i="9"/>
  <c r="E354" i="9"/>
  <c r="D354" i="9"/>
  <c r="C354" i="9"/>
  <c r="B354" i="9"/>
  <c r="R353" i="9"/>
  <c r="Q353" i="9"/>
  <c r="P353" i="9"/>
  <c r="O353" i="9"/>
  <c r="N353" i="9"/>
  <c r="M353" i="9"/>
  <c r="K353" i="9"/>
  <c r="H353" i="9"/>
  <c r="F353" i="9"/>
  <c r="E353" i="9"/>
  <c r="D353" i="9"/>
  <c r="C353" i="9"/>
  <c r="B353" i="9"/>
  <c r="R352" i="9"/>
  <c r="Q352" i="9"/>
  <c r="P352" i="9"/>
  <c r="O352" i="9"/>
  <c r="N352" i="9"/>
  <c r="M352" i="9"/>
  <c r="C352" i="9"/>
  <c r="B352" i="9"/>
  <c r="R351" i="9"/>
  <c r="Q351" i="9"/>
  <c r="P351" i="9"/>
  <c r="O351" i="9"/>
  <c r="N351" i="9"/>
  <c r="M351" i="9"/>
  <c r="C351" i="9"/>
  <c r="B351" i="9"/>
  <c r="R350" i="9"/>
  <c r="Q350" i="9"/>
  <c r="P350" i="9"/>
  <c r="O350" i="9"/>
  <c r="N350" i="9"/>
  <c r="M350" i="9"/>
  <c r="C350" i="9"/>
  <c r="B350" i="9"/>
  <c r="R349" i="9"/>
  <c r="Q349" i="9"/>
  <c r="P349" i="9"/>
  <c r="O349" i="9"/>
  <c r="N349" i="9"/>
  <c r="M349" i="9"/>
  <c r="C349" i="9"/>
  <c r="I349" i="9" s="1"/>
  <c r="B349" i="9"/>
  <c r="R348" i="9"/>
  <c r="Q348" i="9"/>
  <c r="P348" i="9"/>
  <c r="O348" i="9"/>
  <c r="N348" i="9"/>
  <c r="M348" i="9"/>
  <c r="C348" i="9"/>
  <c r="B348" i="9"/>
  <c r="R347" i="9"/>
  <c r="Q347" i="9"/>
  <c r="P347" i="9"/>
  <c r="O347" i="9"/>
  <c r="N347" i="9"/>
  <c r="M347" i="9"/>
  <c r="C347" i="9"/>
  <c r="B347" i="9"/>
  <c r="R346" i="9"/>
  <c r="Q346" i="9"/>
  <c r="P346" i="9"/>
  <c r="O346" i="9"/>
  <c r="N346" i="9"/>
  <c r="M346" i="9"/>
  <c r="C346" i="9"/>
  <c r="B346" i="9"/>
  <c r="R345" i="9"/>
  <c r="Q345" i="9"/>
  <c r="P345" i="9"/>
  <c r="O345" i="9"/>
  <c r="N345" i="9"/>
  <c r="M345" i="9"/>
  <c r="C345" i="9"/>
  <c r="B345" i="9"/>
  <c r="R344" i="9"/>
  <c r="Q344" i="9"/>
  <c r="P344" i="9"/>
  <c r="O344" i="9"/>
  <c r="N344" i="9"/>
  <c r="M344" i="9"/>
  <c r="C344" i="9"/>
  <c r="B344" i="9"/>
  <c r="R343" i="9"/>
  <c r="Q343" i="9"/>
  <c r="P343" i="9"/>
  <c r="O343" i="9"/>
  <c r="N343" i="9"/>
  <c r="M343" i="9"/>
  <c r="C343" i="9"/>
  <c r="B343" i="9"/>
  <c r="R342" i="9"/>
  <c r="Q342" i="9"/>
  <c r="P342" i="9"/>
  <c r="O342" i="9"/>
  <c r="N342" i="9"/>
  <c r="M342" i="9"/>
  <c r="C342" i="9"/>
  <c r="B342" i="9"/>
  <c r="R341" i="9"/>
  <c r="Q341" i="9"/>
  <c r="P341" i="9"/>
  <c r="O341" i="9"/>
  <c r="N341" i="9"/>
  <c r="M341" i="9"/>
  <c r="C341" i="9"/>
  <c r="I341" i="9" s="1"/>
  <c r="B341" i="9"/>
  <c r="R340" i="9"/>
  <c r="Q340" i="9"/>
  <c r="P340" i="9"/>
  <c r="O340" i="9"/>
  <c r="N340" i="9"/>
  <c r="M340" i="9"/>
  <c r="C340" i="9"/>
  <c r="B340" i="9"/>
  <c r="R339" i="9"/>
  <c r="Q339" i="9"/>
  <c r="P339" i="9"/>
  <c r="O339" i="9"/>
  <c r="N339" i="9"/>
  <c r="M339" i="9"/>
  <c r="C339" i="9"/>
  <c r="B339" i="9"/>
  <c r="R338" i="9"/>
  <c r="Q338" i="9"/>
  <c r="P338" i="9"/>
  <c r="O338" i="9"/>
  <c r="N338" i="9"/>
  <c r="M338" i="9"/>
  <c r="C338" i="9"/>
  <c r="B338" i="9"/>
  <c r="R337" i="9"/>
  <c r="Q337" i="9"/>
  <c r="P337" i="9"/>
  <c r="O337" i="9"/>
  <c r="N337" i="9"/>
  <c r="M337" i="9"/>
  <c r="C337" i="9"/>
  <c r="B337" i="9"/>
  <c r="R336" i="9"/>
  <c r="Q336" i="9"/>
  <c r="P336" i="9"/>
  <c r="O336" i="9"/>
  <c r="N336" i="9"/>
  <c r="M336" i="9"/>
  <c r="C336" i="9"/>
  <c r="B336" i="9"/>
  <c r="R335" i="9"/>
  <c r="Q335" i="9"/>
  <c r="P335" i="9"/>
  <c r="O335" i="9"/>
  <c r="N335" i="9"/>
  <c r="M335" i="9"/>
  <c r="C335" i="9"/>
  <c r="B335" i="9"/>
  <c r="R334" i="9"/>
  <c r="Q334" i="9"/>
  <c r="P334" i="9"/>
  <c r="O334" i="9"/>
  <c r="N334" i="9"/>
  <c r="M334" i="9"/>
  <c r="C334" i="9"/>
  <c r="B334" i="9"/>
  <c r="C333" i="9"/>
  <c r="R333" i="9" s="1"/>
  <c r="B333" i="9"/>
  <c r="C332" i="9"/>
  <c r="B332" i="9"/>
  <c r="M331" i="9"/>
  <c r="C331" i="9"/>
  <c r="R331" i="9" s="1"/>
  <c r="B331" i="9"/>
  <c r="C330" i="9"/>
  <c r="R330" i="9" s="1"/>
  <c r="B330" i="9"/>
  <c r="C329" i="9"/>
  <c r="R329" i="9" s="1"/>
  <c r="B329" i="9"/>
  <c r="C328" i="9"/>
  <c r="R328" i="9" s="1"/>
  <c r="B328" i="9"/>
  <c r="C327" i="9"/>
  <c r="R327" i="9" s="1"/>
  <c r="B327" i="9"/>
  <c r="C326" i="9"/>
  <c r="B326" i="9"/>
  <c r="K325" i="9"/>
  <c r="H325" i="9"/>
  <c r="F325" i="9"/>
  <c r="E325" i="9"/>
  <c r="D325" i="9"/>
  <c r="C325" i="9"/>
  <c r="B325" i="9"/>
  <c r="K324" i="9"/>
  <c r="H324" i="9"/>
  <c r="F324" i="9"/>
  <c r="E324" i="9"/>
  <c r="D324" i="9"/>
  <c r="C324" i="9"/>
  <c r="B324" i="9"/>
  <c r="K323" i="9"/>
  <c r="H323" i="9"/>
  <c r="F323" i="9"/>
  <c r="E323" i="9"/>
  <c r="D323" i="9"/>
  <c r="C323" i="9"/>
  <c r="L323" i="9" s="1"/>
  <c r="B323" i="9"/>
  <c r="K322" i="9"/>
  <c r="H322" i="9"/>
  <c r="F322" i="9"/>
  <c r="E322" i="9"/>
  <c r="D322" i="9"/>
  <c r="C322" i="9"/>
  <c r="B322" i="9"/>
  <c r="K321" i="9"/>
  <c r="H321" i="9"/>
  <c r="F321" i="9"/>
  <c r="E321" i="9"/>
  <c r="D321" i="9"/>
  <c r="C321" i="9"/>
  <c r="B321" i="9"/>
  <c r="K320" i="9"/>
  <c r="H320" i="9"/>
  <c r="F320" i="9"/>
  <c r="E320" i="9"/>
  <c r="D320" i="9"/>
  <c r="C320" i="9"/>
  <c r="B320" i="9"/>
  <c r="H313" i="9"/>
  <c r="D313" i="9"/>
  <c r="C313" i="9"/>
  <c r="B313" i="9"/>
  <c r="C312" i="9"/>
  <c r="B312" i="9"/>
  <c r="C311" i="9"/>
  <c r="B311" i="9"/>
  <c r="C310" i="9"/>
  <c r="B310" i="9"/>
  <c r="C309" i="9"/>
  <c r="B309" i="9"/>
  <c r="C308" i="9"/>
  <c r="B308" i="9"/>
  <c r="C307" i="9"/>
  <c r="B307" i="9"/>
  <c r="C306" i="9"/>
  <c r="B306" i="9"/>
  <c r="C305" i="9"/>
  <c r="B305" i="9"/>
  <c r="C304" i="9"/>
  <c r="B304" i="9"/>
  <c r="C303" i="9"/>
  <c r="B303" i="9"/>
  <c r="C302" i="9"/>
  <c r="B302" i="9"/>
  <c r="C301" i="9"/>
  <c r="B301" i="9"/>
  <c r="C300" i="9"/>
  <c r="B300" i="9"/>
  <c r="C299" i="9"/>
  <c r="B299" i="9"/>
  <c r="C298" i="9"/>
  <c r="B298" i="9"/>
  <c r="C297" i="9"/>
  <c r="B297" i="9"/>
  <c r="C296" i="9"/>
  <c r="B296" i="9"/>
  <c r="C295" i="9"/>
  <c r="B295" i="9"/>
  <c r="C294" i="9"/>
  <c r="B294" i="9"/>
  <c r="C293" i="9"/>
  <c r="B293" i="9"/>
  <c r="C292" i="9"/>
  <c r="B292" i="9"/>
  <c r="C291" i="9"/>
  <c r="B291" i="9"/>
  <c r="C290" i="9"/>
  <c r="B290" i="9"/>
  <c r="C289" i="9"/>
  <c r="B289" i="9"/>
  <c r="C288" i="9"/>
  <c r="B288" i="9"/>
  <c r="C287" i="9"/>
  <c r="B287" i="9"/>
  <c r="C286" i="9"/>
  <c r="B286" i="9"/>
  <c r="C285" i="9"/>
  <c r="B285" i="9"/>
  <c r="C284" i="9"/>
  <c r="B284" i="9"/>
  <c r="C283" i="9"/>
  <c r="B283" i="9"/>
  <c r="C282" i="9"/>
  <c r="B282" i="9"/>
  <c r="C281" i="9"/>
  <c r="B281" i="9"/>
  <c r="C280" i="9"/>
  <c r="B280" i="9"/>
  <c r="C279" i="9"/>
  <c r="B279" i="9"/>
  <c r="C278" i="9"/>
  <c r="B278" i="9"/>
  <c r="C277" i="9"/>
  <c r="B277" i="9"/>
  <c r="C276" i="9"/>
  <c r="B276" i="9"/>
  <c r="C275" i="9"/>
  <c r="B275" i="9"/>
  <c r="C274" i="9"/>
  <c r="B274" i="9"/>
  <c r="C273" i="9"/>
  <c r="B273" i="9"/>
  <c r="C272" i="9"/>
  <c r="B272" i="9"/>
  <c r="C271" i="9"/>
  <c r="B271" i="9"/>
  <c r="C270" i="9"/>
  <c r="B270" i="9"/>
  <c r="C269" i="9"/>
  <c r="B269" i="9"/>
  <c r="C268" i="9"/>
  <c r="B268" i="9"/>
  <c r="C267" i="9"/>
  <c r="B267" i="9"/>
  <c r="C266" i="9"/>
  <c r="B266" i="9"/>
  <c r="C265" i="9"/>
  <c r="B265" i="9"/>
  <c r="C264" i="9"/>
  <c r="B264" i="9"/>
  <c r="C263" i="9"/>
  <c r="B263" i="9"/>
  <c r="C262" i="9"/>
  <c r="B262" i="9"/>
  <c r="C261" i="9"/>
  <c r="B261" i="9"/>
  <c r="C260" i="9"/>
  <c r="B260" i="9"/>
  <c r="C259" i="9"/>
  <c r="B259" i="9"/>
  <c r="C258" i="9"/>
  <c r="B258" i="9"/>
  <c r="C257" i="9"/>
  <c r="B257" i="9"/>
  <c r="C256" i="9"/>
  <c r="B256" i="9"/>
  <c r="C255" i="9"/>
  <c r="B255" i="9"/>
  <c r="C254" i="9"/>
  <c r="B254" i="9"/>
  <c r="C253" i="9"/>
  <c r="B253" i="9"/>
  <c r="C252" i="9"/>
  <c r="B252" i="9"/>
  <c r="C251" i="9"/>
  <c r="B251" i="9"/>
  <c r="C250" i="9"/>
  <c r="B250" i="9"/>
  <c r="C249" i="9"/>
  <c r="B249" i="9"/>
  <c r="C248" i="9"/>
  <c r="B248" i="9"/>
  <c r="C247" i="9"/>
  <c r="B247" i="9"/>
  <c r="C246" i="9"/>
  <c r="B246" i="9"/>
  <c r="C245" i="9"/>
  <c r="B245" i="9"/>
  <c r="C244" i="9"/>
  <c r="B244" i="9"/>
  <c r="C243" i="9"/>
  <c r="B243" i="9"/>
  <c r="C242" i="9"/>
  <c r="B242" i="9"/>
  <c r="C241" i="9"/>
  <c r="B241" i="9"/>
  <c r="C240" i="9"/>
  <c r="B240" i="9"/>
  <c r="C239" i="9"/>
  <c r="B239" i="9"/>
  <c r="C238" i="9"/>
  <c r="B238" i="9"/>
  <c r="C237" i="9"/>
  <c r="B237" i="9"/>
  <c r="C236" i="9"/>
  <c r="B236" i="9"/>
  <c r="C235" i="9"/>
  <c r="B235" i="9"/>
  <c r="C234" i="9"/>
  <c r="B234" i="9"/>
  <c r="C233" i="9"/>
  <c r="B233" i="9"/>
  <c r="C232" i="9"/>
  <c r="B232" i="9"/>
  <c r="C231" i="9"/>
  <c r="B231" i="9"/>
  <c r="C230" i="9"/>
  <c r="B230" i="9"/>
  <c r="C229" i="9"/>
  <c r="B229" i="9"/>
  <c r="C228" i="9"/>
  <c r="B228" i="9"/>
  <c r="C227" i="9"/>
  <c r="B227" i="9"/>
  <c r="C226" i="9"/>
  <c r="B226" i="9"/>
  <c r="C225" i="9"/>
  <c r="B225" i="9"/>
  <c r="C224" i="9"/>
  <c r="B224" i="9"/>
  <c r="C223" i="9"/>
  <c r="B223" i="9"/>
  <c r="C222" i="9"/>
  <c r="B222" i="9"/>
  <c r="C221" i="9"/>
  <c r="B221" i="9"/>
  <c r="C220" i="9"/>
  <c r="B220" i="9"/>
  <c r="C219" i="9"/>
  <c r="B219" i="9"/>
  <c r="C218" i="9"/>
  <c r="B218" i="9"/>
  <c r="C217" i="9"/>
  <c r="B217" i="9"/>
  <c r="C216" i="9"/>
  <c r="B216" i="9"/>
  <c r="C215" i="9"/>
  <c r="B215" i="9"/>
  <c r="R208" i="9"/>
  <c r="Q208" i="9"/>
  <c r="P208" i="9"/>
  <c r="O208" i="9"/>
  <c r="N208" i="9"/>
  <c r="M208" i="9"/>
  <c r="K208" i="9"/>
  <c r="H208" i="9"/>
  <c r="F208" i="9"/>
  <c r="E208" i="9"/>
  <c r="D208" i="9"/>
  <c r="C208" i="9"/>
  <c r="B208" i="9"/>
  <c r="R207" i="9"/>
  <c r="Q207" i="9"/>
  <c r="P207" i="9"/>
  <c r="O207" i="9"/>
  <c r="N207" i="9"/>
  <c r="M207" i="9"/>
  <c r="K207" i="9"/>
  <c r="H207" i="9"/>
  <c r="F207" i="9"/>
  <c r="E207" i="9"/>
  <c r="D207" i="9"/>
  <c r="C207" i="9"/>
  <c r="B207" i="9"/>
  <c r="R206" i="9"/>
  <c r="Q206" i="9"/>
  <c r="P206" i="9"/>
  <c r="O206" i="9"/>
  <c r="N206" i="9"/>
  <c r="M206" i="9"/>
  <c r="K206" i="9"/>
  <c r="H206" i="9"/>
  <c r="F206" i="9"/>
  <c r="E206" i="9"/>
  <c r="D206" i="9"/>
  <c r="C206" i="9"/>
  <c r="B206" i="9"/>
  <c r="R205" i="9"/>
  <c r="Q205" i="9"/>
  <c r="P205" i="9"/>
  <c r="O205" i="9"/>
  <c r="N205" i="9"/>
  <c r="M205" i="9"/>
  <c r="K205" i="9"/>
  <c r="H205" i="9"/>
  <c r="F205" i="9"/>
  <c r="E205" i="9"/>
  <c r="D205" i="9"/>
  <c r="C205" i="9"/>
  <c r="B205" i="9"/>
  <c r="R204" i="9"/>
  <c r="Q204" i="9"/>
  <c r="P204" i="9"/>
  <c r="O204" i="9"/>
  <c r="N204" i="9"/>
  <c r="M204" i="9"/>
  <c r="K204" i="9"/>
  <c r="H204" i="9"/>
  <c r="F204" i="9"/>
  <c r="E204" i="9"/>
  <c r="D204" i="9"/>
  <c r="C204" i="9"/>
  <c r="B204" i="9"/>
  <c r="R203" i="9"/>
  <c r="Q203" i="9"/>
  <c r="P203" i="9"/>
  <c r="O203" i="9"/>
  <c r="N203" i="9"/>
  <c r="M203" i="9"/>
  <c r="K203" i="9"/>
  <c r="H203" i="9"/>
  <c r="F203" i="9"/>
  <c r="E203" i="9"/>
  <c r="D203" i="9"/>
  <c r="C203" i="9"/>
  <c r="B203" i="9"/>
  <c r="R202" i="9"/>
  <c r="Q202" i="9"/>
  <c r="P202" i="9"/>
  <c r="O202" i="9"/>
  <c r="N202" i="9"/>
  <c r="M202" i="9"/>
  <c r="K202" i="9"/>
  <c r="H202" i="9"/>
  <c r="F202" i="9"/>
  <c r="E202" i="9"/>
  <c r="D202" i="9"/>
  <c r="C202" i="9"/>
  <c r="B202" i="9"/>
  <c r="R201" i="9"/>
  <c r="Q201" i="9"/>
  <c r="P201" i="9"/>
  <c r="O201" i="9"/>
  <c r="N201" i="9"/>
  <c r="M201" i="9"/>
  <c r="K201" i="9"/>
  <c r="H201" i="9"/>
  <c r="F201" i="9"/>
  <c r="E201" i="9"/>
  <c r="D201" i="9"/>
  <c r="C201" i="9"/>
  <c r="B201" i="9"/>
  <c r="R200" i="9"/>
  <c r="Q200" i="9"/>
  <c r="P200" i="9"/>
  <c r="O200" i="9"/>
  <c r="N200" i="9"/>
  <c r="M200" i="9"/>
  <c r="K200" i="9"/>
  <c r="H200" i="9"/>
  <c r="F200" i="9"/>
  <c r="E200" i="9"/>
  <c r="D200" i="9"/>
  <c r="C200" i="9"/>
  <c r="B200" i="9"/>
  <c r="R199" i="9"/>
  <c r="Q199" i="9"/>
  <c r="P199" i="9"/>
  <c r="O199" i="9"/>
  <c r="N199" i="9"/>
  <c r="M199" i="9"/>
  <c r="K199" i="9"/>
  <c r="H199" i="9"/>
  <c r="F199" i="9"/>
  <c r="E199" i="9"/>
  <c r="D199" i="9"/>
  <c r="C199" i="9"/>
  <c r="B199" i="9"/>
  <c r="R198" i="9"/>
  <c r="Q198" i="9"/>
  <c r="P198" i="9"/>
  <c r="O198" i="9"/>
  <c r="N198" i="9"/>
  <c r="M198" i="9"/>
  <c r="K198" i="9"/>
  <c r="H198" i="9"/>
  <c r="F198" i="9"/>
  <c r="E198" i="9"/>
  <c r="D198" i="9"/>
  <c r="C198" i="9"/>
  <c r="B198" i="9"/>
  <c r="R197" i="9"/>
  <c r="Q197" i="9"/>
  <c r="P197" i="9"/>
  <c r="O197" i="9"/>
  <c r="N197" i="9"/>
  <c r="M197" i="9"/>
  <c r="K197" i="9"/>
  <c r="H197" i="9"/>
  <c r="F197" i="9"/>
  <c r="E197" i="9"/>
  <c r="D197" i="9"/>
  <c r="C197" i="9"/>
  <c r="B197" i="9"/>
  <c r="R196" i="9"/>
  <c r="Q196" i="9"/>
  <c r="P196" i="9"/>
  <c r="O196" i="9"/>
  <c r="N196" i="9"/>
  <c r="M196" i="9"/>
  <c r="K196" i="9"/>
  <c r="H196" i="9"/>
  <c r="F196" i="9"/>
  <c r="E196" i="9"/>
  <c r="D196" i="9"/>
  <c r="C196" i="9"/>
  <c r="B196" i="9"/>
  <c r="R195" i="9"/>
  <c r="Q195" i="9"/>
  <c r="P195" i="9"/>
  <c r="O195" i="9"/>
  <c r="N195" i="9"/>
  <c r="M195" i="9"/>
  <c r="K195" i="9"/>
  <c r="H195" i="9"/>
  <c r="F195" i="9"/>
  <c r="E195" i="9"/>
  <c r="D195" i="9"/>
  <c r="C195" i="9"/>
  <c r="B195" i="9"/>
  <c r="R194" i="9"/>
  <c r="Q194" i="9"/>
  <c r="P194" i="9"/>
  <c r="O194" i="9"/>
  <c r="N194" i="9"/>
  <c r="M194" i="9"/>
  <c r="K194" i="9"/>
  <c r="H194" i="9"/>
  <c r="F194" i="9"/>
  <c r="E194" i="9"/>
  <c r="D194" i="9"/>
  <c r="C194" i="9"/>
  <c r="B194" i="9"/>
  <c r="R193" i="9"/>
  <c r="Q193" i="9"/>
  <c r="P193" i="9"/>
  <c r="O193" i="9"/>
  <c r="N193" i="9"/>
  <c r="M193" i="9"/>
  <c r="K193" i="9"/>
  <c r="H193" i="9"/>
  <c r="F193" i="9"/>
  <c r="E193" i="9"/>
  <c r="D193" i="9"/>
  <c r="C193" i="9"/>
  <c r="B193" i="9"/>
  <c r="R192" i="9"/>
  <c r="Q192" i="9"/>
  <c r="P192" i="9"/>
  <c r="O192" i="9"/>
  <c r="N192" i="9"/>
  <c r="M192" i="9"/>
  <c r="K192" i="9"/>
  <c r="H192" i="9"/>
  <c r="F192" i="9"/>
  <c r="E192" i="9"/>
  <c r="D192" i="9"/>
  <c r="C192" i="9"/>
  <c r="B192" i="9"/>
  <c r="R191" i="9"/>
  <c r="Q191" i="9"/>
  <c r="P191" i="9"/>
  <c r="O191" i="9"/>
  <c r="N191" i="9"/>
  <c r="M191" i="9"/>
  <c r="K191" i="9"/>
  <c r="H191" i="9"/>
  <c r="F191" i="9"/>
  <c r="E191" i="9"/>
  <c r="D191" i="9"/>
  <c r="C191" i="9"/>
  <c r="B191" i="9"/>
  <c r="R190" i="9"/>
  <c r="Q190" i="9"/>
  <c r="P190" i="9"/>
  <c r="O190" i="9"/>
  <c r="N190" i="9"/>
  <c r="M190" i="9"/>
  <c r="K190" i="9"/>
  <c r="H190" i="9"/>
  <c r="F190" i="9"/>
  <c r="E190" i="9"/>
  <c r="D190" i="9"/>
  <c r="C190" i="9"/>
  <c r="B190" i="9"/>
  <c r="R189" i="9"/>
  <c r="Q189" i="9"/>
  <c r="P189" i="9"/>
  <c r="O189" i="9"/>
  <c r="N189" i="9"/>
  <c r="M189" i="9"/>
  <c r="K189" i="9"/>
  <c r="H189" i="9"/>
  <c r="F189" i="9"/>
  <c r="E189" i="9"/>
  <c r="D189" i="9"/>
  <c r="C189" i="9"/>
  <c r="B189" i="9"/>
  <c r="R188" i="9"/>
  <c r="Q188" i="9"/>
  <c r="P188" i="9"/>
  <c r="O188" i="9"/>
  <c r="N188" i="9"/>
  <c r="M188" i="9"/>
  <c r="K188" i="9"/>
  <c r="H188" i="9"/>
  <c r="F188" i="9"/>
  <c r="E188" i="9"/>
  <c r="D188" i="9"/>
  <c r="C188" i="9"/>
  <c r="B188" i="9"/>
  <c r="R187" i="9"/>
  <c r="Q187" i="9"/>
  <c r="P187" i="9"/>
  <c r="O187" i="9"/>
  <c r="N187" i="9"/>
  <c r="M187" i="9"/>
  <c r="K187" i="9"/>
  <c r="H187" i="9"/>
  <c r="F187" i="9"/>
  <c r="E187" i="9"/>
  <c r="D187" i="9"/>
  <c r="C187" i="9"/>
  <c r="B187" i="9"/>
  <c r="R186" i="9"/>
  <c r="Q186" i="9"/>
  <c r="P186" i="9"/>
  <c r="O186" i="9"/>
  <c r="N186" i="9"/>
  <c r="M186" i="9"/>
  <c r="K186" i="9"/>
  <c r="H186" i="9"/>
  <c r="F186" i="9"/>
  <c r="E186" i="9"/>
  <c r="D186" i="9"/>
  <c r="C186" i="9"/>
  <c r="B186" i="9"/>
  <c r="R185" i="9"/>
  <c r="Q185" i="9"/>
  <c r="P185" i="9"/>
  <c r="O185" i="9"/>
  <c r="N185" i="9"/>
  <c r="M185" i="9"/>
  <c r="K185" i="9"/>
  <c r="H185" i="9"/>
  <c r="F185" i="9"/>
  <c r="E185" i="9"/>
  <c r="D185" i="9"/>
  <c r="C185" i="9"/>
  <c r="B185" i="9"/>
  <c r="R184" i="9"/>
  <c r="Q184" i="9"/>
  <c r="P184" i="9"/>
  <c r="O184" i="9"/>
  <c r="N184" i="9"/>
  <c r="M184" i="9"/>
  <c r="K184" i="9"/>
  <c r="H184" i="9"/>
  <c r="F184" i="9"/>
  <c r="E184" i="9"/>
  <c r="D184" i="9"/>
  <c r="C184" i="9"/>
  <c r="B184" i="9"/>
  <c r="R183" i="9"/>
  <c r="Q183" i="9"/>
  <c r="P183" i="9"/>
  <c r="O183" i="9"/>
  <c r="N183" i="9"/>
  <c r="M183" i="9"/>
  <c r="K183" i="9"/>
  <c r="H183" i="9"/>
  <c r="F183" i="9"/>
  <c r="E183" i="9"/>
  <c r="D183" i="9"/>
  <c r="C183" i="9"/>
  <c r="B183" i="9"/>
  <c r="R182" i="9"/>
  <c r="Q182" i="9"/>
  <c r="P182" i="9"/>
  <c r="O182" i="9"/>
  <c r="N182" i="9"/>
  <c r="M182" i="9"/>
  <c r="K182" i="9"/>
  <c r="H182" i="9"/>
  <c r="F182" i="9"/>
  <c r="E182" i="9"/>
  <c r="D182" i="9"/>
  <c r="C182" i="9"/>
  <c r="B182" i="9"/>
  <c r="R181" i="9"/>
  <c r="Q181" i="9"/>
  <c r="P181" i="9"/>
  <c r="O181" i="9"/>
  <c r="N181" i="9"/>
  <c r="M181" i="9"/>
  <c r="K181" i="9"/>
  <c r="H181" i="9"/>
  <c r="F181" i="9"/>
  <c r="E181" i="9"/>
  <c r="D181" i="9"/>
  <c r="C181" i="9"/>
  <c r="B181" i="9"/>
  <c r="R180" i="9"/>
  <c r="Q180" i="9"/>
  <c r="P180" i="9"/>
  <c r="O180" i="9"/>
  <c r="N180" i="9"/>
  <c r="M180" i="9"/>
  <c r="K180" i="9"/>
  <c r="H180" i="9"/>
  <c r="F180" i="9"/>
  <c r="E180" i="9"/>
  <c r="D180" i="9"/>
  <c r="C180" i="9"/>
  <c r="B180" i="9"/>
  <c r="R179" i="9"/>
  <c r="Q179" i="9"/>
  <c r="P179" i="9"/>
  <c r="O179" i="9"/>
  <c r="N179" i="9"/>
  <c r="M179" i="9"/>
  <c r="K179" i="9"/>
  <c r="H179" i="9"/>
  <c r="F179" i="9"/>
  <c r="E179" i="9"/>
  <c r="D179" i="9"/>
  <c r="C179" i="9"/>
  <c r="B179" i="9"/>
  <c r="R178" i="9"/>
  <c r="Q178" i="9"/>
  <c r="P178" i="9"/>
  <c r="O178" i="9"/>
  <c r="N178" i="9"/>
  <c r="M178" i="9"/>
  <c r="K178" i="9"/>
  <c r="H178" i="9"/>
  <c r="F178" i="9"/>
  <c r="E178" i="9"/>
  <c r="D178" i="9"/>
  <c r="C178" i="9"/>
  <c r="B178" i="9"/>
  <c r="R177" i="9"/>
  <c r="Q177" i="9"/>
  <c r="P177" i="9"/>
  <c r="O177" i="9"/>
  <c r="N177" i="9"/>
  <c r="M177" i="9"/>
  <c r="K177" i="9"/>
  <c r="H177" i="9"/>
  <c r="F177" i="9"/>
  <c r="E177" i="9"/>
  <c r="D177" i="9"/>
  <c r="C177" i="9"/>
  <c r="B177" i="9"/>
  <c r="R176" i="9"/>
  <c r="Q176" i="9"/>
  <c r="P176" i="9"/>
  <c r="O176" i="9"/>
  <c r="N176" i="9"/>
  <c r="M176" i="9"/>
  <c r="K176" i="9"/>
  <c r="H176" i="9"/>
  <c r="F176" i="9"/>
  <c r="E176" i="9"/>
  <c r="D176" i="9"/>
  <c r="C176" i="9"/>
  <c r="B176" i="9"/>
  <c r="R175" i="9"/>
  <c r="Q175" i="9"/>
  <c r="P175" i="9"/>
  <c r="O175" i="9"/>
  <c r="N175" i="9"/>
  <c r="M175" i="9"/>
  <c r="K175" i="9"/>
  <c r="H175" i="9"/>
  <c r="F175" i="9"/>
  <c r="E175" i="9"/>
  <c r="D175" i="9"/>
  <c r="C175" i="9"/>
  <c r="B175" i="9"/>
  <c r="R174" i="9"/>
  <c r="Q174" i="9"/>
  <c r="P174" i="9"/>
  <c r="O174" i="9"/>
  <c r="N174" i="9"/>
  <c r="M174" i="9"/>
  <c r="K174" i="9"/>
  <c r="H174" i="9"/>
  <c r="F174" i="9"/>
  <c r="E174" i="9"/>
  <c r="D174" i="9"/>
  <c r="C174" i="9"/>
  <c r="B174" i="9"/>
  <c r="R173" i="9"/>
  <c r="Q173" i="9"/>
  <c r="P173" i="9"/>
  <c r="O173" i="9"/>
  <c r="N173" i="9"/>
  <c r="M173" i="9"/>
  <c r="K173" i="9"/>
  <c r="H173" i="9"/>
  <c r="F173" i="9"/>
  <c r="E173" i="9"/>
  <c r="D173" i="9"/>
  <c r="C173" i="9"/>
  <c r="B173" i="9"/>
  <c r="R172" i="9"/>
  <c r="Q172" i="9"/>
  <c r="P172" i="9"/>
  <c r="O172" i="9"/>
  <c r="N172" i="9"/>
  <c r="M172" i="9"/>
  <c r="K172" i="9"/>
  <c r="H172" i="9"/>
  <c r="F172" i="9"/>
  <c r="E172" i="9"/>
  <c r="D172" i="9"/>
  <c r="C172" i="9"/>
  <c r="B172" i="9"/>
  <c r="R171" i="9"/>
  <c r="Q171" i="9"/>
  <c r="P171" i="9"/>
  <c r="O171" i="9"/>
  <c r="N171" i="9"/>
  <c r="M171" i="9"/>
  <c r="K171" i="9"/>
  <c r="H171" i="9"/>
  <c r="F171" i="9"/>
  <c r="E171" i="9"/>
  <c r="D171" i="9"/>
  <c r="C171" i="9"/>
  <c r="B171" i="9"/>
  <c r="R170" i="9"/>
  <c r="Q170" i="9"/>
  <c r="P170" i="9"/>
  <c r="O170" i="9"/>
  <c r="N170" i="9"/>
  <c r="M170" i="9"/>
  <c r="K170" i="9"/>
  <c r="H170" i="9"/>
  <c r="F170" i="9"/>
  <c r="E170" i="9"/>
  <c r="D170" i="9"/>
  <c r="C170" i="9"/>
  <c r="B170" i="9"/>
  <c r="R169" i="9"/>
  <c r="Q169" i="9"/>
  <c r="P169" i="9"/>
  <c r="O169" i="9"/>
  <c r="N169" i="9"/>
  <c r="M169" i="9"/>
  <c r="K169" i="9"/>
  <c r="H169" i="9"/>
  <c r="F169" i="9"/>
  <c r="E169" i="9"/>
  <c r="D169" i="9"/>
  <c r="C169" i="9"/>
  <c r="B169" i="9"/>
  <c r="R168" i="9"/>
  <c r="Q168" i="9"/>
  <c r="P168" i="9"/>
  <c r="O168" i="9"/>
  <c r="N168" i="9"/>
  <c r="M168" i="9"/>
  <c r="K168" i="9"/>
  <c r="H168" i="9"/>
  <c r="F168" i="9"/>
  <c r="E168" i="9"/>
  <c r="D168" i="9"/>
  <c r="C168" i="9"/>
  <c r="B168" i="9"/>
  <c r="R167" i="9"/>
  <c r="Q167" i="9"/>
  <c r="P167" i="9"/>
  <c r="O167" i="9"/>
  <c r="N167" i="9"/>
  <c r="M167" i="9"/>
  <c r="K167" i="9"/>
  <c r="H167" i="9"/>
  <c r="F167" i="9"/>
  <c r="E167" i="9"/>
  <c r="D167" i="9"/>
  <c r="C167" i="9"/>
  <c r="B167" i="9"/>
  <c r="R166" i="9"/>
  <c r="Q166" i="9"/>
  <c r="P166" i="9"/>
  <c r="O166" i="9"/>
  <c r="N166" i="9"/>
  <c r="M166" i="9"/>
  <c r="K166" i="9"/>
  <c r="H166" i="9"/>
  <c r="F166" i="9"/>
  <c r="E166" i="9"/>
  <c r="D166" i="9"/>
  <c r="C166" i="9"/>
  <c r="B166" i="9"/>
  <c r="R165" i="9"/>
  <c r="Q165" i="9"/>
  <c r="P165" i="9"/>
  <c r="O165" i="9"/>
  <c r="N165" i="9"/>
  <c r="M165" i="9"/>
  <c r="K165" i="9"/>
  <c r="H165" i="9"/>
  <c r="F165" i="9"/>
  <c r="E165" i="9"/>
  <c r="D165" i="9"/>
  <c r="C165" i="9"/>
  <c r="B165" i="9"/>
  <c r="R164" i="9"/>
  <c r="Q164" i="9"/>
  <c r="P164" i="9"/>
  <c r="O164" i="9"/>
  <c r="N164" i="9"/>
  <c r="M164" i="9"/>
  <c r="K164" i="9"/>
  <c r="H164" i="9"/>
  <c r="F164" i="9"/>
  <c r="E164" i="9"/>
  <c r="D164" i="9"/>
  <c r="C164" i="9"/>
  <c r="B164" i="9"/>
  <c r="R163" i="9"/>
  <c r="Q163" i="9"/>
  <c r="P163" i="9"/>
  <c r="O163" i="9"/>
  <c r="N163" i="9"/>
  <c r="M163" i="9"/>
  <c r="K163" i="9"/>
  <c r="H163" i="9"/>
  <c r="F163" i="9"/>
  <c r="E163" i="9"/>
  <c r="D163" i="9"/>
  <c r="C163" i="9"/>
  <c r="B163" i="9"/>
  <c r="R162" i="9"/>
  <c r="Q162" i="9"/>
  <c r="P162" i="9"/>
  <c r="O162" i="9"/>
  <c r="N162" i="9"/>
  <c r="M162" i="9"/>
  <c r="K162" i="9"/>
  <c r="H162" i="9"/>
  <c r="F162" i="9"/>
  <c r="E162" i="9"/>
  <c r="D162" i="9"/>
  <c r="C162" i="9"/>
  <c r="B162" i="9"/>
  <c r="R161" i="9"/>
  <c r="Q161" i="9"/>
  <c r="P161" i="9"/>
  <c r="O161" i="9"/>
  <c r="N161" i="9"/>
  <c r="M161" i="9"/>
  <c r="K161" i="9"/>
  <c r="H161" i="9"/>
  <c r="F161" i="9"/>
  <c r="E161" i="9"/>
  <c r="D161" i="9"/>
  <c r="C161" i="9"/>
  <c r="B161" i="9"/>
  <c r="R160" i="9"/>
  <c r="Q160" i="9"/>
  <c r="P160" i="9"/>
  <c r="O160" i="9"/>
  <c r="N160" i="9"/>
  <c r="M160" i="9"/>
  <c r="K160" i="9"/>
  <c r="H160" i="9"/>
  <c r="F160" i="9"/>
  <c r="E160" i="9"/>
  <c r="D160" i="9"/>
  <c r="C160" i="9"/>
  <c r="B160" i="9"/>
  <c r="R159" i="9"/>
  <c r="Q159" i="9"/>
  <c r="P159" i="9"/>
  <c r="O159" i="9"/>
  <c r="N159" i="9"/>
  <c r="M159" i="9"/>
  <c r="K159" i="9"/>
  <c r="H159" i="9"/>
  <c r="F159" i="9"/>
  <c r="E159" i="9"/>
  <c r="D159" i="9"/>
  <c r="C159" i="9"/>
  <c r="B159" i="9"/>
  <c r="R158" i="9"/>
  <c r="Q158" i="9"/>
  <c r="P158" i="9"/>
  <c r="O158" i="9"/>
  <c r="N158" i="9"/>
  <c r="M158" i="9"/>
  <c r="K158" i="9"/>
  <c r="H158" i="9"/>
  <c r="F158" i="9"/>
  <c r="E158" i="9"/>
  <c r="D158" i="9"/>
  <c r="C158" i="9"/>
  <c r="B158" i="9"/>
  <c r="R157" i="9"/>
  <c r="Q157" i="9"/>
  <c r="P157" i="9"/>
  <c r="O157" i="9"/>
  <c r="N157" i="9"/>
  <c r="M157" i="9"/>
  <c r="K157" i="9"/>
  <c r="H157" i="9"/>
  <c r="F157" i="9"/>
  <c r="E157" i="9"/>
  <c r="D157" i="9"/>
  <c r="C157" i="9"/>
  <c r="B157" i="9"/>
  <c r="R156" i="9"/>
  <c r="Q156" i="9"/>
  <c r="P156" i="9"/>
  <c r="O156" i="9"/>
  <c r="N156" i="9"/>
  <c r="M156" i="9"/>
  <c r="K156" i="9"/>
  <c r="H156" i="9"/>
  <c r="F156" i="9"/>
  <c r="E156" i="9"/>
  <c r="D156" i="9"/>
  <c r="C156" i="9"/>
  <c r="B156" i="9"/>
  <c r="R155" i="9"/>
  <c r="Q155" i="9"/>
  <c r="P155" i="9"/>
  <c r="O155" i="9"/>
  <c r="N155" i="9"/>
  <c r="M155" i="9"/>
  <c r="K155" i="9"/>
  <c r="H155" i="9"/>
  <c r="F155" i="9"/>
  <c r="E155" i="9"/>
  <c r="D155" i="9"/>
  <c r="C155" i="9"/>
  <c r="B155" i="9"/>
  <c r="R154" i="9"/>
  <c r="Q154" i="9"/>
  <c r="P154" i="9"/>
  <c r="O154" i="9"/>
  <c r="N154" i="9"/>
  <c r="M154" i="9"/>
  <c r="K154" i="9"/>
  <c r="H154" i="9"/>
  <c r="F154" i="9"/>
  <c r="E154" i="9"/>
  <c r="D154" i="9"/>
  <c r="C154" i="9"/>
  <c r="B154" i="9"/>
  <c r="R153" i="9"/>
  <c r="Q153" i="9"/>
  <c r="P153" i="9"/>
  <c r="O153" i="9"/>
  <c r="N153" i="9"/>
  <c r="M153" i="9"/>
  <c r="K153" i="9"/>
  <c r="H153" i="9"/>
  <c r="F153" i="9"/>
  <c r="E153" i="9"/>
  <c r="D153" i="9"/>
  <c r="C153" i="9"/>
  <c r="B153" i="9"/>
  <c r="R152" i="9"/>
  <c r="Q152" i="9"/>
  <c r="P152" i="9"/>
  <c r="O152" i="9"/>
  <c r="N152" i="9"/>
  <c r="M152" i="9"/>
  <c r="K152" i="9"/>
  <c r="H152" i="9"/>
  <c r="F152" i="9"/>
  <c r="E152" i="9"/>
  <c r="D152" i="9"/>
  <c r="C152" i="9"/>
  <c r="B152" i="9"/>
  <c r="R151" i="9"/>
  <c r="Q151" i="9"/>
  <c r="P151" i="9"/>
  <c r="O151" i="9"/>
  <c r="N151" i="9"/>
  <c r="M151" i="9"/>
  <c r="K151" i="9"/>
  <c r="H151" i="9"/>
  <c r="F151" i="9"/>
  <c r="E151" i="9"/>
  <c r="D151" i="9"/>
  <c r="C151" i="9"/>
  <c r="B151" i="9"/>
  <c r="R150" i="9"/>
  <c r="Q150" i="9"/>
  <c r="P150" i="9"/>
  <c r="O150" i="9"/>
  <c r="N150" i="9"/>
  <c r="M150" i="9"/>
  <c r="K150" i="9"/>
  <c r="H150" i="9"/>
  <c r="F150" i="9"/>
  <c r="E150" i="9"/>
  <c r="D150" i="9"/>
  <c r="C150" i="9"/>
  <c r="B150" i="9"/>
  <c r="R149" i="9"/>
  <c r="Q149" i="9"/>
  <c r="P149" i="9"/>
  <c r="O149" i="9"/>
  <c r="N149" i="9"/>
  <c r="M149" i="9"/>
  <c r="K149" i="9"/>
  <c r="H149" i="9"/>
  <c r="F149" i="9"/>
  <c r="E149" i="9"/>
  <c r="D149" i="9"/>
  <c r="C149" i="9"/>
  <c r="B149" i="9"/>
  <c r="R148" i="9"/>
  <c r="Q148" i="9"/>
  <c r="P148" i="9"/>
  <c r="O148" i="9"/>
  <c r="N148" i="9"/>
  <c r="M148" i="9"/>
  <c r="K148" i="9"/>
  <c r="H148" i="9"/>
  <c r="F148" i="9"/>
  <c r="E148" i="9"/>
  <c r="D148" i="9"/>
  <c r="C148" i="9"/>
  <c r="B148" i="9"/>
  <c r="R147" i="9"/>
  <c r="Q147" i="9"/>
  <c r="P147" i="9"/>
  <c r="O147" i="9"/>
  <c r="N147" i="9"/>
  <c r="M147" i="9"/>
  <c r="K147" i="9"/>
  <c r="H147" i="9"/>
  <c r="F147" i="9"/>
  <c r="E147" i="9"/>
  <c r="D147" i="9"/>
  <c r="C147" i="9"/>
  <c r="B147" i="9"/>
  <c r="R146" i="9"/>
  <c r="Q146" i="9"/>
  <c r="P146" i="9"/>
  <c r="O146" i="9"/>
  <c r="N146" i="9"/>
  <c r="M146" i="9"/>
  <c r="K146" i="9"/>
  <c r="H146" i="9"/>
  <c r="F146" i="9"/>
  <c r="E146" i="9"/>
  <c r="D146" i="9"/>
  <c r="C146" i="9"/>
  <c r="B146" i="9"/>
  <c r="R145" i="9"/>
  <c r="Q145" i="9"/>
  <c r="P145" i="9"/>
  <c r="O145" i="9"/>
  <c r="N145" i="9"/>
  <c r="M145" i="9"/>
  <c r="K145" i="9"/>
  <c r="H145" i="9"/>
  <c r="F145" i="9"/>
  <c r="E145" i="9"/>
  <c r="D145" i="9"/>
  <c r="C145" i="9"/>
  <c r="B145" i="9"/>
  <c r="R144" i="9"/>
  <c r="Q144" i="9"/>
  <c r="P144" i="9"/>
  <c r="O144" i="9"/>
  <c r="N144" i="9"/>
  <c r="M144" i="9"/>
  <c r="K144" i="9"/>
  <c r="H144" i="9"/>
  <c r="F144" i="9"/>
  <c r="E144" i="9"/>
  <c r="D144" i="9"/>
  <c r="C144" i="9"/>
  <c r="B144" i="9"/>
  <c r="R143" i="9"/>
  <c r="Q143" i="9"/>
  <c r="P143" i="9"/>
  <c r="O143" i="9"/>
  <c r="N143" i="9"/>
  <c r="M143" i="9"/>
  <c r="K143" i="9"/>
  <c r="H143" i="9"/>
  <c r="F143" i="9"/>
  <c r="E143" i="9"/>
  <c r="D143" i="9"/>
  <c r="C143" i="9"/>
  <c r="B143" i="9"/>
  <c r="R142" i="9"/>
  <c r="Q142" i="9"/>
  <c r="P142" i="9"/>
  <c r="O142" i="9"/>
  <c r="N142" i="9"/>
  <c r="M142" i="9"/>
  <c r="F142" i="9"/>
  <c r="E142" i="9"/>
  <c r="D142" i="9"/>
  <c r="C142" i="9"/>
  <c r="J142" i="9" s="1"/>
  <c r="B142" i="9"/>
  <c r="R141" i="9"/>
  <c r="Q141" i="9"/>
  <c r="P141" i="9"/>
  <c r="O141" i="9"/>
  <c r="N141" i="9"/>
  <c r="M141" i="9"/>
  <c r="C141" i="9"/>
  <c r="B141" i="9"/>
  <c r="R140" i="9"/>
  <c r="Q140" i="9"/>
  <c r="P140" i="9"/>
  <c r="O140" i="9"/>
  <c r="N140" i="9"/>
  <c r="M140" i="9"/>
  <c r="C140" i="9"/>
  <c r="B140" i="9"/>
  <c r="R139" i="9"/>
  <c r="Q139" i="9"/>
  <c r="P139" i="9"/>
  <c r="O139" i="9"/>
  <c r="N139" i="9"/>
  <c r="M139" i="9"/>
  <c r="C139" i="9"/>
  <c r="I139" i="9" s="1"/>
  <c r="B139" i="9"/>
  <c r="R138" i="9"/>
  <c r="Q138" i="9"/>
  <c r="P138" i="9"/>
  <c r="O138" i="9"/>
  <c r="N138" i="9"/>
  <c r="M138" i="9"/>
  <c r="C138" i="9"/>
  <c r="B138" i="9"/>
  <c r="R137" i="9"/>
  <c r="Q137" i="9"/>
  <c r="P137" i="9"/>
  <c r="O137" i="9"/>
  <c r="N137" i="9"/>
  <c r="M137" i="9"/>
  <c r="C137" i="9"/>
  <c r="B137" i="9"/>
  <c r="R136" i="9"/>
  <c r="Q136" i="9"/>
  <c r="P136" i="9"/>
  <c r="O136" i="9"/>
  <c r="N136" i="9"/>
  <c r="M136" i="9"/>
  <c r="C136" i="9"/>
  <c r="B136" i="9"/>
  <c r="R135" i="9"/>
  <c r="Q135" i="9"/>
  <c r="P135" i="9"/>
  <c r="O135" i="9"/>
  <c r="N135" i="9"/>
  <c r="M135" i="9"/>
  <c r="C135" i="9"/>
  <c r="B135" i="9"/>
  <c r="R134" i="9"/>
  <c r="Q134" i="9"/>
  <c r="P134" i="9"/>
  <c r="O134" i="9"/>
  <c r="N134" i="9"/>
  <c r="M134" i="9"/>
  <c r="C134" i="9"/>
  <c r="B134" i="9"/>
  <c r="R133" i="9"/>
  <c r="Q133" i="9"/>
  <c r="P133" i="9"/>
  <c r="O133" i="9"/>
  <c r="N133" i="9"/>
  <c r="M133" i="9"/>
  <c r="C133" i="9"/>
  <c r="B133" i="9"/>
  <c r="R132" i="9"/>
  <c r="Q132" i="9"/>
  <c r="P132" i="9"/>
  <c r="O132" i="9"/>
  <c r="N132" i="9"/>
  <c r="M132" i="9"/>
  <c r="C132" i="9"/>
  <c r="B132" i="9"/>
  <c r="R131" i="9"/>
  <c r="Q131" i="9"/>
  <c r="P131" i="9"/>
  <c r="O131" i="9"/>
  <c r="N131" i="9"/>
  <c r="M131" i="9"/>
  <c r="C131" i="9"/>
  <c r="I131" i="9" s="1"/>
  <c r="B131" i="9"/>
  <c r="R130" i="9"/>
  <c r="Q130" i="9"/>
  <c r="P130" i="9"/>
  <c r="O130" i="9"/>
  <c r="N130" i="9"/>
  <c r="M130" i="9"/>
  <c r="C130" i="9"/>
  <c r="B130" i="9"/>
  <c r="R129" i="9"/>
  <c r="Q129" i="9"/>
  <c r="P129" i="9"/>
  <c r="O129" i="9"/>
  <c r="N129" i="9"/>
  <c r="M129" i="9"/>
  <c r="C129" i="9"/>
  <c r="B129" i="9"/>
  <c r="R128" i="9"/>
  <c r="Q128" i="9"/>
  <c r="P128" i="9"/>
  <c r="O128" i="9"/>
  <c r="N128" i="9"/>
  <c r="M128" i="9"/>
  <c r="C128" i="9"/>
  <c r="B128" i="9"/>
  <c r="R127" i="9"/>
  <c r="Q127" i="9"/>
  <c r="P127" i="9"/>
  <c r="O127" i="9"/>
  <c r="N127" i="9"/>
  <c r="M127" i="9"/>
  <c r="C127" i="9"/>
  <c r="B127" i="9"/>
  <c r="R126" i="9"/>
  <c r="Q126" i="9"/>
  <c r="P126" i="9"/>
  <c r="O126" i="9"/>
  <c r="N126" i="9"/>
  <c r="M126" i="9"/>
  <c r="C126" i="9"/>
  <c r="B126" i="9"/>
  <c r="R125" i="9"/>
  <c r="Q125" i="9"/>
  <c r="P125" i="9"/>
  <c r="O125" i="9"/>
  <c r="N125" i="9"/>
  <c r="M125" i="9"/>
  <c r="C125" i="9"/>
  <c r="B125" i="9"/>
  <c r="R124" i="9"/>
  <c r="Q124" i="9"/>
  <c r="P124" i="9"/>
  <c r="O124" i="9"/>
  <c r="N124" i="9"/>
  <c r="M124" i="9"/>
  <c r="C124" i="9"/>
  <c r="B124" i="9"/>
  <c r="P123" i="9"/>
  <c r="O123" i="9"/>
  <c r="C123" i="9"/>
  <c r="L123" i="9" s="1"/>
  <c r="B123" i="9"/>
  <c r="P122" i="9"/>
  <c r="O122" i="9"/>
  <c r="C122" i="9"/>
  <c r="B122" i="9"/>
  <c r="P121" i="9"/>
  <c r="O121" i="9"/>
  <c r="C121" i="9"/>
  <c r="B121" i="9"/>
  <c r="P120" i="9"/>
  <c r="O120" i="9"/>
  <c r="C120" i="9"/>
  <c r="R120" i="9" s="1"/>
  <c r="B120" i="9"/>
  <c r="P119" i="9"/>
  <c r="O119" i="9"/>
  <c r="C119" i="9"/>
  <c r="R119" i="9" s="1"/>
  <c r="B119" i="9"/>
  <c r="P118" i="9"/>
  <c r="O118" i="9"/>
  <c r="C118" i="9"/>
  <c r="R118" i="9" s="1"/>
  <c r="B118" i="9"/>
  <c r="O117" i="9"/>
  <c r="C117" i="9"/>
  <c r="R117" i="9" s="1"/>
  <c r="B117" i="9"/>
  <c r="C116" i="9"/>
  <c r="L116" i="9" s="1"/>
  <c r="B116" i="9"/>
  <c r="K115" i="9"/>
  <c r="H115" i="9"/>
  <c r="F115" i="9"/>
  <c r="E115" i="9"/>
  <c r="D115" i="9"/>
  <c r="C115" i="9"/>
  <c r="B115" i="9"/>
  <c r="K114" i="9"/>
  <c r="H114" i="9"/>
  <c r="F114" i="9"/>
  <c r="E114" i="9"/>
  <c r="D114" i="9"/>
  <c r="C114" i="9"/>
  <c r="B114" i="9"/>
  <c r="K113" i="9"/>
  <c r="H113" i="9"/>
  <c r="F113" i="9"/>
  <c r="E113" i="9"/>
  <c r="D113" i="9"/>
  <c r="C113" i="9"/>
  <c r="B113" i="9"/>
  <c r="K112" i="9"/>
  <c r="H112" i="9"/>
  <c r="F112" i="9"/>
  <c r="E112" i="9"/>
  <c r="D112" i="9"/>
  <c r="C112" i="9"/>
  <c r="B112" i="9"/>
  <c r="K111" i="9"/>
  <c r="H111" i="9"/>
  <c r="F111" i="9"/>
  <c r="E111" i="9"/>
  <c r="D111" i="9"/>
  <c r="C111" i="9"/>
  <c r="B111" i="9"/>
  <c r="K110" i="9"/>
  <c r="H110" i="9"/>
  <c r="F110" i="9"/>
  <c r="E110" i="9"/>
  <c r="D110" i="9"/>
  <c r="C110" i="9"/>
  <c r="B110" i="9"/>
  <c r="R103" i="9"/>
  <c r="Q103" i="9"/>
  <c r="P103" i="9"/>
  <c r="O103" i="9"/>
  <c r="N103" i="9"/>
  <c r="M103" i="9"/>
  <c r="K103" i="9"/>
  <c r="F103" i="9"/>
  <c r="E103" i="9"/>
  <c r="D103" i="9"/>
  <c r="C103" i="9"/>
  <c r="B103" i="9"/>
  <c r="R102" i="9"/>
  <c r="Q102" i="9"/>
  <c r="P102" i="9"/>
  <c r="O102" i="9"/>
  <c r="N102" i="9"/>
  <c r="M102" i="9"/>
  <c r="K102" i="9"/>
  <c r="F102" i="9"/>
  <c r="E102" i="9"/>
  <c r="D102" i="9"/>
  <c r="C102" i="9"/>
  <c r="AC102" i="9" s="1"/>
  <c r="B102" i="9"/>
  <c r="R101" i="9"/>
  <c r="Q101" i="9"/>
  <c r="P101" i="9"/>
  <c r="O101" i="9"/>
  <c r="N101" i="9"/>
  <c r="M101" i="9"/>
  <c r="K101" i="9"/>
  <c r="F101" i="9"/>
  <c r="E101" i="9"/>
  <c r="D101" i="9"/>
  <c r="C101" i="9"/>
  <c r="B101" i="9"/>
  <c r="R100" i="9"/>
  <c r="Q100" i="9"/>
  <c r="P100" i="9"/>
  <c r="O100" i="9"/>
  <c r="N100" i="9"/>
  <c r="M100" i="9"/>
  <c r="K100" i="9"/>
  <c r="F100" i="9"/>
  <c r="E100" i="9"/>
  <c r="D100" i="9"/>
  <c r="C100" i="9"/>
  <c r="B100" i="9"/>
  <c r="R99" i="9"/>
  <c r="Q99" i="9"/>
  <c r="P99" i="9"/>
  <c r="O99" i="9"/>
  <c r="N99" i="9"/>
  <c r="M99" i="9"/>
  <c r="K99" i="9"/>
  <c r="F99" i="9"/>
  <c r="E99" i="9"/>
  <c r="D99" i="9"/>
  <c r="C99" i="9"/>
  <c r="B99" i="9"/>
  <c r="R98" i="9"/>
  <c r="Q98" i="9"/>
  <c r="P98" i="9"/>
  <c r="O98" i="9"/>
  <c r="N98" i="9"/>
  <c r="M98" i="9"/>
  <c r="K98" i="9"/>
  <c r="F98" i="9"/>
  <c r="E98" i="9"/>
  <c r="D98" i="9"/>
  <c r="C98" i="9"/>
  <c r="B98" i="9"/>
  <c r="R97" i="9"/>
  <c r="Q97" i="9"/>
  <c r="P97" i="9"/>
  <c r="O97" i="9"/>
  <c r="N97" i="9"/>
  <c r="M97" i="9"/>
  <c r="K97" i="9"/>
  <c r="F97" i="9"/>
  <c r="E97" i="9"/>
  <c r="D97" i="9"/>
  <c r="C97" i="9"/>
  <c r="B97" i="9"/>
  <c r="R96" i="9"/>
  <c r="Q96" i="9"/>
  <c r="P96" i="9"/>
  <c r="O96" i="9"/>
  <c r="N96" i="9"/>
  <c r="M96" i="9"/>
  <c r="K96" i="9"/>
  <c r="F96" i="9"/>
  <c r="E96" i="9"/>
  <c r="D96" i="9"/>
  <c r="C96" i="9"/>
  <c r="B96" i="9"/>
  <c r="R95" i="9"/>
  <c r="Q95" i="9"/>
  <c r="P95" i="9"/>
  <c r="O95" i="9"/>
  <c r="N95" i="9"/>
  <c r="M95" i="9"/>
  <c r="K95" i="9"/>
  <c r="F95" i="9"/>
  <c r="E95" i="9"/>
  <c r="D95" i="9"/>
  <c r="C95" i="9"/>
  <c r="B95" i="9"/>
  <c r="R94" i="9"/>
  <c r="Q94" i="9"/>
  <c r="P94" i="9"/>
  <c r="O94" i="9"/>
  <c r="N94" i="9"/>
  <c r="M94" i="9"/>
  <c r="K94" i="9"/>
  <c r="F94" i="9"/>
  <c r="E94" i="9"/>
  <c r="D94" i="9"/>
  <c r="C94" i="9"/>
  <c r="B94" i="9"/>
  <c r="R93" i="9"/>
  <c r="Q93" i="9"/>
  <c r="P93" i="9"/>
  <c r="O93" i="9"/>
  <c r="N93" i="9"/>
  <c r="M93" i="9"/>
  <c r="K93" i="9"/>
  <c r="F93" i="9"/>
  <c r="E93" i="9"/>
  <c r="D93" i="9"/>
  <c r="C93" i="9"/>
  <c r="B93" i="9"/>
  <c r="R92" i="9"/>
  <c r="Q92" i="9"/>
  <c r="P92" i="9"/>
  <c r="O92" i="9"/>
  <c r="N92" i="9"/>
  <c r="M92" i="9"/>
  <c r="K92" i="9"/>
  <c r="F92" i="9"/>
  <c r="E92" i="9"/>
  <c r="D92" i="9"/>
  <c r="C92" i="9"/>
  <c r="B92" i="9"/>
  <c r="R91" i="9"/>
  <c r="Q91" i="9"/>
  <c r="P91" i="9"/>
  <c r="O91" i="9"/>
  <c r="N91" i="9"/>
  <c r="M91" i="9"/>
  <c r="K91" i="9"/>
  <c r="F91" i="9"/>
  <c r="E91" i="9"/>
  <c r="D91" i="9"/>
  <c r="C91" i="9"/>
  <c r="B91" i="9"/>
  <c r="R90" i="9"/>
  <c r="Q90" i="9"/>
  <c r="P90" i="9"/>
  <c r="O90" i="9"/>
  <c r="N90" i="9"/>
  <c r="M90" i="9"/>
  <c r="K90" i="9"/>
  <c r="F90" i="9"/>
  <c r="E90" i="9"/>
  <c r="D90" i="9"/>
  <c r="C90" i="9"/>
  <c r="B90" i="9"/>
  <c r="R89" i="9"/>
  <c r="Q89" i="9"/>
  <c r="P89" i="9"/>
  <c r="O89" i="9"/>
  <c r="N89" i="9"/>
  <c r="M89" i="9"/>
  <c r="K89" i="9"/>
  <c r="F89" i="9"/>
  <c r="E89" i="9"/>
  <c r="D89" i="9"/>
  <c r="C89" i="9"/>
  <c r="B89" i="9"/>
  <c r="R88" i="9"/>
  <c r="Q88" i="9"/>
  <c r="P88" i="9"/>
  <c r="O88" i="9"/>
  <c r="N88" i="9"/>
  <c r="M88" i="9"/>
  <c r="K88" i="9"/>
  <c r="F88" i="9"/>
  <c r="E88" i="9"/>
  <c r="D88" i="9"/>
  <c r="C88" i="9"/>
  <c r="B88" i="9"/>
  <c r="R87" i="9"/>
  <c r="Q87" i="9"/>
  <c r="P87" i="9"/>
  <c r="O87" i="9"/>
  <c r="N87" i="9"/>
  <c r="M87" i="9"/>
  <c r="K87" i="9"/>
  <c r="F87" i="9"/>
  <c r="E87" i="9"/>
  <c r="D87" i="9"/>
  <c r="C87" i="9"/>
  <c r="B87" i="9"/>
  <c r="R86" i="9"/>
  <c r="Q86" i="9"/>
  <c r="P86" i="9"/>
  <c r="O86" i="9"/>
  <c r="N86" i="9"/>
  <c r="M86" i="9"/>
  <c r="K86" i="9"/>
  <c r="F86" i="9"/>
  <c r="E86" i="9"/>
  <c r="D86" i="9"/>
  <c r="C86" i="9"/>
  <c r="B86" i="9"/>
  <c r="R85" i="9"/>
  <c r="Q85" i="9"/>
  <c r="P85" i="9"/>
  <c r="O85" i="9"/>
  <c r="N85" i="9"/>
  <c r="M85" i="9"/>
  <c r="K85" i="9"/>
  <c r="F85" i="9"/>
  <c r="E85" i="9"/>
  <c r="D85" i="9"/>
  <c r="C85" i="9"/>
  <c r="B85" i="9"/>
  <c r="R84" i="9"/>
  <c r="Q84" i="9"/>
  <c r="P84" i="9"/>
  <c r="O84" i="9"/>
  <c r="N84" i="9"/>
  <c r="M84" i="9"/>
  <c r="K84" i="9"/>
  <c r="F84" i="9"/>
  <c r="E84" i="9"/>
  <c r="D84" i="9"/>
  <c r="C84" i="9"/>
  <c r="B84" i="9"/>
  <c r="R83" i="9"/>
  <c r="Q83" i="9"/>
  <c r="P83" i="9"/>
  <c r="O83" i="9"/>
  <c r="N83" i="9"/>
  <c r="M83" i="9"/>
  <c r="K83" i="9"/>
  <c r="F83" i="9"/>
  <c r="E83" i="9"/>
  <c r="D83" i="9"/>
  <c r="C83" i="9"/>
  <c r="B83" i="9"/>
  <c r="R82" i="9"/>
  <c r="Q82" i="9"/>
  <c r="P82" i="9"/>
  <c r="O82" i="9"/>
  <c r="N82" i="9"/>
  <c r="M82" i="9"/>
  <c r="K82" i="9"/>
  <c r="F82" i="9"/>
  <c r="E82" i="9"/>
  <c r="D82" i="9"/>
  <c r="C82" i="9"/>
  <c r="B82" i="9"/>
  <c r="R81" i="9"/>
  <c r="Q81" i="9"/>
  <c r="P81" i="9"/>
  <c r="O81" i="9"/>
  <c r="N81" i="9"/>
  <c r="M81" i="9"/>
  <c r="K81" i="9"/>
  <c r="F81" i="9"/>
  <c r="E81" i="9"/>
  <c r="D81" i="9"/>
  <c r="C81" i="9"/>
  <c r="B81" i="9"/>
  <c r="R80" i="9"/>
  <c r="Q80" i="9"/>
  <c r="P80" i="9"/>
  <c r="O80" i="9"/>
  <c r="N80" i="9"/>
  <c r="M80" i="9"/>
  <c r="K80" i="9"/>
  <c r="F80" i="9"/>
  <c r="E80" i="9"/>
  <c r="D80" i="9"/>
  <c r="C80" i="9"/>
  <c r="B80" i="9"/>
  <c r="R79" i="9"/>
  <c r="Q79" i="9"/>
  <c r="P79" i="9"/>
  <c r="O79" i="9"/>
  <c r="N79" i="9"/>
  <c r="M79" i="9"/>
  <c r="K79" i="9"/>
  <c r="F79" i="9"/>
  <c r="E79" i="9"/>
  <c r="D79" i="9"/>
  <c r="C79" i="9"/>
  <c r="B79" i="9"/>
  <c r="R78" i="9"/>
  <c r="Q78" i="9"/>
  <c r="P78" i="9"/>
  <c r="O78" i="9"/>
  <c r="N78" i="9"/>
  <c r="M78" i="9"/>
  <c r="K78" i="9"/>
  <c r="F78" i="9"/>
  <c r="E78" i="9"/>
  <c r="D78" i="9"/>
  <c r="C78" i="9"/>
  <c r="B78" i="9"/>
  <c r="R77" i="9"/>
  <c r="Q77" i="9"/>
  <c r="P77" i="9"/>
  <c r="O77" i="9"/>
  <c r="N77" i="9"/>
  <c r="M77" i="9"/>
  <c r="K77" i="9"/>
  <c r="F77" i="9"/>
  <c r="E77" i="9"/>
  <c r="D77" i="9"/>
  <c r="C77" i="9"/>
  <c r="B77" i="9"/>
  <c r="R76" i="9"/>
  <c r="Q76" i="9"/>
  <c r="P76" i="9"/>
  <c r="O76" i="9"/>
  <c r="N76" i="9"/>
  <c r="M76" i="9"/>
  <c r="K76" i="9"/>
  <c r="F76" i="9"/>
  <c r="E76" i="9"/>
  <c r="D76" i="9"/>
  <c r="C76" i="9"/>
  <c r="B76" i="9"/>
  <c r="R75" i="9"/>
  <c r="Q75" i="9"/>
  <c r="P75" i="9"/>
  <c r="O75" i="9"/>
  <c r="N75" i="9"/>
  <c r="M75" i="9"/>
  <c r="K75" i="9"/>
  <c r="F75" i="9"/>
  <c r="E75" i="9"/>
  <c r="D75" i="9"/>
  <c r="C75" i="9"/>
  <c r="B75" i="9"/>
  <c r="R74" i="9"/>
  <c r="Q74" i="9"/>
  <c r="P74" i="9"/>
  <c r="O74" i="9"/>
  <c r="N74" i="9"/>
  <c r="M74" i="9"/>
  <c r="K74" i="9"/>
  <c r="F74" i="9"/>
  <c r="E74" i="9"/>
  <c r="D74" i="9"/>
  <c r="C74" i="9"/>
  <c r="B74" i="9"/>
  <c r="R73" i="9"/>
  <c r="Q73" i="9"/>
  <c r="P73" i="9"/>
  <c r="O73" i="9"/>
  <c r="N73" i="9"/>
  <c r="M73" i="9"/>
  <c r="K73" i="9"/>
  <c r="F73" i="9"/>
  <c r="E73" i="9"/>
  <c r="D73" i="9"/>
  <c r="C73" i="9"/>
  <c r="B73" i="9"/>
  <c r="R72" i="9"/>
  <c r="Q72" i="9"/>
  <c r="P72" i="9"/>
  <c r="O72" i="9"/>
  <c r="N72" i="9"/>
  <c r="M72" i="9"/>
  <c r="K72" i="9"/>
  <c r="F72" i="9"/>
  <c r="E72" i="9"/>
  <c r="D72" i="9"/>
  <c r="C72" i="9"/>
  <c r="B72" i="9"/>
  <c r="R71" i="9"/>
  <c r="Q71" i="9"/>
  <c r="P71" i="9"/>
  <c r="O71" i="9"/>
  <c r="N71" i="9"/>
  <c r="M71" i="9"/>
  <c r="K71" i="9"/>
  <c r="F71" i="9"/>
  <c r="E71" i="9"/>
  <c r="D71" i="9"/>
  <c r="C71" i="9"/>
  <c r="B71" i="9"/>
  <c r="R70" i="9"/>
  <c r="Q70" i="9"/>
  <c r="P70" i="9"/>
  <c r="O70" i="9"/>
  <c r="N70" i="9"/>
  <c r="M70" i="9"/>
  <c r="K70" i="9"/>
  <c r="F70" i="9"/>
  <c r="E70" i="9"/>
  <c r="D70" i="9"/>
  <c r="C70" i="9"/>
  <c r="B70" i="9"/>
  <c r="R69" i="9"/>
  <c r="Q69" i="9"/>
  <c r="P69" i="9"/>
  <c r="O69" i="9"/>
  <c r="N69" i="9"/>
  <c r="M69" i="9"/>
  <c r="K69" i="9"/>
  <c r="F69" i="9"/>
  <c r="E69" i="9"/>
  <c r="D69" i="9"/>
  <c r="C69" i="9"/>
  <c r="B69" i="9"/>
  <c r="R68" i="9"/>
  <c r="Q68" i="9"/>
  <c r="P68" i="9"/>
  <c r="O68" i="9"/>
  <c r="N68" i="9"/>
  <c r="M68" i="9"/>
  <c r="K68" i="9"/>
  <c r="F68" i="9"/>
  <c r="E68" i="9"/>
  <c r="D68" i="9"/>
  <c r="C68" i="9"/>
  <c r="B68" i="9"/>
  <c r="R67" i="9"/>
  <c r="Q67" i="9"/>
  <c r="P67" i="9"/>
  <c r="O67" i="9"/>
  <c r="N67" i="9"/>
  <c r="M67" i="9"/>
  <c r="K67" i="9"/>
  <c r="F67" i="9"/>
  <c r="E67" i="9"/>
  <c r="D67" i="9"/>
  <c r="C67" i="9"/>
  <c r="B67" i="9"/>
  <c r="R66" i="9"/>
  <c r="Q66" i="9"/>
  <c r="P66" i="9"/>
  <c r="O66" i="9"/>
  <c r="N66" i="9"/>
  <c r="M66" i="9"/>
  <c r="K66" i="9"/>
  <c r="F66" i="9"/>
  <c r="E66" i="9"/>
  <c r="D66" i="9"/>
  <c r="C66" i="9"/>
  <c r="B66" i="9"/>
  <c r="R65" i="9"/>
  <c r="Q65" i="9"/>
  <c r="P65" i="9"/>
  <c r="O65" i="9"/>
  <c r="N65" i="9"/>
  <c r="M65" i="9"/>
  <c r="K65" i="9"/>
  <c r="F65" i="9"/>
  <c r="E65" i="9"/>
  <c r="D65" i="9"/>
  <c r="C65" i="9"/>
  <c r="B65" i="9"/>
  <c r="R64" i="9"/>
  <c r="Q64" i="9"/>
  <c r="P64" i="9"/>
  <c r="O64" i="9"/>
  <c r="N64" i="9"/>
  <c r="M64" i="9"/>
  <c r="K64" i="9"/>
  <c r="F64" i="9"/>
  <c r="E64" i="9"/>
  <c r="D64" i="9"/>
  <c r="C64" i="9"/>
  <c r="B64" i="9"/>
  <c r="R63" i="9"/>
  <c r="Q63" i="9"/>
  <c r="P63" i="9"/>
  <c r="O63" i="9"/>
  <c r="N63" i="9"/>
  <c r="M63" i="9"/>
  <c r="K63" i="9"/>
  <c r="F63" i="9"/>
  <c r="E63" i="9"/>
  <c r="D63" i="9"/>
  <c r="C63" i="9"/>
  <c r="B63" i="9"/>
  <c r="R62" i="9"/>
  <c r="Q62" i="9"/>
  <c r="P62" i="9"/>
  <c r="O62" i="9"/>
  <c r="N62" i="9"/>
  <c r="M62" i="9"/>
  <c r="K62" i="9"/>
  <c r="F62" i="9"/>
  <c r="E62" i="9"/>
  <c r="D62" i="9"/>
  <c r="C62" i="9"/>
  <c r="B62" i="9"/>
  <c r="R61" i="9"/>
  <c r="Q61" i="9"/>
  <c r="P61" i="9"/>
  <c r="O61" i="9"/>
  <c r="N61" i="9"/>
  <c r="M61" i="9"/>
  <c r="K61" i="9"/>
  <c r="F61" i="9"/>
  <c r="E61" i="9"/>
  <c r="D61" i="9"/>
  <c r="C61" i="9"/>
  <c r="B61" i="9"/>
  <c r="R60" i="9"/>
  <c r="Q60" i="9"/>
  <c r="P60" i="9"/>
  <c r="O60" i="9"/>
  <c r="N60" i="9"/>
  <c r="M60" i="9"/>
  <c r="K60" i="9"/>
  <c r="F60" i="9"/>
  <c r="E60" i="9"/>
  <c r="D60" i="9"/>
  <c r="C60" i="9"/>
  <c r="B60" i="9"/>
  <c r="R59" i="9"/>
  <c r="Q59" i="9"/>
  <c r="P59" i="9"/>
  <c r="O59" i="9"/>
  <c r="N59" i="9"/>
  <c r="M59" i="9"/>
  <c r="K59" i="9"/>
  <c r="F59" i="9"/>
  <c r="E59" i="9"/>
  <c r="D59" i="9"/>
  <c r="C59" i="9"/>
  <c r="B59" i="9"/>
  <c r="R58" i="9"/>
  <c r="Q58" i="9"/>
  <c r="P58" i="9"/>
  <c r="O58" i="9"/>
  <c r="N58" i="9"/>
  <c r="M58" i="9"/>
  <c r="K58" i="9"/>
  <c r="F58" i="9"/>
  <c r="E58" i="9"/>
  <c r="D58" i="9"/>
  <c r="C58" i="9"/>
  <c r="B58" i="9"/>
  <c r="R57" i="9"/>
  <c r="Q57" i="9"/>
  <c r="P57" i="9"/>
  <c r="O57" i="9"/>
  <c r="N57" i="9"/>
  <c r="M57" i="9"/>
  <c r="K57" i="9"/>
  <c r="F57" i="9"/>
  <c r="E57" i="9"/>
  <c r="D57" i="9"/>
  <c r="C57" i="9"/>
  <c r="B57" i="9"/>
  <c r="R56" i="9"/>
  <c r="Q56" i="9"/>
  <c r="P56" i="9"/>
  <c r="O56" i="9"/>
  <c r="N56" i="9"/>
  <c r="M56" i="9"/>
  <c r="K56" i="9"/>
  <c r="F56" i="9"/>
  <c r="E56" i="9"/>
  <c r="D56" i="9"/>
  <c r="C56" i="9"/>
  <c r="B56" i="9"/>
  <c r="R55" i="9"/>
  <c r="Q55" i="9"/>
  <c r="P55" i="9"/>
  <c r="O55" i="9"/>
  <c r="N55" i="9"/>
  <c r="M55" i="9"/>
  <c r="K55" i="9"/>
  <c r="F55" i="9"/>
  <c r="E55" i="9"/>
  <c r="D55" i="9"/>
  <c r="C55" i="9"/>
  <c r="B55" i="9"/>
  <c r="R54" i="9"/>
  <c r="Q54" i="9"/>
  <c r="P54" i="9"/>
  <c r="O54" i="9"/>
  <c r="N54" i="9"/>
  <c r="M54" i="9"/>
  <c r="K54" i="9"/>
  <c r="F54" i="9"/>
  <c r="E54" i="9"/>
  <c r="D54" i="9"/>
  <c r="C54" i="9"/>
  <c r="B54" i="9"/>
  <c r="R53" i="9"/>
  <c r="Q53" i="9"/>
  <c r="P53" i="9"/>
  <c r="O53" i="9"/>
  <c r="N53" i="9"/>
  <c r="M53" i="9"/>
  <c r="K53" i="9"/>
  <c r="F53" i="9"/>
  <c r="E53" i="9"/>
  <c r="D53" i="9"/>
  <c r="C53" i="9"/>
  <c r="B53" i="9"/>
  <c r="R52" i="9"/>
  <c r="Q52" i="9"/>
  <c r="P52" i="9"/>
  <c r="O52" i="9"/>
  <c r="N52" i="9"/>
  <c r="M52" i="9"/>
  <c r="K52" i="9"/>
  <c r="F52" i="9"/>
  <c r="E52" i="9"/>
  <c r="D52" i="9"/>
  <c r="C52" i="9"/>
  <c r="B52" i="9"/>
  <c r="R51" i="9"/>
  <c r="Q51" i="9"/>
  <c r="P51" i="9"/>
  <c r="O51" i="9"/>
  <c r="N51" i="9"/>
  <c r="M51" i="9"/>
  <c r="K51" i="9"/>
  <c r="F51" i="9"/>
  <c r="E51" i="9"/>
  <c r="D51" i="9"/>
  <c r="C51" i="9"/>
  <c r="B51" i="9"/>
  <c r="R50" i="9"/>
  <c r="Q50" i="9"/>
  <c r="P50" i="9"/>
  <c r="O50" i="9"/>
  <c r="N50" i="9"/>
  <c r="M50" i="9"/>
  <c r="K50" i="9"/>
  <c r="F50" i="9"/>
  <c r="E50" i="9"/>
  <c r="D50" i="9"/>
  <c r="C50" i="9"/>
  <c r="B50" i="9"/>
  <c r="R49" i="9"/>
  <c r="Q49" i="9"/>
  <c r="P49" i="9"/>
  <c r="O49" i="9"/>
  <c r="N49" i="9"/>
  <c r="M49" i="9"/>
  <c r="K49" i="9"/>
  <c r="F49" i="9"/>
  <c r="E49" i="9"/>
  <c r="D49" i="9"/>
  <c r="C49" i="9"/>
  <c r="B49" i="9"/>
  <c r="R48" i="9"/>
  <c r="Q48" i="9"/>
  <c r="P48" i="9"/>
  <c r="O48" i="9"/>
  <c r="N48" i="9"/>
  <c r="M48" i="9"/>
  <c r="K48" i="9"/>
  <c r="F48" i="9"/>
  <c r="E48" i="9"/>
  <c r="D48" i="9"/>
  <c r="C48" i="9"/>
  <c r="B48" i="9"/>
  <c r="R47" i="9"/>
  <c r="Q47" i="9"/>
  <c r="P47" i="9"/>
  <c r="O47" i="9"/>
  <c r="N47" i="9"/>
  <c r="M47" i="9"/>
  <c r="K47" i="9"/>
  <c r="F47" i="9"/>
  <c r="E47" i="9"/>
  <c r="D47" i="9"/>
  <c r="C47" i="9"/>
  <c r="B47" i="9"/>
  <c r="R46" i="9"/>
  <c r="Q46" i="9"/>
  <c r="P46" i="9"/>
  <c r="O46" i="9"/>
  <c r="N46" i="9"/>
  <c r="M46" i="9"/>
  <c r="K46" i="9"/>
  <c r="F46" i="9"/>
  <c r="E46" i="9"/>
  <c r="D46" i="9"/>
  <c r="C46" i="9"/>
  <c r="B46" i="9"/>
  <c r="R45" i="9"/>
  <c r="Q45" i="9"/>
  <c r="P45" i="9"/>
  <c r="O45" i="9"/>
  <c r="N45" i="9"/>
  <c r="M45" i="9"/>
  <c r="K45" i="9"/>
  <c r="F45" i="9"/>
  <c r="E45" i="9"/>
  <c r="D45" i="9"/>
  <c r="C45" i="9"/>
  <c r="B45" i="9"/>
  <c r="R44" i="9"/>
  <c r="Q44" i="9"/>
  <c r="P44" i="9"/>
  <c r="O44" i="9"/>
  <c r="N44" i="9"/>
  <c r="M44" i="9"/>
  <c r="K44" i="9"/>
  <c r="F44" i="9"/>
  <c r="E44" i="9"/>
  <c r="D44" i="9"/>
  <c r="C44" i="9"/>
  <c r="B44" i="9"/>
  <c r="R43" i="9"/>
  <c r="Q43" i="9"/>
  <c r="P43" i="9"/>
  <c r="O43" i="9"/>
  <c r="N43" i="9"/>
  <c r="M43" i="9"/>
  <c r="K43" i="9"/>
  <c r="F43" i="9"/>
  <c r="E43" i="9"/>
  <c r="D43" i="9"/>
  <c r="C43" i="9"/>
  <c r="B43" i="9"/>
  <c r="R42" i="9"/>
  <c r="Q42" i="9"/>
  <c r="P42" i="9"/>
  <c r="O42" i="9"/>
  <c r="N42" i="9"/>
  <c r="M42" i="9"/>
  <c r="K42" i="9"/>
  <c r="F42" i="9"/>
  <c r="E42" i="9"/>
  <c r="D42" i="9"/>
  <c r="C42" i="9"/>
  <c r="B42" i="9"/>
  <c r="R41" i="9"/>
  <c r="Q41" i="9"/>
  <c r="P41" i="9"/>
  <c r="O41" i="9"/>
  <c r="N41" i="9"/>
  <c r="M41" i="9"/>
  <c r="K41" i="9"/>
  <c r="F41" i="9"/>
  <c r="E41" i="9"/>
  <c r="D41" i="9"/>
  <c r="C41" i="9"/>
  <c r="B41" i="9"/>
  <c r="R40" i="9"/>
  <c r="Q40" i="9"/>
  <c r="P40" i="9"/>
  <c r="O40" i="9"/>
  <c r="N40" i="9"/>
  <c r="M40" i="9"/>
  <c r="K40" i="9"/>
  <c r="F40" i="9"/>
  <c r="E40" i="9"/>
  <c r="D40" i="9"/>
  <c r="C40" i="9"/>
  <c r="B40" i="9"/>
  <c r="R39" i="9"/>
  <c r="Q39" i="9"/>
  <c r="P39" i="9"/>
  <c r="O39" i="9"/>
  <c r="N39" i="9"/>
  <c r="M39" i="9"/>
  <c r="K39" i="9"/>
  <c r="F39" i="9"/>
  <c r="E39" i="9"/>
  <c r="D39" i="9"/>
  <c r="C39" i="9"/>
  <c r="B39" i="9"/>
  <c r="R38" i="9"/>
  <c r="Q38" i="9"/>
  <c r="P38" i="9"/>
  <c r="O38" i="9"/>
  <c r="N38" i="9"/>
  <c r="M38" i="9"/>
  <c r="K38" i="9"/>
  <c r="F38" i="9"/>
  <c r="E38" i="9"/>
  <c r="D38" i="9"/>
  <c r="C38" i="9"/>
  <c r="B38" i="9"/>
  <c r="R37" i="9"/>
  <c r="Q37" i="9"/>
  <c r="P37" i="9"/>
  <c r="O37" i="9"/>
  <c r="N37" i="9"/>
  <c r="M37" i="9"/>
  <c r="F37" i="9"/>
  <c r="E37" i="9"/>
  <c r="D37" i="9"/>
  <c r="C37" i="9"/>
  <c r="B37" i="9"/>
  <c r="R36" i="9"/>
  <c r="Q36" i="9"/>
  <c r="P36" i="9"/>
  <c r="O36" i="9"/>
  <c r="N36" i="9"/>
  <c r="M36" i="9"/>
  <c r="C36" i="9"/>
  <c r="B36" i="9"/>
  <c r="R35" i="9"/>
  <c r="Q35" i="9"/>
  <c r="P35" i="9"/>
  <c r="O35" i="9"/>
  <c r="N35" i="9"/>
  <c r="M35" i="9"/>
  <c r="C35" i="9"/>
  <c r="B35" i="9"/>
  <c r="R34" i="9"/>
  <c r="Q34" i="9"/>
  <c r="P34" i="9"/>
  <c r="O34" i="9"/>
  <c r="N34" i="9"/>
  <c r="M34" i="9"/>
  <c r="C34" i="9"/>
  <c r="B34" i="9"/>
  <c r="R33" i="9"/>
  <c r="Q33" i="9"/>
  <c r="P33" i="9"/>
  <c r="O33" i="9"/>
  <c r="N33" i="9"/>
  <c r="M33" i="9"/>
  <c r="C33" i="9"/>
  <c r="B33" i="9"/>
  <c r="R32" i="9"/>
  <c r="Q32" i="9"/>
  <c r="P32" i="9"/>
  <c r="O32" i="9"/>
  <c r="N32" i="9"/>
  <c r="M32" i="9"/>
  <c r="C32" i="9"/>
  <c r="B32" i="9"/>
  <c r="R31" i="9"/>
  <c r="Q31" i="9"/>
  <c r="P31" i="9"/>
  <c r="O31" i="9"/>
  <c r="N31" i="9"/>
  <c r="M31" i="9"/>
  <c r="C31" i="9"/>
  <c r="B31" i="9"/>
  <c r="R30" i="9"/>
  <c r="Q30" i="9"/>
  <c r="P30" i="9"/>
  <c r="O30" i="9"/>
  <c r="N30" i="9"/>
  <c r="M30" i="9"/>
  <c r="C30" i="9"/>
  <c r="B30" i="9"/>
  <c r="R29" i="9"/>
  <c r="Q29" i="9"/>
  <c r="P29" i="9"/>
  <c r="O29" i="9"/>
  <c r="N29" i="9"/>
  <c r="M29" i="9"/>
  <c r="C29" i="9"/>
  <c r="B29" i="9"/>
  <c r="R28" i="9"/>
  <c r="Q28" i="9"/>
  <c r="P28" i="9"/>
  <c r="O28" i="9"/>
  <c r="N28" i="9"/>
  <c r="M28" i="9"/>
  <c r="C28" i="9"/>
  <c r="B28" i="9"/>
  <c r="R27" i="9"/>
  <c r="Q27" i="9"/>
  <c r="P27" i="9"/>
  <c r="O27" i="9"/>
  <c r="N27" i="9"/>
  <c r="M27" i="9"/>
  <c r="C27" i="9"/>
  <c r="B27" i="9"/>
  <c r="R26" i="9"/>
  <c r="Q26" i="9"/>
  <c r="P26" i="9"/>
  <c r="O26" i="9"/>
  <c r="N26" i="9"/>
  <c r="M26" i="9"/>
  <c r="C26" i="9"/>
  <c r="B26" i="9"/>
  <c r="R25" i="9"/>
  <c r="Q25" i="9"/>
  <c r="P25" i="9"/>
  <c r="O25" i="9"/>
  <c r="N25" i="9"/>
  <c r="M25" i="9"/>
  <c r="C25" i="9"/>
  <c r="B25" i="9"/>
  <c r="R24" i="9"/>
  <c r="Q24" i="9"/>
  <c r="P24" i="9"/>
  <c r="O24" i="9"/>
  <c r="N24" i="9"/>
  <c r="M24" i="9"/>
  <c r="C24" i="9"/>
  <c r="B24" i="9"/>
  <c r="R23" i="9"/>
  <c r="Q23" i="9"/>
  <c r="P23" i="9"/>
  <c r="O23" i="9"/>
  <c r="N23" i="9"/>
  <c r="M23" i="9"/>
  <c r="C23" i="9"/>
  <c r="B23" i="9"/>
  <c r="R22" i="9"/>
  <c r="Q22" i="9"/>
  <c r="P22" i="9"/>
  <c r="O22" i="9"/>
  <c r="N22" i="9"/>
  <c r="M22" i="9"/>
  <c r="C22" i="9"/>
  <c r="B22" i="9"/>
  <c r="R21" i="9"/>
  <c r="Q21" i="9"/>
  <c r="P21" i="9"/>
  <c r="O21" i="9"/>
  <c r="N21" i="9"/>
  <c r="M21" i="9"/>
  <c r="C21" i="9"/>
  <c r="B21" i="9"/>
  <c r="R20" i="9"/>
  <c r="Q20" i="9"/>
  <c r="P20" i="9"/>
  <c r="O20" i="9"/>
  <c r="N20" i="9"/>
  <c r="M20" i="9"/>
  <c r="C20" i="9"/>
  <c r="B20" i="9"/>
  <c r="R19" i="9"/>
  <c r="Q19" i="9"/>
  <c r="P19" i="9"/>
  <c r="O19" i="9"/>
  <c r="N19" i="9"/>
  <c r="M19" i="9"/>
  <c r="C19" i="9"/>
  <c r="B19" i="9"/>
  <c r="P18" i="9"/>
  <c r="O18" i="9"/>
  <c r="C18" i="9"/>
  <c r="R18" i="9" s="1"/>
  <c r="B18" i="9"/>
  <c r="P17" i="9"/>
  <c r="O17" i="9"/>
  <c r="C17" i="9"/>
  <c r="R17" i="9" s="1"/>
  <c r="B17" i="9"/>
  <c r="P16" i="9"/>
  <c r="O16" i="9"/>
  <c r="C16" i="9"/>
  <c r="R16" i="9" s="1"/>
  <c r="B16" i="9"/>
  <c r="P15" i="9"/>
  <c r="O15" i="9"/>
  <c r="C15" i="9"/>
  <c r="R15" i="9" s="1"/>
  <c r="B15" i="9"/>
  <c r="P14" i="9"/>
  <c r="O14" i="9"/>
  <c r="C14" i="9"/>
  <c r="B14" i="9"/>
  <c r="P13" i="9"/>
  <c r="O13" i="9"/>
  <c r="C13" i="9"/>
  <c r="B13" i="9"/>
  <c r="O12" i="9"/>
  <c r="C12" i="9"/>
  <c r="B12" i="9"/>
  <c r="C11" i="9"/>
  <c r="B11" i="9"/>
  <c r="K10" i="9"/>
  <c r="F10" i="9"/>
  <c r="E10" i="9"/>
  <c r="D10" i="9"/>
  <c r="C10" i="9"/>
  <c r="B10" i="9"/>
  <c r="K9" i="9"/>
  <c r="F9" i="9"/>
  <c r="E9" i="9"/>
  <c r="D9" i="9"/>
  <c r="C9" i="9"/>
  <c r="B9" i="9"/>
  <c r="K8" i="9"/>
  <c r="F8" i="9"/>
  <c r="E8" i="9"/>
  <c r="D8" i="9"/>
  <c r="C8" i="9"/>
  <c r="B8" i="9"/>
  <c r="K7" i="9"/>
  <c r="F7" i="9"/>
  <c r="E7" i="9"/>
  <c r="D7" i="9"/>
  <c r="C7" i="9"/>
  <c r="B7" i="9"/>
  <c r="K6" i="9"/>
  <c r="F6" i="9"/>
  <c r="E6" i="9"/>
  <c r="D6" i="9"/>
  <c r="C6" i="9"/>
  <c r="L6" i="9" s="1"/>
  <c r="B6" i="9"/>
  <c r="K5" i="9"/>
  <c r="F5" i="9"/>
  <c r="E5" i="9"/>
  <c r="D5" i="9"/>
  <c r="C5" i="9"/>
  <c r="B5" i="9"/>
  <c r="O40" i="4"/>
  <c r="O41" i="4"/>
  <c r="O42" i="4"/>
  <c r="O43" i="4"/>
  <c r="O44" i="4"/>
  <c r="O45" i="4"/>
  <c r="O46" i="4"/>
  <c r="O47" i="4"/>
  <c r="O48" i="4"/>
  <c r="O49" i="4"/>
  <c r="O50" i="4"/>
  <c r="O51" i="4"/>
  <c r="O52" i="4"/>
  <c r="O53" i="4"/>
  <c r="O54" i="4"/>
  <c r="O55" i="4"/>
  <c r="O56" i="4"/>
  <c r="O57" i="4"/>
  <c r="O58" i="4"/>
  <c r="O59" i="4"/>
  <c r="O60" i="4"/>
  <c r="O61" i="4"/>
  <c r="O62" i="4"/>
  <c r="O63" i="4"/>
  <c r="O64" i="4"/>
  <c r="O65" i="4"/>
  <c r="O66" i="4"/>
  <c r="O67" i="4"/>
  <c r="O68" i="4"/>
  <c r="O69" i="4"/>
  <c r="O70" i="4"/>
  <c r="O71" i="4"/>
  <c r="O72" i="4"/>
  <c r="O73" i="4"/>
  <c r="O74" i="4"/>
  <c r="O75" i="4"/>
  <c r="O76" i="4"/>
  <c r="O77" i="4"/>
  <c r="O78" i="4"/>
  <c r="O79" i="4"/>
  <c r="O80" i="4"/>
  <c r="O81" i="4"/>
  <c r="O82" i="4"/>
  <c r="O83" i="4"/>
  <c r="O84" i="4"/>
  <c r="O85" i="4"/>
  <c r="O86" i="4"/>
  <c r="O87" i="4"/>
  <c r="O88" i="4"/>
  <c r="O89" i="4"/>
  <c r="O90" i="4"/>
  <c r="O91" i="4"/>
  <c r="O92" i="4"/>
  <c r="O93" i="4"/>
  <c r="O94" i="4"/>
  <c r="O95" i="4"/>
  <c r="O96" i="4"/>
  <c r="O97" i="4"/>
  <c r="O98" i="4"/>
  <c r="O99" i="4"/>
  <c r="O100" i="4"/>
  <c r="O101" i="4"/>
  <c r="O102" i="4"/>
  <c r="O103" i="4"/>
  <c r="O104" i="4"/>
  <c r="J733" i="8"/>
  <c r="L733" i="8" s="1"/>
  <c r="H733" i="8"/>
  <c r="F733" i="8"/>
  <c r="E733" i="8"/>
  <c r="D733" i="8"/>
  <c r="C733" i="8"/>
  <c r="B733" i="8"/>
  <c r="J732" i="8"/>
  <c r="H732" i="8"/>
  <c r="Q732" i="8" s="1"/>
  <c r="F732" i="8"/>
  <c r="E732" i="8"/>
  <c r="D732" i="8"/>
  <c r="C732" i="8"/>
  <c r="B732" i="8"/>
  <c r="J731" i="8"/>
  <c r="H731" i="8"/>
  <c r="F731" i="8"/>
  <c r="E731" i="8"/>
  <c r="D731" i="8"/>
  <c r="C731" i="8"/>
  <c r="B731" i="8"/>
  <c r="J730" i="8"/>
  <c r="H730" i="8"/>
  <c r="F730" i="8"/>
  <c r="E730" i="8"/>
  <c r="D730" i="8"/>
  <c r="C730" i="8"/>
  <c r="B730" i="8"/>
  <c r="J729" i="8"/>
  <c r="H729" i="8"/>
  <c r="F729" i="8"/>
  <c r="E729" i="8"/>
  <c r="D729" i="8"/>
  <c r="C729" i="8"/>
  <c r="B729" i="8"/>
  <c r="J728" i="8"/>
  <c r="H728" i="8"/>
  <c r="F728" i="8"/>
  <c r="E728" i="8"/>
  <c r="D728" i="8"/>
  <c r="C728" i="8"/>
  <c r="B728" i="8"/>
  <c r="J727" i="8"/>
  <c r="H727" i="8"/>
  <c r="F727" i="8"/>
  <c r="E727" i="8"/>
  <c r="D727" i="8"/>
  <c r="C727" i="8"/>
  <c r="B727" i="8"/>
  <c r="J726" i="8"/>
  <c r="H726" i="8"/>
  <c r="F726" i="8"/>
  <c r="E726" i="8"/>
  <c r="D726" i="8"/>
  <c r="C726" i="8"/>
  <c r="B726" i="8"/>
  <c r="J725" i="8"/>
  <c r="H725" i="8"/>
  <c r="F725" i="8"/>
  <c r="E725" i="8"/>
  <c r="D725" i="8"/>
  <c r="C725" i="8"/>
  <c r="B725" i="8"/>
  <c r="J724" i="8"/>
  <c r="L724" i="8" s="1"/>
  <c r="H724" i="8"/>
  <c r="F724" i="8"/>
  <c r="E724" i="8"/>
  <c r="C724" i="8"/>
  <c r="B724" i="8"/>
  <c r="J723" i="8"/>
  <c r="H723" i="8"/>
  <c r="F723" i="8"/>
  <c r="E723" i="8"/>
  <c r="C723" i="8"/>
  <c r="B723" i="8"/>
  <c r="J722" i="8"/>
  <c r="H722" i="8"/>
  <c r="F722" i="8"/>
  <c r="E722" i="8"/>
  <c r="C722" i="8"/>
  <c r="B722" i="8"/>
  <c r="J721" i="8"/>
  <c r="H721" i="8"/>
  <c r="F721" i="8"/>
  <c r="E721" i="8"/>
  <c r="C721" i="8"/>
  <c r="B721" i="8"/>
  <c r="J720" i="8"/>
  <c r="H720" i="8"/>
  <c r="F720" i="8"/>
  <c r="E720" i="8"/>
  <c r="C720" i="8"/>
  <c r="B720" i="8"/>
  <c r="J719" i="8"/>
  <c r="H719" i="8"/>
  <c r="F719" i="8"/>
  <c r="E719" i="8"/>
  <c r="C719" i="8"/>
  <c r="B719" i="8"/>
  <c r="J718" i="8"/>
  <c r="H718" i="8"/>
  <c r="F718" i="8"/>
  <c r="E718" i="8"/>
  <c r="C718" i="8"/>
  <c r="B718" i="8"/>
  <c r="J717" i="8"/>
  <c r="H717" i="8"/>
  <c r="F717" i="8"/>
  <c r="E717" i="8"/>
  <c r="C717" i="8"/>
  <c r="B717" i="8"/>
  <c r="J716" i="8"/>
  <c r="H716" i="8"/>
  <c r="F716" i="8"/>
  <c r="E716" i="8"/>
  <c r="C716" i="8"/>
  <c r="B716" i="8"/>
  <c r="J715" i="8"/>
  <c r="H715" i="8"/>
  <c r="F715" i="8"/>
  <c r="E715" i="8"/>
  <c r="C715" i="8"/>
  <c r="B715" i="8"/>
  <c r="J714" i="8"/>
  <c r="H714" i="8"/>
  <c r="F714" i="8"/>
  <c r="E714" i="8"/>
  <c r="C714" i="8"/>
  <c r="B714" i="8"/>
  <c r="J713" i="8"/>
  <c r="H713" i="8"/>
  <c r="F713" i="8"/>
  <c r="E713" i="8"/>
  <c r="C713" i="8"/>
  <c r="B713" i="8"/>
  <c r="J712" i="8"/>
  <c r="H712" i="8"/>
  <c r="F712" i="8"/>
  <c r="E712" i="8"/>
  <c r="C712" i="8"/>
  <c r="B712" i="8"/>
  <c r="J711" i="8"/>
  <c r="H711" i="8"/>
  <c r="F711" i="8"/>
  <c r="E711" i="8"/>
  <c r="C711" i="8"/>
  <c r="B711" i="8"/>
  <c r="J710" i="8"/>
  <c r="H710" i="8"/>
  <c r="F710" i="8"/>
  <c r="E710" i="8"/>
  <c r="C710" i="8"/>
  <c r="B710" i="8"/>
  <c r="J709" i="8"/>
  <c r="H709" i="8"/>
  <c r="F709" i="8"/>
  <c r="E709" i="8"/>
  <c r="C709" i="8"/>
  <c r="B709" i="8"/>
  <c r="J708" i="8"/>
  <c r="H708" i="8"/>
  <c r="F708" i="8"/>
  <c r="E708" i="8"/>
  <c r="C708" i="8"/>
  <c r="B708" i="8"/>
  <c r="J707" i="8"/>
  <c r="H707" i="8"/>
  <c r="F707" i="8"/>
  <c r="E707" i="8"/>
  <c r="C707" i="8"/>
  <c r="B707" i="8"/>
  <c r="J706" i="8"/>
  <c r="H706" i="8"/>
  <c r="F706" i="8"/>
  <c r="E706" i="8"/>
  <c r="C706" i="8"/>
  <c r="B706" i="8"/>
  <c r="J705" i="8"/>
  <c r="H705" i="8"/>
  <c r="F705" i="8"/>
  <c r="E705" i="8"/>
  <c r="C705" i="8"/>
  <c r="B705" i="8"/>
  <c r="J704" i="8"/>
  <c r="H704" i="8"/>
  <c r="F704" i="8"/>
  <c r="E704" i="8"/>
  <c r="C704" i="8"/>
  <c r="B704" i="8"/>
  <c r="J703" i="8"/>
  <c r="H703" i="8"/>
  <c r="Q703" i="8" s="1"/>
  <c r="F703" i="8"/>
  <c r="E703" i="8"/>
  <c r="C703" i="8"/>
  <c r="B703" i="8"/>
  <c r="J702" i="8"/>
  <c r="H702" i="8"/>
  <c r="F702" i="8"/>
  <c r="E702" i="8"/>
  <c r="C702" i="8"/>
  <c r="B702" i="8"/>
  <c r="J701" i="8"/>
  <c r="H701" i="8"/>
  <c r="F701" i="8"/>
  <c r="E701" i="8"/>
  <c r="C701" i="8"/>
  <c r="B701" i="8"/>
  <c r="J700" i="8"/>
  <c r="H700" i="8"/>
  <c r="F700" i="8"/>
  <c r="E700" i="8"/>
  <c r="C700" i="8"/>
  <c r="B700" i="8"/>
  <c r="J699" i="8"/>
  <c r="H699" i="8"/>
  <c r="F699" i="8"/>
  <c r="E699" i="8"/>
  <c r="C699" i="8"/>
  <c r="B699" i="8"/>
  <c r="J698" i="8"/>
  <c r="H698" i="8"/>
  <c r="F698" i="8"/>
  <c r="E698" i="8"/>
  <c r="C698" i="8"/>
  <c r="B698" i="8"/>
  <c r="J697" i="8"/>
  <c r="H697" i="8"/>
  <c r="L697" i="8" s="1"/>
  <c r="F697" i="8"/>
  <c r="E697" i="8"/>
  <c r="C697" i="8"/>
  <c r="B697" i="8"/>
  <c r="J696" i="8"/>
  <c r="H696" i="8"/>
  <c r="F696" i="8"/>
  <c r="E696" i="8"/>
  <c r="C696" i="8"/>
  <c r="B696" i="8"/>
  <c r="J695" i="8"/>
  <c r="H695" i="8"/>
  <c r="F695" i="8"/>
  <c r="E695" i="8"/>
  <c r="C695" i="8"/>
  <c r="B695" i="8"/>
  <c r="J694" i="8"/>
  <c r="H694" i="8"/>
  <c r="E694" i="8"/>
  <c r="C694" i="8"/>
  <c r="B694" i="8"/>
  <c r="J693" i="8"/>
  <c r="Q693" i="8" s="1"/>
  <c r="H693" i="8"/>
  <c r="F693" i="8"/>
  <c r="E693" i="8"/>
  <c r="C693" i="8"/>
  <c r="B693" i="8"/>
  <c r="J692" i="8"/>
  <c r="H692" i="8"/>
  <c r="Q692" i="8" s="1"/>
  <c r="F692" i="8"/>
  <c r="E692" i="8"/>
  <c r="C692" i="8"/>
  <c r="B692" i="8"/>
  <c r="J691" i="8"/>
  <c r="H691" i="8"/>
  <c r="F691" i="8"/>
  <c r="E691" i="8"/>
  <c r="C691" i="8"/>
  <c r="B691" i="8"/>
  <c r="J690" i="8"/>
  <c r="H690" i="8"/>
  <c r="F690" i="8"/>
  <c r="E690" i="8"/>
  <c r="C690" i="8"/>
  <c r="B690" i="8"/>
  <c r="J689" i="8"/>
  <c r="H689" i="8"/>
  <c r="F689" i="8"/>
  <c r="E689" i="8"/>
  <c r="C689" i="8"/>
  <c r="B689" i="8"/>
  <c r="J688" i="8"/>
  <c r="H688" i="8"/>
  <c r="E688" i="8"/>
  <c r="C688" i="8"/>
  <c r="B688" i="8"/>
  <c r="J687" i="8"/>
  <c r="H687" i="8"/>
  <c r="E687" i="8"/>
  <c r="C687" i="8"/>
  <c r="B687" i="8"/>
  <c r="J686" i="8"/>
  <c r="L686" i="8" s="1"/>
  <c r="H686" i="8"/>
  <c r="F686" i="8"/>
  <c r="E686" i="8"/>
  <c r="C686" i="8"/>
  <c r="B686" i="8"/>
  <c r="J685" i="8"/>
  <c r="H685" i="8"/>
  <c r="Q685" i="8" s="1"/>
  <c r="F685" i="8"/>
  <c r="E685" i="8"/>
  <c r="C685" i="8"/>
  <c r="B685" i="8"/>
  <c r="J684" i="8"/>
  <c r="H684" i="8"/>
  <c r="F684" i="8"/>
  <c r="E684" i="8"/>
  <c r="C684" i="8"/>
  <c r="B684" i="8"/>
  <c r="J683" i="8"/>
  <c r="H683" i="8"/>
  <c r="F683" i="8"/>
  <c r="E683" i="8"/>
  <c r="C683" i="8"/>
  <c r="B683" i="8"/>
  <c r="J682" i="8"/>
  <c r="H682" i="8"/>
  <c r="F682" i="8"/>
  <c r="E682" i="8"/>
  <c r="C682" i="8"/>
  <c r="B682" i="8"/>
  <c r="J681" i="8"/>
  <c r="H681" i="8"/>
  <c r="L681" i="8" s="1"/>
  <c r="E681" i="8"/>
  <c r="C681" i="8"/>
  <c r="B681" i="8"/>
  <c r="J680" i="8"/>
  <c r="H680" i="8"/>
  <c r="E680" i="8"/>
  <c r="C680" i="8"/>
  <c r="B680" i="8"/>
  <c r="J679" i="8"/>
  <c r="H679" i="8"/>
  <c r="E679" i="8"/>
  <c r="C679" i="8"/>
  <c r="B679" i="8"/>
  <c r="J678" i="8"/>
  <c r="H678" i="8"/>
  <c r="E678" i="8"/>
  <c r="C678" i="8"/>
  <c r="B678" i="8"/>
  <c r="J677" i="8"/>
  <c r="H677" i="8"/>
  <c r="E677" i="8"/>
  <c r="D677" i="8"/>
  <c r="C677" i="8"/>
  <c r="B677" i="8"/>
  <c r="J676" i="8"/>
  <c r="H676" i="8"/>
  <c r="E676" i="8"/>
  <c r="D676" i="8"/>
  <c r="C676" i="8"/>
  <c r="B676" i="8"/>
  <c r="J675" i="8"/>
  <c r="H675" i="8"/>
  <c r="E675" i="8"/>
  <c r="D675" i="8"/>
  <c r="C675" i="8"/>
  <c r="B675" i="8"/>
  <c r="J674" i="8"/>
  <c r="H674" i="8"/>
  <c r="E674" i="8"/>
  <c r="D674" i="8"/>
  <c r="C674" i="8"/>
  <c r="B674" i="8"/>
  <c r="J673" i="8"/>
  <c r="H673" i="8"/>
  <c r="E673" i="8"/>
  <c r="D673" i="8"/>
  <c r="C673" i="8"/>
  <c r="B673" i="8"/>
  <c r="J672" i="8"/>
  <c r="H672" i="8"/>
  <c r="E672" i="8"/>
  <c r="D672" i="8"/>
  <c r="C672" i="8"/>
  <c r="B672" i="8"/>
  <c r="J671" i="8"/>
  <c r="H671" i="8"/>
  <c r="E671" i="8"/>
  <c r="C671" i="8"/>
  <c r="B671" i="8"/>
  <c r="J670" i="8"/>
  <c r="H670" i="8"/>
  <c r="E670" i="8"/>
  <c r="C670" i="8"/>
  <c r="B670" i="8"/>
  <c r="J669" i="8"/>
  <c r="H669" i="8"/>
  <c r="E669" i="8"/>
  <c r="C669" i="8"/>
  <c r="B669" i="8"/>
  <c r="J668" i="8"/>
  <c r="H668" i="8"/>
  <c r="Q668" i="8" s="1"/>
  <c r="E668" i="8"/>
  <c r="C668" i="8"/>
  <c r="B668" i="8"/>
  <c r="J667" i="8"/>
  <c r="H667" i="8"/>
  <c r="C667" i="8"/>
  <c r="B667" i="8"/>
  <c r="J666" i="8"/>
  <c r="H666" i="8"/>
  <c r="Q666" i="8" s="1"/>
  <c r="C666" i="8"/>
  <c r="B666" i="8"/>
  <c r="J665" i="8"/>
  <c r="H665" i="8"/>
  <c r="C665" i="8"/>
  <c r="B665" i="8"/>
  <c r="J664" i="8"/>
  <c r="H664" i="8"/>
  <c r="E664" i="8"/>
  <c r="C664" i="8"/>
  <c r="B664" i="8"/>
  <c r="J663" i="8"/>
  <c r="H663" i="8"/>
  <c r="F663" i="8"/>
  <c r="E663" i="8"/>
  <c r="C663" i="8"/>
  <c r="B663" i="8"/>
  <c r="J662" i="8"/>
  <c r="H662" i="8"/>
  <c r="F662" i="8"/>
  <c r="E662" i="8"/>
  <c r="C662" i="8"/>
  <c r="B662" i="8"/>
  <c r="J661" i="8"/>
  <c r="H661" i="8"/>
  <c r="C661" i="8"/>
  <c r="B661" i="8"/>
  <c r="J660" i="8"/>
  <c r="H660" i="8"/>
  <c r="F660" i="8"/>
  <c r="E660" i="8"/>
  <c r="C660" i="8"/>
  <c r="B660" i="8"/>
  <c r="J659" i="8"/>
  <c r="H659" i="8"/>
  <c r="F659" i="8"/>
  <c r="E659" i="8"/>
  <c r="C659" i="8"/>
  <c r="B659" i="8"/>
  <c r="J658" i="8"/>
  <c r="H658" i="8"/>
  <c r="F658" i="8"/>
  <c r="E658" i="8"/>
  <c r="C658" i="8"/>
  <c r="B658" i="8"/>
  <c r="J657" i="8"/>
  <c r="H657" i="8"/>
  <c r="F657" i="8"/>
  <c r="C657" i="8"/>
  <c r="B657" i="8"/>
  <c r="J656" i="8"/>
  <c r="H656" i="8"/>
  <c r="F656" i="8"/>
  <c r="E656" i="8"/>
  <c r="C656" i="8"/>
  <c r="B656" i="8"/>
  <c r="J655" i="8"/>
  <c r="H655" i="8"/>
  <c r="F655" i="8"/>
  <c r="E655" i="8"/>
  <c r="C655" i="8"/>
  <c r="B655" i="8"/>
  <c r="J654" i="8"/>
  <c r="H654" i="8"/>
  <c r="F654" i="8"/>
  <c r="E654" i="8"/>
  <c r="C654" i="8"/>
  <c r="B654" i="8"/>
  <c r="J653" i="8"/>
  <c r="H653" i="8"/>
  <c r="C653" i="8"/>
  <c r="B653" i="8"/>
  <c r="J652" i="8"/>
  <c r="H652" i="8"/>
  <c r="E652" i="8"/>
  <c r="C652" i="8"/>
  <c r="B652" i="8"/>
  <c r="J651" i="8"/>
  <c r="H651" i="8"/>
  <c r="E651" i="8"/>
  <c r="C651" i="8"/>
  <c r="B651" i="8"/>
  <c r="J650" i="8"/>
  <c r="H650" i="8"/>
  <c r="E650" i="8"/>
  <c r="C650" i="8"/>
  <c r="B650" i="8"/>
  <c r="J649" i="8"/>
  <c r="H649" i="8"/>
  <c r="C649" i="8"/>
  <c r="B649" i="8"/>
  <c r="J648" i="8"/>
  <c r="H648" i="8"/>
  <c r="E648" i="8"/>
  <c r="C648" i="8"/>
  <c r="B648" i="8"/>
  <c r="J647" i="8"/>
  <c r="H647" i="8"/>
  <c r="L647" i="8" s="1"/>
  <c r="E647" i="8"/>
  <c r="C647" i="8"/>
  <c r="B647" i="8"/>
  <c r="J646" i="8"/>
  <c r="H646" i="8"/>
  <c r="E646" i="8"/>
  <c r="C646" i="8"/>
  <c r="B646" i="8"/>
  <c r="J645" i="8"/>
  <c r="H645" i="8"/>
  <c r="E645" i="8"/>
  <c r="C645" i="8"/>
  <c r="B645" i="8"/>
  <c r="J644" i="8"/>
  <c r="H644" i="8"/>
  <c r="E644" i="8"/>
  <c r="C644" i="8"/>
  <c r="B644" i="8"/>
  <c r="J643" i="8"/>
  <c r="H643" i="8"/>
  <c r="E643" i="8"/>
  <c r="C643" i="8"/>
  <c r="B643" i="8"/>
  <c r="J642" i="8"/>
  <c r="L642" i="8" s="1"/>
  <c r="H642" i="8"/>
  <c r="F642" i="8"/>
  <c r="E642" i="8"/>
  <c r="C642" i="8"/>
  <c r="B642" i="8"/>
  <c r="J641" i="8"/>
  <c r="H641" i="8"/>
  <c r="E641" i="8"/>
  <c r="C641" i="8"/>
  <c r="B641" i="8"/>
  <c r="J640" i="8"/>
  <c r="H640" i="8"/>
  <c r="E640" i="8"/>
  <c r="C640" i="8"/>
  <c r="B640" i="8"/>
  <c r="J639" i="8"/>
  <c r="H639" i="8"/>
  <c r="E639" i="8"/>
  <c r="C639" i="8"/>
  <c r="B639" i="8"/>
  <c r="J638" i="8"/>
  <c r="H638" i="8"/>
  <c r="E638" i="8"/>
  <c r="C638" i="8"/>
  <c r="B638" i="8"/>
  <c r="J637" i="8"/>
  <c r="H637" i="8"/>
  <c r="E637" i="8"/>
  <c r="C637" i="8"/>
  <c r="B637" i="8"/>
  <c r="J636" i="8"/>
  <c r="H636" i="8"/>
  <c r="E636" i="8"/>
  <c r="C636" i="8"/>
  <c r="B636" i="8"/>
  <c r="J635" i="8"/>
  <c r="H635" i="8"/>
  <c r="E635" i="8"/>
  <c r="C635" i="8"/>
  <c r="B635" i="8"/>
  <c r="F628" i="8"/>
  <c r="H628" i="8" s="1"/>
  <c r="C628" i="8"/>
  <c r="B628" i="8"/>
  <c r="F627" i="8"/>
  <c r="C627" i="8"/>
  <c r="B627" i="8"/>
  <c r="F626" i="8"/>
  <c r="C626" i="8"/>
  <c r="B626" i="8"/>
  <c r="F625" i="8"/>
  <c r="K625" i="8" s="1"/>
  <c r="C625" i="8"/>
  <c r="B625" i="8"/>
  <c r="F624" i="8"/>
  <c r="H624" i="8" s="1"/>
  <c r="C624" i="8"/>
  <c r="B624" i="8"/>
  <c r="F623" i="8"/>
  <c r="C623" i="8"/>
  <c r="B623" i="8"/>
  <c r="F622" i="8"/>
  <c r="C622" i="8"/>
  <c r="B622" i="8"/>
  <c r="F621" i="8"/>
  <c r="C621" i="8"/>
  <c r="B621" i="8"/>
  <c r="F620" i="8"/>
  <c r="C620" i="8"/>
  <c r="B620" i="8"/>
  <c r="F619" i="8"/>
  <c r="C619" i="8"/>
  <c r="B619" i="8"/>
  <c r="F618" i="8"/>
  <c r="C618" i="8"/>
  <c r="B618" i="8"/>
  <c r="F617" i="8"/>
  <c r="K617" i="8" s="1"/>
  <c r="C617" i="8"/>
  <c r="B617" i="8"/>
  <c r="F616" i="8"/>
  <c r="C616" i="8"/>
  <c r="B616" i="8"/>
  <c r="F615" i="8"/>
  <c r="H615" i="8" s="1"/>
  <c r="C615" i="8"/>
  <c r="B615" i="8"/>
  <c r="F614" i="8"/>
  <c r="C614" i="8"/>
  <c r="B614" i="8"/>
  <c r="F613" i="8"/>
  <c r="C613" i="8"/>
  <c r="B613" i="8"/>
  <c r="F612" i="8"/>
  <c r="C612" i="8"/>
  <c r="B612" i="8"/>
  <c r="F611" i="8"/>
  <c r="C611" i="8"/>
  <c r="B611" i="8"/>
  <c r="F610" i="8"/>
  <c r="C610" i="8"/>
  <c r="B610" i="8"/>
  <c r="F609" i="8"/>
  <c r="C609" i="8"/>
  <c r="B609" i="8"/>
  <c r="F608" i="8"/>
  <c r="K608" i="8" s="1"/>
  <c r="C608" i="8"/>
  <c r="B608" i="8"/>
  <c r="F607" i="8"/>
  <c r="C607" i="8"/>
  <c r="B607" i="8"/>
  <c r="F606" i="8"/>
  <c r="C606" i="8"/>
  <c r="B606" i="8"/>
  <c r="F605" i="8"/>
  <c r="C605" i="8"/>
  <c r="B605" i="8"/>
  <c r="F604" i="8"/>
  <c r="C604" i="8"/>
  <c r="B604" i="8"/>
  <c r="F603" i="8"/>
  <c r="C603" i="8"/>
  <c r="B603" i="8"/>
  <c r="F602" i="8"/>
  <c r="C602" i="8"/>
  <c r="B602" i="8"/>
  <c r="F601" i="8"/>
  <c r="H601" i="8" s="1"/>
  <c r="C601" i="8"/>
  <c r="B601" i="8"/>
  <c r="F600" i="8"/>
  <c r="C600" i="8"/>
  <c r="B600" i="8"/>
  <c r="F599" i="8"/>
  <c r="C599" i="8"/>
  <c r="B599" i="8"/>
  <c r="F598" i="8"/>
  <c r="C598" i="8"/>
  <c r="B598" i="8"/>
  <c r="F597" i="8"/>
  <c r="C597" i="8"/>
  <c r="B597" i="8"/>
  <c r="F596" i="8"/>
  <c r="C596" i="8"/>
  <c r="B596" i="8"/>
  <c r="F595" i="8"/>
  <c r="C595" i="8"/>
  <c r="B595" i="8"/>
  <c r="F594" i="8"/>
  <c r="C594" i="8"/>
  <c r="B594" i="8"/>
  <c r="F593" i="8"/>
  <c r="K593" i="8" s="1"/>
  <c r="C593" i="8"/>
  <c r="B593" i="8"/>
  <c r="F592" i="8"/>
  <c r="C592" i="8"/>
  <c r="B592" i="8"/>
  <c r="F591" i="8"/>
  <c r="C591" i="8"/>
  <c r="B591" i="8"/>
  <c r="F590" i="8"/>
  <c r="C590" i="8"/>
  <c r="B590" i="8"/>
  <c r="F589" i="8"/>
  <c r="C589" i="8"/>
  <c r="B589" i="8"/>
  <c r="F588" i="8"/>
  <c r="C588" i="8"/>
  <c r="B588" i="8"/>
  <c r="F587" i="8"/>
  <c r="C587" i="8"/>
  <c r="B587" i="8"/>
  <c r="F586" i="8"/>
  <c r="C586" i="8"/>
  <c r="B586" i="8"/>
  <c r="F585" i="8"/>
  <c r="K585" i="8" s="1"/>
  <c r="C585" i="8"/>
  <c r="B585" i="8"/>
  <c r="F584" i="8"/>
  <c r="C584" i="8"/>
  <c r="B584" i="8"/>
  <c r="F583" i="8"/>
  <c r="C583" i="8"/>
  <c r="B583" i="8"/>
  <c r="F582" i="8"/>
  <c r="C582" i="8"/>
  <c r="B582" i="8"/>
  <c r="F581" i="8"/>
  <c r="C581" i="8"/>
  <c r="B581" i="8"/>
  <c r="F580" i="8"/>
  <c r="K580" i="8" s="1"/>
  <c r="C580" i="8"/>
  <c r="B580" i="8"/>
  <c r="F579" i="8"/>
  <c r="H579" i="8" s="1"/>
  <c r="C579" i="8"/>
  <c r="B579" i="8"/>
  <c r="F578" i="8"/>
  <c r="C578" i="8"/>
  <c r="B578" i="8"/>
  <c r="F577" i="8"/>
  <c r="K577" i="8" s="1"/>
  <c r="C577" i="8"/>
  <c r="B577" i="8"/>
  <c r="F576" i="8"/>
  <c r="H576" i="8" s="1"/>
  <c r="L576" i="8" s="1"/>
  <c r="C576" i="8"/>
  <c r="B576" i="8"/>
  <c r="F575" i="8"/>
  <c r="C575" i="8"/>
  <c r="B575" i="8"/>
  <c r="F574" i="8"/>
  <c r="C574" i="8"/>
  <c r="B574" i="8"/>
  <c r="F573" i="8"/>
  <c r="C573" i="8"/>
  <c r="B573" i="8"/>
  <c r="F572" i="8"/>
  <c r="C572" i="8"/>
  <c r="B572" i="8"/>
  <c r="F571" i="8"/>
  <c r="C571" i="8"/>
  <c r="B571" i="8"/>
  <c r="F570" i="8"/>
  <c r="C570" i="8"/>
  <c r="B570" i="8"/>
  <c r="F569" i="8"/>
  <c r="K569" i="8" s="1"/>
  <c r="C569" i="8"/>
  <c r="B569" i="8"/>
  <c r="F568" i="8"/>
  <c r="K568" i="8" s="1"/>
  <c r="C568" i="8"/>
  <c r="B568" i="8"/>
  <c r="F567" i="8"/>
  <c r="C567" i="8"/>
  <c r="B567" i="8"/>
  <c r="F566" i="8"/>
  <c r="C566" i="8"/>
  <c r="B566" i="8"/>
  <c r="F565" i="8"/>
  <c r="C565" i="8"/>
  <c r="B565" i="8"/>
  <c r="F564" i="8"/>
  <c r="C564" i="8"/>
  <c r="B564" i="8"/>
  <c r="F563" i="8"/>
  <c r="C563" i="8"/>
  <c r="B563" i="8"/>
  <c r="F562" i="8"/>
  <c r="C562" i="8"/>
  <c r="B562" i="8"/>
  <c r="F561" i="8"/>
  <c r="K561" i="8" s="1"/>
  <c r="C561" i="8"/>
  <c r="B561" i="8"/>
  <c r="F560" i="8"/>
  <c r="C560" i="8"/>
  <c r="B560" i="8"/>
  <c r="F559" i="8"/>
  <c r="C559" i="8"/>
  <c r="B559" i="8"/>
  <c r="F558" i="8"/>
  <c r="C558" i="8"/>
  <c r="B558" i="8"/>
  <c r="F557" i="8"/>
  <c r="C557" i="8"/>
  <c r="B557" i="8"/>
  <c r="F556" i="8"/>
  <c r="C556" i="8"/>
  <c r="B556" i="8"/>
  <c r="F555" i="8"/>
  <c r="C555" i="8"/>
  <c r="B555" i="8"/>
  <c r="F554" i="8"/>
  <c r="C554" i="8"/>
  <c r="B554" i="8"/>
  <c r="F553" i="8"/>
  <c r="H553" i="8" s="1"/>
  <c r="C553" i="8"/>
  <c r="B553" i="8"/>
  <c r="F552" i="8"/>
  <c r="C552" i="8"/>
  <c r="B552" i="8"/>
  <c r="F551" i="8"/>
  <c r="C551" i="8"/>
  <c r="B551" i="8"/>
  <c r="F550" i="8"/>
  <c r="C550" i="8"/>
  <c r="B550" i="8"/>
  <c r="F549" i="8"/>
  <c r="C549" i="8"/>
  <c r="B549" i="8"/>
  <c r="F548" i="8"/>
  <c r="C548" i="8"/>
  <c r="B548" i="8"/>
  <c r="F547" i="8"/>
  <c r="C547" i="8"/>
  <c r="B547" i="8"/>
  <c r="F546" i="8"/>
  <c r="C546" i="8"/>
  <c r="B546" i="8"/>
  <c r="F545" i="8"/>
  <c r="K545" i="8" s="1"/>
  <c r="C545" i="8"/>
  <c r="B545" i="8"/>
  <c r="F544" i="8"/>
  <c r="C544" i="8"/>
  <c r="B544" i="8"/>
  <c r="F543" i="8"/>
  <c r="C543" i="8"/>
  <c r="B543" i="8"/>
  <c r="F542" i="8"/>
  <c r="C542" i="8"/>
  <c r="B542" i="8"/>
  <c r="F541" i="8"/>
  <c r="C541" i="8"/>
  <c r="B541" i="8"/>
  <c r="F540" i="8"/>
  <c r="C540" i="8"/>
  <c r="B540" i="8"/>
  <c r="F539" i="8"/>
  <c r="C539" i="8"/>
  <c r="B539" i="8"/>
  <c r="F538" i="8"/>
  <c r="C538" i="8"/>
  <c r="B538" i="8"/>
  <c r="F537" i="8"/>
  <c r="K537" i="8" s="1"/>
  <c r="C537" i="8"/>
  <c r="B537" i="8"/>
  <c r="F536" i="8"/>
  <c r="C536" i="8"/>
  <c r="B536" i="8"/>
  <c r="F535" i="8"/>
  <c r="H535" i="8" s="1"/>
  <c r="C535" i="8"/>
  <c r="B535" i="8"/>
  <c r="F534" i="8"/>
  <c r="C534" i="8"/>
  <c r="B534" i="8"/>
  <c r="F533" i="8"/>
  <c r="C533" i="8"/>
  <c r="B533" i="8"/>
  <c r="F532" i="8"/>
  <c r="C532" i="8"/>
  <c r="B532" i="8"/>
  <c r="F531" i="8"/>
  <c r="C531" i="8"/>
  <c r="B531" i="8"/>
  <c r="F530" i="8"/>
  <c r="C530" i="8"/>
  <c r="B530" i="8"/>
  <c r="K523" i="8"/>
  <c r="H523" i="8"/>
  <c r="C523" i="8"/>
  <c r="B523" i="8"/>
  <c r="K522" i="8"/>
  <c r="H522" i="8"/>
  <c r="C522" i="8"/>
  <c r="B522" i="8"/>
  <c r="K521" i="8"/>
  <c r="H521" i="8"/>
  <c r="C521" i="8"/>
  <c r="B521" i="8"/>
  <c r="K520" i="8"/>
  <c r="H520" i="8"/>
  <c r="C520" i="8"/>
  <c r="B520" i="8"/>
  <c r="K519" i="8"/>
  <c r="H519" i="8"/>
  <c r="C519" i="8"/>
  <c r="B519" i="8"/>
  <c r="K518" i="8"/>
  <c r="H518" i="8"/>
  <c r="C518" i="8"/>
  <c r="B518" i="8"/>
  <c r="K517" i="8"/>
  <c r="H517" i="8"/>
  <c r="C517" i="8"/>
  <c r="B517" i="8"/>
  <c r="K516" i="8"/>
  <c r="H516" i="8"/>
  <c r="C516" i="8"/>
  <c r="B516" i="8"/>
  <c r="K515" i="8"/>
  <c r="H515" i="8"/>
  <c r="C515" i="8"/>
  <c r="B515" i="8"/>
  <c r="C514" i="8"/>
  <c r="B514" i="8"/>
  <c r="C513" i="8"/>
  <c r="B513" i="8"/>
  <c r="C512" i="8"/>
  <c r="B512" i="8"/>
  <c r="C511" i="8"/>
  <c r="B511" i="8"/>
  <c r="C510" i="8"/>
  <c r="B510" i="8"/>
  <c r="C509" i="8"/>
  <c r="B509" i="8"/>
  <c r="C508" i="8"/>
  <c r="B508" i="8"/>
  <c r="C507" i="8"/>
  <c r="B507" i="8"/>
  <c r="C506" i="8"/>
  <c r="B506" i="8"/>
  <c r="C505" i="8"/>
  <c r="B505" i="8"/>
  <c r="C504" i="8"/>
  <c r="B504" i="8"/>
  <c r="C503" i="8"/>
  <c r="B503" i="8"/>
  <c r="C502" i="8"/>
  <c r="B502" i="8"/>
  <c r="C501" i="8"/>
  <c r="B501" i="8"/>
  <c r="C500" i="8"/>
  <c r="B500" i="8"/>
  <c r="C499" i="8"/>
  <c r="B499" i="8"/>
  <c r="C498" i="8"/>
  <c r="B498" i="8"/>
  <c r="C497" i="8"/>
  <c r="B497" i="8"/>
  <c r="C496" i="8"/>
  <c r="B496" i="8"/>
  <c r="C495" i="8"/>
  <c r="B495" i="8"/>
  <c r="C494" i="8"/>
  <c r="B494" i="8"/>
  <c r="C493" i="8"/>
  <c r="B493" i="8"/>
  <c r="C492" i="8"/>
  <c r="B492" i="8"/>
  <c r="C491" i="8"/>
  <c r="B491" i="8"/>
  <c r="C490" i="8"/>
  <c r="B490" i="8"/>
  <c r="C489" i="8"/>
  <c r="B489" i="8"/>
  <c r="C488" i="8"/>
  <c r="B488" i="8"/>
  <c r="C487" i="8"/>
  <c r="B487" i="8"/>
  <c r="C486" i="8"/>
  <c r="B486" i="8"/>
  <c r="C485" i="8"/>
  <c r="B485" i="8"/>
  <c r="C484" i="8"/>
  <c r="B484" i="8"/>
  <c r="C483" i="8"/>
  <c r="B483" i="8"/>
  <c r="C482" i="8"/>
  <c r="B482" i="8"/>
  <c r="C481" i="8"/>
  <c r="B481" i="8"/>
  <c r="C480" i="8"/>
  <c r="B480" i="8"/>
  <c r="C479" i="8"/>
  <c r="B479" i="8"/>
  <c r="C478" i="8"/>
  <c r="B478" i="8"/>
  <c r="C477" i="8"/>
  <c r="B477" i="8"/>
  <c r="C476" i="8"/>
  <c r="B476" i="8"/>
  <c r="C475" i="8"/>
  <c r="B475" i="8"/>
  <c r="C474" i="8"/>
  <c r="B474" i="8"/>
  <c r="C473" i="8"/>
  <c r="B473" i="8"/>
  <c r="C472" i="8"/>
  <c r="B472" i="8"/>
  <c r="C471" i="8"/>
  <c r="B471" i="8"/>
  <c r="C470" i="8"/>
  <c r="B470" i="8"/>
  <c r="C469" i="8"/>
  <c r="B469" i="8"/>
  <c r="C468" i="8"/>
  <c r="B468" i="8"/>
  <c r="K467" i="8"/>
  <c r="H467" i="8"/>
  <c r="C467" i="8"/>
  <c r="B467" i="8"/>
  <c r="H466" i="8"/>
  <c r="C466" i="8"/>
  <c r="B466" i="8"/>
  <c r="H465" i="8"/>
  <c r="K465" i="8"/>
  <c r="C465" i="8"/>
  <c r="B465" i="8"/>
  <c r="H464" i="8"/>
  <c r="C464" i="8"/>
  <c r="B464" i="8"/>
  <c r="H463" i="8"/>
  <c r="C463" i="8"/>
  <c r="B463" i="8"/>
  <c r="H462" i="8"/>
  <c r="K462" i="8"/>
  <c r="C462" i="8"/>
  <c r="B462" i="8"/>
  <c r="C461" i="8"/>
  <c r="B461" i="8"/>
  <c r="C460" i="8"/>
  <c r="B460" i="8"/>
  <c r="C459" i="8"/>
  <c r="B459" i="8"/>
  <c r="C458" i="8"/>
  <c r="B458" i="8"/>
  <c r="C457" i="8"/>
  <c r="I457" i="8" s="1"/>
  <c r="B457" i="8"/>
  <c r="C456" i="8"/>
  <c r="B456" i="8"/>
  <c r="C455" i="8"/>
  <c r="I455" i="8" s="1"/>
  <c r="B455" i="8"/>
  <c r="C454" i="8"/>
  <c r="B454" i="8"/>
  <c r="C453" i="8"/>
  <c r="B453" i="8"/>
  <c r="C452" i="8"/>
  <c r="I452" i="8" s="1"/>
  <c r="B452" i="8"/>
  <c r="C451" i="8"/>
  <c r="I451" i="8" s="1"/>
  <c r="B451" i="8"/>
  <c r="C450" i="8"/>
  <c r="B450" i="8"/>
  <c r="C449" i="8"/>
  <c r="I449" i="8" s="1"/>
  <c r="B449" i="8"/>
  <c r="C448" i="8"/>
  <c r="I448" i="8" s="1"/>
  <c r="B448" i="8"/>
  <c r="C447" i="8"/>
  <c r="I447" i="8" s="1"/>
  <c r="B447" i="8"/>
  <c r="C446" i="8"/>
  <c r="B446" i="8"/>
  <c r="C445" i="8"/>
  <c r="B445" i="8"/>
  <c r="C444" i="8"/>
  <c r="I444" i="8" s="1"/>
  <c r="B444" i="8"/>
  <c r="C443" i="8"/>
  <c r="B443" i="8"/>
  <c r="C442" i="8"/>
  <c r="B442" i="8"/>
  <c r="C441" i="8"/>
  <c r="I441" i="8" s="1"/>
  <c r="B441" i="8"/>
  <c r="C440" i="8"/>
  <c r="I440" i="8" s="1"/>
  <c r="B440" i="8"/>
  <c r="C439" i="8"/>
  <c r="I439" i="8" s="1"/>
  <c r="B439" i="8"/>
  <c r="C438" i="8"/>
  <c r="B438" i="8"/>
  <c r="C437" i="8"/>
  <c r="B437" i="8"/>
  <c r="C436" i="8"/>
  <c r="L436" i="8" s="1"/>
  <c r="B436" i="8"/>
  <c r="C435" i="8"/>
  <c r="R435" i="8" s="1"/>
  <c r="B435" i="8"/>
  <c r="C434" i="8"/>
  <c r="N434" i="8" s="1"/>
  <c r="N434" i="9" s="1"/>
  <c r="B434" i="8"/>
  <c r="C433" i="8"/>
  <c r="N433" i="8" s="1"/>
  <c r="N433" i="9" s="1"/>
  <c r="B433" i="8"/>
  <c r="C432" i="8"/>
  <c r="B432" i="8"/>
  <c r="C431" i="8"/>
  <c r="B431" i="8"/>
  <c r="C430" i="8"/>
  <c r="B430" i="8"/>
  <c r="C429" i="8"/>
  <c r="B429" i="8"/>
  <c r="C428" i="8"/>
  <c r="L428" i="8" s="1"/>
  <c r="B428" i="8"/>
  <c r="C427" i="8"/>
  <c r="B427" i="8"/>
  <c r="C426" i="8"/>
  <c r="B426" i="8"/>
  <c r="C425" i="8"/>
  <c r="B425" i="8"/>
  <c r="K418" i="8"/>
  <c r="H418" i="8"/>
  <c r="G418" i="8"/>
  <c r="F418" i="8"/>
  <c r="E418" i="8"/>
  <c r="D418" i="8"/>
  <c r="C418" i="8"/>
  <c r="B418" i="8"/>
  <c r="K417" i="8"/>
  <c r="H417" i="8"/>
  <c r="G417" i="8"/>
  <c r="F417" i="8"/>
  <c r="E417" i="8"/>
  <c r="D417" i="8"/>
  <c r="C417" i="8"/>
  <c r="B417" i="8"/>
  <c r="K416" i="8"/>
  <c r="H416" i="8"/>
  <c r="G416" i="8"/>
  <c r="F416" i="8"/>
  <c r="E416" i="8"/>
  <c r="D416" i="8"/>
  <c r="C416" i="8"/>
  <c r="B416" i="8"/>
  <c r="K415" i="8"/>
  <c r="H415" i="8"/>
  <c r="G415" i="8"/>
  <c r="F415" i="8"/>
  <c r="E415" i="8"/>
  <c r="D415" i="8"/>
  <c r="C415" i="8"/>
  <c r="B415" i="8"/>
  <c r="K414" i="8"/>
  <c r="H414" i="8"/>
  <c r="G414" i="8"/>
  <c r="F414" i="8"/>
  <c r="E414" i="8"/>
  <c r="D414" i="8"/>
  <c r="C414" i="8"/>
  <c r="B414" i="8"/>
  <c r="K413" i="8"/>
  <c r="H413" i="8"/>
  <c r="G413" i="8"/>
  <c r="F413" i="8"/>
  <c r="E413" i="8"/>
  <c r="D413" i="8"/>
  <c r="C413" i="8"/>
  <c r="B413" i="8"/>
  <c r="K412" i="8"/>
  <c r="H412" i="8"/>
  <c r="G412" i="8"/>
  <c r="F412" i="8"/>
  <c r="E412" i="8"/>
  <c r="D412" i="8"/>
  <c r="C412" i="8"/>
  <c r="B412" i="8"/>
  <c r="K411" i="8"/>
  <c r="H411" i="8"/>
  <c r="G411" i="8"/>
  <c r="F411" i="8"/>
  <c r="E411" i="8"/>
  <c r="D411" i="8"/>
  <c r="C411" i="8"/>
  <c r="B411" i="8"/>
  <c r="K410" i="8"/>
  <c r="H410" i="8"/>
  <c r="G410" i="8"/>
  <c r="F410" i="8"/>
  <c r="E410" i="8"/>
  <c r="D410" i="8"/>
  <c r="C410" i="8"/>
  <c r="B410" i="8"/>
  <c r="C409" i="8"/>
  <c r="B409" i="8"/>
  <c r="C408" i="8"/>
  <c r="B408" i="8"/>
  <c r="C407" i="8"/>
  <c r="B407" i="8"/>
  <c r="C406" i="8"/>
  <c r="B406" i="8"/>
  <c r="C405" i="8"/>
  <c r="B405" i="8"/>
  <c r="C404" i="8"/>
  <c r="B404" i="8"/>
  <c r="C403" i="8"/>
  <c r="B403" i="8"/>
  <c r="C402" i="8"/>
  <c r="B402" i="8"/>
  <c r="C401" i="8"/>
  <c r="B401" i="8"/>
  <c r="C400" i="8"/>
  <c r="B400" i="8"/>
  <c r="C399" i="8"/>
  <c r="B399" i="8"/>
  <c r="C398" i="8"/>
  <c r="B398" i="8"/>
  <c r="C397" i="8"/>
  <c r="B397" i="8"/>
  <c r="C396" i="8"/>
  <c r="B396" i="8"/>
  <c r="C395" i="8"/>
  <c r="B395" i="8"/>
  <c r="C394" i="8"/>
  <c r="B394" i="8"/>
  <c r="C393" i="8"/>
  <c r="B393" i="8"/>
  <c r="C392" i="8"/>
  <c r="B392" i="8"/>
  <c r="C391" i="8"/>
  <c r="B391" i="8"/>
  <c r="C390" i="8"/>
  <c r="B390" i="8"/>
  <c r="C389" i="8"/>
  <c r="B389" i="8"/>
  <c r="C388" i="8"/>
  <c r="B388" i="8"/>
  <c r="C387" i="8"/>
  <c r="B387" i="8"/>
  <c r="C386" i="8"/>
  <c r="B386" i="8"/>
  <c r="C385" i="8"/>
  <c r="B385" i="8"/>
  <c r="C384" i="8"/>
  <c r="B384" i="8"/>
  <c r="C383" i="8"/>
  <c r="B383" i="8"/>
  <c r="C382" i="8"/>
  <c r="B382" i="8"/>
  <c r="C381" i="8"/>
  <c r="B381" i="8"/>
  <c r="C380" i="8"/>
  <c r="B380" i="8"/>
  <c r="C379" i="8"/>
  <c r="B379" i="8"/>
  <c r="C378" i="8"/>
  <c r="B378" i="8"/>
  <c r="C377" i="8"/>
  <c r="B377" i="8"/>
  <c r="C376" i="8"/>
  <c r="B376" i="8"/>
  <c r="C375" i="8"/>
  <c r="B375" i="8"/>
  <c r="C374" i="8"/>
  <c r="B374" i="8"/>
  <c r="C373" i="8"/>
  <c r="B373" i="8"/>
  <c r="C372" i="8"/>
  <c r="B372" i="8"/>
  <c r="C371" i="8"/>
  <c r="B371" i="8"/>
  <c r="C370" i="8"/>
  <c r="B370" i="8"/>
  <c r="C369" i="8"/>
  <c r="B369" i="8"/>
  <c r="C368" i="8"/>
  <c r="B368" i="8"/>
  <c r="C367" i="8"/>
  <c r="B367" i="8"/>
  <c r="C366" i="8"/>
  <c r="B366" i="8"/>
  <c r="C365" i="8"/>
  <c r="B365" i="8"/>
  <c r="C364" i="8"/>
  <c r="B364" i="8"/>
  <c r="C363" i="8"/>
  <c r="B363" i="8"/>
  <c r="H362" i="8"/>
  <c r="G362" i="8"/>
  <c r="F362" i="8"/>
  <c r="E362" i="8"/>
  <c r="D362" i="8"/>
  <c r="K362" i="8"/>
  <c r="C362" i="8"/>
  <c r="B362" i="8"/>
  <c r="K361" i="8"/>
  <c r="H361" i="8"/>
  <c r="G361" i="8"/>
  <c r="F361" i="8"/>
  <c r="E361" i="8"/>
  <c r="D361" i="8"/>
  <c r="C361" i="8"/>
  <c r="B361" i="8"/>
  <c r="H360" i="8"/>
  <c r="G360" i="8"/>
  <c r="F360" i="8"/>
  <c r="E360" i="8"/>
  <c r="D360" i="8"/>
  <c r="K360" i="8"/>
  <c r="C360" i="8"/>
  <c r="B360" i="8"/>
  <c r="H359" i="8"/>
  <c r="G359" i="8"/>
  <c r="F359" i="8"/>
  <c r="E359" i="8"/>
  <c r="K359" i="8"/>
  <c r="D359" i="8"/>
  <c r="C359" i="8"/>
  <c r="B359" i="8"/>
  <c r="H358" i="8"/>
  <c r="G358" i="8"/>
  <c r="F358" i="8"/>
  <c r="E358" i="8"/>
  <c r="D358" i="8"/>
  <c r="C358" i="8"/>
  <c r="B358" i="8"/>
  <c r="H357" i="8"/>
  <c r="G357" i="8"/>
  <c r="F357" i="8"/>
  <c r="E357" i="8"/>
  <c r="D357" i="8"/>
  <c r="C357" i="8"/>
  <c r="B357" i="8"/>
  <c r="C356" i="8"/>
  <c r="B356" i="8"/>
  <c r="C355" i="8"/>
  <c r="B355" i="8"/>
  <c r="C354" i="8"/>
  <c r="B354" i="8"/>
  <c r="C353" i="8"/>
  <c r="B353" i="8"/>
  <c r="C352" i="8"/>
  <c r="B352" i="8"/>
  <c r="C351" i="8"/>
  <c r="B351" i="8"/>
  <c r="C350" i="8"/>
  <c r="B350" i="8"/>
  <c r="C349" i="8"/>
  <c r="B349" i="8"/>
  <c r="C348" i="8"/>
  <c r="B348" i="8"/>
  <c r="C347" i="8"/>
  <c r="B347" i="8"/>
  <c r="C346" i="8"/>
  <c r="B346" i="8"/>
  <c r="C345" i="8"/>
  <c r="B345" i="8"/>
  <c r="C344" i="8"/>
  <c r="B344" i="8"/>
  <c r="C343" i="8"/>
  <c r="I343" i="8" s="1"/>
  <c r="B343" i="8"/>
  <c r="C342" i="8"/>
  <c r="B342" i="8"/>
  <c r="C341" i="8"/>
  <c r="B341" i="8"/>
  <c r="C340" i="8"/>
  <c r="B340" i="8"/>
  <c r="C339" i="8"/>
  <c r="B339" i="8"/>
  <c r="C338" i="8"/>
  <c r="B338" i="8"/>
  <c r="C337" i="8"/>
  <c r="B337" i="8"/>
  <c r="C336" i="8"/>
  <c r="B336" i="8"/>
  <c r="C335" i="8"/>
  <c r="I335" i="8" s="1"/>
  <c r="B335" i="8"/>
  <c r="C334" i="8"/>
  <c r="B334" i="8"/>
  <c r="C333" i="8"/>
  <c r="B333" i="8"/>
  <c r="C332" i="8"/>
  <c r="B332" i="8"/>
  <c r="C331" i="8"/>
  <c r="O331" i="8" s="1"/>
  <c r="B331" i="8"/>
  <c r="C330" i="8"/>
  <c r="P330" i="8" s="1"/>
  <c r="B330" i="8"/>
  <c r="C329" i="8"/>
  <c r="B329" i="8"/>
  <c r="C328" i="8"/>
  <c r="R328" i="8" s="1"/>
  <c r="B328" i="8"/>
  <c r="C327" i="8"/>
  <c r="B327" i="8"/>
  <c r="C326" i="8"/>
  <c r="B326" i="8"/>
  <c r="C325" i="8"/>
  <c r="B325" i="8"/>
  <c r="C324" i="8"/>
  <c r="B324" i="8"/>
  <c r="C323" i="8"/>
  <c r="L323" i="8" s="1"/>
  <c r="B323" i="8"/>
  <c r="C322" i="8"/>
  <c r="B322" i="8"/>
  <c r="C321" i="8"/>
  <c r="B321" i="8"/>
  <c r="C320" i="8"/>
  <c r="B320" i="8"/>
  <c r="C313" i="8"/>
  <c r="B313" i="8"/>
  <c r="C312" i="8"/>
  <c r="B312" i="8"/>
  <c r="C311" i="8"/>
  <c r="B311" i="8"/>
  <c r="C310" i="8"/>
  <c r="B310" i="8"/>
  <c r="C309" i="8"/>
  <c r="B309" i="8"/>
  <c r="C308" i="8"/>
  <c r="B308" i="8"/>
  <c r="C307" i="8"/>
  <c r="B307" i="8"/>
  <c r="C306" i="8"/>
  <c r="B306" i="8"/>
  <c r="C305" i="8"/>
  <c r="B305" i="8"/>
  <c r="C304" i="8"/>
  <c r="B304" i="8"/>
  <c r="C303" i="8"/>
  <c r="B303" i="8"/>
  <c r="C302" i="8"/>
  <c r="B302" i="8"/>
  <c r="C301" i="8"/>
  <c r="B301" i="8"/>
  <c r="C300" i="8"/>
  <c r="B300" i="8"/>
  <c r="C299" i="8"/>
  <c r="B299" i="8"/>
  <c r="C298" i="8"/>
  <c r="B298" i="8"/>
  <c r="C297" i="8"/>
  <c r="B297" i="8"/>
  <c r="C296" i="8"/>
  <c r="B296" i="8"/>
  <c r="C295" i="8"/>
  <c r="B295" i="8"/>
  <c r="C294" i="8"/>
  <c r="B294" i="8"/>
  <c r="C293" i="8"/>
  <c r="B293" i="8"/>
  <c r="C292" i="8"/>
  <c r="B292" i="8"/>
  <c r="C291" i="8"/>
  <c r="B291" i="8"/>
  <c r="C290" i="8"/>
  <c r="B290" i="8"/>
  <c r="C289" i="8"/>
  <c r="B289" i="8"/>
  <c r="C288" i="8"/>
  <c r="B288" i="8"/>
  <c r="C287" i="8"/>
  <c r="B287" i="8"/>
  <c r="C286" i="8"/>
  <c r="B286" i="8"/>
  <c r="C285" i="8"/>
  <c r="B285" i="8"/>
  <c r="C284" i="8"/>
  <c r="B284" i="8"/>
  <c r="C283" i="8"/>
  <c r="B283" i="8"/>
  <c r="C282" i="8"/>
  <c r="B282" i="8"/>
  <c r="C281" i="8"/>
  <c r="B281" i="8"/>
  <c r="C280" i="8"/>
  <c r="B280" i="8"/>
  <c r="C279" i="8"/>
  <c r="B279" i="8"/>
  <c r="C278" i="8"/>
  <c r="B278" i="8"/>
  <c r="C277" i="8"/>
  <c r="B277" i="8"/>
  <c r="C276" i="8"/>
  <c r="B276" i="8"/>
  <c r="C275" i="8"/>
  <c r="B275" i="8"/>
  <c r="C274" i="8"/>
  <c r="B274" i="8"/>
  <c r="C273" i="8"/>
  <c r="B273" i="8"/>
  <c r="C272" i="8"/>
  <c r="B272" i="8"/>
  <c r="C271" i="8"/>
  <c r="B271" i="8"/>
  <c r="C270" i="8"/>
  <c r="B270" i="8"/>
  <c r="C269" i="8"/>
  <c r="B269" i="8"/>
  <c r="C268" i="8"/>
  <c r="B268" i="8"/>
  <c r="C267" i="8"/>
  <c r="B267" i="8"/>
  <c r="C266" i="8"/>
  <c r="B266" i="8"/>
  <c r="C265" i="8"/>
  <c r="B265" i="8"/>
  <c r="C264" i="8"/>
  <c r="B264" i="8"/>
  <c r="C263" i="8"/>
  <c r="B263" i="8"/>
  <c r="C262" i="8"/>
  <c r="B262" i="8"/>
  <c r="C261" i="8"/>
  <c r="B261" i="8"/>
  <c r="C260" i="8"/>
  <c r="B260" i="8"/>
  <c r="C259" i="8"/>
  <c r="B259" i="8"/>
  <c r="C258" i="8"/>
  <c r="B258" i="8"/>
  <c r="C257" i="8"/>
  <c r="B257" i="8"/>
  <c r="C256" i="8"/>
  <c r="B256" i="8"/>
  <c r="C255" i="8"/>
  <c r="B255" i="8"/>
  <c r="C254" i="8"/>
  <c r="B254" i="8"/>
  <c r="C253" i="8"/>
  <c r="B253" i="8"/>
  <c r="C252" i="8"/>
  <c r="B252" i="8"/>
  <c r="C251" i="8"/>
  <c r="B251" i="8"/>
  <c r="C250" i="8"/>
  <c r="B250" i="8"/>
  <c r="C249" i="8"/>
  <c r="B249" i="8"/>
  <c r="C248" i="8"/>
  <c r="B248" i="8"/>
  <c r="C247" i="8"/>
  <c r="B247" i="8"/>
  <c r="C246" i="8"/>
  <c r="B246" i="8"/>
  <c r="C245" i="8"/>
  <c r="B245" i="8"/>
  <c r="C244" i="8"/>
  <c r="B244" i="8"/>
  <c r="C243" i="8"/>
  <c r="B243" i="8"/>
  <c r="C242" i="8"/>
  <c r="B242" i="8"/>
  <c r="C241" i="8"/>
  <c r="B241" i="8"/>
  <c r="C240" i="8"/>
  <c r="B240" i="8"/>
  <c r="C239" i="8"/>
  <c r="B239" i="8"/>
  <c r="C238" i="8"/>
  <c r="B238" i="8"/>
  <c r="C237" i="8"/>
  <c r="B237" i="8"/>
  <c r="C236" i="8"/>
  <c r="B236" i="8"/>
  <c r="C235" i="8"/>
  <c r="B235" i="8"/>
  <c r="C234" i="8"/>
  <c r="B234" i="8"/>
  <c r="C233" i="8"/>
  <c r="B233" i="8"/>
  <c r="C232" i="8"/>
  <c r="B232" i="8"/>
  <c r="C231" i="8"/>
  <c r="B231" i="8"/>
  <c r="C230" i="8"/>
  <c r="B230" i="8"/>
  <c r="C229" i="8"/>
  <c r="B229" i="8"/>
  <c r="C228" i="8"/>
  <c r="B228" i="8"/>
  <c r="C227" i="8"/>
  <c r="B227" i="8"/>
  <c r="C226" i="8"/>
  <c r="B226" i="8"/>
  <c r="C225" i="8"/>
  <c r="B225" i="8"/>
  <c r="C224" i="8"/>
  <c r="B224" i="8"/>
  <c r="C223" i="8"/>
  <c r="B223" i="8"/>
  <c r="C222" i="8"/>
  <c r="B222" i="8"/>
  <c r="C221" i="8"/>
  <c r="B221" i="8"/>
  <c r="C220" i="8"/>
  <c r="B220" i="8"/>
  <c r="C219" i="8"/>
  <c r="B219" i="8"/>
  <c r="C218" i="8"/>
  <c r="B218" i="8"/>
  <c r="C217" i="8"/>
  <c r="B217" i="8"/>
  <c r="C216" i="8"/>
  <c r="B216" i="8"/>
  <c r="C215" i="8"/>
  <c r="B215" i="8"/>
  <c r="R208" i="8"/>
  <c r="Q208" i="8"/>
  <c r="P208" i="8"/>
  <c r="O208" i="8"/>
  <c r="N208" i="8"/>
  <c r="K208" i="8"/>
  <c r="H208" i="8"/>
  <c r="G208" i="8"/>
  <c r="F208" i="8"/>
  <c r="E208" i="8"/>
  <c r="D208" i="8"/>
  <c r="C208" i="8"/>
  <c r="B208" i="8"/>
  <c r="R207" i="8"/>
  <c r="Q207" i="8"/>
  <c r="P207" i="8"/>
  <c r="O207" i="8"/>
  <c r="N207" i="8"/>
  <c r="K207" i="8"/>
  <c r="H207" i="8"/>
  <c r="G207" i="8"/>
  <c r="F207" i="8"/>
  <c r="E207" i="8"/>
  <c r="D207" i="8"/>
  <c r="C207" i="8"/>
  <c r="B207" i="8"/>
  <c r="R206" i="8"/>
  <c r="Q206" i="8"/>
  <c r="P206" i="8"/>
  <c r="O206" i="8"/>
  <c r="N206" i="8"/>
  <c r="K206" i="8"/>
  <c r="H206" i="8"/>
  <c r="G206" i="8"/>
  <c r="F206" i="8"/>
  <c r="E206" i="8"/>
  <c r="D206" i="8"/>
  <c r="C206" i="8"/>
  <c r="B206" i="8"/>
  <c r="R205" i="8"/>
  <c r="Q205" i="8"/>
  <c r="P205" i="8"/>
  <c r="O205" i="8"/>
  <c r="N205" i="8"/>
  <c r="K205" i="8"/>
  <c r="H205" i="8"/>
  <c r="G205" i="8"/>
  <c r="F205" i="8"/>
  <c r="E205" i="8"/>
  <c r="D205" i="8"/>
  <c r="C205" i="8"/>
  <c r="B205" i="8"/>
  <c r="R204" i="8"/>
  <c r="Q204" i="8"/>
  <c r="P204" i="8"/>
  <c r="O204" i="8"/>
  <c r="N204" i="8"/>
  <c r="K204" i="8"/>
  <c r="H204" i="8"/>
  <c r="G204" i="8"/>
  <c r="F204" i="8"/>
  <c r="E204" i="8"/>
  <c r="D204" i="8"/>
  <c r="C204" i="8"/>
  <c r="B204" i="8"/>
  <c r="R203" i="8"/>
  <c r="Q203" i="8"/>
  <c r="P203" i="8"/>
  <c r="O203" i="8"/>
  <c r="N203" i="8"/>
  <c r="K203" i="8"/>
  <c r="H203" i="8"/>
  <c r="G203" i="8"/>
  <c r="F203" i="8"/>
  <c r="E203" i="8"/>
  <c r="D203" i="8"/>
  <c r="C203" i="8"/>
  <c r="B203" i="8"/>
  <c r="R202" i="8"/>
  <c r="Q202" i="8"/>
  <c r="P202" i="8"/>
  <c r="O202" i="8"/>
  <c r="N202" i="8"/>
  <c r="K202" i="8"/>
  <c r="H202" i="8"/>
  <c r="G202" i="8"/>
  <c r="F202" i="8"/>
  <c r="E202" i="8"/>
  <c r="D202" i="8"/>
  <c r="C202" i="8"/>
  <c r="B202" i="8"/>
  <c r="R201" i="8"/>
  <c r="Q201" i="8"/>
  <c r="P201" i="8"/>
  <c r="O201" i="8"/>
  <c r="N201" i="8"/>
  <c r="K201" i="8"/>
  <c r="H201" i="8"/>
  <c r="G201" i="8"/>
  <c r="F201" i="8"/>
  <c r="E201" i="8"/>
  <c r="D201" i="8"/>
  <c r="C201" i="8"/>
  <c r="B201" i="8"/>
  <c r="R200" i="8"/>
  <c r="Q200" i="8"/>
  <c r="P200" i="8"/>
  <c r="O200" i="8"/>
  <c r="N200" i="8"/>
  <c r="K200" i="8"/>
  <c r="H200" i="8"/>
  <c r="G200" i="8"/>
  <c r="F200" i="8"/>
  <c r="E200" i="8"/>
  <c r="D200" i="8"/>
  <c r="C200" i="8"/>
  <c r="B200" i="8"/>
  <c r="R199" i="8"/>
  <c r="Q199" i="8"/>
  <c r="P199" i="8"/>
  <c r="O199" i="8"/>
  <c r="N199" i="8"/>
  <c r="C199" i="8"/>
  <c r="B199" i="8"/>
  <c r="R198" i="8"/>
  <c r="Q198" i="8"/>
  <c r="P198" i="8"/>
  <c r="O198" i="8"/>
  <c r="N198" i="8"/>
  <c r="C198" i="8"/>
  <c r="B198" i="8"/>
  <c r="R197" i="8"/>
  <c r="Q197" i="8"/>
  <c r="P197" i="8"/>
  <c r="O197" i="8"/>
  <c r="N197" i="8"/>
  <c r="C197" i="8"/>
  <c r="B197" i="8"/>
  <c r="R196" i="8"/>
  <c r="Q196" i="8"/>
  <c r="P196" i="8"/>
  <c r="O196" i="8"/>
  <c r="N196" i="8"/>
  <c r="C196" i="8"/>
  <c r="B196" i="8"/>
  <c r="R195" i="8"/>
  <c r="Q195" i="8"/>
  <c r="P195" i="8"/>
  <c r="O195" i="8"/>
  <c r="N195" i="8"/>
  <c r="C195" i="8"/>
  <c r="B195" i="8"/>
  <c r="R194" i="8"/>
  <c r="Q194" i="8"/>
  <c r="P194" i="8"/>
  <c r="O194" i="8"/>
  <c r="N194" i="8"/>
  <c r="C194" i="8"/>
  <c r="B194" i="8"/>
  <c r="R193" i="8"/>
  <c r="Q193" i="8"/>
  <c r="P193" i="8"/>
  <c r="O193" i="8"/>
  <c r="N193" i="8"/>
  <c r="C193" i="8"/>
  <c r="B193" i="8"/>
  <c r="R192" i="8"/>
  <c r="Q192" i="8"/>
  <c r="P192" i="8"/>
  <c r="O192" i="8"/>
  <c r="N192" i="8"/>
  <c r="C192" i="8"/>
  <c r="B192" i="8"/>
  <c r="R191" i="8"/>
  <c r="Q191" i="8"/>
  <c r="P191" i="8"/>
  <c r="O191" i="8"/>
  <c r="N191" i="8"/>
  <c r="C191" i="8"/>
  <c r="B191" i="8"/>
  <c r="R190" i="8"/>
  <c r="Q190" i="8"/>
  <c r="P190" i="8"/>
  <c r="O190" i="8"/>
  <c r="N190" i="8"/>
  <c r="C190" i="8"/>
  <c r="B190" i="8"/>
  <c r="R189" i="8"/>
  <c r="Q189" i="8"/>
  <c r="P189" i="8"/>
  <c r="O189" i="8"/>
  <c r="N189" i="8"/>
  <c r="C189" i="8"/>
  <c r="B189" i="8"/>
  <c r="R188" i="8"/>
  <c r="Q188" i="8"/>
  <c r="P188" i="8"/>
  <c r="O188" i="8"/>
  <c r="N188" i="8"/>
  <c r="C188" i="8"/>
  <c r="B188" i="8"/>
  <c r="R187" i="8"/>
  <c r="Q187" i="8"/>
  <c r="P187" i="8"/>
  <c r="O187" i="8"/>
  <c r="N187" i="8"/>
  <c r="C187" i="8"/>
  <c r="B187" i="8"/>
  <c r="R186" i="8"/>
  <c r="Q186" i="8"/>
  <c r="P186" i="8"/>
  <c r="O186" i="8"/>
  <c r="N186" i="8"/>
  <c r="C186" i="8"/>
  <c r="B186" i="8"/>
  <c r="R185" i="8"/>
  <c r="Q185" i="8"/>
  <c r="P185" i="8"/>
  <c r="O185" i="8"/>
  <c r="N185" i="8"/>
  <c r="C185" i="8"/>
  <c r="B185" i="8"/>
  <c r="R184" i="8"/>
  <c r="Q184" i="8"/>
  <c r="P184" i="8"/>
  <c r="O184" i="8"/>
  <c r="N184" i="8"/>
  <c r="C184" i="8"/>
  <c r="B184" i="8"/>
  <c r="R183" i="8"/>
  <c r="Q183" i="8"/>
  <c r="P183" i="8"/>
  <c r="O183" i="8"/>
  <c r="N183" i="8"/>
  <c r="C183" i="8"/>
  <c r="B183" i="8"/>
  <c r="R182" i="8"/>
  <c r="Q182" i="8"/>
  <c r="P182" i="8"/>
  <c r="O182" i="8"/>
  <c r="N182" i="8"/>
  <c r="C182" i="8"/>
  <c r="B182" i="8"/>
  <c r="R181" i="8"/>
  <c r="Q181" i="8"/>
  <c r="P181" i="8"/>
  <c r="O181" i="8"/>
  <c r="N181" i="8"/>
  <c r="C181" i="8"/>
  <c r="B181" i="8"/>
  <c r="R180" i="8"/>
  <c r="Q180" i="8"/>
  <c r="P180" i="8"/>
  <c r="O180" i="8"/>
  <c r="N180" i="8"/>
  <c r="C180" i="8"/>
  <c r="B180" i="8"/>
  <c r="R179" i="8"/>
  <c r="Q179" i="8"/>
  <c r="P179" i="8"/>
  <c r="O179" i="8"/>
  <c r="N179" i="8"/>
  <c r="C179" i="8"/>
  <c r="B179" i="8"/>
  <c r="R178" i="8"/>
  <c r="Q178" i="8"/>
  <c r="P178" i="8"/>
  <c r="O178" i="8"/>
  <c r="N178" i="8"/>
  <c r="C178" i="8"/>
  <c r="B178" i="8"/>
  <c r="R177" i="8"/>
  <c r="Q177" i="8"/>
  <c r="P177" i="8"/>
  <c r="O177" i="8"/>
  <c r="N177" i="8"/>
  <c r="C177" i="8"/>
  <c r="B177" i="8"/>
  <c r="R176" i="8"/>
  <c r="Q176" i="8"/>
  <c r="P176" i="8"/>
  <c r="O176" i="8"/>
  <c r="N176" i="8"/>
  <c r="C176" i="8"/>
  <c r="B176" i="8"/>
  <c r="R175" i="8"/>
  <c r="Q175" i="8"/>
  <c r="P175" i="8"/>
  <c r="O175" i="8"/>
  <c r="N175" i="8"/>
  <c r="C175" i="8"/>
  <c r="B175" i="8"/>
  <c r="R174" i="8"/>
  <c r="Q174" i="8"/>
  <c r="P174" i="8"/>
  <c r="O174" i="8"/>
  <c r="N174" i="8"/>
  <c r="C174" i="8"/>
  <c r="B174" i="8"/>
  <c r="R173" i="8"/>
  <c r="Q173" i="8"/>
  <c r="P173" i="8"/>
  <c r="O173" i="8"/>
  <c r="N173" i="8"/>
  <c r="C173" i="8"/>
  <c r="B173" i="8"/>
  <c r="R172" i="8"/>
  <c r="Q172" i="8"/>
  <c r="P172" i="8"/>
  <c r="O172" i="8"/>
  <c r="N172" i="8"/>
  <c r="C172" i="8"/>
  <c r="B172" i="8"/>
  <c r="R171" i="8"/>
  <c r="Q171" i="8"/>
  <c r="P171" i="8"/>
  <c r="O171" i="8"/>
  <c r="N171" i="8"/>
  <c r="C171" i="8"/>
  <c r="B171" i="8"/>
  <c r="R170" i="8"/>
  <c r="Q170" i="8"/>
  <c r="P170" i="8"/>
  <c r="O170" i="8"/>
  <c r="N170" i="8"/>
  <c r="C170" i="8"/>
  <c r="B170" i="8"/>
  <c r="C169" i="8"/>
  <c r="B169" i="8"/>
  <c r="R168" i="8"/>
  <c r="Q168" i="8"/>
  <c r="P168" i="8"/>
  <c r="O168" i="8"/>
  <c r="N168" i="8"/>
  <c r="C168" i="8"/>
  <c r="B168" i="8"/>
  <c r="B110" i="8"/>
  <c r="C110" i="8"/>
  <c r="B111" i="8"/>
  <c r="C111" i="8"/>
  <c r="B112" i="8"/>
  <c r="C112" i="8"/>
  <c r="B113" i="8"/>
  <c r="C113" i="8"/>
  <c r="L113" i="8" s="1"/>
  <c r="B114" i="8"/>
  <c r="C114" i="8"/>
  <c r="B115" i="8"/>
  <c r="C115" i="8"/>
  <c r="B116" i="8"/>
  <c r="C116" i="8"/>
  <c r="B117" i="8"/>
  <c r="C117" i="8"/>
  <c r="N117" i="8"/>
  <c r="N117" i="9" s="1"/>
  <c r="O117" i="8"/>
  <c r="P117" i="8"/>
  <c r="P117" i="9" s="1"/>
  <c r="Q117" i="8"/>
  <c r="R117" i="8"/>
  <c r="B118" i="8"/>
  <c r="C118" i="8"/>
  <c r="B119" i="8"/>
  <c r="C119" i="8"/>
  <c r="B120" i="8"/>
  <c r="C120" i="8"/>
  <c r="B121" i="8"/>
  <c r="C121" i="8"/>
  <c r="L121" i="8" s="1"/>
  <c r="B122" i="8"/>
  <c r="C122" i="8"/>
  <c r="B123" i="8"/>
  <c r="C123" i="8"/>
  <c r="B124" i="8"/>
  <c r="C124" i="8"/>
  <c r="B125" i="8"/>
  <c r="C125" i="8"/>
  <c r="I125" i="8" s="1"/>
  <c r="B126" i="8"/>
  <c r="C126" i="8"/>
  <c r="I126" i="8" s="1"/>
  <c r="B127" i="8"/>
  <c r="C127" i="8"/>
  <c r="B128" i="8"/>
  <c r="C128" i="8"/>
  <c r="B129" i="8"/>
  <c r="C129" i="8"/>
  <c r="I129" i="8" s="1"/>
  <c r="N129" i="8"/>
  <c r="O129" i="8"/>
  <c r="P129" i="8"/>
  <c r="Q129" i="8"/>
  <c r="R129" i="8"/>
  <c r="B130" i="8"/>
  <c r="C130" i="8"/>
  <c r="I130" i="8" s="1"/>
  <c r="N130" i="8"/>
  <c r="O130" i="8"/>
  <c r="P130" i="8"/>
  <c r="Q130" i="8"/>
  <c r="R130" i="8"/>
  <c r="B131" i="8"/>
  <c r="C131" i="8"/>
  <c r="N131" i="8"/>
  <c r="O131" i="8"/>
  <c r="P131" i="8"/>
  <c r="Q131" i="8"/>
  <c r="R131" i="8"/>
  <c r="B132" i="8"/>
  <c r="C132" i="8"/>
  <c r="N132" i="8"/>
  <c r="O132" i="8"/>
  <c r="P132" i="8"/>
  <c r="Q132" i="8"/>
  <c r="R132" i="8"/>
  <c r="B133" i="8"/>
  <c r="C133" i="8"/>
  <c r="I133" i="8" s="1"/>
  <c r="N133" i="8"/>
  <c r="O133" i="8"/>
  <c r="P133" i="8"/>
  <c r="Q133" i="8"/>
  <c r="R133" i="8"/>
  <c r="B134" i="8"/>
  <c r="C134" i="8"/>
  <c r="N134" i="8"/>
  <c r="O134" i="8"/>
  <c r="P134" i="8"/>
  <c r="Q134" i="8"/>
  <c r="R134" i="8"/>
  <c r="B135" i="8"/>
  <c r="C135" i="8"/>
  <c r="N135" i="8"/>
  <c r="O135" i="8"/>
  <c r="P135" i="8"/>
  <c r="Q135" i="8"/>
  <c r="R135" i="8"/>
  <c r="B136" i="8"/>
  <c r="C136" i="8"/>
  <c r="I136" i="8" s="1"/>
  <c r="B137" i="8"/>
  <c r="C137" i="8"/>
  <c r="I137" i="8" s="1"/>
  <c r="N137" i="8"/>
  <c r="O137" i="8"/>
  <c r="P137" i="8"/>
  <c r="Q137" i="8"/>
  <c r="R137" i="8"/>
  <c r="B138" i="8"/>
  <c r="C138" i="8"/>
  <c r="I138" i="8" s="1"/>
  <c r="N138" i="8"/>
  <c r="O138" i="8"/>
  <c r="P138" i="8"/>
  <c r="Q138" i="8"/>
  <c r="R138" i="8"/>
  <c r="B139" i="8"/>
  <c r="C139" i="8"/>
  <c r="B140" i="8"/>
  <c r="C140" i="8"/>
  <c r="B141" i="8"/>
  <c r="C141" i="8"/>
  <c r="B142" i="8"/>
  <c r="C142" i="8"/>
  <c r="I142" i="8" s="1"/>
  <c r="B143" i="8"/>
  <c r="C143" i="8"/>
  <c r="B144" i="8"/>
  <c r="C144" i="8"/>
  <c r="B145" i="8"/>
  <c r="C145" i="8"/>
  <c r="B146" i="8"/>
  <c r="C146" i="8"/>
  <c r="B147" i="8"/>
  <c r="C147" i="8"/>
  <c r="D147" i="8"/>
  <c r="E147" i="8"/>
  <c r="F147" i="8"/>
  <c r="G147" i="8"/>
  <c r="H147" i="8"/>
  <c r="K147" i="8"/>
  <c r="B148" i="8"/>
  <c r="C148" i="8"/>
  <c r="D148" i="8"/>
  <c r="E148" i="8"/>
  <c r="F148" i="8"/>
  <c r="G148" i="8"/>
  <c r="H148" i="8"/>
  <c r="B149" i="8"/>
  <c r="C149" i="8"/>
  <c r="D149" i="8"/>
  <c r="E149" i="8"/>
  <c r="F149" i="8"/>
  <c r="G149" i="8"/>
  <c r="H149" i="8"/>
  <c r="B150" i="8"/>
  <c r="C150" i="8"/>
  <c r="D150" i="8"/>
  <c r="E150" i="8"/>
  <c r="F150" i="8"/>
  <c r="G150" i="8"/>
  <c r="H150" i="8"/>
  <c r="B151" i="8"/>
  <c r="C151" i="8"/>
  <c r="D151" i="8"/>
  <c r="K151" i="8"/>
  <c r="E151" i="8"/>
  <c r="F151" i="8"/>
  <c r="G151" i="8"/>
  <c r="H151" i="8"/>
  <c r="B152" i="8"/>
  <c r="C152" i="8"/>
  <c r="D152" i="8"/>
  <c r="K152" i="8"/>
  <c r="E152" i="8"/>
  <c r="F152" i="8"/>
  <c r="G152" i="8"/>
  <c r="H152" i="8"/>
  <c r="B153" i="8"/>
  <c r="C153" i="8"/>
  <c r="B154" i="8"/>
  <c r="C154" i="8"/>
  <c r="B155" i="8"/>
  <c r="C155" i="8"/>
  <c r="B156" i="8"/>
  <c r="C156" i="8"/>
  <c r="B157" i="8"/>
  <c r="C157" i="8"/>
  <c r="N157" i="8"/>
  <c r="O157" i="8"/>
  <c r="P157" i="8"/>
  <c r="Q157" i="8"/>
  <c r="R157" i="8"/>
  <c r="B158" i="8"/>
  <c r="C158" i="8"/>
  <c r="N158" i="8"/>
  <c r="O158" i="8"/>
  <c r="P158" i="8"/>
  <c r="Q158" i="8"/>
  <c r="R158" i="8"/>
  <c r="B159" i="8"/>
  <c r="C159" i="8"/>
  <c r="N159" i="8"/>
  <c r="O159" i="8"/>
  <c r="P159" i="8"/>
  <c r="Q159" i="8"/>
  <c r="R159" i="8"/>
  <c r="B160" i="8"/>
  <c r="C160" i="8"/>
  <c r="N160" i="8"/>
  <c r="O160" i="8"/>
  <c r="P160" i="8"/>
  <c r="Q160" i="8"/>
  <c r="R160" i="8"/>
  <c r="B161" i="8"/>
  <c r="C161" i="8"/>
  <c r="N161" i="8"/>
  <c r="O161" i="8"/>
  <c r="P161" i="8"/>
  <c r="Q161" i="8"/>
  <c r="R161" i="8"/>
  <c r="B162" i="8"/>
  <c r="C162" i="8"/>
  <c r="B163" i="8"/>
  <c r="C163" i="8"/>
  <c r="B164" i="8"/>
  <c r="C164" i="8"/>
  <c r="N164" i="8"/>
  <c r="O164" i="8"/>
  <c r="P164" i="8"/>
  <c r="Q164" i="8"/>
  <c r="R164" i="8"/>
  <c r="B165" i="8"/>
  <c r="C165" i="8"/>
  <c r="N165" i="8"/>
  <c r="O165" i="8"/>
  <c r="P165" i="8"/>
  <c r="Q165" i="8"/>
  <c r="R165" i="8"/>
  <c r="B166" i="8"/>
  <c r="C166" i="8"/>
  <c r="N166" i="8"/>
  <c r="O166" i="8"/>
  <c r="P166" i="8"/>
  <c r="Q166" i="8"/>
  <c r="R166" i="8"/>
  <c r="B167" i="8"/>
  <c r="C167" i="8"/>
  <c r="N167" i="8"/>
  <c r="O167" i="8"/>
  <c r="P167" i="8"/>
  <c r="Q167" i="8"/>
  <c r="R167" i="8"/>
  <c r="B5" i="8"/>
  <c r="C5" i="8"/>
  <c r="B6" i="8"/>
  <c r="C6" i="8"/>
  <c r="B7" i="8"/>
  <c r="C7" i="8"/>
  <c r="P7" i="8" s="1"/>
  <c r="B8" i="8"/>
  <c r="C8" i="8"/>
  <c r="B9" i="8"/>
  <c r="C9" i="8"/>
  <c r="B10" i="8"/>
  <c r="C10" i="8"/>
  <c r="B11" i="8"/>
  <c r="C11" i="8"/>
  <c r="B12" i="8"/>
  <c r="C12" i="8"/>
  <c r="B13" i="8"/>
  <c r="C13" i="8"/>
  <c r="B14" i="8"/>
  <c r="C14" i="8"/>
  <c r="B15" i="8"/>
  <c r="C15" i="8"/>
  <c r="B16" i="8"/>
  <c r="C16" i="8"/>
  <c r="L16" i="8" s="1"/>
  <c r="B17" i="8"/>
  <c r="C17" i="8"/>
  <c r="B18" i="8"/>
  <c r="C18" i="8"/>
  <c r="B19" i="8"/>
  <c r="C19" i="8"/>
  <c r="B20" i="8"/>
  <c r="C20" i="8"/>
  <c r="B21" i="8"/>
  <c r="C21" i="8"/>
  <c r="I21" i="8" s="1"/>
  <c r="B22" i="8"/>
  <c r="C22" i="8"/>
  <c r="B23" i="8"/>
  <c r="C23" i="8"/>
  <c r="B24" i="8"/>
  <c r="C24" i="8"/>
  <c r="I24" i="8" s="1"/>
  <c r="N24" i="8"/>
  <c r="O24" i="8"/>
  <c r="P24" i="8"/>
  <c r="Q24" i="8"/>
  <c r="R24" i="8"/>
  <c r="B25" i="8"/>
  <c r="C25" i="8"/>
  <c r="I25" i="8" s="1"/>
  <c r="N25" i="8"/>
  <c r="O25" i="8"/>
  <c r="P25" i="8"/>
  <c r="Q25" i="8"/>
  <c r="R25" i="8"/>
  <c r="B26" i="8"/>
  <c r="C26" i="8"/>
  <c r="N26" i="8"/>
  <c r="O26" i="8"/>
  <c r="P26" i="8"/>
  <c r="Q26" i="8"/>
  <c r="R26" i="8"/>
  <c r="B27" i="8"/>
  <c r="C27" i="8"/>
  <c r="I27" i="8" s="1"/>
  <c r="N27" i="8"/>
  <c r="O27" i="8"/>
  <c r="P27" i="8"/>
  <c r="Q27" i="8"/>
  <c r="R27" i="8"/>
  <c r="B28" i="8"/>
  <c r="C28" i="8"/>
  <c r="N28" i="8"/>
  <c r="O28" i="8"/>
  <c r="P28" i="8"/>
  <c r="Q28" i="8"/>
  <c r="R28" i="8"/>
  <c r="B29" i="8"/>
  <c r="C29" i="8"/>
  <c r="I29" i="8" s="1"/>
  <c r="N29" i="8"/>
  <c r="O29" i="8"/>
  <c r="P29" i="8"/>
  <c r="Q29" i="8"/>
  <c r="R29" i="8"/>
  <c r="B30" i="8"/>
  <c r="C30" i="8"/>
  <c r="I30" i="8" s="1"/>
  <c r="N30" i="8"/>
  <c r="O30" i="8"/>
  <c r="P30" i="8"/>
  <c r="Q30" i="8"/>
  <c r="R30" i="8"/>
  <c r="B31" i="8"/>
  <c r="C31" i="8"/>
  <c r="I31" i="8" s="1"/>
  <c r="B32" i="8"/>
  <c r="C32" i="8"/>
  <c r="N32" i="8"/>
  <c r="O32" i="8"/>
  <c r="P32" i="8"/>
  <c r="Q32" i="8"/>
  <c r="R32" i="8"/>
  <c r="B33" i="8"/>
  <c r="C33" i="8"/>
  <c r="I33" i="8" s="1"/>
  <c r="N33" i="8"/>
  <c r="O33" i="8"/>
  <c r="P33" i="8"/>
  <c r="Q33" i="8"/>
  <c r="R33" i="8"/>
  <c r="B34" i="8"/>
  <c r="C34" i="8"/>
  <c r="B35" i="8"/>
  <c r="C35" i="8"/>
  <c r="B36" i="8"/>
  <c r="C36" i="8"/>
  <c r="B37" i="8"/>
  <c r="C37" i="8"/>
  <c r="B38" i="8"/>
  <c r="C38" i="8"/>
  <c r="B39" i="8"/>
  <c r="C39" i="8"/>
  <c r="B40" i="8"/>
  <c r="C40" i="8"/>
  <c r="B41" i="8"/>
  <c r="C41" i="8"/>
  <c r="B42" i="8"/>
  <c r="C42" i="8"/>
  <c r="D42" i="8"/>
  <c r="E42" i="8"/>
  <c r="F42" i="8"/>
  <c r="G42" i="8"/>
  <c r="H42" i="8"/>
  <c r="B43" i="8"/>
  <c r="C43" i="8"/>
  <c r="D43" i="8"/>
  <c r="E43" i="8"/>
  <c r="F43" i="8"/>
  <c r="G43" i="8"/>
  <c r="H43" i="8"/>
  <c r="B44" i="8"/>
  <c r="C44" i="8"/>
  <c r="D44" i="8"/>
  <c r="E44" i="8"/>
  <c r="F44" i="8"/>
  <c r="G44" i="8"/>
  <c r="H44" i="8"/>
  <c r="B45" i="8"/>
  <c r="C45" i="8"/>
  <c r="D45" i="8"/>
  <c r="K45" i="8"/>
  <c r="E45" i="8"/>
  <c r="F45" i="8"/>
  <c r="G45" i="8"/>
  <c r="H45" i="8"/>
  <c r="B46" i="8"/>
  <c r="C46" i="8"/>
  <c r="D46" i="8"/>
  <c r="E46" i="8"/>
  <c r="F46" i="8"/>
  <c r="G46" i="8"/>
  <c r="H46" i="8"/>
  <c r="B47" i="8"/>
  <c r="C47" i="8"/>
  <c r="D47" i="8"/>
  <c r="E47" i="8"/>
  <c r="F47" i="8"/>
  <c r="G47" i="8"/>
  <c r="H47" i="8"/>
  <c r="B48" i="8"/>
  <c r="C48" i="8"/>
  <c r="B49" i="8"/>
  <c r="C49" i="8"/>
  <c r="B50" i="8"/>
  <c r="C50" i="8"/>
  <c r="B51" i="8"/>
  <c r="C51" i="8"/>
  <c r="B52" i="8"/>
  <c r="C52" i="8"/>
  <c r="N52" i="8"/>
  <c r="O52" i="8"/>
  <c r="P52" i="8"/>
  <c r="Q52" i="8"/>
  <c r="R52" i="8"/>
  <c r="B53" i="8"/>
  <c r="C53" i="8"/>
  <c r="N53" i="8"/>
  <c r="O53" i="8"/>
  <c r="P53" i="8"/>
  <c r="Q53" i="8"/>
  <c r="R53" i="8"/>
  <c r="B54" i="8"/>
  <c r="C54" i="8"/>
  <c r="N54" i="8"/>
  <c r="O54" i="8"/>
  <c r="P54" i="8"/>
  <c r="Q54" i="8"/>
  <c r="R54" i="8"/>
  <c r="B55" i="8"/>
  <c r="C55" i="8"/>
  <c r="N55" i="8"/>
  <c r="O55" i="8"/>
  <c r="P55" i="8"/>
  <c r="Q55" i="8"/>
  <c r="R55" i="8"/>
  <c r="B56" i="8"/>
  <c r="C56" i="8"/>
  <c r="N56" i="8"/>
  <c r="O56" i="8"/>
  <c r="P56" i="8"/>
  <c r="Q56" i="8"/>
  <c r="R56" i="8"/>
  <c r="B57" i="8"/>
  <c r="C57" i="8"/>
  <c r="B58" i="8"/>
  <c r="C58" i="8"/>
  <c r="B59" i="8"/>
  <c r="C59" i="8"/>
  <c r="N59" i="8"/>
  <c r="O59" i="8"/>
  <c r="P59" i="8"/>
  <c r="Q59" i="8"/>
  <c r="R59" i="8"/>
  <c r="B60" i="8"/>
  <c r="C60" i="8"/>
  <c r="N60" i="8"/>
  <c r="O60" i="8"/>
  <c r="P60" i="8"/>
  <c r="Q60" i="8"/>
  <c r="R60" i="8"/>
  <c r="B61" i="8"/>
  <c r="C61" i="8"/>
  <c r="N61" i="8"/>
  <c r="O61" i="8"/>
  <c r="P61" i="8"/>
  <c r="Q61" i="8"/>
  <c r="R61" i="8"/>
  <c r="B62" i="8"/>
  <c r="C62" i="8"/>
  <c r="N62" i="8"/>
  <c r="O62" i="8"/>
  <c r="P62" i="8"/>
  <c r="Q62" i="8"/>
  <c r="R62" i="8"/>
  <c r="B63" i="8"/>
  <c r="C63" i="8"/>
  <c r="N63" i="8"/>
  <c r="O63" i="8"/>
  <c r="P63" i="8"/>
  <c r="Q63" i="8"/>
  <c r="R63" i="8"/>
  <c r="B64" i="8"/>
  <c r="C64" i="8"/>
  <c r="B65" i="8"/>
  <c r="C65" i="8"/>
  <c r="N65" i="8"/>
  <c r="O65" i="8"/>
  <c r="P65" i="8"/>
  <c r="Q65" i="8"/>
  <c r="R65" i="8"/>
  <c r="B66" i="8"/>
  <c r="C66" i="8"/>
  <c r="N66" i="8"/>
  <c r="O66" i="8"/>
  <c r="P66" i="8"/>
  <c r="Q66" i="8"/>
  <c r="R66" i="8"/>
  <c r="B67" i="8"/>
  <c r="C67" i="8"/>
  <c r="N67" i="8"/>
  <c r="O67" i="8"/>
  <c r="P67" i="8"/>
  <c r="Q67" i="8"/>
  <c r="R67" i="8"/>
  <c r="B68" i="8"/>
  <c r="C68" i="8"/>
  <c r="N68" i="8"/>
  <c r="O68" i="8"/>
  <c r="P68" i="8"/>
  <c r="Q68" i="8"/>
  <c r="R68" i="8"/>
  <c r="B69" i="8"/>
  <c r="C69" i="8"/>
  <c r="N69" i="8"/>
  <c r="O69" i="8"/>
  <c r="P69" i="8"/>
  <c r="Q69" i="8"/>
  <c r="R69" i="8"/>
  <c r="B70" i="8"/>
  <c r="C70" i="8"/>
  <c r="N70" i="8"/>
  <c r="O70" i="8"/>
  <c r="P70" i="8"/>
  <c r="Q70" i="8"/>
  <c r="R70" i="8"/>
  <c r="B71" i="8"/>
  <c r="C71" i="8"/>
  <c r="N71" i="8"/>
  <c r="O71" i="8"/>
  <c r="P71" i="8"/>
  <c r="Q71" i="8"/>
  <c r="R71" i="8"/>
  <c r="B72" i="8"/>
  <c r="C72" i="8"/>
  <c r="N72" i="8"/>
  <c r="O72" i="8"/>
  <c r="P72" i="8"/>
  <c r="Q72" i="8"/>
  <c r="R72" i="8"/>
  <c r="B73" i="8"/>
  <c r="C73" i="8"/>
  <c r="N73" i="8"/>
  <c r="O73" i="8"/>
  <c r="P73" i="8"/>
  <c r="Q73" i="8"/>
  <c r="R73" i="8"/>
  <c r="B74" i="8"/>
  <c r="C74" i="8"/>
  <c r="N74" i="8"/>
  <c r="O74" i="8"/>
  <c r="P74" i="8"/>
  <c r="Q74" i="8"/>
  <c r="R74" i="8"/>
  <c r="B75" i="8"/>
  <c r="C75" i="8"/>
  <c r="N75" i="8"/>
  <c r="O75" i="8"/>
  <c r="P75" i="8"/>
  <c r="Q75" i="8"/>
  <c r="R75" i="8"/>
  <c r="B76" i="8"/>
  <c r="C76" i="8"/>
  <c r="N76" i="8"/>
  <c r="O76" i="8"/>
  <c r="P76" i="8"/>
  <c r="Q76" i="8"/>
  <c r="R76" i="8"/>
  <c r="B77" i="8"/>
  <c r="C77" i="8"/>
  <c r="N77" i="8"/>
  <c r="O77" i="8"/>
  <c r="P77" i="8"/>
  <c r="Q77" i="8"/>
  <c r="R77" i="8"/>
  <c r="B78" i="8"/>
  <c r="C78" i="8"/>
  <c r="N78" i="8"/>
  <c r="O78" i="8"/>
  <c r="P78" i="8"/>
  <c r="Q78" i="8"/>
  <c r="R78" i="8"/>
  <c r="B79" i="8"/>
  <c r="C79" i="8"/>
  <c r="N79" i="8"/>
  <c r="O79" i="8"/>
  <c r="P79" i="8"/>
  <c r="Q79" i="8"/>
  <c r="R79" i="8"/>
  <c r="B80" i="8"/>
  <c r="C80" i="8"/>
  <c r="N80" i="8"/>
  <c r="O80" i="8"/>
  <c r="P80" i="8"/>
  <c r="Q80" i="8"/>
  <c r="R80" i="8"/>
  <c r="B81" i="8"/>
  <c r="C81" i="8"/>
  <c r="N81" i="8"/>
  <c r="O81" i="8"/>
  <c r="P81" i="8"/>
  <c r="Q81" i="8"/>
  <c r="R81" i="8"/>
  <c r="B82" i="8"/>
  <c r="C82" i="8"/>
  <c r="N82" i="8"/>
  <c r="O82" i="8"/>
  <c r="P82" i="8"/>
  <c r="Q82" i="8"/>
  <c r="R82" i="8"/>
  <c r="B83" i="8"/>
  <c r="C83" i="8"/>
  <c r="N83" i="8"/>
  <c r="O83" i="8"/>
  <c r="P83" i="8"/>
  <c r="Q83" i="8"/>
  <c r="R83" i="8"/>
  <c r="B84" i="8"/>
  <c r="C84" i="8"/>
  <c r="N84" i="8"/>
  <c r="O84" i="8"/>
  <c r="P84" i="8"/>
  <c r="Q84" i="8"/>
  <c r="R84" i="8"/>
  <c r="B85" i="8"/>
  <c r="C85" i="8"/>
  <c r="N85" i="8"/>
  <c r="O85" i="8"/>
  <c r="P85" i="8"/>
  <c r="Q85" i="8"/>
  <c r="R85" i="8"/>
  <c r="B86" i="8"/>
  <c r="C86" i="8"/>
  <c r="N86" i="8"/>
  <c r="O86" i="8"/>
  <c r="P86" i="8"/>
  <c r="Q86" i="8"/>
  <c r="R86" i="8"/>
  <c r="B87" i="8"/>
  <c r="C87" i="8"/>
  <c r="N87" i="8"/>
  <c r="O87" i="8"/>
  <c r="P87" i="8"/>
  <c r="Q87" i="8"/>
  <c r="R87" i="8"/>
  <c r="B88" i="8"/>
  <c r="C88" i="8"/>
  <c r="N88" i="8"/>
  <c r="O88" i="8"/>
  <c r="P88" i="8"/>
  <c r="Q88" i="8"/>
  <c r="R88" i="8"/>
  <c r="B89" i="8"/>
  <c r="C89" i="8"/>
  <c r="N89" i="8"/>
  <c r="O89" i="8"/>
  <c r="P89" i="8"/>
  <c r="Q89" i="8"/>
  <c r="R89" i="8"/>
  <c r="B90" i="8"/>
  <c r="C90" i="8"/>
  <c r="N90" i="8"/>
  <c r="O90" i="8"/>
  <c r="P90" i="8"/>
  <c r="Q90" i="8"/>
  <c r="R90" i="8"/>
  <c r="B91" i="8"/>
  <c r="C91" i="8"/>
  <c r="N91" i="8"/>
  <c r="O91" i="8"/>
  <c r="P91" i="8"/>
  <c r="Q91" i="8"/>
  <c r="R91" i="8"/>
  <c r="B92" i="8"/>
  <c r="C92" i="8"/>
  <c r="N92" i="8"/>
  <c r="O92" i="8"/>
  <c r="P92" i="8"/>
  <c r="Q92" i="8"/>
  <c r="R92" i="8"/>
  <c r="B93" i="8"/>
  <c r="C93" i="8"/>
  <c r="N93" i="8"/>
  <c r="O93" i="8"/>
  <c r="P93" i="8"/>
  <c r="Q93" i="8"/>
  <c r="R93" i="8"/>
  <c r="B94" i="8"/>
  <c r="C94" i="8"/>
  <c r="N94" i="8"/>
  <c r="O94" i="8"/>
  <c r="P94" i="8"/>
  <c r="Q94" i="8"/>
  <c r="R94" i="8"/>
  <c r="B95" i="8"/>
  <c r="C95" i="8"/>
  <c r="D95" i="8"/>
  <c r="E95" i="8"/>
  <c r="F95" i="8"/>
  <c r="G95" i="8"/>
  <c r="H95" i="8"/>
  <c r="K95" i="8"/>
  <c r="N95" i="8"/>
  <c r="O95" i="8"/>
  <c r="P95" i="8"/>
  <c r="Q95" i="8"/>
  <c r="R95" i="8"/>
  <c r="B96" i="8"/>
  <c r="C96" i="8"/>
  <c r="D96" i="8"/>
  <c r="E96" i="8"/>
  <c r="F96" i="8"/>
  <c r="G96" i="8"/>
  <c r="H96" i="8"/>
  <c r="K96" i="8"/>
  <c r="N96" i="8"/>
  <c r="O96" i="8"/>
  <c r="P96" i="8"/>
  <c r="Q96" i="8"/>
  <c r="R96" i="8"/>
  <c r="B97" i="8"/>
  <c r="C97" i="8"/>
  <c r="D97" i="8"/>
  <c r="E97" i="8"/>
  <c r="F97" i="8"/>
  <c r="G97" i="8"/>
  <c r="H97" i="8"/>
  <c r="K97" i="8"/>
  <c r="N97" i="8"/>
  <c r="O97" i="8"/>
  <c r="P97" i="8"/>
  <c r="Q97" i="8"/>
  <c r="R97" i="8"/>
  <c r="B98" i="8"/>
  <c r="C98" i="8"/>
  <c r="D98" i="8"/>
  <c r="E98" i="8"/>
  <c r="F98" i="8"/>
  <c r="G98" i="8"/>
  <c r="H98" i="8"/>
  <c r="K98" i="8"/>
  <c r="N98" i="8"/>
  <c r="O98" i="8"/>
  <c r="P98" i="8"/>
  <c r="Q98" i="8"/>
  <c r="R98" i="8"/>
  <c r="B99" i="8"/>
  <c r="C99" i="8"/>
  <c r="D99" i="8"/>
  <c r="E99" i="8"/>
  <c r="F99" i="8"/>
  <c r="G99" i="8"/>
  <c r="H99" i="8"/>
  <c r="K99" i="8"/>
  <c r="N99" i="8"/>
  <c r="O99" i="8"/>
  <c r="P99" i="8"/>
  <c r="Q99" i="8"/>
  <c r="R99" i="8"/>
  <c r="B100" i="8"/>
  <c r="C100" i="8"/>
  <c r="D100" i="8"/>
  <c r="E100" i="8"/>
  <c r="F100" i="8"/>
  <c r="G100" i="8"/>
  <c r="H100" i="8"/>
  <c r="K100" i="8"/>
  <c r="N100" i="8"/>
  <c r="O100" i="8"/>
  <c r="P100" i="8"/>
  <c r="Q100" i="8"/>
  <c r="R100" i="8"/>
  <c r="B101" i="8"/>
  <c r="C101" i="8"/>
  <c r="D101" i="8"/>
  <c r="E101" i="8"/>
  <c r="F101" i="8"/>
  <c r="G101" i="8"/>
  <c r="H101" i="8"/>
  <c r="K101" i="8"/>
  <c r="N101" i="8"/>
  <c r="O101" i="8"/>
  <c r="P101" i="8"/>
  <c r="Q101" i="8"/>
  <c r="R101" i="8"/>
  <c r="B102" i="8"/>
  <c r="C102" i="8"/>
  <c r="D102" i="8"/>
  <c r="E102" i="8"/>
  <c r="F102" i="8"/>
  <c r="G102" i="8"/>
  <c r="H102" i="8"/>
  <c r="K102" i="8"/>
  <c r="N102" i="8"/>
  <c r="O102" i="8"/>
  <c r="P102" i="8"/>
  <c r="Q102" i="8"/>
  <c r="R102" i="8"/>
  <c r="B103" i="8"/>
  <c r="C103" i="8"/>
  <c r="D103" i="8"/>
  <c r="E103" i="8"/>
  <c r="F103" i="8"/>
  <c r="G103" i="8"/>
  <c r="H103" i="8"/>
  <c r="K103" i="8"/>
  <c r="N103" i="8"/>
  <c r="O103" i="8"/>
  <c r="P103" i="8"/>
  <c r="Q103" i="8"/>
  <c r="R103" i="8"/>
  <c r="E1582" i="2"/>
  <c r="C1582" i="2"/>
  <c r="E1574" i="2"/>
  <c r="C1574" i="2"/>
  <c r="E1552" i="2"/>
  <c r="D1552" i="2"/>
  <c r="C1552" i="2"/>
  <c r="E1544" i="2"/>
  <c r="D1544" i="2"/>
  <c r="C1544" i="2"/>
  <c r="N1022" i="2"/>
  <c r="N992" i="2"/>
  <c r="N991" i="2"/>
  <c r="N1006" i="2"/>
  <c r="N962" i="2"/>
  <c r="N961" i="2"/>
  <c r="N976" i="2"/>
  <c r="N984" i="2"/>
  <c r="N1007" i="2"/>
  <c r="N1017" i="2"/>
  <c r="N1032" i="2"/>
  <c r="N987" i="2"/>
  <c r="N1002" i="2"/>
  <c r="Z1172" i="2"/>
  <c r="Y1172" i="2"/>
  <c r="X1172" i="2"/>
  <c r="W1172" i="2"/>
  <c r="V1172" i="2"/>
  <c r="U1172" i="2"/>
  <c r="T1172" i="2"/>
  <c r="S1172" i="2"/>
  <c r="R1172" i="2"/>
  <c r="Q1172" i="2"/>
  <c r="P1172" i="2"/>
  <c r="Z1171" i="2"/>
  <c r="Z1186" i="2"/>
  <c r="Y1171" i="2"/>
  <c r="Y1186" i="2"/>
  <c r="X1171" i="2"/>
  <c r="X1186" i="2"/>
  <c r="W1171" i="2"/>
  <c r="W1186" i="2"/>
  <c r="V1171" i="2"/>
  <c r="V1186" i="2"/>
  <c r="U1171" i="2"/>
  <c r="U1186" i="2"/>
  <c r="T1171" i="2"/>
  <c r="T1186" i="2"/>
  <c r="S1171" i="2"/>
  <c r="S1186" i="2"/>
  <c r="R1171" i="2"/>
  <c r="R1186" i="2"/>
  <c r="Q1171" i="2"/>
  <c r="Q1186" i="2"/>
  <c r="P1171" i="2"/>
  <c r="P1186" i="2"/>
  <c r="Z1170" i="2"/>
  <c r="Z1185" i="2"/>
  <c r="Y1170" i="2"/>
  <c r="Y1185" i="2"/>
  <c r="X1170" i="2"/>
  <c r="X1185" i="2"/>
  <c r="W1170" i="2"/>
  <c r="W1185" i="2"/>
  <c r="V1170" i="2"/>
  <c r="V1185" i="2"/>
  <c r="U1170" i="2"/>
  <c r="U1185" i="2"/>
  <c r="T1170" i="2"/>
  <c r="T1185" i="2"/>
  <c r="S1170" i="2"/>
  <c r="S1185" i="2"/>
  <c r="R1170" i="2"/>
  <c r="R1185" i="2"/>
  <c r="Q1170" i="2"/>
  <c r="Q1185" i="2"/>
  <c r="P1170" i="2"/>
  <c r="P1185" i="2"/>
  <c r="Z1169" i="2"/>
  <c r="Z1184" i="2"/>
  <c r="Y1169" i="2"/>
  <c r="Y1184" i="2"/>
  <c r="X1169" i="2"/>
  <c r="X1184" i="2"/>
  <c r="W1169" i="2"/>
  <c r="W1184" i="2"/>
  <c r="V1169" i="2"/>
  <c r="V1184" i="2"/>
  <c r="U1169" i="2"/>
  <c r="U1184" i="2"/>
  <c r="T1169" i="2"/>
  <c r="T1184" i="2"/>
  <c r="S1169" i="2"/>
  <c r="S1184" i="2"/>
  <c r="R1169" i="2"/>
  <c r="R1184" i="2"/>
  <c r="Q1169" i="2"/>
  <c r="Q1184" i="2"/>
  <c r="P1169" i="2"/>
  <c r="P1184" i="2"/>
  <c r="Z1168" i="2"/>
  <c r="Z1183" i="2"/>
  <c r="Y1168" i="2"/>
  <c r="Y1183" i="2"/>
  <c r="X1168" i="2"/>
  <c r="X1183" i="2"/>
  <c r="W1168" i="2"/>
  <c r="W1183" i="2"/>
  <c r="V1168" i="2"/>
  <c r="V1183" i="2"/>
  <c r="U1168" i="2"/>
  <c r="U1183" i="2"/>
  <c r="T1168" i="2"/>
  <c r="T1183" i="2"/>
  <c r="S1168" i="2"/>
  <c r="S1183" i="2"/>
  <c r="R1168" i="2"/>
  <c r="R1183" i="2"/>
  <c r="Q1168" i="2"/>
  <c r="Q1183" i="2"/>
  <c r="P1168" i="2"/>
  <c r="P1183" i="2"/>
  <c r="Z1167" i="2"/>
  <c r="Z1182" i="2"/>
  <c r="Y1167" i="2"/>
  <c r="Y1182" i="2"/>
  <c r="X1167" i="2"/>
  <c r="X1182" i="2"/>
  <c r="W1167" i="2"/>
  <c r="W1182" i="2"/>
  <c r="V1167" i="2"/>
  <c r="V1182" i="2"/>
  <c r="U1167" i="2"/>
  <c r="U1182" i="2"/>
  <c r="T1167" i="2"/>
  <c r="T1182" i="2"/>
  <c r="S1167" i="2"/>
  <c r="S1182" i="2"/>
  <c r="R1167" i="2"/>
  <c r="R1182" i="2"/>
  <c r="Q1167" i="2"/>
  <c r="Q1182" i="2"/>
  <c r="P1167" i="2"/>
  <c r="P1182" i="2"/>
  <c r="Z1166" i="2"/>
  <c r="Z1181" i="2"/>
  <c r="Y1166" i="2"/>
  <c r="Y1181" i="2"/>
  <c r="X1166" i="2"/>
  <c r="X1181" i="2"/>
  <c r="W1166" i="2"/>
  <c r="W1181" i="2"/>
  <c r="V1166" i="2"/>
  <c r="V1181" i="2"/>
  <c r="U1166" i="2"/>
  <c r="U1181" i="2"/>
  <c r="T1166" i="2"/>
  <c r="T1181" i="2"/>
  <c r="S1166" i="2"/>
  <c r="S1181" i="2"/>
  <c r="R1166" i="2"/>
  <c r="R1181" i="2"/>
  <c r="Q1166" i="2"/>
  <c r="Q1181" i="2"/>
  <c r="P1166" i="2"/>
  <c r="P1181" i="2"/>
  <c r="Z1165" i="2"/>
  <c r="Z1180" i="2"/>
  <c r="Y1165" i="2"/>
  <c r="Y1180" i="2"/>
  <c r="X1165" i="2"/>
  <c r="X1180" i="2"/>
  <c r="W1165" i="2"/>
  <c r="W1180" i="2"/>
  <c r="V1165" i="2"/>
  <c r="V1180" i="2"/>
  <c r="U1165" i="2"/>
  <c r="U1180" i="2"/>
  <c r="T1165" i="2"/>
  <c r="T1180" i="2"/>
  <c r="S1165" i="2"/>
  <c r="S1180" i="2"/>
  <c r="R1165" i="2"/>
  <c r="R1180" i="2"/>
  <c r="Q1165" i="2"/>
  <c r="Q1180" i="2"/>
  <c r="P1165" i="2"/>
  <c r="P1180" i="2"/>
  <c r="Z1164" i="2"/>
  <c r="Z1187" i="2"/>
  <c r="Y1164" i="2"/>
  <c r="Y1187" i="2"/>
  <c r="X1164" i="2"/>
  <c r="X1187" i="2"/>
  <c r="W1164" i="2"/>
  <c r="W1187" i="2"/>
  <c r="V1164" i="2"/>
  <c r="V1187" i="2"/>
  <c r="U1164" i="2"/>
  <c r="U1187" i="2"/>
  <c r="T1164" i="2"/>
  <c r="T1187" i="2"/>
  <c r="S1164" i="2"/>
  <c r="S1187" i="2"/>
  <c r="R1164" i="2"/>
  <c r="R1187" i="2"/>
  <c r="Q1164" i="2"/>
  <c r="Q1187" i="2"/>
  <c r="P1164" i="2"/>
  <c r="P1187" i="2"/>
  <c r="Z1163" i="2"/>
  <c r="Y1163" i="2"/>
  <c r="X1163" i="2"/>
  <c r="W1163" i="2"/>
  <c r="V1163" i="2"/>
  <c r="U1163" i="2"/>
  <c r="T1163" i="2"/>
  <c r="S1163" i="2"/>
  <c r="R1163" i="2"/>
  <c r="Q1163" i="2"/>
  <c r="P1163" i="2"/>
  <c r="Z1162" i="2"/>
  <c r="Y1162" i="2"/>
  <c r="X1162" i="2"/>
  <c r="W1162" i="2"/>
  <c r="V1162" i="2"/>
  <c r="U1162" i="2"/>
  <c r="T1162" i="2"/>
  <c r="S1162" i="2"/>
  <c r="R1162" i="2"/>
  <c r="Q1162" i="2"/>
  <c r="P1162" i="2"/>
  <c r="Z1161" i="2"/>
  <c r="Y1161" i="2"/>
  <c r="X1161" i="2"/>
  <c r="W1161" i="2"/>
  <c r="V1161" i="2"/>
  <c r="U1161" i="2"/>
  <c r="T1161" i="2"/>
  <c r="S1161" i="2"/>
  <c r="R1161" i="2"/>
  <c r="Q1161" i="2"/>
  <c r="P1161" i="2"/>
  <c r="G1172" i="2"/>
  <c r="E1172" i="2"/>
  <c r="D1172" i="2"/>
  <c r="C1172" i="2"/>
  <c r="G1164" i="2"/>
  <c r="E1164" i="2"/>
  <c r="D1164" i="2"/>
  <c r="C1164" i="2"/>
  <c r="G1142" i="2"/>
  <c r="E1142" i="2"/>
  <c r="D1142" i="2"/>
  <c r="C1142" i="2"/>
  <c r="G1134" i="2"/>
  <c r="E1134" i="2"/>
  <c r="D1134" i="2"/>
  <c r="C1134" i="2"/>
  <c r="Z1307" i="2"/>
  <c r="Y1307" i="2"/>
  <c r="X1307" i="2"/>
  <c r="W1307" i="2"/>
  <c r="V1307" i="2"/>
  <c r="U1307" i="2"/>
  <c r="T1307" i="2"/>
  <c r="S1307" i="2"/>
  <c r="R1307" i="2"/>
  <c r="Q1307" i="2"/>
  <c r="P1307" i="2"/>
  <c r="Z1306" i="2"/>
  <c r="Z1321" i="2"/>
  <c r="Y1306" i="2"/>
  <c r="Y1321" i="2"/>
  <c r="X1306" i="2"/>
  <c r="X1321" i="2"/>
  <c r="W1306" i="2"/>
  <c r="W1321" i="2"/>
  <c r="V1306" i="2"/>
  <c r="V1321" i="2"/>
  <c r="U1306" i="2"/>
  <c r="U1321" i="2"/>
  <c r="T1306" i="2"/>
  <c r="T1321" i="2"/>
  <c r="S1306" i="2"/>
  <c r="S1321" i="2"/>
  <c r="R1306" i="2"/>
  <c r="R1321" i="2"/>
  <c r="Q1306" i="2"/>
  <c r="Q1321" i="2"/>
  <c r="P1306" i="2"/>
  <c r="P1321" i="2"/>
  <c r="Z1305" i="2"/>
  <c r="Z1320" i="2"/>
  <c r="Y1305" i="2"/>
  <c r="Y1320" i="2"/>
  <c r="X1305" i="2"/>
  <c r="X1320" i="2"/>
  <c r="W1305" i="2"/>
  <c r="W1320" i="2"/>
  <c r="V1305" i="2"/>
  <c r="V1320" i="2"/>
  <c r="U1305" i="2"/>
  <c r="U1320" i="2"/>
  <c r="T1305" i="2"/>
  <c r="T1320" i="2"/>
  <c r="S1305" i="2"/>
  <c r="S1320" i="2"/>
  <c r="R1305" i="2"/>
  <c r="R1320" i="2"/>
  <c r="Q1305" i="2"/>
  <c r="Q1320" i="2"/>
  <c r="P1305" i="2"/>
  <c r="P1320" i="2"/>
  <c r="Z1304" i="2"/>
  <c r="Z1319" i="2"/>
  <c r="Y1304" i="2"/>
  <c r="Y1319" i="2"/>
  <c r="X1304" i="2"/>
  <c r="X1319" i="2"/>
  <c r="W1304" i="2"/>
  <c r="W1319" i="2"/>
  <c r="V1304" i="2"/>
  <c r="V1319" i="2"/>
  <c r="U1304" i="2"/>
  <c r="U1319" i="2"/>
  <c r="T1304" i="2"/>
  <c r="T1319" i="2"/>
  <c r="S1304" i="2"/>
  <c r="S1319" i="2"/>
  <c r="R1304" i="2"/>
  <c r="R1319" i="2"/>
  <c r="Q1304" i="2"/>
  <c r="Q1319" i="2"/>
  <c r="P1304" i="2"/>
  <c r="P1319" i="2"/>
  <c r="Z1303" i="2"/>
  <c r="Z1318" i="2"/>
  <c r="Y1303" i="2"/>
  <c r="Y1318" i="2"/>
  <c r="X1303" i="2"/>
  <c r="X1318" i="2"/>
  <c r="W1303" i="2"/>
  <c r="W1318" i="2"/>
  <c r="V1303" i="2"/>
  <c r="V1318" i="2"/>
  <c r="U1303" i="2"/>
  <c r="U1318" i="2"/>
  <c r="T1303" i="2"/>
  <c r="T1318" i="2"/>
  <c r="S1303" i="2"/>
  <c r="S1318" i="2"/>
  <c r="R1303" i="2"/>
  <c r="R1318" i="2"/>
  <c r="Q1303" i="2"/>
  <c r="Q1318" i="2"/>
  <c r="P1303" i="2"/>
  <c r="P1318" i="2"/>
  <c r="Z1302" i="2"/>
  <c r="Z1317" i="2"/>
  <c r="Y1302" i="2"/>
  <c r="Y1317" i="2"/>
  <c r="X1302" i="2"/>
  <c r="X1317" i="2"/>
  <c r="W1302" i="2"/>
  <c r="W1317" i="2"/>
  <c r="V1302" i="2"/>
  <c r="V1317" i="2"/>
  <c r="U1302" i="2"/>
  <c r="U1317" i="2"/>
  <c r="T1302" i="2"/>
  <c r="T1317" i="2"/>
  <c r="S1302" i="2"/>
  <c r="S1317" i="2"/>
  <c r="R1302" i="2"/>
  <c r="R1317" i="2"/>
  <c r="Q1302" i="2"/>
  <c r="Q1317" i="2"/>
  <c r="P1302" i="2"/>
  <c r="P1317" i="2"/>
  <c r="Z1301" i="2"/>
  <c r="Z1316" i="2"/>
  <c r="Y1301" i="2"/>
  <c r="Y1316" i="2"/>
  <c r="X1301" i="2"/>
  <c r="X1316" i="2"/>
  <c r="W1301" i="2"/>
  <c r="W1316" i="2"/>
  <c r="V1301" i="2"/>
  <c r="V1316" i="2"/>
  <c r="U1301" i="2"/>
  <c r="U1316" i="2"/>
  <c r="T1301" i="2"/>
  <c r="T1316" i="2"/>
  <c r="S1301" i="2"/>
  <c r="S1316" i="2"/>
  <c r="R1301" i="2"/>
  <c r="R1316" i="2"/>
  <c r="Q1301" i="2"/>
  <c r="Q1316" i="2"/>
  <c r="P1301" i="2"/>
  <c r="P1316" i="2"/>
  <c r="Z1300" i="2"/>
  <c r="Z1315" i="2"/>
  <c r="Y1300" i="2"/>
  <c r="Y1315" i="2"/>
  <c r="X1300" i="2"/>
  <c r="X1315" i="2"/>
  <c r="W1300" i="2"/>
  <c r="W1315" i="2"/>
  <c r="V1300" i="2"/>
  <c r="V1315" i="2"/>
  <c r="U1300" i="2"/>
  <c r="U1315" i="2"/>
  <c r="T1300" i="2"/>
  <c r="T1315" i="2"/>
  <c r="S1300" i="2"/>
  <c r="S1315" i="2"/>
  <c r="R1300" i="2"/>
  <c r="R1315" i="2"/>
  <c r="Q1300" i="2"/>
  <c r="Q1315" i="2"/>
  <c r="P1300" i="2"/>
  <c r="P1315" i="2"/>
  <c r="Z1299" i="2"/>
  <c r="Z1322" i="2"/>
  <c r="Y1299" i="2"/>
  <c r="Y1322" i="2"/>
  <c r="X1299" i="2"/>
  <c r="X1322" i="2"/>
  <c r="W1299" i="2"/>
  <c r="W1322" i="2"/>
  <c r="V1299" i="2"/>
  <c r="V1322" i="2"/>
  <c r="U1299" i="2"/>
  <c r="U1322" i="2"/>
  <c r="T1299" i="2"/>
  <c r="T1322" i="2"/>
  <c r="S1299" i="2"/>
  <c r="S1322" i="2"/>
  <c r="R1299" i="2"/>
  <c r="R1322" i="2"/>
  <c r="Q1299" i="2"/>
  <c r="Q1322" i="2"/>
  <c r="P1299" i="2"/>
  <c r="P1322" i="2"/>
  <c r="Z1298" i="2"/>
  <c r="Y1298" i="2"/>
  <c r="X1298" i="2"/>
  <c r="W1298" i="2"/>
  <c r="V1298" i="2"/>
  <c r="U1298" i="2"/>
  <c r="T1298" i="2"/>
  <c r="S1298" i="2"/>
  <c r="R1298" i="2"/>
  <c r="Q1298" i="2"/>
  <c r="P1298" i="2"/>
  <c r="Z1297" i="2"/>
  <c r="Y1297" i="2"/>
  <c r="X1297" i="2"/>
  <c r="W1297" i="2"/>
  <c r="V1297" i="2"/>
  <c r="U1297" i="2"/>
  <c r="T1297" i="2"/>
  <c r="S1297" i="2"/>
  <c r="R1297" i="2"/>
  <c r="Q1297" i="2"/>
  <c r="P1297" i="2"/>
  <c r="Z1296" i="2"/>
  <c r="Y1296" i="2"/>
  <c r="X1296" i="2"/>
  <c r="W1296" i="2"/>
  <c r="V1296" i="2"/>
  <c r="U1296" i="2"/>
  <c r="T1296" i="2"/>
  <c r="S1296" i="2"/>
  <c r="R1296" i="2"/>
  <c r="Q1296" i="2"/>
  <c r="P1296" i="2"/>
  <c r="D1827" i="2"/>
  <c r="C1827" i="2"/>
  <c r="D1819" i="2"/>
  <c r="C1819" i="2"/>
  <c r="D1812" i="2"/>
  <c r="C1812" i="2"/>
  <c r="D1804" i="2"/>
  <c r="C1804" i="2"/>
  <c r="D1782" i="2"/>
  <c r="C1782" i="2"/>
  <c r="D1774" i="2"/>
  <c r="C1774" i="2"/>
  <c r="D1767" i="2"/>
  <c r="C1767" i="2"/>
  <c r="D1759" i="2"/>
  <c r="C1759" i="2"/>
  <c r="D1737" i="2"/>
  <c r="C1737" i="2"/>
  <c r="D1729" i="2"/>
  <c r="C1729" i="2"/>
  <c r="D1722" i="2"/>
  <c r="C1722" i="2"/>
  <c r="D1714" i="2"/>
  <c r="C1714" i="2"/>
  <c r="V1310" i="2"/>
  <c r="Z1310" i="2"/>
  <c r="Q1310" i="2"/>
  <c r="S1310" i="2"/>
  <c r="U1310" i="2"/>
  <c r="R1310" i="2"/>
  <c r="P1310" i="2"/>
  <c r="X1310" i="2"/>
  <c r="Y1310" i="2"/>
  <c r="T1310" i="2"/>
  <c r="W1310" i="2"/>
  <c r="X1175" i="2"/>
  <c r="W1175" i="2"/>
  <c r="S1175" i="2"/>
  <c r="U1175" i="2"/>
  <c r="Q1175" i="2"/>
  <c r="Y1175" i="2"/>
  <c r="Z1175" i="2"/>
  <c r="R1175" i="2"/>
  <c r="P1175" i="2"/>
  <c r="T1175" i="2"/>
  <c r="V1175" i="2"/>
  <c r="K46" i="8"/>
  <c r="K47" i="8"/>
  <c r="K357" i="8"/>
  <c r="K149" i="8"/>
  <c r="K464" i="8"/>
  <c r="K466" i="8"/>
  <c r="K150" i="8"/>
  <c r="K148" i="8"/>
  <c r="K42" i="8"/>
  <c r="K43" i="8"/>
  <c r="K463" i="8"/>
  <c r="K44" i="8"/>
  <c r="K358" i="8"/>
  <c r="H607" i="9"/>
  <c r="K619" i="9"/>
  <c r="K603" i="9"/>
  <c r="K600" i="8"/>
  <c r="H598" i="8"/>
  <c r="H570" i="8"/>
  <c r="H551" i="9"/>
  <c r="K563" i="9"/>
  <c r="K605" i="8"/>
  <c r="L605" i="8" s="1"/>
  <c r="K621" i="8"/>
  <c r="L721" i="9"/>
  <c r="H560" i="9"/>
  <c r="H568" i="9"/>
  <c r="H594" i="9"/>
  <c r="Q675" i="9"/>
  <c r="Q719" i="9"/>
  <c r="H600" i="9"/>
  <c r="K608" i="9"/>
  <c r="K610" i="9"/>
  <c r="K614" i="9"/>
  <c r="H618" i="9"/>
  <c r="H626" i="9"/>
  <c r="L672" i="9"/>
  <c r="R672" i="9" s="1"/>
  <c r="L688" i="9"/>
  <c r="R688" i="9" s="1"/>
  <c r="L696" i="9"/>
  <c r="H581" i="9"/>
  <c r="H583" i="9"/>
  <c r="H595" i="9"/>
  <c r="L690" i="9"/>
  <c r="Q653" i="8"/>
  <c r="K557" i="8"/>
  <c r="K565" i="8"/>
  <c r="K573" i="8"/>
  <c r="K581" i="8"/>
  <c r="H597" i="8"/>
  <c r="L597" i="8" s="1"/>
  <c r="L669" i="8"/>
  <c r="R669" i="8" s="1"/>
  <c r="L732" i="8"/>
  <c r="H555" i="9"/>
  <c r="L681" i="9"/>
  <c r="Q697" i="9"/>
  <c r="L701" i="9"/>
  <c r="L718" i="9"/>
  <c r="L733" i="9"/>
  <c r="H563" i="9"/>
  <c r="K571" i="9"/>
  <c r="H579" i="9"/>
  <c r="Q688" i="9"/>
  <c r="L704" i="9"/>
  <c r="L716" i="9"/>
  <c r="L720" i="9"/>
  <c r="R720" i="9" s="1"/>
  <c r="L728" i="9"/>
  <c r="R728" i="9" s="1"/>
  <c r="K601" i="8"/>
  <c r="L601" i="8" s="1"/>
  <c r="L638" i="8"/>
  <c r="L725" i="8"/>
  <c r="L690" i="8"/>
  <c r="Q694" i="8"/>
  <c r="Q701" i="8"/>
  <c r="L671" i="9"/>
  <c r="R671" i="9" s="1"/>
  <c r="K546" i="8"/>
  <c r="H552" i="8"/>
  <c r="L706" i="8"/>
  <c r="H556" i="9"/>
  <c r="L656" i="9"/>
  <c r="Q679" i="9"/>
  <c r="Q687" i="9"/>
  <c r="L703" i="9"/>
  <c r="R703" i="9" s="1"/>
  <c r="Q723" i="9"/>
  <c r="L727" i="9"/>
  <c r="R727" i="9" s="1"/>
  <c r="K582" i="9"/>
  <c r="H586" i="9"/>
  <c r="Q687" i="8"/>
  <c r="L683" i="9"/>
  <c r="L706" i="9"/>
  <c r="R706" i="9" s="1"/>
  <c r="Q710" i="9"/>
  <c r="Q718" i="9"/>
  <c r="H533" i="8"/>
  <c r="L685" i="9"/>
  <c r="R685" i="9" s="1"/>
  <c r="L686" i="9"/>
  <c r="R686" i="9" s="1"/>
  <c r="Q689" i="9"/>
  <c r="H560" i="8"/>
  <c r="H590" i="8"/>
  <c r="K579" i="9"/>
  <c r="Q680" i="9"/>
  <c r="L680" i="9"/>
  <c r="K602" i="8"/>
  <c r="L674" i="8"/>
  <c r="L685" i="8"/>
  <c r="R685" i="8" s="1"/>
  <c r="Q704" i="8"/>
  <c r="L693" i="8"/>
  <c r="R693" i="8" s="1"/>
  <c r="Q712" i="9"/>
  <c r="L712" i="9"/>
  <c r="L670" i="8"/>
  <c r="Q675" i="8"/>
  <c r="L678" i="8"/>
  <c r="L689" i="8"/>
  <c r="L701" i="8"/>
  <c r="R701" i="8" s="1"/>
  <c r="L707" i="8"/>
  <c r="H605" i="8"/>
  <c r="Q672" i="8"/>
  <c r="L672" i="8"/>
  <c r="R672" i="8" s="1"/>
  <c r="Q680" i="8"/>
  <c r="L698" i="8"/>
  <c r="Q702" i="8"/>
  <c r="R702" i="8" s="1"/>
  <c r="L705" i="8"/>
  <c r="K530" i="8"/>
  <c r="K534" i="8"/>
  <c r="H536" i="8"/>
  <c r="L694" i="8"/>
  <c r="Q681" i="9"/>
  <c r="L713" i="8"/>
  <c r="R713" i="8" s="1"/>
  <c r="H616" i="9"/>
  <c r="L691" i="9"/>
  <c r="Q699" i="9"/>
  <c r="Q703" i="9"/>
  <c r="L711" i="9"/>
  <c r="R711" i="9" s="1"/>
  <c r="Q720" i="9"/>
  <c r="L724" i="9"/>
  <c r="L729" i="9"/>
  <c r="L702" i="8"/>
  <c r="K532" i="9"/>
  <c r="L651" i="9"/>
  <c r="L658" i="9"/>
  <c r="Q671" i="9"/>
  <c r="L679" i="9"/>
  <c r="R679" i="9" s="1"/>
  <c r="L689" i="9"/>
  <c r="R689" i="9" s="1"/>
  <c r="L693" i="9"/>
  <c r="R693" i="9" s="1"/>
  <c r="L694" i="9"/>
  <c r="R694" i="9" s="1"/>
  <c r="L698" i="9"/>
  <c r="R698" i="9" s="1"/>
  <c r="Q707" i="9"/>
  <c r="Q711" i="9"/>
  <c r="Q715" i="9"/>
  <c r="L719" i="9"/>
  <c r="Q728" i="9"/>
  <c r="L665" i="8"/>
  <c r="Q669" i="8"/>
  <c r="L677" i="8"/>
  <c r="R677" i="8" s="1"/>
  <c r="Q691" i="8"/>
  <c r="L714" i="8"/>
  <c r="L721" i="8"/>
  <c r="Q725" i="8"/>
  <c r="K614" i="8"/>
  <c r="H620" i="8"/>
  <c r="L620" i="8" s="1"/>
  <c r="L650" i="8"/>
  <c r="L666" i="8"/>
  <c r="Q677" i="8"/>
  <c r="L710" i="8"/>
  <c r="R710" i="8" s="1"/>
  <c r="L711" i="8"/>
  <c r="L722" i="8"/>
  <c r="R722" i="8" s="1"/>
  <c r="L729" i="8"/>
  <c r="K574" i="9"/>
  <c r="K578" i="9"/>
  <c r="L659" i="9"/>
  <c r="L699" i="9"/>
  <c r="L730" i="8"/>
  <c r="H613" i="9"/>
  <c r="H615" i="9"/>
  <c r="L674" i="9"/>
  <c r="Q678" i="9"/>
  <c r="L687" i="9"/>
  <c r="R687" i="9" s="1"/>
  <c r="L697" i="9"/>
  <c r="R697" i="9" s="1"/>
  <c r="L702" i="9"/>
  <c r="L707" i="9"/>
  <c r="R707" i="9" s="1"/>
  <c r="L714" i="9"/>
  <c r="Q727" i="9"/>
  <c r="Q731" i="9"/>
  <c r="Q715" i="8"/>
  <c r="L669" i="9"/>
  <c r="L670" i="9"/>
  <c r="L675" i="9"/>
  <c r="Q696" i="9"/>
  <c r="L709" i="9"/>
  <c r="R709" i="9" s="1"/>
  <c r="L710" i="9"/>
  <c r="L715" i="9"/>
  <c r="L722" i="9"/>
  <c r="Q726" i="9"/>
  <c r="L716" i="8"/>
  <c r="H584" i="9"/>
  <c r="K623" i="9"/>
  <c r="L650" i="9"/>
  <c r="L677" i="9"/>
  <c r="L678" i="9"/>
  <c r="R678" i="9" s="1"/>
  <c r="L682" i="9"/>
  <c r="Q686" i="9"/>
  <c r="L695" i="9"/>
  <c r="R695" i="9" s="1"/>
  <c r="L705" i="9"/>
  <c r="R705" i="9" s="1"/>
  <c r="L717" i="9"/>
  <c r="L723" i="9"/>
  <c r="L730" i="9"/>
  <c r="L715" i="8"/>
  <c r="R715" i="8" s="1"/>
  <c r="H573" i="9"/>
  <c r="K575" i="9"/>
  <c r="Q672" i="9"/>
  <c r="L673" i="9"/>
  <c r="Q691" i="9"/>
  <c r="Q695" i="9"/>
  <c r="Q704" i="9"/>
  <c r="L708" i="9"/>
  <c r="L713" i="9"/>
  <c r="R713" i="9" s="1"/>
  <c r="L725" i="9"/>
  <c r="R725" i="9" s="1"/>
  <c r="L726" i="9"/>
  <c r="R726" i="9" s="1"/>
  <c r="L731" i="9"/>
  <c r="L692" i="9"/>
  <c r="Q692" i="9"/>
  <c r="L668" i="9"/>
  <c r="Q668" i="9"/>
  <c r="Q702" i="9"/>
  <c r="Q673" i="9"/>
  <c r="L636" i="9"/>
  <c r="L684" i="9"/>
  <c r="Q684" i="9"/>
  <c r="Q694" i="9"/>
  <c r="Q670" i="9"/>
  <c r="Q683" i="9"/>
  <c r="L700" i="9"/>
  <c r="Q700" i="9"/>
  <c r="L676" i="9"/>
  <c r="Q676" i="9"/>
  <c r="Q705" i="9"/>
  <c r="Q713" i="9"/>
  <c r="Q721" i="9"/>
  <c r="Q729" i="9"/>
  <c r="Q708" i="9"/>
  <c r="Q716" i="9"/>
  <c r="Q724" i="9"/>
  <c r="Q674" i="9"/>
  <c r="Q682" i="9"/>
  <c r="Q690" i="9"/>
  <c r="Q698" i="9"/>
  <c r="Q706" i="9"/>
  <c r="Q714" i="9"/>
  <c r="Q722" i="9"/>
  <c r="Q730" i="9"/>
  <c r="Q669" i="9"/>
  <c r="Q677" i="9"/>
  <c r="Q685" i="9"/>
  <c r="Q693" i="9"/>
  <c r="Q701" i="9"/>
  <c r="Q709" i="9"/>
  <c r="Q717" i="9"/>
  <c r="Q725" i="9"/>
  <c r="Q733" i="9"/>
  <c r="H597" i="9"/>
  <c r="K598" i="9"/>
  <c r="K599" i="9"/>
  <c r="K600" i="9"/>
  <c r="H603" i="9"/>
  <c r="K555" i="9"/>
  <c r="K565" i="9"/>
  <c r="K566" i="9"/>
  <c r="K567" i="9"/>
  <c r="K568" i="9"/>
  <c r="H571" i="9"/>
  <c r="H605" i="9"/>
  <c r="K606" i="9"/>
  <c r="K607" i="9"/>
  <c r="H608" i="9"/>
  <c r="K611" i="9"/>
  <c r="K616" i="9"/>
  <c r="K618" i="9"/>
  <c r="H575" i="9"/>
  <c r="H576" i="9"/>
  <c r="H619" i="9"/>
  <c r="H552" i="9"/>
  <c r="K556" i="9"/>
  <c r="K584" i="9"/>
  <c r="K586" i="9"/>
  <c r="H623" i="9"/>
  <c r="H530" i="9"/>
  <c r="K531" i="9"/>
  <c r="H532" i="9"/>
  <c r="H557" i="9"/>
  <c r="K560" i="9"/>
  <c r="K562" i="9"/>
  <c r="K587" i="9"/>
  <c r="K592" i="9"/>
  <c r="K594" i="9"/>
  <c r="K551" i="9"/>
  <c r="H587" i="9"/>
  <c r="K626" i="9"/>
  <c r="K554" i="9"/>
  <c r="H567" i="9"/>
  <c r="K570" i="9"/>
  <c r="H578" i="9"/>
  <c r="H589" i="9"/>
  <c r="K590" i="9"/>
  <c r="K591" i="9"/>
  <c r="K595" i="9"/>
  <c r="H599" i="9"/>
  <c r="K602" i="9"/>
  <c r="H610" i="9"/>
  <c r="H621" i="9"/>
  <c r="K622" i="9"/>
  <c r="K576" i="9"/>
  <c r="H611" i="9"/>
  <c r="H624" i="9"/>
  <c r="H554" i="9"/>
  <c r="L554" i="9" s="1"/>
  <c r="H570" i="9"/>
  <c r="K583" i="9"/>
  <c r="H591" i="9"/>
  <c r="H592" i="9"/>
  <c r="H602" i="9"/>
  <c r="H562" i="9"/>
  <c r="K615" i="9"/>
  <c r="H565" i="9"/>
  <c r="K624" i="9"/>
  <c r="K557" i="9"/>
  <c r="K564" i="9"/>
  <c r="H564" i="9"/>
  <c r="K572" i="9"/>
  <c r="H572" i="9"/>
  <c r="K588" i="9"/>
  <c r="H588" i="9"/>
  <c r="K596" i="9"/>
  <c r="H596" i="9"/>
  <c r="K604" i="9"/>
  <c r="H604" i="9"/>
  <c r="K612" i="9"/>
  <c r="H612" i="9"/>
  <c r="K620" i="9"/>
  <c r="H620" i="9"/>
  <c r="K553" i="9"/>
  <c r="H553" i="9"/>
  <c r="K580" i="9"/>
  <c r="H580" i="9"/>
  <c r="K569" i="9"/>
  <c r="H569" i="9"/>
  <c r="K577" i="9"/>
  <c r="H577" i="9"/>
  <c r="K585" i="9"/>
  <c r="H585" i="9"/>
  <c r="K593" i="9"/>
  <c r="H593" i="9"/>
  <c r="K601" i="9"/>
  <c r="H601" i="9"/>
  <c r="K609" i="9"/>
  <c r="H609" i="9"/>
  <c r="K617" i="9"/>
  <c r="H617" i="9"/>
  <c r="K625" i="9"/>
  <c r="H625" i="9"/>
  <c r="K558" i="9"/>
  <c r="H558" i="9"/>
  <c r="K552" i="9"/>
  <c r="K573" i="9"/>
  <c r="K581" i="9"/>
  <c r="K605" i="9"/>
  <c r="K613" i="9"/>
  <c r="K530" i="9"/>
  <c r="K589" i="9"/>
  <c r="K597" i="9"/>
  <c r="K621" i="9"/>
  <c r="H566" i="9"/>
  <c r="H574" i="9"/>
  <c r="H582" i="9"/>
  <c r="H590" i="9"/>
  <c r="H598" i="9"/>
  <c r="H606" i="9"/>
  <c r="H614" i="9"/>
  <c r="H622" i="9"/>
  <c r="S146" i="9"/>
  <c r="S154" i="9"/>
  <c r="S162" i="9"/>
  <c r="S170" i="9"/>
  <c r="S178" i="9"/>
  <c r="S194" i="9"/>
  <c r="S202" i="9"/>
  <c r="S62" i="9"/>
  <c r="S86" i="9"/>
  <c r="Q678" i="8"/>
  <c r="R678" i="8" s="1"/>
  <c r="L684" i="8"/>
  <c r="Q684" i="8"/>
  <c r="Q660" i="8"/>
  <c r="L668" i="8"/>
  <c r="Q665" i="8"/>
  <c r="Q670" i="8"/>
  <c r="L676" i="8"/>
  <c r="Q676" i="8"/>
  <c r="L652" i="8"/>
  <c r="Q686" i="8"/>
  <c r="Q689" i="8"/>
  <c r="Q697" i="8"/>
  <c r="Q705" i="8"/>
  <c r="Q713" i="8"/>
  <c r="Q721" i="8"/>
  <c r="Q729" i="8"/>
  <c r="Q708" i="8"/>
  <c r="Q716" i="8"/>
  <c r="Q724" i="8"/>
  <c r="Q674" i="8"/>
  <c r="Q698" i="8"/>
  <c r="Q706" i="8"/>
  <c r="Q714" i="8"/>
  <c r="R714" i="8" s="1"/>
  <c r="Q722" i="8"/>
  <c r="Q730" i="8"/>
  <c r="H610" i="8"/>
  <c r="H544" i="8"/>
  <c r="H582" i="8"/>
  <c r="H549" i="8"/>
  <c r="H574" i="8"/>
  <c r="L574" i="8" s="1"/>
  <c r="K584" i="8"/>
  <c r="H546" i="8"/>
  <c r="H566" i="8"/>
  <c r="K592" i="8"/>
  <c r="H616" i="8"/>
  <c r="H617" i="8"/>
  <c r="L617" i="8" s="1"/>
  <c r="H621" i="8"/>
  <c r="L621" i="8" s="1"/>
  <c r="K570" i="8"/>
  <c r="H578" i="8"/>
  <c r="L578" i="8" s="1"/>
  <c r="H586" i="8"/>
  <c r="H608" i="8"/>
  <c r="H609" i="8"/>
  <c r="L609" i="8" s="1"/>
  <c r="K624" i="8"/>
  <c r="H625" i="8"/>
  <c r="K549" i="8"/>
  <c r="K554" i="8"/>
  <c r="H562" i="8"/>
  <c r="H588" i="8"/>
  <c r="H593" i="8"/>
  <c r="L593" i="8" s="1"/>
  <c r="H600" i="8"/>
  <c r="L600" i="8" s="1"/>
  <c r="K606" i="8"/>
  <c r="H530" i="8"/>
  <c r="L530" i="8" s="1"/>
  <c r="H573" i="8"/>
  <c r="L573" i="8" s="1"/>
  <c r="K533" i="8"/>
  <c r="H554" i="8"/>
  <c r="K563" i="8"/>
  <c r="K566" i="8"/>
  <c r="K578" i="8"/>
  <c r="H581" i="8"/>
  <c r="K589" i="8"/>
  <c r="K609" i="8"/>
  <c r="H613" i="8"/>
  <c r="L613" i="8" s="1"/>
  <c r="K622" i="8"/>
  <c r="K574" i="8"/>
  <c r="H594" i="8"/>
  <c r="K616" i="8"/>
  <c r="L616" i="8" s="1"/>
  <c r="H626" i="8"/>
  <c r="K628" i="8"/>
  <c r="H592" i="8"/>
  <c r="L592" i="8" s="1"/>
  <c r="H584" i="8"/>
  <c r="K598" i="8"/>
  <c r="L598" i="8" s="1"/>
  <c r="H602" i="8"/>
  <c r="L602" i="8" s="1"/>
  <c r="H618" i="8"/>
  <c r="L618" i="8" s="1"/>
  <c r="K536" i="8"/>
  <c r="K544" i="8"/>
  <c r="K552" i="8"/>
  <c r="K560" i="8"/>
  <c r="K576" i="8"/>
  <c r="K610" i="8"/>
  <c r="K618" i="8"/>
  <c r="K626" i="8"/>
  <c r="H595" i="8"/>
  <c r="L595" i="8" s="1"/>
  <c r="K595" i="8"/>
  <c r="K579" i="8"/>
  <c r="L579" i="8" s="1"/>
  <c r="H571" i="8"/>
  <c r="K571" i="8"/>
  <c r="L571" i="8" s="1"/>
  <c r="H606" i="8"/>
  <c r="H614" i="8"/>
  <c r="L614" i="8" s="1"/>
  <c r="H622" i="8"/>
  <c r="H603" i="8"/>
  <c r="L603" i="8" s="1"/>
  <c r="K603" i="8"/>
  <c r="H587" i="8"/>
  <c r="L587" i="8" s="1"/>
  <c r="K587" i="8"/>
  <c r="H563" i="8"/>
  <c r="K586" i="8"/>
  <c r="K590" i="8"/>
  <c r="L590" i="8" s="1"/>
  <c r="K594" i="8"/>
  <c r="K582" i="8"/>
  <c r="H611" i="8"/>
  <c r="L611" i="8" s="1"/>
  <c r="K611" i="8"/>
  <c r="K615" i="8"/>
  <c r="H619" i="8"/>
  <c r="L619" i="8" s="1"/>
  <c r="K619" i="8"/>
  <c r="H627" i="8"/>
  <c r="K627" i="8"/>
  <c r="K562" i="8"/>
  <c r="S515" i="8"/>
  <c r="N954" i="2"/>
  <c r="N977" i="2"/>
  <c r="N1014" i="2"/>
  <c r="N1037" i="2"/>
  <c r="L607" i="9"/>
  <c r="L603" i="9"/>
  <c r="L619" i="9"/>
  <c r="L570" i="8"/>
  <c r="R721" i="9"/>
  <c r="R704" i="9"/>
  <c r="R733" i="9"/>
  <c r="S733" i="9"/>
  <c r="T733" i="9"/>
  <c r="L581" i="9"/>
  <c r="R675" i="9"/>
  <c r="R669" i="9"/>
  <c r="L613" i="9"/>
  <c r="L573" i="9"/>
  <c r="R681" i="9"/>
  <c r="L563" i="9"/>
  <c r="L605" i="9"/>
  <c r="L594" i="9"/>
  <c r="L626" i="9"/>
  <c r="L568" i="9"/>
  <c r="L578" i="9"/>
  <c r="L623" i="9"/>
  <c r="L598" i="9"/>
  <c r="L582" i="8"/>
  <c r="R723" i="9"/>
  <c r="R696" i="9"/>
  <c r="L611" i="9"/>
  <c r="R719" i="9"/>
  <c r="L566" i="9"/>
  <c r="L575" i="9"/>
  <c r="R677" i="9"/>
  <c r="L599" i="9"/>
  <c r="L574" i="9"/>
  <c r="R712" i="9"/>
  <c r="R699" i="9"/>
  <c r="L610" i="9"/>
  <c r="R683" i="9"/>
  <c r="L584" i="9"/>
  <c r="R730" i="9"/>
  <c r="L595" i="9"/>
  <c r="R722" i="9"/>
  <c r="L590" i="9"/>
  <c r="L608" i="9"/>
  <c r="R717" i="9"/>
  <c r="R716" i="9"/>
  <c r="R691" i="9"/>
  <c r="L606" i="9"/>
  <c r="R708" i="9"/>
  <c r="L565" i="8"/>
  <c r="R670" i="8"/>
  <c r="L600" i="9"/>
  <c r="R701" i="9"/>
  <c r="R718" i="9"/>
  <c r="L625" i="8"/>
  <c r="R710" i="9"/>
  <c r="R714" i="9"/>
  <c r="L582" i="9"/>
  <c r="L624" i="9"/>
  <c r="L583" i="9"/>
  <c r="L616" i="9"/>
  <c r="L567" i="9"/>
  <c r="R702" i="9"/>
  <c r="L618" i="9"/>
  <c r="R731" i="9"/>
  <c r="R680" i="9"/>
  <c r="R694" i="8"/>
  <c r="L624" i="8"/>
  <c r="L589" i="8"/>
  <c r="L614" i="9"/>
  <c r="L586" i="9"/>
  <c r="R690" i="9"/>
  <c r="L615" i="9"/>
  <c r="L581" i="8"/>
  <c r="L571" i="9"/>
  <c r="R674" i="9"/>
  <c r="R670" i="9"/>
  <c r="R729" i="9"/>
  <c r="L579" i="9"/>
  <c r="R673" i="9"/>
  <c r="L608" i="8"/>
  <c r="L622" i="8"/>
  <c r="R715" i="9"/>
  <c r="L622" i="9"/>
  <c r="L610" i="8"/>
  <c r="L576" i="9"/>
  <c r="L584" i="8"/>
  <c r="R724" i="9"/>
  <c r="R682" i="9"/>
  <c r="L621" i="9"/>
  <c r="R674" i="8"/>
  <c r="R676" i="9"/>
  <c r="L586" i="8"/>
  <c r="L606" i="8"/>
  <c r="L626" i="8"/>
  <c r="L594" i="8"/>
  <c r="L589" i="9"/>
  <c r="L617" i="9"/>
  <c r="L592" i="9"/>
  <c r="L591" i="9"/>
  <c r="L563" i="8"/>
  <c r="L566" i="8"/>
  <c r="L593" i="9"/>
  <c r="L596" i="9"/>
  <c r="L597" i="9"/>
  <c r="R700" i="9"/>
  <c r="R684" i="9"/>
  <c r="R692" i="9"/>
  <c r="R668" i="9"/>
  <c r="L602" i="9"/>
  <c r="L580" i="9"/>
  <c r="L620" i="9"/>
  <c r="L588" i="9"/>
  <c r="L587" i="9"/>
  <c r="L585" i="9"/>
  <c r="L612" i="9"/>
  <c r="L572" i="9"/>
  <c r="L565" i="9"/>
  <c r="L570" i="9"/>
  <c r="L601" i="9"/>
  <c r="L609" i="9"/>
  <c r="L604" i="9"/>
  <c r="L564" i="9"/>
  <c r="L625" i="9"/>
  <c r="L569" i="9"/>
  <c r="L577" i="9"/>
  <c r="L627" i="8"/>
  <c r="R2322" i="2"/>
  <c r="BC2318" i="2"/>
  <c r="P2318" i="2"/>
  <c r="BC2316" i="2"/>
  <c r="P2316" i="2"/>
  <c r="BF1604" i="2"/>
  <c r="BF1609" i="2"/>
  <c r="BE1604" i="2"/>
  <c r="BE1609" i="2"/>
  <c r="BD1604" i="2"/>
  <c r="BD1609" i="2"/>
  <c r="BC1604" i="2"/>
  <c r="BC1609" i="2"/>
  <c r="AY1604" i="2"/>
  <c r="AY1609" i="2"/>
  <c r="AV1604" i="2"/>
  <c r="AV1609" i="2"/>
  <c r="Z1604" i="2"/>
  <c r="Z1609" i="2"/>
  <c r="Y1604" i="2"/>
  <c r="Y1609" i="2"/>
  <c r="X1604" i="2"/>
  <c r="X1609" i="2"/>
  <c r="W1604" i="2"/>
  <c r="W1609" i="2"/>
  <c r="V1604" i="2"/>
  <c r="V1609" i="2"/>
  <c r="U1604" i="2"/>
  <c r="U1609" i="2"/>
  <c r="T1604" i="2"/>
  <c r="T1609" i="2"/>
  <c r="S1604" i="2"/>
  <c r="S1609" i="2"/>
  <c r="R1604" i="2"/>
  <c r="R1609" i="2"/>
  <c r="Q1604" i="2"/>
  <c r="Q1609" i="2"/>
  <c r="P1604" i="2"/>
  <c r="P1609" i="2"/>
  <c r="N1604" i="2"/>
  <c r="N1609" i="2"/>
  <c r="D4" i="9"/>
  <c r="B4" i="9"/>
  <c r="C4" i="9"/>
  <c r="L4" i="9" s="1"/>
  <c r="E4" i="9"/>
  <c r="F4" i="9"/>
  <c r="M2540" i="2"/>
  <c r="M2539" i="2"/>
  <c r="M2538" i="2"/>
  <c r="M2537" i="2"/>
  <c r="M2536" i="2"/>
  <c r="M2535" i="2"/>
  <c r="M2534" i="2"/>
  <c r="BO2533" i="2"/>
  <c r="BM2533" i="2"/>
  <c r="BL2533" i="2"/>
  <c r="BK2533" i="2"/>
  <c r="BJ2533" i="2"/>
  <c r="BI2533" i="2"/>
  <c r="BH2533" i="2"/>
  <c r="BG2533" i="2"/>
  <c r="BF2533" i="2"/>
  <c r="BE2533" i="2"/>
  <c r="BD2533" i="2"/>
  <c r="BC2533" i="2"/>
  <c r="BB2533" i="2"/>
  <c r="BA2533" i="2"/>
  <c r="AZ2533" i="2"/>
  <c r="AY2533" i="2"/>
  <c r="AX2533" i="2"/>
  <c r="AW2533" i="2"/>
  <c r="AV2533" i="2"/>
  <c r="AU2533" i="2"/>
  <c r="AT2533" i="2"/>
  <c r="AS2533" i="2"/>
  <c r="AR2533" i="2"/>
  <c r="AQ2533" i="2"/>
  <c r="AP2533" i="2"/>
  <c r="AO2533" i="2"/>
  <c r="AN2533" i="2"/>
  <c r="AM2533" i="2"/>
  <c r="AL2533" i="2"/>
  <c r="AK2533" i="2"/>
  <c r="AJ2533" i="2"/>
  <c r="AI2533" i="2"/>
  <c r="AH2533" i="2"/>
  <c r="AG2533" i="2"/>
  <c r="AF2533" i="2"/>
  <c r="AE2533" i="2"/>
  <c r="AD2533" i="2"/>
  <c r="AC2533" i="2"/>
  <c r="AB2533" i="2"/>
  <c r="AA2533" i="2"/>
  <c r="Z2533" i="2"/>
  <c r="Y2533" i="2"/>
  <c r="X2533" i="2"/>
  <c r="W2533" i="2"/>
  <c r="V2533" i="2"/>
  <c r="U2533" i="2"/>
  <c r="T2533" i="2"/>
  <c r="S2533" i="2"/>
  <c r="R2533" i="2"/>
  <c r="Q2533" i="2"/>
  <c r="P2533" i="2"/>
  <c r="O2533" i="2"/>
  <c r="N2533" i="2"/>
  <c r="L2533" i="2"/>
  <c r="K2533" i="2"/>
  <c r="J2533" i="2"/>
  <c r="I2533" i="2"/>
  <c r="H2533" i="2"/>
  <c r="G2533" i="2"/>
  <c r="E2533" i="2"/>
  <c r="D2533" i="2"/>
  <c r="C2533" i="2"/>
  <c r="B2533" i="2"/>
  <c r="A2533" i="2"/>
  <c r="M2532" i="2"/>
  <c r="M2533" i="2"/>
  <c r="M2531" i="2"/>
  <c r="M2530" i="2"/>
  <c r="M2529" i="2"/>
  <c r="M2528" i="2"/>
  <c r="M2527" i="2"/>
  <c r="M2526" i="2"/>
  <c r="M2525" i="2"/>
  <c r="M2524" i="2"/>
  <c r="M2523" i="2"/>
  <c r="M2522" i="2"/>
  <c r="BO2521" i="2"/>
  <c r="BM2521" i="2"/>
  <c r="BL2521" i="2"/>
  <c r="BK2521" i="2"/>
  <c r="BJ2521" i="2"/>
  <c r="BI2521" i="2"/>
  <c r="BH2521" i="2"/>
  <c r="BG2521" i="2"/>
  <c r="BF2521" i="2"/>
  <c r="BE2521" i="2"/>
  <c r="BD2521" i="2"/>
  <c r="BC2521" i="2"/>
  <c r="BB2521" i="2"/>
  <c r="BA2521" i="2"/>
  <c r="AZ2521" i="2"/>
  <c r="AY2521" i="2"/>
  <c r="AX2521" i="2"/>
  <c r="AW2521" i="2"/>
  <c r="AV2521" i="2"/>
  <c r="AU2521" i="2"/>
  <c r="AT2521" i="2"/>
  <c r="AS2521" i="2"/>
  <c r="AR2521" i="2"/>
  <c r="AQ2521" i="2"/>
  <c r="AP2521" i="2"/>
  <c r="AO2521" i="2"/>
  <c r="AN2521" i="2"/>
  <c r="AM2521" i="2"/>
  <c r="AL2521" i="2"/>
  <c r="AK2521" i="2"/>
  <c r="AJ2521" i="2"/>
  <c r="AI2521" i="2"/>
  <c r="AH2521" i="2"/>
  <c r="AG2521" i="2"/>
  <c r="AF2521" i="2"/>
  <c r="AE2521" i="2"/>
  <c r="AD2521" i="2"/>
  <c r="AC2521" i="2"/>
  <c r="AB2521" i="2"/>
  <c r="AA2521" i="2"/>
  <c r="Z2521" i="2"/>
  <c r="Y2521" i="2"/>
  <c r="X2521" i="2"/>
  <c r="W2521" i="2"/>
  <c r="V2521" i="2"/>
  <c r="U2521" i="2"/>
  <c r="T2521" i="2"/>
  <c r="S2521" i="2"/>
  <c r="R2521" i="2"/>
  <c r="Q2521" i="2"/>
  <c r="P2521" i="2"/>
  <c r="O2521" i="2"/>
  <c r="N2521" i="2"/>
  <c r="L2521" i="2"/>
  <c r="K2521" i="2"/>
  <c r="J2521" i="2"/>
  <c r="I2521" i="2"/>
  <c r="H2521" i="2"/>
  <c r="G2521" i="2"/>
  <c r="E2521" i="2"/>
  <c r="D2521" i="2"/>
  <c r="C2521" i="2"/>
  <c r="B2521" i="2"/>
  <c r="A2521" i="2"/>
  <c r="M2520" i="2"/>
  <c r="M2521" i="2"/>
  <c r="M2519" i="2"/>
  <c r="M2518" i="2"/>
  <c r="M2517" i="2"/>
  <c r="M2516" i="2"/>
  <c r="M2515" i="2"/>
  <c r="M2514" i="2"/>
  <c r="M2513" i="2"/>
  <c r="M2512" i="2"/>
  <c r="M2511" i="2"/>
  <c r="M2510" i="2"/>
  <c r="BO2509" i="2"/>
  <c r="BM2509" i="2"/>
  <c r="BL2509" i="2"/>
  <c r="BK2509" i="2"/>
  <c r="BJ2509" i="2"/>
  <c r="BI2509" i="2"/>
  <c r="BH2509" i="2"/>
  <c r="BG2509" i="2"/>
  <c r="BF2509" i="2"/>
  <c r="BE2509" i="2"/>
  <c r="BD2509" i="2"/>
  <c r="BC2509" i="2"/>
  <c r="BB2509" i="2"/>
  <c r="BA2509" i="2"/>
  <c r="AZ2509" i="2"/>
  <c r="AY2509" i="2"/>
  <c r="AX2509" i="2"/>
  <c r="AW2509" i="2"/>
  <c r="AV2509" i="2"/>
  <c r="AU2509" i="2"/>
  <c r="AT2509" i="2"/>
  <c r="AS2509" i="2"/>
  <c r="AR2509" i="2"/>
  <c r="AQ2509" i="2"/>
  <c r="AP2509" i="2"/>
  <c r="AO2509" i="2"/>
  <c r="AN2509" i="2"/>
  <c r="AM2509" i="2"/>
  <c r="AL2509" i="2"/>
  <c r="AK2509" i="2"/>
  <c r="AJ2509" i="2"/>
  <c r="AI2509" i="2"/>
  <c r="AH2509" i="2"/>
  <c r="AG2509" i="2"/>
  <c r="AF2509" i="2"/>
  <c r="AE2509" i="2"/>
  <c r="AD2509" i="2"/>
  <c r="AC2509" i="2"/>
  <c r="AB2509" i="2"/>
  <c r="AA2509" i="2"/>
  <c r="Z2509" i="2"/>
  <c r="Y2509" i="2"/>
  <c r="X2509" i="2"/>
  <c r="W2509" i="2"/>
  <c r="V2509" i="2"/>
  <c r="U2509" i="2"/>
  <c r="T2509" i="2"/>
  <c r="S2509" i="2"/>
  <c r="R2509" i="2"/>
  <c r="Q2509" i="2"/>
  <c r="P2509" i="2"/>
  <c r="O2509" i="2"/>
  <c r="N2509" i="2"/>
  <c r="L2509" i="2"/>
  <c r="K2509" i="2"/>
  <c r="J2509" i="2"/>
  <c r="I2509" i="2"/>
  <c r="H2509" i="2"/>
  <c r="G2509" i="2"/>
  <c r="E2509" i="2"/>
  <c r="D2509" i="2"/>
  <c r="C2509" i="2"/>
  <c r="B2509" i="2"/>
  <c r="A2509" i="2"/>
  <c r="M2508" i="2"/>
  <c r="M2509" i="2"/>
  <c r="M2507" i="2"/>
  <c r="M2506" i="2"/>
  <c r="M2505" i="2"/>
  <c r="M2504" i="2"/>
  <c r="M2503" i="2"/>
  <c r="M2502" i="2"/>
  <c r="M2501" i="2"/>
  <c r="M2500" i="2"/>
  <c r="M2499" i="2"/>
  <c r="M2498" i="2"/>
  <c r="BO2497" i="2"/>
  <c r="BM2497" i="2"/>
  <c r="BL2497" i="2"/>
  <c r="BK2497" i="2"/>
  <c r="BJ2497" i="2"/>
  <c r="BI2497" i="2"/>
  <c r="BH2497" i="2"/>
  <c r="BG2497" i="2"/>
  <c r="BF2497" i="2"/>
  <c r="BE2497" i="2"/>
  <c r="BD2497" i="2"/>
  <c r="BC2497" i="2"/>
  <c r="BB2497" i="2"/>
  <c r="BA2497" i="2"/>
  <c r="AZ2497" i="2"/>
  <c r="AY2497" i="2"/>
  <c r="AX2497" i="2"/>
  <c r="AW2497" i="2"/>
  <c r="AV2497" i="2"/>
  <c r="AU2497" i="2"/>
  <c r="AT2497" i="2"/>
  <c r="AS2497" i="2"/>
  <c r="AR2497" i="2"/>
  <c r="AQ2497" i="2"/>
  <c r="AP2497" i="2"/>
  <c r="AO2497" i="2"/>
  <c r="AN2497" i="2"/>
  <c r="AM2497" i="2"/>
  <c r="AL2497" i="2"/>
  <c r="AK2497" i="2"/>
  <c r="AJ2497" i="2"/>
  <c r="AI2497" i="2"/>
  <c r="AH2497" i="2"/>
  <c r="AG2497" i="2"/>
  <c r="AF2497" i="2"/>
  <c r="AE2497" i="2"/>
  <c r="AD2497" i="2"/>
  <c r="AC2497" i="2"/>
  <c r="AB2497" i="2"/>
  <c r="AA2497" i="2"/>
  <c r="Z2497" i="2"/>
  <c r="Y2497" i="2"/>
  <c r="X2497" i="2"/>
  <c r="W2497" i="2"/>
  <c r="V2497" i="2"/>
  <c r="U2497" i="2"/>
  <c r="T2497" i="2"/>
  <c r="S2497" i="2"/>
  <c r="R2497" i="2"/>
  <c r="Q2497" i="2"/>
  <c r="P2497" i="2"/>
  <c r="O2497" i="2"/>
  <c r="N2497" i="2"/>
  <c r="L2497" i="2"/>
  <c r="K2497" i="2"/>
  <c r="J2497" i="2"/>
  <c r="I2497" i="2"/>
  <c r="H2497" i="2"/>
  <c r="G2497" i="2"/>
  <c r="E2497" i="2"/>
  <c r="D2497" i="2"/>
  <c r="C2497" i="2"/>
  <c r="B2497" i="2"/>
  <c r="A2497" i="2"/>
  <c r="M2496" i="2"/>
  <c r="M2497" i="2"/>
  <c r="M2495" i="2"/>
  <c r="M2494" i="2"/>
  <c r="M2493" i="2"/>
  <c r="M2492" i="2"/>
  <c r="M2491" i="2"/>
  <c r="M2490" i="2"/>
  <c r="M2489" i="2"/>
  <c r="M2488" i="2"/>
  <c r="M2487" i="2"/>
  <c r="M2486" i="2"/>
  <c r="BO2485" i="2"/>
  <c r="BM2485" i="2"/>
  <c r="BL2485" i="2"/>
  <c r="BK2485" i="2"/>
  <c r="BJ2485" i="2"/>
  <c r="BI2485" i="2"/>
  <c r="BH2485" i="2"/>
  <c r="BG2485" i="2"/>
  <c r="BF2485" i="2"/>
  <c r="BE2485" i="2"/>
  <c r="BD2485" i="2"/>
  <c r="BC2485" i="2"/>
  <c r="BB2485" i="2"/>
  <c r="BA2485" i="2"/>
  <c r="AZ2485" i="2"/>
  <c r="AY2485" i="2"/>
  <c r="AX2485" i="2"/>
  <c r="AW2485" i="2"/>
  <c r="AV2485" i="2"/>
  <c r="AU2485" i="2"/>
  <c r="AT2485" i="2"/>
  <c r="AS2485" i="2"/>
  <c r="AR2485" i="2"/>
  <c r="AQ2485" i="2"/>
  <c r="AP2485" i="2"/>
  <c r="AO2485" i="2"/>
  <c r="AN2485" i="2"/>
  <c r="AM2485" i="2"/>
  <c r="AL2485" i="2"/>
  <c r="AK2485" i="2"/>
  <c r="AJ2485" i="2"/>
  <c r="AI2485" i="2"/>
  <c r="AH2485" i="2"/>
  <c r="AG2485" i="2"/>
  <c r="AF2485" i="2"/>
  <c r="AE2485" i="2"/>
  <c r="AD2485" i="2"/>
  <c r="AC2485" i="2"/>
  <c r="AB2485" i="2"/>
  <c r="AA2485" i="2"/>
  <c r="Z2485" i="2"/>
  <c r="Y2485" i="2"/>
  <c r="X2485" i="2"/>
  <c r="W2485" i="2"/>
  <c r="V2485" i="2"/>
  <c r="U2485" i="2"/>
  <c r="T2485" i="2"/>
  <c r="S2485" i="2"/>
  <c r="R2485" i="2"/>
  <c r="Q2485" i="2"/>
  <c r="P2485" i="2"/>
  <c r="O2485" i="2"/>
  <c r="N2485" i="2"/>
  <c r="L2485" i="2"/>
  <c r="K2485" i="2"/>
  <c r="J2485" i="2"/>
  <c r="I2485" i="2"/>
  <c r="H2485" i="2"/>
  <c r="G2485" i="2"/>
  <c r="E2485" i="2"/>
  <c r="D2485" i="2"/>
  <c r="C2485" i="2"/>
  <c r="B2485" i="2"/>
  <c r="A2485" i="2"/>
  <c r="M2484" i="2"/>
  <c r="M2485" i="2"/>
  <c r="M2483" i="2"/>
  <c r="M2482" i="2"/>
  <c r="M2481" i="2"/>
  <c r="M2480" i="2"/>
  <c r="M2479" i="2"/>
  <c r="M2478" i="2"/>
  <c r="M2477" i="2"/>
  <c r="M2476" i="2"/>
  <c r="M2475" i="2"/>
  <c r="M2474" i="2"/>
  <c r="BO2473" i="2"/>
  <c r="BM2473" i="2"/>
  <c r="BL2473" i="2"/>
  <c r="BK2473" i="2"/>
  <c r="BJ2473" i="2"/>
  <c r="BI2473" i="2"/>
  <c r="BH2473" i="2"/>
  <c r="BG2473" i="2"/>
  <c r="BF2473" i="2"/>
  <c r="BE2473" i="2"/>
  <c r="BD2473" i="2"/>
  <c r="BC2473" i="2"/>
  <c r="BB2473" i="2"/>
  <c r="BA2473" i="2"/>
  <c r="AZ2473" i="2"/>
  <c r="AY2473" i="2"/>
  <c r="AX2473" i="2"/>
  <c r="AW2473" i="2"/>
  <c r="AV2473" i="2"/>
  <c r="AU2473" i="2"/>
  <c r="AT2473" i="2"/>
  <c r="AS2473" i="2"/>
  <c r="AR2473" i="2"/>
  <c r="AQ2473" i="2"/>
  <c r="AP2473" i="2"/>
  <c r="AO2473" i="2"/>
  <c r="AN2473" i="2"/>
  <c r="AM2473" i="2"/>
  <c r="AL2473" i="2"/>
  <c r="AK2473" i="2"/>
  <c r="AJ2473" i="2"/>
  <c r="AI2473" i="2"/>
  <c r="AH2473" i="2"/>
  <c r="AG2473" i="2"/>
  <c r="AF2473" i="2"/>
  <c r="AE2473" i="2"/>
  <c r="AD2473" i="2"/>
  <c r="AC2473" i="2"/>
  <c r="AB2473" i="2"/>
  <c r="AA2473" i="2"/>
  <c r="Z2473" i="2"/>
  <c r="Y2473" i="2"/>
  <c r="X2473" i="2"/>
  <c r="W2473" i="2"/>
  <c r="V2473" i="2"/>
  <c r="U2473" i="2"/>
  <c r="T2473" i="2"/>
  <c r="S2473" i="2"/>
  <c r="R2473" i="2"/>
  <c r="Q2473" i="2"/>
  <c r="P2473" i="2"/>
  <c r="O2473" i="2"/>
  <c r="N2473" i="2"/>
  <c r="L2473" i="2"/>
  <c r="K2473" i="2"/>
  <c r="J2473" i="2"/>
  <c r="I2473" i="2"/>
  <c r="H2473" i="2"/>
  <c r="G2473" i="2"/>
  <c r="E2473" i="2"/>
  <c r="D2473" i="2"/>
  <c r="C2473" i="2"/>
  <c r="B2473" i="2"/>
  <c r="A2473" i="2"/>
  <c r="M2472" i="2"/>
  <c r="M2473" i="2"/>
  <c r="M2471" i="2"/>
  <c r="M2470" i="2"/>
  <c r="M2469" i="2"/>
  <c r="M2468" i="2"/>
  <c r="M2467" i="2"/>
  <c r="M2466" i="2"/>
  <c r="M2465" i="2"/>
  <c r="M2464" i="2"/>
  <c r="M2463" i="2"/>
  <c r="M2462" i="2"/>
  <c r="BO2461" i="2"/>
  <c r="BM2461" i="2"/>
  <c r="BL2461" i="2"/>
  <c r="BK2461" i="2"/>
  <c r="BJ2461" i="2"/>
  <c r="BI2461" i="2"/>
  <c r="BH2461" i="2"/>
  <c r="BG2461" i="2"/>
  <c r="BF2461" i="2"/>
  <c r="BE2461" i="2"/>
  <c r="BD2461" i="2"/>
  <c r="BC2461" i="2"/>
  <c r="BB2461" i="2"/>
  <c r="BA2461" i="2"/>
  <c r="AZ2461" i="2"/>
  <c r="AY2461" i="2"/>
  <c r="AX2461" i="2"/>
  <c r="AW2461" i="2"/>
  <c r="AV2461" i="2"/>
  <c r="AU2461" i="2"/>
  <c r="AT2461" i="2"/>
  <c r="AS2461" i="2"/>
  <c r="AR2461" i="2"/>
  <c r="AQ2461" i="2"/>
  <c r="AP2461" i="2"/>
  <c r="AO2461" i="2"/>
  <c r="AN2461" i="2"/>
  <c r="AM2461" i="2"/>
  <c r="AL2461" i="2"/>
  <c r="AK2461" i="2"/>
  <c r="AJ2461" i="2"/>
  <c r="AI2461" i="2"/>
  <c r="AH2461" i="2"/>
  <c r="AG2461" i="2"/>
  <c r="AF2461" i="2"/>
  <c r="AE2461" i="2"/>
  <c r="AD2461" i="2"/>
  <c r="AC2461" i="2"/>
  <c r="AB2461" i="2"/>
  <c r="AA2461" i="2"/>
  <c r="Z2461" i="2"/>
  <c r="Y2461" i="2"/>
  <c r="X2461" i="2"/>
  <c r="W2461" i="2"/>
  <c r="V2461" i="2"/>
  <c r="U2461" i="2"/>
  <c r="T2461" i="2"/>
  <c r="S2461" i="2"/>
  <c r="R2461" i="2"/>
  <c r="Q2461" i="2"/>
  <c r="P2461" i="2"/>
  <c r="O2461" i="2"/>
  <c r="N2461" i="2"/>
  <c r="L2461" i="2"/>
  <c r="K2461" i="2"/>
  <c r="J2461" i="2"/>
  <c r="I2461" i="2"/>
  <c r="H2461" i="2"/>
  <c r="G2461" i="2"/>
  <c r="E2461" i="2"/>
  <c r="D2461" i="2"/>
  <c r="C2461" i="2"/>
  <c r="B2461" i="2"/>
  <c r="A2461" i="2"/>
  <c r="M2460" i="2"/>
  <c r="M2461" i="2"/>
  <c r="M2459" i="2"/>
  <c r="M2458" i="2"/>
  <c r="M2457" i="2"/>
  <c r="M2456" i="2"/>
  <c r="M2455" i="2"/>
  <c r="M2454" i="2"/>
  <c r="M2453" i="2"/>
  <c r="M2452" i="2"/>
  <c r="M2451" i="2"/>
  <c r="M2450" i="2"/>
  <c r="BO2449" i="2"/>
  <c r="BM2449" i="2"/>
  <c r="BL2449" i="2"/>
  <c r="BK2449" i="2"/>
  <c r="BJ2449" i="2"/>
  <c r="BI2449" i="2"/>
  <c r="BH2449" i="2"/>
  <c r="BG2449" i="2"/>
  <c r="BF2449" i="2"/>
  <c r="BE2449" i="2"/>
  <c r="BD2449" i="2"/>
  <c r="BC2449" i="2"/>
  <c r="BB2449" i="2"/>
  <c r="BA2449" i="2"/>
  <c r="AZ2449" i="2"/>
  <c r="AY2449" i="2"/>
  <c r="AX2449" i="2"/>
  <c r="AW2449" i="2"/>
  <c r="AV2449" i="2"/>
  <c r="AU2449" i="2"/>
  <c r="AT2449" i="2"/>
  <c r="AS2449" i="2"/>
  <c r="AR2449" i="2"/>
  <c r="AQ2449" i="2"/>
  <c r="AP2449" i="2"/>
  <c r="AO2449" i="2"/>
  <c r="AN2449" i="2"/>
  <c r="AM2449" i="2"/>
  <c r="AL2449" i="2"/>
  <c r="AK2449" i="2"/>
  <c r="AJ2449" i="2"/>
  <c r="AI2449" i="2"/>
  <c r="AH2449" i="2"/>
  <c r="AG2449" i="2"/>
  <c r="AF2449" i="2"/>
  <c r="AE2449" i="2"/>
  <c r="AD2449" i="2"/>
  <c r="AC2449" i="2"/>
  <c r="AB2449" i="2"/>
  <c r="AA2449" i="2"/>
  <c r="Z2449" i="2"/>
  <c r="Y2449" i="2"/>
  <c r="X2449" i="2"/>
  <c r="W2449" i="2"/>
  <c r="V2449" i="2"/>
  <c r="U2449" i="2"/>
  <c r="T2449" i="2"/>
  <c r="S2449" i="2"/>
  <c r="R2449" i="2"/>
  <c r="Q2449" i="2"/>
  <c r="P2449" i="2"/>
  <c r="O2449" i="2"/>
  <c r="N2449" i="2"/>
  <c r="L2449" i="2"/>
  <c r="K2449" i="2"/>
  <c r="J2449" i="2"/>
  <c r="I2449" i="2"/>
  <c r="H2449" i="2"/>
  <c r="G2449" i="2"/>
  <c r="E2449" i="2"/>
  <c r="D2449" i="2"/>
  <c r="C2449" i="2"/>
  <c r="B2449" i="2"/>
  <c r="A2449" i="2"/>
  <c r="M2448" i="2"/>
  <c r="M2449" i="2"/>
  <c r="M2447" i="2"/>
  <c r="M2446" i="2"/>
  <c r="M2445" i="2"/>
  <c r="BO2442" i="2"/>
  <c r="BM2442" i="2"/>
  <c r="BL2442" i="2"/>
  <c r="BK2442" i="2"/>
  <c r="BJ2442" i="2"/>
  <c r="BI2442" i="2"/>
  <c r="BH2442" i="2"/>
  <c r="BG2442" i="2"/>
  <c r="BF2442" i="2"/>
  <c r="BE2442" i="2"/>
  <c r="BD2442" i="2"/>
  <c r="BC2442" i="2"/>
  <c r="BB2442" i="2"/>
  <c r="BA2442" i="2"/>
  <c r="AZ2442" i="2"/>
  <c r="AY2442" i="2"/>
  <c r="AX2442" i="2"/>
  <c r="AW2442" i="2"/>
  <c r="AV2442" i="2"/>
  <c r="AU2442" i="2"/>
  <c r="AT2442" i="2"/>
  <c r="AS2442" i="2"/>
  <c r="AR2442" i="2"/>
  <c r="AQ2442" i="2"/>
  <c r="AP2442" i="2"/>
  <c r="AO2442" i="2"/>
  <c r="AN2442" i="2"/>
  <c r="AM2442" i="2"/>
  <c r="AL2442" i="2"/>
  <c r="AK2442" i="2"/>
  <c r="AJ2442" i="2"/>
  <c r="AI2442" i="2"/>
  <c r="AH2442" i="2"/>
  <c r="AG2442" i="2"/>
  <c r="AF2442" i="2"/>
  <c r="AE2442" i="2"/>
  <c r="AD2442" i="2"/>
  <c r="AC2442" i="2"/>
  <c r="AB2442" i="2"/>
  <c r="AA2442" i="2"/>
  <c r="Z2442" i="2"/>
  <c r="Y2442" i="2"/>
  <c r="X2442" i="2"/>
  <c r="W2442" i="2"/>
  <c r="V2442" i="2"/>
  <c r="U2442" i="2"/>
  <c r="T2442" i="2"/>
  <c r="S2442" i="2"/>
  <c r="R2442" i="2"/>
  <c r="Q2442" i="2"/>
  <c r="P2442" i="2"/>
  <c r="O2442" i="2"/>
  <c r="N2442" i="2"/>
  <c r="M2442" i="2"/>
  <c r="L2442" i="2"/>
  <c r="K2442" i="2"/>
  <c r="J2442" i="2"/>
  <c r="I2442" i="2"/>
  <c r="H2442" i="2"/>
  <c r="G2442" i="2"/>
  <c r="E2442" i="2"/>
  <c r="D2442" i="2"/>
  <c r="C2442" i="2"/>
  <c r="B2442" i="2"/>
  <c r="A2442" i="2"/>
  <c r="BO2434" i="2"/>
  <c r="BM2434" i="2"/>
  <c r="BL2434" i="2"/>
  <c r="BK2434" i="2"/>
  <c r="BJ2434" i="2"/>
  <c r="BI2434" i="2"/>
  <c r="BH2434" i="2"/>
  <c r="BG2434" i="2"/>
  <c r="BF2434" i="2"/>
  <c r="BE2434" i="2"/>
  <c r="BD2434" i="2"/>
  <c r="BC2434" i="2"/>
  <c r="BB2434" i="2"/>
  <c r="BA2434" i="2"/>
  <c r="AZ2434" i="2"/>
  <c r="AY2434" i="2"/>
  <c r="AX2434" i="2"/>
  <c r="AW2434" i="2"/>
  <c r="AV2434" i="2"/>
  <c r="AU2434" i="2"/>
  <c r="AT2434" i="2"/>
  <c r="AS2434" i="2"/>
  <c r="AR2434" i="2"/>
  <c r="AQ2434" i="2"/>
  <c r="AP2434" i="2"/>
  <c r="AO2434" i="2"/>
  <c r="AN2434" i="2"/>
  <c r="AM2434" i="2"/>
  <c r="AL2434" i="2"/>
  <c r="AK2434" i="2"/>
  <c r="AJ2434" i="2"/>
  <c r="AI2434" i="2"/>
  <c r="AH2434" i="2"/>
  <c r="AG2434" i="2"/>
  <c r="AF2434" i="2"/>
  <c r="AE2434" i="2"/>
  <c r="AD2434" i="2"/>
  <c r="AC2434" i="2"/>
  <c r="AB2434" i="2"/>
  <c r="AA2434" i="2"/>
  <c r="Z2434" i="2"/>
  <c r="Y2434" i="2"/>
  <c r="X2434" i="2"/>
  <c r="W2434" i="2"/>
  <c r="V2434" i="2"/>
  <c r="U2434" i="2"/>
  <c r="T2434" i="2"/>
  <c r="S2434" i="2"/>
  <c r="R2434" i="2"/>
  <c r="Q2434" i="2"/>
  <c r="P2434" i="2"/>
  <c r="O2434" i="2"/>
  <c r="N2434" i="2"/>
  <c r="M2434" i="2"/>
  <c r="L2434" i="2"/>
  <c r="K2434" i="2"/>
  <c r="J2434" i="2"/>
  <c r="I2434" i="2"/>
  <c r="H2434" i="2"/>
  <c r="G2434" i="2"/>
  <c r="E2434" i="2"/>
  <c r="D2434" i="2"/>
  <c r="C2434" i="2"/>
  <c r="B2434" i="2"/>
  <c r="A2434" i="2"/>
  <c r="BO2427" i="2"/>
  <c r="BM2427" i="2"/>
  <c r="BL2427" i="2"/>
  <c r="BK2427" i="2"/>
  <c r="BJ2427" i="2"/>
  <c r="BI2427" i="2"/>
  <c r="BH2427" i="2"/>
  <c r="BG2427" i="2"/>
  <c r="BF2427" i="2"/>
  <c r="BE2427" i="2"/>
  <c r="BD2427" i="2"/>
  <c r="BC2427" i="2"/>
  <c r="BB2427" i="2"/>
  <c r="BA2427" i="2"/>
  <c r="AZ2427" i="2"/>
  <c r="AY2427" i="2"/>
  <c r="AX2427" i="2"/>
  <c r="AW2427" i="2"/>
  <c r="AV2427" i="2"/>
  <c r="AU2427" i="2"/>
  <c r="AT2427" i="2"/>
  <c r="AS2427" i="2"/>
  <c r="AR2427" i="2"/>
  <c r="AQ2427" i="2"/>
  <c r="AP2427" i="2"/>
  <c r="AO2427" i="2"/>
  <c r="AN2427" i="2"/>
  <c r="AM2427" i="2"/>
  <c r="AL2427" i="2"/>
  <c r="AK2427" i="2"/>
  <c r="AJ2427" i="2"/>
  <c r="AI2427" i="2"/>
  <c r="AH2427" i="2"/>
  <c r="AG2427" i="2"/>
  <c r="AF2427" i="2"/>
  <c r="AE2427" i="2"/>
  <c r="AD2427" i="2"/>
  <c r="AC2427" i="2"/>
  <c r="AB2427" i="2"/>
  <c r="AA2427" i="2"/>
  <c r="Z2427" i="2"/>
  <c r="Y2427" i="2"/>
  <c r="X2427" i="2"/>
  <c r="W2427" i="2"/>
  <c r="V2427" i="2"/>
  <c r="U2427" i="2"/>
  <c r="T2427" i="2"/>
  <c r="S2427" i="2"/>
  <c r="R2427" i="2"/>
  <c r="Q2427" i="2"/>
  <c r="P2427" i="2"/>
  <c r="O2427" i="2"/>
  <c r="N2427" i="2"/>
  <c r="M2427" i="2"/>
  <c r="L2427" i="2"/>
  <c r="K2427" i="2"/>
  <c r="J2427" i="2"/>
  <c r="I2427" i="2"/>
  <c r="H2427" i="2"/>
  <c r="G2427" i="2"/>
  <c r="E2427" i="2"/>
  <c r="D2427" i="2"/>
  <c r="C2427" i="2"/>
  <c r="B2427" i="2"/>
  <c r="A2427" i="2"/>
  <c r="BO2419" i="2"/>
  <c r="BM2419" i="2"/>
  <c r="BL2419" i="2"/>
  <c r="BK2419" i="2"/>
  <c r="BJ2419" i="2"/>
  <c r="BI2419" i="2"/>
  <c r="BH2419" i="2"/>
  <c r="BG2419" i="2"/>
  <c r="BF2419" i="2"/>
  <c r="BE2419" i="2"/>
  <c r="BD2419" i="2"/>
  <c r="BC2419" i="2"/>
  <c r="BB2419" i="2"/>
  <c r="BA2419" i="2"/>
  <c r="AZ2419" i="2"/>
  <c r="AY2419" i="2"/>
  <c r="AX2419" i="2"/>
  <c r="AW2419" i="2"/>
  <c r="AV2419" i="2"/>
  <c r="AU2419" i="2"/>
  <c r="AT2419" i="2"/>
  <c r="AS2419" i="2"/>
  <c r="AR2419" i="2"/>
  <c r="AQ2419" i="2"/>
  <c r="AP2419" i="2"/>
  <c r="AO2419" i="2"/>
  <c r="AN2419" i="2"/>
  <c r="AM2419" i="2"/>
  <c r="AL2419" i="2"/>
  <c r="AK2419" i="2"/>
  <c r="AJ2419" i="2"/>
  <c r="AI2419" i="2"/>
  <c r="AH2419" i="2"/>
  <c r="AG2419" i="2"/>
  <c r="AF2419" i="2"/>
  <c r="AE2419" i="2"/>
  <c r="AD2419" i="2"/>
  <c r="AC2419" i="2"/>
  <c r="AB2419" i="2"/>
  <c r="AA2419" i="2"/>
  <c r="Z2419" i="2"/>
  <c r="Y2419" i="2"/>
  <c r="X2419" i="2"/>
  <c r="W2419" i="2"/>
  <c r="V2419" i="2"/>
  <c r="U2419" i="2"/>
  <c r="T2419" i="2"/>
  <c r="S2419" i="2"/>
  <c r="R2419" i="2"/>
  <c r="Q2419" i="2"/>
  <c r="P2419" i="2"/>
  <c r="O2419" i="2"/>
  <c r="N2419" i="2"/>
  <c r="M2419" i="2"/>
  <c r="L2419" i="2"/>
  <c r="K2419" i="2"/>
  <c r="J2419" i="2"/>
  <c r="I2419" i="2"/>
  <c r="H2419" i="2"/>
  <c r="G2419" i="2"/>
  <c r="E2419" i="2"/>
  <c r="D2419" i="2"/>
  <c r="C2419" i="2"/>
  <c r="B2419" i="2"/>
  <c r="A2419" i="2"/>
  <c r="BO2412" i="2"/>
  <c r="BM2412" i="2"/>
  <c r="BL2412" i="2"/>
  <c r="BK2412" i="2"/>
  <c r="BJ2412" i="2"/>
  <c r="BI2412" i="2"/>
  <c r="BH2412" i="2"/>
  <c r="BG2412" i="2"/>
  <c r="BF2412" i="2"/>
  <c r="BE2412" i="2"/>
  <c r="BD2412" i="2"/>
  <c r="BC2412" i="2"/>
  <c r="BB2412" i="2"/>
  <c r="BA2412" i="2"/>
  <c r="AZ2412" i="2"/>
  <c r="AY2412" i="2"/>
  <c r="AX2412" i="2"/>
  <c r="AW2412" i="2"/>
  <c r="AV2412" i="2"/>
  <c r="AU2412" i="2"/>
  <c r="AT2412" i="2"/>
  <c r="AS2412" i="2"/>
  <c r="AR2412" i="2"/>
  <c r="AQ2412" i="2"/>
  <c r="AP2412" i="2"/>
  <c r="AO2412" i="2"/>
  <c r="AN2412" i="2"/>
  <c r="AM2412" i="2"/>
  <c r="AL2412" i="2"/>
  <c r="AK2412" i="2"/>
  <c r="AJ2412" i="2"/>
  <c r="AI2412" i="2"/>
  <c r="AH2412" i="2"/>
  <c r="AG2412" i="2"/>
  <c r="AF2412" i="2"/>
  <c r="AE2412" i="2"/>
  <c r="AD2412" i="2"/>
  <c r="AC2412" i="2"/>
  <c r="AB2412" i="2"/>
  <c r="AA2412" i="2"/>
  <c r="Z2412" i="2"/>
  <c r="Y2412" i="2"/>
  <c r="X2412" i="2"/>
  <c r="W2412" i="2"/>
  <c r="V2412" i="2"/>
  <c r="U2412" i="2"/>
  <c r="T2412" i="2"/>
  <c r="S2412" i="2"/>
  <c r="R2412" i="2"/>
  <c r="Q2412" i="2"/>
  <c r="P2412" i="2"/>
  <c r="O2412" i="2"/>
  <c r="N2412" i="2"/>
  <c r="M2412" i="2"/>
  <c r="L2412" i="2"/>
  <c r="K2412" i="2"/>
  <c r="J2412" i="2"/>
  <c r="I2412" i="2"/>
  <c r="H2412" i="2"/>
  <c r="G2412" i="2"/>
  <c r="E2412" i="2"/>
  <c r="D2412" i="2"/>
  <c r="C2412" i="2"/>
  <c r="B2412" i="2"/>
  <c r="A2412" i="2"/>
  <c r="BO2404" i="2"/>
  <c r="BM2404" i="2"/>
  <c r="BL2404" i="2"/>
  <c r="BK2404" i="2"/>
  <c r="BJ2404" i="2"/>
  <c r="BI2404" i="2"/>
  <c r="BH2404" i="2"/>
  <c r="BG2404" i="2"/>
  <c r="BF2404" i="2"/>
  <c r="BE2404" i="2"/>
  <c r="BD2404" i="2"/>
  <c r="BC2404" i="2"/>
  <c r="BB2404" i="2"/>
  <c r="BA2404" i="2"/>
  <c r="AZ2404" i="2"/>
  <c r="AY2404" i="2"/>
  <c r="AX2404" i="2"/>
  <c r="AW2404" i="2"/>
  <c r="AV2404" i="2"/>
  <c r="AU2404" i="2"/>
  <c r="AT2404" i="2"/>
  <c r="AS2404" i="2"/>
  <c r="AR2404" i="2"/>
  <c r="AQ2404" i="2"/>
  <c r="AP2404" i="2"/>
  <c r="AO2404" i="2"/>
  <c r="AN2404" i="2"/>
  <c r="AM2404" i="2"/>
  <c r="AL2404" i="2"/>
  <c r="AK2404" i="2"/>
  <c r="AJ2404" i="2"/>
  <c r="AI2404" i="2"/>
  <c r="AH2404" i="2"/>
  <c r="AG2404" i="2"/>
  <c r="AF2404" i="2"/>
  <c r="AE2404" i="2"/>
  <c r="AD2404" i="2"/>
  <c r="AC2404" i="2"/>
  <c r="AB2404" i="2"/>
  <c r="AA2404" i="2"/>
  <c r="Z2404" i="2"/>
  <c r="Y2404" i="2"/>
  <c r="X2404" i="2"/>
  <c r="W2404" i="2"/>
  <c r="V2404" i="2"/>
  <c r="U2404" i="2"/>
  <c r="T2404" i="2"/>
  <c r="S2404" i="2"/>
  <c r="R2404" i="2"/>
  <c r="Q2404" i="2"/>
  <c r="P2404" i="2"/>
  <c r="O2404" i="2"/>
  <c r="N2404" i="2"/>
  <c r="M2404" i="2"/>
  <c r="L2404" i="2"/>
  <c r="K2404" i="2"/>
  <c r="J2404" i="2"/>
  <c r="I2404" i="2"/>
  <c r="H2404" i="2"/>
  <c r="G2404" i="2"/>
  <c r="E2404" i="2"/>
  <c r="D2404" i="2"/>
  <c r="C2404" i="2"/>
  <c r="B2404" i="2"/>
  <c r="A2404" i="2"/>
  <c r="BO2397" i="2"/>
  <c r="BM2397" i="2"/>
  <c r="BL2397" i="2"/>
  <c r="BK2397" i="2"/>
  <c r="BJ2397" i="2"/>
  <c r="BI2397" i="2"/>
  <c r="BH2397" i="2"/>
  <c r="BG2397" i="2"/>
  <c r="BF2397" i="2"/>
  <c r="BE2397" i="2"/>
  <c r="BD2397" i="2"/>
  <c r="BC2397" i="2"/>
  <c r="BB2397" i="2"/>
  <c r="BA2397" i="2"/>
  <c r="AZ2397" i="2"/>
  <c r="AY2397" i="2"/>
  <c r="AX2397" i="2"/>
  <c r="AW2397" i="2"/>
  <c r="AV2397" i="2"/>
  <c r="AU2397" i="2"/>
  <c r="AT2397" i="2"/>
  <c r="AS2397" i="2"/>
  <c r="AR2397" i="2"/>
  <c r="AQ2397" i="2"/>
  <c r="AP2397" i="2"/>
  <c r="AO2397" i="2"/>
  <c r="AN2397" i="2"/>
  <c r="AM2397" i="2"/>
  <c r="AL2397" i="2"/>
  <c r="AK2397" i="2"/>
  <c r="AJ2397" i="2"/>
  <c r="AI2397" i="2"/>
  <c r="AH2397" i="2"/>
  <c r="AG2397" i="2"/>
  <c r="AF2397" i="2"/>
  <c r="AE2397" i="2"/>
  <c r="AD2397" i="2"/>
  <c r="AC2397" i="2"/>
  <c r="AB2397" i="2"/>
  <c r="AA2397" i="2"/>
  <c r="Z2397" i="2"/>
  <c r="Y2397" i="2"/>
  <c r="X2397" i="2"/>
  <c r="W2397" i="2"/>
  <c r="V2397" i="2"/>
  <c r="U2397" i="2"/>
  <c r="T2397" i="2"/>
  <c r="S2397" i="2"/>
  <c r="R2397" i="2"/>
  <c r="Q2397" i="2"/>
  <c r="P2397" i="2"/>
  <c r="O2397" i="2"/>
  <c r="N2397" i="2"/>
  <c r="M2397" i="2"/>
  <c r="L2397" i="2"/>
  <c r="K2397" i="2"/>
  <c r="J2397" i="2"/>
  <c r="I2397" i="2"/>
  <c r="H2397" i="2"/>
  <c r="G2397" i="2"/>
  <c r="E2397" i="2"/>
  <c r="D2397" i="2"/>
  <c r="C2397" i="2"/>
  <c r="B2397" i="2"/>
  <c r="A2397" i="2"/>
  <c r="BO2389" i="2"/>
  <c r="BM2389" i="2"/>
  <c r="BL2389" i="2"/>
  <c r="BK2389" i="2"/>
  <c r="BJ2389" i="2"/>
  <c r="BI2389" i="2"/>
  <c r="BH2389" i="2"/>
  <c r="BG2389" i="2"/>
  <c r="BF2389" i="2"/>
  <c r="BE2389" i="2"/>
  <c r="BD2389" i="2"/>
  <c r="BC2389" i="2"/>
  <c r="BB2389" i="2"/>
  <c r="BA2389" i="2"/>
  <c r="AZ2389" i="2"/>
  <c r="AY2389" i="2"/>
  <c r="AX2389" i="2"/>
  <c r="AW2389" i="2"/>
  <c r="AV2389" i="2"/>
  <c r="AU2389" i="2"/>
  <c r="AT2389" i="2"/>
  <c r="AS2389" i="2"/>
  <c r="AR2389" i="2"/>
  <c r="AQ2389" i="2"/>
  <c r="AP2389" i="2"/>
  <c r="AO2389" i="2"/>
  <c r="AN2389" i="2"/>
  <c r="AM2389" i="2"/>
  <c r="AL2389" i="2"/>
  <c r="AK2389" i="2"/>
  <c r="AJ2389" i="2"/>
  <c r="AI2389" i="2"/>
  <c r="AH2389" i="2"/>
  <c r="AG2389" i="2"/>
  <c r="AF2389" i="2"/>
  <c r="AE2389" i="2"/>
  <c r="AD2389" i="2"/>
  <c r="AC2389" i="2"/>
  <c r="AB2389" i="2"/>
  <c r="AA2389" i="2"/>
  <c r="O2389" i="2"/>
  <c r="N2389" i="2"/>
  <c r="M2389" i="2"/>
  <c r="L2389" i="2"/>
  <c r="K2389" i="2"/>
  <c r="J2389" i="2"/>
  <c r="I2389" i="2"/>
  <c r="H2389" i="2"/>
  <c r="G2389" i="2"/>
  <c r="E2389" i="2"/>
  <c r="D2389" i="2"/>
  <c r="C2389" i="2"/>
  <c r="B2389" i="2"/>
  <c r="A2389" i="2"/>
  <c r="BO2352" i="2"/>
  <c r="BM2352" i="2"/>
  <c r="BL2352" i="2"/>
  <c r="BK2352" i="2"/>
  <c r="BJ2352" i="2"/>
  <c r="BI2352" i="2"/>
  <c r="BH2352" i="2"/>
  <c r="BG2352" i="2"/>
  <c r="BF2352" i="2"/>
  <c r="BE2352" i="2"/>
  <c r="BD2352" i="2"/>
  <c r="BC2352" i="2"/>
  <c r="BB2352" i="2"/>
  <c r="BA2352" i="2"/>
  <c r="AZ2352" i="2"/>
  <c r="AY2352" i="2"/>
  <c r="AX2352" i="2"/>
  <c r="AW2352" i="2"/>
  <c r="AV2352" i="2"/>
  <c r="AU2352" i="2"/>
  <c r="AT2352" i="2"/>
  <c r="AS2352" i="2"/>
  <c r="AR2352" i="2"/>
  <c r="AQ2352" i="2"/>
  <c r="AP2352" i="2"/>
  <c r="AO2352" i="2"/>
  <c r="AN2352" i="2"/>
  <c r="AM2352" i="2"/>
  <c r="AL2352" i="2"/>
  <c r="AK2352" i="2"/>
  <c r="AJ2352" i="2"/>
  <c r="AI2352" i="2"/>
  <c r="AH2352" i="2"/>
  <c r="AG2352" i="2"/>
  <c r="AF2352" i="2"/>
  <c r="AE2352" i="2"/>
  <c r="AD2352" i="2"/>
  <c r="AC2352" i="2"/>
  <c r="AB2352" i="2"/>
  <c r="AA2352" i="2"/>
  <c r="Z2352" i="2"/>
  <c r="Y2352" i="2"/>
  <c r="X2352" i="2"/>
  <c r="W2352" i="2"/>
  <c r="V2352" i="2"/>
  <c r="U2352" i="2"/>
  <c r="T2352" i="2"/>
  <c r="S2352" i="2"/>
  <c r="R2352" i="2"/>
  <c r="Q2352" i="2"/>
  <c r="P2352" i="2"/>
  <c r="O2352" i="2"/>
  <c r="N2352" i="2"/>
  <c r="M2352" i="2"/>
  <c r="L2352" i="2"/>
  <c r="K2352" i="2"/>
  <c r="J2352" i="2"/>
  <c r="I2352" i="2"/>
  <c r="H2352" i="2"/>
  <c r="G2352" i="2"/>
  <c r="E2352" i="2"/>
  <c r="D2352" i="2"/>
  <c r="B2352" i="2"/>
  <c r="A2352" i="2"/>
  <c r="BF2349" i="2"/>
  <c r="BE2349" i="2"/>
  <c r="BD2349" i="2"/>
  <c r="BC2349" i="2"/>
  <c r="AY2349" i="2"/>
  <c r="AV2349" i="2"/>
  <c r="Z2349" i="2"/>
  <c r="Y2349" i="2"/>
  <c r="X2349" i="2"/>
  <c r="W2349" i="2"/>
  <c r="V2349" i="2"/>
  <c r="U2349" i="2"/>
  <c r="T2349" i="2"/>
  <c r="S2349" i="2"/>
  <c r="R2349" i="2"/>
  <c r="Q2349" i="2"/>
  <c r="P2349" i="2"/>
  <c r="N2349" i="2"/>
  <c r="BF2345" i="2"/>
  <c r="BE2345" i="2"/>
  <c r="BD2345" i="2"/>
  <c r="BC2345" i="2"/>
  <c r="AY2345" i="2"/>
  <c r="AV2345" i="2"/>
  <c r="Z2345" i="2"/>
  <c r="Y2345" i="2"/>
  <c r="X2345" i="2"/>
  <c r="W2345" i="2"/>
  <c r="V2345" i="2"/>
  <c r="U2345" i="2"/>
  <c r="T2345" i="2"/>
  <c r="S2345" i="2"/>
  <c r="R2345" i="2"/>
  <c r="Q2345" i="2"/>
  <c r="P2345" i="2"/>
  <c r="N2345" i="2"/>
  <c r="BO2344" i="2"/>
  <c r="BM2344" i="2"/>
  <c r="BL2344" i="2"/>
  <c r="BK2344" i="2"/>
  <c r="BJ2344" i="2"/>
  <c r="BI2344" i="2"/>
  <c r="BH2344" i="2"/>
  <c r="BG2344" i="2"/>
  <c r="BF2344" i="2"/>
  <c r="BE2344" i="2"/>
  <c r="BD2344" i="2"/>
  <c r="BC2344" i="2"/>
  <c r="BB2344" i="2"/>
  <c r="BA2344" i="2"/>
  <c r="AZ2344" i="2"/>
  <c r="AY2344" i="2"/>
  <c r="AX2344" i="2"/>
  <c r="AW2344" i="2"/>
  <c r="AV2344" i="2"/>
  <c r="AU2344" i="2"/>
  <c r="AT2344" i="2"/>
  <c r="AS2344" i="2"/>
  <c r="AR2344" i="2"/>
  <c r="AQ2344" i="2"/>
  <c r="AP2344" i="2"/>
  <c r="AO2344" i="2"/>
  <c r="AN2344" i="2"/>
  <c r="AM2344" i="2"/>
  <c r="AL2344" i="2"/>
  <c r="AK2344" i="2"/>
  <c r="AJ2344" i="2"/>
  <c r="AI2344" i="2"/>
  <c r="AH2344" i="2"/>
  <c r="AG2344" i="2"/>
  <c r="AF2344" i="2"/>
  <c r="AE2344" i="2"/>
  <c r="AD2344" i="2"/>
  <c r="AC2344" i="2"/>
  <c r="AB2344" i="2"/>
  <c r="AA2344" i="2"/>
  <c r="Z2344" i="2"/>
  <c r="Y2344" i="2"/>
  <c r="X2344" i="2"/>
  <c r="W2344" i="2"/>
  <c r="V2344" i="2"/>
  <c r="U2344" i="2"/>
  <c r="T2344" i="2"/>
  <c r="S2344" i="2"/>
  <c r="R2344" i="2"/>
  <c r="Q2344" i="2"/>
  <c r="P2344" i="2"/>
  <c r="O2344" i="2"/>
  <c r="N2344" i="2"/>
  <c r="M2344" i="2"/>
  <c r="L2344" i="2"/>
  <c r="K2344" i="2"/>
  <c r="J2344" i="2"/>
  <c r="I2344" i="2"/>
  <c r="H2344" i="2"/>
  <c r="G2344" i="2"/>
  <c r="E2344" i="2"/>
  <c r="D2344" i="2"/>
  <c r="B2344" i="2"/>
  <c r="A2344" i="2"/>
  <c r="BO2337" i="2"/>
  <c r="BM2337" i="2"/>
  <c r="BL2337" i="2"/>
  <c r="BK2337" i="2"/>
  <c r="BJ2337" i="2"/>
  <c r="BI2337" i="2"/>
  <c r="BH2337" i="2"/>
  <c r="BG2337" i="2"/>
  <c r="BF2337" i="2"/>
  <c r="BE2337" i="2"/>
  <c r="BD2337" i="2"/>
  <c r="BC2337" i="2"/>
  <c r="BB2337" i="2"/>
  <c r="BA2337" i="2"/>
  <c r="AZ2337" i="2"/>
  <c r="AY2337" i="2"/>
  <c r="AX2337" i="2"/>
  <c r="AW2337" i="2"/>
  <c r="AV2337" i="2"/>
  <c r="AU2337" i="2"/>
  <c r="AT2337" i="2"/>
  <c r="AS2337" i="2"/>
  <c r="AR2337" i="2"/>
  <c r="AQ2337" i="2"/>
  <c r="AP2337" i="2"/>
  <c r="AO2337" i="2"/>
  <c r="AN2337" i="2"/>
  <c r="AM2337" i="2"/>
  <c r="AL2337" i="2"/>
  <c r="AK2337" i="2"/>
  <c r="AJ2337" i="2"/>
  <c r="AI2337" i="2"/>
  <c r="AH2337" i="2"/>
  <c r="AG2337" i="2"/>
  <c r="AF2337" i="2"/>
  <c r="AE2337" i="2"/>
  <c r="AD2337" i="2"/>
  <c r="AC2337" i="2"/>
  <c r="AB2337" i="2"/>
  <c r="AA2337" i="2"/>
  <c r="Z2337" i="2"/>
  <c r="Y2337" i="2"/>
  <c r="X2337" i="2"/>
  <c r="W2337" i="2"/>
  <c r="V2337" i="2"/>
  <c r="U2337" i="2"/>
  <c r="T2337" i="2"/>
  <c r="S2337" i="2"/>
  <c r="R2337" i="2"/>
  <c r="Q2337" i="2"/>
  <c r="P2337" i="2"/>
  <c r="O2337" i="2"/>
  <c r="N2337" i="2"/>
  <c r="M2337" i="2"/>
  <c r="L2337" i="2"/>
  <c r="K2337" i="2"/>
  <c r="J2337" i="2"/>
  <c r="I2337" i="2"/>
  <c r="H2337" i="2"/>
  <c r="G2337" i="2"/>
  <c r="E2337" i="2"/>
  <c r="D2337" i="2"/>
  <c r="B2337" i="2"/>
  <c r="A2337" i="2"/>
  <c r="BF2334" i="2"/>
  <c r="BE2334" i="2"/>
  <c r="BD2334" i="2"/>
  <c r="BC2334" i="2"/>
  <c r="AY2334" i="2"/>
  <c r="AV2334" i="2"/>
  <c r="Z2334" i="2"/>
  <c r="Y2334" i="2"/>
  <c r="X2334" i="2"/>
  <c r="W2334" i="2"/>
  <c r="V2334" i="2"/>
  <c r="U2334" i="2"/>
  <c r="T2334" i="2"/>
  <c r="S2334" i="2"/>
  <c r="R2334" i="2"/>
  <c r="Q2334" i="2"/>
  <c r="P2334" i="2"/>
  <c r="N2334" i="2"/>
  <c r="BF2330" i="2"/>
  <c r="BE2330" i="2"/>
  <c r="BD2330" i="2"/>
  <c r="BC2330" i="2"/>
  <c r="AY2330" i="2"/>
  <c r="AV2330" i="2"/>
  <c r="Z2330" i="2"/>
  <c r="Y2330" i="2"/>
  <c r="X2330" i="2"/>
  <c r="W2330" i="2"/>
  <c r="V2330" i="2"/>
  <c r="U2330" i="2"/>
  <c r="T2330" i="2"/>
  <c r="S2330" i="2"/>
  <c r="R2330" i="2"/>
  <c r="Q2330" i="2"/>
  <c r="P2330" i="2"/>
  <c r="N2330" i="2"/>
  <c r="BO2329" i="2"/>
  <c r="BM2329" i="2"/>
  <c r="BL2329" i="2"/>
  <c r="BK2329" i="2"/>
  <c r="BJ2329" i="2"/>
  <c r="BI2329" i="2"/>
  <c r="BH2329" i="2"/>
  <c r="BG2329" i="2"/>
  <c r="BF2329" i="2"/>
  <c r="BE2329" i="2"/>
  <c r="BD2329" i="2"/>
  <c r="BC2329" i="2"/>
  <c r="BB2329" i="2"/>
  <c r="BA2329" i="2"/>
  <c r="AZ2329" i="2"/>
  <c r="AY2329" i="2"/>
  <c r="AX2329" i="2"/>
  <c r="AW2329" i="2"/>
  <c r="AV2329" i="2"/>
  <c r="AU2329" i="2"/>
  <c r="AT2329" i="2"/>
  <c r="AS2329" i="2"/>
  <c r="AR2329" i="2"/>
  <c r="AQ2329" i="2"/>
  <c r="AP2329" i="2"/>
  <c r="AO2329" i="2"/>
  <c r="AN2329" i="2"/>
  <c r="AM2329" i="2"/>
  <c r="AL2329" i="2"/>
  <c r="AK2329" i="2"/>
  <c r="AJ2329" i="2"/>
  <c r="AI2329" i="2"/>
  <c r="AH2329" i="2"/>
  <c r="AG2329" i="2"/>
  <c r="AF2329" i="2"/>
  <c r="AE2329" i="2"/>
  <c r="AD2329" i="2"/>
  <c r="AC2329" i="2"/>
  <c r="AB2329" i="2"/>
  <c r="AA2329" i="2"/>
  <c r="Z2329" i="2"/>
  <c r="Y2329" i="2"/>
  <c r="X2329" i="2"/>
  <c r="W2329" i="2"/>
  <c r="V2329" i="2"/>
  <c r="U2329" i="2"/>
  <c r="T2329" i="2"/>
  <c r="S2329" i="2"/>
  <c r="R2329" i="2"/>
  <c r="Q2329" i="2"/>
  <c r="P2329" i="2"/>
  <c r="O2329" i="2"/>
  <c r="N2329" i="2"/>
  <c r="M2329" i="2"/>
  <c r="L2329" i="2"/>
  <c r="K2329" i="2"/>
  <c r="J2329" i="2"/>
  <c r="I2329" i="2"/>
  <c r="H2329" i="2"/>
  <c r="G2329" i="2"/>
  <c r="E2329" i="2"/>
  <c r="D2329" i="2"/>
  <c r="B2329" i="2"/>
  <c r="A2329" i="2"/>
  <c r="BO2322" i="2"/>
  <c r="BM2322" i="2"/>
  <c r="BL2322" i="2"/>
  <c r="BK2322" i="2"/>
  <c r="BJ2322" i="2"/>
  <c r="BI2322" i="2"/>
  <c r="BH2322" i="2"/>
  <c r="BG2322" i="2"/>
  <c r="BF2322" i="2"/>
  <c r="BE2322" i="2"/>
  <c r="BD2322" i="2"/>
  <c r="BC2322" i="2"/>
  <c r="BB2322" i="2"/>
  <c r="BA2322" i="2"/>
  <c r="AZ2322" i="2"/>
  <c r="AY2322" i="2"/>
  <c r="AX2322" i="2"/>
  <c r="AW2322" i="2"/>
  <c r="AV2322" i="2"/>
  <c r="AU2322" i="2"/>
  <c r="AT2322" i="2"/>
  <c r="AS2322" i="2"/>
  <c r="AR2322" i="2"/>
  <c r="AQ2322" i="2"/>
  <c r="AP2322" i="2"/>
  <c r="AO2322" i="2"/>
  <c r="AN2322" i="2"/>
  <c r="AM2322" i="2"/>
  <c r="AL2322" i="2"/>
  <c r="AK2322" i="2"/>
  <c r="AJ2322" i="2"/>
  <c r="AI2322" i="2"/>
  <c r="AH2322" i="2"/>
  <c r="AG2322" i="2"/>
  <c r="AF2322" i="2"/>
  <c r="AE2322" i="2"/>
  <c r="AD2322" i="2"/>
  <c r="AC2322" i="2"/>
  <c r="AB2322" i="2"/>
  <c r="AA2322" i="2"/>
  <c r="Z2322" i="2"/>
  <c r="Y2322" i="2"/>
  <c r="X2322" i="2"/>
  <c r="W2322" i="2"/>
  <c r="V2322" i="2"/>
  <c r="U2322" i="2"/>
  <c r="T2322" i="2"/>
  <c r="S2322" i="2"/>
  <c r="Q2322" i="2"/>
  <c r="P2322" i="2"/>
  <c r="O2322" i="2"/>
  <c r="N2322" i="2"/>
  <c r="M2322" i="2"/>
  <c r="L2322" i="2"/>
  <c r="K2322" i="2"/>
  <c r="J2322" i="2"/>
  <c r="I2322" i="2"/>
  <c r="H2322" i="2"/>
  <c r="G2322" i="2"/>
  <c r="E2322" i="2"/>
  <c r="D2322" i="2"/>
  <c r="B2322" i="2"/>
  <c r="A2322" i="2"/>
  <c r="BF2319" i="2"/>
  <c r="BE2319" i="2"/>
  <c r="BD2319" i="2"/>
  <c r="BC2319" i="2"/>
  <c r="Z2319" i="2"/>
  <c r="Y2319" i="2"/>
  <c r="X2319" i="2"/>
  <c r="W2319" i="2"/>
  <c r="V2319" i="2"/>
  <c r="U2319" i="2"/>
  <c r="T2319" i="2"/>
  <c r="S2319" i="2"/>
  <c r="R2319" i="2"/>
  <c r="Q2319" i="2"/>
  <c r="P2319" i="2"/>
  <c r="N2319" i="2"/>
  <c r="BF2315" i="2"/>
  <c r="BE2315" i="2"/>
  <c r="BD2315" i="2"/>
  <c r="BC2315" i="2"/>
  <c r="BO2314" i="2"/>
  <c r="BM2314" i="2"/>
  <c r="BL2314" i="2"/>
  <c r="BK2314" i="2"/>
  <c r="BJ2314" i="2"/>
  <c r="BI2314" i="2"/>
  <c r="BH2314" i="2"/>
  <c r="BG2314" i="2"/>
  <c r="BF2314" i="2"/>
  <c r="BE2314" i="2"/>
  <c r="BD2314" i="2"/>
  <c r="BC2314" i="2"/>
  <c r="BB2314" i="2"/>
  <c r="BA2314" i="2"/>
  <c r="AZ2314" i="2"/>
  <c r="AY2314" i="2"/>
  <c r="AX2314" i="2"/>
  <c r="AW2314" i="2"/>
  <c r="AV2314" i="2"/>
  <c r="AU2314" i="2"/>
  <c r="AT2314" i="2"/>
  <c r="AS2314" i="2"/>
  <c r="AR2314" i="2"/>
  <c r="AQ2314" i="2"/>
  <c r="AP2314" i="2"/>
  <c r="AO2314" i="2"/>
  <c r="AN2314" i="2"/>
  <c r="AM2314" i="2"/>
  <c r="AL2314" i="2"/>
  <c r="AK2314" i="2"/>
  <c r="AJ2314" i="2"/>
  <c r="AI2314" i="2"/>
  <c r="AH2314" i="2"/>
  <c r="AG2314" i="2"/>
  <c r="AF2314" i="2"/>
  <c r="AE2314" i="2"/>
  <c r="AD2314" i="2"/>
  <c r="AC2314" i="2"/>
  <c r="AB2314" i="2"/>
  <c r="AA2314" i="2"/>
  <c r="Z2314" i="2"/>
  <c r="Y2314" i="2"/>
  <c r="X2314" i="2"/>
  <c r="W2314" i="2"/>
  <c r="V2314" i="2"/>
  <c r="U2314" i="2"/>
  <c r="T2314" i="2"/>
  <c r="S2314" i="2"/>
  <c r="R2314" i="2"/>
  <c r="Q2314" i="2"/>
  <c r="P2314" i="2"/>
  <c r="O2314" i="2"/>
  <c r="N2314" i="2"/>
  <c r="M2314" i="2"/>
  <c r="L2314" i="2"/>
  <c r="K2314" i="2"/>
  <c r="J2314" i="2"/>
  <c r="I2314" i="2"/>
  <c r="H2314" i="2"/>
  <c r="G2314" i="2"/>
  <c r="E2314" i="2"/>
  <c r="D2314" i="2"/>
  <c r="B2314" i="2"/>
  <c r="A2314" i="2"/>
  <c r="BO2307" i="2"/>
  <c r="BM2307" i="2"/>
  <c r="BL2307" i="2"/>
  <c r="BK2307" i="2"/>
  <c r="BJ2307" i="2"/>
  <c r="BI2307" i="2"/>
  <c r="BH2307" i="2"/>
  <c r="BG2307" i="2"/>
  <c r="BF2307" i="2"/>
  <c r="BE2307" i="2"/>
  <c r="BD2307" i="2"/>
  <c r="BC2307" i="2"/>
  <c r="BB2307" i="2"/>
  <c r="BA2307" i="2"/>
  <c r="AZ2307" i="2"/>
  <c r="AY2307" i="2"/>
  <c r="AX2307" i="2"/>
  <c r="AW2307" i="2"/>
  <c r="AV2307" i="2"/>
  <c r="AU2307" i="2"/>
  <c r="AT2307" i="2"/>
  <c r="AS2307" i="2"/>
  <c r="AR2307" i="2"/>
  <c r="AQ2307" i="2"/>
  <c r="AP2307" i="2"/>
  <c r="AO2307" i="2"/>
  <c r="AN2307" i="2"/>
  <c r="AM2307" i="2"/>
  <c r="AL2307" i="2"/>
  <c r="AK2307" i="2"/>
  <c r="AJ2307" i="2"/>
  <c r="AI2307" i="2"/>
  <c r="AH2307" i="2"/>
  <c r="AG2307" i="2"/>
  <c r="AF2307" i="2"/>
  <c r="AE2307" i="2"/>
  <c r="AD2307" i="2"/>
  <c r="AC2307" i="2"/>
  <c r="AB2307" i="2"/>
  <c r="AA2307" i="2"/>
  <c r="O2307" i="2"/>
  <c r="M2307" i="2"/>
  <c r="L2307" i="2"/>
  <c r="K2307" i="2"/>
  <c r="J2307" i="2"/>
  <c r="I2307" i="2"/>
  <c r="H2307" i="2"/>
  <c r="G2307" i="2"/>
  <c r="D2307" i="2"/>
  <c r="B2307" i="2"/>
  <c r="A2307" i="2"/>
  <c r="BF2304" i="2"/>
  <c r="BE2304" i="2"/>
  <c r="BD2304" i="2"/>
  <c r="BC2304" i="2"/>
  <c r="AY2304" i="2"/>
  <c r="AV2304" i="2"/>
  <c r="AY2303" i="2"/>
  <c r="AV2303" i="2"/>
  <c r="BF2301" i="2"/>
  <c r="BE2301" i="2"/>
  <c r="BD2301" i="2"/>
  <c r="BC2301" i="2"/>
  <c r="AY2301" i="2"/>
  <c r="AV2301" i="2"/>
  <c r="BF2300" i="2"/>
  <c r="BE2300" i="2"/>
  <c r="BD2300" i="2"/>
  <c r="BC2300" i="2"/>
  <c r="AY2300" i="2"/>
  <c r="AV2300" i="2"/>
  <c r="X2315" i="2"/>
  <c r="W2315" i="2"/>
  <c r="V2315" i="2"/>
  <c r="U2315" i="2"/>
  <c r="T2315" i="2"/>
  <c r="S2315" i="2"/>
  <c r="Q2315" i="2"/>
  <c r="P2315" i="2"/>
  <c r="N2315" i="2"/>
  <c r="BO2299" i="2"/>
  <c r="BM2299" i="2"/>
  <c r="BL2299" i="2"/>
  <c r="BK2299" i="2"/>
  <c r="BJ2299" i="2"/>
  <c r="BI2299" i="2"/>
  <c r="BH2299" i="2"/>
  <c r="BG2299" i="2"/>
  <c r="BF2299" i="2"/>
  <c r="BE2299" i="2"/>
  <c r="BD2299" i="2"/>
  <c r="BC2299" i="2"/>
  <c r="BB2299" i="2"/>
  <c r="BA2299" i="2"/>
  <c r="AZ2299" i="2"/>
  <c r="AY2299" i="2"/>
  <c r="AX2299" i="2"/>
  <c r="AW2299" i="2"/>
  <c r="AV2299" i="2"/>
  <c r="AU2299" i="2"/>
  <c r="AT2299" i="2"/>
  <c r="AS2299" i="2"/>
  <c r="AR2299" i="2"/>
  <c r="AQ2299" i="2"/>
  <c r="AP2299" i="2"/>
  <c r="AO2299" i="2"/>
  <c r="AN2299" i="2"/>
  <c r="AM2299" i="2"/>
  <c r="AL2299" i="2"/>
  <c r="AK2299" i="2"/>
  <c r="AJ2299" i="2"/>
  <c r="AI2299" i="2"/>
  <c r="AH2299" i="2"/>
  <c r="AG2299" i="2"/>
  <c r="AF2299" i="2"/>
  <c r="AE2299" i="2"/>
  <c r="AD2299" i="2"/>
  <c r="AC2299" i="2"/>
  <c r="AB2299" i="2"/>
  <c r="AA2299" i="2"/>
  <c r="Z2299" i="2"/>
  <c r="Y2299" i="2"/>
  <c r="X2299" i="2"/>
  <c r="W2299" i="2"/>
  <c r="V2299" i="2"/>
  <c r="U2299" i="2"/>
  <c r="T2299" i="2"/>
  <c r="S2299" i="2"/>
  <c r="R2299" i="2"/>
  <c r="Q2299" i="2"/>
  <c r="P2299" i="2"/>
  <c r="O2299" i="2"/>
  <c r="N2299" i="2"/>
  <c r="M2299" i="2"/>
  <c r="L2299" i="2"/>
  <c r="K2299" i="2"/>
  <c r="J2299" i="2"/>
  <c r="I2299" i="2"/>
  <c r="H2299" i="2"/>
  <c r="G2299" i="2"/>
  <c r="D2299" i="2"/>
  <c r="B2299" i="2"/>
  <c r="A2299" i="2"/>
  <c r="D2292" i="2"/>
  <c r="D2284" i="2"/>
  <c r="BO2262" i="2"/>
  <c r="BM2262" i="2"/>
  <c r="BL2262" i="2"/>
  <c r="BK2262" i="2"/>
  <c r="BJ2262" i="2"/>
  <c r="BI2262" i="2"/>
  <c r="BH2262" i="2"/>
  <c r="BG2262" i="2"/>
  <c r="BF2262" i="2"/>
  <c r="BE2262" i="2"/>
  <c r="BD2262" i="2"/>
  <c r="BC2262" i="2"/>
  <c r="BB2262" i="2"/>
  <c r="BA2262" i="2"/>
  <c r="AZ2262" i="2"/>
  <c r="AY2262" i="2"/>
  <c r="AX2262" i="2"/>
  <c r="AW2262" i="2"/>
  <c r="AV2262" i="2"/>
  <c r="AU2262" i="2"/>
  <c r="AT2262" i="2"/>
  <c r="AS2262" i="2"/>
  <c r="AR2262" i="2"/>
  <c r="AQ2262" i="2"/>
  <c r="AP2262" i="2"/>
  <c r="AO2262" i="2"/>
  <c r="AN2262" i="2"/>
  <c r="AM2262" i="2"/>
  <c r="AL2262" i="2"/>
  <c r="AK2262" i="2"/>
  <c r="AJ2262" i="2"/>
  <c r="AI2262" i="2"/>
  <c r="AH2262" i="2"/>
  <c r="AG2262" i="2"/>
  <c r="AF2262" i="2"/>
  <c r="AE2262" i="2"/>
  <c r="AD2262" i="2"/>
  <c r="AC2262" i="2"/>
  <c r="AB2262" i="2"/>
  <c r="AA2262" i="2"/>
  <c r="Z2262" i="2"/>
  <c r="Y2262" i="2"/>
  <c r="X2262" i="2"/>
  <c r="W2262" i="2"/>
  <c r="V2262" i="2"/>
  <c r="U2262" i="2"/>
  <c r="T2262" i="2"/>
  <c r="S2262" i="2"/>
  <c r="R2262" i="2"/>
  <c r="Q2262" i="2"/>
  <c r="P2262" i="2"/>
  <c r="O2262" i="2"/>
  <c r="N2262" i="2"/>
  <c r="M2262" i="2"/>
  <c r="L2262" i="2"/>
  <c r="K2262" i="2"/>
  <c r="J2262" i="2"/>
  <c r="I2262" i="2"/>
  <c r="H2262" i="2"/>
  <c r="G2262" i="2"/>
  <c r="E2262" i="2"/>
  <c r="D2262" i="2"/>
  <c r="B2262" i="2"/>
  <c r="A2262" i="2"/>
  <c r="BF2259" i="2"/>
  <c r="BE2259" i="2"/>
  <c r="BD2259" i="2"/>
  <c r="BC2259" i="2"/>
  <c r="AY2259" i="2"/>
  <c r="AV2259" i="2"/>
  <c r="Z2259" i="2"/>
  <c r="Y2259" i="2"/>
  <c r="X2259" i="2"/>
  <c r="W2259" i="2"/>
  <c r="V2259" i="2"/>
  <c r="U2259" i="2"/>
  <c r="T2259" i="2"/>
  <c r="S2259" i="2"/>
  <c r="R2259" i="2"/>
  <c r="Q2259" i="2"/>
  <c r="P2259" i="2"/>
  <c r="N2259" i="2"/>
  <c r="N2255" i="2"/>
  <c r="BO2254" i="2"/>
  <c r="BM2254" i="2"/>
  <c r="BL2254" i="2"/>
  <c r="O2254" i="2"/>
  <c r="N2254" i="2"/>
  <c r="M2254" i="2"/>
  <c r="L2254" i="2"/>
  <c r="K2254" i="2"/>
  <c r="J2254" i="2"/>
  <c r="I2254" i="2"/>
  <c r="H2254" i="2"/>
  <c r="G2254" i="2"/>
  <c r="E2254" i="2"/>
  <c r="D2254" i="2"/>
  <c r="B2254" i="2"/>
  <c r="A2254" i="2"/>
  <c r="BO2112" i="2"/>
  <c r="BM2112" i="2"/>
  <c r="BL2112" i="2"/>
  <c r="BK2112" i="2"/>
  <c r="BJ2112" i="2"/>
  <c r="BI2112" i="2"/>
  <c r="BH2112" i="2"/>
  <c r="BG2112" i="2"/>
  <c r="BF2112" i="2"/>
  <c r="BE2112" i="2"/>
  <c r="BD2112" i="2"/>
  <c r="BC2112" i="2"/>
  <c r="BB2112" i="2"/>
  <c r="BA2112" i="2"/>
  <c r="AZ2112" i="2"/>
  <c r="AY2112" i="2"/>
  <c r="AX2112" i="2"/>
  <c r="AW2112" i="2"/>
  <c r="AV2112" i="2"/>
  <c r="AU2112" i="2"/>
  <c r="AT2112" i="2"/>
  <c r="AS2112" i="2"/>
  <c r="AR2112" i="2"/>
  <c r="AQ2112" i="2"/>
  <c r="AP2112" i="2"/>
  <c r="AO2112" i="2"/>
  <c r="AN2112" i="2"/>
  <c r="AM2112" i="2"/>
  <c r="AL2112" i="2"/>
  <c r="AK2112" i="2"/>
  <c r="AJ2112" i="2"/>
  <c r="AI2112" i="2"/>
  <c r="AH2112" i="2"/>
  <c r="AG2112" i="2"/>
  <c r="AF2112" i="2"/>
  <c r="AE2112" i="2"/>
  <c r="AD2112" i="2"/>
  <c r="AC2112" i="2"/>
  <c r="AB2112" i="2"/>
  <c r="AA2112" i="2"/>
  <c r="Z2112" i="2"/>
  <c r="Y2112" i="2"/>
  <c r="X2112" i="2"/>
  <c r="W2112" i="2"/>
  <c r="V2112" i="2"/>
  <c r="U2112" i="2"/>
  <c r="T2112" i="2"/>
  <c r="S2112" i="2"/>
  <c r="R2112" i="2"/>
  <c r="Q2112" i="2"/>
  <c r="P2112" i="2"/>
  <c r="N2112" i="2"/>
  <c r="M2112" i="2"/>
  <c r="L2112" i="2"/>
  <c r="K2112" i="2"/>
  <c r="J2112" i="2"/>
  <c r="I2112" i="2"/>
  <c r="H2112" i="2"/>
  <c r="G2112" i="2"/>
  <c r="E2112" i="2"/>
  <c r="D2112" i="2"/>
  <c r="C2112" i="2"/>
  <c r="B2112" i="2"/>
  <c r="A2112" i="2"/>
  <c r="BO2104" i="2"/>
  <c r="BM2104" i="2"/>
  <c r="BL2104" i="2"/>
  <c r="BK2104" i="2"/>
  <c r="BJ2104" i="2"/>
  <c r="BI2104" i="2"/>
  <c r="BH2104" i="2"/>
  <c r="BG2104" i="2"/>
  <c r="BF2104" i="2"/>
  <c r="BE2104" i="2"/>
  <c r="BD2104" i="2"/>
  <c r="BC2104" i="2"/>
  <c r="BB2104" i="2"/>
  <c r="BA2104" i="2"/>
  <c r="AZ2104" i="2"/>
  <c r="AY2104" i="2"/>
  <c r="AX2104" i="2"/>
  <c r="AW2104" i="2"/>
  <c r="AV2104" i="2"/>
  <c r="AU2104" i="2"/>
  <c r="AT2104" i="2"/>
  <c r="AS2104" i="2"/>
  <c r="AR2104" i="2"/>
  <c r="AQ2104" i="2"/>
  <c r="AP2104" i="2"/>
  <c r="AO2104" i="2"/>
  <c r="AN2104" i="2"/>
  <c r="AM2104" i="2"/>
  <c r="AL2104" i="2"/>
  <c r="AK2104" i="2"/>
  <c r="AJ2104" i="2"/>
  <c r="AI2104" i="2"/>
  <c r="AH2104" i="2"/>
  <c r="AG2104" i="2"/>
  <c r="AF2104" i="2"/>
  <c r="AE2104" i="2"/>
  <c r="AD2104" i="2"/>
  <c r="AC2104" i="2"/>
  <c r="AB2104" i="2"/>
  <c r="AA2104" i="2"/>
  <c r="Z2104" i="2"/>
  <c r="Y2104" i="2"/>
  <c r="X2104" i="2"/>
  <c r="W2104" i="2"/>
  <c r="V2104" i="2"/>
  <c r="U2104" i="2"/>
  <c r="T2104" i="2"/>
  <c r="S2104" i="2"/>
  <c r="R2104" i="2"/>
  <c r="Q2104" i="2"/>
  <c r="P2104" i="2"/>
  <c r="N2104" i="2"/>
  <c r="M2104" i="2"/>
  <c r="L2104" i="2"/>
  <c r="K2104" i="2"/>
  <c r="J2104" i="2"/>
  <c r="I2104" i="2"/>
  <c r="H2104" i="2"/>
  <c r="G2104" i="2"/>
  <c r="E2104" i="2"/>
  <c r="D2104" i="2"/>
  <c r="C2104" i="2"/>
  <c r="B2104" i="2"/>
  <c r="A2104" i="2"/>
  <c r="BO2097" i="2"/>
  <c r="BM2097" i="2"/>
  <c r="BL2097" i="2"/>
  <c r="BK2097" i="2"/>
  <c r="BJ2097" i="2"/>
  <c r="BI2097" i="2"/>
  <c r="BH2097" i="2"/>
  <c r="BG2097" i="2"/>
  <c r="BF2097" i="2"/>
  <c r="BE2097" i="2"/>
  <c r="BD2097" i="2"/>
  <c r="BC2097" i="2"/>
  <c r="BB2097" i="2"/>
  <c r="BA2097" i="2"/>
  <c r="AZ2097" i="2"/>
  <c r="AY2097" i="2"/>
  <c r="AX2097" i="2"/>
  <c r="AW2097" i="2"/>
  <c r="AV2097" i="2"/>
  <c r="AU2097" i="2"/>
  <c r="AT2097" i="2"/>
  <c r="AS2097" i="2"/>
  <c r="AR2097" i="2"/>
  <c r="AQ2097" i="2"/>
  <c r="AP2097" i="2"/>
  <c r="AO2097" i="2"/>
  <c r="AN2097" i="2"/>
  <c r="AM2097" i="2"/>
  <c r="AL2097" i="2"/>
  <c r="AK2097" i="2"/>
  <c r="AJ2097" i="2"/>
  <c r="AI2097" i="2"/>
  <c r="AH2097" i="2"/>
  <c r="AG2097" i="2"/>
  <c r="AF2097" i="2"/>
  <c r="AE2097" i="2"/>
  <c r="AD2097" i="2"/>
  <c r="AC2097" i="2"/>
  <c r="AB2097" i="2"/>
  <c r="AA2097" i="2"/>
  <c r="Z2097" i="2"/>
  <c r="Y2097" i="2"/>
  <c r="X2097" i="2"/>
  <c r="W2097" i="2"/>
  <c r="V2097" i="2"/>
  <c r="U2097" i="2"/>
  <c r="T2097" i="2"/>
  <c r="S2097" i="2"/>
  <c r="R2097" i="2"/>
  <c r="Q2097" i="2"/>
  <c r="P2097" i="2"/>
  <c r="N2097" i="2"/>
  <c r="M2097" i="2"/>
  <c r="L2097" i="2"/>
  <c r="K2097" i="2"/>
  <c r="J2097" i="2"/>
  <c r="I2097" i="2"/>
  <c r="H2097" i="2"/>
  <c r="G2097" i="2"/>
  <c r="E2097" i="2"/>
  <c r="D2097" i="2"/>
  <c r="C2097" i="2"/>
  <c r="B2097" i="2"/>
  <c r="A2097" i="2"/>
  <c r="BO2089" i="2"/>
  <c r="BM2089" i="2"/>
  <c r="BL2089" i="2"/>
  <c r="BK2089" i="2"/>
  <c r="BJ2089" i="2"/>
  <c r="BI2089" i="2"/>
  <c r="BH2089" i="2"/>
  <c r="BG2089" i="2"/>
  <c r="BF2089" i="2"/>
  <c r="BE2089" i="2"/>
  <c r="BD2089" i="2"/>
  <c r="BC2089" i="2"/>
  <c r="BB2089" i="2"/>
  <c r="BA2089" i="2"/>
  <c r="AZ2089" i="2"/>
  <c r="AY2089" i="2"/>
  <c r="AX2089" i="2"/>
  <c r="AW2089" i="2"/>
  <c r="AV2089" i="2"/>
  <c r="AU2089" i="2"/>
  <c r="AT2089" i="2"/>
  <c r="AS2089" i="2"/>
  <c r="AR2089" i="2"/>
  <c r="AQ2089" i="2"/>
  <c r="AP2089" i="2"/>
  <c r="AO2089" i="2"/>
  <c r="AN2089" i="2"/>
  <c r="AM2089" i="2"/>
  <c r="AL2089" i="2"/>
  <c r="AK2089" i="2"/>
  <c r="AJ2089" i="2"/>
  <c r="AI2089" i="2"/>
  <c r="AH2089" i="2"/>
  <c r="AG2089" i="2"/>
  <c r="AF2089" i="2"/>
  <c r="AE2089" i="2"/>
  <c r="AD2089" i="2"/>
  <c r="AC2089" i="2"/>
  <c r="AB2089" i="2"/>
  <c r="AA2089" i="2"/>
  <c r="Z2089" i="2"/>
  <c r="Y2089" i="2"/>
  <c r="X2089" i="2"/>
  <c r="W2089" i="2"/>
  <c r="V2089" i="2"/>
  <c r="U2089" i="2"/>
  <c r="T2089" i="2"/>
  <c r="S2089" i="2"/>
  <c r="R2089" i="2"/>
  <c r="Q2089" i="2"/>
  <c r="P2089" i="2"/>
  <c r="N2089" i="2"/>
  <c r="M2089" i="2"/>
  <c r="L2089" i="2"/>
  <c r="K2089" i="2"/>
  <c r="J2089" i="2"/>
  <c r="I2089" i="2"/>
  <c r="H2089" i="2"/>
  <c r="G2089" i="2"/>
  <c r="E2089" i="2"/>
  <c r="D2089" i="2"/>
  <c r="C2089" i="2"/>
  <c r="B2089" i="2"/>
  <c r="A2089" i="2"/>
  <c r="BO2082" i="2"/>
  <c r="BM2082" i="2"/>
  <c r="BL2082" i="2"/>
  <c r="BK2082" i="2"/>
  <c r="BJ2082" i="2"/>
  <c r="BI2082" i="2"/>
  <c r="BH2082" i="2"/>
  <c r="BG2082" i="2"/>
  <c r="BF2082" i="2"/>
  <c r="BE2082" i="2"/>
  <c r="BD2082" i="2"/>
  <c r="BC2082" i="2"/>
  <c r="BB2082" i="2"/>
  <c r="BA2082" i="2"/>
  <c r="AZ2082" i="2"/>
  <c r="AY2082" i="2"/>
  <c r="AX2082" i="2"/>
  <c r="AW2082" i="2"/>
  <c r="AV2082" i="2"/>
  <c r="AU2082" i="2"/>
  <c r="AT2082" i="2"/>
  <c r="AS2082" i="2"/>
  <c r="AR2082" i="2"/>
  <c r="AQ2082" i="2"/>
  <c r="AP2082" i="2"/>
  <c r="AO2082" i="2"/>
  <c r="AN2082" i="2"/>
  <c r="AM2082" i="2"/>
  <c r="AL2082" i="2"/>
  <c r="AK2082" i="2"/>
  <c r="AJ2082" i="2"/>
  <c r="AI2082" i="2"/>
  <c r="AH2082" i="2"/>
  <c r="AG2082" i="2"/>
  <c r="AF2082" i="2"/>
  <c r="AE2082" i="2"/>
  <c r="AD2082" i="2"/>
  <c r="AC2082" i="2"/>
  <c r="AB2082" i="2"/>
  <c r="AA2082" i="2"/>
  <c r="Z2082" i="2"/>
  <c r="Y2082" i="2"/>
  <c r="X2082" i="2"/>
  <c r="W2082" i="2"/>
  <c r="V2082" i="2"/>
  <c r="U2082" i="2"/>
  <c r="T2082" i="2"/>
  <c r="S2082" i="2"/>
  <c r="R2082" i="2"/>
  <c r="Q2082" i="2"/>
  <c r="P2082" i="2"/>
  <c r="N2082" i="2"/>
  <c r="M2082" i="2"/>
  <c r="L2082" i="2"/>
  <c r="K2082" i="2"/>
  <c r="J2082" i="2"/>
  <c r="I2082" i="2"/>
  <c r="H2082" i="2"/>
  <c r="G2082" i="2"/>
  <c r="E2082" i="2"/>
  <c r="D2082" i="2"/>
  <c r="C2082" i="2"/>
  <c r="B2082" i="2"/>
  <c r="A2082" i="2"/>
  <c r="BO2074" i="2"/>
  <c r="BM2074" i="2"/>
  <c r="BL2074" i="2"/>
  <c r="BK2074" i="2"/>
  <c r="BJ2074" i="2"/>
  <c r="BI2074" i="2"/>
  <c r="BH2074" i="2"/>
  <c r="BG2074" i="2"/>
  <c r="BF2074" i="2"/>
  <c r="BE2074" i="2"/>
  <c r="BD2074" i="2"/>
  <c r="BC2074" i="2"/>
  <c r="BB2074" i="2"/>
  <c r="BA2074" i="2"/>
  <c r="AZ2074" i="2"/>
  <c r="AY2074" i="2"/>
  <c r="AX2074" i="2"/>
  <c r="AW2074" i="2"/>
  <c r="AV2074" i="2"/>
  <c r="AU2074" i="2"/>
  <c r="AT2074" i="2"/>
  <c r="AS2074" i="2"/>
  <c r="AR2074" i="2"/>
  <c r="AQ2074" i="2"/>
  <c r="AP2074" i="2"/>
  <c r="AO2074" i="2"/>
  <c r="AN2074" i="2"/>
  <c r="AM2074" i="2"/>
  <c r="AL2074" i="2"/>
  <c r="AK2074" i="2"/>
  <c r="AJ2074" i="2"/>
  <c r="AI2074" i="2"/>
  <c r="AH2074" i="2"/>
  <c r="AG2074" i="2"/>
  <c r="AF2074" i="2"/>
  <c r="AE2074" i="2"/>
  <c r="AD2074" i="2"/>
  <c r="AC2074" i="2"/>
  <c r="AB2074" i="2"/>
  <c r="AA2074" i="2"/>
  <c r="Z2074" i="2"/>
  <c r="Y2074" i="2"/>
  <c r="X2074" i="2"/>
  <c r="W2074" i="2"/>
  <c r="V2074" i="2"/>
  <c r="U2074" i="2"/>
  <c r="T2074" i="2"/>
  <c r="S2074" i="2"/>
  <c r="R2074" i="2"/>
  <c r="Q2074" i="2"/>
  <c r="P2074" i="2"/>
  <c r="N2074" i="2"/>
  <c r="M2074" i="2"/>
  <c r="L2074" i="2"/>
  <c r="K2074" i="2"/>
  <c r="J2074" i="2"/>
  <c r="I2074" i="2"/>
  <c r="H2074" i="2"/>
  <c r="G2074" i="2"/>
  <c r="E2074" i="2"/>
  <c r="D2074" i="2"/>
  <c r="C2074" i="2"/>
  <c r="B2074" i="2"/>
  <c r="A2074" i="2"/>
  <c r="R2068" i="2"/>
  <c r="BO2067" i="2"/>
  <c r="BM2067" i="2"/>
  <c r="BL2067" i="2"/>
  <c r="AU2067" i="2"/>
  <c r="AT2067" i="2"/>
  <c r="AS2067" i="2"/>
  <c r="AR2067" i="2"/>
  <c r="AQ2067" i="2"/>
  <c r="AP2067" i="2"/>
  <c r="AO2067" i="2"/>
  <c r="AN2067" i="2"/>
  <c r="AM2067" i="2"/>
  <c r="AL2067" i="2"/>
  <c r="AK2067" i="2"/>
  <c r="AJ2067" i="2"/>
  <c r="AI2067" i="2"/>
  <c r="AH2067" i="2"/>
  <c r="AG2067" i="2"/>
  <c r="N2067" i="2"/>
  <c r="M2067" i="2"/>
  <c r="L2067" i="2"/>
  <c r="K2067" i="2"/>
  <c r="J2067" i="2"/>
  <c r="I2067" i="2"/>
  <c r="H2067" i="2"/>
  <c r="G2067" i="2"/>
  <c r="E2067" i="2"/>
  <c r="D2067" i="2"/>
  <c r="C2067" i="2"/>
  <c r="B2067" i="2"/>
  <c r="A2067" i="2"/>
  <c r="BO2059" i="2"/>
  <c r="BM2059" i="2"/>
  <c r="BL2059" i="2"/>
  <c r="AU2059" i="2"/>
  <c r="AT2059" i="2"/>
  <c r="AS2059" i="2"/>
  <c r="AR2059" i="2"/>
  <c r="AQ2059" i="2"/>
  <c r="AP2059" i="2"/>
  <c r="AO2059" i="2"/>
  <c r="AN2059" i="2"/>
  <c r="AM2059" i="2"/>
  <c r="AL2059" i="2"/>
  <c r="AK2059" i="2"/>
  <c r="AJ2059" i="2"/>
  <c r="AI2059" i="2"/>
  <c r="AH2059" i="2"/>
  <c r="AG2059" i="2"/>
  <c r="N2059" i="2"/>
  <c r="M2059" i="2"/>
  <c r="L2059" i="2"/>
  <c r="K2059" i="2"/>
  <c r="J2059" i="2"/>
  <c r="I2059" i="2"/>
  <c r="H2059" i="2"/>
  <c r="G2059" i="2"/>
  <c r="E2059" i="2"/>
  <c r="D2059" i="2"/>
  <c r="C2059" i="2"/>
  <c r="B2059" i="2"/>
  <c r="A2059" i="2"/>
  <c r="BO2052" i="2"/>
  <c r="BM2052" i="2"/>
  <c r="BL2052" i="2"/>
  <c r="BK2052" i="2"/>
  <c r="BJ2052" i="2"/>
  <c r="BI2052" i="2"/>
  <c r="BH2052" i="2"/>
  <c r="BG2052" i="2"/>
  <c r="BF2052" i="2"/>
  <c r="BE2052" i="2"/>
  <c r="BD2052" i="2"/>
  <c r="BC2052" i="2"/>
  <c r="BB2052" i="2"/>
  <c r="BA2052" i="2"/>
  <c r="AZ2052" i="2"/>
  <c r="AY2052" i="2"/>
  <c r="AX2052" i="2"/>
  <c r="AW2052" i="2"/>
  <c r="AV2052" i="2"/>
  <c r="AU2052" i="2"/>
  <c r="AT2052" i="2"/>
  <c r="AS2052" i="2"/>
  <c r="AR2052" i="2"/>
  <c r="AQ2052" i="2"/>
  <c r="AP2052" i="2"/>
  <c r="AO2052" i="2"/>
  <c r="AN2052" i="2"/>
  <c r="AM2052" i="2"/>
  <c r="AL2052" i="2"/>
  <c r="AK2052" i="2"/>
  <c r="AJ2052" i="2"/>
  <c r="AI2052" i="2"/>
  <c r="AH2052" i="2"/>
  <c r="AG2052" i="2"/>
  <c r="AF2052" i="2"/>
  <c r="AE2052" i="2"/>
  <c r="AD2052" i="2"/>
  <c r="AC2052" i="2"/>
  <c r="AB2052" i="2"/>
  <c r="AA2052" i="2"/>
  <c r="Z2052" i="2"/>
  <c r="Y2052" i="2"/>
  <c r="X2052" i="2"/>
  <c r="W2052" i="2"/>
  <c r="V2052" i="2"/>
  <c r="U2052" i="2"/>
  <c r="T2052" i="2"/>
  <c r="S2052" i="2"/>
  <c r="R2052" i="2"/>
  <c r="Q2052" i="2"/>
  <c r="P2052" i="2"/>
  <c r="N2052" i="2"/>
  <c r="M2052" i="2"/>
  <c r="L2052" i="2"/>
  <c r="J2052" i="2"/>
  <c r="G2052" i="2"/>
  <c r="E2052" i="2"/>
  <c r="D2052" i="2"/>
  <c r="C2052" i="2"/>
  <c r="B2052" i="2"/>
  <c r="A2052" i="2"/>
  <c r="R2048" i="2"/>
  <c r="N2048" i="2"/>
  <c r="R2046" i="2"/>
  <c r="N2046" i="2"/>
  <c r="BO2044" i="2"/>
  <c r="BM2044" i="2"/>
  <c r="BL2044" i="2"/>
  <c r="BK2044" i="2"/>
  <c r="BJ2044" i="2"/>
  <c r="BI2044" i="2"/>
  <c r="BH2044" i="2"/>
  <c r="BG2044" i="2"/>
  <c r="BF2044" i="2"/>
  <c r="BE2044" i="2"/>
  <c r="BD2044" i="2"/>
  <c r="BC2044" i="2"/>
  <c r="BB2044" i="2"/>
  <c r="BA2044" i="2"/>
  <c r="AZ2044" i="2"/>
  <c r="AY2044" i="2"/>
  <c r="AX2044" i="2"/>
  <c r="AW2044" i="2"/>
  <c r="AV2044" i="2"/>
  <c r="AU2044" i="2"/>
  <c r="AT2044" i="2"/>
  <c r="AS2044" i="2"/>
  <c r="AR2044" i="2"/>
  <c r="AQ2044" i="2"/>
  <c r="AP2044" i="2"/>
  <c r="AO2044" i="2"/>
  <c r="AN2044" i="2"/>
  <c r="AM2044" i="2"/>
  <c r="AL2044" i="2"/>
  <c r="AK2044" i="2"/>
  <c r="AJ2044" i="2"/>
  <c r="AI2044" i="2"/>
  <c r="AH2044" i="2"/>
  <c r="AG2044" i="2"/>
  <c r="AF2044" i="2"/>
  <c r="AE2044" i="2"/>
  <c r="AD2044" i="2"/>
  <c r="AC2044" i="2"/>
  <c r="AB2044" i="2"/>
  <c r="AA2044" i="2"/>
  <c r="Z2044" i="2"/>
  <c r="Y2044" i="2"/>
  <c r="X2044" i="2"/>
  <c r="W2044" i="2"/>
  <c r="V2044" i="2"/>
  <c r="U2044" i="2"/>
  <c r="T2044" i="2"/>
  <c r="S2044" i="2"/>
  <c r="R2044" i="2"/>
  <c r="Q2044" i="2"/>
  <c r="P2044" i="2"/>
  <c r="N2044" i="2"/>
  <c r="M2044" i="2"/>
  <c r="L2044" i="2"/>
  <c r="J2044" i="2"/>
  <c r="G2044" i="2"/>
  <c r="E2044" i="2"/>
  <c r="D2044" i="2"/>
  <c r="C2044" i="2"/>
  <c r="B2044" i="2"/>
  <c r="A2044" i="2"/>
  <c r="M2039" i="2"/>
  <c r="M2038" i="2"/>
  <c r="M2037" i="2"/>
  <c r="BO2037" i="2"/>
  <c r="BM2037" i="2"/>
  <c r="BL2037" i="2"/>
  <c r="BK2037" i="2"/>
  <c r="BJ2037" i="2"/>
  <c r="BI2037" i="2"/>
  <c r="BH2037" i="2"/>
  <c r="BG2037" i="2"/>
  <c r="BF2037" i="2"/>
  <c r="BE2037" i="2"/>
  <c r="BD2037" i="2"/>
  <c r="BC2037" i="2"/>
  <c r="BB2037" i="2"/>
  <c r="BA2037" i="2"/>
  <c r="AZ2037" i="2"/>
  <c r="AY2037" i="2"/>
  <c r="AX2037" i="2"/>
  <c r="AW2037" i="2"/>
  <c r="AV2037" i="2"/>
  <c r="AU2037" i="2"/>
  <c r="AT2037" i="2"/>
  <c r="AS2037" i="2"/>
  <c r="AR2037" i="2"/>
  <c r="AQ2037" i="2"/>
  <c r="AP2037" i="2"/>
  <c r="AO2037" i="2"/>
  <c r="AN2037" i="2"/>
  <c r="AM2037" i="2"/>
  <c r="AL2037" i="2"/>
  <c r="AK2037" i="2"/>
  <c r="AJ2037" i="2"/>
  <c r="AI2037" i="2"/>
  <c r="AH2037" i="2"/>
  <c r="AG2037" i="2"/>
  <c r="AF2037" i="2"/>
  <c r="AE2037" i="2"/>
  <c r="AD2037" i="2"/>
  <c r="AC2037" i="2"/>
  <c r="AB2037" i="2"/>
  <c r="AA2037" i="2"/>
  <c r="Z2037" i="2"/>
  <c r="Y2037" i="2"/>
  <c r="X2037" i="2"/>
  <c r="W2037" i="2"/>
  <c r="V2037" i="2"/>
  <c r="U2037" i="2"/>
  <c r="T2037" i="2"/>
  <c r="S2037" i="2"/>
  <c r="R2037" i="2"/>
  <c r="Q2037" i="2"/>
  <c r="P2037" i="2"/>
  <c r="O2037" i="2"/>
  <c r="N2037" i="2"/>
  <c r="L2037" i="2"/>
  <c r="K2037" i="2"/>
  <c r="J2037" i="2"/>
  <c r="G2037" i="2"/>
  <c r="E2037" i="2"/>
  <c r="D2037" i="2"/>
  <c r="C2037" i="2"/>
  <c r="B2037" i="2"/>
  <c r="A2037" i="2"/>
  <c r="M2036" i="2"/>
  <c r="R2035" i="2"/>
  <c r="N2035" i="2"/>
  <c r="M2035" i="2"/>
  <c r="M2034" i="2"/>
  <c r="R2033" i="2"/>
  <c r="N2033" i="2"/>
  <c r="M2033" i="2"/>
  <c r="M2032" i="2"/>
  <c r="R2031" i="2"/>
  <c r="N2031" i="2"/>
  <c r="M2031" i="2"/>
  <c r="M2030" i="2"/>
  <c r="BO2029" i="2"/>
  <c r="BM2029" i="2"/>
  <c r="BL2029" i="2"/>
  <c r="BK2029" i="2"/>
  <c r="BJ2029" i="2"/>
  <c r="BI2029" i="2"/>
  <c r="BH2029" i="2"/>
  <c r="BG2029" i="2"/>
  <c r="BF2029" i="2"/>
  <c r="BE2029" i="2"/>
  <c r="BD2029" i="2"/>
  <c r="BC2029" i="2"/>
  <c r="BB2029" i="2"/>
  <c r="BA2029" i="2"/>
  <c r="AZ2029" i="2"/>
  <c r="AY2029" i="2"/>
  <c r="AX2029" i="2"/>
  <c r="AW2029" i="2"/>
  <c r="AV2029" i="2"/>
  <c r="AU2029" i="2"/>
  <c r="AT2029" i="2"/>
  <c r="AS2029" i="2"/>
  <c r="AR2029" i="2"/>
  <c r="AQ2029" i="2"/>
  <c r="AP2029" i="2"/>
  <c r="AO2029" i="2"/>
  <c r="AN2029" i="2"/>
  <c r="AM2029" i="2"/>
  <c r="AL2029" i="2"/>
  <c r="AK2029" i="2"/>
  <c r="AJ2029" i="2"/>
  <c r="AI2029" i="2"/>
  <c r="AH2029" i="2"/>
  <c r="AG2029" i="2"/>
  <c r="AF2029" i="2"/>
  <c r="AE2029" i="2"/>
  <c r="AD2029" i="2"/>
  <c r="AC2029" i="2"/>
  <c r="AB2029" i="2"/>
  <c r="AA2029" i="2"/>
  <c r="Z2029" i="2"/>
  <c r="Y2029" i="2"/>
  <c r="X2029" i="2"/>
  <c r="W2029" i="2"/>
  <c r="V2029" i="2"/>
  <c r="U2029" i="2"/>
  <c r="T2029" i="2"/>
  <c r="S2029" i="2"/>
  <c r="Q2029" i="2"/>
  <c r="P2029" i="2"/>
  <c r="O2029" i="2"/>
  <c r="L2029" i="2"/>
  <c r="K2029" i="2"/>
  <c r="J2029" i="2"/>
  <c r="G2029" i="2"/>
  <c r="E2029" i="2"/>
  <c r="D2029" i="2"/>
  <c r="C2029" i="2"/>
  <c r="B2029" i="2"/>
  <c r="A2029" i="2"/>
  <c r="M2028" i="2"/>
  <c r="M2029" i="2"/>
  <c r="M2027" i="2"/>
  <c r="R2026" i="2"/>
  <c r="R2029" i="2"/>
  <c r="N2026" i="2"/>
  <c r="N2029" i="2"/>
  <c r="M2026" i="2"/>
  <c r="M2025" i="2"/>
  <c r="M2024" i="2"/>
  <c r="M2023" i="2"/>
  <c r="M2022" i="2"/>
  <c r="BO2022" i="2"/>
  <c r="BM2022" i="2"/>
  <c r="BL2022" i="2"/>
  <c r="AU2022" i="2"/>
  <c r="AT2022" i="2"/>
  <c r="AS2022" i="2"/>
  <c r="AR2022" i="2"/>
  <c r="AQ2022" i="2"/>
  <c r="AP2022" i="2"/>
  <c r="AO2022" i="2"/>
  <c r="AN2022" i="2"/>
  <c r="AM2022" i="2"/>
  <c r="AL2022" i="2"/>
  <c r="AK2022" i="2"/>
  <c r="AJ2022" i="2"/>
  <c r="AI2022" i="2"/>
  <c r="AH2022" i="2"/>
  <c r="AG2022" i="2"/>
  <c r="O2022" i="2"/>
  <c r="N2022" i="2"/>
  <c r="L2022" i="2"/>
  <c r="K2022" i="2"/>
  <c r="J2022" i="2"/>
  <c r="G2022" i="2"/>
  <c r="E2022" i="2"/>
  <c r="D2022" i="2"/>
  <c r="C2022" i="2"/>
  <c r="B2022" i="2"/>
  <c r="A2022" i="2"/>
  <c r="M2021" i="2"/>
  <c r="M2020" i="2"/>
  <c r="M2019" i="2"/>
  <c r="M2018" i="2"/>
  <c r="M2017" i="2"/>
  <c r="N2016" i="2"/>
  <c r="M2016" i="2"/>
  <c r="M2015" i="2"/>
  <c r="BO2014" i="2"/>
  <c r="BM2014" i="2"/>
  <c r="BL2014" i="2"/>
  <c r="AU2014" i="2"/>
  <c r="AT2014" i="2"/>
  <c r="AS2014" i="2"/>
  <c r="AR2014" i="2"/>
  <c r="AQ2014" i="2"/>
  <c r="AP2014" i="2"/>
  <c r="AO2014" i="2"/>
  <c r="AN2014" i="2"/>
  <c r="AM2014" i="2"/>
  <c r="AL2014" i="2"/>
  <c r="AK2014" i="2"/>
  <c r="AJ2014" i="2"/>
  <c r="AI2014" i="2"/>
  <c r="AH2014" i="2"/>
  <c r="AG2014" i="2"/>
  <c r="O2014" i="2"/>
  <c r="N2014" i="2"/>
  <c r="L2014" i="2"/>
  <c r="K2014" i="2"/>
  <c r="J2014" i="2"/>
  <c r="G2014" i="2"/>
  <c r="E2014" i="2"/>
  <c r="D2014" i="2"/>
  <c r="C2014" i="2"/>
  <c r="B2014" i="2"/>
  <c r="A2014" i="2"/>
  <c r="M2013" i="2"/>
  <c r="M2014" i="2"/>
  <c r="M2012" i="2"/>
  <c r="M2011" i="2"/>
  <c r="M2010" i="2"/>
  <c r="M2009" i="2"/>
  <c r="M2008" i="2"/>
  <c r="M2007" i="2"/>
  <c r="BO2007" i="2"/>
  <c r="BM2007" i="2"/>
  <c r="BL2007" i="2"/>
  <c r="AU2007" i="2"/>
  <c r="AT2007" i="2"/>
  <c r="AS2007" i="2"/>
  <c r="AR2007" i="2"/>
  <c r="AQ2007" i="2"/>
  <c r="AP2007" i="2"/>
  <c r="AO2007" i="2"/>
  <c r="AN2007" i="2"/>
  <c r="AM2007" i="2"/>
  <c r="AL2007" i="2"/>
  <c r="AK2007" i="2"/>
  <c r="AJ2007" i="2"/>
  <c r="AI2007" i="2"/>
  <c r="AH2007" i="2"/>
  <c r="AG2007" i="2"/>
  <c r="O2007" i="2"/>
  <c r="N2007" i="2"/>
  <c r="L2007" i="2"/>
  <c r="K2007" i="2"/>
  <c r="J2007" i="2"/>
  <c r="G2007" i="2"/>
  <c r="E2007" i="2"/>
  <c r="D2007" i="2"/>
  <c r="C2007" i="2"/>
  <c r="B2007" i="2"/>
  <c r="A2007" i="2"/>
  <c r="M2006" i="2"/>
  <c r="M2005" i="2"/>
  <c r="M2004" i="2"/>
  <c r="M2003" i="2"/>
  <c r="M2002" i="2"/>
  <c r="N2001" i="2"/>
  <c r="M2001" i="2"/>
  <c r="N2000" i="2"/>
  <c r="M2000" i="2"/>
  <c r="BO1999" i="2"/>
  <c r="BM1999" i="2"/>
  <c r="BL1999" i="2"/>
  <c r="AU1999" i="2"/>
  <c r="AT1999" i="2"/>
  <c r="AS1999" i="2"/>
  <c r="AR1999" i="2"/>
  <c r="AQ1999" i="2"/>
  <c r="AP1999" i="2"/>
  <c r="AO1999" i="2"/>
  <c r="AN1999" i="2"/>
  <c r="AM1999" i="2"/>
  <c r="AL1999" i="2"/>
  <c r="AK1999" i="2"/>
  <c r="AJ1999" i="2"/>
  <c r="AI1999" i="2"/>
  <c r="AH1999" i="2"/>
  <c r="AG1999" i="2"/>
  <c r="O1999" i="2"/>
  <c r="N1999" i="2"/>
  <c r="L1999" i="2"/>
  <c r="K1999" i="2"/>
  <c r="J1999" i="2"/>
  <c r="G1999" i="2"/>
  <c r="E1999" i="2"/>
  <c r="D1999" i="2"/>
  <c r="C1999" i="2"/>
  <c r="B1999" i="2"/>
  <c r="A1999" i="2"/>
  <c r="M1998" i="2"/>
  <c r="M1999" i="2"/>
  <c r="M1997" i="2"/>
  <c r="M1996" i="2"/>
  <c r="M1995" i="2"/>
  <c r="M1994" i="2"/>
  <c r="M1993" i="2"/>
  <c r="M1992" i="2"/>
  <c r="BO1992" i="2"/>
  <c r="BM1992" i="2"/>
  <c r="BL1992" i="2"/>
  <c r="O1992" i="2"/>
  <c r="N1992" i="2"/>
  <c r="L1992" i="2"/>
  <c r="K1992" i="2"/>
  <c r="J1992" i="2"/>
  <c r="G1992" i="2"/>
  <c r="E1992" i="2"/>
  <c r="D1992" i="2"/>
  <c r="C1992" i="2"/>
  <c r="B1992" i="2"/>
  <c r="A1992" i="2"/>
  <c r="M1991" i="2"/>
  <c r="M1990" i="2"/>
  <c r="M1989" i="2"/>
  <c r="M1988" i="2"/>
  <c r="M1987" i="2"/>
  <c r="M1986" i="2"/>
  <c r="M1985" i="2"/>
  <c r="BO1984" i="2"/>
  <c r="BM1984" i="2"/>
  <c r="BL1984" i="2"/>
  <c r="O1984" i="2"/>
  <c r="N1984" i="2"/>
  <c r="L1984" i="2"/>
  <c r="K1984" i="2"/>
  <c r="J1984" i="2"/>
  <c r="G1984" i="2"/>
  <c r="E1984" i="2"/>
  <c r="D1984" i="2"/>
  <c r="C1984" i="2"/>
  <c r="B1984" i="2"/>
  <c r="A1984" i="2"/>
  <c r="M1983" i="2"/>
  <c r="M1984" i="2"/>
  <c r="M1982" i="2"/>
  <c r="M1981" i="2"/>
  <c r="M1980" i="2"/>
  <c r="BO1917" i="2"/>
  <c r="BM1917" i="2"/>
  <c r="BL1917" i="2"/>
  <c r="BF1917" i="2"/>
  <c r="BE1917" i="2"/>
  <c r="BD1917" i="2"/>
  <c r="BC1917" i="2"/>
  <c r="BB1917" i="2"/>
  <c r="BA1917" i="2"/>
  <c r="AZ1917" i="2"/>
  <c r="AY1917" i="2"/>
  <c r="AX1917" i="2"/>
  <c r="AW1917" i="2"/>
  <c r="AV1917" i="2"/>
  <c r="AU1917" i="2"/>
  <c r="AT1917" i="2"/>
  <c r="AS1917" i="2"/>
  <c r="AR1917" i="2"/>
  <c r="AQ1917" i="2"/>
  <c r="AP1917" i="2"/>
  <c r="AO1917" i="2"/>
  <c r="AN1917" i="2"/>
  <c r="AM1917" i="2"/>
  <c r="AL1917" i="2"/>
  <c r="AK1917" i="2"/>
  <c r="AJ1917" i="2"/>
  <c r="AI1917" i="2"/>
  <c r="AH1917" i="2"/>
  <c r="AG1917" i="2"/>
  <c r="AF1917" i="2"/>
  <c r="AE1917" i="2"/>
  <c r="AD1917" i="2"/>
  <c r="AC1917" i="2"/>
  <c r="AB1917" i="2"/>
  <c r="AA1917" i="2"/>
  <c r="Z1917" i="2"/>
  <c r="Y1917" i="2"/>
  <c r="X1917" i="2"/>
  <c r="W1917" i="2"/>
  <c r="V1917" i="2"/>
  <c r="U1917" i="2"/>
  <c r="T1917" i="2"/>
  <c r="S1917" i="2"/>
  <c r="R1917" i="2"/>
  <c r="Q1917" i="2"/>
  <c r="P1917" i="2"/>
  <c r="O1917" i="2"/>
  <c r="N1917" i="2"/>
  <c r="M1917" i="2"/>
  <c r="L1917" i="2"/>
  <c r="J1917" i="2"/>
  <c r="G1917" i="2"/>
  <c r="E1917" i="2"/>
  <c r="D1917" i="2"/>
  <c r="C1917" i="2"/>
  <c r="B1917" i="2"/>
  <c r="A1917" i="2"/>
  <c r="R1913" i="2"/>
  <c r="N1913" i="2"/>
  <c r="R1911" i="2"/>
  <c r="N1911" i="2"/>
  <c r="BO1909" i="2"/>
  <c r="BM1909" i="2"/>
  <c r="BL1909" i="2"/>
  <c r="BF1909" i="2"/>
  <c r="BE1909" i="2"/>
  <c r="BD1909" i="2"/>
  <c r="BC1909" i="2"/>
  <c r="BB1909" i="2"/>
  <c r="BA1909" i="2"/>
  <c r="AZ1909" i="2"/>
  <c r="AY1909" i="2"/>
  <c r="AX1909" i="2"/>
  <c r="AW1909" i="2"/>
  <c r="AV1909" i="2"/>
  <c r="AU1909" i="2"/>
  <c r="AT1909" i="2"/>
  <c r="AS1909" i="2"/>
  <c r="AR1909" i="2"/>
  <c r="AQ1909" i="2"/>
  <c r="AP1909" i="2"/>
  <c r="AO1909" i="2"/>
  <c r="AN1909" i="2"/>
  <c r="AM1909" i="2"/>
  <c r="AL1909" i="2"/>
  <c r="AK1909" i="2"/>
  <c r="AJ1909" i="2"/>
  <c r="AI1909" i="2"/>
  <c r="AH1909" i="2"/>
  <c r="AG1909" i="2"/>
  <c r="AF1909" i="2"/>
  <c r="AE1909" i="2"/>
  <c r="AD1909" i="2"/>
  <c r="AC1909" i="2"/>
  <c r="AB1909" i="2"/>
  <c r="AA1909" i="2"/>
  <c r="Z1909" i="2"/>
  <c r="Y1909" i="2"/>
  <c r="X1909" i="2"/>
  <c r="W1909" i="2"/>
  <c r="V1909" i="2"/>
  <c r="U1909" i="2"/>
  <c r="T1909" i="2"/>
  <c r="S1909" i="2"/>
  <c r="R1909" i="2"/>
  <c r="Q1909" i="2"/>
  <c r="P1909" i="2"/>
  <c r="O1909" i="2"/>
  <c r="N1909" i="2"/>
  <c r="M1909" i="2"/>
  <c r="L1909" i="2"/>
  <c r="J1909" i="2"/>
  <c r="G1909" i="2"/>
  <c r="E1909" i="2"/>
  <c r="D1909" i="2"/>
  <c r="C1909" i="2"/>
  <c r="B1909" i="2"/>
  <c r="A1909" i="2"/>
  <c r="BO1797" i="2"/>
  <c r="BM1797" i="2"/>
  <c r="BL1797" i="2"/>
  <c r="BK1797" i="2"/>
  <c r="BJ1797" i="2"/>
  <c r="BI1797" i="2"/>
  <c r="BH1797" i="2"/>
  <c r="BG1797" i="2"/>
  <c r="AU1797" i="2"/>
  <c r="AT1797" i="2"/>
  <c r="AS1797" i="2"/>
  <c r="AR1797" i="2"/>
  <c r="AQ1797" i="2"/>
  <c r="AP1797" i="2"/>
  <c r="AO1797" i="2"/>
  <c r="AN1797" i="2"/>
  <c r="AM1797" i="2"/>
  <c r="AL1797" i="2"/>
  <c r="AK1797" i="2"/>
  <c r="AJ1797" i="2"/>
  <c r="AI1797" i="2"/>
  <c r="AH1797" i="2"/>
  <c r="AG1797" i="2"/>
  <c r="O1797" i="2"/>
  <c r="D1797" i="2"/>
  <c r="C1797" i="2"/>
  <c r="BO1789" i="2"/>
  <c r="BM1789" i="2"/>
  <c r="BL1789" i="2"/>
  <c r="BK1789" i="2"/>
  <c r="BJ1789" i="2"/>
  <c r="BI1789" i="2"/>
  <c r="BH1789" i="2"/>
  <c r="BG1789" i="2"/>
  <c r="AU1789" i="2"/>
  <c r="AT1789" i="2"/>
  <c r="AS1789" i="2"/>
  <c r="AR1789" i="2"/>
  <c r="AQ1789" i="2"/>
  <c r="AP1789" i="2"/>
  <c r="AO1789" i="2"/>
  <c r="AN1789" i="2"/>
  <c r="AM1789" i="2"/>
  <c r="AL1789" i="2"/>
  <c r="AK1789" i="2"/>
  <c r="AJ1789" i="2"/>
  <c r="AI1789" i="2"/>
  <c r="AH1789" i="2"/>
  <c r="AG1789" i="2"/>
  <c r="O1789" i="2"/>
  <c r="D1789" i="2"/>
  <c r="C1789" i="2"/>
  <c r="BO1752" i="2"/>
  <c r="BM1752" i="2"/>
  <c r="BL1752" i="2"/>
  <c r="BK1752" i="2"/>
  <c r="BJ1752" i="2"/>
  <c r="BI1752" i="2"/>
  <c r="BH1752" i="2"/>
  <c r="BG1752" i="2"/>
  <c r="AU1752" i="2"/>
  <c r="AT1752" i="2"/>
  <c r="AS1752" i="2"/>
  <c r="AR1752" i="2"/>
  <c r="AQ1752" i="2"/>
  <c r="AP1752" i="2"/>
  <c r="AO1752" i="2"/>
  <c r="AN1752" i="2"/>
  <c r="AM1752" i="2"/>
  <c r="AL1752" i="2"/>
  <c r="AK1752" i="2"/>
  <c r="AJ1752" i="2"/>
  <c r="AI1752" i="2"/>
  <c r="AH1752" i="2"/>
  <c r="AG1752" i="2"/>
  <c r="O1752" i="2"/>
  <c r="D1752" i="2"/>
  <c r="C1752" i="2"/>
  <c r="BO1744" i="2"/>
  <c r="BM1744" i="2"/>
  <c r="BL1744" i="2"/>
  <c r="BK1744" i="2"/>
  <c r="BJ1744" i="2"/>
  <c r="BI1744" i="2"/>
  <c r="BH1744" i="2"/>
  <c r="BG1744" i="2"/>
  <c r="AU1744" i="2"/>
  <c r="AT1744" i="2"/>
  <c r="AS1744" i="2"/>
  <c r="AR1744" i="2"/>
  <c r="AQ1744" i="2"/>
  <c r="AP1744" i="2"/>
  <c r="AO1744" i="2"/>
  <c r="AN1744" i="2"/>
  <c r="AM1744" i="2"/>
  <c r="AL1744" i="2"/>
  <c r="AK1744" i="2"/>
  <c r="AJ1744" i="2"/>
  <c r="AI1744" i="2"/>
  <c r="AH1744" i="2"/>
  <c r="AG1744" i="2"/>
  <c r="O1744" i="2"/>
  <c r="D1744" i="2"/>
  <c r="C1744" i="2"/>
  <c r="BO1707" i="2"/>
  <c r="BM1707" i="2"/>
  <c r="BL1707" i="2"/>
  <c r="BK1707" i="2"/>
  <c r="BJ1707" i="2"/>
  <c r="BI1707" i="2"/>
  <c r="BH1707" i="2"/>
  <c r="BG1707" i="2"/>
  <c r="D1707" i="2"/>
  <c r="C1707" i="2"/>
  <c r="BO1699" i="2"/>
  <c r="BM1699" i="2"/>
  <c r="BL1699" i="2"/>
  <c r="BK1699" i="2"/>
  <c r="BJ1699" i="2"/>
  <c r="BI1699" i="2"/>
  <c r="BH1699" i="2"/>
  <c r="BG1699" i="2"/>
  <c r="D1699" i="2"/>
  <c r="C1699" i="2"/>
  <c r="BO1676" i="2"/>
  <c r="BM1676" i="2"/>
  <c r="BL1676" i="2"/>
  <c r="BK1676" i="2"/>
  <c r="BJ1676" i="2"/>
  <c r="BI1676" i="2"/>
  <c r="BH1676" i="2"/>
  <c r="BG1676" i="2"/>
  <c r="BF1676" i="2"/>
  <c r="BE1676" i="2"/>
  <c r="BD1676" i="2"/>
  <c r="BC1676" i="2"/>
  <c r="BB1676" i="2"/>
  <c r="BA1676" i="2"/>
  <c r="AZ1676" i="2"/>
  <c r="AY1676" i="2"/>
  <c r="AX1676" i="2"/>
  <c r="AW1676" i="2"/>
  <c r="AV1676" i="2"/>
  <c r="AU1676" i="2"/>
  <c r="AT1676" i="2"/>
  <c r="AS1676" i="2"/>
  <c r="AR1676" i="2"/>
  <c r="AQ1676" i="2"/>
  <c r="AP1676" i="2"/>
  <c r="AO1676" i="2"/>
  <c r="AN1676" i="2"/>
  <c r="AM1676" i="2"/>
  <c r="AL1676" i="2"/>
  <c r="AK1676" i="2"/>
  <c r="AJ1676" i="2"/>
  <c r="AI1676" i="2"/>
  <c r="AH1676" i="2"/>
  <c r="AG1676" i="2"/>
  <c r="AF1676" i="2"/>
  <c r="AE1676" i="2"/>
  <c r="AD1676" i="2"/>
  <c r="AC1676" i="2"/>
  <c r="AB1676" i="2"/>
  <c r="AA1676" i="2"/>
  <c r="Z1676" i="2"/>
  <c r="Y1676" i="2"/>
  <c r="X1676" i="2"/>
  <c r="W1676" i="2"/>
  <c r="V1676" i="2"/>
  <c r="U1676" i="2"/>
  <c r="T1676" i="2"/>
  <c r="S1676" i="2"/>
  <c r="R1676" i="2"/>
  <c r="Q1676" i="2"/>
  <c r="P1676" i="2"/>
  <c r="O1676" i="2"/>
  <c r="N1676" i="2"/>
  <c r="M1676" i="2"/>
  <c r="L1676" i="2"/>
  <c r="I1676" i="2"/>
  <c r="H1676" i="2"/>
  <c r="G1676" i="2"/>
  <c r="E1676" i="2"/>
  <c r="D1676" i="2"/>
  <c r="C1676" i="2"/>
  <c r="B1676" i="2"/>
  <c r="A1676" i="2"/>
  <c r="BE1673" i="2"/>
  <c r="BD1673" i="2"/>
  <c r="BC1673" i="2"/>
  <c r="AY1673" i="2"/>
  <c r="AV1673" i="2"/>
  <c r="Z1673" i="2"/>
  <c r="Y1673" i="2"/>
  <c r="X1673" i="2"/>
  <c r="W1673" i="2"/>
  <c r="V1673" i="2"/>
  <c r="U1673" i="2"/>
  <c r="T1673" i="2"/>
  <c r="S1673" i="2"/>
  <c r="R1673" i="2"/>
  <c r="Q1673" i="2"/>
  <c r="P1673" i="2"/>
  <c r="N1673" i="2"/>
  <c r="BF1668" i="2"/>
  <c r="BE1668" i="2"/>
  <c r="BD1668" i="2"/>
  <c r="BC1668" i="2"/>
  <c r="AY1668" i="2"/>
  <c r="AV1668" i="2"/>
  <c r="Z1668" i="2"/>
  <c r="Y1668" i="2"/>
  <c r="X1668" i="2"/>
  <c r="W1668" i="2"/>
  <c r="V1668" i="2"/>
  <c r="U1668" i="2"/>
  <c r="T1668" i="2"/>
  <c r="S1668" i="2"/>
  <c r="R1668" i="2"/>
  <c r="Q1668" i="2"/>
  <c r="P1668" i="2"/>
  <c r="N1668" i="2"/>
  <c r="BO1667" i="2"/>
  <c r="BM1667" i="2"/>
  <c r="BL1667" i="2"/>
  <c r="BK1667" i="2"/>
  <c r="BJ1667" i="2"/>
  <c r="BI1667" i="2"/>
  <c r="BH1667" i="2"/>
  <c r="BG1667" i="2"/>
  <c r="BB1667" i="2"/>
  <c r="BA1667" i="2"/>
  <c r="AZ1667" i="2"/>
  <c r="AX1667" i="2"/>
  <c r="AW1667" i="2"/>
  <c r="AU1667" i="2"/>
  <c r="AT1667" i="2"/>
  <c r="AS1667" i="2"/>
  <c r="AR1667" i="2"/>
  <c r="AQ1667" i="2"/>
  <c r="AP1667" i="2"/>
  <c r="AO1667" i="2"/>
  <c r="AN1667" i="2"/>
  <c r="AM1667" i="2"/>
  <c r="AL1667" i="2"/>
  <c r="AK1667" i="2"/>
  <c r="AJ1667" i="2"/>
  <c r="AI1667" i="2"/>
  <c r="AH1667" i="2"/>
  <c r="AG1667" i="2"/>
  <c r="AF1667" i="2"/>
  <c r="AE1667" i="2"/>
  <c r="AD1667" i="2"/>
  <c r="AC1667" i="2"/>
  <c r="AB1667" i="2"/>
  <c r="AA1667" i="2"/>
  <c r="O1667" i="2"/>
  <c r="M1667" i="2"/>
  <c r="L1667" i="2"/>
  <c r="I1667" i="2"/>
  <c r="H1667" i="2"/>
  <c r="G1667" i="2"/>
  <c r="E1667" i="2"/>
  <c r="D1667" i="2"/>
  <c r="C1667" i="2"/>
  <c r="B1667" i="2"/>
  <c r="A1667" i="2"/>
  <c r="BF1665" i="2"/>
  <c r="BF1667" i="2"/>
  <c r="BE1665" i="2"/>
  <c r="BE1667" i="2"/>
  <c r="BD1665" i="2"/>
  <c r="BD1667" i="2"/>
  <c r="BC1665" i="2"/>
  <c r="BC1667" i="2"/>
  <c r="AY1665" i="2"/>
  <c r="AY1667" i="2"/>
  <c r="AV1665" i="2"/>
  <c r="AV1667" i="2"/>
  <c r="Z1665" i="2"/>
  <c r="Z1667" i="2"/>
  <c r="Y1665" i="2"/>
  <c r="Y1667" i="2"/>
  <c r="X1665" i="2"/>
  <c r="X1667" i="2"/>
  <c r="W1665" i="2"/>
  <c r="W1667" i="2"/>
  <c r="V1665" i="2"/>
  <c r="V1667" i="2"/>
  <c r="U1665" i="2"/>
  <c r="U1667" i="2"/>
  <c r="T1665" i="2"/>
  <c r="T1667" i="2"/>
  <c r="S1665" i="2"/>
  <c r="S1667" i="2"/>
  <c r="R1665" i="2"/>
  <c r="R1667" i="2"/>
  <c r="Q1665" i="2"/>
  <c r="Q1667" i="2"/>
  <c r="P1665" i="2"/>
  <c r="P1667" i="2"/>
  <c r="N1665" i="2"/>
  <c r="N1667" i="2"/>
  <c r="BO1612" i="2"/>
  <c r="BM1612" i="2"/>
  <c r="BL1612" i="2"/>
  <c r="BK1612" i="2"/>
  <c r="BJ1612" i="2"/>
  <c r="BI1612" i="2"/>
  <c r="BH1612" i="2"/>
  <c r="BG1612" i="2"/>
  <c r="BF1612" i="2"/>
  <c r="BE1612" i="2"/>
  <c r="BD1612" i="2"/>
  <c r="BC1612" i="2"/>
  <c r="BB1612" i="2"/>
  <c r="BA1612" i="2"/>
  <c r="AZ1612" i="2"/>
  <c r="AY1612" i="2"/>
  <c r="AX1612" i="2"/>
  <c r="AW1612" i="2"/>
  <c r="AV1612" i="2"/>
  <c r="AU1612" i="2"/>
  <c r="AT1612" i="2"/>
  <c r="AS1612" i="2"/>
  <c r="AR1612" i="2"/>
  <c r="AQ1612" i="2"/>
  <c r="AP1612" i="2"/>
  <c r="AO1612" i="2"/>
  <c r="AN1612" i="2"/>
  <c r="AM1612" i="2"/>
  <c r="AL1612" i="2"/>
  <c r="AK1612" i="2"/>
  <c r="AJ1612" i="2"/>
  <c r="AI1612" i="2"/>
  <c r="AH1612" i="2"/>
  <c r="AG1612" i="2"/>
  <c r="AF1612" i="2"/>
  <c r="AE1612" i="2"/>
  <c r="AD1612" i="2"/>
  <c r="AC1612" i="2"/>
  <c r="AB1612" i="2"/>
  <c r="AA1612" i="2"/>
  <c r="Z1612" i="2"/>
  <c r="Y1612" i="2"/>
  <c r="X1612" i="2"/>
  <c r="W1612" i="2"/>
  <c r="V1612" i="2"/>
  <c r="U1612" i="2"/>
  <c r="T1612" i="2"/>
  <c r="S1612" i="2"/>
  <c r="R1612" i="2"/>
  <c r="Q1612" i="2"/>
  <c r="P1612" i="2"/>
  <c r="O1612" i="2"/>
  <c r="N1612" i="2"/>
  <c r="M1612" i="2"/>
  <c r="L1612" i="2"/>
  <c r="I1612" i="2"/>
  <c r="H1612" i="2"/>
  <c r="G1612" i="2"/>
  <c r="E1612" i="2"/>
  <c r="D1612" i="2"/>
  <c r="C1612" i="2"/>
  <c r="B1612" i="2"/>
  <c r="A1612" i="2"/>
  <c r="BO1603" i="2"/>
  <c r="BM1603" i="2"/>
  <c r="BL1603" i="2"/>
  <c r="BK1603" i="2"/>
  <c r="BJ1603" i="2"/>
  <c r="BI1603" i="2"/>
  <c r="BH1603" i="2"/>
  <c r="BG1603" i="2"/>
  <c r="BF1603" i="2"/>
  <c r="BE1603" i="2"/>
  <c r="BD1603" i="2"/>
  <c r="BC1603" i="2"/>
  <c r="BB1603" i="2"/>
  <c r="BA1603" i="2"/>
  <c r="AZ1603" i="2"/>
  <c r="AY1603" i="2"/>
  <c r="AX1603" i="2"/>
  <c r="AW1603" i="2"/>
  <c r="AV1603" i="2"/>
  <c r="AU1603" i="2"/>
  <c r="AT1603" i="2"/>
  <c r="AS1603" i="2"/>
  <c r="AR1603" i="2"/>
  <c r="AQ1603" i="2"/>
  <c r="AP1603" i="2"/>
  <c r="AO1603" i="2"/>
  <c r="AN1603" i="2"/>
  <c r="AM1603" i="2"/>
  <c r="AL1603" i="2"/>
  <c r="AK1603" i="2"/>
  <c r="AJ1603" i="2"/>
  <c r="AI1603" i="2"/>
  <c r="AH1603" i="2"/>
  <c r="AG1603" i="2"/>
  <c r="AF1603" i="2"/>
  <c r="AE1603" i="2"/>
  <c r="AD1603" i="2"/>
  <c r="AC1603" i="2"/>
  <c r="AB1603" i="2"/>
  <c r="AA1603" i="2"/>
  <c r="Z1603" i="2"/>
  <c r="Y1603" i="2"/>
  <c r="X1603" i="2"/>
  <c r="W1603" i="2"/>
  <c r="V1603" i="2"/>
  <c r="U1603" i="2"/>
  <c r="T1603" i="2"/>
  <c r="S1603" i="2"/>
  <c r="R1603" i="2"/>
  <c r="Q1603" i="2"/>
  <c r="P1603" i="2"/>
  <c r="O1603" i="2"/>
  <c r="N1603" i="2"/>
  <c r="M1603" i="2"/>
  <c r="L1603" i="2"/>
  <c r="I1603" i="2"/>
  <c r="H1603" i="2"/>
  <c r="G1603" i="2"/>
  <c r="E1603" i="2"/>
  <c r="D1603" i="2"/>
  <c r="C1603" i="2"/>
  <c r="B1603" i="2"/>
  <c r="A1603" i="2"/>
  <c r="BO1522" i="2"/>
  <c r="BM1522" i="2"/>
  <c r="BL1522" i="2"/>
  <c r="BK1522" i="2"/>
  <c r="BJ1522" i="2"/>
  <c r="BI1522" i="2"/>
  <c r="BH1522" i="2"/>
  <c r="BG1522" i="2"/>
  <c r="BF1522" i="2"/>
  <c r="BE1522" i="2"/>
  <c r="BD1522" i="2"/>
  <c r="BC1522" i="2"/>
  <c r="BB1522" i="2"/>
  <c r="BA1522" i="2"/>
  <c r="AZ1522" i="2"/>
  <c r="AY1522" i="2"/>
  <c r="AX1522" i="2"/>
  <c r="AW1522" i="2"/>
  <c r="AV1522" i="2"/>
  <c r="AU1522" i="2"/>
  <c r="AT1522" i="2"/>
  <c r="AS1522" i="2"/>
  <c r="AR1522" i="2"/>
  <c r="AQ1522" i="2"/>
  <c r="AP1522" i="2"/>
  <c r="AO1522" i="2"/>
  <c r="AN1522" i="2"/>
  <c r="AM1522" i="2"/>
  <c r="AL1522" i="2"/>
  <c r="AK1522" i="2"/>
  <c r="AJ1522" i="2"/>
  <c r="AI1522" i="2"/>
  <c r="AH1522" i="2"/>
  <c r="AG1522" i="2"/>
  <c r="AF1522" i="2"/>
  <c r="AE1522" i="2"/>
  <c r="AD1522" i="2"/>
  <c r="AC1522" i="2"/>
  <c r="AB1522" i="2"/>
  <c r="AA1522" i="2"/>
  <c r="Z1522" i="2"/>
  <c r="Y1522" i="2"/>
  <c r="X1522" i="2"/>
  <c r="W1522" i="2"/>
  <c r="V1522" i="2"/>
  <c r="U1522" i="2"/>
  <c r="T1522" i="2"/>
  <c r="S1522" i="2"/>
  <c r="R1522" i="2"/>
  <c r="Q1522" i="2"/>
  <c r="P1522" i="2"/>
  <c r="O1522" i="2"/>
  <c r="N1522" i="2"/>
  <c r="M1522" i="2"/>
  <c r="L1522" i="2"/>
  <c r="I1522" i="2"/>
  <c r="H1522" i="2"/>
  <c r="G1522" i="2"/>
  <c r="E1522" i="2"/>
  <c r="D1522" i="2"/>
  <c r="C1522" i="2"/>
  <c r="B1522" i="2"/>
  <c r="A1522" i="2"/>
  <c r="BO1513" i="2"/>
  <c r="BM1513" i="2"/>
  <c r="BL1513" i="2"/>
  <c r="BK1513" i="2"/>
  <c r="BJ1513" i="2"/>
  <c r="BI1513" i="2"/>
  <c r="BH1513" i="2"/>
  <c r="BG1513" i="2"/>
  <c r="BF1513" i="2"/>
  <c r="BE1513" i="2"/>
  <c r="BE1538" i="2"/>
  <c r="BD1513" i="2"/>
  <c r="BD1538" i="2"/>
  <c r="BC1513" i="2"/>
  <c r="BC1538" i="2"/>
  <c r="BB1513" i="2"/>
  <c r="BA1513" i="2"/>
  <c r="AZ1513" i="2"/>
  <c r="AY1513" i="2"/>
  <c r="AY1538" i="2"/>
  <c r="AX1513" i="2"/>
  <c r="AW1513" i="2"/>
  <c r="AV1513" i="2"/>
  <c r="AV1538" i="2"/>
  <c r="AU1513" i="2"/>
  <c r="AT1513" i="2"/>
  <c r="AS1513" i="2"/>
  <c r="AR1513" i="2"/>
  <c r="AQ1513" i="2"/>
  <c r="AP1513" i="2"/>
  <c r="AO1513" i="2"/>
  <c r="AN1513" i="2"/>
  <c r="AM1513" i="2"/>
  <c r="AL1513" i="2"/>
  <c r="AK1513" i="2"/>
  <c r="AJ1513" i="2"/>
  <c r="AI1513" i="2"/>
  <c r="AH1513" i="2"/>
  <c r="AG1513" i="2"/>
  <c r="AF1513" i="2"/>
  <c r="AE1513" i="2"/>
  <c r="AD1513" i="2"/>
  <c r="AC1513" i="2"/>
  <c r="AB1513" i="2"/>
  <c r="AA1513" i="2"/>
  <c r="Z1513" i="2"/>
  <c r="Z1538" i="2"/>
  <c r="Y1513" i="2"/>
  <c r="Y1538" i="2"/>
  <c r="X1513" i="2"/>
  <c r="X1538" i="2"/>
  <c r="W1513" i="2"/>
  <c r="W1538" i="2"/>
  <c r="V1513" i="2"/>
  <c r="V1538" i="2"/>
  <c r="U1513" i="2"/>
  <c r="U1538" i="2"/>
  <c r="T1513" i="2"/>
  <c r="T1538" i="2"/>
  <c r="S1513" i="2"/>
  <c r="S1538" i="2"/>
  <c r="R1513" i="2"/>
  <c r="R1538" i="2"/>
  <c r="Q1513" i="2"/>
  <c r="Q1538" i="2"/>
  <c r="P1513" i="2"/>
  <c r="P1538" i="2"/>
  <c r="O1513" i="2"/>
  <c r="N1513" i="2"/>
  <c r="N1538" i="2"/>
  <c r="M1513" i="2"/>
  <c r="L1513" i="2"/>
  <c r="I1513" i="2"/>
  <c r="H1513" i="2"/>
  <c r="G1513" i="2"/>
  <c r="E1513" i="2"/>
  <c r="D1513" i="2"/>
  <c r="C1513" i="2"/>
  <c r="B1513" i="2"/>
  <c r="A1513" i="2"/>
  <c r="BO1490" i="2"/>
  <c r="BM1490" i="2"/>
  <c r="BK1490" i="2"/>
  <c r="BJ1490" i="2"/>
  <c r="BI1490" i="2"/>
  <c r="BH1490" i="2"/>
  <c r="BG1490" i="2"/>
  <c r="BB1490" i="2"/>
  <c r="BA1490" i="2"/>
  <c r="AZ1490" i="2"/>
  <c r="AY1457" i="2"/>
  <c r="AY1473" i="2"/>
  <c r="AY1461" i="2"/>
  <c r="AV1457" i="2"/>
  <c r="AV1473" i="2"/>
  <c r="L1490" i="2"/>
  <c r="I1490" i="2"/>
  <c r="H1490" i="2"/>
  <c r="G1490" i="2"/>
  <c r="E1490" i="2"/>
  <c r="D1490" i="2"/>
  <c r="C1490" i="2"/>
  <c r="B1490" i="2"/>
  <c r="A1490" i="2"/>
  <c r="BO1481" i="2"/>
  <c r="BM1481" i="2"/>
  <c r="BK1481" i="2"/>
  <c r="BJ1481" i="2"/>
  <c r="BI1481" i="2"/>
  <c r="BH1481" i="2"/>
  <c r="BG1481" i="2"/>
  <c r="BB1481" i="2"/>
  <c r="BA1481" i="2"/>
  <c r="AZ1481" i="2"/>
  <c r="AY1448" i="2"/>
  <c r="AV1448" i="2"/>
  <c r="L1481" i="2"/>
  <c r="I1481" i="2"/>
  <c r="H1481" i="2"/>
  <c r="G1481" i="2"/>
  <c r="E1481" i="2"/>
  <c r="D1481" i="2"/>
  <c r="C1481" i="2"/>
  <c r="B1481" i="2"/>
  <c r="A1481" i="2"/>
  <c r="BO1458" i="2"/>
  <c r="BM1458" i="2"/>
  <c r="BL1458" i="2"/>
  <c r="BK1458" i="2"/>
  <c r="BJ1458" i="2"/>
  <c r="BI1458" i="2"/>
  <c r="BH1458" i="2"/>
  <c r="BG1458" i="2"/>
  <c r="BF1458" i="2"/>
  <c r="BE1458" i="2"/>
  <c r="BD1458" i="2"/>
  <c r="BC1458" i="2"/>
  <c r="BB1458" i="2"/>
  <c r="BA1458" i="2"/>
  <c r="AZ1458" i="2"/>
  <c r="AX1458" i="2"/>
  <c r="AW1458" i="2"/>
  <c r="AU1458" i="2"/>
  <c r="AT1458" i="2"/>
  <c r="AS1458" i="2"/>
  <c r="AR1458" i="2"/>
  <c r="AQ1458" i="2"/>
  <c r="AP1458" i="2"/>
  <c r="AO1458" i="2"/>
  <c r="AN1458" i="2"/>
  <c r="AM1458" i="2"/>
  <c r="AL1458" i="2"/>
  <c r="AK1458" i="2"/>
  <c r="AJ1458" i="2"/>
  <c r="AI1458" i="2"/>
  <c r="AH1458" i="2"/>
  <c r="AG1458" i="2"/>
  <c r="AF1458" i="2"/>
  <c r="AE1458" i="2"/>
  <c r="AD1458" i="2"/>
  <c r="AC1458" i="2"/>
  <c r="AB1458" i="2"/>
  <c r="AA1458" i="2"/>
  <c r="Z1458" i="2"/>
  <c r="Y1458" i="2"/>
  <c r="X1458" i="2"/>
  <c r="W1458" i="2"/>
  <c r="V1458" i="2"/>
  <c r="U1458" i="2"/>
  <c r="T1458" i="2"/>
  <c r="S1458" i="2"/>
  <c r="R1458" i="2"/>
  <c r="Q1458" i="2"/>
  <c r="P1458" i="2"/>
  <c r="O1458" i="2"/>
  <c r="N1458" i="2"/>
  <c r="M1458" i="2"/>
  <c r="L1458" i="2"/>
  <c r="I1458" i="2"/>
  <c r="H1458" i="2"/>
  <c r="G1458" i="2"/>
  <c r="E1458" i="2"/>
  <c r="D1458" i="2"/>
  <c r="C1458" i="2"/>
  <c r="B1458" i="2"/>
  <c r="A1458" i="2"/>
  <c r="N1455" i="2"/>
  <c r="N1471" i="2"/>
  <c r="Z1454" i="2"/>
  <c r="Z1470" i="2"/>
  <c r="Y1454" i="2"/>
  <c r="Y1470" i="2"/>
  <c r="X1454" i="2"/>
  <c r="X1470" i="2"/>
  <c r="W1454" i="2"/>
  <c r="W1470" i="2"/>
  <c r="V1454" i="2"/>
  <c r="V1470" i="2"/>
  <c r="U1454" i="2"/>
  <c r="U1470" i="2"/>
  <c r="T1454" i="2"/>
  <c r="T1470" i="2"/>
  <c r="S1454" i="2"/>
  <c r="S1470" i="2"/>
  <c r="R1454" i="2"/>
  <c r="Q1454" i="2"/>
  <c r="Q1470" i="2"/>
  <c r="P1454" i="2"/>
  <c r="P1470" i="2"/>
  <c r="BO1449" i="2"/>
  <c r="BM1449" i="2"/>
  <c r="BL1449" i="2"/>
  <c r="BK1449" i="2"/>
  <c r="BJ1449" i="2"/>
  <c r="BI1449" i="2"/>
  <c r="BH1449" i="2"/>
  <c r="BG1449" i="2"/>
  <c r="BF1449" i="2"/>
  <c r="BE1449" i="2"/>
  <c r="BE1474" i="2"/>
  <c r="BD1449" i="2"/>
  <c r="BD1474" i="2"/>
  <c r="BC1449" i="2"/>
  <c r="BC1474" i="2"/>
  <c r="BB1449" i="2"/>
  <c r="BA1449" i="2"/>
  <c r="AZ1449" i="2"/>
  <c r="AX1449" i="2"/>
  <c r="AW1449" i="2"/>
  <c r="AU1449" i="2"/>
  <c r="AT1449" i="2"/>
  <c r="AS1449" i="2"/>
  <c r="AR1449" i="2"/>
  <c r="AQ1449" i="2"/>
  <c r="AP1449" i="2"/>
  <c r="AO1449" i="2"/>
  <c r="AN1449" i="2"/>
  <c r="AM1449" i="2"/>
  <c r="AL1449" i="2"/>
  <c r="AK1449" i="2"/>
  <c r="AJ1449" i="2"/>
  <c r="AI1449" i="2"/>
  <c r="AH1449" i="2"/>
  <c r="AG1449" i="2"/>
  <c r="AF1449" i="2"/>
  <c r="AE1449" i="2"/>
  <c r="AD1449" i="2"/>
  <c r="AC1449" i="2"/>
  <c r="AB1449" i="2"/>
  <c r="AA1449" i="2"/>
  <c r="Z1449" i="2"/>
  <c r="Z1474" i="2"/>
  <c r="Y1449" i="2"/>
  <c r="Y1474" i="2"/>
  <c r="X1449" i="2"/>
  <c r="X1474" i="2"/>
  <c r="W1449" i="2"/>
  <c r="W1474" i="2"/>
  <c r="V1449" i="2"/>
  <c r="V1474" i="2"/>
  <c r="U1449" i="2"/>
  <c r="U1474" i="2"/>
  <c r="T1449" i="2"/>
  <c r="T1474" i="2"/>
  <c r="S1449" i="2"/>
  <c r="S1474" i="2"/>
  <c r="R1449" i="2"/>
  <c r="R1474" i="2"/>
  <c r="Q1449" i="2"/>
  <c r="Q1474" i="2"/>
  <c r="P1449" i="2"/>
  <c r="P1474" i="2"/>
  <c r="O1449" i="2"/>
  <c r="N1449" i="2"/>
  <c r="N1474" i="2"/>
  <c r="M1449" i="2"/>
  <c r="L1449" i="2"/>
  <c r="I1449" i="2"/>
  <c r="H1449" i="2"/>
  <c r="G1449" i="2"/>
  <c r="E1449" i="2"/>
  <c r="D1449" i="2"/>
  <c r="C1449" i="2"/>
  <c r="B1449" i="2"/>
  <c r="A1449" i="2"/>
  <c r="BO1427" i="2"/>
  <c r="BM1427" i="2"/>
  <c r="BL1427" i="2"/>
  <c r="BK1427" i="2"/>
  <c r="BJ1427" i="2"/>
  <c r="BI1427" i="2"/>
  <c r="BH1427" i="2"/>
  <c r="BG1427" i="2"/>
  <c r="BF1427" i="2"/>
  <c r="BE1427" i="2"/>
  <c r="BD1427" i="2"/>
  <c r="BC1427" i="2"/>
  <c r="BB1427" i="2"/>
  <c r="BA1427" i="2"/>
  <c r="AZ1427" i="2"/>
  <c r="AY1427" i="2"/>
  <c r="AX1427" i="2"/>
  <c r="AW1427" i="2"/>
  <c r="AV1427" i="2"/>
  <c r="AU1427" i="2"/>
  <c r="AT1427" i="2"/>
  <c r="AS1427" i="2"/>
  <c r="AR1427" i="2"/>
  <c r="AQ1427" i="2"/>
  <c r="AP1427" i="2"/>
  <c r="AO1427" i="2"/>
  <c r="AN1427" i="2"/>
  <c r="AM1427" i="2"/>
  <c r="AL1427" i="2"/>
  <c r="AK1427" i="2"/>
  <c r="AJ1427" i="2"/>
  <c r="AI1427" i="2"/>
  <c r="AH1427" i="2"/>
  <c r="AG1427" i="2"/>
  <c r="AF1427" i="2"/>
  <c r="AE1427" i="2"/>
  <c r="AD1427" i="2"/>
  <c r="AC1427" i="2"/>
  <c r="AB1427" i="2"/>
  <c r="AA1427" i="2"/>
  <c r="N1427" i="2"/>
  <c r="M1427" i="2"/>
  <c r="L1427" i="2"/>
  <c r="I1427" i="2"/>
  <c r="H1427" i="2"/>
  <c r="G1427" i="2"/>
  <c r="E1427" i="2"/>
  <c r="C1427" i="2"/>
  <c r="A1427" i="2"/>
  <c r="BO1419" i="2"/>
  <c r="BM1419" i="2"/>
  <c r="BL1419" i="2"/>
  <c r="BK1419" i="2"/>
  <c r="BJ1419" i="2"/>
  <c r="BI1419" i="2"/>
  <c r="BH1419" i="2"/>
  <c r="BG1419" i="2"/>
  <c r="BF1419" i="2"/>
  <c r="BE1419" i="2"/>
  <c r="BE1442" i="2"/>
  <c r="BE1430" i="2"/>
  <c r="BD1419" i="2"/>
  <c r="BD1442" i="2"/>
  <c r="BD1430" i="2"/>
  <c r="BC1419" i="2"/>
  <c r="BC1442" i="2"/>
  <c r="BC1430" i="2"/>
  <c r="BB1419" i="2"/>
  <c r="BA1419" i="2"/>
  <c r="AZ1419" i="2"/>
  <c r="AY1419" i="2"/>
  <c r="AY1442" i="2"/>
  <c r="AY1430" i="2"/>
  <c r="AX1419" i="2"/>
  <c r="AW1419" i="2"/>
  <c r="AV1419" i="2"/>
  <c r="AV1442" i="2"/>
  <c r="AV1430" i="2"/>
  <c r="AU1419" i="2"/>
  <c r="AT1419" i="2"/>
  <c r="AS1419" i="2"/>
  <c r="AR1419" i="2"/>
  <c r="AQ1419" i="2"/>
  <c r="AP1419" i="2"/>
  <c r="AO1419" i="2"/>
  <c r="AN1419" i="2"/>
  <c r="AM1419" i="2"/>
  <c r="AL1419" i="2"/>
  <c r="AK1419" i="2"/>
  <c r="AJ1419" i="2"/>
  <c r="AI1419" i="2"/>
  <c r="AH1419" i="2"/>
  <c r="AG1419" i="2"/>
  <c r="AF1419" i="2"/>
  <c r="AE1419" i="2"/>
  <c r="AD1419" i="2"/>
  <c r="AC1419" i="2"/>
  <c r="AB1419" i="2"/>
  <c r="AA1419" i="2"/>
  <c r="Z1419" i="2"/>
  <c r="Z1442" i="2"/>
  <c r="Z1430" i="2"/>
  <c r="Z1427" i="2"/>
  <c r="Y1419" i="2"/>
  <c r="Y1442" i="2"/>
  <c r="Y1430" i="2"/>
  <c r="Y1427" i="2"/>
  <c r="X1419" i="2"/>
  <c r="X1442" i="2"/>
  <c r="X1430" i="2"/>
  <c r="X1427" i="2"/>
  <c r="W1419" i="2"/>
  <c r="W1442" i="2"/>
  <c r="W1430" i="2"/>
  <c r="W1427" i="2"/>
  <c r="V1419" i="2"/>
  <c r="V1442" i="2"/>
  <c r="V1430" i="2"/>
  <c r="V1427" i="2"/>
  <c r="U1419" i="2"/>
  <c r="U1442" i="2"/>
  <c r="U1430" i="2"/>
  <c r="U1427" i="2"/>
  <c r="T1419" i="2"/>
  <c r="T1442" i="2"/>
  <c r="T1430" i="2"/>
  <c r="T1427" i="2"/>
  <c r="S1419" i="2"/>
  <c r="S1442" i="2"/>
  <c r="S1430" i="2"/>
  <c r="S1427" i="2"/>
  <c r="R1419" i="2"/>
  <c r="R1442" i="2"/>
  <c r="R1430" i="2"/>
  <c r="R1427" i="2"/>
  <c r="Q1419" i="2"/>
  <c r="Q1442" i="2"/>
  <c r="Q1430" i="2"/>
  <c r="Q1427" i="2"/>
  <c r="P1419" i="2"/>
  <c r="P1442" i="2"/>
  <c r="P1430" i="2"/>
  <c r="P1427" i="2"/>
  <c r="N1419" i="2"/>
  <c r="N1442" i="2"/>
  <c r="N1430" i="2"/>
  <c r="M1419" i="2"/>
  <c r="L1419" i="2"/>
  <c r="I1419" i="2"/>
  <c r="H1419" i="2"/>
  <c r="G1419" i="2"/>
  <c r="E1419" i="2"/>
  <c r="C1419" i="2"/>
  <c r="A1419" i="2"/>
  <c r="BO1397" i="2"/>
  <c r="BM1397" i="2"/>
  <c r="BL1397" i="2"/>
  <c r="BK1397" i="2"/>
  <c r="BJ1397" i="2"/>
  <c r="BI1397" i="2"/>
  <c r="BH1397" i="2"/>
  <c r="BG1397" i="2"/>
  <c r="BF1397" i="2"/>
  <c r="BE1397" i="2"/>
  <c r="BD1397" i="2"/>
  <c r="BC1397" i="2"/>
  <c r="BB1397" i="2"/>
  <c r="BA1397" i="2"/>
  <c r="AZ1397" i="2"/>
  <c r="AY1397" i="2"/>
  <c r="AX1397" i="2"/>
  <c r="AW1397" i="2"/>
  <c r="AV1397" i="2"/>
  <c r="AU1397" i="2"/>
  <c r="AT1397" i="2"/>
  <c r="AS1397" i="2"/>
  <c r="AR1397" i="2"/>
  <c r="AQ1397" i="2"/>
  <c r="AP1397" i="2"/>
  <c r="AO1397" i="2"/>
  <c r="AN1397" i="2"/>
  <c r="AM1397" i="2"/>
  <c r="AL1397" i="2"/>
  <c r="AK1397" i="2"/>
  <c r="AJ1397" i="2"/>
  <c r="AI1397" i="2"/>
  <c r="AH1397" i="2"/>
  <c r="AG1397" i="2"/>
  <c r="AF1397" i="2"/>
  <c r="AE1397" i="2"/>
  <c r="AD1397" i="2"/>
  <c r="AC1397" i="2"/>
  <c r="AB1397" i="2"/>
  <c r="AA1397" i="2"/>
  <c r="Z1397" i="2"/>
  <c r="Y1397" i="2"/>
  <c r="X1397" i="2"/>
  <c r="W1397" i="2"/>
  <c r="V1397" i="2"/>
  <c r="U1397" i="2"/>
  <c r="T1397" i="2"/>
  <c r="S1397" i="2"/>
  <c r="R1397" i="2"/>
  <c r="Q1397" i="2"/>
  <c r="P1397" i="2"/>
  <c r="N1397" i="2"/>
  <c r="M1397" i="2"/>
  <c r="L1397" i="2"/>
  <c r="I1397" i="2"/>
  <c r="H1397" i="2"/>
  <c r="G1397" i="2"/>
  <c r="E1397" i="2"/>
  <c r="C1397" i="2"/>
  <c r="A1397" i="2"/>
  <c r="BO1389" i="2"/>
  <c r="BM1389" i="2"/>
  <c r="BL1389" i="2"/>
  <c r="BK1389" i="2"/>
  <c r="BJ1389" i="2"/>
  <c r="BI1389" i="2"/>
  <c r="BH1389" i="2"/>
  <c r="BG1389" i="2"/>
  <c r="BF1389" i="2"/>
  <c r="BE1389" i="2"/>
  <c r="BE1412" i="2"/>
  <c r="BE1400" i="2"/>
  <c r="BD1389" i="2"/>
  <c r="BD1412" i="2"/>
  <c r="BD1400" i="2"/>
  <c r="BC1389" i="2"/>
  <c r="BC1412" i="2"/>
  <c r="BC1400" i="2"/>
  <c r="BB1389" i="2"/>
  <c r="BA1389" i="2"/>
  <c r="AZ1389" i="2"/>
  <c r="AY1389" i="2"/>
  <c r="AY1412" i="2"/>
  <c r="AY1400" i="2"/>
  <c r="AX1389" i="2"/>
  <c r="AW1389" i="2"/>
  <c r="AV1389" i="2"/>
  <c r="AV1412" i="2"/>
  <c r="AV1400" i="2"/>
  <c r="AU1389" i="2"/>
  <c r="AT1389" i="2"/>
  <c r="AS1389" i="2"/>
  <c r="AR1389" i="2"/>
  <c r="AQ1389" i="2"/>
  <c r="AP1389" i="2"/>
  <c r="AO1389" i="2"/>
  <c r="AN1389" i="2"/>
  <c r="AM1389" i="2"/>
  <c r="AL1389" i="2"/>
  <c r="AK1389" i="2"/>
  <c r="AJ1389" i="2"/>
  <c r="AI1389" i="2"/>
  <c r="AH1389" i="2"/>
  <c r="AG1389" i="2"/>
  <c r="AF1389" i="2"/>
  <c r="AE1389" i="2"/>
  <c r="AD1389" i="2"/>
  <c r="AC1389" i="2"/>
  <c r="AB1389" i="2"/>
  <c r="AA1389" i="2"/>
  <c r="Z1389" i="2"/>
  <c r="Z1412" i="2"/>
  <c r="Z1400" i="2"/>
  <c r="Y1389" i="2"/>
  <c r="Y1412" i="2"/>
  <c r="Y1400" i="2"/>
  <c r="X1389" i="2"/>
  <c r="X1412" i="2"/>
  <c r="X1400" i="2"/>
  <c r="W1389" i="2"/>
  <c r="W1412" i="2"/>
  <c r="W1400" i="2"/>
  <c r="V1389" i="2"/>
  <c r="V1412" i="2"/>
  <c r="V1400" i="2"/>
  <c r="U1389" i="2"/>
  <c r="U1412" i="2"/>
  <c r="U1400" i="2"/>
  <c r="T1389" i="2"/>
  <c r="T1412" i="2"/>
  <c r="T1400" i="2"/>
  <c r="S1389" i="2"/>
  <c r="S1412" i="2"/>
  <c r="S1400" i="2"/>
  <c r="R1389" i="2"/>
  <c r="R1412" i="2"/>
  <c r="R1400" i="2"/>
  <c r="Q1389" i="2"/>
  <c r="Q1412" i="2"/>
  <c r="Q1400" i="2"/>
  <c r="P1389" i="2"/>
  <c r="P1412" i="2"/>
  <c r="P1400" i="2"/>
  <c r="N1389" i="2"/>
  <c r="N1412" i="2"/>
  <c r="N1400" i="2"/>
  <c r="M1389" i="2"/>
  <c r="L1389" i="2"/>
  <c r="I1389" i="2"/>
  <c r="H1389" i="2"/>
  <c r="G1389" i="2"/>
  <c r="E1389" i="2"/>
  <c r="C1389" i="2"/>
  <c r="A1389" i="2"/>
  <c r="BO1367" i="2"/>
  <c r="BM1367" i="2"/>
  <c r="BL1367" i="2"/>
  <c r="BK1367" i="2"/>
  <c r="BJ1367" i="2"/>
  <c r="BI1367" i="2"/>
  <c r="BH1367" i="2"/>
  <c r="BG1367" i="2"/>
  <c r="BF1367" i="2"/>
  <c r="BE1367" i="2"/>
  <c r="BD1367" i="2"/>
  <c r="BC1367" i="2"/>
  <c r="BB1367" i="2"/>
  <c r="BA1367" i="2"/>
  <c r="AZ1367" i="2"/>
  <c r="AY1367" i="2"/>
  <c r="AX1367" i="2"/>
  <c r="AW1367" i="2"/>
  <c r="AV1367" i="2"/>
  <c r="AU1367" i="2"/>
  <c r="AT1367" i="2"/>
  <c r="AS1367" i="2"/>
  <c r="AR1367" i="2"/>
  <c r="AQ1367" i="2"/>
  <c r="AP1367" i="2"/>
  <c r="AO1367" i="2"/>
  <c r="AN1367" i="2"/>
  <c r="AM1367" i="2"/>
  <c r="AL1367" i="2"/>
  <c r="AK1367" i="2"/>
  <c r="AJ1367" i="2"/>
  <c r="AI1367" i="2"/>
  <c r="AH1367" i="2"/>
  <c r="AG1367" i="2"/>
  <c r="AF1367" i="2"/>
  <c r="AE1367" i="2"/>
  <c r="AD1367" i="2"/>
  <c r="AC1367" i="2"/>
  <c r="AB1367" i="2"/>
  <c r="AA1367" i="2"/>
  <c r="Z1367" i="2"/>
  <c r="Y1367" i="2"/>
  <c r="X1367" i="2"/>
  <c r="W1367" i="2"/>
  <c r="V1367" i="2"/>
  <c r="U1367" i="2"/>
  <c r="T1367" i="2"/>
  <c r="S1367" i="2"/>
  <c r="R1367" i="2"/>
  <c r="Q1367" i="2"/>
  <c r="P1367" i="2"/>
  <c r="N1367" i="2"/>
  <c r="M1367" i="2"/>
  <c r="L1367" i="2"/>
  <c r="I1367" i="2"/>
  <c r="H1367" i="2"/>
  <c r="G1367" i="2"/>
  <c r="E1367" i="2"/>
  <c r="D1367" i="2"/>
  <c r="C1367" i="2"/>
  <c r="B1367" i="2"/>
  <c r="A1367" i="2"/>
  <c r="BO1359" i="2"/>
  <c r="BM1359" i="2"/>
  <c r="BL1359" i="2"/>
  <c r="BK1359" i="2"/>
  <c r="BJ1359" i="2"/>
  <c r="BI1359" i="2"/>
  <c r="BH1359" i="2"/>
  <c r="BG1359" i="2"/>
  <c r="BF1359" i="2"/>
  <c r="BE1359" i="2"/>
  <c r="BE1382" i="2"/>
  <c r="BE1370" i="2"/>
  <c r="BD1359" i="2"/>
  <c r="BD1382" i="2"/>
  <c r="BD1370" i="2"/>
  <c r="BC1359" i="2"/>
  <c r="BC1382" i="2"/>
  <c r="BC1370" i="2"/>
  <c r="BB1359" i="2"/>
  <c r="BA1359" i="2"/>
  <c r="AZ1359" i="2"/>
  <c r="AY1359" i="2"/>
  <c r="AY1382" i="2"/>
  <c r="AY1370" i="2"/>
  <c r="AX1359" i="2"/>
  <c r="AW1359" i="2"/>
  <c r="AV1359" i="2"/>
  <c r="AV1382" i="2"/>
  <c r="AV1370" i="2"/>
  <c r="AU1359" i="2"/>
  <c r="AT1359" i="2"/>
  <c r="AS1359" i="2"/>
  <c r="AR1359" i="2"/>
  <c r="AQ1359" i="2"/>
  <c r="AP1359" i="2"/>
  <c r="AO1359" i="2"/>
  <c r="AN1359" i="2"/>
  <c r="AM1359" i="2"/>
  <c r="AL1359" i="2"/>
  <c r="AK1359" i="2"/>
  <c r="AJ1359" i="2"/>
  <c r="AI1359" i="2"/>
  <c r="AH1359" i="2"/>
  <c r="AG1359" i="2"/>
  <c r="AF1359" i="2"/>
  <c r="AE1359" i="2"/>
  <c r="AD1359" i="2"/>
  <c r="AC1359" i="2"/>
  <c r="AB1359" i="2"/>
  <c r="AA1359" i="2"/>
  <c r="Z1359" i="2"/>
  <c r="Z1382" i="2"/>
  <c r="Z1370" i="2"/>
  <c r="Y1359" i="2"/>
  <c r="Y1382" i="2"/>
  <c r="Y1370" i="2"/>
  <c r="X1359" i="2"/>
  <c r="X1382" i="2"/>
  <c r="X1370" i="2"/>
  <c r="W1359" i="2"/>
  <c r="W1382" i="2"/>
  <c r="W1370" i="2"/>
  <c r="V1359" i="2"/>
  <c r="V1382" i="2"/>
  <c r="V1370" i="2"/>
  <c r="U1359" i="2"/>
  <c r="U1382" i="2"/>
  <c r="U1370" i="2"/>
  <c r="T1359" i="2"/>
  <c r="T1382" i="2"/>
  <c r="T1370" i="2"/>
  <c r="S1359" i="2"/>
  <c r="S1382" i="2"/>
  <c r="S1370" i="2"/>
  <c r="R1359" i="2"/>
  <c r="R1382" i="2"/>
  <c r="R1370" i="2"/>
  <c r="Q1359" i="2"/>
  <c r="Q1382" i="2"/>
  <c r="Q1370" i="2"/>
  <c r="P1359" i="2"/>
  <c r="P1382" i="2"/>
  <c r="P1370" i="2"/>
  <c r="N1359" i="2"/>
  <c r="N1382" i="2"/>
  <c r="N1370" i="2"/>
  <c r="M1359" i="2"/>
  <c r="L1359" i="2"/>
  <c r="I1359" i="2"/>
  <c r="H1359" i="2"/>
  <c r="G1359" i="2"/>
  <c r="E1359" i="2"/>
  <c r="D1359" i="2"/>
  <c r="C1359" i="2"/>
  <c r="B1359" i="2"/>
  <c r="A1359" i="2"/>
  <c r="BO1337" i="2"/>
  <c r="BM1337" i="2"/>
  <c r="BL1337" i="2"/>
  <c r="BK1337" i="2"/>
  <c r="BJ1337" i="2"/>
  <c r="BI1337" i="2"/>
  <c r="BH1337" i="2"/>
  <c r="BG1337" i="2"/>
  <c r="BF1337" i="2"/>
  <c r="BE1337" i="2"/>
  <c r="BD1337" i="2"/>
  <c r="BC1337" i="2"/>
  <c r="BB1337" i="2"/>
  <c r="BA1337" i="2"/>
  <c r="AZ1337" i="2"/>
  <c r="AY1337" i="2"/>
  <c r="AX1337" i="2"/>
  <c r="AW1337" i="2"/>
  <c r="AV1337" i="2"/>
  <c r="AU1337" i="2"/>
  <c r="AT1337" i="2"/>
  <c r="AS1337" i="2"/>
  <c r="AR1337" i="2"/>
  <c r="AQ1337" i="2"/>
  <c r="AP1337" i="2"/>
  <c r="AO1337" i="2"/>
  <c r="AN1337" i="2"/>
  <c r="AM1337" i="2"/>
  <c r="AL1337" i="2"/>
  <c r="AK1337" i="2"/>
  <c r="AJ1337" i="2"/>
  <c r="AI1337" i="2"/>
  <c r="AH1337" i="2"/>
  <c r="AG1337" i="2"/>
  <c r="AF1337" i="2"/>
  <c r="AE1337" i="2"/>
  <c r="AD1337" i="2"/>
  <c r="AC1337" i="2"/>
  <c r="AB1337" i="2"/>
  <c r="AA1337" i="2"/>
  <c r="Z1337" i="2"/>
  <c r="Y1337" i="2"/>
  <c r="X1337" i="2"/>
  <c r="W1337" i="2"/>
  <c r="V1337" i="2"/>
  <c r="U1337" i="2"/>
  <c r="T1337" i="2"/>
  <c r="S1337" i="2"/>
  <c r="R1337" i="2"/>
  <c r="Q1337" i="2"/>
  <c r="P1337" i="2"/>
  <c r="O1337" i="2"/>
  <c r="N1337" i="2"/>
  <c r="M1337" i="2"/>
  <c r="L1337" i="2"/>
  <c r="I1337" i="2"/>
  <c r="H1337" i="2"/>
  <c r="G1337" i="2"/>
  <c r="E1337" i="2"/>
  <c r="D1337" i="2"/>
  <c r="C1337" i="2"/>
  <c r="B1337" i="2"/>
  <c r="A1337" i="2"/>
  <c r="BO1329" i="2"/>
  <c r="BM1329" i="2"/>
  <c r="BL1329" i="2"/>
  <c r="BK1329" i="2"/>
  <c r="BJ1329" i="2"/>
  <c r="BI1329" i="2"/>
  <c r="BH1329" i="2"/>
  <c r="BG1329" i="2"/>
  <c r="BF1329" i="2"/>
  <c r="BE1329" i="2"/>
  <c r="BE1352" i="2"/>
  <c r="BE1340" i="2"/>
  <c r="BD1329" i="2"/>
  <c r="BD1352" i="2"/>
  <c r="BD1340" i="2"/>
  <c r="BC1329" i="2"/>
  <c r="BC1352" i="2"/>
  <c r="BC1340" i="2"/>
  <c r="BB1329" i="2"/>
  <c r="BA1329" i="2"/>
  <c r="AZ1329" i="2"/>
  <c r="AY1329" i="2"/>
  <c r="AY1352" i="2"/>
  <c r="AY1340" i="2"/>
  <c r="AX1329" i="2"/>
  <c r="AW1329" i="2"/>
  <c r="AV1329" i="2"/>
  <c r="AV1352" i="2"/>
  <c r="AV1340" i="2"/>
  <c r="AU1329" i="2"/>
  <c r="AT1329" i="2"/>
  <c r="AS1329" i="2"/>
  <c r="AR1329" i="2"/>
  <c r="AQ1329" i="2"/>
  <c r="AP1329" i="2"/>
  <c r="AO1329" i="2"/>
  <c r="AN1329" i="2"/>
  <c r="AM1329" i="2"/>
  <c r="AL1329" i="2"/>
  <c r="AK1329" i="2"/>
  <c r="AJ1329" i="2"/>
  <c r="AI1329" i="2"/>
  <c r="AH1329" i="2"/>
  <c r="AG1329" i="2"/>
  <c r="AF1329" i="2"/>
  <c r="AE1329" i="2"/>
  <c r="AD1329" i="2"/>
  <c r="AC1329" i="2"/>
  <c r="AB1329" i="2"/>
  <c r="AA1329" i="2"/>
  <c r="Z1329" i="2"/>
  <c r="Z1352" i="2"/>
  <c r="Z1340" i="2"/>
  <c r="Y1329" i="2"/>
  <c r="Y1352" i="2"/>
  <c r="Y1340" i="2"/>
  <c r="X1329" i="2"/>
  <c r="X1352" i="2"/>
  <c r="X1340" i="2"/>
  <c r="W1329" i="2"/>
  <c r="W1352" i="2"/>
  <c r="W1340" i="2"/>
  <c r="V1329" i="2"/>
  <c r="V1352" i="2"/>
  <c r="V1340" i="2"/>
  <c r="U1329" i="2"/>
  <c r="U1352" i="2"/>
  <c r="U1340" i="2"/>
  <c r="T1329" i="2"/>
  <c r="T1352" i="2"/>
  <c r="T1340" i="2"/>
  <c r="S1329" i="2"/>
  <c r="S1352" i="2"/>
  <c r="S1340" i="2"/>
  <c r="R1329" i="2"/>
  <c r="R1352" i="2"/>
  <c r="R1340" i="2"/>
  <c r="Q1329" i="2"/>
  <c r="Q1352" i="2"/>
  <c r="Q1340" i="2"/>
  <c r="P1329" i="2"/>
  <c r="P1352" i="2"/>
  <c r="P1340" i="2"/>
  <c r="O1329" i="2"/>
  <c r="N1329" i="2"/>
  <c r="N1352" i="2"/>
  <c r="N1340" i="2"/>
  <c r="M1329" i="2"/>
  <c r="L1329" i="2"/>
  <c r="I1329" i="2"/>
  <c r="H1329" i="2"/>
  <c r="G1329" i="2"/>
  <c r="E1329" i="2"/>
  <c r="D1329" i="2"/>
  <c r="C1329" i="2"/>
  <c r="B1329" i="2"/>
  <c r="A1329" i="2"/>
  <c r="N1309" i="2"/>
  <c r="N1308" i="2"/>
  <c r="BO1307" i="2"/>
  <c r="BM1307" i="2"/>
  <c r="O1307" i="2"/>
  <c r="L1307" i="2"/>
  <c r="I1307" i="2"/>
  <c r="H1307" i="2"/>
  <c r="G1307" i="2"/>
  <c r="E1307" i="2"/>
  <c r="D1307" i="2"/>
  <c r="C1307" i="2"/>
  <c r="B1307" i="2"/>
  <c r="A1307" i="2"/>
  <c r="N1306" i="2"/>
  <c r="N1321" i="2"/>
  <c r="N1305" i="2"/>
  <c r="N1320" i="2"/>
  <c r="N1304" i="2"/>
  <c r="N1319" i="2"/>
  <c r="N1303" i="2"/>
  <c r="N1318" i="2"/>
  <c r="N1302" i="2"/>
  <c r="N1317" i="2"/>
  <c r="N1300" i="2"/>
  <c r="N1315" i="2"/>
  <c r="BO1299" i="2"/>
  <c r="BM1299" i="2"/>
  <c r="O1299" i="2"/>
  <c r="L1299" i="2"/>
  <c r="I1299" i="2"/>
  <c r="H1299" i="2"/>
  <c r="G1299" i="2"/>
  <c r="E1299" i="2"/>
  <c r="D1299" i="2"/>
  <c r="C1299" i="2"/>
  <c r="B1299" i="2"/>
  <c r="A1299" i="2"/>
  <c r="N1298" i="2"/>
  <c r="N1297" i="2"/>
  <c r="N1296" i="2"/>
  <c r="N1295" i="2"/>
  <c r="M1279" i="2"/>
  <c r="M1309" i="2"/>
  <c r="M1278" i="2"/>
  <c r="M1308" i="2"/>
  <c r="BO1277" i="2"/>
  <c r="BM1277" i="2"/>
  <c r="O1277" i="2"/>
  <c r="L1277" i="2"/>
  <c r="I1277" i="2"/>
  <c r="H1277" i="2"/>
  <c r="G1277" i="2"/>
  <c r="E1277" i="2"/>
  <c r="D1277" i="2"/>
  <c r="C1277" i="2"/>
  <c r="B1277" i="2"/>
  <c r="A1277" i="2"/>
  <c r="M1276" i="2"/>
  <c r="M1306" i="2"/>
  <c r="M1275" i="2"/>
  <c r="M1305" i="2"/>
  <c r="M1274" i="2"/>
  <c r="M1304" i="2"/>
  <c r="M1273" i="2"/>
  <c r="M1303" i="2"/>
  <c r="M1272" i="2"/>
  <c r="M1302" i="2"/>
  <c r="N1271" i="2"/>
  <c r="N1286" i="2"/>
  <c r="N1280" i="2"/>
  <c r="M1271" i="2"/>
  <c r="M1301" i="2"/>
  <c r="M1270" i="2"/>
  <c r="M1300" i="2"/>
  <c r="M1269" i="2"/>
  <c r="M1299" i="2"/>
  <c r="M1268" i="2"/>
  <c r="M1298" i="2"/>
  <c r="M1267" i="2"/>
  <c r="M1297" i="2"/>
  <c r="M1266" i="2"/>
  <c r="M1296" i="2"/>
  <c r="M1295" i="2"/>
  <c r="M1249" i="2"/>
  <c r="M1248" i="2"/>
  <c r="M1247" i="2"/>
  <c r="BO1247" i="2"/>
  <c r="BM1247" i="2"/>
  <c r="O1247" i="2"/>
  <c r="N1247" i="2"/>
  <c r="L1247" i="2"/>
  <c r="I1247" i="2"/>
  <c r="H1247" i="2"/>
  <c r="G1247" i="2"/>
  <c r="E1247" i="2"/>
  <c r="D1247" i="2"/>
  <c r="C1247" i="2"/>
  <c r="B1247" i="2"/>
  <c r="A1247" i="2"/>
  <c r="M1246" i="2"/>
  <c r="M1245" i="2"/>
  <c r="M1244" i="2"/>
  <c r="M1243" i="2"/>
  <c r="M1242" i="2"/>
  <c r="N1241" i="2"/>
  <c r="N1256" i="2"/>
  <c r="N1250" i="2"/>
  <c r="M1241" i="2"/>
  <c r="M1240" i="2"/>
  <c r="M1239" i="2"/>
  <c r="M1238" i="2"/>
  <c r="M1237" i="2"/>
  <c r="M1236" i="2"/>
  <c r="M1235" i="2"/>
  <c r="AY1114" i="2"/>
  <c r="AV1114" i="2"/>
  <c r="Z1114" i="2"/>
  <c r="Y1114" i="2"/>
  <c r="X1114" i="2"/>
  <c r="W1114" i="2"/>
  <c r="V1114" i="2"/>
  <c r="U1114" i="2"/>
  <c r="T1114" i="2"/>
  <c r="S1114" i="2"/>
  <c r="R1114" i="2"/>
  <c r="Q1114" i="2"/>
  <c r="P1114" i="2"/>
  <c r="N1114" i="2"/>
  <c r="M1114" i="2"/>
  <c r="AY1113" i="2"/>
  <c r="AV1113" i="2"/>
  <c r="Z1113" i="2"/>
  <c r="Y1113" i="2"/>
  <c r="X1113" i="2"/>
  <c r="W1113" i="2"/>
  <c r="V1113" i="2"/>
  <c r="U1113" i="2"/>
  <c r="T1113" i="2"/>
  <c r="S1113" i="2"/>
  <c r="R1113" i="2"/>
  <c r="Q1113" i="2"/>
  <c r="P1113" i="2"/>
  <c r="N1113" i="2"/>
  <c r="M1113" i="2"/>
  <c r="M1112" i="2"/>
  <c r="BO1112" i="2"/>
  <c r="BM1112" i="2"/>
  <c r="BL1112" i="2"/>
  <c r="BK1112" i="2"/>
  <c r="BJ1112" i="2"/>
  <c r="BI1112" i="2"/>
  <c r="BH1112" i="2"/>
  <c r="BG1112" i="2"/>
  <c r="BF1112" i="2"/>
  <c r="BE1112" i="2"/>
  <c r="BD1112" i="2"/>
  <c r="BC1112" i="2"/>
  <c r="BB1112" i="2"/>
  <c r="BA1112" i="2"/>
  <c r="AZ1112" i="2"/>
  <c r="AX1112" i="2"/>
  <c r="AW1112" i="2"/>
  <c r="AU1112" i="2"/>
  <c r="AT1112" i="2"/>
  <c r="AS1112" i="2"/>
  <c r="AR1112" i="2"/>
  <c r="AQ1112" i="2"/>
  <c r="AP1112" i="2"/>
  <c r="AO1112" i="2"/>
  <c r="AN1112" i="2"/>
  <c r="AM1112" i="2"/>
  <c r="AL1112" i="2"/>
  <c r="AK1112" i="2"/>
  <c r="AJ1112" i="2"/>
  <c r="AI1112" i="2"/>
  <c r="AH1112" i="2"/>
  <c r="AG1112" i="2"/>
  <c r="AF1112" i="2"/>
  <c r="AE1112" i="2"/>
  <c r="AD1112" i="2"/>
  <c r="AC1112" i="2"/>
  <c r="AB1112" i="2"/>
  <c r="AA1112" i="2"/>
  <c r="L1112" i="2"/>
  <c r="I1112" i="2"/>
  <c r="H1112" i="2"/>
  <c r="G1112" i="2"/>
  <c r="E1112" i="2"/>
  <c r="D1112" i="2"/>
  <c r="C1112" i="2"/>
  <c r="B1112" i="2"/>
  <c r="A1112" i="2"/>
  <c r="AY1111" i="2"/>
  <c r="AY1126" i="2"/>
  <c r="AV1111" i="2"/>
  <c r="AV1126" i="2"/>
  <c r="Z1111" i="2"/>
  <c r="Z1126" i="2"/>
  <c r="Y1111" i="2"/>
  <c r="Y1126" i="2"/>
  <c r="X1111" i="2"/>
  <c r="X1126" i="2"/>
  <c r="W1111" i="2"/>
  <c r="W1126" i="2"/>
  <c r="V1111" i="2"/>
  <c r="V1126" i="2"/>
  <c r="U1111" i="2"/>
  <c r="U1126" i="2"/>
  <c r="T1111" i="2"/>
  <c r="T1126" i="2"/>
  <c r="S1111" i="2"/>
  <c r="S1126" i="2"/>
  <c r="R1111" i="2"/>
  <c r="R1126" i="2"/>
  <c r="Q1111" i="2"/>
  <c r="Q1126" i="2"/>
  <c r="P1111" i="2"/>
  <c r="P1126" i="2"/>
  <c r="N1111" i="2"/>
  <c r="N1126" i="2"/>
  <c r="M1111" i="2"/>
  <c r="AY1110" i="2"/>
  <c r="AY1125" i="2"/>
  <c r="AV1110" i="2"/>
  <c r="AV1125" i="2"/>
  <c r="Z1110" i="2"/>
  <c r="Z1125" i="2"/>
  <c r="Y1110" i="2"/>
  <c r="Y1125" i="2"/>
  <c r="X1110" i="2"/>
  <c r="X1125" i="2"/>
  <c r="W1110" i="2"/>
  <c r="W1125" i="2"/>
  <c r="V1110" i="2"/>
  <c r="V1125" i="2"/>
  <c r="U1110" i="2"/>
  <c r="U1125" i="2"/>
  <c r="T1110" i="2"/>
  <c r="T1125" i="2"/>
  <c r="S1110" i="2"/>
  <c r="S1125" i="2"/>
  <c r="R1110" i="2"/>
  <c r="R1125" i="2"/>
  <c r="Q1110" i="2"/>
  <c r="Q1125" i="2"/>
  <c r="P1110" i="2"/>
  <c r="P1125" i="2"/>
  <c r="N1110" i="2"/>
  <c r="N1125" i="2"/>
  <c r="M1110" i="2"/>
  <c r="AY1109" i="2"/>
  <c r="AY1124" i="2"/>
  <c r="AV1109" i="2"/>
  <c r="AV1124" i="2"/>
  <c r="Z1109" i="2"/>
  <c r="Z1124" i="2"/>
  <c r="Y1109" i="2"/>
  <c r="Y1124" i="2"/>
  <c r="X1109" i="2"/>
  <c r="X1124" i="2"/>
  <c r="W1109" i="2"/>
  <c r="W1124" i="2"/>
  <c r="V1109" i="2"/>
  <c r="V1124" i="2"/>
  <c r="U1109" i="2"/>
  <c r="U1124" i="2"/>
  <c r="T1109" i="2"/>
  <c r="T1124" i="2"/>
  <c r="S1109" i="2"/>
  <c r="S1124" i="2"/>
  <c r="R1109" i="2"/>
  <c r="R1124" i="2"/>
  <c r="Q1109" i="2"/>
  <c r="Q1124" i="2"/>
  <c r="P1109" i="2"/>
  <c r="P1124" i="2"/>
  <c r="N1109" i="2"/>
  <c r="N1124" i="2"/>
  <c r="M1109" i="2"/>
  <c r="AY1108" i="2"/>
  <c r="AY1123" i="2"/>
  <c r="AV1108" i="2"/>
  <c r="AV1123" i="2"/>
  <c r="Z1108" i="2"/>
  <c r="Z1123" i="2"/>
  <c r="Y1108" i="2"/>
  <c r="Y1123" i="2"/>
  <c r="X1108" i="2"/>
  <c r="X1123" i="2"/>
  <c r="N1108" i="2"/>
  <c r="N1123" i="2"/>
  <c r="M1108" i="2"/>
  <c r="AY1107" i="2"/>
  <c r="AY1122" i="2"/>
  <c r="AV1107" i="2"/>
  <c r="AV1122" i="2"/>
  <c r="Z1107" i="2"/>
  <c r="Z1122" i="2"/>
  <c r="Y1107" i="2"/>
  <c r="Y1122" i="2"/>
  <c r="X1107" i="2"/>
  <c r="X1122" i="2"/>
  <c r="W1107" i="2"/>
  <c r="W1122" i="2"/>
  <c r="V1107" i="2"/>
  <c r="V1122" i="2"/>
  <c r="U1107" i="2"/>
  <c r="U1122" i="2"/>
  <c r="T1107" i="2"/>
  <c r="T1122" i="2"/>
  <c r="S1107" i="2"/>
  <c r="S1122" i="2"/>
  <c r="R1107" i="2"/>
  <c r="R1122" i="2"/>
  <c r="Q1107" i="2"/>
  <c r="Q1122" i="2"/>
  <c r="P1107" i="2"/>
  <c r="P1122" i="2"/>
  <c r="N1107" i="2"/>
  <c r="N1122" i="2"/>
  <c r="M1107" i="2"/>
  <c r="AY1106" i="2"/>
  <c r="AY1121" i="2"/>
  <c r="AV1106" i="2"/>
  <c r="AV1121" i="2"/>
  <c r="M1106" i="2"/>
  <c r="AY1105" i="2"/>
  <c r="AY1120" i="2"/>
  <c r="AV1105" i="2"/>
  <c r="AV1120" i="2"/>
  <c r="Z1105" i="2"/>
  <c r="Z1120" i="2"/>
  <c r="Y1105" i="2"/>
  <c r="Y1120" i="2"/>
  <c r="X1105" i="2"/>
  <c r="X1120" i="2"/>
  <c r="W1105" i="2"/>
  <c r="W1120" i="2"/>
  <c r="V1105" i="2"/>
  <c r="V1120" i="2"/>
  <c r="U1105" i="2"/>
  <c r="U1120" i="2"/>
  <c r="T1105" i="2"/>
  <c r="T1120" i="2"/>
  <c r="S1105" i="2"/>
  <c r="S1120" i="2"/>
  <c r="R1105" i="2"/>
  <c r="R1120" i="2"/>
  <c r="Q1105" i="2"/>
  <c r="Q1120" i="2"/>
  <c r="P1105" i="2"/>
  <c r="P1120" i="2"/>
  <c r="N1105" i="2"/>
  <c r="N1120" i="2"/>
  <c r="M1105" i="2"/>
  <c r="BO1104" i="2"/>
  <c r="BM1104" i="2"/>
  <c r="BL1104" i="2"/>
  <c r="BK1104" i="2"/>
  <c r="BJ1104" i="2"/>
  <c r="BI1104" i="2"/>
  <c r="BH1104" i="2"/>
  <c r="BG1104" i="2"/>
  <c r="BF1104" i="2"/>
  <c r="BE1104" i="2"/>
  <c r="BE1127" i="2"/>
  <c r="BE1115" i="2"/>
  <c r="BD1104" i="2"/>
  <c r="BD1127" i="2"/>
  <c r="BD1115" i="2"/>
  <c r="BC1104" i="2"/>
  <c r="BC1127" i="2"/>
  <c r="BC1115" i="2"/>
  <c r="BB1104" i="2"/>
  <c r="BA1104" i="2"/>
  <c r="AZ1104" i="2"/>
  <c r="AX1104" i="2"/>
  <c r="AW1104" i="2"/>
  <c r="AU1104" i="2"/>
  <c r="AT1104" i="2"/>
  <c r="AS1104" i="2"/>
  <c r="AR1104" i="2"/>
  <c r="AQ1104" i="2"/>
  <c r="AP1104" i="2"/>
  <c r="AO1104" i="2"/>
  <c r="AN1104" i="2"/>
  <c r="AM1104" i="2"/>
  <c r="AL1104" i="2"/>
  <c r="AK1104" i="2"/>
  <c r="AJ1104" i="2"/>
  <c r="AI1104" i="2"/>
  <c r="AH1104" i="2"/>
  <c r="AG1104" i="2"/>
  <c r="AF1104" i="2"/>
  <c r="AE1104" i="2"/>
  <c r="AD1104" i="2"/>
  <c r="AC1104" i="2"/>
  <c r="AB1104" i="2"/>
  <c r="AA1104" i="2"/>
  <c r="L1104" i="2"/>
  <c r="I1104" i="2"/>
  <c r="H1104" i="2"/>
  <c r="G1104" i="2"/>
  <c r="E1104" i="2"/>
  <c r="D1104" i="2"/>
  <c r="C1104" i="2"/>
  <c r="B1104" i="2"/>
  <c r="A1104" i="2"/>
  <c r="AY1103" i="2"/>
  <c r="AV1103" i="2"/>
  <c r="Z1103" i="2"/>
  <c r="Y1103" i="2"/>
  <c r="X1103" i="2"/>
  <c r="W1103" i="2"/>
  <c r="V1103" i="2"/>
  <c r="U1103" i="2"/>
  <c r="T1103" i="2"/>
  <c r="S1103" i="2"/>
  <c r="R1103" i="2"/>
  <c r="Q1103" i="2"/>
  <c r="P1103" i="2"/>
  <c r="N1103" i="2"/>
  <c r="M1103" i="2"/>
  <c r="M1104" i="2"/>
  <c r="AY1102" i="2"/>
  <c r="AV1102" i="2"/>
  <c r="Z1102" i="2"/>
  <c r="Y1102" i="2"/>
  <c r="X1102" i="2"/>
  <c r="W1102" i="2"/>
  <c r="V1102" i="2"/>
  <c r="U1102" i="2"/>
  <c r="T1102" i="2"/>
  <c r="S1102" i="2"/>
  <c r="R1102" i="2"/>
  <c r="Q1102" i="2"/>
  <c r="P1102" i="2"/>
  <c r="N1102" i="2"/>
  <c r="M1102" i="2"/>
  <c r="AY1101" i="2"/>
  <c r="AV1101" i="2"/>
  <c r="Z1101" i="2"/>
  <c r="Y1101" i="2"/>
  <c r="X1101" i="2"/>
  <c r="W1101" i="2"/>
  <c r="V1101" i="2"/>
  <c r="U1101" i="2"/>
  <c r="T1101" i="2"/>
  <c r="S1101" i="2"/>
  <c r="R1101" i="2"/>
  <c r="Q1101" i="2"/>
  <c r="P1101" i="2"/>
  <c r="N1101" i="2"/>
  <c r="M1101" i="2"/>
  <c r="Z1100" i="2"/>
  <c r="Y1100" i="2"/>
  <c r="X1100" i="2"/>
  <c r="W1100" i="2"/>
  <c r="V1100" i="2"/>
  <c r="U1100" i="2"/>
  <c r="T1100" i="2"/>
  <c r="S1100" i="2"/>
  <c r="R1100" i="2"/>
  <c r="Q1100" i="2"/>
  <c r="P1100" i="2"/>
  <c r="N1100" i="2"/>
  <c r="M1100" i="2"/>
  <c r="Z1024" i="2"/>
  <c r="Y1024" i="2"/>
  <c r="X1024" i="2"/>
  <c r="W1024" i="2"/>
  <c r="V1024" i="2"/>
  <c r="U1024" i="2"/>
  <c r="T1024" i="2"/>
  <c r="S1024" i="2"/>
  <c r="R1024" i="2"/>
  <c r="Q1024" i="2"/>
  <c r="P1024" i="2"/>
  <c r="N1024" i="2"/>
  <c r="M1024" i="2"/>
  <c r="Z1023" i="2"/>
  <c r="Y1023" i="2"/>
  <c r="X1023" i="2"/>
  <c r="W1023" i="2"/>
  <c r="V1023" i="2"/>
  <c r="U1023" i="2"/>
  <c r="T1023" i="2"/>
  <c r="S1023" i="2"/>
  <c r="R1023" i="2"/>
  <c r="Q1023" i="2"/>
  <c r="P1023" i="2"/>
  <c r="N1023" i="2"/>
  <c r="M1023" i="2"/>
  <c r="M1022" i="2"/>
  <c r="BO1022" i="2"/>
  <c r="BM1022" i="2"/>
  <c r="BL1022" i="2"/>
  <c r="BK1022" i="2"/>
  <c r="BJ1022" i="2"/>
  <c r="BI1022" i="2"/>
  <c r="BH1022" i="2"/>
  <c r="BG1022" i="2"/>
  <c r="BF1022" i="2"/>
  <c r="BB1022" i="2"/>
  <c r="BA1022" i="2"/>
  <c r="AZ1022" i="2"/>
  <c r="AX1022" i="2"/>
  <c r="AW1022" i="2"/>
  <c r="AU1022" i="2"/>
  <c r="AT1022" i="2"/>
  <c r="AS1022" i="2"/>
  <c r="AR1022" i="2"/>
  <c r="AQ1022" i="2"/>
  <c r="AP1022" i="2"/>
  <c r="AO1022" i="2"/>
  <c r="AN1022" i="2"/>
  <c r="AM1022" i="2"/>
  <c r="AL1022" i="2"/>
  <c r="AK1022" i="2"/>
  <c r="AJ1022" i="2"/>
  <c r="AI1022" i="2"/>
  <c r="AH1022" i="2"/>
  <c r="AG1022" i="2"/>
  <c r="AF1022" i="2"/>
  <c r="AE1022" i="2"/>
  <c r="AD1022" i="2"/>
  <c r="AC1022" i="2"/>
  <c r="AB1022" i="2"/>
  <c r="AA1022" i="2"/>
  <c r="L1022" i="2"/>
  <c r="I1022" i="2"/>
  <c r="H1022" i="2"/>
  <c r="G1022" i="2"/>
  <c r="E1022" i="2"/>
  <c r="D1022" i="2"/>
  <c r="C1022" i="2"/>
  <c r="B1022" i="2"/>
  <c r="A1022" i="2"/>
  <c r="Z1021" i="2"/>
  <c r="Z1036" i="2"/>
  <c r="Y1021" i="2"/>
  <c r="Y1036" i="2"/>
  <c r="X1021" i="2"/>
  <c r="X1036" i="2"/>
  <c r="W1021" i="2"/>
  <c r="W1036" i="2"/>
  <c r="V1021" i="2"/>
  <c r="V1036" i="2"/>
  <c r="U1021" i="2"/>
  <c r="U1036" i="2"/>
  <c r="T1021" i="2"/>
  <c r="T1036" i="2"/>
  <c r="S1021" i="2"/>
  <c r="S1036" i="2"/>
  <c r="R1021" i="2"/>
  <c r="R1036" i="2"/>
  <c r="Q1021" i="2"/>
  <c r="Q1036" i="2"/>
  <c r="P1021" i="2"/>
  <c r="P1036" i="2"/>
  <c r="N1021" i="2"/>
  <c r="N1036" i="2"/>
  <c r="M1021" i="2"/>
  <c r="Z1020" i="2"/>
  <c r="Z1035" i="2"/>
  <c r="Y1020" i="2"/>
  <c r="Y1035" i="2"/>
  <c r="X1020" i="2"/>
  <c r="X1035" i="2"/>
  <c r="W1020" i="2"/>
  <c r="W1035" i="2"/>
  <c r="V1020" i="2"/>
  <c r="V1035" i="2"/>
  <c r="U1020" i="2"/>
  <c r="U1035" i="2"/>
  <c r="T1020" i="2"/>
  <c r="T1035" i="2"/>
  <c r="S1020" i="2"/>
  <c r="S1035" i="2"/>
  <c r="R1020" i="2"/>
  <c r="R1035" i="2"/>
  <c r="Q1020" i="2"/>
  <c r="Q1035" i="2"/>
  <c r="P1020" i="2"/>
  <c r="P1035" i="2"/>
  <c r="N1020" i="2"/>
  <c r="N1035" i="2"/>
  <c r="M1020" i="2"/>
  <c r="Z1019" i="2"/>
  <c r="Z1034" i="2"/>
  <c r="Y1019" i="2"/>
  <c r="Y1034" i="2"/>
  <c r="X1019" i="2"/>
  <c r="X1034" i="2"/>
  <c r="N1019" i="2"/>
  <c r="N1034" i="2"/>
  <c r="M1019" i="2"/>
  <c r="Z1018" i="2"/>
  <c r="Z1033" i="2"/>
  <c r="Y1018" i="2"/>
  <c r="Y1033" i="2"/>
  <c r="X1018" i="2"/>
  <c r="X1033" i="2"/>
  <c r="W1018" i="2"/>
  <c r="W1033" i="2"/>
  <c r="V1018" i="2"/>
  <c r="V1033" i="2"/>
  <c r="U1018" i="2"/>
  <c r="U1033" i="2"/>
  <c r="T1018" i="2"/>
  <c r="T1033" i="2"/>
  <c r="S1018" i="2"/>
  <c r="S1033" i="2"/>
  <c r="R1018" i="2"/>
  <c r="R1033" i="2"/>
  <c r="Q1018" i="2"/>
  <c r="Q1033" i="2"/>
  <c r="P1018" i="2"/>
  <c r="P1033" i="2"/>
  <c r="N1018" i="2"/>
  <c r="N1033" i="2"/>
  <c r="M1018" i="2"/>
  <c r="Z1017" i="2"/>
  <c r="Z1032" i="2"/>
  <c r="Y1017" i="2"/>
  <c r="Y1032" i="2"/>
  <c r="X1017" i="2"/>
  <c r="X1032" i="2"/>
  <c r="W1017" i="2"/>
  <c r="W1032" i="2"/>
  <c r="V1017" i="2"/>
  <c r="V1032" i="2"/>
  <c r="U1017" i="2"/>
  <c r="U1032" i="2"/>
  <c r="T1017" i="2"/>
  <c r="T1032" i="2"/>
  <c r="S1017" i="2"/>
  <c r="S1032" i="2"/>
  <c r="R1017" i="2"/>
  <c r="R1032" i="2"/>
  <c r="Q1017" i="2"/>
  <c r="Q1032" i="2"/>
  <c r="P1017" i="2"/>
  <c r="P1032" i="2"/>
  <c r="M1017" i="2"/>
  <c r="Z1016" i="2"/>
  <c r="Z1031" i="2"/>
  <c r="Y1016" i="2"/>
  <c r="Y1031" i="2"/>
  <c r="X1016" i="2"/>
  <c r="X1031" i="2"/>
  <c r="W1016" i="2"/>
  <c r="W1031" i="2"/>
  <c r="V1016" i="2"/>
  <c r="V1031" i="2"/>
  <c r="U1016" i="2"/>
  <c r="U1031" i="2"/>
  <c r="T1016" i="2"/>
  <c r="T1031" i="2"/>
  <c r="S1016" i="2"/>
  <c r="S1031" i="2"/>
  <c r="R1016" i="2"/>
  <c r="R1031" i="2"/>
  <c r="Q1016" i="2"/>
  <c r="Q1031" i="2"/>
  <c r="P1016" i="2"/>
  <c r="P1031" i="2"/>
  <c r="N1016" i="2"/>
  <c r="N1031" i="2"/>
  <c r="M1016" i="2"/>
  <c r="Z1015" i="2"/>
  <c r="Z1030" i="2"/>
  <c r="Y1015" i="2"/>
  <c r="Y1030" i="2"/>
  <c r="X1015" i="2"/>
  <c r="X1030" i="2"/>
  <c r="W1015" i="2"/>
  <c r="W1030" i="2"/>
  <c r="V1015" i="2"/>
  <c r="V1030" i="2"/>
  <c r="U1015" i="2"/>
  <c r="U1030" i="2"/>
  <c r="T1015" i="2"/>
  <c r="T1030" i="2"/>
  <c r="S1015" i="2"/>
  <c r="S1030" i="2"/>
  <c r="R1015" i="2"/>
  <c r="R1030" i="2"/>
  <c r="Q1015" i="2"/>
  <c r="Q1030" i="2"/>
  <c r="P1015" i="2"/>
  <c r="P1030" i="2"/>
  <c r="N1015" i="2"/>
  <c r="N1030" i="2"/>
  <c r="M1015" i="2"/>
  <c r="BO1014" i="2"/>
  <c r="BM1014" i="2"/>
  <c r="BL1014" i="2"/>
  <c r="BK1014" i="2"/>
  <c r="BJ1014" i="2"/>
  <c r="BI1014" i="2"/>
  <c r="BH1014" i="2"/>
  <c r="BG1014" i="2"/>
  <c r="BF1014" i="2"/>
  <c r="BB1014" i="2"/>
  <c r="BA1014" i="2"/>
  <c r="AZ1014" i="2"/>
  <c r="AX1014" i="2"/>
  <c r="AW1014" i="2"/>
  <c r="AU1014" i="2"/>
  <c r="AT1014" i="2"/>
  <c r="AS1014" i="2"/>
  <c r="AR1014" i="2"/>
  <c r="AQ1014" i="2"/>
  <c r="AP1014" i="2"/>
  <c r="AO1014" i="2"/>
  <c r="AN1014" i="2"/>
  <c r="AM1014" i="2"/>
  <c r="AL1014" i="2"/>
  <c r="AK1014" i="2"/>
  <c r="AJ1014" i="2"/>
  <c r="AI1014" i="2"/>
  <c r="AH1014" i="2"/>
  <c r="AG1014" i="2"/>
  <c r="AF1014" i="2"/>
  <c r="AE1014" i="2"/>
  <c r="AD1014" i="2"/>
  <c r="AC1014" i="2"/>
  <c r="AB1014" i="2"/>
  <c r="AA1014" i="2"/>
  <c r="L1014" i="2"/>
  <c r="I1014" i="2"/>
  <c r="H1014" i="2"/>
  <c r="G1014" i="2"/>
  <c r="E1014" i="2"/>
  <c r="D1014" i="2"/>
  <c r="C1014" i="2"/>
  <c r="B1014" i="2"/>
  <c r="A1014" i="2"/>
  <c r="Z1013" i="2"/>
  <c r="Y1013" i="2"/>
  <c r="X1013" i="2"/>
  <c r="W1013" i="2"/>
  <c r="V1013" i="2"/>
  <c r="U1013" i="2"/>
  <c r="T1013" i="2"/>
  <c r="S1013" i="2"/>
  <c r="R1013" i="2"/>
  <c r="Q1013" i="2"/>
  <c r="P1013" i="2"/>
  <c r="N1013" i="2"/>
  <c r="M1013" i="2"/>
  <c r="M1014" i="2"/>
  <c r="Z1012" i="2"/>
  <c r="Y1012" i="2"/>
  <c r="X1012" i="2"/>
  <c r="W1012" i="2"/>
  <c r="V1012" i="2"/>
  <c r="U1012" i="2"/>
  <c r="T1012" i="2"/>
  <c r="S1012" i="2"/>
  <c r="R1012" i="2"/>
  <c r="Q1012" i="2"/>
  <c r="P1012" i="2"/>
  <c r="N1012" i="2"/>
  <c r="M1012" i="2"/>
  <c r="AV1011" i="2"/>
  <c r="Z1011" i="2"/>
  <c r="Y1011" i="2"/>
  <c r="X1011" i="2"/>
  <c r="W1011" i="2"/>
  <c r="V1011" i="2"/>
  <c r="U1011" i="2"/>
  <c r="T1011" i="2"/>
  <c r="S1011" i="2"/>
  <c r="R1011" i="2"/>
  <c r="Q1011" i="2"/>
  <c r="P1011" i="2"/>
  <c r="N1011" i="2"/>
  <c r="M1011" i="2"/>
  <c r="N1010" i="2"/>
  <c r="M1010" i="2"/>
  <c r="Z994" i="2"/>
  <c r="Y994" i="2"/>
  <c r="X994" i="2"/>
  <c r="W994" i="2"/>
  <c r="V994" i="2"/>
  <c r="U994" i="2"/>
  <c r="T994" i="2"/>
  <c r="S994" i="2"/>
  <c r="R994" i="2"/>
  <c r="Q994" i="2"/>
  <c r="P994" i="2"/>
  <c r="N994" i="2"/>
  <c r="M994" i="2"/>
  <c r="Z993" i="2"/>
  <c r="Y993" i="2"/>
  <c r="X993" i="2"/>
  <c r="W993" i="2"/>
  <c r="V993" i="2"/>
  <c r="U993" i="2"/>
  <c r="T993" i="2"/>
  <c r="S993" i="2"/>
  <c r="R993" i="2"/>
  <c r="Q993" i="2"/>
  <c r="P993" i="2"/>
  <c r="N993" i="2"/>
  <c r="M993" i="2"/>
  <c r="M992" i="2"/>
  <c r="BO992" i="2"/>
  <c r="BM992" i="2"/>
  <c r="BL992" i="2"/>
  <c r="BK992" i="2"/>
  <c r="BJ992" i="2"/>
  <c r="BI992" i="2"/>
  <c r="BH992" i="2"/>
  <c r="BG992" i="2"/>
  <c r="BF992" i="2"/>
  <c r="BB992" i="2"/>
  <c r="BA992" i="2"/>
  <c r="AZ992" i="2"/>
  <c r="AX992" i="2"/>
  <c r="AW992" i="2"/>
  <c r="AU992" i="2"/>
  <c r="AT992" i="2"/>
  <c r="AS992" i="2"/>
  <c r="AR992" i="2"/>
  <c r="AQ992" i="2"/>
  <c r="AP992" i="2"/>
  <c r="AO992" i="2"/>
  <c r="AN992" i="2"/>
  <c r="AM992" i="2"/>
  <c r="AL992" i="2"/>
  <c r="AK992" i="2"/>
  <c r="AJ992" i="2"/>
  <c r="AI992" i="2"/>
  <c r="AH992" i="2"/>
  <c r="AG992" i="2"/>
  <c r="AF992" i="2"/>
  <c r="AE992" i="2"/>
  <c r="AD992" i="2"/>
  <c r="AC992" i="2"/>
  <c r="AB992" i="2"/>
  <c r="AA992" i="2"/>
  <c r="L992" i="2"/>
  <c r="I992" i="2"/>
  <c r="H992" i="2"/>
  <c r="G992" i="2"/>
  <c r="E992" i="2"/>
  <c r="D992" i="2"/>
  <c r="C992" i="2"/>
  <c r="B992" i="2"/>
  <c r="A992" i="2"/>
  <c r="Z991" i="2"/>
  <c r="Z1006" i="2"/>
  <c r="Y991" i="2"/>
  <c r="Y1006" i="2"/>
  <c r="X991" i="2"/>
  <c r="X1006" i="2"/>
  <c r="W991" i="2"/>
  <c r="W1006" i="2"/>
  <c r="V991" i="2"/>
  <c r="V1006" i="2"/>
  <c r="U991" i="2"/>
  <c r="U1006" i="2"/>
  <c r="T991" i="2"/>
  <c r="T1006" i="2"/>
  <c r="S991" i="2"/>
  <c r="S1006" i="2"/>
  <c r="R991" i="2"/>
  <c r="R1006" i="2"/>
  <c r="Q991" i="2"/>
  <c r="Q1006" i="2"/>
  <c r="P991" i="2"/>
  <c r="P1006" i="2"/>
  <c r="M991" i="2"/>
  <c r="Z990" i="2"/>
  <c r="Z1005" i="2"/>
  <c r="Y990" i="2"/>
  <c r="Y1005" i="2"/>
  <c r="X990" i="2"/>
  <c r="X1005" i="2"/>
  <c r="W990" i="2"/>
  <c r="W1005" i="2"/>
  <c r="V990" i="2"/>
  <c r="V1005" i="2"/>
  <c r="U990" i="2"/>
  <c r="U1005" i="2"/>
  <c r="T990" i="2"/>
  <c r="T1005" i="2"/>
  <c r="S990" i="2"/>
  <c r="S1005" i="2"/>
  <c r="R990" i="2"/>
  <c r="R1005" i="2"/>
  <c r="Q990" i="2"/>
  <c r="Q1005" i="2"/>
  <c r="P990" i="2"/>
  <c r="P1005" i="2"/>
  <c r="N990" i="2"/>
  <c r="N1005" i="2"/>
  <c r="M990" i="2"/>
  <c r="Z989" i="2"/>
  <c r="Z1004" i="2"/>
  <c r="Y989" i="2"/>
  <c r="Y1004" i="2"/>
  <c r="X989" i="2"/>
  <c r="X1004" i="2"/>
  <c r="W989" i="2"/>
  <c r="W1004" i="2"/>
  <c r="V989" i="2"/>
  <c r="V1004" i="2"/>
  <c r="U989" i="2"/>
  <c r="U1004" i="2"/>
  <c r="T989" i="2"/>
  <c r="T1004" i="2"/>
  <c r="S989" i="2"/>
  <c r="S1004" i="2"/>
  <c r="R989" i="2"/>
  <c r="R1004" i="2"/>
  <c r="Q989" i="2"/>
  <c r="Q1004" i="2"/>
  <c r="P989" i="2"/>
  <c r="P1004" i="2"/>
  <c r="N989" i="2"/>
  <c r="N1004" i="2"/>
  <c r="M989" i="2"/>
  <c r="Z988" i="2"/>
  <c r="Z1003" i="2"/>
  <c r="Y988" i="2"/>
  <c r="Y1003" i="2"/>
  <c r="X988" i="2"/>
  <c r="X1003" i="2"/>
  <c r="N988" i="2"/>
  <c r="N1003" i="2"/>
  <c r="M988" i="2"/>
  <c r="Z987" i="2"/>
  <c r="Z1002" i="2"/>
  <c r="Y987" i="2"/>
  <c r="Y1002" i="2"/>
  <c r="X987" i="2"/>
  <c r="X1002" i="2"/>
  <c r="W987" i="2"/>
  <c r="W1002" i="2"/>
  <c r="V987" i="2"/>
  <c r="V1002" i="2"/>
  <c r="U987" i="2"/>
  <c r="U1002" i="2"/>
  <c r="T987" i="2"/>
  <c r="T1002" i="2"/>
  <c r="S987" i="2"/>
  <c r="S1002" i="2"/>
  <c r="R987" i="2"/>
  <c r="R1002" i="2"/>
  <c r="Q987" i="2"/>
  <c r="Q1002" i="2"/>
  <c r="P987" i="2"/>
  <c r="P1002" i="2"/>
  <c r="M987" i="2"/>
  <c r="Z986" i="2"/>
  <c r="Z1001" i="2"/>
  <c r="Y986" i="2"/>
  <c r="Y1001" i="2"/>
  <c r="X986" i="2"/>
  <c r="X1001" i="2"/>
  <c r="W986" i="2"/>
  <c r="W1001" i="2"/>
  <c r="V986" i="2"/>
  <c r="V1001" i="2"/>
  <c r="U986" i="2"/>
  <c r="U1001" i="2"/>
  <c r="T986" i="2"/>
  <c r="T1001" i="2"/>
  <c r="S986" i="2"/>
  <c r="S1001" i="2"/>
  <c r="R986" i="2"/>
  <c r="R1001" i="2"/>
  <c r="Q986" i="2"/>
  <c r="Q1001" i="2"/>
  <c r="P986" i="2"/>
  <c r="P1001" i="2"/>
  <c r="N986" i="2"/>
  <c r="N1001" i="2"/>
  <c r="M986" i="2"/>
  <c r="Z985" i="2"/>
  <c r="Z1000" i="2"/>
  <c r="Y985" i="2"/>
  <c r="Y1000" i="2"/>
  <c r="X985" i="2"/>
  <c r="X1000" i="2"/>
  <c r="W985" i="2"/>
  <c r="W1000" i="2"/>
  <c r="V985" i="2"/>
  <c r="V1000" i="2"/>
  <c r="U985" i="2"/>
  <c r="U1000" i="2"/>
  <c r="T985" i="2"/>
  <c r="T1000" i="2"/>
  <c r="S985" i="2"/>
  <c r="S1000" i="2"/>
  <c r="R985" i="2"/>
  <c r="R1000" i="2"/>
  <c r="Q985" i="2"/>
  <c r="Q1000" i="2"/>
  <c r="P985" i="2"/>
  <c r="P1000" i="2"/>
  <c r="N985" i="2"/>
  <c r="N1000" i="2"/>
  <c r="M985" i="2"/>
  <c r="BO984" i="2"/>
  <c r="BM984" i="2"/>
  <c r="BL984" i="2"/>
  <c r="BK984" i="2"/>
  <c r="BJ984" i="2"/>
  <c r="BI984" i="2"/>
  <c r="BH984" i="2"/>
  <c r="BG984" i="2"/>
  <c r="BF984" i="2"/>
  <c r="BB984" i="2"/>
  <c r="BA984" i="2"/>
  <c r="AZ984" i="2"/>
  <c r="AX984" i="2"/>
  <c r="AW984" i="2"/>
  <c r="AU984" i="2"/>
  <c r="AT984" i="2"/>
  <c r="AS984" i="2"/>
  <c r="AR984" i="2"/>
  <c r="AQ984" i="2"/>
  <c r="AP984" i="2"/>
  <c r="AO984" i="2"/>
  <c r="AN984" i="2"/>
  <c r="AM984" i="2"/>
  <c r="AL984" i="2"/>
  <c r="AK984" i="2"/>
  <c r="AJ984" i="2"/>
  <c r="AI984" i="2"/>
  <c r="AH984" i="2"/>
  <c r="AG984" i="2"/>
  <c r="AF984" i="2"/>
  <c r="AE984" i="2"/>
  <c r="AD984" i="2"/>
  <c r="AC984" i="2"/>
  <c r="AB984" i="2"/>
  <c r="AA984" i="2"/>
  <c r="L984" i="2"/>
  <c r="I984" i="2"/>
  <c r="H984" i="2"/>
  <c r="G984" i="2"/>
  <c r="E984" i="2"/>
  <c r="D984" i="2"/>
  <c r="C984" i="2"/>
  <c r="B984" i="2"/>
  <c r="A984" i="2"/>
  <c r="Z983" i="2"/>
  <c r="Y983" i="2"/>
  <c r="X983" i="2"/>
  <c r="W983" i="2"/>
  <c r="V983" i="2"/>
  <c r="U983" i="2"/>
  <c r="T983" i="2"/>
  <c r="S983" i="2"/>
  <c r="R983" i="2"/>
  <c r="Q983" i="2"/>
  <c r="P983" i="2"/>
  <c r="N983" i="2"/>
  <c r="M983" i="2"/>
  <c r="M984" i="2"/>
  <c r="Z982" i="2"/>
  <c r="Y982" i="2"/>
  <c r="X982" i="2"/>
  <c r="W982" i="2"/>
  <c r="V982" i="2"/>
  <c r="U982" i="2"/>
  <c r="T982" i="2"/>
  <c r="S982" i="2"/>
  <c r="R982" i="2"/>
  <c r="Q982" i="2"/>
  <c r="P982" i="2"/>
  <c r="N982" i="2"/>
  <c r="M982" i="2"/>
  <c r="AY981" i="2"/>
  <c r="AV981" i="2"/>
  <c r="Z981" i="2"/>
  <c r="Y981" i="2"/>
  <c r="X981" i="2"/>
  <c r="W981" i="2"/>
  <c r="V981" i="2"/>
  <c r="U981" i="2"/>
  <c r="T981" i="2"/>
  <c r="S981" i="2"/>
  <c r="R981" i="2"/>
  <c r="Q981" i="2"/>
  <c r="P981" i="2"/>
  <c r="N981" i="2"/>
  <c r="M981" i="2"/>
  <c r="Z980" i="2"/>
  <c r="Y980" i="2"/>
  <c r="X980" i="2"/>
  <c r="W980" i="2"/>
  <c r="V980" i="2"/>
  <c r="U980" i="2"/>
  <c r="T980" i="2"/>
  <c r="S980" i="2"/>
  <c r="R980" i="2"/>
  <c r="Q980" i="2"/>
  <c r="P980" i="2"/>
  <c r="N980" i="2"/>
  <c r="M980" i="2"/>
  <c r="Z964" i="2"/>
  <c r="Y964" i="2"/>
  <c r="X964" i="2"/>
  <c r="W964" i="2"/>
  <c r="V964" i="2"/>
  <c r="U964" i="2"/>
  <c r="T964" i="2"/>
  <c r="S964" i="2"/>
  <c r="R964" i="2"/>
  <c r="Q964" i="2"/>
  <c r="P964" i="2"/>
  <c r="N964" i="2"/>
  <c r="M964" i="2"/>
  <c r="Z963" i="2"/>
  <c r="Y963" i="2"/>
  <c r="X963" i="2"/>
  <c r="W963" i="2"/>
  <c r="V963" i="2"/>
  <c r="U963" i="2"/>
  <c r="T963" i="2"/>
  <c r="S963" i="2"/>
  <c r="R963" i="2"/>
  <c r="Q963" i="2"/>
  <c r="P963" i="2"/>
  <c r="N963" i="2"/>
  <c r="M963" i="2"/>
  <c r="M962" i="2"/>
  <c r="BO962" i="2"/>
  <c r="BM962" i="2"/>
  <c r="BL962" i="2"/>
  <c r="BK962" i="2"/>
  <c r="BJ962" i="2"/>
  <c r="BI962" i="2"/>
  <c r="BH962" i="2"/>
  <c r="BG962" i="2"/>
  <c r="BF962" i="2"/>
  <c r="BB962" i="2"/>
  <c r="BA962" i="2"/>
  <c r="AZ962" i="2"/>
  <c r="AX962" i="2"/>
  <c r="AW962" i="2"/>
  <c r="AU962" i="2"/>
  <c r="AT962" i="2"/>
  <c r="AS962" i="2"/>
  <c r="AR962" i="2"/>
  <c r="AQ962" i="2"/>
  <c r="AP962" i="2"/>
  <c r="AO962" i="2"/>
  <c r="AN962" i="2"/>
  <c r="AM962" i="2"/>
  <c r="AL962" i="2"/>
  <c r="AK962" i="2"/>
  <c r="AJ962" i="2"/>
  <c r="AI962" i="2"/>
  <c r="AH962" i="2"/>
  <c r="AG962" i="2"/>
  <c r="AF962" i="2"/>
  <c r="AE962" i="2"/>
  <c r="AD962" i="2"/>
  <c r="AC962" i="2"/>
  <c r="AB962" i="2"/>
  <c r="AA962" i="2"/>
  <c r="L962" i="2"/>
  <c r="I962" i="2"/>
  <c r="H962" i="2"/>
  <c r="G962" i="2"/>
  <c r="E962" i="2"/>
  <c r="D962" i="2"/>
  <c r="C962" i="2"/>
  <c r="B962" i="2"/>
  <c r="A962" i="2"/>
  <c r="Z961" i="2"/>
  <c r="Z976" i="2"/>
  <c r="Y961" i="2"/>
  <c r="Y976" i="2"/>
  <c r="X961" i="2"/>
  <c r="X976" i="2"/>
  <c r="W961" i="2"/>
  <c r="W976" i="2"/>
  <c r="V961" i="2"/>
  <c r="V976" i="2"/>
  <c r="U961" i="2"/>
  <c r="U976" i="2"/>
  <c r="T961" i="2"/>
  <c r="T976" i="2"/>
  <c r="S961" i="2"/>
  <c r="S976" i="2"/>
  <c r="R961" i="2"/>
  <c r="R976" i="2"/>
  <c r="Q961" i="2"/>
  <c r="Q976" i="2"/>
  <c r="P961" i="2"/>
  <c r="P976" i="2"/>
  <c r="M961" i="2"/>
  <c r="Z960" i="2"/>
  <c r="Z975" i="2"/>
  <c r="Y960" i="2"/>
  <c r="Y975" i="2"/>
  <c r="X960" i="2"/>
  <c r="X975" i="2"/>
  <c r="W960" i="2"/>
  <c r="W975" i="2"/>
  <c r="V960" i="2"/>
  <c r="V975" i="2"/>
  <c r="U960" i="2"/>
  <c r="U975" i="2"/>
  <c r="T960" i="2"/>
  <c r="T975" i="2"/>
  <c r="S960" i="2"/>
  <c r="S975" i="2"/>
  <c r="R960" i="2"/>
  <c r="R975" i="2"/>
  <c r="Q960" i="2"/>
  <c r="Q975" i="2"/>
  <c r="P960" i="2"/>
  <c r="P975" i="2"/>
  <c r="N960" i="2"/>
  <c r="N975" i="2"/>
  <c r="M960" i="2"/>
  <c r="Z959" i="2"/>
  <c r="Z974" i="2"/>
  <c r="Y959" i="2"/>
  <c r="Y974" i="2"/>
  <c r="X959" i="2"/>
  <c r="X974" i="2"/>
  <c r="W959" i="2"/>
  <c r="W974" i="2"/>
  <c r="V959" i="2"/>
  <c r="V974" i="2"/>
  <c r="U959" i="2"/>
  <c r="U974" i="2"/>
  <c r="T959" i="2"/>
  <c r="T974" i="2"/>
  <c r="S959" i="2"/>
  <c r="S974" i="2"/>
  <c r="R959" i="2"/>
  <c r="R974" i="2"/>
  <c r="Q959" i="2"/>
  <c r="Q974" i="2"/>
  <c r="P959" i="2"/>
  <c r="P974" i="2"/>
  <c r="N959" i="2"/>
  <c r="N974" i="2"/>
  <c r="M959" i="2"/>
  <c r="Z958" i="2"/>
  <c r="Z973" i="2"/>
  <c r="Y958" i="2"/>
  <c r="Y973" i="2"/>
  <c r="X958" i="2"/>
  <c r="X973" i="2"/>
  <c r="N958" i="2"/>
  <c r="N973" i="2"/>
  <c r="M958" i="2"/>
  <c r="Z957" i="2"/>
  <c r="Z972" i="2"/>
  <c r="Y957" i="2"/>
  <c r="Y972" i="2"/>
  <c r="X957" i="2"/>
  <c r="X972" i="2"/>
  <c r="W957" i="2"/>
  <c r="W972" i="2"/>
  <c r="V957" i="2"/>
  <c r="V972" i="2"/>
  <c r="U957" i="2"/>
  <c r="U972" i="2"/>
  <c r="T957" i="2"/>
  <c r="T972" i="2"/>
  <c r="S957" i="2"/>
  <c r="S972" i="2"/>
  <c r="R957" i="2"/>
  <c r="R972" i="2"/>
  <c r="Q957" i="2"/>
  <c r="Q972" i="2"/>
  <c r="P957" i="2"/>
  <c r="P972" i="2"/>
  <c r="N957" i="2"/>
  <c r="N972" i="2"/>
  <c r="M957" i="2"/>
  <c r="Z956" i="2"/>
  <c r="Y956" i="2"/>
  <c r="X956" i="2"/>
  <c r="W956" i="2"/>
  <c r="V956" i="2"/>
  <c r="U956" i="2"/>
  <c r="T956" i="2"/>
  <c r="S956" i="2"/>
  <c r="R956" i="2"/>
  <c r="Q956" i="2"/>
  <c r="P956" i="2"/>
  <c r="N956" i="2"/>
  <c r="M956" i="2"/>
  <c r="Z955" i="2"/>
  <c r="Z970" i="2"/>
  <c r="Y955" i="2"/>
  <c r="Y970" i="2"/>
  <c r="X955" i="2"/>
  <c r="X970" i="2"/>
  <c r="W955" i="2"/>
  <c r="W970" i="2"/>
  <c r="V955" i="2"/>
  <c r="V970" i="2"/>
  <c r="U955" i="2"/>
  <c r="U970" i="2"/>
  <c r="T955" i="2"/>
  <c r="T970" i="2"/>
  <c r="S955" i="2"/>
  <c r="S970" i="2"/>
  <c r="R955" i="2"/>
  <c r="R970" i="2"/>
  <c r="Q955" i="2"/>
  <c r="Q970" i="2"/>
  <c r="P955" i="2"/>
  <c r="P970" i="2"/>
  <c r="N955" i="2"/>
  <c r="N970" i="2"/>
  <c r="M955" i="2"/>
  <c r="BO954" i="2"/>
  <c r="BM954" i="2"/>
  <c r="BL954" i="2"/>
  <c r="BK954" i="2"/>
  <c r="BJ954" i="2"/>
  <c r="BI954" i="2"/>
  <c r="BH954" i="2"/>
  <c r="BG954" i="2"/>
  <c r="BF954" i="2"/>
  <c r="BB954" i="2"/>
  <c r="BA954" i="2"/>
  <c r="AZ954" i="2"/>
  <c r="AX954" i="2"/>
  <c r="AW954" i="2"/>
  <c r="AU954" i="2"/>
  <c r="AT954" i="2"/>
  <c r="AS954" i="2"/>
  <c r="AR954" i="2"/>
  <c r="AQ954" i="2"/>
  <c r="AP954" i="2"/>
  <c r="AO954" i="2"/>
  <c r="AN954" i="2"/>
  <c r="AM954" i="2"/>
  <c r="AL954" i="2"/>
  <c r="AK954" i="2"/>
  <c r="AJ954" i="2"/>
  <c r="AI954" i="2"/>
  <c r="AH954" i="2"/>
  <c r="AG954" i="2"/>
  <c r="AF954" i="2"/>
  <c r="AE954" i="2"/>
  <c r="AD954" i="2"/>
  <c r="AC954" i="2"/>
  <c r="AB954" i="2"/>
  <c r="AA954" i="2"/>
  <c r="L954" i="2"/>
  <c r="I954" i="2"/>
  <c r="H954" i="2"/>
  <c r="G954" i="2"/>
  <c r="E954" i="2"/>
  <c r="D954" i="2"/>
  <c r="C954" i="2"/>
  <c r="B954" i="2"/>
  <c r="A954" i="2"/>
  <c r="Z953" i="2"/>
  <c r="Y953" i="2"/>
  <c r="X953" i="2"/>
  <c r="W953" i="2"/>
  <c r="V953" i="2"/>
  <c r="U953" i="2"/>
  <c r="T953" i="2"/>
  <c r="S953" i="2"/>
  <c r="R953" i="2"/>
  <c r="Q953" i="2"/>
  <c r="P953" i="2"/>
  <c r="N953" i="2"/>
  <c r="M953" i="2"/>
  <c r="M954" i="2"/>
  <c r="Z952" i="2"/>
  <c r="Y952" i="2"/>
  <c r="X952" i="2"/>
  <c r="W952" i="2"/>
  <c r="V952" i="2"/>
  <c r="U952" i="2"/>
  <c r="T952" i="2"/>
  <c r="S952" i="2"/>
  <c r="R952" i="2"/>
  <c r="Q952" i="2"/>
  <c r="P952" i="2"/>
  <c r="N952" i="2"/>
  <c r="M952" i="2"/>
  <c r="AV951" i="2"/>
  <c r="Z951" i="2"/>
  <c r="Y951" i="2"/>
  <c r="X951" i="2"/>
  <c r="W951" i="2"/>
  <c r="V951" i="2"/>
  <c r="U951" i="2"/>
  <c r="T951" i="2"/>
  <c r="S951" i="2"/>
  <c r="R951" i="2"/>
  <c r="Q951" i="2"/>
  <c r="P951" i="2"/>
  <c r="N951" i="2"/>
  <c r="M951" i="2"/>
  <c r="Z950" i="2"/>
  <c r="Z1010" i="2"/>
  <c r="Y950" i="2"/>
  <c r="Y1010" i="2"/>
  <c r="X950" i="2"/>
  <c r="X1010" i="2"/>
  <c r="W950" i="2"/>
  <c r="W1010" i="2"/>
  <c r="V950" i="2"/>
  <c r="V1010" i="2"/>
  <c r="U950" i="2"/>
  <c r="U1010" i="2"/>
  <c r="T950" i="2"/>
  <c r="T1010" i="2"/>
  <c r="S950" i="2"/>
  <c r="S1010" i="2"/>
  <c r="R950" i="2"/>
  <c r="R1010" i="2"/>
  <c r="Q950" i="2"/>
  <c r="Q1010" i="2"/>
  <c r="P950" i="2"/>
  <c r="P1010" i="2"/>
  <c r="N950" i="2"/>
  <c r="M950" i="2"/>
  <c r="BO932" i="2"/>
  <c r="BM932" i="2"/>
  <c r="BL932" i="2"/>
  <c r="BK932" i="2"/>
  <c r="BJ932" i="2"/>
  <c r="BI932" i="2"/>
  <c r="BH932" i="2"/>
  <c r="BG932" i="2"/>
  <c r="BF932" i="2"/>
  <c r="AU932" i="2"/>
  <c r="AT932" i="2"/>
  <c r="AS932" i="2"/>
  <c r="AR932" i="2"/>
  <c r="AQ932" i="2"/>
  <c r="AP932" i="2"/>
  <c r="AO932" i="2"/>
  <c r="AN932" i="2"/>
  <c r="AM932" i="2"/>
  <c r="AL932" i="2"/>
  <c r="AK932" i="2"/>
  <c r="AJ932" i="2"/>
  <c r="AI932" i="2"/>
  <c r="AH932" i="2"/>
  <c r="AG932" i="2"/>
  <c r="AF932" i="2"/>
  <c r="AE932" i="2"/>
  <c r="AD932" i="2"/>
  <c r="AC932" i="2"/>
  <c r="AB932" i="2"/>
  <c r="AA932" i="2"/>
  <c r="O932" i="2"/>
  <c r="M932" i="2"/>
  <c r="L932" i="2"/>
  <c r="I932" i="2"/>
  <c r="H932" i="2"/>
  <c r="G932" i="2"/>
  <c r="E932" i="2"/>
  <c r="D932" i="2"/>
  <c r="C932" i="2"/>
  <c r="B932" i="2"/>
  <c r="A932" i="2"/>
  <c r="V1108" i="2"/>
  <c r="V1123" i="2"/>
  <c r="T1019" i="2"/>
  <c r="T1034" i="2"/>
  <c r="S1019" i="2"/>
  <c r="S1034" i="2"/>
  <c r="R1108" i="2"/>
  <c r="R1123" i="2"/>
  <c r="Q1108" i="2"/>
  <c r="Q1123" i="2"/>
  <c r="BO924" i="2"/>
  <c r="BM924" i="2"/>
  <c r="BL924" i="2"/>
  <c r="BK924" i="2"/>
  <c r="BJ924" i="2"/>
  <c r="BI924" i="2"/>
  <c r="BH924" i="2"/>
  <c r="BG924" i="2"/>
  <c r="BF924" i="2"/>
  <c r="O924" i="2"/>
  <c r="M924" i="2"/>
  <c r="L924" i="2"/>
  <c r="I924" i="2"/>
  <c r="H924" i="2"/>
  <c r="G924" i="2"/>
  <c r="E924" i="2"/>
  <c r="D924" i="2"/>
  <c r="C924" i="2"/>
  <c r="B924" i="2"/>
  <c r="A924" i="2"/>
  <c r="BO917" i="2"/>
  <c r="BM917" i="2"/>
  <c r="BL917" i="2"/>
  <c r="BK917" i="2"/>
  <c r="BJ917" i="2"/>
  <c r="BI917" i="2"/>
  <c r="BH917" i="2"/>
  <c r="BG917" i="2"/>
  <c r="BF917" i="2"/>
  <c r="BE917" i="2"/>
  <c r="BD917" i="2"/>
  <c r="BC917" i="2"/>
  <c r="BB917" i="2"/>
  <c r="BA917" i="2"/>
  <c r="AZ917" i="2"/>
  <c r="AY917" i="2"/>
  <c r="AX917" i="2"/>
  <c r="AW917" i="2"/>
  <c r="AV917" i="2"/>
  <c r="AU917" i="2"/>
  <c r="AT917" i="2"/>
  <c r="AS917" i="2"/>
  <c r="AR917" i="2"/>
  <c r="AQ917" i="2"/>
  <c r="AP917" i="2"/>
  <c r="AO917" i="2"/>
  <c r="AN917" i="2"/>
  <c r="AM917" i="2"/>
  <c r="AL917" i="2"/>
  <c r="AK917" i="2"/>
  <c r="AJ917" i="2"/>
  <c r="AI917" i="2"/>
  <c r="AH917" i="2"/>
  <c r="AG917" i="2"/>
  <c r="AF917" i="2"/>
  <c r="AE917" i="2"/>
  <c r="AD917" i="2"/>
  <c r="AC917" i="2"/>
  <c r="AB917" i="2"/>
  <c r="AA917" i="2"/>
  <c r="Z917" i="2"/>
  <c r="Y917" i="2"/>
  <c r="X917" i="2"/>
  <c r="W917" i="2"/>
  <c r="V917" i="2"/>
  <c r="U917" i="2"/>
  <c r="T917" i="2"/>
  <c r="S917" i="2"/>
  <c r="R917" i="2"/>
  <c r="Q917" i="2"/>
  <c r="P917" i="2"/>
  <c r="O917" i="2"/>
  <c r="N917" i="2"/>
  <c r="M917" i="2"/>
  <c r="L917" i="2"/>
  <c r="I917" i="2"/>
  <c r="H917" i="2"/>
  <c r="G917" i="2"/>
  <c r="E917" i="2"/>
  <c r="D917" i="2"/>
  <c r="C917" i="2"/>
  <c r="B917" i="2"/>
  <c r="A917" i="2"/>
  <c r="BO909" i="2"/>
  <c r="BM909" i="2"/>
  <c r="BL909" i="2"/>
  <c r="BK909" i="2"/>
  <c r="BJ909" i="2"/>
  <c r="BI909" i="2"/>
  <c r="BH909" i="2"/>
  <c r="BG909" i="2"/>
  <c r="BF909" i="2"/>
  <c r="BE909" i="2"/>
  <c r="BD909" i="2"/>
  <c r="BC909" i="2"/>
  <c r="BB909" i="2"/>
  <c r="BA909" i="2"/>
  <c r="AZ909" i="2"/>
  <c r="AY909" i="2"/>
  <c r="AX909" i="2"/>
  <c r="AW909" i="2"/>
  <c r="AV909" i="2"/>
  <c r="AU909" i="2"/>
  <c r="AT909" i="2"/>
  <c r="AS909" i="2"/>
  <c r="AR909" i="2"/>
  <c r="AQ909" i="2"/>
  <c r="AP909" i="2"/>
  <c r="AO909" i="2"/>
  <c r="AN909" i="2"/>
  <c r="AM909" i="2"/>
  <c r="AL909" i="2"/>
  <c r="AK909" i="2"/>
  <c r="AJ909" i="2"/>
  <c r="AI909" i="2"/>
  <c r="AH909" i="2"/>
  <c r="AG909" i="2"/>
  <c r="AF909" i="2"/>
  <c r="AE909" i="2"/>
  <c r="AD909" i="2"/>
  <c r="AC909" i="2"/>
  <c r="AB909" i="2"/>
  <c r="AA909" i="2"/>
  <c r="Z909" i="2"/>
  <c r="Y909" i="2"/>
  <c r="X909" i="2"/>
  <c r="W909" i="2"/>
  <c r="V909" i="2"/>
  <c r="U909" i="2"/>
  <c r="T909" i="2"/>
  <c r="S909" i="2"/>
  <c r="R909" i="2"/>
  <c r="Q909" i="2"/>
  <c r="P909" i="2"/>
  <c r="O909" i="2"/>
  <c r="N909" i="2"/>
  <c r="M909" i="2"/>
  <c r="L909" i="2"/>
  <c r="I909" i="2"/>
  <c r="H909" i="2"/>
  <c r="G909" i="2"/>
  <c r="E909" i="2"/>
  <c r="D909" i="2"/>
  <c r="C909" i="2"/>
  <c r="B909" i="2"/>
  <c r="A909" i="2"/>
  <c r="BO902" i="2"/>
  <c r="BM902" i="2"/>
  <c r="BL902" i="2"/>
  <c r="BK902" i="2"/>
  <c r="BJ902" i="2"/>
  <c r="BI902" i="2"/>
  <c r="BH902" i="2"/>
  <c r="BG902" i="2"/>
  <c r="BF902" i="2"/>
  <c r="BE902" i="2"/>
  <c r="BD902" i="2"/>
  <c r="BC902" i="2"/>
  <c r="BB902" i="2"/>
  <c r="BA902" i="2"/>
  <c r="AZ902" i="2"/>
  <c r="AY902" i="2"/>
  <c r="AX902" i="2"/>
  <c r="AW902" i="2"/>
  <c r="AV902" i="2"/>
  <c r="AU902" i="2"/>
  <c r="AT902" i="2"/>
  <c r="AS902" i="2"/>
  <c r="AR902" i="2"/>
  <c r="AQ902" i="2"/>
  <c r="AP902" i="2"/>
  <c r="AO902" i="2"/>
  <c r="AN902" i="2"/>
  <c r="AM902" i="2"/>
  <c r="AL902" i="2"/>
  <c r="AK902" i="2"/>
  <c r="AJ902" i="2"/>
  <c r="AI902" i="2"/>
  <c r="AH902" i="2"/>
  <c r="AG902" i="2"/>
  <c r="AF902" i="2"/>
  <c r="AE902" i="2"/>
  <c r="AD902" i="2"/>
  <c r="AC902" i="2"/>
  <c r="AB902" i="2"/>
  <c r="AA902" i="2"/>
  <c r="Z902" i="2"/>
  <c r="Y902" i="2"/>
  <c r="X902" i="2"/>
  <c r="W902" i="2"/>
  <c r="V902" i="2"/>
  <c r="U902" i="2"/>
  <c r="T902" i="2"/>
  <c r="S902" i="2"/>
  <c r="R902" i="2"/>
  <c r="Q902" i="2"/>
  <c r="P902" i="2"/>
  <c r="O902" i="2"/>
  <c r="N902" i="2"/>
  <c r="M902" i="2"/>
  <c r="L902" i="2"/>
  <c r="I902" i="2"/>
  <c r="H902" i="2"/>
  <c r="G902" i="2"/>
  <c r="E902" i="2"/>
  <c r="D902" i="2"/>
  <c r="C902" i="2"/>
  <c r="B902" i="2"/>
  <c r="A902" i="2"/>
  <c r="BO894" i="2"/>
  <c r="BM894" i="2"/>
  <c r="BL894" i="2"/>
  <c r="BK894" i="2"/>
  <c r="BJ894" i="2"/>
  <c r="BI894" i="2"/>
  <c r="BH894" i="2"/>
  <c r="BG894" i="2"/>
  <c r="BF894" i="2"/>
  <c r="BE894" i="2"/>
  <c r="BD894" i="2"/>
  <c r="BC894" i="2"/>
  <c r="BB894" i="2"/>
  <c r="BA894" i="2"/>
  <c r="AZ894" i="2"/>
  <c r="AY894" i="2"/>
  <c r="AX894" i="2"/>
  <c r="AW894" i="2"/>
  <c r="AV894" i="2"/>
  <c r="AU894" i="2"/>
  <c r="AT894" i="2"/>
  <c r="AS894" i="2"/>
  <c r="AR894" i="2"/>
  <c r="AQ894" i="2"/>
  <c r="AP894" i="2"/>
  <c r="AO894" i="2"/>
  <c r="AN894" i="2"/>
  <c r="AM894" i="2"/>
  <c r="AL894" i="2"/>
  <c r="AK894" i="2"/>
  <c r="AJ894" i="2"/>
  <c r="AI894" i="2"/>
  <c r="AH894" i="2"/>
  <c r="AG894" i="2"/>
  <c r="AF894" i="2"/>
  <c r="AE894" i="2"/>
  <c r="AD894" i="2"/>
  <c r="AC894" i="2"/>
  <c r="AB894" i="2"/>
  <c r="AA894" i="2"/>
  <c r="Z894" i="2"/>
  <c r="Y894" i="2"/>
  <c r="X894" i="2"/>
  <c r="W894" i="2"/>
  <c r="V894" i="2"/>
  <c r="U894" i="2"/>
  <c r="T894" i="2"/>
  <c r="S894" i="2"/>
  <c r="R894" i="2"/>
  <c r="Q894" i="2"/>
  <c r="P894" i="2"/>
  <c r="O894" i="2"/>
  <c r="N894" i="2"/>
  <c r="M894" i="2"/>
  <c r="L894" i="2"/>
  <c r="I894" i="2"/>
  <c r="H894" i="2"/>
  <c r="G894" i="2"/>
  <c r="E894" i="2"/>
  <c r="D894" i="2"/>
  <c r="C894" i="2"/>
  <c r="B894" i="2"/>
  <c r="A894" i="2"/>
  <c r="Z889" i="2"/>
  <c r="Y889" i="2"/>
  <c r="X889" i="2"/>
  <c r="W889" i="2"/>
  <c r="V889" i="2"/>
  <c r="U889" i="2"/>
  <c r="T889" i="2"/>
  <c r="S889" i="2"/>
  <c r="R889" i="2"/>
  <c r="Q889" i="2"/>
  <c r="P889" i="2"/>
  <c r="N889" i="2"/>
  <c r="Z888" i="2"/>
  <c r="Y888" i="2"/>
  <c r="X888" i="2"/>
  <c r="W888" i="2"/>
  <c r="V888" i="2"/>
  <c r="U888" i="2"/>
  <c r="T888" i="2"/>
  <c r="S888" i="2"/>
  <c r="R888" i="2"/>
  <c r="Q888" i="2"/>
  <c r="P888" i="2"/>
  <c r="N888" i="2"/>
  <c r="BO887" i="2"/>
  <c r="BM887" i="2"/>
  <c r="BL887" i="2"/>
  <c r="BK887" i="2"/>
  <c r="BJ887" i="2"/>
  <c r="BI887" i="2"/>
  <c r="BH887" i="2"/>
  <c r="BG887" i="2"/>
  <c r="BF887" i="2"/>
  <c r="BE887" i="2"/>
  <c r="BD887" i="2"/>
  <c r="BC887" i="2"/>
  <c r="BB887" i="2"/>
  <c r="BA887" i="2"/>
  <c r="AZ887" i="2"/>
  <c r="AY887" i="2"/>
  <c r="AX887" i="2"/>
  <c r="AW887" i="2"/>
  <c r="AV887" i="2"/>
  <c r="AU887" i="2"/>
  <c r="AT887" i="2"/>
  <c r="AS887" i="2"/>
  <c r="AR887" i="2"/>
  <c r="AQ887" i="2"/>
  <c r="AP887" i="2"/>
  <c r="AO887" i="2"/>
  <c r="AN887" i="2"/>
  <c r="AM887" i="2"/>
  <c r="AL887" i="2"/>
  <c r="AK887" i="2"/>
  <c r="AJ887" i="2"/>
  <c r="AI887" i="2"/>
  <c r="AH887" i="2"/>
  <c r="AG887" i="2"/>
  <c r="AF887" i="2"/>
  <c r="AE887" i="2"/>
  <c r="AD887" i="2"/>
  <c r="AC887" i="2"/>
  <c r="AB887" i="2"/>
  <c r="AA887" i="2"/>
  <c r="O887" i="2"/>
  <c r="M887" i="2"/>
  <c r="L887" i="2"/>
  <c r="I887" i="2"/>
  <c r="H887" i="2"/>
  <c r="G887" i="2"/>
  <c r="E887" i="2"/>
  <c r="D887" i="2"/>
  <c r="C887" i="2"/>
  <c r="B887" i="2"/>
  <c r="A887" i="2"/>
  <c r="Z886" i="2"/>
  <c r="Y886" i="2"/>
  <c r="X886" i="2"/>
  <c r="W886" i="2"/>
  <c r="V886" i="2"/>
  <c r="U886" i="2"/>
  <c r="T886" i="2"/>
  <c r="S886" i="2"/>
  <c r="R886" i="2"/>
  <c r="Q886" i="2"/>
  <c r="P886" i="2"/>
  <c r="N886" i="2"/>
  <c r="Z885" i="2"/>
  <c r="Y885" i="2"/>
  <c r="X885" i="2"/>
  <c r="W885" i="2"/>
  <c r="V885" i="2"/>
  <c r="U885" i="2"/>
  <c r="T885" i="2"/>
  <c r="S885" i="2"/>
  <c r="R885" i="2"/>
  <c r="Q885" i="2"/>
  <c r="P885" i="2"/>
  <c r="N885" i="2"/>
  <c r="Z884" i="2"/>
  <c r="Y884" i="2"/>
  <c r="X884" i="2"/>
  <c r="W884" i="2"/>
  <c r="V884" i="2"/>
  <c r="U884" i="2"/>
  <c r="T884" i="2"/>
  <c r="S884" i="2"/>
  <c r="R884" i="2"/>
  <c r="Q884" i="2"/>
  <c r="P884" i="2"/>
  <c r="N884" i="2"/>
  <c r="Z883" i="2"/>
  <c r="Y883" i="2"/>
  <c r="X883" i="2"/>
  <c r="W883" i="2"/>
  <c r="V883" i="2"/>
  <c r="U883" i="2"/>
  <c r="T883" i="2"/>
  <c r="S883" i="2"/>
  <c r="R883" i="2"/>
  <c r="Q883" i="2"/>
  <c r="P883" i="2"/>
  <c r="N883" i="2"/>
  <c r="Z882" i="2"/>
  <c r="Y882" i="2"/>
  <c r="X882" i="2"/>
  <c r="W882" i="2"/>
  <c r="V882" i="2"/>
  <c r="U882" i="2"/>
  <c r="T882" i="2"/>
  <c r="S882" i="2"/>
  <c r="R882" i="2"/>
  <c r="Q882" i="2"/>
  <c r="P882" i="2"/>
  <c r="N882" i="2"/>
  <c r="Z881" i="2"/>
  <c r="Y881" i="2"/>
  <c r="X881" i="2"/>
  <c r="W881" i="2"/>
  <c r="V881" i="2"/>
  <c r="U881" i="2"/>
  <c r="T881" i="2"/>
  <c r="S881" i="2"/>
  <c r="R881" i="2"/>
  <c r="Q881" i="2"/>
  <c r="P881" i="2"/>
  <c r="N881" i="2"/>
  <c r="Z880" i="2"/>
  <c r="Y880" i="2"/>
  <c r="X880" i="2"/>
  <c r="W880" i="2"/>
  <c r="V880" i="2"/>
  <c r="U880" i="2"/>
  <c r="T880" i="2"/>
  <c r="S880" i="2"/>
  <c r="R880" i="2"/>
  <c r="Q880" i="2"/>
  <c r="P880" i="2"/>
  <c r="N880" i="2"/>
  <c r="BO879" i="2"/>
  <c r="BM879" i="2"/>
  <c r="BL879" i="2"/>
  <c r="BK879" i="2"/>
  <c r="BJ879" i="2"/>
  <c r="BI879" i="2"/>
  <c r="BH879" i="2"/>
  <c r="BG879" i="2"/>
  <c r="BB879" i="2"/>
  <c r="BA879" i="2"/>
  <c r="AZ879" i="2"/>
  <c r="AX879" i="2"/>
  <c r="AW879" i="2"/>
  <c r="AU879" i="2"/>
  <c r="AT879" i="2"/>
  <c r="AS879" i="2"/>
  <c r="AR879" i="2"/>
  <c r="AQ879" i="2"/>
  <c r="AP879" i="2"/>
  <c r="AO879" i="2"/>
  <c r="AN879" i="2"/>
  <c r="AM879" i="2"/>
  <c r="AL879" i="2"/>
  <c r="AK879" i="2"/>
  <c r="AJ879" i="2"/>
  <c r="AI879" i="2"/>
  <c r="AH879" i="2"/>
  <c r="AG879" i="2"/>
  <c r="AF879" i="2"/>
  <c r="AE879" i="2"/>
  <c r="AD879" i="2"/>
  <c r="AC879" i="2"/>
  <c r="AB879" i="2"/>
  <c r="AA879" i="2"/>
  <c r="O879" i="2"/>
  <c r="M879" i="2"/>
  <c r="L879" i="2"/>
  <c r="I879" i="2"/>
  <c r="H879" i="2"/>
  <c r="G879" i="2"/>
  <c r="E879" i="2"/>
  <c r="D879" i="2"/>
  <c r="C879" i="2"/>
  <c r="B879" i="2"/>
  <c r="A879" i="2"/>
  <c r="BF878" i="2"/>
  <c r="BE878" i="2"/>
  <c r="BD878" i="2"/>
  <c r="BC878" i="2"/>
  <c r="AY878" i="2"/>
  <c r="AV878" i="2"/>
  <c r="Z878" i="2"/>
  <c r="Y878" i="2"/>
  <c r="X878" i="2"/>
  <c r="W878" i="2"/>
  <c r="V878" i="2"/>
  <c r="U878" i="2"/>
  <c r="T878" i="2"/>
  <c r="S878" i="2"/>
  <c r="R878" i="2"/>
  <c r="Q878" i="2"/>
  <c r="P878" i="2"/>
  <c r="N878" i="2"/>
  <c r="Z877" i="2"/>
  <c r="Y877" i="2"/>
  <c r="X877" i="2"/>
  <c r="W877" i="2"/>
  <c r="V877" i="2"/>
  <c r="U877" i="2"/>
  <c r="T877" i="2"/>
  <c r="S877" i="2"/>
  <c r="R877" i="2"/>
  <c r="Q877" i="2"/>
  <c r="P877" i="2"/>
  <c r="N877" i="2"/>
  <c r="BF876" i="2"/>
  <c r="BE876" i="2"/>
  <c r="BD876" i="2"/>
  <c r="BC876" i="2"/>
  <c r="AY876" i="2"/>
  <c r="AV876" i="2"/>
  <c r="Z876" i="2"/>
  <c r="Y876" i="2"/>
  <c r="X876" i="2"/>
  <c r="W876" i="2"/>
  <c r="V876" i="2"/>
  <c r="U876" i="2"/>
  <c r="T876" i="2"/>
  <c r="S876" i="2"/>
  <c r="R876" i="2"/>
  <c r="Q876" i="2"/>
  <c r="P876" i="2"/>
  <c r="N876" i="2"/>
  <c r="Z875" i="2"/>
  <c r="Y875" i="2"/>
  <c r="X875" i="2"/>
  <c r="W875" i="2"/>
  <c r="V875" i="2"/>
  <c r="U875" i="2"/>
  <c r="T875" i="2"/>
  <c r="S875" i="2"/>
  <c r="R875" i="2"/>
  <c r="Q875" i="2"/>
  <c r="P875" i="2"/>
  <c r="N875" i="2"/>
  <c r="BO827" i="2"/>
  <c r="BM827" i="2"/>
  <c r="BL827" i="2"/>
  <c r="O827" i="2"/>
  <c r="E827" i="2"/>
  <c r="D827" i="2"/>
  <c r="C827" i="2"/>
  <c r="B827" i="2"/>
  <c r="A827" i="2"/>
  <c r="BO819" i="2"/>
  <c r="BM819" i="2"/>
  <c r="BL819" i="2"/>
  <c r="O819" i="2"/>
  <c r="E819" i="2"/>
  <c r="D819" i="2"/>
  <c r="C819" i="2"/>
  <c r="B819" i="2"/>
  <c r="A819" i="2"/>
  <c r="BO812" i="2"/>
  <c r="BM812" i="2"/>
  <c r="BL812" i="2"/>
  <c r="BK812" i="2"/>
  <c r="BJ812" i="2"/>
  <c r="BI812" i="2"/>
  <c r="BH812" i="2"/>
  <c r="BG812" i="2"/>
  <c r="BF812" i="2"/>
  <c r="BE812" i="2"/>
  <c r="BD812" i="2"/>
  <c r="BC812" i="2"/>
  <c r="BB812" i="2"/>
  <c r="BA812" i="2"/>
  <c r="AZ812" i="2"/>
  <c r="AY812" i="2"/>
  <c r="AX812" i="2"/>
  <c r="AW812" i="2"/>
  <c r="AV812" i="2"/>
  <c r="AU812" i="2"/>
  <c r="AT812" i="2"/>
  <c r="AS812" i="2"/>
  <c r="AR812" i="2"/>
  <c r="AQ812" i="2"/>
  <c r="AP812" i="2"/>
  <c r="AO812" i="2"/>
  <c r="AN812" i="2"/>
  <c r="AM812" i="2"/>
  <c r="AL812" i="2"/>
  <c r="AK812" i="2"/>
  <c r="AJ812" i="2"/>
  <c r="AI812" i="2"/>
  <c r="AH812" i="2"/>
  <c r="AG812" i="2"/>
  <c r="AF812" i="2"/>
  <c r="AE812" i="2"/>
  <c r="AD812" i="2"/>
  <c r="AC812" i="2"/>
  <c r="AB812" i="2"/>
  <c r="AA812" i="2"/>
  <c r="Z812" i="2"/>
  <c r="Y812" i="2"/>
  <c r="X812" i="2"/>
  <c r="W812" i="2"/>
  <c r="V812" i="2"/>
  <c r="U812" i="2"/>
  <c r="T812" i="2"/>
  <c r="S812" i="2"/>
  <c r="R812" i="2"/>
  <c r="Q812" i="2"/>
  <c r="P812" i="2"/>
  <c r="O812" i="2"/>
  <c r="N812" i="2"/>
  <c r="M812" i="2"/>
  <c r="L812" i="2"/>
  <c r="E812" i="2"/>
  <c r="D812" i="2"/>
  <c r="C812" i="2"/>
  <c r="B812" i="2"/>
  <c r="A812" i="2"/>
  <c r="BO805" i="2"/>
  <c r="BM805" i="2"/>
  <c r="BL805" i="2"/>
  <c r="BK805" i="2"/>
  <c r="BJ805" i="2"/>
  <c r="BI805" i="2"/>
  <c r="BH805" i="2"/>
  <c r="BG805" i="2"/>
  <c r="BF805" i="2"/>
  <c r="BE805" i="2"/>
  <c r="BD805" i="2"/>
  <c r="BC805" i="2"/>
  <c r="BB805" i="2"/>
  <c r="BA805" i="2"/>
  <c r="AZ805" i="2"/>
  <c r="AY805" i="2"/>
  <c r="AX805" i="2"/>
  <c r="AW805" i="2"/>
  <c r="AV805" i="2"/>
  <c r="AU805" i="2"/>
  <c r="AT805" i="2"/>
  <c r="AS805" i="2"/>
  <c r="AR805" i="2"/>
  <c r="AQ805" i="2"/>
  <c r="AP805" i="2"/>
  <c r="AO805" i="2"/>
  <c r="AN805" i="2"/>
  <c r="AM805" i="2"/>
  <c r="AL805" i="2"/>
  <c r="AK805" i="2"/>
  <c r="AJ805" i="2"/>
  <c r="AI805" i="2"/>
  <c r="AH805" i="2"/>
  <c r="AG805" i="2"/>
  <c r="AF805" i="2"/>
  <c r="AE805" i="2"/>
  <c r="AD805" i="2"/>
  <c r="AC805" i="2"/>
  <c r="AB805" i="2"/>
  <c r="AA805" i="2"/>
  <c r="Z805" i="2"/>
  <c r="Y805" i="2"/>
  <c r="X805" i="2"/>
  <c r="W805" i="2"/>
  <c r="V805" i="2"/>
  <c r="U805" i="2"/>
  <c r="T805" i="2"/>
  <c r="S805" i="2"/>
  <c r="R805" i="2"/>
  <c r="Q805" i="2"/>
  <c r="P805" i="2"/>
  <c r="O805" i="2"/>
  <c r="N805" i="2"/>
  <c r="M805" i="2"/>
  <c r="L805" i="2"/>
  <c r="E805" i="2"/>
  <c r="D805" i="2"/>
  <c r="C805" i="2"/>
  <c r="B805" i="2"/>
  <c r="A805" i="2"/>
  <c r="BO798" i="2"/>
  <c r="BM798" i="2"/>
  <c r="BL798" i="2"/>
  <c r="BK798" i="2"/>
  <c r="BJ798" i="2"/>
  <c r="BI798" i="2"/>
  <c r="BH798" i="2"/>
  <c r="BG798" i="2"/>
  <c r="BF798" i="2"/>
  <c r="BE798" i="2"/>
  <c r="BD798" i="2"/>
  <c r="BC798" i="2"/>
  <c r="BB798" i="2"/>
  <c r="BA798" i="2"/>
  <c r="AZ798" i="2"/>
  <c r="AY798" i="2"/>
  <c r="AX798" i="2"/>
  <c r="AW798" i="2"/>
  <c r="AV798" i="2"/>
  <c r="AU798" i="2"/>
  <c r="AT798" i="2"/>
  <c r="AS798" i="2"/>
  <c r="AR798" i="2"/>
  <c r="AQ798" i="2"/>
  <c r="AP798" i="2"/>
  <c r="AO798" i="2"/>
  <c r="AN798" i="2"/>
  <c r="AM798" i="2"/>
  <c r="AL798" i="2"/>
  <c r="AK798" i="2"/>
  <c r="AJ798" i="2"/>
  <c r="AI798" i="2"/>
  <c r="AH798" i="2"/>
  <c r="AG798" i="2"/>
  <c r="AF798" i="2"/>
  <c r="AE798" i="2"/>
  <c r="AD798" i="2"/>
  <c r="AC798" i="2"/>
  <c r="AB798" i="2"/>
  <c r="AA798" i="2"/>
  <c r="Z798" i="2"/>
  <c r="Y798" i="2"/>
  <c r="X798" i="2"/>
  <c r="W798" i="2"/>
  <c r="V798" i="2"/>
  <c r="U798" i="2"/>
  <c r="T798" i="2"/>
  <c r="S798" i="2"/>
  <c r="R798" i="2"/>
  <c r="Q798" i="2"/>
  <c r="P798" i="2"/>
  <c r="O798" i="2"/>
  <c r="N798" i="2"/>
  <c r="M798" i="2"/>
  <c r="L798" i="2"/>
  <c r="E798" i="2"/>
  <c r="D798" i="2"/>
  <c r="C798" i="2"/>
  <c r="B798" i="2"/>
  <c r="A798" i="2"/>
  <c r="BO791" i="2"/>
  <c r="BM791" i="2"/>
  <c r="BL791" i="2"/>
  <c r="BK791" i="2"/>
  <c r="BJ791" i="2"/>
  <c r="BI791" i="2"/>
  <c r="BH791" i="2"/>
  <c r="BG791" i="2"/>
  <c r="BF791" i="2"/>
  <c r="BE791" i="2"/>
  <c r="BD791" i="2"/>
  <c r="BC791" i="2"/>
  <c r="BB791" i="2"/>
  <c r="BA791" i="2"/>
  <c r="AZ791" i="2"/>
  <c r="AY791" i="2"/>
  <c r="AX791" i="2"/>
  <c r="AW791" i="2"/>
  <c r="AV791" i="2"/>
  <c r="AU791" i="2"/>
  <c r="AT791" i="2"/>
  <c r="AS791" i="2"/>
  <c r="AR791" i="2"/>
  <c r="AQ791" i="2"/>
  <c r="AP791" i="2"/>
  <c r="AO791" i="2"/>
  <c r="AN791" i="2"/>
  <c r="AM791" i="2"/>
  <c r="AL791" i="2"/>
  <c r="AK791" i="2"/>
  <c r="AJ791" i="2"/>
  <c r="AI791" i="2"/>
  <c r="AH791" i="2"/>
  <c r="AG791" i="2"/>
  <c r="AF791" i="2"/>
  <c r="AE791" i="2"/>
  <c r="AD791" i="2"/>
  <c r="AC791" i="2"/>
  <c r="AB791" i="2"/>
  <c r="AA791" i="2"/>
  <c r="Z791" i="2"/>
  <c r="Y791" i="2"/>
  <c r="X791" i="2"/>
  <c r="W791" i="2"/>
  <c r="V791" i="2"/>
  <c r="U791" i="2"/>
  <c r="T791" i="2"/>
  <c r="S791" i="2"/>
  <c r="R791" i="2"/>
  <c r="Q791" i="2"/>
  <c r="P791" i="2"/>
  <c r="O791" i="2"/>
  <c r="N791" i="2"/>
  <c r="M791" i="2"/>
  <c r="L791" i="2"/>
  <c r="E791" i="2"/>
  <c r="D791" i="2"/>
  <c r="C791" i="2"/>
  <c r="B791" i="2"/>
  <c r="A791" i="2"/>
  <c r="BO774" i="2"/>
  <c r="BM774" i="2"/>
  <c r="BL774" i="2"/>
  <c r="BK774" i="2"/>
  <c r="BK770" i="2"/>
  <c r="BJ774" i="2"/>
  <c r="BJ770" i="2"/>
  <c r="BI774" i="2"/>
  <c r="BI770" i="2"/>
  <c r="BH774" i="2"/>
  <c r="BH770" i="2"/>
  <c r="BG774" i="2"/>
  <c r="BG770" i="2"/>
  <c r="BF774" i="2"/>
  <c r="BF770" i="2"/>
  <c r="BE774" i="2"/>
  <c r="BE770" i="2"/>
  <c r="BD774" i="2"/>
  <c r="BD770" i="2"/>
  <c r="BC774" i="2"/>
  <c r="BC770" i="2"/>
  <c r="BB774" i="2"/>
  <c r="BB770" i="2"/>
  <c r="BA774" i="2"/>
  <c r="BA770" i="2"/>
  <c r="AZ774" i="2"/>
  <c r="AZ770" i="2"/>
  <c r="AY774" i="2"/>
  <c r="AY770" i="2"/>
  <c r="AX774" i="2"/>
  <c r="AX770" i="2"/>
  <c r="AW774" i="2"/>
  <c r="AW770" i="2"/>
  <c r="AV774" i="2"/>
  <c r="AV770" i="2"/>
  <c r="AU774" i="2"/>
  <c r="AU770" i="2"/>
  <c r="AT774" i="2"/>
  <c r="AT770" i="2"/>
  <c r="AS774" i="2"/>
  <c r="AS770" i="2"/>
  <c r="AR774" i="2"/>
  <c r="AR770" i="2"/>
  <c r="AQ774" i="2"/>
  <c r="AQ770" i="2"/>
  <c r="AP774" i="2"/>
  <c r="AP770" i="2"/>
  <c r="AO774" i="2"/>
  <c r="AO770" i="2"/>
  <c r="AN774" i="2"/>
  <c r="AN770" i="2"/>
  <c r="AM774" i="2"/>
  <c r="AM770" i="2"/>
  <c r="AL774" i="2"/>
  <c r="AL770" i="2"/>
  <c r="AK774" i="2"/>
  <c r="AK770" i="2"/>
  <c r="AJ774" i="2"/>
  <c r="AJ770" i="2"/>
  <c r="AI774" i="2"/>
  <c r="AI770" i="2"/>
  <c r="AH774" i="2"/>
  <c r="AH770" i="2"/>
  <c r="AG774" i="2"/>
  <c r="AG770" i="2"/>
  <c r="AF774" i="2"/>
  <c r="AF770" i="2"/>
  <c r="AE774" i="2"/>
  <c r="AE770" i="2"/>
  <c r="AD774" i="2"/>
  <c r="AD770" i="2"/>
  <c r="AC774" i="2"/>
  <c r="AC770" i="2"/>
  <c r="AB774" i="2"/>
  <c r="AB770" i="2"/>
  <c r="AA774" i="2"/>
  <c r="AA770" i="2"/>
  <c r="Z774" i="2"/>
  <c r="Z770" i="2"/>
  <c r="Y774" i="2"/>
  <c r="Y770" i="2"/>
  <c r="X774" i="2"/>
  <c r="X770" i="2"/>
  <c r="W774" i="2"/>
  <c r="W770" i="2"/>
  <c r="V774" i="2"/>
  <c r="V770" i="2"/>
  <c r="U774" i="2"/>
  <c r="U770" i="2"/>
  <c r="T774" i="2"/>
  <c r="T770" i="2"/>
  <c r="S774" i="2"/>
  <c r="S770" i="2"/>
  <c r="R774" i="2"/>
  <c r="R770" i="2"/>
  <c r="Q774" i="2"/>
  <c r="Q770" i="2"/>
  <c r="P774" i="2"/>
  <c r="P770" i="2"/>
  <c r="O774" i="2"/>
  <c r="N774" i="2"/>
  <c r="N770" i="2"/>
  <c r="M774" i="2"/>
  <c r="L774" i="2"/>
  <c r="E774" i="2"/>
  <c r="D774" i="2"/>
  <c r="C774" i="2"/>
  <c r="B774" i="2"/>
  <c r="A774" i="2"/>
  <c r="BO757" i="2"/>
  <c r="BM757" i="2"/>
  <c r="BL757" i="2"/>
  <c r="BK757" i="2"/>
  <c r="BK753" i="2"/>
  <c r="BJ757" i="2"/>
  <c r="BJ753" i="2"/>
  <c r="BI757" i="2"/>
  <c r="BI753" i="2"/>
  <c r="BH757" i="2"/>
  <c r="BH753" i="2"/>
  <c r="BG757" i="2"/>
  <c r="BG753" i="2"/>
  <c r="BF757" i="2"/>
  <c r="BF753" i="2"/>
  <c r="BE757" i="2"/>
  <c r="BE753" i="2"/>
  <c r="BD757" i="2"/>
  <c r="BD753" i="2"/>
  <c r="BC757" i="2"/>
  <c r="BC753" i="2"/>
  <c r="BB757" i="2"/>
  <c r="BB753" i="2"/>
  <c r="BA757" i="2"/>
  <c r="BA753" i="2"/>
  <c r="AZ757" i="2"/>
  <c r="AZ753" i="2"/>
  <c r="AY757" i="2"/>
  <c r="AY753" i="2"/>
  <c r="AX757" i="2"/>
  <c r="AX753" i="2"/>
  <c r="AW757" i="2"/>
  <c r="AW753" i="2"/>
  <c r="AV757" i="2"/>
  <c r="AV753" i="2"/>
  <c r="AU757" i="2"/>
  <c r="AU753" i="2"/>
  <c r="AT757" i="2"/>
  <c r="AT753" i="2"/>
  <c r="AS757" i="2"/>
  <c r="AS753" i="2"/>
  <c r="AR757" i="2"/>
  <c r="AR753" i="2"/>
  <c r="AQ757" i="2"/>
  <c r="AQ753" i="2"/>
  <c r="AP757" i="2"/>
  <c r="AP753" i="2"/>
  <c r="AO757" i="2"/>
  <c r="AO753" i="2"/>
  <c r="AN757" i="2"/>
  <c r="AN753" i="2"/>
  <c r="AM757" i="2"/>
  <c r="AM753" i="2"/>
  <c r="AL757" i="2"/>
  <c r="AL753" i="2"/>
  <c r="AK757" i="2"/>
  <c r="AK753" i="2"/>
  <c r="AJ757" i="2"/>
  <c r="AJ753" i="2"/>
  <c r="AI757" i="2"/>
  <c r="AI753" i="2"/>
  <c r="AH757" i="2"/>
  <c r="AH753" i="2"/>
  <c r="AG757" i="2"/>
  <c r="AG753" i="2"/>
  <c r="AF757" i="2"/>
  <c r="AF753" i="2"/>
  <c r="AE757" i="2"/>
  <c r="AE753" i="2"/>
  <c r="AD757" i="2"/>
  <c r="AD753" i="2"/>
  <c r="AC757" i="2"/>
  <c r="AC753" i="2"/>
  <c r="AB757" i="2"/>
  <c r="AB753" i="2"/>
  <c r="AA757" i="2"/>
  <c r="AA753" i="2"/>
  <c r="Z757" i="2"/>
  <c r="Z753" i="2"/>
  <c r="Y757" i="2"/>
  <c r="Y753" i="2"/>
  <c r="X757" i="2"/>
  <c r="X753" i="2"/>
  <c r="W757" i="2"/>
  <c r="W753" i="2"/>
  <c r="V757" i="2"/>
  <c r="V753" i="2"/>
  <c r="U757" i="2"/>
  <c r="U753" i="2"/>
  <c r="T757" i="2"/>
  <c r="T753" i="2"/>
  <c r="S757" i="2"/>
  <c r="S753" i="2"/>
  <c r="R757" i="2"/>
  <c r="R753" i="2"/>
  <c r="Q757" i="2"/>
  <c r="Q753" i="2"/>
  <c r="P757" i="2"/>
  <c r="P753" i="2"/>
  <c r="O757" i="2"/>
  <c r="N757" i="2"/>
  <c r="N753" i="2"/>
  <c r="M757" i="2"/>
  <c r="L757" i="2"/>
  <c r="E757" i="2"/>
  <c r="D757" i="2"/>
  <c r="C757" i="2"/>
  <c r="B757" i="2"/>
  <c r="A757" i="2"/>
  <c r="BO740" i="2"/>
  <c r="BM740" i="2"/>
  <c r="BL740" i="2"/>
  <c r="BK740" i="2"/>
  <c r="BK736" i="2"/>
  <c r="BJ740" i="2"/>
  <c r="BJ736" i="2"/>
  <c r="BI740" i="2"/>
  <c r="BI736" i="2"/>
  <c r="BH740" i="2"/>
  <c r="BH736" i="2"/>
  <c r="BG740" i="2"/>
  <c r="BG736" i="2"/>
  <c r="BF740" i="2"/>
  <c r="BF736" i="2"/>
  <c r="BE740" i="2"/>
  <c r="BE736" i="2"/>
  <c r="BD740" i="2"/>
  <c r="BD736" i="2"/>
  <c r="BC740" i="2"/>
  <c r="BC736" i="2"/>
  <c r="BB740" i="2"/>
  <c r="BB736" i="2"/>
  <c r="BA740" i="2"/>
  <c r="BA736" i="2"/>
  <c r="AZ740" i="2"/>
  <c r="AZ736" i="2"/>
  <c r="AY740" i="2"/>
  <c r="AY736" i="2"/>
  <c r="AX740" i="2"/>
  <c r="AX736" i="2"/>
  <c r="AW740" i="2"/>
  <c r="AW736" i="2"/>
  <c r="AV740" i="2"/>
  <c r="AV736" i="2"/>
  <c r="AU740" i="2"/>
  <c r="AU736" i="2"/>
  <c r="AT740" i="2"/>
  <c r="AT736" i="2"/>
  <c r="AS740" i="2"/>
  <c r="AS736" i="2"/>
  <c r="AR740" i="2"/>
  <c r="AR736" i="2"/>
  <c r="AQ740" i="2"/>
  <c r="AQ736" i="2"/>
  <c r="AP740" i="2"/>
  <c r="AP736" i="2"/>
  <c r="AO740" i="2"/>
  <c r="AO736" i="2"/>
  <c r="AN740" i="2"/>
  <c r="AN736" i="2"/>
  <c r="AM740" i="2"/>
  <c r="AM736" i="2"/>
  <c r="AL740" i="2"/>
  <c r="AL736" i="2"/>
  <c r="AK740" i="2"/>
  <c r="AK736" i="2"/>
  <c r="AJ740" i="2"/>
  <c r="AJ736" i="2"/>
  <c r="AI740" i="2"/>
  <c r="AI736" i="2"/>
  <c r="AH740" i="2"/>
  <c r="AH736" i="2"/>
  <c r="AG740" i="2"/>
  <c r="AG736" i="2"/>
  <c r="AF740" i="2"/>
  <c r="AF736" i="2"/>
  <c r="AE740" i="2"/>
  <c r="AE736" i="2"/>
  <c r="AD740" i="2"/>
  <c r="AD736" i="2"/>
  <c r="AC740" i="2"/>
  <c r="AC736" i="2"/>
  <c r="AB740" i="2"/>
  <c r="AB736" i="2"/>
  <c r="AA740" i="2"/>
  <c r="AA736" i="2"/>
  <c r="Z740" i="2"/>
  <c r="Z736" i="2"/>
  <c r="Y740" i="2"/>
  <c r="Y736" i="2"/>
  <c r="X740" i="2"/>
  <c r="X736" i="2"/>
  <c r="W740" i="2"/>
  <c r="W736" i="2"/>
  <c r="V740" i="2"/>
  <c r="V736" i="2"/>
  <c r="U740" i="2"/>
  <c r="U736" i="2"/>
  <c r="T740" i="2"/>
  <c r="T736" i="2"/>
  <c r="S740" i="2"/>
  <c r="S736" i="2"/>
  <c r="R740" i="2"/>
  <c r="R736" i="2"/>
  <c r="Q740" i="2"/>
  <c r="Q736" i="2"/>
  <c r="P740" i="2"/>
  <c r="P736" i="2"/>
  <c r="O740" i="2"/>
  <c r="N740" i="2"/>
  <c r="N736" i="2"/>
  <c r="M740" i="2"/>
  <c r="L740" i="2"/>
  <c r="E740" i="2"/>
  <c r="D740" i="2"/>
  <c r="C740" i="2"/>
  <c r="B740" i="2"/>
  <c r="A740" i="2"/>
  <c r="BO723" i="2"/>
  <c r="BM723" i="2"/>
  <c r="BL723" i="2"/>
  <c r="BK723" i="2"/>
  <c r="BK719" i="2"/>
  <c r="BJ723" i="2"/>
  <c r="BJ719" i="2"/>
  <c r="BI723" i="2"/>
  <c r="BI719" i="2"/>
  <c r="BH723" i="2"/>
  <c r="BH719" i="2"/>
  <c r="BG723" i="2"/>
  <c r="BG719" i="2"/>
  <c r="BF723" i="2"/>
  <c r="BF719" i="2"/>
  <c r="BE723" i="2"/>
  <c r="BE719" i="2"/>
  <c r="BD723" i="2"/>
  <c r="BD719" i="2"/>
  <c r="BC723" i="2"/>
  <c r="BC719" i="2"/>
  <c r="BB723" i="2"/>
  <c r="BB719" i="2"/>
  <c r="BA723" i="2"/>
  <c r="BA719" i="2"/>
  <c r="AZ723" i="2"/>
  <c r="AZ719" i="2"/>
  <c r="AY723" i="2"/>
  <c r="AY719" i="2"/>
  <c r="AX723" i="2"/>
  <c r="AX719" i="2"/>
  <c r="AW723" i="2"/>
  <c r="AW719" i="2"/>
  <c r="AV723" i="2"/>
  <c r="AV719" i="2"/>
  <c r="AU723" i="2"/>
  <c r="AU719" i="2"/>
  <c r="AT723" i="2"/>
  <c r="AT719" i="2"/>
  <c r="AS723" i="2"/>
  <c r="AS719" i="2"/>
  <c r="AR723" i="2"/>
  <c r="AR719" i="2"/>
  <c r="AQ723" i="2"/>
  <c r="AQ719" i="2"/>
  <c r="AP723" i="2"/>
  <c r="AP719" i="2"/>
  <c r="AO723" i="2"/>
  <c r="AO719" i="2"/>
  <c r="AN723" i="2"/>
  <c r="AN719" i="2"/>
  <c r="AM723" i="2"/>
  <c r="AM719" i="2"/>
  <c r="AL723" i="2"/>
  <c r="AL719" i="2"/>
  <c r="AK723" i="2"/>
  <c r="AK719" i="2"/>
  <c r="AJ723" i="2"/>
  <c r="AJ719" i="2"/>
  <c r="AI723" i="2"/>
  <c r="AI719" i="2"/>
  <c r="AH723" i="2"/>
  <c r="AH719" i="2"/>
  <c r="AG723" i="2"/>
  <c r="AG719" i="2"/>
  <c r="AF723" i="2"/>
  <c r="AF719" i="2"/>
  <c r="AE723" i="2"/>
  <c r="AE719" i="2"/>
  <c r="AD723" i="2"/>
  <c r="AD719" i="2"/>
  <c r="AC723" i="2"/>
  <c r="AC719" i="2"/>
  <c r="AB723" i="2"/>
  <c r="AB719" i="2"/>
  <c r="AA723" i="2"/>
  <c r="AA719" i="2"/>
  <c r="Z723" i="2"/>
  <c r="Z719" i="2"/>
  <c r="Y723" i="2"/>
  <c r="Y719" i="2"/>
  <c r="X723" i="2"/>
  <c r="X719" i="2"/>
  <c r="W723" i="2"/>
  <c r="W719" i="2"/>
  <c r="V723" i="2"/>
  <c r="V719" i="2"/>
  <c r="U723" i="2"/>
  <c r="U719" i="2"/>
  <c r="T723" i="2"/>
  <c r="T719" i="2"/>
  <c r="S723" i="2"/>
  <c r="S719" i="2"/>
  <c r="R723" i="2"/>
  <c r="R719" i="2"/>
  <c r="Q723" i="2"/>
  <c r="Q719" i="2"/>
  <c r="P723" i="2"/>
  <c r="P719" i="2"/>
  <c r="O723" i="2"/>
  <c r="N723" i="2"/>
  <c r="N719" i="2"/>
  <c r="M723" i="2"/>
  <c r="L723" i="2"/>
  <c r="E723" i="2"/>
  <c r="D723" i="2"/>
  <c r="C723" i="2"/>
  <c r="B723" i="2"/>
  <c r="A723" i="2"/>
  <c r="BO706" i="2"/>
  <c r="BM706" i="2"/>
  <c r="BL706" i="2"/>
  <c r="BK706" i="2"/>
  <c r="BK702" i="2"/>
  <c r="BJ706" i="2"/>
  <c r="BJ702" i="2"/>
  <c r="BI706" i="2"/>
  <c r="BI702" i="2"/>
  <c r="BH706" i="2"/>
  <c r="BH702" i="2"/>
  <c r="BG706" i="2"/>
  <c r="BG702" i="2"/>
  <c r="BF706" i="2"/>
  <c r="BF702" i="2"/>
  <c r="BE706" i="2"/>
  <c r="BE702" i="2"/>
  <c r="BD706" i="2"/>
  <c r="BD702" i="2"/>
  <c r="BC706" i="2"/>
  <c r="BC702" i="2"/>
  <c r="BB706" i="2"/>
  <c r="BB702" i="2"/>
  <c r="BA706" i="2"/>
  <c r="BA702" i="2"/>
  <c r="AZ706" i="2"/>
  <c r="AZ702" i="2"/>
  <c r="AY706" i="2"/>
  <c r="AY702" i="2"/>
  <c r="AX706" i="2"/>
  <c r="AX702" i="2"/>
  <c r="AW706" i="2"/>
  <c r="AW702" i="2"/>
  <c r="AV706" i="2"/>
  <c r="AV702" i="2"/>
  <c r="AU706" i="2"/>
  <c r="AU702" i="2"/>
  <c r="AT706" i="2"/>
  <c r="AT702" i="2"/>
  <c r="AS706" i="2"/>
  <c r="AS702" i="2"/>
  <c r="AR706" i="2"/>
  <c r="AR702" i="2"/>
  <c r="AQ706" i="2"/>
  <c r="AQ702" i="2"/>
  <c r="AP706" i="2"/>
  <c r="AP702" i="2"/>
  <c r="AO706" i="2"/>
  <c r="AO702" i="2"/>
  <c r="AN706" i="2"/>
  <c r="AN702" i="2"/>
  <c r="AM706" i="2"/>
  <c r="AM702" i="2"/>
  <c r="AL706" i="2"/>
  <c r="AL702" i="2"/>
  <c r="AK706" i="2"/>
  <c r="AK702" i="2"/>
  <c r="AJ706" i="2"/>
  <c r="AJ702" i="2"/>
  <c r="AI706" i="2"/>
  <c r="AI702" i="2"/>
  <c r="AH706" i="2"/>
  <c r="AH702" i="2"/>
  <c r="AG706" i="2"/>
  <c r="AG702" i="2"/>
  <c r="AF706" i="2"/>
  <c r="AF702" i="2"/>
  <c r="AE706" i="2"/>
  <c r="AE702" i="2"/>
  <c r="AD706" i="2"/>
  <c r="AD702" i="2"/>
  <c r="AC706" i="2"/>
  <c r="AC702" i="2"/>
  <c r="AB706" i="2"/>
  <c r="AB702" i="2"/>
  <c r="AA706" i="2"/>
  <c r="AA702" i="2"/>
  <c r="Z706" i="2"/>
  <c r="Z702" i="2"/>
  <c r="Y706" i="2"/>
  <c r="Y702" i="2"/>
  <c r="X706" i="2"/>
  <c r="X702" i="2"/>
  <c r="W706" i="2"/>
  <c r="W702" i="2"/>
  <c r="V706" i="2"/>
  <c r="V702" i="2"/>
  <c r="U706" i="2"/>
  <c r="U702" i="2"/>
  <c r="T706" i="2"/>
  <c r="T702" i="2"/>
  <c r="S706" i="2"/>
  <c r="S702" i="2"/>
  <c r="R706" i="2"/>
  <c r="R702" i="2"/>
  <c r="Q706" i="2"/>
  <c r="Q702" i="2"/>
  <c r="P706" i="2"/>
  <c r="P702" i="2"/>
  <c r="O706" i="2"/>
  <c r="N706" i="2"/>
  <c r="N702" i="2"/>
  <c r="M706" i="2"/>
  <c r="L706" i="2"/>
  <c r="E706" i="2"/>
  <c r="C706" i="2"/>
  <c r="B706" i="2"/>
  <c r="A706" i="2"/>
  <c r="BO689" i="2"/>
  <c r="BM689" i="2"/>
  <c r="BL689" i="2"/>
  <c r="BK689" i="2"/>
  <c r="BK685" i="2"/>
  <c r="BJ689" i="2"/>
  <c r="BJ685" i="2"/>
  <c r="BI689" i="2"/>
  <c r="BI685" i="2"/>
  <c r="BH689" i="2"/>
  <c r="BH685" i="2"/>
  <c r="BG689" i="2"/>
  <c r="BG685" i="2"/>
  <c r="BF689" i="2"/>
  <c r="BF685" i="2"/>
  <c r="BE689" i="2"/>
  <c r="BE685" i="2"/>
  <c r="BD689" i="2"/>
  <c r="BD685" i="2"/>
  <c r="BC689" i="2"/>
  <c r="BC685" i="2"/>
  <c r="BB689" i="2"/>
  <c r="BB685" i="2"/>
  <c r="BA689" i="2"/>
  <c r="BA685" i="2"/>
  <c r="AZ689" i="2"/>
  <c r="AZ685" i="2"/>
  <c r="AY689" i="2"/>
  <c r="AY685" i="2"/>
  <c r="AX689" i="2"/>
  <c r="AX685" i="2"/>
  <c r="AW689" i="2"/>
  <c r="AW685" i="2"/>
  <c r="AV689" i="2"/>
  <c r="AV685" i="2"/>
  <c r="AU689" i="2"/>
  <c r="AU685" i="2"/>
  <c r="AT689" i="2"/>
  <c r="AT685" i="2"/>
  <c r="AS689" i="2"/>
  <c r="AS685" i="2"/>
  <c r="AR689" i="2"/>
  <c r="AR685" i="2"/>
  <c r="AQ689" i="2"/>
  <c r="AQ685" i="2"/>
  <c r="AP689" i="2"/>
  <c r="AP685" i="2"/>
  <c r="AO689" i="2"/>
  <c r="AO685" i="2"/>
  <c r="AN689" i="2"/>
  <c r="AN685" i="2"/>
  <c r="AM689" i="2"/>
  <c r="AM685" i="2"/>
  <c r="AL689" i="2"/>
  <c r="AL685" i="2"/>
  <c r="AK689" i="2"/>
  <c r="AK685" i="2"/>
  <c r="AJ689" i="2"/>
  <c r="AJ685" i="2"/>
  <c r="AI689" i="2"/>
  <c r="AI685" i="2"/>
  <c r="AH689" i="2"/>
  <c r="AH685" i="2"/>
  <c r="AG689" i="2"/>
  <c r="AG685" i="2"/>
  <c r="AF689" i="2"/>
  <c r="AF685" i="2"/>
  <c r="AE689" i="2"/>
  <c r="AE685" i="2"/>
  <c r="AD689" i="2"/>
  <c r="AD685" i="2"/>
  <c r="AC689" i="2"/>
  <c r="AC685" i="2"/>
  <c r="AB689" i="2"/>
  <c r="AB685" i="2"/>
  <c r="AA689" i="2"/>
  <c r="AA685" i="2"/>
  <c r="Z689" i="2"/>
  <c r="Z685" i="2"/>
  <c r="Y689" i="2"/>
  <c r="Y685" i="2"/>
  <c r="X689" i="2"/>
  <c r="X685" i="2"/>
  <c r="W689" i="2"/>
  <c r="W685" i="2"/>
  <c r="V689" i="2"/>
  <c r="V685" i="2"/>
  <c r="U689" i="2"/>
  <c r="U685" i="2"/>
  <c r="T689" i="2"/>
  <c r="T685" i="2"/>
  <c r="S689" i="2"/>
  <c r="S685" i="2"/>
  <c r="R689" i="2"/>
  <c r="R685" i="2"/>
  <c r="Q689" i="2"/>
  <c r="Q685" i="2"/>
  <c r="P689" i="2"/>
  <c r="P685" i="2"/>
  <c r="O689" i="2"/>
  <c r="N689" i="2"/>
  <c r="N685" i="2"/>
  <c r="M689" i="2"/>
  <c r="L689" i="2"/>
  <c r="E689" i="2"/>
  <c r="D689" i="2"/>
  <c r="C689" i="2"/>
  <c r="B689" i="2"/>
  <c r="A689" i="2"/>
  <c r="BO672" i="2"/>
  <c r="BM672" i="2"/>
  <c r="BL672" i="2"/>
  <c r="BK672" i="2"/>
  <c r="BK668" i="2"/>
  <c r="BJ672" i="2"/>
  <c r="BJ668" i="2"/>
  <c r="BI672" i="2"/>
  <c r="BI668" i="2"/>
  <c r="BH672" i="2"/>
  <c r="BH668" i="2"/>
  <c r="BG672" i="2"/>
  <c r="BG668" i="2"/>
  <c r="BF672" i="2"/>
  <c r="BF668" i="2"/>
  <c r="BE672" i="2"/>
  <c r="BE668" i="2"/>
  <c r="BD672" i="2"/>
  <c r="BD668" i="2"/>
  <c r="BC672" i="2"/>
  <c r="BC668" i="2"/>
  <c r="BB672" i="2"/>
  <c r="BB668" i="2"/>
  <c r="BA672" i="2"/>
  <c r="BA668" i="2"/>
  <c r="AZ672" i="2"/>
  <c r="AZ668" i="2"/>
  <c r="AY672" i="2"/>
  <c r="AY668" i="2"/>
  <c r="AX672" i="2"/>
  <c r="AX668" i="2"/>
  <c r="AW672" i="2"/>
  <c r="AW668" i="2"/>
  <c r="AV672" i="2"/>
  <c r="AV668" i="2"/>
  <c r="AU672" i="2"/>
  <c r="AU668" i="2"/>
  <c r="AT672" i="2"/>
  <c r="AT668" i="2"/>
  <c r="AS672" i="2"/>
  <c r="AS668" i="2"/>
  <c r="AR672" i="2"/>
  <c r="AR668" i="2"/>
  <c r="AQ672" i="2"/>
  <c r="AQ668" i="2"/>
  <c r="AP672" i="2"/>
  <c r="AP668" i="2"/>
  <c r="AO672" i="2"/>
  <c r="AO668" i="2"/>
  <c r="AN672" i="2"/>
  <c r="AN668" i="2"/>
  <c r="AM672" i="2"/>
  <c r="AM668" i="2"/>
  <c r="AL672" i="2"/>
  <c r="AL668" i="2"/>
  <c r="AK672" i="2"/>
  <c r="AK668" i="2"/>
  <c r="AJ672" i="2"/>
  <c r="AJ668" i="2"/>
  <c r="AI672" i="2"/>
  <c r="AI668" i="2"/>
  <c r="AH672" i="2"/>
  <c r="AH668" i="2"/>
  <c r="AG672" i="2"/>
  <c r="AG668" i="2"/>
  <c r="AF672" i="2"/>
  <c r="AF668" i="2"/>
  <c r="AE672" i="2"/>
  <c r="AE668" i="2"/>
  <c r="AD672" i="2"/>
  <c r="AD668" i="2"/>
  <c r="AC672" i="2"/>
  <c r="AC668" i="2"/>
  <c r="AB672" i="2"/>
  <c r="AB668" i="2"/>
  <c r="AA672" i="2"/>
  <c r="AA668" i="2"/>
  <c r="Z672" i="2"/>
  <c r="Z668" i="2"/>
  <c r="Y672" i="2"/>
  <c r="Y668" i="2"/>
  <c r="X672" i="2"/>
  <c r="X668" i="2"/>
  <c r="W672" i="2"/>
  <c r="W668" i="2"/>
  <c r="V672" i="2"/>
  <c r="V668" i="2"/>
  <c r="U672" i="2"/>
  <c r="U668" i="2"/>
  <c r="T672" i="2"/>
  <c r="T668" i="2"/>
  <c r="S672" i="2"/>
  <c r="S668" i="2"/>
  <c r="R672" i="2"/>
  <c r="R668" i="2"/>
  <c r="Q672" i="2"/>
  <c r="Q668" i="2"/>
  <c r="P672" i="2"/>
  <c r="P668" i="2"/>
  <c r="O672" i="2"/>
  <c r="N672" i="2"/>
  <c r="N668" i="2"/>
  <c r="M672" i="2"/>
  <c r="L672" i="2"/>
  <c r="E672" i="2"/>
  <c r="D672" i="2"/>
  <c r="C672" i="2"/>
  <c r="B672" i="2"/>
  <c r="A672" i="2"/>
  <c r="BO655" i="2"/>
  <c r="BM655" i="2"/>
  <c r="BL655" i="2"/>
  <c r="BK655" i="2"/>
  <c r="BK651" i="2"/>
  <c r="BJ655" i="2"/>
  <c r="BJ651" i="2"/>
  <c r="BI655" i="2"/>
  <c r="BI651" i="2"/>
  <c r="BH655" i="2"/>
  <c r="BH651" i="2"/>
  <c r="BG655" i="2"/>
  <c r="BG651" i="2"/>
  <c r="BF655" i="2"/>
  <c r="BF651" i="2"/>
  <c r="BE655" i="2"/>
  <c r="BE651" i="2"/>
  <c r="BD655" i="2"/>
  <c r="BD651" i="2"/>
  <c r="BC655" i="2"/>
  <c r="BC651" i="2"/>
  <c r="BB655" i="2"/>
  <c r="BB651" i="2"/>
  <c r="BA655" i="2"/>
  <c r="BA651" i="2"/>
  <c r="AZ655" i="2"/>
  <c r="AZ651" i="2"/>
  <c r="AY655" i="2"/>
  <c r="AY651" i="2"/>
  <c r="AX655" i="2"/>
  <c r="AX651" i="2"/>
  <c r="AW655" i="2"/>
  <c r="AW651" i="2"/>
  <c r="AV655" i="2"/>
  <c r="AV651" i="2"/>
  <c r="AU655" i="2"/>
  <c r="AU651" i="2"/>
  <c r="AT655" i="2"/>
  <c r="AT651" i="2"/>
  <c r="AS655" i="2"/>
  <c r="AS651" i="2"/>
  <c r="AR655" i="2"/>
  <c r="AR651" i="2"/>
  <c r="AQ655" i="2"/>
  <c r="AQ651" i="2"/>
  <c r="AP655" i="2"/>
  <c r="AP651" i="2"/>
  <c r="AO655" i="2"/>
  <c r="AO651" i="2"/>
  <c r="AN655" i="2"/>
  <c r="AN651" i="2"/>
  <c r="AM655" i="2"/>
  <c r="AM651" i="2"/>
  <c r="AL655" i="2"/>
  <c r="AL651" i="2"/>
  <c r="AK655" i="2"/>
  <c r="AK651" i="2"/>
  <c r="AJ655" i="2"/>
  <c r="AJ651" i="2"/>
  <c r="AI655" i="2"/>
  <c r="AI651" i="2"/>
  <c r="AH655" i="2"/>
  <c r="AH651" i="2"/>
  <c r="AG655" i="2"/>
  <c r="AG651" i="2"/>
  <c r="AF655" i="2"/>
  <c r="AF651" i="2"/>
  <c r="AE655" i="2"/>
  <c r="AE651" i="2"/>
  <c r="AD655" i="2"/>
  <c r="AD651" i="2"/>
  <c r="AC655" i="2"/>
  <c r="AC651" i="2"/>
  <c r="AB655" i="2"/>
  <c r="AB651" i="2"/>
  <c r="AA655" i="2"/>
  <c r="AA651" i="2"/>
  <c r="Z655" i="2"/>
  <c r="Z651" i="2"/>
  <c r="Y655" i="2"/>
  <c r="Y651" i="2"/>
  <c r="X655" i="2"/>
  <c r="X651" i="2"/>
  <c r="W655" i="2"/>
  <c r="W651" i="2"/>
  <c r="V655" i="2"/>
  <c r="V651" i="2"/>
  <c r="U655" i="2"/>
  <c r="U651" i="2"/>
  <c r="T655" i="2"/>
  <c r="T651" i="2"/>
  <c r="S655" i="2"/>
  <c r="S651" i="2"/>
  <c r="R655" i="2"/>
  <c r="R651" i="2"/>
  <c r="Q655" i="2"/>
  <c r="Q651" i="2"/>
  <c r="P655" i="2"/>
  <c r="P651" i="2"/>
  <c r="O655" i="2"/>
  <c r="N655" i="2"/>
  <c r="N651" i="2"/>
  <c r="M655" i="2"/>
  <c r="L655" i="2"/>
  <c r="E655" i="2"/>
  <c r="D655" i="2"/>
  <c r="C655" i="2"/>
  <c r="B655" i="2"/>
  <c r="A655" i="2"/>
  <c r="BO638" i="2"/>
  <c r="BM638" i="2"/>
  <c r="BL638" i="2"/>
  <c r="BK638" i="2"/>
  <c r="BK634" i="2"/>
  <c r="BJ638" i="2"/>
  <c r="BJ634" i="2"/>
  <c r="BI638" i="2"/>
  <c r="BI634" i="2"/>
  <c r="BH638" i="2"/>
  <c r="BH634" i="2"/>
  <c r="BG638" i="2"/>
  <c r="BG634" i="2"/>
  <c r="BF638" i="2"/>
  <c r="BF634" i="2"/>
  <c r="BE638" i="2"/>
  <c r="BE634" i="2"/>
  <c r="BD638" i="2"/>
  <c r="BD634" i="2"/>
  <c r="BC638" i="2"/>
  <c r="BC634" i="2"/>
  <c r="BB638" i="2"/>
  <c r="BB634" i="2"/>
  <c r="BA638" i="2"/>
  <c r="BA634" i="2"/>
  <c r="AZ638" i="2"/>
  <c r="AZ634" i="2"/>
  <c r="AY638" i="2"/>
  <c r="AY634" i="2"/>
  <c r="AX638" i="2"/>
  <c r="AX634" i="2"/>
  <c r="AW638" i="2"/>
  <c r="AW634" i="2"/>
  <c r="AV638" i="2"/>
  <c r="AV634" i="2"/>
  <c r="AU638" i="2"/>
  <c r="AU634" i="2"/>
  <c r="AT638" i="2"/>
  <c r="AT634" i="2"/>
  <c r="AS638" i="2"/>
  <c r="AS634" i="2"/>
  <c r="AR638" i="2"/>
  <c r="AR634" i="2"/>
  <c r="AQ638" i="2"/>
  <c r="AQ634" i="2"/>
  <c r="AP638" i="2"/>
  <c r="AP634" i="2"/>
  <c r="AO638" i="2"/>
  <c r="AO634" i="2"/>
  <c r="AN638" i="2"/>
  <c r="AN634" i="2"/>
  <c r="AM638" i="2"/>
  <c r="AM634" i="2"/>
  <c r="AL638" i="2"/>
  <c r="AL634" i="2"/>
  <c r="AK638" i="2"/>
  <c r="AK634" i="2"/>
  <c r="AJ638" i="2"/>
  <c r="AJ634" i="2"/>
  <c r="AI638" i="2"/>
  <c r="AI634" i="2"/>
  <c r="AH638" i="2"/>
  <c r="AH634" i="2"/>
  <c r="AG638" i="2"/>
  <c r="AG634" i="2"/>
  <c r="AF638" i="2"/>
  <c r="AF634" i="2"/>
  <c r="AE638" i="2"/>
  <c r="AE634" i="2"/>
  <c r="AD638" i="2"/>
  <c r="AD634" i="2"/>
  <c r="AC638" i="2"/>
  <c r="AC634" i="2"/>
  <c r="AB638" i="2"/>
  <c r="AB634" i="2"/>
  <c r="AA638" i="2"/>
  <c r="AA634" i="2"/>
  <c r="Z638" i="2"/>
  <c r="Z634" i="2"/>
  <c r="Y638" i="2"/>
  <c r="Y634" i="2"/>
  <c r="X638" i="2"/>
  <c r="X634" i="2"/>
  <c r="W638" i="2"/>
  <c r="W634" i="2"/>
  <c r="V638" i="2"/>
  <c r="V634" i="2"/>
  <c r="U638" i="2"/>
  <c r="U634" i="2"/>
  <c r="T638" i="2"/>
  <c r="T634" i="2"/>
  <c r="S638" i="2"/>
  <c r="S634" i="2"/>
  <c r="R638" i="2"/>
  <c r="R634" i="2"/>
  <c r="Q638" i="2"/>
  <c r="Q634" i="2"/>
  <c r="P638" i="2"/>
  <c r="P634" i="2"/>
  <c r="O638" i="2"/>
  <c r="N638" i="2"/>
  <c r="N634" i="2"/>
  <c r="M638" i="2"/>
  <c r="L638" i="2"/>
  <c r="E638" i="2"/>
  <c r="D638" i="2"/>
  <c r="C638" i="2"/>
  <c r="B638" i="2"/>
  <c r="A638" i="2"/>
  <c r="BO621" i="2"/>
  <c r="BM621" i="2"/>
  <c r="BL621" i="2"/>
  <c r="BK621" i="2"/>
  <c r="BK617" i="2"/>
  <c r="BJ621" i="2"/>
  <c r="BJ617" i="2"/>
  <c r="BI621" i="2"/>
  <c r="BI617" i="2"/>
  <c r="BH621" i="2"/>
  <c r="BH617" i="2"/>
  <c r="BG621" i="2"/>
  <c r="BG617" i="2"/>
  <c r="BF621" i="2"/>
  <c r="BF617" i="2"/>
  <c r="BE621" i="2"/>
  <c r="BE617" i="2"/>
  <c r="BD621" i="2"/>
  <c r="BD617" i="2"/>
  <c r="BC621" i="2"/>
  <c r="BC617" i="2"/>
  <c r="BB621" i="2"/>
  <c r="BB617" i="2"/>
  <c r="BA621" i="2"/>
  <c r="BA617" i="2"/>
  <c r="AZ621" i="2"/>
  <c r="AZ617" i="2"/>
  <c r="AY621" i="2"/>
  <c r="AY617" i="2"/>
  <c r="AX621" i="2"/>
  <c r="AX617" i="2"/>
  <c r="AW621" i="2"/>
  <c r="AW617" i="2"/>
  <c r="AV621" i="2"/>
  <c r="AV617" i="2"/>
  <c r="AU621" i="2"/>
  <c r="AU617" i="2"/>
  <c r="AT621" i="2"/>
  <c r="AT617" i="2"/>
  <c r="AS621" i="2"/>
  <c r="AS617" i="2"/>
  <c r="AR621" i="2"/>
  <c r="AR617" i="2"/>
  <c r="AQ621" i="2"/>
  <c r="AQ617" i="2"/>
  <c r="AP621" i="2"/>
  <c r="AP617" i="2"/>
  <c r="AO621" i="2"/>
  <c r="AO617" i="2"/>
  <c r="AN621" i="2"/>
  <c r="AN617" i="2"/>
  <c r="AM621" i="2"/>
  <c r="AM617" i="2"/>
  <c r="AL621" i="2"/>
  <c r="AL617" i="2"/>
  <c r="AK621" i="2"/>
  <c r="AK617" i="2"/>
  <c r="AJ621" i="2"/>
  <c r="AJ617" i="2"/>
  <c r="AI621" i="2"/>
  <c r="AI617" i="2"/>
  <c r="AH621" i="2"/>
  <c r="AH617" i="2"/>
  <c r="AG621" i="2"/>
  <c r="AG617" i="2"/>
  <c r="AF621" i="2"/>
  <c r="AF617" i="2"/>
  <c r="AE621" i="2"/>
  <c r="AE617" i="2"/>
  <c r="AD621" i="2"/>
  <c r="AD617" i="2"/>
  <c r="AC621" i="2"/>
  <c r="AC617" i="2"/>
  <c r="AB621" i="2"/>
  <c r="AB617" i="2"/>
  <c r="AA621" i="2"/>
  <c r="AA617" i="2"/>
  <c r="Z621" i="2"/>
  <c r="Z617" i="2"/>
  <c r="Y621" i="2"/>
  <c r="Y617" i="2"/>
  <c r="X621" i="2"/>
  <c r="X617" i="2"/>
  <c r="W621" i="2"/>
  <c r="W617" i="2"/>
  <c r="V621" i="2"/>
  <c r="V617" i="2"/>
  <c r="U621" i="2"/>
  <c r="U617" i="2"/>
  <c r="T621" i="2"/>
  <c r="T617" i="2"/>
  <c r="S621" i="2"/>
  <c r="S617" i="2"/>
  <c r="R621" i="2"/>
  <c r="R617" i="2"/>
  <c r="Q621" i="2"/>
  <c r="Q617" i="2"/>
  <c r="P621" i="2"/>
  <c r="P617" i="2"/>
  <c r="O621" i="2"/>
  <c r="N621" i="2"/>
  <c r="N617" i="2"/>
  <c r="M621" i="2"/>
  <c r="L621" i="2"/>
  <c r="E621" i="2"/>
  <c r="D621" i="2"/>
  <c r="C621" i="2"/>
  <c r="B621" i="2"/>
  <c r="A621" i="2"/>
  <c r="BO604" i="2"/>
  <c r="BM604" i="2"/>
  <c r="BL604" i="2"/>
  <c r="BK604" i="2"/>
  <c r="BK600" i="2"/>
  <c r="BJ604" i="2"/>
  <c r="BJ600" i="2"/>
  <c r="BI604" i="2"/>
  <c r="BI600" i="2"/>
  <c r="BH604" i="2"/>
  <c r="BH600" i="2"/>
  <c r="BG604" i="2"/>
  <c r="BG600" i="2"/>
  <c r="BF604" i="2"/>
  <c r="BF600" i="2"/>
  <c r="BE604" i="2"/>
  <c r="BE600" i="2"/>
  <c r="BD604" i="2"/>
  <c r="BD600" i="2"/>
  <c r="BC604" i="2"/>
  <c r="BC600" i="2"/>
  <c r="BB604" i="2"/>
  <c r="BB600" i="2"/>
  <c r="BA604" i="2"/>
  <c r="BA600" i="2"/>
  <c r="AZ604" i="2"/>
  <c r="AZ600" i="2"/>
  <c r="AY604" i="2"/>
  <c r="AY600" i="2"/>
  <c r="AX604" i="2"/>
  <c r="AX600" i="2"/>
  <c r="AW604" i="2"/>
  <c r="AW600" i="2"/>
  <c r="AV604" i="2"/>
  <c r="AV600" i="2"/>
  <c r="AU604" i="2"/>
  <c r="AU600" i="2"/>
  <c r="AT604" i="2"/>
  <c r="AT600" i="2"/>
  <c r="AS604" i="2"/>
  <c r="AS600" i="2"/>
  <c r="AR604" i="2"/>
  <c r="AR600" i="2"/>
  <c r="AQ604" i="2"/>
  <c r="AQ600" i="2"/>
  <c r="AP604" i="2"/>
  <c r="AP600" i="2"/>
  <c r="AO604" i="2"/>
  <c r="AO600" i="2"/>
  <c r="AN604" i="2"/>
  <c r="AN600" i="2"/>
  <c r="AM604" i="2"/>
  <c r="AM600" i="2"/>
  <c r="AL604" i="2"/>
  <c r="AL600" i="2"/>
  <c r="AK604" i="2"/>
  <c r="AK600" i="2"/>
  <c r="AJ604" i="2"/>
  <c r="AJ600" i="2"/>
  <c r="AI604" i="2"/>
  <c r="AI600" i="2"/>
  <c r="AH604" i="2"/>
  <c r="AH600" i="2"/>
  <c r="AG604" i="2"/>
  <c r="AG600" i="2"/>
  <c r="AF604" i="2"/>
  <c r="AF600" i="2"/>
  <c r="AE604" i="2"/>
  <c r="AE600" i="2"/>
  <c r="AD604" i="2"/>
  <c r="AD600" i="2"/>
  <c r="AC604" i="2"/>
  <c r="AC600" i="2"/>
  <c r="AB604" i="2"/>
  <c r="AB600" i="2"/>
  <c r="AA604" i="2"/>
  <c r="AA600" i="2"/>
  <c r="Z604" i="2"/>
  <c r="Z600" i="2"/>
  <c r="Y604" i="2"/>
  <c r="Y600" i="2"/>
  <c r="X604" i="2"/>
  <c r="X600" i="2"/>
  <c r="W604" i="2"/>
  <c r="W600" i="2"/>
  <c r="V604" i="2"/>
  <c r="V600" i="2"/>
  <c r="U604" i="2"/>
  <c r="U600" i="2"/>
  <c r="T604" i="2"/>
  <c r="T600" i="2"/>
  <c r="S604" i="2"/>
  <c r="S600" i="2"/>
  <c r="R604" i="2"/>
  <c r="R600" i="2"/>
  <c r="Q604" i="2"/>
  <c r="Q600" i="2"/>
  <c r="P604" i="2"/>
  <c r="P600" i="2"/>
  <c r="O604" i="2"/>
  <c r="N604" i="2"/>
  <c r="N600" i="2"/>
  <c r="M604" i="2"/>
  <c r="L604" i="2"/>
  <c r="E604" i="2"/>
  <c r="D604" i="2"/>
  <c r="C604" i="2"/>
  <c r="B604" i="2"/>
  <c r="A604" i="2"/>
  <c r="BO587" i="2"/>
  <c r="BM587" i="2"/>
  <c r="BL587" i="2"/>
  <c r="BK587" i="2"/>
  <c r="BK583" i="2"/>
  <c r="BJ587" i="2"/>
  <c r="BJ583" i="2"/>
  <c r="BI587" i="2"/>
  <c r="BI583" i="2"/>
  <c r="BH587" i="2"/>
  <c r="BH583" i="2"/>
  <c r="BG587" i="2"/>
  <c r="BG583" i="2"/>
  <c r="BF587" i="2"/>
  <c r="BF583" i="2"/>
  <c r="BE587" i="2"/>
  <c r="BE583" i="2"/>
  <c r="BD587" i="2"/>
  <c r="BD583" i="2"/>
  <c r="BC587" i="2"/>
  <c r="BC583" i="2"/>
  <c r="BB587" i="2"/>
  <c r="BB583" i="2"/>
  <c r="BA587" i="2"/>
  <c r="BA583" i="2"/>
  <c r="AZ587" i="2"/>
  <c r="AZ583" i="2"/>
  <c r="AY587" i="2"/>
  <c r="AY583" i="2"/>
  <c r="AX587" i="2"/>
  <c r="AX583" i="2"/>
  <c r="AW587" i="2"/>
  <c r="AW583" i="2"/>
  <c r="AV587" i="2"/>
  <c r="AV583" i="2"/>
  <c r="AU587" i="2"/>
  <c r="AU583" i="2"/>
  <c r="AT587" i="2"/>
  <c r="AT583" i="2"/>
  <c r="AS587" i="2"/>
  <c r="AS583" i="2"/>
  <c r="AR587" i="2"/>
  <c r="AR583" i="2"/>
  <c r="AQ587" i="2"/>
  <c r="AQ583" i="2"/>
  <c r="AP587" i="2"/>
  <c r="AP583" i="2"/>
  <c r="AO587" i="2"/>
  <c r="AO583" i="2"/>
  <c r="AN587" i="2"/>
  <c r="AN583" i="2"/>
  <c r="AM587" i="2"/>
  <c r="AM583" i="2"/>
  <c r="AL587" i="2"/>
  <c r="AL583" i="2"/>
  <c r="AK587" i="2"/>
  <c r="AK583" i="2"/>
  <c r="AJ587" i="2"/>
  <c r="AJ583" i="2"/>
  <c r="AI587" i="2"/>
  <c r="AI583" i="2"/>
  <c r="AH587" i="2"/>
  <c r="AH583" i="2"/>
  <c r="AG587" i="2"/>
  <c r="AG583" i="2"/>
  <c r="AF587" i="2"/>
  <c r="AF583" i="2"/>
  <c r="AE587" i="2"/>
  <c r="AE583" i="2"/>
  <c r="AD587" i="2"/>
  <c r="AD583" i="2"/>
  <c r="AC587" i="2"/>
  <c r="AC583" i="2"/>
  <c r="AB587" i="2"/>
  <c r="AB583" i="2"/>
  <c r="AA587" i="2"/>
  <c r="AA583" i="2"/>
  <c r="Z587" i="2"/>
  <c r="Z583" i="2"/>
  <c r="Y587" i="2"/>
  <c r="Y583" i="2"/>
  <c r="X587" i="2"/>
  <c r="X583" i="2"/>
  <c r="W587" i="2"/>
  <c r="W583" i="2"/>
  <c r="V587" i="2"/>
  <c r="V583" i="2"/>
  <c r="U587" i="2"/>
  <c r="U583" i="2"/>
  <c r="T587" i="2"/>
  <c r="T583" i="2"/>
  <c r="S587" i="2"/>
  <c r="S583" i="2"/>
  <c r="R587" i="2"/>
  <c r="R583" i="2"/>
  <c r="Q587" i="2"/>
  <c r="Q583" i="2"/>
  <c r="P587" i="2"/>
  <c r="P583" i="2"/>
  <c r="O587" i="2"/>
  <c r="N587" i="2"/>
  <c r="N583" i="2"/>
  <c r="M587" i="2"/>
  <c r="L587" i="2"/>
  <c r="E587" i="2"/>
  <c r="D587" i="2"/>
  <c r="C587" i="2"/>
  <c r="B587" i="2"/>
  <c r="A587" i="2"/>
  <c r="BO570" i="2"/>
  <c r="BM570" i="2"/>
  <c r="BL570" i="2"/>
  <c r="BK570" i="2"/>
  <c r="BK566" i="2"/>
  <c r="BJ570" i="2"/>
  <c r="BJ566" i="2"/>
  <c r="BI570" i="2"/>
  <c r="BI566" i="2"/>
  <c r="BH570" i="2"/>
  <c r="BH566" i="2"/>
  <c r="BG570" i="2"/>
  <c r="BG566" i="2"/>
  <c r="BF570" i="2"/>
  <c r="BF566" i="2"/>
  <c r="BE570" i="2"/>
  <c r="BE566" i="2"/>
  <c r="BD570" i="2"/>
  <c r="BD566" i="2"/>
  <c r="BC570" i="2"/>
  <c r="BC566" i="2"/>
  <c r="BB570" i="2"/>
  <c r="BB566" i="2"/>
  <c r="BA570" i="2"/>
  <c r="BA566" i="2"/>
  <c r="AZ570" i="2"/>
  <c r="AZ566" i="2"/>
  <c r="AY570" i="2"/>
  <c r="AY566" i="2"/>
  <c r="AX570" i="2"/>
  <c r="AX566" i="2"/>
  <c r="AW570" i="2"/>
  <c r="AW566" i="2"/>
  <c r="AV570" i="2"/>
  <c r="AV566" i="2"/>
  <c r="AU570" i="2"/>
  <c r="AU566" i="2"/>
  <c r="AT570" i="2"/>
  <c r="AT566" i="2"/>
  <c r="AS570" i="2"/>
  <c r="AS566" i="2"/>
  <c r="AR570" i="2"/>
  <c r="AR566" i="2"/>
  <c r="AQ570" i="2"/>
  <c r="AQ566" i="2"/>
  <c r="AP570" i="2"/>
  <c r="AP566" i="2"/>
  <c r="AO570" i="2"/>
  <c r="AO566" i="2"/>
  <c r="AN570" i="2"/>
  <c r="AN566" i="2"/>
  <c r="AM570" i="2"/>
  <c r="AM566" i="2"/>
  <c r="AL570" i="2"/>
  <c r="AL566" i="2"/>
  <c r="AK570" i="2"/>
  <c r="AK566" i="2"/>
  <c r="AJ570" i="2"/>
  <c r="AJ566" i="2"/>
  <c r="AI570" i="2"/>
  <c r="AI566" i="2"/>
  <c r="AH570" i="2"/>
  <c r="AH566" i="2"/>
  <c r="AG570" i="2"/>
  <c r="AG566" i="2"/>
  <c r="AF570" i="2"/>
  <c r="AF566" i="2"/>
  <c r="AE570" i="2"/>
  <c r="AE566" i="2"/>
  <c r="AD570" i="2"/>
  <c r="AD566" i="2"/>
  <c r="AC570" i="2"/>
  <c r="AC566" i="2"/>
  <c r="AB570" i="2"/>
  <c r="AB566" i="2"/>
  <c r="AA570" i="2"/>
  <c r="AA566" i="2"/>
  <c r="Z570" i="2"/>
  <c r="Z566" i="2"/>
  <c r="Y570" i="2"/>
  <c r="Y566" i="2"/>
  <c r="X570" i="2"/>
  <c r="X566" i="2"/>
  <c r="W570" i="2"/>
  <c r="W566" i="2"/>
  <c r="V570" i="2"/>
  <c r="V566" i="2"/>
  <c r="U570" i="2"/>
  <c r="U566" i="2"/>
  <c r="T570" i="2"/>
  <c r="T566" i="2"/>
  <c r="S570" i="2"/>
  <c r="S566" i="2"/>
  <c r="R570" i="2"/>
  <c r="R566" i="2"/>
  <c r="Q570" i="2"/>
  <c r="Q566" i="2"/>
  <c r="P570" i="2"/>
  <c r="P566" i="2"/>
  <c r="O570" i="2"/>
  <c r="N570" i="2"/>
  <c r="N566" i="2"/>
  <c r="M570" i="2"/>
  <c r="L570" i="2"/>
  <c r="E570" i="2"/>
  <c r="D570" i="2"/>
  <c r="C570" i="2"/>
  <c r="B570" i="2"/>
  <c r="A570" i="2"/>
  <c r="BO553" i="2"/>
  <c r="BM553" i="2"/>
  <c r="BL553" i="2"/>
  <c r="BK553" i="2"/>
  <c r="BK549" i="2"/>
  <c r="BJ553" i="2"/>
  <c r="BJ549" i="2"/>
  <c r="BI553" i="2"/>
  <c r="BI549" i="2"/>
  <c r="BH553" i="2"/>
  <c r="BH549" i="2"/>
  <c r="BG553" i="2"/>
  <c r="BG549" i="2"/>
  <c r="BF553" i="2"/>
  <c r="BF549" i="2"/>
  <c r="BE553" i="2"/>
  <c r="BE549" i="2"/>
  <c r="BD553" i="2"/>
  <c r="BD549" i="2"/>
  <c r="BC553" i="2"/>
  <c r="BC549" i="2"/>
  <c r="BB553" i="2"/>
  <c r="BB549" i="2"/>
  <c r="BA553" i="2"/>
  <c r="BA549" i="2"/>
  <c r="AZ553" i="2"/>
  <c r="AZ549" i="2"/>
  <c r="AY553" i="2"/>
  <c r="AY549" i="2"/>
  <c r="AX553" i="2"/>
  <c r="AX549" i="2"/>
  <c r="AW553" i="2"/>
  <c r="AW549" i="2"/>
  <c r="AV553" i="2"/>
  <c r="AV549" i="2"/>
  <c r="AU553" i="2"/>
  <c r="AU549" i="2"/>
  <c r="AT553" i="2"/>
  <c r="AT549" i="2"/>
  <c r="AS553" i="2"/>
  <c r="AS549" i="2"/>
  <c r="AR553" i="2"/>
  <c r="AR549" i="2"/>
  <c r="AQ553" i="2"/>
  <c r="AQ549" i="2"/>
  <c r="AP553" i="2"/>
  <c r="AP549" i="2"/>
  <c r="AO553" i="2"/>
  <c r="AO549" i="2"/>
  <c r="AN553" i="2"/>
  <c r="AN549" i="2"/>
  <c r="AM553" i="2"/>
  <c r="AM549" i="2"/>
  <c r="AL553" i="2"/>
  <c r="AL549" i="2"/>
  <c r="AK553" i="2"/>
  <c r="AK549" i="2"/>
  <c r="AJ553" i="2"/>
  <c r="AJ549" i="2"/>
  <c r="AI553" i="2"/>
  <c r="AI549" i="2"/>
  <c r="AH553" i="2"/>
  <c r="AH549" i="2"/>
  <c r="AG553" i="2"/>
  <c r="AG549" i="2"/>
  <c r="AF553" i="2"/>
  <c r="AF549" i="2"/>
  <c r="AE553" i="2"/>
  <c r="AE549" i="2"/>
  <c r="AD553" i="2"/>
  <c r="AD549" i="2"/>
  <c r="AC553" i="2"/>
  <c r="AC549" i="2"/>
  <c r="AB553" i="2"/>
  <c r="AB549" i="2"/>
  <c r="AA553" i="2"/>
  <c r="AA549" i="2"/>
  <c r="Z553" i="2"/>
  <c r="Z549" i="2"/>
  <c r="Y553" i="2"/>
  <c r="Y549" i="2"/>
  <c r="X553" i="2"/>
  <c r="X549" i="2"/>
  <c r="W553" i="2"/>
  <c r="W549" i="2"/>
  <c r="V553" i="2"/>
  <c r="V549" i="2"/>
  <c r="U553" i="2"/>
  <c r="U549" i="2"/>
  <c r="T553" i="2"/>
  <c r="T549" i="2"/>
  <c r="S553" i="2"/>
  <c r="S549" i="2"/>
  <c r="R553" i="2"/>
  <c r="R549" i="2"/>
  <c r="Q553" i="2"/>
  <c r="Q549" i="2"/>
  <c r="P553" i="2"/>
  <c r="P549" i="2"/>
  <c r="O553" i="2"/>
  <c r="N553" i="2"/>
  <c r="N549" i="2"/>
  <c r="M553" i="2"/>
  <c r="L553" i="2"/>
  <c r="E553" i="2"/>
  <c r="D553" i="2"/>
  <c r="C553" i="2"/>
  <c r="B553" i="2"/>
  <c r="A553" i="2"/>
  <c r="BO536" i="2"/>
  <c r="BM536" i="2"/>
  <c r="BL536" i="2"/>
  <c r="BK536" i="2"/>
  <c r="BK532" i="2"/>
  <c r="BJ536" i="2"/>
  <c r="BJ532" i="2"/>
  <c r="BI536" i="2"/>
  <c r="BI532" i="2"/>
  <c r="BH536" i="2"/>
  <c r="BH532" i="2"/>
  <c r="BG536" i="2"/>
  <c r="BG532" i="2"/>
  <c r="BF536" i="2"/>
  <c r="BF532" i="2"/>
  <c r="BE536" i="2"/>
  <c r="BE532" i="2"/>
  <c r="BD536" i="2"/>
  <c r="BD532" i="2"/>
  <c r="BC536" i="2"/>
  <c r="BC532" i="2"/>
  <c r="BB536" i="2"/>
  <c r="BB532" i="2"/>
  <c r="BA536" i="2"/>
  <c r="BA532" i="2"/>
  <c r="AZ536" i="2"/>
  <c r="AZ532" i="2"/>
  <c r="AY536" i="2"/>
  <c r="AY532" i="2"/>
  <c r="AX536" i="2"/>
  <c r="AX532" i="2"/>
  <c r="AW536" i="2"/>
  <c r="AW532" i="2"/>
  <c r="AV536" i="2"/>
  <c r="AV532" i="2"/>
  <c r="AU536" i="2"/>
  <c r="AU532" i="2"/>
  <c r="AT536" i="2"/>
  <c r="AT532" i="2"/>
  <c r="AS536" i="2"/>
  <c r="AS532" i="2"/>
  <c r="AR536" i="2"/>
  <c r="AR532" i="2"/>
  <c r="AQ536" i="2"/>
  <c r="AQ532" i="2"/>
  <c r="AP536" i="2"/>
  <c r="AP532" i="2"/>
  <c r="AO536" i="2"/>
  <c r="AO532" i="2"/>
  <c r="AN536" i="2"/>
  <c r="AN532" i="2"/>
  <c r="AM536" i="2"/>
  <c r="AM532" i="2"/>
  <c r="AL536" i="2"/>
  <c r="AL532" i="2"/>
  <c r="AK536" i="2"/>
  <c r="AK532" i="2"/>
  <c r="AJ536" i="2"/>
  <c r="AJ532" i="2"/>
  <c r="AI536" i="2"/>
  <c r="AI532" i="2"/>
  <c r="AH536" i="2"/>
  <c r="AH532" i="2"/>
  <c r="AG536" i="2"/>
  <c r="AG532" i="2"/>
  <c r="AF536" i="2"/>
  <c r="AF532" i="2"/>
  <c r="AE536" i="2"/>
  <c r="AE532" i="2"/>
  <c r="AD536" i="2"/>
  <c r="AD532" i="2"/>
  <c r="AC536" i="2"/>
  <c r="AC532" i="2"/>
  <c r="AB536" i="2"/>
  <c r="AB532" i="2"/>
  <c r="AA536" i="2"/>
  <c r="AA532" i="2"/>
  <c r="Z536" i="2"/>
  <c r="Z532" i="2"/>
  <c r="Y536" i="2"/>
  <c r="Y532" i="2"/>
  <c r="X536" i="2"/>
  <c r="X532" i="2"/>
  <c r="W536" i="2"/>
  <c r="W532" i="2"/>
  <c r="V536" i="2"/>
  <c r="V532" i="2"/>
  <c r="U536" i="2"/>
  <c r="U532" i="2"/>
  <c r="T536" i="2"/>
  <c r="T532" i="2"/>
  <c r="S536" i="2"/>
  <c r="S532" i="2"/>
  <c r="R536" i="2"/>
  <c r="R532" i="2"/>
  <c r="Q536" i="2"/>
  <c r="Q532" i="2"/>
  <c r="P536" i="2"/>
  <c r="P532" i="2"/>
  <c r="O536" i="2"/>
  <c r="N536" i="2"/>
  <c r="N532" i="2"/>
  <c r="M536" i="2"/>
  <c r="L536" i="2"/>
  <c r="E536" i="2"/>
  <c r="D536" i="2"/>
  <c r="C536" i="2"/>
  <c r="B536" i="2"/>
  <c r="A536" i="2"/>
  <c r="BO519" i="2"/>
  <c r="BM519" i="2"/>
  <c r="BL519" i="2"/>
  <c r="BK519" i="2"/>
  <c r="BK515" i="2"/>
  <c r="BJ519" i="2"/>
  <c r="BJ515" i="2"/>
  <c r="BI519" i="2"/>
  <c r="BI515" i="2"/>
  <c r="BH519" i="2"/>
  <c r="BH515" i="2"/>
  <c r="BG519" i="2"/>
  <c r="BG515" i="2"/>
  <c r="BF519" i="2"/>
  <c r="BF515" i="2"/>
  <c r="BE519" i="2"/>
  <c r="BE515" i="2"/>
  <c r="BD519" i="2"/>
  <c r="BD515" i="2"/>
  <c r="BC519" i="2"/>
  <c r="BC515" i="2"/>
  <c r="BB519" i="2"/>
  <c r="BB515" i="2"/>
  <c r="BA519" i="2"/>
  <c r="BA515" i="2"/>
  <c r="AZ519" i="2"/>
  <c r="AZ515" i="2"/>
  <c r="AY519" i="2"/>
  <c r="AY515" i="2"/>
  <c r="AX519" i="2"/>
  <c r="AX515" i="2"/>
  <c r="AW519" i="2"/>
  <c r="AW515" i="2"/>
  <c r="AV519" i="2"/>
  <c r="AV515" i="2"/>
  <c r="AU519" i="2"/>
  <c r="AU515" i="2"/>
  <c r="AT519" i="2"/>
  <c r="AT515" i="2"/>
  <c r="AS519" i="2"/>
  <c r="AS515" i="2"/>
  <c r="AR519" i="2"/>
  <c r="AR515" i="2"/>
  <c r="AQ519" i="2"/>
  <c r="AQ515" i="2"/>
  <c r="AP519" i="2"/>
  <c r="AP515" i="2"/>
  <c r="AO519" i="2"/>
  <c r="AO515" i="2"/>
  <c r="AN519" i="2"/>
  <c r="AN515" i="2"/>
  <c r="AM519" i="2"/>
  <c r="AM515" i="2"/>
  <c r="AL519" i="2"/>
  <c r="AL515" i="2"/>
  <c r="AK519" i="2"/>
  <c r="AK515" i="2"/>
  <c r="AJ519" i="2"/>
  <c r="AJ515" i="2"/>
  <c r="AI519" i="2"/>
  <c r="AI515" i="2"/>
  <c r="AH519" i="2"/>
  <c r="AH515" i="2"/>
  <c r="AG519" i="2"/>
  <c r="AG515" i="2"/>
  <c r="AF519" i="2"/>
  <c r="AF515" i="2"/>
  <c r="AE519" i="2"/>
  <c r="AE515" i="2"/>
  <c r="AD519" i="2"/>
  <c r="AD515" i="2"/>
  <c r="AC519" i="2"/>
  <c r="AC515" i="2"/>
  <c r="AB519" i="2"/>
  <c r="AB515" i="2"/>
  <c r="AA519" i="2"/>
  <c r="AA515" i="2"/>
  <c r="Z519" i="2"/>
  <c r="Z515" i="2"/>
  <c r="Y519" i="2"/>
  <c r="Y515" i="2"/>
  <c r="X519" i="2"/>
  <c r="X515" i="2"/>
  <c r="W519" i="2"/>
  <c r="W515" i="2"/>
  <c r="V519" i="2"/>
  <c r="V515" i="2"/>
  <c r="U519" i="2"/>
  <c r="U515" i="2"/>
  <c r="T519" i="2"/>
  <c r="T515" i="2"/>
  <c r="S519" i="2"/>
  <c r="S515" i="2"/>
  <c r="R519" i="2"/>
  <c r="R515" i="2"/>
  <c r="Q519" i="2"/>
  <c r="Q515" i="2"/>
  <c r="P519" i="2"/>
  <c r="P515" i="2"/>
  <c r="O519" i="2"/>
  <c r="N519" i="2"/>
  <c r="N515" i="2"/>
  <c r="M519" i="2"/>
  <c r="L519" i="2"/>
  <c r="E519" i="2"/>
  <c r="D519" i="2"/>
  <c r="C519" i="2"/>
  <c r="B519" i="2"/>
  <c r="A519" i="2"/>
  <c r="BO502" i="2"/>
  <c r="BM502" i="2"/>
  <c r="BL502" i="2"/>
  <c r="BK502" i="2"/>
  <c r="BK498" i="2"/>
  <c r="BJ502" i="2"/>
  <c r="BJ498" i="2"/>
  <c r="BI502" i="2"/>
  <c r="BI498" i="2"/>
  <c r="BH502" i="2"/>
  <c r="BH498" i="2"/>
  <c r="BG502" i="2"/>
  <c r="BG498" i="2"/>
  <c r="BF502" i="2"/>
  <c r="BF498" i="2"/>
  <c r="BE502" i="2"/>
  <c r="BE498" i="2"/>
  <c r="BD502" i="2"/>
  <c r="BD498" i="2"/>
  <c r="BC502" i="2"/>
  <c r="BC498" i="2"/>
  <c r="BB502" i="2"/>
  <c r="BB498" i="2"/>
  <c r="BA502" i="2"/>
  <c r="BA498" i="2"/>
  <c r="AZ502" i="2"/>
  <c r="AZ498" i="2"/>
  <c r="AY502" i="2"/>
  <c r="AY498" i="2"/>
  <c r="AX502" i="2"/>
  <c r="AX498" i="2"/>
  <c r="AW502" i="2"/>
  <c r="AW498" i="2"/>
  <c r="AV502" i="2"/>
  <c r="AV498" i="2"/>
  <c r="AU502" i="2"/>
  <c r="AU498" i="2"/>
  <c r="AT502" i="2"/>
  <c r="AT498" i="2"/>
  <c r="AS502" i="2"/>
  <c r="AS498" i="2"/>
  <c r="AR502" i="2"/>
  <c r="AR498" i="2"/>
  <c r="AQ502" i="2"/>
  <c r="AQ498" i="2"/>
  <c r="AP502" i="2"/>
  <c r="AP498" i="2"/>
  <c r="AO502" i="2"/>
  <c r="AO498" i="2"/>
  <c r="AN502" i="2"/>
  <c r="AN498" i="2"/>
  <c r="AM502" i="2"/>
  <c r="AM498" i="2"/>
  <c r="AL502" i="2"/>
  <c r="AL498" i="2"/>
  <c r="AK502" i="2"/>
  <c r="AK498" i="2"/>
  <c r="AJ502" i="2"/>
  <c r="AJ498" i="2"/>
  <c r="AI502" i="2"/>
  <c r="AI498" i="2"/>
  <c r="AH502" i="2"/>
  <c r="AH498" i="2"/>
  <c r="AG502" i="2"/>
  <c r="AG498" i="2"/>
  <c r="AF502" i="2"/>
  <c r="AF498" i="2"/>
  <c r="AE502" i="2"/>
  <c r="AE498" i="2"/>
  <c r="AD502" i="2"/>
  <c r="AD498" i="2"/>
  <c r="AC502" i="2"/>
  <c r="AC498" i="2"/>
  <c r="AB502" i="2"/>
  <c r="AB498" i="2"/>
  <c r="AA502" i="2"/>
  <c r="AA498" i="2"/>
  <c r="Z502" i="2"/>
  <c r="Z498" i="2"/>
  <c r="Y502" i="2"/>
  <c r="Y498" i="2"/>
  <c r="X502" i="2"/>
  <c r="X498" i="2"/>
  <c r="W502" i="2"/>
  <c r="W498" i="2"/>
  <c r="V502" i="2"/>
  <c r="V498" i="2"/>
  <c r="U502" i="2"/>
  <c r="U498" i="2"/>
  <c r="T502" i="2"/>
  <c r="T498" i="2"/>
  <c r="S502" i="2"/>
  <c r="S498" i="2"/>
  <c r="R502" i="2"/>
  <c r="R498" i="2"/>
  <c r="Q502" i="2"/>
  <c r="Q498" i="2"/>
  <c r="P502" i="2"/>
  <c r="P498" i="2"/>
  <c r="O502" i="2"/>
  <c r="N502" i="2"/>
  <c r="N498" i="2"/>
  <c r="M502" i="2"/>
  <c r="L502" i="2"/>
  <c r="E502" i="2"/>
  <c r="D502" i="2"/>
  <c r="C502" i="2"/>
  <c r="B502" i="2"/>
  <c r="A502" i="2"/>
  <c r="BO485" i="2"/>
  <c r="BM485" i="2"/>
  <c r="BL485" i="2"/>
  <c r="BK485" i="2"/>
  <c r="BK481" i="2"/>
  <c r="BJ485" i="2"/>
  <c r="BJ481" i="2"/>
  <c r="BI485" i="2"/>
  <c r="BI481" i="2"/>
  <c r="BH485" i="2"/>
  <c r="BH481" i="2"/>
  <c r="BG485" i="2"/>
  <c r="BG481" i="2"/>
  <c r="BF485" i="2"/>
  <c r="BF481" i="2"/>
  <c r="BE485" i="2"/>
  <c r="BE481" i="2"/>
  <c r="BD485" i="2"/>
  <c r="BD481" i="2"/>
  <c r="BC485" i="2"/>
  <c r="BC481" i="2"/>
  <c r="BB485" i="2"/>
  <c r="BB481" i="2"/>
  <c r="BA485" i="2"/>
  <c r="BA481" i="2"/>
  <c r="AZ485" i="2"/>
  <c r="AZ481" i="2"/>
  <c r="AY485" i="2"/>
  <c r="AY481" i="2"/>
  <c r="AX485" i="2"/>
  <c r="AX481" i="2"/>
  <c r="AW485" i="2"/>
  <c r="AW481" i="2"/>
  <c r="AV485" i="2"/>
  <c r="AV481" i="2"/>
  <c r="AU485" i="2"/>
  <c r="AU481" i="2"/>
  <c r="AT485" i="2"/>
  <c r="AT481" i="2"/>
  <c r="AS485" i="2"/>
  <c r="AS481" i="2"/>
  <c r="AR485" i="2"/>
  <c r="AR481" i="2"/>
  <c r="AQ485" i="2"/>
  <c r="AQ481" i="2"/>
  <c r="AP485" i="2"/>
  <c r="AP481" i="2"/>
  <c r="AO485" i="2"/>
  <c r="AO481" i="2"/>
  <c r="AN485" i="2"/>
  <c r="AN481" i="2"/>
  <c r="AM485" i="2"/>
  <c r="AM481" i="2"/>
  <c r="AL485" i="2"/>
  <c r="AL481" i="2"/>
  <c r="AK485" i="2"/>
  <c r="AK481" i="2"/>
  <c r="AJ485" i="2"/>
  <c r="AJ481" i="2"/>
  <c r="AI485" i="2"/>
  <c r="AI481" i="2"/>
  <c r="AH485" i="2"/>
  <c r="AH481" i="2"/>
  <c r="AG485" i="2"/>
  <c r="AG481" i="2"/>
  <c r="AF485" i="2"/>
  <c r="AF481" i="2"/>
  <c r="AE485" i="2"/>
  <c r="AE481" i="2"/>
  <c r="AD485" i="2"/>
  <c r="AD481" i="2"/>
  <c r="AC485" i="2"/>
  <c r="AC481" i="2"/>
  <c r="AB485" i="2"/>
  <c r="AB481" i="2"/>
  <c r="AA485" i="2"/>
  <c r="AA481" i="2"/>
  <c r="Z485" i="2"/>
  <c r="Z481" i="2"/>
  <c r="Y485" i="2"/>
  <c r="Y481" i="2"/>
  <c r="X485" i="2"/>
  <c r="X481" i="2"/>
  <c r="W485" i="2"/>
  <c r="W481" i="2"/>
  <c r="V485" i="2"/>
  <c r="V481" i="2"/>
  <c r="U485" i="2"/>
  <c r="U481" i="2"/>
  <c r="T485" i="2"/>
  <c r="T481" i="2"/>
  <c r="S485" i="2"/>
  <c r="S481" i="2"/>
  <c r="R485" i="2"/>
  <c r="R481" i="2"/>
  <c r="Q485" i="2"/>
  <c r="Q481" i="2"/>
  <c r="P485" i="2"/>
  <c r="P481" i="2"/>
  <c r="O485" i="2"/>
  <c r="N485" i="2"/>
  <c r="N481" i="2"/>
  <c r="M485" i="2"/>
  <c r="L485" i="2"/>
  <c r="E485" i="2"/>
  <c r="D485" i="2"/>
  <c r="C485" i="2"/>
  <c r="B485" i="2"/>
  <c r="A485" i="2"/>
  <c r="BO468" i="2"/>
  <c r="BM468" i="2"/>
  <c r="BL468" i="2"/>
  <c r="BK468" i="2"/>
  <c r="BK464" i="2"/>
  <c r="BJ468" i="2"/>
  <c r="BJ464" i="2"/>
  <c r="BI468" i="2"/>
  <c r="BI464" i="2"/>
  <c r="BH468" i="2"/>
  <c r="BH464" i="2"/>
  <c r="BG468" i="2"/>
  <c r="BG464" i="2"/>
  <c r="BF468" i="2"/>
  <c r="BF464" i="2"/>
  <c r="BE468" i="2"/>
  <c r="BE464" i="2"/>
  <c r="BD468" i="2"/>
  <c r="BD464" i="2"/>
  <c r="BC468" i="2"/>
  <c r="BC464" i="2"/>
  <c r="BB468" i="2"/>
  <c r="BB464" i="2"/>
  <c r="BA468" i="2"/>
  <c r="BA464" i="2"/>
  <c r="AZ468" i="2"/>
  <c r="AZ464" i="2"/>
  <c r="AY468" i="2"/>
  <c r="AY464" i="2"/>
  <c r="AX468" i="2"/>
  <c r="AX464" i="2"/>
  <c r="AW468" i="2"/>
  <c r="AW464" i="2"/>
  <c r="AV468" i="2"/>
  <c r="AV464" i="2"/>
  <c r="AU468" i="2"/>
  <c r="AU464" i="2"/>
  <c r="AT468" i="2"/>
  <c r="AT464" i="2"/>
  <c r="AS468" i="2"/>
  <c r="AS464" i="2"/>
  <c r="AR468" i="2"/>
  <c r="AR464" i="2"/>
  <c r="AQ468" i="2"/>
  <c r="AQ464" i="2"/>
  <c r="AP468" i="2"/>
  <c r="AP464" i="2"/>
  <c r="AO468" i="2"/>
  <c r="AO464" i="2"/>
  <c r="AN468" i="2"/>
  <c r="AN464" i="2"/>
  <c r="AM468" i="2"/>
  <c r="AM464" i="2"/>
  <c r="AL468" i="2"/>
  <c r="AL464" i="2"/>
  <c r="AK468" i="2"/>
  <c r="AK464" i="2"/>
  <c r="AJ468" i="2"/>
  <c r="AJ464" i="2"/>
  <c r="AI468" i="2"/>
  <c r="AI464" i="2"/>
  <c r="AH468" i="2"/>
  <c r="AH464" i="2"/>
  <c r="AG468" i="2"/>
  <c r="AG464" i="2"/>
  <c r="AF468" i="2"/>
  <c r="AF464" i="2"/>
  <c r="AE468" i="2"/>
  <c r="AE464" i="2"/>
  <c r="AD468" i="2"/>
  <c r="AD464" i="2"/>
  <c r="AC468" i="2"/>
  <c r="AC464" i="2"/>
  <c r="AB468" i="2"/>
  <c r="AB464" i="2"/>
  <c r="AA468" i="2"/>
  <c r="AA464" i="2"/>
  <c r="Z468" i="2"/>
  <c r="Z464" i="2"/>
  <c r="Y468" i="2"/>
  <c r="Y464" i="2"/>
  <c r="X468" i="2"/>
  <c r="X464" i="2"/>
  <c r="W468" i="2"/>
  <c r="W464" i="2"/>
  <c r="V468" i="2"/>
  <c r="V464" i="2"/>
  <c r="U468" i="2"/>
  <c r="U464" i="2"/>
  <c r="T468" i="2"/>
  <c r="T464" i="2"/>
  <c r="S468" i="2"/>
  <c r="S464" i="2"/>
  <c r="R468" i="2"/>
  <c r="R464" i="2"/>
  <c r="Q468" i="2"/>
  <c r="Q464" i="2"/>
  <c r="P468" i="2"/>
  <c r="P464" i="2"/>
  <c r="O468" i="2"/>
  <c r="N468" i="2"/>
  <c r="N464" i="2"/>
  <c r="M468" i="2"/>
  <c r="L468" i="2"/>
  <c r="E468" i="2"/>
  <c r="D468" i="2"/>
  <c r="C468" i="2"/>
  <c r="B468" i="2"/>
  <c r="A468" i="2"/>
  <c r="BO451" i="2"/>
  <c r="BM451" i="2"/>
  <c r="BL451" i="2"/>
  <c r="BK451" i="2"/>
  <c r="BK447" i="2"/>
  <c r="BJ451" i="2"/>
  <c r="BJ447" i="2"/>
  <c r="BI451" i="2"/>
  <c r="BI447" i="2"/>
  <c r="BH451" i="2"/>
  <c r="BH447" i="2"/>
  <c r="BG451" i="2"/>
  <c r="BG447" i="2"/>
  <c r="BF451" i="2"/>
  <c r="BF447" i="2"/>
  <c r="BE451" i="2"/>
  <c r="BE447" i="2"/>
  <c r="BD451" i="2"/>
  <c r="BD447" i="2"/>
  <c r="BC451" i="2"/>
  <c r="BC447" i="2"/>
  <c r="BB451" i="2"/>
  <c r="BB447" i="2"/>
  <c r="BA451" i="2"/>
  <c r="BA447" i="2"/>
  <c r="AZ451" i="2"/>
  <c r="AZ447" i="2"/>
  <c r="AY451" i="2"/>
  <c r="AY447" i="2"/>
  <c r="AX451" i="2"/>
  <c r="AX447" i="2"/>
  <c r="AW451" i="2"/>
  <c r="AW447" i="2"/>
  <c r="AV451" i="2"/>
  <c r="AV447" i="2"/>
  <c r="AU451" i="2"/>
  <c r="AU447" i="2"/>
  <c r="AT451" i="2"/>
  <c r="AT447" i="2"/>
  <c r="AS451" i="2"/>
  <c r="AS447" i="2"/>
  <c r="AR451" i="2"/>
  <c r="AR447" i="2"/>
  <c r="AQ451" i="2"/>
  <c r="AQ447" i="2"/>
  <c r="AP451" i="2"/>
  <c r="AP447" i="2"/>
  <c r="AO451" i="2"/>
  <c r="AO447" i="2"/>
  <c r="AN451" i="2"/>
  <c r="AN447" i="2"/>
  <c r="AM451" i="2"/>
  <c r="AM447" i="2"/>
  <c r="AL451" i="2"/>
  <c r="AL447" i="2"/>
  <c r="AK451" i="2"/>
  <c r="AK447" i="2"/>
  <c r="AJ451" i="2"/>
  <c r="AJ447" i="2"/>
  <c r="AI451" i="2"/>
  <c r="AI447" i="2"/>
  <c r="AH451" i="2"/>
  <c r="AH447" i="2"/>
  <c r="AG451" i="2"/>
  <c r="AG447" i="2"/>
  <c r="AF451" i="2"/>
  <c r="AF447" i="2"/>
  <c r="AE451" i="2"/>
  <c r="AE447" i="2"/>
  <c r="AD451" i="2"/>
  <c r="AD447" i="2"/>
  <c r="AC451" i="2"/>
  <c r="AC447" i="2"/>
  <c r="AB451" i="2"/>
  <c r="AB447" i="2"/>
  <c r="AA451" i="2"/>
  <c r="AA447" i="2"/>
  <c r="Z451" i="2"/>
  <c r="Z447" i="2"/>
  <c r="Y451" i="2"/>
  <c r="Y447" i="2"/>
  <c r="X451" i="2"/>
  <c r="X447" i="2"/>
  <c r="W451" i="2"/>
  <c r="W447" i="2"/>
  <c r="V451" i="2"/>
  <c r="V447" i="2"/>
  <c r="U451" i="2"/>
  <c r="U447" i="2"/>
  <c r="T451" i="2"/>
  <c r="T447" i="2"/>
  <c r="S451" i="2"/>
  <c r="S447" i="2"/>
  <c r="R451" i="2"/>
  <c r="R447" i="2"/>
  <c r="Q451" i="2"/>
  <c r="Q447" i="2"/>
  <c r="P451" i="2"/>
  <c r="P447" i="2"/>
  <c r="O451" i="2"/>
  <c r="N451" i="2"/>
  <c r="N447" i="2"/>
  <c r="M451" i="2"/>
  <c r="L451" i="2"/>
  <c r="E451" i="2"/>
  <c r="D451" i="2"/>
  <c r="C451" i="2"/>
  <c r="B451" i="2"/>
  <c r="A451" i="2"/>
  <c r="BO434" i="2"/>
  <c r="BM434" i="2"/>
  <c r="BL434" i="2"/>
  <c r="BK434" i="2"/>
  <c r="BK430" i="2"/>
  <c r="BJ434" i="2"/>
  <c r="BJ430" i="2"/>
  <c r="BI434" i="2"/>
  <c r="BI430" i="2"/>
  <c r="BH434" i="2"/>
  <c r="BH430" i="2"/>
  <c r="BG434" i="2"/>
  <c r="BG430" i="2"/>
  <c r="BF434" i="2"/>
  <c r="BF430" i="2"/>
  <c r="BE434" i="2"/>
  <c r="BE430" i="2"/>
  <c r="BD434" i="2"/>
  <c r="BD430" i="2"/>
  <c r="BC434" i="2"/>
  <c r="BC430" i="2"/>
  <c r="BB434" i="2"/>
  <c r="BB430" i="2"/>
  <c r="BA434" i="2"/>
  <c r="BA430" i="2"/>
  <c r="AZ434" i="2"/>
  <c r="AZ430" i="2"/>
  <c r="AY434" i="2"/>
  <c r="AY430" i="2"/>
  <c r="AX434" i="2"/>
  <c r="AX430" i="2"/>
  <c r="AW434" i="2"/>
  <c r="AW430" i="2"/>
  <c r="AV434" i="2"/>
  <c r="AV430" i="2"/>
  <c r="AU434" i="2"/>
  <c r="AU430" i="2"/>
  <c r="AT434" i="2"/>
  <c r="AT430" i="2"/>
  <c r="AS434" i="2"/>
  <c r="AS430" i="2"/>
  <c r="AR434" i="2"/>
  <c r="AR430" i="2"/>
  <c r="AQ434" i="2"/>
  <c r="AQ430" i="2"/>
  <c r="AP434" i="2"/>
  <c r="AP430" i="2"/>
  <c r="AO434" i="2"/>
  <c r="AO430" i="2"/>
  <c r="AN434" i="2"/>
  <c r="AN430" i="2"/>
  <c r="AM434" i="2"/>
  <c r="AM430" i="2"/>
  <c r="AL434" i="2"/>
  <c r="AL430" i="2"/>
  <c r="AK434" i="2"/>
  <c r="AK430" i="2"/>
  <c r="AJ434" i="2"/>
  <c r="AJ430" i="2"/>
  <c r="AI434" i="2"/>
  <c r="AI430" i="2"/>
  <c r="AH434" i="2"/>
  <c r="AH430" i="2"/>
  <c r="AG434" i="2"/>
  <c r="AG430" i="2"/>
  <c r="AF434" i="2"/>
  <c r="AF430" i="2"/>
  <c r="AE434" i="2"/>
  <c r="AE430" i="2"/>
  <c r="AD434" i="2"/>
  <c r="AD430" i="2"/>
  <c r="AC434" i="2"/>
  <c r="AC430" i="2"/>
  <c r="AB434" i="2"/>
  <c r="AB430" i="2"/>
  <c r="AA434" i="2"/>
  <c r="AA430" i="2"/>
  <c r="Z434" i="2"/>
  <c r="Z430" i="2"/>
  <c r="Y434" i="2"/>
  <c r="Y430" i="2"/>
  <c r="X434" i="2"/>
  <c r="X430" i="2"/>
  <c r="W434" i="2"/>
  <c r="W430" i="2"/>
  <c r="V434" i="2"/>
  <c r="V430" i="2"/>
  <c r="U434" i="2"/>
  <c r="U430" i="2"/>
  <c r="T434" i="2"/>
  <c r="T430" i="2"/>
  <c r="S434" i="2"/>
  <c r="S430" i="2"/>
  <c r="R434" i="2"/>
  <c r="R430" i="2"/>
  <c r="Q434" i="2"/>
  <c r="Q430" i="2"/>
  <c r="P434" i="2"/>
  <c r="P430" i="2"/>
  <c r="O434" i="2"/>
  <c r="N434" i="2"/>
  <c r="N430" i="2"/>
  <c r="M434" i="2"/>
  <c r="L434" i="2"/>
  <c r="E434" i="2"/>
  <c r="D434" i="2"/>
  <c r="C434" i="2"/>
  <c r="B434" i="2"/>
  <c r="A434" i="2"/>
  <c r="BO417" i="2"/>
  <c r="BM417" i="2"/>
  <c r="BL417" i="2"/>
  <c r="BK417" i="2"/>
  <c r="BJ417" i="2"/>
  <c r="BI417" i="2"/>
  <c r="BH417" i="2"/>
  <c r="BG417" i="2"/>
  <c r="BF417" i="2"/>
  <c r="BE417" i="2"/>
  <c r="BD417" i="2"/>
  <c r="BC417" i="2"/>
  <c r="BB417" i="2"/>
  <c r="BA417" i="2"/>
  <c r="AZ417" i="2"/>
  <c r="AY417" i="2"/>
  <c r="AX417" i="2"/>
  <c r="AW417" i="2"/>
  <c r="AV417" i="2"/>
  <c r="AU417" i="2"/>
  <c r="AT417" i="2"/>
  <c r="AS417" i="2"/>
  <c r="AR417" i="2"/>
  <c r="AQ417" i="2"/>
  <c r="AP417" i="2"/>
  <c r="AO417" i="2"/>
  <c r="AN417" i="2"/>
  <c r="AM417" i="2"/>
  <c r="AL417" i="2"/>
  <c r="AK417" i="2"/>
  <c r="AJ417" i="2"/>
  <c r="AI417" i="2"/>
  <c r="AH417" i="2"/>
  <c r="AG417" i="2"/>
  <c r="AF417" i="2"/>
  <c r="AE417" i="2"/>
  <c r="AD417" i="2"/>
  <c r="AC417" i="2"/>
  <c r="AB417" i="2"/>
  <c r="AA417" i="2"/>
  <c r="Z417" i="2"/>
  <c r="Y417" i="2"/>
  <c r="X417" i="2"/>
  <c r="W417" i="2"/>
  <c r="V417" i="2"/>
  <c r="U417" i="2"/>
  <c r="T417" i="2"/>
  <c r="S417" i="2"/>
  <c r="R417" i="2"/>
  <c r="R413" i="2"/>
  <c r="Q417" i="2"/>
  <c r="Q413" i="2"/>
  <c r="P417" i="2"/>
  <c r="P413" i="2"/>
  <c r="O417" i="2"/>
  <c r="N417" i="2"/>
  <c r="N413" i="2"/>
  <c r="M417" i="2"/>
  <c r="L417" i="2"/>
  <c r="E417" i="2"/>
  <c r="D417" i="2"/>
  <c r="C417" i="2"/>
  <c r="B417" i="2"/>
  <c r="A417" i="2"/>
  <c r="BO280" i="2"/>
  <c r="BM280" i="2"/>
  <c r="BL280" i="2"/>
  <c r="BK280" i="2"/>
  <c r="BJ280" i="2"/>
  <c r="BI280" i="2"/>
  <c r="BH280" i="2"/>
  <c r="BG280" i="2"/>
  <c r="BF280" i="2"/>
  <c r="BE280" i="2"/>
  <c r="BD280" i="2"/>
  <c r="BC280" i="2"/>
  <c r="BB280" i="2"/>
  <c r="BA280" i="2"/>
  <c r="AZ280" i="2"/>
  <c r="AY280" i="2"/>
  <c r="AX280" i="2"/>
  <c r="AW280" i="2"/>
  <c r="AV280" i="2"/>
  <c r="AU280" i="2"/>
  <c r="AT280" i="2"/>
  <c r="AS280" i="2"/>
  <c r="AR280" i="2"/>
  <c r="AQ280" i="2"/>
  <c r="AP280" i="2"/>
  <c r="AO280" i="2"/>
  <c r="AN280" i="2"/>
  <c r="AM280" i="2"/>
  <c r="AL280" i="2"/>
  <c r="AK280" i="2"/>
  <c r="AJ280" i="2"/>
  <c r="AI280" i="2"/>
  <c r="AH280" i="2"/>
  <c r="AG280" i="2"/>
  <c r="AF280" i="2"/>
  <c r="AE280" i="2"/>
  <c r="AD280" i="2"/>
  <c r="AC280" i="2"/>
  <c r="AB280" i="2"/>
  <c r="AA280" i="2"/>
  <c r="Z280" i="2"/>
  <c r="Y280" i="2"/>
  <c r="X280" i="2"/>
  <c r="W280" i="2"/>
  <c r="V280" i="2"/>
  <c r="U280" i="2"/>
  <c r="T280" i="2"/>
  <c r="S280" i="2"/>
  <c r="R280" i="2"/>
  <c r="Q280" i="2"/>
  <c r="P280" i="2"/>
  <c r="O280" i="2"/>
  <c r="N280" i="2"/>
  <c r="M280" i="2"/>
  <c r="L280" i="2"/>
  <c r="E280" i="2"/>
  <c r="D280" i="2"/>
  <c r="C280" i="2"/>
  <c r="B280" i="2"/>
  <c r="A280" i="2"/>
  <c r="BO273" i="2"/>
  <c r="BM273" i="2"/>
  <c r="BL273" i="2"/>
  <c r="BK273" i="2"/>
  <c r="BJ273" i="2"/>
  <c r="BI273" i="2"/>
  <c r="BH273" i="2"/>
  <c r="BG273" i="2"/>
  <c r="BF273" i="2"/>
  <c r="BE273" i="2"/>
  <c r="BD273" i="2"/>
  <c r="BC273" i="2"/>
  <c r="BB273" i="2"/>
  <c r="BA273" i="2"/>
  <c r="AZ273" i="2"/>
  <c r="AY273" i="2"/>
  <c r="AX273" i="2"/>
  <c r="AW273" i="2"/>
  <c r="AV273" i="2"/>
  <c r="AU273" i="2"/>
  <c r="AT273" i="2"/>
  <c r="AS273" i="2"/>
  <c r="AR273" i="2"/>
  <c r="AQ273" i="2"/>
  <c r="AP273" i="2"/>
  <c r="AO273" i="2"/>
  <c r="AN273" i="2"/>
  <c r="AM273" i="2"/>
  <c r="AL273" i="2"/>
  <c r="AK273" i="2"/>
  <c r="AJ273" i="2"/>
  <c r="AI273" i="2"/>
  <c r="AH273" i="2"/>
  <c r="AG273" i="2"/>
  <c r="AF273" i="2"/>
  <c r="AE273" i="2"/>
  <c r="AD273" i="2"/>
  <c r="AC273" i="2"/>
  <c r="AB273" i="2"/>
  <c r="AA273" i="2"/>
  <c r="Z273" i="2"/>
  <c r="Y273" i="2"/>
  <c r="X273" i="2"/>
  <c r="W273" i="2"/>
  <c r="V273" i="2"/>
  <c r="U273" i="2"/>
  <c r="T273" i="2"/>
  <c r="S273" i="2"/>
  <c r="R273" i="2"/>
  <c r="Q273" i="2"/>
  <c r="P273" i="2"/>
  <c r="O273" i="2"/>
  <c r="N273" i="2"/>
  <c r="M273" i="2"/>
  <c r="L273" i="2"/>
  <c r="E273" i="2"/>
  <c r="D273" i="2"/>
  <c r="C273" i="2"/>
  <c r="B273" i="2"/>
  <c r="A273" i="2"/>
  <c r="BO266" i="2"/>
  <c r="BM266" i="2"/>
  <c r="BL266" i="2"/>
  <c r="BK266" i="2"/>
  <c r="BJ266" i="2"/>
  <c r="BI266" i="2"/>
  <c r="BH266" i="2"/>
  <c r="BG266" i="2"/>
  <c r="BF266" i="2"/>
  <c r="BE266" i="2"/>
  <c r="BD266" i="2"/>
  <c r="BC266" i="2"/>
  <c r="BB266" i="2"/>
  <c r="BA266" i="2"/>
  <c r="AZ266" i="2"/>
  <c r="AY266" i="2"/>
  <c r="AX266" i="2"/>
  <c r="AW266" i="2"/>
  <c r="AV266" i="2"/>
  <c r="AU266" i="2"/>
  <c r="AT266" i="2"/>
  <c r="AS266" i="2"/>
  <c r="AR266" i="2"/>
  <c r="AQ266" i="2"/>
  <c r="AP266" i="2"/>
  <c r="AO266" i="2"/>
  <c r="AN266" i="2"/>
  <c r="AM266" i="2"/>
  <c r="AL266" i="2"/>
  <c r="AK266" i="2"/>
  <c r="AJ266" i="2"/>
  <c r="AI266" i="2"/>
  <c r="AH266" i="2"/>
  <c r="AG266" i="2"/>
  <c r="AF266" i="2"/>
  <c r="AE266" i="2"/>
  <c r="AD266" i="2"/>
  <c r="AC266" i="2"/>
  <c r="AB266" i="2"/>
  <c r="AA266" i="2"/>
  <c r="Z266" i="2"/>
  <c r="Y266" i="2"/>
  <c r="X266" i="2"/>
  <c r="W266" i="2"/>
  <c r="V266" i="2"/>
  <c r="U266" i="2"/>
  <c r="T266" i="2"/>
  <c r="S266" i="2"/>
  <c r="R266" i="2"/>
  <c r="Q266" i="2"/>
  <c r="P266" i="2"/>
  <c r="O266" i="2"/>
  <c r="N266" i="2"/>
  <c r="M266" i="2"/>
  <c r="L266" i="2"/>
  <c r="E266" i="2"/>
  <c r="D266" i="2"/>
  <c r="C266" i="2"/>
  <c r="B266" i="2"/>
  <c r="A266" i="2"/>
  <c r="BO259" i="2"/>
  <c r="BM259" i="2"/>
  <c r="BL259" i="2"/>
  <c r="BK259" i="2"/>
  <c r="BJ259" i="2"/>
  <c r="BI259" i="2"/>
  <c r="BH259" i="2"/>
  <c r="BG259" i="2"/>
  <c r="BF259" i="2"/>
  <c r="BE259" i="2"/>
  <c r="BD259" i="2"/>
  <c r="BC259" i="2"/>
  <c r="BB259" i="2"/>
  <c r="BA259" i="2"/>
  <c r="AZ259" i="2"/>
  <c r="AY259" i="2"/>
  <c r="AX259" i="2"/>
  <c r="AW259" i="2"/>
  <c r="AV259" i="2"/>
  <c r="AU259" i="2"/>
  <c r="AT259" i="2"/>
  <c r="AS259" i="2"/>
  <c r="AR259" i="2"/>
  <c r="AQ259" i="2"/>
  <c r="AP259" i="2"/>
  <c r="AO259" i="2"/>
  <c r="AN259" i="2"/>
  <c r="AM259" i="2"/>
  <c r="AL259" i="2"/>
  <c r="AK259" i="2"/>
  <c r="AJ259" i="2"/>
  <c r="AI259" i="2"/>
  <c r="AH259" i="2"/>
  <c r="AG259" i="2"/>
  <c r="AF259" i="2"/>
  <c r="AE259" i="2"/>
  <c r="AD259" i="2"/>
  <c r="AC259" i="2"/>
  <c r="AB259" i="2"/>
  <c r="AA259" i="2"/>
  <c r="Z259" i="2"/>
  <c r="Y259" i="2"/>
  <c r="X259" i="2"/>
  <c r="W259" i="2"/>
  <c r="V259" i="2"/>
  <c r="U259" i="2"/>
  <c r="T259" i="2"/>
  <c r="S259" i="2"/>
  <c r="R259" i="2"/>
  <c r="Q259" i="2"/>
  <c r="P259" i="2"/>
  <c r="O259" i="2"/>
  <c r="N259" i="2"/>
  <c r="M259" i="2"/>
  <c r="L259" i="2"/>
  <c r="E259" i="2"/>
  <c r="D259" i="2"/>
  <c r="C259" i="2"/>
  <c r="B259" i="2"/>
  <c r="A259" i="2"/>
  <c r="BO252" i="2"/>
  <c r="BM252" i="2"/>
  <c r="BL252" i="2"/>
  <c r="BK252" i="2"/>
  <c r="BJ252" i="2"/>
  <c r="BI252" i="2"/>
  <c r="BH252" i="2"/>
  <c r="BG252" i="2"/>
  <c r="BF252" i="2"/>
  <c r="BE252" i="2"/>
  <c r="BD252" i="2"/>
  <c r="BC252" i="2"/>
  <c r="BB252" i="2"/>
  <c r="BA252" i="2"/>
  <c r="AZ252" i="2"/>
  <c r="AY252" i="2"/>
  <c r="AX252" i="2"/>
  <c r="AW252" i="2"/>
  <c r="AV252" i="2"/>
  <c r="AU252" i="2"/>
  <c r="AT252" i="2"/>
  <c r="AS252" i="2"/>
  <c r="AR252" i="2"/>
  <c r="AQ252" i="2"/>
  <c r="AP252" i="2"/>
  <c r="AO252" i="2"/>
  <c r="AN252" i="2"/>
  <c r="AM252" i="2"/>
  <c r="AL252" i="2"/>
  <c r="AK252" i="2"/>
  <c r="AJ252" i="2"/>
  <c r="AI252" i="2"/>
  <c r="AH252" i="2"/>
  <c r="AG252" i="2"/>
  <c r="AF252" i="2"/>
  <c r="AE252" i="2"/>
  <c r="AD252" i="2"/>
  <c r="AC252" i="2"/>
  <c r="AB252" i="2"/>
  <c r="AA252" i="2"/>
  <c r="Z252" i="2"/>
  <c r="Y252" i="2"/>
  <c r="X252" i="2"/>
  <c r="W252" i="2"/>
  <c r="V252" i="2"/>
  <c r="U252" i="2"/>
  <c r="T252" i="2"/>
  <c r="S252" i="2"/>
  <c r="R252" i="2"/>
  <c r="Q252" i="2"/>
  <c r="P252" i="2"/>
  <c r="O252" i="2"/>
  <c r="N252" i="2"/>
  <c r="M252" i="2"/>
  <c r="L252" i="2"/>
  <c r="E252" i="2"/>
  <c r="D252" i="2"/>
  <c r="C252" i="2"/>
  <c r="B252" i="2"/>
  <c r="A252" i="2"/>
  <c r="BO245" i="2"/>
  <c r="BM245" i="2"/>
  <c r="BL245" i="2"/>
  <c r="BK245" i="2"/>
  <c r="BJ245" i="2"/>
  <c r="BI245" i="2"/>
  <c r="BH245" i="2"/>
  <c r="BG245" i="2"/>
  <c r="BF245" i="2"/>
  <c r="BE245" i="2"/>
  <c r="BD245" i="2"/>
  <c r="BC245" i="2"/>
  <c r="BB245" i="2"/>
  <c r="BA245" i="2"/>
  <c r="AZ245" i="2"/>
  <c r="AY245" i="2"/>
  <c r="AX245" i="2"/>
  <c r="AW245" i="2"/>
  <c r="AV245" i="2"/>
  <c r="AU245" i="2"/>
  <c r="AT245" i="2"/>
  <c r="AS245" i="2"/>
  <c r="AR245" i="2"/>
  <c r="AQ245" i="2"/>
  <c r="AP245" i="2"/>
  <c r="AO245" i="2"/>
  <c r="AN245" i="2"/>
  <c r="AM245" i="2"/>
  <c r="AL245" i="2"/>
  <c r="AK245" i="2"/>
  <c r="AJ245" i="2"/>
  <c r="AI245" i="2"/>
  <c r="AH245" i="2"/>
  <c r="AG245" i="2"/>
  <c r="AF245" i="2"/>
  <c r="AE245" i="2"/>
  <c r="AD245" i="2"/>
  <c r="AC245" i="2"/>
  <c r="AB245" i="2"/>
  <c r="AA245" i="2"/>
  <c r="Z245" i="2"/>
  <c r="Y245" i="2"/>
  <c r="X245" i="2"/>
  <c r="W245" i="2"/>
  <c r="V245" i="2"/>
  <c r="U245" i="2"/>
  <c r="T245" i="2"/>
  <c r="S245" i="2"/>
  <c r="R245" i="2"/>
  <c r="Q245" i="2"/>
  <c r="P245" i="2"/>
  <c r="O245" i="2"/>
  <c r="N245" i="2"/>
  <c r="M245" i="2"/>
  <c r="L245" i="2"/>
  <c r="E245" i="2"/>
  <c r="D245" i="2"/>
  <c r="C245" i="2"/>
  <c r="B245" i="2"/>
  <c r="A245" i="2"/>
  <c r="BO238" i="2"/>
  <c r="BM238" i="2"/>
  <c r="BL238" i="2"/>
  <c r="BK238" i="2"/>
  <c r="BJ238" i="2"/>
  <c r="BI238" i="2"/>
  <c r="BH238" i="2"/>
  <c r="BG238" i="2"/>
  <c r="BF238" i="2"/>
  <c r="BE238" i="2"/>
  <c r="BD238" i="2"/>
  <c r="BC238" i="2"/>
  <c r="BB238" i="2"/>
  <c r="BA238" i="2"/>
  <c r="AZ238" i="2"/>
  <c r="AY238" i="2"/>
  <c r="AX238" i="2"/>
  <c r="AW238" i="2"/>
  <c r="AV238" i="2"/>
  <c r="AU238" i="2"/>
  <c r="AT238" i="2"/>
  <c r="AS238" i="2"/>
  <c r="AR238" i="2"/>
  <c r="AQ238" i="2"/>
  <c r="AP238" i="2"/>
  <c r="AO238" i="2"/>
  <c r="AN238" i="2"/>
  <c r="AM238" i="2"/>
  <c r="AL238" i="2"/>
  <c r="AK238" i="2"/>
  <c r="AJ238" i="2"/>
  <c r="AI238" i="2"/>
  <c r="AH238" i="2"/>
  <c r="AG238" i="2"/>
  <c r="AF238" i="2"/>
  <c r="AE238" i="2"/>
  <c r="AD238" i="2"/>
  <c r="AC238" i="2"/>
  <c r="AB238" i="2"/>
  <c r="AA238" i="2"/>
  <c r="Z238" i="2"/>
  <c r="Y238" i="2"/>
  <c r="X238" i="2"/>
  <c r="W238" i="2"/>
  <c r="V238" i="2"/>
  <c r="U238" i="2"/>
  <c r="T238" i="2"/>
  <c r="S238" i="2"/>
  <c r="R238" i="2"/>
  <c r="Q238" i="2"/>
  <c r="P238" i="2"/>
  <c r="O238" i="2"/>
  <c r="N238" i="2"/>
  <c r="M238" i="2"/>
  <c r="L238" i="2"/>
  <c r="E238" i="2"/>
  <c r="D238" i="2"/>
  <c r="C238" i="2"/>
  <c r="B238" i="2"/>
  <c r="A238" i="2"/>
  <c r="BO231" i="2"/>
  <c r="BM231" i="2"/>
  <c r="BL231" i="2"/>
  <c r="BK231" i="2"/>
  <c r="BJ231" i="2"/>
  <c r="BI231" i="2"/>
  <c r="BH231" i="2"/>
  <c r="BG231" i="2"/>
  <c r="BF231" i="2"/>
  <c r="BE231" i="2"/>
  <c r="BD231" i="2"/>
  <c r="BC231" i="2"/>
  <c r="BB231" i="2"/>
  <c r="BA231" i="2"/>
  <c r="AZ231" i="2"/>
  <c r="AY231" i="2"/>
  <c r="AX231" i="2"/>
  <c r="AW231" i="2"/>
  <c r="AV231" i="2"/>
  <c r="AU231" i="2"/>
  <c r="AT231" i="2"/>
  <c r="AS231" i="2"/>
  <c r="AR231" i="2"/>
  <c r="AQ231" i="2"/>
  <c r="AP231" i="2"/>
  <c r="AO231" i="2"/>
  <c r="AN231" i="2"/>
  <c r="AM231" i="2"/>
  <c r="AL231" i="2"/>
  <c r="AK231" i="2"/>
  <c r="AJ231" i="2"/>
  <c r="AI231" i="2"/>
  <c r="AH231" i="2"/>
  <c r="AG231" i="2"/>
  <c r="AF231" i="2"/>
  <c r="AE231" i="2"/>
  <c r="AD231" i="2"/>
  <c r="AC231" i="2"/>
  <c r="AB231" i="2"/>
  <c r="AA231" i="2"/>
  <c r="Z231" i="2"/>
  <c r="Y231" i="2"/>
  <c r="X231" i="2"/>
  <c r="W231" i="2"/>
  <c r="V231" i="2"/>
  <c r="U231" i="2"/>
  <c r="T231" i="2"/>
  <c r="S231" i="2"/>
  <c r="R231" i="2"/>
  <c r="Q231" i="2"/>
  <c r="P231" i="2"/>
  <c r="O231" i="2"/>
  <c r="N231" i="2"/>
  <c r="M231" i="2"/>
  <c r="L231" i="2"/>
  <c r="E231" i="2"/>
  <c r="D231" i="2"/>
  <c r="C231" i="2"/>
  <c r="B231" i="2"/>
  <c r="A231" i="2"/>
  <c r="BO224" i="2"/>
  <c r="BM224" i="2"/>
  <c r="BL224" i="2"/>
  <c r="BK224" i="2"/>
  <c r="BJ224" i="2"/>
  <c r="BI224" i="2"/>
  <c r="BH224" i="2"/>
  <c r="BG224" i="2"/>
  <c r="BF224" i="2"/>
  <c r="BE224" i="2"/>
  <c r="BD224" i="2"/>
  <c r="BC224" i="2"/>
  <c r="BB224" i="2"/>
  <c r="BA224" i="2"/>
  <c r="AZ224" i="2"/>
  <c r="AY224" i="2"/>
  <c r="AX224" i="2"/>
  <c r="AW224" i="2"/>
  <c r="AV224" i="2"/>
  <c r="AU224" i="2"/>
  <c r="AT224" i="2"/>
  <c r="AS224" i="2"/>
  <c r="AR224" i="2"/>
  <c r="AQ224" i="2"/>
  <c r="AP224" i="2"/>
  <c r="AO224" i="2"/>
  <c r="AN224" i="2"/>
  <c r="AM224" i="2"/>
  <c r="AL224" i="2"/>
  <c r="AK224" i="2"/>
  <c r="AJ224" i="2"/>
  <c r="AI224" i="2"/>
  <c r="AH224" i="2"/>
  <c r="AG224" i="2"/>
  <c r="AF224" i="2"/>
  <c r="AE224" i="2"/>
  <c r="AD224" i="2"/>
  <c r="AC224" i="2"/>
  <c r="AB224" i="2"/>
  <c r="AA224" i="2"/>
  <c r="Z224" i="2"/>
  <c r="Y224" i="2"/>
  <c r="X224" i="2"/>
  <c r="W224" i="2"/>
  <c r="V224" i="2"/>
  <c r="U224" i="2"/>
  <c r="T224" i="2"/>
  <c r="S224" i="2"/>
  <c r="R224" i="2"/>
  <c r="Q224" i="2"/>
  <c r="P224" i="2"/>
  <c r="O224" i="2"/>
  <c r="N224" i="2"/>
  <c r="M224" i="2"/>
  <c r="L224" i="2"/>
  <c r="E224" i="2"/>
  <c r="C224" i="2"/>
  <c r="B224" i="2"/>
  <c r="A224" i="2"/>
  <c r="BO217" i="2"/>
  <c r="BM217" i="2"/>
  <c r="BL217" i="2"/>
  <c r="BK217" i="2"/>
  <c r="BJ217" i="2"/>
  <c r="BI217" i="2"/>
  <c r="BH217" i="2"/>
  <c r="BG217" i="2"/>
  <c r="BF217" i="2"/>
  <c r="BE217" i="2"/>
  <c r="BD217" i="2"/>
  <c r="BC217" i="2"/>
  <c r="BB217" i="2"/>
  <c r="BA217" i="2"/>
  <c r="AZ217" i="2"/>
  <c r="AY217" i="2"/>
  <c r="AX217" i="2"/>
  <c r="AW217" i="2"/>
  <c r="AV217" i="2"/>
  <c r="AU217" i="2"/>
  <c r="AT217" i="2"/>
  <c r="AS217" i="2"/>
  <c r="AR217" i="2"/>
  <c r="AQ217" i="2"/>
  <c r="AP217" i="2"/>
  <c r="AO217" i="2"/>
  <c r="AN217" i="2"/>
  <c r="AM217" i="2"/>
  <c r="AL217" i="2"/>
  <c r="AK217" i="2"/>
  <c r="AJ217" i="2"/>
  <c r="AI217" i="2"/>
  <c r="AH217" i="2"/>
  <c r="AG217" i="2"/>
  <c r="AF217" i="2"/>
  <c r="AE217" i="2"/>
  <c r="AD217" i="2"/>
  <c r="AC217" i="2"/>
  <c r="AB217" i="2"/>
  <c r="AA217" i="2"/>
  <c r="Z217" i="2"/>
  <c r="Y217" i="2"/>
  <c r="X217" i="2"/>
  <c r="W217" i="2"/>
  <c r="V217" i="2"/>
  <c r="U217" i="2"/>
  <c r="T217" i="2"/>
  <c r="S217" i="2"/>
  <c r="R217" i="2"/>
  <c r="Q217" i="2"/>
  <c r="P217" i="2"/>
  <c r="O217" i="2"/>
  <c r="N217" i="2"/>
  <c r="M217" i="2"/>
  <c r="L217" i="2"/>
  <c r="E217" i="2"/>
  <c r="C217" i="2"/>
  <c r="B217" i="2"/>
  <c r="A217" i="2"/>
  <c r="BO210" i="2"/>
  <c r="BM210" i="2"/>
  <c r="BL210" i="2"/>
  <c r="BK210" i="2"/>
  <c r="BJ210" i="2"/>
  <c r="BI210" i="2"/>
  <c r="BH210" i="2"/>
  <c r="BG210" i="2"/>
  <c r="BF210" i="2"/>
  <c r="BE210" i="2"/>
  <c r="BD210" i="2"/>
  <c r="BC210" i="2"/>
  <c r="BB210" i="2"/>
  <c r="BA210" i="2"/>
  <c r="AZ210" i="2"/>
  <c r="AY210" i="2"/>
  <c r="AX210" i="2"/>
  <c r="AW210" i="2"/>
  <c r="AV210" i="2"/>
  <c r="AU210" i="2"/>
  <c r="AT210" i="2"/>
  <c r="AS210" i="2"/>
  <c r="AR210" i="2"/>
  <c r="AQ210" i="2"/>
  <c r="AP210" i="2"/>
  <c r="AO210" i="2"/>
  <c r="AN210" i="2"/>
  <c r="AM210" i="2"/>
  <c r="AL210" i="2"/>
  <c r="AK210" i="2"/>
  <c r="AJ210" i="2"/>
  <c r="AI210" i="2"/>
  <c r="AH210" i="2"/>
  <c r="AG210" i="2"/>
  <c r="AF210" i="2"/>
  <c r="AE210" i="2"/>
  <c r="AD210" i="2"/>
  <c r="AC210" i="2"/>
  <c r="AB210" i="2"/>
  <c r="AA210" i="2"/>
  <c r="Z210" i="2"/>
  <c r="Y210" i="2"/>
  <c r="X210" i="2"/>
  <c r="W210" i="2"/>
  <c r="V210" i="2"/>
  <c r="U210" i="2"/>
  <c r="T210" i="2"/>
  <c r="S210" i="2"/>
  <c r="R210" i="2"/>
  <c r="Q210" i="2"/>
  <c r="P210" i="2"/>
  <c r="O210" i="2"/>
  <c r="N210" i="2"/>
  <c r="M210" i="2"/>
  <c r="L210" i="2"/>
  <c r="E210" i="2"/>
  <c r="D210" i="2"/>
  <c r="C210" i="2"/>
  <c r="B210" i="2"/>
  <c r="A210" i="2"/>
  <c r="BO203" i="2"/>
  <c r="BM203" i="2"/>
  <c r="BL203" i="2"/>
  <c r="BK203" i="2"/>
  <c r="BJ203" i="2"/>
  <c r="BI203" i="2"/>
  <c r="BH203" i="2"/>
  <c r="BG203" i="2"/>
  <c r="BF203" i="2"/>
  <c r="BE203" i="2"/>
  <c r="BD203" i="2"/>
  <c r="BC203" i="2"/>
  <c r="BB203" i="2"/>
  <c r="BA203" i="2"/>
  <c r="AZ203" i="2"/>
  <c r="AY203" i="2"/>
  <c r="AX203" i="2"/>
  <c r="AW203" i="2"/>
  <c r="AV203" i="2"/>
  <c r="AU203" i="2"/>
  <c r="AT203" i="2"/>
  <c r="AS203" i="2"/>
  <c r="AR203" i="2"/>
  <c r="AQ203" i="2"/>
  <c r="AP203" i="2"/>
  <c r="AO203" i="2"/>
  <c r="AN203" i="2"/>
  <c r="AM203" i="2"/>
  <c r="AL203" i="2"/>
  <c r="AK203" i="2"/>
  <c r="AJ203" i="2"/>
  <c r="AI203" i="2"/>
  <c r="AH203" i="2"/>
  <c r="AG203" i="2"/>
  <c r="AF203" i="2"/>
  <c r="AE203" i="2"/>
  <c r="AD203" i="2"/>
  <c r="AC203" i="2"/>
  <c r="AB203" i="2"/>
  <c r="AA203" i="2"/>
  <c r="Z203" i="2"/>
  <c r="Y203" i="2"/>
  <c r="X203" i="2"/>
  <c r="W203" i="2"/>
  <c r="V203" i="2"/>
  <c r="U203" i="2"/>
  <c r="T203" i="2"/>
  <c r="S203" i="2"/>
  <c r="R203" i="2"/>
  <c r="Q203" i="2"/>
  <c r="P203" i="2"/>
  <c r="O203" i="2"/>
  <c r="N203" i="2"/>
  <c r="M203" i="2"/>
  <c r="L203" i="2"/>
  <c r="E203" i="2"/>
  <c r="D203" i="2"/>
  <c r="C203" i="2"/>
  <c r="B203" i="2"/>
  <c r="A203" i="2"/>
  <c r="BO196" i="2"/>
  <c r="BM196" i="2"/>
  <c r="BL196" i="2"/>
  <c r="BK196" i="2"/>
  <c r="BJ196" i="2"/>
  <c r="BI196" i="2"/>
  <c r="BH196" i="2"/>
  <c r="BG196" i="2"/>
  <c r="BF196" i="2"/>
  <c r="BE196" i="2"/>
  <c r="BD196" i="2"/>
  <c r="BC196" i="2"/>
  <c r="BB196" i="2"/>
  <c r="BA196" i="2"/>
  <c r="AZ196" i="2"/>
  <c r="AY196" i="2"/>
  <c r="AX196" i="2"/>
  <c r="AW196" i="2"/>
  <c r="AV196" i="2"/>
  <c r="AU196" i="2"/>
  <c r="AT196" i="2"/>
  <c r="AS196" i="2"/>
  <c r="AR196" i="2"/>
  <c r="AQ196" i="2"/>
  <c r="AP196" i="2"/>
  <c r="AO196" i="2"/>
  <c r="AN196" i="2"/>
  <c r="AM196" i="2"/>
  <c r="AL196" i="2"/>
  <c r="AK196" i="2"/>
  <c r="AJ196" i="2"/>
  <c r="AI196" i="2"/>
  <c r="AH196" i="2"/>
  <c r="AG196" i="2"/>
  <c r="AF196" i="2"/>
  <c r="AE196" i="2"/>
  <c r="AD196" i="2"/>
  <c r="AC196" i="2"/>
  <c r="AB196" i="2"/>
  <c r="AA196" i="2"/>
  <c r="Z196" i="2"/>
  <c r="Y196" i="2"/>
  <c r="X196" i="2"/>
  <c r="W196" i="2"/>
  <c r="V196" i="2"/>
  <c r="U196" i="2"/>
  <c r="T196" i="2"/>
  <c r="S196" i="2"/>
  <c r="R196" i="2"/>
  <c r="Q196" i="2"/>
  <c r="P196" i="2"/>
  <c r="O196" i="2"/>
  <c r="N196" i="2"/>
  <c r="M196" i="2"/>
  <c r="L196" i="2"/>
  <c r="E196" i="2"/>
  <c r="D196" i="2"/>
  <c r="C196" i="2"/>
  <c r="B196" i="2"/>
  <c r="A196" i="2"/>
  <c r="BO189" i="2"/>
  <c r="BM189" i="2"/>
  <c r="BL189" i="2"/>
  <c r="BK189" i="2"/>
  <c r="BJ189" i="2"/>
  <c r="BI189" i="2"/>
  <c r="BH189" i="2"/>
  <c r="BG189" i="2"/>
  <c r="BF189" i="2"/>
  <c r="BE189" i="2"/>
  <c r="BD189" i="2"/>
  <c r="BC189" i="2"/>
  <c r="BB189" i="2"/>
  <c r="BA189" i="2"/>
  <c r="AZ189" i="2"/>
  <c r="AY189" i="2"/>
  <c r="AX189" i="2"/>
  <c r="AW189" i="2"/>
  <c r="AV189" i="2"/>
  <c r="AU189" i="2"/>
  <c r="AT189" i="2"/>
  <c r="AS189" i="2"/>
  <c r="AR189" i="2"/>
  <c r="AQ189" i="2"/>
  <c r="AP189" i="2"/>
  <c r="AO189" i="2"/>
  <c r="AN189" i="2"/>
  <c r="AM189" i="2"/>
  <c r="AL189" i="2"/>
  <c r="AK189" i="2"/>
  <c r="AJ189" i="2"/>
  <c r="AI189" i="2"/>
  <c r="AH189" i="2"/>
  <c r="AG189" i="2"/>
  <c r="AF189" i="2"/>
  <c r="AE189" i="2"/>
  <c r="AD189" i="2"/>
  <c r="AC189" i="2"/>
  <c r="AB189" i="2"/>
  <c r="AA189" i="2"/>
  <c r="Z189" i="2"/>
  <c r="Y189" i="2"/>
  <c r="X189" i="2"/>
  <c r="W189" i="2"/>
  <c r="V189" i="2"/>
  <c r="U189" i="2"/>
  <c r="T189" i="2"/>
  <c r="S189" i="2"/>
  <c r="R189" i="2"/>
  <c r="Q189" i="2"/>
  <c r="P189" i="2"/>
  <c r="O189" i="2"/>
  <c r="N189" i="2"/>
  <c r="M189" i="2"/>
  <c r="L189" i="2"/>
  <c r="E189" i="2"/>
  <c r="D189" i="2"/>
  <c r="C189" i="2"/>
  <c r="B189" i="2"/>
  <c r="A189" i="2"/>
  <c r="BO182" i="2"/>
  <c r="BM182" i="2"/>
  <c r="BL182" i="2"/>
  <c r="BK182" i="2"/>
  <c r="BJ182" i="2"/>
  <c r="BI182" i="2"/>
  <c r="BH182" i="2"/>
  <c r="BG182" i="2"/>
  <c r="BF182" i="2"/>
  <c r="BE182" i="2"/>
  <c r="BD182" i="2"/>
  <c r="BC182" i="2"/>
  <c r="BB182" i="2"/>
  <c r="BA182" i="2"/>
  <c r="AZ182" i="2"/>
  <c r="AY182" i="2"/>
  <c r="AX182" i="2"/>
  <c r="AW182" i="2"/>
  <c r="AV182" i="2"/>
  <c r="AU182" i="2"/>
  <c r="AT182" i="2"/>
  <c r="AS182" i="2"/>
  <c r="AR182" i="2"/>
  <c r="AQ182" i="2"/>
  <c r="AP182" i="2"/>
  <c r="AO182" i="2"/>
  <c r="AN182" i="2"/>
  <c r="AM182" i="2"/>
  <c r="AL182" i="2"/>
  <c r="AK182" i="2"/>
  <c r="AJ182" i="2"/>
  <c r="AI182" i="2"/>
  <c r="AH182" i="2"/>
  <c r="AG182" i="2"/>
  <c r="AF182" i="2"/>
  <c r="AE182" i="2"/>
  <c r="AD182" i="2"/>
  <c r="AC182" i="2"/>
  <c r="AB182" i="2"/>
  <c r="AA182" i="2"/>
  <c r="Z182" i="2"/>
  <c r="Y182" i="2"/>
  <c r="X182" i="2"/>
  <c r="W182" i="2"/>
  <c r="V182" i="2"/>
  <c r="U182" i="2"/>
  <c r="T182" i="2"/>
  <c r="S182" i="2"/>
  <c r="R182" i="2"/>
  <c r="Q182" i="2"/>
  <c r="P182" i="2"/>
  <c r="O182" i="2"/>
  <c r="N182" i="2"/>
  <c r="M182" i="2"/>
  <c r="L182" i="2"/>
  <c r="E182" i="2"/>
  <c r="D182" i="2"/>
  <c r="C182" i="2"/>
  <c r="B182" i="2"/>
  <c r="A182" i="2"/>
  <c r="BO175" i="2"/>
  <c r="BM175" i="2"/>
  <c r="BL175" i="2"/>
  <c r="BK175" i="2"/>
  <c r="BJ175" i="2"/>
  <c r="BI175" i="2"/>
  <c r="BH175" i="2"/>
  <c r="BG175" i="2"/>
  <c r="BF175" i="2"/>
  <c r="BE175" i="2"/>
  <c r="BD175" i="2"/>
  <c r="BC175" i="2"/>
  <c r="BB175" i="2"/>
  <c r="BA175" i="2"/>
  <c r="AZ175" i="2"/>
  <c r="AY175" i="2"/>
  <c r="AX175" i="2"/>
  <c r="AW175" i="2"/>
  <c r="AV175" i="2"/>
  <c r="AU175" i="2"/>
  <c r="AT175" i="2"/>
  <c r="AS175" i="2"/>
  <c r="AR175" i="2"/>
  <c r="AQ175" i="2"/>
  <c r="AP175" i="2"/>
  <c r="AO175" i="2"/>
  <c r="AN175" i="2"/>
  <c r="AM175" i="2"/>
  <c r="AL175" i="2"/>
  <c r="AK175" i="2"/>
  <c r="AJ175" i="2"/>
  <c r="AI175" i="2"/>
  <c r="AH175" i="2"/>
  <c r="AG175" i="2"/>
  <c r="AF175" i="2"/>
  <c r="AE175" i="2"/>
  <c r="AD175" i="2"/>
  <c r="AC175" i="2"/>
  <c r="AB175" i="2"/>
  <c r="AA175" i="2"/>
  <c r="Z175" i="2"/>
  <c r="Y175" i="2"/>
  <c r="X175" i="2"/>
  <c r="W175" i="2"/>
  <c r="V175" i="2"/>
  <c r="U175" i="2"/>
  <c r="T175" i="2"/>
  <c r="S175" i="2"/>
  <c r="R175" i="2"/>
  <c r="Q175" i="2"/>
  <c r="P175" i="2"/>
  <c r="O175" i="2"/>
  <c r="N175" i="2"/>
  <c r="M175" i="2"/>
  <c r="L175" i="2"/>
  <c r="E175" i="2"/>
  <c r="D175" i="2"/>
  <c r="C175" i="2"/>
  <c r="B175" i="2"/>
  <c r="A175" i="2"/>
  <c r="BO168" i="2"/>
  <c r="BM168" i="2"/>
  <c r="BL168" i="2"/>
  <c r="BK168" i="2"/>
  <c r="BJ168" i="2"/>
  <c r="BI168" i="2"/>
  <c r="BH168" i="2"/>
  <c r="BG168" i="2"/>
  <c r="BF168" i="2"/>
  <c r="BE168" i="2"/>
  <c r="BD168" i="2"/>
  <c r="BC168" i="2"/>
  <c r="BB168" i="2"/>
  <c r="BA168" i="2"/>
  <c r="AZ168" i="2"/>
  <c r="AY168" i="2"/>
  <c r="AX168" i="2"/>
  <c r="AW168" i="2"/>
  <c r="AV168" i="2"/>
  <c r="AU168" i="2"/>
  <c r="AT168" i="2"/>
  <c r="AS168" i="2"/>
  <c r="AR168" i="2"/>
  <c r="AQ168" i="2"/>
  <c r="AP168" i="2"/>
  <c r="AO168" i="2"/>
  <c r="AN168" i="2"/>
  <c r="AM168" i="2"/>
  <c r="AL168" i="2"/>
  <c r="AK168" i="2"/>
  <c r="AJ168" i="2"/>
  <c r="AI168" i="2"/>
  <c r="AH168" i="2"/>
  <c r="AG168" i="2"/>
  <c r="AF168" i="2"/>
  <c r="AE168" i="2"/>
  <c r="AD168" i="2"/>
  <c r="AC168" i="2"/>
  <c r="AB168" i="2"/>
  <c r="AA168" i="2"/>
  <c r="Z168" i="2"/>
  <c r="Y168" i="2"/>
  <c r="X168" i="2"/>
  <c r="W168" i="2"/>
  <c r="V168" i="2"/>
  <c r="U168" i="2"/>
  <c r="T168" i="2"/>
  <c r="S168" i="2"/>
  <c r="R168" i="2"/>
  <c r="Q168" i="2"/>
  <c r="P168" i="2"/>
  <c r="O168" i="2"/>
  <c r="N168" i="2"/>
  <c r="M168" i="2"/>
  <c r="L168" i="2"/>
  <c r="E168" i="2"/>
  <c r="D168" i="2"/>
  <c r="C168" i="2"/>
  <c r="B168" i="2"/>
  <c r="A168" i="2"/>
  <c r="BO161" i="2"/>
  <c r="BM161" i="2"/>
  <c r="BL161" i="2"/>
  <c r="BK161" i="2"/>
  <c r="BJ161" i="2"/>
  <c r="BI161" i="2"/>
  <c r="BH161" i="2"/>
  <c r="BG161" i="2"/>
  <c r="BF161" i="2"/>
  <c r="BE161" i="2"/>
  <c r="BD161" i="2"/>
  <c r="BC161" i="2"/>
  <c r="BB161" i="2"/>
  <c r="BA161" i="2"/>
  <c r="AZ161" i="2"/>
  <c r="AY161" i="2"/>
  <c r="AX161" i="2"/>
  <c r="AW161" i="2"/>
  <c r="AV161" i="2"/>
  <c r="AU161" i="2"/>
  <c r="AT161" i="2"/>
  <c r="AS161" i="2"/>
  <c r="AR161" i="2"/>
  <c r="AQ161" i="2"/>
  <c r="AP161" i="2"/>
  <c r="AO161" i="2"/>
  <c r="AN161" i="2"/>
  <c r="AM161" i="2"/>
  <c r="AL161" i="2"/>
  <c r="AK161" i="2"/>
  <c r="AJ161" i="2"/>
  <c r="AI161" i="2"/>
  <c r="AH161" i="2"/>
  <c r="AG161" i="2"/>
  <c r="AF161" i="2"/>
  <c r="AE161" i="2"/>
  <c r="AD161" i="2"/>
  <c r="AC161" i="2"/>
  <c r="AB161" i="2"/>
  <c r="AA161" i="2"/>
  <c r="Z161" i="2"/>
  <c r="Y161" i="2"/>
  <c r="X161" i="2"/>
  <c r="W161" i="2"/>
  <c r="V161" i="2"/>
  <c r="U161" i="2"/>
  <c r="T161" i="2"/>
  <c r="S161" i="2"/>
  <c r="R161" i="2"/>
  <c r="Q161" i="2"/>
  <c r="P161" i="2"/>
  <c r="O161" i="2"/>
  <c r="N161" i="2"/>
  <c r="M161" i="2"/>
  <c r="L161" i="2"/>
  <c r="E161" i="2"/>
  <c r="D161" i="2"/>
  <c r="C161" i="2"/>
  <c r="B161" i="2"/>
  <c r="A161" i="2"/>
  <c r="BO154" i="2"/>
  <c r="BM154" i="2"/>
  <c r="BL154" i="2"/>
  <c r="BK154" i="2"/>
  <c r="BJ154" i="2"/>
  <c r="BI154" i="2"/>
  <c r="BH154" i="2"/>
  <c r="BG154" i="2"/>
  <c r="BF154" i="2"/>
  <c r="BE154" i="2"/>
  <c r="BD154" i="2"/>
  <c r="BC154" i="2"/>
  <c r="BB154" i="2"/>
  <c r="BA154" i="2"/>
  <c r="AZ154" i="2"/>
  <c r="AY154" i="2"/>
  <c r="AX154" i="2"/>
  <c r="AW154" i="2"/>
  <c r="AV154" i="2"/>
  <c r="AU154" i="2"/>
  <c r="AT154" i="2"/>
  <c r="AS154" i="2"/>
  <c r="AR154" i="2"/>
  <c r="AQ154" i="2"/>
  <c r="AP154" i="2"/>
  <c r="AO154" i="2"/>
  <c r="AN154" i="2"/>
  <c r="AM154" i="2"/>
  <c r="AL154" i="2"/>
  <c r="AK154" i="2"/>
  <c r="AJ154" i="2"/>
  <c r="AI154" i="2"/>
  <c r="AH154" i="2"/>
  <c r="AG154" i="2"/>
  <c r="AF154" i="2"/>
  <c r="AE154" i="2"/>
  <c r="AD154" i="2"/>
  <c r="AC154" i="2"/>
  <c r="AB154" i="2"/>
  <c r="AA154" i="2"/>
  <c r="Z154" i="2"/>
  <c r="Y154" i="2"/>
  <c r="X154" i="2"/>
  <c r="W154" i="2"/>
  <c r="V154" i="2"/>
  <c r="U154" i="2"/>
  <c r="T154" i="2"/>
  <c r="S154" i="2"/>
  <c r="R154" i="2"/>
  <c r="Q154" i="2"/>
  <c r="P154" i="2"/>
  <c r="O154" i="2"/>
  <c r="N154" i="2"/>
  <c r="M154" i="2"/>
  <c r="L154" i="2"/>
  <c r="E154" i="2"/>
  <c r="D154" i="2"/>
  <c r="C154" i="2"/>
  <c r="B154" i="2"/>
  <c r="A154" i="2"/>
  <c r="BO147" i="2"/>
  <c r="BM147" i="2"/>
  <c r="BL147" i="2"/>
  <c r="BK147" i="2"/>
  <c r="BJ147" i="2"/>
  <c r="BI147" i="2"/>
  <c r="BH147" i="2"/>
  <c r="BG147" i="2"/>
  <c r="BF147" i="2"/>
  <c r="BE147" i="2"/>
  <c r="BD147" i="2"/>
  <c r="BC147" i="2"/>
  <c r="BB147" i="2"/>
  <c r="BA147" i="2"/>
  <c r="AZ147" i="2"/>
  <c r="AY147" i="2"/>
  <c r="AX147" i="2"/>
  <c r="AW147" i="2"/>
  <c r="AV147" i="2"/>
  <c r="AU147" i="2"/>
  <c r="AT147" i="2"/>
  <c r="AS147" i="2"/>
  <c r="AR147" i="2"/>
  <c r="AQ147" i="2"/>
  <c r="AP147" i="2"/>
  <c r="AO147" i="2"/>
  <c r="AN147" i="2"/>
  <c r="AM147" i="2"/>
  <c r="AL147" i="2"/>
  <c r="AK147" i="2"/>
  <c r="AJ147" i="2"/>
  <c r="AI147" i="2"/>
  <c r="AH147" i="2"/>
  <c r="AG147" i="2"/>
  <c r="AF147" i="2"/>
  <c r="AE147" i="2"/>
  <c r="AD147" i="2"/>
  <c r="AC147" i="2"/>
  <c r="AB147" i="2"/>
  <c r="AA147" i="2"/>
  <c r="Z147" i="2"/>
  <c r="Y147" i="2"/>
  <c r="X147" i="2"/>
  <c r="W147" i="2"/>
  <c r="V147" i="2"/>
  <c r="U147" i="2"/>
  <c r="T147" i="2"/>
  <c r="S147" i="2"/>
  <c r="R147" i="2"/>
  <c r="Q147" i="2"/>
  <c r="P147" i="2"/>
  <c r="O147" i="2"/>
  <c r="N147" i="2"/>
  <c r="M147" i="2"/>
  <c r="L147" i="2"/>
  <c r="E147" i="2"/>
  <c r="D147" i="2"/>
  <c r="C147" i="2"/>
  <c r="B147" i="2"/>
  <c r="A147" i="2"/>
  <c r="BO140" i="2"/>
  <c r="BM140" i="2"/>
  <c r="BL140" i="2"/>
  <c r="BK140" i="2"/>
  <c r="BJ140" i="2"/>
  <c r="BI140" i="2"/>
  <c r="BH140" i="2"/>
  <c r="BG140" i="2"/>
  <c r="BF140" i="2"/>
  <c r="BE140" i="2"/>
  <c r="BD140" i="2"/>
  <c r="BC140" i="2"/>
  <c r="BB140" i="2"/>
  <c r="BA140" i="2"/>
  <c r="AZ140" i="2"/>
  <c r="AY140" i="2"/>
  <c r="AX140" i="2"/>
  <c r="AW140" i="2"/>
  <c r="AV140" i="2"/>
  <c r="AU140" i="2"/>
  <c r="AT140" i="2"/>
  <c r="AS140" i="2"/>
  <c r="AR140" i="2"/>
  <c r="AQ140" i="2"/>
  <c r="AP140" i="2"/>
  <c r="AO140" i="2"/>
  <c r="AN140" i="2"/>
  <c r="AM140" i="2"/>
  <c r="AL140" i="2"/>
  <c r="AK140" i="2"/>
  <c r="AJ140" i="2"/>
  <c r="AI140" i="2"/>
  <c r="AH140" i="2"/>
  <c r="AG140" i="2"/>
  <c r="AF140" i="2"/>
  <c r="AE140" i="2"/>
  <c r="AD140" i="2"/>
  <c r="AC140" i="2"/>
  <c r="AB140" i="2"/>
  <c r="AA140" i="2"/>
  <c r="Z140" i="2"/>
  <c r="Y140" i="2"/>
  <c r="X140" i="2"/>
  <c r="W140" i="2"/>
  <c r="V140" i="2"/>
  <c r="U140" i="2"/>
  <c r="T140" i="2"/>
  <c r="S140" i="2"/>
  <c r="R140" i="2"/>
  <c r="Q140" i="2"/>
  <c r="P140" i="2"/>
  <c r="O140" i="2"/>
  <c r="N140" i="2"/>
  <c r="M140" i="2"/>
  <c r="L140" i="2"/>
  <c r="E140" i="2"/>
  <c r="D140" i="2"/>
  <c r="C140" i="2"/>
  <c r="B140" i="2"/>
  <c r="A140" i="2"/>
  <c r="BO133" i="2"/>
  <c r="BM133" i="2"/>
  <c r="BL133" i="2"/>
  <c r="BK133" i="2"/>
  <c r="BJ133" i="2"/>
  <c r="BI133" i="2"/>
  <c r="BH133" i="2"/>
  <c r="BG133" i="2"/>
  <c r="BF133" i="2"/>
  <c r="BE133" i="2"/>
  <c r="BD133" i="2"/>
  <c r="BC133" i="2"/>
  <c r="BB133" i="2"/>
  <c r="BA133" i="2"/>
  <c r="AZ133" i="2"/>
  <c r="AY133" i="2"/>
  <c r="AX133" i="2"/>
  <c r="AW133" i="2"/>
  <c r="AV133" i="2"/>
  <c r="AU133" i="2"/>
  <c r="AT133" i="2"/>
  <c r="AS133" i="2"/>
  <c r="AR133" i="2"/>
  <c r="AQ133" i="2"/>
  <c r="AP133" i="2"/>
  <c r="AO133" i="2"/>
  <c r="AN133" i="2"/>
  <c r="AM133" i="2"/>
  <c r="AL133" i="2"/>
  <c r="AK133" i="2"/>
  <c r="AJ133" i="2"/>
  <c r="AI133" i="2"/>
  <c r="AH133" i="2"/>
  <c r="AG133" i="2"/>
  <c r="AF133" i="2"/>
  <c r="AE133" i="2"/>
  <c r="AD133" i="2"/>
  <c r="AC133" i="2"/>
  <c r="AB133" i="2"/>
  <c r="AA133" i="2"/>
  <c r="Z133" i="2"/>
  <c r="Y133" i="2"/>
  <c r="X133" i="2"/>
  <c r="W133" i="2"/>
  <c r="V133" i="2"/>
  <c r="U133" i="2"/>
  <c r="T133" i="2"/>
  <c r="S133" i="2"/>
  <c r="R133" i="2"/>
  <c r="Q133" i="2"/>
  <c r="P133" i="2"/>
  <c r="O133" i="2"/>
  <c r="N133" i="2"/>
  <c r="M133" i="2"/>
  <c r="L133" i="2"/>
  <c r="E133" i="2"/>
  <c r="D133" i="2"/>
  <c r="C133" i="2"/>
  <c r="B133" i="2"/>
  <c r="A133" i="2"/>
  <c r="BK128" i="2"/>
  <c r="BJ128" i="2"/>
  <c r="BI128" i="2"/>
  <c r="BH128" i="2"/>
  <c r="BG128" i="2"/>
  <c r="BF128" i="2"/>
  <c r="BE128" i="2"/>
  <c r="BD128" i="2"/>
  <c r="BC128" i="2"/>
  <c r="BB128" i="2"/>
  <c r="BA128" i="2"/>
  <c r="AZ128" i="2"/>
  <c r="AY128" i="2"/>
  <c r="AX128" i="2"/>
  <c r="AW128" i="2"/>
  <c r="AV128" i="2"/>
  <c r="AU128" i="2"/>
  <c r="AT128" i="2"/>
  <c r="AS128" i="2"/>
  <c r="AR128" i="2"/>
  <c r="AQ128" i="2"/>
  <c r="AP128" i="2"/>
  <c r="AO128" i="2"/>
  <c r="AN128" i="2"/>
  <c r="AM128" i="2"/>
  <c r="AL128" i="2"/>
  <c r="AK128" i="2"/>
  <c r="AJ128" i="2"/>
  <c r="AI128" i="2"/>
  <c r="AH128" i="2"/>
  <c r="AG128" i="2"/>
  <c r="AF128" i="2"/>
  <c r="AE128" i="2"/>
  <c r="AD128" i="2"/>
  <c r="AC128" i="2"/>
  <c r="AB128" i="2"/>
  <c r="AA128" i="2"/>
  <c r="Z128" i="2"/>
  <c r="Y128" i="2"/>
  <c r="X128" i="2"/>
  <c r="W128" i="2"/>
  <c r="V128" i="2"/>
  <c r="U128" i="2"/>
  <c r="T128" i="2"/>
  <c r="S128" i="2"/>
  <c r="R128" i="2"/>
  <c r="Q128" i="2"/>
  <c r="P128" i="2"/>
  <c r="N128" i="2"/>
  <c r="BK127" i="2"/>
  <c r="BJ127" i="2"/>
  <c r="BI127" i="2"/>
  <c r="BH127" i="2"/>
  <c r="BG127" i="2"/>
  <c r="BF127" i="2"/>
  <c r="BE127" i="2"/>
  <c r="BD127" i="2"/>
  <c r="BC127" i="2"/>
  <c r="BB127" i="2"/>
  <c r="BA127" i="2"/>
  <c r="AZ127" i="2"/>
  <c r="AY127" i="2"/>
  <c r="AX127" i="2"/>
  <c r="AW127" i="2"/>
  <c r="AV127" i="2"/>
  <c r="AU127" i="2"/>
  <c r="AT127" i="2"/>
  <c r="AS127" i="2"/>
  <c r="AR127" i="2"/>
  <c r="AQ127" i="2"/>
  <c r="AP127" i="2"/>
  <c r="AO127" i="2"/>
  <c r="AN127" i="2"/>
  <c r="AM127" i="2"/>
  <c r="AL127" i="2"/>
  <c r="AK127" i="2"/>
  <c r="AJ127" i="2"/>
  <c r="AI127" i="2"/>
  <c r="AH127" i="2"/>
  <c r="AG127" i="2"/>
  <c r="AF127" i="2"/>
  <c r="AE127" i="2"/>
  <c r="AD127" i="2"/>
  <c r="AC127" i="2"/>
  <c r="AB127" i="2"/>
  <c r="AA127" i="2"/>
  <c r="Z127" i="2"/>
  <c r="Y127" i="2"/>
  <c r="X127" i="2"/>
  <c r="W127" i="2"/>
  <c r="V127" i="2"/>
  <c r="U127" i="2"/>
  <c r="T127" i="2"/>
  <c r="S127" i="2"/>
  <c r="R127" i="2"/>
  <c r="Q127" i="2"/>
  <c r="P127" i="2"/>
  <c r="N127" i="2"/>
  <c r="BO126" i="2"/>
  <c r="BM126" i="2"/>
  <c r="BL126" i="2"/>
  <c r="O126" i="2"/>
  <c r="M126" i="2"/>
  <c r="L126" i="2"/>
  <c r="E126" i="2"/>
  <c r="D126" i="2"/>
  <c r="C126" i="2"/>
  <c r="B126" i="2"/>
  <c r="A126" i="2"/>
  <c r="BK125" i="2"/>
  <c r="BJ125" i="2"/>
  <c r="BI125" i="2"/>
  <c r="BH125" i="2"/>
  <c r="BG125" i="2"/>
  <c r="BF125" i="2"/>
  <c r="BE125" i="2"/>
  <c r="BD125" i="2"/>
  <c r="BC125" i="2"/>
  <c r="BB125" i="2"/>
  <c r="BA125" i="2"/>
  <c r="AZ125" i="2"/>
  <c r="AY125" i="2"/>
  <c r="AX125" i="2"/>
  <c r="AW125" i="2"/>
  <c r="AV125" i="2"/>
  <c r="AU125" i="2"/>
  <c r="AT125" i="2"/>
  <c r="AS125" i="2"/>
  <c r="AR125" i="2"/>
  <c r="AQ125" i="2"/>
  <c r="AP125" i="2"/>
  <c r="AO125" i="2"/>
  <c r="AN125" i="2"/>
  <c r="AM125" i="2"/>
  <c r="AL125" i="2"/>
  <c r="AK125" i="2"/>
  <c r="AJ125" i="2"/>
  <c r="AI125" i="2"/>
  <c r="AH125" i="2"/>
  <c r="AG125" i="2"/>
  <c r="AF125" i="2"/>
  <c r="AE125" i="2"/>
  <c r="AD125" i="2"/>
  <c r="AC125" i="2"/>
  <c r="AB125" i="2"/>
  <c r="AA125" i="2"/>
  <c r="Z125" i="2"/>
  <c r="Y125" i="2"/>
  <c r="X125" i="2"/>
  <c r="W125" i="2"/>
  <c r="V125" i="2"/>
  <c r="U125" i="2"/>
  <c r="T125" i="2"/>
  <c r="S125" i="2"/>
  <c r="R125" i="2"/>
  <c r="Q125" i="2"/>
  <c r="P125" i="2"/>
  <c r="N125" i="2"/>
  <c r="BK124" i="2"/>
  <c r="BJ124" i="2"/>
  <c r="BI124" i="2"/>
  <c r="BH124" i="2"/>
  <c r="BG124" i="2"/>
  <c r="BF124" i="2"/>
  <c r="BE124" i="2"/>
  <c r="BD124" i="2"/>
  <c r="BC124" i="2"/>
  <c r="BB124" i="2"/>
  <c r="BA124" i="2"/>
  <c r="AZ124" i="2"/>
  <c r="AY124" i="2"/>
  <c r="AX124" i="2"/>
  <c r="AW124" i="2"/>
  <c r="AV124" i="2"/>
  <c r="AU124" i="2"/>
  <c r="AT124" i="2"/>
  <c r="AS124" i="2"/>
  <c r="AR124" i="2"/>
  <c r="AQ124" i="2"/>
  <c r="AP124" i="2"/>
  <c r="AO124" i="2"/>
  <c r="AN124" i="2"/>
  <c r="AM124" i="2"/>
  <c r="AL124" i="2"/>
  <c r="AK124" i="2"/>
  <c r="AJ124" i="2"/>
  <c r="AI124" i="2"/>
  <c r="AH124" i="2"/>
  <c r="AG124" i="2"/>
  <c r="AF124" i="2"/>
  <c r="AE124" i="2"/>
  <c r="AD124" i="2"/>
  <c r="AC124" i="2"/>
  <c r="AB124" i="2"/>
  <c r="AA124" i="2"/>
  <c r="Z124" i="2"/>
  <c r="Y124" i="2"/>
  <c r="X124" i="2"/>
  <c r="W124" i="2"/>
  <c r="V124" i="2"/>
  <c r="U124" i="2"/>
  <c r="T124" i="2"/>
  <c r="S124" i="2"/>
  <c r="R124" i="2"/>
  <c r="Q124" i="2"/>
  <c r="P124" i="2"/>
  <c r="N124" i="2"/>
  <c r="BK123" i="2"/>
  <c r="BJ123" i="2"/>
  <c r="BI123" i="2"/>
  <c r="BH123" i="2"/>
  <c r="BG123" i="2"/>
  <c r="BF123" i="2"/>
  <c r="BE123" i="2"/>
  <c r="BD123" i="2"/>
  <c r="BC123" i="2"/>
  <c r="BB123" i="2"/>
  <c r="BA123" i="2"/>
  <c r="AZ123" i="2"/>
  <c r="AY123" i="2"/>
  <c r="AX123" i="2"/>
  <c r="AW123" i="2"/>
  <c r="AV123" i="2"/>
  <c r="AU123" i="2"/>
  <c r="AT123" i="2"/>
  <c r="AS123" i="2"/>
  <c r="AR123" i="2"/>
  <c r="AQ123" i="2"/>
  <c r="AP123" i="2"/>
  <c r="AO123" i="2"/>
  <c r="AN123" i="2"/>
  <c r="AM123" i="2"/>
  <c r="AL123" i="2"/>
  <c r="AK123" i="2"/>
  <c r="AJ123" i="2"/>
  <c r="AI123" i="2"/>
  <c r="AH123" i="2"/>
  <c r="AG123" i="2"/>
  <c r="AF123" i="2"/>
  <c r="AE123" i="2"/>
  <c r="AD123" i="2"/>
  <c r="AC123" i="2"/>
  <c r="AB123" i="2"/>
  <c r="AA123" i="2"/>
  <c r="Z123" i="2"/>
  <c r="Y123" i="2"/>
  <c r="X123" i="2"/>
  <c r="W123" i="2"/>
  <c r="V123" i="2"/>
  <c r="U123" i="2"/>
  <c r="T123" i="2"/>
  <c r="S123" i="2"/>
  <c r="R123" i="2"/>
  <c r="Q123" i="2"/>
  <c r="P123" i="2"/>
  <c r="N123" i="2"/>
  <c r="BK122" i="2"/>
  <c r="BJ122" i="2"/>
  <c r="BI122" i="2"/>
  <c r="BH122" i="2"/>
  <c r="BG122" i="2"/>
  <c r="BF122" i="2"/>
  <c r="BE122" i="2"/>
  <c r="BD122" i="2"/>
  <c r="BC122" i="2"/>
  <c r="BB122" i="2"/>
  <c r="BA122" i="2"/>
  <c r="AZ122" i="2"/>
  <c r="AY122" i="2"/>
  <c r="AX122" i="2"/>
  <c r="AW122" i="2"/>
  <c r="AV122" i="2"/>
  <c r="AU122" i="2"/>
  <c r="AT122" i="2"/>
  <c r="AS122" i="2"/>
  <c r="AR122" i="2"/>
  <c r="AQ122" i="2"/>
  <c r="AP122" i="2"/>
  <c r="AO122" i="2"/>
  <c r="AN122" i="2"/>
  <c r="AM122" i="2"/>
  <c r="AL122" i="2"/>
  <c r="AK122" i="2"/>
  <c r="AJ122" i="2"/>
  <c r="AI122" i="2"/>
  <c r="AH122" i="2"/>
  <c r="AG122" i="2"/>
  <c r="AF122" i="2"/>
  <c r="AE122" i="2"/>
  <c r="AD122" i="2"/>
  <c r="AC122" i="2"/>
  <c r="AB122" i="2"/>
  <c r="AA122" i="2"/>
  <c r="Z122" i="2"/>
  <c r="Y122" i="2"/>
  <c r="X122" i="2"/>
  <c r="W122" i="2"/>
  <c r="V122" i="2"/>
  <c r="U122" i="2"/>
  <c r="T122" i="2"/>
  <c r="S122" i="2"/>
  <c r="R122" i="2"/>
  <c r="Q122" i="2"/>
  <c r="P122" i="2"/>
  <c r="N122" i="2"/>
  <c r="BK121" i="2"/>
  <c r="BJ121" i="2"/>
  <c r="BI121" i="2"/>
  <c r="BH121" i="2"/>
  <c r="BG121" i="2"/>
  <c r="BF121" i="2"/>
  <c r="BE121" i="2"/>
  <c r="BD121" i="2"/>
  <c r="BC121" i="2"/>
  <c r="BB121" i="2"/>
  <c r="BA121" i="2"/>
  <c r="AZ121" i="2"/>
  <c r="AY121" i="2"/>
  <c r="AX121" i="2"/>
  <c r="AW121" i="2"/>
  <c r="AV121" i="2"/>
  <c r="AU121" i="2"/>
  <c r="AT121" i="2"/>
  <c r="AS121" i="2"/>
  <c r="AR121" i="2"/>
  <c r="AQ121" i="2"/>
  <c r="AP121" i="2"/>
  <c r="AO121" i="2"/>
  <c r="AN121" i="2"/>
  <c r="AM121" i="2"/>
  <c r="AL121" i="2"/>
  <c r="AK121" i="2"/>
  <c r="AJ121" i="2"/>
  <c r="AI121" i="2"/>
  <c r="AH121" i="2"/>
  <c r="AG121" i="2"/>
  <c r="AF121" i="2"/>
  <c r="AE121" i="2"/>
  <c r="AD121" i="2"/>
  <c r="AC121" i="2"/>
  <c r="AB121" i="2"/>
  <c r="AA121" i="2"/>
  <c r="Z121" i="2"/>
  <c r="Y121" i="2"/>
  <c r="X121" i="2"/>
  <c r="W121" i="2"/>
  <c r="V121" i="2"/>
  <c r="U121" i="2"/>
  <c r="T121" i="2"/>
  <c r="S121" i="2"/>
  <c r="R121" i="2"/>
  <c r="Q121" i="2"/>
  <c r="P121" i="2"/>
  <c r="N121" i="2"/>
  <c r="BK120" i="2"/>
  <c r="BJ120" i="2"/>
  <c r="BI120" i="2"/>
  <c r="BH120" i="2"/>
  <c r="BG120" i="2"/>
  <c r="BF120" i="2"/>
  <c r="BE120" i="2"/>
  <c r="BD120" i="2"/>
  <c r="BC120" i="2"/>
  <c r="BB120" i="2"/>
  <c r="BA120" i="2"/>
  <c r="AZ120" i="2"/>
  <c r="AY120" i="2"/>
  <c r="AX120" i="2"/>
  <c r="AW120" i="2"/>
  <c r="AV120" i="2"/>
  <c r="AU120" i="2"/>
  <c r="AT120" i="2"/>
  <c r="AS120" i="2"/>
  <c r="AR120" i="2"/>
  <c r="AQ120" i="2"/>
  <c r="AP120" i="2"/>
  <c r="AO120" i="2"/>
  <c r="AN120" i="2"/>
  <c r="AM120" i="2"/>
  <c r="AL120" i="2"/>
  <c r="AK120" i="2"/>
  <c r="AJ120" i="2"/>
  <c r="AI120" i="2"/>
  <c r="AH120" i="2"/>
  <c r="AG120" i="2"/>
  <c r="AF120" i="2"/>
  <c r="AE120" i="2"/>
  <c r="AD120" i="2"/>
  <c r="AC120" i="2"/>
  <c r="AB120" i="2"/>
  <c r="AA120" i="2"/>
  <c r="Z120" i="2"/>
  <c r="Y120" i="2"/>
  <c r="X120" i="2"/>
  <c r="W120" i="2"/>
  <c r="V120" i="2"/>
  <c r="U120" i="2"/>
  <c r="T120" i="2"/>
  <c r="S120" i="2"/>
  <c r="R120" i="2"/>
  <c r="Q120" i="2"/>
  <c r="P120" i="2"/>
  <c r="N120" i="2"/>
  <c r="BO119" i="2"/>
  <c r="BM119" i="2"/>
  <c r="BL119" i="2"/>
  <c r="O119" i="2"/>
  <c r="M119" i="2"/>
  <c r="L119" i="2"/>
  <c r="E119" i="2"/>
  <c r="D119" i="2"/>
  <c r="C119" i="2"/>
  <c r="B119" i="2"/>
  <c r="A119" i="2"/>
  <c r="BK118" i="2"/>
  <c r="BJ118" i="2"/>
  <c r="BI118" i="2"/>
  <c r="BH118" i="2"/>
  <c r="BG118" i="2"/>
  <c r="BF118" i="2"/>
  <c r="BE118" i="2"/>
  <c r="BD118" i="2"/>
  <c r="BC118" i="2"/>
  <c r="BB118" i="2"/>
  <c r="BA118" i="2"/>
  <c r="AZ118" i="2"/>
  <c r="AY118" i="2"/>
  <c r="AX118" i="2"/>
  <c r="AW118" i="2"/>
  <c r="AV118" i="2"/>
  <c r="AU118" i="2"/>
  <c r="AT118" i="2"/>
  <c r="AS118" i="2"/>
  <c r="AR118" i="2"/>
  <c r="AQ118" i="2"/>
  <c r="AP118" i="2"/>
  <c r="AO118" i="2"/>
  <c r="AN118" i="2"/>
  <c r="AM118" i="2"/>
  <c r="AL118" i="2"/>
  <c r="AK118" i="2"/>
  <c r="AJ118" i="2"/>
  <c r="AI118" i="2"/>
  <c r="AH118" i="2"/>
  <c r="AG118" i="2"/>
  <c r="AF118" i="2"/>
  <c r="AE118" i="2"/>
  <c r="AD118" i="2"/>
  <c r="AC118" i="2"/>
  <c r="AB118" i="2"/>
  <c r="AA118" i="2"/>
  <c r="Z118" i="2"/>
  <c r="Y118" i="2"/>
  <c r="X118" i="2"/>
  <c r="W118" i="2"/>
  <c r="V118" i="2"/>
  <c r="U118" i="2"/>
  <c r="T118" i="2"/>
  <c r="S118" i="2"/>
  <c r="R118" i="2"/>
  <c r="Q118" i="2"/>
  <c r="P118" i="2"/>
  <c r="N118" i="2"/>
  <c r="BK117" i="2"/>
  <c r="BJ117" i="2"/>
  <c r="BI117" i="2"/>
  <c r="BH117" i="2"/>
  <c r="BG117" i="2"/>
  <c r="BF117" i="2"/>
  <c r="BE117" i="2"/>
  <c r="BD117" i="2"/>
  <c r="BC117" i="2"/>
  <c r="BB117" i="2"/>
  <c r="BA117" i="2"/>
  <c r="AZ117" i="2"/>
  <c r="AY117" i="2"/>
  <c r="AX117" i="2"/>
  <c r="AW117" i="2"/>
  <c r="AV117" i="2"/>
  <c r="AU117" i="2"/>
  <c r="AT117" i="2"/>
  <c r="AS117" i="2"/>
  <c r="AR117" i="2"/>
  <c r="AQ117" i="2"/>
  <c r="AP117" i="2"/>
  <c r="AO117" i="2"/>
  <c r="AN117" i="2"/>
  <c r="AM117" i="2"/>
  <c r="AL117" i="2"/>
  <c r="AK117" i="2"/>
  <c r="AJ117" i="2"/>
  <c r="AI117" i="2"/>
  <c r="AH117" i="2"/>
  <c r="AG117" i="2"/>
  <c r="AF117" i="2"/>
  <c r="AE117" i="2"/>
  <c r="AD117" i="2"/>
  <c r="AC117" i="2"/>
  <c r="AB117" i="2"/>
  <c r="AA117" i="2"/>
  <c r="Z117" i="2"/>
  <c r="Y117" i="2"/>
  <c r="X117" i="2"/>
  <c r="W117" i="2"/>
  <c r="V117" i="2"/>
  <c r="U117" i="2"/>
  <c r="T117" i="2"/>
  <c r="S117" i="2"/>
  <c r="R117" i="2"/>
  <c r="Q117" i="2"/>
  <c r="P117" i="2"/>
  <c r="N117" i="2"/>
  <c r="BK116" i="2"/>
  <c r="BJ116" i="2"/>
  <c r="BI116" i="2"/>
  <c r="BH116" i="2"/>
  <c r="BG116" i="2"/>
  <c r="BF116" i="2"/>
  <c r="BE116" i="2"/>
  <c r="BD116" i="2"/>
  <c r="BC116" i="2"/>
  <c r="BB116" i="2"/>
  <c r="BA116" i="2"/>
  <c r="AZ116" i="2"/>
  <c r="AY116" i="2"/>
  <c r="AX116" i="2"/>
  <c r="AW116" i="2"/>
  <c r="AV116" i="2"/>
  <c r="AU116" i="2"/>
  <c r="AT116" i="2"/>
  <c r="AS116" i="2"/>
  <c r="AR116" i="2"/>
  <c r="AQ116" i="2"/>
  <c r="AP116" i="2"/>
  <c r="AO116" i="2"/>
  <c r="AN116" i="2"/>
  <c r="AM116" i="2"/>
  <c r="AL116" i="2"/>
  <c r="AK116" i="2"/>
  <c r="AJ116" i="2"/>
  <c r="AI116" i="2"/>
  <c r="AH116" i="2"/>
  <c r="AG116" i="2"/>
  <c r="AF116" i="2"/>
  <c r="AE116" i="2"/>
  <c r="AD116" i="2"/>
  <c r="AC116" i="2"/>
  <c r="AB116" i="2"/>
  <c r="AA116" i="2"/>
  <c r="Z116" i="2"/>
  <c r="Y116" i="2"/>
  <c r="X116" i="2"/>
  <c r="W116" i="2"/>
  <c r="V116" i="2"/>
  <c r="U116" i="2"/>
  <c r="T116" i="2"/>
  <c r="S116" i="2"/>
  <c r="R116" i="2"/>
  <c r="Q116" i="2"/>
  <c r="P116" i="2"/>
  <c r="N116" i="2"/>
  <c r="BK115" i="2"/>
  <c r="BJ115" i="2"/>
  <c r="BI115" i="2"/>
  <c r="BH115" i="2"/>
  <c r="BG115" i="2"/>
  <c r="BF115" i="2"/>
  <c r="BE115" i="2"/>
  <c r="BD115" i="2"/>
  <c r="BC115" i="2"/>
  <c r="BB115" i="2"/>
  <c r="BA115" i="2"/>
  <c r="AZ115" i="2"/>
  <c r="AY115" i="2"/>
  <c r="AX115" i="2"/>
  <c r="AW115" i="2"/>
  <c r="AV115" i="2"/>
  <c r="AU115" i="2"/>
  <c r="AT115" i="2"/>
  <c r="AS115" i="2"/>
  <c r="AR115" i="2"/>
  <c r="AQ115" i="2"/>
  <c r="AP115" i="2"/>
  <c r="AO115" i="2"/>
  <c r="AN115" i="2"/>
  <c r="AM115" i="2"/>
  <c r="AL115" i="2"/>
  <c r="AK115" i="2"/>
  <c r="AJ115" i="2"/>
  <c r="AI115" i="2"/>
  <c r="AH115" i="2"/>
  <c r="AG115" i="2"/>
  <c r="AF115" i="2"/>
  <c r="AE115" i="2"/>
  <c r="AD115" i="2"/>
  <c r="AC115" i="2"/>
  <c r="AB115" i="2"/>
  <c r="AA115" i="2"/>
  <c r="Z115" i="2"/>
  <c r="Y115" i="2"/>
  <c r="X115" i="2"/>
  <c r="W115" i="2"/>
  <c r="V115" i="2"/>
  <c r="U115" i="2"/>
  <c r="T115" i="2"/>
  <c r="S115" i="2"/>
  <c r="R115" i="2"/>
  <c r="Q115" i="2"/>
  <c r="P115" i="2"/>
  <c r="N115" i="2"/>
  <c r="BO112" i="2"/>
  <c r="BM112" i="2"/>
  <c r="BL112" i="2"/>
  <c r="BK112" i="2"/>
  <c r="BJ112" i="2"/>
  <c r="BI112" i="2"/>
  <c r="BH112" i="2"/>
  <c r="BG112" i="2"/>
  <c r="BF112" i="2"/>
  <c r="BE112" i="2"/>
  <c r="BD112" i="2"/>
  <c r="BC112" i="2"/>
  <c r="BB112" i="2"/>
  <c r="BA112" i="2"/>
  <c r="AZ112" i="2"/>
  <c r="AY112" i="2"/>
  <c r="AX112" i="2"/>
  <c r="AW112" i="2"/>
  <c r="AV112" i="2"/>
  <c r="AU112" i="2"/>
  <c r="AT112" i="2"/>
  <c r="AS112" i="2"/>
  <c r="AR112" i="2"/>
  <c r="AQ112" i="2"/>
  <c r="AP112" i="2"/>
  <c r="AO112" i="2"/>
  <c r="AN112" i="2"/>
  <c r="AM112" i="2"/>
  <c r="AL112" i="2"/>
  <c r="AK112" i="2"/>
  <c r="AJ112" i="2"/>
  <c r="AI112" i="2"/>
  <c r="AH112" i="2"/>
  <c r="AG112" i="2"/>
  <c r="AF112" i="2"/>
  <c r="AE112" i="2"/>
  <c r="AD112" i="2"/>
  <c r="AC112" i="2"/>
  <c r="AB112" i="2"/>
  <c r="AA112" i="2"/>
  <c r="Z112" i="2"/>
  <c r="Y112" i="2"/>
  <c r="X112" i="2"/>
  <c r="W112" i="2"/>
  <c r="V112" i="2"/>
  <c r="U112" i="2"/>
  <c r="T112" i="2"/>
  <c r="S112" i="2"/>
  <c r="R112" i="2"/>
  <c r="Q112" i="2"/>
  <c r="P112" i="2"/>
  <c r="O112" i="2"/>
  <c r="N112" i="2"/>
  <c r="M112" i="2"/>
  <c r="L112" i="2"/>
  <c r="E112" i="2"/>
  <c r="D112" i="2"/>
  <c r="C112" i="2"/>
  <c r="B112" i="2"/>
  <c r="A112" i="2"/>
  <c r="BO105" i="2"/>
  <c r="BM105" i="2"/>
  <c r="BL105" i="2"/>
  <c r="BK105" i="2"/>
  <c r="BJ105" i="2"/>
  <c r="BI105" i="2"/>
  <c r="BH105" i="2"/>
  <c r="BG105" i="2"/>
  <c r="BF105" i="2"/>
  <c r="BE105" i="2"/>
  <c r="BD105" i="2"/>
  <c r="BC105" i="2"/>
  <c r="BB105" i="2"/>
  <c r="BA105" i="2"/>
  <c r="AZ105" i="2"/>
  <c r="AY105" i="2"/>
  <c r="AX105" i="2"/>
  <c r="AW105" i="2"/>
  <c r="AV105" i="2"/>
  <c r="AU105" i="2"/>
  <c r="AT105" i="2"/>
  <c r="AS105" i="2"/>
  <c r="AR105" i="2"/>
  <c r="AQ105" i="2"/>
  <c r="AP105" i="2"/>
  <c r="AO105" i="2"/>
  <c r="AN105" i="2"/>
  <c r="AM105" i="2"/>
  <c r="AL105" i="2"/>
  <c r="AK105" i="2"/>
  <c r="AJ105" i="2"/>
  <c r="AI105" i="2"/>
  <c r="AH105" i="2"/>
  <c r="AG105" i="2"/>
  <c r="AF105" i="2"/>
  <c r="AE105" i="2"/>
  <c r="AD105" i="2"/>
  <c r="AC105" i="2"/>
  <c r="AB105" i="2"/>
  <c r="AA105" i="2"/>
  <c r="Z105" i="2"/>
  <c r="Y105" i="2"/>
  <c r="X105" i="2"/>
  <c r="W105" i="2"/>
  <c r="V105" i="2"/>
  <c r="U105" i="2"/>
  <c r="T105" i="2"/>
  <c r="S105" i="2"/>
  <c r="R105" i="2"/>
  <c r="Q105" i="2"/>
  <c r="P105" i="2"/>
  <c r="O105" i="2"/>
  <c r="N105" i="2"/>
  <c r="M105" i="2"/>
  <c r="L105" i="2"/>
  <c r="E105" i="2"/>
  <c r="D105" i="2"/>
  <c r="C105" i="2"/>
  <c r="B105" i="2"/>
  <c r="A105" i="2"/>
  <c r="BO98" i="2"/>
  <c r="BM98" i="2"/>
  <c r="BL98" i="2"/>
  <c r="BK98" i="2"/>
  <c r="BJ98" i="2"/>
  <c r="BI98" i="2"/>
  <c r="BH98" i="2"/>
  <c r="BG98" i="2"/>
  <c r="BF98" i="2"/>
  <c r="BE98" i="2"/>
  <c r="BD98" i="2"/>
  <c r="BC98" i="2"/>
  <c r="BB98" i="2"/>
  <c r="BA98" i="2"/>
  <c r="AZ98" i="2"/>
  <c r="AY98" i="2"/>
  <c r="AX98" i="2"/>
  <c r="AW98" i="2"/>
  <c r="AV98" i="2"/>
  <c r="AU98" i="2"/>
  <c r="AT98" i="2"/>
  <c r="AS98" i="2"/>
  <c r="AR98" i="2"/>
  <c r="AQ98" i="2"/>
  <c r="AP98" i="2"/>
  <c r="AO98" i="2"/>
  <c r="AN98" i="2"/>
  <c r="AM98" i="2"/>
  <c r="AL98" i="2"/>
  <c r="AK98" i="2"/>
  <c r="AJ98" i="2"/>
  <c r="AI98" i="2"/>
  <c r="AH98" i="2"/>
  <c r="AG98" i="2"/>
  <c r="AF98" i="2"/>
  <c r="AE98" i="2"/>
  <c r="AD98" i="2"/>
  <c r="AC98" i="2"/>
  <c r="AB98" i="2"/>
  <c r="AA98" i="2"/>
  <c r="Z98" i="2"/>
  <c r="Y98" i="2"/>
  <c r="X98" i="2"/>
  <c r="W98" i="2"/>
  <c r="V98" i="2"/>
  <c r="U98" i="2"/>
  <c r="T98" i="2"/>
  <c r="S98" i="2"/>
  <c r="R98" i="2"/>
  <c r="Q98" i="2"/>
  <c r="P98" i="2"/>
  <c r="O98" i="2"/>
  <c r="N98" i="2"/>
  <c r="M98" i="2"/>
  <c r="L98" i="2"/>
  <c r="E98" i="2"/>
  <c r="D98" i="2"/>
  <c r="C98" i="2"/>
  <c r="B98" i="2"/>
  <c r="A98" i="2"/>
  <c r="BO91" i="2"/>
  <c r="BM91" i="2"/>
  <c r="BL91" i="2"/>
  <c r="BK91" i="2"/>
  <c r="BJ91" i="2"/>
  <c r="BI91" i="2"/>
  <c r="BH91" i="2"/>
  <c r="BG91" i="2"/>
  <c r="BF91" i="2"/>
  <c r="BE91" i="2"/>
  <c r="BD91" i="2"/>
  <c r="BC91" i="2"/>
  <c r="BB91" i="2"/>
  <c r="BA91" i="2"/>
  <c r="AZ91" i="2"/>
  <c r="AY91" i="2"/>
  <c r="AX91" i="2"/>
  <c r="AW91" i="2"/>
  <c r="AV91" i="2"/>
  <c r="AU91" i="2"/>
  <c r="AT91" i="2"/>
  <c r="AS91" i="2"/>
  <c r="AR91" i="2"/>
  <c r="AQ91" i="2"/>
  <c r="AP91" i="2"/>
  <c r="AO91" i="2"/>
  <c r="AN91" i="2"/>
  <c r="AM91" i="2"/>
  <c r="AL91" i="2"/>
  <c r="AK91" i="2"/>
  <c r="AJ91" i="2"/>
  <c r="AI91" i="2"/>
  <c r="AH91" i="2"/>
  <c r="AG91" i="2"/>
  <c r="AF91" i="2"/>
  <c r="AE91" i="2"/>
  <c r="AD91" i="2"/>
  <c r="AC91" i="2"/>
  <c r="AB91" i="2"/>
  <c r="AA91" i="2"/>
  <c r="Z91" i="2"/>
  <c r="Y91" i="2"/>
  <c r="X91" i="2"/>
  <c r="W91" i="2"/>
  <c r="V91" i="2"/>
  <c r="U91" i="2"/>
  <c r="T91" i="2"/>
  <c r="S91" i="2"/>
  <c r="R91" i="2"/>
  <c r="Q91" i="2"/>
  <c r="P91" i="2"/>
  <c r="O91" i="2"/>
  <c r="N91" i="2"/>
  <c r="M91" i="2"/>
  <c r="L91" i="2"/>
  <c r="E91" i="2"/>
  <c r="D91" i="2"/>
  <c r="C91" i="2"/>
  <c r="B91" i="2"/>
  <c r="A91" i="2"/>
  <c r="BO84" i="2"/>
  <c r="BM84" i="2"/>
  <c r="BL84" i="2"/>
  <c r="BK84" i="2"/>
  <c r="BJ84" i="2"/>
  <c r="BI84" i="2"/>
  <c r="BH84" i="2"/>
  <c r="BG84" i="2"/>
  <c r="BF84" i="2"/>
  <c r="BE84" i="2"/>
  <c r="BD84" i="2"/>
  <c r="BC84" i="2"/>
  <c r="BB84" i="2"/>
  <c r="BA84" i="2"/>
  <c r="AZ84" i="2"/>
  <c r="AY84" i="2"/>
  <c r="AX84" i="2"/>
  <c r="AW84" i="2"/>
  <c r="AV84" i="2"/>
  <c r="AU84" i="2"/>
  <c r="AT84" i="2"/>
  <c r="AS84" i="2"/>
  <c r="AR84" i="2"/>
  <c r="AQ84" i="2"/>
  <c r="AP84" i="2"/>
  <c r="AO84" i="2"/>
  <c r="AN84" i="2"/>
  <c r="AM84" i="2"/>
  <c r="AL84" i="2"/>
  <c r="AK84" i="2"/>
  <c r="AJ84" i="2"/>
  <c r="AI84" i="2"/>
  <c r="AH84" i="2"/>
  <c r="AG84" i="2"/>
  <c r="AF84" i="2"/>
  <c r="AE84" i="2"/>
  <c r="AD84" i="2"/>
  <c r="AC84" i="2"/>
  <c r="AB84" i="2"/>
  <c r="AA84" i="2"/>
  <c r="Z84" i="2"/>
  <c r="Y84" i="2"/>
  <c r="X84" i="2"/>
  <c r="W84" i="2"/>
  <c r="V84" i="2"/>
  <c r="U84" i="2"/>
  <c r="T84" i="2"/>
  <c r="S84" i="2"/>
  <c r="R84" i="2"/>
  <c r="Q84" i="2"/>
  <c r="P84" i="2"/>
  <c r="O84" i="2"/>
  <c r="N84" i="2"/>
  <c r="M84" i="2"/>
  <c r="L84" i="2"/>
  <c r="E84" i="2"/>
  <c r="D84" i="2"/>
  <c r="C84" i="2"/>
  <c r="B84" i="2"/>
  <c r="A84" i="2"/>
  <c r="BO77" i="2"/>
  <c r="BM77" i="2"/>
  <c r="BL77" i="2"/>
  <c r="BK77" i="2"/>
  <c r="BJ77" i="2"/>
  <c r="BI77" i="2"/>
  <c r="BH77" i="2"/>
  <c r="BG77" i="2"/>
  <c r="BF77" i="2"/>
  <c r="BE77" i="2"/>
  <c r="BD77" i="2"/>
  <c r="BC77" i="2"/>
  <c r="BB77" i="2"/>
  <c r="BA77" i="2"/>
  <c r="AZ77" i="2"/>
  <c r="AY77" i="2"/>
  <c r="AX77" i="2"/>
  <c r="AW77" i="2"/>
  <c r="AV77" i="2"/>
  <c r="AU77" i="2"/>
  <c r="AT77" i="2"/>
  <c r="AS77" i="2"/>
  <c r="AR77" i="2"/>
  <c r="AQ77" i="2"/>
  <c r="AP77" i="2"/>
  <c r="AO77" i="2"/>
  <c r="AN77" i="2"/>
  <c r="AM77" i="2"/>
  <c r="AL77" i="2"/>
  <c r="AK77" i="2"/>
  <c r="AJ77" i="2"/>
  <c r="AI77" i="2"/>
  <c r="AH77" i="2"/>
  <c r="AG77" i="2"/>
  <c r="AF77" i="2"/>
  <c r="AE77" i="2"/>
  <c r="AD77" i="2"/>
  <c r="AC77" i="2"/>
  <c r="AB77" i="2"/>
  <c r="AA77" i="2"/>
  <c r="Z77" i="2"/>
  <c r="Y77" i="2"/>
  <c r="X77" i="2"/>
  <c r="W77" i="2"/>
  <c r="V77" i="2"/>
  <c r="U77" i="2"/>
  <c r="T77" i="2"/>
  <c r="S77" i="2"/>
  <c r="R77" i="2"/>
  <c r="Q77" i="2"/>
  <c r="P77" i="2"/>
  <c r="O77" i="2"/>
  <c r="N77" i="2"/>
  <c r="M77" i="2"/>
  <c r="L77" i="2"/>
  <c r="E77" i="2"/>
  <c r="D77" i="2"/>
  <c r="C77" i="2"/>
  <c r="B77" i="2"/>
  <c r="A77" i="2"/>
  <c r="BO70" i="2"/>
  <c r="BM70" i="2"/>
  <c r="BL70" i="2"/>
  <c r="BK70" i="2"/>
  <c r="BJ70" i="2"/>
  <c r="BI70" i="2"/>
  <c r="BH70" i="2"/>
  <c r="BG70" i="2"/>
  <c r="BF70" i="2"/>
  <c r="BE70" i="2"/>
  <c r="BD70" i="2"/>
  <c r="BC70" i="2"/>
  <c r="BB70" i="2"/>
  <c r="BA70" i="2"/>
  <c r="AZ70" i="2"/>
  <c r="AY70" i="2"/>
  <c r="AX70" i="2"/>
  <c r="AW70" i="2"/>
  <c r="AV70" i="2"/>
  <c r="AU70" i="2"/>
  <c r="AT70" i="2"/>
  <c r="AS70" i="2"/>
  <c r="AR70" i="2"/>
  <c r="AQ70" i="2"/>
  <c r="AP70" i="2"/>
  <c r="AO70" i="2"/>
  <c r="AN70" i="2"/>
  <c r="AM70" i="2"/>
  <c r="AL70" i="2"/>
  <c r="AK70" i="2"/>
  <c r="AJ70" i="2"/>
  <c r="AI70" i="2"/>
  <c r="AH70" i="2"/>
  <c r="AG70" i="2"/>
  <c r="AF70" i="2"/>
  <c r="AE70" i="2"/>
  <c r="AD70" i="2"/>
  <c r="AC70" i="2"/>
  <c r="AB70" i="2"/>
  <c r="AA70" i="2"/>
  <c r="Z70" i="2"/>
  <c r="Y70" i="2"/>
  <c r="X70" i="2"/>
  <c r="W70" i="2"/>
  <c r="V70" i="2"/>
  <c r="U70" i="2"/>
  <c r="T70" i="2"/>
  <c r="S70" i="2"/>
  <c r="R70" i="2"/>
  <c r="Q70" i="2"/>
  <c r="P70" i="2"/>
  <c r="O70" i="2"/>
  <c r="N70" i="2"/>
  <c r="M70" i="2"/>
  <c r="L70" i="2"/>
  <c r="E70" i="2"/>
  <c r="D70" i="2"/>
  <c r="C70" i="2"/>
  <c r="B70" i="2"/>
  <c r="A70" i="2"/>
  <c r="BO63" i="2"/>
  <c r="BM63" i="2"/>
  <c r="BL63" i="2"/>
  <c r="BK63" i="2"/>
  <c r="BJ63" i="2"/>
  <c r="BI63" i="2"/>
  <c r="BH63" i="2"/>
  <c r="BG63" i="2"/>
  <c r="BF63" i="2"/>
  <c r="BE63" i="2"/>
  <c r="BD63" i="2"/>
  <c r="BC63" i="2"/>
  <c r="BB63" i="2"/>
  <c r="BA63" i="2"/>
  <c r="AZ63" i="2"/>
  <c r="AY63" i="2"/>
  <c r="AX63" i="2"/>
  <c r="AW63" i="2"/>
  <c r="AV63" i="2"/>
  <c r="AU63" i="2"/>
  <c r="AT63" i="2"/>
  <c r="AS63" i="2"/>
  <c r="AR63" i="2"/>
  <c r="AQ63" i="2"/>
  <c r="AP63" i="2"/>
  <c r="AO63" i="2"/>
  <c r="AN63" i="2"/>
  <c r="AM63" i="2"/>
  <c r="AL63" i="2"/>
  <c r="AK63" i="2"/>
  <c r="AJ63" i="2"/>
  <c r="AI63" i="2"/>
  <c r="AH63" i="2"/>
  <c r="AG63" i="2"/>
  <c r="AF63" i="2"/>
  <c r="AE63" i="2"/>
  <c r="AD63" i="2"/>
  <c r="AC63" i="2"/>
  <c r="AB63" i="2"/>
  <c r="AA63" i="2"/>
  <c r="Z63" i="2"/>
  <c r="Y63" i="2"/>
  <c r="X63" i="2"/>
  <c r="W63" i="2"/>
  <c r="V63" i="2"/>
  <c r="U63" i="2"/>
  <c r="T63" i="2"/>
  <c r="S63" i="2"/>
  <c r="R63" i="2"/>
  <c r="Q63" i="2"/>
  <c r="P63" i="2"/>
  <c r="O63" i="2"/>
  <c r="N63" i="2"/>
  <c r="M63" i="2"/>
  <c r="L63" i="2"/>
  <c r="E63" i="2"/>
  <c r="D63" i="2"/>
  <c r="C63" i="2"/>
  <c r="B63" i="2"/>
  <c r="A63" i="2"/>
  <c r="BO56" i="2"/>
  <c r="BM56" i="2"/>
  <c r="BL56" i="2"/>
  <c r="BK56" i="2"/>
  <c r="BJ56" i="2"/>
  <c r="BI56" i="2"/>
  <c r="BH56" i="2"/>
  <c r="BG56" i="2"/>
  <c r="BF56" i="2"/>
  <c r="BE56" i="2"/>
  <c r="BD56" i="2"/>
  <c r="BC56" i="2"/>
  <c r="BB56" i="2"/>
  <c r="BA56" i="2"/>
  <c r="AZ56" i="2"/>
  <c r="AY56" i="2"/>
  <c r="AX56" i="2"/>
  <c r="AW56" i="2"/>
  <c r="AV56" i="2"/>
  <c r="AU56" i="2"/>
  <c r="AT56" i="2"/>
  <c r="AS56" i="2"/>
  <c r="AR56" i="2"/>
  <c r="AQ56" i="2"/>
  <c r="AP56" i="2"/>
  <c r="AO56" i="2"/>
  <c r="AN56" i="2"/>
  <c r="AM56" i="2"/>
  <c r="AL56" i="2"/>
  <c r="AK56" i="2"/>
  <c r="AJ56" i="2"/>
  <c r="AI56" i="2"/>
  <c r="AH56" i="2"/>
  <c r="AG56" i="2"/>
  <c r="AF56" i="2"/>
  <c r="AE56" i="2"/>
  <c r="AD56" i="2"/>
  <c r="AC56" i="2"/>
  <c r="AB56" i="2"/>
  <c r="AA56" i="2"/>
  <c r="Z56" i="2"/>
  <c r="Y56" i="2"/>
  <c r="X56" i="2"/>
  <c r="W56" i="2"/>
  <c r="V56" i="2"/>
  <c r="U56" i="2"/>
  <c r="T56" i="2"/>
  <c r="S56" i="2"/>
  <c r="R56" i="2"/>
  <c r="Q56" i="2"/>
  <c r="P56" i="2"/>
  <c r="O56" i="2"/>
  <c r="N56" i="2"/>
  <c r="M56" i="2"/>
  <c r="L56" i="2"/>
  <c r="E56" i="2"/>
  <c r="D56" i="2"/>
  <c r="C56" i="2"/>
  <c r="B56" i="2"/>
  <c r="A56" i="2"/>
  <c r="BO49" i="2"/>
  <c r="BM49" i="2"/>
  <c r="BL49" i="2"/>
  <c r="BK49" i="2"/>
  <c r="BJ49" i="2"/>
  <c r="BI49" i="2"/>
  <c r="BH49" i="2"/>
  <c r="BG49" i="2"/>
  <c r="BF49" i="2"/>
  <c r="BE49" i="2"/>
  <c r="BD49" i="2"/>
  <c r="BC49" i="2"/>
  <c r="BB49" i="2"/>
  <c r="BA49" i="2"/>
  <c r="AZ49" i="2"/>
  <c r="AY49" i="2"/>
  <c r="AX49" i="2"/>
  <c r="AW49" i="2"/>
  <c r="AV49" i="2"/>
  <c r="AU49" i="2"/>
  <c r="AT49" i="2"/>
  <c r="AS49" i="2"/>
  <c r="AR49" i="2"/>
  <c r="AQ49" i="2"/>
  <c r="AP49" i="2"/>
  <c r="AO49" i="2"/>
  <c r="AN49" i="2"/>
  <c r="AM49" i="2"/>
  <c r="AL49" i="2"/>
  <c r="AK49" i="2"/>
  <c r="AJ49" i="2"/>
  <c r="AI49" i="2"/>
  <c r="AH49" i="2"/>
  <c r="AG49" i="2"/>
  <c r="AF49" i="2"/>
  <c r="AE49" i="2"/>
  <c r="AD49" i="2"/>
  <c r="AC49" i="2"/>
  <c r="AB49" i="2"/>
  <c r="AA49" i="2"/>
  <c r="Z49" i="2"/>
  <c r="Y49" i="2"/>
  <c r="X49" i="2"/>
  <c r="W49" i="2"/>
  <c r="V49" i="2"/>
  <c r="U49" i="2"/>
  <c r="T49" i="2"/>
  <c r="S49" i="2"/>
  <c r="R49" i="2"/>
  <c r="Q49" i="2"/>
  <c r="P49" i="2"/>
  <c r="O49" i="2"/>
  <c r="N49" i="2"/>
  <c r="M49" i="2"/>
  <c r="L49" i="2"/>
  <c r="E49" i="2"/>
  <c r="D49" i="2"/>
  <c r="C49" i="2"/>
  <c r="B49" i="2"/>
  <c r="A49" i="2"/>
  <c r="BO42" i="2"/>
  <c r="BM42" i="2"/>
  <c r="BL42" i="2"/>
  <c r="BK42" i="2"/>
  <c r="BJ42" i="2"/>
  <c r="BI42" i="2"/>
  <c r="BH42" i="2"/>
  <c r="BG42" i="2"/>
  <c r="BF42" i="2"/>
  <c r="BE42" i="2"/>
  <c r="BD42" i="2"/>
  <c r="BC42" i="2"/>
  <c r="BB42" i="2"/>
  <c r="BA42" i="2"/>
  <c r="AZ42" i="2"/>
  <c r="AY42" i="2"/>
  <c r="AX42" i="2"/>
  <c r="AW42" i="2"/>
  <c r="AV42" i="2"/>
  <c r="AU42" i="2"/>
  <c r="AT42" i="2"/>
  <c r="AS42" i="2"/>
  <c r="AR42" i="2"/>
  <c r="AQ42" i="2"/>
  <c r="AP42" i="2"/>
  <c r="AO42" i="2"/>
  <c r="AN42" i="2"/>
  <c r="AM42" i="2"/>
  <c r="AL42" i="2"/>
  <c r="AK42" i="2"/>
  <c r="AJ42" i="2"/>
  <c r="AI42" i="2"/>
  <c r="AH42" i="2"/>
  <c r="AG42" i="2"/>
  <c r="AF42" i="2"/>
  <c r="AE42" i="2"/>
  <c r="AD42" i="2"/>
  <c r="AC42" i="2"/>
  <c r="AB42" i="2"/>
  <c r="AA42" i="2"/>
  <c r="Z42" i="2"/>
  <c r="Y42" i="2"/>
  <c r="X42" i="2"/>
  <c r="W42" i="2"/>
  <c r="V42" i="2"/>
  <c r="U42" i="2"/>
  <c r="T42" i="2"/>
  <c r="S42" i="2"/>
  <c r="R42" i="2"/>
  <c r="Q42" i="2"/>
  <c r="P42" i="2"/>
  <c r="O42" i="2"/>
  <c r="N42" i="2"/>
  <c r="M42" i="2"/>
  <c r="L42" i="2"/>
  <c r="E42" i="2"/>
  <c r="D42" i="2"/>
  <c r="C42" i="2"/>
  <c r="B42" i="2"/>
  <c r="A42" i="2"/>
  <c r="BO35" i="2"/>
  <c r="BM35" i="2"/>
  <c r="BL35" i="2"/>
  <c r="BK35" i="2"/>
  <c r="BJ35" i="2"/>
  <c r="BI35" i="2"/>
  <c r="BH35" i="2"/>
  <c r="BG35" i="2"/>
  <c r="BF35" i="2"/>
  <c r="BE35" i="2"/>
  <c r="BD35" i="2"/>
  <c r="BC35" i="2"/>
  <c r="BB35" i="2"/>
  <c r="BA35" i="2"/>
  <c r="AZ35" i="2"/>
  <c r="AY35" i="2"/>
  <c r="AX35" i="2"/>
  <c r="AW35" i="2"/>
  <c r="AV35" i="2"/>
  <c r="AU35" i="2"/>
  <c r="AT35" i="2"/>
  <c r="AS35" i="2"/>
  <c r="AR35" i="2"/>
  <c r="AQ35" i="2"/>
  <c r="AP35" i="2"/>
  <c r="AO35" i="2"/>
  <c r="AN35" i="2"/>
  <c r="AM35" i="2"/>
  <c r="AL35" i="2"/>
  <c r="AK35" i="2"/>
  <c r="AJ35" i="2"/>
  <c r="AI35" i="2"/>
  <c r="AH35" i="2"/>
  <c r="AG35" i="2"/>
  <c r="AF35" i="2"/>
  <c r="AE35" i="2"/>
  <c r="AD35" i="2"/>
  <c r="AC35" i="2"/>
  <c r="AB35" i="2"/>
  <c r="AA35" i="2"/>
  <c r="Z35" i="2"/>
  <c r="Y35" i="2"/>
  <c r="X35" i="2"/>
  <c r="W35" i="2"/>
  <c r="V35" i="2"/>
  <c r="U35" i="2"/>
  <c r="T35" i="2"/>
  <c r="S35" i="2"/>
  <c r="R35" i="2"/>
  <c r="Q35" i="2"/>
  <c r="P35" i="2"/>
  <c r="O35" i="2"/>
  <c r="N35" i="2"/>
  <c r="M35" i="2"/>
  <c r="L35" i="2"/>
  <c r="E35" i="2"/>
  <c r="D35" i="2"/>
  <c r="C35" i="2"/>
  <c r="B35" i="2"/>
  <c r="A35" i="2"/>
  <c r="BO28" i="2"/>
  <c r="BM28" i="2"/>
  <c r="BL28" i="2"/>
  <c r="BK28" i="2"/>
  <c r="BJ28" i="2"/>
  <c r="BI28" i="2"/>
  <c r="BH28" i="2"/>
  <c r="BG28" i="2"/>
  <c r="BF28" i="2"/>
  <c r="BE28" i="2"/>
  <c r="BD28" i="2"/>
  <c r="BC28" i="2"/>
  <c r="BB28" i="2"/>
  <c r="BA28" i="2"/>
  <c r="AZ28" i="2"/>
  <c r="AY28" i="2"/>
  <c r="AX28" i="2"/>
  <c r="AW28" i="2"/>
  <c r="AV28" i="2"/>
  <c r="AU28" i="2"/>
  <c r="AT28" i="2"/>
  <c r="AS28" i="2"/>
  <c r="AR28" i="2"/>
  <c r="AQ28" i="2"/>
  <c r="AP28" i="2"/>
  <c r="AO28" i="2"/>
  <c r="AN28" i="2"/>
  <c r="AM28" i="2"/>
  <c r="AL28" i="2"/>
  <c r="AK28" i="2"/>
  <c r="AJ28" i="2"/>
  <c r="AI28" i="2"/>
  <c r="AH28" i="2"/>
  <c r="AG28" i="2"/>
  <c r="AF28" i="2"/>
  <c r="AE28" i="2"/>
  <c r="AD28" i="2"/>
  <c r="AC28" i="2"/>
  <c r="AB28" i="2"/>
  <c r="AA28" i="2"/>
  <c r="Z28" i="2"/>
  <c r="Y28" i="2"/>
  <c r="X28" i="2"/>
  <c r="W28" i="2"/>
  <c r="V28" i="2"/>
  <c r="U28" i="2"/>
  <c r="T28" i="2"/>
  <c r="S28" i="2"/>
  <c r="R28" i="2"/>
  <c r="Q28" i="2"/>
  <c r="P28" i="2"/>
  <c r="O28" i="2"/>
  <c r="N28" i="2"/>
  <c r="M28" i="2"/>
  <c r="L28" i="2"/>
  <c r="E28" i="2"/>
  <c r="D28" i="2"/>
  <c r="C28" i="2"/>
  <c r="B28" i="2"/>
  <c r="A28" i="2"/>
  <c r="BO21" i="2"/>
  <c r="BM21" i="2"/>
  <c r="BL21" i="2"/>
  <c r="BK21" i="2"/>
  <c r="BJ21" i="2"/>
  <c r="BI21" i="2"/>
  <c r="BH21" i="2"/>
  <c r="BG21" i="2"/>
  <c r="BF21" i="2"/>
  <c r="BE21" i="2"/>
  <c r="BD21" i="2"/>
  <c r="BC21" i="2"/>
  <c r="BB21" i="2"/>
  <c r="BA21" i="2"/>
  <c r="AZ21" i="2"/>
  <c r="AY21" i="2"/>
  <c r="AX21" i="2"/>
  <c r="AW21" i="2"/>
  <c r="AV21" i="2"/>
  <c r="AU21" i="2"/>
  <c r="AT21" i="2"/>
  <c r="AS21" i="2"/>
  <c r="AR21" i="2"/>
  <c r="AQ21" i="2"/>
  <c r="AP21" i="2"/>
  <c r="AO21" i="2"/>
  <c r="AN21" i="2"/>
  <c r="AM21" i="2"/>
  <c r="AL21" i="2"/>
  <c r="AK21" i="2"/>
  <c r="AJ21" i="2"/>
  <c r="AI21" i="2"/>
  <c r="AH21" i="2"/>
  <c r="AG21" i="2"/>
  <c r="AF21" i="2"/>
  <c r="AE21" i="2"/>
  <c r="AD21" i="2"/>
  <c r="AC21" i="2"/>
  <c r="AB21" i="2"/>
  <c r="AA21" i="2"/>
  <c r="Z21" i="2"/>
  <c r="Y21" i="2"/>
  <c r="X21" i="2"/>
  <c r="W21" i="2"/>
  <c r="V21" i="2"/>
  <c r="U21" i="2"/>
  <c r="T21" i="2"/>
  <c r="S21" i="2"/>
  <c r="R21" i="2"/>
  <c r="Q21" i="2"/>
  <c r="P21" i="2"/>
  <c r="O21" i="2"/>
  <c r="N21" i="2"/>
  <c r="M21" i="2"/>
  <c r="L21" i="2"/>
  <c r="E21" i="2"/>
  <c r="D21" i="2"/>
  <c r="C21" i="2"/>
  <c r="B21" i="2"/>
  <c r="A21" i="2"/>
  <c r="BO14" i="2"/>
  <c r="BM14" i="2"/>
  <c r="BL14" i="2"/>
  <c r="BK14" i="2"/>
  <c r="BJ14" i="2"/>
  <c r="BI14" i="2"/>
  <c r="BH14" i="2"/>
  <c r="BG14" i="2"/>
  <c r="BF14" i="2"/>
  <c r="BE14" i="2"/>
  <c r="BD14" i="2"/>
  <c r="BC14" i="2"/>
  <c r="BB14" i="2"/>
  <c r="BA14" i="2"/>
  <c r="AZ14" i="2"/>
  <c r="AY14" i="2"/>
  <c r="AX14" i="2"/>
  <c r="AW14" i="2"/>
  <c r="AV14" i="2"/>
  <c r="AU14" i="2"/>
  <c r="AT14" i="2"/>
  <c r="AS14" i="2"/>
  <c r="AR14" i="2"/>
  <c r="AQ14" i="2"/>
  <c r="AP14" i="2"/>
  <c r="AO14" i="2"/>
  <c r="AN14" i="2"/>
  <c r="AM14" i="2"/>
  <c r="AL14" i="2"/>
  <c r="AK14" i="2"/>
  <c r="AJ14" i="2"/>
  <c r="AI14" i="2"/>
  <c r="AH14" i="2"/>
  <c r="AG14" i="2"/>
  <c r="AF14" i="2"/>
  <c r="AE14" i="2"/>
  <c r="AD14" i="2"/>
  <c r="AC14" i="2"/>
  <c r="AB14" i="2"/>
  <c r="AA14" i="2"/>
  <c r="Z14" i="2"/>
  <c r="Y14" i="2"/>
  <c r="X14" i="2"/>
  <c r="W14" i="2"/>
  <c r="V14" i="2"/>
  <c r="U14" i="2"/>
  <c r="T14" i="2"/>
  <c r="S14" i="2"/>
  <c r="R14" i="2"/>
  <c r="Q14" i="2"/>
  <c r="P14" i="2"/>
  <c r="O14" i="2"/>
  <c r="N14" i="2"/>
  <c r="M14" i="2"/>
  <c r="L14" i="2"/>
  <c r="E14" i="2"/>
  <c r="D14" i="2"/>
  <c r="C14" i="2"/>
  <c r="B14" i="2"/>
  <c r="A14" i="2"/>
  <c r="BO7" i="2"/>
  <c r="BM7" i="2"/>
  <c r="BL7" i="2"/>
  <c r="BK7" i="2"/>
  <c r="BJ7" i="2"/>
  <c r="BI7" i="2"/>
  <c r="BH7" i="2"/>
  <c r="BG7" i="2"/>
  <c r="BF7" i="2"/>
  <c r="BE7" i="2"/>
  <c r="BD7" i="2"/>
  <c r="BC7" i="2"/>
  <c r="BB7" i="2"/>
  <c r="BA7" i="2"/>
  <c r="AZ7" i="2"/>
  <c r="AY7" i="2"/>
  <c r="AX7" i="2"/>
  <c r="AW7" i="2"/>
  <c r="AV7" i="2"/>
  <c r="AU7" i="2"/>
  <c r="AT7" i="2"/>
  <c r="AS7" i="2"/>
  <c r="AR7" i="2"/>
  <c r="AQ7" i="2"/>
  <c r="AP7" i="2"/>
  <c r="AO7" i="2"/>
  <c r="AN7" i="2"/>
  <c r="AM7" i="2"/>
  <c r="AL7" i="2"/>
  <c r="AK7" i="2"/>
  <c r="AJ7" i="2"/>
  <c r="AI7" i="2"/>
  <c r="AH7" i="2"/>
  <c r="AG7" i="2"/>
  <c r="AF7" i="2"/>
  <c r="AE7" i="2"/>
  <c r="AD7" i="2"/>
  <c r="AC7" i="2"/>
  <c r="AB7" i="2"/>
  <c r="AA7" i="2"/>
  <c r="Z7" i="2"/>
  <c r="Y7" i="2"/>
  <c r="X7" i="2"/>
  <c r="W7" i="2"/>
  <c r="V7" i="2"/>
  <c r="U7" i="2"/>
  <c r="T7" i="2"/>
  <c r="S7" i="2"/>
  <c r="R7" i="2"/>
  <c r="Q7" i="2"/>
  <c r="P7" i="2"/>
  <c r="O7" i="2"/>
  <c r="N7" i="2"/>
  <c r="M7" i="2"/>
  <c r="L7" i="2"/>
  <c r="E7" i="2"/>
  <c r="D7" i="2"/>
  <c r="C7" i="2"/>
  <c r="B7" i="2"/>
  <c r="G6" i="4"/>
  <c r="G8" i="4"/>
  <c r="K9" i="4"/>
  <c r="K11" i="4"/>
  <c r="K13" i="4"/>
  <c r="K15" i="4"/>
  <c r="R16" i="4"/>
  <c r="M434" i="9" s="1"/>
  <c r="I17" i="4"/>
  <c r="R18" i="4"/>
  <c r="M436" i="9" s="1"/>
  <c r="I19" i="4"/>
  <c r="R20" i="4"/>
  <c r="F648" i="9" s="1"/>
  <c r="I21" i="4"/>
  <c r="R22" i="4"/>
  <c r="I23" i="4"/>
  <c r="H25" i="4"/>
  <c r="H27" i="4"/>
  <c r="H29" i="4"/>
  <c r="H31" i="4"/>
  <c r="G33" i="4"/>
  <c r="G35" i="4"/>
  <c r="G37" i="4"/>
  <c r="G39" i="4"/>
  <c r="P6" i="1"/>
  <c r="Q7" i="1"/>
  <c r="G10" i="1"/>
  <c r="H11" i="1"/>
  <c r="J12" i="1"/>
  <c r="P14" i="1"/>
  <c r="Q15" i="1"/>
  <c r="M13" i="8" s="1"/>
  <c r="G18" i="1"/>
  <c r="H19" i="1"/>
  <c r="J20" i="1"/>
  <c r="P22" i="1"/>
  <c r="Q23" i="1"/>
  <c r="H231" i="8" s="1"/>
  <c r="G26" i="1"/>
  <c r="H27" i="1"/>
  <c r="J28" i="1"/>
  <c r="P30" i="1"/>
  <c r="Q31" i="1"/>
  <c r="G34" i="1"/>
  <c r="H35" i="1"/>
  <c r="J36" i="1"/>
  <c r="P38" i="1"/>
  <c r="H6" i="4"/>
  <c r="H8" i="4"/>
  <c r="G10" i="4"/>
  <c r="G12" i="4"/>
  <c r="G14" i="4"/>
  <c r="G16" i="4"/>
  <c r="K17" i="4"/>
  <c r="K19" i="4"/>
  <c r="K21" i="4"/>
  <c r="K23" i="4"/>
  <c r="R24" i="4"/>
  <c r="I25" i="4"/>
  <c r="R26" i="4"/>
  <c r="H234" i="9" s="1"/>
  <c r="I27" i="4"/>
  <c r="R28" i="4"/>
  <c r="I29" i="4"/>
  <c r="R30" i="4"/>
  <c r="H343" i="9" s="1"/>
  <c r="I31" i="4"/>
  <c r="H33" i="4"/>
  <c r="H35" i="4"/>
  <c r="H37" i="4"/>
  <c r="H39" i="4"/>
  <c r="Q6" i="1"/>
  <c r="O6" i="1" s="1"/>
  <c r="G9" i="1"/>
  <c r="H10" i="1"/>
  <c r="J11" i="1"/>
  <c r="P13" i="1"/>
  <c r="Q14" i="1"/>
  <c r="G17" i="1"/>
  <c r="H18" i="1"/>
  <c r="J19" i="1"/>
  <c r="P21" i="1"/>
  <c r="Q22" i="1"/>
  <c r="G25" i="1"/>
  <c r="H26" i="1"/>
  <c r="J27" i="1"/>
  <c r="P29" i="1"/>
  <c r="Q30" i="1"/>
  <c r="D238" i="8" s="1"/>
  <c r="G33" i="1"/>
  <c r="H34" i="1"/>
  <c r="J35" i="1"/>
  <c r="P37" i="1"/>
  <c r="Q38" i="1"/>
  <c r="I6" i="4"/>
  <c r="R7" i="4"/>
  <c r="I8" i="4"/>
  <c r="H10" i="4"/>
  <c r="H12" i="4"/>
  <c r="H14" i="4"/>
  <c r="H16" i="4"/>
  <c r="G18" i="4"/>
  <c r="G20" i="4"/>
  <c r="G22" i="4"/>
  <c r="G24" i="4"/>
  <c r="K25" i="4"/>
  <c r="K27" i="4"/>
  <c r="K29" i="4"/>
  <c r="K31" i="4"/>
  <c r="R32" i="4"/>
  <c r="H345" i="9" s="1"/>
  <c r="I33" i="4"/>
  <c r="R34" i="4"/>
  <c r="H32" i="9" s="1"/>
  <c r="I35" i="4"/>
  <c r="R36" i="4"/>
  <c r="I37" i="4"/>
  <c r="R38" i="4"/>
  <c r="D666" i="9" s="1"/>
  <c r="I39" i="4"/>
  <c r="G8" i="1"/>
  <c r="H9" i="1"/>
  <c r="J10" i="1"/>
  <c r="P12" i="1"/>
  <c r="Q13" i="1"/>
  <c r="G16" i="1"/>
  <c r="H17" i="1"/>
  <c r="J18" i="1"/>
  <c r="P20" i="1"/>
  <c r="Q21" i="1"/>
  <c r="G24" i="1"/>
  <c r="H25" i="1"/>
  <c r="J26" i="1"/>
  <c r="P28" i="1"/>
  <c r="Q29" i="1"/>
  <c r="O29" i="1" s="1"/>
  <c r="G32" i="1"/>
  <c r="H33" i="1"/>
  <c r="J34" i="1"/>
  <c r="P36" i="1"/>
  <c r="Q37" i="1"/>
  <c r="K6" i="4"/>
  <c r="G7" i="4"/>
  <c r="K10" i="4"/>
  <c r="K12" i="4"/>
  <c r="K14" i="4"/>
  <c r="K16" i="4"/>
  <c r="R17" i="4"/>
  <c r="M120" i="9" s="1"/>
  <c r="I18" i="4"/>
  <c r="R19" i="4"/>
  <c r="M122" i="9" s="1"/>
  <c r="I20" i="4"/>
  <c r="R21" i="4"/>
  <c r="D649" i="9" s="1"/>
  <c r="I22" i="4"/>
  <c r="R23" i="4"/>
  <c r="I24" i="4"/>
  <c r="H26" i="4"/>
  <c r="H28" i="4"/>
  <c r="H30" i="4"/>
  <c r="H32" i="4"/>
  <c r="G34" i="4"/>
  <c r="G36" i="4"/>
  <c r="G38" i="4"/>
  <c r="G6" i="1"/>
  <c r="H7" i="1"/>
  <c r="J8" i="1"/>
  <c r="P10" i="1"/>
  <c r="Q11" i="1"/>
  <c r="G14" i="1"/>
  <c r="H15" i="1"/>
  <c r="J16" i="1"/>
  <c r="P18" i="1"/>
  <c r="Q19" i="1"/>
  <c r="G22" i="1"/>
  <c r="H23" i="1"/>
  <c r="J24" i="1"/>
  <c r="P26" i="1"/>
  <c r="Q27" i="1"/>
  <c r="G30" i="1"/>
  <c r="H31" i="1"/>
  <c r="J32" i="1"/>
  <c r="P34" i="1"/>
  <c r="Q35" i="1"/>
  <c r="O35" i="1" s="1"/>
  <c r="G38" i="1"/>
  <c r="H7" i="4"/>
  <c r="G9" i="4"/>
  <c r="G11" i="4"/>
  <c r="G13" i="4"/>
  <c r="G15" i="4"/>
  <c r="K18" i="4"/>
  <c r="K20" i="4"/>
  <c r="K22" i="4"/>
  <c r="K24" i="4"/>
  <c r="R25" i="4"/>
  <c r="I26" i="4"/>
  <c r="R27" i="4"/>
  <c r="I28" i="4"/>
  <c r="R29" i="4"/>
  <c r="I30" i="4"/>
  <c r="R31" i="4"/>
  <c r="I32" i="4"/>
  <c r="H34" i="4"/>
  <c r="H36" i="4"/>
  <c r="H38" i="4"/>
  <c r="H6" i="1"/>
  <c r="J7" i="1"/>
  <c r="P9" i="1"/>
  <c r="O9" i="1" s="1"/>
  <c r="Q10" i="1"/>
  <c r="G13" i="1"/>
  <c r="H14" i="1"/>
  <c r="J15" i="1"/>
  <c r="P17" i="1"/>
  <c r="Q18" i="1"/>
  <c r="M121" i="8" s="1"/>
  <c r="G21" i="1"/>
  <c r="H22" i="1"/>
  <c r="J23" i="1"/>
  <c r="P25" i="1"/>
  <c r="Q26" i="1"/>
  <c r="G29" i="1"/>
  <c r="H30" i="1"/>
  <c r="J31" i="1"/>
  <c r="P33" i="1"/>
  <c r="Q34" i="1"/>
  <c r="G37" i="1"/>
  <c r="H38" i="1"/>
  <c r="R6" i="4"/>
  <c r="I7" i="4"/>
  <c r="H9" i="4"/>
  <c r="H11" i="4"/>
  <c r="H13" i="4"/>
  <c r="H15" i="4"/>
  <c r="G17" i="4"/>
  <c r="G19" i="4"/>
  <c r="G21" i="4"/>
  <c r="G23" i="4"/>
  <c r="K26" i="4"/>
  <c r="K28" i="4"/>
  <c r="K30" i="4"/>
  <c r="K32" i="4"/>
  <c r="R33" i="4"/>
  <c r="I34" i="4"/>
  <c r="R35" i="4"/>
  <c r="I36" i="4"/>
  <c r="R37" i="4"/>
  <c r="I38" i="4"/>
  <c r="R39" i="4"/>
  <c r="H352" i="9" s="1"/>
  <c r="J6" i="1"/>
  <c r="P8" i="1"/>
  <c r="Q9" i="1"/>
  <c r="G12" i="1"/>
  <c r="H13" i="1"/>
  <c r="J14" i="1"/>
  <c r="P16" i="1"/>
  <c r="Q17" i="1"/>
  <c r="E540" i="8" s="1"/>
  <c r="G20" i="1"/>
  <c r="H21" i="1"/>
  <c r="J22" i="1"/>
  <c r="P24" i="1"/>
  <c r="Q25" i="1"/>
  <c r="G28" i="1"/>
  <c r="H29" i="1"/>
  <c r="J30" i="1"/>
  <c r="P32" i="1"/>
  <c r="Q33" i="1"/>
  <c r="G36" i="1"/>
  <c r="H37" i="1"/>
  <c r="J38" i="1"/>
  <c r="I12" i="4"/>
  <c r="R14" i="4"/>
  <c r="M117" i="9" s="1"/>
  <c r="H20" i="4"/>
  <c r="K37" i="4"/>
  <c r="P7" i="1"/>
  <c r="O7" i="1" s="1"/>
  <c r="G11" i="1"/>
  <c r="J17" i="1"/>
  <c r="P23" i="1"/>
  <c r="G27" i="1"/>
  <c r="J33" i="1"/>
  <c r="J13" i="1"/>
  <c r="I11" i="4"/>
  <c r="R13" i="4"/>
  <c r="H19" i="4"/>
  <c r="G26" i="4"/>
  <c r="G30" i="4"/>
  <c r="K36" i="4"/>
  <c r="H8" i="1"/>
  <c r="Q20" i="1"/>
  <c r="H24" i="1"/>
  <c r="Q36" i="1"/>
  <c r="H22" i="4"/>
  <c r="G7" i="1"/>
  <c r="G23" i="1"/>
  <c r="P35" i="1"/>
  <c r="I10" i="4"/>
  <c r="R12" i="4"/>
  <c r="H18" i="4"/>
  <c r="K35" i="4"/>
  <c r="P11" i="1"/>
  <c r="G15" i="1"/>
  <c r="J21" i="1"/>
  <c r="P27" i="1"/>
  <c r="G31" i="1"/>
  <c r="J37" i="1"/>
  <c r="P19" i="1"/>
  <c r="I9" i="4"/>
  <c r="R11" i="4"/>
  <c r="D219" i="9" s="1"/>
  <c r="H17" i="4"/>
  <c r="G25" i="4"/>
  <c r="G29" i="4"/>
  <c r="K34" i="4"/>
  <c r="Q8" i="1"/>
  <c r="H12" i="1"/>
  <c r="Q24" i="1"/>
  <c r="E547" i="8" s="1"/>
  <c r="H28" i="1"/>
  <c r="K7" i="4"/>
  <c r="J29" i="1"/>
  <c r="K8" i="4"/>
  <c r="R10" i="4"/>
  <c r="P10" i="4" s="1"/>
  <c r="I16" i="4"/>
  <c r="H24" i="4"/>
  <c r="K33" i="4"/>
  <c r="J9" i="1"/>
  <c r="P15" i="1"/>
  <c r="G19" i="1"/>
  <c r="J25" i="1"/>
  <c r="P31" i="1"/>
  <c r="O31" i="1" s="1"/>
  <c r="G35" i="1"/>
  <c r="R8" i="4"/>
  <c r="R9" i="4"/>
  <c r="P9" i="4" s="1"/>
  <c r="I15" i="4"/>
  <c r="H23" i="4"/>
  <c r="G28" i="4"/>
  <c r="G32" i="4"/>
  <c r="Q12" i="1"/>
  <c r="H16" i="1"/>
  <c r="Q28" i="1"/>
  <c r="H32" i="1"/>
  <c r="K39" i="4"/>
  <c r="I13" i="4"/>
  <c r="R15" i="4"/>
  <c r="M118" i="9" s="1"/>
  <c r="H21" i="4"/>
  <c r="G27" i="4"/>
  <c r="G31" i="4"/>
  <c r="K38" i="4"/>
  <c r="Q16" i="1"/>
  <c r="H20" i="1"/>
  <c r="Q32" i="1"/>
  <c r="H36" i="1"/>
  <c r="I14" i="4"/>
  <c r="R1470" i="2"/>
  <c r="N995" i="2"/>
  <c r="Q1106" i="2"/>
  <c r="Q1121" i="2"/>
  <c r="Q971" i="2"/>
  <c r="Y1106" i="2"/>
  <c r="Y1121" i="2"/>
  <c r="Y971" i="2"/>
  <c r="R1106" i="2"/>
  <c r="R1121" i="2"/>
  <c r="R971" i="2"/>
  <c r="T1106" i="2"/>
  <c r="T1121" i="2"/>
  <c r="T971" i="2"/>
  <c r="S1106" i="2"/>
  <c r="S1121" i="2"/>
  <c r="S971" i="2"/>
  <c r="U1106" i="2"/>
  <c r="U1121" i="2"/>
  <c r="U971" i="2"/>
  <c r="N1025" i="2"/>
  <c r="Z1106" i="2"/>
  <c r="Z1121" i="2"/>
  <c r="Z971" i="2"/>
  <c r="V1106" i="2"/>
  <c r="V1121" i="2"/>
  <c r="V971" i="2"/>
  <c r="N1106" i="2"/>
  <c r="N1121" i="2"/>
  <c r="N1115" i="2"/>
  <c r="N971" i="2"/>
  <c r="N965" i="2"/>
  <c r="W1106" i="2"/>
  <c r="W1121" i="2"/>
  <c r="W971" i="2"/>
  <c r="P1106" i="2"/>
  <c r="P1121" i="2"/>
  <c r="P971" i="2"/>
  <c r="X1106" i="2"/>
  <c r="X1121" i="2"/>
  <c r="X971" i="2"/>
  <c r="A7" i="2"/>
  <c r="K97" i="4"/>
  <c r="K89" i="4"/>
  <c r="K81" i="4"/>
  <c r="K73" i="4"/>
  <c r="K65" i="4"/>
  <c r="K57" i="4"/>
  <c r="K49" i="4"/>
  <c r="K41" i="4"/>
  <c r="G42" i="1"/>
  <c r="H43" i="1"/>
  <c r="J44" i="1"/>
  <c r="P46" i="1"/>
  <c r="Q47" i="1"/>
  <c r="G50" i="1"/>
  <c r="H51" i="1"/>
  <c r="J52" i="1"/>
  <c r="P54" i="1"/>
  <c r="Q55" i="1"/>
  <c r="O55" i="1" s="1"/>
  <c r="G58" i="1"/>
  <c r="H59" i="1"/>
  <c r="J60" i="1"/>
  <c r="P62" i="1"/>
  <c r="Q63" i="1"/>
  <c r="O63" i="1" s="1"/>
  <c r="G66" i="1"/>
  <c r="H67" i="1"/>
  <c r="J68" i="1"/>
  <c r="P70" i="1"/>
  <c r="Q71" i="1"/>
  <c r="G74" i="1"/>
  <c r="H75" i="1"/>
  <c r="J76" i="1"/>
  <c r="P78" i="1"/>
  <c r="Q79" i="1"/>
  <c r="G82" i="1"/>
  <c r="H83" i="1"/>
  <c r="J84" i="1"/>
  <c r="P86" i="1"/>
  <c r="Q87" i="1"/>
  <c r="G90" i="1"/>
  <c r="H91" i="1"/>
  <c r="J92" i="1"/>
  <c r="P94" i="1"/>
  <c r="Q95" i="1"/>
  <c r="O95" i="1" s="1"/>
  <c r="G98" i="1"/>
  <c r="H99" i="1"/>
  <c r="J100" i="1"/>
  <c r="P102" i="1"/>
  <c r="Q103" i="1"/>
  <c r="K91" i="4"/>
  <c r="K59" i="4"/>
  <c r="P40" i="1"/>
  <c r="J46" i="1"/>
  <c r="Q49" i="1"/>
  <c r="P56" i="1"/>
  <c r="Q65" i="1"/>
  <c r="K104" i="4"/>
  <c r="K96" i="4"/>
  <c r="K88" i="4"/>
  <c r="K80" i="4"/>
  <c r="K72" i="4"/>
  <c r="K64" i="4"/>
  <c r="K56" i="4"/>
  <c r="K48" i="4"/>
  <c r="K40" i="4"/>
  <c r="G41" i="1"/>
  <c r="H42" i="1"/>
  <c r="J43" i="1"/>
  <c r="P45" i="1"/>
  <c r="Q46" i="1"/>
  <c r="G49" i="1"/>
  <c r="H50" i="1"/>
  <c r="J51" i="1"/>
  <c r="P53" i="1"/>
  <c r="Q54" i="1"/>
  <c r="O54" i="1" s="1"/>
  <c r="G57" i="1"/>
  <c r="H58" i="1"/>
  <c r="J59" i="1"/>
  <c r="P61" i="1"/>
  <c r="Q62" i="1"/>
  <c r="G65" i="1"/>
  <c r="H66" i="1"/>
  <c r="J67" i="1"/>
  <c r="P69" i="1"/>
  <c r="O69" i="1" s="1"/>
  <c r="Q70" i="1"/>
  <c r="G73" i="1"/>
  <c r="H74" i="1"/>
  <c r="J75" i="1"/>
  <c r="P77" i="1"/>
  <c r="Q78" i="1"/>
  <c r="J601" i="8" s="1" a="1"/>
  <c r="G81" i="1"/>
  <c r="H82" i="1"/>
  <c r="J83" i="1"/>
  <c r="P85" i="1"/>
  <c r="Q86" i="1"/>
  <c r="G89" i="1"/>
  <c r="H90" i="1"/>
  <c r="J91" i="1"/>
  <c r="P93" i="1"/>
  <c r="O93" i="1" s="1"/>
  <c r="Q94" i="1"/>
  <c r="G97" i="1"/>
  <c r="H98" i="1"/>
  <c r="J99" i="1"/>
  <c r="P101" i="1"/>
  <c r="Q102" i="1"/>
  <c r="G105" i="1"/>
  <c r="K100" i="4"/>
  <c r="K76" i="4"/>
  <c r="K60" i="4"/>
  <c r="H46" i="1"/>
  <c r="Q58" i="1"/>
  <c r="H62" i="1"/>
  <c r="Q66" i="1"/>
  <c r="H70" i="1"/>
  <c r="Q74" i="1"/>
  <c r="H78" i="1"/>
  <c r="P81" i="1"/>
  <c r="H86" i="1"/>
  <c r="Q90" i="1"/>
  <c r="H94" i="1"/>
  <c r="Q98" i="1"/>
  <c r="H102" i="1"/>
  <c r="P105" i="1"/>
  <c r="O105" i="1" s="1"/>
  <c r="K99" i="4"/>
  <c r="K67" i="4"/>
  <c r="K43" i="4"/>
  <c r="H45" i="1"/>
  <c r="H61" i="1"/>
  <c r="K103" i="4"/>
  <c r="K95" i="4"/>
  <c r="K87" i="4"/>
  <c r="K79" i="4"/>
  <c r="K71" i="4"/>
  <c r="K63" i="4"/>
  <c r="K55" i="4"/>
  <c r="K47" i="4"/>
  <c r="G40" i="1"/>
  <c r="H41" i="1"/>
  <c r="J42" i="1"/>
  <c r="P44" i="1"/>
  <c r="O44" i="1" s="1"/>
  <c r="Q45" i="1"/>
  <c r="G48" i="1"/>
  <c r="H49" i="1"/>
  <c r="J50" i="1"/>
  <c r="P52" i="1"/>
  <c r="Q53" i="1"/>
  <c r="O53" i="1" s="1"/>
  <c r="G56" i="1"/>
  <c r="H57" i="1"/>
  <c r="J58" i="1"/>
  <c r="P60" i="1"/>
  <c r="Q61" i="1"/>
  <c r="O61" i="1"/>
  <c r="G64" i="1"/>
  <c r="H65" i="1"/>
  <c r="J66" i="1"/>
  <c r="P68" i="1"/>
  <c r="O68" i="1" s="1"/>
  <c r="Q69" i="1"/>
  <c r="G72" i="1"/>
  <c r="H73" i="1"/>
  <c r="J74" i="1"/>
  <c r="P76" i="1"/>
  <c r="O76" i="1" s="1"/>
  <c r="Q77" i="1"/>
  <c r="G80" i="1"/>
  <c r="H81" i="1"/>
  <c r="J82" i="1"/>
  <c r="P84" i="1"/>
  <c r="Q85" i="1"/>
  <c r="G88" i="1"/>
  <c r="H89" i="1"/>
  <c r="J90" i="1"/>
  <c r="P92" i="1"/>
  <c r="O92" i="1" s="1"/>
  <c r="Q93" i="1"/>
  <c r="G96" i="1"/>
  <c r="H97" i="1"/>
  <c r="J98" i="1"/>
  <c r="P100" i="1"/>
  <c r="Q101" i="1"/>
  <c r="G104" i="1"/>
  <c r="H105" i="1"/>
  <c r="K84" i="4"/>
  <c r="K52" i="4"/>
  <c r="Q42" i="1"/>
  <c r="G45" i="1"/>
  <c r="J47" i="1"/>
  <c r="Q50" i="1"/>
  <c r="O50" i="1" s="1"/>
  <c r="H54" i="1"/>
  <c r="P65" i="1"/>
  <c r="G69" i="1"/>
  <c r="J71" i="1"/>
  <c r="P89" i="1"/>
  <c r="G93" i="1"/>
  <c r="P97" i="1"/>
  <c r="G101" i="1"/>
  <c r="K75" i="4"/>
  <c r="H53" i="1"/>
  <c r="K102" i="4"/>
  <c r="K94" i="4"/>
  <c r="K86" i="4"/>
  <c r="K78" i="4"/>
  <c r="K70" i="4"/>
  <c r="K62" i="4"/>
  <c r="K54" i="4"/>
  <c r="K46" i="4"/>
  <c r="H40" i="1"/>
  <c r="J41" i="1"/>
  <c r="P43" i="1"/>
  <c r="Q44" i="1"/>
  <c r="G47" i="1"/>
  <c r="H48" i="1"/>
  <c r="J49" i="1"/>
  <c r="P51" i="1"/>
  <c r="Q52" i="1"/>
  <c r="G55" i="1"/>
  <c r="H56" i="1"/>
  <c r="J57" i="1"/>
  <c r="P59" i="1"/>
  <c r="Q60" i="1"/>
  <c r="G63" i="1"/>
  <c r="H64" i="1"/>
  <c r="J65" i="1"/>
  <c r="P67" i="1"/>
  <c r="Q68" i="1"/>
  <c r="G71" i="1"/>
  <c r="H72" i="1"/>
  <c r="J73" i="1"/>
  <c r="P75" i="1"/>
  <c r="O75" i="1" s="1"/>
  <c r="Q76" i="1"/>
  <c r="G79" i="1"/>
  <c r="H80" i="1"/>
  <c r="J81" i="1"/>
  <c r="P83" i="1"/>
  <c r="Q84" i="1"/>
  <c r="G87" i="1"/>
  <c r="H88" i="1"/>
  <c r="J89" i="1"/>
  <c r="P91" i="1"/>
  <c r="Q92" i="1"/>
  <c r="G95" i="1"/>
  <c r="H96" i="1"/>
  <c r="J97" i="1"/>
  <c r="P99" i="1"/>
  <c r="O99" i="1" s="1"/>
  <c r="Q100" i="1"/>
  <c r="O100" i="1" s="1"/>
  <c r="G103" i="1"/>
  <c r="H104" i="1"/>
  <c r="J105" i="1"/>
  <c r="K92" i="4"/>
  <c r="K68" i="4"/>
  <c r="K44" i="4"/>
  <c r="P41" i="1"/>
  <c r="P49" i="1"/>
  <c r="O49" i="1" s="1"/>
  <c r="G53" i="1"/>
  <c r="J55" i="1"/>
  <c r="P57" i="1"/>
  <c r="G61" i="1"/>
  <c r="J63" i="1"/>
  <c r="P73" i="1"/>
  <c r="G77" i="1"/>
  <c r="J79" i="1"/>
  <c r="Q82" i="1"/>
  <c r="G85" i="1"/>
  <c r="J87" i="1"/>
  <c r="J95" i="1"/>
  <c r="J103" i="1"/>
  <c r="K83" i="4"/>
  <c r="Q41" i="1"/>
  <c r="O41" i="1" s="1"/>
  <c r="G44" i="1"/>
  <c r="G52" i="1"/>
  <c r="Q57" i="1"/>
  <c r="K101" i="4"/>
  <c r="K93" i="4"/>
  <c r="K85" i="4"/>
  <c r="K77" i="4"/>
  <c r="K69" i="4"/>
  <c r="K61" i="4"/>
  <c r="K53" i="4"/>
  <c r="K45" i="4"/>
  <c r="J40" i="1"/>
  <c r="P42" i="1"/>
  <c r="Q43" i="1"/>
  <c r="O43" i="1" s="1"/>
  <c r="G46" i="1"/>
  <c r="H47" i="1"/>
  <c r="J48" i="1"/>
  <c r="P50" i="1"/>
  <c r="Q51" i="1"/>
  <c r="G54" i="1"/>
  <c r="H55" i="1"/>
  <c r="J56" i="1"/>
  <c r="P58" i="1"/>
  <c r="Q59" i="1"/>
  <c r="G62" i="1"/>
  <c r="H63" i="1"/>
  <c r="J64" i="1"/>
  <c r="P66" i="1"/>
  <c r="Q67" i="1"/>
  <c r="G70" i="1"/>
  <c r="H71" i="1"/>
  <c r="J72" i="1"/>
  <c r="P74" i="1"/>
  <c r="Q75" i="1"/>
  <c r="G78" i="1"/>
  <c r="H79" i="1"/>
  <c r="J80" i="1"/>
  <c r="P82" i="1"/>
  <c r="O82" i="1" s="1"/>
  <c r="Q83" i="1"/>
  <c r="G86" i="1"/>
  <c r="H87" i="1"/>
  <c r="J88" i="1"/>
  <c r="P90" i="1"/>
  <c r="Q91" i="1"/>
  <c r="O91" i="1" s="1"/>
  <c r="G94" i="1"/>
  <c r="H95" i="1"/>
  <c r="J96" i="1"/>
  <c r="P98" i="1"/>
  <c r="Q99" i="1"/>
  <c r="G102" i="1"/>
  <c r="H103" i="1"/>
  <c r="J104" i="1"/>
  <c r="K98" i="4"/>
  <c r="K90" i="4"/>
  <c r="K82" i="4"/>
  <c r="K74" i="4"/>
  <c r="K66" i="4"/>
  <c r="K58" i="4"/>
  <c r="K50" i="4"/>
  <c r="K42" i="4"/>
  <c r="Q40" i="1"/>
  <c r="G43" i="1"/>
  <c r="H44" i="1"/>
  <c r="J45" i="1"/>
  <c r="P47" i="1"/>
  <c r="Q48" i="1"/>
  <c r="G51" i="1"/>
  <c r="H52" i="1"/>
  <c r="J53" i="1"/>
  <c r="P55" i="1"/>
  <c r="Q56" i="1"/>
  <c r="O56" i="1" s="1"/>
  <c r="G59" i="1"/>
  <c r="H60" i="1"/>
  <c r="J61" i="1"/>
  <c r="P63" i="1"/>
  <c r="Q64" i="1"/>
  <c r="G67" i="1"/>
  <c r="H68" i="1"/>
  <c r="J69" i="1"/>
  <c r="P71" i="1"/>
  <c r="Q72" i="1"/>
  <c r="G75" i="1"/>
  <c r="H76" i="1"/>
  <c r="J77" i="1"/>
  <c r="P79" i="1"/>
  <c r="Q80" i="1"/>
  <c r="G83" i="1"/>
  <c r="H84" i="1"/>
  <c r="J85" i="1"/>
  <c r="P87" i="1"/>
  <c r="Q88" i="1"/>
  <c r="O88" i="1" s="1"/>
  <c r="G91" i="1"/>
  <c r="H92" i="1"/>
  <c r="J93" i="1"/>
  <c r="P95" i="1"/>
  <c r="Q96" i="1"/>
  <c r="G99" i="1"/>
  <c r="H100" i="1"/>
  <c r="J101" i="1"/>
  <c r="P103" i="1"/>
  <c r="Q104" i="1"/>
  <c r="K51" i="4"/>
  <c r="P48" i="1"/>
  <c r="O48" i="1" s="1"/>
  <c r="J54" i="1"/>
  <c r="G60" i="1"/>
  <c r="P64" i="1"/>
  <c r="H69" i="1"/>
  <c r="Q73" i="1"/>
  <c r="J78" i="1"/>
  <c r="G92" i="1"/>
  <c r="P96" i="1"/>
  <c r="O96" i="1" s="1"/>
  <c r="H101" i="1"/>
  <c r="Q105" i="1"/>
  <c r="J94" i="1"/>
  <c r="J62" i="1"/>
  <c r="G68" i="1"/>
  <c r="Q81" i="1"/>
  <c r="O81" i="1"/>
  <c r="H85" i="1"/>
  <c r="H77" i="1"/>
  <c r="G100" i="1"/>
  <c r="J70" i="1"/>
  <c r="G84" i="1"/>
  <c r="P88" i="1"/>
  <c r="H93" i="1"/>
  <c r="Q97" i="1"/>
  <c r="J102" i="1"/>
  <c r="G76" i="1"/>
  <c r="P80" i="1"/>
  <c r="Q89" i="1"/>
  <c r="P72" i="1"/>
  <c r="J86" i="1"/>
  <c r="P104" i="1"/>
  <c r="R43" i="4"/>
  <c r="R51" i="4"/>
  <c r="R59" i="4"/>
  <c r="R67" i="4"/>
  <c r="R75" i="4"/>
  <c r="R83" i="4"/>
  <c r="R91" i="4"/>
  <c r="R99" i="4"/>
  <c r="R44" i="4"/>
  <c r="R52" i="4"/>
  <c r="R60" i="4"/>
  <c r="R68" i="4"/>
  <c r="R76" i="4"/>
  <c r="R84" i="4"/>
  <c r="R92" i="4"/>
  <c r="R100" i="4"/>
  <c r="R45" i="4"/>
  <c r="R53" i="4"/>
  <c r="R61" i="4"/>
  <c r="R69" i="4"/>
  <c r="R77" i="4"/>
  <c r="R85" i="4"/>
  <c r="R93" i="4"/>
  <c r="R101" i="4"/>
  <c r="R46" i="4"/>
  <c r="R54" i="4"/>
  <c r="R62" i="4"/>
  <c r="R70" i="4"/>
  <c r="R78" i="4"/>
  <c r="R86" i="4"/>
  <c r="R94" i="4"/>
  <c r="R102" i="4"/>
  <c r="R47" i="4"/>
  <c r="R55" i="4"/>
  <c r="R63" i="4"/>
  <c r="R71" i="4"/>
  <c r="R79" i="4"/>
  <c r="R87" i="4"/>
  <c r="R95" i="4"/>
  <c r="R103" i="4"/>
  <c r="R40" i="4"/>
  <c r="R48" i="4"/>
  <c r="R56" i="4"/>
  <c r="R64" i="4"/>
  <c r="R72" i="4"/>
  <c r="R80" i="4"/>
  <c r="R88" i="4"/>
  <c r="R96" i="4"/>
  <c r="R104" i="4"/>
  <c r="D312" i="9" s="1"/>
  <c r="R41" i="4"/>
  <c r="R49" i="4"/>
  <c r="R57" i="4"/>
  <c r="R65" i="4"/>
  <c r="R73" i="4"/>
  <c r="R81" i="4"/>
  <c r="R89" i="4"/>
  <c r="R97" i="4"/>
  <c r="R42" i="4"/>
  <c r="R50" i="4"/>
  <c r="R58" i="4"/>
  <c r="R66" i="4"/>
  <c r="R74" i="4"/>
  <c r="R82" i="4"/>
  <c r="R90" i="4"/>
  <c r="R98" i="4"/>
  <c r="D141" i="8"/>
  <c r="D36" i="8"/>
  <c r="E140" i="8"/>
  <c r="E36" i="8"/>
  <c r="F140" i="8"/>
  <c r="F36" i="8"/>
  <c r="E456" i="9"/>
  <c r="G140" i="8"/>
  <c r="G36" i="8"/>
  <c r="F11" i="9"/>
  <c r="F455" i="9"/>
  <c r="E32" i="9"/>
  <c r="E134" i="9"/>
  <c r="E343" i="9"/>
  <c r="E30" i="9"/>
  <c r="D450" i="9"/>
  <c r="D128" i="9"/>
  <c r="D133" i="9"/>
  <c r="G36" i="9"/>
  <c r="G443" i="9"/>
  <c r="F345" i="9"/>
  <c r="E452" i="9"/>
  <c r="J133" i="9"/>
  <c r="J342" i="9"/>
  <c r="J131" i="9"/>
  <c r="F137" i="9"/>
  <c r="G28" i="9"/>
  <c r="D347" i="9"/>
  <c r="E136" i="9"/>
  <c r="F447" i="9"/>
  <c r="D447" i="9"/>
  <c r="G35" i="9"/>
  <c r="G455" i="9"/>
  <c r="D27" i="9"/>
  <c r="D339" i="9"/>
  <c r="G451" i="9"/>
  <c r="F27" i="9"/>
  <c r="E140" i="9"/>
  <c r="J445" i="9"/>
  <c r="D338" i="9"/>
  <c r="J450" i="9"/>
  <c r="G351" i="8"/>
  <c r="E456" i="8"/>
  <c r="F444" i="9"/>
  <c r="D456" i="9"/>
  <c r="F34" i="9"/>
  <c r="E137" i="9"/>
  <c r="F346" i="9"/>
  <c r="F30" i="9"/>
  <c r="E132" i="9"/>
  <c r="E128" i="9"/>
  <c r="D343" i="9"/>
  <c r="J141" i="9"/>
  <c r="D443" i="9"/>
  <c r="E345" i="9"/>
  <c r="D452" i="9"/>
  <c r="G133" i="9"/>
  <c r="G342" i="9"/>
  <c r="G131" i="9"/>
  <c r="J137" i="9"/>
  <c r="G24" i="9"/>
  <c r="J346" i="9"/>
  <c r="J449" i="9"/>
  <c r="J341" i="9"/>
  <c r="E448" i="9"/>
  <c r="F136" i="9"/>
  <c r="E447" i="9"/>
  <c r="J132" i="9"/>
  <c r="D453" i="9"/>
  <c r="G27" i="9"/>
  <c r="J128" i="9"/>
  <c r="D31" i="9"/>
  <c r="J129" i="9"/>
  <c r="J349" i="9"/>
  <c r="F31" i="9"/>
  <c r="G445" i="9"/>
  <c r="G30" i="9"/>
  <c r="J139" i="9"/>
  <c r="G450" i="9"/>
  <c r="J350" i="8"/>
  <c r="F350" i="8"/>
  <c r="D456" i="8"/>
  <c r="E445" i="9"/>
  <c r="F24" i="9"/>
  <c r="E36" i="9"/>
  <c r="E138" i="9"/>
  <c r="F347" i="9"/>
  <c r="F134" i="9"/>
  <c r="E139" i="9"/>
  <c r="D326" i="9"/>
  <c r="E133" i="9"/>
  <c r="G141" i="9"/>
  <c r="D29" i="9"/>
  <c r="D345" i="9"/>
  <c r="D341" i="9"/>
  <c r="E454" i="9"/>
  <c r="F131" i="9"/>
  <c r="G137" i="9"/>
  <c r="J347" i="9"/>
  <c r="D33" i="9"/>
  <c r="G346" i="9"/>
  <c r="G449" i="9"/>
  <c r="G341" i="9"/>
  <c r="F28" i="9"/>
  <c r="D340" i="9"/>
  <c r="G132" i="9"/>
  <c r="J135" i="9"/>
  <c r="G128" i="9"/>
  <c r="J130" i="9"/>
  <c r="D35" i="9"/>
  <c r="J344" i="9"/>
  <c r="G11" i="9"/>
  <c r="G129" i="9"/>
  <c r="G349" i="9"/>
  <c r="F35" i="9"/>
  <c r="J338" i="9"/>
  <c r="F446" i="9"/>
  <c r="G139" i="9"/>
  <c r="J343" i="9"/>
  <c r="F451" i="9"/>
  <c r="F455" i="8"/>
  <c r="D351" i="8"/>
  <c r="J456" i="8"/>
  <c r="F448" i="9"/>
  <c r="E25" i="9"/>
  <c r="F128" i="9"/>
  <c r="F139" i="9"/>
  <c r="F348" i="9"/>
  <c r="F445" i="9"/>
  <c r="E338" i="9"/>
  <c r="D26" i="9"/>
  <c r="F36" i="9"/>
  <c r="J351" i="9"/>
  <c r="D141" i="9"/>
  <c r="D32" i="9"/>
  <c r="F449" i="9"/>
  <c r="D448" i="9"/>
  <c r="F138" i="9"/>
  <c r="F342" i="9"/>
  <c r="G347" i="9"/>
  <c r="G32" i="9"/>
  <c r="D116" i="9"/>
  <c r="E116" i="9"/>
  <c r="J454" i="9"/>
  <c r="D346" i="9"/>
  <c r="J453" i="9"/>
  <c r="E24" i="9"/>
  <c r="J350" i="9"/>
  <c r="G135" i="9"/>
  <c r="G130" i="9"/>
  <c r="E130" i="9"/>
  <c r="G344" i="9"/>
  <c r="F130" i="9"/>
  <c r="F350" i="9"/>
  <c r="D129" i="9"/>
  <c r="G338" i="9"/>
  <c r="E451" i="9"/>
  <c r="F140" i="9"/>
  <c r="G343" i="9"/>
  <c r="J351" i="8"/>
  <c r="E455" i="8"/>
  <c r="J140" i="8"/>
  <c r="E449" i="9"/>
  <c r="F26" i="9"/>
  <c r="F129" i="9"/>
  <c r="F326" i="9"/>
  <c r="F349" i="9"/>
  <c r="D348" i="9"/>
  <c r="E450" i="9"/>
  <c r="E326" i="9"/>
  <c r="G351" i="9"/>
  <c r="E141" i="9"/>
  <c r="F29" i="9"/>
  <c r="E347" i="9"/>
  <c r="J138" i="9"/>
  <c r="J431" i="9"/>
  <c r="E342" i="9"/>
  <c r="F431" i="9"/>
  <c r="J340" i="9"/>
  <c r="J444" i="9"/>
  <c r="F32" i="9"/>
  <c r="J116" i="9"/>
  <c r="D25" i="9"/>
  <c r="G454" i="9"/>
  <c r="D444" i="9"/>
  <c r="G453" i="9"/>
  <c r="F33" i="9"/>
  <c r="G350" i="9"/>
  <c r="G31" i="9"/>
  <c r="J348" i="9"/>
  <c r="D135" i="9"/>
  <c r="E350" i="9"/>
  <c r="E23" i="9"/>
  <c r="E135" i="9"/>
  <c r="E446" i="9"/>
  <c r="F339" i="9"/>
  <c r="E11" i="9"/>
  <c r="F344" i="9"/>
  <c r="E351" i="8"/>
  <c r="D455" i="8"/>
  <c r="E350" i="8"/>
  <c r="F450" i="9"/>
  <c r="E28" i="9"/>
  <c r="D130" i="9"/>
  <c r="D140" i="8"/>
  <c r="E351" i="9"/>
  <c r="E348" i="9"/>
  <c r="E34" i="9"/>
  <c r="E26" i="9"/>
  <c r="J456" i="9"/>
  <c r="F351" i="9"/>
  <c r="F141" i="9"/>
  <c r="J452" i="9"/>
  <c r="D454" i="9"/>
  <c r="G138" i="9"/>
  <c r="G431" i="9"/>
  <c r="E431" i="9"/>
  <c r="G340" i="9"/>
  <c r="G444" i="9"/>
  <c r="D342" i="9"/>
  <c r="G116" i="9"/>
  <c r="D28" i="9"/>
  <c r="D136" i="9"/>
  <c r="D132" i="9"/>
  <c r="J339" i="9"/>
  <c r="G348" i="9"/>
  <c r="J446" i="9"/>
  <c r="D446" i="9"/>
  <c r="E27" i="9"/>
  <c r="D140" i="9"/>
  <c r="D451" i="9"/>
  <c r="J134" i="9"/>
  <c r="E344" i="9"/>
  <c r="G34" i="9"/>
  <c r="E349" i="9"/>
  <c r="J141" i="8"/>
  <c r="J455" i="8"/>
  <c r="G350" i="8"/>
  <c r="F453" i="9"/>
  <c r="E29" i="9"/>
  <c r="F132" i="9"/>
  <c r="F338" i="9"/>
  <c r="D34" i="9"/>
  <c r="F343" i="9"/>
  <c r="E453" i="9"/>
  <c r="G456" i="9"/>
  <c r="D36" i="9"/>
  <c r="J345" i="9"/>
  <c r="G452" i="9"/>
  <c r="F25" i="9"/>
  <c r="D138" i="9"/>
  <c r="E443" i="9"/>
  <c r="D449" i="9"/>
  <c r="J448" i="9"/>
  <c r="G33" i="9"/>
  <c r="F340" i="9"/>
  <c r="D431" i="9"/>
  <c r="E131" i="9"/>
  <c r="G25" i="9"/>
  <c r="F116" i="9"/>
  <c r="J136" i="9"/>
  <c r="J447" i="9"/>
  <c r="D24" i="9"/>
  <c r="E346" i="9"/>
  <c r="G23" i="9"/>
  <c r="G339" i="9"/>
  <c r="G446" i="9"/>
  <c r="J140" i="9"/>
  <c r="E31" i="9"/>
  <c r="E339" i="9"/>
  <c r="D11" i="9"/>
  <c r="G134" i="9"/>
  <c r="D349" i="9"/>
  <c r="E129" i="9"/>
  <c r="J326" i="9"/>
  <c r="D445" i="9"/>
  <c r="F351" i="8"/>
  <c r="G455" i="8"/>
  <c r="G456" i="8"/>
  <c r="F454" i="9"/>
  <c r="D30" i="9"/>
  <c r="F133" i="9"/>
  <c r="E341" i="9"/>
  <c r="F456" i="9"/>
  <c r="D139" i="9"/>
  <c r="D455" i="9"/>
  <c r="E455" i="9"/>
  <c r="D351" i="9"/>
  <c r="J443" i="9"/>
  <c r="G345" i="9"/>
  <c r="F452" i="9"/>
  <c r="D131" i="9"/>
  <c r="G448" i="9"/>
  <c r="E340" i="9"/>
  <c r="G29" i="9"/>
  <c r="F443" i="9"/>
  <c r="D137" i="9"/>
  <c r="F341" i="9"/>
  <c r="G136" i="9"/>
  <c r="G447" i="9"/>
  <c r="E33" i="9"/>
  <c r="E444" i="9"/>
  <c r="D350" i="9"/>
  <c r="J455" i="9"/>
  <c r="D23" i="9"/>
  <c r="G140" i="9"/>
  <c r="J451" i="9"/>
  <c r="E35" i="9"/>
  <c r="D344" i="9"/>
  <c r="F23" i="9"/>
  <c r="F135" i="9"/>
  <c r="G26" i="9"/>
  <c r="D134" i="9"/>
  <c r="G326" i="9"/>
  <c r="D350" i="8"/>
  <c r="F456" i="8"/>
  <c r="I28" i="31"/>
  <c r="K29" i="31"/>
  <c r="Q31" i="31"/>
  <c r="R32" i="31"/>
  <c r="R33" i="31"/>
  <c r="R34" i="31"/>
  <c r="R35" i="31"/>
  <c r="S36" i="31"/>
  <c r="T36" i="31"/>
  <c r="H17" i="31"/>
  <c r="I18" i="31"/>
  <c r="K19" i="31"/>
  <c r="Q21" i="31"/>
  <c r="R22" i="31"/>
  <c r="S23" i="31"/>
  <c r="T23" i="31"/>
  <c r="H25" i="31"/>
  <c r="H26" i="31"/>
  <c r="H27" i="31"/>
  <c r="H6" i="31"/>
  <c r="I7" i="31"/>
  <c r="K8" i="31"/>
  <c r="Q10" i="31"/>
  <c r="R11" i="31"/>
  <c r="S12" i="31"/>
  <c r="T12" i="31"/>
  <c r="H14" i="31"/>
  <c r="I15" i="31"/>
  <c r="I16" i="31"/>
  <c r="Q30" i="31"/>
  <c r="R31" i="31"/>
  <c r="S32" i="31"/>
  <c r="T32" i="31"/>
  <c r="S33" i="31"/>
  <c r="T33" i="31"/>
  <c r="S34" i="31"/>
  <c r="T34" i="31"/>
  <c r="S35" i="31"/>
  <c r="T35" i="31"/>
  <c r="H37" i="31"/>
  <c r="I17" i="31"/>
  <c r="K18" i="31"/>
  <c r="Q20" i="31"/>
  <c r="R21" i="31"/>
  <c r="S22" i="31"/>
  <c r="T22" i="31"/>
  <c r="H24" i="31"/>
  <c r="I25" i="31"/>
  <c r="I26" i="31"/>
  <c r="I27" i="31"/>
  <c r="I6" i="31"/>
  <c r="K7" i="31"/>
  <c r="Q9" i="31"/>
  <c r="R10" i="31"/>
  <c r="S11" i="31"/>
  <c r="T11" i="31"/>
  <c r="H13" i="31"/>
  <c r="I14" i="31"/>
  <c r="K15" i="31"/>
  <c r="K16" i="31"/>
  <c r="S21" i="31"/>
  <c r="T21" i="31"/>
  <c r="H23" i="31"/>
  <c r="I24" i="31"/>
  <c r="K25" i="31"/>
  <c r="K26" i="31"/>
  <c r="K27" i="31"/>
  <c r="K6" i="31"/>
  <c r="Q8" i="31"/>
  <c r="R9" i="31"/>
  <c r="S10" i="31"/>
  <c r="T10" i="31"/>
  <c r="H12" i="31"/>
  <c r="I13" i="31"/>
  <c r="K14" i="31"/>
  <c r="K28" i="31"/>
  <c r="Q29" i="31"/>
  <c r="R30" i="31"/>
  <c r="S31" i="31"/>
  <c r="T31" i="31"/>
  <c r="H33" i="31"/>
  <c r="H34" i="31"/>
  <c r="H35" i="31"/>
  <c r="H36" i="31"/>
  <c r="I37" i="31"/>
  <c r="K17" i="31"/>
  <c r="Q19" i="31"/>
  <c r="R20" i="31"/>
  <c r="Q28" i="31"/>
  <c r="R29" i="31"/>
  <c r="S30" i="31"/>
  <c r="T30" i="31"/>
  <c r="H32" i="31"/>
  <c r="I33" i="31"/>
  <c r="I34" i="31"/>
  <c r="I35" i="31"/>
  <c r="I36" i="31"/>
  <c r="K37" i="31"/>
  <c r="Q18" i="31"/>
  <c r="R19" i="31"/>
  <c r="S20" i="31"/>
  <c r="T20" i="31"/>
  <c r="H22" i="31"/>
  <c r="I23" i="31"/>
  <c r="K24" i="31"/>
  <c r="Q7" i="31"/>
  <c r="R8" i="31"/>
  <c r="S9" i="31"/>
  <c r="T9" i="31"/>
  <c r="H11" i="31"/>
  <c r="I12" i="31"/>
  <c r="K13" i="31"/>
  <c r="S29" i="31"/>
  <c r="T29" i="31"/>
  <c r="H31" i="31"/>
  <c r="I32" i="31"/>
  <c r="K33" i="31"/>
  <c r="K34" i="31"/>
  <c r="K35" i="31"/>
  <c r="K36" i="31"/>
  <c r="Q17" i="31"/>
  <c r="R18" i="31"/>
  <c r="S19" i="31"/>
  <c r="T19" i="31"/>
  <c r="H21" i="31"/>
  <c r="I22" i="31"/>
  <c r="K23" i="31"/>
  <c r="Q6" i="31"/>
  <c r="R7" i="31"/>
  <c r="S8" i="31"/>
  <c r="T8" i="31"/>
  <c r="H10" i="31"/>
  <c r="I11" i="31"/>
  <c r="K12" i="31"/>
  <c r="Q14" i="31"/>
  <c r="Q15" i="31"/>
  <c r="Q16" i="31"/>
  <c r="R28" i="31"/>
  <c r="S28" i="31"/>
  <c r="T28" i="31"/>
  <c r="H30" i="31"/>
  <c r="I31" i="31"/>
  <c r="K32" i="31"/>
  <c r="Q37" i="31"/>
  <c r="R17" i="31"/>
  <c r="S18" i="31"/>
  <c r="T18" i="31"/>
  <c r="H20" i="31"/>
  <c r="I21" i="31"/>
  <c r="K22" i="31"/>
  <c r="Q24" i="31"/>
  <c r="Q25" i="31"/>
  <c r="Q26" i="31"/>
  <c r="Q27" i="31"/>
  <c r="R6" i="31"/>
  <c r="S7" i="31"/>
  <c r="T7" i="31"/>
  <c r="H9" i="31"/>
  <c r="I10" i="31"/>
  <c r="K11" i="31"/>
  <c r="Q13" i="31"/>
  <c r="R14" i="31"/>
  <c r="R15" i="31"/>
  <c r="R16" i="31"/>
  <c r="I30" i="31"/>
  <c r="K31" i="31"/>
  <c r="Q36" i="31"/>
  <c r="R37" i="31"/>
  <c r="S17" i="31"/>
  <c r="T17" i="31"/>
  <c r="H19" i="31"/>
  <c r="I20" i="31"/>
  <c r="K21" i="31"/>
  <c r="Q23" i="31"/>
  <c r="R24" i="31"/>
  <c r="R25" i="31"/>
  <c r="R26" i="31"/>
  <c r="R27" i="31"/>
  <c r="S6" i="31"/>
  <c r="T6" i="31"/>
  <c r="H8" i="31"/>
  <c r="I9" i="31"/>
  <c r="K10" i="31"/>
  <c r="Q12" i="31"/>
  <c r="R13" i="31"/>
  <c r="S14" i="31"/>
  <c r="T14" i="31"/>
  <c r="S15" i="31"/>
  <c r="T15" i="31"/>
  <c r="S16" i="31"/>
  <c r="T16" i="31"/>
  <c r="I29" i="31"/>
  <c r="Q32" i="31"/>
  <c r="Q33" i="31"/>
  <c r="Q34" i="31"/>
  <c r="Q35" i="31"/>
  <c r="R36" i="31"/>
  <c r="S37" i="31"/>
  <c r="T37" i="31"/>
  <c r="H18" i="31"/>
  <c r="I19" i="31"/>
  <c r="K20" i="31"/>
  <c r="Q22" i="31"/>
  <c r="S24" i="31"/>
  <c r="T24" i="31"/>
  <c r="S25" i="31"/>
  <c r="T25" i="31"/>
  <c r="S27" i="31"/>
  <c r="T27" i="31"/>
  <c r="I8" i="31"/>
  <c r="R12" i="31"/>
  <c r="H15" i="31"/>
  <c r="H29" i="31"/>
  <c r="K30" i="31"/>
  <c r="R23" i="31"/>
  <c r="S26" i="31"/>
  <c r="T26" i="31"/>
  <c r="H7" i="31"/>
  <c r="K9" i="31"/>
  <c r="Q11" i="31"/>
  <c r="S13" i="31"/>
  <c r="T13" i="31"/>
  <c r="H16" i="31"/>
  <c r="H28" i="31"/>
  <c r="N1236" i="2"/>
  <c r="N1235" i="2"/>
  <c r="N1301" i="2"/>
  <c r="N1316" i="2"/>
  <c r="N1266" i="2"/>
  <c r="I5" i="31"/>
  <c r="K5" i="31"/>
  <c r="H5" i="31"/>
  <c r="H97" i="4"/>
  <c r="H89" i="4"/>
  <c r="H81" i="4"/>
  <c r="H73" i="4"/>
  <c r="H65" i="4"/>
  <c r="H57" i="4"/>
  <c r="H49" i="4"/>
  <c r="H41" i="4"/>
  <c r="H103" i="4"/>
  <c r="H79" i="4"/>
  <c r="H55" i="4"/>
  <c r="H101" i="4"/>
  <c r="H77" i="4"/>
  <c r="H53" i="4"/>
  <c r="H67" i="4"/>
  <c r="H90" i="4"/>
  <c r="H42" i="4"/>
  <c r="H104" i="4"/>
  <c r="H96" i="4"/>
  <c r="H88" i="4"/>
  <c r="H80" i="4"/>
  <c r="H72" i="4"/>
  <c r="H64" i="4"/>
  <c r="H56" i="4"/>
  <c r="H48" i="4"/>
  <c r="H40" i="4"/>
  <c r="H95" i="4"/>
  <c r="H71" i="4"/>
  <c r="H47" i="4"/>
  <c r="H93" i="4"/>
  <c r="H61" i="4"/>
  <c r="H83" i="4"/>
  <c r="H43" i="4"/>
  <c r="H74" i="4"/>
  <c r="H58" i="4"/>
  <c r="H87" i="4"/>
  <c r="H63" i="4"/>
  <c r="H69" i="4"/>
  <c r="H91" i="4"/>
  <c r="H98" i="4"/>
  <c r="H66" i="4"/>
  <c r="H102" i="4"/>
  <c r="H94" i="4"/>
  <c r="H86" i="4"/>
  <c r="H78" i="4"/>
  <c r="H70" i="4"/>
  <c r="H62" i="4"/>
  <c r="H54" i="4"/>
  <c r="H46" i="4"/>
  <c r="H85" i="4"/>
  <c r="H45" i="4"/>
  <c r="H59" i="4"/>
  <c r="H82" i="4"/>
  <c r="H50" i="4"/>
  <c r="H100" i="4"/>
  <c r="H92" i="4"/>
  <c r="H84" i="4"/>
  <c r="H76" i="4"/>
  <c r="H68" i="4"/>
  <c r="H60" i="4"/>
  <c r="H52" i="4"/>
  <c r="H44" i="4"/>
  <c r="H99" i="4"/>
  <c r="H75" i="4"/>
  <c r="H51" i="4"/>
  <c r="G44" i="4"/>
  <c r="G52" i="4"/>
  <c r="G60" i="4"/>
  <c r="G68" i="4"/>
  <c r="G76" i="4"/>
  <c r="G84" i="4"/>
  <c r="G92" i="4"/>
  <c r="G100" i="4"/>
  <c r="I44" i="4"/>
  <c r="I52" i="4"/>
  <c r="I60" i="4"/>
  <c r="I68" i="4"/>
  <c r="I76" i="4"/>
  <c r="I84" i="4"/>
  <c r="I92" i="4"/>
  <c r="I100" i="4"/>
  <c r="G74" i="4"/>
  <c r="I82" i="4"/>
  <c r="G45" i="4"/>
  <c r="G53" i="4"/>
  <c r="G61" i="4"/>
  <c r="G69" i="4"/>
  <c r="G77" i="4"/>
  <c r="G85" i="4"/>
  <c r="G93" i="4"/>
  <c r="G101" i="4"/>
  <c r="I45" i="4"/>
  <c r="I53" i="4"/>
  <c r="I61" i="4"/>
  <c r="I69" i="4"/>
  <c r="I77" i="4"/>
  <c r="I85" i="4"/>
  <c r="I93" i="4"/>
  <c r="I101" i="4"/>
  <c r="G66" i="4"/>
  <c r="I66" i="4"/>
  <c r="G46" i="4"/>
  <c r="G54" i="4"/>
  <c r="G62" i="4"/>
  <c r="G70" i="4"/>
  <c r="G78" i="4"/>
  <c r="G86" i="4"/>
  <c r="G94" i="4"/>
  <c r="G102" i="4"/>
  <c r="I46" i="4"/>
  <c r="I54" i="4"/>
  <c r="I62" i="4"/>
  <c r="I70" i="4"/>
  <c r="I78" i="4"/>
  <c r="I86" i="4"/>
  <c r="I94" i="4"/>
  <c r="I102" i="4"/>
  <c r="G90" i="4"/>
  <c r="I50" i="4"/>
  <c r="G47" i="4"/>
  <c r="G55" i="4"/>
  <c r="G63" i="4"/>
  <c r="G71" i="4"/>
  <c r="G79" i="4"/>
  <c r="G87" i="4"/>
  <c r="G95" i="4"/>
  <c r="G103" i="4"/>
  <c r="I47" i="4"/>
  <c r="I55" i="4"/>
  <c r="I63" i="4"/>
  <c r="I71" i="4"/>
  <c r="I79" i="4"/>
  <c r="I87" i="4"/>
  <c r="I95" i="4"/>
  <c r="I103" i="4"/>
  <c r="G42" i="4"/>
  <c r="G98" i="4"/>
  <c r="I90" i="4"/>
  <c r="G40" i="4"/>
  <c r="G48" i="4"/>
  <c r="G56" i="4"/>
  <c r="G64" i="4"/>
  <c r="G72" i="4"/>
  <c r="G80" i="4"/>
  <c r="G88" i="4"/>
  <c r="G96" i="4"/>
  <c r="G104" i="4"/>
  <c r="I40" i="4"/>
  <c r="I48" i="4"/>
  <c r="I56" i="4"/>
  <c r="I64" i="4"/>
  <c r="I72" i="4"/>
  <c r="I80" i="4"/>
  <c r="I88" i="4"/>
  <c r="I96" i="4"/>
  <c r="I104" i="4"/>
  <c r="G58" i="4"/>
  <c r="I42" i="4"/>
  <c r="I98" i="4"/>
  <c r="G41" i="4"/>
  <c r="G49" i="4"/>
  <c r="G57" i="4"/>
  <c r="G65" i="4"/>
  <c r="G73" i="4"/>
  <c r="G81" i="4"/>
  <c r="G89" i="4"/>
  <c r="G97" i="4"/>
  <c r="I41" i="4"/>
  <c r="I49" i="4"/>
  <c r="I57" i="4"/>
  <c r="I65" i="4"/>
  <c r="I73" i="4"/>
  <c r="I81" i="4"/>
  <c r="I89" i="4"/>
  <c r="I97" i="4"/>
  <c r="G82" i="4"/>
  <c r="I74" i="4"/>
  <c r="G43" i="4"/>
  <c r="G51" i="4"/>
  <c r="G59" i="4"/>
  <c r="G67" i="4"/>
  <c r="G75" i="4"/>
  <c r="G83" i="4"/>
  <c r="G91" i="4"/>
  <c r="G99" i="4"/>
  <c r="I43" i="4"/>
  <c r="I51" i="4"/>
  <c r="I59" i="4"/>
  <c r="I67" i="4"/>
  <c r="I75" i="4"/>
  <c r="I83" i="4"/>
  <c r="I91" i="4"/>
  <c r="I99" i="4"/>
  <c r="G50" i="4"/>
  <c r="I58" i="4"/>
  <c r="S2421" i="2"/>
  <c r="AA2421" i="2"/>
  <c r="AI2421" i="2"/>
  <c r="AY2421" i="2"/>
  <c r="AY879" i="2"/>
  <c r="BG2421" i="2"/>
  <c r="Y887" i="2"/>
  <c r="V992" i="2"/>
  <c r="AY2310" i="2"/>
  <c r="AF126" i="2"/>
  <c r="Q1112" i="2"/>
  <c r="Y1112" i="2"/>
  <c r="AQ126" i="2"/>
  <c r="T992" i="2"/>
  <c r="R2391" i="2"/>
  <c r="Z2391" i="2"/>
  <c r="AH2391" i="2"/>
  <c r="AP2391" i="2"/>
  <c r="AX2391" i="2"/>
  <c r="BF2391" i="2"/>
  <c r="P2406" i="2"/>
  <c r="X2406" i="2"/>
  <c r="AF2406" i="2"/>
  <c r="AN2406" i="2"/>
  <c r="AV2406" i="2"/>
  <c r="BD2406" i="2"/>
  <c r="N2421" i="2"/>
  <c r="V2421" i="2"/>
  <c r="AD2421" i="2"/>
  <c r="AL2421" i="2"/>
  <c r="AT2421" i="2"/>
  <c r="BB2421" i="2"/>
  <c r="BJ2421" i="2"/>
  <c r="R126" i="2"/>
  <c r="Z126" i="2"/>
  <c r="AH126" i="2"/>
  <c r="AP126" i="2"/>
  <c r="AX126" i="2"/>
  <c r="BF126" i="2"/>
  <c r="S126" i="2"/>
  <c r="W1112" i="2"/>
  <c r="T2391" i="2"/>
  <c r="AB2391" i="2"/>
  <c r="AJ2391" i="2"/>
  <c r="AR2391" i="2"/>
  <c r="AZ2391" i="2"/>
  <c r="BH2391" i="2"/>
  <c r="R2406" i="2"/>
  <c r="Z2406" i="2"/>
  <c r="AH2406" i="2"/>
  <c r="AP2406" i="2"/>
  <c r="AX2406" i="2"/>
  <c r="BF2406" i="2"/>
  <c r="P2421" i="2"/>
  <c r="X2421" i="2"/>
  <c r="AF2421" i="2"/>
  <c r="AN2421" i="2"/>
  <c r="AV2421" i="2"/>
  <c r="BD2421" i="2"/>
  <c r="N119" i="2"/>
  <c r="W119" i="2"/>
  <c r="AE119" i="2"/>
  <c r="AM119" i="2"/>
  <c r="AU119" i="2"/>
  <c r="BC119" i="2"/>
  <c r="BK119" i="2"/>
  <c r="AR126" i="2"/>
  <c r="P1112" i="2"/>
  <c r="S1022" i="2"/>
  <c r="P126" i="2"/>
  <c r="X126" i="2"/>
  <c r="AN126" i="2"/>
  <c r="AV126" i="2"/>
  <c r="BD126" i="2"/>
  <c r="R954" i="2"/>
  <c r="R977" i="2"/>
  <c r="V962" i="2"/>
  <c r="V1022" i="2"/>
  <c r="U1112" i="2"/>
  <c r="U879" i="2"/>
  <c r="BC879" i="2"/>
  <c r="Q1022" i="2"/>
  <c r="Z1014" i="2"/>
  <c r="Z1037" i="2"/>
  <c r="Z1025" i="2"/>
  <c r="V1112" i="2"/>
  <c r="W1453" i="2"/>
  <c r="W1469" i="2"/>
  <c r="W1461" i="2"/>
  <c r="P887" i="2"/>
  <c r="X887" i="2"/>
  <c r="T887" i="2"/>
  <c r="AD126" i="2"/>
  <c r="N2436" i="2"/>
  <c r="N126" i="2"/>
  <c r="W126" i="2"/>
  <c r="AE126" i="2"/>
  <c r="AM126" i="2"/>
  <c r="AU126" i="2"/>
  <c r="BC126" i="2"/>
  <c r="BK126" i="2"/>
  <c r="S962" i="2"/>
  <c r="N1453" i="2"/>
  <c r="N1469" i="2"/>
  <c r="N1461" i="2"/>
  <c r="AO413" i="2"/>
  <c r="Q954" i="2"/>
  <c r="Q977" i="2"/>
  <c r="P992" i="2"/>
  <c r="AI413" i="2"/>
  <c r="W413" i="2"/>
  <c r="AE413" i="2"/>
  <c r="AM413" i="2"/>
  <c r="AU413" i="2"/>
  <c r="BC413" i="2"/>
  <c r="BK413" i="2"/>
  <c r="AA126" i="2"/>
  <c r="BD879" i="2"/>
  <c r="T126" i="2"/>
  <c r="R962" i="2"/>
  <c r="Z962" i="2"/>
  <c r="AS2391" i="2"/>
  <c r="S958" i="2"/>
  <c r="S973" i="2"/>
  <c r="P962" i="2"/>
  <c r="X962" i="2"/>
  <c r="R992" i="2"/>
  <c r="Z992" i="2"/>
  <c r="T1022" i="2"/>
  <c r="Q2391" i="2"/>
  <c r="Y2391" i="2"/>
  <c r="AG2391" i="2"/>
  <c r="AO2391" i="2"/>
  <c r="AW2391" i="2"/>
  <c r="BE2391" i="2"/>
  <c r="W2406" i="2"/>
  <c r="AE2406" i="2"/>
  <c r="AM2406" i="2"/>
  <c r="AU2406" i="2"/>
  <c r="BC2406" i="2"/>
  <c r="BK2406" i="2"/>
  <c r="U2421" i="2"/>
  <c r="AC2421" i="2"/>
  <c r="AK2421" i="2"/>
  <c r="AS2421" i="2"/>
  <c r="BA2421" i="2"/>
  <c r="BI2421" i="2"/>
  <c r="AF413" i="2"/>
  <c r="AN413" i="2"/>
  <c r="AV879" i="2"/>
  <c r="W954" i="2"/>
  <c r="W977" i="2"/>
  <c r="AC413" i="2"/>
  <c r="N879" i="2"/>
  <c r="T1453" i="2"/>
  <c r="T1469" i="2"/>
  <c r="T1461" i="2"/>
  <c r="BB413" i="2"/>
  <c r="V879" i="2"/>
  <c r="W992" i="2"/>
  <c r="R1022" i="2"/>
  <c r="Z1022" i="2"/>
  <c r="X1112" i="2"/>
  <c r="AB126" i="2"/>
  <c r="AJ126" i="2"/>
  <c r="AZ126" i="2"/>
  <c r="BH126" i="2"/>
  <c r="AI126" i="2"/>
  <c r="AY126" i="2"/>
  <c r="BG126" i="2"/>
  <c r="Y413" i="2"/>
  <c r="AG413" i="2"/>
  <c r="AW413" i="2"/>
  <c r="BE413" i="2"/>
  <c r="U887" i="2"/>
  <c r="S984" i="2"/>
  <c r="S1007" i="2"/>
  <c r="S119" i="2"/>
  <c r="AA119" i="2"/>
  <c r="AI119" i="2"/>
  <c r="U984" i="2"/>
  <c r="U1007" i="2"/>
  <c r="S1104" i="2"/>
  <c r="S1127" i="2"/>
  <c r="AV1104" i="2"/>
  <c r="AV1127" i="2"/>
  <c r="AV1115" i="2"/>
  <c r="N2391" i="2"/>
  <c r="V2391" i="2"/>
  <c r="AD2391" i="2"/>
  <c r="AL2391" i="2"/>
  <c r="AT2391" i="2"/>
  <c r="BB2391" i="2"/>
  <c r="BJ2391" i="2"/>
  <c r="T2406" i="2"/>
  <c r="AB2406" i="2"/>
  <c r="AJ2406" i="2"/>
  <c r="AR2406" i="2"/>
  <c r="AZ2406" i="2"/>
  <c r="BH2406" i="2"/>
  <c r="R2421" i="2"/>
  <c r="Z2421" i="2"/>
  <c r="AH2421" i="2"/>
  <c r="AP2421" i="2"/>
  <c r="AX2421" i="2"/>
  <c r="BF2421" i="2"/>
  <c r="AD413" i="2"/>
  <c r="V126" i="2"/>
  <c r="AL126" i="2"/>
  <c r="AT126" i="2"/>
  <c r="BB126" i="2"/>
  <c r="BJ126" i="2"/>
  <c r="U126" i="2"/>
  <c r="AC126" i="2"/>
  <c r="AK126" i="2"/>
  <c r="AS126" i="2"/>
  <c r="BA126" i="2"/>
  <c r="BI126" i="2"/>
  <c r="X413" i="2"/>
  <c r="AV413" i="2"/>
  <c r="X992" i="2"/>
  <c r="W1014" i="2"/>
  <c r="W1037" i="2"/>
  <c r="P1022" i="2"/>
  <c r="X1022" i="2"/>
  <c r="S1112" i="2"/>
  <c r="AV1112" i="2"/>
  <c r="U1453" i="2"/>
  <c r="U1469" i="2"/>
  <c r="U1461" i="2"/>
  <c r="P2391" i="2"/>
  <c r="X2391" i="2"/>
  <c r="AF2391" i="2"/>
  <c r="AN2391" i="2"/>
  <c r="AV2391" i="2"/>
  <c r="BD2391" i="2"/>
  <c r="N2406" i="2"/>
  <c r="V2406" i="2"/>
  <c r="AD2406" i="2"/>
  <c r="AL2406" i="2"/>
  <c r="AT2406" i="2"/>
  <c r="BB2406" i="2"/>
  <c r="BJ2406" i="2"/>
  <c r="T2421" i="2"/>
  <c r="AB2421" i="2"/>
  <c r="AJ2421" i="2"/>
  <c r="AR2421" i="2"/>
  <c r="AZ2421" i="2"/>
  <c r="BH2421" i="2"/>
  <c r="AQ2421" i="2"/>
  <c r="AT413" i="2"/>
  <c r="BF879" i="2"/>
  <c r="Q887" i="2"/>
  <c r="Q992" i="2"/>
  <c r="Y992" i="2"/>
  <c r="P119" i="2"/>
  <c r="X119" i="2"/>
  <c r="AF119" i="2"/>
  <c r="AN119" i="2"/>
  <c r="AV119" i="2"/>
  <c r="BD119" i="2"/>
  <c r="V887" i="2"/>
  <c r="R887" i="2"/>
  <c r="Z887" i="2"/>
  <c r="Z954" i="2"/>
  <c r="Z977" i="2"/>
  <c r="R1014" i="2"/>
  <c r="R1037" i="2"/>
  <c r="N1485" i="2"/>
  <c r="N1501" i="2"/>
  <c r="N1493" i="2"/>
  <c r="AV2310" i="2"/>
  <c r="Q119" i="2"/>
  <c r="Y119" i="2"/>
  <c r="AG119" i="2"/>
  <c r="AO119" i="2"/>
  <c r="AW119" i="2"/>
  <c r="BE119" i="2"/>
  <c r="Q126" i="2"/>
  <c r="Y126" i="2"/>
  <c r="AG126" i="2"/>
  <c r="AO126" i="2"/>
  <c r="AW126" i="2"/>
  <c r="BE126" i="2"/>
  <c r="N887" i="2"/>
  <c r="W887" i="2"/>
  <c r="P1104" i="2"/>
  <c r="P1127" i="2"/>
  <c r="X1104" i="2"/>
  <c r="X1127" i="2"/>
  <c r="N1112" i="2"/>
  <c r="R119" i="2"/>
  <c r="Z119" i="2"/>
  <c r="AH119" i="2"/>
  <c r="AP119" i="2"/>
  <c r="AX119" i="2"/>
  <c r="BF119" i="2"/>
  <c r="AY413" i="2"/>
  <c r="AL413" i="2"/>
  <c r="BD413" i="2"/>
  <c r="U954" i="2"/>
  <c r="U977" i="2"/>
  <c r="Q958" i="2"/>
  <c r="Q973" i="2"/>
  <c r="T988" i="2"/>
  <c r="T1003" i="2"/>
  <c r="T1014" i="2"/>
  <c r="T1037" i="2"/>
  <c r="T1025" i="2"/>
  <c r="N1307" i="2"/>
  <c r="U2391" i="2"/>
  <c r="AC2391" i="2"/>
  <c r="AK2391" i="2"/>
  <c r="BA2391" i="2"/>
  <c r="BI2391" i="2"/>
  <c r="V413" i="2"/>
  <c r="BJ413" i="2"/>
  <c r="S413" i="2"/>
  <c r="AA413" i="2"/>
  <c r="AQ413" i="2"/>
  <c r="BG413" i="2"/>
  <c r="S879" i="2"/>
  <c r="P954" i="2"/>
  <c r="P977" i="2"/>
  <c r="X954" i="2"/>
  <c r="X977" i="2"/>
  <c r="X965" i="2"/>
  <c r="Y954" i="2"/>
  <c r="Y977" i="2"/>
  <c r="T984" i="2"/>
  <c r="T1007" i="2"/>
  <c r="T1112" i="2"/>
  <c r="AY1112" i="2"/>
  <c r="AD119" i="2"/>
  <c r="AT119" i="2"/>
  <c r="T413" i="2"/>
  <c r="BH413" i="2"/>
  <c r="BI413" i="2"/>
  <c r="Q962" i="2"/>
  <c r="Y962" i="2"/>
  <c r="V984" i="2"/>
  <c r="V1007" i="2"/>
  <c r="W984" i="2"/>
  <c r="W1007" i="2"/>
  <c r="U1014" i="2"/>
  <c r="U1037" i="2"/>
  <c r="P984" i="2"/>
  <c r="P1007" i="2"/>
  <c r="X984" i="2"/>
  <c r="X1007" i="2"/>
  <c r="X995" i="2"/>
  <c r="V1014" i="2"/>
  <c r="V1037" i="2"/>
  <c r="W1022" i="2"/>
  <c r="T1104" i="2"/>
  <c r="T1127" i="2"/>
  <c r="AY1104" i="2"/>
  <c r="AY1127" i="2"/>
  <c r="AY1115" i="2"/>
  <c r="V119" i="2"/>
  <c r="BJ119" i="2"/>
  <c r="AR413" i="2"/>
  <c r="AK413" i="2"/>
  <c r="P879" i="2"/>
  <c r="X879" i="2"/>
  <c r="U1104" i="2"/>
  <c r="U1127" i="2"/>
  <c r="R1453" i="2"/>
  <c r="R1469" i="2"/>
  <c r="Z1453" i="2"/>
  <c r="Z1469" i="2"/>
  <c r="Z1461" i="2"/>
  <c r="AL119" i="2"/>
  <c r="AB413" i="2"/>
  <c r="AZ413" i="2"/>
  <c r="AS413" i="2"/>
  <c r="AQ119" i="2"/>
  <c r="AY119" i="2"/>
  <c r="BG119" i="2"/>
  <c r="Q879" i="2"/>
  <c r="Y879" i="2"/>
  <c r="W879" i="2"/>
  <c r="V954" i="2"/>
  <c r="V977" i="2"/>
  <c r="Y1022" i="2"/>
  <c r="W1104" i="2"/>
  <c r="W1127" i="2"/>
  <c r="D354" i="8"/>
  <c r="BB119" i="2"/>
  <c r="AJ413" i="2"/>
  <c r="U413" i="2"/>
  <c r="BA413" i="2"/>
  <c r="U119" i="2"/>
  <c r="AC119" i="2"/>
  <c r="AK119" i="2"/>
  <c r="AS119" i="2"/>
  <c r="BA119" i="2"/>
  <c r="BI119" i="2"/>
  <c r="T119" i="2"/>
  <c r="AB119" i="2"/>
  <c r="AJ119" i="2"/>
  <c r="AR119" i="2"/>
  <c r="AZ119" i="2"/>
  <c r="BH119" i="2"/>
  <c r="W1108" i="2"/>
  <c r="W1123" i="2"/>
  <c r="W1019" i="2"/>
  <c r="W1034" i="2"/>
  <c r="Q1014" i="2"/>
  <c r="Q1037" i="2"/>
  <c r="V1104" i="2"/>
  <c r="V1127" i="2"/>
  <c r="AV2295" i="2"/>
  <c r="T879" i="2"/>
  <c r="S992" i="2"/>
  <c r="P1014" i="2"/>
  <c r="P1037" i="2"/>
  <c r="X1014" i="2"/>
  <c r="X1037" i="2"/>
  <c r="X1025" i="2"/>
  <c r="Y1014" i="2"/>
  <c r="Y1037" i="2"/>
  <c r="Y1025" i="2"/>
  <c r="S2391" i="2"/>
  <c r="AA2391" i="2"/>
  <c r="AI2391" i="2"/>
  <c r="AQ2391" i="2"/>
  <c r="AY2391" i="2"/>
  <c r="BG2391" i="2"/>
  <c r="Q2406" i="2"/>
  <c r="Y2406" i="2"/>
  <c r="AG2406" i="2"/>
  <c r="AO2406" i="2"/>
  <c r="AW2406" i="2"/>
  <c r="BE2406" i="2"/>
  <c r="W2421" i="2"/>
  <c r="AE2421" i="2"/>
  <c r="AM2421" i="2"/>
  <c r="AU2421" i="2"/>
  <c r="BC2421" i="2"/>
  <c r="BK2421" i="2"/>
  <c r="S954" i="2"/>
  <c r="S977" i="2"/>
  <c r="T962" i="2"/>
  <c r="Q984" i="2"/>
  <c r="Q1007" i="2"/>
  <c r="Y984" i="2"/>
  <c r="Y1007" i="2"/>
  <c r="Y995" i="2"/>
  <c r="U992" i="2"/>
  <c r="R1019" i="2"/>
  <c r="R1034" i="2"/>
  <c r="Q1104" i="2"/>
  <c r="Q1127" i="2"/>
  <c r="Q1115" i="2"/>
  <c r="Y1104" i="2"/>
  <c r="Y1127" i="2"/>
  <c r="T1108" i="2"/>
  <c r="T1123" i="2"/>
  <c r="V1453" i="2"/>
  <c r="V1469" i="2"/>
  <c r="V1461" i="2"/>
  <c r="AY2295" i="2"/>
  <c r="BE879" i="2"/>
  <c r="T954" i="2"/>
  <c r="T977" i="2"/>
  <c r="R958" i="2"/>
  <c r="R973" i="2"/>
  <c r="U962" i="2"/>
  <c r="R984" i="2"/>
  <c r="R1007" i="2"/>
  <c r="Z984" i="2"/>
  <c r="Z1007" i="2"/>
  <c r="Z995" i="2"/>
  <c r="Q988" i="2"/>
  <c r="Q1003" i="2"/>
  <c r="S1014" i="2"/>
  <c r="S1037" i="2"/>
  <c r="S1025" i="2"/>
  <c r="U1022" i="2"/>
  <c r="R1104" i="2"/>
  <c r="R1127" i="2"/>
  <c r="Z1104" i="2"/>
  <c r="Z1127" i="2"/>
  <c r="S2406" i="2"/>
  <c r="AA2406" i="2"/>
  <c r="AI2406" i="2"/>
  <c r="AQ2406" i="2"/>
  <c r="AY2406" i="2"/>
  <c r="BG2406" i="2"/>
  <c r="Q2421" i="2"/>
  <c r="Y2421" i="2"/>
  <c r="AG2421" i="2"/>
  <c r="AO2421" i="2"/>
  <c r="AW2421" i="2"/>
  <c r="BE2421" i="2"/>
  <c r="P2295" i="2"/>
  <c r="V958" i="2"/>
  <c r="V973" i="2"/>
  <c r="W962" i="2"/>
  <c r="R1112" i="2"/>
  <c r="Z1112" i="2"/>
  <c r="N1299" i="2"/>
  <c r="N1322" i="2"/>
  <c r="Q1453" i="2"/>
  <c r="Q1469" i="2"/>
  <c r="Q1461" i="2"/>
  <c r="Y1453" i="2"/>
  <c r="Y1469" i="2"/>
  <c r="Y1461" i="2"/>
  <c r="W2391" i="2"/>
  <c r="AE2391" i="2"/>
  <c r="AM2391" i="2"/>
  <c r="AU2391" i="2"/>
  <c r="BC2391" i="2"/>
  <c r="BK2391" i="2"/>
  <c r="U2406" i="2"/>
  <c r="AC2406" i="2"/>
  <c r="AK2406" i="2"/>
  <c r="AS2406" i="2"/>
  <c r="BA2406" i="2"/>
  <c r="BI2406" i="2"/>
  <c r="BC2310" i="2"/>
  <c r="P2310" i="2"/>
  <c r="Z413" i="2"/>
  <c r="AH413" i="2"/>
  <c r="AP413" i="2"/>
  <c r="AX413" i="2"/>
  <c r="BF413" i="2"/>
  <c r="U1019" i="2"/>
  <c r="U1034" i="2"/>
  <c r="U1108" i="2"/>
  <c r="U1123" i="2"/>
  <c r="U988" i="2"/>
  <c r="U1003" i="2"/>
  <c r="U958" i="2"/>
  <c r="U973" i="2"/>
  <c r="P988" i="2"/>
  <c r="P1003" i="2"/>
  <c r="P958" i="2"/>
  <c r="P973" i="2"/>
  <c r="P1108" i="2"/>
  <c r="P1123" i="2"/>
  <c r="P1019" i="2"/>
  <c r="P1034" i="2"/>
  <c r="R879" i="2"/>
  <c r="Z879" i="2"/>
  <c r="S887" i="2"/>
  <c r="T958" i="2"/>
  <c r="T973" i="2"/>
  <c r="R988" i="2"/>
  <c r="R1003" i="2"/>
  <c r="S988" i="2"/>
  <c r="S1003" i="2"/>
  <c r="Q1019" i="2"/>
  <c r="Q1034" i="2"/>
  <c r="S1108" i="2"/>
  <c r="S1123" i="2"/>
  <c r="P1453" i="2"/>
  <c r="P1469" i="2"/>
  <c r="P1461" i="2"/>
  <c r="X1453" i="2"/>
  <c r="X1469" i="2"/>
  <c r="X1461" i="2"/>
  <c r="W958" i="2"/>
  <c r="W973" i="2"/>
  <c r="V988" i="2"/>
  <c r="V1003" i="2"/>
  <c r="S1453" i="2"/>
  <c r="S1469" i="2"/>
  <c r="S1461" i="2"/>
  <c r="W988" i="2"/>
  <c r="W1003" i="2"/>
  <c r="Y2315" i="2"/>
  <c r="V1019" i="2"/>
  <c r="V1034" i="2"/>
  <c r="R2315" i="2"/>
  <c r="Z2315" i="2"/>
  <c r="V1025" i="2"/>
  <c r="R1461" i="2"/>
  <c r="Y1115" i="2"/>
  <c r="Q965" i="2"/>
  <c r="O22" i="1"/>
  <c r="O25" i="1"/>
  <c r="O26" i="1"/>
  <c r="O15" i="1"/>
  <c r="O24" i="1"/>
  <c r="N652" i="8" s="1"/>
  <c r="T6" i="4"/>
  <c r="Q30" i="4"/>
  <c r="T20" i="4"/>
  <c r="R23" i="1"/>
  <c r="T28" i="4"/>
  <c r="T9" i="4"/>
  <c r="R12" i="1"/>
  <c r="T23" i="4"/>
  <c r="R35" i="1"/>
  <c r="T31" i="4"/>
  <c r="R29" i="1"/>
  <c r="Q19" i="4"/>
  <c r="Q16" i="4"/>
  <c r="P16" i="4"/>
  <c r="T21" i="4"/>
  <c r="T29" i="4"/>
  <c r="H237" i="9" s="1"/>
  <c r="I237" i="9" s="1"/>
  <c r="J237" i="9" s="1"/>
  <c r="T8" i="4"/>
  <c r="R8" i="1"/>
  <c r="T22" i="4"/>
  <c r="R31" i="1"/>
  <c r="T30" i="4"/>
  <c r="T11" i="4"/>
  <c r="R20" i="1"/>
  <c r="Q33" i="4"/>
  <c r="P33" i="4" s="1"/>
  <c r="Q8" i="4"/>
  <c r="R10" i="1"/>
  <c r="Q21" i="4"/>
  <c r="T36" i="4"/>
  <c r="I559" i="9"/>
  <c r="K559" i="9" s="1"/>
  <c r="R9" i="1"/>
  <c r="T7" i="4"/>
  <c r="T34" i="4"/>
  <c r="P662" i="9" s="1"/>
  <c r="T10" i="4"/>
  <c r="R16" i="1"/>
  <c r="Q32" i="4"/>
  <c r="P32" i="4" s="1"/>
  <c r="Q9" i="4"/>
  <c r="R6" i="1"/>
  <c r="T13" i="4"/>
  <c r="R28" i="1"/>
  <c r="Q35" i="4"/>
  <c r="P35" i="4"/>
  <c r="Q10" i="4"/>
  <c r="R18" i="1"/>
  <c r="T38" i="4"/>
  <c r="N666" i="9" s="1"/>
  <c r="Q18" i="4"/>
  <c r="P18" i="4"/>
  <c r="Q23" i="4"/>
  <c r="P23" i="4"/>
  <c r="T26" i="4"/>
  <c r="R33" i="1"/>
  <c r="T12" i="4"/>
  <c r="R24" i="1"/>
  <c r="Q34" i="4"/>
  <c r="Q11" i="4"/>
  <c r="P11" i="4"/>
  <c r="R14" i="1"/>
  <c r="T15" i="4"/>
  <c r="H223" i="9" s="1"/>
  <c r="I223" i="9" s="1"/>
  <c r="J223" i="9" s="1"/>
  <c r="R36" i="1"/>
  <c r="Q37" i="4"/>
  <c r="P37" i="4" s="1"/>
  <c r="Q12" i="4"/>
  <c r="P12" i="4" s="1"/>
  <c r="R26" i="1"/>
  <c r="T33" i="4"/>
  <c r="I556" i="9"/>
  <c r="T35" i="4"/>
  <c r="T32" i="4"/>
  <c r="H240" i="9" s="1"/>
  <c r="Q28" i="4"/>
  <c r="P28" i="4" s="1"/>
  <c r="R13" i="1"/>
  <c r="T14" i="4"/>
  <c r="R32" i="1"/>
  <c r="Q36" i="4"/>
  <c r="P36" i="4"/>
  <c r="Q13" i="4"/>
  <c r="P13" i="4"/>
  <c r="R22" i="1"/>
  <c r="Q25" i="4"/>
  <c r="P25" i="4" s="1"/>
  <c r="Q6" i="4"/>
  <c r="P6" i="4" s="1"/>
  <c r="Q39" i="4"/>
  <c r="P39" i="4" s="1"/>
  <c r="Q14" i="4"/>
  <c r="P14" i="4"/>
  <c r="R34" i="1"/>
  <c r="Q20" i="4"/>
  <c r="P20" i="4" s="1"/>
  <c r="R21" i="1"/>
  <c r="R25" i="1"/>
  <c r="Q31" i="4"/>
  <c r="P31" i="4" s="1"/>
  <c r="R27" i="1"/>
  <c r="Q24" i="4"/>
  <c r="P24" i="4"/>
  <c r="Q7" i="4"/>
  <c r="P7" i="4"/>
  <c r="Q38" i="4"/>
  <c r="Q15" i="4"/>
  <c r="R30" i="1"/>
  <c r="Q27" i="4"/>
  <c r="P27" i="4" s="1"/>
  <c r="T17" i="4"/>
  <c r="R11" i="1"/>
  <c r="T25" i="4"/>
  <c r="I548" i="9" s="1"/>
  <c r="K548" i="9" s="1"/>
  <c r="Q22" i="4"/>
  <c r="P22" i="4"/>
  <c r="T37" i="4"/>
  <c r="J560" i="9" s="1"/>
  <c r="R37" i="1"/>
  <c r="R15" i="1"/>
  <c r="Q26" i="4"/>
  <c r="P26" i="4" s="1"/>
  <c r="T16" i="4"/>
  <c r="J539" i="9" s="1"/>
  <c r="R7" i="1"/>
  <c r="T24" i="4"/>
  <c r="J547" i="9" s="1"/>
  <c r="R38" i="1"/>
  <c r="Q29" i="4"/>
  <c r="P29" i="4" s="1"/>
  <c r="T19" i="4"/>
  <c r="J542" i="9" s="1"/>
  <c r="K542" i="9" s="1"/>
  <c r="R19" i="1"/>
  <c r="T27" i="4"/>
  <c r="I550" i="9" s="1"/>
  <c r="K550" i="9" s="1"/>
  <c r="T39" i="4"/>
  <c r="J562" i="9"/>
  <c r="R17" i="1"/>
  <c r="Q17" i="4"/>
  <c r="P17" i="4" s="1"/>
  <c r="T18" i="4"/>
  <c r="I541" i="9" s="1"/>
  <c r="P8" i="4"/>
  <c r="P19" i="4"/>
  <c r="I17" i="9"/>
  <c r="I32" i="9"/>
  <c r="I18" i="9"/>
  <c r="I26" i="9"/>
  <c r="I34" i="9"/>
  <c r="I16" i="9"/>
  <c r="N1310" i="2"/>
  <c r="O78" i="1"/>
  <c r="O85" i="1"/>
  <c r="Y965" i="2"/>
  <c r="O45" i="1"/>
  <c r="O40" i="1"/>
  <c r="W1025" i="2"/>
  <c r="Q1025" i="2"/>
  <c r="P965" i="2"/>
  <c r="V1115" i="2"/>
  <c r="W965" i="2"/>
  <c r="P995" i="2"/>
  <c r="U995" i="2"/>
  <c r="S965" i="2"/>
  <c r="S1115" i="2"/>
  <c r="U1025" i="2"/>
  <c r="R1025" i="2"/>
  <c r="T1115" i="2"/>
  <c r="U965" i="2"/>
  <c r="P1025" i="2"/>
  <c r="X1115" i="2"/>
  <c r="R965" i="2"/>
  <c r="S995" i="2"/>
  <c r="P1115" i="2"/>
  <c r="T995" i="2"/>
  <c r="W995" i="2"/>
  <c r="R995" i="2"/>
  <c r="Z965" i="2"/>
  <c r="V995" i="2"/>
  <c r="O86" i="1"/>
  <c r="V965" i="2"/>
  <c r="T965" i="2"/>
  <c r="U1115" i="2"/>
  <c r="Q995" i="2"/>
  <c r="Z1115" i="2"/>
  <c r="R1115" i="2"/>
  <c r="W1115" i="2"/>
  <c r="O94" i="1"/>
  <c r="O70" i="1"/>
  <c r="O101" i="1"/>
  <c r="O46" i="1"/>
  <c r="O89" i="1"/>
  <c r="O62" i="1"/>
  <c r="O67" i="1"/>
  <c r="O57" i="1"/>
  <c r="O104" i="1"/>
  <c r="O72" i="1"/>
  <c r="O65" i="1"/>
  <c r="O90" i="1"/>
  <c r="O58" i="1"/>
  <c r="O87" i="1"/>
  <c r="O47" i="1"/>
  <c r="O42" i="1"/>
  <c r="O71" i="1"/>
  <c r="O73" i="1"/>
  <c r="O64" i="1"/>
  <c r="O51" i="1"/>
  <c r="O52" i="1"/>
  <c r="O74" i="1"/>
  <c r="O79" i="1"/>
  <c r="O98" i="1"/>
  <c r="O66" i="1"/>
  <c r="O102" i="1"/>
  <c r="O103" i="1"/>
  <c r="R40" i="1"/>
  <c r="R104" i="1"/>
  <c r="R103" i="1"/>
  <c r="R86" i="1"/>
  <c r="N714" i="8" s="1"/>
  <c r="R45" i="1"/>
  <c r="R43" i="1"/>
  <c r="R76" i="1"/>
  <c r="R73" i="1"/>
  <c r="R66" i="1"/>
  <c r="R65" i="1"/>
  <c r="R48" i="1"/>
  <c r="R47" i="1"/>
  <c r="R51" i="1"/>
  <c r="R94" i="1"/>
  <c r="R53" i="1"/>
  <c r="R67" i="1"/>
  <c r="R84" i="1"/>
  <c r="R81" i="1"/>
  <c r="R98" i="1"/>
  <c r="R95" i="1"/>
  <c r="P723" i="8" s="1"/>
  <c r="R74" i="1"/>
  <c r="R56" i="1"/>
  <c r="R55" i="1"/>
  <c r="R50" i="1"/>
  <c r="R102" i="1"/>
  <c r="R61" i="1"/>
  <c r="R91" i="1"/>
  <c r="R92" i="1"/>
  <c r="I615" i="8" s="1" a="1"/>
  <c r="R89" i="1"/>
  <c r="R58" i="1"/>
  <c r="R64" i="1"/>
  <c r="R63" i="1"/>
  <c r="R46" i="1"/>
  <c r="R59" i="1"/>
  <c r="R69" i="1"/>
  <c r="R99" i="1"/>
  <c r="R100" i="1"/>
  <c r="R97" i="1"/>
  <c r="R96" i="1"/>
  <c r="R72" i="1"/>
  <c r="R71" i="1"/>
  <c r="P699" i="8" s="1"/>
  <c r="R54" i="1"/>
  <c r="R75" i="1"/>
  <c r="H283" i="8" s="1"/>
  <c r="R77" i="1"/>
  <c r="M705" i="8" s="1"/>
  <c r="R44" i="1"/>
  <c r="R41" i="1"/>
  <c r="R105" i="1"/>
  <c r="R68" i="1"/>
  <c r="R80" i="1"/>
  <c r="R79" i="1"/>
  <c r="R62" i="1"/>
  <c r="P690" i="8" s="1"/>
  <c r="R83" i="1"/>
  <c r="R85" i="1"/>
  <c r="R52" i="1"/>
  <c r="R49" i="1"/>
  <c r="R82" i="1"/>
  <c r="R101" i="1"/>
  <c r="R88" i="1"/>
  <c r="R87" i="1"/>
  <c r="R70" i="1"/>
  <c r="R42" i="1"/>
  <c r="R93" i="1"/>
  <c r="R60" i="1"/>
  <c r="R57" i="1"/>
  <c r="R90" i="1"/>
  <c r="R78" i="1"/>
  <c r="I601" i="8" a="1"/>
  <c r="I601" i="8" s="1"/>
  <c r="M601" i="8" s="1"/>
  <c r="D592" i="8"/>
  <c r="E592" i="8"/>
  <c r="E612" i="8"/>
  <c r="D612" i="8"/>
  <c r="D594" i="8"/>
  <c r="E594" i="8"/>
  <c r="D601" i="8"/>
  <c r="E601" i="8"/>
  <c r="D624" i="8"/>
  <c r="D590" i="8"/>
  <c r="E590" i="8"/>
  <c r="D625" i="8"/>
  <c r="E625" i="8"/>
  <c r="D582" i="8"/>
  <c r="E589" i="8"/>
  <c r="D589" i="8"/>
  <c r="E619" i="8"/>
  <c r="D619" i="8"/>
  <c r="D586" i="8"/>
  <c r="E586" i="8"/>
  <c r="D593" i="8"/>
  <c r="E593" i="8"/>
  <c r="E628" i="8"/>
  <c r="D628" i="8"/>
  <c r="D584" i="8"/>
  <c r="E584" i="8"/>
  <c r="E581" i="8"/>
  <c r="D581" i="8"/>
  <c r="E596" i="8"/>
  <c r="D596" i="8"/>
  <c r="E611" i="8"/>
  <c r="D611" i="8"/>
  <c r="D585" i="8"/>
  <c r="E585" i="8"/>
  <c r="E588" i="8"/>
  <c r="D588" i="8"/>
  <c r="D599" i="8"/>
  <c r="E599" i="8"/>
  <c r="D591" i="8"/>
  <c r="E591" i="8"/>
  <c r="D622" i="8"/>
  <c r="E622" i="8"/>
  <c r="D626" i="8"/>
  <c r="E626" i="8"/>
  <c r="D623" i="8"/>
  <c r="E623" i="8"/>
  <c r="D583" i="8"/>
  <c r="E595" i="8"/>
  <c r="D595" i="8"/>
  <c r="D616" i="8"/>
  <c r="E616" i="8"/>
  <c r="D614" i="8"/>
  <c r="E614" i="8"/>
  <c r="E621" i="8"/>
  <c r="D621" i="8"/>
  <c r="E587" i="8"/>
  <c r="D587" i="8"/>
  <c r="D607" i="8"/>
  <c r="E607" i="8"/>
  <c r="D608" i="8"/>
  <c r="E608" i="8"/>
  <c r="E613" i="8"/>
  <c r="D613" i="8"/>
  <c r="D615" i="8"/>
  <c r="E615" i="8"/>
  <c r="D610" i="8"/>
  <c r="E610" i="8"/>
  <c r="D598" i="8"/>
  <c r="E598" i="8"/>
  <c r="E605" i="8"/>
  <c r="D605" i="8"/>
  <c r="D609" i="8"/>
  <c r="E609" i="8"/>
  <c r="H351" i="9"/>
  <c r="D662" i="9"/>
  <c r="H452" i="9"/>
  <c r="H28" i="9"/>
  <c r="H24" i="9"/>
  <c r="H129" i="9"/>
  <c r="H444" i="9"/>
  <c r="H31" i="9"/>
  <c r="H136" i="9"/>
  <c r="H451" i="9"/>
  <c r="H346" i="9"/>
  <c r="D661" i="9"/>
  <c r="H35" i="9"/>
  <c r="H350" i="9"/>
  <c r="D665" i="9"/>
  <c r="H140" i="9"/>
  <c r="H455" i="9"/>
  <c r="H34" i="9"/>
  <c r="H349" i="9"/>
  <c r="H454" i="9"/>
  <c r="D664" i="9"/>
  <c r="H139" i="9"/>
  <c r="H446" i="9"/>
  <c r="H131" i="9"/>
  <c r="D656" i="9"/>
  <c r="H341" i="9"/>
  <c r="H33" i="9"/>
  <c r="H453" i="9"/>
  <c r="H348" i="9"/>
  <c r="D663" i="9"/>
  <c r="H138" i="9"/>
  <c r="H25" i="9"/>
  <c r="H130" i="9"/>
  <c r="H340" i="9"/>
  <c r="D655" i="9"/>
  <c r="H445" i="9"/>
  <c r="D653" i="9"/>
  <c r="H27" i="9"/>
  <c r="D657" i="9"/>
  <c r="H447" i="9"/>
  <c r="H342" i="9"/>
  <c r="H132" i="9"/>
  <c r="H135" i="9"/>
  <c r="D660" i="9"/>
  <c r="H450" i="9"/>
  <c r="H29" i="9"/>
  <c r="D659" i="9"/>
  <c r="H344" i="9"/>
  <c r="H449" i="9"/>
  <c r="H134" i="9"/>
  <c r="H11" i="9"/>
  <c r="D641" i="9"/>
  <c r="H326" i="9"/>
  <c r="H116" i="9"/>
  <c r="H431" i="9"/>
  <c r="AC25" i="9"/>
  <c r="AC6" i="9"/>
  <c r="AC43" i="9"/>
  <c r="Q431" i="8"/>
  <c r="D439" i="8"/>
  <c r="AC5" i="9"/>
  <c r="AC90" i="9"/>
  <c r="AC89" i="9"/>
  <c r="N430" i="8"/>
  <c r="R430" i="8"/>
  <c r="J439" i="8"/>
  <c r="AC85" i="9"/>
  <c r="AC65" i="9"/>
  <c r="AC93" i="9"/>
  <c r="D438" i="8"/>
  <c r="Q322" i="8"/>
  <c r="AC69" i="9"/>
  <c r="AC49" i="9"/>
  <c r="AC77" i="9"/>
  <c r="N427" i="8"/>
  <c r="N429" i="8"/>
  <c r="O326" i="8"/>
  <c r="AC7" i="9"/>
  <c r="AC41" i="9"/>
  <c r="AC66" i="9"/>
  <c r="P320" i="8"/>
  <c r="O322" i="8"/>
  <c r="Q425" i="8"/>
  <c r="AC57" i="9"/>
  <c r="AC92" i="9"/>
  <c r="AC34" i="9"/>
  <c r="Q320" i="8"/>
  <c r="E439" i="8"/>
  <c r="AC87" i="9"/>
  <c r="AC67" i="9"/>
  <c r="AC95" i="9"/>
  <c r="O323" i="8"/>
  <c r="N320" i="8"/>
  <c r="J333" i="8"/>
  <c r="AC71" i="9"/>
  <c r="AC51" i="9"/>
  <c r="AC79" i="9"/>
  <c r="O427" i="8"/>
  <c r="N326" i="8"/>
  <c r="AC96" i="9"/>
  <c r="AC55" i="9"/>
  <c r="AC94" i="9"/>
  <c r="AC53" i="9"/>
  <c r="AC76" i="9"/>
  <c r="AC35" i="9"/>
  <c r="AC74" i="9"/>
  <c r="AC33" i="9"/>
  <c r="AC73" i="9"/>
  <c r="AC63" i="9"/>
  <c r="AC61" i="9"/>
  <c r="N325" i="8"/>
  <c r="O426" i="8"/>
  <c r="R326" i="8"/>
  <c r="N321" i="8"/>
  <c r="O428" i="8"/>
  <c r="F438" i="8"/>
  <c r="P326" i="8"/>
  <c r="P325" i="8"/>
  <c r="J438" i="8"/>
  <c r="O325" i="8"/>
  <c r="AC80" i="9"/>
  <c r="AC39" i="9"/>
  <c r="AC78" i="9"/>
  <c r="AC37" i="9"/>
  <c r="AC60" i="9"/>
  <c r="AC21" i="9"/>
  <c r="AC58" i="9"/>
  <c r="AC20" i="9"/>
  <c r="AC88" i="9"/>
  <c r="AC47" i="9"/>
  <c r="AC86" i="9"/>
  <c r="AC45" i="9"/>
  <c r="Q426" i="8"/>
  <c r="P425" i="8"/>
  <c r="O429" i="8"/>
  <c r="P321" i="8"/>
  <c r="O320" i="8"/>
  <c r="N324" i="8"/>
  <c r="N425" i="8"/>
  <c r="Q325" i="8"/>
  <c r="O431" i="8"/>
  <c r="Q324" i="8"/>
  <c r="Q324" i="9" s="1"/>
  <c r="N431" i="8"/>
  <c r="P324" i="8"/>
  <c r="AC36" i="9"/>
  <c r="AC64" i="9"/>
  <c r="AC23" i="9"/>
  <c r="AC62" i="9"/>
  <c r="AC22" i="9"/>
  <c r="AC44" i="9"/>
  <c r="AC13" i="9"/>
  <c r="AC42" i="9"/>
  <c r="AC12" i="9"/>
  <c r="AC72" i="9"/>
  <c r="AC31" i="9"/>
  <c r="AC70" i="9"/>
  <c r="AC29" i="9"/>
  <c r="P322" i="8"/>
  <c r="Q427" i="8"/>
  <c r="F439" i="8"/>
  <c r="R320" i="8"/>
  <c r="R324" i="8"/>
  <c r="P430" i="8"/>
  <c r="R323" i="8"/>
  <c r="O430" i="8"/>
  <c r="Q323" i="8"/>
  <c r="AC27" i="9"/>
  <c r="AC48" i="9"/>
  <c r="AC15" i="9"/>
  <c r="AC46" i="9"/>
  <c r="AC14" i="9"/>
  <c r="AC28" i="9"/>
  <c r="AC52" i="9"/>
  <c r="AC26" i="9"/>
  <c r="AC11" i="9"/>
  <c r="AC56" i="9"/>
  <c r="AC19" i="9"/>
  <c r="AC54" i="9"/>
  <c r="AC18" i="9"/>
  <c r="Q321" i="8"/>
  <c r="R431" i="8"/>
  <c r="R321" i="8"/>
  <c r="N426" i="8"/>
  <c r="Q326" i="8"/>
  <c r="Q326" i="9" s="1"/>
  <c r="N428" i="8"/>
  <c r="P431" i="8"/>
  <c r="P428" i="8"/>
  <c r="Q429" i="8"/>
  <c r="Q429" i="9" s="1"/>
  <c r="J124" i="8"/>
  <c r="P429" i="8"/>
  <c r="R322" i="8"/>
  <c r="AC82" i="9"/>
  <c r="AC32" i="9"/>
  <c r="AC68" i="9"/>
  <c r="AC30" i="9"/>
  <c r="AC100" i="9"/>
  <c r="AC99" i="9"/>
  <c r="AC59" i="9"/>
  <c r="AC97" i="9"/>
  <c r="AC91" i="9"/>
  <c r="AC40" i="9"/>
  <c r="AC8" i="9"/>
  <c r="AC38" i="9"/>
  <c r="AC9" i="9"/>
  <c r="G438" i="8"/>
  <c r="N322" i="8"/>
  <c r="G439" i="8"/>
  <c r="O425" i="8"/>
  <c r="R325" i="8"/>
  <c r="P426" i="8"/>
  <c r="Q430" i="8"/>
  <c r="P323" i="8"/>
  <c r="R428" i="8"/>
  <c r="E438" i="8"/>
  <c r="Q428" i="8"/>
  <c r="J123" i="8"/>
  <c r="AC50" i="9"/>
  <c r="AC103" i="9"/>
  <c r="AC75" i="9"/>
  <c r="AC101" i="9"/>
  <c r="AC17" i="9"/>
  <c r="AC83" i="9"/>
  <c r="AC16" i="9"/>
  <c r="AC81" i="9"/>
  <c r="AC98" i="9"/>
  <c r="AC24" i="9"/>
  <c r="AC84" i="9"/>
  <c r="AC10" i="9"/>
  <c r="O321" i="8"/>
  <c r="R425" i="8"/>
  <c r="R426" i="8"/>
  <c r="N323" i="8"/>
  <c r="R429" i="8"/>
  <c r="P427" i="8"/>
  <c r="J334" i="8"/>
  <c r="O324" i="8"/>
  <c r="R427" i="8"/>
  <c r="AC4" i="9"/>
  <c r="J432" i="9"/>
  <c r="J327" i="9"/>
  <c r="J333" i="9"/>
  <c r="J125" i="9"/>
  <c r="G479" i="8"/>
  <c r="D427" i="8"/>
  <c r="N464" i="8"/>
  <c r="E435" i="8"/>
  <c r="Q468" i="8"/>
  <c r="J428" i="8"/>
  <c r="G440" i="8"/>
  <c r="E448" i="8"/>
  <c r="E443" i="8"/>
  <c r="P464" i="8"/>
  <c r="F443" i="8"/>
  <c r="R358" i="8"/>
  <c r="J120" i="8"/>
  <c r="P455" i="8"/>
  <c r="D474" i="8"/>
  <c r="F442" i="8"/>
  <c r="P438" i="8"/>
  <c r="J337" i="8"/>
  <c r="P357" i="8"/>
  <c r="J143" i="8"/>
  <c r="P470" i="8"/>
  <c r="D425" i="8"/>
  <c r="F473" i="8"/>
  <c r="G453" i="8"/>
  <c r="J441" i="8"/>
  <c r="J376" i="8"/>
  <c r="O360" i="8"/>
  <c r="J126" i="8"/>
  <c r="P463" i="8"/>
  <c r="N350" i="8"/>
  <c r="F434" i="8"/>
  <c r="D480" i="8"/>
  <c r="E452" i="8"/>
  <c r="F432" i="8"/>
  <c r="J480" i="8"/>
  <c r="O456" i="8"/>
  <c r="J335" i="8"/>
  <c r="Q351" i="8"/>
  <c r="Q350" i="8"/>
  <c r="P467" i="8"/>
  <c r="E482" i="8"/>
  <c r="G434" i="8"/>
  <c r="R466" i="8"/>
  <c r="P361" i="8"/>
  <c r="J115" i="8"/>
  <c r="N362" i="8"/>
  <c r="E434" i="8"/>
  <c r="J446" i="8"/>
  <c r="D445" i="8"/>
  <c r="E433" i="8"/>
  <c r="G481" i="8"/>
  <c r="J461" i="8"/>
  <c r="Q469" i="8"/>
  <c r="N360" i="8"/>
  <c r="J130" i="8"/>
  <c r="J331" i="8"/>
  <c r="R359" i="8"/>
  <c r="J330" i="9"/>
  <c r="J438" i="9"/>
  <c r="J119" i="9"/>
  <c r="J331" i="9"/>
  <c r="G451" i="8"/>
  <c r="E459" i="8"/>
  <c r="D451" i="8"/>
  <c r="F475" i="8"/>
  <c r="R464" i="8"/>
  <c r="D483" i="8"/>
  <c r="J479" i="8"/>
  <c r="E431" i="8"/>
  <c r="G435" i="8"/>
  <c r="D476" i="8"/>
  <c r="G483" i="8"/>
  <c r="R350" i="8"/>
  <c r="J112" i="8"/>
  <c r="R455" i="8"/>
  <c r="D458" i="8"/>
  <c r="F426" i="8"/>
  <c r="R470" i="8"/>
  <c r="J329" i="8"/>
  <c r="P333" i="8"/>
  <c r="J135" i="8"/>
  <c r="Q466" i="8"/>
  <c r="E477" i="8"/>
  <c r="F457" i="8"/>
  <c r="G445" i="8"/>
  <c r="J433" i="8"/>
  <c r="J368" i="8"/>
  <c r="P364" i="8"/>
  <c r="J118" i="8"/>
  <c r="P439" i="8"/>
  <c r="D482" i="8"/>
  <c r="G478" i="8"/>
  <c r="D472" i="8"/>
  <c r="E444" i="8"/>
  <c r="J472" i="8"/>
  <c r="P468" i="8"/>
  <c r="J327" i="8"/>
  <c r="R363" i="8"/>
  <c r="Q334" i="8"/>
  <c r="Q455" i="8"/>
  <c r="E458" i="8"/>
  <c r="J454" i="8"/>
  <c r="J373" i="8"/>
  <c r="Q365" i="8"/>
  <c r="O463" i="8"/>
  <c r="O358" i="8"/>
  <c r="F454" i="8"/>
  <c r="O462" i="8"/>
  <c r="D437" i="8"/>
  <c r="E425" i="8"/>
  <c r="G473" i="8"/>
  <c r="J453" i="8"/>
  <c r="R465" i="8"/>
  <c r="O364" i="8"/>
  <c r="J122" i="8"/>
  <c r="J323" i="8"/>
  <c r="R351" i="8"/>
  <c r="J336" i="9"/>
  <c r="J124" i="9"/>
  <c r="J436" i="9"/>
  <c r="J442" i="9"/>
  <c r="G432" i="8"/>
  <c r="F479" i="8"/>
  <c r="F459" i="8"/>
  <c r="F451" i="8"/>
  <c r="E479" i="8"/>
  <c r="J447" i="8"/>
  <c r="F444" i="8"/>
  <c r="D447" i="8"/>
  <c r="D452" i="8"/>
  <c r="J471" i="8"/>
  <c r="R334" i="8"/>
  <c r="J483" i="8"/>
  <c r="J378" i="8"/>
  <c r="D442" i="8"/>
  <c r="G454" i="8"/>
  <c r="R462" i="8"/>
  <c r="J321" i="8"/>
  <c r="Q361" i="8"/>
  <c r="J127" i="8"/>
  <c r="D481" i="8"/>
  <c r="E461" i="8"/>
  <c r="F449" i="8"/>
  <c r="G437" i="8"/>
  <c r="J425" i="8"/>
  <c r="J352" i="8"/>
  <c r="Q360" i="8"/>
  <c r="J110" i="8"/>
  <c r="Q467" i="8"/>
  <c r="D450" i="8"/>
  <c r="G446" i="8"/>
  <c r="D448" i="8"/>
  <c r="E436" i="8"/>
  <c r="G476" i="8"/>
  <c r="J448" i="8"/>
  <c r="Q464" i="8"/>
  <c r="J165" i="8"/>
  <c r="R362" i="8"/>
  <c r="J374" i="8"/>
  <c r="E442" i="8"/>
  <c r="J430" i="8"/>
  <c r="J341" i="8"/>
  <c r="Q357" i="8"/>
  <c r="O439" i="8"/>
  <c r="O334" i="8"/>
  <c r="F430" i="8"/>
  <c r="O438" i="8"/>
  <c r="D429" i="8"/>
  <c r="F477" i="8"/>
  <c r="G457" i="8"/>
  <c r="J445" i="8"/>
  <c r="J372" i="8"/>
  <c r="P360" i="8"/>
  <c r="J114" i="8"/>
  <c r="N359" i="8"/>
  <c r="J161" i="8"/>
  <c r="J328" i="9"/>
  <c r="J334" i="9"/>
  <c r="J123" i="9"/>
  <c r="J434" i="9"/>
  <c r="J460" i="8"/>
  <c r="F436" i="8"/>
  <c r="D471" i="8"/>
  <c r="F431" i="8"/>
  <c r="N456" i="8"/>
  <c r="E451" i="8"/>
  <c r="D431" i="8"/>
  <c r="F427" i="8"/>
  <c r="D443" i="8"/>
  <c r="D435" i="8"/>
  <c r="O362" i="8"/>
  <c r="J168" i="8"/>
  <c r="J459" i="8"/>
  <c r="J346" i="8"/>
  <c r="D426" i="8"/>
  <c r="G430" i="8"/>
  <c r="R438" i="8"/>
  <c r="N365" i="8"/>
  <c r="R365" i="8"/>
  <c r="J119" i="8"/>
  <c r="D473" i="8"/>
  <c r="E453" i="8"/>
  <c r="F441" i="8"/>
  <c r="G429" i="8"/>
  <c r="N469" i="8"/>
  <c r="J344" i="8"/>
  <c r="R364" i="8"/>
  <c r="J475" i="8"/>
  <c r="R463" i="8"/>
  <c r="D434" i="8"/>
  <c r="J482" i="8"/>
  <c r="D440" i="8"/>
  <c r="E428" i="8"/>
  <c r="G460" i="8"/>
  <c r="J440" i="8"/>
  <c r="Q456" i="8"/>
  <c r="N363" i="8"/>
  <c r="J157" i="8"/>
  <c r="J164" i="8"/>
  <c r="J342" i="8"/>
  <c r="E426" i="8"/>
  <c r="N466" i="8"/>
  <c r="J325" i="8"/>
  <c r="Q333" i="8"/>
  <c r="Q463" i="8"/>
  <c r="P362" i="8"/>
  <c r="G474" i="8"/>
  <c r="Q462" i="8"/>
  <c r="E481" i="8"/>
  <c r="F461" i="8"/>
  <c r="G449" i="8"/>
  <c r="J437" i="8"/>
  <c r="J356" i="8"/>
  <c r="Q364" i="8"/>
  <c r="R456" i="8"/>
  <c r="N351" i="8"/>
  <c r="J145" i="8"/>
  <c r="J441" i="9"/>
  <c r="J439" i="9"/>
  <c r="J127" i="9"/>
  <c r="J332" i="9"/>
  <c r="J121" i="9"/>
  <c r="J436" i="8"/>
  <c r="G475" i="8"/>
  <c r="F483" i="8"/>
  <c r="G471" i="8"/>
  <c r="E440" i="8"/>
  <c r="E432" i="8"/>
  <c r="D459" i="8"/>
  <c r="G459" i="8"/>
  <c r="E483" i="8"/>
  <c r="E472" i="8"/>
  <c r="P358" i="8"/>
  <c r="J160" i="8"/>
  <c r="J443" i="8"/>
  <c r="J338" i="8"/>
  <c r="E454" i="8"/>
  <c r="J474" i="8"/>
  <c r="J377" i="8"/>
  <c r="N357" i="8"/>
  <c r="R357" i="8"/>
  <c r="J111" i="8"/>
  <c r="D457" i="8"/>
  <c r="E445" i="8"/>
  <c r="F433" i="8"/>
  <c r="J481" i="8"/>
  <c r="O465" i="8"/>
  <c r="J336" i="8"/>
  <c r="J166" i="8"/>
  <c r="J451" i="8"/>
  <c r="R439" i="8"/>
  <c r="E478" i="8"/>
  <c r="J458" i="8"/>
  <c r="D432" i="8"/>
  <c r="F480" i="8"/>
  <c r="G452" i="8"/>
  <c r="J432" i="8"/>
  <c r="R468" i="8"/>
  <c r="O359" i="8"/>
  <c r="J133" i="8"/>
  <c r="J156" i="8"/>
  <c r="O350" i="8"/>
  <c r="F478" i="8"/>
  <c r="O470" i="8"/>
  <c r="N361" i="8"/>
  <c r="R361" i="8"/>
  <c r="Q439" i="8"/>
  <c r="D478" i="8"/>
  <c r="G458" i="8"/>
  <c r="J349" i="8"/>
  <c r="E473" i="8"/>
  <c r="F453" i="8"/>
  <c r="G441" i="8"/>
  <c r="J429" i="8"/>
  <c r="J348" i="8"/>
  <c r="R360" i="8"/>
  <c r="J371" i="8"/>
  <c r="O363" i="8"/>
  <c r="J137" i="8"/>
  <c r="J337" i="9"/>
  <c r="J122" i="9"/>
  <c r="J437" i="9"/>
  <c r="J126" i="9"/>
  <c r="E471" i="8"/>
  <c r="N467" i="8"/>
  <c r="G448" i="8"/>
  <c r="F452" i="8"/>
  <c r="G443" i="8"/>
  <c r="D460" i="8"/>
  <c r="F471" i="8"/>
  <c r="D479" i="8"/>
  <c r="J476" i="8"/>
  <c r="F435" i="8"/>
  <c r="E447" i="8"/>
  <c r="P350" i="8"/>
  <c r="J144" i="8"/>
  <c r="J427" i="8"/>
  <c r="J322" i="8"/>
  <c r="E430" i="8"/>
  <c r="J442" i="8"/>
  <c r="J369" i="8"/>
  <c r="N333" i="8"/>
  <c r="N333" i="9" s="1"/>
  <c r="R333" i="8"/>
  <c r="J450" i="8"/>
  <c r="D449" i="8"/>
  <c r="E437" i="8"/>
  <c r="F425" i="8"/>
  <c r="J473" i="8"/>
  <c r="P469" i="8"/>
  <c r="J328" i="8"/>
  <c r="J158" i="8"/>
  <c r="J435" i="8"/>
  <c r="J370" i="8"/>
  <c r="E446" i="8"/>
  <c r="J426" i="8"/>
  <c r="F472" i="8"/>
  <c r="G444" i="8"/>
  <c r="J375" i="8"/>
  <c r="O351" i="8"/>
  <c r="J125" i="8"/>
  <c r="J132" i="8"/>
  <c r="Q358" i="8"/>
  <c r="F446" i="8"/>
  <c r="P466" i="8"/>
  <c r="O365" i="8"/>
  <c r="J163" i="8"/>
  <c r="R467" i="8"/>
  <c r="D446" i="8"/>
  <c r="G442" i="8"/>
  <c r="D477" i="8"/>
  <c r="E457" i="8"/>
  <c r="F445" i="8"/>
  <c r="G433" i="8"/>
  <c r="N465" i="8"/>
  <c r="J340" i="8"/>
  <c r="J162" i="8"/>
  <c r="J355" i="8"/>
  <c r="P359" i="8"/>
  <c r="J129" i="8"/>
  <c r="J329" i="9"/>
  <c r="J117" i="9"/>
  <c r="J120" i="9"/>
  <c r="J435" i="9"/>
  <c r="G480" i="8"/>
  <c r="P456" i="8"/>
  <c r="G431" i="8"/>
  <c r="G427" i="8"/>
  <c r="F476" i="8"/>
  <c r="F447" i="8"/>
  <c r="D436" i="8"/>
  <c r="J444" i="8"/>
  <c r="G472" i="8"/>
  <c r="E427" i="8"/>
  <c r="P334" i="8"/>
  <c r="J136" i="8"/>
  <c r="N463" i="8"/>
  <c r="N358" i="8"/>
  <c r="F482" i="8"/>
  <c r="N462" i="8"/>
  <c r="J353" i="8"/>
  <c r="O361" i="8"/>
  <c r="J167" i="8"/>
  <c r="J434" i="8"/>
  <c r="D441" i="8"/>
  <c r="E429" i="8"/>
  <c r="G477" i="8"/>
  <c r="J457" i="8"/>
  <c r="Q465" i="8"/>
  <c r="J320" i="8"/>
  <c r="J142" i="8"/>
  <c r="N455" i="8"/>
  <c r="J354" i="8"/>
  <c r="F458" i="8"/>
  <c r="N438" i="8"/>
  <c r="N438" i="9" s="1"/>
  <c r="E476" i="8"/>
  <c r="F448" i="8"/>
  <c r="G436" i="8"/>
  <c r="N468" i="8"/>
  <c r="J367" i="8"/>
  <c r="P363" i="8"/>
  <c r="J117" i="8"/>
  <c r="J116" i="8"/>
  <c r="D454" i="8"/>
  <c r="G482" i="8"/>
  <c r="Q470" i="8"/>
  <c r="O357" i="8"/>
  <c r="J139" i="8"/>
  <c r="J366" i="8"/>
  <c r="E474" i="8"/>
  <c r="G426" i="8"/>
  <c r="D461" i="8"/>
  <c r="E449" i="8"/>
  <c r="F437" i="8"/>
  <c r="G425" i="8"/>
  <c r="O469" i="8"/>
  <c r="J332" i="8"/>
  <c r="J146" i="8"/>
  <c r="J347" i="8"/>
  <c r="P351" i="8"/>
  <c r="J121" i="8"/>
  <c r="J440" i="9"/>
  <c r="J335" i="9"/>
  <c r="J433" i="9"/>
  <c r="J118" i="9"/>
  <c r="D428" i="8"/>
  <c r="D444" i="8"/>
  <c r="J431" i="8"/>
  <c r="E480" i="8"/>
  <c r="J452" i="8"/>
  <c r="G447" i="8"/>
  <c r="F428" i="8"/>
  <c r="E475" i="8"/>
  <c r="D475" i="8"/>
  <c r="O468" i="8"/>
  <c r="F460" i="8"/>
  <c r="Q362" i="8"/>
  <c r="J128" i="8"/>
  <c r="N439" i="8"/>
  <c r="N334" i="8"/>
  <c r="F474" i="8"/>
  <c r="O466" i="8"/>
  <c r="J345" i="8"/>
  <c r="P365" i="8"/>
  <c r="J159" i="8"/>
  <c r="N470" i="8"/>
  <c r="D433" i="8"/>
  <c r="F481" i="8"/>
  <c r="G461" i="8"/>
  <c r="J449" i="8"/>
  <c r="R469" i="8"/>
  <c r="N364" i="8"/>
  <c r="J134" i="8"/>
  <c r="O467" i="8"/>
  <c r="J330" i="8"/>
  <c r="F450" i="8"/>
  <c r="P462" i="8"/>
  <c r="E460" i="8"/>
  <c r="F440" i="8"/>
  <c r="G428" i="8"/>
  <c r="O464" i="8"/>
  <c r="J343" i="8"/>
  <c r="Q359" i="8"/>
  <c r="O455" i="8"/>
  <c r="D430" i="8"/>
  <c r="G450" i="8"/>
  <c r="Q438" i="8"/>
  <c r="O333" i="8"/>
  <c r="J131" i="8"/>
  <c r="J326" i="8"/>
  <c r="E450" i="8"/>
  <c r="J478" i="8"/>
  <c r="D453" i="8"/>
  <c r="E441" i="8"/>
  <c r="F429" i="8"/>
  <c r="J477" i="8"/>
  <c r="P465" i="8"/>
  <c r="J324" i="8"/>
  <c r="J138" i="8"/>
  <c r="J339" i="8"/>
  <c r="Q363" i="8"/>
  <c r="J113" i="8"/>
  <c r="P7" i="31"/>
  <c r="P12" i="31"/>
  <c r="G355" i="8"/>
  <c r="D346" i="8"/>
  <c r="E37" i="8"/>
  <c r="G38" i="8"/>
  <c r="G31" i="8"/>
  <c r="Q153" i="8"/>
  <c r="F34" i="8"/>
  <c r="G39" i="8"/>
  <c r="D41" i="8"/>
  <c r="F31" i="8"/>
  <c r="G139" i="8"/>
  <c r="F144" i="8"/>
  <c r="N154" i="8"/>
  <c r="F323" i="8"/>
  <c r="F145" i="8"/>
  <c r="G37" i="8"/>
  <c r="F23" i="8"/>
  <c r="E353" i="8"/>
  <c r="D128" i="8"/>
  <c r="O153" i="8"/>
  <c r="E136" i="8"/>
  <c r="D37" i="8"/>
  <c r="F139" i="8"/>
  <c r="D338" i="8"/>
  <c r="D146" i="8"/>
  <c r="E338" i="8"/>
  <c r="F356" i="8"/>
  <c r="F349" i="8"/>
  <c r="G349" i="8"/>
  <c r="D355" i="8"/>
  <c r="O48" i="8"/>
  <c r="G146" i="8"/>
  <c r="E142" i="8"/>
  <c r="G338" i="8"/>
  <c r="Q48" i="8"/>
  <c r="F41" i="8"/>
  <c r="E145" i="8"/>
  <c r="E31" i="8"/>
  <c r="D323" i="8"/>
  <c r="F352" i="8"/>
  <c r="D352" i="8"/>
  <c r="E113" i="8"/>
  <c r="D31" i="8"/>
  <c r="E352" i="8"/>
  <c r="F39" i="8"/>
  <c r="N48" i="8"/>
  <c r="G23" i="8"/>
  <c r="G323" i="8"/>
  <c r="F37" i="8"/>
  <c r="D145" i="8"/>
  <c r="D40" i="8"/>
  <c r="E128" i="8"/>
  <c r="F136" i="8"/>
  <c r="E146" i="8"/>
  <c r="F346" i="8"/>
  <c r="D8" i="8"/>
  <c r="E40" i="8"/>
  <c r="G356" i="8"/>
  <c r="G352" i="8"/>
  <c r="G346" i="8"/>
  <c r="R153" i="8"/>
  <c r="F146" i="8"/>
  <c r="F40" i="8"/>
  <c r="P154" i="8"/>
  <c r="G136" i="8"/>
  <c r="O49" i="8"/>
  <c r="E355" i="8"/>
  <c r="G354" i="8"/>
  <c r="E8" i="8"/>
  <c r="D38" i="8"/>
  <c r="G144" i="8"/>
  <c r="F355" i="8"/>
  <c r="R49" i="8"/>
  <c r="N49" i="8"/>
  <c r="D144" i="8"/>
  <c r="F338" i="8"/>
  <c r="Q154" i="8"/>
  <c r="F142" i="8"/>
  <c r="P49" i="8"/>
  <c r="E39" i="8"/>
  <c r="G113" i="8"/>
  <c r="F128" i="8"/>
  <c r="F113" i="8"/>
  <c r="G145" i="8"/>
  <c r="D139" i="8"/>
  <c r="D142" i="8"/>
  <c r="G8" i="8"/>
  <c r="F354" i="8"/>
  <c r="R48" i="8"/>
  <c r="D356" i="8"/>
  <c r="D39" i="8"/>
  <c r="G142" i="8"/>
  <c r="E349" i="8"/>
  <c r="G143" i="8"/>
  <c r="D34" i="8"/>
  <c r="G128" i="8"/>
  <c r="E354" i="8"/>
  <c r="F38" i="8"/>
  <c r="E346" i="8"/>
  <c r="E356" i="8"/>
  <c r="P48" i="8"/>
  <c r="E34" i="8"/>
  <c r="D143" i="8"/>
  <c r="G34" i="8"/>
  <c r="N153" i="8"/>
  <c r="P153" i="8"/>
  <c r="D349" i="8"/>
  <c r="G353" i="8"/>
  <c r="G40" i="8"/>
  <c r="F143" i="8"/>
  <c r="E38" i="8"/>
  <c r="G41" i="8"/>
  <c r="E144" i="8"/>
  <c r="D136" i="8"/>
  <c r="O154" i="8"/>
  <c r="E139" i="8"/>
  <c r="F8" i="8"/>
  <c r="E323" i="8"/>
  <c r="E41" i="8"/>
  <c r="D113" i="8"/>
  <c r="D353" i="8"/>
  <c r="E143" i="8"/>
  <c r="F353" i="8"/>
  <c r="R154" i="8"/>
  <c r="Q49" i="8"/>
  <c r="O155" i="8"/>
  <c r="R64" i="8"/>
  <c r="N162" i="8"/>
  <c r="O51" i="8"/>
  <c r="Q156" i="8"/>
  <c r="N156" i="8"/>
  <c r="Q163" i="8"/>
  <c r="N64" i="8"/>
  <c r="O58" i="8"/>
  <c r="V101" i="8"/>
  <c r="O169" i="8"/>
  <c r="P57" i="8"/>
  <c r="N155" i="8"/>
  <c r="P58" i="8"/>
  <c r="R4" i="9"/>
  <c r="N58" i="8"/>
  <c r="R50" i="8"/>
  <c r="P169" i="8"/>
  <c r="N51" i="8"/>
  <c r="R169" i="8"/>
  <c r="N169" i="8"/>
  <c r="Q64" i="8"/>
  <c r="R156" i="8"/>
  <c r="P50" i="8"/>
  <c r="P162" i="8"/>
  <c r="Q51" i="8"/>
  <c r="R51" i="8"/>
  <c r="Q155" i="8"/>
  <c r="O162" i="8"/>
  <c r="O57" i="8"/>
  <c r="N163" i="8"/>
  <c r="Q169" i="8"/>
  <c r="P51" i="8"/>
  <c r="R155" i="8"/>
  <c r="R57" i="8"/>
  <c r="Q58" i="8"/>
  <c r="P64" i="8"/>
  <c r="P163" i="8"/>
  <c r="Q57" i="8"/>
  <c r="O50" i="8"/>
  <c r="N57" i="8"/>
  <c r="N50" i="8"/>
  <c r="P156" i="8"/>
  <c r="R162" i="8"/>
  <c r="R58" i="8"/>
  <c r="Q50" i="8"/>
  <c r="O156" i="8"/>
  <c r="Q162" i="8"/>
  <c r="P155" i="8"/>
  <c r="O163" i="8"/>
  <c r="R163" i="8"/>
  <c r="O64" i="8"/>
  <c r="F687" i="8"/>
  <c r="F694" i="8"/>
  <c r="F688" i="8"/>
  <c r="Q136" i="8"/>
  <c r="G51" i="8"/>
  <c r="E51" i="8"/>
  <c r="Q142" i="8"/>
  <c r="R142" i="8"/>
  <c r="G55" i="8"/>
  <c r="P140" i="8"/>
  <c r="G29" i="8"/>
  <c r="E341" i="8"/>
  <c r="H402" i="8"/>
  <c r="D86" i="8"/>
  <c r="E79" i="8"/>
  <c r="D375" i="8"/>
  <c r="H192" i="8"/>
  <c r="R136" i="8"/>
  <c r="H468" i="8"/>
  <c r="Q45" i="8"/>
  <c r="O143" i="8"/>
  <c r="R37" i="8"/>
  <c r="G132" i="8"/>
  <c r="D28" i="8"/>
  <c r="G133" i="8"/>
  <c r="E363" i="8"/>
  <c r="R43" i="8"/>
  <c r="Q149" i="8"/>
  <c r="G178" i="8"/>
  <c r="E155" i="8"/>
  <c r="E158" i="8"/>
  <c r="F348" i="8"/>
  <c r="N38" i="8"/>
  <c r="O150" i="8"/>
  <c r="F114" i="8"/>
  <c r="F26" i="8"/>
  <c r="G7" i="8"/>
  <c r="D371" i="8"/>
  <c r="G366" i="8"/>
  <c r="E68" i="8"/>
  <c r="G342" i="8"/>
  <c r="G58" i="8"/>
  <c r="F188" i="8"/>
  <c r="R146" i="8"/>
  <c r="G161" i="8"/>
  <c r="D345" i="8"/>
  <c r="P148" i="8"/>
  <c r="R147" i="8"/>
  <c r="D324" i="8"/>
  <c r="E115" i="8"/>
  <c r="E86" i="8"/>
  <c r="G27" i="8"/>
  <c r="H513" i="8"/>
  <c r="G385" i="8"/>
  <c r="H504" i="8"/>
  <c r="E10" i="8"/>
  <c r="N44" i="8"/>
  <c r="Q150" i="8"/>
  <c r="F29" i="8"/>
  <c r="D7" i="8"/>
  <c r="R31" i="8"/>
  <c r="E407" i="8"/>
  <c r="D164" i="8"/>
  <c r="D67" i="8"/>
  <c r="H155" i="8"/>
  <c r="E185" i="8"/>
  <c r="D325" i="8"/>
  <c r="E364" i="8"/>
  <c r="G325" i="8"/>
  <c r="G153" i="8"/>
  <c r="F67" i="8"/>
  <c r="E191" i="8"/>
  <c r="G85" i="8"/>
  <c r="O44" i="8"/>
  <c r="H177" i="8"/>
  <c r="H494" i="8"/>
  <c r="F322" i="8"/>
  <c r="G11" i="8"/>
  <c r="F160" i="8"/>
  <c r="H153" i="8"/>
  <c r="R140" i="8"/>
  <c r="E321" i="8"/>
  <c r="H154" i="8"/>
  <c r="Q31" i="8"/>
  <c r="F325" i="8"/>
  <c r="F175" i="8"/>
  <c r="F133" i="8"/>
  <c r="H409" i="8"/>
  <c r="F343" i="8"/>
  <c r="O148" i="8"/>
  <c r="F110" i="8"/>
  <c r="D340" i="8"/>
  <c r="Q145" i="8"/>
  <c r="R38" i="8"/>
  <c r="D370" i="8"/>
  <c r="D10" i="8"/>
  <c r="E345" i="8"/>
  <c r="P142" i="8"/>
  <c r="R42" i="8"/>
  <c r="D54" i="8"/>
  <c r="E344" i="8"/>
  <c r="D343" i="8"/>
  <c r="F364" i="8"/>
  <c r="G137" i="8"/>
  <c r="P46" i="8"/>
  <c r="F11" i="8"/>
  <c r="R39" i="8"/>
  <c r="G368" i="8"/>
  <c r="G155" i="8"/>
  <c r="D93" i="8"/>
  <c r="E135" i="8"/>
  <c r="F94" i="8"/>
  <c r="F169" i="8"/>
  <c r="G59" i="8"/>
  <c r="E164" i="8"/>
  <c r="G402" i="8"/>
  <c r="F167" i="8"/>
  <c r="F60" i="8"/>
  <c r="H169" i="8"/>
  <c r="E162" i="8"/>
  <c r="H511" i="8"/>
  <c r="F380" i="8"/>
  <c r="F340" i="8"/>
  <c r="F345" i="8"/>
  <c r="E320" i="8"/>
  <c r="E33" i="8"/>
  <c r="P152" i="8"/>
  <c r="G369" i="8"/>
  <c r="D369" i="8"/>
  <c r="O139" i="8"/>
  <c r="P136" i="8"/>
  <c r="F161" i="8"/>
  <c r="P151" i="8"/>
  <c r="E29" i="8"/>
  <c r="O146" i="8"/>
  <c r="J104" i="8"/>
  <c r="D32" i="8"/>
  <c r="G114" i="8"/>
  <c r="D364" i="8"/>
  <c r="P150" i="8"/>
  <c r="D366" i="8"/>
  <c r="G30" i="8"/>
  <c r="G115" i="8"/>
  <c r="Q146" i="8"/>
  <c r="F87" i="8"/>
  <c r="O144" i="8"/>
  <c r="F409" i="8"/>
  <c r="E88" i="8"/>
  <c r="G73" i="8"/>
  <c r="F56" i="8"/>
  <c r="E176" i="8"/>
  <c r="G88" i="8"/>
  <c r="E55" i="8"/>
  <c r="F178" i="8"/>
  <c r="D50" i="8"/>
  <c r="G134" i="8"/>
  <c r="F376" i="8"/>
  <c r="E173" i="8"/>
  <c r="E188" i="8"/>
  <c r="G397" i="8"/>
  <c r="D392" i="8"/>
  <c r="G320" i="8"/>
  <c r="E137" i="8"/>
  <c r="R152" i="8"/>
  <c r="F7" i="8"/>
  <c r="E343" i="8"/>
  <c r="P43" i="8"/>
  <c r="F154" i="8"/>
  <c r="F344" i="8"/>
  <c r="N43" i="8"/>
  <c r="E340" i="8"/>
  <c r="G347" i="8"/>
  <c r="R40" i="8"/>
  <c r="D52" i="8"/>
  <c r="O149" i="8"/>
  <c r="D321" i="8"/>
  <c r="O136" i="8"/>
  <c r="Q43" i="8"/>
  <c r="F326" i="8"/>
  <c r="R143" i="8"/>
  <c r="O34" i="8"/>
  <c r="P40" i="8"/>
  <c r="N31" i="8"/>
  <c r="R150" i="8"/>
  <c r="F27" i="8"/>
  <c r="E64" i="8"/>
  <c r="D89" i="8"/>
  <c r="D190" i="8"/>
  <c r="G83" i="8"/>
  <c r="G394" i="8"/>
  <c r="E74" i="8"/>
  <c r="F86" i="8"/>
  <c r="G72" i="8"/>
  <c r="Q147" i="8"/>
  <c r="F88" i="8"/>
  <c r="D391" i="8"/>
  <c r="D189" i="8"/>
  <c r="D379" i="8"/>
  <c r="H181" i="8"/>
  <c r="D131" i="8"/>
  <c r="E153" i="8"/>
  <c r="O42" i="8"/>
  <c r="G6" i="8"/>
  <c r="D341" i="8"/>
  <c r="G33" i="8"/>
  <c r="O40" i="8"/>
  <c r="F365" i="8"/>
  <c r="N152" i="8"/>
  <c r="H470" i="8"/>
  <c r="D322" i="8"/>
  <c r="F33" i="8"/>
  <c r="R149" i="8"/>
  <c r="F51" i="8"/>
  <c r="G343" i="8"/>
  <c r="P38" i="8"/>
  <c r="E32" i="8"/>
  <c r="R46" i="8"/>
  <c r="E49" i="8"/>
  <c r="O43" i="8"/>
  <c r="N40" i="8"/>
  <c r="E84" i="8"/>
  <c r="F393" i="8"/>
  <c r="E60" i="8"/>
  <c r="D53" i="8"/>
  <c r="F135" i="8"/>
  <c r="G177" i="8"/>
  <c r="P35" i="8"/>
  <c r="E63" i="8"/>
  <c r="F185" i="8"/>
  <c r="F74" i="8"/>
  <c r="D373" i="8"/>
  <c r="G383" i="8"/>
  <c r="E396" i="8"/>
  <c r="F370" i="8"/>
  <c r="F9" i="8"/>
  <c r="F321" i="8"/>
  <c r="O142" i="8"/>
  <c r="E161" i="8"/>
  <c r="F115" i="8"/>
  <c r="F30" i="8"/>
  <c r="Q46" i="8"/>
  <c r="G111" i="8"/>
  <c r="R41" i="8"/>
  <c r="D363" i="8"/>
  <c r="N148" i="8"/>
  <c r="G365" i="8"/>
  <c r="F10" i="8"/>
  <c r="P139" i="8"/>
  <c r="P45" i="8"/>
  <c r="G344" i="8"/>
  <c r="Q41" i="8"/>
  <c r="E366" i="8"/>
  <c r="G322" i="8"/>
  <c r="R139" i="8"/>
  <c r="G364" i="8"/>
  <c r="E154" i="8"/>
  <c r="E347" i="8"/>
  <c r="E371" i="8"/>
  <c r="G167" i="8"/>
  <c r="E94" i="8"/>
  <c r="F342" i="8"/>
  <c r="F53" i="8"/>
  <c r="G169" i="8"/>
  <c r="F157" i="8"/>
  <c r="D398" i="8"/>
  <c r="F383" i="8"/>
  <c r="G406" i="8"/>
  <c r="G388" i="8"/>
  <c r="H510" i="8"/>
  <c r="E401" i="8"/>
  <c r="G379" i="8"/>
  <c r="H365" i="8"/>
  <c r="F194" i="8"/>
  <c r="D184" i="8"/>
  <c r="D409" i="8"/>
  <c r="H397" i="8"/>
  <c r="F387" i="8"/>
  <c r="D377" i="8"/>
  <c r="D342" i="8"/>
  <c r="G180" i="8"/>
  <c r="E170" i="8"/>
  <c r="H488" i="8"/>
  <c r="H406" i="8"/>
  <c r="F396" i="8"/>
  <c r="D386" i="8"/>
  <c r="G197" i="8"/>
  <c r="E187" i="8"/>
  <c r="D130" i="8"/>
  <c r="D400" i="8"/>
  <c r="H388" i="8"/>
  <c r="F378" i="8"/>
  <c r="E193" i="8"/>
  <c r="H491" i="8"/>
  <c r="G396" i="8"/>
  <c r="E386" i="8"/>
  <c r="F339" i="8"/>
  <c r="H189" i="8"/>
  <c r="F179" i="8"/>
  <c r="D169" i="8"/>
  <c r="G405" i="8"/>
  <c r="E395" i="8"/>
  <c r="G373" i="8"/>
  <c r="F196" i="8"/>
  <c r="D186" i="8"/>
  <c r="H174" i="8"/>
  <c r="G131" i="8"/>
  <c r="H485" i="8"/>
  <c r="E404" i="8"/>
  <c r="G382" i="8"/>
  <c r="E372" i="8"/>
  <c r="F197" i="8"/>
  <c r="D187" i="8"/>
  <c r="H175" i="8"/>
  <c r="D116" i="8"/>
  <c r="H408" i="8"/>
  <c r="F398" i="8"/>
  <c r="D388" i="8"/>
  <c r="E348" i="8"/>
  <c r="G191" i="8"/>
  <c r="E181" i="8"/>
  <c r="H503" i="8"/>
  <c r="G392" i="8"/>
  <c r="E382" i="8"/>
  <c r="E369" i="8"/>
  <c r="D197" i="8"/>
  <c r="H185" i="8"/>
  <c r="F392" i="8"/>
  <c r="H179" i="8"/>
  <c r="G135" i="8"/>
  <c r="D9" i="8"/>
  <c r="R47" i="8"/>
  <c r="F66" i="8"/>
  <c r="D77" i="8"/>
  <c r="H505" i="8"/>
  <c r="G401" i="8"/>
  <c r="G185" i="8"/>
  <c r="F163" i="8"/>
  <c r="P37" i="8"/>
  <c r="G62" i="8"/>
  <c r="G78" i="8"/>
  <c r="G94" i="8"/>
  <c r="F170" i="8"/>
  <c r="F138" i="8"/>
  <c r="G25" i="8"/>
  <c r="F69" i="8"/>
  <c r="D80" i="8"/>
  <c r="H502" i="8"/>
  <c r="E409" i="8"/>
  <c r="G387" i="8"/>
  <c r="E377" i="8"/>
  <c r="E342" i="8"/>
  <c r="D192" i="8"/>
  <c r="H180" i="8"/>
  <c r="H405" i="8"/>
  <c r="F395" i="8"/>
  <c r="D385" i="8"/>
  <c r="G188" i="8"/>
  <c r="E178" i="8"/>
  <c r="H512" i="8"/>
  <c r="F404" i="8"/>
  <c r="D394" i="8"/>
  <c r="H382" i="8"/>
  <c r="F372" i="8"/>
  <c r="E195" i="8"/>
  <c r="G173" i="8"/>
  <c r="D403" i="8"/>
  <c r="H391" i="8"/>
  <c r="F381" i="8"/>
  <c r="E196" i="8"/>
  <c r="G174" i="8"/>
  <c r="D129" i="8"/>
  <c r="H490" i="8"/>
  <c r="G407" i="8"/>
  <c r="E397" i="8"/>
  <c r="G375" i="8"/>
  <c r="F190" i="8"/>
  <c r="D180" i="8"/>
  <c r="H401" i="8"/>
  <c r="F391" i="8"/>
  <c r="D381" i="8"/>
  <c r="H363" i="8"/>
  <c r="G184" i="8"/>
  <c r="H500" i="8"/>
  <c r="D383" i="8"/>
  <c r="E177" i="8"/>
  <c r="D138" i="8"/>
  <c r="F159" i="8"/>
  <c r="E25" i="8"/>
  <c r="D57" i="8"/>
  <c r="F78" i="8"/>
  <c r="E392" i="8"/>
  <c r="H172" i="8"/>
  <c r="E138" i="8"/>
  <c r="G164" i="8"/>
  <c r="N42" i="8"/>
  <c r="E65" i="8"/>
  <c r="E81" i="8"/>
  <c r="D198" i="8"/>
  <c r="F168" i="8"/>
  <c r="F162" i="8"/>
  <c r="D27" i="8"/>
  <c r="D60" i="8"/>
  <c r="F81" i="8"/>
  <c r="D408" i="8"/>
  <c r="H396" i="8"/>
  <c r="F386" i="8"/>
  <c r="D376" i="8"/>
  <c r="G339" i="8"/>
  <c r="G179" i="8"/>
  <c r="G404" i="8"/>
  <c r="E394" i="8"/>
  <c r="G372" i="8"/>
  <c r="H197" i="8"/>
  <c r="F187" i="8"/>
  <c r="D177" i="8"/>
  <c r="E403" i="8"/>
  <c r="G381" i="8"/>
  <c r="D194" i="8"/>
  <c r="H182" i="8"/>
  <c r="F172" i="8"/>
  <c r="H509" i="8"/>
  <c r="G390" i="8"/>
  <c r="E380" i="8"/>
  <c r="G367" i="8"/>
  <c r="D195" i="8"/>
  <c r="H183" i="8"/>
  <c r="F173" i="8"/>
  <c r="E130" i="8"/>
  <c r="F406" i="8"/>
  <c r="D396" i="8"/>
  <c r="H384" i="8"/>
  <c r="F374" i="8"/>
  <c r="G199" i="8"/>
  <c r="E189" i="8"/>
  <c r="E116" i="8"/>
  <c r="H495" i="8"/>
  <c r="G400" i="8"/>
  <c r="E390" i="8"/>
  <c r="H193" i="8"/>
  <c r="F183" i="8"/>
  <c r="H379" i="8"/>
  <c r="D175" i="8"/>
  <c r="D162" i="8"/>
  <c r="F58" i="8"/>
  <c r="D69" i="8"/>
  <c r="H489" i="8"/>
  <c r="G170" i="8"/>
  <c r="R144" i="8"/>
  <c r="N46" i="8"/>
  <c r="G66" i="8"/>
  <c r="G82" i="8"/>
  <c r="F401" i="8"/>
  <c r="H194" i="8"/>
  <c r="E112" i="8"/>
  <c r="N147" i="8"/>
  <c r="G163" i="8"/>
  <c r="O36" i="8"/>
  <c r="F61" i="8"/>
  <c r="D72" i="8"/>
  <c r="H404" i="8"/>
  <c r="F394" i="8"/>
  <c r="D384" i="8"/>
  <c r="G187" i="8"/>
  <c r="H507" i="8"/>
  <c r="E402" i="8"/>
  <c r="G380" i="8"/>
  <c r="D368" i="8"/>
  <c r="F195" i="8"/>
  <c r="D185" i="8"/>
  <c r="H173" i="8"/>
  <c r="G389" i="8"/>
  <c r="E379" i="8"/>
  <c r="E339" i="8"/>
  <c r="H190" i="8"/>
  <c r="F180" i="8"/>
  <c r="D170" i="8"/>
  <c r="H501" i="8"/>
  <c r="G398" i="8"/>
  <c r="E388" i="8"/>
  <c r="D339" i="8"/>
  <c r="H191" i="8"/>
  <c r="F181" i="8"/>
  <c r="D171" i="8"/>
  <c r="D404" i="8"/>
  <c r="H392" i="8"/>
  <c r="F382" i="8"/>
  <c r="D372" i="8"/>
  <c r="E197" i="8"/>
  <c r="G175" i="8"/>
  <c r="F130" i="8"/>
  <c r="H487" i="8"/>
  <c r="G408" i="8"/>
  <c r="E398" i="8"/>
  <c r="G376" i="8"/>
  <c r="F191" i="8"/>
  <c r="D181" i="8"/>
  <c r="D199" i="8"/>
  <c r="H170" i="8"/>
  <c r="Q144" i="8"/>
  <c r="F164" i="8"/>
  <c r="D61" i="8"/>
  <c r="F82" i="8"/>
  <c r="E376" i="8"/>
  <c r="D110" i="8"/>
  <c r="D6" i="8"/>
  <c r="G54" i="8"/>
  <c r="G70" i="8"/>
  <c r="G86" i="8"/>
  <c r="H394" i="8"/>
  <c r="D182" i="8"/>
  <c r="F131" i="8"/>
  <c r="N151" i="8"/>
  <c r="D64" i="8"/>
  <c r="F85" i="8"/>
  <c r="H486" i="8"/>
  <c r="G403" i="8"/>
  <c r="E393" i="8"/>
  <c r="G370" i="8"/>
  <c r="H196" i="8"/>
  <c r="F186" i="8"/>
  <c r="D401" i="8"/>
  <c r="H389" i="8"/>
  <c r="F379" i="8"/>
  <c r="E194" i="8"/>
  <c r="G172" i="8"/>
  <c r="H496" i="8"/>
  <c r="H398" i="8"/>
  <c r="F388" i="8"/>
  <c r="D378" i="8"/>
  <c r="G189" i="8"/>
  <c r="E179" i="8"/>
  <c r="E111" i="8"/>
  <c r="H407" i="8"/>
  <c r="F397" i="8"/>
  <c r="D387" i="8"/>
  <c r="G190" i="8"/>
  <c r="E180" i="8"/>
  <c r="H506" i="8"/>
  <c r="G391" i="8"/>
  <c r="E381" i="8"/>
  <c r="F369" i="8"/>
  <c r="D196" i="8"/>
  <c r="H184" i="8"/>
  <c r="F174" i="8"/>
  <c r="F407" i="8"/>
  <c r="D397" i="8"/>
  <c r="H385" i="8"/>
  <c r="F375" i="8"/>
  <c r="G324" i="8"/>
  <c r="E190" i="8"/>
  <c r="F408" i="8"/>
  <c r="H195" i="8"/>
  <c r="G165" i="8"/>
  <c r="O37" i="8"/>
  <c r="F62" i="8"/>
  <c r="D73" i="8"/>
  <c r="D112" i="8"/>
  <c r="D158" i="8"/>
  <c r="D24" i="8"/>
  <c r="E57" i="8"/>
  <c r="E73" i="8"/>
  <c r="E89" i="8"/>
  <c r="F385" i="8"/>
  <c r="H178" i="8"/>
  <c r="D133" i="8"/>
  <c r="D154" i="8"/>
  <c r="D5" i="8"/>
  <c r="F65" i="8"/>
  <c r="D76" i="8"/>
  <c r="E368" i="8"/>
  <c r="G112" i="8"/>
  <c r="D395" i="8"/>
  <c r="H199" i="8"/>
  <c r="E172" i="8"/>
  <c r="D380" i="8"/>
  <c r="D188" i="8"/>
  <c r="D348" i="8"/>
  <c r="G176" i="8"/>
  <c r="O31" i="8"/>
  <c r="E192" i="8"/>
  <c r="E77" i="8"/>
  <c r="F176" i="8"/>
  <c r="D68" i="8"/>
  <c r="D92" i="8"/>
  <c r="F324" i="8"/>
  <c r="D168" i="8"/>
  <c r="D166" i="8"/>
  <c r="N47" i="8"/>
  <c r="F72" i="8"/>
  <c r="D83" i="8"/>
  <c r="G393" i="8"/>
  <c r="E184" i="8"/>
  <c r="D135" i="8"/>
  <c r="F156" i="8"/>
  <c r="G5" i="8"/>
  <c r="P44" i="8"/>
  <c r="G64" i="8"/>
  <c r="G80" i="8"/>
  <c r="E391" i="8"/>
  <c r="D137" i="8"/>
  <c r="N37" i="8"/>
  <c r="D406" i="8"/>
  <c r="D174" i="8"/>
  <c r="F71" i="8"/>
  <c r="D390" i="8"/>
  <c r="F166" i="8"/>
  <c r="G77" i="8"/>
  <c r="E399" i="8"/>
  <c r="H186" i="8"/>
  <c r="G166" i="8"/>
  <c r="F63" i="8"/>
  <c r="N139" i="8"/>
  <c r="F158" i="8"/>
  <c r="G75" i="8"/>
  <c r="D134" i="8"/>
  <c r="G89" i="8"/>
  <c r="E70" i="8"/>
  <c r="N149" i="8"/>
  <c r="F371" i="8"/>
  <c r="N142" i="8"/>
  <c r="G345" i="8"/>
  <c r="P42" i="8"/>
  <c r="N136" i="8"/>
  <c r="P36" i="8"/>
  <c r="D326" i="8"/>
  <c r="F403" i="8"/>
  <c r="G196" i="8"/>
  <c r="G348" i="8"/>
  <c r="F389" i="8"/>
  <c r="G198" i="8"/>
  <c r="F111" i="8"/>
  <c r="E405" i="8"/>
  <c r="G183" i="8"/>
  <c r="H393" i="8"/>
  <c r="F199" i="8"/>
  <c r="H484" i="8"/>
  <c r="F134" i="8"/>
  <c r="D81" i="8"/>
  <c r="F25" i="8"/>
  <c r="E85" i="8"/>
  <c r="E174" i="8"/>
  <c r="E6" i="8"/>
  <c r="F73" i="8"/>
  <c r="F93" i="8"/>
  <c r="D407" i="8"/>
  <c r="D191" i="8"/>
  <c r="P147" i="8"/>
  <c r="E167" i="8"/>
  <c r="E48" i="8"/>
  <c r="D63" i="8"/>
  <c r="F84" i="8"/>
  <c r="H497" i="8"/>
  <c r="E384" i="8"/>
  <c r="Q141" i="8"/>
  <c r="G157" i="8"/>
  <c r="D11" i="8"/>
  <c r="O47" i="8"/>
  <c r="E67" i="8"/>
  <c r="E83" i="8"/>
  <c r="H386" i="8"/>
  <c r="R141" i="8"/>
  <c r="D48" i="8"/>
  <c r="D90" i="8"/>
  <c r="Q44" i="8"/>
  <c r="D74" i="8"/>
  <c r="G63" i="8"/>
  <c r="Q36" i="8"/>
  <c r="E80" i="8"/>
  <c r="D173" i="8"/>
  <c r="D25" i="8"/>
  <c r="D66" i="8"/>
  <c r="P47" i="8"/>
  <c r="N34" i="8"/>
  <c r="E168" i="8"/>
  <c r="E78" i="8"/>
  <c r="G130" i="8"/>
  <c r="E58" i="8"/>
  <c r="D82" i="8"/>
  <c r="G154" i="8"/>
  <c r="R148" i="8"/>
  <c r="Q140" i="8"/>
  <c r="E114" i="8"/>
  <c r="D153" i="8"/>
  <c r="R145" i="8"/>
  <c r="D51" i="8"/>
  <c r="D49" i="8"/>
  <c r="P41" i="8"/>
  <c r="P34" i="8"/>
  <c r="E27" i="8"/>
  <c r="G321" i="8"/>
  <c r="N41" i="8"/>
  <c r="D347" i="8"/>
  <c r="E52" i="8"/>
  <c r="D365" i="8"/>
  <c r="P146" i="8"/>
  <c r="D33" i="8"/>
  <c r="N39" i="8"/>
  <c r="E110" i="8"/>
  <c r="D56" i="8"/>
  <c r="Q152" i="8"/>
  <c r="G32" i="8"/>
  <c r="O46" i="8"/>
  <c r="F402" i="8"/>
  <c r="G195" i="8"/>
  <c r="D193" i="8"/>
  <c r="H198" i="8"/>
  <c r="H493" i="8"/>
  <c r="H400" i="8"/>
  <c r="E373" i="8"/>
  <c r="F182" i="8"/>
  <c r="D389" i="8"/>
  <c r="E198" i="8"/>
  <c r="D399" i="8"/>
  <c r="N45" i="8"/>
  <c r="D85" i="8"/>
  <c r="G168" i="8"/>
  <c r="N36" i="8"/>
  <c r="G90" i="8"/>
  <c r="G129" i="8"/>
  <c r="E24" i="8"/>
  <c r="F77" i="8"/>
  <c r="H403" i="8"/>
  <c r="H187" i="8"/>
  <c r="D155" i="8"/>
  <c r="F5" i="8"/>
  <c r="F50" i="8"/>
  <c r="F64" i="8"/>
  <c r="D75" i="8"/>
  <c r="N144" i="8"/>
  <c r="F48" i="8"/>
  <c r="G68" i="8"/>
  <c r="G84" i="8"/>
  <c r="F193" i="8"/>
  <c r="F59" i="8"/>
  <c r="E92" i="8"/>
  <c r="F75" i="8"/>
  <c r="G386" i="8"/>
  <c r="G48" i="8"/>
  <c r="E90" i="8"/>
  <c r="E72" i="8"/>
  <c r="F177" i="8"/>
  <c r="R44" i="8"/>
  <c r="F83" i="8"/>
  <c r="G87" i="8"/>
  <c r="E169" i="8"/>
  <c r="E28" i="8"/>
  <c r="E66" i="8"/>
  <c r="E76" i="8"/>
  <c r="E133" i="8"/>
  <c r="D167" i="8"/>
  <c r="G81" i="8"/>
  <c r="G67" i="8"/>
  <c r="P144" i="8"/>
  <c r="G61" i="8"/>
  <c r="O41" i="8"/>
  <c r="F363" i="8"/>
  <c r="Q139" i="8"/>
  <c r="E7" i="8"/>
  <c r="N35" i="8"/>
  <c r="O152" i="8"/>
  <c r="Q40" i="8"/>
  <c r="F341" i="8"/>
  <c r="D320" i="8"/>
  <c r="Q143" i="8"/>
  <c r="D159" i="8"/>
  <c r="E56" i="8"/>
  <c r="P145" i="8"/>
  <c r="F347" i="8"/>
  <c r="G341" i="8"/>
  <c r="F320" i="8"/>
  <c r="O140" i="8"/>
  <c r="Q35" i="8"/>
  <c r="Q151" i="8"/>
  <c r="O39" i="8"/>
  <c r="G326" i="8"/>
  <c r="D114" i="8"/>
  <c r="F55" i="8"/>
  <c r="G9" i="8"/>
  <c r="O45" i="8"/>
  <c r="G395" i="8"/>
  <c r="H188" i="8"/>
  <c r="D393" i="8"/>
  <c r="E186" i="8"/>
  <c r="D402" i="8"/>
  <c r="H383" i="8"/>
  <c r="F189" i="8"/>
  <c r="H514" i="8"/>
  <c r="G399" i="8"/>
  <c r="D367" i="8"/>
  <c r="H176" i="8"/>
  <c r="G384" i="8"/>
  <c r="G192" i="8"/>
  <c r="H395" i="8"/>
  <c r="F129" i="8"/>
  <c r="F52" i="8"/>
  <c r="E93" i="8"/>
  <c r="Q37" i="8"/>
  <c r="H508" i="8"/>
  <c r="F400" i="8"/>
  <c r="F184" i="8"/>
  <c r="E156" i="8"/>
  <c r="G24" i="8"/>
  <c r="E53" i="8"/>
  <c r="F76" i="8"/>
  <c r="D87" i="8"/>
  <c r="G377" i="8"/>
  <c r="G171" i="8"/>
  <c r="N145" i="8"/>
  <c r="G160" i="8"/>
  <c r="G50" i="8"/>
  <c r="E71" i="8"/>
  <c r="E87" i="8"/>
  <c r="E183" i="8"/>
  <c r="G156" i="8"/>
  <c r="D62" i="8"/>
  <c r="D94" i="8"/>
  <c r="F91" i="8"/>
  <c r="E375" i="8"/>
  <c r="E385" i="8"/>
  <c r="H381" i="8"/>
  <c r="H390" i="8"/>
  <c r="G181" i="8"/>
  <c r="F405" i="8"/>
  <c r="G374" i="8"/>
  <c r="G182" i="8"/>
  <c r="H498" i="8"/>
  <c r="F390" i="8"/>
  <c r="F198" i="8"/>
  <c r="D172" i="8"/>
  <c r="E406" i="8"/>
  <c r="F192" i="8"/>
  <c r="E163" i="8"/>
  <c r="D65" i="8"/>
  <c r="E408" i="8"/>
  <c r="E61" i="8"/>
  <c r="D382" i="8"/>
  <c r="F57" i="8"/>
  <c r="D84" i="8"/>
  <c r="H492" i="8"/>
  <c r="H387" i="8"/>
  <c r="D176" i="8"/>
  <c r="G158" i="8"/>
  <c r="R36" i="8"/>
  <c r="F68" i="8"/>
  <c r="D79" i="8"/>
  <c r="G409" i="8"/>
  <c r="E324" i="8"/>
  <c r="D111" i="8"/>
  <c r="D165" i="8"/>
  <c r="O35" i="8"/>
  <c r="E59" i="8"/>
  <c r="E75" i="8"/>
  <c r="E91" i="8"/>
  <c r="F112" i="8"/>
  <c r="D163" i="8"/>
  <c r="G79" i="8"/>
  <c r="E175" i="8"/>
  <c r="E326" i="8"/>
  <c r="E5" i="8"/>
  <c r="E62" i="8"/>
  <c r="G378" i="8"/>
  <c r="D156" i="8"/>
  <c r="G138" i="8"/>
  <c r="F90" i="8"/>
  <c r="G69" i="8"/>
  <c r="D374" i="8"/>
  <c r="N150" i="8"/>
  <c r="G53" i="8"/>
  <c r="E383" i="8"/>
  <c r="O147" i="8"/>
  <c r="E50" i="8"/>
  <c r="G91" i="8"/>
  <c r="F377" i="8"/>
  <c r="E11" i="8"/>
  <c r="D70" i="8"/>
  <c r="F367" i="8"/>
  <c r="R151" i="8"/>
  <c r="G340" i="8"/>
  <c r="E131" i="8"/>
  <c r="G371" i="8"/>
  <c r="P149" i="8"/>
  <c r="Q38" i="8"/>
  <c r="F366" i="8"/>
  <c r="G28" i="8"/>
  <c r="F54" i="8"/>
  <c r="N143" i="8"/>
  <c r="E367" i="8"/>
  <c r="D344" i="8"/>
  <c r="N146" i="8"/>
  <c r="G363" i="8"/>
  <c r="F368" i="8"/>
  <c r="H380" i="8"/>
  <c r="H499" i="8"/>
  <c r="E378" i="8"/>
  <c r="F171" i="8"/>
  <c r="E387" i="8"/>
  <c r="D178" i="8"/>
  <c r="H399" i="8"/>
  <c r="F373" i="8"/>
  <c r="D179" i="8"/>
  <c r="E389" i="8"/>
  <c r="E129" i="8"/>
  <c r="D405" i="8"/>
  <c r="E374" i="8"/>
  <c r="E182" i="8"/>
  <c r="D183" i="8"/>
  <c r="F70" i="8"/>
  <c r="G159" i="8"/>
  <c r="E69" i="8"/>
  <c r="D157" i="8"/>
  <c r="D88" i="8"/>
  <c r="F384" i="8"/>
  <c r="H171" i="8"/>
  <c r="O141" i="8"/>
  <c r="P39" i="8"/>
  <c r="D59" i="8"/>
  <c r="F80" i="8"/>
  <c r="D91" i="8"/>
  <c r="E400" i="8"/>
  <c r="E166" i="8"/>
  <c r="G60" i="8"/>
  <c r="G76" i="8"/>
  <c r="G92" i="8"/>
  <c r="F116" i="8"/>
  <c r="F165" i="8"/>
  <c r="E82" i="8"/>
  <c r="F155" i="8"/>
  <c r="E165" i="8"/>
  <c r="F24" i="8"/>
  <c r="G65" i="8"/>
  <c r="G186" i="8"/>
  <c r="G71" i="8"/>
  <c r="D78" i="8"/>
  <c r="E157" i="8"/>
  <c r="G57" i="8"/>
  <c r="E199" i="8"/>
  <c r="O151" i="8"/>
  <c r="D58" i="8"/>
  <c r="G93" i="8"/>
  <c r="G194" i="8"/>
  <c r="F137" i="8"/>
  <c r="H364" i="8"/>
  <c r="R45" i="8"/>
  <c r="O38" i="8"/>
  <c r="E325" i="8"/>
  <c r="H469" i="8"/>
  <c r="G56" i="8"/>
  <c r="Q42" i="8"/>
  <c r="E30" i="8"/>
  <c r="E54" i="8"/>
  <c r="D115" i="8"/>
  <c r="P141" i="8"/>
  <c r="G52" i="8"/>
  <c r="F28" i="8"/>
  <c r="E159" i="8"/>
  <c r="O145" i="8"/>
  <c r="G10" i="8"/>
  <c r="P31" i="8"/>
  <c r="P143" i="8"/>
  <c r="E160" i="8"/>
  <c r="D160" i="8"/>
  <c r="R34" i="8"/>
  <c r="F49" i="8"/>
  <c r="N140" i="8"/>
  <c r="E322" i="8"/>
  <c r="D29" i="8"/>
  <c r="G49" i="8"/>
  <c r="G116" i="8"/>
  <c r="E370" i="8"/>
  <c r="R35" i="8"/>
  <c r="E365" i="8"/>
  <c r="D161" i="8"/>
  <c r="G110" i="8"/>
  <c r="D30" i="8"/>
  <c r="Q148" i="8"/>
  <c r="F6" i="8"/>
  <c r="E9" i="8"/>
  <c r="F153" i="8"/>
  <c r="Q34" i="8"/>
  <c r="D55" i="8"/>
  <c r="G162" i="8"/>
  <c r="Q47" i="8"/>
  <c r="N141" i="8"/>
  <c r="F92" i="8"/>
  <c r="F79" i="8"/>
  <c r="E134" i="8"/>
  <c r="Q39" i="8"/>
  <c r="G193" i="8"/>
  <c r="D71" i="8"/>
  <c r="F89" i="8"/>
  <c r="G74" i="8"/>
  <c r="F399" i="8"/>
  <c r="E171" i="8"/>
  <c r="D692" i="8"/>
  <c r="H62" i="8"/>
  <c r="D715" i="8"/>
  <c r="H85" i="8"/>
  <c r="H64" i="8"/>
  <c r="D694" i="8"/>
  <c r="D696" i="8"/>
  <c r="H66" i="8"/>
  <c r="D688" i="8"/>
  <c r="H58" i="8"/>
  <c r="D700" i="8"/>
  <c r="H70" i="8"/>
  <c r="D719" i="8"/>
  <c r="H89" i="8"/>
  <c r="D713" i="8"/>
  <c r="H83" i="8"/>
  <c r="D705" i="8"/>
  <c r="H75" i="8"/>
  <c r="D703" i="8"/>
  <c r="H73" i="8"/>
  <c r="D710" i="8"/>
  <c r="H80" i="8"/>
  <c r="D707" i="8"/>
  <c r="H77" i="8"/>
  <c r="H84" i="8"/>
  <c r="D714" i="8"/>
  <c r="D720" i="8"/>
  <c r="H90" i="8"/>
  <c r="D695" i="8"/>
  <c r="H65" i="8"/>
  <c r="D702" i="8"/>
  <c r="H72" i="8"/>
  <c r="D717" i="8"/>
  <c r="H87" i="8"/>
  <c r="D699" i="8"/>
  <c r="H69" i="8"/>
  <c r="D706" i="8"/>
  <c r="H76" i="8"/>
  <c r="D723" i="8"/>
  <c r="H93" i="8"/>
  <c r="D722" i="8"/>
  <c r="H92" i="8"/>
  <c r="D687" i="8"/>
  <c r="H57" i="8"/>
  <c r="H79" i="8"/>
  <c r="D709" i="8"/>
  <c r="D724" i="8"/>
  <c r="H94" i="8"/>
  <c r="D691" i="8"/>
  <c r="H61" i="8"/>
  <c r="D698" i="8"/>
  <c r="H68" i="8"/>
  <c r="D721" i="8"/>
  <c r="H91" i="8"/>
  <c r="D711" i="8"/>
  <c r="H81" i="8"/>
  <c r="D689" i="8"/>
  <c r="H59" i="8"/>
  <c r="D686" i="8"/>
  <c r="H56" i="8"/>
  <c r="D701" i="8"/>
  <c r="H71" i="8"/>
  <c r="D716" i="8"/>
  <c r="H86" i="8"/>
  <c r="V86" i="8" s="1"/>
  <c r="D690" i="8"/>
  <c r="H60" i="8"/>
  <c r="D718" i="8"/>
  <c r="H88" i="8"/>
  <c r="D697" i="8"/>
  <c r="H67" i="8"/>
  <c r="D712" i="8"/>
  <c r="H82" i="8"/>
  <c r="H63" i="8"/>
  <c r="D693" i="8"/>
  <c r="D708" i="8"/>
  <c r="H78" i="8"/>
  <c r="D704" i="8"/>
  <c r="H74" i="8"/>
  <c r="G126" i="9"/>
  <c r="G438" i="9"/>
  <c r="G440" i="9"/>
  <c r="T76" i="4"/>
  <c r="M704" i="9"/>
  <c r="Q666" i="9"/>
  <c r="G336" i="9"/>
  <c r="T102" i="4"/>
  <c r="J625" i="9"/>
  <c r="G335" i="9"/>
  <c r="T103" i="4"/>
  <c r="M731" i="9"/>
  <c r="T40" i="4"/>
  <c r="M668" i="9"/>
  <c r="O655" i="9"/>
  <c r="T104" i="4"/>
  <c r="M732" i="9" s="1"/>
  <c r="T91" i="4"/>
  <c r="M719" i="9"/>
  <c r="T41" i="4"/>
  <c r="P669" i="9"/>
  <c r="G332" i="9"/>
  <c r="G18" i="9"/>
  <c r="G125" i="9"/>
  <c r="G123" i="9"/>
  <c r="G14" i="9"/>
  <c r="G122" i="9"/>
  <c r="T83" i="4"/>
  <c r="J606" i="9"/>
  <c r="T68" i="4"/>
  <c r="J591" i="9"/>
  <c r="T98" i="4"/>
  <c r="I621" i="9"/>
  <c r="T94" i="4"/>
  <c r="I617" i="9"/>
  <c r="T95" i="4"/>
  <c r="I618" i="9"/>
  <c r="T96" i="4"/>
  <c r="J619" i="9"/>
  <c r="T97" i="4"/>
  <c r="J620" i="9"/>
  <c r="G118" i="9"/>
  <c r="G328" i="9"/>
  <c r="G435" i="9"/>
  <c r="G21" i="9"/>
  <c r="J558" i="9"/>
  <c r="T99" i="4"/>
  <c r="H307" i="9"/>
  <c r="T84" i="4"/>
  <c r="J607" i="9"/>
  <c r="T53" i="4"/>
  <c r="I576" i="9"/>
  <c r="T46" i="4"/>
  <c r="H254" i="9"/>
  <c r="T58" i="4"/>
  <c r="H266" i="9"/>
  <c r="T48" i="4"/>
  <c r="J571" i="9"/>
  <c r="T42" i="4"/>
  <c r="H250" i="9"/>
  <c r="T49" i="4"/>
  <c r="H257" i="9"/>
  <c r="G333" i="9"/>
  <c r="G120" i="9"/>
  <c r="G331" i="9"/>
  <c r="G16" i="9"/>
  <c r="G441" i="9"/>
  <c r="G436" i="9"/>
  <c r="G13" i="9"/>
  <c r="T43" i="4"/>
  <c r="I566" i="9"/>
  <c r="H236" i="9"/>
  <c r="T92" i="4"/>
  <c r="J615" i="9"/>
  <c r="T61" i="4"/>
  <c r="I584" i="9"/>
  <c r="T54" i="4"/>
  <c r="J577" i="9"/>
  <c r="T50" i="4"/>
  <c r="H258" i="9"/>
  <c r="T56" i="4"/>
  <c r="H264" i="9"/>
  <c r="T74" i="4"/>
  <c r="J597" i="9"/>
  <c r="T57" i="4"/>
  <c r="J580" i="9"/>
  <c r="G439" i="9"/>
  <c r="G124" i="9"/>
  <c r="G17" i="9"/>
  <c r="G121" i="9"/>
  <c r="T51" i="4"/>
  <c r="H259" i="9"/>
  <c r="T100" i="4"/>
  <c r="J623" i="9"/>
  <c r="T69" i="4"/>
  <c r="J592" i="9"/>
  <c r="T62" i="4"/>
  <c r="H270" i="9"/>
  <c r="T82" i="4"/>
  <c r="I605" i="9"/>
  <c r="T64" i="4"/>
  <c r="I587" i="9"/>
  <c r="T90" i="4"/>
  <c r="H298" i="9"/>
  <c r="T65" i="4"/>
  <c r="J588" i="9"/>
  <c r="G19" i="9"/>
  <c r="G337" i="9"/>
  <c r="G330" i="9"/>
  <c r="G433" i="9"/>
  <c r="G334" i="9"/>
  <c r="T59" i="4"/>
  <c r="J582" i="9"/>
  <c r="T44" i="4"/>
  <c r="I567" i="9"/>
  <c r="T101" i="4"/>
  <c r="J624" i="9"/>
  <c r="T77" i="4"/>
  <c r="J600" i="9"/>
  <c r="T70" i="4"/>
  <c r="H278" i="9"/>
  <c r="T55" i="4"/>
  <c r="J578" i="9"/>
  <c r="T45" i="4"/>
  <c r="J568" i="9"/>
  <c r="T72" i="4"/>
  <c r="I595" i="9"/>
  <c r="T47" i="4"/>
  <c r="J570" i="9"/>
  <c r="T73" i="4"/>
  <c r="J596" i="9"/>
  <c r="G127" i="9"/>
  <c r="G20" i="9"/>
  <c r="G329" i="9"/>
  <c r="G442" i="9"/>
  <c r="T67" i="4"/>
  <c r="J590" i="9"/>
  <c r="T52" i="4"/>
  <c r="H260" i="9"/>
  <c r="T85" i="4"/>
  <c r="J608" i="9"/>
  <c r="T78" i="4"/>
  <c r="H286" i="9"/>
  <c r="T79" i="4"/>
  <c r="J602" i="9"/>
  <c r="T80" i="4"/>
  <c r="J603" i="9"/>
  <c r="T71" i="4"/>
  <c r="H279" i="9"/>
  <c r="T81" i="4"/>
  <c r="H289" i="9"/>
  <c r="G119" i="9"/>
  <c r="G437" i="9"/>
  <c r="G15" i="9"/>
  <c r="G22" i="9"/>
  <c r="G434" i="9"/>
  <c r="T75" i="4"/>
  <c r="I598" i="9"/>
  <c r="T60" i="4"/>
  <c r="I583" i="9"/>
  <c r="T66" i="4"/>
  <c r="I589" i="9"/>
  <c r="T93" i="4"/>
  <c r="I616" i="9"/>
  <c r="T86" i="4"/>
  <c r="J609" i="9"/>
  <c r="T87" i="4"/>
  <c r="J610" i="9"/>
  <c r="T63" i="4"/>
  <c r="I586" i="9"/>
  <c r="T88" i="4"/>
  <c r="I611" i="9"/>
  <c r="T89" i="4"/>
  <c r="I612" i="9"/>
  <c r="D592" i="9"/>
  <c r="E592" i="9"/>
  <c r="D277" i="9"/>
  <c r="D294" i="8"/>
  <c r="D591" i="9"/>
  <c r="E591" i="9"/>
  <c r="D276" i="9"/>
  <c r="D590" i="9"/>
  <c r="D275" i="9"/>
  <c r="E590" i="9"/>
  <c r="D596" i="9"/>
  <c r="D281" i="9"/>
  <c r="E596" i="9"/>
  <c r="D311" i="9"/>
  <c r="E626" i="9"/>
  <c r="D626" i="9"/>
  <c r="D300" i="8"/>
  <c r="D600" i="9"/>
  <c r="E600" i="9"/>
  <c r="D285" i="9"/>
  <c r="D310" i="8"/>
  <c r="D584" i="9"/>
  <c r="D269" i="9"/>
  <c r="E584" i="9"/>
  <c r="E589" i="9"/>
  <c r="D274" i="9"/>
  <c r="D589" i="9"/>
  <c r="D286" i="8"/>
  <c r="D309" i="8"/>
  <c r="E583" i="9"/>
  <c r="D268" i="9"/>
  <c r="D583" i="9"/>
  <c r="D293" i="8"/>
  <c r="G293" i="8" s="1"/>
  <c r="D298" i="8"/>
  <c r="D285" i="8"/>
  <c r="F285" i="8" s="1"/>
  <c r="D283" i="8"/>
  <c r="D290" i="8"/>
  <c r="E561" i="9"/>
  <c r="H561" i="9"/>
  <c r="D277" i="8"/>
  <c r="D282" i="8"/>
  <c r="E573" i="9"/>
  <c r="D573" i="9"/>
  <c r="D258" i="9"/>
  <c r="D261" i="9"/>
  <c r="E576" i="9"/>
  <c r="D576" i="9"/>
  <c r="D278" i="8"/>
  <c r="E575" i="9"/>
  <c r="D575" i="9"/>
  <c r="D260" i="9"/>
  <c r="D291" i="8"/>
  <c r="E605" i="9"/>
  <c r="D605" i="9"/>
  <c r="D290" i="9"/>
  <c r="D275" i="8"/>
  <c r="D265" i="9"/>
  <c r="E580" i="9"/>
  <c r="D580" i="9"/>
  <c r="D297" i="8"/>
  <c r="D269" i="8"/>
  <c r="D274" i="8"/>
  <c r="D289" i="8"/>
  <c r="F289" i="8" s="1"/>
  <c r="D304" i="8"/>
  <c r="E609" i="9"/>
  <c r="D609" i="9"/>
  <c r="D294" i="9"/>
  <c r="D565" i="9"/>
  <c r="D250" i="9"/>
  <c r="E565" i="9"/>
  <c r="E622" i="9"/>
  <c r="D622" i="9"/>
  <c r="D307" i="9"/>
  <c r="D243" i="9"/>
  <c r="E558" i="9"/>
  <c r="D558" i="9"/>
  <c r="D249" i="9"/>
  <c r="E564" i="9"/>
  <c r="D564" i="9"/>
  <c r="D266" i="8"/>
  <c r="D264" i="9"/>
  <c r="E579" i="9"/>
  <c r="D579" i="9"/>
  <c r="D281" i="8"/>
  <c r="E594" i="9"/>
  <c r="D279" i="9"/>
  <c r="D594" i="9"/>
  <c r="D296" i="8"/>
  <c r="D286" i="9"/>
  <c r="D601" i="9"/>
  <c r="E601" i="9"/>
  <c r="E568" i="9"/>
  <c r="D568" i="9"/>
  <c r="D253" i="9"/>
  <c r="D270" i="8"/>
  <c r="D252" i="9"/>
  <c r="E567" i="9"/>
  <c r="D567" i="9"/>
  <c r="E597" i="9"/>
  <c r="D597" i="9"/>
  <c r="D282" i="9"/>
  <c r="E611" i="9"/>
  <c r="D296" i="9"/>
  <c r="D611" i="9"/>
  <c r="E582" i="9"/>
  <c r="D582" i="9"/>
  <c r="D267" i="9"/>
  <c r="D273" i="9"/>
  <c r="D588" i="9"/>
  <c r="E588" i="9"/>
  <c r="D306" i="9"/>
  <c r="E621" i="9"/>
  <c r="D621" i="9"/>
  <c r="D308" i="8"/>
  <c r="G308" i="8" s="1"/>
  <c r="D614" i="9"/>
  <c r="D299" i="9"/>
  <c r="E614" i="9"/>
  <c r="E550" i="9"/>
  <c r="D235" i="9"/>
  <c r="D550" i="9"/>
  <c r="H550" i="9" s="1"/>
  <c r="L550" i="9" s="1"/>
  <c r="M550" i="9" s="1"/>
  <c r="D305" i="9"/>
  <c r="D620" i="9"/>
  <c r="E620" i="9"/>
  <c r="D241" i="9"/>
  <c r="E556" i="9"/>
  <c r="D556" i="9"/>
  <c r="E571" i="9"/>
  <c r="D571" i="9"/>
  <c r="D256" i="9"/>
  <c r="D273" i="8"/>
  <c r="D271" i="9"/>
  <c r="E586" i="9"/>
  <c r="D586" i="9"/>
  <c r="D549" i="9"/>
  <c r="H549" i="9" s="1"/>
  <c r="D288" i="8"/>
  <c r="D593" i="9"/>
  <c r="E593" i="9"/>
  <c r="D278" i="9"/>
  <c r="E624" i="9"/>
  <c r="D309" i="9"/>
  <c r="D624" i="9"/>
  <c r="E560" i="9"/>
  <c r="D560" i="9"/>
  <c r="D245" i="9"/>
  <c r="D284" i="8"/>
  <c r="D308" i="9"/>
  <c r="D623" i="9"/>
  <c r="E623" i="9"/>
  <c r="E559" i="9"/>
  <c r="D244" i="9"/>
  <c r="D559" i="9"/>
  <c r="H559" i="9" s="1"/>
  <c r="L559" i="9" s="1"/>
  <c r="D247" i="9"/>
  <c r="D562" i="9"/>
  <c r="E562" i="9"/>
  <c r="D254" i="9"/>
  <c r="E569" i="9"/>
  <c r="D569" i="9"/>
  <c r="D295" i="8"/>
  <c r="D284" i="9"/>
  <c r="D599" i="9"/>
  <c r="E599" i="9"/>
  <c r="D239" i="9"/>
  <c r="E554" i="9"/>
  <c r="D554" i="9"/>
  <c r="E625" i="9"/>
  <c r="D625" i="9"/>
  <c r="D310" i="9"/>
  <c r="D287" i="8"/>
  <c r="D313" i="8"/>
  <c r="F313" i="8" s="1"/>
  <c r="D295" i="9"/>
  <c r="E610" i="9"/>
  <c r="D610" i="9"/>
  <c r="D553" i="9"/>
  <c r="E566" i="9"/>
  <c r="D566" i="9"/>
  <c r="D251" i="9"/>
  <c r="D257" i="9"/>
  <c r="E572" i="9"/>
  <c r="D572" i="9"/>
  <c r="E587" i="9"/>
  <c r="D272" i="9"/>
  <c r="D587" i="9"/>
  <c r="E581" i="9"/>
  <c r="D581" i="9"/>
  <c r="D266" i="9"/>
  <c r="D271" i="8"/>
  <c r="D276" i="8"/>
  <c r="E606" i="9"/>
  <c r="D606" i="9"/>
  <c r="D291" i="9"/>
  <c r="D307" i="8"/>
  <c r="D297" i="9"/>
  <c r="E612" i="9"/>
  <c r="D612" i="9"/>
  <c r="D233" i="9"/>
  <c r="D548" i="9"/>
  <c r="H548" i="9" s="1"/>
  <c r="L548" i="9" s="1"/>
  <c r="E548" i="9"/>
  <c r="E627" i="9"/>
  <c r="D563" i="9"/>
  <c r="D248" i="9"/>
  <c r="E563" i="9"/>
  <c r="E578" i="9"/>
  <c r="D578" i="9"/>
  <c r="D263" i="9"/>
  <c r="D280" i="8"/>
  <c r="D311" i="8"/>
  <c r="E585" i="9"/>
  <c r="D585" i="9"/>
  <c r="D270" i="9"/>
  <c r="D301" i="9"/>
  <c r="E616" i="9"/>
  <c r="D616" i="9"/>
  <c r="E552" i="9"/>
  <c r="D552" i="9"/>
  <c r="D237" i="9"/>
  <c r="D300" i="9"/>
  <c r="E615" i="9"/>
  <c r="D615" i="9"/>
  <c r="D236" i="9"/>
  <c r="D551" i="9"/>
  <c r="E551" i="9"/>
  <c r="E603" i="9"/>
  <c r="D603" i="9"/>
  <c r="D288" i="9"/>
  <c r="D618" i="9"/>
  <c r="E618" i="9"/>
  <c r="D303" i="9"/>
  <c r="D259" i="9"/>
  <c r="E574" i="9"/>
  <c r="D574" i="9"/>
  <c r="D557" i="9"/>
  <c r="E557" i="9"/>
  <c r="E595" i="9"/>
  <c r="D595" i="9"/>
  <c r="D280" i="9"/>
  <c r="D613" i="9"/>
  <c r="E613" i="9"/>
  <c r="D298" i="9"/>
  <c r="E617" i="9"/>
  <c r="D617" i="9"/>
  <c r="D302" i="9"/>
  <c r="D279" i="8"/>
  <c r="D287" i="9"/>
  <c r="E602" i="9"/>
  <c r="D602" i="9"/>
  <c r="D301" i="8"/>
  <c r="E598" i="9"/>
  <c r="D598" i="9"/>
  <c r="D283" i="9"/>
  <c r="D299" i="8"/>
  <c r="E604" i="9"/>
  <c r="D604" i="9"/>
  <c r="D289" i="9"/>
  <c r="D306" i="8"/>
  <c r="D304" i="9"/>
  <c r="E619" i="9"/>
  <c r="D619" i="9"/>
  <c r="D555" i="9"/>
  <c r="D240" i="9"/>
  <c r="F240" i="9" s="1"/>
  <c r="K240" i="9" s="1"/>
  <c r="E555" i="9"/>
  <c r="D570" i="9"/>
  <c r="D255" i="9"/>
  <c r="E570" i="9"/>
  <c r="D272" i="8"/>
  <c r="E577" i="9"/>
  <c r="D262" i="9"/>
  <c r="D577" i="9"/>
  <c r="D303" i="8"/>
  <c r="D293" i="9"/>
  <c r="E608" i="9"/>
  <c r="D608" i="9"/>
  <c r="D292" i="9"/>
  <c r="E607" i="9"/>
  <c r="D607" i="9"/>
  <c r="D120" i="8"/>
  <c r="F22" i="8"/>
  <c r="G337" i="8"/>
  <c r="R111" i="8"/>
  <c r="D332" i="8"/>
  <c r="G17" i="8"/>
  <c r="D19" i="8"/>
  <c r="Q322" i="9"/>
  <c r="O425" i="9"/>
  <c r="F117" i="8"/>
  <c r="E328" i="9"/>
  <c r="P115" i="8"/>
  <c r="F329" i="8"/>
  <c r="P116" i="8"/>
  <c r="D331" i="8"/>
  <c r="P326" i="9"/>
  <c r="R10" i="9"/>
  <c r="E293" i="8"/>
  <c r="E293" i="9" s="1"/>
  <c r="E13" i="9"/>
  <c r="Q72" i="4"/>
  <c r="P72" i="4"/>
  <c r="G18" i="8"/>
  <c r="O112" i="9"/>
  <c r="F125" i="8"/>
  <c r="E16" i="8"/>
  <c r="G123" i="8"/>
  <c r="Q10" i="9"/>
  <c r="D441" i="9"/>
  <c r="E286" i="8"/>
  <c r="E286" i="9"/>
  <c r="Q54" i="4"/>
  <c r="P54" i="4"/>
  <c r="R426" i="9"/>
  <c r="P430" i="9"/>
  <c r="F337" i="9"/>
  <c r="E117" i="8"/>
  <c r="E117" i="9"/>
  <c r="O113" i="8"/>
  <c r="D330" i="8"/>
  <c r="R325" i="9"/>
  <c r="E277" i="8"/>
  <c r="E277" i="9" s="1"/>
  <c r="E232" i="8"/>
  <c r="E232" i="9" s="1"/>
  <c r="G127" i="8"/>
  <c r="P111" i="8"/>
  <c r="P111" i="9"/>
  <c r="R324" i="9"/>
  <c r="G21" i="8"/>
  <c r="E124" i="8"/>
  <c r="F118" i="9"/>
  <c r="D333" i="8"/>
  <c r="E272" i="8"/>
  <c r="E272" i="9" s="1"/>
  <c r="E285" i="8"/>
  <c r="E285" i="9" s="1"/>
  <c r="F285" i="9" s="1"/>
  <c r="Q99" i="4"/>
  <c r="P99" i="4"/>
  <c r="N7" i="8"/>
  <c r="N7" i="9" s="1"/>
  <c r="N8" i="8"/>
  <c r="N8" i="9" s="1"/>
  <c r="F124" i="8"/>
  <c r="R5" i="8"/>
  <c r="D21" i="8"/>
  <c r="F126" i="9"/>
  <c r="E330" i="9"/>
  <c r="E223" i="8"/>
  <c r="E223" i="9" s="1"/>
  <c r="Q98" i="4"/>
  <c r="P98" i="4"/>
  <c r="G334" i="8"/>
  <c r="O321" i="9"/>
  <c r="E118" i="8"/>
  <c r="R116" i="8"/>
  <c r="D127" i="8"/>
  <c r="O114" i="8"/>
  <c r="F18" i="9"/>
  <c r="D439" i="9"/>
  <c r="E239" i="8"/>
  <c r="E239" i="9"/>
  <c r="G239" i="9" s="1"/>
  <c r="E217" i="8"/>
  <c r="E217" i="9"/>
  <c r="Q41" i="4"/>
  <c r="P41" i="4"/>
  <c r="F440" i="9"/>
  <c r="Q9" i="8"/>
  <c r="Q9" i="9" s="1"/>
  <c r="F333" i="8"/>
  <c r="O325" i="9"/>
  <c r="E441" i="9"/>
  <c r="P10" i="8"/>
  <c r="E21" i="8"/>
  <c r="G328" i="8"/>
  <c r="F331" i="8"/>
  <c r="G118" i="8"/>
  <c r="P5" i="8"/>
  <c r="P5" i="9"/>
  <c r="F328" i="8"/>
  <c r="R8" i="8"/>
  <c r="D126" i="8"/>
  <c r="E337" i="8"/>
  <c r="E15" i="8"/>
  <c r="D14" i="9"/>
  <c r="E242" i="8"/>
  <c r="R431" i="9"/>
  <c r="E275" i="8"/>
  <c r="F13" i="8"/>
  <c r="E256" i="8"/>
  <c r="E256" i="9" s="1"/>
  <c r="I256" i="9" s="1"/>
  <c r="J256" i="9" s="1"/>
  <c r="F21" i="8"/>
  <c r="Q101" i="4"/>
  <c r="P101" i="4"/>
  <c r="Q75" i="4"/>
  <c r="P75" i="4"/>
  <c r="G22" i="8"/>
  <c r="E14" i="8"/>
  <c r="E13" i="8"/>
  <c r="E332" i="9"/>
  <c r="D122" i="8"/>
  <c r="E119" i="8"/>
  <c r="D119" i="9"/>
  <c r="Q7" i="8"/>
  <c r="E120" i="8"/>
  <c r="G335" i="8"/>
  <c r="E12" i="8"/>
  <c r="E12" i="9"/>
  <c r="E121" i="8"/>
  <c r="P110" i="8"/>
  <c r="P110" i="9"/>
  <c r="F332" i="8"/>
  <c r="P114" i="8"/>
  <c r="R114" i="8"/>
  <c r="D333" i="9"/>
  <c r="D329" i="9"/>
  <c r="D335" i="9"/>
  <c r="E120" i="9"/>
  <c r="E309" i="8"/>
  <c r="Q427" i="9"/>
  <c r="Q323" i="9"/>
  <c r="D20" i="8"/>
  <c r="E226" i="8"/>
  <c r="E226" i="9" s="1"/>
  <c r="E260" i="8"/>
  <c r="E260" i="9" s="1"/>
  <c r="F260" i="9" s="1"/>
  <c r="E251" i="8"/>
  <c r="E251" i="9" s="1"/>
  <c r="I251" i="9" s="1"/>
  <c r="J251" i="9" s="1"/>
  <c r="Q78" i="4"/>
  <c r="P78" i="4"/>
  <c r="Q61" i="4"/>
  <c r="P61" i="4"/>
  <c r="Q96" i="4"/>
  <c r="P96" i="4"/>
  <c r="D327" i="8"/>
  <c r="D327" i="9"/>
  <c r="F20" i="8"/>
  <c r="G20" i="8"/>
  <c r="O110" i="8"/>
  <c r="E334" i="8"/>
  <c r="E245" i="8"/>
  <c r="F127" i="8"/>
  <c r="Q112" i="8"/>
  <c r="O5" i="8"/>
  <c r="E118" i="9"/>
  <c r="F436" i="9"/>
  <c r="R429" i="9"/>
  <c r="F19" i="9"/>
  <c r="R114" i="9"/>
  <c r="E337" i="9"/>
  <c r="E266" i="8"/>
  <c r="E331" i="8"/>
  <c r="E216" i="8"/>
  <c r="E216" i="9"/>
  <c r="O5" i="9"/>
  <c r="R11" i="9"/>
  <c r="Q76" i="4"/>
  <c r="P76" i="4"/>
  <c r="Q58" i="4"/>
  <c r="P58" i="4"/>
  <c r="G331" i="8"/>
  <c r="F121" i="8"/>
  <c r="D124" i="8"/>
  <c r="R115" i="8"/>
  <c r="G333" i="8"/>
  <c r="E122" i="9"/>
  <c r="Q113" i="8"/>
  <c r="R6" i="8"/>
  <c r="O6" i="8"/>
  <c r="Q8" i="8"/>
  <c r="N113" i="8"/>
  <c r="N113" i="9" s="1"/>
  <c r="F433" i="9"/>
  <c r="D440" i="9"/>
  <c r="O428" i="9"/>
  <c r="E440" i="9"/>
  <c r="F125" i="9"/>
  <c r="O111" i="9"/>
  <c r="E233" i="8"/>
  <c r="E233" i="9" s="1"/>
  <c r="D125" i="8"/>
  <c r="F118" i="8"/>
  <c r="Q79" i="4"/>
  <c r="P79" i="4"/>
  <c r="Q40" i="4"/>
  <c r="P40" i="4"/>
  <c r="Q104" i="4"/>
  <c r="Q49" i="4"/>
  <c r="P49" i="4"/>
  <c r="D435" i="9"/>
  <c r="Q66" i="4"/>
  <c r="P66" i="4"/>
  <c r="Q43" i="4"/>
  <c r="P43" i="4"/>
  <c r="Q68" i="4"/>
  <c r="P68" i="4"/>
  <c r="Q92" i="4"/>
  <c r="P92" i="4"/>
  <c r="Q69" i="4"/>
  <c r="P69" i="4"/>
  <c r="Q62" i="4"/>
  <c r="P62" i="4"/>
  <c r="Q102" i="4"/>
  <c r="P102" i="4"/>
  <c r="E283" i="8"/>
  <c r="E283" i="9" s="1"/>
  <c r="F283" i="9" s="1"/>
  <c r="E249" i="8"/>
  <c r="E249" i="9" s="1"/>
  <c r="I249" i="9" s="1"/>
  <c r="J249" i="9" s="1"/>
  <c r="O9" i="9"/>
  <c r="O110" i="9"/>
  <c r="D337" i="8"/>
  <c r="E227" i="8"/>
  <c r="E227" i="9"/>
  <c r="G19" i="8"/>
  <c r="O11" i="8"/>
  <c r="E268" i="8"/>
  <c r="E258" i="8"/>
  <c r="E258" i="9" s="1"/>
  <c r="D12" i="8"/>
  <c r="D12" i="9"/>
  <c r="E127" i="9"/>
  <c r="E271" i="8"/>
  <c r="E237" i="8"/>
  <c r="E237" i="9"/>
  <c r="F237" i="9" s="1"/>
  <c r="E298" i="8"/>
  <c r="E123" i="9"/>
  <c r="N5" i="8"/>
  <c r="N5" i="9" s="1"/>
  <c r="R116" i="9"/>
  <c r="F330" i="9"/>
  <c r="E17" i="9"/>
  <c r="F123" i="9"/>
  <c r="O116" i="8"/>
  <c r="O430" i="9"/>
  <c r="D123" i="9"/>
  <c r="P431" i="9"/>
  <c r="P324" i="9"/>
  <c r="P8" i="9"/>
  <c r="E274" i="8"/>
  <c r="E274" i="9" s="1"/>
  <c r="F442" i="9"/>
  <c r="F332" i="9"/>
  <c r="F22" i="9"/>
  <c r="D20" i="9"/>
  <c r="E244" i="8"/>
  <c r="F441" i="9"/>
  <c r="D328" i="9"/>
  <c r="D17" i="9"/>
  <c r="R428" i="9"/>
  <c r="F124" i="9"/>
  <c r="P9" i="9"/>
  <c r="P322" i="9"/>
  <c r="F121" i="9"/>
  <c r="R8" i="9"/>
  <c r="D22" i="9"/>
  <c r="E22" i="8"/>
  <c r="F18" i="8"/>
  <c r="F16" i="8"/>
  <c r="E333" i="8"/>
  <c r="N6" i="8"/>
  <c r="N6" i="9" s="1"/>
  <c r="F15" i="8"/>
  <c r="N116" i="8"/>
  <c r="N116" i="9"/>
  <c r="P6" i="8"/>
  <c r="P6" i="9"/>
  <c r="Q87" i="4"/>
  <c r="P87" i="4"/>
  <c r="Q48" i="4"/>
  <c r="P48" i="4"/>
  <c r="F435" i="9"/>
  <c r="Q57" i="4"/>
  <c r="P57" i="4"/>
  <c r="Q74" i="4"/>
  <c r="P74" i="4"/>
  <c r="Q51" i="4"/>
  <c r="P51" i="4"/>
  <c r="Q84" i="4"/>
  <c r="P84" i="4"/>
  <c r="Q77" i="4"/>
  <c r="P77" i="4"/>
  <c r="E281" i="8"/>
  <c r="E438" i="9"/>
  <c r="E224" i="8"/>
  <c r="E259" i="8"/>
  <c r="E259" i="9" s="1"/>
  <c r="E225" i="8"/>
  <c r="E225" i="9"/>
  <c r="O324" i="9"/>
  <c r="E231" i="8"/>
  <c r="E231" i="9"/>
  <c r="P9" i="8"/>
  <c r="E290" i="8"/>
  <c r="E220" i="8"/>
  <c r="E220" i="9" s="1"/>
  <c r="E230" i="8"/>
  <c r="E230" i="9" s="1"/>
  <c r="E22" i="9"/>
  <c r="E303" i="8"/>
  <c r="E269" i="8"/>
  <c r="E329" i="9"/>
  <c r="E236" i="8"/>
  <c r="E238" i="8"/>
  <c r="E238" i="9" s="1"/>
  <c r="P112" i="9"/>
  <c r="D19" i="9"/>
  <c r="E436" i="9"/>
  <c r="P114" i="9"/>
  <c r="P10" i="9"/>
  <c r="F13" i="9"/>
  <c r="D330" i="9"/>
  <c r="P325" i="9"/>
  <c r="D125" i="9"/>
  <c r="R322" i="9"/>
  <c r="E334" i="9"/>
  <c r="F127" i="9"/>
  <c r="F20" i="9"/>
  <c r="E306" i="8"/>
  <c r="E439" i="9"/>
  <c r="P323" i="9"/>
  <c r="D18" i="9"/>
  <c r="P116" i="9"/>
  <c r="F16" i="9"/>
  <c r="R425" i="9"/>
  <c r="F329" i="9"/>
  <c r="F120" i="9"/>
  <c r="R5" i="9"/>
  <c r="G336" i="8"/>
  <c r="N10" i="8"/>
  <c r="N10" i="9" s="1"/>
  <c r="G126" i="8"/>
  <c r="D328" i="8"/>
  <c r="F327" i="8"/>
  <c r="G329" i="8"/>
  <c r="G327" i="8"/>
  <c r="D17" i="8"/>
  <c r="Q95" i="4"/>
  <c r="P95" i="4"/>
  <c r="Q56" i="4"/>
  <c r="P56" i="4"/>
  <c r="Q65" i="4"/>
  <c r="P65" i="4"/>
  <c r="Q82" i="4"/>
  <c r="P82" i="4"/>
  <c r="Q59" i="4"/>
  <c r="P59" i="4"/>
  <c r="Q100" i="4"/>
  <c r="P100" i="4"/>
  <c r="Q85" i="4"/>
  <c r="P85" i="4"/>
  <c r="G124" i="8"/>
  <c r="E313" i="8"/>
  <c r="R6" i="9"/>
  <c r="E296" i="8"/>
  <c r="E218" i="8"/>
  <c r="E218" i="9" s="1"/>
  <c r="E291" i="8"/>
  <c r="E257" i="8"/>
  <c r="E257" i="9"/>
  <c r="E119" i="9"/>
  <c r="E263" i="8"/>
  <c r="E263" i="9" s="1"/>
  <c r="I263" i="9" s="1"/>
  <c r="E229" i="8"/>
  <c r="O7" i="8"/>
  <c r="E276" i="8"/>
  <c r="E262" i="8"/>
  <c r="E262" i="9" s="1"/>
  <c r="Q428" i="9"/>
  <c r="Q111" i="8"/>
  <c r="Q111" i="9"/>
  <c r="E301" i="8"/>
  <c r="Q115" i="8"/>
  <c r="E292" i="8"/>
  <c r="E270" i="8"/>
  <c r="F438" i="9"/>
  <c r="F333" i="9"/>
  <c r="D122" i="9"/>
  <c r="E16" i="9"/>
  <c r="O427" i="9"/>
  <c r="D434" i="9"/>
  <c r="D126" i="9"/>
  <c r="E279" i="8"/>
  <c r="O115" i="9"/>
  <c r="R9" i="9"/>
  <c r="Q431" i="9"/>
  <c r="R326" i="9"/>
  <c r="R111" i="9"/>
  <c r="R115" i="9"/>
  <c r="D16" i="9"/>
  <c r="E300" i="8"/>
  <c r="E300" i="9" s="1"/>
  <c r="R430" i="9"/>
  <c r="P113" i="9"/>
  <c r="Q7" i="9"/>
  <c r="F439" i="9"/>
  <c r="D334" i="9"/>
  <c r="E435" i="9"/>
  <c r="E329" i="8"/>
  <c r="R7" i="8"/>
  <c r="E18" i="8"/>
  <c r="Q116" i="8"/>
  <c r="R113" i="8"/>
  <c r="P11" i="8"/>
  <c r="P11" i="9" s="1"/>
  <c r="P113" i="8"/>
  <c r="N115" i="8"/>
  <c r="N115" i="9"/>
  <c r="G119" i="8"/>
  <c r="E327" i="8"/>
  <c r="E327" i="9"/>
  <c r="D118" i="8"/>
  <c r="E332" i="8"/>
  <c r="D15" i="8"/>
  <c r="O9" i="8"/>
  <c r="Q103" i="4"/>
  <c r="P103" i="4"/>
  <c r="Q64" i="4"/>
  <c r="P64" i="4"/>
  <c r="Q73" i="4"/>
  <c r="P73" i="4"/>
  <c r="Q90" i="4"/>
  <c r="P90" i="4"/>
  <c r="Q67" i="4"/>
  <c r="P67" i="4"/>
  <c r="Q93" i="4"/>
  <c r="P93" i="4"/>
  <c r="Q70" i="4"/>
  <c r="P70" i="4"/>
  <c r="E288" i="8"/>
  <c r="E124" i="9"/>
  <c r="G120" i="8"/>
  <c r="Q10" i="8"/>
  <c r="E250" i="8"/>
  <c r="E250" i="9" s="1"/>
  <c r="O431" i="9"/>
  <c r="G15" i="8"/>
  <c r="E289" i="8"/>
  <c r="E295" i="8"/>
  <c r="I295" i="8" s="1"/>
  <c r="E261" i="8"/>
  <c r="E261" i="9" s="1"/>
  <c r="I261" i="9" s="1"/>
  <c r="E235" i="8"/>
  <c r="E235" i="9" s="1"/>
  <c r="E122" i="8"/>
  <c r="E294" i="8"/>
  <c r="O320" i="9"/>
  <c r="E264" i="8"/>
  <c r="E264" i="9" s="1"/>
  <c r="F14" i="8"/>
  <c r="E243" i="8"/>
  <c r="E243" i="9" s="1"/>
  <c r="E302" i="8"/>
  <c r="E215" i="8"/>
  <c r="E215" i="9"/>
  <c r="D436" i="9"/>
  <c r="E335" i="9"/>
  <c r="E125" i="9"/>
  <c r="R7" i="9"/>
  <c r="F328" i="9"/>
  <c r="Q116" i="9"/>
  <c r="E20" i="9"/>
  <c r="D16" i="8"/>
  <c r="P115" i="9"/>
  <c r="D13" i="9"/>
  <c r="D331" i="9"/>
  <c r="E126" i="9"/>
  <c r="O10" i="9"/>
  <c r="E333" i="9"/>
  <c r="O114" i="9"/>
  <c r="E336" i="9"/>
  <c r="R113" i="9"/>
  <c r="E15" i="9"/>
  <c r="E433" i="9"/>
  <c r="R320" i="9"/>
  <c r="F437" i="9"/>
  <c r="D18" i="8"/>
  <c r="Q110" i="9"/>
  <c r="F335" i="8"/>
  <c r="N11" i="8"/>
  <c r="N11" i="9" s="1"/>
  <c r="N112" i="8"/>
  <c r="N112" i="9" s="1"/>
  <c r="E125" i="8"/>
  <c r="Q55" i="4"/>
  <c r="P55" i="4"/>
  <c r="Q80" i="4"/>
  <c r="P80" i="4"/>
  <c r="Q89" i="4"/>
  <c r="P89" i="4"/>
  <c r="Q42" i="4"/>
  <c r="P42" i="4"/>
  <c r="Q83" i="4"/>
  <c r="P83" i="4"/>
  <c r="Q45" i="4"/>
  <c r="P45" i="4"/>
  <c r="E252" i="8"/>
  <c r="E252" i="9" s="1"/>
  <c r="E246" i="8"/>
  <c r="E246" i="9" s="1"/>
  <c r="E255" i="8"/>
  <c r="E255" i="9" s="1"/>
  <c r="E221" i="8"/>
  <c r="E221" i="9"/>
  <c r="Q113" i="9"/>
  <c r="E304" i="8"/>
  <c r="F304" i="8" s="1"/>
  <c r="E222" i="8"/>
  <c r="E222" i="9" s="1"/>
  <c r="E240" i="8"/>
  <c r="E240" i="9"/>
  <c r="D121" i="8"/>
  <c r="D120" i="9"/>
  <c r="E299" i="8"/>
  <c r="E299" i="9" s="1"/>
  <c r="F299" i="9" s="1"/>
  <c r="E265" i="8"/>
  <c r="G265" i="8" s="1"/>
  <c r="R321" i="9"/>
  <c r="E228" i="8"/>
  <c r="E228" i="9"/>
  <c r="R112" i="9"/>
  <c r="E307" i="8"/>
  <c r="G307" i="8" s="1"/>
  <c r="E273" i="8"/>
  <c r="O426" i="9"/>
  <c r="D337" i="9"/>
  <c r="R110" i="9"/>
  <c r="E21" i="9"/>
  <c r="O429" i="9"/>
  <c r="D124" i="9"/>
  <c r="O7" i="9"/>
  <c r="O322" i="9"/>
  <c r="D118" i="9"/>
  <c r="F15" i="9"/>
  <c r="E311" i="8"/>
  <c r="E437" i="9"/>
  <c r="D442" i="9"/>
  <c r="Q115" i="9"/>
  <c r="P428" i="9"/>
  <c r="D15" i="9"/>
  <c r="D437" i="9"/>
  <c r="Q325" i="9"/>
  <c r="E331" i="9"/>
  <c r="D121" i="9"/>
  <c r="F119" i="9"/>
  <c r="F330" i="8"/>
  <c r="P112" i="8"/>
  <c r="O326" i="9"/>
  <c r="O115" i="8"/>
  <c r="O10" i="8"/>
  <c r="G122" i="8"/>
  <c r="F336" i="9"/>
  <c r="D336" i="8"/>
  <c r="Q63" i="4"/>
  <c r="P63" i="4"/>
  <c r="Q88" i="4"/>
  <c r="P88" i="4"/>
  <c r="Q97" i="4"/>
  <c r="P97" i="4"/>
  <c r="Q50" i="4"/>
  <c r="P50" i="4"/>
  <c r="Q91" i="4"/>
  <c r="P91" i="4"/>
  <c r="Q44" i="4"/>
  <c r="P44" i="4"/>
  <c r="Q60" i="4"/>
  <c r="P60" i="4"/>
  <c r="Q53" i="4"/>
  <c r="P53" i="4"/>
  <c r="Q86" i="4"/>
  <c r="P86" i="4"/>
  <c r="Q94" i="4"/>
  <c r="P94" i="4"/>
  <c r="Q46" i="4"/>
  <c r="P46" i="4"/>
  <c r="E219" i="8"/>
  <c r="E219" i="9"/>
  <c r="E308" i="8"/>
  <c r="E278" i="8"/>
  <c r="F278" i="8" s="1"/>
  <c r="E287" i="8"/>
  <c r="E253" i="8"/>
  <c r="I253" i="8" s="1"/>
  <c r="E19" i="9"/>
  <c r="E442" i="9"/>
  <c r="E254" i="8"/>
  <c r="E254" i="9"/>
  <c r="E312" i="8"/>
  <c r="E312" i="9" s="1"/>
  <c r="E17" i="8"/>
  <c r="F119" i="8"/>
  <c r="E297" i="8"/>
  <c r="F126" i="8"/>
  <c r="E284" i="8"/>
  <c r="E234" i="8"/>
  <c r="E234" i="9" s="1"/>
  <c r="D329" i="8"/>
  <c r="E305" i="8"/>
  <c r="E305" i="9" s="1"/>
  <c r="Q6" i="8"/>
  <c r="Q6" i="9"/>
  <c r="F434" i="9"/>
  <c r="Q430" i="9"/>
  <c r="F122" i="9"/>
  <c r="E247" i="8"/>
  <c r="E247" i="9"/>
  <c r="O323" i="9"/>
  <c r="O6" i="9"/>
  <c r="D433" i="9"/>
  <c r="F14" i="9"/>
  <c r="E280" i="8"/>
  <c r="P427" i="9"/>
  <c r="R323" i="9"/>
  <c r="D127" i="9"/>
  <c r="F17" i="9"/>
  <c r="R427" i="9"/>
  <c r="F334" i="9"/>
  <c r="Q112" i="9"/>
  <c r="P429" i="9"/>
  <c r="F331" i="9"/>
  <c r="O11" i="9"/>
  <c r="F21" i="9"/>
  <c r="D332" i="9"/>
  <c r="P7" i="9"/>
  <c r="R9" i="8"/>
  <c r="F335" i="9"/>
  <c r="F334" i="8"/>
  <c r="D22" i="8"/>
  <c r="F17" i="8"/>
  <c r="E20" i="8"/>
  <c r="E330" i="8"/>
  <c r="G16" i="8"/>
  <c r="F120" i="8"/>
  <c r="D123" i="8"/>
  <c r="E127" i="8"/>
  <c r="E336" i="8"/>
  <c r="G125" i="8"/>
  <c r="N9" i="8"/>
  <c r="N9" i="9" s="1"/>
  <c r="E328" i="8"/>
  <c r="E434" i="9"/>
  <c r="N111" i="8"/>
  <c r="N111" i="9" s="1"/>
  <c r="F337" i="8"/>
  <c r="R112" i="8"/>
  <c r="D119" i="8"/>
  <c r="D13" i="8"/>
  <c r="O116" i="9"/>
  <c r="G13" i="8"/>
  <c r="F122" i="8"/>
  <c r="E126" i="8"/>
  <c r="F123" i="8"/>
  <c r="G12" i="8"/>
  <c r="D21" i="9"/>
  <c r="N110" i="8"/>
  <c r="N110" i="9"/>
  <c r="E335" i="8"/>
  <c r="O113" i="9"/>
  <c r="E121" i="9"/>
  <c r="E18" i="9"/>
  <c r="D117" i="8"/>
  <c r="D117" i="9"/>
  <c r="E248" i="8"/>
  <c r="E248" i="9"/>
  <c r="Q8" i="9"/>
  <c r="E14" i="9"/>
  <c r="E310" i="8"/>
  <c r="E224" i="9"/>
  <c r="Q52" i="4"/>
  <c r="P52" i="4"/>
  <c r="Q71" i="4"/>
  <c r="P71" i="4"/>
  <c r="G332" i="8"/>
  <c r="D335" i="8"/>
  <c r="E123" i="8"/>
  <c r="Q5" i="8"/>
  <c r="Q5" i="9"/>
  <c r="R10" i="8"/>
  <c r="D334" i="8"/>
  <c r="F12" i="8"/>
  <c r="F12" i="9"/>
  <c r="D14" i="8"/>
  <c r="G121" i="8"/>
  <c r="G14" i="8"/>
  <c r="G330" i="8"/>
  <c r="G117" i="8"/>
  <c r="G117" i="9"/>
  <c r="O8" i="9"/>
  <c r="D438" i="9"/>
  <c r="D336" i="9"/>
  <c r="E241" i="8"/>
  <c r="E241" i="9"/>
  <c r="F336" i="8"/>
  <c r="E267" i="8"/>
  <c r="E282" i="8"/>
  <c r="O112" i="8"/>
  <c r="Q81" i="4"/>
  <c r="P81" i="4"/>
  <c r="Q47" i="4"/>
  <c r="P47" i="4"/>
  <c r="O174" i="32"/>
  <c r="O175" i="32"/>
  <c r="O195" i="32"/>
  <c r="O196" i="32"/>
  <c r="O205" i="32"/>
  <c r="O206" i="32"/>
  <c r="O207" i="32"/>
  <c r="O208" i="32"/>
  <c r="I202" i="32"/>
  <c r="I203" i="32"/>
  <c r="I204" i="32"/>
  <c r="I205" i="32"/>
  <c r="I206" i="32"/>
  <c r="I207" i="32"/>
  <c r="I208" i="32"/>
  <c r="O132" i="32"/>
  <c r="O133" i="32"/>
  <c r="O153" i="32"/>
  <c r="O154" i="32"/>
  <c r="O163" i="32"/>
  <c r="O164" i="32"/>
  <c r="O165" i="32"/>
  <c r="O166" i="32"/>
  <c r="I160" i="32"/>
  <c r="I161" i="32"/>
  <c r="I162" i="32"/>
  <c r="I163" i="32"/>
  <c r="I164" i="32"/>
  <c r="I165" i="32"/>
  <c r="I166" i="32"/>
  <c r="O48" i="32"/>
  <c r="O49" i="32"/>
  <c r="O69" i="32"/>
  <c r="O70" i="32"/>
  <c r="O79" i="32"/>
  <c r="O80" i="32"/>
  <c r="O81" i="32"/>
  <c r="O82" i="32"/>
  <c r="I82" i="32"/>
  <c r="I81" i="32"/>
  <c r="I80" i="32"/>
  <c r="I79" i="32"/>
  <c r="I78" i="32"/>
  <c r="I77" i="32"/>
  <c r="I76" i="32"/>
  <c r="I34" i="32"/>
  <c r="I35" i="32"/>
  <c r="I36" i="32"/>
  <c r="I37" i="32"/>
  <c r="U37" i="32"/>
  <c r="I38" i="32"/>
  <c r="U38" i="32"/>
  <c r="I39" i="32"/>
  <c r="U39" i="32"/>
  <c r="I40" i="32"/>
  <c r="U40" i="32"/>
  <c r="G327" i="9"/>
  <c r="K66" i="8"/>
  <c r="K71" i="8"/>
  <c r="K69" i="8"/>
  <c r="K90" i="8"/>
  <c r="K75" i="8"/>
  <c r="K77" i="8"/>
  <c r="K70" i="8"/>
  <c r="K94" i="8"/>
  <c r="K68" i="8"/>
  <c r="K78" i="8"/>
  <c r="K85" i="8"/>
  <c r="K65" i="8"/>
  <c r="K76" i="8"/>
  <c r="K80" i="8"/>
  <c r="V76" i="8"/>
  <c r="G12" i="9"/>
  <c r="K487" i="8"/>
  <c r="K199" i="8"/>
  <c r="S199" i="8" s="1"/>
  <c r="K512" i="8"/>
  <c r="S512" i="8" s="1"/>
  <c r="K509" i="8"/>
  <c r="K493" i="8"/>
  <c r="K495" i="8"/>
  <c r="K484" i="8"/>
  <c r="S484" i="8" s="1"/>
  <c r="K490" i="8"/>
  <c r="K64" i="8"/>
  <c r="K397" i="8"/>
  <c r="K86" i="8"/>
  <c r="K396" i="8"/>
  <c r="K87" i="8"/>
  <c r="K499" i="8"/>
  <c r="K174" i="8"/>
  <c r="K177" i="8"/>
  <c r="K497" i="8"/>
  <c r="K74" i="8"/>
  <c r="K498" i="8"/>
  <c r="K193" i="8"/>
  <c r="K176" i="8"/>
  <c r="K197" i="8"/>
  <c r="K513" i="8"/>
  <c r="K496" i="8"/>
  <c r="K384" i="8"/>
  <c r="K192" i="8"/>
  <c r="K395" i="8"/>
  <c r="K188" i="8"/>
  <c r="K73" i="8"/>
  <c r="K510" i="8"/>
  <c r="K180" i="8"/>
  <c r="K191" i="8"/>
  <c r="K501" i="8"/>
  <c r="S501" i="8" s="1"/>
  <c r="K391" i="8"/>
  <c r="K170" i="8"/>
  <c r="K183" i="8"/>
  <c r="K383" i="8"/>
  <c r="K79" i="8"/>
  <c r="K407" i="8"/>
  <c r="K408" i="8"/>
  <c r="K387" i="8"/>
  <c r="K485" i="8"/>
  <c r="S485" i="8" s="1"/>
  <c r="K500" i="8"/>
  <c r="S500" i="8" s="1"/>
  <c r="K486" i="8"/>
  <c r="K505" i="8"/>
  <c r="K72" i="8"/>
  <c r="K399" i="8"/>
  <c r="K502" i="8"/>
  <c r="K405" i="8"/>
  <c r="S405" i="8" s="1"/>
  <c r="K503" i="8"/>
  <c r="S503" i="8"/>
  <c r="K389" i="8"/>
  <c r="K187" i="8"/>
  <c r="K67" i="8"/>
  <c r="K401" i="8"/>
  <c r="K81" i="8"/>
  <c r="K406" i="8"/>
  <c r="S406" i="8"/>
  <c r="K511" i="8"/>
  <c r="K514" i="8"/>
  <c r="K184" i="8"/>
  <c r="K92" i="8"/>
  <c r="K198" i="8"/>
  <c r="K492" i="8"/>
  <c r="S492" i="8" s="1"/>
  <c r="K380" i="8"/>
  <c r="K195" i="8"/>
  <c r="K390" i="8"/>
  <c r="K89" i="8"/>
  <c r="K175" i="8"/>
  <c r="K171" i="8"/>
  <c r="K173" i="8"/>
  <c r="K379" i="8"/>
  <c r="K179" i="8"/>
  <c r="K88" i="8"/>
  <c r="K196" i="8"/>
  <c r="S196" i="8" s="1"/>
  <c r="K409" i="8"/>
  <c r="K504" i="8"/>
  <c r="K388" i="8"/>
  <c r="K404" i="8"/>
  <c r="K400" i="8"/>
  <c r="K393" i="8"/>
  <c r="K82" i="8"/>
  <c r="K403" i="8"/>
  <c r="K508" i="8"/>
  <c r="K506" i="8"/>
  <c r="K386" i="8"/>
  <c r="K186" i="8"/>
  <c r="K91" i="8"/>
  <c r="K93" i="8"/>
  <c r="K507" i="8"/>
  <c r="S507" i="8" s="1"/>
  <c r="K84" i="8"/>
  <c r="K182" i="8"/>
  <c r="K185" i="8"/>
  <c r="K398" i="8"/>
  <c r="K194" i="8"/>
  <c r="K169" i="8"/>
  <c r="K392" i="8"/>
  <c r="K83" i="8"/>
  <c r="K494" i="8"/>
  <c r="K381" i="8"/>
  <c r="K382" i="8"/>
  <c r="K172" i="8"/>
  <c r="K491" i="8"/>
  <c r="S491" i="8" s="1"/>
  <c r="K488" i="8"/>
  <c r="K394" i="8"/>
  <c r="K181" i="8"/>
  <c r="K489" i="8"/>
  <c r="K402" i="8"/>
  <c r="K189" i="8"/>
  <c r="K178" i="8"/>
  <c r="K385" i="8"/>
  <c r="K190" i="8"/>
  <c r="I591" i="9"/>
  <c r="M591" i="9"/>
  <c r="N591" i="9"/>
  <c r="H292" i="9"/>
  <c r="I620" i="9"/>
  <c r="M620" i="9"/>
  <c r="N620" i="9"/>
  <c r="H305" i="9"/>
  <c r="H276" i="9"/>
  <c r="H284" i="9"/>
  <c r="I563" i="9"/>
  <c r="I599" i="9"/>
  <c r="H248" i="9"/>
  <c r="J599" i="9"/>
  <c r="J563" i="9"/>
  <c r="I585" i="9"/>
  <c r="H256" i="9"/>
  <c r="I571" i="9"/>
  <c r="M571" i="9"/>
  <c r="N571" i="9"/>
  <c r="J556" i="9"/>
  <c r="J585" i="9"/>
  <c r="H291" i="9"/>
  <c r="I606" i="9"/>
  <c r="M606" i="9"/>
  <c r="N606" i="9"/>
  <c r="I552" i="9"/>
  <c r="I560" i="9"/>
  <c r="H241" i="9"/>
  <c r="I241" i="9"/>
  <c r="J241" i="9" s="1"/>
  <c r="H311" i="9"/>
  <c r="J552" i="9"/>
  <c r="N704" i="9"/>
  <c r="J551" i="9"/>
  <c r="H235" i="9"/>
  <c r="M655" i="9"/>
  <c r="P655" i="9"/>
  <c r="J553" i="9"/>
  <c r="J550" i="9"/>
  <c r="J566" i="9"/>
  <c r="M566" i="9"/>
  <c r="N566" i="9"/>
  <c r="H272" i="9"/>
  <c r="I272" i="9"/>
  <c r="J272" i="9" s="1"/>
  <c r="L272" i="9" s="1"/>
  <c r="H265" i="9"/>
  <c r="I580" i="9"/>
  <c r="M580" i="9"/>
  <c r="N580" i="9"/>
  <c r="J613" i="9"/>
  <c r="J574" i="9"/>
  <c r="I574" i="9"/>
  <c r="H253" i="9"/>
  <c r="I568" i="9"/>
  <c r="M568" i="9"/>
  <c r="N568" i="9"/>
  <c r="I613" i="9"/>
  <c r="J617" i="9"/>
  <c r="M617" i="9"/>
  <c r="N617" i="9"/>
  <c r="I551" i="9"/>
  <c r="K561" i="9"/>
  <c r="L561" i="9" s="1"/>
  <c r="J576" i="9"/>
  <c r="M576" i="9"/>
  <c r="N576" i="9"/>
  <c r="J561" i="9"/>
  <c r="H302" i="9"/>
  <c r="H261" i="9"/>
  <c r="J261" i="9"/>
  <c r="M666" i="9"/>
  <c r="I624" i="9"/>
  <c r="M624" i="9"/>
  <c r="N624" i="9"/>
  <c r="I600" i="9"/>
  <c r="M600" i="9"/>
  <c r="N600" i="9"/>
  <c r="H309" i="9"/>
  <c r="H275" i="9"/>
  <c r="I590" i="9"/>
  <c r="M590" i="9"/>
  <c r="N590" i="9"/>
  <c r="P704" i="9"/>
  <c r="O704" i="9"/>
  <c r="M665" i="9"/>
  <c r="O665" i="9"/>
  <c r="I569" i="9"/>
  <c r="H244" i="9"/>
  <c r="J569" i="9"/>
  <c r="H299" i="9"/>
  <c r="J579" i="9"/>
  <c r="J559" i="9"/>
  <c r="H273" i="9"/>
  <c r="I573" i="9"/>
  <c r="J583" i="9"/>
  <c r="M583" i="9"/>
  <c r="N583" i="9"/>
  <c r="I588" i="9"/>
  <c r="M588" i="9"/>
  <c r="N588" i="9"/>
  <c r="J573" i="9"/>
  <c r="H308" i="9"/>
  <c r="J555" i="9"/>
  <c r="N719" i="9"/>
  <c r="O719" i="9"/>
  <c r="I614" i="9"/>
  <c r="P719" i="9"/>
  <c r="J614" i="9"/>
  <c r="O668" i="9"/>
  <c r="I558" i="9"/>
  <c r="I565" i="9"/>
  <c r="N655" i="9"/>
  <c r="Q655" i="9" s="1"/>
  <c r="J595" i="9"/>
  <c r="M595" i="9"/>
  <c r="N595" i="9"/>
  <c r="H300" i="9"/>
  <c r="H243" i="9"/>
  <c r="J565" i="9"/>
  <c r="H303" i="9"/>
  <c r="H280" i="9"/>
  <c r="I615" i="9"/>
  <c r="M615" i="9"/>
  <c r="N615" i="9"/>
  <c r="J575" i="9"/>
  <c r="H255" i="9"/>
  <c r="I255" i="9"/>
  <c r="J255" i="9" s="1"/>
  <c r="J618" i="9"/>
  <c r="M618" i="9"/>
  <c r="N618" i="9"/>
  <c r="H233" i="9"/>
  <c r="I581" i="9"/>
  <c r="H267" i="9"/>
  <c r="J594" i="9"/>
  <c r="J564" i="9"/>
  <c r="M730" i="9"/>
  <c r="I570" i="9"/>
  <c r="M570" i="9"/>
  <c r="N570" i="9"/>
  <c r="J598" i="9"/>
  <c r="M598" i="9"/>
  <c r="N598" i="9"/>
  <c r="I582" i="9"/>
  <c r="M582" i="9"/>
  <c r="N582" i="9"/>
  <c r="H249" i="9"/>
  <c r="N730" i="9"/>
  <c r="J581" i="9"/>
  <c r="H310" i="9"/>
  <c r="O730" i="9"/>
  <c r="P730" i="9"/>
  <c r="I564" i="9"/>
  <c r="H283" i="9"/>
  <c r="I625" i="9"/>
  <c r="M625" i="9"/>
  <c r="N625" i="9"/>
  <c r="I594" i="9"/>
  <c r="M669" i="9"/>
  <c r="J557" i="9"/>
  <c r="I623" i="9"/>
  <c r="M623" i="9"/>
  <c r="N623" i="9"/>
  <c r="I579" i="9"/>
  <c r="N669" i="9"/>
  <c r="O669" i="9"/>
  <c r="H304" i="9"/>
  <c r="H251" i="9"/>
  <c r="H282" i="9"/>
  <c r="I575" i="9"/>
  <c r="H281" i="9"/>
  <c r="I608" i="9"/>
  <c r="M608" i="9"/>
  <c r="N608" i="9"/>
  <c r="I619" i="9"/>
  <c r="M619" i="9"/>
  <c r="N619" i="9"/>
  <c r="H293" i="9"/>
  <c r="I293" i="9"/>
  <c r="J293" i="9" s="1"/>
  <c r="H277" i="9"/>
  <c r="I277" i="9"/>
  <c r="J277" i="9" s="1"/>
  <c r="I604" i="9"/>
  <c r="I597" i="9"/>
  <c r="M597" i="9"/>
  <c r="N597" i="9"/>
  <c r="I596" i="9"/>
  <c r="M596" i="9"/>
  <c r="N596" i="9"/>
  <c r="N731" i="9"/>
  <c r="I549" i="9"/>
  <c r="K549" i="9" s="1"/>
  <c r="J567" i="9"/>
  <c r="M567" i="9"/>
  <c r="N567" i="9"/>
  <c r="I592" i="9"/>
  <c r="M592" i="9"/>
  <c r="N592" i="9"/>
  <c r="O731" i="9"/>
  <c r="J549" i="9"/>
  <c r="H252" i="9"/>
  <c r="I626" i="9"/>
  <c r="P731" i="9"/>
  <c r="J626" i="9"/>
  <c r="J611" i="9"/>
  <c r="M611" i="9"/>
  <c r="N611" i="9"/>
  <c r="N668" i="9"/>
  <c r="J612" i="9"/>
  <c r="M612" i="9"/>
  <c r="N612" i="9"/>
  <c r="P668" i="9"/>
  <c r="J548" i="9"/>
  <c r="J605" i="9"/>
  <c r="M605" i="9"/>
  <c r="N605" i="9"/>
  <c r="J593" i="9"/>
  <c r="H297" i="9"/>
  <c r="I601" i="9"/>
  <c r="J601" i="9"/>
  <c r="H268" i="9"/>
  <c r="H274" i="9"/>
  <c r="I557" i="9"/>
  <c r="H262" i="9"/>
  <c r="J616" i="9"/>
  <c r="M616" i="9"/>
  <c r="N616" i="9"/>
  <c r="I607" i="9"/>
  <c r="M607" i="9"/>
  <c r="N607" i="9"/>
  <c r="I577" i="9"/>
  <c r="M577" i="9"/>
  <c r="N577" i="9"/>
  <c r="J604" i="9"/>
  <c r="H296" i="9"/>
  <c r="H288" i="9"/>
  <c r="H263" i="9"/>
  <c r="J263" i="9"/>
  <c r="J587" i="9"/>
  <c r="M587" i="9"/>
  <c r="N587" i="9"/>
  <c r="I610" i="9"/>
  <c r="M610" i="9"/>
  <c r="N610" i="9"/>
  <c r="I603" i="9"/>
  <c r="M603" i="9"/>
  <c r="N603" i="9"/>
  <c r="I578" i="9"/>
  <c r="M578" i="9"/>
  <c r="N578" i="9"/>
  <c r="H295" i="9"/>
  <c r="I562" i="9"/>
  <c r="H271" i="9"/>
  <c r="H290" i="9"/>
  <c r="J586" i="9"/>
  <c r="M586" i="9"/>
  <c r="N586" i="9"/>
  <c r="J584" i="9"/>
  <c r="M584" i="9"/>
  <c r="N584" i="9"/>
  <c r="H247" i="9"/>
  <c r="I593" i="9"/>
  <c r="H294" i="9"/>
  <c r="P659" i="9"/>
  <c r="O659" i="9"/>
  <c r="M659" i="9"/>
  <c r="N659" i="9"/>
  <c r="Q659" i="9" s="1"/>
  <c r="I622" i="9"/>
  <c r="P714" i="9"/>
  <c r="O714" i="9"/>
  <c r="N714" i="9"/>
  <c r="M714" i="9"/>
  <c r="M667" i="9"/>
  <c r="P667" i="9"/>
  <c r="O667" i="9"/>
  <c r="N667" i="9"/>
  <c r="Q667" i="9" s="1"/>
  <c r="P698" i="9"/>
  <c r="O698" i="9"/>
  <c r="N698" i="9"/>
  <c r="M698" i="9"/>
  <c r="P710" i="9"/>
  <c r="O710" i="9"/>
  <c r="N710" i="9"/>
  <c r="M710" i="9"/>
  <c r="P682" i="9"/>
  <c r="O682" i="9"/>
  <c r="N682" i="9"/>
  <c r="M682" i="9"/>
  <c r="N712" i="9"/>
  <c r="M712" i="9"/>
  <c r="O712" i="9"/>
  <c r="P712" i="9"/>
  <c r="P658" i="9"/>
  <c r="O658" i="9"/>
  <c r="N658" i="9"/>
  <c r="Q658" i="9" s="1"/>
  <c r="P689" i="9"/>
  <c r="O689" i="9"/>
  <c r="N689" i="9"/>
  <c r="M689" i="9"/>
  <c r="I602" i="9"/>
  <c r="M602" i="9"/>
  <c r="N602" i="9"/>
  <c r="H285" i="9"/>
  <c r="P694" i="9"/>
  <c r="O694" i="9"/>
  <c r="N694" i="9"/>
  <c r="M694" i="9"/>
  <c r="P706" i="9"/>
  <c r="O706" i="9"/>
  <c r="N706" i="9"/>
  <c r="M706" i="9"/>
  <c r="P729" i="9"/>
  <c r="O729" i="9"/>
  <c r="N729" i="9"/>
  <c r="M729" i="9"/>
  <c r="P690" i="9"/>
  <c r="O690" i="9"/>
  <c r="N690" i="9"/>
  <c r="M690" i="9"/>
  <c r="N720" i="9"/>
  <c r="M720" i="9"/>
  <c r="O720" i="9"/>
  <c r="P720" i="9"/>
  <c r="P670" i="9"/>
  <c r="O670" i="9"/>
  <c r="N670" i="9"/>
  <c r="M670" i="9"/>
  <c r="M663" i="9"/>
  <c r="P663" i="9"/>
  <c r="O663" i="9"/>
  <c r="N663" i="9"/>
  <c r="Q663" i="9" s="1"/>
  <c r="P725" i="9"/>
  <c r="O725" i="9"/>
  <c r="N725" i="9"/>
  <c r="M725" i="9"/>
  <c r="N696" i="9"/>
  <c r="M696" i="9"/>
  <c r="O696" i="9"/>
  <c r="P696" i="9"/>
  <c r="I609" i="9"/>
  <c r="M609" i="9"/>
  <c r="N609" i="9"/>
  <c r="P717" i="9"/>
  <c r="O717" i="9"/>
  <c r="N717" i="9"/>
  <c r="M717" i="9"/>
  <c r="N688" i="9"/>
  <c r="M688" i="9"/>
  <c r="O688" i="9"/>
  <c r="P688" i="9"/>
  <c r="P713" i="9"/>
  <c r="O713" i="9"/>
  <c r="N713" i="9"/>
  <c r="M713" i="9"/>
  <c r="P701" i="9"/>
  <c r="O701" i="9"/>
  <c r="N701" i="9"/>
  <c r="M701" i="9"/>
  <c r="N672" i="9"/>
  <c r="M672" i="9"/>
  <c r="O672" i="9"/>
  <c r="P672" i="9"/>
  <c r="P697" i="9"/>
  <c r="O697" i="9"/>
  <c r="N697" i="9"/>
  <c r="M697" i="9"/>
  <c r="P685" i="9"/>
  <c r="O685" i="9"/>
  <c r="N685" i="9"/>
  <c r="M685" i="9"/>
  <c r="N656" i="9"/>
  <c r="M656" i="9"/>
  <c r="O656" i="9"/>
  <c r="P656" i="9"/>
  <c r="N676" i="9"/>
  <c r="M676" i="9"/>
  <c r="O676" i="9"/>
  <c r="P676" i="9"/>
  <c r="P661" i="9"/>
  <c r="O661" i="9"/>
  <c r="N661" i="9"/>
  <c r="Q661" i="9" s="1"/>
  <c r="M661" i="9"/>
  <c r="M711" i="9"/>
  <c r="P711" i="9"/>
  <c r="O711" i="9"/>
  <c r="N711" i="9"/>
  <c r="P705" i="9"/>
  <c r="O705" i="9"/>
  <c r="N705" i="9"/>
  <c r="M705" i="9"/>
  <c r="P726" i="9"/>
  <c r="O726" i="9"/>
  <c r="N726" i="9"/>
  <c r="M726" i="9"/>
  <c r="H239" i="9"/>
  <c r="H306" i="9"/>
  <c r="O653" i="9"/>
  <c r="M653" i="9"/>
  <c r="P703" i="9"/>
  <c r="M703" i="9"/>
  <c r="O703" i="9"/>
  <c r="N703" i="9"/>
  <c r="O662" i="9"/>
  <c r="N662" i="9"/>
  <c r="Q662" i="9" s="1"/>
  <c r="M662" i="9"/>
  <c r="P675" i="9"/>
  <c r="O675" i="9"/>
  <c r="N675" i="9"/>
  <c r="M675" i="9"/>
  <c r="M687" i="9"/>
  <c r="P687" i="9"/>
  <c r="O687" i="9"/>
  <c r="N687" i="9"/>
  <c r="N728" i="9"/>
  <c r="M728" i="9"/>
  <c r="O728" i="9"/>
  <c r="P728" i="9"/>
  <c r="P702" i="9"/>
  <c r="O702" i="9"/>
  <c r="N702" i="9"/>
  <c r="M702" i="9"/>
  <c r="M671" i="9"/>
  <c r="P671" i="9"/>
  <c r="O671" i="9"/>
  <c r="N671" i="9"/>
  <c r="P654" i="9"/>
  <c r="O654" i="9"/>
  <c r="N654" i="9"/>
  <c r="Q654" i="9" s="1"/>
  <c r="M654" i="9"/>
  <c r="N724" i="9"/>
  <c r="O724" i="9"/>
  <c r="M724" i="9"/>
  <c r="P724" i="9"/>
  <c r="M727" i="9"/>
  <c r="P727" i="9"/>
  <c r="O727" i="9"/>
  <c r="N727" i="9"/>
  <c r="H301" i="9"/>
  <c r="J621" i="9"/>
  <c r="M621" i="9"/>
  <c r="N621" i="9"/>
  <c r="N716" i="9"/>
  <c r="O716" i="9"/>
  <c r="M716" i="9"/>
  <c r="P716" i="9"/>
  <c r="P709" i="9"/>
  <c r="O709" i="9"/>
  <c r="N709" i="9"/>
  <c r="M709" i="9"/>
  <c r="N680" i="9"/>
  <c r="M680" i="9"/>
  <c r="O680" i="9"/>
  <c r="P680" i="9"/>
  <c r="N700" i="9"/>
  <c r="M700" i="9"/>
  <c r="O700" i="9"/>
  <c r="P700" i="9"/>
  <c r="P693" i="9"/>
  <c r="O693" i="9"/>
  <c r="N693" i="9"/>
  <c r="M693" i="9"/>
  <c r="N664" i="9"/>
  <c r="O664" i="9"/>
  <c r="M664" i="9"/>
  <c r="P664" i="9"/>
  <c r="N684" i="9"/>
  <c r="M684" i="9"/>
  <c r="O684" i="9"/>
  <c r="P684" i="9"/>
  <c r="P686" i="9"/>
  <c r="O686" i="9"/>
  <c r="N686" i="9"/>
  <c r="M686" i="9"/>
  <c r="M660" i="9"/>
  <c r="O660" i="9"/>
  <c r="P707" i="9"/>
  <c r="M707" i="9"/>
  <c r="O707" i="9"/>
  <c r="N707" i="9"/>
  <c r="P677" i="9"/>
  <c r="O677" i="9"/>
  <c r="N677" i="9"/>
  <c r="M677" i="9"/>
  <c r="I572" i="9"/>
  <c r="I554" i="9"/>
  <c r="H269" i="9"/>
  <c r="M691" i="9"/>
  <c r="P691" i="9"/>
  <c r="O691" i="9"/>
  <c r="N691" i="9"/>
  <c r="M699" i="9"/>
  <c r="P699" i="9"/>
  <c r="O699" i="9"/>
  <c r="N699" i="9"/>
  <c r="M695" i="9"/>
  <c r="P695" i="9"/>
  <c r="O695" i="9"/>
  <c r="N695" i="9"/>
  <c r="P673" i="9"/>
  <c r="O673" i="9"/>
  <c r="N673" i="9"/>
  <c r="M673" i="9"/>
  <c r="P718" i="9"/>
  <c r="O718" i="9"/>
  <c r="N718" i="9"/>
  <c r="M718" i="9"/>
  <c r="P679" i="9"/>
  <c r="M679" i="9"/>
  <c r="O679" i="9"/>
  <c r="N679" i="9"/>
  <c r="P678" i="9"/>
  <c r="O678" i="9"/>
  <c r="N678" i="9"/>
  <c r="M678" i="9"/>
  <c r="P674" i="9"/>
  <c r="O674" i="9"/>
  <c r="N674" i="9"/>
  <c r="M674" i="9"/>
  <c r="M723" i="9"/>
  <c r="P723" i="9"/>
  <c r="O723" i="9"/>
  <c r="N723" i="9"/>
  <c r="P721" i="9"/>
  <c r="O721" i="9"/>
  <c r="N721" i="9"/>
  <c r="M721" i="9"/>
  <c r="H287" i="9"/>
  <c r="J572" i="9"/>
  <c r="J554" i="9"/>
  <c r="J622" i="9"/>
  <c r="J589" i="9"/>
  <c r="M589" i="9"/>
  <c r="N589" i="9"/>
  <c r="M715" i="9"/>
  <c r="P715" i="9"/>
  <c r="O715" i="9"/>
  <c r="N715" i="9"/>
  <c r="N708" i="9"/>
  <c r="O708" i="9"/>
  <c r="M708" i="9"/>
  <c r="P708" i="9"/>
  <c r="M683" i="9"/>
  <c r="P683" i="9"/>
  <c r="O683" i="9"/>
  <c r="N683" i="9"/>
  <c r="N692" i="9"/>
  <c r="O692" i="9"/>
  <c r="M692" i="9"/>
  <c r="P692" i="9"/>
  <c r="P657" i="9"/>
  <c r="O657" i="9"/>
  <c r="N657" i="9"/>
  <c r="M657" i="9"/>
  <c r="P681" i="9"/>
  <c r="O681" i="9"/>
  <c r="N681" i="9"/>
  <c r="M681" i="9"/>
  <c r="P722" i="9"/>
  <c r="O722" i="9"/>
  <c r="N722" i="9"/>
  <c r="M722" i="9"/>
  <c r="G285" i="8"/>
  <c r="F293" i="8"/>
  <c r="F117" i="9"/>
  <c r="F286" i="8"/>
  <c r="G286" i="8"/>
  <c r="F272" i="8"/>
  <c r="G272" i="8"/>
  <c r="I581" i="8" a="1"/>
  <c r="I581" i="8"/>
  <c r="P686" i="8"/>
  <c r="J581" i="8" a="1"/>
  <c r="J581" i="8"/>
  <c r="F239" i="9"/>
  <c r="O706" i="8"/>
  <c r="H286" i="8"/>
  <c r="J286" i="8" s="1"/>
  <c r="L286" i="8" s="1"/>
  <c r="N706" i="8"/>
  <c r="P706" i="8"/>
  <c r="M706" i="8"/>
  <c r="J601" i="8"/>
  <c r="N601" i="8"/>
  <c r="I259" i="9"/>
  <c r="J259" i="9" s="1"/>
  <c r="I258" i="9"/>
  <c r="J258" i="9" s="1"/>
  <c r="G261" i="9"/>
  <c r="F261" i="9"/>
  <c r="F256" i="9"/>
  <c r="E282" i="9"/>
  <c r="G282" i="8"/>
  <c r="F282" i="8"/>
  <c r="K282" i="8" s="1"/>
  <c r="M282" i="8" s="1"/>
  <c r="E302" i="9"/>
  <c r="G263" i="9"/>
  <c r="F263" i="9"/>
  <c r="N691" i="8"/>
  <c r="H271" i="8"/>
  <c r="M691" i="8"/>
  <c r="P691" i="8"/>
  <c r="J586" i="8" a="1"/>
  <c r="J586" i="8" s="1"/>
  <c r="M586" i="8" s="1"/>
  <c r="N586" i="8" s="1"/>
  <c r="I586" i="8" a="1"/>
  <c r="I586" i="8"/>
  <c r="O691" i="8"/>
  <c r="I625" i="8" a="1"/>
  <c r="I625" i="8"/>
  <c r="J625" i="8" a="1"/>
  <c r="J625" i="8"/>
  <c r="P730" i="8"/>
  <c r="O730" i="8"/>
  <c r="H310" i="8"/>
  <c r="I310" i="8" s="1"/>
  <c r="N730" i="8"/>
  <c r="M730" i="8"/>
  <c r="I240" i="9"/>
  <c r="J240" i="9" s="1"/>
  <c r="G240" i="9"/>
  <c r="J584" i="8" a="1"/>
  <c r="J584" i="8" s="1"/>
  <c r="M689" i="8"/>
  <c r="I584" i="8" a="1"/>
  <c r="I584" i="8" s="1"/>
  <c r="M584" i="8" s="1"/>
  <c r="N584" i="8" s="1"/>
  <c r="O689" i="8"/>
  <c r="N689" i="8"/>
  <c r="H269" i="8"/>
  <c r="P689" i="8"/>
  <c r="O699" i="8"/>
  <c r="J594" i="8" a="1"/>
  <c r="J594" i="8"/>
  <c r="I594" i="8" a="1"/>
  <c r="I594" i="8" s="1"/>
  <c r="H279" i="8"/>
  <c r="N699" i="8"/>
  <c r="M699" i="8"/>
  <c r="E298" i="9"/>
  <c r="G298" i="8"/>
  <c r="F298" i="8"/>
  <c r="I622" i="8" a="1"/>
  <c r="I622" i="8" s="1"/>
  <c r="M622" i="8" s="1"/>
  <c r="N622" i="8" s="1"/>
  <c r="M727" i="8"/>
  <c r="J622" i="8" a="1"/>
  <c r="J622" i="8" s="1"/>
  <c r="N727" i="8"/>
  <c r="I616" i="8" a="1"/>
  <c r="I616" i="8" s="1"/>
  <c r="N721" i="8"/>
  <c r="H301" i="8"/>
  <c r="I301" i="8" s="1"/>
  <c r="M721" i="8"/>
  <c r="P721" i="8"/>
  <c r="J616" i="8" a="1"/>
  <c r="J616" i="8"/>
  <c r="O721" i="8"/>
  <c r="F279" i="8"/>
  <c r="I617" i="8" a="1"/>
  <c r="I617" i="8" s="1"/>
  <c r="P722" i="8"/>
  <c r="O722" i="8"/>
  <c r="N729" i="8"/>
  <c r="M729" i="8"/>
  <c r="J624" i="8" a="1"/>
  <c r="J624" i="8"/>
  <c r="O729" i="8"/>
  <c r="P729" i="8"/>
  <c r="G262" i="9"/>
  <c r="F271" i="8"/>
  <c r="O732" i="8"/>
  <c r="M732" i="8"/>
  <c r="I627" i="8" a="1"/>
  <c r="I627" i="8"/>
  <c r="N732" i="8"/>
  <c r="H312" i="8"/>
  <c r="P732" i="8"/>
  <c r="E309" i="9"/>
  <c r="G309" i="8"/>
  <c r="F309" i="8"/>
  <c r="P725" i="8"/>
  <c r="N725" i="8"/>
  <c r="M725" i="8"/>
  <c r="J620" i="8" a="1"/>
  <c r="J620" i="8" s="1"/>
  <c r="H305" i="8"/>
  <c r="I620" i="8" a="1"/>
  <c r="I620" i="8"/>
  <c r="O725" i="8"/>
  <c r="P711" i="8"/>
  <c r="M711" i="8"/>
  <c r="H291" i="8"/>
  <c r="J606" i="8" a="1"/>
  <c r="J606" i="8"/>
  <c r="J593" i="8" a="1"/>
  <c r="J593" i="8"/>
  <c r="O698" i="8"/>
  <c r="I593" i="8" a="1"/>
  <c r="I593" i="8" s="1"/>
  <c r="G300" i="8"/>
  <c r="I613" i="8" a="1"/>
  <c r="I613" i="8"/>
  <c r="M613" i="8" s="1"/>
  <c r="N613" i="8" s="1"/>
  <c r="H298" i="8"/>
  <c r="O718" i="8"/>
  <c r="M718" i="8"/>
  <c r="J613" i="8" a="1"/>
  <c r="J613" i="8" s="1"/>
  <c r="P718" i="8"/>
  <c r="N718" i="8"/>
  <c r="P724" i="8"/>
  <c r="J619" i="8" a="1"/>
  <c r="J619" i="8"/>
  <c r="N724" i="8"/>
  <c r="I619" i="8" a="1"/>
  <c r="I619" i="8" s="1"/>
  <c r="H304" i="8"/>
  <c r="O724" i="8"/>
  <c r="M724" i="8"/>
  <c r="M708" i="8"/>
  <c r="J603" i="8" a="1"/>
  <c r="J603" i="8" s="1"/>
  <c r="H288" i="8"/>
  <c r="I603" i="8" a="1"/>
  <c r="I603" i="8" s="1"/>
  <c r="O708" i="8"/>
  <c r="N708" i="8"/>
  <c r="P708" i="8"/>
  <c r="E292" i="9"/>
  <c r="I292" i="9" s="1"/>
  <c r="J292" i="9" s="1"/>
  <c r="O709" i="8"/>
  <c r="N709" i="8"/>
  <c r="J604" i="8" a="1"/>
  <c r="J604" i="8"/>
  <c r="P709" i="8"/>
  <c r="M709" i="8"/>
  <c r="E306" i="9"/>
  <c r="I306" i="9" s="1"/>
  <c r="G306" i="8"/>
  <c r="F306" i="8"/>
  <c r="O726" i="8"/>
  <c r="N726" i="8"/>
  <c r="M726" i="8"/>
  <c r="J621" i="8" a="1"/>
  <c r="J621" i="8"/>
  <c r="I621" i="8" a="1"/>
  <c r="I621" i="8" s="1"/>
  <c r="H306" i="8"/>
  <c r="P726" i="8"/>
  <c r="E284" i="9"/>
  <c r="F284" i="8"/>
  <c r="G284" i="8"/>
  <c r="E278" i="9"/>
  <c r="G278" i="8"/>
  <c r="O716" i="8"/>
  <c r="P716" i="8"/>
  <c r="N716" i="8"/>
  <c r="M716" i="8"/>
  <c r="J611" i="8" a="1"/>
  <c r="J611" i="8"/>
  <c r="H296" i="8"/>
  <c r="I296" i="8" s="1"/>
  <c r="I611" i="8" a="1"/>
  <c r="I611" i="8" s="1"/>
  <c r="G299" i="8"/>
  <c r="F299" i="8"/>
  <c r="E289" i="9"/>
  <c r="G289" i="8"/>
  <c r="E296" i="9"/>
  <c r="G296" i="8"/>
  <c r="F296" i="8"/>
  <c r="P712" i="8"/>
  <c r="N712" i="8"/>
  <c r="I607" i="8" a="1"/>
  <c r="I607" i="8"/>
  <c r="M712" i="8"/>
  <c r="H292" i="8"/>
  <c r="O712" i="8"/>
  <c r="J607" i="8" a="1"/>
  <c r="J607" i="8" s="1"/>
  <c r="E303" i="9"/>
  <c r="I303" i="9" s="1"/>
  <c r="J303" i="9" s="1"/>
  <c r="F303" i="8"/>
  <c r="E281" i="9"/>
  <c r="F281" i="9" s="1"/>
  <c r="F281" i="8"/>
  <c r="G281" i="8"/>
  <c r="J585" i="8" a="1"/>
  <c r="J585" i="8"/>
  <c r="O690" i="8"/>
  <c r="M690" i="8"/>
  <c r="H270" i="8"/>
  <c r="I270" i="8" s="1"/>
  <c r="N690" i="8"/>
  <c r="I585" i="8" a="1"/>
  <c r="I585" i="8" s="1"/>
  <c r="P687" i="8"/>
  <c r="O687" i="8"/>
  <c r="J582" i="8" a="1"/>
  <c r="J582" i="8" s="1"/>
  <c r="N687" i="8"/>
  <c r="M687" i="8"/>
  <c r="I582" i="8" a="1"/>
  <c r="I582" i="8" s="1"/>
  <c r="H267" i="8"/>
  <c r="N723" i="8"/>
  <c r="M723" i="8"/>
  <c r="J618" i="8" a="1"/>
  <c r="J618" i="8"/>
  <c r="I618" i="8" a="1"/>
  <c r="I618" i="8"/>
  <c r="H303" i="8"/>
  <c r="O723" i="8"/>
  <c r="G260" i="9"/>
  <c r="I260" i="9"/>
  <c r="J260" i="9"/>
  <c r="L260" i="9" s="1"/>
  <c r="E275" i="9"/>
  <c r="F275" i="8"/>
  <c r="G275" i="8"/>
  <c r="L275" i="8" s="1"/>
  <c r="M275" i="8" s="1"/>
  <c r="M692" i="8"/>
  <c r="I587" i="8" a="1"/>
  <c r="I587" i="8" s="1"/>
  <c r="J587" i="8" a="1"/>
  <c r="J587" i="8"/>
  <c r="H272" i="8"/>
  <c r="P692" i="8"/>
  <c r="O692" i="8"/>
  <c r="N692" i="8"/>
  <c r="O714" i="8"/>
  <c r="M714" i="8"/>
  <c r="P714" i="8"/>
  <c r="J609" i="8" a="1"/>
  <c r="J609" i="8"/>
  <c r="H294" i="8"/>
  <c r="J294" i="8" s="1"/>
  <c r="L294" i="8" s="1"/>
  <c r="I609" i="8" a="1"/>
  <c r="I609" i="8"/>
  <c r="M609" i="8" s="1"/>
  <c r="N694" i="8"/>
  <c r="I589" i="8" a="1"/>
  <c r="I589" i="8"/>
  <c r="O694" i="8"/>
  <c r="M694" i="8"/>
  <c r="H274" i="8"/>
  <c r="J589" i="8" a="1"/>
  <c r="J589" i="8" s="1"/>
  <c r="P694" i="8"/>
  <c r="N695" i="8"/>
  <c r="I590" i="8" a="1"/>
  <c r="I590" i="8"/>
  <c r="M590" i="8" s="1"/>
  <c r="N590" i="8" s="1"/>
  <c r="M695" i="8"/>
  <c r="H275" i="8"/>
  <c r="P695" i="8"/>
  <c r="O695" i="8"/>
  <c r="J590" i="8" a="1"/>
  <c r="J590" i="8"/>
  <c r="E297" i="9"/>
  <c r="G297" i="8"/>
  <c r="F297" i="8"/>
  <c r="M719" i="8"/>
  <c r="I614" i="8" a="1"/>
  <c r="I614" i="8" s="1"/>
  <c r="H299" i="8"/>
  <c r="N719" i="8"/>
  <c r="P719" i="8"/>
  <c r="O719" i="8"/>
  <c r="J614" i="8" a="1"/>
  <c r="J614" i="8" s="1"/>
  <c r="G250" i="9"/>
  <c r="I250" i="9"/>
  <c r="J250" i="9" s="1"/>
  <c r="F250" i="9"/>
  <c r="H297" i="8"/>
  <c r="P717" i="8"/>
  <c r="O717" i="8"/>
  <c r="N717" i="8"/>
  <c r="M717" i="8"/>
  <c r="I612" i="8" a="1"/>
  <c r="I612" i="8" s="1"/>
  <c r="J612" i="8" a="1"/>
  <c r="J612" i="8"/>
  <c r="E313" i="9"/>
  <c r="G313" i="8"/>
  <c r="L313" i="8" s="1"/>
  <c r="M313" i="8" s="1"/>
  <c r="P696" i="8"/>
  <c r="I591" i="8" a="1"/>
  <c r="I591" i="8" s="1"/>
  <c r="O696" i="8"/>
  <c r="N696" i="8"/>
  <c r="H276" i="8"/>
  <c r="M696" i="8"/>
  <c r="J591" i="8" a="1"/>
  <c r="J591" i="8"/>
  <c r="E268" i="9"/>
  <c r="I268" i="9" s="1"/>
  <c r="J615" i="8" a="1"/>
  <c r="J615" i="8"/>
  <c r="M720" i="8"/>
  <c r="I615" i="8"/>
  <c r="P720" i="8"/>
  <c r="H300" i="8"/>
  <c r="N720" i="8"/>
  <c r="O720" i="8"/>
  <c r="G286" i="9"/>
  <c r="I286" i="9"/>
  <c r="J286" i="9" s="1"/>
  <c r="F286" i="9"/>
  <c r="E267" i="9"/>
  <c r="I267" i="9" s="1"/>
  <c r="J267" i="9" s="1"/>
  <c r="F257" i="9"/>
  <c r="G257" i="9"/>
  <c r="I257" i="9"/>
  <c r="J257" i="9" s="1"/>
  <c r="P701" i="8"/>
  <c r="O701" i="8"/>
  <c r="I596" i="8" a="1"/>
  <c r="I596" i="8"/>
  <c r="N701" i="8"/>
  <c r="M701" i="8"/>
  <c r="J596" i="8" a="1"/>
  <c r="J596" i="8" s="1"/>
  <c r="H281" i="8"/>
  <c r="E280" i="9"/>
  <c r="G280" i="8"/>
  <c r="F280" i="8"/>
  <c r="O688" i="8"/>
  <c r="M688" i="8"/>
  <c r="J583" i="8" a="1"/>
  <c r="J583" i="8"/>
  <c r="N688" i="8"/>
  <c r="H268" i="8"/>
  <c r="I268" i="8" s="1"/>
  <c r="I583" i="8" a="1"/>
  <c r="I583" i="8" s="1"/>
  <c r="P688" i="8"/>
  <c r="E290" i="9"/>
  <c r="G290" i="8"/>
  <c r="F290" i="8"/>
  <c r="I598" i="8" a="1"/>
  <c r="I598" i="8" s="1"/>
  <c r="M598" i="8" s="1"/>
  <c r="N598" i="8" s="1"/>
  <c r="P703" i="8"/>
  <c r="N703" i="8"/>
  <c r="M703" i="8"/>
  <c r="O703" i="8"/>
  <c r="J598" i="8" a="1"/>
  <c r="J598" i="8"/>
  <c r="G249" i="9"/>
  <c r="L249" i="9" s="1"/>
  <c r="F249" i="9"/>
  <c r="E310" i="9"/>
  <c r="G310" i="8"/>
  <c r="F310" i="8"/>
  <c r="E304" i="9"/>
  <c r="G304" i="9" s="1"/>
  <c r="G304" i="8"/>
  <c r="P700" i="8"/>
  <c r="O700" i="8"/>
  <c r="N700" i="8"/>
  <c r="M700" i="8"/>
  <c r="J595" i="8" a="1"/>
  <c r="J595" i="8"/>
  <c r="H280" i="8"/>
  <c r="I280" i="8" s="1"/>
  <c r="I595" i="8" a="1"/>
  <c r="I595" i="8"/>
  <c r="E270" i="9"/>
  <c r="F270" i="9" s="1"/>
  <c r="N705" i="8"/>
  <c r="J600" i="8" a="1"/>
  <c r="J600" i="8"/>
  <c r="I600" i="8" a="1"/>
  <c r="I600" i="8"/>
  <c r="H285" i="8"/>
  <c r="J285" i="8" s="1"/>
  <c r="L285" i="8" s="1"/>
  <c r="P705" i="8"/>
  <c r="O705" i="8"/>
  <c r="F327" i="9"/>
  <c r="H311" i="8"/>
  <c r="I311" i="8" s="1"/>
  <c r="J626" i="8" a="1"/>
  <c r="J626" i="8"/>
  <c r="M626" i="8" s="1"/>
  <c r="N626" i="8" s="1"/>
  <c r="P731" i="8"/>
  <c r="O731" i="8"/>
  <c r="N731" i="8"/>
  <c r="M731" i="8"/>
  <c r="I626" i="8" a="1"/>
  <c r="I626" i="8"/>
  <c r="G283" i="8"/>
  <c r="F283" i="8"/>
  <c r="N702" i="8"/>
  <c r="J597" i="8" a="1"/>
  <c r="J597" i="8" s="1"/>
  <c r="P702" i="8"/>
  <c r="H282" i="8"/>
  <c r="O702" i="8"/>
  <c r="M702" i="8"/>
  <c r="I597" i="8" a="1"/>
  <c r="I597" i="8"/>
  <c r="G251" i="9"/>
  <c r="L251" i="9" s="1"/>
  <c r="M251" i="9" s="1"/>
  <c r="F251" i="9"/>
  <c r="G272" i="9"/>
  <c r="F272" i="9"/>
  <c r="I623" i="8" a="1"/>
  <c r="I623" i="8"/>
  <c r="N728" i="8"/>
  <c r="H308" i="8"/>
  <c r="I308" i="8" s="1"/>
  <c r="P728" i="8"/>
  <c r="J623" i="8" a="1"/>
  <c r="J623" i="8"/>
  <c r="O728" i="8"/>
  <c r="M728" i="8"/>
  <c r="G264" i="9"/>
  <c r="F264" i="9"/>
  <c r="K264" i="9" s="1"/>
  <c r="I264" i="9"/>
  <c r="J264" i="9" s="1"/>
  <c r="H295" i="8"/>
  <c r="N715" i="8"/>
  <c r="P715" i="8"/>
  <c r="O715" i="8"/>
  <c r="I610" i="8" a="1"/>
  <c r="I610" i="8" s="1"/>
  <c r="J628" i="8" a="1"/>
  <c r="J628" i="8" s="1"/>
  <c r="H313" i="8"/>
  <c r="J313" i="8" s="1"/>
  <c r="P733" i="8"/>
  <c r="N733" i="8"/>
  <c r="M733" i="8"/>
  <c r="I628" i="8" a="1"/>
  <c r="I628" i="8" s="1"/>
  <c r="O733" i="8"/>
  <c r="N710" i="8"/>
  <c r="J605" i="8" a="1"/>
  <c r="J605" i="8"/>
  <c r="M710" i="8"/>
  <c r="P710" i="8"/>
  <c r="H290" i="8"/>
  <c r="J290" i="8" s="1"/>
  <c r="I605" i="8" a="1"/>
  <c r="I605" i="8"/>
  <c r="O710" i="8"/>
  <c r="G254" i="9"/>
  <c r="F254" i="9"/>
  <c r="I254" i="9"/>
  <c r="J254" i="9" s="1"/>
  <c r="L254" i="9" s="1"/>
  <c r="E308" i="9"/>
  <c r="F308" i="9" s="1"/>
  <c r="E311" i="9"/>
  <c r="G311" i="8"/>
  <c r="F311" i="8"/>
  <c r="E307" i="9"/>
  <c r="F307" i="8"/>
  <c r="N713" i="8"/>
  <c r="S713" i="8" s="1"/>
  <c r="J608" i="8" a="1"/>
  <c r="J608" i="8" s="1"/>
  <c r="P713" i="8"/>
  <c r="I608" i="8" a="1"/>
  <c r="I608" i="8"/>
  <c r="O713" i="8"/>
  <c r="M713" i="8"/>
  <c r="H293" i="8"/>
  <c r="I293" i="8" s="1"/>
  <c r="E294" i="9"/>
  <c r="G294" i="8"/>
  <c r="F294" i="8"/>
  <c r="O697" i="8"/>
  <c r="J592" i="8" a="1"/>
  <c r="J592" i="8" s="1"/>
  <c r="H277" i="8"/>
  <c r="I277" i="8" s="1"/>
  <c r="M697" i="8"/>
  <c r="P697" i="8"/>
  <c r="N697" i="8"/>
  <c r="I592" i="8" a="1"/>
  <c r="I592" i="8" s="1"/>
  <c r="M592" i="8" s="1"/>
  <c r="N592" i="8" s="1"/>
  <c r="O707" i="8"/>
  <c r="M707" i="8"/>
  <c r="N707" i="8"/>
  <c r="P707" i="8"/>
  <c r="J602" i="8" a="1"/>
  <c r="J602" i="8" s="1"/>
  <c r="I602" i="8" a="1"/>
  <c r="I602" i="8" s="1"/>
  <c r="H287" i="8"/>
  <c r="G274" i="8"/>
  <c r="L274" i="8" s="1"/>
  <c r="F274" i="8"/>
  <c r="I599" i="8" a="1"/>
  <c r="I599" i="8"/>
  <c r="N704" i="8"/>
  <c r="P704" i="8"/>
  <c r="H284" i="8"/>
  <c r="M704" i="8"/>
  <c r="J599" i="8" a="1"/>
  <c r="J599" i="8" s="1"/>
  <c r="O704" i="8"/>
  <c r="P693" i="8"/>
  <c r="N693" i="8"/>
  <c r="H273" i="8"/>
  <c r="M693" i="8"/>
  <c r="I588" i="8" a="1"/>
  <c r="I588" i="8"/>
  <c r="J588" i="8" a="1"/>
  <c r="J588" i="8" s="1"/>
  <c r="O693" i="8"/>
  <c r="G277" i="9"/>
  <c r="F277" i="9"/>
  <c r="S41" i="31"/>
  <c r="T41" i="31"/>
  <c r="R41" i="31"/>
  <c r="Q41" i="31"/>
  <c r="O41" i="31"/>
  <c r="K41" i="31"/>
  <c r="I41" i="31"/>
  <c r="H41" i="31"/>
  <c r="S40" i="31"/>
  <c r="T40" i="31"/>
  <c r="R40" i="31"/>
  <c r="Q40" i="31"/>
  <c r="O40" i="31"/>
  <c r="K40" i="31"/>
  <c r="I40" i="31"/>
  <c r="H40" i="31"/>
  <c r="S39" i="31"/>
  <c r="T39" i="31"/>
  <c r="R39" i="31"/>
  <c r="Q39" i="31"/>
  <c r="O39" i="31"/>
  <c r="K39" i="31"/>
  <c r="I39" i="31"/>
  <c r="H39" i="31"/>
  <c r="S38" i="31"/>
  <c r="T38" i="31"/>
  <c r="R38" i="31"/>
  <c r="Q38" i="31"/>
  <c r="O38" i="31"/>
  <c r="K38" i="31"/>
  <c r="I38" i="31"/>
  <c r="H38" i="31"/>
  <c r="M563" i="9"/>
  <c r="N563" i="9"/>
  <c r="M585" i="9"/>
  <c r="N585" i="9"/>
  <c r="M599" i="9"/>
  <c r="N599" i="9"/>
  <c r="M574" i="9"/>
  <c r="N574" i="9"/>
  <c r="M613" i="9"/>
  <c r="N613" i="9"/>
  <c r="M569" i="9"/>
  <c r="N569" i="9"/>
  <c r="S704" i="9"/>
  <c r="T704" i="9" s="1"/>
  <c r="M573" i="9"/>
  <c r="N573" i="9"/>
  <c r="M579" i="9"/>
  <c r="N579" i="9"/>
  <c r="M614" i="9"/>
  <c r="N614" i="9"/>
  <c r="M626" i="9"/>
  <c r="N626" i="9"/>
  <c r="S719" i="9"/>
  <c r="T719" i="9" s="1"/>
  <c r="M575" i="9"/>
  <c r="N575" i="9"/>
  <c r="M581" i="9"/>
  <c r="N581" i="9"/>
  <c r="M565" i="9"/>
  <c r="N565" i="9"/>
  <c r="M564" i="9"/>
  <c r="N564" i="9"/>
  <c r="S669" i="9"/>
  <c r="T669" i="9"/>
  <c r="M594" i="9"/>
  <c r="N594" i="9"/>
  <c r="S731" i="9"/>
  <c r="T731" i="9" s="1"/>
  <c r="S730" i="9"/>
  <c r="T730" i="9"/>
  <c r="M604" i="9"/>
  <c r="N604" i="9"/>
  <c r="S668" i="9"/>
  <c r="T668" i="9"/>
  <c r="M593" i="9"/>
  <c r="N593" i="9"/>
  <c r="M601" i="9"/>
  <c r="N601" i="9"/>
  <c r="M622" i="9"/>
  <c r="N622" i="9"/>
  <c r="M572" i="9"/>
  <c r="N572" i="9"/>
  <c r="S705" i="9"/>
  <c r="T705" i="9" s="1"/>
  <c r="S697" i="9"/>
  <c r="T697" i="9"/>
  <c r="S706" i="9"/>
  <c r="T706" i="9"/>
  <c r="S721" i="9"/>
  <c r="T721" i="9"/>
  <c r="S686" i="9"/>
  <c r="T686" i="9" s="1"/>
  <c r="S675" i="9"/>
  <c r="T675" i="9" s="1"/>
  <c r="S689" i="9"/>
  <c r="T689" i="9"/>
  <c r="S710" i="9"/>
  <c r="T710" i="9" s="1"/>
  <c r="S699" i="9"/>
  <c r="T699" i="9" s="1"/>
  <c r="S700" i="9"/>
  <c r="T700" i="9" s="1"/>
  <c r="S676" i="9"/>
  <c r="T676" i="9"/>
  <c r="S722" i="9"/>
  <c r="T722" i="9"/>
  <c r="S678" i="9"/>
  <c r="T678" i="9" s="1"/>
  <c r="S718" i="9"/>
  <c r="T718" i="9" s="1"/>
  <c r="S693" i="9"/>
  <c r="T693" i="9" s="1"/>
  <c r="S711" i="9"/>
  <c r="T711" i="9"/>
  <c r="S672" i="9"/>
  <c r="T672" i="9" s="1"/>
  <c r="S670" i="9"/>
  <c r="T670" i="9"/>
  <c r="S690" i="9"/>
  <c r="T690" i="9" s="1"/>
  <c r="S684" i="9"/>
  <c r="T684" i="9"/>
  <c r="S716" i="9"/>
  <c r="T716" i="9" s="1"/>
  <c r="S727" i="9"/>
  <c r="T727" i="9" s="1"/>
  <c r="S687" i="9"/>
  <c r="T687" i="9" s="1"/>
  <c r="S701" i="9"/>
  <c r="T701" i="9" s="1"/>
  <c r="S723" i="9"/>
  <c r="T723" i="9" s="1"/>
  <c r="S695" i="9"/>
  <c r="T695" i="9"/>
  <c r="S691" i="9"/>
  <c r="T691" i="9"/>
  <c r="S680" i="9"/>
  <c r="T680" i="9" s="1"/>
  <c r="S681" i="9"/>
  <c r="T681" i="9" s="1"/>
  <c r="S683" i="9"/>
  <c r="T683" i="9"/>
  <c r="S674" i="9"/>
  <c r="T674" i="9"/>
  <c r="S673" i="9"/>
  <c r="T673" i="9" s="1"/>
  <c r="S724" i="9"/>
  <c r="T724" i="9" s="1"/>
  <c r="S688" i="9"/>
  <c r="T688" i="9"/>
  <c r="S729" i="9"/>
  <c r="T729" i="9" s="1"/>
  <c r="S715" i="9"/>
  <c r="T715" i="9"/>
  <c r="S707" i="9"/>
  <c r="T707" i="9" s="1"/>
  <c r="S709" i="9"/>
  <c r="T709" i="9" s="1"/>
  <c r="S728" i="9"/>
  <c r="T728" i="9" s="1"/>
  <c r="S703" i="9"/>
  <c r="T703" i="9" s="1"/>
  <c r="S726" i="9"/>
  <c r="T726" i="9" s="1"/>
  <c r="S685" i="9"/>
  <c r="T685" i="9" s="1"/>
  <c r="S696" i="9"/>
  <c r="T696" i="9"/>
  <c r="S694" i="9"/>
  <c r="T694" i="9" s="1"/>
  <c r="S712" i="9"/>
  <c r="T712" i="9" s="1"/>
  <c r="I285" i="9"/>
  <c r="J285" i="9" s="1"/>
  <c r="L285" i="9" s="1"/>
  <c r="M285" i="9" s="1"/>
  <c r="S692" i="9"/>
  <c r="T692" i="9" s="1"/>
  <c r="S708" i="9"/>
  <c r="T708" i="9"/>
  <c r="S679" i="9"/>
  <c r="T679" i="9" s="1"/>
  <c r="S671" i="9"/>
  <c r="T671" i="9"/>
  <c r="S713" i="9"/>
  <c r="T713" i="9" s="1"/>
  <c r="S717" i="9"/>
  <c r="T717" i="9"/>
  <c r="S720" i="9"/>
  <c r="T720" i="9" s="1"/>
  <c r="S677" i="9"/>
  <c r="T677" i="9" s="1"/>
  <c r="S702" i="9"/>
  <c r="T702" i="9"/>
  <c r="S725" i="9"/>
  <c r="T725" i="9" s="1"/>
  <c r="S682" i="9"/>
  <c r="T682" i="9" s="1"/>
  <c r="S698" i="9"/>
  <c r="T698" i="9"/>
  <c r="S714" i="9"/>
  <c r="T714" i="9" s="1"/>
  <c r="M581" i="8"/>
  <c r="N581" i="8" s="1"/>
  <c r="G285" i="9"/>
  <c r="I286" i="8"/>
  <c r="K286" i="8" s="1"/>
  <c r="M286" i="8" s="1"/>
  <c r="M611" i="8"/>
  <c r="N611" i="8"/>
  <c r="L277" i="9"/>
  <c r="M277" i="9" s="1"/>
  <c r="K277" i="9"/>
  <c r="L250" i="9"/>
  <c r="K261" i="9"/>
  <c r="K251" i="9"/>
  <c r="M616" i="8"/>
  <c r="N616" i="8" s="1"/>
  <c r="M625" i="8"/>
  <c r="N625" i="8"/>
  <c r="K263" i="9"/>
  <c r="L263" i="9"/>
  <c r="L257" i="9"/>
  <c r="L261" i="9"/>
  <c r="K272" i="9"/>
  <c r="K257" i="9"/>
  <c r="M594" i="8"/>
  <c r="N594" i="8"/>
  <c r="J273" i="8"/>
  <c r="J277" i="8"/>
  <c r="J295" i="8"/>
  <c r="J311" i="8"/>
  <c r="L311" i="8" s="1"/>
  <c r="M311" i="8" s="1"/>
  <c r="K311" i="8"/>
  <c r="K249" i="9"/>
  <c r="G267" i="9"/>
  <c r="L267" i="9" s="1"/>
  <c r="F267" i="9"/>
  <c r="I313" i="9"/>
  <c r="J313" i="9" s="1"/>
  <c r="F313" i="9"/>
  <c r="G313" i="9"/>
  <c r="K250" i="9"/>
  <c r="I275" i="8"/>
  <c r="K275" i="8"/>
  <c r="J275" i="8"/>
  <c r="I294" i="8"/>
  <c r="K294" i="8"/>
  <c r="I304" i="8"/>
  <c r="K304" i="8"/>
  <c r="J304" i="8"/>
  <c r="I300" i="9"/>
  <c r="J300" i="9" s="1"/>
  <c r="L300" i="9" s="1"/>
  <c r="M300" i="9" s="1"/>
  <c r="G300" i="9"/>
  <c r="F300" i="9"/>
  <c r="I305" i="9"/>
  <c r="J305" i="9" s="1"/>
  <c r="M608" i="8"/>
  <c r="N608" i="8" s="1"/>
  <c r="I313" i="8"/>
  <c r="K313" i="8"/>
  <c r="J308" i="8"/>
  <c r="L308" i="8"/>
  <c r="I283" i="9"/>
  <c r="J283" i="9"/>
  <c r="G283" i="9"/>
  <c r="L283" i="9" s="1"/>
  <c r="K286" i="9"/>
  <c r="J276" i="8"/>
  <c r="I272" i="8"/>
  <c r="K272" i="8" s="1"/>
  <c r="M272" i="8" s="1"/>
  <c r="J272" i="8"/>
  <c r="L272" i="8" s="1"/>
  <c r="J267" i="8"/>
  <c r="I267" i="8"/>
  <c r="I281" i="9"/>
  <c r="J281" i="9"/>
  <c r="G281" i="9"/>
  <c r="I306" i="8"/>
  <c r="K306" i="8" s="1"/>
  <c r="J306" i="8"/>
  <c r="L306" i="8"/>
  <c r="M619" i="8"/>
  <c r="N619" i="8" s="1"/>
  <c r="J312" i="8"/>
  <c r="I312" i="8"/>
  <c r="I311" i="9"/>
  <c r="J311" i="9"/>
  <c r="F311" i="9"/>
  <c r="K311" i="9" s="1"/>
  <c r="G311" i="9"/>
  <c r="L311" i="9" s="1"/>
  <c r="M589" i="8"/>
  <c r="N589" i="8"/>
  <c r="J270" i="8"/>
  <c r="J279" i="8"/>
  <c r="I282" i="9"/>
  <c r="J282" i="9" s="1"/>
  <c r="L282" i="9" s="1"/>
  <c r="M282" i="9" s="1"/>
  <c r="G282" i="9"/>
  <c r="F282" i="9"/>
  <c r="J282" i="8"/>
  <c r="L282" i="8"/>
  <c r="I282" i="8"/>
  <c r="L286" i="9"/>
  <c r="M587" i="8"/>
  <c r="N587" i="8"/>
  <c r="I275" i="9"/>
  <c r="J275" i="9" s="1"/>
  <c r="L275" i="9" s="1"/>
  <c r="G275" i="9"/>
  <c r="F275" i="9"/>
  <c r="J303" i="8"/>
  <c r="I303" i="8"/>
  <c r="K303" i="8"/>
  <c r="J288" i="8"/>
  <c r="G298" i="9"/>
  <c r="F298" i="9"/>
  <c r="K298" i="9" s="1"/>
  <c r="M298" i="9" s="1"/>
  <c r="I298" i="9"/>
  <c r="J298" i="9" s="1"/>
  <c r="K310" i="8"/>
  <c r="J310" i="8"/>
  <c r="L310" i="8" s="1"/>
  <c r="M310" i="8" s="1"/>
  <c r="G274" i="9"/>
  <c r="F274" i="9"/>
  <c r="I274" i="9"/>
  <c r="J274" i="9" s="1"/>
  <c r="L274" i="9" s="1"/>
  <c r="M274" i="9" s="1"/>
  <c r="G270" i="9"/>
  <c r="G310" i="9"/>
  <c r="F310" i="9"/>
  <c r="I310" i="9"/>
  <c r="J310" i="9"/>
  <c r="L310" i="9" s="1"/>
  <c r="G290" i="9"/>
  <c r="F290" i="9"/>
  <c r="I290" i="9"/>
  <c r="J290" i="9" s="1"/>
  <c r="G280" i="9"/>
  <c r="F280" i="9"/>
  <c r="K280" i="9" s="1"/>
  <c r="I280" i="9"/>
  <c r="J280" i="9" s="1"/>
  <c r="L280" i="9" s="1"/>
  <c r="G297" i="9"/>
  <c r="L297" i="9" s="1"/>
  <c r="M297" i="9" s="1"/>
  <c r="F297" i="9"/>
  <c r="I297" i="9"/>
  <c r="J297" i="9" s="1"/>
  <c r="F303" i="9"/>
  <c r="G289" i="9"/>
  <c r="F289" i="9"/>
  <c r="I289" i="9"/>
  <c r="J289" i="9" s="1"/>
  <c r="K296" i="8"/>
  <c r="J296" i="8"/>
  <c r="L296" i="8"/>
  <c r="G278" i="9"/>
  <c r="F278" i="9"/>
  <c r="K278" i="9" s="1"/>
  <c r="I278" i="9"/>
  <c r="J278" i="9" s="1"/>
  <c r="L278" i="9" s="1"/>
  <c r="J306" i="9"/>
  <c r="G306" i="9"/>
  <c r="F306" i="9"/>
  <c r="I302" i="9"/>
  <c r="J302" i="9"/>
  <c r="G302" i="9"/>
  <c r="L302" i="9" s="1"/>
  <c r="M302" i="9" s="1"/>
  <c r="F302" i="9"/>
  <c r="J287" i="8"/>
  <c r="I287" i="8"/>
  <c r="I294" i="9"/>
  <c r="J294" i="9"/>
  <c r="G294" i="9"/>
  <c r="F294" i="9"/>
  <c r="K294" i="9" s="1"/>
  <c r="M294" i="9" s="1"/>
  <c r="I308" i="9"/>
  <c r="J308" i="9" s="1"/>
  <c r="L308" i="9" s="1"/>
  <c r="G308" i="9"/>
  <c r="I285" i="8"/>
  <c r="K285" i="8"/>
  <c r="M285" i="8" s="1"/>
  <c r="M595" i="8"/>
  <c r="N595" i="8" s="1"/>
  <c r="K260" i="9"/>
  <c r="I291" i="8"/>
  <c r="I271" i="8"/>
  <c r="K271" i="8" s="1"/>
  <c r="J271" i="8"/>
  <c r="J284" i="8"/>
  <c r="L284" i="8" s="1"/>
  <c r="M284" i="8" s="1"/>
  <c r="I284" i="8"/>
  <c r="K284" i="8"/>
  <c r="J293" i="8"/>
  <c r="K293" i="8"/>
  <c r="M605" i="8"/>
  <c r="N605" i="8"/>
  <c r="J280" i="8"/>
  <c r="L280" i="8" s="1"/>
  <c r="J281" i="8"/>
  <c r="L281" i="8"/>
  <c r="I281" i="8"/>
  <c r="K281" i="8" s="1"/>
  <c r="J268" i="9"/>
  <c r="G268" i="9"/>
  <c r="F268" i="9"/>
  <c r="G296" i="9"/>
  <c r="F296" i="9"/>
  <c r="K296" i="9" s="1"/>
  <c r="I296" i="9"/>
  <c r="J296" i="9" s="1"/>
  <c r="L296" i="9" s="1"/>
  <c r="K256" i="9"/>
  <c r="G307" i="9"/>
  <c r="L307" i="9" s="1"/>
  <c r="I307" i="9"/>
  <c r="J307" i="9" s="1"/>
  <c r="F307" i="9"/>
  <c r="I290" i="8"/>
  <c r="K290" i="8" s="1"/>
  <c r="L290" i="8"/>
  <c r="I283" i="8"/>
  <c r="K283" i="8"/>
  <c r="M283" i="8" s="1"/>
  <c r="J283" i="8"/>
  <c r="L283" i="8" s="1"/>
  <c r="J268" i="8"/>
  <c r="J300" i="8"/>
  <c r="L300" i="8" s="1"/>
  <c r="I300" i="8"/>
  <c r="J297" i="8"/>
  <c r="I297" i="8"/>
  <c r="K297" i="8"/>
  <c r="I299" i="8"/>
  <c r="K299" i="8"/>
  <c r="J299" i="8"/>
  <c r="L299" i="8" s="1"/>
  <c r="M299" i="8" s="1"/>
  <c r="I274" i="8"/>
  <c r="J274" i="8"/>
  <c r="J292" i="8"/>
  <c r="I292" i="8"/>
  <c r="I299" i="9"/>
  <c r="J299" i="9"/>
  <c r="L299" i="9" s="1"/>
  <c r="G299" i="9"/>
  <c r="G284" i="9"/>
  <c r="I284" i="9"/>
  <c r="J284" i="9"/>
  <c r="L284" i="9" s="1"/>
  <c r="F284" i="9"/>
  <c r="K284" i="9" s="1"/>
  <c r="M284" i="9" s="1"/>
  <c r="J305" i="8"/>
  <c r="I305" i="8"/>
  <c r="G309" i="9"/>
  <c r="I309" i="9"/>
  <c r="J309" i="9"/>
  <c r="F309" i="9"/>
  <c r="J269" i="8"/>
  <c r="I269" i="8"/>
  <c r="O50" i="32"/>
  <c r="O176" i="32"/>
  <c r="O134" i="32"/>
  <c r="O173" i="32"/>
  <c r="O131" i="32"/>
  <c r="O47" i="32"/>
  <c r="O144" i="32"/>
  <c r="O60" i="32"/>
  <c r="O186" i="32"/>
  <c r="O143" i="32"/>
  <c r="O59" i="32"/>
  <c r="O185" i="32"/>
  <c r="O58" i="32"/>
  <c r="O184" i="32"/>
  <c r="O142" i="32"/>
  <c r="P39" i="31"/>
  <c r="P41" i="31"/>
  <c r="P38" i="31"/>
  <c r="P40" i="31"/>
  <c r="G39" i="1"/>
  <c r="H39" i="1"/>
  <c r="J39" i="1"/>
  <c r="N39" i="1"/>
  <c r="P39" i="1"/>
  <c r="Q39" i="1"/>
  <c r="H37" i="8" s="1"/>
  <c r="E573" i="8"/>
  <c r="D573" i="8"/>
  <c r="E565" i="8"/>
  <c r="D565" i="8"/>
  <c r="E557" i="8"/>
  <c r="D557" i="8"/>
  <c r="E564" i="8"/>
  <c r="D564" i="8"/>
  <c r="E579" i="8"/>
  <c r="D579" i="8"/>
  <c r="E571" i="8"/>
  <c r="D571" i="8"/>
  <c r="E563" i="8"/>
  <c r="D563" i="8"/>
  <c r="H30" i="9"/>
  <c r="E555" i="8"/>
  <c r="D555" i="8"/>
  <c r="D550" i="8"/>
  <c r="E550" i="8"/>
  <c r="D556" i="8"/>
  <c r="D578" i="8"/>
  <c r="E578" i="8"/>
  <c r="D570" i="8"/>
  <c r="E570" i="8"/>
  <c r="D562" i="8"/>
  <c r="E562" i="8"/>
  <c r="D554" i="8"/>
  <c r="E554" i="8"/>
  <c r="D567" i="8"/>
  <c r="E567" i="8"/>
  <c r="D566" i="8"/>
  <c r="E566" i="8"/>
  <c r="E580" i="8"/>
  <c r="D580" i="8"/>
  <c r="D577" i="8"/>
  <c r="E577" i="8"/>
  <c r="D569" i="8"/>
  <c r="E569" i="8"/>
  <c r="D561" i="8"/>
  <c r="E561" i="8"/>
  <c r="D553" i="8"/>
  <c r="E553" i="8"/>
  <c r="H26" i="9"/>
  <c r="D551" i="8"/>
  <c r="E551" i="8"/>
  <c r="E558" i="8"/>
  <c r="E572" i="8"/>
  <c r="D572" i="8"/>
  <c r="D576" i="8"/>
  <c r="E576" i="8"/>
  <c r="D568" i="8"/>
  <c r="E568" i="8"/>
  <c r="D552" i="8"/>
  <c r="E552" i="8"/>
  <c r="D575" i="8"/>
  <c r="E575" i="8"/>
  <c r="D574" i="8"/>
  <c r="E574" i="8"/>
  <c r="H140" i="8"/>
  <c r="H350" i="8"/>
  <c r="H455" i="8"/>
  <c r="H141" i="8"/>
  <c r="H456" i="8"/>
  <c r="H351" i="8"/>
  <c r="D666" i="8"/>
  <c r="H36" i="8"/>
  <c r="D665" i="8"/>
  <c r="H39" i="8"/>
  <c r="D669" i="8"/>
  <c r="H38" i="8"/>
  <c r="D668" i="8"/>
  <c r="D667" i="8"/>
  <c r="D664" i="8"/>
  <c r="F679" i="8"/>
  <c r="D671" i="8"/>
  <c r="H41" i="8"/>
  <c r="F678" i="8"/>
  <c r="H40" i="8"/>
  <c r="D670" i="8"/>
  <c r="F681" i="8"/>
  <c r="F680" i="8"/>
  <c r="D685" i="8"/>
  <c r="H55" i="8"/>
  <c r="F677" i="8"/>
  <c r="F669" i="8"/>
  <c r="F661" i="8"/>
  <c r="D679" i="8"/>
  <c r="H49" i="8"/>
  <c r="D684" i="8"/>
  <c r="H54" i="8"/>
  <c r="F676" i="8"/>
  <c r="F668" i="8"/>
  <c r="D660" i="8"/>
  <c r="H30" i="8"/>
  <c r="D683" i="8"/>
  <c r="H53" i="8"/>
  <c r="V53" i="8" s="1"/>
  <c r="F675" i="8"/>
  <c r="F667" i="8"/>
  <c r="D659" i="8"/>
  <c r="H29" i="8"/>
  <c r="D682" i="8"/>
  <c r="H52" i="8"/>
  <c r="F674" i="8"/>
  <c r="F666" i="8"/>
  <c r="D658" i="8"/>
  <c r="F673" i="8"/>
  <c r="F665" i="8"/>
  <c r="H27" i="8"/>
  <c r="D657" i="8"/>
  <c r="D681" i="8"/>
  <c r="H51" i="8"/>
  <c r="D680" i="8"/>
  <c r="H50" i="8"/>
  <c r="V50" i="8" s="1"/>
  <c r="F672" i="8"/>
  <c r="F664" i="8"/>
  <c r="D656" i="8"/>
  <c r="H26" i="8"/>
  <c r="F671" i="8"/>
  <c r="D663" i="8"/>
  <c r="D655" i="8"/>
  <c r="H25" i="8"/>
  <c r="D678" i="8"/>
  <c r="H48" i="8"/>
  <c r="F670" i="8"/>
  <c r="H32" i="8"/>
  <c r="D662" i="8"/>
  <c r="K285" i="9"/>
  <c r="M250" i="9"/>
  <c r="M272" i="9"/>
  <c r="K299" i="9"/>
  <c r="M299" i="9" s="1"/>
  <c r="K307" i="9"/>
  <c r="M307" i="9" s="1"/>
  <c r="M249" i="9"/>
  <c r="L290" i="9"/>
  <c r="L294" i="9"/>
  <c r="M257" i="9"/>
  <c r="M261" i="9"/>
  <c r="M296" i="8"/>
  <c r="M306" i="8"/>
  <c r="M294" i="8"/>
  <c r="K313" i="9"/>
  <c r="L289" i="9"/>
  <c r="K267" i="9"/>
  <c r="M267" i="9" s="1"/>
  <c r="K309" i="9"/>
  <c r="K300" i="9"/>
  <c r="K274" i="9"/>
  <c r="L313" i="9"/>
  <c r="K302" i="9"/>
  <c r="M263" i="9"/>
  <c r="M290" i="8"/>
  <c r="L309" i="9"/>
  <c r="K306" i="9"/>
  <c r="M306" i="9" s="1"/>
  <c r="L298" i="9"/>
  <c r="K275" i="9"/>
  <c r="M275" i="9" s="1"/>
  <c r="K308" i="9"/>
  <c r="M308" i="9" s="1"/>
  <c r="L306" i="9"/>
  <c r="K289" i="9"/>
  <c r="M289" i="9" s="1"/>
  <c r="K297" i="9"/>
  <c r="K290" i="9"/>
  <c r="K282" i="9"/>
  <c r="M286" i="9"/>
  <c r="K283" i="9"/>
  <c r="M260" i="9"/>
  <c r="M281" i="8"/>
  <c r="K268" i="9"/>
  <c r="K303" i="9"/>
  <c r="K310" i="9"/>
  <c r="K281" i="9"/>
  <c r="L268" i="9"/>
  <c r="L281" i="9"/>
  <c r="D239" i="8"/>
  <c r="F239" i="8" s="1"/>
  <c r="D255" i="8"/>
  <c r="D262" i="8"/>
  <c r="G262" i="8" s="1"/>
  <c r="L262" i="8" s="1"/>
  <c r="D254" i="8"/>
  <c r="G254" i="8" s="1"/>
  <c r="L254" i="8" s="1"/>
  <c r="M254" i="8" s="1"/>
  <c r="D246" i="8"/>
  <c r="F246" i="8" s="1"/>
  <c r="D263" i="8"/>
  <c r="F263" i="8" s="1"/>
  <c r="K263" i="8" s="1"/>
  <c r="M263" i="8" s="1"/>
  <c r="D261" i="8"/>
  <c r="G261" i="8" s="1"/>
  <c r="L261" i="8" s="1"/>
  <c r="M261" i="8" s="1"/>
  <c r="D253" i="8"/>
  <c r="G253" i="8" s="1"/>
  <c r="D245" i="8"/>
  <c r="D237" i="8"/>
  <c r="F237" i="8" s="1"/>
  <c r="D260" i="8"/>
  <c r="G260" i="8" s="1"/>
  <c r="L260" i="8" s="1"/>
  <c r="M260" i="8" s="1"/>
  <c r="D244" i="8"/>
  <c r="G244" i="8" s="1"/>
  <c r="D252" i="8"/>
  <c r="D236" i="8"/>
  <c r="F236" i="8" s="1"/>
  <c r="D259" i="8"/>
  <c r="F259" i="8" s="1"/>
  <c r="K259" i="8" s="1"/>
  <c r="M259" i="8" s="1"/>
  <c r="D251" i="8"/>
  <c r="F251" i="8" s="1"/>
  <c r="K251" i="8" s="1"/>
  <c r="D243" i="8"/>
  <c r="D235" i="8"/>
  <c r="D247" i="8"/>
  <c r="F247" i="8" s="1"/>
  <c r="D250" i="8"/>
  <c r="D265" i="8"/>
  <c r="D258" i="8"/>
  <c r="D242" i="8"/>
  <c r="D257" i="8"/>
  <c r="F257" i="8" s="1"/>
  <c r="D249" i="8"/>
  <c r="G249" i="8" s="1"/>
  <c r="D264" i="8"/>
  <c r="D256" i="8"/>
  <c r="F256" i="8" s="1"/>
  <c r="K256" i="8" s="1"/>
  <c r="D248" i="8"/>
  <c r="D240" i="8"/>
  <c r="F240" i="8" s="1"/>
  <c r="V45" i="8"/>
  <c r="V37" i="8"/>
  <c r="S467" i="8"/>
  <c r="S357" i="8"/>
  <c r="M290" i="9"/>
  <c r="M309" i="9"/>
  <c r="M313" i="9"/>
  <c r="M268" i="9"/>
  <c r="M281" i="9"/>
  <c r="F254" i="8"/>
  <c r="F258" i="8"/>
  <c r="G258" i="8"/>
  <c r="G259" i="8"/>
  <c r="F261" i="8"/>
  <c r="G250" i="8"/>
  <c r="F250" i="8"/>
  <c r="G251" i="8"/>
  <c r="L251" i="8" s="1"/>
  <c r="F248" i="8"/>
  <c r="G248" i="8"/>
  <c r="L248" i="8" s="1"/>
  <c r="M248" i="8" s="1"/>
  <c r="G242" i="8"/>
  <c r="F255" i="8"/>
  <c r="G255" i="8"/>
  <c r="G264" i="8"/>
  <c r="L264" i="8" s="1"/>
  <c r="F264" i="8"/>
  <c r="F260" i="8"/>
  <c r="G263" i="8"/>
  <c r="F262" i="8"/>
  <c r="K262" i="8" s="1"/>
  <c r="G240" i="8"/>
  <c r="G252" i="8"/>
  <c r="F252" i="8"/>
  <c r="AL53" i="31"/>
  <c r="AL52" i="31"/>
  <c r="AL51" i="31"/>
  <c r="AL50" i="31"/>
  <c r="AK53" i="31"/>
  <c r="AK52" i="31"/>
  <c r="AK51" i="31"/>
  <c r="AK50" i="31"/>
  <c r="S195" i="32"/>
  <c r="S196" i="32"/>
  <c r="S205" i="32"/>
  <c r="S206" i="32"/>
  <c r="S207" i="32"/>
  <c r="S208" i="32"/>
  <c r="R195" i="32"/>
  <c r="R196" i="32"/>
  <c r="R205" i="32"/>
  <c r="R206" i="32"/>
  <c r="R207" i="32"/>
  <c r="R208" i="32"/>
  <c r="Q195" i="32"/>
  <c r="Q196" i="32"/>
  <c r="Q205" i="32"/>
  <c r="Q206" i="32"/>
  <c r="Q207" i="32"/>
  <c r="Q208" i="32"/>
  <c r="P195" i="32"/>
  <c r="P196" i="32"/>
  <c r="P205" i="32"/>
  <c r="P206" i="32"/>
  <c r="P207" i="32"/>
  <c r="P208" i="32"/>
  <c r="N195" i="32"/>
  <c r="N196" i="32"/>
  <c r="N205" i="32"/>
  <c r="N206" i="32"/>
  <c r="N207" i="32"/>
  <c r="N208" i="32"/>
  <c r="K202" i="32"/>
  <c r="K203" i="32"/>
  <c r="K204" i="32"/>
  <c r="K205" i="32"/>
  <c r="K206" i="32"/>
  <c r="K207" i="32"/>
  <c r="K208" i="32"/>
  <c r="J202" i="32"/>
  <c r="J203" i="32"/>
  <c r="J204" i="32"/>
  <c r="J205" i="32"/>
  <c r="J206" i="32"/>
  <c r="J207" i="32"/>
  <c r="J208" i="32"/>
  <c r="G202" i="32"/>
  <c r="G203" i="32"/>
  <c r="G204" i="32"/>
  <c r="G205" i="32"/>
  <c r="G206" i="32"/>
  <c r="G207" i="32"/>
  <c r="G208" i="32"/>
  <c r="F202" i="32"/>
  <c r="F203" i="32"/>
  <c r="F204" i="32"/>
  <c r="F205" i="32"/>
  <c r="F206" i="32"/>
  <c r="F207" i="32"/>
  <c r="F208" i="32"/>
  <c r="E202" i="32"/>
  <c r="E203" i="32"/>
  <c r="E204" i="32"/>
  <c r="E205" i="32"/>
  <c r="E206" i="32"/>
  <c r="E207" i="32"/>
  <c r="E208" i="32"/>
  <c r="S153" i="32"/>
  <c r="S154" i="32"/>
  <c r="S163" i="32"/>
  <c r="S164" i="32"/>
  <c r="S165" i="32"/>
  <c r="S166" i="32"/>
  <c r="R153" i="32"/>
  <c r="R154" i="32"/>
  <c r="R163" i="32"/>
  <c r="R164" i="32"/>
  <c r="R165" i="32"/>
  <c r="R166" i="32"/>
  <c r="Q153" i="32"/>
  <c r="Q154" i="32"/>
  <c r="Q163" i="32"/>
  <c r="Q164" i="32"/>
  <c r="Q165" i="32"/>
  <c r="Q166" i="32"/>
  <c r="P153" i="32"/>
  <c r="P154" i="32"/>
  <c r="P163" i="32"/>
  <c r="P164" i="32"/>
  <c r="P165" i="32"/>
  <c r="P166" i="32"/>
  <c r="N153" i="32"/>
  <c r="N154" i="32"/>
  <c r="N163" i="32"/>
  <c r="N164" i="32"/>
  <c r="N165" i="32"/>
  <c r="N166" i="32"/>
  <c r="M160" i="32"/>
  <c r="M161" i="32"/>
  <c r="M162" i="32"/>
  <c r="M163" i="32"/>
  <c r="M164" i="32"/>
  <c r="M165" i="32"/>
  <c r="M166" i="32"/>
  <c r="K160" i="32"/>
  <c r="K161" i="32"/>
  <c r="K162" i="32"/>
  <c r="K163" i="32"/>
  <c r="K164" i="32"/>
  <c r="K165" i="32"/>
  <c r="K166" i="32"/>
  <c r="J160" i="32"/>
  <c r="J161" i="32"/>
  <c r="J162" i="32"/>
  <c r="J163" i="32"/>
  <c r="J164" i="32"/>
  <c r="J165" i="32"/>
  <c r="J166" i="32"/>
  <c r="G160" i="32"/>
  <c r="G161" i="32"/>
  <c r="G162" i="32"/>
  <c r="G163" i="32"/>
  <c r="G164" i="32"/>
  <c r="G165" i="32"/>
  <c r="G166" i="32"/>
  <c r="F160" i="32"/>
  <c r="F161" i="32"/>
  <c r="F162" i="32"/>
  <c r="F163" i="32"/>
  <c r="F164" i="32"/>
  <c r="F165" i="32"/>
  <c r="F166" i="32"/>
  <c r="E160" i="32"/>
  <c r="E161" i="32"/>
  <c r="E162" i="32"/>
  <c r="E163" i="32"/>
  <c r="E164" i="32"/>
  <c r="E165" i="32"/>
  <c r="E166" i="32"/>
  <c r="S69" i="32"/>
  <c r="S70" i="32"/>
  <c r="S79" i="32"/>
  <c r="S80" i="32"/>
  <c r="S81" i="32"/>
  <c r="S82" i="32"/>
  <c r="R69" i="32"/>
  <c r="R70" i="32"/>
  <c r="R79" i="32"/>
  <c r="R80" i="32"/>
  <c r="R81" i="32"/>
  <c r="R82" i="32"/>
  <c r="Q69" i="32"/>
  <c r="Q70" i="32"/>
  <c r="Q79" i="32"/>
  <c r="Q80" i="32"/>
  <c r="Q81" i="32"/>
  <c r="Q82" i="32"/>
  <c r="P69" i="32"/>
  <c r="P70" i="32"/>
  <c r="P79" i="32"/>
  <c r="P80" i="32"/>
  <c r="P81" i="32"/>
  <c r="P82" i="32"/>
  <c r="N69" i="32"/>
  <c r="N70" i="32"/>
  <c r="N79" i="32"/>
  <c r="N80" i="32"/>
  <c r="N81" i="32"/>
  <c r="N82" i="32"/>
  <c r="U166" i="32"/>
  <c r="U165" i="32"/>
  <c r="U164" i="32"/>
  <c r="U163" i="32"/>
  <c r="H424" i="9"/>
  <c r="G634" i="9"/>
  <c r="E634" i="9"/>
  <c r="E634" i="8"/>
  <c r="F424" i="9"/>
  <c r="E424" i="9"/>
  <c r="F319" i="9"/>
  <c r="E319" i="9"/>
  <c r="D319" i="9"/>
  <c r="F109" i="9"/>
  <c r="E109" i="9"/>
  <c r="D109" i="9"/>
  <c r="F635" i="9"/>
  <c r="E530" i="9"/>
  <c r="D530" i="9"/>
  <c r="D215" i="9"/>
  <c r="G215" i="9" s="1"/>
  <c r="D652" i="9"/>
  <c r="E547" i="9"/>
  <c r="D547" i="9"/>
  <c r="H547" i="9" s="1"/>
  <c r="D232" i="9"/>
  <c r="F641" i="9"/>
  <c r="E536" i="9"/>
  <c r="D536" i="9"/>
  <c r="H536" i="9"/>
  <c r="D221" i="9"/>
  <c r="D647" i="9"/>
  <c r="E542" i="9"/>
  <c r="H542" i="9" s="1"/>
  <c r="D542" i="9"/>
  <c r="D227" i="9"/>
  <c r="E532" i="9"/>
  <c r="F637" i="9"/>
  <c r="D532" i="9"/>
  <c r="D217" i="9"/>
  <c r="F217" i="9" s="1"/>
  <c r="D642" i="9"/>
  <c r="E537" i="9"/>
  <c r="D537" i="9"/>
  <c r="D222" i="9"/>
  <c r="D643" i="9"/>
  <c r="E538" i="9"/>
  <c r="D538" i="9"/>
  <c r="D223" i="9"/>
  <c r="F223" i="9" s="1"/>
  <c r="K223" i="9" s="1"/>
  <c r="D644" i="9"/>
  <c r="E539" i="9"/>
  <c r="D539" i="9"/>
  <c r="D224" i="9"/>
  <c r="E540" i="9"/>
  <c r="D540" i="9"/>
  <c r="H540" i="9"/>
  <c r="D645" i="9"/>
  <c r="D225" i="9"/>
  <c r="G225" i="9" s="1"/>
  <c r="D646" i="9"/>
  <c r="E541" i="9"/>
  <c r="D541" i="9"/>
  <c r="D226" i="9"/>
  <c r="F225" i="9"/>
  <c r="H538" i="9"/>
  <c r="F226" i="9"/>
  <c r="C172" i="32"/>
  <c r="C173" i="32"/>
  <c r="C174" i="32"/>
  <c r="C175" i="32"/>
  <c r="C176" i="32"/>
  <c r="C177" i="32"/>
  <c r="C178" i="32"/>
  <c r="C179" i="32"/>
  <c r="C180" i="32"/>
  <c r="C181" i="32"/>
  <c r="C182" i="32"/>
  <c r="C183" i="32"/>
  <c r="C184" i="32"/>
  <c r="C185" i="32"/>
  <c r="C186" i="32"/>
  <c r="C187" i="32"/>
  <c r="C188" i="32"/>
  <c r="C189" i="32"/>
  <c r="C190" i="32"/>
  <c r="C191" i="32"/>
  <c r="C192" i="32"/>
  <c r="C193" i="32"/>
  <c r="C194" i="32"/>
  <c r="C195" i="32"/>
  <c r="C196" i="32"/>
  <c r="C197" i="32"/>
  <c r="C198" i="32"/>
  <c r="C199" i="32"/>
  <c r="C200" i="32"/>
  <c r="C201" i="32"/>
  <c r="C202" i="32"/>
  <c r="C203" i="32"/>
  <c r="C204" i="32"/>
  <c r="C205" i="32"/>
  <c r="C206" i="32"/>
  <c r="C207" i="32"/>
  <c r="C208" i="32"/>
  <c r="C130" i="32"/>
  <c r="C131" i="32"/>
  <c r="C132" i="32"/>
  <c r="C133" i="32"/>
  <c r="C134" i="32"/>
  <c r="C135" i="32"/>
  <c r="C136" i="32"/>
  <c r="C137" i="32"/>
  <c r="C138" i="32"/>
  <c r="C139" i="32"/>
  <c r="C140" i="32"/>
  <c r="C141" i="32"/>
  <c r="C142" i="32"/>
  <c r="C143" i="32"/>
  <c r="C144" i="32"/>
  <c r="C145" i="32"/>
  <c r="C146" i="32"/>
  <c r="C147" i="32"/>
  <c r="C148" i="32"/>
  <c r="C149" i="32"/>
  <c r="C150" i="32"/>
  <c r="C151" i="32"/>
  <c r="C152" i="32"/>
  <c r="C153" i="32"/>
  <c r="C154" i="32"/>
  <c r="C155" i="32"/>
  <c r="C156" i="32"/>
  <c r="C157" i="32"/>
  <c r="C158" i="32"/>
  <c r="C159" i="32"/>
  <c r="C160" i="32"/>
  <c r="C161" i="32"/>
  <c r="C162" i="32"/>
  <c r="C163" i="32"/>
  <c r="C164" i="32"/>
  <c r="C165" i="32"/>
  <c r="C166" i="32"/>
  <c r="C88" i="32"/>
  <c r="C89" i="32"/>
  <c r="C90" i="32"/>
  <c r="C91" i="32"/>
  <c r="C92" i="32"/>
  <c r="C93" i="32"/>
  <c r="C94" i="32"/>
  <c r="C95" i="32"/>
  <c r="C96" i="32"/>
  <c r="C97" i="32"/>
  <c r="C98" i="32"/>
  <c r="C99" i="32"/>
  <c r="C100" i="32"/>
  <c r="C101" i="32"/>
  <c r="C102" i="32"/>
  <c r="C103" i="32"/>
  <c r="C104" i="32"/>
  <c r="C105" i="32"/>
  <c r="C106" i="32"/>
  <c r="C107" i="32"/>
  <c r="C108" i="32"/>
  <c r="C109" i="32"/>
  <c r="C110" i="32"/>
  <c r="C111" i="32"/>
  <c r="C112" i="32"/>
  <c r="C113" i="32"/>
  <c r="C114" i="32"/>
  <c r="C115" i="32"/>
  <c r="C116" i="32"/>
  <c r="C117" i="32"/>
  <c r="C118" i="32"/>
  <c r="C119" i="32"/>
  <c r="C120" i="32"/>
  <c r="C121" i="32"/>
  <c r="C122" i="32"/>
  <c r="C123" i="32"/>
  <c r="C124" i="32"/>
  <c r="C46" i="32"/>
  <c r="C47" i="32"/>
  <c r="C48" i="32"/>
  <c r="C49" i="32"/>
  <c r="C50" i="32"/>
  <c r="C51" i="32"/>
  <c r="C52" i="32"/>
  <c r="C53" i="32"/>
  <c r="C54" i="32"/>
  <c r="C55" i="32"/>
  <c r="C56" i="32"/>
  <c r="C57" i="32"/>
  <c r="C58" i="32"/>
  <c r="C59" i="32"/>
  <c r="C60" i="32"/>
  <c r="C61" i="32"/>
  <c r="C62" i="32"/>
  <c r="C63" i="32"/>
  <c r="C64" i="32"/>
  <c r="C65" i="32"/>
  <c r="C66" i="32"/>
  <c r="C67" i="32"/>
  <c r="C68" i="32"/>
  <c r="C69" i="32"/>
  <c r="C70" i="32"/>
  <c r="C71" i="32"/>
  <c r="C72" i="32"/>
  <c r="C73" i="32"/>
  <c r="C74" i="32"/>
  <c r="C75" i="32"/>
  <c r="C76" i="32"/>
  <c r="C77" i="32"/>
  <c r="C78" i="32"/>
  <c r="C79" i="32"/>
  <c r="C80" i="32"/>
  <c r="C81" i="32"/>
  <c r="C82" i="32"/>
  <c r="C4" i="32"/>
  <c r="C5" i="32"/>
  <c r="C6" i="32"/>
  <c r="C7" i="32"/>
  <c r="C8" i="32"/>
  <c r="C9" i="32"/>
  <c r="C10" i="32"/>
  <c r="C11" i="32"/>
  <c r="C12" i="32"/>
  <c r="C13" i="32"/>
  <c r="C14" i="32"/>
  <c r="C15" i="32"/>
  <c r="C16" i="32"/>
  <c r="C17" i="32"/>
  <c r="C18" i="32"/>
  <c r="C19" i="32"/>
  <c r="C20" i="32"/>
  <c r="C21" i="32"/>
  <c r="C22" i="32"/>
  <c r="C23" i="32"/>
  <c r="C24" i="32"/>
  <c r="C25" i="32"/>
  <c r="C26" i="32"/>
  <c r="C27" i="32"/>
  <c r="C28" i="32"/>
  <c r="C29" i="32"/>
  <c r="C30" i="32"/>
  <c r="C31" i="32"/>
  <c r="C32" i="32"/>
  <c r="C33" i="32"/>
  <c r="C34" i="32"/>
  <c r="C35" i="32"/>
  <c r="C36" i="32"/>
  <c r="C37" i="32"/>
  <c r="C38" i="32"/>
  <c r="C39" i="32"/>
  <c r="C40" i="32"/>
  <c r="G40" i="32"/>
  <c r="F40" i="32"/>
  <c r="E40" i="32"/>
  <c r="G39" i="32"/>
  <c r="F39" i="32"/>
  <c r="E39" i="32"/>
  <c r="G38" i="32"/>
  <c r="F38" i="32"/>
  <c r="E38" i="32"/>
  <c r="G37" i="32"/>
  <c r="F37" i="32"/>
  <c r="E37" i="32"/>
  <c r="G36" i="32"/>
  <c r="F36" i="32"/>
  <c r="E36" i="32"/>
  <c r="G35" i="32"/>
  <c r="F35" i="32"/>
  <c r="E35" i="32"/>
  <c r="G34" i="32"/>
  <c r="F34" i="32"/>
  <c r="E34" i="32"/>
  <c r="J634" i="8"/>
  <c r="G634" i="8"/>
  <c r="B634" i="8"/>
  <c r="C634" i="8"/>
  <c r="H634" i="8"/>
  <c r="F529" i="8"/>
  <c r="F629" i="8" s="1"/>
  <c r="F529" i="9"/>
  <c r="F636" i="9"/>
  <c r="E531" i="9"/>
  <c r="D531" i="9"/>
  <c r="D216" i="9"/>
  <c r="F216" i="9" s="1"/>
  <c r="P123" i="8"/>
  <c r="N18" i="8"/>
  <c r="N18" i="9" s="1"/>
  <c r="O123" i="8"/>
  <c r="N123" i="8"/>
  <c r="N123" i="9" s="1"/>
  <c r="Q123" i="8"/>
  <c r="P18" i="8"/>
  <c r="R123" i="8"/>
  <c r="Q18" i="8"/>
  <c r="O18" i="8"/>
  <c r="R18" i="8"/>
  <c r="P124" i="8"/>
  <c r="N124" i="8"/>
  <c r="O124" i="8"/>
  <c r="P19" i="8"/>
  <c r="Q124" i="8"/>
  <c r="Q19" i="8"/>
  <c r="R124" i="8"/>
  <c r="N19" i="8"/>
  <c r="R19" i="8"/>
  <c r="O19" i="8"/>
  <c r="N126" i="8"/>
  <c r="O21" i="8"/>
  <c r="P21" i="8"/>
  <c r="Q21" i="8"/>
  <c r="Q126" i="8"/>
  <c r="P126" i="8"/>
  <c r="O126" i="8"/>
  <c r="R21" i="8"/>
  <c r="R126" i="8"/>
  <c r="N21" i="8"/>
  <c r="R23" i="8"/>
  <c r="Q23" i="8"/>
  <c r="P23" i="8"/>
  <c r="O128" i="8"/>
  <c r="R128" i="8"/>
  <c r="N23" i="8"/>
  <c r="P128" i="8"/>
  <c r="Q128" i="8"/>
  <c r="N128" i="8"/>
  <c r="O23" i="8"/>
  <c r="P122" i="8"/>
  <c r="R122" i="8"/>
  <c r="Q17" i="8"/>
  <c r="N17" i="8"/>
  <c r="N17" i="9" s="1"/>
  <c r="R17" i="8"/>
  <c r="Q122" i="8"/>
  <c r="O17" i="8"/>
  <c r="N122" i="8"/>
  <c r="N122" i="9" s="1"/>
  <c r="O122" i="8"/>
  <c r="P17" i="8"/>
  <c r="Q125" i="8"/>
  <c r="O125" i="8"/>
  <c r="N125" i="8"/>
  <c r="R125" i="8"/>
  <c r="O20" i="8"/>
  <c r="P125" i="8"/>
  <c r="P20" i="8"/>
  <c r="Q20" i="8"/>
  <c r="N20" i="8"/>
  <c r="R20" i="8"/>
  <c r="R22" i="8"/>
  <c r="P22" i="8"/>
  <c r="N22" i="8"/>
  <c r="O22" i="8"/>
  <c r="Q22" i="8"/>
  <c r="N127" i="8"/>
  <c r="O127" i="8"/>
  <c r="Q127" i="8"/>
  <c r="P127" i="8"/>
  <c r="R127" i="8"/>
  <c r="P16" i="8"/>
  <c r="R121" i="8"/>
  <c r="Q16" i="8"/>
  <c r="N121" i="8"/>
  <c r="N121" i="9" s="1"/>
  <c r="O121" i="8"/>
  <c r="Q121" i="8"/>
  <c r="N16" i="8"/>
  <c r="N16" i="9" s="1"/>
  <c r="P121" i="8"/>
  <c r="O16" i="8"/>
  <c r="R16" i="8"/>
  <c r="N120" i="8"/>
  <c r="N120" i="9" s="1"/>
  <c r="N15" i="8"/>
  <c r="N15" i="9" s="1"/>
  <c r="Q15" i="8"/>
  <c r="R120" i="8"/>
  <c r="R15" i="8"/>
  <c r="O15" i="8"/>
  <c r="O120" i="8"/>
  <c r="P15" i="8"/>
  <c r="Q120" i="8"/>
  <c r="P120" i="8"/>
  <c r="Q14" i="8"/>
  <c r="Q119" i="8"/>
  <c r="O14" i="8"/>
  <c r="R14" i="8"/>
  <c r="P119" i="8"/>
  <c r="O119" i="8"/>
  <c r="R119" i="8"/>
  <c r="N14" i="8"/>
  <c r="N14" i="9" s="1"/>
  <c r="N119" i="8"/>
  <c r="N119" i="9" s="1"/>
  <c r="P14" i="8"/>
  <c r="R13" i="8"/>
  <c r="N13" i="8"/>
  <c r="N13" i="9" s="1"/>
  <c r="Q13" i="8"/>
  <c r="N118" i="8"/>
  <c r="N118" i="9" s="1"/>
  <c r="O118" i="8"/>
  <c r="P118" i="8"/>
  <c r="Q118" i="8"/>
  <c r="R118" i="8"/>
  <c r="O13" i="8"/>
  <c r="P13" i="8"/>
  <c r="G216" i="9"/>
  <c r="R39" i="1"/>
  <c r="H247" i="8" s="1"/>
  <c r="B4" i="8"/>
  <c r="C4" i="8"/>
  <c r="L4" i="8" s="1"/>
  <c r="O5" i="31"/>
  <c r="S5" i="31"/>
  <c r="R5" i="31"/>
  <c r="H634" i="9"/>
  <c r="G4" i="8"/>
  <c r="E4" i="8"/>
  <c r="D4" i="8"/>
  <c r="F4" i="8"/>
  <c r="K49" i="8"/>
  <c r="K469" i="8"/>
  <c r="S469" i="8" s="1"/>
  <c r="K154" i="8"/>
  <c r="K364" i="8"/>
  <c r="K470" i="8"/>
  <c r="K50" i="8"/>
  <c r="K155" i="8"/>
  <c r="K365" i="8"/>
  <c r="S365" i="8" s="1"/>
  <c r="K48" i="8"/>
  <c r="K153" i="8"/>
  <c r="K468" i="8"/>
  <c r="S468" i="8" s="1"/>
  <c r="K363" i="8"/>
  <c r="P644" i="9"/>
  <c r="O644" i="9"/>
  <c r="N644" i="9"/>
  <c r="M644" i="9"/>
  <c r="I539" i="9"/>
  <c r="H224" i="9"/>
  <c r="P647" i="9"/>
  <c r="Q647" i="9" s="1"/>
  <c r="O647" i="9"/>
  <c r="N647" i="9"/>
  <c r="M647" i="9"/>
  <c r="H227" i="9"/>
  <c r="I542" i="9"/>
  <c r="P679" i="8"/>
  <c r="O679" i="8"/>
  <c r="M679" i="8"/>
  <c r="N679" i="8"/>
  <c r="H259" i="8"/>
  <c r="J574" i="8" a="1"/>
  <c r="J574" i="8"/>
  <c r="I574" i="8" a="1"/>
  <c r="I574" i="8" s="1"/>
  <c r="M574" i="8" s="1"/>
  <c r="N574" i="8" s="1"/>
  <c r="P656" i="8"/>
  <c r="O656" i="8"/>
  <c r="M656" i="8"/>
  <c r="J551" i="8" a="1"/>
  <c r="J551" i="8" s="1"/>
  <c r="I551" i="8" a="1"/>
  <c r="I551" i="8" s="1"/>
  <c r="M667" i="8"/>
  <c r="J562" i="8" a="1"/>
  <c r="J562" i="8" s="1"/>
  <c r="O665" i="8"/>
  <c r="P665" i="8"/>
  <c r="J560" i="8" a="1"/>
  <c r="J560" i="8" s="1"/>
  <c r="I560" i="8" a="1"/>
  <c r="I560" i="8" s="1"/>
  <c r="P640" i="9"/>
  <c r="N640" i="9"/>
  <c r="M640" i="9"/>
  <c r="P657" i="8"/>
  <c r="O657" i="8"/>
  <c r="M657" i="8"/>
  <c r="J552" i="8" a="1"/>
  <c r="J552" i="8"/>
  <c r="I552" i="8" a="1"/>
  <c r="I552" i="8"/>
  <c r="H237" i="8"/>
  <c r="P643" i="9"/>
  <c r="O643" i="9"/>
  <c r="N643" i="9"/>
  <c r="M643" i="9"/>
  <c r="J538" i="9"/>
  <c r="I538" i="9"/>
  <c r="M680" i="8"/>
  <c r="P680" i="8"/>
  <c r="O680" i="8"/>
  <c r="N680" i="8"/>
  <c r="J575" i="8" a="1"/>
  <c r="J575" i="8" s="1"/>
  <c r="H260" i="8"/>
  <c r="I575" i="8" a="1"/>
  <c r="I575" i="8"/>
  <c r="P684" i="8"/>
  <c r="N684" i="8"/>
  <c r="M684" i="8"/>
  <c r="O684" i="8"/>
  <c r="H264" i="8"/>
  <c r="J579" i="8" a="1"/>
  <c r="J579" i="8"/>
  <c r="I579" i="8" a="1"/>
  <c r="I579" i="8" s="1"/>
  <c r="P682" i="8"/>
  <c r="N682" i="8"/>
  <c r="O682" i="8"/>
  <c r="M682" i="8"/>
  <c r="H262" i="8"/>
  <c r="J577" i="8" a="1"/>
  <c r="J577" i="8"/>
  <c r="I577" i="8" a="1"/>
  <c r="I577" i="8" s="1"/>
  <c r="N651" i="9"/>
  <c r="Q651" i="9" s="1"/>
  <c r="P651" i="9"/>
  <c r="O651" i="9"/>
  <c r="P645" i="9"/>
  <c r="O645" i="9"/>
  <c r="N645" i="9"/>
  <c r="M645" i="9"/>
  <c r="I540" i="9"/>
  <c r="K540" i="9"/>
  <c r="H225" i="9"/>
  <c r="I225" i="9"/>
  <c r="J540" i="9"/>
  <c r="N672" i="8"/>
  <c r="P672" i="8"/>
  <c r="O672" i="8"/>
  <c r="M672" i="8"/>
  <c r="I567" i="8" a="1"/>
  <c r="I567" i="8" s="1"/>
  <c r="H252" i="8"/>
  <c r="J567" i="8" a="1"/>
  <c r="J567" i="8"/>
  <c r="P678" i="8"/>
  <c r="O678" i="8"/>
  <c r="M678" i="8"/>
  <c r="N678" i="8"/>
  <c r="J573" i="8" a="1"/>
  <c r="J573" i="8" s="1"/>
  <c r="I573" i="8" a="1"/>
  <c r="I573" i="8"/>
  <c r="H258" i="8"/>
  <c r="J258" i="8" s="1"/>
  <c r="N676" i="8"/>
  <c r="O676" i="8"/>
  <c r="M676" i="8"/>
  <c r="P676" i="8"/>
  <c r="J571" i="8" a="1"/>
  <c r="J571" i="8"/>
  <c r="I571" i="8" a="1"/>
  <c r="I571" i="8"/>
  <c r="M571" i="8" s="1"/>
  <c r="N571" i="8" s="1"/>
  <c r="H256" i="8"/>
  <c r="J256" i="8" s="1"/>
  <c r="P674" i="8"/>
  <c r="O674" i="8"/>
  <c r="N674" i="8"/>
  <c r="M674" i="8"/>
  <c r="J569" i="8" a="1"/>
  <c r="J569" i="8"/>
  <c r="I569" i="8" a="1"/>
  <c r="I569" i="8" s="1"/>
  <c r="H254" i="8"/>
  <c r="P661" i="8"/>
  <c r="O661" i="8"/>
  <c r="M671" i="8"/>
  <c r="P671" i="8"/>
  <c r="O671" i="8"/>
  <c r="N671" i="8"/>
  <c r="J566" i="8" a="1"/>
  <c r="J566" i="8" s="1"/>
  <c r="I566" i="8" a="1"/>
  <c r="I566" i="8" s="1"/>
  <c r="H251" i="8"/>
  <c r="O662" i="8"/>
  <c r="M662" i="8"/>
  <c r="P662" i="8"/>
  <c r="H242" i="8"/>
  <c r="J557" i="8" a="1"/>
  <c r="J557" i="8" s="1"/>
  <c r="O668" i="8"/>
  <c r="M668" i="8"/>
  <c r="P668" i="8"/>
  <c r="N668" i="8"/>
  <c r="I563" i="8" a="1"/>
  <c r="I563" i="8" s="1"/>
  <c r="H248" i="8"/>
  <c r="J563" i="8" a="1"/>
  <c r="J563" i="8" s="1"/>
  <c r="M666" i="8"/>
  <c r="P666" i="8"/>
  <c r="O666" i="8"/>
  <c r="I561" i="8" a="1"/>
  <c r="I561" i="8" s="1"/>
  <c r="J561" i="8" a="1"/>
  <c r="J561" i="8"/>
  <c r="H246" i="8"/>
  <c r="N663" i="8"/>
  <c r="O663" i="8"/>
  <c r="M663" i="8"/>
  <c r="P663" i="8"/>
  <c r="J558" i="8" a="1"/>
  <c r="J558" i="8" s="1"/>
  <c r="I558" i="8" a="1"/>
  <c r="I558" i="8"/>
  <c r="H243" i="8"/>
  <c r="I243" i="8" s="1"/>
  <c r="P641" i="9"/>
  <c r="O641" i="9"/>
  <c r="N641" i="9"/>
  <c r="M641" i="9"/>
  <c r="J536" i="9"/>
  <c r="K536" i="9" s="1"/>
  <c r="H221" i="9"/>
  <c r="I536" i="9"/>
  <c r="N646" i="9"/>
  <c r="M646" i="9"/>
  <c r="P646" i="9"/>
  <c r="O646" i="9"/>
  <c r="J541" i="9"/>
  <c r="H226" i="9"/>
  <c r="I226" i="9" s="1"/>
  <c r="J226" i="9" s="1"/>
  <c r="P670" i="8"/>
  <c r="N670" i="8"/>
  <c r="M670" i="8"/>
  <c r="O670" i="8"/>
  <c r="J565" i="8" a="1"/>
  <c r="J565" i="8"/>
  <c r="I565" i="8" a="1"/>
  <c r="I565" i="8" s="1"/>
  <c r="M565" i="8" s="1"/>
  <c r="N565" i="8" s="1"/>
  <c r="H250" i="8"/>
  <c r="N685" i="8"/>
  <c r="P685" i="8"/>
  <c r="M685" i="8"/>
  <c r="O685" i="8"/>
  <c r="H265" i="8"/>
  <c r="J265" i="8" s="1"/>
  <c r="J580" i="8" a="1"/>
  <c r="J580" i="8" s="1"/>
  <c r="I580" i="8" a="1"/>
  <c r="I580" i="8" s="1"/>
  <c r="P660" i="8"/>
  <c r="M660" i="8"/>
  <c r="O660" i="8"/>
  <c r="I555" i="8" a="1"/>
  <c r="I555" i="8" s="1"/>
  <c r="H240" i="8"/>
  <c r="J555" i="8" a="1"/>
  <c r="J555" i="8" s="1"/>
  <c r="M658" i="8"/>
  <c r="O658" i="8"/>
  <c r="P658" i="8"/>
  <c r="J553" i="8" a="1"/>
  <c r="J553" i="8" s="1"/>
  <c r="I553" i="8" a="1"/>
  <c r="I553" i="8" s="1"/>
  <c r="H238" i="8"/>
  <c r="I238" i="8" s="1"/>
  <c r="N659" i="8"/>
  <c r="P659" i="8"/>
  <c r="M659" i="8"/>
  <c r="O659" i="8"/>
  <c r="J554" i="8" a="1"/>
  <c r="J554" i="8" s="1"/>
  <c r="H239" i="8"/>
  <c r="I239" i="8" s="1"/>
  <c r="I554" i="8" a="1"/>
  <c r="I554" i="8" s="1"/>
  <c r="P649" i="9"/>
  <c r="O649" i="9"/>
  <c r="N649" i="9"/>
  <c r="O655" i="8"/>
  <c r="M655" i="8"/>
  <c r="P655" i="8"/>
  <c r="I550" i="8" a="1"/>
  <c r="I550" i="8" s="1"/>
  <c r="J550" i="8" a="1"/>
  <c r="J550" i="8" s="1"/>
  <c r="H235" i="8"/>
  <c r="J235" i="8" s="1"/>
  <c r="O669" i="8"/>
  <c r="M669" i="8"/>
  <c r="N669" i="8"/>
  <c r="P669" i="8"/>
  <c r="I564" i="8" a="1"/>
  <c r="I564" i="8"/>
  <c r="H249" i="8"/>
  <c r="J249" i="8" s="1"/>
  <c r="J564" i="8" a="1"/>
  <c r="J564" i="8" s="1"/>
  <c r="P683" i="8"/>
  <c r="M683" i="8"/>
  <c r="O683" i="8"/>
  <c r="N683" i="8"/>
  <c r="H263" i="8"/>
  <c r="J578" i="8" a="1"/>
  <c r="J578" i="8" s="1"/>
  <c r="I578" i="8" a="1"/>
  <c r="I578" i="8"/>
  <c r="M578" i="8" s="1"/>
  <c r="N578" i="8" s="1"/>
  <c r="O681" i="8"/>
  <c r="M681" i="8"/>
  <c r="P681" i="8"/>
  <c r="N681" i="8"/>
  <c r="J576" i="8" a="1"/>
  <c r="J576" i="8" s="1"/>
  <c r="M576" i="8" s="1"/>
  <c r="N576" i="8" s="1"/>
  <c r="I576" i="8" a="1"/>
  <c r="I576" i="8"/>
  <c r="H261" i="8"/>
  <c r="H232" i="9"/>
  <c r="I232" i="9" s="1"/>
  <c r="J232" i="9" s="1"/>
  <c r="N642" i="9"/>
  <c r="M642" i="9"/>
  <c r="P642" i="9"/>
  <c r="O642" i="9"/>
  <c r="J537" i="9"/>
  <c r="I537" i="9"/>
  <c r="H222" i="9"/>
  <c r="P639" i="9"/>
  <c r="Q639" i="9" s="1"/>
  <c r="N639" i="9"/>
  <c r="M639" i="9"/>
  <c r="O664" i="8"/>
  <c r="P664" i="8"/>
  <c r="J559" i="8" a="1"/>
  <c r="J559" i="8" s="1"/>
  <c r="P677" i="8"/>
  <c r="N677" i="8"/>
  <c r="O677" i="8"/>
  <c r="M677" i="8"/>
  <c r="I572" i="8" a="1"/>
  <c r="I572" i="8"/>
  <c r="H257" i="8"/>
  <c r="I257" i="8" s="1"/>
  <c r="J572" i="8" a="1"/>
  <c r="J572" i="8"/>
  <c r="N675" i="8"/>
  <c r="P675" i="8"/>
  <c r="O675" i="8"/>
  <c r="M675" i="8"/>
  <c r="I570" i="8" a="1"/>
  <c r="I570" i="8" s="1"/>
  <c r="M570" i="8" s="1"/>
  <c r="N570" i="8" s="1"/>
  <c r="H255" i="8"/>
  <c r="J570" i="8" a="1"/>
  <c r="J570" i="8" s="1"/>
  <c r="P673" i="8"/>
  <c r="N673" i="8"/>
  <c r="M673" i="8"/>
  <c r="O673" i="8"/>
  <c r="J568" i="8" a="1"/>
  <c r="J568" i="8" s="1"/>
  <c r="I568" i="8" a="1"/>
  <c r="I568" i="8" s="1"/>
  <c r="H253" i="8"/>
  <c r="O4" i="9"/>
  <c r="N4" i="8"/>
  <c r="N4" i="9" s="1"/>
  <c r="Q4" i="9"/>
  <c r="P4" i="9"/>
  <c r="I255" i="8"/>
  <c r="K255" i="8" s="1"/>
  <c r="M255" i="8" s="1"/>
  <c r="J255" i="8"/>
  <c r="L255" i="8"/>
  <c r="Q644" i="9"/>
  <c r="K538" i="9"/>
  <c r="J259" i="8"/>
  <c r="L259" i="8" s="1"/>
  <c r="I259" i="8"/>
  <c r="I260" i="8"/>
  <c r="K260" i="8"/>
  <c r="J260" i="8"/>
  <c r="I249" i="8"/>
  <c r="J261" i="8"/>
  <c r="I261" i="8"/>
  <c r="K261" i="8"/>
  <c r="J263" i="8"/>
  <c r="L263" i="8"/>
  <c r="I263" i="8"/>
  <c r="J239" i="8"/>
  <c r="J251" i="8"/>
  <c r="I251" i="8"/>
  <c r="J264" i="8"/>
  <c r="I264" i="8"/>
  <c r="K264" i="8"/>
  <c r="M264" i="8" s="1"/>
  <c r="I252" i="8"/>
  <c r="K252" i="8"/>
  <c r="M252" i="8" s="1"/>
  <c r="J252" i="8"/>
  <c r="L252" i="8" s="1"/>
  <c r="I262" i="8"/>
  <c r="J262" i="8"/>
  <c r="I256" i="8"/>
  <c r="J250" i="8"/>
  <c r="L250" i="8" s="1"/>
  <c r="M250" i="8" s="1"/>
  <c r="I250" i="8"/>
  <c r="K250" i="8"/>
  <c r="J248" i="8"/>
  <c r="I248" i="8"/>
  <c r="K248" i="8"/>
  <c r="I242" i="8"/>
  <c r="J242" i="8"/>
  <c r="I254" i="8"/>
  <c r="K254" i="8"/>
  <c r="J254" i="8"/>
  <c r="E548" i="8"/>
  <c r="D548" i="8"/>
  <c r="E549" i="8"/>
  <c r="D549" i="8"/>
  <c r="D537" i="8"/>
  <c r="E537" i="8"/>
  <c r="D538" i="8"/>
  <c r="E538" i="8"/>
  <c r="D634" i="8"/>
  <c r="E529" i="8"/>
  <c r="D529" i="8"/>
  <c r="D540" i="8"/>
  <c r="D530" i="8"/>
  <c r="M425" i="8"/>
  <c r="E530" i="8"/>
  <c r="M5" i="8"/>
  <c r="M110" i="8"/>
  <c r="M320" i="8"/>
  <c r="D541" i="8"/>
  <c r="D536" i="8"/>
  <c r="E536" i="8"/>
  <c r="M426" i="8"/>
  <c r="E531" i="8"/>
  <c r="M6" i="8"/>
  <c r="M111" i="8"/>
  <c r="M321" i="8"/>
  <c r="D531" i="8"/>
  <c r="D542" i="8"/>
  <c r="E542" i="8"/>
  <c r="E532" i="8"/>
  <c r="M7" i="8"/>
  <c r="M112" i="8"/>
  <c r="M322" i="8"/>
  <c r="D532" i="8"/>
  <c r="M427" i="8"/>
  <c r="H23" i="8"/>
  <c r="H23" i="9"/>
  <c r="D653" i="8"/>
  <c r="F653" i="8"/>
  <c r="H24" i="8"/>
  <c r="D654" i="8"/>
  <c r="F643" i="8"/>
  <c r="D641" i="8"/>
  <c r="H11" i="8"/>
  <c r="F646" i="8"/>
  <c r="F652" i="8"/>
  <c r="D637" i="8"/>
  <c r="H7" i="8"/>
  <c r="D636" i="8"/>
  <c r="H6" i="8"/>
  <c r="H5" i="8"/>
  <c r="D635" i="8"/>
  <c r="D233" i="8"/>
  <c r="D642" i="8"/>
  <c r="D222" i="8"/>
  <c r="F222" i="8" s="1"/>
  <c r="H12" i="8"/>
  <c r="H12" i="9"/>
  <c r="E432" i="9"/>
  <c r="D234" i="8"/>
  <c r="H17" i="8"/>
  <c r="H17" i="9"/>
  <c r="D647" i="8"/>
  <c r="D227" i="8"/>
  <c r="G227" i="8" s="1"/>
  <c r="H22" i="9"/>
  <c r="H538" i="8"/>
  <c r="D643" i="8"/>
  <c r="H13" i="8"/>
  <c r="H13" i="9"/>
  <c r="D223" i="8"/>
  <c r="M431" i="9"/>
  <c r="F641" i="8"/>
  <c r="M326" i="9"/>
  <c r="M116" i="9"/>
  <c r="M11" i="9"/>
  <c r="N431" i="9"/>
  <c r="N326" i="9"/>
  <c r="D644" i="8"/>
  <c r="H14" i="8"/>
  <c r="H14" i="9"/>
  <c r="H540" i="8"/>
  <c r="D645" i="8"/>
  <c r="L645" i="8"/>
  <c r="H15" i="8"/>
  <c r="H15" i="9"/>
  <c r="M425" i="9"/>
  <c r="F635" i="8"/>
  <c r="M320" i="9"/>
  <c r="M110" i="9"/>
  <c r="M5" i="9"/>
  <c r="D215" i="8"/>
  <c r="F215" i="8" s="1"/>
  <c r="Q320" i="9"/>
  <c r="P320" i="9"/>
  <c r="Q425" i="9"/>
  <c r="N320" i="9"/>
  <c r="P425" i="9"/>
  <c r="H541" i="8"/>
  <c r="D646" i="8"/>
  <c r="H16" i="8"/>
  <c r="H16" i="9"/>
  <c r="M426" i="9"/>
  <c r="F636" i="8"/>
  <c r="M321" i="9"/>
  <c r="M111" i="9"/>
  <c r="M6" i="9"/>
  <c r="D216" i="8"/>
  <c r="P321" i="9"/>
  <c r="N321" i="9"/>
  <c r="P426" i="9"/>
  <c r="Q426" i="9"/>
  <c r="Q321" i="9"/>
  <c r="F637" i="8"/>
  <c r="M427" i="9"/>
  <c r="D217" i="8"/>
  <c r="M322" i="9"/>
  <c r="M112" i="9"/>
  <c r="M7" i="9"/>
  <c r="N427" i="9"/>
  <c r="N322" i="9"/>
  <c r="M4" i="8"/>
  <c r="M4" i="9"/>
  <c r="K4" i="9"/>
  <c r="H4" i="8"/>
  <c r="D634" i="9"/>
  <c r="D529" i="9"/>
  <c r="K431" i="9"/>
  <c r="K326" i="9"/>
  <c r="G432" i="9"/>
  <c r="N426" i="9"/>
  <c r="D432" i="9"/>
  <c r="F432" i="9"/>
  <c r="G215" i="8"/>
  <c r="N425" i="9"/>
  <c r="E529" i="9"/>
  <c r="H109" i="9"/>
  <c r="L76" i="32"/>
  <c r="L77" i="32"/>
  <c r="L78" i="32"/>
  <c r="L79" i="32"/>
  <c r="L80" i="32"/>
  <c r="L81" i="32"/>
  <c r="L82" i="32"/>
  <c r="K76" i="32"/>
  <c r="K77" i="32"/>
  <c r="K78" i="32"/>
  <c r="K79" i="32"/>
  <c r="K80" i="32"/>
  <c r="K81" i="32"/>
  <c r="K82" i="32"/>
  <c r="J76" i="32"/>
  <c r="J77" i="32"/>
  <c r="J78" i="32"/>
  <c r="J79" i="32"/>
  <c r="J80" i="32"/>
  <c r="J81" i="32"/>
  <c r="J82" i="32"/>
  <c r="G76" i="32"/>
  <c r="G77" i="32"/>
  <c r="G78" i="32"/>
  <c r="G79" i="32"/>
  <c r="G80" i="32"/>
  <c r="G81" i="32"/>
  <c r="G82" i="32"/>
  <c r="F76" i="32"/>
  <c r="F77" i="32"/>
  <c r="F78" i="32"/>
  <c r="F79" i="32"/>
  <c r="F80" i="32"/>
  <c r="F81" i="32"/>
  <c r="F82" i="32"/>
  <c r="E76" i="32"/>
  <c r="E77" i="32"/>
  <c r="E78" i="32"/>
  <c r="E79" i="32"/>
  <c r="E80" i="32"/>
  <c r="E81" i="32"/>
  <c r="E82" i="32"/>
  <c r="G529" i="8"/>
  <c r="K529" i="8" s="1"/>
  <c r="F634" i="9"/>
  <c r="G529" i="9"/>
  <c r="J634" i="9"/>
  <c r="B109" i="8"/>
  <c r="C109" i="8"/>
  <c r="Q109" i="8" s="1"/>
  <c r="J109" i="8"/>
  <c r="J209" i="8" s="1"/>
  <c r="Q5" i="31"/>
  <c r="P5" i="31"/>
  <c r="G109" i="8"/>
  <c r="F109" i="8"/>
  <c r="E109" i="8"/>
  <c r="D109" i="8"/>
  <c r="R109" i="8"/>
  <c r="M109" i="8"/>
  <c r="M109" i="9"/>
  <c r="P109" i="8"/>
  <c r="O109" i="8"/>
  <c r="N109" i="8"/>
  <c r="N109" i="9"/>
  <c r="E88" i="32"/>
  <c r="M8" i="8"/>
  <c r="M113" i="8"/>
  <c r="M323" i="8"/>
  <c r="M428" i="8"/>
  <c r="D544" i="8"/>
  <c r="E544" i="8"/>
  <c r="D545" i="8"/>
  <c r="E545" i="8"/>
  <c r="M114" i="8"/>
  <c r="M324" i="8"/>
  <c r="M429" i="8"/>
  <c r="M9" i="8"/>
  <c r="D638" i="8"/>
  <c r="H8" i="8"/>
  <c r="D639" i="8"/>
  <c r="H9" i="8"/>
  <c r="F650" i="8"/>
  <c r="F649" i="8"/>
  <c r="F648" i="8"/>
  <c r="O652" i="8"/>
  <c r="Q652" i="8"/>
  <c r="P652" i="8"/>
  <c r="J547" i="8" a="1"/>
  <c r="J547" i="8" s="1"/>
  <c r="N642" i="8"/>
  <c r="Q642" i="8"/>
  <c r="R642" i="8" s="1"/>
  <c r="M642" i="8"/>
  <c r="O642" i="8"/>
  <c r="J537" i="8" a="1"/>
  <c r="J537" i="8"/>
  <c r="I537" i="8" a="1"/>
  <c r="I537" i="8" s="1"/>
  <c r="H222" i="8"/>
  <c r="H438" i="8"/>
  <c r="H333" i="8"/>
  <c r="D648" i="8"/>
  <c r="I543" i="8" a="1"/>
  <c r="I543" i="8" s="1"/>
  <c r="H123" i="8"/>
  <c r="H18" i="8"/>
  <c r="N644" i="8"/>
  <c r="M644" i="8"/>
  <c r="Q644" i="8"/>
  <c r="M648" i="8"/>
  <c r="M428" i="9"/>
  <c r="M323" i="9"/>
  <c r="M8" i="9"/>
  <c r="H218" i="8"/>
  <c r="J218" i="8" s="1"/>
  <c r="N428" i="9"/>
  <c r="N323" i="9"/>
  <c r="O636" i="8"/>
  <c r="M636" i="8"/>
  <c r="N636" i="8"/>
  <c r="H216" i="8"/>
  <c r="I216" i="8" s="1"/>
  <c r="I531" i="8" a="1"/>
  <c r="I531" i="8" s="1"/>
  <c r="J544" i="8" a="1"/>
  <c r="J544" i="8" s="1"/>
  <c r="D649" i="8"/>
  <c r="I544" i="8" a="1"/>
  <c r="I544" i="8" s="1"/>
  <c r="H229" i="8"/>
  <c r="D229" i="8"/>
  <c r="G229" i="8" s="1"/>
  <c r="H334" i="8"/>
  <c r="H439" i="8"/>
  <c r="H124" i="8"/>
  <c r="H19" i="8"/>
  <c r="M638" i="8"/>
  <c r="P635" i="9"/>
  <c r="O635" i="9"/>
  <c r="N635" i="9"/>
  <c r="M635" i="9"/>
  <c r="I530" i="9"/>
  <c r="H215" i="9"/>
  <c r="I215" i="9" s="1"/>
  <c r="J215" i="9" s="1"/>
  <c r="J530" i="9"/>
  <c r="J534" i="8" a="1"/>
  <c r="J534" i="8" s="1"/>
  <c r="N324" i="9"/>
  <c r="N429" i="9"/>
  <c r="F638" i="9"/>
  <c r="E533" i="9"/>
  <c r="D533" i="9"/>
  <c r="D218" i="9"/>
  <c r="G218" i="9" s="1"/>
  <c r="M113" i="9"/>
  <c r="N653" i="8"/>
  <c r="O653" i="8"/>
  <c r="M653" i="8"/>
  <c r="P653" i="8"/>
  <c r="J548" i="8" a="1"/>
  <c r="J548" i="8" s="1"/>
  <c r="I548" i="8" a="1"/>
  <c r="I548" i="8" s="1"/>
  <c r="H233" i="8"/>
  <c r="J233" i="8" s="1"/>
  <c r="P643" i="8"/>
  <c r="N643" i="8"/>
  <c r="M643" i="8"/>
  <c r="O643" i="8"/>
  <c r="H223" i="8"/>
  <c r="I538" i="8" a="1"/>
  <c r="I538" i="8" s="1"/>
  <c r="K538" i="8"/>
  <c r="L538" i="8" s="1"/>
  <c r="J538" i="8" a="1"/>
  <c r="J538" i="8" s="1"/>
  <c r="D650" i="8"/>
  <c r="J545" i="8" a="1"/>
  <c r="J545" i="8" s="1"/>
  <c r="I545" i="8" a="1"/>
  <c r="I545" i="8" s="1"/>
  <c r="H20" i="8"/>
  <c r="H20" i="9"/>
  <c r="H230" i="8"/>
  <c r="J230" i="8" s="1"/>
  <c r="D230" i="8"/>
  <c r="J543" i="9"/>
  <c r="H438" i="9"/>
  <c r="E543" i="9"/>
  <c r="D648" i="9"/>
  <c r="D543" i="9"/>
  <c r="H333" i="9"/>
  <c r="D228" i="9"/>
  <c r="F228" i="9" s="1"/>
  <c r="H123" i="9"/>
  <c r="N646" i="8"/>
  <c r="M646" i="8"/>
  <c r="J541" i="8" a="1"/>
  <c r="J541" i="8" s="1"/>
  <c r="I541" i="8" a="1"/>
  <c r="I541" i="8" s="1"/>
  <c r="K541" i="8"/>
  <c r="H226" i="8"/>
  <c r="I226" i="8" s="1"/>
  <c r="M635" i="8"/>
  <c r="P635" i="8"/>
  <c r="N635" i="8"/>
  <c r="Q635" i="8"/>
  <c r="O635" i="8"/>
  <c r="I530" i="8" a="1"/>
  <c r="I530" i="8" s="1"/>
  <c r="J530" i="8" a="1"/>
  <c r="J530" i="8" s="1"/>
  <c r="H215" i="8"/>
  <c r="I215" i="8" s="1"/>
  <c r="M649" i="8"/>
  <c r="O649" i="8"/>
  <c r="N647" i="8"/>
  <c r="O647" i="8"/>
  <c r="M647" i="8"/>
  <c r="H227" i="8"/>
  <c r="I542" i="8" a="1"/>
  <c r="I542" i="8" s="1"/>
  <c r="H334" i="9"/>
  <c r="M645" i="8"/>
  <c r="N645" i="8"/>
  <c r="J540" i="8" a="1"/>
  <c r="J540" i="8" s="1"/>
  <c r="I540" i="8" a="1"/>
  <c r="I540" i="8" s="1"/>
  <c r="K540" i="8"/>
  <c r="M637" i="8"/>
  <c r="P637" i="8"/>
  <c r="O637" i="8"/>
  <c r="N637" i="8"/>
  <c r="I532" i="8" a="1"/>
  <c r="I532" i="8" s="1"/>
  <c r="J532" i="8" a="1"/>
  <c r="J532" i="8" s="1"/>
  <c r="H217" i="8"/>
  <c r="J217" i="8" s="1"/>
  <c r="M654" i="8"/>
  <c r="O654" i="8"/>
  <c r="N654" i="8"/>
  <c r="P654" i="8"/>
  <c r="J549" i="8" a="1"/>
  <c r="J549" i="8" s="1"/>
  <c r="I549" i="8" a="1"/>
  <c r="I549" i="8" s="1"/>
  <c r="H234" i="8"/>
  <c r="I234" i="8" s="1"/>
  <c r="O641" i="8"/>
  <c r="N641" i="8"/>
  <c r="M641" i="8"/>
  <c r="I536" i="8" a="1"/>
  <c r="I536" i="8"/>
  <c r="H221" i="8"/>
  <c r="J536" i="8" a="1"/>
  <c r="J536" i="8" s="1"/>
  <c r="M639" i="8"/>
  <c r="D534" i="9"/>
  <c r="N637" i="9"/>
  <c r="M637" i="9"/>
  <c r="P637" i="9"/>
  <c r="Q637" i="9" s="1"/>
  <c r="O637" i="9"/>
  <c r="H217" i="9"/>
  <c r="I217" i="9"/>
  <c r="J217" i="9" s="1"/>
  <c r="J532" i="9"/>
  <c r="I532" i="9"/>
  <c r="M650" i="8"/>
  <c r="O650" i="8"/>
  <c r="P636" i="9"/>
  <c r="Q636" i="9" s="1"/>
  <c r="O636" i="9"/>
  <c r="N636" i="9"/>
  <c r="M636" i="9"/>
  <c r="I531" i="9"/>
  <c r="H216" i="9"/>
  <c r="I216" i="9" s="1"/>
  <c r="J531" i="9"/>
  <c r="I545" i="9"/>
  <c r="K545" i="9" s="1"/>
  <c r="E545" i="9"/>
  <c r="D545" i="9"/>
  <c r="H545" i="9" s="1"/>
  <c r="L545" i="9" s="1"/>
  <c r="D650" i="9"/>
  <c r="H230" i="9"/>
  <c r="D230" i="9"/>
  <c r="M650" i="9"/>
  <c r="M634" i="8"/>
  <c r="N634" i="8"/>
  <c r="P634" i="8"/>
  <c r="N650" i="8"/>
  <c r="N648" i="8"/>
  <c r="Q648" i="8"/>
  <c r="K438" i="8"/>
  <c r="K333" i="8"/>
  <c r="H18" i="9"/>
  <c r="N638" i="8"/>
  <c r="Q638" i="8"/>
  <c r="R638" i="8" s="1"/>
  <c r="P649" i="8"/>
  <c r="P650" i="8"/>
  <c r="N639" i="8"/>
  <c r="K438" i="9"/>
  <c r="I233" i="8"/>
  <c r="F230" i="9"/>
  <c r="G228" i="9"/>
  <c r="I230" i="8"/>
  <c r="J223" i="8"/>
  <c r="I223" i="8"/>
  <c r="F218" i="9"/>
  <c r="K333" i="9"/>
  <c r="I221" i="8"/>
  <c r="J221" i="8"/>
  <c r="J226" i="8"/>
  <c r="I2" i="4"/>
  <c r="D2" i="4"/>
  <c r="N634" i="9"/>
  <c r="T5" i="31"/>
  <c r="O634" i="9"/>
  <c r="P634" i="9"/>
  <c r="M634" i="9"/>
  <c r="M61" i="6"/>
  <c r="M54" i="6"/>
  <c r="B205" i="32"/>
  <c r="B206" i="32"/>
  <c r="B207" i="32"/>
  <c r="B208" i="32"/>
  <c r="D205" i="32"/>
  <c r="D206" i="32"/>
  <c r="D207" i="32"/>
  <c r="D208" i="32"/>
  <c r="B201" i="32"/>
  <c r="B202" i="32"/>
  <c r="B203" i="32"/>
  <c r="B204" i="32"/>
  <c r="D201" i="32"/>
  <c r="D202" i="32"/>
  <c r="D203" i="32"/>
  <c r="D204" i="32"/>
  <c r="B163" i="32"/>
  <c r="B164" i="32"/>
  <c r="B165" i="32"/>
  <c r="B166" i="32"/>
  <c r="D163" i="32"/>
  <c r="D164" i="32"/>
  <c r="D165" i="32"/>
  <c r="D166" i="32"/>
  <c r="D162" i="32"/>
  <c r="D161" i="32"/>
  <c r="D160" i="32"/>
  <c r="D159" i="32"/>
  <c r="B162" i="32"/>
  <c r="B161" i="32"/>
  <c r="B160" i="32"/>
  <c r="B159" i="32"/>
  <c r="B121" i="32"/>
  <c r="B122" i="32"/>
  <c r="B123" i="32"/>
  <c r="B124" i="32"/>
  <c r="D121" i="32"/>
  <c r="F121" i="32"/>
  <c r="D122" i="32"/>
  <c r="F122" i="32"/>
  <c r="D123" i="32"/>
  <c r="F123" i="32"/>
  <c r="D124" i="32"/>
  <c r="F124" i="32"/>
  <c r="B117" i="32"/>
  <c r="B118" i="32"/>
  <c r="B119" i="32"/>
  <c r="B120" i="32"/>
  <c r="D117" i="32"/>
  <c r="F117" i="32"/>
  <c r="D118" i="32"/>
  <c r="F118" i="32"/>
  <c r="D119" i="32"/>
  <c r="F119" i="32"/>
  <c r="D120" i="32"/>
  <c r="F120" i="32"/>
  <c r="B79" i="32"/>
  <c r="B80" i="32"/>
  <c r="B81" i="32"/>
  <c r="B82" i="32"/>
  <c r="D79" i="32"/>
  <c r="D80" i="32"/>
  <c r="D81" i="32"/>
  <c r="D82" i="32"/>
  <c r="B75" i="32"/>
  <c r="B76" i="32"/>
  <c r="B77" i="32"/>
  <c r="B78" i="32"/>
  <c r="D75" i="32"/>
  <c r="D76" i="32"/>
  <c r="D77" i="32"/>
  <c r="D78" i="32"/>
  <c r="B37" i="32"/>
  <c r="B38" i="32"/>
  <c r="B39" i="32"/>
  <c r="B40" i="32"/>
  <c r="D37" i="32"/>
  <c r="D38" i="32"/>
  <c r="D39" i="32"/>
  <c r="D40" i="32"/>
  <c r="B33" i="32"/>
  <c r="B34" i="32"/>
  <c r="B35" i="32"/>
  <c r="B36" i="32"/>
  <c r="D33" i="32"/>
  <c r="D34" i="32"/>
  <c r="D35" i="32"/>
  <c r="D36" i="32"/>
  <c r="E120" i="32"/>
  <c r="E117" i="32"/>
  <c r="E118" i="32"/>
  <c r="E121" i="32"/>
  <c r="E122" i="32"/>
  <c r="I122" i="32"/>
  <c r="K214" i="32"/>
  <c r="K215" i="32"/>
  <c r="K216" i="32"/>
  <c r="K217" i="32"/>
  <c r="K218" i="32"/>
  <c r="K219" i="32"/>
  <c r="K220" i="32"/>
  <c r="K221" i="32"/>
  <c r="K222" i="32"/>
  <c r="K223" i="32"/>
  <c r="K224" i="32"/>
  <c r="K225" i="32"/>
  <c r="K226" i="32"/>
  <c r="K227" i="32"/>
  <c r="K228" i="32"/>
  <c r="K229" i="32"/>
  <c r="K230" i="32"/>
  <c r="K231" i="32"/>
  <c r="K232" i="32"/>
  <c r="K233" i="32"/>
  <c r="K234" i="32"/>
  <c r="K235" i="32"/>
  <c r="K236" i="32"/>
  <c r="K237" i="32"/>
  <c r="K238" i="32"/>
  <c r="K239" i="32"/>
  <c r="K240" i="32"/>
  <c r="K241" i="32"/>
  <c r="K242" i="32"/>
  <c r="H214" i="32"/>
  <c r="H215" i="32"/>
  <c r="H216" i="32"/>
  <c r="H217" i="32"/>
  <c r="H218" i="32"/>
  <c r="H219" i="32"/>
  <c r="H220" i="32"/>
  <c r="H221" i="32"/>
  <c r="H222" i="32"/>
  <c r="H223" i="32"/>
  <c r="H224" i="32"/>
  <c r="H225" i="32"/>
  <c r="H226" i="32"/>
  <c r="H227" i="32"/>
  <c r="H228" i="32"/>
  <c r="H229" i="32"/>
  <c r="H230" i="32"/>
  <c r="H231" i="32"/>
  <c r="H232" i="32"/>
  <c r="H233" i="32"/>
  <c r="H234" i="32"/>
  <c r="H235" i="32"/>
  <c r="H236" i="32"/>
  <c r="H237" i="32"/>
  <c r="H238" i="32"/>
  <c r="H239" i="32"/>
  <c r="H240" i="32"/>
  <c r="H241" i="32"/>
  <c r="H242" i="32"/>
  <c r="B276" i="32"/>
  <c r="C276" i="32"/>
  <c r="B274" i="32"/>
  <c r="B275" i="32"/>
  <c r="C274" i="32"/>
  <c r="C275" i="32"/>
  <c r="B259" i="32"/>
  <c r="B260" i="32"/>
  <c r="B261" i="32"/>
  <c r="B262" i="32"/>
  <c r="B263" i="32"/>
  <c r="B264" i="32"/>
  <c r="B265" i="32"/>
  <c r="B266" i="32"/>
  <c r="B267" i="32"/>
  <c r="B268" i="32"/>
  <c r="B269" i="32"/>
  <c r="B270" i="32"/>
  <c r="B271" i="32"/>
  <c r="B272" i="32"/>
  <c r="B273" i="32"/>
  <c r="C259" i="32"/>
  <c r="C260" i="32"/>
  <c r="C261" i="32"/>
  <c r="C262" i="32"/>
  <c r="C263" i="32"/>
  <c r="C264" i="32"/>
  <c r="C265" i="32"/>
  <c r="C266" i="32"/>
  <c r="C267" i="32"/>
  <c r="C268" i="32"/>
  <c r="C269" i="32"/>
  <c r="C270" i="32"/>
  <c r="C271" i="32"/>
  <c r="C272" i="32"/>
  <c r="C273" i="32"/>
  <c r="C248" i="32"/>
  <c r="C249" i="32"/>
  <c r="C250" i="32"/>
  <c r="C251" i="32"/>
  <c r="C252" i="32"/>
  <c r="C253" i="32"/>
  <c r="C254" i="32"/>
  <c r="C255" i="32"/>
  <c r="C256" i="32"/>
  <c r="C257" i="32"/>
  <c r="C258" i="32"/>
  <c r="B248" i="32"/>
  <c r="B249" i="32"/>
  <c r="B250" i="32"/>
  <c r="B251" i="32"/>
  <c r="B252" i="32"/>
  <c r="B253" i="32"/>
  <c r="B254" i="32"/>
  <c r="B255" i="32"/>
  <c r="B256" i="32"/>
  <c r="B257" i="32"/>
  <c r="B258" i="32"/>
  <c r="S36" i="32"/>
  <c r="P36" i="32"/>
  <c r="R36" i="32"/>
  <c r="Q36" i="32"/>
  <c r="T36" i="32"/>
  <c r="O36" i="32"/>
  <c r="N36" i="32"/>
  <c r="T78" i="32"/>
  <c r="O78" i="32"/>
  <c r="P78" i="32"/>
  <c r="S78" i="32"/>
  <c r="R78" i="32"/>
  <c r="N78" i="32"/>
  <c r="Q78" i="32"/>
  <c r="T162" i="32"/>
  <c r="O162" i="32"/>
  <c r="S162" i="32"/>
  <c r="Q162" i="32"/>
  <c r="N162" i="32"/>
  <c r="P162" i="32"/>
  <c r="R162" i="32"/>
  <c r="T204" i="32"/>
  <c r="O204" i="32"/>
  <c r="S204" i="32"/>
  <c r="R204" i="32"/>
  <c r="Q204" i="32"/>
  <c r="P204" i="32"/>
  <c r="N204" i="32"/>
  <c r="T161" i="32"/>
  <c r="O161" i="32"/>
  <c r="R161" i="32"/>
  <c r="N161" i="32"/>
  <c r="Q161" i="32"/>
  <c r="S161" i="32"/>
  <c r="P161" i="32"/>
  <c r="O35" i="32"/>
  <c r="Q35" i="32"/>
  <c r="N35" i="32"/>
  <c r="P35" i="32"/>
  <c r="S35" i="32"/>
  <c r="T35" i="32"/>
  <c r="R35" i="32"/>
  <c r="T77" i="32"/>
  <c r="O77" i="32"/>
  <c r="R77" i="32"/>
  <c r="Q77" i="32"/>
  <c r="N77" i="32"/>
  <c r="S77" i="32"/>
  <c r="P77" i="32"/>
  <c r="T203" i="32"/>
  <c r="O203" i="32"/>
  <c r="Q203" i="32"/>
  <c r="N203" i="32"/>
  <c r="P203" i="32"/>
  <c r="S203" i="32"/>
  <c r="R203" i="32"/>
  <c r="T76" i="32"/>
  <c r="O76" i="32"/>
  <c r="R76" i="32"/>
  <c r="S76" i="32"/>
  <c r="N76" i="32"/>
  <c r="P76" i="32"/>
  <c r="Q76" i="32"/>
  <c r="T160" i="32"/>
  <c r="O160" i="32"/>
  <c r="N160" i="32"/>
  <c r="S160" i="32"/>
  <c r="P160" i="32"/>
  <c r="R160" i="32"/>
  <c r="Q160" i="32"/>
  <c r="T34" i="32"/>
  <c r="R34" i="32"/>
  <c r="N34" i="32"/>
  <c r="Q34" i="32"/>
  <c r="S34" i="32"/>
  <c r="P34" i="32"/>
  <c r="O34" i="32"/>
  <c r="T202" i="32"/>
  <c r="O202" i="32"/>
  <c r="Q202" i="32"/>
  <c r="R202" i="32"/>
  <c r="N202" i="32"/>
  <c r="P202" i="32"/>
  <c r="S202" i="32"/>
  <c r="T159" i="32"/>
  <c r="O159" i="32"/>
  <c r="Q159" i="32"/>
  <c r="R159" i="32"/>
  <c r="S159" i="32"/>
  <c r="P159" i="32"/>
  <c r="N159" i="32"/>
  <c r="T75" i="32"/>
  <c r="O75" i="32"/>
  <c r="N75" i="32"/>
  <c r="Q75" i="32"/>
  <c r="S75" i="32"/>
  <c r="P75" i="32"/>
  <c r="R75" i="32"/>
  <c r="P33" i="32"/>
  <c r="R33" i="32"/>
  <c r="Q33" i="32"/>
  <c r="S33" i="32"/>
  <c r="T33" i="32"/>
  <c r="N33" i="32"/>
  <c r="O33" i="32"/>
  <c r="T201" i="32"/>
  <c r="O201" i="32"/>
  <c r="S201" i="32"/>
  <c r="P201" i="32"/>
  <c r="R201" i="32"/>
  <c r="N201" i="32"/>
  <c r="Q201" i="32"/>
  <c r="H75" i="32"/>
  <c r="I75" i="32"/>
  <c r="J75" i="32"/>
  <c r="K75" i="32"/>
  <c r="G75" i="32"/>
  <c r="E75" i="32"/>
  <c r="F75" i="32"/>
  <c r="L75" i="32"/>
  <c r="H201" i="32"/>
  <c r="L201" i="32"/>
  <c r="I201" i="32"/>
  <c r="J201" i="32"/>
  <c r="F201" i="32"/>
  <c r="K201" i="32"/>
  <c r="G201" i="32"/>
  <c r="E201" i="32"/>
  <c r="H159" i="32"/>
  <c r="L159" i="32"/>
  <c r="I159" i="32"/>
  <c r="J159" i="32"/>
  <c r="F159" i="32"/>
  <c r="K159" i="32"/>
  <c r="G159" i="32"/>
  <c r="E159" i="32"/>
  <c r="L33" i="32"/>
  <c r="J33" i="32"/>
  <c r="K33" i="32"/>
  <c r="H33" i="32"/>
  <c r="I33" i="32"/>
  <c r="G33" i="32"/>
  <c r="F33" i="32"/>
  <c r="E33" i="32"/>
  <c r="I124" i="32"/>
  <c r="I120" i="32"/>
  <c r="I121" i="32"/>
  <c r="I118" i="32"/>
  <c r="E124" i="32"/>
  <c r="I117" i="32"/>
  <c r="I119" i="32"/>
  <c r="E119" i="32"/>
  <c r="L226" i="32"/>
  <c r="M226" i="32"/>
  <c r="L239" i="32"/>
  <c r="M239" i="32"/>
  <c r="N239" i="32"/>
  <c r="L231" i="32"/>
  <c r="M231" i="32"/>
  <c r="N231" i="32"/>
  <c r="L223" i="32"/>
  <c r="M223" i="32"/>
  <c r="N223" i="32"/>
  <c r="L215" i="32"/>
  <c r="M215" i="32"/>
  <c r="N215" i="32"/>
  <c r="L232" i="32"/>
  <c r="M232" i="32"/>
  <c r="N232" i="32"/>
  <c r="L224" i="32"/>
  <c r="M224" i="32"/>
  <c r="N224" i="32"/>
  <c r="L228" i="32"/>
  <c r="M228" i="32"/>
  <c r="N228" i="32"/>
  <c r="L220" i="32"/>
  <c r="M220" i="32"/>
  <c r="N220" i="32"/>
  <c r="L238" i="32"/>
  <c r="M238" i="32"/>
  <c r="N238" i="32"/>
  <c r="L222" i="32"/>
  <c r="M222" i="32"/>
  <c r="N222" i="32"/>
  <c r="L214" i="32"/>
  <c r="M214" i="32"/>
  <c r="N214" i="32"/>
  <c r="L240" i="32"/>
  <c r="M240" i="32"/>
  <c r="N240" i="32"/>
  <c r="L216" i="32"/>
  <c r="M216" i="32"/>
  <c r="N216" i="32"/>
  <c r="L237" i="32"/>
  <c r="M237" i="32"/>
  <c r="N237" i="32"/>
  <c r="L229" i="32"/>
  <c r="M229" i="32"/>
  <c r="N229" i="32"/>
  <c r="L221" i="32"/>
  <c r="M221" i="32"/>
  <c r="N221" i="32"/>
  <c r="L230" i="32"/>
  <c r="M230" i="32"/>
  <c r="L234" i="32"/>
  <c r="M234" i="32"/>
  <c r="L218" i="32"/>
  <c r="M218" i="32"/>
  <c r="L242" i="32"/>
  <c r="M242" i="32"/>
  <c r="L236" i="32"/>
  <c r="M236" i="32"/>
  <c r="N236" i="32"/>
  <c r="L241" i="32"/>
  <c r="M241" i="32"/>
  <c r="N241" i="32"/>
  <c r="L233" i="32"/>
  <c r="M233" i="32"/>
  <c r="N233" i="32"/>
  <c r="L225" i="32"/>
  <c r="M225" i="32"/>
  <c r="N225" i="32"/>
  <c r="L217" i="32"/>
  <c r="M217" i="32"/>
  <c r="N217" i="32"/>
  <c r="L235" i="32"/>
  <c r="M235" i="32"/>
  <c r="N235" i="32"/>
  <c r="L227" i="32"/>
  <c r="M227" i="32"/>
  <c r="N227" i="32"/>
  <c r="L219" i="32"/>
  <c r="M219" i="32"/>
  <c r="U36" i="32"/>
  <c r="U162" i="32"/>
  <c r="U161" i="32"/>
  <c r="U35" i="32"/>
  <c r="U160" i="32"/>
  <c r="U34" i="32"/>
  <c r="M33" i="32"/>
  <c r="U33" i="32"/>
  <c r="M159" i="32"/>
  <c r="U159" i="32"/>
  <c r="N226" i="32"/>
  <c r="I123" i="32"/>
  <c r="E123" i="32"/>
  <c r="N234" i="32"/>
  <c r="N242" i="32"/>
  <c r="N230" i="32"/>
  <c r="N218" i="32"/>
  <c r="N219" i="32"/>
  <c r="M65" i="6"/>
  <c r="M64" i="6"/>
  <c r="M60" i="6"/>
  <c r="M59" i="6"/>
  <c r="M53" i="6"/>
  <c r="M52" i="6"/>
  <c r="M46" i="6"/>
  <c r="M45" i="6"/>
  <c r="M44" i="6"/>
  <c r="M40" i="6"/>
  <c r="M39" i="6"/>
  <c r="M38" i="6"/>
  <c r="B496" i="35"/>
  <c r="B495" i="35"/>
  <c r="B494" i="35"/>
  <c r="B493" i="35"/>
  <c r="B492" i="35"/>
  <c r="B491" i="35"/>
  <c r="B490" i="35"/>
  <c r="B489" i="35"/>
  <c r="B488" i="35"/>
  <c r="B487" i="35"/>
  <c r="B486" i="35"/>
  <c r="B485" i="35"/>
  <c r="B484" i="35"/>
  <c r="B483" i="35"/>
  <c r="B482" i="35"/>
  <c r="B481" i="35"/>
  <c r="B480" i="35"/>
  <c r="B479" i="35"/>
  <c r="B478" i="35"/>
  <c r="B477" i="35"/>
  <c r="B476" i="35"/>
  <c r="B475" i="35"/>
  <c r="B474" i="35"/>
  <c r="B473" i="35"/>
  <c r="B472" i="35"/>
  <c r="B471" i="35"/>
  <c r="B470" i="35"/>
  <c r="B469" i="35"/>
  <c r="B468" i="35"/>
  <c r="B467" i="35"/>
  <c r="B466" i="35"/>
  <c r="B465" i="35"/>
  <c r="B464" i="35"/>
  <c r="B463" i="35"/>
  <c r="B462" i="35"/>
  <c r="B461" i="35"/>
  <c r="B460" i="35"/>
  <c r="B459" i="35"/>
  <c r="B458" i="35"/>
  <c r="B457" i="35"/>
  <c r="B456" i="35"/>
  <c r="B455" i="35"/>
  <c r="B454" i="35"/>
  <c r="B453" i="35"/>
  <c r="B452" i="35"/>
  <c r="B451" i="35"/>
  <c r="B450" i="35"/>
  <c r="B449" i="35"/>
  <c r="B448" i="35"/>
  <c r="B447" i="35"/>
  <c r="B446" i="35"/>
  <c r="B445" i="35"/>
  <c r="B444" i="35"/>
  <c r="B443" i="35"/>
  <c r="B442" i="35"/>
  <c r="B441" i="35"/>
  <c r="B440" i="35"/>
  <c r="B439" i="35"/>
  <c r="B438" i="35"/>
  <c r="B437" i="35"/>
  <c r="B436" i="35"/>
  <c r="B435" i="35"/>
  <c r="B434" i="35"/>
  <c r="B433" i="35"/>
  <c r="B432" i="35"/>
  <c r="B431" i="35"/>
  <c r="B430" i="35"/>
  <c r="B429" i="35"/>
  <c r="B428" i="35"/>
  <c r="B427" i="35"/>
  <c r="B426" i="35"/>
  <c r="B425" i="35"/>
  <c r="B424" i="35"/>
  <c r="B423" i="35"/>
  <c r="B422" i="35"/>
  <c r="B421" i="35"/>
  <c r="B420" i="35"/>
  <c r="B419" i="35"/>
  <c r="B418" i="35"/>
  <c r="B417" i="35"/>
  <c r="B416" i="35"/>
  <c r="B415" i="35"/>
  <c r="B414" i="35"/>
  <c r="B413" i="35"/>
  <c r="B412" i="35"/>
  <c r="B411" i="35"/>
  <c r="B410" i="35"/>
  <c r="B409" i="35"/>
  <c r="B408" i="35"/>
  <c r="B407" i="35"/>
  <c r="B406" i="35"/>
  <c r="B405" i="35"/>
  <c r="B404" i="35"/>
  <c r="B403" i="35"/>
  <c r="B402" i="35"/>
  <c r="B401" i="35"/>
  <c r="B400" i="35"/>
  <c r="B399" i="35"/>
  <c r="B398" i="35"/>
  <c r="B397" i="35"/>
  <c r="B396" i="35"/>
  <c r="B395" i="35"/>
  <c r="B394" i="35"/>
  <c r="B393" i="35"/>
  <c r="B392" i="35"/>
  <c r="B391" i="35"/>
  <c r="B390" i="35"/>
  <c r="B389" i="35"/>
  <c r="B388" i="35"/>
  <c r="B387" i="35"/>
  <c r="B386" i="35"/>
  <c r="B385" i="35"/>
  <c r="B384" i="35"/>
  <c r="B383" i="35"/>
  <c r="B382" i="35"/>
  <c r="B381" i="35"/>
  <c r="B380" i="35"/>
  <c r="B379" i="35"/>
  <c r="B378" i="35"/>
  <c r="B377" i="35"/>
  <c r="B376" i="35"/>
  <c r="B375" i="35"/>
  <c r="B374" i="35"/>
  <c r="B373" i="35"/>
  <c r="B372" i="35"/>
  <c r="B371" i="35"/>
  <c r="B370" i="35"/>
  <c r="B369" i="35"/>
  <c r="B368" i="35"/>
  <c r="B367" i="35"/>
  <c r="B366" i="35"/>
  <c r="B365" i="35"/>
  <c r="B364" i="35"/>
  <c r="B363" i="35"/>
  <c r="B362" i="35"/>
  <c r="B361" i="35"/>
  <c r="B360" i="35"/>
  <c r="B359" i="35"/>
  <c r="B358" i="35"/>
  <c r="B357" i="35"/>
  <c r="B356" i="35"/>
  <c r="B355" i="35"/>
  <c r="B354" i="35"/>
  <c r="B353" i="35"/>
  <c r="B352" i="35"/>
  <c r="B351" i="35"/>
  <c r="B350" i="35"/>
  <c r="B349" i="35"/>
  <c r="B348" i="35"/>
  <c r="B347" i="35"/>
  <c r="B346" i="35"/>
  <c r="B345" i="35"/>
  <c r="B344" i="35"/>
  <c r="B343" i="35"/>
  <c r="B342" i="35"/>
  <c r="B341" i="35"/>
  <c r="B340" i="35"/>
  <c r="B339" i="35"/>
  <c r="B338" i="35"/>
  <c r="B337" i="35"/>
  <c r="B336" i="35"/>
  <c r="B335" i="35"/>
  <c r="B334" i="35"/>
  <c r="B333" i="35"/>
  <c r="B332" i="35"/>
  <c r="B331" i="35"/>
  <c r="B330" i="35"/>
  <c r="B329" i="35"/>
  <c r="B328" i="35"/>
  <c r="B327" i="35"/>
  <c r="B326" i="35"/>
  <c r="B325" i="35"/>
  <c r="B324" i="35"/>
  <c r="B323" i="35"/>
  <c r="B322" i="35"/>
  <c r="B321" i="35"/>
  <c r="B320" i="35"/>
  <c r="B319" i="35"/>
  <c r="B318" i="35"/>
  <c r="B317" i="35"/>
  <c r="B316" i="35"/>
  <c r="B315" i="35"/>
  <c r="B314" i="35"/>
  <c r="B313" i="35"/>
  <c r="B312" i="35"/>
  <c r="B311" i="35"/>
  <c r="B310" i="35"/>
  <c r="B309" i="35"/>
  <c r="B308" i="35"/>
  <c r="B307" i="35"/>
  <c r="B306" i="35"/>
  <c r="B305" i="35"/>
  <c r="B304" i="35"/>
  <c r="B303" i="35"/>
  <c r="B302" i="35"/>
  <c r="B301" i="35"/>
  <c r="B300" i="35"/>
  <c r="B299" i="35"/>
  <c r="B298" i="35"/>
  <c r="B297" i="35"/>
  <c r="B296" i="35"/>
  <c r="B295" i="35"/>
  <c r="B294" i="35"/>
  <c r="B293" i="35"/>
  <c r="B292" i="35"/>
  <c r="B291" i="35"/>
  <c r="B290" i="35"/>
  <c r="B289" i="35"/>
  <c r="B288" i="35"/>
  <c r="B287" i="35"/>
  <c r="B286" i="35"/>
  <c r="B285" i="35"/>
  <c r="B284" i="35"/>
  <c r="B283" i="35"/>
  <c r="B282" i="35"/>
  <c r="B281" i="35"/>
  <c r="B280" i="35"/>
  <c r="B279" i="35"/>
  <c r="B278" i="35"/>
  <c r="B277" i="35"/>
  <c r="B276" i="35"/>
  <c r="B275" i="35"/>
  <c r="B274" i="35"/>
  <c r="B273" i="35"/>
  <c r="B272" i="35"/>
  <c r="B271" i="35"/>
  <c r="B270" i="35"/>
  <c r="B269" i="35"/>
  <c r="B268" i="35"/>
  <c r="B267" i="35"/>
  <c r="B266" i="35"/>
  <c r="B265" i="35"/>
  <c r="B264" i="35"/>
  <c r="B263" i="35"/>
  <c r="B262" i="35"/>
  <c r="B261" i="35"/>
  <c r="B260" i="35"/>
  <c r="B259" i="35"/>
  <c r="B258" i="35"/>
  <c r="B257" i="35"/>
  <c r="B256" i="35"/>
  <c r="B255" i="35"/>
  <c r="B254" i="35"/>
  <c r="B253" i="35"/>
  <c r="B252" i="35"/>
  <c r="B251" i="35"/>
  <c r="B250" i="35"/>
  <c r="B249" i="35"/>
  <c r="B248" i="35"/>
  <c r="B247" i="35"/>
  <c r="B246" i="35"/>
  <c r="B245" i="35"/>
  <c r="B244" i="35"/>
  <c r="B243" i="35"/>
  <c r="B242" i="35"/>
  <c r="B241" i="35"/>
  <c r="B240" i="35"/>
  <c r="B239" i="35"/>
  <c r="B238" i="35"/>
  <c r="B237" i="35"/>
  <c r="B236" i="35"/>
  <c r="B235" i="35"/>
  <c r="B234" i="35"/>
  <c r="B233" i="35"/>
  <c r="B232" i="35"/>
  <c r="B231" i="35"/>
  <c r="B230" i="35"/>
  <c r="B229" i="35"/>
  <c r="B228" i="35"/>
  <c r="B227" i="35"/>
  <c r="B226" i="35"/>
  <c r="B225" i="35"/>
  <c r="B224" i="35"/>
  <c r="B223" i="35"/>
  <c r="B222" i="35"/>
  <c r="B221" i="35"/>
  <c r="B220" i="35"/>
  <c r="B219" i="35"/>
  <c r="B218" i="35"/>
  <c r="B217" i="35"/>
  <c r="B216" i="35"/>
  <c r="B215" i="35"/>
  <c r="B214" i="35"/>
  <c r="B213" i="35"/>
  <c r="B212" i="35"/>
  <c r="B211" i="35"/>
  <c r="B210" i="35"/>
  <c r="B209" i="35"/>
  <c r="B208" i="35"/>
  <c r="B207" i="35"/>
  <c r="B206" i="35"/>
  <c r="B205" i="35"/>
  <c r="B204" i="35"/>
  <c r="B203" i="35"/>
  <c r="B202" i="35"/>
  <c r="B201" i="35"/>
  <c r="B200" i="35"/>
  <c r="B199" i="35"/>
  <c r="B198" i="35"/>
  <c r="B197" i="35"/>
  <c r="B196" i="35"/>
  <c r="B195" i="35"/>
  <c r="B194" i="35"/>
  <c r="B193" i="35"/>
  <c r="B192" i="35"/>
  <c r="B191" i="35"/>
  <c r="B190" i="35"/>
  <c r="B189" i="35"/>
  <c r="B188" i="35"/>
  <c r="B187" i="35"/>
  <c r="B186" i="35"/>
  <c r="B185" i="35"/>
  <c r="B184" i="35"/>
  <c r="B183" i="35"/>
  <c r="B182" i="35"/>
  <c r="B181" i="35"/>
  <c r="B180" i="35"/>
  <c r="B179" i="35"/>
  <c r="B178" i="35"/>
  <c r="B177" i="35"/>
  <c r="B176" i="35"/>
  <c r="B175" i="35"/>
  <c r="B174" i="35"/>
  <c r="B173" i="35"/>
  <c r="B172" i="35"/>
  <c r="B171" i="35"/>
  <c r="B170" i="35"/>
  <c r="B169" i="35"/>
  <c r="B168" i="35"/>
  <c r="B167" i="35"/>
  <c r="B166" i="35"/>
  <c r="B165" i="35"/>
  <c r="B164" i="35"/>
  <c r="B163" i="35"/>
  <c r="B162" i="35"/>
  <c r="B161" i="35"/>
  <c r="B160" i="35"/>
  <c r="B159" i="35"/>
  <c r="B158" i="35"/>
  <c r="B157" i="35"/>
  <c r="B156" i="35"/>
  <c r="B155" i="35"/>
  <c r="B154" i="35"/>
  <c r="B153" i="35"/>
  <c r="B152" i="35"/>
  <c r="B151" i="35"/>
  <c r="B150" i="35"/>
  <c r="B149" i="35"/>
  <c r="B148" i="35"/>
  <c r="B147" i="35"/>
  <c r="B146" i="35"/>
  <c r="B145" i="35"/>
  <c r="B144" i="35"/>
  <c r="B143" i="35"/>
  <c r="B142" i="35"/>
  <c r="B141" i="35"/>
  <c r="B140" i="35"/>
  <c r="B139" i="35"/>
  <c r="B138" i="35"/>
  <c r="B137" i="35"/>
  <c r="B136" i="35"/>
  <c r="B135" i="35"/>
  <c r="B134" i="35"/>
  <c r="B133" i="35"/>
  <c r="B132" i="35"/>
  <c r="B131" i="35"/>
  <c r="B130" i="35"/>
  <c r="B129" i="35"/>
  <c r="B128" i="35"/>
  <c r="B127" i="35"/>
  <c r="B126" i="35"/>
  <c r="B125" i="35"/>
  <c r="B124" i="35"/>
  <c r="B123" i="35"/>
  <c r="B122" i="35"/>
  <c r="B121" i="35"/>
  <c r="B120" i="35"/>
  <c r="B119" i="35"/>
  <c r="B118" i="35"/>
  <c r="B117" i="35"/>
  <c r="B116" i="35"/>
  <c r="B115" i="35"/>
  <c r="B114" i="35"/>
  <c r="B113" i="35"/>
  <c r="B112" i="35"/>
  <c r="B111" i="35"/>
  <c r="B110" i="35"/>
  <c r="B109" i="35"/>
  <c r="B108" i="35"/>
  <c r="B107" i="35"/>
  <c r="B106" i="35"/>
  <c r="B105" i="35"/>
  <c r="B104" i="35"/>
  <c r="B103" i="35"/>
  <c r="B102" i="35"/>
  <c r="B101" i="35"/>
  <c r="B100" i="35"/>
  <c r="B99" i="35"/>
  <c r="B98" i="35"/>
  <c r="B97" i="35"/>
  <c r="B96" i="35"/>
  <c r="B95" i="35"/>
  <c r="B94" i="35"/>
  <c r="B93" i="35"/>
  <c r="B92" i="35"/>
  <c r="B91" i="35"/>
  <c r="B90" i="35"/>
  <c r="B89" i="35"/>
  <c r="B88" i="35"/>
  <c r="B87" i="35"/>
  <c r="B86" i="35"/>
  <c r="B85" i="35"/>
  <c r="B84" i="35"/>
  <c r="B83" i="35"/>
  <c r="B82" i="35"/>
  <c r="B81" i="35"/>
  <c r="B80" i="35"/>
  <c r="B79" i="35"/>
  <c r="B78" i="35"/>
  <c r="B77" i="35"/>
  <c r="B76" i="35"/>
  <c r="B75" i="35"/>
  <c r="B74" i="35"/>
  <c r="B73" i="35"/>
  <c r="B72" i="35"/>
  <c r="B71" i="35"/>
  <c r="B70" i="35"/>
  <c r="B69" i="35"/>
  <c r="B68" i="35"/>
  <c r="B67" i="35"/>
  <c r="B66" i="35"/>
  <c r="B65" i="35"/>
  <c r="B64" i="35"/>
  <c r="B63" i="35"/>
  <c r="B62" i="35"/>
  <c r="B61" i="35"/>
  <c r="B60" i="35"/>
  <c r="B59" i="35"/>
  <c r="B58" i="35"/>
  <c r="B57" i="35"/>
  <c r="B56" i="35"/>
  <c r="B55" i="35"/>
  <c r="B54" i="35"/>
  <c r="B53" i="35"/>
  <c r="B52" i="35"/>
  <c r="B51" i="35"/>
  <c r="B50" i="35"/>
  <c r="B49" i="35"/>
  <c r="B48" i="35"/>
  <c r="B47" i="35"/>
  <c r="B46" i="35"/>
  <c r="B45" i="35"/>
  <c r="B44" i="35"/>
  <c r="B43" i="35"/>
  <c r="B42" i="35"/>
  <c r="B41" i="35"/>
  <c r="B40" i="35"/>
  <c r="B39" i="35"/>
  <c r="B38" i="35"/>
  <c r="B37" i="35"/>
  <c r="B36" i="35"/>
  <c r="B35" i="35"/>
  <c r="B34" i="35"/>
  <c r="B33" i="35"/>
  <c r="B32" i="35"/>
  <c r="B31" i="35"/>
  <c r="B30" i="35"/>
  <c r="B29" i="35"/>
  <c r="B28" i="35"/>
  <c r="B27" i="35"/>
  <c r="B26" i="35"/>
  <c r="B25" i="35"/>
  <c r="B24" i="35"/>
  <c r="B23" i="35"/>
  <c r="B22" i="35"/>
  <c r="B21" i="35"/>
  <c r="B20" i="35"/>
  <c r="B19" i="35"/>
  <c r="B18" i="35"/>
  <c r="B17" i="35"/>
  <c r="B16" i="35"/>
  <c r="B15" i="35"/>
  <c r="B14" i="35"/>
  <c r="B13" i="35"/>
  <c r="B12" i="35"/>
  <c r="B11" i="35"/>
  <c r="B10" i="35"/>
  <c r="B9" i="35"/>
  <c r="B8" i="35"/>
  <c r="B7" i="35"/>
  <c r="B6" i="35"/>
  <c r="B5" i="35"/>
  <c r="AE95" i="32"/>
  <c r="AG95" i="32"/>
  <c r="AE94" i="32"/>
  <c r="AF94" i="32"/>
  <c r="AE93" i="32"/>
  <c r="AG93" i="32"/>
  <c r="AE92" i="32"/>
  <c r="AF92" i="32"/>
  <c r="AE91" i="32"/>
  <c r="AF91" i="32"/>
  <c r="AF95" i="32"/>
  <c r="AF93" i="32"/>
  <c r="AG91" i="32"/>
  <c r="AG94" i="32"/>
  <c r="AG92" i="32"/>
  <c r="M115" i="8"/>
  <c r="M325" i="8"/>
  <c r="D535" i="8"/>
  <c r="M430" i="8"/>
  <c r="M10" i="8"/>
  <c r="D546" i="8"/>
  <c r="E546" i="8"/>
  <c r="F651" i="8"/>
  <c r="O651" i="8"/>
  <c r="D640" i="8"/>
  <c r="H10" i="8"/>
  <c r="M640" i="8"/>
  <c r="F640" i="8"/>
  <c r="J535" i="8" a="1"/>
  <c r="J535" i="8" s="1"/>
  <c r="D220" i="8"/>
  <c r="M10" i="9"/>
  <c r="I535" i="8" a="1"/>
  <c r="I535" i="8" s="1"/>
  <c r="N325" i="9"/>
  <c r="N430" i="9"/>
  <c r="O640" i="8"/>
  <c r="J546" i="8" a="1"/>
  <c r="J546" i="8" s="1"/>
  <c r="D651" i="8"/>
  <c r="I546" i="8" a="1"/>
  <c r="I546" i="8" s="1"/>
  <c r="D231" i="8"/>
  <c r="H21" i="8"/>
  <c r="H21" i="9"/>
  <c r="M651" i="8"/>
  <c r="J535" i="9"/>
  <c r="I535" i="9"/>
  <c r="M430" i="9"/>
  <c r="F640" i="9"/>
  <c r="M325" i="9"/>
  <c r="E535" i="9"/>
  <c r="D535" i="9"/>
  <c r="M115" i="9"/>
  <c r="H220" i="9"/>
  <c r="I220" i="9" s="1"/>
  <c r="D220" i="9"/>
  <c r="F220" i="9" s="1"/>
  <c r="O640" i="9"/>
  <c r="J546" i="9"/>
  <c r="D651" i="9"/>
  <c r="I546" i="9"/>
  <c r="K546" i="9" s="1"/>
  <c r="E546" i="9"/>
  <c r="D546" i="9"/>
  <c r="H546" i="9" s="1"/>
  <c r="H231" i="9"/>
  <c r="D231" i="9"/>
  <c r="G231" i="9" s="1"/>
  <c r="M651" i="9"/>
  <c r="M77" i="32"/>
  <c r="U77" i="32"/>
  <c r="M207" i="32"/>
  <c r="U207" i="32"/>
  <c r="M82" i="32"/>
  <c r="U82" i="32"/>
  <c r="J120" i="32"/>
  <c r="G120" i="32"/>
  <c r="K120" i="32"/>
  <c r="H120" i="32"/>
  <c r="J121" i="32"/>
  <c r="K121" i="32"/>
  <c r="G121" i="32"/>
  <c r="H121" i="32"/>
  <c r="K122" i="32"/>
  <c r="H122" i="32"/>
  <c r="G122" i="32"/>
  <c r="J122" i="32"/>
  <c r="G117" i="32"/>
  <c r="J117" i="32"/>
  <c r="K117" i="32"/>
  <c r="H117" i="32"/>
  <c r="H123" i="32"/>
  <c r="J123" i="32"/>
  <c r="K123" i="32"/>
  <c r="G123" i="32"/>
  <c r="M203" i="32"/>
  <c r="U203" i="32"/>
  <c r="M81" i="32"/>
  <c r="U81" i="32"/>
  <c r="M208" i="32"/>
  <c r="U208" i="32"/>
  <c r="M204" i="32"/>
  <c r="U204" i="32"/>
  <c r="J124" i="32"/>
  <c r="H124" i="32"/>
  <c r="G124" i="32"/>
  <c r="K124" i="32"/>
  <c r="G119" i="32"/>
  <c r="J119" i="32"/>
  <c r="K119" i="32"/>
  <c r="H119" i="32"/>
  <c r="G118" i="32"/>
  <c r="K118" i="32"/>
  <c r="H118" i="32"/>
  <c r="J118" i="32"/>
  <c r="D28" i="32"/>
  <c r="C242" i="32"/>
  <c r="C241" i="32"/>
  <c r="C240" i="32"/>
  <c r="C239" i="32"/>
  <c r="C238" i="32"/>
  <c r="C237" i="32"/>
  <c r="C236" i="32"/>
  <c r="C235" i="32"/>
  <c r="C234" i="32"/>
  <c r="C233" i="32"/>
  <c r="C232" i="32"/>
  <c r="C231" i="32"/>
  <c r="C230" i="32"/>
  <c r="C229" i="32"/>
  <c r="C228" i="32"/>
  <c r="C227" i="32"/>
  <c r="C226" i="32"/>
  <c r="C225" i="32"/>
  <c r="C224" i="32"/>
  <c r="C223" i="32"/>
  <c r="C222" i="32"/>
  <c r="C221" i="32"/>
  <c r="C220" i="32"/>
  <c r="C219" i="32"/>
  <c r="C218" i="32"/>
  <c r="C217" i="32"/>
  <c r="C216" i="32"/>
  <c r="C215" i="32"/>
  <c r="B242" i="32"/>
  <c r="B241" i="32"/>
  <c r="B240" i="32"/>
  <c r="B239" i="32"/>
  <c r="B238" i="32"/>
  <c r="B237" i="32"/>
  <c r="B236" i="32"/>
  <c r="B235" i="32"/>
  <c r="B234" i="32"/>
  <c r="B233" i="32"/>
  <c r="B232" i="32"/>
  <c r="B231" i="32"/>
  <c r="B230" i="32"/>
  <c r="B229" i="32"/>
  <c r="B228" i="32"/>
  <c r="B227" i="32"/>
  <c r="B226" i="32"/>
  <c r="B225" i="32"/>
  <c r="B224" i="32"/>
  <c r="B223" i="32"/>
  <c r="B222" i="32"/>
  <c r="B221" i="32"/>
  <c r="B220" i="32"/>
  <c r="B219" i="32"/>
  <c r="B218" i="32"/>
  <c r="B217" i="32"/>
  <c r="B216" i="32"/>
  <c r="B215" i="32"/>
  <c r="B196" i="32"/>
  <c r="D196" i="32"/>
  <c r="B154" i="32"/>
  <c r="D154" i="32"/>
  <c r="B112" i="32"/>
  <c r="D112" i="32"/>
  <c r="F112" i="32"/>
  <c r="B70" i="32"/>
  <c r="D70" i="32"/>
  <c r="B28" i="32"/>
  <c r="N640" i="8"/>
  <c r="Q640" i="8"/>
  <c r="P651" i="8"/>
  <c r="L154" i="32"/>
  <c r="H154" i="32"/>
  <c r="I154" i="32"/>
  <c r="G154" i="32"/>
  <c r="K154" i="32"/>
  <c r="J154" i="32"/>
  <c r="F154" i="32"/>
  <c r="E154" i="32"/>
  <c r="L196" i="32"/>
  <c r="H196" i="32"/>
  <c r="I196" i="32"/>
  <c r="F196" i="32"/>
  <c r="E196" i="32"/>
  <c r="G196" i="32"/>
  <c r="K196" i="32"/>
  <c r="J196" i="32"/>
  <c r="H70" i="32"/>
  <c r="I70" i="32"/>
  <c r="J70" i="32"/>
  <c r="G70" i="32"/>
  <c r="K70" i="32"/>
  <c r="F70" i="32"/>
  <c r="E70" i="32"/>
  <c r="L70" i="32"/>
  <c r="L28" i="32"/>
  <c r="K28" i="32"/>
  <c r="J28" i="32"/>
  <c r="H28" i="32"/>
  <c r="I28" i="32"/>
  <c r="F28" i="32"/>
  <c r="E28" i="32"/>
  <c r="G28" i="32"/>
  <c r="G220" i="8"/>
  <c r="F220" i="8"/>
  <c r="I231" i="8"/>
  <c r="M118" i="32"/>
  <c r="L123" i="32"/>
  <c r="L122" i="32"/>
  <c r="M122" i="32"/>
  <c r="L120" i="32"/>
  <c r="L121" i="32"/>
  <c r="L119" i="32"/>
  <c r="M123" i="32"/>
  <c r="M117" i="32"/>
  <c r="M121" i="32"/>
  <c r="L118" i="32"/>
  <c r="L124" i="32"/>
  <c r="L117" i="32"/>
  <c r="M119" i="32"/>
  <c r="M124" i="32"/>
  <c r="M120" i="32"/>
  <c r="BY799" i="2"/>
  <c r="C214" i="32"/>
  <c r="B214" i="32"/>
  <c r="D200" i="32"/>
  <c r="B200" i="32"/>
  <c r="D199" i="32"/>
  <c r="B199" i="32"/>
  <c r="D198" i="32"/>
  <c r="B198" i="32"/>
  <c r="D197" i="32"/>
  <c r="B197" i="32"/>
  <c r="D195" i="32"/>
  <c r="B195" i="32"/>
  <c r="D194" i="32"/>
  <c r="B194" i="32"/>
  <c r="D193" i="32"/>
  <c r="B193" i="32"/>
  <c r="D192" i="32"/>
  <c r="B192" i="32"/>
  <c r="D191" i="32"/>
  <c r="B191" i="32"/>
  <c r="D190" i="32"/>
  <c r="B190" i="32"/>
  <c r="D189" i="32"/>
  <c r="B189" i="32"/>
  <c r="D188" i="32"/>
  <c r="B188" i="32"/>
  <c r="D187" i="32"/>
  <c r="B187" i="32"/>
  <c r="D186" i="32"/>
  <c r="B186" i="32"/>
  <c r="D185" i="32"/>
  <c r="B185" i="32"/>
  <c r="D184" i="32"/>
  <c r="B184" i="32"/>
  <c r="D183" i="32"/>
  <c r="B183" i="32"/>
  <c r="D182" i="32"/>
  <c r="B182" i="32"/>
  <c r="D181" i="32"/>
  <c r="B181" i="32"/>
  <c r="D180" i="32"/>
  <c r="B180" i="32"/>
  <c r="D179" i="32"/>
  <c r="B179" i="32"/>
  <c r="D178" i="32"/>
  <c r="B178" i="32"/>
  <c r="D177" i="32"/>
  <c r="B177" i="32"/>
  <c r="D176" i="32"/>
  <c r="B176" i="32"/>
  <c r="D175" i="32"/>
  <c r="B175" i="32"/>
  <c r="D174" i="32"/>
  <c r="B174" i="32"/>
  <c r="D173" i="32"/>
  <c r="B173" i="32"/>
  <c r="D158" i="32"/>
  <c r="B158" i="32"/>
  <c r="D157" i="32"/>
  <c r="B157" i="32"/>
  <c r="D156" i="32"/>
  <c r="B156" i="32"/>
  <c r="D155" i="32"/>
  <c r="B155" i="32"/>
  <c r="D153" i="32"/>
  <c r="B153" i="32"/>
  <c r="D152" i="32"/>
  <c r="B152" i="32"/>
  <c r="D151" i="32"/>
  <c r="B151" i="32"/>
  <c r="D150" i="32"/>
  <c r="B150" i="32"/>
  <c r="D149" i="32"/>
  <c r="B149" i="32"/>
  <c r="D148" i="32"/>
  <c r="B148" i="32"/>
  <c r="D147" i="32"/>
  <c r="B147" i="32"/>
  <c r="D146" i="32"/>
  <c r="B146" i="32"/>
  <c r="D145" i="32"/>
  <c r="B145" i="32"/>
  <c r="D144" i="32"/>
  <c r="B144" i="32"/>
  <c r="D143" i="32"/>
  <c r="B143" i="32"/>
  <c r="D142" i="32"/>
  <c r="B142" i="32"/>
  <c r="D141" i="32"/>
  <c r="B141" i="32"/>
  <c r="D140" i="32"/>
  <c r="B140" i="32"/>
  <c r="D139" i="32"/>
  <c r="B139" i="32"/>
  <c r="D138" i="32"/>
  <c r="B138" i="32"/>
  <c r="D137" i="32"/>
  <c r="B137" i="32"/>
  <c r="D136" i="32"/>
  <c r="B136" i="32"/>
  <c r="D135" i="32"/>
  <c r="B135" i="32"/>
  <c r="D134" i="32"/>
  <c r="B134" i="32"/>
  <c r="D133" i="32"/>
  <c r="B133" i="32"/>
  <c r="D132" i="32"/>
  <c r="B132" i="32"/>
  <c r="D131" i="32"/>
  <c r="B131" i="32"/>
  <c r="D116" i="32"/>
  <c r="F116" i="32"/>
  <c r="B116" i="32"/>
  <c r="D115" i="32"/>
  <c r="F115" i="32"/>
  <c r="B115" i="32"/>
  <c r="D114" i="32"/>
  <c r="F114" i="32"/>
  <c r="B114" i="32"/>
  <c r="D113" i="32"/>
  <c r="F113" i="32"/>
  <c r="B113" i="32"/>
  <c r="D111" i="32"/>
  <c r="F111" i="32"/>
  <c r="B111" i="32"/>
  <c r="D110" i="32"/>
  <c r="F110" i="32"/>
  <c r="B110" i="32"/>
  <c r="D109" i="32"/>
  <c r="F109" i="32"/>
  <c r="B109" i="32"/>
  <c r="D108" i="32"/>
  <c r="F108" i="32"/>
  <c r="B108" i="32"/>
  <c r="D107" i="32"/>
  <c r="F107" i="32"/>
  <c r="B107" i="32"/>
  <c r="D106" i="32"/>
  <c r="F106" i="32"/>
  <c r="B106" i="32"/>
  <c r="D105" i="32"/>
  <c r="F105" i="32"/>
  <c r="B105" i="32"/>
  <c r="D104" i="32"/>
  <c r="F104" i="32"/>
  <c r="B104" i="32"/>
  <c r="D103" i="32"/>
  <c r="F103" i="32"/>
  <c r="B103" i="32"/>
  <c r="D102" i="32"/>
  <c r="F102" i="32"/>
  <c r="B102" i="32"/>
  <c r="D101" i="32"/>
  <c r="F101" i="32"/>
  <c r="B101" i="32"/>
  <c r="D100" i="32"/>
  <c r="F100" i="32"/>
  <c r="B100" i="32"/>
  <c r="D99" i="32"/>
  <c r="F99" i="32"/>
  <c r="B99" i="32"/>
  <c r="D98" i="32"/>
  <c r="F98" i="32"/>
  <c r="B98" i="32"/>
  <c r="D97" i="32"/>
  <c r="F97" i="32"/>
  <c r="B97" i="32"/>
  <c r="D96" i="32"/>
  <c r="F96" i="32"/>
  <c r="B96" i="32"/>
  <c r="D95" i="32"/>
  <c r="F95" i="32"/>
  <c r="B95" i="32"/>
  <c r="D94" i="32"/>
  <c r="F94" i="32"/>
  <c r="B94" i="32"/>
  <c r="D93" i="32"/>
  <c r="F93" i="32"/>
  <c r="B93" i="32"/>
  <c r="D92" i="32"/>
  <c r="F92" i="32"/>
  <c r="B92" i="32"/>
  <c r="D91" i="32"/>
  <c r="F91" i="32"/>
  <c r="B91" i="32"/>
  <c r="D90" i="32"/>
  <c r="F90" i="32"/>
  <c r="B90" i="32"/>
  <c r="D89" i="32"/>
  <c r="F89" i="32"/>
  <c r="B89" i="32"/>
  <c r="T194" i="32"/>
  <c r="O194" i="32"/>
  <c r="N194" i="32"/>
  <c r="P194" i="32"/>
  <c r="Q194" i="32"/>
  <c r="R194" i="32"/>
  <c r="S194" i="32"/>
  <c r="T152" i="32"/>
  <c r="O152" i="32"/>
  <c r="N152" i="32"/>
  <c r="P152" i="32"/>
  <c r="Q152" i="32"/>
  <c r="R152" i="32"/>
  <c r="S152" i="32"/>
  <c r="T183" i="32"/>
  <c r="O183" i="32"/>
  <c r="Q183" i="32"/>
  <c r="P183" i="32"/>
  <c r="N183" i="32"/>
  <c r="R183" i="32"/>
  <c r="S183" i="32"/>
  <c r="T141" i="32"/>
  <c r="O141" i="32"/>
  <c r="Q141" i="32"/>
  <c r="P141" i="32"/>
  <c r="N141" i="32"/>
  <c r="R141" i="32"/>
  <c r="S141" i="32"/>
  <c r="T193" i="32"/>
  <c r="O193" i="32"/>
  <c r="P193" i="32"/>
  <c r="R193" i="32"/>
  <c r="S193" i="32"/>
  <c r="N193" i="32"/>
  <c r="Q193" i="32"/>
  <c r="T151" i="32"/>
  <c r="O151" i="32"/>
  <c r="S151" i="32"/>
  <c r="Q151" i="32"/>
  <c r="P151" i="32"/>
  <c r="R151" i="32"/>
  <c r="N151" i="32"/>
  <c r="T182" i="32"/>
  <c r="O182" i="32"/>
  <c r="S182" i="32"/>
  <c r="N182" i="32"/>
  <c r="P182" i="32"/>
  <c r="Q182" i="32"/>
  <c r="R182" i="32"/>
  <c r="T150" i="32"/>
  <c r="O150" i="32"/>
  <c r="N150" i="32"/>
  <c r="Q150" i="32"/>
  <c r="S150" i="32"/>
  <c r="P150" i="32"/>
  <c r="R150" i="32"/>
  <c r="T140" i="32"/>
  <c r="O140" i="32"/>
  <c r="S140" i="32"/>
  <c r="N140" i="32"/>
  <c r="R140" i="32"/>
  <c r="P140" i="32"/>
  <c r="Q140" i="32"/>
  <c r="T192" i="32"/>
  <c r="O192" i="32"/>
  <c r="R192" i="32"/>
  <c r="S192" i="32"/>
  <c r="P192" i="32"/>
  <c r="N192" i="32"/>
  <c r="Q192" i="32"/>
  <c r="I134" i="32"/>
  <c r="H134" i="32"/>
  <c r="L134" i="32"/>
  <c r="T138" i="32"/>
  <c r="O138" i="32"/>
  <c r="Q138" i="32"/>
  <c r="S138" i="32"/>
  <c r="N138" i="32"/>
  <c r="P138" i="32"/>
  <c r="R138" i="32"/>
  <c r="T146" i="32"/>
  <c r="O146" i="32"/>
  <c r="R146" i="32"/>
  <c r="N146" i="32"/>
  <c r="Q146" i="32"/>
  <c r="S146" i="32"/>
  <c r="P146" i="32"/>
  <c r="T155" i="32"/>
  <c r="O155" i="32"/>
  <c r="P155" i="32"/>
  <c r="R155" i="32"/>
  <c r="N155" i="32"/>
  <c r="Q155" i="32"/>
  <c r="S155" i="32"/>
  <c r="H173" i="32"/>
  <c r="L173" i="32"/>
  <c r="T177" i="32"/>
  <c r="O177" i="32"/>
  <c r="T181" i="32"/>
  <c r="O181" i="32"/>
  <c r="S181" i="32"/>
  <c r="P181" i="32"/>
  <c r="R181" i="32"/>
  <c r="N181" i="32"/>
  <c r="Q181" i="32"/>
  <c r="T189" i="32"/>
  <c r="O189" i="32"/>
  <c r="R189" i="32"/>
  <c r="P189" i="32"/>
  <c r="N189" i="32"/>
  <c r="Q189" i="32"/>
  <c r="S189" i="32"/>
  <c r="T198" i="32"/>
  <c r="O198" i="32"/>
  <c r="R198" i="32"/>
  <c r="N198" i="32"/>
  <c r="S198" i="32"/>
  <c r="Q198" i="32"/>
  <c r="P198" i="32"/>
  <c r="L131" i="32"/>
  <c r="H131" i="32"/>
  <c r="T135" i="32"/>
  <c r="O135" i="32"/>
  <c r="T139" i="32"/>
  <c r="O139" i="32"/>
  <c r="R139" i="32"/>
  <c r="Q139" i="32"/>
  <c r="S139" i="32"/>
  <c r="P139" i="32"/>
  <c r="N139" i="32"/>
  <c r="T147" i="32"/>
  <c r="O147" i="32"/>
  <c r="P147" i="32"/>
  <c r="R147" i="32"/>
  <c r="N147" i="32"/>
  <c r="Q147" i="32"/>
  <c r="S147" i="32"/>
  <c r="T156" i="32"/>
  <c r="O156" i="32"/>
  <c r="S156" i="32"/>
  <c r="P156" i="32"/>
  <c r="R156" i="32"/>
  <c r="N156" i="32"/>
  <c r="Q156" i="32"/>
  <c r="I174" i="32"/>
  <c r="H174" i="32"/>
  <c r="L174" i="32"/>
  <c r="T178" i="32"/>
  <c r="O178" i="32"/>
  <c r="P178" i="32"/>
  <c r="R178" i="32"/>
  <c r="N178" i="32"/>
  <c r="Q178" i="32"/>
  <c r="S178" i="32"/>
  <c r="T190" i="32"/>
  <c r="O190" i="32"/>
  <c r="R190" i="32"/>
  <c r="N190" i="32"/>
  <c r="Q190" i="32"/>
  <c r="P190" i="32"/>
  <c r="S190" i="32"/>
  <c r="T199" i="32"/>
  <c r="O199" i="32"/>
  <c r="P199" i="32"/>
  <c r="R199" i="32"/>
  <c r="N199" i="32"/>
  <c r="Q199" i="32"/>
  <c r="S199" i="32"/>
  <c r="T179" i="32"/>
  <c r="O179" i="32"/>
  <c r="T187" i="32"/>
  <c r="O187" i="32"/>
  <c r="T191" i="32"/>
  <c r="O191" i="32"/>
  <c r="P191" i="32"/>
  <c r="R191" i="32"/>
  <c r="N191" i="32"/>
  <c r="Q191" i="32"/>
  <c r="S191" i="32"/>
  <c r="T200" i="32"/>
  <c r="O200" i="32"/>
  <c r="S200" i="32"/>
  <c r="P200" i="32"/>
  <c r="R200" i="32"/>
  <c r="N200" i="32"/>
  <c r="Q200" i="32"/>
  <c r="I132" i="32"/>
  <c r="H132" i="32"/>
  <c r="L132" i="32"/>
  <c r="T136" i="32"/>
  <c r="O136" i="32"/>
  <c r="S136" i="32"/>
  <c r="P136" i="32"/>
  <c r="R136" i="32"/>
  <c r="N136" i="32"/>
  <c r="Q136" i="32"/>
  <c r="T148" i="32"/>
  <c r="O148" i="32"/>
  <c r="S148" i="32"/>
  <c r="P148" i="32"/>
  <c r="Q148" i="32"/>
  <c r="R148" i="32"/>
  <c r="N148" i="32"/>
  <c r="T157" i="32"/>
  <c r="O157" i="32"/>
  <c r="S157" i="32"/>
  <c r="P157" i="32"/>
  <c r="R157" i="32"/>
  <c r="N157" i="32"/>
  <c r="Q157" i="32"/>
  <c r="I175" i="32"/>
  <c r="L175" i="32"/>
  <c r="H175" i="32"/>
  <c r="I133" i="32"/>
  <c r="L133" i="32"/>
  <c r="H133" i="32"/>
  <c r="T137" i="32"/>
  <c r="O137" i="32"/>
  <c r="T145" i="32"/>
  <c r="O145" i="32"/>
  <c r="T149" i="32"/>
  <c r="O149" i="32"/>
  <c r="S149" i="32"/>
  <c r="P149" i="32"/>
  <c r="R149" i="32"/>
  <c r="N149" i="32"/>
  <c r="Q149" i="32"/>
  <c r="T158" i="32"/>
  <c r="O158" i="32"/>
  <c r="Q158" i="32"/>
  <c r="S158" i="32"/>
  <c r="P158" i="32"/>
  <c r="R158" i="32"/>
  <c r="N158" i="32"/>
  <c r="I176" i="32"/>
  <c r="L176" i="32"/>
  <c r="H176" i="32"/>
  <c r="T180" i="32"/>
  <c r="O180" i="32"/>
  <c r="S180" i="32"/>
  <c r="P180" i="32"/>
  <c r="R180" i="32"/>
  <c r="N180" i="32"/>
  <c r="Q180" i="32"/>
  <c r="T188" i="32"/>
  <c r="O188" i="32"/>
  <c r="N188" i="32"/>
  <c r="Q188" i="32"/>
  <c r="S188" i="32"/>
  <c r="P188" i="32"/>
  <c r="R188" i="32"/>
  <c r="T197" i="32"/>
  <c r="O197" i="32"/>
  <c r="R197" i="32"/>
  <c r="N197" i="32"/>
  <c r="Q197" i="32"/>
  <c r="P197" i="32"/>
  <c r="S197" i="32"/>
  <c r="M154" i="32"/>
  <c r="U154" i="32"/>
  <c r="H158" i="32"/>
  <c r="L158" i="32"/>
  <c r="I158" i="32"/>
  <c r="K158" i="32"/>
  <c r="G158" i="32"/>
  <c r="E158" i="32"/>
  <c r="J158" i="32"/>
  <c r="F158" i="32"/>
  <c r="H197" i="32"/>
  <c r="L197" i="32"/>
  <c r="I197" i="32"/>
  <c r="K197" i="32"/>
  <c r="G197" i="32"/>
  <c r="E197" i="32"/>
  <c r="J197" i="32"/>
  <c r="F197" i="32"/>
  <c r="H157" i="32"/>
  <c r="L157" i="32"/>
  <c r="I157" i="32"/>
  <c r="K157" i="32"/>
  <c r="G157" i="32"/>
  <c r="E157" i="32"/>
  <c r="J157" i="32"/>
  <c r="F157" i="32"/>
  <c r="H200" i="32"/>
  <c r="L200" i="32"/>
  <c r="I200" i="32"/>
  <c r="J200" i="32"/>
  <c r="F200" i="32"/>
  <c r="K200" i="32"/>
  <c r="G200" i="32"/>
  <c r="E200" i="32"/>
  <c r="L155" i="32"/>
  <c r="H155" i="32"/>
  <c r="I155" i="32"/>
  <c r="K155" i="32"/>
  <c r="G155" i="32"/>
  <c r="E155" i="32"/>
  <c r="J155" i="32"/>
  <c r="F155" i="32"/>
  <c r="H198" i="32"/>
  <c r="L198" i="32"/>
  <c r="I198" i="32"/>
  <c r="K198" i="32"/>
  <c r="G198" i="32"/>
  <c r="E198" i="32"/>
  <c r="J198" i="32"/>
  <c r="F198" i="32"/>
  <c r="L156" i="32"/>
  <c r="H156" i="32"/>
  <c r="I156" i="32"/>
  <c r="K156" i="32"/>
  <c r="G156" i="32"/>
  <c r="E156" i="32"/>
  <c r="J156" i="32"/>
  <c r="F156" i="32"/>
  <c r="H199" i="32"/>
  <c r="L199" i="32"/>
  <c r="I199" i="32"/>
  <c r="K199" i="32"/>
  <c r="G199" i="32"/>
  <c r="E199" i="32"/>
  <c r="J199" i="32"/>
  <c r="F199" i="32"/>
  <c r="M28" i="32"/>
  <c r="U28" i="32"/>
  <c r="L153" i="32"/>
  <c r="H153" i="32"/>
  <c r="I153" i="32"/>
  <c r="K153" i="32"/>
  <c r="J153" i="32"/>
  <c r="G153" i="32"/>
  <c r="F153" i="32"/>
  <c r="E153" i="32"/>
  <c r="H192" i="32"/>
  <c r="L192" i="32"/>
  <c r="I192" i="32"/>
  <c r="K192" i="32"/>
  <c r="F192" i="32"/>
  <c r="J192" i="32"/>
  <c r="G192" i="32"/>
  <c r="E192" i="32"/>
  <c r="H150" i="32"/>
  <c r="L150" i="32"/>
  <c r="I150" i="32"/>
  <c r="G150" i="32"/>
  <c r="F150" i="32"/>
  <c r="E150" i="32"/>
  <c r="J150" i="32"/>
  <c r="K150" i="32"/>
  <c r="H193" i="32"/>
  <c r="L193" i="32"/>
  <c r="I193" i="32"/>
  <c r="K193" i="32"/>
  <c r="G193" i="32"/>
  <c r="J193" i="32"/>
  <c r="F193" i="32"/>
  <c r="E193" i="32"/>
  <c r="L195" i="32"/>
  <c r="H195" i="32"/>
  <c r="I195" i="32"/>
  <c r="E195" i="32"/>
  <c r="F195" i="32"/>
  <c r="K195" i="32"/>
  <c r="J195" i="32"/>
  <c r="G195" i="32"/>
  <c r="H151" i="32"/>
  <c r="L151" i="32"/>
  <c r="I151" i="32"/>
  <c r="J151" i="32"/>
  <c r="G151" i="32"/>
  <c r="F151" i="32"/>
  <c r="K151" i="32"/>
  <c r="E151" i="32"/>
  <c r="L194" i="32"/>
  <c r="H194" i="32"/>
  <c r="I194" i="32"/>
  <c r="J194" i="32"/>
  <c r="K194" i="32"/>
  <c r="E194" i="32"/>
  <c r="G194" i="32"/>
  <c r="F194" i="32"/>
  <c r="H152" i="32"/>
  <c r="L152" i="32"/>
  <c r="I152" i="32"/>
  <c r="K152" i="32"/>
  <c r="J152" i="32"/>
  <c r="E152" i="32"/>
  <c r="G152" i="32"/>
  <c r="F152" i="32"/>
  <c r="L137" i="32"/>
  <c r="H137" i="32"/>
  <c r="I180" i="32"/>
  <c r="H180" i="32"/>
  <c r="L180" i="32"/>
  <c r="I138" i="32"/>
  <c r="L138" i="32"/>
  <c r="H138" i="32"/>
  <c r="H177" i="32"/>
  <c r="L177" i="32"/>
  <c r="I181" i="32"/>
  <c r="H181" i="32"/>
  <c r="L181" i="32"/>
  <c r="H135" i="32"/>
  <c r="L135" i="32"/>
  <c r="I139" i="32"/>
  <c r="L139" i="32"/>
  <c r="H139" i="32"/>
  <c r="I178" i="32"/>
  <c r="H178" i="32"/>
  <c r="L178" i="32"/>
  <c r="I136" i="32"/>
  <c r="H136" i="32"/>
  <c r="L136" i="32"/>
  <c r="H179" i="32"/>
  <c r="L179" i="32"/>
  <c r="H142" i="32"/>
  <c r="L142" i="32"/>
  <c r="L146" i="32"/>
  <c r="H146" i="32"/>
  <c r="I146" i="32"/>
  <c r="G146" i="32"/>
  <c r="J146" i="32"/>
  <c r="F146" i="32"/>
  <c r="K146" i="32"/>
  <c r="E146" i="32"/>
  <c r="L185" i="32"/>
  <c r="H185" i="32"/>
  <c r="H189" i="32"/>
  <c r="L189" i="32"/>
  <c r="I189" i="32"/>
  <c r="J189" i="32"/>
  <c r="K189" i="32"/>
  <c r="E189" i="32"/>
  <c r="F189" i="32"/>
  <c r="G189" i="32"/>
  <c r="H143" i="32"/>
  <c r="L143" i="32"/>
  <c r="H147" i="32"/>
  <c r="L147" i="32"/>
  <c r="I147" i="32"/>
  <c r="G147" i="32"/>
  <c r="J147" i="32"/>
  <c r="K147" i="32"/>
  <c r="E147" i="32"/>
  <c r="F147" i="32"/>
  <c r="I182" i="32"/>
  <c r="L182" i="32"/>
  <c r="H182" i="32"/>
  <c r="H186" i="32"/>
  <c r="L186" i="32"/>
  <c r="H190" i="32"/>
  <c r="L190" i="32"/>
  <c r="I190" i="32"/>
  <c r="G190" i="32"/>
  <c r="F190" i="32"/>
  <c r="J190" i="32"/>
  <c r="K190" i="32"/>
  <c r="E190" i="32"/>
  <c r="I141" i="32"/>
  <c r="L141" i="32"/>
  <c r="H141" i="32"/>
  <c r="L145" i="32"/>
  <c r="H145" i="32"/>
  <c r="I145" i="32"/>
  <c r="J145" i="32"/>
  <c r="K145" i="32"/>
  <c r="E145" i="32"/>
  <c r="G145" i="32"/>
  <c r="F145" i="32"/>
  <c r="L149" i="32"/>
  <c r="H149" i="32"/>
  <c r="I149" i="32"/>
  <c r="F149" i="32"/>
  <c r="G149" i="32"/>
  <c r="J149" i="32"/>
  <c r="K149" i="32"/>
  <c r="E149" i="32"/>
  <c r="L184" i="32"/>
  <c r="H184" i="32"/>
  <c r="L188" i="32"/>
  <c r="H188" i="32"/>
  <c r="I188" i="32"/>
  <c r="J188" i="32"/>
  <c r="K188" i="32"/>
  <c r="E188" i="32"/>
  <c r="G188" i="32"/>
  <c r="F188" i="32"/>
  <c r="I140" i="32"/>
  <c r="H140" i="32"/>
  <c r="L140" i="32"/>
  <c r="H144" i="32"/>
  <c r="L144" i="32"/>
  <c r="H148" i="32"/>
  <c r="L148" i="32"/>
  <c r="I148" i="32"/>
  <c r="F148" i="32"/>
  <c r="K148" i="32"/>
  <c r="G148" i="32"/>
  <c r="E148" i="32"/>
  <c r="J148" i="32"/>
  <c r="I183" i="32"/>
  <c r="L183" i="32"/>
  <c r="H183" i="32"/>
  <c r="H187" i="32"/>
  <c r="L187" i="32"/>
  <c r="I187" i="32"/>
  <c r="K187" i="32"/>
  <c r="E187" i="32"/>
  <c r="G187" i="32"/>
  <c r="F187" i="32"/>
  <c r="J187" i="32"/>
  <c r="L191" i="32"/>
  <c r="H191" i="32"/>
  <c r="I191" i="32"/>
  <c r="G191" i="32"/>
  <c r="J191" i="32"/>
  <c r="K191" i="32"/>
  <c r="E191" i="32"/>
  <c r="F191" i="32"/>
  <c r="I184" i="32"/>
  <c r="F184" i="32"/>
  <c r="G184" i="32"/>
  <c r="J184" i="32"/>
  <c r="K184" i="32"/>
  <c r="E184" i="32"/>
  <c r="I142" i="32"/>
  <c r="G142" i="32"/>
  <c r="J142" i="32"/>
  <c r="K142" i="32"/>
  <c r="F142" i="32"/>
  <c r="E142" i="32"/>
  <c r="I185" i="32"/>
  <c r="K185" i="32"/>
  <c r="J185" i="32"/>
  <c r="G185" i="32"/>
  <c r="F185" i="32"/>
  <c r="E185" i="32"/>
  <c r="I143" i="32"/>
  <c r="K143" i="32"/>
  <c r="J143" i="32"/>
  <c r="G143" i="32"/>
  <c r="F143" i="32"/>
  <c r="E143" i="32"/>
  <c r="I173" i="32"/>
  <c r="K173" i="32"/>
  <c r="E173" i="32"/>
  <c r="J173" i="32"/>
  <c r="G173" i="32"/>
  <c r="F173" i="32"/>
  <c r="I131" i="32"/>
  <c r="F131" i="32"/>
  <c r="E131" i="32"/>
  <c r="K131" i="32"/>
  <c r="J131" i="32"/>
  <c r="G131" i="32"/>
  <c r="I137" i="32"/>
  <c r="E137" i="32"/>
  <c r="K137" i="32"/>
  <c r="F137" i="32"/>
  <c r="G137" i="32"/>
  <c r="J137" i="32"/>
  <c r="I179" i="32"/>
  <c r="F179" i="32"/>
  <c r="K179" i="32"/>
  <c r="E179" i="32"/>
  <c r="G179" i="32"/>
  <c r="J179" i="32"/>
  <c r="I177" i="32"/>
  <c r="E177" i="32"/>
  <c r="G177" i="32"/>
  <c r="K177" i="32"/>
  <c r="F177" i="32"/>
  <c r="J177" i="32"/>
  <c r="I135" i="32"/>
  <c r="K135" i="32"/>
  <c r="F135" i="32"/>
  <c r="J135" i="32"/>
  <c r="E135" i="32"/>
  <c r="G135" i="32"/>
  <c r="I186" i="32"/>
  <c r="K186" i="32"/>
  <c r="G186" i="32"/>
  <c r="E186" i="32"/>
  <c r="J186" i="32"/>
  <c r="F186" i="32"/>
  <c r="I144" i="32"/>
  <c r="E144" i="32"/>
  <c r="K144" i="32"/>
  <c r="G144" i="32"/>
  <c r="J144" i="32"/>
  <c r="F144" i="32"/>
  <c r="S134" i="32"/>
  <c r="Q134" i="32"/>
  <c r="R134" i="32"/>
  <c r="P134" i="32"/>
  <c r="N134" i="32"/>
  <c r="K138" i="32"/>
  <c r="F138" i="32"/>
  <c r="J138" i="32"/>
  <c r="G138" i="32"/>
  <c r="E138" i="32"/>
  <c r="G175" i="32"/>
  <c r="J175" i="32"/>
  <c r="E175" i="32"/>
  <c r="K175" i="32"/>
  <c r="F175" i="32"/>
  <c r="E133" i="32"/>
  <c r="J133" i="32"/>
  <c r="G133" i="32"/>
  <c r="K133" i="32"/>
  <c r="F133" i="32"/>
  <c r="R176" i="32"/>
  <c r="P176" i="32"/>
  <c r="N176" i="32"/>
  <c r="S176" i="32"/>
  <c r="Q176" i="32"/>
  <c r="F180" i="32"/>
  <c r="G180" i="32"/>
  <c r="J180" i="32"/>
  <c r="E180" i="32"/>
  <c r="K180" i="32"/>
  <c r="K181" i="32"/>
  <c r="E181" i="32"/>
  <c r="F181" i="32"/>
  <c r="G181" i="32"/>
  <c r="J181" i="32"/>
  <c r="E139" i="32"/>
  <c r="F139" i="32"/>
  <c r="G139" i="32"/>
  <c r="J139" i="32"/>
  <c r="K139" i="32"/>
  <c r="K182" i="32"/>
  <c r="J182" i="32"/>
  <c r="G182" i="32"/>
  <c r="F182" i="32"/>
  <c r="E182" i="32"/>
  <c r="E140" i="32"/>
  <c r="K140" i="32"/>
  <c r="J140" i="32"/>
  <c r="G140" i="32"/>
  <c r="F140" i="32"/>
  <c r="K183" i="32"/>
  <c r="J183" i="32"/>
  <c r="G183" i="32"/>
  <c r="F183" i="32"/>
  <c r="E183" i="32"/>
  <c r="G141" i="32"/>
  <c r="F141" i="32"/>
  <c r="E141" i="32"/>
  <c r="K141" i="32"/>
  <c r="J141" i="32"/>
  <c r="R142" i="32"/>
  <c r="P142" i="32"/>
  <c r="S142" i="32"/>
  <c r="N142" i="32"/>
  <c r="Q142" i="32"/>
  <c r="N184" i="32"/>
  <c r="Q184" i="32"/>
  <c r="R184" i="32"/>
  <c r="P184" i="32"/>
  <c r="S184" i="32"/>
  <c r="Q185" i="32"/>
  <c r="R185" i="32"/>
  <c r="N185" i="32"/>
  <c r="S185" i="32"/>
  <c r="P185" i="32"/>
  <c r="P143" i="32"/>
  <c r="Q143" i="32"/>
  <c r="R143" i="32"/>
  <c r="N143" i="32"/>
  <c r="S143" i="32"/>
  <c r="P186" i="32"/>
  <c r="N186" i="32"/>
  <c r="Q186" i="32"/>
  <c r="R186" i="32"/>
  <c r="S186" i="32"/>
  <c r="P144" i="32"/>
  <c r="Q144" i="32"/>
  <c r="R144" i="32"/>
  <c r="S144" i="32"/>
  <c r="N144" i="32"/>
  <c r="S187" i="32"/>
  <c r="R187" i="32"/>
  <c r="Q187" i="32"/>
  <c r="P187" i="32"/>
  <c r="N187" i="32"/>
  <c r="P145" i="32"/>
  <c r="Q145" i="32"/>
  <c r="R145" i="32"/>
  <c r="N145" i="32"/>
  <c r="S145" i="32"/>
  <c r="S132" i="32"/>
  <c r="R132" i="32"/>
  <c r="Q132" i="32"/>
  <c r="P132" i="32"/>
  <c r="N132" i="32"/>
  <c r="Q174" i="32"/>
  <c r="P174" i="32"/>
  <c r="N174" i="32"/>
  <c r="S174" i="32"/>
  <c r="R174" i="32"/>
  <c r="R137" i="32"/>
  <c r="S137" i="32"/>
  <c r="P137" i="32"/>
  <c r="N137" i="32"/>
  <c r="Q137" i="32"/>
  <c r="N179" i="32"/>
  <c r="P179" i="32"/>
  <c r="S179" i="32"/>
  <c r="Q179" i="32"/>
  <c r="R179" i="32"/>
  <c r="G178" i="32"/>
  <c r="F178" i="32"/>
  <c r="E178" i="32"/>
  <c r="J178" i="32"/>
  <c r="K178" i="32"/>
  <c r="F136" i="32"/>
  <c r="J136" i="32"/>
  <c r="K136" i="32"/>
  <c r="E136" i="32"/>
  <c r="G136" i="32"/>
  <c r="Q177" i="32"/>
  <c r="S177" i="32"/>
  <c r="N177" i="32"/>
  <c r="R177" i="32"/>
  <c r="P177" i="32"/>
  <c r="S135" i="32"/>
  <c r="N135" i="32"/>
  <c r="Q135" i="32"/>
  <c r="R135" i="32"/>
  <c r="P135" i="32"/>
  <c r="E176" i="32"/>
  <c r="J176" i="32"/>
  <c r="F176" i="32"/>
  <c r="G176" i="32"/>
  <c r="K176" i="32"/>
  <c r="J134" i="32"/>
  <c r="G134" i="32"/>
  <c r="K134" i="32"/>
  <c r="E134" i="32"/>
  <c r="F134" i="32"/>
  <c r="Q133" i="32"/>
  <c r="S133" i="32"/>
  <c r="N133" i="32"/>
  <c r="P133" i="32"/>
  <c r="R133" i="32"/>
  <c r="P175" i="32"/>
  <c r="Q175" i="32"/>
  <c r="S175" i="32"/>
  <c r="N175" i="32"/>
  <c r="R175" i="32"/>
  <c r="K174" i="32"/>
  <c r="G174" i="32"/>
  <c r="E174" i="32"/>
  <c r="J174" i="32"/>
  <c r="F174" i="32"/>
  <c r="E132" i="32"/>
  <c r="J132" i="32"/>
  <c r="K132" i="32"/>
  <c r="G132" i="32"/>
  <c r="F132" i="32"/>
  <c r="P173" i="32"/>
  <c r="S173" i="32"/>
  <c r="N173" i="32"/>
  <c r="R173" i="32"/>
  <c r="Q173" i="32"/>
  <c r="R131" i="32"/>
  <c r="S131" i="32"/>
  <c r="N131" i="32"/>
  <c r="Q131" i="32"/>
  <c r="P131" i="32"/>
  <c r="N118" i="32"/>
  <c r="N123" i="32"/>
  <c r="N121" i="32"/>
  <c r="N120" i="32"/>
  <c r="N117" i="32"/>
  <c r="N119" i="32"/>
  <c r="N124" i="32"/>
  <c r="N122" i="32"/>
  <c r="D74" i="32"/>
  <c r="D73" i="32"/>
  <c r="D72" i="32"/>
  <c r="D71" i="32"/>
  <c r="D69" i="32"/>
  <c r="D68" i="32"/>
  <c r="D67" i="32"/>
  <c r="D66" i="32"/>
  <c r="D65" i="32"/>
  <c r="D64" i="32"/>
  <c r="D63" i="32"/>
  <c r="D62" i="32"/>
  <c r="D61" i="32"/>
  <c r="D60" i="32"/>
  <c r="D59" i="32"/>
  <c r="D58" i="32"/>
  <c r="D57" i="32"/>
  <c r="D56" i="32"/>
  <c r="D55" i="32"/>
  <c r="D54" i="32"/>
  <c r="D53" i="32"/>
  <c r="D52" i="32"/>
  <c r="D51" i="32"/>
  <c r="D50" i="32"/>
  <c r="D49" i="32"/>
  <c r="D48" i="32"/>
  <c r="D47" i="32"/>
  <c r="H47" i="32"/>
  <c r="B74" i="32"/>
  <c r="B73" i="32"/>
  <c r="B72" i="32"/>
  <c r="B71" i="32"/>
  <c r="B69" i="32"/>
  <c r="B68" i="32"/>
  <c r="B67" i="32"/>
  <c r="B66" i="32"/>
  <c r="B65" i="32"/>
  <c r="B64" i="32"/>
  <c r="B63" i="32"/>
  <c r="B62" i="32"/>
  <c r="B61" i="32"/>
  <c r="B60" i="32"/>
  <c r="B59" i="32"/>
  <c r="B58" i="32"/>
  <c r="B57" i="32"/>
  <c r="B56" i="32"/>
  <c r="B55" i="32"/>
  <c r="B54" i="32"/>
  <c r="B53" i="32"/>
  <c r="B52" i="32"/>
  <c r="B51" i="32"/>
  <c r="B50" i="32"/>
  <c r="B49" i="32"/>
  <c r="B48" i="32"/>
  <c r="B47" i="32"/>
  <c r="D32" i="32"/>
  <c r="D31" i="32"/>
  <c r="D30" i="32"/>
  <c r="D29" i="32"/>
  <c r="D27" i="32"/>
  <c r="D26" i="32"/>
  <c r="D25" i="32"/>
  <c r="D24" i="32"/>
  <c r="D23" i="32"/>
  <c r="D22" i="32"/>
  <c r="D21" i="32"/>
  <c r="D20" i="32"/>
  <c r="D19" i="32"/>
  <c r="D18" i="32"/>
  <c r="H18" i="32"/>
  <c r="D17" i="32"/>
  <c r="H17" i="32"/>
  <c r="D16" i="32"/>
  <c r="H16" i="32"/>
  <c r="D15" i="32"/>
  <c r="D14" i="32"/>
  <c r="D13" i="32"/>
  <c r="D12" i="32"/>
  <c r="D11" i="32"/>
  <c r="D10" i="32"/>
  <c r="D9" i="32"/>
  <c r="D8" i="32"/>
  <c r="H8" i="32"/>
  <c r="D7" i="32"/>
  <c r="H7" i="32"/>
  <c r="D6" i="32"/>
  <c r="H6" i="32"/>
  <c r="D5" i="32"/>
  <c r="H5" i="32"/>
  <c r="B32" i="32"/>
  <c r="B31" i="32"/>
  <c r="B30" i="32"/>
  <c r="B29" i="32"/>
  <c r="B27" i="32"/>
  <c r="B26" i="32"/>
  <c r="B25" i="32"/>
  <c r="B24" i="32"/>
  <c r="B23" i="32"/>
  <c r="B22" i="32"/>
  <c r="B21" i="32"/>
  <c r="B20" i="32"/>
  <c r="B19" i="32"/>
  <c r="B18" i="32"/>
  <c r="B17" i="32"/>
  <c r="B16" i="32"/>
  <c r="B15" i="32"/>
  <c r="B14" i="32"/>
  <c r="B13" i="32"/>
  <c r="B12" i="32"/>
  <c r="B11" i="32"/>
  <c r="B10" i="32"/>
  <c r="B9" i="32"/>
  <c r="B8" i="32"/>
  <c r="B7" i="32"/>
  <c r="B6" i="32"/>
  <c r="B5" i="32"/>
  <c r="T68" i="32"/>
  <c r="O68" i="32"/>
  <c r="R68" i="32"/>
  <c r="S68" i="32"/>
  <c r="N68" i="32"/>
  <c r="P68" i="32"/>
  <c r="Q68" i="32"/>
  <c r="T26" i="32"/>
  <c r="Q26" i="32"/>
  <c r="S26" i="32"/>
  <c r="P26" i="32"/>
  <c r="O26" i="32"/>
  <c r="N26" i="32"/>
  <c r="R26" i="32"/>
  <c r="T57" i="32"/>
  <c r="O57" i="32"/>
  <c r="P57" i="32"/>
  <c r="N57" i="32"/>
  <c r="Q57" i="32"/>
  <c r="R57" i="32"/>
  <c r="S57" i="32"/>
  <c r="H15" i="32"/>
  <c r="Q15" i="32"/>
  <c r="T15" i="32"/>
  <c r="S15" i="32"/>
  <c r="R15" i="32"/>
  <c r="P15" i="32"/>
  <c r="O15" i="32"/>
  <c r="N15" i="32"/>
  <c r="T67" i="32"/>
  <c r="O67" i="32"/>
  <c r="Q67" i="32"/>
  <c r="S67" i="32"/>
  <c r="P67" i="32"/>
  <c r="N67" i="32"/>
  <c r="R67" i="32"/>
  <c r="O25" i="32"/>
  <c r="T25" i="32"/>
  <c r="N25" i="32"/>
  <c r="S25" i="32"/>
  <c r="R25" i="32"/>
  <c r="Q25" i="32"/>
  <c r="P25" i="32"/>
  <c r="O24" i="32"/>
  <c r="N24" i="32"/>
  <c r="T24" i="32"/>
  <c r="P24" i="32"/>
  <c r="S24" i="32"/>
  <c r="R24" i="32"/>
  <c r="Q24" i="32"/>
  <c r="T56" i="32"/>
  <c r="O56" i="32"/>
  <c r="Q56" i="32"/>
  <c r="P56" i="32"/>
  <c r="R56" i="32"/>
  <c r="N56" i="32"/>
  <c r="S56" i="32"/>
  <c r="H14" i="32"/>
  <c r="N14" i="32"/>
  <c r="S14" i="32"/>
  <c r="R14" i="32"/>
  <c r="Q14" i="32"/>
  <c r="P14" i="32"/>
  <c r="T14" i="32"/>
  <c r="O14" i="32"/>
  <c r="T66" i="32"/>
  <c r="O66" i="32"/>
  <c r="N66" i="32"/>
  <c r="S66" i="32"/>
  <c r="P66" i="32"/>
  <c r="Q66" i="32"/>
  <c r="R66" i="32"/>
  <c r="T71" i="32"/>
  <c r="O71" i="32"/>
  <c r="S71" i="32"/>
  <c r="P71" i="32"/>
  <c r="R71" i="32"/>
  <c r="N71" i="32"/>
  <c r="Q71" i="32"/>
  <c r="I49" i="32"/>
  <c r="H49" i="32"/>
  <c r="T74" i="32"/>
  <c r="O74" i="32"/>
  <c r="Q74" i="32"/>
  <c r="S74" i="32"/>
  <c r="P74" i="32"/>
  <c r="R74" i="32"/>
  <c r="N74" i="32"/>
  <c r="Q32" i="32"/>
  <c r="P32" i="32"/>
  <c r="S32" i="32"/>
  <c r="T32" i="32"/>
  <c r="N32" i="32"/>
  <c r="R32" i="32"/>
  <c r="O32" i="32"/>
  <c r="H9" i="32"/>
  <c r="N9" i="32"/>
  <c r="R9" i="32"/>
  <c r="P9" i="32"/>
  <c r="T9" i="32"/>
  <c r="S9" i="32"/>
  <c r="Q9" i="32"/>
  <c r="O9" i="32"/>
  <c r="H53" i="32"/>
  <c r="T53" i="32"/>
  <c r="O53" i="32"/>
  <c r="T61" i="32"/>
  <c r="O61" i="32"/>
  <c r="H11" i="32"/>
  <c r="P11" i="32"/>
  <c r="Q11" i="32"/>
  <c r="S11" i="32"/>
  <c r="R11" i="32"/>
  <c r="N11" i="32"/>
  <c r="T11" i="32"/>
  <c r="O11" i="32"/>
  <c r="S19" i="32"/>
  <c r="Q19" i="32"/>
  <c r="T19" i="32"/>
  <c r="P19" i="32"/>
  <c r="O19" i="32"/>
  <c r="R19" i="32"/>
  <c r="N19" i="32"/>
  <c r="T55" i="32"/>
  <c r="O55" i="32"/>
  <c r="N55" i="32"/>
  <c r="Q55" i="32"/>
  <c r="S55" i="32"/>
  <c r="P55" i="32"/>
  <c r="R55" i="32"/>
  <c r="T63" i="32"/>
  <c r="O63" i="32"/>
  <c r="S63" i="32"/>
  <c r="P63" i="32"/>
  <c r="Q63" i="32"/>
  <c r="R63" i="32"/>
  <c r="N63" i="32"/>
  <c r="T72" i="32"/>
  <c r="O72" i="32"/>
  <c r="S72" i="32"/>
  <c r="P72" i="32"/>
  <c r="R72" i="32"/>
  <c r="N72" i="32"/>
  <c r="Q72" i="32"/>
  <c r="H12" i="32"/>
  <c r="S12" i="32"/>
  <c r="R12" i="32"/>
  <c r="Q12" i="32"/>
  <c r="T12" i="32"/>
  <c r="N12" i="32"/>
  <c r="P12" i="32"/>
  <c r="O12" i="32"/>
  <c r="T20" i="32"/>
  <c r="R20" i="32"/>
  <c r="S20" i="32"/>
  <c r="Q20" i="32"/>
  <c r="P20" i="32"/>
  <c r="N20" i="32"/>
  <c r="O20" i="32"/>
  <c r="T29" i="32"/>
  <c r="N29" i="32"/>
  <c r="R29" i="32"/>
  <c r="Q29" i="32"/>
  <c r="S29" i="32"/>
  <c r="P29" i="32"/>
  <c r="O29" i="32"/>
  <c r="I48" i="32"/>
  <c r="H48" i="32"/>
  <c r="T64" i="32"/>
  <c r="O64" i="32"/>
  <c r="S64" i="32"/>
  <c r="P64" i="32"/>
  <c r="R64" i="32"/>
  <c r="N64" i="32"/>
  <c r="Q64" i="32"/>
  <c r="T73" i="32"/>
  <c r="O73" i="32"/>
  <c r="Q73" i="32"/>
  <c r="S73" i="32"/>
  <c r="P73" i="32"/>
  <c r="R73" i="32"/>
  <c r="N73" i="32"/>
  <c r="T30" i="32"/>
  <c r="Q30" i="32"/>
  <c r="S30" i="32"/>
  <c r="N30" i="32"/>
  <c r="P30" i="32"/>
  <c r="R30" i="32"/>
  <c r="O30" i="32"/>
  <c r="T65" i="32"/>
  <c r="O65" i="32"/>
  <c r="Q65" i="32"/>
  <c r="S65" i="32"/>
  <c r="P65" i="32"/>
  <c r="N65" i="32"/>
  <c r="R65" i="32"/>
  <c r="P21" i="32"/>
  <c r="N21" i="32"/>
  <c r="T21" i="32"/>
  <c r="Q21" i="32"/>
  <c r="R21" i="32"/>
  <c r="S21" i="32"/>
  <c r="O21" i="32"/>
  <c r="Q22" i="32"/>
  <c r="S22" i="32"/>
  <c r="T22" i="32"/>
  <c r="P22" i="32"/>
  <c r="N22" i="32"/>
  <c r="R22" i="32"/>
  <c r="O22" i="32"/>
  <c r="P31" i="32"/>
  <c r="T31" i="32"/>
  <c r="S31" i="32"/>
  <c r="N31" i="32"/>
  <c r="Q31" i="32"/>
  <c r="R31" i="32"/>
  <c r="O31" i="32"/>
  <c r="I50" i="32"/>
  <c r="H50" i="32"/>
  <c r="H10" i="32"/>
  <c r="Q10" i="32"/>
  <c r="N10" i="32"/>
  <c r="T10" i="32"/>
  <c r="R10" i="32"/>
  <c r="P10" i="32"/>
  <c r="S10" i="32"/>
  <c r="O10" i="32"/>
  <c r="T62" i="32"/>
  <c r="O62" i="32"/>
  <c r="P62" i="32"/>
  <c r="R62" i="32"/>
  <c r="N62" i="32"/>
  <c r="Q62" i="32"/>
  <c r="S62" i="32"/>
  <c r="H13" i="32"/>
  <c r="P13" i="32"/>
  <c r="R13" i="32"/>
  <c r="S13" i="32"/>
  <c r="T13" i="32"/>
  <c r="N13" i="32"/>
  <c r="Q13" i="32"/>
  <c r="O13" i="32"/>
  <c r="T54" i="32"/>
  <c r="O54" i="32"/>
  <c r="R54" i="32"/>
  <c r="Q54" i="32"/>
  <c r="S54" i="32"/>
  <c r="P54" i="32"/>
  <c r="N54" i="32"/>
  <c r="P23" i="32"/>
  <c r="T23" i="32"/>
  <c r="Q23" i="32"/>
  <c r="R23" i="32"/>
  <c r="S23" i="32"/>
  <c r="N23" i="32"/>
  <c r="O23" i="32"/>
  <c r="H51" i="32"/>
  <c r="T51" i="32"/>
  <c r="O51" i="32"/>
  <c r="T52" i="32"/>
  <c r="O52" i="32"/>
  <c r="Q52" i="32"/>
  <c r="N52" i="32"/>
  <c r="S52" i="32"/>
  <c r="P52" i="32"/>
  <c r="R52" i="32"/>
  <c r="M150" i="32"/>
  <c r="U150" i="32"/>
  <c r="H72" i="32"/>
  <c r="I72" i="32"/>
  <c r="G72" i="32"/>
  <c r="F72" i="32"/>
  <c r="L72" i="32"/>
  <c r="J72" i="32"/>
  <c r="E72" i="32"/>
  <c r="K72" i="32"/>
  <c r="H29" i="32"/>
  <c r="L29" i="32"/>
  <c r="J29" i="32"/>
  <c r="K29" i="32"/>
  <c r="I29" i="32"/>
  <c r="G29" i="32"/>
  <c r="F29" i="32"/>
  <c r="E29" i="32"/>
  <c r="H73" i="32"/>
  <c r="I73" i="32"/>
  <c r="K73" i="32"/>
  <c r="G73" i="32"/>
  <c r="E73" i="32"/>
  <c r="L73" i="32"/>
  <c r="J73" i="32"/>
  <c r="F73" i="32"/>
  <c r="H31" i="32"/>
  <c r="L31" i="32"/>
  <c r="J31" i="32"/>
  <c r="K31" i="32"/>
  <c r="I31" i="32"/>
  <c r="E31" i="32"/>
  <c r="G31" i="32"/>
  <c r="F31" i="32"/>
  <c r="H32" i="32"/>
  <c r="J32" i="32"/>
  <c r="L32" i="32"/>
  <c r="K32" i="32"/>
  <c r="I32" i="32"/>
  <c r="G32" i="32"/>
  <c r="F32" i="32"/>
  <c r="E32" i="32"/>
  <c r="M156" i="32"/>
  <c r="U156" i="32"/>
  <c r="M155" i="32"/>
  <c r="U155" i="32"/>
  <c r="M157" i="32"/>
  <c r="U157" i="32"/>
  <c r="M158" i="32"/>
  <c r="U158" i="32"/>
  <c r="H71" i="32"/>
  <c r="I71" i="32"/>
  <c r="G71" i="32"/>
  <c r="L71" i="32"/>
  <c r="J71" i="32"/>
  <c r="F71" i="32"/>
  <c r="E71" i="32"/>
  <c r="K71" i="32"/>
  <c r="K30" i="32"/>
  <c r="H30" i="32"/>
  <c r="J30" i="32"/>
  <c r="L30" i="32"/>
  <c r="I30" i="32"/>
  <c r="G30" i="32"/>
  <c r="F30" i="32"/>
  <c r="E30" i="32"/>
  <c r="H74" i="32"/>
  <c r="I74" i="32"/>
  <c r="K74" i="32"/>
  <c r="G74" i="32"/>
  <c r="E74" i="32"/>
  <c r="L74" i="32"/>
  <c r="J74" i="32"/>
  <c r="F74" i="32"/>
  <c r="K25" i="32"/>
  <c r="J25" i="32"/>
  <c r="H25" i="32"/>
  <c r="L25" i="32"/>
  <c r="I25" i="32"/>
  <c r="G25" i="32"/>
  <c r="F25" i="32"/>
  <c r="E25" i="32"/>
  <c r="H69" i="32"/>
  <c r="I69" i="32"/>
  <c r="G69" i="32"/>
  <c r="E69" i="32"/>
  <c r="F69" i="32"/>
  <c r="J69" i="32"/>
  <c r="L69" i="32"/>
  <c r="K69" i="32"/>
  <c r="M151" i="32"/>
  <c r="U151" i="32"/>
  <c r="H67" i="32"/>
  <c r="I67" i="32"/>
  <c r="E67" i="32"/>
  <c r="K67" i="32"/>
  <c r="F67" i="32"/>
  <c r="L67" i="32"/>
  <c r="J67" i="32"/>
  <c r="G67" i="32"/>
  <c r="H24" i="32"/>
  <c r="L24" i="32"/>
  <c r="K24" i="32"/>
  <c r="J24" i="32"/>
  <c r="I24" i="32"/>
  <c r="G24" i="32"/>
  <c r="F24" i="32"/>
  <c r="E24" i="32"/>
  <c r="H68" i="32"/>
  <c r="I68" i="32"/>
  <c r="F68" i="32"/>
  <c r="E68" i="32"/>
  <c r="G68" i="32"/>
  <c r="L68" i="32"/>
  <c r="K68" i="32"/>
  <c r="J68" i="32"/>
  <c r="J26" i="32"/>
  <c r="H26" i="32"/>
  <c r="L26" i="32"/>
  <c r="K26" i="32"/>
  <c r="I26" i="32"/>
  <c r="G26" i="32"/>
  <c r="F26" i="32"/>
  <c r="E26" i="32"/>
  <c r="L27" i="32"/>
  <c r="H27" i="32"/>
  <c r="K27" i="32"/>
  <c r="J27" i="32"/>
  <c r="I27" i="32"/>
  <c r="G27" i="32"/>
  <c r="F27" i="32"/>
  <c r="E27" i="32"/>
  <c r="M147" i="32"/>
  <c r="U147" i="32"/>
  <c r="H66" i="32"/>
  <c r="I66" i="32"/>
  <c r="L66" i="32"/>
  <c r="K66" i="32"/>
  <c r="J66" i="32"/>
  <c r="G66" i="32"/>
  <c r="E66" i="32"/>
  <c r="F66" i="32"/>
  <c r="M152" i="32"/>
  <c r="U152" i="32"/>
  <c r="M193" i="32"/>
  <c r="U193" i="32"/>
  <c r="M153" i="32"/>
  <c r="U153" i="32"/>
  <c r="I55" i="32"/>
  <c r="H55" i="32"/>
  <c r="I52" i="32"/>
  <c r="H52" i="32"/>
  <c r="I54" i="32"/>
  <c r="H54" i="32"/>
  <c r="M149" i="32"/>
  <c r="U149" i="32"/>
  <c r="H62" i="32"/>
  <c r="I62" i="32"/>
  <c r="I56" i="32"/>
  <c r="H56" i="32"/>
  <c r="H21" i="32"/>
  <c r="L21" i="32"/>
  <c r="K21" i="32"/>
  <c r="J21" i="32"/>
  <c r="I21" i="32"/>
  <c r="H65" i="32"/>
  <c r="I65" i="32"/>
  <c r="G65" i="32"/>
  <c r="F65" i="32"/>
  <c r="L65" i="32"/>
  <c r="E65" i="32"/>
  <c r="J65" i="32"/>
  <c r="K65" i="32"/>
  <c r="L22" i="32"/>
  <c r="K22" i="32"/>
  <c r="H22" i="32"/>
  <c r="J22" i="32"/>
  <c r="I22" i="32"/>
  <c r="I58" i="32"/>
  <c r="H58" i="32"/>
  <c r="M148" i="32"/>
  <c r="U148" i="32"/>
  <c r="K20" i="32"/>
  <c r="J20" i="32"/>
  <c r="H20" i="32"/>
  <c r="L20" i="32"/>
  <c r="I20" i="32"/>
  <c r="M146" i="32"/>
  <c r="U146" i="32"/>
  <c r="L19" i="32"/>
  <c r="J19" i="32"/>
  <c r="H19" i="32"/>
  <c r="K19" i="32"/>
  <c r="I19" i="32"/>
  <c r="H63" i="32"/>
  <c r="I63" i="32"/>
  <c r="H64" i="32"/>
  <c r="I64" i="32"/>
  <c r="I57" i="32"/>
  <c r="H57" i="32"/>
  <c r="L23" i="32"/>
  <c r="J23" i="32"/>
  <c r="H23" i="32"/>
  <c r="K23" i="32"/>
  <c r="I23" i="32"/>
  <c r="E23" i="32"/>
  <c r="G23" i="32"/>
  <c r="F23" i="32"/>
  <c r="I59" i="32"/>
  <c r="H59" i="32"/>
  <c r="I60" i="32"/>
  <c r="H60" i="32"/>
  <c r="H61" i="32"/>
  <c r="I61" i="32"/>
  <c r="L11" i="32"/>
  <c r="K11" i="32"/>
  <c r="J11" i="32"/>
  <c r="I12" i="32"/>
  <c r="L12" i="32"/>
  <c r="K12" i="32"/>
  <c r="J12" i="32"/>
  <c r="K5" i="32"/>
  <c r="J5" i="32"/>
  <c r="L5" i="32"/>
  <c r="I13" i="32"/>
  <c r="K13" i="32"/>
  <c r="J13" i="32"/>
  <c r="L13" i="32"/>
  <c r="I6" i="32"/>
  <c r="J6" i="32"/>
  <c r="K6" i="32"/>
  <c r="L6" i="32"/>
  <c r="I14" i="32"/>
  <c r="J14" i="32"/>
  <c r="K14" i="32"/>
  <c r="L14" i="32"/>
  <c r="I7" i="32"/>
  <c r="L7" i="32"/>
  <c r="J7" i="32"/>
  <c r="K7" i="32"/>
  <c r="I15" i="32"/>
  <c r="L15" i="32"/>
  <c r="K15" i="32"/>
  <c r="J15" i="32"/>
  <c r="I8" i="32"/>
  <c r="L8" i="32"/>
  <c r="K8" i="32"/>
  <c r="J8" i="32"/>
  <c r="I16" i="32"/>
  <c r="L16" i="32"/>
  <c r="K16" i="32"/>
  <c r="J16" i="32"/>
  <c r="L9" i="32"/>
  <c r="K9" i="32"/>
  <c r="J9" i="32"/>
  <c r="I17" i="32"/>
  <c r="L17" i="32"/>
  <c r="K17" i="32"/>
  <c r="J17" i="32"/>
  <c r="I10" i="32"/>
  <c r="L10" i="32"/>
  <c r="K10" i="32"/>
  <c r="J10" i="32"/>
  <c r="I18" i="32"/>
  <c r="L18" i="32"/>
  <c r="K18" i="32"/>
  <c r="J18" i="32"/>
  <c r="I47" i="32"/>
  <c r="J47" i="32"/>
  <c r="E47" i="32"/>
  <c r="L47" i="32"/>
  <c r="G47" i="32"/>
  <c r="K47" i="32"/>
  <c r="F47" i="32"/>
  <c r="I5" i="32"/>
  <c r="G5" i="32"/>
  <c r="F5" i="32"/>
  <c r="E5" i="32"/>
  <c r="I53" i="32"/>
  <c r="L53" i="32"/>
  <c r="F53" i="32"/>
  <c r="G53" i="32"/>
  <c r="J53" i="32"/>
  <c r="E53" i="32"/>
  <c r="K53" i="32"/>
  <c r="I11" i="32"/>
  <c r="E11" i="32"/>
  <c r="G11" i="32"/>
  <c r="F11" i="32"/>
  <c r="I51" i="32"/>
  <c r="G51" i="32"/>
  <c r="K51" i="32"/>
  <c r="L51" i="32"/>
  <c r="J51" i="32"/>
  <c r="E51" i="32"/>
  <c r="F51" i="32"/>
  <c r="I9" i="32"/>
  <c r="G9" i="32"/>
  <c r="F9" i="32"/>
  <c r="E9" i="32"/>
  <c r="M137" i="32"/>
  <c r="U137" i="32"/>
  <c r="M179" i="32"/>
  <c r="U179" i="32"/>
  <c r="M144" i="32"/>
  <c r="U144" i="32"/>
  <c r="M131" i="32"/>
  <c r="U131" i="32"/>
  <c r="M142" i="32"/>
  <c r="U142" i="32"/>
  <c r="M135" i="32"/>
  <c r="U135" i="32"/>
  <c r="M143" i="32"/>
  <c r="U143" i="32"/>
  <c r="M145" i="32"/>
  <c r="U145" i="32"/>
  <c r="M140" i="32"/>
  <c r="U140" i="32"/>
  <c r="L49" i="32"/>
  <c r="G49" i="32"/>
  <c r="F49" i="32"/>
  <c r="J49" i="32"/>
  <c r="E49" i="32"/>
  <c r="K49" i="32"/>
  <c r="S50" i="32"/>
  <c r="Q50" i="32"/>
  <c r="R50" i="32"/>
  <c r="P50" i="32"/>
  <c r="N50" i="32"/>
  <c r="F7" i="32"/>
  <c r="G7" i="32"/>
  <c r="E7" i="32"/>
  <c r="M138" i="32"/>
  <c r="U138" i="32"/>
  <c r="M139" i="32"/>
  <c r="U139" i="32"/>
  <c r="M141" i="32"/>
  <c r="U141" i="32"/>
  <c r="R58" i="32"/>
  <c r="P58" i="32"/>
  <c r="S58" i="32"/>
  <c r="N58" i="32"/>
  <c r="Q58" i="32"/>
  <c r="Q59" i="32"/>
  <c r="R59" i="32"/>
  <c r="N59" i="32"/>
  <c r="S59" i="32"/>
  <c r="P59" i="32"/>
  <c r="R60" i="32"/>
  <c r="N60" i="32"/>
  <c r="P60" i="32"/>
  <c r="Q60" i="32"/>
  <c r="S60" i="32"/>
  <c r="S61" i="32"/>
  <c r="R61" i="32"/>
  <c r="Q61" i="32"/>
  <c r="P61" i="32"/>
  <c r="N61" i="32"/>
  <c r="M133" i="32"/>
  <c r="U133" i="32"/>
  <c r="R48" i="32"/>
  <c r="Q48" i="32"/>
  <c r="P48" i="32"/>
  <c r="N48" i="32"/>
  <c r="S48" i="32"/>
  <c r="R53" i="32"/>
  <c r="S53" i="32"/>
  <c r="P53" i="32"/>
  <c r="Q53" i="32"/>
  <c r="N53" i="32"/>
  <c r="M136" i="32"/>
  <c r="U136" i="32"/>
  <c r="P51" i="32"/>
  <c r="Q51" i="32"/>
  <c r="R51" i="32"/>
  <c r="S51" i="32"/>
  <c r="N51" i="32"/>
  <c r="M134" i="32"/>
  <c r="U134" i="32"/>
  <c r="R49" i="32"/>
  <c r="N49" i="32"/>
  <c r="S49" i="32"/>
  <c r="P49" i="32"/>
  <c r="Q49" i="32"/>
  <c r="M132" i="32"/>
  <c r="U132" i="32"/>
  <c r="N47" i="32"/>
  <c r="R47" i="32"/>
  <c r="P47" i="32"/>
  <c r="Q47" i="32"/>
  <c r="S47" i="32"/>
  <c r="J52" i="32"/>
  <c r="K52" i="32"/>
  <c r="L52" i="32"/>
  <c r="E52" i="32"/>
  <c r="F52" i="32"/>
  <c r="G52" i="32"/>
  <c r="E10" i="32"/>
  <c r="G10" i="32"/>
  <c r="F10" i="32"/>
  <c r="L50" i="32"/>
  <c r="F50" i="32"/>
  <c r="K50" i="32"/>
  <c r="G50" i="32"/>
  <c r="J50" i="32"/>
  <c r="E50" i="32"/>
  <c r="G8" i="32"/>
  <c r="E8" i="32"/>
  <c r="F8" i="32"/>
  <c r="J48" i="32"/>
  <c r="G48" i="32"/>
  <c r="E48" i="32"/>
  <c r="F48" i="32"/>
  <c r="L48" i="32"/>
  <c r="K48" i="32"/>
  <c r="E6" i="32"/>
  <c r="F6" i="32"/>
  <c r="G6" i="32"/>
  <c r="G19" i="32"/>
  <c r="F19" i="32"/>
  <c r="E19" i="32"/>
  <c r="F12" i="32"/>
  <c r="G12" i="32"/>
  <c r="E12" i="32"/>
  <c r="G20" i="32"/>
  <c r="E20" i="32"/>
  <c r="F20" i="32"/>
  <c r="G13" i="32"/>
  <c r="F13" i="32"/>
  <c r="E13" i="32"/>
  <c r="G21" i="32"/>
  <c r="F21" i="32"/>
  <c r="E21" i="32"/>
  <c r="G14" i="32"/>
  <c r="F14" i="32"/>
  <c r="E14" i="32"/>
  <c r="G16" i="32"/>
  <c r="F16" i="32"/>
  <c r="E16" i="32"/>
  <c r="G17" i="32"/>
  <c r="F17" i="32"/>
  <c r="E17" i="32"/>
  <c r="E22" i="32"/>
  <c r="G22" i="32"/>
  <c r="F22" i="32"/>
  <c r="G15" i="32"/>
  <c r="E15" i="32"/>
  <c r="F15" i="32"/>
  <c r="F18" i="32"/>
  <c r="E18" i="32"/>
  <c r="G18" i="32"/>
  <c r="K57" i="32"/>
  <c r="L57" i="32"/>
  <c r="F57" i="32"/>
  <c r="G57" i="32"/>
  <c r="J57" i="32"/>
  <c r="E57" i="32"/>
  <c r="K62" i="32"/>
  <c r="F62" i="32"/>
  <c r="J62" i="32"/>
  <c r="L62" i="32"/>
  <c r="G62" i="32"/>
  <c r="E62" i="32"/>
  <c r="E58" i="32"/>
  <c r="G58" i="32"/>
  <c r="K58" i="32"/>
  <c r="J58" i="32"/>
  <c r="F58" i="32"/>
  <c r="L58" i="32"/>
  <c r="K59" i="32"/>
  <c r="G59" i="32"/>
  <c r="F59" i="32"/>
  <c r="J59" i="32"/>
  <c r="E59" i="32"/>
  <c r="L59" i="32"/>
  <c r="L54" i="32"/>
  <c r="E54" i="32"/>
  <c r="K54" i="32"/>
  <c r="G54" i="32"/>
  <c r="F54" i="32"/>
  <c r="K60" i="32"/>
  <c r="J60" i="32"/>
  <c r="L60" i="32"/>
  <c r="G60" i="32"/>
  <c r="E60" i="32"/>
  <c r="F60" i="32"/>
  <c r="J61" i="32"/>
  <c r="G61" i="32"/>
  <c r="E61" i="32"/>
  <c r="K61" i="32"/>
  <c r="L61" i="32"/>
  <c r="F61" i="32"/>
  <c r="E55" i="32"/>
  <c r="L55" i="32"/>
  <c r="G55" i="32"/>
  <c r="K55" i="32"/>
  <c r="F55" i="32"/>
  <c r="J55" i="32"/>
  <c r="J63" i="32"/>
  <c r="G63" i="32"/>
  <c r="F63" i="32"/>
  <c r="K63" i="32"/>
  <c r="E63" i="32"/>
  <c r="L63" i="32"/>
  <c r="L56" i="32"/>
  <c r="J56" i="32"/>
  <c r="K56" i="32"/>
  <c r="E56" i="32"/>
  <c r="F56" i="32"/>
  <c r="G56" i="32"/>
  <c r="G64" i="32"/>
  <c r="K64" i="32"/>
  <c r="E64" i="32"/>
  <c r="F64" i="32"/>
  <c r="J64" i="32"/>
  <c r="L64" i="32"/>
  <c r="B172" i="32"/>
  <c r="D172" i="32"/>
  <c r="D130" i="32"/>
  <c r="B130" i="32"/>
  <c r="B88" i="32"/>
  <c r="D88" i="32"/>
  <c r="F88" i="32"/>
  <c r="D46" i="32"/>
  <c r="B46" i="32"/>
  <c r="M19" i="32"/>
  <c r="U19" i="32"/>
  <c r="T130" i="32"/>
  <c r="T167" i="32"/>
  <c r="O130" i="32"/>
  <c r="R130" i="32"/>
  <c r="P130" i="32"/>
  <c r="S130" i="32"/>
  <c r="Q130" i="32"/>
  <c r="N130" i="32"/>
  <c r="T172" i="32"/>
  <c r="T209" i="32"/>
  <c r="O172" i="32"/>
  <c r="R172" i="32"/>
  <c r="P172" i="32"/>
  <c r="S172" i="32"/>
  <c r="Q172" i="32"/>
  <c r="N172" i="32"/>
  <c r="T46" i="32"/>
  <c r="T83" i="32"/>
  <c r="O46" i="32"/>
  <c r="S46" i="32"/>
  <c r="Q46" i="32"/>
  <c r="N46" i="32"/>
  <c r="P46" i="32"/>
  <c r="R46" i="32"/>
  <c r="I130" i="32"/>
  <c r="H130" i="32"/>
  <c r="H167" i="32"/>
  <c r="L130" i="32"/>
  <c r="L167" i="32"/>
  <c r="I172" i="32"/>
  <c r="H172" i="32"/>
  <c r="H209" i="32"/>
  <c r="L172" i="32"/>
  <c r="L209" i="32"/>
  <c r="I46" i="32"/>
  <c r="L46" i="32"/>
  <c r="L83" i="32"/>
  <c r="H46" i="32"/>
  <c r="H83" i="32"/>
  <c r="M31" i="32"/>
  <c r="U31" i="32"/>
  <c r="M25" i="32"/>
  <c r="U25" i="32"/>
  <c r="M32" i="32"/>
  <c r="U32" i="32"/>
  <c r="M29" i="32"/>
  <c r="U29" i="32"/>
  <c r="M30" i="32"/>
  <c r="U30" i="32"/>
  <c r="M24" i="32"/>
  <c r="U24" i="32"/>
  <c r="M21" i="32"/>
  <c r="U21" i="32"/>
  <c r="M23" i="32"/>
  <c r="U23" i="32"/>
  <c r="M26" i="32"/>
  <c r="U26" i="32"/>
  <c r="M27" i="32"/>
  <c r="U27" i="32"/>
  <c r="M67" i="32"/>
  <c r="U67" i="32"/>
  <c r="M22" i="32"/>
  <c r="U22" i="32"/>
  <c r="M20" i="32"/>
  <c r="U20" i="32"/>
  <c r="M53" i="32"/>
  <c r="U53" i="32"/>
  <c r="K130" i="32"/>
  <c r="F130" i="32"/>
  <c r="E130" i="32"/>
  <c r="J130" i="32"/>
  <c r="G130" i="32"/>
  <c r="E172" i="32"/>
  <c r="G172" i="32"/>
  <c r="F172" i="32"/>
  <c r="J172" i="32"/>
  <c r="K172" i="32"/>
  <c r="M50" i="32"/>
  <c r="U50" i="32"/>
  <c r="G46" i="32"/>
  <c r="J46" i="32"/>
  <c r="E46" i="32"/>
  <c r="F46" i="32"/>
  <c r="K46" i="32"/>
  <c r="E100" i="32"/>
  <c r="M130" i="32"/>
  <c r="U130" i="32"/>
  <c r="M46" i="32"/>
  <c r="U46" i="32"/>
  <c r="M56" i="32"/>
  <c r="U56" i="32"/>
  <c r="M63" i="32"/>
  <c r="U63" i="32"/>
  <c r="M196" i="32"/>
  <c r="U196" i="32"/>
  <c r="M70" i="32"/>
  <c r="U70" i="32"/>
  <c r="M57" i="32"/>
  <c r="U57" i="32"/>
  <c r="M64" i="32"/>
  <c r="U64" i="32"/>
  <c r="M48" i="32"/>
  <c r="U48" i="32"/>
  <c r="M52" i="32"/>
  <c r="U52" i="32"/>
  <c r="M49" i="32"/>
  <c r="U49" i="32"/>
  <c r="M66" i="32"/>
  <c r="U66" i="32"/>
  <c r="I100" i="32"/>
  <c r="M74" i="32"/>
  <c r="U74" i="32"/>
  <c r="M73" i="32"/>
  <c r="U73" i="32"/>
  <c r="E112" i="32"/>
  <c r="I112" i="32"/>
  <c r="H100" i="32"/>
  <c r="G100" i="32"/>
  <c r="D4" i="32"/>
  <c r="B4" i="32"/>
  <c r="G277" i="32"/>
  <c r="F277" i="32"/>
  <c r="H4" i="32"/>
  <c r="H41" i="32"/>
  <c r="P4" i="32"/>
  <c r="P41" i="32"/>
  <c r="O4" i="32"/>
  <c r="O41" i="32"/>
  <c r="N4" i="32"/>
  <c r="T4" i="32"/>
  <c r="T41" i="32"/>
  <c r="R4" i="32"/>
  <c r="R41" i="32"/>
  <c r="S4" i="32"/>
  <c r="S41" i="32"/>
  <c r="Q4" i="32"/>
  <c r="Q41" i="32"/>
  <c r="I4" i="32"/>
  <c r="I41" i="32"/>
  <c r="L4" i="32"/>
  <c r="K4" i="32"/>
  <c r="K41" i="32"/>
  <c r="J4" i="32"/>
  <c r="F4" i="32"/>
  <c r="F41" i="32"/>
  <c r="E4" i="32"/>
  <c r="G4" i="32"/>
  <c r="G41" i="32"/>
  <c r="J100" i="32"/>
  <c r="L100" i="32"/>
  <c r="K100" i="32"/>
  <c r="M100" i="32"/>
  <c r="K112" i="32"/>
  <c r="J112" i="32"/>
  <c r="G112" i="32"/>
  <c r="H112" i="32"/>
  <c r="H277" i="32"/>
  <c r="K277" i="32"/>
  <c r="L41" i="32"/>
  <c r="J41" i="32"/>
  <c r="E41" i="32"/>
  <c r="L112" i="32"/>
  <c r="M112" i="32"/>
  <c r="N100" i="32"/>
  <c r="M175" i="32"/>
  <c r="U175" i="32"/>
  <c r="M192" i="32"/>
  <c r="U192" i="32"/>
  <c r="M199" i="32"/>
  <c r="U199" i="32"/>
  <c r="M189" i="32"/>
  <c r="U189" i="32"/>
  <c r="M182" i="32"/>
  <c r="U182" i="32"/>
  <c r="M174" i="32"/>
  <c r="U174" i="32"/>
  <c r="M178" i="32"/>
  <c r="U178" i="32"/>
  <c r="M183" i="32"/>
  <c r="U183" i="32"/>
  <c r="M190" i="32"/>
  <c r="U190" i="32"/>
  <c r="M200" i="32"/>
  <c r="U200" i="32"/>
  <c r="L277" i="32"/>
  <c r="N112" i="32"/>
  <c r="AZ2621" i="2"/>
  <c r="AY2621" i="2"/>
  <c r="AX2621" i="2"/>
  <c r="AW2621" i="2"/>
  <c r="AS2621" i="2"/>
  <c r="AP2621" i="2"/>
  <c r="AZ2618" i="2"/>
  <c r="AY2618" i="2"/>
  <c r="AX2618" i="2"/>
  <c r="AW2618" i="2"/>
  <c r="AS2618" i="2"/>
  <c r="AP2618" i="2"/>
  <c r="D64" i="6"/>
  <c r="C64" i="6"/>
  <c r="C634" i="9"/>
  <c r="C529" i="9"/>
  <c r="C424" i="9"/>
  <c r="C319" i="9"/>
  <c r="L319" i="9" s="1"/>
  <c r="C214" i="9"/>
  <c r="C109" i="9"/>
  <c r="L109" i="9" s="1"/>
  <c r="C529" i="8"/>
  <c r="B529" i="8"/>
  <c r="C424" i="8"/>
  <c r="L424" i="8" s="1"/>
  <c r="B424" i="8"/>
  <c r="C319" i="8"/>
  <c r="B319" i="8"/>
  <c r="C214" i="8"/>
  <c r="E214" i="8" s="1"/>
  <c r="B214" i="8"/>
  <c r="P2256" i="2"/>
  <c r="C3" i="6"/>
  <c r="B3" i="6"/>
  <c r="Q424" i="8"/>
  <c r="P424" i="8"/>
  <c r="O424" i="8"/>
  <c r="R424" i="8"/>
  <c r="J319" i="8"/>
  <c r="P319" i="9"/>
  <c r="N319" i="8"/>
  <c r="N319" i="9" s="1"/>
  <c r="Q319" i="9"/>
  <c r="G424" i="8"/>
  <c r="J424" i="8"/>
  <c r="F424" i="8"/>
  <c r="E424" i="8"/>
  <c r="D424" i="8"/>
  <c r="D524" i="8" s="1"/>
  <c r="G319" i="8"/>
  <c r="G419" i="8" s="1"/>
  <c r="F319" i="8"/>
  <c r="E319" i="8"/>
  <c r="D319" i="8"/>
  <c r="R109" i="9"/>
  <c r="M319" i="8"/>
  <c r="M319" i="9"/>
  <c r="M424" i="8"/>
  <c r="E214" i="9"/>
  <c r="P2346" i="2"/>
  <c r="P2333" i="2"/>
  <c r="Q2318" i="2"/>
  <c r="Q2316" i="2"/>
  <c r="P2348" i="2"/>
  <c r="P2258" i="2"/>
  <c r="P2250" i="2"/>
  <c r="P2331" i="2"/>
  <c r="P1669" i="2"/>
  <c r="Q109" i="9"/>
  <c r="P109" i="9"/>
  <c r="O109" i="9"/>
  <c r="O319" i="9"/>
  <c r="M424" i="9"/>
  <c r="H319" i="9"/>
  <c r="H529" i="9"/>
  <c r="F629" i="9"/>
  <c r="P2325" i="2"/>
  <c r="P2340" i="2"/>
  <c r="Q2295" i="2"/>
  <c r="Q2310" i="2"/>
  <c r="M58" i="32"/>
  <c r="U58" i="32"/>
  <c r="M65" i="32"/>
  <c r="U65" i="32"/>
  <c r="M184" i="32"/>
  <c r="U184" i="32"/>
  <c r="M191" i="32"/>
  <c r="U191" i="32"/>
  <c r="F2625" i="2"/>
  <c r="F2624" i="2"/>
  <c r="F2623" i="2"/>
  <c r="F2622" i="2"/>
  <c r="F2620" i="2"/>
  <c r="F2619" i="2"/>
  <c r="F2612" i="2"/>
  <c r="F2611" i="2"/>
  <c r="F2610" i="2"/>
  <c r="F2588" i="2"/>
  <c r="F2587" i="2"/>
  <c r="F2586" i="2"/>
  <c r="F2609" i="2"/>
  <c r="F2608" i="2"/>
  <c r="F2607" i="2"/>
  <c r="F2585" i="2"/>
  <c r="F2584" i="2"/>
  <c r="F2583" i="2"/>
  <c r="F2582" i="2"/>
  <c r="F2581" i="2"/>
  <c r="F2580" i="2"/>
  <c r="F2579" i="2"/>
  <c r="F2578" i="2"/>
  <c r="F2577" i="2"/>
  <c r="V2256" i="2"/>
  <c r="W2256" i="2"/>
  <c r="T2256" i="2"/>
  <c r="S2256" i="2"/>
  <c r="Q2256" i="2"/>
  <c r="X2256" i="2"/>
  <c r="F2606" i="2"/>
  <c r="F2603" i="2"/>
  <c r="F2605" i="2"/>
  <c r="F2602" i="2"/>
  <c r="F2604" i="2"/>
  <c r="F2601" i="2"/>
  <c r="AX2619" i="2"/>
  <c r="O2619" i="2"/>
  <c r="N2619" i="2"/>
  <c r="Q2619" i="2"/>
  <c r="J2619" i="2"/>
  <c r="M2619" i="2"/>
  <c r="R2619" i="2"/>
  <c r="AW2619" i="2"/>
  <c r="L2619" i="2"/>
  <c r="AZ2619" i="2"/>
  <c r="K2619" i="2"/>
  <c r="AS2619" i="2"/>
  <c r="S2619" i="2"/>
  <c r="P2619" i="2"/>
  <c r="AP2619" i="2"/>
  <c r="T2619" i="2"/>
  <c r="G2619" i="2"/>
  <c r="AY2619" i="2"/>
  <c r="S2620" i="2"/>
  <c r="K2620" i="2"/>
  <c r="R2620" i="2"/>
  <c r="Q2620" i="2"/>
  <c r="AY2620" i="2"/>
  <c r="O2620" i="2"/>
  <c r="AX2620" i="2"/>
  <c r="AP2620" i="2"/>
  <c r="N2620" i="2"/>
  <c r="G2620" i="2"/>
  <c r="AW2620" i="2"/>
  <c r="M2620" i="2"/>
  <c r="AS2620" i="2"/>
  <c r="J2620" i="2"/>
  <c r="T2620" i="2"/>
  <c r="P2620" i="2"/>
  <c r="L2620" i="2"/>
  <c r="AZ2620" i="2"/>
  <c r="AW2625" i="2"/>
  <c r="Q2625" i="2"/>
  <c r="AP2625" i="2"/>
  <c r="P2625" i="2"/>
  <c r="O2625" i="2"/>
  <c r="G2625" i="2"/>
  <c r="M2625" i="2"/>
  <c r="AZ2625" i="2"/>
  <c r="AS2625" i="2"/>
  <c r="T2625" i="2"/>
  <c r="L2625" i="2"/>
  <c r="J2625" i="2"/>
  <c r="AY2625" i="2"/>
  <c r="S2625" i="2"/>
  <c r="K2625" i="2"/>
  <c r="N2625" i="2"/>
  <c r="R2625" i="2"/>
  <c r="AX2625" i="2"/>
  <c r="AZ2622" i="2"/>
  <c r="N2622" i="2"/>
  <c r="R2622" i="2"/>
  <c r="AX2622" i="2"/>
  <c r="AP2622" i="2"/>
  <c r="K2622" i="2"/>
  <c r="J2622" i="2"/>
  <c r="AY2622" i="2"/>
  <c r="P2622" i="2"/>
  <c r="L2622" i="2"/>
  <c r="Q2622" i="2"/>
  <c r="G2622" i="2"/>
  <c r="S2622" i="2"/>
  <c r="AW2622" i="2"/>
  <c r="O2622" i="2"/>
  <c r="T2622" i="2"/>
  <c r="AS2622" i="2"/>
  <c r="M2622" i="2"/>
  <c r="AW2623" i="2"/>
  <c r="M2623" i="2"/>
  <c r="T2623" i="2"/>
  <c r="L2623" i="2"/>
  <c r="S2623" i="2"/>
  <c r="K2623" i="2"/>
  <c r="Q2623" i="2"/>
  <c r="AZ2623" i="2"/>
  <c r="P2623" i="2"/>
  <c r="AY2623" i="2"/>
  <c r="O2623" i="2"/>
  <c r="G2623" i="2"/>
  <c r="AX2623" i="2"/>
  <c r="R2623" i="2"/>
  <c r="AS2623" i="2"/>
  <c r="N2623" i="2"/>
  <c r="AP2623" i="2"/>
  <c r="J2623" i="2"/>
  <c r="S2624" i="2"/>
  <c r="K2624" i="2"/>
  <c r="AZ2624" i="2"/>
  <c r="R2624" i="2"/>
  <c r="G2624" i="2"/>
  <c r="AY2624" i="2"/>
  <c r="AP2624" i="2"/>
  <c r="Q2624" i="2"/>
  <c r="AW2624" i="2"/>
  <c r="O2624" i="2"/>
  <c r="N2624" i="2"/>
  <c r="AS2624" i="2"/>
  <c r="M2624" i="2"/>
  <c r="J2624" i="2"/>
  <c r="AX2624" i="2"/>
  <c r="P2624" i="2"/>
  <c r="L2624" i="2"/>
  <c r="T2624" i="2"/>
  <c r="AW2606" i="2"/>
  <c r="P2606" i="2"/>
  <c r="O2606" i="2"/>
  <c r="AP2606" i="2"/>
  <c r="N2606" i="2"/>
  <c r="G2606" i="2"/>
  <c r="M2606" i="2"/>
  <c r="T2606" i="2"/>
  <c r="L2606" i="2"/>
  <c r="S2606" i="2"/>
  <c r="K2606" i="2"/>
  <c r="AX2606" i="2"/>
  <c r="Q2606" i="2"/>
  <c r="AZ2606" i="2"/>
  <c r="AY2606" i="2"/>
  <c r="AS2606" i="2"/>
  <c r="R2606" i="2"/>
  <c r="J2606" i="2"/>
  <c r="AY2608" i="2"/>
  <c r="AP2608" i="2"/>
  <c r="T2608" i="2"/>
  <c r="L2608" i="2"/>
  <c r="G2608" i="2"/>
  <c r="AX2608" i="2"/>
  <c r="S2608" i="2"/>
  <c r="K2608" i="2"/>
  <c r="AW2608" i="2"/>
  <c r="R2608" i="2"/>
  <c r="Q2608" i="2"/>
  <c r="AZ2608" i="2"/>
  <c r="AS2608" i="2"/>
  <c r="P2608" i="2"/>
  <c r="J2608" i="2"/>
  <c r="O2608" i="2"/>
  <c r="M2608" i="2"/>
  <c r="N2608" i="2"/>
  <c r="R2609" i="2"/>
  <c r="K2609" i="2"/>
  <c r="Q2609" i="2"/>
  <c r="AW2609" i="2"/>
  <c r="P2609" i="2"/>
  <c r="AZ2609" i="2"/>
  <c r="AS2609" i="2"/>
  <c r="O2609" i="2"/>
  <c r="J2609" i="2"/>
  <c r="N2609" i="2"/>
  <c r="AY2609" i="2"/>
  <c r="M2609" i="2"/>
  <c r="AP2609" i="2"/>
  <c r="S2609" i="2"/>
  <c r="G2609" i="2"/>
  <c r="AX2609" i="2"/>
  <c r="T2609" i="2"/>
  <c r="L2609" i="2"/>
  <c r="R2601" i="2"/>
  <c r="AP2601" i="2"/>
  <c r="S2601" i="2"/>
  <c r="G2601" i="2"/>
  <c r="Q2601" i="2"/>
  <c r="P2601" i="2"/>
  <c r="AW2601" i="2"/>
  <c r="AZ2601" i="2"/>
  <c r="AS2601" i="2"/>
  <c r="O2601" i="2"/>
  <c r="J2601" i="2"/>
  <c r="N2601" i="2"/>
  <c r="AY2601" i="2"/>
  <c r="M2601" i="2"/>
  <c r="K2601" i="2"/>
  <c r="AX2601" i="2"/>
  <c r="T2601" i="2"/>
  <c r="L2601" i="2"/>
  <c r="AZ2604" i="2"/>
  <c r="AS2604" i="2"/>
  <c r="T2604" i="2"/>
  <c r="L2604" i="2"/>
  <c r="J2604" i="2"/>
  <c r="M2604" i="2"/>
  <c r="S2604" i="2"/>
  <c r="K2604" i="2"/>
  <c r="R2604" i="2"/>
  <c r="Q2604" i="2"/>
  <c r="AY2604" i="2"/>
  <c r="AP2604" i="2"/>
  <c r="P2604" i="2"/>
  <c r="G2604" i="2"/>
  <c r="AX2604" i="2"/>
  <c r="O2604" i="2"/>
  <c r="AW2604" i="2"/>
  <c r="N2604" i="2"/>
  <c r="N2607" i="2"/>
  <c r="O2607" i="2"/>
  <c r="AP2607" i="2"/>
  <c r="M2607" i="2"/>
  <c r="G2607" i="2"/>
  <c r="T2607" i="2"/>
  <c r="L2607" i="2"/>
  <c r="AY2607" i="2"/>
  <c r="S2607" i="2"/>
  <c r="K2607" i="2"/>
  <c r="AX2607" i="2"/>
  <c r="R2607" i="2"/>
  <c r="AZ2607" i="2"/>
  <c r="AW2607" i="2"/>
  <c r="AS2607" i="2"/>
  <c r="Q2607" i="2"/>
  <c r="J2607" i="2"/>
  <c r="P2607" i="2"/>
  <c r="P2602" i="2"/>
  <c r="O2602" i="2"/>
  <c r="AZ2602" i="2"/>
  <c r="AY2602" i="2"/>
  <c r="AS2602" i="2"/>
  <c r="N2602" i="2"/>
  <c r="J2602" i="2"/>
  <c r="AX2602" i="2"/>
  <c r="M2602" i="2"/>
  <c r="AW2602" i="2"/>
  <c r="T2602" i="2"/>
  <c r="L2602" i="2"/>
  <c r="S2602" i="2"/>
  <c r="K2602" i="2"/>
  <c r="Q2602" i="2"/>
  <c r="AP2602" i="2"/>
  <c r="R2602" i="2"/>
  <c r="G2602" i="2"/>
  <c r="AZ2612" i="2"/>
  <c r="AS2612" i="2"/>
  <c r="T2612" i="2"/>
  <c r="L2612" i="2"/>
  <c r="J2612" i="2"/>
  <c r="M2612" i="2"/>
  <c r="S2612" i="2"/>
  <c r="K2612" i="2"/>
  <c r="R2612" i="2"/>
  <c r="Q2612" i="2"/>
  <c r="AY2612" i="2"/>
  <c r="AP2612" i="2"/>
  <c r="P2612" i="2"/>
  <c r="G2612" i="2"/>
  <c r="AX2612" i="2"/>
  <c r="O2612" i="2"/>
  <c r="AW2612" i="2"/>
  <c r="N2612" i="2"/>
  <c r="R2605" i="2"/>
  <c r="AS2605" i="2"/>
  <c r="S2605" i="2"/>
  <c r="J2605" i="2"/>
  <c r="AY2605" i="2"/>
  <c r="Q2605" i="2"/>
  <c r="AX2605" i="2"/>
  <c r="P2605" i="2"/>
  <c r="AW2605" i="2"/>
  <c r="AP2605" i="2"/>
  <c r="O2605" i="2"/>
  <c r="G2605" i="2"/>
  <c r="N2605" i="2"/>
  <c r="AZ2605" i="2"/>
  <c r="M2605" i="2"/>
  <c r="K2605" i="2"/>
  <c r="T2605" i="2"/>
  <c r="L2605" i="2"/>
  <c r="P2610" i="2"/>
  <c r="Q2610" i="2"/>
  <c r="O2610" i="2"/>
  <c r="AZ2610" i="2"/>
  <c r="AY2610" i="2"/>
  <c r="AS2610" i="2"/>
  <c r="N2610" i="2"/>
  <c r="J2610" i="2"/>
  <c r="AX2610" i="2"/>
  <c r="M2610" i="2"/>
  <c r="AW2610" i="2"/>
  <c r="T2610" i="2"/>
  <c r="L2610" i="2"/>
  <c r="S2610" i="2"/>
  <c r="K2610" i="2"/>
  <c r="AP2610" i="2"/>
  <c r="R2610" i="2"/>
  <c r="G2610" i="2"/>
  <c r="AX2603" i="2"/>
  <c r="N2603" i="2"/>
  <c r="O2603" i="2"/>
  <c r="AZ2603" i="2"/>
  <c r="AW2603" i="2"/>
  <c r="AS2603" i="2"/>
  <c r="M2603" i="2"/>
  <c r="J2603" i="2"/>
  <c r="T2603" i="2"/>
  <c r="L2603" i="2"/>
  <c r="S2603" i="2"/>
  <c r="K2603" i="2"/>
  <c r="AY2603" i="2"/>
  <c r="R2603" i="2"/>
  <c r="AP2603" i="2"/>
  <c r="Q2603" i="2"/>
  <c r="G2603" i="2"/>
  <c r="P2603" i="2"/>
  <c r="AX2611" i="2"/>
  <c r="N2611" i="2"/>
  <c r="AZ2611" i="2"/>
  <c r="AW2611" i="2"/>
  <c r="AS2611" i="2"/>
  <c r="M2611" i="2"/>
  <c r="J2611" i="2"/>
  <c r="T2611" i="2"/>
  <c r="L2611" i="2"/>
  <c r="S2611" i="2"/>
  <c r="K2611" i="2"/>
  <c r="R2611" i="2"/>
  <c r="AP2611" i="2"/>
  <c r="Q2611" i="2"/>
  <c r="G2611" i="2"/>
  <c r="O2611" i="2"/>
  <c r="P2611" i="2"/>
  <c r="AY2611" i="2"/>
  <c r="P2580" i="2"/>
  <c r="AY2580" i="2"/>
  <c r="O2580" i="2"/>
  <c r="G2580" i="2"/>
  <c r="AS2580" i="2"/>
  <c r="N2580" i="2"/>
  <c r="K2580" i="2"/>
  <c r="M2580" i="2"/>
  <c r="AZ2580" i="2"/>
  <c r="T2580" i="2"/>
  <c r="L2580" i="2"/>
  <c r="AP2580" i="2"/>
  <c r="S2580" i="2"/>
  <c r="AX2580" i="2"/>
  <c r="R2580" i="2"/>
  <c r="J2580" i="2"/>
  <c r="AW2580" i="2"/>
  <c r="Q2580" i="2"/>
  <c r="AZ2581" i="2"/>
  <c r="M2581" i="2"/>
  <c r="G2581" i="2"/>
  <c r="AY2581" i="2"/>
  <c r="AS2581" i="2"/>
  <c r="T2581" i="2"/>
  <c r="L2581" i="2"/>
  <c r="P2581" i="2"/>
  <c r="AX2581" i="2"/>
  <c r="S2581" i="2"/>
  <c r="K2581" i="2"/>
  <c r="AW2581" i="2"/>
  <c r="R2581" i="2"/>
  <c r="J2581" i="2"/>
  <c r="AP2581" i="2"/>
  <c r="Q2581" i="2"/>
  <c r="O2581" i="2"/>
  <c r="N2581" i="2"/>
  <c r="AZ2586" i="2"/>
  <c r="AY2586" i="2"/>
  <c r="AP2586" i="2"/>
  <c r="T2586" i="2"/>
  <c r="L2586" i="2"/>
  <c r="G2586" i="2"/>
  <c r="O2586" i="2"/>
  <c r="S2586" i="2"/>
  <c r="K2586" i="2"/>
  <c r="AS2586" i="2"/>
  <c r="R2586" i="2"/>
  <c r="J2586" i="2"/>
  <c r="Q2586" i="2"/>
  <c r="AW2586" i="2"/>
  <c r="P2586" i="2"/>
  <c r="AX2586" i="2"/>
  <c r="N2586" i="2"/>
  <c r="M2586" i="2"/>
  <c r="AS2582" i="2"/>
  <c r="R2582" i="2"/>
  <c r="J2582" i="2"/>
  <c r="M2582" i="2"/>
  <c r="Q2582" i="2"/>
  <c r="P2582" i="2"/>
  <c r="AP2582" i="2"/>
  <c r="O2582" i="2"/>
  <c r="AZ2582" i="2"/>
  <c r="N2582" i="2"/>
  <c r="AY2582" i="2"/>
  <c r="AX2582" i="2"/>
  <c r="T2582" i="2"/>
  <c r="L2582" i="2"/>
  <c r="AW2582" i="2"/>
  <c r="S2582" i="2"/>
  <c r="K2582" i="2"/>
  <c r="G2582" i="2"/>
  <c r="R2587" i="2"/>
  <c r="AS2587" i="2"/>
  <c r="Q2587" i="2"/>
  <c r="J2587" i="2"/>
  <c r="AZ2587" i="2"/>
  <c r="P2587" i="2"/>
  <c r="AW2587" i="2"/>
  <c r="O2587" i="2"/>
  <c r="AX2587" i="2"/>
  <c r="N2587" i="2"/>
  <c r="M2587" i="2"/>
  <c r="T2587" i="2"/>
  <c r="L2587" i="2"/>
  <c r="AY2587" i="2"/>
  <c r="AP2587" i="2"/>
  <c r="S2587" i="2"/>
  <c r="K2587" i="2"/>
  <c r="G2587" i="2"/>
  <c r="P2579" i="2"/>
  <c r="AW2579" i="2"/>
  <c r="K2579" i="2"/>
  <c r="AP2579" i="2"/>
  <c r="O2579" i="2"/>
  <c r="AZ2579" i="2"/>
  <c r="N2579" i="2"/>
  <c r="G2579" i="2"/>
  <c r="AY2579" i="2"/>
  <c r="M2579" i="2"/>
  <c r="AX2579" i="2"/>
  <c r="T2579" i="2"/>
  <c r="L2579" i="2"/>
  <c r="S2579" i="2"/>
  <c r="AS2579" i="2"/>
  <c r="R2579" i="2"/>
  <c r="J2579" i="2"/>
  <c r="Q2579" i="2"/>
  <c r="AX2584" i="2"/>
  <c r="P2584" i="2"/>
  <c r="K2584" i="2"/>
  <c r="J2584" i="2"/>
  <c r="O2584" i="2"/>
  <c r="AY2584" i="2"/>
  <c r="AP2584" i="2"/>
  <c r="N2584" i="2"/>
  <c r="G2584" i="2"/>
  <c r="M2584" i="2"/>
  <c r="AZ2584" i="2"/>
  <c r="AS2584" i="2"/>
  <c r="T2584" i="2"/>
  <c r="L2584" i="2"/>
  <c r="S2584" i="2"/>
  <c r="AW2584" i="2"/>
  <c r="R2584" i="2"/>
  <c r="Q2584" i="2"/>
  <c r="R2583" i="2"/>
  <c r="AS2583" i="2"/>
  <c r="AX2583" i="2"/>
  <c r="Q2583" i="2"/>
  <c r="P2583" i="2"/>
  <c r="AY2583" i="2"/>
  <c r="AP2583" i="2"/>
  <c r="O2583" i="2"/>
  <c r="J2583" i="2"/>
  <c r="G2583" i="2"/>
  <c r="N2583" i="2"/>
  <c r="AZ2583" i="2"/>
  <c r="M2583" i="2"/>
  <c r="T2583" i="2"/>
  <c r="L2583" i="2"/>
  <c r="AW2583" i="2"/>
  <c r="S2583" i="2"/>
  <c r="K2583" i="2"/>
  <c r="AS2588" i="2"/>
  <c r="P2588" i="2"/>
  <c r="J2588" i="2"/>
  <c r="K2588" i="2"/>
  <c r="AZ2588" i="2"/>
  <c r="O2588" i="2"/>
  <c r="S2588" i="2"/>
  <c r="AW2588" i="2"/>
  <c r="N2588" i="2"/>
  <c r="M2588" i="2"/>
  <c r="AX2588" i="2"/>
  <c r="T2588" i="2"/>
  <c r="L2588" i="2"/>
  <c r="AY2588" i="2"/>
  <c r="AP2588" i="2"/>
  <c r="R2588" i="2"/>
  <c r="G2588" i="2"/>
  <c r="Q2588" i="2"/>
  <c r="AS2577" i="2"/>
  <c r="N2577" i="2"/>
  <c r="M2577" i="2"/>
  <c r="AZ2577" i="2"/>
  <c r="T2577" i="2"/>
  <c r="L2577" i="2"/>
  <c r="AY2577" i="2"/>
  <c r="AP2577" i="2"/>
  <c r="S2577" i="2"/>
  <c r="K2577" i="2"/>
  <c r="AW2577" i="2"/>
  <c r="AX2577" i="2"/>
  <c r="R2577" i="2"/>
  <c r="J2577" i="2"/>
  <c r="Q2577" i="2"/>
  <c r="P2577" i="2"/>
  <c r="O2577" i="2"/>
  <c r="G2577" i="2"/>
  <c r="N2585" i="2"/>
  <c r="AY2585" i="2"/>
  <c r="AP2585" i="2"/>
  <c r="M2585" i="2"/>
  <c r="G2585" i="2"/>
  <c r="T2585" i="2"/>
  <c r="L2585" i="2"/>
  <c r="AW2585" i="2"/>
  <c r="AZ2585" i="2"/>
  <c r="AS2585" i="2"/>
  <c r="S2585" i="2"/>
  <c r="K2585" i="2"/>
  <c r="R2585" i="2"/>
  <c r="J2585" i="2"/>
  <c r="Q2585" i="2"/>
  <c r="P2585" i="2"/>
  <c r="AX2585" i="2"/>
  <c r="O2585" i="2"/>
  <c r="AX2578" i="2"/>
  <c r="S2578" i="2"/>
  <c r="K2578" i="2"/>
  <c r="AW2578" i="2"/>
  <c r="R2578" i="2"/>
  <c r="J2578" i="2"/>
  <c r="N2578" i="2"/>
  <c r="AP2578" i="2"/>
  <c r="Q2578" i="2"/>
  <c r="P2578" i="2"/>
  <c r="O2578" i="2"/>
  <c r="AZ2578" i="2"/>
  <c r="M2578" i="2"/>
  <c r="G2578" i="2"/>
  <c r="AY2578" i="2"/>
  <c r="AS2578" i="2"/>
  <c r="T2578" i="2"/>
  <c r="L2578" i="2"/>
  <c r="K17" i="8"/>
  <c r="K16" i="8"/>
  <c r="K18" i="8"/>
  <c r="K12" i="8"/>
  <c r="AB11" i="9"/>
  <c r="AB10" i="9"/>
  <c r="K123" i="8"/>
  <c r="K57" i="8"/>
  <c r="K63" i="8"/>
  <c r="K62" i="8"/>
  <c r="K61" i="8"/>
  <c r="K60" i="8"/>
  <c r="K56" i="8"/>
  <c r="K58" i="8"/>
  <c r="K59" i="8"/>
  <c r="K40" i="8"/>
  <c r="K52" i="8"/>
  <c r="K38" i="8"/>
  <c r="K39" i="8"/>
  <c r="K53" i="8"/>
  <c r="K51" i="8"/>
  <c r="K54" i="8"/>
  <c r="K55" i="8"/>
  <c r="K41" i="8"/>
  <c r="K4" i="8"/>
  <c r="K8" i="8"/>
  <c r="R2256" i="2"/>
  <c r="K9" i="8"/>
  <c r="K10" i="8"/>
  <c r="K7" i="8"/>
  <c r="K6" i="8"/>
  <c r="K5" i="8"/>
  <c r="Q2333" i="2"/>
  <c r="R2318" i="2"/>
  <c r="R2316" i="2"/>
  <c r="Q2331" i="2"/>
  <c r="Q2348" i="2"/>
  <c r="Q2258" i="2"/>
  <c r="Q2250" i="2"/>
  <c r="Q2346" i="2"/>
  <c r="X2346" i="2"/>
  <c r="X2333" i="2"/>
  <c r="Y2318" i="2"/>
  <c r="Y2316" i="2"/>
  <c r="X2348" i="2"/>
  <c r="X2258" i="2"/>
  <c r="X2250" i="2"/>
  <c r="X2331" i="2"/>
  <c r="T2318" i="2"/>
  <c r="T2316" i="2"/>
  <c r="S2331" i="2"/>
  <c r="S2348" i="2"/>
  <c r="S2258" i="2"/>
  <c r="S2250" i="2"/>
  <c r="S2346" i="2"/>
  <c r="S2333" i="2"/>
  <c r="V2348" i="2"/>
  <c r="V2258" i="2"/>
  <c r="V2250" i="2"/>
  <c r="V2346" i="2"/>
  <c r="W2318" i="2"/>
  <c r="W2316" i="2"/>
  <c r="V2331" i="2"/>
  <c r="V2333" i="2"/>
  <c r="T2331" i="2"/>
  <c r="T2348" i="2"/>
  <c r="T2258" i="2"/>
  <c r="T2250" i="2"/>
  <c r="T2333" i="2"/>
  <c r="U2316" i="2"/>
  <c r="U2318" i="2"/>
  <c r="T2346" i="2"/>
  <c r="W2346" i="2"/>
  <c r="W2333" i="2"/>
  <c r="W2331" i="2"/>
  <c r="X2316" i="2"/>
  <c r="W2348" i="2"/>
  <c r="X2318" i="2"/>
  <c r="W2258" i="2"/>
  <c r="W2250" i="2"/>
  <c r="R2333" i="2"/>
  <c r="S2318" i="2"/>
  <c r="S2316" i="2"/>
  <c r="R2331" i="2"/>
  <c r="R2346" i="2"/>
  <c r="R2348" i="2"/>
  <c r="R2258" i="2"/>
  <c r="N2346" i="2"/>
  <c r="N2256" i="2"/>
  <c r="N2333" i="2"/>
  <c r="N2331" i="2"/>
  <c r="N2318" i="2"/>
  <c r="N2316" i="2"/>
  <c r="N2348" i="2"/>
  <c r="N2258" i="2"/>
  <c r="Q1669" i="2"/>
  <c r="W1669" i="2"/>
  <c r="X1669" i="2"/>
  <c r="R1669" i="2"/>
  <c r="V1669" i="2"/>
  <c r="T1669" i="2"/>
  <c r="S1669" i="2"/>
  <c r="N1669" i="2"/>
  <c r="J54" i="32"/>
  <c r="Y2256" i="2"/>
  <c r="BD2256" i="2"/>
  <c r="BC2256" i="2"/>
  <c r="AV2256" i="2"/>
  <c r="AY2256" i="2"/>
  <c r="BE2256" i="2"/>
  <c r="U2256" i="2"/>
  <c r="Z2256" i="2"/>
  <c r="K3" i="3"/>
  <c r="K5" i="3"/>
  <c r="K2" i="3"/>
  <c r="K13" i="8"/>
  <c r="K116" i="9"/>
  <c r="K11" i="9"/>
  <c r="K11" i="8"/>
  <c r="K14" i="8"/>
  <c r="K15" i="8"/>
  <c r="K12" i="9"/>
  <c r="K123" i="9"/>
  <c r="K18" i="9"/>
  <c r="K17" i="9"/>
  <c r="R2250" i="2"/>
  <c r="K16" i="9"/>
  <c r="K14" i="9"/>
  <c r="N2295" i="2"/>
  <c r="R2325" i="2"/>
  <c r="Q2325" i="2"/>
  <c r="V2340" i="2"/>
  <c r="W2340" i="2"/>
  <c r="X2325" i="2"/>
  <c r="U2295" i="2"/>
  <c r="S2295" i="2"/>
  <c r="X2310" i="2"/>
  <c r="U2310" i="2"/>
  <c r="V2325" i="2"/>
  <c r="R2310" i="2"/>
  <c r="T2340" i="2"/>
  <c r="T2325" i="2"/>
  <c r="W2310" i="2"/>
  <c r="Y2295" i="2"/>
  <c r="BE2346" i="2"/>
  <c r="BE2333" i="2"/>
  <c r="BE2331" i="2"/>
  <c r="BF2318" i="2"/>
  <c r="BF2316" i="2"/>
  <c r="BE2258" i="2"/>
  <c r="BE2250" i="2"/>
  <c r="BE2348" i="2"/>
  <c r="U2348" i="2"/>
  <c r="U2258" i="2"/>
  <c r="U2250" i="2"/>
  <c r="U2346" i="2"/>
  <c r="U2333" i="2"/>
  <c r="V2318" i="2"/>
  <c r="V2316" i="2"/>
  <c r="U2331" i="2"/>
  <c r="AY2331" i="2"/>
  <c r="AY2348" i="2"/>
  <c r="AY2258" i="2"/>
  <c r="AY2250" i="2"/>
  <c r="AY2333" i="2"/>
  <c r="AY2346" i="2"/>
  <c r="AV2331" i="2"/>
  <c r="AV2348" i="2"/>
  <c r="AV2258" i="2"/>
  <c r="AV2250" i="2"/>
  <c r="AV2346" i="2"/>
  <c r="AV2333" i="2"/>
  <c r="BD2318" i="2"/>
  <c r="BD2316" i="2"/>
  <c r="BC2348" i="2"/>
  <c r="BC2258" i="2"/>
  <c r="BC2250" i="2"/>
  <c r="BC2346" i="2"/>
  <c r="BC2333" i="2"/>
  <c r="BC2331" i="2"/>
  <c r="Z2333" i="2"/>
  <c r="Z2331" i="2"/>
  <c r="Z2346" i="2"/>
  <c r="Z2348" i="2"/>
  <c r="Z2258" i="2"/>
  <c r="Z2250" i="2"/>
  <c r="BD2348" i="2"/>
  <c r="BD2258" i="2"/>
  <c r="BD2250" i="2"/>
  <c r="BD2346" i="2"/>
  <c r="BD2331" i="2"/>
  <c r="BD2333" i="2"/>
  <c r="BE2318" i="2"/>
  <c r="BE2316" i="2"/>
  <c r="Y2333" i="2"/>
  <c r="Z2318" i="2"/>
  <c r="Z2316" i="2"/>
  <c r="Y2331" i="2"/>
  <c r="Y2348" i="2"/>
  <c r="Y2258" i="2"/>
  <c r="Y2250" i="2"/>
  <c r="Y2346" i="2"/>
  <c r="N2310" i="2"/>
  <c r="Z1669" i="2"/>
  <c r="BD1669" i="2"/>
  <c r="N2340" i="2"/>
  <c r="T2310" i="2"/>
  <c r="S2340" i="2"/>
  <c r="X2340" i="2"/>
  <c r="BC1669" i="2"/>
  <c r="Y1669" i="2"/>
  <c r="R2340" i="2"/>
  <c r="Y2310" i="2"/>
  <c r="BE1669" i="2"/>
  <c r="T2295" i="2"/>
  <c r="S2325" i="2"/>
  <c r="S2310" i="2"/>
  <c r="W2295" i="2"/>
  <c r="U1669" i="2"/>
  <c r="AY1669" i="2"/>
  <c r="N2250" i="2"/>
  <c r="W2325" i="2"/>
  <c r="Q2340" i="2"/>
  <c r="AV1669" i="2"/>
  <c r="N2325" i="2"/>
  <c r="X2295" i="2"/>
  <c r="R2295" i="2"/>
  <c r="K319" i="9"/>
  <c r="M69" i="32"/>
  <c r="U69" i="32"/>
  <c r="M71" i="32"/>
  <c r="U71" i="32"/>
  <c r="M60" i="32"/>
  <c r="U60" i="32"/>
  <c r="M195" i="32"/>
  <c r="U195" i="32"/>
  <c r="BF2256" i="2"/>
  <c r="K13" i="9"/>
  <c r="K15" i="9"/>
  <c r="BD2325" i="2"/>
  <c r="BD2340" i="2"/>
  <c r="BC2325" i="2"/>
  <c r="AY2325" i="2"/>
  <c r="Z2325" i="2"/>
  <c r="AY2340" i="2"/>
  <c r="BC2340" i="2"/>
  <c r="U2340" i="2"/>
  <c r="V2310" i="2"/>
  <c r="Z2310" i="2"/>
  <c r="BD2310" i="2"/>
  <c r="BF2310" i="2"/>
  <c r="BE2340" i="2"/>
  <c r="Z2295" i="2"/>
  <c r="BF2346" i="2"/>
  <c r="BF2333" i="2"/>
  <c r="BF2348" i="2"/>
  <c r="BF2258" i="2"/>
  <c r="BF2250" i="2"/>
  <c r="BF2331" i="2"/>
  <c r="V2295" i="2"/>
  <c r="U2325" i="2"/>
  <c r="BE2310" i="2"/>
  <c r="Y2325" i="2"/>
  <c r="BE2325" i="2"/>
  <c r="BF1669" i="2"/>
  <c r="AV2325" i="2"/>
  <c r="AV2340" i="2"/>
  <c r="Y2340" i="2"/>
  <c r="Z2340" i="2"/>
  <c r="M59" i="32"/>
  <c r="U59" i="32"/>
  <c r="M75" i="32"/>
  <c r="U75" i="32"/>
  <c r="M79" i="32"/>
  <c r="U79" i="32"/>
  <c r="M78" i="32"/>
  <c r="U78" i="32"/>
  <c r="M76" i="32"/>
  <c r="U76" i="32"/>
  <c r="M80" i="32"/>
  <c r="U80" i="32"/>
  <c r="M172" i="32"/>
  <c r="U172" i="32"/>
  <c r="M55" i="32"/>
  <c r="U55" i="32"/>
  <c r="M62" i="32"/>
  <c r="U62" i="32"/>
  <c r="M72" i="32"/>
  <c r="U72" i="32"/>
  <c r="M54" i="32"/>
  <c r="U54" i="32"/>
  <c r="M68" i="32"/>
  <c r="U68" i="32"/>
  <c r="M61" i="32"/>
  <c r="U61" i="32"/>
  <c r="M51" i="32"/>
  <c r="U51" i="32"/>
  <c r="M47" i="32"/>
  <c r="U47" i="32"/>
  <c r="B424" i="9"/>
  <c r="B214" i="9"/>
  <c r="B319" i="9"/>
  <c r="B634" i="9"/>
  <c r="B529" i="9"/>
  <c r="B109" i="9"/>
  <c r="BF2340" i="2"/>
  <c r="BF2325" i="2"/>
  <c r="M176" i="32"/>
  <c r="U176" i="32"/>
  <c r="M185" i="32"/>
  <c r="U185" i="32"/>
  <c r="M205" i="32"/>
  <c r="U205" i="32"/>
  <c r="M197" i="32"/>
  <c r="U197" i="32"/>
  <c r="M201" i="32"/>
  <c r="U201" i="32"/>
  <c r="M186" i="32"/>
  <c r="U186" i="32"/>
  <c r="M206" i="32"/>
  <c r="U206" i="32"/>
  <c r="M202" i="32"/>
  <c r="U202" i="32"/>
  <c r="M173" i="32"/>
  <c r="U173" i="32"/>
  <c r="M198" i="32"/>
  <c r="U198" i="32"/>
  <c r="M188" i="32"/>
  <c r="U188" i="32"/>
  <c r="M194" i="32"/>
  <c r="U194" i="32"/>
  <c r="M181" i="32"/>
  <c r="U181" i="32"/>
  <c r="M177" i="32"/>
  <c r="U177" i="32"/>
  <c r="M180" i="32"/>
  <c r="U180" i="32"/>
  <c r="M187" i="32"/>
  <c r="U187" i="32"/>
  <c r="E111" i="32"/>
  <c r="I111" i="32"/>
  <c r="E91" i="32"/>
  <c r="I91" i="32"/>
  <c r="E115" i="32"/>
  <c r="I115" i="32"/>
  <c r="E107" i="32"/>
  <c r="I107" i="32"/>
  <c r="E101" i="32"/>
  <c r="I101" i="32"/>
  <c r="E108" i="32"/>
  <c r="I108" i="32"/>
  <c r="E94" i="32"/>
  <c r="I94" i="32"/>
  <c r="E116" i="32"/>
  <c r="I116" i="32"/>
  <c r="E93" i="32"/>
  <c r="I93" i="32"/>
  <c r="E90" i="32"/>
  <c r="I90" i="32"/>
  <c r="E114" i="32"/>
  <c r="I114" i="32"/>
  <c r="E97" i="32"/>
  <c r="I97" i="32"/>
  <c r="E89" i="32"/>
  <c r="I89" i="32"/>
  <c r="E95" i="32"/>
  <c r="I95" i="32"/>
  <c r="E96" i="32"/>
  <c r="I96" i="32"/>
  <c r="E105" i="32"/>
  <c r="I105" i="32"/>
  <c r="E99" i="32"/>
  <c r="I99" i="32"/>
  <c r="E103" i="32"/>
  <c r="I103" i="32"/>
  <c r="E104" i="32"/>
  <c r="I104" i="32"/>
  <c r="E102" i="32"/>
  <c r="I102" i="32"/>
  <c r="E113" i="32"/>
  <c r="I113" i="32"/>
  <c r="E110" i="32"/>
  <c r="I110" i="32"/>
  <c r="E109" i="32"/>
  <c r="I109" i="32"/>
  <c r="E106" i="32"/>
  <c r="I106" i="32"/>
  <c r="E92" i="32"/>
  <c r="I92" i="32"/>
  <c r="E98" i="32"/>
  <c r="I98" i="32"/>
  <c r="I88" i="32"/>
  <c r="D214" i="8"/>
  <c r="I529" i="8" a="1"/>
  <c r="I529" i="8" s="1"/>
  <c r="J529" i="8" a="1"/>
  <c r="J529" i="8" s="1"/>
  <c r="H214" i="8"/>
  <c r="G116" i="32"/>
  <c r="H116" i="32"/>
  <c r="G107" i="32"/>
  <c r="H107" i="32"/>
  <c r="J94" i="32"/>
  <c r="K94" i="32"/>
  <c r="K115" i="32"/>
  <c r="J115" i="32"/>
  <c r="K116" i="32"/>
  <c r="J116" i="32"/>
  <c r="H94" i="32"/>
  <c r="G94" i="32"/>
  <c r="G115" i="32"/>
  <c r="H115" i="32"/>
  <c r="K108" i="32"/>
  <c r="J108" i="32"/>
  <c r="J91" i="32"/>
  <c r="K91" i="32"/>
  <c r="H108" i="32"/>
  <c r="G108" i="32"/>
  <c r="H91" i="32"/>
  <c r="G91" i="32"/>
  <c r="J107" i="32"/>
  <c r="K107" i="32"/>
  <c r="K101" i="32"/>
  <c r="J101" i="32"/>
  <c r="J111" i="32"/>
  <c r="K111" i="32"/>
  <c r="G101" i="32"/>
  <c r="H101" i="32"/>
  <c r="H111" i="32"/>
  <c r="G111" i="32"/>
  <c r="K106" i="32"/>
  <c r="J106" i="32"/>
  <c r="K102" i="32"/>
  <c r="J102" i="32"/>
  <c r="K105" i="32"/>
  <c r="J105" i="32"/>
  <c r="K97" i="32"/>
  <c r="J97" i="32"/>
  <c r="H106" i="32"/>
  <c r="G106" i="32"/>
  <c r="H102" i="32"/>
  <c r="G102" i="32"/>
  <c r="H105" i="32"/>
  <c r="G105" i="32"/>
  <c r="G97" i="32"/>
  <c r="H97" i="32"/>
  <c r="K109" i="32"/>
  <c r="J109" i="32"/>
  <c r="K104" i="32"/>
  <c r="J104" i="32"/>
  <c r="K96" i="32"/>
  <c r="J96" i="32"/>
  <c r="K114" i="32"/>
  <c r="J114" i="32"/>
  <c r="G109" i="32"/>
  <c r="H109" i="32"/>
  <c r="H104" i="32"/>
  <c r="G104" i="32"/>
  <c r="H96" i="32"/>
  <c r="G96" i="32"/>
  <c r="G114" i="32"/>
  <c r="H114" i="32"/>
  <c r="K98" i="32"/>
  <c r="J98" i="32"/>
  <c r="K110" i="32"/>
  <c r="J110" i="32"/>
  <c r="J103" i="32"/>
  <c r="K103" i="32"/>
  <c r="K95" i="32"/>
  <c r="J95" i="32"/>
  <c r="K90" i="32"/>
  <c r="J90" i="32"/>
  <c r="H98" i="32"/>
  <c r="G98" i="32"/>
  <c r="H110" i="32"/>
  <c r="G110" i="32"/>
  <c r="H103" i="32"/>
  <c r="G103" i="32"/>
  <c r="H95" i="32"/>
  <c r="G95" i="32"/>
  <c r="H90" i="32"/>
  <c r="G90" i="32"/>
  <c r="J92" i="32"/>
  <c r="K92" i="32"/>
  <c r="K113" i="32"/>
  <c r="J113" i="32"/>
  <c r="J99" i="32"/>
  <c r="K99" i="32"/>
  <c r="K89" i="32"/>
  <c r="J89" i="32"/>
  <c r="K93" i="32"/>
  <c r="J93" i="32"/>
  <c r="H92" i="32"/>
  <c r="G92" i="32"/>
  <c r="H113" i="32"/>
  <c r="G113" i="32"/>
  <c r="H99" i="32"/>
  <c r="G99" i="32"/>
  <c r="G89" i="32"/>
  <c r="H89" i="32"/>
  <c r="G93" i="32"/>
  <c r="H93" i="32"/>
  <c r="R209" i="32"/>
  <c r="F167" i="32"/>
  <c r="R83" i="32"/>
  <c r="Q83" i="32"/>
  <c r="R167" i="32"/>
  <c r="P209" i="32"/>
  <c r="O83" i="32"/>
  <c r="P167" i="32"/>
  <c r="Q209" i="32"/>
  <c r="O209" i="32"/>
  <c r="G167" i="32"/>
  <c r="J83" i="32"/>
  <c r="I83" i="32"/>
  <c r="N83" i="32"/>
  <c r="S167" i="32"/>
  <c r="N167" i="32"/>
  <c r="D277" i="32"/>
  <c r="F209" i="32"/>
  <c r="J167" i="32"/>
  <c r="E209" i="32"/>
  <c r="G209" i="32"/>
  <c r="E83" i="32"/>
  <c r="I277" i="32"/>
  <c r="E277" i="32"/>
  <c r="H88" i="32"/>
  <c r="G88" i="32"/>
  <c r="E125" i="32"/>
  <c r="K83" i="32"/>
  <c r="K167" i="32"/>
  <c r="I209" i="32"/>
  <c r="P83" i="32"/>
  <c r="J277" i="32"/>
  <c r="Q167" i="32"/>
  <c r="I125" i="32"/>
  <c r="J88" i="32"/>
  <c r="K88" i="32"/>
  <c r="K209" i="32"/>
  <c r="S83" i="32"/>
  <c r="G83" i="32"/>
  <c r="O167" i="32"/>
  <c r="I167" i="32"/>
  <c r="N209" i="32"/>
  <c r="S209" i="32"/>
  <c r="F83" i="32"/>
  <c r="E167" i="32"/>
  <c r="J209" i="32"/>
  <c r="D214" i="9"/>
  <c r="I529" i="9"/>
  <c r="J529" i="9"/>
  <c r="K529" i="9"/>
  <c r="H214" i="9"/>
  <c r="R319" i="9"/>
  <c r="M107" i="32"/>
  <c r="L108" i="32"/>
  <c r="L107" i="32"/>
  <c r="M108" i="32"/>
  <c r="M94" i="32"/>
  <c r="M113" i="32"/>
  <c r="M95" i="32"/>
  <c r="L114" i="32"/>
  <c r="L97" i="32"/>
  <c r="L116" i="32"/>
  <c r="L109" i="32"/>
  <c r="L113" i="32"/>
  <c r="L95" i="32"/>
  <c r="M99" i="32"/>
  <c r="L94" i="32"/>
  <c r="L90" i="32"/>
  <c r="M88" i="32"/>
  <c r="L93" i="32"/>
  <c r="M92" i="32"/>
  <c r="M103" i="32"/>
  <c r="L88" i="32"/>
  <c r="L98" i="32"/>
  <c r="L115" i="32"/>
  <c r="M114" i="32"/>
  <c r="M97" i="32"/>
  <c r="M115" i="32"/>
  <c r="L96" i="32"/>
  <c r="L105" i="32"/>
  <c r="M93" i="32"/>
  <c r="L92" i="32"/>
  <c r="L103" i="32"/>
  <c r="M96" i="32"/>
  <c r="M105" i="32"/>
  <c r="L89" i="32"/>
  <c r="L110" i="32"/>
  <c r="L104" i="32"/>
  <c r="L102" i="32"/>
  <c r="M111" i="32"/>
  <c r="M89" i="32"/>
  <c r="M110" i="32"/>
  <c r="M104" i="32"/>
  <c r="M102" i="32"/>
  <c r="L111" i="32"/>
  <c r="L106" i="32"/>
  <c r="L101" i="32"/>
  <c r="M91" i="32"/>
  <c r="L99" i="32"/>
  <c r="M90" i="32"/>
  <c r="M98" i="32"/>
  <c r="M109" i="32"/>
  <c r="M106" i="32"/>
  <c r="M101" i="32"/>
  <c r="L91" i="32"/>
  <c r="M116" i="32"/>
  <c r="U167" i="32"/>
  <c r="K125" i="32"/>
  <c r="H125" i="32"/>
  <c r="U83" i="32"/>
  <c r="M83" i="32"/>
  <c r="J125" i="32"/>
  <c r="M277" i="32"/>
  <c r="N277" i="32"/>
  <c r="M167" i="32"/>
  <c r="U209" i="32"/>
  <c r="M209" i="32"/>
  <c r="G125" i="32"/>
  <c r="N97" i="32"/>
  <c r="N90" i="32"/>
  <c r="N114" i="32"/>
  <c r="N108" i="32"/>
  <c r="N107" i="32"/>
  <c r="N113" i="32"/>
  <c r="N94" i="32"/>
  <c r="N95" i="32"/>
  <c r="N116" i="32"/>
  <c r="N109" i="32"/>
  <c r="N99" i="32"/>
  <c r="N102" i="32"/>
  <c r="N93" i="32"/>
  <c r="N88" i="32"/>
  <c r="N98" i="32"/>
  <c r="N92" i="32"/>
  <c r="N103" i="32"/>
  <c r="N115" i="32"/>
  <c r="N91" i="32"/>
  <c r="N101" i="32"/>
  <c r="N106" i="32"/>
  <c r="N111" i="32"/>
  <c r="N89" i="32"/>
  <c r="M125" i="32"/>
  <c r="L125" i="32"/>
  <c r="N104" i="32"/>
  <c r="N110" i="32"/>
  <c r="N105" i="32"/>
  <c r="N96" i="32"/>
  <c r="N125" i="32"/>
  <c r="K424" i="9"/>
  <c r="K109" i="9"/>
  <c r="J419" i="8"/>
  <c r="M12" i="32"/>
  <c r="U12" i="32"/>
  <c r="M11" i="32"/>
  <c r="U11" i="32"/>
  <c r="M7" i="32"/>
  <c r="U7" i="32"/>
  <c r="M6" i="32"/>
  <c r="U6" i="32"/>
  <c r="M18" i="32"/>
  <c r="U18" i="32"/>
  <c r="N41" i="32"/>
  <c r="M4" i="32"/>
  <c r="U4" i="32"/>
  <c r="M15" i="32"/>
  <c r="U15" i="32"/>
  <c r="M13" i="32"/>
  <c r="U13" i="32"/>
  <c r="M17" i="32"/>
  <c r="U17" i="32"/>
  <c r="M10" i="32"/>
  <c r="U10" i="32"/>
  <c r="M5" i="32"/>
  <c r="U5" i="32"/>
  <c r="M16" i="32"/>
  <c r="U16" i="32"/>
  <c r="M14" i="32"/>
  <c r="U14" i="32"/>
  <c r="M8" i="32"/>
  <c r="U8" i="32"/>
  <c r="M9" i="32"/>
  <c r="U9" i="32"/>
  <c r="U41" i="32"/>
  <c r="M41" i="32"/>
  <c r="H345" i="8"/>
  <c r="H453" i="8"/>
  <c r="H426" i="8"/>
  <c r="H448" i="8"/>
  <c r="H355" i="8"/>
  <c r="H342" i="8"/>
  <c r="H434" i="8"/>
  <c r="H434" i="9"/>
  <c r="H349" i="8"/>
  <c r="H459" i="8"/>
  <c r="K459" i="8"/>
  <c r="S459" i="8" s="1"/>
  <c r="H432" i="8"/>
  <c r="H432" i="9"/>
  <c r="H378" i="8"/>
  <c r="H479" i="8"/>
  <c r="H431" i="8"/>
  <c r="H454" i="8"/>
  <c r="H319" i="8"/>
  <c r="H353" i="8"/>
  <c r="H375" i="8"/>
  <c r="H441" i="9"/>
  <c r="H478" i="8"/>
  <c r="H476" i="8"/>
  <c r="H328" i="8"/>
  <c r="H324" i="8"/>
  <c r="K324" i="8"/>
  <c r="H337" i="9"/>
  <c r="H458" i="8"/>
  <c r="H445" i="8"/>
  <c r="H440" i="9"/>
  <c r="H369" i="8"/>
  <c r="H436" i="8"/>
  <c r="H480" i="8"/>
  <c r="H368" i="8"/>
  <c r="H425" i="8"/>
  <c r="H346" i="8"/>
  <c r="H443" i="8"/>
  <c r="H473" i="8"/>
  <c r="H322" i="8"/>
  <c r="H427" i="8"/>
  <c r="H352" i="8"/>
  <c r="H340" i="8"/>
  <c r="H377" i="8"/>
  <c r="H433" i="8"/>
  <c r="H433" i="9"/>
  <c r="H451" i="8"/>
  <c r="H122" i="9"/>
  <c r="H452" i="8"/>
  <c r="H338" i="8"/>
  <c r="H444" i="8"/>
  <c r="H366" i="8"/>
  <c r="H477" i="8"/>
  <c r="H471" i="8"/>
  <c r="H326" i="8"/>
  <c r="K326" i="8"/>
  <c r="H424" i="8"/>
  <c r="H437" i="9"/>
  <c r="H437" i="8"/>
  <c r="H329" i="8"/>
  <c r="H461" i="8"/>
  <c r="K461" i="8"/>
  <c r="H435" i="8"/>
  <c r="H435" i="9"/>
  <c r="H450" i="8"/>
  <c r="H474" i="8"/>
  <c r="H344" i="8"/>
  <c r="H367" i="8"/>
  <c r="H440" i="8"/>
  <c r="H372" i="8"/>
  <c r="H460" i="8"/>
  <c r="H475" i="8"/>
  <c r="H146" i="8"/>
  <c r="H356" i="8"/>
  <c r="H341" i="8"/>
  <c r="H159" i="8"/>
  <c r="H347" i="8"/>
  <c r="H472" i="8"/>
  <c r="H343" i="8"/>
  <c r="H442" i="8"/>
  <c r="H442" i="9"/>
  <c r="H167" i="8"/>
  <c r="H482" i="8"/>
  <c r="H457" i="8"/>
  <c r="H447" i="8"/>
  <c r="H325" i="8"/>
  <c r="H112" i="8"/>
  <c r="K112" i="8"/>
  <c r="H374" i="8"/>
  <c r="H336" i="9"/>
  <c r="H116" i="8"/>
  <c r="H139" i="8"/>
  <c r="H127" i="9"/>
  <c r="H117" i="8"/>
  <c r="H117" i="9"/>
  <c r="H327" i="8"/>
  <c r="H327" i="9"/>
  <c r="H133" i="8"/>
  <c r="H145" i="8"/>
  <c r="H128" i="8"/>
  <c r="H111" i="8"/>
  <c r="H321" i="8"/>
  <c r="H161" i="8"/>
  <c r="H371" i="8"/>
  <c r="H168" i="8"/>
  <c r="K168" i="8"/>
  <c r="H483" i="8"/>
  <c r="H138" i="8"/>
  <c r="H348" i="8"/>
  <c r="H339" i="8"/>
  <c r="H320" i="8"/>
  <c r="H114" i="8"/>
  <c r="H429" i="8"/>
  <c r="H132" i="8"/>
  <c r="H481" i="8"/>
  <c r="H115" i="8"/>
  <c r="H430" i="8"/>
  <c r="H332" i="9"/>
  <c r="H332" i="8"/>
  <c r="H336" i="8"/>
  <c r="H131" i="8"/>
  <c r="H446" i="8"/>
  <c r="H323" i="8"/>
  <c r="H163" i="8"/>
  <c r="H373" i="8"/>
  <c r="H162" i="8"/>
  <c r="H441" i="8"/>
  <c r="H337" i="8"/>
  <c r="H135" i="8"/>
  <c r="H164" i="8"/>
  <c r="H109" i="8"/>
  <c r="H449" i="8"/>
  <c r="H165" i="8"/>
  <c r="K165" i="8"/>
  <c r="H125" i="9"/>
  <c r="H335" i="9"/>
  <c r="H335" i="8"/>
  <c r="H330" i="8"/>
  <c r="H330" i="9"/>
  <c r="H120" i="8"/>
  <c r="H142" i="8"/>
  <c r="K142" i="8" s="1"/>
  <c r="S142" i="8" s="1"/>
  <c r="H157" i="8"/>
  <c r="H122" i="8"/>
  <c r="K122" i="8"/>
  <c r="H127" i="8"/>
  <c r="H126" i="9"/>
  <c r="H136" i="8"/>
  <c r="H160" i="8"/>
  <c r="H370" i="8"/>
  <c r="H118" i="8"/>
  <c r="H118" i="9"/>
  <c r="H113" i="8"/>
  <c r="H428" i="8"/>
  <c r="H137" i="8"/>
  <c r="H134" i="8"/>
  <c r="H130" i="8"/>
  <c r="H166" i="8"/>
  <c r="K166" i="8"/>
  <c r="H376" i="8"/>
  <c r="K376" i="8"/>
  <c r="H110" i="8"/>
  <c r="H143" i="8"/>
  <c r="H126" i="8"/>
  <c r="H121" i="8"/>
  <c r="H121" i="9"/>
  <c r="H331" i="8"/>
  <c r="H331" i="9"/>
  <c r="H144" i="8"/>
  <c r="H354" i="8"/>
  <c r="H119" i="8"/>
  <c r="H119" i="9"/>
  <c r="H156" i="8"/>
  <c r="H129" i="8"/>
  <c r="H158" i="8"/>
  <c r="H125" i="8"/>
  <c r="H128" i="9"/>
  <c r="H338" i="9"/>
  <c r="H443" i="9"/>
  <c r="K329" i="8"/>
  <c r="H329" i="9"/>
  <c r="K433" i="9"/>
  <c r="K117" i="9"/>
  <c r="K436" i="8"/>
  <c r="H436" i="9"/>
  <c r="K119" i="9"/>
  <c r="K118" i="9"/>
  <c r="K328" i="8"/>
  <c r="H328" i="9"/>
  <c r="K434" i="8"/>
  <c r="K434" i="9"/>
  <c r="K330" i="9"/>
  <c r="K331" i="9"/>
  <c r="K435" i="9"/>
  <c r="K121" i="9"/>
  <c r="K120" i="8"/>
  <c r="H120" i="9"/>
  <c r="K330" i="8"/>
  <c r="K327" i="9"/>
  <c r="K425" i="8"/>
  <c r="K432" i="9"/>
  <c r="K325" i="8"/>
  <c r="K320" i="8"/>
  <c r="K431" i="8"/>
  <c r="K475" i="8"/>
  <c r="S475" i="8" s="1"/>
  <c r="K354" i="8"/>
  <c r="K113" i="8"/>
  <c r="K481" i="8"/>
  <c r="K471" i="8"/>
  <c r="K353" i="8"/>
  <c r="S353" i="8" s="1"/>
  <c r="K430" i="8"/>
  <c r="K327" i="8"/>
  <c r="K157" i="8"/>
  <c r="K366" i="8"/>
  <c r="S366" i="8" s="1"/>
  <c r="K427" i="8"/>
  <c r="K370" i="8"/>
  <c r="K377" i="8"/>
  <c r="S377" i="8" s="1"/>
  <c r="K322" i="8"/>
  <c r="K332" i="8"/>
  <c r="K372" i="8"/>
  <c r="K483" i="8"/>
  <c r="S483" i="8" s="1"/>
  <c r="K480" i="8"/>
  <c r="S480" i="8" s="1"/>
  <c r="K145" i="8"/>
  <c r="S145" i="8" s="1"/>
  <c r="K367" i="8"/>
  <c r="K121" i="8"/>
  <c r="K114" i="8"/>
  <c r="K332" i="9"/>
  <c r="K437" i="9"/>
  <c r="K109" i="8"/>
  <c r="K119" i="8"/>
  <c r="K428" i="8"/>
  <c r="K162" i="8"/>
  <c r="K160" i="8"/>
  <c r="K472" i="8"/>
  <c r="K159" i="8"/>
  <c r="S159" i="8" s="1"/>
  <c r="K474" i="8"/>
  <c r="K435" i="8"/>
  <c r="K437" i="8"/>
  <c r="K477" i="8"/>
  <c r="S477" i="8" s="1"/>
  <c r="K369" i="8"/>
  <c r="S369" i="8" s="1"/>
  <c r="K476" i="8"/>
  <c r="K378" i="8"/>
  <c r="K355" i="8"/>
  <c r="K319" i="8"/>
  <c r="K424" i="8"/>
  <c r="K373" i="8"/>
  <c r="S373" i="8" s="1"/>
  <c r="K323" i="8"/>
  <c r="K482" i="8"/>
  <c r="K356" i="8"/>
  <c r="S356" i="8" s="1"/>
  <c r="K478" i="8"/>
  <c r="K479" i="8"/>
  <c r="K432" i="8"/>
  <c r="K426" i="8"/>
  <c r="K133" i="8"/>
  <c r="S133" i="8" s="1"/>
  <c r="K167" i="8"/>
  <c r="S167" i="8" s="1"/>
  <c r="K460" i="8"/>
  <c r="K473" i="8"/>
  <c r="K158" i="8"/>
  <c r="K331" i="8"/>
  <c r="K143" i="8"/>
  <c r="S143" i="8" s="1"/>
  <c r="K161" i="8"/>
  <c r="K110" i="8"/>
  <c r="K156" i="8"/>
  <c r="S156" i="8" s="1"/>
  <c r="K164" i="8"/>
  <c r="K163" i="8"/>
  <c r="K116" i="8"/>
  <c r="K146" i="8"/>
  <c r="K458" i="8"/>
  <c r="K120" i="9"/>
  <c r="K436" i="9"/>
  <c r="K321" i="8"/>
  <c r="K374" i="8"/>
  <c r="K111" i="8"/>
  <c r="K144" i="8"/>
  <c r="K368" i="8"/>
  <c r="K433" i="8"/>
  <c r="K117" i="8"/>
  <c r="K375" i="8"/>
  <c r="K118" i="8"/>
  <c r="K371" i="8"/>
  <c r="K429" i="8"/>
  <c r="K122" i="9"/>
  <c r="K115" i="8"/>
  <c r="K328" i="9"/>
  <c r="K329" i="9"/>
  <c r="L732" i="9" l="1"/>
  <c r="P732" i="9"/>
  <c r="D627" i="9"/>
  <c r="Q732" i="9"/>
  <c r="R732" i="9" s="1"/>
  <c r="S732" i="9" s="1"/>
  <c r="T732" i="9" s="1"/>
  <c r="J627" i="9"/>
  <c r="H541" i="9"/>
  <c r="L541" i="9" s="1"/>
  <c r="M541" i="9" s="1"/>
  <c r="N541" i="9" s="1"/>
  <c r="K539" i="9"/>
  <c r="L539" i="9" s="1"/>
  <c r="K537" i="9"/>
  <c r="L537" i="9" s="1"/>
  <c r="H543" i="9"/>
  <c r="K543" i="9"/>
  <c r="L543" i="9" s="1"/>
  <c r="Q646" i="9"/>
  <c r="L638" i="9"/>
  <c r="L115" i="9"/>
  <c r="L430" i="9"/>
  <c r="Q634" i="9"/>
  <c r="L325" i="9"/>
  <c r="Q645" i="9"/>
  <c r="I450" i="9"/>
  <c r="K450" i="9" s="1"/>
  <c r="S450" i="9" s="1"/>
  <c r="Q657" i="9"/>
  <c r="Q664" i="9"/>
  <c r="Q656" i="9"/>
  <c r="R656" i="9" s="1"/>
  <c r="S656" i="9" s="1"/>
  <c r="T656" i="9" s="1"/>
  <c r="I135" i="9"/>
  <c r="K135" i="9" s="1"/>
  <c r="S135" i="9" s="1"/>
  <c r="I345" i="9"/>
  <c r="K345" i="9" s="1"/>
  <c r="S345" i="9" s="1"/>
  <c r="Q642" i="9"/>
  <c r="H535" i="9"/>
  <c r="L535" i="9" s="1"/>
  <c r="M535" i="9" s="1"/>
  <c r="N535" i="9" s="1"/>
  <c r="K533" i="9"/>
  <c r="L533" i="9" s="1"/>
  <c r="G629" i="9"/>
  <c r="P104" i="4"/>
  <c r="H627" i="9"/>
  <c r="L627" i="9" s="1"/>
  <c r="M554" i="9"/>
  <c r="N554" i="9" s="1"/>
  <c r="L562" i="9"/>
  <c r="M562" i="9" s="1"/>
  <c r="N562" i="9" s="1"/>
  <c r="M566" i="8"/>
  <c r="N566" i="8" s="1"/>
  <c r="L265" i="8"/>
  <c r="M310" i="9"/>
  <c r="M311" i="9"/>
  <c r="M280" i="9"/>
  <c r="M256" i="8"/>
  <c r="M567" i="8"/>
  <c r="L304" i="9"/>
  <c r="M563" i="8"/>
  <c r="N563" i="8" s="1"/>
  <c r="L258" i="8"/>
  <c r="L249" i="8"/>
  <c r="M579" i="8"/>
  <c r="N579" i="8" s="1"/>
  <c r="M573" i="8"/>
  <c r="N573" i="8" s="1"/>
  <c r="M278" i="9"/>
  <c r="M262" i="8"/>
  <c r="K257" i="8"/>
  <c r="M251" i="8"/>
  <c r="M283" i="9"/>
  <c r="M296" i="9"/>
  <c r="S460" i="8"/>
  <c r="S476" i="8"/>
  <c r="J253" i="8"/>
  <c r="L253" i="8" s="1"/>
  <c r="Q4" i="8"/>
  <c r="G257" i="8"/>
  <c r="K274" i="8"/>
  <c r="M274" i="8" s="1"/>
  <c r="S733" i="8"/>
  <c r="T733" i="8" s="1"/>
  <c r="L304" i="8"/>
  <c r="M304" i="8" s="1"/>
  <c r="M621" i="8"/>
  <c r="N621" i="8" s="1"/>
  <c r="I298" i="8"/>
  <c r="K298" i="8" s="1"/>
  <c r="M298" i="8" s="1"/>
  <c r="J298" i="8"/>
  <c r="L298" i="8" s="1"/>
  <c r="E253" i="9"/>
  <c r="E265" i="9"/>
  <c r="S165" i="8"/>
  <c r="J234" i="8"/>
  <c r="K254" i="9"/>
  <c r="M254" i="9" s="1"/>
  <c r="G303" i="9"/>
  <c r="L303" i="9" s="1"/>
  <c r="M303" i="9" s="1"/>
  <c r="E287" i="9"/>
  <c r="G287" i="8"/>
  <c r="L287" i="8" s="1"/>
  <c r="F287" i="8"/>
  <c r="K287" i="8" s="1"/>
  <c r="E273" i="9"/>
  <c r="F273" i="8"/>
  <c r="K273" i="8" s="1"/>
  <c r="M273" i="8" s="1"/>
  <c r="G273" i="8"/>
  <c r="L273" i="8" s="1"/>
  <c r="F295" i="8"/>
  <c r="K295" i="8" s="1"/>
  <c r="M295" i="8" s="1"/>
  <c r="G295" i="8"/>
  <c r="L295" i="8" s="1"/>
  <c r="E295" i="9"/>
  <c r="E301" i="9"/>
  <c r="F301" i="8"/>
  <c r="K301" i="8" s="1"/>
  <c r="G301" i="8"/>
  <c r="L301" i="8" s="1"/>
  <c r="J257" i="8"/>
  <c r="I265" i="8"/>
  <c r="O4" i="8"/>
  <c r="G239" i="8"/>
  <c r="L239" i="8" s="1"/>
  <c r="L264" i="9"/>
  <c r="M264" i="9" s="1"/>
  <c r="M614" i="8"/>
  <c r="N614" i="8" s="1"/>
  <c r="I248" i="9"/>
  <c r="J248" i="9" s="1"/>
  <c r="G248" i="9"/>
  <c r="F248" i="9"/>
  <c r="G305" i="9"/>
  <c r="L305" i="9" s="1"/>
  <c r="F305" i="9"/>
  <c r="K305" i="9" s="1"/>
  <c r="I258" i="8"/>
  <c r="K258" i="8" s="1"/>
  <c r="M258" i="8" s="1"/>
  <c r="K225" i="9"/>
  <c r="R4" i="8"/>
  <c r="R104" i="8" s="1"/>
  <c r="F265" i="8"/>
  <c r="K265" i="8" s="1"/>
  <c r="M265" i="8" s="1"/>
  <c r="G256" i="8"/>
  <c r="L256" i="8" s="1"/>
  <c r="J301" i="8"/>
  <c r="I270" i="9"/>
  <c r="K280" i="8"/>
  <c r="M280" i="8" s="1"/>
  <c r="M593" i="8"/>
  <c r="N593" i="8" s="1"/>
  <c r="K344" i="8"/>
  <c r="I217" i="8"/>
  <c r="S674" i="8"/>
  <c r="T674" i="8" s="1"/>
  <c r="F292" i="9"/>
  <c r="K292" i="9" s="1"/>
  <c r="I304" i="9"/>
  <c r="J304" i="9" s="1"/>
  <c r="I262" i="9"/>
  <c r="J262" i="9" s="1"/>
  <c r="L262" i="9" s="1"/>
  <c r="F262" i="9"/>
  <c r="K262" i="9" s="1"/>
  <c r="M262" i="9" s="1"/>
  <c r="E291" i="9"/>
  <c r="J291" i="8"/>
  <c r="F291" i="8"/>
  <c r="K291" i="8" s="1"/>
  <c r="P4" i="8"/>
  <c r="F249" i="8"/>
  <c r="K249" i="8" s="1"/>
  <c r="M249" i="8" s="1"/>
  <c r="F253" i="8"/>
  <c r="K253" i="8" s="1"/>
  <c r="G292" i="9"/>
  <c r="L292" i="9" s="1"/>
  <c r="F304" i="9"/>
  <c r="K304" i="9" s="1"/>
  <c r="M304" i="9" s="1"/>
  <c r="S693" i="8"/>
  <c r="T693" i="8" s="1"/>
  <c r="M628" i="8"/>
  <c r="L297" i="8"/>
  <c r="M297" i="8" s="1"/>
  <c r="I252" i="9"/>
  <c r="J252" i="9" s="1"/>
  <c r="F252" i="9"/>
  <c r="G252" i="9"/>
  <c r="L252" i="9" s="1"/>
  <c r="I279" i="8"/>
  <c r="K279" i="8" s="1"/>
  <c r="M279" i="8" s="1"/>
  <c r="E279" i="9"/>
  <c r="G279" i="8"/>
  <c r="L279" i="8" s="1"/>
  <c r="F270" i="8"/>
  <c r="K270" i="8" s="1"/>
  <c r="M270" i="8" s="1"/>
  <c r="G270" i="8"/>
  <c r="L270" i="8" s="1"/>
  <c r="E276" i="9"/>
  <c r="F276" i="8"/>
  <c r="G276" i="8"/>
  <c r="L276" i="8" s="1"/>
  <c r="I276" i="8"/>
  <c r="E288" i="9"/>
  <c r="F288" i="8"/>
  <c r="G288" i="8"/>
  <c r="L288" i="8" s="1"/>
  <c r="I288" i="8"/>
  <c r="L293" i="8"/>
  <c r="M293" i="8" s="1"/>
  <c r="F300" i="8"/>
  <c r="K300" i="8" s="1"/>
  <c r="M300" i="8" s="1"/>
  <c r="F308" i="8"/>
  <c r="K308" i="8" s="1"/>
  <c r="M308" i="8" s="1"/>
  <c r="S385" i="8"/>
  <c r="S401" i="8"/>
  <c r="P698" i="8"/>
  <c r="M698" i="8"/>
  <c r="H278" i="8"/>
  <c r="N698" i="8"/>
  <c r="O711" i="8"/>
  <c r="N711" i="8"/>
  <c r="P727" i="8"/>
  <c r="O727" i="8"/>
  <c r="H307" i="8"/>
  <c r="D617" i="8"/>
  <c r="M617" i="8" s="1"/>
  <c r="N617" i="8" s="1"/>
  <c r="H302" i="8"/>
  <c r="E617" i="8"/>
  <c r="J617" i="8" a="1"/>
  <c r="J617" i="8" s="1"/>
  <c r="D302" i="8"/>
  <c r="G258" i="9"/>
  <c r="L258" i="9" s="1"/>
  <c r="F258" i="9"/>
  <c r="K258" i="9" s="1"/>
  <c r="J610" i="8" a="1"/>
  <c r="J610" i="8" s="1"/>
  <c r="M610" i="8" s="1"/>
  <c r="N610" i="8" s="1"/>
  <c r="M715" i="8"/>
  <c r="E597" i="8"/>
  <c r="D597" i="8"/>
  <c r="M597" i="8" s="1"/>
  <c r="N597" i="8" s="1"/>
  <c r="N609" i="8"/>
  <c r="G256" i="9"/>
  <c r="L256" i="9" s="1"/>
  <c r="M256" i="9" s="1"/>
  <c r="S181" i="8"/>
  <c r="S397" i="8"/>
  <c r="G255" i="9"/>
  <c r="L255" i="9" s="1"/>
  <c r="F255" i="9"/>
  <c r="K255" i="9" s="1"/>
  <c r="M255" i="9" s="1"/>
  <c r="G237" i="8"/>
  <c r="I273" i="8"/>
  <c r="S710" i="8"/>
  <c r="S191" i="8"/>
  <c r="E269" i="9"/>
  <c r="G269" i="8"/>
  <c r="L269" i="8" s="1"/>
  <c r="F269" i="8"/>
  <c r="K269" i="8" s="1"/>
  <c r="M269" i="8" s="1"/>
  <c r="E271" i="9"/>
  <c r="G271" i="8"/>
  <c r="L271" i="8" s="1"/>
  <c r="M271" i="8" s="1"/>
  <c r="F293" i="9"/>
  <c r="K293" i="9" s="1"/>
  <c r="G293" i="9"/>
  <c r="L293" i="9" s="1"/>
  <c r="G303" i="8"/>
  <c r="L303" i="8" s="1"/>
  <c r="M303" i="8" s="1"/>
  <c r="O644" i="8"/>
  <c r="M434" i="8"/>
  <c r="R684" i="8"/>
  <c r="G259" i="9"/>
  <c r="L259" i="9" s="1"/>
  <c r="F259" i="9"/>
  <c r="K259" i="9" s="1"/>
  <c r="E582" i="8"/>
  <c r="M582" i="8" s="1"/>
  <c r="N582" i="8" s="1"/>
  <c r="D267" i="8"/>
  <c r="O59" i="1"/>
  <c r="O77" i="1"/>
  <c r="D600" i="8"/>
  <c r="M600" i="8" s="1"/>
  <c r="N600" i="8" s="1"/>
  <c r="E600" i="8"/>
  <c r="D602" i="8"/>
  <c r="M602" i="8" s="1"/>
  <c r="N602" i="8" s="1"/>
  <c r="E602" i="8"/>
  <c r="I557" i="8" a="1"/>
  <c r="I557" i="8" s="1"/>
  <c r="D221" i="8"/>
  <c r="F221" i="8" s="1"/>
  <c r="K221" i="8" s="1"/>
  <c r="M326" i="8"/>
  <c r="J231" i="8"/>
  <c r="L588" i="8"/>
  <c r="M588" i="8" s="1"/>
  <c r="E663" i="9"/>
  <c r="L663" i="9" s="1"/>
  <c r="R663" i="9" s="1"/>
  <c r="S663" i="9" s="1"/>
  <c r="T663" i="9" s="1"/>
  <c r="I33" i="9"/>
  <c r="E266" i="9"/>
  <c r="G266" i="8"/>
  <c r="F266" i="8"/>
  <c r="G277" i="8"/>
  <c r="L277" i="8" s="1"/>
  <c r="F277" i="8"/>
  <c r="K277" i="8" s="1"/>
  <c r="E620" i="8"/>
  <c r="D620" i="8"/>
  <c r="D305" i="8"/>
  <c r="O97" i="1"/>
  <c r="O80" i="1"/>
  <c r="E603" i="8"/>
  <c r="D603" i="8"/>
  <c r="I606" i="8" a="1"/>
  <c r="I606" i="8" s="1"/>
  <c r="D606" i="8"/>
  <c r="M606" i="8" s="1"/>
  <c r="N606" i="8" s="1"/>
  <c r="E606" i="8"/>
  <c r="E583" i="8"/>
  <c r="D268" i="8"/>
  <c r="O60" i="1"/>
  <c r="E624" i="8"/>
  <c r="M624" i="8" s="1"/>
  <c r="N624" i="8" s="1"/>
  <c r="I624" i="8" a="1"/>
  <c r="I624" i="8" s="1"/>
  <c r="H309" i="8"/>
  <c r="L612" i="8"/>
  <c r="M612" i="8" s="1"/>
  <c r="S393" i="8"/>
  <c r="S380" i="8"/>
  <c r="I604" i="8" a="1"/>
  <c r="I604" i="8" s="1"/>
  <c r="H289" i="8"/>
  <c r="E604" i="8"/>
  <c r="D604" i="8"/>
  <c r="J627" i="8" a="1"/>
  <c r="J627" i="8" s="1"/>
  <c r="D312" i="8"/>
  <c r="E627" i="8"/>
  <c r="D627" i="8"/>
  <c r="M627" i="8" s="1"/>
  <c r="N627" i="8" s="1"/>
  <c r="O84" i="1"/>
  <c r="D292" i="8"/>
  <c r="H266" i="8"/>
  <c r="M686" i="8"/>
  <c r="O686" i="8"/>
  <c r="N686" i="8"/>
  <c r="M722" i="8"/>
  <c r="N722" i="8"/>
  <c r="L628" i="8"/>
  <c r="G291" i="8"/>
  <c r="L291" i="8" s="1"/>
  <c r="O83" i="1"/>
  <c r="E26" i="8"/>
  <c r="G26" i="8"/>
  <c r="D26" i="8"/>
  <c r="E23" i="8"/>
  <c r="D23" i="8"/>
  <c r="I19" i="8"/>
  <c r="E19" i="8"/>
  <c r="F19" i="8"/>
  <c r="K19" i="8" s="1"/>
  <c r="S19" i="8" s="1"/>
  <c r="M11" i="8"/>
  <c r="R11" i="8"/>
  <c r="Q11" i="8"/>
  <c r="Q11" i="9" s="1"/>
  <c r="E141" i="8"/>
  <c r="F141" i="8"/>
  <c r="G141" i="8"/>
  <c r="D132" i="8"/>
  <c r="D209" i="8" s="1"/>
  <c r="E132" i="8"/>
  <c r="K132" i="8" s="1"/>
  <c r="S132" i="8" s="1"/>
  <c r="F132" i="8"/>
  <c r="N114" i="8"/>
  <c r="Q114" i="8"/>
  <c r="Q114" i="9" s="1"/>
  <c r="R110" i="8"/>
  <c r="Q110" i="8"/>
  <c r="K567" i="8"/>
  <c r="H567" i="8"/>
  <c r="L567" i="8" s="1"/>
  <c r="K575" i="8"/>
  <c r="H575" i="8"/>
  <c r="H583" i="8"/>
  <c r="K583" i="8"/>
  <c r="K591" i="8"/>
  <c r="H591" i="8"/>
  <c r="L591" i="8" s="1"/>
  <c r="M591" i="8" s="1"/>
  <c r="K599" i="8"/>
  <c r="H599" i="8"/>
  <c r="L599" i="8" s="1"/>
  <c r="H607" i="8"/>
  <c r="L607" i="8" s="1"/>
  <c r="M607" i="8" s="1"/>
  <c r="K607" i="8"/>
  <c r="L615" i="8"/>
  <c r="H623" i="8"/>
  <c r="L623" i="8" s="1"/>
  <c r="K623" i="8"/>
  <c r="H564" i="8"/>
  <c r="L564" i="8" s="1"/>
  <c r="K612" i="8"/>
  <c r="S207" i="8"/>
  <c r="N327" i="8"/>
  <c r="N327" i="9" s="1"/>
  <c r="N419" i="9" s="1"/>
  <c r="Q327" i="8"/>
  <c r="S361" i="8"/>
  <c r="R437" i="8"/>
  <c r="P437" i="8"/>
  <c r="H532" i="8"/>
  <c r="H548" i="8"/>
  <c r="H556" i="8"/>
  <c r="H572" i="8"/>
  <c r="L572" i="8" s="1"/>
  <c r="M572" i="8" s="1"/>
  <c r="K604" i="8"/>
  <c r="AB12" i="9"/>
  <c r="G642" i="9"/>
  <c r="G312" i="9"/>
  <c r="E618" i="8"/>
  <c r="O8" i="1"/>
  <c r="P636" i="8" s="1"/>
  <c r="O34" i="1"/>
  <c r="N662" i="8" s="1"/>
  <c r="L562" i="8"/>
  <c r="H596" i="8"/>
  <c r="L596" i="8" s="1"/>
  <c r="H577" i="8"/>
  <c r="L577" i="8" s="1"/>
  <c r="M577" i="8" s="1"/>
  <c r="R729" i="8"/>
  <c r="R676" i="8"/>
  <c r="S676" i="8" s="1"/>
  <c r="T676" i="8" s="1"/>
  <c r="M119" i="8"/>
  <c r="R686" i="8"/>
  <c r="L557" i="8"/>
  <c r="Z39" i="4"/>
  <c r="E667" i="9" s="1"/>
  <c r="L667" i="9" s="1"/>
  <c r="R667" i="9" s="1"/>
  <c r="E667" i="8"/>
  <c r="E665" i="8"/>
  <c r="Z37" i="4"/>
  <c r="I140" i="8"/>
  <c r="E661" i="8"/>
  <c r="Z33" i="4"/>
  <c r="Z29" i="4"/>
  <c r="E657" i="8"/>
  <c r="Z27" i="4"/>
  <c r="I445" i="8"/>
  <c r="Z21" i="4"/>
  <c r="I439" i="9" s="1"/>
  <c r="E649" i="8"/>
  <c r="D618" i="8"/>
  <c r="M618" i="8" s="1"/>
  <c r="N618" i="8" s="1"/>
  <c r="H585" i="8"/>
  <c r="L585" i="8" s="1"/>
  <c r="R698" i="8"/>
  <c r="S698" i="8" s="1"/>
  <c r="T698" i="8" s="1"/>
  <c r="R716" i="8"/>
  <c r="S716" i="8" s="1"/>
  <c r="T716" i="8" s="1"/>
  <c r="L12" i="9"/>
  <c r="S172" i="8"/>
  <c r="S499" i="8"/>
  <c r="F242" i="8"/>
  <c r="O21" i="1"/>
  <c r="N649" i="8" s="1"/>
  <c r="O14" i="1"/>
  <c r="P642" i="8" s="1"/>
  <c r="S642" i="8" s="1"/>
  <c r="T642" i="8" s="1"/>
  <c r="H569" i="8"/>
  <c r="L569" i="8" s="1"/>
  <c r="M569" i="8" s="1"/>
  <c r="M118" i="8"/>
  <c r="Q329" i="8"/>
  <c r="O329" i="8"/>
  <c r="M431" i="8"/>
  <c r="S175" i="8"/>
  <c r="S493" i="8"/>
  <c r="O38" i="1"/>
  <c r="N666" i="8" s="1"/>
  <c r="H580" i="8"/>
  <c r="L580" i="8" s="1"/>
  <c r="M580" i="8" s="1"/>
  <c r="L692" i="8"/>
  <c r="R692" i="8" s="1"/>
  <c r="S692" i="8" s="1"/>
  <c r="T692" i="8" s="1"/>
  <c r="K532" i="8"/>
  <c r="H604" i="8"/>
  <c r="S148" i="8"/>
  <c r="L17" i="8"/>
  <c r="L13" i="8"/>
  <c r="S13" i="8" s="1"/>
  <c r="M116" i="8"/>
  <c r="L112" i="8"/>
  <c r="S381" i="8"/>
  <c r="S508" i="8"/>
  <c r="S409" i="8"/>
  <c r="S389" i="8"/>
  <c r="S183" i="8"/>
  <c r="S188" i="8"/>
  <c r="S509" i="8"/>
  <c r="G237" i="9"/>
  <c r="V59" i="8"/>
  <c r="V61" i="8"/>
  <c r="V58" i="8"/>
  <c r="V46" i="8"/>
  <c r="K27" i="8"/>
  <c r="S27" i="8" s="1"/>
  <c r="O32" i="1"/>
  <c r="N660" i="8" s="1"/>
  <c r="H568" i="8"/>
  <c r="L568" i="8" s="1"/>
  <c r="Q733" i="8"/>
  <c r="R733" i="8" s="1"/>
  <c r="R697" i="8"/>
  <c r="V102" i="8"/>
  <c r="S152" i="8"/>
  <c r="S151" i="8"/>
  <c r="L660" i="8"/>
  <c r="L433" i="8"/>
  <c r="N657" i="8"/>
  <c r="S677" i="8"/>
  <c r="T677" i="8" s="1"/>
  <c r="S523" i="8"/>
  <c r="S186" i="9"/>
  <c r="I334" i="8"/>
  <c r="I342" i="8"/>
  <c r="I346" i="8"/>
  <c r="I350" i="8"/>
  <c r="S412" i="8"/>
  <c r="S413" i="8"/>
  <c r="S414" i="8"/>
  <c r="S417" i="8"/>
  <c r="M432" i="8"/>
  <c r="L11" i="9"/>
  <c r="D10" i="6" s="1"/>
  <c r="J10" i="6" s="1"/>
  <c r="L121" i="9"/>
  <c r="K131" i="9"/>
  <c r="L332" i="9"/>
  <c r="L425" i="9"/>
  <c r="S425" i="9" s="1"/>
  <c r="L436" i="9"/>
  <c r="S514" i="9"/>
  <c r="K539" i="8"/>
  <c r="K547" i="8"/>
  <c r="K555" i="8"/>
  <c r="I29" i="9"/>
  <c r="L675" i="8"/>
  <c r="R675" i="8" s="1"/>
  <c r="S150" i="8"/>
  <c r="S519" i="8"/>
  <c r="L321" i="9"/>
  <c r="S321" i="9" s="1"/>
  <c r="Q726" i="8"/>
  <c r="Q717" i="8"/>
  <c r="L708" i="8"/>
  <c r="R708" i="8" s="1"/>
  <c r="S708" i="8" s="1"/>
  <c r="T708" i="8" s="1"/>
  <c r="Q690" i="8"/>
  <c r="R690" i="8" s="1"/>
  <c r="S690" i="8" s="1"/>
  <c r="T690" i="8" s="1"/>
  <c r="Q681" i="8"/>
  <c r="R681" i="8" s="1"/>
  <c r="L671" i="8"/>
  <c r="M332" i="8"/>
  <c r="I336" i="8"/>
  <c r="I340" i="8"/>
  <c r="K340" i="8" s="1"/>
  <c r="I344" i="8"/>
  <c r="I348" i="8"/>
  <c r="K348" i="8" s="1"/>
  <c r="S348" i="8" s="1"/>
  <c r="I352" i="8"/>
  <c r="K352" i="8" s="1"/>
  <c r="S352" i="8" s="1"/>
  <c r="M438" i="8"/>
  <c r="Q636" i="8"/>
  <c r="Q647" i="8"/>
  <c r="S358" i="9"/>
  <c r="S366" i="9"/>
  <c r="S374" i="9"/>
  <c r="S382" i="9"/>
  <c r="S390" i="9"/>
  <c r="S414" i="9"/>
  <c r="L432" i="9"/>
  <c r="K535" i="8"/>
  <c r="K543" i="8"/>
  <c r="K551" i="8"/>
  <c r="K559" i="8"/>
  <c r="Q707" i="8"/>
  <c r="R707" i="8" s="1"/>
  <c r="S707" i="8" s="1"/>
  <c r="T707" i="8" s="1"/>
  <c r="R706" i="8"/>
  <c r="M14" i="8"/>
  <c r="I134" i="8"/>
  <c r="M117" i="8"/>
  <c r="I22" i="9"/>
  <c r="K22" i="9" s="1"/>
  <c r="I23" i="9"/>
  <c r="K23" i="9" s="1"/>
  <c r="S23" i="9" s="1"/>
  <c r="I24" i="9"/>
  <c r="L113" i="9"/>
  <c r="L428" i="9"/>
  <c r="I442" i="9"/>
  <c r="I443" i="9"/>
  <c r="K443" i="9" s="1"/>
  <c r="S443" i="9" s="1"/>
  <c r="I444" i="9"/>
  <c r="I445" i="9"/>
  <c r="I451" i="9"/>
  <c r="K451" i="9" s="1"/>
  <c r="S451" i="9" s="1"/>
  <c r="I452" i="9"/>
  <c r="I453" i="9"/>
  <c r="I455" i="9"/>
  <c r="K455" i="9" s="1"/>
  <c r="S455" i="9" s="1"/>
  <c r="I456" i="9"/>
  <c r="L326" i="9"/>
  <c r="S326" i="9" s="1"/>
  <c r="I334" i="9"/>
  <c r="K334" i="9" s="1"/>
  <c r="S334" i="9" s="1"/>
  <c r="I337" i="9"/>
  <c r="I339" i="9"/>
  <c r="I340" i="9"/>
  <c r="K340" i="9" s="1"/>
  <c r="I346" i="9"/>
  <c r="K346" i="9" s="1"/>
  <c r="S346" i="9" s="1"/>
  <c r="I347" i="9"/>
  <c r="I348" i="9"/>
  <c r="I350" i="9"/>
  <c r="L427" i="9"/>
  <c r="I6" i="6" s="1"/>
  <c r="L438" i="9"/>
  <c r="N330" i="8"/>
  <c r="N330" i="9" s="1"/>
  <c r="L723" i="8"/>
  <c r="Q650" i="8"/>
  <c r="R650" i="8" s="1"/>
  <c r="L641" i="8"/>
  <c r="L111" i="9"/>
  <c r="I124" i="9"/>
  <c r="I127" i="9"/>
  <c r="K127" i="9" s="1"/>
  <c r="S127" i="9" s="1"/>
  <c r="I129" i="9"/>
  <c r="I130" i="9"/>
  <c r="K130" i="9" s="1"/>
  <c r="S130" i="9" s="1"/>
  <c r="I136" i="9"/>
  <c r="I137" i="9"/>
  <c r="I138" i="9"/>
  <c r="I140" i="9"/>
  <c r="K140" i="9" s="1"/>
  <c r="L426" i="9"/>
  <c r="S496" i="8"/>
  <c r="S65" i="9"/>
  <c r="S377" i="9"/>
  <c r="S383" i="9"/>
  <c r="S391" i="9"/>
  <c r="S464" i="9"/>
  <c r="V96" i="8"/>
  <c r="S359" i="8"/>
  <c r="S197" i="8"/>
  <c r="S149" i="8"/>
  <c r="S360" i="8"/>
  <c r="V103" i="8"/>
  <c r="V100" i="8"/>
  <c r="S95" i="8"/>
  <c r="V83" i="8"/>
  <c r="S398" i="8"/>
  <c r="V78" i="8"/>
  <c r="V68" i="8"/>
  <c r="V39" i="8"/>
  <c r="V42" i="8"/>
  <c r="S382" i="8"/>
  <c r="S184" i="8"/>
  <c r="V41" i="8"/>
  <c r="S402" i="8"/>
  <c r="S383" i="8"/>
  <c r="S166" i="8"/>
  <c r="S53" i="8"/>
  <c r="S511" i="8"/>
  <c r="S65" i="8"/>
  <c r="V62" i="8"/>
  <c r="S367" i="8"/>
  <c r="S481" i="8"/>
  <c r="S153" i="8"/>
  <c r="V54" i="8"/>
  <c r="S510" i="8"/>
  <c r="S41" i="9"/>
  <c r="S45" i="9"/>
  <c r="S49" i="9"/>
  <c r="S53" i="9"/>
  <c r="S57" i="9"/>
  <c r="S61" i="9"/>
  <c r="S69" i="9"/>
  <c r="S73" i="9"/>
  <c r="S77" i="9"/>
  <c r="S81" i="9"/>
  <c r="S85" i="9"/>
  <c r="S89" i="9"/>
  <c r="S93" i="9"/>
  <c r="S97" i="9"/>
  <c r="S101" i="9"/>
  <c r="S151" i="9"/>
  <c r="S204" i="9"/>
  <c r="S378" i="9"/>
  <c r="S397" i="9"/>
  <c r="S410" i="9"/>
  <c r="S481" i="9"/>
  <c r="S513" i="9"/>
  <c r="V71" i="8"/>
  <c r="V95" i="8"/>
  <c r="K130" i="8"/>
  <c r="S130" i="8" s="1"/>
  <c r="S358" i="8"/>
  <c r="S374" i="8"/>
  <c r="S473" i="8"/>
  <c r="S182" i="8"/>
  <c r="S192" i="8"/>
  <c r="S208" i="8"/>
  <c r="S407" i="8"/>
  <c r="S464" i="8"/>
  <c r="S488" i="8"/>
  <c r="S504" i="8"/>
  <c r="S520" i="8"/>
  <c r="S463" i="8"/>
  <c r="S165" i="9"/>
  <c r="S205" i="9"/>
  <c r="S103" i="8"/>
  <c r="S201" i="8"/>
  <c r="S353" i="9"/>
  <c r="S361" i="9"/>
  <c r="S385" i="9"/>
  <c r="S393" i="9"/>
  <c r="S161" i="8"/>
  <c r="S39" i="8"/>
  <c r="V49" i="8"/>
  <c r="S88" i="8"/>
  <c r="S486" i="8"/>
  <c r="S157" i="8"/>
  <c r="S392" i="8"/>
  <c r="S193" i="8"/>
  <c r="S60" i="8"/>
  <c r="V92" i="8"/>
  <c r="V87" i="8"/>
  <c r="V81" i="8"/>
  <c r="V77" i="8"/>
  <c r="V72" i="8"/>
  <c r="S44" i="8"/>
  <c r="V55" i="8"/>
  <c r="S368" i="8"/>
  <c r="S169" i="8"/>
  <c r="S91" i="8"/>
  <c r="S400" i="8"/>
  <c r="V75" i="8"/>
  <c r="V80" i="8"/>
  <c r="V88" i="8"/>
  <c r="S173" i="8"/>
  <c r="S384" i="8"/>
  <c r="V64" i="8"/>
  <c r="V40" i="8"/>
  <c r="S163" i="8"/>
  <c r="V84" i="8"/>
  <c r="S189" i="8"/>
  <c r="S171" i="8"/>
  <c r="S408" i="8"/>
  <c r="S80" i="8"/>
  <c r="S371" i="8"/>
  <c r="S376" i="8"/>
  <c r="V48" i="8"/>
  <c r="S185" i="8"/>
  <c r="S177" i="8"/>
  <c r="S76" i="8"/>
  <c r="V38" i="8"/>
  <c r="S100" i="8"/>
  <c r="V99" i="8"/>
  <c r="V98" i="8"/>
  <c r="V97" i="8"/>
  <c r="V93" i="8"/>
  <c r="V82" i="8"/>
  <c r="V74" i="8"/>
  <c r="V65" i="8"/>
  <c r="V52" i="8"/>
  <c r="V47" i="8"/>
  <c r="S205" i="8"/>
  <c r="S415" i="8"/>
  <c r="S416" i="8"/>
  <c r="K34" i="9"/>
  <c r="S34" i="9" s="1"/>
  <c r="S395" i="8"/>
  <c r="S462" i="8"/>
  <c r="K444" i="8"/>
  <c r="S444" i="8" s="1"/>
  <c r="S198" i="8"/>
  <c r="S38" i="9"/>
  <c r="S46" i="9"/>
  <c r="S54" i="9"/>
  <c r="S58" i="9"/>
  <c r="S70" i="9"/>
  <c r="S78" i="9"/>
  <c r="S94" i="9"/>
  <c r="S102" i="9"/>
  <c r="S150" i="9"/>
  <c r="S182" i="9"/>
  <c r="S373" i="9"/>
  <c r="S466" i="8"/>
  <c r="S514" i="8"/>
  <c r="S522" i="8"/>
  <c r="S517" i="8"/>
  <c r="V25" i="8"/>
  <c r="S174" i="8"/>
  <c r="S369" i="9"/>
  <c r="S401" i="9"/>
  <c r="S409" i="9"/>
  <c r="S472" i="9"/>
  <c r="S480" i="9"/>
  <c r="S488" i="9"/>
  <c r="S496" i="9"/>
  <c r="S504" i="9"/>
  <c r="S512" i="9"/>
  <c r="S102" i="8"/>
  <c r="S147" i="8"/>
  <c r="S362" i="8"/>
  <c r="S394" i="8"/>
  <c r="S410" i="8"/>
  <c r="S418" i="8"/>
  <c r="K24" i="9"/>
  <c r="S24" i="9" s="1"/>
  <c r="S144" i="8"/>
  <c r="S487" i="8"/>
  <c r="S158" i="8"/>
  <c r="S479" i="8"/>
  <c r="S52" i="8"/>
  <c r="S81" i="8"/>
  <c r="S176" i="8"/>
  <c r="S71" i="8"/>
  <c r="V66" i="8"/>
  <c r="S168" i="8"/>
  <c r="S41" i="8"/>
  <c r="S40" i="8"/>
  <c r="S63" i="8"/>
  <c r="V51" i="8"/>
  <c r="S92" i="8"/>
  <c r="S391" i="8"/>
  <c r="V94" i="8"/>
  <c r="S375" i="8"/>
  <c r="S472" i="8"/>
  <c r="S55" i="8"/>
  <c r="S59" i="8"/>
  <c r="S57" i="8"/>
  <c r="S50" i="8"/>
  <c r="S83" i="8"/>
  <c r="S399" i="8"/>
  <c r="S495" i="8"/>
  <c r="V60" i="8"/>
  <c r="K129" i="9"/>
  <c r="S129" i="9" s="1"/>
  <c r="S96" i="8"/>
  <c r="S45" i="8"/>
  <c r="S101" i="8"/>
  <c r="S79" i="8"/>
  <c r="S202" i="8"/>
  <c r="S154" i="8"/>
  <c r="S204" i="8"/>
  <c r="S160" i="8"/>
  <c r="S471" i="8"/>
  <c r="S54" i="8"/>
  <c r="S58" i="8"/>
  <c r="S82" i="8"/>
  <c r="S72" i="8"/>
  <c r="S74" i="8"/>
  <c r="V91" i="8"/>
  <c r="V79" i="8"/>
  <c r="V63" i="8"/>
  <c r="S51" i="8"/>
  <c r="V44" i="8"/>
  <c r="S390" i="8"/>
  <c r="V56" i="8"/>
  <c r="V90" i="8"/>
  <c r="V73" i="8"/>
  <c r="V85" i="8"/>
  <c r="V57" i="8"/>
  <c r="S42" i="8"/>
  <c r="V67" i="8"/>
  <c r="V43" i="8"/>
  <c r="S97" i="8"/>
  <c r="S200" i="8"/>
  <c r="S465" i="8"/>
  <c r="S503" i="9"/>
  <c r="S144" i="9"/>
  <c r="S184" i="9"/>
  <c r="S459" i="9"/>
  <c r="S467" i="9"/>
  <c r="S475" i="9"/>
  <c r="S483" i="9"/>
  <c r="S491" i="9"/>
  <c r="S499" i="9"/>
  <c r="S507" i="9"/>
  <c r="S515" i="9"/>
  <c r="S523" i="9"/>
  <c r="K33" i="9"/>
  <c r="S33" i="9" s="1"/>
  <c r="S474" i="9"/>
  <c r="S42" i="9"/>
  <c r="S50" i="9"/>
  <c r="S66" i="9"/>
  <c r="S74" i="9"/>
  <c r="S82" i="9"/>
  <c r="S90" i="9"/>
  <c r="S98" i="9"/>
  <c r="S398" i="9"/>
  <c r="S478" i="9"/>
  <c r="S502" i="9"/>
  <c r="S518" i="9"/>
  <c r="K29" i="9"/>
  <c r="S384" i="9"/>
  <c r="S364" i="9"/>
  <c r="S388" i="9"/>
  <c r="S359" i="9"/>
  <c r="S367" i="9"/>
  <c r="S375" i="9"/>
  <c r="S399" i="9"/>
  <c r="S407" i="9"/>
  <c r="S415" i="9"/>
  <c r="S148" i="9"/>
  <c r="S156" i="9"/>
  <c r="S164" i="9"/>
  <c r="S172" i="9"/>
  <c r="S180" i="9"/>
  <c r="S188" i="9"/>
  <c r="S196" i="9"/>
  <c r="S143" i="9"/>
  <c r="S159" i="9"/>
  <c r="S167" i="9"/>
  <c r="S175" i="9"/>
  <c r="S183" i="9"/>
  <c r="S191" i="9"/>
  <c r="S199" i="9"/>
  <c r="H312" i="9"/>
  <c r="I312" i="9" s="1"/>
  <c r="J312" i="9" s="1"/>
  <c r="I627" i="9"/>
  <c r="S417" i="9"/>
  <c r="N732" i="9"/>
  <c r="O732" i="9"/>
  <c r="F312" i="9"/>
  <c r="S207" i="9"/>
  <c r="L641" i="9"/>
  <c r="Q643" i="9"/>
  <c r="R646" i="9"/>
  <c r="S646" i="9" s="1"/>
  <c r="T646" i="9" s="1"/>
  <c r="R636" i="9"/>
  <c r="S636" i="9" s="1"/>
  <c r="T636" i="9" s="1"/>
  <c r="Q635" i="9"/>
  <c r="L634" i="9"/>
  <c r="R634" i="9" s="1"/>
  <c r="J734" i="9"/>
  <c r="L122" i="9"/>
  <c r="L13" i="9"/>
  <c r="R651" i="9"/>
  <c r="S651" i="9" s="1"/>
  <c r="T651" i="9" s="1"/>
  <c r="L664" i="9"/>
  <c r="R664" i="9" s="1"/>
  <c r="Q641" i="9"/>
  <c r="K32" i="9"/>
  <c r="S32" i="9" s="1"/>
  <c r="Q649" i="9"/>
  <c r="I20" i="9"/>
  <c r="K20" i="9" s="1"/>
  <c r="S20" i="9" s="1"/>
  <c r="I21" i="9"/>
  <c r="K21" i="9" s="1"/>
  <c r="S21" i="9" s="1"/>
  <c r="I440" i="9"/>
  <c r="K440" i="9" s="1"/>
  <c r="I441" i="9"/>
  <c r="I448" i="9"/>
  <c r="I449" i="9"/>
  <c r="K449" i="9" s="1"/>
  <c r="S449" i="9" s="1"/>
  <c r="Q640" i="9"/>
  <c r="R640" i="9" s="1"/>
  <c r="S640" i="9" s="1"/>
  <c r="T640" i="9" s="1"/>
  <c r="I335" i="9"/>
  <c r="K335" i="9" s="1"/>
  <c r="S335" i="9" s="1"/>
  <c r="I336" i="9"/>
  <c r="K336" i="9" s="1"/>
  <c r="S336" i="9" s="1"/>
  <c r="I343" i="9"/>
  <c r="I344" i="9"/>
  <c r="K344" i="9" s="1"/>
  <c r="S344" i="9" s="1"/>
  <c r="R658" i="9"/>
  <c r="S658" i="9" s="1"/>
  <c r="T658" i="9" s="1"/>
  <c r="I125" i="9"/>
  <c r="K125" i="9" s="1"/>
  <c r="S125" i="9" s="1"/>
  <c r="I126" i="9"/>
  <c r="K126" i="9" s="1"/>
  <c r="S126" i="9" s="1"/>
  <c r="I133" i="9"/>
  <c r="I134" i="9"/>
  <c r="K134" i="9" s="1"/>
  <c r="S134" i="9" s="1"/>
  <c r="L549" i="9"/>
  <c r="L546" i="9"/>
  <c r="L538" i="9"/>
  <c r="M538" i="9" s="1"/>
  <c r="N538" i="9" s="1"/>
  <c r="K442" i="9"/>
  <c r="S442" i="9" s="1"/>
  <c r="K26" i="9"/>
  <c r="S26" i="9" s="1"/>
  <c r="L557" i="9"/>
  <c r="K136" i="9"/>
  <c r="S136" i="9" s="1"/>
  <c r="L540" i="9"/>
  <c r="M540" i="9" s="1"/>
  <c r="N540" i="9" s="1"/>
  <c r="L551" i="9"/>
  <c r="M551" i="9" s="1"/>
  <c r="N551" i="9" s="1"/>
  <c r="L552" i="9"/>
  <c r="K337" i="9"/>
  <c r="S337" i="9" s="1"/>
  <c r="K28" i="9"/>
  <c r="S28" i="9" s="1"/>
  <c r="K139" i="9"/>
  <c r="S139" i="9" s="1"/>
  <c r="L531" i="9"/>
  <c r="L555" i="9"/>
  <c r="M539" i="9"/>
  <c r="N539" i="9" s="1"/>
  <c r="M537" i="9"/>
  <c r="N537" i="9" s="1"/>
  <c r="G219" i="9"/>
  <c r="F219" i="9"/>
  <c r="O209" i="9"/>
  <c r="D229" i="9"/>
  <c r="D314" i="9" s="1"/>
  <c r="H219" i="9"/>
  <c r="I219" i="9" s="1"/>
  <c r="J219" i="9" s="1"/>
  <c r="D544" i="9"/>
  <c r="H544" i="9" s="1"/>
  <c r="M429" i="9"/>
  <c r="F524" i="9"/>
  <c r="F215" i="9"/>
  <c r="K215" i="9" s="1"/>
  <c r="D238" i="9"/>
  <c r="M559" i="9"/>
  <c r="N559" i="9" s="1"/>
  <c r="D561" i="9"/>
  <c r="K138" i="9"/>
  <c r="K446" i="9"/>
  <c r="S446" i="9" s="1"/>
  <c r="H133" i="9"/>
  <c r="H141" i="9"/>
  <c r="P30" i="4"/>
  <c r="L542" i="9"/>
  <c r="M542" i="9" s="1"/>
  <c r="N542" i="9" s="1"/>
  <c r="L553" i="9"/>
  <c r="L532" i="9"/>
  <c r="M532" i="9" s="1"/>
  <c r="N532" i="9" s="1"/>
  <c r="R654" i="9"/>
  <c r="L560" i="9"/>
  <c r="M560" i="9" s="1"/>
  <c r="N560" i="9" s="1"/>
  <c r="M14" i="9"/>
  <c r="H19" i="9"/>
  <c r="E534" i="9"/>
  <c r="E544" i="9"/>
  <c r="N550" i="9"/>
  <c r="D242" i="9"/>
  <c r="E553" i="9"/>
  <c r="D234" i="9"/>
  <c r="H242" i="9"/>
  <c r="K348" i="9"/>
  <c r="S348" i="9" s="1"/>
  <c r="D654" i="9"/>
  <c r="H137" i="9"/>
  <c r="K137" i="9" s="1"/>
  <c r="S137" i="9" s="1"/>
  <c r="H456" i="9"/>
  <c r="K453" i="9"/>
  <c r="S453" i="9" s="1"/>
  <c r="I534" i="9"/>
  <c r="H439" i="9"/>
  <c r="H246" i="9"/>
  <c r="I243" i="9"/>
  <c r="J243" i="9" s="1"/>
  <c r="E549" i="9"/>
  <c r="M549" i="9" s="1"/>
  <c r="N549" i="9" s="1"/>
  <c r="H339" i="9"/>
  <c r="H347" i="9"/>
  <c r="K347" i="9" s="1"/>
  <c r="S347" i="9" s="1"/>
  <c r="H36" i="9"/>
  <c r="P15" i="4"/>
  <c r="P34" i="4"/>
  <c r="M16" i="9"/>
  <c r="S16" i="9" s="1"/>
  <c r="M649" i="9"/>
  <c r="G220" i="9"/>
  <c r="G9" i="6" s="1"/>
  <c r="O639" i="9"/>
  <c r="F639" i="9"/>
  <c r="H229" i="9"/>
  <c r="I544" i="9"/>
  <c r="M658" i="9"/>
  <c r="H238" i="9"/>
  <c r="I561" i="9"/>
  <c r="F238" i="9"/>
  <c r="G217" i="9"/>
  <c r="L217" i="9" s="1"/>
  <c r="M119" i="9"/>
  <c r="D658" i="9"/>
  <c r="P38" i="4"/>
  <c r="K445" i="9"/>
  <c r="S445" i="9" s="1"/>
  <c r="K454" i="9"/>
  <c r="S454" i="9" s="1"/>
  <c r="M9" i="9"/>
  <c r="L536" i="9"/>
  <c r="M557" i="9"/>
  <c r="N557" i="9" s="1"/>
  <c r="M324" i="9"/>
  <c r="D246" i="9"/>
  <c r="I553" i="9"/>
  <c r="M553" i="9" s="1"/>
  <c r="N553" i="9" s="1"/>
  <c r="H448" i="9"/>
  <c r="M548" i="9"/>
  <c r="N548" i="9" s="1"/>
  <c r="K349" i="9"/>
  <c r="S349" i="9" s="1"/>
  <c r="K452" i="9"/>
  <c r="S452" i="9" s="1"/>
  <c r="K444" i="9"/>
  <c r="S444" i="9" s="1"/>
  <c r="L530" i="9"/>
  <c r="M530" i="9" s="1"/>
  <c r="N530" i="9" s="1"/>
  <c r="L558" i="9"/>
  <c r="L556" i="9"/>
  <c r="M556" i="9" s="1"/>
  <c r="N556" i="9" s="1"/>
  <c r="M329" i="9"/>
  <c r="K341" i="9"/>
  <c r="S341" i="9" s="1"/>
  <c r="K350" i="9"/>
  <c r="S350" i="9" s="1"/>
  <c r="J534" i="9"/>
  <c r="J544" i="9"/>
  <c r="M114" i="9"/>
  <c r="H124" i="9"/>
  <c r="K124" i="9" s="1"/>
  <c r="K220" i="9"/>
  <c r="L240" i="9"/>
  <c r="P21" i="4"/>
  <c r="M121" i="9"/>
  <c r="J216" i="9"/>
  <c r="L216" i="9" s="1"/>
  <c r="K216" i="9"/>
  <c r="M531" i="9"/>
  <c r="N531" i="9" s="1"/>
  <c r="K217" i="9"/>
  <c r="K226" i="9"/>
  <c r="J225" i="9"/>
  <c r="L225" i="9" s="1"/>
  <c r="M225" i="9" s="1"/>
  <c r="M536" i="9"/>
  <c r="N536" i="9" s="1"/>
  <c r="L237" i="9"/>
  <c r="O424" i="9"/>
  <c r="R424" i="9"/>
  <c r="R524" i="9" s="1"/>
  <c r="L424" i="9"/>
  <c r="N638" i="9"/>
  <c r="I533" i="9"/>
  <c r="H218" i="9"/>
  <c r="I218" i="9" s="1"/>
  <c r="O638" i="9"/>
  <c r="J533" i="9"/>
  <c r="J629" i="9" s="1"/>
  <c r="I547" i="9"/>
  <c r="P424" i="9"/>
  <c r="M638" i="9"/>
  <c r="M552" i="9"/>
  <c r="N552" i="9" s="1"/>
  <c r="Q424" i="9"/>
  <c r="E64" i="6"/>
  <c r="G64" i="6"/>
  <c r="L64" i="6" s="1"/>
  <c r="P638" i="9"/>
  <c r="O652" i="9"/>
  <c r="N652" i="9"/>
  <c r="Q652" i="9" s="1"/>
  <c r="R652" i="9" s="1"/>
  <c r="M652" i="9"/>
  <c r="P652" i="9"/>
  <c r="K30" i="9"/>
  <c r="S30" i="9" s="1"/>
  <c r="M558" i="9"/>
  <c r="N558" i="9" s="1"/>
  <c r="L529" i="9"/>
  <c r="J545" i="9"/>
  <c r="M545" i="9" s="1"/>
  <c r="N545" i="9" s="1"/>
  <c r="P650" i="9"/>
  <c r="O650" i="9"/>
  <c r="N650" i="9"/>
  <c r="Q650" i="9" s="1"/>
  <c r="R650" i="9" s="1"/>
  <c r="N648" i="9"/>
  <c r="M648" i="9"/>
  <c r="H228" i="9"/>
  <c r="I228" i="9" s="1"/>
  <c r="J228" i="9" s="1"/>
  <c r="L228" i="9" s="1"/>
  <c r="P648" i="9"/>
  <c r="Q648" i="9" s="1"/>
  <c r="R648" i="9" s="1"/>
  <c r="I543" i="9"/>
  <c r="O648" i="9"/>
  <c r="G4" i="6"/>
  <c r="G223" i="9"/>
  <c r="L223" i="9" s="1"/>
  <c r="M223" i="9" s="1"/>
  <c r="G243" i="9"/>
  <c r="L243" i="9" s="1"/>
  <c r="P660" i="9"/>
  <c r="N653" i="9"/>
  <c r="Q653" i="9" s="1"/>
  <c r="N665" i="9"/>
  <c r="Q665" i="9" s="1"/>
  <c r="O666" i="9"/>
  <c r="P666" i="9"/>
  <c r="F241" i="9"/>
  <c r="G221" i="9"/>
  <c r="G226" i="9"/>
  <c r="L226" i="9" s="1"/>
  <c r="H457" i="9"/>
  <c r="F647" i="9"/>
  <c r="L117" i="9"/>
  <c r="L333" i="9"/>
  <c r="O104" i="9"/>
  <c r="P209" i="9"/>
  <c r="F209" i="9"/>
  <c r="J209" i="9"/>
  <c r="F646" i="9"/>
  <c r="G142" i="9"/>
  <c r="J352" i="9"/>
  <c r="L16" i="9"/>
  <c r="L118" i="9"/>
  <c r="S118" i="9" s="1"/>
  <c r="F243" i="9"/>
  <c r="K243" i="9" s="1"/>
  <c r="M243" i="9" s="1"/>
  <c r="N660" i="9"/>
  <c r="Q660" i="9" s="1"/>
  <c r="R660" i="9" s="1"/>
  <c r="P653" i="9"/>
  <c r="I555" i="9"/>
  <c r="M555" i="9" s="1"/>
  <c r="N555" i="9" s="1"/>
  <c r="H245" i="9"/>
  <c r="P665" i="9"/>
  <c r="H142" i="9"/>
  <c r="M327" i="9"/>
  <c r="M328" i="9"/>
  <c r="M330" i="9"/>
  <c r="M332" i="9"/>
  <c r="M333" i="9"/>
  <c r="D352" i="9"/>
  <c r="F645" i="9"/>
  <c r="L17" i="9"/>
  <c r="L327" i="9"/>
  <c r="J419" i="9"/>
  <c r="Q13" i="9"/>
  <c r="Q14" i="9"/>
  <c r="Q15" i="9"/>
  <c r="Q16" i="9"/>
  <c r="Q17" i="9"/>
  <c r="Q18" i="9"/>
  <c r="Q117" i="9"/>
  <c r="Q118" i="9"/>
  <c r="Q119" i="9"/>
  <c r="Q120" i="9"/>
  <c r="Q121" i="9"/>
  <c r="Q122" i="9"/>
  <c r="Q123" i="9"/>
  <c r="E352" i="9"/>
  <c r="F644" i="9"/>
  <c r="D667" i="9"/>
  <c r="D734" i="9" s="1"/>
  <c r="G352" i="9"/>
  <c r="L18" i="9"/>
  <c r="I142" i="9"/>
  <c r="R662" i="9"/>
  <c r="R12" i="9"/>
  <c r="R13" i="9"/>
  <c r="R14" i="9"/>
  <c r="R121" i="9"/>
  <c r="R122" i="9"/>
  <c r="R123" i="9"/>
  <c r="O327" i="9"/>
  <c r="O328" i="9"/>
  <c r="O329" i="9"/>
  <c r="O330" i="9"/>
  <c r="O331" i="9"/>
  <c r="O332" i="9"/>
  <c r="O333" i="9"/>
  <c r="F352" i="9"/>
  <c r="F643" i="9"/>
  <c r="H37" i="9"/>
  <c r="J457" i="9"/>
  <c r="P328" i="9"/>
  <c r="P329" i="9"/>
  <c r="P330" i="9"/>
  <c r="P331" i="9"/>
  <c r="P332" i="9"/>
  <c r="P333" i="9"/>
  <c r="M432" i="9"/>
  <c r="S432" i="9" s="1"/>
  <c r="M433" i="9"/>
  <c r="M435" i="9"/>
  <c r="M437" i="9"/>
  <c r="M438" i="9"/>
  <c r="S438" i="9" s="1"/>
  <c r="F642" i="9"/>
  <c r="L642" i="9" s="1"/>
  <c r="R642" i="9" s="1"/>
  <c r="S642" i="9" s="1"/>
  <c r="G457" i="9"/>
  <c r="K219" i="9"/>
  <c r="R659" i="9"/>
  <c r="S659" i="9" s="1"/>
  <c r="T659" i="9" s="1"/>
  <c r="S664" i="9"/>
  <c r="T664" i="9" s="1"/>
  <c r="Q327" i="9"/>
  <c r="Q328" i="9"/>
  <c r="Q329" i="9"/>
  <c r="Q330" i="9"/>
  <c r="Q331" i="9"/>
  <c r="Q332" i="9"/>
  <c r="Q333" i="9"/>
  <c r="L331" i="9"/>
  <c r="S331" i="9" s="1"/>
  <c r="D209" i="9"/>
  <c r="F233" i="9"/>
  <c r="I239" i="9"/>
  <c r="J239" i="9" s="1"/>
  <c r="L239" i="9" s="1"/>
  <c r="M12" i="9"/>
  <c r="M13" i="9"/>
  <c r="M15" i="9"/>
  <c r="M17" i="9"/>
  <c r="M18" i="9"/>
  <c r="M123" i="9"/>
  <c r="R332" i="9"/>
  <c r="R419" i="9" s="1"/>
  <c r="G37" i="9"/>
  <c r="H539" i="8"/>
  <c r="L539" i="8" s="1"/>
  <c r="H529" i="8"/>
  <c r="V23" i="8"/>
  <c r="H555" i="8"/>
  <c r="L555" i="8" s="1"/>
  <c r="H547" i="8"/>
  <c r="L547" i="8" s="1"/>
  <c r="J734" i="8"/>
  <c r="Q649" i="8"/>
  <c r="Q639" i="8"/>
  <c r="Q656" i="8"/>
  <c r="S8" i="9"/>
  <c r="K453" i="8"/>
  <c r="L640" i="8"/>
  <c r="Q637" i="8"/>
  <c r="L653" i="8"/>
  <c r="R653" i="8" s="1"/>
  <c r="L657" i="8"/>
  <c r="Q645" i="8"/>
  <c r="L636" i="8"/>
  <c r="R636" i="8" s="1"/>
  <c r="S636" i="8" s="1"/>
  <c r="T636" i="8" s="1"/>
  <c r="L662" i="8"/>
  <c r="L644" i="8"/>
  <c r="R644" i="8" s="1"/>
  <c r="R640" i="8"/>
  <c r="Q641" i="8"/>
  <c r="L649" i="8"/>
  <c r="K25" i="8"/>
  <c r="S25" i="8" s="1"/>
  <c r="S729" i="8"/>
  <c r="S513" i="8"/>
  <c r="L728" i="8"/>
  <c r="Q728" i="8"/>
  <c r="G647" i="8"/>
  <c r="AD19" i="4"/>
  <c r="AD17" i="4"/>
  <c r="G645" i="8"/>
  <c r="AD15" i="4"/>
  <c r="L433" i="9" s="1"/>
  <c r="L328" i="8"/>
  <c r="G643" i="8"/>
  <c r="AD11" i="4"/>
  <c r="L324" i="9" s="1"/>
  <c r="G639" i="8"/>
  <c r="L9" i="8"/>
  <c r="S9" i="8" s="1"/>
  <c r="L7" i="8"/>
  <c r="S7" i="8" s="1"/>
  <c r="G637" i="8"/>
  <c r="AD9" i="4"/>
  <c r="L112" i="9" s="1"/>
  <c r="L5" i="8"/>
  <c r="AD7" i="4"/>
  <c r="L320" i="9" s="1"/>
  <c r="S320" i="9" s="1"/>
  <c r="L425" i="8"/>
  <c r="G635" i="8"/>
  <c r="L320" i="8"/>
  <c r="L643" i="8"/>
  <c r="Q643" i="8"/>
  <c r="L646" i="8"/>
  <c r="Q646" i="8"/>
  <c r="Q651" i="8"/>
  <c r="L651" i="8"/>
  <c r="G629" i="8"/>
  <c r="H534" i="8"/>
  <c r="L534" i="8" s="1"/>
  <c r="K542" i="8"/>
  <c r="H542" i="8"/>
  <c r="H550" i="8"/>
  <c r="K550" i="8"/>
  <c r="H558" i="8"/>
  <c r="L558" i="8" s="1"/>
  <c r="K558" i="8"/>
  <c r="Q718" i="8"/>
  <c r="L718" i="8"/>
  <c r="Q709" i="8"/>
  <c r="L709" i="8"/>
  <c r="L700" i="8"/>
  <c r="R700" i="8" s="1"/>
  <c r="T700" i="8" s="1"/>
  <c r="Q700" i="8"/>
  <c r="R691" i="8"/>
  <c r="S691" i="8" s="1"/>
  <c r="T691" i="8" s="1"/>
  <c r="Q682" i="8"/>
  <c r="L682" i="8"/>
  <c r="R682" i="8" s="1"/>
  <c r="L673" i="8"/>
  <c r="Q673" i="8"/>
  <c r="S62" i="8"/>
  <c r="S86" i="8"/>
  <c r="L541" i="8"/>
  <c r="T713" i="8"/>
  <c r="S681" i="8"/>
  <c r="T681" i="8" s="1"/>
  <c r="S162" i="8"/>
  <c r="S379" i="8"/>
  <c r="L634" i="8"/>
  <c r="R634" i="8" s="1"/>
  <c r="Q634" i="8"/>
  <c r="S685" i="8"/>
  <c r="T685" i="8" s="1"/>
  <c r="S715" i="8"/>
  <c r="T715" i="8" s="1"/>
  <c r="S706" i="8"/>
  <c r="S387" i="9"/>
  <c r="S477" i="9"/>
  <c r="S93" i="8"/>
  <c r="S78" i="8"/>
  <c r="R689" i="8"/>
  <c r="S689" i="8" s="1"/>
  <c r="T689" i="8" s="1"/>
  <c r="L322" i="8"/>
  <c r="S458" i="8"/>
  <c r="S355" i="8"/>
  <c r="S474" i="8"/>
  <c r="K343" i="8"/>
  <c r="S343" i="8" s="1"/>
  <c r="S38" i="8"/>
  <c r="S131" i="9"/>
  <c r="S678" i="8"/>
  <c r="T678" i="8" s="1"/>
  <c r="S155" i="8"/>
  <c r="S49" i="8"/>
  <c r="S700" i="8"/>
  <c r="S194" i="8"/>
  <c r="H559" i="8"/>
  <c r="L559" i="8" s="1"/>
  <c r="H543" i="8"/>
  <c r="Q657" i="8"/>
  <c r="R668" i="8"/>
  <c r="S668" i="8" s="1"/>
  <c r="L726" i="8"/>
  <c r="R726" i="8" s="1"/>
  <c r="S726" i="8" s="1"/>
  <c r="L720" i="8"/>
  <c r="R720" i="8" s="1"/>
  <c r="Q671" i="8"/>
  <c r="R671" i="8" s="1"/>
  <c r="S671" i="8" s="1"/>
  <c r="T671" i="8" s="1"/>
  <c r="S146" i="8"/>
  <c r="S378" i="8"/>
  <c r="S461" i="8"/>
  <c r="S61" i="8"/>
  <c r="V7" i="8"/>
  <c r="V24" i="8"/>
  <c r="S186" i="8"/>
  <c r="S404" i="8"/>
  <c r="S180" i="8"/>
  <c r="L549" i="8"/>
  <c r="H551" i="8"/>
  <c r="L717" i="8"/>
  <c r="R717" i="8" s="1"/>
  <c r="L120" i="8"/>
  <c r="L429" i="8"/>
  <c r="S429" i="8" s="1"/>
  <c r="S44" i="9"/>
  <c r="S52" i="9"/>
  <c r="S60" i="9"/>
  <c r="S68" i="9"/>
  <c r="S76" i="9"/>
  <c r="S84" i="9"/>
  <c r="S92" i="9"/>
  <c r="S100" i="9"/>
  <c r="L687" i="8"/>
  <c r="R687" i="8" s="1"/>
  <c r="S687" i="8" s="1"/>
  <c r="T687" i="8" s="1"/>
  <c r="S411" i="8"/>
  <c r="S482" i="8"/>
  <c r="S370" i="8"/>
  <c r="K347" i="8"/>
  <c r="S347" i="8" s="1"/>
  <c r="K440" i="8"/>
  <c r="S440" i="8" s="1"/>
  <c r="S701" i="8"/>
  <c r="T701" i="8" s="1"/>
  <c r="S694" i="8"/>
  <c r="T694" i="8" s="1"/>
  <c r="S722" i="8"/>
  <c r="T722" i="8" s="1"/>
  <c r="S386" i="8"/>
  <c r="S388" i="8"/>
  <c r="S179" i="8"/>
  <c r="S490" i="8"/>
  <c r="T729" i="8"/>
  <c r="R660" i="8"/>
  <c r="S660" i="8" s="1"/>
  <c r="T660" i="8" s="1"/>
  <c r="R725" i="8"/>
  <c r="S725" i="8" s="1"/>
  <c r="T725" i="8" s="1"/>
  <c r="R705" i="8"/>
  <c r="S705" i="8" s="1"/>
  <c r="T705" i="8" s="1"/>
  <c r="R641" i="8"/>
  <c r="L15" i="8"/>
  <c r="L114" i="8"/>
  <c r="S114" i="8" s="1"/>
  <c r="L110" i="8"/>
  <c r="S110" i="8" s="1"/>
  <c r="S684" i="8"/>
  <c r="T684" i="8" s="1"/>
  <c r="S363" i="8"/>
  <c r="S364" i="8"/>
  <c r="L656" i="8"/>
  <c r="S702" i="8"/>
  <c r="T702" i="8" s="1"/>
  <c r="S686" i="8"/>
  <c r="T686" i="8" s="1"/>
  <c r="S178" i="8"/>
  <c r="S494" i="8"/>
  <c r="S506" i="8"/>
  <c r="S195" i="8"/>
  <c r="S498" i="8"/>
  <c r="S77" i="8"/>
  <c r="R730" i="8"/>
  <c r="R721" i="8"/>
  <c r="L637" i="8"/>
  <c r="R637" i="8" s="1"/>
  <c r="S637" i="8" s="1"/>
  <c r="T637" i="8" s="1"/>
  <c r="L324" i="8"/>
  <c r="S56" i="9"/>
  <c r="S88" i="9"/>
  <c r="L703" i="8"/>
  <c r="L639" i="8"/>
  <c r="S206" i="8"/>
  <c r="S518" i="8"/>
  <c r="S521" i="8"/>
  <c r="S145" i="9"/>
  <c r="S169" i="9"/>
  <c r="S187" i="9"/>
  <c r="S400" i="9"/>
  <c r="S482" i="9"/>
  <c r="S490" i="9"/>
  <c r="S498" i="9"/>
  <c r="S506" i="9"/>
  <c r="S522" i="9"/>
  <c r="S468" i="9"/>
  <c r="S672" i="8"/>
  <c r="S187" i="8"/>
  <c r="S387" i="8"/>
  <c r="S170" i="8"/>
  <c r="S396" i="8"/>
  <c r="R732" i="8"/>
  <c r="S732" i="8" s="1"/>
  <c r="T732" i="8" s="1"/>
  <c r="Q662" i="8"/>
  <c r="S47" i="8"/>
  <c r="Q711" i="8"/>
  <c r="R711" i="8" s="1"/>
  <c r="S711" i="8" s="1"/>
  <c r="T711" i="8" s="1"/>
  <c r="S164" i="8"/>
  <c r="S478" i="8"/>
  <c r="S372" i="8"/>
  <c r="S354" i="8"/>
  <c r="S670" i="8"/>
  <c r="T670" i="8" s="1"/>
  <c r="S403" i="8"/>
  <c r="S505" i="8"/>
  <c r="K346" i="8"/>
  <c r="S346" i="8" s="1"/>
  <c r="R724" i="8"/>
  <c r="S724" i="8" s="1"/>
  <c r="T724" i="8" s="1"/>
  <c r="S46" i="8"/>
  <c r="L122" i="8"/>
  <c r="S203" i="8"/>
  <c r="L427" i="8"/>
  <c r="L435" i="8"/>
  <c r="S43" i="9"/>
  <c r="S59" i="9"/>
  <c r="S67" i="9"/>
  <c r="S75" i="9"/>
  <c r="S91" i="9"/>
  <c r="S99" i="9"/>
  <c r="S356" i="9"/>
  <c r="S372" i="9"/>
  <c r="S380" i="9"/>
  <c r="S396" i="9"/>
  <c r="S404" i="9"/>
  <c r="S412" i="9"/>
  <c r="S462" i="9"/>
  <c r="S470" i="9"/>
  <c r="S486" i="9"/>
  <c r="S494" i="9"/>
  <c r="S510" i="9"/>
  <c r="L719" i="8"/>
  <c r="K734" i="8"/>
  <c r="T672" i="8"/>
  <c r="S697" i="8"/>
  <c r="T697" i="8" s="1"/>
  <c r="S669" i="8"/>
  <c r="T669" i="8" s="1"/>
  <c r="Q683" i="8"/>
  <c r="L659" i="8"/>
  <c r="Q659" i="8"/>
  <c r="Q695" i="8"/>
  <c r="L695" i="8"/>
  <c r="K531" i="8"/>
  <c r="H531" i="8"/>
  <c r="Q731" i="8"/>
  <c r="L731" i="8"/>
  <c r="L667" i="8"/>
  <c r="Q667" i="8"/>
  <c r="R703" i="8"/>
  <c r="S703" i="8" s="1"/>
  <c r="S190" i="8"/>
  <c r="S355" i="9"/>
  <c r="Q712" i="8"/>
  <c r="L712" i="8"/>
  <c r="L704" i="8"/>
  <c r="R704" i="8" s="1"/>
  <c r="S704" i="8" s="1"/>
  <c r="Q696" i="8"/>
  <c r="L696" i="8"/>
  <c r="Q688" i="8"/>
  <c r="L688" i="8"/>
  <c r="L680" i="8"/>
  <c r="R680" i="8" s="1"/>
  <c r="Q664" i="8"/>
  <c r="L664" i="8"/>
  <c r="R664" i="8" s="1"/>
  <c r="L648" i="8"/>
  <c r="R648" i="8" s="1"/>
  <c r="S425" i="8"/>
  <c r="R647" i="8"/>
  <c r="L546" i="8"/>
  <c r="R728" i="8"/>
  <c r="Q654" i="8"/>
  <c r="L654" i="8"/>
  <c r="Q658" i="8"/>
  <c r="L658" i="8"/>
  <c r="Q661" i="8"/>
  <c r="L661" i="8"/>
  <c r="L727" i="8"/>
  <c r="Q727" i="8"/>
  <c r="Q663" i="8"/>
  <c r="L663" i="8"/>
  <c r="R656" i="8"/>
  <c r="T710" i="8"/>
  <c r="T706" i="8"/>
  <c r="R666" i="8"/>
  <c r="L699" i="8"/>
  <c r="Q699" i="8"/>
  <c r="L635" i="8"/>
  <c r="R635" i="8" s="1"/>
  <c r="R652" i="8"/>
  <c r="S714" i="8"/>
  <c r="T714" i="8" s="1"/>
  <c r="Q723" i="8"/>
  <c r="R723" i="8" s="1"/>
  <c r="Q719" i="8"/>
  <c r="L679" i="8"/>
  <c r="R679" i="8" s="1"/>
  <c r="Q679" i="8"/>
  <c r="Q655" i="8"/>
  <c r="L655" i="8"/>
  <c r="S98" i="8"/>
  <c r="I135" i="8"/>
  <c r="K135" i="8" s="1"/>
  <c r="S135" i="8" s="1"/>
  <c r="L321" i="8"/>
  <c r="S321" i="8" s="1"/>
  <c r="L325" i="8"/>
  <c r="S325" i="8" s="1"/>
  <c r="L333" i="8"/>
  <c r="I337" i="8"/>
  <c r="K337" i="8" s="1"/>
  <c r="S337" i="8" s="1"/>
  <c r="I345" i="8"/>
  <c r="K345" i="8" s="1"/>
  <c r="S345" i="8" s="1"/>
  <c r="S47" i="9"/>
  <c r="S95" i="9"/>
  <c r="S153" i="9"/>
  <c r="S161" i="9"/>
  <c r="S177" i="9"/>
  <c r="S185" i="9"/>
  <c r="S193" i="9"/>
  <c r="S201" i="9"/>
  <c r="S502" i="8"/>
  <c r="S497" i="8"/>
  <c r="L533" i="8"/>
  <c r="R665" i="8"/>
  <c r="L115" i="8"/>
  <c r="E9" i="6" s="1"/>
  <c r="S152" i="9"/>
  <c r="S160" i="9"/>
  <c r="S168" i="9"/>
  <c r="S176" i="9"/>
  <c r="S192" i="9"/>
  <c r="S200" i="9"/>
  <c r="S208" i="9"/>
  <c r="S363" i="9"/>
  <c r="S371" i="9"/>
  <c r="S379" i="9"/>
  <c r="S395" i="9"/>
  <c r="S403" i="9"/>
  <c r="S411" i="9"/>
  <c r="S461" i="9"/>
  <c r="S469" i="9"/>
  <c r="S485" i="9"/>
  <c r="S493" i="9"/>
  <c r="S501" i="9"/>
  <c r="S517" i="9"/>
  <c r="S147" i="9"/>
  <c r="S155" i="9"/>
  <c r="S163" i="9"/>
  <c r="S171" i="9"/>
  <c r="S179" i="9"/>
  <c r="S195" i="9"/>
  <c r="S203" i="9"/>
  <c r="S149" i="9"/>
  <c r="S157" i="9"/>
  <c r="S173" i="9"/>
  <c r="S181" i="9"/>
  <c r="S189" i="9"/>
  <c r="S197" i="9"/>
  <c r="S354" i="9"/>
  <c r="S362" i="9"/>
  <c r="S370" i="9"/>
  <c r="S386" i="9"/>
  <c r="S394" i="9"/>
  <c r="S402" i="9"/>
  <c r="S418" i="9"/>
  <c r="L535" i="8"/>
  <c r="S470" i="8"/>
  <c r="S489" i="8"/>
  <c r="L552" i="8"/>
  <c r="M552" i="8" s="1"/>
  <c r="N552" i="8" s="1"/>
  <c r="L550" i="8"/>
  <c r="M550" i="8" s="1"/>
  <c r="N550" i="8" s="1"/>
  <c r="I127" i="8"/>
  <c r="K127" i="8" s="1"/>
  <c r="L123" i="8"/>
  <c r="L426" i="8"/>
  <c r="S426" i="8" s="1"/>
  <c r="L430" i="8"/>
  <c r="S430" i="8" s="1"/>
  <c r="I442" i="8"/>
  <c r="K442" i="8" s="1"/>
  <c r="S442" i="8" s="1"/>
  <c r="I450" i="8"/>
  <c r="K450" i="8" s="1"/>
  <c r="S158" i="9"/>
  <c r="S166" i="9"/>
  <c r="S174" i="9"/>
  <c r="S190" i="9"/>
  <c r="S198" i="9"/>
  <c r="S206" i="9"/>
  <c r="S357" i="9"/>
  <c r="S365" i="9"/>
  <c r="S381" i="9"/>
  <c r="S389" i="9"/>
  <c r="S405" i="9"/>
  <c r="S413" i="9"/>
  <c r="S360" i="9"/>
  <c r="S368" i="9"/>
  <c r="S376" i="9"/>
  <c r="S392" i="9"/>
  <c r="S408" i="9"/>
  <c r="S416" i="9"/>
  <c r="S463" i="9"/>
  <c r="S479" i="9"/>
  <c r="S487" i="9"/>
  <c r="S495" i="9"/>
  <c r="S511" i="9"/>
  <c r="S519" i="9"/>
  <c r="S465" i="9"/>
  <c r="S473" i="9"/>
  <c r="S489" i="9"/>
  <c r="S497" i="9"/>
  <c r="S505" i="9"/>
  <c r="S521" i="9"/>
  <c r="S99" i="8"/>
  <c r="I22" i="8"/>
  <c r="L18" i="8"/>
  <c r="L10" i="8"/>
  <c r="S10" i="8" s="1"/>
  <c r="L6" i="8"/>
  <c r="S6" i="8" s="1"/>
  <c r="K126" i="8"/>
  <c r="S126" i="8" s="1"/>
  <c r="K335" i="8"/>
  <c r="K124" i="8"/>
  <c r="S124" i="8" s="1"/>
  <c r="V26" i="8"/>
  <c r="K129" i="8"/>
  <c r="S129" i="8" s="1"/>
  <c r="K24" i="8"/>
  <c r="S24" i="8" s="1"/>
  <c r="K137" i="8"/>
  <c r="S137" i="8" s="1"/>
  <c r="K138" i="8"/>
  <c r="S138" i="8" s="1"/>
  <c r="K441" i="8"/>
  <c r="S441" i="8" s="1"/>
  <c r="K439" i="8"/>
  <c r="S439" i="8" s="1"/>
  <c r="L532" i="8"/>
  <c r="S325" i="9"/>
  <c r="H537" i="8"/>
  <c r="L537" i="8" s="1"/>
  <c r="K553" i="8"/>
  <c r="L553" i="8" s="1"/>
  <c r="M553" i="8" s="1"/>
  <c r="N553" i="8" s="1"/>
  <c r="S113" i="8"/>
  <c r="H545" i="8"/>
  <c r="L545" i="8" s="1"/>
  <c r="M545" i="8" s="1"/>
  <c r="N545" i="8" s="1"/>
  <c r="K548" i="8"/>
  <c r="L548" i="8" s="1"/>
  <c r="M548" i="8" s="1"/>
  <c r="N548" i="8" s="1"/>
  <c r="K556" i="8"/>
  <c r="H561" i="8"/>
  <c r="L561" i="8" s="1"/>
  <c r="M561" i="8" s="1"/>
  <c r="N561" i="8" s="1"/>
  <c r="K140" i="8"/>
  <c r="S140" i="8" s="1"/>
  <c r="L560" i="8"/>
  <c r="S111" i="9"/>
  <c r="K29" i="8"/>
  <c r="S29" i="8" s="1"/>
  <c r="E209" i="9"/>
  <c r="G524" i="9"/>
  <c r="J524" i="8"/>
  <c r="K447" i="8"/>
  <c r="S447" i="8" s="1"/>
  <c r="J524" i="9"/>
  <c r="K445" i="8"/>
  <c r="S445" i="8" s="1"/>
  <c r="K452" i="8"/>
  <c r="S452" i="8" s="1"/>
  <c r="G238" i="8"/>
  <c r="F238" i="8"/>
  <c r="K238" i="8" s="1"/>
  <c r="M238" i="8" s="1"/>
  <c r="F230" i="8"/>
  <c r="G230" i="8"/>
  <c r="L230" i="8" s="1"/>
  <c r="G223" i="8"/>
  <c r="G12" i="6" s="1"/>
  <c r="F223" i="8"/>
  <c r="J238" i="8"/>
  <c r="L238" i="8" s="1"/>
  <c r="E539" i="8"/>
  <c r="S344" i="8"/>
  <c r="K21" i="8"/>
  <c r="S21" i="8" s="1"/>
  <c r="E419" i="9"/>
  <c r="D539" i="8"/>
  <c r="H224" i="8"/>
  <c r="F644" i="8"/>
  <c r="J539" i="8" a="1"/>
  <c r="J539" i="8" s="1"/>
  <c r="I539" i="8" a="1"/>
  <c r="I539" i="8" s="1"/>
  <c r="D224" i="8"/>
  <c r="G224" i="8" s="1"/>
  <c r="O16" i="1"/>
  <c r="P644" i="8" s="1"/>
  <c r="D652" i="8"/>
  <c r="S652" i="8" s="1"/>
  <c r="T652" i="8" s="1"/>
  <c r="M652" i="8"/>
  <c r="H232" i="8"/>
  <c r="H22" i="8"/>
  <c r="V22" i="8" s="1"/>
  <c r="D232" i="8"/>
  <c r="G232" i="8" s="1"/>
  <c r="D547" i="8"/>
  <c r="I547" i="8" a="1"/>
  <c r="I547" i="8" s="1"/>
  <c r="O36" i="1"/>
  <c r="N664" i="8" s="1"/>
  <c r="D559" i="8"/>
  <c r="E559" i="8"/>
  <c r="M664" i="8"/>
  <c r="H244" i="8"/>
  <c r="H34" i="8"/>
  <c r="V34" i="8" s="1"/>
  <c r="I559" i="8" a="1"/>
  <c r="I559" i="8" s="1"/>
  <c r="M661" i="8"/>
  <c r="I556" i="8" a="1"/>
  <c r="I556" i="8" s="1"/>
  <c r="D661" i="8"/>
  <c r="H31" i="8"/>
  <c r="K31" i="8" s="1"/>
  <c r="S31" i="8" s="1"/>
  <c r="H241" i="8"/>
  <c r="I241" i="8" s="1"/>
  <c r="E556" i="8"/>
  <c r="J556" i="8" a="1"/>
  <c r="J556" i="8" s="1"/>
  <c r="D241" i="8"/>
  <c r="J533" i="8" a="1"/>
  <c r="J533" i="8" s="1"/>
  <c r="O10" i="1"/>
  <c r="P638" i="8" s="1"/>
  <c r="I533" i="8" a="1"/>
  <c r="I533" i="8" s="1"/>
  <c r="O638" i="8"/>
  <c r="D533" i="8"/>
  <c r="D218" i="8"/>
  <c r="F638" i="8"/>
  <c r="E533" i="8"/>
  <c r="H219" i="8"/>
  <c r="O639" i="8"/>
  <c r="E534" i="8"/>
  <c r="I534" i="8" a="1"/>
  <c r="I534" i="8" s="1"/>
  <c r="F639" i="8"/>
  <c r="O11" i="1"/>
  <c r="P639" i="8" s="1"/>
  <c r="D534" i="8"/>
  <c r="D219" i="8"/>
  <c r="I247" i="8"/>
  <c r="J247" i="8"/>
  <c r="D524" i="9"/>
  <c r="F224" i="8"/>
  <c r="D419" i="9"/>
  <c r="L544" i="8"/>
  <c r="M544" i="8" s="1"/>
  <c r="N544" i="8" s="1"/>
  <c r="S117" i="8"/>
  <c r="H419" i="8"/>
  <c r="K457" i="8"/>
  <c r="S457" i="8" s="1"/>
  <c r="G524" i="8"/>
  <c r="H7" i="6"/>
  <c r="M549" i="8"/>
  <c r="N549" i="8" s="1"/>
  <c r="L540" i="8"/>
  <c r="J531" i="8" a="1"/>
  <c r="J531" i="8" s="1"/>
  <c r="G233" i="8"/>
  <c r="F233" i="8"/>
  <c r="K233" i="8" s="1"/>
  <c r="K455" i="8"/>
  <c r="S455" i="8" s="1"/>
  <c r="O39" i="1"/>
  <c r="N667" i="8" s="1"/>
  <c r="S428" i="8"/>
  <c r="S340" i="8"/>
  <c r="G231" i="8"/>
  <c r="L231" i="8" s="1"/>
  <c r="F231" i="8"/>
  <c r="K231" i="8" s="1"/>
  <c r="L223" i="8"/>
  <c r="M538" i="8"/>
  <c r="I237" i="8"/>
  <c r="K237" i="8" s="1"/>
  <c r="J237" i="8"/>
  <c r="V19" i="8"/>
  <c r="F419" i="9"/>
  <c r="L242" i="8"/>
  <c r="K247" i="8"/>
  <c r="F209" i="8"/>
  <c r="K336" i="8"/>
  <c r="S336" i="8" s="1"/>
  <c r="S323" i="9"/>
  <c r="D419" i="8"/>
  <c r="E524" i="8"/>
  <c r="S430" i="9"/>
  <c r="S4" i="9"/>
  <c r="K242" i="8"/>
  <c r="M242" i="8" s="1"/>
  <c r="K448" i="8"/>
  <c r="S448" i="8" s="1"/>
  <c r="K451" i="8"/>
  <c r="S451" i="8" s="1"/>
  <c r="O28" i="1"/>
  <c r="N656" i="8" s="1"/>
  <c r="H236" i="8"/>
  <c r="F634" i="8"/>
  <c r="O634" i="8"/>
  <c r="M555" i="8"/>
  <c r="N555" i="8" s="1"/>
  <c r="M540" i="8"/>
  <c r="N540" i="8" s="1"/>
  <c r="O33" i="1"/>
  <c r="N661" i="8" s="1"/>
  <c r="E560" i="8"/>
  <c r="M665" i="8"/>
  <c r="O30" i="1"/>
  <c r="N658" i="8" s="1"/>
  <c r="H28" i="8"/>
  <c r="V28" i="8" s="1"/>
  <c r="S121" i="8"/>
  <c r="H209" i="8"/>
  <c r="S324" i="8"/>
  <c r="K449" i="8"/>
  <c r="S449" i="8" s="1"/>
  <c r="F524" i="8"/>
  <c r="J216" i="8"/>
  <c r="E7" i="6"/>
  <c r="G217" i="8"/>
  <c r="F217" i="8"/>
  <c r="K217" i="8" s="1"/>
  <c r="K30" i="8"/>
  <c r="S30" i="8" s="1"/>
  <c r="K134" i="8"/>
  <c r="S134" i="8" s="1"/>
  <c r="M546" i="8"/>
  <c r="N546" i="8" s="1"/>
  <c r="J215" i="8"/>
  <c r="K20" i="8"/>
  <c r="S20" i="8" s="1"/>
  <c r="P209" i="8"/>
  <c r="Q209" i="8"/>
  <c r="V32" i="8"/>
  <c r="K342" i="8"/>
  <c r="S342" i="8" s="1"/>
  <c r="O12" i="1"/>
  <c r="P640" i="8" s="1"/>
  <c r="S640" i="8" s="1"/>
  <c r="T640" i="8" s="1"/>
  <c r="E535" i="8"/>
  <c r="M535" i="8" s="1"/>
  <c r="N535" i="8" s="1"/>
  <c r="H220" i="8"/>
  <c r="O18" i="1"/>
  <c r="P646" i="8" s="1"/>
  <c r="E541" i="8"/>
  <c r="M541" i="8" s="1"/>
  <c r="N541" i="8" s="1"/>
  <c r="D226" i="8"/>
  <c r="O646" i="8"/>
  <c r="O19" i="1"/>
  <c r="P647" i="8" s="1"/>
  <c r="F647" i="8"/>
  <c r="J542" i="8" a="1"/>
  <c r="J542" i="8" s="1"/>
  <c r="O27" i="1"/>
  <c r="N655" i="8" s="1"/>
  <c r="S109" i="8"/>
  <c r="H524" i="8"/>
  <c r="S650" i="8"/>
  <c r="T650" i="8" s="1"/>
  <c r="M532" i="8"/>
  <c r="N532" i="8" s="1"/>
  <c r="K239" i="8"/>
  <c r="M239" i="8" s="1"/>
  <c r="H33" i="8"/>
  <c r="K33" i="8" s="1"/>
  <c r="S33" i="8" s="1"/>
  <c r="D558" i="8"/>
  <c r="V5" i="8"/>
  <c r="O23" i="1"/>
  <c r="N651" i="8" s="1"/>
  <c r="O13" i="1"/>
  <c r="P641" i="8" s="1"/>
  <c r="R655" i="8"/>
  <c r="L536" i="8"/>
  <c r="M536" i="8" s="1"/>
  <c r="N536" i="8" s="1"/>
  <c r="K334" i="8"/>
  <c r="S334" i="8" s="1"/>
  <c r="F214" i="8"/>
  <c r="G214" i="8"/>
  <c r="S453" i="8"/>
  <c r="S634" i="9"/>
  <c r="T634" i="9" s="1"/>
  <c r="K136" i="8"/>
  <c r="S136" i="8" s="1"/>
  <c r="K339" i="8"/>
  <c r="S339" i="8" s="1"/>
  <c r="I214" i="9"/>
  <c r="G214" i="9"/>
  <c r="F214" i="9"/>
  <c r="K125" i="8"/>
  <c r="S125" i="8" s="1"/>
  <c r="L529" i="8"/>
  <c r="M529" i="8" s="1"/>
  <c r="F229" i="8"/>
  <c r="F227" i="8"/>
  <c r="E524" i="9"/>
  <c r="E236" i="9"/>
  <c r="I236" i="8"/>
  <c r="J236" i="8"/>
  <c r="E244" i="9"/>
  <c r="I244" i="8"/>
  <c r="F244" i="8"/>
  <c r="J244" i="8"/>
  <c r="F227" i="9"/>
  <c r="G227" i="9"/>
  <c r="I227" i="9"/>
  <c r="J227" i="9" s="1"/>
  <c r="E245" i="9"/>
  <c r="F245" i="8"/>
  <c r="J222" i="8"/>
  <c r="I222" i="8"/>
  <c r="K222" i="8" s="1"/>
  <c r="J240" i="8"/>
  <c r="L240" i="8" s="1"/>
  <c r="I240" i="8"/>
  <c r="K240" i="8" s="1"/>
  <c r="I456" i="8"/>
  <c r="K456" i="8" s="1"/>
  <c r="S456" i="8" s="1"/>
  <c r="I351" i="8"/>
  <c r="I141" i="8"/>
  <c r="I36" i="8"/>
  <c r="K36" i="8" s="1"/>
  <c r="S36" i="8" s="1"/>
  <c r="E666" i="8"/>
  <c r="Z38" i="4"/>
  <c r="E666" i="9" s="1"/>
  <c r="L666" i="9" s="1"/>
  <c r="R666" i="9" s="1"/>
  <c r="S666" i="9" s="1"/>
  <c r="T666" i="9" s="1"/>
  <c r="S427" i="8"/>
  <c r="E419" i="8"/>
  <c r="G209" i="8"/>
  <c r="L215" i="9"/>
  <c r="I231" i="9"/>
  <c r="J231" i="9" s="1"/>
  <c r="L231" i="9" s="1"/>
  <c r="F231" i="9"/>
  <c r="F224" i="9"/>
  <c r="G224" i="9"/>
  <c r="I224" i="9"/>
  <c r="J224" i="9" s="1"/>
  <c r="F419" i="8"/>
  <c r="F12" i="6"/>
  <c r="K223" i="8"/>
  <c r="G247" i="8"/>
  <c r="G234" i="9"/>
  <c r="F234" i="9"/>
  <c r="K234" i="9" s="1"/>
  <c r="I234" i="9"/>
  <c r="J234" i="9" s="1"/>
  <c r="E229" i="9"/>
  <c r="I229" i="8"/>
  <c r="K37" i="8"/>
  <c r="V14" i="8"/>
  <c r="G247" i="9"/>
  <c r="F247" i="9"/>
  <c r="L319" i="8"/>
  <c r="O319" i="8"/>
  <c r="Q319" i="8"/>
  <c r="P319" i="8"/>
  <c r="F9" i="6"/>
  <c r="L215" i="8"/>
  <c r="L244" i="8"/>
  <c r="G241" i="9"/>
  <c r="L241" i="9" s="1"/>
  <c r="I227" i="8"/>
  <c r="J227" i="8"/>
  <c r="L227" i="8" s="1"/>
  <c r="F221" i="9"/>
  <c r="I221" i="9"/>
  <c r="J221" i="9" s="1"/>
  <c r="L221" i="9" s="1"/>
  <c r="J214" i="8"/>
  <c r="I214" i="8"/>
  <c r="R319" i="8"/>
  <c r="J220" i="9"/>
  <c r="V13" i="8"/>
  <c r="F235" i="9"/>
  <c r="I235" i="9"/>
  <c r="J235" i="9" s="1"/>
  <c r="G235" i="9"/>
  <c r="V21" i="8"/>
  <c r="K241" i="9"/>
  <c r="S112" i="8"/>
  <c r="I9" i="6"/>
  <c r="I218" i="8"/>
  <c r="G222" i="8"/>
  <c r="G216" i="8"/>
  <c r="F216" i="8"/>
  <c r="K216" i="8" s="1"/>
  <c r="J246" i="8"/>
  <c r="I246" i="8"/>
  <c r="K246" i="8" s="1"/>
  <c r="K236" i="8"/>
  <c r="I247" i="9"/>
  <c r="J247" i="9" s="1"/>
  <c r="N538" i="8"/>
  <c r="F243" i="8"/>
  <c r="K243" i="8" s="1"/>
  <c r="G243" i="8"/>
  <c r="G245" i="8"/>
  <c r="M240" i="9"/>
  <c r="K350" i="8"/>
  <c r="S350" i="8" s="1"/>
  <c r="O20" i="1"/>
  <c r="P648" i="8" s="1"/>
  <c r="D543" i="8"/>
  <c r="E543" i="8"/>
  <c r="H228" i="8"/>
  <c r="J543" i="8" a="1"/>
  <c r="J543" i="8" s="1"/>
  <c r="J629" i="8" s="1"/>
  <c r="D228" i="8"/>
  <c r="O648" i="8"/>
  <c r="O17" i="1"/>
  <c r="P645" i="8" s="1"/>
  <c r="D225" i="8"/>
  <c r="O645" i="8"/>
  <c r="F645" i="8"/>
  <c r="H225" i="8"/>
  <c r="O37" i="1"/>
  <c r="N665" i="8" s="1"/>
  <c r="H245" i="8"/>
  <c r="D560" i="8"/>
  <c r="H35" i="8"/>
  <c r="S109" i="9"/>
  <c r="N424" i="8"/>
  <c r="J229" i="8"/>
  <c r="L229" i="8" s="1"/>
  <c r="R645" i="8"/>
  <c r="M530" i="8"/>
  <c r="N530" i="8" s="1"/>
  <c r="J241" i="8"/>
  <c r="G246" i="8"/>
  <c r="I246" i="9"/>
  <c r="J246" i="9" s="1"/>
  <c r="G246" i="9"/>
  <c r="F246" i="9"/>
  <c r="M547" i="8"/>
  <c r="N547" i="8" s="1"/>
  <c r="G236" i="8"/>
  <c r="L236" i="8" s="1"/>
  <c r="F222" i="9"/>
  <c r="I222" i="9"/>
  <c r="J222" i="9" s="1"/>
  <c r="I235" i="8"/>
  <c r="G235" i="8"/>
  <c r="L235" i="8" s="1"/>
  <c r="I230" i="9"/>
  <c r="G230" i="9"/>
  <c r="K237" i="9"/>
  <c r="G232" i="9"/>
  <c r="F232" i="9"/>
  <c r="R209" i="8"/>
  <c r="G419" i="9"/>
  <c r="L233" i="8"/>
  <c r="O667" i="8"/>
  <c r="P667" i="8"/>
  <c r="I562" i="8" a="1"/>
  <c r="I562" i="8" s="1"/>
  <c r="F235" i="8"/>
  <c r="K235" i="8" s="1"/>
  <c r="L237" i="8"/>
  <c r="S116" i="9"/>
  <c r="F4" i="6"/>
  <c r="K215" i="8"/>
  <c r="F232" i="8"/>
  <c r="F234" i="8"/>
  <c r="K234" i="8" s="1"/>
  <c r="G234" i="8"/>
  <c r="J243" i="8"/>
  <c r="G222" i="9"/>
  <c r="M557" i="8"/>
  <c r="N557" i="8" s="1"/>
  <c r="G238" i="9"/>
  <c r="I238" i="9"/>
  <c r="J238" i="9" s="1"/>
  <c r="O12" i="8"/>
  <c r="P12" i="8"/>
  <c r="P12" i="9" s="1"/>
  <c r="P104" i="9" s="1"/>
  <c r="Q12" i="8"/>
  <c r="Q104" i="8" s="1"/>
  <c r="R12" i="8"/>
  <c r="M12" i="8"/>
  <c r="N12" i="8"/>
  <c r="P8" i="8"/>
  <c r="O8" i="8"/>
  <c r="L8" i="8"/>
  <c r="O111" i="8"/>
  <c r="O209" i="8" s="1"/>
  <c r="L111" i="8"/>
  <c r="I34" i="8"/>
  <c r="I349" i="8"/>
  <c r="K349" i="8" s="1"/>
  <c r="S349" i="8" s="1"/>
  <c r="I454" i="8"/>
  <c r="K454" i="8" s="1"/>
  <c r="S454" i="8" s="1"/>
  <c r="I139" i="8"/>
  <c r="K139" i="8" s="1"/>
  <c r="S139" i="8" s="1"/>
  <c r="I26" i="8"/>
  <c r="K26" i="8" s="1"/>
  <c r="S26" i="8" s="1"/>
  <c r="I341" i="8"/>
  <c r="I446" i="8"/>
  <c r="K446" i="8" s="1"/>
  <c r="I131" i="8"/>
  <c r="K131" i="8" s="1"/>
  <c r="S131" i="8" s="1"/>
  <c r="L326" i="8"/>
  <c r="S326" i="8" s="1"/>
  <c r="L431" i="8"/>
  <c r="L116" i="8"/>
  <c r="E10" i="6" s="1"/>
  <c r="L11" i="8"/>
  <c r="S11" i="8" s="1"/>
  <c r="V36" i="8"/>
  <c r="S431" i="9"/>
  <c r="S322" i="8"/>
  <c r="I233" i="9"/>
  <c r="J233" i="9" s="1"/>
  <c r="E242" i="9"/>
  <c r="F104" i="9"/>
  <c r="I443" i="8"/>
  <c r="I128" i="8"/>
  <c r="I23" i="8"/>
  <c r="Z25" i="4"/>
  <c r="E653" i="9" s="1"/>
  <c r="L653" i="9" s="1"/>
  <c r="I338" i="8"/>
  <c r="E653" i="8"/>
  <c r="V9" i="8"/>
  <c r="V29" i="8"/>
  <c r="V30" i="8"/>
  <c r="E35" i="8"/>
  <c r="E104" i="8" s="1"/>
  <c r="F35" i="8"/>
  <c r="G35" i="8"/>
  <c r="G104" i="8" s="1"/>
  <c r="D35" i="8"/>
  <c r="D104" i="8" s="1"/>
  <c r="I35" i="8"/>
  <c r="I32" i="8"/>
  <c r="F32" i="8"/>
  <c r="AD16" i="4"/>
  <c r="L14" i="9" s="1"/>
  <c r="G644" i="8"/>
  <c r="L119" i="8"/>
  <c r="S119" i="8" s="1"/>
  <c r="L14" i="8"/>
  <c r="S14" i="8" s="1"/>
  <c r="L329" i="8"/>
  <c r="L434" i="8"/>
  <c r="G233" i="9"/>
  <c r="L554" i="8"/>
  <c r="E104" i="9"/>
  <c r="S428" i="9"/>
  <c r="N432" i="8"/>
  <c r="N432" i="9" s="1"/>
  <c r="Q437" i="8"/>
  <c r="R436" i="8"/>
  <c r="N331" i="8"/>
  <c r="N331" i="9" s="1"/>
  <c r="O330" i="8"/>
  <c r="P329" i="8"/>
  <c r="Q328" i="8"/>
  <c r="R327" i="8"/>
  <c r="M120" i="8"/>
  <c r="M333" i="8"/>
  <c r="M433" i="8"/>
  <c r="L327" i="8"/>
  <c r="S426" i="9"/>
  <c r="O437" i="8"/>
  <c r="P436" i="8"/>
  <c r="Q435" i="8"/>
  <c r="R434" i="8"/>
  <c r="N329" i="8"/>
  <c r="N329" i="9" s="1"/>
  <c r="O328" i="8"/>
  <c r="P327" i="8"/>
  <c r="P327" i="9" s="1"/>
  <c r="M122" i="8"/>
  <c r="M327" i="8"/>
  <c r="M435" i="8"/>
  <c r="L118" i="8"/>
  <c r="L432" i="8"/>
  <c r="N437" i="8"/>
  <c r="N437" i="9" s="1"/>
  <c r="O436" i="8"/>
  <c r="P435" i="8"/>
  <c r="Q434" i="8"/>
  <c r="R433" i="8"/>
  <c r="N328" i="8"/>
  <c r="N328" i="9" s="1"/>
  <c r="O327" i="8"/>
  <c r="R332" i="8"/>
  <c r="M15" i="8"/>
  <c r="M123" i="8"/>
  <c r="S123" i="8" s="1"/>
  <c r="M328" i="8"/>
  <c r="M436" i="8"/>
  <c r="L330" i="8"/>
  <c r="N436" i="8"/>
  <c r="N436" i="9" s="1"/>
  <c r="S436" i="9" s="1"/>
  <c r="O435" i="8"/>
  <c r="P434" i="8"/>
  <c r="Q433" i="8"/>
  <c r="R432" i="8"/>
  <c r="Q332" i="8"/>
  <c r="R331" i="8"/>
  <c r="M16" i="8"/>
  <c r="S16" i="8" s="1"/>
  <c r="M329" i="8"/>
  <c r="M437" i="8"/>
  <c r="L331" i="8"/>
  <c r="L438" i="8"/>
  <c r="I17" i="6" s="1"/>
  <c r="N435" i="8"/>
  <c r="N435" i="9" s="1"/>
  <c r="O434" i="8"/>
  <c r="P433" i="8"/>
  <c r="Q432" i="8"/>
  <c r="Q432" i="9" s="1"/>
  <c r="Q524" i="9" s="1"/>
  <c r="P332" i="8"/>
  <c r="Q331" i="8"/>
  <c r="R330" i="8"/>
  <c r="M17" i="8"/>
  <c r="S17" i="8" s="1"/>
  <c r="M330" i="8"/>
  <c r="L332" i="8"/>
  <c r="L437" i="8"/>
  <c r="O433" i="8"/>
  <c r="P432" i="8"/>
  <c r="O332" i="8"/>
  <c r="P331" i="8"/>
  <c r="Q330" i="8"/>
  <c r="R329" i="8"/>
  <c r="M18" i="8"/>
  <c r="M331" i="8"/>
  <c r="O432" i="8"/>
  <c r="N332" i="8"/>
  <c r="N332" i="9" s="1"/>
  <c r="S83" i="9"/>
  <c r="S51" i="9"/>
  <c r="S96" i="9"/>
  <c r="S80" i="9"/>
  <c r="S72" i="9"/>
  <c r="S64" i="9"/>
  <c r="S48" i="9"/>
  <c r="S40" i="9"/>
  <c r="S319" i="9"/>
  <c r="S39" i="9"/>
  <c r="S63" i="9"/>
  <c r="S87" i="9"/>
  <c r="S103" i="9"/>
  <c r="S71" i="9"/>
  <c r="S115" i="9"/>
  <c r="J104" i="9"/>
  <c r="S113" i="9"/>
  <c r="D104" i="9"/>
  <c r="S79" i="9"/>
  <c r="S55" i="9"/>
  <c r="I7" i="6"/>
  <c r="S460" i="9"/>
  <c r="S476" i="9"/>
  <c r="S484" i="9"/>
  <c r="S492" i="9"/>
  <c r="S500" i="9"/>
  <c r="S508" i="9"/>
  <c r="S516" i="9"/>
  <c r="S69" i="8"/>
  <c r="S68" i="8"/>
  <c r="S89" i="8"/>
  <c r="S70" i="8"/>
  <c r="D9" i="6"/>
  <c r="J9" i="6" s="1"/>
  <c r="S75" i="8"/>
  <c r="S29" i="9"/>
  <c r="S6" i="9"/>
  <c r="V10" i="8"/>
  <c r="D7" i="6"/>
  <c r="J7" i="6" s="1"/>
  <c r="V20" i="8"/>
  <c r="S84" i="8"/>
  <c r="S48" i="8"/>
  <c r="V11" i="8"/>
  <c r="D3" i="6"/>
  <c r="J3" i="6" s="1"/>
  <c r="S11" i="9"/>
  <c r="E3" i="6"/>
  <c r="S323" i="8"/>
  <c r="V6" i="8"/>
  <c r="S56" i="8"/>
  <c r="S320" i="8"/>
  <c r="D5" i="6"/>
  <c r="J5" i="6" s="1"/>
  <c r="S5" i="8"/>
  <c r="S37" i="8"/>
  <c r="S87" i="8"/>
  <c r="S64" i="8"/>
  <c r="V27" i="8"/>
  <c r="S10" i="9"/>
  <c r="S43" i="8"/>
  <c r="S67" i="8"/>
  <c r="S73" i="8"/>
  <c r="V70" i="8"/>
  <c r="V69" i="8"/>
  <c r="S85" i="8"/>
  <c r="V89" i="8"/>
  <c r="S66" i="8"/>
  <c r="S94" i="8"/>
  <c r="S90" i="8"/>
  <c r="D629" i="9" l="1"/>
  <c r="M627" i="9"/>
  <c r="N627" i="9" s="1"/>
  <c r="L312" i="9"/>
  <c r="M543" i="9"/>
  <c r="N543" i="9" s="1"/>
  <c r="M546" i="9"/>
  <c r="N546" i="9" s="1"/>
  <c r="S333" i="9"/>
  <c r="S122" i="9"/>
  <c r="H5" i="6"/>
  <c r="S327" i="9"/>
  <c r="M533" i="9"/>
  <c r="N533" i="9" s="1"/>
  <c r="S13" i="9"/>
  <c r="E15" i="6"/>
  <c r="S138" i="9"/>
  <c r="H419" i="9"/>
  <c r="S324" i="9"/>
  <c r="H8" i="6"/>
  <c r="E6" i="6"/>
  <c r="S112" i="9"/>
  <c r="S22" i="9"/>
  <c r="D21" i="6"/>
  <c r="J21" i="6" s="1"/>
  <c r="E657" i="9"/>
  <c r="L657" i="9" s="1"/>
  <c r="R657" i="9" s="1"/>
  <c r="S657" i="9" s="1"/>
  <c r="T657" i="9" s="1"/>
  <c r="I27" i="9"/>
  <c r="K27" i="9" s="1"/>
  <c r="S27" i="9" s="1"/>
  <c r="N567" i="8"/>
  <c r="F292" i="8"/>
  <c r="K292" i="8" s="1"/>
  <c r="M292" i="8" s="1"/>
  <c r="G292" i="8"/>
  <c r="L292" i="8" s="1"/>
  <c r="I289" i="8"/>
  <c r="K289" i="8" s="1"/>
  <c r="J289" i="8"/>
  <c r="L289" i="8" s="1"/>
  <c r="F302" i="8"/>
  <c r="G302" i="8"/>
  <c r="M253" i="8"/>
  <c r="M301" i="8"/>
  <c r="G273" i="9"/>
  <c r="I273" i="9"/>
  <c r="J273" i="9" s="1"/>
  <c r="F273" i="9"/>
  <c r="K273" i="9" s="1"/>
  <c r="S424" i="8"/>
  <c r="N424" i="9"/>
  <c r="N524" i="9" s="1"/>
  <c r="I629" i="8"/>
  <c r="L542" i="8"/>
  <c r="AB15" i="9"/>
  <c r="G645" i="9"/>
  <c r="L645" i="9" s="1"/>
  <c r="R645" i="9" s="1"/>
  <c r="S645" i="9" s="1"/>
  <c r="T645" i="9" s="1"/>
  <c r="L434" i="9"/>
  <c r="S434" i="9" s="1"/>
  <c r="I352" i="9"/>
  <c r="K352" i="9" s="1"/>
  <c r="M233" i="8"/>
  <c r="F6" i="6"/>
  <c r="L235" i="9"/>
  <c r="L247" i="8"/>
  <c r="M247" i="8" s="1"/>
  <c r="S427" i="9"/>
  <c r="M734" i="8"/>
  <c r="S140" i="9"/>
  <c r="H4" i="6"/>
  <c r="AB17" i="9"/>
  <c r="G647" i="9"/>
  <c r="L329" i="9"/>
  <c r="I351" i="9"/>
  <c r="K351" i="9" s="1"/>
  <c r="S351" i="9" s="1"/>
  <c r="I338" i="9"/>
  <c r="M585" i="8"/>
  <c r="N585" i="8" s="1"/>
  <c r="E661" i="9"/>
  <c r="L661" i="9" s="1"/>
  <c r="R661" i="9" s="1"/>
  <c r="S661" i="9" s="1"/>
  <c r="T661" i="9" s="1"/>
  <c r="I31" i="9"/>
  <c r="N628" i="8"/>
  <c r="G268" i="8"/>
  <c r="L268" i="8" s="1"/>
  <c r="F268" i="8"/>
  <c r="K268" i="8" s="1"/>
  <c r="G266" i="9"/>
  <c r="L266" i="9" s="1"/>
  <c r="F266" i="9"/>
  <c r="K266" i="9" s="1"/>
  <c r="M266" i="9" s="1"/>
  <c r="I266" i="9"/>
  <c r="J266" i="9" s="1"/>
  <c r="M259" i="9"/>
  <c r="M293" i="9"/>
  <c r="K276" i="8"/>
  <c r="M276" i="8" s="1"/>
  <c r="K252" i="9"/>
  <c r="M252" i="9" s="1"/>
  <c r="G301" i="9"/>
  <c r="F301" i="9"/>
  <c r="I301" i="9"/>
  <c r="J301" i="9" s="1"/>
  <c r="M287" i="8"/>
  <c r="I265" i="9"/>
  <c r="J265" i="9" s="1"/>
  <c r="F265" i="9"/>
  <c r="K265" i="9" s="1"/>
  <c r="M265" i="9" s="1"/>
  <c r="G265" i="9"/>
  <c r="L265" i="9" s="1"/>
  <c r="L257" i="8"/>
  <c r="R649" i="8"/>
  <c r="S649" i="8" s="1"/>
  <c r="T649" i="8" s="1"/>
  <c r="L330" i="9"/>
  <c r="M223" i="8"/>
  <c r="S666" i="8"/>
  <c r="T666" i="8" s="1"/>
  <c r="H209" i="9"/>
  <c r="E209" i="8"/>
  <c r="R639" i="8"/>
  <c r="E11" i="6"/>
  <c r="R641" i="9"/>
  <c r="S641" i="9" s="1"/>
  <c r="T641" i="9" s="1"/>
  <c r="L604" i="8"/>
  <c r="N591" i="8"/>
  <c r="G305" i="8"/>
  <c r="L305" i="8" s="1"/>
  <c r="F305" i="8"/>
  <c r="K305" i="8" s="1"/>
  <c r="M305" i="8" s="1"/>
  <c r="I276" i="9"/>
  <c r="J276" i="9" s="1"/>
  <c r="G276" i="9"/>
  <c r="L276" i="9" s="1"/>
  <c r="F276" i="9"/>
  <c r="K276" i="9" s="1"/>
  <c r="M276" i="9" s="1"/>
  <c r="G295" i="9"/>
  <c r="L295" i="9" s="1"/>
  <c r="I295" i="9"/>
  <c r="J295" i="9" s="1"/>
  <c r="F295" i="9"/>
  <c r="K295" i="9" s="1"/>
  <c r="M295" i="9" s="1"/>
  <c r="I253" i="9"/>
  <c r="J253" i="9" s="1"/>
  <c r="F253" i="9"/>
  <c r="K253" i="9" s="1"/>
  <c r="G253" i="9"/>
  <c r="N572" i="8"/>
  <c r="S4" i="8"/>
  <c r="S340" i="9"/>
  <c r="L551" i="8"/>
  <c r="M551" i="8" s="1"/>
  <c r="N551" i="8" s="1"/>
  <c r="R657" i="8"/>
  <c r="S657" i="8" s="1"/>
  <c r="T657" i="8" s="1"/>
  <c r="R651" i="8"/>
  <c r="AB9" i="9"/>
  <c r="G639" i="9"/>
  <c r="L639" i="9" s="1"/>
  <c r="R639" i="9" s="1"/>
  <c r="L9" i="9"/>
  <c r="S9" i="9" s="1"/>
  <c r="K142" i="9"/>
  <c r="S142" i="9" s="1"/>
  <c r="L15" i="9"/>
  <c r="K439" i="9"/>
  <c r="I18" i="6" s="1"/>
  <c r="I132" i="9"/>
  <c r="K132" i="9" s="1"/>
  <c r="S132" i="9" s="1"/>
  <c r="L429" i="9"/>
  <c r="S429" i="9" s="1"/>
  <c r="L114" i="9"/>
  <c r="S114" i="9" s="1"/>
  <c r="M620" i="8"/>
  <c r="N620" i="8" s="1"/>
  <c r="G221" i="8"/>
  <c r="F271" i="9"/>
  <c r="G271" i="9"/>
  <c r="I271" i="9"/>
  <c r="J271" i="9" s="1"/>
  <c r="J302" i="8"/>
  <c r="I302" i="8"/>
  <c r="J278" i="8"/>
  <c r="L278" i="8" s="1"/>
  <c r="I278" i="8"/>
  <c r="K278" i="8" s="1"/>
  <c r="M278" i="8" s="1"/>
  <c r="M292" i="9"/>
  <c r="K270" i="9"/>
  <c r="M270" i="9" s="1"/>
  <c r="J270" i="9"/>
  <c r="L270" i="9" s="1"/>
  <c r="M305" i="9"/>
  <c r="G287" i="9"/>
  <c r="I287" i="9"/>
  <c r="J287" i="9" s="1"/>
  <c r="F287" i="9"/>
  <c r="M257" i="8"/>
  <c r="M568" i="8"/>
  <c r="N568" i="8" s="1"/>
  <c r="AB14" i="9"/>
  <c r="G644" i="9"/>
  <c r="L644" i="9" s="1"/>
  <c r="R644" i="9" s="1"/>
  <c r="G267" i="8"/>
  <c r="L267" i="8" s="1"/>
  <c r="F267" i="8"/>
  <c r="K267" i="8" s="1"/>
  <c r="E12" i="6"/>
  <c r="I4" i="6"/>
  <c r="L556" i="8"/>
  <c r="L543" i="8"/>
  <c r="M558" i="8"/>
  <c r="N558" i="8" s="1"/>
  <c r="AB5" i="9"/>
  <c r="G635" i="9"/>
  <c r="L5" i="9"/>
  <c r="R662" i="8"/>
  <c r="S662" i="8" s="1"/>
  <c r="T662" i="8" s="1"/>
  <c r="S667" i="9"/>
  <c r="T667" i="9" s="1"/>
  <c r="I447" i="9"/>
  <c r="I37" i="9"/>
  <c r="K37" i="9" s="1"/>
  <c r="S37" i="9" s="1"/>
  <c r="L110" i="9"/>
  <c r="L322" i="9"/>
  <c r="L435" i="9"/>
  <c r="I14" i="6" s="1"/>
  <c r="E649" i="9"/>
  <c r="I19" i="9"/>
  <c r="K19" i="9" s="1"/>
  <c r="S19" i="9" s="1"/>
  <c r="E665" i="9"/>
  <c r="L665" i="9" s="1"/>
  <c r="R665" i="9" s="1"/>
  <c r="S665" i="9" s="1"/>
  <c r="T665" i="9" s="1"/>
  <c r="I35" i="9"/>
  <c r="K35" i="9" s="1"/>
  <c r="S35" i="9" s="1"/>
  <c r="M623" i="8"/>
  <c r="N623" i="8" s="1"/>
  <c r="G312" i="8"/>
  <c r="L312" i="8" s="1"/>
  <c r="F312" i="8"/>
  <c r="K312" i="8" s="1"/>
  <c r="M312" i="8" s="1"/>
  <c r="N612" i="8"/>
  <c r="N588" i="8"/>
  <c r="M291" i="8"/>
  <c r="N607" i="8"/>
  <c r="J266" i="8"/>
  <c r="L266" i="8" s="1"/>
  <c r="I266" i="8"/>
  <c r="K266" i="8" s="1"/>
  <c r="R643" i="8"/>
  <c r="S643" i="8" s="1"/>
  <c r="T643" i="8" s="1"/>
  <c r="V4" i="8"/>
  <c r="S319" i="8"/>
  <c r="L328" i="9"/>
  <c r="S328" i="9" s="1"/>
  <c r="D8" i="6"/>
  <c r="J8" i="6" s="1"/>
  <c r="I36" i="9"/>
  <c r="N580" i="8"/>
  <c r="N577" i="8"/>
  <c r="N615" i="8"/>
  <c r="M615" i="8"/>
  <c r="L583" i="8"/>
  <c r="N114" i="9"/>
  <c r="N209" i="9" s="1"/>
  <c r="N209" i="8"/>
  <c r="I309" i="8"/>
  <c r="K309" i="8" s="1"/>
  <c r="J309" i="8"/>
  <c r="L309" i="8" s="1"/>
  <c r="M277" i="8"/>
  <c r="I307" i="8"/>
  <c r="K307" i="8" s="1"/>
  <c r="M307" i="8" s="1"/>
  <c r="J307" i="8"/>
  <c r="L307" i="8" s="1"/>
  <c r="K288" i="8"/>
  <c r="M288" i="8" s="1"/>
  <c r="K248" i="9"/>
  <c r="M564" i="8"/>
  <c r="N564" i="8" s="1"/>
  <c r="L119" i="9"/>
  <c r="P524" i="8"/>
  <c r="P432" i="9"/>
  <c r="P524" i="9" s="1"/>
  <c r="S111" i="8"/>
  <c r="L234" i="8"/>
  <c r="M234" i="8" s="1"/>
  <c r="M562" i="8"/>
  <c r="N562" i="8" s="1"/>
  <c r="AB7" i="9"/>
  <c r="G637" i="9"/>
  <c r="L7" i="9"/>
  <c r="AB13" i="9"/>
  <c r="G643" i="9"/>
  <c r="L120" i="9"/>
  <c r="S120" i="9" s="1"/>
  <c r="R653" i="9"/>
  <c r="S653" i="9" s="1"/>
  <c r="T653" i="9" s="1"/>
  <c r="K339" i="9"/>
  <c r="S339" i="9" s="1"/>
  <c r="K456" i="9"/>
  <c r="S456" i="9" s="1"/>
  <c r="L437" i="9"/>
  <c r="S437" i="9" s="1"/>
  <c r="I141" i="9"/>
  <c r="K141" i="9" s="1"/>
  <c r="S141" i="9" s="1"/>
  <c r="I128" i="9"/>
  <c r="I342" i="9"/>
  <c r="K342" i="9" s="1"/>
  <c r="S342" i="9" s="1"/>
  <c r="I457" i="9"/>
  <c r="N569" i="8"/>
  <c r="E655" i="9"/>
  <c r="L655" i="9" s="1"/>
  <c r="R655" i="9" s="1"/>
  <c r="S655" i="9" s="1"/>
  <c r="T655" i="9" s="1"/>
  <c r="I25" i="9"/>
  <c r="K25" i="9" s="1"/>
  <c r="S25" i="9" s="1"/>
  <c r="M596" i="8"/>
  <c r="N596" i="8" s="1"/>
  <c r="L575" i="8"/>
  <c r="M603" i="8"/>
  <c r="N603" i="8" s="1"/>
  <c r="G269" i="9"/>
  <c r="L269" i="9" s="1"/>
  <c r="F269" i="9"/>
  <c r="K269" i="9" s="1"/>
  <c r="M269" i="9" s="1"/>
  <c r="I269" i="9"/>
  <c r="J269" i="9" s="1"/>
  <c r="M258" i="9"/>
  <c r="F288" i="9"/>
  <c r="K288" i="9" s="1"/>
  <c r="I288" i="9"/>
  <c r="J288" i="9" s="1"/>
  <c r="G288" i="9"/>
  <c r="G279" i="9"/>
  <c r="F279" i="9"/>
  <c r="I279" i="9"/>
  <c r="J279" i="9" s="1"/>
  <c r="G291" i="9"/>
  <c r="F291" i="9"/>
  <c r="I291" i="9"/>
  <c r="J291" i="9" s="1"/>
  <c r="L248" i="9"/>
  <c r="M599" i="8"/>
  <c r="N599" i="8" s="1"/>
  <c r="S15" i="8"/>
  <c r="D15" i="6"/>
  <c r="J15" i="6" s="1"/>
  <c r="S18" i="8"/>
  <c r="S123" i="9"/>
  <c r="R209" i="9"/>
  <c r="D16" i="6"/>
  <c r="J16" i="6" s="1"/>
  <c r="D20" i="6"/>
  <c r="J20" i="6" s="1"/>
  <c r="S122" i="8"/>
  <c r="S120" i="8"/>
  <c r="S121" i="9"/>
  <c r="M104" i="9"/>
  <c r="D19" i="6"/>
  <c r="J19" i="6" s="1"/>
  <c r="N104" i="8"/>
  <c r="N12" i="9"/>
  <c r="N104" i="9" s="1"/>
  <c r="H18" i="6"/>
  <c r="V35" i="8"/>
  <c r="S115" i="8"/>
  <c r="Q12" i="9"/>
  <c r="E16" i="6"/>
  <c r="H9" i="6"/>
  <c r="M209" i="9"/>
  <c r="D17" i="6"/>
  <c r="J17" i="6" s="1"/>
  <c r="S14" i="9"/>
  <c r="D13" i="6"/>
  <c r="J13" i="6" s="1"/>
  <c r="O419" i="9"/>
  <c r="H16" i="6"/>
  <c r="K133" i="9"/>
  <c r="S133" i="9" s="1"/>
  <c r="K312" i="9"/>
  <c r="M312" i="9" s="1"/>
  <c r="S433" i="9"/>
  <c r="D12" i="6"/>
  <c r="J12" i="6" s="1"/>
  <c r="K534" i="9"/>
  <c r="E629" i="9"/>
  <c r="H534" i="9"/>
  <c r="H629" i="9" s="1"/>
  <c r="S18" i="9"/>
  <c r="P734" i="9"/>
  <c r="Q638" i="9"/>
  <c r="R638" i="9" s="1"/>
  <c r="S117" i="9"/>
  <c r="S424" i="9"/>
  <c r="I12" i="6"/>
  <c r="S644" i="9"/>
  <c r="T644" i="9" s="1"/>
  <c r="I19" i="6"/>
  <c r="S440" i="9"/>
  <c r="H19" i="6"/>
  <c r="K343" i="9"/>
  <c r="S343" i="9" s="1"/>
  <c r="K441" i="9"/>
  <c r="S441" i="9" s="1"/>
  <c r="K448" i="9"/>
  <c r="S448" i="9" s="1"/>
  <c r="S654" i="9"/>
  <c r="T654" i="9" s="1"/>
  <c r="S652" i="9"/>
  <c r="T652" i="9" s="1"/>
  <c r="K544" i="9"/>
  <c r="L544" i="9" s="1"/>
  <c r="M544" i="9" s="1"/>
  <c r="N544" i="9" s="1"/>
  <c r="K547" i="9"/>
  <c r="L547" i="9" s="1"/>
  <c r="M547" i="9" s="1"/>
  <c r="N547" i="9" s="1"/>
  <c r="E18" i="6"/>
  <c r="S124" i="9"/>
  <c r="J218" i="9"/>
  <c r="L218" i="9" s="1"/>
  <c r="K218" i="9"/>
  <c r="M561" i="9"/>
  <c r="N561" i="9" s="1"/>
  <c r="Q419" i="9"/>
  <c r="M524" i="9"/>
  <c r="P419" i="9"/>
  <c r="S17" i="9"/>
  <c r="L220" i="9"/>
  <c r="M220" i="9" s="1"/>
  <c r="M734" i="9"/>
  <c r="O734" i="9"/>
  <c r="L219" i="9"/>
  <c r="M219" i="9" s="1"/>
  <c r="G104" i="9"/>
  <c r="H314" i="9"/>
  <c r="M216" i="9"/>
  <c r="O524" i="9"/>
  <c r="H524" i="9"/>
  <c r="S648" i="9"/>
  <c r="T648" i="9" s="1"/>
  <c r="H104" i="9"/>
  <c r="I3" i="6"/>
  <c r="M215" i="9"/>
  <c r="F734" i="9"/>
  <c r="G209" i="9"/>
  <c r="M217" i="9"/>
  <c r="S639" i="9"/>
  <c r="T639" i="9" s="1"/>
  <c r="L209" i="9"/>
  <c r="S650" i="9"/>
  <c r="T650" i="9" s="1"/>
  <c r="S662" i="9"/>
  <c r="T662" i="9" s="1"/>
  <c r="L238" i="9"/>
  <c r="M237" i="9"/>
  <c r="M226" i="9"/>
  <c r="N734" i="9"/>
  <c r="R104" i="9"/>
  <c r="K235" i="9"/>
  <c r="M235" i="9" s="1"/>
  <c r="S332" i="9"/>
  <c r="T642" i="9"/>
  <c r="S638" i="9"/>
  <c r="T638" i="9" s="1"/>
  <c r="Q209" i="9"/>
  <c r="I629" i="9"/>
  <c r="E13" i="6"/>
  <c r="S329" i="9"/>
  <c r="S660" i="9"/>
  <c r="T660" i="9" s="1"/>
  <c r="M529" i="9"/>
  <c r="K228" i="9"/>
  <c r="M228" i="9" s="1"/>
  <c r="S119" i="9"/>
  <c r="M419" i="9"/>
  <c r="K246" i="9"/>
  <c r="K239" i="9"/>
  <c r="M239" i="9" s="1"/>
  <c r="M241" i="9"/>
  <c r="M559" i="8"/>
  <c r="N559" i="8" s="1"/>
  <c r="R654" i="8"/>
  <c r="S654" i="8" s="1"/>
  <c r="T654" i="8" s="1"/>
  <c r="R646" i="8"/>
  <c r="I8" i="6"/>
  <c r="E21" i="6"/>
  <c r="I5" i="6"/>
  <c r="R659" i="8"/>
  <c r="S659" i="8" s="1"/>
  <c r="T659" i="8" s="1"/>
  <c r="S651" i="8"/>
  <c r="T651" i="8" s="1"/>
  <c r="S665" i="8"/>
  <c r="T665" i="8" s="1"/>
  <c r="S656" i="8"/>
  <c r="T656" i="8" s="1"/>
  <c r="E19" i="6"/>
  <c r="S717" i="8"/>
  <c r="T717" i="8"/>
  <c r="S721" i="8"/>
  <c r="T721" i="8" s="1"/>
  <c r="R719" i="8"/>
  <c r="R661" i="8"/>
  <c r="S661" i="8" s="1"/>
  <c r="T661" i="8" s="1"/>
  <c r="R696" i="8"/>
  <c r="R673" i="8"/>
  <c r="S673" i="8" s="1"/>
  <c r="T673" i="8" s="1"/>
  <c r="R718" i="8"/>
  <c r="S718" i="8" s="1"/>
  <c r="T718" i="8" s="1"/>
  <c r="S682" i="8"/>
  <c r="T682" i="8" s="1"/>
  <c r="S333" i="8"/>
  <c r="R699" i="8"/>
  <c r="R658" i="8"/>
  <c r="S658" i="8" s="1"/>
  <c r="T658" i="8" s="1"/>
  <c r="R731" i="8"/>
  <c r="S730" i="8"/>
  <c r="T730" i="8" s="1"/>
  <c r="S335" i="8"/>
  <c r="R712" i="8"/>
  <c r="S712" i="8" s="1"/>
  <c r="T712" i="8" s="1"/>
  <c r="S720" i="8"/>
  <c r="T720" i="8" s="1"/>
  <c r="S641" i="8"/>
  <c r="T641" i="8" s="1"/>
  <c r="S647" i="8"/>
  <c r="T647" i="8" s="1"/>
  <c r="S127" i="8"/>
  <c r="Q734" i="8"/>
  <c r="T726" i="8"/>
  <c r="L531" i="8"/>
  <c r="M531" i="8" s="1"/>
  <c r="N531" i="8" s="1"/>
  <c r="T668" i="8"/>
  <c r="S12" i="8"/>
  <c r="S450" i="8"/>
  <c r="S646" i="8"/>
  <c r="T646" i="8" s="1"/>
  <c r="D734" i="8"/>
  <c r="R688" i="8"/>
  <c r="S688" i="8" s="1"/>
  <c r="R709" i="8"/>
  <c r="S719" i="8"/>
  <c r="T719" i="8" s="1"/>
  <c r="S635" i="8"/>
  <c r="T635" i="8" s="1"/>
  <c r="S723" i="8"/>
  <c r="T723" i="8" s="1"/>
  <c r="P734" i="8"/>
  <c r="M560" i="8"/>
  <c r="N560" i="8" s="1"/>
  <c r="H629" i="8"/>
  <c r="T703" i="8"/>
  <c r="S680" i="8"/>
  <c r="T680" i="8" s="1"/>
  <c r="K22" i="8"/>
  <c r="S22" i="8" s="1"/>
  <c r="R683" i="8"/>
  <c r="H21" i="6"/>
  <c r="S655" i="8"/>
  <c r="T655" i="8" s="1"/>
  <c r="S639" i="8"/>
  <c r="T639" i="8" s="1"/>
  <c r="S638" i="8"/>
  <c r="T638" i="8" s="1"/>
  <c r="R663" i="8"/>
  <c r="S663" i="8" s="1"/>
  <c r="T663" i="8" s="1"/>
  <c r="R667" i="8"/>
  <c r="S667" i="8" s="1"/>
  <c r="T667" i="8" s="1"/>
  <c r="R695" i="8"/>
  <c r="T704" i="8"/>
  <c r="S731" i="8"/>
  <c r="T731" i="8" s="1"/>
  <c r="S699" i="8"/>
  <c r="T699" i="8" s="1"/>
  <c r="L734" i="8"/>
  <c r="D153" i="1" s="1"/>
  <c r="M542" i="8"/>
  <c r="N542" i="8" s="1"/>
  <c r="I21" i="6"/>
  <c r="V17" i="8"/>
  <c r="H13" i="6"/>
  <c r="F734" i="8"/>
  <c r="S679" i="8"/>
  <c r="T679" i="8" s="1"/>
  <c r="S728" i="8"/>
  <c r="T728" i="8" s="1"/>
  <c r="H17" i="6"/>
  <c r="R727" i="8"/>
  <c r="S675" i="8"/>
  <c r="T675" i="8" s="1"/>
  <c r="S696" i="8"/>
  <c r="T696" i="8" s="1"/>
  <c r="M537" i="8"/>
  <c r="N537" i="8" s="1"/>
  <c r="K629" i="8"/>
  <c r="V31" i="8"/>
  <c r="E20" i="6"/>
  <c r="M556" i="8"/>
  <c r="N556" i="8" s="1"/>
  <c r="V33" i="8"/>
  <c r="I16" i="6"/>
  <c r="F226" i="8"/>
  <c r="G226" i="8"/>
  <c r="M231" i="8"/>
  <c r="K230" i="8"/>
  <c r="M230" i="8" s="1"/>
  <c r="F19" i="6"/>
  <c r="S330" i="8"/>
  <c r="R524" i="8"/>
  <c r="M524" i="8"/>
  <c r="O104" i="8"/>
  <c r="S648" i="8"/>
  <c r="T648" i="8" s="1"/>
  <c r="G20" i="6"/>
  <c r="S446" i="8"/>
  <c r="I219" i="8"/>
  <c r="J219" i="8"/>
  <c r="S327" i="8"/>
  <c r="L524" i="8"/>
  <c r="P104" i="8"/>
  <c r="H10" i="6"/>
  <c r="I220" i="8"/>
  <c r="K220" i="8" s="1"/>
  <c r="J220" i="8"/>
  <c r="L220" i="8" s="1"/>
  <c r="K28" i="8"/>
  <c r="S28" i="8" s="1"/>
  <c r="F219" i="8"/>
  <c r="G219" i="8"/>
  <c r="F241" i="8"/>
  <c r="K241" i="8" s="1"/>
  <c r="G241" i="8"/>
  <c r="H20" i="6"/>
  <c r="S331" i="8"/>
  <c r="N419" i="8"/>
  <c r="V16" i="8"/>
  <c r="N734" i="8"/>
  <c r="L217" i="8"/>
  <c r="M217" i="8" s="1"/>
  <c r="G6" i="6"/>
  <c r="M534" i="8"/>
  <c r="N534" i="8" s="1"/>
  <c r="V15" i="8"/>
  <c r="V18" i="8"/>
  <c r="H11" i="6"/>
  <c r="M104" i="8"/>
  <c r="F218" i="8"/>
  <c r="F7" i="6" s="1"/>
  <c r="G218" i="8"/>
  <c r="S436" i="8"/>
  <c r="Q524" i="8"/>
  <c r="M419" i="8"/>
  <c r="S329" i="8"/>
  <c r="E629" i="8"/>
  <c r="M533" i="8"/>
  <c r="N533" i="8" s="1"/>
  <c r="S664" i="8"/>
  <c r="T664" i="8" s="1"/>
  <c r="I232" i="8"/>
  <c r="K232" i="8" s="1"/>
  <c r="J232" i="8"/>
  <c r="L232" i="8" s="1"/>
  <c r="J224" i="8"/>
  <c r="L224" i="8" s="1"/>
  <c r="I224" i="8"/>
  <c r="K224" i="8" s="1"/>
  <c r="L241" i="8"/>
  <c r="H3" i="6"/>
  <c r="S332" i="8"/>
  <c r="S328" i="8"/>
  <c r="M237" i="8"/>
  <c r="O734" i="8"/>
  <c r="M543" i="8"/>
  <c r="N543" i="8" s="1"/>
  <c r="S116" i="8"/>
  <c r="M539" i="8"/>
  <c r="N539" i="8" s="1"/>
  <c r="E17" i="6"/>
  <c r="I10" i="6"/>
  <c r="S435" i="8"/>
  <c r="S438" i="8"/>
  <c r="K23" i="8"/>
  <c r="I104" i="8"/>
  <c r="K232" i="9"/>
  <c r="F21" i="6"/>
  <c r="K222" i="9"/>
  <c r="F11" i="6"/>
  <c r="L246" i="8"/>
  <c r="F225" i="8"/>
  <c r="G225" i="8"/>
  <c r="M246" i="8"/>
  <c r="S437" i="8"/>
  <c r="H15" i="6"/>
  <c r="L419" i="8"/>
  <c r="K244" i="8"/>
  <c r="M244" i="8" s="1"/>
  <c r="S433" i="8"/>
  <c r="K128" i="8"/>
  <c r="S128" i="8" s="1"/>
  <c r="I209" i="8"/>
  <c r="I11" i="6"/>
  <c r="O524" i="8"/>
  <c r="K35" i="8"/>
  <c r="S35" i="8" s="1"/>
  <c r="H104" i="8"/>
  <c r="I524" i="8"/>
  <c r="K443" i="8"/>
  <c r="K34" i="8"/>
  <c r="S34" i="8" s="1"/>
  <c r="V12" i="8"/>
  <c r="L246" i="9"/>
  <c r="M246" i="9" s="1"/>
  <c r="S645" i="8"/>
  <c r="T645" i="8" s="1"/>
  <c r="K221" i="9"/>
  <c r="M221" i="9" s="1"/>
  <c r="F10" i="6"/>
  <c r="P419" i="8"/>
  <c r="K141" i="8"/>
  <c r="S141" i="8" s="1"/>
  <c r="I244" i="9"/>
  <c r="J244" i="9" s="1"/>
  <c r="G244" i="9"/>
  <c r="F244" i="9"/>
  <c r="K227" i="8"/>
  <c r="M227" i="8" s="1"/>
  <c r="S434" i="8"/>
  <c r="L214" i="8"/>
  <c r="F229" i="9"/>
  <c r="G229" i="9"/>
  <c r="I229" i="9"/>
  <c r="J229" i="9" s="1"/>
  <c r="M215" i="8"/>
  <c r="G19" i="6"/>
  <c r="J245" i="8"/>
  <c r="L245" i="8" s="1"/>
  <c r="I245" i="8"/>
  <c r="K245" i="8" s="1"/>
  <c r="G228" i="8"/>
  <c r="F228" i="8"/>
  <c r="R419" i="8"/>
  <c r="C59" i="6"/>
  <c r="K247" i="9"/>
  <c r="F5" i="6"/>
  <c r="K351" i="8"/>
  <c r="S351" i="8" s="1"/>
  <c r="F245" i="9"/>
  <c r="I245" i="9"/>
  <c r="J245" i="9" s="1"/>
  <c r="G245" i="9"/>
  <c r="D314" i="8"/>
  <c r="F242" i="9"/>
  <c r="G242" i="9"/>
  <c r="I242" i="9"/>
  <c r="J242" i="9" s="1"/>
  <c r="M554" i="8"/>
  <c r="J230" i="9"/>
  <c r="L230" i="9" s="1"/>
  <c r="K230" i="9"/>
  <c r="G5" i="6"/>
  <c r="L216" i="8"/>
  <c r="M216" i="8" s="1"/>
  <c r="I15" i="6"/>
  <c r="L247" i="9"/>
  <c r="M209" i="8"/>
  <c r="L224" i="9"/>
  <c r="G13" i="6"/>
  <c r="K214" i="9"/>
  <c r="F3" i="6"/>
  <c r="K214" i="8"/>
  <c r="S644" i="8"/>
  <c r="T644" i="8" s="1"/>
  <c r="G734" i="8"/>
  <c r="S653" i="8"/>
  <c r="T653" i="8" s="1"/>
  <c r="E734" i="8"/>
  <c r="K341" i="8"/>
  <c r="S341" i="8" s="1"/>
  <c r="L209" i="8"/>
  <c r="I225" i="8"/>
  <c r="J225" i="8"/>
  <c r="H314" i="8"/>
  <c r="I228" i="8"/>
  <c r="J228" i="8"/>
  <c r="S634" i="8"/>
  <c r="F13" i="6"/>
  <c r="K224" i="9"/>
  <c r="K233" i="9"/>
  <c r="L227" i="9"/>
  <c r="G16" i="6"/>
  <c r="F236" i="9"/>
  <c r="I236" i="9"/>
  <c r="J236" i="9" s="1"/>
  <c r="G236" i="9"/>
  <c r="K229" i="8"/>
  <c r="M229" i="8" s="1"/>
  <c r="G3" i="6"/>
  <c r="K238" i="9"/>
  <c r="M238" i="9" s="1"/>
  <c r="S431" i="8"/>
  <c r="G21" i="6"/>
  <c r="L232" i="9"/>
  <c r="S432" i="8"/>
  <c r="K338" i="8"/>
  <c r="I419" i="8"/>
  <c r="G11" i="6"/>
  <c r="L222" i="9"/>
  <c r="M235" i="8"/>
  <c r="M236" i="8"/>
  <c r="L222" i="8"/>
  <c r="M222" i="8" s="1"/>
  <c r="Q419" i="8"/>
  <c r="L234" i="9"/>
  <c r="M234" i="9" s="1"/>
  <c r="K231" i="9"/>
  <c r="M231" i="9" s="1"/>
  <c r="F20" i="6"/>
  <c r="E5" i="6"/>
  <c r="M240" i="8"/>
  <c r="F16" i="6"/>
  <c r="K227" i="9"/>
  <c r="N529" i="8"/>
  <c r="H12" i="6"/>
  <c r="J214" i="9"/>
  <c r="L214" i="9" s="1"/>
  <c r="L233" i="9"/>
  <c r="K32" i="8"/>
  <c r="S32" i="8" s="1"/>
  <c r="F104" i="8"/>
  <c r="S8" i="8"/>
  <c r="L104" i="8"/>
  <c r="V8" i="8"/>
  <c r="N524" i="8"/>
  <c r="L243" i="8"/>
  <c r="M243" i="8" s="1"/>
  <c r="D629" i="8"/>
  <c r="S118" i="8"/>
  <c r="M218" i="9"/>
  <c r="O419" i="8"/>
  <c r="D143" i="4" l="1"/>
  <c r="X143" i="4" s="1"/>
  <c r="I524" i="9"/>
  <c r="L419" i="9"/>
  <c r="E8" i="6"/>
  <c r="E14" i="6"/>
  <c r="I209" i="9"/>
  <c r="K457" i="9"/>
  <c r="S457" i="9" s="1"/>
  <c r="I419" i="9"/>
  <c r="I20" i="6"/>
  <c r="S439" i="9"/>
  <c r="M266" i="8"/>
  <c r="M245" i="8"/>
  <c r="K218" i="8"/>
  <c r="H14" i="6"/>
  <c r="S330" i="9"/>
  <c r="K291" i="9"/>
  <c r="M291" i="9" s="1"/>
  <c r="D6" i="6"/>
  <c r="J6" i="6" s="1"/>
  <c r="S7" i="9"/>
  <c r="S322" i="9"/>
  <c r="H6" i="6"/>
  <c r="S5" i="9"/>
  <c r="D4" i="6"/>
  <c r="J4" i="6" s="1"/>
  <c r="K301" i="9"/>
  <c r="K338" i="9"/>
  <c r="K419" i="9" s="1"/>
  <c r="M289" i="8"/>
  <c r="L221" i="8"/>
  <c r="M221" i="8" s="1"/>
  <c r="G10" i="6"/>
  <c r="I13" i="6"/>
  <c r="S435" i="9"/>
  <c r="L291" i="9"/>
  <c r="L637" i="9"/>
  <c r="R637" i="9" s="1"/>
  <c r="S637" i="9"/>
  <c r="T637" i="9" s="1"/>
  <c r="M309" i="8"/>
  <c r="S110" i="9"/>
  <c r="E4" i="6"/>
  <c r="L635" i="9"/>
  <c r="G734" i="9"/>
  <c r="M267" i="8"/>
  <c r="K287" i="9"/>
  <c r="L253" i="9"/>
  <c r="M253" i="9" s="1"/>
  <c r="L301" i="9"/>
  <c r="M268" i="8"/>
  <c r="L273" i="9"/>
  <c r="M273" i="9" s="1"/>
  <c r="L104" i="9"/>
  <c r="I314" i="8"/>
  <c r="F314" i="8"/>
  <c r="D138" i="1" s="1"/>
  <c r="M220" i="8"/>
  <c r="K279" i="9"/>
  <c r="M248" i="9"/>
  <c r="K447" i="9"/>
  <c r="K524" i="9" s="1"/>
  <c r="L287" i="9"/>
  <c r="M224" i="9"/>
  <c r="G314" i="8"/>
  <c r="T688" i="8"/>
  <c r="L279" i="9"/>
  <c r="N583" i="8"/>
  <c r="L524" i="9"/>
  <c r="M583" i="8"/>
  <c r="K31" i="9"/>
  <c r="S31" i="9" s="1"/>
  <c r="L647" i="9"/>
  <c r="R647" i="9" s="1"/>
  <c r="S647" i="9" s="1"/>
  <c r="T647" i="9" s="1"/>
  <c r="L302" i="8"/>
  <c r="L629" i="8"/>
  <c r="L288" i="9"/>
  <c r="M288" i="9" s="1"/>
  <c r="M604" i="8"/>
  <c r="N604" i="8" s="1"/>
  <c r="I104" i="9"/>
  <c r="K36" i="9"/>
  <c r="S36" i="9" s="1"/>
  <c r="L271" i="9"/>
  <c r="K302" i="8"/>
  <c r="M575" i="8"/>
  <c r="N575" i="8" s="1"/>
  <c r="K128" i="9"/>
  <c r="S128" i="9" s="1"/>
  <c r="L643" i="9"/>
  <c r="R643" i="9" s="1"/>
  <c r="S643" i="9" s="1"/>
  <c r="T643" i="9" s="1"/>
  <c r="L649" i="9"/>
  <c r="R649" i="9" s="1"/>
  <c r="S649" i="9" s="1"/>
  <c r="T649" i="9" s="1"/>
  <c r="E734" i="9"/>
  <c r="D148" i="4" s="1"/>
  <c r="X148" i="4" s="1"/>
  <c r="K271" i="9"/>
  <c r="M271" i="9" s="1"/>
  <c r="D14" i="6"/>
  <c r="J14" i="6" s="1"/>
  <c r="S15" i="9"/>
  <c r="D11" i="6"/>
  <c r="J11" i="6" s="1"/>
  <c r="S12" i="9"/>
  <c r="Q104" i="9"/>
  <c r="K629" i="9"/>
  <c r="D141" i="4" s="1"/>
  <c r="L534" i="9"/>
  <c r="Q734" i="9"/>
  <c r="D18" i="6"/>
  <c r="J18" i="6" s="1"/>
  <c r="G314" i="9"/>
  <c r="M233" i="9"/>
  <c r="L242" i="9"/>
  <c r="N529" i="9"/>
  <c r="M227" i="9"/>
  <c r="K244" i="9"/>
  <c r="K236" i="9"/>
  <c r="L244" i="9"/>
  <c r="S352" i="9"/>
  <c r="D155" i="1"/>
  <c r="I153" i="1" s="1"/>
  <c r="R734" i="8"/>
  <c r="D148" i="1"/>
  <c r="C52" i="6" s="1"/>
  <c r="S709" i="8"/>
  <c r="T709" i="8" s="1"/>
  <c r="S727" i="8"/>
  <c r="T727" i="8" s="1"/>
  <c r="S683" i="8"/>
  <c r="T683" i="8" s="1"/>
  <c r="S695" i="8"/>
  <c r="T695" i="8" s="1"/>
  <c r="M232" i="8"/>
  <c r="S209" i="8"/>
  <c r="D150" i="1"/>
  <c r="D149" i="1" s="1"/>
  <c r="I149" i="1" s="1"/>
  <c r="G7" i="6"/>
  <c r="L218" i="8"/>
  <c r="M218" i="8" s="1"/>
  <c r="M241" i="8"/>
  <c r="L226" i="8"/>
  <c r="G15" i="6"/>
  <c r="M224" i="8"/>
  <c r="L219" i="8"/>
  <c r="G8" i="6"/>
  <c r="K226" i="8"/>
  <c r="F15" i="6"/>
  <c r="F8" i="6"/>
  <c r="K219" i="8"/>
  <c r="F314" i="9"/>
  <c r="L245" i="9"/>
  <c r="S443" i="8"/>
  <c r="S524" i="8" s="1"/>
  <c r="K524" i="8"/>
  <c r="D144" i="1" s="1"/>
  <c r="K209" i="8"/>
  <c r="D135" i="1" s="1"/>
  <c r="L225" i="8"/>
  <c r="G14" i="6"/>
  <c r="S23" i="8"/>
  <c r="S104" i="8" s="1"/>
  <c r="K104" i="8"/>
  <c r="D113" i="1" s="1"/>
  <c r="J314" i="8"/>
  <c r="E78" i="31" s="1"/>
  <c r="S338" i="8"/>
  <c r="S419" i="8" s="1"/>
  <c r="K419" i="8"/>
  <c r="S150" i="1"/>
  <c r="M214" i="9"/>
  <c r="K245" i="9"/>
  <c r="F14" i="6"/>
  <c r="K225" i="8"/>
  <c r="M225" i="8" s="1"/>
  <c r="F17" i="6"/>
  <c r="K228" i="8"/>
  <c r="T634" i="8"/>
  <c r="J314" i="9"/>
  <c r="L236" i="9"/>
  <c r="K242" i="9"/>
  <c r="L228" i="8"/>
  <c r="G17" i="6"/>
  <c r="G18" i="6"/>
  <c r="L229" i="9"/>
  <c r="M222" i="9"/>
  <c r="I314" i="9"/>
  <c r="N554" i="8"/>
  <c r="F18" i="6"/>
  <c r="K229" i="9"/>
  <c r="K314" i="9" s="1"/>
  <c r="D154" i="1"/>
  <c r="I154" i="1" s="1"/>
  <c r="M214" i="8"/>
  <c r="M247" i="9"/>
  <c r="L314" i="8"/>
  <c r="M232" i="9"/>
  <c r="M230" i="9"/>
  <c r="K209" i="9" l="1"/>
  <c r="D128" i="4" s="1"/>
  <c r="X128" i="4" s="1"/>
  <c r="D136" i="4"/>
  <c r="D44" i="6" s="1"/>
  <c r="S209" i="9"/>
  <c r="S338" i="9"/>
  <c r="S419" i="9" s="1"/>
  <c r="D137" i="4"/>
  <c r="D45" i="6" s="1"/>
  <c r="K104" i="9"/>
  <c r="D116" i="4" s="1"/>
  <c r="D122" i="4" s="1"/>
  <c r="M301" i="9"/>
  <c r="M302" i="8"/>
  <c r="S447" i="9"/>
  <c r="S524" i="9" s="1"/>
  <c r="R635" i="9"/>
  <c r="L734" i="9"/>
  <c r="D146" i="4" s="1"/>
  <c r="M219" i="8"/>
  <c r="M629" i="8"/>
  <c r="M279" i="9"/>
  <c r="E77" i="31"/>
  <c r="M245" i="9"/>
  <c r="S104" i="9"/>
  <c r="N629" i="8"/>
  <c r="D132" i="4"/>
  <c r="E39" i="6" s="1"/>
  <c r="M287" i="9"/>
  <c r="D52" i="6"/>
  <c r="G52" i="6" s="1"/>
  <c r="L52" i="6" s="1"/>
  <c r="D142" i="4"/>
  <c r="J142" i="4" s="1"/>
  <c r="D53" i="6"/>
  <c r="J141" i="4"/>
  <c r="M534" i="9"/>
  <c r="L629" i="9"/>
  <c r="M244" i="9"/>
  <c r="M242" i="9"/>
  <c r="L314" i="9"/>
  <c r="M236" i="9"/>
  <c r="I148" i="1"/>
  <c r="E52" i="6"/>
  <c r="C60" i="6"/>
  <c r="C61" i="6" s="1"/>
  <c r="S155" i="1"/>
  <c r="S734" i="8"/>
  <c r="T734" i="8"/>
  <c r="C53" i="6"/>
  <c r="E53" i="6"/>
  <c r="M226" i="8"/>
  <c r="M314" i="8" s="1"/>
  <c r="K314" i="8"/>
  <c r="E68" i="31"/>
  <c r="S135" i="1"/>
  <c r="C33" i="6"/>
  <c r="C45" i="6"/>
  <c r="D118" i="4"/>
  <c r="D121" i="4" s="1"/>
  <c r="C28" i="6"/>
  <c r="D143" i="1"/>
  <c r="E86" i="31"/>
  <c r="D131" i="4"/>
  <c r="C38" i="6"/>
  <c r="E79" i="31"/>
  <c r="M228" i="8"/>
  <c r="E87" i="31"/>
  <c r="D139" i="1"/>
  <c r="M229" i="9"/>
  <c r="D33" i="6" l="1"/>
  <c r="G33" i="6" s="1"/>
  <c r="L33" i="6" s="1"/>
  <c r="E33" i="6"/>
  <c r="D138" i="4"/>
  <c r="J137" i="4" s="1"/>
  <c r="G45" i="6"/>
  <c r="L45" i="6" s="1"/>
  <c r="E45" i="6"/>
  <c r="D28" i="6"/>
  <c r="D65" i="6" s="1"/>
  <c r="E28" i="6"/>
  <c r="E65" i="6" s="1"/>
  <c r="D39" i="6"/>
  <c r="G53" i="6"/>
  <c r="L53" i="6" s="1"/>
  <c r="D59" i="6"/>
  <c r="D147" i="4"/>
  <c r="J147" i="4" s="1"/>
  <c r="J146" i="4"/>
  <c r="D60" i="6"/>
  <c r="R734" i="9"/>
  <c r="S635" i="9"/>
  <c r="M314" i="9"/>
  <c r="N534" i="9"/>
  <c r="N629" i="9" s="1"/>
  <c r="M629" i="9"/>
  <c r="D54" i="6"/>
  <c r="E54" i="6"/>
  <c r="C54" i="6"/>
  <c r="D133" i="4"/>
  <c r="J131" i="4" s="1"/>
  <c r="D38" i="6"/>
  <c r="G38" i="6" s="1"/>
  <c r="L38" i="6" s="1"/>
  <c r="E38" i="6"/>
  <c r="D123" i="4"/>
  <c r="C39" i="6"/>
  <c r="G39" i="6" s="1"/>
  <c r="L39" i="6" s="1"/>
  <c r="C44" i="6"/>
  <c r="G44" i="6" s="1"/>
  <c r="L44" i="6" s="1"/>
  <c r="E44" i="6"/>
  <c r="D145" i="1"/>
  <c r="E88" i="31"/>
  <c r="D140" i="1"/>
  <c r="I139" i="1" s="1"/>
  <c r="C65" i="6"/>
  <c r="J136" i="4" l="1"/>
  <c r="D46" i="6"/>
  <c r="X138" i="4"/>
  <c r="G28" i="6"/>
  <c r="L28" i="6" s="1"/>
  <c r="D61" i="6"/>
  <c r="E60" i="6"/>
  <c r="G54" i="6"/>
  <c r="L54" i="6" s="1"/>
  <c r="T635" i="9"/>
  <c r="T734" i="9" s="1"/>
  <c r="S734" i="9"/>
  <c r="G60" i="6"/>
  <c r="L60" i="6" s="1"/>
  <c r="G59" i="6"/>
  <c r="L59" i="6" s="1"/>
  <c r="E59" i="6"/>
  <c r="S140" i="1"/>
  <c r="C40" i="6"/>
  <c r="I138" i="1"/>
  <c r="I143" i="1"/>
  <c r="E46" i="6"/>
  <c r="C46" i="6"/>
  <c r="S145" i="1"/>
  <c r="I144" i="1"/>
  <c r="D40" i="6"/>
  <c r="X133" i="4"/>
  <c r="E40" i="6"/>
  <c r="J132" i="4"/>
  <c r="G46" i="6" l="1"/>
  <c r="L46" i="6" s="1"/>
  <c r="E61" i="6"/>
  <c r="G61" i="6"/>
  <c r="L61" i="6" s="1"/>
  <c r="G40" i="6"/>
  <c r="L40" i="6" s="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215ADCBC-4EBB-48E6-AFB5-F341161A3C2A}" keepAlive="1" name="Query - Inschrijf_Bouwplaats_Totaal" description="Verbinding maken met de query Inschrijf_Bouwplaats_Totaal in de werkmap." type="5" refreshedVersion="0" background="1" saveData="1">
    <dbPr connection="Provider=Microsoft.Mashup.OleDb.1;Data Source=$Workbook$;Location=Inschrijf_Bouwplaats_Totaal;Extended Properties=&quot;&quot;" command="SELECT * FROM [Inschrijf_Bouwplaats_Totaal]"/>
  </connection>
  <connection id="2" xr16:uid="{B1A4F52E-A3DA-434A-B25F-1057AE5AE98C}" keepAlive="1" name="Query - Inschrijf_CO2_Totaal" description="Verbinding maken met de query Inschrijf_CO2_Totaal in de werkmap." type="5" refreshedVersion="0" background="1" saveData="1">
    <dbPr connection="Provider=Microsoft.Mashup.OleDb.1;Data Source=$Workbook$;Location=Inschrijf_CO2_Totaal;Extended Properties=&quot;&quot;" command="SELECT * FROM [Inschrijf_CO2_Totaal]"/>
  </connection>
  <connection id="3" xr16:uid="{049F6A75-C3AD-4FFB-85AE-B2E096B5C451}" keepAlive="1" name="Query - Inschrijf_Export" description="Verbinding maken met de query Inschrijf_Export in de werkmap." type="5" refreshedVersion="8" background="1" saveData="1">
    <dbPr connection="Provider=Microsoft.Mashup.OleDb.1;Data Source=$Workbook$;Location=Inschrijf_Export;Extended Properties=&quot;&quot;" command="SELECT * FROM [Inschrijf_Export]"/>
  </connection>
  <connection id="4" xr16:uid="{0C6BDF0D-8109-4C49-BE34-A80E8627B7F3}" keepAlive="1" name="Query - Inschrijf_Fossiele_Energie_Totaal" description="Verbinding maken met de query Inschrijf_Fossiele_Energie_Totaal in de werkmap." type="5" refreshedVersion="0" background="1" saveData="1">
    <dbPr connection="Provider=Microsoft.Mashup.OleDb.1;Data Source=$Workbook$;Location=Inschrijf_Fossiele_Energie_Totaal;Extended Properties=&quot;&quot;" command="SELECT * FROM [Inschrijf_Fossiele_Energie_Totaal]"/>
  </connection>
  <connection id="5" xr16:uid="{0D8BAFD2-8458-4A64-A6CB-5674151588E0}" keepAlive="1" name="Query - Inschrijf_Hernieuwbare_Energie_Totaal" description="Verbinding maken met de query Inschrijf_Hernieuwbare_Energie_Totaal in de werkmap." type="5" refreshedVersion="0" background="1" saveData="1">
    <dbPr connection="Provider=Microsoft.Mashup.OleDb.1;Data Source=$Workbook$;Location=Inschrijf_Hernieuwbare_Energie_Totaal;Extended Properties=&quot;&quot;" command="SELECT * FROM [Inschrijf_Hernieuwbare_Energie_Totaal]"/>
  </connection>
  <connection id="6" xr16:uid="{06707529-B10B-4D7B-87BC-982CEF62DD2E}" keepAlive="1" name="Query - Inschrijf_Materiaal_Totaal" description="Verbinding maken met de query Inschrijf_Materiaal_Totaal in de werkmap." type="5" refreshedVersion="0" background="1" saveData="1">
    <dbPr connection="Provider=Microsoft.Mashup.OleDb.1;Data Source=$Workbook$;Location=Inschrijf_Materiaal_Totaal;Extended Properties=&quot;&quot;" command="SELECT * FROM [Inschrijf_Materiaal_Totaal]"/>
  </connection>
  <connection id="7" xr16:uid="{2A85E8F7-6DC6-4EA6-9C01-2EA239B74E86}" keepAlive="1" name="Query - Inschrijf_MKI_Totaal" description="Verbinding maken met de query Inschrijf_MKI_Totaal in de werkmap." type="5" refreshedVersion="0" background="1" saveData="1">
    <dbPr connection="Provider=Microsoft.Mashup.OleDb.1;Data Source=$Workbook$;Location=Inschrijf_MKI_Totaal;Extended Properties=&quot;&quot;" command="SELECT * FROM [Inschrijf_MKI_Totaal]"/>
  </connection>
  <connection id="8" xr16:uid="{5761B434-8EFA-4ABF-A5B5-F1FC4E92A3FD}" keepAlive="1" name="Query - Inschrijf_Transport_Totaal" description="Verbinding maken met de query Inschrijf_Transport_Totaal in de werkmap." type="5" refreshedVersion="0" background="1" saveData="1">
    <dbPr connection="Provider=Microsoft.Mashup.OleDb.1;Data Source=$Workbook$;Location=Inschrijf_Transport_Totaal;Extended Properties=&quot;&quot;" command="SELECT * FROM [Inschrijf_Transport_Totaal]"/>
  </connection>
  <connection id="9" xr16:uid="{BA6D93F6-7AB8-482C-9993-D16D0020AF46}" keepAlive="1" name="Query - Invoer_Inschrijf" description="Verbinding maken met de query Invoer_Inschrijf in de werkmap." type="5" refreshedVersion="0" background="1" saveData="1">
    <dbPr connection="Provider=Microsoft.Mashup.OleDb.1;Data Source=$Workbook$;Location=Invoer_Inschrijf;Extended Properties=&quot;&quot;" command="SELECT * FROM [Invoer_Inschrijf]"/>
  </connection>
  <connection id="10" xr16:uid="{38557CDE-2DF1-4B71-8869-4CE36CBF0733}" keepAlive="1" name="Query - Invoer_Referentie" description="Verbinding maken met de query Invoer_Referentie in de werkmap." type="5" refreshedVersion="0" background="1" saveData="1">
    <dbPr connection="Provider=Microsoft.Mashup.OleDb.1;Data Source=$Workbook$;Location=Invoer_Referentie;Extended Properties=&quot;&quot;" command="SELECT * FROM [Invoer_Referentie]"/>
  </connection>
  <connection id="11" xr16:uid="{2DEE6C01-912B-492D-9C5D-5725BCB762E9}" keepAlive="1" name="Query - Project_ID_Inschrijver" description="Verbinding maken met de query Project_ID_Inschrijver in de werkmap." type="5" refreshedVersion="0" background="1" saveData="1">
    <dbPr connection="Provider=Microsoft.Mashup.OleDb.1;Data Source=$Workbook$;Location=Project_ID_Inschrijver;Extended Properties=&quot;&quot;" command="SELECT * FROM [Project_ID_Inschrijver]"/>
  </connection>
  <connection id="12" xr16:uid="{B674D99B-17DA-4AFD-98A8-3A171F47C8DA}" keepAlive="1" name="Query - Project_ID_Referentie" description="Verbinding maken met de query Project_ID_Referentie in de werkmap." type="5" refreshedVersion="0" background="1" saveData="1">
    <dbPr connection="Provider=Microsoft.Mashup.OleDb.1;Data Source=$Workbook$;Location=Project_ID_Referentie;Extended Properties=&quot;&quot;" command="SELECT * FROM [Project_ID_Referentie]"/>
  </connection>
  <connection id="13" xr16:uid="{89E1C7BA-C469-4CA5-BC1B-C79FF434BD88}" keepAlive="1" name="Query - Referentie_Bouwplaats_Totaal" description="Verbinding maken met de query Referentie_Bouwplaats_Totaal in de werkmap." type="5" refreshedVersion="0" background="1" saveData="1">
    <dbPr connection="Provider=Microsoft.Mashup.OleDb.1;Data Source=$Workbook$;Location=Referentie_Bouwplaats_Totaal;Extended Properties=&quot;&quot;" command="SELECT * FROM [Referentie_Bouwplaats_Totaal]"/>
  </connection>
  <connection id="14" xr16:uid="{00AEB30D-690D-433F-9D44-B5904FE21C3C}" keepAlive="1" name="Query - Referentie_CO2_Totaal" description="Verbinding maken met de query Referentie_CO2_Totaal in de werkmap." type="5" refreshedVersion="0" background="1" saveData="1">
    <dbPr connection="Provider=Microsoft.Mashup.OleDb.1;Data Source=$Workbook$;Location=Referentie_CO2_Totaal;Extended Properties=&quot;&quot;" command="SELECT * FROM [Referentie_CO2_Totaal]"/>
  </connection>
  <connection id="15" xr16:uid="{8374ED80-CB2F-4130-911E-0C2E70E62650}" keepAlive="1" name="Query - Referentie_Export" description="Verbinding maken met de query Referentie_Export in de werkmap." type="5" refreshedVersion="8" background="1" saveData="1">
    <dbPr connection="Provider=Microsoft.Mashup.OleDb.1;Data Source=$Workbook$;Location=Referentie_Export;Extended Properties=&quot;&quot;" command="SELECT * FROM [Referentie_Export]"/>
  </connection>
  <connection id="16" xr16:uid="{0429F3AA-D9AD-464B-BC2D-426BE97457DC}" keepAlive="1" name="Query - Referentie_Fossiele_Energie_Totaal" description="Verbinding maken met de query Referentie_Fossiele_Energie_Totaal in de werkmap." type="5" refreshedVersion="0" background="1" saveData="1">
    <dbPr connection="Provider=Microsoft.Mashup.OleDb.1;Data Source=$Workbook$;Location=Referentie_Fossiele_Energie_Totaal;Extended Properties=&quot;&quot;" command="SELECT * FROM [Referentie_Fossiele_Energie_Totaal]"/>
  </connection>
  <connection id="17" xr16:uid="{6FE89AA2-49AE-45DB-8B12-2C312D10E602}" keepAlive="1" name="Query - Referentie_Hernieuwbare_Energie_Totaal" description="Verbinding maken met de query Referentie_Hernieuwbare_Energie_Totaal in de werkmap." type="5" refreshedVersion="0" background="1" saveData="1">
    <dbPr connection="Provider=Microsoft.Mashup.OleDb.1;Data Source=$Workbook$;Location=Referentie_Hernieuwbare_Energie_Totaal;Extended Properties=&quot;&quot;" command="SELECT * FROM [Referentie_Hernieuwbare_Energie_Totaal]"/>
  </connection>
  <connection id="18" xr16:uid="{48F88265-3F98-46A0-A56E-2247C7A1CBB0}" keepAlive="1" name="Query - Referentie_Materiaal_Totaal" description="Verbinding maken met de query Referentie_Materiaal_Totaal in de werkmap." type="5" refreshedVersion="0" background="1" saveData="1">
    <dbPr connection="Provider=Microsoft.Mashup.OleDb.1;Data Source=$Workbook$;Location=Referentie_Materiaal_Totaal;Extended Properties=&quot;&quot;" command="SELECT * FROM [Referentie_Materiaal_Totaal]"/>
  </connection>
  <connection id="19" xr16:uid="{465A18E2-30AC-449D-AAFF-F2AE377240F1}" keepAlive="1" name="Query - Referentie_MKI_Totaal" description="Verbinding maken met de query Referentie_MKI_Totaal in de werkmap." type="5" refreshedVersion="0" background="1" saveData="1">
    <dbPr connection="Provider=Microsoft.Mashup.OleDb.1;Data Source=$Workbook$;Location=Referentie_MKI_Totaal;Extended Properties=&quot;&quot;" command="SELECT * FROM [Referentie_MKI_Totaal]"/>
  </connection>
  <connection id="20" xr16:uid="{3E9B9A33-7F4A-47D5-B597-95365B026FBD}" keepAlive="1" name="Query - Referentie_Transport_Totaal" description="Verbinding maken met de query Referentie_Transport_Totaal in de werkmap." type="5" refreshedVersion="0" background="1" saveData="1">
    <dbPr connection="Provider=Microsoft.Mashup.OleDb.1;Data Source=$Workbook$;Location=Referentie_Transport_Totaal;Extended Properties=&quot;&quot;" command="SELECT * FROM [Referentie_Transport_Totaal]"/>
  </connection>
</connection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<sst xmlns="http://schemas.openxmlformats.org/spreadsheetml/2006/main" count="21581" uniqueCount="2035">
  <si>
    <t>Project levensduur</t>
  </si>
  <si>
    <t xml:space="preserve">  </t>
  </si>
  <si>
    <t>Product-/ Projectvariant</t>
  </si>
  <si>
    <t>Onderdeel</t>
  </si>
  <si>
    <t>Omschrijving</t>
  </si>
  <si>
    <t>Bestaande Situatie of Nieuw Sitautie?</t>
  </si>
  <si>
    <t>Productgroep</t>
  </si>
  <si>
    <t>Product</t>
  </si>
  <si>
    <t>Category</t>
  </si>
  <si>
    <t>Producttype</t>
  </si>
  <si>
    <t>Aantal Eenheden</t>
  </si>
  <si>
    <t>Eenheid</t>
  </si>
  <si>
    <t>Lengte[m]</t>
  </si>
  <si>
    <t>Breedte [m]</t>
  </si>
  <si>
    <t>Dikte [m]</t>
  </si>
  <si>
    <t>Oppervlakte [m2]</t>
  </si>
  <si>
    <t>Hoeveelheid [m3]</t>
  </si>
  <si>
    <t>Soortelijk gewicht [ton / m3]</t>
  </si>
  <si>
    <t>Gewicht [ton]</t>
  </si>
  <si>
    <t>Product levensduur [jaar]</t>
  </si>
  <si>
    <t>Vervangingen</t>
  </si>
  <si>
    <t>Onderhoudscylus [jaar]</t>
  </si>
  <si>
    <t>Onderhoudsbeurten</t>
  </si>
  <si>
    <t>A4 - Transportafstand naar bouwplaats [km]</t>
  </si>
  <si>
    <t>A4 - Transportmiddel naar bouwplaats</t>
  </si>
  <si>
    <t>A5 - Asfalt Aanlegset</t>
  </si>
  <si>
    <t>A5 - Overig Materieel tbv Aanleg</t>
  </si>
  <si>
    <t>C1 - Asfalt Verwijderset</t>
  </si>
  <si>
    <t>C1 - Overig Materieel tbv Verwijderen</t>
  </si>
  <si>
    <t>C2 - Transportafstand naar verwerker [km]</t>
  </si>
  <si>
    <t>C2 - Transportmiddel naar verwerker</t>
  </si>
  <si>
    <t>C3 - % Verbranding</t>
  </si>
  <si>
    <t>C3 - % Recycling</t>
  </si>
  <si>
    <t>C3 - Verwerkingsset</t>
  </si>
  <si>
    <t>C4 - % stort / verlies</t>
  </si>
  <si>
    <t>D - % Hergebruik</t>
  </si>
  <si>
    <t>Uitgangspunten</t>
  </si>
  <si>
    <t>Open Menggranulaat</t>
  </si>
  <si>
    <t>Grondontgraving</t>
  </si>
  <si>
    <t>Bestaande situatie</t>
  </si>
  <si>
    <t>Ophoogmateriaal</t>
  </si>
  <si>
    <t>Ophoogmateriaal (Grond)</t>
  </si>
  <si>
    <t>100</t>
  </si>
  <si>
    <t>5</t>
  </si>
  <si>
    <t>Zandbed</t>
  </si>
  <si>
    <t>Nieuwe situatie</t>
  </si>
  <si>
    <t>Ophoogmateriaal (Zand)</t>
  </si>
  <si>
    <t>Funderingswapening</t>
  </si>
  <si>
    <t>Funderingslagen</t>
  </si>
  <si>
    <t>Geogrid</t>
  </si>
  <si>
    <t>Menggranulaat</t>
  </si>
  <si>
    <t>Menggranulaat 200mm</t>
  </si>
  <si>
    <t>400mm dikte niet beschikbaar; 200 mm als uitgangspunten met aantal m2 * 2</t>
  </si>
  <si>
    <t>Straatlaag</t>
  </si>
  <si>
    <t>Toplaag</t>
  </si>
  <si>
    <t>Elementenverhardingen</t>
  </si>
  <si>
    <t>Betonstraatsteen 210x105x80</t>
  </si>
  <si>
    <t>Plastic kratten</t>
  </si>
  <si>
    <t>Grondverbetering</t>
  </si>
  <si>
    <t>Waterbergendelaag</t>
  </si>
  <si>
    <t>Kunststof Inflitratiekrat</t>
  </si>
  <si>
    <t>Menggranulaat 300mm</t>
  </si>
  <si>
    <t>Rockwool</t>
  </si>
  <si>
    <t>Rockwool, 50 cm</t>
  </si>
  <si>
    <t>CO2 project totaal (ton)</t>
  </si>
  <si>
    <t>Grondstoffengebruik (ton)</t>
  </si>
  <si>
    <t>Energiegebruik (GJ)</t>
  </si>
  <si>
    <t>Hernieuwbaar</t>
  </si>
  <si>
    <t>Fossiel</t>
  </si>
  <si>
    <t>Totaal Energie</t>
  </si>
  <si>
    <t>Variant</t>
  </si>
  <si>
    <t>(Multiple Items)</t>
  </si>
  <si>
    <t>MKI project totaal (€)</t>
  </si>
  <si>
    <t>(All)</t>
  </si>
  <si>
    <t>A1</t>
  </si>
  <si>
    <t>A2</t>
  </si>
  <si>
    <t>A3</t>
  </si>
  <si>
    <t>A1-A3</t>
  </si>
  <si>
    <t>A4</t>
  </si>
  <si>
    <t>A5</t>
  </si>
  <si>
    <t>B1</t>
  </si>
  <si>
    <t>B3</t>
  </si>
  <si>
    <t>B4</t>
  </si>
  <si>
    <t>C1</t>
  </si>
  <si>
    <t>C2</t>
  </si>
  <si>
    <t>C3</t>
  </si>
  <si>
    <t>C4</t>
  </si>
  <si>
    <t>D1</t>
  </si>
  <si>
    <t>D2</t>
  </si>
  <si>
    <t>D</t>
  </si>
  <si>
    <t>Totaal</t>
  </si>
  <si>
    <t>Row Labels</t>
  </si>
  <si>
    <t>Sum of A1-A3</t>
  </si>
  <si>
    <t>Sum of A4</t>
  </si>
  <si>
    <t>Sum of A5</t>
  </si>
  <si>
    <t>Sum of B1</t>
  </si>
  <si>
    <t>Sum of B3</t>
  </si>
  <si>
    <t>Sum of B4</t>
  </si>
  <si>
    <t>Sum of C1</t>
  </si>
  <si>
    <t>Sum of C2</t>
  </si>
  <si>
    <t>Sum of C3</t>
  </si>
  <si>
    <t>Sum of C4</t>
  </si>
  <si>
    <t>Sum of D</t>
  </si>
  <si>
    <t>Sum of Totaal</t>
  </si>
  <si>
    <t>Column Labels</t>
  </si>
  <si>
    <t>Grand Total</t>
  </si>
  <si>
    <t>CO2 project totaal (kg)</t>
  </si>
  <si>
    <t>Som van Totaal</t>
  </si>
  <si>
    <t>Materiaalgebruik [ton]</t>
  </si>
  <si>
    <t>Hoeveelheid [ton]</t>
  </si>
  <si>
    <t>% Secundair</t>
  </si>
  <si>
    <t>Primair materiaalverbruik [ton]</t>
  </si>
  <si>
    <t>Secundair materiaalverbruik [ton]</t>
  </si>
  <si>
    <t>Hoeveelheid Vervaningen [ton]</t>
  </si>
  <si>
    <t>Primair materiaalverbruik Vervangingen [ton]</t>
  </si>
  <si>
    <t>Secundair materiaalverbruik Vervangingen [ton]</t>
  </si>
  <si>
    <t>Totaal Primair Materieelgebruik</t>
  </si>
  <si>
    <t>Totaal Secundair Materieelgebruik</t>
  </si>
  <si>
    <t>Totaal Materieelgebruik</t>
  </si>
  <si>
    <t>Primair Materieelgebruik</t>
  </si>
  <si>
    <t>Secundair Materieelgebruik</t>
  </si>
  <si>
    <t>Hernieuwbaar energieverbruik [MJ]</t>
  </si>
  <si>
    <t>Fossiel energieverbruik [MJ]</t>
  </si>
  <si>
    <t>Emissieloos Transport [tkm]</t>
  </si>
  <si>
    <t>Transport naar bouwplaats [tkm]</t>
  </si>
  <si>
    <t>Transport naar verwerker [tkm]</t>
  </si>
  <si>
    <t>Emissieloos Transport naar bouwplaats?</t>
  </si>
  <si>
    <t>Emissieloos Transport naar verwerker?</t>
  </si>
  <si>
    <t>Emissieloos Transport</t>
  </si>
  <si>
    <t>Transport naar bouwplaats Vervangingen [tkm]</t>
  </si>
  <si>
    <t>Transport naar verwerker Vervangingen [tkm]</t>
  </si>
  <si>
    <t>Emissieloos Transport Vervangingen</t>
  </si>
  <si>
    <t>Totaal Emissieloos Transport</t>
  </si>
  <si>
    <t>Totaal Niet Emissieloos Transport</t>
  </si>
  <si>
    <t>Totaal Transport</t>
  </si>
  <si>
    <t>Nee</t>
  </si>
  <si>
    <t>Emissieloos Bouwplaats</t>
  </si>
  <si>
    <t>Draaiuren Bouw</t>
  </si>
  <si>
    <t>Draaiuren Sloop</t>
  </si>
  <si>
    <t>Emissieloos Bouwmaterieel</t>
  </si>
  <si>
    <t>Emissieloos Sloopmaterieel</t>
  </si>
  <si>
    <t>Emissieloos bouwplaats</t>
  </si>
  <si>
    <t>Draaiuren Bouw Vervangingen</t>
  </si>
  <si>
    <t>Draaiuren Sloop Vervangingen</t>
  </si>
  <si>
    <t>Emissieloos bouwplaats Vervangingen</t>
  </si>
  <si>
    <t>Totaal Emissieloos Bouwplaats</t>
  </si>
  <si>
    <t>Totaal Niet Emissieloos Bouwplaats</t>
  </si>
  <si>
    <t>Totaal Bouwplaats</t>
  </si>
  <si>
    <t>Handleiding MKI-rekenmodule</t>
  </si>
  <si>
    <t xml:space="preserve">Algemeen </t>
  </si>
  <si>
    <t xml:space="preserve">Voor u ligt de Milieu Kosten Indicator (MKI) rekenmodule. Deze handleiding beschrijft het gebruik van dit instrument.  </t>
  </si>
  <si>
    <t xml:space="preserve">Het rekeninstrument maakt het mogelijk om als inschrijver op eenvoudige en eenduidige wijze een MKI-berekening te maken voor het betreffende project. </t>
  </si>
  <si>
    <t>Met behulp van drop-down menu’s kunt u alternatieve materialen &amp; machines selecteren, waarvan direct het effect inzichtelijk wordt gemaakt.</t>
  </si>
  <si>
    <t>Onderaan het document ziet u vier tabbladen:</t>
  </si>
  <si>
    <r>
      <t>·</t>
    </r>
    <r>
      <rPr>
        <sz val="7"/>
        <color theme="1"/>
        <rFont val="Times New Roman"/>
        <family val="1"/>
      </rPr>
      <t xml:space="preserve">         </t>
    </r>
    <r>
      <rPr>
        <sz val="11"/>
        <color theme="1"/>
        <rFont val="Times New Roman"/>
        <family val="1"/>
      </rPr>
      <t>Handleiding</t>
    </r>
  </si>
  <si>
    <r>
      <t>·</t>
    </r>
    <r>
      <rPr>
        <sz val="7"/>
        <color theme="1"/>
        <rFont val="Times New Roman"/>
        <family val="1"/>
      </rPr>
      <t xml:space="preserve">         </t>
    </r>
    <r>
      <rPr>
        <sz val="11"/>
        <color theme="1"/>
        <rFont val="Times New Roman"/>
        <family val="1"/>
      </rPr>
      <t>Baseline</t>
    </r>
  </si>
  <si>
    <r>
      <t>·</t>
    </r>
    <r>
      <rPr>
        <sz val="7"/>
        <color theme="1"/>
        <rFont val="Times New Roman"/>
        <family val="1"/>
      </rPr>
      <t xml:space="preserve">         </t>
    </r>
    <r>
      <rPr>
        <sz val="11"/>
        <color theme="1"/>
        <rFont val="Times New Roman"/>
        <family val="1"/>
      </rPr>
      <t>Optimalisatie</t>
    </r>
  </si>
  <si>
    <r>
      <t>·</t>
    </r>
    <r>
      <rPr>
        <sz val="7"/>
        <color theme="1"/>
        <rFont val="Times New Roman"/>
        <family val="1"/>
      </rPr>
      <t xml:space="preserve">         </t>
    </r>
    <r>
      <rPr>
        <sz val="11"/>
        <color theme="1"/>
        <rFont val="Times New Roman"/>
        <family val="1"/>
      </rPr>
      <t>Cat. 1 LCA’s</t>
    </r>
  </si>
  <si>
    <t>Het tabblad “Optimalisatie” toont de gebruikte gegevens (scope) van de "Baseline". Dit is het startpunt om vanuit te optimaliseren.</t>
  </si>
  <si>
    <t xml:space="preserve">Het tabblad “Cat. 1 LCA’s” geeft u de mogelijkheid om Categorie 1 data in te laden, waarover later meer. </t>
  </si>
  <si>
    <t>Invoer projectgegevens</t>
  </si>
  <si>
    <t xml:space="preserve">In de tabel voor het invoeren van projectgegevens wordt duidelijk wat de ‘scope’ is van werkzaamheden waarvoor de MKI berekening is gemaakt. </t>
  </si>
  <si>
    <t>Daarnaast is te zien welke materialen en machines zijn gebruikt om tot de Baseline te komen.</t>
  </si>
  <si>
    <t>Figuur 1. Tabel voor het invoeren van projectgegevens</t>
  </si>
  <si>
    <r>
      <t xml:space="preserve">Als inschrijver gaat u aan de slag om de </t>
    </r>
    <r>
      <rPr>
        <b/>
        <u/>
        <sz val="11"/>
        <color theme="1"/>
        <rFont val="Times New Roman"/>
        <family val="1"/>
      </rPr>
      <t>groen gearceerde vlakken</t>
    </r>
    <r>
      <rPr>
        <sz val="11"/>
        <color theme="1"/>
        <rFont val="Times New Roman"/>
        <family val="1"/>
      </rPr>
      <t xml:space="preserve"> in te vullen in overeenstemming met wat u aanbiedt voor het uitvoeren van het project. </t>
    </r>
  </si>
  <si>
    <t>De aangeboden materialen &amp; machines om tot de MKI berekening te komen dienen te voldoen aan ‘Protocol berekenen en aantonen MKI-waarde’.</t>
  </si>
  <si>
    <t xml:space="preserve">Het is mogelijk om de overeenkomende invoer uit de Baseline te hanteren en geen optimalisatie op MKI te maken. </t>
  </si>
  <si>
    <t>De volgende invoervelden zijn relevant voor het project:</t>
  </si>
  <si>
    <t>Inschrijfprijs</t>
  </si>
  <si>
    <t>Geef aan wat de inschrijfprijs is van de betreffende bestekpost. (Deze waarde is contractueel niet leidend)</t>
  </si>
  <si>
    <t xml:space="preserve">Maak gebruik van het drop-down menu om een keuze te maken tussen de verschillende productgroepen of Categorie_1_LCA_Producten. </t>
  </si>
  <si>
    <t xml:space="preserve">Op basis van de keuze voor een productgroep past het drop-down menu onder product zich aan. Bijvoorbeeld na de keuze voor ‘Bitumineuze_verhardingen’ als productgroep wordt in de kolom Product alle Branchegemiddelde asfaltmengsels getoond om uit te kiezen. </t>
  </si>
  <si>
    <t>Het is mogelijk om gebruik te maken van eigen Categorie 1 LCA gegevens. Zie hiervoor: Invoer Categorie 1 LCA’s.</t>
  </si>
  <si>
    <t>A4 – Transportafstand naar bouwplaats</t>
  </si>
  <si>
    <t>Vul in hoeveel km de transportafstand is, conform 'Protocol berekenen en aantonen MKI-waarde'</t>
  </si>
  <si>
    <t>A4 – Transportmiddel naar bouwplaats</t>
  </si>
  <si>
    <t xml:space="preserve">Door middel van drop-down menu’s kunt u kiezen tussen verschillende type vrachtwagens en brandstoffen. </t>
  </si>
  <si>
    <t>A5- Asfalt Aanleg-set</t>
  </si>
  <si>
    <t xml:space="preserve">Als een bestekpost betrekking heeft op asfalt maakt u gebruik van dit invoerveld om aan te geven hoe het asfalt wordt aangelegd. </t>
  </si>
  <si>
    <t xml:space="preserve">Er zijn aanlegsets beschikbaar met verschillende aanlegvolumes en brandstoffen in overeenkomst met de PCR Asfalt. De sets bestaan altijd uit een asfaltspreidmachine en wals. </t>
  </si>
  <si>
    <t>A5 – Overige Materieel tbv Aanleg</t>
  </si>
  <si>
    <t xml:space="preserve">Voor werkzaamheden met grond en funderingsmateriaal maakt u gebruik van dit invoerveld om een keuze te maken tussen verschillende machines en brandstoffen. </t>
  </si>
  <si>
    <t xml:space="preserve">Note: De overige invoervelden zijn voor dit project niet aanpasbaar, omdat u hier als inschrijver geen invloed op heeft en/of buiten de scope van de MKI-berekening vallen. </t>
  </si>
  <si>
    <t>Analysemodel</t>
  </si>
  <si>
    <t>Figuur 2. Het totale analysemodel van het rekeninstrument</t>
  </si>
  <si>
    <t xml:space="preserve">Op basis van de ingevoerde projectgegevens houdt het rekeninstrument real-time de informatie bij, welke u kunt gebruiken als analysemodel. </t>
  </si>
  <si>
    <t>Het analysemodel biedt inzicht in het gunningsmodel, MKI-waarde per levensfase &amp; bestekspost en de milieu impact van het project uitgedrukt in beleidsdoelstellingen.</t>
  </si>
  <si>
    <t>Voor u als inschrijver zijn het gunningsmodel &amp; de analyse op MKI-waarde relevant.</t>
  </si>
  <si>
    <t>Gunningsmodel</t>
  </si>
  <si>
    <t xml:space="preserve"> </t>
  </si>
  <si>
    <t>Figuur 3. Het gunningsmodel</t>
  </si>
  <si>
    <t xml:space="preserve">Als inschrijver wilt u niet alleen weten wat het effect is op de MKI-waarde, maar vooral wat het effect is op uw inschrijfprijs. Dit is immers bepalend voor het aanbieden van een winnende inschrijving. </t>
  </si>
  <si>
    <t xml:space="preserve">Het gunningsmodel geeft dit inzicht in de hoeveelheid fictieve korting die u ontvangt op basis van de referentiewaarde, streefwaarde en het gunningsvoordeel. </t>
  </si>
  <si>
    <t xml:space="preserve">Het rekeninstrument toont direct hoeveel fictieve korting er gemoeid is met de keuze voor alternatieve materialen, brandstoffen of machines. </t>
  </si>
  <si>
    <t>Zo kunt u eenvoudig een afweging maken of het aanbieden van een duurzaam alternatief u ook daadwerkelijk helpt om een meer competitieve, duurzame inschrijving te doen.</t>
  </si>
  <si>
    <t>Invoer Categorie 1 LCA’s</t>
  </si>
  <si>
    <t>Om te kunnen rekenen met eigen Categorie 1 LCA’s begint u bij het tweede tabblad van het rekeninstrument: ‘Cat. 1 LCA’s’</t>
  </si>
  <si>
    <t>In dit tabblad vult u benodigde informatie in over eenheid, gewicht per eenheid, % secundair materiaal, MKI-waardes, CO2, materiaalgebruik &amp; energie. De informatie is te vinden in de LCA Dossiers of samenvatting daarvan (EPD).</t>
  </si>
  <si>
    <t>Geef daarnaast aan wat de bron is: Naam van het LCA dossier &amp; voeg deze toe als bewijsmiddel.</t>
  </si>
  <si>
    <t>Figuur 5. Invoer van Categorie 1 LCA's</t>
  </si>
  <si>
    <t>Na het invoeren van de gegevens gaat u terug naar het tabblad ‘Optimalisatie’. Het rekeninstrument kan nu gebruik maken van de ingevoerde gegevens om de berekeningen te maken.</t>
  </si>
  <si>
    <t>U kunt nu bij het selecteren van de Productgroep kiezen voor Categorie 1 LCA Producten. Vervolgens kiest u onder Product het product dat u heeft ingevoerd en wilt gebruiken voor de bestekpost.</t>
  </si>
  <si>
    <t>Analyse op MKI-Waarde</t>
  </si>
  <si>
    <t>De analyse op MKI-waarde maakt inzichtelijk welke bestekpost en welke levensfase de milieu impact veroorzaken. Zo kunt u snel afgewogen keuzes maken waar het meest zinvol is om duurzame alternatieven aan te bieden.</t>
  </si>
  <si>
    <t>Figuur 4. Analyse op MKI-waarde per levensfase &amp; bestekpost</t>
  </si>
  <si>
    <t>Opdrachtgever</t>
  </si>
  <si>
    <t>Opdrachtnemer</t>
  </si>
  <si>
    <t>Project ID</t>
  </si>
  <si>
    <t>Project datum</t>
  </si>
  <si>
    <t>Scope</t>
  </si>
  <si>
    <t>Version</t>
  </si>
  <si>
    <t>Gemeente Amersfoort</t>
  </si>
  <si>
    <t>Noordewierweg</t>
  </si>
  <si>
    <t>[A1]:[D2]</t>
  </si>
  <si>
    <t>Bestekspost</t>
  </si>
  <si>
    <t>Kostenraming [€]</t>
  </si>
  <si>
    <t>Volume [m3]</t>
  </si>
  <si>
    <t>A5 - Verbruik overig materieel [liter - kWh - kg / uur]</t>
  </si>
  <si>
    <t>A5 - Capaciteit overig materieel [Eenheden / uur]</t>
  </si>
  <si>
    <t>C1 - Verbruik overige materieel [liter - kWh - kg / uur]</t>
  </si>
  <si>
    <t>C1 - Capaciteit overig materieel [Eenheden / uur]</t>
  </si>
  <si>
    <t xml:space="preserve">121110 - Opbreken trottoirband </t>
  </si>
  <si>
    <t>Trottoirband 130/150x250</t>
  </si>
  <si>
    <t>Categorie IIIB, Diesel</t>
  </si>
  <si>
    <t>Vrachtwagen (&gt;32 ton), euro 5, diesel</t>
  </si>
  <si>
    <t>121120 - Opbreken RWS band</t>
  </si>
  <si>
    <t>RWSband 115/225x250</t>
  </si>
  <si>
    <t>121140 - Opbreken Opsluitband</t>
  </si>
  <si>
    <t>Opsluitband 100x200</t>
  </si>
  <si>
    <t>121310 - Opbreken betonstraatstenen</t>
  </si>
  <si>
    <t>121320 - Opbreken straatbakstenen en geschikt maken voor hergebruik</t>
  </si>
  <si>
    <t>Gebakken klinker keiformaat</t>
  </si>
  <si>
    <t>121330 - Opbreken en afvoeren straatbakstenen</t>
  </si>
  <si>
    <t>Gebakken klinker keiformaat (hergebruik)</t>
  </si>
  <si>
    <t>121340 - Opbreken betontegels 300x300x45mm</t>
  </si>
  <si>
    <t>Betontegel 300x300x45</t>
  </si>
  <si>
    <t>121410 - Opbreken en afvoeren asfaltverharding zwart teervrij</t>
  </si>
  <si>
    <t>Bitumineuze_verhardingen</t>
  </si>
  <si>
    <t>AC bin/base 50% PR - PCR 2.0</t>
  </si>
  <si>
    <t>400 ton/dag - Categorie IIIb/IV - Diesel</t>
  </si>
  <si>
    <t>121420 - Opbreken en afvoeren asfaltverharding rood teervrij</t>
  </si>
  <si>
    <t>AC surf rood, met penbitumen - PCR 2.0</t>
  </si>
  <si>
    <t>121510 - Opbreken fundering van menggranulaat, 400-200 mm dik</t>
  </si>
  <si>
    <t>121520 - Opbreken fundering van slakken 200-400 mm dik</t>
  </si>
  <si>
    <t>Fosforslakmengsel 200mm</t>
  </si>
  <si>
    <t>121310 - Verwijderen en afvoeren kolken, incl aansluitingen</t>
  </si>
  <si>
    <t>Waterafvoer</t>
  </si>
  <si>
    <t>Kolk, Staal &amp; Beton</t>
  </si>
  <si>
    <t>210010 - Grond ontgraven uit cunet wegen en parkeervakken 0,25 m</t>
  </si>
  <si>
    <t>210020 - Grond ontgraven uit sleuf riolering (gerekend met 11,5m3/m1 riool)</t>
  </si>
  <si>
    <t>210030 - Grond ontgraven uit plantvak</t>
  </si>
  <si>
    <t>220010 - Grond verwerken in sleuf riolering</t>
  </si>
  <si>
    <t>220020 - Leveren en aanbrengen zand voor zand (gemiddeld 100 mm)</t>
  </si>
  <si>
    <t>322020 - Leveren en aanbrengen rioolbuis van Beton Ø400mm</t>
  </si>
  <si>
    <t>Betonbuis 500 mm</t>
  </si>
  <si>
    <t>322070 - Leveren en aanbrengen rioolbuis van Beton IT Ø400mm</t>
  </si>
  <si>
    <t>322100 - Leveren en aanbrengen rioolbuis van Beton IT Ø800mm</t>
  </si>
  <si>
    <t>Betonbuis 800 mm</t>
  </si>
  <si>
    <t>330010 - Leveren en aanbrengen kolken</t>
  </si>
  <si>
    <t>420010 - Leveren en aanbrengen fundering menggranulaat, (250mm dik)</t>
  </si>
  <si>
    <t>Menggranulaat 250mm</t>
  </si>
  <si>
    <t>430010 - Leveren en aanbrengen trottoirbanden 180/200x250</t>
  </si>
  <si>
    <t>Trottoirband 180/200x250</t>
  </si>
  <si>
    <t>430020 - Leveren en aanbrengen trottoirbanden 130/150x250</t>
  </si>
  <si>
    <t>430040 - Leveren en aanbrengen opsluitbanden 100x200</t>
  </si>
  <si>
    <t>430050 - Leveren en aanbrengen opsluitbanden 120x250</t>
  </si>
  <si>
    <t>Opsluitband 150x250</t>
  </si>
  <si>
    <t>440010 - Aanbrengen straatbakstenen DF, Rood (rijweg)</t>
  </si>
  <si>
    <t>Baksteen</t>
  </si>
  <si>
    <t>440020 - Aanbrengen straatbakstenen DF, Geel (rijweg/ plein)</t>
  </si>
  <si>
    <t>440030 - Aanbrengen straatbakstenen DF, Rood (parkeervakken)</t>
  </si>
  <si>
    <t>440040 - Aanbrengen straatbakstenen DF, Geel (parkeervakken)</t>
  </si>
  <si>
    <t>440050 - Leveren en aanbrengen open (grasbeton) verharding (parkeerplaats)</t>
  </si>
  <si>
    <t>Grasbetontegel CEM I 120 mm</t>
  </si>
  <si>
    <t>440060 - Aanbrengen straatbakstenen DF, Rood (trottoir)</t>
  </si>
  <si>
    <t>440070 - Aanbrengen straatbakstenen DF, Geel (trottoir)</t>
  </si>
  <si>
    <t>440090 - Aanbrengen straatbakstenen DF, Rood (drempelopgang)</t>
  </si>
  <si>
    <t>MKI project totaal</t>
  </si>
  <si>
    <t>x Rond de wereld met personenauto</t>
  </si>
  <si>
    <t>%</t>
  </si>
  <si>
    <t>Primair</t>
  </si>
  <si>
    <t>Secundair</t>
  </si>
  <si>
    <t>Grondstoffen Totaal</t>
  </si>
  <si>
    <t>x Eiffeltoren</t>
  </si>
  <si>
    <t>x Energie jaarverbruik van huishoudens</t>
  </si>
  <si>
    <t>Emissieloos transport</t>
  </si>
  <si>
    <t>Emissie transport</t>
  </si>
  <si>
    <t>Totaal transport</t>
  </si>
  <si>
    <t>x Rond de wereld met een vrachtwagen</t>
  </si>
  <si>
    <t>Emissieloos Bouwmaterieel [uur]</t>
  </si>
  <si>
    <t>Emissieloos bouwmaterieel</t>
  </si>
  <si>
    <t>Emissie bouwmaterieel</t>
  </si>
  <si>
    <t>Totaal bouwmaterieel</t>
  </si>
  <si>
    <t>x Jaar materieelgebruik</t>
  </si>
  <si>
    <t>Bouwverlies</t>
  </si>
  <si>
    <t>Draaiuren Bouw Asfalt</t>
  </si>
  <si>
    <t>Draaiuren Bouw Overig</t>
  </si>
  <si>
    <t>Draaiuren Verwijder Asfalt</t>
  </si>
  <si>
    <t>Draaiuren Verwijder Overig</t>
  </si>
  <si>
    <t>Emissieloos Asfalt Aanlegset</t>
  </si>
  <si>
    <t>Emissieloos Asfalt Verwijderset</t>
  </si>
  <si>
    <t>Draaiuren Bouw Asfalt Vervangingen</t>
  </si>
  <si>
    <t>Draaiuren Bouw Overig Vervangingen</t>
  </si>
  <si>
    <t>Draaiuren Verwijder Asfalt Vervangingen</t>
  </si>
  <si>
    <t>Draaiuren Verwijder Overig Vervangingen</t>
  </si>
  <si>
    <t>Inschrijver</t>
  </si>
  <si>
    <t>Project datum [DD-MM-YY]</t>
  </si>
  <si>
    <t>Inschrijver X</t>
  </si>
  <si>
    <t>[A1]:[A5]</t>
  </si>
  <si>
    <t>In onderstaand invoerveld kiest u voor producten en processen (Cat. 2 &amp; 3) met behulp van dropdown menu's. Indien u gebruik wilt maken van alternatieve (Cat.1) LCA profielen, voer dan uniform de naam in van het product of proces en lever de benodigde informatie aan in tabblad "Cat. 1 LCA's".</t>
  </si>
  <si>
    <t>Vervolgens selecteert u onder "Productgroep": Categorie_1_LCA_Producten, waarna onder "Product" de door u ingevoerde Inschrijf LCA's geselecteerd kunnen worden.</t>
  </si>
  <si>
    <t>Inschrijfprijs [€]</t>
  </si>
  <si>
    <t>Productgroep Cat. 1</t>
  </si>
  <si>
    <t>Poducttype</t>
  </si>
  <si>
    <t>Column1</t>
  </si>
  <si>
    <t>A5 - Verbruik van materieel [liter - kWh - kg / uur]</t>
  </si>
  <si>
    <t>A5 - Capaciteit over materieel [Eenheden / uur]</t>
  </si>
  <si>
    <t>Referentiewaarde</t>
  </si>
  <si>
    <t>Streefwaarde</t>
  </si>
  <si>
    <t>Gunningsvoordeel</t>
  </si>
  <si>
    <t>Eur/MKI</t>
  </si>
  <si>
    <t>Project MKI</t>
  </si>
  <si>
    <t>Fictieve korting</t>
  </si>
  <si>
    <t>Materiaalgebruik (ton)</t>
  </si>
  <si>
    <t>Energieverbruik (GJ)</t>
  </si>
  <si>
    <t>Hernieuwbare energie</t>
  </si>
  <si>
    <t>Fossiele energie</t>
  </si>
  <si>
    <t>Transport [tkm]</t>
  </si>
  <si>
    <t>Bouwmaterieel [uur]</t>
  </si>
  <si>
    <t>A5 Asfalt</t>
  </si>
  <si>
    <t>A5 Overig</t>
  </si>
  <si>
    <t>Primair materiaalverbruik</t>
  </si>
  <si>
    <t>Secundair Materiaalverbruik</t>
  </si>
  <si>
    <t>Hoeveelheid Vervangingen [ton]</t>
  </si>
  <si>
    <t>Primair materiaalverbruik Vervangingen</t>
  </si>
  <si>
    <t>Secundair Materiaalverbruik Vervangingen</t>
  </si>
  <si>
    <t>Hernieuwbaar energieverbruik (MJ)</t>
  </si>
  <si>
    <t>Fossiel energieverbruik (MJ)</t>
  </si>
  <si>
    <t>Tabel 2: Categorie 1 LCA informatie - Producten</t>
  </si>
  <si>
    <t>Indien gebruik wordt gemaakt van Categorie 1 Data dient u hieronder de benodigde informatie vanuit het LCA Rapport in te voeren.</t>
  </si>
  <si>
    <t>Gewicht in ton per eenheid [ton]</t>
  </si>
  <si>
    <t>% Secundair materiaal</t>
  </si>
  <si>
    <t>Levensduur</t>
  </si>
  <si>
    <t>A1 - Milieu Kosten Indicator (MKI) - euro</t>
  </si>
  <si>
    <t>A2 - Milieu Kosten Indicator (MKI) - euro</t>
  </si>
  <si>
    <t>A3 - Milieu Kosten Indicator (MKI) - euro</t>
  </si>
  <si>
    <t>A1-A3 - Milieu Kosten Indicator (MKI) - euro</t>
  </si>
  <si>
    <t>B1 - Milieu Kosten Indicator (MKI) - euro</t>
  </si>
  <si>
    <t>D - Milieu Kosten Indicator (MKI) - euro</t>
  </si>
  <si>
    <t>D1 - Milieu Kosten Indicator (MKI) - euro</t>
  </si>
  <si>
    <t>D2 - Milieu Kosten Indicator (MKI) - euro</t>
  </si>
  <si>
    <t>A1 - Klimaatverandering /
Global warming (GWP) - kg CO2-eq</t>
  </si>
  <si>
    <t>A2 - Klimaatverandering /
Global warming (GWP) - kg CO2-eq</t>
  </si>
  <si>
    <t>A3 - Klimaatverandering /
Global warming (GWP) - kg CO2-eq</t>
  </si>
  <si>
    <t>A1-A3 - Klimaatverandering /
Global warming (GWP) - kg CO2-eq</t>
  </si>
  <si>
    <t>B1 - Klimaatverandering /
Global warming (GWP) - kg CO2-eq</t>
  </si>
  <si>
    <t>D - Klimaatverandering /
Global warming (GWP) - kg CO2-eq</t>
  </si>
  <si>
    <t>D1 - Klimaatverandering /
Global warming (GWP) - kg CO2-eq</t>
  </si>
  <si>
    <t>D2 - Klimaatverandering /
Global warming (GWP) - kg CO2-eq</t>
  </si>
  <si>
    <t>A1 - Totaal gebruik van hernieuwbare primaire energie / 
Energy, primary, renewable (MJ)</t>
  </si>
  <si>
    <t>A2 - Totaal gebruik van hernieuwbare primaire energie / 
Energy, primary, renewable (MJ)</t>
  </si>
  <si>
    <t>A3 - Totaal gebruik van hernieuwbare primaire energie / 
Energy, primary, renewable (MJ)</t>
  </si>
  <si>
    <t>A1-A3 - Totaal gebruik van hernieuwbare primaire energie / 
Energy, primary, renewable (MJ)</t>
  </si>
  <si>
    <t>B1 - Totaal gebruik van hernieuwbare primaire energie / 
Energy, primary, renewable (MJ)</t>
  </si>
  <si>
    <t>D - Totaal gebruik van hernieuwbare primaire energie / 
Energy, primary, renewable (MJ)</t>
  </si>
  <si>
    <t>D1 - Totaal gebruik van hernieuwbare primaire energie / 
Energy, primary, renewable (MJ)</t>
  </si>
  <si>
    <t>D2 - Totaal gebruik van hernieuwbare primaire energie / 
Energy, primary, renewable (MJ)</t>
  </si>
  <si>
    <t>A1 - Totaal gebruik van niet hernieuwbare primaire  energie / 
Energy, primary, non-renewable (MJ)</t>
  </si>
  <si>
    <t>A2 - Totaal gebruik van niet hernieuwbare primaire  energie / 
Energy, primary, non-renewable (MJ)</t>
  </si>
  <si>
    <t>A3 - Totaal gebruik van niet hernieuwbare primaire  energie / 
Energy, primary, non-renewable (MJ)</t>
  </si>
  <si>
    <t>A1-A3 - Totaal gebruik van niet hernieuwbare primaire  energie / 
Energy, primary, non-renewable (MJ)</t>
  </si>
  <si>
    <t>B1 - Totaal gebruik van niet hernieuwbare primaire  energie / 
Energy, primary, non-renewable (MJ)</t>
  </si>
  <si>
    <t>D - Totaal gebruik van niet hernieuwbare primaire  energie / 
Energy, primary, non-renewable (MJ)</t>
  </si>
  <si>
    <t>D1 - Totaal gebruik van niet hernieuwbare primaire  energie / 
Energy, primary, non-renewable (MJ)</t>
  </si>
  <si>
    <t>D2 - Totaal gebruik van niet hernieuwbare primaire  energie / 
Energy, primary, non-renewable (MJ)</t>
  </si>
  <si>
    <t>Bron (LCA Dossier)</t>
  </si>
  <si>
    <t>Voorbeeld: AC Surf 11 30% PR</t>
  </si>
  <si>
    <t>AC surf</t>
  </si>
  <si>
    <t>Ton</t>
  </si>
  <si>
    <t>Brondocument X</t>
  </si>
  <si>
    <t>Voorbeeld: AC Bin Base 70% PR</t>
  </si>
  <si>
    <t>AC bin/base</t>
  </si>
  <si>
    <t>Brondocument Y</t>
  </si>
  <si>
    <t>Voorbeeld: BSS 21x10,5x8</t>
  </si>
  <si>
    <t>Betonstraatsteen</t>
  </si>
  <si>
    <t>m2</t>
  </si>
  <si>
    <t>Brondocument 1</t>
  </si>
  <si>
    <t>Voorbeeld: Trottoirband 15x25</t>
  </si>
  <si>
    <t>Trottoirband</t>
  </si>
  <si>
    <t>m1</t>
  </si>
  <si>
    <t>Brondocument 2</t>
  </si>
  <si>
    <t>Meerprijs [€]</t>
  </si>
  <si>
    <t>MKI Reductie [€]</t>
  </si>
  <si>
    <t>CO2 Reductie [kg]</t>
  </si>
  <si>
    <t>Primaire grondstoffen gebruik [ton]</t>
  </si>
  <si>
    <t>Secundaire grondstoffen gebruik [ton]</t>
  </si>
  <si>
    <t>Hernieuwbare energie [MJ]</t>
  </si>
  <si>
    <t>Niet hernieuwbare energie [MJ]</t>
  </si>
  <si>
    <t>€ / MKI</t>
  </si>
  <si>
    <t>Projectresultaat</t>
  </si>
  <si>
    <t>Referentieberekening</t>
  </si>
  <si>
    <t>Inschrijfberekening</t>
  </si>
  <si>
    <t>MKI-Waarde</t>
  </si>
  <si>
    <t>CO2 Emissies [ton]</t>
  </si>
  <si>
    <t>CO2 Emissies</t>
  </si>
  <si>
    <t>Materiaalreductie [ton]</t>
  </si>
  <si>
    <t>Aandeel Primaire grondstoffen</t>
  </si>
  <si>
    <t>Aandeel Secundaire grondstoffen</t>
  </si>
  <si>
    <t>Totaal Grondstoffen</t>
  </si>
  <si>
    <t>Energieverbruik [GJ]</t>
  </si>
  <si>
    <t>Aandeel Hernieuwbare energie</t>
  </si>
  <si>
    <t>Aandeel Fossiele energie</t>
  </si>
  <si>
    <t>Aandeel Emissieloos Transport</t>
  </si>
  <si>
    <t>Aandeel Niet Emissieloos Transport</t>
  </si>
  <si>
    <t>Emissieloos Bouwplaats [uur]</t>
  </si>
  <si>
    <t>Emissieloos Materieel</t>
  </si>
  <si>
    <t>Niet Emissieloos Materieel</t>
  </si>
  <si>
    <t>Totaal Materieel</t>
  </si>
  <si>
    <t>Totale meerprijs</t>
  </si>
  <si>
    <t>-</t>
  </si>
  <si>
    <t>Producten</t>
  </si>
  <si>
    <t>Zoeksleutel</t>
  </si>
  <si>
    <t>Levensfase</t>
  </si>
  <si>
    <t>Lengte(m)</t>
  </si>
  <si>
    <t>Breedte(m)</t>
  </si>
  <si>
    <t>Hoogte(m)</t>
  </si>
  <si>
    <t>Diameter(m)</t>
  </si>
  <si>
    <t>Wanddikte(m)</t>
  </si>
  <si>
    <t>Soortelijk Gewicht [ton / m3]</t>
  </si>
  <si>
    <t>Gewicht [ton] / Eenheid</t>
  </si>
  <si>
    <t>Milieu Kosten Indicator (euro) - Euro</t>
  </si>
  <si>
    <t>001. abiotic depletion, non fuel (AD)</t>
  </si>
  <si>
    <t>002. abiotic depletion, fuel (AD)</t>
  </si>
  <si>
    <t>004. global warming (GWP)</t>
  </si>
  <si>
    <t>005. ozone layer depletion (ODP)</t>
  </si>
  <si>
    <t>006. photochemical oxidation (POCP)</t>
  </si>
  <si>
    <t>007. acidification (AP)</t>
  </si>
  <si>
    <t>008. eutrophication (EP)</t>
  </si>
  <si>
    <t>009. human toxicity (HT)</t>
  </si>
  <si>
    <t>010. Ecotoxicity, fresh water (FAETP)</t>
  </si>
  <si>
    <t>012. Ecotoxcity, marine water (MAETP)</t>
  </si>
  <si>
    <t>014. Ecotoxicity, terrestric (TETP)</t>
  </si>
  <si>
    <t>051. Climate change</t>
  </si>
  <si>
    <t>052. Climate change - Fossil</t>
  </si>
  <si>
    <t>053. Climate change - Biogenic</t>
  </si>
  <si>
    <t>054. Climate change - Land use and LU ch</t>
  </si>
  <si>
    <t>055. Ozone depletion</t>
  </si>
  <si>
    <t>056. Acidification</t>
  </si>
  <si>
    <t>057. Eutrophication, freshwater</t>
  </si>
  <si>
    <t>058. Eutrophication, marine</t>
  </si>
  <si>
    <t>059. Eutrophication, terrestrial</t>
  </si>
  <si>
    <t>060. Photochemical ozone formation</t>
  </si>
  <si>
    <t>061. Resource use, minerals and metals</t>
  </si>
  <si>
    <t>062. Resource use, fossils</t>
  </si>
  <si>
    <t>063. Water use</t>
  </si>
  <si>
    <t>064. Particulate matter</t>
  </si>
  <si>
    <t>065. Ionising radiation</t>
  </si>
  <si>
    <t>066. Ecotoxicity, freshwater</t>
  </si>
  <si>
    <t>067. Human toxicity, cancer</t>
  </si>
  <si>
    <t>068. Human toxicity, non-cancer</t>
  </si>
  <si>
    <t>069. Land use</t>
  </si>
  <si>
    <t>111. Energy, primary, renewable, excludi</t>
  </si>
  <si>
    <t>113. Energy, primary, renewable, materia</t>
  </si>
  <si>
    <t>101. Energy, primary, renewable (MJ)</t>
  </si>
  <si>
    <t>112. Energy, primary, non-renewable, exc</t>
  </si>
  <si>
    <t>114. Energy, primary, non-renewable, mat</t>
  </si>
  <si>
    <t>102. Energy, primary, non-renewable (MJ)</t>
  </si>
  <si>
    <t>108. Secondary material (kg)</t>
  </si>
  <si>
    <t>109. Secondary fuel, renewable (kg)</t>
  </si>
  <si>
    <t>110. Secondary fuel, non-renewable (kg)</t>
  </si>
  <si>
    <t>104. Water, fresh water use (m3)</t>
  </si>
  <si>
    <t>106. Waste, hazardous (kg)</t>
  </si>
  <si>
    <t>105. Waste, non hazardous (kg)</t>
  </si>
  <si>
    <t>107. Waste, radioactive (kg)</t>
  </si>
  <si>
    <t>120. Components for re-use (kg)</t>
  </si>
  <si>
    <t>121. Materials for recycling (kg)</t>
  </si>
  <si>
    <t>122. Materials for energy recovery (kg)</t>
  </si>
  <si>
    <t>123. Exported energy, electric (MJ)</t>
  </si>
  <si>
    <t>124. Exported energy, thermal (MJ)</t>
  </si>
  <si>
    <t>Secundair Materiaal [%]</t>
  </si>
  <si>
    <t>Milieuprofiel / Bron</t>
  </si>
  <si>
    <t>Comment</t>
  </si>
  <si>
    <t>2L-ZOAB onderlaag - PCR 1.0</t>
  </si>
  <si>
    <t>Bitumineuze verhardingen</t>
  </si>
  <si>
    <t>ZOAB</t>
  </si>
  <si>
    <t>TNO 2020 R10987 LCA Achtergrondrapport voor brancherepresentatieve Nederlandse asfaltmengsels 2020</t>
  </si>
  <si>
    <t>2L-ZOAB onderlaag 30% PR - PCR 1.0</t>
  </si>
  <si>
    <t>2L-ZOAB toplaag G.M. - PCR 1.0</t>
  </si>
  <si>
    <t>AC bin/base 50% PR - PCR 1.0</t>
  </si>
  <si>
    <t>AC bin/base 50% PR G.M. - PCR 1.0</t>
  </si>
  <si>
    <t>AC Surf 0% PR - PCR 1.0</t>
  </si>
  <si>
    <t>AC surf 30% PR - PCR 1.0</t>
  </si>
  <si>
    <t>AC Surf G.M. 0% PR - PCR 1.0</t>
  </si>
  <si>
    <t>AC 11 surf DL-A rood*</t>
  </si>
  <si>
    <t>AC surf rood</t>
  </si>
  <si>
    <t>Uitgangspunt Provincie Gelderland: Rood asfalt = AC Surf GM 0% PR * 1,5</t>
  </si>
  <si>
    <t>AC Surf G.M. 30% PR - PCR 1.0</t>
  </si>
  <si>
    <t>DZOAB - PCR 1.0</t>
  </si>
  <si>
    <t>DZOAB 30% PR - PCR 1.0</t>
  </si>
  <si>
    <t>Open steenasfalt - PCR 1.0</t>
  </si>
  <si>
    <t>SMA 5 - PCR 1.0</t>
  </si>
  <si>
    <t>SMA</t>
  </si>
  <si>
    <t>SMA 8-11 - PCR 1.0</t>
  </si>
  <si>
    <t>SMA G.R. (obv 8G+) - PCR 1.0</t>
  </si>
  <si>
    <t>SMA G.R. / 8G+</t>
  </si>
  <si>
    <t>WB asfaltbeton - PCR 1.0</t>
  </si>
  <si>
    <t>Asfaltbeton</t>
  </si>
  <si>
    <t>WB asfaltmastiek - PCR 1.0</t>
  </si>
  <si>
    <t>Asfaltmastiek</t>
  </si>
  <si>
    <t>WB gietasfalt  - PCR 1.0</t>
  </si>
  <si>
    <t>Gietasfalt</t>
  </si>
  <si>
    <t>ZOAB Regulier - PCR 1.0</t>
  </si>
  <si>
    <t>AC 8 surf rood - PCR 1.0 - Gelderland</t>
  </si>
  <si>
    <t>LCA rapport van 10 asfaltmengsels - Provincie Gelderland 2021, EcoChain</t>
  </si>
  <si>
    <t>AC 11 surf rood - PCR 1.0 - Gelderland</t>
  </si>
  <si>
    <t>SMA 5B rood - PCR 1.0 - Gelderland</t>
  </si>
  <si>
    <t>SMA rood</t>
  </si>
  <si>
    <t>SMA 8B rood - PCR 1.0 - Gelderland</t>
  </si>
  <si>
    <t>SMA 8G+ rood - PCR 1.0 - Gelderland</t>
  </si>
  <si>
    <t>SMA G.R. / 8G+ rood</t>
  </si>
  <si>
    <t>SMA 11B rood - PCR 1.0 - Gelderland</t>
  </si>
  <si>
    <t>ZOAB (PA) 8G+ - PCR 1.0 - Gelderland</t>
  </si>
  <si>
    <t>AC 22 basebin HS - PCR 1.0 - Gelderland</t>
  </si>
  <si>
    <t>AC 16 basebin HS - PCR 1.0 - Gelderland</t>
  </si>
  <si>
    <t>AC 16 surf HS - PCR 1.0 - Gelderland</t>
  </si>
  <si>
    <t>AC Surf 0% PR - PCR 2.0</t>
  </si>
  <si>
    <t>Ecochain 2022 LCA Achtergrondrapport voor Nederlandse branchereferentiemengsels 2022</t>
  </si>
  <si>
    <t>B2</t>
  </si>
  <si>
    <t>B5</t>
  </si>
  <si>
    <t>AC Surf 30% PR - PCR 2.0</t>
  </si>
  <si>
    <t>AC Surf G.M. 0% PR - PCR 2.0</t>
  </si>
  <si>
    <t>AC Surf G.M. 30% PR - PCR 2.0</t>
  </si>
  <si>
    <t>AC surf rood, met blank bindmiddel - PCR 2.0</t>
  </si>
  <si>
    <t>AC bin/base 50% PR G.M. - PCR 2.0</t>
  </si>
  <si>
    <t>ZOAB Regulier - PCR 2.0</t>
  </si>
  <si>
    <t>DZOAB - PCR 2.0</t>
  </si>
  <si>
    <t>DZOAB 30% PR - PCR 2.0</t>
  </si>
  <si>
    <t>2L-ZOAB toplaag G.M. - PCR 2.0</t>
  </si>
  <si>
    <t>2L-ZOAB onderlaag - PCR 2.0</t>
  </si>
  <si>
    <t>2L-ZOAB onderlaag 30% PR - PCR 2.0</t>
  </si>
  <si>
    <t>SMA 8-11 - PCR 2.0</t>
  </si>
  <si>
    <t>SMA 8-11 G.M. - PCR 2.0</t>
  </si>
  <si>
    <t>SMA 5 - PCR 2.0</t>
  </si>
  <si>
    <t>SMA G.R. (obv 8G+) - PCR 2.0</t>
  </si>
  <si>
    <t>WB asfaltbeton - PCR 2.0</t>
  </si>
  <si>
    <t>Open steenasfalt - PCR 2.0</t>
  </si>
  <si>
    <t>Open steenasfalt</t>
  </si>
  <si>
    <t>WB gietasfalt  - PCR 2.0</t>
  </si>
  <si>
    <t>WB asfaltmastiek - PCR 2.0</t>
  </si>
  <si>
    <t>AC Surf 0% PR Rood</t>
  </si>
  <si>
    <t>(obv AC Surf 0% PR * 1,65)</t>
  </si>
  <si>
    <t>SMA 8-11 Rood</t>
  </si>
  <si>
    <t>(o.b.v. SMA 8-11 * 1,5)</t>
  </si>
  <si>
    <t>Kleeflaag</t>
  </si>
  <si>
    <t>NMD ASFALTVERHARDING, Bitumen emulsie kleeflaag 0,3 kgm2</t>
  </si>
  <si>
    <t>Lengtemarkeringen, Thermoplast</t>
  </si>
  <si>
    <t>Wegbebakening</t>
  </si>
  <si>
    <t>Lengtemarkeringen</t>
  </si>
  <si>
    <t>H32-Bebakening-V-1.3.pdf</t>
  </si>
  <si>
    <t>Lengtemarkeringen, Koudplastisch</t>
  </si>
  <si>
    <t>Lengtemarkeringen, Wegenverf</t>
  </si>
  <si>
    <t>Thermoplastische coating rood</t>
  </si>
  <si>
    <t>Kunststofverhadingen</t>
  </si>
  <si>
    <t>NMD Lengtemarkering, thermoplastisch, doorlopend</t>
  </si>
  <si>
    <t>2,0 - 3,0 kg per m2. Referentieprofiel * 1,5 (lengtemarkering = 2 kg / meter)</t>
  </si>
  <si>
    <t>Thermoplast markering</t>
  </si>
  <si>
    <t>Markering</t>
  </si>
  <si>
    <t>MKIwaarde op basis van een doorgetrokken streep van 20 cm breed1 meter lengtemarkering. Toelichting m2 per m1 toepassing: 3 mm dikke thermoplast aangebracht met een open slof of een extruder, 610 hier 10 kg 3mm 1m2.</t>
  </si>
  <si>
    <t>1,599 E -5</t>
  </si>
  <si>
    <t>9,244 E -5</t>
  </si>
  <si>
    <t>1,884 E -5</t>
  </si>
  <si>
    <t>5,756 E -4</t>
  </si>
  <si>
    <t>5,290 E -5</t>
  </si>
  <si>
    <t>1,688 E -4</t>
  </si>
  <si>
    <t>1,705 E -4</t>
  </si>
  <si>
    <t>2,658 E -4</t>
  </si>
  <si>
    <t>2,265 E -5</t>
  </si>
  <si>
    <t>2,017 E -4</t>
  </si>
  <si>
    <t>3,860 E -5</t>
  </si>
  <si>
    <t>3,373 E -4</t>
  </si>
  <si>
    <t>6,058 E -5</t>
  </si>
  <si>
    <t>1,572 E -5</t>
  </si>
  <si>
    <t>9,090 E -5</t>
  </si>
  <si>
    <t>1,853 E -5</t>
  </si>
  <si>
    <t>5,660 E -4</t>
  </si>
  <si>
    <t>5,202 E -5</t>
  </si>
  <si>
    <t>3,329 E -5</t>
  </si>
  <si>
    <t>4,081 E -4</t>
  </si>
  <si>
    <t>7,293 E -5</t>
  </si>
  <si>
    <t>2,510 E -6</t>
  </si>
  <si>
    <t>7,160 E -6</t>
  </si>
  <si>
    <t>1,680 E -6</t>
  </si>
  <si>
    <t>5,832 E -4</t>
  </si>
  <si>
    <t>2,340 E -4</t>
  </si>
  <si>
    <t>2,000 E -6</t>
  </si>
  <si>
    <t>Plastic Road CCL200</t>
  </si>
  <si>
    <t>Fietspad</t>
  </si>
  <si>
    <t>43 kg</t>
  </si>
  <si>
    <t>12,5 m2 / uur Stage IIIB Graafmachine Diesel</t>
  </si>
  <si>
    <t>Opsluitband</t>
  </si>
  <si>
    <t>NMD Opsluitband 100x200x1000mm grijs</t>
  </si>
  <si>
    <t>Opsluitband 100x200 (hergebruik)</t>
  </si>
  <si>
    <t>A1-A3 = 0 + 10% inboet als lasten in D</t>
  </si>
  <si>
    <t>Opsluitband 80x200</t>
  </si>
  <si>
    <t>NMD 100x200 * 0,8</t>
  </si>
  <si>
    <t>Opsluitband 80x200 (hergebruik)</t>
  </si>
  <si>
    <t>Opsluitband 150x200</t>
  </si>
  <si>
    <t>NMD 100x200 * 1,5</t>
  </si>
  <si>
    <t>Opsluitband 150x200 (hergebruik)</t>
  </si>
  <si>
    <t>NMD 100x200 * 1,5 * 1,25</t>
  </si>
  <si>
    <t>Opsluitband 150x250 (hergebruik)</t>
  </si>
  <si>
    <t>Opsluitband 300x150, CEM IIIB</t>
  </si>
  <si>
    <t>NMD 100x200 * 3 * 0,75</t>
  </si>
  <si>
    <t>Opsluitband 300x150, CEM IIIB (hergebruik)</t>
  </si>
  <si>
    <t>H42-Betonconstructies-Prefab-bestrating-en-riolering-V1.5-1</t>
  </si>
  <si>
    <t>SBK Bepalingsmethode, 25 oktober 2018 (na NMD 2.2) V3.04 / MKI-SBK single-score</t>
  </si>
  <si>
    <t>RWSband 115/225x250 (hergebruik)</t>
  </si>
  <si>
    <t>Trottoirband 280x300</t>
  </si>
  <si>
    <t>NMD 100x200 * 2,8 * 1,5</t>
  </si>
  <si>
    <t>Trottoirband 280x300 (hergebruik)</t>
  </si>
  <si>
    <t>Trottoirband 130/150x250 (hergebruik)</t>
  </si>
  <si>
    <t>Geschaald op basis van andere afmetingen</t>
  </si>
  <si>
    <t>Trottoirband 180/200x250 (hergebruik)</t>
  </si>
  <si>
    <t>Molgoot</t>
  </si>
  <si>
    <t>Goten</t>
  </si>
  <si>
    <t>H82-Betonverhardingen-V1.4.pdf</t>
  </si>
  <si>
    <t>Molgoten, MGT125-3, 100kg/m, betonmortel C20/25 (CEM III/B) 42,5 LH HS.</t>
  </si>
  <si>
    <t>Zand</t>
  </si>
  <si>
    <t>25cm zand &amp; 25cm menggranulaat</t>
  </si>
  <si>
    <t>Voegvulling</t>
  </si>
  <si>
    <t>Betontegel</t>
  </si>
  <si>
    <t>NMD Beontegels 300x300x45 mm grijs</t>
  </si>
  <si>
    <t>Gewicht 9,5 kg. per stuk, 11 stuks per m2 - Export afgeronden waardes uit DuboCalc 6.0.4. op 17 januari 2023</t>
  </si>
  <si>
    <t>Gewicht 9,5 kg. per stuk, 11 stuks per m2</t>
  </si>
  <si>
    <t>Betontegel 300x300x45 (hergebruik)</t>
  </si>
  <si>
    <t>Betontegel 300x300x60</t>
  </si>
  <si>
    <t>NMD Beontegels 300x300x60 mm grijs</t>
  </si>
  <si>
    <t>Gewicht 12,7 kg. per stuk, 11 stuks per m2</t>
  </si>
  <si>
    <t>Betontegel 300x300x60 (hergebruik)</t>
  </si>
  <si>
    <t>Betontegel 300x300x80</t>
  </si>
  <si>
    <t>Betontegel 300x300x80 (hergebruik)</t>
  </si>
  <si>
    <t>Betontegel (Miscantes) 1000x1000x100</t>
  </si>
  <si>
    <t>NMD H83 Elementverharding V1.5</t>
  </si>
  <si>
    <t>Let op: NMD 3.2. Secundair = 15% toeslagmateriaal + 6,5 % miscanthus</t>
  </si>
  <si>
    <t>Betontegel (Miscantes) 1000x1000x100 (hergebruik)</t>
  </si>
  <si>
    <t>Betontegel (Miscantes) 1000x1000x120</t>
  </si>
  <si>
    <t>Betontegel (Miscantes) 1000x1000x120 (hergebruik)</t>
  </si>
  <si>
    <t>Grasbetontegel</t>
  </si>
  <si>
    <t>Let op: NMD 3.2</t>
  </si>
  <si>
    <t>Grasbetontegel CEM I 120 mm (hergebruik)</t>
  </si>
  <si>
    <t>Grasbetontegel CEM III 120 mm</t>
  </si>
  <si>
    <t>Grasbetontegel CEM III 120 mm (hergebruik)</t>
  </si>
  <si>
    <t>Dubbelklinker (rood) 210x210x80</t>
  </si>
  <si>
    <t>NMD Betonstraatsteen 210x105x80 mm door en door grijs + Chemical, inorganic {GLO}| production | Cut-off, U</t>
  </si>
  <si>
    <t>10 kg kleurstof per m3 beton &gt; 80 mm dik = 0,8 kg per m2 . https://static.betoninfra.nl/assets/Themas/Betontechnologie/kleurstoffen-in-beton-i.pdf?v=1556890209</t>
  </si>
  <si>
    <t>NMD Betonstraatsteen 210x105x80 mm door en door grijs</t>
  </si>
  <si>
    <t>Uitgangspunt is herbestraten, 10% inboet</t>
  </si>
  <si>
    <t>Dubbelklinker (rood) 210x210x80 (hergebruik)</t>
  </si>
  <si>
    <t>Betonstraatsteen 210x105x80 (hergebruik)</t>
  </si>
  <si>
    <t>Gebakken klinker</t>
  </si>
  <si>
    <t>Baksteen (hergebruik)</t>
  </si>
  <si>
    <t>Natuursteen</t>
  </si>
  <si>
    <t>Natuursteen (hergebruik)</t>
  </si>
  <si>
    <t>Rood gestort beton</t>
  </si>
  <si>
    <t>Betonverhardingen</t>
  </si>
  <si>
    <t>Gestort beton</t>
  </si>
  <si>
    <t>m3</t>
  </si>
  <si>
    <t>Betonmortel, C20/25 XC2 S2 (110 kg/m3 CEM I; 110 kg/m3 CEM III; p.k.vliegas: 100 kg/m3), Attestbeton I, 20% betongranulaat, 2375 kg/m3, Betonhuis, PRODUCTIE (A1-A3), 2018, c2 &amp; Chemical, inorganic {GLO}| production | Cut-off, U</t>
  </si>
  <si>
    <t>10 kg kleurstof per m3 beton. https://static.betoninfra.nl/assets/Themas/Betontechnologie/kleurstoffen-in-beton-i.pdf?v=1556890209</t>
  </si>
  <si>
    <t>0099-pro&amp;Betonpomp, incl. voertuig, per m3 (o.b.v. data uit 1995; gemiddelde van giekpomp, leidingpomp en mixerpomp) &amp; Power sawing, with catalytic converter {RER}| processing | Cut-off, U</t>
  </si>
  <si>
    <t>Elke 100 meter uitzetrvoeg &amp; elke 3,5 meter krimpvoeg https://www.betoninfra.nl/toepassingen/fiets-en-voetpaden/betonnen-fietspad-in-stedelijk-gebied = Uitgangspunt +/- 2 minuten zagen per m2</t>
  </si>
  <si>
    <t>0247-sto&amp;Stort inert afval (o.b.v. Inert waste, for final disposal {RoW}| treatment of inert waste, inert material landfill | Cut-off, U) fijn-/grofkeramisch, grind, kalkzandsteen, schelpen, zand</t>
  </si>
  <si>
    <t>0271-reD&amp;Module D, grind, per kg NETTO geleverd granulaat/grind (vermeden: Gravel, round {RoW}| gravel and sand quarry operation | Cut-off, U)</t>
  </si>
  <si>
    <t>C30/37 CEM I</t>
  </si>
  <si>
    <t>H42 Betonconstructies - Betonitems betonmortel - V1.3.pdf - 1 m3 _Totaal_C30/37 CEM I (of project 26.18.00414 RWS DuboCalc bibliotheek (beton))</t>
  </si>
  <si>
    <t>C30/37 CEM I – 30% betongranulaat</t>
  </si>
  <si>
    <t>H42 Betonconstructies - Betonitems betonmortel - V1.3.pdf - 1 m3 _Totaal_C30/37 CEM I - 30% betongranulaat (of project 26.18.00414 RWS DuboCalc bibliotheek (beton))</t>
  </si>
  <si>
    <t>Secundair Materiaal = betongranulaat + 65% van CEM IIIB</t>
  </si>
  <si>
    <t>C30/37 CEM III</t>
  </si>
  <si>
    <t>H42 Betonconstructies - Betonitems betonmortel - V1.3.pdf - 1 m3 _Totaal_C30/37 CEM III (of project 26.18.00414 RWS DuboCalc bibliotheek (beton))</t>
  </si>
  <si>
    <t>C30/37 CEM III - 30% betongranulaat</t>
  </si>
  <si>
    <t>H42 Betonconstructies - Betonitems betonmortel - V1.3.pdf - 1 m3 _Totaal_C30/37 CEM III - 30% betongranulaat (of project 26.18.00414 RWS DuboCalc bibliotheek (beton))</t>
  </si>
  <si>
    <t>Prefab beton platen 140mm</t>
  </si>
  <si>
    <t>Prefab beton</t>
  </si>
  <si>
    <t>339,9 kg Beton + 4,13 Wapeningsstaal =  344,03</t>
  </si>
  <si>
    <t>Betonmortel, C30/37 XC1 S3 (335 kg/m3 CEM III), 20% betongranulaat, 2318 kg/m3, Betonhuis, PRODUCTIE (A1-A3), 2018, c2
0167-fab&amp;Staal, wapening, ongelegeerd (betonstaal, wapeningsnet, vezels, voorspanstaal) (o.b.v. 21,5% Steel, unalloyed, 78,5% Steel, low-alloyed &amp; Hot rolling, steel {GLO}| market for | Cut-off, U; 17,8% primair, 82,2% secundair)</t>
  </si>
  <si>
    <t>Aandeel vliegas is meengenomen in secundair %. Aandeel secundair wapeningsstaal &amp; hoogovenslak in CEM III niet.</t>
  </si>
  <si>
    <t>50 * 0,34403 = 17,2015 tkm Euro 5 diesel</t>
  </si>
  <si>
    <t>0111-pro&amp;Aardgas, algemeen gebruik, per m3 (o.b.v. 31,7 MJ Heat, district or industrial, natural gas {RER}| market group for | Cut-off, U)
0095-pro&amp;Diesel, gasolie, gebruik, liter (o.b.v. 35,8 MJ Diesel, burned in building machine {GLO}| processing | Cut-off, U)
0081-fab&amp;Materialisatie energieopwekking (centrales o.b.v. NL-mix) en elektriciteitsnet; per kWh aan huis</t>
  </si>
  <si>
    <t>0,38 m3 gas ; 0,11 l diesel ; 2,3 kWh Electriciteit</t>
  </si>
  <si>
    <t>Stage IIIB Graafmachine Diesel</t>
  </si>
  <si>
    <t>0270-reC&amp;Breken, per kg steenachtig (o.b.v. SBK Breken steenachtig MRPI)</t>
  </si>
  <si>
    <t>0247-sto&amp;Stort inert afval (o.b.v. Inert waste, for final disposal {RoW}| treatment of inert waste, inert material landfill | Cut-off, U) fijn-/grofkeramisch, grind, kalkzandsteen, schelpen, zand
0253-sto&amp;Stort staal (o.b.v. Scrap steel {Europe without Switzerland}| treatment of scrap steel, inert material landfill | Cut-off, U)</t>
  </si>
  <si>
    <t>0271-reD&amp;Module D, grind, per kg NETTO geleverd granulaat/grind (vermeden: Gravel, round {RoW}| gravel and sand quarry operation | Cut-off, U)
0282-reD&amp;Module D, staal, per kg NETTO geleverd ongelegeerd schroot (World Steel methode obv Steel, low-alloyed {RER&amp;RoW}| steel production, electric, low-alloyed | Cut-off, U  - Steel, unalloyed {RER&amp;RoW}| steel production, converter, unalloyed | Cut-off, U)</t>
  </si>
  <si>
    <t>Beton = 339,9 * 0,99 &amp; Staal = (4,13 * 0,178) * 0,95</t>
  </si>
  <si>
    <t>0065-fab&amp;Cellenbeton, blokken (o.b.v. Autoclaved aerated concrete block {GLO}| market for | Cut-off, U)</t>
  </si>
  <si>
    <t>Betonplaat, Gewapend 200mm</t>
  </si>
  <si>
    <t>613 kg betonmortel C35/45 (CEMII) + 41 kg Wapeningsstaal (84%primair, 16% secundair)</t>
  </si>
  <si>
    <t>H80-Funderingslagen-V1.2.pdf</t>
  </si>
  <si>
    <t>Betongranulaat 200mm</t>
  </si>
  <si>
    <t>Betongranulaat</t>
  </si>
  <si>
    <t>Betongranulaat 250mm</t>
  </si>
  <si>
    <t>Betongranulaat 300mm</t>
  </si>
  <si>
    <t>Hydraulisch Menggranulaat 200mm</t>
  </si>
  <si>
    <t>Hydraulisch Menggranulaat</t>
  </si>
  <si>
    <t>Hydraulisch Menggranulaat 250mm</t>
  </si>
  <si>
    <t>Hydraulisch Menggranulaat 300mm</t>
  </si>
  <si>
    <t>Fosforslak</t>
  </si>
  <si>
    <t>AGRAC 200mm</t>
  </si>
  <si>
    <t>AGRAC</t>
  </si>
  <si>
    <t>AGRAC 250mm</t>
  </si>
  <si>
    <t>AGREC 200mm</t>
  </si>
  <si>
    <t>AGREC</t>
  </si>
  <si>
    <t>Metselwerkmengsel 200mm</t>
  </si>
  <si>
    <t>Metselwerk</t>
  </si>
  <si>
    <t>PP Drainbuis 125 mm</t>
  </si>
  <si>
    <t>Drainbuis</t>
  </si>
  <si>
    <t>NMD Drainbuis, PP450 vezels</t>
  </si>
  <si>
    <t>Rioolbuis PE 160 mm</t>
  </si>
  <si>
    <t>PE riolering</t>
  </si>
  <si>
    <t>H25 Leidingwerken</t>
  </si>
  <si>
    <t>Rioolbuis PE 250 mm</t>
  </si>
  <si>
    <t>Rioolbuis PE 580 mm</t>
  </si>
  <si>
    <t>Hulpstuk HDPE 160 mm</t>
  </si>
  <si>
    <t>stuk</t>
  </si>
  <si>
    <t>NMD Hulpstuk, HDPE</t>
  </si>
  <si>
    <t>Betonbuis 300 mm</t>
  </si>
  <si>
    <t>Betonnen riolering</t>
  </si>
  <si>
    <t>NMD Rioolbuis beton 300mm</t>
  </si>
  <si>
    <t>NMD Rioolbuis beton 500mm</t>
  </si>
  <si>
    <t>NMD Rioolbuis beton 800mm</t>
  </si>
  <si>
    <t>Betonbuis 1000 mm</t>
  </si>
  <si>
    <t>NMD Betonbuis ongewapend</t>
  </si>
  <si>
    <t>PVC 200 mm</t>
  </si>
  <si>
    <t>PVC riolering</t>
  </si>
  <si>
    <t>NMD PVC rioleringsbuis, groot</t>
  </si>
  <si>
    <t>Kolk</t>
  </si>
  <si>
    <t>NVT</t>
  </si>
  <si>
    <t>NMD H25 Leidingwerk V1.4 &amp; DuboCalc 6.0 (27/09/2022)</t>
  </si>
  <si>
    <t>1 p _Totaal Kolk (380x380x900mm) (of project 26.18.00414 RWS DuboCalc bibliotheek (beton))</t>
  </si>
  <si>
    <t>Kolk, PVC &amp; Gietijzer</t>
  </si>
  <si>
    <t>Epoxy resin, liquid {RER}| production | Cut-off, U</t>
  </si>
  <si>
    <t>Kolk, HDPE &amp; Gietijzer</t>
  </si>
  <si>
    <t>Kolk, PP &amp; Gietijzer</t>
  </si>
  <si>
    <t>Rand &amp; Deksel van inspectieput 520mm</t>
  </si>
  <si>
    <t>Deksel</t>
  </si>
  <si>
    <t>NMD H42_betonconstructies_-_prefab_bestrating_en_riolering_-_v1.5</t>
  </si>
  <si>
    <t>Inspectieput prefab beton 0,8x0,8x1,1</t>
  </si>
  <si>
    <t>Inspectieput</t>
  </si>
  <si>
    <t>Inspectieput prefab beton 1x1x1,2</t>
  </si>
  <si>
    <t>Inspectieput prefab beton 2x2x2,4 met wapening</t>
  </si>
  <si>
    <t>Waterbergende laag</t>
  </si>
  <si>
    <t>H84 Bijzondere Verhardingen V1.0</t>
  </si>
  <si>
    <t>Eigen berekening</t>
  </si>
  <si>
    <t>0,205 kg/m2 PP: Tensar TriAx https://www.joostenkunststoffen.nl/media/files/Tensar-PR-TriAx-150-datasheet.pdf</t>
  </si>
  <si>
    <t>150 km forfaitair</t>
  </si>
  <si>
    <t>A5 waarde overgenomen uit cat 3 rapport infiltratiekratten</t>
  </si>
  <si>
    <t>helft van A5, o.b.v. cat 3 rapport</t>
  </si>
  <si>
    <t xml:space="preserve">50km recycling, 150km AVI en 100 km stort. </t>
  </si>
  <si>
    <t>NMD EOL 54, 70% verbranden</t>
  </si>
  <si>
    <t>NMD EOL 54, 25% laten zitten / stort</t>
  </si>
  <si>
    <t>NMD EOL 54, 5% recycling</t>
  </si>
  <si>
    <t>Geotextiel PP, 275 g/m2</t>
  </si>
  <si>
    <t>Doek voor wegfundering, PP, 275 g/m2 - h41_funderingsconstructies_-_v15.pdf</t>
  </si>
  <si>
    <t>Steenwool, 1 cm</t>
  </si>
  <si>
    <t>A5 waarde overgenomen uit cat 3 rapport infiltratiekratten.</t>
  </si>
  <si>
    <t>NMD EOL 78, 5% verbranden, NMD EOL 78, 85% stort</t>
  </si>
  <si>
    <t>NMD EOL 78, 10% recycling, vermijdt 70% basalt / incineration op basis van 150 MJ/kg LHV voor minerale wol. https://www.researchgate.net/profile/Callum-Hill-4/publication/280876920_THE_LIFE_CYCLE_ASSESSMENTS_OF_NATURAL_FIBRE_INSULATION_MATERIALS/links/55c9baa008aea2d9bdc94c83/THE-LIFE-CYCLE-ASSESSMENTS-OF-NATURAL-FIBRE-INSULATION-MATERIALS.pdf</t>
  </si>
  <si>
    <t>Steenwool, 50 cm</t>
  </si>
  <si>
    <t>Grond</t>
  </si>
  <si>
    <t>LCA Rapportage categorie 3 data Nationale Milieudatabase Hoofdstuk 22 Grondwerken</t>
  </si>
  <si>
    <t>DuboCalc export 30-01-2023 + Energie uit rapportage</t>
  </si>
  <si>
    <t>Zand (hergebruik)</t>
  </si>
  <si>
    <t>Straatzand</t>
  </si>
  <si>
    <t>Ophoogzand, Cascade-leden</t>
  </si>
  <si>
    <t>Industriezand, Cascade-leden</t>
  </si>
  <si>
    <t>Ophoogmateriaal (Klei)</t>
  </si>
  <si>
    <t>Klei</t>
  </si>
  <si>
    <t>Teelaarde</t>
  </si>
  <si>
    <t>Hoofdstuk 51 Groenvoorzieningen</t>
  </si>
  <si>
    <t>Brugdekplanken, Hout, 3x3m</t>
  </si>
  <si>
    <t>Kleine Kunstwerken</t>
  </si>
  <si>
    <t>Brugdekplanken</t>
  </si>
  <si>
    <t>Stuk</t>
  </si>
  <si>
    <t>Sawnwood, hardwood, raw, dried (u=10%) {RER}| market for | Cut-off, U</t>
  </si>
  <si>
    <t>Planken zijn 3,5 x 19cm, 5 planken per meter met gat van 1 cm tussen planken https://gadero.nl/azobe-brugdekdeel-35x190x3950mm/?gclid=EAIaIQobChMIm7udwY3u-QIVRAGLCh1UegbuEAQYASABEgLSW_D_BwE</t>
  </si>
  <si>
    <t>0001-tra&amp;Transport, vrachtwagen (o.b.v. Transport, freight, lorry, unspecified {GLO}| market group for transport, freight, lorry, unspecified | Cut-off, U)</t>
  </si>
  <si>
    <t>Transport sawnwood market for , 1500km freight lorry</t>
  </si>
  <si>
    <t>50 km</t>
  </si>
  <si>
    <t>0121-pro&amp;Kraan hydr.tele. band, per uur (o.b.v. 263 kWh Diesel, burned in building machine {GLO}| market for | Cut-off, U)</t>
  </si>
  <si>
    <t>4 uur hijsen &amp; 3% bouwverlies</t>
  </si>
  <si>
    <t>4 uur hijsen</t>
  </si>
  <si>
    <t>150 km</t>
  </si>
  <si>
    <t>0285-reC&amp;Schaven hout (o.b.v. aangepaste Sawnwood, beam, softwood, dried (u=10%), planed {RoW}| planing, beam, softwood, u=10% | Cut-off, U)</t>
  </si>
  <si>
    <t>10% recycling</t>
  </si>
  <si>
    <t>0262-avC&amp;Verbranden hout, 'schoon' (13,99 MJ/kg) (o.b.v. Waste wood, untreated {CH}| treatment of, municipal incineration | Cut-off, U)</t>
  </si>
  <si>
    <t>Brugdekplanken, Hout met slijtlaag, 3x3m</t>
  </si>
  <si>
    <t>Sawnwood, hardwood, raw, dried (u=10%) {RER}| market for | Cut-off, U + 0205-fab&amp;Steenslag, groeve, excl. transport EU groeve-NL (o.b.v. Steenslag uit groeve in Europa exclusief transport naar Nederland [PCR Asfalt]) + Polyurethane, flexible foam {RER}| market for polyurethane, flexible foam | Cut-off, U</t>
  </si>
  <si>
    <t>Planken zijn 3,5 x 19cm, 5 planken per meter met gat van 1 cm tussen planken https://gadero.nl/azobe-brugdekdeel-35x190x3950mm/?gclid=EAIaIQobChMIm7udwY3u-QIVRAGLCh1UegbuEAQYASABEgLSW_D_BwE
Slijtlaag is 50% splits 1-3 &amp; 50% Pooyurethaan. Beide 7,5 kg / m2</t>
  </si>
  <si>
    <t>Brugdekplanken, Composiet, 3x3m</t>
  </si>
  <si>
    <t>Glass fibre {GLO}| market for | Cut-off, U + Epoxy resin, liquid {RER}| production | Cut-off, U</t>
  </si>
  <si>
    <t>Glasvezel (7,884 kg/m2) + Epoxy (5,256 kg/m2)</t>
  </si>
  <si>
    <t>Brugdekplanken, Recycled Kunststof, 3x3m</t>
  </si>
  <si>
    <t>Nature-line Black - Save Plastics : https://saveplastics.nl/milieu-impact/</t>
  </si>
  <si>
    <t>28,54 kg/m2 &gt; 9 m2 / brug</t>
  </si>
  <si>
    <t>Totaalproduct, Stalen Speeltoestel</t>
  </si>
  <si>
    <t>Speeltoestel</t>
  </si>
  <si>
    <t>Stalen Speeltoestel</t>
  </si>
  <si>
    <t>Weinig informatie over leveranciers, aangenomen dat er in A2 500km transport is voor alle materialen.</t>
  </si>
  <si>
    <t>Geen Bouwverlies onder A3 opgegeven</t>
  </si>
  <si>
    <t>Onder A5 heeft Kompan transport opgegeven maar het lijkt erop dat ze al afstand naar de installatie locatie in A4 hebben gerekend.</t>
  </si>
  <si>
    <t>Transport C2 momenteel op 50km</t>
  </si>
  <si>
    <t>Deelproduct, Staanders, Stalen Speeltoestel</t>
  </si>
  <si>
    <t>Deelproduct, Platform, Stalen Speeltoestel</t>
  </si>
  <si>
    <t>Deelproduct, Fundering, Stalen Speeltoestel</t>
  </si>
  <si>
    <t>Deelproduct, Doppen, Stalen Speeltoestel</t>
  </si>
  <si>
    <t>Totaalproduct, Houten Speeltoestel</t>
  </si>
  <si>
    <t>Houten Speeltoestel</t>
  </si>
  <si>
    <t>Deelproduct, Staanders, Houten Speeltoestel</t>
  </si>
  <si>
    <t>Deelproduct, Platform, Houten Speeltoestel</t>
  </si>
  <si>
    <t>Milieuprofiel</t>
  </si>
  <si>
    <t>Life cycle stage</t>
  </si>
  <si>
    <t>Verbruik [liter/kWh/kg per uur]</t>
  </si>
  <si>
    <t>Dichtheid [kg/liter]</t>
  </si>
  <si>
    <t>Stookwaarde [MJ/liter]</t>
  </si>
  <si>
    <t>Emissieloos</t>
  </si>
  <si>
    <t>n.v.t.</t>
  </si>
  <si>
    <t>tkm</t>
  </si>
  <si>
    <t>Transport</t>
  </si>
  <si>
    <t>Total</t>
  </si>
  <si>
    <t xml:space="preserve">Vrachtwagen (&gt;32 ton), euro 4, diesel </t>
  </si>
  <si>
    <t>Vrachtwagen</t>
  </si>
  <si>
    <t>1 tkm 0319-tra&amp;Transport, vrachtwagen (&gt;32 ton), euro 4, diesel (o.b.v. Transport, freight, lorry &gt;32 metric ton, EURO4 {RER}| transport, freight, lorry &gt;32 metric ton, EURO4 | Cut-off, U) (of project Nationale Milieudatabase versie 3.6 (ecoinvent 3.6) OKT 2022)</t>
  </si>
  <si>
    <t>1 tkm 0320-tra&amp;Transport, vrachtwagen (&gt;32 ton), euro 5, diesel, per tkm (of project Nationale Milieudatabase versie 3.6 (ecoinvent 3.6) OKT 2022)</t>
  </si>
  <si>
    <t>Brandstof verbruik in kg/tkm (0,01917) / Soortelijk gewicht brandstof in kg/l (0,84)</t>
  </si>
  <si>
    <t>Vrachtwagen (&gt;32 ton), euro 5, 100% biodiesel</t>
  </si>
  <si>
    <t>1 tkm 0321-tra&amp;Transport, vrachtwagen (&gt;32 ton), euro 5, 100% biodiesel, per tkm (o.b.v. Vrachtwagen (&gt;32 ton), euro 5, ongemixte biodiesel, per liter, c2) (of project Nationale Milieudatabase versie 3.6 (ecoinvent 3.6) OKT 2022)</t>
  </si>
  <si>
    <t>Brandstof verbruik in kg/tkm (0,01917) / Soortelijk gewicht brandstof in kg/l (0,876)</t>
  </si>
  <si>
    <t>Vrachtwagen (&gt;32 ton), euro 5, GTL</t>
  </si>
  <si>
    <t>1 tkm 0322-tra&amp;Transport, vrachtwagen (&gt;32 ton), euro 5, GTL, per tkm (of project Nationale Milieudatabase versie 3.6 (ecoinvent 3.6) OKT 2022)</t>
  </si>
  <si>
    <t>Brandstof verbruik in kg/tkm (0,01917) / Soortelijk gewicht brandstof in kg/l (0,779)</t>
  </si>
  <si>
    <t>Vrachtwagen (&gt;32 ton), euro 5, 100% HVO</t>
  </si>
  <si>
    <t>1 tkm 0323-tra&amp;Transport, vrachtwagen (&gt;32 ton), euro 5, 100% HVO, per tkm (o.b.v. Vrachtwagen (&gt;32 ton), euro 5, ongemixte HVO, per liter, c2) (of project Nationale Milieudatabase versie 3.6 (ecoinvent 3.6) OKT 2022)</t>
  </si>
  <si>
    <t>Brandstof verbruik in kg/tkm (0,01917) / Soortelijk gewicht brandstof in kg/l (0,781)</t>
  </si>
  <si>
    <t>Vrachtwagen (&gt;32 ton), euro 6, diesel</t>
  </si>
  <si>
    <t>1 tkm 0324-tra&amp;Transport, vrachtwagen (&gt;32 ton), euro 6, diesel, per tkm (of project Nationale Milieudatabase versie 3.6 (ecoinvent 3.6) OKT 2022)</t>
  </si>
  <si>
    <t>Vrachtwagen (&gt;32 ton), euro 6, 100% biodiesel</t>
  </si>
  <si>
    <t>1 tkm 0325-tra&amp;Transport, vrachtwagen (&gt;32 ton), euro 6, 100% biodiesel, per tkm (o.b.v. Vrachtwagen (&gt;32 ton), euro 6, ongemixte biodiesel, per liter, c2) (of project Nationale Milieudatabase versie 3.6 (ecoinvent 3.6) OKT 2022)</t>
  </si>
  <si>
    <t>Vrachtwagen (&gt;32 ton), euro 6, GTL</t>
  </si>
  <si>
    <t>1 tkm 0326-tra&amp;Transport, vrachtwagen (&gt;32 ton), euro 6, GTL, per tkm (of project Nationale Milieudatabase versie 3.6 (ecoinvent 3.6) OKT 2022)</t>
  </si>
  <si>
    <t>Vrachtwagen (&gt;32 ton), euro 6, 100% HVO</t>
  </si>
  <si>
    <t>1 tkm 0327-tra&amp;Transport, vrachtwagen (&gt;32 ton), euro 6, 100% HVO, per tkm (o.b.v. Vrachtwagen (&gt;32 ton), euro 6, ongemixte HVO, per liter, c2) (of project Nationale Milieudatabase versie 3.6 (ecoinvent 3.6) OKT 2022)</t>
  </si>
  <si>
    <t>Vrachtwagen (&gt;32 ton), elektrisch, Grijze mix</t>
  </si>
  <si>
    <t>1 tkm 0513-tra&amp;Transport, vrachtwagen (&gt;32 ton), elektrisch, Grijze mix, per tkm (of project Nationale Milieudatabase versie 3.6 (ecoinvent 3.6) OKT 2022)</t>
  </si>
  <si>
    <t>Ja</t>
  </si>
  <si>
    <t>Vrachtwagen (&gt;32 ton), elektrisch, Groene mix</t>
  </si>
  <si>
    <t>1 tkm 0514-tra&amp;Transport, vrachtwagen (&gt;32 ton), elektrisch, Groene mix, per tkm (of project Nationale Milieudatabase versie 3.6 (ecoinvent 3.6) OKT 2022)</t>
  </si>
  <si>
    <t>Vrachtwagen (&gt;32 ton), waterstof, Elektrolyse, grijze mix</t>
  </si>
  <si>
    <t>1 tkm 0515-tra&amp;Transport, vrachtwagen (&gt;32 ton), waterstof, Elektrolyse, grijze mix, per tkm (of project Nationale Milieudatabase versie 3.6 (ecoinvent 3.6) OKT 2022)</t>
  </si>
  <si>
    <t>Vrachtwagen (&gt;32 ton), waterstof, Elektrolyse, groene mix</t>
  </si>
  <si>
    <t>1 tkm 0516-tra&amp;Transport, vrachtwagen (&gt;32 ton), waterstof, Elektrolyse, groene mix, per tkm (of project Nationale Milieudatabase versie 3.6 (ecoinvent 3.6) OKT 2022)</t>
  </si>
  <si>
    <t>Vrachtwagen (&gt;32 ton), waterstof, SMR, grijze mix</t>
  </si>
  <si>
    <t>1 tkm 0517-tra&amp;Transport, vrachtwagen (&gt;32 ton), waterstof, SMR, grijze mix, per tkm (of project Nationale Milieudatabase versie 3.6 (ecoinvent 3.6) OKT 2022)</t>
  </si>
  <si>
    <t>Vrachtwagen (&gt;32 ton), waterstof, SMR, groene mix</t>
  </si>
  <si>
    <t>1 tkm 0518-tra&amp;Transport, vrachtwagen (&gt;32 ton), waterstof, SMR, groene mix, per tkm (of project Nationale Milieudatabase versie 3.6 (ecoinvent 3.6) OKT 2022)</t>
  </si>
  <si>
    <t>Asfalt Aanlegsets - PCR</t>
  </si>
  <si>
    <t>Capaciteit</t>
  </si>
  <si>
    <t>Branchegemiddeld</t>
  </si>
  <si>
    <t>ton</t>
  </si>
  <si>
    <t>Asfaltsets</t>
  </si>
  <si>
    <t>Aanlegset</t>
  </si>
  <si>
    <t>1 kg A5 Emissies + brandstof Stage IIIb/IV aanlegset asfalt – 400 ton/dag - per ton asfalt (of project Nationale Milieudatabase SBK versie 3.2 (ecoinvent 3.5)JUL20)</t>
  </si>
  <si>
    <t>SBK Bepalingsmethode, jul 2020 (NMD 3.2) V3.04 / MKI-SBK single-score &amp; PCR Asfalt v1.0</t>
  </si>
  <si>
    <t>1000 ton/dag - Categorie IIIb/IV - Diesel</t>
  </si>
  <si>
    <t>1 kg A5 Emissies + brandstof Stage IIIb/IV aanlegset asfalt – 1000 ton/dag - per ton asfalt (of project Nationale Milieudatabase SBK versie 3.2 (ecoinvent 3.5)JUL20)</t>
  </si>
  <si>
    <t>2000 ton/dag - Categorie IIIb/IV - Diesel</t>
  </si>
  <si>
    <t>1 kg A5 Emissies + brandstof Stage IIIb/IV aanlegset asfalt – 2000 ton/dag - per ton asfalt (of project Nationale Milieudatabase SBK versie 3.2 (ecoinvent 3.5)JUL20)</t>
  </si>
  <si>
    <t>Strukton</t>
  </si>
  <si>
    <t>400 ton/dag - Categorie IV - Diesel</t>
  </si>
  <si>
    <t>1 m3 A5 Emissies + brandstof Stage V/extralicht (18-37kW) - per liter (o.b.v. ""Diesel, burned in building machine {GLO} | processing | Cut-off, U"") (of project Nationale Milieudatabase SBK versie 3.2 (ecoinvent 3.5)JUL20) + 1 m3 A5 Emissies + brandstof Stage IV/licht (37-56kW) - per liter (o.b.v. ""Diesel, burned in building machine {GLO} | processing | Cut-off, U"") (of project Nationale Milieudatabase SBK versie 3.2 (ecoinvent 3.5)JUL20) + 1 m3 A5 Emissies + brandstof Stage IV/middel (75-130 kW) - per liter (o.b.v. ""Diesel, burned in building machine {GLO} | processing | Cut-off, U"") (of project Nationale Milieudatabase SBK versie 3.2 (ecoinvent 3.5)JUL20)</t>
  </si>
  <si>
    <t>1000 ton/dag - Categorie IV - Diesel</t>
  </si>
  <si>
    <t>1 m3 A5 Emissies + brandstof Stage IV/licht (37-56kW) - per liter (o.b.v. ""Diesel, burned in building machine {GLO} | processing | Cut-off, U"") (of project Nationale Milieudatabase SBK versie 3.2 (ecoinvent 3.5)JUL20) + 1 m3 A5 Emissies + brandstof Stage IV/middel (75-130 kW) - per liter (o.b.v. ""Diesel, burned in building machine {GLO} | processing | Cut-off, U"") (of project Nationale Milieudatabase SBK versie 3.2 (ecoinvent 3.5)JUL20)</t>
  </si>
  <si>
    <t>2000 ton/dag - Categorie IV - Diesel</t>
  </si>
  <si>
    <t>1 m3 A5 Emissies + brandstof Stage IV/licht (37-56kW) - per liter (o.b.v. ""Diesel, burned in building machine {GLO} | processing | Cut-off, U"") (of project Nationale Milieudatabase SBK versie 3.2 (ecoinvent 3.5)JUL20) + 1 m3 A5 Emissies + brandstof Stage IV/middel (75-130 kW) - per liter (o.b.v. ""Diesel, burned in building machine {GLO} | processing | Cut-off, U"") (of project Nationale Milieudatabase SBK versie 3.2 (ecoinvent 3.5)JUL20) + 1 m3 A5 Emissies + brandstof Stage IV/zwaar (130-560kW) - per liter (o.b.v. ""Diesel, burned in building machine {GLO} | processing | Cut-off, U"") (of project Nationale Milieudatabase SBK versie 3.2 (ecoinvent 3.5)JUL20)</t>
  </si>
  <si>
    <t>400 ton/dag - Categorie IV - HVO</t>
  </si>
  <si>
    <t>Literverbruik materieelstruk per uur verschaald obv energetische inhoud alternatieve brandstof * milieuprofiel brandstofverbruik per liter</t>
  </si>
  <si>
    <t>1000 ton/dag - Categorie IV - HVO</t>
  </si>
  <si>
    <t>2000 ton/dag - Categorie IV - HVO</t>
  </si>
  <si>
    <t>400 ton/dag - Categorie IV - GTL</t>
  </si>
  <si>
    <t>1000 ton/dag - Categorie IV - GTL</t>
  </si>
  <si>
    <t>2000 ton/dag - Categorie IV - GTL</t>
  </si>
  <si>
    <t>400 ton/dag - Elektrisch groen</t>
  </si>
  <si>
    <t>LCA Rapportage categorie 3 data, Nationale Milieudatabase, Hoofdstuk 1000 t/m 8000 Processen - CONCEPT!</t>
  </si>
  <si>
    <t>Arbeid geleverd met 1 liter diesel komt ongeveer overeen met arbeid geleverd door e-werktuig dat 3,10 kWh ‘verbruikt’</t>
  </si>
  <si>
    <t>1000 ton/dag - Elektrisch groen</t>
  </si>
  <si>
    <t>2000 ton/dag - Elektrisch groen</t>
  </si>
  <si>
    <t>400 ton/dag - Elektrisch grijs</t>
  </si>
  <si>
    <t>1000 ton/dag - Elektrisch grijs</t>
  </si>
  <si>
    <t>2000 ton/dag - Elektrisch grijs</t>
  </si>
  <si>
    <t>Asfalt Verwijdersets - PCR</t>
  </si>
  <si>
    <t xml:space="preserve"> €                                                                                                      -  </t>
  </si>
  <si>
    <t>Verwijderset</t>
  </si>
  <si>
    <t>1 ton C1 Emissies + brandstof Stage IIIb/IV verwijderingsset asfalt – 400 ton/dag - per ton asfalt (of project Nationale Milieudatabase versie 3.3 (ecoinvent 3.6) Feb 2021)</t>
  </si>
  <si>
    <t>1 ton C1 Emissies + brandstof Stage IIIb/IV verwijderingsset asfalt – 1000 ton/dag - per ton asfalt (of project Nationale Milieudatabase versie 3.3 (ecoinvent 3.6) Feb 2021)</t>
  </si>
  <si>
    <t>1 ton C1 Emissies + brandstof Stage IIIb/IV verwijderingsset asfalt – 2000 ton/dag - per ton asfalt (of project Nationale Milieudatabase versie 3.3 (ecoinvent 3.6) Feb 2021)</t>
  </si>
  <si>
    <t>1 ton C1 Emissies + brandstof Stage IV verwijderingsset asfalt – 400 ton/dag - per ton asfalt (of project Nationale Milieudatabase versie 3.3 (ecoinvent 3.6) Feb 2021)</t>
  </si>
  <si>
    <t>1 ton C1 Emissies + brandstof Stage IV verwijderingsset asfalt – 1000 ton/dag - per ton asfalt (of project Nationale Milieudatabase versie 3.3 (ecoinvent 3.6) Feb 2021)</t>
  </si>
  <si>
    <t>1 ton C1 Emissies + brandstof Stage IV verwijderingsset asfalt – 2000 ton/dag - per ton asfalt (of project Nationale Milieudatabase versie 3.3 (ecoinvent 3.6) Feb 2021)</t>
  </si>
  <si>
    <t>Asfalt Verwerkingssets - PCR</t>
  </si>
  <si>
    <t>Totaal gebruik van hernieuwbare primaire energie (MJ)</t>
  </si>
  <si>
    <t>Kolom1</t>
  </si>
  <si>
    <t>Kolom2</t>
  </si>
  <si>
    <t>Totaal gebruik van niet hernieuwbare primaire energie (MJ)</t>
  </si>
  <si>
    <t>Kolom3</t>
  </si>
  <si>
    <t>Kolom4</t>
  </si>
  <si>
    <t>Energie, primair (MJ)</t>
  </si>
  <si>
    <t>Waterverbruik (m3)</t>
  </si>
  <si>
    <t>Gevaarlijk afval (kg)</t>
  </si>
  <si>
    <t>Niet-gevaarlijk afval (kg)</t>
  </si>
  <si>
    <t>Radioactief afval (kg)</t>
  </si>
  <si>
    <t>Kolom5</t>
  </si>
  <si>
    <t>Kolom6</t>
  </si>
  <si>
    <t>Kolom7</t>
  </si>
  <si>
    <t>Kolom8</t>
  </si>
  <si>
    <t>Kolom9</t>
  </si>
  <si>
    <t>Verwerkingsset - Categorie IIIB - Diesel</t>
  </si>
  <si>
    <t>Verwerkingsset</t>
  </si>
  <si>
    <t>Verwerkingsset - Categorie IIIB - HVO</t>
  </si>
  <si>
    <t>Verwerkingsset - Categorie IIIB - GTL</t>
  </si>
  <si>
    <t>Verwerkingsset - Categorie IV - Diesel</t>
  </si>
  <si>
    <t>Verwerkingsset - Categorie IV - HVO</t>
  </si>
  <si>
    <t>Verwerkingsset - Categorie IV - GTL</t>
  </si>
  <si>
    <t>Verwerkingsset - Elektrisch grijs</t>
  </si>
  <si>
    <t>Verwerkingsset - Elektrisch groen</t>
  </si>
  <si>
    <t>Overige Materieelstukken</t>
  </si>
  <si>
    <t>Capaciteit [m3/uur]</t>
  </si>
  <si>
    <t>uur</t>
  </si>
  <si>
    <t>Graafmachine, Categorie IIIB, Diesel</t>
  </si>
  <si>
    <t>Bouwmachines</t>
  </si>
  <si>
    <t>Graafmachine</t>
  </si>
  <si>
    <t>Graafmachine, Categorie IIIB, Biodiesel</t>
  </si>
  <si>
    <t>Graafmachine, Categorie IIIB, HVO</t>
  </si>
  <si>
    <t>Graafmachine, Categorie IIIB, GTL</t>
  </si>
  <si>
    <t>Graafmachine, Categorie IV, Diesel</t>
  </si>
  <si>
    <t>Graafmachine, Categorie IV, Biodiesel</t>
  </si>
  <si>
    <t>Graafmachine, Categorie IV, HVO</t>
  </si>
  <si>
    <t>Graafmachine, Categorie IV, GTL</t>
  </si>
  <si>
    <t>Graafmachine, Categorie V, Diesel</t>
  </si>
  <si>
    <t>Graafmachine, Categorie V, Biodiesel</t>
  </si>
  <si>
    <t>Graafmachine, Categorie V, HVO</t>
  </si>
  <si>
    <t>Graafmachine, Categorie V, GTL</t>
  </si>
  <si>
    <t>Graafmachine, Elektrisch groen</t>
  </si>
  <si>
    <t>Graafmachine, Elektrisch grijs</t>
  </si>
  <si>
    <t>Wiellader, Categorie IIIB, Diesel</t>
  </si>
  <si>
    <t>Wiellader</t>
  </si>
  <si>
    <t>Wiellader, Categorie IIIB, Biodiesel</t>
  </si>
  <si>
    <t>Wiellader, Categorie IIIB, HVO</t>
  </si>
  <si>
    <t>Wiellader, Categorie IIIB, GTL</t>
  </si>
  <si>
    <t>Wiellader, Categorie IV, Diesel</t>
  </si>
  <si>
    <t>Wiellader, Categorie IV, Biodiesel</t>
  </si>
  <si>
    <t>Wiellader, Categorie IV, HVO</t>
  </si>
  <si>
    <t>Wiellader, Categorie IV, GTL</t>
  </si>
  <si>
    <t>Wiellader, Categorie V, Diesel</t>
  </si>
  <si>
    <t>Wiellader, Categorie V, Biodiesel</t>
  </si>
  <si>
    <t>Wiellader, Categorie V, HVO</t>
  </si>
  <si>
    <t>Wiellader, Categorie V, GTL</t>
  </si>
  <si>
    <t>Wiellader, Elektrisch groen</t>
  </si>
  <si>
    <t>Wiellader, Elektrisch grijs</t>
  </si>
  <si>
    <t>Bulldozer, Categorie IIIB, Diesel</t>
  </si>
  <si>
    <t>Bulldozer</t>
  </si>
  <si>
    <t>Bulldozer, Categorie IIIB, Biodiesel</t>
  </si>
  <si>
    <t>Bulldozer, Categorie IIIB, HVO</t>
  </si>
  <si>
    <t>Bulldozer, Categorie IIIB, GTL</t>
  </si>
  <si>
    <t>Bulldozer, Categorie IV, Diesel</t>
  </si>
  <si>
    <t>Bulldozer, Categorie IV, Biodiesel</t>
  </si>
  <si>
    <t>Bulldozer, Categorie IV, HVO</t>
  </si>
  <si>
    <t>Bulldozer, Categorie IV, GTL</t>
  </si>
  <si>
    <t>Bulldozer, Categorie V, Diesel</t>
  </si>
  <si>
    <t>Bulldozer, Categorie V, Biodiesel</t>
  </si>
  <si>
    <t>Bulldozer, Categorie V, HVO</t>
  </si>
  <si>
    <t>Bulldozer, Categorie V, GTL</t>
  </si>
  <si>
    <t>Bulldozer, Elektrisch groen</t>
  </si>
  <si>
    <t>Bulldozer, Elektrisch grijs</t>
  </si>
  <si>
    <t>Dumper, Categorie IIIB, Diesel</t>
  </si>
  <si>
    <t>Dumper</t>
  </si>
  <si>
    <t xml:space="preserve">LCA Rapportage categorie 3 data Nationale Milieudatabase Hoofdstuk 1000 t/m 8000 Processen </t>
  </si>
  <si>
    <t>Dumper, Categorie IIIB, Biodiesel</t>
  </si>
  <si>
    <t>Dumper, Categorie IIIB, HVO</t>
  </si>
  <si>
    <t>Dumper, Categorie IIIB, GTL</t>
  </si>
  <si>
    <t>Dumper, Categorie IV, Diesel</t>
  </si>
  <si>
    <t>Dumper, Categorie IV, Biodiesel</t>
  </si>
  <si>
    <t>Dumper, Categorie IV, HVO</t>
  </si>
  <si>
    <t>Dumper, Categorie IV, GTL</t>
  </si>
  <si>
    <t>Dumper, Categorie V, Diesel</t>
  </si>
  <si>
    <t>Dumper, Categorie V, Biodiesel</t>
  </si>
  <si>
    <t>Dumper, Categorie V, HVO</t>
  </si>
  <si>
    <t>Dumper, Categorie V, GTL</t>
  </si>
  <si>
    <t>Dumper, Elektrisch groen</t>
  </si>
  <si>
    <t>Dumper, Elektrisch grijs</t>
  </si>
  <si>
    <t>Wals, Categorie IIIB, Diesel</t>
  </si>
  <si>
    <t>Wals</t>
  </si>
  <si>
    <t>Wals, Categorie IIIB, Biodiesel</t>
  </si>
  <si>
    <t>Wals, Categorie IIIB, HVO</t>
  </si>
  <si>
    <t>Wals, Categorie IIIB, GTL</t>
  </si>
  <si>
    <t>Wals, Categorie IV, Diesel</t>
  </si>
  <si>
    <t>Wals, Categorie IV, Biodiesel</t>
  </si>
  <si>
    <t>Wals, Categorie IV, HVO</t>
  </si>
  <si>
    <t>Wals, Categorie IV, GTL</t>
  </si>
  <si>
    <t>Wals, Categorie V, Diesel</t>
  </si>
  <si>
    <t>Wals, Categorie V, Biodiesel</t>
  </si>
  <si>
    <t>Wals, Categorie V, HVO</t>
  </si>
  <si>
    <t>Wals, Categorie V, GTL</t>
  </si>
  <si>
    <t>Wals, Elektrisch groen</t>
  </si>
  <si>
    <t>Wals, Elektrisch grijs</t>
  </si>
  <si>
    <t>Trilplaat, Categorie IIIB, Diesel</t>
  </si>
  <si>
    <t>Triplaat</t>
  </si>
  <si>
    <t>Trilplaat, Categorie IIIB, Biodiesel</t>
  </si>
  <si>
    <t>Trilplaat, Categorie IIIB, HVO</t>
  </si>
  <si>
    <t>Trilplaat, Categorie IIIB, GTL</t>
  </si>
  <si>
    <t>Trilplaat, Categorie IV, Diesel</t>
  </si>
  <si>
    <t>Trilplaat, Categorie IV, Biodiesel</t>
  </si>
  <si>
    <t>Trilplaat, Categorie IV, HVO</t>
  </si>
  <si>
    <t>Trilplaat, Categorie IV, GTL</t>
  </si>
  <si>
    <t>Trilplaat, Categorie V, Diesel</t>
  </si>
  <si>
    <t>Trilplaat, Categorie V, Biodiesel</t>
  </si>
  <si>
    <t>Trilplaat, Categorie V, HVO</t>
  </si>
  <si>
    <t>Trilplaat, Categorie V, GTL</t>
  </si>
  <si>
    <t>Trilplaat, Elektrisch groen</t>
  </si>
  <si>
    <t>Trilplaat, Elektrisch grijs</t>
  </si>
  <si>
    <t>Brandstoffen</t>
  </si>
  <si>
    <t>liter</t>
  </si>
  <si>
    <t>Brandstof</t>
  </si>
  <si>
    <t>Diesel</t>
  </si>
  <si>
    <t>0335-pro&amp;Dieselverbruik, bouwmachine cat. IIIB, 75-130kW, per l (diesel: 35,9 MJ/liter en 0,832 kg/liter)</t>
  </si>
  <si>
    <t>Categorie IIIB, HVO</t>
  </si>
  <si>
    <t>HVO</t>
  </si>
  <si>
    <t>obv elektrisch grijs in afwachting van nieuwe HVO profielen. Omrekenfactor = 4,46042975206611</t>
  </si>
  <si>
    <t>Categorie IIIB, GTL</t>
  </si>
  <si>
    <t>GTL</t>
  </si>
  <si>
    <t>0337-pro&amp;GTL-verbruik, bouwmachine cat. IIIB, 75-130kW, per l (GTL: 34,3 MJ/liter en 0,780 kg/liter)</t>
  </si>
  <si>
    <t>Categorie IV, Diesel</t>
  </si>
  <si>
    <t>0340-pro&amp;Dieselverbruik, bouwmachine cat. IV, alle vermogens, per l (diesel: 35,9 MJ/liter en 0,832 kg/liter)</t>
  </si>
  <si>
    <t>Categorie IV, HVO</t>
  </si>
  <si>
    <t>obv elektrisch grijs in afwachting van nieuwe HVO profielen. Omrekenfactor = 4,46042975206611 &amp; 0,901571479982987 voor categorie III &gt; IV</t>
  </si>
  <si>
    <t>Categorie IV, GTL</t>
  </si>
  <si>
    <t>0341-pro&amp;GTL-verbruik, bouwmachine cat. IV, alle vermogens, per l (GTL: 34,3 MJ/liter en 0,780 kg/liter)</t>
  </si>
  <si>
    <t>Categorie V, Diesel</t>
  </si>
  <si>
    <t>0344-pro&amp;Dieselverbruik, bouwmachine cat. V, &gt;56 kW, per l (diesel: 35,9 MJ/liter en 0,832 kg/liter)</t>
  </si>
  <si>
    <t>Categorie V, HVO</t>
  </si>
  <si>
    <t>obv elektrisch grijs in afwachting van nieuwe HVO profielen. Omrekenfactor = 4,46042975206611 &amp; 0,998893631896883 voor categorie IV &gt; V</t>
  </si>
  <si>
    <t>Categorie V, GTL</t>
  </si>
  <si>
    <t>0345-pro&amp;GTL-verbruik, bouwmachine cat. V, &gt;56 kW, per l (GTL: 34,3 MJ/liter en 0,780 kg/liter)</t>
  </si>
  <si>
    <t>Elektrisch, Grijze mix</t>
  </si>
  <si>
    <t>kWh</t>
  </si>
  <si>
    <t>Elektrisch</t>
  </si>
  <si>
    <t>0510-pro&amp;Elektriciteitsverbruik, bouwmachine elektrisch, Grijze mix, per kWh input (elektriciteit: 3,6 MJ/kWh; 3,6 MJ input is 2,75 MJ arbeid)</t>
  </si>
  <si>
    <t>Elektrisch, Groene mix</t>
  </si>
  <si>
    <t>0511-pro&amp;Elektriciteitsverbruik, bouwmachine elektrisch, Groene mix, per kWh input (elektriciteit 3,6 MJ/kWh; 3,6 MJ input is 2,75 MJ arbeid)</t>
  </si>
  <si>
    <t>Waterstof, Elektrolyse, Grijze Mix</t>
  </si>
  <si>
    <t>kg</t>
  </si>
  <si>
    <t>Waterstof</t>
  </si>
  <si>
    <t>0539-pro&amp;Waterstofverbruik, bouwmachine, Elektrolyse, grijze mix, per kg (waterstof: 120 MJ/kg)</t>
  </si>
  <si>
    <t>Waterstof, Elektrolyse, Groene Mix</t>
  </si>
  <si>
    <t>0540-pro&amp;Waterstofverbruik, bouwmachine, Elektrolyse, groene mix, per kg (waterstof: 120 MJ/kg)</t>
  </si>
  <si>
    <t>Waterstof, SMR, Grijze Mix</t>
  </si>
  <si>
    <t>0541-pro&amp;Waterstofverbruik, bouwmachine, SMR, grijze mix, per kg (waterstof: 120 MJ/kg)</t>
  </si>
  <si>
    <t>Waterstof, SMR, Groene Mix</t>
  </si>
  <si>
    <t>0542-pro&amp;Waterstofverbruik, bouwmachine, SMR, groene mix, per kg (waterstof: 120 MJ/kg)</t>
  </si>
  <si>
    <t>Categorie IIIB, Diesel - OUD</t>
  </si>
  <si>
    <t>1 l Graafmachine, categorie IIIB, diesel, per liter, c2 (of project Nationale Milieudatabase SBK versie 3.2 (ecoinvent 3.5)JUL20)</t>
  </si>
  <si>
    <t>Categorie IIIB, Biodiesel - OUD</t>
  </si>
  <si>
    <t>Biodiesel</t>
  </si>
  <si>
    <t>1 l Graafmachine, categorie IIIB, GTL, per liter, c2 (of project Nationale Milieudatabase SBK versie 3.2 (ecoinvent 3.5)JUL20)</t>
  </si>
  <si>
    <t>Categorie IIIB, HVO - OUD</t>
  </si>
  <si>
    <t>1 l Graafmachine, categorie IIIB, ongemixte biodiesel, per liter, c2 (of project Nationale Milieudatabase SBK versie 3.2 (ecoinvent 3.5)JUL20)</t>
  </si>
  <si>
    <t>Categorie IIIB, GTL - OUD</t>
  </si>
  <si>
    <t>1 l Graafmachine, categorie IIIB, ongemixte HVO, per liter, c2 (of project Nationale Milieudatabase SBK versie 3.2 (ecoinvent 3.5)JUL20)</t>
  </si>
  <si>
    <t>Categorie IV, Diesel - OUD</t>
  </si>
  <si>
    <t>1 l Graafmachine, categorie IV, diesel, per liter, c2 (of project Nationale Milieudatabase SBK versie 3.2 (ecoinvent 3.5)JUL20)</t>
  </si>
  <si>
    <t>Categorie IV, Biodiesel - OUD</t>
  </si>
  <si>
    <t>1 l Graafmachine, categorie IV, GTL, per liter, c2 (of project Nationale Milieudatabase SBK versie 3.2 (ecoinvent 3.5)JUL20)</t>
  </si>
  <si>
    <t>Categorie IV, HVO - OUD</t>
  </si>
  <si>
    <t>1 l Graafmachine, categorie IV, ongemixte biodiesel, per liter, c2 (of project Nationale Milieudatabase SBK versie 3.2 (ecoinvent 3.5)JUL20)</t>
  </si>
  <si>
    <t>Categorie IV, GTL - OUD</t>
  </si>
  <si>
    <t>1 l Graafmachine, categorie IV, ongemixte HVO, per liter, c2 (of project Nationale Milieudatabase SBK versie 3.2 (ecoinvent 3.5)JUL20)</t>
  </si>
  <si>
    <t>Categorie V, Diesel - OUD</t>
  </si>
  <si>
    <t>1 l Graafmachine, categorie V, diesel, per liter, c2 (of project Nationale Milieudatabase SBK versie 3.2 (ecoinvent 3.5)JUL20)</t>
  </si>
  <si>
    <t>Categorie V, Biodiesel - OUD</t>
  </si>
  <si>
    <t>1 l Graafmachine, categorie V, GTL, per liter, c2 (of project Nationale Milieudatabase SBK versie 3.2 (ecoinvent 3.5)JUL20)</t>
  </si>
  <si>
    <t>Categorie V, HVO - OUD</t>
  </si>
  <si>
    <t>1 l Graafmachine, categorie V, ongemixte biodiesel, per liter, c2 (of project Nationale Milieudatabase SBK versie 3.2 (ecoinvent 3.5)JUL20)</t>
  </si>
  <si>
    <t>Categorie V, GTL - OUD</t>
  </si>
  <si>
    <t>1 l Graafmachine, categorie V, ongemixte HVO, per liter, c2 (of project Nationale Milieudatabase SBK versie 3.2 (ecoinvent 3.5)JUL20)</t>
  </si>
  <si>
    <t>Elektrisch, Groene mix - OUD</t>
  </si>
  <si>
    <t>CONCEPT!</t>
  </si>
  <si>
    <t>Elektrisch, Grijze mix - OUD</t>
  </si>
  <si>
    <t>Bouwmachine, Cat IIIB, Diesel, &lt;56kW</t>
  </si>
  <si>
    <t>0529-pro&amp;Dieselverbruik, bouwmachine cat. IIIB, &lt;56 kW, per l (diesel: 35,9 MJ/liter en 0,832 kg/liter)</t>
  </si>
  <si>
    <t>Bouwmachine, Cat IIIB, Diesel, 56-75kW</t>
  </si>
  <si>
    <t>0530-pro&amp;Dieselverbruik, bouwmachine cat. IIIB, 56-75kW, per l (diesel: 35,9 MJ/liter en 0,832 kg/liter)</t>
  </si>
  <si>
    <t>Bouwmachine, Cat IIIB, Diesel, 75-130kW</t>
  </si>
  <si>
    <t>Bouwmachine, Cat IIIB, Diesel, 130kW+</t>
  </si>
  <si>
    <t>0531-pro&amp;Dieselverbruik, bouwmachine cat. IIIB, 130kW+, per l (diesel: 35,9 MJ/liter en 0,832 kg/liter)</t>
  </si>
  <si>
    <t>Bouwmachine, Cat IV, Diesel, alle vermogens</t>
  </si>
  <si>
    <t>Bouwmachine, Cat V, Diesel, &lt;37kW</t>
  </si>
  <si>
    <t>0532-pro&amp;Dieselverbruik, bouwmachine cat. V, &lt;37 kW, per l (diesel: 35,9 MJ/liter en 0,832 kg/liter)</t>
  </si>
  <si>
    <t>Bouwmachine, Cat V, Diesel, 37-56kW</t>
  </si>
  <si>
    <t>0533-pro&amp;Dieselverbruik, bouwmachine cat. V, 37-56 kW, per l (diesel: 35,9 MJ/liter en 0,832 kg/liter)</t>
  </si>
  <si>
    <t>Bouwmachine, Cat V, Diesel, &gt;56kW</t>
  </si>
  <si>
    <t>Bouwmachine, Cat IIIB, GTL, &lt;56kW</t>
  </si>
  <si>
    <t>0534-pro&amp;GTL-verbruik, bouwmachine cat. IIIB, &lt;56 kW, per l (GTL: 34,3 MJ/liter en 0,780 kg/liter)</t>
  </si>
  <si>
    <t>Bouwmachine, Cat IIIB, GTL, 56-75kW</t>
  </si>
  <si>
    <t>0535-pro&amp;GTL-verbruik, bouwmachine cat. IIIB, 56-75 kW, per l (GTL: 34,3 MJ/liter en 0,780 kg/liter)</t>
  </si>
  <si>
    <t>Bouwmachine, Cat IIIB, GTL, 75-130kW</t>
  </si>
  <si>
    <t>Bouwmachine, Cat IIIB, GTL, 130kW+</t>
  </si>
  <si>
    <t>0536-pro&amp;GTL-verbruik, bouwmachine cat. IIIB, 130kW+, per l (GTL: 34,3 MJ/liter en 0,780 kg/liter)</t>
  </si>
  <si>
    <t>Bouwmachine, Cat IV, GTL, alle vermogens</t>
  </si>
  <si>
    <t>Bouwmachine, Cat V, GTL, &lt;37kW</t>
  </si>
  <si>
    <t>0537-pro&amp;GTL-verbruik, bouwmachine cat. V, &lt;37 kW, per l (GTL: 34,3 MJ/liter en 0,780 kg/liter)</t>
  </si>
  <si>
    <t>Bouwmachine, Cat V, GTL, 37-56kW</t>
  </si>
  <si>
    <t>0538-pro&amp;GTL-verbruik, bouwmachine cat. V, 37-56 kW, per l (GTL: 34,3 MJ/liter en 0,780 kg/liter)</t>
  </si>
  <si>
    <t>Bouwmachine, Cat V, GTL, &gt;56kW</t>
  </si>
  <si>
    <t>Bouwmachine, Elektrisch, Grijze Mix</t>
  </si>
  <si>
    <t>Bouwmachine, Elektrisch, Groene Mix</t>
  </si>
  <si>
    <t>Bouwmachine, Waterstof, Elektrolyse, Grijze Mix</t>
  </si>
  <si>
    <t>Bouwmachine, Waterstof, Elektrolyse, Groene Mix</t>
  </si>
  <si>
    <t>Bouwmachine, Waterstof, SMR, Grijze Mix</t>
  </si>
  <si>
    <t>Bouwmachine, Waterstof, SMR, Groene Mix</t>
  </si>
  <si>
    <t>Categorie IIIB, Blauwe Diesel 100, Good Fuels</t>
  </si>
  <si>
    <t>1 l d.m.v. Materieel NRMM categorie 3B op basis van 100% Blauwe Diesel 100 EN15940 Nederland</t>
  </si>
  <si>
    <t>Categorie IV, Blauwe Diesel 100, Good Fuels</t>
  </si>
  <si>
    <t>1 l d.m.v. Materieel NRMM categorie 4 op basis van 100% Blauwe Diesel 100 EN15940 Nederland</t>
  </si>
  <si>
    <t>Categorie V, Blauwe Diesel 100, Good Fuels</t>
  </si>
  <si>
    <t>Naam</t>
  </si>
  <si>
    <t>Weighting Factor</t>
  </si>
  <si>
    <t>Totaal * Weighting Factor</t>
  </si>
  <si>
    <t>uitputting van abiotische grondstoffen, ex. fossiele energiedragers</t>
  </si>
  <si>
    <t>kg antimoon</t>
  </si>
  <si>
    <t>0.16</t>
  </si>
  <si>
    <t>0.00</t>
  </si>
  <si>
    <t>uitputting van fossiele energiedragers</t>
  </si>
  <si>
    <t>0.01</t>
  </si>
  <si>
    <t>prefab</t>
  </si>
  <si>
    <t>beton</t>
  </si>
  <si>
    <t>klimaatverandering</t>
  </si>
  <si>
    <t>kg CO2</t>
  </si>
  <si>
    <t>0.05</t>
  </si>
  <si>
    <t>1.07</t>
  </si>
  <si>
    <t>(800mm)</t>
  </si>
  <si>
    <t>ozonlaagaantasting</t>
  </si>
  <si>
    <t>kg CFK-11</t>
  </si>
  <si>
    <t>fotochemische oxidantvorming (smog)</t>
  </si>
  <si>
    <t>kg ethyleen</t>
  </si>
  <si>
    <t>verzuring</t>
  </si>
  <si>
    <t>kg SO2</t>
  </si>
  <si>
    <t>0.21</t>
  </si>
  <si>
    <t>(1000mm)</t>
  </si>
  <si>
    <t>vermesting</t>
  </si>
  <si>
    <t>kg PO4-</t>
  </si>
  <si>
    <t>0.11</t>
  </si>
  <si>
    <t>humaan-toxicologische effecten</t>
  </si>
  <si>
    <t>kg 1,4-dichloorbenzeen</t>
  </si>
  <si>
    <t>0.09</t>
  </si>
  <si>
    <t>0.27</t>
  </si>
  <si>
    <t>ecotoxicologische effecten, aquatisch (zoetwater)</t>
  </si>
  <si>
    <t>0.03</t>
  </si>
  <si>
    <t>ecotoxicologische effecten, aquatisch (zoutwater)</t>
  </si>
  <si>
    <t>0.04</t>
  </si>
  <si>
    <t>(2000mm)</t>
  </si>
  <si>
    <t>ecotoxicologische effecten, terrestrisch</t>
  </si>
  <si>
    <t>0.06</t>
  </si>
  <si>
    <t>0.02</t>
  </si>
  <si>
    <t>abiotic</t>
  </si>
  <si>
    <t>depletion,</t>
  </si>
  <si>
    <t>non</t>
  </si>
  <si>
    <t>fuel</t>
  </si>
  <si>
    <t>(AD)</t>
  </si>
  <si>
    <t>Sb</t>
  </si>
  <si>
    <t>€</t>
  </si>
  <si>
    <t>eq</t>
  </si>
  <si>
    <t>global</t>
  </si>
  <si>
    <t>warming</t>
  </si>
  <si>
    <t>(GWP)</t>
  </si>
  <si>
    <t>CO2</t>
  </si>
  <si>
    <t>ozone</t>
  </si>
  <si>
    <t>layer</t>
  </si>
  <si>
    <t>depletion</t>
  </si>
  <si>
    <t>(ODP)</t>
  </si>
  <si>
    <t>CFC-11</t>
  </si>
  <si>
    <t>photochemical</t>
  </si>
  <si>
    <t>oxidation</t>
  </si>
  <si>
    <t>(POCP)</t>
  </si>
  <si>
    <t>C2H4</t>
  </si>
  <si>
    <t>acidification</t>
  </si>
  <si>
    <t>(AP)</t>
  </si>
  <si>
    <t>SO2</t>
  </si>
  <si>
    <t>eutrophication</t>
  </si>
  <si>
    <t>(EP)</t>
  </si>
  <si>
    <t>PO4---</t>
  </si>
  <si>
    <t>human</t>
  </si>
  <si>
    <t>toxicity</t>
  </si>
  <si>
    <t>(HT)</t>
  </si>
  <si>
    <t>1,4-DB</t>
  </si>
  <si>
    <t>Ecotoxicity,</t>
  </si>
  <si>
    <t>fresh</t>
  </si>
  <si>
    <t>water</t>
  </si>
  <si>
    <t>(FAETP)</t>
  </si>
  <si>
    <t>Ecotoxcity,</t>
  </si>
  <si>
    <t>marine</t>
  </si>
  <si>
    <t>(MAETP)</t>
  </si>
  <si>
    <t>terrestric</t>
  </si>
  <si>
    <t>(TETP)</t>
  </si>
  <si>
    <t>Energy,</t>
  </si>
  <si>
    <t>primary,</t>
  </si>
  <si>
    <t>renewable</t>
  </si>
  <si>
    <t>(MJ)</t>
  </si>
  <si>
    <t>MJ</t>
  </si>
  <si>
    <t>non-renewable</t>
  </si>
  <si>
    <t>primary</t>
  </si>
  <si>
    <t>Water,</t>
  </si>
  <si>
    <t>use</t>
  </si>
  <si>
    <t>(m3)</t>
  </si>
  <si>
    <t>Waste,</t>
  </si>
  <si>
    <t>hazardous</t>
  </si>
  <si>
    <t>(kg)</t>
  </si>
  <si>
    <t>MKI</t>
  </si>
  <si>
    <t>A1-3</t>
  </si>
  <si>
    <t>B</t>
  </si>
  <si>
    <t>101.</t>
  </si>
  <si>
    <t>102.</t>
  </si>
  <si>
    <t>104.</t>
  </si>
  <si>
    <t>radioactive</t>
  </si>
  <si>
    <t>_SBK Bepalingsmethode, jul 2020 (NMD 3.2) A1+A2 V3.04 / MKI-SBK single-score</t>
  </si>
  <si>
    <t>Impact category</t>
  </si>
  <si>
    <t>Unit</t>
  </si>
  <si>
    <t>kg Sb eq</t>
  </si>
  <si>
    <t>kg CO2 eq</t>
  </si>
  <si>
    <t>kg CFC-11 eq</t>
  </si>
  <si>
    <t>kg C2H4</t>
  </si>
  <si>
    <t>kg SO2 eq</t>
  </si>
  <si>
    <t>kg PO4--- eq</t>
  </si>
  <si>
    <t>kg 1,4-DB eq</t>
  </si>
  <si>
    <t>kg CFC11 eq</t>
  </si>
  <si>
    <t>mol H+ eq</t>
  </si>
  <si>
    <t>kg P eq</t>
  </si>
  <si>
    <t>kg N eq</t>
  </si>
  <si>
    <t>mol N eq</t>
  </si>
  <si>
    <t>kg NMVOC eq</t>
  </si>
  <si>
    <t>m3 depriv.</t>
  </si>
  <si>
    <t>disease inc.</t>
  </si>
  <si>
    <t>kBq U-235 eq</t>
  </si>
  <si>
    <t>CTUe</t>
  </si>
  <si>
    <t>CTUh</t>
  </si>
  <si>
    <t>Pt</t>
  </si>
  <si>
    <t>Materialen</t>
  </si>
  <si>
    <t>0055-fab&amp;ABS (o.b.v. Acrylonitrile-butadiene-styrene copolymer {GLO}| market for | Cut-off, U)</t>
  </si>
  <si>
    <t>0301-fab&amp;Accu, Lithium-ion (o.b.v. Battery, Li-ion, rechargeable, prismatic {GLO}| market for | Cut-off, U; 97,7% primair, 2,3% secundair)</t>
  </si>
  <si>
    <t>0302-fab&amp;Accu, NiMH (o.b.v. Battery, NiMH, rechargeable, prismatic {GLO}| market for | Cut-off, U)</t>
  </si>
  <si>
    <t>0026-fab&amp;Acrylaat/alkydemulsieverf, watergedragen voor buiten  (Verfrichtlijn 2004/42/EC) - onderhoud 1 maal per 10 jaar [VVVF]</t>
  </si>
  <si>
    <t>0402-fab&amp;AEC-bodemas, gewassen (1650 kg/m3), inclusief uitloging gebruiksfase (o.b.v. Vergelijkende LCA AEC-bodemas)</t>
  </si>
  <si>
    <t>0468-fab&amp;Afdruipremmer cellulosevezel; o.b.v. Cellulose fibre, inclusive blowing in {RoW}| production | Cut-off, U (zonder Borax en Boric acid)</t>
  </si>
  <si>
    <t>0029-fab&amp;Alkydharsverf, gemodificeerd, voor buiten INCLUSIEF EMSISSIE OPLOSMIDDEL (voldoet aan Verfrichtlijn 2004/42/EC) - onderhoud 1 maal per 10 jaar [VVVF]</t>
  </si>
  <si>
    <t>0209-fab&amp;Alkydharsverf, standaard, voor buiten INCLUSIEF EMISSIE OPLOSMIDDEL A5 (voldoet aan Verfrichtlijn 2004/42/EC) - onderhoud 1 maal per 6 jaar [VVVF]</t>
  </si>
  <si>
    <t>0025-fab&amp;Alkydharsverf, watergedragen, voor binnen (voldoet aan Arboregel) - onderhoud 1 maal per 8 jaar [VVVF]</t>
  </si>
  <si>
    <t>0074-fab&amp;Akoestische spuitpleister cellulose (o.b.v. oude bron; 8% primair, 92% secundair)</t>
  </si>
  <si>
    <t>0151-fab&amp;Aluminium (o.b.v. Aluminium, cast alloy {GLO}| market for | Cut-off, U; 26% primair, 74% secundair)</t>
  </si>
  <si>
    <t>0418-fab&amp;Aluminium, gietlegering, uit 100% schroot (o.b.v. Alumnium, cast alloy {GLO}| market for | Cut-off, U - gecorrigeerd voor input; 100% secundair)</t>
  </si>
  <si>
    <t>0415-fab&amp;Aluminium, gietlegering, uit 100% schroot, met poedercoating (o.b.v. Aluminium, cast alloy {GLO}| market for | Cut-off, U; 100% secundair + Powder coat, aluminium sheet {RER}| powder coating, aluminium sheet | Cut-off, U)</t>
  </si>
  <si>
    <t>0379-fab&amp;Aluminium, kneedlegering (o.b.v. Aluminium, wrought alloy {GLO}| market for | Cut-off, U; 70% primair, 30% secundair)</t>
  </si>
  <si>
    <t>0018-fab&amp;Aluminium, met poedercoating (o.b.v. Aluminium, cast alloy {GLO}| market for | Cut-off, U; 26% primair, 74% secundair + Powder coat, aluminium sheet {RER}| powder coating, aluminium sheet | Cut-off, U)</t>
  </si>
  <si>
    <t>0446-pro&amp;Aluminium opofferingsanode, per kg (o.b.v. 95,96% primair aluminium, 4% zink en 0,04% indium)</t>
  </si>
  <si>
    <t>0150-fab&amp;Asfalt, AGRAC, asfaltgranulaatcement (o.b.v. Standaard RAW Bepaling en energieverbruik data uit 2000)</t>
  </si>
  <si>
    <t>0422-fab&amp;Asfalt, asfaltbeton, waterbouw (module A1-D; totaalprofiel t.b.v. categorie 3 productkaart) [TNO, 2020]</t>
  </si>
  <si>
    <t>0173-fab&amp;Asfalt, DAB, dicht asfaltbeton, partiële recycling 0%</t>
  </si>
  <si>
    <t>0152-fab&amp;Asfalt, DAB, dicht asfaltbeton, partiële recycling 20%</t>
  </si>
  <si>
    <t>0219-fab&amp;Asfalt, EME, Enrobé à Module Élevé, asfalt met verhoogde stijfheidsmodulus (= "Asfalt, DAB, dicht asfaltbeton, partiële recycling 0%")</t>
  </si>
  <si>
    <t>0421-fab&amp;Asfalt, gietasfalt, waterbouw (module A1-D; totaalprofiel t.b.v. categorie 3 productkaart) [TNO, 2020]</t>
  </si>
  <si>
    <t>0218-fab&amp;Asfalt, LTA, laagtemperatuurasfalt (= gekarakteriseerde effectscores 2008)</t>
  </si>
  <si>
    <t>0153-fab&amp;Asfalt, OAB, open asfaltbeton, 0/16, type 3, partiële recycling 20% (o.b.v. oude bronnen)</t>
  </si>
  <si>
    <t>0420-fab&amp;Asfalt, open steenasfalt, waterbouw (module A1-D; totaalprofiel t.b.v. categorie 3 productkaart) [TNO, 2020]</t>
  </si>
  <si>
    <t>0204-fab&amp;Asfalt, STAB, steenslagasfaltbeton, partiële recycling 0% (o.b.v. 2002 informatie)</t>
  </si>
  <si>
    <t>0154-fab&amp;Asfalt, STAB, steenslagasfaltbeton, partiële recycling 20% (o.b.v. 2002 informatie)</t>
  </si>
  <si>
    <t>0155-fab&amp;Asfalt, STAB, steenslagasfaltbeton, partiële recycling 50% (o.b.v. 2002 informatie)</t>
  </si>
  <si>
    <t>0230-fab&amp;Asfalt, ZOAB, zeer open asfaltbeton (o.b.v. oude, waarschijnlijk 2002, gegevens)</t>
  </si>
  <si>
    <t>0210-fab&amp;Asfalt, SMA, steen- of splitmastiekasfalt, 0/11 (o.b.v. oude bronnen, 2000)</t>
  </si>
  <si>
    <t>0212-fab&amp;Asfaltmastiek</t>
  </si>
  <si>
    <t>0235-fab&amp;Aluminium oxide (o.b.v. Aluminium oxide {GLO}| market for | Cut-off, U)</t>
  </si>
  <si>
    <t>0156-fab&amp;AVI-Bodemas (= 0-waarden; onderbouwd niet gealloceerd)</t>
  </si>
  <si>
    <t>0398-fab&amp;AVI-Bodemas, gewassen (o.b.v. 1 kg drinkwater;  0,005 kWh elektriciteit; 12,5% verlies/niet bruikbaar materiaal)</t>
  </si>
  <si>
    <t>0008-fab&amp;Baksteen, metselbaksteen, straatbaksteen, klinker (o.b.v. Clay brick {GLO}| market for | Cut-off, U)</t>
  </si>
  <si>
    <t>0414-fab&amp;Bamboe, balk, geperste bundels strips (Strand woven bamboo beams [VanderLugt&amp;Vogtlander 2015])</t>
  </si>
  <si>
    <t>0452-fab&amp;Basalt (o.b.v. Basalt {GLO}| market for | Cut-off, U)</t>
  </si>
  <si>
    <t>0380-fab&amp;Bauxiet (o.b.v. Bauxite, without water {GLO}| market for | Cut-off, U)</t>
  </si>
  <si>
    <t>0222-fab&amp;Bentonietmatten</t>
  </si>
  <si>
    <t>0228-fab&amp;Bestortingsmateriaal, werk met werk (= 0-waarden want 'vrij van milieulast')</t>
  </si>
  <si>
    <t>0148-fab&amp;Betonbuis (o.b.v. Concrete roof tile {GLO}| market for | Cut-off, U)</t>
  </si>
  <si>
    <t>0157-fab&amp;Betongranulaat (= 0-waarden want 'vrij van milieulast')</t>
  </si>
  <si>
    <t>0159-fab&amp;Betonmortel C12/15 (o.b.v. CEM I), 2384 kg/m3</t>
  </si>
  <si>
    <t>0160-fab&amp;Betonmortel C12/15 (o.b.v. CEM III), 2351 kg/m3</t>
  </si>
  <si>
    <t>0004-fab&amp;Betonmortel C20/25 (o.b.v. 75% CEM III en 25% CEM I), 2407 kg/m3</t>
  </si>
  <si>
    <t>0162-fab&amp;Betonmortel C20/25 (o.b.v. CEM I), 2407 kg/m3</t>
  </si>
  <si>
    <t>0161-fab&amp;Betonmortel C20/25 (o.b.v. CEM III), 2407 kg/m3</t>
  </si>
  <si>
    <t>0005-fab&amp;Betonmortel C30/37 (o.b.v. 75% CEM III en 25% CEM I), 2395 kg/m3</t>
  </si>
  <si>
    <t>0158-fab&amp;Betonmortel C30/37 (o.b.v. CEM I), 2395 kg/m3</t>
  </si>
  <si>
    <t>0163-fab&amp;Betonmortel C30/37 (o.b.v. CEM III), 2395 kg/m3</t>
  </si>
  <si>
    <t>0164-fab&amp;Betonmortel C35/45 (o.b.v. CEM III), 2440 kg/m3</t>
  </si>
  <si>
    <t>0165-fab&amp;Betonmortel C55/67 (o.b.v. 75% CEM III en 25% CEM I), 2437 kg/m3</t>
  </si>
  <si>
    <t>0483-fab&amp;Betonmortel C60/75 (o.b.v. 50% CEM III en 50% CEM I), 2363 kg/m3</t>
  </si>
  <si>
    <t>0166-fab&amp;Betonmortel C70/85 (o.b.v. 50% CEM I en 50% CEM III), 2455 kg/m3</t>
  </si>
  <si>
    <t>0194-fab&amp;Betonmortel, onderwaterbeton C20/25 (o.b.v. CEM III), 2399 kg/m3</t>
  </si>
  <si>
    <t>0195-fab&amp;Betonmortel, onderwaterbeton C30/37 (o.b.v. CEM III), 2343 kg/m3</t>
  </si>
  <si>
    <t>0484-fab&amp;Betonmortel, onderwaterbeton C20/25 (o.b.v. CEM III / B 42.5 N), 2321 kg/m3, 0% recyclaat</t>
  </si>
  <si>
    <t>0485-fab&amp;Betonmortel, onderwaterbeton C20/25 (o.b.v. CEM III / B 42.5 N), 2304 kg/m3, 30% recyclaat</t>
  </si>
  <si>
    <t>0486-fab&amp;Betonmortel, onderwaterbeton C30/37 (o.b.v. CEM III / B 42.5 N), 2332 kg/m3, 0% recyclaat</t>
  </si>
  <si>
    <t>0487-fab&amp;Betonmortel, onderwaterbeton C30/37 (o.b.v. CEM III / B 42.5 N), 2315 kg/m3, 30% recyclaat</t>
  </si>
  <si>
    <t>0149-fab&amp;Betontegels, straattegels (o.b.v. Concrete roof tile {GLO}| market for | Cut-off, U)</t>
  </si>
  <si>
    <t>0063-fab&amp;Bims (puimsteen, vulkanisch gesteente, heklabims, liparibims, yalibims; o.b.v Pumice {GLO}| market for | Cut-off, U = inclusief 124 km transportmix) ==&gt;OVERIG TRANSPORT TOEVOEGEN OBV HERKOMST</t>
  </si>
  <si>
    <t>0408-fab&amp;Bisfenol A vinylesterhars op epoxybasis (o.b.v. Bisphenol A epoxy based vinyl ester resin {GLO}| market for | Cut-off, U)</t>
  </si>
  <si>
    <t>0169-fab&amp;Bitumen (o.b.v. Bitumen adhesive compound, hot {GLO}| market for | Cut-off, U)</t>
  </si>
  <si>
    <t>0052-fab&amp;Bitumen, APP-gemodificeerd (o.b.v. Bitumen seal, V60 {GLO}| market for | Cut-off, U)</t>
  </si>
  <si>
    <t>0051-fab&amp;Bitumen, SBS-gemodificeerd (o.b.v. Bitumen seal, polymer EP4 flame retardant {GLO}| market for | Cut-off, U)</t>
  </si>
  <si>
    <t>0298-fab&amp;Boomschors (o.b.v. Bark {GLO}| market for | Cut-off, U)</t>
  </si>
  <si>
    <t>0295-fab&amp;Boomzaailing, voor planten, PER STUK (o.b.v. Tree seedling, for planting {GLO}| market for tree seedling | Cut-off, U)</t>
  </si>
  <si>
    <t>0171-fab&amp;Breuksteen, waterbouwsteen (NVLB: A1)</t>
  </si>
  <si>
    <t>0236-fab&amp;Brons (o.b.v. Bronze {GLO}| market for | Cut-off, U)</t>
  </si>
  <si>
    <t>0231-fab&amp;C-fix (= leeg proces)</t>
  </si>
  <si>
    <t>0443-fab&amp;Calciumsilicaatplaat (35% zand, 35% kalksteen, 25% CEM I, 5% papiervezels, productie o.b.v. Gypsumfibreboard {RoW} production)</t>
  </si>
  <si>
    <t>0292-fab&amp;Carboxymethylcellulose, toepassing in colloïdaal beton (o.b.v. Carboxymethyl cellulose, powder {GLO}| market for | Cut-off, U)</t>
  </si>
  <si>
    <t>0006-fab&amp;Cellulair glas (o.b.v. Foam glass {GLO}| market for | Cut-off, U; 19% primair, 81% secundair)</t>
  </si>
  <si>
    <t>0049-fab&amp;Cellulose, inclusief inblazen (o.b.v. Cellulose fibre, inclusive blowing in {GLO}| market for | Cut-off, U)</t>
  </si>
  <si>
    <t>0172-fab&amp;Cement, CEM I (o.b.v. CEM I 52.5 R)</t>
  </si>
  <si>
    <t>0349-fab&amp;Cement, CEM III/A (o.b.v. CEM III/A 52.5 N)</t>
  </si>
  <si>
    <t>0350-fab&amp;Cement, CEM III/B (o.b.v. CEM III/B 42.5 N)</t>
  </si>
  <si>
    <t>0068-fab&amp;Cementmortel, metselspecie (Cement mortar {RoW}| market for cement mortar | Cut-off, U)</t>
  </si>
  <si>
    <t>0041-fab&amp;Cementpleister</t>
  </si>
  <si>
    <t>0407-fab&amp;Chemicaliën, anorganisch (o.b.v. Chemical, inorganic {GLO}| market for chemicals, inorganic | Cut-off, U)</t>
  </si>
  <si>
    <t>0459-fab&amp;Chemicaliën, organisch (o.b.v. Chemical, organic {GLO}| market for | Cut-off, U)</t>
  </si>
  <si>
    <t>0370-fab&amp;Compost (o.b.v. Compost {GLO}| market for | Cut-off, U)</t>
  </si>
  <si>
    <t>0078-fab&amp;Dakpan, beton (o.b.v. Concrete roof tile {GLO}| market for | Cut-off, U)</t>
  </si>
  <si>
    <t>0070-fab&amp;Dakpan, keramisch (o.b.v. Roof tile {GLO}| market for | Cut-off, U)</t>
  </si>
  <si>
    <t>0466-fab&amp;Dicyclopentadieen (o.b.v. Dicyclopentadiene based unsaturated polyester resin {GLO}| market for | Cut-off, U)</t>
  </si>
  <si>
    <t>0057-fab&amp;Elektronica, actieve componenten (o.b.v. Electronic component, active, unspecified {GLO}| market for | Cut-off, U)</t>
  </si>
  <si>
    <t>0303-fab&amp;Elektronica, passieve componenten (o.b.v. Electronic component, passive, unspecified {GLO}| market for | Cut-off, U)</t>
  </si>
  <si>
    <t>0405-fab&amp;Elektronica, printplaat, inclusief elektronische componenten (o.b.v. Printed wiring board, surface mounted, unspecified, Pb free {GLO}| market for | Cut-off, U)</t>
  </si>
  <si>
    <t>0014-fab&amp;EPDM, rubber, chloropreen, neoprene, styrene butadiene rubber - SBR (o.b.v. Synthetic rubber {GLO}| market for | Cut-off, U)</t>
  </si>
  <si>
    <t>0461-fab&amp;Epoxyhars, vloeibaar (o.b.v. Epoxy resin, liquid {RER}| market for epoxy resin, liquid | Cut-off, U)</t>
  </si>
  <si>
    <t>0462-fab&amp;Epoxyhars, vloeibaar (o.b.v. Epoxy resin, liquid {RER}| market for epoxy resin, liquid | Cut-off, U) =0461</t>
  </si>
  <si>
    <t>0042-fab&amp;Fenolschuim, hardschuim (o.b.v. Urea formaldehyde foam, in situ foaming {GLO}| market for | Cut-off, U)</t>
  </si>
  <si>
    <t>0351-fab&amp;Ferrochroom (o.b.v. Ferrochromium, high-carbon, 68% Cr {GLO}| production | Cut-off, U)</t>
  </si>
  <si>
    <t>0352-fab&amp;Ferronikkel (o.b.v. Ferronickel, 25% Ni {GLO}| production | Cut-off, U)</t>
  </si>
  <si>
    <t>0372-fab&amp;Folie, voor o.a. verkeersborden, incl. lamineren, per kg (o.b.v. Laminating service, foil, with acrylic binder {GLO}| market for | Cut-off, U; 0,0014 kg foil per m2)</t>
  </si>
  <si>
    <t>0176-fab&amp;Fosforslakmengsel (NVLB:C) (aangehouden = 0-waarden want 'vrij van milieulast', al is waarschijnlijk sprake van co-productie)</t>
  </si>
  <si>
    <t>0470-fab&amp;Gel Coat (o.b.v. EUCIA LCI data)</t>
  </si>
  <si>
    <t>0220-fab&amp;Gietijzer (o.b.v. Cast iron {GLO}| market for | Cut-off, U; 61,3% primair, 38,7% secundair)</t>
  </si>
  <si>
    <t>0011-fab&amp;Gips, stuc, voor pleisterwerk en gipsplaat (o.b.v. Stucco {GLO}| market for | Cut-off, U; 100% primair, 0% secundair)</t>
  </si>
  <si>
    <t>0020-fab&amp;Gipskartonplaat (o.b.v. Gypsum plasterboard {GLO}| market for | Cut-off, U)</t>
  </si>
  <si>
    <t>0019-fab&amp;Glas, vlakglas (o.b.v. Flat glass, coated {GLO}| market for | Cut-off, U)</t>
  </si>
  <si>
    <t>0374-fab&amp;Glasvezel (o.b.v. Glass fibre {GLO}| market for | Cut-off, U)</t>
  </si>
  <si>
    <t>0465-fab&amp;Glasvezel (o.b.v. Glass fibre {GLO}| market for | Cut-off, U) =374</t>
  </si>
  <si>
    <t>0017-fab&amp;Glaswol (o.b.v. Glass wool mat {GLO}| market for | Cut-off, U; 20% primair, 80% secundair)</t>
  </si>
  <si>
    <t>0293-fab&amp;Graszaad (o.b.v. Grass seed, organic, for sowing {GLO}| market for | Cut-off, U)</t>
  </si>
  <si>
    <t>0221-fab&amp;Gres, gresbuis (bron niet gedateerd; geen ecoinvent proces voorhanden)</t>
  </si>
  <si>
    <t>0193-fab&amp;Grind (o.b.v. Gravel, round {RoW}| market for gravel, round | Cut-off, U)</t>
  </si>
  <si>
    <t>0183-fab&amp;Grond (= 0-waarden want 'vrij van milieulast')</t>
  </si>
  <si>
    <t>0179-fab&amp;Grond, gereinigd  (o.b.v. 1999 data)</t>
  </si>
  <si>
    <t>0190-fab&amp;Grond, licht verontreinigd (= 0-waarden; onderbouwd niet gealloceerd)</t>
  </si>
  <si>
    <t>0184-fab&amp;Grout (o.b.v. 71% Cement, CEM III (CEM III/B) + 29% water; damwandsamenstelling)</t>
  </si>
  <si>
    <t>0038-fab&amp;HDF, high density fibreboard, hardboard (o.b.v. Fibreboard, hard {GLO}| market for | Cut-off, U en 900 kg/m3; 100% primair, 0% secundair)</t>
  </si>
  <si>
    <t>0186-fab&amp;Hoogovenslakmengsel (NVLB: C) (aangehouden = 0-waarden want 'vrij van milieulast', al is waarschijnlijk sprake van co-productie)</t>
  </si>
  <si>
    <t>0453-fab&amp;Hout, Eucalyptus, Cloeziana, uit Zuid-Afrika (o.b.v. Roundwood, eucalyptus ssp. from sustainable forest management, under bark {GLO}| market for | Cut-off, U en 1100 kg/m3 + 13000km zeetransport, 200km treintransport, 200km trucktransport)</t>
  </si>
  <si>
    <t>0027-fab&amp;Hout, Europees hardhout, eiken, kastanje, robinia, western red cedar, gezaagd (o.b.v. Sawnwood, hardwood, raw, dried (u=10%) {RER}| market for | Cut-off, U en 650 kg/m3 + 1500 kg per as)</t>
  </si>
  <si>
    <t>0291-fab&amp;Hout, Europees hardhout, wilg (o.b.v. Wood chips and particles, willow {GLO}| market for | Cut-off, U)</t>
  </si>
  <si>
    <t>0069-fab&amp;Hout, HPL, high pressure laminate, volkern (o.b.v. Particle board, for outdoor use {GLO}| market for | Cut-off, U en 900 kg/m3; 25% primair, 75% secundair)</t>
  </si>
  <si>
    <t>0010-fab&amp;Hout, multiplex, binnentoepassing (o.b.v. Plywood, for indoor use {RER}| market for | Cut-off, U en 500 kg/m3; 100% primair, 0% secundair)</t>
  </si>
  <si>
    <t>0077-fab&amp;Hout, multiplex, buitentoepassing (o.b.v. Plywood, for outdoor use {RER}| market for | Cut-off, U en 500 kg/m3; 100% primair, 0% secundair)</t>
  </si>
  <si>
    <t>0023-fab&amp;Hout, OSB (o.b.v. Oriented strand board {GLO}| market for | Cut-off, U en 600 kg/m3; 100% primair, 0% secundair)</t>
  </si>
  <si>
    <t>0021-fab&amp;Hout, spaanplaat, binnengebruik (o.b.v. Particle board, for indoor use {GLO}| market for | Cut-off, U en 680 kg/m3; 35,1% primair, 64,9% secundair)</t>
  </si>
  <si>
    <t>0071-fab&amp;Hout, resthout, houtafval, houtsnippers, secundair (= 0-waarden want 'vrij van milieulast'; 0% primair, 100% secundair)</t>
  </si>
  <si>
    <t>0201-fab&amp;Hout, rijshout, bleeslatten, staken, wiepen (alleen energieverbruik; o.b.v. zeer oude bronnen)</t>
  </si>
  <si>
    <t>0182-fab&amp;Hout, tropisch hardhout, Afrikaans, gezaagd (o.b.v. Sawnwood, azobe from sustainable forest management, planed, air dried {GLO}| market for | Cut-off, U + 7000 km ocean transport en 1150 kg/m3)</t>
  </si>
  <si>
    <t>0381-fab&amp;Hout, tropisch hardhout, Zuid-Amerikaans, gezaagd (o.b.v. Sawnwood, hardwood, dried (u=10%), planed {RoW}| market for | Cut-off, U en 1000 kg/m3 + 10100 km zeetransport + 350 km per as)</t>
  </si>
  <si>
    <t>0177-fab&amp;Hout, zachthout, gecreosoteerd (o.b.v. Sawnwood, softwood, dried (u=10%) en Wood preservation, pressure vessel, creosote)</t>
  </si>
  <si>
    <t>0180-fab&amp;Hout, zachthout, gewolmaniseerd (o.b.v. Sawnwood, softwood, dried (u=10%) en Wood preservation, oscillating pressure method, inorganic salt, containing Cr)</t>
  </si>
  <si>
    <t>0067-fab&amp;Hout, zachthout, vuren, grenen, lariks, douglas (o.b.v. Sawnwood, softwood, dried (u=10%), planed {RER}| production | Cut-off, U en 1 m3 = 460 kg)</t>
  </si>
  <si>
    <t>0024-fab&amp;Hout, zachthout, vuren, grenen, lariks, douglas, gelamineerd (o.b.v. Glued laminated timber, for indoor use {GLO}| market for | Cut-off, U en 1 m3 = 460 kg; 100% primair, 0% secundair)</t>
  </si>
  <si>
    <t>0039-fab&amp;Houtverduurzamingsmiddel, chroomhoudend (o.b.v. Wood preservative, inorganic salt, containing Cr {GLO}| market for | Cut-off, U)</t>
  </si>
  <si>
    <t>0072-fab&amp;Houtvezelplaat (o.b.v. Fibreboard, soft {GLO}| market for | Cut-off, U en 159 kg/m3; 100% primair, 0% secundair)</t>
  </si>
  <si>
    <t>0040-fab&amp;Houtvezelplaat, houtvezelcementplaat (o.b.v. Particle board, cement bonded {GLO}| market for | Cut-off, U en 1200 kg/m3; 50% primair, 50% secundair)</t>
  </si>
  <si>
    <t>0076-fab&amp;Houtwolcementplaat (o.b.v. Wood wool boards, cement bonded {GLO}| market for | Cut-off, U en 465 kg/m3; 50% primair en 50% secundair)</t>
  </si>
  <si>
    <t>0469-fab&amp;IJzeroxide (o.b.v. Portafer {GLO} | market for| Cut-Off, U)</t>
  </si>
  <si>
    <t>0411-fab&amp;Impregneermiddel voor onbehandeld hard- en zachthout</t>
  </si>
  <si>
    <t>0304-fab&amp;Inverter, 0,5 kW, 93,5% efficiency, per kg (1,6 kg per stuk) (o.b.v. Inverter, 0.5kW {GLO}| market for | Cut-off, U; 66,3% primair, 33,7% secundair)</t>
  </si>
  <si>
    <t>0089-fab&amp;Inverter, 2,5 kW, 93,5% efficiency, per kg (18,5 kg per stuk) (o.b.v. Inverter, 2.5kW {GLO}| market for | Cut-off, U; 63% primair, 37% secundair)</t>
  </si>
  <si>
    <t>0187-fab&amp;Jute, geweven (o.b.v. Textile, jute {GLO}| market for | Cut-off, U)</t>
  </si>
  <si>
    <t>0046-fab&amp;Kalk, geblust, calcium(di)hydroxide, slaked lime, hydrated lime, grondstof voor metselkalk (o.b.v. Lime, hydrated, packed {RER}| market for lime, hydrated, packed | Cut-off, U)</t>
  </si>
  <si>
    <t>0215-fab&amp;kalksteen, kalksteenmeel (o.b.v. Limestone, crushed, washed {RoW}| market for limestone, crushed, washed | Cut-off, U)</t>
  </si>
  <si>
    <t>0034-fab&amp;Keramiek (o.b.v. Ceramic tile {GLO}| market for | Cut-off, U)</t>
  </si>
  <si>
    <t>0016-fab&amp;Kit / lijm, acryl [VLK]</t>
  </si>
  <si>
    <t>0045-fab&amp;Kit / lijm, siliconen [VLK]</t>
  </si>
  <si>
    <t>0033-fab&amp;Kit, hybride (MS/STP/SPUR) [VLK]</t>
  </si>
  <si>
    <t>0188-fab&amp;Klei (o.b.v. Clay {RoW}| market for clay | Cut-off, U)</t>
  </si>
  <si>
    <t>0225-fab&amp;Klei, geëxpandeerd (o.b.v. Expanded clay {GLO}| market for | Cut-off, U)</t>
  </si>
  <si>
    <t>0189-fab&amp;Kokos, matten en vliezen (o.b.v. Coconut husk {GLO}| market for coconut husk | Cut-off, U (= 0-waarden want 'vrij van milieulast') + Weaving + 12500 km oceanic transport)</t>
  </si>
  <si>
    <t>0463-fab&amp;Koolstof, geactiveerd, granulair (o.b.v. Activated carbon, granular {RER}| activated carbon production, granular from hard coal | Cut-off, U)</t>
  </si>
  <si>
    <t>0059-fab&amp;Koper, kathode, voor draad (European mix for cathodes o.b.v. 49% Copper {RER}| production, primary, 9% Copper {RER}| treatment of scrap by electrolytic refining &amp; 42% Copper {GLO}| market for; 79% primair, 21% secundair)</t>
  </si>
  <si>
    <t>0287-fab&amp;Koper, semis, voor plaat en buis (o.b.v. 33% 0059-fab&amp;koper, kathode, 67% Copper {RER}| treatment of scrap by electrolytic refining; 26% primair, 74% secundair)</t>
  </si>
  <si>
    <t>0035-fab&amp;Kunststeen, polyesterbeton (o.b.v. 2005 bron; o.b.v. Sand-lime brick, at plant/DE U, aangepast)</t>
  </si>
  <si>
    <t>0403-fab&amp;Kunststof, gemengd, gerecycled (= 0-waarden want 'vrij van milieulast')</t>
  </si>
  <si>
    <t>0435-fab&amp;Kurk, geexpandeerd (o.b.v. Cork slab {GLO}| market for | Cut-off, U + 2300 km zeetransport)</t>
  </si>
  <si>
    <t>0488-fab&amp;Koelmiddel, glycol (o.b.v. "Diethylene glycol {RER}| ethylene glycol production | Cut-off, U")</t>
  </si>
  <si>
    <t>0489-fab&amp;Koudemiddel-R134a (o.b.v. "Refrigerant R134a {GLO}| market for | Cut-off, U")</t>
  </si>
  <si>
    <t>0050-fab&amp;Latex, acryl (o.b.v. Latex {RER}| market for latex | Cut-off, U)</t>
  </si>
  <si>
    <t>0305-fab&amp;LED (o.b.v. Light emitting diode {GLO}| market for | Cut-off, U; 93,2% primair, 6,8% secundair)</t>
  </si>
  <si>
    <t>0009-fab&amp;Leem, leemstuc (o.b.v. Clay plaster {GLO}| market for | Cut-off, U)</t>
  </si>
  <si>
    <t>0211-fab&amp;Leem, uit werk (= 0-waarden want 'vrij van milieulast')</t>
  </si>
  <si>
    <t>0064-fab&amp;Lijm, epoxy 2 componenten [VLK]</t>
  </si>
  <si>
    <t>0066-fab&amp;Lijm, tegellijm cement [VLK]</t>
  </si>
  <si>
    <t>0037-fab&amp;Lood (o.b.v. Lead {GLO}| market for | Cut-off, U; 45% primair, 55% secundair)</t>
  </si>
  <si>
    <t>0044-fab&amp;MDF (o.b.v. Medium density fibreboard {GLO}| market for | Cut-off, U en 780 kg/m3; 86% primair, 14% secundair)</t>
  </si>
  <si>
    <t>0061-fab&amp;Melaminehars (o.b.v. Melamine formaldehyde resin {RER}| market for melamine formaldehyde resin | Cut-off, U)</t>
  </si>
  <si>
    <t>0191-fab&amp;Menggranulaat, wegenbouw, 0/31,5 (= 0-waarden want 'vrij van milieulast')</t>
  </si>
  <si>
    <t>0056-fab&amp;Messing (o.b.v. Brass {RoW}| production | Cut-off, U)</t>
  </si>
  <si>
    <t>0213-fab&amp;Metaalconserveringssysteem, 'menie', vlgns ISO 12944 - onderhoud 1 maal per 15 jaar [VVVF]</t>
  </si>
  <si>
    <t>0192-fab&amp;Mijnsteen (= 0-waarden; bewust niet gealloceerd?)</t>
  </si>
  <si>
    <t>0232-fab&amp;Natuursteen, graniet, hardsteen (= Natural stone plate, polished {GLO}| market for | Cut-off, U)</t>
  </si>
  <si>
    <t>0449-fab&amp;Olifantsgras, Miscanthus Giganteus, gesneden (o.b.v. Miscanthus, chopped {GLO}| market for | Cut-off, U)</t>
  </si>
  <si>
    <t>0058-fab&amp;Papier/karton (o.b.v. Core board {GLO}| market for | Cut-off, U; 24% primair, 76% secundair)</t>
  </si>
  <si>
    <t>0382-fab&amp;Plastificeerder, t.b.v beton (o.b.v. Plasticiser, for concrete, based on sulfonated melamine formaldehyde {GLO}| market for | Cut-off, U)</t>
  </si>
  <si>
    <t>0196-fab&amp;PMMA, acryl (o.b.v. Polymethyl methacrylate, sheet {GLO}| market for | Cut-off, U)</t>
  </si>
  <si>
    <t>0036-fab&amp;Poedercoating, poederlak, moffellaag (o.b.v. Powder coat, steel {GLO}| market for | Cut-off, U; 1 m2 = 0,1 kg)</t>
  </si>
  <si>
    <t>0015-fab&amp;Polyamide, PA 6, PA 66 (o.b.v. Nylon 6 {GLO}| market for | Cut-off, U)</t>
  </si>
  <si>
    <t>0060-fab&amp;Polybutadieen, butadieen rubber, BR, polybuteen (o.b.v. Polybutadiene {GLO}| market for | Cut-off, U)</t>
  </si>
  <si>
    <t>0030-fab&amp;Polycarbonaat (o.b.v. Polycarbonate {GLO}| market for | Cut-off, U)</t>
  </si>
  <si>
    <t>0197-fab&amp;Polyester, folie, weefsel (o.b.v. Polyester resin, unsaturated {RER}| market for polyester resin, unsaturated | Cut-off, U + Extrusion, plastic film {GLO}| market for | Cut-off, U)</t>
  </si>
  <si>
    <t>0075-fab&amp;Polyester, glasvezelversterkt (o.b.v. Glass fibre reinforced plastic, polyester resin, hand lay-up {GLO}| market for | Cut-off, U)</t>
  </si>
  <si>
    <t>0217-fab&amp;Polyetheen, HDPE, folie, weefsel (o.b.v. Polyethylene, high density, granulate {GLO}| market for | Cut-off, U + Extrusion, plastic film {GLO}| market for | Cut-off, U)</t>
  </si>
  <si>
    <t>0353-fab&amp;Polyetheen, HDPE, granulaat (o.b.v. Polyethylene, high density, granulate {GLO}| market for | Cut-off, U)</t>
  </si>
  <si>
    <t>0354-fab&amp;Polyetheen, HDPE, granulaat, secundaire afkomst (o.b.v. Polyethylene, high density, granulate, recycled {Europe without Switzerland}| polyethylene production, high density, granulate, recycled | Cut-off, U)</t>
  </si>
  <si>
    <t>0185-fab&amp;Polyetheen, HDPE, geëxtrudeerd (o.b.v. Polyethylene, high density, granulate {GLO}| market for | Cut-off, U &amp; Extrusion, plastic pipes {GLO}| market for | Cut-off, U)</t>
  </si>
  <si>
    <t>0012-fab&amp;Polyetheen, LDPE, folie (o.b.v. Packaging film, low density polyethylene {GLO}| market for | Cut-off, U)</t>
  </si>
  <si>
    <t>0216-fab&amp;Polypropeen, PP, folie, weefsel (o.b.v. Polypropylene, granulate {GLO}| market for | Cut-off, U + Extrusion, plastic film {GLO}| market for | Cut-off, U)</t>
  </si>
  <si>
    <t>0234-fab&amp;Polypropeen, PP, geëxtrudeerd (o.b.v. Polypropylene, granulate {GLO}| market for | Cut-off, U + Extrusion, plastic pipes {GLO}| market for | Cut-off, U)</t>
  </si>
  <si>
    <t>0355-fab&amp;Polypropeen, PP, granulaat (o.b.v. Polypropylene, granulate {GLO}| market for | Cut-off, U)</t>
  </si>
  <si>
    <t>0198-fab&amp;Polypropeen, PP, spuitgegoten (o.b.v. Polypropylene, granulate {GLO}| market for | Cut-off, U + Injection moulding {GLO}| market for | Cut-off, U)</t>
  </si>
  <si>
    <t>0223-fab&amp;Polypropeen, PP, vezels, toepassing in beton (o.b.v. Polypropylene, granulate {GLO}| market for | Cut-off, U + Extrusion, plastic film {GLO}| market for | Cut-off, U)</t>
  </si>
  <si>
    <t>0048-fab&amp;Polystyreen (o.b.v. Polystyrene, general purpose {GLO}| market for | Cut-off, U)</t>
  </si>
  <si>
    <t>0007-fab&amp;Polystyreen, EPS (o.b.v. Polystyrene foam slab {GLO}| market for | Cut-off, U; 87% primair, 13% secundair)</t>
  </si>
  <si>
    <t>0383-fab&amp;Polyurethaan coating, natlak conserveringssysteem (verbruik 0,51 kg/m2, uitgaande van 25% overspray en laagdikte 320 µm; Incl. emissie na aanbrengen)</t>
  </si>
  <si>
    <t>0237-fab&amp;Porselein, keramische isolator (o.b.v. Sanitary ceramics {GLO}| market for | Cut-off, U)</t>
  </si>
  <si>
    <t>0460-fab&amp;PUR, flexibel schuim (o.b.v. Polyurethane, flexible foam {RER}| market for polyurethane, flexible foam | Cut-off, U)</t>
  </si>
  <si>
    <t>0032-fab&amp;PUR, hardschuim (o.b.v. Polyurethane, rigid foam {RER}| market for polyurethane, rigid foam | Cut-off, U)</t>
  </si>
  <si>
    <t>0200-fab&amp;PVC, folie (o.b.v. Polyvinylchloride, suspension polymerised {GLO}| market for | Cut-off, U + Extrusion, plastic film {GLO}| market for | Cut-off, U)</t>
  </si>
  <si>
    <t>0199-fab&amp;PVC, geëxtrudeerd (o.b.v. Polyvinylchloride, suspension polymerised {GLO}| market for | Cut-off, U + Extrusion, plastic pipes {GLO}| market for | Cut-off, U)</t>
  </si>
  <si>
    <t>0356-fab&amp;PVC, granulaat (o.b.v. Polyvinylchloride, suspension polymerised {GLO}| market for | Cut-off, U)</t>
  </si>
  <si>
    <t>0031-fab&amp;PVC, kozijn, raam/deur (o.b.v. Window frame, poly vinyl chloride, U=1.6 W/m2K {GLO}| market for | Cut-off, U en 94,5 kg/m2)</t>
  </si>
  <si>
    <t>0053-fab&amp;Riet (o.b.v. Straw, stand-alone production {GLO}| market for | Cut-off, U)</t>
  </si>
  <si>
    <t>0073-fab&amp;Schapenwol, 80% import Australië, 20% NL (o.b.v. Sheep fleece in the grease {GLO}| market for | Cut-off, U + transport; 78% primair, 22% secundair)</t>
  </si>
  <si>
    <t>0226-fab&amp;Schelpen (o.b.v. Sand {GLO}| market for | Cut-off, U)</t>
  </si>
  <si>
    <t>0002-fab&amp;Schuimbeton (o.b.v. info uit 2002 en 1995), 500 kg/m3</t>
  </si>
  <si>
    <t>0306-fab&amp;Siliconen, gemiddelde o.b.v. 2000 producten (o.b.v. Silicone product {RER}| market for silicone product | Cut-off, U)</t>
  </si>
  <si>
    <t>0456-fab&amp;Smeerolie (o.b.v. Lubricating oil {RER}| market for lubricating oil | Cut-off, U)</t>
  </si>
  <si>
    <t>0054-fab&amp;Staal, gemoffeld (o.b.v. 98,6% Steel, unalloyed {GLO}| market for | Cut-off, U, Sheet rolling, steel {GLO}| market for | Cut-off, U + 1,4% Powder coat, steel {GLO}| market for | Cut-off, U)</t>
  </si>
  <si>
    <t>0425-fab&amp;Staal, geleiderail, ter renovatie - free of burden (leeg proces; 0% primair, 100% secundair)</t>
  </si>
  <si>
    <t>0202-fab&amp;Staal, hooggelegeerd, RVS (o.b.v. Steel, chromium steel 18/8 {GLO}| market for | Cut-off, U; 72% primair, 28% secundair)</t>
  </si>
  <si>
    <t>0238-fab&amp;Staal, laaggelegeerd (o.b.v. Steel, low-alloyed {GLO}| market for | Cut-off, U; 57% primair, 43% secundair)</t>
  </si>
  <si>
    <t>0432-fab&amp;Staal, laaggelegeerd (o.b.v. Steel, low-alloyed {RER}| steel production, converter, low-alloyed | Cut-off, U; 87,5% primair, 12,5% secundair)</t>
  </si>
  <si>
    <t>0416-fab&amp;Staal, laaggelegeerd, verzinkt (o.b.v. 98,6% Steel, low-alloyed {GLO}| market for | Cut-off, U + Wire drawing; 1,4% Zinc {GLO}| market for | Cut-off, U + Zinc coat, coils)</t>
  </si>
  <si>
    <t>0431-fab&amp;Staal, mangaanstaal, legering t.b.v. puntstuk in spoorwissel (o.b.v. 85% Iron scrap, sorted {GLO} &amp; 13,9% Ferromanganese, high-coal, 74,5% Mn {GLO})</t>
  </si>
  <si>
    <t>0417-fab&amp;Staal, ongelegeerd, verzinkt (o.b.v. 98,6% Steel, unalloyed {GLO}| market for | Cut-off, U + Hot rolling, steel; 1,4% Zinc {GLO}| market for | Cut-off, U + Zinc coat, coils)</t>
  </si>
  <si>
    <t>0214-fab&amp;Staal, ongelegeerd (o.b.v. Steel, unalloyed {GLO}| market for | Cut-off, U; 78,7% primair, 21,3% secundair)</t>
  </si>
  <si>
    <t>0458-fab&amp;Staal, Spoorstaven 54E1 R260Mn, met 1,7% Mn (o.b.v. Steel, low-alloyed {RER}| steel production, converter, low-alloyed | Cut-off, U)</t>
  </si>
  <si>
    <t>0233-fab&amp;Staal, staalplaat, verzinkt (o.b.v. 98,6% Steel, unalloyed {GLO}| market for | Cut-off, U + Sheet rolling; 0,06 m2 Zinc coat, coils)</t>
  </si>
  <si>
    <t>0167-fab&amp;Staal, wapening, ongelegeerd (betonstaal, wapeningsnet, vezels, voorspanstaal) (o.b.v. 21,5% Steel, unalloyed, 78,5% Steel, low-alloyed &amp; Hot rolling, steel {GLO}| market for | Cut-off, U; 17,8% primair, 82,2% secundair)</t>
  </si>
  <si>
    <t>0318-fab&amp;Staal, warmgewalst, buis- en kokerprofielen {GLO} (86,6% primair, 13,4% secundair)</t>
  </si>
  <si>
    <t>0316-fab&amp;Staal, warmgewalst, constructieprofielen {GLO} (4,2% primair, 95,8% secundair)</t>
  </si>
  <si>
    <t>0317-fab&amp;Staal, warmgewalst, plaat- en bandstaal {GLO} (82,7% primair, 17,3% secundair)</t>
  </si>
  <si>
    <t>0203-fab&amp;Staalslakken (NVLB: C) (aangehouden = 0-waarden want 'vrij van milieulast', al is waarschijnlijk sprake van co-productie)</t>
  </si>
  <si>
    <t>0448-fab&amp;Stampbeton (o.b.v. CEM III; betonketen.nl), 2030 kg/m3</t>
  </si>
  <si>
    <t>0062-fab&amp;Steen, hergebruikt (= 0-waarden want 'vrij van milieulast')</t>
  </si>
  <si>
    <t>0205-fab&amp;Steenslag, groeve (NVLB: A3) (o.b.v. uitsluitend Diesel, burned in building machine {GLO}| processing | Cut-off, U)</t>
  </si>
  <si>
    <t>0013-fab&amp;Steenwol (o.b.v. Stone wool {GLO}| market for stone wool | Cut-off, U)</t>
  </si>
  <si>
    <t>0207-fab&amp;Thermoplast, markering (o.b.v. bron uit 1993)</t>
  </si>
  <si>
    <t>0400-fab&amp;Titaandioxide, pigment, wit (o.b.v. Titanium dioxide {RER}| market for | Cut-off, U)</t>
  </si>
  <si>
    <t>0371-fab&amp;Veen, per kg (o.b.v. 0,01 m3 Peat moss {GLO}| market for | Cut-off, U)</t>
  </si>
  <si>
    <t>0022-fab&amp;Vlas</t>
  </si>
  <si>
    <t>0406-fab&amp;Vulstof, middelsoort+hydroxide SVC (o.b.v. 65% Limestone, crushed, washed en 35% Lime, hydraulic {RER}| market for lime, hydraulic | Cut-off, U)</t>
  </si>
  <si>
    <t>0043-fab&amp;XPS, geëxtrudeerd polystyreen (o.b.v. Polystyrene, extruded {GLO}| market for | Cut-off, U)</t>
  </si>
  <si>
    <t>0170-fab&amp;Zand; brekerzand (uit puinbreker; = 0-waarden want 'vrij van milieulast')</t>
  </si>
  <si>
    <t>0175-fab&amp;Zand, Flugsand (o.b.v. Sand {GLO}| market for | Cut-off, U + 300 km binnenvaart)</t>
  </si>
  <si>
    <t>0168-fab&amp;Zand, industriezand, ophoogzand, betonzand, drainagezand (o.b.v. Sand {GLO}| market for | Cut-off, U)</t>
  </si>
  <si>
    <t>0229-fab&amp;Zand, uit baggerwerk of graafwerk (werk met werk = 0-waarden want 'vrij van milieulast')</t>
  </si>
  <si>
    <t>0224-fab&amp;Zand-bentoniet polymeer (o.b.v. 88% Sand {GLO}| market for | Cut-off, U; 12% Bentonite {GLO}| market for | Cut-off, U)</t>
  </si>
  <si>
    <t>0047-fab&amp;Zandcement (o.b.v. Cement cast plaster floor {GLO}| market for | Cut-off, U)</t>
  </si>
  <si>
    <t>0028-fab&amp;Zink (o.b.v. Zinc {GLO}| market for | Cut-off, U; 100% primair, 0% secundair)</t>
  </si>
  <si>
    <t>0085-fab&amp;Zonnepaneel, PV (fotovoltaïsch), amorf (dunne film), per kg (8,2 kg/m2) (o.b.v. Photovoltaic panel, a-Si {GLO}| market for | Cut-off, U; 54,1% primair, 45,9% secundair)</t>
  </si>
  <si>
    <t>0086-fab&amp;Zonnepaneel, PV (fotovoltaïsch), CIS, per kg (17,5 kg/m2) (o.b.v. Photovoltaic panel, CIS {GLO}| market for | Cut-off, U; 93,6% primair, 6,4% secundair)</t>
  </si>
  <si>
    <t>0087-fab&amp;Zonnepaneel, PV (fotovoltaïsch), monokristallijn, per kg (25 kg/m2) (o.b.v. Photovoltaic panel, single-Si wafer {GLO}| market for | Cut-off, U)</t>
  </si>
  <si>
    <t>0088-fab&amp;Zonnepaneel, PV (fotovoltaïsch), polykristallijn, per kg (25 kg/m2) (o.b.v. Photovoltaic panel, multi-Si wafer {GLO}| market for | Cut-off, U)</t>
  </si>
  <si>
    <t>EOL</t>
  </si>
  <si>
    <t>0464-reC&amp;Reactiveren actief kool (o.b.v. Activated carbon, granular {RER}| treatment of spent activated carbon, granular from hard coal, reactivation | Cut-off, U)</t>
  </si>
  <si>
    <t>0106-pro&amp;Verbranden, overig (o.b.v. Municipal solid waste {NL}| treatment of, incineration | Cut-off, U)</t>
  </si>
  <si>
    <t>0239-sto&amp;Stort aluminium (o.b.v. Waste aluminium {RoW}| treatment of, sanitary landfill | Cut-off, U)</t>
  </si>
  <si>
    <t>0240-sto&amp;Stort beton, cellenbeton (o.b.v. Waste concrete {Europe without Switzerland}| treatment of waste concrete, inert material landfill | Cut-off, U)</t>
  </si>
  <si>
    <t>0241-sto&amp;Stort bitumen (o.b.v. Waste bitumen {Europe without Switzerland}| treatment of waste bitumen, sanitary landfill | Cut-off, U)</t>
  </si>
  <si>
    <t>0242-sto&amp;Stort EPS, XPS (o.b.v. Waste polystyrene {Europe without Switzerland}| treatment of waste polystyrene, sanitary landfill | Cut-off, U)</t>
  </si>
  <si>
    <t>0243-sto&amp;Stort gips (o.b.v. Waste gypsum {Europe without Switzerland}| treatment of waste gypsum, inert material landfill | Cut-off, U)</t>
  </si>
  <si>
    <t>0244-sto&amp;Stort glas (o.b.v. Waste glass {CH}| treatment of, inert material landfill | Cut-off, U)</t>
  </si>
  <si>
    <t>0245-sto&amp;Stort hout, 'schoon' (o.b.v. Waste wood, untreated {Europe without Switzerland}| treatment of waste wood, untreated, sanitary landfill | Cut-off, U)</t>
  </si>
  <si>
    <t>0246-sto&amp;Stort hout, geschilderd (o.b.v. 99% Waste wood, untreated en 1% Waste paint {EU}| treatment of, sanitary landfill | Cut-off, U)</t>
  </si>
  <si>
    <t>0248-sto&amp;Stort koper, lood, verzinkt staal, zink (o.b.v. Scrap tin sheet {CH}| treatment of, sanitary landfill | Cut-off, U, bij gebrek aan passender proces)</t>
  </si>
  <si>
    <t>0249-sto&amp;Stort kunststoffen (o.b.v. mix 21% PE, 21% PP, 17% PVC, 21% PS en 20% mixture)</t>
  </si>
  <si>
    <t>0250-sto&amp;Stort minerale wol (o.b.v. Waste mineral wool, for final disposal {Europe without Switzerland}| treatment of waste mineral wool, inert material landfill | Cut-off, U)</t>
  </si>
  <si>
    <t>0251-sto&amp;Stort PE (o.b.v. Waste polyethylene {Europe without Switzerland}| treatment of waste polyethylene, sanitary landfill | Cut-off, U), ook elastomeren als epdm</t>
  </si>
  <si>
    <t>0252-sto&amp;Stort PVC (o.b.v. Waste polyvinylchloride {Europe without Switzerland}| treatment of waste polyvinylchloride, sanitary landfill | Cut-off, U)</t>
  </si>
  <si>
    <t>0253-sto&amp;Stort staal (o.b.v. Scrap steel {Europe without Switzerland}| treatment of scrap steel, inert material landfill | Cut-off, U)</t>
  </si>
  <si>
    <t>0254-sto&amp;Stort huishoudelijk afval (o.b.v. Municipal solid waste {RoW}| treatment of, sanitary landfill | Cut-off, U)</t>
  </si>
  <si>
    <t>0255-avC&amp;Verbranden aluminium (o.b.v. Scrap aluminium {Europe without Switzerland}| treatment of scrap aluminium, municipal incineration | Cut-off, U)</t>
  </si>
  <si>
    <t>0256-avC&amp;Verbranden glas (o.b.v. Waste glass {Europe without Switzerland}| treatment of waste glass, municipal incineration | Cut-off, U)</t>
  </si>
  <si>
    <t>0257-avC&amp;Verbranden staalschroot (o.b.v. Scrap steel {Europe without Switzerland}| treatment of scrap steel, municipal incineration | Cut-off, U)</t>
  </si>
  <si>
    <t>0258-avC&amp;Verbranden volkern (o.b.v. Waste cement-fibre slab, dismantled {CH}| treatment of waste cement-fibre slab, municipal incineration | Cut-off, U)</t>
  </si>
  <si>
    <t>0259-avC&amp;Verbranden bitumen (30,1 MJ/kg) (o.b.v. Waste bitumen sheet {CH}| treatment of, municipal incineration | Cut-off, U)</t>
  </si>
  <si>
    <t>0260-avC&amp;Verbranden rubber/EPDM (27,2 MJ/kg) (o.b.v. Waste rubber, unspecified {Europe without Switzerland}| treatment of waste rubber, unspecified, municipal incineration | Cut-off, U)</t>
  </si>
  <si>
    <t>0261-avC&amp;Verbranden EPS (32,2 MJ/kg) (o.b.v. Waste expanded polystyrene {CH}| treatment of, municipal incineration | Cut-off, U)</t>
  </si>
  <si>
    <t>0263-avC&amp;Verbranden hout, verontreinigd (13,99 MJ/kg) (o.b.v. Waste building wood, chrome preserved {CH}| treatment of, municipal incineration | Cut-off, U)</t>
  </si>
  <si>
    <t>0264-avC&amp;Verbranden kunststoffen (28,67 MJ/kg) (o.b.v. o.b.v. mix 21% PE, 21% PP, 20% PVC, 17% PS en 21% mixture)</t>
  </si>
  <si>
    <t>0265-avC&amp;Verbranden PVC (21,51 MJ/kg) (o.b.v. Waste polyvinylchloride {CH}| treatment of, municipal incineration | Cut-off, U)</t>
  </si>
  <si>
    <t>0266-avC&amp;Verbranden verf (10,14 MJ/kg) (o.b.v. Waste paint {Europe without Switzerland}| treatment of waste paint, municipal incineration | Cut-off, U)</t>
  </si>
  <si>
    <t>0267-avD&amp;Vermeden energieproductie AVI, o.b.v. FOSSIELE grondstoffen, 18% elektrisch en 31% thermisch (per MJ LHV)</t>
  </si>
  <si>
    <t>0268-avD&amp;Vermeden energieproductie AVI, o.b.v. HERNIEUWBARE grondstoffen, 18% elektrisch en 31% thermisch (per MJ LHV)</t>
  </si>
  <si>
    <t>0269-reD&amp;Module D aluminium, per kg NETTO geleverd schroot (vermeden: Aluminium, cast alloy {GLO}| aluminium ingot, primary, to market | Cut-off, U; Aluminium, cast alloy {RER}| treatment of aluminium scrap, post-consumer, prepared for recycling, at refiner | Cut-off, U)</t>
  </si>
  <si>
    <t>0272-reC&amp;Recycling vlakglas (worst case: Glass cullet, sorted {RER}| treatment of waste glass from unsorted public collection, sorting | Cut-off, U)</t>
  </si>
  <si>
    <t>0273-reD&amp;Module D, vlakglas per kg NETTO geleverd kringloopglas (46% verpakkingsglas-, 45% glaswol- en 8% vlakglastoepassing waar primaire grondstoffen worden vermeden - niet de energie )</t>
  </si>
  <si>
    <t>0274-reD&amp;Module D, glaswol/glasschuim, per kg NETTO geleverd (glaswol/-schuimtoepassing waar primaire grondstoffen worden vermeden - niet de energie)</t>
  </si>
  <si>
    <t>0275-reD&amp;Module D, houten balk, per kg NETTO geleverd (o.b.v. Sawnwood, beam, softwood, dried (u=10%), planed {RoW}| planing, beam, softwood, u=10% | Cut-off, U)</t>
  </si>
  <si>
    <t>0276-reD&amp;Module D, houtspaanders, per kg NETTO geleverd (o.b.v. Wood chips, dry, measured as dry mass {RER}| three layered laminated board production | Cut-off, U)</t>
  </si>
  <si>
    <t>0277-reD&amp;Module D, koper, per kg NETTO geleverd schroot (vermeden: Copper {RER}| production, primary | Cut-off, U)</t>
  </si>
  <si>
    <t>0278-reD&amp;Module D, PE, per kg NETTO geleverd (o.b.v. vermeden Polyethylene, high density, granulate {RER}| production | Cut-off, U en kwaliteitsfactor 0,67)</t>
  </si>
  <si>
    <t>0450-reD&amp;Module D, PP, per kg NETTO geleverd (o.b.v. vermeden Polypropylene, granulate {RER}| production | Cut-off, U en kwaliteitsfactor 0,67)</t>
  </si>
  <si>
    <t>0279-reD&amp;Module D, PVC, per kg NETTO geleverd (o.b.v. vermeden Polyvinylchloride, suspension polymerised {RER}| polyvinylchloride production, suspension polymerisation | Cut-off, U en kwaliteitsfactor 0,67)</t>
  </si>
  <si>
    <t>0280-reD&amp;Module D, zand (o.b.v. Sand {RoW}| gravel and quarry operation | Cut-off, U)</t>
  </si>
  <si>
    <t>0281-reD&amp;Module D, lood, per kg NETTO geleverd schroot (vermeden: Lead {GLO}| primary lead production from concentrate | Cut-off, U)</t>
  </si>
  <si>
    <t>0282-reD&amp;Module D, staal, per kg NETTO geleverd ongelegeerd schroot (World Steel methode obv Steel, low-alloyed {RER&amp;RoW}| steel production, electric, low-alloyed | Cut-off, U  - Steel, unalloyed {RER&amp;RoW}| steel production, converter, unalloyed | Cut-off, U)</t>
  </si>
  <si>
    <t>0283-reD&amp;Module D, zink, per kg NETTO geleverd schroot (vermeden: Zinc {RoW}| primary production from concentrate | Cut-off, U)</t>
  </si>
  <si>
    <t>0478-reD&amp;Module D, Zink uit EAF-stof, per kg NETTO geleverd zink in EAF-stof (door recycling van verzink staal in EAF) (vermeden: Zinc concentrate {GLO}| market for | Cut-off, U en 68% efficientie)</t>
  </si>
  <si>
    <t>0284-reC&amp;Verspanen hout (o.b.v. Wood chipping, industrial residual wood, stationary electric chipper {GLO}| market for | Cut-off, U)</t>
  </si>
  <si>
    <t>0286-reC&amp;verwerking kunststof voor recycling (o.b.v. Waste polyethylene, for recycling, sorted {Europe without Switzerland}| treatment of waste polyethylene, for recycling, unsorted, sorting | Cut-off, U)</t>
  </si>
  <si>
    <t>0294-reC&amp;Composteren, per kg te composteren materiaal (o.b.v. Biowaste {RoW}| treatment of biowaste, industrial composting | Cut-off, U)</t>
  </si>
  <si>
    <t>0297-avC&amp;Verbranden organisch afval (4,29 MJ/kg) (o.b.v. Biowaste {GLO}| treatment of biowaste, municipal incineration | Cut-off, U)</t>
  </si>
  <si>
    <t>0299-sto&amp;Stort verf (o.b.v. Waste paint {Europe without Switzerland}| treatment of waste paint, sanitary landfill | Cut-off, U)</t>
  </si>
  <si>
    <t>0300-sto&amp;Stort PUR (o.b.v. Waste polyurethane {RoW}| treatment of, sanitary landfill | Cut-off, U)</t>
  </si>
  <si>
    <t>0455-sto&amp;Stort PUR, fenolschuim, hardschuim, ongecontroleerd ('laten zitten') (o.b.v. Waste polyurethane {GLO}| treatment of waste polyurethane, unsanitary landfill, moist infiltration class (300mm) | Cut-off, U)</t>
  </si>
  <si>
    <t>0307-avC&amp;Verbranden koperschroot (o.b.v. Scrap copper {RoW}| treatment of, municipal incineration | Cut-off, U)</t>
  </si>
  <si>
    <t>0308-sto&amp;Stort PS, EPS, XPS, ongecontroleerd ('laten zitten') (o.b.v. Waste polystyrene {GLO}| treatment of waste polystyrene, unsanitary landfill, moist infiltration class (300mm) | Cut-off, U)</t>
  </si>
  <si>
    <t>0309-reD&amp;Module D, EPS, per kg NETTO geleverd EPS (o.b.v. vermeden Polystyrene, expandable {RER}| production | Cut-off, U en kwaliteitsfactor 0,9)</t>
  </si>
  <si>
    <t>0310-avC&amp;Verbranden PP (32,78 MJ/kg) (o.b.v. Waste polypropylene {RoW}| treatment of waste polypropylene, municipal incineration | Cut-off, U)</t>
  </si>
  <si>
    <t>0311-avC&amp;Verbranden PE (42,47 MJ/kg) (o.b.v. Waste polyethylene {RoW}| treatment of waste polyethylene, municipal incineration | Cut-off, U)</t>
  </si>
  <si>
    <t>0457-avC&amp;Verbranden minerale olie (45,7 MJ/kg) (o.b.v. Waste mineral oil {Europe without Switzerland}| treatment of waste mineral oil, hazardous waste incineration | Cut-off, U)</t>
  </si>
  <si>
    <t>0312-sto&amp;Stort PP, ongecontroleerd ('laten zitten') (o.b.v. Waste polypropylene {GLO}| treatment of waste polypropylene, unsanitary landfill, moist infiltration class (300mm) | Cut-off, U)</t>
  </si>
  <si>
    <t>0313-sto&amp;Stort PE, ongecontroleerd ('laten zitten') (o.b.v. Waste polyethylene {GLO}| treatment of waste polyethylene, unsanitary landfill, moist infiltration class (300mm) | Cut-off, U)</t>
  </si>
  <si>
    <t>0315-reC&amp;Sorteren en persen oud ijzer (o.b.v. Iron scrap, sorted, pressed {RER}| sorting and pressing of iron scrap | Cut-off, U)</t>
  </si>
  <si>
    <t>0376-reD&amp;Module D, Cement, CEM I, zonder 30% opslag (vermeden: 0172-fab&amp;Cement, CEM I (o.b.v. CEM I 52.5 R))</t>
  </si>
  <si>
    <t>0377-reD&amp;Module D, Cement, CEM III/A, zonder 30% opslag (vermeden: 0349-fab&amp;Cement, CEM III/A (o.b.v. CEM III/A 52.5 N))</t>
  </si>
  <si>
    <t>0378-reD&amp;Module D, Cement, CEM III/B, zonder 30% opslag (vermeden: 0350-fab&amp;Cement, CEM III/B (o.b.v. CEM III/B 42.5 N))</t>
  </si>
  <si>
    <t>0384-reD&amp;Module D, Klei, per kg NETTO geleverd klei (o.b.v. Clay {CH}| clay pit operation | Cut-off, U)</t>
  </si>
  <si>
    <t>0439-reD&amp;Module D, Spoorballast, winning t/m aanleg (A1-A5), per kg (o.b.v. 0205-fab&amp;Steenslag, groeve; Transport; 0095-pro&amp;Diesel, gasolie, gebruik, liter)</t>
  </si>
  <si>
    <t>0440-reD&amp;Module D, LEEG PROCES (0-waarden), voor generiek gebruik</t>
  </si>
  <si>
    <t>0441-reD&amp;Module D, Gips, per kg NETTO geleverd gips (vermeden: Anhydrite rock {RoW}| gypsum quarry operation | Cut-off, U)</t>
  </si>
  <si>
    <t>0442-reD&amp;Module D, Basalt, per kg NETTO vermeden basalt - steenwol vermijdt 70% basalt (vermeden: Basalt {RER}| quarry operation | Cut-off, U)</t>
  </si>
  <si>
    <t>0444-reD&amp;Module D, EPDM, rubber, chloropreen, neoprene, styreen butadieen rubber - SBR, per kg NETTO geleverd rubber (o.b.v. vermeden Synthetic rubber {RER}| production | Cut-off, U en kwaliteitsfactor 0,67)</t>
  </si>
  <si>
    <t>0479-reC&amp;Thermisch reinigen, grond, per kg</t>
  </si>
  <si>
    <t>0480-reC&amp;Thermisch reinigen, teerhoudend asfalt, per kg</t>
  </si>
  <si>
    <t>0482-reD&amp;Module D, bims, per kg NETTO geleverd bims (o.b.v. Pumice {RoW}| quarry operation | Cut-off, U)</t>
  </si>
  <si>
    <t>Processen</t>
  </si>
  <si>
    <t>0409-pro&amp;Afvaldiensten, transport, diesel, per tkm</t>
  </si>
  <si>
    <t>0410-pro&amp;Afvaldiensten, transport, diesel, emissies, per tkm</t>
  </si>
  <si>
    <t>0481-pro&amp;Afvaldiensten, transport, elektrisch, per tkm</t>
  </si>
  <si>
    <t>0116-pro&amp;Afwerkmachine asfalt (o.b.v. 502 MJ Diesel, burned in building machine {GLO}| market for | Cut-off, U)</t>
  </si>
  <si>
    <t>0091-pro&amp;Aggregaat, diesel 200-400 KVA, per uur (o.b.v. 2140 MJ Diesel, burned in building machine {GLO}| market for | Cut-off, U)</t>
  </si>
  <si>
    <t>0094-pro&amp;Asfaltauto 16-25 ton; 240 kW; PER UUR (o.b.v. 806 MJ Diesel, burned in building machine {GLO}| processing | Cut-off, U)</t>
  </si>
  <si>
    <t>0110-pro&amp;Asfaltauto 34 ton; 270 kW; PER UUR (o.b.v. 906 MJ Diesel, burned in building machine {GLO}| processing | Cut-off, U)</t>
  </si>
  <si>
    <t>0146-pro&amp;Backhoe, per uur (o.b.v. 288 MJ Diesel, burned in building machine {GLO}| market for | Cut-off, U)</t>
  </si>
  <si>
    <t>0419-pro&amp;Beitsen, staal (o.b.v. Pickling, steel {RER} | Cut-off, U)</t>
  </si>
  <si>
    <t>0208-fab&amp;Bekisting, traditioneel, hout (o.b.v. bronnen uit 1991 en 2002; o.b.v. Sawnwood, softwood, raw, dried (u=10%) {RER}| market for | Cut-off, U)</t>
  </si>
  <si>
    <t>0206-fab&amp;Bekisting, tunnelbekisting (alleen propaangebruik; o.b.v. bron 2002), 50 cm per m2</t>
  </si>
  <si>
    <t>0102-pro&amp;Benzine, gebruik, per km (o.b.v. Transport, passenger car, medium size, petrol, EURO 4 {RER} | Alloc Rec, U; AANGEPAST)</t>
  </si>
  <si>
    <t>0364-pro&amp;Benzine, verbranding in generator, 10MW (o.b.v. Diesel, burned in diesel-electric generating set, 10MW {GLO}| diesel, burned in diesel-electric generating set, 10MW | Cut-off, U)</t>
  </si>
  <si>
    <t>0365-pro&amp;Benzine, verbranding in generator, 18,5 kW (o.b.v. Diesel, burned in diesel-electric generating set, 18.5kW {GLO}| diesel, burned in diesel-electric generating set, 18.5kW | Cut-off, U)</t>
  </si>
  <si>
    <t>0099-pro&amp;Betonpomp, incl. voertuig, per m3 (o.b.v. data uit 1995; gemiddelde van giekpomp, leidingpomp en mixerpomp)</t>
  </si>
  <si>
    <t>0093-pro&amp;Bulldozer, 12-35 t, droog/nat, per uur (o.b.v. 705 MJ Diesel, burned in building machine {GLO}| market for | Cut-off, U)</t>
  </si>
  <si>
    <t>0107-pro&amp;Compressor, diesel, 3.5-10.0 m3/min, per uur (o.b.v. 13,5 l Diesel, gasolie, gebruik, liter (o.b.v. 35,8 MJ Diesel, burned in building machine {GLO}| processing | Cut-off, U))</t>
  </si>
  <si>
    <t>0108-pro&amp;Cutterzuiger 350-600 mm zuigbuis, per uur (o.b.v. 178,5 l Diesel, gasolie, gebruik, liter (o.b.v. 35,8 MJ Diesel, burned in building machine {GLO}| processing | Cut-off, U))</t>
  </si>
  <si>
    <t>0366-pro&amp;Diesel, verbranding in generator, 10MW (o.b.v. Diesel, burned in diesel-electric generating set, 10MW {GLO}| diesel, burned in diesel-electric generating set, 10MW | Cut-off, U)</t>
  </si>
  <si>
    <t>0367-pro&amp;Diesel, verbranding in generator, 18,5 kW (o.b.v. Diesel, burned in diesel-electric generating set, 18.5kW {GLO}| diesel, burned in diesel-electric generating set, 18.5kW | Cut-off, U)</t>
  </si>
  <si>
    <t>0147-pro&amp;Draad trekken, koper (o.b.v. Wire drawing, copper {GLO}| market for | Cut-off, U)</t>
  </si>
  <si>
    <t>0105-pro&amp;Dragline, 5-8 m lg, per uur (o.b.v. Kraan hydr.tele. band (gemiddeld))</t>
  </si>
  <si>
    <t>0117-pro&amp;Drukspuit voor aanbrengen verflagen (energieverbruik en emissies, per m2; oude bron &lt;2003)</t>
  </si>
  <si>
    <t>0104-pro&amp;Dumper 20-35 ton laadvermogen (o.b.v. 1 tkm Transport, freight, lorry, unspecified {GLO}| market group for | Cut-off, U)</t>
  </si>
  <si>
    <t>0490-pro&amp;Explosieven, gebruik, Tovex (o.b.v. Blasting {RER}| processing | Cut-off, U)</t>
  </si>
  <si>
    <t>0427-pro&amp;Extruderen, aluminium (o.b.v. Impact extrusion of aluminium, 2 strokes {GLO}| market for | Cut-off, U)</t>
  </si>
  <si>
    <t>0428-pro&amp;Extruderen, aluminium, staven (o.b.v. Section bar extrusion, aluminium {GLO}| market for | Cut-off, U)</t>
  </si>
  <si>
    <t>0357-pro&amp;Extruderen, kunststof, buizen (exclusief kunststof) (o.b.v. Extrusion, plastic pipes {GLO}| market for | Cut-off, U; "1 kg of this process equals 0.996 kg of extruded plastic pipes.")</t>
  </si>
  <si>
    <t>0358-pro&amp;Extruderen, kunststof, folie (exclusief kunststof) (o.b.v. Extrusion, plastic film {GLO}| market for | Cut-off, U; "1 kg of this process equals 0.976 kg of extruded plastic film.")</t>
  </si>
  <si>
    <t>0375-pro&amp;Extruderen, kunststof (exclusief kunststof) (o.b.v. Extrusion, co-extrusion {GLO}| market for | Cut-off, U; "1 kg of this process equals 0.969 kg / kg of raw material input.")</t>
  </si>
  <si>
    <t>0423-pro&amp;Extruderen, staal (o.b.v. Impact extrusion of steel, cold, 3 strokes {GLO}| market for | Cut-off, U)</t>
  </si>
  <si>
    <t>0115-pro&amp;Graafmachine, per uur (o.b.v. 572 MJ Diesel, burned in building machine {GLO}| market for | Cut-off, U)</t>
  </si>
  <si>
    <t>0112-pro&amp;Grader, per uur (o.b.v. 649 MJ Diesel, burned in building machine {GLO}| market for | Cut-off, U)</t>
  </si>
  <si>
    <t>0401-pro&amp;Harden, vlakglas (o.b.v. Tempering, flat glass {GLO}| market for | Cut-off, U)</t>
  </si>
  <si>
    <t>0122-pro&amp;Heiblok, diesel, per uur (o.b.v. 283 kWh Diesel, burned in building machine {GLO}| market for | Cut-off, U)</t>
  </si>
  <si>
    <t>0118-pro&amp;Heistelling, mob.rups. 300-500kN, palentrilset, per uur (o.b.v. 199 kWh Diesel, burned in building machine {GLO}| market for | Cut-off, U)</t>
  </si>
  <si>
    <t>0288-pro&amp;Houtverduurzaming, vacuümmethode zonder chroom (o.b.v. Wood preservation, vacuum pressure method, organic salts, Cr-free, outdoor use, ground contact {GLO}| market for | Cut-off, U)</t>
  </si>
  <si>
    <t>0119-pro&amp;Hulpmachine asfalt (= 0-waarden; zonder bronvermelding)</t>
  </si>
  <si>
    <t>0471-pro&amp;HVO, pre Tier I, totaal A1-D, per kg HVO (o.b.v. TNO Scheepsbrandstoffen, 2021)</t>
  </si>
  <si>
    <t>0472-pro&amp;HVO, pre Tier I, totaal A1-D + SCR (Tier III), per kg HVO (o.b.v. TNO Scheepsbrandstoffen, 2021)</t>
  </si>
  <si>
    <t>0473-pro&amp;HVO, Tier II, totaal A1-D, per kg HVO (o.b.v. TNO Scheepsbrandstoffen, 2021)</t>
  </si>
  <si>
    <t>0144-pro&amp;Hydraulisch transport zand (o.b.v. 52,3 MJ Diesel, burned in building machine {GLO}| market for | Cut-off, U)</t>
  </si>
  <si>
    <t>0125-pro&amp;Hydraulisch trilblok, per vermogen, per uur (o.b.v. 2,2 kWh Diesel, burned in building machine {GLO}| market for | Cut-off, U)</t>
  </si>
  <si>
    <t>0120-pro&amp;Koudfrees, per kg (o.b.v. 0,0357 MJ Diesel, burned in building machine {GLO}| market for | Cut-off, U; bron uit 1993)</t>
  </si>
  <si>
    <t>0140-pro&amp;Lassen, staal, arc, per meter (o.b.v. Welding, arc, steel {GLO}| market for | Cut-off, U)</t>
  </si>
  <si>
    <t>0474-pro&amp;LNG, dual-fuel (80% LNG 20% MGO), totaal A1-D, per 0,8 kg LNG en 0,2 kg MGO (o.b.v. TNO Scheepsbrandstoffen, 2021)</t>
  </si>
  <si>
    <t>0123-pro&amp;Materieel voor aanbrengen thermoplastische markeringen, per uur (o.b.v. bron uit 1993)</t>
  </si>
  <si>
    <t>0436-pro&amp;Metaalbewerking (o.b.v. Energy and auxilliary inputs, metal working machine {RER}| market for energy and auxilliary inputs, metal working machine | Cut-off, U)</t>
  </si>
  <si>
    <t>0126-pro&amp;Methaliseren, thermisch gespoten aluminium, 350 µm</t>
  </si>
  <si>
    <t>0475-pro&amp;MGO, pre Tier I, totaal A1-D, per kg MGO (o.b.v. TNO Scheepsbrandstoffen, 2021)</t>
  </si>
  <si>
    <t>0476-pro&amp;MGO, pre Tier I, totaal A1-D + SCR (Tier III), per kg MGO (o.b.v. TNO Scheepsbrandstoffen, 2021)</t>
  </si>
  <si>
    <t>0477-pro&amp;MGO, Tier II, totaal A1-D, per kg MGO (o.b.v. TNO Scheepsbrandstoffen, 2021)</t>
  </si>
  <si>
    <t>0145-pro&amp;Multicat 520 kW, per uur (o.b.v. 2,38E3 MJ/uur Diesel, burned in building machine {GLO}| market for | Cut-off, U)</t>
  </si>
  <si>
    <t>0127-pro&amp;Persleiding wal (o.b.v. 7,15E-5 Diesel, burned in building machine {GLO}| market for | Cut-off, U)</t>
  </si>
  <si>
    <t>0385-pro&amp;Personen-vervoer, elektrisch (o.b.v. Transport, passenger car, electric {GLO}| market for | Cut-off, U)</t>
  </si>
  <si>
    <t>0386-pro&amp;Personen-vervoer, Klein, EURO4, benzine (o.b.v. Transport, passenger car, small size, petrol, EURO 4 {RER}| transport, passenger car, small size, petrol, EURO 4 | Cut-off, U)</t>
  </si>
  <si>
    <t>0387-pro&amp;Personen-vervoer, Klein, EURO4, diesel (o.b.v. Transport, passenger car, small size, diesel, EURO 4 {RER}| transport, passenger car, small size, diesel, EURO 4 | Cut-off, U)</t>
  </si>
  <si>
    <t>0388-pro&amp;Personen-vervoer, Klein, EURO5, benzine (o.b.v. Transport, passenger car, small size, petrol, EURO 5 {RER}| transport, passenger car, small size, petrol, EURO 5 | Cut-off, U)</t>
  </si>
  <si>
    <t>0389-pro&amp;Personen-vervoer, Klein, EURO5, diesel (o.b.v. Transport, passenger car, small size, diesel, EURO 5 {RER}| transport, passenger car, small size, diesel, EURO 5 | Cut-off, U)</t>
  </si>
  <si>
    <t>0390-pro&amp;Personen-vervoer, Middelgroot, EURO4, benzine (o.b.v. Transport, passenger car, medium size, petrol, EURO 4 {RER}| transport, passenger car, medium size, petrol, EURO 4 | Cut-off, U)</t>
  </si>
  <si>
    <t>0391-pro&amp;Personen-vervoer, Middelgroot, EURO4, diesel (o.b.v. Transport, passenger car, medium size, diesel, EURO 4 {RER}| transport, passenger car, medium size, diesel, EURO 4 | Cut-off, U)</t>
  </si>
  <si>
    <t>0392-pro&amp;Personen-vervoer, Middelgroot, EURO5, benzine (o.b.v. Transport, passenger car, medium size, petrol, EURO 5 {RER}| transport, passenger car, medium size, petrol, EURO 5 | Cut-off, U)</t>
  </si>
  <si>
    <t>0393-pro&amp;Personen-vervoer, Middelgroot, EURO5, diesel (o.b.v. Transport, passenger car, medium size, diesel, EURO 5 {RER}| transport, passenger car, medium size, diesel, EURO 5 | Cut-off, U)</t>
  </si>
  <si>
    <t>0394-pro&amp;Personen-vervoer, Groot / bestelbus, EURO4, benzine (o.b.v. Transport, passenger car, large size, petrol, EURO 4 {RER}| transport, passenger car, large size, petrol, EURO 4 | Cut-off, U)</t>
  </si>
  <si>
    <t>0395-pro&amp;Personen-vervoer, Groot / bestelbus, EURO4, diesel (o.b.v. Transport, passenger car, large size, diesel, EURO 4 {RER}| transport, passenger car, large size, diesel, EURO 4 | Cut-off, U)</t>
  </si>
  <si>
    <t>0396-pro&amp;Personen-vervoer, Groot / bestelbus, EURO5, benzine (o.b.v. Transport, passenger car, large size, petrol, EURO 5 {RER}| transport, passenger car, large size, petrol, EURO 5 | Cut-off, U)</t>
  </si>
  <si>
    <t>0397-pro&amp;Personen-vervoer, Groot / bestelbus, EURO5, diesel (o.b.v. Transport, passenger car, large size, diesel, EURO 5 {RER}| transport, passenger car, large size, diesel, EURO 5 | Cut-off, U)</t>
  </si>
  <si>
    <t>0128-pro&amp;Pomp, centrifugaal, diesel 4-15 kW, per uur (o.b.v. 43,5 MJ Diesel, burned in building machine {GLO}| market for | Cut-off, U)</t>
  </si>
  <si>
    <t>0129-pro&amp;Ponton, per uur (=LEEG PROCES)</t>
  </si>
  <si>
    <t>0434-pro&amp;Propaan, gebruik, per MJ (o.b.v. Propane, burned in building machine {GLO}| market for | Cut-off, U)</t>
  </si>
  <si>
    <t>0101-pro&amp;Sleephopperzuiger, 2000-6000 ton (5000 m3), per uur (o.b.v. 255 l Diesel, gasolie, gebruik, liter (o.b.v. 35,8 MJ Diesel, burned in building machine {GLO}| processing | Cut-off, U))</t>
  </si>
  <si>
    <t>0092-pro&amp;Sleephopperzuiger, 6000-10000 ton (10000 m3), per uur (o.b.v. 675 l Diesel, gasolie, gebruik, liter (o.b.v. 35,8 MJ Diesel, burned in building machine {GLO}| processing | Cut-off, U))</t>
  </si>
  <si>
    <t>0143-pro&amp;Slipform paver, per uur (o.b.v. 1230 MJ Diesel, burned in building machine {GLO}| market for | Cut-off, U)</t>
  </si>
  <si>
    <t>0131-pro&amp;Sloophamer, hydr.aanb., 600-1900 kg, per uur (o.b.v. 1800 MJ Diesel, burned in building machine {GLO}| market for | Cut-off, U)</t>
  </si>
  <si>
    <t>0361-pro&amp;Smeden (o.b.v. Forging, steel {GLO}| market for | Cut-off, U)</t>
  </si>
  <si>
    <t>0096-pro&amp;Sproeiwagen, 4000 l, per uur (o.b.v. 108 MJ Diesel, burned in building machine {GLO}| market for | Cut-off, U)</t>
  </si>
  <si>
    <t>0359-pro&amp;Spuitgieten, kunststof (exclusief kunststof) (o.b.v. Injection moulding {GLO}| market for | Cut-off, U; "1 kg of this process equals 0.994 kg of injection moulded plastics")</t>
  </si>
  <si>
    <t>0132-pro&amp;Tractor verm. 40-110 kW; 4%4, per uur (o.b.v. 343 MJ Diesel, burned in building machine {GLO}| market for | Cut-off, U)</t>
  </si>
  <si>
    <t>0097-pro&amp;Transport, bedrijfswagen, per uur (o.b.v. 75 km Transport, passenger car, medium size, diesel, EURO 5 {GLO}| market for | Cut-off, U)</t>
  </si>
  <si>
    <t>0141-pro&amp;Transport, vrachtwagen+kraan ==&gt;VERWIJST O.B.V. 2002 BRON UITSLUITEND NAAR TRANSPORT (Transport, freight, lorry, unspecified {GLO}| market group for | Cut-off, U)</t>
  </si>
  <si>
    <t>0100-pro&amp;Truckmixer, per uur (o.b.v. Diesel, burned in building machine {GLO}| market for | Cut-off, U; 2009) HOEVEELHEID = ONNAVOLGBAAR</t>
  </si>
  <si>
    <t>0412-pro&amp;Veegwagen, licht (114 kW) (o.b.v. 104 MJ Diesel, burned in building machine {GLO}| market for | Cut-off, U)</t>
  </si>
  <si>
    <t>0413-pro&amp;Veegwagen, licht, elektrisch (o.b.v. 6 kWh Electricity, low voltage {NL}| market for | Cut-off, U &amp; 0,0027 kg Battery, Li-ion, rechargeable)</t>
  </si>
  <si>
    <t>0113-pro&amp;Verdichten beton, trilnaald, per ton (o.b.v. 0,33 kWh/m3 Electricity, low voltage {NL}| market for | Cut-off, U; data uit 1995)</t>
  </si>
  <si>
    <t>0134-pro&amp;Verdichten beton, trilplaat, 250-700 kg, per uur (o.b.v. 6 kWh Diesel, burned in building machine {GLO}| market for | Cut-off, U)</t>
  </si>
  <si>
    <t>0296-pro&amp;Verspanen, hout, elektrisch, per kg (o.b.v. Wood chipping, industrial residual wood, stationary electric chipper {RER}| processing | Cut-off, U)</t>
  </si>
  <si>
    <t>0314-pro&amp;Verzinken, per m2, incl. zink (o.b.v. 1 m2 Zinc coat, coils {GLO}| market for | Cut-off, U) ("zinc coating layer is between 20 to 45 um thick")</t>
  </si>
  <si>
    <t>0445-pro&amp;Verzinken, stuks, per m2, incl. zink (o.b.v. 1 m2 Zinc coat, pieces {GLO}| market for | Cut-off, U) ("zinc coating layer is 65 µm thick")</t>
  </si>
  <si>
    <t>0424-pro&amp;Verzinken, stuks, aanpassing per µm per m2, incl. zink (o.b.v. Zinc coat, pieces, adjustment per micro-m {GLO}| market for | Cut-off, U) ("This module is applicable if the coating layer is thicker than the one given for "zinc coating, pieces")</t>
  </si>
  <si>
    <t>0098-pro&amp;Vrachtwagen 25-28t; 240 kW; PER UUR (o.b.v. 806 MJ Diesel, burned in building machine {GLO}| processing | Cut-off, U)</t>
  </si>
  <si>
    <t>0135-pro&amp;Vrachtwagen, reiniging - veeg/zuig, 6-8 m3, per uur (o.b.v. 806 MJ Diesel, burned in building machine {GLO}| processing | Cut-off, U)</t>
  </si>
  <si>
    <t>0136-pro&amp;Wals, per m2 (o.b.v 0,80 MJ Diesel, burned in building machine {GLO}| market for | Cut-off, U; data uit 2000)</t>
  </si>
  <si>
    <t>0426-pro&amp;Walsen, aluminium (o.b.v. Sheet rolling, aluminium {GLO}| market for | Cut-off, U)</t>
  </si>
  <si>
    <t>0360-pro&amp;Walsen, RVS (chroomstaal) (o.b.v. Sheet rolling, chromium steel {GLO}| market for | Cut-off, U)</t>
  </si>
  <si>
    <t>0433-pro&amp;Walsen, staal, warmwalsen (o.b.v. Hot rolling, steel {RER}| processing | Cut-off, U)</t>
  </si>
  <si>
    <t>0137-pro&amp;Werkvlet  175-280 kW (o.b.v. 21,3 MJ Diesel, burned in building machine {GLO}| market for | Cut-off, U)</t>
  </si>
  <si>
    <t>0138-pro&amp;Werkvlet  360-590 kW (o.b.v. 44,4 MJ Diesel, burned in building machine {GLO}| market for | Cut-off, U)</t>
  </si>
  <si>
    <t>0139-pro&amp;Wiellader, voor grond en zandwerk, per uur (o.b.v. 473 MJ Diesel, burned in building machine {GLO}| market for | Cut-off, U)</t>
  </si>
  <si>
    <t>0362-pro&amp;Zagen, hout, benzinemotor, per uur (o.b.v. Power sawing, with catalytic converter {GLO}| market for | Cut-off, U)</t>
  </si>
  <si>
    <t>0330-pro&amp;MDO-verbruik, Baggerschip, per kg (o.b.v. TNO/RWS Scheepsbrandstoffen, Marine Diesel Oil, 42 MJ/kg, c2)</t>
  </si>
  <si>
    <t>0331-pro&amp;Bio-LNG-verbruik, Baggerschip, per kg (o.b.v. TNO/RWS Scheepsbrandstoffen, Bio-Liquefied Natural Gas, 49 MJ/kg, c2)</t>
  </si>
  <si>
    <t>0332-pro&amp;GTL-verbruik, Baggerschip, per kg (o.b.v. TNO/RWS Scheepsbrandstoffen, Gas-to-Liquid, 43 MJ/kg, c2)</t>
  </si>
  <si>
    <t>0333-pro&amp;Waterstof-verbruik, Baggerschip, per kg (o.b.v. TNO/RWS Scheepsbrandstoffen, Hydrogen, 120 MJ/kg, c2)</t>
  </si>
  <si>
    <t>0334-pro&amp;HFO-verbruik, Baggerschip, per kg (o.b.v. TNO/RWS Scheepsbrandstoffen, Heavy Fuel Oil, 41 MJ/kg, c2)</t>
  </si>
  <si>
    <t>0347-pro&amp;LNG-verbruik, Baggerschip, per kg (o.b.v. TNO/RWS Scheepsbrandstoffen, Liquefied Natural Gas, 49 MJ/kg, c2)</t>
  </si>
  <si>
    <t>0348-pro&amp;HVO-verbruik, Baggerschip, per kg (o.b.v. TNO/RWS Scheepsbrandstoffen, Hydrotreated Vegetable Oil, 44 MJ/kg, c2)</t>
  </si>
  <si>
    <t>0467-pro&amp;Resin Infusion (o.b.v. LCI data uit EUCIA database)</t>
  </si>
  <si>
    <t>0133-tra&amp;Transport, vrachttrein (o.b.v. Transport, freight train {Europe without Switzerland}| market for | Cut-off, U)</t>
  </si>
  <si>
    <t>0103-tra&amp;Transport, vrachtschip, binnenvaart (o.b.v. Transport, freight, inland waterways, barge {GLO}| market group for transport, freight, inland waterways, barge | Cut-off, U)</t>
  </si>
  <si>
    <t>0290-tra&amp;Transport, vrachtschip, zee (o.b.v. Transport, freight, sea, transoceanic ship {GLO}| market for | Cut-off, U)</t>
  </si>
  <si>
    <t>0319-tra&amp;Transport, vrachtwagen (&gt;32 ton), euro 4, diesel (o.b.v. Transport, freight, lorry &gt;32 metric ton, EURO4 {RER}| transport, freight, lorry &gt;32 metric ton, EURO4 | Cut-off, U)</t>
  </si>
  <si>
    <t>0320-tra&amp;Transport, vrachtwagen (&gt;32 ton), euro 5, diesel, per tkm (o.b.v. Vrachtwagen (&gt;32 ton), euro 5, diesel, per liter, c2)</t>
  </si>
  <si>
    <t>0321-tra&amp;Transport, vrachtwagen (&gt;32 ton), euro 5, 100% biodiesel, per tkm (o.b.v. Vrachtwagen (&gt;32 ton), euro 5, ongemixte biodiesel, per liter, c2)</t>
  </si>
  <si>
    <t>0322-tra&amp;Transport, vrachtwagen (&gt;32 ton), euro 5, GTL, per tkm (o.b.v. Vrachtwagen (&gt;32 ton), euro 5, GTL, per liter, c2)</t>
  </si>
  <si>
    <t>0323-tra&amp;Transport, vrachtwagen (&gt;32 ton), euro 5, 100% HVO, per tkm (o.b.v. Vrachtwagen (&gt;32 ton), euro 5, ongemixte HVO, per liter, c2)</t>
  </si>
  <si>
    <t>0324-tra&amp;Transport, vrachtwagen (&gt;32 ton), euro 6, diesel, per tkm (o.b.v. Vrachtwagen (&gt;32 ton), euro 6, diesel, per liter, c2)</t>
  </si>
  <si>
    <t>0325-tra&amp;Transport, vrachtwagen (&gt;32 ton), euro 6, 100% biodiesel, per tkm (o.b.v. Vrachtwagen (&gt;32 ton), euro 6, ongemixte biodiesel, per liter, c2)</t>
  </si>
  <si>
    <t>0326-tra&amp;Transport, vrachtwagen (&gt;32 ton), euro 6, GTL, per tkm (o.b.v. Vrachtwagen (&gt;32 ton), euro 6, GTL, per liter, c2)</t>
  </si>
  <si>
    <t>0327-tra&amp;Transport, vrachtwagen (&gt;32 ton), euro 6, 100% HVO, per tkm (o.b.v. Vrachtwagen (&gt;32 ton), euro 6, ongemixte HVO, per liter, c2)</t>
  </si>
  <si>
    <t>0328-tra&amp;Transport, vrachttrein, diesel (o.b.v. Transport, freight train {Europe without Switzerland}| diesel | Cut-off, U)</t>
  </si>
  <si>
    <t>0329-tra&amp;Transport, vrachttrein, elektrisch (o.b.v. Transport, freight train {Europe without Switzerland}| electricity | Cut-off, U)</t>
  </si>
  <si>
    <t>0363-tra&amp;Transport, vrachtwagen, waterstof (o.b.v. Transport, freight, lorry &gt;32 metric ton, EURO5 {RER}| transport, freight, lorry &gt;32 metric ton, EURO5 | Cut-off, U)</t>
  </si>
  <si>
    <t>0404-tra&amp;Transport, vrachtschip, BULK DROOG (IN VOLGENDE VERSIE obv ecoinvent 3.6), zee (o.b.v. Transport, freight, sea, transoceanic ship {GLO}| market for | Cut-off, U)</t>
  </si>
  <si>
    <t>Emissies</t>
  </si>
  <si>
    <t>0399-emi&amp;IJzer, 100% emissie naar water, per kg</t>
  </si>
  <si>
    <t>0438-emi&amp;IJzer, 100% emissie naar bodem, per kg</t>
  </si>
  <si>
    <t>0437-emi&amp;Koper, 100% emissie naar bodem, per kg</t>
  </si>
  <si>
    <t>0373-emi&amp;Zink, 100% emissie naar water, per kg (o.b.v. effectief verwijderingsrendement 38%)</t>
  </si>
  <si>
    <t>0429-emi&amp;Zink, 100% emissie naar bodem, per kg</t>
  </si>
  <si>
    <t>0430-emi&amp;Zink, 100% emissie naar water, per kg</t>
  </si>
  <si>
    <t>0447-emi&amp;Zink, 100% emissie naar zeewater, per kg</t>
  </si>
  <si>
    <t>0451-emi&amp;OPNAME koolstofdioxide, CO2, uit lucht, 100% opname uit de lucht, per kg (=negatieve emissie)</t>
  </si>
  <si>
    <t>0454-emi&amp;Uitloging menggranulaat (dichtheid 1550 kg/m3), na 100 jaar, 200 mm laagdikte, per kg menggranulaat</t>
  </si>
  <si>
    <t>Energie</t>
  </si>
  <si>
    <t>0124-pro&amp;1 kWh, uit stopcontact (o.b.v. Electricity, low voltage {NL}| market for | Cut-off, U)</t>
  </si>
  <si>
    <t>0368-pro&amp;1 kWh, opgewekt met multi-Si PV-paneel (zonder net) (o.b.v. Electricity, low voltage {NL}| electricity production, photovoltaic, 3kWp slanted-roof installation, multi-Si, panel, mounted | Cut-off, U)</t>
  </si>
  <si>
    <t>0369-pro&amp;1 kWh, opgewekt met single-Si PV-paneel (zonder net) (o.b.v. Electricity, low voltage {NL}| electricity production, photovoltaic, 3kWp slanted-roof installation, single-Si, panel, mounted | Cut-off, U)</t>
  </si>
  <si>
    <t>0111-pro&amp;Aardgas, algemeen gebruik, per m3 (o.b.v. 31,7 MJ Heat, district or industrial, natural gas {RER}| market group for | Cut-off, U)</t>
  </si>
  <si>
    <t>0109-pro&amp;benzine, gebruik, per liter (o.b.v. 15,3 km Bezine, gebruik, per km (o.b.v. Transport, passenger car, medium size, petrol, EURO 4 | Alloc Rec, U; AANGEPAST)</t>
  </si>
  <si>
    <t>0095-pro&amp;Diesel, gasolie, gebruik, liter (o.b.v. 35,8 MJ Diesel, burned in building machine {GLO}| processing | Cut-off, U)</t>
  </si>
  <si>
    <t>0114-pro&amp;Dieselverbruik, per MJ (1-op-1 verwijzing naar Diesel, burned in building machine {GLO}| market for | Cut-off, U)</t>
  </si>
  <si>
    <t>0130-pro&amp;Propaan, productie, per kg (o.b.v. Liquefied petroleum gas {RoW}| market for | Cut-off, U)</t>
  </si>
  <si>
    <t>0289-fab&amp;Water, drinkwater (o.b.v. Tap water {RER}| market group for | Cut-off, U)</t>
  </si>
  <si>
    <t>0335-pro&amp;Dieselverbruik, graafmachine cat. IIIB, per l (o.b.v. TNO/RWS Graafmachine, categorie IIIB, diesel, per liter, c2) (diesel: 35,9 MJ/liter en 0,832 kg/liter)</t>
  </si>
  <si>
    <t>0336-pro&amp;Biodieselverbruik, graafmachine cat. IIIB, 100% biodiesel, per l (o.b.v. TNO/RWS Graafmachine, categorie IIIB, ongemixte biodiesel, per liter, c2) (biodiesel: 33,1 MJ/liter en 0,890 kg/liter)</t>
  </si>
  <si>
    <t>0337-pro&amp;GTL-verbruik, graafmachine cat. IIIB, per l (o.b.v. TNO/RWS Graafmachine, categorie IIIB, GTL, per liter, c2) (GTL: 34,3 MJ/liter en 0,780 kg/liter)</t>
  </si>
  <si>
    <t>0338-pro&amp;HVO-verbruik, graafmachine cat. IIIB, 100% HVO, per l (o.b.v. TNO/RWS Graafmachine, categorie IIIB, ongemixte HVO, per liter, c2) (HVO: 34,5 MJ/liter en 0,780 kg/liter)</t>
  </si>
  <si>
    <t>0339-pro&amp;Biodieselverbruik, graafmachine cat. IV, 100% biodiesel, per l (o.b.v. TNO/RWS Graafmachine, categorie IV, ongemixte biodiesel, per liter, c2) (biodiesel: 33,1 MJ/liter en 0,890 kg/liter)</t>
  </si>
  <si>
    <t>0340-pro&amp;Dieselverbruik, graafmachine cat. IV, per l (o.b.v. TNO/RWS Graafmachine, categorie IV, diesel, per liter, c2) (diesel: 35,9 MJ/liter en 0,832 kg/liter)</t>
  </si>
  <si>
    <t>0341-pro&amp;GTL-verbruik, graafmachine cat. IV, per l (o.b.v. TNO/RWS Graafmachine, categorie IV, GTL, per liter, c2) (GTL: 34,3 MJ/liter en 0,780 kg/liter)</t>
  </si>
  <si>
    <t>0342-pro&amp;HVO-verbruik, graafmachine cat. IV, 100% HVO, per l (o.b.v. TNO/RWS Graafmachine, categorie IV, ongemixte HVO, per liter, c2) (HVO: 34,5 MJ/liter en 0,780 kg/liter)</t>
  </si>
  <si>
    <t>0343-pro&amp;Biodieselverbruik, graafmachine cat. V, 100% biodiesel, per l (o.b.v. TNO/RWS Graafmachine, categorie V, ongemixte biodiesel, per liter, c2) (biodiesel: 33,1 MJ/liter en 0,890 kg/liter)</t>
  </si>
  <si>
    <t>0344-pro&amp;Dieselverbruik, graafmachine cat. V, per l (o.b.v. TNO/RWS Graafmachine, categorie V, diesel, per liter, c2) (diesel: 35,9 MJ/liter en 0,832 kg/liter)</t>
  </si>
  <si>
    <t>0345-pro&amp;GTL-verbruik, graafmachine cat. V, per l (o.b.v. TNO/RWS Graafmachine, categorie V, GTL, per liter, c2) (GTL: 34,3 MJ/liter en 0,780 kg/liter)</t>
  </si>
  <si>
    <t>0346-pro&amp;HVO-verbruik, graafmachine cat. V, 100% HVO, per l (o.b.v. TNO/RWS Graafmachine, categorie V, ongemixte HVO, per liter, c2) (HVO: 34,5 MJ/liter en 0,780 kg/liter)</t>
  </si>
  <si>
    <t>Materialisatie</t>
  </si>
  <si>
    <t>0081-fab&amp;Materialisatie energieopwekking (centrales o.b.v. NL-mix) en elektriciteitsnet; per kWh aan huis</t>
  </si>
  <si>
    <t>0082-fab&amp;Materialisatie windmolen; per kWh aan huis (o.b.v. &lt;1MW turbine, onshore)</t>
  </si>
  <si>
    <t>0083-fab&amp;Materialisatie vrijstaande pv; per kWh aan huis (o.b.v. 570kWp open ground installation, multi-Si)</t>
  </si>
  <si>
    <t>0084-fab&amp;Materialisatie WKK lokaal; per kWh aan huis (o.b.v. 100MWel gasgestookte WKK)</t>
  </si>
  <si>
    <t>0079-fab&amp;Materialisatie warmteopwekking stad/regio, inclusief distributie tot aan huis; per MJ geleverd</t>
  </si>
  <si>
    <t>0080-fab&amp;Materialisatie blokverwarming lokaal, inclusief distributie tot aan huis; per MJ geleverd</t>
  </si>
  <si>
    <t>0090-fab&amp;Materialisatie gaslevering, distributie tot aan huis; per m3 geleverd</t>
  </si>
  <si>
    <t>Kunststofverhardingen</t>
  </si>
  <si>
    <t>Kleine_Kunstwerken</t>
  </si>
  <si>
    <t>Speeltoestellen</t>
  </si>
  <si>
    <t>Categorie 1 LCA - Producten</t>
  </si>
  <si>
    <t>Aanleg &amp; Verwijder Sets</t>
  </si>
  <si>
    <t>Overig Materieel</t>
  </si>
  <si>
    <t>Sitautie</t>
  </si>
  <si>
    <t>Vraag</t>
  </si>
  <si>
    <t>Categorie_1_LCA_Producten</t>
  </si>
  <si>
    <t>[A1]:[A3]</t>
  </si>
  <si>
    <t>Prefab</t>
  </si>
  <si>
    <t>In-situ</t>
  </si>
  <si>
    <t>[A1]:[B4]</t>
  </si>
  <si>
    <t>Hulp- en afwerkingsmaterialen</t>
  </si>
  <si>
    <t>stuks</t>
  </si>
  <si>
    <t>[A1]:[C4]</t>
  </si>
  <si>
    <t>400 ton/dag - Categorie IV - Biodiesel</t>
  </si>
  <si>
    <t>1000 ton/dag - Categorie IV - Biodiesel</t>
  </si>
  <si>
    <t>2000 ton/dag - Categorie IV - Biodiesel</t>
  </si>
  <si>
    <t>Betonconstructies</t>
  </si>
  <si>
    <t>Staalconstructies</t>
  </si>
  <si>
    <t>Trottoirkolk</t>
  </si>
  <si>
    <t xml:space="preserve">Bron: LCA Rapportage categorie 3 data Nationale Milieudatabase - Brandstof-machinecombinaties Hoofdstuk 1000 t/m 8000 Processen
</t>
  </si>
  <si>
    <t>Rockwool, 1 cm</t>
  </si>
  <si>
    <t>Omrekentabel - (Energie)dichtheid brandstoffen</t>
  </si>
  <si>
    <t>Stage</t>
  </si>
  <si>
    <t>FE</t>
  </si>
  <si>
    <t>liters</t>
  </si>
  <si>
    <t>kWh (input)</t>
  </si>
  <si>
    <t>MJ (input)</t>
  </si>
  <si>
    <t>MJ (output) - Arbeid</t>
  </si>
  <si>
    <t>Opmerking</t>
  </si>
  <si>
    <t>Categorie IIIB</t>
  </si>
  <si>
    <t>Arbeid: gerekend met η = 0,261 (gewogen gemiddelde huidige vloot NRMM)</t>
  </si>
  <si>
    <t>Categorie IV</t>
  </si>
  <si>
    <t>Categorie V</t>
  </si>
  <si>
    <t>Arbeid: met kabel aan elektriciteitsnet met η = 0,90 (efficiëntie e aandrijflijn) met Li-ion accu's η = 0,9 x η = 0,85 (efficiëntie laden/ ontladen Li-ion)</t>
  </si>
  <si>
    <t>Berekend op basis van 95 g H2/ kWh opgewerkte elektriciteit, en vervolgens gebaseerd op het aantal ton*km bij elektrisch. kWh (input) en MJ (input) gaan over de energie-inhoud van waterstof, niet over de hoeveelheid elektriciteit die ermee wordt opgewekt</t>
  </si>
  <si>
    <t>Bron; NMD Categorie 3 productkaarten / Invoermodule</t>
  </si>
  <si>
    <t xml:space="preserve">Lijst met brandstofverbruiken van veelgebruikte producten </t>
  </si>
  <si>
    <t>Asfalt_Producttype</t>
  </si>
  <si>
    <t>Verbruik rapport - A5</t>
  </si>
  <si>
    <t>Literverbruik per uur - A5</t>
  </si>
  <si>
    <t>Literverbruik rapport - C1</t>
  </si>
  <si>
    <t>Literverbruik per uur - C1</t>
  </si>
  <si>
    <t>Capaciteit2</t>
  </si>
  <si>
    <t>Opmerking - A5</t>
  </si>
  <si>
    <t>Opmerking - C1</t>
  </si>
  <si>
    <t>Productienorm = 18/uur met wiellader</t>
  </si>
  <si>
    <t>Licht ophoogmateriaal</t>
  </si>
  <si>
    <t>Gebonden wegfundering</t>
  </si>
  <si>
    <t>Ophoogmateriaal van kunststof</t>
  </si>
  <si>
    <t>Schraalbeton</t>
  </si>
  <si>
    <t>ZOAB enkellaags</t>
  </si>
  <si>
    <t>AEC-bodemas</t>
  </si>
  <si>
    <t>Schuimbeton</t>
  </si>
  <si>
    <t>2L-ZOAB toplaag</t>
  </si>
  <si>
    <t>2L-ZOAB onderlaag</t>
  </si>
  <si>
    <t>Overige</t>
  </si>
  <si>
    <t>0,083 uur Wiellaadschop</t>
  </si>
  <si>
    <t>0,042 uur Wiellaadschop</t>
  </si>
  <si>
    <t>0,002 uur Wiellaadschop + 0,002 uur trilplaat</t>
  </si>
  <si>
    <t>0,001 uur Bulldozer</t>
  </si>
  <si>
    <t>0,18 diesel verbruik</t>
  </si>
  <si>
    <t>0,0833 uur Wiellaadschop + 0,0189 Triplaat</t>
  </si>
  <si>
    <t>0,008 uur Wiellaadschop</t>
  </si>
  <si>
    <t>0,02 uur Wiellaadschop + 0,02 uur Wals</t>
  </si>
  <si>
    <t>0,01 uur Wiellaadschop</t>
  </si>
  <si>
    <t>Environmental Impact Categories</t>
  </si>
  <si>
    <t>Environmental Costs Indicator [euro]</t>
  </si>
  <si>
    <t>Abiotic depletion potential for non-fossil resources</t>
  </si>
  <si>
    <t>kg Sb-eq</t>
  </si>
  <si>
    <t>Abiotic depletion potential for fossil resources</t>
  </si>
  <si>
    <t>Global warming potential</t>
  </si>
  <si>
    <t>kg CO2-eq</t>
  </si>
  <si>
    <t>Depletion potential of the stratospheric ozone layer</t>
  </si>
  <si>
    <t>kg CFC-11-eq</t>
  </si>
  <si>
    <t>Formation potential of tropospheric ozone photochemical oxidants</t>
  </si>
  <si>
    <t>Acidification potential of land and water</t>
  </si>
  <si>
    <t>kg SO2-eq</t>
  </si>
  <si>
    <t>Eutrophication potential [kg PO4 3-eq]</t>
  </si>
  <si>
    <t>kg PO4- eq</t>
  </si>
  <si>
    <t>Human toxicity potential [kg 1,4-DB-eq]</t>
  </si>
  <si>
    <t>Freshwater aquatic ecotoxicity potential [kg 1,4-DB-eq]</t>
  </si>
  <si>
    <t>Marine aquatic ecotoxicity potential [kg 1,4-DB-eq]</t>
  </si>
  <si>
    <t>Terrestrial ecotoxicity potential [kg 1,4-DB-eq]</t>
  </si>
  <si>
    <t>Total use of renewable primary energy resources [MJ]</t>
  </si>
  <si>
    <t>Total use of non-renewable primary energy resources [MJ]</t>
  </si>
  <si>
    <t>Total Energy [MJ]</t>
  </si>
  <si>
    <t>Use of net fresh water [m3]</t>
  </si>
  <si>
    <t>M</t>
  </si>
  <si>
    <t>Hazardous waste disposed [kg]</t>
  </si>
  <si>
    <t>Non-hazardous waste disposed [kg]</t>
  </si>
  <si>
    <t>Radioactive waste disposed [kg]</t>
  </si>
  <si>
    <t>Client</t>
  </si>
  <si>
    <t>Contractor</t>
  </si>
  <si>
    <t>Project_ID</t>
  </si>
  <si>
    <t>Project_lifespan</t>
  </si>
  <si>
    <t>Project_date</t>
  </si>
  <si>
    <t>Total_units</t>
  </si>
  <si>
    <t>RAW_ID</t>
  </si>
  <si>
    <t>Workscope</t>
  </si>
  <si>
    <t>Price</t>
  </si>
  <si>
    <t>Productgroup</t>
  </si>
  <si>
    <t>Surface[m2]</t>
  </si>
  <si>
    <t>Thickness[m]</t>
  </si>
  <si>
    <t>Specific_weight[ton/m3]</t>
  </si>
  <si>
    <t>Amount[m3]</t>
  </si>
  <si>
    <t>Amount[ton]</t>
  </si>
  <si>
    <t>Replacements</t>
  </si>
  <si>
    <t>A4_transport_distance_to_construction_site[km]</t>
  </si>
  <si>
    <t>A4_transportmode_to_construction_site</t>
  </si>
  <si>
    <t>A5_asphalt_construction_set</t>
  </si>
  <si>
    <t>A5_other_construction_equipment</t>
  </si>
  <si>
    <t>C1_asphalt_removal_set</t>
  </si>
  <si>
    <t>C1_other_removal_equipment</t>
  </si>
  <si>
    <t>C2_transportdistance_to_processor[km]</t>
  </si>
  <si>
    <t>C2_transportmode_to_processor</t>
  </si>
  <si>
    <t>C3_processingset</t>
  </si>
  <si>
    <t>Assumptions</t>
  </si>
  <si>
    <t>ECI_total.A1</t>
  </si>
  <si>
    <t>ECI_total.A2</t>
  </si>
  <si>
    <t>ECI_total.A3</t>
  </si>
  <si>
    <t>ECI_total.A1-A3</t>
  </si>
  <si>
    <t>ECI_total.A4</t>
  </si>
  <si>
    <t>ECI_total.A5</t>
  </si>
  <si>
    <t>ECI_total.B1</t>
  </si>
  <si>
    <t>ECI_total.B4</t>
  </si>
  <si>
    <t>ECI_total.C1</t>
  </si>
  <si>
    <t>ECI_total.C2</t>
  </si>
  <si>
    <t>ECI_total.C3</t>
  </si>
  <si>
    <t>ECI_total.C4</t>
  </si>
  <si>
    <t>ECI_total.D1</t>
  </si>
  <si>
    <t>ECI_total.D2</t>
  </si>
  <si>
    <t>ECI_total.D</t>
  </si>
  <si>
    <t>ECI_total.total</t>
  </si>
  <si>
    <t>CO2_total.A1</t>
  </si>
  <si>
    <t>CO2_total.A2</t>
  </si>
  <si>
    <t>CO2_total.A3</t>
  </si>
  <si>
    <t>CO2_total.A1-A3</t>
  </si>
  <si>
    <t>CO2_total.A4</t>
  </si>
  <si>
    <t>CO2_total.A5</t>
  </si>
  <si>
    <t>CO2_total.B1</t>
  </si>
  <si>
    <t>CO2_total.B4</t>
  </si>
  <si>
    <t>CO2_total.C1</t>
  </si>
  <si>
    <t>CO2_total.C2</t>
  </si>
  <si>
    <t>CO2_total.C3</t>
  </si>
  <si>
    <t>CO2_total.C4</t>
  </si>
  <si>
    <t>CO2_total.D1</t>
  </si>
  <si>
    <t>CO2_total.D2</t>
  </si>
  <si>
    <t>CO2_total.D</t>
  </si>
  <si>
    <t>CO2_total.total</t>
  </si>
  <si>
    <t>Material_total.amount[ton]</t>
  </si>
  <si>
    <t>Material_total.%secundary</t>
  </si>
  <si>
    <t>Material_total.primary[ton]</t>
  </si>
  <si>
    <t>Material_total.secundary[ton]</t>
  </si>
  <si>
    <t>Material_total.amount_replacements[ton]</t>
  </si>
  <si>
    <t>Material_total.primary_replacements[ton]</t>
  </si>
  <si>
    <t>Material_total.secundary_replacements[ton]</t>
  </si>
  <si>
    <t>Material_total.total_primary[ton]</t>
  </si>
  <si>
    <t>Material_total.total_secundary[ton]</t>
  </si>
  <si>
    <t>Material_total.total[ton]</t>
  </si>
  <si>
    <t>Renewable_energy_total.A1</t>
  </si>
  <si>
    <t>Renewable_energy_total.A2</t>
  </si>
  <si>
    <t>Renewable_energy_total.A3</t>
  </si>
  <si>
    <t>Renewable_energy_total.A1-A3</t>
  </si>
  <si>
    <t>Renewable_energy_total.A4</t>
  </si>
  <si>
    <t>Renewable_energy_total.A5</t>
  </si>
  <si>
    <t>Renewable_energy_total.B1</t>
  </si>
  <si>
    <t>Renewable_energy_total.B4</t>
  </si>
  <si>
    <t>Renewable_energy_total.C1</t>
  </si>
  <si>
    <t>Renewable_energy_total.C2</t>
  </si>
  <si>
    <t>Renewable_energy_total.C3</t>
  </si>
  <si>
    <t>Renewable_energy_total.C4</t>
  </si>
  <si>
    <t>Renewable_energy_total.D1</t>
  </si>
  <si>
    <t>Renewable_energy_total.D2</t>
  </si>
  <si>
    <t>Renewable_energy_total.D</t>
  </si>
  <si>
    <t>Renewable_energy_total.total</t>
  </si>
  <si>
    <t>Fossil_energy_total.A1</t>
  </si>
  <si>
    <t>Fossil_energy_total.A2</t>
  </si>
  <si>
    <t>Fossil_energy_total.A3</t>
  </si>
  <si>
    <t>Fossil_energy_total.A1-A3</t>
  </si>
  <si>
    <t>Fossil_energy_total.A4</t>
  </si>
  <si>
    <t>Fossil_energy_total.A5</t>
  </si>
  <si>
    <t>Fossil_energy_total.B1</t>
  </si>
  <si>
    <t>Fossil_energy_total.B4</t>
  </si>
  <si>
    <t>Fossil_energy_total.C1</t>
  </si>
  <si>
    <t>Fossil_energy_total.C2</t>
  </si>
  <si>
    <t>Fossil_energy_total.C3</t>
  </si>
  <si>
    <t>Fossil_energy_total.C4</t>
  </si>
  <si>
    <t>Fossil_energy_total.D1</t>
  </si>
  <si>
    <t>Fossil_energy_total.D2</t>
  </si>
  <si>
    <t>Fossil_energy_total.D</t>
  </si>
  <si>
    <t>Fossil_energy_total.total</t>
  </si>
  <si>
    <t>Transport_total.transport_to_construction_site[tkm]</t>
  </si>
  <si>
    <t>Transport_total.transport_to_processor[tkm]</t>
  </si>
  <si>
    <t>Transport_total.emission_free_transport_to_construction_site</t>
  </si>
  <si>
    <t>Transport_total.emission_free_transport_to_processor</t>
  </si>
  <si>
    <t>Transport_total.emission_free_transport</t>
  </si>
  <si>
    <t>Transport_total.transport_to_construction_site_replacements[tkm]</t>
  </si>
  <si>
    <t>Transport_total.transport_to_processor_replacements[tkm]</t>
  </si>
  <si>
    <t>Transport_total.emission_free_transport_replacements[tkm]</t>
  </si>
  <si>
    <t>Transport_total.total_emission_free_transport</t>
  </si>
  <si>
    <t>Transport_total.total_non_emission_free_transport</t>
  </si>
  <si>
    <t>Transport_total.total_transport</t>
  </si>
  <si>
    <t>Construction_site_total.operation_hour_construction</t>
  </si>
  <si>
    <t>Construction_site_total.operation_hour_removal</t>
  </si>
  <si>
    <t>Construction_site_total.emission_free_construction</t>
  </si>
  <si>
    <t>Construction_site_total.emission_free_removal</t>
  </si>
  <si>
    <t>Construction_site_total.emission_free_construction_site</t>
  </si>
  <si>
    <t>Construction_site_total.emission_free_construction_site_replacement</t>
  </si>
  <si>
    <t>Construction_site_total.total_emission_free_construction_site</t>
  </si>
  <si>
    <t>Construction_site_total.total_non_emission_free_construction_site</t>
  </si>
  <si>
    <t>Construction_site_total.total_construction_site</t>
  </si>
  <si>
    <t>ECI_unit_A1-A3</t>
  </si>
  <si>
    <t>CO2_unit_A1-A3</t>
  </si>
  <si>
    <t>Provincie Gelderland</t>
  </si>
  <si>
    <t>1</t>
  </si>
  <si>
    <t>2370</t>
  </si>
  <si>
    <t>Verwijderen Asfalt deklaag 35 mm</t>
  </si>
  <si>
    <t>Verwijderen Asfalt tussenlaag 50 mm</t>
  </si>
  <si>
    <t>Verwijderen Asfalt onderlaag 50 mm</t>
  </si>
  <si>
    <t>Verwijderen Betonstraatstenen keiformaat 80 mm</t>
  </si>
  <si>
    <t>Verwijderen Betontegels 300x300x50 mm</t>
  </si>
  <si>
    <t>Verwijderen Trottoirbanden 180/200x250 mm in specie met steunrug</t>
  </si>
  <si>
    <t>Verwijderen Opsluitband 120x250 mm in specie met steunrug</t>
  </si>
  <si>
    <t>Verwijderen Trottoirkolken</t>
  </si>
  <si>
    <t>Aanbrengen hydraulisch menggranulaat</t>
  </si>
  <si>
    <t>Vrachtwagen (&gt;32 ton), elektrisch groen</t>
  </si>
  <si>
    <t>Aanbrengen Asfalt onderlaag 50 mm</t>
  </si>
  <si>
    <t>Aanbrengen Asfalt tussenlaag 50 mm</t>
  </si>
  <si>
    <t>Aanbrengen Asfalt deklaag 35 mm</t>
  </si>
  <si>
    <t>Aanbrengen Betonstraatstenen keiformaat 80 mm</t>
  </si>
  <si>
    <t>Aanbrengen Betonstraatstenen keiformaat 80 mm, rollaag in specie</t>
  </si>
  <si>
    <t>Aanbrengen Betontegels 300x300x80 mm</t>
  </si>
  <si>
    <t>Aanbrengen Trottoirbanden 280/300x240 mm in specie met steunrug</t>
  </si>
  <si>
    <t>Aanbrengen Trottoirbanden 280/300x240 mm in specie</t>
  </si>
  <si>
    <t>Aanbrengen Opsluitband 100x200 mm in specie met steunrug</t>
  </si>
  <si>
    <t>Aanbrengen Trottoirkolk 1860/90</t>
  </si>
  <si>
    <t>351020 - Leveren en aanbrengen betontegels 20x20x8 cm, grijs</t>
  </si>
  <si>
    <t>351010 - Leveren en aanbrengen betontegels 30x30x4,5 cm, grijs basalt</t>
  </si>
  <si>
    <t>544010 - Leveren en aanbrengen betonteges 30x30x4,5 cm, grijs basalt</t>
  </si>
  <si>
    <t>544020 - Leveren en aanbrengen betonteges 30x30x8 cm, grijs t.p.v. inritten</t>
  </si>
  <si>
    <t>353010 - Leveren en aanbrengen goottegels 30x15x6 zonder facet, grijs in beton</t>
  </si>
  <si>
    <t>542010 - Leveren en aanbrengen opsluitband 10x20 cm grijs, op zand, recht</t>
  </si>
  <si>
    <t>342020 - Leveren en aanbrengen opsluitband 10x20 cm, grijs op zand, bocht</t>
  </si>
  <si>
    <t>342010 - Leveren en aanbrengen opsluitband 10x20 cm, grijs op zand, recht</t>
  </si>
  <si>
    <t>342030 - Leveren en aanbrengen opsluitband 12x25 cm, grijs op beton, recht langs fietspaden asfalt</t>
  </si>
  <si>
    <t>542030 - Leveren en aanbrengen opsluitband 12x25 cm, grijs, in beton, recht</t>
  </si>
  <si>
    <t>641010 - Leveren en aanbrengen opsluitband 12x25 cm, grijs, in beton, recht</t>
  </si>
  <si>
    <t>352010 - Leveren en aanbrengen sbs dikformaat, kleur okergeel, middeneiland rotonde</t>
  </si>
  <si>
    <t>343020 - Leveren en aanbrengen trottoirband 13/15x25 grijs in beton, bocht</t>
  </si>
  <si>
    <t>343010 - Leveren en aanbrengen trottoirband 13/15x25 grijs in beton, recht</t>
  </si>
  <si>
    <t>113040 - Verwijderen en afvoeren elementen verhardingen</t>
  </si>
  <si>
    <t>612010 - Verwijderen en afvoeren elementenverharding (bkk kf)</t>
  </si>
  <si>
    <t>361020 - Leveren en aanbrengen deklaag AC 11 surf DL-C rood, dik 30 mm</t>
  </si>
  <si>
    <t>550030 - Leveren en aanbrengen deklaag AC 11 surf rood, dik 30 mm, 1010 m2</t>
  </si>
  <si>
    <t>645030 - Leveren en aanbrengen deklaag AC 11 surf, dik 30 mm, 510 m2</t>
  </si>
  <si>
    <t>360030 - Leveren en aanbrengen deklaag SMA-NL 11B, dik 35 mm, 5900 m2</t>
  </si>
  <si>
    <t>540010 - Leveren en aanbrengen menggranulaat onder rijbaan, dik 250 mm</t>
  </si>
  <si>
    <t>640010 - Leveren en aanbrengen menggranulaat onder rijbaan, dik 250 mm</t>
  </si>
  <si>
    <t>361010 - Leveren en aanbrengen onderlaag AC 16 base, dik 55 mm, 374 m2</t>
  </si>
  <si>
    <t>550010 - Leveren en aanbrengen onderlaag AC 16 base, dik 70 mm, 1010 m2</t>
  </si>
  <si>
    <t>645010 - Leveren en aanbrengen onderlaag AC 16 base, dik 70 mm, 510 m2</t>
  </si>
  <si>
    <t>360010 - Leveren en aanbrengen onderlaag AC 16 base, dik 80 mm, 4825 m2</t>
  </si>
  <si>
    <t>550020 - Leveren en aanbrengen tussenlaag AC 16 bind, dik 50 mm, 1010 m2</t>
  </si>
  <si>
    <t>645020 - Leveren en aanbrengen tussenlaag AC 16 bind, dik 50 mm, 510 m2</t>
  </si>
  <si>
    <t>360020 - Leveren en aanbrengen tussenlaag AC 16 bind, dik 80 m, 4825 m2</t>
  </si>
  <si>
    <t>340020 - Leveren en aanbrengen menggranulaat onder fietspaden, dik 250 mm</t>
  </si>
  <si>
    <t>340030 - Leveren en aanbrengen hydr. menggranulaat onder rijbaan en inritten, dik 300 mm</t>
  </si>
  <si>
    <t>513010 - Verwijderen en afvoeren asfalt rijbaan, teervrij, dikte 10 cm</t>
  </si>
  <si>
    <t>515010 - Verwijderen en afvoeren fundering uit rijbaan, dikte 25 cm, teervrij</t>
  </si>
  <si>
    <t>312010 - Leveren en aanbrengen betonriool °300 mm</t>
  </si>
  <si>
    <t>313010 - Leveren en aanbrengen betonriool °300 mm</t>
  </si>
  <si>
    <t>312020 - Leveren en aanbrengen betonriool °400 mm</t>
  </si>
  <si>
    <t>313020 - Leveren en aanbrengen betonriool °400 mm</t>
  </si>
  <si>
    <t>312030 - Leveren en aanbrengen betonriool °600 mm</t>
  </si>
  <si>
    <t>222010 - Grond ontgraven t.b.v. aanleg duikers</t>
  </si>
  <si>
    <t>223020 - Grond ontgraven t.b.v. cunet fietspaden, betreft de leeflaag dik 40 cm</t>
  </si>
  <si>
    <t>621010 - Grond ontgraven t.b.v. cunet rijbaan</t>
  </si>
  <si>
    <t>521030 - Grond ontgraven t.b.v. cunet rijbaan plus voetpad</t>
  </si>
  <si>
    <t>223010 - Grond ontgraven t.b.v. cunet rijbaan, betreft de leeflaag dik 40 cm</t>
  </si>
  <si>
    <t>223030 - Grond ontgraven t.b.v. cunet voetpad, betreft de leeflaag dik 40 cm</t>
  </si>
  <si>
    <t>221020 - Grond ontgraven t.b.v. riolering dubbel naast sleuf</t>
  </si>
  <si>
    <t>521020 - Grond ontgraven t.b.v. riolering dubbel, naast sleuf</t>
  </si>
  <si>
    <t>221010 - Grond ontgraven t.b.v. riolering enkel naast sleuf</t>
  </si>
  <si>
    <t>523020 - Aanvulen sleuf riolering dubbel</t>
  </si>
  <si>
    <t>233120 - Aanvullen sleuf riolering dubbel</t>
  </si>
  <si>
    <t>233130 - Aanvullen sleuf riolering duikers</t>
  </si>
  <si>
    <t>233110 - Aanvullen sleuf riolering enkel</t>
  </si>
  <si>
    <t>523010 - Aanvullen sleuf riolering enkel</t>
  </si>
  <si>
    <t>341020 - Leveren en aanbrengen straatlaag met straatzand dik 50 mm</t>
  </si>
  <si>
    <t>541020 - Leveren en aanbrengen straatlaag met straatzand dik 50 mm</t>
  </si>
  <si>
    <t>640040 - Leveren en aanbrengen straatlaag met straatzand dik 50 mm</t>
  </si>
  <si>
    <t>234030 - Zand verwerken in cunet fietspad</t>
  </si>
  <si>
    <t>234020 - Zand verwerken in cunet voetpad, h=0,30 m</t>
  </si>
  <si>
    <t>623010 - Zand verwerken in wegcunet</t>
  </si>
  <si>
    <t>524010 - Zand verwerken in wegcunet en voetpad</t>
  </si>
  <si>
    <t>234010 - Zand verwerken in wegcunet, h=0,50 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</si>
</sst>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4">
    <numFmt numFmtId="44" formatCode="_ &quot;€&quot;\ * #,##0.00_ ;_ &quot;€&quot;\ * \-#,##0.00_ ;_ &quot;€&quot;\ * &quot;-&quot;??_ ;_ @_ "/>
    <numFmt numFmtId="43" formatCode="_ * #,##0.00_ ;_ * \-#,##0.00_ ;_ * &quot;-&quot;??_ ;_ @_ "/>
    <numFmt numFmtId="164" formatCode="_(&quot;$&quot;* #,##0.00_);_(&quot;$&quot;* \(#,##0.00\);_(&quot;$&quot;* &quot;-&quot;??_);_(@_)"/>
    <numFmt numFmtId="165" formatCode="_(* #,##0.00_);_(* \(#,##0.00\);_(* &quot;-&quot;??_);_(@_)"/>
    <numFmt numFmtId="166" formatCode="_ [$€-413]\ * #,##0.00_ ;_ [$€-413]\ * \-#,##0.00_ ;_ [$€-413]\ * &quot;-&quot;??_ ;_ @_ "/>
    <numFmt numFmtId="167" formatCode="_([$€-2]\ * #,##0.00_);_([$€-2]\ * \(#,##0.00\);_([$€-2]\ * &quot;-&quot;??_);_(@_)"/>
    <numFmt numFmtId="168" formatCode="0.0"/>
    <numFmt numFmtId="169" formatCode="_(* #,##0_);_(* \(#,##0\);_(* &quot;-&quot;??_);_(@_)"/>
    <numFmt numFmtId="170" formatCode="_(* #,##0.00000000_);_(* \(#,##0.00000000\);_(* &quot;-&quot;??_);_(@_)"/>
    <numFmt numFmtId="171" formatCode="_ [$€-413]\ * #,##0_ ;_ [$€-413]\ * \-#,##0_ ;_ [$€-413]\ * &quot;-&quot;??_ ;_ @_ "/>
    <numFmt numFmtId="172" formatCode="&quot;€&quot;\ #,##0.00"/>
    <numFmt numFmtId="173" formatCode="_ [$€-413]\ * #,##0.000000_ ;_ [$€-413]\ * \-#,##0.000000_ ;_ [$€-413]\ * &quot;-&quot;??_ ;_ @_ "/>
    <numFmt numFmtId="174" formatCode="[$€-413]\ #,##0"/>
    <numFmt numFmtId="175" formatCode="[$€-413]\ #,##0;[$€-413]\ \-#,##0"/>
    <numFmt numFmtId="176" formatCode="_([$€-2]\ * #,##0_);_([$€-2]\ * \(#,##0\);_([$€-2]\ * &quot;-&quot;??_);_(@_)"/>
    <numFmt numFmtId="177" formatCode="[$€-413]\ #,##0.00;[$€-413]\ \-#,##0.00"/>
    <numFmt numFmtId="178" formatCode="0.0%"/>
    <numFmt numFmtId="179" formatCode="_(* #,##0.0_);_(* \(#,##0.0\);_(* &quot;-&quot;??_);_(@_)"/>
    <numFmt numFmtId="180" formatCode="_ [$€-413]\ * #,##0.0000_ ;_ [$€-413]\ * \-#,##0.0000_ ;_ [$€-413]\ * &quot;-&quot;??_ ;_ @_ "/>
    <numFmt numFmtId="181" formatCode="0.000"/>
    <numFmt numFmtId="182" formatCode="_ [$€-413]\ * #,##0.00000_ ;_ [$€-413]\ * \-#,##0.00000_ ;_ [$€-413]\ * &quot;-&quot;??_ ;_ @_ "/>
    <numFmt numFmtId="183" formatCode="0.00000"/>
    <numFmt numFmtId="184" formatCode="_ &quot;€&quot;\ * #,##0.0000_ ;_ &quot;€&quot;\ * \-#,##0.0000_ ;_ &quot;€&quot;\ * &quot;-&quot;??_ ;_ @_ "/>
    <numFmt numFmtId="185" formatCode="_ &quot;€&quot;\ * #,##0.00000_ ;_ &quot;€&quot;\ * \-#,##0.00000_ ;_ &quot;€&quot;\ * &quot;-&quot;??_ ;_ @_ "/>
  </numFmts>
  <fonts count="68">
    <font>
      <sz val="11"/>
      <color theme="1"/>
      <name val="Calibri"/>
      <family val="2"/>
      <scheme val="minor"/>
    </font>
    <font>
      <sz val="11"/>
      <color theme="1"/>
      <name val="Calibri"/>
      <family val="2"/>
      <scheme val="minor"/>
    </font>
    <font>
      <b/>
      <sz val="10"/>
      <color theme="0"/>
      <name val="Open Sans"/>
      <family val="2"/>
    </font>
    <font>
      <sz val="10"/>
      <color theme="1"/>
      <name val="Open Sans"/>
      <family val="2"/>
    </font>
    <font>
      <b/>
      <sz val="14"/>
      <name val="Open Sans"/>
      <family val="2"/>
    </font>
    <font>
      <b/>
      <sz val="11"/>
      <color theme="0"/>
      <name val="Calibri"/>
      <family val="2"/>
      <scheme val="minor"/>
    </font>
    <font>
      <sz val="11"/>
      <color theme="1"/>
      <name val="Open Sans"/>
      <family val="2"/>
    </font>
    <font>
      <b/>
      <sz val="11"/>
      <color theme="1"/>
      <name val="Open Sans"/>
      <family val="2"/>
    </font>
    <font>
      <sz val="9"/>
      <color theme="1"/>
      <name val="Open Sans"/>
      <family val="2"/>
    </font>
    <font>
      <sz val="11"/>
      <color rgb="FF000000"/>
      <name val="Calibri"/>
      <family val="2"/>
    </font>
    <font>
      <b/>
      <sz val="11"/>
      <color rgb="FFFF0000"/>
      <name val="Calibri"/>
      <family val="2"/>
      <scheme val="minor"/>
    </font>
    <font>
      <sz val="8"/>
      <name val="Calibri"/>
      <family val="2"/>
      <scheme val="minor"/>
    </font>
    <font>
      <sz val="11"/>
      <color rgb="FFFF0000"/>
      <name val="Calibri"/>
      <family val="2"/>
      <scheme val="minor"/>
    </font>
    <font>
      <sz val="11"/>
      <color rgb="FF212121"/>
      <name val="Arial"/>
      <family val="2"/>
    </font>
    <font>
      <b/>
      <sz val="11"/>
      <color theme="1"/>
      <name val="Calibri"/>
      <family val="2"/>
      <scheme val="minor"/>
    </font>
    <font>
      <sz val="11"/>
      <color rgb="FF9C0006"/>
      <name val="Calibri"/>
      <family val="2"/>
      <scheme val="minor"/>
    </font>
    <font>
      <b/>
      <sz val="11"/>
      <color theme="0"/>
      <name val="Open Sans"/>
      <family val="2"/>
    </font>
    <font>
      <sz val="9"/>
      <color rgb="FF000000"/>
      <name val="Open Sans"/>
      <family val="2"/>
    </font>
    <font>
      <sz val="11"/>
      <color rgb="FF000000"/>
      <name val="Calibri"/>
      <family val="2"/>
      <scheme val="minor"/>
    </font>
    <font>
      <b/>
      <sz val="14"/>
      <color rgb="FF000000"/>
      <name val="Open Sans"/>
      <family val="2"/>
    </font>
    <font>
      <sz val="11"/>
      <color rgb="FF232323"/>
      <name val="Calibri"/>
      <family val="2"/>
    </font>
    <font>
      <b/>
      <sz val="11"/>
      <color theme="1"/>
      <name val="Open Sans Regular"/>
    </font>
    <font>
      <b/>
      <sz val="16"/>
      <color theme="1"/>
      <name val="Calibri"/>
      <family val="2"/>
      <scheme val="minor"/>
    </font>
    <font>
      <b/>
      <sz val="16"/>
      <color theme="1"/>
      <name val="Open Sans Regular"/>
    </font>
    <font>
      <b/>
      <sz val="14"/>
      <color theme="1"/>
      <name val="Open Sans Regular"/>
    </font>
    <font>
      <b/>
      <sz val="11"/>
      <color rgb="FF000000"/>
      <name val="Open Sans"/>
      <family val="2"/>
      <charset val="1"/>
    </font>
    <font>
      <b/>
      <sz val="11"/>
      <color rgb="FF000000"/>
      <name val="Open Sans Regular"/>
      <charset val="1"/>
    </font>
    <font>
      <b/>
      <sz val="11"/>
      <color rgb="FF000000"/>
      <name val="Calibri"/>
      <family val="2"/>
    </font>
    <font>
      <sz val="11"/>
      <name val="Open Sans"/>
      <family val="2"/>
    </font>
    <font>
      <sz val="11"/>
      <name val="Calibri"/>
      <family val="2"/>
      <scheme val="minor"/>
    </font>
    <font>
      <b/>
      <sz val="11"/>
      <name val="Calibri"/>
      <family val="2"/>
      <scheme val="minor"/>
    </font>
    <font>
      <sz val="11"/>
      <color theme="0"/>
      <name val="Open Sans"/>
      <family val="2"/>
    </font>
    <font>
      <sz val="11"/>
      <color rgb="FF9C5700"/>
      <name val="Calibri"/>
      <family val="2"/>
      <scheme val="minor"/>
    </font>
    <font>
      <sz val="12"/>
      <color rgb="FF000000"/>
      <name val="Calibri"/>
      <family val="2"/>
      <scheme val="minor"/>
    </font>
    <font>
      <b/>
      <sz val="12"/>
      <color rgb="FF000000"/>
      <name val="Calibri"/>
      <family val="2"/>
      <scheme val="minor"/>
    </font>
    <font>
      <sz val="12"/>
      <color rgb="FF000000"/>
      <name val="Calibri"/>
      <family val="2"/>
    </font>
    <font>
      <sz val="12"/>
      <color theme="1"/>
      <name val="Calibri"/>
      <family val="2"/>
      <scheme val="minor"/>
    </font>
    <font>
      <sz val="11"/>
      <color rgb="FF000000"/>
      <name val="Open Sans"/>
      <family val="2"/>
    </font>
    <font>
      <b/>
      <sz val="14"/>
      <color theme="0" tint="-0.499984740745262"/>
      <name val="Calibri"/>
      <family val="2"/>
      <scheme val="minor"/>
    </font>
    <font>
      <sz val="14"/>
      <color theme="1"/>
      <name val="Calibri"/>
      <family val="2"/>
      <scheme val="minor"/>
    </font>
    <font>
      <b/>
      <u/>
      <sz val="14"/>
      <color theme="0" tint="-0.499984740745262"/>
      <name val="Calibri"/>
      <family val="2"/>
      <scheme val="minor"/>
    </font>
    <font>
      <u/>
      <sz val="11"/>
      <color theme="1"/>
      <name val="Calibri"/>
      <family val="2"/>
      <scheme val="minor"/>
    </font>
    <font>
      <b/>
      <sz val="11"/>
      <color rgb="FF92D050"/>
      <name val="Times New Roman"/>
      <family val="1"/>
    </font>
    <font>
      <sz val="11"/>
      <color theme="1"/>
      <name val="Times New Roman"/>
      <family val="1"/>
    </font>
    <font>
      <sz val="11"/>
      <color theme="1"/>
      <name val="Symbol"/>
      <family val="1"/>
      <charset val="2"/>
    </font>
    <font>
      <sz val="7"/>
      <color theme="1"/>
      <name val="Times New Roman"/>
      <family val="1"/>
    </font>
    <font>
      <i/>
      <sz val="9"/>
      <color rgb="FF44546A"/>
      <name val="Calibri"/>
      <family val="2"/>
      <scheme val="minor"/>
    </font>
    <font>
      <i/>
      <sz val="11"/>
      <color theme="1"/>
      <name val="Times New Roman"/>
      <family val="1"/>
    </font>
    <font>
      <b/>
      <sz val="10"/>
      <color rgb="FF1F3763"/>
      <name val="Times New Roman"/>
      <family val="1"/>
    </font>
    <font>
      <b/>
      <u/>
      <sz val="11"/>
      <color theme="1"/>
      <name val="Times New Roman"/>
      <family val="1"/>
    </font>
    <font>
      <b/>
      <sz val="10"/>
      <color theme="9"/>
      <name val="Times New Roman"/>
      <family val="1"/>
    </font>
    <font>
      <sz val="10"/>
      <name val="Open Sans"/>
      <family val="2"/>
    </font>
    <font>
      <b/>
      <sz val="14"/>
      <color theme="1"/>
      <name val="Open Sans"/>
      <family val="2"/>
    </font>
    <font>
      <b/>
      <sz val="10"/>
      <name val="Open Sans"/>
      <family val="2"/>
    </font>
    <font>
      <sz val="11"/>
      <color rgb="FF006100"/>
      <name val="Calibri"/>
      <family val="2"/>
      <scheme val="minor"/>
    </font>
    <font>
      <sz val="10"/>
      <name val="Arial"/>
      <family val="2"/>
    </font>
    <font>
      <sz val="9"/>
      <color rgb="FF333333"/>
      <name val="Hind Madurai"/>
    </font>
    <font>
      <sz val="9"/>
      <color theme="1"/>
      <name val="Hind Madurai"/>
    </font>
    <font>
      <sz val="11"/>
      <name val="Calibri"/>
      <family val="2"/>
    </font>
    <font>
      <sz val="10"/>
      <color theme="1"/>
      <name val="Arial"/>
      <family val="2"/>
    </font>
    <font>
      <b/>
      <sz val="10"/>
      <color theme="1"/>
      <name val="Open Sans"/>
      <family val="2"/>
    </font>
    <font>
      <b/>
      <sz val="12"/>
      <color rgb="FF034173"/>
      <name val="Times New Roman"/>
      <family val="1"/>
    </font>
    <font>
      <b/>
      <sz val="11"/>
      <color rgb="FF034173"/>
      <name val="Times New Roman"/>
      <family val="1"/>
    </font>
    <font>
      <b/>
      <u/>
      <sz val="11"/>
      <color rgb="FF034173"/>
      <name val="Times New Roman"/>
      <family val="1"/>
    </font>
    <font>
      <b/>
      <sz val="10"/>
      <color rgb="FF034173"/>
      <name val="Times New Roman"/>
      <family val="1"/>
    </font>
    <font>
      <i/>
      <sz val="9"/>
      <color rgb="FF034173"/>
      <name val="Calibri"/>
      <family val="2"/>
      <scheme val="minor"/>
    </font>
    <font>
      <b/>
      <i/>
      <sz val="9"/>
      <color rgb="FF034173"/>
      <name val="Calibri"/>
      <family val="2"/>
      <scheme val="minor"/>
    </font>
    <font>
      <sz val="11"/>
      <name val="Times New Roman"/>
      <family val="1"/>
    </font>
  </fonts>
  <fills count="38">
    <fill>
      <patternFill patternType="none"/>
    </fill>
    <fill>
      <patternFill patternType="gray125"/>
    </fill>
    <fill>
      <patternFill patternType="solid">
        <fgColor rgb="FF0070C0"/>
        <bgColor indexed="64"/>
      </patternFill>
    </fill>
    <fill>
      <patternFill patternType="solid">
        <fgColor theme="1" tint="0.249977111117893"/>
        <bgColor indexed="64"/>
      </patternFill>
    </fill>
    <fill>
      <patternFill patternType="solid">
        <fgColor rgb="FF002060"/>
        <bgColor indexed="64"/>
      </patternFill>
    </fill>
    <fill>
      <patternFill patternType="solid">
        <fgColor rgb="FF00B0F0"/>
        <bgColor indexed="64"/>
      </patternFill>
    </fill>
    <fill>
      <patternFill patternType="solid">
        <fgColor theme="5"/>
        <bgColor indexed="64"/>
      </patternFill>
    </fill>
    <fill>
      <patternFill patternType="solid">
        <fgColor theme="9"/>
        <bgColor indexed="64"/>
      </patternFill>
    </fill>
    <fill>
      <patternFill patternType="solid">
        <fgColor theme="1" tint="0.499984740745262"/>
        <bgColor indexed="64"/>
      </patternFill>
    </fill>
    <fill>
      <patternFill patternType="solid">
        <fgColor theme="9" tint="-0.499984740745262"/>
        <bgColor indexed="64"/>
      </patternFill>
    </fill>
    <fill>
      <patternFill patternType="solid">
        <fgColor theme="5" tint="-0.499984740745262"/>
        <bgColor indexed="64"/>
      </patternFill>
    </fill>
    <fill>
      <patternFill patternType="solid">
        <fgColor theme="7" tint="-0.249977111117893"/>
        <bgColor indexed="64"/>
      </patternFill>
    </fill>
    <fill>
      <patternFill patternType="solid">
        <fgColor theme="6" tint="0.39997558519241921"/>
        <bgColor indexed="64"/>
      </patternFill>
    </fill>
    <fill>
      <patternFill patternType="solid">
        <fgColor rgb="FFFF0000"/>
        <bgColor indexed="64"/>
      </patternFill>
    </fill>
    <fill>
      <patternFill patternType="solid">
        <fgColor rgb="FFFF7C80"/>
        <bgColor indexed="64"/>
      </patternFill>
    </fill>
    <fill>
      <patternFill patternType="solid">
        <fgColor theme="0"/>
        <bgColor indexed="64"/>
      </patternFill>
    </fill>
    <fill>
      <patternFill patternType="solid">
        <fgColor theme="4"/>
        <bgColor theme="4"/>
      </patternFill>
    </fill>
    <fill>
      <patternFill patternType="solid">
        <fgColor theme="6"/>
        <bgColor indexed="64"/>
      </patternFill>
    </fill>
    <fill>
      <patternFill patternType="solid">
        <fgColor rgb="FFFFC7CE"/>
      </patternFill>
    </fill>
    <fill>
      <patternFill patternType="solid">
        <fgColor theme="6"/>
        <bgColor theme="6"/>
      </patternFill>
    </fill>
    <fill>
      <patternFill patternType="solid">
        <fgColor theme="6" tint="0.59999389629810485"/>
        <bgColor theme="6" tint="0.59999389629810485"/>
      </patternFill>
    </fill>
    <fill>
      <patternFill patternType="solid">
        <fgColor theme="6" tint="0.79998168889431442"/>
        <bgColor theme="6" tint="0.79998168889431442"/>
      </patternFill>
    </fill>
    <fill>
      <patternFill patternType="solid">
        <fgColor rgb="FFDBDBDB"/>
        <bgColor rgb="FFDBDBDB"/>
      </patternFill>
    </fill>
    <fill>
      <patternFill patternType="solid">
        <fgColor rgb="FFEDEDED"/>
        <bgColor rgb="FFEDEDED"/>
      </patternFill>
    </fill>
    <fill>
      <patternFill patternType="solid">
        <fgColor rgb="FFFFFFFF"/>
        <bgColor rgb="FF000000"/>
      </patternFill>
    </fill>
    <fill>
      <patternFill patternType="solid">
        <fgColor theme="1"/>
        <bgColor indexed="64"/>
      </patternFill>
    </fill>
    <fill>
      <patternFill patternType="solid">
        <fgColor rgb="FFFFEB9C"/>
      </patternFill>
    </fill>
    <fill>
      <patternFill patternType="solid">
        <fgColor theme="0"/>
        <bgColor theme="6" tint="0.79998168889431442"/>
      </patternFill>
    </fill>
    <fill>
      <patternFill patternType="solid">
        <fgColor theme="4" tint="0.79998168889431442"/>
        <bgColor theme="4" tint="0.79998168889431442"/>
      </patternFill>
    </fill>
    <fill>
      <patternFill patternType="solid">
        <fgColor theme="7" tint="0.59999389629810485"/>
        <bgColor indexed="64"/>
      </patternFill>
    </fill>
    <fill>
      <patternFill patternType="solid">
        <fgColor rgb="FFC6EFCE"/>
      </patternFill>
    </fill>
    <fill>
      <patternFill patternType="solid">
        <fgColor rgb="FFA5A5A5"/>
      </patternFill>
    </fill>
    <fill>
      <patternFill patternType="solid">
        <fgColor rgb="FFFFFFFF"/>
        <bgColor indexed="64"/>
      </patternFill>
    </fill>
    <fill>
      <patternFill patternType="solid">
        <fgColor rgb="FFF5FBFF"/>
        <bgColor indexed="64"/>
      </patternFill>
    </fill>
    <fill>
      <patternFill patternType="solid">
        <fgColor rgb="FFE5F2F8"/>
        <bgColor indexed="64"/>
      </patternFill>
    </fill>
    <fill>
      <patternFill patternType="solid">
        <fgColor theme="7" tint="0.79998168889431442"/>
        <bgColor indexed="64"/>
      </patternFill>
    </fill>
    <fill>
      <patternFill patternType="solid">
        <fgColor rgb="FFFFFF00"/>
        <bgColor indexed="64"/>
      </patternFill>
    </fill>
    <fill>
      <patternFill patternType="solid">
        <fgColor rgb="FF03BF8C"/>
        <bgColor indexed="64"/>
      </patternFill>
    </fill>
  </fills>
  <borders count="56">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rgb="FF000000"/>
      </left>
      <right style="thin">
        <color rgb="FF000000"/>
      </right>
      <top/>
      <bottom style="thin">
        <color theme="4" tint="0.39997558519241921"/>
      </bottom>
      <diagonal/>
    </border>
    <border>
      <left style="thin">
        <color theme="4" tint="0.39997558519241921"/>
      </left>
      <right style="thin">
        <color theme="4" tint="0.39997558519241921"/>
      </right>
      <top/>
      <bottom style="thin">
        <color theme="4" tint="0.39997558519241921"/>
      </bottom>
      <diagonal/>
    </border>
    <border>
      <left/>
      <right/>
      <top/>
      <bottom style="thin">
        <color theme="4" tint="0.39997558519241921"/>
      </bottom>
      <diagonal/>
    </border>
    <border>
      <left/>
      <right style="thin">
        <color theme="0"/>
      </right>
      <top/>
      <bottom style="thick">
        <color theme="0"/>
      </bottom>
      <diagonal/>
    </border>
    <border>
      <left style="thin">
        <color theme="0"/>
      </left>
      <right style="thin">
        <color theme="0"/>
      </right>
      <top/>
      <bottom style="thick">
        <color theme="0"/>
      </bottom>
      <diagonal/>
    </border>
    <border>
      <left style="thin">
        <color theme="0"/>
      </left>
      <right/>
      <top/>
      <bottom style="thick">
        <color theme="0"/>
      </bottom>
      <diagonal/>
    </border>
    <border>
      <left/>
      <right style="thin">
        <color theme="0"/>
      </right>
      <top style="thin">
        <color theme="0"/>
      </top>
      <bottom style="thin">
        <color theme="0"/>
      </bottom>
      <diagonal/>
    </border>
    <border>
      <left/>
      <right style="thin">
        <color theme="0"/>
      </right>
      <top style="thin">
        <color theme="0"/>
      </top>
      <bottom/>
      <diagonal/>
    </border>
    <border>
      <left/>
      <right style="thin">
        <color theme="0"/>
      </right>
      <top style="thick">
        <color theme="0"/>
      </top>
      <bottom/>
      <diagonal/>
    </border>
    <border>
      <left style="thin">
        <color theme="0"/>
      </left>
      <right style="thin">
        <color theme="0"/>
      </right>
      <top style="thick">
        <color theme="0"/>
      </top>
      <bottom/>
      <diagonal/>
    </border>
    <border>
      <left/>
      <right/>
      <top style="thin">
        <color theme="0"/>
      </top>
      <bottom style="thin">
        <color theme="0"/>
      </bottom>
      <diagonal/>
    </border>
    <border>
      <left/>
      <right style="thin">
        <color theme="0"/>
      </right>
      <top/>
      <bottom style="thin">
        <color theme="0"/>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style="thin">
        <color theme="0"/>
      </left>
      <right/>
      <top style="thick">
        <color theme="0"/>
      </top>
      <bottom/>
      <diagonal/>
    </border>
    <border>
      <left style="medium">
        <color indexed="64"/>
      </left>
      <right style="medium">
        <color indexed="64"/>
      </right>
      <top style="medium">
        <color indexed="64"/>
      </top>
      <bottom style="medium">
        <color indexed="64"/>
      </bottom>
      <diagonal/>
    </border>
    <border>
      <left style="thin">
        <color rgb="FFED7D31"/>
      </left>
      <right style="thin">
        <color rgb="FFFFFFFF"/>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
      <left style="thin">
        <color rgb="FFFFFFFF"/>
      </left>
      <right/>
      <top style="thin">
        <color rgb="FFFFFFFF"/>
      </top>
      <bottom style="thin">
        <color rgb="FFFFFFFF"/>
      </bottom>
      <diagonal/>
    </border>
    <border>
      <left/>
      <right/>
      <top/>
      <bottom style="thick">
        <color theme="0"/>
      </bottom>
      <diagonal/>
    </border>
    <border>
      <left/>
      <right/>
      <top/>
      <bottom style="medium">
        <color indexed="64"/>
      </bottom>
      <diagonal/>
    </border>
    <border>
      <left/>
      <right/>
      <top/>
      <bottom style="thin">
        <color theme="0"/>
      </bottom>
      <diagonal/>
    </border>
    <border>
      <left/>
      <right style="thin">
        <color theme="0"/>
      </right>
      <top/>
      <bottom/>
      <diagonal/>
    </border>
    <border>
      <left style="thin">
        <color theme="0"/>
      </left>
      <right style="thin">
        <color theme="0"/>
      </right>
      <top/>
      <bottom style="thin">
        <color theme="0"/>
      </bottom>
      <diagonal/>
    </border>
    <border>
      <left style="thin">
        <color indexed="64"/>
      </left>
      <right style="thin">
        <color indexed="64"/>
      </right>
      <top/>
      <bottom/>
      <diagonal/>
    </border>
    <border>
      <left style="thin">
        <color theme="4" tint="0.39997558519241921"/>
      </left>
      <right style="thin">
        <color theme="4" tint="0.39997558519241921"/>
      </right>
      <top style="thin">
        <color theme="4" tint="0.39997558519241921"/>
      </top>
      <bottom style="thin">
        <color theme="4" tint="0.39997558519241921"/>
      </bottom>
      <diagonal/>
    </border>
    <border>
      <left style="thin">
        <color indexed="64"/>
      </left>
      <right/>
      <top/>
      <bottom/>
      <diagonal/>
    </border>
    <border>
      <left style="thin">
        <color indexed="64"/>
      </left>
      <right/>
      <top/>
      <bottom style="thin">
        <color indexed="64"/>
      </bottom>
      <diagonal/>
    </border>
    <border>
      <left/>
      <right/>
      <top style="thin">
        <color theme="5"/>
      </top>
      <bottom/>
      <diagonal/>
    </border>
    <border>
      <left style="thin">
        <color theme="0"/>
      </left>
      <right style="thin">
        <color theme="0"/>
      </right>
      <top/>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style="thin">
        <color rgb="FF000000"/>
      </left>
      <right style="thin">
        <color rgb="FF000000"/>
      </right>
      <top style="thin">
        <color theme="4" tint="0.39997558519241921"/>
      </top>
      <bottom style="thin">
        <color theme="4" tint="0.39997558519241921"/>
      </bottom>
      <diagonal/>
    </border>
    <border>
      <left style="thin">
        <color rgb="FF000000"/>
      </left>
      <right style="thin">
        <color rgb="FF000000"/>
      </right>
      <top style="thin">
        <color theme="4" tint="0.39997558519241921"/>
      </top>
      <bottom/>
      <diagonal/>
    </border>
    <border>
      <left style="thin">
        <color theme="4" tint="0.39997558519241921"/>
      </left>
      <right style="thin">
        <color theme="4" tint="0.39997558519241921"/>
      </right>
      <top style="thin">
        <color theme="4" tint="0.39997558519241921"/>
      </top>
      <bottom/>
      <diagonal/>
    </border>
    <border>
      <left style="double">
        <color rgb="FF3F3F3F"/>
      </left>
      <right style="double">
        <color rgb="FF3F3F3F"/>
      </right>
      <top style="double">
        <color rgb="FF3F3F3F"/>
      </top>
      <bottom style="double">
        <color rgb="FF3F3F3F"/>
      </bottom>
      <diagonal/>
    </border>
    <border>
      <left/>
      <right style="medium">
        <color rgb="FF9ECDE2"/>
      </right>
      <top/>
      <bottom style="thick">
        <color rgb="FF1190B0"/>
      </bottom>
      <diagonal/>
    </border>
    <border>
      <left/>
      <right/>
      <top/>
      <bottom style="thick">
        <color rgb="FF1190B0"/>
      </bottom>
      <diagonal/>
    </border>
    <border>
      <left/>
      <right style="medium">
        <color rgb="FF9ECDE2"/>
      </right>
      <top/>
      <bottom/>
      <diagonal/>
    </border>
    <border>
      <left/>
      <right style="medium">
        <color rgb="FFD8EAF2"/>
      </right>
      <top/>
      <bottom/>
      <diagonal/>
    </border>
    <border>
      <left/>
      <right style="medium">
        <color rgb="FF000000"/>
      </right>
      <top style="medium">
        <color rgb="FF000000"/>
      </top>
      <bottom style="medium">
        <color rgb="FF000000"/>
      </bottom>
      <diagonal/>
    </border>
    <border>
      <left style="medium">
        <color indexed="64"/>
      </left>
      <right style="medium">
        <color indexed="64"/>
      </right>
      <top style="medium">
        <color indexed="64"/>
      </top>
      <bottom/>
      <diagonal/>
    </border>
    <border>
      <left style="thin">
        <color theme="0"/>
      </left>
      <right style="thin">
        <color theme="0"/>
      </right>
      <top style="thin">
        <color theme="0"/>
      </top>
      <bottom/>
      <diagonal/>
    </border>
    <border>
      <left/>
      <right style="thin">
        <color theme="4" tint="0.39997558519241921"/>
      </right>
      <top style="thin">
        <color theme="4" tint="0.39997558519241921"/>
      </top>
      <bottom style="thin">
        <color theme="4" tint="0.39997558519241921"/>
      </bottom>
      <diagonal/>
    </border>
    <border>
      <left/>
      <right/>
      <top style="thin">
        <color theme="4" tint="0.39997558519241921"/>
      </top>
      <bottom/>
      <diagonal/>
    </border>
    <border>
      <left style="thin">
        <color theme="4" tint="0.39997558519241921"/>
      </left>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
      <left style="thin">
        <color theme="4" tint="0.39997558519241921"/>
      </left>
      <right/>
      <top style="thin">
        <color theme="4" tint="0.39997558519241921"/>
      </top>
      <bottom/>
      <diagonal/>
    </border>
    <border>
      <left/>
      <right style="thin">
        <color theme="4" tint="0.39997558519241921"/>
      </right>
      <top style="thin">
        <color theme="4" tint="0.39997558519241921"/>
      </top>
      <bottom/>
      <diagonal/>
    </border>
    <border>
      <left style="thin">
        <color rgb="FF000000"/>
      </left>
      <right style="thin">
        <color theme="0"/>
      </right>
      <top style="thin">
        <color theme="0"/>
      </top>
      <bottom style="thin">
        <color theme="0"/>
      </bottom>
      <diagonal/>
    </border>
    <border>
      <left style="thin">
        <color rgb="FF000000"/>
      </left>
      <right style="thin">
        <color theme="0"/>
      </right>
      <top style="thin">
        <color theme="0"/>
      </top>
      <bottom/>
      <diagonal/>
    </border>
  </borders>
  <cellStyleXfs count="15">
    <xf numFmtId="0" fontId="0" fillId="0" borderId="0"/>
    <xf numFmtId="165" fontId="1" fillId="0" borderId="0" applyFont="0" applyFill="0" applyBorder="0" applyAlignment="0" applyProtection="0"/>
    <xf numFmtId="164" fontId="1" fillId="0" borderId="0" applyFont="0" applyFill="0" applyBorder="0" applyAlignment="0" applyProtection="0"/>
    <xf numFmtId="0" fontId="9" fillId="0" borderId="0"/>
    <xf numFmtId="9" fontId="1" fillId="0" borderId="0" applyFont="0" applyFill="0" applyBorder="0" applyAlignment="0" applyProtection="0"/>
    <xf numFmtId="0" fontId="15" fillId="18" borderId="0" applyNumberFormat="0" applyBorder="0" applyAlignment="0" applyProtection="0"/>
    <xf numFmtId="0" fontId="32" fillId="26" borderId="0" applyNumberFormat="0" applyBorder="0" applyAlignment="0" applyProtection="0"/>
    <xf numFmtId="0" fontId="36" fillId="0" borderId="0"/>
    <xf numFmtId="0" fontId="54" fillId="30" borderId="0" applyNumberFormat="0" applyBorder="0" applyAlignment="0" applyProtection="0"/>
    <xf numFmtId="0" fontId="5" fillId="31" borderId="40" applyNumberFormat="0" applyAlignment="0" applyProtection="0"/>
    <xf numFmtId="0" fontId="15" fillId="18" borderId="0" applyNumberFormat="0" applyBorder="0" applyAlignment="0" applyProtection="0"/>
    <xf numFmtId="0" fontId="32" fillId="26" borderId="0" applyNumberFormat="0" applyBorder="0" applyAlignment="0" applyProtection="0"/>
    <xf numFmtId="0" fontId="55" fillId="0" borderId="0">
      <alignment vertical="top"/>
    </xf>
    <xf numFmtId="0" fontId="9" fillId="0" borderId="0"/>
    <xf numFmtId="0" fontId="59" fillId="0" borderId="0"/>
  </cellStyleXfs>
  <cellXfs count="455">
    <xf numFmtId="0" fontId="0" fillId="0" borderId="0" xfId="0"/>
    <xf numFmtId="0" fontId="6" fillId="0" borderId="0" xfId="0" applyFont="1"/>
    <xf numFmtId="0" fontId="6" fillId="0" borderId="0" xfId="0" applyFont="1" applyAlignment="1">
      <alignment textRotation="45"/>
    </xf>
    <xf numFmtId="2" fontId="6" fillId="0" borderId="0" xfId="1" applyNumberFormat="1" applyFont="1"/>
    <xf numFmtId="0" fontId="5" fillId="16" borderId="4" xfId="0" applyFont="1" applyFill="1" applyBorder="1"/>
    <xf numFmtId="168" fontId="6" fillId="0" borderId="0" xfId="1" applyNumberFormat="1" applyFont="1"/>
    <xf numFmtId="165" fontId="6" fillId="0" borderId="0" xfId="1" applyFont="1"/>
    <xf numFmtId="11" fontId="8" fillId="0" borderId="0" xfId="0" applyNumberFormat="1" applyFont="1"/>
    <xf numFmtId="0" fontId="5" fillId="16" borderId="5" xfId="0" applyFont="1" applyFill="1" applyBorder="1"/>
    <xf numFmtId="167" fontId="3" fillId="15" borderId="0" xfId="0" applyNumberFormat="1" applyFont="1" applyFill="1"/>
    <xf numFmtId="0" fontId="0" fillId="0" borderId="6" xfId="0" applyBorder="1"/>
    <xf numFmtId="165" fontId="0" fillId="0" borderId="0" xfId="0" applyNumberFormat="1"/>
    <xf numFmtId="0" fontId="6" fillId="0" borderId="0" xfId="0" applyFont="1" applyAlignment="1">
      <alignment textRotation="45" wrapText="1"/>
    </xf>
    <xf numFmtId="0" fontId="6" fillId="15" borderId="0" xfId="0" applyFont="1" applyFill="1"/>
    <xf numFmtId="0" fontId="0" fillId="15" borderId="0" xfId="0" applyFill="1"/>
    <xf numFmtId="0" fontId="10" fillId="15" borderId="0" xfId="0" applyFont="1" applyFill="1"/>
    <xf numFmtId="0" fontId="2" fillId="17" borderId="0" xfId="0" applyFont="1" applyFill="1" applyAlignment="1">
      <alignment textRotation="45"/>
    </xf>
    <xf numFmtId="0" fontId="2" fillId="17" borderId="0" xfId="0" applyFont="1" applyFill="1" applyAlignment="1">
      <alignment textRotation="45" wrapText="1"/>
    </xf>
    <xf numFmtId="0" fontId="2" fillId="4" borderId="0" xfId="0" applyFont="1" applyFill="1" applyAlignment="1">
      <alignment horizontal="center"/>
    </xf>
    <xf numFmtId="0" fontId="2" fillId="2" borderId="0" xfId="0" applyFont="1" applyFill="1" applyAlignment="1">
      <alignment horizontal="center"/>
    </xf>
    <xf numFmtId="0" fontId="2" fillId="5" borderId="0" xfId="0" applyFont="1" applyFill="1" applyAlignment="1">
      <alignment horizontal="center"/>
    </xf>
    <xf numFmtId="0" fontId="2" fillId="6" borderId="0" xfId="0" applyFont="1" applyFill="1" applyAlignment="1">
      <alignment horizontal="center"/>
    </xf>
    <xf numFmtId="0" fontId="2" fillId="7" borderId="0" xfId="0" applyFont="1" applyFill="1" applyAlignment="1">
      <alignment horizontal="center"/>
    </xf>
    <xf numFmtId="0" fontId="2" fillId="8" borderId="0" xfId="0" applyFont="1" applyFill="1" applyAlignment="1">
      <alignment horizontal="center"/>
    </xf>
    <xf numFmtId="0" fontId="2" fillId="3" borderId="0" xfId="0" applyFont="1" applyFill="1" applyAlignment="1">
      <alignment horizontal="center"/>
    </xf>
    <xf numFmtId="0" fontId="2" fillId="9" borderId="0" xfId="0" applyFont="1" applyFill="1" applyAlignment="1">
      <alignment horizontal="center"/>
    </xf>
    <xf numFmtId="0" fontId="2" fillId="10" borderId="0" xfId="0" applyFont="1" applyFill="1" applyAlignment="1">
      <alignment horizontal="center"/>
    </xf>
    <xf numFmtId="0" fontId="2" fillId="11" borderId="0" xfId="0" applyFont="1" applyFill="1" applyAlignment="1">
      <alignment horizontal="center"/>
    </xf>
    <xf numFmtId="0" fontId="2" fillId="12" borderId="0" xfId="0" applyFont="1" applyFill="1" applyAlignment="1">
      <alignment horizontal="center"/>
    </xf>
    <xf numFmtId="0" fontId="2" fillId="13" borderId="0" xfId="0" applyFont="1" applyFill="1" applyAlignment="1">
      <alignment horizontal="center"/>
    </xf>
    <xf numFmtId="0" fontId="2" fillId="14" borderId="0" xfId="0" applyFont="1" applyFill="1" applyAlignment="1">
      <alignment horizontal="center"/>
    </xf>
    <xf numFmtId="2" fontId="6" fillId="0" borderId="0" xfId="0" applyNumberFormat="1" applyFont="1"/>
    <xf numFmtId="167" fontId="6" fillId="15" borderId="0" xfId="0" applyNumberFormat="1" applyFont="1" applyFill="1"/>
    <xf numFmtId="0" fontId="9" fillId="0" borderId="0" xfId="3"/>
    <xf numFmtId="0" fontId="12" fillId="15" borderId="0" xfId="0" applyFont="1" applyFill="1"/>
    <xf numFmtId="0" fontId="14" fillId="15" borderId="0" xfId="0" applyFont="1" applyFill="1"/>
    <xf numFmtId="165" fontId="8" fillId="0" borderId="0" xfId="1" applyFont="1"/>
    <xf numFmtId="170" fontId="8" fillId="0" borderId="0" xfId="1" applyNumberFormat="1" applyFont="1"/>
    <xf numFmtId="165" fontId="9" fillId="0" borderId="0" xfId="3" applyNumberFormat="1"/>
    <xf numFmtId="0" fontId="17" fillId="0" borderId="0" xfId="3" applyFont="1"/>
    <xf numFmtId="11" fontId="9" fillId="0" borderId="0" xfId="3" applyNumberFormat="1"/>
    <xf numFmtId="166" fontId="9" fillId="0" borderId="0" xfId="3" applyNumberFormat="1"/>
    <xf numFmtId="167" fontId="9" fillId="0" borderId="0" xfId="3" applyNumberFormat="1"/>
    <xf numFmtId="166" fontId="0" fillId="0" borderId="0" xfId="0" applyNumberFormat="1"/>
    <xf numFmtId="165" fontId="8" fillId="0" borderId="0" xfId="1" applyFont="1" applyFill="1"/>
    <xf numFmtId="2" fontId="9" fillId="0" borderId="0" xfId="3" applyNumberFormat="1"/>
    <xf numFmtId="11" fontId="17" fillId="0" borderId="0" xfId="3" applyNumberFormat="1" applyFont="1"/>
    <xf numFmtId="11" fontId="8" fillId="0" borderId="0" xfId="3" applyNumberFormat="1" applyFont="1"/>
    <xf numFmtId="0" fontId="8" fillId="0" borderId="0" xfId="0" applyFont="1"/>
    <xf numFmtId="0" fontId="16" fillId="19" borderId="7" xfId="0" applyFont="1" applyFill="1" applyBorder="1"/>
    <xf numFmtId="0" fontId="16" fillId="19" borderId="8" xfId="0" applyFont="1" applyFill="1" applyBorder="1"/>
    <xf numFmtId="2" fontId="6" fillId="20" borderId="10" xfId="0" applyNumberFormat="1" applyFont="1" applyFill="1" applyBorder="1"/>
    <xf numFmtId="0" fontId="16" fillId="19" borderId="12" xfId="0" applyFont="1" applyFill="1" applyBorder="1"/>
    <xf numFmtId="0" fontId="16" fillId="19" borderId="13" xfId="0" applyFont="1" applyFill="1" applyBorder="1"/>
    <xf numFmtId="2" fontId="6" fillId="20" borderId="10" xfId="1" applyNumberFormat="1" applyFont="1" applyFill="1" applyBorder="1"/>
    <xf numFmtId="0" fontId="7" fillId="15" borderId="0" xfId="0" applyFont="1" applyFill="1"/>
    <xf numFmtId="3" fontId="3" fillId="15" borderId="0" xfId="1" applyNumberFormat="1" applyFont="1" applyFill="1" applyBorder="1"/>
    <xf numFmtId="3" fontId="6" fillId="15" borderId="0" xfId="1" applyNumberFormat="1" applyFont="1" applyFill="1" applyBorder="1"/>
    <xf numFmtId="0" fontId="2" fillId="17" borderId="8" xfId="0" applyFont="1" applyFill="1" applyBorder="1"/>
    <xf numFmtId="0" fontId="2" fillId="17" borderId="9" xfId="0" applyFont="1" applyFill="1" applyBorder="1"/>
    <xf numFmtId="9" fontId="6" fillId="20" borderId="14" xfId="4" applyFont="1" applyFill="1" applyBorder="1"/>
    <xf numFmtId="3" fontId="6" fillId="0" borderId="0" xfId="0" applyNumberFormat="1" applyFont="1"/>
    <xf numFmtId="9" fontId="9" fillId="0" borderId="0" xfId="4" applyFont="1"/>
    <xf numFmtId="0" fontId="2" fillId="4" borderId="8" xfId="0" applyFont="1" applyFill="1" applyBorder="1" applyAlignment="1">
      <alignment horizontal="center"/>
    </xf>
    <xf numFmtId="0" fontId="2" fillId="2" borderId="8" xfId="0" applyFont="1" applyFill="1" applyBorder="1" applyAlignment="1">
      <alignment horizontal="center"/>
    </xf>
    <xf numFmtId="0" fontId="2" fillId="5" borderId="8" xfId="0" applyFont="1" applyFill="1" applyBorder="1" applyAlignment="1">
      <alignment horizontal="center"/>
    </xf>
    <xf numFmtId="0" fontId="2" fillId="6" borderId="8" xfId="0" applyFont="1" applyFill="1" applyBorder="1" applyAlignment="1">
      <alignment horizontal="center"/>
    </xf>
    <xf numFmtId="0" fontId="2" fillId="7" borderId="8" xfId="0" applyFont="1" applyFill="1" applyBorder="1" applyAlignment="1">
      <alignment horizontal="center"/>
    </xf>
    <xf numFmtId="0" fontId="2" fillId="8" borderId="8" xfId="0" applyFont="1" applyFill="1" applyBorder="1" applyAlignment="1">
      <alignment horizontal="center"/>
    </xf>
    <xf numFmtId="0" fontId="2" fillId="3" borderId="8" xfId="0" applyFont="1" applyFill="1" applyBorder="1" applyAlignment="1">
      <alignment horizontal="center"/>
    </xf>
    <xf numFmtId="0" fontId="2" fillId="9" borderId="8" xfId="0" applyFont="1" applyFill="1" applyBorder="1" applyAlignment="1">
      <alignment horizontal="center"/>
    </xf>
    <xf numFmtId="0" fontId="2" fillId="10" borderId="8" xfId="0" applyFont="1" applyFill="1" applyBorder="1" applyAlignment="1">
      <alignment horizontal="center"/>
    </xf>
    <xf numFmtId="0" fontId="2" fillId="11" borderId="8" xfId="0" applyFont="1" applyFill="1" applyBorder="1" applyAlignment="1">
      <alignment horizontal="center"/>
    </xf>
    <xf numFmtId="0" fontId="2" fillId="12" borderId="8" xfId="0" applyFont="1" applyFill="1" applyBorder="1" applyAlignment="1">
      <alignment horizontal="center"/>
    </xf>
    <xf numFmtId="0" fontId="2" fillId="13" borderId="8" xfId="0" applyFont="1" applyFill="1" applyBorder="1" applyAlignment="1">
      <alignment horizontal="center"/>
    </xf>
    <xf numFmtId="0" fontId="2" fillId="14" borderId="9" xfId="0" applyFont="1" applyFill="1" applyBorder="1" applyAlignment="1">
      <alignment horizontal="center"/>
    </xf>
    <xf numFmtId="0" fontId="6" fillId="20" borderId="16" xfId="0" applyFont="1" applyFill="1" applyBorder="1"/>
    <xf numFmtId="3" fontId="3" fillId="15" borderId="16" xfId="1" applyNumberFormat="1" applyFont="1" applyFill="1" applyBorder="1"/>
    <xf numFmtId="3" fontId="6" fillId="15" borderId="17" xfId="1" applyNumberFormat="1" applyFont="1" applyFill="1" applyBorder="1"/>
    <xf numFmtId="3" fontId="3" fillId="15" borderId="17" xfId="1" applyNumberFormat="1" applyFont="1" applyFill="1" applyBorder="1"/>
    <xf numFmtId="169" fontId="16" fillId="19" borderId="13" xfId="0" applyNumberFormat="1" applyFont="1" applyFill="1" applyBorder="1"/>
    <xf numFmtId="9" fontId="4" fillId="15" borderId="19" xfId="4" applyFont="1" applyFill="1" applyBorder="1" applyAlignment="1">
      <alignment horizontal="center" vertical="center"/>
    </xf>
    <xf numFmtId="171" fontId="4" fillId="15" borderId="19" xfId="0" applyNumberFormat="1" applyFont="1" applyFill="1" applyBorder="1" applyAlignment="1">
      <alignment vertical="center"/>
    </xf>
    <xf numFmtId="0" fontId="18" fillId="22" borderId="20" xfId="0" applyFont="1" applyFill="1" applyBorder="1"/>
    <xf numFmtId="0" fontId="18" fillId="22" borderId="21" xfId="0" applyFont="1" applyFill="1" applyBorder="1"/>
    <xf numFmtId="0" fontId="18" fillId="0" borderId="0" xfId="0" applyFont="1"/>
    <xf numFmtId="166" fontId="18" fillId="22" borderId="21" xfId="0" applyNumberFormat="1" applyFont="1" applyFill="1" applyBorder="1"/>
    <xf numFmtId="0" fontId="18" fillId="22" borderId="22" xfId="0" applyFont="1" applyFill="1" applyBorder="1"/>
    <xf numFmtId="173" fontId="9" fillId="0" borderId="0" xfId="3" applyNumberFormat="1"/>
    <xf numFmtId="2" fontId="8" fillId="0" borderId="0" xfId="1" applyNumberFormat="1" applyFont="1"/>
    <xf numFmtId="176" fontId="6" fillId="0" borderId="0" xfId="0" applyNumberFormat="1" applyFont="1"/>
    <xf numFmtId="169" fontId="3" fillId="15" borderId="0" xfId="1" applyNumberFormat="1" applyFont="1" applyFill="1" applyBorder="1"/>
    <xf numFmtId="166" fontId="6" fillId="20" borderId="10" xfId="1" applyNumberFormat="1" applyFont="1" applyFill="1" applyBorder="1"/>
    <xf numFmtId="169" fontId="6" fillId="20" borderId="10" xfId="1" applyNumberFormat="1" applyFont="1" applyFill="1" applyBorder="1"/>
    <xf numFmtId="169" fontId="6" fillId="20" borderId="15" xfId="1" applyNumberFormat="1" applyFont="1" applyFill="1" applyBorder="1"/>
    <xf numFmtId="0" fontId="16" fillId="19" borderId="7" xfId="0" applyFont="1" applyFill="1" applyBorder="1" applyAlignment="1">
      <alignment horizontal="center" textRotation="90"/>
    </xf>
    <xf numFmtId="0" fontId="16" fillId="19" borderId="23" xfId="0" applyFont="1" applyFill="1" applyBorder="1" applyAlignment="1">
      <alignment horizontal="center" textRotation="90"/>
    </xf>
    <xf numFmtId="176" fontId="6" fillId="20" borderId="10" xfId="1" applyNumberFormat="1" applyFont="1" applyFill="1" applyBorder="1"/>
    <xf numFmtId="169" fontId="6" fillId="20" borderId="14" xfId="1" applyNumberFormat="1" applyFont="1" applyFill="1" applyBorder="1"/>
    <xf numFmtId="3" fontId="4" fillId="15" borderId="0" xfId="1" applyNumberFormat="1" applyFont="1" applyFill="1" applyBorder="1" applyAlignment="1">
      <alignment horizontal="center" vertical="center"/>
    </xf>
    <xf numFmtId="2" fontId="6" fillId="15" borderId="0" xfId="1" applyNumberFormat="1" applyFont="1" applyFill="1"/>
    <xf numFmtId="171" fontId="6" fillId="15" borderId="0" xfId="1" applyNumberFormat="1" applyFont="1" applyFill="1"/>
    <xf numFmtId="168" fontId="6" fillId="15" borderId="0" xfId="1" applyNumberFormat="1" applyFont="1" applyFill="1"/>
    <xf numFmtId="3" fontId="6" fillId="20" borderId="10" xfId="1" applyNumberFormat="1" applyFont="1" applyFill="1" applyBorder="1"/>
    <xf numFmtId="0" fontId="4" fillId="15" borderId="0" xfId="0" applyFont="1" applyFill="1" applyAlignment="1">
      <alignment horizontal="center"/>
    </xf>
    <xf numFmtId="172" fontId="4" fillId="15" borderId="1" xfId="0" applyNumberFormat="1" applyFont="1" applyFill="1" applyBorder="1" applyAlignment="1">
      <alignment horizontal="center" vertical="center"/>
    </xf>
    <xf numFmtId="2" fontId="18" fillId="23" borderId="21" xfId="0" applyNumberFormat="1" applyFont="1" applyFill="1" applyBorder="1"/>
    <xf numFmtId="2" fontId="18" fillId="22" borderId="21" xfId="0" applyNumberFormat="1" applyFont="1" applyFill="1" applyBorder="1"/>
    <xf numFmtId="0" fontId="15" fillId="18" borderId="0" xfId="5"/>
    <xf numFmtId="0" fontId="20" fillId="0" borderId="0" xfId="0" applyFont="1"/>
    <xf numFmtId="0" fontId="4" fillId="15" borderId="0" xfId="0" applyFont="1" applyFill="1"/>
    <xf numFmtId="0" fontId="21" fillId="15" borderId="0" xfId="0" applyFont="1" applyFill="1"/>
    <xf numFmtId="3" fontId="22" fillId="15" borderId="1" xfId="0" applyNumberFormat="1" applyFont="1" applyFill="1" applyBorder="1" applyAlignment="1">
      <alignment horizontal="center"/>
    </xf>
    <xf numFmtId="3" fontId="22" fillId="15" borderId="3" xfId="0" applyNumberFormat="1" applyFont="1" applyFill="1" applyBorder="1" applyAlignment="1">
      <alignment horizontal="center"/>
    </xf>
    <xf numFmtId="3" fontId="22" fillId="15" borderId="19" xfId="0" applyNumberFormat="1" applyFont="1" applyFill="1" applyBorder="1" applyAlignment="1">
      <alignment horizontal="center"/>
    </xf>
    <xf numFmtId="3" fontId="23" fillId="15" borderId="19" xfId="0" applyNumberFormat="1" applyFont="1" applyFill="1" applyBorder="1" applyAlignment="1">
      <alignment horizontal="center"/>
    </xf>
    <xf numFmtId="3" fontId="23" fillId="15" borderId="1" xfId="0" applyNumberFormat="1" applyFont="1" applyFill="1" applyBorder="1" applyAlignment="1">
      <alignment horizontal="center"/>
    </xf>
    <xf numFmtId="3" fontId="24" fillId="15" borderId="19" xfId="0" applyNumberFormat="1" applyFont="1" applyFill="1" applyBorder="1" applyAlignment="1">
      <alignment horizontal="center" vertical="center"/>
    </xf>
    <xf numFmtId="0" fontId="25" fillId="24" borderId="0" xfId="0" applyFont="1" applyFill="1"/>
    <xf numFmtId="0" fontId="26" fillId="24" borderId="0" xfId="0" applyFont="1" applyFill="1"/>
    <xf numFmtId="169" fontId="6" fillId="20" borderId="0" xfId="1" applyNumberFormat="1" applyFont="1" applyFill="1" applyBorder="1"/>
    <xf numFmtId="166" fontId="4" fillId="15" borderId="19" xfId="0" applyNumberFormat="1" applyFont="1" applyFill="1" applyBorder="1" applyAlignment="1">
      <alignment vertical="center"/>
    </xf>
    <xf numFmtId="1" fontId="6" fillId="20" borderId="10" xfId="1" applyNumberFormat="1" applyFont="1" applyFill="1" applyBorder="1"/>
    <xf numFmtId="3" fontId="6" fillId="20" borderId="14" xfId="1" applyNumberFormat="1" applyFont="1" applyFill="1" applyBorder="1"/>
    <xf numFmtId="165" fontId="6" fillId="20" borderId="0" xfId="1" applyFont="1" applyFill="1"/>
    <xf numFmtId="176" fontId="6" fillId="15" borderId="0" xfId="0" applyNumberFormat="1" applyFont="1" applyFill="1"/>
    <xf numFmtId="0" fontId="29" fillId="15" borderId="0" xfId="0" applyFont="1" applyFill="1"/>
    <xf numFmtId="49" fontId="6" fillId="0" borderId="0" xfId="1" applyNumberFormat="1" applyFont="1"/>
    <xf numFmtId="169" fontId="6" fillId="20" borderId="27" xfId="1" applyNumberFormat="1" applyFont="1" applyFill="1" applyBorder="1"/>
    <xf numFmtId="0" fontId="2" fillId="17" borderId="23" xfId="0" applyFont="1" applyFill="1" applyBorder="1"/>
    <xf numFmtId="169" fontId="0" fillId="0" borderId="0" xfId="0" applyNumberFormat="1"/>
    <xf numFmtId="169" fontId="6" fillId="0" borderId="0" xfId="0" applyNumberFormat="1" applyFont="1"/>
    <xf numFmtId="179" fontId="6" fillId="20" borderId="0" xfId="1" applyNumberFormat="1" applyFont="1" applyFill="1"/>
    <xf numFmtId="169" fontId="6" fillId="20" borderId="0" xfId="1" applyNumberFormat="1" applyFont="1" applyFill="1"/>
    <xf numFmtId="179" fontId="6" fillId="20" borderId="10" xfId="1" applyNumberFormat="1" applyFont="1" applyFill="1" applyBorder="1"/>
    <xf numFmtId="179" fontId="6" fillId="20" borderId="14" xfId="1" applyNumberFormat="1" applyFont="1" applyFill="1" applyBorder="1"/>
    <xf numFmtId="179" fontId="16" fillId="19" borderId="13" xfId="0" applyNumberFormat="1" applyFont="1" applyFill="1" applyBorder="1"/>
    <xf numFmtId="179" fontId="0" fillId="0" borderId="0" xfId="0" applyNumberFormat="1"/>
    <xf numFmtId="179" fontId="6" fillId="20" borderId="25" xfId="1" applyNumberFormat="1" applyFont="1" applyFill="1" applyBorder="1"/>
    <xf numFmtId="179" fontId="6" fillId="20" borderId="26" xfId="1" applyNumberFormat="1" applyFont="1" applyFill="1" applyBorder="1"/>
    <xf numFmtId="0" fontId="0" fillId="0" borderId="0" xfId="0" pivotButton="1"/>
    <xf numFmtId="169" fontId="6" fillId="0" borderId="28" xfId="0" applyNumberFormat="1" applyFont="1" applyBorder="1"/>
    <xf numFmtId="176" fontId="3" fillId="15" borderId="0" xfId="0" applyNumberFormat="1" applyFont="1" applyFill="1"/>
    <xf numFmtId="0" fontId="2" fillId="25" borderId="0" xfId="0" applyFont="1" applyFill="1" applyAlignment="1">
      <alignment horizontal="center"/>
    </xf>
    <xf numFmtId="179" fontId="6" fillId="0" borderId="0" xfId="0" applyNumberFormat="1" applyFont="1"/>
    <xf numFmtId="0" fontId="2" fillId="25" borderId="23" xfId="0" applyFont="1" applyFill="1" applyBorder="1"/>
    <xf numFmtId="176" fontId="6" fillId="0" borderId="28" xfId="0" applyNumberFormat="1" applyFont="1" applyBorder="1"/>
    <xf numFmtId="0" fontId="14" fillId="0" borderId="0" xfId="0" applyFont="1"/>
    <xf numFmtId="0" fontId="30" fillId="15" borderId="0" xfId="0" applyFont="1" applyFill="1"/>
    <xf numFmtId="0" fontId="5" fillId="16" borderId="29" xfId="0" applyFont="1" applyFill="1" applyBorder="1"/>
    <xf numFmtId="174" fontId="4" fillId="15" borderId="0" xfId="0" applyNumberFormat="1" applyFont="1" applyFill="1" applyAlignment="1">
      <alignment horizontal="center" vertical="center"/>
    </xf>
    <xf numFmtId="0" fontId="0" fillId="0" borderId="0" xfId="0" applyAlignment="1">
      <alignment horizontal="left"/>
    </xf>
    <xf numFmtId="3" fontId="4" fillId="15" borderId="1" xfId="1" applyNumberFormat="1" applyFont="1" applyFill="1" applyBorder="1" applyAlignment="1">
      <alignment vertical="center"/>
    </xf>
    <xf numFmtId="3" fontId="4" fillId="15" borderId="2" xfId="1" applyNumberFormat="1" applyFont="1" applyFill="1" applyBorder="1" applyAlignment="1">
      <alignment vertical="center"/>
    </xf>
    <xf numFmtId="3" fontId="4" fillId="15" borderId="3" xfId="1" applyNumberFormat="1" applyFont="1" applyFill="1" applyBorder="1" applyAlignment="1">
      <alignment vertical="center"/>
    </xf>
    <xf numFmtId="3" fontId="4" fillId="15" borderId="1" xfId="0" applyNumberFormat="1" applyFont="1" applyFill="1" applyBorder="1" applyAlignment="1">
      <alignment vertical="center"/>
    </xf>
    <xf numFmtId="3" fontId="4" fillId="15" borderId="1" xfId="1" applyNumberFormat="1" applyFont="1" applyFill="1" applyBorder="1" applyAlignment="1"/>
    <xf numFmtId="3" fontId="4" fillId="15" borderId="2" xfId="1" applyNumberFormat="1" applyFont="1" applyFill="1" applyBorder="1" applyAlignment="1"/>
    <xf numFmtId="3" fontId="4" fillId="15" borderId="3" xfId="1" applyNumberFormat="1" applyFont="1" applyFill="1" applyBorder="1" applyAlignment="1"/>
    <xf numFmtId="3" fontId="16" fillId="19" borderId="13" xfId="0" applyNumberFormat="1" applyFont="1" applyFill="1" applyBorder="1"/>
    <xf numFmtId="3" fontId="16" fillId="19" borderId="18" xfId="0" applyNumberFormat="1" applyFont="1" applyFill="1" applyBorder="1"/>
    <xf numFmtId="169" fontId="31" fillId="19" borderId="28" xfId="0" applyNumberFormat="1" applyFont="1" applyFill="1" applyBorder="1"/>
    <xf numFmtId="11" fontId="13" fillId="0" borderId="0" xfId="0" applyNumberFormat="1" applyFont="1" applyAlignment="1">
      <alignment horizontal="left" vertical="center" wrapText="1" indent="2"/>
    </xf>
    <xf numFmtId="11" fontId="0" fillId="0" borderId="0" xfId="0" applyNumberFormat="1"/>
    <xf numFmtId="0" fontId="0" fillId="0" borderId="0" xfId="0" applyAlignment="1">
      <alignment vertical="top"/>
    </xf>
    <xf numFmtId="9" fontId="9" fillId="0" borderId="0" xfId="3" applyNumberFormat="1"/>
    <xf numFmtId="11" fontId="33" fillId="0" borderId="0" xfId="0" applyNumberFormat="1" applyFont="1"/>
    <xf numFmtId="0" fontId="33" fillId="0" borderId="0" xfId="0" applyFont="1"/>
    <xf numFmtId="3" fontId="4" fillId="15" borderId="0" xfId="1" applyNumberFormat="1" applyFont="1" applyFill="1" applyBorder="1" applyAlignment="1">
      <alignment vertical="center"/>
    </xf>
    <xf numFmtId="174" fontId="4" fillId="15" borderId="0" xfId="0" applyNumberFormat="1" applyFont="1" applyFill="1" applyAlignment="1">
      <alignment vertical="center"/>
    </xf>
    <xf numFmtId="3" fontId="4" fillId="15" borderId="0" xfId="0" applyNumberFormat="1" applyFont="1" applyFill="1" applyAlignment="1">
      <alignment vertical="center"/>
    </xf>
    <xf numFmtId="0" fontId="0" fillId="17" borderId="0" xfId="0" applyFill="1" applyAlignment="1">
      <alignment textRotation="45" wrapText="1"/>
    </xf>
    <xf numFmtId="0" fontId="9" fillId="21" borderId="16" xfId="3" applyFill="1" applyBorder="1"/>
    <xf numFmtId="0" fontId="9" fillId="20" borderId="16" xfId="3" applyFill="1" applyBorder="1"/>
    <xf numFmtId="11" fontId="34" fillId="0" borderId="0" xfId="0" applyNumberFormat="1" applyFont="1"/>
    <xf numFmtId="11" fontId="34" fillId="0" borderId="30" xfId="0" applyNumberFormat="1" applyFont="1" applyBorder="1"/>
    <xf numFmtId="0" fontId="34" fillId="0" borderId="30" xfId="0" applyFont="1" applyBorder="1"/>
    <xf numFmtId="0" fontId="34" fillId="0" borderId="31" xfId="0" applyFont="1" applyBorder="1"/>
    <xf numFmtId="166" fontId="6" fillId="15" borderId="0" xfId="0" applyNumberFormat="1" applyFont="1" applyFill="1"/>
    <xf numFmtId="166" fontId="9" fillId="27" borderId="16" xfId="3" applyNumberFormat="1" applyFill="1" applyBorder="1"/>
    <xf numFmtId="0" fontId="35" fillId="0" borderId="0" xfId="3" applyFont="1"/>
    <xf numFmtId="9" fontId="0" fillId="0" borderId="0" xfId="4" applyFont="1"/>
    <xf numFmtId="2" fontId="0" fillId="0" borderId="0" xfId="4" applyNumberFormat="1" applyFont="1"/>
    <xf numFmtId="0" fontId="16" fillId="0" borderId="0" xfId="3" applyFont="1"/>
    <xf numFmtId="0" fontId="31" fillId="0" borderId="32" xfId="3" applyFont="1" applyBorder="1"/>
    <xf numFmtId="0" fontId="37" fillId="0" borderId="32" xfId="3" applyFont="1" applyBorder="1"/>
    <xf numFmtId="0" fontId="37" fillId="0" borderId="0" xfId="3" applyFont="1"/>
    <xf numFmtId="166" fontId="37" fillId="0" borderId="32" xfId="3" applyNumberFormat="1" applyFont="1" applyBorder="1"/>
    <xf numFmtId="180" fontId="37" fillId="0" borderId="32" xfId="3" applyNumberFormat="1" applyFont="1" applyBorder="1"/>
    <xf numFmtId="44" fontId="0" fillId="0" borderId="0" xfId="0" applyNumberFormat="1"/>
    <xf numFmtId="1" fontId="6" fillId="0" borderId="0" xfId="1" applyNumberFormat="1" applyFont="1"/>
    <xf numFmtId="171" fontId="4" fillId="15" borderId="3" xfId="0" applyNumberFormat="1" applyFont="1" applyFill="1" applyBorder="1" applyAlignment="1">
      <alignment horizontal="center" vertical="center"/>
    </xf>
    <xf numFmtId="10" fontId="38" fillId="15" borderId="0" xfId="4" applyNumberFormat="1" applyFont="1" applyFill="1" applyAlignment="1">
      <alignment horizontal="left"/>
    </xf>
    <xf numFmtId="10" fontId="38" fillId="15" borderId="0" xfId="4" applyNumberFormat="1" applyFont="1" applyFill="1" applyAlignment="1">
      <alignment horizontal="center"/>
    </xf>
    <xf numFmtId="0" fontId="39" fillId="15" borderId="0" xfId="0" applyFont="1" applyFill="1"/>
    <xf numFmtId="14" fontId="0" fillId="0" borderId="0" xfId="0" applyNumberFormat="1"/>
    <xf numFmtId="169" fontId="6" fillId="20" borderId="26" xfId="1" applyNumberFormat="1" applyFont="1" applyFill="1" applyBorder="1"/>
    <xf numFmtId="2" fontId="6" fillId="20" borderId="11" xfId="0" applyNumberFormat="1" applyFont="1" applyFill="1" applyBorder="1"/>
    <xf numFmtId="2" fontId="6" fillId="20" borderId="11" xfId="1" applyNumberFormat="1" applyFont="1" applyFill="1" applyBorder="1"/>
    <xf numFmtId="169" fontId="6" fillId="20" borderId="33" xfId="1" applyNumberFormat="1" applyFont="1" applyFill="1" applyBorder="1"/>
    <xf numFmtId="10" fontId="40" fillId="15" borderId="0" xfId="4" applyNumberFormat="1" applyFont="1" applyFill="1" applyAlignment="1">
      <alignment horizontal="center"/>
    </xf>
    <xf numFmtId="10" fontId="40" fillId="15" borderId="0" xfId="4" applyNumberFormat="1" applyFont="1" applyFill="1" applyAlignment="1">
      <alignment horizontal="left"/>
    </xf>
    <xf numFmtId="0" fontId="41" fillId="15" borderId="0" xfId="0" applyFont="1" applyFill="1"/>
    <xf numFmtId="0" fontId="0" fillId="28" borderId="29" xfId="0" applyFill="1" applyBorder="1"/>
    <xf numFmtId="0" fontId="0" fillId="0" borderId="29" xfId="0" applyBorder="1"/>
    <xf numFmtId="0" fontId="9" fillId="0" borderId="29" xfId="3" applyBorder="1"/>
    <xf numFmtId="0" fontId="9" fillId="28" borderId="29" xfId="3" applyFill="1" applyBorder="1"/>
    <xf numFmtId="49" fontId="6" fillId="20" borderId="10" xfId="1" applyNumberFormat="1" applyFont="1" applyFill="1" applyBorder="1"/>
    <xf numFmtId="49" fontId="6" fillId="0" borderId="0" xfId="0" applyNumberFormat="1" applyFont="1"/>
    <xf numFmtId="49" fontId="6" fillId="20" borderId="10" xfId="0" applyNumberFormat="1" applyFont="1" applyFill="1" applyBorder="1"/>
    <xf numFmtId="0" fontId="9" fillId="0" borderId="0" xfId="3" applyAlignment="1">
      <alignment textRotation="45"/>
    </xf>
    <xf numFmtId="2" fontId="0" fillId="0" borderId="0" xfId="0" applyNumberFormat="1"/>
    <xf numFmtId="44" fontId="9" fillId="0" borderId="0" xfId="3" applyNumberFormat="1"/>
    <xf numFmtId="0" fontId="29" fillId="0" borderId="0" xfId="0" applyFont="1" applyAlignment="1">
      <alignment textRotation="45" wrapText="1"/>
    </xf>
    <xf numFmtId="0" fontId="9" fillId="0" borderId="0" xfId="3" applyAlignment="1">
      <alignment textRotation="45" wrapText="1"/>
    </xf>
    <xf numFmtId="0" fontId="27" fillId="0" borderId="0" xfId="3" applyFont="1" applyAlignment="1">
      <alignment textRotation="45" wrapText="1"/>
    </xf>
    <xf numFmtId="0" fontId="42" fillId="15" borderId="0" xfId="0" applyFont="1" applyFill="1" applyAlignment="1">
      <alignment vertical="center" wrapText="1"/>
    </xf>
    <xf numFmtId="0" fontId="43" fillId="15" borderId="0" xfId="0" applyFont="1" applyFill="1" applyAlignment="1">
      <alignment vertical="center" wrapText="1"/>
    </xf>
    <xf numFmtId="0" fontId="44" fillId="15" borderId="0" xfId="0" applyFont="1" applyFill="1" applyAlignment="1">
      <alignment horizontal="left" vertical="center" wrapText="1"/>
    </xf>
    <xf numFmtId="0" fontId="46" fillId="15" borderId="0" xfId="0" applyFont="1" applyFill="1" applyAlignment="1">
      <alignment vertical="center" wrapText="1"/>
    </xf>
    <xf numFmtId="0" fontId="48" fillId="15" borderId="0" xfId="0" applyFont="1" applyFill="1" applyAlignment="1">
      <alignment vertical="center" wrapText="1"/>
    </xf>
    <xf numFmtId="0" fontId="47" fillId="15" borderId="0" xfId="0" applyFont="1" applyFill="1" applyAlignment="1">
      <alignment vertical="center" wrapText="1"/>
    </xf>
    <xf numFmtId="0" fontId="0" fillId="15" borderId="0" xfId="0" applyFill="1" applyAlignment="1">
      <alignment vertical="center" wrapText="1"/>
    </xf>
    <xf numFmtId="0" fontId="0" fillId="15" borderId="0" xfId="0" applyFill="1" applyAlignment="1">
      <alignment wrapText="1"/>
    </xf>
    <xf numFmtId="0" fontId="0" fillId="15" borderId="0" xfId="0" applyFill="1" applyProtection="1">
      <protection hidden="1"/>
    </xf>
    <xf numFmtId="0" fontId="0" fillId="0" borderId="0" xfId="0" applyProtection="1">
      <protection hidden="1"/>
    </xf>
    <xf numFmtId="0" fontId="10" fillId="15" borderId="0" xfId="0" applyFont="1" applyFill="1" applyProtection="1">
      <protection hidden="1"/>
    </xf>
    <xf numFmtId="0" fontId="28" fillId="15" borderId="0" xfId="3" applyFont="1" applyFill="1" applyProtection="1">
      <protection hidden="1"/>
    </xf>
    <xf numFmtId="0" fontId="29" fillId="15" borderId="0" xfId="0" applyFont="1" applyFill="1" applyProtection="1">
      <protection hidden="1"/>
    </xf>
    <xf numFmtId="14" fontId="29" fillId="15" borderId="0" xfId="0" applyNumberFormat="1" applyFont="1" applyFill="1" applyProtection="1">
      <protection hidden="1"/>
    </xf>
    <xf numFmtId="0" fontId="3" fillId="15" borderId="0" xfId="0" applyFont="1" applyFill="1" applyProtection="1">
      <protection hidden="1"/>
    </xf>
    <xf numFmtId="0" fontId="6" fillId="0" borderId="0" xfId="0" applyFont="1" applyAlignment="1" applyProtection="1">
      <alignment textRotation="45"/>
      <protection hidden="1"/>
    </xf>
    <xf numFmtId="0" fontId="6" fillId="0" borderId="0" xfId="0" applyFont="1" applyAlignment="1" applyProtection="1">
      <alignment textRotation="45" wrapText="1"/>
      <protection hidden="1"/>
    </xf>
    <xf numFmtId="0" fontId="2" fillId="17" borderId="0" xfId="0" applyFont="1" applyFill="1" applyAlignment="1" applyProtection="1">
      <alignment textRotation="45"/>
      <protection hidden="1"/>
    </xf>
    <xf numFmtId="0" fontId="3" fillId="0" borderId="0" xfId="0" applyFont="1" applyAlignment="1" applyProtection="1">
      <alignment textRotation="45"/>
      <protection hidden="1"/>
    </xf>
    <xf numFmtId="2" fontId="6" fillId="0" borderId="0" xfId="1" applyNumberFormat="1" applyFont="1" applyProtection="1">
      <protection hidden="1"/>
    </xf>
    <xf numFmtId="165" fontId="6" fillId="0" borderId="0" xfId="1" applyFont="1" applyProtection="1">
      <protection hidden="1"/>
    </xf>
    <xf numFmtId="169" fontId="6" fillId="0" borderId="0" xfId="1" applyNumberFormat="1" applyFont="1" applyProtection="1">
      <protection hidden="1"/>
    </xf>
    <xf numFmtId="168" fontId="6" fillId="0" borderId="0" xfId="1" applyNumberFormat="1" applyFont="1" applyProtection="1">
      <protection hidden="1"/>
    </xf>
    <xf numFmtId="166" fontId="4" fillId="15" borderId="0" xfId="0" applyNumberFormat="1" applyFont="1" applyFill="1" applyAlignment="1" applyProtection="1">
      <alignment vertical="center"/>
      <protection hidden="1"/>
    </xf>
    <xf numFmtId="11" fontId="19" fillId="15" borderId="0" xfId="0" applyNumberFormat="1" applyFont="1" applyFill="1" applyProtection="1">
      <protection hidden="1"/>
    </xf>
    <xf numFmtId="0" fontId="13" fillId="15" borderId="0" xfId="0" applyFont="1" applyFill="1" applyAlignment="1" applyProtection="1">
      <alignment horizontal="left" vertical="center" wrapText="1" indent="2"/>
      <protection hidden="1"/>
    </xf>
    <xf numFmtId="3" fontId="4" fillId="15" borderId="0" xfId="0" applyNumberFormat="1" applyFont="1" applyFill="1" applyAlignment="1" applyProtection="1">
      <alignment horizontal="center" vertical="center"/>
      <protection hidden="1"/>
    </xf>
    <xf numFmtId="0" fontId="6" fillId="15" borderId="0" xfId="0" applyFont="1" applyFill="1" applyProtection="1">
      <protection hidden="1"/>
    </xf>
    <xf numFmtId="3" fontId="13" fillId="15" borderId="0" xfId="0" applyNumberFormat="1" applyFont="1" applyFill="1" applyAlignment="1" applyProtection="1">
      <alignment horizontal="left" vertical="center" wrapText="1" indent="2"/>
      <protection hidden="1"/>
    </xf>
    <xf numFmtId="0" fontId="7" fillId="15" borderId="0" xfId="0" applyFont="1" applyFill="1" applyProtection="1">
      <protection hidden="1"/>
    </xf>
    <xf numFmtId="3" fontId="4" fillId="15" borderId="0" xfId="1" applyNumberFormat="1" applyFont="1" applyFill="1" applyBorder="1" applyAlignment="1" applyProtection="1">
      <alignment horizontal="center" vertical="center"/>
      <protection hidden="1"/>
    </xf>
    <xf numFmtId="3" fontId="4" fillId="15" borderId="36" xfId="1" applyNumberFormat="1" applyFont="1" applyFill="1" applyBorder="1" applyAlignment="1" applyProtection="1">
      <alignment vertical="center"/>
      <protection hidden="1"/>
    </xf>
    <xf numFmtId="0" fontId="50" fillId="15" borderId="0" xfId="0" applyFont="1" applyFill="1" applyAlignment="1">
      <alignment vertical="center" wrapText="1"/>
    </xf>
    <xf numFmtId="0" fontId="4" fillId="15" borderId="0" xfId="0" applyFont="1" applyFill="1" applyProtection="1">
      <protection hidden="1"/>
    </xf>
    <xf numFmtId="49" fontId="9" fillId="0" borderId="0" xfId="3" applyNumberFormat="1"/>
    <xf numFmtId="9" fontId="9" fillId="0" borderId="0" xfId="4" applyFont="1" applyFill="1" applyProtection="1"/>
    <xf numFmtId="172" fontId="9" fillId="0" borderId="0" xfId="3" applyNumberFormat="1"/>
    <xf numFmtId="171" fontId="6" fillId="0" borderId="0" xfId="1" applyNumberFormat="1" applyFont="1" applyFill="1" applyProtection="1">
      <protection hidden="1"/>
    </xf>
    <xf numFmtId="0" fontId="0" fillId="28" borderId="37" xfId="0" applyFill="1" applyBorder="1"/>
    <xf numFmtId="0" fontId="0" fillId="0" borderId="37" xfId="0" applyBorder="1"/>
    <xf numFmtId="0" fontId="9" fillId="28" borderId="37" xfId="3" applyFill="1" applyBorder="1"/>
    <xf numFmtId="0" fontId="9" fillId="0" borderId="37" xfId="3" applyBorder="1"/>
    <xf numFmtId="0" fontId="9" fillId="28" borderId="38" xfId="3" applyFill="1" applyBorder="1"/>
    <xf numFmtId="9" fontId="0" fillId="0" borderId="0" xfId="0" applyNumberFormat="1"/>
    <xf numFmtId="0" fontId="6" fillId="0" borderId="0" xfId="1" applyNumberFormat="1" applyFont="1" applyProtection="1">
      <protection hidden="1"/>
    </xf>
    <xf numFmtId="0" fontId="30" fillId="15" borderId="0" xfId="0" applyFont="1" applyFill="1" applyProtection="1">
      <protection hidden="1"/>
    </xf>
    <xf numFmtId="0" fontId="37" fillId="0" borderId="0" xfId="0" applyFont="1"/>
    <xf numFmtId="49" fontId="28" fillId="0" borderId="0" xfId="0" applyNumberFormat="1" applyFont="1"/>
    <xf numFmtId="0" fontId="28" fillId="0" borderId="0" xfId="0" applyFont="1"/>
    <xf numFmtId="167" fontId="51" fillId="15" borderId="0" xfId="0" applyNumberFormat="1" applyFont="1" applyFill="1" applyAlignment="1">
      <alignment horizontal="center"/>
    </xf>
    <xf numFmtId="176" fontId="51" fillId="15" borderId="0" xfId="0" applyNumberFormat="1" applyFont="1" applyFill="1" applyAlignment="1">
      <alignment horizontal="center"/>
    </xf>
    <xf numFmtId="11" fontId="19" fillId="15" borderId="0" xfId="0" applyNumberFormat="1" applyFont="1" applyFill="1" applyAlignment="1" applyProtection="1">
      <alignment horizontal="right"/>
      <protection hidden="1"/>
    </xf>
    <xf numFmtId="0" fontId="0" fillId="28" borderId="39" xfId="0" applyFill="1" applyBorder="1"/>
    <xf numFmtId="2" fontId="9" fillId="0" borderId="0" xfId="4" applyNumberFormat="1" applyFont="1"/>
    <xf numFmtId="181" fontId="9" fillId="0" borderId="0" xfId="4" applyNumberFormat="1" applyFont="1"/>
    <xf numFmtId="2" fontId="9" fillId="0" borderId="0" xfId="4" applyNumberFormat="1" applyFont="1" applyFill="1"/>
    <xf numFmtId="49" fontId="3" fillId="15" borderId="0" xfId="0" applyNumberFormat="1" applyFont="1" applyFill="1"/>
    <xf numFmtId="0" fontId="0" fillId="28" borderId="29" xfId="0" applyFill="1" applyBorder="1" applyAlignment="1">
      <alignment wrapText="1"/>
    </xf>
    <xf numFmtId="0" fontId="0" fillId="0" borderId="39" xfId="0" applyBorder="1"/>
    <xf numFmtId="1" fontId="9" fillId="0" borderId="0" xfId="4" applyNumberFormat="1" applyFont="1"/>
    <xf numFmtId="3" fontId="4" fillId="15" borderId="0" xfId="0" applyNumberFormat="1" applyFont="1" applyFill="1" applyAlignment="1">
      <alignment horizontal="center" vertical="center"/>
    </xf>
    <xf numFmtId="0" fontId="29" fillId="29" borderId="0" xfId="0" applyFont="1" applyFill="1" applyProtection="1">
      <protection locked="0"/>
    </xf>
    <xf numFmtId="44" fontId="6" fillId="15" borderId="0" xfId="0" applyNumberFormat="1" applyFont="1" applyFill="1"/>
    <xf numFmtId="1" fontId="9" fillId="0" borderId="0" xfId="4" applyNumberFormat="1" applyFont="1" applyFill="1"/>
    <xf numFmtId="168" fontId="0" fillId="0" borderId="0" xfId="0" applyNumberFormat="1"/>
    <xf numFmtId="11" fontId="15" fillId="18" borderId="0" xfId="5" applyNumberFormat="1"/>
    <xf numFmtId="0" fontId="57" fillId="32" borderId="41" xfId="0" applyFont="1" applyFill="1" applyBorder="1" applyAlignment="1">
      <alignment horizontal="left" vertical="center"/>
    </xf>
    <xf numFmtId="0" fontId="57" fillId="32" borderId="42" xfId="0" applyFont="1" applyFill="1" applyBorder="1" applyAlignment="1">
      <alignment horizontal="left"/>
    </xf>
    <xf numFmtId="0" fontId="57" fillId="32" borderId="43" xfId="0" applyFont="1" applyFill="1" applyBorder="1" applyAlignment="1">
      <alignment horizontal="left"/>
    </xf>
    <xf numFmtId="0" fontId="57" fillId="32" borderId="0" xfId="0" applyFont="1" applyFill="1" applyAlignment="1">
      <alignment horizontal="left"/>
    </xf>
    <xf numFmtId="0" fontId="56" fillId="33" borderId="45" xfId="0" applyFont="1" applyFill="1" applyBorder="1" applyAlignment="1">
      <alignment horizontal="left" vertical="center"/>
    </xf>
    <xf numFmtId="0" fontId="56" fillId="33" borderId="44" xfId="0" applyFont="1" applyFill="1" applyBorder="1" applyAlignment="1">
      <alignment horizontal="left" vertical="center"/>
    </xf>
    <xf numFmtId="0" fontId="56" fillId="33" borderId="0" xfId="0" applyFont="1" applyFill="1" applyAlignment="1">
      <alignment horizontal="left" vertical="center"/>
    </xf>
    <xf numFmtId="43" fontId="9" fillId="0" borderId="0" xfId="3" applyNumberFormat="1"/>
    <xf numFmtId="0" fontId="9" fillId="15" borderId="0" xfId="3" applyFill="1" applyAlignment="1">
      <alignment textRotation="45" wrapText="1"/>
    </xf>
    <xf numFmtId="0" fontId="9" fillId="15" borderId="0" xfId="3" applyFill="1" applyAlignment="1">
      <alignment textRotation="45"/>
    </xf>
    <xf numFmtId="11" fontId="0" fillId="15" borderId="0" xfId="0" applyNumberFormat="1" applyFill="1"/>
    <xf numFmtId="0" fontId="9" fillId="15" borderId="0" xfId="3" applyFill="1"/>
    <xf numFmtId="11" fontId="9" fillId="15" borderId="0" xfId="3" applyNumberFormat="1" applyFill="1"/>
    <xf numFmtId="11" fontId="0" fillId="15" borderId="0" xfId="0" applyNumberFormat="1" applyFill="1" applyProtection="1">
      <protection locked="0"/>
    </xf>
    <xf numFmtId="0" fontId="9" fillId="15" borderId="0" xfId="3" applyFill="1" applyProtection="1">
      <protection locked="0"/>
    </xf>
    <xf numFmtId="11" fontId="9" fillId="15" borderId="0" xfId="3" applyNumberFormat="1" applyFill="1" applyProtection="1">
      <protection locked="0"/>
    </xf>
    <xf numFmtId="166" fontId="9" fillId="35" borderId="0" xfId="3" applyNumberFormat="1" applyFill="1"/>
    <xf numFmtId="11" fontId="9" fillId="35" borderId="0" xfId="3" applyNumberFormat="1" applyFill="1"/>
    <xf numFmtId="182" fontId="9" fillId="0" borderId="0" xfId="3" applyNumberFormat="1"/>
    <xf numFmtId="167" fontId="51" fillId="15" borderId="0" xfId="0" applyNumberFormat="1" applyFont="1" applyFill="1"/>
    <xf numFmtId="0" fontId="56" fillId="34" borderId="45" xfId="0" applyFont="1" applyFill="1" applyBorder="1" applyAlignment="1">
      <alignment horizontal="left" vertical="center"/>
    </xf>
    <xf numFmtId="0" fontId="56" fillId="34" borderId="0" xfId="0" applyFont="1" applyFill="1" applyAlignment="1">
      <alignment horizontal="left" vertical="center"/>
    </xf>
    <xf numFmtId="10" fontId="0" fillId="0" borderId="0" xfId="4" applyNumberFormat="1" applyFont="1"/>
    <xf numFmtId="178" fontId="9" fillId="0" borderId="0" xfId="4" applyNumberFormat="1" applyFont="1"/>
    <xf numFmtId="10" fontId="9" fillId="0" borderId="0" xfId="4" applyNumberFormat="1" applyFont="1"/>
    <xf numFmtId="11" fontId="0" fillId="0" borderId="0" xfId="4" applyNumberFormat="1" applyFont="1"/>
    <xf numFmtId="181" fontId="9" fillId="0" borderId="0" xfId="4" applyNumberFormat="1" applyFont="1" applyFill="1"/>
    <xf numFmtId="183" fontId="9" fillId="0" borderId="0" xfId="4" applyNumberFormat="1" applyFont="1" applyFill="1"/>
    <xf numFmtId="11" fontId="15" fillId="0" borderId="0" xfId="5" applyNumberFormat="1" applyFill="1"/>
    <xf numFmtId="0" fontId="15" fillId="0" borderId="0" xfId="5" applyFill="1"/>
    <xf numFmtId="0" fontId="32" fillId="0" borderId="0" xfId="6" applyFill="1"/>
    <xf numFmtId="11" fontId="29" fillId="0" borderId="0" xfId="5" applyNumberFormat="1" applyFont="1" applyFill="1"/>
    <xf numFmtId="0" fontId="58" fillId="0" borderId="0" xfId="3" applyFont="1"/>
    <xf numFmtId="11" fontId="29" fillId="0" borderId="0" xfId="0" applyNumberFormat="1" applyFont="1"/>
    <xf numFmtId="0" fontId="29" fillId="0" borderId="0" xfId="5" applyFont="1" applyFill="1"/>
    <xf numFmtId="11" fontId="58" fillId="0" borderId="0" xfId="3" applyNumberFormat="1" applyFont="1"/>
    <xf numFmtId="2" fontId="29" fillId="0" borderId="0" xfId="5" applyNumberFormat="1" applyFont="1" applyFill="1"/>
    <xf numFmtId="2" fontId="29" fillId="0" borderId="0" xfId="0" applyNumberFormat="1" applyFont="1"/>
    <xf numFmtId="1" fontId="6" fillId="0" borderId="0" xfId="1" applyNumberFormat="1" applyFont="1" applyProtection="1">
      <protection hidden="1"/>
    </xf>
    <xf numFmtId="11" fontId="13" fillId="0" borderId="0" xfId="0" applyNumberFormat="1" applyFont="1" applyAlignment="1">
      <alignment horizontal="left" vertical="center"/>
    </xf>
    <xf numFmtId="0" fontId="15" fillId="18" borderId="0" xfId="5" applyAlignment="1"/>
    <xf numFmtId="0" fontId="32" fillId="0" borderId="0" xfId="6" applyFill="1" applyAlignment="1"/>
    <xf numFmtId="9" fontId="9" fillId="0" borderId="0" xfId="4" applyFont="1" applyAlignment="1"/>
    <xf numFmtId="1" fontId="9" fillId="0" borderId="0" xfId="4" applyNumberFormat="1" applyFont="1" applyAlignment="1"/>
    <xf numFmtId="181" fontId="59" fillId="0" borderId="0" xfId="0" applyNumberFormat="1" applyFont="1"/>
    <xf numFmtId="184" fontId="0" fillId="0" borderId="0" xfId="0" applyNumberFormat="1"/>
    <xf numFmtId="185" fontId="0" fillId="0" borderId="0" xfId="0" applyNumberFormat="1"/>
    <xf numFmtId="11" fontId="13" fillId="0" borderId="0" xfId="0" applyNumberFormat="1" applyFont="1" applyAlignment="1">
      <alignment vertical="center"/>
    </xf>
    <xf numFmtId="4" fontId="0" fillId="0" borderId="0" xfId="0" applyNumberFormat="1"/>
    <xf numFmtId="167" fontId="53" fillId="15" borderId="17" xfId="0" applyNumberFormat="1" applyFont="1" applyFill="1" applyBorder="1" applyAlignment="1">
      <alignment horizontal="center"/>
    </xf>
    <xf numFmtId="167" fontId="60" fillId="15" borderId="0" xfId="0" applyNumberFormat="1" applyFont="1" applyFill="1"/>
    <xf numFmtId="0" fontId="9" fillId="20" borderId="47" xfId="3" applyFill="1" applyBorder="1"/>
    <xf numFmtId="0" fontId="2" fillId="25" borderId="0" xfId="0" applyFont="1" applyFill="1"/>
    <xf numFmtId="179" fontId="6" fillId="20" borderId="0" xfId="1" applyNumberFormat="1" applyFont="1" applyFill="1" applyBorder="1"/>
    <xf numFmtId="11" fontId="59" fillId="0" borderId="0" xfId="0" applyNumberFormat="1" applyFont="1"/>
    <xf numFmtId="168" fontId="6" fillId="29" borderId="0" xfId="1" applyNumberFormat="1" applyFont="1" applyFill="1" applyProtection="1">
      <protection locked="0"/>
    </xf>
    <xf numFmtId="0" fontId="0" fillId="21" borderId="16" xfId="0" applyFill="1" applyBorder="1"/>
    <xf numFmtId="168" fontId="52" fillId="15" borderId="0" xfId="0" applyNumberFormat="1" applyFont="1" applyFill="1" applyAlignment="1">
      <alignment horizontal="center"/>
    </xf>
    <xf numFmtId="168" fontId="52" fillId="15" borderId="0" xfId="0" applyNumberFormat="1" applyFont="1" applyFill="1" applyAlignment="1">
      <alignment horizontal="left"/>
    </xf>
    <xf numFmtId="0" fontId="28" fillId="15" borderId="0" xfId="3" applyFont="1" applyFill="1"/>
    <xf numFmtId="14" fontId="29" fillId="15" borderId="0" xfId="0" applyNumberFormat="1" applyFont="1" applyFill="1"/>
    <xf numFmtId="0" fontId="0" fillId="17" borderId="0" xfId="0" applyFill="1" applyAlignment="1">
      <alignment textRotation="45"/>
    </xf>
    <xf numFmtId="1" fontId="6" fillId="0" borderId="0" xfId="1" applyNumberFormat="1" applyFont="1" applyProtection="1"/>
    <xf numFmtId="2" fontId="6" fillId="0" borderId="0" xfId="1" applyNumberFormat="1" applyFont="1" applyProtection="1"/>
    <xf numFmtId="171" fontId="6" fillId="0" borderId="0" xfId="1" applyNumberFormat="1" applyFont="1" applyProtection="1"/>
    <xf numFmtId="0" fontId="6" fillId="0" borderId="0" xfId="0" applyFont="1" applyProtection="1">
      <protection hidden="1"/>
    </xf>
    <xf numFmtId="0" fontId="6" fillId="0" borderId="0" xfId="1" applyNumberFormat="1" applyFont="1" applyProtection="1"/>
    <xf numFmtId="0" fontId="6" fillId="0" borderId="0" xfId="1" applyNumberFormat="1" applyFont="1" applyBorder="1" applyProtection="1"/>
    <xf numFmtId="168" fontId="6" fillId="0" borderId="0" xfId="1" applyNumberFormat="1" applyFont="1" applyProtection="1"/>
    <xf numFmtId="169" fontId="6" fillId="0" borderId="0" xfId="1" applyNumberFormat="1" applyFont="1" applyProtection="1"/>
    <xf numFmtId="168" fontId="6" fillId="0" borderId="0" xfId="1" applyNumberFormat="1" applyFont="1" applyFill="1" applyProtection="1">
      <protection hidden="1"/>
    </xf>
    <xf numFmtId="165" fontId="6" fillId="0" borderId="0" xfId="1" applyFont="1" applyFill="1" applyProtection="1">
      <protection hidden="1"/>
    </xf>
    <xf numFmtId="4" fontId="18" fillId="0" borderId="0" xfId="14" applyNumberFormat="1" applyFont="1"/>
    <xf numFmtId="2" fontId="6" fillId="15" borderId="0" xfId="1" applyNumberFormat="1" applyFont="1" applyFill="1" applyProtection="1"/>
    <xf numFmtId="171" fontId="6" fillId="15" borderId="0" xfId="1" applyNumberFormat="1" applyFont="1" applyFill="1" applyProtection="1"/>
    <xf numFmtId="168" fontId="6" fillId="15" borderId="0" xfId="1" applyNumberFormat="1" applyFont="1" applyFill="1" applyProtection="1"/>
    <xf numFmtId="178" fontId="52" fillId="15" borderId="46" xfId="4" applyNumberFormat="1" applyFont="1" applyFill="1" applyBorder="1" applyAlignment="1" applyProtection="1">
      <alignment horizontal="center"/>
    </xf>
    <xf numFmtId="178" fontId="52" fillId="15" borderId="19" xfId="4" applyNumberFormat="1" applyFont="1" applyFill="1" applyBorder="1" applyAlignment="1" applyProtection="1">
      <alignment horizontal="center"/>
    </xf>
    <xf numFmtId="3" fontId="4" fillId="15" borderId="0" xfId="1" applyNumberFormat="1" applyFont="1" applyFill="1" applyBorder="1" applyAlignment="1" applyProtection="1">
      <alignment horizontal="center" vertical="center"/>
    </xf>
    <xf numFmtId="2" fontId="9" fillId="36" borderId="0" xfId="4" applyNumberFormat="1" applyFont="1" applyFill="1"/>
    <xf numFmtId="172" fontId="0" fillId="0" borderId="0" xfId="0" applyNumberFormat="1"/>
    <xf numFmtId="4" fontId="15" fillId="18" borderId="0" xfId="5" applyNumberFormat="1"/>
    <xf numFmtId="168" fontId="6" fillId="0" borderId="0" xfId="1" applyNumberFormat="1" applyFont="1" applyFill="1" applyProtection="1"/>
    <xf numFmtId="0" fontId="2" fillId="17" borderId="0" xfId="0" applyFont="1" applyFill="1" applyAlignment="1" applyProtection="1">
      <alignment textRotation="45" wrapText="1"/>
      <protection hidden="1"/>
    </xf>
    <xf numFmtId="168" fontId="52" fillId="15" borderId="0" xfId="0" applyNumberFormat="1" applyFont="1" applyFill="1" applyAlignment="1" applyProtection="1">
      <alignment horizontal="center"/>
      <protection hidden="1"/>
    </xf>
    <xf numFmtId="168" fontId="52" fillId="15" borderId="0" xfId="0" applyNumberFormat="1" applyFont="1" applyFill="1" applyAlignment="1" applyProtection="1">
      <alignment horizontal="left"/>
      <protection hidden="1"/>
    </xf>
    <xf numFmtId="3" fontId="4" fillId="15" borderId="0" xfId="0" applyNumberFormat="1" applyFont="1" applyFill="1" applyAlignment="1" applyProtection="1">
      <alignment vertical="center"/>
      <protection hidden="1"/>
    </xf>
    <xf numFmtId="178" fontId="52" fillId="15" borderId="46" xfId="4" applyNumberFormat="1" applyFont="1" applyFill="1" applyBorder="1" applyAlignment="1" applyProtection="1">
      <alignment horizontal="center"/>
      <protection hidden="1"/>
    </xf>
    <xf numFmtId="178" fontId="52" fillId="15" borderId="19" xfId="4" applyNumberFormat="1" applyFont="1" applyFill="1" applyBorder="1" applyAlignment="1" applyProtection="1">
      <alignment horizontal="center"/>
      <protection hidden="1"/>
    </xf>
    <xf numFmtId="178" fontId="52" fillId="15" borderId="0" xfId="4" applyNumberFormat="1" applyFont="1" applyFill="1" applyBorder="1" applyAlignment="1" applyProtection="1">
      <alignment horizontal="center"/>
      <protection hidden="1"/>
    </xf>
    <xf numFmtId="0" fontId="61" fillId="15" borderId="0" xfId="0" applyFont="1" applyFill="1" applyAlignment="1">
      <alignment horizontal="center" vertical="center" wrapText="1"/>
    </xf>
    <xf numFmtId="0" fontId="62" fillId="15" borderId="0" xfId="0" applyFont="1" applyFill="1" applyAlignment="1">
      <alignment horizontal="center" vertical="center" wrapText="1"/>
    </xf>
    <xf numFmtId="0" fontId="63" fillId="15" borderId="0" xfId="0" applyFont="1" applyFill="1" applyAlignment="1">
      <alignment horizontal="center" vertical="center" wrapText="1"/>
    </xf>
    <xf numFmtId="0" fontId="64" fillId="15" borderId="0" xfId="0" applyFont="1" applyFill="1" applyAlignment="1">
      <alignment vertical="center" wrapText="1"/>
    </xf>
    <xf numFmtId="0" fontId="64" fillId="15" borderId="0" xfId="0" applyFont="1" applyFill="1" applyAlignment="1">
      <alignment horizontal="center" vertical="center" wrapText="1"/>
    </xf>
    <xf numFmtId="0" fontId="65" fillId="15" borderId="0" xfId="0" applyFont="1" applyFill="1" applyAlignment="1">
      <alignment vertical="center" wrapText="1"/>
    </xf>
    <xf numFmtId="0" fontId="43" fillId="37" borderId="0" xfId="0" applyFont="1" applyFill="1" applyAlignment="1">
      <alignment vertical="center" wrapText="1"/>
    </xf>
    <xf numFmtId="0" fontId="9" fillId="37" borderId="0" xfId="3" applyFill="1" applyProtection="1">
      <protection locked="0"/>
    </xf>
    <xf numFmtId="0" fontId="0" fillId="37" borderId="0" xfId="0" applyFill="1" applyProtection="1">
      <protection locked="0" hidden="1"/>
    </xf>
    <xf numFmtId="0" fontId="9" fillId="37" borderId="0" xfId="3" applyFill="1"/>
    <xf numFmtId="9" fontId="9" fillId="37" borderId="0" xfId="4" applyFont="1" applyFill="1" applyProtection="1">
      <protection locked="0"/>
    </xf>
    <xf numFmtId="172" fontId="9" fillId="37" borderId="0" xfId="3" applyNumberFormat="1" applyFill="1" applyProtection="1">
      <protection locked="0"/>
    </xf>
    <xf numFmtId="11" fontId="9" fillId="37" borderId="0" xfId="3" applyNumberFormat="1" applyFill="1" applyProtection="1">
      <protection locked="0"/>
    </xf>
    <xf numFmtId="0" fontId="0" fillId="0" borderId="50" xfId="0" applyBorder="1"/>
    <xf numFmtId="0" fontId="41" fillId="0" borderId="0" xfId="0" applyFont="1"/>
    <xf numFmtId="0" fontId="0" fillId="0" borderId="51" xfId="0" applyBorder="1"/>
    <xf numFmtId="0" fontId="0" fillId="0" borderId="48" xfId="0" applyBorder="1"/>
    <xf numFmtId="43" fontId="6" fillId="0" borderId="0" xfId="1" applyNumberFormat="1" applyFont="1" applyFill="1" applyProtection="1">
      <protection hidden="1"/>
    </xf>
    <xf numFmtId="2" fontId="6" fillId="0" borderId="0" xfId="1" applyNumberFormat="1" applyFont="1" applyFill="1" applyProtection="1"/>
    <xf numFmtId="43" fontId="0" fillId="0" borderId="51" xfId="0" applyNumberFormat="1" applyBorder="1"/>
    <xf numFmtId="2" fontId="0" fillId="0" borderId="51" xfId="0" applyNumberFormat="1" applyBorder="1"/>
    <xf numFmtId="0" fontId="0" fillId="28" borderId="52" xfId="0" applyFill="1" applyBorder="1"/>
    <xf numFmtId="0" fontId="0" fillId="28" borderId="49" xfId="0" applyFill="1" applyBorder="1"/>
    <xf numFmtId="43" fontId="0" fillId="28" borderId="49" xfId="0" applyNumberFormat="1" applyFill="1" applyBorder="1"/>
    <xf numFmtId="2" fontId="0" fillId="28" borderId="49" xfId="0" applyNumberFormat="1" applyFill="1" applyBorder="1"/>
    <xf numFmtId="0" fontId="0" fillId="28" borderId="53" xfId="0" applyFill="1" applyBorder="1"/>
    <xf numFmtId="0" fontId="0" fillId="28" borderId="0" xfId="0" applyFill="1"/>
    <xf numFmtId="1" fontId="6" fillId="0" borderId="0" xfId="1" applyNumberFormat="1" applyFont="1" applyFill="1" applyProtection="1">
      <protection hidden="1"/>
    </xf>
    <xf numFmtId="0" fontId="66" fillId="15" borderId="0" xfId="0" applyFont="1" applyFill="1" applyAlignment="1">
      <alignment vertical="center" wrapText="1"/>
    </xf>
    <xf numFmtId="178" fontId="17" fillId="0" borderId="0" xfId="4" applyNumberFormat="1" applyFont="1"/>
    <xf numFmtId="178" fontId="0" fillId="0" borderId="0" xfId="4" applyNumberFormat="1" applyFont="1"/>
    <xf numFmtId="0" fontId="0" fillId="20" borderId="16" xfId="0" applyFill="1" applyBorder="1"/>
    <xf numFmtId="181" fontId="0" fillId="0" borderId="0" xfId="0" applyNumberFormat="1"/>
    <xf numFmtId="0" fontId="9" fillId="21" borderId="54" xfId="3" applyFill="1" applyBorder="1"/>
    <xf numFmtId="0" fontId="9" fillId="20" borderId="54" xfId="3" applyFill="1" applyBorder="1"/>
    <xf numFmtId="1" fontId="0" fillId="0" borderId="0" xfId="0" applyNumberFormat="1"/>
    <xf numFmtId="0" fontId="9" fillId="21" borderId="55" xfId="3" applyFill="1" applyBorder="1"/>
    <xf numFmtId="0" fontId="67" fillId="15" borderId="0" xfId="0" applyFont="1" applyFill="1" applyAlignment="1">
      <alignment vertical="center" wrapText="1"/>
    </xf>
    <xf numFmtId="168" fontId="6" fillId="37" borderId="0" xfId="1" applyNumberFormat="1" applyFont="1" applyFill="1" applyProtection="1">
      <protection locked="0" hidden="1"/>
    </xf>
    <xf numFmtId="165" fontId="6" fillId="37" borderId="0" xfId="1" applyFont="1" applyFill="1" applyProtection="1">
      <protection locked="0" hidden="1"/>
    </xf>
    <xf numFmtId="165" fontId="6" fillId="0" borderId="0" xfId="1" applyFont="1" applyFill="1" applyProtection="1">
      <protection locked="0" hidden="1"/>
    </xf>
    <xf numFmtId="43" fontId="6" fillId="0" borderId="0" xfId="1" applyNumberFormat="1" applyFont="1" applyFill="1" applyProtection="1">
      <protection locked="0" hidden="1"/>
    </xf>
    <xf numFmtId="0" fontId="29" fillId="37" borderId="0" xfId="0" applyFont="1" applyFill="1" applyProtection="1">
      <protection locked="0" hidden="1"/>
    </xf>
    <xf numFmtId="0" fontId="29" fillId="0" borderId="0" xfId="0" applyFont="1"/>
    <xf numFmtId="0" fontId="4" fillId="15" borderId="0" xfId="0" applyFont="1" applyFill="1" applyAlignment="1">
      <alignment horizontal="center"/>
    </xf>
    <xf numFmtId="3" fontId="4" fillId="15" borderId="1" xfId="1" applyNumberFormat="1" applyFont="1" applyFill="1" applyBorder="1" applyAlignment="1" applyProtection="1">
      <alignment horizontal="center"/>
    </xf>
    <xf numFmtId="3" fontId="4" fillId="15" borderId="2" xfId="1" applyNumberFormat="1" applyFont="1" applyFill="1" applyBorder="1" applyAlignment="1" applyProtection="1">
      <alignment horizontal="center"/>
    </xf>
    <xf numFmtId="3" fontId="4" fillId="15" borderId="3" xfId="1" applyNumberFormat="1" applyFont="1" applyFill="1" applyBorder="1" applyAlignment="1" applyProtection="1">
      <alignment horizontal="center"/>
    </xf>
    <xf numFmtId="3" fontId="4" fillId="15" borderId="1" xfId="1" applyNumberFormat="1" applyFont="1" applyFill="1" applyBorder="1" applyAlignment="1" applyProtection="1">
      <alignment horizontal="center" vertical="center"/>
    </xf>
    <xf numFmtId="3" fontId="4" fillId="15" borderId="2" xfId="1" applyNumberFormat="1" applyFont="1" applyFill="1" applyBorder="1" applyAlignment="1" applyProtection="1">
      <alignment horizontal="center" vertical="center"/>
    </xf>
    <xf numFmtId="3" fontId="4" fillId="15" borderId="3" xfId="1" applyNumberFormat="1" applyFont="1" applyFill="1" applyBorder="1" applyAlignment="1" applyProtection="1">
      <alignment horizontal="center" vertical="center"/>
    </xf>
    <xf numFmtId="3" fontId="4" fillId="15" borderId="1" xfId="0" applyNumberFormat="1" applyFont="1" applyFill="1" applyBorder="1" applyAlignment="1">
      <alignment horizontal="center" vertical="center"/>
    </xf>
    <xf numFmtId="3" fontId="4" fillId="15" borderId="2" xfId="0" applyNumberFormat="1" applyFont="1" applyFill="1" applyBorder="1" applyAlignment="1">
      <alignment horizontal="center" vertical="center"/>
    </xf>
    <xf numFmtId="3" fontId="4" fillId="15" borderId="3" xfId="0" applyNumberFormat="1" applyFont="1" applyFill="1" applyBorder="1" applyAlignment="1">
      <alignment horizontal="center" vertical="center"/>
    </xf>
    <xf numFmtId="174" fontId="4" fillId="15" borderId="1" xfId="0" applyNumberFormat="1" applyFont="1" applyFill="1" applyBorder="1" applyAlignment="1">
      <alignment horizontal="center" vertical="center"/>
    </xf>
    <xf numFmtId="174" fontId="4" fillId="15" borderId="2" xfId="0" applyNumberFormat="1" applyFont="1" applyFill="1" applyBorder="1" applyAlignment="1">
      <alignment horizontal="center" vertical="center"/>
    </xf>
    <xf numFmtId="174" fontId="4" fillId="15" borderId="3" xfId="0" applyNumberFormat="1" applyFont="1" applyFill="1" applyBorder="1" applyAlignment="1">
      <alignment horizontal="center" vertical="center"/>
    </xf>
    <xf numFmtId="3" fontId="4" fillId="15" borderId="1" xfId="1" applyNumberFormat="1" applyFont="1" applyFill="1" applyBorder="1" applyAlignment="1" applyProtection="1">
      <alignment horizontal="center" vertical="center"/>
      <protection hidden="1"/>
    </xf>
    <xf numFmtId="3" fontId="4" fillId="15" borderId="2" xfId="1" applyNumberFormat="1" applyFont="1" applyFill="1" applyBorder="1" applyAlignment="1" applyProtection="1">
      <alignment horizontal="center" vertical="center"/>
      <protection hidden="1"/>
    </xf>
    <xf numFmtId="3" fontId="4" fillId="15" borderId="3" xfId="1" applyNumberFormat="1" applyFont="1" applyFill="1" applyBorder="1" applyAlignment="1" applyProtection="1">
      <alignment horizontal="center" vertical="center"/>
      <protection hidden="1"/>
    </xf>
    <xf numFmtId="0" fontId="4" fillId="15" borderId="0" xfId="0" applyFont="1" applyFill="1" applyAlignment="1" applyProtection="1">
      <alignment horizontal="center"/>
      <protection hidden="1"/>
    </xf>
    <xf numFmtId="3" fontId="4" fillId="15" borderId="1" xfId="0" applyNumberFormat="1" applyFont="1" applyFill="1" applyBorder="1" applyAlignment="1" applyProtection="1">
      <alignment horizontal="center" vertical="center"/>
      <protection hidden="1"/>
    </xf>
    <xf numFmtId="3" fontId="4" fillId="15" borderId="2" xfId="0" applyNumberFormat="1" applyFont="1" applyFill="1" applyBorder="1" applyAlignment="1" applyProtection="1">
      <alignment horizontal="center" vertical="center"/>
      <protection hidden="1"/>
    </xf>
    <xf numFmtId="3" fontId="4" fillId="15" borderId="3" xfId="0" applyNumberFormat="1" applyFont="1" applyFill="1" applyBorder="1" applyAlignment="1" applyProtection="1">
      <alignment horizontal="center" vertical="center"/>
      <protection hidden="1"/>
    </xf>
    <xf numFmtId="175" fontId="19" fillId="15" borderId="1" xfId="2" applyNumberFormat="1" applyFont="1" applyFill="1" applyBorder="1" applyAlignment="1" applyProtection="1">
      <alignment horizontal="center"/>
      <protection hidden="1"/>
    </xf>
    <xf numFmtId="175" fontId="19" fillId="15" borderId="2" xfId="2" applyNumberFormat="1" applyFont="1" applyFill="1" applyBorder="1" applyAlignment="1" applyProtection="1">
      <alignment horizontal="center"/>
      <protection hidden="1"/>
    </xf>
    <xf numFmtId="175" fontId="19" fillId="15" borderId="3" xfId="2" applyNumberFormat="1" applyFont="1" applyFill="1" applyBorder="1" applyAlignment="1" applyProtection="1">
      <alignment horizontal="center"/>
      <protection hidden="1"/>
    </xf>
    <xf numFmtId="177" fontId="19" fillId="15" borderId="34" xfId="2" applyNumberFormat="1" applyFont="1" applyFill="1" applyBorder="1" applyAlignment="1" applyProtection="1">
      <alignment horizontal="center"/>
      <protection hidden="1"/>
    </xf>
    <xf numFmtId="177" fontId="19" fillId="15" borderId="36" xfId="2" applyNumberFormat="1" applyFont="1" applyFill="1" applyBorder="1" applyAlignment="1" applyProtection="1">
      <alignment horizontal="center"/>
      <protection hidden="1"/>
    </xf>
    <xf numFmtId="177" fontId="19" fillId="15" borderId="35" xfId="2" applyNumberFormat="1" applyFont="1" applyFill="1" applyBorder="1" applyAlignment="1" applyProtection="1">
      <alignment horizontal="center"/>
      <protection hidden="1"/>
    </xf>
    <xf numFmtId="3" fontId="24" fillId="15" borderId="34" xfId="0" applyNumberFormat="1" applyFont="1" applyFill="1" applyBorder="1" applyAlignment="1">
      <alignment horizontal="center" vertical="center"/>
    </xf>
    <xf numFmtId="3" fontId="24" fillId="15" borderId="35" xfId="0" applyNumberFormat="1" applyFont="1" applyFill="1" applyBorder="1" applyAlignment="1">
      <alignment horizontal="center" vertical="center"/>
    </xf>
    <xf numFmtId="0" fontId="0" fillId="15" borderId="24" xfId="0" applyFill="1" applyBorder="1" applyAlignment="1">
      <alignment horizontal="center"/>
    </xf>
    <xf numFmtId="172" fontId="4" fillId="15" borderId="1" xfId="0" applyNumberFormat="1" applyFont="1" applyFill="1" applyBorder="1" applyAlignment="1">
      <alignment horizontal="center" vertical="center"/>
    </xf>
    <xf numFmtId="172" fontId="4" fillId="15" borderId="3" xfId="0" applyNumberFormat="1" applyFont="1" applyFill="1" applyBorder="1" applyAlignment="1">
      <alignment horizontal="center" vertical="center"/>
    </xf>
    <xf numFmtId="171" fontId="4" fillId="15" borderId="1" xfId="0" applyNumberFormat="1" applyFont="1" applyFill="1" applyBorder="1" applyAlignment="1">
      <alignment horizontal="center" vertical="center"/>
    </xf>
    <xf numFmtId="171" fontId="4" fillId="15" borderId="3" xfId="0" applyNumberFormat="1" applyFont="1" applyFill="1" applyBorder="1" applyAlignment="1">
      <alignment horizontal="center" vertical="center"/>
    </xf>
    <xf numFmtId="166" fontId="4" fillId="15" borderId="1" xfId="0" applyNumberFormat="1" applyFont="1" applyFill="1" applyBorder="1" applyAlignment="1">
      <alignment horizontal="center" vertical="center"/>
    </xf>
    <xf numFmtId="166" fontId="4" fillId="15" borderId="3" xfId="0" applyNumberFormat="1" applyFont="1" applyFill="1" applyBorder="1" applyAlignment="1">
      <alignment horizontal="center" vertical="center"/>
    </xf>
    <xf numFmtId="0" fontId="9" fillId="0" borderId="0" xfId="3" applyFont="1"/>
    <xf numFmtId="166" fontId="9" fillId="0" borderId="0" xfId="3" applyNumberFormat="1" applyFont="1"/>
    <xf numFmtId="11" fontId="9" fillId="0" borderId="0" xfId="3" applyNumberFormat="1" applyFont="1"/>
    <xf numFmtId="2" fontId="9" fillId="0" borderId="0" xfId="3" applyNumberFormat="1" applyFont="1"/>
  </cellXfs>
  <cellStyles count="15">
    <cellStyle name="Bad 2" xfId="10" xr:uid="{311362A8-48DB-426C-8A24-2DEA78DACEC6}"/>
    <cellStyle name="Check Cell 2" xfId="9" xr:uid="{8449F0FA-7106-4C38-802A-ADFCB63A37C0}"/>
    <cellStyle name="Good 2" xfId="8" xr:uid="{F0E0AFE6-7036-4307-BAFE-C31A16F9C12D}"/>
    <cellStyle name="Komma" xfId="1" builtinId="3"/>
    <cellStyle name="Neutraal" xfId="6" builtinId="28"/>
    <cellStyle name="Neutral 2" xfId="11" xr:uid="{7E51980E-040B-499A-928F-341EFAB596D5}"/>
    <cellStyle name="Normal 2 2" xfId="12" xr:uid="{C3EACE46-334D-4B1E-A2E0-B44756FF1BA6}"/>
    <cellStyle name="Ongeldig" xfId="5" builtinId="27"/>
    <cellStyle name="Procent" xfId="4" builtinId="5"/>
    <cellStyle name="Standaard" xfId="0" builtinId="0"/>
    <cellStyle name="Standaard 12" xfId="14" xr:uid="{7B31658A-CC02-414E-840A-14AEA21B5241}"/>
    <cellStyle name="Standaard 2" xfId="3" xr:uid="{5F38791B-5E04-4B68-BBD1-CC6A7E882B45}"/>
    <cellStyle name="Standaard 2 2" xfId="13" xr:uid="{E9809B54-8982-4C7B-B409-C5482724D4E2}"/>
    <cellStyle name="Standaard 3" xfId="7" xr:uid="{CCDD9B00-2983-45F4-B42A-D40C7724991F}"/>
    <cellStyle name="Valuta" xfId="2" builtinId="4"/>
  </cellStyles>
  <dxfs count="1453">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186" formatCode="dd/mm/yyyy"/>
    </dxf>
    <dxf>
      <numFmt numFmtId="186" formatCode="dd/mm/yyyy"/>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186" formatCode="dd/mm/yyyy"/>
    </dxf>
    <dxf>
      <numFmt numFmtId="186" formatCode="dd/mm/yyyy"/>
    </dxf>
    <dxf>
      <numFmt numFmtId="0" formatCode="General"/>
    </dxf>
    <dxf>
      <numFmt numFmtId="0" formatCode="General"/>
    </dxf>
    <dxf>
      <numFmt numFmtId="0" formatCode="General"/>
    </dxf>
    <dxf>
      <numFmt numFmtId="0" formatCode="General"/>
    </dxf>
    <dxf>
      <numFmt numFmtId="0" formatCode="General"/>
    </dxf>
    <dxf>
      <numFmt numFmtId="0" formatCode="General"/>
    </dxf>
    <dxf>
      <font>
        <b val="0"/>
        <i val="0"/>
        <strike val="0"/>
        <condense val="0"/>
        <extend val="0"/>
        <outline val="0"/>
        <shadow val="0"/>
        <u val="none"/>
        <vertAlign val="baseline"/>
        <sz val="11"/>
        <color rgb="FF000000"/>
        <name val="Calibri"/>
        <family val="2"/>
        <scheme val="none"/>
      </font>
      <numFmt numFmtId="0" formatCode="General"/>
      <fill>
        <patternFill patternType="solid">
          <fgColor theme="6" tint="0.79998168889431442"/>
          <bgColor theme="6" tint="0.79998168889431442"/>
        </patternFill>
      </fill>
      <alignment horizontal="general" vertical="bottom" textRotation="0" wrapText="0" indent="0" justifyLastLine="0" shrinkToFit="0" readingOrder="0"/>
      <border diagonalUp="0" diagonalDown="0">
        <left style="thin">
          <color rgb="FF000000"/>
        </left>
        <right style="thin">
          <color theme="0"/>
        </right>
        <top style="thin">
          <color theme="0"/>
        </top>
        <bottom style="thin">
          <color theme="0"/>
        </bottom>
        <vertical/>
        <horizontal/>
      </border>
    </dxf>
    <dxf>
      <numFmt numFmtId="2" formatCode="0.00"/>
    </dxf>
    <dxf>
      <numFmt numFmtId="2" formatCode="0.00"/>
    </dxf>
    <dxf>
      <numFmt numFmtId="0" formatCode="General"/>
    </dxf>
    <dxf>
      <font>
        <b/>
        <i val="0"/>
        <strike val="0"/>
        <condense val="0"/>
        <extend val="0"/>
        <outline val="0"/>
        <shadow val="0"/>
        <u val="none"/>
        <vertAlign val="baseline"/>
        <sz val="11"/>
        <color theme="1"/>
        <name val="Calibri"/>
        <family val="2"/>
        <scheme val="minor"/>
      </font>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ont>
        <b val="0"/>
        <i val="0"/>
        <strike val="0"/>
        <condense val="0"/>
        <extend val="0"/>
        <outline val="0"/>
        <shadow val="0"/>
        <u val="none"/>
        <vertAlign val="baseline"/>
        <sz val="11"/>
        <color rgb="FF000000"/>
        <name val="Open Sans"/>
        <family val="2"/>
        <scheme val="none"/>
      </font>
      <numFmt numFmtId="166" formatCode="_ [$€-413]\ * #,##0.00_ ;_ [$€-413]\ * \-#,##0.00_ ;_ [$€-413]\ * &quot;-&quot;??_ ;_ @_ "/>
      <fill>
        <patternFill patternType="none">
          <fgColor indexed="64"/>
          <bgColor indexed="65"/>
        </patternFill>
      </fill>
      <alignment horizontal="general" vertical="bottom" textRotation="0" wrapText="0" indent="0" justifyLastLine="0" shrinkToFit="0" readingOrder="0"/>
      <border diagonalUp="0" diagonalDown="0" outline="0">
        <left/>
        <right/>
        <top style="thin">
          <color theme="5"/>
        </top>
        <bottom/>
      </border>
    </dxf>
    <dxf>
      <font>
        <b val="0"/>
        <i val="0"/>
        <strike val="0"/>
        <condense val="0"/>
        <extend val="0"/>
        <outline val="0"/>
        <shadow val="0"/>
        <u val="none"/>
        <vertAlign val="baseline"/>
        <sz val="11"/>
        <color rgb="FF000000"/>
        <name val="Open Sans"/>
        <family val="2"/>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style="thin">
          <color theme="5"/>
        </top>
        <bottom/>
      </border>
    </dxf>
    <dxf>
      <font>
        <b val="0"/>
        <i val="0"/>
        <strike val="0"/>
        <condense val="0"/>
        <extend val="0"/>
        <outline val="0"/>
        <shadow val="0"/>
        <u val="none"/>
        <vertAlign val="baseline"/>
        <sz val="11"/>
        <color rgb="FF000000"/>
        <name val="Open Sans"/>
        <family val="2"/>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style="thin">
          <color theme="5"/>
        </top>
        <bottom/>
      </border>
    </dxf>
    <dxf>
      <border outline="0">
        <top style="thin">
          <color theme="5"/>
        </top>
      </border>
    </dxf>
    <dxf>
      <font>
        <b val="0"/>
        <i val="0"/>
        <strike val="0"/>
        <condense val="0"/>
        <extend val="0"/>
        <outline val="0"/>
        <shadow val="0"/>
        <u val="none"/>
        <vertAlign val="baseline"/>
        <sz val="11"/>
        <color rgb="FF000000"/>
        <name val="Open Sans"/>
        <family val="2"/>
        <scheme val="none"/>
      </font>
      <numFmt numFmtId="0" formatCode="General"/>
      <fill>
        <patternFill patternType="none">
          <fgColor indexed="64"/>
          <bgColor indexed="65"/>
        </patternFill>
      </fill>
      <alignment horizontal="general" vertical="bottom" textRotation="0" wrapText="0" indent="0" justifyLastLine="0" shrinkToFit="0" readingOrder="0"/>
    </dxf>
    <dxf>
      <font>
        <b/>
        <i val="0"/>
        <strike val="0"/>
        <condense val="0"/>
        <extend val="0"/>
        <outline val="0"/>
        <shadow val="0"/>
        <u val="none"/>
        <vertAlign val="baseline"/>
        <sz val="11"/>
        <color theme="0"/>
        <name val="Open Sans"/>
        <family val="2"/>
        <scheme val="none"/>
      </font>
      <numFmt numFmtId="0" formatCode="General"/>
      <fill>
        <patternFill patternType="none">
          <fgColor indexed="64"/>
          <bgColor indexed="65"/>
        </patternFill>
      </fill>
      <alignment horizontal="general" vertical="bottom" textRotation="0" wrapText="0" indent="0" justifyLastLine="0" shrinkToFit="0" readingOrder="0"/>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border outline="0">
        <bottom style="thin">
          <color theme="4" tint="0.39997558519241921"/>
        </bottom>
      </border>
    </dxf>
    <dxf>
      <border outline="0">
        <top style="thin">
          <color theme="4" tint="0.39997558519241921"/>
        </top>
      </border>
    </dxf>
    <dxf>
      <fill>
        <patternFill patternType="none">
          <fgColor indexed="64"/>
          <bgColor indexed="65"/>
        </patternFill>
      </fill>
    </dxf>
    <dxf>
      <font>
        <b val="0"/>
        <i val="0"/>
        <strike val="0"/>
        <condense val="0"/>
        <extend val="0"/>
        <outline val="0"/>
        <shadow val="0"/>
        <u val="none"/>
        <vertAlign val="baseline"/>
        <sz val="9"/>
        <color theme="1"/>
        <name val="Open Sans"/>
        <family val="2"/>
        <scheme val="none"/>
      </font>
      <numFmt numFmtId="15" formatCode="0.00E+00"/>
    </dxf>
    <dxf>
      <border outline="0">
        <bottom style="thin">
          <color theme="4" tint="0.39997558519241921"/>
        </bottom>
      </border>
    </dxf>
    <dxf>
      <border outline="0">
        <top style="thin">
          <color theme="4" tint="0.39997558519241921"/>
        </top>
      </border>
    </dxf>
    <dxf>
      <font>
        <b val="0"/>
        <i val="0"/>
        <strike val="0"/>
        <condense val="0"/>
        <extend val="0"/>
        <outline val="0"/>
        <shadow val="0"/>
        <u val="none"/>
        <vertAlign val="baseline"/>
        <sz val="9"/>
        <color theme="1"/>
        <name val="Open Sans"/>
        <family val="2"/>
        <scheme val="none"/>
      </font>
    </dxf>
    <dxf>
      <font>
        <b/>
        <i val="0"/>
        <strike val="0"/>
        <condense val="0"/>
        <extend val="0"/>
        <outline val="0"/>
        <shadow val="0"/>
        <u val="none"/>
        <vertAlign val="baseline"/>
        <sz val="11"/>
        <color theme="0"/>
        <name val="Calibri"/>
        <family val="2"/>
        <scheme val="minor"/>
      </font>
      <fill>
        <patternFill patternType="solid">
          <fgColor theme="4"/>
          <bgColor theme="4"/>
        </patternFill>
      </fill>
    </dxf>
    <dxf>
      <font>
        <b val="0"/>
        <i val="0"/>
        <strike val="0"/>
        <condense val="0"/>
        <extend val="0"/>
        <outline val="0"/>
        <shadow val="0"/>
        <u val="none"/>
        <vertAlign val="baseline"/>
        <sz val="9"/>
        <color theme="1"/>
        <name val="Open Sans"/>
        <family val="2"/>
        <scheme val="none"/>
      </font>
      <numFmt numFmtId="15" formatCode="0.00E+00"/>
      <fill>
        <patternFill patternType="none">
          <fgColor indexed="64"/>
          <bgColor indexed="65"/>
        </patternFill>
      </fill>
      <border diagonalUp="0" diagonalDown="0" outline="0">
        <left style="thin">
          <color theme="5"/>
        </left>
        <right/>
        <top style="thin">
          <color theme="5"/>
        </top>
        <bottom style="thin">
          <color theme="4" tint="0.39997558519241921"/>
        </bottom>
      </border>
    </dxf>
    <dxf>
      <border outline="0">
        <bottom style="thin">
          <color theme="4" tint="0.39997558519241921"/>
        </bottom>
      </border>
    </dxf>
    <dxf>
      <font>
        <b val="0"/>
        <i val="0"/>
        <strike val="0"/>
        <condense val="0"/>
        <extend val="0"/>
        <outline val="0"/>
        <shadow val="0"/>
        <u val="none"/>
        <vertAlign val="baseline"/>
        <sz val="9"/>
        <color theme="1"/>
        <name val="Open Sans"/>
        <family val="2"/>
        <scheme val="none"/>
      </font>
      <fill>
        <patternFill patternType="none">
          <fgColor indexed="64"/>
          <bgColor indexed="65"/>
        </patternFill>
      </fill>
    </dxf>
    <dxf>
      <border outline="0">
        <bottom style="thin">
          <color theme="4" tint="0.39997558519241921"/>
        </bottom>
      </border>
    </dxf>
    <dxf>
      <border outline="0">
        <top style="thin">
          <color rgb="FF000000"/>
        </top>
      </border>
    </dxf>
    <dxf>
      <font>
        <b/>
        <i val="0"/>
        <strike val="0"/>
        <condense val="0"/>
        <extend val="0"/>
        <outline val="0"/>
        <shadow val="0"/>
        <u val="none"/>
        <vertAlign val="baseline"/>
        <sz val="11"/>
        <color theme="0"/>
        <name val="Calibri"/>
        <family val="2"/>
        <scheme val="minor"/>
      </font>
      <fill>
        <patternFill patternType="solid">
          <fgColor theme="4"/>
          <bgColor theme="4"/>
        </patternFill>
      </fill>
    </dxf>
    <dxf>
      <border outline="0">
        <left style="thin">
          <color rgb="FF000000"/>
        </left>
        <right style="thin">
          <color rgb="FF000000"/>
        </right>
        <top style="thin">
          <color rgb="FF000000"/>
        </top>
        <bottom style="thin">
          <color rgb="FF000000"/>
        </bottom>
      </border>
    </dxf>
    <dxf>
      <fill>
        <patternFill>
          <bgColor rgb="FFFF7D7D"/>
        </patternFill>
      </fill>
    </dxf>
    <dxf>
      <fill>
        <patternFill>
          <bgColor rgb="FFFF7D7D"/>
        </patternFill>
      </fill>
    </dxf>
    <dxf>
      <fill>
        <patternFill>
          <bgColor rgb="FFFF7D7D"/>
        </patternFill>
      </fill>
    </dxf>
    <dxf>
      <fill>
        <patternFill>
          <bgColor rgb="FFFF7D7D"/>
        </patternFill>
      </fill>
    </dxf>
    <dxf>
      <fill>
        <patternFill>
          <bgColor rgb="FFFF7D7D"/>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numFmt numFmtId="15" formatCode="0.00E+00"/>
    </dxf>
    <dxf>
      <fill>
        <patternFill patternType="none">
          <fgColor indexed="64"/>
          <bgColor indexed="65"/>
        </patternFill>
      </fill>
    </dxf>
    <dxf>
      <numFmt numFmtId="166" formatCode="_ [$€-413]\ * #,##0.00_ ;_ [$€-413]\ * \-#,##0.00_ ;_ [$€-413]\ * &quot;-&quot;??_ ;_ @_ "/>
    </dxf>
    <dxf>
      <fill>
        <patternFill patternType="none">
          <fgColor indexed="64"/>
          <bgColor indexed="65"/>
        </patternFill>
      </fill>
    </dxf>
    <dxf>
      <fill>
        <patternFill patternType="none">
          <fgColor indexed="64"/>
          <bgColor indexed="65"/>
        </patternFill>
      </fill>
    </dxf>
    <dxf>
      <font>
        <b val="0"/>
        <i val="0"/>
        <strike val="0"/>
        <condense val="0"/>
        <extend val="0"/>
        <outline val="0"/>
        <shadow val="0"/>
        <u val="none"/>
        <vertAlign val="baseline"/>
        <sz val="9"/>
        <color rgb="FF000000"/>
        <name val="Open Sans"/>
        <family val="2"/>
        <scheme val="none"/>
      </font>
      <numFmt numFmtId="15" formatCode="0.00E+00"/>
      <fill>
        <patternFill patternType="none">
          <fgColor indexed="64"/>
          <bgColor indexed="65"/>
        </patternFill>
      </fill>
    </dxf>
    <dxf>
      <font>
        <strike val="0"/>
        <outline val="0"/>
        <shadow val="0"/>
        <u val="none"/>
        <vertAlign val="baseline"/>
        <sz val="9"/>
        <name val="Open Sans"/>
        <family val="2"/>
        <scheme val="none"/>
      </font>
    </dxf>
    <dxf>
      <font>
        <strike val="0"/>
        <outline val="0"/>
        <shadow val="0"/>
        <u val="none"/>
        <vertAlign val="baseline"/>
        <sz val="9"/>
        <name val="Open Sans"/>
        <family val="2"/>
        <scheme val="none"/>
      </font>
    </dxf>
    <dxf>
      <font>
        <b val="0"/>
        <i val="0"/>
        <strike val="0"/>
        <condense val="0"/>
        <extend val="0"/>
        <outline val="0"/>
        <shadow val="0"/>
        <u val="none"/>
        <vertAlign val="baseline"/>
        <sz val="9"/>
        <color rgb="FF000000"/>
        <name val="Open Sans"/>
        <family val="2"/>
        <scheme val="none"/>
      </font>
      <numFmt numFmtId="15" formatCode="0.00E+00"/>
      <fill>
        <patternFill patternType="none">
          <fgColor indexed="64"/>
          <bgColor indexed="65"/>
        </patternFill>
      </fill>
    </dxf>
    <dxf>
      <font>
        <b val="0"/>
        <i val="0"/>
        <strike val="0"/>
        <condense val="0"/>
        <extend val="0"/>
        <outline val="0"/>
        <shadow val="0"/>
        <u val="none"/>
        <vertAlign val="baseline"/>
        <sz val="9"/>
        <color rgb="FF000000"/>
        <name val="Open Sans"/>
        <family val="2"/>
        <scheme val="none"/>
      </font>
      <numFmt numFmtId="15" formatCode="0.00E+00"/>
      <fill>
        <patternFill patternType="none">
          <fgColor indexed="64"/>
          <bgColor indexed="65"/>
        </patternFill>
      </fill>
    </dxf>
    <dxf>
      <font>
        <b val="0"/>
        <i val="0"/>
        <strike val="0"/>
        <condense val="0"/>
        <extend val="0"/>
        <outline val="0"/>
        <shadow val="0"/>
        <u val="none"/>
        <vertAlign val="baseline"/>
        <sz val="9"/>
        <color rgb="FF000000"/>
        <name val="Open Sans"/>
        <family val="2"/>
        <scheme val="none"/>
      </font>
      <numFmt numFmtId="15" formatCode="0.00E+00"/>
      <fill>
        <patternFill patternType="none">
          <fgColor indexed="64"/>
          <bgColor indexed="65"/>
        </patternFill>
      </fill>
    </dxf>
    <dxf>
      <font>
        <b val="0"/>
        <i val="0"/>
        <strike val="0"/>
        <condense val="0"/>
        <extend val="0"/>
        <outline val="0"/>
        <shadow val="0"/>
        <u val="none"/>
        <vertAlign val="baseline"/>
        <sz val="9"/>
        <color rgb="FF000000"/>
        <name val="Open Sans"/>
        <family val="2"/>
        <scheme val="none"/>
      </font>
      <numFmt numFmtId="15" formatCode="0.00E+00"/>
      <fill>
        <patternFill patternType="none">
          <fgColor indexed="64"/>
          <bgColor indexed="65"/>
        </patternFill>
      </fill>
    </dxf>
    <dxf>
      <font>
        <b val="0"/>
        <i val="0"/>
        <strike val="0"/>
        <condense val="0"/>
        <extend val="0"/>
        <outline val="0"/>
        <shadow val="0"/>
        <u val="none"/>
        <vertAlign val="baseline"/>
        <sz val="9"/>
        <color rgb="FF000000"/>
        <name val="Open Sans"/>
        <family val="2"/>
        <scheme val="none"/>
      </font>
      <numFmt numFmtId="15" formatCode="0.00E+00"/>
      <fill>
        <patternFill patternType="none">
          <fgColor indexed="64"/>
          <bgColor indexed="65"/>
        </patternFill>
      </fill>
    </dxf>
    <dxf>
      <font>
        <strike val="0"/>
        <outline val="0"/>
        <shadow val="0"/>
        <u val="none"/>
        <vertAlign val="baseline"/>
        <sz val="9"/>
        <name val="Open Sans"/>
        <family val="2"/>
        <scheme val="none"/>
      </font>
      <numFmt numFmtId="15" formatCode="0.00E+00"/>
    </dxf>
    <dxf>
      <font>
        <strike val="0"/>
        <outline val="0"/>
        <shadow val="0"/>
        <u val="none"/>
        <vertAlign val="baseline"/>
        <sz val="9"/>
        <name val="Open Sans"/>
        <family val="2"/>
        <scheme val="none"/>
      </font>
      <numFmt numFmtId="15" formatCode="0.00E+00"/>
    </dxf>
    <dxf>
      <font>
        <strike val="0"/>
        <outline val="0"/>
        <shadow val="0"/>
        <u val="none"/>
        <vertAlign val="baseline"/>
        <sz val="9"/>
        <name val="Open Sans"/>
        <family val="2"/>
        <scheme val="none"/>
      </font>
      <numFmt numFmtId="15" formatCode="0.00E+00"/>
    </dxf>
    <dxf>
      <font>
        <strike val="0"/>
        <outline val="0"/>
        <shadow val="0"/>
        <u val="none"/>
        <vertAlign val="baseline"/>
        <sz val="9"/>
        <name val="Open Sans"/>
        <family val="2"/>
        <scheme val="none"/>
      </font>
      <numFmt numFmtId="15" formatCode="0.00E+00"/>
    </dxf>
    <dxf>
      <font>
        <strike val="0"/>
        <outline val="0"/>
        <shadow val="0"/>
        <u val="none"/>
        <vertAlign val="baseline"/>
        <sz val="9"/>
        <name val="Open Sans"/>
        <family val="2"/>
        <scheme val="none"/>
      </font>
      <numFmt numFmtId="15" formatCode="0.00E+00"/>
    </dxf>
    <dxf>
      <font>
        <b val="0"/>
        <i val="0"/>
        <strike val="0"/>
        <condense val="0"/>
        <extend val="0"/>
        <outline val="0"/>
        <shadow val="0"/>
        <u val="none"/>
        <vertAlign val="baseline"/>
        <sz val="9"/>
        <color rgb="FF000000"/>
        <name val="Open Sans"/>
        <family val="2"/>
        <scheme val="none"/>
      </font>
      <numFmt numFmtId="15" formatCode="0.00E+00"/>
      <fill>
        <patternFill patternType="none">
          <fgColor indexed="64"/>
          <bgColor indexed="65"/>
        </patternFill>
      </fill>
    </dxf>
    <dxf>
      <font>
        <b val="0"/>
        <i val="0"/>
        <strike val="0"/>
        <condense val="0"/>
        <extend val="0"/>
        <outline val="0"/>
        <shadow val="0"/>
        <u val="none"/>
        <vertAlign val="baseline"/>
        <sz val="9"/>
        <color rgb="FF000000"/>
        <name val="Open Sans"/>
        <family val="2"/>
        <scheme val="none"/>
      </font>
      <numFmt numFmtId="15" formatCode="0.00E+00"/>
      <fill>
        <patternFill patternType="none">
          <fgColor indexed="64"/>
          <bgColor indexed="65"/>
        </patternFill>
      </fill>
    </dxf>
    <dxf>
      <font>
        <strike val="0"/>
        <outline val="0"/>
        <shadow val="0"/>
        <u val="none"/>
        <vertAlign val="baseline"/>
        <sz val="9"/>
        <name val="Open Sans"/>
        <family val="2"/>
        <scheme val="none"/>
      </font>
      <numFmt numFmtId="15" formatCode="0.00E+00"/>
    </dxf>
    <dxf>
      <font>
        <b val="0"/>
        <i val="0"/>
        <strike val="0"/>
        <condense val="0"/>
        <extend val="0"/>
        <outline val="0"/>
        <shadow val="0"/>
        <u val="none"/>
        <vertAlign val="baseline"/>
        <sz val="9"/>
        <color rgb="FF000000"/>
        <name val="Open Sans"/>
        <family val="2"/>
        <scheme val="none"/>
      </font>
      <numFmt numFmtId="15" formatCode="0.00E+00"/>
      <fill>
        <patternFill patternType="none">
          <fgColor indexed="64"/>
          <bgColor indexed="65"/>
        </patternFill>
      </fill>
    </dxf>
    <dxf>
      <font>
        <b val="0"/>
        <i val="0"/>
        <strike val="0"/>
        <condense val="0"/>
        <extend val="0"/>
        <outline val="0"/>
        <shadow val="0"/>
        <u val="none"/>
        <vertAlign val="baseline"/>
        <sz val="9"/>
        <color rgb="FF000000"/>
        <name val="Open Sans"/>
        <family val="2"/>
        <scheme val="none"/>
      </font>
      <numFmt numFmtId="15" formatCode="0.00E+00"/>
      <fill>
        <patternFill patternType="none">
          <fgColor indexed="64"/>
          <bgColor indexed="65"/>
        </patternFill>
      </fill>
    </dxf>
    <dxf>
      <font>
        <strike val="0"/>
        <outline val="0"/>
        <shadow val="0"/>
        <u val="none"/>
        <vertAlign val="baseline"/>
        <sz val="9"/>
        <name val="Open Sans"/>
        <family val="2"/>
        <scheme val="none"/>
      </font>
      <numFmt numFmtId="15" formatCode="0.00E+00"/>
    </dxf>
    <dxf>
      <font>
        <b val="0"/>
        <i val="0"/>
        <strike val="0"/>
        <condense val="0"/>
        <extend val="0"/>
        <outline val="0"/>
        <shadow val="0"/>
        <u val="none"/>
        <vertAlign val="baseline"/>
        <sz val="9"/>
        <color rgb="FF000000"/>
        <name val="Open Sans"/>
        <family val="2"/>
        <scheme val="none"/>
      </font>
      <numFmt numFmtId="15" formatCode="0.00E+00"/>
      <fill>
        <patternFill patternType="none">
          <fgColor indexed="64"/>
          <bgColor indexed="65"/>
        </patternFill>
      </fill>
    </dxf>
    <dxf>
      <font>
        <b val="0"/>
        <i val="0"/>
        <strike val="0"/>
        <condense val="0"/>
        <extend val="0"/>
        <outline val="0"/>
        <shadow val="0"/>
        <u val="none"/>
        <vertAlign val="baseline"/>
        <sz val="9"/>
        <color rgb="FF000000"/>
        <name val="Open Sans"/>
        <family val="2"/>
        <scheme val="none"/>
      </font>
      <numFmt numFmtId="15" formatCode="0.00E+00"/>
      <fill>
        <patternFill patternType="none">
          <fgColor indexed="64"/>
          <bgColor indexed="65"/>
        </patternFill>
      </fill>
    </dxf>
    <dxf>
      <font>
        <b val="0"/>
        <i val="0"/>
        <strike val="0"/>
        <condense val="0"/>
        <extend val="0"/>
        <outline val="0"/>
        <shadow val="0"/>
        <u val="none"/>
        <vertAlign val="baseline"/>
        <sz val="9"/>
        <color rgb="FF000000"/>
        <name val="Open Sans"/>
        <family val="2"/>
        <scheme val="none"/>
      </font>
      <numFmt numFmtId="15" formatCode="0.00E+00"/>
      <fill>
        <patternFill patternType="none">
          <fgColor indexed="64"/>
          <bgColor indexed="65"/>
        </patternFill>
      </fill>
    </dxf>
    <dxf>
      <font>
        <b val="0"/>
        <i val="0"/>
        <strike val="0"/>
        <condense val="0"/>
        <extend val="0"/>
        <outline val="0"/>
        <shadow val="0"/>
        <u val="none"/>
        <vertAlign val="baseline"/>
        <sz val="9"/>
        <color rgb="FF000000"/>
        <name val="Open Sans"/>
        <family val="2"/>
        <scheme val="none"/>
      </font>
      <numFmt numFmtId="15" formatCode="0.00E+00"/>
      <fill>
        <patternFill patternType="none">
          <fgColor indexed="64"/>
          <bgColor indexed="65"/>
        </patternFill>
      </fill>
    </dxf>
    <dxf>
      <font>
        <b val="0"/>
        <i val="0"/>
        <strike val="0"/>
        <condense val="0"/>
        <extend val="0"/>
        <outline val="0"/>
        <shadow val="0"/>
        <u val="none"/>
        <vertAlign val="baseline"/>
        <sz val="9"/>
        <color rgb="FF000000"/>
        <name val="Open Sans"/>
        <family val="2"/>
        <scheme val="none"/>
      </font>
      <numFmt numFmtId="15" formatCode="0.00E+00"/>
      <fill>
        <patternFill patternType="none">
          <fgColor indexed="64"/>
          <bgColor indexed="65"/>
        </patternFill>
      </fill>
    </dxf>
    <dxf>
      <font>
        <b val="0"/>
        <i val="0"/>
        <strike val="0"/>
        <condense val="0"/>
        <extend val="0"/>
        <outline val="0"/>
        <shadow val="0"/>
        <u val="none"/>
        <vertAlign val="baseline"/>
        <sz val="9"/>
        <color rgb="FF000000"/>
        <name val="Open Sans"/>
        <family val="2"/>
        <scheme val="none"/>
      </font>
      <numFmt numFmtId="15" formatCode="0.00E+00"/>
      <fill>
        <patternFill patternType="none">
          <fgColor indexed="64"/>
          <bgColor indexed="65"/>
        </patternFill>
      </fill>
    </dxf>
    <dxf>
      <font>
        <b val="0"/>
        <i val="0"/>
        <strike val="0"/>
        <condense val="0"/>
        <extend val="0"/>
        <outline val="0"/>
        <shadow val="0"/>
        <u val="none"/>
        <vertAlign val="baseline"/>
        <sz val="9"/>
        <color rgb="FF000000"/>
        <name val="Open Sans"/>
        <family val="2"/>
        <scheme val="none"/>
      </font>
      <numFmt numFmtId="15" formatCode="0.00E+00"/>
      <fill>
        <patternFill patternType="none">
          <fgColor indexed="64"/>
          <bgColor indexed="65"/>
        </patternFill>
      </fill>
    </dxf>
    <dxf>
      <font>
        <b val="0"/>
        <i val="0"/>
        <strike val="0"/>
        <condense val="0"/>
        <extend val="0"/>
        <outline val="0"/>
        <shadow val="0"/>
        <u val="none"/>
        <vertAlign val="baseline"/>
        <sz val="9"/>
        <color rgb="FF000000"/>
        <name val="Open Sans"/>
        <family val="2"/>
        <scheme val="none"/>
      </font>
      <numFmt numFmtId="15" formatCode="0.00E+00"/>
      <fill>
        <patternFill patternType="none">
          <fgColor indexed="64"/>
          <bgColor indexed="65"/>
        </patternFill>
      </fill>
    </dxf>
    <dxf>
      <font>
        <b val="0"/>
        <i val="0"/>
        <strike val="0"/>
        <condense val="0"/>
        <extend val="0"/>
        <outline val="0"/>
        <shadow val="0"/>
        <u val="none"/>
        <vertAlign val="baseline"/>
        <sz val="9"/>
        <color rgb="FF000000"/>
        <name val="Open Sans"/>
        <family val="2"/>
        <scheme val="none"/>
      </font>
      <numFmt numFmtId="15" formatCode="0.00E+00"/>
      <fill>
        <patternFill patternType="none">
          <fgColor indexed="64"/>
          <bgColor indexed="65"/>
        </patternFill>
      </fill>
    </dxf>
    <dxf>
      <font>
        <b val="0"/>
        <i val="0"/>
        <strike val="0"/>
        <condense val="0"/>
        <extend val="0"/>
        <outline val="0"/>
        <shadow val="0"/>
        <u val="none"/>
        <vertAlign val="baseline"/>
        <sz val="9"/>
        <color rgb="FF000000"/>
        <name val="Open Sans"/>
        <family val="2"/>
        <scheme val="none"/>
      </font>
      <numFmt numFmtId="15" formatCode="0.00E+00"/>
      <fill>
        <patternFill patternType="none">
          <fgColor indexed="64"/>
          <bgColor indexed="65"/>
        </patternFill>
      </fill>
    </dxf>
    <dxf>
      <font>
        <b val="0"/>
        <i val="0"/>
        <strike val="0"/>
        <condense val="0"/>
        <extend val="0"/>
        <outline val="0"/>
        <shadow val="0"/>
        <u val="none"/>
        <vertAlign val="baseline"/>
        <sz val="9"/>
        <color rgb="FF000000"/>
        <name val="Open Sans"/>
        <family val="2"/>
        <scheme val="none"/>
      </font>
      <numFmt numFmtId="15" formatCode="0.00E+00"/>
      <fill>
        <patternFill patternType="none">
          <fgColor indexed="64"/>
          <bgColor indexed="65"/>
        </patternFill>
      </fill>
    </dxf>
    <dxf>
      <font>
        <b val="0"/>
        <i val="0"/>
        <strike val="0"/>
        <condense val="0"/>
        <extend val="0"/>
        <outline val="0"/>
        <shadow val="0"/>
        <u val="none"/>
        <vertAlign val="baseline"/>
        <sz val="9"/>
        <color rgb="FF000000"/>
        <name val="Open Sans"/>
        <family val="2"/>
        <scheme val="none"/>
      </font>
      <numFmt numFmtId="15" formatCode="0.00E+00"/>
      <fill>
        <patternFill patternType="none">
          <fgColor indexed="64"/>
          <bgColor indexed="65"/>
        </patternFill>
      </fill>
    </dxf>
    <dxf>
      <font>
        <b val="0"/>
        <i val="0"/>
        <strike val="0"/>
        <condense val="0"/>
        <extend val="0"/>
        <outline val="0"/>
        <shadow val="0"/>
        <u val="none"/>
        <vertAlign val="baseline"/>
        <sz val="9"/>
        <color rgb="FF000000"/>
        <name val="Open Sans"/>
        <family val="2"/>
        <scheme val="none"/>
      </font>
      <numFmt numFmtId="15" formatCode="0.00E+00"/>
      <fill>
        <patternFill patternType="none">
          <fgColor indexed="64"/>
          <bgColor indexed="65"/>
        </patternFill>
      </fill>
    </dxf>
    <dxf>
      <font>
        <b val="0"/>
        <i val="0"/>
        <strike val="0"/>
        <condense val="0"/>
        <extend val="0"/>
        <outline val="0"/>
        <shadow val="0"/>
        <u val="none"/>
        <vertAlign val="baseline"/>
        <sz val="9"/>
        <color rgb="FF000000"/>
        <name val="Open Sans"/>
        <family val="2"/>
        <scheme val="none"/>
      </font>
      <numFmt numFmtId="15" formatCode="0.00E+00"/>
      <fill>
        <patternFill patternType="none">
          <fgColor indexed="64"/>
          <bgColor indexed="65"/>
        </patternFill>
      </fill>
    </dxf>
    <dxf>
      <font>
        <b val="0"/>
        <i val="0"/>
        <strike val="0"/>
        <condense val="0"/>
        <extend val="0"/>
        <outline val="0"/>
        <shadow val="0"/>
        <u val="none"/>
        <vertAlign val="baseline"/>
        <sz val="9"/>
        <color rgb="FF000000"/>
        <name val="Open Sans"/>
        <family val="2"/>
        <scheme val="none"/>
      </font>
      <numFmt numFmtId="15" formatCode="0.00E+00"/>
      <fill>
        <patternFill patternType="none">
          <fgColor indexed="64"/>
          <bgColor indexed="65"/>
        </patternFill>
      </fill>
    </dxf>
    <dxf>
      <font>
        <b val="0"/>
        <i val="0"/>
        <strike val="0"/>
        <condense val="0"/>
        <extend val="0"/>
        <outline val="0"/>
        <shadow val="0"/>
        <u val="none"/>
        <vertAlign val="baseline"/>
        <sz val="9"/>
        <color rgb="FF000000"/>
        <name val="Open Sans"/>
        <family val="2"/>
        <scheme val="none"/>
      </font>
      <numFmt numFmtId="15" formatCode="0.00E+00"/>
      <fill>
        <patternFill patternType="none">
          <fgColor indexed="64"/>
          <bgColor indexed="65"/>
        </patternFill>
      </fill>
    </dxf>
    <dxf>
      <font>
        <b val="0"/>
        <i val="0"/>
        <strike val="0"/>
        <condense val="0"/>
        <extend val="0"/>
        <outline val="0"/>
        <shadow val="0"/>
        <u val="none"/>
        <vertAlign val="baseline"/>
        <sz val="9"/>
        <color rgb="FF000000"/>
        <name val="Open Sans"/>
        <family val="2"/>
        <scheme val="none"/>
      </font>
      <numFmt numFmtId="15" formatCode="0.00E+00"/>
      <fill>
        <patternFill patternType="none">
          <fgColor indexed="64"/>
          <bgColor indexed="65"/>
        </patternFill>
      </fill>
    </dxf>
    <dxf>
      <font>
        <b val="0"/>
        <i val="0"/>
        <strike val="0"/>
        <condense val="0"/>
        <extend val="0"/>
        <outline val="0"/>
        <shadow val="0"/>
        <u val="none"/>
        <vertAlign val="baseline"/>
        <sz val="9"/>
        <color rgb="FF000000"/>
        <name val="Open Sans"/>
        <family val="2"/>
        <scheme val="none"/>
      </font>
      <numFmt numFmtId="15" formatCode="0.00E+00"/>
      <fill>
        <patternFill patternType="none">
          <fgColor indexed="64"/>
          <bgColor indexed="65"/>
        </patternFill>
      </fill>
    </dxf>
    <dxf>
      <font>
        <b val="0"/>
        <i val="0"/>
        <strike val="0"/>
        <condense val="0"/>
        <extend val="0"/>
        <outline val="0"/>
        <shadow val="0"/>
        <u val="none"/>
        <vertAlign val="baseline"/>
        <sz val="9"/>
        <color rgb="FF000000"/>
        <name val="Open Sans"/>
        <family val="2"/>
        <scheme val="none"/>
      </font>
      <numFmt numFmtId="15" formatCode="0.00E+00"/>
      <fill>
        <patternFill patternType="none">
          <fgColor indexed="64"/>
          <bgColor indexed="65"/>
        </patternFill>
      </fill>
    </dxf>
    <dxf>
      <font>
        <b val="0"/>
        <i val="0"/>
        <strike val="0"/>
        <condense val="0"/>
        <extend val="0"/>
        <outline val="0"/>
        <shadow val="0"/>
        <u val="none"/>
        <vertAlign val="baseline"/>
        <sz val="9"/>
        <color rgb="FF000000"/>
        <name val="Open Sans"/>
        <family val="2"/>
        <scheme val="none"/>
      </font>
      <numFmt numFmtId="15" formatCode="0.00E+00"/>
      <fill>
        <patternFill patternType="none">
          <fgColor indexed="64"/>
          <bgColor indexed="65"/>
        </patternFill>
      </fill>
    </dxf>
    <dxf>
      <font>
        <b val="0"/>
        <i val="0"/>
        <strike val="0"/>
        <condense val="0"/>
        <extend val="0"/>
        <outline val="0"/>
        <shadow val="0"/>
        <u val="none"/>
        <vertAlign val="baseline"/>
        <sz val="9"/>
        <color rgb="FF000000"/>
        <name val="Open Sans"/>
        <family val="2"/>
        <scheme val="none"/>
      </font>
      <numFmt numFmtId="15" formatCode="0.00E+00"/>
      <fill>
        <patternFill patternType="none">
          <fgColor indexed="64"/>
          <bgColor indexed="65"/>
        </patternFill>
      </fill>
    </dxf>
    <dxf>
      <font>
        <strike val="0"/>
        <outline val="0"/>
        <shadow val="0"/>
        <u val="none"/>
        <vertAlign val="baseline"/>
        <sz val="9"/>
        <name val="Open Sans"/>
        <family val="2"/>
        <scheme val="none"/>
      </font>
      <numFmt numFmtId="15" formatCode="0.00E+00"/>
    </dxf>
    <dxf>
      <font>
        <strike val="0"/>
        <outline val="0"/>
        <shadow val="0"/>
        <u val="none"/>
        <vertAlign val="baseline"/>
        <sz val="9"/>
        <name val="Open Sans"/>
        <family val="2"/>
        <scheme val="none"/>
      </font>
      <numFmt numFmtId="15" formatCode="0.00E+00"/>
    </dxf>
    <dxf>
      <font>
        <strike val="0"/>
        <outline val="0"/>
        <shadow val="0"/>
        <u val="none"/>
        <vertAlign val="baseline"/>
        <sz val="9"/>
        <name val="Open Sans"/>
        <family val="2"/>
        <scheme val="none"/>
      </font>
      <numFmt numFmtId="15" formatCode="0.00E+00"/>
    </dxf>
    <dxf>
      <font>
        <strike val="0"/>
        <outline val="0"/>
        <shadow val="0"/>
        <u val="none"/>
        <vertAlign val="baseline"/>
        <sz val="9"/>
        <name val="Open Sans"/>
        <family val="2"/>
        <scheme val="none"/>
      </font>
      <numFmt numFmtId="15" formatCode="0.00E+00"/>
    </dxf>
    <dxf>
      <font>
        <strike val="0"/>
        <outline val="0"/>
        <shadow val="0"/>
        <u val="none"/>
        <vertAlign val="baseline"/>
        <sz val="9"/>
        <name val="Open Sans"/>
        <family val="2"/>
        <scheme val="none"/>
      </font>
      <numFmt numFmtId="15" formatCode="0.00E+00"/>
    </dxf>
    <dxf>
      <font>
        <strike val="0"/>
        <outline val="0"/>
        <shadow val="0"/>
        <u val="none"/>
        <vertAlign val="baseline"/>
        <sz val="9"/>
        <name val="Open Sans"/>
        <family val="2"/>
        <scheme val="none"/>
      </font>
      <numFmt numFmtId="15" formatCode="0.00E+00"/>
    </dxf>
    <dxf>
      <font>
        <strike val="0"/>
        <outline val="0"/>
        <shadow val="0"/>
        <u val="none"/>
        <vertAlign val="baseline"/>
        <sz val="9"/>
        <name val="Open Sans"/>
        <family val="2"/>
        <scheme val="none"/>
      </font>
      <numFmt numFmtId="15" formatCode="0.00E+00"/>
    </dxf>
    <dxf>
      <font>
        <strike val="0"/>
        <outline val="0"/>
        <shadow val="0"/>
        <u val="none"/>
        <vertAlign val="baseline"/>
        <sz val="9"/>
        <name val="Open Sans"/>
        <family val="2"/>
        <scheme val="none"/>
      </font>
      <numFmt numFmtId="15" formatCode="0.00E+00"/>
    </dxf>
    <dxf>
      <font>
        <strike val="0"/>
        <outline val="0"/>
        <shadow val="0"/>
        <u val="none"/>
        <vertAlign val="baseline"/>
        <sz val="9"/>
        <name val="Open Sans"/>
        <family val="2"/>
        <scheme val="none"/>
      </font>
      <numFmt numFmtId="15" formatCode="0.00E+00"/>
    </dxf>
    <dxf>
      <font>
        <strike val="0"/>
        <outline val="0"/>
        <shadow val="0"/>
        <u val="none"/>
        <vertAlign val="baseline"/>
        <sz val="9"/>
        <name val="Open Sans"/>
        <family val="2"/>
        <scheme val="none"/>
      </font>
      <numFmt numFmtId="15" formatCode="0.00E+00"/>
    </dxf>
    <dxf>
      <font>
        <strike val="0"/>
        <outline val="0"/>
        <shadow val="0"/>
        <u val="none"/>
        <vertAlign val="baseline"/>
        <sz val="9"/>
        <name val="Open Sans"/>
        <family val="2"/>
        <scheme val="none"/>
      </font>
      <numFmt numFmtId="15" formatCode="0.00E+00"/>
    </dxf>
    <dxf>
      <font>
        <strike val="0"/>
        <outline val="0"/>
        <shadow val="0"/>
        <u val="none"/>
        <vertAlign val="baseline"/>
        <sz val="9"/>
        <name val="Open Sans"/>
        <family val="2"/>
        <scheme val="none"/>
      </font>
      <fill>
        <patternFill patternType="none">
          <fgColor indexed="64"/>
          <bgColor indexed="65"/>
        </patternFill>
      </fill>
    </dxf>
    <dxf>
      <font>
        <strike val="0"/>
        <outline val="0"/>
        <shadow val="0"/>
        <u val="none"/>
        <vertAlign val="baseline"/>
        <sz val="9"/>
        <name val="Open Sans"/>
        <family val="2"/>
        <scheme val="none"/>
      </font>
    </dxf>
    <dxf>
      <font>
        <strike val="0"/>
        <outline val="0"/>
        <shadow val="0"/>
        <u val="none"/>
        <vertAlign val="baseline"/>
        <sz val="9"/>
        <name val="Open Sans"/>
        <family val="2"/>
        <scheme val="none"/>
      </font>
    </dxf>
    <dxf>
      <font>
        <strike val="0"/>
        <outline val="0"/>
        <shadow val="0"/>
        <u val="none"/>
        <vertAlign val="baseline"/>
        <sz val="9"/>
        <name val="Open Sans"/>
        <family val="2"/>
        <scheme val="none"/>
      </font>
    </dxf>
    <dxf>
      <font>
        <strike val="0"/>
        <outline val="0"/>
        <shadow val="0"/>
        <u val="none"/>
        <vertAlign val="baseline"/>
        <sz val="9"/>
        <name val="Open Sans"/>
        <family val="2"/>
        <scheme val="none"/>
      </font>
    </dxf>
    <dxf>
      <font>
        <b val="0"/>
        <i val="0"/>
        <strike val="0"/>
        <condense val="0"/>
        <extend val="0"/>
        <outline val="0"/>
        <shadow val="0"/>
        <u val="none"/>
        <vertAlign val="baseline"/>
        <sz val="9"/>
        <color rgb="FF000000"/>
        <name val="Open Sans"/>
        <family val="2"/>
        <scheme val="none"/>
      </font>
    </dxf>
    <dxf>
      <font>
        <b val="0"/>
        <i val="0"/>
        <strike val="0"/>
        <condense val="0"/>
        <extend val="0"/>
        <outline val="0"/>
        <shadow val="0"/>
        <u val="none"/>
        <vertAlign val="baseline"/>
        <sz val="9"/>
        <color rgb="FF000000"/>
        <name val="Open Sans"/>
        <family val="2"/>
        <scheme val="none"/>
      </font>
    </dxf>
    <dxf>
      <font>
        <strike val="0"/>
        <outline val="0"/>
        <shadow val="0"/>
        <u val="none"/>
        <vertAlign val="baseline"/>
        <sz val="9"/>
        <name val="Open Sans"/>
        <family val="2"/>
        <scheme val="none"/>
      </font>
    </dxf>
    <dxf>
      <font>
        <strike val="0"/>
        <outline val="0"/>
        <shadow val="0"/>
        <u val="none"/>
        <vertAlign val="baseline"/>
        <sz val="9"/>
        <name val="Open Sans"/>
        <family val="2"/>
        <scheme val="none"/>
      </font>
    </dxf>
    <dxf>
      <font>
        <strike val="0"/>
        <outline val="0"/>
        <shadow val="0"/>
        <u val="none"/>
        <vertAlign val="baseline"/>
        <sz val="9"/>
        <name val="Open Sans"/>
        <family val="2"/>
        <scheme val="none"/>
      </font>
    </dxf>
    <dxf>
      <numFmt numFmtId="15" formatCode="0.00E+00"/>
    </dxf>
    <dxf>
      <numFmt numFmtId="15" formatCode="0.00E+00"/>
      <fill>
        <patternFill patternType="none">
          <fgColor indexed="64"/>
          <bgColor indexed="65"/>
        </patternFill>
      </fill>
    </dxf>
    <dxf>
      <numFmt numFmtId="15" formatCode="0.00E+00"/>
      <fill>
        <patternFill patternType="none">
          <fgColor indexed="64"/>
          <bgColor indexed="65"/>
        </patternFill>
      </fill>
    </dxf>
    <dxf>
      <numFmt numFmtId="15" formatCode="0.00E+00"/>
      <fill>
        <patternFill patternType="none">
          <fgColor indexed="64"/>
          <bgColor indexed="65"/>
        </patternFill>
      </fill>
    </dxf>
    <dxf>
      <numFmt numFmtId="15" formatCode="0.00E+00"/>
      <fill>
        <patternFill patternType="none">
          <fgColor indexed="64"/>
          <bgColor indexed="65"/>
        </patternFill>
      </fill>
    </dxf>
    <dxf>
      <numFmt numFmtId="15" formatCode="0.00E+00"/>
      <fill>
        <patternFill patternType="none">
          <fgColor indexed="64"/>
          <bgColor indexed="65"/>
        </patternFill>
      </fill>
    </dxf>
    <dxf>
      <numFmt numFmtId="15" formatCode="0.00E+00"/>
    </dxf>
    <dxf>
      <numFmt numFmtId="15" formatCode="0.00E+00"/>
    </dxf>
    <dxf>
      <numFmt numFmtId="15" formatCode="0.00E+00"/>
    </dxf>
    <dxf>
      <numFmt numFmtId="15" formatCode="0.00E+00"/>
    </dxf>
    <dxf>
      <numFmt numFmtId="15" formatCode="0.00E+00"/>
    </dxf>
    <dxf>
      <numFmt numFmtId="15" formatCode="0.00E+00"/>
      <fill>
        <patternFill patternType="none">
          <fgColor indexed="64"/>
          <bgColor indexed="65"/>
        </patternFill>
      </fill>
    </dxf>
    <dxf>
      <numFmt numFmtId="15" formatCode="0.00E+00"/>
      <fill>
        <patternFill patternType="none">
          <fgColor indexed="64"/>
          <bgColor indexed="65"/>
        </patternFill>
      </fill>
    </dxf>
    <dxf>
      <numFmt numFmtId="15" formatCode="0.00E+00"/>
    </dxf>
    <dxf>
      <numFmt numFmtId="15" formatCode="0.00E+00"/>
      <fill>
        <patternFill patternType="none">
          <fgColor indexed="64"/>
          <bgColor indexed="65"/>
        </patternFill>
      </fill>
    </dxf>
    <dxf>
      <numFmt numFmtId="15" formatCode="0.00E+00"/>
      <fill>
        <patternFill patternType="none">
          <fgColor indexed="64"/>
          <bgColor indexed="65"/>
        </patternFill>
      </fill>
    </dxf>
    <dxf>
      <numFmt numFmtId="15" formatCode="0.00E+00"/>
    </dxf>
    <dxf>
      <numFmt numFmtId="15" formatCode="0.00E+00"/>
      <fill>
        <patternFill patternType="none">
          <fgColor indexed="64"/>
          <bgColor indexed="65"/>
        </patternFill>
      </fill>
    </dxf>
    <dxf>
      <numFmt numFmtId="15" formatCode="0.00E+00"/>
      <fill>
        <patternFill patternType="none">
          <fgColor indexed="64"/>
          <bgColor indexed="65"/>
        </patternFill>
      </fill>
    </dxf>
    <dxf>
      <numFmt numFmtId="15" formatCode="0.00E+00"/>
      <fill>
        <patternFill patternType="none">
          <fgColor indexed="64"/>
          <bgColor indexed="65"/>
        </patternFill>
      </fill>
    </dxf>
    <dxf>
      <numFmt numFmtId="15" formatCode="0.00E+00"/>
      <fill>
        <patternFill patternType="none">
          <fgColor indexed="64"/>
          <bgColor indexed="65"/>
        </patternFill>
      </fill>
    </dxf>
    <dxf>
      <numFmt numFmtId="15" formatCode="0.00E+00"/>
      <fill>
        <patternFill patternType="none">
          <fgColor indexed="64"/>
          <bgColor indexed="65"/>
        </patternFill>
      </fill>
    </dxf>
    <dxf>
      <numFmt numFmtId="15" formatCode="0.00E+00"/>
      <fill>
        <patternFill patternType="none">
          <fgColor indexed="64"/>
          <bgColor indexed="65"/>
        </patternFill>
      </fill>
    </dxf>
    <dxf>
      <numFmt numFmtId="15" formatCode="0.00E+00"/>
      <fill>
        <patternFill patternType="none">
          <fgColor indexed="64"/>
          <bgColor indexed="65"/>
        </patternFill>
      </fill>
    </dxf>
    <dxf>
      <numFmt numFmtId="15" formatCode="0.00E+00"/>
      <fill>
        <patternFill patternType="none">
          <fgColor indexed="64"/>
          <bgColor indexed="65"/>
        </patternFill>
      </fill>
    </dxf>
    <dxf>
      <numFmt numFmtId="15" formatCode="0.00E+00"/>
      <fill>
        <patternFill patternType="none">
          <fgColor indexed="64"/>
          <bgColor indexed="65"/>
        </patternFill>
      </fill>
    </dxf>
    <dxf>
      <numFmt numFmtId="15" formatCode="0.00E+00"/>
      <fill>
        <patternFill patternType="none">
          <fgColor indexed="64"/>
          <bgColor indexed="65"/>
        </patternFill>
      </fill>
    </dxf>
    <dxf>
      <numFmt numFmtId="15" formatCode="0.00E+00"/>
      <fill>
        <patternFill patternType="none">
          <fgColor indexed="64"/>
          <bgColor indexed="65"/>
        </patternFill>
      </fill>
    </dxf>
    <dxf>
      <numFmt numFmtId="15" formatCode="0.00E+00"/>
      <fill>
        <patternFill patternType="none">
          <fgColor indexed="64"/>
          <bgColor indexed="65"/>
        </patternFill>
      </fill>
    </dxf>
    <dxf>
      <numFmt numFmtId="15" formatCode="0.00E+00"/>
      <fill>
        <patternFill patternType="none">
          <fgColor indexed="64"/>
          <bgColor indexed="65"/>
        </patternFill>
      </fill>
    </dxf>
    <dxf>
      <numFmt numFmtId="15" formatCode="0.00E+00"/>
      <fill>
        <patternFill patternType="none">
          <fgColor indexed="64"/>
          <bgColor indexed="65"/>
        </patternFill>
      </fill>
    </dxf>
    <dxf>
      <numFmt numFmtId="15" formatCode="0.00E+00"/>
      <fill>
        <patternFill patternType="none">
          <fgColor indexed="64"/>
          <bgColor indexed="65"/>
        </patternFill>
      </fill>
    </dxf>
    <dxf>
      <numFmt numFmtId="15" formatCode="0.00E+00"/>
      <fill>
        <patternFill patternType="none">
          <fgColor indexed="64"/>
          <bgColor indexed="65"/>
        </patternFill>
      </fill>
    </dxf>
    <dxf>
      <numFmt numFmtId="15" formatCode="0.00E+00"/>
      <fill>
        <patternFill patternType="none">
          <fgColor indexed="64"/>
          <bgColor indexed="65"/>
        </patternFill>
      </fill>
    </dxf>
    <dxf>
      <numFmt numFmtId="15" formatCode="0.00E+00"/>
      <fill>
        <patternFill patternType="none">
          <fgColor indexed="64"/>
          <bgColor indexed="65"/>
        </patternFill>
      </fill>
    </dxf>
    <dxf>
      <numFmt numFmtId="15" formatCode="0.00E+00"/>
      <fill>
        <patternFill patternType="none">
          <fgColor indexed="64"/>
          <bgColor indexed="65"/>
        </patternFill>
      </fill>
    </dxf>
    <dxf>
      <numFmt numFmtId="15" formatCode="0.00E+00"/>
      <fill>
        <patternFill patternType="none">
          <fgColor indexed="64"/>
          <bgColor indexed="65"/>
        </patternFill>
      </fill>
    </dxf>
    <dxf>
      <numFmt numFmtId="15" formatCode="0.00E+00"/>
      <fill>
        <patternFill patternType="none">
          <fgColor indexed="64"/>
          <bgColor indexed="65"/>
        </patternFill>
      </fill>
    </dxf>
    <dxf>
      <numFmt numFmtId="15" formatCode="0.00E+00"/>
    </dxf>
    <dxf>
      <numFmt numFmtId="15" formatCode="0.00E+00"/>
    </dxf>
    <dxf>
      <numFmt numFmtId="15" formatCode="0.00E+00"/>
    </dxf>
    <dxf>
      <numFmt numFmtId="15" formatCode="0.00E+00"/>
    </dxf>
    <dxf>
      <numFmt numFmtId="15" formatCode="0.00E+00"/>
    </dxf>
    <dxf>
      <numFmt numFmtId="15" formatCode="0.00E+00"/>
    </dxf>
    <dxf>
      <numFmt numFmtId="15" formatCode="0.00E+00"/>
    </dxf>
    <dxf>
      <numFmt numFmtId="15" formatCode="0.00E+00"/>
    </dxf>
    <dxf>
      <numFmt numFmtId="15" formatCode="0.00E+00"/>
    </dxf>
    <dxf>
      <numFmt numFmtId="15" formatCode="0.00E+00"/>
    </dxf>
    <dxf>
      <numFmt numFmtId="15" formatCode="0.00E+00"/>
    </dxf>
    <dxf>
      <font>
        <b val="0"/>
        <i val="0"/>
        <strike val="0"/>
        <condense val="0"/>
        <extend val="0"/>
        <outline val="0"/>
        <shadow val="0"/>
        <u val="none"/>
        <vertAlign val="baseline"/>
        <sz val="9"/>
        <color theme="1"/>
        <name val="Open Sans"/>
        <family val="2"/>
        <scheme val="none"/>
      </font>
    </dxf>
    <dxf>
      <numFmt numFmtId="15" formatCode="0.00E+00"/>
      <fill>
        <patternFill patternType="none">
          <fgColor indexed="64"/>
          <bgColor indexed="65"/>
        </patternFill>
      </fill>
    </dxf>
    <dxf>
      <numFmt numFmtId="15" formatCode="0.00E+00"/>
      <fill>
        <patternFill patternType="none">
          <fgColor indexed="64"/>
          <bgColor indexed="65"/>
        </patternFill>
      </fill>
    </dxf>
    <dxf>
      <numFmt numFmtId="15" formatCode="0.00E+00"/>
      <fill>
        <patternFill patternType="none">
          <fgColor indexed="64"/>
          <bgColor indexed="65"/>
        </patternFill>
      </fill>
    </dxf>
    <dxf>
      <numFmt numFmtId="15" formatCode="0.00E+00"/>
      <fill>
        <patternFill patternType="none">
          <fgColor indexed="64"/>
          <bgColor indexed="65"/>
        </patternFill>
      </fill>
    </dxf>
    <dxf>
      <numFmt numFmtId="15" formatCode="0.00E+00"/>
      <fill>
        <patternFill patternType="none">
          <fgColor indexed="64"/>
          <bgColor indexed="65"/>
        </patternFill>
      </fill>
    </dxf>
    <dxf>
      <numFmt numFmtId="15" formatCode="0.00E+00"/>
      <fill>
        <patternFill patternType="none">
          <fgColor indexed="64"/>
          <bgColor indexed="65"/>
        </patternFill>
      </fill>
    </dxf>
    <dxf>
      <numFmt numFmtId="15" formatCode="0.00E+00"/>
      <fill>
        <patternFill patternType="none">
          <fgColor indexed="64"/>
          <bgColor indexed="65"/>
        </patternFill>
      </fill>
    </dxf>
    <dxf>
      <numFmt numFmtId="15" formatCode="0.00E+00"/>
      <fill>
        <patternFill patternType="none">
          <fgColor indexed="64"/>
          <bgColor indexed="65"/>
        </patternFill>
      </fill>
    </dxf>
    <dxf>
      <numFmt numFmtId="15" formatCode="0.00E+00"/>
      <fill>
        <patternFill patternType="none">
          <fgColor indexed="64"/>
          <bgColor indexed="65"/>
        </patternFill>
      </fill>
    </dxf>
    <dxf>
      <numFmt numFmtId="15" formatCode="0.00E+00"/>
      <fill>
        <patternFill patternType="none">
          <fgColor indexed="64"/>
          <bgColor indexed="65"/>
        </patternFill>
      </fill>
    </dxf>
    <dxf>
      <numFmt numFmtId="15" formatCode="0.00E+00"/>
      <fill>
        <patternFill patternType="none">
          <fgColor indexed="64"/>
          <bgColor indexed="65"/>
        </patternFill>
      </fill>
    </dxf>
    <dxf>
      <numFmt numFmtId="15" formatCode="0.00E+00"/>
      <fill>
        <patternFill patternType="none">
          <fgColor indexed="64"/>
          <bgColor indexed="65"/>
        </patternFill>
      </fill>
    </dxf>
    <dxf>
      <numFmt numFmtId="15" formatCode="0.00E+00"/>
      <fill>
        <patternFill patternType="none">
          <fgColor indexed="64"/>
          <bgColor indexed="65"/>
        </patternFill>
      </fill>
    </dxf>
    <dxf>
      <numFmt numFmtId="15" formatCode="0.00E+00"/>
      <fill>
        <patternFill patternType="none">
          <fgColor indexed="64"/>
          <bgColor indexed="65"/>
        </patternFill>
      </fill>
    </dxf>
    <dxf>
      <numFmt numFmtId="15" formatCode="0.00E+00"/>
      <fill>
        <patternFill patternType="none">
          <fgColor indexed="64"/>
          <bgColor indexed="65"/>
        </patternFill>
      </fill>
    </dxf>
    <dxf>
      <numFmt numFmtId="15" formatCode="0.00E+00"/>
      <fill>
        <patternFill patternType="none">
          <fgColor indexed="64"/>
          <bgColor indexed="65"/>
        </patternFill>
      </fill>
    </dxf>
    <dxf>
      <numFmt numFmtId="15" formatCode="0.00E+00"/>
      <fill>
        <patternFill patternType="none">
          <fgColor indexed="64"/>
          <bgColor indexed="65"/>
        </patternFill>
      </fill>
    </dxf>
    <dxf>
      <numFmt numFmtId="15" formatCode="0.00E+00"/>
      <fill>
        <patternFill patternType="none">
          <fgColor indexed="64"/>
          <bgColor indexed="65"/>
        </patternFill>
      </fill>
    </dxf>
    <dxf>
      <numFmt numFmtId="15" formatCode="0.00E+00"/>
      <fill>
        <patternFill patternType="none">
          <fgColor indexed="64"/>
          <bgColor indexed="65"/>
        </patternFill>
      </fill>
    </dxf>
    <dxf>
      <numFmt numFmtId="15" formatCode="0.00E+00"/>
      <fill>
        <patternFill patternType="none">
          <fgColor indexed="64"/>
          <bgColor indexed="65"/>
        </patternFill>
      </fill>
    </dxf>
    <dxf>
      <numFmt numFmtId="15" formatCode="0.00E+00"/>
      <fill>
        <patternFill patternType="none">
          <fgColor indexed="64"/>
          <bgColor indexed="65"/>
        </patternFill>
      </fill>
    </dxf>
    <dxf>
      <numFmt numFmtId="15" formatCode="0.00E+00"/>
      <fill>
        <patternFill patternType="none">
          <fgColor indexed="64"/>
          <bgColor indexed="65"/>
        </patternFill>
      </fill>
    </dxf>
    <dxf>
      <numFmt numFmtId="15" formatCode="0.00E+00"/>
      <fill>
        <patternFill patternType="none">
          <fgColor indexed="64"/>
          <bgColor indexed="65"/>
        </patternFill>
      </fill>
    </dxf>
    <dxf>
      <numFmt numFmtId="15" formatCode="0.00E+00"/>
      <fill>
        <patternFill patternType="none">
          <fgColor indexed="64"/>
          <bgColor indexed="65"/>
        </patternFill>
      </fill>
    </dxf>
    <dxf>
      <numFmt numFmtId="15" formatCode="0.00E+00"/>
      <fill>
        <patternFill patternType="none">
          <fgColor indexed="64"/>
          <bgColor indexed="65"/>
        </patternFill>
      </fill>
    </dxf>
    <dxf>
      <numFmt numFmtId="15" formatCode="0.00E+00"/>
      <fill>
        <patternFill patternType="none">
          <fgColor indexed="64"/>
          <bgColor indexed="65"/>
        </patternFill>
      </fill>
    </dxf>
    <dxf>
      <numFmt numFmtId="15" formatCode="0.00E+00"/>
      <fill>
        <patternFill patternType="none">
          <fgColor indexed="64"/>
          <bgColor indexed="65"/>
        </patternFill>
      </fill>
    </dxf>
    <dxf>
      <numFmt numFmtId="15" formatCode="0.00E+00"/>
      <fill>
        <patternFill patternType="none">
          <fgColor indexed="64"/>
          <bgColor indexed="65"/>
        </patternFill>
      </fill>
    </dxf>
    <dxf>
      <numFmt numFmtId="15" formatCode="0.00E+00"/>
      <fill>
        <patternFill patternType="none">
          <fgColor indexed="64"/>
          <bgColor indexed="65"/>
        </patternFill>
      </fill>
    </dxf>
    <dxf>
      <numFmt numFmtId="15" formatCode="0.00E+00"/>
      <fill>
        <patternFill patternType="none">
          <fgColor indexed="64"/>
          <bgColor indexed="65"/>
        </patternFill>
      </fill>
    </dxf>
    <dxf>
      <numFmt numFmtId="15" formatCode="0.00E+00"/>
      <fill>
        <patternFill patternType="none">
          <fgColor indexed="64"/>
          <bgColor indexed="65"/>
        </patternFill>
      </fill>
    </dxf>
    <dxf>
      <numFmt numFmtId="15" formatCode="0.00E+00"/>
      <fill>
        <patternFill patternType="none">
          <fgColor indexed="64"/>
          <bgColor indexed="65"/>
        </patternFill>
      </fill>
    </dxf>
    <dxf>
      <font>
        <b val="0"/>
        <i val="0"/>
        <strike val="0"/>
        <condense val="0"/>
        <extend val="0"/>
        <outline val="0"/>
        <shadow val="0"/>
        <u val="none"/>
        <vertAlign val="baseline"/>
        <sz val="9"/>
        <color theme="1"/>
        <name val="Open Sans"/>
        <family val="2"/>
        <scheme val="none"/>
      </font>
    </dxf>
    <dxf>
      <numFmt numFmtId="167" formatCode="_([$€-2]\ * #,##0.00_);_([$€-2]\ * \(#,##0.00\);_([$€-2]\ * &quot;-&quot;??_);_(@_)"/>
    </dxf>
    <dxf>
      <fill>
        <patternFill patternType="none">
          <fgColor indexed="64"/>
          <bgColor indexed="65"/>
        </patternFill>
      </fill>
    </dxf>
    <dxf>
      <fill>
        <patternFill patternType="none">
          <fgColor indexed="64"/>
          <bgColor indexed="65"/>
        </patternFill>
      </fill>
    </dxf>
    <dxf>
      <numFmt numFmtId="15" formatCode="0.00E+00"/>
      <fill>
        <patternFill patternType="none">
          <fgColor indexed="64"/>
          <bgColor indexed="65"/>
        </patternFill>
      </fill>
    </dxf>
    <dxf>
      <numFmt numFmtId="15" formatCode="0.00E+00"/>
      <fill>
        <patternFill patternType="none">
          <fgColor indexed="64"/>
          <bgColor indexed="65"/>
        </patternFill>
      </fill>
    </dxf>
    <dxf>
      <numFmt numFmtId="15" formatCode="0.00E+00"/>
      <fill>
        <patternFill patternType="none">
          <fgColor indexed="64"/>
          <bgColor indexed="65"/>
        </patternFill>
      </fill>
    </dxf>
    <dxf>
      <numFmt numFmtId="15" formatCode="0.00E+00"/>
      <fill>
        <patternFill patternType="none">
          <fgColor indexed="64"/>
          <bgColor indexed="65"/>
        </patternFill>
      </fill>
    </dxf>
    <dxf>
      <numFmt numFmtId="15" formatCode="0.00E+00"/>
      <fill>
        <patternFill patternType="none">
          <fgColor indexed="64"/>
          <bgColor indexed="65"/>
        </patternFill>
      </fill>
    </dxf>
    <dxf>
      <numFmt numFmtId="15" formatCode="0.00E+00"/>
      <fill>
        <patternFill patternType="none">
          <fgColor indexed="64"/>
          <bgColor indexed="65"/>
        </patternFill>
      </fill>
    </dxf>
    <dxf>
      <numFmt numFmtId="15" formatCode="0.00E+00"/>
      <fill>
        <patternFill patternType="none">
          <fgColor indexed="64"/>
          <bgColor indexed="65"/>
        </patternFill>
      </fill>
    </dxf>
    <dxf>
      <numFmt numFmtId="15" formatCode="0.00E+00"/>
      <fill>
        <patternFill patternType="none">
          <fgColor indexed="64"/>
          <bgColor indexed="65"/>
        </patternFill>
      </fill>
    </dxf>
    <dxf>
      <numFmt numFmtId="15" formatCode="0.00E+00"/>
      <fill>
        <patternFill patternType="none">
          <fgColor indexed="64"/>
          <bgColor indexed="65"/>
        </patternFill>
      </fill>
    </dxf>
    <dxf>
      <numFmt numFmtId="15" formatCode="0.00E+00"/>
      <fill>
        <patternFill patternType="none">
          <fgColor indexed="64"/>
          <bgColor indexed="65"/>
        </patternFill>
      </fill>
    </dxf>
    <dxf>
      <numFmt numFmtId="15" formatCode="0.00E+00"/>
      <fill>
        <patternFill patternType="none">
          <fgColor indexed="64"/>
          <bgColor indexed="65"/>
        </patternFill>
      </fill>
    </dxf>
    <dxf>
      <numFmt numFmtId="15" formatCode="0.00E+00"/>
      <fill>
        <patternFill patternType="none">
          <fgColor indexed="64"/>
          <bgColor indexed="65"/>
        </patternFill>
      </fill>
    </dxf>
    <dxf>
      <numFmt numFmtId="15" formatCode="0.00E+00"/>
      <fill>
        <patternFill patternType="none">
          <fgColor indexed="64"/>
          <bgColor indexed="65"/>
        </patternFill>
      </fill>
    </dxf>
    <dxf>
      <numFmt numFmtId="15" formatCode="0.00E+00"/>
      <fill>
        <patternFill patternType="none">
          <fgColor indexed="64"/>
          <bgColor indexed="65"/>
        </patternFill>
      </fill>
    </dxf>
    <dxf>
      <numFmt numFmtId="15" formatCode="0.00E+00"/>
      <fill>
        <patternFill patternType="none">
          <fgColor indexed="64"/>
          <bgColor indexed="65"/>
        </patternFill>
      </fill>
    </dxf>
    <dxf>
      <numFmt numFmtId="15" formatCode="0.00E+00"/>
      <fill>
        <patternFill patternType="none">
          <fgColor indexed="64"/>
          <bgColor indexed="65"/>
        </patternFill>
      </fill>
    </dxf>
    <dxf>
      <numFmt numFmtId="15" formatCode="0.00E+00"/>
      <fill>
        <patternFill patternType="none">
          <fgColor indexed="64"/>
          <bgColor indexed="65"/>
        </patternFill>
      </fill>
    </dxf>
    <dxf>
      <numFmt numFmtId="15" formatCode="0.00E+00"/>
      <fill>
        <patternFill patternType="none">
          <fgColor indexed="64"/>
          <bgColor indexed="65"/>
        </patternFill>
      </fill>
    </dxf>
    <dxf>
      <numFmt numFmtId="15" formatCode="0.00E+00"/>
      <fill>
        <patternFill patternType="none">
          <fgColor indexed="64"/>
          <bgColor indexed="65"/>
        </patternFill>
      </fill>
    </dxf>
    <dxf>
      <numFmt numFmtId="15" formatCode="0.00E+00"/>
      <fill>
        <patternFill patternType="none">
          <fgColor indexed="64"/>
          <bgColor indexed="65"/>
        </patternFill>
      </fill>
    </dxf>
    <dxf>
      <numFmt numFmtId="15" formatCode="0.00E+00"/>
      <fill>
        <patternFill patternType="none">
          <fgColor indexed="64"/>
          <bgColor indexed="65"/>
        </patternFill>
      </fill>
    </dxf>
    <dxf>
      <numFmt numFmtId="15" formatCode="0.00E+00"/>
      <fill>
        <patternFill patternType="none">
          <fgColor indexed="64"/>
          <bgColor indexed="65"/>
        </patternFill>
      </fill>
    </dxf>
    <dxf>
      <numFmt numFmtId="15" formatCode="0.00E+00"/>
      <fill>
        <patternFill patternType="none">
          <fgColor indexed="64"/>
          <bgColor indexed="65"/>
        </patternFill>
      </fill>
    </dxf>
    <dxf>
      <numFmt numFmtId="15" formatCode="0.00E+00"/>
      <fill>
        <patternFill patternType="none">
          <fgColor indexed="64"/>
          <bgColor indexed="65"/>
        </patternFill>
      </fill>
    </dxf>
    <dxf>
      <numFmt numFmtId="15" formatCode="0.00E+00"/>
      <fill>
        <patternFill patternType="none">
          <fgColor indexed="64"/>
          <bgColor indexed="65"/>
        </patternFill>
      </fill>
    </dxf>
    <dxf>
      <numFmt numFmtId="15" formatCode="0.00E+00"/>
      <fill>
        <patternFill patternType="none">
          <fgColor indexed="64"/>
          <bgColor indexed="65"/>
        </patternFill>
      </fill>
    </dxf>
    <dxf>
      <numFmt numFmtId="15" formatCode="0.00E+00"/>
      <fill>
        <patternFill patternType="none">
          <fgColor indexed="64"/>
          <bgColor indexed="65"/>
        </patternFill>
      </fill>
    </dxf>
    <dxf>
      <numFmt numFmtId="15" formatCode="0.00E+00"/>
      <fill>
        <patternFill patternType="none">
          <fgColor indexed="64"/>
          <bgColor indexed="65"/>
        </patternFill>
      </fill>
    </dxf>
    <dxf>
      <numFmt numFmtId="15" formatCode="0.00E+00"/>
      <fill>
        <patternFill patternType="none">
          <fgColor indexed="64"/>
          <bgColor indexed="65"/>
        </patternFill>
      </fill>
    </dxf>
    <dxf>
      <numFmt numFmtId="15" formatCode="0.00E+00"/>
      <fill>
        <patternFill patternType="none">
          <fgColor indexed="64"/>
          <bgColor indexed="65"/>
        </patternFill>
      </fill>
    </dxf>
    <dxf>
      <font>
        <b val="0"/>
        <i val="0"/>
        <strike val="0"/>
        <condense val="0"/>
        <extend val="0"/>
        <outline val="0"/>
        <shadow val="0"/>
        <u val="none"/>
        <vertAlign val="baseline"/>
        <sz val="9"/>
        <color theme="1"/>
        <name val="Open Sans"/>
        <family val="2"/>
        <scheme val="none"/>
      </font>
    </dxf>
    <dxf>
      <numFmt numFmtId="167" formatCode="_([$€-2]\ * #,##0.00_);_([$€-2]\ * \(#,##0.00\);_([$€-2]\ * &quot;-&quot;??_);_(@_)"/>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numFmt numFmtId="2" formatCode="0.00"/>
      <fill>
        <patternFill patternType="none">
          <fgColor indexed="64"/>
          <bgColor indexed="65"/>
        </patternFill>
      </fill>
    </dxf>
    <dxf>
      <numFmt numFmtId="166" formatCode="_ [$€-413]\ * #,##0.00_ ;_ [$€-413]\ * \-#,##0.00_ ;_ [$€-413]\ * &quot;-&quot;??_ ;_ @_ "/>
    </dxf>
    <dxf>
      <border outline="0">
        <left style="thin">
          <color theme="5"/>
        </left>
        <top style="thin">
          <color theme="5"/>
        </top>
      </border>
    </dxf>
    <dxf>
      <font>
        <b val="0"/>
        <i val="0"/>
        <strike val="0"/>
        <condense val="0"/>
        <extend val="0"/>
        <outline val="0"/>
        <shadow val="0"/>
        <u val="none"/>
        <vertAlign val="baseline"/>
        <sz val="11"/>
        <color rgb="FF000000"/>
        <name val="Calibri"/>
        <family val="2"/>
        <scheme val="none"/>
      </font>
      <numFmt numFmtId="1" formatCode="0"/>
      <fill>
        <patternFill patternType="none">
          <fgColor indexed="64"/>
          <bgColor indexed="65"/>
        </patternFill>
      </fill>
    </dxf>
    <dxf>
      <font>
        <b val="0"/>
        <i val="0"/>
        <strike val="0"/>
        <condense val="0"/>
        <extend val="0"/>
        <outline val="0"/>
        <shadow val="0"/>
        <u val="none"/>
        <vertAlign val="baseline"/>
        <sz val="11"/>
        <color rgb="FF000000"/>
        <name val="Calibri"/>
        <family val="2"/>
        <scheme val="none"/>
      </font>
      <numFmt numFmtId="1" formatCode="0"/>
    </dxf>
    <dxf>
      <font>
        <b val="0"/>
        <i val="0"/>
        <strike val="0"/>
        <condense val="0"/>
        <extend val="0"/>
        <outline val="0"/>
        <shadow val="0"/>
        <u val="none"/>
        <vertAlign val="baseline"/>
        <sz val="11"/>
        <color rgb="FF000000"/>
        <name val="Calibri"/>
        <family val="2"/>
        <scheme val="none"/>
      </font>
    </dxf>
    <dxf>
      <numFmt numFmtId="15" formatCode="0.00E+00"/>
    </dxf>
    <dxf>
      <numFmt numFmtId="15" formatCode="0.00E+00"/>
    </dxf>
    <dxf>
      <numFmt numFmtId="15" formatCode="0.00E+00"/>
    </dxf>
    <dxf>
      <numFmt numFmtId="15" formatCode="0.00E+00"/>
    </dxf>
    <dxf>
      <numFmt numFmtId="15" formatCode="0.00E+00"/>
    </dxf>
    <dxf>
      <numFmt numFmtId="15" formatCode="0.00E+00"/>
    </dxf>
    <dxf>
      <numFmt numFmtId="15" formatCode="0.00E+00"/>
    </dxf>
    <dxf>
      <numFmt numFmtId="15" formatCode="0.00E+00"/>
    </dxf>
    <dxf>
      <numFmt numFmtId="15" formatCode="0.00E+00"/>
    </dxf>
    <dxf>
      <numFmt numFmtId="15" formatCode="0.00E+00"/>
    </dxf>
    <dxf>
      <numFmt numFmtId="15" formatCode="0.00E+00"/>
    </dxf>
    <dxf>
      <numFmt numFmtId="15" formatCode="0.00E+00"/>
    </dxf>
    <dxf>
      <numFmt numFmtId="15" formatCode="0.00E+00"/>
    </dxf>
    <dxf>
      <numFmt numFmtId="15" formatCode="0.00E+00"/>
    </dxf>
    <dxf>
      <numFmt numFmtId="15" formatCode="0.00E+00"/>
    </dxf>
    <dxf>
      <numFmt numFmtId="15" formatCode="0.00E+00"/>
    </dxf>
    <dxf>
      <numFmt numFmtId="15" formatCode="0.00E+00"/>
    </dxf>
    <dxf>
      <numFmt numFmtId="15" formatCode="0.00E+00"/>
    </dxf>
    <dxf>
      <numFmt numFmtId="15" formatCode="0.00E+00"/>
    </dxf>
    <dxf>
      <numFmt numFmtId="15" formatCode="0.00E+00"/>
    </dxf>
    <dxf>
      <numFmt numFmtId="15" formatCode="0.00E+00"/>
    </dxf>
    <dxf>
      <numFmt numFmtId="15" formatCode="0.00E+00"/>
    </dxf>
    <dxf>
      <numFmt numFmtId="15" formatCode="0.00E+00"/>
    </dxf>
    <dxf>
      <numFmt numFmtId="15" formatCode="0.00E+00"/>
    </dxf>
    <dxf>
      <numFmt numFmtId="15" formatCode="0.00E+00"/>
    </dxf>
    <dxf>
      <numFmt numFmtId="15" formatCode="0.00E+00"/>
    </dxf>
    <dxf>
      <numFmt numFmtId="15" formatCode="0.00E+00"/>
    </dxf>
    <dxf>
      <numFmt numFmtId="15" formatCode="0.00E+00"/>
    </dxf>
    <dxf>
      <numFmt numFmtId="15" formatCode="0.00E+00"/>
    </dxf>
    <dxf>
      <numFmt numFmtId="15" formatCode="0.00E+00"/>
    </dxf>
    <dxf>
      <numFmt numFmtId="15" formatCode="0.00E+00"/>
    </dxf>
    <dxf>
      <numFmt numFmtId="15" formatCode="0.00E+00"/>
    </dxf>
    <dxf>
      <numFmt numFmtId="15" formatCode="0.00E+00"/>
    </dxf>
    <dxf>
      <numFmt numFmtId="15" formatCode="0.00E+00"/>
    </dxf>
    <dxf>
      <numFmt numFmtId="15" formatCode="0.00E+00"/>
    </dxf>
    <dxf>
      <numFmt numFmtId="15" formatCode="0.00E+00"/>
    </dxf>
    <dxf>
      <numFmt numFmtId="15" formatCode="0.00E+00"/>
    </dxf>
    <dxf>
      <numFmt numFmtId="15" formatCode="0.00E+00"/>
    </dxf>
    <dxf>
      <numFmt numFmtId="15" formatCode="0.00E+00"/>
    </dxf>
    <dxf>
      <numFmt numFmtId="15" formatCode="0.00E+00"/>
    </dxf>
    <dxf>
      <numFmt numFmtId="15" formatCode="0.00E+00"/>
    </dxf>
    <dxf>
      <numFmt numFmtId="15" formatCode="0.00E+00"/>
    </dxf>
    <dxf>
      <numFmt numFmtId="15" formatCode="0.00E+00"/>
    </dxf>
    <dxf>
      <numFmt numFmtId="15" formatCode="0.00E+00"/>
    </dxf>
    <dxf>
      <numFmt numFmtId="15" formatCode="0.00E+00"/>
    </dxf>
    <dxf>
      <numFmt numFmtId="15" formatCode="0.00E+00"/>
    </dxf>
    <dxf>
      <numFmt numFmtId="166" formatCode="_ [$€-413]\ * #,##0.00_ ;_ [$€-413]\ * \-#,##0.00_ ;_ [$€-413]\ * &quot;-&quot;??_ ;_ @_ "/>
    </dxf>
    <dxf>
      <font>
        <color rgb="FF000000"/>
      </font>
      <numFmt numFmtId="2" formatCode="0.00"/>
      <fill>
        <patternFill patternType="solid">
          <fgColor indexed="64"/>
          <bgColor rgb="FFFFFF00"/>
        </patternFill>
      </fill>
    </dxf>
    <dxf>
      <numFmt numFmtId="0" formatCode="General"/>
    </dxf>
    <dxf>
      <border outline="0">
        <bottom style="thin">
          <color rgb="FF000000"/>
        </bottom>
      </border>
    </dxf>
    <dxf>
      <border outline="0">
        <left style="thin">
          <color rgb="FF000000"/>
        </left>
        <right style="thin">
          <color rgb="FF000000"/>
        </right>
        <top style="thin">
          <color rgb="FF000000"/>
        </top>
        <bottom style="thin">
          <color rgb="FF000000"/>
        </bottom>
      </border>
    </dxf>
    <dxf>
      <fill>
        <patternFill>
          <bgColor rgb="FFFF7D7D"/>
        </patternFill>
      </fill>
    </dxf>
    <dxf>
      <fill>
        <patternFill>
          <bgColor rgb="FFFF7D7D"/>
        </patternFill>
      </fill>
    </dxf>
    <dxf>
      <fill>
        <patternFill>
          <bgColor rgb="FFFF7D7D"/>
        </patternFill>
      </fill>
    </dxf>
    <dxf>
      <fill>
        <patternFill>
          <bgColor rgb="FFFF7D7D"/>
        </patternFill>
      </fill>
    </dxf>
    <dxf>
      <fill>
        <patternFill>
          <bgColor rgb="FFFF7D7D"/>
        </patternFill>
      </fill>
    </dxf>
    <dxf>
      <fill>
        <patternFill>
          <bgColor rgb="FFFF7D7D"/>
        </patternFill>
      </fill>
    </dxf>
    <dxf>
      <fill>
        <patternFill>
          <bgColor rgb="FFFF7D7D"/>
        </patternFill>
      </fill>
    </dxf>
    <dxf>
      <fill>
        <patternFill>
          <bgColor rgb="FFFF7D7D"/>
        </patternFill>
      </fill>
    </dxf>
    <dxf>
      <fill>
        <patternFill>
          <bgColor rgb="FFFF7D7D"/>
        </patternFill>
      </fill>
    </dxf>
    <dxf>
      <fill>
        <patternFill>
          <bgColor rgb="FFFF7D7D"/>
        </patternFill>
      </fill>
    </dxf>
    <dxf>
      <fill>
        <patternFill>
          <bgColor rgb="FFFF7D7D"/>
        </patternFill>
      </fill>
    </dxf>
    <dxf>
      <fill>
        <patternFill>
          <bgColor rgb="FFFF7D7D"/>
        </patternFill>
      </fill>
    </dxf>
    <dxf>
      <fill>
        <patternFill>
          <bgColor rgb="FFFF7D7D"/>
        </patternFill>
      </fill>
    </dxf>
    <dxf>
      <fill>
        <patternFill>
          <bgColor rgb="FFFF7D7D"/>
        </patternFill>
      </fill>
    </dxf>
    <dxf>
      <fill>
        <patternFill>
          <bgColor rgb="FFFF7D7D"/>
        </patternFill>
      </fill>
    </dxf>
    <dxf>
      <fill>
        <patternFill>
          <bgColor rgb="FFFF7D7D"/>
        </patternFill>
      </fill>
    </dxf>
    <dxf>
      <fill>
        <patternFill>
          <bgColor rgb="FFFF7D7D"/>
        </patternFill>
      </fill>
    </dxf>
    <dxf>
      <fill>
        <patternFill>
          <bgColor rgb="FFFF7D7D"/>
        </patternFill>
      </fill>
    </dxf>
    <dxf>
      <fill>
        <patternFill>
          <bgColor rgb="FFFF7D7D"/>
        </patternFill>
      </fill>
    </dxf>
    <dxf>
      <fill>
        <patternFill>
          <bgColor rgb="FFFF7D7D"/>
        </patternFill>
      </fill>
    </dxf>
    <dxf>
      <fill>
        <patternFill>
          <bgColor rgb="FFFF7D7D"/>
        </patternFill>
      </fill>
    </dxf>
    <dxf>
      <fill>
        <patternFill>
          <bgColor rgb="FFFF7D7D"/>
        </patternFill>
      </fill>
    </dxf>
    <dxf>
      <font>
        <b val="0"/>
        <i val="0"/>
        <strike val="0"/>
        <condense val="0"/>
        <extend val="0"/>
        <outline val="0"/>
        <shadow val="0"/>
        <u val="none"/>
        <vertAlign val="baseline"/>
        <sz val="11"/>
        <color theme="1"/>
        <name val="Open Sans"/>
        <family val="2"/>
        <scheme val="none"/>
      </font>
      <numFmt numFmtId="165" formatCode="_(* #,##0.00_);_(* \(#,##0.00\);_(* &quot;-&quot;??_);_(@_)"/>
      <fill>
        <patternFill patternType="solid">
          <fgColor theme="6" tint="0.59999389629810485"/>
          <bgColor theme="6" tint="0.59999389629810485"/>
        </patternFill>
      </fill>
    </dxf>
    <dxf>
      <font>
        <b val="0"/>
        <i val="0"/>
        <strike val="0"/>
        <condense val="0"/>
        <extend val="0"/>
        <outline val="0"/>
        <shadow val="0"/>
        <u val="none"/>
        <vertAlign val="baseline"/>
        <sz val="11"/>
        <color theme="1"/>
        <name val="Open Sans"/>
        <family val="2"/>
        <scheme val="none"/>
      </font>
      <numFmt numFmtId="3" formatCode="#,##0"/>
      <fill>
        <patternFill patternType="solid">
          <fgColor theme="6" tint="0.59999389629810485"/>
          <bgColor theme="6" tint="0.59999389629810485"/>
        </patternFill>
      </fill>
      <border diagonalUp="0" diagonalDown="0">
        <left/>
        <right/>
        <top style="thin">
          <color theme="0"/>
        </top>
        <bottom style="thin">
          <color theme="0"/>
        </bottom>
        <vertical/>
        <horizontal/>
      </border>
    </dxf>
    <dxf>
      <font>
        <b val="0"/>
        <i val="0"/>
        <strike val="0"/>
        <condense val="0"/>
        <extend val="0"/>
        <outline val="0"/>
        <shadow val="0"/>
        <u val="none"/>
        <vertAlign val="baseline"/>
        <sz val="11"/>
        <color theme="1"/>
        <name val="Open Sans"/>
        <family val="2"/>
        <scheme val="none"/>
      </font>
      <numFmt numFmtId="1" formatCode="0"/>
      <fill>
        <patternFill patternType="solid">
          <fgColor theme="6" tint="0.59999389629810485"/>
          <bgColor theme="6" tint="0.59999389629810485"/>
        </patternFill>
      </fill>
      <border diagonalUp="0" diagonalDown="0">
        <left/>
        <right style="thin">
          <color theme="0"/>
        </right>
        <top style="thin">
          <color theme="0"/>
        </top>
        <bottom style="thin">
          <color theme="0"/>
        </bottom>
        <vertical/>
        <horizontal/>
      </border>
    </dxf>
    <dxf>
      <font>
        <b val="0"/>
        <i val="0"/>
        <strike val="0"/>
        <condense val="0"/>
        <extend val="0"/>
        <outline val="0"/>
        <shadow val="0"/>
        <u val="none"/>
        <vertAlign val="baseline"/>
        <sz val="11"/>
        <color theme="1"/>
        <name val="Open Sans"/>
        <family val="2"/>
        <scheme val="none"/>
      </font>
      <numFmt numFmtId="3" formatCode="#,##0"/>
      <fill>
        <patternFill patternType="solid">
          <fgColor theme="6" tint="0.59999389629810485"/>
          <bgColor theme="6" tint="0.59999389629810485"/>
        </patternFill>
      </fill>
      <border diagonalUp="0" diagonalDown="0">
        <left/>
        <right style="thin">
          <color theme="0"/>
        </right>
        <top style="thin">
          <color theme="0"/>
        </top>
        <bottom style="thin">
          <color theme="0"/>
        </bottom>
        <vertical/>
        <horizontal/>
      </border>
    </dxf>
    <dxf>
      <font>
        <b val="0"/>
        <i val="0"/>
        <strike val="0"/>
        <condense val="0"/>
        <extend val="0"/>
        <outline val="0"/>
        <shadow val="0"/>
        <u val="none"/>
        <vertAlign val="baseline"/>
        <sz val="11"/>
        <color theme="1"/>
        <name val="Open Sans"/>
        <family val="2"/>
        <scheme val="none"/>
      </font>
      <numFmt numFmtId="3" formatCode="#,##0"/>
      <fill>
        <patternFill patternType="solid">
          <fgColor theme="6" tint="0.59999389629810485"/>
          <bgColor theme="6" tint="0.59999389629810485"/>
        </patternFill>
      </fill>
      <border diagonalUp="0" diagonalDown="0">
        <left/>
        <right style="thin">
          <color theme="0"/>
        </right>
        <top style="thin">
          <color theme="0"/>
        </top>
        <bottom style="thin">
          <color theme="0"/>
        </bottom>
        <vertical/>
        <horizontal/>
      </border>
    </dxf>
    <dxf>
      <font>
        <b val="0"/>
        <i val="0"/>
        <strike val="0"/>
        <condense val="0"/>
        <extend val="0"/>
        <outline val="0"/>
        <shadow val="0"/>
        <u val="none"/>
        <vertAlign val="baseline"/>
        <sz val="11"/>
        <color theme="1"/>
        <name val="Open Sans"/>
        <family val="2"/>
        <scheme val="none"/>
      </font>
      <numFmt numFmtId="3" formatCode="#,##0"/>
      <fill>
        <patternFill patternType="solid">
          <fgColor theme="6" tint="0.59999389629810485"/>
          <bgColor theme="6" tint="0.59999389629810485"/>
        </patternFill>
      </fill>
      <border diagonalUp="0" diagonalDown="0">
        <left/>
        <right style="thin">
          <color theme="0"/>
        </right>
        <top style="thin">
          <color theme="0"/>
        </top>
        <bottom style="thin">
          <color theme="0"/>
        </bottom>
        <vertical/>
        <horizontal/>
      </border>
    </dxf>
    <dxf>
      <font>
        <b val="0"/>
        <i val="0"/>
        <strike val="0"/>
        <condense val="0"/>
        <extend val="0"/>
        <outline val="0"/>
        <shadow val="0"/>
        <u val="none"/>
        <vertAlign val="baseline"/>
        <sz val="11"/>
        <color theme="1"/>
        <name val="Open Sans"/>
        <family val="2"/>
        <scheme val="none"/>
      </font>
      <numFmt numFmtId="166" formatCode="_ [$€-413]\ * #,##0.00_ ;_ [$€-413]\ * \-#,##0.00_ ;_ [$€-413]\ * &quot;-&quot;??_ ;_ @_ "/>
      <fill>
        <patternFill patternType="solid">
          <fgColor theme="6" tint="0.59999389629810485"/>
          <bgColor theme="6" tint="0.59999389629810485"/>
        </patternFill>
      </fill>
      <border diagonalUp="0" diagonalDown="0">
        <left/>
        <right style="thin">
          <color theme="0"/>
        </right>
        <top style="thin">
          <color theme="0"/>
        </top>
        <bottom style="thin">
          <color theme="0"/>
        </bottom>
        <vertical/>
        <horizontal/>
      </border>
    </dxf>
    <dxf>
      <font>
        <b val="0"/>
        <i val="0"/>
        <strike val="0"/>
        <condense val="0"/>
        <extend val="0"/>
        <outline val="0"/>
        <shadow val="0"/>
        <u val="none"/>
        <vertAlign val="baseline"/>
        <sz val="11"/>
        <color theme="1"/>
        <name val="Open Sans"/>
        <family val="2"/>
        <scheme val="none"/>
      </font>
      <numFmt numFmtId="176" formatCode="_([$€-2]\ * #,##0_);_([$€-2]\ * \(#,##0\);_([$€-2]\ * &quot;-&quot;??_);_(@_)"/>
      <fill>
        <patternFill patternType="solid">
          <fgColor theme="6" tint="0.59999389629810485"/>
          <bgColor theme="6" tint="0.59999389629810485"/>
        </patternFill>
      </fill>
      <border diagonalUp="0" diagonalDown="0">
        <left/>
        <right style="thin">
          <color theme="0"/>
        </right>
        <top style="thin">
          <color theme="0"/>
        </top>
        <bottom style="thin">
          <color theme="0"/>
        </bottom>
        <vertical/>
        <horizontal/>
      </border>
    </dxf>
    <dxf>
      <font>
        <b val="0"/>
        <i val="0"/>
        <strike val="0"/>
        <condense val="0"/>
        <extend val="0"/>
        <outline val="0"/>
        <shadow val="0"/>
        <u val="none"/>
        <vertAlign val="baseline"/>
        <sz val="11"/>
        <color theme="1"/>
        <name val="Open Sans"/>
        <family val="2"/>
        <scheme val="none"/>
      </font>
      <numFmt numFmtId="30" formatCode="@"/>
      <fill>
        <patternFill patternType="solid">
          <fgColor theme="6" tint="0.59999389629810485"/>
          <bgColor theme="6" tint="0.59999389629810485"/>
        </patternFill>
      </fill>
      <border diagonalUp="0" diagonalDown="0">
        <left/>
        <right style="thin">
          <color theme="0"/>
        </right>
        <top style="thin">
          <color theme="0"/>
        </top>
        <bottom style="thin">
          <color theme="0"/>
        </bottom>
        <vertical/>
        <horizontal/>
      </border>
    </dxf>
    <dxf>
      <border outline="0">
        <top style="thin">
          <color theme="0"/>
        </top>
      </border>
    </dxf>
    <dxf>
      <border outline="0">
        <bottom style="thick">
          <color theme="0"/>
        </bottom>
      </border>
    </dxf>
    <dxf>
      <border outline="0">
        <right style="thin">
          <color theme="0"/>
        </right>
      </border>
    </dxf>
    <dxf>
      <font>
        <b val="0"/>
        <i val="0"/>
        <strike val="0"/>
        <condense val="0"/>
        <extend val="0"/>
        <outline val="0"/>
        <shadow val="0"/>
        <u val="none"/>
        <vertAlign val="baseline"/>
        <sz val="11"/>
        <color theme="1"/>
        <name val="Open Sans"/>
        <family val="2"/>
        <scheme val="none"/>
      </font>
      <fill>
        <patternFill patternType="solid">
          <fgColor theme="6" tint="0.59999389629810485"/>
          <bgColor theme="6" tint="0.59999389629810485"/>
        </patternFill>
      </fill>
    </dxf>
    <dxf>
      <font>
        <b/>
        <i val="0"/>
        <strike val="0"/>
        <condense val="0"/>
        <extend val="0"/>
        <outline val="0"/>
        <shadow val="0"/>
        <u val="none"/>
        <vertAlign val="baseline"/>
        <sz val="11"/>
        <color theme="0"/>
        <name val="Open Sans"/>
        <family val="2"/>
        <scheme val="none"/>
      </font>
      <fill>
        <patternFill patternType="solid">
          <fgColor theme="6"/>
          <bgColor theme="6"/>
        </patternFill>
      </fill>
      <alignment horizontal="center" vertical="bottom" textRotation="90" wrapText="0" indent="0" justifyLastLine="0" shrinkToFit="0" readingOrder="0"/>
    </dxf>
    <dxf>
      <fill>
        <patternFill>
          <bgColor rgb="FFFF9F9F"/>
        </patternFill>
      </fill>
    </dxf>
    <dxf>
      <fill>
        <patternFill>
          <bgColor theme="9" tint="0.79998168889431442"/>
        </patternFill>
      </fill>
    </dxf>
    <dxf>
      <fill>
        <patternFill>
          <bgColor theme="9" tint="0.79998168889431442"/>
        </patternFill>
      </fill>
    </dxf>
    <dxf>
      <fill>
        <patternFill>
          <bgColor rgb="FFFF9F9F"/>
        </patternFill>
      </fill>
    </dxf>
    <dxf>
      <fill>
        <patternFill>
          <bgColor theme="9" tint="0.79998168889431442"/>
        </patternFill>
      </fill>
    </dxf>
    <dxf>
      <fill>
        <patternFill>
          <bgColor rgb="FFFF9F9F"/>
        </patternFill>
      </fill>
    </dxf>
    <dxf>
      <fill>
        <patternFill>
          <bgColor theme="9" tint="0.79998168889431442"/>
        </patternFill>
      </fill>
    </dxf>
    <dxf>
      <fill>
        <patternFill>
          <bgColor rgb="FFFF9F9F"/>
        </patternFill>
      </fill>
    </dxf>
    <dxf>
      <fill>
        <patternFill>
          <bgColor theme="9" tint="0.79998168889431442"/>
        </patternFill>
      </fill>
    </dxf>
    <dxf>
      <fill>
        <patternFill>
          <bgColor rgb="FFFF9F9F"/>
        </patternFill>
      </fill>
    </dxf>
    <dxf>
      <fill>
        <patternFill>
          <bgColor theme="9" tint="0.79998168889431442"/>
        </patternFill>
      </fill>
    </dxf>
    <dxf>
      <fill>
        <patternFill>
          <bgColor rgb="FFFF9F9F"/>
        </patternFill>
      </fill>
    </dxf>
    <dxf>
      <fill>
        <patternFill>
          <bgColor theme="9" tint="0.79998168889431442"/>
        </patternFill>
      </fill>
    </dxf>
    <dxf>
      <fill>
        <patternFill>
          <bgColor rgb="FFFF9F9F"/>
        </patternFill>
      </fill>
    </dxf>
    <dxf>
      <fill>
        <patternFill>
          <bgColor theme="9" tint="0.79998168889431442"/>
        </patternFill>
      </fill>
    </dxf>
    <dxf>
      <fill>
        <patternFill>
          <bgColor rgb="FFFF9F9F"/>
        </patternFill>
      </fill>
    </dxf>
    <dxf>
      <fill>
        <patternFill>
          <bgColor theme="9" tint="0.79998168889431442"/>
        </patternFill>
      </fill>
    </dxf>
    <dxf>
      <fill>
        <patternFill>
          <bgColor rgb="FFFF9F9F"/>
        </patternFill>
      </fill>
    </dxf>
    <dxf>
      <fill>
        <patternFill>
          <bgColor rgb="FFFF9F9F"/>
        </patternFill>
      </fill>
    </dxf>
    <dxf>
      <fill>
        <patternFill>
          <bgColor theme="9" tint="0.79998168889431442"/>
        </patternFill>
      </fill>
    </dxf>
    <dxf>
      <fill>
        <patternFill>
          <bgColor theme="9" tint="0.79998168889431442"/>
        </patternFill>
      </fill>
    </dxf>
    <dxf>
      <fill>
        <patternFill>
          <bgColor rgb="FFFF9F9F"/>
        </patternFill>
      </fill>
    </dxf>
    <dxf>
      <fill>
        <patternFill>
          <bgColor rgb="FFFF0000"/>
        </patternFill>
      </fill>
    </dxf>
    <dxf>
      <fill>
        <patternFill>
          <bgColor theme="9"/>
        </patternFill>
      </fill>
    </dxf>
    <dxf>
      <fill>
        <patternFill>
          <bgColor theme="9"/>
        </patternFill>
      </fill>
    </dxf>
    <dxf>
      <fill>
        <patternFill>
          <bgColor rgb="FFFF0000"/>
        </patternFill>
      </fill>
    </dxf>
    <dxf>
      <fill>
        <patternFill>
          <bgColor theme="9"/>
        </patternFill>
      </fill>
    </dxf>
    <dxf>
      <fill>
        <patternFill>
          <bgColor rgb="FFFF0000"/>
        </patternFill>
      </fill>
    </dxf>
    <dxf>
      <fill>
        <patternFill>
          <bgColor theme="9"/>
        </patternFill>
      </fill>
    </dxf>
    <dxf>
      <fill>
        <patternFill>
          <bgColor rgb="FFFF0000"/>
        </patternFill>
      </fill>
    </dxf>
    <dxf>
      <fill>
        <patternFill>
          <bgColor rgb="FFFF0000"/>
        </patternFill>
      </fill>
    </dxf>
    <dxf>
      <fill>
        <patternFill>
          <bgColor theme="9"/>
        </patternFill>
      </fill>
    </dxf>
    <dxf>
      <fill>
        <patternFill>
          <bgColor theme="9"/>
        </patternFill>
      </fill>
    </dxf>
    <dxf>
      <fill>
        <patternFill>
          <bgColor rgb="FFFF0000"/>
        </patternFill>
      </fill>
    </dxf>
    <dxf>
      <fill>
        <patternFill>
          <bgColor rgb="FFFF0000"/>
        </patternFill>
      </fill>
    </dxf>
    <dxf>
      <fill>
        <patternFill>
          <bgColor theme="9"/>
        </patternFill>
      </fill>
    </dxf>
    <dxf>
      <fill>
        <patternFill>
          <bgColor theme="9"/>
        </patternFill>
      </fill>
    </dxf>
    <dxf>
      <fill>
        <patternFill>
          <bgColor rgb="FFFF0000"/>
        </patternFill>
      </fill>
    </dxf>
    <dxf>
      <fill>
        <patternFill>
          <bgColor theme="9"/>
        </patternFill>
      </fill>
    </dxf>
    <dxf>
      <fill>
        <patternFill>
          <bgColor rgb="FFFF0000"/>
        </patternFill>
      </fill>
    </dxf>
    <dxf>
      <fill>
        <patternFill>
          <bgColor theme="9"/>
        </patternFill>
      </fill>
    </dxf>
    <dxf>
      <fill>
        <patternFill>
          <bgColor rgb="FFFF0000"/>
        </patternFill>
      </fill>
    </dxf>
    <dxf>
      <numFmt numFmtId="15" formatCode="0.00E+00"/>
      <fill>
        <patternFill patternType="solid">
          <fgColor indexed="64"/>
          <bgColor theme="7" tint="0.59999389629810485"/>
        </patternFill>
      </fill>
      <protection locked="0" hidden="0"/>
    </dxf>
    <dxf>
      <numFmt numFmtId="15" formatCode="0.00E+00"/>
      <fill>
        <patternFill patternType="solid">
          <fgColor indexed="64"/>
          <bgColor theme="7" tint="0.59999389629810485"/>
        </patternFill>
      </fill>
      <protection locked="0" hidden="0"/>
    </dxf>
    <dxf>
      <numFmt numFmtId="15" formatCode="0.00E+00"/>
      <fill>
        <patternFill patternType="solid">
          <fgColor indexed="64"/>
          <bgColor theme="7" tint="0.59999389629810485"/>
        </patternFill>
      </fill>
      <protection locked="0" hidden="0"/>
    </dxf>
    <dxf>
      <numFmt numFmtId="15" formatCode="0.00E+00"/>
      <fill>
        <patternFill patternType="solid">
          <fgColor indexed="64"/>
          <bgColor theme="7" tint="0.59999389629810485"/>
        </patternFill>
      </fill>
    </dxf>
    <dxf>
      <numFmt numFmtId="15" formatCode="0.00E+00"/>
      <fill>
        <patternFill patternType="solid">
          <fgColor indexed="64"/>
          <bgColor theme="7" tint="0.59999389629810485"/>
        </patternFill>
      </fill>
      <protection locked="0" hidden="0"/>
    </dxf>
    <dxf>
      <numFmt numFmtId="15" formatCode="0.00E+00"/>
      <fill>
        <patternFill patternType="solid">
          <fgColor indexed="64"/>
          <bgColor theme="7" tint="0.59999389629810485"/>
        </patternFill>
      </fill>
    </dxf>
    <dxf>
      <numFmt numFmtId="15" formatCode="0.00E+00"/>
      <fill>
        <patternFill patternType="solid">
          <fgColor indexed="64"/>
          <bgColor theme="7" tint="0.59999389629810485"/>
        </patternFill>
      </fill>
      <protection locked="0" hidden="0"/>
    </dxf>
    <dxf>
      <numFmt numFmtId="15" formatCode="0.00E+00"/>
      <fill>
        <patternFill patternType="solid">
          <fgColor indexed="64"/>
          <bgColor theme="7" tint="0.59999389629810485"/>
        </patternFill>
      </fill>
      <protection locked="0" hidden="0"/>
    </dxf>
    <dxf>
      <numFmt numFmtId="15" formatCode="0.00E+00"/>
      <fill>
        <patternFill patternType="solid">
          <fgColor indexed="64"/>
          <bgColor theme="7" tint="0.59999389629810485"/>
        </patternFill>
      </fill>
      <protection locked="0" hidden="0"/>
    </dxf>
    <dxf>
      <numFmt numFmtId="15" formatCode="0.00E+00"/>
      <fill>
        <patternFill patternType="solid">
          <fgColor indexed="64"/>
          <bgColor theme="7" tint="0.59999389629810485"/>
        </patternFill>
      </fill>
      <protection locked="0" hidden="0"/>
    </dxf>
    <dxf>
      <numFmt numFmtId="15" formatCode="0.00E+00"/>
      <fill>
        <patternFill patternType="solid">
          <fgColor indexed="64"/>
          <bgColor theme="7" tint="0.59999389629810485"/>
        </patternFill>
      </fill>
      <protection locked="0" hidden="0"/>
    </dxf>
    <dxf>
      <numFmt numFmtId="15" formatCode="0.00E+00"/>
      <fill>
        <patternFill patternType="solid">
          <fgColor indexed="64"/>
          <bgColor theme="7" tint="0.59999389629810485"/>
        </patternFill>
      </fill>
    </dxf>
    <dxf>
      <numFmt numFmtId="15" formatCode="0.00E+00"/>
      <fill>
        <patternFill patternType="solid">
          <fgColor indexed="64"/>
          <bgColor theme="7" tint="0.59999389629810485"/>
        </patternFill>
      </fill>
      <protection locked="0" hidden="0"/>
    </dxf>
    <dxf>
      <numFmt numFmtId="15" formatCode="0.00E+00"/>
      <fill>
        <patternFill patternType="solid">
          <fgColor indexed="64"/>
          <bgColor theme="7" tint="0.59999389629810485"/>
        </patternFill>
      </fill>
    </dxf>
    <dxf>
      <numFmt numFmtId="15" formatCode="0.00E+00"/>
      <fill>
        <patternFill patternType="solid">
          <fgColor indexed="64"/>
          <bgColor theme="7" tint="0.59999389629810485"/>
        </patternFill>
      </fill>
      <protection locked="0" hidden="0"/>
    </dxf>
    <dxf>
      <numFmt numFmtId="15" formatCode="0.00E+00"/>
      <fill>
        <patternFill patternType="solid">
          <fgColor indexed="64"/>
          <bgColor theme="7" tint="0.59999389629810485"/>
        </patternFill>
      </fill>
      <protection locked="0" hidden="0"/>
    </dxf>
    <dxf>
      <numFmt numFmtId="15" formatCode="0.00E+00"/>
      <fill>
        <patternFill patternType="solid">
          <fgColor indexed="64"/>
          <bgColor theme="7" tint="0.59999389629810485"/>
        </patternFill>
      </fill>
      <protection locked="0" hidden="0"/>
    </dxf>
    <dxf>
      <numFmt numFmtId="15" formatCode="0.00E+00"/>
      <fill>
        <patternFill patternType="solid">
          <fgColor indexed="64"/>
          <bgColor theme="7" tint="0.59999389629810485"/>
        </patternFill>
      </fill>
      <protection locked="0" hidden="0"/>
    </dxf>
    <dxf>
      <numFmt numFmtId="15" formatCode="0.00E+00"/>
      <fill>
        <patternFill patternType="solid">
          <fgColor indexed="64"/>
          <bgColor theme="7" tint="0.59999389629810485"/>
        </patternFill>
      </fill>
      <protection locked="0" hidden="0"/>
    </dxf>
    <dxf>
      <fill>
        <patternFill patternType="solid">
          <fgColor indexed="64"/>
          <bgColor theme="7" tint="0.59999389629810485"/>
        </patternFill>
      </fill>
    </dxf>
    <dxf>
      <numFmt numFmtId="15" formatCode="0.00E+00"/>
      <fill>
        <patternFill patternType="solid">
          <fgColor indexed="64"/>
          <bgColor theme="7" tint="0.59999389629810485"/>
        </patternFill>
      </fill>
      <protection locked="0" hidden="0"/>
    </dxf>
    <dxf>
      <numFmt numFmtId="15" formatCode="0.00E+00"/>
      <fill>
        <patternFill patternType="solid">
          <fgColor indexed="64"/>
          <bgColor theme="7" tint="0.59999389629810485"/>
        </patternFill>
      </fill>
    </dxf>
    <dxf>
      <numFmt numFmtId="15" formatCode="0.00E+00"/>
      <fill>
        <patternFill patternType="solid">
          <fgColor indexed="64"/>
          <bgColor theme="7" tint="0.59999389629810485"/>
        </patternFill>
      </fill>
      <protection locked="0" hidden="0"/>
    </dxf>
    <dxf>
      <numFmt numFmtId="15" formatCode="0.00E+00"/>
      <fill>
        <patternFill patternType="solid">
          <fgColor indexed="64"/>
          <bgColor theme="7" tint="0.59999389629810485"/>
        </patternFill>
      </fill>
      <protection locked="0" hidden="0"/>
    </dxf>
    <dxf>
      <numFmt numFmtId="15" formatCode="0.00E+00"/>
      <fill>
        <patternFill patternType="solid">
          <fgColor indexed="64"/>
          <bgColor theme="7" tint="0.59999389629810485"/>
        </patternFill>
      </fill>
      <protection locked="0" hidden="0"/>
    </dxf>
    <dxf>
      <fill>
        <patternFill patternType="solid">
          <fgColor indexed="64"/>
          <bgColor theme="7" tint="0.59999389629810485"/>
        </patternFill>
      </fill>
      <protection locked="0" hidden="0"/>
    </dxf>
    <dxf>
      <fill>
        <patternFill patternType="solid">
          <fgColor indexed="64"/>
          <bgColor theme="7" tint="0.59999389629810485"/>
        </patternFill>
      </fill>
      <protection locked="0" hidden="0"/>
    </dxf>
    <dxf>
      <numFmt numFmtId="172" formatCode="&quot;€&quot;\ #,##0.00"/>
      <fill>
        <patternFill patternType="solid">
          <fgColor indexed="64"/>
          <bgColor theme="7" tint="0.59999389629810485"/>
        </patternFill>
      </fill>
      <protection locked="0" hidden="0"/>
    </dxf>
    <dxf>
      <numFmt numFmtId="172" formatCode="&quot;€&quot;\ #,##0.00"/>
      <fill>
        <patternFill patternType="solid">
          <fgColor indexed="64"/>
          <bgColor theme="7" tint="0.59999389629810485"/>
        </patternFill>
      </fill>
      <protection locked="0" hidden="0"/>
    </dxf>
    <dxf>
      <numFmt numFmtId="172" formatCode="&quot;€&quot;\ #,##0.00"/>
      <fill>
        <patternFill patternType="solid">
          <fgColor indexed="64"/>
          <bgColor theme="7" tint="0.59999389629810485"/>
        </patternFill>
      </fill>
    </dxf>
    <dxf>
      <numFmt numFmtId="172" formatCode="&quot;€&quot;\ #,##0.00"/>
      <fill>
        <patternFill patternType="solid">
          <fgColor indexed="64"/>
          <bgColor theme="7" tint="0.59999389629810485"/>
        </patternFill>
      </fill>
      <protection locked="0" hidden="0"/>
    </dxf>
    <dxf>
      <numFmt numFmtId="172" formatCode="&quot;€&quot;\ #,##0.00"/>
      <fill>
        <patternFill patternType="solid">
          <fgColor indexed="64"/>
          <bgColor theme="7" tint="0.59999389629810485"/>
        </patternFill>
      </fill>
      <protection locked="0" hidden="0"/>
    </dxf>
    <dxf>
      <numFmt numFmtId="172" formatCode="&quot;€&quot;\ #,##0.00"/>
      <fill>
        <patternFill patternType="solid">
          <fgColor indexed="64"/>
          <bgColor theme="7" tint="0.59999389629810485"/>
        </patternFill>
      </fill>
      <protection locked="0" hidden="0"/>
    </dxf>
    <dxf>
      <fill>
        <patternFill patternType="solid">
          <fgColor indexed="64"/>
          <bgColor theme="7" tint="0.59999389629810485"/>
        </patternFill>
      </fill>
      <protection locked="0" hidden="0"/>
    </dxf>
    <dxf>
      <fill>
        <patternFill patternType="solid">
          <fgColor indexed="64"/>
          <bgColor theme="7" tint="0.59999389629810485"/>
        </patternFill>
      </fill>
      <protection locked="0" hidden="0"/>
    </dxf>
    <dxf>
      <fill>
        <patternFill patternType="solid">
          <fgColor indexed="64"/>
          <bgColor theme="7" tint="0.59999389629810485"/>
        </patternFill>
      </fill>
      <protection locked="0" hidden="0"/>
    </dxf>
    <dxf>
      <fill>
        <patternFill patternType="solid">
          <fgColor indexed="64"/>
          <bgColor theme="7" tint="0.59999389629810485"/>
        </patternFill>
      </fill>
      <protection locked="0" hidden="0"/>
    </dxf>
    <dxf>
      <fill>
        <patternFill patternType="solid">
          <fgColor indexed="64"/>
          <bgColor theme="7" tint="0.59999389629810485"/>
        </patternFill>
      </fill>
      <protection locked="0" hidden="0"/>
    </dxf>
    <dxf>
      <fill>
        <patternFill patternType="solid">
          <fgColor indexed="64"/>
          <bgColor theme="7" tint="0.59999389629810485"/>
        </patternFill>
      </fill>
      <protection locked="0" hidden="0"/>
    </dxf>
    <dxf>
      <numFmt numFmtId="30" formatCode="@"/>
      <fill>
        <patternFill patternType="solid">
          <fgColor indexed="64"/>
          <bgColor theme="7" tint="0.59999389629810485"/>
        </patternFill>
      </fill>
      <protection locked="0" hidden="0"/>
    </dxf>
    <dxf>
      <fill>
        <patternFill patternType="solid">
          <fgColor indexed="64"/>
          <bgColor theme="7" tint="0.59999389629810485"/>
        </patternFill>
      </fill>
      <protection locked="0" hidden="0"/>
    </dxf>
    <dxf>
      <alignment horizontal="general" vertical="bottom" textRotation="45" wrapText="1" indent="0" justifyLastLine="0" shrinkToFit="0" readingOrder="0"/>
    </dxf>
    <dxf>
      <font>
        <b val="0"/>
        <i val="0"/>
        <strike val="0"/>
        <condense val="0"/>
        <extend val="0"/>
        <outline val="0"/>
        <shadow val="0"/>
        <u val="none"/>
        <vertAlign val="baseline"/>
        <sz val="11"/>
        <color theme="1"/>
        <name val="Open Sans"/>
        <family val="2"/>
        <scheme val="none"/>
      </font>
      <numFmt numFmtId="179" formatCode="_(* #,##0.0_);_(* \(#,##0.0\);_(* &quot;-&quot;??_);_(@_)"/>
      <fill>
        <patternFill patternType="solid">
          <fgColor theme="6" tint="0.59999389629810485"/>
          <bgColor theme="6" tint="0.59999389629810485"/>
        </patternFill>
      </fill>
      <border diagonalUp="0" diagonalDown="0">
        <left/>
        <right style="thin">
          <color theme="0"/>
        </right>
        <top/>
        <bottom/>
        <vertical/>
        <horizontal/>
      </border>
    </dxf>
    <dxf>
      <font>
        <b val="0"/>
        <i val="0"/>
        <strike val="0"/>
        <condense val="0"/>
        <extend val="0"/>
        <outline val="0"/>
        <shadow val="0"/>
        <u val="none"/>
        <vertAlign val="baseline"/>
        <sz val="11"/>
        <color theme="1"/>
        <name val="Open Sans"/>
        <family val="2"/>
        <scheme val="none"/>
      </font>
      <numFmt numFmtId="179" formatCode="_(* #,##0.0_);_(* \(#,##0.0\);_(* &quot;-&quot;??_);_(@_)"/>
    </dxf>
    <dxf>
      <font>
        <b val="0"/>
        <i val="0"/>
        <strike val="0"/>
        <condense val="0"/>
        <extend val="0"/>
        <outline val="0"/>
        <shadow val="0"/>
        <u val="none"/>
        <vertAlign val="baseline"/>
        <sz val="11"/>
        <color theme="1"/>
        <name val="Open Sans"/>
        <family val="2"/>
        <scheme val="none"/>
      </font>
      <numFmt numFmtId="179" formatCode="_(* #,##0.0_);_(* \(#,##0.0\);_(* &quot;-&quot;??_);_(@_)"/>
      <fill>
        <patternFill patternType="solid">
          <fgColor theme="6" tint="0.59999389629810485"/>
          <bgColor theme="6" tint="0.59999389629810485"/>
        </patternFill>
      </fill>
      <border diagonalUp="0" diagonalDown="0">
        <left/>
        <right style="thin">
          <color theme="0"/>
        </right>
        <top/>
        <bottom/>
        <vertical/>
        <horizontal/>
      </border>
    </dxf>
    <dxf>
      <font>
        <b val="0"/>
        <i val="0"/>
        <strike val="0"/>
        <condense val="0"/>
        <extend val="0"/>
        <outline val="0"/>
        <shadow val="0"/>
        <u val="none"/>
        <vertAlign val="baseline"/>
        <sz val="11"/>
        <color theme="1"/>
        <name val="Open Sans"/>
        <family val="2"/>
        <scheme val="none"/>
      </font>
      <numFmt numFmtId="179" formatCode="_(* #,##0.0_);_(* \(#,##0.0\);_(* &quot;-&quot;??_);_(@_)"/>
    </dxf>
    <dxf>
      <font>
        <b val="0"/>
        <i val="0"/>
        <strike val="0"/>
        <condense val="0"/>
        <extend val="0"/>
        <outline val="0"/>
        <shadow val="0"/>
        <u val="none"/>
        <vertAlign val="baseline"/>
        <sz val="11"/>
        <color theme="1"/>
        <name val="Open Sans"/>
        <family val="2"/>
        <scheme val="none"/>
      </font>
      <numFmt numFmtId="179" formatCode="_(* #,##0.0_);_(* \(#,##0.0\);_(* &quot;-&quot;??_);_(@_)"/>
      <fill>
        <patternFill patternType="solid">
          <fgColor theme="6" tint="0.59999389629810485"/>
          <bgColor theme="6" tint="0.59999389629810485"/>
        </patternFill>
      </fill>
      <border diagonalUp="0" diagonalDown="0">
        <left/>
        <right style="thin">
          <color theme="0"/>
        </right>
        <top/>
        <bottom/>
        <vertical/>
        <horizontal/>
      </border>
    </dxf>
    <dxf>
      <font>
        <b val="0"/>
        <i val="0"/>
        <strike val="0"/>
        <condense val="0"/>
        <extend val="0"/>
        <outline val="0"/>
        <shadow val="0"/>
        <u val="none"/>
        <vertAlign val="baseline"/>
        <sz val="11"/>
        <color theme="1"/>
        <name val="Open Sans"/>
        <family val="2"/>
        <scheme val="none"/>
      </font>
      <numFmt numFmtId="179" formatCode="_(* #,##0.0_);_(* \(#,##0.0\);_(* &quot;-&quot;??_);_(@_)"/>
    </dxf>
    <dxf>
      <font>
        <b val="0"/>
        <i val="0"/>
        <strike val="0"/>
        <condense val="0"/>
        <extend val="0"/>
        <outline val="0"/>
        <shadow val="0"/>
        <u val="none"/>
        <vertAlign val="baseline"/>
        <sz val="11"/>
        <color theme="1"/>
        <name val="Open Sans"/>
        <family val="2"/>
        <scheme val="none"/>
      </font>
      <numFmt numFmtId="179" formatCode="_(* #,##0.0_);_(* \(#,##0.0\);_(* &quot;-&quot;??_);_(@_)"/>
      <fill>
        <patternFill patternType="solid">
          <fgColor theme="6" tint="0.59999389629810485"/>
          <bgColor theme="6" tint="0.59999389629810485"/>
        </patternFill>
      </fill>
      <border diagonalUp="0" diagonalDown="0">
        <left/>
        <right style="thin">
          <color theme="0"/>
        </right>
        <top/>
        <bottom/>
        <vertical/>
        <horizontal/>
      </border>
    </dxf>
    <dxf>
      <font>
        <b val="0"/>
        <i val="0"/>
        <strike val="0"/>
        <condense val="0"/>
        <extend val="0"/>
        <outline val="0"/>
        <shadow val="0"/>
        <u val="none"/>
        <vertAlign val="baseline"/>
        <sz val="11"/>
        <color theme="1"/>
        <name val="Open Sans"/>
        <family val="2"/>
        <scheme val="none"/>
      </font>
      <numFmt numFmtId="179" formatCode="_(* #,##0.0_);_(* \(#,##0.0\);_(* &quot;-&quot;??_);_(@_)"/>
    </dxf>
    <dxf>
      <font>
        <b val="0"/>
        <i val="0"/>
        <strike val="0"/>
        <condense val="0"/>
        <extend val="0"/>
        <outline val="0"/>
        <shadow val="0"/>
        <u val="none"/>
        <vertAlign val="baseline"/>
        <sz val="11"/>
        <color theme="1"/>
        <name val="Open Sans"/>
        <family val="2"/>
        <scheme val="none"/>
      </font>
      <numFmt numFmtId="179" formatCode="_(* #,##0.0_);_(* \(#,##0.0\);_(* &quot;-&quot;??_);_(@_)"/>
      <fill>
        <patternFill patternType="solid">
          <fgColor theme="6" tint="0.59999389629810485"/>
          <bgColor theme="6" tint="0.59999389629810485"/>
        </patternFill>
      </fill>
      <border diagonalUp="0" diagonalDown="0">
        <left/>
        <right style="thin">
          <color theme="0"/>
        </right>
        <top/>
        <bottom/>
        <vertical/>
        <horizontal/>
      </border>
    </dxf>
    <dxf>
      <font>
        <b val="0"/>
        <i val="0"/>
        <strike val="0"/>
        <condense val="0"/>
        <extend val="0"/>
        <outline val="0"/>
        <shadow val="0"/>
        <u val="none"/>
        <vertAlign val="baseline"/>
        <sz val="11"/>
        <color theme="1"/>
        <name val="Open Sans"/>
        <family val="2"/>
        <scheme val="none"/>
      </font>
      <numFmt numFmtId="179" formatCode="_(* #,##0.0_);_(* \(#,##0.0\);_(* &quot;-&quot;??_);_(@_)"/>
    </dxf>
    <dxf>
      <font>
        <b val="0"/>
        <i val="0"/>
        <strike val="0"/>
        <condense val="0"/>
        <extend val="0"/>
        <outline val="0"/>
        <shadow val="0"/>
        <u val="none"/>
        <vertAlign val="baseline"/>
        <sz val="11"/>
        <color theme="1"/>
        <name val="Open Sans"/>
        <family val="2"/>
        <scheme val="none"/>
      </font>
      <numFmt numFmtId="179" formatCode="_(* #,##0.0_);_(* \(#,##0.0\);_(* &quot;-&quot;??_);_(@_)"/>
      <fill>
        <patternFill patternType="solid">
          <fgColor theme="6" tint="0.59999389629810485"/>
          <bgColor theme="6" tint="0.59999389629810485"/>
        </patternFill>
      </fill>
      <border diagonalUp="0" diagonalDown="0">
        <left/>
        <right style="thin">
          <color theme="0"/>
        </right>
        <top/>
        <bottom/>
        <vertical/>
        <horizontal/>
      </border>
    </dxf>
    <dxf>
      <font>
        <b val="0"/>
        <i val="0"/>
        <strike val="0"/>
        <condense val="0"/>
        <extend val="0"/>
        <outline val="0"/>
        <shadow val="0"/>
        <u val="none"/>
        <vertAlign val="baseline"/>
        <sz val="11"/>
        <color theme="1"/>
        <name val="Open Sans"/>
        <family val="2"/>
        <scheme val="none"/>
      </font>
      <numFmt numFmtId="179" formatCode="_(* #,##0.0_);_(* \(#,##0.0\);_(* &quot;-&quot;??_);_(@_)"/>
    </dxf>
    <dxf>
      <font>
        <b val="0"/>
        <i val="0"/>
        <strike val="0"/>
        <condense val="0"/>
        <extend val="0"/>
        <outline val="0"/>
        <shadow val="0"/>
        <u val="none"/>
        <vertAlign val="baseline"/>
        <sz val="11"/>
        <color theme="1"/>
        <name val="Open Sans"/>
        <family val="2"/>
        <scheme val="none"/>
      </font>
      <numFmt numFmtId="179" formatCode="_(* #,##0.0_);_(* \(#,##0.0\);_(* &quot;-&quot;??_);_(@_)"/>
      <fill>
        <patternFill patternType="solid">
          <fgColor theme="6" tint="0.59999389629810485"/>
          <bgColor theme="6" tint="0.59999389629810485"/>
        </patternFill>
      </fill>
      <border diagonalUp="0" diagonalDown="0">
        <left/>
        <right style="thin">
          <color theme="0"/>
        </right>
        <top/>
        <bottom/>
        <vertical/>
        <horizontal/>
      </border>
    </dxf>
    <dxf>
      <font>
        <b/>
        <i val="0"/>
        <strike val="0"/>
        <condense val="0"/>
        <extend val="0"/>
        <outline val="0"/>
        <shadow val="0"/>
        <u val="none"/>
        <vertAlign val="baseline"/>
        <sz val="11"/>
        <color theme="0"/>
        <name val="Open Sans"/>
        <family val="2"/>
        <scheme val="none"/>
      </font>
      <numFmt numFmtId="179" formatCode="_(* #,##0.0_);_(* \(#,##0.0\);_(* &quot;-&quot;??_);_(@_)"/>
      <fill>
        <patternFill patternType="solid">
          <fgColor theme="6"/>
          <bgColor theme="6"/>
        </patternFill>
      </fill>
      <border diagonalUp="0" diagonalDown="0" outline="0">
        <left style="thin">
          <color theme="0"/>
        </left>
        <right style="thin">
          <color theme="0"/>
        </right>
        <top style="thick">
          <color theme="0"/>
        </top>
        <bottom/>
      </border>
    </dxf>
    <dxf>
      <font>
        <b val="0"/>
        <i val="0"/>
        <strike val="0"/>
        <condense val="0"/>
        <extend val="0"/>
        <outline val="0"/>
        <shadow val="0"/>
        <u val="none"/>
        <vertAlign val="baseline"/>
        <sz val="11"/>
        <color theme="1"/>
        <name val="Open Sans"/>
        <family val="2"/>
        <scheme val="none"/>
      </font>
      <numFmt numFmtId="179" formatCode="_(* #,##0.0_);_(* \(#,##0.0\);_(* &quot;-&quot;??_);_(@_)"/>
      <fill>
        <patternFill patternType="solid">
          <fgColor theme="6" tint="0.59999389629810485"/>
          <bgColor theme="6" tint="0.59999389629810485"/>
        </patternFill>
      </fill>
      <border diagonalUp="0" diagonalDown="0">
        <left/>
        <right style="thin">
          <color theme="0"/>
        </right>
        <top/>
        <bottom/>
        <vertical/>
        <horizontal/>
      </border>
    </dxf>
    <dxf>
      <font>
        <b/>
        <i val="0"/>
        <strike val="0"/>
        <condense val="0"/>
        <extend val="0"/>
        <outline val="0"/>
        <shadow val="0"/>
        <u val="none"/>
        <vertAlign val="baseline"/>
        <sz val="11"/>
        <color theme="0"/>
        <name val="Open Sans"/>
        <family val="2"/>
        <scheme val="none"/>
      </font>
      <numFmt numFmtId="179" formatCode="_(* #,##0.0_);_(* \(#,##0.0\);_(* &quot;-&quot;??_);_(@_)"/>
      <fill>
        <patternFill patternType="solid">
          <fgColor theme="6"/>
          <bgColor theme="6"/>
        </patternFill>
      </fill>
      <border diagonalUp="0" diagonalDown="0" outline="0">
        <left style="thin">
          <color theme="0"/>
        </left>
        <right style="thin">
          <color theme="0"/>
        </right>
        <top style="thick">
          <color theme="0"/>
        </top>
        <bottom/>
      </border>
    </dxf>
    <dxf>
      <font>
        <b val="0"/>
        <i val="0"/>
        <strike val="0"/>
        <condense val="0"/>
        <extend val="0"/>
        <outline val="0"/>
        <shadow val="0"/>
        <u val="none"/>
        <vertAlign val="baseline"/>
        <sz val="11"/>
        <color theme="1"/>
        <name val="Open Sans"/>
        <family val="2"/>
        <scheme val="none"/>
      </font>
      <numFmt numFmtId="179" formatCode="_(* #,##0.0_);_(* \(#,##0.0\);_(* &quot;-&quot;??_);_(@_)"/>
      <fill>
        <patternFill patternType="solid">
          <fgColor theme="6" tint="0.59999389629810485"/>
          <bgColor theme="6" tint="0.59999389629810485"/>
        </patternFill>
      </fill>
    </dxf>
    <dxf>
      <font>
        <b val="0"/>
        <i val="0"/>
        <strike val="0"/>
        <condense val="0"/>
        <extend val="0"/>
        <outline val="0"/>
        <shadow val="0"/>
        <u val="none"/>
        <vertAlign val="baseline"/>
        <sz val="11"/>
        <color theme="1"/>
        <name val="Open Sans"/>
        <family val="2"/>
        <scheme val="none"/>
      </font>
      <numFmt numFmtId="179" formatCode="_(* #,##0.0_);_(* \(#,##0.0\);_(* &quot;-&quot;??_);_(@_)"/>
    </dxf>
    <dxf>
      <font>
        <b val="0"/>
        <i val="0"/>
        <strike val="0"/>
        <condense val="0"/>
        <extend val="0"/>
        <outline val="0"/>
        <shadow val="0"/>
        <u val="none"/>
        <vertAlign val="baseline"/>
        <sz val="11"/>
        <color theme="1"/>
        <name val="Open Sans"/>
        <family val="2"/>
        <scheme val="none"/>
      </font>
      <numFmt numFmtId="169" formatCode="_(* #,##0_);_(* \(#,##0\);_(* &quot;-&quot;??_);_(@_)"/>
      <fill>
        <patternFill patternType="solid">
          <fgColor theme="6" tint="0.59999389629810485"/>
          <bgColor theme="6" tint="0.59999389629810485"/>
        </patternFill>
      </fill>
    </dxf>
    <dxf>
      <font>
        <b/>
        <i val="0"/>
        <strike val="0"/>
        <condense val="0"/>
        <extend val="0"/>
        <outline val="0"/>
        <shadow val="0"/>
        <u val="none"/>
        <vertAlign val="baseline"/>
        <sz val="11"/>
        <color theme="0"/>
        <name val="Open Sans"/>
        <family val="2"/>
        <scheme val="none"/>
      </font>
      <numFmt numFmtId="169" formatCode="_(* #,##0_);_(* \(#,##0\);_(* &quot;-&quot;??_);_(@_)"/>
      <fill>
        <patternFill patternType="solid">
          <fgColor theme="6"/>
          <bgColor theme="6"/>
        </patternFill>
      </fill>
      <border diagonalUp="0" diagonalDown="0" outline="0">
        <left style="thin">
          <color theme="0"/>
        </left>
        <right style="thin">
          <color theme="0"/>
        </right>
        <top style="thick">
          <color theme="0"/>
        </top>
        <bottom/>
      </border>
    </dxf>
    <dxf>
      <font>
        <b val="0"/>
        <i val="0"/>
        <strike val="0"/>
        <condense val="0"/>
        <extend val="0"/>
        <outline val="0"/>
        <shadow val="0"/>
        <u val="none"/>
        <vertAlign val="baseline"/>
        <sz val="11"/>
        <color theme="1"/>
        <name val="Open Sans"/>
        <family val="2"/>
        <scheme val="none"/>
      </font>
      <numFmt numFmtId="169" formatCode="_(* #,##0_);_(* \(#,##0\);_(* &quot;-&quot;??_);_(@_)"/>
      <fill>
        <patternFill patternType="solid">
          <fgColor theme="6" tint="0.59999389629810485"/>
          <bgColor theme="6" tint="0.59999389629810485"/>
        </patternFill>
      </fill>
      <border diagonalUp="0" diagonalDown="0">
        <left/>
        <right style="thin">
          <color theme="0"/>
        </right>
        <top/>
        <bottom style="thin">
          <color theme="0"/>
        </bottom>
        <vertical/>
        <horizontal/>
      </border>
    </dxf>
    <dxf>
      <font>
        <b/>
        <i val="0"/>
        <strike val="0"/>
        <condense val="0"/>
        <extend val="0"/>
        <outline val="0"/>
        <shadow val="0"/>
        <u val="none"/>
        <vertAlign val="baseline"/>
        <sz val="11"/>
        <color theme="0"/>
        <name val="Open Sans"/>
        <family val="2"/>
        <scheme val="none"/>
      </font>
      <numFmt numFmtId="169" formatCode="_(* #,##0_);_(* \(#,##0\);_(* &quot;-&quot;??_);_(@_)"/>
      <fill>
        <patternFill patternType="solid">
          <fgColor theme="6"/>
          <bgColor theme="6"/>
        </patternFill>
      </fill>
      <border diagonalUp="0" diagonalDown="0" outline="0">
        <left style="thin">
          <color theme="0"/>
        </left>
        <right style="thin">
          <color theme="0"/>
        </right>
        <top style="thick">
          <color theme="0"/>
        </top>
        <bottom/>
      </border>
    </dxf>
    <dxf>
      <font>
        <b val="0"/>
        <i val="0"/>
        <strike val="0"/>
        <condense val="0"/>
        <extend val="0"/>
        <outline val="0"/>
        <shadow val="0"/>
        <u val="none"/>
        <vertAlign val="baseline"/>
        <sz val="11"/>
        <color theme="1"/>
        <name val="Open Sans"/>
        <family val="2"/>
        <scheme val="none"/>
      </font>
      <numFmt numFmtId="169" formatCode="_(* #,##0_);_(* \(#,##0\);_(* &quot;-&quot;??_);_(@_)"/>
      <fill>
        <patternFill patternType="solid">
          <fgColor theme="6" tint="0.59999389629810485"/>
          <bgColor theme="6" tint="0.59999389629810485"/>
        </patternFill>
      </fill>
      <border diagonalUp="0" diagonalDown="0">
        <left/>
        <right style="thin">
          <color theme="0"/>
        </right>
        <top/>
        <bottom style="thin">
          <color theme="0"/>
        </bottom>
        <vertical/>
        <horizontal/>
      </border>
    </dxf>
    <dxf>
      <font>
        <b/>
        <i val="0"/>
        <strike val="0"/>
        <condense val="0"/>
        <extend val="0"/>
        <outline val="0"/>
        <shadow val="0"/>
        <u val="none"/>
        <vertAlign val="baseline"/>
        <sz val="11"/>
        <color theme="0"/>
        <name val="Open Sans"/>
        <family val="2"/>
        <scheme val="none"/>
      </font>
      <numFmt numFmtId="169" formatCode="_(* #,##0_);_(* \(#,##0\);_(* &quot;-&quot;??_);_(@_)"/>
      <fill>
        <patternFill patternType="solid">
          <fgColor theme="6"/>
          <bgColor theme="6"/>
        </patternFill>
      </fill>
      <border diagonalUp="0" diagonalDown="0" outline="0">
        <left style="thin">
          <color theme="0"/>
        </left>
        <right style="thin">
          <color theme="0"/>
        </right>
        <top style="thick">
          <color theme="0"/>
        </top>
        <bottom/>
      </border>
    </dxf>
    <dxf>
      <font>
        <b val="0"/>
        <i val="0"/>
        <strike val="0"/>
        <condense val="0"/>
        <extend val="0"/>
        <outline val="0"/>
        <shadow val="0"/>
        <u val="none"/>
        <vertAlign val="baseline"/>
        <sz val="11"/>
        <color theme="1"/>
        <name val="Open Sans"/>
        <family val="2"/>
        <scheme val="none"/>
      </font>
      <numFmt numFmtId="169" formatCode="_(* #,##0_);_(* \(#,##0\);_(* &quot;-&quot;??_);_(@_)"/>
      <fill>
        <patternFill patternType="solid">
          <fgColor theme="6" tint="0.59999389629810485"/>
          <bgColor theme="6" tint="0.59999389629810485"/>
        </patternFill>
      </fill>
      <border diagonalUp="0" diagonalDown="0">
        <left/>
        <right style="thin">
          <color theme="0"/>
        </right>
        <top/>
        <bottom style="thin">
          <color theme="0"/>
        </bottom>
        <vertical/>
        <horizontal/>
      </border>
    </dxf>
    <dxf>
      <font>
        <b/>
        <i val="0"/>
        <strike val="0"/>
        <condense val="0"/>
        <extend val="0"/>
        <outline val="0"/>
        <shadow val="0"/>
        <u val="none"/>
        <vertAlign val="baseline"/>
        <sz val="11"/>
        <color theme="0"/>
        <name val="Open Sans"/>
        <family val="2"/>
        <scheme val="none"/>
      </font>
      <numFmt numFmtId="169" formatCode="_(* #,##0_);_(* \(#,##0\);_(* &quot;-&quot;??_);_(@_)"/>
      <fill>
        <patternFill patternType="solid">
          <fgColor theme="6"/>
          <bgColor theme="6"/>
        </patternFill>
      </fill>
      <border diagonalUp="0" diagonalDown="0" outline="0">
        <left style="thin">
          <color theme="0"/>
        </left>
        <right style="thin">
          <color theme="0"/>
        </right>
        <top style="thick">
          <color theme="0"/>
        </top>
        <bottom/>
      </border>
    </dxf>
    <dxf>
      <font>
        <b val="0"/>
        <i val="0"/>
        <strike val="0"/>
        <condense val="0"/>
        <extend val="0"/>
        <outline val="0"/>
        <shadow val="0"/>
        <u val="none"/>
        <vertAlign val="baseline"/>
        <sz val="11"/>
        <color theme="1"/>
        <name val="Open Sans"/>
        <family val="2"/>
        <scheme val="none"/>
      </font>
      <numFmt numFmtId="179" formatCode="_(* #,##0.0_);_(* \(#,##0.0\);_(* &quot;-&quot;??_);_(@_)"/>
      <fill>
        <patternFill patternType="solid">
          <fgColor theme="6" tint="0.59999389629810485"/>
          <bgColor theme="6" tint="0.59999389629810485"/>
        </patternFill>
      </fill>
      <border diagonalUp="0" diagonalDown="0">
        <left/>
        <right/>
        <top/>
        <bottom style="thin">
          <color theme="0"/>
        </bottom>
        <vertical/>
        <horizontal/>
      </border>
    </dxf>
    <dxf>
      <font>
        <b/>
        <i val="0"/>
        <strike val="0"/>
        <condense val="0"/>
        <extend val="0"/>
        <outline val="0"/>
        <shadow val="0"/>
        <u val="none"/>
        <vertAlign val="baseline"/>
        <sz val="11"/>
        <color theme="0"/>
        <name val="Open Sans"/>
        <family val="2"/>
        <scheme val="none"/>
      </font>
      <numFmt numFmtId="179" formatCode="_(* #,##0.0_);_(* \(#,##0.0\);_(* &quot;-&quot;??_);_(@_)"/>
      <fill>
        <patternFill patternType="solid">
          <fgColor theme="6"/>
          <bgColor theme="6"/>
        </patternFill>
      </fill>
      <border diagonalUp="0" diagonalDown="0" outline="0">
        <left style="thin">
          <color theme="0"/>
        </left>
        <right style="thin">
          <color theme="0"/>
        </right>
        <top style="thick">
          <color theme="0"/>
        </top>
        <bottom/>
      </border>
    </dxf>
    <dxf>
      <font>
        <b val="0"/>
        <i val="0"/>
        <strike val="0"/>
        <condense val="0"/>
        <extend val="0"/>
        <outline val="0"/>
        <shadow val="0"/>
        <u val="none"/>
        <vertAlign val="baseline"/>
        <sz val="11"/>
        <color theme="1"/>
        <name val="Open Sans"/>
        <family val="2"/>
        <scheme val="none"/>
      </font>
      <numFmt numFmtId="179" formatCode="_(* #,##0.0_);_(* \(#,##0.0\);_(* &quot;-&quot;??_);_(@_)"/>
      <fill>
        <patternFill patternType="solid">
          <fgColor theme="6" tint="0.59999389629810485"/>
          <bgColor theme="6" tint="0.59999389629810485"/>
        </patternFill>
      </fill>
      <border diagonalUp="0" diagonalDown="0">
        <left/>
        <right/>
        <top style="thin">
          <color theme="0"/>
        </top>
        <bottom style="thin">
          <color theme="0"/>
        </bottom>
        <vertical/>
        <horizontal/>
      </border>
    </dxf>
    <dxf>
      <font>
        <b/>
        <i val="0"/>
        <strike val="0"/>
        <condense val="0"/>
        <extend val="0"/>
        <outline val="0"/>
        <shadow val="0"/>
        <u val="none"/>
        <vertAlign val="baseline"/>
        <sz val="11"/>
        <color theme="0"/>
        <name val="Open Sans"/>
        <family val="2"/>
        <scheme val="none"/>
      </font>
      <numFmt numFmtId="179" formatCode="_(* #,##0.0_);_(* \(#,##0.0\);_(* &quot;-&quot;??_);_(@_)"/>
      <fill>
        <patternFill patternType="solid">
          <fgColor theme="6"/>
          <bgColor theme="6"/>
        </patternFill>
      </fill>
      <border diagonalUp="0" diagonalDown="0" outline="0">
        <left style="thin">
          <color theme="0"/>
        </left>
        <right style="thin">
          <color theme="0"/>
        </right>
        <top style="thick">
          <color theme="0"/>
        </top>
        <bottom/>
      </border>
    </dxf>
    <dxf>
      <font>
        <b val="0"/>
        <i val="0"/>
        <strike val="0"/>
        <condense val="0"/>
        <extend val="0"/>
        <outline val="0"/>
        <shadow val="0"/>
        <u val="none"/>
        <vertAlign val="baseline"/>
        <sz val="11"/>
        <color theme="1"/>
        <name val="Open Sans"/>
        <family val="2"/>
        <scheme val="none"/>
      </font>
      <numFmt numFmtId="179" formatCode="_(* #,##0.0_);_(* \(#,##0.0\);_(* &quot;-&quot;??_);_(@_)"/>
      <fill>
        <patternFill patternType="solid">
          <fgColor theme="6" tint="0.59999389629810485"/>
          <bgColor theme="6" tint="0.59999389629810485"/>
        </patternFill>
      </fill>
      <border diagonalUp="0" diagonalDown="0">
        <left/>
        <right/>
        <top style="thin">
          <color theme="0"/>
        </top>
        <bottom style="thin">
          <color theme="0"/>
        </bottom>
        <vertical/>
        <horizontal/>
      </border>
    </dxf>
    <dxf>
      <font>
        <b/>
        <i val="0"/>
        <strike val="0"/>
        <condense val="0"/>
        <extend val="0"/>
        <outline val="0"/>
        <shadow val="0"/>
        <u val="none"/>
        <vertAlign val="baseline"/>
        <sz val="11"/>
        <color theme="0"/>
        <name val="Open Sans"/>
        <family val="2"/>
        <scheme val="none"/>
      </font>
      <numFmt numFmtId="179" formatCode="_(* #,##0.0_);_(* \(#,##0.0\);_(* &quot;-&quot;??_);_(@_)"/>
      <fill>
        <patternFill patternType="solid">
          <fgColor theme="6"/>
          <bgColor theme="6"/>
        </patternFill>
      </fill>
      <border diagonalUp="0" diagonalDown="0" outline="0">
        <left style="thin">
          <color theme="0"/>
        </left>
        <right style="thin">
          <color theme="0"/>
        </right>
        <top style="thick">
          <color theme="0"/>
        </top>
        <bottom/>
      </border>
    </dxf>
    <dxf>
      <font>
        <b val="0"/>
        <i val="0"/>
        <strike val="0"/>
        <condense val="0"/>
        <extend val="0"/>
        <outline val="0"/>
        <shadow val="0"/>
        <u val="none"/>
        <vertAlign val="baseline"/>
        <sz val="11"/>
        <color theme="1"/>
        <name val="Open Sans"/>
        <family val="2"/>
        <scheme val="none"/>
      </font>
      <numFmt numFmtId="179" formatCode="_(* #,##0.0_);_(* \(#,##0.0\);_(* &quot;-&quot;??_);_(@_)"/>
      <fill>
        <patternFill patternType="solid">
          <fgColor theme="6" tint="0.59999389629810485"/>
          <bgColor theme="6" tint="0.59999389629810485"/>
        </patternFill>
      </fill>
      <border diagonalUp="0" diagonalDown="0">
        <left/>
        <right style="thin">
          <color theme="0"/>
        </right>
        <top style="thin">
          <color theme="0"/>
        </top>
        <bottom style="thin">
          <color theme="0"/>
        </bottom>
        <vertical/>
        <horizontal/>
      </border>
    </dxf>
    <dxf>
      <font>
        <b/>
        <i val="0"/>
        <strike val="0"/>
        <condense val="0"/>
        <extend val="0"/>
        <outline val="0"/>
        <shadow val="0"/>
        <u val="none"/>
        <vertAlign val="baseline"/>
        <sz val="11"/>
        <color theme="0"/>
        <name val="Open Sans"/>
        <family val="2"/>
        <scheme val="none"/>
      </font>
      <numFmt numFmtId="179" formatCode="_(* #,##0.0_);_(* \(#,##0.0\);_(* &quot;-&quot;??_);_(@_)"/>
      <fill>
        <patternFill patternType="solid">
          <fgColor theme="6"/>
          <bgColor theme="6"/>
        </patternFill>
      </fill>
      <border diagonalUp="0" diagonalDown="0" outline="0">
        <left style="thin">
          <color theme="0"/>
        </left>
        <right style="thin">
          <color theme="0"/>
        </right>
        <top style="thick">
          <color theme="0"/>
        </top>
        <bottom/>
      </border>
    </dxf>
    <dxf>
      <font>
        <b val="0"/>
        <i val="0"/>
        <strike val="0"/>
        <condense val="0"/>
        <extend val="0"/>
        <outline val="0"/>
        <shadow val="0"/>
        <u val="none"/>
        <vertAlign val="baseline"/>
        <sz val="11"/>
        <color theme="1"/>
        <name val="Open Sans"/>
        <family val="2"/>
        <scheme val="none"/>
      </font>
      <numFmt numFmtId="2" formatCode="0.00"/>
      <fill>
        <patternFill patternType="solid">
          <fgColor theme="6" tint="0.59999389629810485"/>
          <bgColor theme="6" tint="0.59999389629810485"/>
        </patternFill>
      </fill>
      <border diagonalUp="0" diagonalDown="0">
        <left/>
        <right style="thin">
          <color theme="0"/>
        </right>
        <top style="thin">
          <color theme="0"/>
        </top>
        <bottom style="thin">
          <color theme="0"/>
        </bottom>
        <vertical/>
        <horizontal/>
      </border>
    </dxf>
    <dxf>
      <font>
        <b/>
        <i val="0"/>
        <strike val="0"/>
        <condense val="0"/>
        <extend val="0"/>
        <outline val="0"/>
        <shadow val="0"/>
        <u val="none"/>
        <vertAlign val="baseline"/>
        <sz val="11"/>
        <color theme="0"/>
        <name val="Open Sans"/>
        <family val="2"/>
        <scheme val="none"/>
      </font>
      <fill>
        <patternFill patternType="solid">
          <fgColor theme="6"/>
          <bgColor theme="6"/>
        </patternFill>
      </fill>
      <border diagonalUp="0" diagonalDown="0" outline="0">
        <left style="thin">
          <color theme="0"/>
        </left>
        <right style="thin">
          <color theme="0"/>
        </right>
        <top style="thick">
          <color theme="0"/>
        </top>
        <bottom/>
      </border>
    </dxf>
    <dxf>
      <font>
        <b val="0"/>
        <i val="0"/>
        <strike val="0"/>
        <condense val="0"/>
        <extend val="0"/>
        <outline val="0"/>
        <shadow val="0"/>
        <u val="none"/>
        <vertAlign val="baseline"/>
        <sz val="11"/>
        <color theme="1"/>
        <name val="Open Sans"/>
        <family val="2"/>
        <scheme val="none"/>
      </font>
      <numFmt numFmtId="30" formatCode="@"/>
      <fill>
        <patternFill patternType="solid">
          <fgColor theme="6" tint="0.59999389629810485"/>
          <bgColor theme="6" tint="0.59999389629810485"/>
        </patternFill>
      </fill>
      <border diagonalUp="0" diagonalDown="0">
        <left/>
        <right style="thin">
          <color theme="0"/>
        </right>
        <top style="thin">
          <color theme="0"/>
        </top>
        <bottom style="thin">
          <color theme="0"/>
        </bottom>
        <vertical/>
        <horizontal/>
      </border>
    </dxf>
    <dxf>
      <font>
        <b/>
        <i val="0"/>
        <strike val="0"/>
        <condense val="0"/>
        <extend val="0"/>
        <outline val="0"/>
        <shadow val="0"/>
        <u val="none"/>
        <vertAlign val="baseline"/>
        <sz val="11"/>
        <color theme="0"/>
        <name val="Open Sans"/>
        <family val="2"/>
        <scheme val="none"/>
      </font>
      <fill>
        <patternFill patternType="solid">
          <fgColor theme="6"/>
          <bgColor theme="6"/>
        </patternFill>
      </fill>
      <border diagonalUp="0" diagonalDown="0" outline="0">
        <left/>
        <right style="thin">
          <color theme="0"/>
        </right>
        <top style="thick">
          <color theme="0"/>
        </top>
        <bottom/>
      </border>
    </dxf>
    <dxf>
      <border outline="0">
        <bottom style="thick">
          <color theme="0"/>
        </bottom>
      </border>
    </dxf>
    <dxf>
      <border outline="0">
        <right style="thin">
          <color theme="0"/>
        </right>
      </border>
    </dxf>
    <dxf>
      <font>
        <b val="0"/>
        <i val="0"/>
        <strike val="0"/>
        <condense val="0"/>
        <extend val="0"/>
        <outline val="0"/>
        <shadow val="0"/>
        <u val="none"/>
        <vertAlign val="baseline"/>
        <sz val="11"/>
        <color theme="1"/>
        <name val="Open Sans"/>
        <family val="2"/>
        <scheme val="none"/>
      </font>
      <fill>
        <patternFill patternType="solid">
          <fgColor theme="6" tint="0.59999389629810485"/>
          <bgColor theme="6" tint="0.59999389629810485"/>
        </patternFill>
      </fill>
    </dxf>
    <dxf>
      <font>
        <b val="0"/>
        <i val="0"/>
        <strike val="0"/>
        <condense val="0"/>
        <extend val="0"/>
        <outline val="0"/>
        <shadow val="0"/>
        <u val="none"/>
        <vertAlign val="baseline"/>
        <sz val="11"/>
        <color theme="1"/>
        <name val="Open Sans"/>
        <family val="2"/>
        <scheme val="none"/>
      </font>
      <numFmt numFmtId="169" formatCode="_(* #,##0_);_(* \(#,##0\);_(* &quot;-&quot;??_);_(@_)"/>
      <fill>
        <patternFill patternType="solid">
          <fgColor theme="6" tint="0.59999389629810485"/>
          <bgColor theme="6" tint="0.59999389629810485"/>
        </patternFill>
      </fill>
    </dxf>
    <dxf>
      <font>
        <b val="0"/>
        <i val="0"/>
        <strike val="0"/>
        <condense val="0"/>
        <extend val="0"/>
        <outline val="0"/>
        <shadow val="0"/>
        <u val="none"/>
        <vertAlign val="baseline"/>
        <sz val="11"/>
        <color theme="1"/>
        <name val="Open Sans"/>
        <family val="2"/>
        <scheme val="none"/>
      </font>
      <numFmt numFmtId="169" formatCode="_(* #,##0_);_(* \(#,##0\);_(* &quot;-&quot;??_);_(@_)"/>
    </dxf>
    <dxf>
      <font>
        <b val="0"/>
        <i val="0"/>
        <strike val="0"/>
        <condense val="0"/>
        <extend val="0"/>
        <outline val="0"/>
        <shadow val="0"/>
        <u val="none"/>
        <vertAlign val="baseline"/>
        <sz val="11"/>
        <color theme="1"/>
        <name val="Open Sans"/>
        <family val="2"/>
        <scheme val="none"/>
      </font>
      <numFmt numFmtId="169" formatCode="_(* #,##0_);_(* \(#,##0\);_(* &quot;-&quot;??_);_(@_)"/>
      <fill>
        <patternFill patternType="solid">
          <fgColor theme="6" tint="0.59999389629810485"/>
          <bgColor theme="6" tint="0.59999389629810485"/>
        </patternFill>
      </fill>
    </dxf>
    <dxf>
      <font>
        <b val="0"/>
        <i val="0"/>
        <strike val="0"/>
        <condense val="0"/>
        <extend val="0"/>
        <outline val="0"/>
        <shadow val="0"/>
        <u val="none"/>
        <vertAlign val="baseline"/>
        <sz val="11"/>
        <color theme="1"/>
        <name val="Open Sans"/>
        <family val="2"/>
        <scheme val="none"/>
      </font>
      <numFmt numFmtId="169" formatCode="_(* #,##0_);_(* \(#,##0\);_(* &quot;-&quot;??_);_(@_)"/>
    </dxf>
    <dxf>
      <font>
        <b val="0"/>
        <i val="0"/>
        <strike val="0"/>
        <condense val="0"/>
        <extend val="0"/>
        <outline val="0"/>
        <shadow val="0"/>
        <u val="none"/>
        <vertAlign val="baseline"/>
        <sz val="11"/>
        <color theme="1"/>
        <name val="Open Sans"/>
        <family val="2"/>
        <scheme val="none"/>
      </font>
      <numFmt numFmtId="169" formatCode="_(* #,##0_);_(* \(#,##0\);_(* &quot;-&quot;??_);_(@_)"/>
      <fill>
        <patternFill patternType="solid">
          <fgColor theme="6" tint="0.59999389629810485"/>
          <bgColor theme="6" tint="0.59999389629810485"/>
        </patternFill>
      </fill>
    </dxf>
    <dxf>
      <font>
        <b val="0"/>
        <i val="0"/>
        <strike val="0"/>
        <condense val="0"/>
        <extend val="0"/>
        <outline val="0"/>
        <shadow val="0"/>
        <u val="none"/>
        <vertAlign val="baseline"/>
        <sz val="11"/>
        <color theme="1"/>
        <name val="Open Sans"/>
        <family val="2"/>
        <scheme val="none"/>
      </font>
      <numFmt numFmtId="169" formatCode="_(* #,##0_);_(* \(#,##0\);_(* &quot;-&quot;??_);_(@_)"/>
    </dxf>
    <dxf>
      <font>
        <b val="0"/>
        <i val="0"/>
        <strike val="0"/>
        <condense val="0"/>
        <extend val="0"/>
        <outline val="0"/>
        <shadow val="0"/>
        <u val="none"/>
        <vertAlign val="baseline"/>
        <sz val="11"/>
        <color theme="1"/>
        <name val="Open Sans"/>
        <family val="2"/>
        <scheme val="none"/>
      </font>
      <numFmt numFmtId="169" formatCode="_(* #,##0_);_(* \(#,##0\);_(* &quot;-&quot;??_);_(@_)"/>
      <fill>
        <patternFill patternType="solid">
          <fgColor theme="6" tint="0.59999389629810485"/>
          <bgColor theme="6" tint="0.59999389629810485"/>
        </patternFill>
      </fill>
    </dxf>
    <dxf>
      <font>
        <b val="0"/>
        <i val="0"/>
        <strike val="0"/>
        <condense val="0"/>
        <extend val="0"/>
        <outline val="0"/>
        <shadow val="0"/>
        <u val="none"/>
        <vertAlign val="baseline"/>
        <sz val="11"/>
        <color theme="1"/>
        <name val="Open Sans"/>
        <family val="2"/>
        <scheme val="none"/>
      </font>
      <numFmt numFmtId="169" formatCode="_(* #,##0_);_(* \(#,##0\);_(* &quot;-&quot;??_);_(@_)"/>
    </dxf>
    <dxf>
      <font>
        <b val="0"/>
        <i val="0"/>
        <strike val="0"/>
        <condense val="0"/>
        <extend val="0"/>
        <outline val="0"/>
        <shadow val="0"/>
        <u val="none"/>
        <vertAlign val="baseline"/>
        <sz val="11"/>
        <color theme="1"/>
        <name val="Open Sans"/>
        <family val="2"/>
        <scheme val="none"/>
      </font>
      <numFmt numFmtId="169" formatCode="_(* #,##0_);_(* \(#,##0\);_(* &quot;-&quot;??_);_(@_)"/>
      <fill>
        <patternFill patternType="solid">
          <fgColor theme="6" tint="0.59999389629810485"/>
          <bgColor theme="6" tint="0.59999389629810485"/>
        </patternFill>
      </fill>
    </dxf>
    <dxf>
      <font>
        <b/>
        <i val="0"/>
        <strike val="0"/>
        <condense val="0"/>
        <extend val="0"/>
        <outline val="0"/>
        <shadow val="0"/>
        <u val="none"/>
        <vertAlign val="baseline"/>
        <sz val="11"/>
        <color theme="0"/>
        <name val="Open Sans"/>
        <family val="2"/>
        <scheme val="none"/>
      </font>
      <numFmt numFmtId="169" formatCode="_(* #,##0_);_(* \(#,##0\);_(* &quot;-&quot;??_);_(@_)"/>
      <fill>
        <patternFill patternType="solid">
          <fgColor theme="6"/>
          <bgColor theme="6"/>
        </patternFill>
      </fill>
      <border diagonalUp="0" diagonalDown="0" outline="0">
        <left style="thin">
          <color theme="0"/>
        </left>
        <right style="thin">
          <color theme="0"/>
        </right>
        <top style="thick">
          <color theme="0"/>
        </top>
        <bottom/>
      </border>
    </dxf>
    <dxf>
      <font>
        <b val="0"/>
        <i val="0"/>
        <strike val="0"/>
        <condense val="0"/>
        <extend val="0"/>
        <outline val="0"/>
        <shadow val="0"/>
        <u val="none"/>
        <vertAlign val="baseline"/>
        <sz val="11"/>
        <color theme="1"/>
        <name val="Open Sans"/>
        <family val="2"/>
        <scheme val="none"/>
      </font>
      <numFmt numFmtId="169" formatCode="_(* #,##0_);_(* \(#,##0\);_(* &quot;-&quot;??_);_(@_)"/>
      <fill>
        <patternFill patternType="solid">
          <fgColor theme="6" tint="0.59999389629810485"/>
          <bgColor theme="6" tint="0.59999389629810485"/>
        </patternFill>
      </fill>
    </dxf>
    <dxf>
      <font>
        <b val="0"/>
        <i val="0"/>
        <strike val="0"/>
        <condense val="0"/>
        <extend val="0"/>
        <outline val="0"/>
        <shadow val="0"/>
        <u val="none"/>
        <vertAlign val="baseline"/>
        <sz val="11"/>
        <color theme="1"/>
        <name val="Open Sans"/>
        <family val="2"/>
        <scheme val="none"/>
      </font>
      <numFmt numFmtId="169" formatCode="_(* #,##0_);_(* \(#,##0\);_(* &quot;-&quot;??_);_(@_)"/>
    </dxf>
    <dxf>
      <font>
        <b val="0"/>
        <i val="0"/>
        <strike val="0"/>
        <condense val="0"/>
        <extend val="0"/>
        <outline val="0"/>
        <shadow val="0"/>
        <u val="none"/>
        <vertAlign val="baseline"/>
        <sz val="11"/>
        <color theme="1"/>
        <name val="Open Sans"/>
        <family val="2"/>
        <scheme val="none"/>
      </font>
      <numFmt numFmtId="169" formatCode="_(* #,##0_);_(* \(#,##0\);_(* &quot;-&quot;??_);_(@_)"/>
      <fill>
        <patternFill patternType="solid">
          <fgColor theme="6" tint="0.59999389629810485"/>
          <bgColor theme="6" tint="0.59999389629810485"/>
        </patternFill>
      </fill>
    </dxf>
    <dxf>
      <font>
        <b val="0"/>
        <i val="0"/>
        <strike val="0"/>
        <condense val="0"/>
        <extend val="0"/>
        <outline val="0"/>
        <shadow val="0"/>
        <u val="none"/>
        <vertAlign val="baseline"/>
        <sz val="11"/>
        <color theme="1"/>
        <name val="Open Sans"/>
        <family val="2"/>
        <scheme val="none"/>
      </font>
      <numFmt numFmtId="169" formatCode="_(* #,##0_);_(* \(#,##0\);_(* &quot;-&quot;??_);_(@_)"/>
    </dxf>
    <dxf>
      <font>
        <b val="0"/>
        <i val="0"/>
        <strike val="0"/>
        <condense val="0"/>
        <extend val="0"/>
        <outline val="0"/>
        <shadow val="0"/>
        <u val="none"/>
        <vertAlign val="baseline"/>
        <sz val="11"/>
        <color theme="1"/>
        <name val="Open Sans"/>
        <family val="2"/>
        <scheme val="none"/>
      </font>
      <numFmt numFmtId="169" formatCode="_(* #,##0_);_(* \(#,##0\);_(* &quot;-&quot;??_);_(@_)"/>
      <fill>
        <patternFill patternType="solid">
          <fgColor theme="6" tint="0.59999389629810485"/>
          <bgColor theme="6" tint="0.59999389629810485"/>
        </patternFill>
      </fill>
      <border diagonalUp="0" diagonalDown="0">
        <left/>
        <right style="thin">
          <color theme="0"/>
        </right>
        <top/>
        <bottom style="thin">
          <color theme="0"/>
        </bottom>
        <vertical/>
        <horizontal/>
      </border>
    </dxf>
    <dxf>
      <font>
        <b/>
        <i val="0"/>
        <strike val="0"/>
        <condense val="0"/>
        <extend val="0"/>
        <outline val="0"/>
        <shadow val="0"/>
        <u val="none"/>
        <vertAlign val="baseline"/>
        <sz val="11"/>
        <color theme="0"/>
        <name val="Open Sans"/>
        <family val="2"/>
        <scheme val="none"/>
      </font>
      <numFmt numFmtId="169" formatCode="_(* #,##0_);_(* \(#,##0\);_(* &quot;-&quot;??_);_(@_)"/>
      <fill>
        <patternFill patternType="solid">
          <fgColor theme="6"/>
          <bgColor theme="6"/>
        </patternFill>
      </fill>
      <border diagonalUp="0" diagonalDown="0" outline="0">
        <left style="thin">
          <color theme="0"/>
        </left>
        <right style="thin">
          <color theme="0"/>
        </right>
        <top style="thick">
          <color theme="0"/>
        </top>
        <bottom/>
      </border>
    </dxf>
    <dxf>
      <font>
        <b val="0"/>
        <i val="0"/>
        <strike val="0"/>
        <condense val="0"/>
        <extend val="0"/>
        <outline val="0"/>
        <shadow val="0"/>
        <u val="none"/>
        <vertAlign val="baseline"/>
        <sz val="11"/>
        <color theme="1"/>
        <name val="Open Sans"/>
        <family val="2"/>
        <scheme val="none"/>
      </font>
      <numFmt numFmtId="169" formatCode="_(* #,##0_);_(* \(#,##0\);_(* &quot;-&quot;??_);_(@_)"/>
      <fill>
        <patternFill patternType="solid">
          <fgColor theme="6" tint="0.59999389629810485"/>
          <bgColor theme="6" tint="0.59999389629810485"/>
        </patternFill>
      </fill>
      <border diagonalUp="0" diagonalDown="0">
        <left/>
        <right style="thin">
          <color theme="0"/>
        </right>
        <top/>
        <bottom style="thin">
          <color theme="0"/>
        </bottom>
        <vertical/>
        <horizontal/>
      </border>
    </dxf>
    <dxf>
      <font>
        <b/>
        <i val="0"/>
        <strike val="0"/>
        <condense val="0"/>
        <extend val="0"/>
        <outline val="0"/>
        <shadow val="0"/>
        <u val="none"/>
        <vertAlign val="baseline"/>
        <sz val="11"/>
        <color theme="0"/>
        <name val="Open Sans"/>
        <family val="2"/>
        <scheme val="none"/>
      </font>
      <numFmt numFmtId="169" formatCode="_(* #,##0_);_(* \(#,##0\);_(* &quot;-&quot;??_);_(@_)"/>
      <fill>
        <patternFill patternType="solid">
          <fgColor theme="6"/>
          <bgColor theme="6"/>
        </patternFill>
      </fill>
      <border diagonalUp="0" diagonalDown="0" outline="0">
        <left style="thin">
          <color theme="0"/>
        </left>
        <right style="thin">
          <color theme="0"/>
        </right>
        <top style="thick">
          <color theme="0"/>
        </top>
        <bottom/>
      </border>
    </dxf>
    <dxf>
      <font>
        <b val="0"/>
        <i val="0"/>
        <strike val="0"/>
        <condense val="0"/>
        <extend val="0"/>
        <outline val="0"/>
        <shadow val="0"/>
        <u val="none"/>
        <vertAlign val="baseline"/>
        <sz val="11"/>
        <color theme="1"/>
        <name val="Open Sans"/>
        <family val="2"/>
        <scheme val="none"/>
      </font>
      <numFmt numFmtId="169" formatCode="_(* #,##0_);_(* \(#,##0\);_(* &quot;-&quot;??_);_(@_)"/>
      <fill>
        <patternFill patternType="solid">
          <fgColor theme="6" tint="0.59999389629810485"/>
          <bgColor theme="6" tint="0.59999389629810485"/>
        </patternFill>
      </fill>
      <border diagonalUp="0" diagonalDown="0">
        <left/>
        <right/>
        <top style="thin">
          <color theme="0"/>
        </top>
        <bottom style="thin">
          <color theme="0"/>
        </bottom>
        <vertical/>
        <horizontal/>
      </border>
    </dxf>
    <dxf>
      <font>
        <b/>
        <i val="0"/>
        <strike val="0"/>
        <condense val="0"/>
        <extend val="0"/>
        <outline val="0"/>
        <shadow val="0"/>
        <u val="none"/>
        <vertAlign val="baseline"/>
        <sz val="11"/>
        <color theme="0"/>
        <name val="Open Sans"/>
        <family val="2"/>
        <scheme val="none"/>
      </font>
      <numFmt numFmtId="169" formatCode="_(* #,##0_);_(* \(#,##0\);_(* &quot;-&quot;??_);_(@_)"/>
      <fill>
        <patternFill patternType="solid">
          <fgColor theme="6"/>
          <bgColor theme="6"/>
        </patternFill>
      </fill>
      <border diagonalUp="0" diagonalDown="0" outline="0">
        <left style="thin">
          <color theme="0"/>
        </left>
        <right style="thin">
          <color theme="0"/>
        </right>
        <top style="thick">
          <color theme="0"/>
        </top>
        <bottom/>
      </border>
    </dxf>
    <dxf>
      <font>
        <b val="0"/>
        <i val="0"/>
        <strike val="0"/>
        <condense val="0"/>
        <extend val="0"/>
        <outline val="0"/>
        <shadow val="0"/>
        <u val="none"/>
        <vertAlign val="baseline"/>
        <sz val="11"/>
        <color theme="1"/>
        <name val="Open Sans"/>
        <family val="2"/>
        <scheme val="none"/>
      </font>
      <numFmt numFmtId="169" formatCode="_(* #,##0_);_(* \(#,##0\);_(* &quot;-&quot;??_);_(@_)"/>
      <fill>
        <patternFill patternType="solid">
          <fgColor theme="6" tint="0.59999389629810485"/>
          <bgColor theme="6" tint="0.59999389629810485"/>
        </patternFill>
      </fill>
      <border diagonalUp="0" diagonalDown="0">
        <left/>
        <right style="thin">
          <color theme="0"/>
        </right>
        <top style="thin">
          <color theme="0"/>
        </top>
        <bottom style="thin">
          <color theme="0"/>
        </bottom>
        <vertical/>
        <horizontal/>
      </border>
    </dxf>
    <dxf>
      <font>
        <b/>
        <i val="0"/>
        <strike val="0"/>
        <condense val="0"/>
        <extend val="0"/>
        <outline val="0"/>
        <shadow val="0"/>
        <u val="none"/>
        <vertAlign val="baseline"/>
        <sz val="11"/>
        <color theme="0"/>
        <name val="Open Sans"/>
        <family val="2"/>
        <scheme val="none"/>
      </font>
      <numFmt numFmtId="169" formatCode="_(* #,##0_);_(* \(#,##0\);_(* &quot;-&quot;??_);_(@_)"/>
      <fill>
        <patternFill patternType="solid">
          <fgColor theme="6"/>
          <bgColor theme="6"/>
        </patternFill>
      </fill>
      <border diagonalUp="0" diagonalDown="0" outline="0">
        <left style="thin">
          <color theme="0"/>
        </left>
        <right style="thin">
          <color theme="0"/>
        </right>
        <top style="thick">
          <color theme="0"/>
        </top>
        <bottom/>
      </border>
    </dxf>
    <dxf>
      <font>
        <b val="0"/>
        <i val="0"/>
        <strike val="0"/>
        <condense val="0"/>
        <extend val="0"/>
        <outline val="0"/>
        <shadow val="0"/>
        <u val="none"/>
        <vertAlign val="baseline"/>
        <sz val="11"/>
        <color theme="1"/>
        <name val="Open Sans"/>
        <family val="2"/>
        <scheme val="none"/>
      </font>
      <numFmt numFmtId="2" formatCode="0.00"/>
      <fill>
        <patternFill patternType="solid">
          <fgColor theme="6" tint="0.59999389629810485"/>
          <bgColor theme="6" tint="0.59999389629810485"/>
        </patternFill>
      </fill>
      <border diagonalUp="0" diagonalDown="0">
        <left/>
        <right style="thin">
          <color theme="0"/>
        </right>
        <top style="thin">
          <color theme="0"/>
        </top>
        <bottom style="thin">
          <color theme="0"/>
        </bottom>
        <vertical/>
        <horizontal/>
      </border>
    </dxf>
    <dxf>
      <font>
        <b/>
        <i val="0"/>
        <strike val="0"/>
        <condense val="0"/>
        <extend val="0"/>
        <outline val="0"/>
        <shadow val="0"/>
        <u val="none"/>
        <vertAlign val="baseline"/>
        <sz val="11"/>
        <color theme="0"/>
        <name val="Open Sans"/>
        <family val="2"/>
        <scheme val="none"/>
      </font>
      <fill>
        <patternFill patternType="solid">
          <fgColor theme="6"/>
          <bgColor theme="6"/>
        </patternFill>
      </fill>
      <border diagonalUp="0" diagonalDown="0" outline="0">
        <left style="thin">
          <color theme="0"/>
        </left>
        <right style="thin">
          <color theme="0"/>
        </right>
        <top style="thick">
          <color theme="0"/>
        </top>
        <bottom/>
      </border>
    </dxf>
    <dxf>
      <font>
        <b val="0"/>
        <i val="0"/>
        <strike val="0"/>
        <condense val="0"/>
        <extend val="0"/>
        <outline val="0"/>
        <shadow val="0"/>
        <u val="none"/>
        <vertAlign val="baseline"/>
        <sz val="11"/>
        <color theme="1"/>
        <name val="Open Sans"/>
        <family val="2"/>
        <scheme val="none"/>
      </font>
      <numFmt numFmtId="30" formatCode="@"/>
      <fill>
        <patternFill patternType="solid">
          <fgColor theme="6" tint="0.59999389629810485"/>
          <bgColor theme="6" tint="0.59999389629810485"/>
        </patternFill>
      </fill>
      <border diagonalUp="0" diagonalDown="0">
        <left/>
        <right style="thin">
          <color theme="0"/>
        </right>
        <top style="thin">
          <color theme="0"/>
        </top>
        <bottom style="thin">
          <color theme="0"/>
        </bottom>
        <vertical/>
        <horizontal/>
      </border>
    </dxf>
    <dxf>
      <font>
        <b/>
        <i val="0"/>
        <strike val="0"/>
        <condense val="0"/>
        <extend val="0"/>
        <outline val="0"/>
        <shadow val="0"/>
        <u val="none"/>
        <vertAlign val="baseline"/>
        <sz val="11"/>
        <color theme="0"/>
        <name val="Open Sans"/>
        <family val="2"/>
        <scheme val="none"/>
      </font>
      <fill>
        <patternFill patternType="solid">
          <fgColor theme="6"/>
          <bgColor theme="6"/>
        </patternFill>
      </fill>
      <border diagonalUp="0" diagonalDown="0" outline="0">
        <left/>
        <right style="thin">
          <color theme="0"/>
        </right>
        <top style="thick">
          <color theme="0"/>
        </top>
        <bottom/>
      </border>
    </dxf>
    <dxf>
      <border outline="0">
        <bottom style="thick">
          <color theme="0"/>
        </bottom>
      </border>
    </dxf>
    <dxf>
      <border outline="0">
        <right style="thin">
          <color theme="0"/>
        </right>
      </border>
    </dxf>
    <dxf>
      <font>
        <b val="0"/>
        <i val="0"/>
        <strike val="0"/>
        <condense val="0"/>
        <extend val="0"/>
        <outline val="0"/>
        <shadow val="0"/>
        <u val="none"/>
        <vertAlign val="baseline"/>
        <sz val="11"/>
        <color theme="1"/>
        <name val="Open Sans"/>
        <family val="2"/>
        <scheme val="none"/>
      </font>
      <fill>
        <patternFill patternType="solid">
          <fgColor theme="6" tint="0.59999389629810485"/>
          <bgColor theme="6" tint="0.59999389629810485"/>
        </patternFill>
      </fill>
    </dxf>
    <dxf>
      <font>
        <strike val="0"/>
        <outline val="0"/>
        <shadow val="0"/>
        <u val="none"/>
        <vertAlign val="baseline"/>
        <sz val="10"/>
        <name val="Open Sans"/>
        <family val="2"/>
        <scheme val="none"/>
      </font>
      <numFmt numFmtId="169" formatCode="_(* #,##0_);_(* \(#,##0\);_(* &quot;-&quot;??_);_(@_)"/>
      <fill>
        <patternFill patternType="solid">
          <fgColor indexed="64"/>
          <bgColor theme="0"/>
        </patternFill>
      </fill>
    </dxf>
    <dxf>
      <font>
        <b val="0"/>
        <i val="0"/>
        <strike val="0"/>
        <condense val="0"/>
        <extend val="0"/>
        <outline val="0"/>
        <shadow val="0"/>
        <u val="none"/>
        <vertAlign val="baseline"/>
        <sz val="11"/>
        <color theme="1"/>
        <name val="Open Sans"/>
        <family val="2"/>
        <scheme val="none"/>
      </font>
      <numFmt numFmtId="169" formatCode="_(* #,##0_);_(* \(#,##0\);_(* &quot;-&quot;??_);_(@_)"/>
      <border diagonalUp="0" diagonalDown="0" outline="0">
        <left style="thin">
          <color indexed="64"/>
        </left>
        <right style="thin">
          <color indexed="64"/>
        </right>
        <top/>
        <bottom/>
      </border>
    </dxf>
    <dxf>
      <font>
        <b val="0"/>
        <i val="0"/>
        <strike val="0"/>
        <condense val="0"/>
        <extend val="0"/>
        <outline val="0"/>
        <shadow val="0"/>
        <u val="none"/>
        <vertAlign val="baseline"/>
        <sz val="10"/>
        <color theme="1"/>
        <name val="Open Sans"/>
        <family val="2"/>
        <scheme val="none"/>
      </font>
      <numFmt numFmtId="169" formatCode="_(* #,##0_);_(* \(#,##0\);_(* &quot;-&quot;??_);_(@_)"/>
      <fill>
        <patternFill patternType="solid">
          <fgColor indexed="64"/>
          <bgColor theme="0"/>
        </patternFill>
      </fill>
    </dxf>
    <dxf>
      <font>
        <b val="0"/>
        <i val="0"/>
        <strike val="0"/>
        <condense val="0"/>
        <extend val="0"/>
        <outline val="0"/>
        <shadow val="0"/>
        <u val="none"/>
        <vertAlign val="baseline"/>
        <sz val="11"/>
        <color theme="1"/>
        <name val="Open Sans"/>
        <family val="2"/>
        <scheme val="none"/>
      </font>
      <numFmt numFmtId="3" formatCode="#,##0"/>
    </dxf>
    <dxf>
      <font>
        <strike val="0"/>
        <outline val="0"/>
        <shadow val="0"/>
        <u val="none"/>
        <vertAlign val="baseline"/>
        <sz val="10"/>
        <name val="Open Sans"/>
        <family val="2"/>
        <scheme val="none"/>
      </font>
      <numFmt numFmtId="169" formatCode="_(* #,##0_);_(* \(#,##0\);_(* &quot;-&quot;??_);_(@_)"/>
      <fill>
        <patternFill patternType="solid">
          <fgColor indexed="64"/>
          <bgColor theme="0"/>
        </patternFill>
      </fill>
    </dxf>
    <dxf>
      <font>
        <b val="0"/>
        <i val="0"/>
        <strike val="0"/>
        <condense val="0"/>
        <extend val="0"/>
        <outline val="0"/>
        <shadow val="0"/>
        <u val="none"/>
        <vertAlign val="baseline"/>
        <sz val="11"/>
        <color theme="1"/>
        <name val="Open Sans"/>
        <family val="2"/>
        <scheme val="none"/>
      </font>
      <numFmt numFmtId="3" formatCode="#,##0"/>
    </dxf>
    <dxf>
      <font>
        <strike val="0"/>
        <outline val="0"/>
        <shadow val="0"/>
        <u val="none"/>
        <vertAlign val="baseline"/>
        <sz val="10"/>
        <name val="Open Sans"/>
        <family val="2"/>
        <scheme val="none"/>
      </font>
      <numFmt numFmtId="169" formatCode="_(* #,##0_);_(* \(#,##0\);_(* &quot;-&quot;??_);_(@_)"/>
      <fill>
        <patternFill patternType="solid">
          <fgColor indexed="64"/>
          <bgColor theme="0"/>
        </patternFill>
      </fill>
    </dxf>
    <dxf>
      <font>
        <b val="0"/>
        <i val="0"/>
        <strike val="0"/>
        <condense val="0"/>
        <extend val="0"/>
        <outline val="0"/>
        <shadow val="0"/>
        <u val="none"/>
        <vertAlign val="baseline"/>
        <sz val="11"/>
        <color theme="1"/>
        <name val="Open Sans"/>
        <family val="2"/>
        <scheme val="none"/>
      </font>
      <numFmt numFmtId="3" formatCode="#,##0"/>
    </dxf>
    <dxf>
      <font>
        <strike val="0"/>
        <outline val="0"/>
        <shadow val="0"/>
        <u val="none"/>
        <vertAlign val="baseline"/>
        <sz val="10"/>
        <name val="Open Sans"/>
        <family val="2"/>
        <scheme val="none"/>
      </font>
      <numFmt numFmtId="169" formatCode="_(* #,##0_);_(* \(#,##0\);_(* &quot;-&quot;??_);_(@_)"/>
      <fill>
        <patternFill patternType="solid">
          <fgColor indexed="64"/>
          <bgColor theme="0"/>
        </patternFill>
      </fill>
    </dxf>
    <dxf>
      <font>
        <b val="0"/>
        <i val="0"/>
        <strike val="0"/>
        <condense val="0"/>
        <extend val="0"/>
        <outline val="0"/>
        <shadow val="0"/>
        <u val="none"/>
        <vertAlign val="baseline"/>
        <sz val="11"/>
        <color theme="1"/>
        <name val="Open Sans"/>
        <family val="2"/>
        <scheme val="none"/>
      </font>
      <numFmt numFmtId="3" formatCode="#,##0"/>
    </dxf>
    <dxf>
      <font>
        <strike val="0"/>
        <outline val="0"/>
        <shadow val="0"/>
        <u val="none"/>
        <vertAlign val="baseline"/>
        <sz val="10"/>
        <name val="Open Sans"/>
        <family val="2"/>
        <scheme val="none"/>
      </font>
      <numFmt numFmtId="169" formatCode="_(* #,##0_);_(* \(#,##0\);_(* &quot;-&quot;??_);_(@_)"/>
      <fill>
        <patternFill patternType="solid">
          <fgColor indexed="64"/>
          <bgColor theme="0"/>
        </patternFill>
      </fill>
    </dxf>
    <dxf>
      <font>
        <b val="0"/>
        <i val="0"/>
        <strike val="0"/>
        <condense val="0"/>
        <extend val="0"/>
        <outline val="0"/>
        <shadow val="0"/>
        <u val="none"/>
        <vertAlign val="baseline"/>
        <sz val="11"/>
        <color theme="1"/>
        <name val="Open Sans"/>
        <family val="2"/>
        <scheme val="none"/>
      </font>
      <numFmt numFmtId="3" formatCode="#,##0"/>
    </dxf>
    <dxf>
      <font>
        <strike val="0"/>
        <outline val="0"/>
        <shadow val="0"/>
        <u val="none"/>
        <vertAlign val="baseline"/>
        <sz val="10"/>
        <name val="Open Sans"/>
        <family val="2"/>
        <scheme val="none"/>
      </font>
      <numFmt numFmtId="169" formatCode="_(* #,##0_);_(* \(#,##0\);_(* &quot;-&quot;??_);_(@_)"/>
      <fill>
        <patternFill patternType="solid">
          <fgColor indexed="64"/>
          <bgColor theme="0"/>
        </patternFill>
      </fill>
    </dxf>
    <dxf>
      <font>
        <b val="0"/>
        <i val="0"/>
        <strike val="0"/>
        <condense val="0"/>
        <extend val="0"/>
        <outline val="0"/>
        <shadow val="0"/>
        <u val="none"/>
        <vertAlign val="baseline"/>
        <sz val="11"/>
        <color theme="1"/>
        <name val="Open Sans"/>
        <family val="2"/>
        <scheme val="none"/>
      </font>
      <numFmt numFmtId="3" formatCode="#,##0"/>
    </dxf>
    <dxf>
      <font>
        <strike val="0"/>
        <outline val="0"/>
        <shadow val="0"/>
        <u val="none"/>
        <vertAlign val="baseline"/>
        <sz val="10"/>
        <color rgb="FF000000"/>
        <name val="Open Sans"/>
        <family val="2"/>
        <scheme val="none"/>
      </font>
      <numFmt numFmtId="169" formatCode="_(* #,##0_);_(* \(#,##0\);_(* &quot;-&quot;??_);_(@_)"/>
      <fill>
        <patternFill patternType="solid">
          <fgColor indexed="64"/>
          <bgColor theme="0"/>
        </patternFill>
      </fill>
    </dxf>
    <dxf>
      <font>
        <b val="0"/>
        <i val="0"/>
        <strike val="0"/>
        <condense val="0"/>
        <extend val="0"/>
        <outline val="0"/>
        <shadow val="0"/>
        <u val="none"/>
        <vertAlign val="baseline"/>
        <sz val="11"/>
        <color theme="1"/>
        <name val="Open Sans"/>
        <family val="2"/>
        <scheme val="none"/>
      </font>
      <numFmt numFmtId="3" formatCode="#,##0"/>
    </dxf>
    <dxf>
      <font>
        <strike val="0"/>
        <outline val="0"/>
        <shadow val="0"/>
        <u val="none"/>
        <vertAlign val="baseline"/>
        <sz val="10"/>
        <color auto="1"/>
        <name val="Open Sans"/>
        <family val="2"/>
        <scheme val="none"/>
      </font>
      <numFmt numFmtId="169" formatCode="_(* #,##0_);_(* \(#,##0\);_(* &quot;-&quot;??_);_(@_)"/>
      <fill>
        <patternFill patternType="solid">
          <fgColor indexed="64"/>
          <bgColor theme="0"/>
        </patternFill>
      </fill>
    </dxf>
    <dxf>
      <font>
        <b val="0"/>
        <i val="0"/>
        <strike val="0"/>
        <condense val="0"/>
        <extend val="0"/>
        <outline val="0"/>
        <shadow val="0"/>
        <u val="none"/>
        <vertAlign val="baseline"/>
        <sz val="11"/>
        <color theme="1"/>
        <name val="Open Sans"/>
        <family val="2"/>
        <scheme val="none"/>
      </font>
      <numFmt numFmtId="3" formatCode="#,##0"/>
    </dxf>
    <dxf>
      <font>
        <b val="0"/>
        <i val="0"/>
        <strike val="0"/>
        <condense val="0"/>
        <extend val="0"/>
        <outline val="0"/>
        <shadow val="0"/>
        <u val="none"/>
        <vertAlign val="baseline"/>
        <sz val="10"/>
        <color theme="1"/>
        <name val="Open Sans"/>
        <family val="2"/>
        <scheme val="none"/>
      </font>
      <numFmt numFmtId="169" formatCode="_(* #,##0_);_(* \(#,##0\);_(* &quot;-&quot;??_);_(@_)"/>
      <fill>
        <patternFill patternType="solid">
          <fgColor indexed="64"/>
          <bgColor theme="0"/>
        </patternFill>
      </fill>
    </dxf>
    <dxf>
      <font>
        <b val="0"/>
        <i val="0"/>
        <strike val="0"/>
        <condense val="0"/>
        <extend val="0"/>
        <outline val="0"/>
        <shadow val="0"/>
        <u val="none"/>
        <vertAlign val="baseline"/>
        <sz val="11"/>
        <color theme="1"/>
        <name val="Open Sans"/>
        <family val="2"/>
        <scheme val="none"/>
      </font>
      <numFmt numFmtId="3" formatCode="#,##0"/>
    </dxf>
    <dxf>
      <font>
        <strike val="0"/>
        <outline val="0"/>
        <shadow val="0"/>
        <u val="none"/>
        <vertAlign val="baseline"/>
        <sz val="10"/>
        <name val="Open Sans"/>
        <family val="2"/>
        <scheme val="none"/>
      </font>
      <numFmt numFmtId="169" formatCode="_(* #,##0_);_(* \(#,##0\);_(* &quot;-&quot;??_);_(@_)"/>
      <fill>
        <patternFill patternType="solid">
          <fgColor indexed="64"/>
          <bgColor theme="0"/>
        </patternFill>
      </fill>
    </dxf>
    <dxf>
      <font>
        <b val="0"/>
        <i val="0"/>
        <strike val="0"/>
        <condense val="0"/>
        <extend val="0"/>
        <outline val="0"/>
        <shadow val="0"/>
        <u val="none"/>
        <vertAlign val="baseline"/>
        <sz val="11"/>
        <color theme="1"/>
        <name val="Open Sans"/>
        <family val="2"/>
        <scheme val="none"/>
      </font>
      <numFmt numFmtId="3" formatCode="#,##0"/>
    </dxf>
    <dxf>
      <font>
        <strike val="0"/>
        <outline val="0"/>
        <shadow val="0"/>
        <u val="none"/>
        <vertAlign val="baseline"/>
        <sz val="10"/>
        <name val="Open Sans"/>
        <family val="2"/>
        <scheme val="none"/>
      </font>
      <numFmt numFmtId="169" formatCode="_(* #,##0_);_(* \(#,##0\);_(* &quot;-&quot;??_);_(@_)"/>
      <fill>
        <patternFill patternType="solid">
          <fgColor indexed="64"/>
          <bgColor theme="0"/>
        </patternFill>
      </fill>
    </dxf>
    <dxf>
      <font>
        <b val="0"/>
        <i val="0"/>
        <strike val="0"/>
        <condense val="0"/>
        <extend val="0"/>
        <outline val="0"/>
        <shadow val="0"/>
        <u val="none"/>
        <vertAlign val="baseline"/>
        <sz val="11"/>
        <color theme="1"/>
        <name val="Open Sans"/>
        <family val="2"/>
        <scheme val="none"/>
      </font>
      <numFmt numFmtId="3" formatCode="#,##0"/>
    </dxf>
    <dxf>
      <font>
        <b val="0"/>
        <i val="0"/>
        <strike val="0"/>
        <condense val="0"/>
        <extend val="0"/>
        <outline val="0"/>
        <shadow val="0"/>
        <u val="none"/>
        <vertAlign val="baseline"/>
        <sz val="10"/>
        <color theme="1"/>
        <name val="Open Sans"/>
        <family val="2"/>
        <scheme val="none"/>
      </font>
      <numFmt numFmtId="169" formatCode="_(* #,##0_);_(* \(#,##0\);_(* &quot;-&quot;??_);_(@_)"/>
      <fill>
        <patternFill patternType="solid">
          <fgColor indexed="64"/>
          <bgColor theme="0"/>
        </patternFill>
      </fill>
    </dxf>
    <dxf>
      <font>
        <b val="0"/>
        <i val="0"/>
        <strike val="0"/>
        <condense val="0"/>
        <extend val="0"/>
        <outline val="0"/>
        <shadow val="0"/>
        <u val="none"/>
        <vertAlign val="baseline"/>
        <sz val="11"/>
        <color theme="1"/>
        <name val="Open Sans"/>
        <family val="2"/>
        <scheme val="none"/>
      </font>
      <numFmt numFmtId="3" formatCode="#,##0"/>
    </dxf>
    <dxf>
      <font>
        <sz val="10"/>
        <name val="Open Sans"/>
        <family val="2"/>
        <scheme val="none"/>
      </font>
      <numFmt numFmtId="169" formatCode="_(* #,##0_);_(* \(#,##0\);_(* &quot;-&quot;??_);_(@_)"/>
      <fill>
        <patternFill patternType="solid">
          <fgColor indexed="64"/>
          <bgColor theme="0"/>
        </patternFill>
      </fill>
    </dxf>
    <dxf>
      <font>
        <b val="0"/>
        <i val="0"/>
        <strike val="0"/>
        <condense val="0"/>
        <extend val="0"/>
        <outline val="0"/>
        <shadow val="0"/>
        <u val="none"/>
        <vertAlign val="baseline"/>
        <sz val="11"/>
        <color theme="1"/>
        <name val="Open Sans"/>
        <family val="2"/>
        <scheme val="none"/>
      </font>
      <numFmt numFmtId="3" formatCode="#,##0"/>
    </dxf>
    <dxf>
      <font>
        <sz val="10"/>
        <name val="Open Sans"/>
        <family val="2"/>
        <scheme val="none"/>
      </font>
      <numFmt numFmtId="169" formatCode="_(* #,##0_);_(* \(#,##0\);_(* &quot;-&quot;??_);_(@_)"/>
      <fill>
        <patternFill patternType="solid">
          <fgColor indexed="64"/>
          <bgColor theme="0"/>
        </patternFill>
      </fill>
    </dxf>
    <dxf>
      <font>
        <b val="0"/>
        <i val="0"/>
        <strike val="0"/>
        <condense val="0"/>
        <extend val="0"/>
        <outline val="0"/>
        <shadow val="0"/>
        <u val="none"/>
        <vertAlign val="baseline"/>
        <sz val="11"/>
        <color theme="1"/>
        <name val="Open Sans"/>
        <family val="2"/>
        <scheme val="none"/>
      </font>
      <numFmt numFmtId="3" formatCode="#,##0"/>
    </dxf>
    <dxf>
      <font>
        <sz val="10"/>
        <name val="Open Sans"/>
        <family val="2"/>
        <scheme val="none"/>
      </font>
      <numFmt numFmtId="169" formatCode="_(* #,##0_);_(* \(#,##0\);_(* &quot;-&quot;??_);_(@_)"/>
      <fill>
        <patternFill patternType="solid">
          <fgColor indexed="64"/>
          <bgColor theme="0"/>
        </patternFill>
      </fill>
    </dxf>
    <dxf>
      <font>
        <b val="0"/>
        <i val="0"/>
        <strike val="0"/>
        <condense val="0"/>
        <extend val="0"/>
        <outline val="0"/>
        <shadow val="0"/>
        <u val="none"/>
        <vertAlign val="baseline"/>
        <sz val="11"/>
        <color theme="1"/>
        <name val="Open Sans"/>
        <family val="2"/>
        <scheme val="none"/>
      </font>
      <numFmt numFmtId="3" formatCode="#,##0"/>
    </dxf>
    <dxf>
      <font>
        <strike val="0"/>
        <outline val="0"/>
        <shadow val="0"/>
        <u val="none"/>
        <vertAlign val="baseline"/>
        <name val="Open Sans"/>
        <family val="2"/>
        <scheme val="none"/>
      </font>
      <numFmt numFmtId="0" formatCode="General"/>
    </dxf>
    <dxf>
      <font>
        <b val="0"/>
        <i val="0"/>
        <strike val="0"/>
        <condense val="0"/>
        <extend val="0"/>
        <outline val="0"/>
        <shadow val="0"/>
        <u val="none"/>
        <vertAlign val="baseline"/>
        <sz val="11"/>
        <color theme="1"/>
        <name val="Open Sans"/>
        <family val="2"/>
        <scheme val="none"/>
      </font>
    </dxf>
    <dxf>
      <font>
        <strike val="0"/>
        <outline val="0"/>
        <shadow val="0"/>
        <u val="none"/>
        <vertAlign val="baseline"/>
        <name val="Open Sans"/>
        <family val="2"/>
        <scheme val="none"/>
      </font>
      <numFmt numFmtId="30" formatCode="@"/>
    </dxf>
    <dxf>
      <font>
        <b val="0"/>
        <i val="0"/>
        <strike val="0"/>
        <condense val="0"/>
        <extend val="0"/>
        <outline val="0"/>
        <shadow val="0"/>
        <u val="none"/>
        <vertAlign val="baseline"/>
        <sz val="11"/>
        <color theme="1"/>
        <name val="Open Sans"/>
        <family val="2"/>
        <scheme val="none"/>
      </font>
    </dxf>
    <dxf>
      <font>
        <b val="0"/>
        <strike val="0"/>
        <outline val="0"/>
        <shadow val="0"/>
        <u val="none"/>
        <vertAlign val="baseline"/>
        <name val="Open Sans"/>
        <family val="2"/>
        <scheme val="none"/>
      </font>
      <border diagonalUp="0" diagonalDown="0" outline="0">
        <left style="thin">
          <color indexed="64"/>
        </left>
        <right style="thin">
          <color indexed="64"/>
        </right>
        <top/>
        <bottom/>
      </border>
    </dxf>
    <dxf>
      <font>
        <strike val="0"/>
        <outline val="0"/>
        <shadow val="0"/>
        <u val="none"/>
        <vertAlign val="baseline"/>
        <sz val="10"/>
        <name val="Open Sans"/>
        <family val="2"/>
        <scheme val="none"/>
      </font>
      <fill>
        <patternFill patternType="solid">
          <fgColor indexed="64"/>
          <bgColor theme="0"/>
        </patternFill>
      </fill>
    </dxf>
    <dxf>
      <font>
        <strike val="0"/>
        <outline val="0"/>
        <shadow val="0"/>
        <u val="none"/>
        <vertAlign val="baseline"/>
        <name val="Open Sans"/>
        <family val="2"/>
        <scheme val="none"/>
      </font>
    </dxf>
    <dxf>
      <font>
        <strike val="0"/>
        <outline val="0"/>
        <shadow val="0"/>
        <u val="none"/>
        <vertAlign val="baseline"/>
        <sz val="10"/>
        <name val="Open Sans"/>
        <family val="2"/>
        <scheme val="none"/>
      </font>
      <numFmt numFmtId="169" formatCode="_(* #,##0_);_(* \(#,##0\);_(* &quot;-&quot;??_);_(@_)"/>
      <fill>
        <patternFill patternType="solid">
          <fgColor indexed="64"/>
          <bgColor theme="0"/>
        </patternFill>
      </fill>
    </dxf>
    <dxf>
      <font>
        <b val="0"/>
        <i val="0"/>
        <strike val="0"/>
        <condense val="0"/>
        <extend val="0"/>
        <outline val="0"/>
        <shadow val="0"/>
        <u val="none"/>
        <vertAlign val="baseline"/>
        <sz val="11"/>
        <color theme="1"/>
        <name val="Open Sans"/>
        <family val="2"/>
        <scheme val="none"/>
      </font>
      <numFmt numFmtId="169" formatCode="_(* #,##0_);_(* \(#,##0\);_(* &quot;-&quot;??_);_(@_)"/>
      <border diagonalUp="0" diagonalDown="0" outline="0">
        <left style="thin">
          <color indexed="64"/>
        </left>
        <right style="thin">
          <color indexed="64"/>
        </right>
        <top/>
        <bottom/>
      </border>
    </dxf>
    <dxf>
      <font>
        <b val="0"/>
        <i val="0"/>
        <strike val="0"/>
        <condense val="0"/>
        <extend val="0"/>
        <outline val="0"/>
        <shadow val="0"/>
        <u val="none"/>
        <vertAlign val="baseline"/>
        <sz val="10"/>
        <color theme="1"/>
        <name val="Open Sans"/>
        <family val="2"/>
        <scheme val="none"/>
      </font>
      <numFmt numFmtId="169" formatCode="_(* #,##0_);_(* \(#,##0\);_(* &quot;-&quot;??_);_(@_)"/>
      <fill>
        <patternFill patternType="solid">
          <fgColor indexed="64"/>
          <bgColor theme="0"/>
        </patternFill>
      </fill>
    </dxf>
    <dxf>
      <font>
        <b val="0"/>
        <i val="0"/>
        <strike val="0"/>
        <condense val="0"/>
        <extend val="0"/>
        <outline val="0"/>
        <shadow val="0"/>
        <u val="none"/>
        <vertAlign val="baseline"/>
        <sz val="11"/>
        <color theme="1"/>
        <name val="Open Sans"/>
        <family val="2"/>
        <scheme val="none"/>
      </font>
      <numFmt numFmtId="3" formatCode="#,##0"/>
    </dxf>
    <dxf>
      <font>
        <strike val="0"/>
        <outline val="0"/>
        <shadow val="0"/>
        <u val="none"/>
        <vertAlign val="baseline"/>
        <sz val="10"/>
        <name val="Open Sans"/>
        <family val="2"/>
        <scheme val="none"/>
      </font>
      <numFmt numFmtId="169" formatCode="_(* #,##0_);_(* \(#,##0\);_(* &quot;-&quot;??_);_(@_)"/>
      <fill>
        <patternFill patternType="solid">
          <fgColor indexed="64"/>
          <bgColor theme="0"/>
        </patternFill>
      </fill>
    </dxf>
    <dxf>
      <font>
        <b val="0"/>
        <i val="0"/>
        <strike val="0"/>
        <condense val="0"/>
        <extend val="0"/>
        <outline val="0"/>
        <shadow val="0"/>
        <u val="none"/>
        <vertAlign val="baseline"/>
        <sz val="11"/>
        <color theme="1"/>
        <name val="Open Sans"/>
        <family val="2"/>
        <scheme val="none"/>
      </font>
      <numFmt numFmtId="3" formatCode="#,##0"/>
    </dxf>
    <dxf>
      <font>
        <strike val="0"/>
        <outline val="0"/>
        <shadow val="0"/>
        <u val="none"/>
        <vertAlign val="baseline"/>
        <sz val="10"/>
        <name val="Open Sans"/>
        <family val="2"/>
        <scheme val="none"/>
      </font>
      <numFmt numFmtId="169" formatCode="_(* #,##0_);_(* \(#,##0\);_(* &quot;-&quot;??_);_(@_)"/>
      <fill>
        <patternFill patternType="solid">
          <fgColor indexed="64"/>
          <bgColor theme="0"/>
        </patternFill>
      </fill>
    </dxf>
    <dxf>
      <font>
        <b val="0"/>
        <i val="0"/>
        <strike val="0"/>
        <condense val="0"/>
        <extend val="0"/>
        <outline val="0"/>
        <shadow val="0"/>
        <u val="none"/>
        <vertAlign val="baseline"/>
        <sz val="11"/>
        <color theme="1"/>
        <name val="Open Sans"/>
        <family val="2"/>
        <scheme val="none"/>
      </font>
      <numFmt numFmtId="3" formatCode="#,##0"/>
    </dxf>
    <dxf>
      <font>
        <strike val="0"/>
        <outline val="0"/>
        <shadow val="0"/>
        <u val="none"/>
        <vertAlign val="baseline"/>
        <sz val="10"/>
        <name val="Open Sans"/>
        <family val="2"/>
        <scheme val="none"/>
      </font>
      <numFmt numFmtId="169" formatCode="_(* #,##0_);_(* \(#,##0\);_(* &quot;-&quot;??_);_(@_)"/>
      <fill>
        <patternFill patternType="solid">
          <fgColor indexed="64"/>
          <bgColor theme="0"/>
        </patternFill>
      </fill>
    </dxf>
    <dxf>
      <font>
        <b val="0"/>
        <i val="0"/>
        <strike val="0"/>
        <condense val="0"/>
        <extend val="0"/>
        <outline val="0"/>
        <shadow val="0"/>
        <u val="none"/>
        <vertAlign val="baseline"/>
        <sz val="11"/>
        <color theme="1"/>
        <name val="Open Sans"/>
        <family val="2"/>
        <scheme val="none"/>
      </font>
      <numFmt numFmtId="3" formatCode="#,##0"/>
    </dxf>
    <dxf>
      <font>
        <strike val="0"/>
        <outline val="0"/>
        <shadow val="0"/>
        <u val="none"/>
        <vertAlign val="baseline"/>
        <sz val="10"/>
        <name val="Open Sans"/>
        <family val="2"/>
        <scheme val="none"/>
      </font>
      <numFmt numFmtId="169" formatCode="_(* #,##0_);_(* \(#,##0\);_(* &quot;-&quot;??_);_(@_)"/>
      <fill>
        <patternFill patternType="solid">
          <fgColor indexed="64"/>
          <bgColor theme="0"/>
        </patternFill>
      </fill>
    </dxf>
    <dxf>
      <font>
        <b val="0"/>
        <i val="0"/>
        <strike val="0"/>
        <condense val="0"/>
        <extend val="0"/>
        <outline val="0"/>
        <shadow val="0"/>
        <u val="none"/>
        <vertAlign val="baseline"/>
        <sz val="11"/>
        <color theme="1"/>
        <name val="Open Sans"/>
        <family val="2"/>
        <scheme val="none"/>
      </font>
      <numFmt numFmtId="3" formatCode="#,##0"/>
    </dxf>
    <dxf>
      <font>
        <strike val="0"/>
        <outline val="0"/>
        <shadow val="0"/>
        <u val="none"/>
        <vertAlign val="baseline"/>
        <sz val="10"/>
        <name val="Open Sans"/>
        <family val="2"/>
        <scheme val="none"/>
      </font>
      <numFmt numFmtId="169" formatCode="_(* #,##0_);_(* \(#,##0\);_(* &quot;-&quot;??_);_(@_)"/>
      <fill>
        <patternFill patternType="solid">
          <fgColor indexed="64"/>
          <bgColor theme="0"/>
        </patternFill>
      </fill>
    </dxf>
    <dxf>
      <font>
        <b val="0"/>
        <i val="0"/>
        <strike val="0"/>
        <condense val="0"/>
        <extend val="0"/>
        <outline val="0"/>
        <shadow val="0"/>
        <u val="none"/>
        <vertAlign val="baseline"/>
        <sz val="11"/>
        <color theme="1"/>
        <name val="Open Sans"/>
        <family val="2"/>
        <scheme val="none"/>
      </font>
      <numFmt numFmtId="3" formatCode="#,##0"/>
    </dxf>
    <dxf>
      <font>
        <strike val="0"/>
        <outline val="0"/>
        <shadow val="0"/>
        <u val="none"/>
        <vertAlign val="baseline"/>
        <sz val="10"/>
        <color rgb="FF000000"/>
        <name val="Open Sans"/>
        <family val="2"/>
        <scheme val="none"/>
      </font>
      <numFmt numFmtId="169" formatCode="_(* #,##0_);_(* \(#,##0\);_(* &quot;-&quot;??_);_(@_)"/>
      <fill>
        <patternFill patternType="solid">
          <fgColor indexed="64"/>
          <bgColor theme="0"/>
        </patternFill>
      </fill>
    </dxf>
    <dxf>
      <font>
        <b val="0"/>
        <i val="0"/>
        <strike val="0"/>
        <condense val="0"/>
        <extend val="0"/>
        <outline val="0"/>
        <shadow val="0"/>
        <u val="none"/>
        <vertAlign val="baseline"/>
        <sz val="11"/>
        <color theme="1"/>
        <name val="Open Sans"/>
        <family val="2"/>
        <scheme val="none"/>
      </font>
      <numFmt numFmtId="3" formatCode="#,##0"/>
    </dxf>
    <dxf>
      <font>
        <strike val="0"/>
        <outline val="0"/>
        <shadow val="0"/>
        <u val="none"/>
        <vertAlign val="baseline"/>
        <sz val="10"/>
        <color auto="1"/>
        <name val="Open Sans"/>
        <family val="2"/>
        <scheme val="none"/>
      </font>
      <numFmt numFmtId="169" formatCode="_(* #,##0_);_(* \(#,##0\);_(* &quot;-&quot;??_);_(@_)"/>
      <fill>
        <patternFill patternType="solid">
          <fgColor indexed="64"/>
          <bgColor theme="0"/>
        </patternFill>
      </fill>
      <alignment horizontal="general" vertical="bottom" textRotation="0" wrapText="0" indent="0" justifyLastLine="0" shrinkToFit="0" readingOrder="0"/>
    </dxf>
    <dxf>
      <font>
        <b val="0"/>
        <i val="0"/>
        <strike val="0"/>
        <condense val="0"/>
        <extend val="0"/>
        <outline val="0"/>
        <shadow val="0"/>
        <u val="none"/>
        <vertAlign val="baseline"/>
        <sz val="11"/>
        <color theme="1"/>
        <name val="Open Sans"/>
        <family val="2"/>
        <scheme val="none"/>
      </font>
      <numFmt numFmtId="3" formatCode="#,##0"/>
    </dxf>
    <dxf>
      <font>
        <b val="0"/>
        <i val="0"/>
        <strike val="0"/>
        <condense val="0"/>
        <extend val="0"/>
        <outline val="0"/>
        <shadow val="0"/>
        <u val="none"/>
        <vertAlign val="baseline"/>
        <sz val="10"/>
        <color theme="1"/>
        <name val="Open Sans"/>
        <family val="2"/>
        <scheme val="none"/>
      </font>
      <numFmt numFmtId="169" formatCode="_(* #,##0_);_(* \(#,##0\);_(* &quot;-&quot;??_);_(@_)"/>
      <fill>
        <patternFill patternType="solid">
          <fgColor indexed="64"/>
          <bgColor theme="0"/>
        </patternFill>
      </fill>
    </dxf>
    <dxf>
      <font>
        <b val="0"/>
        <i val="0"/>
        <strike val="0"/>
        <condense val="0"/>
        <extend val="0"/>
        <outline val="0"/>
        <shadow val="0"/>
        <u val="none"/>
        <vertAlign val="baseline"/>
        <sz val="11"/>
        <color theme="1"/>
        <name val="Open Sans"/>
        <family val="2"/>
        <scheme val="none"/>
      </font>
      <numFmt numFmtId="3" formatCode="#,##0"/>
    </dxf>
    <dxf>
      <font>
        <strike val="0"/>
        <outline val="0"/>
        <shadow val="0"/>
        <u val="none"/>
        <vertAlign val="baseline"/>
        <sz val="10"/>
        <name val="Open Sans"/>
        <family val="2"/>
        <scheme val="none"/>
      </font>
      <numFmt numFmtId="169" formatCode="_(* #,##0_);_(* \(#,##0\);_(* &quot;-&quot;??_);_(@_)"/>
      <fill>
        <patternFill patternType="solid">
          <fgColor indexed="64"/>
          <bgColor theme="0"/>
        </patternFill>
      </fill>
    </dxf>
    <dxf>
      <font>
        <b val="0"/>
        <i val="0"/>
        <strike val="0"/>
        <condense val="0"/>
        <extend val="0"/>
        <outline val="0"/>
        <shadow val="0"/>
        <u val="none"/>
        <vertAlign val="baseline"/>
        <sz val="11"/>
        <color theme="1"/>
        <name val="Open Sans"/>
        <family val="2"/>
        <scheme val="none"/>
      </font>
      <numFmt numFmtId="3" formatCode="#,##0"/>
    </dxf>
    <dxf>
      <font>
        <strike val="0"/>
        <outline val="0"/>
        <shadow val="0"/>
        <u val="none"/>
        <vertAlign val="baseline"/>
        <sz val="10"/>
        <name val="Open Sans"/>
        <family val="2"/>
        <scheme val="none"/>
      </font>
      <numFmt numFmtId="169" formatCode="_(* #,##0_);_(* \(#,##0\);_(* &quot;-&quot;??_);_(@_)"/>
      <fill>
        <patternFill patternType="solid">
          <fgColor indexed="64"/>
          <bgColor theme="0"/>
        </patternFill>
      </fill>
    </dxf>
    <dxf>
      <font>
        <b val="0"/>
        <i val="0"/>
        <strike val="0"/>
        <condense val="0"/>
        <extend val="0"/>
        <outline val="0"/>
        <shadow val="0"/>
        <u val="none"/>
        <vertAlign val="baseline"/>
        <sz val="11"/>
        <color theme="1"/>
        <name val="Open Sans"/>
        <family val="2"/>
        <scheme val="none"/>
      </font>
      <numFmt numFmtId="3" formatCode="#,##0"/>
    </dxf>
    <dxf>
      <font>
        <b val="0"/>
        <i val="0"/>
        <strike val="0"/>
        <condense val="0"/>
        <extend val="0"/>
        <outline val="0"/>
        <shadow val="0"/>
        <u val="none"/>
        <vertAlign val="baseline"/>
        <sz val="10"/>
        <color theme="1"/>
        <name val="Open Sans"/>
        <family val="2"/>
        <scheme val="none"/>
      </font>
      <numFmt numFmtId="169" formatCode="_(* #,##0_);_(* \(#,##0\);_(* &quot;-&quot;??_);_(@_)"/>
      <fill>
        <patternFill patternType="solid">
          <fgColor indexed="64"/>
          <bgColor theme="0"/>
        </patternFill>
      </fill>
    </dxf>
    <dxf>
      <font>
        <b val="0"/>
        <i val="0"/>
        <strike val="0"/>
        <condense val="0"/>
        <extend val="0"/>
        <outline val="0"/>
        <shadow val="0"/>
        <u val="none"/>
        <vertAlign val="baseline"/>
        <sz val="11"/>
        <color theme="1"/>
        <name val="Open Sans"/>
        <family val="2"/>
        <scheme val="none"/>
      </font>
      <numFmt numFmtId="3" formatCode="#,##0"/>
    </dxf>
    <dxf>
      <font>
        <sz val="10"/>
        <name val="Open Sans"/>
        <family val="2"/>
        <scheme val="none"/>
      </font>
      <numFmt numFmtId="169" formatCode="_(* #,##0_);_(* \(#,##0\);_(* &quot;-&quot;??_);_(@_)"/>
      <fill>
        <patternFill patternType="solid">
          <fgColor indexed="64"/>
          <bgColor theme="0"/>
        </patternFill>
      </fill>
    </dxf>
    <dxf>
      <font>
        <b val="0"/>
        <i val="0"/>
        <strike val="0"/>
        <condense val="0"/>
        <extend val="0"/>
        <outline val="0"/>
        <shadow val="0"/>
        <u val="none"/>
        <vertAlign val="baseline"/>
        <sz val="11"/>
        <color theme="1"/>
        <name val="Open Sans"/>
        <family val="2"/>
        <scheme val="none"/>
      </font>
      <numFmt numFmtId="3" formatCode="#,##0"/>
    </dxf>
    <dxf>
      <font>
        <sz val="10"/>
        <name val="Open Sans"/>
        <family val="2"/>
        <scheme val="none"/>
      </font>
      <numFmt numFmtId="169" formatCode="_(* #,##0_);_(* \(#,##0\);_(* &quot;-&quot;??_);_(@_)"/>
      <fill>
        <patternFill patternType="solid">
          <fgColor indexed="64"/>
          <bgColor theme="0"/>
        </patternFill>
      </fill>
    </dxf>
    <dxf>
      <font>
        <b val="0"/>
        <i val="0"/>
        <strike val="0"/>
        <condense val="0"/>
        <extend val="0"/>
        <outline val="0"/>
        <shadow val="0"/>
        <u val="none"/>
        <vertAlign val="baseline"/>
        <sz val="11"/>
        <color theme="1"/>
        <name val="Open Sans"/>
        <family val="2"/>
        <scheme val="none"/>
      </font>
      <numFmt numFmtId="3" formatCode="#,##0"/>
    </dxf>
    <dxf>
      <font>
        <sz val="10"/>
        <name val="Open Sans"/>
        <family val="2"/>
        <scheme val="none"/>
      </font>
      <numFmt numFmtId="169" formatCode="_(* #,##0_);_(* \(#,##0\);_(* &quot;-&quot;??_);_(@_)"/>
      <fill>
        <patternFill patternType="solid">
          <fgColor indexed="64"/>
          <bgColor theme="0"/>
        </patternFill>
      </fill>
    </dxf>
    <dxf>
      <font>
        <b val="0"/>
        <i val="0"/>
        <strike val="0"/>
        <condense val="0"/>
        <extend val="0"/>
        <outline val="0"/>
        <shadow val="0"/>
        <u val="none"/>
        <vertAlign val="baseline"/>
        <sz val="11"/>
        <color theme="1"/>
        <name val="Open Sans"/>
        <family val="2"/>
        <scheme val="none"/>
      </font>
      <numFmt numFmtId="3" formatCode="#,##0"/>
    </dxf>
    <dxf>
      <font>
        <strike val="0"/>
        <outline val="0"/>
        <shadow val="0"/>
        <u val="none"/>
        <vertAlign val="baseline"/>
        <name val="Open Sans"/>
        <family val="2"/>
        <scheme val="none"/>
      </font>
      <numFmt numFmtId="0" formatCode="General"/>
    </dxf>
    <dxf>
      <font>
        <b val="0"/>
        <i val="0"/>
        <strike val="0"/>
        <condense val="0"/>
        <extend val="0"/>
        <outline val="0"/>
        <shadow val="0"/>
        <u val="none"/>
        <vertAlign val="baseline"/>
        <sz val="11"/>
        <color theme="1"/>
        <name val="Open Sans"/>
        <family val="2"/>
        <scheme val="none"/>
      </font>
    </dxf>
    <dxf>
      <font>
        <strike val="0"/>
        <outline val="0"/>
        <shadow val="0"/>
        <u val="none"/>
        <vertAlign val="baseline"/>
        <name val="Open Sans"/>
        <family val="2"/>
        <scheme val="none"/>
      </font>
      <numFmt numFmtId="30" formatCode="@"/>
    </dxf>
    <dxf>
      <font>
        <b val="0"/>
        <i val="0"/>
        <strike val="0"/>
        <condense val="0"/>
        <extend val="0"/>
        <outline val="0"/>
        <shadow val="0"/>
        <u val="none"/>
        <vertAlign val="baseline"/>
        <sz val="11"/>
        <color theme="1"/>
        <name val="Open Sans"/>
        <family val="2"/>
        <scheme val="none"/>
      </font>
    </dxf>
    <dxf>
      <font>
        <b val="0"/>
        <strike val="0"/>
        <outline val="0"/>
        <shadow val="0"/>
        <u val="none"/>
        <vertAlign val="baseline"/>
        <name val="Open Sans"/>
        <family val="2"/>
        <scheme val="none"/>
      </font>
      <border diagonalUp="0" diagonalDown="0" outline="0">
        <left style="thin">
          <color indexed="64"/>
        </left>
        <right style="thin">
          <color indexed="64"/>
        </right>
        <top/>
        <bottom/>
      </border>
    </dxf>
    <dxf>
      <font>
        <strike val="0"/>
        <outline val="0"/>
        <shadow val="0"/>
        <u val="none"/>
        <vertAlign val="baseline"/>
        <sz val="10"/>
        <name val="Open Sans"/>
        <family val="2"/>
        <scheme val="none"/>
      </font>
      <fill>
        <patternFill patternType="solid">
          <fgColor indexed="64"/>
          <bgColor theme="0"/>
        </patternFill>
      </fill>
    </dxf>
    <dxf>
      <font>
        <strike val="0"/>
        <outline val="0"/>
        <shadow val="0"/>
        <u val="none"/>
        <vertAlign val="baseline"/>
        <name val="Open Sans"/>
        <family val="2"/>
        <scheme val="none"/>
      </font>
    </dxf>
    <dxf>
      <font>
        <b val="0"/>
        <i val="0"/>
        <strike val="0"/>
        <condense val="0"/>
        <extend val="0"/>
        <outline val="0"/>
        <shadow val="0"/>
        <u val="none"/>
        <vertAlign val="baseline"/>
        <sz val="11"/>
        <color theme="1"/>
        <name val="Open Sans"/>
        <family val="2"/>
        <scheme val="none"/>
      </font>
      <numFmt numFmtId="169" formatCode="_(* #,##0_);_(* \(#,##0\);_(* &quot;-&quot;??_);_(@_)"/>
      <fill>
        <patternFill patternType="solid">
          <fgColor theme="6" tint="0.59999389629810485"/>
          <bgColor theme="6" tint="0.59999389629810485"/>
        </patternFill>
      </fill>
      <border diagonalUp="0" diagonalDown="0">
        <left style="thin">
          <color theme="0"/>
        </left>
        <right style="thin">
          <color theme="0"/>
        </right>
        <top/>
        <bottom style="thin">
          <color theme="0"/>
        </bottom>
        <vertical/>
        <horizontal/>
      </border>
    </dxf>
    <dxf>
      <font>
        <b val="0"/>
        <i val="0"/>
        <strike val="0"/>
        <condense val="0"/>
        <extend val="0"/>
        <outline val="0"/>
        <shadow val="0"/>
        <u val="none"/>
        <vertAlign val="baseline"/>
        <sz val="11"/>
        <color theme="1"/>
        <name val="Open Sans"/>
        <family val="2"/>
        <scheme val="none"/>
      </font>
      <numFmt numFmtId="169" formatCode="_(* #,##0_);_(* \(#,##0\);_(* &quot;-&quot;??_);_(@_)"/>
    </dxf>
    <dxf>
      <font>
        <b val="0"/>
        <i val="0"/>
        <strike val="0"/>
        <condense val="0"/>
        <extend val="0"/>
        <outline val="0"/>
        <shadow val="0"/>
        <u val="none"/>
        <vertAlign val="baseline"/>
        <sz val="11"/>
        <color theme="1"/>
        <name val="Open Sans"/>
        <family val="2"/>
        <scheme val="none"/>
      </font>
      <numFmt numFmtId="169" formatCode="_(* #,##0_);_(* \(#,##0\);_(* &quot;-&quot;??_);_(@_)"/>
      <fill>
        <patternFill patternType="solid">
          <fgColor theme="6" tint="0.59999389629810485"/>
          <bgColor theme="6" tint="0.59999389629810485"/>
        </patternFill>
      </fill>
      <border diagonalUp="0" diagonalDown="0">
        <left style="thin">
          <color theme="0"/>
        </left>
        <right style="thin">
          <color theme="0"/>
        </right>
        <top/>
        <bottom style="thin">
          <color theme="0"/>
        </bottom>
        <vertical/>
        <horizontal/>
      </border>
    </dxf>
    <dxf>
      <font>
        <b val="0"/>
        <i val="0"/>
        <strike val="0"/>
        <condense val="0"/>
        <extend val="0"/>
        <outline val="0"/>
        <shadow val="0"/>
        <u val="none"/>
        <vertAlign val="baseline"/>
        <sz val="11"/>
        <color theme="1"/>
        <name val="Open Sans"/>
        <family val="2"/>
        <scheme val="none"/>
      </font>
      <numFmt numFmtId="169" formatCode="_(* #,##0_);_(* \(#,##0\);_(* &quot;-&quot;??_);_(@_)"/>
    </dxf>
    <dxf>
      <font>
        <b val="0"/>
        <i val="0"/>
        <strike val="0"/>
        <condense val="0"/>
        <extend val="0"/>
        <outline val="0"/>
        <shadow val="0"/>
        <u val="none"/>
        <vertAlign val="baseline"/>
        <sz val="11"/>
        <color theme="1"/>
        <name val="Open Sans"/>
        <family val="2"/>
        <scheme val="none"/>
      </font>
      <numFmt numFmtId="169" formatCode="_(* #,##0_);_(* \(#,##0\);_(* &quot;-&quot;??_);_(@_)"/>
      <fill>
        <patternFill patternType="solid">
          <fgColor theme="6" tint="0.59999389629810485"/>
          <bgColor theme="6" tint="0.59999389629810485"/>
        </patternFill>
      </fill>
      <border diagonalUp="0" diagonalDown="0">
        <left style="thin">
          <color theme="0"/>
        </left>
        <right style="thin">
          <color theme="0"/>
        </right>
        <top/>
        <bottom style="thin">
          <color theme="0"/>
        </bottom>
        <vertical/>
        <horizontal/>
      </border>
    </dxf>
    <dxf>
      <font>
        <b val="0"/>
        <i val="0"/>
        <strike val="0"/>
        <condense val="0"/>
        <extend val="0"/>
        <outline val="0"/>
        <shadow val="0"/>
        <u val="none"/>
        <vertAlign val="baseline"/>
        <sz val="11"/>
        <color theme="1"/>
        <name val="Open Sans"/>
        <family val="2"/>
        <scheme val="none"/>
      </font>
      <numFmt numFmtId="169" formatCode="_(* #,##0_);_(* \(#,##0\);_(* &quot;-&quot;??_);_(@_)"/>
    </dxf>
    <dxf>
      <font>
        <b val="0"/>
        <i val="0"/>
        <strike val="0"/>
        <condense val="0"/>
        <extend val="0"/>
        <outline val="0"/>
        <shadow val="0"/>
        <u val="none"/>
        <vertAlign val="baseline"/>
        <sz val="11"/>
        <color theme="1"/>
        <name val="Open Sans"/>
        <family val="2"/>
        <scheme val="none"/>
      </font>
      <numFmt numFmtId="169" formatCode="_(* #,##0_);_(* \(#,##0\);_(* &quot;-&quot;??_);_(@_)"/>
      <fill>
        <patternFill patternType="solid">
          <fgColor theme="6" tint="0.59999389629810485"/>
          <bgColor theme="6" tint="0.59999389629810485"/>
        </patternFill>
      </fill>
      <border diagonalUp="0" diagonalDown="0">
        <left style="thin">
          <color theme="0"/>
        </left>
        <right style="thin">
          <color theme="0"/>
        </right>
        <top/>
        <bottom style="thin">
          <color theme="0"/>
        </bottom>
        <vertical/>
        <horizontal/>
      </border>
    </dxf>
    <dxf>
      <font>
        <b val="0"/>
        <i val="0"/>
        <strike val="0"/>
        <condense val="0"/>
        <extend val="0"/>
        <outline val="0"/>
        <shadow val="0"/>
        <u val="none"/>
        <vertAlign val="baseline"/>
        <sz val="11"/>
        <color theme="1"/>
        <name val="Open Sans"/>
        <family val="2"/>
        <scheme val="none"/>
      </font>
      <numFmt numFmtId="169" formatCode="_(* #,##0_);_(* \(#,##0\);_(* &quot;-&quot;??_);_(@_)"/>
    </dxf>
    <dxf>
      <font>
        <b val="0"/>
        <i val="0"/>
        <strike val="0"/>
        <condense val="0"/>
        <extend val="0"/>
        <outline val="0"/>
        <shadow val="0"/>
        <u val="none"/>
        <vertAlign val="baseline"/>
        <sz val="11"/>
        <color theme="1"/>
        <name val="Open Sans"/>
        <family val="2"/>
        <scheme val="none"/>
      </font>
      <numFmt numFmtId="169" formatCode="_(* #,##0_);_(* \(#,##0\);_(* &quot;-&quot;??_);_(@_)"/>
      <fill>
        <patternFill patternType="solid">
          <fgColor theme="6" tint="0.59999389629810485"/>
          <bgColor theme="6" tint="0.59999389629810485"/>
        </patternFill>
      </fill>
      <border diagonalUp="0" diagonalDown="0">
        <left style="thin">
          <color theme="0"/>
        </left>
        <right style="thin">
          <color theme="0"/>
        </right>
        <top/>
        <bottom style="thin">
          <color theme="0"/>
        </bottom>
        <vertical/>
        <horizontal/>
      </border>
    </dxf>
    <dxf>
      <font>
        <b/>
        <i val="0"/>
        <strike val="0"/>
        <condense val="0"/>
        <extend val="0"/>
        <outline val="0"/>
        <shadow val="0"/>
        <u val="none"/>
        <vertAlign val="baseline"/>
        <sz val="11"/>
        <color theme="0"/>
        <name val="Open Sans"/>
        <family val="2"/>
        <scheme val="none"/>
      </font>
      <numFmt numFmtId="169" formatCode="_(* #,##0_);_(* \(#,##0\);_(* &quot;-&quot;??_);_(@_)"/>
      <fill>
        <patternFill patternType="solid">
          <fgColor theme="6"/>
          <bgColor theme="6"/>
        </patternFill>
      </fill>
      <border diagonalUp="0" diagonalDown="0" outline="0">
        <left style="thin">
          <color theme="0"/>
        </left>
        <right style="thin">
          <color theme="0"/>
        </right>
        <top style="thick">
          <color theme="0"/>
        </top>
        <bottom/>
      </border>
    </dxf>
    <dxf>
      <font>
        <b val="0"/>
        <i val="0"/>
        <strike val="0"/>
        <condense val="0"/>
        <extend val="0"/>
        <outline val="0"/>
        <shadow val="0"/>
        <u val="none"/>
        <vertAlign val="baseline"/>
        <sz val="11"/>
        <color theme="1"/>
        <name val="Open Sans"/>
        <family val="2"/>
        <scheme val="none"/>
      </font>
      <numFmt numFmtId="169" formatCode="_(* #,##0_);_(* \(#,##0\);_(* &quot;-&quot;??_);_(@_)"/>
      <fill>
        <patternFill patternType="solid">
          <fgColor theme="6" tint="0.59999389629810485"/>
          <bgColor theme="6" tint="0.59999389629810485"/>
        </patternFill>
      </fill>
      <border diagonalUp="0" diagonalDown="0">
        <left style="thin">
          <color theme="0"/>
        </left>
        <right style="thin">
          <color theme="0"/>
        </right>
        <top/>
        <bottom style="thin">
          <color theme="0"/>
        </bottom>
        <vertical/>
        <horizontal/>
      </border>
    </dxf>
    <dxf>
      <font>
        <b/>
        <i val="0"/>
        <strike val="0"/>
        <condense val="0"/>
        <extend val="0"/>
        <outline val="0"/>
        <shadow val="0"/>
        <u val="none"/>
        <vertAlign val="baseline"/>
        <sz val="11"/>
        <color theme="0"/>
        <name val="Open Sans"/>
        <family val="2"/>
        <scheme val="none"/>
      </font>
      <numFmt numFmtId="169" formatCode="_(* #,##0_);_(* \(#,##0\);_(* &quot;-&quot;??_);_(@_)"/>
      <fill>
        <patternFill patternType="solid">
          <fgColor theme="6"/>
          <bgColor theme="6"/>
        </patternFill>
      </fill>
      <border diagonalUp="0" diagonalDown="0" outline="0">
        <left style="thin">
          <color theme="0"/>
        </left>
        <right style="thin">
          <color theme="0"/>
        </right>
        <top style="thick">
          <color theme="0"/>
        </top>
        <bottom/>
      </border>
    </dxf>
    <dxf>
      <font>
        <b val="0"/>
        <i val="0"/>
        <strike val="0"/>
        <condense val="0"/>
        <extend val="0"/>
        <outline val="0"/>
        <shadow val="0"/>
        <u val="none"/>
        <vertAlign val="baseline"/>
        <sz val="11"/>
        <color theme="1"/>
        <name val="Open Sans"/>
        <family val="2"/>
        <scheme val="none"/>
      </font>
      <numFmt numFmtId="169" formatCode="_(* #,##0_);_(* \(#,##0\);_(* &quot;-&quot;??_);_(@_)"/>
      <fill>
        <patternFill patternType="solid">
          <fgColor theme="6" tint="0.59999389629810485"/>
          <bgColor theme="6" tint="0.59999389629810485"/>
        </patternFill>
      </fill>
      <border diagonalUp="0" diagonalDown="0">
        <left/>
        <right style="thin">
          <color theme="0"/>
        </right>
        <top/>
        <bottom style="thin">
          <color theme="0"/>
        </bottom>
        <vertical/>
        <horizontal/>
      </border>
    </dxf>
    <dxf>
      <font>
        <b/>
        <i val="0"/>
        <strike val="0"/>
        <condense val="0"/>
        <extend val="0"/>
        <outline val="0"/>
        <shadow val="0"/>
        <u val="none"/>
        <vertAlign val="baseline"/>
        <sz val="11"/>
        <color theme="0"/>
        <name val="Open Sans"/>
        <family val="2"/>
        <scheme val="none"/>
      </font>
      <numFmt numFmtId="169" formatCode="_(* #,##0_);_(* \(#,##0\);_(* &quot;-&quot;??_);_(@_)"/>
      <fill>
        <patternFill patternType="solid">
          <fgColor theme="6"/>
          <bgColor theme="6"/>
        </patternFill>
      </fill>
      <border diagonalUp="0" diagonalDown="0" outline="0">
        <left style="thin">
          <color theme="0"/>
        </left>
        <right style="thin">
          <color theme="0"/>
        </right>
        <top style="thick">
          <color theme="0"/>
        </top>
        <bottom/>
      </border>
    </dxf>
    <dxf>
      <font>
        <b val="0"/>
        <i val="0"/>
        <strike val="0"/>
        <condense val="0"/>
        <extend val="0"/>
        <outline val="0"/>
        <shadow val="0"/>
        <u val="none"/>
        <vertAlign val="baseline"/>
        <sz val="11"/>
        <color theme="1"/>
        <name val="Open Sans"/>
        <family val="2"/>
        <scheme val="none"/>
      </font>
      <numFmt numFmtId="169" formatCode="_(* #,##0_);_(* \(#,##0\);_(* &quot;-&quot;??_);_(@_)"/>
      <fill>
        <patternFill patternType="solid">
          <fgColor theme="6" tint="0.59999389629810485"/>
          <bgColor theme="6" tint="0.59999389629810485"/>
        </patternFill>
      </fill>
      <border diagonalUp="0" diagonalDown="0">
        <left/>
        <right style="thin">
          <color theme="0"/>
        </right>
        <top/>
        <bottom style="thin">
          <color theme="0"/>
        </bottom>
        <vertical/>
        <horizontal/>
      </border>
    </dxf>
    <dxf>
      <font>
        <b/>
        <i val="0"/>
        <strike val="0"/>
        <condense val="0"/>
        <extend val="0"/>
        <outline val="0"/>
        <shadow val="0"/>
        <u val="none"/>
        <vertAlign val="baseline"/>
        <sz val="11"/>
        <color theme="0"/>
        <name val="Open Sans"/>
        <family val="2"/>
        <scheme val="none"/>
      </font>
      <numFmt numFmtId="169" formatCode="_(* #,##0_);_(* \(#,##0\);_(* &quot;-&quot;??_);_(@_)"/>
      <fill>
        <patternFill patternType="solid">
          <fgColor theme="6"/>
          <bgColor theme="6"/>
        </patternFill>
      </fill>
      <border diagonalUp="0" diagonalDown="0" outline="0">
        <left style="thin">
          <color theme="0"/>
        </left>
        <right style="thin">
          <color theme="0"/>
        </right>
        <top style="thick">
          <color theme="0"/>
        </top>
        <bottom/>
      </border>
    </dxf>
    <dxf>
      <font>
        <b val="0"/>
        <i val="0"/>
        <strike val="0"/>
        <condense val="0"/>
        <extend val="0"/>
        <outline val="0"/>
        <shadow val="0"/>
        <u val="none"/>
        <vertAlign val="baseline"/>
        <sz val="11"/>
        <color theme="1"/>
        <name val="Open Sans"/>
        <family val="2"/>
        <scheme val="none"/>
      </font>
      <numFmt numFmtId="13" formatCode="0%"/>
      <fill>
        <patternFill patternType="solid">
          <fgColor theme="6" tint="0.59999389629810485"/>
          <bgColor theme="6" tint="0.59999389629810485"/>
        </patternFill>
      </fill>
      <border diagonalUp="0" diagonalDown="0">
        <left/>
        <right/>
        <top style="thin">
          <color theme="0"/>
        </top>
        <bottom style="thin">
          <color theme="0"/>
        </bottom>
        <vertical/>
        <horizontal/>
      </border>
    </dxf>
    <dxf>
      <font>
        <b/>
        <i val="0"/>
        <strike val="0"/>
        <condense val="0"/>
        <extend val="0"/>
        <outline val="0"/>
        <shadow val="0"/>
        <u val="none"/>
        <vertAlign val="baseline"/>
        <sz val="11"/>
        <color theme="0"/>
        <name val="Open Sans"/>
        <family val="2"/>
        <scheme val="none"/>
      </font>
      <fill>
        <patternFill patternType="solid">
          <fgColor theme="6"/>
          <bgColor theme="6"/>
        </patternFill>
      </fill>
      <border diagonalUp="0" diagonalDown="0" outline="0">
        <left style="thin">
          <color theme="0"/>
        </left>
        <right style="thin">
          <color theme="0"/>
        </right>
        <top style="thick">
          <color theme="0"/>
        </top>
        <bottom/>
      </border>
    </dxf>
    <dxf>
      <font>
        <b val="0"/>
        <i val="0"/>
        <strike val="0"/>
        <condense val="0"/>
        <extend val="0"/>
        <outline val="0"/>
        <shadow val="0"/>
        <u val="none"/>
        <vertAlign val="baseline"/>
        <sz val="11"/>
        <color theme="1"/>
        <name val="Open Sans"/>
        <family val="2"/>
        <scheme val="none"/>
      </font>
      <numFmt numFmtId="169" formatCode="_(* #,##0_);_(* \(#,##0\);_(* &quot;-&quot;??_);_(@_)"/>
      <fill>
        <patternFill patternType="solid">
          <fgColor theme="6" tint="0.59999389629810485"/>
          <bgColor theme="6" tint="0.59999389629810485"/>
        </patternFill>
      </fill>
      <border diagonalUp="0" diagonalDown="0">
        <left/>
        <right style="thin">
          <color theme="0"/>
        </right>
        <top style="thin">
          <color theme="0"/>
        </top>
        <bottom style="thin">
          <color theme="0"/>
        </bottom>
        <vertical/>
        <horizontal/>
      </border>
    </dxf>
    <dxf>
      <font>
        <b/>
        <i val="0"/>
        <strike val="0"/>
        <condense val="0"/>
        <extend val="0"/>
        <outline val="0"/>
        <shadow val="0"/>
        <u val="none"/>
        <vertAlign val="baseline"/>
        <sz val="11"/>
        <color theme="0"/>
        <name val="Open Sans"/>
        <family val="2"/>
        <scheme val="none"/>
      </font>
      <numFmt numFmtId="169" formatCode="_(* #,##0_);_(* \(#,##0\);_(* &quot;-&quot;??_);_(@_)"/>
      <fill>
        <patternFill patternType="solid">
          <fgColor theme="6"/>
          <bgColor theme="6"/>
        </patternFill>
      </fill>
      <border diagonalUp="0" diagonalDown="0" outline="0">
        <left style="thin">
          <color theme="0"/>
        </left>
        <right style="thin">
          <color theme="0"/>
        </right>
        <top style="thick">
          <color theme="0"/>
        </top>
        <bottom/>
      </border>
    </dxf>
    <dxf>
      <font>
        <b val="0"/>
        <i val="0"/>
        <strike val="0"/>
        <condense val="0"/>
        <extend val="0"/>
        <outline val="0"/>
        <shadow val="0"/>
        <u val="none"/>
        <vertAlign val="baseline"/>
        <sz val="11"/>
        <color theme="1"/>
        <name val="Open Sans"/>
        <family val="2"/>
        <scheme val="none"/>
      </font>
      <numFmt numFmtId="2" formatCode="0.00"/>
      <fill>
        <patternFill patternType="solid">
          <fgColor theme="6" tint="0.59999389629810485"/>
          <bgColor theme="6" tint="0.59999389629810485"/>
        </patternFill>
      </fill>
      <border diagonalUp="0" diagonalDown="0">
        <left/>
        <right style="thin">
          <color theme="0"/>
        </right>
        <top style="thin">
          <color theme="0"/>
        </top>
        <bottom style="thin">
          <color theme="0"/>
        </bottom>
        <vertical/>
        <horizontal/>
      </border>
    </dxf>
    <dxf>
      <font>
        <b/>
        <i val="0"/>
        <strike val="0"/>
        <condense val="0"/>
        <extend val="0"/>
        <outline val="0"/>
        <shadow val="0"/>
        <u val="none"/>
        <vertAlign val="baseline"/>
        <sz val="11"/>
        <color theme="0"/>
        <name val="Open Sans"/>
        <family val="2"/>
        <scheme val="none"/>
      </font>
      <fill>
        <patternFill patternType="solid">
          <fgColor theme="6"/>
          <bgColor theme="6"/>
        </patternFill>
      </fill>
      <border diagonalUp="0" diagonalDown="0" outline="0">
        <left style="thin">
          <color theme="0"/>
        </left>
        <right style="thin">
          <color theme="0"/>
        </right>
        <top style="thick">
          <color theme="0"/>
        </top>
        <bottom/>
      </border>
    </dxf>
    <dxf>
      <font>
        <b val="0"/>
        <i val="0"/>
        <strike val="0"/>
        <condense val="0"/>
        <extend val="0"/>
        <outline val="0"/>
        <shadow val="0"/>
        <u val="none"/>
        <vertAlign val="baseline"/>
        <sz val="11"/>
        <color theme="1"/>
        <name val="Open Sans"/>
        <family val="2"/>
        <scheme val="none"/>
      </font>
      <numFmt numFmtId="30" formatCode="@"/>
      <fill>
        <patternFill patternType="solid">
          <fgColor theme="6" tint="0.59999389629810485"/>
          <bgColor theme="6" tint="0.59999389629810485"/>
        </patternFill>
      </fill>
      <border diagonalUp="0" diagonalDown="0">
        <left/>
        <right style="thin">
          <color theme="0"/>
        </right>
        <top style="thin">
          <color theme="0"/>
        </top>
        <bottom style="thin">
          <color theme="0"/>
        </bottom>
        <vertical/>
        <horizontal/>
      </border>
    </dxf>
    <dxf>
      <font>
        <b/>
        <i val="0"/>
        <strike val="0"/>
        <condense val="0"/>
        <extend val="0"/>
        <outline val="0"/>
        <shadow val="0"/>
        <u val="none"/>
        <vertAlign val="baseline"/>
        <sz val="11"/>
        <color theme="0"/>
        <name val="Open Sans"/>
        <family val="2"/>
        <scheme val="none"/>
      </font>
      <fill>
        <patternFill patternType="solid">
          <fgColor theme="6"/>
          <bgColor theme="6"/>
        </patternFill>
      </fill>
      <border diagonalUp="0" diagonalDown="0" outline="0">
        <left/>
        <right style="thin">
          <color theme="0"/>
        </right>
        <top style="thick">
          <color theme="0"/>
        </top>
        <bottom/>
      </border>
    </dxf>
    <dxf>
      <border outline="0">
        <bottom style="thick">
          <color theme="0"/>
        </bottom>
      </border>
    </dxf>
    <dxf>
      <border outline="0">
        <right style="thin">
          <color theme="0"/>
        </right>
      </border>
    </dxf>
    <dxf>
      <font>
        <b val="0"/>
        <i val="0"/>
        <strike val="0"/>
        <condense val="0"/>
        <extend val="0"/>
        <outline val="0"/>
        <shadow val="0"/>
        <u val="none"/>
        <vertAlign val="baseline"/>
        <sz val="11"/>
        <color theme="1"/>
        <name val="Open Sans"/>
        <family val="2"/>
        <scheme val="none"/>
      </font>
      <fill>
        <patternFill patternType="solid">
          <fgColor theme="6" tint="0.59999389629810485"/>
          <bgColor theme="6" tint="0.59999389629810485"/>
        </patternFill>
      </fill>
    </dxf>
    <dxf>
      <font>
        <strike val="0"/>
        <outline val="0"/>
        <shadow val="0"/>
        <u val="none"/>
        <vertAlign val="baseline"/>
        <sz val="10"/>
        <name val="Open Sans"/>
        <family val="2"/>
        <scheme val="none"/>
      </font>
      <numFmt numFmtId="169" formatCode="_(* #,##0_);_(* \(#,##0\);_(* &quot;-&quot;??_);_(@_)"/>
      <fill>
        <patternFill patternType="solid">
          <fgColor indexed="64"/>
          <bgColor theme="0"/>
        </patternFill>
      </fill>
    </dxf>
    <dxf>
      <font>
        <b val="0"/>
        <i val="0"/>
        <strike val="0"/>
        <condense val="0"/>
        <extend val="0"/>
        <outline val="0"/>
        <shadow val="0"/>
        <u val="none"/>
        <vertAlign val="baseline"/>
        <sz val="11"/>
        <color theme="1"/>
        <name val="Open Sans"/>
        <family val="2"/>
        <scheme val="none"/>
      </font>
      <numFmt numFmtId="169" formatCode="_(* #,##0_);_(* \(#,##0\);_(* &quot;-&quot;??_);_(@_)"/>
      <border diagonalUp="0" diagonalDown="0" outline="0">
        <left style="thin">
          <color indexed="64"/>
        </left>
        <right style="thin">
          <color indexed="64"/>
        </right>
        <top/>
        <bottom/>
      </border>
    </dxf>
    <dxf>
      <font>
        <b val="0"/>
        <i val="0"/>
        <strike val="0"/>
        <condense val="0"/>
        <extend val="0"/>
        <outline val="0"/>
        <shadow val="0"/>
        <u val="none"/>
        <vertAlign val="baseline"/>
        <sz val="10"/>
        <color theme="1"/>
        <name val="Open Sans"/>
        <family val="2"/>
        <scheme val="none"/>
      </font>
      <numFmt numFmtId="169" formatCode="_(* #,##0_);_(* \(#,##0\);_(* &quot;-&quot;??_);_(@_)"/>
      <fill>
        <patternFill patternType="solid">
          <fgColor indexed="64"/>
          <bgColor theme="0"/>
        </patternFill>
      </fill>
    </dxf>
    <dxf>
      <font>
        <b val="0"/>
        <i val="0"/>
        <strike val="0"/>
        <condense val="0"/>
        <extend val="0"/>
        <outline val="0"/>
        <shadow val="0"/>
        <u val="none"/>
        <vertAlign val="baseline"/>
        <sz val="11"/>
        <color theme="1"/>
        <name val="Open Sans"/>
        <family val="2"/>
        <scheme val="none"/>
      </font>
      <numFmt numFmtId="3" formatCode="#,##0"/>
    </dxf>
    <dxf>
      <font>
        <strike val="0"/>
        <outline val="0"/>
        <shadow val="0"/>
        <u val="none"/>
        <vertAlign val="baseline"/>
        <sz val="10"/>
        <name val="Open Sans"/>
        <family val="2"/>
        <scheme val="none"/>
      </font>
      <numFmt numFmtId="169" formatCode="_(* #,##0_);_(* \(#,##0\);_(* &quot;-&quot;??_);_(@_)"/>
      <fill>
        <patternFill patternType="solid">
          <fgColor indexed="64"/>
          <bgColor theme="0"/>
        </patternFill>
      </fill>
    </dxf>
    <dxf>
      <font>
        <b val="0"/>
        <i val="0"/>
        <strike val="0"/>
        <condense val="0"/>
        <extend val="0"/>
        <outline val="0"/>
        <shadow val="0"/>
        <u val="none"/>
        <vertAlign val="baseline"/>
        <sz val="11"/>
        <color theme="1"/>
        <name val="Open Sans"/>
        <family val="2"/>
        <scheme val="none"/>
      </font>
      <numFmt numFmtId="3" formatCode="#,##0"/>
    </dxf>
    <dxf>
      <font>
        <strike val="0"/>
        <outline val="0"/>
        <shadow val="0"/>
        <u val="none"/>
        <vertAlign val="baseline"/>
        <sz val="10"/>
        <name val="Open Sans"/>
        <family val="2"/>
        <scheme val="none"/>
      </font>
      <numFmt numFmtId="169" formatCode="_(* #,##0_);_(* \(#,##0\);_(* &quot;-&quot;??_);_(@_)"/>
      <fill>
        <patternFill patternType="solid">
          <fgColor indexed="64"/>
          <bgColor theme="0"/>
        </patternFill>
      </fill>
    </dxf>
    <dxf>
      <font>
        <b val="0"/>
        <i val="0"/>
        <strike val="0"/>
        <condense val="0"/>
        <extend val="0"/>
        <outline val="0"/>
        <shadow val="0"/>
        <u val="none"/>
        <vertAlign val="baseline"/>
        <sz val="11"/>
        <color theme="1"/>
        <name val="Open Sans"/>
        <family val="2"/>
        <scheme val="none"/>
      </font>
      <numFmt numFmtId="3" formatCode="#,##0"/>
    </dxf>
    <dxf>
      <font>
        <strike val="0"/>
        <outline val="0"/>
        <shadow val="0"/>
        <u val="none"/>
        <vertAlign val="baseline"/>
        <sz val="10"/>
        <name val="Open Sans"/>
        <family val="2"/>
        <scheme val="none"/>
      </font>
      <numFmt numFmtId="169" formatCode="_(* #,##0_);_(* \(#,##0\);_(* &quot;-&quot;??_);_(@_)"/>
      <fill>
        <patternFill patternType="solid">
          <fgColor indexed="64"/>
          <bgColor theme="0"/>
        </patternFill>
      </fill>
    </dxf>
    <dxf>
      <font>
        <b val="0"/>
        <i val="0"/>
        <strike val="0"/>
        <condense val="0"/>
        <extend val="0"/>
        <outline val="0"/>
        <shadow val="0"/>
        <u val="none"/>
        <vertAlign val="baseline"/>
        <sz val="11"/>
        <color theme="1"/>
        <name val="Open Sans"/>
        <family val="2"/>
        <scheme val="none"/>
      </font>
      <numFmt numFmtId="3" formatCode="#,##0"/>
    </dxf>
    <dxf>
      <font>
        <strike val="0"/>
        <outline val="0"/>
        <shadow val="0"/>
        <u val="none"/>
        <vertAlign val="baseline"/>
        <sz val="10"/>
        <name val="Open Sans"/>
        <family val="2"/>
        <scheme val="none"/>
      </font>
      <numFmt numFmtId="169" formatCode="_(* #,##0_);_(* \(#,##0\);_(* &quot;-&quot;??_);_(@_)"/>
      <fill>
        <patternFill patternType="solid">
          <fgColor indexed="64"/>
          <bgColor theme="0"/>
        </patternFill>
      </fill>
    </dxf>
    <dxf>
      <font>
        <b val="0"/>
        <i val="0"/>
        <strike val="0"/>
        <condense val="0"/>
        <extend val="0"/>
        <outline val="0"/>
        <shadow val="0"/>
        <u val="none"/>
        <vertAlign val="baseline"/>
        <sz val="11"/>
        <color theme="1"/>
        <name val="Open Sans"/>
        <family val="2"/>
        <scheme val="none"/>
      </font>
      <numFmt numFmtId="3" formatCode="#,##0"/>
    </dxf>
    <dxf>
      <font>
        <strike val="0"/>
        <outline val="0"/>
        <shadow val="0"/>
        <u val="none"/>
        <vertAlign val="baseline"/>
        <sz val="10"/>
        <name val="Open Sans"/>
        <family val="2"/>
        <scheme val="none"/>
      </font>
      <numFmt numFmtId="169" formatCode="_(* #,##0_);_(* \(#,##0\);_(* &quot;-&quot;??_);_(@_)"/>
      <fill>
        <patternFill patternType="solid">
          <fgColor indexed="64"/>
          <bgColor theme="0"/>
        </patternFill>
      </fill>
    </dxf>
    <dxf>
      <font>
        <b val="0"/>
        <i val="0"/>
        <strike val="0"/>
        <condense val="0"/>
        <extend val="0"/>
        <outline val="0"/>
        <shadow val="0"/>
        <u val="none"/>
        <vertAlign val="baseline"/>
        <sz val="11"/>
        <color theme="1"/>
        <name val="Open Sans"/>
        <family val="2"/>
        <scheme val="none"/>
      </font>
      <numFmt numFmtId="3" formatCode="#,##0"/>
    </dxf>
    <dxf>
      <font>
        <strike val="0"/>
        <outline val="0"/>
        <shadow val="0"/>
        <u val="none"/>
        <vertAlign val="baseline"/>
        <sz val="10"/>
        <color rgb="FF000000"/>
        <name val="Open Sans"/>
        <family val="2"/>
        <scheme val="none"/>
      </font>
      <numFmt numFmtId="169" formatCode="_(* #,##0_);_(* \(#,##0\);_(* &quot;-&quot;??_);_(@_)"/>
      <fill>
        <patternFill patternType="solid">
          <fgColor indexed="64"/>
          <bgColor theme="0"/>
        </patternFill>
      </fill>
    </dxf>
    <dxf>
      <font>
        <b val="0"/>
        <i val="0"/>
        <strike val="0"/>
        <condense val="0"/>
        <extend val="0"/>
        <outline val="0"/>
        <shadow val="0"/>
        <u val="none"/>
        <vertAlign val="baseline"/>
        <sz val="11"/>
        <color theme="1"/>
        <name val="Open Sans"/>
        <family val="2"/>
        <scheme val="none"/>
      </font>
      <numFmt numFmtId="3" formatCode="#,##0"/>
    </dxf>
    <dxf>
      <font>
        <strike val="0"/>
        <outline val="0"/>
        <shadow val="0"/>
        <u val="none"/>
        <vertAlign val="baseline"/>
        <sz val="10"/>
        <name val="Open Sans"/>
        <family val="2"/>
        <scheme val="none"/>
      </font>
      <numFmt numFmtId="169" formatCode="_(* #,##0_);_(* \(#,##0\);_(* &quot;-&quot;??_);_(@_)"/>
      <fill>
        <patternFill patternType="solid">
          <fgColor indexed="64"/>
          <bgColor theme="0"/>
        </patternFill>
      </fill>
    </dxf>
    <dxf>
      <font>
        <b val="0"/>
        <i val="0"/>
        <strike val="0"/>
        <condense val="0"/>
        <extend val="0"/>
        <outline val="0"/>
        <shadow val="0"/>
        <u val="none"/>
        <vertAlign val="baseline"/>
        <sz val="11"/>
        <color theme="1"/>
        <name val="Open Sans"/>
        <family val="2"/>
        <scheme val="none"/>
      </font>
      <numFmt numFmtId="3" formatCode="#,##0"/>
    </dxf>
    <dxf>
      <font>
        <b val="0"/>
        <i val="0"/>
        <strike val="0"/>
        <condense val="0"/>
        <extend val="0"/>
        <outline val="0"/>
        <shadow val="0"/>
        <u val="none"/>
        <vertAlign val="baseline"/>
        <sz val="10"/>
        <color theme="1"/>
        <name val="Open Sans"/>
        <family val="2"/>
        <scheme val="none"/>
      </font>
      <numFmt numFmtId="169" formatCode="_(* #,##0_);_(* \(#,##0\);_(* &quot;-&quot;??_);_(@_)"/>
      <fill>
        <patternFill patternType="solid">
          <fgColor indexed="64"/>
          <bgColor theme="0"/>
        </patternFill>
      </fill>
    </dxf>
    <dxf>
      <font>
        <b val="0"/>
        <i val="0"/>
        <strike val="0"/>
        <condense val="0"/>
        <extend val="0"/>
        <outline val="0"/>
        <shadow val="0"/>
        <u val="none"/>
        <vertAlign val="baseline"/>
        <sz val="11"/>
        <color theme="1"/>
        <name val="Open Sans"/>
        <family val="2"/>
        <scheme val="none"/>
      </font>
      <numFmt numFmtId="3" formatCode="#,##0"/>
    </dxf>
    <dxf>
      <font>
        <strike val="0"/>
        <outline val="0"/>
        <shadow val="0"/>
        <u val="none"/>
        <vertAlign val="baseline"/>
        <sz val="10"/>
        <name val="Open Sans"/>
        <family val="2"/>
        <scheme val="none"/>
      </font>
      <numFmt numFmtId="169" formatCode="_(* #,##0_);_(* \(#,##0\);_(* &quot;-&quot;??_);_(@_)"/>
      <fill>
        <patternFill patternType="solid">
          <fgColor indexed="64"/>
          <bgColor theme="0"/>
        </patternFill>
      </fill>
    </dxf>
    <dxf>
      <font>
        <b val="0"/>
        <i val="0"/>
        <strike val="0"/>
        <condense val="0"/>
        <extend val="0"/>
        <outline val="0"/>
        <shadow val="0"/>
        <u val="none"/>
        <vertAlign val="baseline"/>
        <sz val="11"/>
        <color theme="1"/>
        <name val="Open Sans"/>
        <family val="2"/>
        <scheme val="none"/>
      </font>
      <numFmt numFmtId="3" formatCode="#,##0"/>
    </dxf>
    <dxf>
      <font>
        <strike val="0"/>
        <outline val="0"/>
        <shadow val="0"/>
        <u val="none"/>
        <vertAlign val="baseline"/>
        <sz val="10"/>
        <name val="Open Sans"/>
        <family val="2"/>
        <scheme val="none"/>
      </font>
      <numFmt numFmtId="169" formatCode="_(* #,##0_);_(* \(#,##0\);_(* &quot;-&quot;??_);_(@_)"/>
      <fill>
        <patternFill patternType="solid">
          <fgColor indexed="64"/>
          <bgColor theme="0"/>
        </patternFill>
      </fill>
    </dxf>
    <dxf>
      <font>
        <b val="0"/>
        <i val="0"/>
        <strike val="0"/>
        <condense val="0"/>
        <extend val="0"/>
        <outline val="0"/>
        <shadow val="0"/>
        <u val="none"/>
        <vertAlign val="baseline"/>
        <sz val="11"/>
        <color theme="1"/>
        <name val="Open Sans"/>
        <family val="2"/>
        <scheme val="none"/>
      </font>
      <numFmt numFmtId="3" formatCode="#,##0"/>
    </dxf>
    <dxf>
      <font>
        <b val="0"/>
        <i val="0"/>
        <strike val="0"/>
        <condense val="0"/>
        <extend val="0"/>
        <outline val="0"/>
        <shadow val="0"/>
        <u val="none"/>
        <vertAlign val="baseline"/>
        <sz val="10"/>
        <color theme="1"/>
        <name val="Open Sans"/>
        <family val="2"/>
        <scheme val="none"/>
      </font>
      <numFmt numFmtId="169" formatCode="_(* #,##0_);_(* \(#,##0\);_(* &quot;-&quot;??_);_(@_)"/>
      <fill>
        <patternFill patternType="solid">
          <fgColor indexed="64"/>
          <bgColor theme="0"/>
        </patternFill>
      </fill>
    </dxf>
    <dxf>
      <font>
        <b val="0"/>
        <i val="0"/>
        <strike val="0"/>
        <condense val="0"/>
        <extend val="0"/>
        <outline val="0"/>
        <shadow val="0"/>
        <u val="none"/>
        <vertAlign val="baseline"/>
        <sz val="11"/>
        <color theme="1"/>
        <name val="Open Sans"/>
        <family val="2"/>
        <scheme val="none"/>
      </font>
      <numFmt numFmtId="3" formatCode="#,##0"/>
    </dxf>
    <dxf>
      <font>
        <sz val="10"/>
        <name val="Open Sans"/>
        <family val="2"/>
        <scheme val="none"/>
      </font>
      <numFmt numFmtId="169" formatCode="_(* #,##0_);_(* \(#,##0\);_(* &quot;-&quot;??_);_(@_)"/>
      <fill>
        <patternFill patternType="solid">
          <fgColor indexed="64"/>
          <bgColor theme="0"/>
        </patternFill>
      </fill>
    </dxf>
    <dxf>
      <font>
        <b val="0"/>
        <i val="0"/>
        <strike val="0"/>
        <condense val="0"/>
        <extend val="0"/>
        <outline val="0"/>
        <shadow val="0"/>
        <u val="none"/>
        <vertAlign val="baseline"/>
        <sz val="11"/>
        <color theme="1"/>
        <name val="Open Sans"/>
        <family val="2"/>
        <scheme val="none"/>
      </font>
      <numFmt numFmtId="3" formatCode="#,##0"/>
    </dxf>
    <dxf>
      <font>
        <sz val="10"/>
        <name val="Open Sans"/>
        <family val="2"/>
        <scheme val="none"/>
      </font>
      <numFmt numFmtId="169" formatCode="_(* #,##0_);_(* \(#,##0\);_(* &quot;-&quot;??_);_(@_)"/>
      <fill>
        <patternFill patternType="solid">
          <fgColor indexed="64"/>
          <bgColor theme="0"/>
        </patternFill>
      </fill>
    </dxf>
    <dxf>
      <font>
        <b val="0"/>
        <i val="0"/>
        <strike val="0"/>
        <condense val="0"/>
        <extend val="0"/>
        <outline val="0"/>
        <shadow val="0"/>
        <u val="none"/>
        <vertAlign val="baseline"/>
        <sz val="11"/>
        <color theme="1"/>
        <name val="Open Sans"/>
        <family val="2"/>
        <scheme val="none"/>
      </font>
      <numFmt numFmtId="3" formatCode="#,##0"/>
    </dxf>
    <dxf>
      <font>
        <sz val="10"/>
        <name val="Open Sans"/>
        <family val="2"/>
        <scheme val="none"/>
      </font>
      <numFmt numFmtId="169" formatCode="_(* #,##0_);_(* \(#,##0\);_(* &quot;-&quot;??_);_(@_)"/>
      <fill>
        <patternFill patternType="solid">
          <fgColor indexed="64"/>
          <bgColor theme="0"/>
        </patternFill>
      </fill>
    </dxf>
    <dxf>
      <font>
        <b val="0"/>
        <i val="0"/>
        <strike val="0"/>
        <condense val="0"/>
        <extend val="0"/>
        <outline val="0"/>
        <shadow val="0"/>
        <u val="none"/>
        <vertAlign val="baseline"/>
        <sz val="11"/>
        <color theme="1"/>
        <name val="Open Sans"/>
        <family val="2"/>
        <scheme val="none"/>
      </font>
      <numFmt numFmtId="3" formatCode="#,##0"/>
    </dxf>
    <dxf>
      <font>
        <strike val="0"/>
        <outline val="0"/>
        <shadow val="0"/>
        <u val="none"/>
        <vertAlign val="baseline"/>
        <name val="Open Sans"/>
        <family val="2"/>
        <scheme val="none"/>
      </font>
      <numFmt numFmtId="0" formatCode="General"/>
    </dxf>
    <dxf>
      <font>
        <b val="0"/>
        <i val="0"/>
        <strike val="0"/>
        <condense val="0"/>
        <extend val="0"/>
        <outline val="0"/>
        <shadow val="0"/>
        <u val="none"/>
        <vertAlign val="baseline"/>
        <sz val="11"/>
        <color theme="1"/>
        <name val="Open Sans"/>
        <family val="2"/>
        <scheme val="none"/>
      </font>
    </dxf>
    <dxf>
      <font>
        <strike val="0"/>
        <outline val="0"/>
        <shadow val="0"/>
        <u val="none"/>
        <vertAlign val="baseline"/>
        <name val="Open Sans"/>
        <family val="2"/>
        <scheme val="none"/>
      </font>
      <numFmt numFmtId="30" formatCode="@"/>
    </dxf>
    <dxf>
      <font>
        <b val="0"/>
        <i val="0"/>
        <strike val="0"/>
        <condense val="0"/>
        <extend val="0"/>
        <outline val="0"/>
        <shadow val="0"/>
        <u val="none"/>
        <vertAlign val="baseline"/>
        <sz val="11"/>
        <color theme="1"/>
        <name val="Open Sans"/>
        <family val="2"/>
        <scheme val="none"/>
      </font>
    </dxf>
    <dxf>
      <font>
        <b val="0"/>
        <strike val="0"/>
        <outline val="0"/>
        <shadow val="0"/>
        <u val="none"/>
        <vertAlign val="baseline"/>
        <name val="Open Sans"/>
        <family val="2"/>
        <scheme val="none"/>
      </font>
      <border diagonalUp="0" diagonalDown="0" outline="0">
        <left style="thin">
          <color indexed="64"/>
        </left>
        <right style="thin">
          <color indexed="64"/>
        </right>
        <top/>
        <bottom/>
      </border>
    </dxf>
    <dxf>
      <font>
        <strike val="0"/>
        <outline val="0"/>
        <shadow val="0"/>
        <u val="none"/>
        <vertAlign val="baseline"/>
        <sz val="10"/>
        <name val="Open Sans"/>
        <family val="2"/>
        <scheme val="none"/>
      </font>
      <fill>
        <patternFill patternType="solid">
          <fgColor indexed="64"/>
          <bgColor theme="0"/>
        </patternFill>
      </fill>
    </dxf>
    <dxf>
      <font>
        <strike val="0"/>
        <outline val="0"/>
        <shadow val="0"/>
        <u val="none"/>
        <vertAlign val="baseline"/>
        <name val="Open Sans"/>
        <family val="2"/>
        <scheme val="none"/>
      </font>
    </dxf>
    <dxf>
      <font>
        <strike val="0"/>
        <outline val="0"/>
        <shadow val="0"/>
        <u val="none"/>
        <vertAlign val="baseline"/>
        <sz val="10"/>
        <color auto="1"/>
        <name val="Open Sans"/>
        <family val="2"/>
        <scheme val="none"/>
      </font>
      <numFmt numFmtId="167" formatCode="_([$€-2]\ * #,##0.00_);_([$€-2]\ * \(#,##0.00\);_([$€-2]\ * &quot;-&quot;??_);_(@_)"/>
      <fill>
        <patternFill patternType="solid">
          <fgColor indexed="64"/>
          <bgColor theme="0"/>
        </patternFill>
      </fill>
    </dxf>
    <dxf>
      <font>
        <b val="0"/>
        <i val="0"/>
        <strike val="0"/>
        <condense val="0"/>
        <extend val="0"/>
        <outline val="0"/>
        <shadow val="0"/>
        <u val="none"/>
        <vertAlign val="baseline"/>
        <sz val="11"/>
        <color theme="1"/>
        <name val="Open Sans"/>
        <family val="2"/>
        <scheme val="none"/>
      </font>
      <numFmt numFmtId="176" formatCode="_([$€-2]\ * #,##0_);_([$€-2]\ * \(#,##0\);_([$€-2]\ * &quot;-&quot;??_);_(@_)"/>
    </dxf>
    <dxf>
      <font>
        <b val="0"/>
        <i val="0"/>
        <strike val="0"/>
        <condense val="0"/>
        <extend val="0"/>
        <outline val="0"/>
        <shadow val="0"/>
        <u val="none"/>
        <vertAlign val="baseline"/>
        <sz val="10"/>
        <color theme="1"/>
        <name val="Open Sans"/>
        <family val="2"/>
        <scheme val="none"/>
      </font>
      <numFmt numFmtId="167" formatCode="_([$€-2]\ * #,##0.00_);_([$€-2]\ * \(#,##0.00\);_([$€-2]\ * &quot;-&quot;??_);_(@_)"/>
      <fill>
        <patternFill patternType="solid">
          <fgColor indexed="64"/>
          <bgColor theme="0"/>
        </patternFill>
      </fill>
    </dxf>
    <dxf>
      <font>
        <b val="0"/>
        <i val="0"/>
        <strike val="0"/>
        <condense val="0"/>
        <extend val="0"/>
        <outline val="0"/>
        <shadow val="0"/>
        <u val="none"/>
        <vertAlign val="baseline"/>
        <sz val="11"/>
        <color theme="1"/>
        <name val="Open Sans"/>
        <family val="2"/>
        <scheme val="none"/>
      </font>
      <numFmt numFmtId="176" formatCode="_([$€-2]\ * #,##0_);_([$€-2]\ * \(#,##0\);_([$€-2]\ * &quot;-&quot;??_);_(@_)"/>
    </dxf>
    <dxf>
      <font>
        <strike val="0"/>
        <outline val="0"/>
        <shadow val="0"/>
        <u val="none"/>
        <vertAlign val="baseline"/>
        <sz val="10"/>
        <name val="Open Sans"/>
        <family val="2"/>
        <scheme val="none"/>
      </font>
      <numFmt numFmtId="167" formatCode="_([$€-2]\ * #,##0.00_);_([$€-2]\ * \(#,##0.00\);_([$€-2]\ * &quot;-&quot;??_);_(@_)"/>
      <fill>
        <patternFill patternType="solid">
          <fgColor indexed="64"/>
          <bgColor theme="0"/>
        </patternFill>
      </fill>
    </dxf>
    <dxf>
      <font>
        <b val="0"/>
        <i val="0"/>
        <strike val="0"/>
        <condense val="0"/>
        <extend val="0"/>
        <outline val="0"/>
        <shadow val="0"/>
        <u val="none"/>
        <vertAlign val="baseline"/>
        <sz val="11"/>
        <color theme="1"/>
        <name val="Open Sans"/>
        <family val="2"/>
        <scheme val="none"/>
      </font>
      <numFmt numFmtId="176" formatCode="_([$€-2]\ * #,##0_);_([$€-2]\ * \(#,##0\);_([$€-2]\ * &quot;-&quot;??_);_(@_)"/>
    </dxf>
    <dxf>
      <font>
        <strike val="0"/>
        <outline val="0"/>
        <shadow val="0"/>
        <u val="none"/>
        <vertAlign val="baseline"/>
        <sz val="10"/>
        <name val="Open Sans"/>
        <family val="2"/>
        <scheme val="none"/>
      </font>
      <numFmt numFmtId="167" formatCode="_([$€-2]\ * #,##0.00_);_([$€-2]\ * \(#,##0.00\);_([$€-2]\ * &quot;-&quot;??_);_(@_)"/>
      <fill>
        <patternFill patternType="solid">
          <fgColor indexed="64"/>
          <bgColor theme="0"/>
        </patternFill>
      </fill>
    </dxf>
    <dxf>
      <font>
        <b val="0"/>
        <i val="0"/>
        <strike val="0"/>
        <condense val="0"/>
        <extend val="0"/>
        <outline val="0"/>
        <shadow val="0"/>
        <u val="none"/>
        <vertAlign val="baseline"/>
        <sz val="11"/>
        <color theme="1"/>
        <name val="Open Sans"/>
        <family val="2"/>
        <scheme val="none"/>
      </font>
      <numFmt numFmtId="176" formatCode="_([$€-2]\ * #,##0_);_([$€-2]\ * \(#,##0\);_([$€-2]\ * &quot;-&quot;??_);_(@_)"/>
    </dxf>
    <dxf>
      <font>
        <strike val="0"/>
        <outline val="0"/>
        <shadow val="0"/>
        <u val="none"/>
        <vertAlign val="baseline"/>
        <sz val="10"/>
        <name val="Open Sans"/>
        <family val="2"/>
        <scheme val="none"/>
      </font>
      <numFmt numFmtId="167" formatCode="_([$€-2]\ * #,##0.00_);_([$€-2]\ * \(#,##0.00\);_([$€-2]\ * &quot;-&quot;??_);_(@_)"/>
      <fill>
        <patternFill patternType="solid">
          <fgColor indexed="64"/>
          <bgColor theme="0"/>
        </patternFill>
      </fill>
    </dxf>
    <dxf>
      <font>
        <b val="0"/>
        <i val="0"/>
        <strike val="0"/>
        <condense val="0"/>
        <extend val="0"/>
        <outline val="0"/>
        <shadow val="0"/>
        <u val="none"/>
        <vertAlign val="baseline"/>
        <sz val="11"/>
        <color theme="1"/>
        <name val="Open Sans"/>
        <family val="2"/>
        <scheme val="none"/>
      </font>
      <numFmt numFmtId="176" formatCode="_([$€-2]\ * #,##0_);_([$€-2]\ * \(#,##0\);_([$€-2]\ * &quot;-&quot;??_);_(@_)"/>
    </dxf>
    <dxf>
      <font>
        <strike val="0"/>
        <outline val="0"/>
        <shadow val="0"/>
        <u val="none"/>
        <vertAlign val="baseline"/>
        <sz val="10"/>
        <name val="Open Sans"/>
        <family val="2"/>
        <scheme val="none"/>
      </font>
      <numFmt numFmtId="167" formatCode="_([$€-2]\ * #,##0.00_);_([$€-2]\ * \(#,##0.00\);_([$€-2]\ * &quot;-&quot;??_);_(@_)"/>
      <fill>
        <patternFill patternType="solid">
          <fgColor indexed="64"/>
          <bgColor theme="0"/>
        </patternFill>
      </fill>
    </dxf>
    <dxf>
      <font>
        <b val="0"/>
        <i val="0"/>
        <strike val="0"/>
        <condense val="0"/>
        <extend val="0"/>
        <outline val="0"/>
        <shadow val="0"/>
        <u val="none"/>
        <vertAlign val="baseline"/>
        <sz val="11"/>
        <color theme="1"/>
        <name val="Open Sans"/>
        <family val="2"/>
        <scheme val="none"/>
      </font>
      <numFmt numFmtId="176" formatCode="_([$€-2]\ * #,##0_);_([$€-2]\ * \(#,##0\);_([$€-2]\ * &quot;-&quot;??_);_(@_)"/>
    </dxf>
    <dxf>
      <font>
        <strike val="0"/>
        <outline val="0"/>
        <shadow val="0"/>
        <u val="none"/>
        <vertAlign val="baseline"/>
        <sz val="10"/>
        <name val="Open Sans"/>
        <family val="2"/>
        <scheme val="none"/>
      </font>
      <numFmt numFmtId="167" formatCode="_([$€-2]\ * #,##0.00_);_([$€-2]\ * \(#,##0.00\);_([$€-2]\ * &quot;-&quot;??_);_(@_)"/>
      <fill>
        <patternFill patternType="solid">
          <fgColor indexed="64"/>
          <bgColor theme="0"/>
        </patternFill>
      </fill>
    </dxf>
    <dxf>
      <font>
        <b val="0"/>
        <i val="0"/>
        <strike val="0"/>
        <condense val="0"/>
        <extend val="0"/>
        <outline val="0"/>
        <shadow val="0"/>
        <u val="none"/>
        <vertAlign val="baseline"/>
        <sz val="11"/>
        <color theme="1"/>
        <name val="Open Sans"/>
        <family val="2"/>
        <scheme val="none"/>
      </font>
      <numFmt numFmtId="176" formatCode="_([$€-2]\ * #,##0_);_([$€-2]\ * \(#,##0\);_([$€-2]\ * &quot;-&quot;??_);_(@_)"/>
    </dxf>
    <dxf>
      <font>
        <sz val="10"/>
        <name val="Open Sans"/>
        <family val="2"/>
        <scheme val="none"/>
      </font>
      <numFmt numFmtId="167" formatCode="_([$€-2]\ * #,##0.00_);_([$€-2]\ * \(#,##0.00\);_([$€-2]\ * &quot;-&quot;??_);_(@_)"/>
      <fill>
        <patternFill patternType="solid">
          <fgColor indexed="64"/>
          <bgColor theme="0"/>
        </patternFill>
      </fill>
    </dxf>
    <dxf>
      <font>
        <b val="0"/>
        <i val="0"/>
        <strike val="0"/>
        <condense val="0"/>
        <extend val="0"/>
        <outline val="0"/>
        <shadow val="0"/>
        <u val="none"/>
        <vertAlign val="baseline"/>
        <sz val="11"/>
        <color theme="1"/>
        <name val="Open Sans"/>
        <family val="2"/>
        <scheme val="none"/>
      </font>
      <numFmt numFmtId="176" formatCode="_([$€-2]\ * #,##0_);_([$€-2]\ * \(#,##0\);_([$€-2]\ * &quot;-&quot;??_);_(@_)"/>
    </dxf>
    <dxf>
      <font>
        <strike val="0"/>
        <outline val="0"/>
        <shadow val="0"/>
        <u val="none"/>
        <vertAlign val="baseline"/>
        <sz val="10"/>
        <name val="Open Sans"/>
        <family val="2"/>
        <scheme val="none"/>
      </font>
      <numFmt numFmtId="167" formatCode="_([$€-2]\ * #,##0.00_);_([$€-2]\ * \(#,##0.00\);_([$€-2]\ * &quot;-&quot;??_);_(@_)"/>
      <fill>
        <patternFill patternType="solid">
          <fgColor indexed="64"/>
          <bgColor theme="0"/>
        </patternFill>
      </fill>
    </dxf>
    <dxf>
      <font>
        <b val="0"/>
        <i val="0"/>
        <strike val="0"/>
        <condense val="0"/>
        <extend val="0"/>
        <outline val="0"/>
        <shadow val="0"/>
        <u val="none"/>
        <vertAlign val="baseline"/>
        <sz val="11"/>
        <color theme="1"/>
        <name val="Open Sans"/>
        <family val="2"/>
        <scheme val="none"/>
      </font>
      <numFmt numFmtId="176" formatCode="_([$€-2]\ * #,##0_);_([$€-2]\ * \(#,##0\);_([$€-2]\ * &quot;-&quot;??_);_(@_)"/>
    </dxf>
    <dxf>
      <font>
        <b val="0"/>
        <i val="0"/>
        <strike val="0"/>
        <condense val="0"/>
        <extend val="0"/>
        <outline val="0"/>
        <shadow val="0"/>
        <u val="none"/>
        <vertAlign val="baseline"/>
        <sz val="10"/>
        <color theme="1"/>
        <name val="Open Sans"/>
        <family val="2"/>
        <scheme val="none"/>
      </font>
      <numFmt numFmtId="167" formatCode="_([$€-2]\ * #,##0.00_);_([$€-2]\ * \(#,##0.00\);_([$€-2]\ * &quot;-&quot;??_);_(@_)"/>
      <fill>
        <patternFill patternType="solid">
          <fgColor indexed="64"/>
          <bgColor theme="0"/>
        </patternFill>
      </fill>
    </dxf>
    <dxf>
      <font>
        <b val="0"/>
        <i val="0"/>
        <strike val="0"/>
        <condense val="0"/>
        <extend val="0"/>
        <outline val="0"/>
        <shadow val="0"/>
        <u val="none"/>
        <vertAlign val="baseline"/>
        <sz val="11"/>
        <color theme="1"/>
        <name val="Open Sans"/>
        <family val="2"/>
        <scheme val="none"/>
      </font>
      <numFmt numFmtId="176" formatCode="_([$€-2]\ * #,##0_);_([$€-2]\ * \(#,##0\);_([$€-2]\ * &quot;-&quot;??_);_(@_)"/>
    </dxf>
    <dxf>
      <font>
        <sz val="10"/>
        <name val="Open Sans"/>
        <family val="2"/>
        <scheme val="none"/>
      </font>
      <numFmt numFmtId="167" formatCode="_([$€-2]\ * #,##0.00_);_([$€-2]\ * \(#,##0.00\);_([$€-2]\ * &quot;-&quot;??_);_(@_)"/>
      <fill>
        <patternFill patternType="solid">
          <fgColor indexed="64"/>
          <bgColor theme="0"/>
        </patternFill>
      </fill>
    </dxf>
    <dxf>
      <font>
        <b val="0"/>
        <i val="0"/>
        <strike val="0"/>
        <condense val="0"/>
        <extend val="0"/>
        <outline val="0"/>
        <shadow val="0"/>
        <u val="none"/>
        <vertAlign val="baseline"/>
        <sz val="11"/>
        <color theme="1"/>
        <name val="Open Sans"/>
        <family val="2"/>
        <scheme val="none"/>
      </font>
      <numFmt numFmtId="176" formatCode="_([$€-2]\ * #,##0_);_([$€-2]\ * \(#,##0\);_([$€-2]\ * &quot;-&quot;??_);_(@_)"/>
    </dxf>
    <dxf>
      <font>
        <strike val="0"/>
        <outline val="0"/>
        <shadow val="0"/>
        <u val="none"/>
        <vertAlign val="baseline"/>
        <sz val="10"/>
        <name val="Open Sans"/>
        <family val="2"/>
        <scheme val="none"/>
      </font>
      <numFmt numFmtId="167" formatCode="_([$€-2]\ * #,##0.00_);_([$€-2]\ * \(#,##0.00\);_([$€-2]\ * &quot;-&quot;??_);_(@_)"/>
      <fill>
        <patternFill patternType="solid">
          <fgColor indexed="64"/>
          <bgColor theme="0"/>
        </patternFill>
      </fill>
    </dxf>
    <dxf>
      <font>
        <b val="0"/>
        <i val="0"/>
        <strike val="0"/>
        <condense val="0"/>
        <extend val="0"/>
        <outline val="0"/>
        <shadow val="0"/>
        <u val="none"/>
        <vertAlign val="baseline"/>
        <sz val="11"/>
        <color theme="1"/>
        <name val="Open Sans"/>
        <family val="2"/>
        <scheme val="none"/>
      </font>
      <numFmt numFmtId="176" formatCode="_([$€-2]\ * #,##0_);_([$€-2]\ * \(#,##0\);_([$€-2]\ * &quot;-&quot;??_);_(@_)"/>
    </dxf>
    <dxf>
      <font>
        <b val="0"/>
        <i val="0"/>
        <strike val="0"/>
        <condense val="0"/>
        <extend val="0"/>
        <outline val="0"/>
        <shadow val="0"/>
        <u val="none"/>
        <vertAlign val="baseline"/>
        <sz val="10"/>
        <color theme="1"/>
        <name val="Open Sans"/>
        <family val="2"/>
        <scheme val="none"/>
      </font>
      <numFmt numFmtId="167" formatCode="_([$€-2]\ * #,##0.00_);_([$€-2]\ * \(#,##0.00\);_([$€-2]\ * &quot;-&quot;??_);_(@_)"/>
      <fill>
        <patternFill patternType="solid">
          <fgColor indexed="64"/>
          <bgColor theme="0"/>
        </patternFill>
      </fill>
    </dxf>
    <dxf>
      <font>
        <b val="0"/>
        <i val="0"/>
        <strike val="0"/>
        <condense val="0"/>
        <extend val="0"/>
        <outline val="0"/>
        <shadow val="0"/>
        <u val="none"/>
        <vertAlign val="baseline"/>
        <sz val="11"/>
        <color theme="1"/>
        <name val="Open Sans"/>
        <family val="2"/>
        <scheme val="none"/>
      </font>
      <numFmt numFmtId="176" formatCode="_([$€-2]\ * #,##0_);_([$€-2]\ * \(#,##0\);_([$€-2]\ * &quot;-&quot;??_);_(@_)"/>
    </dxf>
    <dxf>
      <font>
        <strike val="0"/>
        <outline val="0"/>
        <shadow val="0"/>
        <u val="none"/>
        <vertAlign val="baseline"/>
        <sz val="10"/>
        <name val="Open Sans"/>
        <family val="2"/>
        <scheme val="none"/>
      </font>
      <numFmt numFmtId="167" formatCode="_([$€-2]\ * #,##0.00_);_([$€-2]\ * \(#,##0.00\);_([$€-2]\ * &quot;-&quot;??_);_(@_)"/>
      <fill>
        <patternFill patternType="solid">
          <fgColor indexed="64"/>
          <bgColor theme="0"/>
        </patternFill>
      </fill>
    </dxf>
    <dxf>
      <font>
        <b val="0"/>
        <i val="0"/>
        <strike val="0"/>
        <condense val="0"/>
        <extend val="0"/>
        <outline val="0"/>
        <shadow val="0"/>
        <u val="none"/>
        <vertAlign val="baseline"/>
        <sz val="11"/>
        <color theme="1"/>
        <name val="Open Sans"/>
        <family val="2"/>
        <scheme val="none"/>
      </font>
      <numFmt numFmtId="176" formatCode="_([$€-2]\ * #,##0_);_([$€-2]\ * \(#,##0\);_([$€-2]\ * &quot;-&quot;??_);_(@_)"/>
    </dxf>
    <dxf>
      <font>
        <strike val="0"/>
        <outline val="0"/>
        <shadow val="0"/>
        <u val="none"/>
        <vertAlign val="baseline"/>
        <sz val="10"/>
        <name val="Open Sans"/>
        <family val="2"/>
        <scheme val="none"/>
      </font>
      <numFmt numFmtId="167" formatCode="_([$€-2]\ * #,##0.00_);_([$€-2]\ * \(#,##0.00\);_([$€-2]\ * &quot;-&quot;??_);_(@_)"/>
      <fill>
        <patternFill patternType="solid">
          <fgColor indexed="64"/>
          <bgColor theme="0"/>
        </patternFill>
      </fill>
    </dxf>
    <dxf>
      <font>
        <b val="0"/>
        <i val="0"/>
        <strike val="0"/>
        <condense val="0"/>
        <extend val="0"/>
        <outline val="0"/>
        <shadow val="0"/>
        <u val="none"/>
        <vertAlign val="baseline"/>
        <sz val="11"/>
        <color theme="1"/>
        <name val="Open Sans"/>
        <family val="2"/>
        <scheme val="none"/>
      </font>
      <numFmt numFmtId="176" formatCode="_([$€-2]\ * #,##0_);_([$€-2]\ * \(#,##0\);_([$€-2]\ * &quot;-&quot;??_);_(@_)"/>
    </dxf>
    <dxf>
      <font>
        <strike val="0"/>
        <outline val="0"/>
        <shadow val="0"/>
        <u val="none"/>
        <vertAlign val="baseline"/>
        <sz val="10"/>
        <name val="Open Sans"/>
        <family val="2"/>
        <scheme val="none"/>
      </font>
      <numFmt numFmtId="167" formatCode="_([$€-2]\ * #,##0.00_);_([$€-2]\ * \(#,##0.00\);_([$€-2]\ * &quot;-&quot;??_);_(@_)"/>
      <fill>
        <patternFill patternType="solid">
          <fgColor indexed="64"/>
          <bgColor theme="0"/>
        </patternFill>
      </fill>
    </dxf>
    <dxf>
      <font>
        <b val="0"/>
        <i val="0"/>
        <strike val="0"/>
        <condense val="0"/>
        <extend val="0"/>
        <outline val="0"/>
        <shadow val="0"/>
        <u val="none"/>
        <vertAlign val="baseline"/>
        <sz val="11"/>
        <color theme="1"/>
        <name val="Open Sans"/>
        <family val="2"/>
        <scheme val="none"/>
      </font>
      <numFmt numFmtId="176" formatCode="_([$€-2]\ * #,##0_);_([$€-2]\ * \(#,##0\);_([$€-2]\ * &quot;-&quot;??_);_(@_)"/>
    </dxf>
    <dxf>
      <font>
        <strike val="0"/>
        <outline val="0"/>
        <shadow val="0"/>
        <u val="none"/>
        <vertAlign val="baseline"/>
        <sz val="10"/>
        <name val="Open Sans"/>
        <family val="2"/>
        <scheme val="none"/>
      </font>
      <numFmt numFmtId="167" formatCode="_([$€-2]\ * #,##0.00_);_([$€-2]\ * \(#,##0.00\);_([$€-2]\ * &quot;-&quot;??_);_(@_)"/>
      <fill>
        <patternFill patternType="solid">
          <fgColor indexed="64"/>
          <bgColor theme="0"/>
        </patternFill>
      </fill>
    </dxf>
    <dxf>
      <font>
        <strike val="0"/>
        <outline val="0"/>
        <shadow val="0"/>
        <u val="none"/>
        <vertAlign val="baseline"/>
        <sz val="10"/>
        <name val="Open Sans"/>
        <family val="2"/>
        <scheme val="none"/>
      </font>
      <numFmt numFmtId="30" formatCode="@"/>
      <fill>
        <patternFill patternType="solid">
          <fgColor indexed="64"/>
          <bgColor theme="0"/>
        </patternFill>
      </fill>
    </dxf>
    <dxf>
      <font>
        <b val="0"/>
        <i val="0"/>
        <strike val="0"/>
        <condense val="0"/>
        <extend val="0"/>
        <outline val="0"/>
        <shadow val="0"/>
        <u val="none"/>
        <vertAlign val="baseline"/>
        <sz val="11"/>
        <color theme="1"/>
        <name val="Open Sans"/>
        <family val="2"/>
        <scheme val="none"/>
      </font>
    </dxf>
    <dxf>
      <font>
        <strike val="0"/>
        <outline val="0"/>
        <shadow val="0"/>
        <u val="none"/>
        <vertAlign val="baseline"/>
        <name val="Open Sans"/>
        <family val="2"/>
        <scheme val="none"/>
      </font>
    </dxf>
    <dxf>
      <font>
        <strike val="0"/>
        <outline val="0"/>
        <shadow val="0"/>
        <u val="none"/>
        <vertAlign val="baseline"/>
        <sz val="10"/>
        <name val="Open Sans"/>
        <family val="2"/>
        <scheme val="none"/>
      </font>
      <fill>
        <patternFill patternType="solid">
          <fgColor indexed="64"/>
          <bgColor theme="0"/>
        </patternFill>
      </fill>
    </dxf>
    <dxf>
      <font>
        <strike val="0"/>
        <outline val="0"/>
        <shadow val="0"/>
        <u val="none"/>
        <vertAlign val="baseline"/>
        <name val="Open Sans"/>
        <family val="2"/>
        <scheme val="none"/>
      </font>
    </dxf>
    <dxf>
      <font>
        <b val="0"/>
        <strike val="0"/>
        <outline val="0"/>
        <shadow val="0"/>
        <u val="none"/>
        <vertAlign val="baseline"/>
        <sz val="11"/>
        <color auto="1"/>
        <family val="2"/>
      </font>
      <fill>
        <patternFill patternType="solid">
          <fgColor indexed="64"/>
          <bgColor theme="0"/>
        </patternFill>
      </fill>
      <protection locked="1" hidden="1"/>
    </dxf>
    <dxf>
      <font>
        <b val="0"/>
        <strike val="0"/>
        <outline val="0"/>
        <shadow val="0"/>
        <u val="none"/>
        <vertAlign val="baseline"/>
        <sz val="11"/>
        <color auto="1"/>
        <family val="2"/>
      </font>
      <fill>
        <patternFill patternType="solid">
          <fgColor indexed="64"/>
          <bgColor theme="0"/>
        </patternFill>
      </fill>
      <protection locked="1" hidden="1"/>
    </dxf>
    <dxf>
      <font>
        <b val="0"/>
        <strike val="0"/>
        <outline val="0"/>
        <shadow val="0"/>
        <u val="none"/>
        <vertAlign val="baseline"/>
        <sz val="11"/>
        <color auto="1"/>
        <family val="2"/>
      </font>
      <numFmt numFmtId="186" formatCode="dd/mm/yyyy"/>
      <fill>
        <patternFill patternType="solid">
          <fgColor indexed="64"/>
          <bgColor theme="0"/>
        </patternFill>
      </fill>
      <protection locked="1" hidden="1"/>
    </dxf>
    <dxf>
      <font>
        <b val="0"/>
        <strike val="0"/>
        <outline val="0"/>
        <shadow val="0"/>
        <u val="none"/>
        <vertAlign val="baseline"/>
        <sz val="11"/>
        <color auto="1"/>
        <family val="2"/>
      </font>
      <fill>
        <patternFill patternType="solid">
          <fgColor indexed="64"/>
          <bgColor rgb="FF03BF8C"/>
        </patternFill>
      </fill>
      <protection locked="0" hidden="1"/>
    </dxf>
    <dxf>
      <font>
        <b val="0"/>
        <strike val="0"/>
        <outline val="0"/>
        <shadow val="0"/>
        <u val="none"/>
        <vertAlign val="baseline"/>
        <sz val="11"/>
        <color auto="1"/>
        <family val="2"/>
      </font>
      <fill>
        <patternFill patternType="solid">
          <fgColor indexed="64"/>
          <bgColor theme="0"/>
        </patternFill>
      </fill>
      <protection locked="1" hidden="1"/>
    </dxf>
    <dxf>
      <font>
        <b val="0"/>
        <strike val="0"/>
        <outline val="0"/>
        <shadow val="0"/>
        <u val="none"/>
        <vertAlign val="baseline"/>
        <sz val="11"/>
        <color auto="1"/>
        <name val="Open Sans"/>
        <family val="2"/>
        <scheme val="none"/>
      </font>
      <fill>
        <patternFill patternType="solid">
          <fgColor indexed="64"/>
          <bgColor theme="0"/>
        </patternFill>
      </fill>
      <protection locked="1" hidden="1"/>
    </dxf>
    <dxf>
      <font>
        <b val="0"/>
        <strike val="0"/>
        <outline val="0"/>
        <shadow val="0"/>
        <u val="none"/>
        <vertAlign val="baseline"/>
        <sz val="11"/>
        <color auto="1"/>
        <family val="2"/>
      </font>
      <fill>
        <patternFill patternType="solid">
          <fgColor indexed="64"/>
          <bgColor theme="0"/>
        </patternFill>
      </fill>
      <protection locked="1" hidden="1"/>
    </dxf>
    <dxf>
      <font>
        <b val="0"/>
        <strike val="0"/>
        <outline val="0"/>
        <shadow val="0"/>
        <u val="none"/>
        <vertAlign val="baseline"/>
        <sz val="11"/>
        <color auto="1"/>
        <family val="2"/>
      </font>
      <fill>
        <patternFill patternType="solid">
          <fgColor indexed="64"/>
          <bgColor theme="0"/>
        </patternFill>
      </fill>
      <protection locked="1" hidden="1"/>
    </dxf>
    <dxf>
      <font>
        <b/>
        <i val="0"/>
        <strike val="0"/>
        <condense val="0"/>
        <extend val="0"/>
        <outline val="0"/>
        <shadow val="0"/>
        <u val="none"/>
        <vertAlign val="baseline"/>
        <sz val="11"/>
        <color auto="1"/>
        <name val="Open Sans"/>
        <family val="2"/>
        <scheme val="none"/>
      </font>
      <fill>
        <patternFill patternType="solid">
          <fgColor indexed="64"/>
          <bgColor theme="0"/>
        </patternFill>
      </fill>
      <protection locked="1" hidden="1"/>
    </dxf>
    <dxf>
      <font>
        <b val="0"/>
        <i val="0"/>
        <strike val="0"/>
        <condense val="0"/>
        <extend val="0"/>
        <outline val="0"/>
        <shadow val="0"/>
        <u val="none"/>
        <vertAlign val="baseline"/>
        <sz val="11"/>
        <color theme="1"/>
        <name val="Open Sans"/>
        <family val="2"/>
        <scheme val="none"/>
      </font>
      <protection locked="1" hidden="1"/>
    </dxf>
    <dxf>
      <font>
        <b val="0"/>
        <i val="0"/>
        <strike val="0"/>
        <condense val="0"/>
        <extend val="0"/>
        <outline val="0"/>
        <shadow val="0"/>
        <u val="none"/>
        <vertAlign val="baseline"/>
        <sz val="11"/>
        <color theme="1"/>
        <name val="Open Sans"/>
        <family val="2"/>
        <scheme val="none"/>
      </font>
      <protection locked="1" hidden="1"/>
    </dxf>
    <dxf>
      <font>
        <b val="0"/>
        <i val="0"/>
        <strike val="0"/>
        <condense val="0"/>
        <extend val="0"/>
        <outline val="0"/>
        <shadow val="0"/>
        <u val="none"/>
        <vertAlign val="baseline"/>
        <sz val="11"/>
        <color theme="1"/>
        <name val="Open Sans"/>
        <family val="2"/>
        <scheme val="none"/>
      </font>
      <fill>
        <patternFill patternType="none">
          <fgColor indexed="64"/>
          <bgColor auto="1"/>
        </patternFill>
      </fill>
      <protection locked="1" hidden="1"/>
    </dxf>
    <dxf>
      <font>
        <b val="0"/>
        <i val="0"/>
        <strike val="0"/>
        <condense val="0"/>
        <extend val="0"/>
        <outline val="0"/>
        <shadow val="0"/>
        <u val="none"/>
        <vertAlign val="baseline"/>
        <sz val="11"/>
        <color theme="1"/>
        <name val="Open Sans"/>
        <family val="2"/>
        <scheme val="none"/>
      </font>
      <protection locked="1" hidden="1"/>
    </dxf>
    <dxf>
      <font>
        <b val="0"/>
        <i val="0"/>
        <strike val="0"/>
        <condense val="0"/>
        <extend val="0"/>
        <outline val="0"/>
        <shadow val="0"/>
        <u val="none"/>
        <vertAlign val="baseline"/>
        <sz val="11"/>
        <color theme="1"/>
        <name val="Open Sans"/>
        <family val="2"/>
        <scheme val="none"/>
      </font>
      <fill>
        <patternFill patternType="none">
          <fgColor indexed="64"/>
          <bgColor auto="1"/>
        </patternFill>
      </fill>
      <protection locked="1" hidden="1"/>
    </dxf>
    <dxf>
      <font>
        <b val="0"/>
        <i val="0"/>
        <strike val="0"/>
        <condense val="0"/>
        <extend val="0"/>
        <outline val="0"/>
        <shadow val="0"/>
        <u val="none"/>
        <vertAlign val="baseline"/>
        <sz val="11"/>
        <color theme="1"/>
        <name val="Open Sans"/>
        <family val="2"/>
        <scheme val="none"/>
      </font>
      <protection locked="1" hidden="1"/>
    </dxf>
    <dxf>
      <font>
        <b val="0"/>
        <i val="0"/>
        <strike val="0"/>
        <condense val="0"/>
        <extend val="0"/>
        <outline val="0"/>
        <shadow val="0"/>
        <u val="none"/>
        <vertAlign val="baseline"/>
        <sz val="11"/>
        <color theme="1"/>
        <name val="Open Sans"/>
        <family val="2"/>
        <scheme val="none"/>
      </font>
      <fill>
        <patternFill patternType="none">
          <fgColor indexed="64"/>
          <bgColor auto="1"/>
        </patternFill>
      </fill>
      <protection locked="1" hidden="1"/>
    </dxf>
    <dxf>
      <font>
        <b val="0"/>
        <i val="0"/>
        <strike val="0"/>
        <condense val="0"/>
        <extend val="0"/>
        <outline val="0"/>
        <shadow val="0"/>
        <u val="none"/>
        <vertAlign val="baseline"/>
        <sz val="11"/>
        <color theme="1"/>
        <name val="Open Sans"/>
        <family val="2"/>
        <scheme val="none"/>
      </font>
      <protection locked="1" hidden="1"/>
    </dxf>
    <dxf>
      <font>
        <b val="0"/>
        <i val="0"/>
        <strike val="0"/>
        <condense val="0"/>
        <extend val="0"/>
        <outline val="0"/>
        <shadow val="0"/>
        <u val="none"/>
        <vertAlign val="baseline"/>
        <sz val="11"/>
        <color theme="1"/>
        <name val="Open Sans"/>
        <family val="2"/>
        <scheme val="none"/>
      </font>
      <numFmt numFmtId="35" formatCode="_ * #,##0.00_ ;_ * \-#,##0.00_ ;_ * &quot;-&quot;??_ ;_ @_ "/>
      <fill>
        <patternFill patternType="none">
          <fgColor indexed="64"/>
          <bgColor indexed="65"/>
        </patternFill>
      </fill>
      <protection locked="1" hidden="1"/>
    </dxf>
    <dxf>
      <font>
        <b val="0"/>
        <i val="0"/>
        <strike val="0"/>
        <condense val="0"/>
        <extend val="0"/>
        <outline val="0"/>
        <shadow val="0"/>
        <u val="none"/>
        <vertAlign val="baseline"/>
        <sz val="11"/>
        <color theme="1"/>
        <name val="Open Sans"/>
        <family val="2"/>
        <scheme val="none"/>
      </font>
      <protection locked="1" hidden="1"/>
    </dxf>
    <dxf>
      <font>
        <b val="0"/>
        <i val="0"/>
        <strike val="0"/>
        <condense val="0"/>
        <extend val="0"/>
        <outline val="0"/>
        <shadow val="0"/>
        <u val="none"/>
        <vertAlign val="baseline"/>
        <sz val="11"/>
        <color theme="1"/>
        <name val="Open Sans"/>
        <family val="2"/>
        <scheme val="none"/>
      </font>
      <numFmt numFmtId="35" formatCode="_ * #,##0.00_ ;_ * \-#,##0.00_ ;_ * &quot;-&quot;??_ ;_ @_ "/>
      <fill>
        <patternFill patternType="none">
          <fgColor indexed="64"/>
          <bgColor indexed="65"/>
        </patternFill>
      </fill>
      <protection locked="1" hidden="1"/>
    </dxf>
    <dxf>
      <font>
        <b val="0"/>
        <i val="0"/>
        <strike val="0"/>
        <condense val="0"/>
        <extend val="0"/>
        <outline val="0"/>
        <shadow val="0"/>
        <u val="none"/>
        <vertAlign val="baseline"/>
        <sz val="11"/>
        <color theme="1"/>
        <name val="Open Sans"/>
        <family val="2"/>
        <scheme val="none"/>
      </font>
      <protection locked="1" hidden="1"/>
    </dxf>
    <dxf>
      <font>
        <b val="0"/>
        <i val="0"/>
        <strike val="0"/>
        <condense val="0"/>
        <extend val="0"/>
        <outline val="0"/>
        <shadow val="0"/>
        <u val="none"/>
        <vertAlign val="baseline"/>
        <sz val="11"/>
        <color theme="1"/>
        <name val="Open Sans"/>
        <family val="2"/>
        <scheme val="none"/>
      </font>
      <fill>
        <patternFill patternType="none">
          <fgColor indexed="64"/>
          <bgColor indexed="65"/>
        </patternFill>
      </fill>
      <protection locked="1" hidden="1"/>
    </dxf>
    <dxf>
      <font>
        <b val="0"/>
        <i val="0"/>
        <strike val="0"/>
        <condense val="0"/>
        <extend val="0"/>
        <outline val="0"/>
        <shadow val="0"/>
        <u val="none"/>
        <vertAlign val="baseline"/>
        <sz val="11"/>
        <color theme="1"/>
        <name val="Open Sans"/>
        <family val="2"/>
        <scheme val="none"/>
      </font>
      <protection locked="1" hidden="1"/>
    </dxf>
    <dxf>
      <font>
        <b val="0"/>
        <i val="0"/>
        <strike val="0"/>
        <condense val="0"/>
        <extend val="0"/>
        <outline val="0"/>
        <shadow val="0"/>
        <u val="none"/>
        <vertAlign val="baseline"/>
        <sz val="11"/>
        <color theme="1"/>
        <name val="Open Sans"/>
        <family val="2"/>
        <scheme val="none"/>
      </font>
      <fill>
        <patternFill patternType="none">
          <fgColor indexed="64"/>
          <bgColor auto="1"/>
        </patternFill>
      </fill>
      <protection locked="1" hidden="1"/>
    </dxf>
    <dxf>
      <font>
        <b val="0"/>
        <i val="0"/>
        <strike val="0"/>
        <condense val="0"/>
        <extend val="0"/>
        <outline val="0"/>
        <shadow val="0"/>
        <u val="none"/>
        <vertAlign val="baseline"/>
        <sz val="11"/>
        <color theme="1"/>
        <name val="Open Sans"/>
        <family val="2"/>
        <scheme val="none"/>
      </font>
      <protection locked="1" hidden="1"/>
    </dxf>
    <dxf>
      <font>
        <b val="0"/>
        <i val="0"/>
        <strike val="0"/>
        <condense val="0"/>
        <extend val="0"/>
        <outline val="0"/>
        <shadow val="0"/>
        <u val="none"/>
        <vertAlign val="baseline"/>
        <sz val="11"/>
        <color theme="1"/>
        <name val="Open Sans"/>
        <family val="2"/>
        <scheme val="none"/>
      </font>
      <numFmt numFmtId="35" formatCode="_ * #,##0.00_ ;_ * \-#,##0.00_ ;_ * &quot;-&quot;??_ ;_ @_ "/>
      <fill>
        <patternFill patternType="none">
          <fgColor indexed="64"/>
          <bgColor indexed="65"/>
        </patternFill>
      </fill>
      <protection locked="1" hidden="1"/>
    </dxf>
    <dxf>
      <font>
        <b val="0"/>
        <i val="0"/>
        <strike val="0"/>
        <condense val="0"/>
        <extend val="0"/>
        <outline val="0"/>
        <shadow val="0"/>
        <u val="none"/>
        <vertAlign val="baseline"/>
        <sz val="11"/>
        <color theme="1"/>
        <name val="Open Sans"/>
        <family val="2"/>
        <scheme val="none"/>
      </font>
      <protection locked="1" hidden="1"/>
    </dxf>
    <dxf>
      <font>
        <b val="0"/>
        <i val="0"/>
        <strike val="0"/>
        <condense val="0"/>
        <extend val="0"/>
        <outline val="0"/>
        <shadow val="0"/>
        <u val="none"/>
        <vertAlign val="baseline"/>
        <sz val="11"/>
        <color theme="1"/>
        <name val="Open Sans"/>
        <family val="2"/>
        <scheme val="none"/>
      </font>
      <numFmt numFmtId="35" formatCode="_ * #,##0.00_ ;_ * \-#,##0.00_ ;_ * &quot;-&quot;??_ ;_ @_ "/>
      <fill>
        <patternFill patternType="none">
          <fgColor indexed="64"/>
          <bgColor indexed="65"/>
        </patternFill>
      </fill>
      <protection locked="1" hidden="1"/>
    </dxf>
    <dxf>
      <font>
        <b val="0"/>
        <i val="0"/>
        <strike val="0"/>
        <condense val="0"/>
        <extend val="0"/>
        <outline val="0"/>
        <shadow val="0"/>
        <u val="none"/>
        <vertAlign val="baseline"/>
        <sz val="11"/>
        <color theme="1"/>
        <name val="Open Sans"/>
        <family val="2"/>
        <scheme val="none"/>
      </font>
      <fill>
        <patternFill patternType="none">
          <fgColor indexed="64"/>
          <bgColor auto="1"/>
        </patternFill>
      </fill>
      <protection locked="1" hidden="1"/>
    </dxf>
    <dxf>
      <font>
        <b val="0"/>
        <i val="0"/>
        <strike val="0"/>
        <condense val="0"/>
        <extend val="0"/>
        <outline val="0"/>
        <shadow val="0"/>
        <u val="none"/>
        <vertAlign val="baseline"/>
        <sz val="11"/>
        <color theme="1"/>
        <name val="Open Sans"/>
        <family val="2"/>
        <scheme val="none"/>
      </font>
      <protection locked="1" hidden="1"/>
    </dxf>
    <dxf>
      <font>
        <b val="0"/>
        <i val="0"/>
        <strike val="0"/>
        <condense val="0"/>
        <extend val="0"/>
        <outline val="0"/>
        <shadow val="0"/>
        <u val="none"/>
        <vertAlign val="baseline"/>
        <sz val="11"/>
        <color theme="1"/>
        <name val="Open Sans"/>
        <family val="2"/>
        <scheme val="none"/>
      </font>
      <fill>
        <patternFill patternType="none">
          <fgColor indexed="64"/>
          <bgColor auto="1"/>
        </patternFill>
      </fill>
      <protection locked="1" hidden="1"/>
    </dxf>
    <dxf>
      <font>
        <b val="0"/>
        <i val="0"/>
        <strike val="0"/>
        <condense val="0"/>
        <extend val="0"/>
        <outline val="0"/>
        <shadow val="0"/>
        <u val="none"/>
        <vertAlign val="baseline"/>
        <sz val="11"/>
        <color theme="1"/>
        <name val="Open Sans"/>
        <family val="2"/>
        <scheme val="none"/>
      </font>
      <fill>
        <patternFill patternType="none">
          <fgColor indexed="64"/>
          <bgColor auto="1"/>
        </patternFill>
      </fill>
      <protection locked="1" hidden="1"/>
    </dxf>
    <dxf>
      <font>
        <b val="0"/>
        <i val="0"/>
        <strike val="0"/>
        <condense val="0"/>
        <extend val="0"/>
        <outline val="0"/>
        <shadow val="0"/>
        <u val="none"/>
        <vertAlign val="baseline"/>
        <sz val="11"/>
        <color theme="1"/>
        <name val="Open Sans"/>
        <family val="2"/>
        <scheme val="none"/>
      </font>
      <fill>
        <patternFill patternType="solid">
          <fgColor indexed="64"/>
          <bgColor theme="7" tint="0.59999389629810485"/>
        </patternFill>
      </fill>
      <protection locked="0" hidden="1"/>
    </dxf>
    <dxf>
      <font>
        <b val="0"/>
        <i val="0"/>
        <strike val="0"/>
        <condense val="0"/>
        <extend val="0"/>
        <outline val="0"/>
        <shadow val="0"/>
        <u val="none"/>
        <vertAlign val="baseline"/>
        <sz val="11"/>
        <color theme="1"/>
        <name val="Open Sans"/>
        <family val="2"/>
        <scheme val="none"/>
      </font>
      <numFmt numFmtId="168" formatCode="0.0"/>
      <fill>
        <patternFill patternType="none">
          <fgColor indexed="64"/>
          <bgColor auto="1"/>
        </patternFill>
      </fill>
      <protection locked="1" hidden="1"/>
    </dxf>
    <dxf>
      <font>
        <b val="0"/>
        <i val="0"/>
        <strike val="0"/>
        <condense val="0"/>
        <extend val="0"/>
        <outline val="0"/>
        <shadow val="0"/>
        <u val="none"/>
        <vertAlign val="baseline"/>
        <sz val="11"/>
        <color theme="1"/>
        <name val="Open Sans"/>
        <family val="2"/>
        <scheme val="none"/>
      </font>
      <fill>
        <patternFill patternType="solid">
          <fgColor indexed="64"/>
          <bgColor theme="7" tint="0.59999389629810485"/>
        </patternFill>
      </fill>
      <protection locked="0" hidden="1"/>
    </dxf>
    <dxf>
      <font>
        <b val="0"/>
        <i val="0"/>
        <strike val="0"/>
        <condense val="0"/>
        <extend val="0"/>
        <outline val="0"/>
        <shadow val="0"/>
        <u val="none"/>
        <vertAlign val="baseline"/>
        <sz val="11"/>
        <color theme="1"/>
        <name val="Open Sans"/>
        <family val="2"/>
        <scheme val="none"/>
      </font>
      <numFmt numFmtId="168" formatCode="0.0"/>
      <protection locked="1" hidden="1"/>
    </dxf>
    <dxf>
      <font>
        <b val="0"/>
        <i val="0"/>
        <strike val="0"/>
        <condense val="0"/>
        <extend val="0"/>
        <outline val="0"/>
        <shadow val="0"/>
        <u val="none"/>
        <vertAlign val="baseline"/>
        <sz val="11"/>
        <color theme="1"/>
        <name val="Open Sans"/>
        <family val="2"/>
        <scheme val="none"/>
      </font>
      <protection locked="1" hidden="1"/>
    </dxf>
    <dxf>
      <font>
        <b val="0"/>
        <i val="0"/>
        <strike val="0"/>
        <condense val="0"/>
        <extend val="0"/>
        <outline val="0"/>
        <shadow val="0"/>
        <u val="none"/>
        <vertAlign val="baseline"/>
        <sz val="11"/>
        <color theme="1"/>
        <name val="Open Sans"/>
        <family val="2"/>
        <scheme val="none"/>
      </font>
      <numFmt numFmtId="169" formatCode="_(* #,##0_);_(* \(#,##0\);_(* &quot;-&quot;??_);_(@_)"/>
      <protection locked="1" hidden="1"/>
    </dxf>
    <dxf>
      <font>
        <b val="0"/>
        <i val="0"/>
        <strike val="0"/>
        <condense val="0"/>
        <extend val="0"/>
        <outline val="0"/>
        <shadow val="0"/>
        <u val="none"/>
        <vertAlign val="baseline"/>
        <sz val="11"/>
        <color theme="1"/>
        <name val="Open Sans"/>
        <family val="2"/>
        <scheme val="none"/>
      </font>
      <protection locked="1" hidden="1"/>
    </dxf>
    <dxf>
      <font>
        <b val="0"/>
        <i val="0"/>
        <strike val="0"/>
        <condense val="0"/>
        <extend val="0"/>
        <outline val="0"/>
        <shadow val="0"/>
        <u val="none"/>
        <vertAlign val="baseline"/>
        <sz val="11"/>
        <color theme="1"/>
        <name val="Open Sans"/>
        <family val="2"/>
        <scheme val="none"/>
      </font>
      <numFmt numFmtId="2" formatCode="0.00"/>
      <protection locked="1" hidden="1"/>
    </dxf>
    <dxf>
      <font>
        <b val="0"/>
        <i val="0"/>
        <strike val="0"/>
        <condense val="0"/>
        <extend val="0"/>
        <outline val="0"/>
        <shadow val="0"/>
        <u val="none"/>
        <vertAlign val="baseline"/>
        <sz val="11"/>
        <color theme="1"/>
        <name val="Open Sans"/>
        <family val="2"/>
        <scheme val="none"/>
      </font>
      <protection locked="1" hidden="1"/>
    </dxf>
    <dxf>
      <font>
        <b val="0"/>
        <i val="0"/>
        <strike val="0"/>
        <condense val="0"/>
        <extend val="0"/>
        <outline val="0"/>
        <shadow val="0"/>
        <u val="none"/>
        <vertAlign val="baseline"/>
        <sz val="11"/>
        <color theme="1"/>
        <name val="Open Sans"/>
        <family val="2"/>
        <scheme val="none"/>
      </font>
      <numFmt numFmtId="165" formatCode="_(* #,##0.00_);_(* \(#,##0.00\);_(* &quot;-&quot;??_);_(@_)"/>
      <protection locked="1" hidden="1"/>
    </dxf>
    <dxf>
      <font>
        <b val="0"/>
        <i val="0"/>
        <strike val="0"/>
        <condense val="0"/>
        <extend val="0"/>
        <outline val="0"/>
        <shadow val="0"/>
        <u val="none"/>
        <vertAlign val="baseline"/>
        <sz val="11"/>
        <color theme="1"/>
        <name val="Open Sans"/>
        <family val="2"/>
        <scheme val="none"/>
      </font>
      <protection locked="1" hidden="1"/>
    </dxf>
    <dxf>
      <font>
        <b val="0"/>
        <i val="0"/>
        <strike val="0"/>
        <condense val="0"/>
        <extend val="0"/>
        <outline val="0"/>
        <shadow val="0"/>
        <u val="none"/>
        <vertAlign val="baseline"/>
        <sz val="11"/>
        <color theme="1"/>
        <name val="Open Sans"/>
        <family val="2"/>
        <scheme val="none"/>
      </font>
      <numFmt numFmtId="2" formatCode="0.00"/>
      <protection locked="1" hidden="1"/>
    </dxf>
    <dxf>
      <font>
        <b val="0"/>
        <i val="0"/>
        <strike val="0"/>
        <condense val="0"/>
        <extend val="0"/>
        <outline val="0"/>
        <shadow val="0"/>
        <u val="none"/>
        <vertAlign val="baseline"/>
        <sz val="11"/>
        <color theme="1"/>
        <name val="Open Sans"/>
        <family val="2"/>
        <scheme val="none"/>
      </font>
      <numFmt numFmtId="0" formatCode="General"/>
      <protection locked="1" hidden="1"/>
    </dxf>
    <dxf>
      <font>
        <b val="0"/>
        <i val="0"/>
        <strike val="0"/>
        <condense val="0"/>
        <extend val="0"/>
        <outline val="0"/>
        <shadow val="0"/>
        <u val="none"/>
        <vertAlign val="baseline"/>
        <sz val="11"/>
        <color theme="1"/>
        <name val="Open Sans"/>
        <family val="2"/>
        <scheme val="none"/>
      </font>
      <numFmt numFmtId="169" formatCode="_(* #,##0_);_(* \(#,##0\);_(* &quot;-&quot;??_);_(@_)"/>
      <protection locked="1" hidden="1"/>
    </dxf>
    <dxf>
      <font>
        <b val="0"/>
        <i val="0"/>
        <strike val="0"/>
        <condense val="0"/>
        <extend val="0"/>
        <outline val="0"/>
        <shadow val="0"/>
        <u val="none"/>
        <vertAlign val="baseline"/>
        <sz val="11"/>
        <color theme="1"/>
        <name val="Open Sans"/>
        <family val="2"/>
        <scheme val="none"/>
      </font>
      <numFmt numFmtId="0" formatCode="General"/>
      <protection locked="1" hidden="1"/>
    </dxf>
    <dxf>
      <font>
        <b val="0"/>
        <i val="0"/>
        <strike val="0"/>
        <condense val="0"/>
        <extend val="0"/>
        <outline val="0"/>
        <shadow val="0"/>
        <u val="none"/>
        <vertAlign val="baseline"/>
        <sz val="11"/>
        <color theme="1"/>
        <name val="Open Sans"/>
        <family val="2"/>
        <scheme val="none"/>
      </font>
      <protection locked="1" hidden="1"/>
    </dxf>
    <dxf>
      <font>
        <b val="0"/>
        <i val="0"/>
        <strike val="0"/>
        <condense val="0"/>
        <extend val="0"/>
        <outline val="0"/>
        <shadow val="0"/>
        <u val="none"/>
        <vertAlign val="baseline"/>
        <sz val="11"/>
        <color theme="1"/>
        <name val="Open Sans"/>
        <family val="2"/>
        <scheme val="none"/>
      </font>
      <protection locked="1" hidden="1"/>
    </dxf>
    <dxf>
      <font>
        <b val="0"/>
        <i val="0"/>
        <strike val="0"/>
        <condense val="0"/>
        <extend val="0"/>
        <outline val="0"/>
        <shadow val="0"/>
        <u val="none"/>
        <vertAlign val="baseline"/>
        <sz val="11"/>
        <color theme="1"/>
        <name val="Open Sans"/>
        <family val="2"/>
        <scheme val="none"/>
      </font>
      <numFmt numFmtId="1" formatCode="0"/>
      <protection locked="1" hidden="1"/>
    </dxf>
    <dxf>
      <font>
        <b val="0"/>
        <i val="0"/>
        <strike val="0"/>
        <condense val="0"/>
        <extend val="0"/>
        <outline val="0"/>
        <shadow val="0"/>
        <u val="none"/>
        <vertAlign val="baseline"/>
        <sz val="11"/>
        <color theme="1"/>
        <name val="Open Sans"/>
        <family val="2"/>
        <scheme val="none"/>
      </font>
      <numFmt numFmtId="0" formatCode="General"/>
    </dxf>
    <dxf>
      <font>
        <b val="0"/>
        <i val="0"/>
        <strike val="0"/>
        <condense val="0"/>
        <extend val="0"/>
        <outline val="0"/>
        <shadow val="0"/>
        <u val="none"/>
        <vertAlign val="baseline"/>
        <sz val="11"/>
        <color theme="1"/>
        <name val="Open Sans"/>
        <family val="2"/>
        <scheme val="none"/>
      </font>
      <numFmt numFmtId="1" formatCode="0"/>
      <protection locked="1" hidden="1"/>
    </dxf>
    <dxf>
      <font>
        <b val="0"/>
        <i val="0"/>
        <strike val="0"/>
        <condense val="0"/>
        <extend val="0"/>
        <outline val="0"/>
        <shadow val="0"/>
        <u val="none"/>
        <vertAlign val="baseline"/>
        <sz val="11"/>
        <color theme="1"/>
        <name val="Open Sans"/>
        <family val="2"/>
        <scheme val="none"/>
      </font>
      <numFmt numFmtId="0" formatCode="General"/>
    </dxf>
    <dxf>
      <font>
        <b val="0"/>
        <i val="0"/>
        <strike val="0"/>
        <condense val="0"/>
        <extend val="0"/>
        <outline val="0"/>
        <shadow val="0"/>
        <u val="none"/>
        <vertAlign val="baseline"/>
        <sz val="11"/>
        <color theme="1"/>
        <name val="Open Sans"/>
        <family val="2"/>
        <scheme val="none"/>
      </font>
      <numFmt numFmtId="1" formatCode="0"/>
      <protection locked="1" hidden="1"/>
    </dxf>
    <dxf>
      <font>
        <b val="0"/>
        <i val="0"/>
        <strike val="0"/>
        <condense val="0"/>
        <extend val="0"/>
        <outline val="0"/>
        <shadow val="0"/>
        <u val="none"/>
        <vertAlign val="baseline"/>
        <sz val="11"/>
        <color theme="1"/>
        <name val="Open Sans"/>
        <family val="2"/>
        <scheme val="none"/>
      </font>
      <numFmt numFmtId="168" formatCode="0.0"/>
      <protection locked="1" hidden="1"/>
    </dxf>
    <dxf>
      <font>
        <b val="0"/>
        <i val="0"/>
        <strike val="0"/>
        <condense val="0"/>
        <extend val="0"/>
        <outline val="0"/>
        <shadow val="0"/>
        <u val="none"/>
        <vertAlign val="baseline"/>
        <sz val="11"/>
        <color theme="1"/>
        <name val="Open Sans"/>
        <family val="2"/>
        <scheme val="none"/>
      </font>
      <numFmt numFmtId="0" formatCode="General"/>
    </dxf>
    <dxf>
      <font>
        <b val="0"/>
        <i val="0"/>
        <strike val="0"/>
        <condense val="0"/>
        <extend val="0"/>
        <outline val="0"/>
        <shadow val="0"/>
        <u val="none"/>
        <vertAlign val="baseline"/>
        <sz val="11"/>
        <color theme="1"/>
        <name val="Open Sans"/>
        <family val="2"/>
        <scheme val="none"/>
      </font>
      <numFmt numFmtId="0" formatCode="General"/>
      <protection locked="1" hidden="1"/>
    </dxf>
    <dxf>
      <font>
        <b val="0"/>
        <i val="0"/>
        <strike val="0"/>
        <condense val="0"/>
        <extend val="0"/>
        <outline val="0"/>
        <shadow val="0"/>
        <u val="none"/>
        <vertAlign val="baseline"/>
        <sz val="11"/>
        <color theme="1"/>
        <name val="Open Sans"/>
        <family val="2"/>
        <scheme val="none"/>
      </font>
      <protection locked="1" hidden="1"/>
    </dxf>
    <dxf>
      <font>
        <b val="0"/>
        <i val="0"/>
        <strike val="0"/>
        <condense val="0"/>
        <extend val="0"/>
        <outline val="0"/>
        <shadow val="0"/>
        <u val="none"/>
        <vertAlign val="baseline"/>
        <sz val="11"/>
        <color theme="1"/>
        <name val="Open Sans"/>
        <family val="2"/>
        <scheme val="none"/>
      </font>
      <numFmt numFmtId="1" formatCode="0"/>
      <protection locked="1" hidden="1"/>
    </dxf>
    <dxf>
      <font>
        <b val="0"/>
        <i val="0"/>
        <strike val="0"/>
        <condense val="0"/>
        <extend val="0"/>
        <outline val="0"/>
        <shadow val="0"/>
        <u val="none"/>
        <vertAlign val="baseline"/>
        <sz val="11"/>
        <color theme="1"/>
        <name val="Open Sans"/>
        <family val="2"/>
        <scheme val="none"/>
      </font>
      <numFmt numFmtId="1" formatCode="0"/>
      <fill>
        <patternFill patternType="solid">
          <fgColor indexed="64"/>
          <bgColor theme="7" tint="0.59999389629810485"/>
        </patternFill>
      </fill>
      <protection locked="1" hidden="1"/>
    </dxf>
    <dxf>
      <font>
        <b val="0"/>
        <i val="0"/>
        <strike val="0"/>
        <condense val="0"/>
        <extend val="0"/>
        <outline val="0"/>
        <shadow val="0"/>
        <u val="none"/>
        <vertAlign val="baseline"/>
        <sz val="11"/>
        <color theme="1"/>
        <name val="Open Sans"/>
        <family val="2"/>
        <scheme val="none"/>
      </font>
      <fill>
        <patternFill patternType="solid">
          <fgColor indexed="64"/>
          <bgColor theme="7" tint="0.59999389629810485"/>
        </patternFill>
      </fill>
      <protection locked="0" hidden="1"/>
    </dxf>
    <dxf>
      <font>
        <strike val="0"/>
        <outline val="0"/>
        <shadow val="0"/>
        <u val="none"/>
        <vertAlign val="baseline"/>
        <name val="Open Sans"/>
        <family val="2"/>
        <scheme val="none"/>
      </font>
      <fill>
        <patternFill patternType="none">
          <fgColor indexed="64"/>
          <bgColor auto="1"/>
        </patternFill>
      </fill>
      <protection locked="1" hidden="1"/>
    </dxf>
    <dxf>
      <font>
        <strike val="0"/>
        <outline val="0"/>
        <shadow val="0"/>
        <u val="none"/>
        <vertAlign val="baseline"/>
        <name val="Open Sans"/>
        <family val="2"/>
        <scheme val="none"/>
      </font>
      <fill>
        <patternFill patternType="none">
          <fgColor indexed="64"/>
          <bgColor auto="1"/>
        </patternFill>
      </fill>
      <protection locked="1" hidden="1"/>
    </dxf>
    <dxf>
      <font>
        <b val="0"/>
        <i val="0"/>
        <strike val="0"/>
        <condense val="0"/>
        <extend val="0"/>
        <outline val="0"/>
        <shadow val="0"/>
        <u val="none"/>
        <vertAlign val="baseline"/>
        <sz val="11"/>
        <color theme="1"/>
        <name val="Open Sans"/>
        <family val="2"/>
        <scheme val="none"/>
      </font>
      <numFmt numFmtId="171" formatCode="_ [$€-413]\ * #,##0_ ;_ [$€-413]\ * \-#,##0_ ;_ [$€-413]\ * &quot;-&quot;??_ ;_ @_ "/>
      <fill>
        <patternFill patternType="none">
          <fgColor indexed="64"/>
          <bgColor auto="1"/>
        </patternFill>
      </fill>
      <protection locked="1" hidden="1"/>
    </dxf>
    <dxf>
      <font>
        <b val="0"/>
        <i val="0"/>
        <strike val="0"/>
        <condense val="0"/>
        <extend val="0"/>
        <outline val="0"/>
        <shadow val="0"/>
        <u val="none"/>
        <vertAlign val="baseline"/>
        <sz val="11"/>
        <color theme="1"/>
        <name val="Open Sans"/>
        <family val="2"/>
        <scheme val="none"/>
      </font>
      <fill>
        <patternFill patternType="none">
          <fgColor indexed="64"/>
          <bgColor indexed="65"/>
        </patternFill>
      </fill>
      <protection locked="1" hidden="1"/>
    </dxf>
    <dxf>
      <font>
        <b val="0"/>
        <i val="0"/>
        <strike val="0"/>
        <condense val="0"/>
        <extend val="0"/>
        <outline val="0"/>
        <shadow val="0"/>
        <u val="none"/>
        <vertAlign val="baseline"/>
        <sz val="11"/>
        <color theme="1"/>
        <name val="Open Sans"/>
        <family val="2"/>
        <scheme val="none"/>
      </font>
      <numFmt numFmtId="2" formatCode="0.00"/>
      <protection locked="1" hidden="1"/>
    </dxf>
    <dxf>
      <font>
        <b val="0"/>
        <i val="0"/>
        <strike val="0"/>
        <condense val="0"/>
        <extend val="0"/>
        <outline val="0"/>
        <shadow val="0"/>
        <u val="none"/>
        <vertAlign val="baseline"/>
        <sz val="11"/>
        <color theme="1"/>
        <name val="Open Sans"/>
        <family val="2"/>
        <scheme val="none"/>
      </font>
      <protection locked="1" hidden="1"/>
    </dxf>
    <dxf>
      <font>
        <b val="0"/>
        <i val="0"/>
        <strike val="0"/>
        <condense val="0"/>
        <extend val="0"/>
        <outline val="0"/>
        <shadow val="0"/>
        <u val="none"/>
        <vertAlign val="baseline"/>
        <sz val="11"/>
        <color theme="1"/>
        <name val="Open Sans"/>
        <family val="2"/>
        <scheme val="none"/>
      </font>
      <numFmt numFmtId="1" formatCode="0"/>
      <protection locked="1" hidden="1"/>
    </dxf>
    <dxf>
      <protection locked="1" hidden="1"/>
    </dxf>
    <dxf>
      <font>
        <b val="0"/>
        <i val="0"/>
        <strike val="0"/>
        <condense val="0"/>
        <extend val="0"/>
        <outline val="0"/>
        <shadow val="0"/>
        <u val="none"/>
        <vertAlign val="baseline"/>
        <sz val="11"/>
        <color theme="1"/>
        <name val="Open Sans"/>
        <family val="2"/>
        <scheme val="none"/>
      </font>
      <protection locked="1" hidden="1"/>
    </dxf>
    <dxf>
      <font>
        <b/>
        <i val="0"/>
        <strike val="0"/>
        <condense val="0"/>
        <extend val="0"/>
        <outline val="0"/>
        <shadow val="0"/>
        <u val="none"/>
        <vertAlign val="baseline"/>
        <sz val="10"/>
        <color theme="0"/>
        <name val="Open Sans"/>
        <family val="2"/>
        <scheme val="none"/>
      </font>
      <fill>
        <patternFill patternType="solid">
          <fgColor indexed="64"/>
          <bgColor theme="1"/>
        </patternFill>
      </fill>
      <alignment horizontal="general" vertical="bottom" textRotation="45" wrapText="0" indent="0" justifyLastLine="0" shrinkToFit="0" readingOrder="0"/>
      <border diagonalUp="0" diagonalDown="0">
        <left style="thin">
          <color theme="1"/>
        </left>
        <right style="thin">
          <color theme="1"/>
        </right>
        <top/>
        <bottom/>
      </border>
      <protection locked="1" hidden="1"/>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b val="0"/>
        <i val="0"/>
        <strike val="0"/>
        <condense val="0"/>
        <extend val="0"/>
        <outline val="0"/>
        <shadow val="0"/>
        <u val="none"/>
        <vertAlign val="baseline"/>
        <sz val="11"/>
        <color theme="1"/>
        <name val="Open Sans"/>
        <family val="2"/>
        <scheme val="none"/>
      </font>
      <numFmt numFmtId="179" formatCode="_(* #,##0.0_);_(* \(#,##0.0\);_(* &quot;-&quot;??_);_(@_)"/>
      <fill>
        <patternFill patternType="solid">
          <fgColor theme="6" tint="0.59999389629810485"/>
          <bgColor theme="6" tint="0.59999389629810485"/>
        </patternFill>
      </fill>
    </dxf>
    <dxf>
      <numFmt numFmtId="179" formatCode="_(* #,##0.0_);_(* \(#,##0.0\);_(* &quot;-&quot;??_);_(@_)"/>
    </dxf>
    <dxf>
      <font>
        <b val="0"/>
        <i val="0"/>
        <strike val="0"/>
        <condense val="0"/>
        <extend val="0"/>
        <outline val="0"/>
        <shadow val="0"/>
        <u val="none"/>
        <vertAlign val="baseline"/>
        <sz val="11"/>
        <color theme="1"/>
        <name val="Open Sans"/>
        <family val="2"/>
        <scheme val="none"/>
      </font>
      <numFmt numFmtId="179" formatCode="_(* #,##0.0_);_(* \(#,##0.0\);_(* &quot;-&quot;??_);_(@_)"/>
      <fill>
        <patternFill patternType="solid">
          <fgColor theme="6" tint="0.59999389629810485"/>
          <bgColor theme="6" tint="0.59999389629810485"/>
        </patternFill>
      </fill>
    </dxf>
    <dxf>
      <numFmt numFmtId="179" formatCode="_(* #,##0.0_);_(* \(#,##0.0\);_(* &quot;-&quot;??_);_(@_)"/>
    </dxf>
    <dxf>
      <font>
        <b val="0"/>
        <i val="0"/>
        <strike val="0"/>
        <condense val="0"/>
        <extend val="0"/>
        <outline val="0"/>
        <shadow val="0"/>
        <u val="none"/>
        <vertAlign val="baseline"/>
        <sz val="11"/>
        <color theme="1"/>
        <name val="Open Sans"/>
        <family val="2"/>
        <scheme val="none"/>
      </font>
      <numFmt numFmtId="179" formatCode="_(* #,##0.0_);_(* \(#,##0.0\);_(* &quot;-&quot;??_);_(@_)"/>
      <fill>
        <patternFill patternType="solid">
          <fgColor theme="6" tint="0.59999389629810485"/>
          <bgColor theme="6" tint="0.59999389629810485"/>
        </patternFill>
      </fill>
    </dxf>
    <dxf>
      <numFmt numFmtId="179" formatCode="_(* #,##0.0_);_(* \(#,##0.0\);_(* &quot;-&quot;??_);_(@_)"/>
    </dxf>
    <dxf>
      <font>
        <b val="0"/>
        <i val="0"/>
        <strike val="0"/>
        <condense val="0"/>
        <extend val="0"/>
        <outline val="0"/>
        <shadow val="0"/>
        <u val="none"/>
        <vertAlign val="baseline"/>
        <sz val="11"/>
        <color theme="1"/>
        <name val="Open Sans"/>
        <family val="2"/>
        <scheme val="none"/>
      </font>
      <numFmt numFmtId="179" formatCode="_(* #,##0.0_);_(* \(#,##0.0\);_(* &quot;-&quot;??_);_(@_)"/>
      <fill>
        <patternFill patternType="solid">
          <fgColor theme="6" tint="0.59999389629810485"/>
          <bgColor theme="6" tint="0.59999389629810485"/>
        </patternFill>
      </fill>
    </dxf>
    <dxf>
      <numFmt numFmtId="179" formatCode="_(* #,##0.0_);_(* \(#,##0.0\);_(* &quot;-&quot;??_);_(@_)"/>
    </dxf>
    <dxf>
      <font>
        <b val="0"/>
        <i val="0"/>
        <strike val="0"/>
        <condense val="0"/>
        <extend val="0"/>
        <outline val="0"/>
        <shadow val="0"/>
        <u val="none"/>
        <vertAlign val="baseline"/>
        <sz val="11"/>
        <color theme="1"/>
        <name val="Open Sans"/>
        <family val="2"/>
        <scheme val="none"/>
      </font>
      <numFmt numFmtId="179" formatCode="_(* #,##0.0_);_(* \(#,##0.0\);_(* &quot;-&quot;??_);_(@_)"/>
      <fill>
        <patternFill patternType="solid">
          <fgColor theme="6" tint="0.59999389629810485"/>
          <bgColor theme="6" tint="0.59999389629810485"/>
        </patternFill>
      </fill>
    </dxf>
    <dxf>
      <font>
        <b/>
        <i val="0"/>
        <strike val="0"/>
        <condense val="0"/>
        <extend val="0"/>
        <outline val="0"/>
        <shadow val="0"/>
        <u val="none"/>
        <vertAlign val="baseline"/>
        <sz val="11"/>
        <color theme="0"/>
        <name val="Open Sans"/>
        <family val="2"/>
        <scheme val="none"/>
      </font>
      <numFmt numFmtId="179" formatCode="_(* #,##0.0_);_(* \(#,##0.0\);_(* &quot;-&quot;??_);_(@_)"/>
      <fill>
        <patternFill patternType="solid">
          <fgColor theme="6"/>
          <bgColor theme="6"/>
        </patternFill>
      </fill>
      <border diagonalUp="0" diagonalDown="0" outline="0">
        <left style="thin">
          <color theme="0"/>
        </left>
        <right style="thin">
          <color theme="0"/>
        </right>
        <top style="thick">
          <color theme="0"/>
        </top>
        <bottom/>
      </border>
    </dxf>
    <dxf>
      <font>
        <b val="0"/>
        <i val="0"/>
        <strike val="0"/>
        <condense val="0"/>
        <extend val="0"/>
        <outline val="0"/>
        <shadow val="0"/>
        <u val="none"/>
        <vertAlign val="baseline"/>
        <sz val="11"/>
        <color theme="1"/>
        <name val="Open Sans"/>
        <family val="2"/>
        <scheme val="none"/>
      </font>
      <numFmt numFmtId="179" formatCode="_(* #,##0.0_);_(* \(#,##0.0\);_(* &quot;-&quot;??_);_(@_)"/>
      <fill>
        <patternFill patternType="solid">
          <fgColor theme="6" tint="0.59999389629810485"/>
          <bgColor theme="6" tint="0.59999389629810485"/>
        </patternFill>
      </fill>
    </dxf>
    <dxf>
      <font>
        <b/>
        <i val="0"/>
        <strike val="0"/>
        <condense val="0"/>
        <extend val="0"/>
        <outline val="0"/>
        <shadow val="0"/>
        <u val="none"/>
        <vertAlign val="baseline"/>
        <sz val="11"/>
        <color theme="0"/>
        <name val="Open Sans"/>
        <family val="2"/>
        <scheme val="none"/>
      </font>
      <numFmt numFmtId="179" formatCode="_(* #,##0.0_);_(* \(#,##0.0\);_(* &quot;-&quot;??_);_(@_)"/>
      <fill>
        <patternFill patternType="solid">
          <fgColor theme="6"/>
          <bgColor theme="6"/>
        </patternFill>
      </fill>
      <border diagonalUp="0" diagonalDown="0" outline="0">
        <left style="thin">
          <color theme="0"/>
        </left>
        <right style="thin">
          <color theme="0"/>
        </right>
        <top style="thick">
          <color theme="0"/>
        </top>
        <bottom/>
      </border>
    </dxf>
    <dxf>
      <font>
        <b val="0"/>
        <i val="0"/>
        <strike val="0"/>
        <condense val="0"/>
        <extend val="0"/>
        <outline val="0"/>
        <shadow val="0"/>
        <u val="none"/>
        <vertAlign val="baseline"/>
        <sz val="11"/>
        <color theme="1"/>
        <name val="Open Sans"/>
        <family val="2"/>
        <scheme val="none"/>
      </font>
      <numFmt numFmtId="165" formatCode="_(* #,##0.00_);_(* \(#,##0.00\);_(* &quot;-&quot;??_);_(@_)"/>
      <fill>
        <patternFill patternType="solid">
          <fgColor theme="6" tint="0.59999389629810485"/>
          <bgColor theme="6" tint="0.59999389629810485"/>
        </patternFill>
      </fill>
    </dxf>
    <dxf>
      <numFmt numFmtId="165" formatCode="_(* #,##0.00_);_(* \(#,##0.00\);_(* &quot;-&quot;??_);_(@_)"/>
    </dxf>
    <dxf>
      <font>
        <b val="0"/>
        <i val="0"/>
        <strike val="0"/>
        <condense val="0"/>
        <extend val="0"/>
        <outline val="0"/>
        <shadow val="0"/>
        <u val="none"/>
        <vertAlign val="baseline"/>
        <sz val="11"/>
        <color theme="1"/>
        <name val="Open Sans"/>
        <family val="2"/>
        <scheme val="none"/>
      </font>
      <numFmt numFmtId="165" formatCode="_(* #,##0.00_);_(* \(#,##0.00\);_(* &quot;-&quot;??_);_(@_)"/>
      <fill>
        <patternFill patternType="solid">
          <fgColor theme="6" tint="0.59999389629810485"/>
          <bgColor theme="6" tint="0.59999389629810485"/>
        </patternFill>
      </fill>
    </dxf>
    <dxf>
      <numFmt numFmtId="165" formatCode="_(* #,##0.00_);_(* \(#,##0.00\);_(* &quot;-&quot;??_);_(@_)"/>
    </dxf>
    <dxf>
      <font>
        <b val="0"/>
        <i val="0"/>
        <strike val="0"/>
        <condense val="0"/>
        <extend val="0"/>
        <outline val="0"/>
        <shadow val="0"/>
        <u val="none"/>
        <vertAlign val="baseline"/>
        <sz val="11"/>
        <color theme="1"/>
        <name val="Open Sans"/>
        <family val="2"/>
        <scheme val="none"/>
      </font>
      <numFmt numFmtId="165" formatCode="_(* #,##0.00_);_(* \(#,##0.00\);_(* &quot;-&quot;??_);_(@_)"/>
      <fill>
        <patternFill patternType="solid">
          <fgColor theme="6" tint="0.59999389629810485"/>
          <bgColor theme="6" tint="0.59999389629810485"/>
        </patternFill>
      </fill>
    </dxf>
    <dxf>
      <numFmt numFmtId="165" formatCode="_(* #,##0.00_);_(* \(#,##0.00\);_(* &quot;-&quot;??_);_(@_)"/>
    </dxf>
    <dxf>
      <font>
        <b val="0"/>
        <i val="0"/>
        <strike val="0"/>
        <condense val="0"/>
        <extend val="0"/>
        <outline val="0"/>
        <shadow val="0"/>
        <u val="none"/>
        <vertAlign val="baseline"/>
        <sz val="11"/>
        <color theme="1"/>
        <name val="Open Sans"/>
        <family val="2"/>
        <scheme val="none"/>
      </font>
      <numFmt numFmtId="169" formatCode="_(* #,##0_);_(* \(#,##0\);_(* &quot;-&quot;??_);_(@_)"/>
      <fill>
        <patternFill patternType="solid">
          <fgColor theme="6" tint="0.59999389629810485"/>
          <bgColor theme="6" tint="0.59999389629810485"/>
        </patternFill>
      </fill>
      <border diagonalUp="0" diagonalDown="0">
        <left/>
        <right style="thin">
          <color theme="0"/>
        </right>
        <top/>
        <bottom style="thin">
          <color theme="0"/>
        </bottom>
        <vertical/>
        <horizontal/>
      </border>
    </dxf>
    <dxf>
      <font>
        <b/>
        <i val="0"/>
        <strike val="0"/>
        <condense val="0"/>
        <extend val="0"/>
        <outline val="0"/>
        <shadow val="0"/>
        <u val="none"/>
        <vertAlign val="baseline"/>
        <sz val="11"/>
        <color theme="0"/>
        <name val="Open Sans"/>
        <family val="2"/>
        <scheme val="none"/>
      </font>
      <numFmt numFmtId="169" formatCode="_(* #,##0_);_(* \(#,##0\);_(* &quot;-&quot;??_);_(@_)"/>
      <fill>
        <patternFill patternType="solid">
          <fgColor theme="6"/>
          <bgColor theme="6"/>
        </patternFill>
      </fill>
      <border diagonalUp="0" diagonalDown="0" outline="0">
        <left style="thin">
          <color theme="0"/>
        </left>
        <right style="thin">
          <color theme="0"/>
        </right>
        <top style="thick">
          <color theme="0"/>
        </top>
        <bottom/>
      </border>
    </dxf>
    <dxf>
      <font>
        <b val="0"/>
        <i val="0"/>
        <strike val="0"/>
        <condense val="0"/>
        <extend val="0"/>
        <outline val="0"/>
        <shadow val="0"/>
        <u val="none"/>
        <vertAlign val="baseline"/>
        <sz val="11"/>
        <color theme="1"/>
        <name val="Open Sans"/>
        <family val="2"/>
        <scheme val="none"/>
      </font>
      <numFmt numFmtId="169" formatCode="_(* #,##0_);_(* \(#,##0\);_(* &quot;-&quot;??_);_(@_)"/>
      <fill>
        <patternFill patternType="solid">
          <fgColor theme="6" tint="0.59999389629810485"/>
          <bgColor theme="6" tint="0.59999389629810485"/>
        </patternFill>
      </fill>
      <border diagonalUp="0" diagonalDown="0">
        <left/>
        <right style="thin">
          <color theme="0"/>
        </right>
        <top/>
        <bottom style="thin">
          <color theme="0"/>
        </bottom>
        <vertical/>
        <horizontal/>
      </border>
    </dxf>
    <dxf>
      <font>
        <b/>
        <i val="0"/>
        <strike val="0"/>
        <condense val="0"/>
        <extend val="0"/>
        <outline val="0"/>
        <shadow val="0"/>
        <u val="none"/>
        <vertAlign val="baseline"/>
        <sz val="11"/>
        <color theme="0"/>
        <name val="Open Sans"/>
        <family val="2"/>
        <scheme val="none"/>
      </font>
      <numFmt numFmtId="169" formatCode="_(* #,##0_);_(* \(#,##0\);_(* &quot;-&quot;??_);_(@_)"/>
      <fill>
        <patternFill patternType="solid">
          <fgColor theme="6"/>
          <bgColor theme="6"/>
        </patternFill>
      </fill>
      <border diagonalUp="0" diagonalDown="0" outline="0">
        <left style="thin">
          <color theme="0"/>
        </left>
        <right style="thin">
          <color theme="0"/>
        </right>
        <top style="thick">
          <color theme="0"/>
        </top>
        <bottom/>
      </border>
    </dxf>
    <dxf>
      <font>
        <b val="0"/>
        <i val="0"/>
        <strike val="0"/>
        <condense val="0"/>
        <extend val="0"/>
        <outline val="0"/>
        <shadow val="0"/>
        <u val="none"/>
        <vertAlign val="baseline"/>
        <sz val="11"/>
        <color theme="1"/>
        <name val="Open Sans"/>
        <family val="2"/>
        <scheme val="none"/>
      </font>
      <numFmt numFmtId="179" formatCode="_(* #,##0.0_);_(* \(#,##0.0\);_(* &quot;-&quot;??_);_(@_)"/>
      <fill>
        <patternFill patternType="solid">
          <fgColor theme="6" tint="0.59999389629810485"/>
          <bgColor theme="6" tint="0.59999389629810485"/>
        </patternFill>
      </fill>
      <border diagonalUp="0" diagonalDown="0">
        <left/>
        <right/>
        <top/>
        <bottom style="thin">
          <color theme="0"/>
        </bottom>
        <vertical/>
        <horizontal/>
      </border>
    </dxf>
    <dxf>
      <font>
        <b/>
        <i val="0"/>
        <strike val="0"/>
        <condense val="0"/>
        <extend val="0"/>
        <outline val="0"/>
        <shadow val="0"/>
        <u val="none"/>
        <vertAlign val="baseline"/>
        <sz val="11"/>
        <color theme="0"/>
        <name val="Open Sans"/>
        <family val="2"/>
        <scheme val="none"/>
      </font>
      <numFmt numFmtId="179" formatCode="_(* #,##0.0_);_(* \(#,##0.0\);_(* &quot;-&quot;??_);_(@_)"/>
      <fill>
        <patternFill patternType="solid">
          <fgColor theme="6"/>
          <bgColor theme="6"/>
        </patternFill>
      </fill>
      <border diagonalUp="0" diagonalDown="0" outline="0">
        <left style="thin">
          <color theme="0"/>
        </left>
        <right style="thin">
          <color theme="0"/>
        </right>
        <top style="thick">
          <color theme="0"/>
        </top>
        <bottom/>
      </border>
    </dxf>
    <dxf>
      <font>
        <b val="0"/>
        <i val="0"/>
        <strike val="0"/>
        <condense val="0"/>
        <extend val="0"/>
        <outline val="0"/>
        <shadow val="0"/>
        <u val="none"/>
        <vertAlign val="baseline"/>
        <sz val="11"/>
        <color theme="1"/>
        <name val="Open Sans"/>
        <family val="2"/>
        <scheme val="none"/>
      </font>
      <numFmt numFmtId="179" formatCode="_(* #,##0.0_);_(* \(#,##0.0\);_(* &quot;-&quot;??_);_(@_)"/>
      <fill>
        <patternFill patternType="solid">
          <fgColor theme="6" tint="0.59999389629810485"/>
          <bgColor theme="6" tint="0.59999389629810485"/>
        </patternFill>
      </fill>
      <border diagonalUp="0" diagonalDown="0">
        <left/>
        <right/>
        <top/>
        <bottom style="thin">
          <color theme="0"/>
        </bottom>
        <vertical/>
        <horizontal/>
      </border>
    </dxf>
    <dxf>
      <font>
        <b/>
        <i val="0"/>
        <strike val="0"/>
        <condense val="0"/>
        <extend val="0"/>
        <outline val="0"/>
        <shadow val="0"/>
        <u val="none"/>
        <vertAlign val="baseline"/>
        <sz val="11"/>
        <color theme="0"/>
        <name val="Open Sans"/>
        <family val="2"/>
        <scheme val="none"/>
      </font>
      <numFmt numFmtId="179" formatCode="_(* #,##0.0_);_(* \(#,##0.0\);_(* &quot;-&quot;??_);_(@_)"/>
      <fill>
        <patternFill patternType="solid">
          <fgColor theme="6"/>
          <bgColor theme="6"/>
        </patternFill>
      </fill>
      <border diagonalUp="0" diagonalDown="0" outline="0">
        <left style="thin">
          <color theme="0"/>
        </left>
        <right style="thin">
          <color theme="0"/>
        </right>
        <top style="thick">
          <color theme="0"/>
        </top>
        <bottom/>
      </border>
    </dxf>
    <dxf>
      <font>
        <b val="0"/>
        <i val="0"/>
        <strike val="0"/>
        <condense val="0"/>
        <extend val="0"/>
        <outline val="0"/>
        <shadow val="0"/>
        <u val="none"/>
        <vertAlign val="baseline"/>
        <sz val="11"/>
        <color theme="1"/>
        <name val="Open Sans"/>
        <family val="2"/>
        <scheme val="none"/>
      </font>
      <numFmt numFmtId="179" formatCode="_(* #,##0.0_);_(* \(#,##0.0\);_(* &quot;-&quot;??_);_(@_)"/>
      <fill>
        <patternFill patternType="solid">
          <fgColor theme="6" tint="0.59999389629810485"/>
          <bgColor theme="6" tint="0.59999389629810485"/>
        </patternFill>
      </fill>
      <border diagonalUp="0" diagonalDown="0">
        <left/>
        <right/>
        <top/>
        <bottom style="thin">
          <color theme="0"/>
        </bottom>
        <vertical/>
        <horizontal/>
      </border>
    </dxf>
    <dxf>
      <font>
        <b/>
        <i val="0"/>
        <strike val="0"/>
        <condense val="0"/>
        <extend val="0"/>
        <outline val="0"/>
        <shadow val="0"/>
        <u val="none"/>
        <vertAlign val="baseline"/>
        <sz val="11"/>
        <color theme="0"/>
        <name val="Open Sans"/>
        <family val="2"/>
        <scheme val="none"/>
      </font>
      <numFmt numFmtId="179" formatCode="_(* #,##0.0_);_(* \(#,##0.0\);_(* &quot;-&quot;??_);_(@_)"/>
      <fill>
        <patternFill patternType="solid">
          <fgColor theme="6"/>
          <bgColor theme="6"/>
        </patternFill>
      </fill>
      <border diagonalUp="0" diagonalDown="0" outline="0">
        <left style="thin">
          <color theme="0"/>
        </left>
        <right style="thin">
          <color theme="0"/>
        </right>
        <top style="thick">
          <color theme="0"/>
        </top>
        <bottom/>
      </border>
    </dxf>
    <dxf>
      <font>
        <b val="0"/>
        <i val="0"/>
        <strike val="0"/>
        <condense val="0"/>
        <extend val="0"/>
        <outline val="0"/>
        <shadow val="0"/>
        <u val="none"/>
        <vertAlign val="baseline"/>
        <sz val="11"/>
        <color theme="1"/>
        <name val="Open Sans"/>
        <family val="2"/>
        <scheme val="none"/>
      </font>
      <numFmt numFmtId="179" formatCode="_(* #,##0.0_);_(* \(#,##0.0\);_(* &quot;-&quot;??_);_(@_)"/>
      <fill>
        <patternFill patternType="solid">
          <fgColor theme="6" tint="0.59999389629810485"/>
          <bgColor theme="6" tint="0.59999389629810485"/>
        </patternFill>
      </fill>
      <border diagonalUp="0" diagonalDown="0">
        <left/>
        <right/>
        <top/>
        <bottom style="thin">
          <color theme="0"/>
        </bottom>
        <vertical/>
        <horizontal/>
      </border>
    </dxf>
    <dxf>
      <font>
        <b/>
        <i val="0"/>
        <strike val="0"/>
        <condense val="0"/>
        <extend val="0"/>
        <outline val="0"/>
        <shadow val="0"/>
        <u val="none"/>
        <vertAlign val="baseline"/>
        <sz val="11"/>
        <color theme="0"/>
        <name val="Open Sans"/>
        <family val="2"/>
        <scheme val="none"/>
      </font>
      <numFmt numFmtId="179" formatCode="_(* #,##0.0_);_(* \(#,##0.0\);_(* &quot;-&quot;??_);_(@_)"/>
      <fill>
        <patternFill patternType="solid">
          <fgColor theme="6"/>
          <bgColor theme="6"/>
        </patternFill>
      </fill>
      <border diagonalUp="0" diagonalDown="0" outline="0">
        <left style="thin">
          <color theme="0"/>
        </left>
        <right style="thin">
          <color theme="0"/>
        </right>
        <top style="thick">
          <color theme="0"/>
        </top>
        <bottom/>
      </border>
    </dxf>
    <dxf>
      <font>
        <b val="0"/>
        <i val="0"/>
        <strike val="0"/>
        <condense val="0"/>
        <extend val="0"/>
        <outline val="0"/>
        <shadow val="0"/>
        <u val="none"/>
        <vertAlign val="baseline"/>
        <sz val="11"/>
        <color theme="1"/>
        <name val="Open Sans"/>
        <family val="2"/>
        <scheme val="none"/>
      </font>
      <numFmt numFmtId="179" formatCode="_(* #,##0.0_);_(* \(#,##0.0\);_(* &quot;-&quot;??_);_(@_)"/>
      <fill>
        <patternFill patternType="solid">
          <fgColor theme="6" tint="0.59999389629810485"/>
          <bgColor theme="6" tint="0.59999389629810485"/>
        </patternFill>
      </fill>
      <border diagonalUp="0" diagonalDown="0">
        <left/>
        <right/>
        <top style="thin">
          <color theme="0"/>
        </top>
        <bottom style="thin">
          <color theme="0"/>
        </bottom>
        <vertical/>
        <horizontal/>
      </border>
    </dxf>
    <dxf>
      <font>
        <b/>
        <i val="0"/>
        <strike val="0"/>
        <condense val="0"/>
        <extend val="0"/>
        <outline val="0"/>
        <shadow val="0"/>
        <u val="none"/>
        <vertAlign val="baseline"/>
        <sz val="11"/>
        <color theme="0"/>
        <name val="Open Sans"/>
        <family val="2"/>
        <scheme val="none"/>
      </font>
      <numFmt numFmtId="179" formatCode="_(* #,##0.0_);_(* \(#,##0.0\);_(* &quot;-&quot;??_);_(@_)"/>
      <fill>
        <patternFill patternType="solid">
          <fgColor theme="6"/>
          <bgColor theme="6"/>
        </patternFill>
      </fill>
      <border diagonalUp="0" diagonalDown="0" outline="0">
        <left style="thin">
          <color theme="0"/>
        </left>
        <right style="thin">
          <color theme="0"/>
        </right>
        <top style="thick">
          <color theme="0"/>
        </top>
        <bottom/>
      </border>
    </dxf>
    <dxf>
      <font>
        <b val="0"/>
        <i val="0"/>
        <strike val="0"/>
        <condense val="0"/>
        <extend val="0"/>
        <outline val="0"/>
        <shadow val="0"/>
        <u val="none"/>
        <vertAlign val="baseline"/>
        <sz val="11"/>
        <color theme="1"/>
        <name val="Open Sans"/>
        <family val="2"/>
        <scheme val="none"/>
      </font>
      <numFmt numFmtId="179" formatCode="_(* #,##0.0_);_(* \(#,##0.0\);_(* &quot;-&quot;??_);_(@_)"/>
      <fill>
        <patternFill patternType="solid">
          <fgColor theme="6" tint="0.59999389629810485"/>
          <bgColor theme="6" tint="0.59999389629810485"/>
        </patternFill>
      </fill>
      <border diagonalUp="0" diagonalDown="0">
        <left/>
        <right style="thin">
          <color theme="0"/>
        </right>
        <top style="thin">
          <color theme="0"/>
        </top>
        <bottom style="thin">
          <color theme="0"/>
        </bottom>
        <vertical/>
        <horizontal/>
      </border>
    </dxf>
    <dxf>
      <font>
        <b/>
        <i val="0"/>
        <strike val="0"/>
        <condense val="0"/>
        <extend val="0"/>
        <outline val="0"/>
        <shadow val="0"/>
        <u val="none"/>
        <vertAlign val="baseline"/>
        <sz val="11"/>
        <color theme="0"/>
        <name val="Open Sans"/>
        <family val="2"/>
        <scheme val="none"/>
      </font>
      <numFmt numFmtId="179" formatCode="_(* #,##0.0_);_(* \(#,##0.0\);_(* &quot;-&quot;??_);_(@_)"/>
      <fill>
        <patternFill patternType="solid">
          <fgColor theme="6"/>
          <bgColor theme="6"/>
        </patternFill>
      </fill>
      <border diagonalUp="0" diagonalDown="0" outline="0">
        <left style="thin">
          <color theme="0"/>
        </left>
        <right style="thin">
          <color theme="0"/>
        </right>
        <top style="thick">
          <color theme="0"/>
        </top>
        <bottom/>
      </border>
    </dxf>
    <dxf>
      <font>
        <b val="0"/>
        <i val="0"/>
        <strike val="0"/>
        <condense val="0"/>
        <extend val="0"/>
        <outline val="0"/>
        <shadow val="0"/>
        <u val="none"/>
        <vertAlign val="baseline"/>
        <sz val="11"/>
        <color theme="1"/>
        <name val="Open Sans"/>
        <family val="2"/>
        <scheme val="none"/>
      </font>
      <numFmt numFmtId="2" formatCode="0.00"/>
      <fill>
        <patternFill patternType="solid">
          <fgColor theme="6" tint="0.59999389629810485"/>
          <bgColor theme="6" tint="0.59999389629810485"/>
        </patternFill>
      </fill>
      <border diagonalUp="0" diagonalDown="0">
        <left/>
        <right style="thin">
          <color theme="0"/>
        </right>
        <top style="thin">
          <color theme="0"/>
        </top>
        <bottom style="thin">
          <color theme="0"/>
        </bottom>
        <vertical/>
        <horizontal/>
      </border>
    </dxf>
    <dxf>
      <font>
        <b/>
        <i val="0"/>
        <strike val="0"/>
        <condense val="0"/>
        <extend val="0"/>
        <outline val="0"/>
        <shadow val="0"/>
        <u val="none"/>
        <vertAlign val="baseline"/>
        <sz val="11"/>
        <color theme="0"/>
        <name val="Open Sans"/>
        <family val="2"/>
        <scheme val="none"/>
      </font>
      <fill>
        <patternFill patternType="solid">
          <fgColor theme="6"/>
          <bgColor theme="6"/>
        </patternFill>
      </fill>
      <border diagonalUp="0" diagonalDown="0" outline="0">
        <left style="thin">
          <color theme="0"/>
        </left>
        <right style="thin">
          <color theme="0"/>
        </right>
        <top style="thick">
          <color theme="0"/>
        </top>
        <bottom/>
      </border>
    </dxf>
    <dxf>
      <font>
        <b val="0"/>
        <i val="0"/>
        <strike val="0"/>
        <condense val="0"/>
        <extend val="0"/>
        <outline val="0"/>
        <shadow val="0"/>
        <u val="none"/>
        <vertAlign val="baseline"/>
        <sz val="11"/>
        <color theme="1"/>
        <name val="Open Sans"/>
        <family val="2"/>
        <scheme val="none"/>
      </font>
      <numFmt numFmtId="30" formatCode="@"/>
      <fill>
        <patternFill patternType="solid">
          <fgColor theme="6" tint="0.59999389629810485"/>
          <bgColor theme="6" tint="0.59999389629810485"/>
        </patternFill>
      </fill>
      <border diagonalUp="0" diagonalDown="0">
        <left/>
        <right style="thin">
          <color theme="0"/>
        </right>
        <top style="thin">
          <color theme="0"/>
        </top>
        <bottom style="thin">
          <color theme="0"/>
        </bottom>
        <vertical/>
        <horizontal/>
      </border>
    </dxf>
    <dxf>
      <font>
        <b/>
        <i val="0"/>
        <strike val="0"/>
        <condense val="0"/>
        <extend val="0"/>
        <outline val="0"/>
        <shadow val="0"/>
        <u val="none"/>
        <vertAlign val="baseline"/>
        <sz val="11"/>
        <color theme="0"/>
        <name val="Open Sans"/>
        <family val="2"/>
        <scheme val="none"/>
      </font>
      <fill>
        <patternFill patternType="solid">
          <fgColor theme="6"/>
          <bgColor theme="6"/>
        </patternFill>
      </fill>
      <border diagonalUp="0" diagonalDown="0" outline="0">
        <left/>
        <right style="thin">
          <color theme="0"/>
        </right>
        <top style="thick">
          <color theme="0"/>
        </top>
        <bottom/>
      </border>
    </dxf>
    <dxf>
      <border outline="0">
        <bottom style="thick">
          <color theme="0"/>
        </bottom>
      </border>
    </dxf>
    <dxf>
      <border outline="0">
        <right style="thin">
          <color theme="0"/>
        </right>
      </border>
    </dxf>
    <dxf>
      <font>
        <b val="0"/>
        <i val="0"/>
        <strike val="0"/>
        <condense val="0"/>
        <extend val="0"/>
        <outline val="0"/>
        <shadow val="0"/>
        <u val="none"/>
        <vertAlign val="baseline"/>
        <sz val="11"/>
        <color theme="1"/>
        <name val="Open Sans"/>
        <family val="2"/>
        <scheme val="none"/>
      </font>
      <fill>
        <patternFill patternType="solid">
          <fgColor theme="6" tint="0.59999389629810485"/>
          <bgColor theme="6" tint="0.59999389629810485"/>
        </patternFill>
      </fill>
    </dxf>
    <dxf>
      <font>
        <b val="0"/>
        <i val="0"/>
        <strike val="0"/>
        <condense val="0"/>
        <extend val="0"/>
        <outline val="0"/>
        <shadow val="0"/>
        <u val="none"/>
        <vertAlign val="baseline"/>
        <sz val="11"/>
        <color theme="1"/>
        <name val="Open Sans"/>
        <family val="2"/>
        <scheme val="none"/>
      </font>
      <numFmt numFmtId="169" formatCode="_(* #,##0_);_(* \(#,##0\);_(* &quot;-&quot;??_);_(@_)"/>
      <fill>
        <patternFill patternType="solid">
          <fgColor theme="6" tint="0.59999389629810485"/>
          <bgColor theme="6" tint="0.59999389629810485"/>
        </patternFill>
      </fill>
    </dxf>
    <dxf>
      <font>
        <b/>
        <i val="0"/>
        <strike val="0"/>
        <condense val="0"/>
        <extend val="0"/>
        <outline val="0"/>
        <shadow val="0"/>
        <u val="none"/>
        <vertAlign val="baseline"/>
        <sz val="11"/>
        <color theme="0"/>
        <name val="Open Sans"/>
        <family val="2"/>
        <scheme val="none"/>
      </font>
      <numFmt numFmtId="169" formatCode="_(* #,##0_);_(* \(#,##0\);_(* &quot;-&quot;??_);_(@_)"/>
      <fill>
        <patternFill patternType="solid">
          <fgColor theme="6"/>
          <bgColor theme="6"/>
        </patternFill>
      </fill>
      <border diagonalUp="0" diagonalDown="0" outline="0">
        <left style="thin">
          <color theme="0"/>
        </left>
        <right style="thin">
          <color theme="0"/>
        </right>
        <top style="thick">
          <color theme="0"/>
        </top>
        <bottom/>
      </border>
    </dxf>
    <dxf>
      <font>
        <b val="0"/>
        <i val="0"/>
        <strike val="0"/>
        <condense val="0"/>
        <extend val="0"/>
        <outline val="0"/>
        <shadow val="0"/>
        <u val="none"/>
        <vertAlign val="baseline"/>
        <sz val="11"/>
        <color theme="1"/>
        <name val="Open Sans"/>
        <family val="2"/>
        <scheme val="none"/>
      </font>
      <numFmt numFmtId="169" formatCode="_(* #,##0_);_(* \(#,##0\);_(* &quot;-&quot;??_);_(@_)"/>
      <fill>
        <patternFill patternType="solid">
          <fgColor theme="6" tint="0.59999389629810485"/>
          <bgColor theme="6" tint="0.59999389629810485"/>
        </patternFill>
      </fill>
    </dxf>
    <dxf>
      <font>
        <b/>
        <i val="0"/>
        <strike val="0"/>
        <condense val="0"/>
        <extend val="0"/>
        <outline val="0"/>
        <shadow val="0"/>
        <u val="none"/>
        <vertAlign val="baseline"/>
        <sz val="11"/>
        <color theme="0"/>
        <name val="Open Sans"/>
        <family val="2"/>
        <scheme val="none"/>
      </font>
      <numFmt numFmtId="169" formatCode="_(* #,##0_);_(* \(#,##0\);_(* &quot;-&quot;??_);_(@_)"/>
      <fill>
        <patternFill patternType="solid">
          <fgColor theme="6"/>
          <bgColor theme="6"/>
        </patternFill>
      </fill>
      <border diagonalUp="0" diagonalDown="0" outline="0">
        <left style="thin">
          <color theme="0"/>
        </left>
        <right style="thin">
          <color theme="0"/>
        </right>
        <top style="thick">
          <color theme="0"/>
        </top>
        <bottom/>
      </border>
    </dxf>
    <dxf>
      <font>
        <b val="0"/>
        <i val="0"/>
        <strike val="0"/>
        <condense val="0"/>
        <extend val="0"/>
        <outline val="0"/>
        <shadow val="0"/>
        <u val="none"/>
        <vertAlign val="baseline"/>
        <sz val="11"/>
        <color theme="1"/>
        <name val="Open Sans"/>
        <family val="2"/>
        <scheme val="none"/>
      </font>
      <numFmt numFmtId="169" formatCode="_(* #,##0_);_(* \(#,##0\);_(* &quot;-&quot;??_);_(@_)"/>
      <fill>
        <patternFill patternType="solid">
          <fgColor theme="6" tint="0.59999389629810485"/>
          <bgColor theme="6" tint="0.59999389629810485"/>
        </patternFill>
      </fill>
    </dxf>
    <dxf>
      <font>
        <b/>
        <i val="0"/>
        <strike val="0"/>
        <condense val="0"/>
        <extend val="0"/>
        <outline val="0"/>
        <shadow val="0"/>
        <u val="none"/>
        <vertAlign val="baseline"/>
        <sz val="11"/>
        <color theme="0"/>
        <name val="Open Sans"/>
        <family val="2"/>
        <scheme val="none"/>
      </font>
      <numFmt numFmtId="169" formatCode="_(* #,##0_);_(* \(#,##0\);_(* &quot;-&quot;??_);_(@_)"/>
      <fill>
        <patternFill patternType="solid">
          <fgColor theme="6"/>
          <bgColor theme="6"/>
        </patternFill>
      </fill>
      <border diagonalUp="0" diagonalDown="0" outline="0">
        <left style="thin">
          <color theme="0"/>
        </left>
        <right style="thin">
          <color theme="0"/>
        </right>
        <top style="thick">
          <color theme="0"/>
        </top>
        <bottom/>
      </border>
    </dxf>
    <dxf>
      <font>
        <b val="0"/>
        <i val="0"/>
        <strike val="0"/>
        <condense val="0"/>
        <extend val="0"/>
        <outline val="0"/>
        <shadow val="0"/>
        <u val="none"/>
        <vertAlign val="baseline"/>
        <sz val="11"/>
        <color theme="1"/>
        <name val="Open Sans"/>
        <family val="2"/>
        <scheme val="none"/>
      </font>
      <numFmt numFmtId="169" formatCode="_(* #,##0_);_(* \(#,##0\);_(* &quot;-&quot;??_);_(@_)"/>
      <fill>
        <patternFill patternType="solid">
          <fgColor theme="6" tint="0.59999389629810485"/>
          <bgColor theme="6" tint="0.59999389629810485"/>
        </patternFill>
      </fill>
    </dxf>
    <dxf>
      <numFmt numFmtId="169" formatCode="_(* #,##0_);_(* \(#,##0\);_(* &quot;-&quot;??_);_(@_)"/>
    </dxf>
    <dxf>
      <font>
        <b val="0"/>
        <i val="0"/>
        <strike val="0"/>
        <condense val="0"/>
        <extend val="0"/>
        <outline val="0"/>
        <shadow val="0"/>
        <u val="none"/>
        <vertAlign val="baseline"/>
        <sz val="11"/>
        <color theme="1"/>
        <name val="Open Sans"/>
        <family val="2"/>
        <scheme val="none"/>
      </font>
      <numFmt numFmtId="169" formatCode="_(* #,##0_);_(* \(#,##0\);_(* &quot;-&quot;??_);_(@_)"/>
      <fill>
        <patternFill patternType="solid">
          <fgColor theme="6" tint="0.59999389629810485"/>
          <bgColor theme="6" tint="0.59999389629810485"/>
        </patternFill>
      </fill>
    </dxf>
    <dxf>
      <font>
        <b/>
        <i val="0"/>
        <strike val="0"/>
        <condense val="0"/>
        <extend val="0"/>
        <outline val="0"/>
        <shadow val="0"/>
        <u val="none"/>
        <vertAlign val="baseline"/>
        <sz val="11"/>
        <color theme="0"/>
        <name val="Open Sans"/>
        <family val="2"/>
        <scheme val="none"/>
      </font>
      <numFmt numFmtId="169" formatCode="_(* #,##0_);_(* \(#,##0\);_(* &quot;-&quot;??_);_(@_)"/>
      <fill>
        <patternFill patternType="solid">
          <fgColor theme="6"/>
          <bgColor theme="6"/>
        </patternFill>
      </fill>
      <border diagonalUp="0" diagonalDown="0" outline="0">
        <left style="thin">
          <color theme="0"/>
        </left>
        <right style="thin">
          <color theme="0"/>
        </right>
        <top style="thick">
          <color theme="0"/>
        </top>
        <bottom/>
      </border>
    </dxf>
    <dxf>
      <font>
        <b val="0"/>
        <i val="0"/>
        <strike val="0"/>
        <condense val="0"/>
        <extend val="0"/>
        <outline val="0"/>
        <shadow val="0"/>
        <u val="none"/>
        <vertAlign val="baseline"/>
        <sz val="11"/>
        <color theme="1"/>
        <name val="Open Sans"/>
        <family val="2"/>
        <scheme val="none"/>
      </font>
      <numFmt numFmtId="169" formatCode="_(* #,##0_);_(* \(#,##0\);_(* &quot;-&quot;??_);_(@_)"/>
      <fill>
        <patternFill patternType="solid">
          <fgColor theme="6" tint="0.59999389629810485"/>
          <bgColor theme="6" tint="0.59999389629810485"/>
        </patternFill>
      </fill>
    </dxf>
    <dxf>
      <font>
        <b/>
        <i val="0"/>
        <strike val="0"/>
        <condense val="0"/>
        <extend val="0"/>
        <outline val="0"/>
        <shadow val="0"/>
        <u val="none"/>
        <vertAlign val="baseline"/>
        <sz val="11"/>
        <color theme="0"/>
        <name val="Open Sans"/>
        <family val="2"/>
        <scheme val="none"/>
      </font>
      <numFmt numFmtId="169" formatCode="_(* #,##0_);_(* \(#,##0\);_(* &quot;-&quot;??_);_(@_)"/>
      <fill>
        <patternFill patternType="solid">
          <fgColor theme="6"/>
          <bgColor theme="6"/>
        </patternFill>
      </fill>
      <border diagonalUp="0" diagonalDown="0" outline="0">
        <left style="thin">
          <color theme="0"/>
        </left>
        <right style="thin">
          <color theme="0"/>
        </right>
        <top style="thick">
          <color theme="0"/>
        </top>
        <bottom/>
      </border>
    </dxf>
    <dxf>
      <font>
        <b val="0"/>
        <i val="0"/>
        <strike val="0"/>
        <condense val="0"/>
        <extend val="0"/>
        <outline val="0"/>
        <shadow val="0"/>
        <u val="none"/>
        <vertAlign val="baseline"/>
        <sz val="11"/>
        <color theme="1"/>
        <name val="Open Sans"/>
        <family val="2"/>
        <scheme val="none"/>
      </font>
      <fill>
        <patternFill patternType="solid">
          <fgColor theme="6" tint="0.59999389629810485"/>
          <bgColor theme="6" tint="0.59999389629810485"/>
        </patternFill>
      </fill>
    </dxf>
    <dxf>
      <numFmt numFmtId="165" formatCode="_(* #,##0.00_);_(* \(#,##0.00\);_(* &quot;-&quot;??_);_(@_)"/>
    </dxf>
    <dxf>
      <font>
        <b val="0"/>
        <i val="0"/>
        <strike val="0"/>
        <condense val="0"/>
        <extend val="0"/>
        <outline val="0"/>
        <shadow val="0"/>
        <u val="none"/>
        <vertAlign val="baseline"/>
        <sz val="11"/>
        <color theme="1"/>
        <name val="Open Sans"/>
        <family val="2"/>
        <scheme val="none"/>
      </font>
      <numFmt numFmtId="169" formatCode="_(* #,##0_);_(* \(#,##0\);_(* &quot;-&quot;??_);_(@_)"/>
      <fill>
        <patternFill patternType="solid">
          <fgColor theme="6" tint="0.59999389629810485"/>
          <bgColor theme="6" tint="0.59999389629810485"/>
        </patternFill>
      </fill>
      <border diagonalUp="0" diagonalDown="0">
        <left/>
        <right style="thin">
          <color theme="0"/>
        </right>
        <top/>
        <bottom style="thin">
          <color theme="0"/>
        </bottom>
        <vertical/>
        <horizontal/>
      </border>
    </dxf>
    <dxf>
      <font>
        <b/>
        <i val="0"/>
        <strike val="0"/>
        <condense val="0"/>
        <extend val="0"/>
        <outline val="0"/>
        <shadow val="0"/>
        <u val="none"/>
        <vertAlign val="baseline"/>
        <sz val="11"/>
        <color theme="0"/>
        <name val="Open Sans"/>
        <family val="2"/>
        <scheme val="none"/>
      </font>
      <numFmt numFmtId="169" formatCode="_(* #,##0_);_(* \(#,##0\);_(* &quot;-&quot;??_);_(@_)"/>
      <fill>
        <patternFill patternType="solid">
          <fgColor theme="6"/>
          <bgColor theme="6"/>
        </patternFill>
      </fill>
      <border diagonalUp="0" diagonalDown="0" outline="0">
        <left style="thin">
          <color theme="0"/>
        </left>
        <right style="thin">
          <color theme="0"/>
        </right>
        <top style="thick">
          <color theme="0"/>
        </top>
        <bottom/>
      </border>
    </dxf>
    <dxf>
      <font>
        <b val="0"/>
        <i val="0"/>
        <strike val="0"/>
        <condense val="0"/>
        <extend val="0"/>
        <outline val="0"/>
        <shadow val="0"/>
        <u val="none"/>
        <vertAlign val="baseline"/>
        <sz val="11"/>
        <color theme="1"/>
        <name val="Open Sans"/>
        <family val="2"/>
        <scheme val="none"/>
      </font>
      <numFmt numFmtId="169" formatCode="_(* #,##0_);_(* \(#,##0\);_(* &quot;-&quot;??_);_(@_)"/>
      <fill>
        <patternFill patternType="solid">
          <fgColor theme="6" tint="0.59999389629810485"/>
          <bgColor theme="6" tint="0.59999389629810485"/>
        </patternFill>
      </fill>
      <border diagonalUp="0" diagonalDown="0">
        <left/>
        <right style="thin">
          <color theme="0"/>
        </right>
        <top/>
        <bottom style="thin">
          <color theme="0"/>
        </bottom>
        <vertical/>
        <horizontal/>
      </border>
    </dxf>
    <dxf>
      <font>
        <b/>
        <i val="0"/>
        <strike val="0"/>
        <condense val="0"/>
        <extend val="0"/>
        <outline val="0"/>
        <shadow val="0"/>
        <u val="none"/>
        <vertAlign val="baseline"/>
        <sz val="11"/>
        <color theme="0"/>
        <name val="Open Sans"/>
        <family val="2"/>
        <scheme val="none"/>
      </font>
      <numFmt numFmtId="169" formatCode="_(* #,##0_);_(* \(#,##0\);_(* &quot;-&quot;??_);_(@_)"/>
      <fill>
        <patternFill patternType="solid">
          <fgColor theme="6"/>
          <bgColor theme="6"/>
        </patternFill>
      </fill>
      <border diagonalUp="0" diagonalDown="0" outline="0">
        <left style="thin">
          <color theme="0"/>
        </left>
        <right style="thin">
          <color theme="0"/>
        </right>
        <top style="thick">
          <color theme="0"/>
        </top>
        <bottom/>
      </border>
    </dxf>
    <dxf>
      <font>
        <b val="0"/>
        <i val="0"/>
        <strike val="0"/>
        <condense val="0"/>
        <extend val="0"/>
        <outline val="0"/>
        <shadow val="0"/>
        <u val="none"/>
        <vertAlign val="baseline"/>
        <sz val="11"/>
        <color theme="1"/>
        <name val="Open Sans"/>
        <family val="2"/>
        <scheme val="none"/>
      </font>
      <numFmt numFmtId="169" formatCode="_(* #,##0_);_(* \(#,##0\);_(* &quot;-&quot;??_);_(@_)"/>
      <fill>
        <patternFill patternType="solid">
          <fgColor theme="6" tint="0.59999389629810485"/>
          <bgColor theme="6" tint="0.59999389629810485"/>
        </patternFill>
      </fill>
      <border diagonalUp="0" diagonalDown="0">
        <left/>
        <right/>
        <top style="thin">
          <color theme="0"/>
        </top>
        <bottom style="thin">
          <color theme="0"/>
        </bottom>
        <vertical/>
        <horizontal/>
      </border>
    </dxf>
    <dxf>
      <font>
        <b/>
        <i val="0"/>
        <strike val="0"/>
        <condense val="0"/>
        <extend val="0"/>
        <outline val="0"/>
        <shadow val="0"/>
        <u val="none"/>
        <vertAlign val="baseline"/>
        <sz val="11"/>
        <color theme="0"/>
        <name val="Open Sans"/>
        <family val="2"/>
        <scheme val="none"/>
      </font>
      <numFmt numFmtId="169" formatCode="_(* #,##0_);_(* \(#,##0\);_(* &quot;-&quot;??_);_(@_)"/>
      <fill>
        <patternFill patternType="solid">
          <fgColor theme="6"/>
          <bgColor theme="6"/>
        </patternFill>
      </fill>
      <border diagonalUp="0" diagonalDown="0" outline="0">
        <left style="thin">
          <color theme="0"/>
        </left>
        <right style="thin">
          <color theme="0"/>
        </right>
        <top style="thick">
          <color theme="0"/>
        </top>
        <bottom/>
      </border>
    </dxf>
    <dxf>
      <font>
        <b val="0"/>
        <i val="0"/>
        <strike val="0"/>
        <condense val="0"/>
        <extend val="0"/>
        <outline val="0"/>
        <shadow val="0"/>
        <u val="none"/>
        <vertAlign val="baseline"/>
        <sz val="11"/>
        <color theme="1"/>
        <name val="Open Sans"/>
        <family val="2"/>
        <scheme val="none"/>
      </font>
      <numFmt numFmtId="169" formatCode="_(* #,##0_);_(* \(#,##0\);_(* &quot;-&quot;??_);_(@_)"/>
      <fill>
        <patternFill patternType="solid">
          <fgColor theme="6" tint="0.59999389629810485"/>
          <bgColor theme="6" tint="0.59999389629810485"/>
        </patternFill>
      </fill>
      <border diagonalUp="0" diagonalDown="0">
        <left/>
        <right style="thin">
          <color theme="0"/>
        </right>
        <top style="thin">
          <color theme="0"/>
        </top>
        <bottom style="thin">
          <color theme="0"/>
        </bottom>
        <vertical/>
        <horizontal/>
      </border>
    </dxf>
    <dxf>
      <font>
        <b/>
        <i val="0"/>
        <strike val="0"/>
        <condense val="0"/>
        <extend val="0"/>
        <outline val="0"/>
        <shadow val="0"/>
        <u val="none"/>
        <vertAlign val="baseline"/>
        <sz val="11"/>
        <color theme="0"/>
        <name val="Open Sans"/>
        <family val="2"/>
        <scheme val="none"/>
      </font>
      <numFmt numFmtId="169" formatCode="_(* #,##0_);_(* \(#,##0\);_(* &quot;-&quot;??_);_(@_)"/>
      <fill>
        <patternFill patternType="solid">
          <fgColor theme="6"/>
          <bgColor theme="6"/>
        </patternFill>
      </fill>
      <border diagonalUp="0" diagonalDown="0" outline="0">
        <left style="thin">
          <color theme="0"/>
        </left>
        <right style="thin">
          <color theme="0"/>
        </right>
        <top style="thick">
          <color theme="0"/>
        </top>
        <bottom/>
      </border>
    </dxf>
    <dxf>
      <font>
        <b val="0"/>
        <i val="0"/>
        <strike val="0"/>
        <condense val="0"/>
        <extend val="0"/>
        <outline val="0"/>
        <shadow val="0"/>
        <u val="none"/>
        <vertAlign val="baseline"/>
        <sz val="11"/>
        <color theme="1"/>
        <name val="Open Sans"/>
        <family val="2"/>
        <scheme val="none"/>
      </font>
      <numFmt numFmtId="2" formatCode="0.00"/>
      <fill>
        <patternFill patternType="solid">
          <fgColor theme="6" tint="0.59999389629810485"/>
          <bgColor theme="6" tint="0.59999389629810485"/>
        </patternFill>
      </fill>
      <border diagonalUp="0" diagonalDown="0">
        <left/>
        <right style="thin">
          <color theme="0"/>
        </right>
        <top style="thin">
          <color theme="0"/>
        </top>
        <bottom style="thin">
          <color theme="0"/>
        </bottom>
        <vertical/>
        <horizontal/>
      </border>
    </dxf>
    <dxf>
      <font>
        <b/>
        <i val="0"/>
        <strike val="0"/>
        <condense val="0"/>
        <extend val="0"/>
        <outline val="0"/>
        <shadow val="0"/>
        <u val="none"/>
        <vertAlign val="baseline"/>
        <sz val="11"/>
        <color theme="0"/>
        <name val="Open Sans"/>
        <family val="2"/>
        <scheme val="none"/>
      </font>
      <fill>
        <patternFill patternType="solid">
          <fgColor theme="6"/>
          <bgColor theme="6"/>
        </patternFill>
      </fill>
      <border diagonalUp="0" diagonalDown="0" outline="0">
        <left style="thin">
          <color theme="0"/>
        </left>
        <right style="thin">
          <color theme="0"/>
        </right>
        <top style="thick">
          <color theme="0"/>
        </top>
        <bottom/>
      </border>
    </dxf>
    <dxf>
      <font>
        <b val="0"/>
        <i val="0"/>
        <strike val="0"/>
        <condense val="0"/>
        <extend val="0"/>
        <outline val="0"/>
        <shadow val="0"/>
        <u val="none"/>
        <vertAlign val="baseline"/>
        <sz val="11"/>
        <color theme="1"/>
        <name val="Open Sans"/>
        <family val="2"/>
        <scheme val="none"/>
      </font>
      <numFmt numFmtId="30" formatCode="@"/>
      <fill>
        <patternFill patternType="solid">
          <fgColor theme="6" tint="0.59999389629810485"/>
          <bgColor theme="6" tint="0.59999389629810485"/>
        </patternFill>
      </fill>
      <border diagonalUp="0" diagonalDown="0">
        <left/>
        <right style="thin">
          <color theme="0"/>
        </right>
        <top style="thin">
          <color theme="0"/>
        </top>
        <bottom style="thin">
          <color theme="0"/>
        </bottom>
        <vertical/>
        <horizontal/>
      </border>
    </dxf>
    <dxf>
      <font>
        <b/>
        <i val="0"/>
        <strike val="0"/>
        <condense val="0"/>
        <extend val="0"/>
        <outline val="0"/>
        <shadow val="0"/>
        <u val="none"/>
        <vertAlign val="baseline"/>
        <sz val="11"/>
        <color theme="0"/>
        <name val="Open Sans"/>
        <family val="2"/>
        <scheme val="none"/>
      </font>
      <fill>
        <patternFill patternType="solid">
          <fgColor theme="6"/>
          <bgColor theme="6"/>
        </patternFill>
      </fill>
      <border diagonalUp="0" diagonalDown="0" outline="0">
        <left/>
        <right style="thin">
          <color theme="0"/>
        </right>
        <top style="thick">
          <color theme="0"/>
        </top>
        <bottom/>
      </border>
    </dxf>
    <dxf>
      <border outline="0">
        <bottom style="thick">
          <color theme="0"/>
        </bottom>
      </border>
    </dxf>
    <dxf>
      <border outline="0">
        <right style="thin">
          <color theme="0"/>
        </right>
      </border>
    </dxf>
    <dxf>
      <font>
        <b val="0"/>
        <i val="0"/>
        <strike val="0"/>
        <condense val="0"/>
        <extend val="0"/>
        <outline val="0"/>
        <shadow val="0"/>
        <u val="none"/>
        <vertAlign val="baseline"/>
        <sz val="11"/>
        <color theme="1"/>
        <name val="Open Sans"/>
        <family val="2"/>
        <scheme val="none"/>
      </font>
      <fill>
        <patternFill patternType="solid">
          <fgColor theme="6" tint="0.59999389629810485"/>
          <bgColor theme="6" tint="0.59999389629810485"/>
        </patternFill>
      </fill>
    </dxf>
    <dxf>
      <font>
        <strike val="0"/>
        <outline val="0"/>
        <shadow val="0"/>
        <u val="none"/>
        <vertAlign val="baseline"/>
        <sz val="10"/>
        <name val="Open Sans"/>
        <family val="2"/>
        <scheme val="none"/>
      </font>
      <numFmt numFmtId="3" formatCode="#,##0"/>
      <fill>
        <patternFill patternType="solid">
          <fgColor indexed="64"/>
          <bgColor theme="0"/>
        </patternFill>
      </fill>
    </dxf>
    <dxf>
      <font>
        <b val="0"/>
        <i val="0"/>
        <strike val="0"/>
        <condense val="0"/>
        <extend val="0"/>
        <outline val="0"/>
        <shadow val="0"/>
        <u val="none"/>
        <vertAlign val="baseline"/>
        <sz val="11"/>
        <color theme="0"/>
        <name val="Open Sans"/>
        <family val="2"/>
        <scheme val="none"/>
      </font>
      <numFmt numFmtId="169" formatCode="_(* #,##0_);_(* \(#,##0\);_(* &quot;-&quot;??_);_(@_)"/>
      <fill>
        <patternFill patternType="solid">
          <fgColor theme="6"/>
          <bgColor theme="6"/>
        </patternFill>
      </fill>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Open Sans"/>
        <family val="2"/>
        <scheme val="none"/>
      </font>
      <numFmt numFmtId="3" formatCode="#,##0"/>
      <fill>
        <patternFill patternType="solid">
          <fgColor indexed="64"/>
          <bgColor theme="0"/>
        </patternFill>
      </fill>
    </dxf>
    <dxf>
      <font>
        <b/>
        <i val="0"/>
        <strike val="0"/>
        <condense val="0"/>
        <extend val="0"/>
        <outline val="0"/>
        <shadow val="0"/>
        <u val="none"/>
        <vertAlign val="baseline"/>
        <sz val="11"/>
        <color theme="0"/>
        <name val="Open Sans"/>
        <family val="2"/>
        <scheme val="none"/>
      </font>
      <numFmt numFmtId="3" formatCode="#,##0"/>
      <fill>
        <patternFill patternType="solid">
          <fgColor theme="6"/>
          <bgColor theme="6"/>
        </patternFill>
      </fill>
      <border diagonalUp="0" diagonalDown="0" outline="0">
        <left style="thin">
          <color theme="0"/>
        </left>
        <right/>
        <top style="thick">
          <color theme="0"/>
        </top>
        <bottom/>
      </border>
    </dxf>
    <dxf>
      <font>
        <strike val="0"/>
        <outline val="0"/>
        <shadow val="0"/>
        <u val="none"/>
        <vertAlign val="baseline"/>
        <sz val="10"/>
        <name val="Open Sans"/>
        <family val="2"/>
        <scheme val="none"/>
      </font>
      <numFmt numFmtId="3" formatCode="#,##0"/>
      <fill>
        <patternFill patternType="solid">
          <fgColor indexed="64"/>
          <bgColor theme="0"/>
        </patternFill>
      </fill>
      <border diagonalUp="0" diagonalDown="0">
        <left style="thin">
          <color theme="0"/>
        </left>
        <right/>
        <top style="thin">
          <color theme="0"/>
        </top>
        <bottom style="thin">
          <color theme="0"/>
        </bottom>
        <vertical/>
        <horizontal/>
      </border>
    </dxf>
    <dxf>
      <font>
        <b/>
        <i val="0"/>
        <strike val="0"/>
        <condense val="0"/>
        <extend val="0"/>
        <outline val="0"/>
        <shadow val="0"/>
        <u val="none"/>
        <vertAlign val="baseline"/>
        <sz val="11"/>
        <color theme="0"/>
        <name val="Open Sans"/>
        <family val="2"/>
        <scheme val="none"/>
      </font>
      <numFmt numFmtId="3" formatCode="#,##0"/>
      <fill>
        <patternFill patternType="solid">
          <fgColor theme="6"/>
          <bgColor theme="6"/>
        </patternFill>
      </fill>
      <border diagonalUp="0" diagonalDown="0" outline="0">
        <left style="thin">
          <color theme="0"/>
        </left>
        <right/>
        <top style="thick">
          <color theme="0"/>
        </top>
        <bottom/>
      </border>
    </dxf>
    <dxf>
      <font>
        <strike val="0"/>
        <outline val="0"/>
        <shadow val="0"/>
        <u val="none"/>
        <vertAlign val="baseline"/>
        <sz val="10"/>
        <name val="Open Sans"/>
        <family val="2"/>
        <scheme val="none"/>
      </font>
      <numFmt numFmtId="3" formatCode="#,##0"/>
      <fill>
        <patternFill patternType="solid">
          <fgColor indexed="64"/>
          <bgColor theme="0"/>
        </patternFill>
      </fill>
      <border diagonalUp="0" diagonalDown="0">
        <left style="thin">
          <color theme="0"/>
        </left>
        <right style="thin">
          <color theme="0"/>
        </right>
        <top style="thin">
          <color theme="0"/>
        </top>
        <bottom style="thin">
          <color theme="0"/>
        </bottom>
        <vertical/>
        <horizontal/>
      </border>
    </dxf>
    <dxf>
      <font>
        <b/>
        <i val="0"/>
        <strike val="0"/>
        <condense val="0"/>
        <extend val="0"/>
        <outline val="0"/>
        <shadow val="0"/>
        <u val="none"/>
        <vertAlign val="baseline"/>
        <sz val="11"/>
        <color theme="0"/>
        <name val="Open Sans"/>
        <family val="2"/>
        <scheme val="none"/>
      </font>
      <numFmt numFmtId="3" formatCode="#,##0"/>
      <fill>
        <patternFill patternType="solid">
          <fgColor theme="6"/>
          <bgColor theme="6"/>
        </patternFill>
      </fill>
      <border diagonalUp="0" diagonalDown="0" outline="0">
        <left style="thin">
          <color theme="0"/>
        </left>
        <right style="thin">
          <color theme="0"/>
        </right>
        <top style="thick">
          <color theme="0"/>
        </top>
        <bottom/>
      </border>
    </dxf>
    <dxf>
      <font>
        <strike val="0"/>
        <outline val="0"/>
        <shadow val="0"/>
        <u val="none"/>
        <vertAlign val="baseline"/>
        <sz val="10"/>
        <name val="Open Sans"/>
        <family val="2"/>
        <scheme val="none"/>
      </font>
      <numFmt numFmtId="3" formatCode="#,##0"/>
      <fill>
        <patternFill patternType="solid">
          <fgColor indexed="64"/>
          <bgColor theme="0"/>
        </patternFill>
      </fill>
      <border diagonalUp="0" diagonalDown="0">
        <left style="thin">
          <color theme="0"/>
        </left>
        <right style="thin">
          <color theme="0"/>
        </right>
        <top style="thin">
          <color theme="0"/>
        </top>
        <bottom style="thin">
          <color theme="0"/>
        </bottom>
        <vertical/>
        <horizontal/>
      </border>
    </dxf>
    <dxf>
      <font>
        <b/>
        <i val="0"/>
        <strike val="0"/>
        <condense val="0"/>
        <extend val="0"/>
        <outline val="0"/>
        <shadow val="0"/>
        <u val="none"/>
        <vertAlign val="baseline"/>
        <sz val="11"/>
        <color theme="0"/>
        <name val="Open Sans"/>
        <family val="2"/>
        <scheme val="none"/>
      </font>
      <numFmt numFmtId="3" formatCode="#,##0"/>
      <fill>
        <patternFill patternType="solid">
          <fgColor theme="6"/>
          <bgColor theme="6"/>
        </patternFill>
      </fill>
      <border diagonalUp="0" diagonalDown="0" outline="0">
        <left style="thin">
          <color theme="0"/>
        </left>
        <right style="thin">
          <color theme="0"/>
        </right>
        <top style="thick">
          <color theme="0"/>
        </top>
        <bottom/>
      </border>
    </dxf>
    <dxf>
      <font>
        <strike val="0"/>
        <outline val="0"/>
        <shadow val="0"/>
        <u val="none"/>
        <vertAlign val="baseline"/>
        <sz val="10"/>
        <name val="Open Sans"/>
        <family val="2"/>
        <scheme val="none"/>
      </font>
      <numFmt numFmtId="3" formatCode="#,##0"/>
      <fill>
        <patternFill patternType="solid">
          <fgColor indexed="64"/>
          <bgColor theme="0"/>
        </patternFill>
      </fill>
      <border diagonalUp="0" diagonalDown="0">
        <left style="thin">
          <color theme="0"/>
        </left>
        <right style="thin">
          <color theme="0"/>
        </right>
        <top style="thin">
          <color theme="0"/>
        </top>
        <bottom style="thin">
          <color theme="0"/>
        </bottom>
        <vertical/>
        <horizontal/>
      </border>
    </dxf>
    <dxf>
      <font>
        <b/>
        <i val="0"/>
        <strike val="0"/>
        <condense val="0"/>
        <extend val="0"/>
        <outline val="0"/>
        <shadow val="0"/>
        <u val="none"/>
        <vertAlign val="baseline"/>
        <sz val="11"/>
        <color theme="0"/>
        <name val="Open Sans"/>
        <family val="2"/>
        <scheme val="none"/>
      </font>
      <numFmt numFmtId="3" formatCode="#,##0"/>
      <fill>
        <patternFill patternType="solid">
          <fgColor theme="6"/>
          <bgColor theme="6"/>
        </patternFill>
      </fill>
      <border diagonalUp="0" diagonalDown="0" outline="0">
        <left style="thin">
          <color theme="0"/>
        </left>
        <right style="thin">
          <color theme="0"/>
        </right>
        <top style="thick">
          <color theme="0"/>
        </top>
        <bottom/>
      </border>
    </dxf>
    <dxf>
      <font>
        <strike val="0"/>
        <outline val="0"/>
        <shadow val="0"/>
        <u val="none"/>
        <vertAlign val="baseline"/>
        <sz val="10"/>
        <name val="Open Sans"/>
        <family val="2"/>
        <scheme val="none"/>
      </font>
      <numFmt numFmtId="3" formatCode="#,##0"/>
      <fill>
        <patternFill patternType="solid">
          <fgColor indexed="64"/>
          <bgColor theme="0"/>
        </patternFill>
      </fill>
      <border diagonalUp="0" diagonalDown="0">
        <left style="thin">
          <color theme="0"/>
        </left>
        <right style="thin">
          <color theme="0"/>
        </right>
        <top style="thin">
          <color theme="0"/>
        </top>
        <bottom style="thin">
          <color theme="0"/>
        </bottom>
        <vertical/>
        <horizontal/>
      </border>
    </dxf>
    <dxf>
      <font>
        <b/>
        <i val="0"/>
        <strike val="0"/>
        <condense val="0"/>
        <extend val="0"/>
        <outline val="0"/>
        <shadow val="0"/>
        <u val="none"/>
        <vertAlign val="baseline"/>
        <sz val="11"/>
        <color theme="0"/>
        <name val="Open Sans"/>
        <family val="2"/>
        <scheme val="none"/>
      </font>
      <numFmt numFmtId="3" formatCode="#,##0"/>
      <fill>
        <patternFill patternType="solid">
          <fgColor theme="6"/>
          <bgColor theme="6"/>
        </patternFill>
      </fill>
      <border diagonalUp="0" diagonalDown="0" outline="0">
        <left style="thin">
          <color theme="0"/>
        </left>
        <right style="thin">
          <color theme="0"/>
        </right>
        <top style="thick">
          <color theme="0"/>
        </top>
        <bottom/>
      </border>
    </dxf>
    <dxf>
      <font>
        <strike val="0"/>
        <outline val="0"/>
        <shadow val="0"/>
        <u val="none"/>
        <vertAlign val="baseline"/>
        <sz val="10"/>
        <name val="Open Sans"/>
        <family val="2"/>
        <scheme val="none"/>
      </font>
      <numFmt numFmtId="3" formatCode="#,##0"/>
      <fill>
        <patternFill patternType="solid">
          <fgColor indexed="64"/>
          <bgColor theme="0"/>
        </patternFill>
      </fill>
      <border diagonalUp="0" diagonalDown="0">
        <left style="thin">
          <color theme="0"/>
        </left>
        <right style="thin">
          <color theme="0"/>
        </right>
        <top style="thin">
          <color theme="0"/>
        </top>
        <bottom style="thin">
          <color theme="0"/>
        </bottom>
        <vertical/>
        <horizontal/>
      </border>
    </dxf>
    <dxf>
      <font>
        <b/>
        <i val="0"/>
        <strike val="0"/>
        <condense val="0"/>
        <extend val="0"/>
        <outline val="0"/>
        <shadow val="0"/>
        <u val="none"/>
        <vertAlign val="baseline"/>
        <sz val="11"/>
        <color theme="0"/>
        <name val="Open Sans"/>
        <family val="2"/>
        <scheme val="none"/>
      </font>
      <numFmt numFmtId="3" formatCode="#,##0"/>
      <fill>
        <patternFill patternType="solid">
          <fgColor theme="6"/>
          <bgColor theme="6"/>
        </patternFill>
      </fill>
      <border diagonalUp="0" diagonalDown="0" outline="0">
        <left style="thin">
          <color theme="0"/>
        </left>
        <right style="thin">
          <color theme="0"/>
        </right>
        <top style="thick">
          <color theme="0"/>
        </top>
        <bottom/>
      </border>
    </dxf>
    <dxf>
      <font>
        <strike val="0"/>
        <outline val="0"/>
        <shadow val="0"/>
        <u val="none"/>
        <vertAlign val="baseline"/>
        <sz val="10"/>
        <name val="Open Sans"/>
        <family val="2"/>
        <scheme val="none"/>
      </font>
      <numFmt numFmtId="3" formatCode="#,##0"/>
      <fill>
        <patternFill patternType="solid">
          <fgColor indexed="64"/>
          <bgColor theme="0"/>
        </patternFill>
      </fill>
      <border diagonalUp="0" diagonalDown="0">
        <left style="thin">
          <color theme="0"/>
        </left>
        <right style="thin">
          <color theme="0"/>
        </right>
        <top style="thin">
          <color theme="0"/>
        </top>
        <bottom style="thin">
          <color theme="0"/>
        </bottom>
        <vertical/>
        <horizontal/>
      </border>
    </dxf>
    <dxf>
      <font>
        <b/>
        <i val="0"/>
        <strike val="0"/>
        <condense val="0"/>
        <extend val="0"/>
        <outline val="0"/>
        <shadow val="0"/>
        <u val="none"/>
        <vertAlign val="baseline"/>
        <sz val="11"/>
        <color theme="0"/>
        <name val="Open Sans"/>
        <family val="2"/>
        <scheme val="none"/>
      </font>
      <numFmt numFmtId="3" formatCode="#,##0"/>
      <fill>
        <patternFill patternType="solid">
          <fgColor theme="6"/>
          <bgColor theme="6"/>
        </patternFill>
      </fill>
      <border diagonalUp="0" diagonalDown="0" outline="0">
        <left style="thin">
          <color theme="0"/>
        </left>
        <right style="thin">
          <color theme="0"/>
        </right>
        <top style="thick">
          <color theme="0"/>
        </top>
        <bottom/>
      </border>
    </dxf>
    <dxf>
      <font>
        <b val="0"/>
        <i val="0"/>
        <strike val="0"/>
        <condense val="0"/>
        <extend val="0"/>
        <outline val="0"/>
        <shadow val="0"/>
        <u val="none"/>
        <vertAlign val="baseline"/>
        <sz val="10"/>
        <color theme="1"/>
        <name val="Open Sans"/>
        <family val="2"/>
        <scheme val="none"/>
      </font>
      <numFmt numFmtId="3" formatCode="#,##0"/>
      <fill>
        <patternFill patternType="solid">
          <fgColor indexed="64"/>
          <bgColor theme="0"/>
        </patternFill>
      </fill>
      <border diagonalUp="0" diagonalDown="0">
        <left style="thin">
          <color theme="0"/>
        </left>
        <right style="thin">
          <color theme="0"/>
        </right>
        <top style="thin">
          <color theme="0"/>
        </top>
        <bottom style="thin">
          <color theme="0"/>
        </bottom>
        <vertical/>
        <horizontal/>
      </border>
    </dxf>
    <dxf>
      <font>
        <b/>
        <i val="0"/>
        <strike val="0"/>
        <condense val="0"/>
        <extend val="0"/>
        <outline val="0"/>
        <shadow val="0"/>
        <u val="none"/>
        <vertAlign val="baseline"/>
        <sz val="11"/>
        <color theme="0"/>
        <name val="Open Sans"/>
        <family val="2"/>
        <scheme val="none"/>
      </font>
      <numFmt numFmtId="3" formatCode="#,##0"/>
      <fill>
        <patternFill patternType="solid">
          <fgColor theme="6"/>
          <bgColor theme="6"/>
        </patternFill>
      </fill>
      <border diagonalUp="0" diagonalDown="0" outline="0">
        <left style="thin">
          <color theme="0"/>
        </left>
        <right style="thin">
          <color theme="0"/>
        </right>
        <top style="thick">
          <color theme="0"/>
        </top>
        <bottom/>
      </border>
    </dxf>
    <dxf>
      <font>
        <strike val="0"/>
        <outline val="0"/>
        <shadow val="0"/>
        <u val="none"/>
        <vertAlign val="baseline"/>
        <sz val="10"/>
        <name val="Open Sans"/>
        <family val="2"/>
        <scheme val="none"/>
      </font>
      <numFmt numFmtId="3" formatCode="#,##0"/>
      <fill>
        <patternFill patternType="solid">
          <fgColor indexed="64"/>
          <bgColor theme="0"/>
        </patternFill>
      </fill>
      <border diagonalUp="0" diagonalDown="0">
        <left style="thin">
          <color theme="0"/>
        </left>
        <right style="thin">
          <color theme="0"/>
        </right>
        <top style="thin">
          <color theme="0"/>
        </top>
        <bottom style="thin">
          <color theme="0"/>
        </bottom>
        <vertical/>
        <horizontal/>
      </border>
    </dxf>
    <dxf>
      <font>
        <b/>
        <i val="0"/>
        <strike val="0"/>
        <condense val="0"/>
        <extend val="0"/>
        <outline val="0"/>
        <shadow val="0"/>
        <u val="none"/>
        <vertAlign val="baseline"/>
        <sz val="11"/>
        <color theme="0"/>
        <name val="Open Sans"/>
        <family val="2"/>
        <scheme val="none"/>
      </font>
      <numFmt numFmtId="3" formatCode="#,##0"/>
      <fill>
        <patternFill patternType="solid">
          <fgColor theme="6"/>
          <bgColor theme="6"/>
        </patternFill>
      </fill>
      <border diagonalUp="0" diagonalDown="0" outline="0">
        <left style="thin">
          <color theme="0"/>
        </left>
        <right style="thin">
          <color theme="0"/>
        </right>
        <top style="thick">
          <color theme="0"/>
        </top>
        <bottom/>
      </border>
    </dxf>
    <dxf>
      <font>
        <strike val="0"/>
        <outline val="0"/>
        <shadow val="0"/>
        <u val="none"/>
        <vertAlign val="baseline"/>
        <sz val="10"/>
        <name val="Open Sans"/>
        <family val="2"/>
        <scheme val="none"/>
      </font>
      <numFmt numFmtId="3" formatCode="#,##0"/>
      <fill>
        <patternFill patternType="solid">
          <fgColor indexed="64"/>
          <bgColor theme="0"/>
        </patternFill>
      </fill>
      <border diagonalUp="0" diagonalDown="0">
        <left style="thin">
          <color theme="0"/>
        </left>
        <right style="thin">
          <color theme="0"/>
        </right>
        <top style="thin">
          <color theme="0"/>
        </top>
        <bottom style="thin">
          <color theme="0"/>
        </bottom>
        <vertical/>
        <horizontal/>
      </border>
    </dxf>
    <dxf>
      <font>
        <b/>
        <i val="0"/>
        <strike val="0"/>
        <condense val="0"/>
        <extend val="0"/>
        <outline val="0"/>
        <shadow val="0"/>
        <u val="none"/>
        <vertAlign val="baseline"/>
        <sz val="11"/>
        <color theme="0"/>
        <name val="Open Sans"/>
        <family val="2"/>
        <scheme val="none"/>
      </font>
      <numFmt numFmtId="3" formatCode="#,##0"/>
      <fill>
        <patternFill patternType="solid">
          <fgColor theme="6"/>
          <bgColor theme="6"/>
        </patternFill>
      </fill>
      <border diagonalUp="0" diagonalDown="0" outline="0">
        <left style="thin">
          <color theme="0"/>
        </left>
        <right style="thin">
          <color theme="0"/>
        </right>
        <top style="thick">
          <color theme="0"/>
        </top>
        <bottom/>
      </border>
    </dxf>
    <dxf>
      <font>
        <b val="0"/>
        <i val="0"/>
        <strike val="0"/>
        <condense val="0"/>
        <extend val="0"/>
        <outline val="0"/>
        <shadow val="0"/>
        <u val="none"/>
        <vertAlign val="baseline"/>
        <sz val="10"/>
        <color theme="1"/>
        <name val="Open Sans"/>
        <family val="2"/>
        <scheme val="none"/>
      </font>
      <numFmt numFmtId="3" formatCode="#,##0"/>
      <fill>
        <patternFill patternType="solid">
          <fgColor indexed="64"/>
          <bgColor theme="0"/>
        </patternFill>
      </fill>
      <border diagonalUp="0" diagonalDown="0">
        <left style="thin">
          <color theme="0"/>
        </left>
        <right style="thin">
          <color theme="0"/>
        </right>
        <top style="thin">
          <color theme="0"/>
        </top>
        <bottom style="thin">
          <color theme="0"/>
        </bottom>
        <vertical/>
        <horizontal/>
      </border>
    </dxf>
    <dxf>
      <font>
        <b/>
        <i val="0"/>
        <strike val="0"/>
        <condense val="0"/>
        <extend val="0"/>
        <outline val="0"/>
        <shadow val="0"/>
        <u val="none"/>
        <vertAlign val="baseline"/>
        <sz val="11"/>
        <color theme="0"/>
        <name val="Open Sans"/>
        <family val="2"/>
        <scheme val="none"/>
      </font>
      <numFmt numFmtId="3" formatCode="#,##0"/>
      <fill>
        <patternFill patternType="solid">
          <fgColor theme="6"/>
          <bgColor theme="6"/>
        </patternFill>
      </fill>
      <border diagonalUp="0" diagonalDown="0" outline="0">
        <left style="thin">
          <color theme="0"/>
        </left>
        <right style="thin">
          <color theme="0"/>
        </right>
        <top style="thick">
          <color theme="0"/>
        </top>
        <bottom/>
      </border>
    </dxf>
    <dxf>
      <font>
        <sz val="10"/>
        <name val="Open Sans"/>
        <family val="2"/>
        <scheme val="none"/>
      </font>
      <numFmt numFmtId="3" formatCode="#,##0"/>
      <fill>
        <patternFill patternType="solid">
          <fgColor indexed="64"/>
          <bgColor theme="0"/>
        </patternFill>
      </fill>
      <border diagonalUp="0" diagonalDown="0">
        <left style="thin">
          <color theme="0"/>
        </left>
        <right style="thin">
          <color theme="0"/>
        </right>
        <top style="thin">
          <color theme="0"/>
        </top>
        <bottom style="thin">
          <color theme="0"/>
        </bottom>
        <vertical/>
        <horizontal/>
      </border>
    </dxf>
    <dxf>
      <font>
        <b/>
        <i val="0"/>
        <strike val="0"/>
        <condense val="0"/>
        <extend val="0"/>
        <outline val="0"/>
        <shadow val="0"/>
        <u val="none"/>
        <vertAlign val="baseline"/>
        <sz val="11"/>
        <color theme="0"/>
        <name val="Open Sans"/>
        <family val="2"/>
        <scheme val="none"/>
      </font>
      <numFmt numFmtId="3" formatCode="#,##0"/>
      <fill>
        <patternFill patternType="solid">
          <fgColor theme="6"/>
          <bgColor theme="6"/>
        </patternFill>
      </fill>
      <border diagonalUp="0" diagonalDown="0" outline="0">
        <left style="thin">
          <color theme="0"/>
        </left>
        <right style="thin">
          <color theme="0"/>
        </right>
        <top style="thick">
          <color theme="0"/>
        </top>
        <bottom/>
      </border>
    </dxf>
    <dxf>
      <font>
        <sz val="10"/>
        <name val="Open Sans"/>
        <family val="2"/>
        <scheme val="none"/>
      </font>
      <numFmt numFmtId="3" formatCode="#,##0"/>
      <fill>
        <patternFill patternType="solid">
          <fgColor indexed="64"/>
          <bgColor theme="0"/>
        </patternFill>
      </fill>
      <border diagonalUp="0" diagonalDown="0">
        <left style="thin">
          <color theme="0"/>
        </left>
        <right style="thin">
          <color theme="0"/>
        </right>
        <top style="thin">
          <color theme="0"/>
        </top>
        <bottom style="thin">
          <color theme="0"/>
        </bottom>
        <vertical/>
        <horizontal/>
      </border>
    </dxf>
    <dxf>
      <font>
        <b/>
        <i val="0"/>
        <strike val="0"/>
        <condense val="0"/>
        <extend val="0"/>
        <outline val="0"/>
        <shadow val="0"/>
        <u val="none"/>
        <vertAlign val="baseline"/>
        <sz val="11"/>
        <color theme="0"/>
        <name val="Open Sans"/>
        <family val="2"/>
        <scheme val="none"/>
      </font>
      <numFmt numFmtId="3" formatCode="#,##0"/>
      <fill>
        <patternFill patternType="solid">
          <fgColor theme="6"/>
          <bgColor theme="6"/>
        </patternFill>
      </fill>
      <border diagonalUp="0" diagonalDown="0" outline="0">
        <left style="thin">
          <color theme="0"/>
        </left>
        <right style="thin">
          <color theme="0"/>
        </right>
        <top style="thick">
          <color theme="0"/>
        </top>
        <bottom/>
      </border>
    </dxf>
    <dxf>
      <font>
        <sz val="10"/>
        <name val="Open Sans"/>
        <family val="2"/>
        <scheme val="none"/>
      </font>
      <numFmt numFmtId="3" formatCode="#,##0"/>
      <fill>
        <patternFill patternType="solid">
          <fgColor indexed="64"/>
          <bgColor theme="0"/>
        </patternFill>
      </fill>
      <border diagonalUp="0" diagonalDown="0">
        <left style="thin">
          <color theme="0"/>
        </left>
        <right style="thin">
          <color theme="0"/>
        </right>
        <top style="thin">
          <color theme="0"/>
        </top>
        <bottom style="thin">
          <color theme="0"/>
        </bottom>
        <vertical/>
        <horizontal/>
      </border>
    </dxf>
    <dxf>
      <font>
        <b/>
        <i val="0"/>
        <strike val="0"/>
        <condense val="0"/>
        <extend val="0"/>
        <outline val="0"/>
        <shadow val="0"/>
        <u val="none"/>
        <vertAlign val="baseline"/>
        <sz val="11"/>
        <color theme="0"/>
        <name val="Open Sans"/>
        <family val="2"/>
        <scheme val="none"/>
      </font>
      <numFmt numFmtId="3" formatCode="#,##0"/>
      <fill>
        <patternFill patternType="solid">
          <fgColor theme="6"/>
          <bgColor theme="6"/>
        </patternFill>
      </fill>
      <border diagonalUp="0" diagonalDown="0" outline="0">
        <left style="thin">
          <color theme="0"/>
        </left>
        <right style="thin">
          <color theme="0"/>
        </right>
        <top style="thick">
          <color theme="0"/>
        </top>
        <bottom/>
      </border>
    </dxf>
    <dxf>
      <font>
        <strike val="0"/>
        <outline val="0"/>
        <shadow val="0"/>
        <u val="none"/>
        <vertAlign val="baseline"/>
        <name val="Open Sans"/>
        <family val="2"/>
        <scheme val="none"/>
      </font>
      <numFmt numFmtId="0" formatCode="General"/>
      <fill>
        <patternFill patternType="solid">
          <fgColor theme="6" tint="0.59999389629810485"/>
          <bgColor theme="6" tint="0.59999389629810485"/>
        </patternFill>
      </fill>
      <border diagonalUp="0" diagonalDown="0">
        <left style="thin">
          <color theme="0"/>
        </left>
        <right style="thin">
          <color theme="0"/>
        </right>
        <top style="thin">
          <color theme="0"/>
        </top>
        <bottom style="thin">
          <color theme="0"/>
        </bottom>
        <vertical/>
        <horizontal/>
      </border>
    </dxf>
    <dxf>
      <font>
        <b/>
        <i val="0"/>
        <strike val="0"/>
        <condense val="0"/>
        <extend val="0"/>
        <outline val="0"/>
        <shadow val="0"/>
        <u val="none"/>
        <vertAlign val="baseline"/>
        <sz val="11"/>
        <color theme="0"/>
        <name val="Open Sans"/>
        <family val="2"/>
        <scheme val="none"/>
      </font>
      <fill>
        <patternFill patternType="solid">
          <fgColor theme="6"/>
          <bgColor theme="6"/>
        </patternFill>
      </fill>
      <border diagonalUp="0" diagonalDown="0" outline="0">
        <left style="thin">
          <color theme="0"/>
        </left>
        <right style="thin">
          <color theme="0"/>
        </right>
        <top style="thick">
          <color theme="0"/>
        </top>
        <bottom/>
      </border>
    </dxf>
    <dxf>
      <font>
        <strike val="0"/>
        <outline val="0"/>
        <shadow val="0"/>
        <u val="none"/>
        <vertAlign val="baseline"/>
        <name val="Open Sans"/>
        <family val="2"/>
        <scheme val="none"/>
      </font>
      <numFmt numFmtId="30" formatCode="@"/>
      <fill>
        <patternFill patternType="solid">
          <fgColor theme="6" tint="0.59999389629810485"/>
          <bgColor theme="6" tint="0.59999389629810485"/>
        </patternFill>
      </fill>
      <border diagonalUp="0" diagonalDown="0">
        <left/>
        <right style="thin">
          <color theme="0"/>
        </right>
        <top style="thin">
          <color theme="0"/>
        </top>
        <bottom style="thin">
          <color theme="0"/>
        </bottom>
        <vertical/>
        <horizontal/>
      </border>
    </dxf>
    <dxf>
      <font>
        <b/>
        <i val="0"/>
        <strike val="0"/>
        <condense val="0"/>
        <extend val="0"/>
        <outline val="0"/>
        <shadow val="0"/>
        <u val="none"/>
        <vertAlign val="baseline"/>
        <sz val="11"/>
        <color theme="0"/>
        <name val="Open Sans"/>
        <family val="2"/>
        <scheme val="none"/>
      </font>
      <fill>
        <patternFill patternType="solid">
          <fgColor theme="6"/>
          <bgColor theme="6"/>
        </patternFill>
      </fill>
      <border diagonalUp="0" diagonalDown="0" outline="0">
        <left/>
        <right style="thin">
          <color theme="0"/>
        </right>
        <top style="thick">
          <color theme="0"/>
        </top>
        <bottom/>
      </border>
    </dxf>
    <dxf>
      <font>
        <b val="0"/>
        <strike val="0"/>
        <outline val="0"/>
        <shadow val="0"/>
        <u val="none"/>
        <vertAlign val="baseline"/>
        <name val="Open Sans"/>
        <family val="2"/>
        <scheme val="none"/>
      </font>
      <border diagonalUp="0" diagonalDown="0" outline="0">
        <left style="thin">
          <color indexed="64"/>
        </left>
        <right style="thin">
          <color indexed="64"/>
        </right>
        <top/>
        <bottom/>
      </border>
    </dxf>
    <dxf>
      <font>
        <strike val="0"/>
        <outline val="0"/>
        <shadow val="0"/>
        <u val="none"/>
        <vertAlign val="baseline"/>
        <name val="Open Sans"/>
        <family val="2"/>
        <scheme val="none"/>
      </font>
    </dxf>
    <dxf>
      <font>
        <strike val="0"/>
        <outline val="0"/>
        <shadow val="0"/>
        <u val="none"/>
        <vertAlign val="baseline"/>
        <sz val="10"/>
        <name val="Open Sans"/>
        <family val="2"/>
        <scheme val="none"/>
      </font>
      <numFmt numFmtId="3" formatCode="#,##0"/>
      <fill>
        <patternFill patternType="solid">
          <fgColor indexed="64"/>
          <bgColor theme="0"/>
        </patternFill>
      </fill>
    </dxf>
    <dxf>
      <font>
        <b val="0"/>
        <i val="0"/>
        <strike val="0"/>
        <condense val="0"/>
        <extend val="0"/>
        <outline val="0"/>
        <shadow val="0"/>
        <u val="none"/>
        <vertAlign val="baseline"/>
        <sz val="11"/>
        <color theme="0"/>
        <name val="Open Sans"/>
        <family val="2"/>
        <scheme val="none"/>
      </font>
      <numFmt numFmtId="169" formatCode="_(* #,##0_);_(* \(#,##0\);_(* &quot;-&quot;??_);_(@_)"/>
      <fill>
        <patternFill patternType="solid">
          <fgColor theme="6"/>
          <bgColor theme="6"/>
        </patternFill>
      </fill>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Open Sans"/>
        <family val="2"/>
        <scheme val="none"/>
      </font>
      <numFmt numFmtId="3" formatCode="#,##0"/>
      <fill>
        <patternFill patternType="solid">
          <fgColor indexed="64"/>
          <bgColor theme="0"/>
        </patternFill>
      </fill>
    </dxf>
    <dxf>
      <font>
        <b/>
        <i val="0"/>
        <strike val="0"/>
        <condense val="0"/>
        <extend val="0"/>
        <outline val="0"/>
        <shadow val="0"/>
        <u val="none"/>
        <vertAlign val="baseline"/>
        <sz val="11"/>
        <color theme="0"/>
        <name val="Open Sans"/>
        <family val="2"/>
        <scheme val="none"/>
      </font>
      <numFmt numFmtId="3" formatCode="#,##0"/>
      <fill>
        <patternFill patternType="solid">
          <fgColor theme="6"/>
          <bgColor theme="6"/>
        </patternFill>
      </fill>
      <border diagonalUp="0" diagonalDown="0" outline="0">
        <left style="thin">
          <color theme="0"/>
        </left>
        <right/>
        <top style="thick">
          <color theme="0"/>
        </top>
        <bottom/>
      </border>
    </dxf>
    <dxf>
      <font>
        <strike val="0"/>
        <outline val="0"/>
        <shadow val="0"/>
        <u val="none"/>
        <vertAlign val="baseline"/>
        <sz val="10"/>
        <name val="Open Sans"/>
        <family val="2"/>
        <scheme val="none"/>
      </font>
      <numFmt numFmtId="3" formatCode="#,##0"/>
      <fill>
        <patternFill patternType="solid">
          <fgColor indexed="64"/>
          <bgColor theme="0"/>
        </patternFill>
      </fill>
      <border diagonalUp="0" diagonalDown="0">
        <left style="thin">
          <color theme="0"/>
        </left>
        <right/>
        <top style="thin">
          <color theme="0"/>
        </top>
        <bottom style="thin">
          <color theme="0"/>
        </bottom>
        <vertical/>
        <horizontal/>
      </border>
    </dxf>
    <dxf>
      <font>
        <b/>
        <i val="0"/>
        <strike val="0"/>
        <condense val="0"/>
        <extend val="0"/>
        <outline val="0"/>
        <shadow val="0"/>
        <u val="none"/>
        <vertAlign val="baseline"/>
        <sz val="11"/>
        <color theme="0"/>
        <name val="Open Sans"/>
        <family val="2"/>
        <scheme val="none"/>
      </font>
      <numFmt numFmtId="3" formatCode="#,##0"/>
      <fill>
        <patternFill patternType="solid">
          <fgColor theme="6"/>
          <bgColor theme="6"/>
        </patternFill>
      </fill>
      <border diagonalUp="0" diagonalDown="0" outline="0">
        <left style="thin">
          <color theme="0"/>
        </left>
        <right/>
        <top style="thick">
          <color theme="0"/>
        </top>
        <bottom/>
      </border>
    </dxf>
    <dxf>
      <font>
        <strike val="0"/>
        <outline val="0"/>
        <shadow val="0"/>
        <u val="none"/>
        <vertAlign val="baseline"/>
        <sz val="10"/>
        <name val="Open Sans"/>
        <family val="2"/>
        <scheme val="none"/>
      </font>
      <numFmt numFmtId="3" formatCode="#,##0"/>
      <fill>
        <patternFill patternType="solid">
          <fgColor indexed="64"/>
          <bgColor theme="0"/>
        </patternFill>
      </fill>
      <border diagonalUp="0" diagonalDown="0">
        <left style="thin">
          <color theme="0"/>
        </left>
        <right style="thin">
          <color theme="0"/>
        </right>
        <top style="thin">
          <color theme="0"/>
        </top>
        <bottom style="thin">
          <color theme="0"/>
        </bottom>
        <vertical/>
        <horizontal/>
      </border>
    </dxf>
    <dxf>
      <font>
        <b/>
        <i val="0"/>
        <strike val="0"/>
        <condense val="0"/>
        <extend val="0"/>
        <outline val="0"/>
        <shadow val="0"/>
        <u val="none"/>
        <vertAlign val="baseline"/>
        <sz val="11"/>
        <color theme="0"/>
        <name val="Open Sans"/>
        <family val="2"/>
        <scheme val="none"/>
      </font>
      <numFmt numFmtId="3" formatCode="#,##0"/>
      <fill>
        <patternFill patternType="solid">
          <fgColor theme="6"/>
          <bgColor theme="6"/>
        </patternFill>
      </fill>
      <border diagonalUp="0" diagonalDown="0" outline="0">
        <left style="thin">
          <color theme="0"/>
        </left>
        <right style="thin">
          <color theme="0"/>
        </right>
        <top style="thick">
          <color theme="0"/>
        </top>
        <bottom/>
      </border>
    </dxf>
    <dxf>
      <font>
        <strike val="0"/>
        <outline val="0"/>
        <shadow val="0"/>
        <u val="none"/>
        <vertAlign val="baseline"/>
        <sz val="10"/>
        <name val="Open Sans"/>
        <family val="2"/>
        <scheme val="none"/>
      </font>
      <numFmt numFmtId="3" formatCode="#,##0"/>
      <fill>
        <patternFill patternType="solid">
          <fgColor indexed="64"/>
          <bgColor theme="0"/>
        </patternFill>
      </fill>
      <border diagonalUp="0" diagonalDown="0">
        <left style="thin">
          <color theme="0"/>
        </left>
        <right style="thin">
          <color theme="0"/>
        </right>
        <top style="thin">
          <color theme="0"/>
        </top>
        <bottom style="thin">
          <color theme="0"/>
        </bottom>
        <vertical/>
        <horizontal/>
      </border>
    </dxf>
    <dxf>
      <font>
        <b/>
        <i val="0"/>
        <strike val="0"/>
        <condense val="0"/>
        <extend val="0"/>
        <outline val="0"/>
        <shadow val="0"/>
        <u val="none"/>
        <vertAlign val="baseline"/>
        <sz val="11"/>
        <color theme="0"/>
        <name val="Open Sans"/>
        <family val="2"/>
        <scheme val="none"/>
      </font>
      <numFmt numFmtId="3" formatCode="#,##0"/>
      <fill>
        <patternFill patternType="solid">
          <fgColor theme="6"/>
          <bgColor theme="6"/>
        </patternFill>
      </fill>
      <border diagonalUp="0" diagonalDown="0" outline="0">
        <left style="thin">
          <color theme="0"/>
        </left>
        <right style="thin">
          <color theme="0"/>
        </right>
        <top style="thick">
          <color theme="0"/>
        </top>
        <bottom/>
      </border>
    </dxf>
    <dxf>
      <font>
        <strike val="0"/>
        <outline val="0"/>
        <shadow val="0"/>
        <u val="none"/>
        <vertAlign val="baseline"/>
        <sz val="10"/>
        <name val="Open Sans"/>
        <family val="2"/>
        <scheme val="none"/>
      </font>
      <numFmt numFmtId="3" formatCode="#,##0"/>
      <fill>
        <patternFill patternType="solid">
          <fgColor indexed="64"/>
          <bgColor theme="0"/>
        </patternFill>
      </fill>
      <border diagonalUp="0" diagonalDown="0">
        <left style="thin">
          <color theme="0"/>
        </left>
        <right style="thin">
          <color theme="0"/>
        </right>
        <top style="thin">
          <color theme="0"/>
        </top>
        <bottom style="thin">
          <color theme="0"/>
        </bottom>
        <vertical/>
        <horizontal/>
      </border>
    </dxf>
    <dxf>
      <font>
        <b/>
        <i val="0"/>
        <strike val="0"/>
        <condense val="0"/>
        <extend val="0"/>
        <outline val="0"/>
        <shadow val="0"/>
        <u val="none"/>
        <vertAlign val="baseline"/>
        <sz val="11"/>
        <color theme="0"/>
        <name val="Open Sans"/>
        <family val="2"/>
        <scheme val="none"/>
      </font>
      <numFmt numFmtId="3" formatCode="#,##0"/>
      <fill>
        <patternFill patternType="solid">
          <fgColor theme="6"/>
          <bgColor theme="6"/>
        </patternFill>
      </fill>
      <border diagonalUp="0" diagonalDown="0" outline="0">
        <left style="thin">
          <color theme="0"/>
        </left>
        <right style="thin">
          <color theme="0"/>
        </right>
        <top style="thick">
          <color theme="0"/>
        </top>
        <bottom/>
      </border>
    </dxf>
    <dxf>
      <font>
        <strike val="0"/>
        <outline val="0"/>
        <shadow val="0"/>
        <u val="none"/>
        <vertAlign val="baseline"/>
        <sz val="10"/>
        <name val="Open Sans"/>
        <family val="2"/>
        <scheme val="none"/>
      </font>
      <numFmt numFmtId="3" formatCode="#,##0"/>
      <fill>
        <patternFill patternType="solid">
          <fgColor indexed="64"/>
          <bgColor theme="0"/>
        </patternFill>
      </fill>
      <border diagonalUp="0" diagonalDown="0">
        <left style="thin">
          <color theme="0"/>
        </left>
        <right style="thin">
          <color theme="0"/>
        </right>
        <top style="thin">
          <color theme="0"/>
        </top>
        <bottom style="thin">
          <color theme="0"/>
        </bottom>
        <vertical/>
        <horizontal/>
      </border>
    </dxf>
    <dxf>
      <font>
        <b/>
        <i val="0"/>
        <strike val="0"/>
        <condense val="0"/>
        <extend val="0"/>
        <outline val="0"/>
        <shadow val="0"/>
        <u val="none"/>
        <vertAlign val="baseline"/>
        <sz val="11"/>
        <color theme="0"/>
        <name val="Open Sans"/>
        <family val="2"/>
        <scheme val="none"/>
      </font>
      <numFmt numFmtId="3" formatCode="#,##0"/>
      <fill>
        <patternFill patternType="solid">
          <fgColor theme="6"/>
          <bgColor theme="6"/>
        </patternFill>
      </fill>
      <border diagonalUp="0" diagonalDown="0" outline="0">
        <left style="thin">
          <color theme="0"/>
        </left>
        <right style="thin">
          <color theme="0"/>
        </right>
        <top style="thick">
          <color theme="0"/>
        </top>
        <bottom/>
      </border>
    </dxf>
    <dxf>
      <font>
        <strike val="0"/>
        <outline val="0"/>
        <shadow val="0"/>
        <u val="none"/>
        <vertAlign val="baseline"/>
        <sz val="10"/>
        <name val="Open Sans"/>
        <family val="2"/>
        <scheme val="none"/>
      </font>
      <numFmt numFmtId="3" formatCode="#,##0"/>
      <fill>
        <patternFill patternType="solid">
          <fgColor indexed="64"/>
          <bgColor theme="0"/>
        </patternFill>
      </fill>
      <border diagonalUp="0" diagonalDown="0">
        <left style="thin">
          <color theme="0"/>
        </left>
        <right style="thin">
          <color theme="0"/>
        </right>
        <top style="thin">
          <color theme="0"/>
        </top>
        <bottom style="thin">
          <color theme="0"/>
        </bottom>
        <vertical/>
        <horizontal/>
      </border>
    </dxf>
    <dxf>
      <font>
        <b/>
        <i val="0"/>
        <strike val="0"/>
        <condense val="0"/>
        <extend val="0"/>
        <outline val="0"/>
        <shadow val="0"/>
        <u val="none"/>
        <vertAlign val="baseline"/>
        <sz val="11"/>
        <color theme="0"/>
        <name val="Open Sans"/>
        <family val="2"/>
        <scheme val="none"/>
      </font>
      <numFmt numFmtId="3" formatCode="#,##0"/>
      <fill>
        <patternFill patternType="solid">
          <fgColor theme="6"/>
          <bgColor theme="6"/>
        </patternFill>
      </fill>
      <border diagonalUp="0" diagonalDown="0" outline="0">
        <left style="thin">
          <color theme="0"/>
        </left>
        <right style="thin">
          <color theme="0"/>
        </right>
        <top style="thick">
          <color theme="0"/>
        </top>
        <bottom/>
      </border>
    </dxf>
    <dxf>
      <font>
        <strike val="0"/>
        <outline val="0"/>
        <shadow val="0"/>
        <u val="none"/>
        <vertAlign val="baseline"/>
        <sz val="10"/>
        <name val="Open Sans"/>
        <family val="2"/>
        <scheme val="none"/>
      </font>
      <numFmt numFmtId="3" formatCode="#,##0"/>
      <fill>
        <patternFill patternType="solid">
          <fgColor indexed="64"/>
          <bgColor theme="0"/>
        </patternFill>
      </fill>
      <border diagonalUp="0" diagonalDown="0">
        <left style="thin">
          <color theme="0"/>
        </left>
        <right style="thin">
          <color theme="0"/>
        </right>
        <top style="thin">
          <color theme="0"/>
        </top>
        <bottom style="thin">
          <color theme="0"/>
        </bottom>
        <vertical/>
        <horizontal/>
      </border>
    </dxf>
    <dxf>
      <font>
        <b/>
        <i val="0"/>
        <strike val="0"/>
        <condense val="0"/>
        <extend val="0"/>
        <outline val="0"/>
        <shadow val="0"/>
        <u val="none"/>
        <vertAlign val="baseline"/>
        <sz val="11"/>
        <color theme="0"/>
        <name val="Open Sans"/>
        <family val="2"/>
        <scheme val="none"/>
      </font>
      <numFmt numFmtId="3" formatCode="#,##0"/>
      <fill>
        <patternFill patternType="solid">
          <fgColor theme="6"/>
          <bgColor theme="6"/>
        </patternFill>
      </fill>
      <border diagonalUp="0" diagonalDown="0" outline="0">
        <left style="thin">
          <color theme="0"/>
        </left>
        <right style="thin">
          <color theme="0"/>
        </right>
        <top style="thick">
          <color theme="0"/>
        </top>
        <bottom/>
      </border>
    </dxf>
    <dxf>
      <font>
        <b val="0"/>
        <i val="0"/>
        <strike val="0"/>
        <condense val="0"/>
        <extend val="0"/>
        <outline val="0"/>
        <shadow val="0"/>
        <u val="none"/>
        <vertAlign val="baseline"/>
        <sz val="10"/>
        <color theme="1"/>
        <name val="Open Sans"/>
        <family val="2"/>
        <scheme val="none"/>
      </font>
      <numFmt numFmtId="3" formatCode="#,##0"/>
      <fill>
        <patternFill patternType="solid">
          <fgColor indexed="64"/>
          <bgColor theme="0"/>
        </patternFill>
      </fill>
      <border diagonalUp="0" diagonalDown="0">
        <left style="thin">
          <color theme="0"/>
        </left>
        <right style="thin">
          <color theme="0"/>
        </right>
        <top style="thin">
          <color theme="0"/>
        </top>
        <bottom style="thin">
          <color theme="0"/>
        </bottom>
        <vertical/>
        <horizontal/>
      </border>
    </dxf>
    <dxf>
      <font>
        <b/>
        <i val="0"/>
        <strike val="0"/>
        <condense val="0"/>
        <extend val="0"/>
        <outline val="0"/>
        <shadow val="0"/>
        <u val="none"/>
        <vertAlign val="baseline"/>
        <sz val="11"/>
        <color theme="0"/>
        <name val="Open Sans"/>
        <family val="2"/>
        <scheme val="none"/>
      </font>
      <numFmt numFmtId="3" formatCode="#,##0"/>
      <fill>
        <patternFill patternType="solid">
          <fgColor theme="6"/>
          <bgColor theme="6"/>
        </patternFill>
      </fill>
      <border diagonalUp="0" diagonalDown="0" outline="0">
        <left style="thin">
          <color theme="0"/>
        </left>
        <right style="thin">
          <color theme="0"/>
        </right>
        <top style="thick">
          <color theme="0"/>
        </top>
        <bottom/>
      </border>
    </dxf>
    <dxf>
      <font>
        <strike val="0"/>
        <outline val="0"/>
        <shadow val="0"/>
        <u val="none"/>
        <vertAlign val="baseline"/>
        <sz val="10"/>
        <name val="Open Sans"/>
        <family val="2"/>
        <scheme val="none"/>
      </font>
      <numFmt numFmtId="3" formatCode="#,##0"/>
      <fill>
        <patternFill patternType="solid">
          <fgColor indexed="64"/>
          <bgColor theme="0"/>
        </patternFill>
      </fill>
      <border diagonalUp="0" diagonalDown="0">
        <left style="thin">
          <color theme="0"/>
        </left>
        <right style="thin">
          <color theme="0"/>
        </right>
        <top style="thin">
          <color theme="0"/>
        </top>
        <bottom style="thin">
          <color theme="0"/>
        </bottom>
        <vertical/>
        <horizontal/>
      </border>
    </dxf>
    <dxf>
      <font>
        <b/>
        <i val="0"/>
        <strike val="0"/>
        <condense val="0"/>
        <extend val="0"/>
        <outline val="0"/>
        <shadow val="0"/>
        <u val="none"/>
        <vertAlign val="baseline"/>
        <sz val="11"/>
        <color theme="0"/>
        <name val="Open Sans"/>
        <family val="2"/>
        <scheme val="none"/>
      </font>
      <numFmt numFmtId="3" formatCode="#,##0"/>
      <fill>
        <patternFill patternType="solid">
          <fgColor theme="6"/>
          <bgColor theme="6"/>
        </patternFill>
      </fill>
      <border diagonalUp="0" diagonalDown="0" outline="0">
        <left style="thin">
          <color theme="0"/>
        </left>
        <right style="thin">
          <color theme="0"/>
        </right>
        <top style="thick">
          <color theme="0"/>
        </top>
        <bottom/>
      </border>
    </dxf>
    <dxf>
      <font>
        <strike val="0"/>
        <outline val="0"/>
        <shadow val="0"/>
        <u val="none"/>
        <vertAlign val="baseline"/>
        <sz val="10"/>
        <name val="Open Sans"/>
        <family val="2"/>
        <scheme val="none"/>
      </font>
      <numFmt numFmtId="3" formatCode="#,##0"/>
      <fill>
        <patternFill patternType="solid">
          <fgColor indexed="64"/>
          <bgColor theme="0"/>
        </patternFill>
      </fill>
      <border diagonalUp="0" diagonalDown="0">
        <left style="thin">
          <color theme="0"/>
        </left>
        <right style="thin">
          <color theme="0"/>
        </right>
        <top style="thin">
          <color theme="0"/>
        </top>
        <bottom style="thin">
          <color theme="0"/>
        </bottom>
        <vertical/>
        <horizontal/>
      </border>
    </dxf>
    <dxf>
      <font>
        <b/>
        <i val="0"/>
        <strike val="0"/>
        <condense val="0"/>
        <extend val="0"/>
        <outline val="0"/>
        <shadow val="0"/>
        <u val="none"/>
        <vertAlign val="baseline"/>
        <sz val="11"/>
        <color theme="0"/>
        <name val="Open Sans"/>
        <family val="2"/>
        <scheme val="none"/>
      </font>
      <numFmt numFmtId="3" formatCode="#,##0"/>
      <fill>
        <patternFill patternType="solid">
          <fgColor theme="6"/>
          <bgColor theme="6"/>
        </patternFill>
      </fill>
      <border diagonalUp="0" diagonalDown="0" outline="0">
        <left style="thin">
          <color theme="0"/>
        </left>
        <right style="thin">
          <color theme="0"/>
        </right>
        <top style="thick">
          <color theme="0"/>
        </top>
        <bottom/>
      </border>
    </dxf>
    <dxf>
      <font>
        <b val="0"/>
        <i val="0"/>
        <strike val="0"/>
        <condense val="0"/>
        <extend val="0"/>
        <outline val="0"/>
        <shadow val="0"/>
        <u val="none"/>
        <vertAlign val="baseline"/>
        <sz val="10"/>
        <color theme="1"/>
        <name val="Open Sans"/>
        <family val="2"/>
        <scheme val="none"/>
      </font>
      <numFmt numFmtId="3" formatCode="#,##0"/>
      <fill>
        <patternFill patternType="solid">
          <fgColor indexed="64"/>
          <bgColor theme="0"/>
        </patternFill>
      </fill>
      <border diagonalUp="0" diagonalDown="0">
        <left style="thin">
          <color theme="0"/>
        </left>
        <right style="thin">
          <color theme="0"/>
        </right>
        <top style="thin">
          <color theme="0"/>
        </top>
        <bottom style="thin">
          <color theme="0"/>
        </bottom>
        <vertical/>
        <horizontal/>
      </border>
    </dxf>
    <dxf>
      <font>
        <b/>
        <i val="0"/>
        <strike val="0"/>
        <condense val="0"/>
        <extend val="0"/>
        <outline val="0"/>
        <shadow val="0"/>
        <u val="none"/>
        <vertAlign val="baseline"/>
        <sz val="11"/>
        <color theme="0"/>
        <name val="Open Sans"/>
        <family val="2"/>
        <scheme val="none"/>
      </font>
      <numFmt numFmtId="3" formatCode="#,##0"/>
      <fill>
        <patternFill patternType="solid">
          <fgColor theme="6"/>
          <bgColor theme="6"/>
        </patternFill>
      </fill>
      <border diagonalUp="0" diagonalDown="0" outline="0">
        <left style="thin">
          <color theme="0"/>
        </left>
        <right style="thin">
          <color theme="0"/>
        </right>
        <top style="thick">
          <color theme="0"/>
        </top>
        <bottom/>
      </border>
    </dxf>
    <dxf>
      <font>
        <sz val="10"/>
        <name val="Open Sans"/>
        <family val="2"/>
        <scheme val="none"/>
      </font>
      <numFmt numFmtId="3" formatCode="#,##0"/>
      <fill>
        <patternFill patternType="solid">
          <fgColor indexed="64"/>
          <bgColor theme="0"/>
        </patternFill>
      </fill>
      <border diagonalUp="0" diagonalDown="0">
        <left style="thin">
          <color theme="0"/>
        </left>
        <right style="thin">
          <color theme="0"/>
        </right>
        <top style="thin">
          <color theme="0"/>
        </top>
        <bottom style="thin">
          <color theme="0"/>
        </bottom>
        <vertical/>
        <horizontal/>
      </border>
    </dxf>
    <dxf>
      <font>
        <b/>
        <i val="0"/>
        <strike val="0"/>
        <condense val="0"/>
        <extend val="0"/>
        <outline val="0"/>
        <shadow val="0"/>
        <u val="none"/>
        <vertAlign val="baseline"/>
        <sz val="11"/>
        <color theme="0"/>
        <name val="Open Sans"/>
        <family val="2"/>
        <scheme val="none"/>
      </font>
      <numFmt numFmtId="3" formatCode="#,##0"/>
      <fill>
        <patternFill patternType="solid">
          <fgColor theme="6"/>
          <bgColor theme="6"/>
        </patternFill>
      </fill>
      <border diagonalUp="0" diagonalDown="0" outline="0">
        <left style="thin">
          <color theme="0"/>
        </left>
        <right style="thin">
          <color theme="0"/>
        </right>
        <top style="thick">
          <color theme="0"/>
        </top>
        <bottom/>
      </border>
    </dxf>
    <dxf>
      <font>
        <sz val="10"/>
        <name val="Open Sans"/>
        <family val="2"/>
        <scheme val="none"/>
      </font>
      <numFmt numFmtId="3" formatCode="#,##0"/>
      <fill>
        <patternFill patternType="solid">
          <fgColor indexed="64"/>
          <bgColor theme="0"/>
        </patternFill>
      </fill>
      <border diagonalUp="0" diagonalDown="0">
        <left style="thin">
          <color theme="0"/>
        </left>
        <right style="thin">
          <color theme="0"/>
        </right>
        <top style="thin">
          <color theme="0"/>
        </top>
        <bottom style="thin">
          <color theme="0"/>
        </bottom>
        <vertical/>
        <horizontal/>
      </border>
    </dxf>
    <dxf>
      <font>
        <b/>
        <i val="0"/>
        <strike val="0"/>
        <condense val="0"/>
        <extend val="0"/>
        <outline val="0"/>
        <shadow val="0"/>
        <u val="none"/>
        <vertAlign val="baseline"/>
        <sz val="11"/>
        <color theme="0"/>
        <name val="Open Sans"/>
        <family val="2"/>
        <scheme val="none"/>
      </font>
      <numFmt numFmtId="3" formatCode="#,##0"/>
      <fill>
        <patternFill patternType="solid">
          <fgColor theme="6"/>
          <bgColor theme="6"/>
        </patternFill>
      </fill>
      <border diagonalUp="0" diagonalDown="0" outline="0">
        <left style="thin">
          <color theme="0"/>
        </left>
        <right style="thin">
          <color theme="0"/>
        </right>
        <top style="thick">
          <color theme="0"/>
        </top>
        <bottom/>
      </border>
    </dxf>
    <dxf>
      <font>
        <sz val="10"/>
        <name val="Open Sans"/>
        <family val="2"/>
        <scheme val="none"/>
      </font>
      <numFmt numFmtId="3" formatCode="#,##0"/>
      <fill>
        <patternFill patternType="solid">
          <fgColor indexed="64"/>
          <bgColor theme="0"/>
        </patternFill>
      </fill>
      <border diagonalUp="0" diagonalDown="0">
        <left style="thin">
          <color theme="0"/>
        </left>
        <right style="thin">
          <color theme="0"/>
        </right>
        <top style="thin">
          <color theme="0"/>
        </top>
        <bottom style="thin">
          <color theme="0"/>
        </bottom>
        <vertical/>
        <horizontal/>
      </border>
    </dxf>
    <dxf>
      <font>
        <b/>
        <i val="0"/>
        <strike val="0"/>
        <condense val="0"/>
        <extend val="0"/>
        <outline val="0"/>
        <shadow val="0"/>
        <u val="none"/>
        <vertAlign val="baseline"/>
        <sz val="11"/>
        <color theme="0"/>
        <name val="Open Sans"/>
        <family val="2"/>
        <scheme val="none"/>
      </font>
      <numFmt numFmtId="3" formatCode="#,##0"/>
      <fill>
        <patternFill patternType="solid">
          <fgColor theme="6"/>
          <bgColor theme="6"/>
        </patternFill>
      </fill>
      <border diagonalUp="0" diagonalDown="0" outline="0">
        <left style="thin">
          <color theme="0"/>
        </left>
        <right style="thin">
          <color theme="0"/>
        </right>
        <top style="thick">
          <color theme="0"/>
        </top>
        <bottom/>
      </border>
    </dxf>
    <dxf>
      <font>
        <strike val="0"/>
        <outline val="0"/>
        <shadow val="0"/>
        <u val="none"/>
        <vertAlign val="baseline"/>
        <name val="Open Sans"/>
        <family val="2"/>
        <scheme val="none"/>
      </font>
      <numFmt numFmtId="0" formatCode="General"/>
      <fill>
        <patternFill patternType="solid">
          <fgColor theme="6" tint="0.59999389629810485"/>
          <bgColor theme="6" tint="0.59999389629810485"/>
        </patternFill>
      </fill>
      <border diagonalUp="0" diagonalDown="0">
        <left style="thin">
          <color theme="0"/>
        </left>
        <right style="thin">
          <color theme="0"/>
        </right>
        <top style="thin">
          <color theme="0"/>
        </top>
        <bottom style="thin">
          <color theme="0"/>
        </bottom>
        <vertical/>
        <horizontal/>
      </border>
    </dxf>
    <dxf>
      <font>
        <b/>
        <i val="0"/>
        <strike val="0"/>
        <condense val="0"/>
        <extend val="0"/>
        <outline val="0"/>
        <shadow val="0"/>
        <u val="none"/>
        <vertAlign val="baseline"/>
        <sz val="11"/>
        <color theme="0"/>
        <name val="Open Sans"/>
        <family val="2"/>
        <scheme val="none"/>
      </font>
      <fill>
        <patternFill patternType="solid">
          <fgColor theme="6"/>
          <bgColor theme="6"/>
        </patternFill>
      </fill>
      <border diagonalUp="0" diagonalDown="0" outline="0">
        <left style="thin">
          <color theme="0"/>
        </left>
        <right style="thin">
          <color theme="0"/>
        </right>
        <top style="thick">
          <color theme="0"/>
        </top>
        <bottom/>
      </border>
    </dxf>
    <dxf>
      <font>
        <strike val="0"/>
        <outline val="0"/>
        <shadow val="0"/>
        <u val="none"/>
        <vertAlign val="baseline"/>
        <name val="Open Sans"/>
        <family val="2"/>
        <scheme val="none"/>
      </font>
      <numFmt numFmtId="30" formatCode="@"/>
      <fill>
        <patternFill patternType="solid">
          <fgColor theme="6" tint="0.59999389629810485"/>
          <bgColor theme="6" tint="0.59999389629810485"/>
        </patternFill>
      </fill>
      <border diagonalUp="0" diagonalDown="0">
        <left/>
        <right style="thin">
          <color theme="0"/>
        </right>
        <top style="thin">
          <color theme="0"/>
        </top>
        <bottom style="thin">
          <color theme="0"/>
        </bottom>
        <vertical/>
        <horizontal/>
      </border>
    </dxf>
    <dxf>
      <font>
        <b/>
        <i val="0"/>
        <strike val="0"/>
        <condense val="0"/>
        <extend val="0"/>
        <outline val="0"/>
        <shadow val="0"/>
        <u val="none"/>
        <vertAlign val="baseline"/>
        <sz val="11"/>
        <color theme="0"/>
        <name val="Open Sans"/>
        <family val="2"/>
        <scheme val="none"/>
      </font>
      <fill>
        <patternFill patternType="solid">
          <fgColor theme="6"/>
          <bgColor theme="6"/>
        </patternFill>
      </fill>
      <border diagonalUp="0" diagonalDown="0" outline="0">
        <left/>
        <right style="thin">
          <color theme="0"/>
        </right>
        <top style="thick">
          <color theme="0"/>
        </top>
        <bottom/>
      </border>
    </dxf>
    <dxf>
      <font>
        <b val="0"/>
        <strike val="0"/>
        <outline val="0"/>
        <shadow val="0"/>
        <u val="none"/>
        <vertAlign val="baseline"/>
        <name val="Open Sans"/>
        <family val="2"/>
        <scheme val="none"/>
      </font>
      <border diagonalUp="0" diagonalDown="0" outline="0">
        <left style="thin">
          <color indexed="64"/>
        </left>
        <right style="thin">
          <color indexed="64"/>
        </right>
        <top/>
        <bottom/>
      </border>
    </dxf>
    <dxf>
      <font>
        <strike val="0"/>
        <outline val="0"/>
        <shadow val="0"/>
        <u val="none"/>
        <vertAlign val="baseline"/>
        <name val="Open Sans"/>
        <family val="2"/>
        <scheme val="none"/>
      </font>
    </dxf>
    <dxf>
      <font>
        <b val="0"/>
        <i val="0"/>
        <strike val="0"/>
        <condense val="0"/>
        <extend val="0"/>
        <outline val="0"/>
        <shadow val="0"/>
        <u val="none"/>
        <vertAlign val="baseline"/>
        <sz val="11"/>
        <color theme="1"/>
        <name val="Open Sans"/>
        <family val="2"/>
        <scheme val="none"/>
      </font>
      <numFmt numFmtId="169" formatCode="_(* #,##0_);_(* \(#,##0\);_(* &quot;-&quot;??_);_(@_)"/>
      <fill>
        <patternFill patternType="solid">
          <fgColor theme="6" tint="0.59999389629810485"/>
          <bgColor theme="6" tint="0.59999389629810485"/>
        </patternFill>
      </fill>
      <border diagonalUp="0" diagonalDown="0">
        <left style="thin">
          <color theme="0"/>
        </left>
        <right style="thin">
          <color theme="0"/>
        </right>
        <top/>
        <bottom style="thin">
          <color theme="0"/>
        </bottom>
        <vertical/>
        <horizontal/>
      </border>
    </dxf>
    <dxf>
      <font>
        <b val="0"/>
        <i val="0"/>
        <strike val="0"/>
        <condense val="0"/>
        <extend val="0"/>
        <outline val="0"/>
        <shadow val="0"/>
        <u val="none"/>
        <vertAlign val="baseline"/>
        <sz val="11"/>
        <color theme="1"/>
        <name val="Open Sans"/>
        <family val="2"/>
        <scheme val="none"/>
      </font>
      <numFmt numFmtId="169" formatCode="_(* #,##0_);_(* \(#,##0\);_(* &quot;-&quot;??_);_(@_)"/>
    </dxf>
    <dxf>
      <font>
        <b val="0"/>
        <i val="0"/>
        <strike val="0"/>
        <condense val="0"/>
        <extend val="0"/>
        <outline val="0"/>
        <shadow val="0"/>
        <u val="none"/>
        <vertAlign val="baseline"/>
        <sz val="11"/>
        <color theme="1"/>
        <name val="Open Sans"/>
        <family val="2"/>
        <scheme val="none"/>
      </font>
      <numFmt numFmtId="169" formatCode="_(* #,##0_);_(* \(#,##0\);_(* &quot;-&quot;??_);_(@_)"/>
      <fill>
        <patternFill patternType="solid">
          <fgColor theme="6" tint="0.59999389629810485"/>
          <bgColor theme="6" tint="0.59999389629810485"/>
        </patternFill>
      </fill>
      <border diagonalUp="0" diagonalDown="0">
        <left style="thin">
          <color theme="0"/>
        </left>
        <right style="thin">
          <color theme="0"/>
        </right>
        <top/>
        <bottom style="thin">
          <color theme="0"/>
        </bottom>
        <vertical/>
        <horizontal/>
      </border>
    </dxf>
    <dxf>
      <font>
        <b val="0"/>
        <i val="0"/>
        <strike val="0"/>
        <condense val="0"/>
        <extend val="0"/>
        <outline val="0"/>
        <shadow val="0"/>
        <u val="none"/>
        <vertAlign val="baseline"/>
        <sz val="11"/>
        <color theme="1"/>
        <name val="Open Sans"/>
        <family val="2"/>
        <scheme val="none"/>
      </font>
      <numFmt numFmtId="169" formatCode="_(* #,##0_);_(* \(#,##0\);_(* &quot;-&quot;??_);_(@_)"/>
    </dxf>
    <dxf>
      <font>
        <b val="0"/>
        <i val="0"/>
        <strike val="0"/>
        <condense val="0"/>
        <extend val="0"/>
        <outline val="0"/>
        <shadow val="0"/>
        <u val="none"/>
        <vertAlign val="baseline"/>
        <sz val="11"/>
        <color theme="1"/>
        <name val="Open Sans"/>
        <family val="2"/>
        <scheme val="none"/>
      </font>
      <numFmt numFmtId="169" formatCode="_(* #,##0_);_(* \(#,##0\);_(* &quot;-&quot;??_);_(@_)"/>
      <fill>
        <patternFill patternType="solid">
          <fgColor theme="6" tint="0.59999389629810485"/>
          <bgColor theme="6" tint="0.59999389629810485"/>
        </patternFill>
      </fill>
      <border diagonalUp="0" diagonalDown="0">
        <left style="thin">
          <color theme="0"/>
        </left>
        <right style="thin">
          <color theme="0"/>
        </right>
        <top/>
        <bottom style="thin">
          <color theme="0"/>
        </bottom>
        <vertical/>
        <horizontal/>
      </border>
    </dxf>
    <dxf>
      <font>
        <b val="0"/>
        <i val="0"/>
        <strike val="0"/>
        <condense val="0"/>
        <extend val="0"/>
        <outline val="0"/>
        <shadow val="0"/>
        <u val="none"/>
        <vertAlign val="baseline"/>
        <sz val="11"/>
        <color theme="1"/>
        <name val="Open Sans"/>
        <family val="2"/>
        <scheme val="none"/>
      </font>
      <numFmt numFmtId="169" formatCode="_(* #,##0_);_(* \(#,##0\);_(* &quot;-&quot;??_);_(@_)"/>
    </dxf>
    <dxf>
      <font>
        <b val="0"/>
        <i val="0"/>
        <strike val="0"/>
        <condense val="0"/>
        <extend val="0"/>
        <outline val="0"/>
        <shadow val="0"/>
        <u val="none"/>
        <vertAlign val="baseline"/>
        <sz val="11"/>
        <color theme="1"/>
        <name val="Open Sans"/>
        <family val="2"/>
        <scheme val="none"/>
      </font>
      <numFmt numFmtId="169" formatCode="_(* #,##0_);_(* \(#,##0\);_(* &quot;-&quot;??_);_(@_)"/>
      <fill>
        <patternFill patternType="solid">
          <fgColor theme="6" tint="0.59999389629810485"/>
          <bgColor theme="6" tint="0.59999389629810485"/>
        </patternFill>
      </fill>
      <border diagonalUp="0" diagonalDown="0">
        <left style="thin">
          <color theme="0"/>
        </left>
        <right style="thin">
          <color theme="0"/>
        </right>
        <top/>
        <bottom style="thin">
          <color theme="0"/>
        </bottom>
        <vertical/>
        <horizontal/>
      </border>
    </dxf>
    <dxf>
      <font>
        <b val="0"/>
        <i val="0"/>
        <strike val="0"/>
        <condense val="0"/>
        <extend val="0"/>
        <outline val="0"/>
        <shadow val="0"/>
        <u val="none"/>
        <vertAlign val="baseline"/>
        <sz val="11"/>
        <color theme="1"/>
        <name val="Open Sans"/>
        <family val="2"/>
        <scheme val="none"/>
      </font>
      <numFmt numFmtId="169" formatCode="_(* #,##0_);_(* \(#,##0\);_(* &quot;-&quot;??_);_(@_)"/>
    </dxf>
    <dxf>
      <font>
        <b val="0"/>
        <i val="0"/>
        <strike val="0"/>
        <condense val="0"/>
        <extend val="0"/>
        <outline val="0"/>
        <shadow val="0"/>
        <u val="none"/>
        <vertAlign val="baseline"/>
        <sz val="11"/>
        <color theme="1"/>
        <name val="Open Sans"/>
        <family val="2"/>
        <scheme val="none"/>
      </font>
      <numFmt numFmtId="169" formatCode="_(* #,##0_);_(* \(#,##0\);_(* &quot;-&quot;??_);_(@_)"/>
      <fill>
        <patternFill patternType="solid">
          <fgColor theme="6" tint="0.59999389629810485"/>
          <bgColor theme="6" tint="0.59999389629810485"/>
        </patternFill>
      </fill>
      <border diagonalUp="0" diagonalDown="0">
        <left style="thin">
          <color theme="0"/>
        </left>
        <right style="thin">
          <color theme="0"/>
        </right>
        <top/>
        <bottom style="thin">
          <color theme="0"/>
        </bottom>
        <vertical/>
        <horizontal/>
      </border>
    </dxf>
    <dxf>
      <font>
        <b val="0"/>
        <i val="0"/>
        <strike val="0"/>
        <condense val="0"/>
        <extend val="0"/>
        <outline val="0"/>
        <shadow val="0"/>
        <u val="none"/>
        <vertAlign val="baseline"/>
        <sz val="11"/>
        <color theme="1"/>
        <name val="Open Sans"/>
        <family val="2"/>
        <scheme val="none"/>
      </font>
      <numFmt numFmtId="169" formatCode="_(* #,##0_);_(* \(#,##0\);_(* &quot;-&quot;??_);_(@_)"/>
    </dxf>
    <dxf>
      <font>
        <b val="0"/>
        <i val="0"/>
        <strike val="0"/>
        <condense val="0"/>
        <extend val="0"/>
        <outline val="0"/>
        <shadow val="0"/>
        <u val="none"/>
        <vertAlign val="baseline"/>
        <sz val="11"/>
        <color theme="1"/>
        <name val="Open Sans"/>
        <family val="2"/>
        <scheme val="none"/>
      </font>
      <numFmt numFmtId="169" formatCode="_(* #,##0_);_(* \(#,##0\);_(* &quot;-&quot;??_);_(@_)"/>
      <fill>
        <patternFill patternType="solid">
          <fgColor theme="6" tint="0.59999389629810485"/>
          <bgColor theme="6" tint="0.59999389629810485"/>
        </patternFill>
      </fill>
      <border diagonalUp="0" diagonalDown="0">
        <left style="thin">
          <color theme="0"/>
        </left>
        <right style="thin">
          <color theme="0"/>
        </right>
        <top/>
        <bottom style="thin">
          <color theme="0"/>
        </bottom>
        <vertical/>
        <horizontal/>
      </border>
    </dxf>
    <dxf>
      <font>
        <b val="0"/>
        <i val="0"/>
        <strike val="0"/>
        <condense val="0"/>
        <extend val="0"/>
        <outline val="0"/>
        <shadow val="0"/>
        <u val="none"/>
        <vertAlign val="baseline"/>
        <sz val="11"/>
        <color theme="1"/>
        <name val="Open Sans"/>
        <family val="2"/>
        <scheme val="none"/>
      </font>
      <numFmt numFmtId="169" formatCode="_(* #,##0_);_(* \(#,##0\);_(* &quot;-&quot;??_);_(@_)"/>
    </dxf>
    <dxf>
      <font>
        <b val="0"/>
        <i val="0"/>
        <strike val="0"/>
        <condense val="0"/>
        <extend val="0"/>
        <outline val="0"/>
        <shadow val="0"/>
        <u val="none"/>
        <vertAlign val="baseline"/>
        <sz val="11"/>
        <color theme="1"/>
        <name val="Open Sans"/>
        <family val="2"/>
        <scheme val="none"/>
      </font>
      <numFmt numFmtId="169" formatCode="_(* #,##0_);_(* \(#,##0\);_(* &quot;-&quot;??_);_(@_)"/>
      <fill>
        <patternFill patternType="solid">
          <fgColor theme="6" tint="0.59999389629810485"/>
          <bgColor theme="6" tint="0.59999389629810485"/>
        </patternFill>
      </fill>
      <border diagonalUp="0" diagonalDown="0">
        <left/>
        <right style="thin">
          <color theme="0"/>
        </right>
        <top/>
        <bottom style="thin">
          <color theme="0"/>
        </bottom>
        <vertical/>
        <horizontal/>
      </border>
    </dxf>
    <dxf>
      <font>
        <b/>
        <i val="0"/>
        <strike val="0"/>
        <condense val="0"/>
        <extend val="0"/>
        <outline val="0"/>
        <shadow val="0"/>
        <u val="none"/>
        <vertAlign val="baseline"/>
        <sz val="11"/>
        <color theme="0"/>
        <name val="Open Sans"/>
        <family val="2"/>
        <scheme val="none"/>
      </font>
      <numFmt numFmtId="169" formatCode="_(* #,##0_);_(* \(#,##0\);_(* &quot;-&quot;??_);_(@_)"/>
      <fill>
        <patternFill patternType="solid">
          <fgColor theme="6"/>
          <bgColor theme="6"/>
        </patternFill>
      </fill>
      <border diagonalUp="0" diagonalDown="0" outline="0">
        <left style="thin">
          <color theme="0"/>
        </left>
        <right style="thin">
          <color theme="0"/>
        </right>
        <top style="thick">
          <color theme="0"/>
        </top>
        <bottom/>
      </border>
    </dxf>
    <dxf>
      <font>
        <b val="0"/>
        <i val="0"/>
        <strike val="0"/>
        <condense val="0"/>
        <extend val="0"/>
        <outline val="0"/>
        <shadow val="0"/>
        <u val="none"/>
        <vertAlign val="baseline"/>
        <sz val="11"/>
        <color theme="1"/>
        <name val="Open Sans"/>
        <family val="2"/>
        <scheme val="none"/>
      </font>
      <numFmt numFmtId="169" formatCode="_(* #,##0_);_(* \(#,##0\);_(* &quot;-&quot;??_);_(@_)"/>
      <fill>
        <patternFill patternType="solid">
          <fgColor theme="6" tint="0.59999389629810485"/>
          <bgColor theme="6" tint="0.59999389629810485"/>
        </patternFill>
      </fill>
      <border diagonalUp="0" diagonalDown="0">
        <left/>
        <right style="thin">
          <color theme="0"/>
        </right>
        <top/>
        <bottom style="thin">
          <color theme="0"/>
        </bottom>
        <vertical/>
        <horizontal/>
      </border>
    </dxf>
    <dxf>
      <font>
        <b/>
        <i val="0"/>
        <strike val="0"/>
        <condense val="0"/>
        <extend val="0"/>
        <outline val="0"/>
        <shadow val="0"/>
        <u val="none"/>
        <vertAlign val="baseline"/>
        <sz val="11"/>
        <color theme="0"/>
        <name val="Open Sans"/>
        <family val="2"/>
        <scheme val="none"/>
      </font>
      <numFmt numFmtId="169" formatCode="_(* #,##0_);_(* \(#,##0\);_(* &quot;-&quot;??_);_(@_)"/>
      <fill>
        <patternFill patternType="solid">
          <fgColor theme="6"/>
          <bgColor theme="6"/>
        </patternFill>
      </fill>
      <border diagonalUp="0" diagonalDown="0" outline="0">
        <left style="thin">
          <color theme="0"/>
        </left>
        <right style="thin">
          <color theme="0"/>
        </right>
        <top style="thick">
          <color theme="0"/>
        </top>
        <bottom/>
      </border>
    </dxf>
    <dxf>
      <font>
        <b val="0"/>
        <i val="0"/>
        <strike val="0"/>
        <condense val="0"/>
        <extend val="0"/>
        <outline val="0"/>
        <shadow val="0"/>
        <u val="none"/>
        <vertAlign val="baseline"/>
        <sz val="11"/>
        <color theme="1"/>
        <name val="Open Sans"/>
        <family val="2"/>
        <scheme val="none"/>
      </font>
      <numFmt numFmtId="13" formatCode="0%"/>
      <fill>
        <patternFill patternType="solid">
          <fgColor theme="6" tint="0.59999389629810485"/>
          <bgColor theme="6" tint="0.59999389629810485"/>
        </patternFill>
      </fill>
      <border diagonalUp="0" diagonalDown="0">
        <left/>
        <right/>
        <top style="thin">
          <color theme="0"/>
        </top>
        <bottom style="thin">
          <color theme="0"/>
        </bottom>
        <vertical/>
        <horizontal/>
      </border>
    </dxf>
    <dxf>
      <font>
        <b/>
        <i val="0"/>
        <strike val="0"/>
        <condense val="0"/>
        <extend val="0"/>
        <outline val="0"/>
        <shadow val="0"/>
        <u val="none"/>
        <vertAlign val="baseline"/>
        <sz val="11"/>
        <color theme="0"/>
        <name val="Open Sans"/>
        <family val="2"/>
        <scheme val="none"/>
      </font>
      <fill>
        <patternFill patternType="solid">
          <fgColor theme="6"/>
          <bgColor theme="6"/>
        </patternFill>
      </fill>
      <border diagonalUp="0" diagonalDown="0" outline="0">
        <left style="thin">
          <color theme="0"/>
        </left>
        <right style="thin">
          <color theme="0"/>
        </right>
        <top style="thick">
          <color theme="0"/>
        </top>
        <bottom/>
      </border>
    </dxf>
    <dxf>
      <font>
        <b val="0"/>
        <i val="0"/>
        <strike val="0"/>
        <condense val="0"/>
        <extend val="0"/>
        <outline val="0"/>
        <shadow val="0"/>
        <u val="none"/>
        <vertAlign val="baseline"/>
        <sz val="11"/>
        <color theme="1"/>
        <name val="Open Sans"/>
        <family val="2"/>
        <scheme val="none"/>
      </font>
      <numFmt numFmtId="169" formatCode="_(* #,##0_);_(* \(#,##0\);_(* &quot;-&quot;??_);_(@_)"/>
      <fill>
        <patternFill patternType="solid">
          <fgColor theme="6" tint="0.59999389629810485"/>
          <bgColor theme="6" tint="0.59999389629810485"/>
        </patternFill>
      </fill>
      <border diagonalUp="0" diagonalDown="0">
        <left/>
        <right style="thin">
          <color theme="0"/>
        </right>
        <top style="thin">
          <color theme="0"/>
        </top>
        <bottom style="thin">
          <color theme="0"/>
        </bottom>
        <vertical/>
        <horizontal/>
      </border>
    </dxf>
    <dxf>
      <font>
        <b/>
        <i val="0"/>
        <strike val="0"/>
        <condense val="0"/>
        <extend val="0"/>
        <outline val="0"/>
        <shadow val="0"/>
        <u val="none"/>
        <vertAlign val="baseline"/>
        <sz val="11"/>
        <color theme="0"/>
        <name val="Open Sans"/>
        <family val="2"/>
        <scheme val="none"/>
      </font>
      <numFmt numFmtId="169" formatCode="_(* #,##0_);_(* \(#,##0\);_(* &quot;-&quot;??_);_(@_)"/>
      <fill>
        <patternFill patternType="solid">
          <fgColor theme="6"/>
          <bgColor theme="6"/>
        </patternFill>
      </fill>
      <border diagonalUp="0" diagonalDown="0" outline="0">
        <left style="thin">
          <color theme="0"/>
        </left>
        <right style="thin">
          <color theme="0"/>
        </right>
        <top style="thick">
          <color theme="0"/>
        </top>
        <bottom/>
      </border>
    </dxf>
    <dxf>
      <font>
        <b val="0"/>
        <i val="0"/>
        <strike val="0"/>
        <condense val="0"/>
        <extend val="0"/>
        <outline val="0"/>
        <shadow val="0"/>
        <u val="none"/>
        <vertAlign val="baseline"/>
        <sz val="11"/>
        <color theme="1"/>
        <name val="Open Sans"/>
        <family val="2"/>
        <scheme val="none"/>
      </font>
      <numFmt numFmtId="2" formatCode="0.00"/>
      <fill>
        <patternFill patternType="solid">
          <fgColor theme="6" tint="0.59999389629810485"/>
          <bgColor theme="6" tint="0.59999389629810485"/>
        </patternFill>
      </fill>
      <border diagonalUp="0" diagonalDown="0">
        <left/>
        <right style="thin">
          <color theme="0"/>
        </right>
        <top style="thin">
          <color theme="0"/>
        </top>
        <bottom style="thin">
          <color theme="0"/>
        </bottom>
        <vertical/>
        <horizontal/>
      </border>
    </dxf>
    <dxf>
      <font>
        <b/>
        <i val="0"/>
        <strike val="0"/>
        <condense val="0"/>
        <extend val="0"/>
        <outline val="0"/>
        <shadow val="0"/>
        <u val="none"/>
        <vertAlign val="baseline"/>
        <sz val="11"/>
        <color theme="0"/>
        <name val="Open Sans"/>
        <family val="2"/>
        <scheme val="none"/>
      </font>
      <fill>
        <patternFill patternType="solid">
          <fgColor theme="6"/>
          <bgColor theme="6"/>
        </patternFill>
      </fill>
      <border diagonalUp="0" diagonalDown="0" outline="0">
        <left style="thin">
          <color theme="0"/>
        </left>
        <right style="thin">
          <color theme="0"/>
        </right>
        <top style="thick">
          <color theme="0"/>
        </top>
        <bottom/>
      </border>
    </dxf>
    <dxf>
      <font>
        <b val="0"/>
        <i val="0"/>
        <strike val="0"/>
        <condense val="0"/>
        <extend val="0"/>
        <outline val="0"/>
        <shadow val="0"/>
        <u val="none"/>
        <vertAlign val="baseline"/>
        <sz val="11"/>
        <color theme="1"/>
        <name val="Open Sans"/>
        <family val="2"/>
        <scheme val="none"/>
      </font>
      <numFmt numFmtId="30" formatCode="@"/>
      <fill>
        <patternFill patternType="solid">
          <fgColor theme="6" tint="0.59999389629810485"/>
          <bgColor theme="6" tint="0.59999389629810485"/>
        </patternFill>
      </fill>
      <border diagonalUp="0" diagonalDown="0">
        <left/>
        <right style="thin">
          <color theme="0"/>
        </right>
        <top style="thin">
          <color theme="0"/>
        </top>
        <bottom style="thin">
          <color theme="0"/>
        </bottom>
        <vertical/>
        <horizontal/>
      </border>
    </dxf>
    <dxf>
      <font>
        <b/>
        <i val="0"/>
        <strike val="0"/>
        <condense val="0"/>
        <extend val="0"/>
        <outline val="0"/>
        <shadow val="0"/>
        <u val="none"/>
        <vertAlign val="baseline"/>
        <sz val="11"/>
        <color theme="0"/>
        <name val="Open Sans"/>
        <family val="2"/>
        <scheme val="none"/>
      </font>
      <fill>
        <patternFill patternType="solid">
          <fgColor theme="6"/>
          <bgColor theme="6"/>
        </patternFill>
      </fill>
      <border diagonalUp="0" diagonalDown="0" outline="0">
        <left/>
        <right style="thin">
          <color theme="0"/>
        </right>
        <top style="thick">
          <color theme="0"/>
        </top>
        <bottom/>
      </border>
    </dxf>
    <dxf>
      <border outline="0">
        <bottom style="thick">
          <color theme="0"/>
        </bottom>
      </border>
    </dxf>
    <dxf>
      <border outline="0">
        <right style="thin">
          <color theme="0"/>
        </right>
      </border>
    </dxf>
    <dxf>
      <font>
        <b val="0"/>
        <i val="0"/>
        <strike val="0"/>
        <condense val="0"/>
        <extend val="0"/>
        <outline val="0"/>
        <shadow val="0"/>
        <u val="none"/>
        <vertAlign val="baseline"/>
        <sz val="11"/>
        <color theme="1"/>
        <name val="Open Sans"/>
        <family val="2"/>
        <scheme val="none"/>
      </font>
      <fill>
        <patternFill patternType="solid">
          <fgColor theme="6" tint="0.59999389629810485"/>
          <bgColor theme="6" tint="0.59999389629810485"/>
        </patternFill>
      </fill>
    </dxf>
    <dxf>
      <font>
        <strike val="0"/>
        <outline val="0"/>
        <shadow val="0"/>
        <u val="none"/>
        <vertAlign val="baseline"/>
        <sz val="10"/>
        <name val="Open Sans"/>
        <family val="2"/>
        <scheme val="none"/>
      </font>
      <numFmt numFmtId="3" formatCode="#,##0"/>
      <fill>
        <patternFill patternType="solid">
          <fgColor indexed="64"/>
          <bgColor theme="0"/>
        </patternFill>
      </fill>
    </dxf>
    <dxf>
      <font>
        <b val="0"/>
        <i val="0"/>
        <strike val="0"/>
        <condense val="0"/>
        <extend val="0"/>
        <outline val="0"/>
        <shadow val="0"/>
        <u val="none"/>
        <vertAlign val="baseline"/>
        <sz val="11"/>
        <color theme="1"/>
        <name val="Open Sans"/>
        <family val="2"/>
        <scheme val="none"/>
      </font>
      <numFmt numFmtId="169" formatCode="_(* #,##0_);_(* \(#,##0\);_(* &quot;-&quot;??_);_(@_)"/>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Open Sans"/>
        <family val="2"/>
        <scheme val="none"/>
      </font>
      <numFmt numFmtId="3" formatCode="#,##0"/>
      <fill>
        <patternFill patternType="solid">
          <fgColor indexed="64"/>
          <bgColor theme="0"/>
        </patternFill>
      </fill>
    </dxf>
    <dxf>
      <font>
        <b val="0"/>
        <i val="0"/>
        <strike val="0"/>
        <condense val="0"/>
        <extend val="0"/>
        <outline val="0"/>
        <shadow val="0"/>
        <u val="none"/>
        <vertAlign val="baseline"/>
        <sz val="11"/>
        <color theme="1"/>
        <name val="Open Sans"/>
        <family val="2"/>
        <scheme val="none"/>
      </font>
      <numFmt numFmtId="3" formatCode="#,##0"/>
    </dxf>
    <dxf>
      <font>
        <strike val="0"/>
        <outline val="0"/>
        <shadow val="0"/>
        <u val="none"/>
        <vertAlign val="baseline"/>
        <sz val="10"/>
        <name val="Open Sans"/>
        <family val="2"/>
        <scheme val="none"/>
      </font>
      <numFmt numFmtId="3" formatCode="#,##0"/>
      <fill>
        <patternFill patternType="solid">
          <fgColor indexed="64"/>
          <bgColor theme="0"/>
        </patternFill>
      </fill>
    </dxf>
    <dxf>
      <font>
        <b val="0"/>
        <i val="0"/>
        <strike val="0"/>
        <condense val="0"/>
        <extend val="0"/>
        <outline val="0"/>
        <shadow val="0"/>
        <u val="none"/>
        <vertAlign val="baseline"/>
        <sz val="11"/>
        <color theme="1"/>
        <name val="Open Sans"/>
        <family val="2"/>
        <scheme val="none"/>
      </font>
      <numFmt numFmtId="3" formatCode="#,##0"/>
    </dxf>
    <dxf>
      <font>
        <strike val="0"/>
        <outline val="0"/>
        <shadow val="0"/>
        <u val="none"/>
        <vertAlign val="baseline"/>
        <sz val="10"/>
        <name val="Open Sans"/>
        <family val="2"/>
        <scheme val="none"/>
      </font>
      <numFmt numFmtId="3" formatCode="#,##0"/>
      <fill>
        <patternFill patternType="solid">
          <fgColor indexed="64"/>
          <bgColor theme="0"/>
        </patternFill>
      </fill>
    </dxf>
    <dxf>
      <font>
        <b val="0"/>
        <i val="0"/>
        <strike val="0"/>
        <condense val="0"/>
        <extend val="0"/>
        <outline val="0"/>
        <shadow val="0"/>
        <u val="none"/>
        <vertAlign val="baseline"/>
        <sz val="11"/>
        <color theme="1"/>
        <name val="Open Sans"/>
        <family val="2"/>
        <scheme val="none"/>
      </font>
      <numFmt numFmtId="3" formatCode="#,##0"/>
    </dxf>
    <dxf>
      <font>
        <strike val="0"/>
        <outline val="0"/>
        <shadow val="0"/>
        <u val="none"/>
        <vertAlign val="baseline"/>
        <sz val="10"/>
        <name val="Open Sans"/>
        <family val="2"/>
        <scheme val="none"/>
      </font>
      <numFmt numFmtId="3" formatCode="#,##0"/>
      <fill>
        <patternFill patternType="solid">
          <fgColor indexed="64"/>
          <bgColor theme="0"/>
        </patternFill>
      </fill>
    </dxf>
    <dxf>
      <font>
        <b val="0"/>
        <i val="0"/>
        <strike val="0"/>
        <condense val="0"/>
        <extend val="0"/>
        <outline val="0"/>
        <shadow val="0"/>
        <u val="none"/>
        <vertAlign val="baseline"/>
        <sz val="11"/>
        <color theme="1"/>
        <name val="Open Sans"/>
        <family val="2"/>
        <scheme val="none"/>
      </font>
      <numFmt numFmtId="3" formatCode="#,##0"/>
    </dxf>
    <dxf>
      <font>
        <strike val="0"/>
        <outline val="0"/>
        <shadow val="0"/>
        <u val="none"/>
        <vertAlign val="baseline"/>
        <sz val="10"/>
        <name val="Open Sans"/>
        <family val="2"/>
        <scheme val="none"/>
      </font>
      <numFmt numFmtId="3" formatCode="#,##0"/>
      <fill>
        <patternFill patternType="solid">
          <fgColor indexed="64"/>
          <bgColor theme="0"/>
        </patternFill>
      </fill>
    </dxf>
    <dxf>
      <font>
        <b val="0"/>
        <i val="0"/>
        <strike val="0"/>
        <condense val="0"/>
        <extend val="0"/>
        <outline val="0"/>
        <shadow val="0"/>
        <u val="none"/>
        <vertAlign val="baseline"/>
        <sz val="11"/>
        <color theme="1"/>
        <name val="Open Sans"/>
        <family val="2"/>
        <scheme val="none"/>
      </font>
      <numFmt numFmtId="3" formatCode="#,##0"/>
    </dxf>
    <dxf>
      <font>
        <strike val="0"/>
        <outline val="0"/>
        <shadow val="0"/>
        <u val="none"/>
        <vertAlign val="baseline"/>
        <sz val="10"/>
        <name val="Open Sans"/>
        <family val="2"/>
        <scheme val="none"/>
      </font>
      <numFmt numFmtId="3" formatCode="#,##0"/>
      <fill>
        <patternFill patternType="solid">
          <fgColor indexed="64"/>
          <bgColor theme="0"/>
        </patternFill>
      </fill>
    </dxf>
    <dxf>
      <font>
        <b val="0"/>
        <i val="0"/>
        <strike val="0"/>
        <condense val="0"/>
        <extend val="0"/>
        <outline val="0"/>
        <shadow val="0"/>
        <u val="none"/>
        <vertAlign val="baseline"/>
        <sz val="11"/>
        <color theme="1"/>
        <name val="Open Sans"/>
        <family val="2"/>
        <scheme val="none"/>
      </font>
      <numFmt numFmtId="3" formatCode="#,##0"/>
    </dxf>
    <dxf>
      <font>
        <strike val="0"/>
        <outline val="0"/>
        <shadow val="0"/>
        <u val="none"/>
        <vertAlign val="baseline"/>
        <sz val="10"/>
        <name val="Open Sans"/>
        <family val="2"/>
        <scheme val="none"/>
      </font>
      <numFmt numFmtId="3" formatCode="#,##0"/>
      <fill>
        <patternFill patternType="solid">
          <fgColor indexed="64"/>
          <bgColor theme="0"/>
        </patternFill>
      </fill>
    </dxf>
    <dxf>
      <font>
        <b val="0"/>
        <i val="0"/>
        <strike val="0"/>
        <condense val="0"/>
        <extend val="0"/>
        <outline val="0"/>
        <shadow val="0"/>
        <u val="none"/>
        <vertAlign val="baseline"/>
        <sz val="11"/>
        <color theme="1"/>
        <name val="Open Sans"/>
        <family val="2"/>
        <scheme val="none"/>
      </font>
      <numFmt numFmtId="3" formatCode="#,##0"/>
    </dxf>
    <dxf>
      <font>
        <strike val="0"/>
        <outline val="0"/>
        <shadow val="0"/>
        <u val="none"/>
        <vertAlign val="baseline"/>
        <sz val="10"/>
        <name val="Open Sans"/>
        <family val="2"/>
        <scheme val="none"/>
      </font>
      <numFmt numFmtId="3" formatCode="#,##0"/>
      <fill>
        <patternFill patternType="solid">
          <fgColor indexed="64"/>
          <bgColor theme="0"/>
        </patternFill>
      </fill>
    </dxf>
    <dxf>
      <font>
        <b val="0"/>
        <i val="0"/>
        <strike val="0"/>
        <condense val="0"/>
        <extend val="0"/>
        <outline val="0"/>
        <shadow val="0"/>
        <u val="none"/>
        <vertAlign val="baseline"/>
        <sz val="11"/>
        <color theme="1"/>
        <name val="Open Sans"/>
        <family val="2"/>
        <scheme val="none"/>
      </font>
      <numFmt numFmtId="3" formatCode="#,##0"/>
    </dxf>
    <dxf>
      <font>
        <b val="0"/>
        <i val="0"/>
        <strike val="0"/>
        <condense val="0"/>
        <extend val="0"/>
        <outline val="0"/>
        <shadow val="0"/>
        <u val="none"/>
        <vertAlign val="baseline"/>
        <sz val="10"/>
        <color theme="1"/>
        <name val="Open Sans"/>
        <family val="2"/>
        <scheme val="none"/>
      </font>
      <numFmt numFmtId="3" formatCode="#,##0"/>
      <fill>
        <patternFill patternType="solid">
          <fgColor indexed="64"/>
          <bgColor theme="0"/>
        </patternFill>
      </fill>
    </dxf>
    <dxf>
      <font>
        <b val="0"/>
        <i val="0"/>
        <strike val="0"/>
        <condense val="0"/>
        <extend val="0"/>
        <outline val="0"/>
        <shadow val="0"/>
        <u val="none"/>
        <vertAlign val="baseline"/>
        <sz val="11"/>
        <color theme="1"/>
        <name val="Open Sans"/>
        <family val="2"/>
        <scheme val="none"/>
      </font>
      <numFmt numFmtId="3" formatCode="#,##0"/>
    </dxf>
    <dxf>
      <font>
        <strike val="0"/>
        <outline val="0"/>
        <shadow val="0"/>
        <u val="none"/>
        <vertAlign val="baseline"/>
        <sz val="10"/>
        <name val="Open Sans"/>
        <family val="2"/>
        <scheme val="none"/>
      </font>
      <numFmt numFmtId="3" formatCode="#,##0"/>
      <fill>
        <patternFill patternType="solid">
          <fgColor indexed="64"/>
          <bgColor theme="0"/>
        </patternFill>
      </fill>
    </dxf>
    <dxf>
      <font>
        <b val="0"/>
        <i val="0"/>
        <strike val="0"/>
        <condense val="0"/>
        <extend val="0"/>
        <outline val="0"/>
        <shadow val="0"/>
        <u val="none"/>
        <vertAlign val="baseline"/>
        <sz val="11"/>
        <color theme="1"/>
        <name val="Open Sans"/>
        <family val="2"/>
        <scheme val="none"/>
      </font>
      <numFmt numFmtId="3" formatCode="#,##0"/>
    </dxf>
    <dxf>
      <font>
        <strike val="0"/>
        <outline val="0"/>
        <shadow val="0"/>
        <u val="none"/>
        <vertAlign val="baseline"/>
        <sz val="10"/>
        <name val="Open Sans"/>
        <family val="2"/>
        <scheme val="none"/>
      </font>
      <numFmt numFmtId="3" formatCode="#,##0"/>
      <fill>
        <patternFill patternType="solid">
          <fgColor indexed="64"/>
          <bgColor theme="0"/>
        </patternFill>
      </fill>
    </dxf>
    <dxf>
      <font>
        <b val="0"/>
        <i val="0"/>
        <strike val="0"/>
        <condense val="0"/>
        <extend val="0"/>
        <outline val="0"/>
        <shadow val="0"/>
        <u val="none"/>
        <vertAlign val="baseline"/>
        <sz val="11"/>
        <color theme="1"/>
        <name val="Open Sans"/>
        <family val="2"/>
        <scheme val="none"/>
      </font>
      <numFmt numFmtId="3" formatCode="#,##0"/>
    </dxf>
    <dxf>
      <font>
        <b val="0"/>
        <i val="0"/>
        <strike val="0"/>
        <condense val="0"/>
        <extend val="0"/>
        <outline val="0"/>
        <shadow val="0"/>
        <u val="none"/>
        <vertAlign val="baseline"/>
        <sz val="10"/>
        <color theme="1"/>
        <name val="Open Sans"/>
        <family val="2"/>
        <scheme val="none"/>
      </font>
      <numFmt numFmtId="3" formatCode="#,##0"/>
      <fill>
        <patternFill patternType="solid">
          <fgColor indexed="64"/>
          <bgColor theme="0"/>
        </patternFill>
      </fill>
    </dxf>
    <dxf>
      <font>
        <b val="0"/>
        <i val="0"/>
        <strike val="0"/>
        <condense val="0"/>
        <extend val="0"/>
        <outline val="0"/>
        <shadow val="0"/>
        <u val="none"/>
        <vertAlign val="baseline"/>
        <sz val="11"/>
        <color theme="1"/>
        <name val="Open Sans"/>
        <family val="2"/>
        <scheme val="none"/>
      </font>
      <numFmt numFmtId="3" formatCode="#,##0"/>
    </dxf>
    <dxf>
      <font>
        <sz val="10"/>
        <name val="Open Sans"/>
        <family val="2"/>
        <scheme val="none"/>
      </font>
      <numFmt numFmtId="3" formatCode="#,##0"/>
      <fill>
        <patternFill patternType="solid">
          <fgColor indexed="64"/>
          <bgColor theme="0"/>
        </patternFill>
      </fill>
    </dxf>
    <dxf>
      <font>
        <b val="0"/>
        <i val="0"/>
        <strike val="0"/>
        <condense val="0"/>
        <extend val="0"/>
        <outline val="0"/>
        <shadow val="0"/>
        <u val="none"/>
        <vertAlign val="baseline"/>
        <sz val="11"/>
        <color theme="1"/>
        <name val="Open Sans"/>
        <family val="2"/>
        <scheme val="none"/>
      </font>
      <numFmt numFmtId="3" formatCode="#,##0"/>
    </dxf>
    <dxf>
      <font>
        <sz val="10"/>
        <name val="Open Sans"/>
        <family val="2"/>
        <scheme val="none"/>
      </font>
      <numFmt numFmtId="3" formatCode="#,##0"/>
      <fill>
        <patternFill patternType="solid">
          <fgColor indexed="64"/>
          <bgColor theme="0"/>
        </patternFill>
      </fill>
    </dxf>
    <dxf>
      <font>
        <b val="0"/>
        <i val="0"/>
        <strike val="0"/>
        <condense val="0"/>
        <extend val="0"/>
        <outline val="0"/>
        <shadow val="0"/>
        <u val="none"/>
        <vertAlign val="baseline"/>
        <sz val="11"/>
        <color theme="1"/>
        <name val="Open Sans"/>
        <family val="2"/>
        <scheme val="none"/>
      </font>
      <numFmt numFmtId="3" formatCode="#,##0"/>
    </dxf>
    <dxf>
      <font>
        <sz val="10"/>
        <name val="Open Sans"/>
        <family val="2"/>
        <scheme val="none"/>
      </font>
      <numFmt numFmtId="3" formatCode="#,##0"/>
      <fill>
        <patternFill patternType="solid">
          <fgColor indexed="64"/>
          <bgColor theme="0"/>
        </patternFill>
      </fill>
    </dxf>
    <dxf>
      <font>
        <b val="0"/>
        <i val="0"/>
        <strike val="0"/>
        <condense val="0"/>
        <extend val="0"/>
        <outline val="0"/>
        <shadow val="0"/>
        <u val="none"/>
        <vertAlign val="baseline"/>
        <sz val="11"/>
        <color theme="1"/>
        <name val="Open Sans"/>
        <family val="2"/>
        <scheme val="none"/>
      </font>
      <numFmt numFmtId="3" formatCode="#,##0"/>
    </dxf>
    <dxf>
      <font>
        <strike val="0"/>
        <outline val="0"/>
        <shadow val="0"/>
        <u val="none"/>
        <vertAlign val="baseline"/>
        <name val="Open Sans"/>
        <family val="2"/>
        <scheme val="none"/>
      </font>
      <numFmt numFmtId="0" formatCode="General"/>
    </dxf>
    <dxf>
      <font>
        <b val="0"/>
        <i val="0"/>
        <strike val="0"/>
        <condense val="0"/>
        <extend val="0"/>
        <outline val="0"/>
        <shadow val="0"/>
        <u val="none"/>
        <vertAlign val="baseline"/>
        <sz val="11"/>
        <color theme="1"/>
        <name val="Open Sans"/>
        <family val="2"/>
        <scheme val="none"/>
      </font>
    </dxf>
    <dxf>
      <font>
        <strike val="0"/>
        <outline val="0"/>
        <shadow val="0"/>
        <u val="none"/>
        <vertAlign val="baseline"/>
        <name val="Open Sans"/>
        <family val="2"/>
        <scheme val="none"/>
      </font>
      <numFmt numFmtId="30" formatCode="@"/>
    </dxf>
    <dxf>
      <font>
        <b val="0"/>
        <i val="0"/>
        <strike val="0"/>
        <condense val="0"/>
        <extend val="0"/>
        <outline val="0"/>
        <shadow val="0"/>
        <u val="none"/>
        <vertAlign val="baseline"/>
        <sz val="11"/>
        <color theme="1"/>
        <name val="Open Sans"/>
        <family val="2"/>
        <scheme val="none"/>
      </font>
    </dxf>
    <dxf>
      <font>
        <b val="0"/>
        <strike val="0"/>
        <outline val="0"/>
        <shadow val="0"/>
        <u val="none"/>
        <vertAlign val="baseline"/>
        <name val="Open Sans"/>
        <family val="2"/>
        <scheme val="none"/>
      </font>
      <border diagonalUp="0" diagonalDown="0" outline="0">
        <left style="thin">
          <color indexed="64"/>
        </left>
        <right style="thin">
          <color indexed="64"/>
        </right>
        <top/>
        <bottom/>
      </border>
    </dxf>
    <dxf>
      <font>
        <strike val="0"/>
        <outline val="0"/>
        <shadow val="0"/>
        <u val="none"/>
        <vertAlign val="baseline"/>
        <sz val="10"/>
        <name val="Open Sans"/>
        <family val="2"/>
        <scheme val="none"/>
      </font>
      <fill>
        <patternFill patternType="solid">
          <fgColor indexed="64"/>
          <bgColor theme="0"/>
        </patternFill>
      </fill>
    </dxf>
    <dxf>
      <font>
        <strike val="0"/>
        <outline val="0"/>
        <shadow val="0"/>
        <u val="none"/>
        <vertAlign val="baseline"/>
        <name val="Open Sans"/>
        <family val="2"/>
        <scheme val="none"/>
      </font>
    </dxf>
    <dxf>
      <font>
        <b/>
        <strike val="0"/>
        <outline val="0"/>
        <shadow val="0"/>
        <u val="none"/>
        <vertAlign val="baseline"/>
        <sz val="10"/>
        <color auto="1"/>
        <name val="Open Sans"/>
        <family val="2"/>
        <scheme val="none"/>
      </font>
      <numFmt numFmtId="176" formatCode="_([$€-2]\ * #,##0_);_([$€-2]\ * \(#,##0\);_([$€-2]\ * &quot;-&quot;??_);_(@_)"/>
      <fill>
        <patternFill patternType="solid">
          <fgColor indexed="64"/>
          <bgColor theme="0"/>
        </patternFill>
      </fill>
      <alignment horizontal="center" vertical="bottom" textRotation="0" wrapText="0" indent="0" justifyLastLine="0" shrinkToFit="0" readingOrder="0"/>
    </dxf>
    <dxf>
      <font>
        <b val="0"/>
        <i val="0"/>
        <strike val="0"/>
        <condense val="0"/>
        <extend val="0"/>
        <outline val="0"/>
        <shadow val="0"/>
        <u val="none"/>
        <vertAlign val="baseline"/>
        <sz val="11"/>
        <color theme="1"/>
        <name val="Open Sans"/>
        <family val="2"/>
        <scheme val="none"/>
      </font>
      <numFmt numFmtId="176" formatCode="_([$€-2]\ * #,##0_);_([$€-2]\ * \(#,##0\);_([$€-2]\ * &quot;-&quot;??_);_(@_)"/>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Open Sans"/>
        <family val="2"/>
        <scheme val="none"/>
      </font>
      <numFmt numFmtId="167" formatCode="_([$€-2]\ * #,##0.00_);_([$€-2]\ * \(#,##0.00\);_([$€-2]\ * &quot;-&quot;??_);_(@_)"/>
      <fill>
        <patternFill patternType="solid">
          <fgColor indexed="64"/>
          <bgColor theme="0"/>
        </patternFill>
      </fill>
      <alignment horizontal="center" vertical="bottom" textRotation="0" wrapText="0" indent="0" justifyLastLine="0" shrinkToFit="0" readingOrder="0"/>
    </dxf>
    <dxf>
      <font>
        <b val="0"/>
        <i val="0"/>
        <strike val="0"/>
        <condense val="0"/>
        <extend val="0"/>
        <outline val="0"/>
        <shadow val="0"/>
        <u val="none"/>
        <vertAlign val="baseline"/>
        <sz val="11"/>
        <color theme="1"/>
        <name val="Open Sans"/>
        <family val="2"/>
        <scheme val="none"/>
      </font>
      <numFmt numFmtId="176" formatCode="_([$€-2]\ * #,##0_);_([$€-2]\ * \(#,##0\);_([$€-2]\ * &quot;-&quot;??_);_(@_)"/>
    </dxf>
    <dxf>
      <font>
        <b/>
        <strike val="0"/>
        <outline val="0"/>
        <shadow val="0"/>
        <u val="none"/>
        <vertAlign val="baseline"/>
        <sz val="10"/>
        <color auto="1"/>
        <name val="Open Sans"/>
        <family val="2"/>
        <scheme val="none"/>
      </font>
      <numFmt numFmtId="167" formatCode="_([$€-2]\ * #,##0.00_);_([$€-2]\ * \(#,##0.00\);_([$€-2]\ * &quot;-&quot;??_);_(@_)"/>
      <fill>
        <patternFill patternType="solid">
          <fgColor indexed="64"/>
          <bgColor theme="0"/>
        </patternFill>
      </fill>
      <alignment horizontal="center" vertical="bottom" textRotation="0" wrapText="0" indent="0" justifyLastLine="0" shrinkToFit="0" readingOrder="0"/>
    </dxf>
    <dxf>
      <font>
        <b val="0"/>
        <i val="0"/>
        <strike val="0"/>
        <condense val="0"/>
        <extend val="0"/>
        <outline val="0"/>
        <shadow val="0"/>
        <u val="none"/>
        <vertAlign val="baseline"/>
        <sz val="11"/>
        <color theme="1"/>
        <name val="Open Sans"/>
        <family val="2"/>
        <scheme val="none"/>
      </font>
      <numFmt numFmtId="176" formatCode="_([$€-2]\ * #,##0_);_([$€-2]\ * \(#,##0\);_([$€-2]\ * &quot;-&quot;??_);_(@_)"/>
    </dxf>
    <dxf>
      <font>
        <b/>
        <strike val="0"/>
        <outline val="0"/>
        <shadow val="0"/>
        <u val="none"/>
        <vertAlign val="baseline"/>
        <sz val="10"/>
        <color auto="1"/>
        <name val="Open Sans"/>
        <family val="2"/>
        <scheme val="none"/>
      </font>
      <numFmt numFmtId="167" formatCode="_([$€-2]\ * #,##0.00_);_([$€-2]\ * \(#,##0.00\);_([$€-2]\ * &quot;-&quot;??_);_(@_)"/>
      <fill>
        <patternFill patternType="solid">
          <fgColor indexed="64"/>
          <bgColor theme="0"/>
        </patternFill>
      </fill>
      <alignment horizontal="center" vertical="bottom" textRotation="0" wrapText="0" indent="0" justifyLastLine="0" shrinkToFit="0" readingOrder="0"/>
    </dxf>
    <dxf>
      <font>
        <b val="0"/>
        <i val="0"/>
        <strike val="0"/>
        <condense val="0"/>
        <extend val="0"/>
        <outline val="0"/>
        <shadow val="0"/>
        <u val="none"/>
        <vertAlign val="baseline"/>
        <sz val="11"/>
        <color theme="1"/>
        <name val="Open Sans"/>
        <family val="2"/>
        <scheme val="none"/>
      </font>
      <numFmt numFmtId="176" formatCode="_([$€-2]\ * #,##0_);_([$€-2]\ * \(#,##0\);_([$€-2]\ * &quot;-&quot;??_);_(@_)"/>
    </dxf>
    <dxf>
      <font>
        <b/>
        <strike val="0"/>
        <outline val="0"/>
        <shadow val="0"/>
        <u val="none"/>
        <vertAlign val="baseline"/>
        <sz val="10"/>
        <color auto="1"/>
        <name val="Open Sans"/>
        <family val="2"/>
        <scheme val="none"/>
      </font>
      <numFmt numFmtId="167" formatCode="_([$€-2]\ * #,##0.00_);_([$€-2]\ * \(#,##0.00\);_([$€-2]\ * &quot;-&quot;??_);_(@_)"/>
      <fill>
        <patternFill patternType="solid">
          <fgColor indexed="64"/>
          <bgColor theme="0"/>
        </patternFill>
      </fill>
      <alignment horizontal="center" vertical="bottom" textRotation="0" wrapText="0" indent="0" justifyLastLine="0" shrinkToFit="0" readingOrder="0"/>
    </dxf>
    <dxf>
      <font>
        <b val="0"/>
        <i val="0"/>
        <strike val="0"/>
        <condense val="0"/>
        <extend val="0"/>
        <outline val="0"/>
        <shadow val="0"/>
        <u val="none"/>
        <vertAlign val="baseline"/>
        <sz val="11"/>
        <color theme="1"/>
        <name val="Open Sans"/>
        <family val="2"/>
        <scheme val="none"/>
      </font>
      <numFmt numFmtId="176" formatCode="_([$€-2]\ * #,##0_);_([$€-2]\ * \(#,##0\);_([$€-2]\ * &quot;-&quot;??_);_(@_)"/>
    </dxf>
    <dxf>
      <font>
        <b/>
        <strike val="0"/>
        <outline val="0"/>
        <shadow val="0"/>
        <u val="none"/>
        <vertAlign val="baseline"/>
        <sz val="10"/>
        <color auto="1"/>
        <name val="Open Sans"/>
        <family val="2"/>
        <scheme val="none"/>
      </font>
      <numFmt numFmtId="167" formatCode="_([$€-2]\ * #,##0.00_);_([$€-2]\ * \(#,##0.00\);_([$€-2]\ * &quot;-&quot;??_);_(@_)"/>
      <fill>
        <patternFill patternType="solid">
          <fgColor indexed="64"/>
          <bgColor theme="0"/>
        </patternFill>
      </fill>
      <alignment horizontal="center" vertical="bottom" textRotation="0" wrapText="0" indent="0" justifyLastLine="0" shrinkToFit="0" readingOrder="0"/>
    </dxf>
    <dxf>
      <font>
        <b val="0"/>
        <i val="0"/>
        <strike val="0"/>
        <condense val="0"/>
        <extend val="0"/>
        <outline val="0"/>
        <shadow val="0"/>
        <u val="none"/>
        <vertAlign val="baseline"/>
        <sz val="11"/>
        <color theme="1"/>
        <name val="Open Sans"/>
        <family val="2"/>
        <scheme val="none"/>
      </font>
      <numFmt numFmtId="176" formatCode="_([$€-2]\ * #,##0_);_([$€-2]\ * \(#,##0\);_([$€-2]\ * &quot;-&quot;??_);_(@_)"/>
    </dxf>
    <dxf>
      <font>
        <b/>
        <strike val="0"/>
        <outline val="0"/>
        <shadow val="0"/>
        <u val="none"/>
        <vertAlign val="baseline"/>
        <sz val="10"/>
        <color auto="1"/>
        <name val="Open Sans"/>
        <family val="2"/>
        <scheme val="none"/>
      </font>
      <numFmt numFmtId="167" formatCode="_([$€-2]\ * #,##0.00_);_([$€-2]\ * \(#,##0.00\);_([$€-2]\ * &quot;-&quot;??_);_(@_)"/>
      <fill>
        <patternFill patternType="solid">
          <fgColor indexed="64"/>
          <bgColor theme="0"/>
        </patternFill>
      </fill>
      <alignment horizontal="center" vertical="bottom" textRotation="0" wrapText="0" indent="0" justifyLastLine="0" shrinkToFit="0" readingOrder="0"/>
    </dxf>
    <dxf>
      <font>
        <b val="0"/>
        <i val="0"/>
        <strike val="0"/>
        <condense val="0"/>
        <extend val="0"/>
        <outline val="0"/>
        <shadow val="0"/>
        <u val="none"/>
        <vertAlign val="baseline"/>
        <sz val="11"/>
        <color theme="1"/>
        <name val="Open Sans"/>
        <family val="2"/>
        <scheme val="none"/>
      </font>
      <numFmt numFmtId="176" formatCode="_([$€-2]\ * #,##0_);_([$€-2]\ * \(#,##0\);_([$€-2]\ * &quot;-&quot;??_);_(@_)"/>
    </dxf>
    <dxf>
      <font>
        <b/>
        <strike val="0"/>
        <outline val="0"/>
        <shadow val="0"/>
        <u val="none"/>
        <vertAlign val="baseline"/>
        <sz val="10"/>
        <color auto="1"/>
        <name val="Open Sans"/>
        <family val="2"/>
        <scheme val="none"/>
      </font>
      <numFmt numFmtId="167" formatCode="_([$€-2]\ * #,##0.00_);_([$€-2]\ * \(#,##0.00\);_([$€-2]\ * &quot;-&quot;??_);_(@_)"/>
      <fill>
        <patternFill patternType="solid">
          <fgColor indexed="64"/>
          <bgColor theme="0"/>
        </patternFill>
      </fill>
      <alignment horizontal="center" vertical="bottom" textRotation="0" wrapText="0" indent="0" justifyLastLine="0" shrinkToFit="0" readingOrder="0"/>
    </dxf>
    <dxf>
      <font>
        <b val="0"/>
        <i val="0"/>
        <strike val="0"/>
        <condense val="0"/>
        <extend val="0"/>
        <outline val="0"/>
        <shadow val="0"/>
        <u val="none"/>
        <vertAlign val="baseline"/>
        <sz val="11"/>
        <color theme="1"/>
        <name val="Open Sans"/>
        <family val="2"/>
        <scheme val="none"/>
      </font>
      <numFmt numFmtId="176" formatCode="_([$€-2]\ * #,##0_);_([$€-2]\ * \(#,##0\);_([$€-2]\ * &quot;-&quot;??_);_(@_)"/>
    </dxf>
    <dxf>
      <font>
        <b/>
        <strike val="0"/>
        <outline val="0"/>
        <shadow val="0"/>
        <u val="none"/>
        <vertAlign val="baseline"/>
        <sz val="10"/>
        <color auto="1"/>
        <name val="Open Sans"/>
        <family val="2"/>
        <scheme val="none"/>
      </font>
      <numFmt numFmtId="167" formatCode="_([$€-2]\ * #,##0.00_);_([$€-2]\ * \(#,##0.00\);_([$€-2]\ * &quot;-&quot;??_);_(@_)"/>
      <fill>
        <patternFill patternType="solid">
          <fgColor indexed="64"/>
          <bgColor theme="0"/>
        </patternFill>
      </fill>
      <alignment horizontal="center" vertical="bottom" textRotation="0" wrapText="0" indent="0" justifyLastLine="0" shrinkToFit="0" readingOrder="0"/>
    </dxf>
    <dxf>
      <font>
        <b val="0"/>
        <i val="0"/>
        <strike val="0"/>
        <condense val="0"/>
        <extend val="0"/>
        <outline val="0"/>
        <shadow val="0"/>
        <u val="none"/>
        <vertAlign val="baseline"/>
        <sz val="11"/>
        <color theme="1"/>
        <name val="Open Sans"/>
        <family val="2"/>
        <scheme val="none"/>
      </font>
      <numFmt numFmtId="176" formatCode="_([$€-2]\ * #,##0_);_([$€-2]\ * \(#,##0\);_([$€-2]\ * &quot;-&quot;??_);_(@_)"/>
    </dxf>
    <dxf>
      <font>
        <b val="0"/>
        <i val="0"/>
        <strike val="0"/>
        <condense val="0"/>
        <extend val="0"/>
        <outline val="0"/>
        <shadow val="0"/>
        <u val="none"/>
        <vertAlign val="baseline"/>
        <sz val="10"/>
        <color auto="1"/>
        <name val="Open Sans"/>
        <family val="2"/>
        <scheme val="none"/>
      </font>
      <numFmt numFmtId="167" formatCode="_([$€-2]\ * #,##0.00_);_([$€-2]\ * \(#,##0.00\);_([$€-2]\ * &quot;-&quot;??_);_(@_)"/>
      <fill>
        <patternFill patternType="solid">
          <fgColor indexed="64"/>
          <bgColor theme="0"/>
        </patternFill>
      </fill>
      <alignment horizontal="center" vertical="bottom" textRotation="0" wrapText="0" indent="0" justifyLastLine="0" shrinkToFit="0" readingOrder="0"/>
    </dxf>
    <dxf>
      <font>
        <b val="0"/>
        <i val="0"/>
        <strike val="0"/>
        <condense val="0"/>
        <extend val="0"/>
        <outline val="0"/>
        <shadow val="0"/>
        <u val="none"/>
        <vertAlign val="baseline"/>
        <sz val="11"/>
        <color theme="1"/>
        <name val="Open Sans"/>
        <family val="2"/>
        <scheme val="none"/>
      </font>
      <numFmt numFmtId="176" formatCode="_([$€-2]\ * #,##0_);_([$€-2]\ * \(#,##0\);_([$€-2]\ * &quot;-&quot;??_);_(@_)"/>
    </dxf>
    <dxf>
      <font>
        <b/>
        <strike val="0"/>
        <outline val="0"/>
        <shadow val="0"/>
        <u val="none"/>
        <vertAlign val="baseline"/>
        <sz val="10"/>
        <color auto="1"/>
        <name val="Open Sans"/>
        <family val="2"/>
        <scheme val="none"/>
      </font>
      <numFmt numFmtId="167" formatCode="_([$€-2]\ * #,##0.00_);_([$€-2]\ * \(#,##0.00\);_([$€-2]\ * &quot;-&quot;??_);_(@_)"/>
      <fill>
        <patternFill patternType="solid">
          <fgColor indexed="64"/>
          <bgColor theme="0"/>
        </patternFill>
      </fill>
      <alignment horizontal="center" vertical="bottom" textRotation="0" wrapText="0" indent="0" justifyLastLine="0" shrinkToFit="0" readingOrder="0"/>
    </dxf>
    <dxf>
      <font>
        <b val="0"/>
        <i val="0"/>
        <strike val="0"/>
        <condense val="0"/>
        <extend val="0"/>
        <outline val="0"/>
        <shadow val="0"/>
        <u val="none"/>
        <vertAlign val="baseline"/>
        <sz val="11"/>
        <color theme="1"/>
        <name val="Open Sans"/>
        <family val="2"/>
        <scheme val="none"/>
      </font>
      <numFmt numFmtId="176" formatCode="_([$€-2]\ * #,##0_);_([$€-2]\ * \(#,##0\);_([$€-2]\ * &quot;-&quot;??_);_(@_)"/>
    </dxf>
    <dxf>
      <font>
        <b/>
        <strike val="0"/>
        <outline val="0"/>
        <shadow val="0"/>
        <u val="none"/>
        <vertAlign val="baseline"/>
        <sz val="10"/>
        <color auto="1"/>
        <name val="Open Sans"/>
        <family val="2"/>
        <scheme val="none"/>
      </font>
      <numFmt numFmtId="167" formatCode="_([$€-2]\ * #,##0.00_);_([$€-2]\ * \(#,##0.00\);_([$€-2]\ * &quot;-&quot;??_);_(@_)"/>
      <fill>
        <patternFill patternType="solid">
          <fgColor indexed="64"/>
          <bgColor theme="0"/>
        </patternFill>
      </fill>
      <alignment horizontal="center" vertical="bottom" textRotation="0" wrapText="0" indent="0" justifyLastLine="0" shrinkToFit="0" readingOrder="0"/>
    </dxf>
    <dxf>
      <font>
        <b val="0"/>
        <i val="0"/>
        <strike val="0"/>
        <condense val="0"/>
        <extend val="0"/>
        <outline val="0"/>
        <shadow val="0"/>
        <u val="none"/>
        <vertAlign val="baseline"/>
        <sz val="11"/>
        <color theme="1"/>
        <name val="Open Sans"/>
        <family val="2"/>
        <scheme val="none"/>
      </font>
      <numFmt numFmtId="176" formatCode="_([$€-2]\ * #,##0_);_([$€-2]\ * \(#,##0\);_([$€-2]\ * &quot;-&quot;??_);_(@_)"/>
    </dxf>
    <dxf>
      <font>
        <b val="0"/>
        <i val="0"/>
        <strike val="0"/>
        <condense val="0"/>
        <extend val="0"/>
        <outline val="0"/>
        <shadow val="0"/>
        <u val="none"/>
        <vertAlign val="baseline"/>
        <sz val="10"/>
        <color auto="1"/>
        <name val="Open Sans"/>
        <family val="2"/>
        <scheme val="none"/>
      </font>
      <numFmt numFmtId="167" formatCode="_([$€-2]\ * #,##0.00_);_([$€-2]\ * \(#,##0.00\);_([$€-2]\ * &quot;-&quot;??_);_(@_)"/>
      <fill>
        <patternFill patternType="solid">
          <fgColor indexed="64"/>
          <bgColor theme="0"/>
        </patternFill>
      </fill>
      <alignment horizontal="center" vertical="bottom" textRotation="0" wrapText="0" indent="0" justifyLastLine="0" shrinkToFit="0" readingOrder="0"/>
    </dxf>
    <dxf>
      <font>
        <b val="0"/>
        <i val="0"/>
        <strike val="0"/>
        <condense val="0"/>
        <extend val="0"/>
        <outline val="0"/>
        <shadow val="0"/>
        <u val="none"/>
        <vertAlign val="baseline"/>
        <sz val="11"/>
        <color theme="1"/>
        <name val="Open Sans"/>
        <family val="2"/>
        <scheme val="none"/>
      </font>
      <numFmt numFmtId="176" formatCode="_([$€-2]\ * #,##0_);_([$€-2]\ * \(#,##0\);_([$€-2]\ * &quot;-&quot;??_);_(@_)"/>
    </dxf>
    <dxf>
      <font>
        <b/>
        <sz val="10"/>
        <color auto="1"/>
        <name val="Open Sans"/>
        <family val="2"/>
        <scheme val="none"/>
      </font>
      <numFmt numFmtId="167" formatCode="_([$€-2]\ * #,##0.00_);_([$€-2]\ * \(#,##0.00\);_([$€-2]\ * &quot;-&quot;??_);_(@_)"/>
      <fill>
        <patternFill patternType="solid">
          <fgColor indexed="64"/>
          <bgColor theme="0"/>
        </patternFill>
      </fill>
      <alignment horizontal="center" vertical="bottom" textRotation="0" wrapText="0" indent="0" justifyLastLine="0" shrinkToFit="0" readingOrder="0"/>
    </dxf>
    <dxf>
      <font>
        <b val="0"/>
        <i val="0"/>
        <strike val="0"/>
        <condense val="0"/>
        <extend val="0"/>
        <outline val="0"/>
        <shadow val="0"/>
        <u val="none"/>
        <vertAlign val="baseline"/>
        <sz val="11"/>
        <color theme="1"/>
        <name val="Open Sans"/>
        <family val="2"/>
        <scheme val="none"/>
      </font>
      <numFmt numFmtId="176" formatCode="_([$€-2]\ * #,##0_);_([$€-2]\ * \(#,##0\);_([$€-2]\ * &quot;-&quot;??_);_(@_)"/>
    </dxf>
    <dxf>
      <font>
        <b/>
        <sz val="10"/>
        <color auto="1"/>
        <name val="Open Sans"/>
        <family val="2"/>
        <scheme val="none"/>
      </font>
      <numFmt numFmtId="167" formatCode="_([$€-2]\ * #,##0.00_);_([$€-2]\ * \(#,##0.00\);_([$€-2]\ * &quot;-&quot;??_);_(@_)"/>
      <fill>
        <patternFill patternType="solid">
          <fgColor indexed="64"/>
          <bgColor theme="0"/>
        </patternFill>
      </fill>
      <alignment horizontal="center" vertical="bottom" textRotation="0" wrapText="0" indent="0" justifyLastLine="0" shrinkToFit="0" readingOrder="0"/>
    </dxf>
    <dxf>
      <font>
        <b val="0"/>
        <i val="0"/>
        <strike val="0"/>
        <condense val="0"/>
        <extend val="0"/>
        <outline val="0"/>
        <shadow val="0"/>
        <u val="none"/>
        <vertAlign val="baseline"/>
        <sz val="11"/>
        <color theme="1"/>
        <name val="Open Sans"/>
        <family val="2"/>
        <scheme val="none"/>
      </font>
      <numFmt numFmtId="176" formatCode="_([$€-2]\ * #,##0_);_([$€-2]\ * \(#,##0\);_([$€-2]\ * &quot;-&quot;??_);_(@_)"/>
    </dxf>
    <dxf>
      <font>
        <b/>
        <sz val="10"/>
        <color auto="1"/>
        <name val="Open Sans"/>
        <family val="2"/>
        <scheme val="none"/>
      </font>
      <numFmt numFmtId="167" formatCode="_([$€-2]\ * #,##0.00_);_([$€-2]\ * \(#,##0.00\);_([$€-2]\ * &quot;-&quot;??_);_(@_)"/>
      <fill>
        <patternFill patternType="solid">
          <fgColor indexed="64"/>
          <bgColor theme="0"/>
        </patternFill>
      </fill>
      <alignment horizontal="center" vertical="bottom" textRotation="0" wrapText="0" indent="0" justifyLastLine="0" shrinkToFit="0" readingOrder="0"/>
    </dxf>
    <dxf>
      <font>
        <b val="0"/>
        <i val="0"/>
        <strike val="0"/>
        <condense val="0"/>
        <extend val="0"/>
        <outline val="0"/>
        <shadow val="0"/>
        <u val="none"/>
        <vertAlign val="baseline"/>
        <sz val="11"/>
        <color theme="1"/>
        <name val="Open Sans"/>
        <family val="2"/>
        <scheme val="none"/>
      </font>
      <numFmt numFmtId="176" formatCode="_([$€-2]\ * #,##0_);_([$€-2]\ * \(#,##0\);_([$€-2]\ * &quot;-&quot;??_);_(@_)"/>
    </dxf>
    <dxf>
      <font>
        <strike val="0"/>
        <outline val="0"/>
        <shadow val="0"/>
        <u val="none"/>
        <vertAlign val="baseline"/>
        <color auto="1"/>
        <name val="Open Sans"/>
        <family val="2"/>
        <scheme val="none"/>
      </font>
      <numFmt numFmtId="0" formatCode="General"/>
    </dxf>
    <dxf>
      <font>
        <b val="0"/>
        <i val="0"/>
        <strike val="0"/>
        <condense val="0"/>
        <extend val="0"/>
        <outline val="0"/>
        <shadow val="0"/>
        <u val="none"/>
        <vertAlign val="baseline"/>
        <sz val="11"/>
        <color theme="1"/>
        <name val="Open Sans"/>
        <family val="2"/>
        <scheme val="none"/>
      </font>
    </dxf>
    <dxf>
      <font>
        <strike val="0"/>
        <outline val="0"/>
        <shadow val="0"/>
        <u val="none"/>
        <vertAlign val="baseline"/>
        <color auto="1"/>
        <name val="Open Sans"/>
        <family val="2"/>
        <scheme val="none"/>
      </font>
      <numFmt numFmtId="30" formatCode="@"/>
    </dxf>
    <dxf>
      <font>
        <b val="0"/>
        <i val="0"/>
        <strike val="0"/>
        <condense val="0"/>
        <extend val="0"/>
        <outline val="0"/>
        <shadow val="0"/>
        <u val="none"/>
        <vertAlign val="baseline"/>
        <sz val="11"/>
        <color theme="1"/>
        <name val="Open Sans"/>
        <family val="2"/>
        <scheme val="none"/>
      </font>
    </dxf>
    <dxf>
      <font>
        <b val="0"/>
        <strike val="0"/>
        <outline val="0"/>
        <shadow val="0"/>
        <u val="none"/>
        <vertAlign val="baseline"/>
        <name val="Open Sans"/>
        <family val="2"/>
        <scheme val="none"/>
      </font>
      <border diagonalUp="0" diagonalDown="0" outline="0">
        <left style="thin">
          <color indexed="64"/>
        </left>
        <right style="thin">
          <color indexed="64"/>
        </right>
        <top/>
        <bottom/>
      </border>
    </dxf>
    <dxf>
      <font>
        <b/>
        <strike val="0"/>
        <outline val="0"/>
        <shadow val="0"/>
        <u val="none"/>
        <vertAlign val="baseline"/>
        <sz val="10"/>
        <color auto="1"/>
        <name val="Open Sans"/>
        <family val="2"/>
        <scheme val="none"/>
      </font>
      <fill>
        <patternFill patternType="solid">
          <fgColor indexed="64"/>
          <bgColor theme="0"/>
        </patternFill>
      </fill>
      <alignment horizontal="center" vertical="bottom" textRotation="0" wrapText="0" indent="0" justifyLastLine="0" shrinkToFit="0" readingOrder="0"/>
    </dxf>
    <dxf>
      <font>
        <strike val="0"/>
        <outline val="0"/>
        <shadow val="0"/>
        <u val="none"/>
        <vertAlign val="baseline"/>
        <name val="Open Sans"/>
        <family val="2"/>
        <scheme val="none"/>
      </font>
    </dxf>
    <dxf>
      <font>
        <strike val="0"/>
        <outline val="0"/>
        <shadow val="0"/>
        <u val="none"/>
        <vertAlign val="baseline"/>
        <sz val="11"/>
        <color auto="1"/>
        <name val="Calibri"/>
        <family val="2"/>
        <scheme val="minor"/>
      </font>
      <fill>
        <patternFill patternType="solid">
          <fgColor indexed="64"/>
          <bgColor theme="0"/>
        </patternFill>
      </fill>
      <protection locked="1"/>
    </dxf>
    <dxf>
      <font>
        <strike val="0"/>
        <outline val="0"/>
        <shadow val="0"/>
        <u val="none"/>
        <vertAlign val="baseline"/>
        <sz val="11"/>
        <color auto="1"/>
        <name val="Calibri"/>
        <family val="2"/>
        <scheme val="minor"/>
      </font>
      <fill>
        <patternFill patternType="solid">
          <fgColor indexed="64"/>
          <bgColor theme="0"/>
        </patternFill>
      </fill>
      <protection locked="1"/>
    </dxf>
    <dxf>
      <font>
        <strike val="0"/>
        <outline val="0"/>
        <shadow val="0"/>
        <u val="none"/>
        <vertAlign val="baseline"/>
        <sz val="11"/>
        <color auto="1"/>
        <name val="Calibri"/>
        <family val="2"/>
        <scheme val="minor"/>
      </font>
      <fill>
        <patternFill patternType="solid">
          <fgColor indexed="64"/>
          <bgColor theme="0"/>
        </patternFill>
      </fill>
      <protection locked="1"/>
    </dxf>
    <dxf>
      <font>
        <strike val="0"/>
        <outline val="0"/>
        <shadow val="0"/>
        <u val="none"/>
        <vertAlign val="baseline"/>
        <sz val="11"/>
        <color auto="1"/>
        <name val="Calibri"/>
        <family val="2"/>
        <scheme val="minor"/>
      </font>
      <fill>
        <patternFill patternType="solid">
          <fgColor indexed="64"/>
          <bgColor theme="0"/>
        </patternFill>
      </fill>
      <protection locked="1"/>
    </dxf>
    <dxf>
      <font>
        <strike val="0"/>
        <outline val="0"/>
        <shadow val="0"/>
        <u val="none"/>
        <vertAlign val="baseline"/>
        <sz val="11"/>
        <color auto="1"/>
        <name val="Calibri"/>
        <family val="2"/>
        <scheme val="minor"/>
      </font>
      <fill>
        <patternFill patternType="solid">
          <fgColor indexed="64"/>
          <bgColor theme="0"/>
        </patternFill>
      </fill>
      <protection locked="1"/>
    </dxf>
    <dxf>
      <font>
        <strike val="0"/>
        <outline val="0"/>
        <shadow val="0"/>
        <u val="none"/>
        <vertAlign val="baseline"/>
        <sz val="11"/>
        <color auto="1"/>
        <name val="Calibri"/>
        <family val="2"/>
        <scheme val="minor"/>
      </font>
      <fill>
        <patternFill patternType="solid">
          <fgColor indexed="64"/>
          <bgColor theme="0"/>
        </patternFill>
      </fill>
      <protection locked="1"/>
    </dxf>
    <dxf>
      <font>
        <b val="0"/>
        <i val="0"/>
        <strike val="0"/>
        <condense val="0"/>
        <extend val="0"/>
        <outline val="0"/>
        <shadow val="0"/>
        <u val="none"/>
        <vertAlign val="baseline"/>
        <sz val="11"/>
        <color auto="1"/>
        <name val="Open Sans"/>
        <family val="2"/>
        <scheme val="none"/>
      </font>
      <fill>
        <patternFill patternType="solid">
          <fgColor indexed="64"/>
          <bgColor theme="0"/>
        </patternFill>
      </fill>
      <protection locked="1"/>
    </dxf>
    <dxf>
      <font>
        <strike val="0"/>
        <outline val="0"/>
        <shadow val="0"/>
        <u val="none"/>
        <vertAlign val="baseline"/>
        <sz val="11"/>
        <color auto="1"/>
        <name val="Calibri"/>
        <family val="2"/>
        <scheme val="minor"/>
      </font>
      <fill>
        <patternFill patternType="solid">
          <fgColor indexed="64"/>
          <bgColor theme="0"/>
        </patternFill>
      </fill>
      <protection locked="1"/>
    </dxf>
    <dxf>
      <font>
        <b/>
        <strike val="0"/>
        <outline val="0"/>
        <shadow val="0"/>
        <u val="none"/>
        <vertAlign val="baseline"/>
        <sz val="11"/>
        <color auto="1"/>
        <name val="Calibri"/>
        <family val="2"/>
        <scheme val="minor"/>
      </font>
      <fill>
        <patternFill patternType="solid">
          <fgColor indexed="64"/>
          <bgColor theme="0"/>
        </patternFill>
      </fill>
      <protection locked="1"/>
    </dxf>
    <dxf>
      <font>
        <b val="0"/>
        <i val="0"/>
        <strike val="0"/>
        <condense val="0"/>
        <extend val="0"/>
        <outline val="0"/>
        <shadow val="0"/>
        <u val="none"/>
        <vertAlign val="baseline"/>
        <sz val="11"/>
        <color theme="1"/>
        <name val="Open Sans"/>
        <family val="2"/>
        <scheme val="none"/>
      </font>
      <numFmt numFmtId="2" formatCode="0.00"/>
      <protection locked="1"/>
    </dxf>
    <dxf>
      <font>
        <b val="0"/>
        <i val="0"/>
        <strike val="0"/>
        <condense val="0"/>
        <extend val="0"/>
        <outline val="0"/>
        <shadow val="0"/>
        <u val="none"/>
        <vertAlign val="baseline"/>
        <sz val="11"/>
        <color theme="1"/>
        <name val="Open Sans"/>
        <family val="2"/>
        <scheme val="none"/>
      </font>
      <numFmt numFmtId="168" formatCode="0.0"/>
      <protection locked="1"/>
    </dxf>
    <dxf>
      <font>
        <b val="0"/>
        <i val="0"/>
        <strike val="0"/>
        <condense val="0"/>
        <extend val="0"/>
        <outline val="0"/>
        <shadow val="0"/>
        <u val="none"/>
        <vertAlign val="baseline"/>
        <sz val="11"/>
        <color theme="1"/>
        <name val="Open Sans"/>
        <family val="2"/>
        <scheme val="none"/>
      </font>
      <numFmt numFmtId="168" formatCode="0.0"/>
      <protection locked="1"/>
    </dxf>
    <dxf>
      <font>
        <b val="0"/>
        <i val="0"/>
        <strike val="0"/>
        <condense val="0"/>
        <extend val="0"/>
        <outline val="0"/>
        <shadow val="0"/>
        <u val="none"/>
        <vertAlign val="baseline"/>
        <sz val="11"/>
        <color theme="1"/>
        <name val="Open Sans"/>
        <family val="2"/>
        <scheme val="none"/>
      </font>
      <numFmt numFmtId="168" formatCode="0.0"/>
      <fill>
        <patternFill patternType="none">
          <fgColor indexed="64"/>
          <bgColor indexed="65"/>
        </patternFill>
      </fill>
      <protection locked="1" hidden="1"/>
    </dxf>
    <dxf>
      <font>
        <b val="0"/>
        <i val="0"/>
        <strike val="0"/>
        <condense val="0"/>
        <extend val="0"/>
        <outline val="0"/>
        <shadow val="0"/>
        <u val="none"/>
        <vertAlign val="baseline"/>
        <sz val="11"/>
        <color theme="1"/>
        <name val="Open Sans"/>
        <family val="2"/>
        <scheme val="none"/>
      </font>
      <numFmt numFmtId="2" formatCode="0.00"/>
      <fill>
        <patternFill patternType="none">
          <fgColor indexed="64"/>
          <bgColor indexed="65"/>
        </patternFill>
      </fill>
      <protection locked="1" hidden="0"/>
    </dxf>
    <dxf>
      <font>
        <b val="0"/>
        <i val="0"/>
        <strike val="0"/>
        <condense val="0"/>
        <extend val="0"/>
        <outline val="0"/>
        <shadow val="0"/>
        <u val="none"/>
        <vertAlign val="baseline"/>
        <sz val="11"/>
        <color theme="1"/>
        <name val="Open Sans"/>
        <family val="2"/>
        <scheme val="none"/>
      </font>
      <numFmt numFmtId="168" formatCode="0.0"/>
      <protection locked="1" hidden="1"/>
    </dxf>
    <dxf>
      <font>
        <b val="0"/>
        <i val="0"/>
        <strike val="0"/>
        <condense val="0"/>
        <extend val="0"/>
        <outline val="0"/>
        <shadow val="0"/>
        <u val="none"/>
        <vertAlign val="baseline"/>
        <sz val="11"/>
        <color theme="1"/>
        <name val="Open Sans"/>
        <family val="2"/>
        <scheme val="none"/>
      </font>
      <numFmt numFmtId="168" formatCode="0.0"/>
      <fill>
        <patternFill patternType="none">
          <fgColor indexed="64"/>
          <bgColor indexed="65"/>
        </patternFill>
      </fill>
      <protection locked="1" hidden="1"/>
    </dxf>
    <dxf>
      <font>
        <b val="0"/>
        <i val="0"/>
        <strike val="0"/>
        <condense val="0"/>
        <extend val="0"/>
        <outline val="0"/>
        <shadow val="0"/>
        <u val="none"/>
        <vertAlign val="baseline"/>
        <sz val="11"/>
        <color theme="1"/>
        <name val="Open Sans"/>
        <family val="2"/>
        <scheme val="none"/>
      </font>
      <numFmt numFmtId="168" formatCode="0.0"/>
      <fill>
        <patternFill patternType="none">
          <fgColor indexed="64"/>
          <bgColor indexed="65"/>
        </patternFill>
      </fill>
      <protection locked="1" hidden="1"/>
    </dxf>
    <dxf>
      <font>
        <b val="0"/>
        <i val="0"/>
        <strike val="0"/>
        <condense val="0"/>
        <extend val="0"/>
        <outline val="0"/>
        <shadow val="0"/>
        <u val="none"/>
        <vertAlign val="baseline"/>
        <sz val="11"/>
        <color theme="1"/>
        <name val="Open Sans"/>
        <family val="2"/>
        <scheme val="none"/>
      </font>
      <numFmt numFmtId="2" formatCode="0.00"/>
      <fill>
        <patternFill patternType="none">
          <fgColor indexed="64"/>
          <bgColor indexed="65"/>
        </patternFill>
      </fill>
      <protection locked="1" hidden="0"/>
    </dxf>
    <dxf>
      <font>
        <b val="0"/>
        <i val="0"/>
        <strike val="0"/>
        <condense val="0"/>
        <extend val="0"/>
        <outline val="0"/>
        <shadow val="0"/>
        <u val="none"/>
        <vertAlign val="baseline"/>
        <sz val="11"/>
        <color theme="1"/>
        <name val="Open Sans"/>
        <family val="2"/>
        <scheme val="none"/>
      </font>
      <numFmt numFmtId="2" formatCode="0.00"/>
      <protection locked="1" hidden="1"/>
    </dxf>
    <dxf>
      <font>
        <b val="0"/>
        <i val="0"/>
        <strike val="0"/>
        <condense val="0"/>
        <extend val="0"/>
        <outline val="0"/>
        <shadow val="0"/>
        <u val="none"/>
        <vertAlign val="baseline"/>
        <sz val="11"/>
        <color theme="1"/>
        <name val="Open Sans"/>
        <family val="2"/>
        <scheme val="none"/>
      </font>
      <numFmt numFmtId="168" formatCode="0.0"/>
      <fill>
        <patternFill patternType="none">
          <fgColor indexed="64"/>
          <bgColor indexed="65"/>
        </patternFill>
      </fill>
      <protection locked="1" hidden="1"/>
    </dxf>
    <dxf>
      <font>
        <b val="0"/>
        <i val="0"/>
        <strike val="0"/>
        <condense val="0"/>
        <extend val="0"/>
        <outline val="0"/>
        <shadow val="0"/>
        <u val="none"/>
        <vertAlign val="baseline"/>
        <sz val="11"/>
        <color theme="1"/>
        <name val="Open Sans"/>
        <family val="2"/>
        <scheme val="none"/>
      </font>
      <numFmt numFmtId="168" formatCode="0.0"/>
      <fill>
        <patternFill patternType="none">
          <fgColor indexed="64"/>
          <bgColor indexed="65"/>
        </patternFill>
      </fill>
      <protection locked="1"/>
    </dxf>
    <dxf>
      <font>
        <b val="0"/>
        <i val="0"/>
        <strike val="0"/>
        <condense val="0"/>
        <extend val="0"/>
        <outline val="0"/>
        <shadow val="0"/>
        <u val="none"/>
        <vertAlign val="baseline"/>
        <sz val="11"/>
        <color theme="1"/>
        <name val="Open Sans"/>
        <family val="2"/>
        <scheme val="none"/>
      </font>
      <numFmt numFmtId="168" formatCode="0.0"/>
      <fill>
        <patternFill patternType="none">
          <fgColor indexed="64"/>
          <bgColor indexed="65"/>
        </patternFill>
      </fill>
      <protection locked="1" hidden="1"/>
    </dxf>
    <dxf>
      <font>
        <b val="0"/>
        <i val="0"/>
        <strike val="0"/>
        <condense val="0"/>
        <extend val="0"/>
        <outline val="0"/>
        <shadow val="0"/>
        <u val="none"/>
        <vertAlign val="baseline"/>
        <sz val="11"/>
        <color theme="1"/>
        <name val="Open Sans"/>
        <family val="2"/>
        <scheme val="none"/>
      </font>
      <numFmt numFmtId="168" formatCode="0.0"/>
      <protection locked="1"/>
    </dxf>
    <dxf>
      <font>
        <b val="0"/>
        <i val="0"/>
        <strike val="0"/>
        <condense val="0"/>
        <extend val="0"/>
        <outline val="0"/>
        <shadow val="0"/>
        <u val="none"/>
        <vertAlign val="baseline"/>
        <sz val="11"/>
        <color theme="1"/>
        <name val="Open Sans"/>
        <family val="2"/>
        <scheme val="none"/>
      </font>
      <numFmt numFmtId="168" formatCode="0.0"/>
      <protection locked="1"/>
    </dxf>
    <dxf>
      <font>
        <b val="0"/>
        <i val="0"/>
        <strike val="0"/>
        <condense val="0"/>
        <extend val="0"/>
        <outline val="0"/>
        <shadow val="0"/>
        <u val="none"/>
        <vertAlign val="baseline"/>
        <sz val="11"/>
        <color theme="1"/>
        <name val="Open Sans"/>
        <family val="2"/>
        <scheme val="none"/>
      </font>
      <numFmt numFmtId="168" formatCode="0.0"/>
      <protection locked="1"/>
    </dxf>
    <dxf>
      <font>
        <b val="0"/>
        <i val="0"/>
        <strike val="0"/>
        <condense val="0"/>
        <extend val="0"/>
        <outline val="0"/>
        <shadow val="0"/>
        <u val="none"/>
        <vertAlign val="baseline"/>
        <sz val="11"/>
        <color theme="1"/>
        <name val="Open Sans"/>
        <family val="2"/>
        <scheme val="none"/>
      </font>
      <numFmt numFmtId="2" formatCode="0.00"/>
      <protection locked="1"/>
    </dxf>
    <dxf>
      <font>
        <b val="0"/>
        <i val="0"/>
        <strike val="0"/>
        <condense val="0"/>
        <extend val="0"/>
        <outline val="0"/>
        <shadow val="0"/>
        <u val="none"/>
        <vertAlign val="baseline"/>
        <sz val="11"/>
        <color theme="1"/>
        <name val="Open Sans"/>
        <family val="2"/>
        <scheme val="none"/>
      </font>
      <numFmt numFmtId="2" formatCode="0.00"/>
      <protection locked="1"/>
    </dxf>
    <dxf>
      <font>
        <b val="0"/>
        <i val="0"/>
        <strike val="0"/>
        <condense val="0"/>
        <extend val="0"/>
        <outline val="0"/>
        <shadow val="0"/>
        <u val="none"/>
        <vertAlign val="baseline"/>
        <sz val="11"/>
        <color theme="1"/>
        <name val="Open Sans"/>
        <family val="2"/>
        <scheme val="none"/>
      </font>
      <numFmt numFmtId="169" formatCode="_(* #,##0_);_(* \(#,##0\);_(* &quot;-&quot;??_);_(@_)"/>
      <protection locked="1"/>
    </dxf>
    <dxf>
      <font>
        <b val="0"/>
        <i val="0"/>
        <strike val="0"/>
        <condense val="0"/>
        <extend val="0"/>
        <outline val="0"/>
        <shadow val="0"/>
        <u val="none"/>
        <vertAlign val="baseline"/>
        <sz val="11"/>
        <color theme="1"/>
        <name val="Open Sans"/>
        <family val="2"/>
        <scheme val="none"/>
      </font>
      <numFmt numFmtId="2" formatCode="0.00"/>
      <protection locked="1"/>
    </dxf>
    <dxf>
      <font>
        <b val="0"/>
        <i val="0"/>
        <strike val="0"/>
        <condense val="0"/>
        <extend val="0"/>
        <outline val="0"/>
        <shadow val="0"/>
        <u val="none"/>
        <vertAlign val="baseline"/>
        <sz val="11"/>
        <color theme="1"/>
        <name val="Open Sans"/>
        <family val="2"/>
        <scheme val="none"/>
      </font>
      <numFmt numFmtId="0" formatCode="General"/>
      <protection locked="1"/>
    </dxf>
    <dxf>
      <font>
        <b val="0"/>
        <i val="0"/>
        <strike val="0"/>
        <condense val="0"/>
        <extend val="0"/>
        <outline val="0"/>
        <shadow val="0"/>
        <u val="none"/>
        <vertAlign val="baseline"/>
        <sz val="11"/>
        <color theme="1"/>
        <name val="Open Sans"/>
        <family val="2"/>
        <scheme val="none"/>
      </font>
      <numFmt numFmtId="0" formatCode="General"/>
      <protection locked="1"/>
    </dxf>
    <dxf>
      <font>
        <b val="0"/>
        <i val="0"/>
        <strike val="0"/>
        <condense val="0"/>
        <extend val="0"/>
        <outline val="0"/>
        <shadow val="0"/>
        <u val="none"/>
        <vertAlign val="baseline"/>
        <sz val="11"/>
        <color theme="1"/>
        <name val="Open Sans"/>
        <family val="2"/>
        <scheme val="none"/>
      </font>
      <numFmt numFmtId="0" formatCode="General"/>
      <protection locked="1"/>
    </dxf>
    <dxf>
      <font>
        <b val="0"/>
        <i val="0"/>
        <strike val="0"/>
        <condense val="0"/>
        <extend val="0"/>
        <outline val="0"/>
        <shadow val="0"/>
        <u val="none"/>
        <vertAlign val="baseline"/>
        <sz val="11"/>
        <color theme="1"/>
        <name val="Open Sans"/>
        <family val="2"/>
        <scheme val="none"/>
      </font>
      <numFmt numFmtId="0" formatCode="General"/>
      <protection locked="1"/>
    </dxf>
    <dxf>
      <font>
        <b val="0"/>
        <i val="0"/>
        <strike val="0"/>
        <condense val="0"/>
        <extend val="0"/>
        <outline val="0"/>
        <shadow val="0"/>
        <u val="none"/>
        <vertAlign val="baseline"/>
        <sz val="11"/>
        <color theme="1"/>
        <name val="Open Sans"/>
        <family val="2"/>
        <scheme val="none"/>
      </font>
      <numFmt numFmtId="0" formatCode="General"/>
      <protection locked="1"/>
    </dxf>
    <dxf>
      <font>
        <b val="0"/>
        <i val="0"/>
        <strike val="0"/>
        <condense val="0"/>
        <extend val="0"/>
        <outline val="0"/>
        <shadow val="0"/>
        <u val="none"/>
        <vertAlign val="baseline"/>
        <sz val="11"/>
        <color theme="1"/>
        <name val="Open Sans"/>
        <family val="2"/>
        <scheme val="none"/>
      </font>
      <numFmt numFmtId="0" formatCode="General"/>
      <protection locked="1"/>
    </dxf>
    <dxf>
      <font>
        <strike val="0"/>
        <outline val="0"/>
        <shadow val="0"/>
        <u val="none"/>
        <vertAlign val="baseline"/>
        <name val="Open Sans"/>
        <family val="2"/>
        <scheme val="none"/>
      </font>
      <protection locked="1"/>
    </dxf>
    <dxf>
      <font>
        <b val="0"/>
        <i val="0"/>
        <strike val="0"/>
        <condense val="0"/>
        <extend val="0"/>
        <outline val="0"/>
        <shadow val="0"/>
        <u val="none"/>
        <vertAlign val="baseline"/>
        <sz val="11"/>
        <color theme="1"/>
        <name val="Open Sans"/>
        <family val="2"/>
        <scheme val="none"/>
      </font>
      <fill>
        <patternFill patternType="none">
          <fgColor indexed="64"/>
          <bgColor auto="1"/>
        </patternFill>
      </fill>
      <protection locked="1" hidden="1"/>
    </dxf>
    <dxf>
      <font>
        <b val="0"/>
        <i val="0"/>
        <strike val="0"/>
        <condense val="0"/>
        <extend val="0"/>
        <outline val="0"/>
        <shadow val="0"/>
        <u val="none"/>
        <vertAlign val="baseline"/>
        <sz val="11"/>
        <color theme="1"/>
        <name val="Open Sans"/>
        <family val="2"/>
        <scheme val="none"/>
      </font>
      <numFmt numFmtId="171" formatCode="_ [$€-413]\ * #,##0_ ;_ [$€-413]\ * \-#,##0_ ;_ [$€-413]\ * &quot;-&quot;??_ ;_ @_ "/>
      <protection locked="1"/>
    </dxf>
    <dxf>
      <font>
        <b val="0"/>
        <i val="0"/>
        <strike val="0"/>
        <condense val="0"/>
        <extend val="0"/>
        <outline val="0"/>
        <shadow val="0"/>
        <u val="none"/>
        <vertAlign val="baseline"/>
        <sz val="11"/>
        <color theme="1"/>
        <name val="Open Sans"/>
        <family val="2"/>
        <scheme val="none"/>
      </font>
      <numFmt numFmtId="2" formatCode="0.00"/>
      <protection locked="1"/>
    </dxf>
    <dxf>
      <font>
        <b val="0"/>
        <i val="0"/>
        <strike val="0"/>
        <condense val="0"/>
        <extend val="0"/>
        <outline val="0"/>
        <shadow val="0"/>
        <u val="none"/>
        <vertAlign val="baseline"/>
        <sz val="11"/>
        <color theme="1"/>
        <name val="Open Sans"/>
        <family val="2"/>
        <scheme val="none"/>
      </font>
      <numFmt numFmtId="1" formatCode="0"/>
      <protection locked="1"/>
    </dxf>
    <dxf>
      <font>
        <b val="0"/>
        <i val="0"/>
        <strike val="0"/>
        <condense val="0"/>
        <extend val="0"/>
        <outline val="0"/>
        <shadow val="0"/>
        <u val="none"/>
        <vertAlign val="baseline"/>
        <sz val="11"/>
        <color theme="1"/>
        <name val="Open Sans"/>
        <family val="2"/>
        <scheme val="none"/>
      </font>
      <protection locked="1"/>
    </dxf>
    <dxf>
      <font>
        <b/>
        <i val="0"/>
        <strike val="0"/>
        <condense val="0"/>
        <extend val="0"/>
        <outline val="0"/>
        <shadow val="0"/>
        <u val="none"/>
        <vertAlign val="baseline"/>
        <sz val="10"/>
        <color theme="0"/>
        <name val="Open Sans"/>
        <family val="2"/>
        <scheme val="none"/>
      </font>
      <fill>
        <patternFill patternType="solid">
          <fgColor indexed="64"/>
          <bgColor theme="1"/>
        </patternFill>
      </fill>
      <alignment horizontal="general" vertical="bottom" textRotation="45" wrapText="0" indent="0" justifyLastLine="0" shrinkToFit="0" readingOrder="0"/>
      <border diagonalUp="0" diagonalDown="0">
        <left style="thin">
          <color theme="1"/>
        </left>
        <right style="thin">
          <color theme="1"/>
        </right>
        <top/>
        <bottom/>
      </border>
      <protection locked="1"/>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b val="0"/>
        <i val="0"/>
        <strike val="0"/>
        <condense val="0"/>
        <extend val="0"/>
        <outline val="0"/>
        <shadow val="0"/>
        <u val="none"/>
        <vertAlign val="baseline"/>
        <sz val="11"/>
        <color theme="1"/>
        <name val="Open Sans"/>
        <family val="2"/>
        <scheme val="none"/>
      </font>
      <numFmt numFmtId="2" formatCode="0.00"/>
      <fill>
        <patternFill patternType="solid">
          <fgColor theme="6" tint="0.59999389629810485"/>
          <bgColor theme="6" tint="0.59999389629810485"/>
        </patternFill>
      </fill>
      <border diagonalUp="0" diagonalDown="0">
        <left/>
        <right style="thin">
          <color theme="0"/>
        </right>
        <top style="thin">
          <color theme="0"/>
        </top>
        <bottom style="thin">
          <color theme="0"/>
        </bottom>
        <vertical/>
        <horizontal/>
      </border>
    </dxf>
    <dxf>
      <numFmt numFmtId="179" formatCode="_(* #,##0.0_);_(* \(#,##0.0\);_(* &quot;-&quot;??_);_(@_)"/>
    </dxf>
    <dxf>
      <font>
        <b val="0"/>
        <i val="0"/>
        <strike val="0"/>
        <condense val="0"/>
        <extend val="0"/>
        <outline val="0"/>
        <shadow val="0"/>
        <u val="none"/>
        <vertAlign val="baseline"/>
        <sz val="11"/>
        <color theme="1"/>
        <name val="Open Sans"/>
        <family val="2"/>
        <scheme val="none"/>
      </font>
      <numFmt numFmtId="2" formatCode="0.00"/>
      <fill>
        <patternFill patternType="solid">
          <fgColor theme="6" tint="0.59999389629810485"/>
          <bgColor theme="6" tint="0.59999389629810485"/>
        </patternFill>
      </fill>
      <border diagonalUp="0" diagonalDown="0">
        <left/>
        <right style="thin">
          <color theme="0"/>
        </right>
        <top style="thin">
          <color theme="0"/>
        </top>
        <bottom style="thin">
          <color theme="0"/>
        </bottom>
        <vertical/>
        <horizontal/>
      </border>
    </dxf>
    <dxf>
      <numFmt numFmtId="179" formatCode="_(* #,##0.0_);_(* \(#,##0.0\);_(* &quot;-&quot;??_);_(@_)"/>
    </dxf>
    <dxf>
      <font>
        <b val="0"/>
        <i val="0"/>
        <strike val="0"/>
        <condense val="0"/>
        <extend val="0"/>
        <outline val="0"/>
        <shadow val="0"/>
        <u val="none"/>
        <vertAlign val="baseline"/>
        <sz val="11"/>
        <color theme="1"/>
        <name val="Open Sans"/>
        <family val="2"/>
        <scheme val="none"/>
      </font>
      <numFmt numFmtId="2" formatCode="0.00"/>
      <fill>
        <patternFill patternType="solid">
          <fgColor theme="6" tint="0.59999389629810485"/>
          <bgColor theme="6" tint="0.59999389629810485"/>
        </patternFill>
      </fill>
      <border diagonalUp="0" diagonalDown="0">
        <left/>
        <right style="thin">
          <color theme="0"/>
        </right>
        <top style="thin">
          <color theme="0"/>
        </top>
        <bottom style="thin">
          <color theme="0"/>
        </bottom>
        <vertical/>
        <horizontal/>
      </border>
    </dxf>
    <dxf>
      <numFmt numFmtId="179" formatCode="_(* #,##0.0_);_(* \(#,##0.0\);_(* &quot;-&quot;??_);_(@_)"/>
    </dxf>
    <dxf>
      <font>
        <b val="0"/>
        <i val="0"/>
        <strike val="0"/>
        <condense val="0"/>
        <extend val="0"/>
        <outline val="0"/>
        <shadow val="0"/>
        <u val="none"/>
        <vertAlign val="baseline"/>
        <sz val="11"/>
        <color theme="1"/>
        <name val="Open Sans"/>
        <family val="2"/>
        <scheme val="none"/>
      </font>
      <numFmt numFmtId="2" formatCode="0.00"/>
      <fill>
        <patternFill patternType="solid">
          <fgColor theme="6" tint="0.59999389629810485"/>
          <bgColor theme="6" tint="0.59999389629810485"/>
        </patternFill>
      </fill>
      <border diagonalUp="0" diagonalDown="0">
        <left/>
        <right style="thin">
          <color theme="0"/>
        </right>
        <top style="thin">
          <color theme="0"/>
        </top>
        <bottom style="thin">
          <color theme="0"/>
        </bottom>
        <vertical/>
        <horizontal/>
      </border>
    </dxf>
    <dxf>
      <numFmt numFmtId="179" formatCode="_(* #,##0.0_);_(* \(#,##0.0\);_(* &quot;-&quot;??_);_(@_)"/>
    </dxf>
    <dxf>
      <font>
        <b val="0"/>
        <i val="0"/>
        <strike val="0"/>
        <condense val="0"/>
        <extend val="0"/>
        <outline val="0"/>
        <shadow val="0"/>
        <u val="none"/>
        <vertAlign val="baseline"/>
        <sz val="11"/>
        <color theme="1"/>
        <name val="Open Sans"/>
        <family val="2"/>
        <scheme val="none"/>
      </font>
      <numFmt numFmtId="2" formatCode="0.00"/>
      <fill>
        <patternFill patternType="solid">
          <fgColor theme="6" tint="0.59999389629810485"/>
          <bgColor theme="6" tint="0.59999389629810485"/>
        </patternFill>
      </fill>
      <border diagonalUp="0" diagonalDown="0">
        <left/>
        <right style="thin">
          <color theme="0"/>
        </right>
        <top style="thin">
          <color theme="0"/>
        </top>
        <bottom style="thin">
          <color theme="0"/>
        </bottom>
        <vertical/>
        <horizontal/>
      </border>
    </dxf>
    <dxf>
      <font>
        <b/>
        <i val="0"/>
        <strike val="0"/>
        <condense val="0"/>
        <extend val="0"/>
        <outline val="0"/>
        <shadow val="0"/>
        <u val="none"/>
        <vertAlign val="baseline"/>
        <sz val="11"/>
        <color theme="0"/>
        <name val="Open Sans"/>
        <family val="2"/>
        <scheme val="none"/>
      </font>
      <numFmt numFmtId="179" formatCode="_(* #,##0.0_);_(* \(#,##0.0\);_(* &quot;-&quot;??_);_(@_)"/>
      <fill>
        <patternFill patternType="solid">
          <fgColor theme="6"/>
          <bgColor theme="6"/>
        </patternFill>
      </fill>
      <border diagonalUp="0" diagonalDown="0" outline="0">
        <left style="thin">
          <color theme="0"/>
        </left>
        <right style="thin">
          <color theme="0"/>
        </right>
        <top style="thick">
          <color theme="0"/>
        </top>
        <bottom/>
      </border>
    </dxf>
    <dxf>
      <font>
        <b val="0"/>
        <i val="0"/>
        <strike val="0"/>
        <condense val="0"/>
        <extend val="0"/>
        <outline val="0"/>
        <shadow val="0"/>
        <u val="none"/>
        <vertAlign val="baseline"/>
        <sz val="11"/>
        <color theme="1"/>
        <name val="Open Sans"/>
        <family val="2"/>
        <scheme val="none"/>
      </font>
      <numFmt numFmtId="2" formatCode="0.00"/>
      <fill>
        <patternFill patternType="solid">
          <fgColor theme="6" tint="0.59999389629810485"/>
          <bgColor theme="6" tint="0.59999389629810485"/>
        </patternFill>
      </fill>
      <border diagonalUp="0" diagonalDown="0">
        <left/>
        <right style="thin">
          <color theme="0"/>
        </right>
        <top style="thin">
          <color theme="0"/>
        </top>
        <bottom style="thin">
          <color theme="0"/>
        </bottom>
        <vertical/>
        <horizontal/>
      </border>
    </dxf>
    <dxf>
      <font>
        <b/>
        <i val="0"/>
        <strike val="0"/>
        <condense val="0"/>
        <extend val="0"/>
        <outline val="0"/>
        <shadow val="0"/>
        <u val="none"/>
        <vertAlign val="baseline"/>
        <sz val="11"/>
        <color theme="0"/>
        <name val="Open Sans"/>
        <family val="2"/>
        <scheme val="none"/>
      </font>
      <numFmt numFmtId="179" formatCode="_(* #,##0.0_);_(* \(#,##0.0\);_(* &quot;-&quot;??_);_(@_)"/>
      <fill>
        <patternFill patternType="solid">
          <fgColor theme="6"/>
          <bgColor theme="6"/>
        </patternFill>
      </fill>
      <border diagonalUp="0" diagonalDown="0" outline="0">
        <left style="thin">
          <color theme="0"/>
        </left>
        <right style="thin">
          <color theme="0"/>
        </right>
        <top style="thick">
          <color theme="0"/>
        </top>
        <bottom/>
      </border>
    </dxf>
    <dxf>
      <font>
        <b val="0"/>
        <i val="0"/>
        <strike val="0"/>
        <condense val="0"/>
        <extend val="0"/>
        <outline val="0"/>
        <shadow val="0"/>
        <u val="none"/>
        <vertAlign val="baseline"/>
        <sz val="11"/>
        <color theme="1"/>
        <name val="Open Sans"/>
        <family val="2"/>
        <scheme val="none"/>
      </font>
      <numFmt numFmtId="2" formatCode="0.00"/>
      <fill>
        <patternFill patternType="solid">
          <fgColor theme="6" tint="0.59999389629810485"/>
          <bgColor theme="6" tint="0.59999389629810485"/>
        </patternFill>
      </fill>
      <border diagonalUp="0" diagonalDown="0">
        <left/>
        <right style="thin">
          <color theme="0"/>
        </right>
        <top style="thin">
          <color theme="0"/>
        </top>
        <bottom style="thin">
          <color theme="0"/>
        </bottom>
        <vertical/>
        <horizontal/>
      </border>
    </dxf>
    <dxf>
      <font>
        <b val="0"/>
        <i val="0"/>
        <strike val="0"/>
        <condense val="0"/>
        <extend val="0"/>
        <outline val="0"/>
        <shadow val="0"/>
        <u val="none"/>
        <vertAlign val="baseline"/>
        <sz val="11"/>
        <color theme="1"/>
        <name val="Calibri"/>
        <family val="2"/>
        <scheme val="minor"/>
      </font>
      <numFmt numFmtId="165" formatCode="_(* #,##0.00_);_(* \(#,##0.00\);_(* &quot;-&quot;??_);_(@_)"/>
    </dxf>
    <dxf>
      <font>
        <b val="0"/>
        <i val="0"/>
        <strike val="0"/>
        <condense val="0"/>
        <extend val="0"/>
        <outline val="0"/>
        <shadow val="0"/>
        <u val="none"/>
        <vertAlign val="baseline"/>
        <sz val="11"/>
        <color theme="1"/>
        <name val="Open Sans"/>
        <family val="2"/>
        <scheme val="none"/>
      </font>
      <numFmt numFmtId="169" formatCode="_(* #,##0_);_(* \(#,##0\);_(* &quot;-&quot;??_);_(@_)"/>
      <fill>
        <patternFill patternType="solid">
          <fgColor theme="6" tint="0.59999389629810485"/>
          <bgColor theme="6" tint="0.59999389629810485"/>
        </patternFill>
      </fill>
      <border diagonalUp="0" diagonalDown="0">
        <left/>
        <right style="thin">
          <color theme="0"/>
        </right>
        <top/>
        <bottom style="thin">
          <color theme="0"/>
        </bottom>
        <vertical/>
        <horizontal/>
      </border>
    </dxf>
    <dxf>
      <font>
        <b/>
        <i val="0"/>
        <strike val="0"/>
        <condense val="0"/>
        <extend val="0"/>
        <outline val="0"/>
        <shadow val="0"/>
        <u val="none"/>
        <vertAlign val="baseline"/>
        <sz val="11"/>
        <color theme="0"/>
        <name val="Open Sans"/>
        <family val="2"/>
        <scheme val="none"/>
      </font>
      <numFmt numFmtId="169" formatCode="_(* #,##0_);_(* \(#,##0\);_(* &quot;-&quot;??_);_(@_)"/>
      <fill>
        <patternFill patternType="solid">
          <fgColor theme="6"/>
          <bgColor theme="6"/>
        </patternFill>
      </fill>
      <border diagonalUp="0" diagonalDown="0" outline="0">
        <left style="thin">
          <color theme="0"/>
        </left>
        <right style="thin">
          <color theme="0"/>
        </right>
        <top style="thick">
          <color theme="0"/>
        </top>
        <bottom/>
      </border>
    </dxf>
    <dxf>
      <font>
        <b val="0"/>
        <i val="0"/>
        <strike val="0"/>
        <condense val="0"/>
        <extend val="0"/>
        <outline val="0"/>
        <shadow val="0"/>
        <u val="none"/>
        <vertAlign val="baseline"/>
        <sz val="11"/>
        <color theme="1"/>
        <name val="Open Sans"/>
        <family val="2"/>
        <scheme val="none"/>
      </font>
      <numFmt numFmtId="169" formatCode="_(* #,##0_);_(* \(#,##0\);_(* &quot;-&quot;??_);_(@_)"/>
      <fill>
        <patternFill patternType="solid">
          <fgColor theme="6" tint="0.59999389629810485"/>
          <bgColor theme="6" tint="0.59999389629810485"/>
        </patternFill>
      </fill>
      <border diagonalUp="0" diagonalDown="0">
        <left/>
        <right style="thin">
          <color theme="0"/>
        </right>
        <top/>
        <bottom style="thin">
          <color theme="0"/>
        </bottom>
        <vertical/>
        <horizontal/>
      </border>
    </dxf>
    <dxf>
      <font>
        <b/>
        <i val="0"/>
        <strike val="0"/>
        <condense val="0"/>
        <extend val="0"/>
        <outline val="0"/>
        <shadow val="0"/>
        <u val="none"/>
        <vertAlign val="baseline"/>
        <sz val="11"/>
        <color theme="0"/>
        <name val="Open Sans"/>
        <family val="2"/>
        <scheme val="none"/>
      </font>
      <numFmt numFmtId="169" formatCode="_(* #,##0_);_(* \(#,##0\);_(* &quot;-&quot;??_);_(@_)"/>
      <fill>
        <patternFill patternType="solid">
          <fgColor theme="6"/>
          <bgColor theme="6"/>
        </patternFill>
      </fill>
      <border diagonalUp="0" diagonalDown="0" outline="0">
        <left style="thin">
          <color theme="0"/>
        </left>
        <right style="thin">
          <color theme="0"/>
        </right>
        <top style="thick">
          <color theme="0"/>
        </top>
        <bottom/>
      </border>
    </dxf>
    <dxf>
      <font>
        <b val="0"/>
        <i val="0"/>
        <strike val="0"/>
        <condense val="0"/>
        <extend val="0"/>
        <outline val="0"/>
        <shadow val="0"/>
        <u val="none"/>
        <vertAlign val="baseline"/>
        <sz val="11"/>
        <color theme="1"/>
        <name val="Open Sans"/>
        <family val="2"/>
        <scheme val="none"/>
      </font>
      <numFmt numFmtId="2" formatCode="0.00"/>
      <fill>
        <patternFill patternType="solid">
          <fgColor theme="6" tint="0.59999389629810485"/>
          <bgColor theme="6" tint="0.59999389629810485"/>
        </patternFill>
      </fill>
      <border diagonalUp="0" diagonalDown="0">
        <left/>
        <right style="thin">
          <color theme="0"/>
        </right>
        <top style="thin">
          <color theme="0"/>
        </top>
        <bottom style="thin">
          <color theme="0"/>
        </bottom>
        <vertical/>
        <horizontal/>
      </border>
    </dxf>
    <dxf>
      <font>
        <b/>
        <i val="0"/>
        <strike val="0"/>
        <condense val="0"/>
        <extend val="0"/>
        <outline val="0"/>
        <shadow val="0"/>
        <u val="none"/>
        <vertAlign val="baseline"/>
        <sz val="11"/>
        <color theme="0"/>
        <name val="Open Sans"/>
        <family val="2"/>
        <scheme val="none"/>
      </font>
      <numFmt numFmtId="179" formatCode="_(* #,##0.0_);_(* \(#,##0.0\);_(* &quot;-&quot;??_);_(@_)"/>
      <fill>
        <patternFill patternType="solid">
          <fgColor theme="6"/>
          <bgColor theme="6"/>
        </patternFill>
      </fill>
      <border diagonalUp="0" diagonalDown="0" outline="0">
        <left style="thin">
          <color theme="0"/>
        </left>
        <right style="thin">
          <color theme="0"/>
        </right>
        <top style="thick">
          <color theme="0"/>
        </top>
        <bottom/>
      </border>
    </dxf>
    <dxf>
      <font>
        <b val="0"/>
        <i val="0"/>
        <strike val="0"/>
        <condense val="0"/>
        <extend val="0"/>
        <outline val="0"/>
        <shadow val="0"/>
        <u val="none"/>
        <vertAlign val="baseline"/>
        <sz val="11"/>
        <color theme="1"/>
        <name val="Open Sans"/>
        <family val="2"/>
        <scheme val="none"/>
      </font>
      <numFmt numFmtId="2" formatCode="0.00"/>
      <fill>
        <patternFill patternType="solid">
          <fgColor theme="6" tint="0.59999389629810485"/>
          <bgColor theme="6" tint="0.59999389629810485"/>
        </patternFill>
      </fill>
      <border diagonalUp="0" diagonalDown="0">
        <left/>
        <right style="thin">
          <color theme="0"/>
        </right>
        <top style="thin">
          <color theme="0"/>
        </top>
        <bottom style="thin">
          <color theme="0"/>
        </bottom>
        <vertical/>
        <horizontal/>
      </border>
    </dxf>
    <dxf>
      <font>
        <b/>
        <i val="0"/>
        <strike val="0"/>
        <condense val="0"/>
        <extend val="0"/>
        <outline val="0"/>
        <shadow val="0"/>
        <u val="none"/>
        <vertAlign val="baseline"/>
        <sz val="11"/>
        <color theme="0"/>
        <name val="Open Sans"/>
        <family val="2"/>
        <scheme val="none"/>
      </font>
      <numFmt numFmtId="179" formatCode="_(* #,##0.0_);_(* \(#,##0.0\);_(* &quot;-&quot;??_);_(@_)"/>
      <fill>
        <patternFill patternType="solid">
          <fgColor theme="6"/>
          <bgColor theme="6"/>
        </patternFill>
      </fill>
      <border diagonalUp="0" diagonalDown="0" outline="0">
        <left style="thin">
          <color theme="0"/>
        </left>
        <right style="thin">
          <color theme="0"/>
        </right>
        <top style="thick">
          <color theme="0"/>
        </top>
        <bottom/>
      </border>
    </dxf>
    <dxf>
      <font>
        <b val="0"/>
        <i val="0"/>
        <strike val="0"/>
        <condense val="0"/>
        <extend val="0"/>
        <outline val="0"/>
        <shadow val="0"/>
        <u val="none"/>
        <vertAlign val="baseline"/>
        <sz val="11"/>
        <color theme="1"/>
        <name val="Open Sans"/>
        <family val="2"/>
        <scheme val="none"/>
      </font>
      <numFmt numFmtId="2" formatCode="0.00"/>
      <fill>
        <patternFill patternType="solid">
          <fgColor theme="6" tint="0.59999389629810485"/>
          <bgColor theme="6" tint="0.59999389629810485"/>
        </patternFill>
      </fill>
      <border diagonalUp="0" diagonalDown="0">
        <left/>
        <right style="thin">
          <color theme="0"/>
        </right>
        <top style="thin">
          <color theme="0"/>
        </top>
        <bottom style="thin">
          <color theme="0"/>
        </bottom>
        <vertical/>
        <horizontal/>
      </border>
    </dxf>
    <dxf>
      <font>
        <b/>
        <i val="0"/>
        <strike val="0"/>
        <condense val="0"/>
        <extend val="0"/>
        <outline val="0"/>
        <shadow val="0"/>
        <u val="none"/>
        <vertAlign val="baseline"/>
        <sz val="11"/>
        <color theme="0"/>
        <name val="Open Sans"/>
        <family val="2"/>
        <scheme val="none"/>
      </font>
      <fill>
        <patternFill patternType="solid">
          <fgColor theme="6"/>
          <bgColor theme="6"/>
        </patternFill>
      </fill>
      <border diagonalUp="0" diagonalDown="0" outline="0">
        <left style="thin">
          <color theme="0"/>
        </left>
        <right style="thin">
          <color theme="0"/>
        </right>
        <top style="thick">
          <color theme="0"/>
        </top>
        <bottom/>
      </border>
    </dxf>
    <dxf>
      <font>
        <b val="0"/>
        <i val="0"/>
        <strike val="0"/>
        <condense val="0"/>
        <extend val="0"/>
        <outline val="0"/>
        <shadow val="0"/>
        <u val="none"/>
        <vertAlign val="baseline"/>
        <sz val="11"/>
        <color theme="1"/>
        <name val="Open Sans"/>
        <family val="2"/>
        <scheme val="none"/>
      </font>
      <numFmt numFmtId="2" formatCode="0.00"/>
      <fill>
        <patternFill patternType="solid">
          <fgColor theme="6" tint="0.59999389629810485"/>
          <bgColor theme="6" tint="0.59999389629810485"/>
        </patternFill>
      </fill>
      <border diagonalUp="0" diagonalDown="0">
        <left/>
        <right style="thin">
          <color theme="0"/>
        </right>
        <top style="thin">
          <color theme="0"/>
        </top>
        <bottom style="thin">
          <color theme="0"/>
        </bottom>
        <vertical/>
        <horizontal/>
      </border>
    </dxf>
    <dxf>
      <font>
        <b/>
        <i val="0"/>
        <strike val="0"/>
        <condense val="0"/>
        <extend val="0"/>
        <outline val="0"/>
        <shadow val="0"/>
        <u val="none"/>
        <vertAlign val="baseline"/>
        <sz val="11"/>
        <color theme="0"/>
        <name val="Open Sans"/>
        <family val="2"/>
        <scheme val="none"/>
      </font>
      <fill>
        <patternFill patternType="solid">
          <fgColor theme="6"/>
          <bgColor theme="6"/>
        </patternFill>
      </fill>
      <border diagonalUp="0" diagonalDown="0" outline="0">
        <left/>
        <right style="thin">
          <color theme="0"/>
        </right>
        <top style="thick">
          <color theme="0"/>
        </top>
        <bottom/>
      </border>
    </dxf>
    <dxf>
      <border outline="0">
        <bottom style="thick">
          <color rgb="FFFFFFFF"/>
        </bottom>
      </border>
    </dxf>
    <dxf>
      <border outline="0">
        <right style="thin">
          <color rgb="FFFFFFFF"/>
        </right>
      </border>
    </dxf>
    <dxf>
      <font>
        <b val="0"/>
        <i val="0"/>
        <strike val="0"/>
        <condense val="0"/>
        <extend val="0"/>
        <outline val="0"/>
        <shadow val="0"/>
        <u val="none"/>
        <vertAlign val="baseline"/>
        <sz val="11"/>
        <color theme="1"/>
        <name val="Open Sans"/>
        <family val="2"/>
        <scheme val="none"/>
      </font>
      <fill>
        <patternFill patternType="solid">
          <fgColor theme="6" tint="0.59999389629810485"/>
          <bgColor theme="6" tint="0.59999389629810485"/>
        </patternFill>
      </fill>
    </dxf>
    <dxf>
      <font>
        <b val="0"/>
        <i val="0"/>
        <strike val="0"/>
        <condense val="0"/>
        <extend val="0"/>
        <outline val="0"/>
        <shadow val="0"/>
        <u val="none"/>
        <vertAlign val="baseline"/>
        <sz val="11"/>
        <color theme="1"/>
        <name val="Open Sans"/>
        <family val="2"/>
        <scheme val="none"/>
      </font>
      <numFmt numFmtId="169" formatCode="_(* #,##0_);_(* \(#,##0\);_(* &quot;-&quot;??_);_(@_)"/>
      <fill>
        <patternFill patternType="solid">
          <fgColor theme="6" tint="0.59999389629810485"/>
          <bgColor theme="6" tint="0.59999389629810485"/>
        </patternFill>
      </fill>
      <border diagonalUp="0" diagonalDown="0">
        <left/>
        <right style="thin">
          <color theme="0"/>
        </right>
        <top style="thin">
          <color theme="0"/>
        </top>
        <bottom style="thin">
          <color theme="0"/>
        </bottom>
        <vertical/>
        <horizontal/>
      </border>
    </dxf>
    <dxf>
      <font>
        <b/>
        <i val="0"/>
        <strike val="0"/>
        <condense val="0"/>
        <extend val="0"/>
        <outline val="0"/>
        <shadow val="0"/>
        <u val="none"/>
        <vertAlign val="baseline"/>
        <sz val="11"/>
        <color theme="0"/>
        <name val="Open Sans"/>
        <family val="2"/>
        <scheme val="none"/>
      </font>
      <numFmt numFmtId="169" formatCode="_(* #,##0_);_(* \(#,##0\);_(* &quot;-&quot;??_);_(@_)"/>
      <fill>
        <patternFill patternType="solid">
          <fgColor theme="6"/>
          <bgColor theme="6"/>
        </patternFill>
      </fill>
      <border diagonalUp="0" diagonalDown="0" outline="0">
        <left style="thin">
          <color theme="0"/>
        </left>
        <right style="thin">
          <color theme="0"/>
        </right>
        <top style="thick">
          <color theme="0"/>
        </top>
        <bottom/>
      </border>
    </dxf>
    <dxf>
      <font>
        <b val="0"/>
        <i val="0"/>
        <strike val="0"/>
        <condense val="0"/>
        <extend val="0"/>
        <outline val="0"/>
        <shadow val="0"/>
        <u val="none"/>
        <vertAlign val="baseline"/>
        <sz val="11"/>
        <color theme="1"/>
        <name val="Open Sans"/>
        <family val="2"/>
        <scheme val="none"/>
      </font>
      <numFmt numFmtId="169" formatCode="_(* #,##0_);_(* \(#,##0\);_(* &quot;-&quot;??_);_(@_)"/>
      <fill>
        <patternFill patternType="solid">
          <fgColor theme="6" tint="0.59999389629810485"/>
          <bgColor theme="6" tint="0.59999389629810485"/>
        </patternFill>
      </fill>
      <border diagonalUp="0" diagonalDown="0">
        <left/>
        <right style="thin">
          <color theme="0"/>
        </right>
        <top style="thin">
          <color theme="0"/>
        </top>
        <bottom style="thin">
          <color theme="0"/>
        </bottom>
        <vertical/>
        <horizontal/>
      </border>
    </dxf>
    <dxf>
      <font>
        <b/>
        <i val="0"/>
        <strike val="0"/>
        <condense val="0"/>
        <extend val="0"/>
        <outline val="0"/>
        <shadow val="0"/>
        <u val="none"/>
        <vertAlign val="baseline"/>
        <sz val="11"/>
        <color theme="0"/>
        <name val="Open Sans"/>
        <family val="2"/>
        <scheme val="none"/>
      </font>
      <numFmt numFmtId="169" formatCode="_(* #,##0_);_(* \(#,##0\);_(* &quot;-&quot;??_);_(@_)"/>
      <fill>
        <patternFill patternType="solid">
          <fgColor theme="6"/>
          <bgColor theme="6"/>
        </patternFill>
      </fill>
      <border diagonalUp="0" diagonalDown="0" outline="0">
        <left style="thin">
          <color theme="0"/>
        </left>
        <right style="thin">
          <color theme="0"/>
        </right>
        <top style="thick">
          <color theme="0"/>
        </top>
        <bottom/>
      </border>
    </dxf>
    <dxf>
      <font>
        <b val="0"/>
        <i val="0"/>
        <strike val="0"/>
        <condense val="0"/>
        <extend val="0"/>
        <outline val="0"/>
        <shadow val="0"/>
        <u val="none"/>
        <vertAlign val="baseline"/>
        <sz val="11"/>
        <color theme="1"/>
        <name val="Open Sans"/>
        <family val="2"/>
        <scheme val="none"/>
      </font>
      <numFmt numFmtId="169" formatCode="_(* #,##0_);_(* \(#,##0\);_(* &quot;-&quot;??_);_(@_)"/>
      <fill>
        <patternFill patternType="solid">
          <fgColor theme="6" tint="0.59999389629810485"/>
          <bgColor theme="6" tint="0.59999389629810485"/>
        </patternFill>
      </fill>
      <border diagonalUp="0" diagonalDown="0">
        <left/>
        <right style="thin">
          <color theme="0"/>
        </right>
        <top style="thin">
          <color theme="0"/>
        </top>
        <bottom style="thin">
          <color theme="0"/>
        </bottom>
        <vertical/>
        <horizontal/>
      </border>
    </dxf>
    <dxf>
      <font>
        <b/>
        <i val="0"/>
        <strike val="0"/>
        <condense val="0"/>
        <extend val="0"/>
        <outline val="0"/>
        <shadow val="0"/>
        <u val="none"/>
        <vertAlign val="baseline"/>
        <sz val="11"/>
        <color theme="0"/>
        <name val="Open Sans"/>
        <family val="2"/>
        <scheme val="none"/>
      </font>
      <numFmt numFmtId="169" formatCode="_(* #,##0_);_(* \(#,##0\);_(* &quot;-&quot;??_);_(@_)"/>
      <fill>
        <patternFill patternType="solid">
          <fgColor theme="6"/>
          <bgColor theme="6"/>
        </patternFill>
      </fill>
      <border diagonalUp="0" diagonalDown="0" outline="0">
        <left style="thin">
          <color theme="0"/>
        </left>
        <right style="thin">
          <color theme="0"/>
        </right>
        <top style="thick">
          <color theme="0"/>
        </top>
        <bottom/>
      </border>
    </dxf>
    <dxf>
      <font>
        <b val="0"/>
        <i val="0"/>
        <strike val="0"/>
        <condense val="0"/>
        <extend val="0"/>
        <outline val="0"/>
        <shadow val="0"/>
        <u val="none"/>
        <vertAlign val="baseline"/>
        <sz val="11"/>
        <color theme="1"/>
        <name val="Open Sans"/>
        <family val="2"/>
        <scheme val="none"/>
      </font>
      <numFmt numFmtId="169" formatCode="_(* #,##0_);_(* \(#,##0\);_(* &quot;-&quot;??_);_(@_)"/>
      <fill>
        <patternFill patternType="solid">
          <fgColor theme="6" tint="0.59999389629810485"/>
          <bgColor theme="6" tint="0.59999389629810485"/>
        </patternFill>
      </fill>
      <border diagonalUp="0" diagonalDown="0">
        <left/>
        <right style="thin">
          <color theme="0"/>
        </right>
        <top style="thin">
          <color theme="0"/>
        </top>
        <bottom style="thin">
          <color theme="0"/>
        </bottom>
        <vertical/>
        <horizontal/>
      </border>
    </dxf>
    <dxf>
      <numFmt numFmtId="169" formatCode="_(* #,##0_);_(* \(#,##0\);_(* &quot;-&quot;??_);_(@_)"/>
    </dxf>
    <dxf>
      <font>
        <b val="0"/>
        <i val="0"/>
        <strike val="0"/>
        <condense val="0"/>
        <extend val="0"/>
        <outline val="0"/>
        <shadow val="0"/>
        <u val="none"/>
        <vertAlign val="baseline"/>
        <sz val="11"/>
        <color theme="1"/>
        <name val="Open Sans"/>
        <family val="2"/>
        <scheme val="none"/>
      </font>
      <numFmt numFmtId="169" formatCode="_(* #,##0_);_(* \(#,##0\);_(* &quot;-&quot;??_);_(@_)"/>
      <fill>
        <patternFill patternType="solid">
          <fgColor theme="6" tint="0.59999389629810485"/>
          <bgColor theme="6" tint="0.59999389629810485"/>
        </patternFill>
      </fill>
      <border diagonalUp="0" diagonalDown="0">
        <left/>
        <right style="thin">
          <color theme="0"/>
        </right>
        <top style="thin">
          <color theme="0"/>
        </top>
        <bottom style="thin">
          <color theme="0"/>
        </bottom>
        <vertical/>
        <horizontal/>
      </border>
    </dxf>
    <dxf>
      <font>
        <b/>
        <i val="0"/>
        <strike val="0"/>
        <condense val="0"/>
        <extend val="0"/>
        <outline val="0"/>
        <shadow val="0"/>
        <u val="none"/>
        <vertAlign val="baseline"/>
        <sz val="11"/>
        <color theme="0"/>
        <name val="Open Sans"/>
        <family val="2"/>
        <scheme val="none"/>
      </font>
      <numFmt numFmtId="169" formatCode="_(* #,##0_);_(* \(#,##0\);_(* &quot;-&quot;??_);_(@_)"/>
      <fill>
        <patternFill patternType="solid">
          <fgColor theme="6"/>
          <bgColor theme="6"/>
        </patternFill>
      </fill>
      <border diagonalUp="0" diagonalDown="0" outline="0">
        <left style="thin">
          <color theme="0"/>
        </left>
        <right style="thin">
          <color theme="0"/>
        </right>
        <top style="thick">
          <color theme="0"/>
        </top>
        <bottom/>
      </border>
    </dxf>
    <dxf>
      <font>
        <b val="0"/>
        <i val="0"/>
        <strike val="0"/>
        <condense val="0"/>
        <extend val="0"/>
        <outline val="0"/>
        <shadow val="0"/>
        <u val="none"/>
        <vertAlign val="baseline"/>
        <sz val="11"/>
        <color theme="1"/>
        <name val="Open Sans"/>
        <family val="2"/>
        <scheme val="none"/>
      </font>
      <numFmt numFmtId="169" formatCode="_(* #,##0_);_(* \(#,##0\);_(* &quot;-&quot;??_);_(@_)"/>
      <fill>
        <patternFill patternType="solid">
          <fgColor theme="6" tint="0.59999389629810485"/>
          <bgColor theme="6" tint="0.59999389629810485"/>
        </patternFill>
      </fill>
      <border diagonalUp="0" diagonalDown="0">
        <left/>
        <right style="thin">
          <color theme="0"/>
        </right>
        <top style="thin">
          <color theme="0"/>
        </top>
        <bottom style="thin">
          <color theme="0"/>
        </bottom>
        <vertical/>
        <horizontal/>
      </border>
    </dxf>
    <dxf>
      <font>
        <b/>
        <i val="0"/>
        <strike val="0"/>
        <condense val="0"/>
        <extend val="0"/>
        <outline val="0"/>
        <shadow val="0"/>
        <u val="none"/>
        <vertAlign val="baseline"/>
        <sz val="11"/>
        <color theme="0"/>
        <name val="Open Sans"/>
        <family val="2"/>
        <scheme val="none"/>
      </font>
      <numFmt numFmtId="169" formatCode="_(* #,##0_);_(* \(#,##0\);_(* &quot;-&quot;??_);_(@_)"/>
      <fill>
        <patternFill patternType="solid">
          <fgColor theme="6"/>
          <bgColor theme="6"/>
        </patternFill>
      </fill>
      <border diagonalUp="0" diagonalDown="0" outline="0">
        <left style="thin">
          <color theme="0"/>
        </left>
        <right style="thin">
          <color theme="0"/>
        </right>
        <top style="thick">
          <color theme="0"/>
        </top>
        <bottom/>
      </border>
    </dxf>
    <dxf>
      <font>
        <b val="0"/>
        <i val="0"/>
        <strike val="0"/>
        <condense val="0"/>
        <extend val="0"/>
        <outline val="0"/>
        <shadow val="0"/>
        <u val="none"/>
        <vertAlign val="baseline"/>
        <sz val="11"/>
        <color theme="1"/>
        <name val="Open Sans"/>
        <family val="2"/>
        <scheme val="none"/>
      </font>
      <numFmt numFmtId="165" formatCode="_(* #,##0.00_);_(* \(#,##0.00\);_(* &quot;-&quot;??_);_(@_)"/>
      <fill>
        <patternFill patternType="solid">
          <fgColor theme="6" tint="0.59999389629810485"/>
          <bgColor theme="6" tint="0.59999389629810485"/>
        </patternFill>
      </fill>
      <border diagonalUp="0" diagonalDown="0">
        <left/>
        <right style="thin">
          <color theme="0"/>
        </right>
        <top style="thin">
          <color theme="0"/>
        </top>
        <bottom style="thin">
          <color theme="0"/>
        </bottom>
        <vertical/>
        <horizontal/>
      </border>
    </dxf>
    <dxf>
      <font>
        <b val="0"/>
        <i val="0"/>
        <strike val="0"/>
        <condense val="0"/>
        <extend val="0"/>
        <outline val="0"/>
        <shadow val="0"/>
        <u val="none"/>
        <vertAlign val="baseline"/>
        <sz val="11"/>
        <color theme="1"/>
        <name val="Calibri"/>
        <family val="2"/>
        <scheme val="minor"/>
      </font>
      <numFmt numFmtId="165" formatCode="_(* #,##0.00_);_(* \(#,##0.00\);_(* &quot;-&quot;??_);_(@_)"/>
    </dxf>
    <dxf>
      <font>
        <b val="0"/>
        <i val="0"/>
        <strike val="0"/>
        <condense val="0"/>
        <extend val="0"/>
        <outline val="0"/>
        <shadow val="0"/>
        <u val="none"/>
        <vertAlign val="baseline"/>
        <sz val="11"/>
        <color theme="1"/>
        <name val="Open Sans"/>
        <family val="2"/>
        <scheme val="none"/>
      </font>
      <numFmt numFmtId="169" formatCode="_(* #,##0_);_(* \(#,##0\);_(* &quot;-&quot;??_);_(@_)"/>
      <fill>
        <patternFill patternType="solid">
          <fgColor theme="6" tint="0.59999389629810485"/>
          <bgColor theme="6" tint="0.59999389629810485"/>
        </patternFill>
      </fill>
      <border diagonalUp="0" diagonalDown="0">
        <left/>
        <right style="thin">
          <color theme="0"/>
        </right>
        <top/>
        <bottom style="thin">
          <color theme="0"/>
        </bottom>
        <vertical/>
        <horizontal/>
      </border>
    </dxf>
    <dxf>
      <font>
        <b/>
        <i val="0"/>
        <strike val="0"/>
        <condense val="0"/>
        <extend val="0"/>
        <outline val="0"/>
        <shadow val="0"/>
        <u val="none"/>
        <vertAlign val="baseline"/>
        <sz val="11"/>
        <color theme="0"/>
        <name val="Open Sans"/>
        <family val="2"/>
        <scheme val="none"/>
      </font>
      <numFmt numFmtId="169" formatCode="_(* #,##0_);_(* \(#,##0\);_(* &quot;-&quot;??_);_(@_)"/>
      <fill>
        <patternFill patternType="solid">
          <fgColor theme="6"/>
          <bgColor theme="6"/>
        </patternFill>
      </fill>
      <border diagonalUp="0" diagonalDown="0" outline="0">
        <left style="thin">
          <color theme="0"/>
        </left>
        <right style="thin">
          <color theme="0"/>
        </right>
        <top style="thick">
          <color theme="0"/>
        </top>
        <bottom/>
      </border>
    </dxf>
    <dxf>
      <font>
        <b val="0"/>
        <i val="0"/>
        <strike val="0"/>
        <condense val="0"/>
        <extend val="0"/>
        <outline val="0"/>
        <shadow val="0"/>
        <u val="none"/>
        <vertAlign val="baseline"/>
        <sz val="11"/>
        <color theme="1"/>
        <name val="Open Sans"/>
        <family val="2"/>
        <scheme val="none"/>
      </font>
      <numFmt numFmtId="169" formatCode="_(* #,##0_);_(* \(#,##0\);_(* &quot;-&quot;??_);_(@_)"/>
      <fill>
        <patternFill patternType="solid">
          <fgColor theme="6" tint="0.59999389629810485"/>
          <bgColor theme="6" tint="0.59999389629810485"/>
        </patternFill>
      </fill>
      <border diagonalUp="0" diagonalDown="0">
        <left/>
        <right style="thin">
          <color theme="0"/>
        </right>
        <top/>
        <bottom style="thin">
          <color theme="0"/>
        </bottom>
        <vertical/>
        <horizontal/>
      </border>
    </dxf>
    <dxf>
      <font>
        <b/>
        <i val="0"/>
        <strike val="0"/>
        <condense val="0"/>
        <extend val="0"/>
        <outline val="0"/>
        <shadow val="0"/>
        <u val="none"/>
        <vertAlign val="baseline"/>
        <sz val="11"/>
        <color theme="0"/>
        <name val="Open Sans"/>
        <family val="2"/>
        <scheme val="none"/>
      </font>
      <numFmt numFmtId="169" formatCode="_(* #,##0_);_(* \(#,##0\);_(* &quot;-&quot;??_);_(@_)"/>
      <fill>
        <patternFill patternType="solid">
          <fgColor theme="6"/>
          <bgColor theme="6"/>
        </patternFill>
      </fill>
      <border diagonalUp="0" diagonalDown="0" outline="0">
        <left style="thin">
          <color theme="0"/>
        </left>
        <right style="thin">
          <color theme="0"/>
        </right>
        <top style="thick">
          <color theme="0"/>
        </top>
        <bottom/>
      </border>
    </dxf>
    <dxf>
      <font>
        <b val="0"/>
        <i val="0"/>
        <strike val="0"/>
        <condense val="0"/>
        <extend val="0"/>
        <outline val="0"/>
        <shadow val="0"/>
        <u val="none"/>
        <vertAlign val="baseline"/>
        <sz val="11"/>
        <color theme="1"/>
        <name val="Open Sans"/>
        <family val="2"/>
        <scheme val="none"/>
      </font>
      <numFmt numFmtId="2" formatCode="0.00"/>
      <fill>
        <patternFill patternType="solid">
          <fgColor theme="6" tint="0.59999389629810485"/>
          <bgColor theme="6" tint="0.59999389629810485"/>
        </patternFill>
      </fill>
      <border diagonalUp="0" diagonalDown="0">
        <left/>
        <right style="thin">
          <color theme="0"/>
        </right>
        <top style="thin">
          <color theme="0"/>
        </top>
        <bottom style="thin">
          <color theme="0"/>
        </bottom>
        <vertical/>
        <horizontal/>
      </border>
    </dxf>
    <dxf>
      <font>
        <b/>
        <i val="0"/>
        <strike val="0"/>
        <condense val="0"/>
        <extend val="0"/>
        <outline val="0"/>
        <shadow val="0"/>
        <u val="none"/>
        <vertAlign val="baseline"/>
        <sz val="11"/>
        <color theme="0"/>
        <name val="Open Sans"/>
        <family val="2"/>
        <scheme val="none"/>
      </font>
      <numFmt numFmtId="169" formatCode="_(* #,##0_);_(* \(#,##0\);_(* &quot;-&quot;??_);_(@_)"/>
      <fill>
        <patternFill patternType="solid">
          <fgColor theme="6"/>
          <bgColor theme="6"/>
        </patternFill>
      </fill>
      <border diagonalUp="0" diagonalDown="0" outline="0">
        <left style="thin">
          <color theme="0"/>
        </left>
        <right style="thin">
          <color theme="0"/>
        </right>
        <top style="thick">
          <color theme="0"/>
        </top>
        <bottom/>
      </border>
    </dxf>
    <dxf>
      <font>
        <b val="0"/>
        <i val="0"/>
        <strike val="0"/>
        <condense val="0"/>
        <extend val="0"/>
        <outline val="0"/>
        <shadow val="0"/>
        <u val="none"/>
        <vertAlign val="baseline"/>
        <sz val="11"/>
        <color theme="1"/>
        <name val="Open Sans"/>
        <family val="2"/>
        <scheme val="none"/>
      </font>
      <numFmt numFmtId="2" formatCode="0.00"/>
      <fill>
        <patternFill patternType="solid">
          <fgColor theme="6" tint="0.59999389629810485"/>
          <bgColor theme="6" tint="0.59999389629810485"/>
        </patternFill>
      </fill>
      <border diagonalUp="0" diagonalDown="0">
        <left/>
        <right style="thin">
          <color theme="0"/>
        </right>
        <top style="thin">
          <color theme="0"/>
        </top>
        <bottom style="thin">
          <color theme="0"/>
        </bottom>
        <vertical/>
        <horizontal/>
      </border>
    </dxf>
    <dxf>
      <font>
        <b/>
        <i val="0"/>
        <strike val="0"/>
        <condense val="0"/>
        <extend val="0"/>
        <outline val="0"/>
        <shadow val="0"/>
        <u val="none"/>
        <vertAlign val="baseline"/>
        <sz val="11"/>
        <color theme="0"/>
        <name val="Open Sans"/>
        <family val="2"/>
        <scheme val="none"/>
      </font>
      <numFmt numFmtId="169" formatCode="_(* #,##0_);_(* \(#,##0\);_(* &quot;-&quot;??_);_(@_)"/>
      <fill>
        <patternFill patternType="solid">
          <fgColor theme="6"/>
          <bgColor theme="6"/>
        </patternFill>
      </fill>
      <border diagonalUp="0" diagonalDown="0" outline="0">
        <left style="thin">
          <color theme="0"/>
        </left>
        <right style="thin">
          <color theme="0"/>
        </right>
        <top style="thick">
          <color theme="0"/>
        </top>
        <bottom/>
      </border>
    </dxf>
    <dxf>
      <font>
        <b val="0"/>
        <i val="0"/>
        <strike val="0"/>
        <condense val="0"/>
        <extend val="0"/>
        <outline val="0"/>
        <shadow val="0"/>
        <u val="none"/>
        <vertAlign val="baseline"/>
        <sz val="11"/>
        <color theme="1"/>
        <name val="Open Sans"/>
        <family val="2"/>
        <scheme val="none"/>
      </font>
      <numFmt numFmtId="2" formatCode="0.00"/>
      <fill>
        <patternFill patternType="solid">
          <fgColor theme="6" tint="0.59999389629810485"/>
          <bgColor theme="6" tint="0.59999389629810485"/>
        </patternFill>
      </fill>
      <border diagonalUp="0" diagonalDown="0">
        <left/>
        <right style="thin">
          <color theme="0"/>
        </right>
        <top style="thin">
          <color theme="0"/>
        </top>
        <bottom style="thin">
          <color theme="0"/>
        </bottom>
        <vertical/>
        <horizontal/>
      </border>
    </dxf>
    <dxf>
      <font>
        <b/>
        <i val="0"/>
        <strike val="0"/>
        <condense val="0"/>
        <extend val="0"/>
        <outline val="0"/>
        <shadow val="0"/>
        <u val="none"/>
        <vertAlign val="baseline"/>
        <sz val="11"/>
        <color theme="0"/>
        <name val="Open Sans"/>
        <family val="2"/>
        <scheme val="none"/>
      </font>
      <fill>
        <patternFill patternType="solid">
          <fgColor theme="6"/>
          <bgColor theme="6"/>
        </patternFill>
      </fill>
      <border diagonalUp="0" diagonalDown="0" outline="0">
        <left style="thin">
          <color theme="0"/>
        </left>
        <right style="thin">
          <color theme="0"/>
        </right>
        <top style="thick">
          <color theme="0"/>
        </top>
        <bottom/>
      </border>
    </dxf>
    <dxf>
      <font>
        <b val="0"/>
        <i val="0"/>
        <strike val="0"/>
        <condense val="0"/>
        <extend val="0"/>
        <outline val="0"/>
        <shadow val="0"/>
        <u val="none"/>
        <vertAlign val="baseline"/>
        <sz val="11"/>
        <color theme="1"/>
        <name val="Open Sans"/>
        <family val="2"/>
        <scheme val="none"/>
      </font>
      <numFmt numFmtId="2" formatCode="0.00"/>
      <fill>
        <patternFill patternType="solid">
          <fgColor theme="6" tint="0.59999389629810485"/>
          <bgColor theme="6" tint="0.59999389629810485"/>
        </patternFill>
      </fill>
      <border diagonalUp="0" diagonalDown="0">
        <left/>
        <right style="thin">
          <color theme="0"/>
        </right>
        <top style="thin">
          <color theme="0"/>
        </top>
        <bottom style="thin">
          <color theme="0"/>
        </bottom>
        <vertical/>
        <horizontal/>
      </border>
    </dxf>
    <dxf>
      <font>
        <b/>
        <i val="0"/>
        <strike val="0"/>
        <condense val="0"/>
        <extend val="0"/>
        <outline val="0"/>
        <shadow val="0"/>
        <u val="none"/>
        <vertAlign val="baseline"/>
        <sz val="11"/>
        <color theme="0"/>
        <name val="Open Sans"/>
        <family val="2"/>
        <scheme val="none"/>
      </font>
      <fill>
        <patternFill patternType="solid">
          <fgColor theme="6"/>
          <bgColor theme="6"/>
        </patternFill>
      </fill>
      <border diagonalUp="0" diagonalDown="0" outline="0">
        <left/>
        <right style="thin">
          <color theme="0"/>
        </right>
        <top style="thick">
          <color theme="0"/>
        </top>
        <bottom/>
      </border>
    </dxf>
    <dxf>
      <border outline="0">
        <bottom style="thick">
          <color rgb="FFFFFFFF"/>
        </bottom>
      </border>
    </dxf>
    <dxf>
      <border outline="0">
        <right style="thin">
          <color rgb="FFFFFFFF"/>
        </right>
      </border>
    </dxf>
    <dxf>
      <font>
        <b val="0"/>
        <i val="0"/>
        <strike val="0"/>
        <condense val="0"/>
        <extend val="0"/>
        <outline val="0"/>
        <shadow val="0"/>
        <u val="none"/>
        <vertAlign val="baseline"/>
        <sz val="11"/>
        <color theme="1"/>
        <name val="Open Sans"/>
        <family val="2"/>
        <scheme val="none"/>
      </font>
      <fill>
        <patternFill patternType="solid">
          <fgColor theme="6" tint="0.59999389629810485"/>
          <bgColor theme="6" tint="0.59999389629810485"/>
        </patternFill>
      </fill>
    </dxf>
    <dxf>
      <font>
        <strike val="0"/>
        <outline val="0"/>
        <shadow val="0"/>
        <u val="none"/>
        <vertAlign val="baseline"/>
        <sz val="10"/>
        <name val="Open Sans"/>
        <family val="2"/>
        <scheme val="none"/>
      </font>
      <numFmt numFmtId="3" formatCode="#,##0"/>
      <fill>
        <patternFill patternType="solid">
          <fgColor indexed="64"/>
          <bgColor theme="0"/>
        </patternFill>
      </fill>
    </dxf>
    <dxf>
      <font>
        <b val="0"/>
        <i val="0"/>
        <strike val="0"/>
        <condense val="0"/>
        <extend val="0"/>
        <outline val="0"/>
        <shadow val="0"/>
        <u val="none"/>
        <vertAlign val="baseline"/>
        <sz val="11"/>
        <color theme="0"/>
        <name val="Open Sans"/>
        <family val="2"/>
        <scheme val="none"/>
      </font>
      <numFmt numFmtId="169" formatCode="_(* #,##0_);_(* \(#,##0\);_(* &quot;-&quot;??_);_(@_)"/>
      <fill>
        <patternFill patternType="solid">
          <fgColor theme="6"/>
          <bgColor theme="6"/>
        </patternFill>
      </fill>
      <border diagonalUp="0" diagonalDown="0" outline="0">
        <left style="thin">
          <color indexed="64"/>
        </left>
        <right style="thin">
          <color indexed="64"/>
        </right>
        <top/>
        <bottom/>
      </border>
    </dxf>
    <dxf>
      <font>
        <b val="0"/>
        <i val="0"/>
        <strike val="0"/>
        <condense val="0"/>
        <extend val="0"/>
        <outline val="0"/>
        <shadow val="0"/>
        <u val="none"/>
        <vertAlign val="baseline"/>
        <sz val="10"/>
        <color theme="1"/>
        <name val="Open Sans"/>
        <family val="2"/>
        <scheme val="none"/>
      </font>
      <numFmt numFmtId="3" formatCode="#,##0"/>
      <fill>
        <patternFill patternType="solid">
          <fgColor indexed="64"/>
          <bgColor theme="0"/>
        </patternFill>
      </fill>
    </dxf>
    <dxf>
      <font>
        <b/>
        <i val="0"/>
        <strike val="0"/>
        <condense val="0"/>
        <extend val="0"/>
        <outline val="0"/>
        <shadow val="0"/>
        <u val="none"/>
        <vertAlign val="baseline"/>
        <sz val="11"/>
        <color theme="0"/>
        <name val="Open Sans"/>
        <family val="2"/>
        <scheme val="none"/>
      </font>
      <numFmt numFmtId="3" formatCode="#,##0"/>
      <fill>
        <patternFill patternType="solid">
          <fgColor theme="6"/>
          <bgColor theme="6"/>
        </patternFill>
      </fill>
      <border diagonalUp="0" diagonalDown="0" outline="0">
        <left style="thin">
          <color theme="0"/>
        </left>
        <right/>
        <top style="thick">
          <color theme="0"/>
        </top>
        <bottom/>
      </border>
    </dxf>
    <dxf>
      <font>
        <strike val="0"/>
        <outline val="0"/>
        <shadow val="0"/>
        <u val="none"/>
        <vertAlign val="baseline"/>
        <sz val="10"/>
        <name val="Open Sans"/>
        <family val="2"/>
        <scheme val="none"/>
      </font>
      <numFmt numFmtId="3" formatCode="#,##0"/>
      <fill>
        <patternFill patternType="solid">
          <fgColor indexed="64"/>
          <bgColor theme="0"/>
        </patternFill>
      </fill>
      <border diagonalUp="0" diagonalDown="0">
        <left style="thin">
          <color theme="0"/>
        </left>
        <right/>
        <top style="thin">
          <color theme="0"/>
        </top>
        <bottom style="thin">
          <color theme="0"/>
        </bottom>
        <vertical/>
        <horizontal/>
      </border>
    </dxf>
    <dxf>
      <font>
        <b/>
        <i val="0"/>
        <strike val="0"/>
        <condense val="0"/>
        <extend val="0"/>
        <outline val="0"/>
        <shadow val="0"/>
        <u val="none"/>
        <vertAlign val="baseline"/>
        <sz val="11"/>
        <color theme="0"/>
        <name val="Open Sans"/>
        <family val="2"/>
        <scheme val="none"/>
      </font>
      <numFmt numFmtId="3" formatCode="#,##0"/>
      <fill>
        <patternFill patternType="solid">
          <fgColor theme="6"/>
          <bgColor theme="6"/>
        </patternFill>
      </fill>
      <border diagonalUp="0" diagonalDown="0" outline="0">
        <left style="thin">
          <color theme="0"/>
        </left>
        <right/>
        <top style="thick">
          <color theme="0"/>
        </top>
        <bottom/>
      </border>
    </dxf>
    <dxf>
      <font>
        <strike val="0"/>
        <outline val="0"/>
        <shadow val="0"/>
        <u val="none"/>
        <vertAlign val="baseline"/>
        <sz val="10"/>
        <name val="Open Sans"/>
        <family val="2"/>
        <scheme val="none"/>
      </font>
      <numFmt numFmtId="3" formatCode="#,##0"/>
      <fill>
        <patternFill patternType="solid">
          <fgColor indexed="64"/>
          <bgColor theme="0"/>
        </patternFill>
      </fill>
      <border diagonalUp="0" diagonalDown="0">
        <left style="thin">
          <color theme="0"/>
        </left>
        <right style="thin">
          <color theme="0"/>
        </right>
        <top style="thin">
          <color theme="0"/>
        </top>
        <bottom style="thin">
          <color theme="0"/>
        </bottom>
        <vertical/>
        <horizontal/>
      </border>
    </dxf>
    <dxf>
      <font>
        <b/>
        <i val="0"/>
        <strike val="0"/>
        <condense val="0"/>
        <extend val="0"/>
        <outline val="0"/>
        <shadow val="0"/>
        <u val="none"/>
        <vertAlign val="baseline"/>
        <sz val="11"/>
        <color theme="0"/>
        <name val="Open Sans"/>
        <family val="2"/>
        <scheme val="none"/>
      </font>
      <numFmt numFmtId="3" formatCode="#,##0"/>
      <fill>
        <patternFill patternType="solid">
          <fgColor theme="6"/>
          <bgColor theme="6"/>
        </patternFill>
      </fill>
      <border diagonalUp="0" diagonalDown="0" outline="0">
        <left style="thin">
          <color theme="0"/>
        </left>
        <right style="thin">
          <color theme="0"/>
        </right>
        <top style="thick">
          <color theme="0"/>
        </top>
        <bottom/>
      </border>
    </dxf>
    <dxf>
      <font>
        <strike val="0"/>
        <outline val="0"/>
        <shadow val="0"/>
        <u val="none"/>
        <vertAlign val="baseline"/>
        <sz val="10"/>
        <name val="Open Sans"/>
        <family val="2"/>
        <scheme val="none"/>
      </font>
      <numFmt numFmtId="3" formatCode="#,##0"/>
      <fill>
        <patternFill patternType="solid">
          <fgColor indexed="64"/>
          <bgColor theme="0"/>
        </patternFill>
      </fill>
      <border diagonalUp="0" diagonalDown="0">
        <left style="thin">
          <color theme="0"/>
        </left>
        <right style="thin">
          <color theme="0"/>
        </right>
        <top style="thin">
          <color theme="0"/>
        </top>
        <bottom style="thin">
          <color theme="0"/>
        </bottom>
        <vertical/>
        <horizontal/>
      </border>
    </dxf>
    <dxf>
      <font>
        <b/>
        <i val="0"/>
        <strike val="0"/>
        <condense val="0"/>
        <extend val="0"/>
        <outline val="0"/>
        <shadow val="0"/>
        <u val="none"/>
        <vertAlign val="baseline"/>
        <sz val="11"/>
        <color theme="0"/>
        <name val="Open Sans"/>
        <family val="2"/>
        <scheme val="none"/>
      </font>
      <numFmt numFmtId="3" formatCode="#,##0"/>
      <fill>
        <patternFill patternType="solid">
          <fgColor theme="6"/>
          <bgColor theme="6"/>
        </patternFill>
      </fill>
      <border diagonalUp="0" diagonalDown="0" outline="0">
        <left style="thin">
          <color theme="0"/>
        </left>
        <right style="thin">
          <color theme="0"/>
        </right>
        <top style="thick">
          <color theme="0"/>
        </top>
        <bottom/>
      </border>
    </dxf>
    <dxf>
      <font>
        <strike val="0"/>
        <outline val="0"/>
        <shadow val="0"/>
        <u val="none"/>
        <vertAlign val="baseline"/>
        <sz val="10"/>
        <name val="Open Sans"/>
        <family val="2"/>
        <scheme val="none"/>
      </font>
      <numFmt numFmtId="3" formatCode="#,##0"/>
      <fill>
        <patternFill patternType="solid">
          <fgColor indexed="64"/>
          <bgColor theme="0"/>
        </patternFill>
      </fill>
      <border diagonalUp="0" diagonalDown="0">
        <left style="thin">
          <color theme="0"/>
        </left>
        <right style="thin">
          <color theme="0"/>
        </right>
        <top style="thin">
          <color theme="0"/>
        </top>
        <bottom style="thin">
          <color theme="0"/>
        </bottom>
        <vertical/>
        <horizontal/>
      </border>
    </dxf>
    <dxf>
      <font>
        <b/>
        <i val="0"/>
        <strike val="0"/>
        <condense val="0"/>
        <extend val="0"/>
        <outline val="0"/>
        <shadow val="0"/>
        <u val="none"/>
        <vertAlign val="baseline"/>
        <sz val="11"/>
        <color theme="0"/>
        <name val="Open Sans"/>
        <family val="2"/>
        <scheme val="none"/>
      </font>
      <numFmt numFmtId="3" formatCode="#,##0"/>
      <fill>
        <patternFill patternType="solid">
          <fgColor theme="6"/>
          <bgColor theme="6"/>
        </patternFill>
      </fill>
      <border diagonalUp="0" diagonalDown="0" outline="0">
        <left style="thin">
          <color theme="0"/>
        </left>
        <right style="thin">
          <color theme="0"/>
        </right>
        <top style="thick">
          <color theme="0"/>
        </top>
        <bottom/>
      </border>
    </dxf>
    <dxf>
      <font>
        <strike val="0"/>
        <outline val="0"/>
        <shadow val="0"/>
        <u val="none"/>
        <vertAlign val="baseline"/>
        <sz val="10"/>
        <name val="Open Sans"/>
        <family val="2"/>
        <scheme val="none"/>
      </font>
      <numFmt numFmtId="3" formatCode="#,##0"/>
      <fill>
        <patternFill patternType="solid">
          <fgColor indexed="64"/>
          <bgColor theme="0"/>
        </patternFill>
      </fill>
      <border diagonalUp="0" diagonalDown="0">
        <left style="thin">
          <color theme="0"/>
        </left>
        <right style="thin">
          <color theme="0"/>
        </right>
        <top style="thin">
          <color theme="0"/>
        </top>
        <bottom style="thin">
          <color theme="0"/>
        </bottom>
        <vertical/>
        <horizontal/>
      </border>
    </dxf>
    <dxf>
      <font>
        <b/>
        <i val="0"/>
        <strike val="0"/>
        <condense val="0"/>
        <extend val="0"/>
        <outline val="0"/>
        <shadow val="0"/>
        <u val="none"/>
        <vertAlign val="baseline"/>
        <sz val="11"/>
        <color theme="0"/>
        <name val="Open Sans"/>
        <family val="2"/>
        <scheme val="none"/>
      </font>
      <numFmt numFmtId="3" formatCode="#,##0"/>
      <fill>
        <patternFill patternType="solid">
          <fgColor theme="6"/>
          <bgColor theme="6"/>
        </patternFill>
      </fill>
      <border diagonalUp="0" diagonalDown="0" outline="0">
        <left style="thin">
          <color theme="0"/>
        </left>
        <right style="thin">
          <color theme="0"/>
        </right>
        <top style="thick">
          <color theme="0"/>
        </top>
        <bottom/>
      </border>
    </dxf>
    <dxf>
      <font>
        <strike val="0"/>
        <outline val="0"/>
        <shadow val="0"/>
        <u val="none"/>
        <vertAlign val="baseline"/>
        <sz val="10"/>
        <name val="Open Sans"/>
        <family val="2"/>
        <scheme val="none"/>
      </font>
      <numFmt numFmtId="3" formatCode="#,##0"/>
      <fill>
        <patternFill patternType="solid">
          <fgColor indexed="64"/>
          <bgColor theme="0"/>
        </patternFill>
      </fill>
      <border diagonalUp="0" diagonalDown="0">
        <left style="thin">
          <color theme="0"/>
        </left>
        <right style="thin">
          <color theme="0"/>
        </right>
        <top style="thin">
          <color theme="0"/>
        </top>
        <bottom style="thin">
          <color theme="0"/>
        </bottom>
        <vertical/>
        <horizontal/>
      </border>
    </dxf>
    <dxf>
      <font>
        <b/>
        <i val="0"/>
        <strike val="0"/>
        <condense val="0"/>
        <extend val="0"/>
        <outline val="0"/>
        <shadow val="0"/>
        <u val="none"/>
        <vertAlign val="baseline"/>
        <sz val="11"/>
        <color theme="0"/>
        <name val="Open Sans"/>
        <family val="2"/>
        <scheme val="none"/>
      </font>
      <numFmt numFmtId="3" formatCode="#,##0"/>
      <fill>
        <patternFill patternType="solid">
          <fgColor theme="6"/>
          <bgColor theme="6"/>
        </patternFill>
      </fill>
      <border diagonalUp="0" diagonalDown="0" outline="0">
        <left style="thin">
          <color theme="0"/>
        </left>
        <right style="thin">
          <color theme="0"/>
        </right>
        <top style="thick">
          <color theme="0"/>
        </top>
        <bottom/>
      </border>
    </dxf>
    <dxf>
      <font>
        <strike val="0"/>
        <outline val="0"/>
        <shadow val="0"/>
        <u val="none"/>
        <vertAlign val="baseline"/>
        <sz val="10"/>
        <name val="Open Sans"/>
        <family val="2"/>
        <scheme val="none"/>
      </font>
      <numFmt numFmtId="3" formatCode="#,##0"/>
      <fill>
        <patternFill patternType="solid">
          <fgColor indexed="64"/>
          <bgColor theme="0"/>
        </patternFill>
      </fill>
      <border diagonalUp="0" diagonalDown="0">
        <left style="thin">
          <color theme="0"/>
        </left>
        <right style="thin">
          <color theme="0"/>
        </right>
        <top style="thin">
          <color theme="0"/>
        </top>
        <bottom style="thin">
          <color theme="0"/>
        </bottom>
        <vertical/>
        <horizontal/>
      </border>
    </dxf>
    <dxf>
      <font>
        <b/>
        <i val="0"/>
        <strike val="0"/>
        <condense val="0"/>
        <extend val="0"/>
        <outline val="0"/>
        <shadow val="0"/>
        <u val="none"/>
        <vertAlign val="baseline"/>
        <sz val="11"/>
        <color theme="0"/>
        <name val="Open Sans"/>
        <family val="2"/>
        <scheme val="none"/>
      </font>
      <numFmt numFmtId="3" formatCode="#,##0"/>
      <fill>
        <patternFill patternType="solid">
          <fgColor theme="6"/>
          <bgColor theme="6"/>
        </patternFill>
      </fill>
      <border diagonalUp="0" diagonalDown="0" outline="0">
        <left style="thin">
          <color theme="0"/>
        </left>
        <right style="thin">
          <color theme="0"/>
        </right>
        <top style="thick">
          <color theme="0"/>
        </top>
        <bottom/>
      </border>
    </dxf>
    <dxf>
      <font>
        <b val="0"/>
        <i val="0"/>
        <strike val="0"/>
        <condense val="0"/>
        <extend val="0"/>
        <outline val="0"/>
        <shadow val="0"/>
        <u val="none"/>
        <vertAlign val="baseline"/>
        <sz val="10"/>
        <color theme="1"/>
        <name val="Open Sans"/>
        <family val="2"/>
        <scheme val="none"/>
      </font>
      <numFmt numFmtId="3" formatCode="#,##0"/>
      <fill>
        <patternFill patternType="solid">
          <fgColor indexed="64"/>
          <bgColor theme="0"/>
        </patternFill>
      </fill>
      <border diagonalUp="0" diagonalDown="0">
        <left style="thin">
          <color theme="0"/>
        </left>
        <right style="thin">
          <color theme="0"/>
        </right>
        <top style="thin">
          <color theme="0"/>
        </top>
        <bottom style="thin">
          <color theme="0"/>
        </bottom>
        <vertical/>
        <horizontal/>
      </border>
    </dxf>
    <dxf>
      <font>
        <b/>
        <i val="0"/>
        <strike val="0"/>
        <condense val="0"/>
        <extend val="0"/>
        <outline val="0"/>
        <shadow val="0"/>
        <u val="none"/>
        <vertAlign val="baseline"/>
        <sz val="11"/>
        <color theme="0"/>
        <name val="Open Sans"/>
        <family val="2"/>
        <scheme val="none"/>
      </font>
      <numFmt numFmtId="3" formatCode="#,##0"/>
      <fill>
        <patternFill patternType="solid">
          <fgColor theme="6"/>
          <bgColor theme="6"/>
        </patternFill>
      </fill>
      <border diagonalUp="0" diagonalDown="0" outline="0">
        <left style="thin">
          <color theme="0"/>
        </left>
        <right style="thin">
          <color theme="0"/>
        </right>
        <top style="thick">
          <color theme="0"/>
        </top>
        <bottom/>
      </border>
    </dxf>
    <dxf>
      <font>
        <b val="0"/>
        <i val="0"/>
        <strike val="0"/>
        <condense val="0"/>
        <extend val="0"/>
        <outline val="0"/>
        <shadow val="0"/>
        <u val="none"/>
        <vertAlign val="baseline"/>
        <sz val="10"/>
        <color theme="1"/>
        <name val="Open Sans"/>
        <family val="2"/>
        <scheme val="none"/>
      </font>
      <numFmt numFmtId="3" formatCode="#,##0"/>
      <fill>
        <patternFill patternType="solid">
          <fgColor indexed="64"/>
          <bgColor theme="0"/>
        </patternFill>
      </fill>
      <border diagonalUp="0" diagonalDown="0">
        <left style="thin">
          <color theme="0"/>
        </left>
        <right style="thin">
          <color theme="0"/>
        </right>
        <top style="thin">
          <color theme="0"/>
        </top>
        <bottom style="thin">
          <color theme="0"/>
        </bottom>
        <vertical/>
        <horizontal/>
      </border>
    </dxf>
    <dxf>
      <font>
        <b/>
        <i val="0"/>
        <strike val="0"/>
        <condense val="0"/>
        <extend val="0"/>
        <outline val="0"/>
        <shadow val="0"/>
        <u val="none"/>
        <vertAlign val="baseline"/>
        <sz val="11"/>
        <color theme="0"/>
        <name val="Open Sans"/>
        <family val="2"/>
        <scheme val="none"/>
      </font>
      <numFmt numFmtId="3" formatCode="#,##0"/>
      <fill>
        <patternFill patternType="solid">
          <fgColor theme="6"/>
          <bgColor theme="6"/>
        </patternFill>
      </fill>
      <border diagonalUp="0" diagonalDown="0" outline="0">
        <left style="thin">
          <color theme="0"/>
        </left>
        <right style="thin">
          <color theme="0"/>
        </right>
        <top style="thick">
          <color theme="0"/>
        </top>
        <bottom/>
      </border>
    </dxf>
    <dxf>
      <font>
        <strike val="0"/>
        <outline val="0"/>
        <shadow val="0"/>
        <u val="none"/>
        <vertAlign val="baseline"/>
        <sz val="10"/>
        <name val="Open Sans"/>
        <family val="2"/>
        <scheme val="none"/>
      </font>
      <numFmt numFmtId="3" formatCode="#,##0"/>
      <fill>
        <patternFill patternType="solid">
          <fgColor indexed="64"/>
          <bgColor theme="0"/>
        </patternFill>
      </fill>
      <border diagonalUp="0" diagonalDown="0">
        <left style="thin">
          <color theme="0"/>
        </left>
        <right style="thin">
          <color theme="0"/>
        </right>
        <top style="thin">
          <color theme="0"/>
        </top>
        <bottom style="thin">
          <color theme="0"/>
        </bottom>
        <vertical/>
        <horizontal/>
      </border>
    </dxf>
    <dxf>
      <font>
        <b/>
        <i val="0"/>
        <strike val="0"/>
        <condense val="0"/>
        <extend val="0"/>
        <outline val="0"/>
        <shadow val="0"/>
        <u val="none"/>
        <vertAlign val="baseline"/>
        <sz val="11"/>
        <color theme="0"/>
        <name val="Open Sans"/>
        <family val="2"/>
        <scheme val="none"/>
      </font>
      <numFmt numFmtId="3" formatCode="#,##0"/>
      <fill>
        <patternFill patternType="solid">
          <fgColor theme="6"/>
          <bgColor theme="6"/>
        </patternFill>
      </fill>
      <border diagonalUp="0" diagonalDown="0" outline="0">
        <left style="thin">
          <color theme="0"/>
        </left>
        <right style="thin">
          <color theme="0"/>
        </right>
        <top style="thick">
          <color theme="0"/>
        </top>
        <bottom/>
      </border>
    </dxf>
    <dxf>
      <font>
        <strike val="0"/>
        <outline val="0"/>
        <shadow val="0"/>
        <u val="none"/>
        <vertAlign val="baseline"/>
        <sz val="10"/>
        <name val="Open Sans"/>
        <family val="2"/>
        <scheme val="none"/>
      </font>
      <numFmt numFmtId="3" formatCode="#,##0"/>
      <fill>
        <patternFill patternType="solid">
          <fgColor indexed="64"/>
          <bgColor theme="0"/>
        </patternFill>
      </fill>
      <border diagonalUp="0" diagonalDown="0">
        <left style="thin">
          <color theme="0"/>
        </left>
        <right style="thin">
          <color theme="0"/>
        </right>
        <top style="thin">
          <color theme="0"/>
        </top>
        <bottom style="thin">
          <color theme="0"/>
        </bottom>
        <vertical/>
        <horizontal/>
      </border>
    </dxf>
    <dxf>
      <font>
        <b/>
        <i val="0"/>
        <strike val="0"/>
        <condense val="0"/>
        <extend val="0"/>
        <outline val="0"/>
        <shadow val="0"/>
        <u val="none"/>
        <vertAlign val="baseline"/>
        <sz val="11"/>
        <color theme="0"/>
        <name val="Open Sans"/>
        <family val="2"/>
        <scheme val="none"/>
      </font>
      <numFmt numFmtId="3" formatCode="#,##0"/>
      <fill>
        <patternFill patternType="solid">
          <fgColor theme="6"/>
          <bgColor theme="6"/>
        </patternFill>
      </fill>
      <border diagonalUp="0" diagonalDown="0" outline="0">
        <left style="thin">
          <color theme="0"/>
        </left>
        <right style="thin">
          <color theme="0"/>
        </right>
        <top style="thick">
          <color theme="0"/>
        </top>
        <bottom/>
      </border>
    </dxf>
    <dxf>
      <font>
        <b val="0"/>
        <i val="0"/>
        <strike val="0"/>
        <condense val="0"/>
        <extend val="0"/>
        <outline val="0"/>
        <shadow val="0"/>
        <u val="none"/>
        <vertAlign val="baseline"/>
        <sz val="10"/>
        <color theme="1"/>
        <name val="Open Sans"/>
        <family val="2"/>
        <scheme val="none"/>
      </font>
      <numFmt numFmtId="3" formatCode="#,##0"/>
      <fill>
        <patternFill patternType="solid">
          <fgColor indexed="64"/>
          <bgColor theme="0"/>
        </patternFill>
      </fill>
      <border diagonalUp="0" diagonalDown="0">
        <left style="thin">
          <color theme="0"/>
        </left>
        <right style="thin">
          <color theme="0"/>
        </right>
        <top style="thin">
          <color theme="0"/>
        </top>
        <bottom style="thin">
          <color theme="0"/>
        </bottom>
        <vertical/>
        <horizontal/>
      </border>
    </dxf>
    <dxf>
      <font>
        <b/>
        <i val="0"/>
        <strike val="0"/>
        <condense val="0"/>
        <extend val="0"/>
        <outline val="0"/>
        <shadow val="0"/>
        <u val="none"/>
        <vertAlign val="baseline"/>
        <sz val="11"/>
        <color theme="0"/>
        <name val="Open Sans"/>
        <family val="2"/>
        <scheme val="none"/>
      </font>
      <numFmt numFmtId="3" formatCode="#,##0"/>
      <fill>
        <patternFill patternType="solid">
          <fgColor theme="6"/>
          <bgColor theme="6"/>
        </patternFill>
      </fill>
      <border diagonalUp="0" diagonalDown="0" outline="0">
        <left style="thin">
          <color theme="0"/>
        </left>
        <right style="thin">
          <color theme="0"/>
        </right>
        <top style="thick">
          <color theme="0"/>
        </top>
        <bottom/>
      </border>
    </dxf>
    <dxf>
      <font>
        <sz val="10"/>
        <name val="Open Sans"/>
        <family val="2"/>
        <scheme val="none"/>
      </font>
      <numFmt numFmtId="3" formatCode="#,##0"/>
      <fill>
        <patternFill patternType="solid">
          <fgColor indexed="64"/>
          <bgColor theme="0"/>
        </patternFill>
      </fill>
      <border diagonalUp="0" diagonalDown="0">
        <left style="thin">
          <color theme="0"/>
        </left>
        <right style="thin">
          <color theme="0"/>
        </right>
        <top style="thin">
          <color theme="0"/>
        </top>
        <bottom style="thin">
          <color theme="0"/>
        </bottom>
        <vertical/>
        <horizontal/>
      </border>
    </dxf>
    <dxf>
      <font>
        <b/>
        <i val="0"/>
        <strike val="0"/>
        <condense val="0"/>
        <extend val="0"/>
        <outline val="0"/>
        <shadow val="0"/>
        <u val="none"/>
        <vertAlign val="baseline"/>
        <sz val="11"/>
        <color theme="0"/>
        <name val="Open Sans"/>
        <family val="2"/>
        <scheme val="none"/>
      </font>
      <numFmt numFmtId="3" formatCode="#,##0"/>
      <fill>
        <patternFill patternType="solid">
          <fgColor theme="6"/>
          <bgColor theme="6"/>
        </patternFill>
      </fill>
      <border diagonalUp="0" diagonalDown="0" outline="0">
        <left style="thin">
          <color theme="0"/>
        </left>
        <right style="thin">
          <color theme="0"/>
        </right>
        <top style="thick">
          <color theme="0"/>
        </top>
        <bottom/>
      </border>
    </dxf>
    <dxf>
      <font>
        <sz val="10"/>
        <name val="Open Sans"/>
        <family val="2"/>
        <scheme val="none"/>
      </font>
      <numFmt numFmtId="3" formatCode="#,##0"/>
      <fill>
        <patternFill patternType="solid">
          <fgColor indexed="64"/>
          <bgColor theme="0"/>
        </patternFill>
      </fill>
      <border diagonalUp="0" diagonalDown="0">
        <left style="thin">
          <color theme="0"/>
        </left>
        <right style="thin">
          <color theme="0"/>
        </right>
        <top style="thin">
          <color theme="0"/>
        </top>
        <bottom style="thin">
          <color theme="0"/>
        </bottom>
        <vertical/>
        <horizontal/>
      </border>
    </dxf>
    <dxf>
      <font>
        <b/>
        <i val="0"/>
        <strike val="0"/>
        <condense val="0"/>
        <extend val="0"/>
        <outline val="0"/>
        <shadow val="0"/>
        <u val="none"/>
        <vertAlign val="baseline"/>
        <sz val="11"/>
        <color theme="0"/>
        <name val="Open Sans"/>
        <family val="2"/>
        <scheme val="none"/>
      </font>
      <numFmt numFmtId="3" formatCode="#,##0"/>
      <fill>
        <patternFill patternType="solid">
          <fgColor theme="6"/>
          <bgColor theme="6"/>
        </patternFill>
      </fill>
      <border diagonalUp="0" diagonalDown="0" outline="0">
        <left style="thin">
          <color theme="0"/>
        </left>
        <right style="thin">
          <color theme="0"/>
        </right>
        <top style="thick">
          <color theme="0"/>
        </top>
        <bottom/>
      </border>
    </dxf>
    <dxf>
      <font>
        <sz val="10"/>
        <name val="Open Sans"/>
        <family val="2"/>
        <scheme val="none"/>
      </font>
      <numFmt numFmtId="3" formatCode="#,##0"/>
      <fill>
        <patternFill patternType="solid">
          <fgColor indexed="64"/>
          <bgColor theme="0"/>
        </patternFill>
      </fill>
      <border diagonalUp="0" diagonalDown="0">
        <left style="thin">
          <color theme="0"/>
        </left>
        <right style="thin">
          <color theme="0"/>
        </right>
        <top style="thin">
          <color theme="0"/>
        </top>
        <bottom style="thin">
          <color theme="0"/>
        </bottom>
        <vertical/>
        <horizontal/>
      </border>
    </dxf>
    <dxf>
      <font>
        <b/>
        <i val="0"/>
        <strike val="0"/>
        <condense val="0"/>
        <extend val="0"/>
        <outline val="0"/>
        <shadow val="0"/>
        <u val="none"/>
        <vertAlign val="baseline"/>
        <sz val="11"/>
        <color theme="0"/>
        <name val="Open Sans"/>
        <family val="2"/>
        <scheme val="none"/>
      </font>
      <numFmt numFmtId="3" formatCode="#,##0"/>
      <fill>
        <patternFill patternType="solid">
          <fgColor theme="6"/>
          <bgColor theme="6"/>
        </patternFill>
      </fill>
      <border diagonalUp="0" diagonalDown="0" outline="0">
        <left style="thin">
          <color theme="0"/>
        </left>
        <right style="thin">
          <color theme="0"/>
        </right>
        <top style="thick">
          <color theme="0"/>
        </top>
        <bottom/>
      </border>
    </dxf>
    <dxf>
      <font>
        <strike val="0"/>
        <outline val="0"/>
        <shadow val="0"/>
        <u val="none"/>
        <vertAlign val="baseline"/>
        <name val="Open Sans"/>
        <family val="2"/>
        <scheme val="none"/>
      </font>
      <numFmt numFmtId="0" formatCode="General"/>
      <fill>
        <patternFill patternType="solid">
          <fgColor theme="6" tint="0.59999389629810485"/>
          <bgColor theme="6" tint="0.59999389629810485"/>
        </patternFill>
      </fill>
      <border diagonalUp="0" diagonalDown="0">
        <left style="thin">
          <color theme="0"/>
        </left>
        <right style="thin">
          <color theme="0"/>
        </right>
        <top style="thin">
          <color theme="0"/>
        </top>
        <bottom style="thin">
          <color theme="0"/>
        </bottom>
        <vertical/>
        <horizontal/>
      </border>
    </dxf>
    <dxf>
      <font>
        <b/>
        <i val="0"/>
        <strike val="0"/>
        <condense val="0"/>
        <extend val="0"/>
        <outline val="0"/>
        <shadow val="0"/>
        <u val="none"/>
        <vertAlign val="baseline"/>
        <sz val="11"/>
        <color theme="0"/>
        <name val="Open Sans"/>
        <family val="2"/>
        <scheme val="none"/>
      </font>
      <fill>
        <patternFill patternType="solid">
          <fgColor theme="6"/>
          <bgColor theme="6"/>
        </patternFill>
      </fill>
      <border diagonalUp="0" diagonalDown="0" outline="0">
        <left style="thin">
          <color theme="0"/>
        </left>
        <right style="thin">
          <color theme="0"/>
        </right>
        <top style="thick">
          <color theme="0"/>
        </top>
        <bottom/>
      </border>
    </dxf>
    <dxf>
      <font>
        <b val="0"/>
        <i val="0"/>
        <strike val="0"/>
        <condense val="0"/>
        <extend val="0"/>
        <outline val="0"/>
        <shadow val="0"/>
        <u val="none"/>
        <vertAlign val="baseline"/>
        <sz val="11"/>
        <color theme="1"/>
        <name val="Open Sans"/>
        <family val="2"/>
        <scheme val="none"/>
      </font>
      <numFmt numFmtId="2" formatCode="0.00"/>
      <fill>
        <patternFill patternType="solid">
          <fgColor theme="6" tint="0.59999389629810485"/>
          <bgColor theme="6" tint="0.59999389629810485"/>
        </patternFill>
      </fill>
      <border diagonalUp="0" diagonalDown="0">
        <left/>
        <right style="thin">
          <color theme="0"/>
        </right>
        <top style="thin">
          <color theme="0"/>
        </top>
        <bottom style="thin">
          <color theme="0"/>
        </bottom>
        <vertical/>
        <horizontal/>
      </border>
    </dxf>
    <dxf>
      <font>
        <b/>
        <i val="0"/>
        <strike val="0"/>
        <condense val="0"/>
        <extend val="0"/>
        <outline val="0"/>
        <shadow val="0"/>
        <u val="none"/>
        <vertAlign val="baseline"/>
        <sz val="11"/>
        <color theme="0"/>
        <name val="Open Sans"/>
        <family val="2"/>
        <scheme val="none"/>
      </font>
      <fill>
        <patternFill patternType="solid">
          <fgColor theme="6"/>
          <bgColor theme="6"/>
        </patternFill>
      </fill>
      <border diagonalUp="0" diagonalDown="0" outline="0">
        <left/>
        <right style="thin">
          <color theme="0"/>
        </right>
        <top style="thick">
          <color theme="0"/>
        </top>
        <bottom/>
      </border>
    </dxf>
    <dxf>
      <font>
        <strike val="0"/>
        <outline val="0"/>
        <shadow val="0"/>
        <u val="none"/>
        <vertAlign val="baseline"/>
        <name val="Open Sans"/>
        <family val="2"/>
        <scheme val="none"/>
      </font>
      <numFmt numFmtId="2" formatCode="0.00"/>
      <fill>
        <patternFill patternType="solid">
          <fgColor theme="6" tint="0.59999389629810485"/>
          <bgColor theme="6" tint="0.59999389629810485"/>
        </patternFill>
      </fill>
      <border diagonalUp="0" diagonalDown="0">
        <left/>
        <right style="thin">
          <color theme="0"/>
        </right>
        <top style="thin">
          <color theme="0"/>
        </top>
        <bottom style="thin">
          <color theme="0"/>
        </bottom>
        <vertical/>
        <horizontal/>
      </border>
    </dxf>
    <dxf>
      <font>
        <b/>
        <i val="0"/>
        <strike val="0"/>
        <condense val="0"/>
        <extend val="0"/>
        <outline val="0"/>
        <shadow val="0"/>
        <u val="none"/>
        <vertAlign val="baseline"/>
        <sz val="11"/>
        <color theme="0"/>
        <name val="Open Sans"/>
        <family val="2"/>
        <scheme val="none"/>
      </font>
      <fill>
        <patternFill patternType="solid">
          <fgColor theme="6"/>
          <bgColor theme="6"/>
        </patternFill>
      </fill>
      <border diagonalUp="0" diagonalDown="0" outline="0">
        <left/>
        <right style="thin">
          <color theme="0"/>
        </right>
        <top style="thick">
          <color theme="0"/>
        </top>
        <bottom/>
      </border>
    </dxf>
    <dxf>
      <font>
        <b val="0"/>
        <strike val="0"/>
        <outline val="0"/>
        <shadow val="0"/>
        <u val="none"/>
        <vertAlign val="baseline"/>
        <name val="Open Sans"/>
        <family val="2"/>
        <scheme val="none"/>
      </font>
      <border diagonalUp="0" diagonalDown="0" outline="0">
        <left style="thin">
          <color rgb="FF000000"/>
        </left>
        <right style="thin">
          <color rgb="FF000000"/>
        </right>
        <top/>
        <bottom/>
      </border>
    </dxf>
    <dxf>
      <font>
        <strike val="0"/>
        <outline val="0"/>
        <shadow val="0"/>
        <u val="none"/>
        <vertAlign val="baseline"/>
        <sz val="10"/>
        <name val="Open Sans"/>
        <family val="2"/>
        <scheme val="none"/>
      </font>
      <fill>
        <patternFill patternType="solid">
          <fgColor indexed="64"/>
          <bgColor theme="0"/>
        </patternFill>
      </fill>
    </dxf>
    <dxf>
      <font>
        <strike val="0"/>
        <outline val="0"/>
        <shadow val="0"/>
        <u val="none"/>
        <vertAlign val="baseline"/>
        <name val="Open Sans"/>
        <family val="2"/>
        <scheme val="none"/>
      </font>
    </dxf>
    <dxf>
      <font>
        <strike val="0"/>
        <outline val="0"/>
        <shadow val="0"/>
        <u val="none"/>
        <vertAlign val="baseline"/>
        <sz val="10"/>
        <name val="Open Sans"/>
        <family val="2"/>
        <scheme val="none"/>
      </font>
      <numFmt numFmtId="3" formatCode="#,##0"/>
      <fill>
        <patternFill patternType="solid">
          <fgColor indexed="64"/>
          <bgColor theme="0"/>
        </patternFill>
      </fill>
    </dxf>
    <dxf>
      <font>
        <b val="0"/>
        <i val="0"/>
        <strike val="0"/>
        <condense val="0"/>
        <extend val="0"/>
        <outline val="0"/>
        <shadow val="0"/>
        <u val="none"/>
        <vertAlign val="baseline"/>
        <sz val="11"/>
        <color theme="0"/>
        <name val="Open Sans"/>
        <family val="2"/>
        <scheme val="none"/>
      </font>
      <numFmt numFmtId="169" formatCode="_(* #,##0_);_(* \(#,##0\);_(* &quot;-&quot;??_);_(@_)"/>
      <fill>
        <patternFill patternType="solid">
          <fgColor theme="6"/>
          <bgColor theme="6"/>
        </patternFill>
      </fill>
      <border diagonalUp="0" diagonalDown="0" outline="0">
        <left style="thin">
          <color indexed="64"/>
        </left>
        <right style="thin">
          <color indexed="64"/>
        </right>
        <top/>
        <bottom/>
      </border>
    </dxf>
    <dxf>
      <font>
        <b val="0"/>
        <i val="0"/>
        <strike val="0"/>
        <condense val="0"/>
        <extend val="0"/>
        <outline val="0"/>
        <shadow val="0"/>
        <u val="none"/>
        <vertAlign val="baseline"/>
        <sz val="10"/>
        <color theme="1"/>
        <name val="Open Sans"/>
        <family val="2"/>
        <scheme val="none"/>
      </font>
      <numFmt numFmtId="3" formatCode="#,##0"/>
      <fill>
        <patternFill patternType="solid">
          <fgColor indexed="64"/>
          <bgColor theme="0"/>
        </patternFill>
      </fill>
    </dxf>
    <dxf>
      <font>
        <b/>
        <i val="0"/>
        <strike val="0"/>
        <condense val="0"/>
        <extend val="0"/>
        <outline val="0"/>
        <shadow val="0"/>
        <u val="none"/>
        <vertAlign val="baseline"/>
        <sz val="11"/>
        <color theme="0"/>
        <name val="Open Sans"/>
        <family val="2"/>
        <scheme val="none"/>
      </font>
      <numFmt numFmtId="3" formatCode="#,##0"/>
      <fill>
        <patternFill patternType="solid">
          <fgColor theme="6"/>
          <bgColor theme="6"/>
        </patternFill>
      </fill>
      <border diagonalUp="0" diagonalDown="0" outline="0">
        <left style="thin">
          <color theme="0"/>
        </left>
        <right/>
        <top style="thick">
          <color theme="0"/>
        </top>
        <bottom/>
      </border>
    </dxf>
    <dxf>
      <font>
        <strike val="0"/>
        <outline val="0"/>
        <shadow val="0"/>
        <u val="none"/>
        <vertAlign val="baseline"/>
        <sz val="10"/>
        <name val="Open Sans"/>
        <family val="2"/>
        <scheme val="none"/>
      </font>
      <numFmt numFmtId="3" formatCode="#,##0"/>
      <fill>
        <patternFill patternType="solid">
          <fgColor indexed="64"/>
          <bgColor theme="0"/>
        </patternFill>
      </fill>
      <border diagonalUp="0" diagonalDown="0">
        <left style="thin">
          <color theme="0"/>
        </left>
        <right/>
        <top style="thin">
          <color theme="0"/>
        </top>
        <bottom style="thin">
          <color theme="0"/>
        </bottom>
        <vertical/>
        <horizontal/>
      </border>
    </dxf>
    <dxf>
      <font>
        <b/>
        <i val="0"/>
        <strike val="0"/>
        <condense val="0"/>
        <extend val="0"/>
        <outline val="0"/>
        <shadow val="0"/>
        <u val="none"/>
        <vertAlign val="baseline"/>
        <sz val="11"/>
        <color theme="0"/>
        <name val="Open Sans"/>
        <family val="2"/>
        <scheme val="none"/>
      </font>
      <numFmt numFmtId="3" formatCode="#,##0"/>
      <fill>
        <patternFill patternType="solid">
          <fgColor theme="6"/>
          <bgColor theme="6"/>
        </patternFill>
      </fill>
      <border diagonalUp="0" diagonalDown="0" outline="0">
        <left style="thin">
          <color theme="0"/>
        </left>
        <right/>
        <top style="thick">
          <color theme="0"/>
        </top>
        <bottom/>
      </border>
    </dxf>
    <dxf>
      <font>
        <strike val="0"/>
        <outline val="0"/>
        <shadow val="0"/>
        <u val="none"/>
        <vertAlign val="baseline"/>
        <sz val="10"/>
        <name val="Open Sans"/>
        <family val="2"/>
        <scheme val="none"/>
      </font>
      <numFmt numFmtId="3" formatCode="#,##0"/>
      <fill>
        <patternFill patternType="solid">
          <fgColor indexed="64"/>
          <bgColor theme="0"/>
        </patternFill>
      </fill>
      <border diagonalUp="0" diagonalDown="0">
        <left style="thin">
          <color theme="0"/>
        </left>
        <right style="thin">
          <color theme="0"/>
        </right>
        <top style="thin">
          <color theme="0"/>
        </top>
        <bottom style="thin">
          <color theme="0"/>
        </bottom>
        <vertical/>
        <horizontal/>
      </border>
    </dxf>
    <dxf>
      <font>
        <b/>
        <i val="0"/>
        <strike val="0"/>
        <condense val="0"/>
        <extend val="0"/>
        <outline val="0"/>
        <shadow val="0"/>
        <u val="none"/>
        <vertAlign val="baseline"/>
        <sz val="11"/>
        <color theme="0"/>
        <name val="Open Sans"/>
        <family val="2"/>
        <scheme val="none"/>
      </font>
      <numFmt numFmtId="3" formatCode="#,##0"/>
      <fill>
        <patternFill patternType="solid">
          <fgColor theme="6"/>
          <bgColor theme="6"/>
        </patternFill>
      </fill>
      <border diagonalUp="0" diagonalDown="0" outline="0">
        <left style="thin">
          <color theme="0"/>
        </left>
        <right style="thin">
          <color theme="0"/>
        </right>
        <top style="thick">
          <color theme="0"/>
        </top>
        <bottom/>
      </border>
    </dxf>
    <dxf>
      <font>
        <strike val="0"/>
        <outline val="0"/>
        <shadow val="0"/>
        <u val="none"/>
        <vertAlign val="baseline"/>
        <sz val="10"/>
        <name val="Open Sans"/>
        <family val="2"/>
        <scheme val="none"/>
      </font>
      <numFmt numFmtId="3" formatCode="#,##0"/>
      <fill>
        <patternFill patternType="solid">
          <fgColor indexed="64"/>
          <bgColor theme="0"/>
        </patternFill>
      </fill>
      <border diagonalUp="0" diagonalDown="0">
        <left style="thin">
          <color theme="0"/>
        </left>
        <right style="thin">
          <color theme="0"/>
        </right>
        <top style="thin">
          <color theme="0"/>
        </top>
        <bottom style="thin">
          <color theme="0"/>
        </bottom>
        <vertical/>
        <horizontal/>
      </border>
    </dxf>
    <dxf>
      <font>
        <b/>
        <i val="0"/>
        <strike val="0"/>
        <condense val="0"/>
        <extend val="0"/>
        <outline val="0"/>
        <shadow val="0"/>
        <u val="none"/>
        <vertAlign val="baseline"/>
        <sz val="11"/>
        <color theme="0"/>
        <name val="Open Sans"/>
        <family val="2"/>
        <scheme val="none"/>
      </font>
      <numFmt numFmtId="3" formatCode="#,##0"/>
      <fill>
        <patternFill patternType="solid">
          <fgColor theme="6"/>
          <bgColor theme="6"/>
        </patternFill>
      </fill>
      <border diagonalUp="0" diagonalDown="0" outline="0">
        <left style="thin">
          <color theme="0"/>
        </left>
        <right style="thin">
          <color theme="0"/>
        </right>
        <top style="thick">
          <color theme="0"/>
        </top>
        <bottom/>
      </border>
    </dxf>
    <dxf>
      <font>
        <strike val="0"/>
        <outline val="0"/>
        <shadow val="0"/>
        <u val="none"/>
        <vertAlign val="baseline"/>
        <sz val="10"/>
        <name val="Open Sans"/>
        <family val="2"/>
        <scheme val="none"/>
      </font>
      <numFmt numFmtId="3" formatCode="#,##0"/>
      <fill>
        <patternFill patternType="solid">
          <fgColor indexed="64"/>
          <bgColor theme="0"/>
        </patternFill>
      </fill>
      <border diagonalUp="0" diagonalDown="0">
        <left style="thin">
          <color theme="0"/>
        </left>
        <right style="thin">
          <color theme="0"/>
        </right>
        <top style="thin">
          <color theme="0"/>
        </top>
        <bottom style="thin">
          <color theme="0"/>
        </bottom>
        <vertical/>
        <horizontal/>
      </border>
    </dxf>
    <dxf>
      <font>
        <b/>
        <i val="0"/>
        <strike val="0"/>
        <condense val="0"/>
        <extend val="0"/>
        <outline val="0"/>
        <shadow val="0"/>
        <u val="none"/>
        <vertAlign val="baseline"/>
        <sz val="11"/>
        <color theme="0"/>
        <name val="Open Sans"/>
        <family val="2"/>
        <scheme val="none"/>
      </font>
      <numFmt numFmtId="3" formatCode="#,##0"/>
      <fill>
        <patternFill patternType="solid">
          <fgColor theme="6"/>
          <bgColor theme="6"/>
        </patternFill>
      </fill>
      <border diagonalUp="0" diagonalDown="0" outline="0">
        <left style="thin">
          <color theme="0"/>
        </left>
        <right style="thin">
          <color theme="0"/>
        </right>
        <top style="thick">
          <color theme="0"/>
        </top>
        <bottom/>
      </border>
    </dxf>
    <dxf>
      <font>
        <strike val="0"/>
        <outline val="0"/>
        <shadow val="0"/>
        <u val="none"/>
        <vertAlign val="baseline"/>
        <sz val="10"/>
        <name val="Open Sans"/>
        <family val="2"/>
        <scheme val="none"/>
      </font>
      <numFmt numFmtId="3" formatCode="#,##0"/>
      <fill>
        <patternFill patternType="solid">
          <fgColor indexed="64"/>
          <bgColor theme="0"/>
        </patternFill>
      </fill>
      <border diagonalUp="0" diagonalDown="0">
        <left style="thin">
          <color theme="0"/>
        </left>
        <right style="thin">
          <color theme="0"/>
        </right>
        <top style="thin">
          <color theme="0"/>
        </top>
        <bottom style="thin">
          <color theme="0"/>
        </bottom>
        <vertical/>
        <horizontal/>
      </border>
    </dxf>
    <dxf>
      <font>
        <b/>
        <i val="0"/>
        <strike val="0"/>
        <condense val="0"/>
        <extend val="0"/>
        <outline val="0"/>
        <shadow val="0"/>
        <u val="none"/>
        <vertAlign val="baseline"/>
        <sz val="11"/>
        <color theme="0"/>
        <name val="Open Sans"/>
        <family val="2"/>
        <scheme val="none"/>
      </font>
      <numFmt numFmtId="3" formatCode="#,##0"/>
      <fill>
        <patternFill patternType="solid">
          <fgColor theme="6"/>
          <bgColor theme="6"/>
        </patternFill>
      </fill>
      <border diagonalUp="0" diagonalDown="0" outline="0">
        <left style="thin">
          <color theme="0"/>
        </left>
        <right style="thin">
          <color theme="0"/>
        </right>
        <top style="thick">
          <color theme="0"/>
        </top>
        <bottom/>
      </border>
    </dxf>
    <dxf>
      <font>
        <strike val="0"/>
        <outline val="0"/>
        <shadow val="0"/>
        <u val="none"/>
        <vertAlign val="baseline"/>
        <sz val="10"/>
        <name val="Open Sans"/>
        <family val="2"/>
        <scheme val="none"/>
      </font>
      <numFmt numFmtId="3" formatCode="#,##0"/>
      <fill>
        <patternFill patternType="solid">
          <fgColor indexed="64"/>
          <bgColor theme="0"/>
        </patternFill>
      </fill>
      <border diagonalUp="0" diagonalDown="0">
        <left style="thin">
          <color theme="0"/>
        </left>
        <right style="thin">
          <color theme="0"/>
        </right>
        <top style="thin">
          <color theme="0"/>
        </top>
        <bottom style="thin">
          <color theme="0"/>
        </bottom>
        <vertical/>
        <horizontal/>
      </border>
    </dxf>
    <dxf>
      <font>
        <b/>
        <i val="0"/>
        <strike val="0"/>
        <condense val="0"/>
        <extend val="0"/>
        <outline val="0"/>
        <shadow val="0"/>
        <u val="none"/>
        <vertAlign val="baseline"/>
        <sz val="11"/>
        <color theme="0"/>
        <name val="Open Sans"/>
        <family val="2"/>
        <scheme val="none"/>
      </font>
      <numFmt numFmtId="3" formatCode="#,##0"/>
      <fill>
        <patternFill patternType="solid">
          <fgColor theme="6"/>
          <bgColor theme="6"/>
        </patternFill>
      </fill>
      <border diagonalUp="0" diagonalDown="0" outline="0">
        <left style="thin">
          <color theme="0"/>
        </left>
        <right style="thin">
          <color theme="0"/>
        </right>
        <top style="thick">
          <color theme="0"/>
        </top>
        <bottom/>
      </border>
    </dxf>
    <dxf>
      <font>
        <strike val="0"/>
        <outline val="0"/>
        <shadow val="0"/>
        <u val="none"/>
        <vertAlign val="baseline"/>
        <sz val="10"/>
        <name val="Open Sans"/>
        <family val="2"/>
        <scheme val="none"/>
      </font>
      <numFmt numFmtId="3" formatCode="#,##0"/>
      <fill>
        <patternFill patternType="solid">
          <fgColor indexed="64"/>
          <bgColor theme="0"/>
        </patternFill>
      </fill>
      <border diagonalUp="0" diagonalDown="0">
        <left style="thin">
          <color theme="0"/>
        </left>
        <right style="thin">
          <color theme="0"/>
        </right>
        <top style="thin">
          <color theme="0"/>
        </top>
        <bottom style="thin">
          <color theme="0"/>
        </bottom>
        <vertical/>
        <horizontal/>
      </border>
    </dxf>
    <dxf>
      <font>
        <b/>
        <i val="0"/>
        <strike val="0"/>
        <condense val="0"/>
        <extend val="0"/>
        <outline val="0"/>
        <shadow val="0"/>
        <u val="none"/>
        <vertAlign val="baseline"/>
        <sz val="11"/>
        <color theme="0"/>
        <name val="Open Sans"/>
        <family val="2"/>
        <scheme val="none"/>
      </font>
      <numFmt numFmtId="3" formatCode="#,##0"/>
      <fill>
        <patternFill patternType="solid">
          <fgColor theme="6"/>
          <bgColor theme="6"/>
        </patternFill>
      </fill>
      <border diagonalUp="0" diagonalDown="0" outline="0">
        <left style="thin">
          <color theme="0"/>
        </left>
        <right style="thin">
          <color theme="0"/>
        </right>
        <top style="thick">
          <color theme="0"/>
        </top>
        <bottom/>
      </border>
    </dxf>
    <dxf>
      <font>
        <b val="0"/>
        <i val="0"/>
        <strike val="0"/>
        <condense val="0"/>
        <extend val="0"/>
        <outline val="0"/>
        <shadow val="0"/>
        <u val="none"/>
        <vertAlign val="baseline"/>
        <sz val="10"/>
        <color theme="1"/>
        <name val="Open Sans"/>
        <family val="2"/>
        <scheme val="none"/>
      </font>
      <numFmt numFmtId="3" formatCode="#,##0"/>
      <fill>
        <patternFill patternType="solid">
          <fgColor indexed="64"/>
          <bgColor theme="0"/>
        </patternFill>
      </fill>
      <border diagonalUp="0" diagonalDown="0">
        <left style="thin">
          <color theme="0"/>
        </left>
        <right style="thin">
          <color theme="0"/>
        </right>
        <top style="thin">
          <color theme="0"/>
        </top>
        <bottom style="thin">
          <color theme="0"/>
        </bottom>
        <vertical/>
        <horizontal/>
      </border>
    </dxf>
    <dxf>
      <font>
        <b/>
        <i val="0"/>
        <strike val="0"/>
        <condense val="0"/>
        <extend val="0"/>
        <outline val="0"/>
        <shadow val="0"/>
        <u val="none"/>
        <vertAlign val="baseline"/>
        <sz val="11"/>
        <color theme="0"/>
        <name val="Open Sans"/>
        <family val="2"/>
        <scheme val="none"/>
      </font>
      <numFmt numFmtId="3" formatCode="#,##0"/>
      <fill>
        <patternFill patternType="solid">
          <fgColor theme="6"/>
          <bgColor theme="6"/>
        </patternFill>
      </fill>
      <border diagonalUp="0" diagonalDown="0" outline="0">
        <left style="thin">
          <color theme="0"/>
        </left>
        <right style="thin">
          <color theme="0"/>
        </right>
        <top style="thick">
          <color theme="0"/>
        </top>
        <bottom/>
      </border>
    </dxf>
    <dxf>
      <font>
        <b val="0"/>
        <i val="0"/>
        <strike val="0"/>
        <condense val="0"/>
        <extend val="0"/>
        <outline val="0"/>
        <shadow val="0"/>
        <u val="none"/>
        <vertAlign val="baseline"/>
        <sz val="10"/>
        <color theme="1"/>
        <name val="Open Sans"/>
        <family val="2"/>
        <scheme val="none"/>
      </font>
      <numFmt numFmtId="3" formatCode="#,##0"/>
      <fill>
        <patternFill patternType="solid">
          <fgColor indexed="64"/>
          <bgColor theme="0"/>
        </patternFill>
      </fill>
      <border diagonalUp="0" diagonalDown="0">
        <left style="thin">
          <color theme="0"/>
        </left>
        <right style="thin">
          <color theme="0"/>
        </right>
        <top style="thin">
          <color theme="0"/>
        </top>
        <bottom style="thin">
          <color theme="0"/>
        </bottom>
        <vertical/>
        <horizontal/>
      </border>
    </dxf>
    <dxf>
      <font>
        <b/>
        <i val="0"/>
        <strike val="0"/>
        <condense val="0"/>
        <extend val="0"/>
        <outline val="0"/>
        <shadow val="0"/>
        <u val="none"/>
        <vertAlign val="baseline"/>
        <sz val="11"/>
        <color theme="0"/>
        <name val="Open Sans"/>
        <family val="2"/>
        <scheme val="none"/>
      </font>
      <numFmt numFmtId="3" formatCode="#,##0"/>
      <fill>
        <patternFill patternType="solid">
          <fgColor theme="6"/>
          <bgColor theme="6"/>
        </patternFill>
      </fill>
      <border diagonalUp="0" diagonalDown="0" outline="0">
        <left style="thin">
          <color theme="0"/>
        </left>
        <right style="thin">
          <color theme="0"/>
        </right>
        <top style="thick">
          <color theme="0"/>
        </top>
        <bottom/>
      </border>
    </dxf>
    <dxf>
      <font>
        <strike val="0"/>
        <outline val="0"/>
        <shadow val="0"/>
        <u val="none"/>
        <vertAlign val="baseline"/>
        <sz val="10"/>
        <name val="Open Sans"/>
        <family val="2"/>
        <scheme val="none"/>
      </font>
      <numFmt numFmtId="3" formatCode="#,##0"/>
      <fill>
        <patternFill patternType="solid">
          <fgColor indexed="64"/>
          <bgColor theme="0"/>
        </patternFill>
      </fill>
      <border diagonalUp="0" diagonalDown="0">
        <left style="thin">
          <color theme="0"/>
        </left>
        <right style="thin">
          <color theme="0"/>
        </right>
        <top style="thin">
          <color theme="0"/>
        </top>
        <bottom style="thin">
          <color theme="0"/>
        </bottom>
        <vertical/>
        <horizontal/>
      </border>
    </dxf>
    <dxf>
      <font>
        <b/>
        <i val="0"/>
        <strike val="0"/>
        <condense val="0"/>
        <extend val="0"/>
        <outline val="0"/>
        <shadow val="0"/>
        <u val="none"/>
        <vertAlign val="baseline"/>
        <sz val="11"/>
        <color theme="0"/>
        <name val="Open Sans"/>
        <family val="2"/>
        <scheme val="none"/>
      </font>
      <numFmt numFmtId="3" formatCode="#,##0"/>
      <fill>
        <patternFill patternType="solid">
          <fgColor theme="6"/>
          <bgColor theme="6"/>
        </patternFill>
      </fill>
      <border diagonalUp="0" diagonalDown="0" outline="0">
        <left style="thin">
          <color theme="0"/>
        </left>
        <right style="thin">
          <color theme="0"/>
        </right>
        <top style="thick">
          <color theme="0"/>
        </top>
        <bottom/>
      </border>
    </dxf>
    <dxf>
      <font>
        <strike val="0"/>
        <outline val="0"/>
        <shadow val="0"/>
        <u val="none"/>
        <vertAlign val="baseline"/>
        <sz val="10"/>
        <name val="Open Sans"/>
        <family val="2"/>
        <scheme val="none"/>
      </font>
      <numFmt numFmtId="3" formatCode="#,##0"/>
      <fill>
        <patternFill patternType="solid">
          <fgColor indexed="64"/>
          <bgColor theme="0"/>
        </patternFill>
      </fill>
      <border diagonalUp="0" diagonalDown="0">
        <left style="thin">
          <color theme="0"/>
        </left>
        <right style="thin">
          <color theme="0"/>
        </right>
        <top style="thin">
          <color theme="0"/>
        </top>
        <bottom style="thin">
          <color theme="0"/>
        </bottom>
        <vertical/>
        <horizontal/>
      </border>
    </dxf>
    <dxf>
      <font>
        <b/>
        <i val="0"/>
        <strike val="0"/>
        <condense val="0"/>
        <extend val="0"/>
        <outline val="0"/>
        <shadow val="0"/>
        <u val="none"/>
        <vertAlign val="baseline"/>
        <sz val="11"/>
        <color theme="0"/>
        <name val="Open Sans"/>
        <family val="2"/>
        <scheme val="none"/>
      </font>
      <numFmt numFmtId="3" formatCode="#,##0"/>
      <fill>
        <patternFill patternType="solid">
          <fgColor theme="6"/>
          <bgColor theme="6"/>
        </patternFill>
      </fill>
      <border diagonalUp="0" diagonalDown="0" outline="0">
        <left style="thin">
          <color theme="0"/>
        </left>
        <right style="thin">
          <color theme="0"/>
        </right>
        <top style="thick">
          <color theme="0"/>
        </top>
        <bottom/>
      </border>
    </dxf>
    <dxf>
      <font>
        <b val="0"/>
        <i val="0"/>
        <strike val="0"/>
        <condense val="0"/>
        <extend val="0"/>
        <outline val="0"/>
        <shadow val="0"/>
        <u val="none"/>
        <vertAlign val="baseline"/>
        <sz val="10"/>
        <color theme="1"/>
        <name val="Open Sans"/>
        <family val="2"/>
        <scheme val="none"/>
      </font>
      <numFmt numFmtId="3" formatCode="#,##0"/>
      <fill>
        <patternFill patternType="solid">
          <fgColor indexed="64"/>
          <bgColor theme="0"/>
        </patternFill>
      </fill>
      <border diagonalUp="0" diagonalDown="0">
        <left style="thin">
          <color theme="0"/>
        </left>
        <right style="thin">
          <color theme="0"/>
        </right>
        <top style="thin">
          <color theme="0"/>
        </top>
        <bottom style="thin">
          <color theme="0"/>
        </bottom>
        <vertical/>
        <horizontal/>
      </border>
    </dxf>
    <dxf>
      <font>
        <b/>
        <i val="0"/>
        <strike val="0"/>
        <condense val="0"/>
        <extend val="0"/>
        <outline val="0"/>
        <shadow val="0"/>
        <u val="none"/>
        <vertAlign val="baseline"/>
        <sz val="11"/>
        <color theme="0"/>
        <name val="Open Sans"/>
        <family val="2"/>
        <scheme val="none"/>
      </font>
      <numFmt numFmtId="3" formatCode="#,##0"/>
      <fill>
        <patternFill patternType="solid">
          <fgColor theme="6"/>
          <bgColor theme="6"/>
        </patternFill>
      </fill>
      <border diagonalUp="0" diagonalDown="0" outline="0">
        <left style="thin">
          <color theme="0"/>
        </left>
        <right style="thin">
          <color theme="0"/>
        </right>
        <top style="thick">
          <color theme="0"/>
        </top>
        <bottom/>
      </border>
    </dxf>
    <dxf>
      <font>
        <sz val="10"/>
        <name val="Open Sans"/>
        <family val="2"/>
        <scheme val="none"/>
      </font>
      <numFmt numFmtId="3" formatCode="#,##0"/>
      <fill>
        <patternFill patternType="solid">
          <fgColor indexed="64"/>
          <bgColor theme="0"/>
        </patternFill>
      </fill>
      <border diagonalUp="0" diagonalDown="0">
        <left style="thin">
          <color theme="0"/>
        </left>
        <right style="thin">
          <color theme="0"/>
        </right>
        <top style="thin">
          <color theme="0"/>
        </top>
        <bottom style="thin">
          <color theme="0"/>
        </bottom>
        <vertical/>
        <horizontal/>
      </border>
    </dxf>
    <dxf>
      <font>
        <b/>
        <i val="0"/>
        <strike val="0"/>
        <condense val="0"/>
        <extend val="0"/>
        <outline val="0"/>
        <shadow val="0"/>
        <u val="none"/>
        <vertAlign val="baseline"/>
        <sz val="11"/>
        <color theme="0"/>
        <name val="Open Sans"/>
        <family val="2"/>
        <scheme val="none"/>
      </font>
      <numFmt numFmtId="3" formatCode="#,##0"/>
      <fill>
        <patternFill patternType="solid">
          <fgColor theme="6"/>
          <bgColor theme="6"/>
        </patternFill>
      </fill>
      <border diagonalUp="0" diagonalDown="0" outline="0">
        <left style="thin">
          <color theme="0"/>
        </left>
        <right style="thin">
          <color theme="0"/>
        </right>
        <top style="thick">
          <color theme="0"/>
        </top>
        <bottom/>
      </border>
    </dxf>
    <dxf>
      <font>
        <sz val="10"/>
        <name val="Open Sans"/>
        <family val="2"/>
        <scheme val="none"/>
      </font>
      <numFmt numFmtId="3" formatCode="#,##0"/>
      <fill>
        <patternFill patternType="solid">
          <fgColor indexed="64"/>
          <bgColor theme="0"/>
        </patternFill>
      </fill>
      <border diagonalUp="0" diagonalDown="0">
        <left style="thin">
          <color theme="0"/>
        </left>
        <right style="thin">
          <color theme="0"/>
        </right>
        <top style="thin">
          <color theme="0"/>
        </top>
        <bottom style="thin">
          <color theme="0"/>
        </bottom>
        <vertical/>
        <horizontal/>
      </border>
    </dxf>
    <dxf>
      <font>
        <b/>
        <i val="0"/>
        <strike val="0"/>
        <condense val="0"/>
        <extend val="0"/>
        <outline val="0"/>
        <shadow val="0"/>
        <u val="none"/>
        <vertAlign val="baseline"/>
        <sz val="11"/>
        <color theme="0"/>
        <name val="Open Sans"/>
        <family val="2"/>
        <scheme val="none"/>
      </font>
      <numFmt numFmtId="3" formatCode="#,##0"/>
      <fill>
        <patternFill patternType="solid">
          <fgColor theme="6"/>
          <bgColor theme="6"/>
        </patternFill>
      </fill>
      <border diagonalUp="0" diagonalDown="0" outline="0">
        <left style="thin">
          <color theme="0"/>
        </left>
        <right style="thin">
          <color theme="0"/>
        </right>
        <top style="thick">
          <color theme="0"/>
        </top>
        <bottom/>
      </border>
    </dxf>
    <dxf>
      <font>
        <sz val="10"/>
        <name val="Open Sans"/>
        <family val="2"/>
        <scheme val="none"/>
      </font>
      <numFmt numFmtId="3" formatCode="#,##0"/>
      <fill>
        <patternFill patternType="solid">
          <fgColor indexed="64"/>
          <bgColor theme="0"/>
        </patternFill>
      </fill>
      <border diagonalUp="0" diagonalDown="0">
        <left style="thin">
          <color theme="0"/>
        </left>
        <right style="thin">
          <color theme="0"/>
        </right>
        <top style="thin">
          <color theme="0"/>
        </top>
        <bottom style="thin">
          <color theme="0"/>
        </bottom>
        <vertical/>
        <horizontal/>
      </border>
    </dxf>
    <dxf>
      <font>
        <b/>
        <i val="0"/>
        <strike val="0"/>
        <condense val="0"/>
        <extend val="0"/>
        <outline val="0"/>
        <shadow val="0"/>
        <u val="none"/>
        <vertAlign val="baseline"/>
        <sz val="11"/>
        <color theme="0"/>
        <name val="Open Sans"/>
        <family val="2"/>
        <scheme val="none"/>
      </font>
      <numFmt numFmtId="3" formatCode="#,##0"/>
      <fill>
        <patternFill patternType="solid">
          <fgColor theme="6"/>
          <bgColor theme="6"/>
        </patternFill>
      </fill>
      <border diagonalUp="0" diagonalDown="0" outline="0">
        <left style="thin">
          <color theme="0"/>
        </left>
        <right style="thin">
          <color theme="0"/>
        </right>
        <top style="thick">
          <color theme="0"/>
        </top>
        <bottom/>
      </border>
    </dxf>
    <dxf>
      <font>
        <strike val="0"/>
        <outline val="0"/>
        <shadow val="0"/>
        <u val="none"/>
        <vertAlign val="baseline"/>
        <name val="Open Sans"/>
        <family val="2"/>
        <scheme val="none"/>
      </font>
      <numFmt numFmtId="0" formatCode="General"/>
      <fill>
        <patternFill patternType="solid">
          <fgColor theme="6" tint="0.59999389629810485"/>
          <bgColor theme="6" tint="0.59999389629810485"/>
        </patternFill>
      </fill>
      <border diagonalUp="0" diagonalDown="0">
        <left style="thin">
          <color theme="0"/>
        </left>
        <right style="thin">
          <color theme="0"/>
        </right>
        <top style="thin">
          <color theme="0"/>
        </top>
        <bottom style="thin">
          <color theme="0"/>
        </bottom>
        <vertical/>
        <horizontal/>
      </border>
    </dxf>
    <dxf>
      <font>
        <b/>
        <i val="0"/>
        <strike val="0"/>
        <condense val="0"/>
        <extend val="0"/>
        <outline val="0"/>
        <shadow val="0"/>
        <u val="none"/>
        <vertAlign val="baseline"/>
        <sz val="11"/>
        <color theme="0"/>
        <name val="Open Sans"/>
        <family val="2"/>
        <scheme val="none"/>
      </font>
      <fill>
        <patternFill patternType="solid">
          <fgColor theme="6"/>
          <bgColor theme="6"/>
        </patternFill>
      </fill>
      <border diagonalUp="0" diagonalDown="0" outline="0">
        <left style="thin">
          <color theme="0"/>
        </left>
        <right style="thin">
          <color theme="0"/>
        </right>
        <top style="thick">
          <color theme="0"/>
        </top>
        <bottom/>
      </border>
    </dxf>
    <dxf>
      <font>
        <b val="0"/>
        <i val="0"/>
        <strike val="0"/>
        <condense val="0"/>
        <extend val="0"/>
        <outline val="0"/>
        <shadow val="0"/>
        <u val="none"/>
        <vertAlign val="baseline"/>
        <sz val="11"/>
        <color theme="1"/>
        <name val="Open Sans"/>
        <family val="2"/>
        <scheme val="none"/>
      </font>
      <numFmt numFmtId="2" formatCode="0.00"/>
      <fill>
        <patternFill patternType="solid">
          <fgColor theme="6" tint="0.59999389629810485"/>
          <bgColor theme="6" tint="0.59999389629810485"/>
        </patternFill>
      </fill>
      <border diagonalUp="0" diagonalDown="0">
        <left/>
        <right style="thin">
          <color theme="0"/>
        </right>
        <top style="thin">
          <color theme="0"/>
        </top>
        <bottom style="thin">
          <color theme="0"/>
        </bottom>
        <vertical/>
        <horizontal/>
      </border>
    </dxf>
    <dxf>
      <font>
        <b/>
        <i val="0"/>
        <strike val="0"/>
        <condense val="0"/>
        <extend val="0"/>
        <outline val="0"/>
        <shadow val="0"/>
        <u val="none"/>
        <vertAlign val="baseline"/>
        <sz val="11"/>
        <color theme="0"/>
        <name val="Open Sans"/>
        <family val="2"/>
        <scheme val="none"/>
      </font>
      <fill>
        <patternFill patternType="solid">
          <fgColor theme="6"/>
          <bgColor theme="6"/>
        </patternFill>
      </fill>
      <border diagonalUp="0" diagonalDown="0" outline="0">
        <left/>
        <right style="thin">
          <color theme="0"/>
        </right>
        <top style="thick">
          <color theme="0"/>
        </top>
        <bottom/>
      </border>
    </dxf>
    <dxf>
      <font>
        <strike val="0"/>
        <outline val="0"/>
        <shadow val="0"/>
        <u val="none"/>
        <vertAlign val="baseline"/>
        <name val="Open Sans"/>
        <family val="2"/>
        <scheme val="none"/>
      </font>
      <numFmt numFmtId="2" formatCode="0.00"/>
      <fill>
        <patternFill patternType="solid">
          <fgColor theme="6" tint="0.59999389629810485"/>
          <bgColor theme="6" tint="0.59999389629810485"/>
        </patternFill>
      </fill>
      <border diagonalUp="0" diagonalDown="0">
        <left/>
        <right style="thin">
          <color theme="0"/>
        </right>
        <top style="thin">
          <color theme="0"/>
        </top>
        <bottom style="thin">
          <color theme="0"/>
        </bottom>
        <vertical/>
        <horizontal/>
      </border>
    </dxf>
    <dxf>
      <font>
        <b/>
        <i val="0"/>
        <strike val="0"/>
        <condense val="0"/>
        <extend val="0"/>
        <outline val="0"/>
        <shadow val="0"/>
        <u val="none"/>
        <vertAlign val="baseline"/>
        <sz val="11"/>
        <color theme="0"/>
        <name val="Open Sans"/>
        <family val="2"/>
        <scheme val="none"/>
      </font>
      <fill>
        <patternFill patternType="solid">
          <fgColor theme="6"/>
          <bgColor theme="6"/>
        </patternFill>
      </fill>
      <border diagonalUp="0" diagonalDown="0" outline="0">
        <left/>
        <right style="thin">
          <color theme="0"/>
        </right>
        <top style="thick">
          <color theme="0"/>
        </top>
        <bottom/>
      </border>
    </dxf>
    <dxf>
      <font>
        <b val="0"/>
        <strike val="0"/>
        <outline val="0"/>
        <shadow val="0"/>
        <u val="none"/>
        <vertAlign val="baseline"/>
        <name val="Open Sans"/>
        <family val="2"/>
        <scheme val="none"/>
      </font>
      <border diagonalUp="0" diagonalDown="0" outline="0">
        <left style="thin">
          <color rgb="FF000000"/>
        </left>
        <right style="thin">
          <color rgb="FF000000"/>
        </right>
        <top/>
        <bottom/>
      </border>
    </dxf>
    <dxf>
      <font>
        <strike val="0"/>
        <outline val="0"/>
        <shadow val="0"/>
        <u val="none"/>
        <vertAlign val="baseline"/>
        <sz val="10"/>
        <name val="Open Sans"/>
        <family val="2"/>
        <scheme val="none"/>
      </font>
      <fill>
        <patternFill patternType="solid">
          <fgColor indexed="64"/>
          <bgColor theme="0"/>
        </patternFill>
      </fill>
    </dxf>
    <dxf>
      <font>
        <strike val="0"/>
        <outline val="0"/>
        <shadow val="0"/>
        <u val="none"/>
        <vertAlign val="baseline"/>
        <name val="Open Sans"/>
        <family val="2"/>
        <scheme val="none"/>
      </font>
    </dxf>
    <dxf>
      <font>
        <b val="0"/>
        <i val="0"/>
        <strike val="0"/>
        <condense val="0"/>
        <extend val="0"/>
        <outline val="0"/>
        <shadow val="0"/>
        <u val="none"/>
        <vertAlign val="baseline"/>
        <sz val="11"/>
        <color theme="1"/>
        <name val="Open Sans"/>
        <family val="2"/>
        <scheme val="none"/>
      </font>
      <numFmt numFmtId="169" formatCode="_(* #,##0_);_(* \(#,##0\);_(* &quot;-&quot;??_);_(@_)"/>
      <fill>
        <patternFill patternType="solid">
          <fgColor theme="6" tint="0.59999389629810485"/>
          <bgColor theme="6" tint="0.59999389629810485"/>
        </patternFill>
      </fill>
      <border diagonalUp="0" diagonalDown="0">
        <left style="thin">
          <color theme="0"/>
        </left>
        <right style="thin">
          <color theme="0"/>
        </right>
        <top/>
        <bottom style="thin">
          <color theme="0"/>
        </bottom>
        <vertical/>
        <horizontal/>
      </border>
    </dxf>
    <dxf>
      <font>
        <b val="0"/>
        <i val="0"/>
        <strike val="0"/>
        <condense val="0"/>
        <extend val="0"/>
        <outline val="0"/>
        <shadow val="0"/>
        <u val="none"/>
        <vertAlign val="baseline"/>
        <sz val="11"/>
        <color theme="1"/>
        <name val="Open Sans"/>
        <family val="2"/>
        <scheme val="none"/>
      </font>
      <numFmt numFmtId="169" formatCode="_(* #,##0_);_(* \(#,##0\);_(* &quot;-&quot;??_);_(@_)"/>
    </dxf>
    <dxf>
      <font>
        <b val="0"/>
        <i val="0"/>
        <strike val="0"/>
        <condense val="0"/>
        <extend val="0"/>
        <outline val="0"/>
        <shadow val="0"/>
        <u val="none"/>
        <vertAlign val="baseline"/>
        <sz val="11"/>
        <color theme="1"/>
        <name val="Open Sans"/>
        <family val="2"/>
        <scheme val="none"/>
      </font>
      <numFmt numFmtId="169" formatCode="_(* #,##0_);_(* \(#,##0\);_(* &quot;-&quot;??_);_(@_)"/>
      <fill>
        <patternFill patternType="solid">
          <fgColor theme="6" tint="0.59999389629810485"/>
          <bgColor theme="6" tint="0.59999389629810485"/>
        </patternFill>
      </fill>
      <border diagonalUp="0" diagonalDown="0">
        <left style="thin">
          <color theme="0"/>
        </left>
        <right style="thin">
          <color theme="0"/>
        </right>
        <top/>
        <bottom style="thin">
          <color theme="0"/>
        </bottom>
        <vertical/>
        <horizontal/>
      </border>
    </dxf>
    <dxf>
      <font>
        <b val="0"/>
        <i val="0"/>
        <strike val="0"/>
        <condense val="0"/>
        <extend val="0"/>
        <outline val="0"/>
        <shadow val="0"/>
        <u val="none"/>
        <vertAlign val="baseline"/>
        <sz val="11"/>
        <color theme="1"/>
        <name val="Open Sans"/>
        <family val="2"/>
        <scheme val="none"/>
      </font>
      <numFmt numFmtId="169" formatCode="_(* #,##0_);_(* \(#,##0\);_(* &quot;-&quot;??_);_(@_)"/>
    </dxf>
    <dxf>
      <font>
        <b val="0"/>
        <i val="0"/>
        <strike val="0"/>
        <condense val="0"/>
        <extend val="0"/>
        <outline val="0"/>
        <shadow val="0"/>
        <u val="none"/>
        <vertAlign val="baseline"/>
        <sz val="11"/>
        <color theme="1"/>
        <name val="Open Sans"/>
        <family val="2"/>
        <scheme val="none"/>
      </font>
      <numFmt numFmtId="169" formatCode="_(* #,##0_);_(* \(#,##0\);_(* &quot;-&quot;??_);_(@_)"/>
      <fill>
        <patternFill patternType="solid">
          <fgColor theme="6" tint="0.59999389629810485"/>
          <bgColor theme="6" tint="0.59999389629810485"/>
        </patternFill>
      </fill>
      <border diagonalUp="0" diagonalDown="0">
        <left style="thin">
          <color theme="0"/>
        </left>
        <right style="thin">
          <color theme="0"/>
        </right>
        <top/>
        <bottom style="thin">
          <color theme="0"/>
        </bottom>
        <vertical/>
        <horizontal/>
      </border>
    </dxf>
    <dxf>
      <font>
        <b val="0"/>
        <i val="0"/>
        <strike val="0"/>
        <condense val="0"/>
        <extend val="0"/>
        <outline val="0"/>
        <shadow val="0"/>
        <u val="none"/>
        <vertAlign val="baseline"/>
        <sz val="11"/>
        <color theme="1"/>
        <name val="Open Sans"/>
        <family val="2"/>
        <scheme val="none"/>
      </font>
      <numFmt numFmtId="169" formatCode="_(* #,##0_);_(* \(#,##0\);_(* &quot;-&quot;??_);_(@_)"/>
    </dxf>
    <dxf>
      <font>
        <b val="0"/>
        <i val="0"/>
        <strike val="0"/>
        <condense val="0"/>
        <extend val="0"/>
        <outline val="0"/>
        <shadow val="0"/>
        <u val="none"/>
        <vertAlign val="baseline"/>
        <sz val="11"/>
        <color theme="1"/>
        <name val="Open Sans"/>
        <family val="2"/>
        <scheme val="none"/>
      </font>
      <numFmt numFmtId="169" formatCode="_(* #,##0_);_(* \(#,##0\);_(* &quot;-&quot;??_);_(@_)"/>
      <fill>
        <patternFill patternType="solid">
          <fgColor theme="6" tint="0.59999389629810485"/>
          <bgColor theme="6" tint="0.59999389629810485"/>
        </patternFill>
      </fill>
      <border diagonalUp="0" diagonalDown="0">
        <left style="thin">
          <color theme="0"/>
        </left>
        <right style="thin">
          <color theme="0"/>
        </right>
        <top/>
        <bottom style="thin">
          <color theme="0"/>
        </bottom>
        <vertical/>
        <horizontal/>
      </border>
    </dxf>
    <dxf>
      <font>
        <b val="0"/>
        <i val="0"/>
        <strike val="0"/>
        <condense val="0"/>
        <extend val="0"/>
        <outline val="0"/>
        <shadow val="0"/>
        <u val="none"/>
        <vertAlign val="baseline"/>
        <sz val="11"/>
        <color theme="1"/>
        <name val="Open Sans"/>
        <family val="2"/>
        <scheme val="none"/>
      </font>
      <numFmt numFmtId="169" formatCode="_(* #,##0_);_(* \(#,##0\);_(* &quot;-&quot;??_);_(@_)"/>
    </dxf>
    <dxf>
      <font>
        <b val="0"/>
        <i val="0"/>
        <strike val="0"/>
        <condense val="0"/>
        <extend val="0"/>
        <outline val="0"/>
        <shadow val="0"/>
        <u val="none"/>
        <vertAlign val="baseline"/>
        <sz val="11"/>
        <color theme="1"/>
        <name val="Open Sans"/>
        <family val="2"/>
        <scheme val="none"/>
      </font>
      <numFmt numFmtId="169" formatCode="_(* #,##0_);_(* \(#,##0\);_(* &quot;-&quot;??_);_(@_)"/>
      <fill>
        <patternFill patternType="solid">
          <fgColor theme="6" tint="0.59999389629810485"/>
          <bgColor theme="6" tint="0.59999389629810485"/>
        </patternFill>
      </fill>
      <border diagonalUp="0" diagonalDown="0">
        <left style="thin">
          <color theme="0"/>
        </left>
        <right style="thin">
          <color theme="0"/>
        </right>
        <top/>
        <bottom style="thin">
          <color theme="0"/>
        </bottom>
        <vertical/>
        <horizontal/>
      </border>
    </dxf>
    <dxf>
      <font>
        <b val="0"/>
        <i val="0"/>
        <strike val="0"/>
        <condense val="0"/>
        <extend val="0"/>
        <outline val="0"/>
        <shadow val="0"/>
        <u val="none"/>
        <vertAlign val="baseline"/>
        <sz val="11"/>
        <color theme="1"/>
        <name val="Open Sans"/>
        <family val="2"/>
        <scheme val="none"/>
      </font>
      <numFmt numFmtId="169" formatCode="_(* #,##0_);_(* \(#,##0\);_(* &quot;-&quot;??_);_(@_)"/>
    </dxf>
    <dxf>
      <font>
        <b val="0"/>
        <i val="0"/>
        <strike val="0"/>
        <condense val="0"/>
        <extend val="0"/>
        <outline val="0"/>
        <shadow val="0"/>
        <u val="none"/>
        <vertAlign val="baseline"/>
        <sz val="11"/>
        <color theme="1"/>
        <name val="Open Sans"/>
        <family val="2"/>
        <scheme val="none"/>
      </font>
      <numFmt numFmtId="169" formatCode="_(* #,##0_);_(* \(#,##0\);_(* &quot;-&quot;??_);_(@_)"/>
      <fill>
        <patternFill patternType="solid">
          <fgColor theme="6" tint="0.59999389629810485"/>
          <bgColor theme="6" tint="0.59999389629810485"/>
        </patternFill>
      </fill>
      <border diagonalUp="0" diagonalDown="0">
        <left style="thin">
          <color theme="0"/>
        </left>
        <right style="thin">
          <color theme="0"/>
        </right>
        <top/>
        <bottom style="thin">
          <color theme="0"/>
        </bottom>
        <vertical/>
        <horizontal/>
      </border>
    </dxf>
    <dxf>
      <font>
        <b val="0"/>
        <i val="0"/>
        <strike val="0"/>
        <condense val="0"/>
        <extend val="0"/>
        <outline val="0"/>
        <shadow val="0"/>
        <u val="none"/>
        <vertAlign val="baseline"/>
        <sz val="11"/>
        <color theme="1"/>
        <name val="Open Sans"/>
        <family val="2"/>
        <scheme val="none"/>
      </font>
      <numFmt numFmtId="169" formatCode="_(* #,##0_);_(* \(#,##0\);_(* &quot;-&quot;??_);_(@_)"/>
    </dxf>
    <dxf>
      <font>
        <b val="0"/>
        <i val="0"/>
        <strike val="0"/>
        <condense val="0"/>
        <extend val="0"/>
        <outline val="0"/>
        <shadow val="0"/>
        <u val="none"/>
        <vertAlign val="baseline"/>
        <sz val="11"/>
        <color theme="1"/>
        <name val="Open Sans"/>
        <family val="2"/>
        <scheme val="none"/>
      </font>
      <numFmt numFmtId="169" formatCode="_(* #,##0_);_(* \(#,##0\);_(* &quot;-&quot;??_);_(@_)"/>
      <fill>
        <patternFill patternType="solid">
          <fgColor theme="6" tint="0.59999389629810485"/>
          <bgColor theme="6" tint="0.59999389629810485"/>
        </patternFill>
      </fill>
      <border diagonalUp="0" diagonalDown="0">
        <left/>
        <right style="thin">
          <color theme="0"/>
        </right>
        <top/>
        <bottom style="thin">
          <color theme="0"/>
        </bottom>
        <vertical/>
        <horizontal/>
      </border>
    </dxf>
    <dxf>
      <font>
        <b/>
        <i val="0"/>
        <strike val="0"/>
        <condense val="0"/>
        <extend val="0"/>
        <outline val="0"/>
        <shadow val="0"/>
        <u val="none"/>
        <vertAlign val="baseline"/>
        <sz val="11"/>
        <color theme="0"/>
        <name val="Open Sans"/>
        <family val="2"/>
        <scheme val="none"/>
      </font>
      <numFmt numFmtId="169" formatCode="_(* #,##0_);_(* \(#,##0\);_(* &quot;-&quot;??_);_(@_)"/>
      <fill>
        <patternFill patternType="solid">
          <fgColor theme="6"/>
          <bgColor theme="6"/>
        </patternFill>
      </fill>
      <border diagonalUp="0" diagonalDown="0" outline="0">
        <left style="thin">
          <color theme="0"/>
        </left>
        <right style="thin">
          <color theme="0"/>
        </right>
        <top style="thick">
          <color theme="0"/>
        </top>
        <bottom/>
      </border>
    </dxf>
    <dxf>
      <font>
        <b val="0"/>
        <i val="0"/>
        <strike val="0"/>
        <condense val="0"/>
        <extend val="0"/>
        <outline val="0"/>
        <shadow val="0"/>
        <u val="none"/>
        <vertAlign val="baseline"/>
        <sz val="11"/>
        <color theme="1"/>
        <name val="Open Sans"/>
        <family val="2"/>
        <scheme val="none"/>
      </font>
      <numFmt numFmtId="169" formatCode="_(* #,##0_);_(* \(#,##0\);_(* &quot;-&quot;??_);_(@_)"/>
      <fill>
        <patternFill patternType="solid">
          <fgColor theme="6" tint="0.59999389629810485"/>
          <bgColor theme="6" tint="0.59999389629810485"/>
        </patternFill>
      </fill>
      <border diagonalUp="0" diagonalDown="0">
        <left/>
        <right style="thin">
          <color theme="0"/>
        </right>
        <top/>
        <bottom style="thin">
          <color theme="0"/>
        </bottom>
        <vertical/>
        <horizontal/>
      </border>
    </dxf>
    <dxf>
      <font>
        <b/>
        <i val="0"/>
        <strike val="0"/>
        <condense val="0"/>
        <extend val="0"/>
        <outline val="0"/>
        <shadow val="0"/>
        <u val="none"/>
        <vertAlign val="baseline"/>
        <sz val="11"/>
        <color theme="0"/>
        <name val="Open Sans"/>
        <family val="2"/>
        <scheme val="none"/>
      </font>
      <numFmt numFmtId="169" formatCode="_(* #,##0_);_(* \(#,##0\);_(* &quot;-&quot;??_);_(@_)"/>
      <fill>
        <patternFill patternType="solid">
          <fgColor theme="6"/>
          <bgColor theme="6"/>
        </patternFill>
      </fill>
      <border diagonalUp="0" diagonalDown="0" outline="0">
        <left style="thin">
          <color theme="0"/>
        </left>
        <right style="thin">
          <color theme="0"/>
        </right>
        <top style="thick">
          <color theme="0"/>
        </top>
        <bottom/>
      </border>
    </dxf>
    <dxf>
      <font>
        <b val="0"/>
        <i val="0"/>
        <strike val="0"/>
        <condense val="0"/>
        <extend val="0"/>
        <outline val="0"/>
        <shadow val="0"/>
        <u val="none"/>
        <vertAlign val="baseline"/>
        <sz val="11"/>
        <color theme="1"/>
        <name val="Open Sans"/>
        <family val="2"/>
        <scheme val="none"/>
      </font>
      <numFmt numFmtId="13" formatCode="0%"/>
      <fill>
        <patternFill patternType="solid">
          <fgColor theme="6" tint="0.59999389629810485"/>
          <bgColor theme="6" tint="0.59999389629810485"/>
        </patternFill>
      </fill>
      <border diagonalUp="0" diagonalDown="0">
        <left/>
        <right/>
        <top style="thin">
          <color theme="0"/>
        </top>
        <bottom style="thin">
          <color theme="0"/>
        </bottom>
        <vertical/>
        <horizontal/>
      </border>
    </dxf>
    <dxf>
      <font>
        <b/>
        <i val="0"/>
        <strike val="0"/>
        <condense val="0"/>
        <extend val="0"/>
        <outline val="0"/>
        <shadow val="0"/>
        <u val="none"/>
        <vertAlign val="baseline"/>
        <sz val="11"/>
        <color theme="0"/>
        <name val="Open Sans"/>
        <family val="2"/>
        <scheme val="none"/>
      </font>
      <fill>
        <patternFill patternType="solid">
          <fgColor theme="6"/>
          <bgColor theme="6"/>
        </patternFill>
      </fill>
      <border diagonalUp="0" diagonalDown="0" outline="0">
        <left style="thin">
          <color theme="0"/>
        </left>
        <right style="thin">
          <color theme="0"/>
        </right>
        <top style="thick">
          <color theme="0"/>
        </top>
        <bottom/>
      </border>
    </dxf>
    <dxf>
      <font>
        <b val="0"/>
        <i val="0"/>
        <strike val="0"/>
        <condense val="0"/>
        <extend val="0"/>
        <outline val="0"/>
        <shadow val="0"/>
        <u val="none"/>
        <vertAlign val="baseline"/>
        <sz val="11"/>
        <color theme="1"/>
        <name val="Open Sans"/>
        <family val="2"/>
        <scheme val="none"/>
      </font>
      <numFmt numFmtId="169" formatCode="_(* #,##0_);_(* \(#,##0\);_(* &quot;-&quot;??_);_(@_)"/>
      <fill>
        <patternFill patternType="solid">
          <fgColor theme="6" tint="0.59999389629810485"/>
          <bgColor theme="6" tint="0.59999389629810485"/>
        </patternFill>
      </fill>
      <border diagonalUp="0" diagonalDown="0">
        <left/>
        <right style="thin">
          <color theme="0"/>
        </right>
        <top style="thin">
          <color theme="0"/>
        </top>
        <bottom style="thin">
          <color theme="0"/>
        </bottom>
        <vertical/>
        <horizontal/>
      </border>
    </dxf>
    <dxf>
      <font>
        <b/>
        <i val="0"/>
        <strike val="0"/>
        <condense val="0"/>
        <extend val="0"/>
        <outline val="0"/>
        <shadow val="0"/>
        <u val="none"/>
        <vertAlign val="baseline"/>
        <sz val="11"/>
        <color theme="0"/>
        <name val="Open Sans"/>
        <family val="2"/>
        <scheme val="none"/>
      </font>
      <numFmt numFmtId="169" formatCode="_(* #,##0_);_(* \(#,##0\);_(* &quot;-&quot;??_);_(@_)"/>
      <fill>
        <patternFill patternType="solid">
          <fgColor theme="6"/>
          <bgColor theme="6"/>
        </patternFill>
      </fill>
      <border diagonalUp="0" diagonalDown="0" outline="0">
        <left style="thin">
          <color theme="0"/>
        </left>
        <right style="thin">
          <color theme="0"/>
        </right>
        <top style="thick">
          <color theme="0"/>
        </top>
        <bottom/>
      </border>
    </dxf>
    <dxf>
      <font>
        <b val="0"/>
        <i val="0"/>
        <strike val="0"/>
        <condense val="0"/>
        <extend val="0"/>
        <outline val="0"/>
        <shadow val="0"/>
        <u val="none"/>
        <vertAlign val="baseline"/>
        <sz val="11"/>
        <color theme="1"/>
        <name val="Open Sans"/>
        <family val="2"/>
        <scheme val="none"/>
      </font>
      <numFmt numFmtId="2" formatCode="0.00"/>
      <fill>
        <patternFill patternType="solid">
          <fgColor theme="6" tint="0.59999389629810485"/>
          <bgColor theme="6" tint="0.59999389629810485"/>
        </patternFill>
      </fill>
      <border diagonalUp="0" diagonalDown="0">
        <left/>
        <right style="thin">
          <color theme="0"/>
        </right>
        <top style="thin">
          <color theme="0"/>
        </top>
        <bottom style="thin">
          <color theme="0"/>
        </bottom>
        <vertical/>
        <horizontal/>
      </border>
    </dxf>
    <dxf>
      <font>
        <b/>
        <i val="0"/>
        <strike val="0"/>
        <condense val="0"/>
        <extend val="0"/>
        <outline val="0"/>
        <shadow val="0"/>
        <u val="none"/>
        <vertAlign val="baseline"/>
        <sz val="11"/>
        <color theme="0"/>
        <name val="Open Sans"/>
        <family val="2"/>
        <scheme val="none"/>
      </font>
      <fill>
        <patternFill patternType="solid">
          <fgColor theme="6"/>
          <bgColor theme="6"/>
        </patternFill>
      </fill>
      <border diagonalUp="0" diagonalDown="0" outline="0">
        <left style="thin">
          <color theme="0"/>
        </left>
        <right style="thin">
          <color theme="0"/>
        </right>
        <top style="thick">
          <color theme="0"/>
        </top>
        <bottom/>
      </border>
    </dxf>
    <dxf>
      <font>
        <b val="0"/>
        <i val="0"/>
        <strike val="0"/>
        <condense val="0"/>
        <extend val="0"/>
        <outline val="0"/>
        <shadow val="0"/>
        <u val="none"/>
        <vertAlign val="baseline"/>
        <sz val="11"/>
        <color theme="1"/>
        <name val="Open Sans"/>
        <family val="2"/>
        <scheme val="none"/>
      </font>
      <numFmt numFmtId="2" formatCode="0.00"/>
      <fill>
        <patternFill patternType="solid">
          <fgColor theme="6" tint="0.59999389629810485"/>
          <bgColor theme="6" tint="0.59999389629810485"/>
        </patternFill>
      </fill>
      <border diagonalUp="0" diagonalDown="0">
        <left/>
        <right style="thin">
          <color theme="0"/>
        </right>
        <top style="thin">
          <color theme="0"/>
        </top>
        <bottom style="thin">
          <color theme="0"/>
        </bottom>
        <vertical/>
        <horizontal/>
      </border>
    </dxf>
    <dxf>
      <font>
        <b/>
        <i val="0"/>
        <strike val="0"/>
        <condense val="0"/>
        <extend val="0"/>
        <outline val="0"/>
        <shadow val="0"/>
        <u val="none"/>
        <vertAlign val="baseline"/>
        <sz val="11"/>
        <color theme="0"/>
        <name val="Open Sans"/>
        <family val="2"/>
        <scheme val="none"/>
      </font>
      <fill>
        <patternFill patternType="solid">
          <fgColor theme="6"/>
          <bgColor theme="6"/>
        </patternFill>
      </fill>
      <border diagonalUp="0" diagonalDown="0" outline="0">
        <left/>
        <right style="thin">
          <color theme="0"/>
        </right>
        <top style="thick">
          <color theme="0"/>
        </top>
        <bottom/>
      </border>
    </dxf>
    <dxf>
      <font>
        <b val="0"/>
        <i val="0"/>
        <strike val="0"/>
        <condense val="0"/>
        <extend val="0"/>
        <outline val="0"/>
        <shadow val="0"/>
        <u val="none"/>
        <vertAlign val="baseline"/>
        <sz val="11"/>
        <color theme="1"/>
        <name val="Open Sans"/>
        <family val="2"/>
        <scheme val="none"/>
      </font>
      <numFmt numFmtId="2" formatCode="0.00"/>
      <fill>
        <patternFill patternType="solid">
          <fgColor theme="6" tint="0.59999389629810485"/>
          <bgColor theme="6" tint="0.59999389629810485"/>
        </patternFill>
      </fill>
      <border diagonalUp="0" diagonalDown="0">
        <left/>
        <right style="thin">
          <color theme="0"/>
        </right>
        <top style="thin">
          <color theme="0"/>
        </top>
        <bottom style="thin">
          <color theme="0"/>
        </bottom>
        <vertical/>
        <horizontal/>
      </border>
    </dxf>
    <dxf>
      <font>
        <b/>
        <i val="0"/>
        <strike val="0"/>
        <condense val="0"/>
        <extend val="0"/>
        <outline val="0"/>
        <shadow val="0"/>
        <u val="none"/>
        <vertAlign val="baseline"/>
        <sz val="11"/>
        <color theme="0"/>
        <name val="Open Sans"/>
        <family val="2"/>
        <scheme val="none"/>
      </font>
      <fill>
        <patternFill patternType="solid">
          <fgColor theme="6"/>
          <bgColor theme="6"/>
        </patternFill>
      </fill>
      <border diagonalUp="0" diagonalDown="0" outline="0">
        <left/>
        <right style="thin">
          <color theme="0"/>
        </right>
        <top style="thick">
          <color theme="0"/>
        </top>
        <bottom/>
      </border>
    </dxf>
    <dxf>
      <border outline="0">
        <bottom style="thick">
          <color rgb="FFFFFFFF"/>
        </bottom>
      </border>
    </dxf>
    <dxf>
      <border outline="0">
        <right style="thin">
          <color rgb="FFFFFFFF"/>
        </right>
      </border>
    </dxf>
    <dxf>
      <font>
        <b val="0"/>
        <i val="0"/>
        <strike val="0"/>
        <condense val="0"/>
        <extend val="0"/>
        <outline val="0"/>
        <shadow val="0"/>
        <u val="none"/>
        <vertAlign val="baseline"/>
        <sz val="11"/>
        <color theme="1"/>
        <name val="Open Sans"/>
        <family val="2"/>
        <scheme val="none"/>
      </font>
      <fill>
        <patternFill patternType="solid">
          <fgColor theme="6" tint="0.59999389629810485"/>
          <bgColor theme="6" tint="0.59999389629810485"/>
        </patternFill>
      </fill>
    </dxf>
    <dxf>
      <font>
        <strike val="0"/>
        <outline val="0"/>
        <shadow val="0"/>
        <u val="none"/>
        <vertAlign val="baseline"/>
        <sz val="10"/>
        <name val="Open Sans"/>
        <family val="2"/>
        <scheme val="none"/>
      </font>
      <numFmt numFmtId="3" formatCode="#,##0"/>
      <fill>
        <patternFill patternType="solid">
          <fgColor indexed="64"/>
          <bgColor theme="0"/>
        </patternFill>
      </fill>
    </dxf>
    <dxf>
      <font>
        <b val="0"/>
        <i val="0"/>
        <strike val="0"/>
        <condense val="0"/>
        <extend val="0"/>
        <outline val="0"/>
        <shadow val="0"/>
        <u val="none"/>
        <vertAlign val="baseline"/>
        <sz val="11"/>
        <color theme="1"/>
        <name val="Open Sans"/>
        <family val="2"/>
        <scheme val="none"/>
      </font>
      <numFmt numFmtId="169" formatCode="_(* #,##0_);_(* \(#,##0\);_(* &quot;-&quot;??_);_(@_)"/>
      <border diagonalUp="0" diagonalDown="0" outline="0">
        <left style="thin">
          <color indexed="64"/>
        </left>
        <right style="thin">
          <color indexed="64"/>
        </right>
        <top/>
        <bottom/>
      </border>
    </dxf>
    <dxf>
      <font>
        <b val="0"/>
        <i val="0"/>
        <strike val="0"/>
        <condense val="0"/>
        <extend val="0"/>
        <outline val="0"/>
        <shadow val="0"/>
        <u val="none"/>
        <vertAlign val="baseline"/>
        <sz val="10"/>
        <color theme="1"/>
        <name val="Open Sans"/>
        <family val="2"/>
        <scheme val="none"/>
      </font>
      <numFmt numFmtId="3" formatCode="#,##0"/>
      <fill>
        <patternFill patternType="solid">
          <fgColor indexed="64"/>
          <bgColor theme="0"/>
        </patternFill>
      </fill>
    </dxf>
    <dxf>
      <font>
        <b val="0"/>
        <i val="0"/>
        <strike val="0"/>
        <condense val="0"/>
        <extend val="0"/>
        <outline val="0"/>
        <shadow val="0"/>
        <u val="none"/>
        <vertAlign val="baseline"/>
        <sz val="11"/>
        <color theme="1"/>
        <name val="Open Sans"/>
        <family val="2"/>
        <scheme val="none"/>
      </font>
      <numFmt numFmtId="3" formatCode="#,##0"/>
    </dxf>
    <dxf>
      <font>
        <strike val="0"/>
        <outline val="0"/>
        <shadow val="0"/>
        <u val="none"/>
        <vertAlign val="baseline"/>
        <sz val="10"/>
        <name val="Open Sans"/>
        <family val="2"/>
        <scheme val="none"/>
      </font>
      <numFmt numFmtId="3" formatCode="#,##0"/>
      <fill>
        <patternFill patternType="solid">
          <fgColor indexed="64"/>
          <bgColor theme="0"/>
        </patternFill>
      </fill>
    </dxf>
    <dxf>
      <font>
        <b val="0"/>
        <i val="0"/>
        <strike val="0"/>
        <condense val="0"/>
        <extend val="0"/>
        <outline val="0"/>
        <shadow val="0"/>
        <u val="none"/>
        <vertAlign val="baseline"/>
        <sz val="11"/>
        <color theme="1"/>
        <name val="Open Sans"/>
        <family val="2"/>
        <scheme val="none"/>
      </font>
      <numFmt numFmtId="3" formatCode="#,##0"/>
    </dxf>
    <dxf>
      <font>
        <strike val="0"/>
        <outline val="0"/>
        <shadow val="0"/>
        <u val="none"/>
        <vertAlign val="baseline"/>
        <sz val="10"/>
        <name val="Open Sans"/>
        <family val="2"/>
        <scheme val="none"/>
      </font>
      <numFmt numFmtId="3" formatCode="#,##0"/>
      <fill>
        <patternFill patternType="solid">
          <fgColor indexed="64"/>
          <bgColor theme="0"/>
        </patternFill>
      </fill>
    </dxf>
    <dxf>
      <font>
        <b val="0"/>
        <i val="0"/>
        <strike val="0"/>
        <condense val="0"/>
        <extend val="0"/>
        <outline val="0"/>
        <shadow val="0"/>
        <u val="none"/>
        <vertAlign val="baseline"/>
        <sz val="11"/>
        <color theme="1"/>
        <name val="Open Sans"/>
        <family val="2"/>
        <scheme val="none"/>
      </font>
      <numFmt numFmtId="3" formatCode="#,##0"/>
    </dxf>
    <dxf>
      <font>
        <strike val="0"/>
        <outline val="0"/>
        <shadow val="0"/>
        <u val="none"/>
        <vertAlign val="baseline"/>
        <sz val="10"/>
        <name val="Open Sans"/>
        <family val="2"/>
        <scheme val="none"/>
      </font>
      <numFmt numFmtId="3" formatCode="#,##0"/>
      <fill>
        <patternFill patternType="solid">
          <fgColor indexed="64"/>
          <bgColor theme="0"/>
        </patternFill>
      </fill>
    </dxf>
    <dxf>
      <font>
        <b val="0"/>
        <i val="0"/>
        <strike val="0"/>
        <condense val="0"/>
        <extend val="0"/>
        <outline val="0"/>
        <shadow val="0"/>
        <u val="none"/>
        <vertAlign val="baseline"/>
        <sz val="11"/>
        <color theme="1"/>
        <name val="Open Sans"/>
        <family val="2"/>
        <scheme val="none"/>
      </font>
      <numFmt numFmtId="3" formatCode="#,##0"/>
    </dxf>
    <dxf>
      <font>
        <strike val="0"/>
        <outline val="0"/>
        <shadow val="0"/>
        <u val="none"/>
        <vertAlign val="baseline"/>
        <sz val="10"/>
        <name val="Open Sans"/>
        <family val="2"/>
        <scheme val="none"/>
      </font>
      <numFmt numFmtId="3" formatCode="#,##0"/>
      <fill>
        <patternFill patternType="solid">
          <fgColor indexed="64"/>
          <bgColor theme="0"/>
        </patternFill>
      </fill>
    </dxf>
    <dxf>
      <font>
        <b val="0"/>
        <i val="0"/>
        <strike val="0"/>
        <condense val="0"/>
        <extend val="0"/>
        <outline val="0"/>
        <shadow val="0"/>
        <u val="none"/>
        <vertAlign val="baseline"/>
        <sz val="11"/>
        <color theme="1"/>
        <name val="Open Sans"/>
        <family val="2"/>
        <scheme val="none"/>
      </font>
      <numFmt numFmtId="3" formatCode="#,##0"/>
    </dxf>
    <dxf>
      <font>
        <strike val="0"/>
        <outline val="0"/>
        <shadow val="0"/>
        <u val="none"/>
        <vertAlign val="baseline"/>
        <sz val="10"/>
        <name val="Open Sans"/>
        <family val="2"/>
        <scheme val="none"/>
      </font>
      <numFmt numFmtId="3" formatCode="#,##0"/>
      <fill>
        <patternFill patternType="solid">
          <fgColor indexed="64"/>
          <bgColor theme="0"/>
        </patternFill>
      </fill>
    </dxf>
    <dxf>
      <font>
        <b val="0"/>
        <i val="0"/>
        <strike val="0"/>
        <condense val="0"/>
        <extend val="0"/>
        <outline val="0"/>
        <shadow val="0"/>
        <u val="none"/>
        <vertAlign val="baseline"/>
        <sz val="11"/>
        <color theme="1"/>
        <name val="Open Sans"/>
        <family val="2"/>
        <scheme val="none"/>
      </font>
      <numFmt numFmtId="3" formatCode="#,##0"/>
    </dxf>
    <dxf>
      <font>
        <strike val="0"/>
        <outline val="0"/>
        <shadow val="0"/>
        <u val="none"/>
        <vertAlign val="baseline"/>
        <sz val="10"/>
        <name val="Open Sans"/>
        <family val="2"/>
        <scheme val="none"/>
      </font>
      <numFmt numFmtId="3" formatCode="#,##0"/>
      <fill>
        <patternFill patternType="solid">
          <fgColor indexed="64"/>
          <bgColor theme="0"/>
        </patternFill>
      </fill>
    </dxf>
    <dxf>
      <font>
        <b val="0"/>
        <i val="0"/>
        <strike val="0"/>
        <condense val="0"/>
        <extend val="0"/>
        <outline val="0"/>
        <shadow val="0"/>
        <u val="none"/>
        <vertAlign val="baseline"/>
        <sz val="11"/>
        <color theme="1"/>
        <name val="Open Sans"/>
        <family val="2"/>
        <scheme val="none"/>
      </font>
      <numFmt numFmtId="3" formatCode="#,##0"/>
    </dxf>
    <dxf>
      <font>
        <strike val="0"/>
        <outline val="0"/>
        <shadow val="0"/>
        <u val="none"/>
        <vertAlign val="baseline"/>
        <sz val="10"/>
        <name val="Open Sans"/>
        <family val="2"/>
        <scheme val="none"/>
      </font>
      <numFmt numFmtId="3" formatCode="#,##0"/>
      <fill>
        <patternFill patternType="solid">
          <fgColor indexed="64"/>
          <bgColor theme="0"/>
        </patternFill>
      </fill>
    </dxf>
    <dxf>
      <font>
        <b val="0"/>
        <i val="0"/>
        <strike val="0"/>
        <condense val="0"/>
        <extend val="0"/>
        <outline val="0"/>
        <shadow val="0"/>
        <u val="none"/>
        <vertAlign val="baseline"/>
        <sz val="11"/>
        <color theme="1"/>
        <name val="Open Sans"/>
        <family val="2"/>
        <scheme val="none"/>
      </font>
      <numFmt numFmtId="3" formatCode="#,##0"/>
    </dxf>
    <dxf>
      <font>
        <b val="0"/>
        <i val="0"/>
        <strike val="0"/>
        <condense val="0"/>
        <extend val="0"/>
        <outline val="0"/>
        <shadow val="0"/>
        <u val="none"/>
        <vertAlign val="baseline"/>
        <sz val="10"/>
        <color theme="1"/>
        <name val="Open Sans"/>
        <family val="2"/>
        <scheme val="none"/>
      </font>
      <numFmt numFmtId="3" formatCode="#,##0"/>
      <fill>
        <patternFill patternType="solid">
          <fgColor indexed="64"/>
          <bgColor theme="0"/>
        </patternFill>
      </fill>
    </dxf>
    <dxf>
      <font>
        <b val="0"/>
        <i val="0"/>
        <strike val="0"/>
        <condense val="0"/>
        <extend val="0"/>
        <outline val="0"/>
        <shadow val="0"/>
        <u val="none"/>
        <vertAlign val="baseline"/>
        <sz val="11"/>
        <color theme="1"/>
        <name val="Open Sans"/>
        <family val="2"/>
        <scheme val="none"/>
      </font>
      <numFmt numFmtId="3" formatCode="#,##0"/>
    </dxf>
    <dxf>
      <font>
        <b val="0"/>
        <i val="0"/>
        <strike val="0"/>
        <condense val="0"/>
        <extend val="0"/>
        <outline val="0"/>
        <shadow val="0"/>
        <u val="none"/>
        <vertAlign val="baseline"/>
        <sz val="10"/>
        <color theme="1"/>
        <name val="Open Sans"/>
        <family val="2"/>
        <scheme val="none"/>
      </font>
      <numFmt numFmtId="3" formatCode="#,##0"/>
      <fill>
        <patternFill patternType="solid">
          <fgColor indexed="64"/>
          <bgColor theme="0"/>
        </patternFill>
      </fill>
    </dxf>
    <dxf>
      <font>
        <b val="0"/>
        <i val="0"/>
        <strike val="0"/>
        <condense val="0"/>
        <extend val="0"/>
        <outline val="0"/>
        <shadow val="0"/>
        <u val="none"/>
        <vertAlign val="baseline"/>
        <sz val="11"/>
        <color theme="1"/>
        <name val="Open Sans"/>
        <family val="2"/>
        <scheme val="none"/>
      </font>
      <numFmt numFmtId="3" formatCode="#,##0"/>
    </dxf>
    <dxf>
      <font>
        <strike val="0"/>
        <outline val="0"/>
        <shadow val="0"/>
        <u val="none"/>
        <vertAlign val="baseline"/>
        <sz val="10"/>
        <name val="Open Sans"/>
        <family val="2"/>
        <scheme val="none"/>
      </font>
      <numFmt numFmtId="3" formatCode="#,##0"/>
      <fill>
        <patternFill patternType="solid">
          <fgColor indexed="64"/>
          <bgColor theme="0"/>
        </patternFill>
      </fill>
    </dxf>
    <dxf>
      <font>
        <b val="0"/>
        <i val="0"/>
        <strike val="0"/>
        <condense val="0"/>
        <extend val="0"/>
        <outline val="0"/>
        <shadow val="0"/>
        <u val="none"/>
        <vertAlign val="baseline"/>
        <sz val="11"/>
        <color theme="1"/>
        <name val="Open Sans"/>
        <family val="2"/>
        <scheme val="none"/>
      </font>
      <numFmt numFmtId="3" formatCode="#,##0"/>
    </dxf>
    <dxf>
      <font>
        <strike val="0"/>
        <outline val="0"/>
        <shadow val="0"/>
        <u val="none"/>
        <vertAlign val="baseline"/>
        <sz val="10"/>
        <name val="Open Sans"/>
        <family val="2"/>
        <scheme val="none"/>
      </font>
      <numFmt numFmtId="3" formatCode="#,##0"/>
      <fill>
        <patternFill patternType="solid">
          <fgColor indexed="64"/>
          <bgColor theme="0"/>
        </patternFill>
      </fill>
    </dxf>
    <dxf>
      <font>
        <b val="0"/>
        <i val="0"/>
        <strike val="0"/>
        <condense val="0"/>
        <extend val="0"/>
        <outline val="0"/>
        <shadow val="0"/>
        <u val="none"/>
        <vertAlign val="baseline"/>
        <sz val="11"/>
        <color theme="1"/>
        <name val="Open Sans"/>
        <family val="2"/>
        <scheme val="none"/>
      </font>
      <numFmt numFmtId="3" formatCode="#,##0"/>
    </dxf>
    <dxf>
      <font>
        <b val="0"/>
        <i val="0"/>
        <strike val="0"/>
        <condense val="0"/>
        <extend val="0"/>
        <outline val="0"/>
        <shadow val="0"/>
        <u val="none"/>
        <vertAlign val="baseline"/>
        <sz val="10"/>
        <color theme="1"/>
        <name val="Open Sans"/>
        <family val="2"/>
        <scheme val="none"/>
      </font>
      <numFmt numFmtId="3" formatCode="#,##0"/>
      <fill>
        <patternFill patternType="solid">
          <fgColor indexed="64"/>
          <bgColor theme="0"/>
        </patternFill>
      </fill>
    </dxf>
    <dxf>
      <font>
        <b val="0"/>
        <i val="0"/>
        <strike val="0"/>
        <condense val="0"/>
        <extend val="0"/>
        <outline val="0"/>
        <shadow val="0"/>
        <u val="none"/>
        <vertAlign val="baseline"/>
        <sz val="11"/>
        <color theme="1"/>
        <name val="Open Sans"/>
        <family val="2"/>
        <scheme val="none"/>
      </font>
      <numFmt numFmtId="3" formatCode="#,##0"/>
    </dxf>
    <dxf>
      <font>
        <sz val="10"/>
        <name val="Open Sans"/>
        <family val="2"/>
        <scheme val="none"/>
      </font>
      <numFmt numFmtId="3" formatCode="#,##0"/>
      <fill>
        <patternFill patternType="solid">
          <fgColor indexed="64"/>
          <bgColor theme="0"/>
        </patternFill>
      </fill>
    </dxf>
    <dxf>
      <font>
        <b val="0"/>
        <i val="0"/>
        <strike val="0"/>
        <condense val="0"/>
        <extend val="0"/>
        <outline val="0"/>
        <shadow val="0"/>
        <u val="none"/>
        <vertAlign val="baseline"/>
        <sz val="11"/>
        <color theme="1"/>
        <name val="Open Sans"/>
        <family val="2"/>
        <scheme val="none"/>
      </font>
      <numFmt numFmtId="3" formatCode="#,##0"/>
    </dxf>
    <dxf>
      <font>
        <sz val="10"/>
        <name val="Open Sans"/>
        <family val="2"/>
        <scheme val="none"/>
      </font>
      <numFmt numFmtId="3" formatCode="#,##0"/>
      <fill>
        <patternFill patternType="solid">
          <fgColor indexed="64"/>
          <bgColor theme="0"/>
        </patternFill>
      </fill>
    </dxf>
    <dxf>
      <font>
        <b val="0"/>
        <i val="0"/>
        <strike val="0"/>
        <condense val="0"/>
        <extend val="0"/>
        <outline val="0"/>
        <shadow val="0"/>
        <u val="none"/>
        <vertAlign val="baseline"/>
        <sz val="11"/>
        <color theme="1"/>
        <name val="Open Sans"/>
        <family val="2"/>
        <scheme val="none"/>
      </font>
      <numFmt numFmtId="3" formatCode="#,##0"/>
    </dxf>
    <dxf>
      <font>
        <sz val="10"/>
        <name val="Open Sans"/>
        <family val="2"/>
        <scheme val="none"/>
      </font>
      <numFmt numFmtId="3" formatCode="#,##0"/>
      <fill>
        <patternFill patternType="solid">
          <fgColor indexed="64"/>
          <bgColor theme="0"/>
        </patternFill>
      </fill>
    </dxf>
    <dxf>
      <font>
        <b val="0"/>
        <i val="0"/>
        <strike val="0"/>
        <condense val="0"/>
        <extend val="0"/>
        <outline val="0"/>
        <shadow val="0"/>
        <u val="none"/>
        <vertAlign val="baseline"/>
        <sz val="11"/>
        <color theme="1"/>
        <name val="Open Sans"/>
        <family val="2"/>
        <scheme val="none"/>
      </font>
      <numFmt numFmtId="3" formatCode="#,##0"/>
    </dxf>
    <dxf>
      <font>
        <strike val="0"/>
        <outline val="0"/>
        <shadow val="0"/>
        <u val="none"/>
        <vertAlign val="baseline"/>
        <name val="Open Sans"/>
        <family val="2"/>
        <scheme val="none"/>
      </font>
      <numFmt numFmtId="0" formatCode="General"/>
    </dxf>
    <dxf>
      <font>
        <b val="0"/>
        <i val="0"/>
        <strike val="0"/>
        <condense val="0"/>
        <extend val="0"/>
        <outline val="0"/>
        <shadow val="0"/>
        <u val="none"/>
        <vertAlign val="baseline"/>
        <sz val="11"/>
        <color theme="1"/>
        <name val="Open Sans"/>
        <family val="2"/>
        <scheme val="none"/>
      </font>
    </dxf>
    <dxf>
      <font>
        <b val="0"/>
        <i val="0"/>
        <strike val="0"/>
        <condense val="0"/>
        <extend val="0"/>
        <outline val="0"/>
        <shadow val="0"/>
        <u val="none"/>
        <vertAlign val="baseline"/>
        <sz val="11"/>
        <color theme="1"/>
        <name val="Open Sans"/>
        <family val="2"/>
        <scheme val="none"/>
      </font>
      <numFmt numFmtId="2" formatCode="0.00"/>
    </dxf>
    <dxf>
      <font>
        <b val="0"/>
        <i val="0"/>
        <strike val="0"/>
        <condense val="0"/>
        <extend val="0"/>
        <outline val="0"/>
        <shadow val="0"/>
        <u val="none"/>
        <vertAlign val="baseline"/>
        <sz val="11"/>
        <color theme="1"/>
        <name val="Open Sans"/>
        <family val="2"/>
        <scheme val="none"/>
      </font>
    </dxf>
    <dxf>
      <font>
        <strike val="0"/>
        <outline val="0"/>
        <shadow val="0"/>
        <u val="none"/>
        <vertAlign val="baseline"/>
        <name val="Open Sans"/>
        <family val="2"/>
        <scheme val="none"/>
      </font>
      <numFmt numFmtId="2" formatCode="0.00"/>
    </dxf>
    <dxf>
      <font>
        <b val="0"/>
        <i val="0"/>
        <strike val="0"/>
        <condense val="0"/>
        <extend val="0"/>
        <outline val="0"/>
        <shadow val="0"/>
        <u val="none"/>
        <vertAlign val="baseline"/>
        <sz val="11"/>
        <color theme="1"/>
        <name val="Open Sans"/>
        <family val="2"/>
        <scheme val="none"/>
      </font>
    </dxf>
    <dxf>
      <font>
        <b val="0"/>
        <strike val="0"/>
        <outline val="0"/>
        <shadow val="0"/>
        <u val="none"/>
        <vertAlign val="baseline"/>
        <name val="Open Sans"/>
        <family val="2"/>
        <scheme val="none"/>
      </font>
      <border diagonalUp="0" diagonalDown="0" outline="0">
        <left style="thin">
          <color rgb="FF000000"/>
        </left>
        <right style="thin">
          <color rgb="FF000000"/>
        </right>
        <top/>
        <bottom/>
      </border>
    </dxf>
    <dxf>
      <font>
        <strike val="0"/>
        <outline val="0"/>
        <shadow val="0"/>
        <u val="none"/>
        <vertAlign val="baseline"/>
        <name val="Open Sans"/>
        <family val="2"/>
        <scheme val="none"/>
      </font>
    </dxf>
    <dxf>
      <font>
        <strike val="0"/>
        <outline val="0"/>
        <shadow val="0"/>
        <u val="none"/>
        <vertAlign val="baseline"/>
        <name val="Open Sans"/>
        <family val="2"/>
        <scheme val="none"/>
      </font>
    </dxf>
    <dxf>
      <font>
        <strike val="0"/>
        <outline val="0"/>
        <shadow val="0"/>
        <u val="none"/>
        <vertAlign val="baseline"/>
        <sz val="10"/>
        <name val="Open Sans"/>
        <family val="2"/>
        <scheme val="none"/>
      </font>
      <numFmt numFmtId="176" formatCode="_([$€-2]\ * #,##0_);_([$€-2]\ * \(#,##0\);_([$€-2]\ * &quot;-&quot;??_);_(@_)"/>
      <fill>
        <patternFill patternType="solid">
          <fgColor indexed="64"/>
          <bgColor theme="0"/>
        </patternFill>
      </fill>
    </dxf>
    <dxf>
      <font>
        <b val="0"/>
        <i val="0"/>
        <strike val="0"/>
        <condense val="0"/>
        <extend val="0"/>
        <outline val="0"/>
        <shadow val="0"/>
        <u val="none"/>
        <vertAlign val="baseline"/>
        <sz val="11"/>
        <color theme="1"/>
        <name val="Open Sans"/>
        <family val="2"/>
        <scheme val="none"/>
      </font>
      <numFmt numFmtId="176" formatCode="_([$€-2]\ * #,##0_);_([$€-2]\ * \(#,##0\);_([$€-2]\ * &quot;-&quot;??_);_(@_)"/>
      <border diagonalUp="0" diagonalDown="0" outline="0">
        <left style="thin">
          <color indexed="64"/>
        </left>
        <right style="thin">
          <color indexed="64"/>
        </right>
        <top/>
        <bottom/>
      </border>
    </dxf>
    <dxf>
      <font>
        <b val="0"/>
        <i val="0"/>
        <strike val="0"/>
        <condense val="0"/>
        <extend val="0"/>
        <outline val="0"/>
        <shadow val="0"/>
        <u val="none"/>
        <vertAlign val="baseline"/>
        <sz val="10"/>
        <color theme="1"/>
        <name val="Open Sans"/>
        <family val="2"/>
        <scheme val="none"/>
      </font>
      <numFmt numFmtId="167" formatCode="_([$€-2]\ * #,##0.00_);_([$€-2]\ * \(#,##0.00\);_([$€-2]\ * &quot;-&quot;??_);_(@_)"/>
      <fill>
        <patternFill patternType="solid">
          <fgColor indexed="64"/>
          <bgColor theme="0"/>
        </patternFill>
      </fill>
    </dxf>
    <dxf>
      <font>
        <b val="0"/>
        <i val="0"/>
        <strike val="0"/>
        <condense val="0"/>
        <extend val="0"/>
        <outline val="0"/>
        <shadow val="0"/>
        <u val="none"/>
        <vertAlign val="baseline"/>
        <sz val="11"/>
        <color theme="1"/>
        <name val="Open Sans"/>
        <family val="2"/>
        <scheme val="none"/>
      </font>
      <numFmt numFmtId="176" formatCode="_([$€-2]\ * #,##0_);_([$€-2]\ * \(#,##0\);_([$€-2]\ * &quot;-&quot;??_);_(@_)"/>
    </dxf>
    <dxf>
      <font>
        <strike val="0"/>
        <outline val="0"/>
        <shadow val="0"/>
        <u val="none"/>
        <vertAlign val="baseline"/>
        <sz val="10"/>
        <name val="Open Sans"/>
        <family val="2"/>
        <scheme val="none"/>
      </font>
      <numFmt numFmtId="167" formatCode="_([$€-2]\ * #,##0.00_);_([$€-2]\ * \(#,##0.00\);_([$€-2]\ * &quot;-&quot;??_);_(@_)"/>
      <fill>
        <patternFill patternType="solid">
          <fgColor indexed="64"/>
          <bgColor theme="0"/>
        </patternFill>
      </fill>
    </dxf>
    <dxf>
      <font>
        <b val="0"/>
        <i val="0"/>
        <strike val="0"/>
        <condense val="0"/>
        <extend val="0"/>
        <outline val="0"/>
        <shadow val="0"/>
        <u val="none"/>
        <vertAlign val="baseline"/>
        <sz val="11"/>
        <color theme="1"/>
        <name val="Open Sans"/>
        <family val="2"/>
        <scheme val="none"/>
      </font>
      <numFmt numFmtId="176" formatCode="_([$€-2]\ * #,##0_);_([$€-2]\ * \(#,##0\);_([$€-2]\ * &quot;-&quot;??_);_(@_)"/>
    </dxf>
    <dxf>
      <font>
        <strike val="0"/>
        <outline val="0"/>
        <shadow val="0"/>
        <u val="none"/>
        <vertAlign val="baseline"/>
        <sz val="10"/>
        <name val="Open Sans"/>
        <family val="2"/>
        <scheme val="none"/>
      </font>
      <numFmt numFmtId="167" formatCode="_([$€-2]\ * #,##0.00_);_([$€-2]\ * \(#,##0.00\);_([$€-2]\ * &quot;-&quot;??_);_(@_)"/>
      <fill>
        <patternFill patternType="solid">
          <fgColor indexed="64"/>
          <bgColor theme="0"/>
        </patternFill>
      </fill>
    </dxf>
    <dxf>
      <font>
        <b val="0"/>
        <i val="0"/>
        <strike val="0"/>
        <condense val="0"/>
        <extend val="0"/>
        <outline val="0"/>
        <shadow val="0"/>
        <u val="none"/>
        <vertAlign val="baseline"/>
        <sz val="11"/>
        <color theme="1"/>
        <name val="Open Sans"/>
        <family val="2"/>
        <scheme val="none"/>
      </font>
      <numFmt numFmtId="176" formatCode="_([$€-2]\ * #,##0_);_([$€-2]\ * \(#,##0\);_([$€-2]\ * &quot;-&quot;??_);_(@_)"/>
    </dxf>
    <dxf>
      <font>
        <strike val="0"/>
        <outline val="0"/>
        <shadow val="0"/>
        <u val="none"/>
        <vertAlign val="baseline"/>
        <sz val="10"/>
        <name val="Open Sans"/>
        <family val="2"/>
        <scheme val="none"/>
      </font>
      <numFmt numFmtId="167" formatCode="_([$€-2]\ * #,##0.00_);_([$€-2]\ * \(#,##0.00\);_([$€-2]\ * &quot;-&quot;??_);_(@_)"/>
      <fill>
        <patternFill patternType="solid">
          <fgColor indexed="64"/>
          <bgColor theme="0"/>
        </patternFill>
      </fill>
    </dxf>
    <dxf>
      <font>
        <b val="0"/>
        <i val="0"/>
        <strike val="0"/>
        <condense val="0"/>
        <extend val="0"/>
        <outline val="0"/>
        <shadow val="0"/>
        <u val="none"/>
        <vertAlign val="baseline"/>
        <sz val="11"/>
        <color theme="1"/>
        <name val="Open Sans"/>
        <family val="2"/>
        <scheme val="none"/>
      </font>
      <numFmt numFmtId="176" formatCode="_([$€-2]\ * #,##0_);_([$€-2]\ * \(#,##0\);_([$€-2]\ * &quot;-&quot;??_);_(@_)"/>
    </dxf>
    <dxf>
      <font>
        <strike val="0"/>
        <outline val="0"/>
        <shadow val="0"/>
        <u val="none"/>
        <vertAlign val="baseline"/>
        <sz val="10"/>
        <name val="Open Sans"/>
        <family val="2"/>
        <scheme val="none"/>
      </font>
      <numFmt numFmtId="167" formatCode="_([$€-2]\ * #,##0.00_);_([$€-2]\ * \(#,##0.00\);_([$€-2]\ * &quot;-&quot;??_);_(@_)"/>
      <fill>
        <patternFill patternType="solid">
          <fgColor indexed="64"/>
          <bgColor theme="0"/>
        </patternFill>
      </fill>
    </dxf>
    <dxf>
      <font>
        <b val="0"/>
        <i val="0"/>
        <strike val="0"/>
        <condense val="0"/>
        <extend val="0"/>
        <outline val="0"/>
        <shadow val="0"/>
        <u val="none"/>
        <vertAlign val="baseline"/>
        <sz val="11"/>
        <color theme="1"/>
        <name val="Open Sans"/>
        <family val="2"/>
        <scheme val="none"/>
      </font>
      <numFmt numFmtId="176" formatCode="_([$€-2]\ * #,##0_);_([$€-2]\ * \(#,##0\);_([$€-2]\ * &quot;-&quot;??_);_(@_)"/>
    </dxf>
    <dxf>
      <font>
        <strike val="0"/>
        <outline val="0"/>
        <shadow val="0"/>
        <u val="none"/>
        <vertAlign val="baseline"/>
        <sz val="10"/>
        <name val="Open Sans"/>
        <family val="2"/>
        <scheme val="none"/>
      </font>
      <numFmt numFmtId="167" formatCode="_([$€-2]\ * #,##0.00_);_([$€-2]\ * \(#,##0.00\);_([$€-2]\ * &quot;-&quot;??_);_(@_)"/>
      <fill>
        <patternFill patternType="solid">
          <fgColor indexed="64"/>
          <bgColor theme="0"/>
        </patternFill>
      </fill>
    </dxf>
    <dxf>
      <font>
        <b val="0"/>
        <i val="0"/>
        <strike val="0"/>
        <condense val="0"/>
        <extend val="0"/>
        <outline val="0"/>
        <shadow val="0"/>
        <u val="none"/>
        <vertAlign val="baseline"/>
        <sz val="11"/>
        <color theme="1"/>
        <name val="Open Sans"/>
        <family val="2"/>
        <scheme val="none"/>
      </font>
      <numFmt numFmtId="176" formatCode="_([$€-2]\ * #,##0_);_([$€-2]\ * \(#,##0\);_([$€-2]\ * &quot;-&quot;??_);_(@_)"/>
    </dxf>
    <dxf>
      <font>
        <strike val="0"/>
        <outline val="0"/>
        <shadow val="0"/>
        <u val="none"/>
        <vertAlign val="baseline"/>
        <sz val="10"/>
        <name val="Open Sans"/>
        <family val="2"/>
        <scheme val="none"/>
      </font>
      <numFmt numFmtId="167" formatCode="_([$€-2]\ * #,##0.00_);_([$€-2]\ * \(#,##0.00\);_([$€-2]\ * &quot;-&quot;??_);_(@_)"/>
      <fill>
        <patternFill patternType="solid">
          <fgColor indexed="64"/>
          <bgColor theme="0"/>
        </patternFill>
      </fill>
    </dxf>
    <dxf>
      <font>
        <b val="0"/>
        <i val="0"/>
        <strike val="0"/>
        <condense val="0"/>
        <extend val="0"/>
        <outline val="0"/>
        <shadow val="0"/>
        <u val="none"/>
        <vertAlign val="baseline"/>
        <sz val="11"/>
        <color theme="1"/>
        <name val="Open Sans"/>
        <family val="2"/>
        <scheme val="none"/>
      </font>
      <numFmt numFmtId="176" formatCode="_([$€-2]\ * #,##0_);_([$€-2]\ * \(#,##0\);_([$€-2]\ * &quot;-&quot;??_);_(@_)"/>
    </dxf>
    <dxf>
      <font>
        <strike val="0"/>
        <outline val="0"/>
        <shadow val="0"/>
        <u val="none"/>
        <vertAlign val="baseline"/>
        <sz val="10"/>
        <name val="Open Sans"/>
        <family val="2"/>
        <scheme val="none"/>
      </font>
      <numFmt numFmtId="167" formatCode="_([$€-2]\ * #,##0.00_);_([$€-2]\ * \(#,##0.00\);_([$€-2]\ * &quot;-&quot;??_);_(@_)"/>
      <fill>
        <patternFill patternType="solid">
          <fgColor indexed="64"/>
          <bgColor theme="0"/>
        </patternFill>
      </fill>
    </dxf>
    <dxf>
      <font>
        <b val="0"/>
        <i val="0"/>
        <strike val="0"/>
        <condense val="0"/>
        <extend val="0"/>
        <outline val="0"/>
        <shadow val="0"/>
        <u val="none"/>
        <vertAlign val="baseline"/>
        <sz val="11"/>
        <color theme="1"/>
        <name val="Open Sans"/>
        <family val="2"/>
        <scheme val="none"/>
      </font>
      <numFmt numFmtId="176" formatCode="_([$€-2]\ * #,##0_);_([$€-2]\ * \(#,##0\);_([$€-2]\ * &quot;-&quot;??_);_(@_)"/>
    </dxf>
    <dxf>
      <font>
        <b val="0"/>
        <i val="0"/>
        <strike val="0"/>
        <condense val="0"/>
        <extend val="0"/>
        <outline val="0"/>
        <shadow val="0"/>
        <u val="none"/>
        <vertAlign val="baseline"/>
        <sz val="10"/>
        <color theme="1"/>
        <name val="Open Sans"/>
        <family val="2"/>
        <scheme val="none"/>
      </font>
      <numFmt numFmtId="167" formatCode="_([$€-2]\ * #,##0.00_);_([$€-2]\ * \(#,##0.00\);_([$€-2]\ * &quot;-&quot;??_);_(@_)"/>
      <fill>
        <patternFill patternType="solid">
          <fgColor indexed="64"/>
          <bgColor theme="0"/>
        </patternFill>
      </fill>
    </dxf>
    <dxf>
      <font>
        <b val="0"/>
        <i val="0"/>
        <strike val="0"/>
        <condense val="0"/>
        <extend val="0"/>
        <outline val="0"/>
        <shadow val="0"/>
        <u val="none"/>
        <vertAlign val="baseline"/>
        <sz val="11"/>
        <color theme="1"/>
        <name val="Open Sans"/>
        <family val="2"/>
        <scheme val="none"/>
      </font>
      <numFmt numFmtId="176" formatCode="_([$€-2]\ * #,##0_);_([$€-2]\ * \(#,##0\);_([$€-2]\ * &quot;-&quot;??_);_(@_)"/>
    </dxf>
    <dxf>
      <font>
        <b val="0"/>
        <i val="0"/>
        <strike val="0"/>
        <condense val="0"/>
        <extend val="0"/>
        <outline val="0"/>
        <shadow val="0"/>
        <u val="none"/>
        <vertAlign val="baseline"/>
        <sz val="10"/>
        <color theme="1"/>
        <name val="Open Sans"/>
        <family val="2"/>
        <scheme val="none"/>
      </font>
      <numFmt numFmtId="167" formatCode="_([$€-2]\ * #,##0.00_);_([$€-2]\ * \(#,##0.00\);_([$€-2]\ * &quot;-&quot;??_);_(@_)"/>
      <fill>
        <patternFill patternType="solid">
          <fgColor indexed="64"/>
          <bgColor theme="0"/>
        </patternFill>
      </fill>
    </dxf>
    <dxf>
      <font>
        <b val="0"/>
        <i val="0"/>
        <strike val="0"/>
        <condense val="0"/>
        <extend val="0"/>
        <outline val="0"/>
        <shadow val="0"/>
        <u val="none"/>
        <vertAlign val="baseline"/>
        <sz val="11"/>
        <color theme="1"/>
        <name val="Open Sans"/>
        <family val="2"/>
        <scheme val="none"/>
      </font>
      <numFmt numFmtId="176" formatCode="_([$€-2]\ * #,##0_);_([$€-2]\ * \(#,##0\);_([$€-2]\ * &quot;-&quot;??_);_(@_)"/>
    </dxf>
    <dxf>
      <font>
        <strike val="0"/>
        <outline val="0"/>
        <shadow val="0"/>
        <u val="none"/>
        <vertAlign val="baseline"/>
        <sz val="10"/>
        <name val="Open Sans"/>
        <family val="2"/>
        <scheme val="none"/>
      </font>
      <numFmt numFmtId="167" formatCode="_([$€-2]\ * #,##0.00_);_([$€-2]\ * \(#,##0.00\);_([$€-2]\ * &quot;-&quot;??_);_(@_)"/>
      <fill>
        <patternFill patternType="solid">
          <fgColor indexed="64"/>
          <bgColor theme="0"/>
        </patternFill>
      </fill>
    </dxf>
    <dxf>
      <font>
        <b val="0"/>
        <i val="0"/>
        <strike val="0"/>
        <condense val="0"/>
        <extend val="0"/>
        <outline val="0"/>
        <shadow val="0"/>
        <u val="none"/>
        <vertAlign val="baseline"/>
        <sz val="11"/>
        <color theme="1"/>
        <name val="Open Sans"/>
        <family val="2"/>
        <scheme val="none"/>
      </font>
      <numFmt numFmtId="176" formatCode="_([$€-2]\ * #,##0_);_([$€-2]\ * \(#,##0\);_([$€-2]\ * &quot;-&quot;??_);_(@_)"/>
    </dxf>
    <dxf>
      <font>
        <strike val="0"/>
        <outline val="0"/>
        <shadow val="0"/>
        <u val="none"/>
        <vertAlign val="baseline"/>
        <sz val="10"/>
        <name val="Open Sans"/>
        <family val="2"/>
        <scheme val="none"/>
      </font>
      <numFmt numFmtId="167" formatCode="_([$€-2]\ * #,##0.00_);_([$€-2]\ * \(#,##0.00\);_([$€-2]\ * &quot;-&quot;??_);_(@_)"/>
      <fill>
        <patternFill patternType="solid">
          <fgColor indexed="64"/>
          <bgColor theme="0"/>
        </patternFill>
      </fill>
    </dxf>
    <dxf>
      <font>
        <b val="0"/>
        <i val="0"/>
        <strike val="0"/>
        <condense val="0"/>
        <extend val="0"/>
        <outline val="0"/>
        <shadow val="0"/>
        <u val="none"/>
        <vertAlign val="baseline"/>
        <sz val="11"/>
        <color theme="1"/>
        <name val="Open Sans"/>
        <family val="2"/>
        <scheme val="none"/>
      </font>
      <numFmt numFmtId="176" formatCode="_([$€-2]\ * #,##0_);_([$€-2]\ * \(#,##0\);_([$€-2]\ * &quot;-&quot;??_);_(@_)"/>
    </dxf>
    <dxf>
      <font>
        <b val="0"/>
        <i val="0"/>
        <strike val="0"/>
        <condense val="0"/>
        <extend val="0"/>
        <outline val="0"/>
        <shadow val="0"/>
        <u val="none"/>
        <vertAlign val="baseline"/>
        <sz val="10"/>
        <color theme="1"/>
        <name val="Open Sans"/>
        <family val="2"/>
        <scheme val="none"/>
      </font>
      <numFmt numFmtId="167" formatCode="_([$€-2]\ * #,##0.00_);_([$€-2]\ * \(#,##0.00\);_([$€-2]\ * &quot;-&quot;??_);_(@_)"/>
      <fill>
        <patternFill patternType="solid">
          <fgColor indexed="64"/>
          <bgColor theme="0"/>
        </patternFill>
      </fill>
    </dxf>
    <dxf>
      <font>
        <b val="0"/>
        <i val="0"/>
        <strike val="0"/>
        <condense val="0"/>
        <extend val="0"/>
        <outline val="0"/>
        <shadow val="0"/>
        <u val="none"/>
        <vertAlign val="baseline"/>
        <sz val="11"/>
        <color theme="1"/>
        <name val="Open Sans"/>
        <family val="2"/>
        <scheme val="none"/>
      </font>
      <numFmt numFmtId="176" formatCode="_([$€-2]\ * #,##0_);_([$€-2]\ * \(#,##0\);_([$€-2]\ * &quot;-&quot;??_);_(@_)"/>
    </dxf>
    <dxf>
      <font>
        <sz val="10"/>
        <name val="Open Sans"/>
        <family val="2"/>
        <scheme val="none"/>
      </font>
      <numFmt numFmtId="167" formatCode="_([$€-2]\ * #,##0.00_);_([$€-2]\ * \(#,##0.00\);_([$€-2]\ * &quot;-&quot;??_);_(@_)"/>
      <fill>
        <patternFill patternType="solid">
          <fgColor indexed="64"/>
          <bgColor theme="0"/>
        </patternFill>
      </fill>
    </dxf>
    <dxf>
      <font>
        <b val="0"/>
        <i val="0"/>
        <strike val="0"/>
        <condense val="0"/>
        <extend val="0"/>
        <outline val="0"/>
        <shadow val="0"/>
        <u val="none"/>
        <vertAlign val="baseline"/>
        <sz val="11"/>
        <color theme="1"/>
        <name val="Open Sans"/>
        <family val="2"/>
        <scheme val="none"/>
      </font>
      <numFmt numFmtId="176" formatCode="_([$€-2]\ * #,##0_);_([$€-2]\ * \(#,##0\);_([$€-2]\ * &quot;-&quot;??_);_(@_)"/>
    </dxf>
    <dxf>
      <font>
        <sz val="10"/>
        <name val="Open Sans"/>
        <family val="2"/>
        <scheme val="none"/>
      </font>
      <numFmt numFmtId="167" formatCode="_([$€-2]\ * #,##0.00_);_([$€-2]\ * \(#,##0.00\);_([$€-2]\ * &quot;-&quot;??_);_(@_)"/>
      <fill>
        <patternFill patternType="solid">
          <fgColor indexed="64"/>
          <bgColor theme="0"/>
        </patternFill>
      </fill>
    </dxf>
    <dxf>
      <font>
        <b val="0"/>
        <i val="0"/>
        <strike val="0"/>
        <condense val="0"/>
        <extend val="0"/>
        <outline val="0"/>
        <shadow val="0"/>
        <u val="none"/>
        <vertAlign val="baseline"/>
        <sz val="11"/>
        <color theme="1"/>
        <name val="Open Sans"/>
        <family val="2"/>
        <scheme val="none"/>
      </font>
      <numFmt numFmtId="176" formatCode="_([$€-2]\ * #,##0_);_([$€-2]\ * \(#,##0\);_([$€-2]\ * &quot;-&quot;??_);_(@_)"/>
    </dxf>
    <dxf>
      <font>
        <sz val="10"/>
        <name val="Open Sans"/>
        <family val="2"/>
        <scheme val="none"/>
      </font>
      <numFmt numFmtId="167" formatCode="_([$€-2]\ * #,##0.00_);_([$€-2]\ * \(#,##0.00\);_([$€-2]\ * &quot;-&quot;??_);_(@_)"/>
      <fill>
        <patternFill patternType="solid">
          <fgColor indexed="64"/>
          <bgColor theme="0"/>
        </patternFill>
      </fill>
    </dxf>
    <dxf>
      <font>
        <b val="0"/>
        <i val="0"/>
        <strike val="0"/>
        <condense val="0"/>
        <extend val="0"/>
        <outline val="0"/>
        <shadow val="0"/>
        <u val="none"/>
        <vertAlign val="baseline"/>
        <sz val="11"/>
        <color theme="1"/>
        <name val="Open Sans"/>
        <family val="2"/>
        <scheme val="none"/>
      </font>
      <numFmt numFmtId="176" formatCode="_([$€-2]\ * #,##0_);_([$€-2]\ * \(#,##0\);_([$€-2]\ * &quot;-&quot;??_);_(@_)"/>
    </dxf>
    <dxf>
      <font>
        <strike val="0"/>
        <outline val="0"/>
        <shadow val="0"/>
        <u val="none"/>
        <vertAlign val="baseline"/>
        <name val="Open Sans"/>
        <family val="2"/>
        <scheme val="none"/>
      </font>
      <numFmt numFmtId="0" formatCode="General"/>
    </dxf>
    <dxf>
      <font>
        <b val="0"/>
        <i val="0"/>
        <strike val="0"/>
        <condense val="0"/>
        <extend val="0"/>
        <outline val="0"/>
        <shadow val="0"/>
        <u val="none"/>
        <vertAlign val="baseline"/>
        <sz val="11"/>
        <color theme="1"/>
        <name val="Open Sans"/>
        <family val="2"/>
        <scheme val="none"/>
      </font>
    </dxf>
    <dxf>
      <font>
        <b val="0"/>
        <i val="0"/>
        <strike val="0"/>
        <condense val="0"/>
        <extend val="0"/>
        <outline val="0"/>
        <shadow val="0"/>
        <u val="none"/>
        <vertAlign val="baseline"/>
        <sz val="11"/>
        <color theme="1"/>
        <name val="Open Sans"/>
        <family val="2"/>
        <scheme val="none"/>
      </font>
      <numFmt numFmtId="2" formatCode="0.00"/>
    </dxf>
    <dxf>
      <font>
        <b val="0"/>
        <i val="0"/>
        <strike val="0"/>
        <condense val="0"/>
        <extend val="0"/>
        <outline val="0"/>
        <shadow val="0"/>
        <u val="none"/>
        <vertAlign val="baseline"/>
        <sz val="11"/>
        <color theme="1"/>
        <name val="Open Sans"/>
        <family val="2"/>
        <scheme val="none"/>
      </font>
    </dxf>
    <dxf>
      <font>
        <strike val="0"/>
        <outline val="0"/>
        <shadow val="0"/>
        <u val="none"/>
        <vertAlign val="baseline"/>
        <name val="Open Sans"/>
        <family val="2"/>
        <scheme val="none"/>
      </font>
      <numFmt numFmtId="2" formatCode="0.00"/>
    </dxf>
    <dxf>
      <font>
        <b val="0"/>
        <i val="0"/>
        <strike val="0"/>
        <condense val="0"/>
        <extend val="0"/>
        <outline val="0"/>
        <shadow val="0"/>
        <u val="none"/>
        <vertAlign val="baseline"/>
        <sz val="11"/>
        <color theme="1"/>
        <name val="Open Sans"/>
        <family val="2"/>
        <scheme val="none"/>
      </font>
    </dxf>
    <dxf>
      <font>
        <b val="0"/>
        <strike val="0"/>
        <outline val="0"/>
        <shadow val="0"/>
        <u val="none"/>
        <vertAlign val="baseline"/>
        <name val="Open Sans"/>
        <family val="2"/>
        <scheme val="none"/>
      </font>
      <border diagonalUp="0" diagonalDown="0" outline="0">
        <left style="thin">
          <color rgb="FF000000"/>
        </left>
        <right style="thin">
          <color rgb="FF000000"/>
        </right>
        <top/>
        <bottom/>
      </border>
    </dxf>
    <dxf>
      <font>
        <strike val="0"/>
        <outline val="0"/>
        <shadow val="0"/>
        <u val="none"/>
        <vertAlign val="baseline"/>
        <name val="Open Sans"/>
        <family val="2"/>
        <scheme val="none"/>
      </font>
    </dxf>
    <dxf>
      <font>
        <strike val="0"/>
        <outline val="0"/>
        <shadow val="0"/>
        <u val="none"/>
        <vertAlign val="baseline"/>
        <name val="Open Sans"/>
        <family val="2"/>
        <scheme val="none"/>
      </font>
    </dxf>
    <dxf>
      <font>
        <b val="0"/>
        <i val="0"/>
        <strike val="0"/>
        <condense val="0"/>
        <extend val="0"/>
        <outline val="0"/>
        <shadow val="0"/>
        <u val="none"/>
        <vertAlign val="baseline"/>
        <sz val="11"/>
        <color theme="1"/>
        <name val="Open Sans"/>
        <family val="2"/>
        <scheme val="none"/>
      </font>
      <numFmt numFmtId="2" formatCode="0.00"/>
    </dxf>
    <dxf>
      <font>
        <b val="0"/>
        <i val="0"/>
        <strike val="0"/>
        <condense val="0"/>
        <extend val="0"/>
        <outline val="0"/>
        <shadow val="0"/>
        <u val="none"/>
        <vertAlign val="baseline"/>
        <sz val="11"/>
        <color theme="1"/>
        <name val="Open Sans"/>
        <family val="2"/>
        <scheme val="none"/>
      </font>
      <numFmt numFmtId="168" formatCode="0.0"/>
    </dxf>
    <dxf>
      <font>
        <b val="0"/>
        <i val="0"/>
        <strike val="0"/>
        <condense val="0"/>
        <extend val="0"/>
        <outline val="0"/>
        <shadow val="0"/>
        <u val="none"/>
        <vertAlign val="baseline"/>
        <sz val="11"/>
        <color theme="1"/>
        <name val="Open Sans"/>
        <family val="2"/>
        <scheme val="none"/>
      </font>
      <numFmt numFmtId="168" formatCode="0.0"/>
    </dxf>
    <dxf>
      <font>
        <b val="0"/>
        <i val="0"/>
        <strike val="0"/>
        <condense val="0"/>
        <extend val="0"/>
        <outline val="0"/>
        <shadow val="0"/>
        <u val="none"/>
        <vertAlign val="baseline"/>
        <sz val="11"/>
        <color theme="1"/>
        <name val="Open Sans"/>
        <family val="2"/>
        <scheme val="none"/>
      </font>
      <numFmt numFmtId="168" formatCode="0.0"/>
    </dxf>
    <dxf>
      <font>
        <b val="0"/>
        <i val="0"/>
        <strike val="0"/>
        <condense val="0"/>
        <extend val="0"/>
        <outline val="0"/>
        <shadow val="0"/>
        <u val="none"/>
        <vertAlign val="baseline"/>
        <sz val="11"/>
        <color theme="1"/>
        <name val="Open Sans"/>
        <family val="2"/>
        <scheme val="none"/>
      </font>
      <numFmt numFmtId="168" formatCode="0.0"/>
    </dxf>
    <dxf>
      <font>
        <b val="0"/>
        <i val="0"/>
        <strike val="0"/>
        <condense val="0"/>
        <extend val="0"/>
        <outline val="0"/>
        <shadow val="0"/>
        <u val="none"/>
        <vertAlign val="baseline"/>
        <sz val="11"/>
        <color theme="1"/>
        <name val="Open Sans"/>
        <family val="2"/>
        <scheme val="none"/>
      </font>
      <numFmt numFmtId="168" formatCode="0.0"/>
    </dxf>
    <dxf>
      <font>
        <b val="0"/>
        <i val="0"/>
        <strike val="0"/>
        <condense val="0"/>
        <extend val="0"/>
        <outline val="0"/>
        <shadow val="0"/>
        <u val="none"/>
        <vertAlign val="baseline"/>
        <sz val="11"/>
        <color theme="1"/>
        <name val="Open Sans"/>
        <family val="2"/>
        <scheme val="none"/>
      </font>
      <numFmt numFmtId="168" formatCode="0.0"/>
    </dxf>
    <dxf>
      <font>
        <b val="0"/>
        <i val="0"/>
        <strike val="0"/>
        <condense val="0"/>
        <extend val="0"/>
        <outline val="0"/>
        <shadow val="0"/>
        <u val="none"/>
        <vertAlign val="baseline"/>
        <sz val="11"/>
        <color theme="1"/>
        <name val="Open Sans"/>
        <family val="2"/>
        <scheme val="none"/>
      </font>
      <numFmt numFmtId="168" formatCode="0.0"/>
    </dxf>
    <dxf>
      <font>
        <b val="0"/>
        <i val="0"/>
        <strike val="0"/>
        <condense val="0"/>
        <extend val="0"/>
        <outline val="0"/>
        <shadow val="0"/>
        <u val="none"/>
        <vertAlign val="baseline"/>
        <sz val="11"/>
        <color theme="1"/>
        <name val="Open Sans"/>
        <family val="2"/>
        <scheme val="none"/>
      </font>
      <numFmt numFmtId="168" formatCode="0.0"/>
    </dxf>
    <dxf>
      <font>
        <b val="0"/>
        <i val="0"/>
        <strike val="0"/>
        <condense val="0"/>
        <extend val="0"/>
        <outline val="0"/>
        <shadow val="0"/>
        <u val="none"/>
        <vertAlign val="baseline"/>
        <sz val="11"/>
        <color theme="1"/>
        <name val="Open Sans"/>
        <family val="2"/>
        <scheme val="none"/>
      </font>
      <numFmt numFmtId="168" formatCode="0.0"/>
    </dxf>
    <dxf>
      <font>
        <b val="0"/>
        <i val="0"/>
        <strike val="0"/>
        <condense val="0"/>
        <extend val="0"/>
        <outline val="0"/>
        <shadow val="0"/>
        <u val="none"/>
        <vertAlign val="baseline"/>
        <sz val="11"/>
        <color theme="1"/>
        <name val="Open Sans"/>
        <family val="2"/>
        <scheme val="none"/>
      </font>
      <numFmt numFmtId="168" formatCode="0.0"/>
    </dxf>
    <dxf>
      <font>
        <b val="0"/>
        <i val="0"/>
        <strike val="0"/>
        <condense val="0"/>
        <extend val="0"/>
        <outline val="0"/>
        <shadow val="0"/>
        <u val="none"/>
        <vertAlign val="baseline"/>
        <sz val="11"/>
        <color theme="1"/>
        <name val="Open Sans"/>
        <family val="2"/>
        <scheme val="none"/>
      </font>
      <numFmt numFmtId="168" formatCode="0.0"/>
    </dxf>
    <dxf>
      <font>
        <b val="0"/>
        <i val="0"/>
        <strike val="0"/>
        <condense val="0"/>
        <extend val="0"/>
        <outline val="0"/>
        <shadow val="0"/>
        <u val="none"/>
        <vertAlign val="baseline"/>
        <sz val="11"/>
        <color theme="1"/>
        <name val="Open Sans"/>
        <family val="2"/>
        <scheme val="none"/>
      </font>
      <numFmt numFmtId="168" formatCode="0.0"/>
    </dxf>
    <dxf>
      <font>
        <b val="0"/>
        <i val="0"/>
        <strike val="0"/>
        <condense val="0"/>
        <extend val="0"/>
        <outline val="0"/>
        <shadow val="0"/>
        <u val="none"/>
        <vertAlign val="baseline"/>
        <sz val="11"/>
        <color theme="1"/>
        <name val="Open Sans"/>
        <family val="2"/>
        <scheme val="none"/>
      </font>
      <numFmt numFmtId="168" formatCode="0.0"/>
    </dxf>
    <dxf>
      <font>
        <b val="0"/>
        <i val="0"/>
        <strike val="0"/>
        <condense val="0"/>
        <extend val="0"/>
        <outline val="0"/>
        <shadow val="0"/>
        <u val="none"/>
        <vertAlign val="baseline"/>
        <sz val="11"/>
        <color theme="1"/>
        <name val="Open Sans"/>
        <family val="2"/>
        <scheme val="none"/>
      </font>
      <numFmt numFmtId="168" formatCode="0.0"/>
    </dxf>
    <dxf>
      <font>
        <b val="0"/>
        <i val="0"/>
        <strike val="0"/>
        <condense val="0"/>
        <extend val="0"/>
        <outline val="0"/>
        <shadow val="0"/>
        <u val="none"/>
        <vertAlign val="baseline"/>
        <sz val="11"/>
        <color theme="1"/>
        <name val="Open Sans"/>
        <family val="2"/>
        <scheme val="none"/>
      </font>
      <numFmt numFmtId="168" formatCode="0.0"/>
    </dxf>
    <dxf>
      <font>
        <b val="0"/>
        <i val="0"/>
        <strike val="0"/>
        <condense val="0"/>
        <extend val="0"/>
        <outline val="0"/>
        <shadow val="0"/>
        <u val="none"/>
        <vertAlign val="baseline"/>
        <sz val="11"/>
        <color theme="1"/>
        <name val="Open Sans"/>
        <family val="2"/>
        <scheme val="none"/>
      </font>
      <numFmt numFmtId="168" formatCode="0.0"/>
    </dxf>
    <dxf>
      <font>
        <b val="0"/>
        <i val="0"/>
        <strike val="0"/>
        <condense val="0"/>
        <extend val="0"/>
        <outline val="0"/>
        <shadow val="0"/>
        <u val="none"/>
        <vertAlign val="baseline"/>
        <sz val="11"/>
        <color theme="1"/>
        <name val="Open Sans"/>
        <family val="2"/>
        <scheme val="none"/>
      </font>
      <numFmt numFmtId="168" formatCode="0.0"/>
    </dxf>
    <dxf>
      <font>
        <b val="0"/>
        <i val="0"/>
        <strike val="0"/>
        <condense val="0"/>
        <extend val="0"/>
        <outline val="0"/>
        <shadow val="0"/>
        <u val="none"/>
        <vertAlign val="baseline"/>
        <sz val="11"/>
        <color theme="1"/>
        <name val="Open Sans"/>
        <family val="2"/>
        <scheme val="none"/>
      </font>
      <numFmt numFmtId="2" formatCode="0.00"/>
    </dxf>
    <dxf>
      <font>
        <b val="0"/>
        <i val="0"/>
        <strike val="0"/>
        <condense val="0"/>
        <extend val="0"/>
        <outline val="0"/>
        <shadow val="0"/>
        <u val="none"/>
        <vertAlign val="baseline"/>
        <sz val="11"/>
        <color theme="1"/>
        <name val="Open Sans"/>
        <family val="2"/>
        <scheme val="none"/>
      </font>
      <numFmt numFmtId="2" formatCode="0.00"/>
    </dxf>
    <dxf>
      <font>
        <b val="0"/>
        <i val="0"/>
        <strike val="0"/>
        <condense val="0"/>
        <extend val="0"/>
        <outline val="0"/>
        <shadow val="0"/>
        <u val="none"/>
        <vertAlign val="baseline"/>
        <sz val="11"/>
        <color theme="1"/>
        <name val="Open Sans"/>
        <family val="2"/>
        <scheme val="none"/>
      </font>
      <numFmt numFmtId="2" formatCode="0.00"/>
    </dxf>
    <dxf>
      <font>
        <b val="0"/>
        <i val="0"/>
        <strike val="0"/>
        <condense val="0"/>
        <extend val="0"/>
        <outline val="0"/>
        <shadow val="0"/>
        <u val="none"/>
        <vertAlign val="baseline"/>
        <sz val="11"/>
        <color theme="1"/>
        <name val="Open Sans"/>
        <family val="2"/>
        <scheme val="none"/>
      </font>
      <numFmt numFmtId="2" formatCode="0.00"/>
    </dxf>
    <dxf>
      <font>
        <b val="0"/>
        <i val="0"/>
        <strike val="0"/>
        <condense val="0"/>
        <extend val="0"/>
        <outline val="0"/>
        <shadow val="0"/>
        <u val="none"/>
        <vertAlign val="baseline"/>
        <sz val="11"/>
        <color theme="1"/>
        <name val="Open Sans"/>
        <family val="2"/>
        <scheme val="none"/>
      </font>
      <numFmt numFmtId="2" formatCode="0.00"/>
    </dxf>
    <dxf>
      <font>
        <b val="0"/>
        <i val="0"/>
        <strike val="0"/>
        <condense val="0"/>
        <extend val="0"/>
        <outline val="0"/>
        <shadow val="0"/>
        <u val="none"/>
        <vertAlign val="baseline"/>
        <sz val="11"/>
        <color theme="1"/>
        <name val="Open Sans"/>
        <family val="2"/>
        <scheme val="none"/>
      </font>
      <numFmt numFmtId="30" formatCode="@"/>
    </dxf>
    <dxf>
      <font>
        <b val="0"/>
        <i val="0"/>
        <strike val="0"/>
        <condense val="0"/>
        <extend val="0"/>
        <outline val="0"/>
        <shadow val="0"/>
        <u val="none"/>
        <vertAlign val="baseline"/>
        <sz val="11"/>
        <color theme="1"/>
        <name val="Open Sans"/>
        <family val="2"/>
        <scheme val="none"/>
      </font>
      <numFmt numFmtId="30" formatCode="@"/>
    </dxf>
    <dxf>
      <font>
        <b val="0"/>
        <i val="0"/>
        <strike val="0"/>
        <condense val="0"/>
        <extend val="0"/>
        <outline val="0"/>
        <shadow val="0"/>
        <u val="none"/>
        <vertAlign val="baseline"/>
        <sz val="11"/>
        <color theme="1"/>
        <name val="Open Sans"/>
        <family val="2"/>
        <scheme val="none"/>
      </font>
      <numFmt numFmtId="0" formatCode="General"/>
    </dxf>
    <dxf>
      <font>
        <b val="0"/>
        <i val="0"/>
        <strike val="0"/>
        <condense val="0"/>
        <extend val="0"/>
        <outline val="0"/>
        <shadow val="0"/>
        <u val="none"/>
        <vertAlign val="baseline"/>
        <sz val="11"/>
        <color theme="1"/>
        <name val="Open Sans"/>
        <family val="2"/>
        <scheme val="none"/>
      </font>
      <numFmt numFmtId="168" formatCode="0.0"/>
    </dxf>
    <dxf>
      <font>
        <b val="0"/>
        <i val="0"/>
        <strike val="0"/>
        <condense val="0"/>
        <extend val="0"/>
        <outline val="0"/>
        <shadow val="0"/>
        <u val="none"/>
        <vertAlign val="baseline"/>
        <sz val="11"/>
        <color theme="1"/>
        <name val="Open Sans"/>
        <family val="2"/>
        <scheme val="none"/>
      </font>
      <numFmt numFmtId="0" formatCode="General"/>
    </dxf>
    <dxf>
      <font>
        <b val="0"/>
        <i val="0"/>
        <strike val="0"/>
        <condense val="0"/>
        <extend val="0"/>
        <outline val="0"/>
        <shadow val="0"/>
        <u val="none"/>
        <vertAlign val="baseline"/>
        <sz val="11"/>
        <color theme="1"/>
        <name val="Open Sans"/>
        <family val="2"/>
        <scheme val="none"/>
      </font>
      <numFmt numFmtId="1" formatCode="0"/>
    </dxf>
    <dxf>
      <font>
        <b val="0"/>
        <strike val="0"/>
        <outline val="0"/>
        <shadow val="0"/>
        <u val="none"/>
        <vertAlign val="baseline"/>
        <name val="Open Sans"/>
        <family val="2"/>
        <scheme val="none"/>
      </font>
    </dxf>
    <dxf>
      <font>
        <b val="0"/>
        <i val="0"/>
        <strike val="0"/>
        <condense val="0"/>
        <extend val="0"/>
        <outline val="0"/>
        <shadow val="0"/>
        <u val="none"/>
        <vertAlign val="baseline"/>
        <sz val="11"/>
        <color theme="1"/>
        <name val="Open Sans"/>
        <family val="2"/>
        <scheme val="none"/>
      </font>
    </dxf>
    <dxf>
      <font>
        <b val="0"/>
        <i val="0"/>
        <strike val="0"/>
        <condense val="0"/>
        <extend val="0"/>
        <outline val="0"/>
        <shadow val="0"/>
        <u val="none"/>
        <vertAlign val="baseline"/>
        <sz val="11"/>
        <color theme="1"/>
        <name val="Open Sans"/>
        <family val="2"/>
        <scheme val="none"/>
      </font>
      <numFmt numFmtId="2" formatCode="0.00"/>
    </dxf>
    <dxf>
      <font>
        <b val="0"/>
        <i val="0"/>
        <strike val="0"/>
        <condense val="0"/>
        <extend val="0"/>
        <outline val="0"/>
        <shadow val="0"/>
        <u val="none"/>
        <vertAlign val="baseline"/>
        <sz val="11"/>
        <color theme="1"/>
        <name val="Open Sans"/>
        <family val="2"/>
        <scheme val="none"/>
      </font>
      <numFmt numFmtId="2" formatCode="0.00"/>
    </dxf>
    <dxf>
      <font>
        <b val="0"/>
        <i val="0"/>
        <strike val="0"/>
        <condense val="0"/>
        <extend val="0"/>
        <outline val="0"/>
        <shadow val="0"/>
        <u val="none"/>
        <vertAlign val="baseline"/>
        <sz val="11"/>
        <color theme="1"/>
        <name val="Open Sans"/>
        <family val="2"/>
        <scheme val="none"/>
      </font>
      <numFmt numFmtId="2" formatCode="0.00"/>
    </dxf>
    <dxf>
      <font>
        <b val="0"/>
        <i val="0"/>
        <strike val="0"/>
        <condense val="0"/>
        <extend val="0"/>
        <outline val="0"/>
        <shadow val="0"/>
        <u val="none"/>
        <vertAlign val="baseline"/>
        <sz val="11"/>
        <color theme="1"/>
        <name val="Open Sans"/>
        <family val="2"/>
        <scheme val="none"/>
      </font>
      <numFmt numFmtId="2" formatCode="0.00"/>
    </dxf>
    <dxf>
      <font>
        <b val="0"/>
        <i val="0"/>
        <strike val="0"/>
        <condense val="0"/>
        <extend val="0"/>
        <outline val="0"/>
        <shadow val="0"/>
        <u val="none"/>
        <vertAlign val="baseline"/>
        <sz val="11"/>
        <color rgb="FF000000"/>
        <name val="Open Sans"/>
        <family val="2"/>
        <scheme val="none"/>
      </font>
    </dxf>
    <dxf>
      <font>
        <b/>
        <i val="0"/>
        <strike val="0"/>
        <condense val="0"/>
        <extend val="0"/>
        <outline val="0"/>
        <shadow val="0"/>
        <u val="none"/>
        <vertAlign val="baseline"/>
        <sz val="10"/>
        <color theme="0"/>
        <name val="Open Sans"/>
        <family val="2"/>
        <scheme val="none"/>
      </font>
      <fill>
        <patternFill patternType="solid">
          <fgColor indexed="64"/>
          <bgColor theme="1"/>
        </patternFill>
      </fill>
      <alignment horizontal="general" vertical="bottom" textRotation="45" wrapText="1" indent="0" justifyLastLine="0" shrinkToFit="0" readingOrder="0"/>
      <border diagonalUp="0" diagonalDown="0" outline="0">
        <left style="thin">
          <color theme="1"/>
        </left>
        <right style="thin">
          <color theme="1"/>
        </right>
        <top/>
        <bottom/>
      </border>
    </dxf>
    <dxf>
      <fill>
        <patternFill>
          <bgColor rgb="FFFF0000"/>
        </patternFill>
      </fill>
    </dxf>
    <dxf>
      <fill>
        <patternFill>
          <bgColor rgb="FFFF0000"/>
        </patternFill>
      </fill>
    </dxf>
    <dxf>
      <fill>
        <patternFill>
          <bgColor rgb="FFFF0000"/>
        </patternFill>
      </fill>
    </dxf>
    <dxf>
      <numFmt numFmtId="168" formatCode="0.0"/>
    </dxf>
    <dxf>
      <numFmt numFmtId="168" formatCode="0.0"/>
    </dxf>
    <dxf>
      <numFmt numFmtId="179" formatCode="_(* #,##0.0_);_(* \(#,##0.0\);_(* &quot;-&quot;??_);_(@_)"/>
    </dxf>
  </dxfs>
  <tableStyles count="0" defaultTableStyle="TableStyleMedium2" defaultPivotStyle="PivotStyleLight16"/>
  <colors>
    <mruColors>
      <color rgb="FF03BF8C"/>
      <color rgb="FF034173"/>
      <color rgb="FFFC8784"/>
      <color rgb="FFFF5050"/>
      <color rgb="FFFF9F9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pivotCacheDefinition" Target="pivotCache/pivotCacheDefinition3.xml"/><Relationship Id="rId26" Type="http://schemas.openxmlformats.org/officeDocument/2006/relationships/sharedStrings" Target="sharedStrings.xml"/><Relationship Id="rId3" Type="http://schemas.openxmlformats.org/officeDocument/2006/relationships/worksheet" Target="worksheets/sheet3.xml"/><Relationship Id="rId21" Type="http://schemas.microsoft.com/office/2007/relationships/slicerCache" Target="slicerCaches/slicerCache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pivotCacheDefinition" Target="pivotCache/pivotCacheDefinition2.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pivotCacheDefinition" Target="pivotCache/pivotCacheDefinition1.xml"/><Relationship Id="rId20" Type="http://schemas.microsoft.com/office/2007/relationships/slicerCache" Target="slicerCaches/slicerCache2.xml"/><Relationship Id="rId29"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onnections" Target="connections.xml"/><Relationship Id="rId32"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28" Type="http://schemas.openxmlformats.org/officeDocument/2006/relationships/calcChain" Target="calcChain.xml"/><Relationship Id="rId10" Type="http://schemas.openxmlformats.org/officeDocument/2006/relationships/worksheet" Target="worksheets/sheet10.xml"/><Relationship Id="rId19" Type="http://schemas.microsoft.com/office/2007/relationships/slicerCache" Target="slicerCaches/slicerCache1.xml"/><Relationship Id="rId31"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microsoft.com/office/2007/relationships/slicerCache" Target="slicerCaches/slicerCache4.xml"/><Relationship Id="rId27" Type="http://schemas.openxmlformats.org/officeDocument/2006/relationships/sheetMetadata" Target="metadata.xml"/><Relationship Id="rId30" Type="http://schemas.openxmlformats.org/officeDocument/2006/relationships/customXml" Target="../customXml/item2.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activeX1.xml><?xml version="1.0" encoding="utf-8"?>
<ax:ocx xmlns:ax="http://schemas.microsoft.com/office/2006/activeX" xmlns:r="http://schemas.openxmlformats.org/officeDocument/2006/relationships" ax:classid="{5512D11A-5CC6-11CF-8D67-00AA00BDCE1D}" ax:persistence="persistStream" r:id="rId1"/>
</file>

<file path=xl/activeX/activeX2.xml><?xml version="1.0" encoding="utf-8"?>
<ax:ocx xmlns:ax="http://schemas.microsoft.com/office/2006/activeX" xmlns:r="http://schemas.openxmlformats.org/officeDocument/2006/relationships" ax:classid="{5512D11A-5CC6-11CF-8D67-00AA00BDCE1D}" ax:persistence="persistStream" r:id="rId1"/>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pivotSource>
    <c:name>[Rekenmodule - Noordewierweg - v1.0.xlsx]Ontwerp_Backlog!Draaitabel1</c:name>
    <c:fmtId val="4"/>
  </c:pivotSource>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nl-NL" b="1"/>
              <a:t>MKI waarde per levensfase per gebruiksjaar</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7"/>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8"/>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9"/>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3"/>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4"/>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5"/>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6"/>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7"/>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8"/>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9"/>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0"/>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1"/>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2"/>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3"/>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4"/>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5"/>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6"/>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7"/>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8"/>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9"/>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30"/>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31"/>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32"/>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33"/>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34"/>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35"/>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36"/>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37"/>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38"/>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39"/>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40"/>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41"/>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42"/>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43"/>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44"/>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45"/>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46"/>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47"/>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48"/>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49"/>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50"/>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51"/>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52"/>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53"/>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54"/>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55"/>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56"/>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57"/>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58"/>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59"/>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60"/>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61"/>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62"/>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63"/>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64"/>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65"/>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66"/>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67"/>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68"/>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69"/>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70"/>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71"/>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72"/>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73"/>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74"/>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75"/>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76"/>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77"/>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78"/>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79"/>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8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8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8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83"/>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84"/>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85"/>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86"/>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87"/>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88"/>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89"/>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9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9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9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93"/>
        <c:spPr>
          <a:solidFill>
            <a:srgbClr val="002060"/>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94"/>
        <c:spPr>
          <a:solidFill>
            <a:srgbClr val="0070C0"/>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95"/>
        <c:spPr>
          <a:solidFill>
            <a:srgbClr val="00B0F0"/>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96"/>
        <c:spPr>
          <a:solidFill>
            <a:schemeClr val="accent2"/>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97"/>
        <c:spPr>
          <a:solidFill>
            <a:schemeClr val="accent6"/>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98"/>
        <c:spPr>
          <a:solidFill>
            <a:schemeClr val="bg2"/>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99"/>
        <c:spPr>
          <a:solidFill>
            <a:schemeClr val="accent3"/>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00"/>
        <c:spPr>
          <a:solidFill>
            <a:schemeClr val="accent6">
              <a:lumMod val="50000"/>
            </a:schemeClr>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01"/>
        <c:spPr>
          <a:solidFill>
            <a:schemeClr val="accent2">
              <a:lumMod val="50000"/>
            </a:schemeClr>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02"/>
        <c:spPr>
          <a:solidFill>
            <a:schemeClr val="accent4">
              <a:lumMod val="50000"/>
            </a:schemeClr>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03"/>
        <c:spPr>
          <a:solidFill>
            <a:schemeClr val="accent3">
              <a:lumMod val="50000"/>
            </a:schemeClr>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04"/>
        <c:spPr>
          <a:solidFill>
            <a:srgbClr val="FF0000"/>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05"/>
        <c:spPr>
          <a:solidFill>
            <a:srgbClr val="FC8784"/>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06"/>
        <c:spPr>
          <a:solidFill>
            <a:schemeClr val="bg2">
              <a:lumMod val="50000"/>
            </a:schemeClr>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07"/>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08"/>
        <c:spPr>
          <a:solidFill>
            <a:srgbClr val="002060"/>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09"/>
        <c:spPr>
          <a:solidFill>
            <a:srgbClr val="0070C0"/>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10"/>
        <c:spPr>
          <a:solidFill>
            <a:srgbClr val="00B0F0"/>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11"/>
        <c:spPr>
          <a:solidFill>
            <a:schemeClr val="accent2"/>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12"/>
        <c:spPr>
          <a:solidFill>
            <a:schemeClr val="accent6"/>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13"/>
        <c:spPr>
          <a:solidFill>
            <a:schemeClr val="bg1">
              <a:lumMod val="75000"/>
            </a:schemeClr>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14"/>
        <c:spPr>
          <a:solidFill>
            <a:schemeClr val="bg2">
              <a:lumMod val="50000"/>
            </a:schemeClr>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15"/>
        <c:spPr>
          <a:solidFill>
            <a:schemeClr val="bg1">
              <a:lumMod val="50000"/>
            </a:schemeClr>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16"/>
        <c:spPr>
          <a:solidFill>
            <a:schemeClr val="accent6">
              <a:lumMod val="50000"/>
            </a:schemeClr>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17"/>
        <c:spPr>
          <a:solidFill>
            <a:schemeClr val="accent4">
              <a:lumMod val="50000"/>
            </a:schemeClr>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18"/>
        <c:spPr>
          <a:solidFill>
            <a:schemeClr val="accent2">
              <a:lumMod val="50000"/>
            </a:schemeClr>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19"/>
        <c:spPr>
          <a:solidFill>
            <a:schemeClr val="bg2">
              <a:lumMod val="10000"/>
            </a:schemeClr>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20"/>
        <c:spPr>
          <a:solidFill>
            <a:srgbClr val="FF0000"/>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21"/>
        <c:spPr>
          <a:solidFill>
            <a:srgbClr val="FC8784"/>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22"/>
        <c:spPr>
          <a:solidFill>
            <a:schemeClr val="accent2"/>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23"/>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24"/>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25"/>
        <c:spPr>
          <a:solidFill>
            <a:schemeClr val="accent6">
              <a:lumMod val="50000"/>
            </a:schemeClr>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26"/>
        <c:spPr>
          <a:solidFill>
            <a:schemeClr val="accent6"/>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27"/>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28"/>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29"/>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3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3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32"/>
        <c:spPr>
          <a:solidFill>
            <a:schemeClr val="accent6"/>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33"/>
        <c:spPr>
          <a:solidFill>
            <a:schemeClr val="accent3">
              <a:lumMod val="50000"/>
            </a:schemeClr>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34"/>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35"/>
        <c:spPr>
          <a:solidFill>
            <a:schemeClr val="accent3"/>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36"/>
        <c:spPr>
          <a:solidFill>
            <a:schemeClr val="accent6">
              <a:lumMod val="50000"/>
            </a:schemeClr>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37"/>
        <c:spPr>
          <a:solidFill>
            <a:srgbClr val="002060"/>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38"/>
        <c:spPr>
          <a:solidFill>
            <a:schemeClr val="accent4">
              <a:lumMod val="50000"/>
            </a:schemeClr>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39"/>
        <c:spPr>
          <a:solidFill>
            <a:schemeClr val="accent2">
              <a:lumMod val="50000"/>
            </a:schemeClr>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4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41"/>
        <c:spPr>
          <a:solidFill>
            <a:srgbClr val="FF0000"/>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4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43"/>
        <c:spPr>
          <a:solidFill>
            <a:schemeClr val="bg1">
              <a:lumMod val="50000"/>
            </a:schemeClr>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s>
    <c:plotArea>
      <c:layout/>
      <c:barChart>
        <c:barDir val="col"/>
        <c:grouping val="stacked"/>
        <c:varyColors val="0"/>
        <c:ser>
          <c:idx val="0"/>
          <c:order val="0"/>
          <c:tx>
            <c:strRef>
              <c:f>Ontwerp_Backlog!$AD$3</c:f>
              <c:strCache>
                <c:ptCount val="1"/>
                <c:pt idx="0">
                  <c:v>Sum of A1-A3</c:v>
                </c:pt>
              </c:strCache>
            </c:strRef>
          </c:tx>
          <c:spPr>
            <a:solidFill>
              <a:srgbClr val="002060"/>
            </a:solidFill>
            <a:ln>
              <a:noFill/>
            </a:ln>
            <a:effectLst/>
          </c:spPr>
          <c:invertIfNegative val="0"/>
          <c:cat>
            <c:strRef>
              <c:f>Ontwerp_Backlog!$AC$4:$AC$7</c:f>
              <c:strCache>
                <c:ptCount val="3"/>
                <c:pt idx="0">
                  <c:v>Open Menggranulaat</c:v>
                </c:pt>
                <c:pt idx="1">
                  <c:v>Plastic kratten</c:v>
                </c:pt>
                <c:pt idx="2">
                  <c:v>Rockwool</c:v>
                </c:pt>
              </c:strCache>
            </c:strRef>
          </c:cat>
          <c:val>
            <c:numRef>
              <c:f>Ontwerp_Backlog!$AD$4:$AD$7</c:f>
              <c:numCache>
                <c:formatCode>General</c:formatCode>
                <c:ptCount val="3"/>
                <c:pt idx="0">
                  <c:v>1372.05707078</c:v>
                </c:pt>
                <c:pt idx="1">
                  <c:v>3360.1209939999999</c:v>
                </c:pt>
                <c:pt idx="2">
                  <c:v>1003.620994</c:v>
                </c:pt>
              </c:numCache>
            </c:numRef>
          </c:val>
          <c:extLst>
            <c:ext xmlns:c16="http://schemas.microsoft.com/office/drawing/2014/chart" uri="{C3380CC4-5D6E-409C-BE32-E72D297353CC}">
              <c16:uniqueId val="{00000001-E68F-4466-A125-C25DB5431DEB}"/>
            </c:ext>
          </c:extLst>
        </c:ser>
        <c:ser>
          <c:idx val="1"/>
          <c:order val="1"/>
          <c:tx>
            <c:strRef>
              <c:f>Ontwerp_Backlog!$AE$3</c:f>
              <c:strCache>
                <c:ptCount val="1"/>
                <c:pt idx="0">
                  <c:v>Sum of A4</c:v>
                </c:pt>
              </c:strCache>
            </c:strRef>
          </c:tx>
          <c:spPr>
            <a:solidFill>
              <a:schemeClr val="accent2"/>
            </a:solidFill>
            <a:ln>
              <a:noFill/>
            </a:ln>
            <a:effectLst/>
          </c:spPr>
          <c:invertIfNegative val="0"/>
          <c:cat>
            <c:strRef>
              <c:f>Ontwerp_Backlog!$AC$4:$AC$7</c:f>
              <c:strCache>
                <c:ptCount val="3"/>
                <c:pt idx="0">
                  <c:v>Open Menggranulaat</c:v>
                </c:pt>
                <c:pt idx="1">
                  <c:v>Plastic kratten</c:v>
                </c:pt>
                <c:pt idx="2">
                  <c:v>Rockwool</c:v>
                </c:pt>
              </c:strCache>
            </c:strRef>
          </c:cat>
          <c:val>
            <c:numRef>
              <c:f>Ontwerp_Backlog!$AE$4:$AE$7</c:f>
              <c:numCache>
                <c:formatCode>General</c:formatCode>
                <c:ptCount val="3"/>
                <c:pt idx="0">
                  <c:v>323.80387109463999</c:v>
                </c:pt>
                <c:pt idx="1">
                  <c:v>173.09263254199999</c:v>
                </c:pt>
                <c:pt idx="2">
                  <c:v>172.85463254199999</c:v>
                </c:pt>
              </c:numCache>
            </c:numRef>
          </c:val>
          <c:extLst>
            <c:ext xmlns:c16="http://schemas.microsoft.com/office/drawing/2014/chart" uri="{C3380CC4-5D6E-409C-BE32-E72D297353CC}">
              <c16:uniqueId val="{00000002-E68F-4466-A125-C25DB5431DEB}"/>
            </c:ext>
          </c:extLst>
        </c:ser>
        <c:ser>
          <c:idx val="2"/>
          <c:order val="2"/>
          <c:tx>
            <c:strRef>
              <c:f>Ontwerp_Backlog!$AF$3</c:f>
              <c:strCache>
                <c:ptCount val="1"/>
                <c:pt idx="0">
                  <c:v>Sum of A5</c:v>
                </c:pt>
              </c:strCache>
            </c:strRef>
          </c:tx>
          <c:spPr>
            <a:solidFill>
              <a:schemeClr val="accent6"/>
            </a:solidFill>
            <a:ln>
              <a:noFill/>
            </a:ln>
            <a:effectLst/>
          </c:spPr>
          <c:invertIfNegative val="0"/>
          <c:cat>
            <c:strRef>
              <c:f>Ontwerp_Backlog!$AC$4:$AC$7</c:f>
              <c:strCache>
                <c:ptCount val="3"/>
                <c:pt idx="0">
                  <c:v>Open Menggranulaat</c:v>
                </c:pt>
                <c:pt idx="1">
                  <c:v>Plastic kratten</c:v>
                </c:pt>
                <c:pt idx="2">
                  <c:v>Rockwool</c:v>
                </c:pt>
              </c:strCache>
            </c:strRef>
          </c:cat>
          <c:val>
            <c:numRef>
              <c:f>Ontwerp_Backlog!$AF$4:$AF$7</c:f>
              <c:numCache>
                <c:formatCode>General</c:formatCode>
                <c:ptCount val="3"/>
                <c:pt idx="0">
                  <c:v>538.82960500000002</c:v>
                </c:pt>
                <c:pt idx="1">
                  <c:v>510.71296999999993</c:v>
                </c:pt>
                <c:pt idx="2">
                  <c:v>178.71296999999998</c:v>
                </c:pt>
              </c:numCache>
            </c:numRef>
          </c:val>
          <c:extLst>
            <c:ext xmlns:c16="http://schemas.microsoft.com/office/drawing/2014/chart" uri="{C3380CC4-5D6E-409C-BE32-E72D297353CC}">
              <c16:uniqueId val="{00000003-E68F-4466-A125-C25DB5431DEB}"/>
            </c:ext>
          </c:extLst>
        </c:ser>
        <c:ser>
          <c:idx val="3"/>
          <c:order val="3"/>
          <c:tx>
            <c:strRef>
              <c:f>Ontwerp_Backlog!$AG$3</c:f>
              <c:strCache>
                <c:ptCount val="1"/>
                <c:pt idx="0">
                  <c:v>Sum of B1</c:v>
                </c:pt>
              </c:strCache>
            </c:strRef>
          </c:tx>
          <c:spPr>
            <a:solidFill>
              <a:schemeClr val="accent3">
                <a:lumMod val="50000"/>
              </a:schemeClr>
            </a:solidFill>
            <a:ln>
              <a:noFill/>
            </a:ln>
            <a:effectLst/>
          </c:spPr>
          <c:invertIfNegative val="0"/>
          <c:cat>
            <c:strRef>
              <c:f>Ontwerp_Backlog!$AC$4:$AC$7</c:f>
              <c:strCache>
                <c:ptCount val="3"/>
                <c:pt idx="0">
                  <c:v>Open Menggranulaat</c:v>
                </c:pt>
                <c:pt idx="1">
                  <c:v>Plastic kratten</c:v>
                </c:pt>
                <c:pt idx="2">
                  <c:v>Rockwool</c:v>
                </c:pt>
              </c:strCache>
            </c:strRef>
          </c:cat>
          <c:val>
            <c:numRef>
              <c:f>Ontwerp_Backlog!$AG$4:$AG$7</c:f>
              <c:numCache>
                <c:formatCode>General</c:formatCode>
                <c:ptCount val="3"/>
                <c:pt idx="0">
                  <c:v>27.490000000000002</c:v>
                </c:pt>
                <c:pt idx="1">
                  <c:v>20.62</c:v>
                </c:pt>
                <c:pt idx="2">
                  <c:v>20.62</c:v>
                </c:pt>
              </c:numCache>
            </c:numRef>
          </c:val>
          <c:extLst>
            <c:ext xmlns:c16="http://schemas.microsoft.com/office/drawing/2014/chart" uri="{C3380CC4-5D6E-409C-BE32-E72D297353CC}">
              <c16:uniqueId val="{00000004-E68F-4466-A125-C25DB5431DEB}"/>
            </c:ext>
          </c:extLst>
        </c:ser>
        <c:ser>
          <c:idx val="4"/>
          <c:order val="4"/>
          <c:tx>
            <c:strRef>
              <c:f>Ontwerp_Backlog!$AH$3</c:f>
              <c:strCache>
                <c:ptCount val="1"/>
                <c:pt idx="0">
                  <c:v>Sum of B3</c:v>
                </c:pt>
              </c:strCache>
            </c:strRef>
          </c:tx>
          <c:spPr>
            <a:solidFill>
              <a:schemeClr val="bg1">
                <a:lumMod val="50000"/>
              </a:schemeClr>
            </a:solidFill>
            <a:ln>
              <a:noFill/>
            </a:ln>
            <a:effectLst/>
          </c:spPr>
          <c:invertIfNegative val="0"/>
          <c:cat>
            <c:strRef>
              <c:f>Ontwerp_Backlog!$AC$4:$AC$7</c:f>
              <c:strCache>
                <c:ptCount val="3"/>
                <c:pt idx="0">
                  <c:v>Open Menggranulaat</c:v>
                </c:pt>
                <c:pt idx="1">
                  <c:v>Plastic kratten</c:v>
                </c:pt>
                <c:pt idx="2">
                  <c:v>Rockwool</c:v>
                </c:pt>
              </c:strCache>
            </c:strRef>
          </c:cat>
          <c:val>
            <c:numRef>
              <c:f>Ontwerp_Backlog!$AH$4:$AH$7</c:f>
              <c:numCache>
                <c:formatCode>General</c:formatCode>
                <c:ptCount val="3"/>
                <c:pt idx="0">
                  <c:v>269.373647705</c:v>
                </c:pt>
                <c:pt idx="1">
                  <c:v>269.373647705</c:v>
                </c:pt>
                <c:pt idx="2">
                  <c:v>269.373647705</c:v>
                </c:pt>
              </c:numCache>
            </c:numRef>
          </c:val>
          <c:extLst>
            <c:ext xmlns:c16="http://schemas.microsoft.com/office/drawing/2014/chart" uri="{C3380CC4-5D6E-409C-BE32-E72D297353CC}">
              <c16:uniqueId val="{00000005-E68F-4466-A125-C25DB5431DEB}"/>
            </c:ext>
          </c:extLst>
        </c:ser>
        <c:ser>
          <c:idx val="5"/>
          <c:order val="5"/>
          <c:tx>
            <c:strRef>
              <c:f>Ontwerp_Backlog!$AI$3</c:f>
              <c:strCache>
                <c:ptCount val="1"/>
                <c:pt idx="0">
                  <c:v>Sum of B4</c:v>
                </c:pt>
              </c:strCache>
            </c:strRef>
          </c:tx>
          <c:spPr>
            <a:solidFill>
              <a:schemeClr val="accent3"/>
            </a:solidFill>
            <a:ln>
              <a:noFill/>
            </a:ln>
            <a:effectLst/>
          </c:spPr>
          <c:invertIfNegative val="0"/>
          <c:cat>
            <c:strRef>
              <c:f>Ontwerp_Backlog!$AC$4:$AC$7</c:f>
              <c:strCache>
                <c:ptCount val="3"/>
                <c:pt idx="0">
                  <c:v>Open Menggranulaat</c:v>
                </c:pt>
                <c:pt idx="1">
                  <c:v>Plastic kratten</c:v>
                </c:pt>
                <c:pt idx="2">
                  <c:v>Rockwool</c:v>
                </c:pt>
              </c:strCache>
            </c:strRef>
          </c:cat>
          <c:val>
            <c:numRef>
              <c:f>Ontwerp_Backlog!$AI$4:$AI$7</c:f>
              <c:numCache>
                <c:formatCode>General</c:formatCode>
                <c:ptCount val="3"/>
                <c:pt idx="0">
                  <c:v>0</c:v>
                </c:pt>
                <c:pt idx="1">
                  <c:v>0</c:v>
                </c:pt>
                <c:pt idx="2">
                  <c:v>0</c:v>
                </c:pt>
              </c:numCache>
            </c:numRef>
          </c:val>
          <c:extLst>
            <c:ext xmlns:c16="http://schemas.microsoft.com/office/drawing/2014/chart" uri="{C3380CC4-5D6E-409C-BE32-E72D297353CC}">
              <c16:uniqueId val="{00000006-E68F-4466-A125-C25DB5431DEB}"/>
            </c:ext>
          </c:extLst>
        </c:ser>
        <c:ser>
          <c:idx val="6"/>
          <c:order val="6"/>
          <c:tx>
            <c:strRef>
              <c:f>Ontwerp_Backlog!$AJ$3</c:f>
              <c:strCache>
                <c:ptCount val="1"/>
                <c:pt idx="0">
                  <c:v>Sum of C1</c:v>
                </c:pt>
              </c:strCache>
            </c:strRef>
          </c:tx>
          <c:spPr>
            <a:solidFill>
              <a:schemeClr val="accent6">
                <a:lumMod val="50000"/>
              </a:schemeClr>
            </a:solidFill>
            <a:ln>
              <a:noFill/>
            </a:ln>
            <a:effectLst/>
          </c:spPr>
          <c:invertIfNegative val="0"/>
          <c:cat>
            <c:strRef>
              <c:f>Ontwerp_Backlog!$AC$4:$AC$7</c:f>
              <c:strCache>
                <c:ptCount val="3"/>
                <c:pt idx="0">
                  <c:v>Open Menggranulaat</c:v>
                </c:pt>
                <c:pt idx="1">
                  <c:v>Plastic kratten</c:v>
                </c:pt>
                <c:pt idx="2">
                  <c:v>Rockwool</c:v>
                </c:pt>
              </c:strCache>
            </c:strRef>
          </c:cat>
          <c:val>
            <c:numRef>
              <c:f>Ontwerp_Backlog!$AJ$4:$AJ$7</c:f>
              <c:numCache>
                <c:formatCode>General</c:formatCode>
                <c:ptCount val="3"/>
                <c:pt idx="0">
                  <c:v>244.86440399999998</c:v>
                </c:pt>
                <c:pt idx="1">
                  <c:v>223.56756899999996</c:v>
                </c:pt>
                <c:pt idx="2">
                  <c:v>107.56756899999999</c:v>
                </c:pt>
              </c:numCache>
            </c:numRef>
          </c:val>
          <c:extLst>
            <c:ext xmlns:c16="http://schemas.microsoft.com/office/drawing/2014/chart" uri="{C3380CC4-5D6E-409C-BE32-E72D297353CC}">
              <c16:uniqueId val="{0000000A-E68F-4466-A125-C25DB5431DEB}"/>
            </c:ext>
          </c:extLst>
        </c:ser>
        <c:ser>
          <c:idx val="7"/>
          <c:order val="7"/>
          <c:tx>
            <c:strRef>
              <c:f>Ontwerp_Backlog!$AK$3</c:f>
              <c:strCache>
                <c:ptCount val="1"/>
                <c:pt idx="0">
                  <c:v>Sum of C2</c:v>
                </c:pt>
              </c:strCache>
            </c:strRef>
          </c:tx>
          <c:spPr>
            <a:solidFill>
              <a:schemeClr val="accent4">
                <a:lumMod val="50000"/>
              </a:schemeClr>
            </a:solidFill>
            <a:ln>
              <a:noFill/>
            </a:ln>
            <a:effectLst/>
          </c:spPr>
          <c:invertIfNegative val="0"/>
          <c:cat>
            <c:strRef>
              <c:f>Ontwerp_Backlog!$AC$4:$AC$7</c:f>
              <c:strCache>
                <c:ptCount val="3"/>
                <c:pt idx="0">
                  <c:v>Open Menggranulaat</c:v>
                </c:pt>
                <c:pt idx="1">
                  <c:v>Plastic kratten</c:v>
                </c:pt>
                <c:pt idx="2">
                  <c:v>Rockwool</c:v>
                </c:pt>
              </c:strCache>
            </c:strRef>
          </c:cat>
          <c:val>
            <c:numRef>
              <c:f>Ontwerp_Backlog!$AK$4:$AK$7</c:f>
              <c:numCache>
                <c:formatCode>General</c:formatCode>
                <c:ptCount val="3"/>
                <c:pt idx="0">
                  <c:v>785.84751754939202</c:v>
                </c:pt>
                <c:pt idx="1">
                  <c:v>768.88595867000004</c:v>
                </c:pt>
                <c:pt idx="2">
                  <c:v>768.66195866999999</c:v>
                </c:pt>
              </c:numCache>
            </c:numRef>
          </c:val>
          <c:extLst>
            <c:ext xmlns:c16="http://schemas.microsoft.com/office/drawing/2014/chart" uri="{C3380CC4-5D6E-409C-BE32-E72D297353CC}">
              <c16:uniqueId val="{0000000B-E68F-4466-A125-C25DB5431DEB}"/>
            </c:ext>
          </c:extLst>
        </c:ser>
        <c:ser>
          <c:idx val="8"/>
          <c:order val="8"/>
          <c:tx>
            <c:strRef>
              <c:f>Ontwerp_Backlog!$AL$3</c:f>
              <c:strCache>
                <c:ptCount val="1"/>
                <c:pt idx="0">
                  <c:v>Sum of C3</c:v>
                </c:pt>
              </c:strCache>
            </c:strRef>
          </c:tx>
          <c:spPr>
            <a:solidFill>
              <a:schemeClr val="accent2">
                <a:lumMod val="50000"/>
              </a:schemeClr>
            </a:solidFill>
            <a:ln>
              <a:noFill/>
            </a:ln>
            <a:effectLst/>
          </c:spPr>
          <c:invertIfNegative val="0"/>
          <c:cat>
            <c:strRef>
              <c:f>Ontwerp_Backlog!$AC$4:$AC$7</c:f>
              <c:strCache>
                <c:ptCount val="3"/>
                <c:pt idx="0">
                  <c:v>Open Menggranulaat</c:v>
                </c:pt>
                <c:pt idx="1">
                  <c:v>Plastic kratten</c:v>
                </c:pt>
                <c:pt idx="2">
                  <c:v>Rockwool</c:v>
                </c:pt>
              </c:strCache>
            </c:strRef>
          </c:cat>
          <c:val>
            <c:numRef>
              <c:f>Ontwerp_Backlog!$AL$4:$AL$7</c:f>
              <c:numCache>
                <c:formatCode>General</c:formatCode>
                <c:ptCount val="3"/>
                <c:pt idx="0">
                  <c:v>21.4174884</c:v>
                </c:pt>
                <c:pt idx="1">
                  <c:v>1012.9441445</c:v>
                </c:pt>
                <c:pt idx="2">
                  <c:v>63.4441445</c:v>
                </c:pt>
              </c:numCache>
            </c:numRef>
          </c:val>
          <c:extLst>
            <c:ext xmlns:c16="http://schemas.microsoft.com/office/drawing/2014/chart" uri="{C3380CC4-5D6E-409C-BE32-E72D297353CC}">
              <c16:uniqueId val="{0000000C-E68F-4466-A125-C25DB5431DEB}"/>
            </c:ext>
          </c:extLst>
        </c:ser>
        <c:ser>
          <c:idx val="9"/>
          <c:order val="9"/>
          <c:tx>
            <c:strRef>
              <c:f>Ontwerp_Backlog!$AM$3</c:f>
              <c:strCache>
                <c:ptCount val="1"/>
                <c:pt idx="0">
                  <c:v>Sum of C4</c:v>
                </c:pt>
              </c:strCache>
            </c:strRef>
          </c:tx>
          <c:spPr>
            <a:solidFill>
              <a:schemeClr val="accent4">
                <a:lumMod val="60000"/>
              </a:schemeClr>
            </a:solidFill>
            <a:ln>
              <a:noFill/>
            </a:ln>
            <a:effectLst/>
          </c:spPr>
          <c:invertIfNegative val="0"/>
          <c:cat>
            <c:strRef>
              <c:f>Ontwerp_Backlog!$AC$4:$AC$7</c:f>
              <c:strCache>
                <c:ptCount val="3"/>
                <c:pt idx="0">
                  <c:v>Open Menggranulaat</c:v>
                </c:pt>
                <c:pt idx="1">
                  <c:v>Plastic kratten</c:v>
                </c:pt>
                <c:pt idx="2">
                  <c:v>Rockwool</c:v>
                </c:pt>
              </c:strCache>
            </c:strRef>
          </c:cat>
          <c:val>
            <c:numRef>
              <c:f>Ontwerp_Backlog!$AM$4:$AM$7</c:f>
              <c:numCache>
                <c:formatCode>General</c:formatCode>
                <c:ptCount val="3"/>
                <c:pt idx="0">
                  <c:v>24.013710727199999</c:v>
                </c:pt>
                <c:pt idx="1">
                  <c:v>15.80861955</c:v>
                </c:pt>
                <c:pt idx="2">
                  <c:v>9.3086195499999995</c:v>
                </c:pt>
              </c:numCache>
            </c:numRef>
          </c:val>
          <c:extLst>
            <c:ext xmlns:c16="http://schemas.microsoft.com/office/drawing/2014/chart" uri="{C3380CC4-5D6E-409C-BE32-E72D297353CC}">
              <c16:uniqueId val="{0000000D-E68F-4466-A125-C25DB5431DEB}"/>
            </c:ext>
          </c:extLst>
        </c:ser>
        <c:ser>
          <c:idx val="10"/>
          <c:order val="10"/>
          <c:tx>
            <c:strRef>
              <c:f>Ontwerp_Backlog!$AN$3</c:f>
              <c:strCache>
                <c:ptCount val="1"/>
                <c:pt idx="0">
                  <c:v>Sum of D</c:v>
                </c:pt>
              </c:strCache>
            </c:strRef>
          </c:tx>
          <c:spPr>
            <a:solidFill>
              <a:srgbClr val="FF0000"/>
            </a:solidFill>
            <a:ln>
              <a:noFill/>
            </a:ln>
            <a:effectLst/>
          </c:spPr>
          <c:invertIfNegative val="0"/>
          <c:cat>
            <c:strRef>
              <c:f>Ontwerp_Backlog!$AC$4:$AC$7</c:f>
              <c:strCache>
                <c:ptCount val="3"/>
                <c:pt idx="0">
                  <c:v>Open Menggranulaat</c:v>
                </c:pt>
                <c:pt idx="1">
                  <c:v>Plastic kratten</c:v>
                </c:pt>
                <c:pt idx="2">
                  <c:v>Rockwool</c:v>
                </c:pt>
              </c:strCache>
            </c:strRef>
          </c:cat>
          <c:val>
            <c:numRef>
              <c:f>Ontwerp_Backlog!$AN$4:$AN$7</c:f>
              <c:numCache>
                <c:formatCode>General</c:formatCode>
                <c:ptCount val="3"/>
                <c:pt idx="0">
                  <c:v>-208.64211140600003</c:v>
                </c:pt>
                <c:pt idx="1">
                  <c:v>-679.68299000000013</c:v>
                </c:pt>
                <c:pt idx="2">
                  <c:v>-82.68298999999999</c:v>
                </c:pt>
              </c:numCache>
            </c:numRef>
          </c:val>
          <c:extLst>
            <c:ext xmlns:c16="http://schemas.microsoft.com/office/drawing/2014/chart" uri="{C3380CC4-5D6E-409C-BE32-E72D297353CC}">
              <c16:uniqueId val="{00000011-E68F-4466-A125-C25DB5431DEB}"/>
            </c:ext>
          </c:extLst>
        </c:ser>
        <c:dLbls>
          <c:showLegendKey val="0"/>
          <c:showVal val="0"/>
          <c:showCatName val="0"/>
          <c:showSerName val="0"/>
          <c:showPercent val="0"/>
          <c:showBubbleSize val="0"/>
        </c:dLbls>
        <c:gapWidth val="219"/>
        <c:overlap val="100"/>
        <c:axId val="1466579888"/>
        <c:axId val="1466578248"/>
      </c:barChart>
      <c:catAx>
        <c:axId val="1466579888"/>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n-US"/>
          </a:p>
        </c:txPr>
        <c:crossAx val="1466578248"/>
        <c:crosses val="autoZero"/>
        <c:auto val="1"/>
        <c:lblAlgn val="ctr"/>
        <c:lblOffset val="100"/>
        <c:noMultiLvlLbl val="0"/>
      </c:catAx>
      <c:valAx>
        <c:axId val="1466578248"/>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6657988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pivotOptions>
    </c:ext>
    <c:ext xmlns:c16="http://schemas.microsoft.com/office/drawing/2014/chart" uri="{E28EC0CA-F0BB-4C9C-879D-F8772B89E7AC}">
      <c16:pivotOptions16>
        <c16:showExpandCollapseFieldButtons val="1"/>
      </c16:pivotOptions16>
    </c:ext>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pivotSource>
    <c:name>[Rekenmodule - Noordewierweg - v1.0.xlsx]Ontwerp_Backlog!Draaitabel30</c:name>
    <c:fmtId val="2"/>
  </c:pivotSource>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b="1"/>
              <a:t>CO2 uitstoot per gebruiksjaar</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ivotFmts>
      <c:pivotFmt>
        <c:idx val="0"/>
        <c:spPr>
          <a:solidFill>
            <a:schemeClr val="accent1"/>
          </a:solidFill>
          <a:ln>
            <a:noFill/>
          </a:ln>
          <a:effectLst/>
        </c:spP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1"/>
          <c:showVal val="1"/>
          <c:showCatName val="1"/>
          <c:showSerName val="1"/>
          <c:showPercent val="1"/>
          <c:showBubbleSize val="1"/>
          <c:extLst>
            <c:ext xmlns:c15="http://schemas.microsoft.com/office/drawing/2012/chart" uri="{CE6537A1-D6FC-4f65-9D91-7224C49458BB}"/>
          </c:extLst>
        </c:dLbl>
      </c:pivotFmt>
      <c:pivotFmt>
        <c:idx val="1"/>
        <c:spPr>
          <a:solidFill>
            <a:schemeClr val="accent1"/>
          </a:solidFill>
          <a:ln>
            <a:noFill/>
          </a:ln>
          <a:effectLst/>
        </c:spP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1"/>
          <c:showVal val="1"/>
          <c:showCatName val="1"/>
          <c:showSerName val="1"/>
          <c:showPercent val="1"/>
          <c:showBubbleSize val="1"/>
          <c:extLst>
            <c:ext xmlns:c15="http://schemas.microsoft.com/office/drawing/2012/chart" uri="{CE6537A1-D6FC-4f65-9D91-7224C49458BB}"/>
          </c:extLst>
        </c:dLbl>
      </c:pivotFmt>
      <c:pivotFmt>
        <c:idx val="2"/>
        <c:spPr>
          <a:solidFill>
            <a:schemeClr val="accent1"/>
          </a:solidFill>
          <a:ln>
            <a:noFill/>
          </a:ln>
          <a:effectLst/>
        </c:spP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1"/>
          <c:showVal val="1"/>
          <c:showCatName val="1"/>
          <c:showSerName val="1"/>
          <c:showPercent val="1"/>
          <c:showBubbleSize val="1"/>
          <c:extLst>
            <c:ext xmlns:c15="http://schemas.microsoft.com/office/drawing/2012/chart" uri="{CE6537A1-D6FC-4f65-9D91-7224C49458BB}"/>
          </c:extLst>
        </c:dLbl>
      </c:pivotFmt>
      <c:pivotFmt>
        <c:idx val="3"/>
        <c:spPr>
          <a:solidFill>
            <a:schemeClr val="accent1"/>
          </a:solidFill>
          <a:ln>
            <a:noFill/>
          </a:ln>
          <a:effectLst/>
        </c:spP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1"/>
          <c:showVal val="1"/>
          <c:showCatName val="1"/>
          <c:showSerName val="1"/>
          <c:showPercent val="1"/>
          <c:showBubbleSize val="1"/>
          <c:extLst>
            <c:ext xmlns:c15="http://schemas.microsoft.com/office/drawing/2012/chart" uri="{CE6537A1-D6FC-4f65-9D91-7224C49458BB}"/>
          </c:extLst>
        </c:dLbl>
      </c:pivotFmt>
      <c:pivotFmt>
        <c:idx val="4"/>
        <c:spPr>
          <a:solidFill>
            <a:schemeClr val="accent1"/>
          </a:solidFill>
          <a:ln>
            <a:noFill/>
          </a:ln>
          <a:effectLst/>
        </c:spP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1"/>
          <c:showVal val="1"/>
          <c:showCatName val="1"/>
          <c:showSerName val="1"/>
          <c:showPercent val="1"/>
          <c:showBubbleSize val="1"/>
          <c:extLst>
            <c:ext xmlns:c15="http://schemas.microsoft.com/office/drawing/2012/chart" uri="{CE6537A1-D6FC-4f65-9D91-7224C49458BB}"/>
          </c:extLst>
        </c:dLbl>
      </c:pivotFmt>
      <c:pivotFmt>
        <c:idx val="5"/>
        <c:spPr>
          <a:solidFill>
            <a:schemeClr val="accent1"/>
          </a:solidFill>
          <a:ln>
            <a:noFill/>
          </a:ln>
          <a:effectLst/>
        </c:spP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1"/>
          <c:showVal val="1"/>
          <c:showCatName val="1"/>
          <c:showSerName val="1"/>
          <c:showPercent val="1"/>
          <c:showBubbleSize val="1"/>
          <c:extLst>
            <c:ext xmlns:c15="http://schemas.microsoft.com/office/drawing/2012/chart" uri="{CE6537A1-D6FC-4f65-9D91-7224C49458BB}"/>
          </c:extLst>
        </c:dLbl>
      </c:pivotFmt>
      <c:pivotFmt>
        <c:idx val="6"/>
        <c:spPr>
          <a:solidFill>
            <a:schemeClr val="accent1"/>
          </a:solidFill>
          <a:ln>
            <a:noFill/>
          </a:ln>
          <a:effectLst/>
        </c:spP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1"/>
          <c:showVal val="1"/>
          <c:showCatName val="1"/>
          <c:showSerName val="1"/>
          <c:showPercent val="1"/>
          <c:showBubbleSize val="1"/>
          <c:extLst>
            <c:ext xmlns:c15="http://schemas.microsoft.com/office/drawing/2012/chart" uri="{CE6537A1-D6FC-4f65-9D91-7224C49458BB}"/>
          </c:extLst>
        </c:dLbl>
      </c:pivotFmt>
      <c:pivotFmt>
        <c:idx val="7"/>
        <c:spPr>
          <a:solidFill>
            <a:schemeClr val="accent1"/>
          </a:solidFill>
          <a:ln>
            <a:noFill/>
          </a:ln>
          <a:effectLst/>
        </c:spP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1"/>
          <c:showVal val="1"/>
          <c:showCatName val="1"/>
          <c:showSerName val="1"/>
          <c:showPercent val="1"/>
          <c:showBubbleSize val="1"/>
          <c:extLst>
            <c:ext xmlns:c15="http://schemas.microsoft.com/office/drawing/2012/chart" uri="{CE6537A1-D6FC-4f65-9D91-7224C49458BB}"/>
          </c:extLst>
        </c:dLbl>
      </c:pivotFmt>
      <c:pivotFmt>
        <c:idx val="8"/>
        <c:spPr>
          <a:solidFill>
            <a:schemeClr val="accent1"/>
          </a:solidFill>
          <a:ln>
            <a:noFill/>
          </a:ln>
          <a:effectLst/>
        </c:spP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1"/>
          <c:showVal val="1"/>
          <c:showCatName val="1"/>
          <c:showSerName val="1"/>
          <c:showPercent val="1"/>
          <c:showBubbleSize val="1"/>
          <c:extLst>
            <c:ext xmlns:c15="http://schemas.microsoft.com/office/drawing/2012/chart" uri="{CE6537A1-D6FC-4f65-9D91-7224C49458BB}"/>
          </c:extLst>
        </c:dLbl>
      </c:pivotFmt>
      <c:pivotFmt>
        <c:idx val="9"/>
        <c:spPr>
          <a:solidFill>
            <a:schemeClr val="accent1"/>
          </a:solidFill>
          <a:ln>
            <a:noFill/>
          </a:ln>
          <a:effectLst/>
        </c:spP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1"/>
          <c:showVal val="1"/>
          <c:showCatName val="1"/>
          <c:showSerName val="1"/>
          <c:showPercent val="1"/>
          <c:showBubbleSize val="1"/>
          <c:extLst>
            <c:ext xmlns:c15="http://schemas.microsoft.com/office/drawing/2012/chart" uri="{CE6537A1-D6FC-4f65-9D91-7224C49458BB}"/>
          </c:extLst>
        </c:dLbl>
      </c:pivotFmt>
      <c:pivotFmt>
        <c:idx val="10"/>
        <c:spPr>
          <a:solidFill>
            <a:schemeClr val="accent1"/>
          </a:solidFill>
          <a:ln>
            <a:noFill/>
          </a:ln>
          <a:effectLst/>
        </c:spP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1"/>
          <c:showVal val="1"/>
          <c:showCatName val="1"/>
          <c:showSerName val="1"/>
          <c:showPercent val="1"/>
          <c:showBubbleSize val="1"/>
          <c:extLst>
            <c:ext xmlns:c15="http://schemas.microsoft.com/office/drawing/2012/chart" uri="{CE6537A1-D6FC-4f65-9D91-7224C49458BB}"/>
          </c:extLst>
        </c:dLbl>
      </c:pivotFmt>
      <c:pivotFmt>
        <c:idx val="11"/>
        <c:spPr>
          <a:solidFill>
            <a:schemeClr val="accent1"/>
          </a:solidFill>
          <a:ln>
            <a:noFill/>
          </a:ln>
          <a:effectLst/>
        </c:spP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1"/>
          <c:showVal val="1"/>
          <c:showCatName val="1"/>
          <c:showSerName val="1"/>
          <c:showPercent val="1"/>
          <c:showBubbleSize val="1"/>
          <c:extLst>
            <c:ext xmlns:c15="http://schemas.microsoft.com/office/drawing/2012/chart" uri="{CE6537A1-D6FC-4f65-9D91-7224C49458BB}"/>
          </c:extLst>
        </c:dLbl>
      </c:pivotFmt>
      <c:pivotFmt>
        <c:idx val="12"/>
        <c:spPr>
          <a:solidFill>
            <a:schemeClr val="accent1"/>
          </a:solidFill>
          <a:ln>
            <a:noFill/>
          </a:ln>
          <a:effectLst/>
        </c:spP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1"/>
          <c:showVal val="1"/>
          <c:showCatName val="1"/>
          <c:showSerName val="1"/>
          <c:showPercent val="1"/>
          <c:showBubbleSize val="1"/>
          <c:extLst>
            <c:ext xmlns:c15="http://schemas.microsoft.com/office/drawing/2012/chart" uri="{CE6537A1-D6FC-4f65-9D91-7224C49458BB}"/>
          </c:extLst>
        </c:dLbl>
      </c:pivotFmt>
      <c:pivotFmt>
        <c:idx val="13"/>
        <c:spPr>
          <a:solidFill>
            <a:schemeClr val="accent1"/>
          </a:solidFill>
          <a:ln>
            <a:noFill/>
          </a:ln>
          <a:effectLst/>
        </c:spP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1"/>
          <c:showVal val="1"/>
          <c:showCatName val="1"/>
          <c:showSerName val="1"/>
          <c:showPercent val="1"/>
          <c:showBubbleSize val="1"/>
          <c:extLst>
            <c:ext xmlns:c15="http://schemas.microsoft.com/office/drawing/2012/chart" uri="{CE6537A1-D6FC-4f65-9D91-7224C49458BB}"/>
          </c:extLst>
        </c:dLbl>
      </c:pivotFmt>
      <c:pivotFmt>
        <c:idx val="14"/>
        <c:spPr>
          <a:solidFill>
            <a:schemeClr val="accent3"/>
          </a:solidFill>
          <a:ln>
            <a:noFill/>
          </a:ln>
          <a:effectLst/>
        </c:spP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1"/>
          <c:showVal val="1"/>
          <c:showCatName val="1"/>
          <c:showSerName val="1"/>
          <c:showPercent val="1"/>
          <c:showBubbleSize val="1"/>
          <c:extLst>
            <c:ext xmlns:c15="http://schemas.microsoft.com/office/drawing/2012/chart" uri="{CE6537A1-D6FC-4f65-9D91-7224C49458BB}"/>
          </c:extLst>
        </c:dLbl>
      </c:pivotFmt>
      <c:pivotFmt>
        <c:idx val="15"/>
        <c:spPr>
          <a:solidFill>
            <a:schemeClr val="accent3"/>
          </a:solidFill>
          <a:ln>
            <a:noFill/>
          </a:ln>
          <a:effectLst/>
        </c:spP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1"/>
          <c:showVal val="1"/>
          <c:showCatName val="1"/>
          <c:showSerName val="1"/>
          <c:showPercent val="1"/>
          <c:showBubbleSize val="1"/>
          <c:extLst>
            <c:ext xmlns:c15="http://schemas.microsoft.com/office/drawing/2012/chart" uri="{CE6537A1-D6FC-4f65-9D91-7224C49458BB}"/>
          </c:extLst>
        </c:dLbl>
      </c:pivotFmt>
      <c:pivotFmt>
        <c:idx val="16"/>
        <c:spPr>
          <a:solidFill>
            <a:schemeClr val="accent3"/>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s>
    <c:plotArea>
      <c:layout/>
      <c:barChart>
        <c:barDir val="col"/>
        <c:grouping val="stacked"/>
        <c:varyColors val="0"/>
        <c:ser>
          <c:idx val="0"/>
          <c:order val="0"/>
          <c:tx>
            <c:strRef>
              <c:f>Ontwerp_Backlog!$AD$45</c:f>
              <c:strCache>
                <c:ptCount val="1"/>
                <c:pt idx="0">
                  <c:v>Totaal</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Ontwerp_Backlog!$AC$46:$AC$49</c:f>
              <c:strCache>
                <c:ptCount val="3"/>
                <c:pt idx="0">
                  <c:v>Open Menggranulaat</c:v>
                </c:pt>
                <c:pt idx="1">
                  <c:v>Rockwool</c:v>
                </c:pt>
                <c:pt idx="2">
                  <c:v>Plastic kratten</c:v>
                </c:pt>
              </c:strCache>
            </c:strRef>
          </c:cat>
          <c:val>
            <c:numRef>
              <c:f>Ontwerp_Backlog!$AD$46:$AD$49</c:f>
              <c:numCache>
                <c:formatCode>0.0</c:formatCode>
                <c:ptCount val="3"/>
                <c:pt idx="0">
                  <c:v>32302.476960108008</c:v>
                </c:pt>
                <c:pt idx="1">
                  <c:v>23718.921033870007</c:v>
                </c:pt>
                <c:pt idx="2">
                  <c:v>58612.701033870006</c:v>
                </c:pt>
              </c:numCache>
            </c:numRef>
          </c:val>
          <c:extLst>
            <c:ext xmlns:c16="http://schemas.microsoft.com/office/drawing/2014/chart" uri="{C3380CC4-5D6E-409C-BE32-E72D297353CC}">
              <c16:uniqueId val="{00000000-CD8A-4756-9556-7F3307F7246D}"/>
            </c:ext>
          </c:extLst>
        </c:ser>
        <c:dLbls>
          <c:showLegendKey val="0"/>
          <c:showVal val="0"/>
          <c:showCatName val="0"/>
          <c:showSerName val="0"/>
          <c:showPercent val="0"/>
          <c:showBubbleSize val="0"/>
        </c:dLbls>
        <c:gapWidth val="219"/>
        <c:overlap val="100"/>
        <c:axId val="172638615"/>
        <c:axId val="172640583"/>
      </c:barChart>
      <c:catAx>
        <c:axId val="17263861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n-US"/>
          </a:p>
        </c:txPr>
        <c:crossAx val="172640583"/>
        <c:crosses val="autoZero"/>
        <c:auto val="1"/>
        <c:lblAlgn val="ctr"/>
        <c:lblOffset val="100"/>
        <c:noMultiLvlLbl val="0"/>
      </c:catAx>
      <c:valAx>
        <c:axId val="172640583"/>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2638615"/>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sVisible val="1"/>
      </c14:pivotOptions>
    </c:ext>
    <c:ext xmlns:c16="http://schemas.microsoft.com/office/drawing/2014/chart" uri="{E28EC0CA-F0BB-4C9C-879D-F8772B89E7AC}">
      <c16:pivotOptions16>
        <c16:showExpandCollapseFieldButtons val="1"/>
      </c16:pivotOptions16>
    </c:ext>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pivotSource>
    <c:name>[Rekenmodule - Noordewierweg - v1.0.xlsx]Ontwerp_Backlog!Draaitabel2</c:name>
    <c:fmtId val="2"/>
  </c:pivotSource>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b="1"/>
              <a:t>Materiaalverbruik [ton]</a:t>
            </a:r>
            <a:r>
              <a:rPr lang="en-NL" sz="1400" b="1" i="0" u="none" strike="noStrike" baseline="0">
                <a:effectLst/>
              </a:rPr>
              <a:t> </a:t>
            </a:r>
            <a:r>
              <a:rPr lang="en-NL" sz="1400" b="1" i="0" u="none" strike="noStrike" baseline="0"/>
              <a:t> </a:t>
            </a:r>
            <a:endParaRPr lang="en-US" b="1"/>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ivotFmts>
      <c:pivotFmt>
        <c:idx val="0"/>
        <c:spPr>
          <a:solidFill>
            <a:schemeClr val="accent1">
              <a:lumMod val="50000"/>
            </a:schemeClr>
          </a:solidFill>
          <a:ln>
            <a:noFill/>
          </a:ln>
          <a:effectLst/>
        </c:spPr>
        <c:marker>
          <c:symbol val="none"/>
        </c:marker>
      </c:pivotFmt>
      <c:pivotFmt>
        <c:idx val="1"/>
        <c:spPr>
          <a:solidFill>
            <a:schemeClr val="accent1">
              <a:lumMod val="60000"/>
              <a:lumOff val="40000"/>
            </a:schemeClr>
          </a:solidFill>
          <a:ln>
            <a:noFill/>
          </a:ln>
          <a:effectLst/>
        </c:spPr>
        <c:marker>
          <c:symbol val="none"/>
        </c:marker>
      </c:pivotFmt>
      <c:pivotFmt>
        <c:idx val="2"/>
        <c:spPr>
          <a:solidFill>
            <a:schemeClr val="accent1">
              <a:lumMod val="50000"/>
            </a:schemeClr>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
        <c:spPr>
          <a:solidFill>
            <a:schemeClr val="accent1">
              <a:lumMod val="60000"/>
              <a:lumOff val="40000"/>
            </a:schemeClr>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
        <c:spPr>
          <a:solidFill>
            <a:schemeClr val="accent1">
              <a:lumMod val="50000"/>
            </a:schemeClr>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5"/>
        <c:spPr>
          <a:solidFill>
            <a:schemeClr val="accent1">
              <a:lumMod val="60000"/>
              <a:lumOff val="40000"/>
            </a:schemeClr>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6"/>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7"/>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8"/>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9"/>
        <c:spPr>
          <a:solidFill>
            <a:schemeClr val="accent1"/>
          </a:solidFill>
          <a:ln>
            <a:noFill/>
          </a:ln>
          <a:effectLst/>
        </c:spPr>
        <c:marker>
          <c:symbol val="none"/>
        </c:marker>
        <c:dLbl>
          <c:idx val="0"/>
          <c:dLblPos val="ctr"/>
          <c:showLegendKey val="0"/>
          <c:showVal val="1"/>
          <c:showCatName val="0"/>
          <c:showSerName val="0"/>
          <c:showPercent val="0"/>
          <c:showBubbleSize val="0"/>
          <c:extLst>
            <c:ext xmlns:c15="http://schemas.microsoft.com/office/drawing/2012/chart" uri="{CE6537A1-D6FC-4f65-9D91-7224C49458BB}"/>
          </c:extLst>
        </c:dLbl>
      </c:pivotFmt>
      <c:pivotFmt>
        <c:idx val="10"/>
        <c:spPr>
          <a:solidFill>
            <a:schemeClr val="accent1"/>
          </a:solidFill>
          <a:ln>
            <a:noFill/>
          </a:ln>
          <a:effectLst/>
        </c:spPr>
        <c:marker>
          <c:symbol val="none"/>
        </c:marker>
        <c:dLbl>
          <c:idx val="0"/>
          <c:dLblPos val="ctr"/>
          <c:showLegendKey val="0"/>
          <c:showVal val="1"/>
          <c:showCatName val="0"/>
          <c:showSerName val="0"/>
          <c:showPercent val="0"/>
          <c:showBubbleSize val="0"/>
          <c:extLst>
            <c:ext xmlns:c15="http://schemas.microsoft.com/office/drawing/2012/chart" uri="{CE6537A1-D6FC-4f65-9D91-7224C49458BB}"/>
          </c:extLst>
        </c:dLbl>
      </c:pivotFmt>
      <c:pivotFmt>
        <c:idx val="11"/>
        <c:spPr>
          <a:solidFill>
            <a:schemeClr val="accent1"/>
          </a:solidFill>
          <a:ln>
            <a:noFill/>
          </a:ln>
          <a:effectLst/>
        </c:spPr>
        <c:marker>
          <c:symbol val="none"/>
        </c:marker>
        <c:dLbl>
          <c:idx val="0"/>
          <c:dLblPos val="ctr"/>
          <c:showLegendKey val="0"/>
          <c:showVal val="1"/>
          <c:showCatName val="0"/>
          <c:showSerName val="0"/>
          <c:showPercent val="0"/>
          <c:showBubbleSize val="0"/>
          <c:extLst>
            <c:ext xmlns:c15="http://schemas.microsoft.com/office/drawing/2012/chart" uri="{CE6537A1-D6FC-4f65-9D91-7224C49458BB}"/>
          </c:extLst>
        </c:dLbl>
      </c:pivotFmt>
      <c:pivotFmt>
        <c:idx val="12"/>
        <c:spPr>
          <a:solidFill>
            <a:schemeClr val="accent1"/>
          </a:solidFill>
          <a:ln>
            <a:noFill/>
          </a:ln>
          <a:effectLst/>
        </c:spPr>
        <c:marker>
          <c:symbol val="none"/>
        </c:marker>
        <c:dLbl>
          <c:idx val="0"/>
          <c:dLblPos val="ctr"/>
          <c:showLegendKey val="0"/>
          <c:showVal val="1"/>
          <c:showCatName val="0"/>
          <c:showSerName val="0"/>
          <c:showPercent val="0"/>
          <c:showBubbleSize val="0"/>
          <c:extLst>
            <c:ext xmlns:c15="http://schemas.microsoft.com/office/drawing/2012/chart" uri="{CE6537A1-D6FC-4f65-9D91-7224C49458BB}"/>
          </c:extLst>
        </c:dLbl>
      </c:pivotFmt>
      <c:pivotFmt>
        <c:idx val="13"/>
        <c:spPr>
          <a:solidFill>
            <a:schemeClr val="accent1"/>
          </a:solidFill>
          <a:ln>
            <a:noFill/>
          </a:ln>
          <a:effectLst/>
        </c:spPr>
        <c:marker>
          <c:symbol val="none"/>
        </c:marker>
        <c:dLbl>
          <c:idx val="0"/>
          <c:dLblPos val="ctr"/>
          <c:showLegendKey val="0"/>
          <c:showVal val="1"/>
          <c:showCatName val="0"/>
          <c:showSerName val="0"/>
          <c:showPercent val="0"/>
          <c:showBubbleSize val="0"/>
          <c:extLst>
            <c:ext xmlns:c15="http://schemas.microsoft.com/office/drawing/2012/chart" uri="{CE6537A1-D6FC-4f65-9D91-7224C49458BB}"/>
          </c:extLst>
        </c:dLbl>
      </c:pivotFmt>
      <c:pivotFmt>
        <c:idx val="14"/>
        <c:spPr>
          <a:solidFill>
            <a:schemeClr val="accent1"/>
          </a:solidFill>
          <a:ln>
            <a:noFill/>
          </a:ln>
          <a:effectLst/>
        </c:spPr>
        <c:marker>
          <c:symbol val="none"/>
        </c:marker>
        <c:dLbl>
          <c:idx val="0"/>
          <c:dLblPos val="ctr"/>
          <c:showLegendKey val="0"/>
          <c:showVal val="1"/>
          <c:showCatName val="0"/>
          <c:showSerName val="0"/>
          <c:showPercent val="0"/>
          <c:showBubbleSize val="0"/>
          <c:extLst>
            <c:ext xmlns:c15="http://schemas.microsoft.com/office/drawing/2012/chart" uri="{CE6537A1-D6FC-4f65-9D91-7224C49458BB}"/>
          </c:extLst>
        </c:dLbl>
      </c:pivotFmt>
      <c:pivotFmt>
        <c:idx val="15"/>
        <c:spPr>
          <a:solidFill>
            <a:schemeClr val="accent1"/>
          </a:solidFill>
          <a:ln>
            <a:noFill/>
          </a:ln>
          <a:effectLst/>
        </c:spPr>
        <c:marker>
          <c:symbol val="none"/>
        </c:marker>
        <c:dLbl>
          <c:idx val="0"/>
          <c:dLblPos val="ctr"/>
          <c:showLegendKey val="0"/>
          <c:showVal val="1"/>
          <c:showCatName val="0"/>
          <c:showSerName val="0"/>
          <c:showPercent val="0"/>
          <c:showBubbleSize val="0"/>
          <c:extLst>
            <c:ext xmlns:c15="http://schemas.microsoft.com/office/drawing/2012/chart" uri="{CE6537A1-D6FC-4f65-9D91-7224C49458BB}"/>
          </c:extLst>
        </c:dLbl>
      </c:pivotFmt>
      <c:pivotFmt>
        <c:idx val="16"/>
        <c:spPr>
          <a:solidFill>
            <a:schemeClr val="accent1"/>
          </a:solidFill>
          <a:ln>
            <a:noFill/>
          </a:ln>
          <a:effectLst/>
        </c:spPr>
        <c:marker>
          <c:symbol val="none"/>
        </c:marker>
        <c:dLbl>
          <c:idx val="0"/>
          <c:dLblPos val="ctr"/>
          <c:showLegendKey val="0"/>
          <c:showVal val="1"/>
          <c:showCatName val="0"/>
          <c:showSerName val="0"/>
          <c:showPercent val="0"/>
          <c:showBubbleSize val="0"/>
          <c:extLst>
            <c:ext xmlns:c15="http://schemas.microsoft.com/office/drawing/2012/chart" uri="{CE6537A1-D6FC-4f65-9D91-7224C49458BB}"/>
          </c:extLst>
        </c:dLbl>
      </c:pivotFmt>
      <c:pivotFmt>
        <c:idx val="17"/>
        <c:spPr>
          <a:solidFill>
            <a:schemeClr val="accent1"/>
          </a:solidFill>
          <a:ln>
            <a:noFill/>
          </a:ln>
          <a:effectLst/>
        </c:spPr>
        <c:marker>
          <c:symbol val="none"/>
        </c:marker>
        <c:dLbl>
          <c:idx val="0"/>
          <c:dLblPos val="ctr"/>
          <c:showLegendKey val="0"/>
          <c:showVal val="1"/>
          <c:showCatName val="0"/>
          <c:showSerName val="0"/>
          <c:showPercent val="0"/>
          <c:showBubbleSize val="0"/>
          <c:extLst>
            <c:ext xmlns:c15="http://schemas.microsoft.com/office/drawing/2012/chart" uri="{CE6537A1-D6FC-4f65-9D91-7224C49458BB}"/>
          </c:extLst>
        </c:dLbl>
      </c:pivotFmt>
      <c:pivotFmt>
        <c:idx val="18"/>
        <c:spPr>
          <a:solidFill>
            <a:schemeClr val="accent1"/>
          </a:solidFill>
          <a:ln>
            <a:noFill/>
          </a:ln>
          <a:effectLst/>
        </c:spPr>
        <c:marker>
          <c:symbol val="none"/>
        </c:marker>
        <c:dLbl>
          <c:idx val="0"/>
          <c:dLblPos val="ctr"/>
          <c:showLegendKey val="0"/>
          <c:showVal val="1"/>
          <c:showCatName val="0"/>
          <c:showSerName val="0"/>
          <c:showPercent val="0"/>
          <c:showBubbleSize val="0"/>
          <c:extLst>
            <c:ext xmlns:c15="http://schemas.microsoft.com/office/drawing/2012/chart" uri="{CE6537A1-D6FC-4f65-9D91-7224C49458BB}"/>
          </c:extLst>
        </c:dLbl>
      </c:pivotFmt>
      <c:pivotFmt>
        <c:idx val="19"/>
        <c:spPr>
          <a:solidFill>
            <a:schemeClr val="accent1"/>
          </a:solidFill>
          <a:ln>
            <a:noFill/>
          </a:ln>
          <a:effectLst/>
        </c:spPr>
        <c:marker>
          <c:symbol val="none"/>
        </c:marker>
        <c:dLbl>
          <c:idx val="0"/>
          <c:dLblPos val="ctr"/>
          <c:showLegendKey val="0"/>
          <c:showVal val="1"/>
          <c:showCatName val="0"/>
          <c:showSerName val="0"/>
          <c:showPercent val="0"/>
          <c:showBubbleSize val="0"/>
          <c:extLst>
            <c:ext xmlns:c15="http://schemas.microsoft.com/office/drawing/2012/chart" uri="{CE6537A1-D6FC-4f65-9D91-7224C49458BB}"/>
          </c:extLst>
        </c:dLbl>
      </c:pivotFmt>
      <c:pivotFmt>
        <c:idx val="20"/>
        <c:spPr>
          <a:solidFill>
            <a:schemeClr val="accent1"/>
          </a:solidFill>
          <a:ln>
            <a:noFill/>
          </a:ln>
          <a:effectLst/>
        </c:spPr>
        <c:marker>
          <c:symbol val="none"/>
        </c:marker>
        <c:dLbl>
          <c:idx val="0"/>
          <c:dLblPos val="ctr"/>
          <c:showLegendKey val="0"/>
          <c:showVal val="1"/>
          <c:showCatName val="0"/>
          <c:showSerName val="0"/>
          <c:showPercent val="0"/>
          <c:showBubbleSize val="0"/>
          <c:extLst>
            <c:ext xmlns:c15="http://schemas.microsoft.com/office/drawing/2012/chart" uri="{CE6537A1-D6FC-4f65-9D91-7224C49458BB}"/>
          </c:extLst>
        </c:dLbl>
      </c:pivotFmt>
      <c:pivotFmt>
        <c:idx val="21"/>
        <c:spPr>
          <a:solidFill>
            <a:schemeClr val="accent1"/>
          </a:solidFill>
          <a:ln>
            <a:noFill/>
          </a:ln>
          <a:effectLst/>
        </c:spPr>
        <c:marker>
          <c:symbol val="none"/>
        </c:marker>
        <c:dLbl>
          <c:idx val="0"/>
          <c:dLblPos val="ctr"/>
          <c:showLegendKey val="0"/>
          <c:showVal val="1"/>
          <c:showCatName val="0"/>
          <c:showSerName val="0"/>
          <c:showPercent val="0"/>
          <c:showBubbleSize val="0"/>
          <c:extLst>
            <c:ext xmlns:c15="http://schemas.microsoft.com/office/drawing/2012/chart" uri="{CE6537A1-D6FC-4f65-9D91-7224C49458BB}"/>
          </c:extLst>
        </c:dLbl>
      </c:pivotFmt>
      <c:pivotFmt>
        <c:idx val="22"/>
        <c:spPr>
          <a:solidFill>
            <a:schemeClr val="accent1"/>
          </a:solidFill>
          <a:ln>
            <a:noFill/>
          </a:ln>
          <a:effectLst/>
        </c:spPr>
        <c:marker>
          <c:symbol val="none"/>
        </c:marker>
        <c:dLbl>
          <c:idx val="0"/>
          <c:dLblPos val="ctr"/>
          <c:showLegendKey val="0"/>
          <c:showVal val="1"/>
          <c:showCatName val="0"/>
          <c:showSerName val="0"/>
          <c:showPercent val="0"/>
          <c:showBubbleSize val="0"/>
          <c:extLst>
            <c:ext xmlns:c15="http://schemas.microsoft.com/office/drawing/2012/chart" uri="{CE6537A1-D6FC-4f65-9D91-7224C49458BB}"/>
          </c:extLst>
        </c:dLbl>
      </c:pivotFmt>
      <c:pivotFmt>
        <c:idx val="23"/>
        <c:spPr>
          <a:solidFill>
            <a:schemeClr val="accent1"/>
          </a:solidFill>
          <a:ln>
            <a:noFill/>
          </a:ln>
          <a:effectLst/>
        </c:spPr>
        <c:marker>
          <c:symbol val="none"/>
        </c:marker>
        <c:dLbl>
          <c:idx val="0"/>
          <c:showLegendKey val="0"/>
          <c:showVal val="1"/>
          <c:showCatName val="0"/>
          <c:showSerName val="0"/>
          <c:showPercent val="0"/>
          <c:showBubbleSize val="0"/>
          <c:extLst>
            <c:ext xmlns:c15="http://schemas.microsoft.com/office/drawing/2012/chart" uri="{CE6537A1-D6FC-4f65-9D91-7224C49458BB}"/>
          </c:extLst>
        </c:dLbl>
      </c:pivotFmt>
      <c:pivotFmt>
        <c:idx val="24"/>
        <c:spPr>
          <a:solidFill>
            <a:schemeClr val="accent1"/>
          </a:solidFill>
          <a:ln>
            <a:noFill/>
          </a:ln>
          <a:effectLst/>
        </c:spPr>
        <c:marker>
          <c:symbol val="none"/>
        </c:marker>
        <c:dLbl>
          <c:idx val="0"/>
          <c:showLegendKey val="0"/>
          <c:showVal val="1"/>
          <c:showCatName val="0"/>
          <c:showSerName val="0"/>
          <c:showPercent val="0"/>
          <c:showBubbleSize val="0"/>
          <c:extLst>
            <c:ext xmlns:c15="http://schemas.microsoft.com/office/drawing/2012/chart" uri="{CE6537A1-D6FC-4f65-9D91-7224C49458BB}"/>
          </c:extLst>
        </c:dLbl>
      </c:pivotFmt>
      <c:pivotFmt>
        <c:idx val="25"/>
        <c:spPr>
          <a:solidFill>
            <a:schemeClr val="accent1"/>
          </a:solidFill>
          <a:ln>
            <a:noFill/>
          </a:ln>
          <a:effectLst/>
        </c:spPr>
        <c:marker>
          <c:symbol val="none"/>
        </c:marker>
        <c:dLbl>
          <c:idx val="0"/>
          <c:showLegendKey val="0"/>
          <c:showVal val="1"/>
          <c:showCatName val="0"/>
          <c:showSerName val="0"/>
          <c:showPercent val="0"/>
          <c:showBubbleSize val="0"/>
          <c:extLst>
            <c:ext xmlns:c15="http://schemas.microsoft.com/office/drawing/2012/chart" uri="{CE6537A1-D6FC-4f65-9D91-7224C49458BB}"/>
          </c:extLst>
        </c:dLbl>
      </c:pivotFmt>
      <c:pivotFmt>
        <c:idx val="26"/>
        <c:spPr>
          <a:solidFill>
            <a:schemeClr val="accent1"/>
          </a:solidFill>
          <a:ln>
            <a:noFill/>
          </a:ln>
          <a:effectLst/>
        </c:spPr>
        <c:marker>
          <c:symbol val="none"/>
        </c:marker>
        <c:dLbl>
          <c:idx val="0"/>
          <c:showLegendKey val="0"/>
          <c:showVal val="1"/>
          <c:showCatName val="0"/>
          <c:showSerName val="0"/>
          <c:showPercent val="0"/>
          <c:showBubbleSize val="0"/>
          <c:extLst>
            <c:ext xmlns:c15="http://schemas.microsoft.com/office/drawing/2012/chart" uri="{CE6537A1-D6FC-4f65-9D91-7224C49458BB}"/>
          </c:extLst>
        </c:dLbl>
      </c:pivotFmt>
      <c:pivotFmt>
        <c:idx val="27"/>
        <c:spPr>
          <a:solidFill>
            <a:schemeClr val="accent1"/>
          </a:solidFill>
          <a:ln>
            <a:noFill/>
          </a:ln>
          <a:effectLst/>
        </c:spPr>
        <c:marker>
          <c:symbol val="none"/>
        </c:marker>
        <c:dLbl>
          <c:idx val="0"/>
          <c:showLegendKey val="0"/>
          <c:showVal val="1"/>
          <c:showCatName val="0"/>
          <c:showSerName val="0"/>
          <c:showPercent val="0"/>
          <c:showBubbleSize val="0"/>
          <c:extLst>
            <c:ext xmlns:c15="http://schemas.microsoft.com/office/drawing/2012/chart" uri="{CE6537A1-D6FC-4f65-9D91-7224C49458BB}"/>
          </c:extLst>
        </c:dLbl>
      </c:pivotFmt>
      <c:pivotFmt>
        <c:idx val="28"/>
        <c:spPr>
          <a:solidFill>
            <a:schemeClr val="accent1"/>
          </a:solidFill>
          <a:ln>
            <a:noFill/>
          </a:ln>
          <a:effectLst/>
        </c:spPr>
        <c:marker>
          <c:symbol val="none"/>
        </c:marker>
        <c:dLbl>
          <c:idx val="0"/>
          <c:showLegendKey val="0"/>
          <c:showVal val="1"/>
          <c:showCatName val="0"/>
          <c:showSerName val="0"/>
          <c:showPercent val="0"/>
          <c:showBubbleSize val="0"/>
          <c:extLst>
            <c:ext xmlns:c15="http://schemas.microsoft.com/office/drawing/2012/chart" uri="{CE6537A1-D6FC-4f65-9D91-7224C49458BB}"/>
          </c:extLst>
        </c:dLbl>
      </c:pivotFmt>
      <c:pivotFmt>
        <c:idx val="29"/>
        <c:spPr>
          <a:solidFill>
            <a:schemeClr val="accent1"/>
          </a:solidFill>
          <a:ln>
            <a:noFill/>
          </a:ln>
          <a:effectLst/>
        </c:spPr>
        <c:marker>
          <c:symbol val="none"/>
        </c:marker>
        <c:dLbl>
          <c:idx val="0"/>
          <c:showLegendKey val="0"/>
          <c:showVal val="1"/>
          <c:showCatName val="0"/>
          <c:showSerName val="0"/>
          <c:showPercent val="0"/>
          <c:showBubbleSize val="0"/>
          <c:extLst>
            <c:ext xmlns:c15="http://schemas.microsoft.com/office/drawing/2012/chart" uri="{CE6537A1-D6FC-4f65-9D91-7224C49458BB}"/>
          </c:extLst>
        </c:dLbl>
      </c:pivotFmt>
      <c:pivotFmt>
        <c:idx val="30"/>
        <c:spPr>
          <a:solidFill>
            <a:schemeClr val="accent1"/>
          </a:solidFill>
          <a:ln>
            <a:noFill/>
          </a:ln>
          <a:effectLst/>
        </c:spPr>
        <c:marker>
          <c:symbol val="none"/>
        </c:marker>
        <c:dLbl>
          <c:idx val="0"/>
          <c:showLegendKey val="0"/>
          <c:showVal val="1"/>
          <c:showCatName val="0"/>
          <c:showSerName val="0"/>
          <c:showPercent val="0"/>
          <c:showBubbleSize val="0"/>
          <c:extLst>
            <c:ext xmlns:c15="http://schemas.microsoft.com/office/drawing/2012/chart" uri="{CE6537A1-D6FC-4f65-9D91-7224C49458BB}"/>
          </c:extLst>
        </c:dLbl>
      </c:pivotFmt>
      <c:pivotFmt>
        <c:idx val="31"/>
        <c:spPr>
          <a:solidFill>
            <a:schemeClr val="accent1"/>
          </a:solidFill>
          <a:ln>
            <a:noFill/>
          </a:ln>
          <a:effectLst/>
        </c:spPr>
        <c:marker>
          <c:symbol val="none"/>
        </c:marker>
        <c:dLbl>
          <c:idx val="0"/>
          <c:showLegendKey val="0"/>
          <c:showVal val="1"/>
          <c:showCatName val="0"/>
          <c:showSerName val="0"/>
          <c:showPercent val="0"/>
          <c:showBubbleSize val="0"/>
          <c:extLst>
            <c:ext xmlns:c15="http://schemas.microsoft.com/office/drawing/2012/chart" uri="{CE6537A1-D6FC-4f65-9D91-7224C49458BB}"/>
          </c:extLst>
        </c:dLbl>
      </c:pivotFmt>
      <c:pivotFmt>
        <c:idx val="32"/>
        <c:spPr>
          <a:solidFill>
            <a:schemeClr val="accent1"/>
          </a:solidFill>
          <a:ln>
            <a:noFill/>
          </a:ln>
          <a:effectLst/>
        </c:spPr>
        <c:marker>
          <c:symbol val="none"/>
        </c:marker>
        <c:dLbl>
          <c:idx val="0"/>
          <c:showLegendKey val="0"/>
          <c:showVal val="1"/>
          <c:showCatName val="0"/>
          <c:showSerName val="0"/>
          <c:showPercent val="0"/>
          <c:showBubbleSize val="0"/>
          <c:extLst>
            <c:ext xmlns:c15="http://schemas.microsoft.com/office/drawing/2012/chart" uri="{CE6537A1-D6FC-4f65-9D91-7224C49458BB}"/>
          </c:extLst>
        </c:dLbl>
      </c:pivotFmt>
      <c:pivotFmt>
        <c:idx val="33"/>
        <c:spPr>
          <a:solidFill>
            <a:schemeClr val="accent1"/>
          </a:solidFill>
          <a:ln>
            <a:noFill/>
          </a:ln>
          <a:effectLst/>
        </c:spPr>
        <c:marker>
          <c:symbol val="none"/>
        </c:marker>
        <c:dLbl>
          <c:idx val="0"/>
          <c:showLegendKey val="0"/>
          <c:showVal val="1"/>
          <c:showCatName val="0"/>
          <c:showSerName val="0"/>
          <c:showPercent val="0"/>
          <c:showBubbleSize val="0"/>
          <c:extLst>
            <c:ext xmlns:c15="http://schemas.microsoft.com/office/drawing/2012/chart" uri="{CE6537A1-D6FC-4f65-9D91-7224C49458BB}"/>
          </c:extLst>
        </c:dLbl>
      </c:pivotFmt>
      <c:pivotFmt>
        <c:idx val="34"/>
        <c:spPr>
          <a:solidFill>
            <a:schemeClr val="accent1"/>
          </a:solidFill>
          <a:ln>
            <a:noFill/>
          </a:ln>
          <a:effectLst/>
        </c:spPr>
        <c:marker>
          <c:symbol val="none"/>
        </c:marker>
        <c:dLbl>
          <c:idx val="0"/>
          <c:showLegendKey val="0"/>
          <c:showVal val="1"/>
          <c:showCatName val="0"/>
          <c:showSerName val="0"/>
          <c:showPercent val="0"/>
          <c:showBubbleSize val="0"/>
          <c:extLst>
            <c:ext xmlns:c15="http://schemas.microsoft.com/office/drawing/2012/chart" uri="{CE6537A1-D6FC-4f65-9D91-7224C49458BB}"/>
          </c:extLst>
        </c:dLbl>
      </c:pivotFmt>
      <c:pivotFmt>
        <c:idx val="35"/>
        <c:spPr>
          <a:solidFill>
            <a:schemeClr val="accent1"/>
          </a:solidFill>
          <a:ln>
            <a:noFill/>
          </a:ln>
          <a:effectLst/>
        </c:spPr>
        <c:marker>
          <c:symbol val="none"/>
        </c:marker>
        <c:dLbl>
          <c:idx val="0"/>
          <c:showLegendKey val="0"/>
          <c:showVal val="1"/>
          <c:showCatName val="0"/>
          <c:showSerName val="0"/>
          <c:showPercent val="0"/>
          <c:showBubbleSize val="0"/>
          <c:extLst>
            <c:ext xmlns:c15="http://schemas.microsoft.com/office/drawing/2012/chart" uri="{CE6537A1-D6FC-4f65-9D91-7224C49458BB}"/>
          </c:extLst>
        </c:dLbl>
      </c:pivotFmt>
      <c:pivotFmt>
        <c:idx val="36"/>
        <c:spPr>
          <a:solidFill>
            <a:schemeClr val="accent1"/>
          </a:solidFill>
          <a:ln>
            <a:noFill/>
          </a:ln>
          <a:effectLst/>
        </c:spPr>
        <c:marker>
          <c:symbol val="none"/>
        </c:marker>
        <c:dLbl>
          <c:idx val="0"/>
          <c:showLegendKey val="0"/>
          <c:showVal val="1"/>
          <c:showCatName val="0"/>
          <c:showSerName val="0"/>
          <c:showPercent val="0"/>
          <c:showBubbleSize val="0"/>
          <c:extLst>
            <c:ext xmlns:c15="http://schemas.microsoft.com/office/drawing/2012/chart" uri="{CE6537A1-D6FC-4f65-9D91-7224C49458BB}"/>
          </c:extLst>
        </c:dLbl>
      </c:pivotFmt>
      <c:pivotFmt>
        <c:idx val="37"/>
        <c:spPr>
          <a:solidFill>
            <a:schemeClr val="accent1"/>
          </a:solidFill>
          <a:ln>
            <a:noFill/>
          </a:ln>
          <a:effectLst/>
        </c:spPr>
        <c:marker>
          <c:symbol val="none"/>
        </c:marker>
        <c:dLbl>
          <c:idx val="0"/>
          <c:showLegendKey val="0"/>
          <c:showVal val="1"/>
          <c:showCatName val="0"/>
          <c:showSerName val="0"/>
          <c:showPercent val="0"/>
          <c:showBubbleSize val="0"/>
          <c:extLst>
            <c:ext xmlns:c15="http://schemas.microsoft.com/office/drawing/2012/chart" uri="{CE6537A1-D6FC-4f65-9D91-7224C49458BB}"/>
          </c:extLst>
        </c:dLbl>
      </c:pivotFmt>
      <c:pivotFmt>
        <c:idx val="38"/>
        <c:spPr>
          <a:solidFill>
            <a:schemeClr val="accent1"/>
          </a:solidFill>
          <a:ln>
            <a:noFill/>
          </a:ln>
          <a:effectLst/>
        </c:spPr>
        <c:marker>
          <c:symbol val="none"/>
        </c:marker>
        <c:dLbl>
          <c:idx val="0"/>
          <c:showLegendKey val="0"/>
          <c:showVal val="1"/>
          <c:showCatName val="0"/>
          <c:showSerName val="0"/>
          <c:showPercent val="0"/>
          <c:showBubbleSize val="0"/>
          <c:extLst>
            <c:ext xmlns:c15="http://schemas.microsoft.com/office/drawing/2012/chart" uri="{CE6537A1-D6FC-4f65-9D91-7224C49458BB}"/>
          </c:extLst>
        </c:dLbl>
      </c:pivotFmt>
      <c:pivotFmt>
        <c:idx val="39"/>
        <c:spPr>
          <a:solidFill>
            <a:schemeClr val="accent1"/>
          </a:solidFill>
          <a:ln>
            <a:noFill/>
          </a:ln>
          <a:effectLst/>
        </c:spPr>
        <c:marker>
          <c:symbol val="none"/>
        </c:marker>
        <c:dLbl>
          <c:idx val="0"/>
          <c:dLblPos val="ctr"/>
          <c:showLegendKey val="0"/>
          <c:showVal val="1"/>
          <c:showCatName val="0"/>
          <c:showSerName val="0"/>
          <c:showPercent val="0"/>
          <c:showBubbleSize val="0"/>
          <c:extLst>
            <c:ext xmlns:c15="http://schemas.microsoft.com/office/drawing/2012/chart" uri="{CE6537A1-D6FC-4f65-9D91-7224C49458BB}"/>
          </c:extLst>
        </c:dLbl>
      </c:pivotFmt>
      <c:pivotFmt>
        <c:idx val="40"/>
        <c:spPr>
          <a:solidFill>
            <a:schemeClr val="accent1"/>
          </a:solidFill>
          <a:ln>
            <a:noFill/>
          </a:ln>
          <a:effectLst/>
        </c:spPr>
        <c:marker>
          <c:symbol val="none"/>
        </c:marker>
        <c:dLbl>
          <c:idx val="0"/>
          <c:dLblPos val="ctr"/>
          <c:showLegendKey val="0"/>
          <c:showVal val="1"/>
          <c:showCatName val="0"/>
          <c:showSerName val="0"/>
          <c:showPercent val="0"/>
          <c:showBubbleSize val="0"/>
          <c:extLst>
            <c:ext xmlns:c15="http://schemas.microsoft.com/office/drawing/2012/chart" uri="{CE6537A1-D6FC-4f65-9D91-7224C49458BB}"/>
          </c:extLst>
        </c:dLbl>
      </c:pivotFmt>
      <c:pivotFmt>
        <c:idx val="41"/>
        <c:spPr>
          <a:solidFill>
            <a:schemeClr val="accent1"/>
          </a:solidFill>
          <a:ln>
            <a:noFill/>
          </a:ln>
          <a:effectLst/>
        </c:spPr>
        <c:marker>
          <c:symbol val="none"/>
        </c:marker>
        <c:dLbl>
          <c:idx val="0"/>
          <c:dLblPos val="ctr"/>
          <c:showLegendKey val="0"/>
          <c:showVal val="1"/>
          <c:showCatName val="0"/>
          <c:showSerName val="0"/>
          <c:showPercent val="0"/>
          <c:showBubbleSize val="0"/>
          <c:extLst>
            <c:ext xmlns:c15="http://schemas.microsoft.com/office/drawing/2012/chart" uri="{CE6537A1-D6FC-4f65-9D91-7224C49458BB}"/>
          </c:extLst>
        </c:dLbl>
      </c:pivotFmt>
      <c:pivotFmt>
        <c:idx val="42"/>
        <c:spPr>
          <a:solidFill>
            <a:schemeClr val="accent1"/>
          </a:solidFill>
          <a:ln>
            <a:noFill/>
          </a:ln>
          <a:effectLst/>
        </c:spPr>
        <c:marker>
          <c:symbol val="none"/>
        </c:marker>
        <c:dLbl>
          <c:idx val="0"/>
          <c:showLegendKey val="0"/>
          <c:showVal val="1"/>
          <c:showCatName val="0"/>
          <c:showSerName val="0"/>
          <c:showPercent val="0"/>
          <c:showBubbleSize val="0"/>
          <c:extLst>
            <c:ext xmlns:c15="http://schemas.microsoft.com/office/drawing/2012/chart" uri="{CE6537A1-D6FC-4f65-9D91-7224C49458BB}"/>
          </c:extLst>
        </c:dLbl>
      </c:pivotFmt>
      <c:pivotFmt>
        <c:idx val="43"/>
        <c:spPr>
          <a:solidFill>
            <a:schemeClr val="accent1"/>
          </a:solidFill>
          <a:ln>
            <a:noFill/>
          </a:ln>
          <a:effectLst/>
        </c:spPr>
        <c:marker>
          <c:symbol val="none"/>
        </c:marker>
        <c:dLbl>
          <c:idx val="0"/>
          <c:showLegendKey val="0"/>
          <c:showVal val="1"/>
          <c:showCatName val="0"/>
          <c:showSerName val="0"/>
          <c:showPercent val="0"/>
          <c:showBubbleSize val="0"/>
          <c:extLst>
            <c:ext xmlns:c15="http://schemas.microsoft.com/office/drawing/2012/chart" uri="{CE6537A1-D6FC-4f65-9D91-7224C49458BB}"/>
          </c:extLst>
        </c:dLbl>
      </c:pivotFmt>
      <c:pivotFmt>
        <c:idx val="44"/>
        <c:spPr>
          <a:solidFill>
            <a:schemeClr val="accent1"/>
          </a:solidFill>
          <a:ln>
            <a:noFill/>
          </a:ln>
          <a:effectLst/>
        </c:spPr>
        <c:marker>
          <c:symbol val="none"/>
        </c:marker>
        <c:dLbl>
          <c:idx val="0"/>
          <c:showLegendKey val="0"/>
          <c:showVal val="1"/>
          <c:showCatName val="0"/>
          <c:showSerName val="0"/>
          <c:showPercent val="0"/>
          <c:showBubbleSize val="0"/>
          <c:extLst>
            <c:ext xmlns:c15="http://schemas.microsoft.com/office/drawing/2012/chart" uri="{CE6537A1-D6FC-4f65-9D91-7224C49458BB}"/>
          </c:extLst>
        </c:dLbl>
      </c:pivotFmt>
      <c:pivotFmt>
        <c:idx val="45"/>
        <c:spPr>
          <a:solidFill>
            <a:schemeClr val="accent1"/>
          </a:solidFill>
          <a:ln>
            <a:noFill/>
          </a:ln>
          <a:effectLst/>
        </c:spPr>
        <c:marker>
          <c:symbol val="none"/>
        </c:marker>
        <c:dLbl>
          <c:idx val="0"/>
          <c:showLegendKey val="0"/>
          <c:showVal val="1"/>
          <c:showCatName val="0"/>
          <c:showSerName val="0"/>
          <c:showPercent val="0"/>
          <c:showBubbleSize val="0"/>
          <c:extLst>
            <c:ext xmlns:c15="http://schemas.microsoft.com/office/drawing/2012/chart" uri="{CE6537A1-D6FC-4f65-9D91-7224C49458BB}"/>
          </c:extLst>
        </c:dLbl>
      </c:pivotFmt>
      <c:pivotFmt>
        <c:idx val="46"/>
        <c:spPr>
          <a:solidFill>
            <a:schemeClr val="accent1"/>
          </a:solidFill>
          <a:ln>
            <a:noFill/>
          </a:ln>
          <a:effectLst/>
        </c:spPr>
        <c:marker>
          <c:symbol val="none"/>
        </c:marker>
        <c:dLbl>
          <c:idx val="0"/>
          <c:showLegendKey val="0"/>
          <c:showVal val="1"/>
          <c:showCatName val="0"/>
          <c:showSerName val="0"/>
          <c:showPercent val="0"/>
          <c:showBubbleSize val="0"/>
          <c:extLst>
            <c:ext xmlns:c15="http://schemas.microsoft.com/office/drawing/2012/chart" uri="{CE6537A1-D6FC-4f65-9D91-7224C49458BB}"/>
          </c:extLst>
        </c:dLbl>
      </c:pivotFmt>
      <c:pivotFmt>
        <c:idx val="47"/>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8"/>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9"/>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1"/>
        <c:dLbl>
          <c:idx val="0"/>
          <c:tx>
            <c:strRef>
              <c:f>Ontwerp_Backlog!$AF$91</c:f>
              <c:strCache>
                <c:ptCount val="1"/>
                <c:pt idx="0">
                  <c:v>#DELING.DOOR.0!</c:v>
                </c:pt>
              </c:strCache>
            </c:strRef>
          </c:tx>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15:dlblFieldTable>
                <c15:dlblFTEntry>
                  <c15:txfldGUID>{798A7736-A457-444C-8124-1009EEC45A10}</c15:txfldGUID>
                  <c15:f>Ontwerp_Backlog!$AF$91</c15:f>
                  <c15:dlblFieldTableCache>
                    <c:ptCount val="1"/>
                    <c:pt idx="0">
                      <c:v>#DELING.DOOR.0!</c:v>
                    </c:pt>
                  </c15:dlblFieldTableCache>
                </c15:dlblFTEntry>
              </c15:dlblFieldTable>
              <c15:showDataLabelsRange val="0"/>
            </c:ext>
          </c:extLst>
        </c:dLbl>
      </c:pivotFmt>
      <c:pivotFmt>
        <c:idx val="52"/>
        <c:dLbl>
          <c:idx val="0"/>
          <c:tx>
            <c:strRef>
              <c:f>Ontwerp_Backlog!$AF$92</c:f>
              <c:strCache>
                <c:ptCount val="1"/>
                <c:pt idx="0">
                  <c:v>#DELING.DOOR.0!</c:v>
                </c:pt>
              </c:strCache>
            </c:strRef>
          </c:tx>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15:dlblFieldTable>
                <c15:dlblFTEntry>
                  <c15:txfldGUID>{D44ACB8A-D0BB-4824-A176-747EE021F9E2}</c15:txfldGUID>
                  <c15:f>Ontwerp_Backlog!$AF$92</c15:f>
                  <c15:dlblFieldTableCache>
                    <c:ptCount val="1"/>
                    <c:pt idx="0">
                      <c:v>#DELING.DOOR.0!</c:v>
                    </c:pt>
                  </c15:dlblFieldTableCache>
                </c15:dlblFTEntry>
              </c15:dlblFieldTable>
              <c15:showDataLabelsRange val="0"/>
            </c:ext>
          </c:extLst>
        </c:dLbl>
      </c:pivotFmt>
      <c:pivotFmt>
        <c:idx val="53"/>
        <c:dLbl>
          <c:idx val="0"/>
          <c:tx>
            <c:strRef>
              <c:f>Ontwerp_Backlog!$AF$93</c:f>
              <c:strCache>
                <c:ptCount val="1"/>
                <c:pt idx="0">
                  <c:v>#DELING.DOOR.0!</c:v>
                </c:pt>
              </c:strCache>
            </c:strRef>
          </c:tx>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15:dlblFieldTable>
                <c15:dlblFTEntry>
                  <c15:txfldGUID>{1816BAD6-7CC3-4D39-A392-FC30DB03E4F9}</c15:txfldGUID>
                  <c15:f>Ontwerp_Backlog!$AF$93</c15:f>
                  <c15:dlblFieldTableCache>
                    <c:ptCount val="1"/>
                    <c:pt idx="0">
                      <c:v>#DELING.DOOR.0!</c:v>
                    </c:pt>
                  </c15:dlblFieldTableCache>
                </c15:dlblFTEntry>
              </c15:dlblFieldTable>
              <c15:showDataLabelsRange val="0"/>
            </c:ext>
          </c:extLst>
        </c:dLbl>
      </c:pivotFmt>
      <c:pivotFmt>
        <c:idx val="54"/>
        <c:dLbl>
          <c:idx val="0"/>
          <c:tx>
            <c:strRef>
              <c:f>Ontwerp_Backlog!$AF$94</c:f>
              <c:strCache>
                <c:ptCount val="1"/>
                <c:pt idx="0">
                  <c:v>#DELING.DOOR.0!</c:v>
                </c:pt>
              </c:strCache>
            </c:strRef>
          </c:tx>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15:dlblFieldTable>
                <c15:dlblFTEntry>
                  <c15:txfldGUID>{914B6998-9BDA-41BC-97DC-4BE902BEE3E4}</c15:txfldGUID>
                  <c15:f>Ontwerp_Backlog!$AF$94</c15:f>
                  <c15:dlblFieldTableCache>
                    <c:ptCount val="1"/>
                    <c:pt idx="0">
                      <c:v>#DELING.DOOR.0!</c:v>
                    </c:pt>
                  </c15:dlblFieldTableCache>
                </c15:dlblFTEntry>
              </c15:dlblFieldTable>
              <c15:showDataLabelsRange val="0"/>
            </c:ext>
          </c:extLst>
        </c:dLbl>
      </c:pivotFmt>
      <c:pivotFmt>
        <c:idx val="55"/>
        <c:dLbl>
          <c:idx val="0"/>
          <c:tx>
            <c:strRef>
              <c:f>Ontwerp_Backlog!$AF$95</c:f>
              <c:strCache>
                <c:ptCount val="1"/>
                <c:pt idx="0">
                  <c:v>#DELING.DOOR.0!</c:v>
                </c:pt>
              </c:strCache>
            </c:strRef>
          </c:tx>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15:dlblFieldTable>
                <c15:dlblFTEntry>
                  <c15:txfldGUID>{69EFA8D5-FFB0-4FD9-9539-B3DAB0651CA8}</c15:txfldGUID>
                  <c15:f>Ontwerp_Backlog!$AF$95</c15:f>
                  <c15:dlblFieldTableCache>
                    <c:ptCount val="1"/>
                    <c:pt idx="0">
                      <c:v>#DELING.DOOR.0!</c:v>
                    </c:pt>
                  </c15:dlblFieldTableCache>
                </c15:dlblFTEntry>
              </c15:dlblFieldTable>
              <c15:showDataLabelsRange val="0"/>
            </c:ext>
          </c:extLst>
        </c:dLbl>
      </c:pivotFmt>
      <c:pivotFmt>
        <c:idx val="56"/>
        <c:dLbl>
          <c:idx val="0"/>
          <c:tx>
            <c:strRef>
              <c:f>Ontwerp_Backlog!$AF$96</c:f>
              <c:strCache>
                <c:ptCount val="1"/>
                <c:pt idx="0">
                  <c:v>#DELING.DOOR.0!</c:v>
                </c:pt>
              </c:strCache>
            </c:strRef>
          </c:tx>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15:dlblFieldTable>
                <c15:dlblFTEntry>
                  <c15:txfldGUID>{933E7395-C8E0-4836-97BE-B7EC9B243EC5}</c15:txfldGUID>
                  <c15:f>Ontwerp_Backlog!$AF$96</c15:f>
                  <c15:dlblFieldTableCache>
                    <c:ptCount val="1"/>
                    <c:pt idx="0">
                      <c:v>#DELING.DOOR.0!</c:v>
                    </c:pt>
                  </c15:dlblFieldTableCache>
                </c15:dlblFTEntry>
              </c15:dlblFieldTable>
              <c15:showDataLabelsRange val="0"/>
            </c:ext>
          </c:extLst>
        </c:dLbl>
      </c:pivotFmt>
      <c:pivotFmt>
        <c:idx val="57"/>
        <c:dLbl>
          <c:idx val="0"/>
          <c:tx>
            <c:strRef>
              <c:f>Ontwerp_Backlog!$AG$91</c:f>
              <c:strCache>
                <c:ptCount val="1"/>
                <c:pt idx="0">
                  <c:v>#DELING.DOOR.0!</c:v>
                </c:pt>
              </c:strCache>
            </c:strRef>
          </c:tx>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15:dlblFieldTable>
                <c15:dlblFTEntry>
                  <c15:txfldGUID>{B5AB7C5F-6000-4F2D-8EB5-1A14FEF4F187}</c15:txfldGUID>
                  <c15:f>Ontwerp_Backlog!$AG$91</c15:f>
                  <c15:dlblFieldTableCache>
                    <c:ptCount val="1"/>
                    <c:pt idx="0">
                      <c:v>#DELING.DOOR.0!</c:v>
                    </c:pt>
                  </c15:dlblFieldTableCache>
                </c15:dlblFTEntry>
              </c15:dlblFieldTable>
              <c15:showDataLabelsRange val="0"/>
            </c:ext>
          </c:extLst>
        </c:dLbl>
      </c:pivotFmt>
      <c:pivotFmt>
        <c:idx val="58"/>
        <c:dLbl>
          <c:idx val="0"/>
          <c:tx>
            <c:strRef>
              <c:f>Ontwerp_Backlog!$AG$92</c:f>
              <c:strCache>
                <c:ptCount val="1"/>
                <c:pt idx="0">
                  <c:v>#DELING.DOOR.0!</c:v>
                </c:pt>
              </c:strCache>
            </c:strRef>
          </c:tx>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15:dlblFieldTable>
                <c15:dlblFTEntry>
                  <c15:txfldGUID>{ED23D141-8B7C-456C-8C8F-7A611C1ADC5D}</c15:txfldGUID>
                  <c15:f>Ontwerp_Backlog!$AG$92</c15:f>
                  <c15:dlblFieldTableCache>
                    <c:ptCount val="1"/>
                    <c:pt idx="0">
                      <c:v>#DELING.DOOR.0!</c:v>
                    </c:pt>
                  </c15:dlblFieldTableCache>
                </c15:dlblFTEntry>
              </c15:dlblFieldTable>
              <c15:showDataLabelsRange val="0"/>
            </c:ext>
          </c:extLst>
        </c:dLbl>
      </c:pivotFmt>
      <c:pivotFmt>
        <c:idx val="59"/>
        <c:dLbl>
          <c:idx val="0"/>
          <c:tx>
            <c:strRef>
              <c:f>Ontwerp_Backlog!$AG$93</c:f>
              <c:strCache>
                <c:ptCount val="1"/>
                <c:pt idx="0">
                  <c:v>#DELING.DOOR.0!</c:v>
                </c:pt>
              </c:strCache>
            </c:strRef>
          </c:tx>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15:dlblFieldTable>
                <c15:dlblFTEntry>
                  <c15:txfldGUID>{4C45507B-03A5-4437-812B-A77AD03D5F3D}</c15:txfldGUID>
                  <c15:f>Ontwerp_Backlog!$AG$93</c15:f>
                  <c15:dlblFieldTableCache>
                    <c:ptCount val="1"/>
                    <c:pt idx="0">
                      <c:v>#DELING.DOOR.0!</c:v>
                    </c:pt>
                  </c15:dlblFieldTableCache>
                </c15:dlblFTEntry>
              </c15:dlblFieldTable>
              <c15:showDataLabelsRange val="0"/>
            </c:ext>
          </c:extLst>
        </c:dLbl>
      </c:pivotFmt>
      <c:pivotFmt>
        <c:idx val="60"/>
        <c:dLbl>
          <c:idx val="0"/>
          <c:tx>
            <c:strRef>
              <c:f>Ontwerp_Backlog!$AG$94</c:f>
              <c:strCache>
                <c:ptCount val="1"/>
                <c:pt idx="0">
                  <c:v>#DELING.DOOR.0!</c:v>
                </c:pt>
              </c:strCache>
            </c:strRef>
          </c:tx>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15:dlblFieldTable>
                <c15:dlblFTEntry>
                  <c15:txfldGUID>{4C08E8E8-A139-46C1-B543-1C7987BD4985}</c15:txfldGUID>
                  <c15:f>Ontwerp_Backlog!$AG$94</c15:f>
                  <c15:dlblFieldTableCache>
                    <c:ptCount val="1"/>
                    <c:pt idx="0">
                      <c:v>#DELING.DOOR.0!</c:v>
                    </c:pt>
                  </c15:dlblFieldTableCache>
                </c15:dlblFTEntry>
              </c15:dlblFieldTable>
              <c15:showDataLabelsRange val="0"/>
            </c:ext>
          </c:extLst>
        </c:dLbl>
      </c:pivotFmt>
      <c:pivotFmt>
        <c:idx val="61"/>
        <c:dLbl>
          <c:idx val="0"/>
          <c:tx>
            <c:strRef>
              <c:f>Ontwerp_Backlog!$AG$95</c:f>
              <c:strCache>
                <c:ptCount val="1"/>
                <c:pt idx="0">
                  <c:v>#DELING.DOOR.0!</c:v>
                </c:pt>
              </c:strCache>
            </c:strRef>
          </c:tx>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15:dlblFieldTable>
                <c15:dlblFTEntry>
                  <c15:txfldGUID>{F4298053-0542-44DF-99E5-A6A64A6383B7}</c15:txfldGUID>
                  <c15:f>Ontwerp_Backlog!$AG$95</c15:f>
                  <c15:dlblFieldTableCache>
                    <c:ptCount val="1"/>
                    <c:pt idx="0">
                      <c:v>#DELING.DOOR.0!</c:v>
                    </c:pt>
                  </c15:dlblFieldTableCache>
                </c15:dlblFTEntry>
              </c15:dlblFieldTable>
              <c15:showDataLabelsRange val="0"/>
            </c:ext>
          </c:extLst>
        </c:dLbl>
      </c:pivotFmt>
      <c:pivotFmt>
        <c:idx val="62"/>
        <c:dLbl>
          <c:idx val="0"/>
          <c:tx>
            <c:strRef>
              <c:f>Ontwerp_Backlog!$AG$96</c:f>
              <c:strCache>
                <c:ptCount val="1"/>
                <c:pt idx="0">
                  <c:v>#DELING.DOOR.0!</c:v>
                </c:pt>
              </c:strCache>
            </c:strRef>
          </c:tx>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15:dlblFieldTable>
                <c15:dlblFTEntry>
                  <c15:txfldGUID>{CA12EAC9-4447-42BB-B26B-1F9CBDF3ECE5}</c15:txfldGUID>
                  <c15:f>Ontwerp_Backlog!$AG$96</c15:f>
                  <c15:dlblFieldTableCache>
                    <c:ptCount val="1"/>
                    <c:pt idx="0">
                      <c:v>#DELING.DOOR.0!</c:v>
                    </c:pt>
                  </c15:dlblFieldTableCache>
                </c15:dlblFTEntry>
              </c15:dlblFieldTable>
              <c15:showDataLabelsRange val="0"/>
            </c:ext>
          </c:extLst>
        </c:dLbl>
      </c:pivotFmt>
      <c:pivotFmt>
        <c:idx val="63"/>
        <c:spPr>
          <a:solidFill>
            <a:schemeClr val="accent1">
              <a:lumMod val="60000"/>
              <a:lumOff val="40000"/>
            </a:schemeClr>
          </a:solidFill>
          <a:ln>
            <a:noFill/>
          </a:ln>
          <a:effectLst/>
        </c:spPr>
        <c:dLbl>
          <c:idx val="0"/>
          <c:tx>
            <c:strRef>
              <c:f>Ontwerp_Backlog!$AG$91</c:f>
              <c:strCache>
                <c:ptCount val="1"/>
                <c:pt idx="0">
                  <c:v>#DELING.DOOR.0!</c:v>
                </c:pt>
              </c:strCache>
            </c:strRef>
          </c:tx>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15:dlblFieldTable>
                <c15:dlblFTEntry>
                  <c15:txfldGUID>{84F73917-2B59-4FDB-B933-4527AF5EC4BF}</c15:txfldGUID>
                  <c15:f>Ontwerp_Backlog!$AG$91</c15:f>
                  <c15:dlblFieldTableCache>
                    <c:ptCount val="1"/>
                    <c:pt idx="0">
                      <c:v>#DELING.DOOR.0!</c:v>
                    </c:pt>
                  </c15:dlblFieldTableCache>
                </c15:dlblFTEntry>
              </c15:dlblFieldTable>
              <c15:showDataLabelsRange val="0"/>
            </c:ext>
          </c:extLst>
        </c:dLbl>
      </c:pivotFmt>
      <c:pivotFmt>
        <c:idx val="64"/>
        <c:spPr>
          <a:solidFill>
            <a:schemeClr val="accent1">
              <a:lumMod val="60000"/>
              <a:lumOff val="40000"/>
            </a:schemeClr>
          </a:solidFill>
          <a:ln>
            <a:noFill/>
          </a:ln>
          <a:effectLst/>
        </c:spPr>
        <c:dLbl>
          <c:idx val="0"/>
          <c:tx>
            <c:strRef>
              <c:f>Ontwerp_Backlog!$AG$92</c:f>
              <c:strCache>
                <c:ptCount val="1"/>
                <c:pt idx="0">
                  <c:v>#DELING.DOOR.0!</c:v>
                </c:pt>
              </c:strCache>
            </c:strRef>
          </c:tx>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15:dlblFieldTable>
                <c15:dlblFTEntry>
                  <c15:txfldGUID>{CC92C1B5-1541-47C3-879A-02D3352EC7A0}</c15:txfldGUID>
                  <c15:f>Ontwerp_Backlog!$AG$92</c15:f>
                  <c15:dlblFieldTableCache>
                    <c:ptCount val="1"/>
                    <c:pt idx="0">
                      <c:v>#DELING.DOOR.0!</c:v>
                    </c:pt>
                  </c15:dlblFieldTableCache>
                </c15:dlblFTEntry>
              </c15:dlblFieldTable>
              <c15:showDataLabelsRange val="0"/>
            </c:ext>
          </c:extLst>
        </c:dLbl>
      </c:pivotFmt>
      <c:pivotFmt>
        <c:idx val="65"/>
        <c:spPr>
          <a:solidFill>
            <a:schemeClr val="accent1">
              <a:lumMod val="60000"/>
              <a:lumOff val="40000"/>
            </a:schemeClr>
          </a:solidFill>
          <a:ln>
            <a:noFill/>
          </a:ln>
          <a:effectLst/>
        </c:spPr>
        <c:dLbl>
          <c:idx val="0"/>
          <c:tx>
            <c:strRef>
              <c:f>Ontwerp_Backlog!$AG$93</c:f>
              <c:strCache>
                <c:ptCount val="1"/>
                <c:pt idx="0">
                  <c:v>#DELING.DOOR.0!</c:v>
                </c:pt>
              </c:strCache>
            </c:strRef>
          </c:tx>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15:dlblFieldTable>
                <c15:dlblFTEntry>
                  <c15:txfldGUID>{CA5B4B35-79A3-45B9-BAD8-6162369C6CD6}</c15:txfldGUID>
                  <c15:f>Ontwerp_Backlog!$AG$93</c15:f>
                  <c15:dlblFieldTableCache>
                    <c:ptCount val="1"/>
                    <c:pt idx="0">
                      <c:v>#DELING.DOOR.0!</c:v>
                    </c:pt>
                  </c15:dlblFieldTableCache>
                </c15:dlblFTEntry>
              </c15:dlblFieldTable>
              <c15:showDataLabelsRange val="0"/>
            </c:ext>
          </c:extLst>
        </c:dLbl>
      </c:pivotFmt>
      <c:pivotFmt>
        <c:idx val="66"/>
        <c:spPr>
          <a:solidFill>
            <a:schemeClr val="accent1">
              <a:lumMod val="60000"/>
              <a:lumOff val="40000"/>
            </a:schemeClr>
          </a:solidFill>
          <a:ln>
            <a:noFill/>
          </a:ln>
          <a:effectLst/>
        </c:spPr>
        <c:dLbl>
          <c:idx val="0"/>
          <c:tx>
            <c:strRef>
              <c:f>Ontwerp_Backlog!$AG$94</c:f>
              <c:strCache>
                <c:ptCount val="1"/>
                <c:pt idx="0">
                  <c:v>#DELING.DOOR.0!</c:v>
                </c:pt>
              </c:strCache>
            </c:strRef>
          </c:tx>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15:dlblFieldTable>
                <c15:dlblFTEntry>
                  <c15:txfldGUID>{528A3DFE-7CB8-4535-97F2-3E293371E8B1}</c15:txfldGUID>
                  <c15:f>Ontwerp_Backlog!$AG$94</c15:f>
                  <c15:dlblFieldTableCache>
                    <c:ptCount val="1"/>
                    <c:pt idx="0">
                      <c:v>#DELING.DOOR.0!</c:v>
                    </c:pt>
                  </c15:dlblFieldTableCache>
                </c15:dlblFTEntry>
              </c15:dlblFieldTable>
              <c15:showDataLabelsRange val="0"/>
            </c:ext>
          </c:extLst>
        </c:dLbl>
      </c:pivotFmt>
      <c:pivotFmt>
        <c:idx val="67"/>
        <c:spPr>
          <a:solidFill>
            <a:schemeClr val="accent1">
              <a:lumMod val="60000"/>
              <a:lumOff val="40000"/>
            </a:schemeClr>
          </a:solidFill>
          <a:ln>
            <a:noFill/>
          </a:ln>
          <a:effectLst/>
        </c:spPr>
        <c:dLbl>
          <c:idx val="0"/>
          <c:tx>
            <c:strRef>
              <c:f>Ontwerp_Backlog!$AG$95</c:f>
              <c:strCache>
                <c:ptCount val="1"/>
                <c:pt idx="0">
                  <c:v>#DELING.DOOR.0!</c:v>
                </c:pt>
              </c:strCache>
            </c:strRef>
          </c:tx>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15:dlblFieldTable>
                <c15:dlblFTEntry>
                  <c15:txfldGUID>{340498F6-2F07-41E3-8205-53F2AD10A99D}</c15:txfldGUID>
                  <c15:f>Ontwerp_Backlog!$AG$95</c15:f>
                  <c15:dlblFieldTableCache>
                    <c:ptCount val="1"/>
                    <c:pt idx="0">
                      <c:v>#DELING.DOOR.0!</c:v>
                    </c:pt>
                  </c15:dlblFieldTableCache>
                </c15:dlblFTEntry>
              </c15:dlblFieldTable>
              <c15:showDataLabelsRange val="0"/>
            </c:ext>
          </c:extLst>
        </c:dLbl>
      </c:pivotFmt>
      <c:pivotFmt>
        <c:idx val="68"/>
        <c:spPr>
          <a:solidFill>
            <a:schemeClr val="accent1">
              <a:lumMod val="60000"/>
              <a:lumOff val="40000"/>
            </a:schemeClr>
          </a:solidFill>
          <a:ln>
            <a:noFill/>
          </a:ln>
          <a:effectLst/>
        </c:spPr>
        <c:dLbl>
          <c:idx val="0"/>
          <c:tx>
            <c:strRef>
              <c:f>Ontwerp_Backlog!$AG$96</c:f>
              <c:strCache>
                <c:ptCount val="1"/>
                <c:pt idx="0">
                  <c:v>#DELING.DOOR.0!</c:v>
                </c:pt>
              </c:strCache>
            </c:strRef>
          </c:tx>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15:dlblFieldTable>
                <c15:dlblFTEntry>
                  <c15:txfldGUID>{F14A4111-39EB-4EB8-8242-55F10562492E}</c15:txfldGUID>
                  <c15:f>Ontwerp_Backlog!$AG$96</c15:f>
                  <c15:dlblFieldTableCache>
                    <c:ptCount val="1"/>
                    <c:pt idx="0">
                      <c:v>#DELING.DOOR.0!</c:v>
                    </c:pt>
                  </c15:dlblFieldTableCache>
                </c15:dlblFTEntry>
              </c15:dlblFieldTable>
              <c15:showDataLabelsRange val="0"/>
            </c:ext>
          </c:extLst>
        </c:dLbl>
      </c:pivotFmt>
      <c:pivotFmt>
        <c:idx val="69"/>
        <c:spPr>
          <a:solidFill>
            <a:schemeClr val="accent1">
              <a:lumMod val="50000"/>
            </a:schemeClr>
          </a:solidFill>
          <a:ln>
            <a:noFill/>
          </a:ln>
          <a:effectLst/>
        </c:spPr>
        <c:dLbl>
          <c:idx val="0"/>
          <c:tx>
            <c:strRef>
              <c:f>Ontwerp_Backlog!$AF$91</c:f>
              <c:strCache>
                <c:ptCount val="1"/>
                <c:pt idx="0">
                  <c:v>#DELING.DOOR.0!</c:v>
                </c:pt>
              </c:strCache>
            </c:strRef>
          </c:tx>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15:dlblFieldTable>
                <c15:dlblFTEntry>
                  <c15:txfldGUID>{3930B521-0CFC-4C1A-ACF5-F922AD1F4065}</c15:txfldGUID>
                  <c15:f>Ontwerp_Backlog!$AF$91</c15:f>
                  <c15:dlblFieldTableCache>
                    <c:ptCount val="1"/>
                    <c:pt idx="0">
                      <c:v>#DELING.DOOR.0!</c:v>
                    </c:pt>
                  </c15:dlblFieldTableCache>
                </c15:dlblFTEntry>
              </c15:dlblFieldTable>
              <c15:showDataLabelsRange val="0"/>
            </c:ext>
          </c:extLst>
        </c:dLbl>
      </c:pivotFmt>
      <c:pivotFmt>
        <c:idx val="70"/>
        <c:spPr>
          <a:solidFill>
            <a:schemeClr val="accent1">
              <a:lumMod val="50000"/>
            </a:schemeClr>
          </a:solidFill>
          <a:ln>
            <a:noFill/>
          </a:ln>
          <a:effectLst/>
        </c:spPr>
        <c:dLbl>
          <c:idx val="0"/>
          <c:tx>
            <c:strRef>
              <c:f>Ontwerp_Backlog!$AF$92</c:f>
              <c:strCache>
                <c:ptCount val="1"/>
                <c:pt idx="0">
                  <c:v>#DELING.DOOR.0!</c:v>
                </c:pt>
              </c:strCache>
            </c:strRef>
          </c:tx>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15:dlblFieldTable>
                <c15:dlblFTEntry>
                  <c15:txfldGUID>{F34E3E6F-6AC9-46D1-B6FE-80BE47607D0D}</c15:txfldGUID>
                  <c15:f>Ontwerp_Backlog!$AF$92</c15:f>
                  <c15:dlblFieldTableCache>
                    <c:ptCount val="1"/>
                    <c:pt idx="0">
                      <c:v>#DELING.DOOR.0!</c:v>
                    </c:pt>
                  </c15:dlblFieldTableCache>
                </c15:dlblFTEntry>
              </c15:dlblFieldTable>
              <c15:showDataLabelsRange val="0"/>
            </c:ext>
          </c:extLst>
        </c:dLbl>
      </c:pivotFmt>
      <c:pivotFmt>
        <c:idx val="71"/>
        <c:spPr>
          <a:solidFill>
            <a:schemeClr val="accent1">
              <a:lumMod val="50000"/>
            </a:schemeClr>
          </a:solidFill>
          <a:ln>
            <a:noFill/>
          </a:ln>
          <a:effectLst/>
        </c:spPr>
        <c:dLbl>
          <c:idx val="0"/>
          <c:tx>
            <c:strRef>
              <c:f>Ontwerp_Backlog!$AF$93</c:f>
              <c:strCache>
                <c:ptCount val="1"/>
                <c:pt idx="0">
                  <c:v>#DELING.DOOR.0!</c:v>
                </c:pt>
              </c:strCache>
            </c:strRef>
          </c:tx>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15:dlblFieldTable>
                <c15:dlblFTEntry>
                  <c15:txfldGUID>{5DFE3D41-8EAD-410C-878C-3B9244B54F31}</c15:txfldGUID>
                  <c15:f>Ontwerp_Backlog!$AF$93</c15:f>
                  <c15:dlblFieldTableCache>
                    <c:ptCount val="1"/>
                    <c:pt idx="0">
                      <c:v>#DELING.DOOR.0!</c:v>
                    </c:pt>
                  </c15:dlblFieldTableCache>
                </c15:dlblFTEntry>
              </c15:dlblFieldTable>
              <c15:showDataLabelsRange val="0"/>
            </c:ext>
          </c:extLst>
        </c:dLbl>
      </c:pivotFmt>
      <c:pivotFmt>
        <c:idx val="72"/>
        <c:spPr>
          <a:solidFill>
            <a:schemeClr val="accent1">
              <a:lumMod val="50000"/>
            </a:schemeClr>
          </a:solidFill>
          <a:ln>
            <a:noFill/>
          </a:ln>
          <a:effectLst/>
        </c:spPr>
        <c:dLbl>
          <c:idx val="0"/>
          <c:tx>
            <c:strRef>
              <c:f>Ontwerp_Backlog!$AF$94</c:f>
              <c:strCache>
                <c:ptCount val="1"/>
                <c:pt idx="0">
                  <c:v>#DELING.DOOR.0!</c:v>
                </c:pt>
              </c:strCache>
            </c:strRef>
          </c:tx>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15:dlblFieldTable>
                <c15:dlblFTEntry>
                  <c15:txfldGUID>{97C005E4-D6FC-4CB4-96BE-D9ECE5866E8F}</c15:txfldGUID>
                  <c15:f>Ontwerp_Backlog!$AF$94</c15:f>
                  <c15:dlblFieldTableCache>
                    <c:ptCount val="1"/>
                    <c:pt idx="0">
                      <c:v>#DELING.DOOR.0!</c:v>
                    </c:pt>
                  </c15:dlblFieldTableCache>
                </c15:dlblFTEntry>
              </c15:dlblFieldTable>
              <c15:showDataLabelsRange val="0"/>
            </c:ext>
          </c:extLst>
        </c:dLbl>
      </c:pivotFmt>
      <c:pivotFmt>
        <c:idx val="73"/>
        <c:spPr>
          <a:solidFill>
            <a:schemeClr val="accent1">
              <a:lumMod val="50000"/>
            </a:schemeClr>
          </a:solidFill>
          <a:ln>
            <a:noFill/>
          </a:ln>
          <a:effectLst/>
        </c:spPr>
        <c:dLbl>
          <c:idx val="0"/>
          <c:tx>
            <c:strRef>
              <c:f>Ontwerp_Backlog!$AF$95</c:f>
              <c:strCache>
                <c:ptCount val="1"/>
                <c:pt idx="0">
                  <c:v>#DELING.DOOR.0!</c:v>
                </c:pt>
              </c:strCache>
            </c:strRef>
          </c:tx>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15:dlblFieldTable>
                <c15:dlblFTEntry>
                  <c15:txfldGUID>{2721F454-98EA-4FFD-84BF-887FF381CC6F}</c15:txfldGUID>
                  <c15:f>Ontwerp_Backlog!$AF$95</c15:f>
                  <c15:dlblFieldTableCache>
                    <c:ptCount val="1"/>
                    <c:pt idx="0">
                      <c:v>#DELING.DOOR.0!</c:v>
                    </c:pt>
                  </c15:dlblFieldTableCache>
                </c15:dlblFTEntry>
              </c15:dlblFieldTable>
              <c15:showDataLabelsRange val="0"/>
            </c:ext>
          </c:extLst>
        </c:dLbl>
      </c:pivotFmt>
      <c:pivotFmt>
        <c:idx val="74"/>
        <c:spPr>
          <a:solidFill>
            <a:schemeClr val="accent1">
              <a:lumMod val="50000"/>
            </a:schemeClr>
          </a:solidFill>
          <a:ln>
            <a:noFill/>
          </a:ln>
          <a:effectLst/>
        </c:spPr>
        <c:dLbl>
          <c:idx val="0"/>
          <c:tx>
            <c:strRef>
              <c:f>Ontwerp_Backlog!$AF$96</c:f>
              <c:strCache>
                <c:ptCount val="1"/>
                <c:pt idx="0">
                  <c:v>#DELING.DOOR.0!</c:v>
                </c:pt>
              </c:strCache>
            </c:strRef>
          </c:tx>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15:dlblFieldTable>
                <c15:dlblFTEntry>
                  <c15:txfldGUID>{5C93AA81-1046-44FC-B408-C1EE75411E71}</c15:txfldGUID>
                  <c15:f>Ontwerp_Backlog!$AF$96</c15:f>
                  <c15:dlblFieldTableCache>
                    <c:ptCount val="1"/>
                    <c:pt idx="0">
                      <c:v>#DELING.DOOR.0!</c:v>
                    </c:pt>
                  </c15:dlblFieldTableCache>
                </c15:dlblFTEntry>
              </c15:dlblFieldTable>
              <c15:showDataLabelsRange val="0"/>
            </c:ext>
          </c:extLst>
        </c:dLbl>
      </c:pivotFmt>
      <c:pivotFmt>
        <c:idx val="75"/>
        <c:spPr>
          <a:solidFill>
            <a:schemeClr val="accent1">
              <a:lumMod val="60000"/>
              <a:lumOff val="40000"/>
            </a:schemeClr>
          </a:solidFill>
          <a:ln>
            <a:noFill/>
          </a:ln>
          <a:effectLst/>
        </c:spPr>
        <c:dLbl>
          <c:idx val="0"/>
          <c:tx>
            <c:strRef>
              <c:f>Ontwerp_Backlog!$AG$97</c:f>
              <c:strCache>
                <c:ptCount val="1"/>
                <c:pt idx="0">
                  <c:v>#VERW!</c:v>
                </c:pt>
              </c:strCache>
            </c:strRef>
          </c:tx>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15:dlblFieldTable>
                <c15:dlblFTEntry>
                  <c15:txfldGUID>{7BB5F78F-DB03-4E7E-9473-1D2A03771081}</c15:txfldGUID>
                  <c15:f>Ontwerp_Backlog!$AG$97</c15:f>
                  <c15:dlblFieldTableCache>
                    <c:ptCount val="1"/>
                    <c:pt idx="0">
                      <c:v>#VERW!</c:v>
                    </c:pt>
                  </c15:dlblFieldTableCache>
                </c15:dlblFTEntry>
              </c15:dlblFieldTable>
              <c15:showDataLabelsRange val="0"/>
            </c:ext>
          </c:extLst>
        </c:dLbl>
      </c:pivotFmt>
      <c:pivotFmt>
        <c:idx val="76"/>
        <c:spPr>
          <a:solidFill>
            <a:schemeClr val="accent1">
              <a:lumMod val="60000"/>
              <a:lumOff val="40000"/>
            </a:schemeClr>
          </a:solidFill>
          <a:ln>
            <a:noFill/>
          </a:ln>
          <a:effectLst/>
        </c:spPr>
        <c:dLbl>
          <c:idx val="0"/>
          <c:tx>
            <c:strRef>
              <c:f>Ontwerp_Backlog!$AG$98</c:f>
              <c:strCache>
                <c:ptCount val="1"/>
                <c:pt idx="0">
                  <c:v>#VERW!</c:v>
                </c:pt>
              </c:strCache>
            </c:strRef>
          </c:tx>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15:dlblFieldTable>
                <c15:dlblFTEntry>
                  <c15:txfldGUID>{F666EE71-CD38-49A4-9598-DB12B39FE229}</c15:txfldGUID>
                  <c15:f>Ontwerp_Backlog!$AG$98</c15:f>
                  <c15:dlblFieldTableCache>
                    <c:ptCount val="1"/>
                    <c:pt idx="0">
                      <c:v>#VERW!</c:v>
                    </c:pt>
                  </c15:dlblFieldTableCache>
                </c15:dlblFTEntry>
              </c15:dlblFieldTable>
              <c15:showDataLabelsRange val="0"/>
            </c:ext>
          </c:extLst>
        </c:dLbl>
      </c:pivotFmt>
      <c:pivotFmt>
        <c:idx val="77"/>
        <c:spPr>
          <a:solidFill>
            <a:schemeClr val="accent1">
              <a:lumMod val="50000"/>
            </a:schemeClr>
          </a:solidFill>
          <a:ln>
            <a:noFill/>
          </a:ln>
          <a:effectLst/>
        </c:spPr>
        <c:dLbl>
          <c:idx val="0"/>
          <c:tx>
            <c:strRef>
              <c:f>Ontwerp_Backlog!$AF$97</c:f>
              <c:strCache>
                <c:ptCount val="1"/>
                <c:pt idx="0">
                  <c:v>#VERW!</c:v>
                </c:pt>
              </c:strCache>
            </c:strRef>
          </c:tx>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15:dlblFieldTable>
                <c15:dlblFTEntry>
                  <c15:txfldGUID>{74CB693B-3BD3-44EF-8C76-E08EF1FA1AA4}</c15:txfldGUID>
                  <c15:f>Ontwerp_Backlog!$AF$97</c15:f>
                  <c15:dlblFieldTableCache>
                    <c:ptCount val="1"/>
                    <c:pt idx="0">
                      <c:v>#VERW!</c:v>
                    </c:pt>
                  </c15:dlblFieldTableCache>
                </c15:dlblFTEntry>
              </c15:dlblFieldTable>
              <c15:showDataLabelsRange val="0"/>
            </c:ext>
          </c:extLst>
        </c:dLbl>
      </c:pivotFmt>
      <c:pivotFmt>
        <c:idx val="78"/>
        <c:spPr>
          <a:solidFill>
            <a:schemeClr val="accent1">
              <a:lumMod val="50000"/>
            </a:schemeClr>
          </a:solidFill>
          <a:ln>
            <a:noFill/>
          </a:ln>
          <a:effectLst/>
        </c:spPr>
        <c:dLbl>
          <c:idx val="0"/>
          <c:tx>
            <c:strRef>
              <c:f>Ontwerp_Backlog!$AF$98</c:f>
              <c:strCache>
                <c:ptCount val="1"/>
                <c:pt idx="0">
                  <c:v>#VERW!</c:v>
                </c:pt>
              </c:strCache>
            </c:strRef>
          </c:tx>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15:dlblFieldTable>
                <c15:dlblFTEntry>
                  <c15:txfldGUID>{F66BF1DB-F575-4BA8-984F-08ACF7993AA5}</c15:txfldGUID>
                  <c15:f>Ontwerp_Backlog!$AF$98</c15:f>
                  <c15:dlblFieldTableCache>
                    <c:ptCount val="1"/>
                    <c:pt idx="0">
                      <c:v>#VERW!</c:v>
                    </c:pt>
                  </c15:dlblFieldTableCache>
                </c15:dlblFTEntry>
              </c15:dlblFieldTable>
              <c15:showDataLabelsRange val="0"/>
            </c:ext>
          </c:extLst>
        </c:dLbl>
      </c:pivotFmt>
      <c:pivotFmt>
        <c:idx val="79"/>
        <c:spPr>
          <a:solidFill>
            <a:srgbClr val="002060"/>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80"/>
        <c:spPr>
          <a:solidFill>
            <a:schemeClr val="accent1">
              <a:lumMod val="60000"/>
              <a:lumOff val="40000"/>
            </a:schemeClr>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s>
    <c:plotArea>
      <c:layout/>
      <c:barChart>
        <c:barDir val="col"/>
        <c:grouping val="stacked"/>
        <c:varyColors val="0"/>
        <c:ser>
          <c:idx val="0"/>
          <c:order val="0"/>
          <c:tx>
            <c:strRef>
              <c:f>Ontwerp_Backlog!$AF$91</c:f>
              <c:strCache>
                <c:ptCount val="1"/>
                <c:pt idx="0">
                  <c:v>Primair Materieelgebruik</c:v>
                </c:pt>
              </c:strCache>
            </c:strRef>
          </c:tx>
          <c:spPr>
            <a:solidFill>
              <a:srgbClr val="002060"/>
            </a:solidFill>
            <a:ln>
              <a:noFill/>
            </a:ln>
            <a:effectLst/>
          </c:spPr>
          <c:invertIfNegative val="0"/>
          <c:dPt>
            <c:idx val="0"/>
            <c:invertIfNegative val="0"/>
            <c:bubble3D val="0"/>
            <c:extLst>
              <c:ext xmlns:c16="http://schemas.microsoft.com/office/drawing/2014/chart" uri="{C3380CC4-5D6E-409C-BE32-E72D297353CC}">
                <c16:uniqueId val="{00000007-414C-4505-B0C9-C0468DC11E02}"/>
              </c:ext>
            </c:extLst>
          </c:dPt>
          <c:dPt>
            <c:idx val="1"/>
            <c:invertIfNegative val="0"/>
            <c:bubble3D val="0"/>
            <c:extLst>
              <c:ext xmlns:c16="http://schemas.microsoft.com/office/drawing/2014/chart" uri="{C3380CC4-5D6E-409C-BE32-E72D297353CC}">
                <c16:uniqueId val="{0000000B-414C-4505-B0C9-C0468DC11E02}"/>
              </c:ext>
            </c:extLst>
          </c:dPt>
          <c:dPt>
            <c:idx val="2"/>
            <c:invertIfNegative val="0"/>
            <c:bubble3D val="0"/>
            <c:extLst>
              <c:ext xmlns:c16="http://schemas.microsoft.com/office/drawing/2014/chart" uri="{C3380CC4-5D6E-409C-BE32-E72D297353CC}">
                <c16:uniqueId val="{0000000C-414C-4505-B0C9-C0468DC11E02}"/>
              </c:ext>
            </c:extLst>
          </c:dPt>
          <c:dPt>
            <c:idx val="3"/>
            <c:invertIfNegative val="0"/>
            <c:bubble3D val="0"/>
            <c:extLst>
              <c:ext xmlns:c16="http://schemas.microsoft.com/office/drawing/2014/chart" uri="{C3380CC4-5D6E-409C-BE32-E72D297353CC}">
                <c16:uniqueId val="{0000000D-414C-4505-B0C9-C0468DC11E02}"/>
              </c:ext>
            </c:extLst>
          </c:dPt>
          <c:dPt>
            <c:idx val="4"/>
            <c:invertIfNegative val="0"/>
            <c:bubble3D val="0"/>
            <c:extLst>
              <c:ext xmlns:c16="http://schemas.microsoft.com/office/drawing/2014/chart" uri="{C3380CC4-5D6E-409C-BE32-E72D297353CC}">
                <c16:uniqueId val="{0000000E-414C-4505-B0C9-C0468DC11E02}"/>
              </c:ext>
            </c:extLst>
          </c:dPt>
          <c:dPt>
            <c:idx val="5"/>
            <c:invertIfNegative val="0"/>
            <c:bubble3D val="0"/>
            <c:extLst>
              <c:ext xmlns:c16="http://schemas.microsoft.com/office/drawing/2014/chart" uri="{C3380CC4-5D6E-409C-BE32-E72D297353CC}">
                <c16:uniqueId val="{0000000F-414C-4505-B0C9-C0468DC11E02}"/>
              </c:ext>
            </c:extLst>
          </c:dPt>
          <c:dPt>
            <c:idx val="6"/>
            <c:invertIfNegative val="0"/>
            <c:bubble3D val="0"/>
            <c:extLst>
              <c:ext xmlns:c16="http://schemas.microsoft.com/office/drawing/2014/chart" uri="{C3380CC4-5D6E-409C-BE32-E72D297353CC}">
                <c16:uniqueId val="{0000000E-5A25-41AA-B773-07A5EDC7205B}"/>
              </c:ext>
            </c:extLst>
          </c:dPt>
          <c:dPt>
            <c:idx val="7"/>
            <c:invertIfNegative val="0"/>
            <c:bubble3D val="0"/>
            <c:extLst>
              <c:ext xmlns:c16="http://schemas.microsoft.com/office/drawing/2014/chart" uri="{C3380CC4-5D6E-409C-BE32-E72D297353CC}">
                <c16:uniqueId val="{0000000F-5A25-41AA-B773-07A5EDC7205B}"/>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Ontwerp_Backlog!$AF$91</c:f>
              <c:strCache>
                <c:ptCount val="3"/>
                <c:pt idx="0">
                  <c:v>Open Menggranulaat</c:v>
                </c:pt>
                <c:pt idx="1">
                  <c:v>Rockwool</c:v>
                </c:pt>
                <c:pt idx="2">
                  <c:v>Plastic kratten</c:v>
                </c:pt>
              </c:strCache>
            </c:strRef>
          </c:cat>
          <c:val>
            <c:numRef>
              <c:f>Ontwerp_Backlog!$AF$91</c:f>
              <c:numCache>
                <c:formatCode>_(* #,##0.0_);_(* \(#,##0.0\);_(* "-"??_);_(@_)</c:formatCode>
                <c:ptCount val="3"/>
                <c:pt idx="0">
                  <c:v>1024.2</c:v>
                </c:pt>
                <c:pt idx="1">
                  <c:v>319.20000000000005</c:v>
                </c:pt>
                <c:pt idx="2">
                  <c:v>333.20000000000005</c:v>
                </c:pt>
              </c:numCache>
            </c:numRef>
          </c:val>
          <c:extLst>
            <c:ext xmlns:c16="http://schemas.microsoft.com/office/drawing/2014/chart" uri="{C3380CC4-5D6E-409C-BE32-E72D297353CC}">
              <c16:uniqueId val="{00000000-2C02-48F3-9E38-B90895DE55C0}"/>
            </c:ext>
          </c:extLst>
        </c:ser>
        <c:ser>
          <c:idx val="1"/>
          <c:order val="1"/>
          <c:tx>
            <c:strRef>
              <c:f>Ontwerp_Backlog!$AF$91</c:f>
              <c:strCache>
                <c:ptCount val="1"/>
                <c:pt idx="0">
                  <c:v>Secundair Materieelgebruik</c:v>
                </c:pt>
              </c:strCache>
            </c:strRef>
          </c:tx>
          <c:spPr>
            <a:solidFill>
              <a:schemeClr val="accent1">
                <a:lumMod val="60000"/>
                <a:lumOff val="40000"/>
              </a:schemeClr>
            </a:solidFill>
            <a:ln>
              <a:noFill/>
            </a:ln>
            <a:effectLst/>
          </c:spPr>
          <c:invertIfNegative val="0"/>
          <c:dPt>
            <c:idx val="0"/>
            <c:invertIfNegative val="0"/>
            <c:bubble3D val="0"/>
            <c:extLst>
              <c:ext xmlns:c16="http://schemas.microsoft.com/office/drawing/2014/chart" uri="{C3380CC4-5D6E-409C-BE32-E72D297353CC}">
                <c16:uniqueId val="{00000010-414C-4505-B0C9-C0468DC11E02}"/>
              </c:ext>
            </c:extLst>
          </c:dPt>
          <c:dPt>
            <c:idx val="1"/>
            <c:invertIfNegative val="0"/>
            <c:bubble3D val="0"/>
            <c:extLst>
              <c:ext xmlns:c16="http://schemas.microsoft.com/office/drawing/2014/chart" uri="{C3380CC4-5D6E-409C-BE32-E72D297353CC}">
                <c16:uniqueId val="{00000011-414C-4505-B0C9-C0468DC11E02}"/>
              </c:ext>
            </c:extLst>
          </c:dPt>
          <c:dPt>
            <c:idx val="2"/>
            <c:invertIfNegative val="0"/>
            <c:bubble3D val="0"/>
            <c:extLst>
              <c:ext xmlns:c16="http://schemas.microsoft.com/office/drawing/2014/chart" uri="{C3380CC4-5D6E-409C-BE32-E72D297353CC}">
                <c16:uniqueId val="{00000012-414C-4505-B0C9-C0468DC11E02}"/>
              </c:ext>
            </c:extLst>
          </c:dPt>
          <c:dPt>
            <c:idx val="3"/>
            <c:invertIfNegative val="0"/>
            <c:bubble3D val="0"/>
            <c:extLst>
              <c:ext xmlns:c16="http://schemas.microsoft.com/office/drawing/2014/chart" uri="{C3380CC4-5D6E-409C-BE32-E72D297353CC}">
                <c16:uniqueId val="{00000013-414C-4505-B0C9-C0468DC11E02}"/>
              </c:ext>
            </c:extLst>
          </c:dPt>
          <c:dPt>
            <c:idx val="4"/>
            <c:invertIfNegative val="0"/>
            <c:bubble3D val="0"/>
            <c:extLst>
              <c:ext xmlns:c16="http://schemas.microsoft.com/office/drawing/2014/chart" uri="{C3380CC4-5D6E-409C-BE32-E72D297353CC}">
                <c16:uniqueId val="{00000014-414C-4505-B0C9-C0468DC11E02}"/>
              </c:ext>
            </c:extLst>
          </c:dPt>
          <c:dPt>
            <c:idx val="5"/>
            <c:invertIfNegative val="0"/>
            <c:bubble3D val="0"/>
            <c:extLst>
              <c:ext xmlns:c16="http://schemas.microsoft.com/office/drawing/2014/chart" uri="{C3380CC4-5D6E-409C-BE32-E72D297353CC}">
                <c16:uniqueId val="{00000015-414C-4505-B0C9-C0468DC11E02}"/>
              </c:ext>
            </c:extLst>
          </c:dPt>
          <c:dPt>
            <c:idx val="6"/>
            <c:invertIfNegative val="0"/>
            <c:bubble3D val="0"/>
            <c:extLst>
              <c:ext xmlns:c16="http://schemas.microsoft.com/office/drawing/2014/chart" uri="{C3380CC4-5D6E-409C-BE32-E72D297353CC}">
                <c16:uniqueId val="{0000000C-5A25-41AA-B773-07A5EDC7205B}"/>
              </c:ext>
            </c:extLst>
          </c:dPt>
          <c:dPt>
            <c:idx val="7"/>
            <c:invertIfNegative val="0"/>
            <c:bubble3D val="0"/>
            <c:extLst>
              <c:ext xmlns:c16="http://schemas.microsoft.com/office/drawing/2014/chart" uri="{C3380CC4-5D6E-409C-BE32-E72D297353CC}">
                <c16:uniqueId val="{0000000D-5A25-41AA-B773-07A5EDC7205B}"/>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Ontwerp_Backlog!$AF$91</c:f>
              <c:strCache>
                <c:ptCount val="3"/>
                <c:pt idx="0">
                  <c:v>Open Menggranulaat</c:v>
                </c:pt>
                <c:pt idx="1">
                  <c:v>Rockwool</c:v>
                </c:pt>
                <c:pt idx="2">
                  <c:v>Plastic kratten</c:v>
                </c:pt>
              </c:strCache>
            </c:strRef>
          </c:cat>
          <c:val>
            <c:numRef>
              <c:f>Ontwerp_Backlog!$AF$91</c:f>
              <c:numCache>
                <c:formatCode>_(* #,##0.0_);_(* \(#,##0.0\);_(* "-"??_);_(@_)</c:formatCode>
                <c:ptCount val="3"/>
                <c:pt idx="0">
                  <c:v>1505.4</c:v>
                </c:pt>
                <c:pt idx="1">
                  <c:v>1391.65</c:v>
                </c:pt>
                <c:pt idx="2">
                  <c:v>1391.65</c:v>
                </c:pt>
              </c:numCache>
            </c:numRef>
          </c:val>
          <c:extLst>
            <c:ext xmlns:c16="http://schemas.microsoft.com/office/drawing/2014/chart" uri="{C3380CC4-5D6E-409C-BE32-E72D297353CC}">
              <c16:uniqueId val="{00000001-2C02-48F3-9E38-B90895DE55C0}"/>
            </c:ext>
          </c:extLst>
        </c:ser>
        <c:dLbls>
          <c:showLegendKey val="0"/>
          <c:showVal val="0"/>
          <c:showCatName val="0"/>
          <c:showSerName val="0"/>
          <c:showPercent val="0"/>
          <c:showBubbleSize val="0"/>
        </c:dLbls>
        <c:gapWidth val="150"/>
        <c:overlap val="100"/>
        <c:axId val="373257344"/>
        <c:axId val="373248192"/>
      </c:barChart>
      <c:catAx>
        <c:axId val="373257344"/>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n-US"/>
          </a:p>
        </c:txPr>
        <c:crossAx val="373248192"/>
        <c:crosses val="autoZero"/>
        <c:auto val="1"/>
        <c:lblAlgn val="ctr"/>
        <c:lblOffset val="100"/>
        <c:noMultiLvlLbl val="0"/>
      </c:catAx>
      <c:valAx>
        <c:axId val="373248192"/>
        <c:scaling>
          <c:orientation val="minMax"/>
        </c:scaling>
        <c:delete val="0"/>
        <c:axPos val="l"/>
        <c:majorGridlines>
          <c:spPr>
            <a:ln w="9525" cap="flat" cmpd="sng" algn="ctr">
              <a:solidFill>
                <a:schemeClr val="tx1">
                  <a:lumMod val="15000"/>
                  <a:lumOff val="85000"/>
                </a:schemeClr>
              </a:solidFill>
              <a:round/>
            </a:ln>
            <a:effectLst/>
          </c:spPr>
        </c:majorGridlines>
        <c:numFmt formatCode="_(* #,##0.0_);_(* \(#,##0.0\);_(* &quot;-&quot;??_);_(@_)"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7325734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pivotOptions>
    </c:ext>
    <c:ext xmlns:c16="http://schemas.microsoft.com/office/drawing/2014/chart" uri="{E28EC0CA-F0BB-4C9C-879D-F8772B89E7AC}">
      <c16:pivotOptions16>
        <c16:showExpandCollapseFieldButtons val="1"/>
      </c16:pivotOptions16>
    </c:ext>
  </c:extLst>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pivotSource>
    <c:name>[Rekenmodule - Noordewierweg - v1.0.xlsx]Ontwerp_Backlog!PivotTable1</c:name>
    <c:fmtId val="2"/>
  </c:pivotSource>
  <c:chart>
    <c:title>
      <c:tx>
        <c:rich>
          <a:bodyPr rot="0" spcFirstLastPara="1" vertOverflow="ellipsis" vert="horz" wrap="square" anchor="ctr" anchorCtr="1"/>
          <a:lstStyle/>
          <a:p>
            <a:pPr>
              <a:defRPr sz="1400" b="1" i="0" u="none" strike="noStrike" kern="1200" baseline="0">
                <a:solidFill>
                  <a:schemeClr val="tx2"/>
                </a:solidFill>
                <a:latin typeface="+mn-lt"/>
                <a:ea typeface="+mn-ea"/>
                <a:cs typeface="+mn-cs"/>
              </a:defRPr>
            </a:pPr>
            <a:r>
              <a:rPr lang="nl-NL" sz="1400" b="1" i="0" baseline="0">
                <a:effectLst/>
              </a:rPr>
              <a:t>MKI waarde per product per onderdeel</a:t>
            </a:r>
            <a:endParaRPr lang="en-NL" sz="1400">
              <a:effectLst/>
            </a:endParaRPr>
          </a:p>
        </c:rich>
      </c:tx>
      <c:overlay val="0"/>
      <c:spPr>
        <a:noFill/>
        <a:ln>
          <a:noFill/>
        </a:ln>
        <a:effectLst/>
      </c:spPr>
      <c:txPr>
        <a:bodyPr rot="0" spcFirstLastPara="1" vertOverflow="ellipsis" vert="horz" wrap="square" anchor="ctr" anchorCtr="1"/>
        <a:lstStyle/>
        <a:p>
          <a:pPr>
            <a:defRPr sz="1400" b="1" i="0" u="none" strike="noStrike" kern="1200" baseline="0">
              <a:solidFill>
                <a:schemeClr val="tx2"/>
              </a:solidFill>
              <a:latin typeface="+mn-lt"/>
              <a:ea typeface="+mn-ea"/>
              <a:cs typeface="+mn-cs"/>
            </a:defRPr>
          </a:pPr>
          <a:endParaRPr lang="en-US"/>
        </a:p>
      </c:txPr>
    </c:title>
    <c:autoTitleDeleted val="0"/>
    <c:pivotFmts>
      <c:pivotFmt>
        <c:idx val="0"/>
        <c:dLbl>
          <c:idx val="0"/>
          <c:showLegendKey val="0"/>
          <c:showVal val="0"/>
          <c:showCatName val="0"/>
          <c:showSerName val="0"/>
          <c:showPercent val="0"/>
          <c:showBubbleSize val="0"/>
          <c:extLst>
            <c:ext xmlns:c15="http://schemas.microsoft.com/office/drawing/2012/chart" uri="{CE6537A1-D6FC-4f65-9D91-7224C49458BB}"/>
          </c:extLst>
        </c:dLbl>
      </c:pivotFmt>
      <c:pivotFmt>
        <c:idx val="1"/>
        <c:dLbl>
          <c:idx val="0"/>
          <c:showLegendKey val="0"/>
          <c:showVal val="0"/>
          <c:showCatName val="0"/>
          <c:showSerName val="0"/>
          <c:showPercent val="0"/>
          <c:showBubbleSize val="0"/>
          <c:extLst>
            <c:ext xmlns:c15="http://schemas.microsoft.com/office/drawing/2012/chart" uri="{CE6537A1-D6FC-4f65-9D91-7224C49458BB}"/>
          </c:extLst>
        </c:dLbl>
      </c:pivotFmt>
      <c:pivotFmt>
        <c:idx val="2"/>
        <c:dLbl>
          <c:idx val="0"/>
          <c:showLegendKey val="0"/>
          <c:showVal val="0"/>
          <c:showCatName val="0"/>
          <c:showSerName val="0"/>
          <c:showPercent val="0"/>
          <c:showBubbleSize val="0"/>
          <c:extLst>
            <c:ext xmlns:c15="http://schemas.microsoft.com/office/drawing/2012/chart" uri="{CE6537A1-D6FC-4f65-9D91-7224C49458BB}"/>
          </c:extLst>
        </c:dLbl>
      </c:pivotFmt>
      <c:pivotFmt>
        <c:idx val="3"/>
        <c:dLbl>
          <c:idx val="0"/>
          <c:showLegendKey val="0"/>
          <c:showVal val="0"/>
          <c:showCatName val="0"/>
          <c:showSerName val="0"/>
          <c:showPercent val="0"/>
          <c:showBubbleSize val="0"/>
          <c:extLst>
            <c:ext xmlns:c15="http://schemas.microsoft.com/office/drawing/2012/chart" uri="{CE6537A1-D6FC-4f65-9D91-7224C49458BB}"/>
          </c:extLst>
        </c:dLbl>
      </c:pivotFmt>
      <c:pivotFmt>
        <c:idx val="4"/>
        <c:dLbl>
          <c:idx val="0"/>
          <c:showLegendKey val="0"/>
          <c:showVal val="0"/>
          <c:showCatName val="0"/>
          <c:showSerName val="0"/>
          <c:showPercent val="0"/>
          <c:showBubbleSize val="0"/>
          <c:extLst>
            <c:ext xmlns:c15="http://schemas.microsoft.com/office/drawing/2012/chart" uri="{CE6537A1-D6FC-4f65-9D91-7224C49458BB}"/>
          </c:extLst>
        </c:dLbl>
      </c:pivotFmt>
      <c:pivotFmt>
        <c:idx val="5"/>
        <c:dLbl>
          <c:idx val="0"/>
          <c:showLegendKey val="0"/>
          <c:showVal val="0"/>
          <c:showCatName val="0"/>
          <c:showSerName val="0"/>
          <c:showPercent val="0"/>
          <c:showBubbleSize val="0"/>
          <c:extLst>
            <c:ext xmlns:c15="http://schemas.microsoft.com/office/drawing/2012/chart" uri="{CE6537A1-D6FC-4f65-9D91-7224C49458BB}"/>
          </c:extLst>
        </c:dLbl>
      </c:pivotFmt>
      <c:pivotFmt>
        <c:idx val="6"/>
        <c:dLbl>
          <c:idx val="0"/>
          <c:showLegendKey val="0"/>
          <c:showVal val="0"/>
          <c:showCatName val="0"/>
          <c:showSerName val="0"/>
          <c:showPercent val="0"/>
          <c:showBubbleSize val="0"/>
          <c:extLst>
            <c:ext xmlns:c15="http://schemas.microsoft.com/office/drawing/2012/chart" uri="{CE6537A1-D6FC-4f65-9D91-7224C49458BB}"/>
          </c:extLst>
        </c:dLbl>
      </c:pivotFmt>
      <c:pivotFmt>
        <c:idx val="7"/>
        <c:dLbl>
          <c:idx val="0"/>
          <c:showLegendKey val="0"/>
          <c:showVal val="0"/>
          <c:showCatName val="0"/>
          <c:showSerName val="0"/>
          <c:showPercent val="0"/>
          <c:showBubbleSize val="0"/>
          <c:extLst>
            <c:ext xmlns:c15="http://schemas.microsoft.com/office/drawing/2012/chart" uri="{CE6537A1-D6FC-4f65-9D91-7224C49458BB}"/>
          </c:extLst>
        </c:dLbl>
      </c:pivotFmt>
      <c:pivotFmt>
        <c:idx val="8"/>
        <c:dLbl>
          <c:idx val="0"/>
          <c:showLegendKey val="0"/>
          <c:showVal val="0"/>
          <c:showCatName val="0"/>
          <c:showSerName val="0"/>
          <c:showPercent val="0"/>
          <c:showBubbleSize val="0"/>
          <c:extLst>
            <c:ext xmlns:c15="http://schemas.microsoft.com/office/drawing/2012/chart" uri="{CE6537A1-D6FC-4f65-9D91-7224C49458BB}"/>
          </c:extLst>
        </c:dLbl>
      </c:pivotFmt>
      <c:pivotFmt>
        <c:idx val="9"/>
        <c:dLbl>
          <c:idx val="0"/>
          <c:showLegendKey val="0"/>
          <c:showVal val="0"/>
          <c:showCatName val="0"/>
          <c:showSerName val="0"/>
          <c:showPercent val="0"/>
          <c:showBubbleSize val="0"/>
          <c:extLst>
            <c:ext xmlns:c15="http://schemas.microsoft.com/office/drawing/2012/chart" uri="{CE6537A1-D6FC-4f65-9D91-7224C49458BB}"/>
          </c:extLst>
        </c:dLbl>
      </c:pivotFmt>
      <c:pivotFmt>
        <c:idx val="10"/>
        <c:dLbl>
          <c:idx val="0"/>
          <c:showLegendKey val="0"/>
          <c:showVal val="0"/>
          <c:showCatName val="0"/>
          <c:showSerName val="0"/>
          <c:showPercent val="0"/>
          <c:showBubbleSize val="0"/>
          <c:extLst>
            <c:ext xmlns:c15="http://schemas.microsoft.com/office/drawing/2012/chart" uri="{CE6537A1-D6FC-4f65-9D91-7224C49458BB}"/>
          </c:extLst>
        </c:dLbl>
      </c:pivotFmt>
      <c:pivotFmt>
        <c:idx val="11"/>
        <c:dLbl>
          <c:idx val="0"/>
          <c:showLegendKey val="0"/>
          <c:showVal val="0"/>
          <c:showCatName val="0"/>
          <c:showSerName val="0"/>
          <c:showPercent val="0"/>
          <c:showBubbleSize val="0"/>
          <c:extLst>
            <c:ext xmlns:c15="http://schemas.microsoft.com/office/drawing/2012/chart" uri="{CE6537A1-D6FC-4f65-9D91-7224C49458BB}"/>
          </c:extLst>
        </c:dLbl>
      </c:pivotFmt>
      <c:pivotFmt>
        <c:idx val="12"/>
        <c:dLbl>
          <c:idx val="0"/>
          <c:showLegendKey val="0"/>
          <c:showVal val="0"/>
          <c:showCatName val="0"/>
          <c:showSerName val="0"/>
          <c:showPercent val="0"/>
          <c:showBubbleSize val="0"/>
          <c:extLst>
            <c:ext xmlns:c15="http://schemas.microsoft.com/office/drawing/2012/chart" uri="{CE6537A1-D6FC-4f65-9D91-7224C49458BB}"/>
          </c:extLst>
        </c:dLbl>
      </c:pivotFmt>
      <c:pivotFmt>
        <c:idx val="13"/>
        <c:dLbl>
          <c:idx val="0"/>
          <c:showLegendKey val="0"/>
          <c:showVal val="0"/>
          <c:showCatName val="0"/>
          <c:showSerName val="0"/>
          <c:showPercent val="0"/>
          <c:showBubbleSize val="0"/>
          <c:extLst>
            <c:ext xmlns:c15="http://schemas.microsoft.com/office/drawing/2012/chart" uri="{CE6537A1-D6FC-4f65-9D91-7224C49458BB}"/>
          </c:extLst>
        </c:dLbl>
      </c:pivotFmt>
      <c:pivotFmt>
        <c:idx val="14"/>
        <c:dLbl>
          <c:idx val="0"/>
          <c:showLegendKey val="0"/>
          <c:showVal val="0"/>
          <c:showCatName val="0"/>
          <c:showSerName val="0"/>
          <c:showPercent val="0"/>
          <c:showBubbleSize val="0"/>
          <c:extLst>
            <c:ext xmlns:c15="http://schemas.microsoft.com/office/drawing/2012/chart" uri="{CE6537A1-D6FC-4f65-9D91-7224C49458BB}"/>
          </c:extLst>
        </c:dLbl>
      </c:pivotFmt>
      <c:pivotFmt>
        <c:idx val="15"/>
        <c:dLbl>
          <c:idx val="0"/>
          <c:showLegendKey val="0"/>
          <c:showVal val="0"/>
          <c:showCatName val="0"/>
          <c:showSerName val="0"/>
          <c:showPercent val="0"/>
          <c:showBubbleSize val="0"/>
          <c:extLst>
            <c:ext xmlns:c15="http://schemas.microsoft.com/office/drawing/2012/chart" uri="{CE6537A1-D6FC-4f65-9D91-7224C49458BB}"/>
          </c:extLst>
        </c:dLbl>
      </c:pivotFmt>
      <c:pivotFmt>
        <c:idx val="16"/>
        <c:dLbl>
          <c:idx val="0"/>
          <c:showLegendKey val="0"/>
          <c:showVal val="0"/>
          <c:showCatName val="0"/>
          <c:showSerName val="0"/>
          <c:showPercent val="0"/>
          <c:showBubbleSize val="0"/>
          <c:extLst>
            <c:ext xmlns:c15="http://schemas.microsoft.com/office/drawing/2012/chart" uri="{CE6537A1-D6FC-4f65-9D91-7224C49458BB}"/>
          </c:extLst>
        </c:dLbl>
      </c:pivotFmt>
      <c:pivotFmt>
        <c:idx val="17"/>
        <c:dLbl>
          <c:idx val="0"/>
          <c:showLegendKey val="0"/>
          <c:showVal val="0"/>
          <c:showCatName val="0"/>
          <c:showSerName val="0"/>
          <c:showPercent val="0"/>
          <c:showBubbleSize val="0"/>
          <c:extLst>
            <c:ext xmlns:c15="http://schemas.microsoft.com/office/drawing/2012/chart" uri="{CE6537A1-D6FC-4f65-9D91-7224C49458BB}"/>
          </c:extLst>
        </c:dLbl>
      </c:pivotFmt>
      <c:pivotFmt>
        <c:idx val="18"/>
        <c:dLbl>
          <c:idx val="0"/>
          <c:showLegendKey val="0"/>
          <c:showVal val="0"/>
          <c:showCatName val="0"/>
          <c:showSerName val="0"/>
          <c:showPercent val="0"/>
          <c:showBubbleSize val="0"/>
          <c:extLst>
            <c:ext xmlns:c15="http://schemas.microsoft.com/office/drawing/2012/chart" uri="{CE6537A1-D6FC-4f65-9D91-7224C49458BB}"/>
          </c:extLst>
        </c:dLbl>
      </c:pivotFmt>
      <c:pivotFmt>
        <c:idx val="19"/>
        <c:dLbl>
          <c:idx val="0"/>
          <c:showLegendKey val="0"/>
          <c:showVal val="0"/>
          <c:showCatName val="0"/>
          <c:showSerName val="0"/>
          <c:showPercent val="0"/>
          <c:showBubbleSize val="0"/>
          <c:extLst>
            <c:ext xmlns:c15="http://schemas.microsoft.com/office/drawing/2012/chart" uri="{CE6537A1-D6FC-4f65-9D91-7224C49458BB}"/>
          </c:extLst>
        </c:dLbl>
      </c:pivotFmt>
      <c:pivotFmt>
        <c:idx val="20"/>
        <c:dLbl>
          <c:idx val="0"/>
          <c:showLegendKey val="0"/>
          <c:showVal val="0"/>
          <c:showCatName val="0"/>
          <c:showSerName val="0"/>
          <c:showPercent val="0"/>
          <c:showBubbleSize val="0"/>
          <c:extLst>
            <c:ext xmlns:c15="http://schemas.microsoft.com/office/drawing/2012/chart" uri="{CE6537A1-D6FC-4f65-9D91-7224C49458BB}"/>
          </c:extLst>
        </c:dLbl>
      </c:pivotFmt>
      <c:pivotFmt>
        <c:idx val="21"/>
        <c:dLbl>
          <c:idx val="0"/>
          <c:showLegendKey val="0"/>
          <c:showVal val="0"/>
          <c:showCatName val="0"/>
          <c:showSerName val="0"/>
          <c:showPercent val="0"/>
          <c:showBubbleSize val="0"/>
          <c:extLst>
            <c:ext xmlns:c15="http://schemas.microsoft.com/office/drawing/2012/chart" uri="{CE6537A1-D6FC-4f65-9D91-7224C49458BB}"/>
          </c:extLst>
        </c:dLbl>
      </c:pivotFmt>
      <c:pivotFmt>
        <c:idx val="22"/>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2"/>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3"/>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c:spPr>
        <c:marker>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w="12700">
              <a:solidFill>
                <a:schemeClr val="lt2"/>
              </a:solidFill>
              <a:round/>
            </a:ln>
            <a:effectLst/>
          </c:spPr>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4"/>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c:spPr>
        <c:marker>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w="12700">
              <a:solidFill>
                <a:schemeClr val="lt2"/>
              </a:solidFill>
              <a:round/>
            </a:ln>
            <a:effectLst/>
          </c:spPr>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5"/>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c:spPr>
        <c:marker>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w="12700">
              <a:solidFill>
                <a:schemeClr val="lt2"/>
              </a:solidFill>
              <a:round/>
            </a:ln>
            <a:effectLst/>
          </c:spPr>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6"/>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c:spPr>
        <c:marker>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w="12700">
              <a:solidFill>
                <a:schemeClr val="lt2"/>
              </a:solidFill>
              <a:round/>
            </a:ln>
            <a:effectLst/>
          </c:spPr>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7"/>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c:spPr>
        <c:marker>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w="12700">
              <a:solidFill>
                <a:schemeClr val="lt2"/>
              </a:solidFill>
              <a:round/>
            </a:ln>
            <a:effectLst/>
          </c:spPr>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8"/>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c:spPr>
        <c:marker>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w="12700">
              <a:solidFill>
                <a:schemeClr val="lt2"/>
              </a:solidFill>
              <a:round/>
            </a:ln>
            <a:effectLst/>
          </c:spPr>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9"/>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2"/>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2"/>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1"/>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2"/>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2"/>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2"/>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3"/>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2"/>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4"/>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2"/>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5"/>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2"/>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6"/>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2"/>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7"/>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2"/>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8"/>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2"/>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9"/>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2"/>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2"/>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1"/>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2"/>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2"/>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2"/>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3"/>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2"/>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4"/>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2"/>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5"/>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2"/>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6"/>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2"/>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7"/>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2"/>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8"/>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2"/>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9"/>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2"/>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2"/>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1"/>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2"/>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2"/>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2"/>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3"/>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2"/>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4"/>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2"/>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5"/>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2"/>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6"/>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2"/>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7"/>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2"/>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8"/>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2"/>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9"/>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2"/>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2"/>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1"/>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2"/>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2"/>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2"/>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3"/>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2"/>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4"/>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2"/>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5"/>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2"/>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6"/>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2"/>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7"/>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68"/>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69"/>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7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2"/>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71"/>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2"/>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72"/>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2"/>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73"/>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2"/>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74"/>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2"/>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75"/>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2"/>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76"/>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2"/>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77"/>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2"/>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s>
    <c:plotArea>
      <c:layout/>
      <c:barChart>
        <c:barDir val="col"/>
        <c:grouping val="stacked"/>
        <c:varyColors val="0"/>
        <c:ser>
          <c:idx val="0"/>
          <c:order val="0"/>
          <c:tx>
            <c:strRef>
              <c:f>Ontwerp_Backlog!$BK$4:$BK$5</c:f>
              <c:strCache>
                <c:ptCount val="1"/>
                <c:pt idx="0">
                  <c:v>Funderingswapening</c:v>
                </c:pt>
              </c:strCache>
            </c:strRef>
          </c:tx>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c:spPr>
          <c:invertIfNegative val="0"/>
          <c:cat>
            <c:strRef>
              <c:f>Ontwerp_Backlog!$BJ$6:$BJ$9</c:f>
              <c:strCache>
                <c:ptCount val="3"/>
                <c:pt idx="0">
                  <c:v>Open Menggranulaat</c:v>
                </c:pt>
                <c:pt idx="1">
                  <c:v>Plastic kratten</c:v>
                </c:pt>
                <c:pt idx="2">
                  <c:v>Rockwool</c:v>
                </c:pt>
              </c:strCache>
            </c:strRef>
          </c:cat>
          <c:val>
            <c:numRef>
              <c:f>Ontwerp_Backlog!$BK$6:$BK$9</c:f>
              <c:numCache>
                <c:formatCode>General</c:formatCode>
                <c:ptCount val="3"/>
                <c:pt idx="0">
                  <c:v>381.12847038323201</c:v>
                </c:pt>
              </c:numCache>
            </c:numRef>
          </c:val>
          <c:extLst>
            <c:ext xmlns:c16="http://schemas.microsoft.com/office/drawing/2014/chart" uri="{C3380CC4-5D6E-409C-BE32-E72D297353CC}">
              <c16:uniqueId val="{00000010-F4F8-4835-B90A-AC0A997F8D65}"/>
            </c:ext>
          </c:extLst>
        </c:ser>
        <c:ser>
          <c:idx val="1"/>
          <c:order val="1"/>
          <c:tx>
            <c:strRef>
              <c:f>Ontwerp_Backlog!$BL$4:$BL$5</c:f>
              <c:strCache>
                <c:ptCount val="1"/>
                <c:pt idx="0">
                  <c:v>Grondverbetering</c:v>
                </c:pt>
              </c:strCache>
            </c:strRef>
          </c:tx>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c:spPr>
          <c:invertIfNegative val="0"/>
          <c:cat>
            <c:strRef>
              <c:f>Ontwerp_Backlog!$BJ$6:$BJ$9</c:f>
              <c:strCache>
                <c:ptCount val="3"/>
                <c:pt idx="0">
                  <c:v>Open Menggranulaat</c:v>
                </c:pt>
                <c:pt idx="1">
                  <c:v>Plastic kratten</c:v>
                </c:pt>
                <c:pt idx="2">
                  <c:v>Rockwool</c:v>
                </c:pt>
              </c:strCache>
            </c:strRef>
          </c:cat>
          <c:val>
            <c:numRef>
              <c:f>Ontwerp_Backlog!$BL$6:$BL$9</c:f>
              <c:numCache>
                <c:formatCode>General</c:formatCode>
                <c:ptCount val="3"/>
                <c:pt idx="1">
                  <c:v>96.512625</c:v>
                </c:pt>
                <c:pt idx="2">
                  <c:v>96.512625</c:v>
                </c:pt>
              </c:numCache>
            </c:numRef>
          </c:val>
          <c:extLst>
            <c:ext xmlns:c16="http://schemas.microsoft.com/office/drawing/2014/chart" uri="{C3380CC4-5D6E-409C-BE32-E72D297353CC}">
              <c16:uniqueId val="{0000001B-F4F8-4835-B90A-AC0A997F8D65}"/>
            </c:ext>
          </c:extLst>
        </c:ser>
        <c:ser>
          <c:idx val="2"/>
          <c:order val="2"/>
          <c:tx>
            <c:strRef>
              <c:f>Ontwerp_Backlog!$BM$4:$BM$5</c:f>
              <c:strCache>
                <c:ptCount val="1"/>
                <c:pt idx="0">
                  <c:v>Menggranulaat</c:v>
                </c:pt>
              </c:strCache>
            </c:strRef>
          </c:tx>
          <c:spPr>
            <a:gradFill rotWithShape="1">
              <a:gsLst>
                <a:gs pos="0">
                  <a:schemeClr val="accent3">
                    <a:satMod val="103000"/>
                    <a:lumMod val="102000"/>
                    <a:tint val="94000"/>
                  </a:schemeClr>
                </a:gs>
                <a:gs pos="50000">
                  <a:schemeClr val="accent3">
                    <a:satMod val="110000"/>
                    <a:lumMod val="100000"/>
                    <a:shade val="100000"/>
                  </a:schemeClr>
                </a:gs>
                <a:gs pos="100000">
                  <a:schemeClr val="accent3">
                    <a:lumMod val="99000"/>
                    <a:satMod val="120000"/>
                    <a:shade val="78000"/>
                  </a:schemeClr>
                </a:gs>
              </a:gsLst>
              <a:lin ang="5400000" scaled="0"/>
            </a:gradFill>
            <a:ln>
              <a:noFill/>
            </a:ln>
            <a:effectLst/>
          </c:spPr>
          <c:invertIfNegative val="0"/>
          <c:cat>
            <c:strRef>
              <c:f>Ontwerp_Backlog!$BJ$6:$BJ$9</c:f>
              <c:strCache>
                <c:ptCount val="3"/>
                <c:pt idx="0">
                  <c:v>Open Menggranulaat</c:v>
                </c:pt>
                <c:pt idx="1">
                  <c:v>Plastic kratten</c:v>
                </c:pt>
                <c:pt idx="2">
                  <c:v>Rockwool</c:v>
                </c:pt>
              </c:strCache>
            </c:strRef>
          </c:cat>
          <c:val>
            <c:numRef>
              <c:f>Ontwerp_Backlog!$BM$6:$BM$9</c:f>
              <c:numCache>
                <c:formatCode>General</c:formatCode>
                <c:ptCount val="3"/>
                <c:pt idx="0">
                  <c:v>360.68600000000004</c:v>
                </c:pt>
                <c:pt idx="1">
                  <c:v>365.90975000000003</c:v>
                </c:pt>
                <c:pt idx="2">
                  <c:v>365.90975000000003</c:v>
                </c:pt>
              </c:numCache>
            </c:numRef>
          </c:val>
          <c:extLst>
            <c:ext xmlns:c16="http://schemas.microsoft.com/office/drawing/2014/chart" uri="{C3380CC4-5D6E-409C-BE32-E72D297353CC}">
              <c16:uniqueId val="{0000001C-F4F8-4835-B90A-AC0A997F8D65}"/>
            </c:ext>
          </c:extLst>
        </c:ser>
        <c:ser>
          <c:idx val="3"/>
          <c:order val="3"/>
          <c:tx>
            <c:strRef>
              <c:f>Ontwerp_Backlog!$BN$4:$BN$5</c:f>
              <c:strCache>
                <c:ptCount val="1"/>
                <c:pt idx="0">
                  <c:v>Straatlaag</c:v>
                </c:pt>
              </c:strCache>
            </c:strRef>
          </c:tx>
          <c:spPr>
            <a:gradFill rotWithShape="1">
              <a:gsLst>
                <a:gs pos="0">
                  <a:schemeClr val="accent4">
                    <a:satMod val="103000"/>
                    <a:lumMod val="102000"/>
                    <a:tint val="94000"/>
                  </a:schemeClr>
                </a:gs>
                <a:gs pos="50000">
                  <a:schemeClr val="accent4">
                    <a:satMod val="110000"/>
                    <a:lumMod val="100000"/>
                    <a:shade val="100000"/>
                  </a:schemeClr>
                </a:gs>
                <a:gs pos="100000">
                  <a:schemeClr val="accent4">
                    <a:lumMod val="99000"/>
                    <a:satMod val="120000"/>
                    <a:shade val="78000"/>
                  </a:schemeClr>
                </a:gs>
              </a:gsLst>
              <a:lin ang="5400000" scaled="0"/>
            </a:gradFill>
            <a:ln>
              <a:noFill/>
            </a:ln>
            <a:effectLst/>
          </c:spPr>
          <c:invertIfNegative val="0"/>
          <c:cat>
            <c:strRef>
              <c:f>Ontwerp_Backlog!$BJ$6:$BJ$9</c:f>
              <c:strCache>
                <c:ptCount val="3"/>
                <c:pt idx="0">
                  <c:v>Open Menggranulaat</c:v>
                </c:pt>
                <c:pt idx="1">
                  <c:v>Plastic kratten</c:v>
                </c:pt>
                <c:pt idx="2">
                  <c:v>Rockwool</c:v>
                </c:pt>
              </c:strCache>
            </c:strRef>
          </c:cat>
          <c:val>
            <c:numRef>
              <c:f>Ontwerp_Backlog!$BN$6:$BN$9</c:f>
              <c:numCache>
                <c:formatCode>General</c:formatCode>
                <c:ptCount val="3"/>
                <c:pt idx="0">
                  <c:v>96.512625</c:v>
                </c:pt>
                <c:pt idx="1">
                  <c:v>96.512625</c:v>
                </c:pt>
                <c:pt idx="2">
                  <c:v>96.512625</c:v>
                </c:pt>
              </c:numCache>
            </c:numRef>
          </c:val>
          <c:extLst>
            <c:ext xmlns:c16="http://schemas.microsoft.com/office/drawing/2014/chart" uri="{C3380CC4-5D6E-409C-BE32-E72D297353CC}">
              <c16:uniqueId val="{0000001D-F4F8-4835-B90A-AC0A997F8D65}"/>
            </c:ext>
          </c:extLst>
        </c:ser>
        <c:ser>
          <c:idx val="4"/>
          <c:order val="4"/>
          <c:tx>
            <c:strRef>
              <c:f>Ontwerp_Backlog!$BO$4:$BO$5</c:f>
              <c:strCache>
                <c:ptCount val="1"/>
                <c:pt idx="0">
                  <c:v>Toplaag</c:v>
                </c:pt>
              </c:strCache>
            </c:strRef>
          </c:tx>
          <c:spPr>
            <a:gradFill rotWithShape="1">
              <a:gsLst>
                <a:gs pos="0">
                  <a:schemeClr val="accent5">
                    <a:satMod val="103000"/>
                    <a:lumMod val="102000"/>
                    <a:tint val="94000"/>
                  </a:schemeClr>
                </a:gs>
                <a:gs pos="50000">
                  <a:schemeClr val="accent5">
                    <a:satMod val="110000"/>
                    <a:lumMod val="100000"/>
                    <a:shade val="100000"/>
                  </a:schemeClr>
                </a:gs>
                <a:gs pos="100000">
                  <a:schemeClr val="accent5">
                    <a:lumMod val="99000"/>
                    <a:satMod val="120000"/>
                    <a:shade val="78000"/>
                  </a:schemeClr>
                </a:gs>
              </a:gsLst>
              <a:lin ang="5400000" scaled="0"/>
            </a:gradFill>
            <a:ln>
              <a:noFill/>
            </a:ln>
            <a:effectLst/>
          </c:spPr>
          <c:invertIfNegative val="0"/>
          <c:cat>
            <c:strRef>
              <c:f>Ontwerp_Backlog!$BJ$6:$BJ$9</c:f>
              <c:strCache>
                <c:ptCount val="3"/>
                <c:pt idx="0">
                  <c:v>Open Menggranulaat</c:v>
                </c:pt>
                <c:pt idx="1">
                  <c:v>Plastic kratten</c:v>
                </c:pt>
                <c:pt idx="2">
                  <c:v>Rockwool</c:v>
                </c:pt>
              </c:strCache>
            </c:strRef>
          </c:cat>
          <c:val>
            <c:numRef>
              <c:f>Ontwerp_Backlog!$BO$6:$BO$9</c:f>
              <c:numCache>
                <c:formatCode>General</c:formatCode>
                <c:ptCount val="3"/>
                <c:pt idx="0">
                  <c:v>1291.9597834669999</c:v>
                </c:pt>
                <c:pt idx="1">
                  <c:v>1291.9597834669999</c:v>
                </c:pt>
                <c:pt idx="2">
                  <c:v>1291.9597834669999</c:v>
                </c:pt>
              </c:numCache>
            </c:numRef>
          </c:val>
          <c:extLst>
            <c:ext xmlns:c16="http://schemas.microsoft.com/office/drawing/2014/chart" uri="{C3380CC4-5D6E-409C-BE32-E72D297353CC}">
              <c16:uniqueId val="{0000001E-F4F8-4835-B90A-AC0A997F8D65}"/>
            </c:ext>
          </c:extLst>
        </c:ser>
        <c:ser>
          <c:idx val="5"/>
          <c:order val="5"/>
          <c:tx>
            <c:strRef>
              <c:f>Ontwerp_Backlog!$BP$4:$BP$5</c:f>
              <c:strCache>
                <c:ptCount val="1"/>
                <c:pt idx="0">
                  <c:v>Waterbergendelaag</c:v>
                </c:pt>
              </c:strCache>
            </c:strRef>
          </c:tx>
          <c:spPr>
            <a:gradFill rotWithShape="1">
              <a:gsLst>
                <a:gs pos="0">
                  <a:schemeClr val="accent6">
                    <a:satMod val="103000"/>
                    <a:lumMod val="102000"/>
                    <a:tint val="94000"/>
                  </a:schemeClr>
                </a:gs>
                <a:gs pos="50000">
                  <a:schemeClr val="accent6">
                    <a:satMod val="110000"/>
                    <a:lumMod val="100000"/>
                    <a:shade val="100000"/>
                  </a:schemeClr>
                </a:gs>
                <a:gs pos="100000">
                  <a:schemeClr val="accent6">
                    <a:lumMod val="99000"/>
                    <a:satMod val="120000"/>
                    <a:shade val="78000"/>
                  </a:schemeClr>
                </a:gs>
              </a:gsLst>
              <a:lin ang="5400000" scaled="0"/>
            </a:gradFill>
            <a:ln>
              <a:noFill/>
            </a:ln>
            <a:effectLst/>
          </c:spPr>
          <c:invertIfNegative val="0"/>
          <c:cat>
            <c:strRef>
              <c:f>Ontwerp_Backlog!$BJ$6:$BJ$9</c:f>
              <c:strCache>
                <c:ptCount val="3"/>
                <c:pt idx="0">
                  <c:v>Open Menggranulaat</c:v>
                </c:pt>
                <c:pt idx="1">
                  <c:v>Plastic kratten</c:v>
                </c:pt>
                <c:pt idx="2">
                  <c:v>Rockwool</c:v>
                </c:pt>
              </c:strCache>
            </c:strRef>
          </c:cat>
          <c:val>
            <c:numRef>
              <c:f>Ontwerp_Backlog!$BP$6:$BP$9</c:f>
              <c:numCache>
                <c:formatCode>General</c:formatCode>
                <c:ptCount val="3"/>
                <c:pt idx="1">
                  <c:v>3163.9619999999995</c:v>
                </c:pt>
                <c:pt idx="2">
                  <c:v>0</c:v>
                </c:pt>
              </c:numCache>
            </c:numRef>
          </c:val>
          <c:extLst>
            <c:ext xmlns:c16="http://schemas.microsoft.com/office/drawing/2014/chart" uri="{C3380CC4-5D6E-409C-BE32-E72D297353CC}">
              <c16:uniqueId val="{0000001F-F4F8-4835-B90A-AC0A997F8D65}"/>
            </c:ext>
          </c:extLst>
        </c:ser>
        <c:ser>
          <c:idx val="6"/>
          <c:order val="6"/>
          <c:tx>
            <c:strRef>
              <c:f>Ontwerp_Backlog!$BQ$4:$BQ$5</c:f>
              <c:strCache>
                <c:ptCount val="1"/>
                <c:pt idx="0">
                  <c:v>Zandbed</c:v>
                </c:pt>
              </c:strCache>
            </c:strRef>
          </c:tx>
          <c:spPr>
            <a:gradFill rotWithShape="1">
              <a:gsLst>
                <a:gs pos="0">
                  <a:schemeClr val="accent1">
                    <a:lumMod val="60000"/>
                    <a:satMod val="103000"/>
                    <a:lumMod val="102000"/>
                    <a:tint val="94000"/>
                  </a:schemeClr>
                </a:gs>
                <a:gs pos="50000">
                  <a:schemeClr val="accent1">
                    <a:lumMod val="60000"/>
                    <a:satMod val="110000"/>
                    <a:lumMod val="100000"/>
                    <a:shade val="100000"/>
                  </a:schemeClr>
                </a:gs>
                <a:gs pos="100000">
                  <a:schemeClr val="accent1">
                    <a:lumMod val="60000"/>
                    <a:lumMod val="99000"/>
                    <a:satMod val="120000"/>
                    <a:shade val="78000"/>
                  </a:schemeClr>
                </a:gs>
              </a:gsLst>
              <a:lin ang="5400000" scaled="0"/>
            </a:gradFill>
            <a:ln>
              <a:noFill/>
            </a:ln>
            <a:effectLst/>
          </c:spPr>
          <c:invertIfNegative val="0"/>
          <c:cat>
            <c:strRef>
              <c:f>Ontwerp_Backlog!$BJ$6:$BJ$9</c:f>
              <c:strCache>
                <c:ptCount val="3"/>
                <c:pt idx="0">
                  <c:v>Open Menggranulaat</c:v>
                </c:pt>
                <c:pt idx="1">
                  <c:v>Plastic kratten</c:v>
                </c:pt>
                <c:pt idx="2">
                  <c:v>Rockwool</c:v>
                </c:pt>
              </c:strCache>
            </c:strRef>
          </c:cat>
          <c:val>
            <c:numRef>
              <c:f>Ontwerp_Backlog!$BQ$6:$BQ$9</c:f>
              <c:numCache>
                <c:formatCode>General</c:formatCode>
                <c:ptCount val="3"/>
                <c:pt idx="0">
                  <c:v>675.58837500000004</c:v>
                </c:pt>
              </c:numCache>
            </c:numRef>
          </c:val>
          <c:extLst>
            <c:ext xmlns:c16="http://schemas.microsoft.com/office/drawing/2014/chart" uri="{C3380CC4-5D6E-409C-BE32-E72D297353CC}">
              <c16:uniqueId val="{00000020-F4F8-4835-B90A-AC0A997F8D65}"/>
            </c:ext>
          </c:extLst>
        </c:ser>
        <c:ser>
          <c:idx val="7"/>
          <c:order val="7"/>
          <c:tx>
            <c:strRef>
              <c:f>Ontwerp_Backlog!$BR$4:$BR$5</c:f>
              <c:strCache>
                <c:ptCount val="1"/>
                <c:pt idx="0">
                  <c:v>Grondontgraving</c:v>
                </c:pt>
              </c:strCache>
            </c:strRef>
          </c:tx>
          <c:spPr>
            <a:gradFill rotWithShape="1">
              <a:gsLst>
                <a:gs pos="0">
                  <a:schemeClr val="accent2">
                    <a:lumMod val="60000"/>
                    <a:satMod val="103000"/>
                    <a:lumMod val="102000"/>
                    <a:tint val="94000"/>
                  </a:schemeClr>
                </a:gs>
                <a:gs pos="50000">
                  <a:schemeClr val="accent2">
                    <a:lumMod val="60000"/>
                    <a:satMod val="110000"/>
                    <a:lumMod val="100000"/>
                    <a:shade val="100000"/>
                  </a:schemeClr>
                </a:gs>
                <a:gs pos="100000">
                  <a:schemeClr val="accent2">
                    <a:lumMod val="60000"/>
                    <a:lumMod val="99000"/>
                    <a:satMod val="120000"/>
                    <a:shade val="78000"/>
                  </a:schemeClr>
                </a:gs>
              </a:gsLst>
              <a:lin ang="5400000" scaled="0"/>
            </a:gradFill>
            <a:ln>
              <a:noFill/>
            </a:ln>
            <a:effectLst/>
          </c:spPr>
          <c:invertIfNegative val="0"/>
          <c:cat>
            <c:strRef>
              <c:f>Ontwerp_Backlog!$BJ$6:$BJ$9</c:f>
              <c:strCache>
                <c:ptCount val="3"/>
                <c:pt idx="0">
                  <c:v>Open Menggranulaat</c:v>
                </c:pt>
                <c:pt idx="1">
                  <c:v>Plastic kratten</c:v>
                </c:pt>
                <c:pt idx="2">
                  <c:v>Rockwool</c:v>
                </c:pt>
              </c:strCache>
            </c:strRef>
          </c:cat>
          <c:val>
            <c:numRef>
              <c:f>Ontwerp_Backlog!$BR$6:$BR$9</c:f>
              <c:numCache>
                <c:formatCode>General</c:formatCode>
                <c:ptCount val="3"/>
                <c:pt idx="0">
                  <c:v>593.17995000000008</c:v>
                </c:pt>
                <c:pt idx="1">
                  <c:v>660.58676250000008</c:v>
                </c:pt>
                <c:pt idx="2">
                  <c:v>660.58676250000008</c:v>
                </c:pt>
              </c:numCache>
            </c:numRef>
          </c:val>
          <c:extLst>
            <c:ext xmlns:c16="http://schemas.microsoft.com/office/drawing/2014/chart" uri="{C3380CC4-5D6E-409C-BE32-E72D297353CC}">
              <c16:uniqueId val="{00000000-AB9D-4E43-8E29-C19CDB5CB4C3}"/>
            </c:ext>
          </c:extLst>
        </c:ser>
        <c:dLbls>
          <c:showLegendKey val="0"/>
          <c:showVal val="0"/>
          <c:showCatName val="0"/>
          <c:showSerName val="0"/>
          <c:showPercent val="0"/>
          <c:showBubbleSize val="0"/>
        </c:dLbls>
        <c:gapWidth val="150"/>
        <c:overlap val="100"/>
        <c:axId val="956041679"/>
        <c:axId val="956048751"/>
      </c:barChart>
      <c:catAx>
        <c:axId val="956041679"/>
        <c:scaling>
          <c:orientation val="minMax"/>
        </c:scaling>
        <c:delete val="0"/>
        <c:axPos val="b"/>
        <c:numFmt formatCode="General" sourceLinked="1"/>
        <c:majorTickMark val="none"/>
        <c:minorTickMark val="none"/>
        <c:tickLblPos val="nextTo"/>
        <c:spPr>
          <a:noFill/>
          <a:ln w="9525" cap="flat" cmpd="sng" algn="ctr">
            <a:solidFill>
              <a:schemeClr val="tx2">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en-US"/>
          </a:p>
        </c:txPr>
        <c:crossAx val="956048751"/>
        <c:crosses val="autoZero"/>
        <c:auto val="1"/>
        <c:lblAlgn val="ctr"/>
        <c:lblOffset val="100"/>
        <c:noMultiLvlLbl val="0"/>
      </c:catAx>
      <c:valAx>
        <c:axId val="956048751"/>
        <c:scaling>
          <c:orientation val="minMax"/>
        </c:scaling>
        <c:delete val="0"/>
        <c:axPos val="l"/>
        <c:majorGridlines>
          <c:spPr>
            <a:ln w="9525" cap="flat" cmpd="sng" algn="ctr">
              <a:solidFill>
                <a:schemeClr val="tx2">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en-US"/>
          </a:p>
        </c:txPr>
        <c:crossAx val="95604167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pivotOptions>
    </c:ext>
    <c:ext xmlns:c16="http://schemas.microsoft.com/office/drawing/2014/chart" uri="{E28EC0CA-F0BB-4C9C-879D-F8772B89E7AC}">
      <c16:pivotOptions16>
        <c16:showExpandCollapseFieldButtons val="1"/>
      </c16:pivotOptions16>
    </c:ext>
  </c:extLst>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pivotSource>
    <c:name>[Rekenmodule - Noordewierweg - v1.0.xlsx]Ontwerp_Backlog!PivotTable2</c:name>
    <c:fmtId val="2"/>
  </c:pivotSource>
  <c:chart>
    <c:title>
      <c:tx>
        <c:rich>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1" i="0" u="none" strike="noStrike" kern="1200" baseline="0">
                <a:solidFill>
                  <a:srgbClr val="44546A"/>
                </a:solidFill>
                <a:latin typeface="+mn-lt"/>
                <a:ea typeface="+mn-ea"/>
                <a:cs typeface="+mn-cs"/>
              </a:defRPr>
            </a:pPr>
            <a:r>
              <a:rPr lang="nl-NL" sz="1400" b="1" i="0" baseline="0">
                <a:effectLst/>
              </a:rPr>
              <a:t>MKI waarde per levensfase per onderdeel</a:t>
            </a:r>
            <a:endParaRPr lang="en-NL" sz="1400" b="1">
              <a:effectLst/>
            </a:endParaRPr>
          </a:p>
        </c:rich>
      </c:tx>
      <c:overlay val="0"/>
      <c:spPr>
        <a:noFill/>
        <a:ln>
          <a:noFill/>
        </a:ln>
        <a:effectLst/>
      </c:spPr>
      <c:txPr>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1" i="0" u="none" strike="noStrike" kern="1200" baseline="0">
              <a:solidFill>
                <a:srgbClr val="44546A"/>
              </a:solidFill>
              <a:latin typeface="+mn-lt"/>
              <a:ea typeface="+mn-ea"/>
              <a:cs typeface="+mn-cs"/>
            </a:defRPr>
          </a:pPr>
          <a:endParaRPr lang="en-US"/>
        </a:p>
      </c:txPr>
    </c:title>
    <c:autoTitleDeleted val="0"/>
    <c:pivotFmts>
      <c:pivotFmt>
        <c:idx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c:spPr>
        <c:marker>
          <c:symbol val="circle"/>
          <c:size val="6"/>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w="12700">
              <a:solidFill>
                <a:schemeClr val="lt2"/>
              </a:solidFill>
              <a:round/>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2"/>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c:spPr>
        <c:marker>
          <c:symbol val="circle"/>
          <c:size val="6"/>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w="12700">
              <a:solidFill>
                <a:schemeClr val="lt2"/>
              </a:solidFill>
              <a:round/>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2"/>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c:spPr>
        <c:marker>
          <c:symbol val="circle"/>
          <c:size val="6"/>
          <c:spPr>
            <a:gradFill rotWithShape="1">
              <a:gsLst>
                <a:gs pos="0">
                  <a:schemeClr val="accent3">
                    <a:satMod val="103000"/>
                    <a:lumMod val="102000"/>
                    <a:tint val="94000"/>
                  </a:schemeClr>
                </a:gs>
                <a:gs pos="50000">
                  <a:schemeClr val="accent3">
                    <a:satMod val="110000"/>
                    <a:lumMod val="100000"/>
                    <a:shade val="100000"/>
                  </a:schemeClr>
                </a:gs>
                <a:gs pos="100000">
                  <a:schemeClr val="accent3">
                    <a:lumMod val="99000"/>
                    <a:satMod val="120000"/>
                    <a:shade val="78000"/>
                  </a:schemeClr>
                </a:gs>
              </a:gsLst>
              <a:lin ang="5400000" scaled="0"/>
            </a:gradFill>
            <a:ln w="12700">
              <a:solidFill>
                <a:schemeClr val="lt2"/>
              </a:solidFill>
              <a:round/>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2"/>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c:spPr>
        <c:marker>
          <c:symbol val="circle"/>
          <c:size val="6"/>
          <c:spPr>
            <a:gradFill rotWithShape="1">
              <a:gsLst>
                <a:gs pos="0">
                  <a:schemeClr val="accent4">
                    <a:satMod val="103000"/>
                    <a:lumMod val="102000"/>
                    <a:tint val="94000"/>
                  </a:schemeClr>
                </a:gs>
                <a:gs pos="50000">
                  <a:schemeClr val="accent4">
                    <a:satMod val="110000"/>
                    <a:lumMod val="100000"/>
                    <a:shade val="100000"/>
                  </a:schemeClr>
                </a:gs>
                <a:gs pos="100000">
                  <a:schemeClr val="accent4">
                    <a:lumMod val="99000"/>
                    <a:satMod val="120000"/>
                    <a:shade val="78000"/>
                  </a:schemeClr>
                </a:gs>
              </a:gsLst>
              <a:lin ang="5400000" scaled="0"/>
            </a:gradFill>
            <a:ln w="12700">
              <a:solidFill>
                <a:schemeClr val="lt2"/>
              </a:solidFill>
              <a:round/>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2"/>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c:spPr>
        <c:marker>
          <c:symbol val="circle"/>
          <c:size val="6"/>
          <c:spPr>
            <a:gradFill rotWithShape="1">
              <a:gsLst>
                <a:gs pos="0">
                  <a:schemeClr val="accent5">
                    <a:satMod val="103000"/>
                    <a:lumMod val="102000"/>
                    <a:tint val="94000"/>
                  </a:schemeClr>
                </a:gs>
                <a:gs pos="50000">
                  <a:schemeClr val="accent5">
                    <a:satMod val="110000"/>
                    <a:lumMod val="100000"/>
                    <a:shade val="100000"/>
                  </a:schemeClr>
                </a:gs>
                <a:gs pos="100000">
                  <a:schemeClr val="accent5">
                    <a:lumMod val="99000"/>
                    <a:satMod val="120000"/>
                    <a:shade val="78000"/>
                  </a:schemeClr>
                </a:gs>
              </a:gsLst>
              <a:lin ang="5400000" scaled="0"/>
            </a:gradFill>
            <a:ln w="12700">
              <a:solidFill>
                <a:schemeClr val="lt2"/>
              </a:solidFill>
              <a:round/>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2"/>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c:spPr>
        <c:marker>
          <c:symbol val="circle"/>
          <c:size val="6"/>
          <c:spPr>
            <a:gradFill rotWithShape="1">
              <a:gsLst>
                <a:gs pos="0">
                  <a:schemeClr val="accent6">
                    <a:satMod val="103000"/>
                    <a:lumMod val="102000"/>
                    <a:tint val="94000"/>
                  </a:schemeClr>
                </a:gs>
                <a:gs pos="50000">
                  <a:schemeClr val="accent6">
                    <a:satMod val="110000"/>
                    <a:lumMod val="100000"/>
                    <a:shade val="100000"/>
                  </a:schemeClr>
                </a:gs>
                <a:gs pos="100000">
                  <a:schemeClr val="accent6">
                    <a:lumMod val="99000"/>
                    <a:satMod val="120000"/>
                    <a:shade val="78000"/>
                  </a:schemeClr>
                </a:gs>
              </a:gsLst>
              <a:lin ang="5400000" scaled="0"/>
            </a:gradFill>
            <a:ln w="12700">
              <a:solidFill>
                <a:schemeClr val="lt2"/>
              </a:solidFill>
              <a:round/>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2"/>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c:spPr>
        <c:marker>
          <c:symbol val="circle"/>
          <c:size val="6"/>
          <c:spPr>
            <a:gradFill rotWithShape="1">
              <a:gsLst>
                <a:gs pos="0">
                  <a:schemeClr val="accent1">
                    <a:lumMod val="60000"/>
                    <a:satMod val="103000"/>
                    <a:lumMod val="102000"/>
                    <a:tint val="94000"/>
                  </a:schemeClr>
                </a:gs>
                <a:gs pos="50000">
                  <a:schemeClr val="accent1">
                    <a:lumMod val="60000"/>
                    <a:satMod val="110000"/>
                    <a:lumMod val="100000"/>
                    <a:shade val="100000"/>
                  </a:schemeClr>
                </a:gs>
                <a:gs pos="100000">
                  <a:schemeClr val="accent1">
                    <a:lumMod val="60000"/>
                    <a:lumMod val="99000"/>
                    <a:satMod val="120000"/>
                    <a:shade val="78000"/>
                  </a:schemeClr>
                </a:gs>
              </a:gsLst>
              <a:lin ang="5400000" scaled="0"/>
            </a:gradFill>
            <a:ln w="12700">
              <a:solidFill>
                <a:schemeClr val="lt2"/>
              </a:solidFill>
              <a:round/>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2"/>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7"/>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c:spPr>
        <c:marker>
          <c:symbol val="circle"/>
          <c:size val="6"/>
          <c:spPr>
            <a:gradFill rotWithShape="1">
              <a:gsLst>
                <a:gs pos="0">
                  <a:schemeClr val="accent2">
                    <a:lumMod val="60000"/>
                    <a:satMod val="103000"/>
                    <a:lumMod val="102000"/>
                    <a:tint val="94000"/>
                  </a:schemeClr>
                </a:gs>
                <a:gs pos="50000">
                  <a:schemeClr val="accent2">
                    <a:lumMod val="60000"/>
                    <a:satMod val="110000"/>
                    <a:lumMod val="100000"/>
                    <a:shade val="100000"/>
                  </a:schemeClr>
                </a:gs>
                <a:gs pos="100000">
                  <a:schemeClr val="accent2">
                    <a:lumMod val="60000"/>
                    <a:lumMod val="99000"/>
                    <a:satMod val="120000"/>
                    <a:shade val="78000"/>
                  </a:schemeClr>
                </a:gs>
              </a:gsLst>
              <a:lin ang="5400000" scaled="0"/>
            </a:gradFill>
            <a:ln w="12700">
              <a:solidFill>
                <a:schemeClr val="lt2"/>
              </a:solidFill>
              <a:round/>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2"/>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8"/>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c:spPr>
        <c:marker>
          <c:symbol val="circle"/>
          <c:size val="6"/>
          <c:spPr>
            <a:gradFill rotWithShape="1">
              <a:gsLst>
                <a:gs pos="0">
                  <a:schemeClr val="accent3">
                    <a:lumMod val="60000"/>
                    <a:satMod val="103000"/>
                    <a:lumMod val="102000"/>
                    <a:tint val="94000"/>
                  </a:schemeClr>
                </a:gs>
                <a:gs pos="50000">
                  <a:schemeClr val="accent3">
                    <a:lumMod val="60000"/>
                    <a:satMod val="110000"/>
                    <a:lumMod val="100000"/>
                    <a:shade val="100000"/>
                  </a:schemeClr>
                </a:gs>
                <a:gs pos="100000">
                  <a:schemeClr val="accent3">
                    <a:lumMod val="60000"/>
                    <a:lumMod val="99000"/>
                    <a:satMod val="120000"/>
                    <a:shade val="78000"/>
                  </a:schemeClr>
                </a:gs>
              </a:gsLst>
              <a:lin ang="5400000" scaled="0"/>
            </a:gradFill>
            <a:ln w="12700">
              <a:solidFill>
                <a:schemeClr val="lt2"/>
              </a:solidFill>
              <a:round/>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2"/>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9"/>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c:spPr>
        <c:marker>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w="12700">
              <a:solidFill>
                <a:schemeClr val="lt2"/>
              </a:solidFill>
              <a:round/>
            </a:ln>
            <a:effectLst/>
          </c:spPr>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c:spPr>
        <c:marker>
          <c:symbol val="circle"/>
          <c:size val="6"/>
          <c:spPr>
            <a:gradFill rotWithShape="1">
              <a:gsLst>
                <a:gs pos="0">
                  <a:schemeClr val="accent5">
                    <a:lumMod val="60000"/>
                    <a:satMod val="103000"/>
                    <a:lumMod val="102000"/>
                    <a:tint val="94000"/>
                  </a:schemeClr>
                </a:gs>
                <a:gs pos="50000">
                  <a:schemeClr val="accent5">
                    <a:lumMod val="60000"/>
                    <a:satMod val="110000"/>
                    <a:lumMod val="100000"/>
                    <a:shade val="100000"/>
                  </a:schemeClr>
                </a:gs>
                <a:gs pos="100000">
                  <a:schemeClr val="accent5">
                    <a:lumMod val="60000"/>
                    <a:lumMod val="99000"/>
                    <a:satMod val="120000"/>
                    <a:shade val="78000"/>
                  </a:schemeClr>
                </a:gs>
              </a:gsLst>
              <a:lin ang="5400000" scaled="0"/>
            </a:gradFill>
            <a:ln w="12700">
              <a:solidFill>
                <a:schemeClr val="lt2"/>
              </a:solidFill>
              <a:round/>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2"/>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1"/>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c:spPr>
        <c:marker>
          <c:symbol val="circle"/>
          <c:size val="6"/>
          <c:spPr>
            <a:gradFill rotWithShape="1">
              <a:gsLst>
                <a:gs pos="0">
                  <a:schemeClr val="accent6">
                    <a:lumMod val="60000"/>
                    <a:satMod val="103000"/>
                    <a:lumMod val="102000"/>
                    <a:tint val="94000"/>
                  </a:schemeClr>
                </a:gs>
                <a:gs pos="50000">
                  <a:schemeClr val="accent6">
                    <a:lumMod val="60000"/>
                    <a:satMod val="110000"/>
                    <a:lumMod val="100000"/>
                    <a:shade val="100000"/>
                  </a:schemeClr>
                </a:gs>
                <a:gs pos="100000">
                  <a:schemeClr val="accent6">
                    <a:lumMod val="60000"/>
                    <a:lumMod val="99000"/>
                    <a:satMod val="120000"/>
                    <a:shade val="78000"/>
                  </a:schemeClr>
                </a:gs>
              </a:gsLst>
              <a:lin ang="5400000" scaled="0"/>
            </a:gradFill>
            <a:ln w="12700">
              <a:solidFill>
                <a:schemeClr val="lt2"/>
              </a:solidFill>
              <a:round/>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2"/>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2"/>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c:spPr>
        <c:marker>
          <c:symbol val="circle"/>
          <c:size val="6"/>
          <c:spPr>
            <a:gradFill rotWithShape="1">
              <a:gsLst>
                <a:gs pos="0">
                  <a:schemeClr val="accent1">
                    <a:lumMod val="80000"/>
                    <a:lumOff val="20000"/>
                    <a:satMod val="103000"/>
                    <a:lumMod val="102000"/>
                    <a:tint val="94000"/>
                  </a:schemeClr>
                </a:gs>
                <a:gs pos="50000">
                  <a:schemeClr val="accent1">
                    <a:lumMod val="80000"/>
                    <a:lumOff val="20000"/>
                    <a:satMod val="110000"/>
                    <a:lumMod val="100000"/>
                    <a:shade val="100000"/>
                  </a:schemeClr>
                </a:gs>
                <a:gs pos="100000">
                  <a:schemeClr val="accent1">
                    <a:lumMod val="80000"/>
                    <a:lumOff val="20000"/>
                    <a:lumMod val="99000"/>
                    <a:satMod val="120000"/>
                    <a:shade val="78000"/>
                  </a:schemeClr>
                </a:gs>
              </a:gsLst>
              <a:lin ang="5400000" scaled="0"/>
            </a:gradFill>
            <a:ln w="12700">
              <a:solidFill>
                <a:schemeClr val="lt2"/>
              </a:solidFill>
              <a:round/>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2"/>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3"/>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c:spPr>
        <c:marker>
          <c:symbol val="circle"/>
          <c:size val="6"/>
          <c:spPr>
            <a:gradFill rotWithShape="1">
              <a:gsLst>
                <a:gs pos="0">
                  <a:schemeClr val="accent2">
                    <a:lumMod val="80000"/>
                    <a:lumOff val="20000"/>
                    <a:satMod val="103000"/>
                    <a:lumMod val="102000"/>
                    <a:tint val="94000"/>
                  </a:schemeClr>
                </a:gs>
                <a:gs pos="50000">
                  <a:schemeClr val="accent2">
                    <a:lumMod val="80000"/>
                    <a:lumOff val="20000"/>
                    <a:satMod val="110000"/>
                    <a:lumMod val="100000"/>
                    <a:shade val="100000"/>
                  </a:schemeClr>
                </a:gs>
                <a:gs pos="100000">
                  <a:schemeClr val="accent2">
                    <a:lumMod val="80000"/>
                    <a:lumOff val="20000"/>
                    <a:lumMod val="99000"/>
                    <a:satMod val="120000"/>
                    <a:shade val="78000"/>
                  </a:schemeClr>
                </a:gs>
              </a:gsLst>
              <a:lin ang="5400000" scaled="0"/>
            </a:gradFill>
            <a:ln w="12700">
              <a:solidFill>
                <a:schemeClr val="lt2"/>
              </a:solidFill>
              <a:round/>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2"/>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4"/>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2"/>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5"/>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2"/>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6"/>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2"/>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7"/>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2"/>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8"/>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2"/>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9"/>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2"/>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2"/>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1"/>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2"/>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2"/>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2"/>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3"/>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2"/>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4"/>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2"/>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5"/>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2"/>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6"/>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2"/>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7"/>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2"/>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8"/>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2"/>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9"/>
        <c:spPr>
          <a:solidFill>
            <a:srgbClr val="002060"/>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2"/>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0"/>
        <c:spPr>
          <a:solidFill>
            <a:srgbClr val="0070C0"/>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2"/>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1"/>
        <c:spPr>
          <a:solidFill>
            <a:srgbClr val="00B0F0"/>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2"/>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2"/>
        <c:spPr>
          <a:solidFill>
            <a:schemeClr val="accent2"/>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2"/>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3"/>
        <c:spPr>
          <a:solidFill>
            <a:schemeClr val="accent6"/>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2"/>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4"/>
        <c:spPr>
          <a:solidFill>
            <a:schemeClr val="bg1">
              <a:lumMod val="75000"/>
            </a:schemeClr>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2"/>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5"/>
        <c:spPr>
          <a:solidFill>
            <a:schemeClr val="bg2">
              <a:lumMod val="50000"/>
            </a:schemeClr>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2"/>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6"/>
        <c:spPr>
          <a:solidFill>
            <a:schemeClr val="bg1">
              <a:lumMod val="65000"/>
            </a:schemeClr>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2"/>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7"/>
        <c:spPr>
          <a:solidFill>
            <a:schemeClr val="accent6">
              <a:lumMod val="50000"/>
            </a:schemeClr>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2"/>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8"/>
        <c:spPr>
          <a:solidFill>
            <a:schemeClr val="accent4">
              <a:lumMod val="50000"/>
            </a:schemeClr>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2"/>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9"/>
        <c:spPr>
          <a:solidFill>
            <a:schemeClr val="accent2">
              <a:lumMod val="50000"/>
            </a:schemeClr>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2"/>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0"/>
        <c:spPr>
          <a:solidFill>
            <a:schemeClr val="bg2">
              <a:lumMod val="10000"/>
            </a:schemeClr>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2"/>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1"/>
        <c:spPr>
          <a:solidFill>
            <a:srgbClr val="FF5050"/>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2"/>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2"/>
        <c:spPr>
          <a:solidFill>
            <a:srgbClr val="FF9F9F"/>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2"/>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3"/>
        <c:spPr>
          <a:solidFill>
            <a:srgbClr val="002060"/>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2"/>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4"/>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2"/>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5"/>
        <c:spPr>
          <a:solidFill>
            <a:schemeClr val="accent6"/>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2"/>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6"/>
        <c:spPr>
          <a:solidFill>
            <a:schemeClr val="accent3"/>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2"/>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7"/>
        <c:spPr>
          <a:solidFill>
            <a:schemeClr val="accent3">
              <a:lumMod val="50000"/>
            </a:schemeClr>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2"/>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8"/>
        <c:spPr>
          <a:solidFill>
            <a:schemeClr val="bg1">
              <a:lumMod val="75000"/>
            </a:schemeClr>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2"/>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9"/>
        <c:spPr>
          <a:solidFill>
            <a:schemeClr val="accent6">
              <a:lumMod val="50000"/>
            </a:schemeClr>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2"/>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0"/>
        <c:spPr>
          <a:solidFill>
            <a:schemeClr val="accent4">
              <a:lumMod val="50000"/>
            </a:schemeClr>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2"/>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1"/>
        <c:spPr>
          <a:solidFill>
            <a:schemeClr val="accent2">
              <a:lumMod val="50000"/>
            </a:schemeClr>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2"/>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2"/>
        <c:spPr>
          <a:solidFill>
            <a:schemeClr val="tx1">
              <a:lumMod val="95000"/>
              <a:lumOff val="5000"/>
            </a:schemeClr>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2"/>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3"/>
        <c:spPr>
          <a:solidFill>
            <a:srgbClr val="FF0000"/>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2"/>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s>
    <c:plotArea>
      <c:layout/>
      <c:barChart>
        <c:barDir val="col"/>
        <c:grouping val="stacked"/>
        <c:varyColors val="0"/>
        <c:ser>
          <c:idx val="0"/>
          <c:order val="0"/>
          <c:tx>
            <c:strRef>
              <c:f>Ontwerp_Backlog!$CI$3</c:f>
              <c:strCache>
                <c:ptCount val="1"/>
                <c:pt idx="0">
                  <c:v>Sum of A1-A3</c:v>
                </c:pt>
              </c:strCache>
            </c:strRef>
          </c:tx>
          <c:spPr>
            <a:solidFill>
              <a:srgbClr val="002060"/>
            </a:solidFill>
            <a:ln>
              <a:noFill/>
            </a:ln>
            <a:effectLst/>
          </c:spPr>
          <c:invertIfNegative val="0"/>
          <c:cat>
            <c:strRef>
              <c:f>Ontwerp_Backlog!$CH$4:$CH$12</c:f>
              <c:strCache>
                <c:ptCount val="8"/>
                <c:pt idx="0">
                  <c:v>Funderingswapening</c:v>
                </c:pt>
                <c:pt idx="1">
                  <c:v>Grondverbetering</c:v>
                </c:pt>
                <c:pt idx="2">
                  <c:v>Menggranulaat</c:v>
                </c:pt>
                <c:pt idx="3">
                  <c:v>Straatlaag</c:v>
                </c:pt>
                <c:pt idx="4">
                  <c:v>Toplaag</c:v>
                </c:pt>
                <c:pt idx="5">
                  <c:v>Waterbergendelaag</c:v>
                </c:pt>
                <c:pt idx="6">
                  <c:v>Zandbed</c:v>
                </c:pt>
                <c:pt idx="7">
                  <c:v>Grondontgraving</c:v>
                </c:pt>
              </c:strCache>
            </c:strRef>
          </c:cat>
          <c:val>
            <c:numRef>
              <c:f>Ontwerp_Backlog!$CI$4:$CI$12</c:f>
              <c:numCache>
                <c:formatCode>General</c:formatCode>
                <c:ptCount val="8"/>
                <c:pt idx="0">
                  <c:v>32.073076780000001</c:v>
                </c:pt>
                <c:pt idx="1">
                  <c:v>112.12100000000001</c:v>
                </c:pt>
                <c:pt idx="2">
                  <c:v>0</c:v>
                </c:pt>
                <c:pt idx="3">
                  <c:v>168.18150000000003</c:v>
                </c:pt>
                <c:pt idx="4">
                  <c:v>2674.4999820000003</c:v>
                </c:pt>
                <c:pt idx="5">
                  <c:v>2356.5</c:v>
                </c:pt>
                <c:pt idx="6">
                  <c:v>392.42349999999999</c:v>
                </c:pt>
                <c:pt idx="7">
                  <c:v>0</c:v>
                </c:pt>
              </c:numCache>
            </c:numRef>
          </c:val>
          <c:extLst>
            <c:ext xmlns:c16="http://schemas.microsoft.com/office/drawing/2014/chart" uri="{C3380CC4-5D6E-409C-BE32-E72D297353CC}">
              <c16:uniqueId val="{00000000-5F02-4755-A651-B21E4E2EE643}"/>
            </c:ext>
          </c:extLst>
        </c:ser>
        <c:ser>
          <c:idx val="1"/>
          <c:order val="1"/>
          <c:tx>
            <c:strRef>
              <c:f>Ontwerp_Backlog!$CJ$3</c:f>
              <c:strCache>
                <c:ptCount val="1"/>
                <c:pt idx="0">
                  <c:v>Sum of A4</c:v>
                </c:pt>
              </c:strCache>
            </c:strRef>
          </c:tx>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c:spPr>
          <c:invertIfNegative val="0"/>
          <c:cat>
            <c:strRef>
              <c:f>Ontwerp_Backlog!$CH$4:$CH$12</c:f>
              <c:strCache>
                <c:ptCount val="8"/>
                <c:pt idx="0">
                  <c:v>Funderingswapening</c:v>
                </c:pt>
                <c:pt idx="1">
                  <c:v>Grondverbetering</c:v>
                </c:pt>
                <c:pt idx="2">
                  <c:v>Menggranulaat</c:v>
                </c:pt>
                <c:pt idx="3">
                  <c:v>Straatlaag</c:v>
                </c:pt>
                <c:pt idx="4">
                  <c:v>Toplaag</c:v>
                </c:pt>
                <c:pt idx="5">
                  <c:v>Waterbergendelaag</c:v>
                </c:pt>
                <c:pt idx="6">
                  <c:v>Zandbed</c:v>
                </c:pt>
                <c:pt idx="7">
                  <c:v>Grondontgraving</c:v>
                </c:pt>
              </c:strCache>
            </c:strRef>
          </c:cat>
          <c:val>
            <c:numRef>
              <c:f>Ontwerp_Backlog!$CJ$4:$CJ$12</c:f>
              <c:numCache>
                <c:formatCode>General</c:formatCode>
                <c:ptCount val="8"/>
                <c:pt idx="0">
                  <c:v>7.8413552639999995E-2</c:v>
                </c:pt>
                <c:pt idx="1">
                  <c:v>53.323499999999996</c:v>
                </c:pt>
                <c:pt idx="2">
                  <c:v>236.55644999999998</c:v>
                </c:pt>
                <c:pt idx="3">
                  <c:v>79.985249999999994</c:v>
                </c:pt>
                <c:pt idx="4">
                  <c:v>112.93727262600001</c:v>
                </c:pt>
                <c:pt idx="5">
                  <c:v>0.23800000000000002</c:v>
                </c:pt>
                <c:pt idx="6">
                  <c:v>186.63225</c:v>
                </c:pt>
                <c:pt idx="7">
                  <c:v>0</c:v>
                </c:pt>
              </c:numCache>
            </c:numRef>
          </c:val>
          <c:extLst>
            <c:ext xmlns:c16="http://schemas.microsoft.com/office/drawing/2014/chart" uri="{C3380CC4-5D6E-409C-BE32-E72D297353CC}">
              <c16:uniqueId val="{00000001-5F02-4755-A651-B21E4E2EE643}"/>
            </c:ext>
          </c:extLst>
        </c:ser>
        <c:ser>
          <c:idx val="2"/>
          <c:order val="2"/>
          <c:tx>
            <c:strRef>
              <c:f>Ontwerp_Backlog!$CK$3</c:f>
              <c:strCache>
                <c:ptCount val="1"/>
                <c:pt idx="0">
                  <c:v>Sum of A5</c:v>
                </c:pt>
              </c:strCache>
            </c:strRef>
          </c:tx>
          <c:spPr>
            <a:solidFill>
              <a:schemeClr val="accent6"/>
            </a:solidFill>
            <a:ln>
              <a:noFill/>
            </a:ln>
            <a:effectLst/>
          </c:spPr>
          <c:invertIfNegative val="0"/>
          <c:cat>
            <c:strRef>
              <c:f>Ontwerp_Backlog!$CH$4:$CH$12</c:f>
              <c:strCache>
                <c:ptCount val="8"/>
                <c:pt idx="0">
                  <c:v>Funderingswapening</c:v>
                </c:pt>
                <c:pt idx="1">
                  <c:v>Grondverbetering</c:v>
                </c:pt>
                <c:pt idx="2">
                  <c:v>Menggranulaat</c:v>
                </c:pt>
                <c:pt idx="3">
                  <c:v>Straatlaag</c:v>
                </c:pt>
                <c:pt idx="4">
                  <c:v>Toplaag</c:v>
                </c:pt>
                <c:pt idx="5">
                  <c:v>Waterbergendelaag</c:v>
                </c:pt>
                <c:pt idx="6">
                  <c:v>Zandbed</c:v>
                </c:pt>
                <c:pt idx="7">
                  <c:v>Grondontgraving</c:v>
                </c:pt>
              </c:strCache>
            </c:strRef>
          </c:cat>
          <c:val>
            <c:numRef>
              <c:f>Ontwerp_Backlog!$CK$4:$CK$12</c:f>
              <c:numCache>
                <c:formatCode>General</c:formatCode>
                <c:ptCount val="8"/>
                <c:pt idx="0">
                  <c:v>232.69063500000001</c:v>
                </c:pt>
                <c:pt idx="1">
                  <c:v>11.137</c:v>
                </c:pt>
                <c:pt idx="2">
                  <c:v>376.06</c:v>
                </c:pt>
                <c:pt idx="3">
                  <c:v>16.705500000000001</c:v>
                </c:pt>
                <c:pt idx="4">
                  <c:v>220.68290999999999</c:v>
                </c:pt>
                <c:pt idx="5">
                  <c:v>332</c:v>
                </c:pt>
                <c:pt idx="6">
                  <c:v>38.979500000000002</c:v>
                </c:pt>
                <c:pt idx="7">
                  <c:v>0</c:v>
                </c:pt>
              </c:numCache>
            </c:numRef>
          </c:val>
          <c:extLst>
            <c:ext xmlns:c16="http://schemas.microsoft.com/office/drawing/2014/chart" uri="{C3380CC4-5D6E-409C-BE32-E72D297353CC}">
              <c16:uniqueId val="{00000002-5F02-4755-A651-B21E4E2EE643}"/>
            </c:ext>
          </c:extLst>
        </c:ser>
        <c:ser>
          <c:idx val="3"/>
          <c:order val="3"/>
          <c:tx>
            <c:strRef>
              <c:f>Ontwerp_Backlog!$CL$3</c:f>
              <c:strCache>
                <c:ptCount val="1"/>
                <c:pt idx="0">
                  <c:v>Sum of B1</c:v>
                </c:pt>
              </c:strCache>
            </c:strRef>
          </c:tx>
          <c:spPr>
            <a:solidFill>
              <a:schemeClr val="accent3"/>
            </a:solidFill>
            <a:ln>
              <a:noFill/>
            </a:ln>
            <a:effectLst/>
          </c:spPr>
          <c:invertIfNegative val="0"/>
          <c:cat>
            <c:strRef>
              <c:f>Ontwerp_Backlog!$CH$4:$CH$12</c:f>
              <c:strCache>
                <c:ptCount val="8"/>
                <c:pt idx="0">
                  <c:v>Funderingswapening</c:v>
                </c:pt>
                <c:pt idx="1">
                  <c:v>Grondverbetering</c:v>
                </c:pt>
                <c:pt idx="2">
                  <c:v>Menggranulaat</c:v>
                </c:pt>
                <c:pt idx="3">
                  <c:v>Straatlaag</c:v>
                </c:pt>
                <c:pt idx="4">
                  <c:v>Toplaag</c:v>
                </c:pt>
                <c:pt idx="5">
                  <c:v>Waterbergendelaag</c:v>
                </c:pt>
                <c:pt idx="6">
                  <c:v>Zandbed</c:v>
                </c:pt>
                <c:pt idx="7">
                  <c:v>Grondontgraving</c:v>
                </c:pt>
              </c:strCache>
            </c:strRef>
          </c:cat>
          <c:val>
            <c:numRef>
              <c:f>Ontwerp_Backlog!$CL$4:$CL$12</c:f>
              <c:numCache>
                <c:formatCode>General</c:formatCode>
                <c:ptCount val="8"/>
                <c:pt idx="0">
                  <c:v>0</c:v>
                </c:pt>
                <c:pt idx="1">
                  <c:v>0</c:v>
                </c:pt>
                <c:pt idx="2">
                  <c:v>68.73</c:v>
                </c:pt>
                <c:pt idx="3">
                  <c:v>0</c:v>
                </c:pt>
                <c:pt idx="4">
                  <c:v>0</c:v>
                </c:pt>
                <c:pt idx="5">
                  <c:v>0</c:v>
                </c:pt>
                <c:pt idx="6">
                  <c:v>0</c:v>
                </c:pt>
                <c:pt idx="7">
                  <c:v>0</c:v>
                </c:pt>
              </c:numCache>
            </c:numRef>
          </c:val>
          <c:extLst>
            <c:ext xmlns:c16="http://schemas.microsoft.com/office/drawing/2014/chart" uri="{C3380CC4-5D6E-409C-BE32-E72D297353CC}">
              <c16:uniqueId val="{00000003-5F02-4755-A651-B21E4E2EE643}"/>
            </c:ext>
          </c:extLst>
        </c:ser>
        <c:ser>
          <c:idx val="4"/>
          <c:order val="4"/>
          <c:tx>
            <c:strRef>
              <c:f>Ontwerp_Backlog!$CM$3</c:f>
              <c:strCache>
                <c:ptCount val="1"/>
                <c:pt idx="0">
                  <c:v>Sum of B3</c:v>
                </c:pt>
              </c:strCache>
            </c:strRef>
          </c:tx>
          <c:spPr>
            <a:solidFill>
              <a:schemeClr val="accent3">
                <a:lumMod val="50000"/>
              </a:schemeClr>
            </a:solidFill>
            <a:ln>
              <a:noFill/>
            </a:ln>
            <a:effectLst/>
          </c:spPr>
          <c:invertIfNegative val="0"/>
          <c:cat>
            <c:strRef>
              <c:f>Ontwerp_Backlog!$CH$4:$CH$12</c:f>
              <c:strCache>
                <c:ptCount val="8"/>
                <c:pt idx="0">
                  <c:v>Funderingswapening</c:v>
                </c:pt>
                <c:pt idx="1">
                  <c:v>Grondverbetering</c:v>
                </c:pt>
                <c:pt idx="2">
                  <c:v>Menggranulaat</c:v>
                </c:pt>
                <c:pt idx="3">
                  <c:v>Straatlaag</c:v>
                </c:pt>
                <c:pt idx="4">
                  <c:v>Toplaag</c:v>
                </c:pt>
                <c:pt idx="5">
                  <c:v>Waterbergendelaag</c:v>
                </c:pt>
                <c:pt idx="6">
                  <c:v>Zandbed</c:v>
                </c:pt>
                <c:pt idx="7">
                  <c:v>Grondontgraving</c:v>
                </c:pt>
              </c:strCache>
            </c:strRef>
          </c:cat>
          <c:val>
            <c:numRef>
              <c:f>Ontwerp_Backlog!$CM$4:$CM$12</c:f>
              <c:numCache>
                <c:formatCode>General</c:formatCode>
                <c:ptCount val="8"/>
                <c:pt idx="0">
                  <c:v>0</c:v>
                </c:pt>
                <c:pt idx="1">
                  <c:v>0</c:v>
                </c:pt>
                <c:pt idx="2">
                  <c:v>0</c:v>
                </c:pt>
                <c:pt idx="3">
                  <c:v>0</c:v>
                </c:pt>
                <c:pt idx="4">
                  <c:v>808.12094311500005</c:v>
                </c:pt>
                <c:pt idx="5">
                  <c:v>0</c:v>
                </c:pt>
                <c:pt idx="6">
                  <c:v>0</c:v>
                </c:pt>
                <c:pt idx="7">
                  <c:v>0</c:v>
                </c:pt>
              </c:numCache>
            </c:numRef>
          </c:val>
          <c:extLst>
            <c:ext xmlns:c16="http://schemas.microsoft.com/office/drawing/2014/chart" uri="{C3380CC4-5D6E-409C-BE32-E72D297353CC}">
              <c16:uniqueId val="{00000004-5F02-4755-A651-B21E4E2EE643}"/>
            </c:ext>
          </c:extLst>
        </c:ser>
        <c:ser>
          <c:idx val="5"/>
          <c:order val="5"/>
          <c:tx>
            <c:strRef>
              <c:f>Ontwerp_Backlog!$CN$3</c:f>
              <c:strCache>
                <c:ptCount val="1"/>
                <c:pt idx="0">
                  <c:v>Sum of B4</c:v>
                </c:pt>
              </c:strCache>
            </c:strRef>
          </c:tx>
          <c:spPr>
            <a:solidFill>
              <a:schemeClr val="bg1">
                <a:lumMod val="75000"/>
              </a:schemeClr>
            </a:solidFill>
            <a:ln>
              <a:noFill/>
            </a:ln>
            <a:effectLst/>
          </c:spPr>
          <c:invertIfNegative val="0"/>
          <c:cat>
            <c:strRef>
              <c:f>Ontwerp_Backlog!$CH$4:$CH$12</c:f>
              <c:strCache>
                <c:ptCount val="8"/>
                <c:pt idx="0">
                  <c:v>Funderingswapening</c:v>
                </c:pt>
                <c:pt idx="1">
                  <c:v>Grondverbetering</c:v>
                </c:pt>
                <c:pt idx="2">
                  <c:v>Menggranulaat</c:v>
                </c:pt>
                <c:pt idx="3">
                  <c:v>Straatlaag</c:v>
                </c:pt>
                <c:pt idx="4">
                  <c:v>Toplaag</c:v>
                </c:pt>
                <c:pt idx="5">
                  <c:v>Waterbergendelaag</c:v>
                </c:pt>
                <c:pt idx="6">
                  <c:v>Zandbed</c:v>
                </c:pt>
                <c:pt idx="7">
                  <c:v>Grondontgraving</c:v>
                </c:pt>
              </c:strCache>
            </c:strRef>
          </c:cat>
          <c:val>
            <c:numRef>
              <c:f>Ontwerp_Backlog!$CN$4:$CN$12</c:f>
              <c:numCache>
                <c:formatCode>General</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5-5F02-4755-A651-B21E4E2EE643}"/>
            </c:ext>
          </c:extLst>
        </c:ser>
        <c:ser>
          <c:idx val="6"/>
          <c:order val="6"/>
          <c:tx>
            <c:strRef>
              <c:f>Ontwerp_Backlog!$CO$3</c:f>
              <c:strCache>
                <c:ptCount val="1"/>
                <c:pt idx="0">
                  <c:v>Sum of C1</c:v>
                </c:pt>
              </c:strCache>
            </c:strRef>
          </c:tx>
          <c:spPr>
            <a:solidFill>
              <a:schemeClr val="accent6">
                <a:lumMod val="50000"/>
              </a:schemeClr>
            </a:solidFill>
            <a:ln>
              <a:noFill/>
            </a:ln>
            <a:effectLst/>
          </c:spPr>
          <c:invertIfNegative val="0"/>
          <c:cat>
            <c:strRef>
              <c:f>Ontwerp_Backlog!$CH$4:$CH$12</c:f>
              <c:strCache>
                <c:ptCount val="8"/>
                <c:pt idx="0">
                  <c:v>Funderingswapening</c:v>
                </c:pt>
                <c:pt idx="1">
                  <c:v>Grondverbetering</c:v>
                </c:pt>
                <c:pt idx="2">
                  <c:v>Menggranulaat</c:v>
                </c:pt>
                <c:pt idx="3">
                  <c:v>Straatlaag</c:v>
                </c:pt>
                <c:pt idx="4">
                  <c:v>Toplaag</c:v>
                </c:pt>
                <c:pt idx="5">
                  <c:v>Waterbergendelaag</c:v>
                </c:pt>
                <c:pt idx="6">
                  <c:v>Zandbed</c:v>
                </c:pt>
                <c:pt idx="7">
                  <c:v>Grondontgraving</c:v>
                </c:pt>
              </c:strCache>
            </c:strRef>
          </c:cat>
          <c:val>
            <c:numRef>
              <c:f>Ontwerp_Backlog!$CO$4:$CO$12</c:f>
              <c:numCache>
                <c:formatCode>General</c:formatCode>
                <c:ptCount val="8"/>
                <c:pt idx="0">
                  <c:v>104.18983499999999</c:v>
                </c:pt>
                <c:pt idx="1">
                  <c:v>1.8759999999999999</c:v>
                </c:pt>
                <c:pt idx="2">
                  <c:v>124.3</c:v>
                </c:pt>
                <c:pt idx="3">
                  <c:v>2.8140000000000001</c:v>
                </c:pt>
                <c:pt idx="4">
                  <c:v>118.127307</c:v>
                </c:pt>
                <c:pt idx="5">
                  <c:v>116</c:v>
                </c:pt>
                <c:pt idx="6">
                  <c:v>6.5659999999999998</c:v>
                </c:pt>
                <c:pt idx="7">
                  <c:v>102.12639999999999</c:v>
                </c:pt>
              </c:numCache>
            </c:numRef>
          </c:val>
          <c:extLst>
            <c:ext xmlns:c16="http://schemas.microsoft.com/office/drawing/2014/chart" uri="{C3380CC4-5D6E-409C-BE32-E72D297353CC}">
              <c16:uniqueId val="{00000006-5F02-4755-A651-B21E4E2EE643}"/>
            </c:ext>
          </c:extLst>
        </c:ser>
        <c:ser>
          <c:idx val="7"/>
          <c:order val="7"/>
          <c:tx>
            <c:strRef>
              <c:f>Ontwerp_Backlog!$CP$3</c:f>
              <c:strCache>
                <c:ptCount val="1"/>
                <c:pt idx="0">
                  <c:v>Sum of C2</c:v>
                </c:pt>
              </c:strCache>
            </c:strRef>
          </c:tx>
          <c:spPr>
            <a:solidFill>
              <a:schemeClr val="accent4">
                <a:lumMod val="50000"/>
              </a:schemeClr>
            </a:solidFill>
            <a:ln>
              <a:noFill/>
            </a:ln>
            <a:effectLst/>
          </c:spPr>
          <c:invertIfNegative val="0"/>
          <c:cat>
            <c:strRef>
              <c:f>Ontwerp_Backlog!$CH$4:$CH$12</c:f>
              <c:strCache>
                <c:ptCount val="8"/>
                <c:pt idx="0">
                  <c:v>Funderingswapening</c:v>
                </c:pt>
                <c:pt idx="1">
                  <c:v>Grondverbetering</c:v>
                </c:pt>
                <c:pt idx="2">
                  <c:v>Menggranulaat</c:v>
                </c:pt>
                <c:pt idx="3">
                  <c:v>Straatlaag</c:v>
                </c:pt>
                <c:pt idx="4">
                  <c:v>Toplaag</c:v>
                </c:pt>
                <c:pt idx="5">
                  <c:v>Waterbergendelaag</c:v>
                </c:pt>
                <c:pt idx="6">
                  <c:v>Zandbed</c:v>
                </c:pt>
                <c:pt idx="7">
                  <c:v>Grondontgraving</c:v>
                </c:pt>
              </c:strCache>
            </c:strRef>
          </c:cat>
          <c:val>
            <c:numRef>
              <c:f>Ontwerp_Backlog!$CP$4:$CP$12</c:f>
              <c:numCache>
                <c:formatCode>General</c:formatCode>
                <c:ptCount val="8"/>
                <c:pt idx="0">
                  <c:v>5.6196379392E-2</c:v>
                </c:pt>
                <c:pt idx="1">
                  <c:v>53.856749999999998</c:v>
                </c:pt>
                <c:pt idx="2">
                  <c:v>166.87905000000001</c:v>
                </c:pt>
                <c:pt idx="3">
                  <c:v>80.785124999999994</c:v>
                </c:pt>
                <c:pt idx="4">
                  <c:v>38.02221351</c:v>
                </c:pt>
                <c:pt idx="5">
                  <c:v>0.224</c:v>
                </c:pt>
                <c:pt idx="6">
                  <c:v>188.498625</c:v>
                </c:pt>
                <c:pt idx="7">
                  <c:v>1795.0734749999999</c:v>
                </c:pt>
              </c:numCache>
            </c:numRef>
          </c:val>
          <c:extLst>
            <c:ext xmlns:c16="http://schemas.microsoft.com/office/drawing/2014/chart" uri="{C3380CC4-5D6E-409C-BE32-E72D297353CC}">
              <c16:uniqueId val="{00000007-5F02-4755-A651-B21E4E2EE643}"/>
            </c:ext>
          </c:extLst>
        </c:ser>
        <c:ser>
          <c:idx val="8"/>
          <c:order val="8"/>
          <c:tx>
            <c:strRef>
              <c:f>Ontwerp_Backlog!$CQ$3</c:f>
              <c:strCache>
                <c:ptCount val="1"/>
                <c:pt idx="0">
                  <c:v>Sum of C3</c:v>
                </c:pt>
              </c:strCache>
            </c:strRef>
          </c:tx>
          <c:spPr>
            <a:solidFill>
              <a:schemeClr val="accent2">
                <a:lumMod val="50000"/>
              </a:schemeClr>
            </a:solidFill>
            <a:ln>
              <a:noFill/>
            </a:ln>
            <a:effectLst/>
          </c:spPr>
          <c:invertIfNegative val="0"/>
          <c:cat>
            <c:strRef>
              <c:f>Ontwerp_Backlog!$CH$4:$CH$12</c:f>
              <c:strCache>
                <c:ptCount val="8"/>
                <c:pt idx="0">
                  <c:v>Funderingswapening</c:v>
                </c:pt>
                <c:pt idx="1">
                  <c:v>Grondverbetering</c:v>
                </c:pt>
                <c:pt idx="2">
                  <c:v>Menggranulaat</c:v>
                </c:pt>
                <c:pt idx="3">
                  <c:v>Straatlaag</c:v>
                </c:pt>
                <c:pt idx="4">
                  <c:v>Toplaag</c:v>
                </c:pt>
                <c:pt idx="5">
                  <c:v>Waterbergendelaag</c:v>
                </c:pt>
                <c:pt idx="6">
                  <c:v>Zandbed</c:v>
                </c:pt>
                <c:pt idx="7">
                  <c:v>Grondontgraving</c:v>
                </c:pt>
              </c:strCache>
            </c:strRef>
          </c:cat>
          <c:val>
            <c:numRef>
              <c:f>Ontwerp_Backlog!$CQ$4:$CQ$12</c:f>
              <c:numCache>
                <c:formatCode>General</c:formatCode>
                <c:ptCount val="8"/>
                <c:pt idx="0">
                  <c:v>7.0133438999999997</c:v>
                </c:pt>
                <c:pt idx="1">
                  <c:v>0</c:v>
                </c:pt>
                <c:pt idx="2">
                  <c:v>98.08</c:v>
                </c:pt>
                <c:pt idx="3">
                  <c:v>0</c:v>
                </c:pt>
                <c:pt idx="4">
                  <c:v>43.212433500000003</c:v>
                </c:pt>
                <c:pt idx="5">
                  <c:v>949.5</c:v>
                </c:pt>
                <c:pt idx="6">
                  <c:v>0</c:v>
                </c:pt>
                <c:pt idx="7">
                  <c:v>0</c:v>
                </c:pt>
              </c:numCache>
            </c:numRef>
          </c:val>
          <c:extLst>
            <c:ext xmlns:c16="http://schemas.microsoft.com/office/drawing/2014/chart" uri="{C3380CC4-5D6E-409C-BE32-E72D297353CC}">
              <c16:uniqueId val="{00000008-5F02-4755-A651-B21E4E2EE643}"/>
            </c:ext>
          </c:extLst>
        </c:ser>
        <c:ser>
          <c:idx val="9"/>
          <c:order val="9"/>
          <c:tx>
            <c:strRef>
              <c:f>Ontwerp_Backlog!$CR$3</c:f>
              <c:strCache>
                <c:ptCount val="1"/>
                <c:pt idx="0">
                  <c:v>Sum of C4</c:v>
                </c:pt>
              </c:strCache>
            </c:strRef>
          </c:tx>
          <c:spPr>
            <a:solidFill>
              <a:schemeClr val="tx1">
                <a:lumMod val="95000"/>
                <a:lumOff val="5000"/>
              </a:schemeClr>
            </a:solidFill>
            <a:ln>
              <a:noFill/>
            </a:ln>
            <a:effectLst/>
          </c:spPr>
          <c:invertIfNegative val="0"/>
          <c:cat>
            <c:strRef>
              <c:f>Ontwerp_Backlog!$CH$4:$CH$12</c:f>
              <c:strCache>
                <c:ptCount val="8"/>
                <c:pt idx="0">
                  <c:v>Funderingswapening</c:v>
                </c:pt>
                <c:pt idx="1">
                  <c:v>Grondverbetering</c:v>
                </c:pt>
                <c:pt idx="2">
                  <c:v>Menggranulaat</c:v>
                </c:pt>
                <c:pt idx="3">
                  <c:v>Straatlaag</c:v>
                </c:pt>
                <c:pt idx="4">
                  <c:v>Toplaag</c:v>
                </c:pt>
                <c:pt idx="5">
                  <c:v>Waterbergendelaag</c:v>
                </c:pt>
                <c:pt idx="6">
                  <c:v>Zandbed</c:v>
                </c:pt>
                <c:pt idx="7">
                  <c:v>Grondontgraving</c:v>
                </c:pt>
              </c:strCache>
            </c:strRef>
          </c:cat>
          <c:val>
            <c:numRef>
              <c:f>Ontwerp_Backlog!$CR$4:$CR$12</c:f>
              <c:numCache>
                <c:formatCode>General</c:formatCode>
                <c:ptCount val="8"/>
                <c:pt idx="0">
                  <c:v>12.9115911772</c:v>
                </c:pt>
                <c:pt idx="1">
                  <c:v>0.5575</c:v>
                </c:pt>
                <c:pt idx="2">
                  <c:v>7.2499999999999991</c:v>
                </c:pt>
                <c:pt idx="3">
                  <c:v>0.83624999999999994</c:v>
                </c:pt>
                <c:pt idx="4">
                  <c:v>1.9707586500000001</c:v>
                </c:pt>
                <c:pt idx="5">
                  <c:v>6.5</c:v>
                </c:pt>
                <c:pt idx="6">
                  <c:v>1.9512499999999999</c:v>
                </c:pt>
                <c:pt idx="7">
                  <c:v>17.153600000000001</c:v>
                </c:pt>
              </c:numCache>
            </c:numRef>
          </c:val>
          <c:extLst>
            <c:ext xmlns:c16="http://schemas.microsoft.com/office/drawing/2014/chart" uri="{C3380CC4-5D6E-409C-BE32-E72D297353CC}">
              <c16:uniqueId val="{00000009-5F02-4755-A651-B21E4E2EE643}"/>
            </c:ext>
          </c:extLst>
        </c:ser>
        <c:ser>
          <c:idx val="10"/>
          <c:order val="10"/>
          <c:tx>
            <c:strRef>
              <c:f>Ontwerp_Backlog!$CS$3</c:f>
              <c:strCache>
                <c:ptCount val="1"/>
                <c:pt idx="0">
                  <c:v>Sum of D</c:v>
                </c:pt>
              </c:strCache>
            </c:strRef>
          </c:tx>
          <c:spPr>
            <a:solidFill>
              <a:srgbClr val="FF0000"/>
            </a:solidFill>
            <a:ln>
              <a:noFill/>
            </a:ln>
            <a:effectLst/>
          </c:spPr>
          <c:invertIfNegative val="0"/>
          <c:cat>
            <c:strRef>
              <c:f>Ontwerp_Backlog!$CH$4:$CH$12</c:f>
              <c:strCache>
                <c:ptCount val="8"/>
                <c:pt idx="0">
                  <c:v>Funderingswapening</c:v>
                </c:pt>
                <c:pt idx="1">
                  <c:v>Grondverbetering</c:v>
                </c:pt>
                <c:pt idx="2">
                  <c:v>Menggranulaat</c:v>
                </c:pt>
                <c:pt idx="3">
                  <c:v>Straatlaag</c:v>
                </c:pt>
                <c:pt idx="4">
                  <c:v>Toplaag</c:v>
                </c:pt>
                <c:pt idx="5">
                  <c:v>Waterbergendelaag</c:v>
                </c:pt>
                <c:pt idx="6">
                  <c:v>Zandbed</c:v>
                </c:pt>
                <c:pt idx="7">
                  <c:v>Grondontgraving</c:v>
                </c:pt>
              </c:strCache>
            </c:strRef>
          </c:cat>
          <c:val>
            <c:numRef>
              <c:f>Ontwerp_Backlog!$CS$4:$CS$12</c:f>
              <c:numCache>
                <c:formatCode>General</c:formatCode>
                <c:ptCount val="8"/>
                <c:pt idx="0">
                  <c:v>-7.8846214060000008</c:v>
                </c:pt>
                <c:pt idx="1">
                  <c:v>-39.846499999999999</c:v>
                </c:pt>
                <c:pt idx="2">
                  <c:v>14.649999999999999</c:v>
                </c:pt>
                <c:pt idx="3">
                  <c:v>-59.769750000000002</c:v>
                </c:pt>
                <c:pt idx="4">
                  <c:v>-141.69447</c:v>
                </c:pt>
                <c:pt idx="5">
                  <c:v>-597</c:v>
                </c:pt>
                <c:pt idx="6">
                  <c:v>-139.46275</c:v>
                </c:pt>
                <c:pt idx="7">
                  <c:v>0</c:v>
                </c:pt>
              </c:numCache>
            </c:numRef>
          </c:val>
          <c:extLst>
            <c:ext xmlns:c16="http://schemas.microsoft.com/office/drawing/2014/chart" uri="{C3380CC4-5D6E-409C-BE32-E72D297353CC}">
              <c16:uniqueId val="{0000000A-5F02-4755-A651-B21E4E2EE643}"/>
            </c:ext>
          </c:extLst>
        </c:ser>
        <c:dLbls>
          <c:showLegendKey val="0"/>
          <c:showVal val="0"/>
          <c:showCatName val="0"/>
          <c:showSerName val="0"/>
          <c:showPercent val="0"/>
          <c:showBubbleSize val="0"/>
        </c:dLbls>
        <c:gapWidth val="150"/>
        <c:overlap val="100"/>
        <c:axId val="1041766239"/>
        <c:axId val="1041763743"/>
      </c:barChart>
      <c:catAx>
        <c:axId val="1041766239"/>
        <c:scaling>
          <c:orientation val="minMax"/>
        </c:scaling>
        <c:delete val="0"/>
        <c:axPos val="b"/>
        <c:numFmt formatCode="General" sourceLinked="1"/>
        <c:majorTickMark val="none"/>
        <c:minorTickMark val="none"/>
        <c:tickLblPos val="nextTo"/>
        <c:spPr>
          <a:noFill/>
          <a:ln w="9525" cap="flat" cmpd="sng" algn="ctr">
            <a:solidFill>
              <a:schemeClr val="tx2">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en-US"/>
          </a:p>
        </c:txPr>
        <c:crossAx val="1041763743"/>
        <c:crosses val="autoZero"/>
        <c:auto val="1"/>
        <c:lblAlgn val="ctr"/>
        <c:lblOffset val="100"/>
        <c:noMultiLvlLbl val="0"/>
      </c:catAx>
      <c:valAx>
        <c:axId val="1041763743"/>
        <c:scaling>
          <c:orientation val="minMax"/>
        </c:scaling>
        <c:delete val="0"/>
        <c:axPos val="l"/>
        <c:majorGridlines>
          <c:spPr>
            <a:ln w="9525" cap="flat" cmpd="sng" algn="ctr">
              <a:solidFill>
                <a:schemeClr val="tx2">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en-US"/>
          </a:p>
        </c:txPr>
        <c:crossAx val="104176623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pivotOptions>
    </c:ext>
    <c:ext xmlns:c16="http://schemas.microsoft.com/office/drawing/2014/chart" uri="{E28EC0CA-F0BB-4C9C-879D-F8772B89E7AC}">
      <c16:pivotOptions16>
        <c16:showExpandCollapseFieldButtons val="1"/>
      </c16:pivotOptions16>
    </c:ext>
  </c:extLst>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cap="all" spc="50" baseline="0">
                <a:solidFill>
                  <a:schemeClr val="tx1">
                    <a:lumMod val="65000"/>
                    <a:lumOff val="35000"/>
                  </a:schemeClr>
                </a:solidFill>
                <a:latin typeface="+mn-lt"/>
                <a:ea typeface="+mn-ea"/>
                <a:cs typeface="+mn-cs"/>
              </a:defRPr>
            </a:pPr>
            <a:r>
              <a:rPr lang="nl-NL"/>
              <a:t>MKI per levensfase</a:t>
            </a:r>
            <a:br>
              <a:rPr lang="nl-NL"/>
            </a:br>
            <a:r>
              <a:rPr lang="nl-NL"/>
              <a:t>(Excl.</a:t>
            </a:r>
            <a:r>
              <a:rPr lang="nl-NL" baseline="0"/>
              <a:t> module D)</a:t>
            </a:r>
            <a:endParaRPr lang="nl-NL"/>
          </a:p>
        </c:rich>
      </c:tx>
      <c:overlay val="0"/>
      <c:spPr>
        <a:noFill/>
        <a:ln>
          <a:noFill/>
        </a:ln>
        <a:effectLst/>
      </c:spPr>
      <c:txPr>
        <a:bodyPr rot="0" spcFirstLastPara="1" vertOverflow="ellipsis" vert="horz" wrap="square" anchor="ctr" anchorCtr="1"/>
        <a:lstStyle/>
        <a:p>
          <a:pPr>
            <a:defRPr sz="1400" b="1" i="0" u="none" strike="noStrike" kern="1200" cap="all" spc="5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25979921784177534"/>
          <c:y val="0.2258761265699675"/>
          <c:w val="0.45788774094809048"/>
          <c:h val="0.7516172844932083"/>
        </c:manualLayout>
      </c:layout>
      <c:pieChart>
        <c:varyColors val="1"/>
        <c:ser>
          <c:idx val="42"/>
          <c:order val="0"/>
          <c:dPt>
            <c:idx val="0"/>
            <c:bubble3D val="0"/>
            <c:spPr>
              <a:solidFill>
                <a:srgbClr val="002060"/>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E74-8BC6-41D2-B184-87C785143D05}"/>
              </c:ext>
            </c:extLst>
          </c:dPt>
          <c:dPt>
            <c:idx val="1"/>
            <c:bubble3D val="0"/>
            <c:spPr>
              <a:solidFill>
                <a:schemeClr val="accent2"/>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3-372C-4709-BD8C-3E85E9048978}"/>
              </c:ext>
            </c:extLst>
          </c:dPt>
          <c:dPt>
            <c:idx val="2"/>
            <c:bubble3D val="0"/>
            <c:spPr>
              <a:solidFill>
                <a:schemeClr val="accent6"/>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E75-8BC6-41D2-B184-87C785143D05}"/>
              </c:ext>
            </c:extLst>
          </c:dPt>
          <c:dPt>
            <c:idx val="3"/>
            <c:bubble3D val="0"/>
            <c:spPr>
              <a:solidFill>
                <a:schemeClr val="accent3"/>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E76-8BC6-41D2-B184-87C785143D05}"/>
              </c:ext>
            </c:extLst>
          </c:dPt>
          <c:dPt>
            <c:idx val="4"/>
            <c:bubble3D val="0"/>
            <c:spPr>
              <a:solidFill>
                <a:schemeClr val="tx1">
                  <a:lumMod val="50000"/>
                  <a:lumOff val="50000"/>
                </a:schemeClr>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E77-8BC6-41D2-B184-87C785143D05}"/>
              </c:ext>
            </c:extLst>
          </c:dPt>
          <c:dPt>
            <c:idx val="5"/>
            <c:bubble3D val="0"/>
            <c:spPr>
              <a:solidFill>
                <a:schemeClr val="accent6">
                  <a:lumMod val="50000"/>
                </a:schemeClr>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E78-8BC6-41D2-B184-87C785143D05}"/>
              </c:ext>
            </c:extLst>
          </c:dPt>
          <c:dPt>
            <c:idx val="6"/>
            <c:bubble3D val="0"/>
            <c:spPr>
              <a:solidFill>
                <a:schemeClr val="accent2">
                  <a:lumMod val="50000"/>
                </a:schemeClr>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E79-8BC6-41D2-B184-87C785143D05}"/>
              </c:ext>
            </c:extLst>
          </c:dPt>
          <c:dPt>
            <c:idx val="7"/>
            <c:bubble3D val="0"/>
            <c:spPr>
              <a:solidFill>
                <a:schemeClr val="accent4">
                  <a:lumMod val="75000"/>
                </a:schemeClr>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E7A-8BC6-41D2-B184-87C785143D05}"/>
              </c:ext>
            </c:extLst>
          </c:dPt>
          <c:dPt>
            <c:idx val="8"/>
            <c:bubble3D val="0"/>
            <c:spPr>
              <a:solidFill>
                <a:schemeClr val="accent3">
                  <a:lumMod val="20000"/>
                  <a:lumOff val="80000"/>
                </a:schemeClr>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E7B-8BC6-41D2-B184-87C785143D05}"/>
              </c:ext>
            </c:extLst>
          </c:dPt>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n-US"/>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Baseline_Backlog!$G$3:$O$3</c:f>
              <c:strCache>
                <c:ptCount val="9"/>
                <c:pt idx="0">
                  <c:v>A1-A3</c:v>
                </c:pt>
                <c:pt idx="1">
                  <c:v>A4</c:v>
                </c:pt>
                <c:pt idx="2">
                  <c:v>A5</c:v>
                </c:pt>
                <c:pt idx="3">
                  <c:v>B1</c:v>
                </c:pt>
                <c:pt idx="4">
                  <c:v>B4</c:v>
                </c:pt>
                <c:pt idx="5">
                  <c:v>C1</c:v>
                </c:pt>
                <c:pt idx="6">
                  <c:v>C2</c:v>
                </c:pt>
                <c:pt idx="7">
                  <c:v>C3</c:v>
                </c:pt>
                <c:pt idx="8">
                  <c:v>C4</c:v>
                </c:pt>
              </c:strCache>
            </c:strRef>
          </c:cat>
          <c:val>
            <c:numRef>
              <c:f>Baseline_Backlog!$G$104:$O$104</c:f>
              <c:numCache>
                <c:formatCode>_([$€-2]\ * #,##0_);_([$€-2]\ * \(#,##0\);_([$€-2]\ * "-"??_);_(@_)</c:formatCode>
                <c:ptCount val="9"/>
                <c:pt idx="0">
                  <c:v>71139.94975</c:v>
                </c:pt>
                <c:pt idx="1">
                  <c:v>5614.0799392869967</c:v>
                </c:pt>
                <c:pt idx="2">
                  <c:v>24369.94909991193</c:v>
                </c:pt>
                <c:pt idx="3">
                  <c:v>0</c:v>
                </c:pt>
                <c:pt idx="4">
                  <c:v>0</c:v>
                </c:pt>
                <c:pt idx="5">
                  <c:v>6661.7814402061194</c:v>
                </c:pt>
                <c:pt idx="6">
                  <c:v>5961.5821132961337</c:v>
                </c:pt>
                <c:pt idx="7">
                  <c:v>1809.0630398004366</c:v>
                </c:pt>
                <c:pt idx="8">
                  <c:v>1127.5805425600001</c:v>
                </c:pt>
              </c:numCache>
            </c:numRef>
          </c:val>
          <c:extLst>
            <c:ext xmlns:c16="http://schemas.microsoft.com/office/drawing/2014/chart" uri="{C3380CC4-5D6E-409C-BE32-E72D297353CC}">
              <c16:uniqueId val="{00000E3A-8BC6-41D2-B184-87C785143D05}"/>
            </c:ext>
          </c:extLst>
        </c:ser>
        <c:dLbls>
          <c:dLblPos val="inEnd"/>
          <c:showLegendKey val="0"/>
          <c:showVal val="0"/>
          <c:showCatName val="0"/>
          <c:showSerName val="0"/>
          <c:showPercent val="1"/>
          <c:showBubbleSize val="0"/>
          <c:showLeaderLines val="1"/>
        </c:dLbls>
        <c:firstSliceAng val="0"/>
        <c:extLst/>
      </c:pieChart>
      <c:spPr>
        <a:noFill/>
        <a:ln>
          <a:noFill/>
        </a:ln>
        <a:effectLst/>
      </c:spPr>
    </c:plotArea>
    <c:legend>
      <c:legendPos val="r"/>
      <c:legendEntry>
        <c:idx val="0"/>
        <c:txPr>
          <a:bodyPr rot="0" spcFirstLastPara="1" vertOverflow="ellipsis" vert="horz" wrap="square" anchor="ctr" anchorCtr="1"/>
          <a:lstStyle/>
          <a:p>
            <a:pPr rtl="0">
              <a:defRPr sz="1200" b="0" i="0" u="none" strike="noStrike" kern="1200" baseline="0">
                <a:solidFill>
                  <a:srgbClr val="002060"/>
                </a:solidFill>
                <a:latin typeface="+mn-lt"/>
                <a:ea typeface="+mn-ea"/>
                <a:cs typeface="+mn-cs"/>
              </a:defRPr>
            </a:pPr>
            <a:endParaRPr lang="en-US"/>
          </a:p>
        </c:txPr>
      </c:legendEntry>
      <c:legendEntry>
        <c:idx val="3"/>
        <c:txPr>
          <a:bodyPr rot="0" spcFirstLastPara="1" vertOverflow="ellipsis" vert="horz" wrap="square" anchor="ctr" anchorCtr="1"/>
          <a:lstStyle/>
          <a:p>
            <a:pPr rtl="0">
              <a:defRPr sz="1200" b="0" i="0" u="none" strike="noStrike" kern="1200" baseline="0">
                <a:solidFill>
                  <a:srgbClr val="002060"/>
                </a:solidFill>
                <a:latin typeface="+mn-lt"/>
                <a:ea typeface="+mn-ea"/>
                <a:cs typeface="+mn-cs"/>
              </a:defRPr>
            </a:pPr>
            <a:endParaRPr lang="en-US"/>
          </a:p>
        </c:txPr>
      </c:legendEntry>
      <c:layout>
        <c:manualLayout>
          <c:xMode val="edge"/>
          <c:yMode val="edge"/>
          <c:x val="0.78268486002166149"/>
          <c:y val="0.11365756526201923"/>
          <c:w val="0.10413763169158205"/>
          <c:h val="0.6942677668831827"/>
        </c:manualLayout>
      </c:layout>
      <c:overlay val="0"/>
      <c:spPr>
        <a:noFill/>
        <a:ln>
          <a:noFill/>
        </a:ln>
        <a:effectLst/>
      </c:spPr>
      <c:txPr>
        <a:bodyPr rot="0" spcFirstLastPara="1" vertOverflow="ellipsis" vert="horz" wrap="square" anchor="ctr" anchorCtr="1"/>
        <a:lstStyle/>
        <a:p>
          <a:pPr rtl="0">
            <a:defRPr sz="12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chemeClr val="tx2"/>
                </a:solidFill>
                <a:latin typeface="+mn-lt"/>
                <a:ea typeface="+mn-ea"/>
                <a:cs typeface="+mn-cs"/>
              </a:defRPr>
            </a:pPr>
            <a:r>
              <a:rPr lang="nl-NL"/>
              <a:t>MKI PER ONDERDEEL</a:t>
            </a:r>
          </a:p>
        </c:rich>
      </c:tx>
      <c:overlay val="0"/>
      <c:spPr>
        <a:noFill/>
        <a:ln>
          <a:noFill/>
        </a:ln>
        <a:effectLst/>
      </c:spPr>
      <c:txPr>
        <a:bodyPr rot="0" spcFirstLastPara="1" vertOverflow="ellipsis" vert="horz" wrap="square" anchor="ctr" anchorCtr="1"/>
        <a:lstStyle/>
        <a:p>
          <a:pPr>
            <a:defRPr sz="1600" b="1" i="0" u="none" strike="noStrike" kern="1200" baseline="0">
              <a:solidFill>
                <a:schemeClr val="tx2"/>
              </a:solidFill>
              <a:latin typeface="+mn-lt"/>
              <a:ea typeface="+mn-ea"/>
              <a:cs typeface="+mn-cs"/>
            </a:defRPr>
          </a:pPr>
          <a:endParaRPr lang="en-US"/>
        </a:p>
      </c:txPr>
    </c:title>
    <c:autoTitleDeleted val="0"/>
    <c:plotArea>
      <c:layout>
        <c:manualLayout>
          <c:layoutTarget val="inner"/>
          <c:xMode val="edge"/>
          <c:yMode val="edge"/>
          <c:x val="6.7135160150650353E-2"/>
          <c:y val="6.3537495313085848E-2"/>
          <c:w val="0.92200490766321286"/>
          <c:h val="0.83304583802024745"/>
        </c:manualLayout>
      </c:layout>
      <c:barChart>
        <c:barDir val="bar"/>
        <c:grouping val="stacked"/>
        <c:varyColors val="0"/>
        <c:ser>
          <c:idx val="2"/>
          <c:order val="4"/>
          <c:tx>
            <c:strRef>
              <c:f>Baseline_Backlog!$G$3</c:f>
              <c:strCache>
                <c:ptCount val="1"/>
                <c:pt idx="0">
                  <c:v>A1-A3</c:v>
                </c:pt>
              </c:strCache>
            </c:strRef>
          </c:tx>
          <c:spPr>
            <a:solidFill>
              <a:srgbClr val="002060"/>
            </a:solidFill>
            <a:ln>
              <a:noFill/>
            </a:ln>
            <a:effectLst/>
          </c:spPr>
          <c:invertIfNegative val="0"/>
          <c:cat>
            <c:strRef>
              <c:f>Baseline_Backlog!$B$4:$B$103</c:f>
              <c:strCache>
                <c:ptCount val="34"/>
                <c:pt idx="0">
                  <c:v>121110 - Opbreken trottoirband </c:v>
                </c:pt>
                <c:pt idx="1">
                  <c:v>121120 - Opbreken RWS band</c:v>
                </c:pt>
                <c:pt idx="2">
                  <c:v>121140 - Opbreken Opsluitband</c:v>
                </c:pt>
                <c:pt idx="3">
                  <c:v>121310 - Opbreken betonstraatstenen</c:v>
                </c:pt>
                <c:pt idx="4">
                  <c:v>121320 - Opbreken straatbakstenen en geschikt maken voor hergebruik</c:v>
                </c:pt>
                <c:pt idx="5">
                  <c:v>121330 - Opbreken en afvoeren straatbakstenen</c:v>
                </c:pt>
                <c:pt idx="6">
                  <c:v>121340 - Opbreken betontegels 300x300x45mm</c:v>
                </c:pt>
                <c:pt idx="7">
                  <c:v>121410 - Opbreken en afvoeren asfaltverharding zwart teervrij</c:v>
                </c:pt>
                <c:pt idx="8">
                  <c:v>121420 - Opbreken en afvoeren asfaltverharding rood teervrij</c:v>
                </c:pt>
                <c:pt idx="9">
                  <c:v>121510 - Opbreken fundering van menggranulaat, 400-200 mm dik</c:v>
                </c:pt>
                <c:pt idx="10">
                  <c:v>121520 - Opbreken fundering van slakken 200-400 mm dik</c:v>
                </c:pt>
                <c:pt idx="11">
                  <c:v>121310 - Verwijderen en afvoeren kolken, incl aansluitingen</c:v>
                </c:pt>
                <c:pt idx="12">
                  <c:v>210010 - Grond ontgraven uit cunet wegen en parkeervakken 0,25 m</c:v>
                </c:pt>
                <c:pt idx="13">
                  <c:v>210020 - Grond ontgraven uit sleuf riolering (gerekend met 11,5m3/m1 riool)</c:v>
                </c:pt>
                <c:pt idx="14">
                  <c:v>210030 - Grond ontgraven uit plantvak</c:v>
                </c:pt>
                <c:pt idx="15">
                  <c:v>220010 - Grond verwerken in sleuf riolering</c:v>
                </c:pt>
                <c:pt idx="16">
                  <c:v>220020 - Leveren en aanbrengen zand voor zand (gemiddeld 100 mm)</c:v>
                </c:pt>
                <c:pt idx="17">
                  <c:v>322020 - Leveren en aanbrengen rioolbuis van Beton Ø400mm</c:v>
                </c:pt>
                <c:pt idx="18">
                  <c:v>322070 - Leveren en aanbrengen rioolbuis van Beton IT Ø400mm</c:v>
                </c:pt>
                <c:pt idx="19">
                  <c:v>322100 - Leveren en aanbrengen rioolbuis van Beton IT Ø800mm</c:v>
                </c:pt>
                <c:pt idx="20">
                  <c:v>330010 - Leveren en aanbrengen kolken</c:v>
                </c:pt>
                <c:pt idx="21">
                  <c:v>420010 - Leveren en aanbrengen fundering menggranulaat, (250mm dik)</c:v>
                </c:pt>
                <c:pt idx="22">
                  <c:v>430010 - Leveren en aanbrengen trottoirbanden 180/200x250</c:v>
                </c:pt>
                <c:pt idx="23">
                  <c:v>430020 - Leveren en aanbrengen trottoirbanden 130/150x250</c:v>
                </c:pt>
                <c:pt idx="24">
                  <c:v>430040 - Leveren en aanbrengen opsluitbanden 100x200</c:v>
                </c:pt>
                <c:pt idx="25">
                  <c:v>430050 - Leveren en aanbrengen opsluitbanden 120x250</c:v>
                </c:pt>
                <c:pt idx="26">
                  <c:v>440010 - Aanbrengen straatbakstenen DF, Rood (rijweg)</c:v>
                </c:pt>
                <c:pt idx="27">
                  <c:v>440020 - Aanbrengen straatbakstenen DF, Geel (rijweg/ plein)</c:v>
                </c:pt>
                <c:pt idx="28">
                  <c:v>440030 - Aanbrengen straatbakstenen DF, Rood (parkeervakken)</c:v>
                </c:pt>
                <c:pt idx="29">
                  <c:v>440040 - Aanbrengen straatbakstenen DF, Geel (parkeervakken)</c:v>
                </c:pt>
                <c:pt idx="30">
                  <c:v>440050 - Leveren en aanbrengen open (grasbeton) verharding (parkeerplaats)</c:v>
                </c:pt>
                <c:pt idx="31">
                  <c:v>440060 - Aanbrengen straatbakstenen DF, Rood (trottoir)</c:v>
                </c:pt>
                <c:pt idx="32">
                  <c:v>440070 - Aanbrengen straatbakstenen DF, Geel (trottoir)</c:v>
                </c:pt>
                <c:pt idx="33">
                  <c:v>440090 - Aanbrengen straatbakstenen DF, Rood (drempelopgang)</c:v>
                </c:pt>
              </c:strCache>
            </c:strRef>
          </c:cat>
          <c:val>
            <c:numRef>
              <c:f>Baseline_Backlog!$G$4:$G$103</c:f>
              <c:numCache>
                <c:formatCode>_([$€-2]\ * #,##0.00_);_([$€-2]\ * \(#,##0.00\);_([$€-2]\ * "-"??_);_(@_)</c:formatCode>
                <c:ptCount val="3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5493.9290000000001</c:v>
                </c:pt>
                <c:pt idx="17">
                  <c:v>648</c:v>
                </c:pt>
                <c:pt idx="18">
                  <c:v>513</c:v>
                </c:pt>
                <c:pt idx="19">
                  <c:v>5825.0324999999993</c:v>
                </c:pt>
                <c:pt idx="20">
                  <c:v>1567.52</c:v>
                </c:pt>
                <c:pt idx="21">
                  <c:v>0</c:v>
                </c:pt>
                <c:pt idx="22">
                  <c:v>50.371849999999995</c:v>
                </c:pt>
                <c:pt idx="23">
                  <c:v>185.47200000000001</c:v>
                </c:pt>
                <c:pt idx="24">
                  <c:v>638.26035000000002</c:v>
                </c:pt>
                <c:pt idx="25">
                  <c:v>1120.6912499999999</c:v>
                </c:pt>
                <c:pt idx="26">
                  <c:v>14671.189049999999</c:v>
                </c:pt>
                <c:pt idx="27">
                  <c:v>21719.91675</c:v>
                </c:pt>
                <c:pt idx="28">
                  <c:v>1463.60625</c:v>
                </c:pt>
                <c:pt idx="29">
                  <c:v>1662.6567</c:v>
                </c:pt>
                <c:pt idx="30">
                  <c:v>2080</c:v>
                </c:pt>
                <c:pt idx="31">
                  <c:v>10280.3703</c:v>
                </c:pt>
                <c:pt idx="32">
                  <c:v>2693.0355</c:v>
                </c:pt>
                <c:pt idx="33">
                  <c:v>526.89824999999996</c:v>
                </c:pt>
              </c:numCache>
            </c:numRef>
          </c:val>
          <c:extLst xmlns:c15="http://schemas.microsoft.com/office/drawing/2012/chart">
            <c:ext xmlns:c16="http://schemas.microsoft.com/office/drawing/2014/chart" uri="{C3380CC4-5D6E-409C-BE32-E72D297353CC}">
              <c16:uniqueId val="{00000003-8263-4AF6-BD2C-DC0EAFC73866}"/>
            </c:ext>
          </c:extLst>
        </c:ser>
        <c:ser>
          <c:idx val="3"/>
          <c:order val="5"/>
          <c:tx>
            <c:strRef>
              <c:f>Baseline_Backlog!$H$3</c:f>
              <c:strCache>
                <c:ptCount val="1"/>
                <c:pt idx="0">
                  <c:v>A4</c:v>
                </c:pt>
              </c:strCache>
            </c:strRef>
          </c:tx>
          <c:spPr>
            <a:solidFill>
              <a:schemeClr val="accent2"/>
            </a:solidFill>
            <a:ln>
              <a:noFill/>
            </a:ln>
            <a:effectLst/>
          </c:spPr>
          <c:invertIfNegative val="0"/>
          <c:cat>
            <c:strRef>
              <c:f>Baseline_Backlog!$B$4:$B$103</c:f>
              <c:strCache>
                <c:ptCount val="34"/>
                <c:pt idx="0">
                  <c:v>121110 - Opbreken trottoirband </c:v>
                </c:pt>
                <c:pt idx="1">
                  <c:v>121120 - Opbreken RWS band</c:v>
                </c:pt>
                <c:pt idx="2">
                  <c:v>121140 - Opbreken Opsluitband</c:v>
                </c:pt>
                <c:pt idx="3">
                  <c:v>121310 - Opbreken betonstraatstenen</c:v>
                </c:pt>
                <c:pt idx="4">
                  <c:v>121320 - Opbreken straatbakstenen en geschikt maken voor hergebruik</c:v>
                </c:pt>
                <c:pt idx="5">
                  <c:v>121330 - Opbreken en afvoeren straatbakstenen</c:v>
                </c:pt>
                <c:pt idx="6">
                  <c:v>121340 - Opbreken betontegels 300x300x45mm</c:v>
                </c:pt>
                <c:pt idx="7">
                  <c:v>121410 - Opbreken en afvoeren asfaltverharding zwart teervrij</c:v>
                </c:pt>
                <c:pt idx="8">
                  <c:v>121420 - Opbreken en afvoeren asfaltverharding rood teervrij</c:v>
                </c:pt>
                <c:pt idx="9">
                  <c:v>121510 - Opbreken fundering van menggranulaat, 400-200 mm dik</c:v>
                </c:pt>
                <c:pt idx="10">
                  <c:v>121520 - Opbreken fundering van slakken 200-400 mm dik</c:v>
                </c:pt>
                <c:pt idx="11">
                  <c:v>121310 - Verwijderen en afvoeren kolken, incl aansluitingen</c:v>
                </c:pt>
                <c:pt idx="12">
                  <c:v>210010 - Grond ontgraven uit cunet wegen en parkeervakken 0,25 m</c:v>
                </c:pt>
                <c:pt idx="13">
                  <c:v>210020 - Grond ontgraven uit sleuf riolering (gerekend met 11,5m3/m1 riool)</c:v>
                </c:pt>
                <c:pt idx="14">
                  <c:v>210030 - Grond ontgraven uit plantvak</c:v>
                </c:pt>
                <c:pt idx="15">
                  <c:v>220010 - Grond verwerken in sleuf riolering</c:v>
                </c:pt>
                <c:pt idx="16">
                  <c:v>220020 - Leveren en aanbrengen zand voor zand (gemiddeld 100 mm)</c:v>
                </c:pt>
                <c:pt idx="17">
                  <c:v>322020 - Leveren en aanbrengen rioolbuis van Beton Ø400mm</c:v>
                </c:pt>
                <c:pt idx="18">
                  <c:v>322070 - Leveren en aanbrengen rioolbuis van Beton IT Ø400mm</c:v>
                </c:pt>
                <c:pt idx="19">
                  <c:v>322100 - Leveren en aanbrengen rioolbuis van Beton IT Ø800mm</c:v>
                </c:pt>
                <c:pt idx="20">
                  <c:v>330010 - Leveren en aanbrengen kolken</c:v>
                </c:pt>
                <c:pt idx="21">
                  <c:v>420010 - Leveren en aanbrengen fundering menggranulaat, (250mm dik)</c:v>
                </c:pt>
                <c:pt idx="22">
                  <c:v>430010 - Leveren en aanbrengen trottoirbanden 180/200x250</c:v>
                </c:pt>
                <c:pt idx="23">
                  <c:v>430020 - Leveren en aanbrengen trottoirbanden 130/150x250</c:v>
                </c:pt>
                <c:pt idx="24">
                  <c:v>430040 - Leveren en aanbrengen opsluitbanden 100x200</c:v>
                </c:pt>
                <c:pt idx="25">
                  <c:v>430050 - Leveren en aanbrengen opsluitbanden 120x250</c:v>
                </c:pt>
                <c:pt idx="26">
                  <c:v>440010 - Aanbrengen straatbakstenen DF, Rood (rijweg)</c:v>
                </c:pt>
                <c:pt idx="27">
                  <c:v>440020 - Aanbrengen straatbakstenen DF, Geel (rijweg/ plein)</c:v>
                </c:pt>
                <c:pt idx="28">
                  <c:v>440030 - Aanbrengen straatbakstenen DF, Rood (parkeervakken)</c:v>
                </c:pt>
                <c:pt idx="29">
                  <c:v>440040 - Aanbrengen straatbakstenen DF, Geel (parkeervakken)</c:v>
                </c:pt>
                <c:pt idx="30">
                  <c:v>440050 - Leveren en aanbrengen open (grasbeton) verharding (parkeerplaats)</c:v>
                </c:pt>
                <c:pt idx="31">
                  <c:v>440060 - Aanbrengen straatbakstenen DF, Rood (trottoir)</c:v>
                </c:pt>
                <c:pt idx="32">
                  <c:v>440070 - Aanbrengen straatbakstenen DF, Geel (trottoir)</c:v>
                </c:pt>
                <c:pt idx="33">
                  <c:v>440090 - Aanbrengen straatbakstenen DF, Rood (drempelopgang)</c:v>
                </c:pt>
              </c:strCache>
            </c:strRef>
          </c:cat>
          <c:val>
            <c:numRef>
              <c:f>Baseline_Backlog!$H$4:$H$103</c:f>
              <c:numCache>
                <c:formatCode>_([$€-2]\ * #,##0.00_);_([$€-2]\ * \(#,##0.00\);_([$€-2]\ * "-"??_);_(@_)</c:formatCode>
                <c:ptCount val="3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1320.4052674312502</c:v>
                </c:pt>
                <c:pt idx="16">
                  <c:v>631.98884595000004</c:v>
                </c:pt>
                <c:pt idx="17">
                  <c:v>33.843647587199996</c:v>
                </c:pt>
                <c:pt idx="18">
                  <c:v>26.792887673199999</c:v>
                </c:pt>
                <c:pt idx="19">
                  <c:v>258.3501614342</c:v>
                </c:pt>
                <c:pt idx="20">
                  <c:v>17.615584175186804</c:v>
                </c:pt>
                <c:pt idx="21">
                  <c:v>2045.5802238300003</c:v>
                </c:pt>
                <c:pt idx="22">
                  <c:v>3.6454040971823756</c:v>
                </c:pt>
                <c:pt idx="23">
                  <c:v>5.9184207695431503</c:v>
                </c:pt>
                <c:pt idx="24">
                  <c:v>20.763617349850378</c:v>
                </c:pt>
                <c:pt idx="25">
                  <c:v>36.457856550740637</c:v>
                </c:pt>
                <c:pt idx="26">
                  <c:v>312.44324755490004</c:v>
                </c:pt>
                <c:pt idx="27">
                  <c:v>462.55564582150004</c:v>
                </c:pt>
                <c:pt idx="28">
                  <c:v>31.169517912500002</c:v>
                </c:pt>
                <c:pt idx="29">
                  <c:v>35.408572348600003</c:v>
                </c:pt>
                <c:pt idx="30">
                  <c:v>83.633405576242509</c:v>
                </c:pt>
                <c:pt idx="31">
                  <c:v>218.93469381740002</c:v>
                </c:pt>
                <c:pt idx="32">
                  <c:v>57.351912959000003</c:v>
                </c:pt>
                <c:pt idx="33">
                  <c:v>11.221026448500002</c:v>
                </c:pt>
              </c:numCache>
            </c:numRef>
          </c:val>
          <c:extLst xmlns:c15="http://schemas.microsoft.com/office/drawing/2012/chart">
            <c:ext xmlns:c16="http://schemas.microsoft.com/office/drawing/2014/chart" uri="{C3380CC4-5D6E-409C-BE32-E72D297353CC}">
              <c16:uniqueId val="{00000004-8263-4AF6-BD2C-DC0EAFC73866}"/>
            </c:ext>
          </c:extLst>
        </c:ser>
        <c:ser>
          <c:idx val="6"/>
          <c:order val="6"/>
          <c:tx>
            <c:strRef>
              <c:f>Baseline_Backlog!$I$3</c:f>
              <c:strCache>
                <c:ptCount val="1"/>
                <c:pt idx="0">
                  <c:v>A5</c:v>
                </c:pt>
              </c:strCache>
            </c:strRef>
          </c:tx>
          <c:spPr>
            <a:solidFill>
              <a:schemeClr val="accent6"/>
            </a:solidFill>
            <a:ln>
              <a:noFill/>
            </a:ln>
            <a:effectLst/>
          </c:spPr>
          <c:invertIfNegative val="0"/>
          <c:cat>
            <c:strRef>
              <c:f>Baseline_Backlog!$B$4:$B$103</c:f>
              <c:strCache>
                <c:ptCount val="34"/>
                <c:pt idx="0">
                  <c:v>121110 - Opbreken trottoirband </c:v>
                </c:pt>
                <c:pt idx="1">
                  <c:v>121120 - Opbreken RWS band</c:v>
                </c:pt>
                <c:pt idx="2">
                  <c:v>121140 - Opbreken Opsluitband</c:v>
                </c:pt>
                <c:pt idx="3">
                  <c:v>121310 - Opbreken betonstraatstenen</c:v>
                </c:pt>
                <c:pt idx="4">
                  <c:v>121320 - Opbreken straatbakstenen en geschikt maken voor hergebruik</c:v>
                </c:pt>
                <c:pt idx="5">
                  <c:v>121330 - Opbreken en afvoeren straatbakstenen</c:v>
                </c:pt>
                <c:pt idx="6">
                  <c:v>121340 - Opbreken betontegels 300x300x45mm</c:v>
                </c:pt>
                <c:pt idx="7">
                  <c:v>121410 - Opbreken en afvoeren asfaltverharding zwart teervrij</c:v>
                </c:pt>
                <c:pt idx="8">
                  <c:v>121420 - Opbreken en afvoeren asfaltverharding rood teervrij</c:v>
                </c:pt>
                <c:pt idx="9">
                  <c:v>121510 - Opbreken fundering van menggranulaat, 400-200 mm dik</c:v>
                </c:pt>
                <c:pt idx="10">
                  <c:v>121520 - Opbreken fundering van slakken 200-400 mm dik</c:v>
                </c:pt>
                <c:pt idx="11">
                  <c:v>121310 - Verwijderen en afvoeren kolken, incl aansluitingen</c:v>
                </c:pt>
                <c:pt idx="12">
                  <c:v>210010 - Grond ontgraven uit cunet wegen en parkeervakken 0,25 m</c:v>
                </c:pt>
                <c:pt idx="13">
                  <c:v>210020 - Grond ontgraven uit sleuf riolering (gerekend met 11,5m3/m1 riool)</c:v>
                </c:pt>
                <c:pt idx="14">
                  <c:v>210030 - Grond ontgraven uit plantvak</c:v>
                </c:pt>
                <c:pt idx="15">
                  <c:v>220010 - Grond verwerken in sleuf riolering</c:v>
                </c:pt>
                <c:pt idx="16">
                  <c:v>220020 - Leveren en aanbrengen zand voor zand (gemiddeld 100 mm)</c:v>
                </c:pt>
                <c:pt idx="17">
                  <c:v>322020 - Leveren en aanbrengen rioolbuis van Beton Ø400mm</c:v>
                </c:pt>
                <c:pt idx="18">
                  <c:v>322070 - Leveren en aanbrengen rioolbuis van Beton IT Ø400mm</c:v>
                </c:pt>
                <c:pt idx="19">
                  <c:v>322100 - Leveren en aanbrengen rioolbuis van Beton IT Ø800mm</c:v>
                </c:pt>
                <c:pt idx="20">
                  <c:v>330010 - Leveren en aanbrengen kolken</c:v>
                </c:pt>
                <c:pt idx="21">
                  <c:v>420010 - Leveren en aanbrengen fundering menggranulaat, (250mm dik)</c:v>
                </c:pt>
                <c:pt idx="22">
                  <c:v>430010 - Leveren en aanbrengen trottoirbanden 180/200x250</c:v>
                </c:pt>
                <c:pt idx="23">
                  <c:v>430020 - Leveren en aanbrengen trottoirbanden 130/150x250</c:v>
                </c:pt>
                <c:pt idx="24">
                  <c:v>430040 - Leveren en aanbrengen opsluitbanden 100x200</c:v>
                </c:pt>
                <c:pt idx="25">
                  <c:v>430050 - Leveren en aanbrengen opsluitbanden 120x250</c:v>
                </c:pt>
                <c:pt idx="26">
                  <c:v>440010 - Aanbrengen straatbakstenen DF, Rood (rijweg)</c:v>
                </c:pt>
                <c:pt idx="27">
                  <c:v>440020 - Aanbrengen straatbakstenen DF, Geel (rijweg/ plein)</c:v>
                </c:pt>
                <c:pt idx="28">
                  <c:v>440030 - Aanbrengen straatbakstenen DF, Rood (parkeervakken)</c:v>
                </c:pt>
                <c:pt idx="29">
                  <c:v>440040 - Aanbrengen straatbakstenen DF, Geel (parkeervakken)</c:v>
                </c:pt>
                <c:pt idx="30">
                  <c:v>440050 - Leveren en aanbrengen open (grasbeton) verharding (parkeerplaats)</c:v>
                </c:pt>
                <c:pt idx="31">
                  <c:v>440060 - Aanbrengen straatbakstenen DF, Rood (trottoir)</c:v>
                </c:pt>
                <c:pt idx="32">
                  <c:v>440070 - Aanbrengen straatbakstenen DF, Geel (trottoir)</c:v>
                </c:pt>
                <c:pt idx="33">
                  <c:v>440090 - Aanbrengen straatbakstenen DF, Rood (drempelopgang)</c:v>
                </c:pt>
              </c:strCache>
            </c:strRef>
          </c:cat>
          <c:val>
            <c:numRef>
              <c:f>Baseline_Backlog!$I$4:$I$103</c:f>
              <c:numCache>
                <c:formatCode>_([$€-2]\ * #,##0.00_);_([$€-2]\ * \(#,##0.00\);_([$€-2]\ * "-"??_);_(@_)</c:formatCode>
                <c:ptCount val="3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3379.4929350000002</c:v>
                </c:pt>
                <c:pt idx="16">
                  <c:v>521.71925120000003</c:v>
                </c:pt>
                <c:pt idx="17">
                  <c:v>179.36852724233987</c:v>
                </c:pt>
                <c:pt idx="18">
                  <c:v>142.00008406685239</c:v>
                </c:pt>
                <c:pt idx="19">
                  <c:v>1062.865290891365</c:v>
                </c:pt>
                <c:pt idx="20">
                  <c:v>590.25282272980508</c:v>
                </c:pt>
                <c:pt idx="21">
                  <c:v>3490.3546080000001</c:v>
                </c:pt>
                <c:pt idx="22">
                  <c:v>25.673244324512535</c:v>
                </c:pt>
                <c:pt idx="23">
                  <c:v>69.468778760445673</c:v>
                </c:pt>
                <c:pt idx="24">
                  <c:v>401.37516617146395</c:v>
                </c:pt>
                <c:pt idx="25">
                  <c:v>422.85343593314758</c:v>
                </c:pt>
                <c:pt idx="26">
                  <c:v>3732.6374300670004</c:v>
                </c:pt>
                <c:pt idx="27">
                  <c:v>5525.9716143449996</c:v>
                </c:pt>
                <c:pt idx="28">
                  <c:v>372.37005487499994</c:v>
                </c:pt>
                <c:pt idx="29">
                  <c:v>423.01238233799995</c:v>
                </c:pt>
                <c:pt idx="30">
                  <c:v>595.79208779999999</c:v>
                </c:pt>
                <c:pt idx="31">
                  <c:v>2615.5272654419996</c:v>
                </c:pt>
                <c:pt idx="32">
                  <c:v>685.16090096999994</c:v>
                </c:pt>
                <c:pt idx="33">
                  <c:v>134.05321975499999</c:v>
                </c:pt>
              </c:numCache>
            </c:numRef>
          </c:val>
          <c:extLst xmlns:c15="http://schemas.microsoft.com/office/drawing/2012/chart">
            <c:ext xmlns:c16="http://schemas.microsoft.com/office/drawing/2014/chart" uri="{C3380CC4-5D6E-409C-BE32-E72D297353CC}">
              <c16:uniqueId val="{00000005-8263-4AF6-BD2C-DC0EAFC73866}"/>
            </c:ext>
          </c:extLst>
        </c:ser>
        <c:ser>
          <c:idx val="13"/>
          <c:order val="7"/>
          <c:tx>
            <c:strRef>
              <c:f>Baseline_Backlog!$J$3</c:f>
              <c:strCache>
                <c:ptCount val="1"/>
                <c:pt idx="0">
                  <c:v>B1</c:v>
                </c:pt>
              </c:strCache>
            </c:strRef>
          </c:tx>
          <c:spPr>
            <a:solidFill>
              <a:schemeClr val="bg2">
                <a:lumMod val="50000"/>
              </a:schemeClr>
            </a:solidFill>
            <a:ln>
              <a:noFill/>
            </a:ln>
            <a:effectLst/>
          </c:spPr>
          <c:invertIfNegative val="0"/>
          <c:cat>
            <c:strRef>
              <c:f>Baseline_Backlog!$B$4:$B$103</c:f>
              <c:strCache>
                <c:ptCount val="34"/>
                <c:pt idx="0">
                  <c:v>121110 - Opbreken trottoirband </c:v>
                </c:pt>
                <c:pt idx="1">
                  <c:v>121120 - Opbreken RWS band</c:v>
                </c:pt>
                <c:pt idx="2">
                  <c:v>121140 - Opbreken Opsluitband</c:v>
                </c:pt>
                <c:pt idx="3">
                  <c:v>121310 - Opbreken betonstraatstenen</c:v>
                </c:pt>
                <c:pt idx="4">
                  <c:v>121320 - Opbreken straatbakstenen en geschikt maken voor hergebruik</c:v>
                </c:pt>
                <c:pt idx="5">
                  <c:v>121330 - Opbreken en afvoeren straatbakstenen</c:v>
                </c:pt>
                <c:pt idx="6">
                  <c:v>121340 - Opbreken betontegels 300x300x45mm</c:v>
                </c:pt>
                <c:pt idx="7">
                  <c:v>121410 - Opbreken en afvoeren asfaltverharding zwart teervrij</c:v>
                </c:pt>
                <c:pt idx="8">
                  <c:v>121420 - Opbreken en afvoeren asfaltverharding rood teervrij</c:v>
                </c:pt>
                <c:pt idx="9">
                  <c:v>121510 - Opbreken fundering van menggranulaat, 400-200 mm dik</c:v>
                </c:pt>
                <c:pt idx="10">
                  <c:v>121520 - Opbreken fundering van slakken 200-400 mm dik</c:v>
                </c:pt>
                <c:pt idx="11">
                  <c:v>121310 - Verwijderen en afvoeren kolken, incl aansluitingen</c:v>
                </c:pt>
                <c:pt idx="12">
                  <c:v>210010 - Grond ontgraven uit cunet wegen en parkeervakken 0,25 m</c:v>
                </c:pt>
                <c:pt idx="13">
                  <c:v>210020 - Grond ontgraven uit sleuf riolering (gerekend met 11,5m3/m1 riool)</c:v>
                </c:pt>
                <c:pt idx="14">
                  <c:v>210030 - Grond ontgraven uit plantvak</c:v>
                </c:pt>
                <c:pt idx="15">
                  <c:v>220010 - Grond verwerken in sleuf riolering</c:v>
                </c:pt>
                <c:pt idx="16">
                  <c:v>220020 - Leveren en aanbrengen zand voor zand (gemiddeld 100 mm)</c:v>
                </c:pt>
                <c:pt idx="17">
                  <c:v>322020 - Leveren en aanbrengen rioolbuis van Beton Ø400mm</c:v>
                </c:pt>
                <c:pt idx="18">
                  <c:v>322070 - Leveren en aanbrengen rioolbuis van Beton IT Ø400mm</c:v>
                </c:pt>
                <c:pt idx="19">
                  <c:v>322100 - Leveren en aanbrengen rioolbuis van Beton IT Ø800mm</c:v>
                </c:pt>
                <c:pt idx="20">
                  <c:v>330010 - Leveren en aanbrengen kolken</c:v>
                </c:pt>
                <c:pt idx="21">
                  <c:v>420010 - Leveren en aanbrengen fundering menggranulaat, (250mm dik)</c:v>
                </c:pt>
                <c:pt idx="22">
                  <c:v>430010 - Leveren en aanbrengen trottoirbanden 180/200x250</c:v>
                </c:pt>
                <c:pt idx="23">
                  <c:v>430020 - Leveren en aanbrengen trottoirbanden 130/150x250</c:v>
                </c:pt>
                <c:pt idx="24">
                  <c:v>430040 - Leveren en aanbrengen opsluitbanden 100x200</c:v>
                </c:pt>
                <c:pt idx="25">
                  <c:v>430050 - Leveren en aanbrengen opsluitbanden 120x250</c:v>
                </c:pt>
                <c:pt idx="26">
                  <c:v>440010 - Aanbrengen straatbakstenen DF, Rood (rijweg)</c:v>
                </c:pt>
                <c:pt idx="27">
                  <c:v>440020 - Aanbrengen straatbakstenen DF, Geel (rijweg/ plein)</c:v>
                </c:pt>
                <c:pt idx="28">
                  <c:v>440030 - Aanbrengen straatbakstenen DF, Rood (parkeervakken)</c:v>
                </c:pt>
                <c:pt idx="29">
                  <c:v>440040 - Aanbrengen straatbakstenen DF, Geel (parkeervakken)</c:v>
                </c:pt>
                <c:pt idx="30">
                  <c:v>440050 - Leveren en aanbrengen open (grasbeton) verharding (parkeerplaats)</c:v>
                </c:pt>
                <c:pt idx="31">
                  <c:v>440060 - Aanbrengen straatbakstenen DF, Rood (trottoir)</c:v>
                </c:pt>
                <c:pt idx="32">
                  <c:v>440070 - Aanbrengen straatbakstenen DF, Geel (trottoir)</c:v>
                </c:pt>
                <c:pt idx="33">
                  <c:v>440090 - Aanbrengen straatbakstenen DF, Rood (drempelopgang)</c:v>
                </c:pt>
              </c:strCache>
            </c:strRef>
          </c:cat>
          <c:val>
            <c:numRef>
              <c:f>Baseline_Backlog!$J$4:$J$103</c:f>
              <c:numCache>
                <c:formatCode>_([$€-2]\ * #,##0.00_);_([$€-2]\ * \(#,##0.00\);_([$€-2]\ * "-"??_);_(@_)</c:formatCode>
                <c:ptCount val="34"/>
              </c:numCache>
            </c:numRef>
          </c:val>
          <c:extLst xmlns:c15="http://schemas.microsoft.com/office/drawing/2012/chart">
            <c:ext xmlns:c16="http://schemas.microsoft.com/office/drawing/2014/chart" uri="{C3380CC4-5D6E-409C-BE32-E72D297353CC}">
              <c16:uniqueId val="{00000006-8263-4AF6-BD2C-DC0EAFC73866}"/>
            </c:ext>
          </c:extLst>
        </c:ser>
        <c:ser>
          <c:idx val="7"/>
          <c:order val="8"/>
          <c:tx>
            <c:strRef>
              <c:f>Baseline_Backlog!$K$3</c:f>
              <c:strCache>
                <c:ptCount val="1"/>
                <c:pt idx="0">
                  <c:v>B4</c:v>
                </c:pt>
              </c:strCache>
            </c:strRef>
          </c:tx>
          <c:spPr>
            <a:solidFill>
              <a:schemeClr val="tx1">
                <a:lumMod val="75000"/>
                <a:lumOff val="25000"/>
              </a:schemeClr>
            </a:solidFill>
            <a:ln>
              <a:noFill/>
            </a:ln>
            <a:effectLst/>
          </c:spPr>
          <c:invertIfNegative val="0"/>
          <c:cat>
            <c:strRef>
              <c:f>Baseline_Backlog!$B$4:$B$103</c:f>
              <c:strCache>
                <c:ptCount val="34"/>
                <c:pt idx="0">
                  <c:v>121110 - Opbreken trottoirband </c:v>
                </c:pt>
                <c:pt idx="1">
                  <c:v>121120 - Opbreken RWS band</c:v>
                </c:pt>
                <c:pt idx="2">
                  <c:v>121140 - Opbreken Opsluitband</c:v>
                </c:pt>
                <c:pt idx="3">
                  <c:v>121310 - Opbreken betonstraatstenen</c:v>
                </c:pt>
                <c:pt idx="4">
                  <c:v>121320 - Opbreken straatbakstenen en geschikt maken voor hergebruik</c:v>
                </c:pt>
                <c:pt idx="5">
                  <c:v>121330 - Opbreken en afvoeren straatbakstenen</c:v>
                </c:pt>
                <c:pt idx="6">
                  <c:v>121340 - Opbreken betontegels 300x300x45mm</c:v>
                </c:pt>
                <c:pt idx="7">
                  <c:v>121410 - Opbreken en afvoeren asfaltverharding zwart teervrij</c:v>
                </c:pt>
                <c:pt idx="8">
                  <c:v>121420 - Opbreken en afvoeren asfaltverharding rood teervrij</c:v>
                </c:pt>
                <c:pt idx="9">
                  <c:v>121510 - Opbreken fundering van menggranulaat, 400-200 mm dik</c:v>
                </c:pt>
                <c:pt idx="10">
                  <c:v>121520 - Opbreken fundering van slakken 200-400 mm dik</c:v>
                </c:pt>
                <c:pt idx="11">
                  <c:v>121310 - Verwijderen en afvoeren kolken, incl aansluitingen</c:v>
                </c:pt>
                <c:pt idx="12">
                  <c:v>210010 - Grond ontgraven uit cunet wegen en parkeervakken 0,25 m</c:v>
                </c:pt>
                <c:pt idx="13">
                  <c:v>210020 - Grond ontgraven uit sleuf riolering (gerekend met 11,5m3/m1 riool)</c:v>
                </c:pt>
                <c:pt idx="14">
                  <c:v>210030 - Grond ontgraven uit plantvak</c:v>
                </c:pt>
                <c:pt idx="15">
                  <c:v>220010 - Grond verwerken in sleuf riolering</c:v>
                </c:pt>
                <c:pt idx="16">
                  <c:v>220020 - Leveren en aanbrengen zand voor zand (gemiddeld 100 mm)</c:v>
                </c:pt>
                <c:pt idx="17">
                  <c:v>322020 - Leveren en aanbrengen rioolbuis van Beton Ø400mm</c:v>
                </c:pt>
                <c:pt idx="18">
                  <c:v>322070 - Leveren en aanbrengen rioolbuis van Beton IT Ø400mm</c:v>
                </c:pt>
                <c:pt idx="19">
                  <c:v>322100 - Leveren en aanbrengen rioolbuis van Beton IT Ø800mm</c:v>
                </c:pt>
                <c:pt idx="20">
                  <c:v>330010 - Leveren en aanbrengen kolken</c:v>
                </c:pt>
                <c:pt idx="21">
                  <c:v>420010 - Leveren en aanbrengen fundering menggranulaat, (250mm dik)</c:v>
                </c:pt>
                <c:pt idx="22">
                  <c:v>430010 - Leveren en aanbrengen trottoirbanden 180/200x250</c:v>
                </c:pt>
                <c:pt idx="23">
                  <c:v>430020 - Leveren en aanbrengen trottoirbanden 130/150x250</c:v>
                </c:pt>
                <c:pt idx="24">
                  <c:v>430040 - Leveren en aanbrengen opsluitbanden 100x200</c:v>
                </c:pt>
                <c:pt idx="25">
                  <c:v>430050 - Leveren en aanbrengen opsluitbanden 120x250</c:v>
                </c:pt>
                <c:pt idx="26">
                  <c:v>440010 - Aanbrengen straatbakstenen DF, Rood (rijweg)</c:v>
                </c:pt>
                <c:pt idx="27">
                  <c:v>440020 - Aanbrengen straatbakstenen DF, Geel (rijweg/ plein)</c:v>
                </c:pt>
                <c:pt idx="28">
                  <c:v>440030 - Aanbrengen straatbakstenen DF, Rood (parkeervakken)</c:v>
                </c:pt>
                <c:pt idx="29">
                  <c:v>440040 - Aanbrengen straatbakstenen DF, Geel (parkeervakken)</c:v>
                </c:pt>
                <c:pt idx="30">
                  <c:v>440050 - Leveren en aanbrengen open (grasbeton) verharding (parkeerplaats)</c:v>
                </c:pt>
                <c:pt idx="31">
                  <c:v>440060 - Aanbrengen straatbakstenen DF, Rood (trottoir)</c:v>
                </c:pt>
                <c:pt idx="32">
                  <c:v>440070 - Aanbrengen straatbakstenen DF, Geel (trottoir)</c:v>
                </c:pt>
                <c:pt idx="33">
                  <c:v>440090 - Aanbrengen straatbakstenen DF, Rood (drempelopgang)</c:v>
                </c:pt>
              </c:strCache>
            </c:strRef>
          </c:cat>
          <c:val>
            <c:numRef>
              <c:f>Baseline_Backlog!$K$4:$K$103</c:f>
              <c:numCache>
                <c:formatCode>_([$€-2]\ * #,##0.00_);_([$€-2]\ * \(#,##0.00\);_([$€-2]\ * "-"??_);_(@_)</c:formatCode>
                <c:ptCount val="3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numCache>
            </c:numRef>
          </c:val>
          <c:extLst xmlns:c15="http://schemas.microsoft.com/office/drawing/2012/chart">
            <c:ext xmlns:c16="http://schemas.microsoft.com/office/drawing/2014/chart" uri="{C3380CC4-5D6E-409C-BE32-E72D297353CC}">
              <c16:uniqueId val="{00000007-8263-4AF6-BD2C-DC0EAFC73866}"/>
            </c:ext>
          </c:extLst>
        </c:ser>
        <c:ser>
          <c:idx val="8"/>
          <c:order val="9"/>
          <c:tx>
            <c:strRef>
              <c:f>Baseline_Backlog!$L$3</c:f>
              <c:strCache>
                <c:ptCount val="1"/>
                <c:pt idx="0">
                  <c:v>C1</c:v>
                </c:pt>
              </c:strCache>
            </c:strRef>
          </c:tx>
          <c:spPr>
            <a:solidFill>
              <a:schemeClr val="accent6">
                <a:lumMod val="50000"/>
              </a:schemeClr>
            </a:solidFill>
            <a:ln>
              <a:noFill/>
            </a:ln>
            <a:effectLst/>
          </c:spPr>
          <c:invertIfNegative val="0"/>
          <c:cat>
            <c:strRef>
              <c:f>Baseline_Backlog!$B$4:$B$103</c:f>
              <c:strCache>
                <c:ptCount val="34"/>
                <c:pt idx="0">
                  <c:v>121110 - Opbreken trottoirband </c:v>
                </c:pt>
                <c:pt idx="1">
                  <c:v>121120 - Opbreken RWS band</c:v>
                </c:pt>
                <c:pt idx="2">
                  <c:v>121140 - Opbreken Opsluitband</c:v>
                </c:pt>
                <c:pt idx="3">
                  <c:v>121310 - Opbreken betonstraatstenen</c:v>
                </c:pt>
                <c:pt idx="4">
                  <c:v>121320 - Opbreken straatbakstenen en geschikt maken voor hergebruik</c:v>
                </c:pt>
                <c:pt idx="5">
                  <c:v>121330 - Opbreken en afvoeren straatbakstenen</c:v>
                </c:pt>
                <c:pt idx="6">
                  <c:v>121340 - Opbreken betontegels 300x300x45mm</c:v>
                </c:pt>
                <c:pt idx="7">
                  <c:v>121410 - Opbreken en afvoeren asfaltverharding zwart teervrij</c:v>
                </c:pt>
                <c:pt idx="8">
                  <c:v>121420 - Opbreken en afvoeren asfaltverharding rood teervrij</c:v>
                </c:pt>
                <c:pt idx="9">
                  <c:v>121510 - Opbreken fundering van menggranulaat, 400-200 mm dik</c:v>
                </c:pt>
                <c:pt idx="10">
                  <c:v>121520 - Opbreken fundering van slakken 200-400 mm dik</c:v>
                </c:pt>
                <c:pt idx="11">
                  <c:v>121310 - Verwijderen en afvoeren kolken, incl aansluitingen</c:v>
                </c:pt>
                <c:pt idx="12">
                  <c:v>210010 - Grond ontgraven uit cunet wegen en parkeervakken 0,25 m</c:v>
                </c:pt>
                <c:pt idx="13">
                  <c:v>210020 - Grond ontgraven uit sleuf riolering (gerekend met 11,5m3/m1 riool)</c:v>
                </c:pt>
                <c:pt idx="14">
                  <c:v>210030 - Grond ontgraven uit plantvak</c:v>
                </c:pt>
                <c:pt idx="15">
                  <c:v>220010 - Grond verwerken in sleuf riolering</c:v>
                </c:pt>
                <c:pt idx="16">
                  <c:v>220020 - Leveren en aanbrengen zand voor zand (gemiddeld 100 mm)</c:v>
                </c:pt>
                <c:pt idx="17">
                  <c:v>322020 - Leveren en aanbrengen rioolbuis van Beton Ø400mm</c:v>
                </c:pt>
                <c:pt idx="18">
                  <c:v>322070 - Leveren en aanbrengen rioolbuis van Beton IT Ø400mm</c:v>
                </c:pt>
                <c:pt idx="19">
                  <c:v>322100 - Leveren en aanbrengen rioolbuis van Beton IT Ø800mm</c:v>
                </c:pt>
                <c:pt idx="20">
                  <c:v>330010 - Leveren en aanbrengen kolken</c:v>
                </c:pt>
                <c:pt idx="21">
                  <c:v>420010 - Leveren en aanbrengen fundering menggranulaat, (250mm dik)</c:v>
                </c:pt>
                <c:pt idx="22">
                  <c:v>430010 - Leveren en aanbrengen trottoirbanden 180/200x250</c:v>
                </c:pt>
                <c:pt idx="23">
                  <c:v>430020 - Leveren en aanbrengen trottoirbanden 130/150x250</c:v>
                </c:pt>
                <c:pt idx="24">
                  <c:v>430040 - Leveren en aanbrengen opsluitbanden 100x200</c:v>
                </c:pt>
                <c:pt idx="25">
                  <c:v>430050 - Leveren en aanbrengen opsluitbanden 120x250</c:v>
                </c:pt>
                <c:pt idx="26">
                  <c:v>440010 - Aanbrengen straatbakstenen DF, Rood (rijweg)</c:v>
                </c:pt>
                <c:pt idx="27">
                  <c:v>440020 - Aanbrengen straatbakstenen DF, Geel (rijweg/ plein)</c:v>
                </c:pt>
                <c:pt idx="28">
                  <c:v>440030 - Aanbrengen straatbakstenen DF, Rood (parkeervakken)</c:v>
                </c:pt>
                <c:pt idx="29">
                  <c:v>440040 - Aanbrengen straatbakstenen DF, Geel (parkeervakken)</c:v>
                </c:pt>
                <c:pt idx="30">
                  <c:v>440050 - Leveren en aanbrengen open (grasbeton) verharding (parkeerplaats)</c:v>
                </c:pt>
                <c:pt idx="31">
                  <c:v>440060 - Aanbrengen straatbakstenen DF, Rood (trottoir)</c:v>
                </c:pt>
                <c:pt idx="32">
                  <c:v>440070 - Aanbrengen straatbakstenen DF, Geel (trottoir)</c:v>
                </c:pt>
                <c:pt idx="33">
                  <c:v>440090 - Aanbrengen straatbakstenen DF, Rood (drempelopgang)</c:v>
                </c:pt>
              </c:strCache>
            </c:strRef>
          </c:cat>
          <c:val>
            <c:numRef>
              <c:f>Baseline_Backlog!$L$4:$L$103</c:f>
              <c:numCache>
                <c:formatCode>_([$€-2]\ * #,##0.00_);_([$€-2]\ * \(#,##0.00\);_([$€-2]\ * "-"??_);_(@_)</c:formatCode>
                <c:ptCount val="34"/>
                <c:pt idx="0">
                  <c:v>372.26836443454044</c:v>
                </c:pt>
                <c:pt idx="1">
                  <c:v>39.155385270194991</c:v>
                </c:pt>
                <c:pt idx="2">
                  <c:v>135.58282660724234</c:v>
                </c:pt>
                <c:pt idx="3">
                  <c:v>187.01079532033427</c:v>
                </c:pt>
                <c:pt idx="4">
                  <c:v>530.70555720000004</c:v>
                </c:pt>
                <c:pt idx="5">
                  <c:v>270.07334015999999</c:v>
                </c:pt>
                <c:pt idx="6">
                  <c:v>1170.5706969582175</c:v>
                </c:pt>
                <c:pt idx="7">
                  <c:v>355.46707396930805</c:v>
                </c:pt>
                <c:pt idx="8">
                  <c:v>243.74885072181121</c:v>
                </c:pt>
                <c:pt idx="9">
                  <c:v>274.17403000000002</c:v>
                </c:pt>
                <c:pt idx="10">
                  <c:v>125.166405</c:v>
                </c:pt>
                <c:pt idx="11">
                  <c:v>590.25282272980508</c:v>
                </c:pt>
                <c:pt idx="12">
                  <c:v>415.51456317333333</c:v>
                </c:pt>
                <c:pt idx="13">
                  <c:v>1564.3874987999998</c:v>
                </c:pt>
                <c:pt idx="14">
                  <c:v>387.70322986133328</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numCache>
            </c:numRef>
          </c:val>
          <c:extLst xmlns:c15="http://schemas.microsoft.com/office/drawing/2012/chart">
            <c:ext xmlns:c16="http://schemas.microsoft.com/office/drawing/2014/chart" uri="{C3380CC4-5D6E-409C-BE32-E72D297353CC}">
              <c16:uniqueId val="{00000008-8263-4AF6-BD2C-DC0EAFC73866}"/>
            </c:ext>
          </c:extLst>
        </c:ser>
        <c:ser>
          <c:idx val="9"/>
          <c:order val="10"/>
          <c:tx>
            <c:strRef>
              <c:f>Baseline_Backlog!$M$3</c:f>
              <c:strCache>
                <c:ptCount val="1"/>
                <c:pt idx="0">
                  <c:v>C2</c:v>
                </c:pt>
              </c:strCache>
            </c:strRef>
          </c:tx>
          <c:spPr>
            <a:solidFill>
              <a:schemeClr val="accent2">
                <a:lumMod val="50000"/>
              </a:schemeClr>
            </a:solidFill>
            <a:ln>
              <a:noFill/>
            </a:ln>
            <a:effectLst/>
          </c:spPr>
          <c:invertIfNegative val="0"/>
          <c:cat>
            <c:strRef>
              <c:f>Baseline_Backlog!$B$4:$B$103</c:f>
              <c:strCache>
                <c:ptCount val="34"/>
                <c:pt idx="0">
                  <c:v>121110 - Opbreken trottoirband </c:v>
                </c:pt>
                <c:pt idx="1">
                  <c:v>121120 - Opbreken RWS band</c:v>
                </c:pt>
                <c:pt idx="2">
                  <c:v>121140 - Opbreken Opsluitband</c:v>
                </c:pt>
                <c:pt idx="3">
                  <c:v>121310 - Opbreken betonstraatstenen</c:v>
                </c:pt>
                <c:pt idx="4">
                  <c:v>121320 - Opbreken straatbakstenen en geschikt maken voor hergebruik</c:v>
                </c:pt>
                <c:pt idx="5">
                  <c:v>121330 - Opbreken en afvoeren straatbakstenen</c:v>
                </c:pt>
                <c:pt idx="6">
                  <c:v>121340 - Opbreken betontegels 300x300x45mm</c:v>
                </c:pt>
                <c:pt idx="7">
                  <c:v>121410 - Opbreken en afvoeren asfaltverharding zwart teervrij</c:v>
                </c:pt>
                <c:pt idx="8">
                  <c:v>121420 - Opbreken en afvoeren asfaltverharding rood teervrij</c:v>
                </c:pt>
                <c:pt idx="9">
                  <c:v>121510 - Opbreken fundering van menggranulaat, 400-200 mm dik</c:v>
                </c:pt>
                <c:pt idx="10">
                  <c:v>121520 - Opbreken fundering van slakken 200-400 mm dik</c:v>
                </c:pt>
                <c:pt idx="11">
                  <c:v>121310 - Verwijderen en afvoeren kolken, incl aansluitingen</c:v>
                </c:pt>
                <c:pt idx="12">
                  <c:v>210010 - Grond ontgraven uit cunet wegen en parkeervakken 0,25 m</c:v>
                </c:pt>
                <c:pt idx="13">
                  <c:v>210020 - Grond ontgraven uit sleuf riolering (gerekend met 11,5m3/m1 riool)</c:v>
                </c:pt>
                <c:pt idx="14">
                  <c:v>210030 - Grond ontgraven uit plantvak</c:v>
                </c:pt>
                <c:pt idx="15">
                  <c:v>220010 - Grond verwerken in sleuf riolering</c:v>
                </c:pt>
                <c:pt idx="16">
                  <c:v>220020 - Leveren en aanbrengen zand voor zand (gemiddeld 100 mm)</c:v>
                </c:pt>
                <c:pt idx="17">
                  <c:v>322020 - Leveren en aanbrengen rioolbuis van Beton Ø400mm</c:v>
                </c:pt>
                <c:pt idx="18">
                  <c:v>322070 - Leveren en aanbrengen rioolbuis van Beton IT Ø400mm</c:v>
                </c:pt>
                <c:pt idx="19">
                  <c:v>322100 - Leveren en aanbrengen rioolbuis van Beton IT Ø800mm</c:v>
                </c:pt>
                <c:pt idx="20">
                  <c:v>330010 - Leveren en aanbrengen kolken</c:v>
                </c:pt>
                <c:pt idx="21">
                  <c:v>420010 - Leveren en aanbrengen fundering menggranulaat, (250mm dik)</c:v>
                </c:pt>
                <c:pt idx="22">
                  <c:v>430010 - Leveren en aanbrengen trottoirbanden 180/200x250</c:v>
                </c:pt>
                <c:pt idx="23">
                  <c:v>430020 - Leveren en aanbrengen trottoirbanden 130/150x250</c:v>
                </c:pt>
                <c:pt idx="24">
                  <c:v>430040 - Leveren en aanbrengen opsluitbanden 100x200</c:v>
                </c:pt>
                <c:pt idx="25">
                  <c:v>430050 - Leveren en aanbrengen opsluitbanden 120x250</c:v>
                </c:pt>
                <c:pt idx="26">
                  <c:v>440010 - Aanbrengen straatbakstenen DF, Rood (rijweg)</c:v>
                </c:pt>
                <c:pt idx="27">
                  <c:v>440020 - Aanbrengen straatbakstenen DF, Geel (rijweg/ plein)</c:v>
                </c:pt>
                <c:pt idx="28">
                  <c:v>440030 - Aanbrengen straatbakstenen DF, Rood (parkeervakken)</c:v>
                </c:pt>
                <c:pt idx="29">
                  <c:v>440040 - Aanbrengen straatbakstenen DF, Geel (parkeervakken)</c:v>
                </c:pt>
                <c:pt idx="30">
                  <c:v>440050 - Leveren en aanbrengen open (grasbeton) verharding (parkeerplaats)</c:v>
                </c:pt>
                <c:pt idx="31">
                  <c:v>440060 - Aanbrengen straatbakstenen DF, Rood (trottoir)</c:v>
                </c:pt>
                <c:pt idx="32">
                  <c:v>440070 - Aanbrengen straatbakstenen DF, Geel (trottoir)</c:v>
                </c:pt>
                <c:pt idx="33">
                  <c:v>440090 - Aanbrengen straatbakstenen DF, Rood (drempelopgang)</c:v>
                </c:pt>
              </c:strCache>
            </c:strRef>
          </c:cat>
          <c:val>
            <c:numRef>
              <c:f>Baseline_Backlog!$M$4:$M$103</c:f>
              <c:numCache>
                <c:formatCode>_([$€-2]\ * #,##0.00_);_([$€-2]\ * \(#,##0.00\);_([$€-2]\ * "-"??_);_(@_)</c:formatCode>
                <c:ptCount val="34"/>
                <c:pt idx="0">
                  <c:v>46.173105085107004</c:v>
                </c:pt>
                <c:pt idx="1">
                  <c:v>7.2761262766170001</c:v>
                </c:pt>
                <c:pt idx="2">
                  <c:v>9.0765636161199996</c:v>
                </c:pt>
                <c:pt idx="3">
                  <c:v>49.417228509440008</c:v>
                </c:pt>
                <c:pt idx="4">
                  <c:v>208.94755035385003</c:v>
                </c:pt>
                <c:pt idx="5">
                  <c:v>106.33233829328002</c:v>
                </c:pt>
                <c:pt idx="6">
                  <c:v>179.97795551939501</c:v>
                </c:pt>
                <c:pt idx="7">
                  <c:v>451.42060425000005</c:v>
                </c:pt>
                <c:pt idx="8">
                  <c:v>309.54555720000002</c:v>
                </c:pt>
                <c:pt idx="9">
                  <c:v>385.64217334500006</c:v>
                </c:pt>
                <c:pt idx="10">
                  <c:v>168.53035892000005</c:v>
                </c:pt>
                <c:pt idx="11">
                  <c:v>7.046233670074721</c:v>
                </c:pt>
                <c:pt idx="12">
                  <c:v>1402.8432682550001</c:v>
                </c:pt>
                <c:pt idx="13">
                  <c:v>1320.4052674312502</c:v>
                </c:pt>
                <c:pt idx="14">
                  <c:v>1308.9477825710001</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numCache>
            </c:numRef>
          </c:val>
          <c:extLst xmlns:c15="http://schemas.microsoft.com/office/drawing/2012/chart">
            <c:ext xmlns:c16="http://schemas.microsoft.com/office/drawing/2014/chart" uri="{C3380CC4-5D6E-409C-BE32-E72D297353CC}">
              <c16:uniqueId val="{00000009-8263-4AF6-BD2C-DC0EAFC73866}"/>
            </c:ext>
          </c:extLst>
        </c:ser>
        <c:ser>
          <c:idx val="10"/>
          <c:order val="11"/>
          <c:tx>
            <c:strRef>
              <c:f>Baseline_Backlog!$N$3</c:f>
              <c:strCache>
                <c:ptCount val="1"/>
                <c:pt idx="0">
                  <c:v>C3</c:v>
                </c:pt>
              </c:strCache>
            </c:strRef>
          </c:tx>
          <c:spPr>
            <a:solidFill>
              <a:schemeClr val="accent4">
                <a:lumMod val="75000"/>
              </a:schemeClr>
            </a:solidFill>
            <a:ln>
              <a:noFill/>
            </a:ln>
            <a:effectLst/>
          </c:spPr>
          <c:invertIfNegative val="0"/>
          <c:cat>
            <c:strRef>
              <c:f>Baseline_Backlog!$B$4:$B$103</c:f>
              <c:strCache>
                <c:ptCount val="34"/>
                <c:pt idx="0">
                  <c:v>121110 - Opbreken trottoirband </c:v>
                </c:pt>
                <c:pt idx="1">
                  <c:v>121120 - Opbreken RWS band</c:v>
                </c:pt>
                <c:pt idx="2">
                  <c:v>121140 - Opbreken Opsluitband</c:v>
                </c:pt>
                <c:pt idx="3">
                  <c:v>121310 - Opbreken betonstraatstenen</c:v>
                </c:pt>
                <c:pt idx="4">
                  <c:v>121320 - Opbreken straatbakstenen en geschikt maken voor hergebruik</c:v>
                </c:pt>
                <c:pt idx="5">
                  <c:v>121330 - Opbreken en afvoeren straatbakstenen</c:v>
                </c:pt>
                <c:pt idx="6">
                  <c:v>121340 - Opbreken betontegels 300x300x45mm</c:v>
                </c:pt>
                <c:pt idx="7">
                  <c:v>121410 - Opbreken en afvoeren asfaltverharding zwart teervrij</c:v>
                </c:pt>
                <c:pt idx="8">
                  <c:v>121420 - Opbreken en afvoeren asfaltverharding rood teervrij</c:v>
                </c:pt>
                <c:pt idx="9">
                  <c:v>121510 - Opbreken fundering van menggranulaat, 400-200 mm dik</c:v>
                </c:pt>
                <c:pt idx="10">
                  <c:v>121520 - Opbreken fundering van slakken 200-400 mm dik</c:v>
                </c:pt>
                <c:pt idx="11">
                  <c:v>121310 - Verwijderen en afvoeren kolken, incl aansluitingen</c:v>
                </c:pt>
                <c:pt idx="12">
                  <c:v>210010 - Grond ontgraven uit cunet wegen en parkeervakken 0,25 m</c:v>
                </c:pt>
                <c:pt idx="13">
                  <c:v>210020 - Grond ontgraven uit sleuf riolering (gerekend met 11,5m3/m1 riool)</c:v>
                </c:pt>
                <c:pt idx="14">
                  <c:v>210030 - Grond ontgraven uit plantvak</c:v>
                </c:pt>
                <c:pt idx="15">
                  <c:v>220010 - Grond verwerken in sleuf riolering</c:v>
                </c:pt>
                <c:pt idx="16">
                  <c:v>220020 - Leveren en aanbrengen zand voor zand (gemiddeld 100 mm)</c:v>
                </c:pt>
                <c:pt idx="17">
                  <c:v>322020 - Leveren en aanbrengen rioolbuis van Beton Ø400mm</c:v>
                </c:pt>
                <c:pt idx="18">
                  <c:v>322070 - Leveren en aanbrengen rioolbuis van Beton IT Ø400mm</c:v>
                </c:pt>
                <c:pt idx="19">
                  <c:v>322100 - Leveren en aanbrengen rioolbuis van Beton IT Ø800mm</c:v>
                </c:pt>
                <c:pt idx="20">
                  <c:v>330010 - Leveren en aanbrengen kolken</c:v>
                </c:pt>
                <c:pt idx="21">
                  <c:v>420010 - Leveren en aanbrengen fundering menggranulaat, (250mm dik)</c:v>
                </c:pt>
                <c:pt idx="22">
                  <c:v>430010 - Leveren en aanbrengen trottoirbanden 180/200x250</c:v>
                </c:pt>
                <c:pt idx="23">
                  <c:v>430020 - Leveren en aanbrengen trottoirbanden 130/150x250</c:v>
                </c:pt>
                <c:pt idx="24">
                  <c:v>430040 - Leveren en aanbrengen opsluitbanden 100x200</c:v>
                </c:pt>
                <c:pt idx="25">
                  <c:v>430050 - Leveren en aanbrengen opsluitbanden 120x250</c:v>
                </c:pt>
                <c:pt idx="26">
                  <c:v>440010 - Aanbrengen straatbakstenen DF, Rood (rijweg)</c:v>
                </c:pt>
                <c:pt idx="27">
                  <c:v>440020 - Aanbrengen straatbakstenen DF, Geel (rijweg/ plein)</c:v>
                </c:pt>
                <c:pt idx="28">
                  <c:v>440030 - Aanbrengen straatbakstenen DF, Rood (parkeervakken)</c:v>
                </c:pt>
                <c:pt idx="29">
                  <c:v>440040 - Aanbrengen straatbakstenen DF, Geel (parkeervakken)</c:v>
                </c:pt>
                <c:pt idx="30">
                  <c:v>440050 - Leveren en aanbrengen open (grasbeton) verharding (parkeerplaats)</c:v>
                </c:pt>
                <c:pt idx="31">
                  <c:v>440060 - Aanbrengen straatbakstenen DF, Rood (trottoir)</c:v>
                </c:pt>
                <c:pt idx="32">
                  <c:v>440070 - Aanbrengen straatbakstenen DF, Geel (trottoir)</c:v>
                </c:pt>
                <c:pt idx="33">
                  <c:v>440090 - Aanbrengen straatbakstenen DF, Rood (drempelopgang)</c:v>
                </c:pt>
              </c:strCache>
            </c:strRef>
          </c:cat>
          <c:val>
            <c:numRef>
              <c:f>Baseline_Backlog!$N$4:$N$103</c:f>
              <c:numCache>
                <c:formatCode>_([$€-2]\ * #,##0.00_);_([$€-2]\ * \(#,##0.00\);_([$€-2]\ * "-"??_);_(@_)</c:formatCode>
                <c:ptCount val="34"/>
                <c:pt idx="0">
                  <c:v>76.503699999999995</c:v>
                </c:pt>
                <c:pt idx="1">
                  <c:v>12.0466</c:v>
                </c:pt>
                <c:pt idx="2">
                  <c:v>8.7347999999999999</c:v>
                </c:pt>
                <c:pt idx="3">
                  <c:v>46.0932624</c:v>
                </c:pt>
                <c:pt idx="4">
                  <c:v>191.065</c:v>
                </c:pt>
                <c:pt idx="5">
                  <c:v>97.231999999999999</c:v>
                </c:pt>
                <c:pt idx="6">
                  <c:v>288.43200000000002</c:v>
                </c:pt>
                <c:pt idx="7">
                  <c:v>418.16240754244768</c:v>
                </c:pt>
                <c:pt idx="8">
                  <c:v>286.73993652465566</c:v>
                </c:pt>
                <c:pt idx="9">
                  <c:v>375.97333333333336</c:v>
                </c:pt>
                <c:pt idx="10">
                  <c:v>0</c:v>
                </c:pt>
                <c:pt idx="11">
                  <c:v>8.08</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numCache>
            </c:numRef>
          </c:val>
          <c:extLst xmlns:c15="http://schemas.microsoft.com/office/drawing/2012/chart">
            <c:ext xmlns:c16="http://schemas.microsoft.com/office/drawing/2014/chart" uri="{C3380CC4-5D6E-409C-BE32-E72D297353CC}">
              <c16:uniqueId val="{0000000A-8263-4AF6-BD2C-DC0EAFC73866}"/>
            </c:ext>
          </c:extLst>
        </c:ser>
        <c:ser>
          <c:idx val="11"/>
          <c:order val="12"/>
          <c:tx>
            <c:strRef>
              <c:f>Baseline_Backlog!$O$3</c:f>
              <c:strCache>
                <c:ptCount val="1"/>
                <c:pt idx="0">
                  <c:v>C4</c:v>
                </c:pt>
              </c:strCache>
            </c:strRef>
          </c:tx>
          <c:spPr>
            <a:solidFill>
              <a:schemeClr val="bg1">
                <a:lumMod val="75000"/>
              </a:schemeClr>
            </a:solidFill>
            <a:ln>
              <a:noFill/>
            </a:ln>
            <a:effectLst/>
          </c:spPr>
          <c:invertIfNegative val="0"/>
          <c:cat>
            <c:strRef>
              <c:f>Baseline_Backlog!$B$4:$B$103</c:f>
              <c:strCache>
                <c:ptCount val="34"/>
                <c:pt idx="0">
                  <c:v>121110 - Opbreken trottoirband </c:v>
                </c:pt>
                <c:pt idx="1">
                  <c:v>121120 - Opbreken RWS band</c:v>
                </c:pt>
                <c:pt idx="2">
                  <c:v>121140 - Opbreken Opsluitband</c:v>
                </c:pt>
                <c:pt idx="3">
                  <c:v>121310 - Opbreken betonstraatstenen</c:v>
                </c:pt>
                <c:pt idx="4">
                  <c:v>121320 - Opbreken straatbakstenen en geschikt maken voor hergebruik</c:v>
                </c:pt>
                <c:pt idx="5">
                  <c:v>121330 - Opbreken en afvoeren straatbakstenen</c:v>
                </c:pt>
                <c:pt idx="6">
                  <c:v>121340 - Opbreken betontegels 300x300x45mm</c:v>
                </c:pt>
                <c:pt idx="7">
                  <c:v>121410 - Opbreken en afvoeren asfaltverharding zwart teervrij</c:v>
                </c:pt>
                <c:pt idx="8">
                  <c:v>121420 - Opbreken en afvoeren asfaltverharding rood teervrij</c:v>
                </c:pt>
                <c:pt idx="9">
                  <c:v>121510 - Opbreken fundering van menggranulaat, 400-200 mm dik</c:v>
                </c:pt>
                <c:pt idx="10">
                  <c:v>121520 - Opbreken fundering van slakken 200-400 mm dik</c:v>
                </c:pt>
                <c:pt idx="11">
                  <c:v>121310 - Verwijderen en afvoeren kolken, incl aansluitingen</c:v>
                </c:pt>
                <c:pt idx="12">
                  <c:v>210010 - Grond ontgraven uit cunet wegen en parkeervakken 0,25 m</c:v>
                </c:pt>
                <c:pt idx="13">
                  <c:v>210020 - Grond ontgraven uit sleuf riolering (gerekend met 11,5m3/m1 riool)</c:v>
                </c:pt>
                <c:pt idx="14">
                  <c:v>210030 - Grond ontgraven uit plantvak</c:v>
                </c:pt>
                <c:pt idx="15">
                  <c:v>220010 - Grond verwerken in sleuf riolering</c:v>
                </c:pt>
                <c:pt idx="16">
                  <c:v>220020 - Leveren en aanbrengen zand voor zand (gemiddeld 100 mm)</c:v>
                </c:pt>
                <c:pt idx="17">
                  <c:v>322020 - Leveren en aanbrengen rioolbuis van Beton Ø400mm</c:v>
                </c:pt>
                <c:pt idx="18">
                  <c:v>322070 - Leveren en aanbrengen rioolbuis van Beton IT Ø400mm</c:v>
                </c:pt>
                <c:pt idx="19">
                  <c:v>322100 - Leveren en aanbrengen rioolbuis van Beton IT Ø800mm</c:v>
                </c:pt>
                <c:pt idx="20">
                  <c:v>330010 - Leveren en aanbrengen kolken</c:v>
                </c:pt>
                <c:pt idx="21">
                  <c:v>420010 - Leveren en aanbrengen fundering menggranulaat, (250mm dik)</c:v>
                </c:pt>
                <c:pt idx="22">
                  <c:v>430010 - Leveren en aanbrengen trottoirbanden 180/200x250</c:v>
                </c:pt>
                <c:pt idx="23">
                  <c:v>430020 - Leveren en aanbrengen trottoirbanden 130/150x250</c:v>
                </c:pt>
                <c:pt idx="24">
                  <c:v>430040 - Leveren en aanbrengen opsluitbanden 100x200</c:v>
                </c:pt>
                <c:pt idx="25">
                  <c:v>430050 - Leveren en aanbrengen opsluitbanden 120x250</c:v>
                </c:pt>
                <c:pt idx="26">
                  <c:v>440010 - Aanbrengen straatbakstenen DF, Rood (rijweg)</c:v>
                </c:pt>
                <c:pt idx="27">
                  <c:v>440020 - Aanbrengen straatbakstenen DF, Geel (rijweg/ plein)</c:v>
                </c:pt>
                <c:pt idx="28">
                  <c:v>440030 - Aanbrengen straatbakstenen DF, Rood (parkeervakken)</c:v>
                </c:pt>
                <c:pt idx="29">
                  <c:v>440040 - Aanbrengen straatbakstenen DF, Geel (parkeervakken)</c:v>
                </c:pt>
                <c:pt idx="30">
                  <c:v>440050 - Leveren en aanbrengen open (grasbeton) verharding (parkeerplaats)</c:v>
                </c:pt>
                <c:pt idx="31">
                  <c:v>440060 - Aanbrengen straatbakstenen DF, Rood (trottoir)</c:v>
                </c:pt>
                <c:pt idx="32">
                  <c:v>440070 - Aanbrengen straatbakstenen DF, Geel (trottoir)</c:v>
                </c:pt>
                <c:pt idx="33">
                  <c:v>440090 - Aanbrengen straatbakstenen DF, Rood (drempelopgang)</c:v>
                </c:pt>
              </c:strCache>
            </c:strRef>
          </c:cat>
          <c:val>
            <c:numRef>
              <c:f>Baseline_Backlog!$O$4:$O$103</c:f>
              <c:numCache>
                <c:formatCode>_([$€-2]\ * #,##0.00_);_([$€-2]\ * \(#,##0.00\);_([$€-2]\ * "-"??_);_(@_)</c:formatCode>
                <c:ptCount val="34"/>
                <c:pt idx="0">
                  <c:v>2.0065500000000003</c:v>
                </c:pt>
                <c:pt idx="1">
                  <c:v>0.31490000000000001</c:v>
                </c:pt>
                <c:pt idx="2">
                  <c:v>0.38279999999999997</c:v>
                </c:pt>
                <c:pt idx="3">
                  <c:v>2.1021425599999999</c:v>
                </c:pt>
                <c:pt idx="4">
                  <c:v>0.50085000000000002</c:v>
                </c:pt>
                <c:pt idx="5">
                  <c:v>0.25488</c:v>
                </c:pt>
                <c:pt idx="6">
                  <c:v>752.52710000000002</c:v>
                </c:pt>
                <c:pt idx="7">
                  <c:v>0</c:v>
                </c:pt>
                <c:pt idx="8">
                  <c:v>0</c:v>
                </c:pt>
                <c:pt idx="9">
                  <c:v>16.675000000000001</c:v>
                </c:pt>
                <c:pt idx="10">
                  <c:v>7.2799999999999994</c:v>
                </c:pt>
                <c:pt idx="11">
                  <c:v>0</c:v>
                </c:pt>
                <c:pt idx="12">
                  <c:v>60.641600000000004</c:v>
                </c:pt>
                <c:pt idx="13">
                  <c:v>228.31200000000001</c:v>
                </c:pt>
                <c:pt idx="14">
                  <c:v>56.582720000000002</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numCache>
            </c:numRef>
          </c:val>
          <c:extLst xmlns:c15="http://schemas.microsoft.com/office/drawing/2012/chart">
            <c:ext xmlns:c16="http://schemas.microsoft.com/office/drawing/2014/chart" uri="{C3380CC4-5D6E-409C-BE32-E72D297353CC}">
              <c16:uniqueId val="{0000000B-8263-4AF6-BD2C-DC0EAFC73866}"/>
            </c:ext>
          </c:extLst>
        </c:ser>
        <c:ser>
          <c:idx val="15"/>
          <c:order val="15"/>
          <c:tx>
            <c:strRef>
              <c:f>Baseline_Backlog!$R$3</c:f>
              <c:strCache>
                <c:ptCount val="1"/>
                <c:pt idx="0">
                  <c:v>D</c:v>
                </c:pt>
              </c:strCache>
            </c:strRef>
          </c:tx>
          <c:spPr>
            <a:solidFill>
              <a:srgbClr val="FF0000"/>
            </a:solidFill>
            <a:ln>
              <a:noFill/>
            </a:ln>
            <a:effectLst/>
          </c:spPr>
          <c:invertIfNegative val="0"/>
          <c:cat>
            <c:strRef>
              <c:f>Baseline_Backlog!$B$4:$B$103</c:f>
              <c:strCache>
                <c:ptCount val="34"/>
                <c:pt idx="0">
                  <c:v>121110 - Opbreken trottoirband </c:v>
                </c:pt>
                <c:pt idx="1">
                  <c:v>121120 - Opbreken RWS band</c:v>
                </c:pt>
                <c:pt idx="2">
                  <c:v>121140 - Opbreken Opsluitband</c:v>
                </c:pt>
                <c:pt idx="3">
                  <c:v>121310 - Opbreken betonstraatstenen</c:v>
                </c:pt>
                <c:pt idx="4">
                  <c:v>121320 - Opbreken straatbakstenen en geschikt maken voor hergebruik</c:v>
                </c:pt>
                <c:pt idx="5">
                  <c:v>121330 - Opbreken en afvoeren straatbakstenen</c:v>
                </c:pt>
                <c:pt idx="6">
                  <c:v>121340 - Opbreken betontegels 300x300x45mm</c:v>
                </c:pt>
                <c:pt idx="7">
                  <c:v>121410 - Opbreken en afvoeren asfaltverharding zwart teervrij</c:v>
                </c:pt>
                <c:pt idx="8">
                  <c:v>121420 - Opbreken en afvoeren asfaltverharding rood teervrij</c:v>
                </c:pt>
                <c:pt idx="9">
                  <c:v>121510 - Opbreken fundering van menggranulaat, 400-200 mm dik</c:v>
                </c:pt>
                <c:pt idx="10">
                  <c:v>121520 - Opbreken fundering van slakken 200-400 mm dik</c:v>
                </c:pt>
                <c:pt idx="11">
                  <c:v>121310 - Verwijderen en afvoeren kolken, incl aansluitingen</c:v>
                </c:pt>
                <c:pt idx="12">
                  <c:v>210010 - Grond ontgraven uit cunet wegen en parkeervakken 0,25 m</c:v>
                </c:pt>
                <c:pt idx="13">
                  <c:v>210020 - Grond ontgraven uit sleuf riolering (gerekend met 11,5m3/m1 riool)</c:v>
                </c:pt>
                <c:pt idx="14">
                  <c:v>210030 - Grond ontgraven uit plantvak</c:v>
                </c:pt>
                <c:pt idx="15">
                  <c:v>220010 - Grond verwerken in sleuf riolering</c:v>
                </c:pt>
                <c:pt idx="16">
                  <c:v>220020 - Leveren en aanbrengen zand voor zand (gemiddeld 100 mm)</c:v>
                </c:pt>
                <c:pt idx="17">
                  <c:v>322020 - Leveren en aanbrengen rioolbuis van Beton Ø400mm</c:v>
                </c:pt>
                <c:pt idx="18">
                  <c:v>322070 - Leveren en aanbrengen rioolbuis van Beton IT Ø400mm</c:v>
                </c:pt>
                <c:pt idx="19">
                  <c:v>322100 - Leveren en aanbrengen rioolbuis van Beton IT Ø800mm</c:v>
                </c:pt>
                <c:pt idx="20">
                  <c:v>330010 - Leveren en aanbrengen kolken</c:v>
                </c:pt>
                <c:pt idx="21">
                  <c:v>420010 - Leveren en aanbrengen fundering menggranulaat, (250mm dik)</c:v>
                </c:pt>
                <c:pt idx="22">
                  <c:v>430010 - Leveren en aanbrengen trottoirbanden 180/200x250</c:v>
                </c:pt>
                <c:pt idx="23">
                  <c:v>430020 - Leveren en aanbrengen trottoirbanden 130/150x250</c:v>
                </c:pt>
                <c:pt idx="24">
                  <c:v>430040 - Leveren en aanbrengen opsluitbanden 100x200</c:v>
                </c:pt>
                <c:pt idx="25">
                  <c:v>430050 - Leveren en aanbrengen opsluitbanden 120x250</c:v>
                </c:pt>
                <c:pt idx="26">
                  <c:v>440010 - Aanbrengen straatbakstenen DF, Rood (rijweg)</c:v>
                </c:pt>
                <c:pt idx="27">
                  <c:v>440020 - Aanbrengen straatbakstenen DF, Geel (rijweg/ plein)</c:v>
                </c:pt>
                <c:pt idx="28">
                  <c:v>440030 - Aanbrengen straatbakstenen DF, Rood (parkeervakken)</c:v>
                </c:pt>
                <c:pt idx="29">
                  <c:v>440040 - Aanbrengen straatbakstenen DF, Geel (parkeervakken)</c:v>
                </c:pt>
                <c:pt idx="30">
                  <c:v>440050 - Leveren en aanbrengen open (grasbeton) verharding (parkeerplaats)</c:v>
                </c:pt>
                <c:pt idx="31">
                  <c:v>440060 - Aanbrengen straatbakstenen DF, Rood (trottoir)</c:v>
                </c:pt>
                <c:pt idx="32">
                  <c:v>440070 - Aanbrengen straatbakstenen DF, Geel (trottoir)</c:v>
                </c:pt>
                <c:pt idx="33">
                  <c:v>440090 - Aanbrengen straatbakstenen DF, Rood (drempelopgang)</c:v>
                </c:pt>
              </c:strCache>
            </c:strRef>
          </c:cat>
          <c:val>
            <c:numRef>
              <c:f>Baseline_Backlog!$R$4:$R$103</c:f>
              <c:numCache>
                <c:formatCode>_([$€-2]\ * #,##0.00_);_([$€-2]\ * \(#,##0.00\);_([$€-2]\ * "-"??_);_(@_)</c:formatCode>
                <c:ptCount val="34"/>
                <c:pt idx="0">
                  <c:v>-141.85990000000001</c:v>
                </c:pt>
                <c:pt idx="1">
                  <c:v>-22.471800000000002</c:v>
                </c:pt>
                <c:pt idx="2">
                  <c:v>-27.387599999999999</c:v>
                </c:pt>
                <c:pt idx="3">
                  <c:v>-151.14076800000001</c:v>
                </c:pt>
                <c:pt idx="4">
                  <c:v>-20479.2</c:v>
                </c:pt>
                <c:pt idx="5">
                  <c:v>1105.3296</c:v>
                </c:pt>
                <c:pt idx="6">
                  <c:v>-537.80549999999994</c:v>
                </c:pt>
                <c:pt idx="7">
                  <c:v>-6105.0077760645981</c:v>
                </c:pt>
                <c:pt idx="8">
                  <c:v>-7862.3757990610584</c:v>
                </c:pt>
                <c:pt idx="9">
                  <c:v>33.695</c:v>
                </c:pt>
                <c:pt idx="10">
                  <c:v>14.735000000000001</c:v>
                </c:pt>
                <c:pt idx="11">
                  <c:v>-763.56</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numCache>
            </c:numRef>
          </c:val>
          <c:extLst>
            <c:ext xmlns:c16="http://schemas.microsoft.com/office/drawing/2014/chart" uri="{C3380CC4-5D6E-409C-BE32-E72D297353CC}">
              <c16:uniqueId val="{00000001-9482-4192-8A89-69C395BEEC79}"/>
            </c:ext>
          </c:extLst>
        </c:ser>
        <c:dLbls>
          <c:showLegendKey val="0"/>
          <c:showVal val="0"/>
          <c:showCatName val="0"/>
          <c:showSerName val="0"/>
          <c:showPercent val="0"/>
          <c:showBubbleSize val="0"/>
        </c:dLbls>
        <c:gapWidth val="150"/>
        <c:overlap val="100"/>
        <c:axId val="1339988456"/>
        <c:axId val="1339988784"/>
        <c:extLst>
          <c:ext xmlns:c15="http://schemas.microsoft.com/office/drawing/2012/chart" uri="{02D57815-91ED-43cb-92C2-25804820EDAC}">
            <c15:filteredBarSeries>
              <c15:ser>
                <c:idx val="0"/>
                <c:order val="0"/>
                <c:tx>
                  <c:strRef>
                    <c:extLst>
                      <c:ext uri="{02D57815-91ED-43cb-92C2-25804820EDAC}">
                        <c15:formulaRef>
                          <c15:sqref>Baseline_Backlog!$C$3</c15:sqref>
                        </c15:formulaRef>
                      </c:ext>
                    </c:extLst>
                    <c:strCache>
                      <c:ptCount val="1"/>
                      <c:pt idx="0">
                        <c:v>Product</c:v>
                      </c:pt>
                    </c:strCache>
                  </c:strRef>
                </c:tx>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c:spPr>
                <c:invertIfNegative val="0"/>
                <c:cat>
                  <c:strRef>
                    <c:extLst>
                      <c:ext uri="{02D57815-91ED-43cb-92C2-25804820EDAC}">
                        <c15:formulaRef>
                          <c15:sqref>Baseline_Backlog!$B$4:$B$103</c15:sqref>
                        </c15:formulaRef>
                      </c:ext>
                    </c:extLst>
                    <c:strCache>
                      <c:ptCount val="34"/>
                      <c:pt idx="0">
                        <c:v>121110 - Opbreken trottoirband </c:v>
                      </c:pt>
                      <c:pt idx="1">
                        <c:v>121120 - Opbreken RWS band</c:v>
                      </c:pt>
                      <c:pt idx="2">
                        <c:v>121140 - Opbreken Opsluitband</c:v>
                      </c:pt>
                      <c:pt idx="3">
                        <c:v>121310 - Opbreken betonstraatstenen</c:v>
                      </c:pt>
                      <c:pt idx="4">
                        <c:v>121320 - Opbreken straatbakstenen en geschikt maken voor hergebruik</c:v>
                      </c:pt>
                      <c:pt idx="5">
                        <c:v>121330 - Opbreken en afvoeren straatbakstenen</c:v>
                      </c:pt>
                      <c:pt idx="6">
                        <c:v>121340 - Opbreken betontegels 300x300x45mm</c:v>
                      </c:pt>
                      <c:pt idx="7">
                        <c:v>121410 - Opbreken en afvoeren asfaltverharding zwart teervrij</c:v>
                      </c:pt>
                      <c:pt idx="8">
                        <c:v>121420 - Opbreken en afvoeren asfaltverharding rood teervrij</c:v>
                      </c:pt>
                      <c:pt idx="9">
                        <c:v>121510 - Opbreken fundering van menggranulaat, 400-200 mm dik</c:v>
                      </c:pt>
                      <c:pt idx="10">
                        <c:v>121520 - Opbreken fundering van slakken 200-400 mm dik</c:v>
                      </c:pt>
                      <c:pt idx="11">
                        <c:v>121310 - Verwijderen en afvoeren kolken, incl aansluitingen</c:v>
                      </c:pt>
                      <c:pt idx="12">
                        <c:v>210010 - Grond ontgraven uit cunet wegen en parkeervakken 0,25 m</c:v>
                      </c:pt>
                      <c:pt idx="13">
                        <c:v>210020 - Grond ontgraven uit sleuf riolering (gerekend met 11,5m3/m1 riool)</c:v>
                      </c:pt>
                      <c:pt idx="14">
                        <c:v>210030 - Grond ontgraven uit plantvak</c:v>
                      </c:pt>
                      <c:pt idx="15">
                        <c:v>220010 - Grond verwerken in sleuf riolering</c:v>
                      </c:pt>
                      <c:pt idx="16">
                        <c:v>220020 - Leveren en aanbrengen zand voor zand (gemiddeld 100 mm)</c:v>
                      </c:pt>
                      <c:pt idx="17">
                        <c:v>322020 - Leveren en aanbrengen rioolbuis van Beton Ø400mm</c:v>
                      </c:pt>
                      <c:pt idx="18">
                        <c:v>322070 - Leveren en aanbrengen rioolbuis van Beton IT Ø400mm</c:v>
                      </c:pt>
                      <c:pt idx="19">
                        <c:v>322100 - Leveren en aanbrengen rioolbuis van Beton IT Ø800mm</c:v>
                      </c:pt>
                      <c:pt idx="20">
                        <c:v>330010 - Leveren en aanbrengen kolken</c:v>
                      </c:pt>
                      <c:pt idx="21">
                        <c:v>420010 - Leveren en aanbrengen fundering menggranulaat, (250mm dik)</c:v>
                      </c:pt>
                      <c:pt idx="22">
                        <c:v>430010 - Leveren en aanbrengen trottoirbanden 180/200x250</c:v>
                      </c:pt>
                      <c:pt idx="23">
                        <c:v>430020 - Leveren en aanbrengen trottoirbanden 130/150x250</c:v>
                      </c:pt>
                      <c:pt idx="24">
                        <c:v>430040 - Leveren en aanbrengen opsluitbanden 100x200</c:v>
                      </c:pt>
                      <c:pt idx="25">
                        <c:v>430050 - Leveren en aanbrengen opsluitbanden 120x250</c:v>
                      </c:pt>
                      <c:pt idx="26">
                        <c:v>440010 - Aanbrengen straatbakstenen DF, Rood (rijweg)</c:v>
                      </c:pt>
                      <c:pt idx="27">
                        <c:v>440020 - Aanbrengen straatbakstenen DF, Geel (rijweg/ plein)</c:v>
                      </c:pt>
                      <c:pt idx="28">
                        <c:v>440030 - Aanbrengen straatbakstenen DF, Rood (parkeervakken)</c:v>
                      </c:pt>
                      <c:pt idx="29">
                        <c:v>440040 - Aanbrengen straatbakstenen DF, Geel (parkeervakken)</c:v>
                      </c:pt>
                      <c:pt idx="30">
                        <c:v>440050 - Leveren en aanbrengen open (grasbeton) verharding (parkeerplaats)</c:v>
                      </c:pt>
                      <c:pt idx="31">
                        <c:v>440060 - Aanbrengen straatbakstenen DF, Rood (trottoir)</c:v>
                      </c:pt>
                      <c:pt idx="32">
                        <c:v>440070 - Aanbrengen straatbakstenen DF, Geel (trottoir)</c:v>
                      </c:pt>
                      <c:pt idx="33">
                        <c:v>440090 - Aanbrengen straatbakstenen DF, Rood (drempelopgang)</c:v>
                      </c:pt>
                    </c:strCache>
                  </c:strRef>
                </c:cat>
                <c:val>
                  <c:numRef>
                    <c:extLst>
                      <c:ext uri="{02D57815-91ED-43cb-92C2-25804820EDAC}">
                        <c15:formulaRef>
                          <c15:sqref>Baseline_Backlog!$C$4:$C$103</c15:sqref>
                        </c15:formulaRef>
                      </c:ext>
                    </c:extLst>
                    <c:numCache>
                      <c:formatCode>General</c:formatCode>
                      <c:ptCount val="3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numCache>
                  </c:numRef>
                </c:val>
                <c:extLst>
                  <c:ext xmlns:c16="http://schemas.microsoft.com/office/drawing/2014/chart" uri="{C3380CC4-5D6E-409C-BE32-E72D297353CC}">
                    <c16:uniqueId val="{0000000C-8263-4AF6-BD2C-DC0EAFC73866}"/>
                  </c:ext>
                </c:extLst>
              </c15:ser>
            </c15:filteredBarSeries>
            <c15:filteredBarSeries>
              <c15:ser>
                <c:idx val="5"/>
                <c:order val="1"/>
                <c:tx>
                  <c:strRef>
                    <c:extLst xmlns:c15="http://schemas.microsoft.com/office/drawing/2012/chart">
                      <c:ext xmlns:c15="http://schemas.microsoft.com/office/drawing/2012/chart" uri="{02D57815-91ED-43cb-92C2-25804820EDAC}">
                        <c15:formulaRef>
                          <c15:sqref>Baseline_Backlog!$D$3</c15:sqref>
                        </c15:formulaRef>
                      </c:ext>
                    </c:extLst>
                    <c:strCache>
                      <c:ptCount val="1"/>
                      <c:pt idx="0">
                        <c:v>A1</c:v>
                      </c:pt>
                    </c:strCache>
                  </c:strRef>
                </c:tx>
                <c:spPr>
                  <a:solidFill>
                    <a:srgbClr val="002060"/>
                  </a:solidFill>
                  <a:ln>
                    <a:noFill/>
                  </a:ln>
                  <a:effectLst/>
                </c:spPr>
                <c:invertIfNegative val="0"/>
                <c:cat>
                  <c:strRef>
                    <c:extLst xmlns:c15="http://schemas.microsoft.com/office/drawing/2012/chart">
                      <c:ext xmlns:c15="http://schemas.microsoft.com/office/drawing/2012/chart" uri="{02D57815-91ED-43cb-92C2-25804820EDAC}">
                        <c15:formulaRef>
                          <c15:sqref>Baseline_Backlog!$B$4:$B$103</c15:sqref>
                        </c15:formulaRef>
                      </c:ext>
                    </c:extLst>
                    <c:strCache>
                      <c:ptCount val="34"/>
                      <c:pt idx="0">
                        <c:v>121110 - Opbreken trottoirband </c:v>
                      </c:pt>
                      <c:pt idx="1">
                        <c:v>121120 - Opbreken RWS band</c:v>
                      </c:pt>
                      <c:pt idx="2">
                        <c:v>121140 - Opbreken Opsluitband</c:v>
                      </c:pt>
                      <c:pt idx="3">
                        <c:v>121310 - Opbreken betonstraatstenen</c:v>
                      </c:pt>
                      <c:pt idx="4">
                        <c:v>121320 - Opbreken straatbakstenen en geschikt maken voor hergebruik</c:v>
                      </c:pt>
                      <c:pt idx="5">
                        <c:v>121330 - Opbreken en afvoeren straatbakstenen</c:v>
                      </c:pt>
                      <c:pt idx="6">
                        <c:v>121340 - Opbreken betontegels 300x300x45mm</c:v>
                      </c:pt>
                      <c:pt idx="7">
                        <c:v>121410 - Opbreken en afvoeren asfaltverharding zwart teervrij</c:v>
                      </c:pt>
                      <c:pt idx="8">
                        <c:v>121420 - Opbreken en afvoeren asfaltverharding rood teervrij</c:v>
                      </c:pt>
                      <c:pt idx="9">
                        <c:v>121510 - Opbreken fundering van menggranulaat, 400-200 mm dik</c:v>
                      </c:pt>
                      <c:pt idx="10">
                        <c:v>121520 - Opbreken fundering van slakken 200-400 mm dik</c:v>
                      </c:pt>
                      <c:pt idx="11">
                        <c:v>121310 - Verwijderen en afvoeren kolken, incl aansluitingen</c:v>
                      </c:pt>
                      <c:pt idx="12">
                        <c:v>210010 - Grond ontgraven uit cunet wegen en parkeervakken 0,25 m</c:v>
                      </c:pt>
                      <c:pt idx="13">
                        <c:v>210020 - Grond ontgraven uit sleuf riolering (gerekend met 11,5m3/m1 riool)</c:v>
                      </c:pt>
                      <c:pt idx="14">
                        <c:v>210030 - Grond ontgraven uit plantvak</c:v>
                      </c:pt>
                      <c:pt idx="15">
                        <c:v>220010 - Grond verwerken in sleuf riolering</c:v>
                      </c:pt>
                      <c:pt idx="16">
                        <c:v>220020 - Leveren en aanbrengen zand voor zand (gemiddeld 100 mm)</c:v>
                      </c:pt>
                      <c:pt idx="17">
                        <c:v>322020 - Leveren en aanbrengen rioolbuis van Beton Ø400mm</c:v>
                      </c:pt>
                      <c:pt idx="18">
                        <c:v>322070 - Leveren en aanbrengen rioolbuis van Beton IT Ø400mm</c:v>
                      </c:pt>
                      <c:pt idx="19">
                        <c:v>322100 - Leveren en aanbrengen rioolbuis van Beton IT Ø800mm</c:v>
                      </c:pt>
                      <c:pt idx="20">
                        <c:v>330010 - Leveren en aanbrengen kolken</c:v>
                      </c:pt>
                      <c:pt idx="21">
                        <c:v>420010 - Leveren en aanbrengen fundering menggranulaat, (250mm dik)</c:v>
                      </c:pt>
                      <c:pt idx="22">
                        <c:v>430010 - Leveren en aanbrengen trottoirbanden 180/200x250</c:v>
                      </c:pt>
                      <c:pt idx="23">
                        <c:v>430020 - Leveren en aanbrengen trottoirbanden 130/150x250</c:v>
                      </c:pt>
                      <c:pt idx="24">
                        <c:v>430040 - Leveren en aanbrengen opsluitbanden 100x200</c:v>
                      </c:pt>
                      <c:pt idx="25">
                        <c:v>430050 - Leveren en aanbrengen opsluitbanden 120x250</c:v>
                      </c:pt>
                      <c:pt idx="26">
                        <c:v>440010 - Aanbrengen straatbakstenen DF, Rood (rijweg)</c:v>
                      </c:pt>
                      <c:pt idx="27">
                        <c:v>440020 - Aanbrengen straatbakstenen DF, Geel (rijweg/ plein)</c:v>
                      </c:pt>
                      <c:pt idx="28">
                        <c:v>440030 - Aanbrengen straatbakstenen DF, Rood (parkeervakken)</c:v>
                      </c:pt>
                      <c:pt idx="29">
                        <c:v>440040 - Aanbrengen straatbakstenen DF, Geel (parkeervakken)</c:v>
                      </c:pt>
                      <c:pt idx="30">
                        <c:v>440050 - Leveren en aanbrengen open (grasbeton) verharding (parkeerplaats)</c:v>
                      </c:pt>
                      <c:pt idx="31">
                        <c:v>440060 - Aanbrengen straatbakstenen DF, Rood (trottoir)</c:v>
                      </c:pt>
                      <c:pt idx="32">
                        <c:v>440070 - Aanbrengen straatbakstenen DF, Geel (trottoir)</c:v>
                      </c:pt>
                      <c:pt idx="33">
                        <c:v>440090 - Aanbrengen straatbakstenen DF, Rood (drempelopgang)</c:v>
                      </c:pt>
                    </c:strCache>
                  </c:strRef>
                </c:cat>
                <c:val>
                  <c:numRef>
                    <c:extLst xmlns:c15="http://schemas.microsoft.com/office/drawing/2012/chart">
                      <c:ext xmlns:c15="http://schemas.microsoft.com/office/drawing/2012/chart" uri="{02D57815-91ED-43cb-92C2-25804820EDAC}">
                        <c15:formulaRef>
                          <c15:sqref>Baseline_Backlog!$D$4:$D$103</c15:sqref>
                        </c15:formulaRef>
                      </c:ext>
                    </c:extLst>
                    <c:numCache>
                      <c:formatCode>_([$€-2]\ * #,##0.00_);_([$€-2]\ * \(#,##0.00\);_([$€-2]\ * "-"??_);_(@_)</c:formatCode>
                      <c:ptCount val="3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648</c:v>
                      </c:pt>
                      <c:pt idx="18">
                        <c:v>513</c:v>
                      </c:pt>
                      <c:pt idx="19">
                        <c:v>5825.0324999999993</c:v>
                      </c:pt>
                      <c:pt idx="20">
                        <c:v>1567.52</c:v>
                      </c:pt>
                      <c:pt idx="21">
                        <c:v>0</c:v>
                      </c:pt>
                      <c:pt idx="22">
                        <c:v>0</c:v>
                      </c:pt>
                      <c:pt idx="23">
                        <c:v>0</c:v>
                      </c:pt>
                      <c:pt idx="24">
                        <c:v>444.14954999999992</c:v>
                      </c:pt>
                      <c:pt idx="25">
                        <c:v>779.86124999999993</c:v>
                      </c:pt>
                      <c:pt idx="26">
                        <c:v>0</c:v>
                      </c:pt>
                      <c:pt idx="27">
                        <c:v>0</c:v>
                      </c:pt>
                      <c:pt idx="28">
                        <c:v>0</c:v>
                      </c:pt>
                      <c:pt idx="29">
                        <c:v>0</c:v>
                      </c:pt>
                      <c:pt idx="30">
                        <c:v>2080</c:v>
                      </c:pt>
                      <c:pt idx="31">
                        <c:v>0</c:v>
                      </c:pt>
                      <c:pt idx="32">
                        <c:v>0</c:v>
                      </c:pt>
                      <c:pt idx="33">
                        <c:v>0</c:v>
                      </c:pt>
                    </c:numCache>
                  </c:numRef>
                </c:val>
                <c:extLst xmlns:c15="http://schemas.microsoft.com/office/drawing/2012/chart">
                  <c:ext xmlns:c16="http://schemas.microsoft.com/office/drawing/2014/chart" uri="{C3380CC4-5D6E-409C-BE32-E72D297353CC}">
                    <c16:uniqueId val="{00000000-8263-4AF6-BD2C-DC0EAFC73866}"/>
                  </c:ext>
                </c:extLst>
              </c15:ser>
            </c15:filteredBarSeries>
            <c15:filteredBarSeries>
              <c15:ser>
                <c:idx val="4"/>
                <c:order val="2"/>
                <c:tx>
                  <c:strRef>
                    <c:extLst xmlns:c15="http://schemas.microsoft.com/office/drawing/2012/chart">
                      <c:ext xmlns:c15="http://schemas.microsoft.com/office/drawing/2012/chart" uri="{02D57815-91ED-43cb-92C2-25804820EDAC}">
                        <c15:formulaRef>
                          <c15:sqref>Baseline_Backlog!$E$3</c15:sqref>
                        </c15:formulaRef>
                      </c:ext>
                    </c:extLst>
                    <c:strCache>
                      <c:ptCount val="1"/>
                      <c:pt idx="0">
                        <c:v>A2</c:v>
                      </c:pt>
                    </c:strCache>
                  </c:strRef>
                </c:tx>
                <c:spPr>
                  <a:solidFill>
                    <a:srgbClr val="0070C0"/>
                  </a:solidFill>
                  <a:ln>
                    <a:noFill/>
                  </a:ln>
                  <a:effectLst/>
                </c:spPr>
                <c:invertIfNegative val="0"/>
                <c:cat>
                  <c:strRef>
                    <c:extLst xmlns:c15="http://schemas.microsoft.com/office/drawing/2012/chart">
                      <c:ext xmlns:c15="http://schemas.microsoft.com/office/drawing/2012/chart" uri="{02D57815-91ED-43cb-92C2-25804820EDAC}">
                        <c15:formulaRef>
                          <c15:sqref>Baseline_Backlog!$B$4:$B$103</c15:sqref>
                        </c15:formulaRef>
                      </c:ext>
                    </c:extLst>
                    <c:strCache>
                      <c:ptCount val="34"/>
                      <c:pt idx="0">
                        <c:v>121110 - Opbreken trottoirband </c:v>
                      </c:pt>
                      <c:pt idx="1">
                        <c:v>121120 - Opbreken RWS band</c:v>
                      </c:pt>
                      <c:pt idx="2">
                        <c:v>121140 - Opbreken Opsluitband</c:v>
                      </c:pt>
                      <c:pt idx="3">
                        <c:v>121310 - Opbreken betonstraatstenen</c:v>
                      </c:pt>
                      <c:pt idx="4">
                        <c:v>121320 - Opbreken straatbakstenen en geschikt maken voor hergebruik</c:v>
                      </c:pt>
                      <c:pt idx="5">
                        <c:v>121330 - Opbreken en afvoeren straatbakstenen</c:v>
                      </c:pt>
                      <c:pt idx="6">
                        <c:v>121340 - Opbreken betontegels 300x300x45mm</c:v>
                      </c:pt>
                      <c:pt idx="7">
                        <c:v>121410 - Opbreken en afvoeren asfaltverharding zwart teervrij</c:v>
                      </c:pt>
                      <c:pt idx="8">
                        <c:v>121420 - Opbreken en afvoeren asfaltverharding rood teervrij</c:v>
                      </c:pt>
                      <c:pt idx="9">
                        <c:v>121510 - Opbreken fundering van menggranulaat, 400-200 mm dik</c:v>
                      </c:pt>
                      <c:pt idx="10">
                        <c:v>121520 - Opbreken fundering van slakken 200-400 mm dik</c:v>
                      </c:pt>
                      <c:pt idx="11">
                        <c:v>121310 - Verwijderen en afvoeren kolken, incl aansluitingen</c:v>
                      </c:pt>
                      <c:pt idx="12">
                        <c:v>210010 - Grond ontgraven uit cunet wegen en parkeervakken 0,25 m</c:v>
                      </c:pt>
                      <c:pt idx="13">
                        <c:v>210020 - Grond ontgraven uit sleuf riolering (gerekend met 11,5m3/m1 riool)</c:v>
                      </c:pt>
                      <c:pt idx="14">
                        <c:v>210030 - Grond ontgraven uit plantvak</c:v>
                      </c:pt>
                      <c:pt idx="15">
                        <c:v>220010 - Grond verwerken in sleuf riolering</c:v>
                      </c:pt>
                      <c:pt idx="16">
                        <c:v>220020 - Leveren en aanbrengen zand voor zand (gemiddeld 100 mm)</c:v>
                      </c:pt>
                      <c:pt idx="17">
                        <c:v>322020 - Leveren en aanbrengen rioolbuis van Beton Ø400mm</c:v>
                      </c:pt>
                      <c:pt idx="18">
                        <c:v>322070 - Leveren en aanbrengen rioolbuis van Beton IT Ø400mm</c:v>
                      </c:pt>
                      <c:pt idx="19">
                        <c:v>322100 - Leveren en aanbrengen rioolbuis van Beton IT Ø800mm</c:v>
                      </c:pt>
                      <c:pt idx="20">
                        <c:v>330010 - Leveren en aanbrengen kolken</c:v>
                      </c:pt>
                      <c:pt idx="21">
                        <c:v>420010 - Leveren en aanbrengen fundering menggranulaat, (250mm dik)</c:v>
                      </c:pt>
                      <c:pt idx="22">
                        <c:v>430010 - Leveren en aanbrengen trottoirbanden 180/200x250</c:v>
                      </c:pt>
                      <c:pt idx="23">
                        <c:v>430020 - Leveren en aanbrengen trottoirbanden 130/150x250</c:v>
                      </c:pt>
                      <c:pt idx="24">
                        <c:v>430040 - Leveren en aanbrengen opsluitbanden 100x200</c:v>
                      </c:pt>
                      <c:pt idx="25">
                        <c:v>430050 - Leveren en aanbrengen opsluitbanden 120x250</c:v>
                      </c:pt>
                      <c:pt idx="26">
                        <c:v>440010 - Aanbrengen straatbakstenen DF, Rood (rijweg)</c:v>
                      </c:pt>
                      <c:pt idx="27">
                        <c:v>440020 - Aanbrengen straatbakstenen DF, Geel (rijweg/ plein)</c:v>
                      </c:pt>
                      <c:pt idx="28">
                        <c:v>440030 - Aanbrengen straatbakstenen DF, Rood (parkeervakken)</c:v>
                      </c:pt>
                      <c:pt idx="29">
                        <c:v>440040 - Aanbrengen straatbakstenen DF, Geel (parkeervakken)</c:v>
                      </c:pt>
                      <c:pt idx="30">
                        <c:v>440050 - Leveren en aanbrengen open (grasbeton) verharding (parkeerplaats)</c:v>
                      </c:pt>
                      <c:pt idx="31">
                        <c:v>440060 - Aanbrengen straatbakstenen DF, Rood (trottoir)</c:v>
                      </c:pt>
                      <c:pt idx="32">
                        <c:v>440070 - Aanbrengen straatbakstenen DF, Geel (trottoir)</c:v>
                      </c:pt>
                      <c:pt idx="33">
                        <c:v>440090 - Aanbrengen straatbakstenen DF, Rood (drempelopgang)</c:v>
                      </c:pt>
                    </c:strCache>
                  </c:strRef>
                </c:cat>
                <c:val>
                  <c:numRef>
                    <c:extLst xmlns:c15="http://schemas.microsoft.com/office/drawing/2012/chart">
                      <c:ext xmlns:c15="http://schemas.microsoft.com/office/drawing/2012/chart" uri="{02D57815-91ED-43cb-92C2-25804820EDAC}">
                        <c15:formulaRef>
                          <c15:sqref>Baseline_Backlog!$E$4:$E$103</c15:sqref>
                        </c15:formulaRef>
                      </c:ext>
                    </c:extLst>
                    <c:numCache>
                      <c:formatCode>_([$€-2]\ * #,##0.00_);_([$€-2]\ * \(#,##0.00\);_([$€-2]\ * "-"??_);_(@_)</c:formatCode>
                      <c:ptCount val="3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numCache>
                  </c:numRef>
                </c:val>
                <c:extLst xmlns:c15="http://schemas.microsoft.com/office/drawing/2012/chart">
                  <c:ext xmlns:c16="http://schemas.microsoft.com/office/drawing/2014/chart" uri="{C3380CC4-5D6E-409C-BE32-E72D297353CC}">
                    <c16:uniqueId val="{00000001-8263-4AF6-BD2C-DC0EAFC73866}"/>
                  </c:ext>
                </c:extLst>
              </c15:ser>
            </c15:filteredBarSeries>
            <c15:filteredBarSeries>
              <c15:ser>
                <c:idx val="1"/>
                <c:order val="3"/>
                <c:tx>
                  <c:strRef>
                    <c:extLst xmlns:c15="http://schemas.microsoft.com/office/drawing/2012/chart">
                      <c:ext xmlns:c15="http://schemas.microsoft.com/office/drawing/2012/chart" uri="{02D57815-91ED-43cb-92C2-25804820EDAC}">
                        <c15:formulaRef>
                          <c15:sqref>Baseline_Backlog!$F$3</c15:sqref>
                        </c15:formulaRef>
                      </c:ext>
                    </c:extLst>
                    <c:strCache>
                      <c:ptCount val="1"/>
                      <c:pt idx="0">
                        <c:v>A3</c:v>
                      </c:pt>
                    </c:strCache>
                  </c:strRef>
                </c:tx>
                <c:spPr>
                  <a:solidFill>
                    <a:srgbClr val="00B0F0"/>
                  </a:solidFill>
                  <a:ln>
                    <a:noFill/>
                  </a:ln>
                  <a:effectLst/>
                </c:spPr>
                <c:invertIfNegative val="0"/>
                <c:cat>
                  <c:strRef>
                    <c:extLst xmlns:c15="http://schemas.microsoft.com/office/drawing/2012/chart">
                      <c:ext xmlns:c15="http://schemas.microsoft.com/office/drawing/2012/chart" uri="{02D57815-91ED-43cb-92C2-25804820EDAC}">
                        <c15:formulaRef>
                          <c15:sqref>Baseline_Backlog!$B$4:$B$103</c15:sqref>
                        </c15:formulaRef>
                      </c:ext>
                    </c:extLst>
                    <c:strCache>
                      <c:ptCount val="34"/>
                      <c:pt idx="0">
                        <c:v>121110 - Opbreken trottoirband </c:v>
                      </c:pt>
                      <c:pt idx="1">
                        <c:v>121120 - Opbreken RWS band</c:v>
                      </c:pt>
                      <c:pt idx="2">
                        <c:v>121140 - Opbreken Opsluitband</c:v>
                      </c:pt>
                      <c:pt idx="3">
                        <c:v>121310 - Opbreken betonstraatstenen</c:v>
                      </c:pt>
                      <c:pt idx="4">
                        <c:v>121320 - Opbreken straatbakstenen en geschikt maken voor hergebruik</c:v>
                      </c:pt>
                      <c:pt idx="5">
                        <c:v>121330 - Opbreken en afvoeren straatbakstenen</c:v>
                      </c:pt>
                      <c:pt idx="6">
                        <c:v>121340 - Opbreken betontegels 300x300x45mm</c:v>
                      </c:pt>
                      <c:pt idx="7">
                        <c:v>121410 - Opbreken en afvoeren asfaltverharding zwart teervrij</c:v>
                      </c:pt>
                      <c:pt idx="8">
                        <c:v>121420 - Opbreken en afvoeren asfaltverharding rood teervrij</c:v>
                      </c:pt>
                      <c:pt idx="9">
                        <c:v>121510 - Opbreken fundering van menggranulaat, 400-200 mm dik</c:v>
                      </c:pt>
                      <c:pt idx="10">
                        <c:v>121520 - Opbreken fundering van slakken 200-400 mm dik</c:v>
                      </c:pt>
                      <c:pt idx="11">
                        <c:v>121310 - Verwijderen en afvoeren kolken, incl aansluitingen</c:v>
                      </c:pt>
                      <c:pt idx="12">
                        <c:v>210010 - Grond ontgraven uit cunet wegen en parkeervakken 0,25 m</c:v>
                      </c:pt>
                      <c:pt idx="13">
                        <c:v>210020 - Grond ontgraven uit sleuf riolering (gerekend met 11,5m3/m1 riool)</c:v>
                      </c:pt>
                      <c:pt idx="14">
                        <c:v>210030 - Grond ontgraven uit plantvak</c:v>
                      </c:pt>
                      <c:pt idx="15">
                        <c:v>220010 - Grond verwerken in sleuf riolering</c:v>
                      </c:pt>
                      <c:pt idx="16">
                        <c:v>220020 - Leveren en aanbrengen zand voor zand (gemiddeld 100 mm)</c:v>
                      </c:pt>
                      <c:pt idx="17">
                        <c:v>322020 - Leveren en aanbrengen rioolbuis van Beton Ø400mm</c:v>
                      </c:pt>
                      <c:pt idx="18">
                        <c:v>322070 - Leveren en aanbrengen rioolbuis van Beton IT Ø400mm</c:v>
                      </c:pt>
                      <c:pt idx="19">
                        <c:v>322100 - Leveren en aanbrengen rioolbuis van Beton IT Ø800mm</c:v>
                      </c:pt>
                      <c:pt idx="20">
                        <c:v>330010 - Leveren en aanbrengen kolken</c:v>
                      </c:pt>
                      <c:pt idx="21">
                        <c:v>420010 - Leveren en aanbrengen fundering menggranulaat, (250mm dik)</c:v>
                      </c:pt>
                      <c:pt idx="22">
                        <c:v>430010 - Leveren en aanbrengen trottoirbanden 180/200x250</c:v>
                      </c:pt>
                      <c:pt idx="23">
                        <c:v>430020 - Leveren en aanbrengen trottoirbanden 130/150x250</c:v>
                      </c:pt>
                      <c:pt idx="24">
                        <c:v>430040 - Leveren en aanbrengen opsluitbanden 100x200</c:v>
                      </c:pt>
                      <c:pt idx="25">
                        <c:v>430050 - Leveren en aanbrengen opsluitbanden 120x250</c:v>
                      </c:pt>
                      <c:pt idx="26">
                        <c:v>440010 - Aanbrengen straatbakstenen DF, Rood (rijweg)</c:v>
                      </c:pt>
                      <c:pt idx="27">
                        <c:v>440020 - Aanbrengen straatbakstenen DF, Geel (rijweg/ plein)</c:v>
                      </c:pt>
                      <c:pt idx="28">
                        <c:v>440030 - Aanbrengen straatbakstenen DF, Rood (parkeervakken)</c:v>
                      </c:pt>
                      <c:pt idx="29">
                        <c:v>440040 - Aanbrengen straatbakstenen DF, Geel (parkeervakken)</c:v>
                      </c:pt>
                      <c:pt idx="30">
                        <c:v>440050 - Leveren en aanbrengen open (grasbeton) verharding (parkeerplaats)</c:v>
                      </c:pt>
                      <c:pt idx="31">
                        <c:v>440060 - Aanbrengen straatbakstenen DF, Rood (trottoir)</c:v>
                      </c:pt>
                      <c:pt idx="32">
                        <c:v>440070 - Aanbrengen straatbakstenen DF, Geel (trottoir)</c:v>
                      </c:pt>
                      <c:pt idx="33">
                        <c:v>440090 - Aanbrengen straatbakstenen DF, Rood (drempelopgang)</c:v>
                      </c:pt>
                    </c:strCache>
                  </c:strRef>
                </c:cat>
                <c:val>
                  <c:numRef>
                    <c:extLst xmlns:c15="http://schemas.microsoft.com/office/drawing/2012/chart">
                      <c:ext xmlns:c15="http://schemas.microsoft.com/office/drawing/2012/chart" uri="{02D57815-91ED-43cb-92C2-25804820EDAC}">
                        <c15:formulaRef>
                          <c15:sqref>Baseline_Backlog!$F$4:$F$103</c15:sqref>
                        </c15:formulaRef>
                      </c:ext>
                    </c:extLst>
                    <c:numCache>
                      <c:formatCode>_([$€-2]\ * #,##0.00_);_([$€-2]\ * \(#,##0.00\);_([$€-2]\ * "-"??_);_(@_)</c:formatCode>
                      <c:ptCount val="3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numCache>
                  </c:numRef>
                </c:val>
                <c:extLst xmlns:c15="http://schemas.microsoft.com/office/drawing/2012/chart">
                  <c:ext xmlns:c16="http://schemas.microsoft.com/office/drawing/2014/chart" uri="{C3380CC4-5D6E-409C-BE32-E72D297353CC}">
                    <c16:uniqueId val="{00000002-8263-4AF6-BD2C-DC0EAFC73866}"/>
                  </c:ext>
                </c:extLst>
              </c15:ser>
            </c15:filteredBarSeries>
            <c15:filteredBarSeries>
              <c15:ser>
                <c:idx val="12"/>
                <c:order val="13"/>
                <c:tx>
                  <c:strRef>
                    <c:extLst xmlns:c15="http://schemas.microsoft.com/office/drawing/2012/chart">
                      <c:ext xmlns:c15="http://schemas.microsoft.com/office/drawing/2012/chart" uri="{02D57815-91ED-43cb-92C2-25804820EDAC}">
                        <c15:formulaRef>
                          <c15:sqref>Baseline_Backlog!$P$3</c15:sqref>
                        </c15:formulaRef>
                      </c:ext>
                    </c:extLst>
                    <c:strCache>
                      <c:ptCount val="1"/>
                      <c:pt idx="0">
                        <c:v>D1</c:v>
                      </c:pt>
                    </c:strCache>
                  </c:strRef>
                </c:tx>
                <c:spPr>
                  <a:solidFill>
                    <a:srgbClr val="FF0000"/>
                  </a:solidFill>
                  <a:ln>
                    <a:noFill/>
                  </a:ln>
                  <a:effectLst/>
                </c:spPr>
                <c:invertIfNegative val="0"/>
                <c:cat>
                  <c:strRef>
                    <c:extLst xmlns:c15="http://schemas.microsoft.com/office/drawing/2012/chart">
                      <c:ext xmlns:c15="http://schemas.microsoft.com/office/drawing/2012/chart" uri="{02D57815-91ED-43cb-92C2-25804820EDAC}">
                        <c15:formulaRef>
                          <c15:sqref>Baseline_Backlog!$B$4:$B$103</c15:sqref>
                        </c15:formulaRef>
                      </c:ext>
                    </c:extLst>
                    <c:strCache>
                      <c:ptCount val="34"/>
                      <c:pt idx="0">
                        <c:v>121110 - Opbreken trottoirband </c:v>
                      </c:pt>
                      <c:pt idx="1">
                        <c:v>121120 - Opbreken RWS band</c:v>
                      </c:pt>
                      <c:pt idx="2">
                        <c:v>121140 - Opbreken Opsluitband</c:v>
                      </c:pt>
                      <c:pt idx="3">
                        <c:v>121310 - Opbreken betonstraatstenen</c:v>
                      </c:pt>
                      <c:pt idx="4">
                        <c:v>121320 - Opbreken straatbakstenen en geschikt maken voor hergebruik</c:v>
                      </c:pt>
                      <c:pt idx="5">
                        <c:v>121330 - Opbreken en afvoeren straatbakstenen</c:v>
                      </c:pt>
                      <c:pt idx="6">
                        <c:v>121340 - Opbreken betontegels 300x300x45mm</c:v>
                      </c:pt>
                      <c:pt idx="7">
                        <c:v>121410 - Opbreken en afvoeren asfaltverharding zwart teervrij</c:v>
                      </c:pt>
                      <c:pt idx="8">
                        <c:v>121420 - Opbreken en afvoeren asfaltverharding rood teervrij</c:v>
                      </c:pt>
                      <c:pt idx="9">
                        <c:v>121510 - Opbreken fundering van menggranulaat, 400-200 mm dik</c:v>
                      </c:pt>
                      <c:pt idx="10">
                        <c:v>121520 - Opbreken fundering van slakken 200-400 mm dik</c:v>
                      </c:pt>
                      <c:pt idx="11">
                        <c:v>121310 - Verwijderen en afvoeren kolken, incl aansluitingen</c:v>
                      </c:pt>
                      <c:pt idx="12">
                        <c:v>210010 - Grond ontgraven uit cunet wegen en parkeervakken 0,25 m</c:v>
                      </c:pt>
                      <c:pt idx="13">
                        <c:v>210020 - Grond ontgraven uit sleuf riolering (gerekend met 11,5m3/m1 riool)</c:v>
                      </c:pt>
                      <c:pt idx="14">
                        <c:v>210030 - Grond ontgraven uit plantvak</c:v>
                      </c:pt>
                      <c:pt idx="15">
                        <c:v>220010 - Grond verwerken in sleuf riolering</c:v>
                      </c:pt>
                      <c:pt idx="16">
                        <c:v>220020 - Leveren en aanbrengen zand voor zand (gemiddeld 100 mm)</c:v>
                      </c:pt>
                      <c:pt idx="17">
                        <c:v>322020 - Leveren en aanbrengen rioolbuis van Beton Ø400mm</c:v>
                      </c:pt>
                      <c:pt idx="18">
                        <c:v>322070 - Leveren en aanbrengen rioolbuis van Beton IT Ø400mm</c:v>
                      </c:pt>
                      <c:pt idx="19">
                        <c:v>322100 - Leveren en aanbrengen rioolbuis van Beton IT Ø800mm</c:v>
                      </c:pt>
                      <c:pt idx="20">
                        <c:v>330010 - Leveren en aanbrengen kolken</c:v>
                      </c:pt>
                      <c:pt idx="21">
                        <c:v>420010 - Leveren en aanbrengen fundering menggranulaat, (250mm dik)</c:v>
                      </c:pt>
                      <c:pt idx="22">
                        <c:v>430010 - Leveren en aanbrengen trottoirbanden 180/200x250</c:v>
                      </c:pt>
                      <c:pt idx="23">
                        <c:v>430020 - Leveren en aanbrengen trottoirbanden 130/150x250</c:v>
                      </c:pt>
                      <c:pt idx="24">
                        <c:v>430040 - Leveren en aanbrengen opsluitbanden 100x200</c:v>
                      </c:pt>
                      <c:pt idx="25">
                        <c:v>430050 - Leveren en aanbrengen opsluitbanden 120x250</c:v>
                      </c:pt>
                      <c:pt idx="26">
                        <c:v>440010 - Aanbrengen straatbakstenen DF, Rood (rijweg)</c:v>
                      </c:pt>
                      <c:pt idx="27">
                        <c:v>440020 - Aanbrengen straatbakstenen DF, Geel (rijweg/ plein)</c:v>
                      </c:pt>
                      <c:pt idx="28">
                        <c:v>440030 - Aanbrengen straatbakstenen DF, Rood (parkeervakken)</c:v>
                      </c:pt>
                      <c:pt idx="29">
                        <c:v>440040 - Aanbrengen straatbakstenen DF, Geel (parkeervakken)</c:v>
                      </c:pt>
                      <c:pt idx="30">
                        <c:v>440050 - Leveren en aanbrengen open (grasbeton) verharding (parkeerplaats)</c:v>
                      </c:pt>
                      <c:pt idx="31">
                        <c:v>440060 - Aanbrengen straatbakstenen DF, Rood (trottoir)</c:v>
                      </c:pt>
                      <c:pt idx="32">
                        <c:v>440070 - Aanbrengen straatbakstenen DF, Geel (trottoir)</c:v>
                      </c:pt>
                      <c:pt idx="33">
                        <c:v>440090 - Aanbrengen straatbakstenen DF, Rood (drempelopgang)</c:v>
                      </c:pt>
                    </c:strCache>
                  </c:strRef>
                </c:cat>
                <c:val>
                  <c:numRef>
                    <c:extLst xmlns:c15="http://schemas.microsoft.com/office/drawing/2012/chart">
                      <c:ext xmlns:c15="http://schemas.microsoft.com/office/drawing/2012/chart" uri="{02D57815-91ED-43cb-92C2-25804820EDAC}">
                        <c15:formulaRef>
                          <c15:sqref>Baseline_Backlog!$P$4:$P$103</c15:sqref>
                        </c15:formulaRef>
                      </c:ext>
                    </c:extLst>
                    <c:numCache>
                      <c:formatCode>_([$€-2]\ * #,##0.00_);_([$€-2]\ * \(#,##0.00\);_([$€-2]\ * "-"??_);_(@_)</c:formatCode>
                      <c:ptCount val="34"/>
                      <c:pt idx="0">
                        <c:v>0</c:v>
                      </c:pt>
                      <c:pt idx="1">
                        <c:v>0</c:v>
                      </c:pt>
                      <c:pt idx="2">
                        <c:v>0</c:v>
                      </c:pt>
                      <c:pt idx="3">
                        <c:v>0</c:v>
                      </c:pt>
                      <c:pt idx="4">
                        <c:v>-20479.2</c:v>
                      </c:pt>
                      <c:pt idx="5">
                        <c:v>0</c:v>
                      </c:pt>
                      <c:pt idx="6">
                        <c:v>-537.80549999999994</c:v>
                      </c:pt>
                      <c:pt idx="7">
                        <c:v>0</c:v>
                      </c:pt>
                      <c:pt idx="8">
                        <c:v>0</c:v>
                      </c:pt>
                      <c:pt idx="9">
                        <c:v>0</c:v>
                      </c:pt>
                      <c:pt idx="10">
                        <c:v>0</c:v>
                      </c:pt>
                      <c:pt idx="11">
                        <c:v>-763.56</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numCache>
                  </c:numRef>
                </c:val>
                <c:extLst xmlns:c15="http://schemas.microsoft.com/office/drawing/2012/chart">
                  <c:ext xmlns:c16="http://schemas.microsoft.com/office/drawing/2014/chart" uri="{C3380CC4-5D6E-409C-BE32-E72D297353CC}">
                    <c16:uniqueId val="{00000000-B07D-40BC-B08F-D039489399D6}"/>
                  </c:ext>
                </c:extLst>
              </c15:ser>
            </c15:filteredBarSeries>
            <c15:filteredBarSeries>
              <c15:ser>
                <c:idx val="14"/>
                <c:order val="14"/>
                <c:tx>
                  <c:strRef>
                    <c:extLst xmlns:c15="http://schemas.microsoft.com/office/drawing/2012/chart">
                      <c:ext xmlns:c15="http://schemas.microsoft.com/office/drawing/2012/chart" uri="{02D57815-91ED-43cb-92C2-25804820EDAC}">
                        <c15:formulaRef>
                          <c15:sqref>Baseline_Backlog!$Q$3</c15:sqref>
                        </c15:formulaRef>
                      </c:ext>
                    </c:extLst>
                    <c:strCache>
                      <c:ptCount val="1"/>
                      <c:pt idx="0">
                        <c:v>D2</c:v>
                      </c:pt>
                    </c:strCache>
                  </c:strRef>
                </c:tx>
                <c:spPr>
                  <a:solidFill>
                    <a:srgbClr val="FC8784"/>
                  </a:solidFill>
                  <a:ln>
                    <a:noFill/>
                  </a:ln>
                  <a:effectLst/>
                </c:spPr>
                <c:invertIfNegative val="0"/>
                <c:cat>
                  <c:strRef>
                    <c:extLst xmlns:c15="http://schemas.microsoft.com/office/drawing/2012/chart">
                      <c:ext xmlns:c15="http://schemas.microsoft.com/office/drawing/2012/chart" uri="{02D57815-91ED-43cb-92C2-25804820EDAC}">
                        <c15:formulaRef>
                          <c15:sqref>Baseline_Backlog!$B$4:$B$103</c15:sqref>
                        </c15:formulaRef>
                      </c:ext>
                    </c:extLst>
                    <c:strCache>
                      <c:ptCount val="34"/>
                      <c:pt idx="0">
                        <c:v>121110 - Opbreken trottoirband </c:v>
                      </c:pt>
                      <c:pt idx="1">
                        <c:v>121120 - Opbreken RWS band</c:v>
                      </c:pt>
                      <c:pt idx="2">
                        <c:v>121140 - Opbreken Opsluitband</c:v>
                      </c:pt>
                      <c:pt idx="3">
                        <c:v>121310 - Opbreken betonstraatstenen</c:v>
                      </c:pt>
                      <c:pt idx="4">
                        <c:v>121320 - Opbreken straatbakstenen en geschikt maken voor hergebruik</c:v>
                      </c:pt>
                      <c:pt idx="5">
                        <c:v>121330 - Opbreken en afvoeren straatbakstenen</c:v>
                      </c:pt>
                      <c:pt idx="6">
                        <c:v>121340 - Opbreken betontegels 300x300x45mm</c:v>
                      </c:pt>
                      <c:pt idx="7">
                        <c:v>121410 - Opbreken en afvoeren asfaltverharding zwart teervrij</c:v>
                      </c:pt>
                      <c:pt idx="8">
                        <c:v>121420 - Opbreken en afvoeren asfaltverharding rood teervrij</c:v>
                      </c:pt>
                      <c:pt idx="9">
                        <c:v>121510 - Opbreken fundering van menggranulaat, 400-200 mm dik</c:v>
                      </c:pt>
                      <c:pt idx="10">
                        <c:v>121520 - Opbreken fundering van slakken 200-400 mm dik</c:v>
                      </c:pt>
                      <c:pt idx="11">
                        <c:v>121310 - Verwijderen en afvoeren kolken, incl aansluitingen</c:v>
                      </c:pt>
                      <c:pt idx="12">
                        <c:v>210010 - Grond ontgraven uit cunet wegen en parkeervakken 0,25 m</c:v>
                      </c:pt>
                      <c:pt idx="13">
                        <c:v>210020 - Grond ontgraven uit sleuf riolering (gerekend met 11,5m3/m1 riool)</c:v>
                      </c:pt>
                      <c:pt idx="14">
                        <c:v>210030 - Grond ontgraven uit plantvak</c:v>
                      </c:pt>
                      <c:pt idx="15">
                        <c:v>220010 - Grond verwerken in sleuf riolering</c:v>
                      </c:pt>
                      <c:pt idx="16">
                        <c:v>220020 - Leveren en aanbrengen zand voor zand (gemiddeld 100 mm)</c:v>
                      </c:pt>
                      <c:pt idx="17">
                        <c:v>322020 - Leveren en aanbrengen rioolbuis van Beton Ø400mm</c:v>
                      </c:pt>
                      <c:pt idx="18">
                        <c:v>322070 - Leveren en aanbrengen rioolbuis van Beton IT Ø400mm</c:v>
                      </c:pt>
                      <c:pt idx="19">
                        <c:v>322100 - Leveren en aanbrengen rioolbuis van Beton IT Ø800mm</c:v>
                      </c:pt>
                      <c:pt idx="20">
                        <c:v>330010 - Leveren en aanbrengen kolken</c:v>
                      </c:pt>
                      <c:pt idx="21">
                        <c:v>420010 - Leveren en aanbrengen fundering menggranulaat, (250mm dik)</c:v>
                      </c:pt>
                      <c:pt idx="22">
                        <c:v>430010 - Leveren en aanbrengen trottoirbanden 180/200x250</c:v>
                      </c:pt>
                      <c:pt idx="23">
                        <c:v>430020 - Leveren en aanbrengen trottoirbanden 130/150x250</c:v>
                      </c:pt>
                      <c:pt idx="24">
                        <c:v>430040 - Leveren en aanbrengen opsluitbanden 100x200</c:v>
                      </c:pt>
                      <c:pt idx="25">
                        <c:v>430050 - Leveren en aanbrengen opsluitbanden 120x250</c:v>
                      </c:pt>
                      <c:pt idx="26">
                        <c:v>440010 - Aanbrengen straatbakstenen DF, Rood (rijweg)</c:v>
                      </c:pt>
                      <c:pt idx="27">
                        <c:v>440020 - Aanbrengen straatbakstenen DF, Geel (rijweg/ plein)</c:v>
                      </c:pt>
                      <c:pt idx="28">
                        <c:v>440030 - Aanbrengen straatbakstenen DF, Rood (parkeervakken)</c:v>
                      </c:pt>
                      <c:pt idx="29">
                        <c:v>440040 - Aanbrengen straatbakstenen DF, Geel (parkeervakken)</c:v>
                      </c:pt>
                      <c:pt idx="30">
                        <c:v>440050 - Leveren en aanbrengen open (grasbeton) verharding (parkeerplaats)</c:v>
                      </c:pt>
                      <c:pt idx="31">
                        <c:v>440060 - Aanbrengen straatbakstenen DF, Rood (trottoir)</c:v>
                      </c:pt>
                      <c:pt idx="32">
                        <c:v>440070 - Aanbrengen straatbakstenen DF, Geel (trottoir)</c:v>
                      </c:pt>
                      <c:pt idx="33">
                        <c:v>440090 - Aanbrengen straatbakstenen DF, Rood (drempelopgang)</c:v>
                      </c:pt>
                    </c:strCache>
                  </c:strRef>
                </c:cat>
                <c:val>
                  <c:numRef>
                    <c:extLst xmlns:c15="http://schemas.microsoft.com/office/drawing/2012/chart">
                      <c:ext xmlns:c15="http://schemas.microsoft.com/office/drawing/2012/chart" uri="{02D57815-91ED-43cb-92C2-25804820EDAC}">
                        <c15:formulaRef>
                          <c15:sqref>Baseline_Backlog!$Q$4:$Q$103</c15:sqref>
                        </c15:formulaRef>
                      </c:ext>
                    </c:extLst>
                    <c:numCache>
                      <c:formatCode>_([$€-2]\ * #,##0.00_);_([$€-2]\ * \(#,##0.00\);_([$€-2]\ * "-"??_);_(@_)</c:formatCode>
                      <c:ptCount val="3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numCache>
                  </c:numRef>
                </c:val>
                <c:extLst xmlns:c15="http://schemas.microsoft.com/office/drawing/2012/chart">
                  <c:ext xmlns:c16="http://schemas.microsoft.com/office/drawing/2014/chart" uri="{C3380CC4-5D6E-409C-BE32-E72D297353CC}">
                    <c16:uniqueId val="{00000000-9482-4192-8A89-69C395BEEC79}"/>
                  </c:ext>
                </c:extLst>
              </c15:ser>
            </c15:filteredBarSeries>
            <c15:filteredBarSeries>
              <c15:ser>
                <c:idx val="16"/>
                <c:order val="16"/>
                <c:tx>
                  <c:strRef>
                    <c:extLst xmlns:c15="http://schemas.microsoft.com/office/drawing/2012/chart">
                      <c:ext xmlns:c15="http://schemas.microsoft.com/office/drawing/2012/chart" uri="{02D57815-91ED-43cb-92C2-25804820EDAC}">
                        <c15:formulaRef>
                          <c15:sqref>Baseline_Backlog!$S$3</c15:sqref>
                        </c15:formulaRef>
                      </c:ext>
                    </c:extLst>
                    <c:strCache>
                      <c:ptCount val="1"/>
                      <c:pt idx="0">
                        <c:v>Totaal</c:v>
                      </c:pt>
                    </c:strCache>
                  </c:strRef>
                </c:tx>
                <c:spPr>
                  <a:gradFill rotWithShape="1">
                    <a:gsLst>
                      <a:gs pos="0">
                        <a:schemeClr val="accent5">
                          <a:lumMod val="80000"/>
                          <a:lumOff val="20000"/>
                          <a:satMod val="103000"/>
                          <a:lumMod val="102000"/>
                          <a:tint val="94000"/>
                        </a:schemeClr>
                      </a:gs>
                      <a:gs pos="50000">
                        <a:schemeClr val="accent5">
                          <a:lumMod val="80000"/>
                          <a:lumOff val="20000"/>
                          <a:satMod val="110000"/>
                          <a:lumMod val="100000"/>
                          <a:shade val="100000"/>
                        </a:schemeClr>
                      </a:gs>
                      <a:gs pos="100000">
                        <a:schemeClr val="accent5">
                          <a:lumMod val="80000"/>
                          <a:lumOff val="20000"/>
                          <a:lumMod val="99000"/>
                          <a:satMod val="120000"/>
                          <a:shade val="78000"/>
                        </a:schemeClr>
                      </a:gs>
                    </a:gsLst>
                    <a:lin ang="5400000" scaled="0"/>
                  </a:gradFill>
                  <a:ln>
                    <a:noFill/>
                  </a:ln>
                  <a:effectLst/>
                </c:spPr>
                <c:invertIfNegative val="0"/>
                <c:cat>
                  <c:strRef>
                    <c:extLst xmlns:c15="http://schemas.microsoft.com/office/drawing/2012/chart">
                      <c:ext xmlns:c15="http://schemas.microsoft.com/office/drawing/2012/chart" uri="{02D57815-91ED-43cb-92C2-25804820EDAC}">
                        <c15:formulaRef>
                          <c15:sqref>Baseline_Backlog!$B$4:$B$103</c15:sqref>
                        </c15:formulaRef>
                      </c:ext>
                    </c:extLst>
                    <c:strCache>
                      <c:ptCount val="34"/>
                      <c:pt idx="0">
                        <c:v>121110 - Opbreken trottoirband </c:v>
                      </c:pt>
                      <c:pt idx="1">
                        <c:v>121120 - Opbreken RWS band</c:v>
                      </c:pt>
                      <c:pt idx="2">
                        <c:v>121140 - Opbreken Opsluitband</c:v>
                      </c:pt>
                      <c:pt idx="3">
                        <c:v>121310 - Opbreken betonstraatstenen</c:v>
                      </c:pt>
                      <c:pt idx="4">
                        <c:v>121320 - Opbreken straatbakstenen en geschikt maken voor hergebruik</c:v>
                      </c:pt>
                      <c:pt idx="5">
                        <c:v>121330 - Opbreken en afvoeren straatbakstenen</c:v>
                      </c:pt>
                      <c:pt idx="6">
                        <c:v>121340 - Opbreken betontegels 300x300x45mm</c:v>
                      </c:pt>
                      <c:pt idx="7">
                        <c:v>121410 - Opbreken en afvoeren asfaltverharding zwart teervrij</c:v>
                      </c:pt>
                      <c:pt idx="8">
                        <c:v>121420 - Opbreken en afvoeren asfaltverharding rood teervrij</c:v>
                      </c:pt>
                      <c:pt idx="9">
                        <c:v>121510 - Opbreken fundering van menggranulaat, 400-200 mm dik</c:v>
                      </c:pt>
                      <c:pt idx="10">
                        <c:v>121520 - Opbreken fundering van slakken 200-400 mm dik</c:v>
                      </c:pt>
                      <c:pt idx="11">
                        <c:v>121310 - Verwijderen en afvoeren kolken, incl aansluitingen</c:v>
                      </c:pt>
                      <c:pt idx="12">
                        <c:v>210010 - Grond ontgraven uit cunet wegen en parkeervakken 0,25 m</c:v>
                      </c:pt>
                      <c:pt idx="13">
                        <c:v>210020 - Grond ontgraven uit sleuf riolering (gerekend met 11,5m3/m1 riool)</c:v>
                      </c:pt>
                      <c:pt idx="14">
                        <c:v>210030 - Grond ontgraven uit plantvak</c:v>
                      </c:pt>
                      <c:pt idx="15">
                        <c:v>220010 - Grond verwerken in sleuf riolering</c:v>
                      </c:pt>
                      <c:pt idx="16">
                        <c:v>220020 - Leveren en aanbrengen zand voor zand (gemiddeld 100 mm)</c:v>
                      </c:pt>
                      <c:pt idx="17">
                        <c:v>322020 - Leveren en aanbrengen rioolbuis van Beton Ø400mm</c:v>
                      </c:pt>
                      <c:pt idx="18">
                        <c:v>322070 - Leveren en aanbrengen rioolbuis van Beton IT Ø400mm</c:v>
                      </c:pt>
                      <c:pt idx="19">
                        <c:v>322100 - Leveren en aanbrengen rioolbuis van Beton IT Ø800mm</c:v>
                      </c:pt>
                      <c:pt idx="20">
                        <c:v>330010 - Leveren en aanbrengen kolken</c:v>
                      </c:pt>
                      <c:pt idx="21">
                        <c:v>420010 - Leveren en aanbrengen fundering menggranulaat, (250mm dik)</c:v>
                      </c:pt>
                      <c:pt idx="22">
                        <c:v>430010 - Leveren en aanbrengen trottoirbanden 180/200x250</c:v>
                      </c:pt>
                      <c:pt idx="23">
                        <c:v>430020 - Leveren en aanbrengen trottoirbanden 130/150x250</c:v>
                      </c:pt>
                      <c:pt idx="24">
                        <c:v>430040 - Leveren en aanbrengen opsluitbanden 100x200</c:v>
                      </c:pt>
                      <c:pt idx="25">
                        <c:v>430050 - Leveren en aanbrengen opsluitbanden 120x250</c:v>
                      </c:pt>
                      <c:pt idx="26">
                        <c:v>440010 - Aanbrengen straatbakstenen DF, Rood (rijweg)</c:v>
                      </c:pt>
                      <c:pt idx="27">
                        <c:v>440020 - Aanbrengen straatbakstenen DF, Geel (rijweg/ plein)</c:v>
                      </c:pt>
                      <c:pt idx="28">
                        <c:v>440030 - Aanbrengen straatbakstenen DF, Rood (parkeervakken)</c:v>
                      </c:pt>
                      <c:pt idx="29">
                        <c:v>440040 - Aanbrengen straatbakstenen DF, Geel (parkeervakken)</c:v>
                      </c:pt>
                      <c:pt idx="30">
                        <c:v>440050 - Leveren en aanbrengen open (grasbeton) verharding (parkeerplaats)</c:v>
                      </c:pt>
                      <c:pt idx="31">
                        <c:v>440060 - Aanbrengen straatbakstenen DF, Rood (trottoir)</c:v>
                      </c:pt>
                      <c:pt idx="32">
                        <c:v>440070 - Aanbrengen straatbakstenen DF, Geel (trottoir)</c:v>
                      </c:pt>
                      <c:pt idx="33">
                        <c:v>440090 - Aanbrengen straatbakstenen DF, Rood (drempelopgang)</c:v>
                      </c:pt>
                    </c:strCache>
                  </c:strRef>
                </c:cat>
                <c:val>
                  <c:numRef>
                    <c:extLst xmlns:c15="http://schemas.microsoft.com/office/drawing/2012/chart">
                      <c:ext xmlns:c15="http://schemas.microsoft.com/office/drawing/2012/chart" uri="{02D57815-91ED-43cb-92C2-25804820EDAC}">
                        <c15:formulaRef>
                          <c15:sqref>Baseline_Backlog!$S$4:$S$103</c15:sqref>
                        </c15:formulaRef>
                      </c:ext>
                    </c:extLst>
                    <c:numCache>
                      <c:formatCode>_([$€-2]\ * #,##0_);_([$€-2]\ * \(#,##0\);_([$€-2]\ * "-"??_);_(@_)</c:formatCode>
                      <c:ptCount val="34"/>
                      <c:pt idx="0">
                        <c:v>355.0918195196474</c:v>
                      </c:pt>
                      <c:pt idx="1">
                        <c:v>36.321211546811988</c:v>
                      </c:pt>
                      <c:pt idx="2">
                        <c:v>126.38939022336237</c:v>
                      </c:pt>
                      <c:pt idx="3">
                        <c:v>133.48266078977426</c:v>
                      </c:pt>
                      <c:pt idx="4">
                        <c:v>-19547.98104244615</c:v>
                      </c:pt>
                      <c:pt idx="5">
                        <c:v>1579.2221584532801</c:v>
                      </c:pt>
                      <c:pt idx="6">
                        <c:v>1853.7022524776125</c:v>
                      </c:pt>
                      <c:pt idx="7">
                        <c:v>-4879.9576903028428</c:v>
                      </c:pt>
                      <c:pt idx="8">
                        <c:v>-7022.3414546145914</c:v>
                      </c:pt>
                      <c:pt idx="9">
                        <c:v>1086.1595366783333</c:v>
                      </c:pt>
                      <c:pt idx="10">
                        <c:v>315.71176392000007</c:v>
                      </c:pt>
                      <c:pt idx="11">
                        <c:v>-158.18094360012014</c:v>
                      </c:pt>
                      <c:pt idx="12">
                        <c:v>1878.9994314283333</c:v>
                      </c:pt>
                      <c:pt idx="13">
                        <c:v>3113.1047662312499</c:v>
                      </c:pt>
                      <c:pt idx="14">
                        <c:v>1753.2337324323335</c:v>
                      </c:pt>
                      <c:pt idx="15">
                        <c:v>4699.89820243125</c:v>
                      </c:pt>
                      <c:pt idx="16">
                        <c:v>6647.63709715</c:v>
                      </c:pt>
                      <c:pt idx="17">
                        <c:v>861.21217482953978</c:v>
                      </c:pt>
                      <c:pt idx="18">
                        <c:v>681.79297174005239</c:v>
                      </c:pt>
                      <c:pt idx="19">
                        <c:v>7146.2479523255643</c:v>
                      </c:pt>
                      <c:pt idx="20">
                        <c:v>2175.3884069049918</c:v>
                      </c:pt>
                      <c:pt idx="21">
                        <c:v>5535.9348318299999</c:v>
                      </c:pt>
                      <c:pt idx="22">
                        <c:v>79.690498421694912</c:v>
                      </c:pt>
                      <c:pt idx="23">
                        <c:v>260.85919952998881</c:v>
                      </c:pt>
                      <c:pt idx="24">
                        <c:v>1060.3991335213143</c:v>
                      </c:pt>
                      <c:pt idx="25">
                        <c:v>1580.0025424838882</c:v>
                      </c:pt>
                      <c:pt idx="26">
                        <c:v>18716.269727621901</c:v>
                      </c:pt>
                      <c:pt idx="27">
                        <c:v>27708.444010166499</c:v>
                      </c:pt>
                      <c:pt idx="28">
                        <c:v>1867.1458227875</c:v>
                      </c:pt>
                      <c:pt idx="29">
                        <c:v>2121.0776546866</c:v>
                      </c:pt>
                      <c:pt idx="30">
                        <c:v>2759.4254933762427</c:v>
                      </c:pt>
                      <c:pt idx="31">
                        <c:v>13114.832259259401</c:v>
                      </c:pt>
                      <c:pt idx="32">
                        <c:v>3435.548313929</c:v>
                      </c:pt>
                      <c:pt idx="33">
                        <c:v>672.17249620349992</c:v>
                      </c:pt>
                    </c:numCache>
                  </c:numRef>
                </c:val>
                <c:extLst xmlns:c15="http://schemas.microsoft.com/office/drawing/2012/chart">
                  <c:ext xmlns:c16="http://schemas.microsoft.com/office/drawing/2014/chart" uri="{C3380CC4-5D6E-409C-BE32-E72D297353CC}">
                    <c16:uniqueId val="{00000002-9482-4192-8A89-69C395BEEC79}"/>
                  </c:ext>
                </c:extLst>
              </c15:ser>
            </c15:filteredBarSeries>
          </c:ext>
        </c:extLst>
      </c:barChart>
      <c:catAx>
        <c:axId val="1339988456"/>
        <c:scaling>
          <c:orientation val="minMax"/>
        </c:scaling>
        <c:delete val="0"/>
        <c:axPos val="l"/>
        <c:numFmt formatCode="General" sourceLinked="1"/>
        <c:majorTickMark val="none"/>
        <c:minorTickMark val="none"/>
        <c:tickLblPos val="nextTo"/>
        <c:spPr>
          <a:noFill/>
          <a:ln w="9525" cap="flat" cmpd="sng" algn="ctr">
            <a:solidFill>
              <a:schemeClr val="tx2">
                <a:lumMod val="15000"/>
                <a:lumOff val="85000"/>
              </a:schemeClr>
            </a:solidFill>
            <a:round/>
          </a:ln>
          <a:effectLst/>
        </c:spPr>
        <c:txPr>
          <a:bodyPr rot="-60000000" spcFirstLastPara="1" vertOverflow="ellipsis" vert="horz" wrap="square" anchor="ctr" anchorCtr="1"/>
          <a:lstStyle/>
          <a:p>
            <a:pPr>
              <a:defRPr sz="1050" b="1" i="0" u="none" strike="noStrike" kern="1200" baseline="0">
                <a:solidFill>
                  <a:sysClr val="windowText" lastClr="000000"/>
                </a:solidFill>
                <a:latin typeface="+mn-lt"/>
                <a:ea typeface="+mn-ea"/>
                <a:cs typeface="+mn-cs"/>
              </a:defRPr>
            </a:pPr>
            <a:endParaRPr lang="en-US"/>
          </a:p>
        </c:txPr>
        <c:crossAx val="1339988784"/>
        <c:crosses val="autoZero"/>
        <c:auto val="1"/>
        <c:lblAlgn val="ctr"/>
        <c:lblOffset val="100"/>
        <c:noMultiLvlLbl val="0"/>
      </c:catAx>
      <c:valAx>
        <c:axId val="1339988784"/>
        <c:scaling>
          <c:orientation val="minMax"/>
        </c:scaling>
        <c:delete val="0"/>
        <c:axPos val="b"/>
        <c:majorGridlines>
          <c:spPr>
            <a:ln w="9525" cap="flat" cmpd="sng" algn="ctr">
              <a:solidFill>
                <a:schemeClr val="tx2">
                  <a:lumMod val="15000"/>
                  <a:lumOff val="85000"/>
                </a:schemeClr>
              </a:solidFill>
              <a:round/>
            </a:ln>
            <a:effectLst/>
          </c:spPr>
        </c:majorGridlines>
        <c:numFmt formatCode="_([$€-2]\ * #,##0.00_);_([$€-2]\ * \(#,##0.00\);_([$€-2]\ *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en-US"/>
          </a:p>
        </c:txPr>
        <c:crossAx val="133998845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0" i="0" u="none" strike="noStrike" kern="1200" baseline="0">
              <a:solidFill>
                <a:schemeClr val="tx2"/>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cap="all" spc="50" baseline="0">
                <a:solidFill>
                  <a:schemeClr val="tx1">
                    <a:lumMod val="65000"/>
                    <a:lumOff val="35000"/>
                  </a:schemeClr>
                </a:solidFill>
                <a:latin typeface="+mn-lt"/>
                <a:ea typeface="+mn-ea"/>
                <a:cs typeface="+mn-cs"/>
              </a:defRPr>
            </a:pPr>
            <a:r>
              <a:rPr lang="nl-NL"/>
              <a:t>MKI per levensfase</a:t>
            </a:r>
            <a:br>
              <a:rPr lang="nl-NL"/>
            </a:br>
            <a:r>
              <a:rPr lang="nl-NL"/>
              <a:t>(Excl.</a:t>
            </a:r>
            <a:r>
              <a:rPr lang="nl-NL" baseline="0"/>
              <a:t> module D)</a:t>
            </a:r>
            <a:endParaRPr lang="nl-NL"/>
          </a:p>
        </c:rich>
      </c:tx>
      <c:overlay val="0"/>
      <c:spPr>
        <a:noFill/>
        <a:ln>
          <a:noFill/>
        </a:ln>
        <a:effectLst/>
      </c:spPr>
      <c:txPr>
        <a:bodyPr rot="0" spcFirstLastPara="1" vertOverflow="ellipsis" vert="horz" wrap="square" anchor="ctr" anchorCtr="1"/>
        <a:lstStyle/>
        <a:p>
          <a:pPr>
            <a:defRPr sz="1400" b="1" i="0" u="none" strike="noStrike" kern="1200" cap="all" spc="50" baseline="0">
              <a:solidFill>
                <a:schemeClr val="tx1">
                  <a:lumMod val="65000"/>
                  <a:lumOff val="35000"/>
                </a:schemeClr>
              </a:solidFill>
              <a:latin typeface="+mn-lt"/>
              <a:ea typeface="+mn-ea"/>
              <a:cs typeface="+mn-cs"/>
            </a:defRPr>
          </a:pPr>
          <a:endParaRPr lang="en-US"/>
        </a:p>
      </c:txPr>
    </c:title>
    <c:autoTitleDeleted val="0"/>
    <c:plotArea>
      <c:layout/>
      <c:pieChart>
        <c:varyColors val="1"/>
        <c:ser>
          <c:idx val="9"/>
          <c:order val="0"/>
          <c:tx>
            <c:strRef>
              <c:f>Optimalisatie_Backlog!$B$104</c:f>
              <c:strCache>
                <c:ptCount val="1"/>
                <c:pt idx="0">
                  <c:v>Totaal</c:v>
                </c:pt>
              </c:strCache>
            </c:strRef>
          </c:tx>
          <c:dPt>
            <c:idx val="0"/>
            <c:bubble3D val="0"/>
            <c:spPr>
              <a:solidFill>
                <a:srgbClr val="002060"/>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13-755A-408A-82FF-0A2C9519D9DD}"/>
              </c:ext>
            </c:extLst>
          </c:dPt>
          <c:dPt>
            <c:idx val="1"/>
            <c:bubble3D val="0"/>
            <c:spPr>
              <a:solidFill>
                <a:schemeClr val="accent2"/>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15-755A-408A-82FF-0A2C9519D9DD}"/>
              </c:ext>
            </c:extLst>
          </c:dPt>
          <c:dPt>
            <c:idx val="2"/>
            <c:bubble3D val="0"/>
            <c:spPr>
              <a:solidFill>
                <a:schemeClr val="accent6"/>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17-755A-408A-82FF-0A2C9519D9DD}"/>
              </c:ext>
            </c:extLst>
          </c:dPt>
          <c:dPt>
            <c:idx val="3"/>
            <c:bubble3D val="0"/>
            <c:spPr>
              <a:solidFill>
                <a:schemeClr val="bg2">
                  <a:lumMod val="50000"/>
                </a:schemeClr>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7-9BF8-4290-9B6B-9299FCD0AB17}"/>
              </c:ext>
            </c:extLst>
          </c:dPt>
          <c:dPt>
            <c:idx val="4"/>
            <c:bubble3D val="0"/>
            <c:spPr>
              <a:solidFill>
                <a:schemeClr val="tx1">
                  <a:lumMod val="75000"/>
                  <a:lumOff val="25000"/>
                </a:schemeClr>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9-9BF8-4290-9B6B-9299FCD0AB17}"/>
              </c:ext>
            </c:extLst>
          </c:dPt>
          <c:dPt>
            <c:idx val="5"/>
            <c:bubble3D val="0"/>
            <c:spPr>
              <a:solidFill>
                <a:schemeClr val="accent6">
                  <a:lumMod val="50000"/>
                </a:schemeClr>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B-9BF8-4290-9B6B-9299FCD0AB17}"/>
              </c:ext>
            </c:extLst>
          </c:dPt>
          <c:dPt>
            <c:idx val="6"/>
            <c:bubble3D val="0"/>
            <c:spPr>
              <a:solidFill>
                <a:schemeClr val="accent2">
                  <a:lumMod val="50000"/>
                </a:schemeClr>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D-9BF8-4290-9B6B-9299FCD0AB17}"/>
              </c:ext>
            </c:extLst>
          </c:dPt>
          <c:dPt>
            <c:idx val="7"/>
            <c:bubble3D val="0"/>
            <c:spPr>
              <a:solidFill>
                <a:schemeClr val="accent4">
                  <a:lumMod val="75000"/>
                </a:schemeClr>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F-9BF8-4290-9B6B-9299FCD0AB17}"/>
              </c:ext>
            </c:extLst>
          </c:dPt>
          <c:dPt>
            <c:idx val="8"/>
            <c:bubble3D val="0"/>
            <c:spPr>
              <a:solidFill>
                <a:schemeClr val="bg2">
                  <a:lumMod val="90000"/>
                </a:schemeClr>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11-9BF8-4290-9B6B-9299FCD0AB17}"/>
              </c:ext>
            </c:extLst>
          </c:dPt>
          <c:dLbls>
            <c:dLbl>
              <c:idx val="2"/>
              <c:layout>
                <c:manualLayout>
                  <c:x val="6.5586975371076814E-2"/>
                  <c:y val="5.3108767899119544E-2"/>
                </c:manualLayout>
              </c:layout>
              <c:dLblPos val="bestFit"/>
              <c:showLegendKey val="0"/>
              <c:showVal val="0"/>
              <c:showCatName val="0"/>
              <c:showSerName val="0"/>
              <c:showPercent val="1"/>
              <c:showBubbleSize val="0"/>
              <c:extLst xmlns:c15="http://schemas.microsoft.com/office/drawing/2012/chart">
                <c:ext xmlns:c15="http://schemas.microsoft.com/office/drawing/2012/chart" uri="{CE6537A1-D6FC-4f65-9D91-7224C49458BB}"/>
                <c:ext xmlns:c16="http://schemas.microsoft.com/office/drawing/2014/chart" uri="{C3380CC4-5D6E-409C-BE32-E72D297353CC}">
                  <c16:uniqueId val="{00000017-755A-408A-82FF-0A2C9519D9DD}"/>
                </c:ext>
              </c:extLst>
            </c:dLbl>
            <c:dLbl>
              <c:idx val="3"/>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7-9BF8-4290-9B6B-9299FCD0AB17}"/>
                </c:ext>
              </c:extLst>
            </c:dLbl>
            <c:dLbl>
              <c:idx val="4"/>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9-9BF8-4290-9B6B-9299FCD0AB17}"/>
                </c:ext>
              </c:extLst>
            </c:dLbl>
            <c:dLbl>
              <c:idx val="5"/>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B-9BF8-4290-9B6B-9299FCD0AB17}"/>
                </c:ext>
              </c:extLst>
            </c:dLbl>
            <c:dLbl>
              <c:idx val="6"/>
              <c:layout>
                <c:manualLayout>
                  <c:x val="3.0205697989121882E-2"/>
                  <c:y val="0.15480333288188536"/>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D-9BF8-4290-9B6B-9299FCD0AB17}"/>
                </c:ext>
              </c:extLst>
            </c:dLbl>
            <c:dLbl>
              <c:idx val="7"/>
              <c:delete val="1"/>
              <c:extLst>
                <c:ext xmlns:c15="http://schemas.microsoft.com/office/drawing/2012/chart" uri="{CE6537A1-D6FC-4f65-9D91-7224C49458BB}"/>
                <c:ext xmlns:c16="http://schemas.microsoft.com/office/drawing/2014/chart" uri="{C3380CC4-5D6E-409C-BE32-E72D297353CC}">
                  <c16:uniqueId val="{0000000F-9BF8-4290-9B6B-9299FCD0AB17}"/>
                </c:ext>
              </c:extLst>
            </c:dLbl>
            <c:dLbl>
              <c:idx val="8"/>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11-9BF8-4290-9B6B-9299FCD0AB17}"/>
                </c:ext>
              </c:extLst>
            </c:dLbl>
            <c:spPr>
              <a:noFill/>
              <a:ln>
                <a:noFill/>
              </a:ln>
              <a:effectLst/>
            </c:spPr>
            <c:txPr>
              <a:bodyPr rot="0" spcFirstLastPara="1" vertOverflow="ellipsis" vert="horz" wrap="square" lIns="38100" tIns="19050" rIns="38100" bIns="19050" anchor="ctr" anchorCtr="1">
                <a:spAutoFit/>
              </a:bodyPr>
              <a:lstStyle/>
              <a:p>
                <a:pPr>
                  <a:defRPr sz="1600" b="1" i="0" u="none" strike="noStrike" kern="1200" baseline="0">
                    <a:solidFill>
                      <a:schemeClr val="lt1"/>
                    </a:solidFill>
                    <a:latin typeface="+mn-lt"/>
                    <a:ea typeface="+mn-ea"/>
                    <a:cs typeface="+mn-cs"/>
                  </a:defRPr>
                </a:pPr>
                <a:endParaRPr lang="en-US"/>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xmlns:c15="http://schemas.microsoft.com/office/drawing/2012/chart">
              <c:ext xmlns:c15="http://schemas.microsoft.com/office/drawing/2012/chart" uri="{CE6537A1-D6FC-4f65-9D91-7224C49458BB}"/>
            </c:extLst>
          </c:dLbls>
          <c:cat>
            <c:strRef>
              <c:extLst>
                <c:ext xmlns:c15="http://schemas.microsoft.com/office/drawing/2012/chart" uri="{02D57815-91ED-43cb-92C2-25804820EDAC}">
                  <c15:fullRef>
                    <c15:sqref>Optimalisatie_Backlog!$G$3:$O$3</c15:sqref>
                  </c15:fullRef>
                </c:ext>
              </c:extLst>
              <c:f>Optimalisatie_Backlog!$G$3:$O$3</c:f>
              <c:strCache>
                <c:ptCount val="9"/>
                <c:pt idx="0">
                  <c:v>A1-A3</c:v>
                </c:pt>
                <c:pt idx="1">
                  <c:v>A4</c:v>
                </c:pt>
                <c:pt idx="2">
                  <c:v>A5</c:v>
                </c:pt>
                <c:pt idx="3">
                  <c:v>B1</c:v>
                </c:pt>
                <c:pt idx="4">
                  <c:v>B4</c:v>
                </c:pt>
                <c:pt idx="5">
                  <c:v>C1</c:v>
                </c:pt>
                <c:pt idx="6">
                  <c:v>C2</c:v>
                </c:pt>
                <c:pt idx="7">
                  <c:v>C3</c:v>
                </c:pt>
                <c:pt idx="8">
                  <c:v>C4</c:v>
                </c:pt>
              </c:strCache>
            </c:strRef>
          </c:cat>
          <c:val>
            <c:numRef>
              <c:extLst>
                <c:ext xmlns:c15="http://schemas.microsoft.com/office/drawing/2012/chart" uri="{02D57815-91ED-43cb-92C2-25804820EDAC}">
                  <c15:fullRef>
                    <c15:sqref>Optimalisatie_Backlog!$G$104:$O$104</c15:sqref>
                  </c15:fullRef>
                </c:ext>
              </c:extLst>
              <c:f>Optimalisatie_Backlog!$G$104:$O$104</c:f>
              <c:numCache>
                <c:formatCode>_([$€-2]\ * #,##0_);_([$€-2]\ * \(#,##0\);_([$€-2]\ * "-"??_);_(@_)</c:formatCode>
                <c:ptCount val="9"/>
                <c:pt idx="0">
                  <c:v>71139.94975</c:v>
                </c:pt>
                <c:pt idx="1">
                  <c:v>5614.0799392869967</c:v>
                </c:pt>
                <c:pt idx="2">
                  <c:v>24369.94909991193</c:v>
                </c:pt>
                <c:pt idx="3">
                  <c:v>0</c:v>
                </c:pt>
                <c:pt idx="4">
                  <c:v>0</c:v>
                </c:pt>
                <c:pt idx="5">
                  <c:v>6661.7814402061194</c:v>
                </c:pt>
                <c:pt idx="6">
                  <c:v>5961.5821132961337</c:v>
                </c:pt>
                <c:pt idx="7">
                  <c:v>1809.0630398004366</c:v>
                </c:pt>
                <c:pt idx="8">
                  <c:v>1127.5805425600001</c:v>
                </c:pt>
              </c:numCache>
            </c:numRef>
          </c:val>
          <c:extLst xmlns:c15="http://schemas.microsoft.com/office/drawing/2012/chart">
            <c:ext xmlns:c16="http://schemas.microsoft.com/office/drawing/2014/chart" uri="{C3380CC4-5D6E-409C-BE32-E72D297353CC}">
              <c16:uniqueId val="{00000014-1673-4F01-B26D-E41FD33825D2}"/>
            </c:ext>
          </c:extLst>
        </c:ser>
        <c:ser>
          <c:idx val="19"/>
          <c:order val="1"/>
          <c:tx>
            <c:strRef>
              <c:f>Optimalisatie_Backlog!$B$23</c:f>
              <c:strCache>
                <c:ptCount val="1"/>
                <c:pt idx="0">
                  <c:v>322100 - Leveren en aanbrengen rioolbuis van Beton IT Ø800mm</c:v>
                </c:pt>
              </c:strCache>
            </c:strRef>
          </c:tx>
          <c:dPt>
            <c:idx val="0"/>
            <c:bubble3D val="0"/>
            <c:spPr>
              <a:solidFill>
                <a:schemeClr val="accent1"/>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13-4522-4A09-AED6-B5FF71AE0B9C}"/>
              </c:ext>
            </c:extLst>
          </c:dPt>
          <c:dPt>
            <c:idx val="1"/>
            <c:bubble3D val="0"/>
            <c:spPr>
              <a:solidFill>
                <a:schemeClr val="accent2"/>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15-4522-4A09-AED6-B5FF71AE0B9C}"/>
              </c:ext>
            </c:extLst>
          </c:dPt>
          <c:dPt>
            <c:idx val="2"/>
            <c:bubble3D val="0"/>
            <c:spPr>
              <a:solidFill>
                <a:schemeClr val="accent3"/>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17-4522-4A09-AED6-B5FF71AE0B9C}"/>
              </c:ext>
            </c:extLst>
          </c:dPt>
          <c:dPt>
            <c:idx val="3"/>
            <c:bubble3D val="0"/>
            <c:spPr>
              <a:solidFill>
                <a:schemeClr val="accent4"/>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19-4522-4A09-AED6-B5FF71AE0B9C}"/>
              </c:ext>
            </c:extLst>
          </c:dPt>
          <c:dPt>
            <c:idx val="4"/>
            <c:bubble3D val="0"/>
            <c:spPr>
              <a:solidFill>
                <a:schemeClr val="accent5"/>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1B-4522-4A09-AED6-B5FF71AE0B9C}"/>
              </c:ext>
            </c:extLst>
          </c:dPt>
          <c:dPt>
            <c:idx val="5"/>
            <c:bubble3D val="0"/>
            <c:spPr>
              <a:solidFill>
                <a:schemeClr val="accent6"/>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1D-4522-4A09-AED6-B5FF71AE0B9C}"/>
              </c:ext>
            </c:extLst>
          </c:dPt>
          <c:dPt>
            <c:idx val="6"/>
            <c:bubble3D val="0"/>
            <c:spPr>
              <a:solidFill>
                <a:schemeClr val="accent1">
                  <a:lumMod val="60000"/>
                </a:schemeClr>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1F-4522-4A09-AED6-B5FF71AE0B9C}"/>
              </c:ext>
            </c:extLst>
          </c:dPt>
          <c:dPt>
            <c:idx val="7"/>
            <c:bubble3D val="0"/>
            <c:spPr>
              <a:solidFill>
                <a:schemeClr val="accent2">
                  <a:lumMod val="60000"/>
                </a:schemeClr>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21-4522-4A09-AED6-B5FF71AE0B9C}"/>
              </c:ext>
            </c:extLst>
          </c:dPt>
          <c:dPt>
            <c:idx val="8"/>
            <c:bubble3D val="0"/>
            <c:spPr>
              <a:solidFill>
                <a:schemeClr val="accent3">
                  <a:lumMod val="60000"/>
                </a:schemeClr>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23-4522-4A09-AED6-B5FF71AE0B9C}"/>
              </c:ext>
            </c:extLst>
          </c:dPt>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n-US"/>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extLst>
                <c:ext xmlns:c15="http://schemas.microsoft.com/office/drawing/2012/chart" uri="{02D57815-91ED-43cb-92C2-25804820EDAC}">
                  <c15:fullRef>
                    <c15:sqref>Optimalisatie_Backlog!$G$3:$O$3</c15:sqref>
                  </c15:fullRef>
                </c:ext>
              </c:extLst>
              <c:f>Optimalisatie_Backlog!$G$3:$O$3</c:f>
              <c:strCache>
                <c:ptCount val="9"/>
                <c:pt idx="0">
                  <c:v>A1-A3</c:v>
                </c:pt>
                <c:pt idx="1">
                  <c:v>A4</c:v>
                </c:pt>
                <c:pt idx="2">
                  <c:v>A5</c:v>
                </c:pt>
                <c:pt idx="3">
                  <c:v>B1</c:v>
                </c:pt>
                <c:pt idx="4">
                  <c:v>B4</c:v>
                </c:pt>
                <c:pt idx="5">
                  <c:v>C1</c:v>
                </c:pt>
                <c:pt idx="6">
                  <c:v>C2</c:v>
                </c:pt>
                <c:pt idx="7">
                  <c:v>C3</c:v>
                </c:pt>
                <c:pt idx="8">
                  <c:v>C4</c:v>
                </c:pt>
              </c:strCache>
            </c:strRef>
          </c:cat>
          <c:val>
            <c:numRef>
              <c:extLst>
                <c:ext xmlns:c15="http://schemas.microsoft.com/office/drawing/2012/chart" uri="{02D57815-91ED-43cb-92C2-25804820EDAC}">
                  <c15:fullRef>
                    <c15:sqref>Optimalisatie_Backlog!$C$23:$S$23</c15:sqref>
                  </c15:fullRef>
                </c:ext>
              </c:extLst>
              <c:f>Optimalisatie_Backlog!$C$23:$K$23</c:f>
              <c:numCache>
                <c:formatCode>_([$€-2]\ * #,##0.00_);_([$€-2]\ * \(#,##0.00\);_([$€-2]\ * "-"??_);_(@_)</c:formatCode>
                <c:ptCount val="9"/>
                <c:pt idx="0">
                  <c:v>0</c:v>
                </c:pt>
                <c:pt idx="1">
                  <c:v>5825.0324999999993</c:v>
                </c:pt>
                <c:pt idx="2">
                  <c:v>0</c:v>
                </c:pt>
                <c:pt idx="3">
                  <c:v>0</c:v>
                </c:pt>
                <c:pt idx="4">
                  <c:v>5825.0324999999993</c:v>
                </c:pt>
                <c:pt idx="5">
                  <c:v>258.3501614342</c:v>
                </c:pt>
                <c:pt idx="6">
                  <c:v>1062.865290891365</c:v>
                </c:pt>
                <c:pt idx="8">
                  <c:v>0</c:v>
                </c:pt>
              </c:numCache>
            </c:numRef>
          </c:val>
          <c:extLst>
            <c:ext xmlns:c15="http://schemas.microsoft.com/office/drawing/2012/chart" uri="{02D57815-91ED-43cb-92C2-25804820EDAC}">
              <c15:categoryFilterExceptions>
                <c15:categoryFilterException>
                  <c15:sqref>Optimalisatie_Backlog!$L$23</c15:sqref>
                  <c15:spPr xmlns:c15="http://schemas.microsoft.com/office/drawing/2012/chart">
                    <a:solidFill>
                      <a:schemeClr val="accent4">
                        <a:lumMod val="60000"/>
                      </a:schemeClr>
                    </a:solidFill>
                    <a:ln>
                      <a:noFill/>
                    </a:ln>
                    <a:effectLst/>
                    <a:scene3d>
                      <a:camera prst="orthographicFront"/>
                      <a:lightRig rig="brightRoom" dir="t"/>
                    </a:scene3d>
                    <a:sp3d prstMaterial="flat">
                      <a:bevelT w="50800" h="101600" prst="angle"/>
                      <a:contourClr>
                        <a:srgbClr val="000000"/>
                      </a:contourClr>
                    </a:sp3d>
                  </c15:spPr>
                  <c15:bubble3D val="0"/>
                </c15:categoryFilterException>
                <c15:categoryFilterException>
                  <c15:sqref>Optimalisatie_Backlog!$M$23</c15:sqref>
                  <c15:spPr xmlns:c15="http://schemas.microsoft.com/office/drawing/2012/chart">
                    <a:solidFill>
                      <a:schemeClr val="accent5">
                        <a:lumMod val="60000"/>
                      </a:schemeClr>
                    </a:solidFill>
                    <a:ln>
                      <a:noFill/>
                    </a:ln>
                    <a:effectLst/>
                    <a:scene3d>
                      <a:camera prst="orthographicFront"/>
                      <a:lightRig rig="brightRoom" dir="t"/>
                    </a:scene3d>
                    <a:sp3d prstMaterial="flat">
                      <a:bevelT w="50800" h="101600" prst="angle"/>
                      <a:contourClr>
                        <a:srgbClr val="000000"/>
                      </a:contourClr>
                    </a:sp3d>
                  </c15:spPr>
                  <c15:bubble3D val="0"/>
                </c15:categoryFilterException>
                <c15:categoryFilterException>
                  <c15:sqref>Optimalisatie_Backlog!$N$23</c15:sqref>
                  <c15:spPr xmlns:c15="http://schemas.microsoft.com/office/drawing/2012/chart">
                    <a:solidFill>
                      <a:schemeClr val="accent6">
                        <a:lumMod val="60000"/>
                      </a:schemeClr>
                    </a:solidFill>
                    <a:ln>
                      <a:noFill/>
                    </a:ln>
                    <a:effectLst/>
                    <a:scene3d>
                      <a:camera prst="orthographicFront"/>
                      <a:lightRig rig="brightRoom" dir="t"/>
                    </a:scene3d>
                    <a:sp3d prstMaterial="flat">
                      <a:bevelT w="50800" h="101600" prst="angle"/>
                      <a:contourClr>
                        <a:srgbClr val="000000"/>
                      </a:contourClr>
                    </a:sp3d>
                  </c15:spPr>
                  <c15:bubble3D val="0"/>
                </c15:categoryFilterException>
                <c15:categoryFilterException>
                  <c15:sqref>Optimalisatie_Backlog!$O$23</c15:sqref>
                  <c15:spPr xmlns:c15="http://schemas.microsoft.com/office/drawing/2012/chart">
                    <a:solidFill>
                      <a:schemeClr val="accent1">
                        <a:lumMod val="80000"/>
                        <a:lumOff val="20000"/>
                      </a:schemeClr>
                    </a:solidFill>
                    <a:ln>
                      <a:noFill/>
                    </a:ln>
                    <a:effectLst/>
                    <a:scene3d>
                      <a:camera prst="orthographicFront"/>
                      <a:lightRig rig="brightRoom" dir="t"/>
                    </a:scene3d>
                    <a:sp3d prstMaterial="flat">
                      <a:bevelT w="50800" h="101600" prst="angle"/>
                      <a:contourClr>
                        <a:srgbClr val="000000"/>
                      </a:contourClr>
                    </a:sp3d>
                  </c15:spPr>
                  <c15:bubble3D val="0"/>
                </c15:categoryFilterException>
                <c15:categoryFilterException>
                  <c15:sqref>Optimalisatie_Backlog!$P$23</c15:sqref>
                  <c15:spPr xmlns:c15="http://schemas.microsoft.com/office/drawing/2012/chart">
                    <a:solidFill>
                      <a:schemeClr val="accent2">
                        <a:lumMod val="80000"/>
                        <a:lumOff val="20000"/>
                      </a:schemeClr>
                    </a:solidFill>
                    <a:ln>
                      <a:noFill/>
                    </a:ln>
                    <a:effectLst/>
                    <a:scene3d>
                      <a:camera prst="orthographicFront"/>
                      <a:lightRig rig="brightRoom" dir="t"/>
                    </a:scene3d>
                    <a:sp3d prstMaterial="flat">
                      <a:bevelT w="50800" h="101600" prst="angle"/>
                      <a:contourClr>
                        <a:srgbClr val="000000"/>
                      </a:contourClr>
                    </a:sp3d>
                  </c15:spPr>
                  <c15:bubble3D val="0"/>
                </c15:categoryFilterException>
                <c15:categoryFilterException>
                  <c15:sqref>Optimalisatie_Backlog!$Q$23</c15:sqref>
                  <c15:spPr xmlns:c15="http://schemas.microsoft.com/office/drawing/2012/chart">
                    <a:solidFill>
                      <a:schemeClr val="accent3">
                        <a:lumMod val="80000"/>
                        <a:lumOff val="20000"/>
                      </a:schemeClr>
                    </a:solidFill>
                    <a:ln>
                      <a:noFill/>
                    </a:ln>
                    <a:effectLst/>
                    <a:scene3d>
                      <a:camera prst="orthographicFront"/>
                      <a:lightRig rig="brightRoom" dir="t"/>
                    </a:scene3d>
                    <a:sp3d prstMaterial="flat">
                      <a:bevelT w="50800" h="101600" prst="angle"/>
                      <a:contourClr>
                        <a:srgbClr val="000000"/>
                      </a:contourClr>
                    </a:sp3d>
                  </c15:spPr>
                  <c15:bubble3D val="0"/>
                </c15:categoryFilterException>
                <c15:categoryFilterException>
                  <c15:sqref>Optimalisatie_Backlog!$R$23</c15:sqref>
                  <c15:spPr xmlns:c15="http://schemas.microsoft.com/office/drawing/2012/chart">
                    <a:solidFill>
                      <a:schemeClr val="accent4">
                        <a:lumMod val="80000"/>
                        <a:lumOff val="20000"/>
                      </a:schemeClr>
                    </a:solidFill>
                    <a:ln>
                      <a:noFill/>
                    </a:ln>
                    <a:effectLst/>
                    <a:scene3d>
                      <a:camera prst="orthographicFront"/>
                      <a:lightRig rig="brightRoom" dir="t"/>
                    </a:scene3d>
                    <a:sp3d prstMaterial="flat">
                      <a:bevelT w="50800" h="101600" prst="angle"/>
                      <a:contourClr>
                        <a:srgbClr val="000000"/>
                      </a:contourClr>
                    </a:sp3d>
                  </c15:spPr>
                  <c15:bubble3D val="0"/>
                </c15:categoryFilterException>
                <c15:categoryFilterException>
                  <c15:sqref>Optimalisatie_Backlog!$S$23</c15:sqref>
                  <c15:spPr xmlns:c15="http://schemas.microsoft.com/office/drawing/2012/chart">
                    <a:solidFill>
                      <a:schemeClr val="accent5">
                        <a:lumMod val="80000"/>
                        <a:lumOff val="20000"/>
                      </a:schemeClr>
                    </a:solidFill>
                    <a:ln>
                      <a:noFill/>
                    </a:ln>
                    <a:effectLst/>
                    <a:scene3d>
                      <a:camera prst="orthographicFront"/>
                      <a:lightRig rig="brightRoom" dir="t"/>
                    </a:scene3d>
                    <a:sp3d prstMaterial="flat">
                      <a:bevelT w="50800" h="101600" prst="angle"/>
                      <a:contourClr>
                        <a:srgbClr val="000000"/>
                      </a:contourClr>
                    </a:sp3d>
                  </c15:spPr>
                  <c15:bubble3D val="0"/>
                </c15:categoryFilterException>
              </c15:categoryFilterExceptions>
            </c:ext>
            <c:ext xmlns:c16="http://schemas.microsoft.com/office/drawing/2014/chart" uri="{C3380CC4-5D6E-409C-BE32-E72D297353CC}">
              <c16:uniqueId val="{0000002A-755A-408A-82FF-0A2C9519D9DD}"/>
            </c:ext>
          </c:extLst>
        </c:ser>
        <c:ser>
          <c:idx val="20"/>
          <c:order val="2"/>
          <c:tx>
            <c:strRef>
              <c:f>Optimalisatie_Backlog!$B$24</c:f>
              <c:strCache>
                <c:ptCount val="1"/>
                <c:pt idx="0">
                  <c:v>330010 - Leveren en aanbrengen kolken</c:v>
                </c:pt>
              </c:strCache>
            </c:strRef>
          </c:tx>
          <c:dPt>
            <c:idx val="0"/>
            <c:bubble3D val="0"/>
            <c:spPr>
              <a:solidFill>
                <a:schemeClr val="accent1"/>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35-4522-4A09-AED6-B5FF71AE0B9C}"/>
              </c:ext>
            </c:extLst>
          </c:dPt>
          <c:dPt>
            <c:idx val="1"/>
            <c:bubble3D val="0"/>
            <c:spPr>
              <a:solidFill>
                <a:schemeClr val="accent2"/>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37-4522-4A09-AED6-B5FF71AE0B9C}"/>
              </c:ext>
            </c:extLst>
          </c:dPt>
          <c:dPt>
            <c:idx val="2"/>
            <c:bubble3D val="0"/>
            <c:spPr>
              <a:solidFill>
                <a:schemeClr val="accent3"/>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39-4522-4A09-AED6-B5FF71AE0B9C}"/>
              </c:ext>
            </c:extLst>
          </c:dPt>
          <c:dPt>
            <c:idx val="3"/>
            <c:bubble3D val="0"/>
            <c:spPr>
              <a:solidFill>
                <a:schemeClr val="accent4"/>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3B-4522-4A09-AED6-B5FF71AE0B9C}"/>
              </c:ext>
            </c:extLst>
          </c:dPt>
          <c:dPt>
            <c:idx val="4"/>
            <c:bubble3D val="0"/>
            <c:spPr>
              <a:solidFill>
                <a:schemeClr val="accent5"/>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3D-4522-4A09-AED6-B5FF71AE0B9C}"/>
              </c:ext>
            </c:extLst>
          </c:dPt>
          <c:dPt>
            <c:idx val="5"/>
            <c:bubble3D val="0"/>
            <c:spPr>
              <a:solidFill>
                <a:schemeClr val="accent6"/>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3F-4522-4A09-AED6-B5FF71AE0B9C}"/>
              </c:ext>
            </c:extLst>
          </c:dPt>
          <c:dPt>
            <c:idx val="6"/>
            <c:bubble3D val="0"/>
            <c:spPr>
              <a:solidFill>
                <a:schemeClr val="accent1">
                  <a:lumMod val="60000"/>
                </a:schemeClr>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41-4522-4A09-AED6-B5FF71AE0B9C}"/>
              </c:ext>
            </c:extLst>
          </c:dPt>
          <c:dPt>
            <c:idx val="7"/>
            <c:bubble3D val="0"/>
            <c:spPr>
              <a:solidFill>
                <a:schemeClr val="accent2">
                  <a:lumMod val="60000"/>
                </a:schemeClr>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43-4522-4A09-AED6-B5FF71AE0B9C}"/>
              </c:ext>
            </c:extLst>
          </c:dPt>
          <c:dPt>
            <c:idx val="8"/>
            <c:bubble3D val="0"/>
            <c:spPr>
              <a:solidFill>
                <a:schemeClr val="accent3">
                  <a:lumMod val="60000"/>
                </a:schemeClr>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45-4522-4A09-AED6-B5FF71AE0B9C}"/>
              </c:ext>
            </c:extLst>
          </c:dPt>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n-US"/>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extLst>
                <c:ext xmlns:c15="http://schemas.microsoft.com/office/drawing/2012/chart" uri="{02D57815-91ED-43cb-92C2-25804820EDAC}">
                  <c15:fullRef>
                    <c15:sqref>Optimalisatie_Backlog!$G$3:$O$3</c15:sqref>
                  </c15:fullRef>
                </c:ext>
              </c:extLst>
              <c:f>Optimalisatie_Backlog!$G$3:$O$3</c:f>
              <c:strCache>
                <c:ptCount val="9"/>
                <c:pt idx="0">
                  <c:v>A1-A3</c:v>
                </c:pt>
                <c:pt idx="1">
                  <c:v>A4</c:v>
                </c:pt>
                <c:pt idx="2">
                  <c:v>A5</c:v>
                </c:pt>
                <c:pt idx="3">
                  <c:v>B1</c:v>
                </c:pt>
                <c:pt idx="4">
                  <c:v>B4</c:v>
                </c:pt>
                <c:pt idx="5">
                  <c:v>C1</c:v>
                </c:pt>
                <c:pt idx="6">
                  <c:v>C2</c:v>
                </c:pt>
                <c:pt idx="7">
                  <c:v>C3</c:v>
                </c:pt>
                <c:pt idx="8">
                  <c:v>C4</c:v>
                </c:pt>
              </c:strCache>
            </c:strRef>
          </c:cat>
          <c:val>
            <c:numRef>
              <c:extLst>
                <c:ext xmlns:c15="http://schemas.microsoft.com/office/drawing/2012/chart" uri="{02D57815-91ED-43cb-92C2-25804820EDAC}">
                  <c15:fullRef>
                    <c15:sqref>Optimalisatie_Backlog!$C$24:$S$24</c15:sqref>
                  </c15:fullRef>
                </c:ext>
              </c:extLst>
              <c:f>Optimalisatie_Backlog!$C$24:$K$24</c:f>
              <c:numCache>
                <c:formatCode>_([$€-2]\ * #,##0.00_);_([$€-2]\ * \(#,##0.00\);_([$€-2]\ * "-"??_);_(@_)</c:formatCode>
                <c:ptCount val="9"/>
                <c:pt idx="0">
                  <c:v>0</c:v>
                </c:pt>
                <c:pt idx="1">
                  <c:v>1567.52</c:v>
                </c:pt>
                <c:pt idx="2">
                  <c:v>0</c:v>
                </c:pt>
                <c:pt idx="3">
                  <c:v>0</c:v>
                </c:pt>
                <c:pt idx="4">
                  <c:v>1567.52</c:v>
                </c:pt>
                <c:pt idx="5">
                  <c:v>17.615584175186804</c:v>
                </c:pt>
                <c:pt idx="6">
                  <c:v>590.25282272980508</c:v>
                </c:pt>
                <c:pt idx="8">
                  <c:v>0</c:v>
                </c:pt>
              </c:numCache>
            </c:numRef>
          </c:val>
          <c:extLst>
            <c:ext xmlns:c15="http://schemas.microsoft.com/office/drawing/2012/chart" uri="{02D57815-91ED-43cb-92C2-25804820EDAC}">
              <c15:categoryFilterExceptions>
                <c15:categoryFilterException>
                  <c15:sqref>Optimalisatie_Backlog!$L$24</c15:sqref>
                  <c15:spPr xmlns:c15="http://schemas.microsoft.com/office/drawing/2012/chart">
                    <a:solidFill>
                      <a:schemeClr val="accent4">
                        <a:lumMod val="60000"/>
                      </a:schemeClr>
                    </a:solidFill>
                    <a:ln>
                      <a:noFill/>
                    </a:ln>
                    <a:effectLst/>
                    <a:scene3d>
                      <a:camera prst="orthographicFront"/>
                      <a:lightRig rig="brightRoom" dir="t"/>
                    </a:scene3d>
                    <a:sp3d prstMaterial="flat">
                      <a:bevelT w="50800" h="101600" prst="angle"/>
                      <a:contourClr>
                        <a:srgbClr val="000000"/>
                      </a:contourClr>
                    </a:sp3d>
                  </c15:spPr>
                  <c15:bubble3D val="0"/>
                </c15:categoryFilterException>
                <c15:categoryFilterException>
                  <c15:sqref>Optimalisatie_Backlog!$M$24</c15:sqref>
                  <c15:spPr xmlns:c15="http://schemas.microsoft.com/office/drawing/2012/chart">
                    <a:solidFill>
                      <a:schemeClr val="accent5">
                        <a:lumMod val="60000"/>
                      </a:schemeClr>
                    </a:solidFill>
                    <a:ln>
                      <a:noFill/>
                    </a:ln>
                    <a:effectLst/>
                    <a:scene3d>
                      <a:camera prst="orthographicFront"/>
                      <a:lightRig rig="brightRoom" dir="t"/>
                    </a:scene3d>
                    <a:sp3d prstMaterial="flat">
                      <a:bevelT w="50800" h="101600" prst="angle"/>
                      <a:contourClr>
                        <a:srgbClr val="000000"/>
                      </a:contourClr>
                    </a:sp3d>
                  </c15:spPr>
                  <c15:bubble3D val="0"/>
                </c15:categoryFilterException>
                <c15:categoryFilterException>
                  <c15:sqref>Optimalisatie_Backlog!$N$24</c15:sqref>
                  <c15:spPr xmlns:c15="http://schemas.microsoft.com/office/drawing/2012/chart">
                    <a:solidFill>
                      <a:schemeClr val="accent6">
                        <a:lumMod val="60000"/>
                      </a:schemeClr>
                    </a:solidFill>
                    <a:ln>
                      <a:noFill/>
                    </a:ln>
                    <a:effectLst/>
                    <a:scene3d>
                      <a:camera prst="orthographicFront"/>
                      <a:lightRig rig="brightRoom" dir="t"/>
                    </a:scene3d>
                    <a:sp3d prstMaterial="flat">
                      <a:bevelT w="50800" h="101600" prst="angle"/>
                      <a:contourClr>
                        <a:srgbClr val="000000"/>
                      </a:contourClr>
                    </a:sp3d>
                  </c15:spPr>
                  <c15:bubble3D val="0"/>
                </c15:categoryFilterException>
                <c15:categoryFilterException>
                  <c15:sqref>Optimalisatie_Backlog!$O$24</c15:sqref>
                  <c15:spPr xmlns:c15="http://schemas.microsoft.com/office/drawing/2012/chart">
                    <a:solidFill>
                      <a:schemeClr val="accent1">
                        <a:lumMod val="80000"/>
                        <a:lumOff val="20000"/>
                      </a:schemeClr>
                    </a:solidFill>
                    <a:ln>
                      <a:noFill/>
                    </a:ln>
                    <a:effectLst/>
                    <a:scene3d>
                      <a:camera prst="orthographicFront"/>
                      <a:lightRig rig="brightRoom" dir="t"/>
                    </a:scene3d>
                    <a:sp3d prstMaterial="flat">
                      <a:bevelT w="50800" h="101600" prst="angle"/>
                      <a:contourClr>
                        <a:srgbClr val="000000"/>
                      </a:contourClr>
                    </a:sp3d>
                  </c15:spPr>
                  <c15:bubble3D val="0"/>
                </c15:categoryFilterException>
                <c15:categoryFilterException>
                  <c15:sqref>Optimalisatie_Backlog!$P$24</c15:sqref>
                  <c15:spPr xmlns:c15="http://schemas.microsoft.com/office/drawing/2012/chart">
                    <a:solidFill>
                      <a:schemeClr val="accent2">
                        <a:lumMod val="80000"/>
                        <a:lumOff val="20000"/>
                      </a:schemeClr>
                    </a:solidFill>
                    <a:ln>
                      <a:noFill/>
                    </a:ln>
                    <a:effectLst/>
                    <a:scene3d>
                      <a:camera prst="orthographicFront"/>
                      <a:lightRig rig="brightRoom" dir="t"/>
                    </a:scene3d>
                    <a:sp3d prstMaterial="flat">
                      <a:bevelT w="50800" h="101600" prst="angle"/>
                      <a:contourClr>
                        <a:srgbClr val="000000"/>
                      </a:contourClr>
                    </a:sp3d>
                  </c15:spPr>
                  <c15:bubble3D val="0"/>
                </c15:categoryFilterException>
                <c15:categoryFilterException>
                  <c15:sqref>Optimalisatie_Backlog!$Q$24</c15:sqref>
                  <c15:spPr xmlns:c15="http://schemas.microsoft.com/office/drawing/2012/chart">
                    <a:solidFill>
                      <a:schemeClr val="accent3">
                        <a:lumMod val="80000"/>
                        <a:lumOff val="20000"/>
                      </a:schemeClr>
                    </a:solidFill>
                    <a:ln>
                      <a:noFill/>
                    </a:ln>
                    <a:effectLst/>
                    <a:scene3d>
                      <a:camera prst="orthographicFront"/>
                      <a:lightRig rig="brightRoom" dir="t"/>
                    </a:scene3d>
                    <a:sp3d prstMaterial="flat">
                      <a:bevelT w="50800" h="101600" prst="angle"/>
                      <a:contourClr>
                        <a:srgbClr val="000000"/>
                      </a:contourClr>
                    </a:sp3d>
                  </c15:spPr>
                  <c15:bubble3D val="0"/>
                </c15:categoryFilterException>
                <c15:categoryFilterException>
                  <c15:sqref>Optimalisatie_Backlog!$R$24</c15:sqref>
                  <c15:spPr xmlns:c15="http://schemas.microsoft.com/office/drawing/2012/chart">
                    <a:solidFill>
                      <a:schemeClr val="accent4">
                        <a:lumMod val="80000"/>
                        <a:lumOff val="20000"/>
                      </a:schemeClr>
                    </a:solidFill>
                    <a:ln>
                      <a:noFill/>
                    </a:ln>
                    <a:effectLst/>
                    <a:scene3d>
                      <a:camera prst="orthographicFront"/>
                      <a:lightRig rig="brightRoom" dir="t"/>
                    </a:scene3d>
                    <a:sp3d prstMaterial="flat">
                      <a:bevelT w="50800" h="101600" prst="angle"/>
                      <a:contourClr>
                        <a:srgbClr val="000000"/>
                      </a:contourClr>
                    </a:sp3d>
                  </c15:spPr>
                  <c15:bubble3D val="0"/>
                </c15:categoryFilterException>
                <c15:categoryFilterException>
                  <c15:sqref>Optimalisatie_Backlog!$S$24</c15:sqref>
                  <c15:spPr xmlns:c15="http://schemas.microsoft.com/office/drawing/2012/chart">
                    <a:solidFill>
                      <a:schemeClr val="accent5">
                        <a:lumMod val="80000"/>
                        <a:lumOff val="20000"/>
                      </a:schemeClr>
                    </a:solidFill>
                    <a:ln>
                      <a:noFill/>
                    </a:ln>
                    <a:effectLst/>
                    <a:scene3d>
                      <a:camera prst="orthographicFront"/>
                      <a:lightRig rig="brightRoom" dir="t"/>
                    </a:scene3d>
                    <a:sp3d prstMaterial="flat">
                      <a:bevelT w="50800" h="101600" prst="angle"/>
                      <a:contourClr>
                        <a:srgbClr val="000000"/>
                      </a:contourClr>
                    </a:sp3d>
                  </c15:spPr>
                  <c15:bubble3D val="0"/>
                </c15:categoryFilterException>
              </c15:categoryFilterExceptions>
            </c:ext>
            <c:ext xmlns:c16="http://schemas.microsoft.com/office/drawing/2014/chart" uri="{C3380CC4-5D6E-409C-BE32-E72D297353CC}">
              <c16:uniqueId val="{0000002B-755A-408A-82FF-0A2C9519D9DD}"/>
            </c:ext>
          </c:extLst>
        </c:ser>
        <c:ser>
          <c:idx val="21"/>
          <c:order val="3"/>
          <c:tx>
            <c:strRef>
              <c:f>Optimalisatie_Backlog!$B$25</c:f>
              <c:strCache>
                <c:ptCount val="1"/>
                <c:pt idx="0">
                  <c:v>420010 - Leveren en aanbrengen fundering menggranulaat, (250mm dik)</c:v>
                </c:pt>
              </c:strCache>
            </c:strRef>
          </c:tx>
          <c:dPt>
            <c:idx val="0"/>
            <c:bubble3D val="0"/>
            <c:spPr>
              <a:solidFill>
                <a:schemeClr val="accent1"/>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57-4522-4A09-AED6-B5FF71AE0B9C}"/>
              </c:ext>
            </c:extLst>
          </c:dPt>
          <c:dPt>
            <c:idx val="1"/>
            <c:bubble3D val="0"/>
            <c:spPr>
              <a:solidFill>
                <a:schemeClr val="accent2"/>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59-4522-4A09-AED6-B5FF71AE0B9C}"/>
              </c:ext>
            </c:extLst>
          </c:dPt>
          <c:dPt>
            <c:idx val="2"/>
            <c:bubble3D val="0"/>
            <c:spPr>
              <a:solidFill>
                <a:schemeClr val="accent3"/>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5B-4522-4A09-AED6-B5FF71AE0B9C}"/>
              </c:ext>
            </c:extLst>
          </c:dPt>
          <c:dPt>
            <c:idx val="3"/>
            <c:bubble3D val="0"/>
            <c:spPr>
              <a:solidFill>
                <a:schemeClr val="accent4"/>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5D-4522-4A09-AED6-B5FF71AE0B9C}"/>
              </c:ext>
            </c:extLst>
          </c:dPt>
          <c:dPt>
            <c:idx val="4"/>
            <c:bubble3D val="0"/>
            <c:spPr>
              <a:solidFill>
                <a:schemeClr val="accent5"/>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5F-4522-4A09-AED6-B5FF71AE0B9C}"/>
              </c:ext>
            </c:extLst>
          </c:dPt>
          <c:dPt>
            <c:idx val="5"/>
            <c:bubble3D val="0"/>
            <c:spPr>
              <a:solidFill>
                <a:schemeClr val="accent6"/>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61-4522-4A09-AED6-B5FF71AE0B9C}"/>
              </c:ext>
            </c:extLst>
          </c:dPt>
          <c:dPt>
            <c:idx val="6"/>
            <c:bubble3D val="0"/>
            <c:spPr>
              <a:solidFill>
                <a:schemeClr val="accent1">
                  <a:lumMod val="60000"/>
                </a:schemeClr>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63-4522-4A09-AED6-B5FF71AE0B9C}"/>
              </c:ext>
            </c:extLst>
          </c:dPt>
          <c:dPt>
            <c:idx val="7"/>
            <c:bubble3D val="0"/>
            <c:spPr>
              <a:solidFill>
                <a:schemeClr val="accent2">
                  <a:lumMod val="60000"/>
                </a:schemeClr>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65-4522-4A09-AED6-B5FF71AE0B9C}"/>
              </c:ext>
            </c:extLst>
          </c:dPt>
          <c:dPt>
            <c:idx val="8"/>
            <c:bubble3D val="0"/>
            <c:spPr>
              <a:solidFill>
                <a:schemeClr val="accent3">
                  <a:lumMod val="60000"/>
                </a:schemeClr>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67-4522-4A09-AED6-B5FF71AE0B9C}"/>
              </c:ext>
            </c:extLst>
          </c:dPt>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n-US"/>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extLst>
                <c:ext xmlns:c15="http://schemas.microsoft.com/office/drawing/2012/chart" uri="{02D57815-91ED-43cb-92C2-25804820EDAC}">
                  <c15:fullRef>
                    <c15:sqref>Optimalisatie_Backlog!$G$3:$O$3</c15:sqref>
                  </c15:fullRef>
                </c:ext>
              </c:extLst>
              <c:f>Optimalisatie_Backlog!$G$3:$O$3</c:f>
              <c:strCache>
                <c:ptCount val="9"/>
                <c:pt idx="0">
                  <c:v>A1-A3</c:v>
                </c:pt>
                <c:pt idx="1">
                  <c:v>A4</c:v>
                </c:pt>
                <c:pt idx="2">
                  <c:v>A5</c:v>
                </c:pt>
                <c:pt idx="3">
                  <c:v>B1</c:v>
                </c:pt>
                <c:pt idx="4">
                  <c:v>B4</c:v>
                </c:pt>
                <c:pt idx="5">
                  <c:v>C1</c:v>
                </c:pt>
                <c:pt idx="6">
                  <c:v>C2</c:v>
                </c:pt>
                <c:pt idx="7">
                  <c:v>C3</c:v>
                </c:pt>
                <c:pt idx="8">
                  <c:v>C4</c:v>
                </c:pt>
              </c:strCache>
            </c:strRef>
          </c:cat>
          <c:val>
            <c:numRef>
              <c:extLst>
                <c:ext xmlns:c15="http://schemas.microsoft.com/office/drawing/2012/chart" uri="{02D57815-91ED-43cb-92C2-25804820EDAC}">
                  <c15:fullRef>
                    <c15:sqref>Optimalisatie_Backlog!$C$25:$S$25</c15:sqref>
                  </c15:fullRef>
                </c:ext>
              </c:extLst>
              <c:f>Optimalisatie_Backlog!$C$25:$K$25</c:f>
              <c:numCache>
                <c:formatCode>_([$€-2]\ * #,##0.00_);_([$€-2]\ * \(#,##0.00\);_([$€-2]\ * "-"??_);_(@_)</c:formatCode>
                <c:ptCount val="9"/>
                <c:pt idx="0">
                  <c:v>0</c:v>
                </c:pt>
                <c:pt idx="1">
                  <c:v>0</c:v>
                </c:pt>
                <c:pt idx="2">
                  <c:v>0</c:v>
                </c:pt>
                <c:pt idx="3">
                  <c:v>0</c:v>
                </c:pt>
                <c:pt idx="4">
                  <c:v>0</c:v>
                </c:pt>
                <c:pt idx="5">
                  <c:v>2045.5802238300003</c:v>
                </c:pt>
                <c:pt idx="6">
                  <c:v>3490.3546080000001</c:v>
                </c:pt>
                <c:pt idx="8">
                  <c:v>0</c:v>
                </c:pt>
              </c:numCache>
            </c:numRef>
          </c:val>
          <c:extLst>
            <c:ext xmlns:c15="http://schemas.microsoft.com/office/drawing/2012/chart" uri="{02D57815-91ED-43cb-92C2-25804820EDAC}">
              <c15:categoryFilterExceptions>
                <c15:categoryFilterException>
                  <c15:sqref>Optimalisatie_Backlog!$L$25</c15:sqref>
                  <c15:spPr xmlns:c15="http://schemas.microsoft.com/office/drawing/2012/chart">
                    <a:solidFill>
                      <a:schemeClr val="accent4">
                        <a:lumMod val="60000"/>
                      </a:schemeClr>
                    </a:solidFill>
                    <a:ln>
                      <a:noFill/>
                    </a:ln>
                    <a:effectLst/>
                    <a:scene3d>
                      <a:camera prst="orthographicFront"/>
                      <a:lightRig rig="brightRoom" dir="t"/>
                    </a:scene3d>
                    <a:sp3d prstMaterial="flat">
                      <a:bevelT w="50800" h="101600" prst="angle"/>
                      <a:contourClr>
                        <a:srgbClr val="000000"/>
                      </a:contourClr>
                    </a:sp3d>
                  </c15:spPr>
                  <c15:bubble3D val="0"/>
                </c15:categoryFilterException>
                <c15:categoryFilterException>
                  <c15:sqref>Optimalisatie_Backlog!$M$25</c15:sqref>
                  <c15:spPr xmlns:c15="http://schemas.microsoft.com/office/drawing/2012/chart">
                    <a:solidFill>
                      <a:schemeClr val="accent5">
                        <a:lumMod val="60000"/>
                      </a:schemeClr>
                    </a:solidFill>
                    <a:ln>
                      <a:noFill/>
                    </a:ln>
                    <a:effectLst/>
                    <a:scene3d>
                      <a:camera prst="orthographicFront"/>
                      <a:lightRig rig="brightRoom" dir="t"/>
                    </a:scene3d>
                    <a:sp3d prstMaterial="flat">
                      <a:bevelT w="50800" h="101600" prst="angle"/>
                      <a:contourClr>
                        <a:srgbClr val="000000"/>
                      </a:contourClr>
                    </a:sp3d>
                  </c15:spPr>
                  <c15:bubble3D val="0"/>
                </c15:categoryFilterException>
                <c15:categoryFilterException>
                  <c15:sqref>Optimalisatie_Backlog!$N$25</c15:sqref>
                  <c15:spPr xmlns:c15="http://schemas.microsoft.com/office/drawing/2012/chart">
                    <a:solidFill>
                      <a:schemeClr val="accent6">
                        <a:lumMod val="60000"/>
                      </a:schemeClr>
                    </a:solidFill>
                    <a:ln>
                      <a:noFill/>
                    </a:ln>
                    <a:effectLst/>
                    <a:scene3d>
                      <a:camera prst="orthographicFront"/>
                      <a:lightRig rig="brightRoom" dir="t"/>
                    </a:scene3d>
                    <a:sp3d prstMaterial="flat">
                      <a:bevelT w="50800" h="101600" prst="angle"/>
                      <a:contourClr>
                        <a:srgbClr val="000000"/>
                      </a:contourClr>
                    </a:sp3d>
                  </c15:spPr>
                  <c15:bubble3D val="0"/>
                </c15:categoryFilterException>
                <c15:categoryFilterException>
                  <c15:sqref>Optimalisatie_Backlog!$O$25</c15:sqref>
                  <c15:spPr xmlns:c15="http://schemas.microsoft.com/office/drawing/2012/chart">
                    <a:solidFill>
                      <a:schemeClr val="accent1">
                        <a:lumMod val="80000"/>
                        <a:lumOff val="20000"/>
                      </a:schemeClr>
                    </a:solidFill>
                    <a:ln>
                      <a:noFill/>
                    </a:ln>
                    <a:effectLst/>
                    <a:scene3d>
                      <a:camera prst="orthographicFront"/>
                      <a:lightRig rig="brightRoom" dir="t"/>
                    </a:scene3d>
                    <a:sp3d prstMaterial="flat">
                      <a:bevelT w="50800" h="101600" prst="angle"/>
                      <a:contourClr>
                        <a:srgbClr val="000000"/>
                      </a:contourClr>
                    </a:sp3d>
                  </c15:spPr>
                  <c15:bubble3D val="0"/>
                </c15:categoryFilterException>
                <c15:categoryFilterException>
                  <c15:sqref>Optimalisatie_Backlog!$P$25</c15:sqref>
                  <c15:spPr xmlns:c15="http://schemas.microsoft.com/office/drawing/2012/chart">
                    <a:solidFill>
                      <a:schemeClr val="accent2">
                        <a:lumMod val="80000"/>
                        <a:lumOff val="20000"/>
                      </a:schemeClr>
                    </a:solidFill>
                    <a:ln>
                      <a:noFill/>
                    </a:ln>
                    <a:effectLst/>
                    <a:scene3d>
                      <a:camera prst="orthographicFront"/>
                      <a:lightRig rig="brightRoom" dir="t"/>
                    </a:scene3d>
                    <a:sp3d prstMaterial="flat">
                      <a:bevelT w="50800" h="101600" prst="angle"/>
                      <a:contourClr>
                        <a:srgbClr val="000000"/>
                      </a:contourClr>
                    </a:sp3d>
                  </c15:spPr>
                  <c15:bubble3D val="0"/>
                </c15:categoryFilterException>
                <c15:categoryFilterException>
                  <c15:sqref>Optimalisatie_Backlog!$Q$25</c15:sqref>
                  <c15:spPr xmlns:c15="http://schemas.microsoft.com/office/drawing/2012/chart">
                    <a:solidFill>
                      <a:schemeClr val="accent3">
                        <a:lumMod val="80000"/>
                        <a:lumOff val="20000"/>
                      </a:schemeClr>
                    </a:solidFill>
                    <a:ln>
                      <a:noFill/>
                    </a:ln>
                    <a:effectLst/>
                    <a:scene3d>
                      <a:camera prst="orthographicFront"/>
                      <a:lightRig rig="brightRoom" dir="t"/>
                    </a:scene3d>
                    <a:sp3d prstMaterial="flat">
                      <a:bevelT w="50800" h="101600" prst="angle"/>
                      <a:contourClr>
                        <a:srgbClr val="000000"/>
                      </a:contourClr>
                    </a:sp3d>
                  </c15:spPr>
                  <c15:bubble3D val="0"/>
                </c15:categoryFilterException>
                <c15:categoryFilterException>
                  <c15:sqref>Optimalisatie_Backlog!$R$25</c15:sqref>
                  <c15:spPr xmlns:c15="http://schemas.microsoft.com/office/drawing/2012/chart">
                    <a:solidFill>
                      <a:schemeClr val="accent4">
                        <a:lumMod val="80000"/>
                        <a:lumOff val="20000"/>
                      </a:schemeClr>
                    </a:solidFill>
                    <a:ln>
                      <a:noFill/>
                    </a:ln>
                    <a:effectLst/>
                    <a:scene3d>
                      <a:camera prst="orthographicFront"/>
                      <a:lightRig rig="brightRoom" dir="t"/>
                    </a:scene3d>
                    <a:sp3d prstMaterial="flat">
                      <a:bevelT w="50800" h="101600" prst="angle"/>
                      <a:contourClr>
                        <a:srgbClr val="000000"/>
                      </a:contourClr>
                    </a:sp3d>
                  </c15:spPr>
                  <c15:bubble3D val="0"/>
                </c15:categoryFilterException>
                <c15:categoryFilterException>
                  <c15:sqref>Optimalisatie_Backlog!$S$25</c15:sqref>
                  <c15:spPr xmlns:c15="http://schemas.microsoft.com/office/drawing/2012/chart">
                    <a:solidFill>
                      <a:schemeClr val="accent5">
                        <a:lumMod val="80000"/>
                        <a:lumOff val="20000"/>
                      </a:schemeClr>
                    </a:solidFill>
                    <a:ln>
                      <a:noFill/>
                    </a:ln>
                    <a:effectLst/>
                    <a:scene3d>
                      <a:camera prst="orthographicFront"/>
                      <a:lightRig rig="brightRoom" dir="t"/>
                    </a:scene3d>
                    <a:sp3d prstMaterial="flat">
                      <a:bevelT w="50800" h="101600" prst="angle"/>
                      <a:contourClr>
                        <a:srgbClr val="000000"/>
                      </a:contourClr>
                    </a:sp3d>
                  </c15:spPr>
                  <c15:bubble3D val="0"/>
                </c15:categoryFilterException>
              </c15:categoryFilterExceptions>
            </c:ext>
            <c:ext xmlns:c16="http://schemas.microsoft.com/office/drawing/2014/chart" uri="{C3380CC4-5D6E-409C-BE32-E72D297353CC}">
              <c16:uniqueId val="{0000002C-755A-408A-82FF-0A2C9519D9DD}"/>
            </c:ext>
          </c:extLst>
        </c:ser>
        <c:ser>
          <c:idx val="22"/>
          <c:order val="4"/>
          <c:tx>
            <c:strRef>
              <c:f>Optimalisatie_Backlog!$B$26</c:f>
              <c:strCache>
                <c:ptCount val="1"/>
                <c:pt idx="0">
                  <c:v>430010 - Leveren en aanbrengen trottoirbanden 180/200x250</c:v>
                </c:pt>
              </c:strCache>
            </c:strRef>
          </c:tx>
          <c:dPt>
            <c:idx val="0"/>
            <c:bubble3D val="0"/>
            <c:spPr>
              <a:solidFill>
                <a:schemeClr val="accent1"/>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79-4522-4A09-AED6-B5FF71AE0B9C}"/>
              </c:ext>
            </c:extLst>
          </c:dPt>
          <c:dPt>
            <c:idx val="1"/>
            <c:bubble3D val="0"/>
            <c:spPr>
              <a:solidFill>
                <a:schemeClr val="accent2"/>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7B-4522-4A09-AED6-B5FF71AE0B9C}"/>
              </c:ext>
            </c:extLst>
          </c:dPt>
          <c:dPt>
            <c:idx val="2"/>
            <c:bubble3D val="0"/>
            <c:spPr>
              <a:solidFill>
                <a:schemeClr val="accent3"/>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7D-4522-4A09-AED6-B5FF71AE0B9C}"/>
              </c:ext>
            </c:extLst>
          </c:dPt>
          <c:dPt>
            <c:idx val="3"/>
            <c:bubble3D val="0"/>
            <c:spPr>
              <a:solidFill>
                <a:schemeClr val="accent4"/>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7F-4522-4A09-AED6-B5FF71AE0B9C}"/>
              </c:ext>
            </c:extLst>
          </c:dPt>
          <c:dPt>
            <c:idx val="4"/>
            <c:bubble3D val="0"/>
            <c:spPr>
              <a:solidFill>
                <a:schemeClr val="accent5"/>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81-4522-4A09-AED6-B5FF71AE0B9C}"/>
              </c:ext>
            </c:extLst>
          </c:dPt>
          <c:dPt>
            <c:idx val="5"/>
            <c:bubble3D val="0"/>
            <c:spPr>
              <a:solidFill>
                <a:schemeClr val="accent6"/>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83-4522-4A09-AED6-B5FF71AE0B9C}"/>
              </c:ext>
            </c:extLst>
          </c:dPt>
          <c:dPt>
            <c:idx val="6"/>
            <c:bubble3D val="0"/>
            <c:spPr>
              <a:solidFill>
                <a:schemeClr val="accent1">
                  <a:lumMod val="60000"/>
                </a:schemeClr>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85-4522-4A09-AED6-B5FF71AE0B9C}"/>
              </c:ext>
            </c:extLst>
          </c:dPt>
          <c:dPt>
            <c:idx val="7"/>
            <c:bubble3D val="0"/>
            <c:spPr>
              <a:solidFill>
                <a:schemeClr val="accent2">
                  <a:lumMod val="60000"/>
                </a:schemeClr>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87-4522-4A09-AED6-B5FF71AE0B9C}"/>
              </c:ext>
            </c:extLst>
          </c:dPt>
          <c:dPt>
            <c:idx val="8"/>
            <c:bubble3D val="0"/>
            <c:spPr>
              <a:solidFill>
                <a:schemeClr val="accent3">
                  <a:lumMod val="60000"/>
                </a:schemeClr>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89-4522-4A09-AED6-B5FF71AE0B9C}"/>
              </c:ext>
            </c:extLst>
          </c:dPt>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n-US"/>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extLst>
                <c:ext xmlns:c15="http://schemas.microsoft.com/office/drawing/2012/chart" uri="{02D57815-91ED-43cb-92C2-25804820EDAC}">
                  <c15:fullRef>
                    <c15:sqref>Optimalisatie_Backlog!$G$3:$O$3</c15:sqref>
                  </c15:fullRef>
                </c:ext>
              </c:extLst>
              <c:f>Optimalisatie_Backlog!$G$3:$O$3</c:f>
              <c:strCache>
                <c:ptCount val="9"/>
                <c:pt idx="0">
                  <c:v>A1-A3</c:v>
                </c:pt>
                <c:pt idx="1">
                  <c:v>A4</c:v>
                </c:pt>
                <c:pt idx="2">
                  <c:v>A5</c:v>
                </c:pt>
                <c:pt idx="3">
                  <c:v>B1</c:v>
                </c:pt>
                <c:pt idx="4">
                  <c:v>B4</c:v>
                </c:pt>
                <c:pt idx="5">
                  <c:v>C1</c:v>
                </c:pt>
                <c:pt idx="6">
                  <c:v>C2</c:v>
                </c:pt>
                <c:pt idx="7">
                  <c:v>C3</c:v>
                </c:pt>
                <c:pt idx="8">
                  <c:v>C4</c:v>
                </c:pt>
              </c:strCache>
            </c:strRef>
          </c:cat>
          <c:val>
            <c:numRef>
              <c:extLst>
                <c:ext xmlns:c15="http://schemas.microsoft.com/office/drawing/2012/chart" uri="{02D57815-91ED-43cb-92C2-25804820EDAC}">
                  <c15:fullRef>
                    <c15:sqref>Optimalisatie_Backlog!$C$26:$S$26</c15:sqref>
                  </c15:fullRef>
                </c:ext>
              </c:extLst>
              <c:f>Optimalisatie_Backlog!$C$26:$K$26</c:f>
              <c:numCache>
                <c:formatCode>_([$€-2]\ * #,##0.00_);_([$€-2]\ * \(#,##0.00\);_([$€-2]\ * "-"??_);_(@_)</c:formatCode>
                <c:ptCount val="9"/>
                <c:pt idx="0">
                  <c:v>0</c:v>
                </c:pt>
                <c:pt idx="1">
                  <c:v>0</c:v>
                </c:pt>
                <c:pt idx="2">
                  <c:v>0</c:v>
                </c:pt>
                <c:pt idx="3">
                  <c:v>0</c:v>
                </c:pt>
                <c:pt idx="4">
                  <c:v>50.371849999999995</c:v>
                </c:pt>
                <c:pt idx="5">
                  <c:v>3.6454040971823756</c:v>
                </c:pt>
                <c:pt idx="6">
                  <c:v>25.673244324512535</c:v>
                </c:pt>
                <c:pt idx="8">
                  <c:v>0</c:v>
                </c:pt>
              </c:numCache>
            </c:numRef>
          </c:val>
          <c:extLst>
            <c:ext xmlns:c15="http://schemas.microsoft.com/office/drawing/2012/chart" uri="{02D57815-91ED-43cb-92C2-25804820EDAC}">
              <c15:categoryFilterExceptions>
                <c15:categoryFilterException>
                  <c15:sqref>Optimalisatie_Backlog!$L$26</c15:sqref>
                  <c15:spPr xmlns:c15="http://schemas.microsoft.com/office/drawing/2012/chart">
                    <a:solidFill>
                      <a:schemeClr val="accent4">
                        <a:lumMod val="60000"/>
                      </a:schemeClr>
                    </a:solidFill>
                    <a:ln>
                      <a:noFill/>
                    </a:ln>
                    <a:effectLst/>
                    <a:scene3d>
                      <a:camera prst="orthographicFront"/>
                      <a:lightRig rig="brightRoom" dir="t"/>
                    </a:scene3d>
                    <a:sp3d prstMaterial="flat">
                      <a:bevelT w="50800" h="101600" prst="angle"/>
                      <a:contourClr>
                        <a:srgbClr val="000000"/>
                      </a:contourClr>
                    </a:sp3d>
                  </c15:spPr>
                  <c15:bubble3D val="0"/>
                </c15:categoryFilterException>
                <c15:categoryFilterException>
                  <c15:sqref>Optimalisatie_Backlog!$M$26</c15:sqref>
                  <c15:spPr xmlns:c15="http://schemas.microsoft.com/office/drawing/2012/chart">
                    <a:solidFill>
                      <a:schemeClr val="accent5">
                        <a:lumMod val="60000"/>
                      </a:schemeClr>
                    </a:solidFill>
                    <a:ln>
                      <a:noFill/>
                    </a:ln>
                    <a:effectLst/>
                    <a:scene3d>
                      <a:camera prst="orthographicFront"/>
                      <a:lightRig rig="brightRoom" dir="t"/>
                    </a:scene3d>
                    <a:sp3d prstMaterial="flat">
                      <a:bevelT w="50800" h="101600" prst="angle"/>
                      <a:contourClr>
                        <a:srgbClr val="000000"/>
                      </a:contourClr>
                    </a:sp3d>
                  </c15:spPr>
                  <c15:bubble3D val="0"/>
                </c15:categoryFilterException>
                <c15:categoryFilterException>
                  <c15:sqref>Optimalisatie_Backlog!$N$26</c15:sqref>
                  <c15:spPr xmlns:c15="http://schemas.microsoft.com/office/drawing/2012/chart">
                    <a:solidFill>
                      <a:schemeClr val="accent6">
                        <a:lumMod val="60000"/>
                      </a:schemeClr>
                    </a:solidFill>
                    <a:ln>
                      <a:noFill/>
                    </a:ln>
                    <a:effectLst/>
                    <a:scene3d>
                      <a:camera prst="orthographicFront"/>
                      <a:lightRig rig="brightRoom" dir="t"/>
                    </a:scene3d>
                    <a:sp3d prstMaterial="flat">
                      <a:bevelT w="50800" h="101600" prst="angle"/>
                      <a:contourClr>
                        <a:srgbClr val="000000"/>
                      </a:contourClr>
                    </a:sp3d>
                  </c15:spPr>
                  <c15:bubble3D val="0"/>
                </c15:categoryFilterException>
                <c15:categoryFilterException>
                  <c15:sqref>Optimalisatie_Backlog!$O$26</c15:sqref>
                  <c15:spPr xmlns:c15="http://schemas.microsoft.com/office/drawing/2012/chart">
                    <a:solidFill>
                      <a:schemeClr val="accent1">
                        <a:lumMod val="80000"/>
                        <a:lumOff val="20000"/>
                      </a:schemeClr>
                    </a:solidFill>
                    <a:ln>
                      <a:noFill/>
                    </a:ln>
                    <a:effectLst/>
                    <a:scene3d>
                      <a:camera prst="orthographicFront"/>
                      <a:lightRig rig="brightRoom" dir="t"/>
                    </a:scene3d>
                    <a:sp3d prstMaterial="flat">
                      <a:bevelT w="50800" h="101600" prst="angle"/>
                      <a:contourClr>
                        <a:srgbClr val="000000"/>
                      </a:contourClr>
                    </a:sp3d>
                  </c15:spPr>
                  <c15:bubble3D val="0"/>
                </c15:categoryFilterException>
                <c15:categoryFilterException>
                  <c15:sqref>Optimalisatie_Backlog!$P$26</c15:sqref>
                  <c15:spPr xmlns:c15="http://schemas.microsoft.com/office/drawing/2012/chart">
                    <a:solidFill>
                      <a:schemeClr val="accent2">
                        <a:lumMod val="80000"/>
                        <a:lumOff val="20000"/>
                      </a:schemeClr>
                    </a:solidFill>
                    <a:ln>
                      <a:noFill/>
                    </a:ln>
                    <a:effectLst/>
                    <a:scene3d>
                      <a:camera prst="orthographicFront"/>
                      <a:lightRig rig="brightRoom" dir="t"/>
                    </a:scene3d>
                    <a:sp3d prstMaterial="flat">
                      <a:bevelT w="50800" h="101600" prst="angle"/>
                      <a:contourClr>
                        <a:srgbClr val="000000"/>
                      </a:contourClr>
                    </a:sp3d>
                  </c15:spPr>
                  <c15:bubble3D val="0"/>
                </c15:categoryFilterException>
                <c15:categoryFilterException>
                  <c15:sqref>Optimalisatie_Backlog!$Q$26</c15:sqref>
                  <c15:spPr xmlns:c15="http://schemas.microsoft.com/office/drawing/2012/chart">
                    <a:solidFill>
                      <a:schemeClr val="accent3">
                        <a:lumMod val="80000"/>
                        <a:lumOff val="20000"/>
                      </a:schemeClr>
                    </a:solidFill>
                    <a:ln>
                      <a:noFill/>
                    </a:ln>
                    <a:effectLst/>
                    <a:scene3d>
                      <a:camera prst="orthographicFront"/>
                      <a:lightRig rig="brightRoom" dir="t"/>
                    </a:scene3d>
                    <a:sp3d prstMaterial="flat">
                      <a:bevelT w="50800" h="101600" prst="angle"/>
                      <a:contourClr>
                        <a:srgbClr val="000000"/>
                      </a:contourClr>
                    </a:sp3d>
                  </c15:spPr>
                  <c15:bubble3D val="0"/>
                </c15:categoryFilterException>
                <c15:categoryFilterException>
                  <c15:sqref>Optimalisatie_Backlog!$R$26</c15:sqref>
                  <c15:spPr xmlns:c15="http://schemas.microsoft.com/office/drawing/2012/chart">
                    <a:solidFill>
                      <a:schemeClr val="accent4">
                        <a:lumMod val="80000"/>
                        <a:lumOff val="20000"/>
                      </a:schemeClr>
                    </a:solidFill>
                    <a:ln>
                      <a:noFill/>
                    </a:ln>
                    <a:effectLst/>
                    <a:scene3d>
                      <a:camera prst="orthographicFront"/>
                      <a:lightRig rig="brightRoom" dir="t"/>
                    </a:scene3d>
                    <a:sp3d prstMaterial="flat">
                      <a:bevelT w="50800" h="101600" prst="angle"/>
                      <a:contourClr>
                        <a:srgbClr val="000000"/>
                      </a:contourClr>
                    </a:sp3d>
                  </c15:spPr>
                  <c15:bubble3D val="0"/>
                </c15:categoryFilterException>
                <c15:categoryFilterException>
                  <c15:sqref>Optimalisatie_Backlog!$S$26</c15:sqref>
                  <c15:spPr xmlns:c15="http://schemas.microsoft.com/office/drawing/2012/chart">
                    <a:solidFill>
                      <a:schemeClr val="accent5">
                        <a:lumMod val="80000"/>
                        <a:lumOff val="20000"/>
                      </a:schemeClr>
                    </a:solidFill>
                    <a:ln>
                      <a:noFill/>
                    </a:ln>
                    <a:effectLst/>
                    <a:scene3d>
                      <a:camera prst="orthographicFront"/>
                      <a:lightRig rig="brightRoom" dir="t"/>
                    </a:scene3d>
                    <a:sp3d prstMaterial="flat">
                      <a:bevelT w="50800" h="101600" prst="angle"/>
                      <a:contourClr>
                        <a:srgbClr val="000000"/>
                      </a:contourClr>
                    </a:sp3d>
                  </c15:spPr>
                  <c15:bubble3D val="0"/>
                </c15:categoryFilterException>
              </c15:categoryFilterExceptions>
            </c:ext>
            <c:ext xmlns:c16="http://schemas.microsoft.com/office/drawing/2014/chart" uri="{C3380CC4-5D6E-409C-BE32-E72D297353CC}">
              <c16:uniqueId val="{0000002D-755A-408A-82FF-0A2C9519D9DD}"/>
            </c:ext>
          </c:extLst>
        </c:ser>
        <c:ser>
          <c:idx val="23"/>
          <c:order val="5"/>
          <c:tx>
            <c:strRef>
              <c:f>Optimalisatie_Backlog!$B$27</c:f>
              <c:strCache>
                <c:ptCount val="1"/>
                <c:pt idx="0">
                  <c:v>430020 - Leveren en aanbrengen trottoirbanden 130/150x250</c:v>
                </c:pt>
              </c:strCache>
            </c:strRef>
          </c:tx>
          <c:dPt>
            <c:idx val="0"/>
            <c:bubble3D val="0"/>
            <c:spPr>
              <a:solidFill>
                <a:schemeClr val="accent1"/>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9B-4522-4A09-AED6-B5FF71AE0B9C}"/>
              </c:ext>
            </c:extLst>
          </c:dPt>
          <c:dPt>
            <c:idx val="1"/>
            <c:bubble3D val="0"/>
            <c:spPr>
              <a:solidFill>
                <a:schemeClr val="accent2"/>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9D-4522-4A09-AED6-B5FF71AE0B9C}"/>
              </c:ext>
            </c:extLst>
          </c:dPt>
          <c:dPt>
            <c:idx val="2"/>
            <c:bubble3D val="0"/>
            <c:spPr>
              <a:solidFill>
                <a:schemeClr val="accent3"/>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9F-4522-4A09-AED6-B5FF71AE0B9C}"/>
              </c:ext>
            </c:extLst>
          </c:dPt>
          <c:dPt>
            <c:idx val="3"/>
            <c:bubble3D val="0"/>
            <c:spPr>
              <a:solidFill>
                <a:schemeClr val="accent4"/>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A1-4522-4A09-AED6-B5FF71AE0B9C}"/>
              </c:ext>
            </c:extLst>
          </c:dPt>
          <c:dPt>
            <c:idx val="4"/>
            <c:bubble3D val="0"/>
            <c:spPr>
              <a:solidFill>
                <a:schemeClr val="accent5"/>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A3-4522-4A09-AED6-B5FF71AE0B9C}"/>
              </c:ext>
            </c:extLst>
          </c:dPt>
          <c:dPt>
            <c:idx val="5"/>
            <c:bubble3D val="0"/>
            <c:spPr>
              <a:solidFill>
                <a:schemeClr val="accent6"/>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A5-4522-4A09-AED6-B5FF71AE0B9C}"/>
              </c:ext>
            </c:extLst>
          </c:dPt>
          <c:dPt>
            <c:idx val="6"/>
            <c:bubble3D val="0"/>
            <c:spPr>
              <a:solidFill>
                <a:schemeClr val="accent1">
                  <a:lumMod val="60000"/>
                </a:schemeClr>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A7-4522-4A09-AED6-B5FF71AE0B9C}"/>
              </c:ext>
            </c:extLst>
          </c:dPt>
          <c:dPt>
            <c:idx val="7"/>
            <c:bubble3D val="0"/>
            <c:spPr>
              <a:solidFill>
                <a:schemeClr val="accent2">
                  <a:lumMod val="60000"/>
                </a:schemeClr>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A9-4522-4A09-AED6-B5FF71AE0B9C}"/>
              </c:ext>
            </c:extLst>
          </c:dPt>
          <c:dPt>
            <c:idx val="8"/>
            <c:bubble3D val="0"/>
            <c:spPr>
              <a:solidFill>
                <a:schemeClr val="accent3">
                  <a:lumMod val="60000"/>
                </a:schemeClr>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AB-4522-4A09-AED6-B5FF71AE0B9C}"/>
              </c:ext>
            </c:extLst>
          </c:dPt>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n-US"/>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extLst>
                <c:ext xmlns:c15="http://schemas.microsoft.com/office/drawing/2012/chart" uri="{02D57815-91ED-43cb-92C2-25804820EDAC}">
                  <c15:fullRef>
                    <c15:sqref>Optimalisatie_Backlog!$G$3:$O$3</c15:sqref>
                  </c15:fullRef>
                </c:ext>
              </c:extLst>
              <c:f>Optimalisatie_Backlog!$G$3:$O$3</c:f>
              <c:strCache>
                <c:ptCount val="9"/>
                <c:pt idx="0">
                  <c:v>A1-A3</c:v>
                </c:pt>
                <c:pt idx="1">
                  <c:v>A4</c:v>
                </c:pt>
                <c:pt idx="2">
                  <c:v>A5</c:v>
                </c:pt>
                <c:pt idx="3">
                  <c:v>B1</c:v>
                </c:pt>
                <c:pt idx="4">
                  <c:v>B4</c:v>
                </c:pt>
                <c:pt idx="5">
                  <c:v>C1</c:v>
                </c:pt>
                <c:pt idx="6">
                  <c:v>C2</c:v>
                </c:pt>
                <c:pt idx="7">
                  <c:v>C3</c:v>
                </c:pt>
                <c:pt idx="8">
                  <c:v>C4</c:v>
                </c:pt>
              </c:strCache>
            </c:strRef>
          </c:cat>
          <c:val>
            <c:numRef>
              <c:extLst>
                <c:ext xmlns:c15="http://schemas.microsoft.com/office/drawing/2012/chart" uri="{02D57815-91ED-43cb-92C2-25804820EDAC}">
                  <c15:fullRef>
                    <c15:sqref>Optimalisatie_Backlog!$C$27:$S$27</c15:sqref>
                  </c15:fullRef>
                </c:ext>
              </c:extLst>
              <c:f>Optimalisatie_Backlog!$C$27:$K$27</c:f>
              <c:numCache>
                <c:formatCode>_([$€-2]\ * #,##0.00_);_([$€-2]\ * \(#,##0.00\);_([$€-2]\ * "-"??_);_(@_)</c:formatCode>
                <c:ptCount val="9"/>
                <c:pt idx="0">
                  <c:v>0</c:v>
                </c:pt>
                <c:pt idx="1">
                  <c:v>0</c:v>
                </c:pt>
                <c:pt idx="2">
                  <c:v>0</c:v>
                </c:pt>
                <c:pt idx="3">
                  <c:v>0</c:v>
                </c:pt>
                <c:pt idx="4">
                  <c:v>185.47200000000001</c:v>
                </c:pt>
                <c:pt idx="5">
                  <c:v>5.9184207695431503</c:v>
                </c:pt>
                <c:pt idx="6">
                  <c:v>69.468778760445673</c:v>
                </c:pt>
                <c:pt idx="8">
                  <c:v>0</c:v>
                </c:pt>
              </c:numCache>
            </c:numRef>
          </c:val>
          <c:extLst>
            <c:ext xmlns:c15="http://schemas.microsoft.com/office/drawing/2012/chart" uri="{02D57815-91ED-43cb-92C2-25804820EDAC}">
              <c15:categoryFilterExceptions>
                <c15:categoryFilterException>
                  <c15:sqref>Optimalisatie_Backlog!$L$27</c15:sqref>
                  <c15:spPr xmlns:c15="http://schemas.microsoft.com/office/drawing/2012/chart">
                    <a:solidFill>
                      <a:schemeClr val="accent4">
                        <a:lumMod val="60000"/>
                      </a:schemeClr>
                    </a:solidFill>
                    <a:ln>
                      <a:noFill/>
                    </a:ln>
                    <a:effectLst/>
                    <a:scene3d>
                      <a:camera prst="orthographicFront"/>
                      <a:lightRig rig="brightRoom" dir="t"/>
                    </a:scene3d>
                    <a:sp3d prstMaterial="flat">
                      <a:bevelT w="50800" h="101600" prst="angle"/>
                      <a:contourClr>
                        <a:srgbClr val="000000"/>
                      </a:contourClr>
                    </a:sp3d>
                  </c15:spPr>
                  <c15:bubble3D val="0"/>
                </c15:categoryFilterException>
                <c15:categoryFilterException>
                  <c15:sqref>Optimalisatie_Backlog!$M$27</c15:sqref>
                  <c15:spPr xmlns:c15="http://schemas.microsoft.com/office/drawing/2012/chart">
                    <a:solidFill>
                      <a:schemeClr val="accent5">
                        <a:lumMod val="60000"/>
                      </a:schemeClr>
                    </a:solidFill>
                    <a:ln>
                      <a:noFill/>
                    </a:ln>
                    <a:effectLst/>
                    <a:scene3d>
                      <a:camera prst="orthographicFront"/>
                      <a:lightRig rig="brightRoom" dir="t"/>
                    </a:scene3d>
                    <a:sp3d prstMaterial="flat">
                      <a:bevelT w="50800" h="101600" prst="angle"/>
                      <a:contourClr>
                        <a:srgbClr val="000000"/>
                      </a:contourClr>
                    </a:sp3d>
                  </c15:spPr>
                  <c15:bubble3D val="0"/>
                </c15:categoryFilterException>
                <c15:categoryFilterException>
                  <c15:sqref>Optimalisatie_Backlog!$N$27</c15:sqref>
                  <c15:spPr xmlns:c15="http://schemas.microsoft.com/office/drawing/2012/chart">
                    <a:solidFill>
                      <a:schemeClr val="accent6">
                        <a:lumMod val="60000"/>
                      </a:schemeClr>
                    </a:solidFill>
                    <a:ln>
                      <a:noFill/>
                    </a:ln>
                    <a:effectLst/>
                    <a:scene3d>
                      <a:camera prst="orthographicFront"/>
                      <a:lightRig rig="brightRoom" dir="t"/>
                    </a:scene3d>
                    <a:sp3d prstMaterial="flat">
                      <a:bevelT w="50800" h="101600" prst="angle"/>
                      <a:contourClr>
                        <a:srgbClr val="000000"/>
                      </a:contourClr>
                    </a:sp3d>
                  </c15:spPr>
                  <c15:bubble3D val="0"/>
                </c15:categoryFilterException>
                <c15:categoryFilterException>
                  <c15:sqref>Optimalisatie_Backlog!$O$27</c15:sqref>
                  <c15:spPr xmlns:c15="http://schemas.microsoft.com/office/drawing/2012/chart">
                    <a:solidFill>
                      <a:schemeClr val="accent1">
                        <a:lumMod val="80000"/>
                        <a:lumOff val="20000"/>
                      </a:schemeClr>
                    </a:solidFill>
                    <a:ln>
                      <a:noFill/>
                    </a:ln>
                    <a:effectLst/>
                    <a:scene3d>
                      <a:camera prst="orthographicFront"/>
                      <a:lightRig rig="brightRoom" dir="t"/>
                    </a:scene3d>
                    <a:sp3d prstMaterial="flat">
                      <a:bevelT w="50800" h="101600" prst="angle"/>
                      <a:contourClr>
                        <a:srgbClr val="000000"/>
                      </a:contourClr>
                    </a:sp3d>
                  </c15:spPr>
                  <c15:bubble3D val="0"/>
                </c15:categoryFilterException>
                <c15:categoryFilterException>
                  <c15:sqref>Optimalisatie_Backlog!$P$27</c15:sqref>
                  <c15:spPr xmlns:c15="http://schemas.microsoft.com/office/drawing/2012/chart">
                    <a:solidFill>
                      <a:schemeClr val="accent2">
                        <a:lumMod val="80000"/>
                        <a:lumOff val="20000"/>
                      </a:schemeClr>
                    </a:solidFill>
                    <a:ln>
                      <a:noFill/>
                    </a:ln>
                    <a:effectLst/>
                    <a:scene3d>
                      <a:camera prst="orthographicFront"/>
                      <a:lightRig rig="brightRoom" dir="t"/>
                    </a:scene3d>
                    <a:sp3d prstMaterial="flat">
                      <a:bevelT w="50800" h="101600" prst="angle"/>
                      <a:contourClr>
                        <a:srgbClr val="000000"/>
                      </a:contourClr>
                    </a:sp3d>
                  </c15:spPr>
                  <c15:bubble3D val="0"/>
                </c15:categoryFilterException>
                <c15:categoryFilterException>
                  <c15:sqref>Optimalisatie_Backlog!$Q$27</c15:sqref>
                  <c15:spPr xmlns:c15="http://schemas.microsoft.com/office/drawing/2012/chart">
                    <a:solidFill>
                      <a:schemeClr val="accent3">
                        <a:lumMod val="80000"/>
                        <a:lumOff val="20000"/>
                      </a:schemeClr>
                    </a:solidFill>
                    <a:ln>
                      <a:noFill/>
                    </a:ln>
                    <a:effectLst/>
                    <a:scene3d>
                      <a:camera prst="orthographicFront"/>
                      <a:lightRig rig="brightRoom" dir="t"/>
                    </a:scene3d>
                    <a:sp3d prstMaterial="flat">
                      <a:bevelT w="50800" h="101600" prst="angle"/>
                      <a:contourClr>
                        <a:srgbClr val="000000"/>
                      </a:contourClr>
                    </a:sp3d>
                  </c15:spPr>
                  <c15:bubble3D val="0"/>
                </c15:categoryFilterException>
                <c15:categoryFilterException>
                  <c15:sqref>Optimalisatie_Backlog!$R$27</c15:sqref>
                  <c15:spPr xmlns:c15="http://schemas.microsoft.com/office/drawing/2012/chart">
                    <a:solidFill>
                      <a:schemeClr val="accent4">
                        <a:lumMod val="80000"/>
                        <a:lumOff val="20000"/>
                      </a:schemeClr>
                    </a:solidFill>
                    <a:ln>
                      <a:noFill/>
                    </a:ln>
                    <a:effectLst/>
                    <a:scene3d>
                      <a:camera prst="orthographicFront"/>
                      <a:lightRig rig="brightRoom" dir="t"/>
                    </a:scene3d>
                    <a:sp3d prstMaterial="flat">
                      <a:bevelT w="50800" h="101600" prst="angle"/>
                      <a:contourClr>
                        <a:srgbClr val="000000"/>
                      </a:contourClr>
                    </a:sp3d>
                  </c15:spPr>
                  <c15:bubble3D val="0"/>
                </c15:categoryFilterException>
                <c15:categoryFilterException>
                  <c15:sqref>Optimalisatie_Backlog!$S$27</c15:sqref>
                  <c15:spPr xmlns:c15="http://schemas.microsoft.com/office/drawing/2012/chart">
                    <a:solidFill>
                      <a:schemeClr val="accent5">
                        <a:lumMod val="80000"/>
                        <a:lumOff val="20000"/>
                      </a:schemeClr>
                    </a:solidFill>
                    <a:ln>
                      <a:noFill/>
                    </a:ln>
                    <a:effectLst/>
                    <a:scene3d>
                      <a:camera prst="orthographicFront"/>
                      <a:lightRig rig="brightRoom" dir="t"/>
                    </a:scene3d>
                    <a:sp3d prstMaterial="flat">
                      <a:bevelT w="50800" h="101600" prst="angle"/>
                      <a:contourClr>
                        <a:srgbClr val="000000"/>
                      </a:contourClr>
                    </a:sp3d>
                  </c15:spPr>
                  <c15:bubble3D val="0"/>
                </c15:categoryFilterException>
              </c15:categoryFilterExceptions>
            </c:ext>
            <c:ext xmlns:c16="http://schemas.microsoft.com/office/drawing/2014/chart" uri="{C3380CC4-5D6E-409C-BE32-E72D297353CC}">
              <c16:uniqueId val="{0000002E-755A-408A-82FF-0A2C9519D9DD}"/>
            </c:ext>
          </c:extLst>
        </c:ser>
        <c:ser>
          <c:idx val="24"/>
          <c:order val="6"/>
          <c:tx>
            <c:strRef>
              <c:f>Optimalisatie_Backlog!$B$28</c:f>
              <c:strCache>
                <c:ptCount val="1"/>
                <c:pt idx="0">
                  <c:v>430040 - Leveren en aanbrengen opsluitbanden 100x200</c:v>
                </c:pt>
              </c:strCache>
            </c:strRef>
          </c:tx>
          <c:dPt>
            <c:idx val="0"/>
            <c:bubble3D val="0"/>
            <c:spPr>
              <a:solidFill>
                <a:schemeClr val="accent1"/>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BD-4522-4A09-AED6-B5FF71AE0B9C}"/>
              </c:ext>
            </c:extLst>
          </c:dPt>
          <c:dPt>
            <c:idx val="1"/>
            <c:bubble3D val="0"/>
            <c:spPr>
              <a:solidFill>
                <a:schemeClr val="accent2"/>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BF-4522-4A09-AED6-B5FF71AE0B9C}"/>
              </c:ext>
            </c:extLst>
          </c:dPt>
          <c:dPt>
            <c:idx val="2"/>
            <c:bubble3D val="0"/>
            <c:spPr>
              <a:solidFill>
                <a:schemeClr val="accent3"/>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C1-4522-4A09-AED6-B5FF71AE0B9C}"/>
              </c:ext>
            </c:extLst>
          </c:dPt>
          <c:dPt>
            <c:idx val="3"/>
            <c:bubble3D val="0"/>
            <c:spPr>
              <a:solidFill>
                <a:schemeClr val="accent4"/>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C3-4522-4A09-AED6-B5FF71AE0B9C}"/>
              </c:ext>
            </c:extLst>
          </c:dPt>
          <c:dPt>
            <c:idx val="4"/>
            <c:bubble3D val="0"/>
            <c:spPr>
              <a:solidFill>
                <a:schemeClr val="accent5"/>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C5-4522-4A09-AED6-B5FF71AE0B9C}"/>
              </c:ext>
            </c:extLst>
          </c:dPt>
          <c:dPt>
            <c:idx val="5"/>
            <c:bubble3D val="0"/>
            <c:spPr>
              <a:solidFill>
                <a:schemeClr val="accent6"/>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C7-4522-4A09-AED6-B5FF71AE0B9C}"/>
              </c:ext>
            </c:extLst>
          </c:dPt>
          <c:dPt>
            <c:idx val="6"/>
            <c:bubble3D val="0"/>
            <c:spPr>
              <a:solidFill>
                <a:schemeClr val="accent1">
                  <a:lumMod val="60000"/>
                </a:schemeClr>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C9-4522-4A09-AED6-B5FF71AE0B9C}"/>
              </c:ext>
            </c:extLst>
          </c:dPt>
          <c:dPt>
            <c:idx val="7"/>
            <c:bubble3D val="0"/>
            <c:spPr>
              <a:solidFill>
                <a:schemeClr val="accent2">
                  <a:lumMod val="60000"/>
                </a:schemeClr>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CB-4522-4A09-AED6-B5FF71AE0B9C}"/>
              </c:ext>
            </c:extLst>
          </c:dPt>
          <c:dPt>
            <c:idx val="8"/>
            <c:bubble3D val="0"/>
            <c:spPr>
              <a:solidFill>
                <a:schemeClr val="accent3">
                  <a:lumMod val="60000"/>
                </a:schemeClr>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CD-4522-4A09-AED6-B5FF71AE0B9C}"/>
              </c:ext>
            </c:extLst>
          </c:dPt>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n-US"/>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extLst>
                <c:ext xmlns:c15="http://schemas.microsoft.com/office/drawing/2012/chart" uri="{02D57815-91ED-43cb-92C2-25804820EDAC}">
                  <c15:fullRef>
                    <c15:sqref>Optimalisatie_Backlog!$G$3:$O$3</c15:sqref>
                  </c15:fullRef>
                </c:ext>
              </c:extLst>
              <c:f>Optimalisatie_Backlog!$G$3:$O$3</c:f>
              <c:strCache>
                <c:ptCount val="9"/>
                <c:pt idx="0">
                  <c:v>A1-A3</c:v>
                </c:pt>
                <c:pt idx="1">
                  <c:v>A4</c:v>
                </c:pt>
                <c:pt idx="2">
                  <c:v>A5</c:v>
                </c:pt>
                <c:pt idx="3">
                  <c:v>B1</c:v>
                </c:pt>
                <c:pt idx="4">
                  <c:v>B4</c:v>
                </c:pt>
                <c:pt idx="5">
                  <c:v>C1</c:v>
                </c:pt>
                <c:pt idx="6">
                  <c:v>C2</c:v>
                </c:pt>
                <c:pt idx="7">
                  <c:v>C3</c:v>
                </c:pt>
                <c:pt idx="8">
                  <c:v>C4</c:v>
                </c:pt>
              </c:strCache>
            </c:strRef>
          </c:cat>
          <c:val>
            <c:numRef>
              <c:extLst>
                <c:ext xmlns:c15="http://schemas.microsoft.com/office/drawing/2012/chart" uri="{02D57815-91ED-43cb-92C2-25804820EDAC}">
                  <c15:fullRef>
                    <c15:sqref>Optimalisatie_Backlog!$C$28:$S$28</c15:sqref>
                  </c15:fullRef>
                </c:ext>
              </c:extLst>
              <c:f>Optimalisatie_Backlog!$C$28:$K$28</c:f>
              <c:numCache>
                <c:formatCode>_([$€-2]\ * #,##0.00_);_([$€-2]\ * \(#,##0.00\);_([$€-2]\ * "-"??_);_(@_)</c:formatCode>
                <c:ptCount val="9"/>
                <c:pt idx="0">
                  <c:v>0</c:v>
                </c:pt>
                <c:pt idx="1">
                  <c:v>444.14954999999992</c:v>
                </c:pt>
                <c:pt idx="2">
                  <c:v>0</c:v>
                </c:pt>
                <c:pt idx="3">
                  <c:v>0</c:v>
                </c:pt>
                <c:pt idx="4">
                  <c:v>638.26035000000002</c:v>
                </c:pt>
                <c:pt idx="5">
                  <c:v>20.763617349850378</c:v>
                </c:pt>
                <c:pt idx="6">
                  <c:v>401.37516617146395</c:v>
                </c:pt>
                <c:pt idx="8">
                  <c:v>0</c:v>
                </c:pt>
              </c:numCache>
            </c:numRef>
          </c:val>
          <c:extLst>
            <c:ext xmlns:c15="http://schemas.microsoft.com/office/drawing/2012/chart" uri="{02D57815-91ED-43cb-92C2-25804820EDAC}">
              <c15:categoryFilterExceptions>
                <c15:categoryFilterException>
                  <c15:sqref>Optimalisatie_Backlog!$L$28</c15:sqref>
                  <c15:spPr xmlns:c15="http://schemas.microsoft.com/office/drawing/2012/chart">
                    <a:solidFill>
                      <a:schemeClr val="accent4">
                        <a:lumMod val="60000"/>
                      </a:schemeClr>
                    </a:solidFill>
                    <a:ln>
                      <a:noFill/>
                    </a:ln>
                    <a:effectLst/>
                    <a:scene3d>
                      <a:camera prst="orthographicFront"/>
                      <a:lightRig rig="brightRoom" dir="t"/>
                    </a:scene3d>
                    <a:sp3d prstMaterial="flat">
                      <a:bevelT w="50800" h="101600" prst="angle"/>
                      <a:contourClr>
                        <a:srgbClr val="000000"/>
                      </a:contourClr>
                    </a:sp3d>
                  </c15:spPr>
                  <c15:bubble3D val="0"/>
                </c15:categoryFilterException>
                <c15:categoryFilterException>
                  <c15:sqref>Optimalisatie_Backlog!$M$28</c15:sqref>
                  <c15:spPr xmlns:c15="http://schemas.microsoft.com/office/drawing/2012/chart">
                    <a:solidFill>
                      <a:schemeClr val="accent5">
                        <a:lumMod val="60000"/>
                      </a:schemeClr>
                    </a:solidFill>
                    <a:ln>
                      <a:noFill/>
                    </a:ln>
                    <a:effectLst/>
                    <a:scene3d>
                      <a:camera prst="orthographicFront"/>
                      <a:lightRig rig="brightRoom" dir="t"/>
                    </a:scene3d>
                    <a:sp3d prstMaterial="flat">
                      <a:bevelT w="50800" h="101600" prst="angle"/>
                      <a:contourClr>
                        <a:srgbClr val="000000"/>
                      </a:contourClr>
                    </a:sp3d>
                  </c15:spPr>
                  <c15:bubble3D val="0"/>
                </c15:categoryFilterException>
                <c15:categoryFilterException>
                  <c15:sqref>Optimalisatie_Backlog!$N$28</c15:sqref>
                  <c15:spPr xmlns:c15="http://schemas.microsoft.com/office/drawing/2012/chart">
                    <a:solidFill>
                      <a:schemeClr val="accent6">
                        <a:lumMod val="60000"/>
                      </a:schemeClr>
                    </a:solidFill>
                    <a:ln>
                      <a:noFill/>
                    </a:ln>
                    <a:effectLst/>
                    <a:scene3d>
                      <a:camera prst="orthographicFront"/>
                      <a:lightRig rig="brightRoom" dir="t"/>
                    </a:scene3d>
                    <a:sp3d prstMaterial="flat">
                      <a:bevelT w="50800" h="101600" prst="angle"/>
                      <a:contourClr>
                        <a:srgbClr val="000000"/>
                      </a:contourClr>
                    </a:sp3d>
                  </c15:spPr>
                  <c15:bubble3D val="0"/>
                </c15:categoryFilterException>
                <c15:categoryFilterException>
                  <c15:sqref>Optimalisatie_Backlog!$O$28</c15:sqref>
                  <c15:spPr xmlns:c15="http://schemas.microsoft.com/office/drawing/2012/chart">
                    <a:solidFill>
                      <a:schemeClr val="accent1">
                        <a:lumMod val="80000"/>
                        <a:lumOff val="20000"/>
                      </a:schemeClr>
                    </a:solidFill>
                    <a:ln>
                      <a:noFill/>
                    </a:ln>
                    <a:effectLst/>
                    <a:scene3d>
                      <a:camera prst="orthographicFront"/>
                      <a:lightRig rig="brightRoom" dir="t"/>
                    </a:scene3d>
                    <a:sp3d prstMaterial="flat">
                      <a:bevelT w="50800" h="101600" prst="angle"/>
                      <a:contourClr>
                        <a:srgbClr val="000000"/>
                      </a:contourClr>
                    </a:sp3d>
                  </c15:spPr>
                  <c15:bubble3D val="0"/>
                </c15:categoryFilterException>
                <c15:categoryFilterException>
                  <c15:sqref>Optimalisatie_Backlog!$P$28</c15:sqref>
                  <c15:spPr xmlns:c15="http://schemas.microsoft.com/office/drawing/2012/chart">
                    <a:solidFill>
                      <a:schemeClr val="accent2">
                        <a:lumMod val="80000"/>
                        <a:lumOff val="20000"/>
                      </a:schemeClr>
                    </a:solidFill>
                    <a:ln>
                      <a:noFill/>
                    </a:ln>
                    <a:effectLst/>
                    <a:scene3d>
                      <a:camera prst="orthographicFront"/>
                      <a:lightRig rig="brightRoom" dir="t"/>
                    </a:scene3d>
                    <a:sp3d prstMaterial="flat">
                      <a:bevelT w="50800" h="101600" prst="angle"/>
                      <a:contourClr>
                        <a:srgbClr val="000000"/>
                      </a:contourClr>
                    </a:sp3d>
                  </c15:spPr>
                  <c15:bubble3D val="0"/>
                </c15:categoryFilterException>
                <c15:categoryFilterException>
                  <c15:sqref>Optimalisatie_Backlog!$Q$28</c15:sqref>
                  <c15:spPr xmlns:c15="http://schemas.microsoft.com/office/drawing/2012/chart">
                    <a:solidFill>
                      <a:schemeClr val="accent3">
                        <a:lumMod val="80000"/>
                        <a:lumOff val="20000"/>
                      </a:schemeClr>
                    </a:solidFill>
                    <a:ln>
                      <a:noFill/>
                    </a:ln>
                    <a:effectLst/>
                    <a:scene3d>
                      <a:camera prst="orthographicFront"/>
                      <a:lightRig rig="brightRoom" dir="t"/>
                    </a:scene3d>
                    <a:sp3d prstMaterial="flat">
                      <a:bevelT w="50800" h="101600" prst="angle"/>
                      <a:contourClr>
                        <a:srgbClr val="000000"/>
                      </a:contourClr>
                    </a:sp3d>
                  </c15:spPr>
                  <c15:bubble3D val="0"/>
                </c15:categoryFilterException>
                <c15:categoryFilterException>
                  <c15:sqref>Optimalisatie_Backlog!$R$28</c15:sqref>
                  <c15:spPr xmlns:c15="http://schemas.microsoft.com/office/drawing/2012/chart">
                    <a:solidFill>
                      <a:schemeClr val="accent4">
                        <a:lumMod val="80000"/>
                        <a:lumOff val="20000"/>
                      </a:schemeClr>
                    </a:solidFill>
                    <a:ln>
                      <a:noFill/>
                    </a:ln>
                    <a:effectLst/>
                    <a:scene3d>
                      <a:camera prst="orthographicFront"/>
                      <a:lightRig rig="brightRoom" dir="t"/>
                    </a:scene3d>
                    <a:sp3d prstMaterial="flat">
                      <a:bevelT w="50800" h="101600" prst="angle"/>
                      <a:contourClr>
                        <a:srgbClr val="000000"/>
                      </a:contourClr>
                    </a:sp3d>
                  </c15:spPr>
                  <c15:bubble3D val="0"/>
                </c15:categoryFilterException>
                <c15:categoryFilterException>
                  <c15:sqref>Optimalisatie_Backlog!$S$28</c15:sqref>
                  <c15:spPr xmlns:c15="http://schemas.microsoft.com/office/drawing/2012/chart">
                    <a:solidFill>
                      <a:schemeClr val="accent5">
                        <a:lumMod val="80000"/>
                        <a:lumOff val="20000"/>
                      </a:schemeClr>
                    </a:solidFill>
                    <a:ln>
                      <a:noFill/>
                    </a:ln>
                    <a:effectLst/>
                    <a:scene3d>
                      <a:camera prst="orthographicFront"/>
                      <a:lightRig rig="brightRoom" dir="t"/>
                    </a:scene3d>
                    <a:sp3d prstMaterial="flat">
                      <a:bevelT w="50800" h="101600" prst="angle"/>
                      <a:contourClr>
                        <a:srgbClr val="000000"/>
                      </a:contourClr>
                    </a:sp3d>
                  </c15:spPr>
                  <c15:bubble3D val="0"/>
                </c15:categoryFilterException>
              </c15:categoryFilterExceptions>
            </c:ext>
            <c:ext xmlns:c16="http://schemas.microsoft.com/office/drawing/2014/chart" uri="{C3380CC4-5D6E-409C-BE32-E72D297353CC}">
              <c16:uniqueId val="{0000002F-755A-408A-82FF-0A2C9519D9DD}"/>
            </c:ext>
          </c:extLst>
        </c:ser>
        <c:ser>
          <c:idx val="25"/>
          <c:order val="7"/>
          <c:tx>
            <c:strRef>
              <c:f>Optimalisatie_Backlog!$B$29</c:f>
              <c:strCache>
                <c:ptCount val="1"/>
                <c:pt idx="0">
                  <c:v>430050 - Leveren en aanbrengen opsluitbanden 120x250</c:v>
                </c:pt>
              </c:strCache>
            </c:strRef>
          </c:tx>
          <c:dPt>
            <c:idx val="0"/>
            <c:bubble3D val="0"/>
            <c:spPr>
              <a:solidFill>
                <a:schemeClr val="accent1"/>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DF-4522-4A09-AED6-B5FF71AE0B9C}"/>
              </c:ext>
            </c:extLst>
          </c:dPt>
          <c:dPt>
            <c:idx val="1"/>
            <c:bubble3D val="0"/>
            <c:spPr>
              <a:solidFill>
                <a:schemeClr val="accent2"/>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E1-4522-4A09-AED6-B5FF71AE0B9C}"/>
              </c:ext>
            </c:extLst>
          </c:dPt>
          <c:dPt>
            <c:idx val="2"/>
            <c:bubble3D val="0"/>
            <c:spPr>
              <a:solidFill>
                <a:schemeClr val="accent3"/>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E3-4522-4A09-AED6-B5FF71AE0B9C}"/>
              </c:ext>
            </c:extLst>
          </c:dPt>
          <c:dPt>
            <c:idx val="3"/>
            <c:bubble3D val="0"/>
            <c:spPr>
              <a:solidFill>
                <a:schemeClr val="accent4"/>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E5-4522-4A09-AED6-B5FF71AE0B9C}"/>
              </c:ext>
            </c:extLst>
          </c:dPt>
          <c:dPt>
            <c:idx val="4"/>
            <c:bubble3D val="0"/>
            <c:spPr>
              <a:solidFill>
                <a:schemeClr val="accent5"/>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E7-4522-4A09-AED6-B5FF71AE0B9C}"/>
              </c:ext>
            </c:extLst>
          </c:dPt>
          <c:dPt>
            <c:idx val="5"/>
            <c:bubble3D val="0"/>
            <c:spPr>
              <a:solidFill>
                <a:schemeClr val="accent6"/>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E9-4522-4A09-AED6-B5FF71AE0B9C}"/>
              </c:ext>
            </c:extLst>
          </c:dPt>
          <c:dPt>
            <c:idx val="6"/>
            <c:bubble3D val="0"/>
            <c:spPr>
              <a:solidFill>
                <a:schemeClr val="accent1">
                  <a:lumMod val="60000"/>
                </a:schemeClr>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EB-4522-4A09-AED6-B5FF71AE0B9C}"/>
              </c:ext>
            </c:extLst>
          </c:dPt>
          <c:dPt>
            <c:idx val="7"/>
            <c:bubble3D val="0"/>
            <c:spPr>
              <a:solidFill>
                <a:schemeClr val="accent2">
                  <a:lumMod val="60000"/>
                </a:schemeClr>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ED-4522-4A09-AED6-B5FF71AE0B9C}"/>
              </c:ext>
            </c:extLst>
          </c:dPt>
          <c:dPt>
            <c:idx val="8"/>
            <c:bubble3D val="0"/>
            <c:spPr>
              <a:solidFill>
                <a:schemeClr val="accent3">
                  <a:lumMod val="60000"/>
                </a:schemeClr>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EF-4522-4A09-AED6-B5FF71AE0B9C}"/>
              </c:ext>
            </c:extLst>
          </c:dPt>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n-US"/>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extLst>
                <c:ext xmlns:c15="http://schemas.microsoft.com/office/drawing/2012/chart" uri="{02D57815-91ED-43cb-92C2-25804820EDAC}">
                  <c15:fullRef>
                    <c15:sqref>Optimalisatie_Backlog!$G$3:$O$3</c15:sqref>
                  </c15:fullRef>
                </c:ext>
              </c:extLst>
              <c:f>Optimalisatie_Backlog!$G$3:$O$3</c:f>
              <c:strCache>
                <c:ptCount val="9"/>
                <c:pt idx="0">
                  <c:v>A1-A3</c:v>
                </c:pt>
                <c:pt idx="1">
                  <c:v>A4</c:v>
                </c:pt>
                <c:pt idx="2">
                  <c:v>A5</c:v>
                </c:pt>
                <c:pt idx="3">
                  <c:v>B1</c:v>
                </c:pt>
                <c:pt idx="4">
                  <c:v>B4</c:v>
                </c:pt>
                <c:pt idx="5">
                  <c:v>C1</c:v>
                </c:pt>
                <c:pt idx="6">
                  <c:v>C2</c:v>
                </c:pt>
                <c:pt idx="7">
                  <c:v>C3</c:v>
                </c:pt>
                <c:pt idx="8">
                  <c:v>C4</c:v>
                </c:pt>
              </c:strCache>
            </c:strRef>
          </c:cat>
          <c:val>
            <c:numRef>
              <c:extLst>
                <c:ext xmlns:c15="http://schemas.microsoft.com/office/drawing/2012/chart" uri="{02D57815-91ED-43cb-92C2-25804820EDAC}">
                  <c15:fullRef>
                    <c15:sqref>Optimalisatie_Backlog!$C$29:$S$29</c15:sqref>
                  </c15:fullRef>
                </c:ext>
              </c:extLst>
              <c:f>Optimalisatie_Backlog!$C$29:$K$29</c:f>
              <c:numCache>
                <c:formatCode>_([$€-2]\ * #,##0.00_);_([$€-2]\ * \(#,##0.00\);_([$€-2]\ * "-"??_);_(@_)</c:formatCode>
                <c:ptCount val="9"/>
                <c:pt idx="0">
                  <c:v>0</c:v>
                </c:pt>
                <c:pt idx="1">
                  <c:v>779.86124999999993</c:v>
                </c:pt>
                <c:pt idx="2">
                  <c:v>0</c:v>
                </c:pt>
                <c:pt idx="3">
                  <c:v>0</c:v>
                </c:pt>
                <c:pt idx="4">
                  <c:v>1120.6912499999999</c:v>
                </c:pt>
                <c:pt idx="5">
                  <c:v>36.457856550740637</c:v>
                </c:pt>
                <c:pt idx="6">
                  <c:v>422.85343593314758</c:v>
                </c:pt>
                <c:pt idx="8">
                  <c:v>0</c:v>
                </c:pt>
              </c:numCache>
            </c:numRef>
          </c:val>
          <c:extLst>
            <c:ext xmlns:c15="http://schemas.microsoft.com/office/drawing/2012/chart" uri="{02D57815-91ED-43cb-92C2-25804820EDAC}">
              <c15:categoryFilterExceptions>
                <c15:categoryFilterException>
                  <c15:sqref>Optimalisatie_Backlog!$L$29</c15:sqref>
                  <c15:spPr xmlns:c15="http://schemas.microsoft.com/office/drawing/2012/chart">
                    <a:solidFill>
                      <a:schemeClr val="accent4">
                        <a:lumMod val="60000"/>
                      </a:schemeClr>
                    </a:solidFill>
                    <a:ln>
                      <a:noFill/>
                    </a:ln>
                    <a:effectLst/>
                    <a:scene3d>
                      <a:camera prst="orthographicFront"/>
                      <a:lightRig rig="brightRoom" dir="t"/>
                    </a:scene3d>
                    <a:sp3d prstMaterial="flat">
                      <a:bevelT w="50800" h="101600" prst="angle"/>
                      <a:contourClr>
                        <a:srgbClr val="000000"/>
                      </a:contourClr>
                    </a:sp3d>
                  </c15:spPr>
                  <c15:bubble3D val="0"/>
                </c15:categoryFilterException>
                <c15:categoryFilterException>
                  <c15:sqref>Optimalisatie_Backlog!$M$29</c15:sqref>
                  <c15:spPr xmlns:c15="http://schemas.microsoft.com/office/drawing/2012/chart">
                    <a:solidFill>
                      <a:schemeClr val="accent5">
                        <a:lumMod val="60000"/>
                      </a:schemeClr>
                    </a:solidFill>
                    <a:ln>
                      <a:noFill/>
                    </a:ln>
                    <a:effectLst/>
                    <a:scene3d>
                      <a:camera prst="orthographicFront"/>
                      <a:lightRig rig="brightRoom" dir="t"/>
                    </a:scene3d>
                    <a:sp3d prstMaterial="flat">
                      <a:bevelT w="50800" h="101600" prst="angle"/>
                      <a:contourClr>
                        <a:srgbClr val="000000"/>
                      </a:contourClr>
                    </a:sp3d>
                  </c15:spPr>
                  <c15:bubble3D val="0"/>
                </c15:categoryFilterException>
                <c15:categoryFilterException>
                  <c15:sqref>Optimalisatie_Backlog!$N$29</c15:sqref>
                  <c15:spPr xmlns:c15="http://schemas.microsoft.com/office/drawing/2012/chart">
                    <a:solidFill>
                      <a:schemeClr val="accent6">
                        <a:lumMod val="60000"/>
                      </a:schemeClr>
                    </a:solidFill>
                    <a:ln>
                      <a:noFill/>
                    </a:ln>
                    <a:effectLst/>
                    <a:scene3d>
                      <a:camera prst="orthographicFront"/>
                      <a:lightRig rig="brightRoom" dir="t"/>
                    </a:scene3d>
                    <a:sp3d prstMaterial="flat">
                      <a:bevelT w="50800" h="101600" prst="angle"/>
                      <a:contourClr>
                        <a:srgbClr val="000000"/>
                      </a:contourClr>
                    </a:sp3d>
                  </c15:spPr>
                  <c15:bubble3D val="0"/>
                </c15:categoryFilterException>
                <c15:categoryFilterException>
                  <c15:sqref>Optimalisatie_Backlog!$O$29</c15:sqref>
                  <c15:spPr xmlns:c15="http://schemas.microsoft.com/office/drawing/2012/chart">
                    <a:solidFill>
                      <a:schemeClr val="accent1">
                        <a:lumMod val="80000"/>
                        <a:lumOff val="20000"/>
                      </a:schemeClr>
                    </a:solidFill>
                    <a:ln>
                      <a:noFill/>
                    </a:ln>
                    <a:effectLst/>
                    <a:scene3d>
                      <a:camera prst="orthographicFront"/>
                      <a:lightRig rig="brightRoom" dir="t"/>
                    </a:scene3d>
                    <a:sp3d prstMaterial="flat">
                      <a:bevelT w="50800" h="101600" prst="angle"/>
                      <a:contourClr>
                        <a:srgbClr val="000000"/>
                      </a:contourClr>
                    </a:sp3d>
                  </c15:spPr>
                  <c15:bubble3D val="0"/>
                </c15:categoryFilterException>
                <c15:categoryFilterException>
                  <c15:sqref>Optimalisatie_Backlog!$P$29</c15:sqref>
                  <c15:spPr xmlns:c15="http://schemas.microsoft.com/office/drawing/2012/chart">
                    <a:solidFill>
                      <a:schemeClr val="accent2">
                        <a:lumMod val="80000"/>
                        <a:lumOff val="20000"/>
                      </a:schemeClr>
                    </a:solidFill>
                    <a:ln>
                      <a:noFill/>
                    </a:ln>
                    <a:effectLst/>
                    <a:scene3d>
                      <a:camera prst="orthographicFront"/>
                      <a:lightRig rig="brightRoom" dir="t"/>
                    </a:scene3d>
                    <a:sp3d prstMaterial="flat">
                      <a:bevelT w="50800" h="101600" prst="angle"/>
                      <a:contourClr>
                        <a:srgbClr val="000000"/>
                      </a:contourClr>
                    </a:sp3d>
                  </c15:spPr>
                  <c15:bubble3D val="0"/>
                </c15:categoryFilterException>
                <c15:categoryFilterException>
                  <c15:sqref>Optimalisatie_Backlog!$Q$29</c15:sqref>
                  <c15:spPr xmlns:c15="http://schemas.microsoft.com/office/drawing/2012/chart">
                    <a:solidFill>
                      <a:schemeClr val="accent3">
                        <a:lumMod val="80000"/>
                        <a:lumOff val="20000"/>
                      </a:schemeClr>
                    </a:solidFill>
                    <a:ln>
                      <a:noFill/>
                    </a:ln>
                    <a:effectLst/>
                    <a:scene3d>
                      <a:camera prst="orthographicFront"/>
                      <a:lightRig rig="brightRoom" dir="t"/>
                    </a:scene3d>
                    <a:sp3d prstMaterial="flat">
                      <a:bevelT w="50800" h="101600" prst="angle"/>
                      <a:contourClr>
                        <a:srgbClr val="000000"/>
                      </a:contourClr>
                    </a:sp3d>
                  </c15:spPr>
                  <c15:bubble3D val="0"/>
                </c15:categoryFilterException>
                <c15:categoryFilterException>
                  <c15:sqref>Optimalisatie_Backlog!$R$29</c15:sqref>
                  <c15:spPr xmlns:c15="http://schemas.microsoft.com/office/drawing/2012/chart">
                    <a:solidFill>
                      <a:schemeClr val="accent4">
                        <a:lumMod val="80000"/>
                        <a:lumOff val="20000"/>
                      </a:schemeClr>
                    </a:solidFill>
                    <a:ln>
                      <a:noFill/>
                    </a:ln>
                    <a:effectLst/>
                    <a:scene3d>
                      <a:camera prst="orthographicFront"/>
                      <a:lightRig rig="brightRoom" dir="t"/>
                    </a:scene3d>
                    <a:sp3d prstMaterial="flat">
                      <a:bevelT w="50800" h="101600" prst="angle"/>
                      <a:contourClr>
                        <a:srgbClr val="000000"/>
                      </a:contourClr>
                    </a:sp3d>
                  </c15:spPr>
                  <c15:bubble3D val="0"/>
                </c15:categoryFilterException>
                <c15:categoryFilterException>
                  <c15:sqref>Optimalisatie_Backlog!$S$29</c15:sqref>
                  <c15:spPr xmlns:c15="http://schemas.microsoft.com/office/drawing/2012/chart">
                    <a:solidFill>
                      <a:schemeClr val="accent5">
                        <a:lumMod val="80000"/>
                        <a:lumOff val="20000"/>
                      </a:schemeClr>
                    </a:solidFill>
                    <a:ln>
                      <a:noFill/>
                    </a:ln>
                    <a:effectLst/>
                    <a:scene3d>
                      <a:camera prst="orthographicFront"/>
                      <a:lightRig rig="brightRoom" dir="t"/>
                    </a:scene3d>
                    <a:sp3d prstMaterial="flat">
                      <a:bevelT w="50800" h="101600" prst="angle"/>
                      <a:contourClr>
                        <a:srgbClr val="000000"/>
                      </a:contourClr>
                    </a:sp3d>
                  </c15:spPr>
                  <c15:bubble3D val="0"/>
                </c15:categoryFilterException>
              </c15:categoryFilterExceptions>
            </c:ext>
            <c:ext xmlns:c16="http://schemas.microsoft.com/office/drawing/2014/chart" uri="{C3380CC4-5D6E-409C-BE32-E72D297353CC}">
              <c16:uniqueId val="{00000030-755A-408A-82FF-0A2C9519D9DD}"/>
            </c:ext>
          </c:extLst>
        </c:ser>
        <c:ser>
          <c:idx val="26"/>
          <c:order val="8"/>
          <c:tx>
            <c:strRef>
              <c:f>Optimalisatie_Backlog!$B$30</c:f>
              <c:strCache>
                <c:ptCount val="1"/>
                <c:pt idx="0">
                  <c:v>440010 - Aanbrengen straatbakstenen DF, Rood (rijweg)</c:v>
                </c:pt>
              </c:strCache>
            </c:strRef>
          </c:tx>
          <c:dPt>
            <c:idx val="0"/>
            <c:bubble3D val="0"/>
            <c:spPr>
              <a:solidFill>
                <a:schemeClr val="accent1"/>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101-4522-4A09-AED6-B5FF71AE0B9C}"/>
              </c:ext>
            </c:extLst>
          </c:dPt>
          <c:dPt>
            <c:idx val="1"/>
            <c:bubble3D val="0"/>
            <c:spPr>
              <a:solidFill>
                <a:schemeClr val="accent2"/>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103-4522-4A09-AED6-B5FF71AE0B9C}"/>
              </c:ext>
            </c:extLst>
          </c:dPt>
          <c:dPt>
            <c:idx val="2"/>
            <c:bubble3D val="0"/>
            <c:spPr>
              <a:solidFill>
                <a:schemeClr val="accent3"/>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105-4522-4A09-AED6-B5FF71AE0B9C}"/>
              </c:ext>
            </c:extLst>
          </c:dPt>
          <c:dPt>
            <c:idx val="3"/>
            <c:bubble3D val="0"/>
            <c:spPr>
              <a:solidFill>
                <a:schemeClr val="accent4"/>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107-4522-4A09-AED6-B5FF71AE0B9C}"/>
              </c:ext>
            </c:extLst>
          </c:dPt>
          <c:dPt>
            <c:idx val="4"/>
            <c:bubble3D val="0"/>
            <c:spPr>
              <a:solidFill>
                <a:schemeClr val="accent5"/>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109-4522-4A09-AED6-B5FF71AE0B9C}"/>
              </c:ext>
            </c:extLst>
          </c:dPt>
          <c:dPt>
            <c:idx val="5"/>
            <c:bubble3D val="0"/>
            <c:spPr>
              <a:solidFill>
                <a:schemeClr val="accent6"/>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10B-4522-4A09-AED6-B5FF71AE0B9C}"/>
              </c:ext>
            </c:extLst>
          </c:dPt>
          <c:dPt>
            <c:idx val="6"/>
            <c:bubble3D val="0"/>
            <c:spPr>
              <a:solidFill>
                <a:schemeClr val="accent1">
                  <a:lumMod val="60000"/>
                </a:schemeClr>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10D-4522-4A09-AED6-B5FF71AE0B9C}"/>
              </c:ext>
            </c:extLst>
          </c:dPt>
          <c:dPt>
            <c:idx val="7"/>
            <c:bubble3D val="0"/>
            <c:spPr>
              <a:solidFill>
                <a:schemeClr val="accent2">
                  <a:lumMod val="60000"/>
                </a:schemeClr>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10F-4522-4A09-AED6-B5FF71AE0B9C}"/>
              </c:ext>
            </c:extLst>
          </c:dPt>
          <c:dPt>
            <c:idx val="8"/>
            <c:bubble3D val="0"/>
            <c:spPr>
              <a:solidFill>
                <a:schemeClr val="accent3">
                  <a:lumMod val="60000"/>
                </a:schemeClr>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111-4522-4A09-AED6-B5FF71AE0B9C}"/>
              </c:ext>
            </c:extLst>
          </c:dPt>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n-US"/>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extLst>
                <c:ext xmlns:c15="http://schemas.microsoft.com/office/drawing/2012/chart" uri="{02D57815-91ED-43cb-92C2-25804820EDAC}">
                  <c15:fullRef>
                    <c15:sqref>Optimalisatie_Backlog!$G$3:$O$3</c15:sqref>
                  </c15:fullRef>
                </c:ext>
              </c:extLst>
              <c:f>Optimalisatie_Backlog!$G$3:$O$3</c:f>
              <c:strCache>
                <c:ptCount val="9"/>
                <c:pt idx="0">
                  <c:v>A1-A3</c:v>
                </c:pt>
                <c:pt idx="1">
                  <c:v>A4</c:v>
                </c:pt>
                <c:pt idx="2">
                  <c:v>A5</c:v>
                </c:pt>
                <c:pt idx="3">
                  <c:v>B1</c:v>
                </c:pt>
                <c:pt idx="4">
                  <c:v>B4</c:v>
                </c:pt>
                <c:pt idx="5">
                  <c:v>C1</c:v>
                </c:pt>
                <c:pt idx="6">
                  <c:v>C2</c:v>
                </c:pt>
                <c:pt idx="7">
                  <c:v>C3</c:v>
                </c:pt>
                <c:pt idx="8">
                  <c:v>C4</c:v>
                </c:pt>
              </c:strCache>
            </c:strRef>
          </c:cat>
          <c:val>
            <c:numRef>
              <c:extLst>
                <c:ext xmlns:c15="http://schemas.microsoft.com/office/drawing/2012/chart" uri="{02D57815-91ED-43cb-92C2-25804820EDAC}">
                  <c15:fullRef>
                    <c15:sqref>Optimalisatie_Backlog!$C$30:$S$30</c15:sqref>
                  </c15:fullRef>
                </c:ext>
              </c:extLst>
              <c:f>Optimalisatie_Backlog!$C$30:$K$30</c:f>
              <c:numCache>
                <c:formatCode>_([$€-2]\ * #,##0.00_);_([$€-2]\ * \(#,##0.00\);_([$€-2]\ * "-"??_);_(@_)</c:formatCode>
                <c:ptCount val="9"/>
                <c:pt idx="0">
                  <c:v>0</c:v>
                </c:pt>
                <c:pt idx="1">
                  <c:v>0</c:v>
                </c:pt>
                <c:pt idx="2">
                  <c:v>0</c:v>
                </c:pt>
                <c:pt idx="3">
                  <c:v>0</c:v>
                </c:pt>
                <c:pt idx="4">
                  <c:v>14671.189049999999</c:v>
                </c:pt>
                <c:pt idx="5">
                  <c:v>312.44324755490004</c:v>
                </c:pt>
                <c:pt idx="6">
                  <c:v>3732.6374300670004</c:v>
                </c:pt>
                <c:pt idx="8">
                  <c:v>0</c:v>
                </c:pt>
              </c:numCache>
            </c:numRef>
          </c:val>
          <c:extLst>
            <c:ext xmlns:c15="http://schemas.microsoft.com/office/drawing/2012/chart" uri="{02D57815-91ED-43cb-92C2-25804820EDAC}">
              <c15:categoryFilterExceptions>
                <c15:categoryFilterException>
                  <c15:sqref>Optimalisatie_Backlog!$L$30</c15:sqref>
                  <c15:spPr xmlns:c15="http://schemas.microsoft.com/office/drawing/2012/chart">
                    <a:solidFill>
                      <a:schemeClr val="accent4">
                        <a:lumMod val="60000"/>
                      </a:schemeClr>
                    </a:solidFill>
                    <a:ln>
                      <a:noFill/>
                    </a:ln>
                    <a:effectLst/>
                    <a:scene3d>
                      <a:camera prst="orthographicFront"/>
                      <a:lightRig rig="brightRoom" dir="t"/>
                    </a:scene3d>
                    <a:sp3d prstMaterial="flat">
                      <a:bevelT w="50800" h="101600" prst="angle"/>
                      <a:contourClr>
                        <a:srgbClr val="000000"/>
                      </a:contourClr>
                    </a:sp3d>
                  </c15:spPr>
                  <c15:bubble3D val="0"/>
                </c15:categoryFilterException>
                <c15:categoryFilterException>
                  <c15:sqref>Optimalisatie_Backlog!$M$30</c15:sqref>
                  <c15:spPr xmlns:c15="http://schemas.microsoft.com/office/drawing/2012/chart">
                    <a:solidFill>
                      <a:schemeClr val="accent5">
                        <a:lumMod val="60000"/>
                      </a:schemeClr>
                    </a:solidFill>
                    <a:ln>
                      <a:noFill/>
                    </a:ln>
                    <a:effectLst/>
                    <a:scene3d>
                      <a:camera prst="orthographicFront"/>
                      <a:lightRig rig="brightRoom" dir="t"/>
                    </a:scene3d>
                    <a:sp3d prstMaterial="flat">
                      <a:bevelT w="50800" h="101600" prst="angle"/>
                      <a:contourClr>
                        <a:srgbClr val="000000"/>
                      </a:contourClr>
                    </a:sp3d>
                  </c15:spPr>
                  <c15:bubble3D val="0"/>
                </c15:categoryFilterException>
                <c15:categoryFilterException>
                  <c15:sqref>Optimalisatie_Backlog!$N$30</c15:sqref>
                  <c15:spPr xmlns:c15="http://schemas.microsoft.com/office/drawing/2012/chart">
                    <a:solidFill>
                      <a:schemeClr val="accent6">
                        <a:lumMod val="60000"/>
                      </a:schemeClr>
                    </a:solidFill>
                    <a:ln>
                      <a:noFill/>
                    </a:ln>
                    <a:effectLst/>
                    <a:scene3d>
                      <a:camera prst="orthographicFront"/>
                      <a:lightRig rig="brightRoom" dir="t"/>
                    </a:scene3d>
                    <a:sp3d prstMaterial="flat">
                      <a:bevelT w="50800" h="101600" prst="angle"/>
                      <a:contourClr>
                        <a:srgbClr val="000000"/>
                      </a:contourClr>
                    </a:sp3d>
                  </c15:spPr>
                  <c15:bubble3D val="0"/>
                </c15:categoryFilterException>
                <c15:categoryFilterException>
                  <c15:sqref>Optimalisatie_Backlog!$O$30</c15:sqref>
                  <c15:spPr xmlns:c15="http://schemas.microsoft.com/office/drawing/2012/chart">
                    <a:solidFill>
                      <a:schemeClr val="accent1">
                        <a:lumMod val="80000"/>
                        <a:lumOff val="20000"/>
                      </a:schemeClr>
                    </a:solidFill>
                    <a:ln>
                      <a:noFill/>
                    </a:ln>
                    <a:effectLst/>
                    <a:scene3d>
                      <a:camera prst="orthographicFront"/>
                      <a:lightRig rig="brightRoom" dir="t"/>
                    </a:scene3d>
                    <a:sp3d prstMaterial="flat">
                      <a:bevelT w="50800" h="101600" prst="angle"/>
                      <a:contourClr>
                        <a:srgbClr val="000000"/>
                      </a:contourClr>
                    </a:sp3d>
                  </c15:spPr>
                  <c15:bubble3D val="0"/>
                </c15:categoryFilterException>
                <c15:categoryFilterException>
                  <c15:sqref>Optimalisatie_Backlog!$P$30</c15:sqref>
                  <c15:spPr xmlns:c15="http://schemas.microsoft.com/office/drawing/2012/chart">
                    <a:solidFill>
                      <a:schemeClr val="accent2">
                        <a:lumMod val="80000"/>
                        <a:lumOff val="20000"/>
                      </a:schemeClr>
                    </a:solidFill>
                    <a:ln>
                      <a:noFill/>
                    </a:ln>
                    <a:effectLst/>
                    <a:scene3d>
                      <a:camera prst="orthographicFront"/>
                      <a:lightRig rig="brightRoom" dir="t"/>
                    </a:scene3d>
                    <a:sp3d prstMaterial="flat">
                      <a:bevelT w="50800" h="101600" prst="angle"/>
                      <a:contourClr>
                        <a:srgbClr val="000000"/>
                      </a:contourClr>
                    </a:sp3d>
                  </c15:spPr>
                  <c15:bubble3D val="0"/>
                </c15:categoryFilterException>
                <c15:categoryFilterException>
                  <c15:sqref>Optimalisatie_Backlog!$Q$30</c15:sqref>
                  <c15:spPr xmlns:c15="http://schemas.microsoft.com/office/drawing/2012/chart">
                    <a:solidFill>
                      <a:schemeClr val="accent3">
                        <a:lumMod val="80000"/>
                        <a:lumOff val="20000"/>
                      </a:schemeClr>
                    </a:solidFill>
                    <a:ln>
                      <a:noFill/>
                    </a:ln>
                    <a:effectLst/>
                    <a:scene3d>
                      <a:camera prst="orthographicFront"/>
                      <a:lightRig rig="brightRoom" dir="t"/>
                    </a:scene3d>
                    <a:sp3d prstMaterial="flat">
                      <a:bevelT w="50800" h="101600" prst="angle"/>
                      <a:contourClr>
                        <a:srgbClr val="000000"/>
                      </a:contourClr>
                    </a:sp3d>
                  </c15:spPr>
                  <c15:bubble3D val="0"/>
                </c15:categoryFilterException>
                <c15:categoryFilterException>
                  <c15:sqref>Optimalisatie_Backlog!$R$30</c15:sqref>
                  <c15:spPr xmlns:c15="http://schemas.microsoft.com/office/drawing/2012/chart">
                    <a:solidFill>
                      <a:schemeClr val="accent4">
                        <a:lumMod val="80000"/>
                        <a:lumOff val="20000"/>
                      </a:schemeClr>
                    </a:solidFill>
                    <a:ln>
                      <a:noFill/>
                    </a:ln>
                    <a:effectLst/>
                    <a:scene3d>
                      <a:camera prst="orthographicFront"/>
                      <a:lightRig rig="brightRoom" dir="t"/>
                    </a:scene3d>
                    <a:sp3d prstMaterial="flat">
                      <a:bevelT w="50800" h="101600" prst="angle"/>
                      <a:contourClr>
                        <a:srgbClr val="000000"/>
                      </a:contourClr>
                    </a:sp3d>
                  </c15:spPr>
                  <c15:bubble3D val="0"/>
                </c15:categoryFilterException>
                <c15:categoryFilterException>
                  <c15:sqref>Optimalisatie_Backlog!$S$30</c15:sqref>
                  <c15:spPr xmlns:c15="http://schemas.microsoft.com/office/drawing/2012/chart">
                    <a:solidFill>
                      <a:schemeClr val="accent5">
                        <a:lumMod val="80000"/>
                        <a:lumOff val="20000"/>
                      </a:schemeClr>
                    </a:solidFill>
                    <a:ln>
                      <a:noFill/>
                    </a:ln>
                    <a:effectLst/>
                    <a:scene3d>
                      <a:camera prst="orthographicFront"/>
                      <a:lightRig rig="brightRoom" dir="t"/>
                    </a:scene3d>
                    <a:sp3d prstMaterial="flat">
                      <a:bevelT w="50800" h="101600" prst="angle"/>
                      <a:contourClr>
                        <a:srgbClr val="000000"/>
                      </a:contourClr>
                    </a:sp3d>
                  </c15:spPr>
                  <c15:bubble3D val="0"/>
                </c15:categoryFilterException>
              </c15:categoryFilterExceptions>
            </c:ext>
            <c:ext xmlns:c16="http://schemas.microsoft.com/office/drawing/2014/chart" uri="{C3380CC4-5D6E-409C-BE32-E72D297353CC}">
              <c16:uniqueId val="{00000031-755A-408A-82FF-0A2C9519D9DD}"/>
            </c:ext>
          </c:extLst>
        </c:ser>
        <c:ser>
          <c:idx val="27"/>
          <c:order val="9"/>
          <c:tx>
            <c:strRef>
              <c:f>Optimalisatie_Backlog!$B$31</c:f>
              <c:strCache>
                <c:ptCount val="1"/>
                <c:pt idx="0">
                  <c:v>440020 - Aanbrengen straatbakstenen DF, Geel (rijweg/ plein)</c:v>
                </c:pt>
              </c:strCache>
            </c:strRef>
          </c:tx>
          <c:dPt>
            <c:idx val="0"/>
            <c:bubble3D val="0"/>
            <c:spPr>
              <a:solidFill>
                <a:schemeClr val="accent1"/>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123-4522-4A09-AED6-B5FF71AE0B9C}"/>
              </c:ext>
            </c:extLst>
          </c:dPt>
          <c:dPt>
            <c:idx val="1"/>
            <c:bubble3D val="0"/>
            <c:spPr>
              <a:solidFill>
                <a:schemeClr val="accent2"/>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125-4522-4A09-AED6-B5FF71AE0B9C}"/>
              </c:ext>
            </c:extLst>
          </c:dPt>
          <c:dPt>
            <c:idx val="2"/>
            <c:bubble3D val="0"/>
            <c:spPr>
              <a:solidFill>
                <a:schemeClr val="accent3"/>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127-4522-4A09-AED6-B5FF71AE0B9C}"/>
              </c:ext>
            </c:extLst>
          </c:dPt>
          <c:dPt>
            <c:idx val="3"/>
            <c:bubble3D val="0"/>
            <c:spPr>
              <a:solidFill>
                <a:schemeClr val="accent4"/>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129-4522-4A09-AED6-B5FF71AE0B9C}"/>
              </c:ext>
            </c:extLst>
          </c:dPt>
          <c:dPt>
            <c:idx val="4"/>
            <c:bubble3D val="0"/>
            <c:spPr>
              <a:solidFill>
                <a:schemeClr val="accent5"/>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12B-4522-4A09-AED6-B5FF71AE0B9C}"/>
              </c:ext>
            </c:extLst>
          </c:dPt>
          <c:dPt>
            <c:idx val="5"/>
            <c:bubble3D val="0"/>
            <c:spPr>
              <a:solidFill>
                <a:schemeClr val="accent6"/>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12D-4522-4A09-AED6-B5FF71AE0B9C}"/>
              </c:ext>
            </c:extLst>
          </c:dPt>
          <c:dPt>
            <c:idx val="6"/>
            <c:bubble3D val="0"/>
            <c:spPr>
              <a:solidFill>
                <a:schemeClr val="accent1">
                  <a:lumMod val="60000"/>
                </a:schemeClr>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12F-4522-4A09-AED6-B5FF71AE0B9C}"/>
              </c:ext>
            </c:extLst>
          </c:dPt>
          <c:dPt>
            <c:idx val="7"/>
            <c:bubble3D val="0"/>
            <c:spPr>
              <a:solidFill>
                <a:schemeClr val="accent2">
                  <a:lumMod val="60000"/>
                </a:schemeClr>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131-4522-4A09-AED6-B5FF71AE0B9C}"/>
              </c:ext>
            </c:extLst>
          </c:dPt>
          <c:dPt>
            <c:idx val="8"/>
            <c:bubble3D val="0"/>
            <c:spPr>
              <a:solidFill>
                <a:schemeClr val="accent3">
                  <a:lumMod val="60000"/>
                </a:schemeClr>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133-4522-4A09-AED6-B5FF71AE0B9C}"/>
              </c:ext>
            </c:extLst>
          </c:dPt>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n-US"/>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extLst>
                <c:ext xmlns:c15="http://schemas.microsoft.com/office/drawing/2012/chart" uri="{02D57815-91ED-43cb-92C2-25804820EDAC}">
                  <c15:fullRef>
                    <c15:sqref>Optimalisatie_Backlog!$G$3:$O$3</c15:sqref>
                  </c15:fullRef>
                </c:ext>
              </c:extLst>
              <c:f>Optimalisatie_Backlog!$G$3:$O$3</c:f>
              <c:strCache>
                <c:ptCount val="9"/>
                <c:pt idx="0">
                  <c:v>A1-A3</c:v>
                </c:pt>
                <c:pt idx="1">
                  <c:v>A4</c:v>
                </c:pt>
                <c:pt idx="2">
                  <c:v>A5</c:v>
                </c:pt>
                <c:pt idx="3">
                  <c:v>B1</c:v>
                </c:pt>
                <c:pt idx="4">
                  <c:v>B4</c:v>
                </c:pt>
                <c:pt idx="5">
                  <c:v>C1</c:v>
                </c:pt>
                <c:pt idx="6">
                  <c:v>C2</c:v>
                </c:pt>
                <c:pt idx="7">
                  <c:v>C3</c:v>
                </c:pt>
                <c:pt idx="8">
                  <c:v>C4</c:v>
                </c:pt>
              </c:strCache>
            </c:strRef>
          </c:cat>
          <c:val>
            <c:numRef>
              <c:extLst>
                <c:ext xmlns:c15="http://schemas.microsoft.com/office/drawing/2012/chart" uri="{02D57815-91ED-43cb-92C2-25804820EDAC}">
                  <c15:fullRef>
                    <c15:sqref>Optimalisatie_Backlog!$C$31:$S$31</c15:sqref>
                  </c15:fullRef>
                </c:ext>
              </c:extLst>
              <c:f>Optimalisatie_Backlog!$C$31:$K$31</c:f>
              <c:numCache>
                <c:formatCode>_([$€-2]\ * #,##0.00_);_([$€-2]\ * \(#,##0.00\);_([$€-2]\ * "-"??_);_(@_)</c:formatCode>
                <c:ptCount val="9"/>
                <c:pt idx="0">
                  <c:v>0</c:v>
                </c:pt>
                <c:pt idx="1">
                  <c:v>0</c:v>
                </c:pt>
                <c:pt idx="2">
                  <c:v>0</c:v>
                </c:pt>
                <c:pt idx="3">
                  <c:v>0</c:v>
                </c:pt>
                <c:pt idx="4">
                  <c:v>21719.91675</c:v>
                </c:pt>
                <c:pt idx="5">
                  <c:v>462.55564582150004</c:v>
                </c:pt>
                <c:pt idx="6">
                  <c:v>5525.9716143449996</c:v>
                </c:pt>
                <c:pt idx="8">
                  <c:v>0</c:v>
                </c:pt>
              </c:numCache>
            </c:numRef>
          </c:val>
          <c:extLst>
            <c:ext xmlns:c15="http://schemas.microsoft.com/office/drawing/2012/chart" uri="{02D57815-91ED-43cb-92C2-25804820EDAC}">
              <c15:categoryFilterExceptions>
                <c15:categoryFilterException>
                  <c15:sqref>Optimalisatie_Backlog!$L$31</c15:sqref>
                  <c15:spPr xmlns:c15="http://schemas.microsoft.com/office/drawing/2012/chart">
                    <a:solidFill>
                      <a:schemeClr val="accent4">
                        <a:lumMod val="60000"/>
                      </a:schemeClr>
                    </a:solidFill>
                    <a:ln>
                      <a:noFill/>
                    </a:ln>
                    <a:effectLst/>
                    <a:scene3d>
                      <a:camera prst="orthographicFront"/>
                      <a:lightRig rig="brightRoom" dir="t"/>
                    </a:scene3d>
                    <a:sp3d prstMaterial="flat">
                      <a:bevelT w="50800" h="101600" prst="angle"/>
                      <a:contourClr>
                        <a:srgbClr val="000000"/>
                      </a:contourClr>
                    </a:sp3d>
                  </c15:spPr>
                  <c15:bubble3D val="0"/>
                </c15:categoryFilterException>
                <c15:categoryFilterException>
                  <c15:sqref>Optimalisatie_Backlog!$M$31</c15:sqref>
                  <c15:spPr xmlns:c15="http://schemas.microsoft.com/office/drawing/2012/chart">
                    <a:solidFill>
                      <a:schemeClr val="accent5">
                        <a:lumMod val="60000"/>
                      </a:schemeClr>
                    </a:solidFill>
                    <a:ln>
                      <a:noFill/>
                    </a:ln>
                    <a:effectLst/>
                    <a:scene3d>
                      <a:camera prst="orthographicFront"/>
                      <a:lightRig rig="brightRoom" dir="t"/>
                    </a:scene3d>
                    <a:sp3d prstMaterial="flat">
                      <a:bevelT w="50800" h="101600" prst="angle"/>
                      <a:contourClr>
                        <a:srgbClr val="000000"/>
                      </a:contourClr>
                    </a:sp3d>
                  </c15:spPr>
                  <c15:bubble3D val="0"/>
                </c15:categoryFilterException>
                <c15:categoryFilterException>
                  <c15:sqref>Optimalisatie_Backlog!$N$31</c15:sqref>
                  <c15:spPr xmlns:c15="http://schemas.microsoft.com/office/drawing/2012/chart">
                    <a:solidFill>
                      <a:schemeClr val="accent6">
                        <a:lumMod val="60000"/>
                      </a:schemeClr>
                    </a:solidFill>
                    <a:ln>
                      <a:noFill/>
                    </a:ln>
                    <a:effectLst/>
                    <a:scene3d>
                      <a:camera prst="orthographicFront"/>
                      <a:lightRig rig="brightRoom" dir="t"/>
                    </a:scene3d>
                    <a:sp3d prstMaterial="flat">
                      <a:bevelT w="50800" h="101600" prst="angle"/>
                      <a:contourClr>
                        <a:srgbClr val="000000"/>
                      </a:contourClr>
                    </a:sp3d>
                  </c15:spPr>
                  <c15:bubble3D val="0"/>
                </c15:categoryFilterException>
                <c15:categoryFilterException>
                  <c15:sqref>Optimalisatie_Backlog!$O$31</c15:sqref>
                  <c15:spPr xmlns:c15="http://schemas.microsoft.com/office/drawing/2012/chart">
                    <a:solidFill>
                      <a:schemeClr val="accent1">
                        <a:lumMod val="80000"/>
                        <a:lumOff val="20000"/>
                      </a:schemeClr>
                    </a:solidFill>
                    <a:ln>
                      <a:noFill/>
                    </a:ln>
                    <a:effectLst/>
                    <a:scene3d>
                      <a:camera prst="orthographicFront"/>
                      <a:lightRig rig="brightRoom" dir="t"/>
                    </a:scene3d>
                    <a:sp3d prstMaterial="flat">
                      <a:bevelT w="50800" h="101600" prst="angle"/>
                      <a:contourClr>
                        <a:srgbClr val="000000"/>
                      </a:contourClr>
                    </a:sp3d>
                  </c15:spPr>
                  <c15:bubble3D val="0"/>
                </c15:categoryFilterException>
                <c15:categoryFilterException>
                  <c15:sqref>Optimalisatie_Backlog!$P$31</c15:sqref>
                  <c15:spPr xmlns:c15="http://schemas.microsoft.com/office/drawing/2012/chart">
                    <a:solidFill>
                      <a:schemeClr val="accent2">
                        <a:lumMod val="80000"/>
                        <a:lumOff val="20000"/>
                      </a:schemeClr>
                    </a:solidFill>
                    <a:ln>
                      <a:noFill/>
                    </a:ln>
                    <a:effectLst/>
                    <a:scene3d>
                      <a:camera prst="orthographicFront"/>
                      <a:lightRig rig="brightRoom" dir="t"/>
                    </a:scene3d>
                    <a:sp3d prstMaterial="flat">
                      <a:bevelT w="50800" h="101600" prst="angle"/>
                      <a:contourClr>
                        <a:srgbClr val="000000"/>
                      </a:contourClr>
                    </a:sp3d>
                  </c15:spPr>
                  <c15:bubble3D val="0"/>
                </c15:categoryFilterException>
                <c15:categoryFilterException>
                  <c15:sqref>Optimalisatie_Backlog!$Q$31</c15:sqref>
                  <c15:spPr xmlns:c15="http://schemas.microsoft.com/office/drawing/2012/chart">
                    <a:solidFill>
                      <a:schemeClr val="accent3">
                        <a:lumMod val="80000"/>
                        <a:lumOff val="20000"/>
                      </a:schemeClr>
                    </a:solidFill>
                    <a:ln>
                      <a:noFill/>
                    </a:ln>
                    <a:effectLst/>
                    <a:scene3d>
                      <a:camera prst="orthographicFront"/>
                      <a:lightRig rig="brightRoom" dir="t"/>
                    </a:scene3d>
                    <a:sp3d prstMaterial="flat">
                      <a:bevelT w="50800" h="101600" prst="angle"/>
                      <a:contourClr>
                        <a:srgbClr val="000000"/>
                      </a:contourClr>
                    </a:sp3d>
                  </c15:spPr>
                  <c15:bubble3D val="0"/>
                </c15:categoryFilterException>
                <c15:categoryFilterException>
                  <c15:sqref>Optimalisatie_Backlog!$R$31</c15:sqref>
                  <c15:spPr xmlns:c15="http://schemas.microsoft.com/office/drawing/2012/chart">
                    <a:solidFill>
                      <a:schemeClr val="accent4">
                        <a:lumMod val="80000"/>
                        <a:lumOff val="20000"/>
                      </a:schemeClr>
                    </a:solidFill>
                    <a:ln>
                      <a:noFill/>
                    </a:ln>
                    <a:effectLst/>
                    <a:scene3d>
                      <a:camera prst="orthographicFront"/>
                      <a:lightRig rig="brightRoom" dir="t"/>
                    </a:scene3d>
                    <a:sp3d prstMaterial="flat">
                      <a:bevelT w="50800" h="101600" prst="angle"/>
                      <a:contourClr>
                        <a:srgbClr val="000000"/>
                      </a:contourClr>
                    </a:sp3d>
                  </c15:spPr>
                  <c15:bubble3D val="0"/>
                </c15:categoryFilterException>
                <c15:categoryFilterException>
                  <c15:sqref>Optimalisatie_Backlog!$S$31</c15:sqref>
                  <c15:spPr xmlns:c15="http://schemas.microsoft.com/office/drawing/2012/chart">
                    <a:solidFill>
                      <a:schemeClr val="accent5">
                        <a:lumMod val="80000"/>
                        <a:lumOff val="20000"/>
                      </a:schemeClr>
                    </a:solidFill>
                    <a:ln>
                      <a:noFill/>
                    </a:ln>
                    <a:effectLst/>
                    <a:scene3d>
                      <a:camera prst="orthographicFront"/>
                      <a:lightRig rig="brightRoom" dir="t"/>
                    </a:scene3d>
                    <a:sp3d prstMaterial="flat">
                      <a:bevelT w="50800" h="101600" prst="angle"/>
                      <a:contourClr>
                        <a:srgbClr val="000000"/>
                      </a:contourClr>
                    </a:sp3d>
                  </c15:spPr>
                  <c15:bubble3D val="0"/>
                </c15:categoryFilterException>
              </c15:categoryFilterExceptions>
            </c:ext>
            <c:ext xmlns:c16="http://schemas.microsoft.com/office/drawing/2014/chart" uri="{C3380CC4-5D6E-409C-BE32-E72D297353CC}">
              <c16:uniqueId val="{00000032-755A-408A-82FF-0A2C9519D9DD}"/>
            </c:ext>
          </c:extLst>
        </c:ser>
        <c:ser>
          <c:idx val="28"/>
          <c:order val="10"/>
          <c:tx>
            <c:strRef>
              <c:f>Optimalisatie_Backlog!$B$32</c:f>
              <c:strCache>
                <c:ptCount val="1"/>
                <c:pt idx="0">
                  <c:v>440030 - Aanbrengen straatbakstenen DF, Rood (parkeervakken)</c:v>
                </c:pt>
              </c:strCache>
            </c:strRef>
          </c:tx>
          <c:dPt>
            <c:idx val="0"/>
            <c:bubble3D val="0"/>
            <c:spPr>
              <a:solidFill>
                <a:schemeClr val="accent1"/>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145-4522-4A09-AED6-B5FF71AE0B9C}"/>
              </c:ext>
            </c:extLst>
          </c:dPt>
          <c:dPt>
            <c:idx val="1"/>
            <c:bubble3D val="0"/>
            <c:spPr>
              <a:solidFill>
                <a:schemeClr val="accent2"/>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147-4522-4A09-AED6-B5FF71AE0B9C}"/>
              </c:ext>
            </c:extLst>
          </c:dPt>
          <c:dPt>
            <c:idx val="2"/>
            <c:bubble3D val="0"/>
            <c:spPr>
              <a:solidFill>
                <a:schemeClr val="accent3"/>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149-4522-4A09-AED6-B5FF71AE0B9C}"/>
              </c:ext>
            </c:extLst>
          </c:dPt>
          <c:dPt>
            <c:idx val="3"/>
            <c:bubble3D val="0"/>
            <c:spPr>
              <a:solidFill>
                <a:schemeClr val="accent4"/>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14B-4522-4A09-AED6-B5FF71AE0B9C}"/>
              </c:ext>
            </c:extLst>
          </c:dPt>
          <c:dPt>
            <c:idx val="4"/>
            <c:bubble3D val="0"/>
            <c:spPr>
              <a:solidFill>
                <a:schemeClr val="accent5"/>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14D-4522-4A09-AED6-B5FF71AE0B9C}"/>
              </c:ext>
            </c:extLst>
          </c:dPt>
          <c:dPt>
            <c:idx val="5"/>
            <c:bubble3D val="0"/>
            <c:spPr>
              <a:solidFill>
                <a:schemeClr val="accent6"/>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14F-4522-4A09-AED6-B5FF71AE0B9C}"/>
              </c:ext>
            </c:extLst>
          </c:dPt>
          <c:dPt>
            <c:idx val="6"/>
            <c:bubble3D val="0"/>
            <c:spPr>
              <a:solidFill>
                <a:schemeClr val="accent1">
                  <a:lumMod val="60000"/>
                </a:schemeClr>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151-4522-4A09-AED6-B5FF71AE0B9C}"/>
              </c:ext>
            </c:extLst>
          </c:dPt>
          <c:dPt>
            <c:idx val="7"/>
            <c:bubble3D val="0"/>
            <c:spPr>
              <a:solidFill>
                <a:schemeClr val="accent2">
                  <a:lumMod val="60000"/>
                </a:schemeClr>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153-4522-4A09-AED6-B5FF71AE0B9C}"/>
              </c:ext>
            </c:extLst>
          </c:dPt>
          <c:dPt>
            <c:idx val="8"/>
            <c:bubble3D val="0"/>
            <c:spPr>
              <a:solidFill>
                <a:schemeClr val="accent3">
                  <a:lumMod val="60000"/>
                </a:schemeClr>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155-4522-4A09-AED6-B5FF71AE0B9C}"/>
              </c:ext>
            </c:extLst>
          </c:dPt>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n-US"/>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extLst>
                <c:ext xmlns:c15="http://schemas.microsoft.com/office/drawing/2012/chart" uri="{02D57815-91ED-43cb-92C2-25804820EDAC}">
                  <c15:fullRef>
                    <c15:sqref>Optimalisatie_Backlog!$G$3:$O$3</c15:sqref>
                  </c15:fullRef>
                </c:ext>
              </c:extLst>
              <c:f>Optimalisatie_Backlog!$G$3:$O$3</c:f>
              <c:strCache>
                <c:ptCount val="9"/>
                <c:pt idx="0">
                  <c:v>A1-A3</c:v>
                </c:pt>
                <c:pt idx="1">
                  <c:v>A4</c:v>
                </c:pt>
                <c:pt idx="2">
                  <c:v>A5</c:v>
                </c:pt>
                <c:pt idx="3">
                  <c:v>B1</c:v>
                </c:pt>
                <c:pt idx="4">
                  <c:v>B4</c:v>
                </c:pt>
                <c:pt idx="5">
                  <c:v>C1</c:v>
                </c:pt>
                <c:pt idx="6">
                  <c:v>C2</c:v>
                </c:pt>
                <c:pt idx="7">
                  <c:v>C3</c:v>
                </c:pt>
                <c:pt idx="8">
                  <c:v>C4</c:v>
                </c:pt>
              </c:strCache>
            </c:strRef>
          </c:cat>
          <c:val>
            <c:numRef>
              <c:extLst>
                <c:ext xmlns:c15="http://schemas.microsoft.com/office/drawing/2012/chart" uri="{02D57815-91ED-43cb-92C2-25804820EDAC}">
                  <c15:fullRef>
                    <c15:sqref>Optimalisatie_Backlog!$C$32:$S$32</c15:sqref>
                  </c15:fullRef>
                </c:ext>
              </c:extLst>
              <c:f>Optimalisatie_Backlog!$C$32:$K$32</c:f>
              <c:numCache>
                <c:formatCode>_([$€-2]\ * #,##0.00_);_([$€-2]\ * \(#,##0.00\);_([$€-2]\ * "-"??_);_(@_)</c:formatCode>
                <c:ptCount val="9"/>
                <c:pt idx="0">
                  <c:v>0</c:v>
                </c:pt>
                <c:pt idx="1">
                  <c:v>0</c:v>
                </c:pt>
                <c:pt idx="2">
                  <c:v>0</c:v>
                </c:pt>
                <c:pt idx="3">
                  <c:v>0</c:v>
                </c:pt>
                <c:pt idx="4">
                  <c:v>1463.60625</c:v>
                </c:pt>
                <c:pt idx="5">
                  <c:v>31.169517912500002</c:v>
                </c:pt>
                <c:pt idx="6">
                  <c:v>372.37005487499994</c:v>
                </c:pt>
                <c:pt idx="8">
                  <c:v>0</c:v>
                </c:pt>
              </c:numCache>
            </c:numRef>
          </c:val>
          <c:extLst>
            <c:ext xmlns:c15="http://schemas.microsoft.com/office/drawing/2012/chart" uri="{02D57815-91ED-43cb-92C2-25804820EDAC}">
              <c15:categoryFilterExceptions>
                <c15:categoryFilterException>
                  <c15:sqref>Optimalisatie_Backlog!$L$32</c15:sqref>
                  <c15:spPr xmlns:c15="http://schemas.microsoft.com/office/drawing/2012/chart">
                    <a:solidFill>
                      <a:schemeClr val="accent4">
                        <a:lumMod val="60000"/>
                      </a:schemeClr>
                    </a:solidFill>
                    <a:ln>
                      <a:noFill/>
                    </a:ln>
                    <a:effectLst/>
                    <a:scene3d>
                      <a:camera prst="orthographicFront"/>
                      <a:lightRig rig="brightRoom" dir="t"/>
                    </a:scene3d>
                    <a:sp3d prstMaterial="flat">
                      <a:bevelT w="50800" h="101600" prst="angle"/>
                      <a:contourClr>
                        <a:srgbClr val="000000"/>
                      </a:contourClr>
                    </a:sp3d>
                  </c15:spPr>
                  <c15:bubble3D val="0"/>
                </c15:categoryFilterException>
                <c15:categoryFilterException>
                  <c15:sqref>Optimalisatie_Backlog!$M$32</c15:sqref>
                  <c15:spPr xmlns:c15="http://schemas.microsoft.com/office/drawing/2012/chart">
                    <a:solidFill>
                      <a:schemeClr val="accent5">
                        <a:lumMod val="60000"/>
                      </a:schemeClr>
                    </a:solidFill>
                    <a:ln>
                      <a:noFill/>
                    </a:ln>
                    <a:effectLst/>
                    <a:scene3d>
                      <a:camera prst="orthographicFront"/>
                      <a:lightRig rig="brightRoom" dir="t"/>
                    </a:scene3d>
                    <a:sp3d prstMaterial="flat">
                      <a:bevelT w="50800" h="101600" prst="angle"/>
                      <a:contourClr>
                        <a:srgbClr val="000000"/>
                      </a:contourClr>
                    </a:sp3d>
                  </c15:spPr>
                  <c15:bubble3D val="0"/>
                </c15:categoryFilterException>
                <c15:categoryFilterException>
                  <c15:sqref>Optimalisatie_Backlog!$N$32</c15:sqref>
                  <c15:spPr xmlns:c15="http://schemas.microsoft.com/office/drawing/2012/chart">
                    <a:solidFill>
                      <a:schemeClr val="accent6">
                        <a:lumMod val="60000"/>
                      </a:schemeClr>
                    </a:solidFill>
                    <a:ln>
                      <a:noFill/>
                    </a:ln>
                    <a:effectLst/>
                    <a:scene3d>
                      <a:camera prst="orthographicFront"/>
                      <a:lightRig rig="brightRoom" dir="t"/>
                    </a:scene3d>
                    <a:sp3d prstMaterial="flat">
                      <a:bevelT w="50800" h="101600" prst="angle"/>
                      <a:contourClr>
                        <a:srgbClr val="000000"/>
                      </a:contourClr>
                    </a:sp3d>
                  </c15:spPr>
                  <c15:bubble3D val="0"/>
                </c15:categoryFilterException>
                <c15:categoryFilterException>
                  <c15:sqref>Optimalisatie_Backlog!$O$32</c15:sqref>
                  <c15:spPr xmlns:c15="http://schemas.microsoft.com/office/drawing/2012/chart">
                    <a:solidFill>
                      <a:schemeClr val="accent1">
                        <a:lumMod val="80000"/>
                        <a:lumOff val="20000"/>
                      </a:schemeClr>
                    </a:solidFill>
                    <a:ln>
                      <a:noFill/>
                    </a:ln>
                    <a:effectLst/>
                    <a:scene3d>
                      <a:camera prst="orthographicFront"/>
                      <a:lightRig rig="brightRoom" dir="t"/>
                    </a:scene3d>
                    <a:sp3d prstMaterial="flat">
                      <a:bevelT w="50800" h="101600" prst="angle"/>
                      <a:contourClr>
                        <a:srgbClr val="000000"/>
                      </a:contourClr>
                    </a:sp3d>
                  </c15:spPr>
                  <c15:bubble3D val="0"/>
                </c15:categoryFilterException>
                <c15:categoryFilterException>
                  <c15:sqref>Optimalisatie_Backlog!$P$32</c15:sqref>
                  <c15:spPr xmlns:c15="http://schemas.microsoft.com/office/drawing/2012/chart">
                    <a:solidFill>
                      <a:schemeClr val="accent2">
                        <a:lumMod val="80000"/>
                        <a:lumOff val="20000"/>
                      </a:schemeClr>
                    </a:solidFill>
                    <a:ln>
                      <a:noFill/>
                    </a:ln>
                    <a:effectLst/>
                    <a:scene3d>
                      <a:camera prst="orthographicFront"/>
                      <a:lightRig rig="brightRoom" dir="t"/>
                    </a:scene3d>
                    <a:sp3d prstMaterial="flat">
                      <a:bevelT w="50800" h="101600" prst="angle"/>
                      <a:contourClr>
                        <a:srgbClr val="000000"/>
                      </a:contourClr>
                    </a:sp3d>
                  </c15:spPr>
                  <c15:bubble3D val="0"/>
                </c15:categoryFilterException>
                <c15:categoryFilterException>
                  <c15:sqref>Optimalisatie_Backlog!$Q$32</c15:sqref>
                  <c15:spPr xmlns:c15="http://schemas.microsoft.com/office/drawing/2012/chart">
                    <a:solidFill>
                      <a:schemeClr val="accent3">
                        <a:lumMod val="80000"/>
                        <a:lumOff val="20000"/>
                      </a:schemeClr>
                    </a:solidFill>
                    <a:ln>
                      <a:noFill/>
                    </a:ln>
                    <a:effectLst/>
                    <a:scene3d>
                      <a:camera prst="orthographicFront"/>
                      <a:lightRig rig="brightRoom" dir="t"/>
                    </a:scene3d>
                    <a:sp3d prstMaterial="flat">
                      <a:bevelT w="50800" h="101600" prst="angle"/>
                      <a:contourClr>
                        <a:srgbClr val="000000"/>
                      </a:contourClr>
                    </a:sp3d>
                  </c15:spPr>
                  <c15:bubble3D val="0"/>
                </c15:categoryFilterException>
                <c15:categoryFilterException>
                  <c15:sqref>Optimalisatie_Backlog!$R$32</c15:sqref>
                  <c15:spPr xmlns:c15="http://schemas.microsoft.com/office/drawing/2012/chart">
                    <a:solidFill>
                      <a:schemeClr val="accent4">
                        <a:lumMod val="80000"/>
                        <a:lumOff val="20000"/>
                      </a:schemeClr>
                    </a:solidFill>
                    <a:ln>
                      <a:noFill/>
                    </a:ln>
                    <a:effectLst/>
                    <a:scene3d>
                      <a:camera prst="orthographicFront"/>
                      <a:lightRig rig="brightRoom" dir="t"/>
                    </a:scene3d>
                    <a:sp3d prstMaterial="flat">
                      <a:bevelT w="50800" h="101600" prst="angle"/>
                      <a:contourClr>
                        <a:srgbClr val="000000"/>
                      </a:contourClr>
                    </a:sp3d>
                  </c15:spPr>
                  <c15:bubble3D val="0"/>
                </c15:categoryFilterException>
                <c15:categoryFilterException>
                  <c15:sqref>Optimalisatie_Backlog!$S$32</c15:sqref>
                  <c15:spPr xmlns:c15="http://schemas.microsoft.com/office/drawing/2012/chart">
                    <a:solidFill>
                      <a:schemeClr val="accent5">
                        <a:lumMod val="80000"/>
                        <a:lumOff val="20000"/>
                      </a:schemeClr>
                    </a:solidFill>
                    <a:ln>
                      <a:noFill/>
                    </a:ln>
                    <a:effectLst/>
                    <a:scene3d>
                      <a:camera prst="orthographicFront"/>
                      <a:lightRig rig="brightRoom" dir="t"/>
                    </a:scene3d>
                    <a:sp3d prstMaterial="flat">
                      <a:bevelT w="50800" h="101600" prst="angle"/>
                      <a:contourClr>
                        <a:srgbClr val="000000"/>
                      </a:contourClr>
                    </a:sp3d>
                  </c15:spPr>
                  <c15:bubble3D val="0"/>
                </c15:categoryFilterException>
              </c15:categoryFilterExceptions>
            </c:ext>
            <c:ext xmlns:c16="http://schemas.microsoft.com/office/drawing/2014/chart" uri="{C3380CC4-5D6E-409C-BE32-E72D297353CC}">
              <c16:uniqueId val="{00000033-755A-408A-82FF-0A2C9519D9DD}"/>
            </c:ext>
          </c:extLst>
        </c:ser>
        <c:ser>
          <c:idx val="29"/>
          <c:order val="11"/>
          <c:tx>
            <c:strRef>
              <c:f>Optimalisatie_Backlog!$B$33</c:f>
              <c:strCache>
                <c:ptCount val="1"/>
                <c:pt idx="0">
                  <c:v>440040 - Aanbrengen straatbakstenen DF, Geel (parkeervakken)</c:v>
                </c:pt>
              </c:strCache>
            </c:strRef>
          </c:tx>
          <c:dPt>
            <c:idx val="0"/>
            <c:bubble3D val="0"/>
            <c:spPr>
              <a:solidFill>
                <a:schemeClr val="accent1"/>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167-4522-4A09-AED6-B5FF71AE0B9C}"/>
              </c:ext>
            </c:extLst>
          </c:dPt>
          <c:dPt>
            <c:idx val="1"/>
            <c:bubble3D val="0"/>
            <c:spPr>
              <a:solidFill>
                <a:schemeClr val="accent2"/>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169-4522-4A09-AED6-B5FF71AE0B9C}"/>
              </c:ext>
            </c:extLst>
          </c:dPt>
          <c:dPt>
            <c:idx val="2"/>
            <c:bubble3D val="0"/>
            <c:spPr>
              <a:solidFill>
                <a:schemeClr val="accent3"/>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16B-4522-4A09-AED6-B5FF71AE0B9C}"/>
              </c:ext>
            </c:extLst>
          </c:dPt>
          <c:dPt>
            <c:idx val="3"/>
            <c:bubble3D val="0"/>
            <c:spPr>
              <a:solidFill>
                <a:schemeClr val="accent4"/>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16D-4522-4A09-AED6-B5FF71AE0B9C}"/>
              </c:ext>
            </c:extLst>
          </c:dPt>
          <c:dPt>
            <c:idx val="4"/>
            <c:bubble3D val="0"/>
            <c:spPr>
              <a:solidFill>
                <a:schemeClr val="accent5"/>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16F-4522-4A09-AED6-B5FF71AE0B9C}"/>
              </c:ext>
            </c:extLst>
          </c:dPt>
          <c:dPt>
            <c:idx val="5"/>
            <c:bubble3D val="0"/>
            <c:spPr>
              <a:solidFill>
                <a:schemeClr val="accent6"/>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171-4522-4A09-AED6-B5FF71AE0B9C}"/>
              </c:ext>
            </c:extLst>
          </c:dPt>
          <c:dPt>
            <c:idx val="6"/>
            <c:bubble3D val="0"/>
            <c:spPr>
              <a:solidFill>
                <a:schemeClr val="accent1">
                  <a:lumMod val="60000"/>
                </a:schemeClr>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173-4522-4A09-AED6-B5FF71AE0B9C}"/>
              </c:ext>
            </c:extLst>
          </c:dPt>
          <c:dPt>
            <c:idx val="7"/>
            <c:bubble3D val="0"/>
            <c:spPr>
              <a:solidFill>
                <a:schemeClr val="accent2">
                  <a:lumMod val="60000"/>
                </a:schemeClr>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175-4522-4A09-AED6-B5FF71AE0B9C}"/>
              </c:ext>
            </c:extLst>
          </c:dPt>
          <c:dPt>
            <c:idx val="8"/>
            <c:bubble3D val="0"/>
            <c:spPr>
              <a:solidFill>
                <a:schemeClr val="accent3">
                  <a:lumMod val="60000"/>
                </a:schemeClr>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177-4522-4A09-AED6-B5FF71AE0B9C}"/>
              </c:ext>
            </c:extLst>
          </c:dPt>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n-US"/>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extLst>
                <c:ext xmlns:c15="http://schemas.microsoft.com/office/drawing/2012/chart" uri="{02D57815-91ED-43cb-92C2-25804820EDAC}">
                  <c15:fullRef>
                    <c15:sqref>Optimalisatie_Backlog!$G$3:$O$3</c15:sqref>
                  </c15:fullRef>
                </c:ext>
              </c:extLst>
              <c:f>Optimalisatie_Backlog!$G$3:$O$3</c:f>
              <c:strCache>
                <c:ptCount val="9"/>
                <c:pt idx="0">
                  <c:v>A1-A3</c:v>
                </c:pt>
                <c:pt idx="1">
                  <c:v>A4</c:v>
                </c:pt>
                <c:pt idx="2">
                  <c:v>A5</c:v>
                </c:pt>
                <c:pt idx="3">
                  <c:v>B1</c:v>
                </c:pt>
                <c:pt idx="4">
                  <c:v>B4</c:v>
                </c:pt>
                <c:pt idx="5">
                  <c:v>C1</c:v>
                </c:pt>
                <c:pt idx="6">
                  <c:v>C2</c:v>
                </c:pt>
                <c:pt idx="7">
                  <c:v>C3</c:v>
                </c:pt>
                <c:pt idx="8">
                  <c:v>C4</c:v>
                </c:pt>
              </c:strCache>
            </c:strRef>
          </c:cat>
          <c:val>
            <c:numRef>
              <c:extLst>
                <c:ext xmlns:c15="http://schemas.microsoft.com/office/drawing/2012/chart" uri="{02D57815-91ED-43cb-92C2-25804820EDAC}">
                  <c15:fullRef>
                    <c15:sqref>Optimalisatie_Backlog!$C$33:$S$33</c15:sqref>
                  </c15:fullRef>
                </c:ext>
              </c:extLst>
              <c:f>Optimalisatie_Backlog!$C$33:$K$33</c:f>
              <c:numCache>
                <c:formatCode>_([$€-2]\ * #,##0.00_);_([$€-2]\ * \(#,##0.00\);_([$€-2]\ * "-"??_);_(@_)</c:formatCode>
                <c:ptCount val="9"/>
                <c:pt idx="0">
                  <c:v>0</c:v>
                </c:pt>
                <c:pt idx="1">
                  <c:v>0</c:v>
                </c:pt>
                <c:pt idx="2">
                  <c:v>0</c:v>
                </c:pt>
                <c:pt idx="3">
                  <c:v>0</c:v>
                </c:pt>
                <c:pt idx="4">
                  <c:v>1662.6567</c:v>
                </c:pt>
                <c:pt idx="5">
                  <c:v>35.408572348600003</c:v>
                </c:pt>
                <c:pt idx="6">
                  <c:v>423.01238233799995</c:v>
                </c:pt>
                <c:pt idx="8">
                  <c:v>0</c:v>
                </c:pt>
              </c:numCache>
            </c:numRef>
          </c:val>
          <c:extLst>
            <c:ext xmlns:c15="http://schemas.microsoft.com/office/drawing/2012/chart" uri="{02D57815-91ED-43cb-92C2-25804820EDAC}">
              <c15:categoryFilterExceptions>
                <c15:categoryFilterException>
                  <c15:sqref>Optimalisatie_Backlog!$L$33</c15:sqref>
                  <c15:spPr xmlns:c15="http://schemas.microsoft.com/office/drawing/2012/chart">
                    <a:solidFill>
                      <a:schemeClr val="accent4">
                        <a:lumMod val="60000"/>
                      </a:schemeClr>
                    </a:solidFill>
                    <a:ln>
                      <a:noFill/>
                    </a:ln>
                    <a:effectLst/>
                    <a:scene3d>
                      <a:camera prst="orthographicFront"/>
                      <a:lightRig rig="brightRoom" dir="t"/>
                    </a:scene3d>
                    <a:sp3d prstMaterial="flat">
                      <a:bevelT w="50800" h="101600" prst="angle"/>
                      <a:contourClr>
                        <a:srgbClr val="000000"/>
                      </a:contourClr>
                    </a:sp3d>
                  </c15:spPr>
                  <c15:bubble3D val="0"/>
                </c15:categoryFilterException>
                <c15:categoryFilterException>
                  <c15:sqref>Optimalisatie_Backlog!$M$33</c15:sqref>
                  <c15:spPr xmlns:c15="http://schemas.microsoft.com/office/drawing/2012/chart">
                    <a:solidFill>
                      <a:schemeClr val="accent5">
                        <a:lumMod val="60000"/>
                      </a:schemeClr>
                    </a:solidFill>
                    <a:ln>
                      <a:noFill/>
                    </a:ln>
                    <a:effectLst/>
                    <a:scene3d>
                      <a:camera prst="orthographicFront"/>
                      <a:lightRig rig="brightRoom" dir="t"/>
                    </a:scene3d>
                    <a:sp3d prstMaterial="flat">
                      <a:bevelT w="50800" h="101600" prst="angle"/>
                      <a:contourClr>
                        <a:srgbClr val="000000"/>
                      </a:contourClr>
                    </a:sp3d>
                  </c15:spPr>
                  <c15:bubble3D val="0"/>
                </c15:categoryFilterException>
                <c15:categoryFilterException>
                  <c15:sqref>Optimalisatie_Backlog!$N$33</c15:sqref>
                  <c15:spPr xmlns:c15="http://schemas.microsoft.com/office/drawing/2012/chart">
                    <a:solidFill>
                      <a:schemeClr val="accent6">
                        <a:lumMod val="60000"/>
                      </a:schemeClr>
                    </a:solidFill>
                    <a:ln>
                      <a:noFill/>
                    </a:ln>
                    <a:effectLst/>
                    <a:scene3d>
                      <a:camera prst="orthographicFront"/>
                      <a:lightRig rig="brightRoom" dir="t"/>
                    </a:scene3d>
                    <a:sp3d prstMaterial="flat">
                      <a:bevelT w="50800" h="101600" prst="angle"/>
                      <a:contourClr>
                        <a:srgbClr val="000000"/>
                      </a:contourClr>
                    </a:sp3d>
                  </c15:spPr>
                  <c15:bubble3D val="0"/>
                </c15:categoryFilterException>
                <c15:categoryFilterException>
                  <c15:sqref>Optimalisatie_Backlog!$O$33</c15:sqref>
                  <c15:spPr xmlns:c15="http://schemas.microsoft.com/office/drawing/2012/chart">
                    <a:solidFill>
                      <a:schemeClr val="accent1">
                        <a:lumMod val="80000"/>
                        <a:lumOff val="20000"/>
                      </a:schemeClr>
                    </a:solidFill>
                    <a:ln>
                      <a:noFill/>
                    </a:ln>
                    <a:effectLst/>
                    <a:scene3d>
                      <a:camera prst="orthographicFront"/>
                      <a:lightRig rig="brightRoom" dir="t"/>
                    </a:scene3d>
                    <a:sp3d prstMaterial="flat">
                      <a:bevelT w="50800" h="101600" prst="angle"/>
                      <a:contourClr>
                        <a:srgbClr val="000000"/>
                      </a:contourClr>
                    </a:sp3d>
                  </c15:spPr>
                  <c15:bubble3D val="0"/>
                </c15:categoryFilterException>
                <c15:categoryFilterException>
                  <c15:sqref>Optimalisatie_Backlog!$P$33</c15:sqref>
                  <c15:spPr xmlns:c15="http://schemas.microsoft.com/office/drawing/2012/chart">
                    <a:solidFill>
                      <a:schemeClr val="accent2">
                        <a:lumMod val="80000"/>
                        <a:lumOff val="20000"/>
                      </a:schemeClr>
                    </a:solidFill>
                    <a:ln>
                      <a:noFill/>
                    </a:ln>
                    <a:effectLst/>
                    <a:scene3d>
                      <a:camera prst="orthographicFront"/>
                      <a:lightRig rig="brightRoom" dir="t"/>
                    </a:scene3d>
                    <a:sp3d prstMaterial="flat">
                      <a:bevelT w="50800" h="101600" prst="angle"/>
                      <a:contourClr>
                        <a:srgbClr val="000000"/>
                      </a:contourClr>
                    </a:sp3d>
                  </c15:spPr>
                  <c15:bubble3D val="0"/>
                </c15:categoryFilterException>
                <c15:categoryFilterException>
                  <c15:sqref>Optimalisatie_Backlog!$Q$33</c15:sqref>
                  <c15:spPr xmlns:c15="http://schemas.microsoft.com/office/drawing/2012/chart">
                    <a:solidFill>
                      <a:schemeClr val="accent3">
                        <a:lumMod val="80000"/>
                        <a:lumOff val="20000"/>
                      </a:schemeClr>
                    </a:solidFill>
                    <a:ln>
                      <a:noFill/>
                    </a:ln>
                    <a:effectLst/>
                    <a:scene3d>
                      <a:camera prst="orthographicFront"/>
                      <a:lightRig rig="brightRoom" dir="t"/>
                    </a:scene3d>
                    <a:sp3d prstMaterial="flat">
                      <a:bevelT w="50800" h="101600" prst="angle"/>
                      <a:contourClr>
                        <a:srgbClr val="000000"/>
                      </a:contourClr>
                    </a:sp3d>
                  </c15:spPr>
                  <c15:bubble3D val="0"/>
                </c15:categoryFilterException>
                <c15:categoryFilterException>
                  <c15:sqref>Optimalisatie_Backlog!$R$33</c15:sqref>
                  <c15:spPr xmlns:c15="http://schemas.microsoft.com/office/drawing/2012/chart">
                    <a:solidFill>
                      <a:schemeClr val="accent4">
                        <a:lumMod val="80000"/>
                        <a:lumOff val="20000"/>
                      </a:schemeClr>
                    </a:solidFill>
                    <a:ln>
                      <a:noFill/>
                    </a:ln>
                    <a:effectLst/>
                    <a:scene3d>
                      <a:camera prst="orthographicFront"/>
                      <a:lightRig rig="brightRoom" dir="t"/>
                    </a:scene3d>
                    <a:sp3d prstMaterial="flat">
                      <a:bevelT w="50800" h="101600" prst="angle"/>
                      <a:contourClr>
                        <a:srgbClr val="000000"/>
                      </a:contourClr>
                    </a:sp3d>
                  </c15:spPr>
                  <c15:bubble3D val="0"/>
                </c15:categoryFilterException>
                <c15:categoryFilterException>
                  <c15:sqref>Optimalisatie_Backlog!$S$33</c15:sqref>
                  <c15:spPr xmlns:c15="http://schemas.microsoft.com/office/drawing/2012/chart">
                    <a:solidFill>
                      <a:schemeClr val="accent5">
                        <a:lumMod val="80000"/>
                        <a:lumOff val="20000"/>
                      </a:schemeClr>
                    </a:solidFill>
                    <a:ln>
                      <a:noFill/>
                    </a:ln>
                    <a:effectLst/>
                    <a:scene3d>
                      <a:camera prst="orthographicFront"/>
                      <a:lightRig rig="brightRoom" dir="t"/>
                    </a:scene3d>
                    <a:sp3d prstMaterial="flat">
                      <a:bevelT w="50800" h="101600" prst="angle"/>
                      <a:contourClr>
                        <a:srgbClr val="000000"/>
                      </a:contourClr>
                    </a:sp3d>
                  </c15:spPr>
                  <c15:bubble3D val="0"/>
                </c15:categoryFilterException>
              </c15:categoryFilterExceptions>
            </c:ext>
            <c:ext xmlns:c16="http://schemas.microsoft.com/office/drawing/2014/chart" uri="{C3380CC4-5D6E-409C-BE32-E72D297353CC}">
              <c16:uniqueId val="{00000034-755A-408A-82FF-0A2C9519D9DD}"/>
            </c:ext>
          </c:extLst>
        </c:ser>
        <c:ser>
          <c:idx val="30"/>
          <c:order val="12"/>
          <c:tx>
            <c:strRef>
              <c:f>Optimalisatie_Backlog!$B$34</c:f>
              <c:strCache>
                <c:ptCount val="1"/>
                <c:pt idx="0">
                  <c:v>440050 - Leveren en aanbrengen open (grasbeton) verharding (parkeerplaats)</c:v>
                </c:pt>
              </c:strCache>
            </c:strRef>
          </c:tx>
          <c:dPt>
            <c:idx val="0"/>
            <c:bubble3D val="0"/>
            <c:spPr>
              <a:solidFill>
                <a:schemeClr val="accent1"/>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189-4522-4A09-AED6-B5FF71AE0B9C}"/>
              </c:ext>
            </c:extLst>
          </c:dPt>
          <c:dPt>
            <c:idx val="1"/>
            <c:bubble3D val="0"/>
            <c:spPr>
              <a:solidFill>
                <a:schemeClr val="accent2"/>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18B-4522-4A09-AED6-B5FF71AE0B9C}"/>
              </c:ext>
            </c:extLst>
          </c:dPt>
          <c:dPt>
            <c:idx val="2"/>
            <c:bubble3D val="0"/>
            <c:spPr>
              <a:solidFill>
                <a:schemeClr val="accent3"/>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18D-4522-4A09-AED6-B5FF71AE0B9C}"/>
              </c:ext>
            </c:extLst>
          </c:dPt>
          <c:dPt>
            <c:idx val="3"/>
            <c:bubble3D val="0"/>
            <c:spPr>
              <a:solidFill>
                <a:schemeClr val="accent4"/>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18F-4522-4A09-AED6-B5FF71AE0B9C}"/>
              </c:ext>
            </c:extLst>
          </c:dPt>
          <c:dPt>
            <c:idx val="4"/>
            <c:bubble3D val="0"/>
            <c:spPr>
              <a:solidFill>
                <a:schemeClr val="accent5"/>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191-4522-4A09-AED6-B5FF71AE0B9C}"/>
              </c:ext>
            </c:extLst>
          </c:dPt>
          <c:dPt>
            <c:idx val="5"/>
            <c:bubble3D val="0"/>
            <c:spPr>
              <a:solidFill>
                <a:schemeClr val="accent6"/>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193-4522-4A09-AED6-B5FF71AE0B9C}"/>
              </c:ext>
            </c:extLst>
          </c:dPt>
          <c:dPt>
            <c:idx val="6"/>
            <c:bubble3D val="0"/>
            <c:spPr>
              <a:solidFill>
                <a:schemeClr val="accent1">
                  <a:lumMod val="60000"/>
                </a:schemeClr>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195-4522-4A09-AED6-B5FF71AE0B9C}"/>
              </c:ext>
            </c:extLst>
          </c:dPt>
          <c:dPt>
            <c:idx val="7"/>
            <c:bubble3D val="0"/>
            <c:spPr>
              <a:solidFill>
                <a:schemeClr val="accent2">
                  <a:lumMod val="60000"/>
                </a:schemeClr>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197-4522-4A09-AED6-B5FF71AE0B9C}"/>
              </c:ext>
            </c:extLst>
          </c:dPt>
          <c:dPt>
            <c:idx val="8"/>
            <c:bubble3D val="0"/>
            <c:spPr>
              <a:solidFill>
                <a:schemeClr val="accent3">
                  <a:lumMod val="60000"/>
                </a:schemeClr>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199-4522-4A09-AED6-B5FF71AE0B9C}"/>
              </c:ext>
            </c:extLst>
          </c:dPt>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n-US"/>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extLst>
                <c:ext xmlns:c15="http://schemas.microsoft.com/office/drawing/2012/chart" uri="{02D57815-91ED-43cb-92C2-25804820EDAC}">
                  <c15:fullRef>
                    <c15:sqref>Optimalisatie_Backlog!$G$3:$O$3</c15:sqref>
                  </c15:fullRef>
                </c:ext>
              </c:extLst>
              <c:f>Optimalisatie_Backlog!$G$3:$O$3</c:f>
              <c:strCache>
                <c:ptCount val="9"/>
                <c:pt idx="0">
                  <c:v>A1-A3</c:v>
                </c:pt>
                <c:pt idx="1">
                  <c:v>A4</c:v>
                </c:pt>
                <c:pt idx="2">
                  <c:v>A5</c:v>
                </c:pt>
                <c:pt idx="3">
                  <c:v>B1</c:v>
                </c:pt>
                <c:pt idx="4">
                  <c:v>B4</c:v>
                </c:pt>
                <c:pt idx="5">
                  <c:v>C1</c:v>
                </c:pt>
                <c:pt idx="6">
                  <c:v>C2</c:v>
                </c:pt>
                <c:pt idx="7">
                  <c:v>C3</c:v>
                </c:pt>
                <c:pt idx="8">
                  <c:v>C4</c:v>
                </c:pt>
              </c:strCache>
            </c:strRef>
          </c:cat>
          <c:val>
            <c:numRef>
              <c:extLst>
                <c:ext xmlns:c15="http://schemas.microsoft.com/office/drawing/2012/chart" uri="{02D57815-91ED-43cb-92C2-25804820EDAC}">
                  <c15:fullRef>
                    <c15:sqref>Optimalisatie_Backlog!$C$34:$S$34</c15:sqref>
                  </c15:fullRef>
                </c:ext>
              </c:extLst>
              <c:f>Optimalisatie_Backlog!$C$34:$K$34</c:f>
              <c:numCache>
                <c:formatCode>_([$€-2]\ * #,##0.00_);_([$€-2]\ * \(#,##0.00\);_([$€-2]\ * "-"??_);_(@_)</c:formatCode>
                <c:ptCount val="9"/>
                <c:pt idx="0">
                  <c:v>0</c:v>
                </c:pt>
                <c:pt idx="1">
                  <c:v>2080</c:v>
                </c:pt>
                <c:pt idx="2">
                  <c:v>0</c:v>
                </c:pt>
                <c:pt idx="3">
                  <c:v>0</c:v>
                </c:pt>
                <c:pt idx="4">
                  <c:v>2080</c:v>
                </c:pt>
                <c:pt idx="5">
                  <c:v>83.633405576242509</c:v>
                </c:pt>
                <c:pt idx="6">
                  <c:v>595.79208779999999</c:v>
                </c:pt>
                <c:pt idx="8">
                  <c:v>0</c:v>
                </c:pt>
              </c:numCache>
            </c:numRef>
          </c:val>
          <c:extLst>
            <c:ext xmlns:c15="http://schemas.microsoft.com/office/drawing/2012/chart" uri="{02D57815-91ED-43cb-92C2-25804820EDAC}">
              <c15:categoryFilterExceptions>
                <c15:categoryFilterException>
                  <c15:sqref>Optimalisatie_Backlog!$L$34</c15:sqref>
                  <c15:spPr xmlns:c15="http://schemas.microsoft.com/office/drawing/2012/chart">
                    <a:solidFill>
                      <a:schemeClr val="accent4">
                        <a:lumMod val="60000"/>
                      </a:schemeClr>
                    </a:solidFill>
                    <a:ln>
                      <a:noFill/>
                    </a:ln>
                    <a:effectLst/>
                    <a:scene3d>
                      <a:camera prst="orthographicFront"/>
                      <a:lightRig rig="brightRoom" dir="t"/>
                    </a:scene3d>
                    <a:sp3d prstMaterial="flat">
                      <a:bevelT w="50800" h="101600" prst="angle"/>
                      <a:contourClr>
                        <a:srgbClr val="000000"/>
                      </a:contourClr>
                    </a:sp3d>
                  </c15:spPr>
                  <c15:bubble3D val="0"/>
                </c15:categoryFilterException>
                <c15:categoryFilterException>
                  <c15:sqref>Optimalisatie_Backlog!$M$34</c15:sqref>
                  <c15:spPr xmlns:c15="http://schemas.microsoft.com/office/drawing/2012/chart">
                    <a:solidFill>
                      <a:schemeClr val="accent5">
                        <a:lumMod val="60000"/>
                      </a:schemeClr>
                    </a:solidFill>
                    <a:ln>
                      <a:noFill/>
                    </a:ln>
                    <a:effectLst/>
                    <a:scene3d>
                      <a:camera prst="orthographicFront"/>
                      <a:lightRig rig="brightRoom" dir="t"/>
                    </a:scene3d>
                    <a:sp3d prstMaterial="flat">
                      <a:bevelT w="50800" h="101600" prst="angle"/>
                      <a:contourClr>
                        <a:srgbClr val="000000"/>
                      </a:contourClr>
                    </a:sp3d>
                  </c15:spPr>
                  <c15:bubble3D val="0"/>
                </c15:categoryFilterException>
                <c15:categoryFilterException>
                  <c15:sqref>Optimalisatie_Backlog!$N$34</c15:sqref>
                  <c15:spPr xmlns:c15="http://schemas.microsoft.com/office/drawing/2012/chart">
                    <a:solidFill>
                      <a:schemeClr val="accent6">
                        <a:lumMod val="60000"/>
                      </a:schemeClr>
                    </a:solidFill>
                    <a:ln>
                      <a:noFill/>
                    </a:ln>
                    <a:effectLst/>
                    <a:scene3d>
                      <a:camera prst="orthographicFront"/>
                      <a:lightRig rig="brightRoom" dir="t"/>
                    </a:scene3d>
                    <a:sp3d prstMaterial="flat">
                      <a:bevelT w="50800" h="101600" prst="angle"/>
                      <a:contourClr>
                        <a:srgbClr val="000000"/>
                      </a:contourClr>
                    </a:sp3d>
                  </c15:spPr>
                  <c15:bubble3D val="0"/>
                </c15:categoryFilterException>
                <c15:categoryFilterException>
                  <c15:sqref>Optimalisatie_Backlog!$O$34</c15:sqref>
                  <c15:spPr xmlns:c15="http://schemas.microsoft.com/office/drawing/2012/chart">
                    <a:solidFill>
                      <a:schemeClr val="accent1">
                        <a:lumMod val="80000"/>
                        <a:lumOff val="20000"/>
                      </a:schemeClr>
                    </a:solidFill>
                    <a:ln>
                      <a:noFill/>
                    </a:ln>
                    <a:effectLst/>
                    <a:scene3d>
                      <a:camera prst="orthographicFront"/>
                      <a:lightRig rig="brightRoom" dir="t"/>
                    </a:scene3d>
                    <a:sp3d prstMaterial="flat">
                      <a:bevelT w="50800" h="101600" prst="angle"/>
                      <a:contourClr>
                        <a:srgbClr val="000000"/>
                      </a:contourClr>
                    </a:sp3d>
                  </c15:spPr>
                  <c15:bubble3D val="0"/>
                </c15:categoryFilterException>
                <c15:categoryFilterException>
                  <c15:sqref>Optimalisatie_Backlog!$P$34</c15:sqref>
                  <c15:spPr xmlns:c15="http://schemas.microsoft.com/office/drawing/2012/chart">
                    <a:solidFill>
                      <a:schemeClr val="accent2">
                        <a:lumMod val="80000"/>
                        <a:lumOff val="20000"/>
                      </a:schemeClr>
                    </a:solidFill>
                    <a:ln>
                      <a:noFill/>
                    </a:ln>
                    <a:effectLst/>
                    <a:scene3d>
                      <a:camera prst="orthographicFront"/>
                      <a:lightRig rig="brightRoom" dir="t"/>
                    </a:scene3d>
                    <a:sp3d prstMaterial="flat">
                      <a:bevelT w="50800" h="101600" prst="angle"/>
                      <a:contourClr>
                        <a:srgbClr val="000000"/>
                      </a:contourClr>
                    </a:sp3d>
                  </c15:spPr>
                  <c15:bubble3D val="0"/>
                </c15:categoryFilterException>
                <c15:categoryFilterException>
                  <c15:sqref>Optimalisatie_Backlog!$Q$34</c15:sqref>
                  <c15:spPr xmlns:c15="http://schemas.microsoft.com/office/drawing/2012/chart">
                    <a:solidFill>
                      <a:schemeClr val="accent3">
                        <a:lumMod val="80000"/>
                        <a:lumOff val="20000"/>
                      </a:schemeClr>
                    </a:solidFill>
                    <a:ln>
                      <a:noFill/>
                    </a:ln>
                    <a:effectLst/>
                    <a:scene3d>
                      <a:camera prst="orthographicFront"/>
                      <a:lightRig rig="brightRoom" dir="t"/>
                    </a:scene3d>
                    <a:sp3d prstMaterial="flat">
                      <a:bevelT w="50800" h="101600" prst="angle"/>
                      <a:contourClr>
                        <a:srgbClr val="000000"/>
                      </a:contourClr>
                    </a:sp3d>
                  </c15:spPr>
                  <c15:bubble3D val="0"/>
                </c15:categoryFilterException>
                <c15:categoryFilterException>
                  <c15:sqref>Optimalisatie_Backlog!$R$34</c15:sqref>
                  <c15:spPr xmlns:c15="http://schemas.microsoft.com/office/drawing/2012/chart">
                    <a:solidFill>
                      <a:schemeClr val="accent4">
                        <a:lumMod val="80000"/>
                        <a:lumOff val="20000"/>
                      </a:schemeClr>
                    </a:solidFill>
                    <a:ln>
                      <a:noFill/>
                    </a:ln>
                    <a:effectLst/>
                    <a:scene3d>
                      <a:camera prst="orthographicFront"/>
                      <a:lightRig rig="brightRoom" dir="t"/>
                    </a:scene3d>
                    <a:sp3d prstMaterial="flat">
                      <a:bevelT w="50800" h="101600" prst="angle"/>
                      <a:contourClr>
                        <a:srgbClr val="000000"/>
                      </a:contourClr>
                    </a:sp3d>
                  </c15:spPr>
                  <c15:bubble3D val="0"/>
                </c15:categoryFilterException>
                <c15:categoryFilterException>
                  <c15:sqref>Optimalisatie_Backlog!$S$34</c15:sqref>
                  <c15:spPr xmlns:c15="http://schemas.microsoft.com/office/drawing/2012/chart">
                    <a:solidFill>
                      <a:schemeClr val="accent5">
                        <a:lumMod val="80000"/>
                        <a:lumOff val="20000"/>
                      </a:schemeClr>
                    </a:solidFill>
                    <a:ln>
                      <a:noFill/>
                    </a:ln>
                    <a:effectLst/>
                    <a:scene3d>
                      <a:camera prst="orthographicFront"/>
                      <a:lightRig rig="brightRoom" dir="t"/>
                    </a:scene3d>
                    <a:sp3d prstMaterial="flat">
                      <a:bevelT w="50800" h="101600" prst="angle"/>
                      <a:contourClr>
                        <a:srgbClr val="000000"/>
                      </a:contourClr>
                    </a:sp3d>
                  </c15:spPr>
                  <c15:bubble3D val="0"/>
                </c15:categoryFilterException>
              </c15:categoryFilterExceptions>
            </c:ext>
            <c:ext xmlns:c16="http://schemas.microsoft.com/office/drawing/2014/chart" uri="{C3380CC4-5D6E-409C-BE32-E72D297353CC}">
              <c16:uniqueId val="{00000035-755A-408A-82FF-0A2C9519D9DD}"/>
            </c:ext>
          </c:extLst>
        </c:ser>
        <c:ser>
          <c:idx val="31"/>
          <c:order val="13"/>
          <c:tx>
            <c:strRef>
              <c:f>Optimalisatie_Backlog!$B$35</c:f>
              <c:strCache>
                <c:ptCount val="1"/>
                <c:pt idx="0">
                  <c:v>440060 - Aanbrengen straatbakstenen DF, Rood (trottoir)</c:v>
                </c:pt>
              </c:strCache>
            </c:strRef>
          </c:tx>
          <c:dPt>
            <c:idx val="0"/>
            <c:bubble3D val="0"/>
            <c:spPr>
              <a:solidFill>
                <a:schemeClr val="accent1"/>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1AB-4522-4A09-AED6-B5FF71AE0B9C}"/>
              </c:ext>
            </c:extLst>
          </c:dPt>
          <c:dPt>
            <c:idx val="1"/>
            <c:bubble3D val="0"/>
            <c:spPr>
              <a:solidFill>
                <a:schemeClr val="accent2"/>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1AD-4522-4A09-AED6-B5FF71AE0B9C}"/>
              </c:ext>
            </c:extLst>
          </c:dPt>
          <c:dPt>
            <c:idx val="2"/>
            <c:bubble3D val="0"/>
            <c:spPr>
              <a:solidFill>
                <a:schemeClr val="accent3"/>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1AF-4522-4A09-AED6-B5FF71AE0B9C}"/>
              </c:ext>
            </c:extLst>
          </c:dPt>
          <c:dPt>
            <c:idx val="3"/>
            <c:bubble3D val="0"/>
            <c:spPr>
              <a:solidFill>
                <a:schemeClr val="accent4"/>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1B1-4522-4A09-AED6-B5FF71AE0B9C}"/>
              </c:ext>
            </c:extLst>
          </c:dPt>
          <c:dPt>
            <c:idx val="4"/>
            <c:bubble3D val="0"/>
            <c:spPr>
              <a:solidFill>
                <a:schemeClr val="accent5"/>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1B3-4522-4A09-AED6-B5FF71AE0B9C}"/>
              </c:ext>
            </c:extLst>
          </c:dPt>
          <c:dPt>
            <c:idx val="5"/>
            <c:bubble3D val="0"/>
            <c:spPr>
              <a:solidFill>
                <a:schemeClr val="accent6"/>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1B5-4522-4A09-AED6-B5FF71AE0B9C}"/>
              </c:ext>
            </c:extLst>
          </c:dPt>
          <c:dPt>
            <c:idx val="6"/>
            <c:bubble3D val="0"/>
            <c:spPr>
              <a:solidFill>
                <a:schemeClr val="accent1">
                  <a:lumMod val="60000"/>
                </a:schemeClr>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1B7-4522-4A09-AED6-B5FF71AE0B9C}"/>
              </c:ext>
            </c:extLst>
          </c:dPt>
          <c:dPt>
            <c:idx val="7"/>
            <c:bubble3D val="0"/>
            <c:spPr>
              <a:solidFill>
                <a:schemeClr val="accent2">
                  <a:lumMod val="60000"/>
                </a:schemeClr>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1B9-4522-4A09-AED6-B5FF71AE0B9C}"/>
              </c:ext>
            </c:extLst>
          </c:dPt>
          <c:dPt>
            <c:idx val="8"/>
            <c:bubble3D val="0"/>
            <c:spPr>
              <a:solidFill>
                <a:schemeClr val="accent3">
                  <a:lumMod val="60000"/>
                </a:schemeClr>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1BB-4522-4A09-AED6-B5FF71AE0B9C}"/>
              </c:ext>
            </c:extLst>
          </c:dPt>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n-US"/>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extLst>
                <c:ext xmlns:c15="http://schemas.microsoft.com/office/drawing/2012/chart" uri="{02D57815-91ED-43cb-92C2-25804820EDAC}">
                  <c15:fullRef>
                    <c15:sqref>Optimalisatie_Backlog!$G$3:$O$3</c15:sqref>
                  </c15:fullRef>
                </c:ext>
              </c:extLst>
              <c:f>Optimalisatie_Backlog!$G$3:$O$3</c:f>
              <c:strCache>
                <c:ptCount val="9"/>
                <c:pt idx="0">
                  <c:v>A1-A3</c:v>
                </c:pt>
                <c:pt idx="1">
                  <c:v>A4</c:v>
                </c:pt>
                <c:pt idx="2">
                  <c:v>A5</c:v>
                </c:pt>
                <c:pt idx="3">
                  <c:v>B1</c:v>
                </c:pt>
                <c:pt idx="4">
                  <c:v>B4</c:v>
                </c:pt>
                <c:pt idx="5">
                  <c:v>C1</c:v>
                </c:pt>
                <c:pt idx="6">
                  <c:v>C2</c:v>
                </c:pt>
                <c:pt idx="7">
                  <c:v>C3</c:v>
                </c:pt>
                <c:pt idx="8">
                  <c:v>C4</c:v>
                </c:pt>
              </c:strCache>
            </c:strRef>
          </c:cat>
          <c:val>
            <c:numRef>
              <c:extLst>
                <c:ext xmlns:c15="http://schemas.microsoft.com/office/drawing/2012/chart" uri="{02D57815-91ED-43cb-92C2-25804820EDAC}">
                  <c15:fullRef>
                    <c15:sqref>Optimalisatie_Backlog!$C$35:$S$35</c15:sqref>
                  </c15:fullRef>
                </c:ext>
              </c:extLst>
              <c:f>Optimalisatie_Backlog!$C$35:$K$35</c:f>
              <c:numCache>
                <c:formatCode>_([$€-2]\ * #,##0.00_);_([$€-2]\ * \(#,##0.00\);_([$€-2]\ * "-"??_);_(@_)</c:formatCode>
                <c:ptCount val="9"/>
                <c:pt idx="0">
                  <c:v>0</c:v>
                </c:pt>
                <c:pt idx="1">
                  <c:v>0</c:v>
                </c:pt>
                <c:pt idx="2">
                  <c:v>0</c:v>
                </c:pt>
                <c:pt idx="3">
                  <c:v>0</c:v>
                </c:pt>
                <c:pt idx="4">
                  <c:v>10280.3703</c:v>
                </c:pt>
                <c:pt idx="5">
                  <c:v>218.93469381740002</c:v>
                </c:pt>
                <c:pt idx="6">
                  <c:v>2615.5272654419996</c:v>
                </c:pt>
                <c:pt idx="8">
                  <c:v>0</c:v>
                </c:pt>
              </c:numCache>
            </c:numRef>
          </c:val>
          <c:extLst>
            <c:ext xmlns:c15="http://schemas.microsoft.com/office/drawing/2012/chart" uri="{02D57815-91ED-43cb-92C2-25804820EDAC}">
              <c15:categoryFilterExceptions>
                <c15:categoryFilterException>
                  <c15:sqref>Optimalisatie_Backlog!$L$35</c15:sqref>
                  <c15:spPr xmlns:c15="http://schemas.microsoft.com/office/drawing/2012/chart">
                    <a:solidFill>
                      <a:schemeClr val="accent4">
                        <a:lumMod val="60000"/>
                      </a:schemeClr>
                    </a:solidFill>
                    <a:ln>
                      <a:noFill/>
                    </a:ln>
                    <a:effectLst/>
                    <a:scene3d>
                      <a:camera prst="orthographicFront"/>
                      <a:lightRig rig="brightRoom" dir="t"/>
                    </a:scene3d>
                    <a:sp3d prstMaterial="flat">
                      <a:bevelT w="50800" h="101600" prst="angle"/>
                      <a:contourClr>
                        <a:srgbClr val="000000"/>
                      </a:contourClr>
                    </a:sp3d>
                  </c15:spPr>
                  <c15:bubble3D val="0"/>
                </c15:categoryFilterException>
                <c15:categoryFilterException>
                  <c15:sqref>Optimalisatie_Backlog!$M$35</c15:sqref>
                  <c15:spPr xmlns:c15="http://schemas.microsoft.com/office/drawing/2012/chart">
                    <a:solidFill>
                      <a:schemeClr val="accent5">
                        <a:lumMod val="60000"/>
                      </a:schemeClr>
                    </a:solidFill>
                    <a:ln>
                      <a:noFill/>
                    </a:ln>
                    <a:effectLst/>
                    <a:scene3d>
                      <a:camera prst="orthographicFront"/>
                      <a:lightRig rig="brightRoom" dir="t"/>
                    </a:scene3d>
                    <a:sp3d prstMaterial="flat">
                      <a:bevelT w="50800" h="101600" prst="angle"/>
                      <a:contourClr>
                        <a:srgbClr val="000000"/>
                      </a:contourClr>
                    </a:sp3d>
                  </c15:spPr>
                  <c15:bubble3D val="0"/>
                </c15:categoryFilterException>
                <c15:categoryFilterException>
                  <c15:sqref>Optimalisatie_Backlog!$N$35</c15:sqref>
                  <c15:spPr xmlns:c15="http://schemas.microsoft.com/office/drawing/2012/chart">
                    <a:solidFill>
                      <a:schemeClr val="accent6">
                        <a:lumMod val="60000"/>
                      </a:schemeClr>
                    </a:solidFill>
                    <a:ln>
                      <a:noFill/>
                    </a:ln>
                    <a:effectLst/>
                    <a:scene3d>
                      <a:camera prst="orthographicFront"/>
                      <a:lightRig rig="brightRoom" dir="t"/>
                    </a:scene3d>
                    <a:sp3d prstMaterial="flat">
                      <a:bevelT w="50800" h="101600" prst="angle"/>
                      <a:contourClr>
                        <a:srgbClr val="000000"/>
                      </a:contourClr>
                    </a:sp3d>
                  </c15:spPr>
                  <c15:bubble3D val="0"/>
                </c15:categoryFilterException>
                <c15:categoryFilterException>
                  <c15:sqref>Optimalisatie_Backlog!$O$35</c15:sqref>
                  <c15:spPr xmlns:c15="http://schemas.microsoft.com/office/drawing/2012/chart">
                    <a:solidFill>
                      <a:schemeClr val="accent1">
                        <a:lumMod val="80000"/>
                        <a:lumOff val="20000"/>
                      </a:schemeClr>
                    </a:solidFill>
                    <a:ln>
                      <a:noFill/>
                    </a:ln>
                    <a:effectLst/>
                    <a:scene3d>
                      <a:camera prst="orthographicFront"/>
                      <a:lightRig rig="brightRoom" dir="t"/>
                    </a:scene3d>
                    <a:sp3d prstMaterial="flat">
                      <a:bevelT w="50800" h="101600" prst="angle"/>
                      <a:contourClr>
                        <a:srgbClr val="000000"/>
                      </a:contourClr>
                    </a:sp3d>
                  </c15:spPr>
                  <c15:bubble3D val="0"/>
                </c15:categoryFilterException>
                <c15:categoryFilterException>
                  <c15:sqref>Optimalisatie_Backlog!$P$35</c15:sqref>
                  <c15:spPr xmlns:c15="http://schemas.microsoft.com/office/drawing/2012/chart">
                    <a:solidFill>
                      <a:schemeClr val="accent2">
                        <a:lumMod val="80000"/>
                        <a:lumOff val="20000"/>
                      </a:schemeClr>
                    </a:solidFill>
                    <a:ln>
                      <a:noFill/>
                    </a:ln>
                    <a:effectLst/>
                    <a:scene3d>
                      <a:camera prst="orthographicFront"/>
                      <a:lightRig rig="brightRoom" dir="t"/>
                    </a:scene3d>
                    <a:sp3d prstMaterial="flat">
                      <a:bevelT w="50800" h="101600" prst="angle"/>
                      <a:contourClr>
                        <a:srgbClr val="000000"/>
                      </a:contourClr>
                    </a:sp3d>
                  </c15:spPr>
                  <c15:bubble3D val="0"/>
                </c15:categoryFilterException>
                <c15:categoryFilterException>
                  <c15:sqref>Optimalisatie_Backlog!$Q$35</c15:sqref>
                  <c15:spPr xmlns:c15="http://schemas.microsoft.com/office/drawing/2012/chart">
                    <a:solidFill>
                      <a:schemeClr val="accent3">
                        <a:lumMod val="80000"/>
                        <a:lumOff val="20000"/>
                      </a:schemeClr>
                    </a:solidFill>
                    <a:ln>
                      <a:noFill/>
                    </a:ln>
                    <a:effectLst/>
                    <a:scene3d>
                      <a:camera prst="orthographicFront"/>
                      <a:lightRig rig="brightRoom" dir="t"/>
                    </a:scene3d>
                    <a:sp3d prstMaterial="flat">
                      <a:bevelT w="50800" h="101600" prst="angle"/>
                      <a:contourClr>
                        <a:srgbClr val="000000"/>
                      </a:contourClr>
                    </a:sp3d>
                  </c15:spPr>
                  <c15:bubble3D val="0"/>
                </c15:categoryFilterException>
                <c15:categoryFilterException>
                  <c15:sqref>Optimalisatie_Backlog!$R$35</c15:sqref>
                  <c15:spPr xmlns:c15="http://schemas.microsoft.com/office/drawing/2012/chart">
                    <a:solidFill>
                      <a:schemeClr val="accent4">
                        <a:lumMod val="80000"/>
                        <a:lumOff val="20000"/>
                      </a:schemeClr>
                    </a:solidFill>
                    <a:ln>
                      <a:noFill/>
                    </a:ln>
                    <a:effectLst/>
                    <a:scene3d>
                      <a:camera prst="orthographicFront"/>
                      <a:lightRig rig="brightRoom" dir="t"/>
                    </a:scene3d>
                    <a:sp3d prstMaterial="flat">
                      <a:bevelT w="50800" h="101600" prst="angle"/>
                      <a:contourClr>
                        <a:srgbClr val="000000"/>
                      </a:contourClr>
                    </a:sp3d>
                  </c15:spPr>
                  <c15:bubble3D val="0"/>
                </c15:categoryFilterException>
                <c15:categoryFilterException>
                  <c15:sqref>Optimalisatie_Backlog!$S$35</c15:sqref>
                  <c15:spPr xmlns:c15="http://schemas.microsoft.com/office/drawing/2012/chart">
                    <a:solidFill>
                      <a:schemeClr val="accent5">
                        <a:lumMod val="80000"/>
                        <a:lumOff val="20000"/>
                      </a:schemeClr>
                    </a:solidFill>
                    <a:ln>
                      <a:noFill/>
                    </a:ln>
                    <a:effectLst/>
                    <a:scene3d>
                      <a:camera prst="orthographicFront"/>
                      <a:lightRig rig="brightRoom" dir="t"/>
                    </a:scene3d>
                    <a:sp3d prstMaterial="flat">
                      <a:bevelT w="50800" h="101600" prst="angle"/>
                      <a:contourClr>
                        <a:srgbClr val="000000"/>
                      </a:contourClr>
                    </a:sp3d>
                  </c15:spPr>
                  <c15:bubble3D val="0"/>
                </c15:categoryFilterException>
              </c15:categoryFilterExceptions>
            </c:ext>
            <c:ext xmlns:c16="http://schemas.microsoft.com/office/drawing/2014/chart" uri="{C3380CC4-5D6E-409C-BE32-E72D297353CC}">
              <c16:uniqueId val="{00000036-755A-408A-82FF-0A2C9519D9DD}"/>
            </c:ext>
          </c:extLst>
        </c:ser>
        <c:ser>
          <c:idx val="32"/>
          <c:order val="14"/>
          <c:tx>
            <c:strRef>
              <c:f>Optimalisatie_Backlog!$B$36</c:f>
              <c:strCache>
                <c:ptCount val="1"/>
                <c:pt idx="0">
                  <c:v>440070 - Aanbrengen straatbakstenen DF, Geel (trottoir)</c:v>
                </c:pt>
              </c:strCache>
            </c:strRef>
          </c:tx>
          <c:dPt>
            <c:idx val="0"/>
            <c:bubble3D val="0"/>
            <c:spPr>
              <a:solidFill>
                <a:schemeClr val="accent1"/>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1CD-4522-4A09-AED6-B5FF71AE0B9C}"/>
              </c:ext>
            </c:extLst>
          </c:dPt>
          <c:dPt>
            <c:idx val="1"/>
            <c:bubble3D val="0"/>
            <c:spPr>
              <a:solidFill>
                <a:schemeClr val="accent2"/>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1CF-4522-4A09-AED6-B5FF71AE0B9C}"/>
              </c:ext>
            </c:extLst>
          </c:dPt>
          <c:dPt>
            <c:idx val="2"/>
            <c:bubble3D val="0"/>
            <c:spPr>
              <a:solidFill>
                <a:schemeClr val="accent3"/>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1D1-4522-4A09-AED6-B5FF71AE0B9C}"/>
              </c:ext>
            </c:extLst>
          </c:dPt>
          <c:dPt>
            <c:idx val="3"/>
            <c:bubble3D val="0"/>
            <c:spPr>
              <a:solidFill>
                <a:schemeClr val="accent4"/>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1D3-4522-4A09-AED6-B5FF71AE0B9C}"/>
              </c:ext>
            </c:extLst>
          </c:dPt>
          <c:dPt>
            <c:idx val="4"/>
            <c:bubble3D val="0"/>
            <c:spPr>
              <a:solidFill>
                <a:schemeClr val="accent5"/>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1D5-4522-4A09-AED6-B5FF71AE0B9C}"/>
              </c:ext>
            </c:extLst>
          </c:dPt>
          <c:dPt>
            <c:idx val="5"/>
            <c:bubble3D val="0"/>
            <c:spPr>
              <a:solidFill>
                <a:schemeClr val="accent6"/>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1D7-4522-4A09-AED6-B5FF71AE0B9C}"/>
              </c:ext>
            </c:extLst>
          </c:dPt>
          <c:dPt>
            <c:idx val="6"/>
            <c:bubble3D val="0"/>
            <c:spPr>
              <a:solidFill>
                <a:schemeClr val="accent1">
                  <a:lumMod val="60000"/>
                </a:schemeClr>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1D9-4522-4A09-AED6-B5FF71AE0B9C}"/>
              </c:ext>
            </c:extLst>
          </c:dPt>
          <c:dPt>
            <c:idx val="7"/>
            <c:bubble3D val="0"/>
            <c:spPr>
              <a:solidFill>
                <a:schemeClr val="accent2">
                  <a:lumMod val="60000"/>
                </a:schemeClr>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1DB-4522-4A09-AED6-B5FF71AE0B9C}"/>
              </c:ext>
            </c:extLst>
          </c:dPt>
          <c:dPt>
            <c:idx val="8"/>
            <c:bubble3D val="0"/>
            <c:spPr>
              <a:solidFill>
                <a:schemeClr val="accent3">
                  <a:lumMod val="60000"/>
                </a:schemeClr>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1DD-4522-4A09-AED6-B5FF71AE0B9C}"/>
              </c:ext>
            </c:extLst>
          </c:dPt>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n-US"/>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extLst>
                <c:ext xmlns:c15="http://schemas.microsoft.com/office/drawing/2012/chart" uri="{02D57815-91ED-43cb-92C2-25804820EDAC}">
                  <c15:fullRef>
                    <c15:sqref>Optimalisatie_Backlog!$G$3:$O$3</c15:sqref>
                  </c15:fullRef>
                </c:ext>
              </c:extLst>
              <c:f>Optimalisatie_Backlog!$G$3:$O$3</c:f>
              <c:strCache>
                <c:ptCount val="9"/>
                <c:pt idx="0">
                  <c:v>A1-A3</c:v>
                </c:pt>
                <c:pt idx="1">
                  <c:v>A4</c:v>
                </c:pt>
                <c:pt idx="2">
                  <c:v>A5</c:v>
                </c:pt>
                <c:pt idx="3">
                  <c:v>B1</c:v>
                </c:pt>
                <c:pt idx="4">
                  <c:v>B4</c:v>
                </c:pt>
                <c:pt idx="5">
                  <c:v>C1</c:v>
                </c:pt>
                <c:pt idx="6">
                  <c:v>C2</c:v>
                </c:pt>
                <c:pt idx="7">
                  <c:v>C3</c:v>
                </c:pt>
                <c:pt idx="8">
                  <c:v>C4</c:v>
                </c:pt>
              </c:strCache>
            </c:strRef>
          </c:cat>
          <c:val>
            <c:numRef>
              <c:extLst>
                <c:ext xmlns:c15="http://schemas.microsoft.com/office/drawing/2012/chart" uri="{02D57815-91ED-43cb-92C2-25804820EDAC}">
                  <c15:fullRef>
                    <c15:sqref>Optimalisatie_Backlog!$C$36:$S$36</c15:sqref>
                  </c15:fullRef>
                </c:ext>
              </c:extLst>
              <c:f>Optimalisatie_Backlog!$C$36:$K$36</c:f>
              <c:numCache>
                <c:formatCode>_([$€-2]\ * #,##0.00_);_([$€-2]\ * \(#,##0.00\);_([$€-2]\ * "-"??_);_(@_)</c:formatCode>
                <c:ptCount val="9"/>
                <c:pt idx="0">
                  <c:v>0</c:v>
                </c:pt>
                <c:pt idx="1">
                  <c:v>0</c:v>
                </c:pt>
                <c:pt idx="2">
                  <c:v>0</c:v>
                </c:pt>
                <c:pt idx="3">
                  <c:v>0</c:v>
                </c:pt>
                <c:pt idx="4">
                  <c:v>2693.0355</c:v>
                </c:pt>
                <c:pt idx="5">
                  <c:v>57.351912959000003</c:v>
                </c:pt>
                <c:pt idx="6">
                  <c:v>685.16090096999994</c:v>
                </c:pt>
                <c:pt idx="8">
                  <c:v>0</c:v>
                </c:pt>
              </c:numCache>
            </c:numRef>
          </c:val>
          <c:extLst>
            <c:ext xmlns:c15="http://schemas.microsoft.com/office/drawing/2012/chart" uri="{02D57815-91ED-43cb-92C2-25804820EDAC}">
              <c15:categoryFilterExceptions>
                <c15:categoryFilterException>
                  <c15:sqref>Optimalisatie_Backlog!$L$36</c15:sqref>
                  <c15:spPr xmlns:c15="http://schemas.microsoft.com/office/drawing/2012/chart">
                    <a:solidFill>
                      <a:schemeClr val="accent4">
                        <a:lumMod val="60000"/>
                      </a:schemeClr>
                    </a:solidFill>
                    <a:ln>
                      <a:noFill/>
                    </a:ln>
                    <a:effectLst/>
                    <a:scene3d>
                      <a:camera prst="orthographicFront"/>
                      <a:lightRig rig="brightRoom" dir="t"/>
                    </a:scene3d>
                    <a:sp3d prstMaterial="flat">
                      <a:bevelT w="50800" h="101600" prst="angle"/>
                      <a:contourClr>
                        <a:srgbClr val="000000"/>
                      </a:contourClr>
                    </a:sp3d>
                  </c15:spPr>
                  <c15:bubble3D val="0"/>
                </c15:categoryFilterException>
                <c15:categoryFilterException>
                  <c15:sqref>Optimalisatie_Backlog!$M$36</c15:sqref>
                  <c15:spPr xmlns:c15="http://schemas.microsoft.com/office/drawing/2012/chart">
                    <a:solidFill>
                      <a:schemeClr val="accent5">
                        <a:lumMod val="60000"/>
                      </a:schemeClr>
                    </a:solidFill>
                    <a:ln>
                      <a:noFill/>
                    </a:ln>
                    <a:effectLst/>
                    <a:scene3d>
                      <a:camera prst="orthographicFront"/>
                      <a:lightRig rig="brightRoom" dir="t"/>
                    </a:scene3d>
                    <a:sp3d prstMaterial="flat">
                      <a:bevelT w="50800" h="101600" prst="angle"/>
                      <a:contourClr>
                        <a:srgbClr val="000000"/>
                      </a:contourClr>
                    </a:sp3d>
                  </c15:spPr>
                  <c15:bubble3D val="0"/>
                </c15:categoryFilterException>
                <c15:categoryFilterException>
                  <c15:sqref>Optimalisatie_Backlog!$N$36</c15:sqref>
                  <c15:spPr xmlns:c15="http://schemas.microsoft.com/office/drawing/2012/chart">
                    <a:solidFill>
                      <a:schemeClr val="accent6">
                        <a:lumMod val="60000"/>
                      </a:schemeClr>
                    </a:solidFill>
                    <a:ln>
                      <a:noFill/>
                    </a:ln>
                    <a:effectLst/>
                    <a:scene3d>
                      <a:camera prst="orthographicFront"/>
                      <a:lightRig rig="brightRoom" dir="t"/>
                    </a:scene3d>
                    <a:sp3d prstMaterial="flat">
                      <a:bevelT w="50800" h="101600" prst="angle"/>
                      <a:contourClr>
                        <a:srgbClr val="000000"/>
                      </a:contourClr>
                    </a:sp3d>
                  </c15:spPr>
                  <c15:bubble3D val="0"/>
                </c15:categoryFilterException>
                <c15:categoryFilterException>
                  <c15:sqref>Optimalisatie_Backlog!$O$36</c15:sqref>
                  <c15:spPr xmlns:c15="http://schemas.microsoft.com/office/drawing/2012/chart">
                    <a:solidFill>
                      <a:schemeClr val="accent1">
                        <a:lumMod val="80000"/>
                        <a:lumOff val="20000"/>
                      </a:schemeClr>
                    </a:solidFill>
                    <a:ln>
                      <a:noFill/>
                    </a:ln>
                    <a:effectLst/>
                    <a:scene3d>
                      <a:camera prst="orthographicFront"/>
                      <a:lightRig rig="brightRoom" dir="t"/>
                    </a:scene3d>
                    <a:sp3d prstMaterial="flat">
                      <a:bevelT w="50800" h="101600" prst="angle"/>
                      <a:contourClr>
                        <a:srgbClr val="000000"/>
                      </a:contourClr>
                    </a:sp3d>
                  </c15:spPr>
                  <c15:bubble3D val="0"/>
                </c15:categoryFilterException>
                <c15:categoryFilterException>
                  <c15:sqref>Optimalisatie_Backlog!$P$36</c15:sqref>
                  <c15:spPr xmlns:c15="http://schemas.microsoft.com/office/drawing/2012/chart">
                    <a:solidFill>
                      <a:schemeClr val="accent2">
                        <a:lumMod val="80000"/>
                        <a:lumOff val="20000"/>
                      </a:schemeClr>
                    </a:solidFill>
                    <a:ln>
                      <a:noFill/>
                    </a:ln>
                    <a:effectLst/>
                    <a:scene3d>
                      <a:camera prst="orthographicFront"/>
                      <a:lightRig rig="brightRoom" dir="t"/>
                    </a:scene3d>
                    <a:sp3d prstMaterial="flat">
                      <a:bevelT w="50800" h="101600" prst="angle"/>
                      <a:contourClr>
                        <a:srgbClr val="000000"/>
                      </a:contourClr>
                    </a:sp3d>
                  </c15:spPr>
                  <c15:bubble3D val="0"/>
                </c15:categoryFilterException>
                <c15:categoryFilterException>
                  <c15:sqref>Optimalisatie_Backlog!$Q$36</c15:sqref>
                  <c15:spPr xmlns:c15="http://schemas.microsoft.com/office/drawing/2012/chart">
                    <a:solidFill>
                      <a:schemeClr val="accent3">
                        <a:lumMod val="80000"/>
                        <a:lumOff val="20000"/>
                      </a:schemeClr>
                    </a:solidFill>
                    <a:ln>
                      <a:noFill/>
                    </a:ln>
                    <a:effectLst/>
                    <a:scene3d>
                      <a:camera prst="orthographicFront"/>
                      <a:lightRig rig="brightRoom" dir="t"/>
                    </a:scene3d>
                    <a:sp3d prstMaterial="flat">
                      <a:bevelT w="50800" h="101600" prst="angle"/>
                      <a:contourClr>
                        <a:srgbClr val="000000"/>
                      </a:contourClr>
                    </a:sp3d>
                  </c15:spPr>
                  <c15:bubble3D val="0"/>
                </c15:categoryFilterException>
                <c15:categoryFilterException>
                  <c15:sqref>Optimalisatie_Backlog!$R$36</c15:sqref>
                  <c15:spPr xmlns:c15="http://schemas.microsoft.com/office/drawing/2012/chart">
                    <a:solidFill>
                      <a:schemeClr val="accent4">
                        <a:lumMod val="80000"/>
                        <a:lumOff val="20000"/>
                      </a:schemeClr>
                    </a:solidFill>
                    <a:ln>
                      <a:noFill/>
                    </a:ln>
                    <a:effectLst/>
                    <a:scene3d>
                      <a:camera prst="orthographicFront"/>
                      <a:lightRig rig="brightRoom" dir="t"/>
                    </a:scene3d>
                    <a:sp3d prstMaterial="flat">
                      <a:bevelT w="50800" h="101600" prst="angle"/>
                      <a:contourClr>
                        <a:srgbClr val="000000"/>
                      </a:contourClr>
                    </a:sp3d>
                  </c15:spPr>
                  <c15:bubble3D val="0"/>
                </c15:categoryFilterException>
                <c15:categoryFilterException>
                  <c15:sqref>Optimalisatie_Backlog!$S$36</c15:sqref>
                  <c15:spPr xmlns:c15="http://schemas.microsoft.com/office/drawing/2012/chart">
                    <a:solidFill>
                      <a:schemeClr val="accent5">
                        <a:lumMod val="80000"/>
                        <a:lumOff val="20000"/>
                      </a:schemeClr>
                    </a:solidFill>
                    <a:ln>
                      <a:noFill/>
                    </a:ln>
                    <a:effectLst/>
                    <a:scene3d>
                      <a:camera prst="orthographicFront"/>
                      <a:lightRig rig="brightRoom" dir="t"/>
                    </a:scene3d>
                    <a:sp3d prstMaterial="flat">
                      <a:bevelT w="50800" h="101600" prst="angle"/>
                      <a:contourClr>
                        <a:srgbClr val="000000"/>
                      </a:contourClr>
                    </a:sp3d>
                  </c15:spPr>
                  <c15:bubble3D val="0"/>
                </c15:categoryFilterException>
              </c15:categoryFilterExceptions>
            </c:ext>
            <c:ext xmlns:c16="http://schemas.microsoft.com/office/drawing/2014/chart" uri="{C3380CC4-5D6E-409C-BE32-E72D297353CC}">
              <c16:uniqueId val="{00000037-755A-408A-82FF-0A2C9519D9DD}"/>
            </c:ext>
          </c:extLst>
        </c:ser>
        <c:ser>
          <c:idx val="33"/>
          <c:order val="15"/>
          <c:tx>
            <c:strRef>
              <c:f>Optimalisatie_Backlog!$B$37</c:f>
              <c:strCache>
                <c:ptCount val="1"/>
                <c:pt idx="0">
                  <c:v>440090 - Aanbrengen straatbakstenen DF, Rood (drempelopgang)</c:v>
                </c:pt>
              </c:strCache>
            </c:strRef>
          </c:tx>
          <c:dPt>
            <c:idx val="0"/>
            <c:bubble3D val="0"/>
            <c:spPr>
              <a:solidFill>
                <a:schemeClr val="accent1"/>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10F-5A31-48ED-8214-669EDF5B3CEF}"/>
              </c:ext>
            </c:extLst>
          </c:dPt>
          <c:dPt>
            <c:idx val="1"/>
            <c:bubble3D val="0"/>
            <c:spPr>
              <a:solidFill>
                <a:schemeClr val="accent2"/>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111-5A31-48ED-8214-669EDF5B3CEF}"/>
              </c:ext>
            </c:extLst>
          </c:dPt>
          <c:dPt>
            <c:idx val="2"/>
            <c:bubble3D val="0"/>
            <c:spPr>
              <a:solidFill>
                <a:schemeClr val="accent3"/>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113-5A31-48ED-8214-669EDF5B3CEF}"/>
              </c:ext>
            </c:extLst>
          </c:dPt>
          <c:dPt>
            <c:idx val="3"/>
            <c:bubble3D val="0"/>
            <c:spPr>
              <a:solidFill>
                <a:schemeClr val="accent4"/>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115-5A31-48ED-8214-669EDF5B3CEF}"/>
              </c:ext>
            </c:extLst>
          </c:dPt>
          <c:dPt>
            <c:idx val="4"/>
            <c:bubble3D val="0"/>
            <c:spPr>
              <a:solidFill>
                <a:schemeClr val="accent5"/>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117-5A31-48ED-8214-669EDF5B3CEF}"/>
              </c:ext>
            </c:extLst>
          </c:dPt>
          <c:dPt>
            <c:idx val="5"/>
            <c:bubble3D val="0"/>
            <c:spPr>
              <a:solidFill>
                <a:schemeClr val="accent6"/>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119-5A31-48ED-8214-669EDF5B3CEF}"/>
              </c:ext>
            </c:extLst>
          </c:dPt>
          <c:dPt>
            <c:idx val="6"/>
            <c:bubble3D val="0"/>
            <c:spPr>
              <a:solidFill>
                <a:schemeClr val="accent1">
                  <a:lumMod val="60000"/>
                </a:schemeClr>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11B-5A31-48ED-8214-669EDF5B3CEF}"/>
              </c:ext>
            </c:extLst>
          </c:dPt>
          <c:dPt>
            <c:idx val="7"/>
            <c:bubble3D val="0"/>
            <c:spPr>
              <a:solidFill>
                <a:schemeClr val="accent2">
                  <a:lumMod val="60000"/>
                </a:schemeClr>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11D-5A31-48ED-8214-669EDF5B3CEF}"/>
              </c:ext>
            </c:extLst>
          </c:dPt>
          <c:dPt>
            <c:idx val="8"/>
            <c:bubble3D val="0"/>
            <c:spPr>
              <a:solidFill>
                <a:schemeClr val="accent3">
                  <a:lumMod val="60000"/>
                </a:schemeClr>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11F-5A31-48ED-8214-669EDF5B3CEF}"/>
              </c:ext>
            </c:extLst>
          </c:dPt>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n-US"/>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extLst>
                <c:ext xmlns:c15="http://schemas.microsoft.com/office/drawing/2012/chart" uri="{02D57815-91ED-43cb-92C2-25804820EDAC}">
                  <c15:fullRef>
                    <c15:sqref>Optimalisatie_Backlog!$G$3:$O$3</c15:sqref>
                  </c15:fullRef>
                </c:ext>
              </c:extLst>
              <c:f>Optimalisatie_Backlog!$G$3:$O$3</c:f>
              <c:strCache>
                <c:ptCount val="9"/>
                <c:pt idx="0">
                  <c:v>A1-A3</c:v>
                </c:pt>
                <c:pt idx="1">
                  <c:v>A4</c:v>
                </c:pt>
                <c:pt idx="2">
                  <c:v>A5</c:v>
                </c:pt>
                <c:pt idx="3">
                  <c:v>B1</c:v>
                </c:pt>
                <c:pt idx="4">
                  <c:v>B4</c:v>
                </c:pt>
                <c:pt idx="5">
                  <c:v>C1</c:v>
                </c:pt>
                <c:pt idx="6">
                  <c:v>C2</c:v>
                </c:pt>
                <c:pt idx="7">
                  <c:v>C3</c:v>
                </c:pt>
                <c:pt idx="8">
                  <c:v>C4</c:v>
                </c:pt>
              </c:strCache>
            </c:strRef>
          </c:cat>
          <c:val>
            <c:numRef>
              <c:extLst>
                <c:ext xmlns:c15="http://schemas.microsoft.com/office/drawing/2012/chart" uri="{02D57815-91ED-43cb-92C2-25804820EDAC}">
                  <c15:fullRef>
                    <c15:sqref>Optimalisatie_Backlog!$C$37:$S$37</c15:sqref>
                  </c15:fullRef>
                </c:ext>
              </c:extLst>
              <c:f>Optimalisatie_Backlog!$C$37:$K$37</c:f>
              <c:numCache>
                <c:formatCode>_([$€-2]\ * #,##0.00_);_([$€-2]\ * \(#,##0.00\);_([$€-2]\ * "-"??_);_(@_)</c:formatCode>
                <c:ptCount val="9"/>
                <c:pt idx="0">
                  <c:v>0</c:v>
                </c:pt>
                <c:pt idx="1">
                  <c:v>0</c:v>
                </c:pt>
                <c:pt idx="2">
                  <c:v>0</c:v>
                </c:pt>
                <c:pt idx="3">
                  <c:v>0</c:v>
                </c:pt>
                <c:pt idx="4">
                  <c:v>526.89824999999996</c:v>
                </c:pt>
                <c:pt idx="5">
                  <c:v>11.221026448500002</c:v>
                </c:pt>
                <c:pt idx="6">
                  <c:v>134.05321975499999</c:v>
                </c:pt>
                <c:pt idx="8">
                  <c:v>0</c:v>
                </c:pt>
              </c:numCache>
            </c:numRef>
          </c:val>
          <c:extLst>
            <c:ext xmlns:c15="http://schemas.microsoft.com/office/drawing/2012/chart" uri="{02D57815-91ED-43cb-92C2-25804820EDAC}">
              <c15:categoryFilterExceptions/>
            </c:ext>
            <c:ext xmlns:c16="http://schemas.microsoft.com/office/drawing/2014/chart" uri="{C3380CC4-5D6E-409C-BE32-E72D297353CC}">
              <c16:uniqueId val="{00000038-755A-408A-82FF-0A2C9519D9DD}"/>
            </c:ext>
          </c:extLst>
        </c:ser>
        <c:ser>
          <c:idx val="34"/>
          <c:order val="16"/>
          <c:tx>
            <c:strRef>
              <c:f>Optimalisatie_Backlog!$B$38</c:f>
            </c:strRef>
          </c:tx>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n-US"/>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extLst>
                <c:ext xmlns:c15="http://schemas.microsoft.com/office/drawing/2012/chart" uri="{02D57815-91ED-43cb-92C2-25804820EDAC}">
                  <c15:fullRef>
                    <c15:sqref>Optimalisatie_Backlog!$G$3:$O$3</c15:sqref>
                  </c15:fullRef>
                </c:ext>
              </c:extLst>
              <c:f>Optimalisatie_Backlog!$G$3:$O$3</c:f>
              <c:strCache>
                <c:ptCount val="9"/>
                <c:pt idx="0">
                  <c:v>A1-A3</c:v>
                </c:pt>
                <c:pt idx="1">
                  <c:v>A4</c:v>
                </c:pt>
                <c:pt idx="2">
                  <c:v>A5</c:v>
                </c:pt>
                <c:pt idx="3">
                  <c:v>B1</c:v>
                </c:pt>
                <c:pt idx="4">
                  <c:v>B4</c:v>
                </c:pt>
                <c:pt idx="5">
                  <c:v>C1</c:v>
                </c:pt>
                <c:pt idx="6">
                  <c:v>C2</c:v>
                </c:pt>
                <c:pt idx="7">
                  <c:v>C3</c:v>
                </c:pt>
                <c:pt idx="8">
                  <c:v>C4</c:v>
                </c:pt>
              </c:strCache>
            </c:strRef>
          </c:cat>
          <c:val>
            <c:numRef>
              <c:extLst>
                <c:ext xmlns:c15="http://schemas.microsoft.com/office/drawing/2012/chart" uri="{02D57815-91ED-43cb-92C2-25804820EDAC}">
                  <c15:fullRef>
                    <c15:sqref>Optimalisatie_Backlog!$C$38:$S$38</c15:sqref>
                  </c15:fullRef>
                </c:ext>
              </c:extLst>
              <c:f>Optimalisatie_Backlog!$C$38:$K$38</c:f>
            </c:numRef>
          </c:val>
          <c:extLst>
            <c:ext xmlns:c16="http://schemas.microsoft.com/office/drawing/2014/chart" uri="{C3380CC4-5D6E-409C-BE32-E72D297353CC}">
              <c16:uniqueId val="{00000039-755A-408A-82FF-0A2C9519D9DD}"/>
            </c:ext>
          </c:extLst>
        </c:ser>
        <c:ser>
          <c:idx val="35"/>
          <c:order val="17"/>
          <c:tx>
            <c:strRef>
              <c:f>Optimalisatie_Backlog!$B$39</c:f>
            </c:strRef>
          </c:tx>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n-US"/>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extLst>
                <c:ext xmlns:c15="http://schemas.microsoft.com/office/drawing/2012/chart" uri="{02D57815-91ED-43cb-92C2-25804820EDAC}">
                  <c15:fullRef>
                    <c15:sqref>Optimalisatie_Backlog!$G$3:$O$3</c15:sqref>
                  </c15:fullRef>
                </c:ext>
              </c:extLst>
              <c:f>Optimalisatie_Backlog!$G$3:$O$3</c:f>
              <c:strCache>
                <c:ptCount val="9"/>
                <c:pt idx="0">
                  <c:v>A1-A3</c:v>
                </c:pt>
                <c:pt idx="1">
                  <c:v>A4</c:v>
                </c:pt>
                <c:pt idx="2">
                  <c:v>A5</c:v>
                </c:pt>
                <c:pt idx="3">
                  <c:v>B1</c:v>
                </c:pt>
                <c:pt idx="4">
                  <c:v>B4</c:v>
                </c:pt>
                <c:pt idx="5">
                  <c:v>C1</c:v>
                </c:pt>
                <c:pt idx="6">
                  <c:v>C2</c:v>
                </c:pt>
                <c:pt idx="7">
                  <c:v>C3</c:v>
                </c:pt>
                <c:pt idx="8">
                  <c:v>C4</c:v>
                </c:pt>
              </c:strCache>
            </c:strRef>
          </c:cat>
          <c:val>
            <c:numRef>
              <c:extLst>
                <c:ext xmlns:c15="http://schemas.microsoft.com/office/drawing/2012/chart" uri="{02D57815-91ED-43cb-92C2-25804820EDAC}">
                  <c15:fullRef>
                    <c15:sqref>Optimalisatie_Backlog!$C$39:$S$39</c15:sqref>
                  </c15:fullRef>
                </c:ext>
              </c:extLst>
              <c:f>Optimalisatie_Backlog!$C$39:$K$39</c:f>
            </c:numRef>
          </c:val>
          <c:extLst>
            <c:ext xmlns:c16="http://schemas.microsoft.com/office/drawing/2014/chart" uri="{C3380CC4-5D6E-409C-BE32-E72D297353CC}">
              <c16:uniqueId val="{0000003A-755A-408A-82FF-0A2C9519D9DD}"/>
            </c:ext>
          </c:extLst>
        </c:ser>
        <c:ser>
          <c:idx val="36"/>
          <c:order val="18"/>
          <c:tx>
            <c:strRef>
              <c:f>Optimalisatie_Backlog!$B$40</c:f>
            </c:strRef>
          </c:tx>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n-US"/>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extLst>
                <c:ext xmlns:c15="http://schemas.microsoft.com/office/drawing/2012/chart" uri="{02D57815-91ED-43cb-92C2-25804820EDAC}">
                  <c15:fullRef>
                    <c15:sqref>Optimalisatie_Backlog!$G$3:$O$3</c15:sqref>
                  </c15:fullRef>
                </c:ext>
              </c:extLst>
              <c:f>Optimalisatie_Backlog!$G$3:$O$3</c:f>
              <c:strCache>
                <c:ptCount val="9"/>
                <c:pt idx="0">
                  <c:v>A1-A3</c:v>
                </c:pt>
                <c:pt idx="1">
                  <c:v>A4</c:v>
                </c:pt>
                <c:pt idx="2">
                  <c:v>A5</c:v>
                </c:pt>
                <c:pt idx="3">
                  <c:v>B1</c:v>
                </c:pt>
                <c:pt idx="4">
                  <c:v>B4</c:v>
                </c:pt>
                <c:pt idx="5">
                  <c:v>C1</c:v>
                </c:pt>
                <c:pt idx="6">
                  <c:v>C2</c:v>
                </c:pt>
                <c:pt idx="7">
                  <c:v>C3</c:v>
                </c:pt>
                <c:pt idx="8">
                  <c:v>C4</c:v>
                </c:pt>
              </c:strCache>
            </c:strRef>
          </c:cat>
          <c:val>
            <c:numRef>
              <c:extLst>
                <c:ext xmlns:c15="http://schemas.microsoft.com/office/drawing/2012/chart" uri="{02D57815-91ED-43cb-92C2-25804820EDAC}">
                  <c15:fullRef>
                    <c15:sqref>Optimalisatie_Backlog!$C$40:$S$40</c15:sqref>
                  </c15:fullRef>
                </c:ext>
              </c:extLst>
              <c:f>Optimalisatie_Backlog!$C$40:$K$40</c:f>
            </c:numRef>
          </c:val>
          <c:extLst>
            <c:ext xmlns:c16="http://schemas.microsoft.com/office/drawing/2014/chart" uri="{C3380CC4-5D6E-409C-BE32-E72D297353CC}">
              <c16:uniqueId val="{0000003B-755A-408A-82FF-0A2C9519D9DD}"/>
            </c:ext>
          </c:extLst>
        </c:ser>
        <c:ser>
          <c:idx val="37"/>
          <c:order val="19"/>
          <c:tx>
            <c:strRef>
              <c:f>Optimalisatie_Backlog!$B$41</c:f>
            </c:strRef>
          </c:tx>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n-US"/>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extLst>
                <c:ext xmlns:c15="http://schemas.microsoft.com/office/drawing/2012/chart" uri="{02D57815-91ED-43cb-92C2-25804820EDAC}">
                  <c15:fullRef>
                    <c15:sqref>Optimalisatie_Backlog!$G$3:$O$3</c15:sqref>
                  </c15:fullRef>
                </c:ext>
              </c:extLst>
              <c:f>Optimalisatie_Backlog!$G$3:$O$3</c:f>
              <c:strCache>
                <c:ptCount val="9"/>
                <c:pt idx="0">
                  <c:v>A1-A3</c:v>
                </c:pt>
                <c:pt idx="1">
                  <c:v>A4</c:v>
                </c:pt>
                <c:pt idx="2">
                  <c:v>A5</c:v>
                </c:pt>
                <c:pt idx="3">
                  <c:v>B1</c:v>
                </c:pt>
                <c:pt idx="4">
                  <c:v>B4</c:v>
                </c:pt>
                <c:pt idx="5">
                  <c:v>C1</c:v>
                </c:pt>
                <c:pt idx="6">
                  <c:v>C2</c:v>
                </c:pt>
                <c:pt idx="7">
                  <c:v>C3</c:v>
                </c:pt>
                <c:pt idx="8">
                  <c:v>C4</c:v>
                </c:pt>
              </c:strCache>
            </c:strRef>
          </c:cat>
          <c:val>
            <c:numRef>
              <c:extLst>
                <c:ext xmlns:c15="http://schemas.microsoft.com/office/drawing/2012/chart" uri="{02D57815-91ED-43cb-92C2-25804820EDAC}">
                  <c15:fullRef>
                    <c15:sqref>Optimalisatie_Backlog!$C$41:$S$41</c15:sqref>
                  </c15:fullRef>
                </c:ext>
              </c:extLst>
              <c:f>Optimalisatie_Backlog!$C$41:$K$41</c:f>
            </c:numRef>
          </c:val>
          <c:extLst>
            <c:ext xmlns:c16="http://schemas.microsoft.com/office/drawing/2014/chart" uri="{C3380CC4-5D6E-409C-BE32-E72D297353CC}">
              <c16:uniqueId val="{0000003C-755A-408A-82FF-0A2C9519D9DD}"/>
            </c:ext>
          </c:extLst>
        </c:ser>
        <c:ser>
          <c:idx val="38"/>
          <c:order val="20"/>
          <c:tx>
            <c:strRef>
              <c:f>Optimalisatie_Backlog!$B$42</c:f>
            </c:strRef>
          </c:tx>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n-US"/>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extLst>
                <c:ext xmlns:c15="http://schemas.microsoft.com/office/drawing/2012/chart" uri="{02D57815-91ED-43cb-92C2-25804820EDAC}">
                  <c15:fullRef>
                    <c15:sqref>Optimalisatie_Backlog!$G$3:$O$3</c15:sqref>
                  </c15:fullRef>
                </c:ext>
              </c:extLst>
              <c:f>Optimalisatie_Backlog!$G$3:$O$3</c:f>
              <c:strCache>
                <c:ptCount val="9"/>
                <c:pt idx="0">
                  <c:v>A1-A3</c:v>
                </c:pt>
                <c:pt idx="1">
                  <c:v>A4</c:v>
                </c:pt>
                <c:pt idx="2">
                  <c:v>A5</c:v>
                </c:pt>
                <c:pt idx="3">
                  <c:v>B1</c:v>
                </c:pt>
                <c:pt idx="4">
                  <c:v>B4</c:v>
                </c:pt>
                <c:pt idx="5">
                  <c:v>C1</c:v>
                </c:pt>
                <c:pt idx="6">
                  <c:v>C2</c:v>
                </c:pt>
                <c:pt idx="7">
                  <c:v>C3</c:v>
                </c:pt>
                <c:pt idx="8">
                  <c:v>C4</c:v>
                </c:pt>
              </c:strCache>
            </c:strRef>
          </c:cat>
          <c:val>
            <c:numRef>
              <c:extLst>
                <c:ext xmlns:c15="http://schemas.microsoft.com/office/drawing/2012/chart" uri="{02D57815-91ED-43cb-92C2-25804820EDAC}">
                  <c15:fullRef>
                    <c15:sqref>Optimalisatie_Backlog!$C$42:$S$42</c15:sqref>
                  </c15:fullRef>
                </c:ext>
              </c:extLst>
              <c:f>Optimalisatie_Backlog!$C$42:$K$42</c:f>
            </c:numRef>
          </c:val>
          <c:extLst>
            <c:ext xmlns:c16="http://schemas.microsoft.com/office/drawing/2014/chart" uri="{C3380CC4-5D6E-409C-BE32-E72D297353CC}">
              <c16:uniqueId val="{0000003D-755A-408A-82FF-0A2C9519D9DD}"/>
            </c:ext>
          </c:extLst>
        </c:ser>
        <c:ser>
          <c:idx val="39"/>
          <c:order val="21"/>
          <c:tx>
            <c:strRef>
              <c:f>Optimalisatie_Backlog!$B$43</c:f>
            </c:strRef>
          </c:tx>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n-US"/>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extLst>
                <c:ext xmlns:c15="http://schemas.microsoft.com/office/drawing/2012/chart" uri="{02D57815-91ED-43cb-92C2-25804820EDAC}">
                  <c15:fullRef>
                    <c15:sqref>Optimalisatie_Backlog!$G$3:$O$3</c15:sqref>
                  </c15:fullRef>
                </c:ext>
              </c:extLst>
              <c:f>Optimalisatie_Backlog!$G$3:$O$3</c:f>
              <c:strCache>
                <c:ptCount val="9"/>
                <c:pt idx="0">
                  <c:v>A1-A3</c:v>
                </c:pt>
                <c:pt idx="1">
                  <c:v>A4</c:v>
                </c:pt>
                <c:pt idx="2">
                  <c:v>A5</c:v>
                </c:pt>
                <c:pt idx="3">
                  <c:v>B1</c:v>
                </c:pt>
                <c:pt idx="4">
                  <c:v>B4</c:v>
                </c:pt>
                <c:pt idx="5">
                  <c:v>C1</c:v>
                </c:pt>
                <c:pt idx="6">
                  <c:v>C2</c:v>
                </c:pt>
                <c:pt idx="7">
                  <c:v>C3</c:v>
                </c:pt>
                <c:pt idx="8">
                  <c:v>C4</c:v>
                </c:pt>
              </c:strCache>
            </c:strRef>
          </c:cat>
          <c:val>
            <c:numRef>
              <c:extLst>
                <c:ext xmlns:c15="http://schemas.microsoft.com/office/drawing/2012/chart" uri="{02D57815-91ED-43cb-92C2-25804820EDAC}">
                  <c15:fullRef>
                    <c15:sqref>Optimalisatie_Backlog!$C$43:$S$43</c15:sqref>
                  </c15:fullRef>
                </c:ext>
              </c:extLst>
              <c:f>Optimalisatie_Backlog!$C$43:$K$43</c:f>
            </c:numRef>
          </c:val>
          <c:extLst>
            <c:ext xmlns:c16="http://schemas.microsoft.com/office/drawing/2014/chart" uri="{C3380CC4-5D6E-409C-BE32-E72D297353CC}">
              <c16:uniqueId val="{0000003E-755A-408A-82FF-0A2C9519D9DD}"/>
            </c:ext>
          </c:extLst>
        </c:ser>
        <c:ser>
          <c:idx val="40"/>
          <c:order val="22"/>
          <c:tx>
            <c:strRef>
              <c:f>Optimalisatie_Backlog!$B$44</c:f>
            </c:strRef>
          </c:tx>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n-US"/>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extLst>
                <c:ext xmlns:c15="http://schemas.microsoft.com/office/drawing/2012/chart" uri="{02D57815-91ED-43cb-92C2-25804820EDAC}">
                  <c15:fullRef>
                    <c15:sqref>Optimalisatie_Backlog!$G$3:$O$3</c15:sqref>
                  </c15:fullRef>
                </c:ext>
              </c:extLst>
              <c:f>Optimalisatie_Backlog!$G$3:$O$3</c:f>
              <c:strCache>
                <c:ptCount val="9"/>
                <c:pt idx="0">
                  <c:v>A1-A3</c:v>
                </c:pt>
                <c:pt idx="1">
                  <c:v>A4</c:v>
                </c:pt>
                <c:pt idx="2">
                  <c:v>A5</c:v>
                </c:pt>
                <c:pt idx="3">
                  <c:v>B1</c:v>
                </c:pt>
                <c:pt idx="4">
                  <c:v>B4</c:v>
                </c:pt>
                <c:pt idx="5">
                  <c:v>C1</c:v>
                </c:pt>
                <c:pt idx="6">
                  <c:v>C2</c:v>
                </c:pt>
                <c:pt idx="7">
                  <c:v>C3</c:v>
                </c:pt>
                <c:pt idx="8">
                  <c:v>C4</c:v>
                </c:pt>
              </c:strCache>
            </c:strRef>
          </c:cat>
          <c:val>
            <c:numRef>
              <c:extLst>
                <c:ext xmlns:c15="http://schemas.microsoft.com/office/drawing/2012/chart" uri="{02D57815-91ED-43cb-92C2-25804820EDAC}">
                  <c15:fullRef>
                    <c15:sqref>Optimalisatie_Backlog!$C$44:$S$44</c15:sqref>
                  </c15:fullRef>
                </c:ext>
              </c:extLst>
              <c:f>Optimalisatie_Backlog!$C$44:$K$44</c:f>
            </c:numRef>
          </c:val>
          <c:extLst>
            <c:ext xmlns:c16="http://schemas.microsoft.com/office/drawing/2014/chart" uri="{C3380CC4-5D6E-409C-BE32-E72D297353CC}">
              <c16:uniqueId val="{0000003F-755A-408A-82FF-0A2C9519D9DD}"/>
            </c:ext>
          </c:extLst>
        </c:ser>
        <c:ser>
          <c:idx val="41"/>
          <c:order val="23"/>
          <c:tx>
            <c:strRef>
              <c:f>Optimalisatie_Backlog!$B$45</c:f>
            </c:strRef>
          </c:tx>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n-US"/>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extLst>
                <c:ext xmlns:c15="http://schemas.microsoft.com/office/drawing/2012/chart" uri="{02D57815-91ED-43cb-92C2-25804820EDAC}">
                  <c15:fullRef>
                    <c15:sqref>Optimalisatie_Backlog!$G$3:$O$3</c15:sqref>
                  </c15:fullRef>
                </c:ext>
              </c:extLst>
              <c:f>Optimalisatie_Backlog!$G$3:$O$3</c:f>
              <c:strCache>
                <c:ptCount val="9"/>
                <c:pt idx="0">
                  <c:v>A1-A3</c:v>
                </c:pt>
                <c:pt idx="1">
                  <c:v>A4</c:v>
                </c:pt>
                <c:pt idx="2">
                  <c:v>A5</c:v>
                </c:pt>
                <c:pt idx="3">
                  <c:v>B1</c:v>
                </c:pt>
                <c:pt idx="4">
                  <c:v>B4</c:v>
                </c:pt>
                <c:pt idx="5">
                  <c:v>C1</c:v>
                </c:pt>
                <c:pt idx="6">
                  <c:v>C2</c:v>
                </c:pt>
                <c:pt idx="7">
                  <c:v>C3</c:v>
                </c:pt>
                <c:pt idx="8">
                  <c:v>C4</c:v>
                </c:pt>
              </c:strCache>
            </c:strRef>
          </c:cat>
          <c:val>
            <c:numRef>
              <c:extLst>
                <c:ext xmlns:c15="http://schemas.microsoft.com/office/drawing/2012/chart" uri="{02D57815-91ED-43cb-92C2-25804820EDAC}">
                  <c15:fullRef>
                    <c15:sqref>Optimalisatie_Backlog!$C$45:$S$45</c15:sqref>
                  </c15:fullRef>
                </c:ext>
              </c:extLst>
              <c:f>Optimalisatie_Backlog!$C$45:$K$45</c:f>
            </c:numRef>
          </c:val>
          <c:extLst>
            <c:ext xmlns:c16="http://schemas.microsoft.com/office/drawing/2014/chart" uri="{C3380CC4-5D6E-409C-BE32-E72D297353CC}">
              <c16:uniqueId val="{00000040-755A-408A-82FF-0A2C9519D9DD}"/>
            </c:ext>
          </c:extLst>
        </c:ser>
        <c:ser>
          <c:idx val="42"/>
          <c:order val="24"/>
          <c:tx>
            <c:strRef>
              <c:f>Optimalisatie_Backlog!$B$46</c:f>
            </c:strRef>
          </c:tx>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n-US"/>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extLst>
                <c:ext xmlns:c15="http://schemas.microsoft.com/office/drawing/2012/chart" uri="{02D57815-91ED-43cb-92C2-25804820EDAC}">
                  <c15:fullRef>
                    <c15:sqref>Optimalisatie_Backlog!$G$3:$O$3</c15:sqref>
                  </c15:fullRef>
                </c:ext>
              </c:extLst>
              <c:f>Optimalisatie_Backlog!$G$3:$O$3</c:f>
              <c:strCache>
                <c:ptCount val="9"/>
                <c:pt idx="0">
                  <c:v>A1-A3</c:v>
                </c:pt>
                <c:pt idx="1">
                  <c:v>A4</c:v>
                </c:pt>
                <c:pt idx="2">
                  <c:v>A5</c:v>
                </c:pt>
                <c:pt idx="3">
                  <c:v>B1</c:v>
                </c:pt>
                <c:pt idx="4">
                  <c:v>B4</c:v>
                </c:pt>
                <c:pt idx="5">
                  <c:v>C1</c:v>
                </c:pt>
                <c:pt idx="6">
                  <c:v>C2</c:v>
                </c:pt>
                <c:pt idx="7">
                  <c:v>C3</c:v>
                </c:pt>
                <c:pt idx="8">
                  <c:v>C4</c:v>
                </c:pt>
              </c:strCache>
            </c:strRef>
          </c:cat>
          <c:val>
            <c:numRef>
              <c:extLst>
                <c:ext xmlns:c15="http://schemas.microsoft.com/office/drawing/2012/chart" uri="{02D57815-91ED-43cb-92C2-25804820EDAC}">
                  <c15:fullRef>
                    <c15:sqref>Optimalisatie_Backlog!$C$46:$S$46</c15:sqref>
                  </c15:fullRef>
                </c:ext>
              </c:extLst>
              <c:f>Optimalisatie_Backlog!$C$46:$K$46</c:f>
            </c:numRef>
          </c:val>
          <c:extLst>
            <c:ext xmlns:c16="http://schemas.microsoft.com/office/drawing/2014/chart" uri="{C3380CC4-5D6E-409C-BE32-E72D297353CC}">
              <c16:uniqueId val="{00000041-755A-408A-82FF-0A2C9519D9DD}"/>
            </c:ext>
          </c:extLst>
        </c:ser>
        <c:ser>
          <c:idx val="43"/>
          <c:order val="25"/>
          <c:tx>
            <c:strRef>
              <c:f>Optimalisatie_Backlog!$B$47</c:f>
            </c:strRef>
          </c:tx>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n-US"/>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extLst>
                <c:ext xmlns:c15="http://schemas.microsoft.com/office/drawing/2012/chart" uri="{02D57815-91ED-43cb-92C2-25804820EDAC}">
                  <c15:fullRef>
                    <c15:sqref>Optimalisatie_Backlog!$G$3:$O$3</c15:sqref>
                  </c15:fullRef>
                </c:ext>
              </c:extLst>
              <c:f>Optimalisatie_Backlog!$G$3:$O$3</c:f>
              <c:strCache>
                <c:ptCount val="9"/>
                <c:pt idx="0">
                  <c:v>A1-A3</c:v>
                </c:pt>
                <c:pt idx="1">
                  <c:v>A4</c:v>
                </c:pt>
                <c:pt idx="2">
                  <c:v>A5</c:v>
                </c:pt>
                <c:pt idx="3">
                  <c:v>B1</c:v>
                </c:pt>
                <c:pt idx="4">
                  <c:v>B4</c:v>
                </c:pt>
                <c:pt idx="5">
                  <c:v>C1</c:v>
                </c:pt>
                <c:pt idx="6">
                  <c:v>C2</c:v>
                </c:pt>
                <c:pt idx="7">
                  <c:v>C3</c:v>
                </c:pt>
                <c:pt idx="8">
                  <c:v>C4</c:v>
                </c:pt>
              </c:strCache>
            </c:strRef>
          </c:cat>
          <c:val>
            <c:numRef>
              <c:extLst>
                <c:ext xmlns:c15="http://schemas.microsoft.com/office/drawing/2012/chart" uri="{02D57815-91ED-43cb-92C2-25804820EDAC}">
                  <c15:fullRef>
                    <c15:sqref>Optimalisatie_Backlog!$C$47:$S$47</c15:sqref>
                  </c15:fullRef>
                </c:ext>
              </c:extLst>
              <c:f>Optimalisatie_Backlog!$C$47:$K$47</c:f>
            </c:numRef>
          </c:val>
          <c:extLst>
            <c:ext xmlns:c16="http://schemas.microsoft.com/office/drawing/2014/chart" uri="{C3380CC4-5D6E-409C-BE32-E72D297353CC}">
              <c16:uniqueId val="{00000042-755A-408A-82FF-0A2C9519D9DD}"/>
            </c:ext>
          </c:extLst>
        </c:ser>
        <c:ser>
          <c:idx val="44"/>
          <c:order val="26"/>
          <c:tx>
            <c:strRef>
              <c:f>Optimalisatie_Backlog!$B$48</c:f>
            </c:strRef>
          </c:tx>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n-US"/>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extLst>
                <c:ext xmlns:c15="http://schemas.microsoft.com/office/drawing/2012/chart" uri="{02D57815-91ED-43cb-92C2-25804820EDAC}">
                  <c15:fullRef>
                    <c15:sqref>Optimalisatie_Backlog!$G$3:$O$3</c15:sqref>
                  </c15:fullRef>
                </c:ext>
              </c:extLst>
              <c:f>Optimalisatie_Backlog!$G$3:$O$3</c:f>
              <c:strCache>
                <c:ptCount val="9"/>
                <c:pt idx="0">
                  <c:v>A1-A3</c:v>
                </c:pt>
                <c:pt idx="1">
                  <c:v>A4</c:v>
                </c:pt>
                <c:pt idx="2">
                  <c:v>A5</c:v>
                </c:pt>
                <c:pt idx="3">
                  <c:v>B1</c:v>
                </c:pt>
                <c:pt idx="4">
                  <c:v>B4</c:v>
                </c:pt>
                <c:pt idx="5">
                  <c:v>C1</c:v>
                </c:pt>
                <c:pt idx="6">
                  <c:v>C2</c:v>
                </c:pt>
                <c:pt idx="7">
                  <c:v>C3</c:v>
                </c:pt>
                <c:pt idx="8">
                  <c:v>C4</c:v>
                </c:pt>
              </c:strCache>
            </c:strRef>
          </c:cat>
          <c:val>
            <c:numRef>
              <c:extLst>
                <c:ext xmlns:c15="http://schemas.microsoft.com/office/drawing/2012/chart" uri="{02D57815-91ED-43cb-92C2-25804820EDAC}">
                  <c15:fullRef>
                    <c15:sqref>Optimalisatie_Backlog!$C$48:$S$48</c15:sqref>
                  </c15:fullRef>
                </c:ext>
              </c:extLst>
              <c:f>Optimalisatie_Backlog!$C$48:$K$48</c:f>
            </c:numRef>
          </c:val>
          <c:extLst>
            <c:ext xmlns:c16="http://schemas.microsoft.com/office/drawing/2014/chart" uri="{C3380CC4-5D6E-409C-BE32-E72D297353CC}">
              <c16:uniqueId val="{00000043-755A-408A-82FF-0A2C9519D9DD}"/>
            </c:ext>
          </c:extLst>
        </c:ser>
        <c:ser>
          <c:idx val="45"/>
          <c:order val="27"/>
          <c:tx>
            <c:strRef>
              <c:f>Optimalisatie_Backlog!$B$49</c:f>
            </c:strRef>
          </c:tx>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n-US"/>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extLst>
                <c:ext xmlns:c15="http://schemas.microsoft.com/office/drawing/2012/chart" uri="{02D57815-91ED-43cb-92C2-25804820EDAC}">
                  <c15:fullRef>
                    <c15:sqref>Optimalisatie_Backlog!$G$3:$O$3</c15:sqref>
                  </c15:fullRef>
                </c:ext>
              </c:extLst>
              <c:f>Optimalisatie_Backlog!$G$3:$O$3</c:f>
              <c:strCache>
                <c:ptCount val="9"/>
                <c:pt idx="0">
                  <c:v>A1-A3</c:v>
                </c:pt>
                <c:pt idx="1">
                  <c:v>A4</c:v>
                </c:pt>
                <c:pt idx="2">
                  <c:v>A5</c:v>
                </c:pt>
                <c:pt idx="3">
                  <c:v>B1</c:v>
                </c:pt>
                <c:pt idx="4">
                  <c:v>B4</c:v>
                </c:pt>
                <c:pt idx="5">
                  <c:v>C1</c:v>
                </c:pt>
                <c:pt idx="6">
                  <c:v>C2</c:v>
                </c:pt>
                <c:pt idx="7">
                  <c:v>C3</c:v>
                </c:pt>
                <c:pt idx="8">
                  <c:v>C4</c:v>
                </c:pt>
              </c:strCache>
            </c:strRef>
          </c:cat>
          <c:val>
            <c:numRef>
              <c:extLst>
                <c:ext xmlns:c15="http://schemas.microsoft.com/office/drawing/2012/chart" uri="{02D57815-91ED-43cb-92C2-25804820EDAC}">
                  <c15:fullRef>
                    <c15:sqref>Optimalisatie_Backlog!$C$49:$S$49</c15:sqref>
                  </c15:fullRef>
                </c:ext>
              </c:extLst>
              <c:f>Optimalisatie_Backlog!$C$49:$K$49</c:f>
            </c:numRef>
          </c:val>
          <c:extLst>
            <c:ext xmlns:c16="http://schemas.microsoft.com/office/drawing/2014/chart" uri="{C3380CC4-5D6E-409C-BE32-E72D297353CC}">
              <c16:uniqueId val="{00000044-755A-408A-82FF-0A2C9519D9DD}"/>
            </c:ext>
          </c:extLst>
        </c:ser>
        <c:ser>
          <c:idx val="46"/>
          <c:order val="28"/>
          <c:tx>
            <c:strRef>
              <c:f>Optimalisatie_Backlog!$B$50</c:f>
            </c:strRef>
          </c:tx>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n-US"/>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extLst>
                <c:ext xmlns:c15="http://schemas.microsoft.com/office/drawing/2012/chart" uri="{02D57815-91ED-43cb-92C2-25804820EDAC}">
                  <c15:fullRef>
                    <c15:sqref>Optimalisatie_Backlog!$G$3:$O$3</c15:sqref>
                  </c15:fullRef>
                </c:ext>
              </c:extLst>
              <c:f>Optimalisatie_Backlog!$G$3:$O$3</c:f>
              <c:strCache>
                <c:ptCount val="9"/>
                <c:pt idx="0">
                  <c:v>A1-A3</c:v>
                </c:pt>
                <c:pt idx="1">
                  <c:v>A4</c:v>
                </c:pt>
                <c:pt idx="2">
                  <c:v>A5</c:v>
                </c:pt>
                <c:pt idx="3">
                  <c:v>B1</c:v>
                </c:pt>
                <c:pt idx="4">
                  <c:v>B4</c:v>
                </c:pt>
                <c:pt idx="5">
                  <c:v>C1</c:v>
                </c:pt>
                <c:pt idx="6">
                  <c:v>C2</c:v>
                </c:pt>
                <c:pt idx="7">
                  <c:v>C3</c:v>
                </c:pt>
                <c:pt idx="8">
                  <c:v>C4</c:v>
                </c:pt>
              </c:strCache>
            </c:strRef>
          </c:cat>
          <c:val>
            <c:numRef>
              <c:extLst>
                <c:ext xmlns:c15="http://schemas.microsoft.com/office/drawing/2012/chart" uri="{02D57815-91ED-43cb-92C2-25804820EDAC}">
                  <c15:fullRef>
                    <c15:sqref>Optimalisatie_Backlog!$C$50:$S$50</c15:sqref>
                  </c15:fullRef>
                </c:ext>
              </c:extLst>
              <c:f>Optimalisatie_Backlog!$C$50:$K$50</c:f>
            </c:numRef>
          </c:val>
          <c:extLst>
            <c:ext xmlns:c16="http://schemas.microsoft.com/office/drawing/2014/chart" uri="{C3380CC4-5D6E-409C-BE32-E72D297353CC}">
              <c16:uniqueId val="{00000045-755A-408A-82FF-0A2C9519D9DD}"/>
            </c:ext>
          </c:extLst>
        </c:ser>
        <c:ser>
          <c:idx val="47"/>
          <c:order val="29"/>
          <c:tx>
            <c:strRef>
              <c:f>Optimalisatie_Backlog!$B$51</c:f>
            </c:strRef>
          </c:tx>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n-US"/>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extLst>
                <c:ext xmlns:c15="http://schemas.microsoft.com/office/drawing/2012/chart" uri="{02D57815-91ED-43cb-92C2-25804820EDAC}">
                  <c15:fullRef>
                    <c15:sqref>Optimalisatie_Backlog!$G$3:$O$3</c15:sqref>
                  </c15:fullRef>
                </c:ext>
              </c:extLst>
              <c:f>Optimalisatie_Backlog!$G$3:$O$3</c:f>
              <c:strCache>
                <c:ptCount val="9"/>
                <c:pt idx="0">
                  <c:v>A1-A3</c:v>
                </c:pt>
                <c:pt idx="1">
                  <c:v>A4</c:v>
                </c:pt>
                <c:pt idx="2">
                  <c:v>A5</c:v>
                </c:pt>
                <c:pt idx="3">
                  <c:v>B1</c:v>
                </c:pt>
                <c:pt idx="4">
                  <c:v>B4</c:v>
                </c:pt>
                <c:pt idx="5">
                  <c:v>C1</c:v>
                </c:pt>
                <c:pt idx="6">
                  <c:v>C2</c:v>
                </c:pt>
                <c:pt idx="7">
                  <c:v>C3</c:v>
                </c:pt>
                <c:pt idx="8">
                  <c:v>C4</c:v>
                </c:pt>
              </c:strCache>
            </c:strRef>
          </c:cat>
          <c:val>
            <c:numRef>
              <c:extLst>
                <c:ext xmlns:c15="http://schemas.microsoft.com/office/drawing/2012/chart" uri="{02D57815-91ED-43cb-92C2-25804820EDAC}">
                  <c15:fullRef>
                    <c15:sqref>Optimalisatie_Backlog!$C$51:$S$51</c15:sqref>
                  </c15:fullRef>
                </c:ext>
              </c:extLst>
              <c:f>Optimalisatie_Backlog!$C$51:$K$51</c:f>
            </c:numRef>
          </c:val>
          <c:extLst>
            <c:ext xmlns:c16="http://schemas.microsoft.com/office/drawing/2014/chart" uri="{C3380CC4-5D6E-409C-BE32-E72D297353CC}">
              <c16:uniqueId val="{00000046-755A-408A-82FF-0A2C9519D9DD}"/>
            </c:ext>
          </c:extLst>
        </c:ser>
        <c:ser>
          <c:idx val="48"/>
          <c:order val="30"/>
          <c:tx>
            <c:strRef>
              <c:f>Optimalisatie_Backlog!$B$52</c:f>
            </c:strRef>
          </c:tx>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n-US"/>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extLst>
                <c:ext xmlns:c15="http://schemas.microsoft.com/office/drawing/2012/chart" uri="{02D57815-91ED-43cb-92C2-25804820EDAC}">
                  <c15:fullRef>
                    <c15:sqref>Optimalisatie_Backlog!$G$3:$O$3</c15:sqref>
                  </c15:fullRef>
                </c:ext>
              </c:extLst>
              <c:f>Optimalisatie_Backlog!$G$3:$O$3</c:f>
              <c:strCache>
                <c:ptCount val="9"/>
                <c:pt idx="0">
                  <c:v>A1-A3</c:v>
                </c:pt>
                <c:pt idx="1">
                  <c:v>A4</c:v>
                </c:pt>
                <c:pt idx="2">
                  <c:v>A5</c:v>
                </c:pt>
                <c:pt idx="3">
                  <c:v>B1</c:v>
                </c:pt>
                <c:pt idx="4">
                  <c:v>B4</c:v>
                </c:pt>
                <c:pt idx="5">
                  <c:v>C1</c:v>
                </c:pt>
                <c:pt idx="6">
                  <c:v>C2</c:v>
                </c:pt>
                <c:pt idx="7">
                  <c:v>C3</c:v>
                </c:pt>
                <c:pt idx="8">
                  <c:v>C4</c:v>
                </c:pt>
              </c:strCache>
            </c:strRef>
          </c:cat>
          <c:val>
            <c:numRef>
              <c:extLst>
                <c:ext xmlns:c15="http://schemas.microsoft.com/office/drawing/2012/chart" uri="{02D57815-91ED-43cb-92C2-25804820EDAC}">
                  <c15:fullRef>
                    <c15:sqref>Optimalisatie_Backlog!$C$52:$S$52</c15:sqref>
                  </c15:fullRef>
                </c:ext>
              </c:extLst>
              <c:f>Optimalisatie_Backlog!$C$52:$K$52</c:f>
            </c:numRef>
          </c:val>
          <c:extLst>
            <c:ext xmlns:c16="http://schemas.microsoft.com/office/drawing/2014/chart" uri="{C3380CC4-5D6E-409C-BE32-E72D297353CC}">
              <c16:uniqueId val="{00000047-755A-408A-82FF-0A2C9519D9DD}"/>
            </c:ext>
          </c:extLst>
        </c:ser>
        <c:ser>
          <c:idx val="49"/>
          <c:order val="31"/>
          <c:tx>
            <c:strRef>
              <c:f>Optimalisatie_Backlog!$B$53</c:f>
            </c:strRef>
          </c:tx>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n-US"/>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extLst>
                <c:ext xmlns:c15="http://schemas.microsoft.com/office/drawing/2012/chart" uri="{02D57815-91ED-43cb-92C2-25804820EDAC}">
                  <c15:fullRef>
                    <c15:sqref>Optimalisatie_Backlog!$G$3:$O$3</c15:sqref>
                  </c15:fullRef>
                </c:ext>
              </c:extLst>
              <c:f>Optimalisatie_Backlog!$G$3:$O$3</c:f>
              <c:strCache>
                <c:ptCount val="9"/>
                <c:pt idx="0">
                  <c:v>A1-A3</c:v>
                </c:pt>
                <c:pt idx="1">
                  <c:v>A4</c:v>
                </c:pt>
                <c:pt idx="2">
                  <c:v>A5</c:v>
                </c:pt>
                <c:pt idx="3">
                  <c:v>B1</c:v>
                </c:pt>
                <c:pt idx="4">
                  <c:v>B4</c:v>
                </c:pt>
                <c:pt idx="5">
                  <c:v>C1</c:v>
                </c:pt>
                <c:pt idx="6">
                  <c:v>C2</c:v>
                </c:pt>
                <c:pt idx="7">
                  <c:v>C3</c:v>
                </c:pt>
                <c:pt idx="8">
                  <c:v>C4</c:v>
                </c:pt>
              </c:strCache>
            </c:strRef>
          </c:cat>
          <c:val>
            <c:numRef>
              <c:extLst>
                <c:ext xmlns:c15="http://schemas.microsoft.com/office/drawing/2012/chart" uri="{02D57815-91ED-43cb-92C2-25804820EDAC}">
                  <c15:fullRef>
                    <c15:sqref>Optimalisatie_Backlog!$C$53:$S$53</c15:sqref>
                  </c15:fullRef>
                </c:ext>
              </c:extLst>
              <c:f>Optimalisatie_Backlog!$C$53:$K$53</c:f>
            </c:numRef>
          </c:val>
          <c:extLst>
            <c:ext xmlns:c16="http://schemas.microsoft.com/office/drawing/2014/chart" uri="{C3380CC4-5D6E-409C-BE32-E72D297353CC}">
              <c16:uniqueId val="{00000048-755A-408A-82FF-0A2C9519D9DD}"/>
            </c:ext>
          </c:extLst>
        </c:ser>
        <c:ser>
          <c:idx val="50"/>
          <c:order val="32"/>
          <c:tx>
            <c:strRef>
              <c:f>Optimalisatie_Backlog!$B$54</c:f>
            </c:strRef>
          </c:tx>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n-US"/>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extLst>
                <c:ext xmlns:c15="http://schemas.microsoft.com/office/drawing/2012/chart" uri="{02D57815-91ED-43cb-92C2-25804820EDAC}">
                  <c15:fullRef>
                    <c15:sqref>Optimalisatie_Backlog!$G$3:$O$3</c15:sqref>
                  </c15:fullRef>
                </c:ext>
              </c:extLst>
              <c:f>Optimalisatie_Backlog!$G$3:$O$3</c:f>
              <c:strCache>
                <c:ptCount val="9"/>
                <c:pt idx="0">
                  <c:v>A1-A3</c:v>
                </c:pt>
                <c:pt idx="1">
                  <c:v>A4</c:v>
                </c:pt>
                <c:pt idx="2">
                  <c:v>A5</c:v>
                </c:pt>
                <c:pt idx="3">
                  <c:v>B1</c:v>
                </c:pt>
                <c:pt idx="4">
                  <c:v>B4</c:v>
                </c:pt>
                <c:pt idx="5">
                  <c:v>C1</c:v>
                </c:pt>
                <c:pt idx="6">
                  <c:v>C2</c:v>
                </c:pt>
                <c:pt idx="7">
                  <c:v>C3</c:v>
                </c:pt>
                <c:pt idx="8">
                  <c:v>C4</c:v>
                </c:pt>
              </c:strCache>
            </c:strRef>
          </c:cat>
          <c:val>
            <c:numRef>
              <c:extLst>
                <c:ext xmlns:c15="http://schemas.microsoft.com/office/drawing/2012/chart" uri="{02D57815-91ED-43cb-92C2-25804820EDAC}">
                  <c15:fullRef>
                    <c15:sqref>Optimalisatie_Backlog!$C$54:$S$54</c15:sqref>
                  </c15:fullRef>
                </c:ext>
              </c:extLst>
              <c:f>Optimalisatie_Backlog!$C$54:$K$54</c:f>
            </c:numRef>
          </c:val>
          <c:extLst>
            <c:ext xmlns:c16="http://schemas.microsoft.com/office/drawing/2014/chart" uri="{C3380CC4-5D6E-409C-BE32-E72D297353CC}">
              <c16:uniqueId val="{00000049-755A-408A-82FF-0A2C9519D9DD}"/>
            </c:ext>
          </c:extLst>
        </c:ser>
        <c:ser>
          <c:idx val="51"/>
          <c:order val="33"/>
          <c:tx>
            <c:strRef>
              <c:f>Optimalisatie_Backlog!$B$55</c:f>
            </c:strRef>
          </c:tx>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n-US"/>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extLst>
                <c:ext xmlns:c15="http://schemas.microsoft.com/office/drawing/2012/chart" uri="{02D57815-91ED-43cb-92C2-25804820EDAC}">
                  <c15:fullRef>
                    <c15:sqref>Optimalisatie_Backlog!$G$3:$O$3</c15:sqref>
                  </c15:fullRef>
                </c:ext>
              </c:extLst>
              <c:f>Optimalisatie_Backlog!$G$3:$O$3</c:f>
              <c:strCache>
                <c:ptCount val="9"/>
                <c:pt idx="0">
                  <c:v>A1-A3</c:v>
                </c:pt>
                <c:pt idx="1">
                  <c:v>A4</c:v>
                </c:pt>
                <c:pt idx="2">
                  <c:v>A5</c:v>
                </c:pt>
                <c:pt idx="3">
                  <c:v>B1</c:v>
                </c:pt>
                <c:pt idx="4">
                  <c:v>B4</c:v>
                </c:pt>
                <c:pt idx="5">
                  <c:v>C1</c:v>
                </c:pt>
                <c:pt idx="6">
                  <c:v>C2</c:v>
                </c:pt>
                <c:pt idx="7">
                  <c:v>C3</c:v>
                </c:pt>
                <c:pt idx="8">
                  <c:v>C4</c:v>
                </c:pt>
              </c:strCache>
            </c:strRef>
          </c:cat>
          <c:val>
            <c:numRef>
              <c:extLst>
                <c:ext xmlns:c15="http://schemas.microsoft.com/office/drawing/2012/chart" uri="{02D57815-91ED-43cb-92C2-25804820EDAC}">
                  <c15:fullRef>
                    <c15:sqref>Optimalisatie_Backlog!$C$55:$S$55</c15:sqref>
                  </c15:fullRef>
                </c:ext>
              </c:extLst>
              <c:f>Optimalisatie_Backlog!$C$55:$K$55</c:f>
            </c:numRef>
          </c:val>
          <c:extLst>
            <c:ext xmlns:c16="http://schemas.microsoft.com/office/drawing/2014/chart" uri="{C3380CC4-5D6E-409C-BE32-E72D297353CC}">
              <c16:uniqueId val="{0000004A-755A-408A-82FF-0A2C9519D9DD}"/>
            </c:ext>
          </c:extLst>
        </c:ser>
        <c:ser>
          <c:idx val="52"/>
          <c:order val="34"/>
          <c:tx>
            <c:strRef>
              <c:f>Optimalisatie_Backlog!$B$56</c:f>
            </c:strRef>
          </c:tx>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n-US"/>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extLst>
                <c:ext xmlns:c15="http://schemas.microsoft.com/office/drawing/2012/chart" uri="{02D57815-91ED-43cb-92C2-25804820EDAC}">
                  <c15:fullRef>
                    <c15:sqref>Optimalisatie_Backlog!$G$3:$O$3</c15:sqref>
                  </c15:fullRef>
                </c:ext>
              </c:extLst>
              <c:f>Optimalisatie_Backlog!$G$3:$O$3</c:f>
              <c:strCache>
                <c:ptCount val="9"/>
                <c:pt idx="0">
                  <c:v>A1-A3</c:v>
                </c:pt>
                <c:pt idx="1">
                  <c:v>A4</c:v>
                </c:pt>
                <c:pt idx="2">
                  <c:v>A5</c:v>
                </c:pt>
                <c:pt idx="3">
                  <c:v>B1</c:v>
                </c:pt>
                <c:pt idx="4">
                  <c:v>B4</c:v>
                </c:pt>
                <c:pt idx="5">
                  <c:v>C1</c:v>
                </c:pt>
                <c:pt idx="6">
                  <c:v>C2</c:v>
                </c:pt>
                <c:pt idx="7">
                  <c:v>C3</c:v>
                </c:pt>
                <c:pt idx="8">
                  <c:v>C4</c:v>
                </c:pt>
              </c:strCache>
            </c:strRef>
          </c:cat>
          <c:val>
            <c:numRef>
              <c:extLst>
                <c:ext xmlns:c15="http://schemas.microsoft.com/office/drawing/2012/chart" uri="{02D57815-91ED-43cb-92C2-25804820EDAC}">
                  <c15:fullRef>
                    <c15:sqref>Optimalisatie_Backlog!$C$56:$S$56</c15:sqref>
                  </c15:fullRef>
                </c:ext>
              </c:extLst>
              <c:f>Optimalisatie_Backlog!$C$56:$K$56</c:f>
            </c:numRef>
          </c:val>
          <c:extLst>
            <c:ext xmlns:c16="http://schemas.microsoft.com/office/drawing/2014/chart" uri="{C3380CC4-5D6E-409C-BE32-E72D297353CC}">
              <c16:uniqueId val="{0000004B-755A-408A-82FF-0A2C9519D9DD}"/>
            </c:ext>
          </c:extLst>
        </c:ser>
        <c:ser>
          <c:idx val="53"/>
          <c:order val="35"/>
          <c:tx>
            <c:strRef>
              <c:f>Optimalisatie_Backlog!$B$57</c:f>
            </c:strRef>
          </c:tx>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n-US"/>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extLst>
                <c:ext xmlns:c15="http://schemas.microsoft.com/office/drawing/2012/chart" uri="{02D57815-91ED-43cb-92C2-25804820EDAC}">
                  <c15:fullRef>
                    <c15:sqref>Optimalisatie_Backlog!$G$3:$O$3</c15:sqref>
                  </c15:fullRef>
                </c:ext>
              </c:extLst>
              <c:f>Optimalisatie_Backlog!$G$3:$O$3</c:f>
              <c:strCache>
                <c:ptCount val="9"/>
                <c:pt idx="0">
                  <c:v>A1-A3</c:v>
                </c:pt>
                <c:pt idx="1">
                  <c:v>A4</c:v>
                </c:pt>
                <c:pt idx="2">
                  <c:v>A5</c:v>
                </c:pt>
                <c:pt idx="3">
                  <c:v>B1</c:v>
                </c:pt>
                <c:pt idx="4">
                  <c:v>B4</c:v>
                </c:pt>
                <c:pt idx="5">
                  <c:v>C1</c:v>
                </c:pt>
                <c:pt idx="6">
                  <c:v>C2</c:v>
                </c:pt>
                <c:pt idx="7">
                  <c:v>C3</c:v>
                </c:pt>
                <c:pt idx="8">
                  <c:v>C4</c:v>
                </c:pt>
              </c:strCache>
            </c:strRef>
          </c:cat>
          <c:val>
            <c:numRef>
              <c:extLst>
                <c:ext xmlns:c15="http://schemas.microsoft.com/office/drawing/2012/chart" uri="{02D57815-91ED-43cb-92C2-25804820EDAC}">
                  <c15:fullRef>
                    <c15:sqref>Optimalisatie_Backlog!$C$57:$S$57</c15:sqref>
                  </c15:fullRef>
                </c:ext>
              </c:extLst>
              <c:f>Optimalisatie_Backlog!$C$57:$K$57</c:f>
            </c:numRef>
          </c:val>
          <c:extLst>
            <c:ext xmlns:c16="http://schemas.microsoft.com/office/drawing/2014/chart" uri="{C3380CC4-5D6E-409C-BE32-E72D297353CC}">
              <c16:uniqueId val="{0000004C-755A-408A-82FF-0A2C9519D9DD}"/>
            </c:ext>
          </c:extLst>
        </c:ser>
        <c:ser>
          <c:idx val="54"/>
          <c:order val="36"/>
          <c:tx>
            <c:strRef>
              <c:f>Optimalisatie_Backlog!$B$58</c:f>
            </c:strRef>
          </c:tx>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n-US"/>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extLst>
                <c:ext xmlns:c15="http://schemas.microsoft.com/office/drawing/2012/chart" uri="{02D57815-91ED-43cb-92C2-25804820EDAC}">
                  <c15:fullRef>
                    <c15:sqref>Optimalisatie_Backlog!$G$3:$O$3</c15:sqref>
                  </c15:fullRef>
                </c:ext>
              </c:extLst>
              <c:f>Optimalisatie_Backlog!$G$3:$O$3</c:f>
              <c:strCache>
                <c:ptCount val="9"/>
                <c:pt idx="0">
                  <c:v>A1-A3</c:v>
                </c:pt>
                <c:pt idx="1">
                  <c:v>A4</c:v>
                </c:pt>
                <c:pt idx="2">
                  <c:v>A5</c:v>
                </c:pt>
                <c:pt idx="3">
                  <c:v>B1</c:v>
                </c:pt>
                <c:pt idx="4">
                  <c:v>B4</c:v>
                </c:pt>
                <c:pt idx="5">
                  <c:v>C1</c:v>
                </c:pt>
                <c:pt idx="6">
                  <c:v>C2</c:v>
                </c:pt>
                <c:pt idx="7">
                  <c:v>C3</c:v>
                </c:pt>
                <c:pt idx="8">
                  <c:v>C4</c:v>
                </c:pt>
              </c:strCache>
            </c:strRef>
          </c:cat>
          <c:val>
            <c:numRef>
              <c:extLst>
                <c:ext xmlns:c15="http://schemas.microsoft.com/office/drawing/2012/chart" uri="{02D57815-91ED-43cb-92C2-25804820EDAC}">
                  <c15:fullRef>
                    <c15:sqref>Optimalisatie_Backlog!$C$58:$S$58</c15:sqref>
                  </c15:fullRef>
                </c:ext>
              </c:extLst>
              <c:f>Optimalisatie_Backlog!$C$58:$K$58</c:f>
            </c:numRef>
          </c:val>
          <c:extLst>
            <c:ext xmlns:c16="http://schemas.microsoft.com/office/drawing/2014/chart" uri="{C3380CC4-5D6E-409C-BE32-E72D297353CC}">
              <c16:uniqueId val="{0000004D-755A-408A-82FF-0A2C9519D9DD}"/>
            </c:ext>
          </c:extLst>
        </c:ser>
        <c:ser>
          <c:idx val="55"/>
          <c:order val="37"/>
          <c:tx>
            <c:strRef>
              <c:f>Optimalisatie_Backlog!$B$59</c:f>
            </c:strRef>
          </c:tx>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n-US"/>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extLst>
                <c:ext xmlns:c15="http://schemas.microsoft.com/office/drawing/2012/chart" uri="{02D57815-91ED-43cb-92C2-25804820EDAC}">
                  <c15:fullRef>
                    <c15:sqref>Optimalisatie_Backlog!$G$3:$O$3</c15:sqref>
                  </c15:fullRef>
                </c:ext>
              </c:extLst>
              <c:f>Optimalisatie_Backlog!$G$3:$O$3</c:f>
              <c:strCache>
                <c:ptCount val="9"/>
                <c:pt idx="0">
                  <c:v>A1-A3</c:v>
                </c:pt>
                <c:pt idx="1">
                  <c:v>A4</c:v>
                </c:pt>
                <c:pt idx="2">
                  <c:v>A5</c:v>
                </c:pt>
                <c:pt idx="3">
                  <c:v>B1</c:v>
                </c:pt>
                <c:pt idx="4">
                  <c:v>B4</c:v>
                </c:pt>
                <c:pt idx="5">
                  <c:v>C1</c:v>
                </c:pt>
                <c:pt idx="6">
                  <c:v>C2</c:v>
                </c:pt>
                <c:pt idx="7">
                  <c:v>C3</c:v>
                </c:pt>
                <c:pt idx="8">
                  <c:v>C4</c:v>
                </c:pt>
              </c:strCache>
            </c:strRef>
          </c:cat>
          <c:val>
            <c:numRef>
              <c:extLst>
                <c:ext xmlns:c15="http://schemas.microsoft.com/office/drawing/2012/chart" uri="{02D57815-91ED-43cb-92C2-25804820EDAC}">
                  <c15:fullRef>
                    <c15:sqref>Optimalisatie_Backlog!$C$59:$S$59</c15:sqref>
                  </c15:fullRef>
                </c:ext>
              </c:extLst>
              <c:f>Optimalisatie_Backlog!$C$59:$K$59</c:f>
            </c:numRef>
          </c:val>
          <c:extLst>
            <c:ext xmlns:c16="http://schemas.microsoft.com/office/drawing/2014/chart" uri="{C3380CC4-5D6E-409C-BE32-E72D297353CC}">
              <c16:uniqueId val="{0000004E-755A-408A-82FF-0A2C9519D9DD}"/>
            </c:ext>
          </c:extLst>
        </c:ser>
        <c:ser>
          <c:idx val="56"/>
          <c:order val="38"/>
          <c:tx>
            <c:strRef>
              <c:f>Optimalisatie_Backlog!$B$60</c:f>
            </c:strRef>
          </c:tx>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n-US"/>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extLst>
                <c:ext xmlns:c15="http://schemas.microsoft.com/office/drawing/2012/chart" uri="{02D57815-91ED-43cb-92C2-25804820EDAC}">
                  <c15:fullRef>
                    <c15:sqref>Optimalisatie_Backlog!$G$3:$O$3</c15:sqref>
                  </c15:fullRef>
                </c:ext>
              </c:extLst>
              <c:f>Optimalisatie_Backlog!$G$3:$O$3</c:f>
              <c:strCache>
                <c:ptCount val="9"/>
                <c:pt idx="0">
                  <c:v>A1-A3</c:v>
                </c:pt>
                <c:pt idx="1">
                  <c:v>A4</c:v>
                </c:pt>
                <c:pt idx="2">
                  <c:v>A5</c:v>
                </c:pt>
                <c:pt idx="3">
                  <c:v>B1</c:v>
                </c:pt>
                <c:pt idx="4">
                  <c:v>B4</c:v>
                </c:pt>
                <c:pt idx="5">
                  <c:v>C1</c:v>
                </c:pt>
                <c:pt idx="6">
                  <c:v>C2</c:v>
                </c:pt>
                <c:pt idx="7">
                  <c:v>C3</c:v>
                </c:pt>
                <c:pt idx="8">
                  <c:v>C4</c:v>
                </c:pt>
              </c:strCache>
            </c:strRef>
          </c:cat>
          <c:val>
            <c:numRef>
              <c:extLst>
                <c:ext xmlns:c15="http://schemas.microsoft.com/office/drawing/2012/chart" uri="{02D57815-91ED-43cb-92C2-25804820EDAC}">
                  <c15:fullRef>
                    <c15:sqref>Optimalisatie_Backlog!$C$60:$S$60</c15:sqref>
                  </c15:fullRef>
                </c:ext>
              </c:extLst>
              <c:f>Optimalisatie_Backlog!$C$60:$K$60</c:f>
            </c:numRef>
          </c:val>
          <c:extLst>
            <c:ext xmlns:c16="http://schemas.microsoft.com/office/drawing/2014/chart" uri="{C3380CC4-5D6E-409C-BE32-E72D297353CC}">
              <c16:uniqueId val="{0000004F-755A-408A-82FF-0A2C9519D9DD}"/>
            </c:ext>
          </c:extLst>
        </c:ser>
        <c:ser>
          <c:idx val="57"/>
          <c:order val="39"/>
          <c:tx>
            <c:strRef>
              <c:f>Optimalisatie_Backlog!$B$61</c:f>
            </c:strRef>
          </c:tx>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n-US"/>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extLst>
                <c:ext xmlns:c15="http://schemas.microsoft.com/office/drawing/2012/chart" uri="{02D57815-91ED-43cb-92C2-25804820EDAC}">
                  <c15:fullRef>
                    <c15:sqref>Optimalisatie_Backlog!$G$3:$O$3</c15:sqref>
                  </c15:fullRef>
                </c:ext>
              </c:extLst>
              <c:f>Optimalisatie_Backlog!$G$3:$O$3</c:f>
              <c:strCache>
                <c:ptCount val="9"/>
                <c:pt idx="0">
                  <c:v>A1-A3</c:v>
                </c:pt>
                <c:pt idx="1">
                  <c:v>A4</c:v>
                </c:pt>
                <c:pt idx="2">
                  <c:v>A5</c:v>
                </c:pt>
                <c:pt idx="3">
                  <c:v>B1</c:v>
                </c:pt>
                <c:pt idx="4">
                  <c:v>B4</c:v>
                </c:pt>
                <c:pt idx="5">
                  <c:v>C1</c:v>
                </c:pt>
                <c:pt idx="6">
                  <c:v>C2</c:v>
                </c:pt>
                <c:pt idx="7">
                  <c:v>C3</c:v>
                </c:pt>
                <c:pt idx="8">
                  <c:v>C4</c:v>
                </c:pt>
              </c:strCache>
            </c:strRef>
          </c:cat>
          <c:val>
            <c:numRef>
              <c:extLst>
                <c:ext xmlns:c15="http://schemas.microsoft.com/office/drawing/2012/chart" uri="{02D57815-91ED-43cb-92C2-25804820EDAC}">
                  <c15:fullRef>
                    <c15:sqref>Optimalisatie_Backlog!$C$61:$S$61</c15:sqref>
                  </c15:fullRef>
                </c:ext>
              </c:extLst>
              <c:f>Optimalisatie_Backlog!$C$61:$K$61</c:f>
            </c:numRef>
          </c:val>
          <c:extLst>
            <c:ext xmlns:c16="http://schemas.microsoft.com/office/drawing/2014/chart" uri="{C3380CC4-5D6E-409C-BE32-E72D297353CC}">
              <c16:uniqueId val="{00000050-755A-408A-82FF-0A2C9519D9DD}"/>
            </c:ext>
          </c:extLst>
        </c:ser>
        <c:ser>
          <c:idx val="58"/>
          <c:order val="40"/>
          <c:tx>
            <c:strRef>
              <c:f>Optimalisatie_Backlog!$B$62</c:f>
            </c:strRef>
          </c:tx>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n-US"/>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extLst>
                <c:ext xmlns:c15="http://schemas.microsoft.com/office/drawing/2012/chart" uri="{02D57815-91ED-43cb-92C2-25804820EDAC}">
                  <c15:fullRef>
                    <c15:sqref>Optimalisatie_Backlog!$G$3:$O$3</c15:sqref>
                  </c15:fullRef>
                </c:ext>
              </c:extLst>
              <c:f>Optimalisatie_Backlog!$G$3:$O$3</c:f>
              <c:strCache>
                <c:ptCount val="9"/>
                <c:pt idx="0">
                  <c:v>A1-A3</c:v>
                </c:pt>
                <c:pt idx="1">
                  <c:v>A4</c:v>
                </c:pt>
                <c:pt idx="2">
                  <c:v>A5</c:v>
                </c:pt>
                <c:pt idx="3">
                  <c:v>B1</c:v>
                </c:pt>
                <c:pt idx="4">
                  <c:v>B4</c:v>
                </c:pt>
                <c:pt idx="5">
                  <c:v>C1</c:v>
                </c:pt>
                <c:pt idx="6">
                  <c:v>C2</c:v>
                </c:pt>
                <c:pt idx="7">
                  <c:v>C3</c:v>
                </c:pt>
                <c:pt idx="8">
                  <c:v>C4</c:v>
                </c:pt>
              </c:strCache>
            </c:strRef>
          </c:cat>
          <c:val>
            <c:numRef>
              <c:extLst>
                <c:ext xmlns:c15="http://schemas.microsoft.com/office/drawing/2012/chart" uri="{02D57815-91ED-43cb-92C2-25804820EDAC}">
                  <c15:fullRef>
                    <c15:sqref>Optimalisatie_Backlog!$C$62:$S$62</c15:sqref>
                  </c15:fullRef>
                </c:ext>
              </c:extLst>
              <c:f>Optimalisatie_Backlog!$C$62:$K$62</c:f>
            </c:numRef>
          </c:val>
          <c:extLst>
            <c:ext xmlns:c16="http://schemas.microsoft.com/office/drawing/2014/chart" uri="{C3380CC4-5D6E-409C-BE32-E72D297353CC}">
              <c16:uniqueId val="{00000051-755A-408A-82FF-0A2C9519D9DD}"/>
            </c:ext>
          </c:extLst>
        </c:ser>
        <c:ser>
          <c:idx val="59"/>
          <c:order val="41"/>
          <c:tx>
            <c:strRef>
              <c:f>Optimalisatie_Backlog!$B$63</c:f>
            </c:strRef>
          </c:tx>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n-US"/>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extLst>
                <c:ext xmlns:c15="http://schemas.microsoft.com/office/drawing/2012/chart" uri="{02D57815-91ED-43cb-92C2-25804820EDAC}">
                  <c15:fullRef>
                    <c15:sqref>Optimalisatie_Backlog!$G$3:$O$3</c15:sqref>
                  </c15:fullRef>
                </c:ext>
              </c:extLst>
              <c:f>Optimalisatie_Backlog!$G$3:$O$3</c:f>
              <c:strCache>
                <c:ptCount val="9"/>
                <c:pt idx="0">
                  <c:v>A1-A3</c:v>
                </c:pt>
                <c:pt idx="1">
                  <c:v>A4</c:v>
                </c:pt>
                <c:pt idx="2">
                  <c:v>A5</c:v>
                </c:pt>
                <c:pt idx="3">
                  <c:v>B1</c:v>
                </c:pt>
                <c:pt idx="4">
                  <c:v>B4</c:v>
                </c:pt>
                <c:pt idx="5">
                  <c:v>C1</c:v>
                </c:pt>
                <c:pt idx="6">
                  <c:v>C2</c:v>
                </c:pt>
                <c:pt idx="7">
                  <c:v>C3</c:v>
                </c:pt>
                <c:pt idx="8">
                  <c:v>C4</c:v>
                </c:pt>
              </c:strCache>
            </c:strRef>
          </c:cat>
          <c:val>
            <c:numRef>
              <c:extLst>
                <c:ext xmlns:c15="http://schemas.microsoft.com/office/drawing/2012/chart" uri="{02D57815-91ED-43cb-92C2-25804820EDAC}">
                  <c15:fullRef>
                    <c15:sqref>Optimalisatie_Backlog!$C$63:$S$63</c15:sqref>
                  </c15:fullRef>
                </c:ext>
              </c:extLst>
              <c:f>Optimalisatie_Backlog!$C$63:$K$63</c:f>
            </c:numRef>
          </c:val>
          <c:extLst>
            <c:ext xmlns:c16="http://schemas.microsoft.com/office/drawing/2014/chart" uri="{C3380CC4-5D6E-409C-BE32-E72D297353CC}">
              <c16:uniqueId val="{00000052-755A-408A-82FF-0A2C9519D9DD}"/>
            </c:ext>
          </c:extLst>
        </c:ser>
        <c:ser>
          <c:idx val="60"/>
          <c:order val="42"/>
          <c:tx>
            <c:strRef>
              <c:f>Optimalisatie_Backlog!$B$64</c:f>
            </c:strRef>
          </c:tx>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n-US"/>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extLst>
                <c:ext xmlns:c15="http://schemas.microsoft.com/office/drawing/2012/chart" uri="{02D57815-91ED-43cb-92C2-25804820EDAC}">
                  <c15:fullRef>
                    <c15:sqref>Optimalisatie_Backlog!$G$3:$O$3</c15:sqref>
                  </c15:fullRef>
                </c:ext>
              </c:extLst>
              <c:f>Optimalisatie_Backlog!$G$3:$O$3</c:f>
              <c:strCache>
                <c:ptCount val="9"/>
                <c:pt idx="0">
                  <c:v>A1-A3</c:v>
                </c:pt>
                <c:pt idx="1">
                  <c:v>A4</c:v>
                </c:pt>
                <c:pt idx="2">
                  <c:v>A5</c:v>
                </c:pt>
                <c:pt idx="3">
                  <c:v>B1</c:v>
                </c:pt>
                <c:pt idx="4">
                  <c:v>B4</c:v>
                </c:pt>
                <c:pt idx="5">
                  <c:v>C1</c:v>
                </c:pt>
                <c:pt idx="6">
                  <c:v>C2</c:v>
                </c:pt>
                <c:pt idx="7">
                  <c:v>C3</c:v>
                </c:pt>
                <c:pt idx="8">
                  <c:v>C4</c:v>
                </c:pt>
              </c:strCache>
            </c:strRef>
          </c:cat>
          <c:val>
            <c:numRef>
              <c:extLst>
                <c:ext xmlns:c15="http://schemas.microsoft.com/office/drawing/2012/chart" uri="{02D57815-91ED-43cb-92C2-25804820EDAC}">
                  <c15:fullRef>
                    <c15:sqref>Optimalisatie_Backlog!$C$64:$S$64</c15:sqref>
                  </c15:fullRef>
                </c:ext>
              </c:extLst>
              <c:f>Optimalisatie_Backlog!$C$64:$K$64</c:f>
            </c:numRef>
          </c:val>
          <c:extLst>
            <c:ext xmlns:c16="http://schemas.microsoft.com/office/drawing/2014/chart" uri="{C3380CC4-5D6E-409C-BE32-E72D297353CC}">
              <c16:uniqueId val="{00000053-755A-408A-82FF-0A2C9519D9DD}"/>
            </c:ext>
          </c:extLst>
        </c:ser>
        <c:ser>
          <c:idx val="61"/>
          <c:order val="43"/>
          <c:tx>
            <c:strRef>
              <c:f>Optimalisatie_Backlog!$B$65</c:f>
            </c:strRef>
          </c:tx>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n-US"/>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extLst>
                <c:ext xmlns:c15="http://schemas.microsoft.com/office/drawing/2012/chart" uri="{02D57815-91ED-43cb-92C2-25804820EDAC}">
                  <c15:fullRef>
                    <c15:sqref>Optimalisatie_Backlog!$G$3:$O$3</c15:sqref>
                  </c15:fullRef>
                </c:ext>
              </c:extLst>
              <c:f>Optimalisatie_Backlog!$G$3:$O$3</c:f>
              <c:strCache>
                <c:ptCount val="9"/>
                <c:pt idx="0">
                  <c:v>A1-A3</c:v>
                </c:pt>
                <c:pt idx="1">
                  <c:v>A4</c:v>
                </c:pt>
                <c:pt idx="2">
                  <c:v>A5</c:v>
                </c:pt>
                <c:pt idx="3">
                  <c:v>B1</c:v>
                </c:pt>
                <c:pt idx="4">
                  <c:v>B4</c:v>
                </c:pt>
                <c:pt idx="5">
                  <c:v>C1</c:v>
                </c:pt>
                <c:pt idx="6">
                  <c:v>C2</c:v>
                </c:pt>
                <c:pt idx="7">
                  <c:v>C3</c:v>
                </c:pt>
                <c:pt idx="8">
                  <c:v>C4</c:v>
                </c:pt>
              </c:strCache>
            </c:strRef>
          </c:cat>
          <c:val>
            <c:numRef>
              <c:extLst>
                <c:ext xmlns:c15="http://schemas.microsoft.com/office/drawing/2012/chart" uri="{02D57815-91ED-43cb-92C2-25804820EDAC}">
                  <c15:fullRef>
                    <c15:sqref>Optimalisatie_Backlog!$C$65:$S$65</c15:sqref>
                  </c15:fullRef>
                </c:ext>
              </c:extLst>
              <c:f>Optimalisatie_Backlog!$C$65:$K$65</c:f>
            </c:numRef>
          </c:val>
          <c:extLst>
            <c:ext xmlns:c16="http://schemas.microsoft.com/office/drawing/2014/chart" uri="{C3380CC4-5D6E-409C-BE32-E72D297353CC}">
              <c16:uniqueId val="{00000054-755A-408A-82FF-0A2C9519D9DD}"/>
            </c:ext>
          </c:extLst>
        </c:ser>
        <c:ser>
          <c:idx val="62"/>
          <c:order val="44"/>
          <c:tx>
            <c:strRef>
              <c:f>Optimalisatie_Backlog!$B$66</c:f>
            </c:strRef>
          </c:tx>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n-US"/>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extLst>
                <c:ext xmlns:c15="http://schemas.microsoft.com/office/drawing/2012/chart" uri="{02D57815-91ED-43cb-92C2-25804820EDAC}">
                  <c15:fullRef>
                    <c15:sqref>Optimalisatie_Backlog!$G$3:$O$3</c15:sqref>
                  </c15:fullRef>
                </c:ext>
              </c:extLst>
              <c:f>Optimalisatie_Backlog!$G$3:$O$3</c:f>
              <c:strCache>
                <c:ptCount val="9"/>
                <c:pt idx="0">
                  <c:v>A1-A3</c:v>
                </c:pt>
                <c:pt idx="1">
                  <c:v>A4</c:v>
                </c:pt>
                <c:pt idx="2">
                  <c:v>A5</c:v>
                </c:pt>
                <c:pt idx="3">
                  <c:v>B1</c:v>
                </c:pt>
                <c:pt idx="4">
                  <c:v>B4</c:v>
                </c:pt>
                <c:pt idx="5">
                  <c:v>C1</c:v>
                </c:pt>
                <c:pt idx="6">
                  <c:v>C2</c:v>
                </c:pt>
                <c:pt idx="7">
                  <c:v>C3</c:v>
                </c:pt>
                <c:pt idx="8">
                  <c:v>C4</c:v>
                </c:pt>
              </c:strCache>
            </c:strRef>
          </c:cat>
          <c:val>
            <c:numRef>
              <c:extLst>
                <c:ext xmlns:c15="http://schemas.microsoft.com/office/drawing/2012/chart" uri="{02D57815-91ED-43cb-92C2-25804820EDAC}">
                  <c15:fullRef>
                    <c15:sqref>Optimalisatie_Backlog!$C$66:$S$66</c15:sqref>
                  </c15:fullRef>
                </c:ext>
              </c:extLst>
              <c:f>Optimalisatie_Backlog!$C$66:$K$66</c:f>
            </c:numRef>
          </c:val>
          <c:extLst>
            <c:ext xmlns:c16="http://schemas.microsoft.com/office/drawing/2014/chart" uri="{C3380CC4-5D6E-409C-BE32-E72D297353CC}">
              <c16:uniqueId val="{00000055-755A-408A-82FF-0A2C9519D9DD}"/>
            </c:ext>
          </c:extLst>
        </c:ser>
        <c:ser>
          <c:idx val="63"/>
          <c:order val="45"/>
          <c:tx>
            <c:strRef>
              <c:f>Optimalisatie_Backlog!$B$67</c:f>
            </c:strRef>
          </c:tx>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n-US"/>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extLst>
                <c:ext xmlns:c15="http://schemas.microsoft.com/office/drawing/2012/chart" uri="{02D57815-91ED-43cb-92C2-25804820EDAC}">
                  <c15:fullRef>
                    <c15:sqref>Optimalisatie_Backlog!$G$3:$O$3</c15:sqref>
                  </c15:fullRef>
                </c:ext>
              </c:extLst>
              <c:f>Optimalisatie_Backlog!$G$3:$O$3</c:f>
              <c:strCache>
                <c:ptCount val="9"/>
                <c:pt idx="0">
                  <c:v>A1-A3</c:v>
                </c:pt>
                <c:pt idx="1">
                  <c:v>A4</c:v>
                </c:pt>
                <c:pt idx="2">
                  <c:v>A5</c:v>
                </c:pt>
                <c:pt idx="3">
                  <c:v>B1</c:v>
                </c:pt>
                <c:pt idx="4">
                  <c:v>B4</c:v>
                </c:pt>
                <c:pt idx="5">
                  <c:v>C1</c:v>
                </c:pt>
                <c:pt idx="6">
                  <c:v>C2</c:v>
                </c:pt>
                <c:pt idx="7">
                  <c:v>C3</c:v>
                </c:pt>
                <c:pt idx="8">
                  <c:v>C4</c:v>
                </c:pt>
              </c:strCache>
            </c:strRef>
          </c:cat>
          <c:val>
            <c:numRef>
              <c:extLst>
                <c:ext xmlns:c15="http://schemas.microsoft.com/office/drawing/2012/chart" uri="{02D57815-91ED-43cb-92C2-25804820EDAC}">
                  <c15:fullRef>
                    <c15:sqref>Optimalisatie_Backlog!$C$67:$S$67</c15:sqref>
                  </c15:fullRef>
                </c:ext>
              </c:extLst>
              <c:f>Optimalisatie_Backlog!$C$67:$K$67</c:f>
            </c:numRef>
          </c:val>
          <c:extLst>
            <c:ext xmlns:c16="http://schemas.microsoft.com/office/drawing/2014/chart" uri="{C3380CC4-5D6E-409C-BE32-E72D297353CC}">
              <c16:uniqueId val="{00000056-755A-408A-82FF-0A2C9519D9DD}"/>
            </c:ext>
          </c:extLst>
        </c:ser>
        <c:ser>
          <c:idx val="64"/>
          <c:order val="46"/>
          <c:tx>
            <c:strRef>
              <c:f>Optimalisatie_Backlog!$B$68</c:f>
            </c:strRef>
          </c:tx>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n-US"/>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extLst>
                <c:ext xmlns:c15="http://schemas.microsoft.com/office/drawing/2012/chart" uri="{02D57815-91ED-43cb-92C2-25804820EDAC}">
                  <c15:fullRef>
                    <c15:sqref>Optimalisatie_Backlog!$G$3:$O$3</c15:sqref>
                  </c15:fullRef>
                </c:ext>
              </c:extLst>
              <c:f>Optimalisatie_Backlog!$G$3:$O$3</c:f>
              <c:strCache>
                <c:ptCount val="9"/>
                <c:pt idx="0">
                  <c:v>A1-A3</c:v>
                </c:pt>
                <c:pt idx="1">
                  <c:v>A4</c:v>
                </c:pt>
                <c:pt idx="2">
                  <c:v>A5</c:v>
                </c:pt>
                <c:pt idx="3">
                  <c:v>B1</c:v>
                </c:pt>
                <c:pt idx="4">
                  <c:v>B4</c:v>
                </c:pt>
                <c:pt idx="5">
                  <c:v>C1</c:v>
                </c:pt>
                <c:pt idx="6">
                  <c:v>C2</c:v>
                </c:pt>
                <c:pt idx="7">
                  <c:v>C3</c:v>
                </c:pt>
                <c:pt idx="8">
                  <c:v>C4</c:v>
                </c:pt>
              </c:strCache>
            </c:strRef>
          </c:cat>
          <c:val>
            <c:numRef>
              <c:extLst>
                <c:ext xmlns:c15="http://schemas.microsoft.com/office/drawing/2012/chart" uri="{02D57815-91ED-43cb-92C2-25804820EDAC}">
                  <c15:fullRef>
                    <c15:sqref>Optimalisatie_Backlog!$C$68:$S$68</c15:sqref>
                  </c15:fullRef>
                </c:ext>
              </c:extLst>
              <c:f>Optimalisatie_Backlog!$C$68:$K$68</c:f>
            </c:numRef>
          </c:val>
          <c:extLst>
            <c:ext xmlns:c16="http://schemas.microsoft.com/office/drawing/2014/chart" uri="{C3380CC4-5D6E-409C-BE32-E72D297353CC}">
              <c16:uniqueId val="{00000057-755A-408A-82FF-0A2C9519D9DD}"/>
            </c:ext>
          </c:extLst>
        </c:ser>
        <c:ser>
          <c:idx val="65"/>
          <c:order val="47"/>
          <c:tx>
            <c:strRef>
              <c:f>Optimalisatie_Backlog!$B$69</c:f>
            </c:strRef>
          </c:tx>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n-US"/>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extLst>
                <c:ext xmlns:c15="http://schemas.microsoft.com/office/drawing/2012/chart" uri="{02D57815-91ED-43cb-92C2-25804820EDAC}">
                  <c15:fullRef>
                    <c15:sqref>Optimalisatie_Backlog!$G$3:$O$3</c15:sqref>
                  </c15:fullRef>
                </c:ext>
              </c:extLst>
              <c:f>Optimalisatie_Backlog!$G$3:$O$3</c:f>
              <c:strCache>
                <c:ptCount val="9"/>
                <c:pt idx="0">
                  <c:v>A1-A3</c:v>
                </c:pt>
                <c:pt idx="1">
                  <c:v>A4</c:v>
                </c:pt>
                <c:pt idx="2">
                  <c:v>A5</c:v>
                </c:pt>
                <c:pt idx="3">
                  <c:v>B1</c:v>
                </c:pt>
                <c:pt idx="4">
                  <c:v>B4</c:v>
                </c:pt>
                <c:pt idx="5">
                  <c:v>C1</c:v>
                </c:pt>
                <c:pt idx="6">
                  <c:v>C2</c:v>
                </c:pt>
                <c:pt idx="7">
                  <c:v>C3</c:v>
                </c:pt>
                <c:pt idx="8">
                  <c:v>C4</c:v>
                </c:pt>
              </c:strCache>
            </c:strRef>
          </c:cat>
          <c:val>
            <c:numRef>
              <c:extLst>
                <c:ext xmlns:c15="http://schemas.microsoft.com/office/drawing/2012/chart" uri="{02D57815-91ED-43cb-92C2-25804820EDAC}">
                  <c15:fullRef>
                    <c15:sqref>Optimalisatie_Backlog!$C$69:$S$69</c15:sqref>
                  </c15:fullRef>
                </c:ext>
              </c:extLst>
              <c:f>Optimalisatie_Backlog!$C$69:$K$69</c:f>
            </c:numRef>
          </c:val>
          <c:extLst>
            <c:ext xmlns:c16="http://schemas.microsoft.com/office/drawing/2014/chart" uri="{C3380CC4-5D6E-409C-BE32-E72D297353CC}">
              <c16:uniqueId val="{00000058-755A-408A-82FF-0A2C9519D9DD}"/>
            </c:ext>
          </c:extLst>
        </c:ser>
        <c:ser>
          <c:idx val="66"/>
          <c:order val="48"/>
          <c:tx>
            <c:strRef>
              <c:f>Optimalisatie_Backlog!$B$70</c:f>
            </c:strRef>
          </c:tx>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n-US"/>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extLst>
                <c:ext xmlns:c15="http://schemas.microsoft.com/office/drawing/2012/chart" uri="{02D57815-91ED-43cb-92C2-25804820EDAC}">
                  <c15:fullRef>
                    <c15:sqref>Optimalisatie_Backlog!$G$3:$O$3</c15:sqref>
                  </c15:fullRef>
                </c:ext>
              </c:extLst>
              <c:f>Optimalisatie_Backlog!$G$3:$O$3</c:f>
              <c:strCache>
                <c:ptCount val="9"/>
                <c:pt idx="0">
                  <c:v>A1-A3</c:v>
                </c:pt>
                <c:pt idx="1">
                  <c:v>A4</c:v>
                </c:pt>
                <c:pt idx="2">
                  <c:v>A5</c:v>
                </c:pt>
                <c:pt idx="3">
                  <c:v>B1</c:v>
                </c:pt>
                <c:pt idx="4">
                  <c:v>B4</c:v>
                </c:pt>
                <c:pt idx="5">
                  <c:v>C1</c:v>
                </c:pt>
                <c:pt idx="6">
                  <c:v>C2</c:v>
                </c:pt>
                <c:pt idx="7">
                  <c:v>C3</c:v>
                </c:pt>
                <c:pt idx="8">
                  <c:v>C4</c:v>
                </c:pt>
              </c:strCache>
            </c:strRef>
          </c:cat>
          <c:val>
            <c:numRef>
              <c:extLst>
                <c:ext xmlns:c15="http://schemas.microsoft.com/office/drawing/2012/chart" uri="{02D57815-91ED-43cb-92C2-25804820EDAC}">
                  <c15:fullRef>
                    <c15:sqref>Optimalisatie_Backlog!$C$70:$S$70</c15:sqref>
                  </c15:fullRef>
                </c:ext>
              </c:extLst>
              <c:f>Optimalisatie_Backlog!$C$70:$K$70</c:f>
            </c:numRef>
          </c:val>
          <c:extLst>
            <c:ext xmlns:c16="http://schemas.microsoft.com/office/drawing/2014/chart" uri="{C3380CC4-5D6E-409C-BE32-E72D297353CC}">
              <c16:uniqueId val="{00000059-755A-408A-82FF-0A2C9519D9DD}"/>
            </c:ext>
          </c:extLst>
        </c:ser>
        <c:ser>
          <c:idx val="67"/>
          <c:order val="49"/>
          <c:tx>
            <c:strRef>
              <c:f>Optimalisatie_Backlog!$B$71</c:f>
            </c:strRef>
          </c:tx>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n-US"/>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extLst>
                <c:ext xmlns:c15="http://schemas.microsoft.com/office/drawing/2012/chart" uri="{02D57815-91ED-43cb-92C2-25804820EDAC}">
                  <c15:fullRef>
                    <c15:sqref>Optimalisatie_Backlog!$G$3:$O$3</c15:sqref>
                  </c15:fullRef>
                </c:ext>
              </c:extLst>
              <c:f>Optimalisatie_Backlog!$G$3:$O$3</c:f>
              <c:strCache>
                <c:ptCount val="9"/>
                <c:pt idx="0">
                  <c:v>A1-A3</c:v>
                </c:pt>
                <c:pt idx="1">
                  <c:v>A4</c:v>
                </c:pt>
                <c:pt idx="2">
                  <c:v>A5</c:v>
                </c:pt>
                <c:pt idx="3">
                  <c:v>B1</c:v>
                </c:pt>
                <c:pt idx="4">
                  <c:v>B4</c:v>
                </c:pt>
                <c:pt idx="5">
                  <c:v>C1</c:v>
                </c:pt>
                <c:pt idx="6">
                  <c:v>C2</c:v>
                </c:pt>
                <c:pt idx="7">
                  <c:v>C3</c:v>
                </c:pt>
                <c:pt idx="8">
                  <c:v>C4</c:v>
                </c:pt>
              </c:strCache>
            </c:strRef>
          </c:cat>
          <c:val>
            <c:numRef>
              <c:extLst>
                <c:ext xmlns:c15="http://schemas.microsoft.com/office/drawing/2012/chart" uri="{02D57815-91ED-43cb-92C2-25804820EDAC}">
                  <c15:fullRef>
                    <c15:sqref>Optimalisatie_Backlog!$C$71:$S$71</c15:sqref>
                  </c15:fullRef>
                </c:ext>
              </c:extLst>
              <c:f>Optimalisatie_Backlog!$C$71:$K$71</c:f>
            </c:numRef>
          </c:val>
          <c:extLst>
            <c:ext xmlns:c16="http://schemas.microsoft.com/office/drawing/2014/chart" uri="{C3380CC4-5D6E-409C-BE32-E72D297353CC}">
              <c16:uniqueId val="{0000005A-755A-408A-82FF-0A2C9519D9DD}"/>
            </c:ext>
          </c:extLst>
        </c:ser>
        <c:ser>
          <c:idx val="68"/>
          <c:order val="50"/>
          <c:tx>
            <c:strRef>
              <c:f>Optimalisatie_Backlog!$B$72</c:f>
            </c:strRef>
          </c:tx>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n-US"/>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extLst>
                <c:ext xmlns:c15="http://schemas.microsoft.com/office/drawing/2012/chart" uri="{02D57815-91ED-43cb-92C2-25804820EDAC}">
                  <c15:fullRef>
                    <c15:sqref>Optimalisatie_Backlog!$G$3:$O$3</c15:sqref>
                  </c15:fullRef>
                </c:ext>
              </c:extLst>
              <c:f>Optimalisatie_Backlog!$G$3:$O$3</c:f>
              <c:strCache>
                <c:ptCount val="9"/>
                <c:pt idx="0">
                  <c:v>A1-A3</c:v>
                </c:pt>
                <c:pt idx="1">
                  <c:v>A4</c:v>
                </c:pt>
                <c:pt idx="2">
                  <c:v>A5</c:v>
                </c:pt>
                <c:pt idx="3">
                  <c:v>B1</c:v>
                </c:pt>
                <c:pt idx="4">
                  <c:v>B4</c:v>
                </c:pt>
                <c:pt idx="5">
                  <c:v>C1</c:v>
                </c:pt>
                <c:pt idx="6">
                  <c:v>C2</c:v>
                </c:pt>
                <c:pt idx="7">
                  <c:v>C3</c:v>
                </c:pt>
                <c:pt idx="8">
                  <c:v>C4</c:v>
                </c:pt>
              </c:strCache>
            </c:strRef>
          </c:cat>
          <c:val>
            <c:numRef>
              <c:extLst>
                <c:ext xmlns:c15="http://schemas.microsoft.com/office/drawing/2012/chart" uri="{02D57815-91ED-43cb-92C2-25804820EDAC}">
                  <c15:fullRef>
                    <c15:sqref>Optimalisatie_Backlog!$C$72:$S$72</c15:sqref>
                  </c15:fullRef>
                </c:ext>
              </c:extLst>
              <c:f>Optimalisatie_Backlog!$C$72:$K$72</c:f>
            </c:numRef>
          </c:val>
          <c:extLst>
            <c:ext xmlns:c16="http://schemas.microsoft.com/office/drawing/2014/chart" uri="{C3380CC4-5D6E-409C-BE32-E72D297353CC}">
              <c16:uniqueId val="{0000005B-755A-408A-82FF-0A2C9519D9DD}"/>
            </c:ext>
          </c:extLst>
        </c:ser>
        <c:ser>
          <c:idx val="69"/>
          <c:order val="51"/>
          <c:tx>
            <c:strRef>
              <c:f>Optimalisatie_Backlog!$B$73</c:f>
            </c:strRef>
          </c:tx>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n-US"/>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extLst>
                <c:ext xmlns:c15="http://schemas.microsoft.com/office/drawing/2012/chart" uri="{02D57815-91ED-43cb-92C2-25804820EDAC}">
                  <c15:fullRef>
                    <c15:sqref>Optimalisatie_Backlog!$G$3:$O$3</c15:sqref>
                  </c15:fullRef>
                </c:ext>
              </c:extLst>
              <c:f>Optimalisatie_Backlog!$G$3:$O$3</c:f>
              <c:strCache>
                <c:ptCount val="9"/>
                <c:pt idx="0">
                  <c:v>A1-A3</c:v>
                </c:pt>
                <c:pt idx="1">
                  <c:v>A4</c:v>
                </c:pt>
                <c:pt idx="2">
                  <c:v>A5</c:v>
                </c:pt>
                <c:pt idx="3">
                  <c:v>B1</c:v>
                </c:pt>
                <c:pt idx="4">
                  <c:v>B4</c:v>
                </c:pt>
                <c:pt idx="5">
                  <c:v>C1</c:v>
                </c:pt>
                <c:pt idx="6">
                  <c:v>C2</c:v>
                </c:pt>
                <c:pt idx="7">
                  <c:v>C3</c:v>
                </c:pt>
                <c:pt idx="8">
                  <c:v>C4</c:v>
                </c:pt>
              </c:strCache>
            </c:strRef>
          </c:cat>
          <c:val>
            <c:numRef>
              <c:extLst>
                <c:ext xmlns:c15="http://schemas.microsoft.com/office/drawing/2012/chart" uri="{02D57815-91ED-43cb-92C2-25804820EDAC}">
                  <c15:fullRef>
                    <c15:sqref>Optimalisatie_Backlog!$C$73:$S$73</c15:sqref>
                  </c15:fullRef>
                </c:ext>
              </c:extLst>
              <c:f>Optimalisatie_Backlog!$C$73:$K$73</c:f>
            </c:numRef>
          </c:val>
          <c:extLst>
            <c:ext xmlns:c16="http://schemas.microsoft.com/office/drawing/2014/chart" uri="{C3380CC4-5D6E-409C-BE32-E72D297353CC}">
              <c16:uniqueId val="{0000005C-755A-408A-82FF-0A2C9519D9DD}"/>
            </c:ext>
          </c:extLst>
        </c:ser>
        <c:ser>
          <c:idx val="70"/>
          <c:order val="52"/>
          <c:tx>
            <c:strRef>
              <c:f>Optimalisatie_Backlog!$B$74</c:f>
            </c:strRef>
          </c:tx>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n-US"/>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extLst>
                <c:ext xmlns:c15="http://schemas.microsoft.com/office/drawing/2012/chart" uri="{02D57815-91ED-43cb-92C2-25804820EDAC}">
                  <c15:fullRef>
                    <c15:sqref>Optimalisatie_Backlog!$G$3:$O$3</c15:sqref>
                  </c15:fullRef>
                </c:ext>
              </c:extLst>
              <c:f>Optimalisatie_Backlog!$G$3:$O$3</c:f>
              <c:strCache>
                <c:ptCount val="9"/>
                <c:pt idx="0">
                  <c:v>A1-A3</c:v>
                </c:pt>
                <c:pt idx="1">
                  <c:v>A4</c:v>
                </c:pt>
                <c:pt idx="2">
                  <c:v>A5</c:v>
                </c:pt>
                <c:pt idx="3">
                  <c:v>B1</c:v>
                </c:pt>
                <c:pt idx="4">
                  <c:v>B4</c:v>
                </c:pt>
                <c:pt idx="5">
                  <c:v>C1</c:v>
                </c:pt>
                <c:pt idx="6">
                  <c:v>C2</c:v>
                </c:pt>
                <c:pt idx="7">
                  <c:v>C3</c:v>
                </c:pt>
                <c:pt idx="8">
                  <c:v>C4</c:v>
                </c:pt>
              </c:strCache>
            </c:strRef>
          </c:cat>
          <c:val>
            <c:numRef>
              <c:extLst>
                <c:ext xmlns:c15="http://schemas.microsoft.com/office/drawing/2012/chart" uri="{02D57815-91ED-43cb-92C2-25804820EDAC}">
                  <c15:fullRef>
                    <c15:sqref>Optimalisatie_Backlog!$C$74:$S$74</c15:sqref>
                  </c15:fullRef>
                </c:ext>
              </c:extLst>
              <c:f>Optimalisatie_Backlog!$C$74:$K$74</c:f>
            </c:numRef>
          </c:val>
          <c:extLst>
            <c:ext xmlns:c16="http://schemas.microsoft.com/office/drawing/2014/chart" uri="{C3380CC4-5D6E-409C-BE32-E72D297353CC}">
              <c16:uniqueId val="{0000005D-755A-408A-82FF-0A2C9519D9DD}"/>
            </c:ext>
          </c:extLst>
        </c:ser>
        <c:ser>
          <c:idx val="71"/>
          <c:order val="53"/>
          <c:tx>
            <c:strRef>
              <c:f>Optimalisatie_Backlog!$B$75</c:f>
            </c:strRef>
          </c:tx>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n-US"/>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extLst>
                <c:ext xmlns:c15="http://schemas.microsoft.com/office/drawing/2012/chart" uri="{02D57815-91ED-43cb-92C2-25804820EDAC}">
                  <c15:fullRef>
                    <c15:sqref>Optimalisatie_Backlog!$G$3:$O$3</c15:sqref>
                  </c15:fullRef>
                </c:ext>
              </c:extLst>
              <c:f>Optimalisatie_Backlog!$G$3:$O$3</c:f>
              <c:strCache>
                <c:ptCount val="9"/>
                <c:pt idx="0">
                  <c:v>A1-A3</c:v>
                </c:pt>
                <c:pt idx="1">
                  <c:v>A4</c:v>
                </c:pt>
                <c:pt idx="2">
                  <c:v>A5</c:v>
                </c:pt>
                <c:pt idx="3">
                  <c:v>B1</c:v>
                </c:pt>
                <c:pt idx="4">
                  <c:v>B4</c:v>
                </c:pt>
                <c:pt idx="5">
                  <c:v>C1</c:v>
                </c:pt>
                <c:pt idx="6">
                  <c:v>C2</c:v>
                </c:pt>
                <c:pt idx="7">
                  <c:v>C3</c:v>
                </c:pt>
                <c:pt idx="8">
                  <c:v>C4</c:v>
                </c:pt>
              </c:strCache>
            </c:strRef>
          </c:cat>
          <c:val>
            <c:numRef>
              <c:extLst>
                <c:ext xmlns:c15="http://schemas.microsoft.com/office/drawing/2012/chart" uri="{02D57815-91ED-43cb-92C2-25804820EDAC}">
                  <c15:fullRef>
                    <c15:sqref>Optimalisatie_Backlog!$C$75:$S$75</c15:sqref>
                  </c15:fullRef>
                </c:ext>
              </c:extLst>
              <c:f>Optimalisatie_Backlog!$C$75:$K$75</c:f>
            </c:numRef>
          </c:val>
          <c:extLst>
            <c:ext xmlns:c16="http://schemas.microsoft.com/office/drawing/2014/chart" uri="{C3380CC4-5D6E-409C-BE32-E72D297353CC}">
              <c16:uniqueId val="{0000005E-755A-408A-82FF-0A2C9519D9DD}"/>
            </c:ext>
          </c:extLst>
        </c:ser>
        <c:ser>
          <c:idx val="72"/>
          <c:order val="54"/>
          <c:tx>
            <c:strRef>
              <c:f>Optimalisatie_Backlog!$B$76</c:f>
            </c:strRef>
          </c:tx>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n-US"/>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extLst>
                <c:ext xmlns:c15="http://schemas.microsoft.com/office/drawing/2012/chart" uri="{02D57815-91ED-43cb-92C2-25804820EDAC}">
                  <c15:fullRef>
                    <c15:sqref>Optimalisatie_Backlog!$G$3:$O$3</c15:sqref>
                  </c15:fullRef>
                </c:ext>
              </c:extLst>
              <c:f>Optimalisatie_Backlog!$G$3:$O$3</c:f>
              <c:strCache>
                <c:ptCount val="9"/>
                <c:pt idx="0">
                  <c:v>A1-A3</c:v>
                </c:pt>
                <c:pt idx="1">
                  <c:v>A4</c:v>
                </c:pt>
                <c:pt idx="2">
                  <c:v>A5</c:v>
                </c:pt>
                <c:pt idx="3">
                  <c:v>B1</c:v>
                </c:pt>
                <c:pt idx="4">
                  <c:v>B4</c:v>
                </c:pt>
                <c:pt idx="5">
                  <c:v>C1</c:v>
                </c:pt>
                <c:pt idx="6">
                  <c:v>C2</c:v>
                </c:pt>
                <c:pt idx="7">
                  <c:v>C3</c:v>
                </c:pt>
                <c:pt idx="8">
                  <c:v>C4</c:v>
                </c:pt>
              </c:strCache>
            </c:strRef>
          </c:cat>
          <c:val>
            <c:numRef>
              <c:extLst>
                <c:ext xmlns:c15="http://schemas.microsoft.com/office/drawing/2012/chart" uri="{02D57815-91ED-43cb-92C2-25804820EDAC}">
                  <c15:fullRef>
                    <c15:sqref>Optimalisatie_Backlog!$C$76:$S$76</c15:sqref>
                  </c15:fullRef>
                </c:ext>
              </c:extLst>
              <c:f>Optimalisatie_Backlog!$C$76:$K$76</c:f>
            </c:numRef>
          </c:val>
          <c:extLst>
            <c:ext xmlns:c16="http://schemas.microsoft.com/office/drawing/2014/chart" uri="{C3380CC4-5D6E-409C-BE32-E72D297353CC}">
              <c16:uniqueId val="{0000005F-755A-408A-82FF-0A2C9519D9DD}"/>
            </c:ext>
          </c:extLst>
        </c:ser>
        <c:ser>
          <c:idx val="73"/>
          <c:order val="55"/>
          <c:tx>
            <c:strRef>
              <c:f>Optimalisatie_Backlog!$B$77</c:f>
            </c:strRef>
          </c:tx>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n-US"/>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extLst>
                <c:ext xmlns:c15="http://schemas.microsoft.com/office/drawing/2012/chart" uri="{02D57815-91ED-43cb-92C2-25804820EDAC}">
                  <c15:fullRef>
                    <c15:sqref>Optimalisatie_Backlog!$G$3:$O$3</c15:sqref>
                  </c15:fullRef>
                </c:ext>
              </c:extLst>
              <c:f>Optimalisatie_Backlog!$G$3:$O$3</c:f>
              <c:strCache>
                <c:ptCount val="9"/>
                <c:pt idx="0">
                  <c:v>A1-A3</c:v>
                </c:pt>
                <c:pt idx="1">
                  <c:v>A4</c:v>
                </c:pt>
                <c:pt idx="2">
                  <c:v>A5</c:v>
                </c:pt>
                <c:pt idx="3">
                  <c:v>B1</c:v>
                </c:pt>
                <c:pt idx="4">
                  <c:v>B4</c:v>
                </c:pt>
                <c:pt idx="5">
                  <c:v>C1</c:v>
                </c:pt>
                <c:pt idx="6">
                  <c:v>C2</c:v>
                </c:pt>
                <c:pt idx="7">
                  <c:v>C3</c:v>
                </c:pt>
                <c:pt idx="8">
                  <c:v>C4</c:v>
                </c:pt>
              </c:strCache>
            </c:strRef>
          </c:cat>
          <c:val>
            <c:numRef>
              <c:extLst>
                <c:ext xmlns:c15="http://schemas.microsoft.com/office/drawing/2012/chart" uri="{02D57815-91ED-43cb-92C2-25804820EDAC}">
                  <c15:fullRef>
                    <c15:sqref>Optimalisatie_Backlog!$C$77:$S$77</c15:sqref>
                  </c15:fullRef>
                </c:ext>
              </c:extLst>
              <c:f>Optimalisatie_Backlog!$C$77:$K$77</c:f>
            </c:numRef>
          </c:val>
          <c:extLst>
            <c:ext xmlns:c16="http://schemas.microsoft.com/office/drawing/2014/chart" uri="{C3380CC4-5D6E-409C-BE32-E72D297353CC}">
              <c16:uniqueId val="{00000060-755A-408A-82FF-0A2C9519D9DD}"/>
            </c:ext>
          </c:extLst>
        </c:ser>
        <c:ser>
          <c:idx val="74"/>
          <c:order val="56"/>
          <c:tx>
            <c:strRef>
              <c:f>Optimalisatie_Backlog!$B$78</c:f>
            </c:strRef>
          </c:tx>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n-US"/>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extLst>
                <c:ext xmlns:c15="http://schemas.microsoft.com/office/drawing/2012/chart" uri="{02D57815-91ED-43cb-92C2-25804820EDAC}">
                  <c15:fullRef>
                    <c15:sqref>Optimalisatie_Backlog!$G$3:$O$3</c15:sqref>
                  </c15:fullRef>
                </c:ext>
              </c:extLst>
              <c:f>Optimalisatie_Backlog!$G$3:$O$3</c:f>
              <c:strCache>
                <c:ptCount val="9"/>
                <c:pt idx="0">
                  <c:v>A1-A3</c:v>
                </c:pt>
                <c:pt idx="1">
                  <c:v>A4</c:v>
                </c:pt>
                <c:pt idx="2">
                  <c:v>A5</c:v>
                </c:pt>
                <c:pt idx="3">
                  <c:v>B1</c:v>
                </c:pt>
                <c:pt idx="4">
                  <c:v>B4</c:v>
                </c:pt>
                <c:pt idx="5">
                  <c:v>C1</c:v>
                </c:pt>
                <c:pt idx="6">
                  <c:v>C2</c:v>
                </c:pt>
                <c:pt idx="7">
                  <c:v>C3</c:v>
                </c:pt>
                <c:pt idx="8">
                  <c:v>C4</c:v>
                </c:pt>
              </c:strCache>
            </c:strRef>
          </c:cat>
          <c:val>
            <c:numRef>
              <c:extLst>
                <c:ext xmlns:c15="http://schemas.microsoft.com/office/drawing/2012/chart" uri="{02D57815-91ED-43cb-92C2-25804820EDAC}">
                  <c15:fullRef>
                    <c15:sqref>Optimalisatie_Backlog!$C$78:$S$78</c15:sqref>
                  </c15:fullRef>
                </c:ext>
              </c:extLst>
              <c:f>Optimalisatie_Backlog!$C$78:$K$78</c:f>
            </c:numRef>
          </c:val>
          <c:extLst>
            <c:ext xmlns:c16="http://schemas.microsoft.com/office/drawing/2014/chart" uri="{C3380CC4-5D6E-409C-BE32-E72D297353CC}">
              <c16:uniqueId val="{00000061-755A-408A-82FF-0A2C9519D9DD}"/>
            </c:ext>
          </c:extLst>
        </c:ser>
        <c:ser>
          <c:idx val="75"/>
          <c:order val="57"/>
          <c:tx>
            <c:strRef>
              <c:f>Optimalisatie_Backlog!$B$79</c:f>
            </c:strRef>
          </c:tx>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n-US"/>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extLst>
                <c:ext xmlns:c15="http://schemas.microsoft.com/office/drawing/2012/chart" uri="{02D57815-91ED-43cb-92C2-25804820EDAC}">
                  <c15:fullRef>
                    <c15:sqref>Optimalisatie_Backlog!$G$3:$O$3</c15:sqref>
                  </c15:fullRef>
                </c:ext>
              </c:extLst>
              <c:f>Optimalisatie_Backlog!$G$3:$O$3</c:f>
              <c:strCache>
                <c:ptCount val="9"/>
                <c:pt idx="0">
                  <c:v>A1-A3</c:v>
                </c:pt>
                <c:pt idx="1">
                  <c:v>A4</c:v>
                </c:pt>
                <c:pt idx="2">
                  <c:v>A5</c:v>
                </c:pt>
                <c:pt idx="3">
                  <c:v>B1</c:v>
                </c:pt>
                <c:pt idx="4">
                  <c:v>B4</c:v>
                </c:pt>
                <c:pt idx="5">
                  <c:v>C1</c:v>
                </c:pt>
                <c:pt idx="6">
                  <c:v>C2</c:v>
                </c:pt>
                <c:pt idx="7">
                  <c:v>C3</c:v>
                </c:pt>
                <c:pt idx="8">
                  <c:v>C4</c:v>
                </c:pt>
              </c:strCache>
            </c:strRef>
          </c:cat>
          <c:val>
            <c:numRef>
              <c:extLst>
                <c:ext xmlns:c15="http://schemas.microsoft.com/office/drawing/2012/chart" uri="{02D57815-91ED-43cb-92C2-25804820EDAC}">
                  <c15:fullRef>
                    <c15:sqref>Optimalisatie_Backlog!$C$79:$S$79</c15:sqref>
                  </c15:fullRef>
                </c:ext>
              </c:extLst>
              <c:f>Optimalisatie_Backlog!$C$79:$K$79</c:f>
            </c:numRef>
          </c:val>
          <c:extLst>
            <c:ext xmlns:c16="http://schemas.microsoft.com/office/drawing/2014/chart" uri="{C3380CC4-5D6E-409C-BE32-E72D297353CC}">
              <c16:uniqueId val="{00000062-755A-408A-82FF-0A2C9519D9DD}"/>
            </c:ext>
          </c:extLst>
        </c:ser>
        <c:ser>
          <c:idx val="76"/>
          <c:order val="58"/>
          <c:tx>
            <c:strRef>
              <c:f>Optimalisatie_Backlog!$B$80</c:f>
            </c:strRef>
          </c:tx>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n-US"/>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extLst>
                <c:ext xmlns:c15="http://schemas.microsoft.com/office/drawing/2012/chart" uri="{02D57815-91ED-43cb-92C2-25804820EDAC}">
                  <c15:fullRef>
                    <c15:sqref>Optimalisatie_Backlog!$G$3:$O$3</c15:sqref>
                  </c15:fullRef>
                </c:ext>
              </c:extLst>
              <c:f>Optimalisatie_Backlog!$G$3:$O$3</c:f>
              <c:strCache>
                <c:ptCount val="9"/>
                <c:pt idx="0">
                  <c:v>A1-A3</c:v>
                </c:pt>
                <c:pt idx="1">
                  <c:v>A4</c:v>
                </c:pt>
                <c:pt idx="2">
                  <c:v>A5</c:v>
                </c:pt>
                <c:pt idx="3">
                  <c:v>B1</c:v>
                </c:pt>
                <c:pt idx="4">
                  <c:v>B4</c:v>
                </c:pt>
                <c:pt idx="5">
                  <c:v>C1</c:v>
                </c:pt>
                <c:pt idx="6">
                  <c:v>C2</c:v>
                </c:pt>
                <c:pt idx="7">
                  <c:v>C3</c:v>
                </c:pt>
                <c:pt idx="8">
                  <c:v>C4</c:v>
                </c:pt>
              </c:strCache>
            </c:strRef>
          </c:cat>
          <c:val>
            <c:numRef>
              <c:extLst>
                <c:ext xmlns:c15="http://schemas.microsoft.com/office/drawing/2012/chart" uri="{02D57815-91ED-43cb-92C2-25804820EDAC}">
                  <c15:fullRef>
                    <c15:sqref>Optimalisatie_Backlog!$C$80:$S$80</c15:sqref>
                  </c15:fullRef>
                </c:ext>
              </c:extLst>
              <c:f>Optimalisatie_Backlog!$C$80:$K$80</c:f>
            </c:numRef>
          </c:val>
          <c:extLst>
            <c:ext xmlns:c16="http://schemas.microsoft.com/office/drawing/2014/chart" uri="{C3380CC4-5D6E-409C-BE32-E72D297353CC}">
              <c16:uniqueId val="{00000063-755A-408A-82FF-0A2C9519D9DD}"/>
            </c:ext>
          </c:extLst>
        </c:ser>
        <c:ser>
          <c:idx val="77"/>
          <c:order val="59"/>
          <c:tx>
            <c:strRef>
              <c:f>Optimalisatie_Backlog!$B$81</c:f>
            </c:strRef>
          </c:tx>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n-US"/>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extLst>
                <c:ext xmlns:c15="http://schemas.microsoft.com/office/drawing/2012/chart" uri="{02D57815-91ED-43cb-92C2-25804820EDAC}">
                  <c15:fullRef>
                    <c15:sqref>Optimalisatie_Backlog!$G$3:$O$3</c15:sqref>
                  </c15:fullRef>
                </c:ext>
              </c:extLst>
              <c:f>Optimalisatie_Backlog!$G$3:$O$3</c:f>
              <c:strCache>
                <c:ptCount val="9"/>
                <c:pt idx="0">
                  <c:v>A1-A3</c:v>
                </c:pt>
                <c:pt idx="1">
                  <c:v>A4</c:v>
                </c:pt>
                <c:pt idx="2">
                  <c:v>A5</c:v>
                </c:pt>
                <c:pt idx="3">
                  <c:v>B1</c:v>
                </c:pt>
                <c:pt idx="4">
                  <c:v>B4</c:v>
                </c:pt>
                <c:pt idx="5">
                  <c:v>C1</c:v>
                </c:pt>
                <c:pt idx="6">
                  <c:v>C2</c:v>
                </c:pt>
                <c:pt idx="7">
                  <c:v>C3</c:v>
                </c:pt>
                <c:pt idx="8">
                  <c:v>C4</c:v>
                </c:pt>
              </c:strCache>
            </c:strRef>
          </c:cat>
          <c:val>
            <c:numRef>
              <c:extLst>
                <c:ext xmlns:c15="http://schemas.microsoft.com/office/drawing/2012/chart" uri="{02D57815-91ED-43cb-92C2-25804820EDAC}">
                  <c15:fullRef>
                    <c15:sqref>Optimalisatie_Backlog!$C$81:$S$81</c15:sqref>
                  </c15:fullRef>
                </c:ext>
              </c:extLst>
              <c:f>Optimalisatie_Backlog!$C$81:$K$81</c:f>
            </c:numRef>
          </c:val>
          <c:extLst>
            <c:ext xmlns:c16="http://schemas.microsoft.com/office/drawing/2014/chart" uri="{C3380CC4-5D6E-409C-BE32-E72D297353CC}">
              <c16:uniqueId val="{00000064-755A-408A-82FF-0A2C9519D9DD}"/>
            </c:ext>
          </c:extLst>
        </c:ser>
        <c:ser>
          <c:idx val="78"/>
          <c:order val="60"/>
          <c:tx>
            <c:strRef>
              <c:f>Optimalisatie_Backlog!$B$82</c:f>
            </c:strRef>
          </c:tx>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n-US"/>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extLst>
                <c:ext xmlns:c15="http://schemas.microsoft.com/office/drawing/2012/chart" uri="{02D57815-91ED-43cb-92C2-25804820EDAC}">
                  <c15:fullRef>
                    <c15:sqref>Optimalisatie_Backlog!$G$3:$O$3</c15:sqref>
                  </c15:fullRef>
                </c:ext>
              </c:extLst>
              <c:f>Optimalisatie_Backlog!$G$3:$O$3</c:f>
              <c:strCache>
                <c:ptCount val="9"/>
                <c:pt idx="0">
                  <c:v>A1-A3</c:v>
                </c:pt>
                <c:pt idx="1">
                  <c:v>A4</c:v>
                </c:pt>
                <c:pt idx="2">
                  <c:v>A5</c:v>
                </c:pt>
                <c:pt idx="3">
                  <c:v>B1</c:v>
                </c:pt>
                <c:pt idx="4">
                  <c:v>B4</c:v>
                </c:pt>
                <c:pt idx="5">
                  <c:v>C1</c:v>
                </c:pt>
                <c:pt idx="6">
                  <c:v>C2</c:v>
                </c:pt>
                <c:pt idx="7">
                  <c:v>C3</c:v>
                </c:pt>
                <c:pt idx="8">
                  <c:v>C4</c:v>
                </c:pt>
              </c:strCache>
            </c:strRef>
          </c:cat>
          <c:val>
            <c:numRef>
              <c:extLst>
                <c:ext xmlns:c15="http://schemas.microsoft.com/office/drawing/2012/chart" uri="{02D57815-91ED-43cb-92C2-25804820EDAC}">
                  <c15:fullRef>
                    <c15:sqref>Optimalisatie_Backlog!$C$82:$S$82</c15:sqref>
                  </c15:fullRef>
                </c:ext>
              </c:extLst>
              <c:f>Optimalisatie_Backlog!$C$82:$K$82</c:f>
            </c:numRef>
          </c:val>
          <c:extLst>
            <c:ext xmlns:c16="http://schemas.microsoft.com/office/drawing/2014/chart" uri="{C3380CC4-5D6E-409C-BE32-E72D297353CC}">
              <c16:uniqueId val="{00000065-755A-408A-82FF-0A2C9519D9DD}"/>
            </c:ext>
          </c:extLst>
        </c:ser>
        <c:ser>
          <c:idx val="79"/>
          <c:order val="61"/>
          <c:tx>
            <c:strRef>
              <c:f>Optimalisatie_Backlog!$B$83</c:f>
            </c:strRef>
          </c:tx>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n-US"/>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extLst>
                <c:ext xmlns:c15="http://schemas.microsoft.com/office/drawing/2012/chart" uri="{02D57815-91ED-43cb-92C2-25804820EDAC}">
                  <c15:fullRef>
                    <c15:sqref>Optimalisatie_Backlog!$G$3:$O$3</c15:sqref>
                  </c15:fullRef>
                </c:ext>
              </c:extLst>
              <c:f>Optimalisatie_Backlog!$G$3:$O$3</c:f>
              <c:strCache>
                <c:ptCount val="9"/>
                <c:pt idx="0">
                  <c:v>A1-A3</c:v>
                </c:pt>
                <c:pt idx="1">
                  <c:v>A4</c:v>
                </c:pt>
                <c:pt idx="2">
                  <c:v>A5</c:v>
                </c:pt>
                <c:pt idx="3">
                  <c:v>B1</c:v>
                </c:pt>
                <c:pt idx="4">
                  <c:v>B4</c:v>
                </c:pt>
                <c:pt idx="5">
                  <c:v>C1</c:v>
                </c:pt>
                <c:pt idx="6">
                  <c:v>C2</c:v>
                </c:pt>
                <c:pt idx="7">
                  <c:v>C3</c:v>
                </c:pt>
                <c:pt idx="8">
                  <c:v>C4</c:v>
                </c:pt>
              </c:strCache>
            </c:strRef>
          </c:cat>
          <c:val>
            <c:numRef>
              <c:extLst>
                <c:ext xmlns:c15="http://schemas.microsoft.com/office/drawing/2012/chart" uri="{02D57815-91ED-43cb-92C2-25804820EDAC}">
                  <c15:fullRef>
                    <c15:sqref>Optimalisatie_Backlog!$C$83:$S$83</c15:sqref>
                  </c15:fullRef>
                </c:ext>
              </c:extLst>
              <c:f>Optimalisatie_Backlog!$C$83:$K$83</c:f>
            </c:numRef>
          </c:val>
          <c:extLst>
            <c:ext xmlns:c16="http://schemas.microsoft.com/office/drawing/2014/chart" uri="{C3380CC4-5D6E-409C-BE32-E72D297353CC}">
              <c16:uniqueId val="{00000066-755A-408A-82FF-0A2C9519D9DD}"/>
            </c:ext>
          </c:extLst>
        </c:ser>
        <c:ser>
          <c:idx val="80"/>
          <c:order val="62"/>
          <c:tx>
            <c:strRef>
              <c:f>Optimalisatie_Backlog!$B$84</c:f>
            </c:strRef>
          </c:tx>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n-US"/>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extLst>
                <c:ext xmlns:c15="http://schemas.microsoft.com/office/drawing/2012/chart" uri="{02D57815-91ED-43cb-92C2-25804820EDAC}">
                  <c15:fullRef>
                    <c15:sqref>Optimalisatie_Backlog!$G$3:$O$3</c15:sqref>
                  </c15:fullRef>
                </c:ext>
              </c:extLst>
              <c:f>Optimalisatie_Backlog!$G$3:$O$3</c:f>
              <c:strCache>
                <c:ptCount val="9"/>
                <c:pt idx="0">
                  <c:v>A1-A3</c:v>
                </c:pt>
                <c:pt idx="1">
                  <c:v>A4</c:v>
                </c:pt>
                <c:pt idx="2">
                  <c:v>A5</c:v>
                </c:pt>
                <c:pt idx="3">
                  <c:v>B1</c:v>
                </c:pt>
                <c:pt idx="4">
                  <c:v>B4</c:v>
                </c:pt>
                <c:pt idx="5">
                  <c:v>C1</c:v>
                </c:pt>
                <c:pt idx="6">
                  <c:v>C2</c:v>
                </c:pt>
                <c:pt idx="7">
                  <c:v>C3</c:v>
                </c:pt>
                <c:pt idx="8">
                  <c:v>C4</c:v>
                </c:pt>
              </c:strCache>
            </c:strRef>
          </c:cat>
          <c:val>
            <c:numRef>
              <c:extLst>
                <c:ext xmlns:c15="http://schemas.microsoft.com/office/drawing/2012/chart" uri="{02D57815-91ED-43cb-92C2-25804820EDAC}">
                  <c15:fullRef>
                    <c15:sqref>Optimalisatie_Backlog!$C$84:$S$84</c15:sqref>
                  </c15:fullRef>
                </c:ext>
              </c:extLst>
              <c:f>Optimalisatie_Backlog!$C$84:$K$84</c:f>
            </c:numRef>
          </c:val>
          <c:extLst>
            <c:ext xmlns:c16="http://schemas.microsoft.com/office/drawing/2014/chart" uri="{C3380CC4-5D6E-409C-BE32-E72D297353CC}">
              <c16:uniqueId val="{00000067-755A-408A-82FF-0A2C9519D9DD}"/>
            </c:ext>
          </c:extLst>
        </c:ser>
        <c:ser>
          <c:idx val="81"/>
          <c:order val="63"/>
          <c:tx>
            <c:strRef>
              <c:f>Optimalisatie_Backlog!$B$85</c:f>
            </c:strRef>
          </c:tx>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n-US"/>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extLst>
                <c:ext xmlns:c15="http://schemas.microsoft.com/office/drawing/2012/chart" uri="{02D57815-91ED-43cb-92C2-25804820EDAC}">
                  <c15:fullRef>
                    <c15:sqref>Optimalisatie_Backlog!$G$3:$O$3</c15:sqref>
                  </c15:fullRef>
                </c:ext>
              </c:extLst>
              <c:f>Optimalisatie_Backlog!$G$3:$O$3</c:f>
              <c:strCache>
                <c:ptCount val="9"/>
                <c:pt idx="0">
                  <c:v>A1-A3</c:v>
                </c:pt>
                <c:pt idx="1">
                  <c:v>A4</c:v>
                </c:pt>
                <c:pt idx="2">
                  <c:v>A5</c:v>
                </c:pt>
                <c:pt idx="3">
                  <c:v>B1</c:v>
                </c:pt>
                <c:pt idx="4">
                  <c:v>B4</c:v>
                </c:pt>
                <c:pt idx="5">
                  <c:v>C1</c:v>
                </c:pt>
                <c:pt idx="6">
                  <c:v>C2</c:v>
                </c:pt>
                <c:pt idx="7">
                  <c:v>C3</c:v>
                </c:pt>
                <c:pt idx="8">
                  <c:v>C4</c:v>
                </c:pt>
              </c:strCache>
            </c:strRef>
          </c:cat>
          <c:val>
            <c:numRef>
              <c:extLst>
                <c:ext xmlns:c15="http://schemas.microsoft.com/office/drawing/2012/chart" uri="{02D57815-91ED-43cb-92C2-25804820EDAC}">
                  <c15:fullRef>
                    <c15:sqref>Optimalisatie_Backlog!$C$85:$S$85</c15:sqref>
                  </c15:fullRef>
                </c:ext>
              </c:extLst>
              <c:f>Optimalisatie_Backlog!$C$85:$K$85</c:f>
            </c:numRef>
          </c:val>
          <c:extLst>
            <c:ext xmlns:c16="http://schemas.microsoft.com/office/drawing/2014/chart" uri="{C3380CC4-5D6E-409C-BE32-E72D297353CC}">
              <c16:uniqueId val="{00000068-755A-408A-82FF-0A2C9519D9DD}"/>
            </c:ext>
          </c:extLst>
        </c:ser>
        <c:ser>
          <c:idx val="82"/>
          <c:order val="64"/>
          <c:tx>
            <c:strRef>
              <c:f>Optimalisatie_Backlog!$B$86</c:f>
            </c:strRef>
          </c:tx>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n-US"/>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extLst>
                <c:ext xmlns:c15="http://schemas.microsoft.com/office/drawing/2012/chart" uri="{02D57815-91ED-43cb-92C2-25804820EDAC}">
                  <c15:fullRef>
                    <c15:sqref>Optimalisatie_Backlog!$G$3:$O$3</c15:sqref>
                  </c15:fullRef>
                </c:ext>
              </c:extLst>
              <c:f>Optimalisatie_Backlog!$G$3:$O$3</c:f>
              <c:strCache>
                <c:ptCount val="9"/>
                <c:pt idx="0">
                  <c:v>A1-A3</c:v>
                </c:pt>
                <c:pt idx="1">
                  <c:v>A4</c:v>
                </c:pt>
                <c:pt idx="2">
                  <c:v>A5</c:v>
                </c:pt>
                <c:pt idx="3">
                  <c:v>B1</c:v>
                </c:pt>
                <c:pt idx="4">
                  <c:v>B4</c:v>
                </c:pt>
                <c:pt idx="5">
                  <c:v>C1</c:v>
                </c:pt>
                <c:pt idx="6">
                  <c:v>C2</c:v>
                </c:pt>
                <c:pt idx="7">
                  <c:v>C3</c:v>
                </c:pt>
                <c:pt idx="8">
                  <c:v>C4</c:v>
                </c:pt>
              </c:strCache>
            </c:strRef>
          </c:cat>
          <c:val>
            <c:numRef>
              <c:extLst>
                <c:ext xmlns:c15="http://schemas.microsoft.com/office/drawing/2012/chart" uri="{02D57815-91ED-43cb-92C2-25804820EDAC}">
                  <c15:fullRef>
                    <c15:sqref>Optimalisatie_Backlog!$C$86:$S$86</c15:sqref>
                  </c15:fullRef>
                </c:ext>
              </c:extLst>
              <c:f>Optimalisatie_Backlog!$C$86:$K$86</c:f>
            </c:numRef>
          </c:val>
          <c:extLst>
            <c:ext xmlns:c16="http://schemas.microsoft.com/office/drawing/2014/chart" uri="{C3380CC4-5D6E-409C-BE32-E72D297353CC}">
              <c16:uniqueId val="{00000069-755A-408A-82FF-0A2C9519D9DD}"/>
            </c:ext>
          </c:extLst>
        </c:ser>
        <c:ser>
          <c:idx val="83"/>
          <c:order val="65"/>
          <c:tx>
            <c:strRef>
              <c:f>Optimalisatie_Backlog!$B$87</c:f>
            </c:strRef>
          </c:tx>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n-US"/>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extLst>
                <c:ext xmlns:c15="http://schemas.microsoft.com/office/drawing/2012/chart" uri="{02D57815-91ED-43cb-92C2-25804820EDAC}">
                  <c15:fullRef>
                    <c15:sqref>Optimalisatie_Backlog!$G$3:$O$3</c15:sqref>
                  </c15:fullRef>
                </c:ext>
              </c:extLst>
              <c:f>Optimalisatie_Backlog!$G$3:$O$3</c:f>
              <c:strCache>
                <c:ptCount val="9"/>
                <c:pt idx="0">
                  <c:v>A1-A3</c:v>
                </c:pt>
                <c:pt idx="1">
                  <c:v>A4</c:v>
                </c:pt>
                <c:pt idx="2">
                  <c:v>A5</c:v>
                </c:pt>
                <c:pt idx="3">
                  <c:v>B1</c:v>
                </c:pt>
                <c:pt idx="4">
                  <c:v>B4</c:v>
                </c:pt>
                <c:pt idx="5">
                  <c:v>C1</c:v>
                </c:pt>
                <c:pt idx="6">
                  <c:v>C2</c:v>
                </c:pt>
                <c:pt idx="7">
                  <c:v>C3</c:v>
                </c:pt>
                <c:pt idx="8">
                  <c:v>C4</c:v>
                </c:pt>
              </c:strCache>
            </c:strRef>
          </c:cat>
          <c:val>
            <c:numRef>
              <c:extLst>
                <c:ext xmlns:c15="http://schemas.microsoft.com/office/drawing/2012/chart" uri="{02D57815-91ED-43cb-92C2-25804820EDAC}">
                  <c15:fullRef>
                    <c15:sqref>Optimalisatie_Backlog!$C$87:$S$87</c15:sqref>
                  </c15:fullRef>
                </c:ext>
              </c:extLst>
              <c:f>Optimalisatie_Backlog!$C$87:$K$87</c:f>
            </c:numRef>
          </c:val>
          <c:extLst>
            <c:ext xmlns:c16="http://schemas.microsoft.com/office/drawing/2014/chart" uri="{C3380CC4-5D6E-409C-BE32-E72D297353CC}">
              <c16:uniqueId val="{0000006A-755A-408A-82FF-0A2C9519D9DD}"/>
            </c:ext>
          </c:extLst>
        </c:ser>
        <c:ser>
          <c:idx val="84"/>
          <c:order val="66"/>
          <c:tx>
            <c:strRef>
              <c:f>Optimalisatie_Backlog!$B$88</c:f>
            </c:strRef>
          </c:tx>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n-US"/>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extLst>
                <c:ext xmlns:c15="http://schemas.microsoft.com/office/drawing/2012/chart" uri="{02D57815-91ED-43cb-92C2-25804820EDAC}">
                  <c15:fullRef>
                    <c15:sqref>Optimalisatie_Backlog!$G$3:$O$3</c15:sqref>
                  </c15:fullRef>
                </c:ext>
              </c:extLst>
              <c:f>Optimalisatie_Backlog!$G$3:$O$3</c:f>
              <c:strCache>
                <c:ptCount val="9"/>
                <c:pt idx="0">
                  <c:v>A1-A3</c:v>
                </c:pt>
                <c:pt idx="1">
                  <c:v>A4</c:v>
                </c:pt>
                <c:pt idx="2">
                  <c:v>A5</c:v>
                </c:pt>
                <c:pt idx="3">
                  <c:v>B1</c:v>
                </c:pt>
                <c:pt idx="4">
                  <c:v>B4</c:v>
                </c:pt>
                <c:pt idx="5">
                  <c:v>C1</c:v>
                </c:pt>
                <c:pt idx="6">
                  <c:v>C2</c:v>
                </c:pt>
                <c:pt idx="7">
                  <c:v>C3</c:v>
                </c:pt>
                <c:pt idx="8">
                  <c:v>C4</c:v>
                </c:pt>
              </c:strCache>
            </c:strRef>
          </c:cat>
          <c:val>
            <c:numRef>
              <c:extLst>
                <c:ext xmlns:c15="http://schemas.microsoft.com/office/drawing/2012/chart" uri="{02D57815-91ED-43cb-92C2-25804820EDAC}">
                  <c15:fullRef>
                    <c15:sqref>Optimalisatie_Backlog!$C$88:$S$88</c15:sqref>
                  </c15:fullRef>
                </c:ext>
              </c:extLst>
              <c:f>Optimalisatie_Backlog!$C$88:$K$88</c:f>
            </c:numRef>
          </c:val>
          <c:extLst>
            <c:ext xmlns:c16="http://schemas.microsoft.com/office/drawing/2014/chart" uri="{C3380CC4-5D6E-409C-BE32-E72D297353CC}">
              <c16:uniqueId val="{0000006B-755A-408A-82FF-0A2C9519D9DD}"/>
            </c:ext>
          </c:extLst>
        </c:ser>
        <c:ser>
          <c:idx val="85"/>
          <c:order val="67"/>
          <c:tx>
            <c:strRef>
              <c:f>Optimalisatie_Backlog!$B$89</c:f>
            </c:strRef>
          </c:tx>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n-US"/>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extLst>
                <c:ext xmlns:c15="http://schemas.microsoft.com/office/drawing/2012/chart" uri="{02D57815-91ED-43cb-92C2-25804820EDAC}">
                  <c15:fullRef>
                    <c15:sqref>Optimalisatie_Backlog!$G$3:$O$3</c15:sqref>
                  </c15:fullRef>
                </c:ext>
              </c:extLst>
              <c:f>Optimalisatie_Backlog!$G$3:$O$3</c:f>
              <c:strCache>
                <c:ptCount val="9"/>
                <c:pt idx="0">
                  <c:v>A1-A3</c:v>
                </c:pt>
                <c:pt idx="1">
                  <c:v>A4</c:v>
                </c:pt>
                <c:pt idx="2">
                  <c:v>A5</c:v>
                </c:pt>
                <c:pt idx="3">
                  <c:v>B1</c:v>
                </c:pt>
                <c:pt idx="4">
                  <c:v>B4</c:v>
                </c:pt>
                <c:pt idx="5">
                  <c:v>C1</c:v>
                </c:pt>
                <c:pt idx="6">
                  <c:v>C2</c:v>
                </c:pt>
                <c:pt idx="7">
                  <c:v>C3</c:v>
                </c:pt>
                <c:pt idx="8">
                  <c:v>C4</c:v>
                </c:pt>
              </c:strCache>
            </c:strRef>
          </c:cat>
          <c:val>
            <c:numRef>
              <c:extLst>
                <c:ext xmlns:c15="http://schemas.microsoft.com/office/drawing/2012/chart" uri="{02D57815-91ED-43cb-92C2-25804820EDAC}">
                  <c15:fullRef>
                    <c15:sqref>Optimalisatie_Backlog!$C$89:$S$89</c15:sqref>
                  </c15:fullRef>
                </c:ext>
              </c:extLst>
              <c:f>Optimalisatie_Backlog!$C$89:$K$89</c:f>
            </c:numRef>
          </c:val>
          <c:extLst>
            <c:ext xmlns:c16="http://schemas.microsoft.com/office/drawing/2014/chart" uri="{C3380CC4-5D6E-409C-BE32-E72D297353CC}">
              <c16:uniqueId val="{0000006C-755A-408A-82FF-0A2C9519D9DD}"/>
            </c:ext>
          </c:extLst>
        </c:ser>
        <c:ser>
          <c:idx val="86"/>
          <c:order val="68"/>
          <c:tx>
            <c:strRef>
              <c:f>Optimalisatie_Backlog!$B$90</c:f>
            </c:strRef>
          </c:tx>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n-US"/>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extLst>
                <c:ext xmlns:c15="http://schemas.microsoft.com/office/drawing/2012/chart" uri="{02D57815-91ED-43cb-92C2-25804820EDAC}">
                  <c15:fullRef>
                    <c15:sqref>Optimalisatie_Backlog!$G$3:$O$3</c15:sqref>
                  </c15:fullRef>
                </c:ext>
              </c:extLst>
              <c:f>Optimalisatie_Backlog!$G$3:$O$3</c:f>
              <c:strCache>
                <c:ptCount val="9"/>
                <c:pt idx="0">
                  <c:v>A1-A3</c:v>
                </c:pt>
                <c:pt idx="1">
                  <c:v>A4</c:v>
                </c:pt>
                <c:pt idx="2">
                  <c:v>A5</c:v>
                </c:pt>
                <c:pt idx="3">
                  <c:v>B1</c:v>
                </c:pt>
                <c:pt idx="4">
                  <c:v>B4</c:v>
                </c:pt>
                <c:pt idx="5">
                  <c:v>C1</c:v>
                </c:pt>
                <c:pt idx="6">
                  <c:v>C2</c:v>
                </c:pt>
                <c:pt idx="7">
                  <c:v>C3</c:v>
                </c:pt>
                <c:pt idx="8">
                  <c:v>C4</c:v>
                </c:pt>
              </c:strCache>
            </c:strRef>
          </c:cat>
          <c:val>
            <c:numRef>
              <c:extLst>
                <c:ext xmlns:c15="http://schemas.microsoft.com/office/drawing/2012/chart" uri="{02D57815-91ED-43cb-92C2-25804820EDAC}">
                  <c15:fullRef>
                    <c15:sqref>Optimalisatie_Backlog!$C$90:$S$90</c15:sqref>
                  </c15:fullRef>
                </c:ext>
              </c:extLst>
              <c:f>Optimalisatie_Backlog!$C$90:$K$90</c:f>
            </c:numRef>
          </c:val>
          <c:extLst>
            <c:ext xmlns:c16="http://schemas.microsoft.com/office/drawing/2014/chart" uri="{C3380CC4-5D6E-409C-BE32-E72D297353CC}">
              <c16:uniqueId val="{0000006D-755A-408A-82FF-0A2C9519D9DD}"/>
            </c:ext>
          </c:extLst>
        </c:ser>
        <c:ser>
          <c:idx val="87"/>
          <c:order val="69"/>
          <c:tx>
            <c:strRef>
              <c:f>Optimalisatie_Backlog!$B$91</c:f>
            </c:strRef>
          </c:tx>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n-US"/>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extLst>
                <c:ext xmlns:c15="http://schemas.microsoft.com/office/drawing/2012/chart" uri="{02D57815-91ED-43cb-92C2-25804820EDAC}">
                  <c15:fullRef>
                    <c15:sqref>Optimalisatie_Backlog!$G$3:$O$3</c15:sqref>
                  </c15:fullRef>
                </c:ext>
              </c:extLst>
              <c:f>Optimalisatie_Backlog!$G$3:$O$3</c:f>
              <c:strCache>
                <c:ptCount val="9"/>
                <c:pt idx="0">
                  <c:v>A1-A3</c:v>
                </c:pt>
                <c:pt idx="1">
                  <c:v>A4</c:v>
                </c:pt>
                <c:pt idx="2">
                  <c:v>A5</c:v>
                </c:pt>
                <c:pt idx="3">
                  <c:v>B1</c:v>
                </c:pt>
                <c:pt idx="4">
                  <c:v>B4</c:v>
                </c:pt>
                <c:pt idx="5">
                  <c:v>C1</c:v>
                </c:pt>
                <c:pt idx="6">
                  <c:v>C2</c:v>
                </c:pt>
                <c:pt idx="7">
                  <c:v>C3</c:v>
                </c:pt>
                <c:pt idx="8">
                  <c:v>C4</c:v>
                </c:pt>
              </c:strCache>
            </c:strRef>
          </c:cat>
          <c:val>
            <c:numRef>
              <c:extLst>
                <c:ext xmlns:c15="http://schemas.microsoft.com/office/drawing/2012/chart" uri="{02D57815-91ED-43cb-92C2-25804820EDAC}">
                  <c15:fullRef>
                    <c15:sqref>Optimalisatie_Backlog!$C$91:$S$91</c15:sqref>
                  </c15:fullRef>
                </c:ext>
              </c:extLst>
              <c:f>Optimalisatie_Backlog!$C$91:$K$91</c:f>
            </c:numRef>
          </c:val>
          <c:extLst>
            <c:ext xmlns:c16="http://schemas.microsoft.com/office/drawing/2014/chart" uri="{C3380CC4-5D6E-409C-BE32-E72D297353CC}">
              <c16:uniqueId val="{0000006E-755A-408A-82FF-0A2C9519D9DD}"/>
            </c:ext>
          </c:extLst>
        </c:ser>
        <c:ser>
          <c:idx val="88"/>
          <c:order val="70"/>
          <c:tx>
            <c:strRef>
              <c:f>Optimalisatie_Backlog!$B$92</c:f>
            </c:strRef>
          </c:tx>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n-US"/>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extLst>
                <c:ext xmlns:c15="http://schemas.microsoft.com/office/drawing/2012/chart" uri="{02D57815-91ED-43cb-92C2-25804820EDAC}">
                  <c15:fullRef>
                    <c15:sqref>Optimalisatie_Backlog!$G$3:$O$3</c15:sqref>
                  </c15:fullRef>
                </c:ext>
              </c:extLst>
              <c:f>Optimalisatie_Backlog!$G$3:$O$3</c:f>
              <c:strCache>
                <c:ptCount val="9"/>
                <c:pt idx="0">
                  <c:v>A1-A3</c:v>
                </c:pt>
                <c:pt idx="1">
                  <c:v>A4</c:v>
                </c:pt>
                <c:pt idx="2">
                  <c:v>A5</c:v>
                </c:pt>
                <c:pt idx="3">
                  <c:v>B1</c:v>
                </c:pt>
                <c:pt idx="4">
                  <c:v>B4</c:v>
                </c:pt>
                <c:pt idx="5">
                  <c:v>C1</c:v>
                </c:pt>
                <c:pt idx="6">
                  <c:v>C2</c:v>
                </c:pt>
                <c:pt idx="7">
                  <c:v>C3</c:v>
                </c:pt>
                <c:pt idx="8">
                  <c:v>C4</c:v>
                </c:pt>
              </c:strCache>
            </c:strRef>
          </c:cat>
          <c:val>
            <c:numRef>
              <c:extLst>
                <c:ext xmlns:c15="http://schemas.microsoft.com/office/drawing/2012/chart" uri="{02D57815-91ED-43cb-92C2-25804820EDAC}">
                  <c15:fullRef>
                    <c15:sqref>Optimalisatie_Backlog!$C$92:$S$92</c15:sqref>
                  </c15:fullRef>
                </c:ext>
              </c:extLst>
              <c:f>Optimalisatie_Backlog!$C$92:$K$92</c:f>
            </c:numRef>
          </c:val>
          <c:extLst>
            <c:ext xmlns:c16="http://schemas.microsoft.com/office/drawing/2014/chart" uri="{C3380CC4-5D6E-409C-BE32-E72D297353CC}">
              <c16:uniqueId val="{0000006F-755A-408A-82FF-0A2C9519D9DD}"/>
            </c:ext>
          </c:extLst>
        </c:ser>
        <c:ser>
          <c:idx val="89"/>
          <c:order val="71"/>
          <c:tx>
            <c:strRef>
              <c:f>Optimalisatie_Backlog!$B$93</c:f>
            </c:strRef>
          </c:tx>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n-US"/>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extLst>
                <c:ext xmlns:c15="http://schemas.microsoft.com/office/drawing/2012/chart" uri="{02D57815-91ED-43cb-92C2-25804820EDAC}">
                  <c15:fullRef>
                    <c15:sqref>Optimalisatie_Backlog!$G$3:$O$3</c15:sqref>
                  </c15:fullRef>
                </c:ext>
              </c:extLst>
              <c:f>Optimalisatie_Backlog!$G$3:$O$3</c:f>
              <c:strCache>
                <c:ptCount val="9"/>
                <c:pt idx="0">
                  <c:v>A1-A3</c:v>
                </c:pt>
                <c:pt idx="1">
                  <c:v>A4</c:v>
                </c:pt>
                <c:pt idx="2">
                  <c:v>A5</c:v>
                </c:pt>
                <c:pt idx="3">
                  <c:v>B1</c:v>
                </c:pt>
                <c:pt idx="4">
                  <c:v>B4</c:v>
                </c:pt>
                <c:pt idx="5">
                  <c:v>C1</c:v>
                </c:pt>
                <c:pt idx="6">
                  <c:v>C2</c:v>
                </c:pt>
                <c:pt idx="7">
                  <c:v>C3</c:v>
                </c:pt>
                <c:pt idx="8">
                  <c:v>C4</c:v>
                </c:pt>
              </c:strCache>
            </c:strRef>
          </c:cat>
          <c:val>
            <c:numRef>
              <c:extLst>
                <c:ext xmlns:c15="http://schemas.microsoft.com/office/drawing/2012/chart" uri="{02D57815-91ED-43cb-92C2-25804820EDAC}">
                  <c15:fullRef>
                    <c15:sqref>Optimalisatie_Backlog!$C$93:$S$93</c15:sqref>
                  </c15:fullRef>
                </c:ext>
              </c:extLst>
              <c:f>Optimalisatie_Backlog!$C$93:$K$93</c:f>
            </c:numRef>
          </c:val>
          <c:extLst>
            <c:ext xmlns:c16="http://schemas.microsoft.com/office/drawing/2014/chart" uri="{C3380CC4-5D6E-409C-BE32-E72D297353CC}">
              <c16:uniqueId val="{00000070-755A-408A-82FF-0A2C9519D9DD}"/>
            </c:ext>
          </c:extLst>
        </c:ser>
        <c:ser>
          <c:idx val="90"/>
          <c:order val="72"/>
          <c:tx>
            <c:strRef>
              <c:f>Optimalisatie_Backlog!$B$94</c:f>
            </c:strRef>
          </c:tx>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n-US"/>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extLst>
                <c:ext xmlns:c15="http://schemas.microsoft.com/office/drawing/2012/chart" uri="{02D57815-91ED-43cb-92C2-25804820EDAC}">
                  <c15:fullRef>
                    <c15:sqref>Optimalisatie_Backlog!$G$3:$O$3</c15:sqref>
                  </c15:fullRef>
                </c:ext>
              </c:extLst>
              <c:f>Optimalisatie_Backlog!$G$3:$O$3</c:f>
              <c:strCache>
                <c:ptCount val="9"/>
                <c:pt idx="0">
                  <c:v>A1-A3</c:v>
                </c:pt>
                <c:pt idx="1">
                  <c:v>A4</c:v>
                </c:pt>
                <c:pt idx="2">
                  <c:v>A5</c:v>
                </c:pt>
                <c:pt idx="3">
                  <c:v>B1</c:v>
                </c:pt>
                <c:pt idx="4">
                  <c:v>B4</c:v>
                </c:pt>
                <c:pt idx="5">
                  <c:v>C1</c:v>
                </c:pt>
                <c:pt idx="6">
                  <c:v>C2</c:v>
                </c:pt>
                <c:pt idx="7">
                  <c:v>C3</c:v>
                </c:pt>
                <c:pt idx="8">
                  <c:v>C4</c:v>
                </c:pt>
              </c:strCache>
            </c:strRef>
          </c:cat>
          <c:val>
            <c:numRef>
              <c:extLst>
                <c:ext xmlns:c15="http://schemas.microsoft.com/office/drawing/2012/chart" uri="{02D57815-91ED-43cb-92C2-25804820EDAC}">
                  <c15:fullRef>
                    <c15:sqref>Optimalisatie_Backlog!$C$94:$S$94</c15:sqref>
                  </c15:fullRef>
                </c:ext>
              </c:extLst>
              <c:f>Optimalisatie_Backlog!$C$94:$K$94</c:f>
            </c:numRef>
          </c:val>
          <c:extLst>
            <c:ext xmlns:c16="http://schemas.microsoft.com/office/drawing/2014/chart" uri="{C3380CC4-5D6E-409C-BE32-E72D297353CC}">
              <c16:uniqueId val="{00000071-755A-408A-82FF-0A2C9519D9DD}"/>
            </c:ext>
          </c:extLst>
        </c:ser>
        <c:ser>
          <c:idx val="91"/>
          <c:order val="73"/>
          <c:tx>
            <c:strRef>
              <c:f>Optimalisatie_Backlog!$B$95</c:f>
            </c:strRef>
          </c:tx>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n-US"/>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extLst>
                <c:ext xmlns:c15="http://schemas.microsoft.com/office/drawing/2012/chart" uri="{02D57815-91ED-43cb-92C2-25804820EDAC}">
                  <c15:fullRef>
                    <c15:sqref>Optimalisatie_Backlog!$G$3:$O$3</c15:sqref>
                  </c15:fullRef>
                </c:ext>
              </c:extLst>
              <c:f>Optimalisatie_Backlog!$G$3:$O$3</c:f>
              <c:strCache>
                <c:ptCount val="9"/>
                <c:pt idx="0">
                  <c:v>A1-A3</c:v>
                </c:pt>
                <c:pt idx="1">
                  <c:v>A4</c:v>
                </c:pt>
                <c:pt idx="2">
                  <c:v>A5</c:v>
                </c:pt>
                <c:pt idx="3">
                  <c:v>B1</c:v>
                </c:pt>
                <c:pt idx="4">
                  <c:v>B4</c:v>
                </c:pt>
                <c:pt idx="5">
                  <c:v>C1</c:v>
                </c:pt>
                <c:pt idx="6">
                  <c:v>C2</c:v>
                </c:pt>
                <c:pt idx="7">
                  <c:v>C3</c:v>
                </c:pt>
                <c:pt idx="8">
                  <c:v>C4</c:v>
                </c:pt>
              </c:strCache>
            </c:strRef>
          </c:cat>
          <c:val>
            <c:numRef>
              <c:extLst>
                <c:ext xmlns:c15="http://schemas.microsoft.com/office/drawing/2012/chart" uri="{02D57815-91ED-43cb-92C2-25804820EDAC}">
                  <c15:fullRef>
                    <c15:sqref>Optimalisatie_Backlog!$C$95:$S$95</c15:sqref>
                  </c15:fullRef>
                </c:ext>
              </c:extLst>
              <c:f>Optimalisatie_Backlog!$C$95:$K$95</c:f>
            </c:numRef>
          </c:val>
          <c:extLst>
            <c:ext xmlns:c16="http://schemas.microsoft.com/office/drawing/2014/chart" uri="{C3380CC4-5D6E-409C-BE32-E72D297353CC}">
              <c16:uniqueId val="{00000072-755A-408A-82FF-0A2C9519D9DD}"/>
            </c:ext>
          </c:extLst>
        </c:ser>
        <c:ser>
          <c:idx val="92"/>
          <c:order val="74"/>
          <c:tx>
            <c:strRef>
              <c:f>Optimalisatie_Backlog!$B$96</c:f>
            </c:strRef>
          </c:tx>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n-US"/>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extLst>
                <c:ext xmlns:c15="http://schemas.microsoft.com/office/drawing/2012/chart" uri="{02D57815-91ED-43cb-92C2-25804820EDAC}">
                  <c15:fullRef>
                    <c15:sqref>Optimalisatie_Backlog!$G$3:$O$3</c15:sqref>
                  </c15:fullRef>
                </c:ext>
              </c:extLst>
              <c:f>Optimalisatie_Backlog!$G$3:$O$3</c:f>
              <c:strCache>
                <c:ptCount val="9"/>
                <c:pt idx="0">
                  <c:v>A1-A3</c:v>
                </c:pt>
                <c:pt idx="1">
                  <c:v>A4</c:v>
                </c:pt>
                <c:pt idx="2">
                  <c:v>A5</c:v>
                </c:pt>
                <c:pt idx="3">
                  <c:v>B1</c:v>
                </c:pt>
                <c:pt idx="4">
                  <c:v>B4</c:v>
                </c:pt>
                <c:pt idx="5">
                  <c:v>C1</c:v>
                </c:pt>
                <c:pt idx="6">
                  <c:v>C2</c:v>
                </c:pt>
                <c:pt idx="7">
                  <c:v>C3</c:v>
                </c:pt>
                <c:pt idx="8">
                  <c:v>C4</c:v>
                </c:pt>
              </c:strCache>
            </c:strRef>
          </c:cat>
          <c:val>
            <c:numRef>
              <c:extLst>
                <c:ext xmlns:c15="http://schemas.microsoft.com/office/drawing/2012/chart" uri="{02D57815-91ED-43cb-92C2-25804820EDAC}">
                  <c15:fullRef>
                    <c15:sqref>Optimalisatie_Backlog!$C$96:$S$96</c15:sqref>
                  </c15:fullRef>
                </c:ext>
              </c:extLst>
              <c:f>Optimalisatie_Backlog!$C$96:$K$96</c:f>
            </c:numRef>
          </c:val>
          <c:extLst>
            <c:ext xmlns:c16="http://schemas.microsoft.com/office/drawing/2014/chart" uri="{C3380CC4-5D6E-409C-BE32-E72D297353CC}">
              <c16:uniqueId val="{00000073-755A-408A-82FF-0A2C9519D9DD}"/>
            </c:ext>
          </c:extLst>
        </c:ser>
        <c:ser>
          <c:idx val="93"/>
          <c:order val="75"/>
          <c:tx>
            <c:strRef>
              <c:f>Optimalisatie_Backlog!$B$97</c:f>
            </c:strRef>
          </c:tx>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n-US"/>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extLst>
                <c:ext xmlns:c15="http://schemas.microsoft.com/office/drawing/2012/chart" uri="{02D57815-91ED-43cb-92C2-25804820EDAC}">
                  <c15:fullRef>
                    <c15:sqref>Optimalisatie_Backlog!$G$3:$O$3</c15:sqref>
                  </c15:fullRef>
                </c:ext>
              </c:extLst>
              <c:f>Optimalisatie_Backlog!$G$3:$O$3</c:f>
              <c:strCache>
                <c:ptCount val="9"/>
                <c:pt idx="0">
                  <c:v>A1-A3</c:v>
                </c:pt>
                <c:pt idx="1">
                  <c:v>A4</c:v>
                </c:pt>
                <c:pt idx="2">
                  <c:v>A5</c:v>
                </c:pt>
                <c:pt idx="3">
                  <c:v>B1</c:v>
                </c:pt>
                <c:pt idx="4">
                  <c:v>B4</c:v>
                </c:pt>
                <c:pt idx="5">
                  <c:v>C1</c:v>
                </c:pt>
                <c:pt idx="6">
                  <c:v>C2</c:v>
                </c:pt>
                <c:pt idx="7">
                  <c:v>C3</c:v>
                </c:pt>
                <c:pt idx="8">
                  <c:v>C4</c:v>
                </c:pt>
              </c:strCache>
            </c:strRef>
          </c:cat>
          <c:val>
            <c:numRef>
              <c:extLst>
                <c:ext xmlns:c15="http://schemas.microsoft.com/office/drawing/2012/chart" uri="{02D57815-91ED-43cb-92C2-25804820EDAC}">
                  <c15:fullRef>
                    <c15:sqref>Optimalisatie_Backlog!$C$97:$S$97</c15:sqref>
                  </c15:fullRef>
                </c:ext>
              </c:extLst>
              <c:f>Optimalisatie_Backlog!$C$97:$K$97</c:f>
            </c:numRef>
          </c:val>
          <c:extLst>
            <c:ext xmlns:c16="http://schemas.microsoft.com/office/drawing/2014/chart" uri="{C3380CC4-5D6E-409C-BE32-E72D297353CC}">
              <c16:uniqueId val="{00000074-755A-408A-82FF-0A2C9519D9DD}"/>
            </c:ext>
          </c:extLst>
        </c:ser>
        <c:ser>
          <c:idx val="94"/>
          <c:order val="76"/>
          <c:tx>
            <c:strRef>
              <c:f>Optimalisatie_Backlog!$B$98</c:f>
            </c:strRef>
          </c:tx>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n-US"/>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extLst>
                <c:ext xmlns:c15="http://schemas.microsoft.com/office/drawing/2012/chart" uri="{02D57815-91ED-43cb-92C2-25804820EDAC}">
                  <c15:fullRef>
                    <c15:sqref>Optimalisatie_Backlog!$G$3:$O$3</c15:sqref>
                  </c15:fullRef>
                </c:ext>
              </c:extLst>
              <c:f>Optimalisatie_Backlog!$G$3:$O$3</c:f>
              <c:strCache>
                <c:ptCount val="9"/>
                <c:pt idx="0">
                  <c:v>A1-A3</c:v>
                </c:pt>
                <c:pt idx="1">
                  <c:v>A4</c:v>
                </c:pt>
                <c:pt idx="2">
                  <c:v>A5</c:v>
                </c:pt>
                <c:pt idx="3">
                  <c:v>B1</c:v>
                </c:pt>
                <c:pt idx="4">
                  <c:v>B4</c:v>
                </c:pt>
                <c:pt idx="5">
                  <c:v>C1</c:v>
                </c:pt>
                <c:pt idx="6">
                  <c:v>C2</c:v>
                </c:pt>
                <c:pt idx="7">
                  <c:v>C3</c:v>
                </c:pt>
                <c:pt idx="8">
                  <c:v>C4</c:v>
                </c:pt>
              </c:strCache>
            </c:strRef>
          </c:cat>
          <c:val>
            <c:numRef>
              <c:extLst>
                <c:ext xmlns:c15="http://schemas.microsoft.com/office/drawing/2012/chart" uri="{02D57815-91ED-43cb-92C2-25804820EDAC}">
                  <c15:fullRef>
                    <c15:sqref>Optimalisatie_Backlog!$C$98:$S$98</c15:sqref>
                  </c15:fullRef>
                </c:ext>
              </c:extLst>
              <c:f>Optimalisatie_Backlog!$C$98:$K$98</c:f>
            </c:numRef>
          </c:val>
          <c:extLst>
            <c:ext xmlns:c16="http://schemas.microsoft.com/office/drawing/2014/chart" uri="{C3380CC4-5D6E-409C-BE32-E72D297353CC}">
              <c16:uniqueId val="{00000075-755A-408A-82FF-0A2C9519D9DD}"/>
            </c:ext>
          </c:extLst>
        </c:ser>
        <c:ser>
          <c:idx val="95"/>
          <c:order val="77"/>
          <c:tx>
            <c:strRef>
              <c:f>Optimalisatie_Backlog!$B$99</c:f>
            </c:strRef>
          </c:tx>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n-US"/>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extLst>
                <c:ext xmlns:c15="http://schemas.microsoft.com/office/drawing/2012/chart" uri="{02D57815-91ED-43cb-92C2-25804820EDAC}">
                  <c15:fullRef>
                    <c15:sqref>Optimalisatie_Backlog!$G$3:$O$3</c15:sqref>
                  </c15:fullRef>
                </c:ext>
              </c:extLst>
              <c:f>Optimalisatie_Backlog!$G$3:$O$3</c:f>
              <c:strCache>
                <c:ptCount val="9"/>
                <c:pt idx="0">
                  <c:v>A1-A3</c:v>
                </c:pt>
                <c:pt idx="1">
                  <c:v>A4</c:v>
                </c:pt>
                <c:pt idx="2">
                  <c:v>A5</c:v>
                </c:pt>
                <c:pt idx="3">
                  <c:v>B1</c:v>
                </c:pt>
                <c:pt idx="4">
                  <c:v>B4</c:v>
                </c:pt>
                <c:pt idx="5">
                  <c:v>C1</c:v>
                </c:pt>
                <c:pt idx="6">
                  <c:v>C2</c:v>
                </c:pt>
                <c:pt idx="7">
                  <c:v>C3</c:v>
                </c:pt>
                <c:pt idx="8">
                  <c:v>C4</c:v>
                </c:pt>
              </c:strCache>
            </c:strRef>
          </c:cat>
          <c:val>
            <c:numRef>
              <c:extLst>
                <c:ext xmlns:c15="http://schemas.microsoft.com/office/drawing/2012/chart" uri="{02D57815-91ED-43cb-92C2-25804820EDAC}">
                  <c15:fullRef>
                    <c15:sqref>Optimalisatie_Backlog!$C$99:$S$99</c15:sqref>
                  </c15:fullRef>
                </c:ext>
              </c:extLst>
              <c:f>Optimalisatie_Backlog!$C$99:$K$99</c:f>
            </c:numRef>
          </c:val>
          <c:extLst>
            <c:ext xmlns:c16="http://schemas.microsoft.com/office/drawing/2014/chart" uri="{C3380CC4-5D6E-409C-BE32-E72D297353CC}">
              <c16:uniqueId val="{00000076-755A-408A-82FF-0A2C9519D9DD}"/>
            </c:ext>
          </c:extLst>
        </c:ser>
        <c:ser>
          <c:idx val="96"/>
          <c:order val="78"/>
          <c:tx>
            <c:strRef>
              <c:f>Optimalisatie_Backlog!$B$100</c:f>
            </c:strRef>
          </c:tx>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n-US"/>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extLst>
                <c:ext xmlns:c15="http://schemas.microsoft.com/office/drawing/2012/chart" uri="{02D57815-91ED-43cb-92C2-25804820EDAC}">
                  <c15:fullRef>
                    <c15:sqref>Optimalisatie_Backlog!$G$3:$O$3</c15:sqref>
                  </c15:fullRef>
                </c:ext>
              </c:extLst>
              <c:f>Optimalisatie_Backlog!$G$3:$O$3</c:f>
              <c:strCache>
                <c:ptCount val="9"/>
                <c:pt idx="0">
                  <c:v>A1-A3</c:v>
                </c:pt>
                <c:pt idx="1">
                  <c:v>A4</c:v>
                </c:pt>
                <c:pt idx="2">
                  <c:v>A5</c:v>
                </c:pt>
                <c:pt idx="3">
                  <c:v>B1</c:v>
                </c:pt>
                <c:pt idx="4">
                  <c:v>B4</c:v>
                </c:pt>
                <c:pt idx="5">
                  <c:v>C1</c:v>
                </c:pt>
                <c:pt idx="6">
                  <c:v>C2</c:v>
                </c:pt>
                <c:pt idx="7">
                  <c:v>C3</c:v>
                </c:pt>
                <c:pt idx="8">
                  <c:v>C4</c:v>
                </c:pt>
              </c:strCache>
            </c:strRef>
          </c:cat>
          <c:val>
            <c:numRef>
              <c:extLst>
                <c:ext xmlns:c15="http://schemas.microsoft.com/office/drawing/2012/chart" uri="{02D57815-91ED-43cb-92C2-25804820EDAC}">
                  <c15:fullRef>
                    <c15:sqref>Optimalisatie_Backlog!$C$100:$S$100</c15:sqref>
                  </c15:fullRef>
                </c:ext>
              </c:extLst>
              <c:f>Optimalisatie_Backlog!$C$100:$K$100</c:f>
            </c:numRef>
          </c:val>
          <c:extLst>
            <c:ext xmlns:c16="http://schemas.microsoft.com/office/drawing/2014/chart" uri="{C3380CC4-5D6E-409C-BE32-E72D297353CC}">
              <c16:uniqueId val="{00000077-755A-408A-82FF-0A2C9519D9DD}"/>
            </c:ext>
          </c:extLst>
        </c:ser>
        <c:ser>
          <c:idx val="97"/>
          <c:order val="79"/>
          <c:tx>
            <c:strRef>
              <c:f>Optimalisatie_Backlog!$B$101</c:f>
            </c:strRef>
          </c:tx>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n-US"/>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extLst>
                <c:ext xmlns:c15="http://schemas.microsoft.com/office/drawing/2012/chart" uri="{02D57815-91ED-43cb-92C2-25804820EDAC}">
                  <c15:fullRef>
                    <c15:sqref>Optimalisatie_Backlog!$G$3:$O$3</c15:sqref>
                  </c15:fullRef>
                </c:ext>
              </c:extLst>
              <c:f>Optimalisatie_Backlog!$G$3:$O$3</c:f>
              <c:strCache>
                <c:ptCount val="9"/>
                <c:pt idx="0">
                  <c:v>A1-A3</c:v>
                </c:pt>
                <c:pt idx="1">
                  <c:v>A4</c:v>
                </c:pt>
                <c:pt idx="2">
                  <c:v>A5</c:v>
                </c:pt>
                <c:pt idx="3">
                  <c:v>B1</c:v>
                </c:pt>
                <c:pt idx="4">
                  <c:v>B4</c:v>
                </c:pt>
                <c:pt idx="5">
                  <c:v>C1</c:v>
                </c:pt>
                <c:pt idx="6">
                  <c:v>C2</c:v>
                </c:pt>
                <c:pt idx="7">
                  <c:v>C3</c:v>
                </c:pt>
                <c:pt idx="8">
                  <c:v>C4</c:v>
                </c:pt>
              </c:strCache>
            </c:strRef>
          </c:cat>
          <c:val>
            <c:numRef>
              <c:extLst>
                <c:ext xmlns:c15="http://schemas.microsoft.com/office/drawing/2012/chart" uri="{02D57815-91ED-43cb-92C2-25804820EDAC}">
                  <c15:fullRef>
                    <c15:sqref>Optimalisatie_Backlog!$C$101:$S$101</c15:sqref>
                  </c15:fullRef>
                </c:ext>
              </c:extLst>
              <c:f>Optimalisatie_Backlog!$C$101:$K$101</c:f>
            </c:numRef>
          </c:val>
          <c:extLst>
            <c:ext xmlns:c16="http://schemas.microsoft.com/office/drawing/2014/chart" uri="{C3380CC4-5D6E-409C-BE32-E72D297353CC}">
              <c16:uniqueId val="{00000078-755A-408A-82FF-0A2C9519D9DD}"/>
            </c:ext>
          </c:extLst>
        </c:ser>
        <c:ser>
          <c:idx val="98"/>
          <c:order val="80"/>
          <c:tx>
            <c:strRef>
              <c:f>Optimalisatie_Backlog!$B$102</c:f>
            </c:strRef>
          </c:tx>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n-US"/>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extLst>
                <c:ext xmlns:c15="http://schemas.microsoft.com/office/drawing/2012/chart" uri="{02D57815-91ED-43cb-92C2-25804820EDAC}">
                  <c15:fullRef>
                    <c15:sqref>Optimalisatie_Backlog!$G$3:$O$3</c15:sqref>
                  </c15:fullRef>
                </c:ext>
              </c:extLst>
              <c:f>Optimalisatie_Backlog!$G$3:$O$3</c:f>
              <c:strCache>
                <c:ptCount val="9"/>
                <c:pt idx="0">
                  <c:v>A1-A3</c:v>
                </c:pt>
                <c:pt idx="1">
                  <c:v>A4</c:v>
                </c:pt>
                <c:pt idx="2">
                  <c:v>A5</c:v>
                </c:pt>
                <c:pt idx="3">
                  <c:v>B1</c:v>
                </c:pt>
                <c:pt idx="4">
                  <c:v>B4</c:v>
                </c:pt>
                <c:pt idx="5">
                  <c:v>C1</c:v>
                </c:pt>
                <c:pt idx="6">
                  <c:v>C2</c:v>
                </c:pt>
                <c:pt idx="7">
                  <c:v>C3</c:v>
                </c:pt>
                <c:pt idx="8">
                  <c:v>C4</c:v>
                </c:pt>
              </c:strCache>
            </c:strRef>
          </c:cat>
          <c:val>
            <c:numRef>
              <c:extLst>
                <c:ext xmlns:c15="http://schemas.microsoft.com/office/drawing/2012/chart" uri="{02D57815-91ED-43cb-92C2-25804820EDAC}">
                  <c15:fullRef>
                    <c15:sqref>Optimalisatie_Backlog!$C$102:$S$102</c15:sqref>
                  </c15:fullRef>
                </c:ext>
              </c:extLst>
              <c:f>Optimalisatie_Backlog!$C$102:$K$102</c:f>
            </c:numRef>
          </c:val>
          <c:extLst>
            <c:ext xmlns:c16="http://schemas.microsoft.com/office/drawing/2014/chart" uri="{C3380CC4-5D6E-409C-BE32-E72D297353CC}">
              <c16:uniqueId val="{00000079-755A-408A-82FF-0A2C9519D9DD}"/>
            </c:ext>
          </c:extLst>
        </c:ser>
        <c:ser>
          <c:idx val="99"/>
          <c:order val="81"/>
          <c:tx>
            <c:strRef>
              <c:f>Optimalisatie_Backlog!$B$103</c:f>
            </c:strRef>
          </c:tx>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n-US"/>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extLst>
                <c:ext xmlns:c15="http://schemas.microsoft.com/office/drawing/2012/chart" uri="{02D57815-91ED-43cb-92C2-25804820EDAC}">
                  <c15:fullRef>
                    <c15:sqref>Optimalisatie_Backlog!$G$3:$O$3</c15:sqref>
                  </c15:fullRef>
                </c:ext>
              </c:extLst>
              <c:f>Optimalisatie_Backlog!$G$3:$O$3</c:f>
              <c:strCache>
                <c:ptCount val="9"/>
                <c:pt idx="0">
                  <c:v>A1-A3</c:v>
                </c:pt>
                <c:pt idx="1">
                  <c:v>A4</c:v>
                </c:pt>
                <c:pt idx="2">
                  <c:v>A5</c:v>
                </c:pt>
                <c:pt idx="3">
                  <c:v>B1</c:v>
                </c:pt>
                <c:pt idx="4">
                  <c:v>B4</c:v>
                </c:pt>
                <c:pt idx="5">
                  <c:v>C1</c:v>
                </c:pt>
                <c:pt idx="6">
                  <c:v>C2</c:v>
                </c:pt>
                <c:pt idx="7">
                  <c:v>C3</c:v>
                </c:pt>
                <c:pt idx="8">
                  <c:v>C4</c:v>
                </c:pt>
              </c:strCache>
            </c:strRef>
          </c:cat>
          <c:val>
            <c:numRef>
              <c:extLst>
                <c:ext xmlns:c15="http://schemas.microsoft.com/office/drawing/2012/chart" uri="{02D57815-91ED-43cb-92C2-25804820EDAC}">
                  <c15:fullRef>
                    <c15:sqref>Optimalisatie_Backlog!$C$103:$S$103</c15:sqref>
                  </c15:fullRef>
                </c:ext>
              </c:extLst>
              <c:f>Optimalisatie_Backlog!$C$103:$K$103</c:f>
            </c:numRef>
          </c:val>
          <c:extLst>
            <c:ext xmlns:c16="http://schemas.microsoft.com/office/drawing/2014/chart" uri="{C3380CC4-5D6E-409C-BE32-E72D297353CC}">
              <c16:uniqueId val="{0000007A-755A-408A-82FF-0A2C9519D9DD}"/>
            </c:ext>
          </c:extLst>
        </c:ser>
        <c:dLbls>
          <c:dLblPos val="inEnd"/>
          <c:showLegendKey val="0"/>
          <c:showVal val="0"/>
          <c:showCatName val="0"/>
          <c:showSerName val="0"/>
          <c:showPercent val="1"/>
          <c:showBubbleSize val="0"/>
          <c:showLeaderLines val="1"/>
        </c:dLbls>
        <c:firstSliceAng val="0"/>
        <c:extLst/>
      </c:pieChart>
      <c:spPr>
        <a:noFill/>
        <a:ln>
          <a:noFill/>
        </a:ln>
        <a:effectLst/>
      </c:spPr>
    </c:plotArea>
    <c:legend>
      <c:legendPos val="r"/>
      <c:legendEntry>
        <c:idx val="0"/>
        <c:txPr>
          <a:bodyPr rot="0" spcFirstLastPara="1" vertOverflow="ellipsis" vert="horz" wrap="square" anchor="ctr" anchorCtr="1"/>
          <a:lstStyle/>
          <a:p>
            <a:pPr>
              <a:defRPr sz="1400" b="0" i="0" u="none" strike="noStrike" kern="1200" baseline="0">
                <a:solidFill>
                  <a:srgbClr val="002060"/>
                </a:solidFill>
                <a:latin typeface="+mn-lt"/>
                <a:ea typeface="+mn-ea"/>
                <a:cs typeface="+mn-cs"/>
              </a:defRPr>
            </a:pPr>
            <a:endParaRPr lang="en-US"/>
          </a:p>
        </c:txPr>
      </c:legendEntry>
      <c:layout>
        <c:manualLayout>
          <c:xMode val="edge"/>
          <c:yMode val="edge"/>
          <c:x val="0.78577228763947327"/>
          <c:y val="0.11318445076298465"/>
          <c:w val="0.16952836712571986"/>
          <c:h val="0.84812732876692198"/>
        </c:manualLayout>
      </c:layout>
      <c:overlay val="0"/>
      <c:spPr>
        <a:noFill/>
        <a:ln>
          <a:noFill/>
        </a:ln>
        <a:effectLst/>
      </c:spPr>
      <c:txPr>
        <a:bodyPr rot="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chemeClr val="tx2"/>
                </a:solidFill>
                <a:latin typeface="+mn-lt"/>
                <a:ea typeface="+mn-ea"/>
                <a:cs typeface="+mn-cs"/>
              </a:defRPr>
            </a:pPr>
            <a:r>
              <a:rPr lang="nl-NL"/>
              <a:t>MKI PER ONDERDEEL</a:t>
            </a:r>
          </a:p>
        </c:rich>
      </c:tx>
      <c:overlay val="0"/>
      <c:spPr>
        <a:noFill/>
        <a:ln>
          <a:noFill/>
        </a:ln>
        <a:effectLst/>
      </c:spPr>
      <c:txPr>
        <a:bodyPr rot="0" spcFirstLastPara="1" vertOverflow="ellipsis" vert="horz" wrap="square" anchor="ctr" anchorCtr="1"/>
        <a:lstStyle/>
        <a:p>
          <a:pPr>
            <a:defRPr sz="1600" b="1" i="0" u="none" strike="noStrike" kern="1200" baseline="0">
              <a:solidFill>
                <a:schemeClr val="tx2"/>
              </a:solidFill>
              <a:latin typeface="+mn-lt"/>
              <a:ea typeface="+mn-ea"/>
              <a:cs typeface="+mn-cs"/>
            </a:defRPr>
          </a:pPr>
          <a:endParaRPr lang="en-US"/>
        </a:p>
      </c:txPr>
    </c:title>
    <c:autoTitleDeleted val="0"/>
    <c:plotArea>
      <c:layout/>
      <c:barChart>
        <c:barDir val="bar"/>
        <c:grouping val="stacked"/>
        <c:varyColors val="0"/>
        <c:ser>
          <c:idx val="3"/>
          <c:order val="4"/>
          <c:tx>
            <c:strRef>
              <c:f>Optimalisatie_Backlog!$G$3</c:f>
              <c:strCache>
                <c:ptCount val="1"/>
                <c:pt idx="0">
                  <c:v>A1-A3</c:v>
                </c:pt>
              </c:strCache>
            </c:strRef>
          </c:tx>
          <c:spPr>
            <a:solidFill>
              <a:srgbClr val="002060"/>
            </a:solidFill>
            <a:ln>
              <a:noFill/>
            </a:ln>
            <a:effectLst/>
          </c:spPr>
          <c:invertIfNegative val="0"/>
          <c:cat>
            <c:strRef>
              <c:f>Optimalisatie_Backlog!$B$4:$B$103</c:f>
              <c:strCache>
                <c:ptCount val="34"/>
                <c:pt idx="0">
                  <c:v>121110 - Opbreken trottoirband </c:v>
                </c:pt>
                <c:pt idx="1">
                  <c:v>121120 - Opbreken RWS band</c:v>
                </c:pt>
                <c:pt idx="2">
                  <c:v>121140 - Opbreken Opsluitband</c:v>
                </c:pt>
                <c:pt idx="3">
                  <c:v>121310 - Opbreken betonstraatstenen</c:v>
                </c:pt>
                <c:pt idx="4">
                  <c:v>121320 - Opbreken straatbakstenen en geschikt maken voor hergebruik</c:v>
                </c:pt>
                <c:pt idx="5">
                  <c:v>121330 - Opbreken en afvoeren straatbakstenen</c:v>
                </c:pt>
                <c:pt idx="6">
                  <c:v>121340 - Opbreken betontegels 300x300x45mm</c:v>
                </c:pt>
                <c:pt idx="7">
                  <c:v>121410 - Opbreken en afvoeren asfaltverharding zwart teervrij</c:v>
                </c:pt>
                <c:pt idx="8">
                  <c:v>121420 - Opbreken en afvoeren asfaltverharding rood teervrij</c:v>
                </c:pt>
                <c:pt idx="9">
                  <c:v>121510 - Opbreken fundering van menggranulaat, 400-200 mm dik</c:v>
                </c:pt>
                <c:pt idx="10">
                  <c:v>121520 - Opbreken fundering van slakken 200-400 mm dik</c:v>
                </c:pt>
                <c:pt idx="11">
                  <c:v>121310 - Verwijderen en afvoeren kolken, incl aansluitingen</c:v>
                </c:pt>
                <c:pt idx="12">
                  <c:v>210010 - Grond ontgraven uit cunet wegen en parkeervakken 0,25 m</c:v>
                </c:pt>
                <c:pt idx="13">
                  <c:v>210020 - Grond ontgraven uit sleuf riolering (gerekend met 11,5m3/m1 riool)</c:v>
                </c:pt>
                <c:pt idx="14">
                  <c:v>210030 - Grond ontgraven uit plantvak</c:v>
                </c:pt>
                <c:pt idx="15">
                  <c:v>220010 - Grond verwerken in sleuf riolering</c:v>
                </c:pt>
                <c:pt idx="16">
                  <c:v>220020 - Leveren en aanbrengen zand voor zand (gemiddeld 100 mm)</c:v>
                </c:pt>
                <c:pt idx="17">
                  <c:v>322020 - Leveren en aanbrengen rioolbuis van Beton Ø400mm</c:v>
                </c:pt>
                <c:pt idx="18">
                  <c:v>322070 - Leveren en aanbrengen rioolbuis van Beton IT Ø400mm</c:v>
                </c:pt>
                <c:pt idx="19">
                  <c:v>322100 - Leveren en aanbrengen rioolbuis van Beton IT Ø800mm</c:v>
                </c:pt>
                <c:pt idx="20">
                  <c:v>330010 - Leveren en aanbrengen kolken</c:v>
                </c:pt>
                <c:pt idx="21">
                  <c:v>420010 - Leveren en aanbrengen fundering menggranulaat, (250mm dik)</c:v>
                </c:pt>
                <c:pt idx="22">
                  <c:v>430010 - Leveren en aanbrengen trottoirbanden 180/200x250</c:v>
                </c:pt>
                <c:pt idx="23">
                  <c:v>430020 - Leveren en aanbrengen trottoirbanden 130/150x250</c:v>
                </c:pt>
                <c:pt idx="24">
                  <c:v>430040 - Leveren en aanbrengen opsluitbanden 100x200</c:v>
                </c:pt>
                <c:pt idx="25">
                  <c:v>430050 - Leveren en aanbrengen opsluitbanden 120x250</c:v>
                </c:pt>
                <c:pt idx="26">
                  <c:v>440010 - Aanbrengen straatbakstenen DF, Rood (rijweg)</c:v>
                </c:pt>
                <c:pt idx="27">
                  <c:v>440020 - Aanbrengen straatbakstenen DF, Geel (rijweg/ plein)</c:v>
                </c:pt>
                <c:pt idx="28">
                  <c:v>440030 - Aanbrengen straatbakstenen DF, Rood (parkeervakken)</c:v>
                </c:pt>
                <c:pt idx="29">
                  <c:v>440040 - Aanbrengen straatbakstenen DF, Geel (parkeervakken)</c:v>
                </c:pt>
                <c:pt idx="30">
                  <c:v>440050 - Leveren en aanbrengen open (grasbeton) verharding (parkeerplaats)</c:v>
                </c:pt>
                <c:pt idx="31">
                  <c:v>440060 - Aanbrengen straatbakstenen DF, Rood (trottoir)</c:v>
                </c:pt>
                <c:pt idx="32">
                  <c:v>440070 - Aanbrengen straatbakstenen DF, Geel (trottoir)</c:v>
                </c:pt>
                <c:pt idx="33">
                  <c:v>440090 - Aanbrengen straatbakstenen DF, Rood (drempelopgang)</c:v>
                </c:pt>
              </c:strCache>
            </c:strRef>
          </c:cat>
          <c:val>
            <c:numRef>
              <c:f>Optimalisatie_Backlog!$G$4:$G$103</c:f>
              <c:numCache>
                <c:formatCode>_([$€-2]\ * #,##0.00_);_([$€-2]\ * \(#,##0.00\);_([$€-2]\ * "-"??_);_(@_)</c:formatCode>
                <c:ptCount val="3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5493.9290000000001</c:v>
                </c:pt>
                <c:pt idx="17">
                  <c:v>648</c:v>
                </c:pt>
                <c:pt idx="18">
                  <c:v>513</c:v>
                </c:pt>
                <c:pt idx="19">
                  <c:v>5825.0324999999993</c:v>
                </c:pt>
                <c:pt idx="20">
                  <c:v>1567.52</c:v>
                </c:pt>
                <c:pt idx="21">
                  <c:v>0</c:v>
                </c:pt>
                <c:pt idx="22">
                  <c:v>50.371849999999995</c:v>
                </c:pt>
                <c:pt idx="23">
                  <c:v>185.47200000000001</c:v>
                </c:pt>
                <c:pt idx="24">
                  <c:v>638.26035000000002</c:v>
                </c:pt>
                <c:pt idx="25">
                  <c:v>1120.6912499999999</c:v>
                </c:pt>
                <c:pt idx="26">
                  <c:v>14671.189049999999</c:v>
                </c:pt>
                <c:pt idx="27">
                  <c:v>21719.91675</c:v>
                </c:pt>
                <c:pt idx="28">
                  <c:v>1463.60625</c:v>
                </c:pt>
                <c:pt idx="29">
                  <c:v>1662.6567</c:v>
                </c:pt>
                <c:pt idx="30">
                  <c:v>2080</c:v>
                </c:pt>
                <c:pt idx="31">
                  <c:v>10280.3703</c:v>
                </c:pt>
                <c:pt idx="32">
                  <c:v>2693.0355</c:v>
                </c:pt>
                <c:pt idx="33">
                  <c:v>526.89824999999996</c:v>
                </c:pt>
              </c:numCache>
            </c:numRef>
          </c:val>
          <c:extLst xmlns:c15="http://schemas.microsoft.com/office/drawing/2012/chart">
            <c:ext xmlns:c16="http://schemas.microsoft.com/office/drawing/2014/chart" uri="{C3380CC4-5D6E-409C-BE32-E72D297353CC}">
              <c16:uniqueId val="{00000005-2607-4046-AE90-5D1455B8184A}"/>
            </c:ext>
          </c:extLst>
        </c:ser>
        <c:ser>
          <c:idx val="6"/>
          <c:order val="5"/>
          <c:tx>
            <c:strRef>
              <c:f>Optimalisatie_Backlog!$H$3</c:f>
              <c:strCache>
                <c:ptCount val="1"/>
                <c:pt idx="0">
                  <c:v>A4</c:v>
                </c:pt>
              </c:strCache>
            </c:strRef>
          </c:tx>
          <c:spPr>
            <a:solidFill>
              <a:schemeClr val="accent2"/>
            </a:solidFill>
            <a:ln>
              <a:noFill/>
            </a:ln>
            <a:effectLst/>
          </c:spPr>
          <c:invertIfNegative val="0"/>
          <c:cat>
            <c:strRef>
              <c:f>Optimalisatie_Backlog!$B$4:$B$103</c:f>
              <c:strCache>
                <c:ptCount val="34"/>
                <c:pt idx="0">
                  <c:v>121110 - Opbreken trottoirband </c:v>
                </c:pt>
                <c:pt idx="1">
                  <c:v>121120 - Opbreken RWS band</c:v>
                </c:pt>
                <c:pt idx="2">
                  <c:v>121140 - Opbreken Opsluitband</c:v>
                </c:pt>
                <c:pt idx="3">
                  <c:v>121310 - Opbreken betonstraatstenen</c:v>
                </c:pt>
                <c:pt idx="4">
                  <c:v>121320 - Opbreken straatbakstenen en geschikt maken voor hergebruik</c:v>
                </c:pt>
                <c:pt idx="5">
                  <c:v>121330 - Opbreken en afvoeren straatbakstenen</c:v>
                </c:pt>
                <c:pt idx="6">
                  <c:v>121340 - Opbreken betontegels 300x300x45mm</c:v>
                </c:pt>
                <c:pt idx="7">
                  <c:v>121410 - Opbreken en afvoeren asfaltverharding zwart teervrij</c:v>
                </c:pt>
                <c:pt idx="8">
                  <c:v>121420 - Opbreken en afvoeren asfaltverharding rood teervrij</c:v>
                </c:pt>
                <c:pt idx="9">
                  <c:v>121510 - Opbreken fundering van menggranulaat, 400-200 mm dik</c:v>
                </c:pt>
                <c:pt idx="10">
                  <c:v>121520 - Opbreken fundering van slakken 200-400 mm dik</c:v>
                </c:pt>
                <c:pt idx="11">
                  <c:v>121310 - Verwijderen en afvoeren kolken, incl aansluitingen</c:v>
                </c:pt>
                <c:pt idx="12">
                  <c:v>210010 - Grond ontgraven uit cunet wegen en parkeervakken 0,25 m</c:v>
                </c:pt>
                <c:pt idx="13">
                  <c:v>210020 - Grond ontgraven uit sleuf riolering (gerekend met 11,5m3/m1 riool)</c:v>
                </c:pt>
                <c:pt idx="14">
                  <c:v>210030 - Grond ontgraven uit plantvak</c:v>
                </c:pt>
                <c:pt idx="15">
                  <c:v>220010 - Grond verwerken in sleuf riolering</c:v>
                </c:pt>
                <c:pt idx="16">
                  <c:v>220020 - Leveren en aanbrengen zand voor zand (gemiddeld 100 mm)</c:v>
                </c:pt>
                <c:pt idx="17">
                  <c:v>322020 - Leveren en aanbrengen rioolbuis van Beton Ø400mm</c:v>
                </c:pt>
                <c:pt idx="18">
                  <c:v>322070 - Leveren en aanbrengen rioolbuis van Beton IT Ø400mm</c:v>
                </c:pt>
                <c:pt idx="19">
                  <c:v>322100 - Leveren en aanbrengen rioolbuis van Beton IT Ø800mm</c:v>
                </c:pt>
                <c:pt idx="20">
                  <c:v>330010 - Leveren en aanbrengen kolken</c:v>
                </c:pt>
                <c:pt idx="21">
                  <c:v>420010 - Leveren en aanbrengen fundering menggranulaat, (250mm dik)</c:v>
                </c:pt>
                <c:pt idx="22">
                  <c:v>430010 - Leveren en aanbrengen trottoirbanden 180/200x250</c:v>
                </c:pt>
                <c:pt idx="23">
                  <c:v>430020 - Leveren en aanbrengen trottoirbanden 130/150x250</c:v>
                </c:pt>
                <c:pt idx="24">
                  <c:v>430040 - Leveren en aanbrengen opsluitbanden 100x200</c:v>
                </c:pt>
                <c:pt idx="25">
                  <c:v>430050 - Leveren en aanbrengen opsluitbanden 120x250</c:v>
                </c:pt>
                <c:pt idx="26">
                  <c:v>440010 - Aanbrengen straatbakstenen DF, Rood (rijweg)</c:v>
                </c:pt>
                <c:pt idx="27">
                  <c:v>440020 - Aanbrengen straatbakstenen DF, Geel (rijweg/ plein)</c:v>
                </c:pt>
                <c:pt idx="28">
                  <c:v>440030 - Aanbrengen straatbakstenen DF, Rood (parkeervakken)</c:v>
                </c:pt>
                <c:pt idx="29">
                  <c:v>440040 - Aanbrengen straatbakstenen DF, Geel (parkeervakken)</c:v>
                </c:pt>
                <c:pt idx="30">
                  <c:v>440050 - Leveren en aanbrengen open (grasbeton) verharding (parkeerplaats)</c:v>
                </c:pt>
                <c:pt idx="31">
                  <c:v>440060 - Aanbrengen straatbakstenen DF, Rood (trottoir)</c:v>
                </c:pt>
                <c:pt idx="32">
                  <c:v>440070 - Aanbrengen straatbakstenen DF, Geel (trottoir)</c:v>
                </c:pt>
                <c:pt idx="33">
                  <c:v>440090 - Aanbrengen straatbakstenen DF, Rood (drempelopgang)</c:v>
                </c:pt>
              </c:strCache>
            </c:strRef>
          </c:cat>
          <c:val>
            <c:numRef>
              <c:f>Optimalisatie_Backlog!$H$4:$H$103</c:f>
              <c:numCache>
                <c:formatCode>_([$€-2]\ * #,##0.00_);_([$€-2]\ * \(#,##0.00\);_([$€-2]\ * "-"??_);_(@_)</c:formatCode>
                <c:ptCount val="3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1320.4052674312502</c:v>
                </c:pt>
                <c:pt idx="16">
                  <c:v>631.98884595000004</c:v>
                </c:pt>
                <c:pt idx="17">
                  <c:v>33.843647587199996</c:v>
                </c:pt>
                <c:pt idx="18">
                  <c:v>26.792887673199999</c:v>
                </c:pt>
                <c:pt idx="19">
                  <c:v>258.3501614342</c:v>
                </c:pt>
                <c:pt idx="20">
                  <c:v>17.615584175186804</c:v>
                </c:pt>
                <c:pt idx="21">
                  <c:v>2045.5802238300003</c:v>
                </c:pt>
                <c:pt idx="22">
                  <c:v>3.6454040971823756</c:v>
                </c:pt>
                <c:pt idx="23">
                  <c:v>5.9184207695431503</c:v>
                </c:pt>
                <c:pt idx="24">
                  <c:v>20.763617349850378</c:v>
                </c:pt>
                <c:pt idx="25">
                  <c:v>36.457856550740637</c:v>
                </c:pt>
                <c:pt idx="26">
                  <c:v>312.44324755490004</c:v>
                </c:pt>
                <c:pt idx="27">
                  <c:v>462.55564582150004</c:v>
                </c:pt>
                <c:pt idx="28">
                  <c:v>31.169517912500002</c:v>
                </c:pt>
                <c:pt idx="29">
                  <c:v>35.408572348600003</c:v>
                </c:pt>
                <c:pt idx="30">
                  <c:v>83.633405576242509</c:v>
                </c:pt>
                <c:pt idx="31">
                  <c:v>218.93469381740002</c:v>
                </c:pt>
                <c:pt idx="32">
                  <c:v>57.351912959000003</c:v>
                </c:pt>
                <c:pt idx="33">
                  <c:v>11.221026448500002</c:v>
                </c:pt>
              </c:numCache>
            </c:numRef>
          </c:val>
          <c:extLst xmlns:c15="http://schemas.microsoft.com/office/drawing/2012/chart">
            <c:ext xmlns:c16="http://schemas.microsoft.com/office/drawing/2014/chart" uri="{C3380CC4-5D6E-409C-BE32-E72D297353CC}">
              <c16:uniqueId val="{00000006-2607-4046-AE90-5D1455B8184A}"/>
            </c:ext>
          </c:extLst>
        </c:ser>
        <c:ser>
          <c:idx val="13"/>
          <c:order val="6"/>
          <c:tx>
            <c:strRef>
              <c:f>Optimalisatie_Backlog!$I$3</c:f>
              <c:strCache>
                <c:ptCount val="1"/>
                <c:pt idx="0">
                  <c:v>A5</c:v>
                </c:pt>
              </c:strCache>
            </c:strRef>
          </c:tx>
          <c:spPr>
            <a:solidFill>
              <a:schemeClr val="accent6"/>
            </a:solidFill>
            <a:ln>
              <a:noFill/>
            </a:ln>
            <a:effectLst/>
          </c:spPr>
          <c:invertIfNegative val="0"/>
          <c:cat>
            <c:strRef>
              <c:f>Optimalisatie_Backlog!$B$4:$B$103</c:f>
              <c:strCache>
                <c:ptCount val="34"/>
                <c:pt idx="0">
                  <c:v>121110 - Opbreken trottoirband </c:v>
                </c:pt>
                <c:pt idx="1">
                  <c:v>121120 - Opbreken RWS band</c:v>
                </c:pt>
                <c:pt idx="2">
                  <c:v>121140 - Opbreken Opsluitband</c:v>
                </c:pt>
                <c:pt idx="3">
                  <c:v>121310 - Opbreken betonstraatstenen</c:v>
                </c:pt>
                <c:pt idx="4">
                  <c:v>121320 - Opbreken straatbakstenen en geschikt maken voor hergebruik</c:v>
                </c:pt>
                <c:pt idx="5">
                  <c:v>121330 - Opbreken en afvoeren straatbakstenen</c:v>
                </c:pt>
                <c:pt idx="6">
                  <c:v>121340 - Opbreken betontegels 300x300x45mm</c:v>
                </c:pt>
                <c:pt idx="7">
                  <c:v>121410 - Opbreken en afvoeren asfaltverharding zwart teervrij</c:v>
                </c:pt>
                <c:pt idx="8">
                  <c:v>121420 - Opbreken en afvoeren asfaltverharding rood teervrij</c:v>
                </c:pt>
                <c:pt idx="9">
                  <c:v>121510 - Opbreken fundering van menggranulaat, 400-200 mm dik</c:v>
                </c:pt>
                <c:pt idx="10">
                  <c:v>121520 - Opbreken fundering van slakken 200-400 mm dik</c:v>
                </c:pt>
                <c:pt idx="11">
                  <c:v>121310 - Verwijderen en afvoeren kolken, incl aansluitingen</c:v>
                </c:pt>
                <c:pt idx="12">
                  <c:v>210010 - Grond ontgraven uit cunet wegen en parkeervakken 0,25 m</c:v>
                </c:pt>
                <c:pt idx="13">
                  <c:v>210020 - Grond ontgraven uit sleuf riolering (gerekend met 11,5m3/m1 riool)</c:v>
                </c:pt>
                <c:pt idx="14">
                  <c:v>210030 - Grond ontgraven uit plantvak</c:v>
                </c:pt>
                <c:pt idx="15">
                  <c:v>220010 - Grond verwerken in sleuf riolering</c:v>
                </c:pt>
                <c:pt idx="16">
                  <c:v>220020 - Leveren en aanbrengen zand voor zand (gemiddeld 100 mm)</c:v>
                </c:pt>
                <c:pt idx="17">
                  <c:v>322020 - Leveren en aanbrengen rioolbuis van Beton Ø400mm</c:v>
                </c:pt>
                <c:pt idx="18">
                  <c:v>322070 - Leveren en aanbrengen rioolbuis van Beton IT Ø400mm</c:v>
                </c:pt>
                <c:pt idx="19">
                  <c:v>322100 - Leveren en aanbrengen rioolbuis van Beton IT Ø800mm</c:v>
                </c:pt>
                <c:pt idx="20">
                  <c:v>330010 - Leveren en aanbrengen kolken</c:v>
                </c:pt>
                <c:pt idx="21">
                  <c:v>420010 - Leveren en aanbrengen fundering menggranulaat, (250mm dik)</c:v>
                </c:pt>
                <c:pt idx="22">
                  <c:v>430010 - Leveren en aanbrengen trottoirbanden 180/200x250</c:v>
                </c:pt>
                <c:pt idx="23">
                  <c:v>430020 - Leveren en aanbrengen trottoirbanden 130/150x250</c:v>
                </c:pt>
                <c:pt idx="24">
                  <c:v>430040 - Leveren en aanbrengen opsluitbanden 100x200</c:v>
                </c:pt>
                <c:pt idx="25">
                  <c:v>430050 - Leveren en aanbrengen opsluitbanden 120x250</c:v>
                </c:pt>
                <c:pt idx="26">
                  <c:v>440010 - Aanbrengen straatbakstenen DF, Rood (rijweg)</c:v>
                </c:pt>
                <c:pt idx="27">
                  <c:v>440020 - Aanbrengen straatbakstenen DF, Geel (rijweg/ plein)</c:v>
                </c:pt>
                <c:pt idx="28">
                  <c:v>440030 - Aanbrengen straatbakstenen DF, Rood (parkeervakken)</c:v>
                </c:pt>
                <c:pt idx="29">
                  <c:v>440040 - Aanbrengen straatbakstenen DF, Geel (parkeervakken)</c:v>
                </c:pt>
                <c:pt idx="30">
                  <c:v>440050 - Leveren en aanbrengen open (grasbeton) verharding (parkeerplaats)</c:v>
                </c:pt>
                <c:pt idx="31">
                  <c:v>440060 - Aanbrengen straatbakstenen DF, Rood (trottoir)</c:v>
                </c:pt>
                <c:pt idx="32">
                  <c:v>440070 - Aanbrengen straatbakstenen DF, Geel (trottoir)</c:v>
                </c:pt>
                <c:pt idx="33">
                  <c:v>440090 - Aanbrengen straatbakstenen DF, Rood (drempelopgang)</c:v>
                </c:pt>
              </c:strCache>
            </c:strRef>
          </c:cat>
          <c:val>
            <c:numRef>
              <c:f>Optimalisatie_Backlog!$I$4:$I$103</c:f>
              <c:numCache>
                <c:formatCode>_([$€-2]\ * #,##0.00_);_([$€-2]\ * \(#,##0.00\);_([$€-2]\ * "-"??_);_(@_)</c:formatCode>
                <c:ptCount val="3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3379.4929350000002</c:v>
                </c:pt>
                <c:pt idx="16">
                  <c:v>521.71925120000003</c:v>
                </c:pt>
                <c:pt idx="17">
                  <c:v>179.36852724233987</c:v>
                </c:pt>
                <c:pt idx="18">
                  <c:v>142.00008406685239</c:v>
                </c:pt>
                <c:pt idx="19">
                  <c:v>1062.865290891365</c:v>
                </c:pt>
                <c:pt idx="20">
                  <c:v>590.25282272980508</c:v>
                </c:pt>
                <c:pt idx="21">
                  <c:v>3490.3546080000001</c:v>
                </c:pt>
                <c:pt idx="22">
                  <c:v>25.673244324512535</c:v>
                </c:pt>
                <c:pt idx="23">
                  <c:v>69.468778760445673</c:v>
                </c:pt>
                <c:pt idx="24">
                  <c:v>401.37516617146395</c:v>
                </c:pt>
                <c:pt idx="25">
                  <c:v>422.85343593314758</c:v>
                </c:pt>
                <c:pt idx="26">
                  <c:v>3732.6374300670004</c:v>
                </c:pt>
                <c:pt idx="27">
                  <c:v>5525.9716143449996</c:v>
                </c:pt>
                <c:pt idx="28">
                  <c:v>372.37005487499994</c:v>
                </c:pt>
                <c:pt idx="29">
                  <c:v>423.01238233799995</c:v>
                </c:pt>
                <c:pt idx="30">
                  <c:v>595.79208779999999</c:v>
                </c:pt>
                <c:pt idx="31">
                  <c:v>2615.5272654419996</c:v>
                </c:pt>
                <c:pt idx="32">
                  <c:v>685.16090096999994</c:v>
                </c:pt>
                <c:pt idx="33">
                  <c:v>134.05321975499999</c:v>
                </c:pt>
              </c:numCache>
            </c:numRef>
          </c:val>
          <c:extLst xmlns:c15="http://schemas.microsoft.com/office/drawing/2012/chart">
            <c:ext xmlns:c16="http://schemas.microsoft.com/office/drawing/2014/chart" uri="{C3380CC4-5D6E-409C-BE32-E72D297353CC}">
              <c16:uniqueId val="{00000007-2607-4046-AE90-5D1455B8184A}"/>
            </c:ext>
          </c:extLst>
        </c:ser>
        <c:ser>
          <c:idx val="7"/>
          <c:order val="7"/>
          <c:tx>
            <c:strRef>
              <c:f>Optimalisatie_Backlog!$J$3</c:f>
              <c:strCache>
                <c:ptCount val="1"/>
                <c:pt idx="0">
                  <c:v>B1</c:v>
                </c:pt>
              </c:strCache>
            </c:strRef>
          </c:tx>
          <c:spPr>
            <a:solidFill>
              <a:schemeClr val="bg2">
                <a:lumMod val="50000"/>
              </a:schemeClr>
            </a:solidFill>
            <a:ln>
              <a:noFill/>
            </a:ln>
            <a:effectLst/>
          </c:spPr>
          <c:invertIfNegative val="0"/>
          <c:cat>
            <c:strRef>
              <c:f>Optimalisatie_Backlog!$B$4:$B$103</c:f>
              <c:strCache>
                <c:ptCount val="34"/>
                <c:pt idx="0">
                  <c:v>121110 - Opbreken trottoirband </c:v>
                </c:pt>
                <c:pt idx="1">
                  <c:v>121120 - Opbreken RWS band</c:v>
                </c:pt>
                <c:pt idx="2">
                  <c:v>121140 - Opbreken Opsluitband</c:v>
                </c:pt>
                <c:pt idx="3">
                  <c:v>121310 - Opbreken betonstraatstenen</c:v>
                </c:pt>
                <c:pt idx="4">
                  <c:v>121320 - Opbreken straatbakstenen en geschikt maken voor hergebruik</c:v>
                </c:pt>
                <c:pt idx="5">
                  <c:v>121330 - Opbreken en afvoeren straatbakstenen</c:v>
                </c:pt>
                <c:pt idx="6">
                  <c:v>121340 - Opbreken betontegels 300x300x45mm</c:v>
                </c:pt>
                <c:pt idx="7">
                  <c:v>121410 - Opbreken en afvoeren asfaltverharding zwart teervrij</c:v>
                </c:pt>
                <c:pt idx="8">
                  <c:v>121420 - Opbreken en afvoeren asfaltverharding rood teervrij</c:v>
                </c:pt>
                <c:pt idx="9">
                  <c:v>121510 - Opbreken fundering van menggranulaat, 400-200 mm dik</c:v>
                </c:pt>
                <c:pt idx="10">
                  <c:v>121520 - Opbreken fundering van slakken 200-400 mm dik</c:v>
                </c:pt>
                <c:pt idx="11">
                  <c:v>121310 - Verwijderen en afvoeren kolken, incl aansluitingen</c:v>
                </c:pt>
                <c:pt idx="12">
                  <c:v>210010 - Grond ontgraven uit cunet wegen en parkeervakken 0,25 m</c:v>
                </c:pt>
                <c:pt idx="13">
                  <c:v>210020 - Grond ontgraven uit sleuf riolering (gerekend met 11,5m3/m1 riool)</c:v>
                </c:pt>
                <c:pt idx="14">
                  <c:v>210030 - Grond ontgraven uit plantvak</c:v>
                </c:pt>
                <c:pt idx="15">
                  <c:v>220010 - Grond verwerken in sleuf riolering</c:v>
                </c:pt>
                <c:pt idx="16">
                  <c:v>220020 - Leveren en aanbrengen zand voor zand (gemiddeld 100 mm)</c:v>
                </c:pt>
                <c:pt idx="17">
                  <c:v>322020 - Leveren en aanbrengen rioolbuis van Beton Ø400mm</c:v>
                </c:pt>
                <c:pt idx="18">
                  <c:v>322070 - Leveren en aanbrengen rioolbuis van Beton IT Ø400mm</c:v>
                </c:pt>
                <c:pt idx="19">
                  <c:v>322100 - Leveren en aanbrengen rioolbuis van Beton IT Ø800mm</c:v>
                </c:pt>
                <c:pt idx="20">
                  <c:v>330010 - Leveren en aanbrengen kolken</c:v>
                </c:pt>
                <c:pt idx="21">
                  <c:v>420010 - Leveren en aanbrengen fundering menggranulaat, (250mm dik)</c:v>
                </c:pt>
                <c:pt idx="22">
                  <c:v>430010 - Leveren en aanbrengen trottoirbanden 180/200x250</c:v>
                </c:pt>
                <c:pt idx="23">
                  <c:v>430020 - Leveren en aanbrengen trottoirbanden 130/150x250</c:v>
                </c:pt>
                <c:pt idx="24">
                  <c:v>430040 - Leveren en aanbrengen opsluitbanden 100x200</c:v>
                </c:pt>
                <c:pt idx="25">
                  <c:v>430050 - Leveren en aanbrengen opsluitbanden 120x250</c:v>
                </c:pt>
                <c:pt idx="26">
                  <c:v>440010 - Aanbrengen straatbakstenen DF, Rood (rijweg)</c:v>
                </c:pt>
                <c:pt idx="27">
                  <c:v>440020 - Aanbrengen straatbakstenen DF, Geel (rijweg/ plein)</c:v>
                </c:pt>
                <c:pt idx="28">
                  <c:v>440030 - Aanbrengen straatbakstenen DF, Rood (parkeervakken)</c:v>
                </c:pt>
                <c:pt idx="29">
                  <c:v>440040 - Aanbrengen straatbakstenen DF, Geel (parkeervakken)</c:v>
                </c:pt>
                <c:pt idx="30">
                  <c:v>440050 - Leveren en aanbrengen open (grasbeton) verharding (parkeerplaats)</c:v>
                </c:pt>
                <c:pt idx="31">
                  <c:v>440060 - Aanbrengen straatbakstenen DF, Rood (trottoir)</c:v>
                </c:pt>
                <c:pt idx="32">
                  <c:v>440070 - Aanbrengen straatbakstenen DF, Geel (trottoir)</c:v>
                </c:pt>
                <c:pt idx="33">
                  <c:v>440090 - Aanbrengen straatbakstenen DF, Rood (drempelopgang)</c:v>
                </c:pt>
              </c:strCache>
            </c:strRef>
          </c:cat>
          <c:val>
            <c:numRef>
              <c:f>Optimalisatie_Backlog!$J$4:$J$103</c:f>
              <c:numCache>
                <c:formatCode>_([$€-2]\ * #,##0.00_);_([$€-2]\ * \(#,##0.00\);_([$€-2]\ * "-"??_);_(@_)</c:formatCode>
                <c:ptCount val="34"/>
              </c:numCache>
            </c:numRef>
          </c:val>
          <c:extLst xmlns:c15="http://schemas.microsoft.com/office/drawing/2012/chart">
            <c:ext xmlns:c16="http://schemas.microsoft.com/office/drawing/2014/chart" uri="{C3380CC4-5D6E-409C-BE32-E72D297353CC}">
              <c16:uniqueId val="{00000008-2607-4046-AE90-5D1455B8184A}"/>
            </c:ext>
          </c:extLst>
        </c:ser>
        <c:ser>
          <c:idx val="8"/>
          <c:order val="8"/>
          <c:tx>
            <c:strRef>
              <c:f>Optimalisatie_Backlog!$K$3</c:f>
              <c:strCache>
                <c:ptCount val="1"/>
                <c:pt idx="0">
                  <c:v>B4</c:v>
                </c:pt>
              </c:strCache>
            </c:strRef>
          </c:tx>
          <c:spPr>
            <a:solidFill>
              <a:schemeClr val="tx1">
                <a:lumMod val="75000"/>
                <a:lumOff val="25000"/>
              </a:schemeClr>
            </a:solidFill>
            <a:ln>
              <a:noFill/>
            </a:ln>
            <a:effectLst/>
          </c:spPr>
          <c:invertIfNegative val="0"/>
          <c:cat>
            <c:strRef>
              <c:f>Optimalisatie_Backlog!$B$4:$B$103</c:f>
              <c:strCache>
                <c:ptCount val="34"/>
                <c:pt idx="0">
                  <c:v>121110 - Opbreken trottoirband </c:v>
                </c:pt>
                <c:pt idx="1">
                  <c:v>121120 - Opbreken RWS band</c:v>
                </c:pt>
                <c:pt idx="2">
                  <c:v>121140 - Opbreken Opsluitband</c:v>
                </c:pt>
                <c:pt idx="3">
                  <c:v>121310 - Opbreken betonstraatstenen</c:v>
                </c:pt>
                <c:pt idx="4">
                  <c:v>121320 - Opbreken straatbakstenen en geschikt maken voor hergebruik</c:v>
                </c:pt>
                <c:pt idx="5">
                  <c:v>121330 - Opbreken en afvoeren straatbakstenen</c:v>
                </c:pt>
                <c:pt idx="6">
                  <c:v>121340 - Opbreken betontegels 300x300x45mm</c:v>
                </c:pt>
                <c:pt idx="7">
                  <c:v>121410 - Opbreken en afvoeren asfaltverharding zwart teervrij</c:v>
                </c:pt>
                <c:pt idx="8">
                  <c:v>121420 - Opbreken en afvoeren asfaltverharding rood teervrij</c:v>
                </c:pt>
                <c:pt idx="9">
                  <c:v>121510 - Opbreken fundering van menggranulaat, 400-200 mm dik</c:v>
                </c:pt>
                <c:pt idx="10">
                  <c:v>121520 - Opbreken fundering van slakken 200-400 mm dik</c:v>
                </c:pt>
                <c:pt idx="11">
                  <c:v>121310 - Verwijderen en afvoeren kolken, incl aansluitingen</c:v>
                </c:pt>
                <c:pt idx="12">
                  <c:v>210010 - Grond ontgraven uit cunet wegen en parkeervakken 0,25 m</c:v>
                </c:pt>
                <c:pt idx="13">
                  <c:v>210020 - Grond ontgraven uit sleuf riolering (gerekend met 11,5m3/m1 riool)</c:v>
                </c:pt>
                <c:pt idx="14">
                  <c:v>210030 - Grond ontgraven uit plantvak</c:v>
                </c:pt>
                <c:pt idx="15">
                  <c:v>220010 - Grond verwerken in sleuf riolering</c:v>
                </c:pt>
                <c:pt idx="16">
                  <c:v>220020 - Leveren en aanbrengen zand voor zand (gemiddeld 100 mm)</c:v>
                </c:pt>
                <c:pt idx="17">
                  <c:v>322020 - Leveren en aanbrengen rioolbuis van Beton Ø400mm</c:v>
                </c:pt>
                <c:pt idx="18">
                  <c:v>322070 - Leveren en aanbrengen rioolbuis van Beton IT Ø400mm</c:v>
                </c:pt>
                <c:pt idx="19">
                  <c:v>322100 - Leveren en aanbrengen rioolbuis van Beton IT Ø800mm</c:v>
                </c:pt>
                <c:pt idx="20">
                  <c:v>330010 - Leveren en aanbrengen kolken</c:v>
                </c:pt>
                <c:pt idx="21">
                  <c:v>420010 - Leveren en aanbrengen fundering menggranulaat, (250mm dik)</c:v>
                </c:pt>
                <c:pt idx="22">
                  <c:v>430010 - Leveren en aanbrengen trottoirbanden 180/200x250</c:v>
                </c:pt>
                <c:pt idx="23">
                  <c:v>430020 - Leveren en aanbrengen trottoirbanden 130/150x250</c:v>
                </c:pt>
                <c:pt idx="24">
                  <c:v>430040 - Leveren en aanbrengen opsluitbanden 100x200</c:v>
                </c:pt>
                <c:pt idx="25">
                  <c:v>430050 - Leveren en aanbrengen opsluitbanden 120x250</c:v>
                </c:pt>
                <c:pt idx="26">
                  <c:v>440010 - Aanbrengen straatbakstenen DF, Rood (rijweg)</c:v>
                </c:pt>
                <c:pt idx="27">
                  <c:v>440020 - Aanbrengen straatbakstenen DF, Geel (rijweg/ plein)</c:v>
                </c:pt>
                <c:pt idx="28">
                  <c:v>440030 - Aanbrengen straatbakstenen DF, Rood (parkeervakken)</c:v>
                </c:pt>
                <c:pt idx="29">
                  <c:v>440040 - Aanbrengen straatbakstenen DF, Geel (parkeervakken)</c:v>
                </c:pt>
                <c:pt idx="30">
                  <c:v>440050 - Leveren en aanbrengen open (grasbeton) verharding (parkeerplaats)</c:v>
                </c:pt>
                <c:pt idx="31">
                  <c:v>440060 - Aanbrengen straatbakstenen DF, Rood (trottoir)</c:v>
                </c:pt>
                <c:pt idx="32">
                  <c:v>440070 - Aanbrengen straatbakstenen DF, Geel (trottoir)</c:v>
                </c:pt>
                <c:pt idx="33">
                  <c:v>440090 - Aanbrengen straatbakstenen DF, Rood (drempelopgang)</c:v>
                </c:pt>
              </c:strCache>
            </c:strRef>
          </c:cat>
          <c:val>
            <c:numRef>
              <c:f>Optimalisatie_Backlog!$K$4:$K$103</c:f>
              <c:numCache>
                <c:formatCode>_([$€-2]\ * #,##0.00_);_([$€-2]\ * \(#,##0.00\);_([$€-2]\ * "-"??_);_(@_)</c:formatCode>
                <c:ptCount val="3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numCache>
            </c:numRef>
          </c:val>
          <c:extLst xmlns:c15="http://schemas.microsoft.com/office/drawing/2012/chart">
            <c:ext xmlns:c16="http://schemas.microsoft.com/office/drawing/2014/chart" uri="{C3380CC4-5D6E-409C-BE32-E72D297353CC}">
              <c16:uniqueId val="{0000000F-2607-4046-AE90-5D1455B8184A}"/>
            </c:ext>
          </c:extLst>
        </c:ser>
        <c:ser>
          <c:idx val="9"/>
          <c:order val="9"/>
          <c:tx>
            <c:strRef>
              <c:f>Optimalisatie_Backlog!$L$3</c:f>
              <c:strCache>
                <c:ptCount val="1"/>
                <c:pt idx="0">
                  <c:v>C1</c:v>
                </c:pt>
              </c:strCache>
            </c:strRef>
          </c:tx>
          <c:spPr>
            <a:solidFill>
              <a:schemeClr val="accent6">
                <a:lumMod val="50000"/>
              </a:schemeClr>
            </a:solidFill>
            <a:ln>
              <a:noFill/>
            </a:ln>
            <a:effectLst/>
          </c:spPr>
          <c:invertIfNegative val="0"/>
          <c:cat>
            <c:strRef>
              <c:f>Optimalisatie_Backlog!$B$4:$B$103</c:f>
              <c:strCache>
                <c:ptCount val="34"/>
                <c:pt idx="0">
                  <c:v>121110 - Opbreken trottoirband </c:v>
                </c:pt>
                <c:pt idx="1">
                  <c:v>121120 - Opbreken RWS band</c:v>
                </c:pt>
                <c:pt idx="2">
                  <c:v>121140 - Opbreken Opsluitband</c:v>
                </c:pt>
                <c:pt idx="3">
                  <c:v>121310 - Opbreken betonstraatstenen</c:v>
                </c:pt>
                <c:pt idx="4">
                  <c:v>121320 - Opbreken straatbakstenen en geschikt maken voor hergebruik</c:v>
                </c:pt>
                <c:pt idx="5">
                  <c:v>121330 - Opbreken en afvoeren straatbakstenen</c:v>
                </c:pt>
                <c:pt idx="6">
                  <c:v>121340 - Opbreken betontegels 300x300x45mm</c:v>
                </c:pt>
                <c:pt idx="7">
                  <c:v>121410 - Opbreken en afvoeren asfaltverharding zwart teervrij</c:v>
                </c:pt>
                <c:pt idx="8">
                  <c:v>121420 - Opbreken en afvoeren asfaltverharding rood teervrij</c:v>
                </c:pt>
                <c:pt idx="9">
                  <c:v>121510 - Opbreken fundering van menggranulaat, 400-200 mm dik</c:v>
                </c:pt>
                <c:pt idx="10">
                  <c:v>121520 - Opbreken fundering van slakken 200-400 mm dik</c:v>
                </c:pt>
                <c:pt idx="11">
                  <c:v>121310 - Verwijderen en afvoeren kolken, incl aansluitingen</c:v>
                </c:pt>
                <c:pt idx="12">
                  <c:v>210010 - Grond ontgraven uit cunet wegen en parkeervakken 0,25 m</c:v>
                </c:pt>
                <c:pt idx="13">
                  <c:v>210020 - Grond ontgraven uit sleuf riolering (gerekend met 11,5m3/m1 riool)</c:v>
                </c:pt>
                <c:pt idx="14">
                  <c:v>210030 - Grond ontgraven uit plantvak</c:v>
                </c:pt>
                <c:pt idx="15">
                  <c:v>220010 - Grond verwerken in sleuf riolering</c:v>
                </c:pt>
                <c:pt idx="16">
                  <c:v>220020 - Leveren en aanbrengen zand voor zand (gemiddeld 100 mm)</c:v>
                </c:pt>
                <c:pt idx="17">
                  <c:v>322020 - Leveren en aanbrengen rioolbuis van Beton Ø400mm</c:v>
                </c:pt>
                <c:pt idx="18">
                  <c:v>322070 - Leveren en aanbrengen rioolbuis van Beton IT Ø400mm</c:v>
                </c:pt>
                <c:pt idx="19">
                  <c:v>322100 - Leveren en aanbrengen rioolbuis van Beton IT Ø800mm</c:v>
                </c:pt>
                <c:pt idx="20">
                  <c:v>330010 - Leveren en aanbrengen kolken</c:v>
                </c:pt>
                <c:pt idx="21">
                  <c:v>420010 - Leveren en aanbrengen fundering menggranulaat, (250mm dik)</c:v>
                </c:pt>
                <c:pt idx="22">
                  <c:v>430010 - Leveren en aanbrengen trottoirbanden 180/200x250</c:v>
                </c:pt>
                <c:pt idx="23">
                  <c:v>430020 - Leveren en aanbrengen trottoirbanden 130/150x250</c:v>
                </c:pt>
                <c:pt idx="24">
                  <c:v>430040 - Leveren en aanbrengen opsluitbanden 100x200</c:v>
                </c:pt>
                <c:pt idx="25">
                  <c:v>430050 - Leveren en aanbrengen opsluitbanden 120x250</c:v>
                </c:pt>
                <c:pt idx="26">
                  <c:v>440010 - Aanbrengen straatbakstenen DF, Rood (rijweg)</c:v>
                </c:pt>
                <c:pt idx="27">
                  <c:v>440020 - Aanbrengen straatbakstenen DF, Geel (rijweg/ plein)</c:v>
                </c:pt>
                <c:pt idx="28">
                  <c:v>440030 - Aanbrengen straatbakstenen DF, Rood (parkeervakken)</c:v>
                </c:pt>
                <c:pt idx="29">
                  <c:v>440040 - Aanbrengen straatbakstenen DF, Geel (parkeervakken)</c:v>
                </c:pt>
                <c:pt idx="30">
                  <c:v>440050 - Leveren en aanbrengen open (grasbeton) verharding (parkeerplaats)</c:v>
                </c:pt>
                <c:pt idx="31">
                  <c:v>440060 - Aanbrengen straatbakstenen DF, Rood (trottoir)</c:v>
                </c:pt>
                <c:pt idx="32">
                  <c:v>440070 - Aanbrengen straatbakstenen DF, Geel (trottoir)</c:v>
                </c:pt>
                <c:pt idx="33">
                  <c:v>440090 - Aanbrengen straatbakstenen DF, Rood (drempelopgang)</c:v>
                </c:pt>
              </c:strCache>
            </c:strRef>
          </c:cat>
          <c:val>
            <c:numRef>
              <c:f>Optimalisatie_Backlog!$L$4:$L$103</c:f>
              <c:numCache>
                <c:formatCode>_([$€-2]\ * #,##0.00_);_([$€-2]\ * \(#,##0.00\);_([$€-2]\ * "-"??_);_(@_)</c:formatCode>
                <c:ptCount val="34"/>
                <c:pt idx="0">
                  <c:v>372.26836443454044</c:v>
                </c:pt>
                <c:pt idx="1">
                  <c:v>39.155385270194991</c:v>
                </c:pt>
                <c:pt idx="2">
                  <c:v>135.58282660724234</c:v>
                </c:pt>
                <c:pt idx="3">
                  <c:v>187.01079532033427</c:v>
                </c:pt>
                <c:pt idx="4">
                  <c:v>530.70555720000004</c:v>
                </c:pt>
                <c:pt idx="5">
                  <c:v>270.07334015999999</c:v>
                </c:pt>
                <c:pt idx="6">
                  <c:v>1170.5706969582175</c:v>
                </c:pt>
                <c:pt idx="7">
                  <c:v>355.46707396930805</c:v>
                </c:pt>
                <c:pt idx="8">
                  <c:v>243.74885072181121</c:v>
                </c:pt>
                <c:pt idx="9">
                  <c:v>274.17403000000002</c:v>
                </c:pt>
                <c:pt idx="10">
                  <c:v>125.166405</c:v>
                </c:pt>
                <c:pt idx="11">
                  <c:v>590.25282272980508</c:v>
                </c:pt>
                <c:pt idx="12">
                  <c:v>415.51456317333333</c:v>
                </c:pt>
                <c:pt idx="13">
                  <c:v>1564.3874987999998</c:v>
                </c:pt>
                <c:pt idx="14">
                  <c:v>387.70322986133328</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numCache>
            </c:numRef>
          </c:val>
          <c:extLst xmlns:c15="http://schemas.microsoft.com/office/drawing/2012/chart">
            <c:ext xmlns:c16="http://schemas.microsoft.com/office/drawing/2014/chart" uri="{C3380CC4-5D6E-409C-BE32-E72D297353CC}">
              <c16:uniqueId val="{00000010-2607-4046-AE90-5D1455B8184A}"/>
            </c:ext>
          </c:extLst>
        </c:ser>
        <c:ser>
          <c:idx val="10"/>
          <c:order val="10"/>
          <c:tx>
            <c:strRef>
              <c:f>Optimalisatie_Backlog!$M$3</c:f>
              <c:strCache>
                <c:ptCount val="1"/>
                <c:pt idx="0">
                  <c:v>C2</c:v>
                </c:pt>
              </c:strCache>
            </c:strRef>
          </c:tx>
          <c:spPr>
            <a:solidFill>
              <a:schemeClr val="accent2">
                <a:lumMod val="50000"/>
              </a:schemeClr>
            </a:solidFill>
            <a:ln>
              <a:noFill/>
            </a:ln>
            <a:effectLst/>
          </c:spPr>
          <c:invertIfNegative val="0"/>
          <c:cat>
            <c:strRef>
              <c:f>Optimalisatie_Backlog!$B$4:$B$103</c:f>
              <c:strCache>
                <c:ptCount val="34"/>
                <c:pt idx="0">
                  <c:v>121110 - Opbreken trottoirband </c:v>
                </c:pt>
                <c:pt idx="1">
                  <c:v>121120 - Opbreken RWS band</c:v>
                </c:pt>
                <c:pt idx="2">
                  <c:v>121140 - Opbreken Opsluitband</c:v>
                </c:pt>
                <c:pt idx="3">
                  <c:v>121310 - Opbreken betonstraatstenen</c:v>
                </c:pt>
                <c:pt idx="4">
                  <c:v>121320 - Opbreken straatbakstenen en geschikt maken voor hergebruik</c:v>
                </c:pt>
                <c:pt idx="5">
                  <c:v>121330 - Opbreken en afvoeren straatbakstenen</c:v>
                </c:pt>
                <c:pt idx="6">
                  <c:v>121340 - Opbreken betontegels 300x300x45mm</c:v>
                </c:pt>
                <c:pt idx="7">
                  <c:v>121410 - Opbreken en afvoeren asfaltverharding zwart teervrij</c:v>
                </c:pt>
                <c:pt idx="8">
                  <c:v>121420 - Opbreken en afvoeren asfaltverharding rood teervrij</c:v>
                </c:pt>
                <c:pt idx="9">
                  <c:v>121510 - Opbreken fundering van menggranulaat, 400-200 mm dik</c:v>
                </c:pt>
                <c:pt idx="10">
                  <c:v>121520 - Opbreken fundering van slakken 200-400 mm dik</c:v>
                </c:pt>
                <c:pt idx="11">
                  <c:v>121310 - Verwijderen en afvoeren kolken, incl aansluitingen</c:v>
                </c:pt>
                <c:pt idx="12">
                  <c:v>210010 - Grond ontgraven uit cunet wegen en parkeervakken 0,25 m</c:v>
                </c:pt>
                <c:pt idx="13">
                  <c:v>210020 - Grond ontgraven uit sleuf riolering (gerekend met 11,5m3/m1 riool)</c:v>
                </c:pt>
                <c:pt idx="14">
                  <c:v>210030 - Grond ontgraven uit plantvak</c:v>
                </c:pt>
                <c:pt idx="15">
                  <c:v>220010 - Grond verwerken in sleuf riolering</c:v>
                </c:pt>
                <c:pt idx="16">
                  <c:v>220020 - Leveren en aanbrengen zand voor zand (gemiddeld 100 mm)</c:v>
                </c:pt>
                <c:pt idx="17">
                  <c:v>322020 - Leveren en aanbrengen rioolbuis van Beton Ø400mm</c:v>
                </c:pt>
                <c:pt idx="18">
                  <c:v>322070 - Leveren en aanbrengen rioolbuis van Beton IT Ø400mm</c:v>
                </c:pt>
                <c:pt idx="19">
                  <c:v>322100 - Leveren en aanbrengen rioolbuis van Beton IT Ø800mm</c:v>
                </c:pt>
                <c:pt idx="20">
                  <c:v>330010 - Leveren en aanbrengen kolken</c:v>
                </c:pt>
                <c:pt idx="21">
                  <c:v>420010 - Leveren en aanbrengen fundering menggranulaat, (250mm dik)</c:v>
                </c:pt>
                <c:pt idx="22">
                  <c:v>430010 - Leveren en aanbrengen trottoirbanden 180/200x250</c:v>
                </c:pt>
                <c:pt idx="23">
                  <c:v>430020 - Leveren en aanbrengen trottoirbanden 130/150x250</c:v>
                </c:pt>
                <c:pt idx="24">
                  <c:v>430040 - Leveren en aanbrengen opsluitbanden 100x200</c:v>
                </c:pt>
                <c:pt idx="25">
                  <c:v>430050 - Leveren en aanbrengen opsluitbanden 120x250</c:v>
                </c:pt>
                <c:pt idx="26">
                  <c:v>440010 - Aanbrengen straatbakstenen DF, Rood (rijweg)</c:v>
                </c:pt>
                <c:pt idx="27">
                  <c:v>440020 - Aanbrengen straatbakstenen DF, Geel (rijweg/ plein)</c:v>
                </c:pt>
                <c:pt idx="28">
                  <c:v>440030 - Aanbrengen straatbakstenen DF, Rood (parkeervakken)</c:v>
                </c:pt>
                <c:pt idx="29">
                  <c:v>440040 - Aanbrengen straatbakstenen DF, Geel (parkeervakken)</c:v>
                </c:pt>
                <c:pt idx="30">
                  <c:v>440050 - Leveren en aanbrengen open (grasbeton) verharding (parkeerplaats)</c:v>
                </c:pt>
                <c:pt idx="31">
                  <c:v>440060 - Aanbrengen straatbakstenen DF, Rood (trottoir)</c:v>
                </c:pt>
                <c:pt idx="32">
                  <c:v>440070 - Aanbrengen straatbakstenen DF, Geel (trottoir)</c:v>
                </c:pt>
                <c:pt idx="33">
                  <c:v>440090 - Aanbrengen straatbakstenen DF, Rood (drempelopgang)</c:v>
                </c:pt>
              </c:strCache>
            </c:strRef>
          </c:cat>
          <c:val>
            <c:numRef>
              <c:f>Optimalisatie_Backlog!$M$4:$M$103</c:f>
              <c:numCache>
                <c:formatCode>_([$€-2]\ * #,##0.00_);_([$€-2]\ * \(#,##0.00\);_([$€-2]\ * "-"??_);_(@_)</c:formatCode>
                <c:ptCount val="34"/>
                <c:pt idx="0">
                  <c:v>46.173105085107004</c:v>
                </c:pt>
                <c:pt idx="1">
                  <c:v>7.2761262766170001</c:v>
                </c:pt>
                <c:pt idx="2">
                  <c:v>9.0765636161199996</c:v>
                </c:pt>
                <c:pt idx="3">
                  <c:v>49.417228509440008</c:v>
                </c:pt>
                <c:pt idx="4">
                  <c:v>208.94755035385003</c:v>
                </c:pt>
                <c:pt idx="5">
                  <c:v>106.33233829328002</c:v>
                </c:pt>
                <c:pt idx="6">
                  <c:v>179.97795551939501</c:v>
                </c:pt>
                <c:pt idx="7">
                  <c:v>451.42060425000005</c:v>
                </c:pt>
                <c:pt idx="8">
                  <c:v>309.54555720000002</c:v>
                </c:pt>
                <c:pt idx="9">
                  <c:v>385.64217334500006</c:v>
                </c:pt>
                <c:pt idx="10">
                  <c:v>168.53035892000005</c:v>
                </c:pt>
                <c:pt idx="11">
                  <c:v>7.046233670074721</c:v>
                </c:pt>
                <c:pt idx="12">
                  <c:v>1402.8432682550001</c:v>
                </c:pt>
                <c:pt idx="13">
                  <c:v>1320.4052674312502</c:v>
                </c:pt>
                <c:pt idx="14">
                  <c:v>1308.9477825710001</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numCache>
            </c:numRef>
          </c:val>
          <c:extLst xmlns:c15="http://schemas.microsoft.com/office/drawing/2012/chart">
            <c:ext xmlns:c16="http://schemas.microsoft.com/office/drawing/2014/chart" uri="{C3380CC4-5D6E-409C-BE32-E72D297353CC}">
              <c16:uniqueId val="{00000011-2607-4046-AE90-5D1455B8184A}"/>
            </c:ext>
          </c:extLst>
        </c:ser>
        <c:ser>
          <c:idx val="11"/>
          <c:order val="11"/>
          <c:tx>
            <c:strRef>
              <c:f>Optimalisatie_Backlog!$N$3</c:f>
              <c:strCache>
                <c:ptCount val="1"/>
                <c:pt idx="0">
                  <c:v>C3</c:v>
                </c:pt>
              </c:strCache>
            </c:strRef>
          </c:tx>
          <c:spPr>
            <a:solidFill>
              <a:schemeClr val="accent4">
                <a:lumMod val="75000"/>
              </a:schemeClr>
            </a:solidFill>
            <a:ln>
              <a:noFill/>
            </a:ln>
            <a:effectLst/>
          </c:spPr>
          <c:invertIfNegative val="0"/>
          <c:cat>
            <c:strRef>
              <c:f>Optimalisatie_Backlog!$B$4:$B$103</c:f>
              <c:strCache>
                <c:ptCount val="34"/>
                <c:pt idx="0">
                  <c:v>121110 - Opbreken trottoirband </c:v>
                </c:pt>
                <c:pt idx="1">
                  <c:v>121120 - Opbreken RWS band</c:v>
                </c:pt>
                <c:pt idx="2">
                  <c:v>121140 - Opbreken Opsluitband</c:v>
                </c:pt>
                <c:pt idx="3">
                  <c:v>121310 - Opbreken betonstraatstenen</c:v>
                </c:pt>
                <c:pt idx="4">
                  <c:v>121320 - Opbreken straatbakstenen en geschikt maken voor hergebruik</c:v>
                </c:pt>
                <c:pt idx="5">
                  <c:v>121330 - Opbreken en afvoeren straatbakstenen</c:v>
                </c:pt>
                <c:pt idx="6">
                  <c:v>121340 - Opbreken betontegels 300x300x45mm</c:v>
                </c:pt>
                <c:pt idx="7">
                  <c:v>121410 - Opbreken en afvoeren asfaltverharding zwart teervrij</c:v>
                </c:pt>
                <c:pt idx="8">
                  <c:v>121420 - Opbreken en afvoeren asfaltverharding rood teervrij</c:v>
                </c:pt>
                <c:pt idx="9">
                  <c:v>121510 - Opbreken fundering van menggranulaat, 400-200 mm dik</c:v>
                </c:pt>
                <c:pt idx="10">
                  <c:v>121520 - Opbreken fundering van slakken 200-400 mm dik</c:v>
                </c:pt>
                <c:pt idx="11">
                  <c:v>121310 - Verwijderen en afvoeren kolken, incl aansluitingen</c:v>
                </c:pt>
                <c:pt idx="12">
                  <c:v>210010 - Grond ontgraven uit cunet wegen en parkeervakken 0,25 m</c:v>
                </c:pt>
                <c:pt idx="13">
                  <c:v>210020 - Grond ontgraven uit sleuf riolering (gerekend met 11,5m3/m1 riool)</c:v>
                </c:pt>
                <c:pt idx="14">
                  <c:v>210030 - Grond ontgraven uit plantvak</c:v>
                </c:pt>
                <c:pt idx="15">
                  <c:v>220010 - Grond verwerken in sleuf riolering</c:v>
                </c:pt>
                <c:pt idx="16">
                  <c:v>220020 - Leveren en aanbrengen zand voor zand (gemiddeld 100 mm)</c:v>
                </c:pt>
                <c:pt idx="17">
                  <c:v>322020 - Leveren en aanbrengen rioolbuis van Beton Ø400mm</c:v>
                </c:pt>
                <c:pt idx="18">
                  <c:v>322070 - Leveren en aanbrengen rioolbuis van Beton IT Ø400mm</c:v>
                </c:pt>
                <c:pt idx="19">
                  <c:v>322100 - Leveren en aanbrengen rioolbuis van Beton IT Ø800mm</c:v>
                </c:pt>
                <c:pt idx="20">
                  <c:v>330010 - Leveren en aanbrengen kolken</c:v>
                </c:pt>
                <c:pt idx="21">
                  <c:v>420010 - Leveren en aanbrengen fundering menggranulaat, (250mm dik)</c:v>
                </c:pt>
                <c:pt idx="22">
                  <c:v>430010 - Leveren en aanbrengen trottoirbanden 180/200x250</c:v>
                </c:pt>
                <c:pt idx="23">
                  <c:v>430020 - Leveren en aanbrengen trottoirbanden 130/150x250</c:v>
                </c:pt>
                <c:pt idx="24">
                  <c:v>430040 - Leveren en aanbrengen opsluitbanden 100x200</c:v>
                </c:pt>
                <c:pt idx="25">
                  <c:v>430050 - Leveren en aanbrengen opsluitbanden 120x250</c:v>
                </c:pt>
                <c:pt idx="26">
                  <c:v>440010 - Aanbrengen straatbakstenen DF, Rood (rijweg)</c:v>
                </c:pt>
                <c:pt idx="27">
                  <c:v>440020 - Aanbrengen straatbakstenen DF, Geel (rijweg/ plein)</c:v>
                </c:pt>
                <c:pt idx="28">
                  <c:v>440030 - Aanbrengen straatbakstenen DF, Rood (parkeervakken)</c:v>
                </c:pt>
                <c:pt idx="29">
                  <c:v>440040 - Aanbrengen straatbakstenen DF, Geel (parkeervakken)</c:v>
                </c:pt>
                <c:pt idx="30">
                  <c:v>440050 - Leveren en aanbrengen open (grasbeton) verharding (parkeerplaats)</c:v>
                </c:pt>
                <c:pt idx="31">
                  <c:v>440060 - Aanbrengen straatbakstenen DF, Rood (trottoir)</c:v>
                </c:pt>
                <c:pt idx="32">
                  <c:v>440070 - Aanbrengen straatbakstenen DF, Geel (trottoir)</c:v>
                </c:pt>
                <c:pt idx="33">
                  <c:v>440090 - Aanbrengen straatbakstenen DF, Rood (drempelopgang)</c:v>
                </c:pt>
              </c:strCache>
            </c:strRef>
          </c:cat>
          <c:val>
            <c:numRef>
              <c:f>Optimalisatie_Backlog!$N$4:$N$103</c:f>
              <c:numCache>
                <c:formatCode>_([$€-2]\ * #,##0.00_);_([$€-2]\ * \(#,##0.00\);_([$€-2]\ * "-"??_);_(@_)</c:formatCode>
                <c:ptCount val="34"/>
                <c:pt idx="0">
                  <c:v>76.503699999999995</c:v>
                </c:pt>
                <c:pt idx="1">
                  <c:v>12.0466</c:v>
                </c:pt>
                <c:pt idx="2">
                  <c:v>8.7347999999999999</c:v>
                </c:pt>
                <c:pt idx="3">
                  <c:v>46.0932624</c:v>
                </c:pt>
                <c:pt idx="4">
                  <c:v>191.065</c:v>
                </c:pt>
                <c:pt idx="5">
                  <c:v>97.231999999999999</c:v>
                </c:pt>
                <c:pt idx="6">
                  <c:v>288.43200000000002</c:v>
                </c:pt>
                <c:pt idx="7">
                  <c:v>418.16240754244768</c:v>
                </c:pt>
                <c:pt idx="8">
                  <c:v>286.73993652465566</c:v>
                </c:pt>
                <c:pt idx="9">
                  <c:v>375.97333333333336</c:v>
                </c:pt>
                <c:pt idx="10">
                  <c:v>0</c:v>
                </c:pt>
                <c:pt idx="11">
                  <c:v>8.08</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numCache>
            </c:numRef>
          </c:val>
          <c:extLst xmlns:c15="http://schemas.microsoft.com/office/drawing/2012/chart">
            <c:ext xmlns:c16="http://schemas.microsoft.com/office/drawing/2014/chart" uri="{C3380CC4-5D6E-409C-BE32-E72D297353CC}">
              <c16:uniqueId val="{00000012-2607-4046-AE90-5D1455B8184A}"/>
            </c:ext>
          </c:extLst>
        </c:ser>
        <c:ser>
          <c:idx val="12"/>
          <c:order val="12"/>
          <c:tx>
            <c:strRef>
              <c:f>Optimalisatie_Backlog!$O$3</c:f>
              <c:strCache>
                <c:ptCount val="1"/>
                <c:pt idx="0">
                  <c:v>C4</c:v>
                </c:pt>
              </c:strCache>
            </c:strRef>
          </c:tx>
          <c:spPr>
            <a:solidFill>
              <a:schemeClr val="bg2">
                <a:lumMod val="90000"/>
              </a:schemeClr>
            </a:solidFill>
            <a:ln>
              <a:noFill/>
            </a:ln>
            <a:effectLst/>
          </c:spPr>
          <c:invertIfNegative val="0"/>
          <c:cat>
            <c:strRef>
              <c:f>Optimalisatie_Backlog!$B$4:$B$103</c:f>
              <c:strCache>
                <c:ptCount val="34"/>
                <c:pt idx="0">
                  <c:v>121110 - Opbreken trottoirband </c:v>
                </c:pt>
                <c:pt idx="1">
                  <c:v>121120 - Opbreken RWS band</c:v>
                </c:pt>
                <c:pt idx="2">
                  <c:v>121140 - Opbreken Opsluitband</c:v>
                </c:pt>
                <c:pt idx="3">
                  <c:v>121310 - Opbreken betonstraatstenen</c:v>
                </c:pt>
                <c:pt idx="4">
                  <c:v>121320 - Opbreken straatbakstenen en geschikt maken voor hergebruik</c:v>
                </c:pt>
                <c:pt idx="5">
                  <c:v>121330 - Opbreken en afvoeren straatbakstenen</c:v>
                </c:pt>
                <c:pt idx="6">
                  <c:v>121340 - Opbreken betontegels 300x300x45mm</c:v>
                </c:pt>
                <c:pt idx="7">
                  <c:v>121410 - Opbreken en afvoeren asfaltverharding zwart teervrij</c:v>
                </c:pt>
                <c:pt idx="8">
                  <c:v>121420 - Opbreken en afvoeren asfaltverharding rood teervrij</c:v>
                </c:pt>
                <c:pt idx="9">
                  <c:v>121510 - Opbreken fundering van menggranulaat, 400-200 mm dik</c:v>
                </c:pt>
                <c:pt idx="10">
                  <c:v>121520 - Opbreken fundering van slakken 200-400 mm dik</c:v>
                </c:pt>
                <c:pt idx="11">
                  <c:v>121310 - Verwijderen en afvoeren kolken, incl aansluitingen</c:v>
                </c:pt>
                <c:pt idx="12">
                  <c:v>210010 - Grond ontgraven uit cunet wegen en parkeervakken 0,25 m</c:v>
                </c:pt>
                <c:pt idx="13">
                  <c:v>210020 - Grond ontgraven uit sleuf riolering (gerekend met 11,5m3/m1 riool)</c:v>
                </c:pt>
                <c:pt idx="14">
                  <c:v>210030 - Grond ontgraven uit plantvak</c:v>
                </c:pt>
                <c:pt idx="15">
                  <c:v>220010 - Grond verwerken in sleuf riolering</c:v>
                </c:pt>
                <c:pt idx="16">
                  <c:v>220020 - Leveren en aanbrengen zand voor zand (gemiddeld 100 mm)</c:v>
                </c:pt>
                <c:pt idx="17">
                  <c:v>322020 - Leveren en aanbrengen rioolbuis van Beton Ø400mm</c:v>
                </c:pt>
                <c:pt idx="18">
                  <c:v>322070 - Leveren en aanbrengen rioolbuis van Beton IT Ø400mm</c:v>
                </c:pt>
                <c:pt idx="19">
                  <c:v>322100 - Leveren en aanbrengen rioolbuis van Beton IT Ø800mm</c:v>
                </c:pt>
                <c:pt idx="20">
                  <c:v>330010 - Leveren en aanbrengen kolken</c:v>
                </c:pt>
                <c:pt idx="21">
                  <c:v>420010 - Leveren en aanbrengen fundering menggranulaat, (250mm dik)</c:v>
                </c:pt>
                <c:pt idx="22">
                  <c:v>430010 - Leveren en aanbrengen trottoirbanden 180/200x250</c:v>
                </c:pt>
                <c:pt idx="23">
                  <c:v>430020 - Leveren en aanbrengen trottoirbanden 130/150x250</c:v>
                </c:pt>
                <c:pt idx="24">
                  <c:v>430040 - Leveren en aanbrengen opsluitbanden 100x200</c:v>
                </c:pt>
                <c:pt idx="25">
                  <c:v>430050 - Leveren en aanbrengen opsluitbanden 120x250</c:v>
                </c:pt>
                <c:pt idx="26">
                  <c:v>440010 - Aanbrengen straatbakstenen DF, Rood (rijweg)</c:v>
                </c:pt>
                <c:pt idx="27">
                  <c:v>440020 - Aanbrengen straatbakstenen DF, Geel (rijweg/ plein)</c:v>
                </c:pt>
                <c:pt idx="28">
                  <c:v>440030 - Aanbrengen straatbakstenen DF, Rood (parkeervakken)</c:v>
                </c:pt>
                <c:pt idx="29">
                  <c:v>440040 - Aanbrengen straatbakstenen DF, Geel (parkeervakken)</c:v>
                </c:pt>
                <c:pt idx="30">
                  <c:v>440050 - Leveren en aanbrengen open (grasbeton) verharding (parkeerplaats)</c:v>
                </c:pt>
                <c:pt idx="31">
                  <c:v>440060 - Aanbrengen straatbakstenen DF, Rood (trottoir)</c:v>
                </c:pt>
                <c:pt idx="32">
                  <c:v>440070 - Aanbrengen straatbakstenen DF, Geel (trottoir)</c:v>
                </c:pt>
                <c:pt idx="33">
                  <c:v>440090 - Aanbrengen straatbakstenen DF, Rood (drempelopgang)</c:v>
                </c:pt>
              </c:strCache>
            </c:strRef>
          </c:cat>
          <c:val>
            <c:numRef>
              <c:f>Optimalisatie_Backlog!$O$4:$O$103</c:f>
              <c:numCache>
                <c:formatCode>_([$€-2]\ * #,##0.00_);_([$€-2]\ * \(#,##0.00\);_([$€-2]\ * "-"??_);_(@_)</c:formatCode>
                <c:ptCount val="34"/>
                <c:pt idx="0">
                  <c:v>2.0065500000000003</c:v>
                </c:pt>
                <c:pt idx="1">
                  <c:v>0.31490000000000001</c:v>
                </c:pt>
                <c:pt idx="2">
                  <c:v>0.38279999999999997</c:v>
                </c:pt>
                <c:pt idx="3">
                  <c:v>2.1021425599999999</c:v>
                </c:pt>
                <c:pt idx="4">
                  <c:v>0.50085000000000002</c:v>
                </c:pt>
                <c:pt idx="5">
                  <c:v>0.25488</c:v>
                </c:pt>
                <c:pt idx="6">
                  <c:v>752.52710000000002</c:v>
                </c:pt>
                <c:pt idx="7">
                  <c:v>0</c:v>
                </c:pt>
                <c:pt idx="8">
                  <c:v>0</c:v>
                </c:pt>
                <c:pt idx="9">
                  <c:v>16.675000000000001</c:v>
                </c:pt>
                <c:pt idx="10">
                  <c:v>7.2799999999999994</c:v>
                </c:pt>
                <c:pt idx="11">
                  <c:v>0</c:v>
                </c:pt>
                <c:pt idx="12">
                  <c:v>60.641600000000004</c:v>
                </c:pt>
                <c:pt idx="13">
                  <c:v>228.31200000000001</c:v>
                </c:pt>
                <c:pt idx="14">
                  <c:v>56.582720000000002</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numCache>
            </c:numRef>
          </c:val>
          <c:extLst xmlns:c15="http://schemas.microsoft.com/office/drawing/2012/chart">
            <c:ext xmlns:c16="http://schemas.microsoft.com/office/drawing/2014/chart" uri="{C3380CC4-5D6E-409C-BE32-E72D297353CC}">
              <c16:uniqueId val="{00000013-2607-4046-AE90-5D1455B8184A}"/>
            </c:ext>
          </c:extLst>
        </c:ser>
        <c:ser>
          <c:idx val="15"/>
          <c:order val="15"/>
          <c:tx>
            <c:strRef>
              <c:f>Optimalisatie_Backlog!$R$3</c:f>
              <c:strCache>
                <c:ptCount val="1"/>
                <c:pt idx="0">
                  <c:v>D</c:v>
                </c:pt>
              </c:strCache>
            </c:strRef>
          </c:tx>
          <c:spPr>
            <a:solidFill>
              <a:srgbClr val="FF0000"/>
            </a:solidFill>
            <a:ln>
              <a:noFill/>
            </a:ln>
            <a:effectLst/>
          </c:spPr>
          <c:invertIfNegative val="0"/>
          <c:cat>
            <c:strRef>
              <c:f>Optimalisatie_Backlog!$B$4:$B$103</c:f>
              <c:strCache>
                <c:ptCount val="34"/>
                <c:pt idx="0">
                  <c:v>121110 - Opbreken trottoirband </c:v>
                </c:pt>
                <c:pt idx="1">
                  <c:v>121120 - Opbreken RWS band</c:v>
                </c:pt>
                <c:pt idx="2">
                  <c:v>121140 - Opbreken Opsluitband</c:v>
                </c:pt>
                <c:pt idx="3">
                  <c:v>121310 - Opbreken betonstraatstenen</c:v>
                </c:pt>
                <c:pt idx="4">
                  <c:v>121320 - Opbreken straatbakstenen en geschikt maken voor hergebruik</c:v>
                </c:pt>
                <c:pt idx="5">
                  <c:v>121330 - Opbreken en afvoeren straatbakstenen</c:v>
                </c:pt>
                <c:pt idx="6">
                  <c:v>121340 - Opbreken betontegels 300x300x45mm</c:v>
                </c:pt>
                <c:pt idx="7">
                  <c:v>121410 - Opbreken en afvoeren asfaltverharding zwart teervrij</c:v>
                </c:pt>
                <c:pt idx="8">
                  <c:v>121420 - Opbreken en afvoeren asfaltverharding rood teervrij</c:v>
                </c:pt>
                <c:pt idx="9">
                  <c:v>121510 - Opbreken fundering van menggranulaat, 400-200 mm dik</c:v>
                </c:pt>
                <c:pt idx="10">
                  <c:v>121520 - Opbreken fundering van slakken 200-400 mm dik</c:v>
                </c:pt>
                <c:pt idx="11">
                  <c:v>121310 - Verwijderen en afvoeren kolken, incl aansluitingen</c:v>
                </c:pt>
                <c:pt idx="12">
                  <c:v>210010 - Grond ontgraven uit cunet wegen en parkeervakken 0,25 m</c:v>
                </c:pt>
                <c:pt idx="13">
                  <c:v>210020 - Grond ontgraven uit sleuf riolering (gerekend met 11,5m3/m1 riool)</c:v>
                </c:pt>
                <c:pt idx="14">
                  <c:v>210030 - Grond ontgraven uit plantvak</c:v>
                </c:pt>
                <c:pt idx="15">
                  <c:v>220010 - Grond verwerken in sleuf riolering</c:v>
                </c:pt>
                <c:pt idx="16">
                  <c:v>220020 - Leveren en aanbrengen zand voor zand (gemiddeld 100 mm)</c:v>
                </c:pt>
                <c:pt idx="17">
                  <c:v>322020 - Leveren en aanbrengen rioolbuis van Beton Ø400mm</c:v>
                </c:pt>
                <c:pt idx="18">
                  <c:v>322070 - Leveren en aanbrengen rioolbuis van Beton IT Ø400mm</c:v>
                </c:pt>
                <c:pt idx="19">
                  <c:v>322100 - Leveren en aanbrengen rioolbuis van Beton IT Ø800mm</c:v>
                </c:pt>
                <c:pt idx="20">
                  <c:v>330010 - Leveren en aanbrengen kolken</c:v>
                </c:pt>
                <c:pt idx="21">
                  <c:v>420010 - Leveren en aanbrengen fundering menggranulaat, (250mm dik)</c:v>
                </c:pt>
                <c:pt idx="22">
                  <c:v>430010 - Leveren en aanbrengen trottoirbanden 180/200x250</c:v>
                </c:pt>
                <c:pt idx="23">
                  <c:v>430020 - Leveren en aanbrengen trottoirbanden 130/150x250</c:v>
                </c:pt>
                <c:pt idx="24">
                  <c:v>430040 - Leveren en aanbrengen opsluitbanden 100x200</c:v>
                </c:pt>
                <c:pt idx="25">
                  <c:v>430050 - Leveren en aanbrengen opsluitbanden 120x250</c:v>
                </c:pt>
                <c:pt idx="26">
                  <c:v>440010 - Aanbrengen straatbakstenen DF, Rood (rijweg)</c:v>
                </c:pt>
                <c:pt idx="27">
                  <c:v>440020 - Aanbrengen straatbakstenen DF, Geel (rijweg/ plein)</c:v>
                </c:pt>
                <c:pt idx="28">
                  <c:v>440030 - Aanbrengen straatbakstenen DF, Rood (parkeervakken)</c:v>
                </c:pt>
                <c:pt idx="29">
                  <c:v>440040 - Aanbrengen straatbakstenen DF, Geel (parkeervakken)</c:v>
                </c:pt>
                <c:pt idx="30">
                  <c:v>440050 - Leveren en aanbrengen open (grasbeton) verharding (parkeerplaats)</c:v>
                </c:pt>
                <c:pt idx="31">
                  <c:v>440060 - Aanbrengen straatbakstenen DF, Rood (trottoir)</c:v>
                </c:pt>
                <c:pt idx="32">
                  <c:v>440070 - Aanbrengen straatbakstenen DF, Geel (trottoir)</c:v>
                </c:pt>
                <c:pt idx="33">
                  <c:v>440090 - Aanbrengen straatbakstenen DF, Rood (drempelopgang)</c:v>
                </c:pt>
              </c:strCache>
            </c:strRef>
          </c:cat>
          <c:val>
            <c:numRef>
              <c:f>Optimalisatie_Backlog!$R$4:$R$103</c:f>
              <c:numCache>
                <c:formatCode>_([$€-2]\ * #,##0.00_);_([$€-2]\ * \(#,##0.00\);_([$€-2]\ * "-"??_);_(@_)</c:formatCode>
                <c:ptCount val="34"/>
                <c:pt idx="0">
                  <c:v>-141.85990000000001</c:v>
                </c:pt>
                <c:pt idx="1">
                  <c:v>-22.471800000000002</c:v>
                </c:pt>
                <c:pt idx="2">
                  <c:v>-27.387599999999999</c:v>
                </c:pt>
                <c:pt idx="3">
                  <c:v>-151.14076800000001</c:v>
                </c:pt>
                <c:pt idx="4">
                  <c:v>-20479.2</c:v>
                </c:pt>
                <c:pt idx="5">
                  <c:v>1105.3296</c:v>
                </c:pt>
                <c:pt idx="6">
                  <c:v>-537.80549999999994</c:v>
                </c:pt>
                <c:pt idx="7">
                  <c:v>-6105.0077760645981</c:v>
                </c:pt>
                <c:pt idx="8">
                  <c:v>-7862.3757990610584</c:v>
                </c:pt>
                <c:pt idx="9">
                  <c:v>33.695</c:v>
                </c:pt>
                <c:pt idx="10">
                  <c:v>14.735000000000001</c:v>
                </c:pt>
                <c:pt idx="11">
                  <c:v>-763.56</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numCache>
            </c:numRef>
          </c:val>
          <c:extLst>
            <c:ext xmlns:c16="http://schemas.microsoft.com/office/drawing/2014/chart" uri="{C3380CC4-5D6E-409C-BE32-E72D297353CC}">
              <c16:uniqueId val="{00000002-01FD-4EB7-9F7A-A6587F1288D0}"/>
            </c:ext>
          </c:extLst>
        </c:ser>
        <c:dLbls>
          <c:showLegendKey val="0"/>
          <c:showVal val="0"/>
          <c:showCatName val="0"/>
          <c:showSerName val="0"/>
          <c:showPercent val="0"/>
          <c:showBubbleSize val="0"/>
        </c:dLbls>
        <c:gapWidth val="150"/>
        <c:overlap val="100"/>
        <c:axId val="1339988456"/>
        <c:axId val="1339988784"/>
        <c:extLst>
          <c:ext xmlns:c15="http://schemas.microsoft.com/office/drawing/2012/chart" uri="{02D57815-91ED-43cb-92C2-25804820EDAC}">
            <c15:filteredBarSeries>
              <c15:ser>
                <c:idx val="5"/>
                <c:order val="0"/>
                <c:tx>
                  <c:strRef>
                    <c:extLst>
                      <c:ext uri="{02D57815-91ED-43cb-92C2-25804820EDAC}">
                        <c15:formulaRef>
                          <c15:sqref>Optimalisatie_Backlog!$C$3</c15:sqref>
                        </c15:formulaRef>
                      </c:ext>
                    </c:extLst>
                    <c:strCache>
                      <c:ptCount val="1"/>
                      <c:pt idx="0">
                        <c:v>Product</c:v>
                      </c:pt>
                    </c:strCache>
                  </c:strRef>
                </c:tx>
                <c:spPr>
                  <a:gradFill rotWithShape="1">
                    <a:gsLst>
                      <a:gs pos="0">
                        <a:schemeClr val="accent6">
                          <a:satMod val="103000"/>
                          <a:lumMod val="102000"/>
                          <a:tint val="94000"/>
                        </a:schemeClr>
                      </a:gs>
                      <a:gs pos="50000">
                        <a:schemeClr val="accent6">
                          <a:satMod val="110000"/>
                          <a:lumMod val="100000"/>
                          <a:shade val="100000"/>
                        </a:schemeClr>
                      </a:gs>
                      <a:gs pos="100000">
                        <a:schemeClr val="accent6">
                          <a:lumMod val="99000"/>
                          <a:satMod val="120000"/>
                          <a:shade val="78000"/>
                        </a:schemeClr>
                      </a:gs>
                    </a:gsLst>
                    <a:lin ang="5400000" scaled="0"/>
                  </a:gradFill>
                  <a:ln>
                    <a:noFill/>
                  </a:ln>
                  <a:effectLst/>
                </c:spPr>
                <c:invertIfNegative val="0"/>
                <c:cat>
                  <c:strRef>
                    <c:extLst>
                      <c:ext uri="{02D57815-91ED-43cb-92C2-25804820EDAC}">
                        <c15:formulaRef>
                          <c15:sqref>Optimalisatie_Backlog!$B$4:$B$103</c15:sqref>
                        </c15:formulaRef>
                      </c:ext>
                    </c:extLst>
                    <c:strCache>
                      <c:ptCount val="34"/>
                      <c:pt idx="0">
                        <c:v>121110 - Opbreken trottoirband </c:v>
                      </c:pt>
                      <c:pt idx="1">
                        <c:v>121120 - Opbreken RWS band</c:v>
                      </c:pt>
                      <c:pt idx="2">
                        <c:v>121140 - Opbreken Opsluitband</c:v>
                      </c:pt>
                      <c:pt idx="3">
                        <c:v>121310 - Opbreken betonstraatstenen</c:v>
                      </c:pt>
                      <c:pt idx="4">
                        <c:v>121320 - Opbreken straatbakstenen en geschikt maken voor hergebruik</c:v>
                      </c:pt>
                      <c:pt idx="5">
                        <c:v>121330 - Opbreken en afvoeren straatbakstenen</c:v>
                      </c:pt>
                      <c:pt idx="6">
                        <c:v>121340 - Opbreken betontegels 300x300x45mm</c:v>
                      </c:pt>
                      <c:pt idx="7">
                        <c:v>121410 - Opbreken en afvoeren asfaltverharding zwart teervrij</c:v>
                      </c:pt>
                      <c:pt idx="8">
                        <c:v>121420 - Opbreken en afvoeren asfaltverharding rood teervrij</c:v>
                      </c:pt>
                      <c:pt idx="9">
                        <c:v>121510 - Opbreken fundering van menggranulaat, 400-200 mm dik</c:v>
                      </c:pt>
                      <c:pt idx="10">
                        <c:v>121520 - Opbreken fundering van slakken 200-400 mm dik</c:v>
                      </c:pt>
                      <c:pt idx="11">
                        <c:v>121310 - Verwijderen en afvoeren kolken, incl aansluitingen</c:v>
                      </c:pt>
                      <c:pt idx="12">
                        <c:v>210010 - Grond ontgraven uit cunet wegen en parkeervakken 0,25 m</c:v>
                      </c:pt>
                      <c:pt idx="13">
                        <c:v>210020 - Grond ontgraven uit sleuf riolering (gerekend met 11,5m3/m1 riool)</c:v>
                      </c:pt>
                      <c:pt idx="14">
                        <c:v>210030 - Grond ontgraven uit plantvak</c:v>
                      </c:pt>
                      <c:pt idx="15">
                        <c:v>220010 - Grond verwerken in sleuf riolering</c:v>
                      </c:pt>
                      <c:pt idx="16">
                        <c:v>220020 - Leveren en aanbrengen zand voor zand (gemiddeld 100 mm)</c:v>
                      </c:pt>
                      <c:pt idx="17">
                        <c:v>322020 - Leveren en aanbrengen rioolbuis van Beton Ø400mm</c:v>
                      </c:pt>
                      <c:pt idx="18">
                        <c:v>322070 - Leveren en aanbrengen rioolbuis van Beton IT Ø400mm</c:v>
                      </c:pt>
                      <c:pt idx="19">
                        <c:v>322100 - Leveren en aanbrengen rioolbuis van Beton IT Ø800mm</c:v>
                      </c:pt>
                      <c:pt idx="20">
                        <c:v>330010 - Leveren en aanbrengen kolken</c:v>
                      </c:pt>
                      <c:pt idx="21">
                        <c:v>420010 - Leveren en aanbrengen fundering menggranulaat, (250mm dik)</c:v>
                      </c:pt>
                      <c:pt idx="22">
                        <c:v>430010 - Leveren en aanbrengen trottoirbanden 180/200x250</c:v>
                      </c:pt>
                      <c:pt idx="23">
                        <c:v>430020 - Leveren en aanbrengen trottoirbanden 130/150x250</c:v>
                      </c:pt>
                      <c:pt idx="24">
                        <c:v>430040 - Leveren en aanbrengen opsluitbanden 100x200</c:v>
                      </c:pt>
                      <c:pt idx="25">
                        <c:v>430050 - Leveren en aanbrengen opsluitbanden 120x250</c:v>
                      </c:pt>
                      <c:pt idx="26">
                        <c:v>440010 - Aanbrengen straatbakstenen DF, Rood (rijweg)</c:v>
                      </c:pt>
                      <c:pt idx="27">
                        <c:v>440020 - Aanbrengen straatbakstenen DF, Geel (rijweg/ plein)</c:v>
                      </c:pt>
                      <c:pt idx="28">
                        <c:v>440030 - Aanbrengen straatbakstenen DF, Rood (parkeervakken)</c:v>
                      </c:pt>
                      <c:pt idx="29">
                        <c:v>440040 - Aanbrengen straatbakstenen DF, Geel (parkeervakken)</c:v>
                      </c:pt>
                      <c:pt idx="30">
                        <c:v>440050 - Leveren en aanbrengen open (grasbeton) verharding (parkeerplaats)</c:v>
                      </c:pt>
                      <c:pt idx="31">
                        <c:v>440060 - Aanbrengen straatbakstenen DF, Rood (trottoir)</c:v>
                      </c:pt>
                      <c:pt idx="32">
                        <c:v>440070 - Aanbrengen straatbakstenen DF, Geel (trottoir)</c:v>
                      </c:pt>
                      <c:pt idx="33">
                        <c:v>440090 - Aanbrengen straatbakstenen DF, Rood (drempelopgang)</c:v>
                      </c:pt>
                    </c:strCache>
                  </c:strRef>
                </c:cat>
                <c:val>
                  <c:numRef>
                    <c:extLst>
                      <c:ext uri="{02D57815-91ED-43cb-92C2-25804820EDAC}">
                        <c15:formulaRef>
                          <c15:sqref>Optimalisatie_Backlog!$C$4:$C$103</c15:sqref>
                        </c15:formulaRef>
                      </c:ext>
                    </c:extLst>
                    <c:numCache>
                      <c:formatCode>_([$€-2]\ * #,##0.00_);_([$€-2]\ * \(#,##0.00\);_([$€-2]\ * "-"??_);_(@_)</c:formatCode>
                      <c:ptCount val="3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numCache>
                  </c:numRef>
                </c:val>
                <c:extLst>
                  <c:ext xmlns:c16="http://schemas.microsoft.com/office/drawing/2014/chart" uri="{C3380CC4-5D6E-409C-BE32-E72D297353CC}">
                    <c16:uniqueId val="{00000001-2607-4046-AE90-5D1455B8184A}"/>
                  </c:ext>
                </c:extLst>
              </c15:ser>
            </c15:filteredBarSeries>
            <c15:filteredBarSeries>
              <c15:ser>
                <c:idx val="4"/>
                <c:order val="1"/>
                <c:tx>
                  <c:strRef>
                    <c:extLst xmlns:c15="http://schemas.microsoft.com/office/drawing/2012/chart">
                      <c:ext xmlns:c15="http://schemas.microsoft.com/office/drawing/2012/chart" uri="{02D57815-91ED-43cb-92C2-25804820EDAC}">
                        <c15:formulaRef>
                          <c15:sqref>Optimalisatie_Backlog!$D$3</c15:sqref>
                        </c15:formulaRef>
                      </c:ext>
                    </c:extLst>
                    <c:strCache>
                      <c:ptCount val="1"/>
                      <c:pt idx="0">
                        <c:v>A1</c:v>
                      </c:pt>
                    </c:strCache>
                  </c:strRef>
                </c:tx>
                <c:spPr>
                  <a:solidFill>
                    <a:srgbClr val="002060"/>
                  </a:solidFill>
                  <a:ln>
                    <a:noFill/>
                  </a:ln>
                  <a:effectLst/>
                </c:spPr>
                <c:invertIfNegative val="0"/>
                <c:cat>
                  <c:strRef>
                    <c:extLst xmlns:c15="http://schemas.microsoft.com/office/drawing/2012/chart">
                      <c:ext xmlns:c15="http://schemas.microsoft.com/office/drawing/2012/chart" uri="{02D57815-91ED-43cb-92C2-25804820EDAC}">
                        <c15:formulaRef>
                          <c15:sqref>Optimalisatie_Backlog!$B$4:$B$103</c15:sqref>
                        </c15:formulaRef>
                      </c:ext>
                    </c:extLst>
                    <c:strCache>
                      <c:ptCount val="34"/>
                      <c:pt idx="0">
                        <c:v>121110 - Opbreken trottoirband </c:v>
                      </c:pt>
                      <c:pt idx="1">
                        <c:v>121120 - Opbreken RWS band</c:v>
                      </c:pt>
                      <c:pt idx="2">
                        <c:v>121140 - Opbreken Opsluitband</c:v>
                      </c:pt>
                      <c:pt idx="3">
                        <c:v>121310 - Opbreken betonstraatstenen</c:v>
                      </c:pt>
                      <c:pt idx="4">
                        <c:v>121320 - Opbreken straatbakstenen en geschikt maken voor hergebruik</c:v>
                      </c:pt>
                      <c:pt idx="5">
                        <c:v>121330 - Opbreken en afvoeren straatbakstenen</c:v>
                      </c:pt>
                      <c:pt idx="6">
                        <c:v>121340 - Opbreken betontegels 300x300x45mm</c:v>
                      </c:pt>
                      <c:pt idx="7">
                        <c:v>121410 - Opbreken en afvoeren asfaltverharding zwart teervrij</c:v>
                      </c:pt>
                      <c:pt idx="8">
                        <c:v>121420 - Opbreken en afvoeren asfaltverharding rood teervrij</c:v>
                      </c:pt>
                      <c:pt idx="9">
                        <c:v>121510 - Opbreken fundering van menggranulaat, 400-200 mm dik</c:v>
                      </c:pt>
                      <c:pt idx="10">
                        <c:v>121520 - Opbreken fundering van slakken 200-400 mm dik</c:v>
                      </c:pt>
                      <c:pt idx="11">
                        <c:v>121310 - Verwijderen en afvoeren kolken, incl aansluitingen</c:v>
                      </c:pt>
                      <c:pt idx="12">
                        <c:v>210010 - Grond ontgraven uit cunet wegen en parkeervakken 0,25 m</c:v>
                      </c:pt>
                      <c:pt idx="13">
                        <c:v>210020 - Grond ontgraven uit sleuf riolering (gerekend met 11,5m3/m1 riool)</c:v>
                      </c:pt>
                      <c:pt idx="14">
                        <c:v>210030 - Grond ontgraven uit plantvak</c:v>
                      </c:pt>
                      <c:pt idx="15">
                        <c:v>220010 - Grond verwerken in sleuf riolering</c:v>
                      </c:pt>
                      <c:pt idx="16">
                        <c:v>220020 - Leveren en aanbrengen zand voor zand (gemiddeld 100 mm)</c:v>
                      </c:pt>
                      <c:pt idx="17">
                        <c:v>322020 - Leveren en aanbrengen rioolbuis van Beton Ø400mm</c:v>
                      </c:pt>
                      <c:pt idx="18">
                        <c:v>322070 - Leveren en aanbrengen rioolbuis van Beton IT Ø400mm</c:v>
                      </c:pt>
                      <c:pt idx="19">
                        <c:v>322100 - Leveren en aanbrengen rioolbuis van Beton IT Ø800mm</c:v>
                      </c:pt>
                      <c:pt idx="20">
                        <c:v>330010 - Leveren en aanbrengen kolken</c:v>
                      </c:pt>
                      <c:pt idx="21">
                        <c:v>420010 - Leveren en aanbrengen fundering menggranulaat, (250mm dik)</c:v>
                      </c:pt>
                      <c:pt idx="22">
                        <c:v>430010 - Leveren en aanbrengen trottoirbanden 180/200x250</c:v>
                      </c:pt>
                      <c:pt idx="23">
                        <c:v>430020 - Leveren en aanbrengen trottoirbanden 130/150x250</c:v>
                      </c:pt>
                      <c:pt idx="24">
                        <c:v>430040 - Leveren en aanbrengen opsluitbanden 100x200</c:v>
                      </c:pt>
                      <c:pt idx="25">
                        <c:v>430050 - Leveren en aanbrengen opsluitbanden 120x250</c:v>
                      </c:pt>
                      <c:pt idx="26">
                        <c:v>440010 - Aanbrengen straatbakstenen DF, Rood (rijweg)</c:v>
                      </c:pt>
                      <c:pt idx="27">
                        <c:v>440020 - Aanbrengen straatbakstenen DF, Geel (rijweg/ plein)</c:v>
                      </c:pt>
                      <c:pt idx="28">
                        <c:v>440030 - Aanbrengen straatbakstenen DF, Rood (parkeervakken)</c:v>
                      </c:pt>
                      <c:pt idx="29">
                        <c:v>440040 - Aanbrengen straatbakstenen DF, Geel (parkeervakken)</c:v>
                      </c:pt>
                      <c:pt idx="30">
                        <c:v>440050 - Leveren en aanbrengen open (grasbeton) verharding (parkeerplaats)</c:v>
                      </c:pt>
                      <c:pt idx="31">
                        <c:v>440060 - Aanbrengen straatbakstenen DF, Rood (trottoir)</c:v>
                      </c:pt>
                      <c:pt idx="32">
                        <c:v>440070 - Aanbrengen straatbakstenen DF, Geel (trottoir)</c:v>
                      </c:pt>
                      <c:pt idx="33">
                        <c:v>440090 - Aanbrengen straatbakstenen DF, Rood (drempelopgang)</c:v>
                      </c:pt>
                    </c:strCache>
                  </c:strRef>
                </c:cat>
                <c:val>
                  <c:numRef>
                    <c:extLst xmlns:c15="http://schemas.microsoft.com/office/drawing/2012/chart">
                      <c:ext xmlns:c15="http://schemas.microsoft.com/office/drawing/2012/chart" uri="{02D57815-91ED-43cb-92C2-25804820EDAC}">
                        <c15:formulaRef>
                          <c15:sqref>Optimalisatie_Backlog!$D$4:$D$103</c15:sqref>
                        </c15:formulaRef>
                      </c:ext>
                    </c:extLst>
                    <c:numCache>
                      <c:formatCode>_([$€-2]\ * #,##0.00_);_([$€-2]\ * \(#,##0.00\);_([$€-2]\ * "-"??_);_(@_)</c:formatCode>
                      <c:ptCount val="3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648</c:v>
                      </c:pt>
                      <c:pt idx="18">
                        <c:v>513</c:v>
                      </c:pt>
                      <c:pt idx="19">
                        <c:v>5825.0324999999993</c:v>
                      </c:pt>
                      <c:pt idx="20">
                        <c:v>1567.52</c:v>
                      </c:pt>
                      <c:pt idx="21">
                        <c:v>0</c:v>
                      </c:pt>
                      <c:pt idx="22">
                        <c:v>0</c:v>
                      </c:pt>
                      <c:pt idx="23">
                        <c:v>0</c:v>
                      </c:pt>
                      <c:pt idx="24">
                        <c:v>444.14954999999992</c:v>
                      </c:pt>
                      <c:pt idx="25">
                        <c:v>779.86124999999993</c:v>
                      </c:pt>
                      <c:pt idx="26">
                        <c:v>0</c:v>
                      </c:pt>
                      <c:pt idx="27">
                        <c:v>0</c:v>
                      </c:pt>
                      <c:pt idx="28">
                        <c:v>0</c:v>
                      </c:pt>
                      <c:pt idx="29">
                        <c:v>0</c:v>
                      </c:pt>
                      <c:pt idx="30">
                        <c:v>2080</c:v>
                      </c:pt>
                      <c:pt idx="31">
                        <c:v>0</c:v>
                      </c:pt>
                      <c:pt idx="32">
                        <c:v>0</c:v>
                      </c:pt>
                      <c:pt idx="33">
                        <c:v>0</c:v>
                      </c:pt>
                    </c:numCache>
                  </c:numRef>
                </c:val>
                <c:extLst xmlns:c15="http://schemas.microsoft.com/office/drawing/2012/chart">
                  <c:ext xmlns:c16="http://schemas.microsoft.com/office/drawing/2014/chart" uri="{C3380CC4-5D6E-409C-BE32-E72D297353CC}">
                    <c16:uniqueId val="{00000002-2607-4046-AE90-5D1455B8184A}"/>
                  </c:ext>
                </c:extLst>
              </c15:ser>
            </c15:filteredBarSeries>
            <c15:filteredBarSeries>
              <c15:ser>
                <c:idx val="1"/>
                <c:order val="2"/>
                <c:tx>
                  <c:strRef>
                    <c:extLst xmlns:c15="http://schemas.microsoft.com/office/drawing/2012/chart">
                      <c:ext xmlns:c15="http://schemas.microsoft.com/office/drawing/2012/chart" uri="{02D57815-91ED-43cb-92C2-25804820EDAC}">
                        <c15:formulaRef>
                          <c15:sqref>Optimalisatie_Backlog!$E$3</c15:sqref>
                        </c15:formulaRef>
                      </c:ext>
                    </c:extLst>
                    <c:strCache>
                      <c:ptCount val="1"/>
                      <c:pt idx="0">
                        <c:v>A2</c:v>
                      </c:pt>
                    </c:strCache>
                  </c:strRef>
                </c:tx>
                <c:spPr>
                  <a:solidFill>
                    <a:srgbClr val="0070C0"/>
                  </a:solidFill>
                  <a:ln>
                    <a:noFill/>
                  </a:ln>
                  <a:effectLst/>
                </c:spPr>
                <c:invertIfNegative val="0"/>
                <c:cat>
                  <c:strRef>
                    <c:extLst xmlns:c15="http://schemas.microsoft.com/office/drawing/2012/chart">
                      <c:ext xmlns:c15="http://schemas.microsoft.com/office/drawing/2012/chart" uri="{02D57815-91ED-43cb-92C2-25804820EDAC}">
                        <c15:formulaRef>
                          <c15:sqref>Optimalisatie_Backlog!$B$4:$B$103</c15:sqref>
                        </c15:formulaRef>
                      </c:ext>
                    </c:extLst>
                    <c:strCache>
                      <c:ptCount val="34"/>
                      <c:pt idx="0">
                        <c:v>121110 - Opbreken trottoirband </c:v>
                      </c:pt>
                      <c:pt idx="1">
                        <c:v>121120 - Opbreken RWS band</c:v>
                      </c:pt>
                      <c:pt idx="2">
                        <c:v>121140 - Opbreken Opsluitband</c:v>
                      </c:pt>
                      <c:pt idx="3">
                        <c:v>121310 - Opbreken betonstraatstenen</c:v>
                      </c:pt>
                      <c:pt idx="4">
                        <c:v>121320 - Opbreken straatbakstenen en geschikt maken voor hergebruik</c:v>
                      </c:pt>
                      <c:pt idx="5">
                        <c:v>121330 - Opbreken en afvoeren straatbakstenen</c:v>
                      </c:pt>
                      <c:pt idx="6">
                        <c:v>121340 - Opbreken betontegels 300x300x45mm</c:v>
                      </c:pt>
                      <c:pt idx="7">
                        <c:v>121410 - Opbreken en afvoeren asfaltverharding zwart teervrij</c:v>
                      </c:pt>
                      <c:pt idx="8">
                        <c:v>121420 - Opbreken en afvoeren asfaltverharding rood teervrij</c:v>
                      </c:pt>
                      <c:pt idx="9">
                        <c:v>121510 - Opbreken fundering van menggranulaat, 400-200 mm dik</c:v>
                      </c:pt>
                      <c:pt idx="10">
                        <c:v>121520 - Opbreken fundering van slakken 200-400 mm dik</c:v>
                      </c:pt>
                      <c:pt idx="11">
                        <c:v>121310 - Verwijderen en afvoeren kolken, incl aansluitingen</c:v>
                      </c:pt>
                      <c:pt idx="12">
                        <c:v>210010 - Grond ontgraven uit cunet wegen en parkeervakken 0,25 m</c:v>
                      </c:pt>
                      <c:pt idx="13">
                        <c:v>210020 - Grond ontgraven uit sleuf riolering (gerekend met 11,5m3/m1 riool)</c:v>
                      </c:pt>
                      <c:pt idx="14">
                        <c:v>210030 - Grond ontgraven uit plantvak</c:v>
                      </c:pt>
                      <c:pt idx="15">
                        <c:v>220010 - Grond verwerken in sleuf riolering</c:v>
                      </c:pt>
                      <c:pt idx="16">
                        <c:v>220020 - Leveren en aanbrengen zand voor zand (gemiddeld 100 mm)</c:v>
                      </c:pt>
                      <c:pt idx="17">
                        <c:v>322020 - Leveren en aanbrengen rioolbuis van Beton Ø400mm</c:v>
                      </c:pt>
                      <c:pt idx="18">
                        <c:v>322070 - Leveren en aanbrengen rioolbuis van Beton IT Ø400mm</c:v>
                      </c:pt>
                      <c:pt idx="19">
                        <c:v>322100 - Leveren en aanbrengen rioolbuis van Beton IT Ø800mm</c:v>
                      </c:pt>
                      <c:pt idx="20">
                        <c:v>330010 - Leveren en aanbrengen kolken</c:v>
                      </c:pt>
                      <c:pt idx="21">
                        <c:v>420010 - Leveren en aanbrengen fundering menggranulaat, (250mm dik)</c:v>
                      </c:pt>
                      <c:pt idx="22">
                        <c:v>430010 - Leveren en aanbrengen trottoirbanden 180/200x250</c:v>
                      </c:pt>
                      <c:pt idx="23">
                        <c:v>430020 - Leveren en aanbrengen trottoirbanden 130/150x250</c:v>
                      </c:pt>
                      <c:pt idx="24">
                        <c:v>430040 - Leveren en aanbrengen opsluitbanden 100x200</c:v>
                      </c:pt>
                      <c:pt idx="25">
                        <c:v>430050 - Leveren en aanbrengen opsluitbanden 120x250</c:v>
                      </c:pt>
                      <c:pt idx="26">
                        <c:v>440010 - Aanbrengen straatbakstenen DF, Rood (rijweg)</c:v>
                      </c:pt>
                      <c:pt idx="27">
                        <c:v>440020 - Aanbrengen straatbakstenen DF, Geel (rijweg/ plein)</c:v>
                      </c:pt>
                      <c:pt idx="28">
                        <c:v>440030 - Aanbrengen straatbakstenen DF, Rood (parkeervakken)</c:v>
                      </c:pt>
                      <c:pt idx="29">
                        <c:v>440040 - Aanbrengen straatbakstenen DF, Geel (parkeervakken)</c:v>
                      </c:pt>
                      <c:pt idx="30">
                        <c:v>440050 - Leveren en aanbrengen open (grasbeton) verharding (parkeerplaats)</c:v>
                      </c:pt>
                      <c:pt idx="31">
                        <c:v>440060 - Aanbrengen straatbakstenen DF, Rood (trottoir)</c:v>
                      </c:pt>
                      <c:pt idx="32">
                        <c:v>440070 - Aanbrengen straatbakstenen DF, Geel (trottoir)</c:v>
                      </c:pt>
                      <c:pt idx="33">
                        <c:v>440090 - Aanbrengen straatbakstenen DF, Rood (drempelopgang)</c:v>
                      </c:pt>
                    </c:strCache>
                  </c:strRef>
                </c:cat>
                <c:val>
                  <c:numRef>
                    <c:extLst xmlns:c15="http://schemas.microsoft.com/office/drawing/2012/chart">
                      <c:ext xmlns:c15="http://schemas.microsoft.com/office/drawing/2012/chart" uri="{02D57815-91ED-43cb-92C2-25804820EDAC}">
                        <c15:formulaRef>
                          <c15:sqref>Optimalisatie_Backlog!$E$4:$E$103</c15:sqref>
                        </c15:formulaRef>
                      </c:ext>
                    </c:extLst>
                    <c:numCache>
                      <c:formatCode>_([$€-2]\ * #,##0.00_);_([$€-2]\ * \(#,##0.00\);_([$€-2]\ * "-"??_);_(@_)</c:formatCode>
                      <c:ptCount val="3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numCache>
                  </c:numRef>
                </c:val>
                <c:extLst xmlns:c15="http://schemas.microsoft.com/office/drawing/2012/chart">
                  <c:ext xmlns:c16="http://schemas.microsoft.com/office/drawing/2014/chart" uri="{C3380CC4-5D6E-409C-BE32-E72D297353CC}">
                    <c16:uniqueId val="{00000003-2607-4046-AE90-5D1455B8184A}"/>
                  </c:ext>
                </c:extLst>
              </c15:ser>
            </c15:filteredBarSeries>
            <c15:filteredBarSeries>
              <c15:ser>
                <c:idx val="2"/>
                <c:order val="3"/>
                <c:tx>
                  <c:strRef>
                    <c:extLst xmlns:c15="http://schemas.microsoft.com/office/drawing/2012/chart">
                      <c:ext xmlns:c15="http://schemas.microsoft.com/office/drawing/2012/chart" uri="{02D57815-91ED-43cb-92C2-25804820EDAC}">
                        <c15:formulaRef>
                          <c15:sqref>Optimalisatie_Backlog!$F$3</c15:sqref>
                        </c15:formulaRef>
                      </c:ext>
                    </c:extLst>
                    <c:strCache>
                      <c:ptCount val="1"/>
                      <c:pt idx="0">
                        <c:v>A3</c:v>
                      </c:pt>
                    </c:strCache>
                  </c:strRef>
                </c:tx>
                <c:spPr>
                  <a:solidFill>
                    <a:srgbClr val="00B0F0"/>
                  </a:solidFill>
                  <a:ln>
                    <a:noFill/>
                  </a:ln>
                  <a:effectLst/>
                </c:spPr>
                <c:invertIfNegative val="0"/>
                <c:cat>
                  <c:strRef>
                    <c:extLst xmlns:c15="http://schemas.microsoft.com/office/drawing/2012/chart">
                      <c:ext xmlns:c15="http://schemas.microsoft.com/office/drawing/2012/chart" uri="{02D57815-91ED-43cb-92C2-25804820EDAC}">
                        <c15:formulaRef>
                          <c15:sqref>Optimalisatie_Backlog!$B$4:$B$103</c15:sqref>
                        </c15:formulaRef>
                      </c:ext>
                    </c:extLst>
                    <c:strCache>
                      <c:ptCount val="34"/>
                      <c:pt idx="0">
                        <c:v>121110 - Opbreken trottoirband </c:v>
                      </c:pt>
                      <c:pt idx="1">
                        <c:v>121120 - Opbreken RWS band</c:v>
                      </c:pt>
                      <c:pt idx="2">
                        <c:v>121140 - Opbreken Opsluitband</c:v>
                      </c:pt>
                      <c:pt idx="3">
                        <c:v>121310 - Opbreken betonstraatstenen</c:v>
                      </c:pt>
                      <c:pt idx="4">
                        <c:v>121320 - Opbreken straatbakstenen en geschikt maken voor hergebruik</c:v>
                      </c:pt>
                      <c:pt idx="5">
                        <c:v>121330 - Opbreken en afvoeren straatbakstenen</c:v>
                      </c:pt>
                      <c:pt idx="6">
                        <c:v>121340 - Opbreken betontegels 300x300x45mm</c:v>
                      </c:pt>
                      <c:pt idx="7">
                        <c:v>121410 - Opbreken en afvoeren asfaltverharding zwart teervrij</c:v>
                      </c:pt>
                      <c:pt idx="8">
                        <c:v>121420 - Opbreken en afvoeren asfaltverharding rood teervrij</c:v>
                      </c:pt>
                      <c:pt idx="9">
                        <c:v>121510 - Opbreken fundering van menggranulaat, 400-200 mm dik</c:v>
                      </c:pt>
                      <c:pt idx="10">
                        <c:v>121520 - Opbreken fundering van slakken 200-400 mm dik</c:v>
                      </c:pt>
                      <c:pt idx="11">
                        <c:v>121310 - Verwijderen en afvoeren kolken, incl aansluitingen</c:v>
                      </c:pt>
                      <c:pt idx="12">
                        <c:v>210010 - Grond ontgraven uit cunet wegen en parkeervakken 0,25 m</c:v>
                      </c:pt>
                      <c:pt idx="13">
                        <c:v>210020 - Grond ontgraven uit sleuf riolering (gerekend met 11,5m3/m1 riool)</c:v>
                      </c:pt>
                      <c:pt idx="14">
                        <c:v>210030 - Grond ontgraven uit plantvak</c:v>
                      </c:pt>
                      <c:pt idx="15">
                        <c:v>220010 - Grond verwerken in sleuf riolering</c:v>
                      </c:pt>
                      <c:pt idx="16">
                        <c:v>220020 - Leveren en aanbrengen zand voor zand (gemiddeld 100 mm)</c:v>
                      </c:pt>
                      <c:pt idx="17">
                        <c:v>322020 - Leveren en aanbrengen rioolbuis van Beton Ø400mm</c:v>
                      </c:pt>
                      <c:pt idx="18">
                        <c:v>322070 - Leveren en aanbrengen rioolbuis van Beton IT Ø400mm</c:v>
                      </c:pt>
                      <c:pt idx="19">
                        <c:v>322100 - Leveren en aanbrengen rioolbuis van Beton IT Ø800mm</c:v>
                      </c:pt>
                      <c:pt idx="20">
                        <c:v>330010 - Leveren en aanbrengen kolken</c:v>
                      </c:pt>
                      <c:pt idx="21">
                        <c:v>420010 - Leveren en aanbrengen fundering menggranulaat, (250mm dik)</c:v>
                      </c:pt>
                      <c:pt idx="22">
                        <c:v>430010 - Leveren en aanbrengen trottoirbanden 180/200x250</c:v>
                      </c:pt>
                      <c:pt idx="23">
                        <c:v>430020 - Leveren en aanbrengen trottoirbanden 130/150x250</c:v>
                      </c:pt>
                      <c:pt idx="24">
                        <c:v>430040 - Leveren en aanbrengen opsluitbanden 100x200</c:v>
                      </c:pt>
                      <c:pt idx="25">
                        <c:v>430050 - Leveren en aanbrengen opsluitbanden 120x250</c:v>
                      </c:pt>
                      <c:pt idx="26">
                        <c:v>440010 - Aanbrengen straatbakstenen DF, Rood (rijweg)</c:v>
                      </c:pt>
                      <c:pt idx="27">
                        <c:v>440020 - Aanbrengen straatbakstenen DF, Geel (rijweg/ plein)</c:v>
                      </c:pt>
                      <c:pt idx="28">
                        <c:v>440030 - Aanbrengen straatbakstenen DF, Rood (parkeervakken)</c:v>
                      </c:pt>
                      <c:pt idx="29">
                        <c:v>440040 - Aanbrengen straatbakstenen DF, Geel (parkeervakken)</c:v>
                      </c:pt>
                      <c:pt idx="30">
                        <c:v>440050 - Leveren en aanbrengen open (grasbeton) verharding (parkeerplaats)</c:v>
                      </c:pt>
                      <c:pt idx="31">
                        <c:v>440060 - Aanbrengen straatbakstenen DF, Rood (trottoir)</c:v>
                      </c:pt>
                      <c:pt idx="32">
                        <c:v>440070 - Aanbrengen straatbakstenen DF, Geel (trottoir)</c:v>
                      </c:pt>
                      <c:pt idx="33">
                        <c:v>440090 - Aanbrengen straatbakstenen DF, Rood (drempelopgang)</c:v>
                      </c:pt>
                    </c:strCache>
                  </c:strRef>
                </c:cat>
                <c:val>
                  <c:numRef>
                    <c:extLst xmlns:c15="http://schemas.microsoft.com/office/drawing/2012/chart">
                      <c:ext xmlns:c15="http://schemas.microsoft.com/office/drawing/2012/chart" uri="{02D57815-91ED-43cb-92C2-25804820EDAC}">
                        <c15:formulaRef>
                          <c15:sqref>Optimalisatie_Backlog!$F$4:$F$103</c15:sqref>
                        </c15:formulaRef>
                      </c:ext>
                    </c:extLst>
                    <c:numCache>
                      <c:formatCode>_([$€-2]\ * #,##0.00_);_([$€-2]\ * \(#,##0.00\);_([$€-2]\ * "-"??_);_(@_)</c:formatCode>
                      <c:ptCount val="3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numCache>
                  </c:numRef>
                </c:val>
                <c:extLst xmlns:c15="http://schemas.microsoft.com/office/drawing/2012/chart">
                  <c:ext xmlns:c16="http://schemas.microsoft.com/office/drawing/2014/chart" uri="{C3380CC4-5D6E-409C-BE32-E72D297353CC}">
                    <c16:uniqueId val="{00000004-2607-4046-AE90-5D1455B8184A}"/>
                  </c:ext>
                </c:extLst>
              </c15:ser>
            </c15:filteredBarSeries>
            <c15:filteredBarSeries>
              <c15:ser>
                <c:idx val="0"/>
                <c:order val="13"/>
                <c:tx>
                  <c:strRef>
                    <c:extLst xmlns:c15="http://schemas.microsoft.com/office/drawing/2012/chart">
                      <c:ext xmlns:c15="http://schemas.microsoft.com/office/drawing/2012/chart" uri="{02D57815-91ED-43cb-92C2-25804820EDAC}">
                        <c15:formulaRef>
                          <c15:sqref>Optimalisatie_Backlog!$P$3</c15:sqref>
                        </c15:formulaRef>
                      </c:ext>
                    </c:extLst>
                    <c:strCache>
                      <c:ptCount val="1"/>
                      <c:pt idx="0">
                        <c:v>D1</c:v>
                      </c:pt>
                    </c:strCache>
                  </c:strRef>
                </c:tx>
                <c:spPr>
                  <a:solidFill>
                    <a:srgbClr val="FF0000"/>
                  </a:solidFill>
                  <a:ln>
                    <a:noFill/>
                  </a:ln>
                  <a:effectLst/>
                </c:spPr>
                <c:invertIfNegative val="0"/>
                <c:cat>
                  <c:strRef>
                    <c:extLst xmlns:c15="http://schemas.microsoft.com/office/drawing/2012/chart">
                      <c:ext xmlns:c15="http://schemas.microsoft.com/office/drawing/2012/chart" uri="{02D57815-91ED-43cb-92C2-25804820EDAC}">
                        <c15:formulaRef>
                          <c15:sqref>Optimalisatie_Backlog!$B$4:$B$103</c15:sqref>
                        </c15:formulaRef>
                      </c:ext>
                    </c:extLst>
                    <c:strCache>
                      <c:ptCount val="34"/>
                      <c:pt idx="0">
                        <c:v>121110 - Opbreken trottoirband </c:v>
                      </c:pt>
                      <c:pt idx="1">
                        <c:v>121120 - Opbreken RWS band</c:v>
                      </c:pt>
                      <c:pt idx="2">
                        <c:v>121140 - Opbreken Opsluitband</c:v>
                      </c:pt>
                      <c:pt idx="3">
                        <c:v>121310 - Opbreken betonstraatstenen</c:v>
                      </c:pt>
                      <c:pt idx="4">
                        <c:v>121320 - Opbreken straatbakstenen en geschikt maken voor hergebruik</c:v>
                      </c:pt>
                      <c:pt idx="5">
                        <c:v>121330 - Opbreken en afvoeren straatbakstenen</c:v>
                      </c:pt>
                      <c:pt idx="6">
                        <c:v>121340 - Opbreken betontegels 300x300x45mm</c:v>
                      </c:pt>
                      <c:pt idx="7">
                        <c:v>121410 - Opbreken en afvoeren asfaltverharding zwart teervrij</c:v>
                      </c:pt>
                      <c:pt idx="8">
                        <c:v>121420 - Opbreken en afvoeren asfaltverharding rood teervrij</c:v>
                      </c:pt>
                      <c:pt idx="9">
                        <c:v>121510 - Opbreken fundering van menggranulaat, 400-200 mm dik</c:v>
                      </c:pt>
                      <c:pt idx="10">
                        <c:v>121520 - Opbreken fundering van slakken 200-400 mm dik</c:v>
                      </c:pt>
                      <c:pt idx="11">
                        <c:v>121310 - Verwijderen en afvoeren kolken, incl aansluitingen</c:v>
                      </c:pt>
                      <c:pt idx="12">
                        <c:v>210010 - Grond ontgraven uit cunet wegen en parkeervakken 0,25 m</c:v>
                      </c:pt>
                      <c:pt idx="13">
                        <c:v>210020 - Grond ontgraven uit sleuf riolering (gerekend met 11,5m3/m1 riool)</c:v>
                      </c:pt>
                      <c:pt idx="14">
                        <c:v>210030 - Grond ontgraven uit plantvak</c:v>
                      </c:pt>
                      <c:pt idx="15">
                        <c:v>220010 - Grond verwerken in sleuf riolering</c:v>
                      </c:pt>
                      <c:pt idx="16">
                        <c:v>220020 - Leveren en aanbrengen zand voor zand (gemiddeld 100 mm)</c:v>
                      </c:pt>
                      <c:pt idx="17">
                        <c:v>322020 - Leveren en aanbrengen rioolbuis van Beton Ø400mm</c:v>
                      </c:pt>
                      <c:pt idx="18">
                        <c:v>322070 - Leveren en aanbrengen rioolbuis van Beton IT Ø400mm</c:v>
                      </c:pt>
                      <c:pt idx="19">
                        <c:v>322100 - Leveren en aanbrengen rioolbuis van Beton IT Ø800mm</c:v>
                      </c:pt>
                      <c:pt idx="20">
                        <c:v>330010 - Leveren en aanbrengen kolken</c:v>
                      </c:pt>
                      <c:pt idx="21">
                        <c:v>420010 - Leveren en aanbrengen fundering menggranulaat, (250mm dik)</c:v>
                      </c:pt>
                      <c:pt idx="22">
                        <c:v>430010 - Leveren en aanbrengen trottoirbanden 180/200x250</c:v>
                      </c:pt>
                      <c:pt idx="23">
                        <c:v>430020 - Leveren en aanbrengen trottoirbanden 130/150x250</c:v>
                      </c:pt>
                      <c:pt idx="24">
                        <c:v>430040 - Leveren en aanbrengen opsluitbanden 100x200</c:v>
                      </c:pt>
                      <c:pt idx="25">
                        <c:v>430050 - Leveren en aanbrengen opsluitbanden 120x250</c:v>
                      </c:pt>
                      <c:pt idx="26">
                        <c:v>440010 - Aanbrengen straatbakstenen DF, Rood (rijweg)</c:v>
                      </c:pt>
                      <c:pt idx="27">
                        <c:v>440020 - Aanbrengen straatbakstenen DF, Geel (rijweg/ plein)</c:v>
                      </c:pt>
                      <c:pt idx="28">
                        <c:v>440030 - Aanbrengen straatbakstenen DF, Rood (parkeervakken)</c:v>
                      </c:pt>
                      <c:pt idx="29">
                        <c:v>440040 - Aanbrengen straatbakstenen DF, Geel (parkeervakken)</c:v>
                      </c:pt>
                      <c:pt idx="30">
                        <c:v>440050 - Leveren en aanbrengen open (grasbeton) verharding (parkeerplaats)</c:v>
                      </c:pt>
                      <c:pt idx="31">
                        <c:v>440060 - Aanbrengen straatbakstenen DF, Rood (trottoir)</c:v>
                      </c:pt>
                      <c:pt idx="32">
                        <c:v>440070 - Aanbrengen straatbakstenen DF, Geel (trottoir)</c:v>
                      </c:pt>
                      <c:pt idx="33">
                        <c:v>440090 - Aanbrengen straatbakstenen DF, Rood (drempelopgang)</c:v>
                      </c:pt>
                    </c:strCache>
                  </c:strRef>
                </c:cat>
                <c:val>
                  <c:numRef>
                    <c:extLst xmlns:c15="http://schemas.microsoft.com/office/drawing/2012/chart">
                      <c:ext xmlns:c15="http://schemas.microsoft.com/office/drawing/2012/chart" uri="{02D57815-91ED-43cb-92C2-25804820EDAC}">
                        <c15:formulaRef>
                          <c15:sqref>Optimalisatie_Backlog!$P$4:$P$103</c15:sqref>
                        </c15:formulaRef>
                      </c:ext>
                    </c:extLst>
                    <c:numCache>
                      <c:formatCode>_([$€-2]\ * #,##0.00_);_([$€-2]\ * \(#,##0.00\);_([$€-2]\ * "-"??_);_(@_)</c:formatCode>
                      <c:ptCount val="34"/>
                      <c:pt idx="0">
                        <c:v>0</c:v>
                      </c:pt>
                      <c:pt idx="1">
                        <c:v>0</c:v>
                      </c:pt>
                      <c:pt idx="2">
                        <c:v>0</c:v>
                      </c:pt>
                      <c:pt idx="3">
                        <c:v>0</c:v>
                      </c:pt>
                      <c:pt idx="4">
                        <c:v>-20479.2</c:v>
                      </c:pt>
                      <c:pt idx="5">
                        <c:v>0</c:v>
                      </c:pt>
                      <c:pt idx="6">
                        <c:v>-537.80549999999994</c:v>
                      </c:pt>
                      <c:pt idx="7">
                        <c:v>0</c:v>
                      </c:pt>
                      <c:pt idx="8">
                        <c:v>0</c:v>
                      </c:pt>
                      <c:pt idx="9">
                        <c:v>0</c:v>
                      </c:pt>
                      <c:pt idx="10">
                        <c:v>0</c:v>
                      </c:pt>
                      <c:pt idx="11">
                        <c:v>-763.56</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numCache>
                  </c:numRef>
                </c:val>
                <c:extLst xmlns:c15="http://schemas.microsoft.com/office/drawing/2012/chart">
                  <c:ext xmlns:c16="http://schemas.microsoft.com/office/drawing/2014/chart" uri="{C3380CC4-5D6E-409C-BE32-E72D297353CC}">
                    <c16:uniqueId val="{00000000-01FD-4EB7-9F7A-A6587F1288D0}"/>
                  </c:ext>
                </c:extLst>
              </c15:ser>
            </c15:filteredBarSeries>
            <c15:filteredBarSeries>
              <c15:ser>
                <c:idx val="14"/>
                <c:order val="14"/>
                <c:tx>
                  <c:strRef>
                    <c:extLst xmlns:c15="http://schemas.microsoft.com/office/drawing/2012/chart">
                      <c:ext xmlns:c15="http://schemas.microsoft.com/office/drawing/2012/chart" uri="{02D57815-91ED-43cb-92C2-25804820EDAC}">
                        <c15:formulaRef>
                          <c15:sqref>Optimalisatie_Backlog!$Q$3</c15:sqref>
                        </c15:formulaRef>
                      </c:ext>
                    </c:extLst>
                    <c:strCache>
                      <c:ptCount val="1"/>
                      <c:pt idx="0">
                        <c:v>D2</c:v>
                      </c:pt>
                    </c:strCache>
                  </c:strRef>
                </c:tx>
                <c:spPr>
                  <a:solidFill>
                    <a:srgbClr val="FC8784"/>
                  </a:solidFill>
                  <a:ln>
                    <a:noFill/>
                  </a:ln>
                  <a:effectLst/>
                </c:spPr>
                <c:invertIfNegative val="0"/>
                <c:cat>
                  <c:strRef>
                    <c:extLst xmlns:c15="http://schemas.microsoft.com/office/drawing/2012/chart">
                      <c:ext xmlns:c15="http://schemas.microsoft.com/office/drawing/2012/chart" uri="{02D57815-91ED-43cb-92C2-25804820EDAC}">
                        <c15:formulaRef>
                          <c15:sqref>Optimalisatie_Backlog!$B$4:$B$103</c15:sqref>
                        </c15:formulaRef>
                      </c:ext>
                    </c:extLst>
                    <c:strCache>
                      <c:ptCount val="34"/>
                      <c:pt idx="0">
                        <c:v>121110 - Opbreken trottoirband </c:v>
                      </c:pt>
                      <c:pt idx="1">
                        <c:v>121120 - Opbreken RWS band</c:v>
                      </c:pt>
                      <c:pt idx="2">
                        <c:v>121140 - Opbreken Opsluitband</c:v>
                      </c:pt>
                      <c:pt idx="3">
                        <c:v>121310 - Opbreken betonstraatstenen</c:v>
                      </c:pt>
                      <c:pt idx="4">
                        <c:v>121320 - Opbreken straatbakstenen en geschikt maken voor hergebruik</c:v>
                      </c:pt>
                      <c:pt idx="5">
                        <c:v>121330 - Opbreken en afvoeren straatbakstenen</c:v>
                      </c:pt>
                      <c:pt idx="6">
                        <c:v>121340 - Opbreken betontegels 300x300x45mm</c:v>
                      </c:pt>
                      <c:pt idx="7">
                        <c:v>121410 - Opbreken en afvoeren asfaltverharding zwart teervrij</c:v>
                      </c:pt>
                      <c:pt idx="8">
                        <c:v>121420 - Opbreken en afvoeren asfaltverharding rood teervrij</c:v>
                      </c:pt>
                      <c:pt idx="9">
                        <c:v>121510 - Opbreken fundering van menggranulaat, 400-200 mm dik</c:v>
                      </c:pt>
                      <c:pt idx="10">
                        <c:v>121520 - Opbreken fundering van slakken 200-400 mm dik</c:v>
                      </c:pt>
                      <c:pt idx="11">
                        <c:v>121310 - Verwijderen en afvoeren kolken, incl aansluitingen</c:v>
                      </c:pt>
                      <c:pt idx="12">
                        <c:v>210010 - Grond ontgraven uit cunet wegen en parkeervakken 0,25 m</c:v>
                      </c:pt>
                      <c:pt idx="13">
                        <c:v>210020 - Grond ontgraven uit sleuf riolering (gerekend met 11,5m3/m1 riool)</c:v>
                      </c:pt>
                      <c:pt idx="14">
                        <c:v>210030 - Grond ontgraven uit plantvak</c:v>
                      </c:pt>
                      <c:pt idx="15">
                        <c:v>220010 - Grond verwerken in sleuf riolering</c:v>
                      </c:pt>
                      <c:pt idx="16">
                        <c:v>220020 - Leveren en aanbrengen zand voor zand (gemiddeld 100 mm)</c:v>
                      </c:pt>
                      <c:pt idx="17">
                        <c:v>322020 - Leveren en aanbrengen rioolbuis van Beton Ø400mm</c:v>
                      </c:pt>
                      <c:pt idx="18">
                        <c:v>322070 - Leveren en aanbrengen rioolbuis van Beton IT Ø400mm</c:v>
                      </c:pt>
                      <c:pt idx="19">
                        <c:v>322100 - Leveren en aanbrengen rioolbuis van Beton IT Ø800mm</c:v>
                      </c:pt>
                      <c:pt idx="20">
                        <c:v>330010 - Leveren en aanbrengen kolken</c:v>
                      </c:pt>
                      <c:pt idx="21">
                        <c:v>420010 - Leveren en aanbrengen fundering menggranulaat, (250mm dik)</c:v>
                      </c:pt>
                      <c:pt idx="22">
                        <c:v>430010 - Leveren en aanbrengen trottoirbanden 180/200x250</c:v>
                      </c:pt>
                      <c:pt idx="23">
                        <c:v>430020 - Leveren en aanbrengen trottoirbanden 130/150x250</c:v>
                      </c:pt>
                      <c:pt idx="24">
                        <c:v>430040 - Leveren en aanbrengen opsluitbanden 100x200</c:v>
                      </c:pt>
                      <c:pt idx="25">
                        <c:v>430050 - Leveren en aanbrengen opsluitbanden 120x250</c:v>
                      </c:pt>
                      <c:pt idx="26">
                        <c:v>440010 - Aanbrengen straatbakstenen DF, Rood (rijweg)</c:v>
                      </c:pt>
                      <c:pt idx="27">
                        <c:v>440020 - Aanbrengen straatbakstenen DF, Geel (rijweg/ plein)</c:v>
                      </c:pt>
                      <c:pt idx="28">
                        <c:v>440030 - Aanbrengen straatbakstenen DF, Rood (parkeervakken)</c:v>
                      </c:pt>
                      <c:pt idx="29">
                        <c:v>440040 - Aanbrengen straatbakstenen DF, Geel (parkeervakken)</c:v>
                      </c:pt>
                      <c:pt idx="30">
                        <c:v>440050 - Leveren en aanbrengen open (grasbeton) verharding (parkeerplaats)</c:v>
                      </c:pt>
                      <c:pt idx="31">
                        <c:v>440060 - Aanbrengen straatbakstenen DF, Rood (trottoir)</c:v>
                      </c:pt>
                      <c:pt idx="32">
                        <c:v>440070 - Aanbrengen straatbakstenen DF, Geel (trottoir)</c:v>
                      </c:pt>
                      <c:pt idx="33">
                        <c:v>440090 - Aanbrengen straatbakstenen DF, Rood (drempelopgang)</c:v>
                      </c:pt>
                    </c:strCache>
                  </c:strRef>
                </c:cat>
                <c:val>
                  <c:numRef>
                    <c:extLst xmlns:c15="http://schemas.microsoft.com/office/drawing/2012/chart">
                      <c:ext xmlns:c15="http://schemas.microsoft.com/office/drawing/2012/chart" uri="{02D57815-91ED-43cb-92C2-25804820EDAC}">
                        <c15:formulaRef>
                          <c15:sqref>Optimalisatie_Backlog!$Q$4:$Q$103</c15:sqref>
                        </c15:formulaRef>
                      </c:ext>
                    </c:extLst>
                    <c:numCache>
                      <c:formatCode>_([$€-2]\ * #,##0.00_);_([$€-2]\ * \(#,##0.00\);_([$€-2]\ * "-"??_);_(@_)</c:formatCode>
                      <c:ptCount val="3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numCache>
                  </c:numRef>
                </c:val>
                <c:extLst xmlns:c15="http://schemas.microsoft.com/office/drawing/2012/chart">
                  <c:ext xmlns:c16="http://schemas.microsoft.com/office/drawing/2014/chart" uri="{C3380CC4-5D6E-409C-BE32-E72D297353CC}">
                    <c16:uniqueId val="{00000001-01FD-4EB7-9F7A-A6587F1288D0}"/>
                  </c:ext>
                </c:extLst>
              </c15:ser>
            </c15:filteredBarSeries>
            <c15:filteredBarSeries>
              <c15:ser>
                <c:idx val="16"/>
                <c:order val="16"/>
                <c:tx>
                  <c:strRef>
                    <c:extLst xmlns:c15="http://schemas.microsoft.com/office/drawing/2012/chart">
                      <c:ext xmlns:c15="http://schemas.microsoft.com/office/drawing/2012/chart" uri="{02D57815-91ED-43cb-92C2-25804820EDAC}">
                        <c15:formulaRef>
                          <c15:sqref>Optimalisatie_Backlog!$S$3</c15:sqref>
                        </c15:formulaRef>
                      </c:ext>
                    </c:extLst>
                    <c:strCache>
                      <c:ptCount val="1"/>
                      <c:pt idx="0">
                        <c:v>Totaal</c:v>
                      </c:pt>
                    </c:strCache>
                  </c:strRef>
                </c:tx>
                <c:spPr>
                  <a:gradFill rotWithShape="1">
                    <a:gsLst>
                      <a:gs pos="0">
                        <a:schemeClr val="accent5">
                          <a:lumMod val="80000"/>
                          <a:lumOff val="20000"/>
                          <a:satMod val="103000"/>
                          <a:lumMod val="102000"/>
                          <a:tint val="94000"/>
                        </a:schemeClr>
                      </a:gs>
                      <a:gs pos="50000">
                        <a:schemeClr val="accent5">
                          <a:lumMod val="80000"/>
                          <a:lumOff val="20000"/>
                          <a:satMod val="110000"/>
                          <a:lumMod val="100000"/>
                          <a:shade val="100000"/>
                        </a:schemeClr>
                      </a:gs>
                      <a:gs pos="100000">
                        <a:schemeClr val="accent5">
                          <a:lumMod val="80000"/>
                          <a:lumOff val="20000"/>
                          <a:lumMod val="99000"/>
                          <a:satMod val="120000"/>
                          <a:shade val="78000"/>
                        </a:schemeClr>
                      </a:gs>
                    </a:gsLst>
                    <a:lin ang="5400000" scaled="0"/>
                  </a:gradFill>
                  <a:ln>
                    <a:noFill/>
                  </a:ln>
                  <a:effectLst/>
                </c:spPr>
                <c:invertIfNegative val="0"/>
                <c:cat>
                  <c:strRef>
                    <c:extLst xmlns:c15="http://schemas.microsoft.com/office/drawing/2012/chart">
                      <c:ext xmlns:c15="http://schemas.microsoft.com/office/drawing/2012/chart" uri="{02D57815-91ED-43cb-92C2-25804820EDAC}">
                        <c15:formulaRef>
                          <c15:sqref>Optimalisatie_Backlog!$B$4:$B$103</c15:sqref>
                        </c15:formulaRef>
                      </c:ext>
                    </c:extLst>
                    <c:strCache>
                      <c:ptCount val="34"/>
                      <c:pt idx="0">
                        <c:v>121110 - Opbreken trottoirband </c:v>
                      </c:pt>
                      <c:pt idx="1">
                        <c:v>121120 - Opbreken RWS band</c:v>
                      </c:pt>
                      <c:pt idx="2">
                        <c:v>121140 - Opbreken Opsluitband</c:v>
                      </c:pt>
                      <c:pt idx="3">
                        <c:v>121310 - Opbreken betonstraatstenen</c:v>
                      </c:pt>
                      <c:pt idx="4">
                        <c:v>121320 - Opbreken straatbakstenen en geschikt maken voor hergebruik</c:v>
                      </c:pt>
                      <c:pt idx="5">
                        <c:v>121330 - Opbreken en afvoeren straatbakstenen</c:v>
                      </c:pt>
                      <c:pt idx="6">
                        <c:v>121340 - Opbreken betontegels 300x300x45mm</c:v>
                      </c:pt>
                      <c:pt idx="7">
                        <c:v>121410 - Opbreken en afvoeren asfaltverharding zwart teervrij</c:v>
                      </c:pt>
                      <c:pt idx="8">
                        <c:v>121420 - Opbreken en afvoeren asfaltverharding rood teervrij</c:v>
                      </c:pt>
                      <c:pt idx="9">
                        <c:v>121510 - Opbreken fundering van menggranulaat, 400-200 mm dik</c:v>
                      </c:pt>
                      <c:pt idx="10">
                        <c:v>121520 - Opbreken fundering van slakken 200-400 mm dik</c:v>
                      </c:pt>
                      <c:pt idx="11">
                        <c:v>121310 - Verwijderen en afvoeren kolken, incl aansluitingen</c:v>
                      </c:pt>
                      <c:pt idx="12">
                        <c:v>210010 - Grond ontgraven uit cunet wegen en parkeervakken 0,25 m</c:v>
                      </c:pt>
                      <c:pt idx="13">
                        <c:v>210020 - Grond ontgraven uit sleuf riolering (gerekend met 11,5m3/m1 riool)</c:v>
                      </c:pt>
                      <c:pt idx="14">
                        <c:v>210030 - Grond ontgraven uit plantvak</c:v>
                      </c:pt>
                      <c:pt idx="15">
                        <c:v>220010 - Grond verwerken in sleuf riolering</c:v>
                      </c:pt>
                      <c:pt idx="16">
                        <c:v>220020 - Leveren en aanbrengen zand voor zand (gemiddeld 100 mm)</c:v>
                      </c:pt>
                      <c:pt idx="17">
                        <c:v>322020 - Leveren en aanbrengen rioolbuis van Beton Ø400mm</c:v>
                      </c:pt>
                      <c:pt idx="18">
                        <c:v>322070 - Leveren en aanbrengen rioolbuis van Beton IT Ø400mm</c:v>
                      </c:pt>
                      <c:pt idx="19">
                        <c:v>322100 - Leveren en aanbrengen rioolbuis van Beton IT Ø800mm</c:v>
                      </c:pt>
                      <c:pt idx="20">
                        <c:v>330010 - Leveren en aanbrengen kolken</c:v>
                      </c:pt>
                      <c:pt idx="21">
                        <c:v>420010 - Leveren en aanbrengen fundering menggranulaat, (250mm dik)</c:v>
                      </c:pt>
                      <c:pt idx="22">
                        <c:v>430010 - Leveren en aanbrengen trottoirbanden 180/200x250</c:v>
                      </c:pt>
                      <c:pt idx="23">
                        <c:v>430020 - Leveren en aanbrengen trottoirbanden 130/150x250</c:v>
                      </c:pt>
                      <c:pt idx="24">
                        <c:v>430040 - Leveren en aanbrengen opsluitbanden 100x200</c:v>
                      </c:pt>
                      <c:pt idx="25">
                        <c:v>430050 - Leveren en aanbrengen opsluitbanden 120x250</c:v>
                      </c:pt>
                      <c:pt idx="26">
                        <c:v>440010 - Aanbrengen straatbakstenen DF, Rood (rijweg)</c:v>
                      </c:pt>
                      <c:pt idx="27">
                        <c:v>440020 - Aanbrengen straatbakstenen DF, Geel (rijweg/ plein)</c:v>
                      </c:pt>
                      <c:pt idx="28">
                        <c:v>440030 - Aanbrengen straatbakstenen DF, Rood (parkeervakken)</c:v>
                      </c:pt>
                      <c:pt idx="29">
                        <c:v>440040 - Aanbrengen straatbakstenen DF, Geel (parkeervakken)</c:v>
                      </c:pt>
                      <c:pt idx="30">
                        <c:v>440050 - Leveren en aanbrengen open (grasbeton) verharding (parkeerplaats)</c:v>
                      </c:pt>
                      <c:pt idx="31">
                        <c:v>440060 - Aanbrengen straatbakstenen DF, Rood (trottoir)</c:v>
                      </c:pt>
                      <c:pt idx="32">
                        <c:v>440070 - Aanbrengen straatbakstenen DF, Geel (trottoir)</c:v>
                      </c:pt>
                      <c:pt idx="33">
                        <c:v>440090 - Aanbrengen straatbakstenen DF, Rood (drempelopgang)</c:v>
                      </c:pt>
                    </c:strCache>
                  </c:strRef>
                </c:cat>
                <c:val>
                  <c:numRef>
                    <c:extLst xmlns:c15="http://schemas.microsoft.com/office/drawing/2012/chart">
                      <c:ext xmlns:c15="http://schemas.microsoft.com/office/drawing/2012/chart" uri="{02D57815-91ED-43cb-92C2-25804820EDAC}">
                        <c15:formulaRef>
                          <c15:sqref>Optimalisatie_Backlog!$S$4:$S$103</c15:sqref>
                        </c15:formulaRef>
                      </c:ext>
                    </c:extLst>
                    <c:numCache>
                      <c:formatCode>_([$€-2]\ * #,##0.00_);_([$€-2]\ * \(#,##0.00\);_([$€-2]\ * "-"??_);_(@_)</c:formatCode>
                      <c:ptCount val="34"/>
                      <c:pt idx="0">
                        <c:v>355.0918195196474</c:v>
                      </c:pt>
                      <c:pt idx="1">
                        <c:v>36.321211546811988</c:v>
                      </c:pt>
                      <c:pt idx="2">
                        <c:v>126.38939022336237</c:v>
                      </c:pt>
                      <c:pt idx="3">
                        <c:v>133.48266078977426</c:v>
                      </c:pt>
                      <c:pt idx="4">
                        <c:v>-19547.98104244615</c:v>
                      </c:pt>
                      <c:pt idx="5">
                        <c:v>1579.2221584532801</c:v>
                      </c:pt>
                      <c:pt idx="6">
                        <c:v>1853.7022524776125</c:v>
                      </c:pt>
                      <c:pt idx="7">
                        <c:v>-4879.9576903028428</c:v>
                      </c:pt>
                      <c:pt idx="8">
                        <c:v>-7022.3414546145914</c:v>
                      </c:pt>
                      <c:pt idx="9">
                        <c:v>1086.1595366783333</c:v>
                      </c:pt>
                      <c:pt idx="10">
                        <c:v>315.71176392000007</c:v>
                      </c:pt>
                      <c:pt idx="11">
                        <c:v>-158.18094360012014</c:v>
                      </c:pt>
                      <c:pt idx="12">
                        <c:v>1878.9994314283333</c:v>
                      </c:pt>
                      <c:pt idx="13">
                        <c:v>3113.1047662312499</c:v>
                      </c:pt>
                      <c:pt idx="14">
                        <c:v>1753.2337324323335</c:v>
                      </c:pt>
                      <c:pt idx="15">
                        <c:v>4699.89820243125</c:v>
                      </c:pt>
                      <c:pt idx="16">
                        <c:v>6647.63709715</c:v>
                      </c:pt>
                      <c:pt idx="17">
                        <c:v>861.21217482953978</c:v>
                      </c:pt>
                      <c:pt idx="18">
                        <c:v>681.79297174005239</c:v>
                      </c:pt>
                      <c:pt idx="19">
                        <c:v>7146.2479523255643</c:v>
                      </c:pt>
                      <c:pt idx="20">
                        <c:v>2175.3884069049918</c:v>
                      </c:pt>
                      <c:pt idx="21">
                        <c:v>5535.9348318299999</c:v>
                      </c:pt>
                      <c:pt idx="22">
                        <c:v>79.690498421694912</c:v>
                      </c:pt>
                      <c:pt idx="23">
                        <c:v>260.85919952998881</c:v>
                      </c:pt>
                      <c:pt idx="24">
                        <c:v>1060.3991335213143</c:v>
                      </c:pt>
                      <c:pt idx="25">
                        <c:v>1580.0025424838882</c:v>
                      </c:pt>
                      <c:pt idx="26">
                        <c:v>18716.269727621901</c:v>
                      </c:pt>
                      <c:pt idx="27">
                        <c:v>27708.444010166499</c:v>
                      </c:pt>
                      <c:pt idx="28">
                        <c:v>1867.1458227875</c:v>
                      </c:pt>
                      <c:pt idx="29">
                        <c:v>2121.0776546866</c:v>
                      </c:pt>
                      <c:pt idx="30">
                        <c:v>2759.4254933762427</c:v>
                      </c:pt>
                      <c:pt idx="31">
                        <c:v>13114.832259259401</c:v>
                      </c:pt>
                      <c:pt idx="32">
                        <c:v>3435.548313929</c:v>
                      </c:pt>
                      <c:pt idx="33">
                        <c:v>672.17249620349992</c:v>
                      </c:pt>
                    </c:numCache>
                  </c:numRef>
                </c:val>
                <c:extLst xmlns:c15="http://schemas.microsoft.com/office/drawing/2012/chart">
                  <c:ext xmlns:c16="http://schemas.microsoft.com/office/drawing/2014/chart" uri="{C3380CC4-5D6E-409C-BE32-E72D297353CC}">
                    <c16:uniqueId val="{00000003-01FD-4EB7-9F7A-A6587F1288D0}"/>
                  </c:ext>
                </c:extLst>
              </c15:ser>
            </c15:filteredBarSeries>
          </c:ext>
        </c:extLst>
      </c:barChart>
      <c:catAx>
        <c:axId val="1339988456"/>
        <c:scaling>
          <c:orientation val="minMax"/>
        </c:scaling>
        <c:delete val="0"/>
        <c:axPos val="l"/>
        <c:numFmt formatCode="General" sourceLinked="1"/>
        <c:majorTickMark val="none"/>
        <c:minorTickMark val="none"/>
        <c:tickLblPos val="nextTo"/>
        <c:spPr>
          <a:noFill/>
          <a:ln w="9525" cap="flat" cmpd="sng" algn="ctr">
            <a:solidFill>
              <a:schemeClr val="tx2">
                <a:lumMod val="15000"/>
                <a:lumOff val="85000"/>
              </a:schemeClr>
            </a:solidFill>
            <a:round/>
          </a:ln>
          <a:effectLst/>
        </c:spPr>
        <c:txPr>
          <a:bodyPr rot="-60000000" spcFirstLastPara="1" vertOverflow="ellipsis" vert="horz" wrap="square" anchor="ctr" anchorCtr="1"/>
          <a:lstStyle/>
          <a:p>
            <a:pPr>
              <a:defRPr sz="1050" b="1" i="0" u="none" strike="noStrike" kern="1200" baseline="0">
                <a:solidFill>
                  <a:sysClr val="windowText" lastClr="000000"/>
                </a:solidFill>
                <a:latin typeface="+mn-lt"/>
                <a:ea typeface="+mn-ea"/>
                <a:cs typeface="+mn-cs"/>
              </a:defRPr>
            </a:pPr>
            <a:endParaRPr lang="en-US"/>
          </a:p>
        </c:txPr>
        <c:crossAx val="1339988784"/>
        <c:crosses val="autoZero"/>
        <c:auto val="1"/>
        <c:lblAlgn val="ctr"/>
        <c:lblOffset val="100"/>
        <c:noMultiLvlLbl val="0"/>
      </c:catAx>
      <c:valAx>
        <c:axId val="1339988784"/>
        <c:scaling>
          <c:orientation val="minMax"/>
        </c:scaling>
        <c:delete val="0"/>
        <c:axPos val="b"/>
        <c:majorGridlines>
          <c:spPr>
            <a:ln w="9525" cap="flat" cmpd="sng" algn="ctr">
              <a:solidFill>
                <a:schemeClr val="tx2">
                  <a:lumMod val="15000"/>
                  <a:lumOff val="85000"/>
                </a:schemeClr>
              </a:solidFill>
              <a:round/>
            </a:ln>
            <a:effectLst/>
          </c:spPr>
        </c:majorGridlines>
        <c:numFmt formatCode="_([$€-2]\ * #,##0.00_);_([$€-2]\ * \(#,##0.00\);_([$€-2]\ *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en-US"/>
          </a:p>
        </c:txPr>
        <c:crossAx val="133998845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0" i="0" u="none" strike="noStrike" kern="1200" baseline="0">
              <a:solidFill>
                <a:schemeClr val="tx2"/>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nl-NL"/>
              <a:t>MKI-Waarde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0"/>
          <c:order val="0"/>
          <c:spPr>
            <a:solidFill>
              <a:schemeClr val="accent6"/>
            </a:solidFill>
            <a:ln>
              <a:noFill/>
            </a:ln>
            <a:effectLst/>
          </c:spPr>
          <c:invertIfNegative val="0"/>
          <c:cat>
            <c:strRef>
              <c:f>'Monitorings Dashboard'!$C$27:$D$27</c:f>
              <c:strCache>
                <c:ptCount val="2"/>
                <c:pt idx="0">
                  <c:v>Referentieberekening</c:v>
                </c:pt>
                <c:pt idx="1">
                  <c:v>Inschrijfberekening</c:v>
                </c:pt>
              </c:strCache>
            </c:strRef>
          </c:cat>
          <c:val>
            <c:numRef>
              <c:f>'Monitorings Dashboard'!$C$28:$D$28</c:f>
              <c:numCache>
                <c:formatCode>"€"\ #,##0.00</c:formatCode>
                <c:ptCount val="2"/>
                <c:pt idx="0">
                  <c:v>81746.936381935957</c:v>
                </c:pt>
                <c:pt idx="1">
                  <c:v>81746.936381935957</c:v>
                </c:pt>
              </c:numCache>
            </c:numRef>
          </c:val>
          <c:extLst>
            <c:ext xmlns:c16="http://schemas.microsoft.com/office/drawing/2014/chart" uri="{C3380CC4-5D6E-409C-BE32-E72D297353CC}">
              <c16:uniqueId val="{00000000-DEE8-4B60-8EDC-C5DA0A8856CE}"/>
            </c:ext>
          </c:extLst>
        </c:ser>
        <c:dLbls>
          <c:showLegendKey val="0"/>
          <c:showVal val="0"/>
          <c:showCatName val="0"/>
          <c:showSerName val="0"/>
          <c:showPercent val="0"/>
          <c:showBubbleSize val="0"/>
        </c:dLbls>
        <c:gapWidth val="182"/>
        <c:axId val="811655952"/>
        <c:axId val="811657592"/>
      </c:barChart>
      <c:catAx>
        <c:axId val="811655952"/>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11657592"/>
        <c:crosses val="autoZero"/>
        <c:auto val="1"/>
        <c:lblAlgn val="ctr"/>
        <c:lblOffset val="100"/>
        <c:noMultiLvlLbl val="0"/>
      </c:catAx>
      <c:valAx>
        <c:axId val="811657592"/>
        <c:scaling>
          <c:orientation val="minMax"/>
          <c:min val="0"/>
        </c:scaling>
        <c:delete val="0"/>
        <c:axPos val="b"/>
        <c:majorGridlines>
          <c:spPr>
            <a:ln w="9525" cap="flat" cmpd="sng" algn="ctr">
              <a:solidFill>
                <a:schemeClr val="tx1">
                  <a:lumMod val="15000"/>
                  <a:lumOff val="85000"/>
                </a:schemeClr>
              </a:solidFill>
              <a:round/>
            </a:ln>
            <a:effectLst/>
          </c:spPr>
        </c:majorGridlines>
        <c:numFmt formatCode="&quot;€&quot;\ #,##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11655952"/>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nl-NL"/>
              <a:t>CO2 Emissies [ton]</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0"/>
          <c:order val="0"/>
          <c:spPr>
            <a:solidFill>
              <a:schemeClr val="bg2">
                <a:lumMod val="75000"/>
              </a:schemeClr>
            </a:solidFill>
            <a:ln>
              <a:noFill/>
            </a:ln>
            <a:effectLst/>
          </c:spPr>
          <c:invertIfNegative val="0"/>
          <c:cat>
            <c:strRef>
              <c:f>'Monitorings Dashboard'!$C$32:$D$32</c:f>
              <c:strCache>
                <c:ptCount val="2"/>
                <c:pt idx="0">
                  <c:v>Referentieberekening</c:v>
                </c:pt>
                <c:pt idx="1">
                  <c:v>Inschrijfberekening</c:v>
                </c:pt>
              </c:strCache>
            </c:strRef>
          </c:cat>
          <c:val>
            <c:numRef>
              <c:f>'Monitorings Dashboard'!$C$33:$D$33</c:f>
              <c:numCache>
                <c:formatCode>#,##0</c:formatCode>
                <c:ptCount val="2"/>
                <c:pt idx="0">
                  <c:v>615.21424859950707</c:v>
                </c:pt>
                <c:pt idx="1">
                  <c:v>615.21424859950707</c:v>
                </c:pt>
              </c:numCache>
            </c:numRef>
          </c:val>
          <c:extLst>
            <c:ext xmlns:c16="http://schemas.microsoft.com/office/drawing/2014/chart" uri="{C3380CC4-5D6E-409C-BE32-E72D297353CC}">
              <c16:uniqueId val="{00000000-DEE8-4B60-8EDC-C5DA0A8856CE}"/>
            </c:ext>
          </c:extLst>
        </c:ser>
        <c:dLbls>
          <c:showLegendKey val="0"/>
          <c:showVal val="0"/>
          <c:showCatName val="0"/>
          <c:showSerName val="0"/>
          <c:showPercent val="0"/>
          <c:showBubbleSize val="0"/>
        </c:dLbls>
        <c:gapWidth val="182"/>
        <c:axId val="811655952"/>
        <c:axId val="811657592"/>
      </c:barChart>
      <c:catAx>
        <c:axId val="811655952"/>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11657592"/>
        <c:crosses val="autoZero"/>
        <c:auto val="1"/>
        <c:lblAlgn val="ctr"/>
        <c:lblOffset val="100"/>
        <c:noMultiLvlLbl val="0"/>
      </c:catAx>
      <c:valAx>
        <c:axId val="811657592"/>
        <c:scaling>
          <c:orientation val="minMax"/>
          <c:min val="0"/>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11655952"/>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nl-NL"/>
              <a:t>Materiaalgebruik</a:t>
            </a:r>
            <a:r>
              <a:rPr lang="nl-NL" baseline="0"/>
              <a:t> [ton]</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stacked"/>
        <c:varyColors val="0"/>
        <c:ser>
          <c:idx val="0"/>
          <c:order val="0"/>
          <c:tx>
            <c:v>Primaire Grondstoffen</c:v>
          </c:tx>
          <c:spPr>
            <a:solidFill>
              <a:schemeClr val="accent1">
                <a:lumMod val="50000"/>
              </a:schemeClr>
            </a:solidFill>
            <a:ln>
              <a:noFill/>
            </a:ln>
            <a:effectLst/>
          </c:spPr>
          <c:invertIfNegative val="0"/>
          <c:cat>
            <c:strRef>
              <c:f>'Monitorings Dashboard'!$C$37:$D$37</c:f>
              <c:strCache>
                <c:ptCount val="2"/>
                <c:pt idx="0">
                  <c:v>Referentieberekening</c:v>
                </c:pt>
                <c:pt idx="1">
                  <c:v>Inschrijfberekening</c:v>
                </c:pt>
              </c:strCache>
            </c:strRef>
          </c:cat>
          <c:val>
            <c:numRef>
              <c:f>'Monitorings Dashboard'!$C$38:$D$38</c:f>
              <c:numCache>
                <c:formatCode>#,##0</c:formatCode>
                <c:ptCount val="2"/>
                <c:pt idx="0">
                  <c:v>12406.89629521266</c:v>
                </c:pt>
                <c:pt idx="1">
                  <c:v>12406.89629521266</c:v>
                </c:pt>
              </c:numCache>
            </c:numRef>
          </c:val>
          <c:extLst>
            <c:ext xmlns:c16="http://schemas.microsoft.com/office/drawing/2014/chart" uri="{C3380CC4-5D6E-409C-BE32-E72D297353CC}">
              <c16:uniqueId val="{00000000-DEE8-4B60-8EDC-C5DA0A8856CE}"/>
            </c:ext>
          </c:extLst>
        </c:ser>
        <c:ser>
          <c:idx val="1"/>
          <c:order val="1"/>
          <c:tx>
            <c:v>Secundaire Grondstoffen</c:v>
          </c:tx>
          <c:spPr>
            <a:solidFill>
              <a:schemeClr val="accent1">
                <a:lumMod val="60000"/>
                <a:lumOff val="40000"/>
              </a:schemeClr>
            </a:solidFill>
            <a:ln>
              <a:noFill/>
            </a:ln>
            <a:effectLst/>
          </c:spPr>
          <c:invertIfNegative val="0"/>
          <c:cat>
            <c:strRef>
              <c:f>'Monitorings Dashboard'!$C$37:$D$37</c:f>
              <c:strCache>
                <c:ptCount val="2"/>
                <c:pt idx="0">
                  <c:v>Referentieberekening</c:v>
                </c:pt>
                <c:pt idx="1">
                  <c:v>Inschrijfberekening</c:v>
                </c:pt>
              </c:strCache>
            </c:strRef>
          </c:cat>
          <c:val>
            <c:numRef>
              <c:f>'Monitorings Dashboard'!$C$39:$D$39</c:f>
              <c:numCache>
                <c:formatCode>#,##0</c:formatCode>
                <c:ptCount val="2"/>
                <c:pt idx="0">
                  <c:v>94414.091564787333</c:v>
                </c:pt>
                <c:pt idx="1">
                  <c:v>94414.091564787333</c:v>
                </c:pt>
              </c:numCache>
            </c:numRef>
          </c:val>
          <c:extLst>
            <c:ext xmlns:c16="http://schemas.microsoft.com/office/drawing/2014/chart" uri="{C3380CC4-5D6E-409C-BE32-E72D297353CC}">
              <c16:uniqueId val="{00000001-677C-4CCF-88AB-6F7FE36DEF25}"/>
            </c:ext>
          </c:extLst>
        </c:ser>
        <c:dLbls>
          <c:showLegendKey val="0"/>
          <c:showVal val="0"/>
          <c:showCatName val="0"/>
          <c:showSerName val="0"/>
          <c:showPercent val="0"/>
          <c:showBubbleSize val="0"/>
        </c:dLbls>
        <c:gapWidth val="182"/>
        <c:overlap val="100"/>
        <c:axId val="811655952"/>
        <c:axId val="811657592"/>
      </c:barChart>
      <c:catAx>
        <c:axId val="811655952"/>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11657592"/>
        <c:crosses val="autoZero"/>
        <c:auto val="1"/>
        <c:lblAlgn val="ctr"/>
        <c:lblOffset val="100"/>
        <c:noMultiLvlLbl val="0"/>
      </c:catAx>
      <c:valAx>
        <c:axId val="811657592"/>
        <c:scaling>
          <c:orientation val="minMax"/>
          <c:min val="0"/>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11655952"/>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nl-NL"/>
              <a:t>Energiegebruik</a:t>
            </a:r>
            <a:r>
              <a:rPr lang="nl-NL" baseline="0"/>
              <a:t> [GJ]</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stacked"/>
        <c:varyColors val="0"/>
        <c:ser>
          <c:idx val="1"/>
          <c:order val="0"/>
          <c:tx>
            <c:v>Fossiele Energie</c:v>
          </c:tx>
          <c:spPr>
            <a:solidFill>
              <a:schemeClr val="accent4">
                <a:lumMod val="75000"/>
              </a:schemeClr>
            </a:solidFill>
            <a:ln>
              <a:noFill/>
            </a:ln>
            <a:effectLst/>
          </c:spPr>
          <c:invertIfNegative val="0"/>
          <c:cat>
            <c:strRef>
              <c:f>'Monitorings Dashboard'!$C$43:$D$43</c:f>
              <c:strCache>
                <c:ptCount val="2"/>
                <c:pt idx="0">
                  <c:v>Referentieberekening</c:v>
                </c:pt>
                <c:pt idx="1">
                  <c:v>Inschrijfberekening</c:v>
                </c:pt>
              </c:strCache>
            </c:strRef>
          </c:cat>
          <c:val>
            <c:numRef>
              <c:f>'Monitorings Dashboard'!$C$45:$D$45</c:f>
              <c:numCache>
                <c:formatCode>#,##0</c:formatCode>
                <c:ptCount val="2"/>
                <c:pt idx="0">
                  <c:v>2949.6211082591999</c:v>
                </c:pt>
                <c:pt idx="1">
                  <c:v>2949.6211082591999</c:v>
                </c:pt>
              </c:numCache>
            </c:numRef>
          </c:val>
          <c:extLst>
            <c:ext xmlns:c16="http://schemas.microsoft.com/office/drawing/2014/chart" uri="{C3380CC4-5D6E-409C-BE32-E72D297353CC}">
              <c16:uniqueId val="{00000001-677C-4CCF-88AB-6F7FE36DEF25}"/>
            </c:ext>
          </c:extLst>
        </c:ser>
        <c:ser>
          <c:idx val="0"/>
          <c:order val="1"/>
          <c:tx>
            <c:v>Hernieuwbare Energie</c:v>
          </c:tx>
          <c:spPr>
            <a:solidFill>
              <a:schemeClr val="accent4">
                <a:lumMod val="60000"/>
                <a:lumOff val="40000"/>
              </a:schemeClr>
            </a:solidFill>
            <a:ln>
              <a:noFill/>
            </a:ln>
            <a:effectLst/>
          </c:spPr>
          <c:invertIfNegative val="0"/>
          <c:cat>
            <c:strRef>
              <c:f>'Monitorings Dashboard'!$C$43:$D$43</c:f>
              <c:strCache>
                <c:ptCount val="2"/>
                <c:pt idx="0">
                  <c:v>Referentieberekening</c:v>
                </c:pt>
                <c:pt idx="1">
                  <c:v>Inschrijfberekening</c:v>
                </c:pt>
              </c:strCache>
            </c:strRef>
          </c:cat>
          <c:val>
            <c:numRef>
              <c:f>'Monitorings Dashboard'!$C$44:$D$44</c:f>
              <c:numCache>
                <c:formatCode>#,##0</c:formatCode>
                <c:ptCount val="2"/>
                <c:pt idx="0">
                  <c:v>245.26259383418196</c:v>
                </c:pt>
                <c:pt idx="1">
                  <c:v>245.26259383418196</c:v>
                </c:pt>
              </c:numCache>
            </c:numRef>
          </c:val>
          <c:extLst>
            <c:ext xmlns:c16="http://schemas.microsoft.com/office/drawing/2014/chart" uri="{C3380CC4-5D6E-409C-BE32-E72D297353CC}">
              <c16:uniqueId val="{00000000-DEE8-4B60-8EDC-C5DA0A8856CE}"/>
            </c:ext>
          </c:extLst>
        </c:ser>
        <c:dLbls>
          <c:showLegendKey val="0"/>
          <c:showVal val="0"/>
          <c:showCatName val="0"/>
          <c:showSerName val="0"/>
          <c:showPercent val="0"/>
          <c:showBubbleSize val="0"/>
        </c:dLbls>
        <c:gapWidth val="182"/>
        <c:overlap val="100"/>
        <c:axId val="811655952"/>
        <c:axId val="811657592"/>
      </c:barChart>
      <c:catAx>
        <c:axId val="811655952"/>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11657592"/>
        <c:crosses val="autoZero"/>
        <c:auto val="1"/>
        <c:lblAlgn val="ctr"/>
        <c:lblOffset val="100"/>
        <c:noMultiLvlLbl val="0"/>
      </c:catAx>
      <c:valAx>
        <c:axId val="811657592"/>
        <c:scaling>
          <c:orientation val="minMax"/>
          <c:min val="0"/>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11655952"/>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nl-NL"/>
              <a:t>Prijs</a:t>
            </a:r>
            <a:r>
              <a:rPr lang="nl-NL" baseline="0"/>
              <a:t> </a:t>
            </a:r>
            <a:r>
              <a:rPr lang="nl-NL"/>
              <a:t>[€]</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0"/>
          <c:order val="0"/>
          <c:spPr>
            <a:solidFill>
              <a:schemeClr val="tx1"/>
            </a:solidFill>
            <a:ln>
              <a:noFill/>
            </a:ln>
            <a:effectLst/>
          </c:spPr>
          <c:invertIfNegative val="0"/>
          <c:cat>
            <c:strRef>
              <c:f>'Monitorings Dashboard'!$C$63:$D$63</c:f>
              <c:strCache>
                <c:ptCount val="2"/>
                <c:pt idx="0">
                  <c:v>Referentieberekening</c:v>
                </c:pt>
                <c:pt idx="1">
                  <c:v>Inschrijfberekening</c:v>
                </c:pt>
              </c:strCache>
            </c:strRef>
          </c:cat>
          <c:val>
            <c:numRef>
              <c:f>'Monitorings Dashboard'!$C$64:$D$64</c:f>
              <c:numCache>
                <c:formatCode>_ [$€-413]\ * #,##0_ ;_ [$€-413]\ * \-#,##0_ ;_ [$€-413]\ * "-"??_ ;_ @_ </c:formatCode>
                <c:ptCount val="2"/>
                <c:pt idx="0">
                  <c:v>0</c:v>
                </c:pt>
                <c:pt idx="1">
                  <c:v>0</c:v>
                </c:pt>
              </c:numCache>
            </c:numRef>
          </c:val>
          <c:extLst>
            <c:ext xmlns:c16="http://schemas.microsoft.com/office/drawing/2014/chart" uri="{C3380CC4-5D6E-409C-BE32-E72D297353CC}">
              <c16:uniqueId val="{00000000-DEE8-4B60-8EDC-C5DA0A8856CE}"/>
            </c:ext>
          </c:extLst>
        </c:ser>
        <c:dLbls>
          <c:showLegendKey val="0"/>
          <c:showVal val="0"/>
          <c:showCatName val="0"/>
          <c:showSerName val="0"/>
          <c:showPercent val="0"/>
          <c:showBubbleSize val="0"/>
        </c:dLbls>
        <c:gapWidth val="182"/>
        <c:axId val="811655952"/>
        <c:axId val="811657592"/>
      </c:barChart>
      <c:catAx>
        <c:axId val="811655952"/>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11657592"/>
        <c:crosses val="autoZero"/>
        <c:auto val="1"/>
        <c:lblAlgn val="ctr"/>
        <c:lblOffset val="100"/>
        <c:noMultiLvlLbl val="0"/>
      </c:catAx>
      <c:valAx>
        <c:axId val="811657592"/>
        <c:scaling>
          <c:orientation val="minMax"/>
          <c:min val="0"/>
        </c:scaling>
        <c:delete val="0"/>
        <c:axPos val="b"/>
        <c:majorGridlines>
          <c:spPr>
            <a:ln w="9525" cap="flat" cmpd="sng" algn="ctr">
              <a:solidFill>
                <a:schemeClr val="tx1">
                  <a:lumMod val="15000"/>
                  <a:lumOff val="85000"/>
                </a:schemeClr>
              </a:solidFill>
              <a:round/>
            </a:ln>
            <a:effectLst/>
          </c:spPr>
        </c:majorGridlines>
        <c:numFmt formatCode="_ [$€-413]\ * #,##0_ ;_ [$€-413]\ * \-#,##0_ ;_ [$€-413]\ * &quot;-&quot;??_ ;_ @_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11655952"/>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nl-NL"/>
              <a:t>Emissieloos Transport [tkm]</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stacked"/>
        <c:varyColors val="0"/>
        <c:ser>
          <c:idx val="1"/>
          <c:order val="0"/>
          <c:tx>
            <c:v>Niet Emissieloos</c:v>
          </c:tx>
          <c:spPr>
            <a:solidFill>
              <a:schemeClr val="accent2"/>
            </a:solidFill>
            <a:ln>
              <a:noFill/>
            </a:ln>
            <a:effectLst/>
          </c:spPr>
          <c:invertIfNegative val="0"/>
          <c:cat>
            <c:strRef>
              <c:f>'Monitorings Dashboard'!$C$51:$D$51</c:f>
              <c:strCache>
                <c:ptCount val="2"/>
                <c:pt idx="0">
                  <c:v>Referentieberekening</c:v>
                </c:pt>
                <c:pt idx="1">
                  <c:v>Inschrijfberekening</c:v>
                </c:pt>
              </c:strCache>
            </c:strRef>
          </c:cat>
          <c:val>
            <c:numRef>
              <c:f>'Monitorings Dashboard'!$C$53:$D$53</c:f>
              <c:numCache>
                <c:formatCode>#,##0</c:formatCode>
                <c:ptCount val="2"/>
                <c:pt idx="0">
                  <c:v>1346243.9508499999</c:v>
                </c:pt>
                <c:pt idx="1">
                  <c:v>1346243.9508499999</c:v>
                </c:pt>
              </c:numCache>
            </c:numRef>
          </c:val>
          <c:extLst>
            <c:ext xmlns:c16="http://schemas.microsoft.com/office/drawing/2014/chart" uri="{C3380CC4-5D6E-409C-BE32-E72D297353CC}">
              <c16:uniqueId val="{00000001-EFC8-40B0-BF8C-C52A251CFC53}"/>
            </c:ext>
          </c:extLst>
        </c:ser>
        <c:ser>
          <c:idx val="0"/>
          <c:order val="1"/>
          <c:tx>
            <c:v>Emissieloos</c:v>
          </c:tx>
          <c:spPr>
            <a:solidFill>
              <a:schemeClr val="accent2">
                <a:lumMod val="40000"/>
                <a:lumOff val="60000"/>
              </a:schemeClr>
            </a:solidFill>
            <a:ln>
              <a:noFill/>
            </a:ln>
            <a:effectLst/>
          </c:spPr>
          <c:invertIfNegative val="0"/>
          <c:cat>
            <c:strRef>
              <c:f>'Monitorings Dashboard'!$C$51:$D$51</c:f>
              <c:strCache>
                <c:ptCount val="2"/>
                <c:pt idx="0">
                  <c:v>Referentieberekening</c:v>
                </c:pt>
                <c:pt idx="1">
                  <c:v>Inschrijfberekening</c:v>
                </c:pt>
              </c:strCache>
            </c:strRef>
          </c:cat>
          <c:val>
            <c:numRef>
              <c:f>'Monitorings Dashboard'!$C$52:$D$52</c:f>
              <c:numCache>
                <c:formatCode>#,##0</c:formatCode>
                <c:ptCount val="2"/>
                <c:pt idx="0">
                  <c:v>0</c:v>
                </c:pt>
                <c:pt idx="1">
                  <c:v>0</c:v>
                </c:pt>
              </c:numCache>
            </c:numRef>
          </c:val>
          <c:extLst>
            <c:ext xmlns:c16="http://schemas.microsoft.com/office/drawing/2014/chart" uri="{C3380CC4-5D6E-409C-BE32-E72D297353CC}">
              <c16:uniqueId val="{00000000-DEE8-4B60-8EDC-C5DA0A8856CE}"/>
            </c:ext>
          </c:extLst>
        </c:ser>
        <c:dLbls>
          <c:showLegendKey val="0"/>
          <c:showVal val="0"/>
          <c:showCatName val="0"/>
          <c:showSerName val="0"/>
          <c:showPercent val="0"/>
          <c:showBubbleSize val="0"/>
        </c:dLbls>
        <c:gapWidth val="182"/>
        <c:overlap val="100"/>
        <c:axId val="811655952"/>
        <c:axId val="811657592"/>
      </c:barChart>
      <c:catAx>
        <c:axId val="811655952"/>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11657592"/>
        <c:crosses val="autoZero"/>
        <c:auto val="1"/>
        <c:lblAlgn val="ctr"/>
        <c:lblOffset val="100"/>
        <c:noMultiLvlLbl val="0"/>
      </c:catAx>
      <c:valAx>
        <c:axId val="811657592"/>
        <c:scaling>
          <c:orientation val="minMax"/>
          <c:min val="0"/>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11655952"/>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nl-NL"/>
              <a:t>Emissieloos Bouwplaats</a:t>
            </a:r>
            <a:r>
              <a:rPr lang="nl-NL" baseline="0"/>
              <a:t> [uur]</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stacked"/>
        <c:varyColors val="0"/>
        <c:ser>
          <c:idx val="1"/>
          <c:order val="0"/>
          <c:tx>
            <c:v>Niet Emissieloos</c:v>
          </c:tx>
          <c:spPr>
            <a:solidFill>
              <a:schemeClr val="accent6">
                <a:lumMod val="50000"/>
              </a:schemeClr>
            </a:solidFill>
            <a:ln>
              <a:noFill/>
            </a:ln>
            <a:effectLst/>
          </c:spPr>
          <c:invertIfNegative val="0"/>
          <c:cat>
            <c:strRef>
              <c:f>'Monitorings Dashboard'!$C$58:$D$58</c:f>
              <c:strCache>
                <c:ptCount val="2"/>
                <c:pt idx="0">
                  <c:v>Referentieberekening</c:v>
                </c:pt>
                <c:pt idx="1">
                  <c:v>Inschrijfberekening</c:v>
                </c:pt>
              </c:strCache>
            </c:strRef>
          </c:cat>
          <c:val>
            <c:numRef>
              <c:f>'Monitorings Dashboard'!$C$60:$D$60</c:f>
              <c:numCache>
                <c:formatCode>#,##0</c:formatCode>
                <c:ptCount val="2"/>
                <c:pt idx="0">
                  <c:v>4545.531722222222</c:v>
                </c:pt>
                <c:pt idx="1">
                  <c:v>4545.531722222222</c:v>
                </c:pt>
              </c:numCache>
            </c:numRef>
          </c:val>
          <c:extLst>
            <c:ext xmlns:c16="http://schemas.microsoft.com/office/drawing/2014/chart" uri="{C3380CC4-5D6E-409C-BE32-E72D297353CC}">
              <c16:uniqueId val="{00000001-677C-4CCF-88AB-6F7FE36DEF25}"/>
            </c:ext>
          </c:extLst>
        </c:ser>
        <c:ser>
          <c:idx val="0"/>
          <c:order val="1"/>
          <c:tx>
            <c:v>Emissieloos</c:v>
          </c:tx>
          <c:spPr>
            <a:solidFill>
              <a:schemeClr val="accent6">
                <a:lumMod val="60000"/>
                <a:lumOff val="40000"/>
              </a:schemeClr>
            </a:solidFill>
            <a:ln>
              <a:noFill/>
            </a:ln>
            <a:effectLst/>
          </c:spPr>
          <c:invertIfNegative val="0"/>
          <c:cat>
            <c:strRef>
              <c:f>'Monitorings Dashboard'!$C$58:$D$58</c:f>
              <c:strCache>
                <c:ptCount val="2"/>
                <c:pt idx="0">
                  <c:v>Referentieberekening</c:v>
                </c:pt>
                <c:pt idx="1">
                  <c:v>Inschrijfberekening</c:v>
                </c:pt>
              </c:strCache>
            </c:strRef>
          </c:cat>
          <c:val>
            <c:numRef>
              <c:f>'Monitorings Dashboard'!$C$59:$D$59</c:f>
              <c:numCache>
                <c:formatCode>#,##0</c:formatCode>
                <c:ptCount val="2"/>
                <c:pt idx="0">
                  <c:v>0</c:v>
                </c:pt>
                <c:pt idx="1">
                  <c:v>0</c:v>
                </c:pt>
              </c:numCache>
            </c:numRef>
          </c:val>
          <c:extLst>
            <c:ext xmlns:c16="http://schemas.microsoft.com/office/drawing/2014/chart" uri="{C3380CC4-5D6E-409C-BE32-E72D297353CC}">
              <c16:uniqueId val="{00000000-DEE8-4B60-8EDC-C5DA0A8856CE}"/>
            </c:ext>
          </c:extLst>
        </c:ser>
        <c:dLbls>
          <c:showLegendKey val="0"/>
          <c:showVal val="0"/>
          <c:showCatName val="0"/>
          <c:showSerName val="0"/>
          <c:showPercent val="0"/>
          <c:showBubbleSize val="0"/>
        </c:dLbls>
        <c:gapWidth val="182"/>
        <c:overlap val="100"/>
        <c:axId val="811655952"/>
        <c:axId val="811657592"/>
      </c:barChart>
      <c:catAx>
        <c:axId val="811655952"/>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11657592"/>
        <c:crosses val="autoZero"/>
        <c:auto val="1"/>
        <c:lblAlgn val="ctr"/>
        <c:lblOffset val="100"/>
        <c:noMultiLvlLbl val="0"/>
      </c:catAx>
      <c:valAx>
        <c:axId val="811657592"/>
        <c:scaling>
          <c:orientation val="minMax"/>
          <c:min val="0"/>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11655952"/>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302">
  <cs:axisTitle>
    <cs:lnRef idx="0"/>
    <cs:fillRef idx="0"/>
    <cs:effectRef idx="0"/>
    <cs:fontRef idx="minor">
      <a:schemeClr val="tx2"/>
    </cs:fontRef>
    <cs:defRPr sz="900" b="1" kern="1200"/>
  </cs:axisTitle>
  <cs:categoryAxis>
    <cs:lnRef idx="0"/>
    <cs:fillRef idx="0"/>
    <cs:effectRef idx="0"/>
    <cs:fontRef idx="minor">
      <a:schemeClr val="tx2"/>
    </cs:fontRef>
    <cs:spPr>
      <a:ln w="9525" cap="flat" cmpd="sng" algn="ctr">
        <a:solidFill>
          <a:schemeClr val="tx2">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2">
            <a:lumMod val="15000"/>
            <a:lumOff val="85000"/>
          </a:schemeClr>
        </a:solidFill>
        <a:round/>
      </a:ln>
    </cs:spPr>
    <cs:defRPr sz="900" kern="1200"/>
  </cs:chartArea>
  <cs:dataLabel>
    <cs:lnRef idx="0"/>
    <cs:fillRef idx="0"/>
    <cs:effectRef idx="0"/>
    <cs:fontRef idx="minor">
      <a:schemeClr val="tx2"/>
    </cs:fontRef>
    <cs:defRPr sz="900" kern="1200"/>
  </cs:dataLabel>
  <cs:dataLabelCallout>
    <cs:lnRef idx="0"/>
    <cs:fillRef idx="0"/>
    <cs:effectRef idx="0"/>
    <cs:fontRef idx="minor">
      <a:schemeClr val="dk2">
        <a:lumMod val="7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2"/>
    <cs:fontRef idx="minor">
      <a:schemeClr val="tx2"/>
    </cs:fontRef>
  </cs:dataPoint>
  <cs:dataPoint3D>
    <cs:lnRef idx="0"/>
    <cs:fillRef idx="3">
      <cs:styleClr val="auto"/>
    </cs:fillRef>
    <cs:effectRef idx="2"/>
    <cs:fontRef idx="minor">
      <a:schemeClr val="tx2"/>
    </cs:fontRef>
  </cs:dataPoint3D>
  <cs:dataPointLine>
    <cs:lnRef idx="0">
      <cs:styleClr val="auto"/>
    </cs:lnRef>
    <cs:fillRef idx="3"/>
    <cs:effectRef idx="2"/>
    <cs:fontRef idx="minor">
      <a:schemeClr val="tx2"/>
    </cs:fontRef>
    <cs:spPr>
      <a:ln w="31750" cap="rnd">
        <a:solidFill>
          <a:schemeClr val="phClr"/>
        </a:solidFill>
        <a:round/>
      </a:ln>
    </cs:spPr>
  </cs:dataPointLine>
  <cs:dataPointMarker>
    <cs:lnRef idx="0"/>
    <cs:fillRef idx="3">
      <cs:styleClr val="auto"/>
    </cs:fillRef>
    <cs:effectRef idx="2"/>
    <cs:fontRef idx="minor">
      <a:schemeClr val="tx2"/>
    </cs:fontRef>
    <cs:spPr>
      <a:ln w="12700">
        <a:solidFill>
          <a:schemeClr val="lt2"/>
        </a:solidFill>
        <a:round/>
      </a:ln>
    </cs:spPr>
  </cs:dataPointMarker>
  <cs:dataPointMarkerLayout symbol="circle" size="6"/>
  <cs:dataPointWireframe>
    <cs:lnRef idx="0">
      <cs:styleClr val="auto"/>
    </cs:lnRef>
    <cs:fillRef idx="3"/>
    <cs:effectRef idx="2"/>
    <cs:fontRef idx="minor">
      <a:schemeClr val="tx2"/>
    </cs:fontRef>
    <cs:spPr>
      <a:ln w="9525" cap="rnd">
        <a:solidFill>
          <a:schemeClr val="phClr"/>
        </a:solidFill>
        <a:round/>
      </a:ln>
    </cs:spPr>
  </cs:dataPointWireframe>
  <cs:dataTable>
    <cs:lnRef idx="0"/>
    <cs:fillRef idx="0"/>
    <cs:effectRef idx="0"/>
    <cs:fontRef idx="minor">
      <a:schemeClr val="tx2"/>
    </cs:fontRef>
    <cs:spPr>
      <a:ln w="9525">
        <a:solidFill>
          <a:schemeClr val="tx2">
            <a:lumMod val="15000"/>
            <a:lumOff val="85000"/>
          </a:schemeClr>
        </a:solidFill>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2"/>
    </cs:fontRef>
    <cs:spPr>
      <a:ln w="9525">
        <a:solidFill>
          <a:schemeClr val="tx2">
            <a:lumMod val="60000"/>
            <a:lumOff val="40000"/>
          </a:schemeClr>
        </a:solidFill>
        <a:prstDash val="dash"/>
      </a:ln>
    </cs:spPr>
  </cs:dropLine>
  <cs:errorBar>
    <cs:lnRef idx="0"/>
    <cs:fillRef idx="0"/>
    <cs:effectRef idx="0"/>
    <cs:fontRef idx="minor">
      <a:schemeClr val="tx2"/>
    </cs:fontRef>
    <cs:spPr>
      <a:ln w="9525">
        <a:solidFill>
          <a:schemeClr val="tx2">
            <a:lumMod val="75000"/>
          </a:schemeClr>
        </a:solidFill>
        <a:round/>
      </a:ln>
    </cs:spPr>
  </cs:errorBar>
  <cs:floor>
    <cs:lnRef idx="0"/>
    <cs:fillRef idx="0"/>
    <cs:effectRef idx="0"/>
    <cs:fontRef idx="minor">
      <a:schemeClr val="tx2"/>
    </cs:fontRef>
  </cs:floor>
  <cs:gridlineMajor>
    <cs:lnRef idx="0"/>
    <cs:fillRef idx="0"/>
    <cs:effectRef idx="0"/>
    <cs:fontRef idx="minor">
      <a:schemeClr val="tx2"/>
    </cs:fontRef>
    <cs:spPr>
      <a:ln w="9525" cap="flat" cmpd="sng" algn="ctr">
        <a:solidFill>
          <a:schemeClr val="tx2">
            <a:lumMod val="15000"/>
            <a:lumOff val="85000"/>
          </a:schemeClr>
        </a:solidFill>
        <a:round/>
      </a:ln>
    </cs:spPr>
  </cs:gridlineMajor>
  <cs:gridlineMinor>
    <cs:lnRef idx="0"/>
    <cs:fillRef idx="0"/>
    <cs:effectRef idx="0"/>
    <cs:fontRef idx="minor">
      <a:schemeClr val="tx2"/>
    </cs:fontRef>
    <cs:spPr>
      <a:ln>
        <a:solidFill>
          <a:schemeClr val="tx2">
            <a:lumMod val="5000"/>
            <a:lumOff val="95000"/>
          </a:schemeClr>
        </a:solidFill>
      </a:ln>
    </cs:spPr>
  </cs:gridlineMinor>
  <cs:hiLoLine>
    <cs:lnRef idx="0"/>
    <cs:fillRef idx="0"/>
    <cs:effectRef idx="0"/>
    <cs:fontRef idx="minor">
      <a:schemeClr val="tx2"/>
    </cs:fontRef>
    <cs:spPr>
      <a:ln w="9525">
        <a:solidFill>
          <a:schemeClr val="tx2">
            <a:lumMod val="60000"/>
            <a:lumOff val="40000"/>
          </a:schemeClr>
        </a:solidFill>
        <a:prstDash val="dash"/>
      </a:ln>
    </cs:spPr>
  </cs:hiLoLine>
  <cs:leaderLine>
    <cs:lnRef idx="0"/>
    <cs:fillRef idx="0"/>
    <cs:effectRef idx="0"/>
    <cs:fontRef idx="minor">
      <a:schemeClr val="tx2"/>
    </cs:fontRef>
    <cs:spPr>
      <a:ln w="9525">
        <a:solidFill>
          <a:schemeClr val="tx2">
            <a:lumMod val="35000"/>
            <a:lumOff val="65000"/>
          </a:schemeClr>
        </a:solidFill>
      </a:ln>
    </cs:spPr>
  </cs:leaderLine>
  <cs:legend>
    <cs:lnRef idx="0"/>
    <cs:fillRef idx="0"/>
    <cs:effectRef idx="0"/>
    <cs:fontRef idx="minor">
      <a:schemeClr val="tx2"/>
    </cs:fontRef>
    <cs:defRPr sz="900" kern="1200"/>
  </cs:legend>
  <cs:plotArea>
    <cs:lnRef idx="0"/>
    <cs:fillRef idx="0"/>
    <cs:effectRef idx="0"/>
    <cs:fontRef idx="minor">
      <a:schemeClr val="tx2"/>
    </cs:fontRef>
  </cs:plotArea>
  <cs:plotArea3D>
    <cs:lnRef idx="0"/>
    <cs:fillRef idx="0"/>
    <cs:effectRef idx="0"/>
    <cs:fontRef idx="minor">
      <a:schemeClr val="tx2"/>
    </cs:fontRef>
  </cs:plotArea3D>
  <cs:seriesAxis>
    <cs:lnRef idx="0"/>
    <cs:fillRef idx="0"/>
    <cs:effectRef idx="0"/>
    <cs:fontRef idx="minor">
      <a:schemeClr val="tx2"/>
    </cs:fontRef>
    <cs:spPr>
      <a:ln w="9525" cap="flat" cmpd="sng" algn="ctr">
        <a:solidFill>
          <a:schemeClr val="tx2">
            <a:lumMod val="15000"/>
            <a:lumOff val="85000"/>
          </a:schemeClr>
        </a:solidFill>
        <a:round/>
      </a:ln>
    </cs:spPr>
    <cs:defRPr sz="900" kern="1200"/>
  </cs:seriesAxis>
  <cs:seriesLine>
    <cs:lnRef idx="0"/>
    <cs:fillRef idx="0"/>
    <cs:effectRef idx="0"/>
    <cs:fontRef idx="minor">
      <a:schemeClr val="tx2"/>
    </cs:fontRef>
    <cs:spPr>
      <a:ln w="9525">
        <a:solidFill>
          <a:schemeClr val="tx2">
            <a:lumMod val="60000"/>
            <a:lumOff val="40000"/>
          </a:schemeClr>
        </a:solidFill>
        <a:prstDash val="dash"/>
      </a:ln>
    </cs:spPr>
  </cs:seriesLine>
  <cs:title>
    <cs:lnRef idx="0"/>
    <cs:fillRef idx="0"/>
    <cs:effectRef idx="0"/>
    <cs:fontRef idx="minor">
      <a:schemeClr val="tx2"/>
    </cs:fontRef>
    <cs:defRPr sz="1600" b="1" kern="1200"/>
  </cs:title>
  <cs:trendline>
    <cs:lnRef idx="0">
      <cs:styleClr val="auto"/>
    </cs:lnRef>
    <cs:fillRef idx="0"/>
    <cs:effectRef idx="0"/>
    <cs:fontRef idx="minor">
      <a:schemeClr val="tx2"/>
    </cs:fontRef>
    <cs:spPr>
      <a:ln w="19050" cap="rnd">
        <a:solidFill>
          <a:schemeClr val="phClr"/>
        </a:solidFill>
        <a:prstDash val="sysDash"/>
      </a:ln>
    </cs:spPr>
  </cs:trendline>
  <cs:trendlineLabel>
    <cs:lnRef idx="0"/>
    <cs:fillRef idx="0"/>
    <cs:effectRef idx="0"/>
    <cs:fontRef idx="minor">
      <a:schemeClr val="tx2"/>
    </cs:fontRef>
    <cs:defRPr sz="900" kern="1200"/>
  </cs:trendlineLabel>
  <cs:upBar>
    <cs:lnRef idx="0"/>
    <cs:fillRef idx="0"/>
    <cs:effectRef idx="0"/>
    <cs:fontRef idx="minor">
      <a:schemeClr val="tx2"/>
    </cs:fontRef>
    <cs:spPr>
      <a:solidFill>
        <a:schemeClr val="lt1"/>
      </a:solidFill>
      <a:ln w="9525">
        <a:solidFill>
          <a:schemeClr val="tx1">
            <a:lumMod val="15000"/>
            <a:lumOff val="85000"/>
          </a:schemeClr>
        </a:solidFill>
      </a:ln>
    </cs:spPr>
  </cs:upBar>
  <cs:valueAxis>
    <cs:lnRef idx="0"/>
    <cs:fillRef idx="0"/>
    <cs:effectRef idx="0"/>
    <cs:fontRef idx="minor">
      <a:schemeClr val="tx2"/>
    </cs:fontRef>
    <cs:defRPr sz="900" kern="1200"/>
  </cs:valueAxis>
  <cs:wall>
    <cs:lnRef idx="0"/>
    <cs:fillRef idx="0"/>
    <cs:effectRef idx="0"/>
    <cs:fontRef idx="minor">
      <a:schemeClr val="tx2"/>
    </cs:fontRef>
  </cs:wall>
</cs:chartStyle>
</file>

<file path=xl/charts/style5.xml><?xml version="1.0" encoding="utf-8"?>
<cs:chartStyle xmlns:cs="http://schemas.microsoft.com/office/drawing/2012/chartStyle" xmlns:a="http://schemas.openxmlformats.org/drawingml/2006/main" id="302">
  <cs:axisTitle>
    <cs:lnRef idx="0"/>
    <cs:fillRef idx="0"/>
    <cs:effectRef idx="0"/>
    <cs:fontRef idx="minor">
      <a:schemeClr val="tx2"/>
    </cs:fontRef>
    <cs:defRPr sz="900" b="1" kern="1200"/>
  </cs:axisTitle>
  <cs:categoryAxis>
    <cs:lnRef idx="0"/>
    <cs:fillRef idx="0"/>
    <cs:effectRef idx="0"/>
    <cs:fontRef idx="minor">
      <a:schemeClr val="tx2"/>
    </cs:fontRef>
    <cs:spPr>
      <a:ln w="9525" cap="flat" cmpd="sng" algn="ctr">
        <a:solidFill>
          <a:schemeClr val="tx2">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2">
            <a:lumMod val="15000"/>
            <a:lumOff val="85000"/>
          </a:schemeClr>
        </a:solidFill>
        <a:round/>
      </a:ln>
    </cs:spPr>
    <cs:defRPr sz="900" kern="1200"/>
  </cs:chartArea>
  <cs:dataLabel>
    <cs:lnRef idx="0"/>
    <cs:fillRef idx="0"/>
    <cs:effectRef idx="0"/>
    <cs:fontRef idx="minor">
      <a:schemeClr val="tx2"/>
    </cs:fontRef>
    <cs:defRPr sz="900" kern="1200"/>
  </cs:dataLabel>
  <cs:dataLabelCallout>
    <cs:lnRef idx="0"/>
    <cs:fillRef idx="0"/>
    <cs:effectRef idx="0"/>
    <cs:fontRef idx="minor">
      <a:schemeClr val="dk2">
        <a:lumMod val="7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2"/>
    <cs:fontRef idx="minor">
      <a:schemeClr val="tx2"/>
    </cs:fontRef>
  </cs:dataPoint>
  <cs:dataPoint3D>
    <cs:lnRef idx="0"/>
    <cs:fillRef idx="3">
      <cs:styleClr val="auto"/>
    </cs:fillRef>
    <cs:effectRef idx="2"/>
    <cs:fontRef idx="minor">
      <a:schemeClr val="tx2"/>
    </cs:fontRef>
  </cs:dataPoint3D>
  <cs:dataPointLine>
    <cs:lnRef idx="0">
      <cs:styleClr val="auto"/>
    </cs:lnRef>
    <cs:fillRef idx="3"/>
    <cs:effectRef idx="2"/>
    <cs:fontRef idx="minor">
      <a:schemeClr val="tx2"/>
    </cs:fontRef>
    <cs:spPr>
      <a:ln w="31750" cap="rnd">
        <a:solidFill>
          <a:schemeClr val="phClr"/>
        </a:solidFill>
        <a:round/>
      </a:ln>
    </cs:spPr>
  </cs:dataPointLine>
  <cs:dataPointMarker>
    <cs:lnRef idx="0"/>
    <cs:fillRef idx="3">
      <cs:styleClr val="auto"/>
    </cs:fillRef>
    <cs:effectRef idx="2"/>
    <cs:fontRef idx="minor">
      <a:schemeClr val="tx2"/>
    </cs:fontRef>
    <cs:spPr>
      <a:ln w="12700">
        <a:solidFill>
          <a:schemeClr val="lt2"/>
        </a:solidFill>
        <a:round/>
      </a:ln>
    </cs:spPr>
  </cs:dataPointMarker>
  <cs:dataPointMarkerLayout symbol="circle" size="6"/>
  <cs:dataPointWireframe>
    <cs:lnRef idx="0">
      <cs:styleClr val="auto"/>
    </cs:lnRef>
    <cs:fillRef idx="3"/>
    <cs:effectRef idx="2"/>
    <cs:fontRef idx="minor">
      <a:schemeClr val="tx2"/>
    </cs:fontRef>
    <cs:spPr>
      <a:ln w="9525" cap="rnd">
        <a:solidFill>
          <a:schemeClr val="phClr"/>
        </a:solidFill>
        <a:round/>
      </a:ln>
    </cs:spPr>
  </cs:dataPointWireframe>
  <cs:dataTable>
    <cs:lnRef idx="0"/>
    <cs:fillRef idx="0"/>
    <cs:effectRef idx="0"/>
    <cs:fontRef idx="minor">
      <a:schemeClr val="tx2"/>
    </cs:fontRef>
    <cs:spPr>
      <a:ln w="9525">
        <a:solidFill>
          <a:schemeClr val="tx2">
            <a:lumMod val="15000"/>
            <a:lumOff val="85000"/>
          </a:schemeClr>
        </a:solidFill>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2"/>
    </cs:fontRef>
    <cs:spPr>
      <a:ln w="9525">
        <a:solidFill>
          <a:schemeClr val="tx2">
            <a:lumMod val="60000"/>
            <a:lumOff val="40000"/>
          </a:schemeClr>
        </a:solidFill>
        <a:prstDash val="dash"/>
      </a:ln>
    </cs:spPr>
  </cs:dropLine>
  <cs:errorBar>
    <cs:lnRef idx="0"/>
    <cs:fillRef idx="0"/>
    <cs:effectRef idx="0"/>
    <cs:fontRef idx="minor">
      <a:schemeClr val="tx2"/>
    </cs:fontRef>
    <cs:spPr>
      <a:ln w="9525">
        <a:solidFill>
          <a:schemeClr val="tx2">
            <a:lumMod val="75000"/>
          </a:schemeClr>
        </a:solidFill>
        <a:round/>
      </a:ln>
    </cs:spPr>
  </cs:errorBar>
  <cs:floor>
    <cs:lnRef idx="0"/>
    <cs:fillRef idx="0"/>
    <cs:effectRef idx="0"/>
    <cs:fontRef idx="minor">
      <a:schemeClr val="tx2"/>
    </cs:fontRef>
  </cs:floor>
  <cs:gridlineMajor>
    <cs:lnRef idx="0"/>
    <cs:fillRef idx="0"/>
    <cs:effectRef idx="0"/>
    <cs:fontRef idx="minor">
      <a:schemeClr val="tx2"/>
    </cs:fontRef>
    <cs:spPr>
      <a:ln w="9525" cap="flat" cmpd="sng" algn="ctr">
        <a:solidFill>
          <a:schemeClr val="tx2">
            <a:lumMod val="15000"/>
            <a:lumOff val="85000"/>
          </a:schemeClr>
        </a:solidFill>
        <a:round/>
      </a:ln>
    </cs:spPr>
  </cs:gridlineMajor>
  <cs:gridlineMinor>
    <cs:lnRef idx="0"/>
    <cs:fillRef idx="0"/>
    <cs:effectRef idx="0"/>
    <cs:fontRef idx="minor">
      <a:schemeClr val="tx2"/>
    </cs:fontRef>
    <cs:spPr>
      <a:ln>
        <a:solidFill>
          <a:schemeClr val="tx2">
            <a:lumMod val="5000"/>
            <a:lumOff val="95000"/>
          </a:schemeClr>
        </a:solidFill>
      </a:ln>
    </cs:spPr>
  </cs:gridlineMinor>
  <cs:hiLoLine>
    <cs:lnRef idx="0"/>
    <cs:fillRef idx="0"/>
    <cs:effectRef idx="0"/>
    <cs:fontRef idx="minor">
      <a:schemeClr val="tx2"/>
    </cs:fontRef>
    <cs:spPr>
      <a:ln w="9525">
        <a:solidFill>
          <a:schemeClr val="tx2">
            <a:lumMod val="60000"/>
            <a:lumOff val="40000"/>
          </a:schemeClr>
        </a:solidFill>
        <a:prstDash val="dash"/>
      </a:ln>
    </cs:spPr>
  </cs:hiLoLine>
  <cs:leaderLine>
    <cs:lnRef idx="0"/>
    <cs:fillRef idx="0"/>
    <cs:effectRef idx="0"/>
    <cs:fontRef idx="minor">
      <a:schemeClr val="tx2"/>
    </cs:fontRef>
    <cs:spPr>
      <a:ln w="9525">
        <a:solidFill>
          <a:schemeClr val="tx2">
            <a:lumMod val="35000"/>
            <a:lumOff val="65000"/>
          </a:schemeClr>
        </a:solidFill>
      </a:ln>
    </cs:spPr>
  </cs:leaderLine>
  <cs:legend>
    <cs:lnRef idx="0"/>
    <cs:fillRef idx="0"/>
    <cs:effectRef idx="0"/>
    <cs:fontRef idx="minor">
      <a:schemeClr val="tx2"/>
    </cs:fontRef>
    <cs:defRPr sz="900" kern="1200"/>
  </cs:legend>
  <cs:plotArea>
    <cs:lnRef idx="0"/>
    <cs:fillRef idx="0"/>
    <cs:effectRef idx="0"/>
    <cs:fontRef idx="minor">
      <a:schemeClr val="tx2"/>
    </cs:fontRef>
  </cs:plotArea>
  <cs:plotArea3D>
    <cs:lnRef idx="0"/>
    <cs:fillRef idx="0"/>
    <cs:effectRef idx="0"/>
    <cs:fontRef idx="minor">
      <a:schemeClr val="tx2"/>
    </cs:fontRef>
  </cs:plotArea3D>
  <cs:seriesAxis>
    <cs:lnRef idx="0"/>
    <cs:fillRef idx="0"/>
    <cs:effectRef idx="0"/>
    <cs:fontRef idx="minor">
      <a:schemeClr val="tx2"/>
    </cs:fontRef>
    <cs:spPr>
      <a:ln w="9525" cap="flat" cmpd="sng" algn="ctr">
        <a:solidFill>
          <a:schemeClr val="tx2">
            <a:lumMod val="15000"/>
            <a:lumOff val="85000"/>
          </a:schemeClr>
        </a:solidFill>
        <a:round/>
      </a:ln>
    </cs:spPr>
    <cs:defRPr sz="900" kern="1200"/>
  </cs:seriesAxis>
  <cs:seriesLine>
    <cs:lnRef idx="0"/>
    <cs:fillRef idx="0"/>
    <cs:effectRef idx="0"/>
    <cs:fontRef idx="minor">
      <a:schemeClr val="tx2"/>
    </cs:fontRef>
    <cs:spPr>
      <a:ln w="9525">
        <a:solidFill>
          <a:schemeClr val="tx2">
            <a:lumMod val="60000"/>
            <a:lumOff val="40000"/>
          </a:schemeClr>
        </a:solidFill>
        <a:prstDash val="dash"/>
      </a:ln>
    </cs:spPr>
  </cs:seriesLine>
  <cs:title>
    <cs:lnRef idx="0"/>
    <cs:fillRef idx="0"/>
    <cs:effectRef idx="0"/>
    <cs:fontRef idx="minor">
      <a:schemeClr val="tx2"/>
    </cs:fontRef>
    <cs:defRPr sz="1600" b="1" kern="1200"/>
  </cs:title>
  <cs:trendline>
    <cs:lnRef idx="0">
      <cs:styleClr val="auto"/>
    </cs:lnRef>
    <cs:fillRef idx="0"/>
    <cs:effectRef idx="0"/>
    <cs:fontRef idx="minor">
      <a:schemeClr val="tx2"/>
    </cs:fontRef>
    <cs:spPr>
      <a:ln w="19050" cap="rnd">
        <a:solidFill>
          <a:schemeClr val="phClr"/>
        </a:solidFill>
        <a:prstDash val="sysDash"/>
      </a:ln>
    </cs:spPr>
  </cs:trendline>
  <cs:trendlineLabel>
    <cs:lnRef idx="0"/>
    <cs:fillRef idx="0"/>
    <cs:effectRef idx="0"/>
    <cs:fontRef idx="minor">
      <a:schemeClr val="tx2"/>
    </cs:fontRef>
    <cs:defRPr sz="900" kern="1200"/>
  </cs:trendlineLabel>
  <cs:upBar>
    <cs:lnRef idx="0"/>
    <cs:fillRef idx="0"/>
    <cs:effectRef idx="0"/>
    <cs:fontRef idx="minor">
      <a:schemeClr val="tx2"/>
    </cs:fontRef>
    <cs:spPr>
      <a:solidFill>
        <a:schemeClr val="lt1"/>
      </a:solidFill>
      <a:ln w="9525">
        <a:solidFill>
          <a:schemeClr val="tx1">
            <a:lumMod val="15000"/>
            <a:lumOff val="85000"/>
          </a:schemeClr>
        </a:solidFill>
      </a:ln>
    </cs:spPr>
  </cs:upBar>
  <cs:valueAxis>
    <cs:lnRef idx="0"/>
    <cs:fillRef idx="0"/>
    <cs:effectRef idx="0"/>
    <cs:fontRef idx="minor">
      <a:schemeClr val="tx2"/>
    </cs:fontRef>
    <cs:defRPr sz="900" kern="1200"/>
  </cs:valueAxis>
  <cs:wall>
    <cs:lnRef idx="0"/>
    <cs:fillRef idx="0"/>
    <cs:effectRef idx="0"/>
    <cs:fontRef idx="minor">
      <a:schemeClr val="tx2"/>
    </cs:fontRef>
  </cs:wall>
</cs:chartStyle>
</file>

<file path=xl/charts/style6.xml><?xml version="1.0" encoding="utf-8"?>
<cs:chartStyle xmlns:cs="http://schemas.microsoft.com/office/drawing/2012/chartStyle" xmlns:a="http://schemas.openxmlformats.org/drawingml/2006/main" id="258">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lt1"/>
    </cs:fontRef>
    <cs:defRPr sz="900" b="1"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a:scene3d>
        <a:camera prst="orthographicFront"/>
        <a:lightRig rig="brightRoom" dir="t"/>
      </a:scene3d>
      <a:sp3d prstMaterial="flat">
        <a:bevelT w="50800" h="101600" prst="angle"/>
        <a:contourClr>
          <a:srgbClr val="000000"/>
        </a:contourClr>
      </a:sp3d>
    </cs:spPr>
  </cs:dataPoint>
  <cs:dataPoint3D>
    <cs:lnRef idx="0"/>
    <cs:fillRef idx="0">
      <cs:styleClr val="auto"/>
    </cs:fillRef>
    <cs:effectRef idx="0"/>
    <cs:fontRef idx="minor">
      <a:schemeClr val="tx1"/>
    </cs:fontRef>
    <cs:spPr>
      <a:solidFill>
        <a:schemeClr val="phClr"/>
      </a:solidFill>
      <a:ln w="1905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1" i="0" kern="1200" cap="all" spc="50"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302">
  <cs:axisTitle>
    <cs:lnRef idx="0"/>
    <cs:fillRef idx="0"/>
    <cs:effectRef idx="0"/>
    <cs:fontRef idx="minor">
      <a:schemeClr val="tx2"/>
    </cs:fontRef>
    <cs:defRPr sz="900" b="1" kern="1200"/>
  </cs:axisTitle>
  <cs:categoryAxis>
    <cs:lnRef idx="0"/>
    <cs:fillRef idx="0"/>
    <cs:effectRef idx="0"/>
    <cs:fontRef idx="minor">
      <a:schemeClr val="tx2"/>
    </cs:fontRef>
    <cs:spPr>
      <a:ln w="9525" cap="flat" cmpd="sng" algn="ctr">
        <a:solidFill>
          <a:schemeClr val="tx2">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2">
            <a:lumMod val="15000"/>
            <a:lumOff val="85000"/>
          </a:schemeClr>
        </a:solidFill>
        <a:round/>
      </a:ln>
    </cs:spPr>
    <cs:defRPr sz="900" kern="1200"/>
  </cs:chartArea>
  <cs:dataLabel>
    <cs:lnRef idx="0"/>
    <cs:fillRef idx="0"/>
    <cs:effectRef idx="0"/>
    <cs:fontRef idx="minor">
      <a:schemeClr val="tx2"/>
    </cs:fontRef>
    <cs:defRPr sz="900" kern="1200"/>
  </cs:dataLabel>
  <cs:dataLabelCallout>
    <cs:lnRef idx="0"/>
    <cs:fillRef idx="0"/>
    <cs:effectRef idx="0"/>
    <cs:fontRef idx="minor">
      <a:schemeClr val="dk2">
        <a:lumMod val="7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2"/>
    <cs:fontRef idx="minor">
      <a:schemeClr val="tx2"/>
    </cs:fontRef>
  </cs:dataPoint>
  <cs:dataPoint3D>
    <cs:lnRef idx="0"/>
    <cs:fillRef idx="3">
      <cs:styleClr val="auto"/>
    </cs:fillRef>
    <cs:effectRef idx="2"/>
    <cs:fontRef idx="minor">
      <a:schemeClr val="tx2"/>
    </cs:fontRef>
  </cs:dataPoint3D>
  <cs:dataPointLine>
    <cs:lnRef idx="0">
      <cs:styleClr val="auto"/>
    </cs:lnRef>
    <cs:fillRef idx="3"/>
    <cs:effectRef idx="2"/>
    <cs:fontRef idx="minor">
      <a:schemeClr val="tx2"/>
    </cs:fontRef>
    <cs:spPr>
      <a:ln w="31750" cap="rnd">
        <a:solidFill>
          <a:schemeClr val="phClr"/>
        </a:solidFill>
        <a:round/>
      </a:ln>
    </cs:spPr>
  </cs:dataPointLine>
  <cs:dataPointMarker>
    <cs:lnRef idx="0"/>
    <cs:fillRef idx="3">
      <cs:styleClr val="auto"/>
    </cs:fillRef>
    <cs:effectRef idx="2"/>
    <cs:fontRef idx="minor">
      <a:schemeClr val="tx2"/>
    </cs:fontRef>
    <cs:spPr>
      <a:ln w="12700">
        <a:solidFill>
          <a:schemeClr val="lt2"/>
        </a:solidFill>
        <a:round/>
      </a:ln>
    </cs:spPr>
  </cs:dataPointMarker>
  <cs:dataPointMarkerLayout symbol="circle" size="6"/>
  <cs:dataPointWireframe>
    <cs:lnRef idx="0">
      <cs:styleClr val="auto"/>
    </cs:lnRef>
    <cs:fillRef idx="3"/>
    <cs:effectRef idx="2"/>
    <cs:fontRef idx="minor">
      <a:schemeClr val="tx2"/>
    </cs:fontRef>
    <cs:spPr>
      <a:ln w="9525" cap="rnd">
        <a:solidFill>
          <a:schemeClr val="phClr"/>
        </a:solidFill>
        <a:round/>
      </a:ln>
    </cs:spPr>
  </cs:dataPointWireframe>
  <cs:dataTable>
    <cs:lnRef idx="0"/>
    <cs:fillRef idx="0"/>
    <cs:effectRef idx="0"/>
    <cs:fontRef idx="minor">
      <a:schemeClr val="tx2"/>
    </cs:fontRef>
    <cs:spPr>
      <a:ln w="9525">
        <a:solidFill>
          <a:schemeClr val="tx2">
            <a:lumMod val="15000"/>
            <a:lumOff val="85000"/>
          </a:schemeClr>
        </a:solidFill>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2"/>
    </cs:fontRef>
    <cs:spPr>
      <a:ln w="9525">
        <a:solidFill>
          <a:schemeClr val="tx2">
            <a:lumMod val="60000"/>
            <a:lumOff val="40000"/>
          </a:schemeClr>
        </a:solidFill>
        <a:prstDash val="dash"/>
      </a:ln>
    </cs:spPr>
  </cs:dropLine>
  <cs:errorBar>
    <cs:lnRef idx="0"/>
    <cs:fillRef idx="0"/>
    <cs:effectRef idx="0"/>
    <cs:fontRef idx="minor">
      <a:schemeClr val="tx2"/>
    </cs:fontRef>
    <cs:spPr>
      <a:ln w="9525">
        <a:solidFill>
          <a:schemeClr val="tx2">
            <a:lumMod val="75000"/>
          </a:schemeClr>
        </a:solidFill>
        <a:round/>
      </a:ln>
    </cs:spPr>
  </cs:errorBar>
  <cs:floor>
    <cs:lnRef idx="0"/>
    <cs:fillRef idx="0"/>
    <cs:effectRef idx="0"/>
    <cs:fontRef idx="minor">
      <a:schemeClr val="tx2"/>
    </cs:fontRef>
  </cs:floor>
  <cs:gridlineMajor>
    <cs:lnRef idx="0"/>
    <cs:fillRef idx="0"/>
    <cs:effectRef idx="0"/>
    <cs:fontRef idx="minor">
      <a:schemeClr val="tx2"/>
    </cs:fontRef>
    <cs:spPr>
      <a:ln w="9525" cap="flat" cmpd="sng" algn="ctr">
        <a:solidFill>
          <a:schemeClr val="tx2">
            <a:lumMod val="15000"/>
            <a:lumOff val="85000"/>
          </a:schemeClr>
        </a:solidFill>
        <a:round/>
      </a:ln>
    </cs:spPr>
  </cs:gridlineMajor>
  <cs:gridlineMinor>
    <cs:lnRef idx="0"/>
    <cs:fillRef idx="0"/>
    <cs:effectRef idx="0"/>
    <cs:fontRef idx="minor">
      <a:schemeClr val="tx2"/>
    </cs:fontRef>
    <cs:spPr>
      <a:ln>
        <a:solidFill>
          <a:schemeClr val="tx2">
            <a:lumMod val="5000"/>
            <a:lumOff val="95000"/>
          </a:schemeClr>
        </a:solidFill>
      </a:ln>
    </cs:spPr>
  </cs:gridlineMinor>
  <cs:hiLoLine>
    <cs:lnRef idx="0"/>
    <cs:fillRef idx="0"/>
    <cs:effectRef idx="0"/>
    <cs:fontRef idx="minor">
      <a:schemeClr val="tx2"/>
    </cs:fontRef>
    <cs:spPr>
      <a:ln w="9525">
        <a:solidFill>
          <a:schemeClr val="tx2">
            <a:lumMod val="60000"/>
            <a:lumOff val="40000"/>
          </a:schemeClr>
        </a:solidFill>
        <a:prstDash val="dash"/>
      </a:ln>
    </cs:spPr>
  </cs:hiLoLine>
  <cs:leaderLine>
    <cs:lnRef idx="0"/>
    <cs:fillRef idx="0"/>
    <cs:effectRef idx="0"/>
    <cs:fontRef idx="minor">
      <a:schemeClr val="tx2"/>
    </cs:fontRef>
    <cs:spPr>
      <a:ln w="9525">
        <a:solidFill>
          <a:schemeClr val="tx2">
            <a:lumMod val="35000"/>
            <a:lumOff val="65000"/>
          </a:schemeClr>
        </a:solidFill>
      </a:ln>
    </cs:spPr>
  </cs:leaderLine>
  <cs:legend>
    <cs:lnRef idx="0"/>
    <cs:fillRef idx="0"/>
    <cs:effectRef idx="0"/>
    <cs:fontRef idx="minor">
      <a:schemeClr val="tx2"/>
    </cs:fontRef>
    <cs:defRPr sz="900" kern="1200"/>
  </cs:legend>
  <cs:plotArea>
    <cs:lnRef idx="0"/>
    <cs:fillRef idx="0"/>
    <cs:effectRef idx="0"/>
    <cs:fontRef idx="minor">
      <a:schemeClr val="tx2"/>
    </cs:fontRef>
  </cs:plotArea>
  <cs:plotArea3D>
    <cs:lnRef idx="0"/>
    <cs:fillRef idx="0"/>
    <cs:effectRef idx="0"/>
    <cs:fontRef idx="minor">
      <a:schemeClr val="tx2"/>
    </cs:fontRef>
  </cs:plotArea3D>
  <cs:seriesAxis>
    <cs:lnRef idx="0"/>
    <cs:fillRef idx="0"/>
    <cs:effectRef idx="0"/>
    <cs:fontRef idx="minor">
      <a:schemeClr val="tx2"/>
    </cs:fontRef>
    <cs:spPr>
      <a:ln w="9525" cap="flat" cmpd="sng" algn="ctr">
        <a:solidFill>
          <a:schemeClr val="tx2">
            <a:lumMod val="15000"/>
            <a:lumOff val="85000"/>
          </a:schemeClr>
        </a:solidFill>
        <a:round/>
      </a:ln>
    </cs:spPr>
    <cs:defRPr sz="900" kern="1200"/>
  </cs:seriesAxis>
  <cs:seriesLine>
    <cs:lnRef idx="0"/>
    <cs:fillRef idx="0"/>
    <cs:effectRef idx="0"/>
    <cs:fontRef idx="minor">
      <a:schemeClr val="tx2"/>
    </cs:fontRef>
    <cs:spPr>
      <a:ln w="9525">
        <a:solidFill>
          <a:schemeClr val="tx2">
            <a:lumMod val="60000"/>
            <a:lumOff val="40000"/>
          </a:schemeClr>
        </a:solidFill>
        <a:prstDash val="dash"/>
      </a:ln>
    </cs:spPr>
  </cs:seriesLine>
  <cs:title>
    <cs:lnRef idx="0"/>
    <cs:fillRef idx="0"/>
    <cs:effectRef idx="0"/>
    <cs:fontRef idx="minor">
      <a:schemeClr val="tx2"/>
    </cs:fontRef>
    <cs:defRPr sz="1600" b="1" kern="1200"/>
  </cs:title>
  <cs:trendline>
    <cs:lnRef idx="0">
      <cs:styleClr val="auto"/>
    </cs:lnRef>
    <cs:fillRef idx="0"/>
    <cs:effectRef idx="0"/>
    <cs:fontRef idx="minor">
      <a:schemeClr val="tx2"/>
    </cs:fontRef>
    <cs:spPr>
      <a:ln w="19050" cap="rnd">
        <a:solidFill>
          <a:schemeClr val="phClr"/>
        </a:solidFill>
        <a:prstDash val="sysDash"/>
      </a:ln>
    </cs:spPr>
  </cs:trendline>
  <cs:trendlineLabel>
    <cs:lnRef idx="0"/>
    <cs:fillRef idx="0"/>
    <cs:effectRef idx="0"/>
    <cs:fontRef idx="minor">
      <a:schemeClr val="tx2"/>
    </cs:fontRef>
    <cs:defRPr sz="900" kern="1200"/>
  </cs:trendlineLabel>
  <cs:upBar>
    <cs:lnRef idx="0"/>
    <cs:fillRef idx="0"/>
    <cs:effectRef idx="0"/>
    <cs:fontRef idx="minor">
      <a:schemeClr val="tx2"/>
    </cs:fontRef>
    <cs:spPr>
      <a:solidFill>
        <a:schemeClr val="lt1"/>
      </a:solidFill>
      <a:ln w="9525">
        <a:solidFill>
          <a:schemeClr val="tx1">
            <a:lumMod val="15000"/>
            <a:lumOff val="85000"/>
          </a:schemeClr>
        </a:solidFill>
      </a:ln>
    </cs:spPr>
  </cs:upBar>
  <cs:valueAxis>
    <cs:lnRef idx="0"/>
    <cs:fillRef idx="0"/>
    <cs:effectRef idx="0"/>
    <cs:fontRef idx="minor">
      <a:schemeClr val="tx2"/>
    </cs:fontRef>
    <cs:defRPr sz="900" kern="1200"/>
  </cs:valueAxis>
  <cs:wall>
    <cs:lnRef idx="0"/>
    <cs:fillRef idx="0"/>
    <cs:effectRef idx="0"/>
    <cs:fontRef idx="minor">
      <a:schemeClr val="tx2"/>
    </cs:fontRef>
  </cs:wall>
</cs:chartStyle>
</file>

<file path=xl/charts/style8.xml><?xml version="1.0" encoding="utf-8"?>
<cs:chartStyle xmlns:cs="http://schemas.microsoft.com/office/drawing/2012/chartStyle" xmlns:a="http://schemas.openxmlformats.org/drawingml/2006/main" id="258">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lt1"/>
    </cs:fontRef>
    <cs:defRPr sz="900" b="1"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a:scene3d>
        <a:camera prst="orthographicFront"/>
        <a:lightRig rig="brightRoom" dir="t"/>
      </a:scene3d>
      <a:sp3d prstMaterial="flat">
        <a:bevelT w="50800" h="101600" prst="angle"/>
        <a:contourClr>
          <a:srgbClr val="000000"/>
        </a:contourClr>
      </a:sp3d>
    </cs:spPr>
  </cs:dataPoint>
  <cs:dataPoint3D>
    <cs:lnRef idx="0"/>
    <cs:fillRef idx="0">
      <cs:styleClr val="auto"/>
    </cs:fillRef>
    <cs:effectRef idx="0"/>
    <cs:fontRef idx="minor">
      <a:schemeClr val="tx1"/>
    </cs:fontRef>
    <cs:spPr>
      <a:solidFill>
        <a:schemeClr val="phClr"/>
      </a:solidFill>
      <a:ln w="1905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1" i="0" kern="1200" cap="all" spc="50"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302">
  <cs:axisTitle>
    <cs:lnRef idx="0"/>
    <cs:fillRef idx="0"/>
    <cs:effectRef idx="0"/>
    <cs:fontRef idx="minor">
      <a:schemeClr val="tx2"/>
    </cs:fontRef>
    <cs:defRPr sz="900" b="1" kern="1200"/>
  </cs:axisTitle>
  <cs:categoryAxis>
    <cs:lnRef idx="0"/>
    <cs:fillRef idx="0"/>
    <cs:effectRef idx="0"/>
    <cs:fontRef idx="minor">
      <a:schemeClr val="tx2"/>
    </cs:fontRef>
    <cs:spPr>
      <a:ln w="9525" cap="flat" cmpd="sng" algn="ctr">
        <a:solidFill>
          <a:schemeClr val="tx2">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2">
            <a:lumMod val="15000"/>
            <a:lumOff val="85000"/>
          </a:schemeClr>
        </a:solidFill>
        <a:round/>
      </a:ln>
    </cs:spPr>
    <cs:defRPr sz="900" kern="1200"/>
  </cs:chartArea>
  <cs:dataLabel>
    <cs:lnRef idx="0"/>
    <cs:fillRef idx="0"/>
    <cs:effectRef idx="0"/>
    <cs:fontRef idx="minor">
      <a:schemeClr val="tx2"/>
    </cs:fontRef>
    <cs:defRPr sz="900" kern="1200"/>
  </cs:dataLabel>
  <cs:dataLabelCallout>
    <cs:lnRef idx="0"/>
    <cs:fillRef idx="0"/>
    <cs:effectRef idx="0"/>
    <cs:fontRef idx="minor">
      <a:schemeClr val="dk2">
        <a:lumMod val="7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2"/>
    <cs:fontRef idx="minor">
      <a:schemeClr val="tx2"/>
    </cs:fontRef>
  </cs:dataPoint>
  <cs:dataPoint3D>
    <cs:lnRef idx="0"/>
    <cs:fillRef idx="3">
      <cs:styleClr val="auto"/>
    </cs:fillRef>
    <cs:effectRef idx="2"/>
    <cs:fontRef idx="minor">
      <a:schemeClr val="tx2"/>
    </cs:fontRef>
  </cs:dataPoint3D>
  <cs:dataPointLine>
    <cs:lnRef idx="0">
      <cs:styleClr val="auto"/>
    </cs:lnRef>
    <cs:fillRef idx="3"/>
    <cs:effectRef idx="2"/>
    <cs:fontRef idx="minor">
      <a:schemeClr val="tx2"/>
    </cs:fontRef>
    <cs:spPr>
      <a:ln w="31750" cap="rnd">
        <a:solidFill>
          <a:schemeClr val="phClr"/>
        </a:solidFill>
        <a:round/>
      </a:ln>
    </cs:spPr>
  </cs:dataPointLine>
  <cs:dataPointMarker>
    <cs:lnRef idx="0"/>
    <cs:fillRef idx="3">
      <cs:styleClr val="auto"/>
    </cs:fillRef>
    <cs:effectRef idx="2"/>
    <cs:fontRef idx="minor">
      <a:schemeClr val="tx2"/>
    </cs:fontRef>
    <cs:spPr>
      <a:ln w="12700">
        <a:solidFill>
          <a:schemeClr val="lt2"/>
        </a:solidFill>
        <a:round/>
      </a:ln>
    </cs:spPr>
  </cs:dataPointMarker>
  <cs:dataPointMarkerLayout symbol="circle" size="6"/>
  <cs:dataPointWireframe>
    <cs:lnRef idx="0">
      <cs:styleClr val="auto"/>
    </cs:lnRef>
    <cs:fillRef idx="3"/>
    <cs:effectRef idx="2"/>
    <cs:fontRef idx="minor">
      <a:schemeClr val="tx2"/>
    </cs:fontRef>
    <cs:spPr>
      <a:ln w="9525" cap="rnd">
        <a:solidFill>
          <a:schemeClr val="phClr"/>
        </a:solidFill>
        <a:round/>
      </a:ln>
    </cs:spPr>
  </cs:dataPointWireframe>
  <cs:dataTable>
    <cs:lnRef idx="0"/>
    <cs:fillRef idx="0"/>
    <cs:effectRef idx="0"/>
    <cs:fontRef idx="minor">
      <a:schemeClr val="tx2"/>
    </cs:fontRef>
    <cs:spPr>
      <a:ln w="9525">
        <a:solidFill>
          <a:schemeClr val="tx2">
            <a:lumMod val="15000"/>
            <a:lumOff val="85000"/>
          </a:schemeClr>
        </a:solidFill>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2"/>
    </cs:fontRef>
    <cs:spPr>
      <a:ln w="9525">
        <a:solidFill>
          <a:schemeClr val="tx2">
            <a:lumMod val="60000"/>
            <a:lumOff val="40000"/>
          </a:schemeClr>
        </a:solidFill>
        <a:prstDash val="dash"/>
      </a:ln>
    </cs:spPr>
  </cs:dropLine>
  <cs:errorBar>
    <cs:lnRef idx="0"/>
    <cs:fillRef idx="0"/>
    <cs:effectRef idx="0"/>
    <cs:fontRef idx="minor">
      <a:schemeClr val="tx2"/>
    </cs:fontRef>
    <cs:spPr>
      <a:ln w="9525">
        <a:solidFill>
          <a:schemeClr val="tx2">
            <a:lumMod val="75000"/>
          </a:schemeClr>
        </a:solidFill>
        <a:round/>
      </a:ln>
    </cs:spPr>
  </cs:errorBar>
  <cs:floor>
    <cs:lnRef idx="0"/>
    <cs:fillRef idx="0"/>
    <cs:effectRef idx="0"/>
    <cs:fontRef idx="minor">
      <a:schemeClr val="tx2"/>
    </cs:fontRef>
  </cs:floor>
  <cs:gridlineMajor>
    <cs:lnRef idx="0"/>
    <cs:fillRef idx="0"/>
    <cs:effectRef idx="0"/>
    <cs:fontRef idx="minor">
      <a:schemeClr val="tx2"/>
    </cs:fontRef>
    <cs:spPr>
      <a:ln w="9525" cap="flat" cmpd="sng" algn="ctr">
        <a:solidFill>
          <a:schemeClr val="tx2">
            <a:lumMod val="15000"/>
            <a:lumOff val="85000"/>
          </a:schemeClr>
        </a:solidFill>
        <a:round/>
      </a:ln>
    </cs:spPr>
  </cs:gridlineMajor>
  <cs:gridlineMinor>
    <cs:lnRef idx="0"/>
    <cs:fillRef idx="0"/>
    <cs:effectRef idx="0"/>
    <cs:fontRef idx="minor">
      <a:schemeClr val="tx2"/>
    </cs:fontRef>
    <cs:spPr>
      <a:ln>
        <a:solidFill>
          <a:schemeClr val="tx2">
            <a:lumMod val="5000"/>
            <a:lumOff val="95000"/>
          </a:schemeClr>
        </a:solidFill>
      </a:ln>
    </cs:spPr>
  </cs:gridlineMinor>
  <cs:hiLoLine>
    <cs:lnRef idx="0"/>
    <cs:fillRef idx="0"/>
    <cs:effectRef idx="0"/>
    <cs:fontRef idx="minor">
      <a:schemeClr val="tx2"/>
    </cs:fontRef>
    <cs:spPr>
      <a:ln w="9525">
        <a:solidFill>
          <a:schemeClr val="tx2">
            <a:lumMod val="60000"/>
            <a:lumOff val="40000"/>
          </a:schemeClr>
        </a:solidFill>
        <a:prstDash val="dash"/>
      </a:ln>
    </cs:spPr>
  </cs:hiLoLine>
  <cs:leaderLine>
    <cs:lnRef idx="0"/>
    <cs:fillRef idx="0"/>
    <cs:effectRef idx="0"/>
    <cs:fontRef idx="minor">
      <a:schemeClr val="tx2"/>
    </cs:fontRef>
    <cs:spPr>
      <a:ln w="9525">
        <a:solidFill>
          <a:schemeClr val="tx2">
            <a:lumMod val="35000"/>
            <a:lumOff val="65000"/>
          </a:schemeClr>
        </a:solidFill>
      </a:ln>
    </cs:spPr>
  </cs:leaderLine>
  <cs:legend>
    <cs:lnRef idx="0"/>
    <cs:fillRef idx="0"/>
    <cs:effectRef idx="0"/>
    <cs:fontRef idx="minor">
      <a:schemeClr val="tx2"/>
    </cs:fontRef>
    <cs:defRPr sz="900" kern="1200"/>
  </cs:legend>
  <cs:plotArea>
    <cs:lnRef idx="0"/>
    <cs:fillRef idx="0"/>
    <cs:effectRef idx="0"/>
    <cs:fontRef idx="minor">
      <a:schemeClr val="tx2"/>
    </cs:fontRef>
  </cs:plotArea>
  <cs:plotArea3D>
    <cs:lnRef idx="0"/>
    <cs:fillRef idx="0"/>
    <cs:effectRef idx="0"/>
    <cs:fontRef idx="minor">
      <a:schemeClr val="tx2"/>
    </cs:fontRef>
  </cs:plotArea3D>
  <cs:seriesAxis>
    <cs:lnRef idx="0"/>
    <cs:fillRef idx="0"/>
    <cs:effectRef idx="0"/>
    <cs:fontRef idx="minor">
      <a:schemeClr val="tx2"/>
    </cs:fontRef>
    <cs:spPr>
      <a:ln w="9525" cap="flat" cmpd="sng" algn="ctr">
        <a:solidFill>
          <a:schemeClr val="tx2">
            <a:lumMod val="15000"/>
            <a:lumOff val="85000"/>
          </a:schemeClr>
        </a:solidFill>
        <a:round/>
      </a:ln>
    </cs:spPr>
    <cs:defRPr sz="900" kern="1200"/>
  </cs:seriesAxis>
  <cs:seriesLine>
    <cs:lnRef idx="0"/>
    <cs:fillRef idx="0"/>
    <cs:effectRef idx="0"/>
    <cs:fontRef idx="minor">
      <a:schemeClr val="tx2"/>
    </cs:fontRef>
    <cs:spPr>
      <a:ln w="9525">
        <a:solidFill>
          <a:schemeClr val="tx2">
            <a:lumMod val="60000"/>
            <a:lumOff val="40000"/>
          </a:schemeClr>
        </a:solidFill>
        <a:prstDash val="dash"/>
      </a:ln>
    </cs:spPr>
  </cs:seriesLine>
  <cs:title>
    <cs:lnRef idx="0"/>
    <cs:fillRef idx="0"/>
    <cs:effectRef idx="0"/>
    <cs:fontRef idx="minor">
      <a:schemeClr val="tx2"/>
    </cs:fontRef>
    <cs:defRPr sz="1600" b="1" kern="1200"/>
  </cs:title>
  <cs:trendline>
    <cs:lnRef idx="0">
      <cs:styleClr val="auto"/>
    </cs:lnRef>
    <cs:fillRef idx="0"/>
    <cs:effectRef idx="0"/>
    <cs:fontRef idx="minor">
      <a:schemeClr val="tx2"/>
    </cs:fontRef>
    <cs:spPr>
      <a:ln w="19050" cap="rnd">
        <a:solidFill>
          <a:schemeClr val="phClr"/>
        </a:solidFill>
        <a:prstDash val="sysDash"/>
      </a:ln>
    </cs:spPr>
  </cs:trendline>
  <cs:trendlineLabel>
    <cs:lnRef idx="0"/>
    <cs:fillRef idx="0"/>
    <cs:effectRef idx="0"/>
    <cs:fontRef idx="minor">
      <a:schemeClr val="tx2"/>
    </cs:fontRef>
    <cs:defRPr sz="900" kern="1200"/>
  </cs:trendlineLabel>
  <cs:upBar>
    <cs:lnRef idx="0"/>
    <cs:fillRef idx="0"/>
    <cs:effectRef idx="0"/>
    <cs:fontRef idx="minor">
      <a:schemeClr val="tx2"/>
    </cs:fontRef>
    <cs:spPr>
      <a:solidFill>
        <a:schemeClr val="lt1"/>
      </a:solidFill>
      <a:ln w="9525">
        <a:solidFill>
          <a:schemeClr val="tx1">
            <a:lumMod val="15000"/>
            <a:lumOff val="85000"/>
          </a:schemeClr>
        </a:solidFill>
      </a:ln>
    </cs:spPr>
  </cs:upBar>
  <cs:valueAxis>
    <cs:lnRef idx="0"/>
    <cs:fillRef idx="0"/>
    <cs:effectRef idx="0"/>
    <cs:fontRef idx="minor">
      <a:schemeClr val="tx2"/>
    </cs:fontRef>
    <cs:defRPr sz="900" kern="1200"/>
  </cs:valueAxis>
  <cs:wall>
    <cs:lnRef idx="0"/>
    <cs:fillRef idx="0"/>
    <cs:effectRef idx="0"/>
    <cs:fontRef idx="minor">
      <a:schemeClr val="tx2"/>
    </cs:fontRef>
  </cs:wall>
</cs:chartStyle>
</file>

<file path=xl/charts/style1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chart" Target="../charts/chart2.xml"/><Relationship Id="rId3" Type="http://schemas.openxmlformats.org/officeDocument/2006/relationships/image" Target="../media/image3.png"/><Relationship Id="rId7" Type="http://schemas.openxmlformats.org/officeDocument/2006/relationships/chart" Target="../charts/chart1.xml"/><Relationship Id="rId2" Type="http://schemas.openxmlformats.org/officeDocument/2006/relationships/image" Target="../media/image2.svg"/><Relationship Id="rId1" Type="http://schemas.openxmlformats.org/officeDocument/2006/relationships/image" Target="../media/image1.png"/><Relationship Id="rId6" Type="http://schemas.openxmlformats.org/officeDocument/2006/relationships/image" Target="../media/image6.svg"/><Relationship Id="rId11" Type="http://schemas.openxmlformats.org/officeDocument/2006/relationships/chart" Target="../charts/chart5.xml"/><Relationship Id="rId5" Type="http://schemas.openxmlformats.org/officeDocument/2006/relationships/image" Target="../media/image5.png"/><Relationship Id="rId10" Type="http://schemas.openxmlformats.org/officeDocument/2006/relationships/chart" Target="../charts/chart4.xml"/><Relationship Id="rId4" Type="http://schemas.openxmlformats.org/officeDocument/2006/relationships/image" Target="../media/image4.svg"/><Relationship Id="rId9" Type="http://schemas.openxmlformats.org/officeDocument/2006/relationships/chart" Target="../charts/chart3.xml"/></Relationships>
</file>

<file path=xl/drawings/_rels/drawing2.xml.rels><?xml version="1.0" encoding="UTF-8" standalone="yes"?>
<Relationships xmlns="http://schemas.openxmlformats.org/package/2006/relationships"><Relationship Id="rId8" Type="http://schemas.openxmlformats.org/officeDocument/2006/relationships/image" Target="../media/image14.png"/><Relationship Id="rId3" Type="http://schemas.openxmlformats.org/officeDocument/2006/relationships/image" Target="../media/image9.png"/><Relationship Id="rId7" Type="http://schemas.openxmlformats.org/officeDocument/2006/relationships/image" Target="../media/image13.png"/><Relationship Id="rId2" Type="http://schemas.openxmlformats.org/officeDocument/2006/relationships/image" Target="../media/image8.png"/><Relationship Id="rId1" Type="http://schemas.openxmlformats.org/officeDocument/2006/relationships/image" Target="../media/image7.png"/><Relationship Id="rId6" Type="http://schemas.openxmlformats.org/officeDocument/2006/relationships/image" Target="../media/image12.png"/><Relationship Id="rId5" Type="http://schemas.openxmlformats.org/officeDocument/2006/relationships/image" Target="../media/image11.jpg"/><Relationship Id="rId4" Type="http://schemas.openxmlformats.org/officeDocument/2006/relationships/image" Target="../media/image10.png"/></Relationships>
</file>

<file path=xl/drawings/_rels/drawing3.xml.rels><?xml version="1.0" encoding="UTF-8" standalone="yes"?>
<Relationships xmlns="http://schemas.openxmlformats.org/package/2006/relationships"><Relationship Id="rId8" Type="http://schemas.openxmlformats.org/officeDocument/2006/relationships/image" Target="../media/image16.svg"/><Relationship Id="rId13" Type="http://schemas.openxmlformats.org/officeDocument/2006/relationships/image" Target="../media/image19.png"/><Relationship Id="rId3" Type="http://schemas.openxmlformats.org/officeDocument/2006/relationships/image" Target="../media/image1.png"/><Relationship Id="rId7" Type="http://schemas.openxmlformats.org/officeDocument/2006/relationships/image" Target="../media/image15.png"/><Relationship Id="rId12" Type="http://schemas.openxmlformats.org/officeDocument/2006/relationships/image" Target="../media/image18.svg"/><Relationship Id="rId2" Type="http://schemas.openxmlformats.org/officeDocument/2006/relationships/chart" Target="../charts/chart7.xml"/><Relationship Id="rId1" Type="http://schemas.openxmlformats.org/officeDocument/2006/relationships/chart" Target="../charts/chart6.xml"/><Relationship Id="rId6" Type="http://schemas.openxmlformats.org/officeDocument/2006/relationships/image" Target="../media/image4.svg"/><Relationship Id="rId11" Type="http://schemas.openxmlformats.org/officeDocument/2006/relationships/image" Target="../media/image17.png"/><Relationship Id="rId5" Type="http://schemas.openxmlformats.org/officeDocument/2006/relationships/image" Target="../media/image3.png"/><Relationship Id="rId10" Type="http://schemas.openxmlformats.org/officeDocument/2006/relationships/image" Target="../media/image6.svg"/><Relationship Id="rId4" Type="http://schemas.openxmlformats.org/officeDocument/2006/relationships/image" Target="../media/image2.svg"/><Relationship Id="rId9" Type="http://schemas.openxmlformats.org/officeDocument/2006/relationships/image" Target="../media/image5.png"/><Relationship Id="rId14" Type="http://schemas.openxmlformats.org/officeDocument/2006/relationships/image" Target="../media/image20.svg"/></Relationships>
</file>

<file path=xl/drawings/_rels/drawing4.xml.rels><?xml version="1.0" encoding="UTF-8" standalone="yes"?>
<Relationships xmlns="http://schemas.openxmlformats.org/package/2006/relationships"><Relationship Id="rId8" Type="http://schemas.openxmlformats.org/officeDocument/2006/relationships/image" Target="../media/image21.svg"/><Relationship Id="rId13" Type="http://schemas.openxmlformats.org/officeDocument/2006/relationships/image" Target="../media/image19.png"/><Relationship Id="rId3" Type="http://schemas.openxmlformats.org/officeDocument/2006/relationships/image" Target="../media/image3.png"/><Relationship Id="rId7" Type="http://schemas.openxmlformats.org/officeDocument/2006/relationships/image" Target="../media/image5.png"/><Relationship Id="rId12" Type="http://schemas.openxmlformats.org/officeDocument/2006/relationships/image" Target="../media/image22.svg"/><Relationship Id="rId2" Type="http://schemas.openxmlformats.org/officeDocument/2006/relationships/chart" Target="../charts/chart9.xml"/><Relationship Id="rId1" Type="http://schemas.openxmlformats.org/officeDocument/2006/relationships/chart" Target="../charts/chart8.xml"/><Relationship Id="rId6" Type="http://schemas.openxmlformats.org/officeDocument/2006/relationships/image" Target="../media/image16.svg"/><Relationship Id="rId11" Type="http://schemas.openxmlformats.org/officeDocument/2006/relationships/image" Target="../media/image17.png"/><Relationship Id="rId5" Type="http://schemas.openxmlformats.org/officeDocument/2006/relationships/image" Target="../media/image15.png"/><Relationship Id="rId10" Type="http://schemas.openxmlformats.org/officeDocument/2006/relationships/image" Target="../media/image2.svg"/><Relationship Id="rId4" Type="http://schemas.openxmlformats.org/officeDocument/2006/relationships/image" Target="../media/image4.svg"/><Relationship Id="rId9" Type="http://schemas.openxmlformats.org/officeDocument/2006/relationships/image" Target="../media/image1.png"/><Relationship Id="rId14" Type="http://schemas.openxmlformats.org/officeDocument/2006/relationships/image" Target="../media/image20.svg"/></Relationships>
</file>

<file path=xl/drawings/_rels/drawing5.xml.rels><?xml version="1.0" encoding="UTF-8" standalone="yes"?>
<Relationships xmlns="http://schemas.openxmlformats.org/package/2006/relationships"><Relationship Id="rId8" Type="http://schemas.openxmlformats.org/officeDocument/2006/relationships/image" Target="../media/image24.svg"/><Relationship Id="rId13" Type="http://schemas.openxmlformats.org/officeDocument/2006/relationships/image" Target="../media/image19.png"/><Relationship Id="rId18" Type="http://schemas.openxmlformats.org/officeDocument/2006/relationships/chart" Target="../charts/chart13.xml"/><Relationship Id="rId3" Type="http://schemas.openxmlformats.org/officeDocument/2006/relationships/image" Target="../media/image3.png"/><Relationship Id="rId21" Type="http://schemas.openxmlformats.org/officeDocument/2006/relationships/chart" Target="../charts/chart16.xml"/><Relationship Id="rId7" Type="http://schemas.openxmlformats.org/officeDocument/2006/relationships/image" Target="../media/image23.png"/><Relationship Id="rId12" Type="http://schemas.openxmlformats.org/officeDocument/2006/relationships/image" Target="../media/image18.svg"/><Relationship Id="rId17" Type="http://schemas.openxmlformats.org/officeDocument/2006/relationships/chart" Target="../charts/chart12.xml"/><Relationship Id="rId2" Type="http://schemas.openxmlformats.org/officeDocument/2006/relationships/image" Target="../media/image2.svg"/><Relationship Id="rId16" Type="http://schemas.openxmlformats.org/officeDocument/2006/relationships/chart" Target="../charts/chart11.xml"/><Relationship Id="rId20" Type="http://schemas.openxmlformats.org/officeDocument/2006/relationships/chart" Target="../charts/chart15.xml"/><Relationship Id="rId1" Type="http://schemas.openxmlformats.org/officeDocument/2006/relationships/image" Target="../media/image1.png"/><Relationship Id="rId6" Type="http://schemas.openxmlformats.org/officeDocument/2006/relationships/image" Target="../media/image16.svg"/><Relationship Id="rId11" Type="http://schemas.openxmlformats.org/officeDocument/2006/relationships/image" Target="../media/image17.png"/><Relationship Id="rId5" Type="http://schemas.openxmlformats.org/officeDocument/2006/relationships/image" Target="../media/image15.png"/><Relationship Id="rId15" Type="http://schemas.openxmlformats.org/officeDocument/2006/relationships/chart" Target="../charts/chart10.xml"/><Relationship Id="rId10" Type="http://schemas.openxmlformats.org/officeDocument/2006/relationships/image" Target="../media/image26.svg"/><Relationship Id="rId19" Type="http://schemas.openxmlformats.org/officeDocument/2006/relationships/chart" Target="../charts/chart14.xml"/><Relationship Id="rId4" Type="http://schemas.openxmlformats.org/officeDocument/2006/relationships/image" Target="../media/image4.svg"/><Relationship Id="rId9" Type="http://schemas.openxmlformats.org/officeDocument/2006/relationships/image" Target="../media/image25.png"/><Relationship Id="rId14" Type="http://schemas.openxmlformats.org/officeDocument/2006/relationships/image" Target="../media/image20.sv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16.emf"/></Relationships>
</file>

<file path=xl/drawings/drawing1.xml><?xml version="1.0" encoding="utf-8"?>
<xdr:wsDr xmlns:xdr="http://schemas.openxmlformats.org/drawingml/2006/spreadsheetDrawing" xmlns:a="http://schemas.openxmlformats.org/drawingml/2006/main">
  <xdr:twoCellAnchor editAs="oneCell">
    <xdr:from>
      <xdr:col>0</xdr:col>
      <xdr:colOff>212256</xdr:colOff>
      <xdr:row>52</xdr:row>
      <xdr:rowOff>92121</xdr:rowOff>
    </xdr:from>
    <xdr:to>
      <xdr:col>0</xdr:col>
      <xdr:colOff>1100341</xdr:colOff>
      <xdr:row>57</xdr:row>
      <xdr:rowOff>8010</xdr:rowOff>
    </xdr:to>
    <xdr:pic>
      <xdr:nvPicPr>
        <xdr:cNvPr id="5" name="Graphic 4" descr="Open hand met planten met effen opvulling">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212256" y="9834835"/>
          <a:ext cx="888085" cy="905498"/>
        </a:xfrm>
        <a:prstGeom prst="rect">
          <a:avLst/>
        </a:prstGeom>
      </xdr:spPr>
    </xdr:pic>
    <xdr:clientData/>
  </xdr:twoCellAnchor>
  <xdr:twoCellAnchor editAs="oneCell">
    <xdr:from>
      <xdr:col>0</xdr:col>
      <xdr:colOff>303193</xdr:colOff>
      <xdr:row>70</xdr:row>
      <xdr:rowOff>132361</xdr:rowOff>
    </xdr:from>
    <xdr:to>
      <xdr:col>0</xdr:col>
      <xdr:colOff>1028585</xdr:colOff>
      <xdr:row>73</xdr:row>
      <xdr:rowOff>114863</xdr:rowOff>
    </xdr:to>
    <xdr:pic>
      <xdr:nvPicPr>
        <xdr:cNvPr id="6" name="Graphic 5" descr="Energiecentrale met effen opvulling">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303193" y="13889182"/>
          <a:ext cx="725392" cy="798931"/>
        </a:xfrm>
        <a:prstGeom prst="rect">
          <a:avLst/>
        </a:prstGeom>
      </xdr:spPr>
    </xdr:pic>
    <xdr:clientData/>
  </xdr:twoCellAnchor>
  <xdr:twoCellAnchor editAs="oneCell">
    <xdr:from>
      <xdr:col>0</xdr:col>
      <xdr:colOff>206706</xdr:colOff>
      <xdr:row>87</xdr:row>
      <xdr:rowOff>89064</xdr:rowOff>
    </xdr:from>
    <xdr:to>
      <xdr:col>0</xdr:col>
      <xdr:colOff>1097603</xdr:colOff>
      <xdr:row>91</xdr:row>
      <xdr:rowOff>2498</xdr:rowOff>
    </xdr:to>
    <xdr:pic>
      <xdr:nvPicPr>
        <xdr:cNvPr id="8" name="Graphic 7" descr="Grondstoffen met effen opvulling">
          <a:extLst>
            <a:ext uri="{FF2B5EF4-FFF2-40B4-BE49-F238E27FC236}">
              <a16:creationId xmlns:a16="http://schemas.microsoft.com/office/drawing/2014/main" id="{00000000-0008-0000-0000-000008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206706" y="18132135"/>
          <a:ext cx="890897" cy="1002007"/>
        </a:xfrm>
        <a:prstGeom prst="rect">
          <a:avLst/>
        </a:prstGeom>
      </xdr:spPr>
    </xdr:pic>
    <xdr:clientData/>
  </xdr:twoCellAnchor>
  <xdr:twoCellAnchor>
    <xdr:from>
      <xdr:col>3</xdr:col>
      <xdr:colOff>217715</xdr:colOff>
      <xdr:row>41</xdr:row>
      <xdr:rowOff>103909</xdr:rowOff>
    </xdr:from>
    <xdr:to>
      <xdr:col>18</xdr:col>
      <xdr:colOff>0</xdr:colOff>
      <xdr:row>44</xdr:row>
      <xdr:rowOff>27966</xdr:rowOff>
    </xdr:to>
    <xdr:sp macro="[0]!Herberekenen" textlink="">
      <xdr:nvSpPr>
        <xdr:cNvPr id="11" name="Rechthoek: afgeronde hoeken 10">
          <a:extLst>
            <a:ext uri="{FF2B5EF4-FFF2-40B4-BE49-F238E27FC236}">
              <a16:creationId xmlns:a16="http://schemas.microsoft.com/office/drawing/2014/main" id="{00000000-0008-0000-0000-00000B000000}"/>
            </a:ext>
          </a:extLst>
        </xdr:cNvPr>
        <xdr:cNvSpPr/>
      </xdr:nvSpPr>
      <xdr:spPr>
        <a:xfrm>
          <a:off x="3497036" y="7601445"/>
          <a:ext cx="7796893" cy="536378"/>
        </a:xfrm>
        <a:prstGeom prst="roundRect">
          <a:avLst/>
        </a:prstGeom>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ctr"/>
          <a:r>
            <a:rPr lang="nl-NL" sz="2400"/>
            <a:t>Herberekenen</a:t>
          </a:r>
        </a:p>
      </xdr:txBody>
    </xdr:sp>
    <xdr:clientData/>
  </xdr:twoCellAnchor>
  <mc:AlternateContent xmlns:mc="http://schemas.openxmlformats.org/markup-compatibility/2006">
    <mc:Choice xmlns:a14="http://schemas.microsoft.com/office/drawing/2010/main" Requires="a14">
      <xdr:twoCellAnchor editAs="oneCell">
        <xdr:from>
          <xdr:col>1</xdr:col>
          <xdr:colOff>828675</xdr:colOff>
          <xdr:row>3</xdr:row>
          <xdr:rowOff>0</xdr:rowOff>
        </xdr:from>
        <xdr:to>
          <xdr:col>1</xdr:col>
          <xdr:colOff>1047750</xdr:colOff>
          <xdr:row>3</xdr:row>
          <xdr:rowOff>228600</xdr:rowOff>
        </xdr:to>
        <xdr:sp macro="" textlink="">
          <xdr:nvSpPr>
            <xdr:cNvPr id="5121" name="Control 1" hidden="1">
              <a:extLst>
                <a:ext uri="{63B3BB69-23CF-44E3-9099-C40C66FF867C}">
                  <a14:compatExt spid="_x0000_s5121"/>
                </a:ext>
                <a:ext uri="{FF2B5EF4-FFF2-40B4-BE49-F238E27FC236}">
                  <a16:creationId xmlns:a16="http://schemas.microsoft.com/office/drawing/2014/main" id="{00000000-0008-0000-0000-0000011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xdr:twoCellAnchor>
    <xdr:from>
      <xdr:col>1</xdr:col>
      <xdr:colOff>201706</xdr:colOff>
      <xdr:row>44</xdr:row>
      <xdr:rowOff>160813</xdr:rowOff>
    </xdr:from>
    <xdr:to>
      <xdr:col>19</xdr:col>
      <xdr:colOff>0</xdr:colOff>
      <xdr:row>65</xdr:row>
      <xdr:rowOff>37110</xdr:rowOff>
    </xdr:to>
    <xdr:graphicFrame macro="">
      <xdr:nvGraphicFramePr>
        <xdr:cNvPr id="15" name="Grafiek 14">
          <a:extLst>
            <a:ext uri="{FF2B5EF4-FFF2-40B4-BE49-F238E27FC236}">
              <a16:creationId xmlns:a16="http://schemas.microsoft.com/office/drawing/2014/main" id="{00000000-0008-0000-00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xdr:col>
      <xdr:colOff>155864</xdr:colOff>
      <xdr:row>65</xdr:row>
      <xdr:rowOff>183368</xdr:rowOff>
    </xdr:from>
    <xdr:to>
      <xdr:col>33</xdr:col>
      <xdr:colOff>1013426</xdr:colOff>
      <xdr:row>79</xdr:row>
      <xdr:rowOff>86590</xdr:rowOff>
    </xdr:to>
    <xdr:graphicFrame macro="">
      <xdr:nvGraphicFramePr>
        <xdr:cNvPr id="12" name="Grafiek 11">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xdr:col>
      <xdr:colOff>149679</xdr:colOff>
      <xdr:row>81</xdr:row>
      <xdr:rowOff>5401</xdr:rowOff>
    </xdr:from>
    <xdr:to>
      <xdr:col>19</xdr:col>
      <xdr:colOff>0</xdr:colOff>
      <xdr:row>98</xdr:row>
      <xdr:rowOff>20427</xdr:rowOff>
    </xdr:to>
    <xdr:graphicFrame macro="">
      <xdr:nvGraphicFramePr>
        <xdr:cNvPr id="14" name="Grafiek 13">
          <a:extLst>
            <a:ext uri="{FF2B5EF4-FFF2-40B4-BE49-F238E27FC236}">
              <a16:creationId xmlns:a16="http://schemas.microsoft.com/office/drawing/2014/main" id="{00000000-0008-0000-00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xdr:col>
      <xdr:colOff>447674</xdr:colOff>
      <xdr:row>101</xdr:row>
      <xdr:rowOff>42862</xdr:rowOff>
    </xdr:from>
    <xdr:to>
      <xdr:col>21</xdr:col>
      <xdr:colOff>0</xdr:colOff>
      <xdr:row>120</xdr:row>
      <xdr:rowOff>134677</xdr:rowOff>
    </xdr:to>
    <xdr:graphicFrame macro="">
      <xdr:nvGraphicFramePr>
        <xdr:cNvPr id="2" name="Chart 1">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editAs="oneCell">
    <xdr:from>
      <xdr:col>0</xdr:col>
      <xdr:colOff>0</xdr:colOff>
      <xdr:row>101</xdr:row>
      <xdr:rowOff>100013</xdr:rowOff>
    </xdr:from>
    <xdr:to>
      <xdr:col>1</xdr:col>
      <xdr:colOff>471487</xdr:colOff>
      <xdr:row>118</xdr:row>
      <xdr:rowOff>142874</xdr:rowOff>
    </xdr:to>
    <mc:AlternateContent xmlns:mc="http://schemas.openxmlformats.org/markup-compatibility/2006" xmlns:a14="http://schemas.microsoft.com/office/drawing/2010/main">
      <mc:Choice Requires="a14">
        <xdr:graphicFrame macro="">
          <xdr:nvGraphicFramePr>
            <xdr:cNvPr id="4" name="Variant">
              <a:extLst>
                <a:ext uri="{FF2B5EF4-FFF2-40B4-BE49-F238E27FC236}">
                  <a16:creationId xmlns:a16="http://schemas.microsoft.com/office/drawing/2014/main" id="{00000000-0008-0000-0000-000004000000}"/>
                </a:ext>
              </a:extLst>
            </xdr:cNvPr>
            <xdr:cNvGraphicFramePr/>
          </xdr:nvGraphicFramePr>
          <xdr:xfrm>
            <a:off x="0" y="0"/>
            <a:ext cx="0" cy="0"/>
          </xdr:xfrm>
          <a:graphic>
            <a:graphicData uri="http://schemas.microsoft.com/office/drawing/2010/slicer">
              <sle:slicer xmlns:sle="http://schemas.microsoft.com/office/drawing/2010/slicer" name="Variant"/>
            </a:graphicData>
          </a:graphic>
        </xdr:graphicFrame>
      </mc:Choice>
      <mc:Fallback xmlns="">
        <xdr:sp macro="" textlink="">
          <xdr:nvSpPr>
            <xdr:cNvPr id="0" name=""/>
            <xdr:cNvSpPr>
              <a:spLocks noTextEdit="1"/>
            </xdr:cNvSpPr>
          </xdr:nvSpPr>
          <xdr:spPr>
            <a:xfrm>
              <a:off x="0" y="20847195"/>
              <a:ext cx="1822305" cy="3194770"/>
            </a:xfrm>
            <a:prstGeom prst="rect">
              <a:avLst/>
            </a:prstGeom>
            <a:solidFill>
              <a:prstClr val="white"/>
            </a:solidFill>
            <a:ln w="1">
              <a:solidFill>
                <a:prstClr val="green"/>
              </a:solidFill>
            </a:ln>
          </xdr:spPr>
          <xdr:txBody>
            <a:bodyPr vertOverflow="clip" horzOverflow="clip"/>
            <a:lstStyle/>
            <a:p>
              <a:r>
                <a:rPr lang="en-NL"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xdr:from>
      <xdr:col>1</xdr:col>
      <xdr:colOff>547687</xdr:colOff>
      <xdr:row>123</xdr:row>
      <xdr:rowOff>0</xdr:rowOff>
    </xdr:from>
    <xdr:to>
      <xdr:col>21</xdr:col>
      <xdr:colOff>0</xdr:colOff>
      <xdr:row>145</xdr:row>
      <xdr:rowOff>190500</xdr:rowOff>
    </xdr:to>
    <xdr:graphicFrame macro="">
      <xdr:nvGraphicFramePr>
        <xdr:cNvPr id="7" name="Chart 6">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editAs="oneCell">
    <xdr:from>
      <xdr:col>0</xdr:col>
      <xdr:colOff>0</xdr:colOff>
      <xdr:row>125</xdr:row>
      <xdr:rowOff>48491</xdr:rowOff>
    </xdr:from>
    <xdr:to>
      <xdr:col>1</xdr:col>
      <xdr:colOff>477982</xdr:colOff>
      <xdr:row>137</xdr:row>
      <xdr:rowOff>78797</xdr:rowOff>
    </xdr:to>
    <mc:AlternateContent xmlns:mc="http://schemas.openxmlformats.org/markup-compatibility/2006" xmlns:a14="http://schemas.microsoft.com/office/drawing/2010/main">
      <mc:Choice Requires="a14">
        <xdr:graphicFrame macro="">
          <xdr:nvGraphicFramePr>
            <xdr:cNvPr id="3" name="Variant 1">
              <a:extLst>
                <a:ext uri="{FF2B5EF4-FFF2-40B4-BE49-F238E27FC236}">
                  <a16:creationId xmlns:a16="http://schemas.microsoft.com/office/drawing/2014/main" id="{00000000-0008-0000-0000-000003000000}"/>
                </a:ext>
              </a:extLst>
            </xdr:cNvPr>
            <xdr:cNvGraphicFramePr/>
          </xdr:nvGraphicFramePr>
          <xdr:xfrm>
            <a:off x="0" y="0"/>
            <a:ext cx="0" cy="0"/>
          </xdr:xfrm>
          <a:graphic>
            <a:graphicData uri="http://schemas.microsoft.com/office/drawing/2010/slicer">
              <sle:slicer xmlns:sle="http://schemas.microsoft.com/office/drawing/2010/slicer" name="Variant 1"/>
            </a:graphicData>
          </a:graphic>
        </xdr:graphicFrame>
      </mc:Choice>
      <mc:Fallback xmlns="">
        <xdr:sp macro="" textlink="">
          <xdr:nvSpPr>
            <xdr:cNvPr id="0" name=""/>
            <xdr:cNvSpPr>
              <a:spLocks noTextEdit="1"/>
            </xdr:cNvSpPr>
          </xdr:nvSpPr>
          <xdr:spPr>
            <a:xfrm>
              <a:off x="0" y="23643277"/>
              <a:ext cx="1825089" cy="2479592"/>
            </a:xfrm>
            <a:prstGeom prst="rect">
              <a:avLst/>
            </a:prstGeom>
            <a:solidFill>
              <a:prstClr val="white"/>
            </a:solidFill>
            <a:ln w="1">
              <a:solidFill>
                <a:prstClr val="green"/>
              </a:solidFill>
            </a:ln>
          </xdr:spPr>
          <xdr:txBody>
            <a:bodyPr vertOverflow="clip" horzOverflow="clip"/>
            <a:lstStyle/>
            <a:p>
              <a:r>
                <a:rPr lang="en-NL"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drawings/drawing2.xml><?xml version="1.0" encoding="utf-8"?>
<xdr:wsDr xmlns:xdr="http://schemas.openxmlformats.org/drawingml/2006/spreadsheetDrawing" xmlns:a="http://schemas.openxmlformats.org/drawingml/2006/main">
  <xdr:twoCellAnchor>
    <xdr:from>
      <xdr:col>1</xdr:col>
      <xdr:colOff>1592</xdr:colOff>
      <xdr:row>82</xdr:row>
      <xdr:rowOff>180147</xdr:rowOff>
    </xdr:from>
    <xdr:to>
      <xdr:col>1</xdr:col>
      <xdr:colOff>5019675</xdr:colOff>
      <xdr:row>90</xdr:row>
      <xdr:rowOff>189672</xdr:rowOff>
    </xdr:to>
    <xdr:pic>
      <xdr:nvPicPr>
        <xdr:cNvPr id="4" name="Picture 6" descr="Table&#10;&#10;Description automatically generated">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03788" y="17730995"/>
          <a:ext cx="5018083" cy="1533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2242039</xdr:colOff>
      <xdr:row>117</xdr:row>
      <xdr:rowOff>80595</xdr:rowOff>
    </xdr:from>
    <xdr:to>
      <xdr:col>1</xdr:col>
      <xdr:colOff>3912578</xdr:colOff>
      <xdr:row>124</xdr:row>
      <xdr:rowOff>141900</xdr:rowOff>
    </xdr:to>
    <xdr:pic>
      <xdr:nvPicPr>
        <xdr:cNvPr id="13" name="Picture 12">
          <a:extLst>
            <a:ext uri="{FF2B5EF4-FFF2-40B4-BE49-F238E27FC236}">
              <a16:creationId xmlns:a16="http://schemas.microsoft.com/office/drawing/2014/main" id="{00000000-0008-0000-0200-00000D000000}"/>
            </a:ext>
          </a:extLst>
        </xdr:cNvPr>
        <xdr:cNvPicPr>
          <a:picLocks noChangeAspect="1"/>
        </xdr:cNvPicPr>
      </xdr:nvPicPr>
      <xdr:blipFill rotWithShape="1">
        <a:blip xmlns:r="http://schemas.openxmlformats.org/officeDocument/2006/relationships" r:embed="rId2"/>
        <a:srcRect l="2446" t="4102" r="6237"/>
        <a:stretch/>
      </xdr:blipFill>
      <xdr:spPr>
        <a:xfrm>
          <a:off x="3245827" y="24852922"/>
          <a:ext cx="1670539" cy="1394805"/>
        </a:xfrm>
        <a:prstGeom prst="rect">
          <a:avLst/>
        </a:prstGeom>
      </xdr:spPr>
    </xdr:pic>
    <xdr:clientData/>
  </xdr:twoCellAnchor>
  <xdr:twoCellAnchor editAs="oneCell">
    <xdr:from>
      <xdr:col>1</xdr:col>
      <xdr:colOff>4315558</xdr:colOff>
      <xdr:row>117</xdr:row>
      <xdr:rowOff>73270</xdr:rowOff>
    </xdr:from>
    <xdr:to>
      <xdr:col>1</xdr:col>
      <xdr:colOff>5861539</xdr:colOff>
      <xdr:row>124</xdr:row>
      <xdr:rowOff>132290</xdr:rowOff>
    </xdr:to>
    <xdr:pic>
      <xdr:nvPicPr>
        <xdr:cNvPr id="14" name="Picture 13">
          <a:extLst>
            <a:ext uri="{FF2B5EF4-FFF2-40B4-BE49-F238E27FC236}">
              <a16:creationId xmlns:a16="http://schemas.microsoft.com/office/drawing/2014/main" id="{00000000-0008-0000-0200-00000E000000}"/>
            </a:ext>
          </a:extLst>
        </xdr:cNvPr>
        <xdr:cNvPicPr>
          <a:picLocks noChangeAspect="1"/>
        </xdr:cNvPicPr>
      </xdr:nvPicPr>
      <xdr:blipFill>
        <a:blip xmlns:r="http://schemas.openxmlformats.org/officeDocument/2006/relationships" r:embed="rId3"/>
        <a:stretch>
          <a:fillRect/>
        </a:stretch>
      </xdr:blipFill>
      <xdr:spPr>
        <a:xfrm>
          <a:off x="5319346" y="24845597"/>
          <a:ext cx="1545981" cy="1392520"/>
        </a:xfrm>
        <a:prstGeom prst="rect">
          <a:avLst/>
        </a:prstGeom>
      </xdr:spPr>
    </xdr:pic>
    <xdr:clientData/>
  </xdr:twoCellAnchor>
  <xdr:twoCellAnchor editAs="oneCell">
    <xdr:from>
      <xdr:col>0</xdr:col>
      <xdr:colOff>933450</xdr:colOff>
      <xdr:row>57</xdr:row>
      <xdr:rowOff>77708</xdr:rowOff>
    </xdr:from>
    <xdr:to>
      <xdr:col>1</xdr:col>
      <xdr:colOff>7505699</xdr:colOff>
      <xdr:row>76</xdr:row>
      <xdr:rowOff>127915</xdr:rowOff>
    </xdr:to>
    <xdr:pic>
      <xdr:nvPicPr>
        <xdr:cNvPr id="15" name="Picture 14">
          <a:extLst>
            <a:ext uri="{FF2B5EF4-FFF2-40B4-BE49-F238E27FC236}">
              <a16:creationId xmlns:a16="http://schemas.microsoft.com/office/drawing/2014/main" id="{00000000-0008-0000-0200-00000F000000}"/>
            </a:ext>
          </a:extLst>
        </xdr:cNvPr>
        <xdr:cNvPicPr>
          <a:picLocks noChangeAspect="1"/>
        </xdr:cNvPicPr>
      </xdr:nvPicPr>
      <xdr:blipFill>
        <a:blip xmlns:r="http://schemas.openxmlformats.org/officeDocument/2006/relationships" r:embed="rId4"/>
        <a:stretch>
          <a:fillRect/>
        </a:stretch>
      </xdr:blipFill>
      <xdr:spPr>
        <a:xfrm>
          <a:off x="933450" y="12088733"/>
          <a:ext cx="7572374" cy="3669707"/>
        </a:xfrm>
        <a:prstGeom prst="rect">
          <a:avLst/>
        </a:prstGeom>
      </xdr:spPr>
    </xdr:pic>
    <xdr:clientData/>
  </xdr:twoCellAnchor>
  <xdr:twoCellAnchor editAs="oneCell">
    <xdr:from>
      <xdr:col>1</xdr:col>
      <xdr:colOff>0</xdr:colOff>
      <xdr:row>0</xdr:row>
      <xdr:rowOff>9525</xdr:rowOff>
    </xdr:from>
    <xdr:to>
      <xdr:col>2</xdr:col>
      <xdr:colOff>24848</xdr:colOff>
      <xdr:row>0</xdr:row>
      <xdr:rowOff>1285047</xdr:rowOff>
    </xdr:to>
    <xdr:pic>
      <xdr:nvPicPr>
        <xdr:cNvPr id="17" name="Picture 16">
          <a:extLst>
            <a:ext uri="{FF2B5EF4-FFF2-40B4-BE49-F238E27FC236}">
              <a16:creationId xmlns:a16="http://schemas.microsoft.com/office/drawing/2014/main" id="{00000000-0008-0000-0200-000011000000}"/>
            </a:ext>
          </a:extLst>
        </xdr:cNvPr>
        <xdr:cNvPicPr>
          <a:picLocks noChangeAspect="1"/>
        </xdr:cNvPicPr>
      </xdr:nvPicPr>
      <xdr:blipFill rotWithShape="1">
        <a:blip xmlns:r="http://schemas.openxmlformats.org/officeDocument/2006/relationships" r:embed="rId5">
          <a:extLst>
            <a:ext uri="{28A0092B-C50C-407E-A947-70E740481C1C}">
              <a14:useLocalDpi xmlns:a14="http://schemas.microsoft.com/office/drawing/2010/main" val="0"/>
            </a:ext>
          </a:extLst>
        </a:blip>
        <a:srcRect b="14361"/>
        <a:stretch/>
      </xdr:blipFill>
      <xdr:spPr>
        <a:xfrm>
          <a:off x="998483" y="9525"/>
          <a:ext cx="8794417" cy="1275522"/>
        </a:xfrm>
        <a:prstGeom prst="roundRect">
          <a:avLst>
            <a:gd name="adj" fmla="val 8594"/>
          </a:avLst>
        </a:prstGeom>
        <a:solidFill>
          <a:srgbClr val="FFFFFF">
            <a:shade val="85000"/>
          </a:srgbClr>
        </a:solidFill>
        <a:ln>
          <a:noFill/>
        </a:ln>
        <a:effectLst>
          <a:reflection blurRad="12700" stA="38000" endPos="28000" dist="5000" dir="5400000" sy="-100000" algn="bl" rotWithShape="0"/>
        </a:effectLst>
      </xdr:spPr>
    </xdr:pic>
    <xdr:clientData/>
  </xdr:twoCellAnchor>
  <xdr:twoCellAnchor editAs="oneCell">
    <xdr:from>
      <xdr:col>1</xdr:col>
      <xdr:colOff>1608418</xdr:colOff>
      <xdr:row>127</xdr:row>
      <xdr:rowOff>130847</xdr:rowOff>
    </xdr:from>
    <xdr:to>
      <xdr:col>2</xdr:col>
      <xdr:colOff>521805</xdr:colOff>
      <xdr:row>150</xdr:row>
      <xdr:rowOff>182031</xdr:rowOff>
    </xdr:to>
    <xdr:pic>
      <xdr:nvPicPr>
        <xdr:cNvPr id="18" name="Picture 17">
          <a:extLst>
            <a:ext uri="{FF2B5EF4-FFF2-40B4-BE49-F238E27FC236}">
              <a16:creationId xmlns:a16="http://schemas.microsoft.com/office/drawing/2014/main" id="{00000000-0008-0000-0200-000012000000}"/>
            </a:ext>
          </a:extLst>
        </xdr:cNvPr>
        <xdr:cNvPicPr>
          <a:picLocks noChangeAspect="1"/>
        </xdr:cNvPicPr>
      </xdr:nvPicPr>
      <xdr:blipFill>
        <a:blip xmlns:r="http://schemas.openxmlformats.org/officeDocument/2006/relationships" r:embed="rId6"/>
        <a:stretch>
          <a:fillRect/>
        </a:stretch>
      </xdr:blipFill>
      <xdr:spPr>
        <a:xfrm>
          <a:off x="2610614" y="27397195"/>
          <a:ext cx="7684669" cy="4432684"/>
        </a:xfrm>
        <a:prstGeom prst="rect">
          <a:avLst/>
        </a:prstGeom>
      </xdr:spPr>
    </xdr:pic>
    <xdr:clientData/>
  </xdr:twoCellAnchor>
  <xdr:twoCellAnchor editAs="oneCell">
    <xdr:from>
      <xdr:col>1</xdr:col>
      <xdr:colOff>127700</xdr:colOff>
      <xdr:row>18</xdr:row>
      <xdr:rowOff>101714</xdr:rowOff>
    </xdr:from>
    <xdr:to>
      <xdr:col>2</xdr:col>
      <xdr:colOff>85725</xdr:colOff>
      <xdr:row>32</xdr:row>
      <xdr:rowOff>19050</xdr:rowOff>
    </xdr:to>
    <xdr:pic>
      <xdr:nvPicPr>
        <xdr:cNvPr id="8" name="Picture 7">
          <a:extLst>
            <a:ext uri="{FF2B5EF4-FFF2-40B4-BE49-F238E27FC236}">
              <a16:creationId xmlns:a16="http://schemas.microsoft.com/office/drawing/2014/main" id="{00000000-0008-0000-0200-000008000000}"/>
            </a:ext>
          </a:extLst>
        </xdr:cNvPr>
        <xdr:cNvPicPr>
          <a:picLocks noChangeAspect="1"/>
        </xdr:cNvPicPr>
      </xdr:nvPicPr>
      <xdr:blipFill rotWithShape="1">
        <a:blip xmlns:r="http://schemas.openxmlformats.org/officeDocument/2006/relationships" r:embed="rId7"/>
        <a:srcRect b="20040"/>
        <a:stretch/>
      </xdr:blipFill>
      <xdr:spPr>
        <a:xfrm>
          <a:off x="1129896" y="4814518"/>
          <a:ext cx="8729307" cy="2584336"/>
        </a:xfrm>
        <a:prstGeom prst="rect">
          <a:avLst/>
        </a:prstGeom>
      </xdr:spPr>
    </xdr:pic>
    <xdr:clientData/>
  </xdr:twoCellAnchor>
  <xdr:twoCellAnchor editAs="oneCell">
    <xdr:from>
      <xdr:col>1</xdr:col>
      <xdr:colOff>44410</xdr:colOff>
      <xdr:row>101</xdr:row>
      <xdr:rowOff>44840</xdr:rowOff>
    </xdr:from>
    <xdr:to>
      <xdr:col>1</xdr:col>
      <xdr:colOff>5678366</xdr:colOff>
      <xdr:row>114</xdr:row>
      <xdr:rowOff>28192</xdr:rowOff>
    </xdr:to>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rotWithShape="1">
        <a:blip xmlns:r="http://schemas.openxmlformats.org/officeDocument/2006/relationships" r:embed="rId8"/>
        <a:srcRect b="4161"/>
        <a:stretch/>
      </xdr:blipFill>
      <xdr:spPr>
        <a:xfrm>
          <a:off x="1048198" y="22377302"/>
          <a:ext cx="5633956" cy="245985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460257</xdr:colOff>
      <xdr:row>114</xdr:row>
      <xdr:rowOff>90301</xdr:rowOff>
    </xdr:from>
    <xdr:to>
      <xdr:col>6</xdr:col>
      <xdr:colOff>0</xdr:colOff>
      <xdr:row>130</xdr:row>
      <xdr:rowOff>140788</xdr:rowOff>
    </xdr:to>
    <xdr:graphicFrame macro="">
      <xdr:nvGraphicFramePr>
        <xdr:cNvPr id="3" name="Grafiek 2">
          <a:extLst>
            <a:ext uri="{FF2B5EF4-FFF2-40B4-BE49-F238E27FC236}">
              <a16:creationId xmlns:a16="http://schemas.microsoft.com/office/drawing/2014/main" id="{00000000-0008-0000-03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16</xdr:col>
      <xdr:colOff>449034</xdr:colOff>
      <xdr:row>111</xdr:row>
      <xdr:rowOff>51954</xdr:rowOff>
    </xdr:from>
    <xdr:to>
      <xdr:col>24</xdr:col>
      <xdr:colOff>2355273</xdr:colOff>
      <xdr:row>155</xdr:row>
      <xdr:rowOff>86591</xdr:rowOff>
    </xdr:to>
    <xdr:graphicFrame macro="">
      <xdr:nvGraphicFramePr>
        <xdr:cNvPr id="4" name="Grafiek 3">
          <a:extLst>
            <a:ext uri="{FF2B5EF4-FFF2-40B4-BE49-F238E27FC236}">
              <a16:creationId xmlns:a16="http://schemas.microsoft.com/office/drawing/2014/main" id="{00000000-0008-0000-03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9</xdr:col>
      <xdr:colOff>6809</xdr:colOff>
      <xdr:row>106</xdr:row>
      <xdr:rowOff>108043</xdr:rowOff>
    </xdr:from>
    <xdr:to>
      <xdr:col>16</xdr:col>
      <xdr:colOff>186146</xdr:colOff>
      <xdr:row>131</xdr:row>
      <xdr:rowOff>160884</xdr:rowOff>
    </xdr:to>
    <mc:AlternateContent xmlns:mc="http://schemas.openxmlformats.org/markup-compatibility/2006" xmlns:sle15="http://schemas.microsoft.com/office/drawing/2012/slicer">
      <mc:Choice Requires="sle15">
        <xdr:graphicFrame macro="">
          <xdr:nvGraphicFramePr>
            <xdr:cNvPr id="5" name="Product">
              <a:extLst>
                <a:ext uri="{FF2B5EF4-FFF2-40B4-BE49-F238E27FC236}">
                  <a16:creationId xmlns:a16="http://schemas.microsoft.com/office/drawing/2014/main" id="{00000000-0008-0000-0300-000005000000}"/>
                </a:ext>
              </a:extLst>
            </xdr:cNvPr>
            <xdr:cNvGraphicFramePr/>
          </xdr:nvGraphicFramePr>
          <xdr:xfrm>
            <a:off x="0" y="0"/>
            <a:ext cx="0" cy="0"/>
          </xdr:xfrm>
          <a:graphic>
            <a:graphicData uri="http://schemas.microsoft.com/office/drawing/2010/slicer">
              <sle:slicer xmlns:sle="http://schemas.microsoft.com/office/drawing/2010/slicer" name="Product"/>
            </a:graphicData>
          </a:graphic>
        </xdr:graphicFrame>
      </mc:Choice>
      <mc:Fallback xmlns="">
        <xdr:sp macro="" textlink="">
          <xdr:nvSpPr>
            <xdr:cNvPr id="0" name=""/>
            <xdr:cNvSpPr>
              <a:spLocks noTextEdit="1"/>
            </xdr:cNvSpPr>
          </xdr:nvSpPr>
          <xdr:spPr>
            <a:xfrm>
              <a:off x="12743095" y="10023866"/>
              <a:ext cx="1975480" cy="4699062"/>
            </a:xfrm>
            <a:prstGeom prst="rect">
              <a:avLst/>
            </a:prstGeom>
            <a:solidFill>
              <a:prstClr val="white"/>
            </a:solidFill>
            <a:ln w="1">
              <a:solidFill>
                <a:prstClr val="green"/>
              </a:solidFill>
            </a:ln>
          </xdr:spPr>
          <xdr:txBody>
            <a:bodyPr vertOverflow="clip" horzOverflow="clip"/>
            <a:lstStyle/>
            <a:p>
              <a:r>
                <a:rPr lang="en-NL"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oneCell">
    <xdr:from>
      <xdr:col>2</xdr:col>
      <xdr:colOff>65560</xdr:colOff>
      <xdr:row>110</xdr:row>
      <xdr:rowOff>43295</xdr:rowOff>
    </xdr:from>
    <xdr:to>
      <xdr:col>2</xdr:col>
      <xdr:colOff>963897</xdr:colOff>
      <xdr:row>114</xdr:row>
      <xdr:rowOff>135</xdr:rowOff>
    </xdr:to>
    <xdr:pic>
      <xdr:nvPicPr>
        <xdr:cNvPr id="6" name="Graphic 5" descr="Open hand met planten met effen opvulling">
          <a:extLst>
            <a:ext uri="{FF2B5EF4-FFF2-40B4-BE49-F238E27FC236}">
              <a16:creationId xmlns:a16="http://schemas.microsoft.com/office/drawing/2014/main" id="{00000000-0008-0000-0300-000006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4620242" y="24981477"/>
          <a:ext cx="898337" cy="926657"/>
        </a:xfrm>
        <a:prstGeom prst="rect">
          <a:avLst/>
        </a:prstGeom>
      </xdr:spPr>
    </xdr:pic>
    <xdr:clientData/>
  </xdr:twoCellAnchor>
  <xdr:twoCellAnchor editAs="oneCell">
    <xdr:from>
      <xdr:col>2</xdr:col>
      <xdr:colOff>92776</xdr:colOff>
      <xdr:row>133</xdr:row>
      <xdr:rowOff>11134</xdr:rowOff>
    </xdr:from>
    <xdr:to>
      <xdr:col>2</xdr:col>
      <xdr:colOff>825298</xdr:colOff>
      <xdr:row>136</xdr:row>
      <xdr:rowOff>17304</xdr:rowOff>
    </xdr:to>
    <xdr:pic>
      <xdr:nvPicPr>
        <xdr:cNvPr id="7" name="Graphic 6" descr="Energiecentrale met effen opvulling">
          <a:extLst>
            <a:ext uri="{FF2B5EF4-FFF2-40B4-BE49-F238E27FC236}">
              <a16:creationId xmlns:a16="http://schemas.microsoft.com/office/drawing/2014/main" id="{00000000-0008-0000-0300-000007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4647458" y="29867679"/>
          <a:ext cx="732522" cy="768170"/>
        </a:xfrm>
        <a:prstGeom prst="rect">
          <a:avLst/>
        </a:prstGeom>
      </xdr:spPr>
    </xdr:pic>
    <xdr:clientData/>
  </xdr:twoCellAnchor>
  <xdr:twoCellAnchor editAs="oneCell">
    <xdr:from>
      <xdr:col>1</xdr:col>
      <xdr:colOff>3186546</xdr:colOff>
      <xdr:row>142</xdr:row>
      <xdr:rowOff>181841</xdr:rowOff>
    </xdr:from>
    <xdr:to>
      <xdr:col>2</xdr:col>
      <xdr:colOff>896420</xdr:colOff>
      <xdr:row>145</xdr:row>
      <xdr:rowOff>16388</xdr:rowOff>
    </xdr:to>
    <xdr:pic>
      <xdr:nvPicPr>
        <xdr:cNvPr id="8" name="Graphic 7" descr="Batterij die wordt opgeladen met effen opvulling">
          <a:extLst>
            <a:ext uri="{FF2B5EF4-FFF2-40B4-BE49-F238E27FC236}">
              <a16:creationId xmlns:a16="http://schemas.microsoft.com/office/drawing/2014/main" id="{00000000-0008-0000-0300-000008000000}"/>
            </a:ext>
          </a:extLst>
        </xdr:cNvPr>
        <xdr:cNvPicPr>
          <a:picLocks noChangeAspect="1"/>
        </xdr:cNvPicPr>
      </xdr:nvPicPr>
      <xdr:blipFill rotWithShape="1">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rcRect t="13402" b="13404"/>
        <a:stretch/>
      </xdr:blipFill>
      <xdr:spPr>
        <a:xfrm>
          <a:off x="4537364" y="32393659"/>
          <a:ext cx="913738" cy="665821"/>
        </a:xfrm>
        <a:prstGeom prst="rect">
          <a:avLst/>
        </a:prstGeom>
      </xdr:spPr>
    </xdr:pic>
    <xdr:clientData/>
  </xdr:twoCellAnchor>
  <xdr:twoCellAnchor editAs="oneCell">
    <xdr:from>
      <xdr:col>1</xdr:col>
      <xdr:colOff>3200153</xdr:colOff>
      <xdr:row>137</xdr:row>
      <xdr:rowOff>2474</xdr:rowOff>
    </xdr:from>
    <xdr:to>
      <xdr:col>2</xdr:col>
      <xdr:colOff>894316</xdr:colOff>
      <xdr:row>140</xdr:row>
      <xdr:rowOff>111742</xdr:rowOff>
    </xdr:to>
    <xdr:pic>
      <xdr:nvPicPr>
        <xdr:cNvPr id="9" name="Graphic 8" descr="Grondstoffen met effen opvulling">
          <a:extLst>
            <a:ext uri="{FF2B5EF4-FFF2-40B4-BE49-F238E27FC236}">
              <a16:creationId xmlns:a16="http://schemas.microsoft.com/office/drawing/2014/main" id="{00000000-0008-0000-0300-000009000000}"/>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 uri="{96DAC541-7B7A-43D3-8B79-37D633B846F1}">
              <asvg:svgBlip xmlns:asvg="http://schemas.microsoft.com/office/drawing/2016/SVG/main" r:embed="rId10"/>
            </a:ext>
          </a:extLst>
        </a:blip>
        <a:stretch>
          <a:fillRect/>
        </a:stretch>
      </xdr:blipFill>
      <xdr:spPr>
        <a:xfrm>
          <a:off x="4550971" y="30898110"/>
          <a:ext cx="898027" cy="940542"/>
        </a:xfrm>
        <a:prstGeom prst="rect">
          <a:avLst/>
        </a:prstGeom>
      </xdr:spPr>
    </xdr:pic>
    <xdr:clientData/>
  </xdr:twoCellAnchor>
  <xdr:twoCellAnchor editAs="oneCell">
    <xdr:from>
      <xdr:col>2</xdr:col>
      <xdr:colOff>28450</xdr:colOff>
      <xdr:row>146</xdr:row>
      <xdr:rowOff>170707</xdr:rowOff>
    </xdr:from>
    <xdr:to>
      <xdr:col>2</xdr:col>
      <xdr:colOff>933280</xdr:colOff>
      <xdr:row>150</xdr:row>
      <xdr:rowOff>36769</xdr:rowOff>
    </xdr:to>
    <xdr:pic>
      <xdr:nvPicPr>
        <xdr:cNvPr id="11" name="Graphic 10" descr="Vrachtwagen met effen opvulling">
          <a:extLst>
            <a:ext uri="{FF2B5EF4-FFF2-40B4-BE49-F238E27FC236}">
              <a16:creationId xmlns:a16="http://schemas.microsoft.com/office/drawing/2014/main" id="{00000000-0008-0000-0300-00000B000000}"/>
            </a:ext>
          </a:extLst>
        </xdr:cNvPr>
        <xdr:cNvPicPr>
          <a:picLocks noChangeAspect="1"/>
        </xdr:cNvPicPr>
      </xdr:nvPicPr>
      <xdr:blipFill>
        <a:blip xmlns:r="http://schemas.openxmlformats.org/officeDocument/2006/relationships" r:embed="rId11">
          <a:extLst>
            <a:ext uri="{28A0092B-C50C-407E-A947-70E740481C1C}">
              <a14:useLocalDpi xmlns:a14="http://schemas.microsoft.com/office/drawing/2010/main" val="0"/>
            </a:ext>
            <a:ext uri="{96DAC541-7B7A-43D3-8B79-37D633B846F1}">
              <asvg:svgBlip xmlns:asvg="http://schemas.microsoft.com/office/drawing/2016/SVG/main" r:embed="rId12"/>
            </a:ext>
          </a:extLst>
        </a:blip>
        <a:stretch>
          <a:fillRect/>
        </a:stretch>
      </xdr:blipFill>
      <xdr:spPr>
        <a:xfrm>
          <a:off x="4583132" y="33473571"/>
          <a:ext cx="904830" cy="974426"/>
        </a:xfrm>
        <a:prstGeom prst="rect">
          <a:avLst/>
        </a:prstGeom>
      </xdr:spPr>
    </xdr:pic>
    <xdr:clientData/>
  </xdr:twoCellAnchor>
  <xdr:twoCellAnchor editAs="oneCell">
    <xdr:from>
      <xdr:col>2</xdr:col>
      <xdr:colOff>0</xdr:colOff>
      <xdr:row>152</xdr:row>
      <xdr:rowOff>0</xdr:rowOff>
    </xdr:from>
    <xdr:to>
      <xdr:col>2</xdr:col>
      <xdr:colOff>913737</xdr:colOff>
      <xdr:row>155</xdr:row>
      <xdr:rowOff>54262</xdr:rowOff>
    </xdr:to>
    <xdr:pic>
      <xdr:nvPicPr>
        <xdr:cNvPr id="12" name="Graphic 11" descr="Bulldozer met effen opvulling">
          <a:extLst>
            <a:ext uri="{FF2B5EF4-FFF2-40B4-BE49-F238E27FC236}">
              <a16:creationId xmlns:a16="http://schemas.microsoft.com/office/drawing/2014/main" id="{00000000-0008-0000-0300-00000C000000}"/>
            </a:ext>
          </a:extLst>
        </xdr:cNvPr>
        <xdr:cNvPicPr>
          <a:picLocks noChangeAspect="1"/>
        </xdr:cNvPicPr>
      </xdr:nvPicPr>
      <xdr:blipFill>
        <a:blip xmlns:r="http://schemas.openxmlformats.org/officeDocument/2006/relationships" r:embed="rId13">
          <a:extLst>
            <a:ext uri="{28A0092B-C50C-407E-A947-70E740481C1C}">
              <a14:useLocalDpi xmlns:a14="http://schemas.microsoft.com/office/drawing/2010/main" val="0"/>
            </a:ext>
            <a:ext uri="{96DAC541-7B7A-43D3-8B79-37D633B846F1}">
              <asvg:svgBlip xmlns:asvg="http://schemas.microsoft.com/office/drawing/2016/SVG/main" r:embed="rId14"/>
            </a:ext>
          </a:extLst>
        </a:blip>
        <a:stretch>
          <a:fillRect/>
        </a:stretch>
      </xdr:blipFill>
      <xdr:spPr>
        <a:xfrm>
          <a:off x="4554682" y="34948091"/>
          <a:ext cx="913737" cy="885534"/>
        </a:xfrm>
        <a:prstGeom prst="rect">
          <a:avLst/>
        </a:prstGeom>
      </xdr:spPr>
    </xdr:pic>
    <xdr:clientData/>
  </xdr:twoCellAnchor>
  <xdr:twoCellAnchor>
    <xdr:from>
      <xdr:col>35</xdr:col>
      <xdr:colOff>234072</xdr:colOff>
      <xdr:row>4</xdr:row>
      <xdr:rowOff>86592</xdr:rowOff>
    </xdr:from>
    <xdr:to>
      <xdr:col>38</xdr:col>
      <xdr:colOff>462643</xdr:colOff>
      <xdr:row>5</xdr:row>
      <xdr:rowOff>5444</xdr:rowOff>
    </xdr:to>
    <xdr:sp macro="" textlink="">
      <xdr:nvSpPr>
        <xdr:cNvPr id="2" name="Rechthoek: afgeronde hoeken 1">
          <a:extLst>
            <a:ext uri="{FF2B5EF4-FFF2-40B4-BE49-F238E27FC236}">
              <a16:creationId xmlns:a16="http://schemas.microsoft.com/office/drawing/2014/main" id="{00000000-0008-0000-0300-000002000000}"/>
            </a:ext>
          </a:extLst>
        </xdr:cNvPr>
        <xdr:cNvSpPr/>
      </xdr:nvSpPr>
      <xdr:spPr>
        <a:xfrm>
          <a:off x="22372893" y="698913"/>
          <a:ext cx="2065536" cy="2000745"/>
        </a:xfrm>
        <a:prstGeom prst="roundRect">
          <a:avLst/>
        </a:prstGeom>
        <a:no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ctr"/>
          <a:r>
            <a:rPr lang="nl-NL" sz="3200"/>
            <a:t>Reset</a:t>
          </a:r>
        </a:p>
      </xdr:txBody>
    </xdr:sp>
    <xdr:clientData/>
  </xdr:twoCellAnchor>
  <mc:AlternateContent xmlns:mc="http://schemas.openxmlformats.org/markup-compatibility/2006">
    <mc:Choice xmlns:a14="http://schemas.microsoft.com/office/drawing/2010/main" Requires="a14">
      <xdr:twoCellAnchor editAs="oneCell">
        <xdr:from>
          <xdr:col>1</xdr:col>
          <xdr:colOff>590550</xdr:colOff>
          <xdr:row>2</xdr:row>
          <xdr:rowOff>19050</xdr:rowOff>
        </xdr:from>
        <xdr:to>
          <xdr:col>1</xdr:col>
          <xdr:colOff>809625</xdr:colOff>
          <xdr:row>3</xdr:row>
          <xdr:rowOff>57150</xdr:rowOff>
        </xdr:to>
        <xdr:sp macro="" textlink="">
          <xdr:nvSpPr>
            <xdr:cNvPr id="1025" name="Control 1" hidden="1">
              <a:extLst>
                <a:ext uri="{63B3BB69-23CF-44E3-9099-C40C66FF867C}">
                  <a14:compatExt spid="_x0000_s1025"/>
                </a:ext>
                <a:ext uri="{FF2B5EF4-FFF2-40B4-BE49-F238E27FC236}">
                  <a16:creationId xmlns:a16="http://schemas.microsoft.com/office/drawing/2014/main" id="{00000000-0008-0000-0300-000001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xdr:twoCellAnchor>
    <xdr:from>
      <xdr:col>9</xdr:col>
      <xdr:colOff>163285</xdr:colOff>
      <xdr:row>111</xdr:row>
      <xdr:rowOff>136070</xdr:rowOff>
    </xdr:from>
    <xdr:to>
      <xdr:col>21</xdr:col>
      <xdr:colOff>2517321</xdr:colOff>
      <xdr:row>126</xdr:row>
      <xdr:rowOff>159693</xdr:rowOff>
    </xdr:to>
    <xdr:graphicFrame macro="">
      <xdr:nvGraphicFramePr>
        <xdr:cNvPr id="3" name="Grafiek 2">
          <a:extLst>
            <a:ext uri="{FF2B5EF4-FFF2-40B4-BE49-F238E27FC236}">
              <a16:creationId xmlns:a16="http://schemas.microsoft.com/office/drawing/2014/main" id="{00000000-0008-0000-05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23</xdr:col>
      <xdr:colOff>484909</xdr:colOff>
      <xdr:row>112</xdr:row>
      <xdr:rowOff>0</xdr:rowOff>
    </xdr:from>
    <xdr:to>
      <xdr:col>33</xdr:col>
      <xdr:colOff>381000</xdr:colOff>
      <xdr:row>148</xdr:row>
      <xdr:rowOff>51954</xdr:rowOff>
    </xdr:to>
    <xdr:graphicFrame macro="">
      <xdr:nvGraphicFramePr>
        <xdr:cNvPr id="4" name="Grafiek 3">
          <a:extLst>
            <a:ext uri="{FF2B5EF4-FFF2-40B4-BE49-F238E27FC236}">
              <a16:creationId xmlns:a16="http://schemas.microsoft.com/office/drawing/2014/main" id="{00000000-0008-0000-05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2</xdr:col>
      <xdr:colOff>72803</xdr:colOff>
      <xdr:row>125</xdr:row>
      <xdr:rowOff>170663</xdr:rowOff>
    </xdr:from>
    <xdr:to>
      <xdr:col>2</xdr:col>
      <xdr:colOff>801650</xdr:colOff>
      <xdr:row>128</xdr:row>
      <xdr:rowOff>147797</xdr:rowOff>
    </xdr:to>
    <xdr:pic>
      <xdr:nvPicPr>
        <xdr:cNvPr id="6" name="Graphic 5" descr="Energiecentrale met effen opvulling">
          <a:extLst>
            <a:ext uri="{FF2B5EF4-FFF2-40B4-BE49-F238E27FC236}">
              <a16:creationId xmlns:a16="http://schemas.microsoft.com/office/drawing/2014/main" id="{00000000-0008-0000-0500-000006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2861030" y="12674390"/>
          <a:ext cx="728847" cy="721817"/>
        </a:xfrm>
        <a:prstGeom prst="rect">
          <a:avLst/>
        </a:prstGeom>
      </xdr:spPr>
    </xdr:pic>
    <xdr:clientData/>
  </xdr:twoCellAnchor>
  <xdr:twoCellAnchor editAs="oneCell">
    <xdr:from>
      <xdr:col>2</xdr:col>
      <xdr:colOff>8341</xdr:colOff>
      <xdr:row>135</xdr:row>
      <xdr:rowOff>96990</xdr:rowOff>
    </xdr:from>
    <xdr:to>
      <xdr:col>2</xdr:col>
      <xdr:colOff>813629</xdr:colOff>
      <xdr:row>137</xdr:row>
      <xdr:rowOff>169652</xdr:rowOff>
    </xdr:to>
    <xdr:pic>
      <xdr:nvPicPr>
        <xdr:cNvPr id="7" name="Graphic 6" descr="Batterij die wordt opgeladen met effen opvulling">
          <a:extLst>
            <a:ext uri="{FF2B5EF4-FFF2-40B4-BE49-F238E27FC236}">
              <a16:creationId xmlns:a16="http://schemas.microsoft.com/office/drawing/2014/main" id="{00000000-0008-0000-0500-000007000000}"/>
            </a:ext>
          </a:extLst>
        </xdr:cNvPr>
        <xdr:cNvPicPr>
          <a:picLocks noChangeAspect="1"/>
        </xdr:cNvPicPr>
      </xdr:nvPicPr>
      <xdr:blipFill rotWithShape="1">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rcRect t="13402" b="13404"/>
        <a:stretch/>
      </xdr:blipFill>
      <xdr:spPr>
        <a:xfrm>
          <a:off x="5192662" y="16235061"/>
          <a:ext cx="805288" cy="562519"/>
        </a:xfrm>
        <a:prstGeom prst="rect">
          <a:avLst/>
        </a:prstGeom>
      </xdr:spPr>
    </xdr:pic>
    <xdr:clientData/>
  </xdr:twoCellAnchor>
  <xdr:twoCellAnchor editAs="oneCell">
    <xdr:from>
      <xdr:col>1</xdr:col>
      <xdr:colOff>4551246</xdr:colOff>
      <xdr:row>129</xdr:row>
      <xdr:rowOff>167088</xdr:rowOff>
    </xdr:from>
    <xdr:to>
      <xdr:col>2</xdr:col>
      <xdr:colOff>865541</xdr:colOff>
      <xdr:row>133</xdr:row>
      <xdr:rowOff>657</xdr:rowOff>
    </xdr:to>
    <xdr:pic>
      <xdr:nvPicPr>
        <xdr:cNvPr id="8" name="Graphic 7" descr="Grondstoffen met effen opvulling">
          <a:extLst>
            <a:ext uri="{FF2B5EF4-FFF2-40B4-BE49-F238E27FC236}">
              <a16:creationId xmlns:a16="http://schemas.microsoft.com/office/drawing/2014/main" id="{00000000-0008-0000-0500-00000800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5177175" y="14849195"/>
          <a:ext cx="876151" cy="813285"/>
        </a:xfrm>
        <a:prstGeom prst="rect">
          <a:avLst/>
        </a:prstGeom>
      </xdr:spPr>
    </xdr:pic>
    <xdr:clientData/>
  </xdr:twoCellAnchor>
  <xdr:twoCellAnchor editAs="oneCell">
    <xdr:from>
      <xdr:col>2</xdr:col>
      <xdr:colOff>27128</xdr:colOff>
      <xdr:row>113</xdr:row>
      <xdr:rowOff>37545</xdr:rowOff>
    </xdr:from>
    <xdr:to>
      <xdr:col>2</xdr:col>
      <xdr:colOff>935184</xdr:colOff>
      <xdr:row>116</xdr:row>
      <xdr:rowOff>226693</xdr:rowOff>
    </xdr:to>
    <xdr:pic>
      <xdr:nvPicPr>
        <xdr:cNvPr id="9" name="Graphic 8" descr="Open hand met planten met effen opvulling">
          <a:extLst>
            <a:ext uri="{FF2B5EF4-FFF2-40B4-BE49-F238E27FC236}">
              <a16:creationId xmlns:a16="http://schemas.microsoft.com/office/drawing/2014/main" id="{00000000-0008-0000-0500-000009000000}"/>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 uri="{96DAC541-7B7A-43D3-8B79-37D633B846F1}">
              <asvg:svgBlip xmlns:asvg="http://schemas.microsoft.com/office/drawing/2016/SVG/main" r:embed="rId10"/>
            </a:ext>
          </a:extLst>
        </a:blip>
        <a:stretch>
          <a:fillRect/>
        </a:stretch>
      </xdr:blipFill>
      <xdr:spPr>
        <a:xfrm>
          <a:off x="2815355" y="9475954"/>
          <a:ext cx="908056" cy="936848"/>
        </a:xfrm>
        <a:prstGeom prst="rect">
          <a:avLst/>
        </a:prstGeom>
      </xdr:spPr>
    </xdr:pic>
    <xdr:clientData/>
  </xdr:twoCellAnchor>
  <xdr:twoCellAnchor editAs="oneCell">
    <xdr:from>
      <xdr:col>1</xdr:col>
      <xdr:colOff>4515097</xdr:colOff>
      <xdr:row>140</xdr:row>
      <xdr:rowOff>4082</xdr:rowOff>
    </xdr:from>
    <xdr:to>
      <xdr:col>2</xdr:col>
      <xdr:colOff>906462</xdr:colOff>
      <xdr:row>143</xdr:row>
      <xdr:rowOff>74386</xdr:rowOff>
    </xdr:to>
    <xdr:pic>
      <xdr:nvPicPr>
        <xdr:cNvPr id="5" name="Graphic 4" descr="Vrachtwagen met effen opvulling">
          <a:extLst>
            <a:ext uri="{FF2B5EF4-FFF2-40B4-BE49-F238E27FC236}">
              <a16:creationId xmlns:a16="http://schemas.microsoft.com/office/drawing/2014/main" id="{00000000-0008-0000-0500-000005000000}"/>
            </a:ext>
          </a:extLst>
        </xdr:cNvPr>
        <xdr:cNvPicPr>
          <a:picLocks noChangeAspect="1"/>
        </xdr:cNvPicPr>
      </xdr:nvPicPr>
      <xdr:blipFill>
        <a:blip xmlns:r="http://schemas.openxmlformats.org/officeDocument/2006/relationships" r:embed="rId11">
          <a:extLst>
            <a:ext uri="{28A0092B-C50C-407E-A947-70E740481C1C}">
              <a14:useLocalDpi xmlns:a14="http://schemas.microsoft.com/office/drawing/2010/main" val="0"/>
            </a:ext>
            <a:ext uri="{96DAC541-7B7A-43D3-8B79-37D633B846F1}">
              <asvg:svgBlip xmlns:asvg="http://schemas.microsoft.com/office/drawing/2016/SVG/main" r:embed="rId12"/>
            </a:ext>
          </a:extLst>
        </a:blip>
        <a:stretch>
          <a:fillRect/>
        </a:stretch>
      </xdr:blipFill>
      <xdr:spPr>
        <a:xfrm>
          <a:off x="5141026" y="17394011"/>
          <a:ext cx="915121" cy="805089"/>
        </a:xfrm>
        <a:prstGeom prst="rect">
          <a:avLst/>
        </a:prstGeom>
      </xdr:spPr>
    </xdr:pic>
    <xdr:clientData/>
  </xdr:twoCellAnchor>
  <xdr:twoCellAnchor editAs="oneCell">
    <xdr:from>
      <xdr:col>1</xdr:col>
      <xdr:colOff>4528705</xdr:colOff>
      <xdr:row>144</xdr:row>
      <xdr:rowOff>195448</xdr:rowOff>
    </xdr:from>
    <xdr:to>
      <xdr:col>2</xdr:col>
      <xdr:colOff>913720</xdr:colOff>
      <xdr:row>148</xdr:row>
      <xdr:rowOff>16326</xdr:rowOff>
    </xdr:to>
    <xdr:pic>
      <xdr:nvPicPr>
        <xdr:cNvPr id="15" name="Graphic 14" descr="Bulldozer met effen opvulling">
          <a:extLst>
            <a:ext uri="{FF2B5EF4-FFF2-40B4-BE49-F238E27FC236}">
              <a16:creationId xmlns:a16="http://schemas.microsoft.com/office/drawing/2014/main" id="{00000000-0008-0000-0500-00000F000000}"/>
            </a:ext>
          </a:extLst>
        </xdr:cNvPr>
        <xdr:cNvPicPr>
          <a:picLocks noChangeAspect="1"/>
        </xdr:cNvPicPr>
      </xdr:nvPicPr>
      <xdr:blipFill>
        <a:blip xmlns:r="http://schemas.openxmlformats.org/officeDocument/2006/relationships" r:embed="rId13">
          <a:extLst>
            <a:ext uri="{28A0092B-C50C-407E-A947-70E740481C1C}">
              <a14:useLocalDpi xmlns:a14="http://schemas.microsoft.com/office/drawing/2010/main" val="0"/>
            </a:ext>
            <a:ext uri="{96DAC541-7B7A-43D3-8B79-37D633B846F1}">
              <asvg:svgBlip xmlns:asvg="http://schemas.microsoft.com/office/drawing/2016/SVG/main" r:embed="rId14"/>
            </a:ext>
          </a:extLst>
        </a:blip>
        <a:stretch>
          <a:fillRect/>
        </a:stretch>
      </xdr:blipFill>
      <xdr:spPr>
        <a:xfrm>
          <a:off x="5154634" y="18551484"/>
          <a:ext cx="918296" cy="800593"/>
        </a:xfrm>
        <a:prstGeom prst="rect">
          <a:avLst/>
        </a:prstGeom>
      </xdr:spPr>
    </xdr:pic>
    <xdr:clientData/>
  </xdr:twoCellAnchor>
  <xdr:twoCellAnchor editAs="absolute">
    <xdr:from>
      <xdr:col>21</xdr:col>
      <xdr:colOff>850575</xdr:colOff>
      <xdr:row>127</xdr:row>
      <xdr:rowOff>39339</xdr:rowOff>
    </xdr:from>
    <xdr:to>
      <xdr:col>23</xdr:col>
      <xdr:colOff>136968</xdr:colOff>
      <xdr:row>144</xdr:row>
      <xdr:rowOff>124822</xdr:rowOff>
    </xdr:to>
    <mc:AlternateContent xmlns:mc="http://schemas.openxmlformats.org/markup-compatibility/2006" xmlns:sle15="http://schemas.microsoft.com/office/drawing/2012/slicer">
      <mc:Choice Requires="sle15">
        <xdr:graphicFrame macro="">
          <xdr:nvGraphicFramePr>
            <xdr:cNvPr id="11" name="Product 1">
              <a:extLst>
                <a:ext uri="{FF2B5EF4-FFF2-40B4-BE49-F238E27FC236}">
                  <a16:creationId xmlns:a16="http://schemas.microsoft.com/office/drawing/2014/main" id="{00000000-0008-0000-0500-00000B000000}"/>
                </a:ext>
              </a:extLst>
            </xdr:cNvPr>
            <xdr:cNvGraphicFramePr/>
          </xdr:nvGraphicFramePr>
          <xdr:xfrm>
            <a:off x="0" y="0"/>
            <a:ext cx="0" cy="0"/>
          </xdr:xfrm>
          <a:graphic>
            <a:graphicData uri="http://schemas.microsoft.com/office/drawing/2010/slicer">
              <sle:slicer xmlns:sle="http://schemas.microsoft.com/office/drawing/2010/slicer" name="Product 1"/>
            </a:graphicData>
          </a:graphic>
        </xdr:graphicFrame>
      </mc:Choice>
      <mc:Fallback xmlns="">
        <xdr:sp macro="" textlink="">
          <xdr:nvSpPr>
            <xdr:cNvPr id="0" name=""/>
            <xdr:cNvSpPr>
              <a:spLocks noTextEdit="1"/>
            </xdr:cNvSpPr>
          </xdr:nvSpPr>
          <xdr:spPr>
            <a:xfrm>
              <a:off x="14389682" y="14612589"/>
              <a:ext cx="1912572" cy="4235662"/>
            </a:xfrm>
            <a:prstGeom prst="rect">
              <a:avLst/>
            </a:prstGeom>
            <a:solidFill>
              <a:prstClr val="white"/>
            </a:solidFill>
            <a:ln w="1">
              <a:solidFill>
                <a:prstClr val="green"/>
              </a:solidFill>
            </a:ln>
          </xdr:spPr>
          <xdr:txBody>
            <a:bodyPr vertOverflow="clip" horzOverflow="clip"/>
            <a:lstStyle/>
            <a:p>
              <a:r>
                <a:rPr lang="en-NL"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594631</xdr:colOff>
      <xdr:row>24</xdr:row>
      <xdr:rowOff>190499</xdr:rowOff>
    </xdr:from>
    <xdr:to>
      <xdr:col>1</xdr:col>
      <xdr:colOff>884031</xdr:colOff>
      <xdr:row>28</xdr:row>
      <xdr:rowOff>136627</xdr:rowOff>
    </xdr:to>
    <xdr:pic>
      <xdr:nvPicPr>
        <xdr:cNvPr id="4" name="Graphic 3" descr="Open hand met planten met effen opvulling">
          <a:extLst>
            <a:ext uri="{FF2B5EF4-FFF2-40B4-BE49-F238E27FC236}">
              <a16:creationId xmlns:a16="http://schemas.microsoft.com/office/drawing/2014/main" id="{00000000-0008-0000-08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594631" y="4267199"/>
          <a:ext cx="899000" cy="971975"/>
        </a:xfrm>
        <a:prstGeom prst="rect">
          <a:avLst/>
        </a:prstGeom>
      </xdr:spPr>
    </xdr:pic>
    <xdr:clientData/>
  </xdr:twoCellAnchor>
  <xdr:twoCellAnchor editAs="oneCell">
    <xdr:from>
      <xdr:col>1</xdr:col>
      <xdr:colOff>40822</xdr:colOff>
      <xdr:row>30</xdr:row>
      <xdr:rowOff>123826</xdr:rowOff>
    </xdr:from>
    <xdr:to>
      <xdr:col>1</xdr:col>
      <xdr:colOff>783532</xdr:colOff>
      <xdr:row>33</xdr:row>
      <xdr:rowOff>11021</xdr:rowOff>
    </xdr:to>
    <xdr:pic>
      <xdr:nvPicPr>
        <xdr:cNvPr id="5" name="Graphic 4" descr="Energiecentrale met effen opvulling">
          <a:extLst>
            <a:ext uri="{FF2B5EF4-FFF2-40B4-BE49-F238E27FC236}">
              <a16:creationId xmlns:a16="http://schemas.microsoft.com/office/drawing/2014/main" id="{00000000-0008-0000-0800-000005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743057" y="7041591"/>
          <a:ext cx="742710" cy="694017"/>
        </a:xfrm>
        <a:prstGeom prst="rect">
          <a:avLst/>
        </a:prstGeom>
      </xdr:spPr>
    </xdr:pic>
    <xdr:clientData/>
  </xdr:twoCellAnchor>
  <xdr:twoCellAnchor editAs="oneCell">
    <xdr:from>
      <xdr:col>0</xdr:col>
      <xdr:colOff>642471</xdr:colOff>
      <xdr:row>43</xdr:row>
      <xdr:rowOff>95251</xdr:rowOff>
    </xdr:from>
    <xdr:to>
      <xdr:col>1</xdr:col>
      <xdr:colOff>864162</xdr:colOff>
      <xdr:row>45</xdr:row>
      <xdr:rowOff>206933</xdr:rowOff>
    </xdr:to>
    <xdr:pic>
      <xdr:nvPicPr>
        <xdr:cNvPr id="6" name="Graphic 5" descr="Batterij die wordt opgeladen met effen opvulling">
          <a:extLst>
            <a:ext uri="{FF2B5EF4-FFF2-40B4-BE49-F238E27FC236}">
              <a16:creationId xmlns:a16="http://schemas.microsoft.com/office/drawing/2014/main" id="{00000000-0008-0000-0800-000006000000}"/>
            </a:ext>
          </a:extLst>
        </xdr:cNvPr>
        <xdr:cNvPicPr>
          <a:picLocks noChangeAspect="1"/>
        </xdr:cNvPicPr>
      </xdr:nvPicPr>
      <xdr:blipFill rotWithShape="1">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rcRect t="13402" b="13404"/>
        <a:stretch/>
      </xdr:blipFill>
      <xdr:spPr>
        <a:xfrm>
          <a:off x="642471" y="10344898"/>
          <a:ext cx="923926" cy="709330"/>
        </a:xfrm>
        <a:prstGeom prst="rect">
          <a:avLst/>
        </a:prstGeom>
      </xdr:spPr>
    </xdr:pic>
    <xdr:clientData/>
  </xdr:twoCellAnchor>
  <xdr:twoCellAnchor editAs="oneCell">
    <xdr:from>
      <xdr:col>0</xdr:col>
      <xdr:colOff>585107</xdr:colOff>
      <xdr:row>36</xdr:row>
      <xdr:rowOff>244928</xdr:rowOff>
    </xdr:from>
    <xdr:to>
      <xdr:col>1</xdr:col>
      <xdr:colOff>887186</xdr:colOff>
      <xdr:row>40</xdr:row>
      <xdr:rowOff>13233</xdr:rowOff>
    </xdr:to>
    <xdr:pic>
      <xdr:nvPicPr>
        <xdr:cNvPr id="7" name="Graphic 6" descr="Grondstoffen met effen opvulling">
          <a:extLst>
            <a:ext uri="{FF2B5EF4-FFF2-40B4-BE49-F238E27FC236}">
              <a16:creationId xmlns:a16="http://schemas.microsoft.com/office/drawing/2014/main" id="{00000000-0008-0000-0800-00000700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585107" y="7307035"/>
          <a:ext cx="914400" cy="910319"/>
        </a:xfrm>
        <a:prstGeom prst="rect">
          <a:avLst/>
        </a:prstGeom>
      </xdr:spPr>
    </xdr:pic>
    <xdr:clientData/>
  </xdr:twoCellAnchor>
  <xdr:twoCellAnchor editAs="oneCell">
    <xdr:from>
      <xdr:col>0</xdr:col>
      <xdr:colOff>544286</xdr:colOff>
      <xdr:row>62</xdr:row>
      <xdr:rowOff>177692</xdr:rowOff>
    </xdr:from>
    <xdr:to>
      <xdr:col>1</xdr:col>
      <xdr:colOff>846365</xdr:colOff>
      <xdr:row>65</xdr:row>
      <xdr:rowOff>169690</xdr:rowOff>
    </xdr:to>
    <xdr:pic>
      <xdr:nvPicPr>
        <xdr:cNvPr id="3" name="Graphic 2" descr="Euro met effen opvulling">
          <a:extLst>
            <a:ext uri="{FF2B5EF4-FFF2-40B4-BE49-F238E27FC236}">
              <a16:creationId xmlns:a16="http://schemas.microsoft.com/office/drawing/2014/main" id="{00000000-0008-0000-0800-000003000000}"/>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 uri="{96DAC541-7B7A-43D3-8B79-37D633B846F1}">
              <asvg:svgBlip xmlns:asvg="http://schemas.microsoft.com/office/drawing/2016/SVG/main" r:embed="rId10"/>
            </a:ext>
          </a:extLst>
        </a:blip>
        <a:stretch>
          <a:fillRect/>
        </a:stretch>
      </xdr:blipFill>
      <xdr:spPr>
        <a:xfrm>
          <a:off x="544286" y="15499335"/>
          <a:ext cx="914400" cy="808425"/>
        </a:xfrm>
        <a:prstGeom prst="rect">
          <a:avLst/>
        </a:prstGeom>
      </xdr:spPr>
    </xdr:pic>
    <xdr:clientData/>
  </xdr:twoCellAnchor>
  <xdr:twoCellAnchor editAs="oneCell">
    <xdr:from>
      <xdr:col>0</xdr:col>
      <xdr:colOff>679748</xdr:colOff>
      <xdr:row>50</xdr:row>
      <xdr:rowOff>15861</xdr:rowOff>
    </xdr:from>
    <xdr:to>
      <xdr:col>1</xdr:col>
      <xdr:colOff>979105</xdr:colOff>
      <xdr:row>53</xdr:row>
      <xdr:rowOff>165710</xdr:rowOff>
    </xdr:to>
    <xdr:pic>
      <xdr:nvPicPr>
        <xdr:cNvPr id="8" name="Graphic 7" descr="Vrachtwagen met effen opvulling">
          <a:extLst>
            <a:ext uri="{FF2B5EF4-FFF2-40B4-BE49-F238E27FC236}">
              <a16:creationId xmlns:a16="http://schemas.microsoft.com/office/drawing/2014/main" id="{00000000-0008-0000-0800-000008000000}"/>
            </a:ext>
          </a:extLst>
        </xdr:cNvPr>
        <xdr:cNvPicPr>
          <a:picLocks noChangeAspect="1"/>
        </xdr:cNvPicPr>
      </xdr:nvPicPr>
      <xdr:blipFill>
        <a:blip xmlns:r="http://schemas.openxmlformats.org/officeDocument/2006/relationships" r:embed="rId11">
          <a:extLst>
            <a:ext uri="{28A0092B-C50C-407E-A947-70E740481C1C}">
              <a14:useLocalDpi xmlns:a14="http://schemas.microsoft.com/office/drawing/2010/main" val="0"/>
            </a:ext>
            <a:ext uri="{96DAC541-7B7A-43D3-8B79-37D633B846F1}">
              <asvg:svgBlip xmlns:asvg="http://schemas.microsoft.com/office/drawing/2016/SVG/main" r:embed="rId12"/>
            </a:ext>
          </a:extLst>
        </a:blip>
        <a:stretch>
          <a:fillRect/>
        </a:stretch>
      </xdr:blipFill>
      <xdr:spPr>
        <a:xfrm>
          <a:off x="679748" y="13268685"/>
          <a:ext cx="1001592" cy="914225"/>
        </a:xfrm>
        <a:prstGeom prst="rect">
          <a:avLst/>
        </a:prstGeom>
      </xdr:spPr>
    </xdr:pic>
    <xdr:clientData/>
  </xdr:twoCellAnchor>
  <xdr:twoCellAnchor editAs="oneCell">
    <xdr:from>
      <xdr:col>1</xdr:col>
      <xdr:colOff>0</xdr:colOff>
      <xdr:row>57</xdr:row>
      <xdr:rowOff>0</xdr:rowOff>
    </xdr:from>
    <xdr:to>
      <xdr:col>1</xdr:col>
      <xdr:colOff>910689</xdr:colOff>
      <xdr:row>60</xdr:row>
      <xdr:rowOff>149926</xdr:rowOff>
    </xdr:to>
    <xdr:pic>
      <xdr:nvPicPr>
        <xdr:cNvPr id="10" name="Graphic 9" descr="Bulldozer met effen opvulling">
          <a:extLst>
            <a:ext uri="{FF2B5EF4-FFF2-40B4-BE49-F238E27FC236}">
              <a16:creationId xmlns:a16="http://schemas.microsoft.com/office/drawing/2014/main" id="{00000000-0008-0000-0800-00000A000000}"/>
            </a:ext>
          </a:extLst>
        </xdr:cNvPr>
        <xdr:cNvPicPr>
          <a:picLocks noChangeAspect="1"/>
        </xdr:cNvPicPr>
      </xdr:nvPicPr>
      <xdr:blipFill>
        <a:blip xmlns:r="http://schemas.openxmlformats.org/officeDocument/2006/relationships" r:embed="rId13">
          <a:extLst>
            <a:ext uri="{28A0092B-C50C-407E-A947-70E740481C1C}">
              <a14:useLocalDpi xmlns:a14="http://schemas.microsoft.com/office/drawing/2010/main" val="0"/>
            </a:ext>
            <a:ext uri="{96DAC541-7B7A-43D3-8B79-37D633B846F1}">
              <asvg:svgBlip xmlns:asvg="http://schemas.microsoft.com/office/drawing/2016/SVG/main" r:embed="rId14"/>
            </a:ext>
          </a:extLst>
        </a:blip>
        <a:stretch>
          <a:fillRect/>
        </a:stretch>
      </xdr:blipFill>
      <xdr:spPr>
        <a:xfrm>
          <a:off x="612321" y="15389679"/>
          <a:ext cx="910689" cy="929244"/>
        </a:xfrm>
        <a:prstGeom prst="rect">
          <a:avLst/>
        </a:prstGeom>
      </xdr:spPr>
    </xdr:pic>
    <xdr:clientData/>
  </xdr:twoCellAnchor>
  <xdr:twoCellAnchor>
    <xdr:from>
      <xdr:col>1</xdr:col>
      <xdr:colOff>1013876</xdr:colOff>
      <xdr:row>23</xdr:row>
      <xdr:rowOff>108857</xdr:rowOff>
    </xdr:from>
    <xdr:to>
      <xdr:col>9</xdr:col>
      <xdr:colOff>408215</xdr:colOff>
      <xdr:row>29</xdr:row>
      <xdr:rowOff>20266</xdr:rowOff>
    </xdr:to>
    <xdr:graphicFrame macro="">
      <xdr:nvGraphicFramePr>
        <xdr:cNvPr id="2" name="Grafiek 1">
          <a:extLst>
            <a:ext uri="{FF2B5EF4-FFF2-40B4-BE49-F238E27FC236}">
              <a16:creationId xmlns:a16="http://schemas.microsoft.com/office/drawing/2014/main" id="{00000000-0008-0000-08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1</xdr:col>
      <xdr:colOff>1027483</xdr:colOff>
      <xdr:row>29</xdr:row>
      <xdr:rowOff>133147</xdr:rowOff>
    </xdr:from>
    <xdr:to>
      <xdr:col>9</xdr:col>
      <xdr:colOff>190500</xdr:colOff>
      <xdr:row>34</xdr:row>
      <xdr:rowOff>101329</xdr:rowOff>
    </xdr:to>
    <xdr:graphicFrame macro="">
      <xdr:nvGraphicFramePr>
        <xdr:cNvPr id="11" name="Grafiek 10">
          <a:extLst>
            <a:ext uri="{FF2B5EF4-FFF2-40B4-BE49-F238E27FC236}">
              <a16:creationId xmlns:a16="http://schemas.microsoft.com/office/drawing/2014/main" id="{00000000-0008-0000-0800-00000B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1</xdr:col>
      <xdr:colOff>1017349</xdr:colOff>
      <xdr:row>34</xdr:row>
      <xdr:rowOff>238713</xdr:rowOff>
    </xdr:from>
    <xdr:to>
      <xdr:col>10</xdr:col>
      <xdr:colOff>353786</xdr:colOff>
      <xdr:row>40</xdr:row>
      <xdr:rowOff>115699</xdr:rowOff>
    </xdr:to>
    <xdr:graphicFrame macro="">
      <xdr:nvGraphicFramePr>
        <xdr:cNvPr id="12" name="Grafiek 11">
          <a:extLst>
            <a:ext uri="{FF2B5EF4-FFF2-40B4-BE49-F238E27FC236}">
              <a16:creationId xmlns:a16="http://schemas.microsoft.com/office/drawing/2014/main" id="{00000000-0008-0000-0800-00000C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1</xdr:col>
      <xdr:colOff>1003741</xdr:colOff>
      <xdr:row>41</xdr:row>
      <xdr:rowOff>16617</xdr:rowOff>
    </xdr:from>
    <xdr:to>
      <xdr:col>10</xdr:col>
      <xdr:colOff>217715</xdr:colOff>
      <xdr:row>46</xdr:row>
      <xdr:rowOff>103153</xdr:rowOff>
    </xdr:to>
    <xdr:graphicFrame macro="">
      <xdr:nvGraphicFramePr>
        <xdr:cNvPr id="13" name="Grafiek 12">
          <a:extLst>
            <a:ext uri="{FF2B5EF4-FFF2-40B4-BE49-F238E27FC236}">
              <a16:creationId xmlns:a16="http://schemas.microsoft.com/office/drawing/2014/main" id="{00000000-0008-0000-0800-00000D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xdr:from>
      <xdr:col>1</xdr:col>
      <xdr:colOff>1027483</xdr:colOff>
      <xdr:row>61</xdr:row>
      <xdr:rowOff>23491</xdr:rowOff>
    </xdr:from>
    <xdr:to>
      <xdr:col>9</xdr:col>
      <xdr:colOff>353786</xdr:colOff>
      <xdr:row>67</xdr:row>
      <xdr:rowOff>54430</xdr:rowOff>
    </xdr:to>
    <xdr:graphicFrame macro="">
      <xdr:nvGraphicFramePr>
        <xdr:cNvPr id="14" name="Grafiek 13">
          <a:extLst>
            <a:ext uri="{FF2B5EF4-FFF2-40B4-BE49-F238E27FC236}">
              <a16:creationId xmlns:a16="http://schemas.microsoft.com/office/drawing/2014/main" id="{00000000-0008-0000-0800-00000E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xdr:from>
      <xdr:col>1</xdr:col>
      <xdr:colOff>976767</xdr:colOff>
      <xdr:row>47</xdr:row>
      <xdr:rowOff>133147</xdr:rowOff>
    </xdr:from>
    <xdr:to>
      <xdr:col>9</xdr:col>
      <xdr:colOff>1269177</xdr:colOff>
      <xdr:row>54</xdr:row>
      <xdr:rowOff>95250</xdr:rowOff>
    </xdr:to>
    <xdr:graphicFrame macro="">
      <xdr:nvGraphicFramePr>
        <xdr:cNvPr id="16" name="Grafiek 15">
          <a:extLst>
            <a:ext uri="{FF2B5EF4-FFF2-40B4-BE49-F238E27FC236}">
              <a16:creationId xmlns:a16="http://schemas.microsoft.com/office/drawing/2014/main" id="{00000000-0008-0000-0800-000010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xdr:from>
      <xdr:col>1</xdr:col>
      <xdr:colOff>945599</xdr:colOff>
      <xdr:row>54</xdr:row>
      <xdr:rowOff>231291</xdr:rowOff>
    </xdr:from>
    <xdr:to>
      <xdr:col>9</xdr:col>
      <xdr:colOff>1152893</xdr:colOff>
      <xdr:row>61</xdr:row>
      <xdr:rowOff>13028</xdr:rowOff>
    </xdr:to>
    <xdr:graphicFrame macro="">
      <xdr:nvGraphicFramePr>
        <xdr:cNvPr id="17" name="Grafiek 16">
          <a:extLst>
            <a:ext uri="{FF2B5EF4-FFF2-40B4-BE49-F238E27FC236}">
              <a16:creationId xmlns:a16="http://schemas.microsoft.com/office/drawing/2014/main" id="{00000000-0008-0000-0800-000011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_rels/pivotCacheDefinition3.xml.rels><?xml version="1.0" encoding="UTF-8" standalone="yes"?>
<Relationships xmlns="http://schemas.openxmlformats.org/package/2006/relationships"><Relationship Id="rId1" Type="http://schemas.openxmlformats.org/officeDocument/2006/relationships/pivotCacheRecords" Target="pivotCacheRecords3.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Bouke Bakker" refreshedDate="45012.654128472219" createdVersion="7" refreshedVersion="8" minRefreshableVersion="3" recordCount="37" xr:uid="{4DD34BD4-1CA0-4766-AF76-DDA968C5C44D}">
  <cacheSource type="worksheet">
    <worksheetSource name="Ontwerp_MKI_Totaal"/>
  </cacheSource>
  <cacheFields count="20">
    <cacheField name="Variant" numFmtId="2">
      <sharedItems containsMixedTypes="1" containsNumber="1" containsInteger="1" minValue="0" maxValue="0" count="4">
        <s v="Open Menggranulaat"/>
        <s v="Plastic kratten"/>
        <s v="Rockwool"/>
        <n v="0"/>
      </sharedItems>
    </cacheField>
    <cacheField name="Onderdeel" numFmtId="2">
      <sharedItems containsMixedTypes="1" containsNumber="1" containsInteger="1" minValue="0" maxValue="0" count="9">
        <s v="Grondontgraving"/>
        <s v="Zandbed"/>
        <s v="Funderingswapening"/>
        <s v="Menggranulaat"/>
        <s v="Straatlaag"/>
        <s v="Toplaag"/>
        <s v="Grondverbetering"/>
        <s v="Waterbergendelaag"/>
        <n v="0"/>
      </sharedItems>
    </cacheField>
    <cacheField name="Product" numFmtId="0">
      <sharedItems containsMixedTypes="1" containsNumber="1" containsInteger="1" minValue="0" maxValue="0" count="9">
        <s v="Ophoogmateriaal (Grond)"/>
        <s v="Ophoogmateriaal (Zand)"/>
        <s v="Geogrid"/>
        <s v="Menggranulaat 200mm"/>
        <s v="Betonstraatsteen 210x105x80"/>
        <s v="Kunststof Inflitratiekrat"/>
        <s v="Menggranulaat 300mm"/>
        <s v="Rockwool, 50 cm"/>
        <n v="0"/>
      </sharedItems>
    </cacheField>
    <cacheField name="A1" numFmtId="167">
      <sharedItems containsSemiMixedTypes="0" containsString="0" containsNumber="1" minValue="0" maxValue="792.97525000000007"/>
    </cacheField>
    <cacheField name="A2" numFmtId="167">
      <sharedItems containsSemiMixedTypes="0" containsString="0" containsNumber="1" minValue="0" maxValue="56.953865"/>
    </cacheField>
    <cacheField name="A3" numFmtId="167">
      <sharedItems containsSemiMixedTypes="0" containsString="0" containsNumber="1" minValue="0" maxValue="41.570878999999998"/>
    </cacheField>
    <cacheField name="A1-A3" numFmtId="167">
      <sharedItems containsSemiMixedTypes="0" containsString="0" containsNumber="1" minValue="0" maxValue="2356.5"/>
    </cacheField>
    <cacheField name="A4" numFmtId="167">
      <sharedItems containsSemiMixedTypes="0" containsString="0" containsNumber="1" minValue="0" maxValue="186.63225"/>
    </cacheField>
    <cacheField name="A5" numFmtId="167">
      <sharedItems containsSemiMixedTypes="0" containsString="0" containsNumber="1" minValue="0" maxValue="332"/>
    </cacheField>
    <cacheField name="B1" numFmtId="167">
      <sharedItems containsSemiMixedTypes="0" containsString="0" containsNumber="1" minValue="0" maxValue="27.490000000000002"/>
    </cacheField>
    <cacheField name="B3" numFmtId="167">
      <sharedItems containsSemiMixedTypes="0" containsString="0" containsNumber="1" minValue="0" maxValue="269.373647705"/>
    </cacheField>
    <cacheField name="B4" numFmtId="167">
      <sharedItems containsSemiMixedTypes="0" containsString="0" containsNumber="1" containsInteger="1" minValue="0" maxValue="0"/>
    </cacheField>
    <cacheField name="C1" numFmtId="167">
      <sharedItems containsSemiMixedTypes="0" containsString="0" containsNumber="1" minValue="0" maxValue="116"/>
    </cacheField>
    <cacheField name="C2" numFmtId="167">
      <sharedItems containsSemiMixedTypes="0" containsString="0" containsNumber="1" minValue="0" maxValue="619.4267625"/>
    </cacheField>
    <cacheField name="C3" numFmtId="167">
      <sharedItems containsSemiMixedTypes="0" containsString="0" containsNumber="1" minValue="0" maxValue="949.5"/>
    </cacheField>
    <cacheField name="C4" numFmtId="167">
      <sharedItems containsSemiMixedTypes="0" containsString="0" containsNumber="1" minValue="0" maxValue="12.9115911772"/>
    </cacheField>
    <cacheField name="D1" numFmtId="167">
      <sharedItems containsSemiMixedTypes="0" containsString="0" containsNumber="1" containsInteger="1" minValue="0" maxValue="0"/>
    </cacheField>
    <cacheField name="D2" numFmtId="167">
      <sharedItems containsSemiMixedTypes="0" containsString="0" containsNumber="1" containsInteger="1" minValue="0" maxValue="0"/>
    </cacheField>
    <cacheField name="D" numFmtId="167">
      <sharedItems containsSemiMixedTypes="0" containsString="0" containsNumber="1" minValue="-597" maxValue="5.8599999999999994"/>
    </cacheField>
    <cacheField name="Totaal" numFmtId="0">
      <sharedItems containsSemiMixedTypes="0" containsString="0" containsNumber="1" minValue="0" maxValue="2688.7379999999998"/>
    </cacheField>
  </cacheFields>
  <extLst>
    <ext xmlns:x14="http://schemas.microsoft.com/office/spreadsheetml/2009/9/main" uri="{725AE2AE-9491-48be-B2B4-4EB974FC3084}">
      <x14:pivotCacheDefinition pivotCacheId="1821895652"/>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Bouke Bakker" refreshedDate="45012.654129282404" createdVersion="7" refreshedVersion="8" minRefreshableVersion="3" recordCount="37" xr:uid="{F109464D-20AE-4F89-9157-176CB5D60FE7}">
  <cacheSource type="worksheet">
    <worksheetSource name="Referentie_Materiaal_Totaal46"/>
  </cacheSource>
  <cacheFields count="13">
    <cacheField name="Variant" numFmtId="2">
      <sharedItems containsMixedTypes="1" containsNumber="1" containsInteger="1" minValue="0" maxValue="0" count="4">
        <s v="Open Menggranulaat"/>
        <s v="Plastic kratten"/>
        <s v="Rockwool"/>
        <n v="0"/>
      </sharedItems>
    </cacheField>
    <cacheField name="Onderdeel" numFmtId="2">
      <sharedItems containsMixedTypes="1" containsNumber="1" containsInteger="1" minValue="0" maxValue="0"/>
    </cacheField>
    <cacheField name="Product" numFmtId="2">
      <sharedItems containsMixedTypes="1" containsNumber="1" containsInteger="1" minValue="0" maxValue="0"/>
    </cacheField>
    <cacheField name="Hoeveelheid [ton]" numFmtId="169">
      <sharedItems containsSemiMixedTypes="0" containsString="0" containsNumber="1" minValue="0" maxValue="796.25"/>
    </cacheField>
    <cacheField name="% Secundair" numFmtId="9">
      <sharedItems containsSemiMixedTypes="0" containsString="0" containsNumber="1" minValue="0" maxValue="1"/>
    </cacheField>
    <cacheField name="Primair materiaalverbruik [ton]" numFmtId="169">
      <sharedItems containsSemiMixedTypes="0" containsString="0" containsNumber="1" minValue="0" maxValue="262.5"/>
    </cacheField>
    <cacheField name="Secundair materiaalverbruik [ton]" numFmtId="169">
      <sharedItems containsSemiMixedTypes="0" containsString="0" containsNumber="1" minValue="0" maxValue="796.25"/>
    </cacheField>
    <cacheField name="Hoeveelheid Vervaningen [ton]" numFmtId="169">
      <sharedItems containsSemiMixedTypes="0" containsString="0" containsNumber="1" containsInteger="1" minValue="0" maxValue="0"/>
    </cacheField>
    <cacheField name="Primair materiaalverbruik Vervangingen [ton]" numFmtId="169">
      <sharedItems containsSemiMixedTypes="0" containsString="0" containsNumber="1" containsInteger="1" minValue="0" maxValue="0"/>
    </cacheField>
    <cacheField name="Secundair materiaalverbruik Vervangingen [ton]" numFmtId="169">
      <sharedItems containsSemiMixedTypes="0" containsString="0" containsNumber="1" containsInteger="1" minValue="0" maxValue="0"/>
    </cacheField>
    <cacheField name="Totaal Primair Materieelgebruik" numFmtId="169">
      <sharedItems containsSemiMixedTypes="0" containsString="0" containsNumber="1" minValue="0" maxValue="262.5"/>
    </cacheField>
    <cacheField name="Totaal Secundair Materieelgebruik" numFmtId="169">
      <sharedItems containsSemiMixedTypes="0" containsString="0" containsNumber="1" minValue="0" maxValue="796.25"/>
    </cacheField>
    <cacheField name="Totaal Materieelgebruik" numFmtId="169">
      <sharedItems containsSemiMixedTypes="0" containsString="0" containsNumber="1" minValue="0" maxValue="796.25"/>
    </cacheField>
  </cacheFields>
  <extLst>
    <ext xmlns:x14="http://schemas.microsoft.com/office/spreadsheetml/2009/9/main" uri="{725AE2AE-9491-48be-B2B4-4EB974FC3084}">
      <x14:pivotCacheDefinition/>
    </ext>
  </extLst>
</pivotCacheDefinition>
</file>

<file path=xl/pivotCache/pivotCacheDefinition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Bouke Bakker" refreshedDate="45012.654129629627" createdVersion="7" refreshedVersion="8" minRefreshableVersion="3" recordCount="37" xr:uid="{98276978-BEE9-49C3-9C51-34E5432AF2F0}">
  <cacheSource type="worksheet">
    <worksheetSource name="Ontwerp_CO2_Totaal"/>
  </cacheSource>
  <cacheFields count="20">
    <cacheField name="Variant" numFmtId="2">
      <sharedItems containsMixedTypes="1" containsNumber="1" containsInteger="1" minValue="0" maxValue="0" count="4">
        <s v="Open Menggranulaat"/>
        <s v="Plastic kratten"/>
        <s v="Rockwool"/>
        <n v="0"/>
      </sharedItems>
    </cacheField>
    <cacheField name="Onderdeel" numFmtId="2">
      <sharedItems containsMixedTypes="1" containsNumber="1" containsInteger="1" minValue="0" maxValue="0"/>
    </cacheField>
    <cacheField name="Product" numFmtId="0">
      <sharedItems containsMixedTypes="1" containsNumber="1" containsInteger="1" minValue="0" maxValue="0"/>
    </cacheField>
    <cacheField name="A1" numFmtId="3">
      <sharedItems containsSemiMixedTypes="0" containsString="0" containsNumber="1" minValue="0" maxValue="10998.630000000001"/>
    </cacheField>
    <cacheField name="A2" numFmtId="3">
      <sharedItems containsSemiMixedTypes="0" containsString="0" containsNumber="1" minValue="0" maxValue="481.99106"/>
    </cacheField>
    <cacheField name="A3" numFmtId="3">
      <sharedItems containsSemiMixedTypes="0" containsString="0" containsNumber="1" minValue="0" maxValue="583.98365000000001"/>
    </cacheField>
    <cacheField name="A1-A3" numFmtId="3">
      <sharedItems containsSemiMixedTypes="0" containsString="0" containsNumber="1" minValue="0" maxValue="25000"/>
    </cacheField>
    <cacheField name="A4" numFmtId="3">
      <sharedItems containsSemiMixedTypes="0" containsString="0" containsNumber="1" minValue="0" maxValue="1664.25"/>
    </cacheField>
    <cacheField name="A5" numFmtId="3">
      <sharedItems containsSemiMixedTypes="0" containsString="0" containsNumber="1" minValue="0" maxValue="2950"/>
    </cacheField>
    <cacheField name="B1" numFmtId="3">
      <sharedItems containsSemiMixedTypes="0" containsString="0" containsNumber="1" containsInteger="1" minValue="0" maxValue="0"/>
    </cacheField>
    <cacheField name="B3" numFmtId="3">
      <sharedItems containsSemiMixedTypes="0" containsString="0" containsNumber="1" containsInteger="1" minValue="0" maxValue="0"/>
    </cacheField>
    <cacheField name="B4" numFmtId="3">
      <sharedItems containsSemiMixedTypes="0" containsString="0" containsNumber="1" containsInteger="1" minValue="0" maxValue="0"/>
    </cacheField>
    <cacheField name="C1" numFmtId="3">
      <sharedItems containsSemiMixedTypes="0" containsString="0" containsNumber="1" minValue="0" maxValue="850"/>
    </cacheField>
    <cacheField name="C2" numFmtId="3">
      <sharedItems containsSemiMixedTypes="0" containsString="0" containsNumber="1" minValue="0" maxValue="5518.0124999999998"/>
    </cacheField>
    <cacheField name="C3" numFmtId="3">
      <sharedItems containsSemiMixedTypes="0" containsString="0" containsNumber="1" minValue="0" maxValue="16000"/>
    </cacheField>
    <cacheField name="C4" numFmtId="3">
      <sharedItems containsSemiMixedTypes="0" containsString="0" containsNumber="1" minValue="0" maxValue="232.383566046"/>
    </cacheField>
    <cacheField name="D1" numFmtId="3">
      <sharedItems containsSemiMixedTypes="0" containsString="0" containsNumber="1" containsInteger="1" minValue="0" maxValue="0"/>
    </cacheField>
    <cacheField name="D2" numFmtId="3">
      <sharedItems containsSemiMixedTypes="0" containsString="0" containsNumber="1" containsInteger="1" minValue="0" maxValue="0"/>
    </cacheField>
    <cacheField name="D" numFmtId="3">
      <sharedItems containsSemiMixedTypes="0" containsString="0" containsNumber="1" minValue="-10000" maxValue="16.400000000000002"/>
    </cacheField>
    <cacheField name="Totaal" numFmtId="3">
      <sharedItems containsSemiMixedTypes="0" containsString="0" containsNumber="1" minValue="0" maxValue="27951.96"/>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37">
  <r>
    <x v="0"/>
    <x v="0"/>
    <x v="0"/>
    <n v="0"/>
    <n v="0"/>
    <n v="0"/>
    <n v="0"/>
    <n v="0"/>
    <n v="0"/>
    <n v="0"/>
    <n v="0"/>
    <n v="0"/>
    <n v="31.6448"/>
    <n v="556.21995000000004"/>
    <n v="0"/>
    <n v="5.3151999999999999"/>
    <n v="0"/>
    <n v="0"/>
    <n v="0"/>
    <n v="593.17995000000008"/>
  </r>
  <r>
    <x v="0"/>
    <x v="1"/>
    <x v="1"/>
    <n v="0"/>
    <n v="0"/>
    <n v="0"/>
    <n v="392.42349999999999"/>
    <n v="186.63225"/>
    <n v="38.979500000000002"/>
    <n v="0"/>
    <n v="0"/>
    <n v="0"/>
    <n v="0"/>
    <n v="0"/>
    <n v="0"/>
    <n v="0"/>
    <n v="0"/>
    <n v="0"/>
    <n v="0"/>
    <n v="618.03525000000002"/>
  </r>
  <r>
    <x v="0"/>
    <x v="2"/>
    <x v="2"/>
    <n v="0"/>
    <n v="0"/>
    <n v="0"/>
    <n v="32.073076780000001"/>
    <n v="7.8413552639999995E-2"/>
    <n v="232.69063500000001"/>
    <n v="0"/>
    <n v="0"/>
    <n v="0"/>
    <n v="0"/>
    <n v="0"/>
    <n v="0"/>
    <n v="0"/>
    <n v="0"/>
    <n v="0"/>
    <n v="0"/>
    <n v="264.84212533264002"/>
  </r>
  <r>
    <x v="0"/>
    <x v="3"/>
    <x v="3"/>
    <n v="0"/>
    <n v="0"/>
    <n v="0"/>
    <n v="0"/>
    <n v="72.785699999999991"/>
    <n v="188.03"/>
    <n v="27.490000000000002"/>
    <n v="0"/>
    <n v="0"/>
    <n v="0"/>
    <n v="0"/>
    <n v="0"/>
    <n v="0"/>
    <n v="0"/>
    <n v="0"/>
    <n v="0"/>
    <n v="288.3057"/>
  </r>
  <r>
    <x v="0"/>
    <x v="4"/>
    <x v="1"/>
    <n v="0"/>
    <n v="0"/>
    <n v="0"/>
    <n v="56.060500000000005"/>
    <n v="26.661749999999998"/>
    <n v="5.5685000000000002"/>
    <n v="0"/>
    <n v="0"/>
    <n v="0"/>
    <n v="0"/>
    <n v="0"/>
    <n v="0"/>
    <n v="0"/>
    <n v="0"/>
    <n v="0"/>
    <n v="0"/>
    <n v="88.290750000000003"/>
  </r>
  <r>
    <x v="0"/>
    <x v="5"/>
    <x v="4"/>
    <n v="792.97525000000007"/>
    <n v="56.953865"/>
    <n v="41.570878999999998"/>
    <n v="891.49999400000002"/>
    <n v="37.645757542000005"/>
    <n v="73.560969999999998"/>
    <n v="0"/>
    <n v="269.373647705"/>
    <n v="0"/>
    <n v="0"/>
    <n v="0"/>
    <n v="0"/>
    <n v="0"/>
    <n v="0"/>
    <n v="0"/>
    <n v="0"/>
    <n v="1272.0803692469999"/>
  </r>
  <r>
    <x v="0"/>
    <x v="1"/>
    <x v="1"/>
    <n v="0"/>
    <n v="0"/>
    <n v="0"/>
    <n v="0"/>
    <n v="0"/>
    <n v="0"/>
    <n v="0"/>
    <n v="0"/>
    <n v="0"/>
    <n v="6.5659999999999998"/>
    <n v="188.498625"/>
    <n v="0"/>
    <n v="1.9512499999999999"/>
    <n v="0"/>
    <n v="0"/>
    <n v="-139.46275"/>
    <n v="57.553124999999994"/>
  </r>
  <r>
    <x v="0"/>
    <x v="2"/>
    <x v="2"/>
    <n v="0"/>
    <n v="0"/>
    <n v="0"/>
    <n v="0"/>
    <n v="0"/>
    <n v="0"/>
    <n v="0"/>
    <n v="0"/>
    <n v="0"/>
    <n v="104.18983499999999"/>
    <n v="5.6196379392E-2"/>
    <n v="7.0133438999999997"/>
    <n v="12.9115911772"/>
    <n v="0"/>
    <n v="0"/>
    <n v="-7.8846214060000008"/>
    <n v="116.28634505059199"/>
  </r>
  <r>
    <x v="0"/>
    <x v="3"/>
    <x v="3"/>
    <n v="0"/>
    <n v="0"/>
    <n v="0"/>
    <n v="0"/>
    <n v="0"/>
    <n v="0"/>
    <n v="0"/>
    <n v="0"/>
    <n v="0"/>
    <n v="62.15"/>
    <n v="1.4702999999999999"/>
    <n v="0"/>
    <n v="2.9"/>
    <n v="0"/>
    <n v="0"/>
    <n v="5.8599999999999994"/>
    <n v="72.380300000000005"/>
  </r>
  <r>
    <x v="0"/>
    <x v="4"/>
    <x v="1"/>
    <n v="0"/>
    <n v="0"/>
    <n v="0"/>
    <n v="0"/>
    <n v="0"/>
    <n v="0"/>
    <n v="0"/>
    <n v="0"/>
    <n v="0"/>
    <n v="0.93799999999999994"/>
    <n v="26.928374999999999"/>
    <n v="0"/>
    <n v="0.27875"/>
    <n v="0"/>
    <n v="0"/>
    <n v="-19.923249999999999"/>
    <n v="8.2218749999999972"/>
  </r>
  <r>
    <x v="0"/>
    <x v="5"/>
    <x v="4"/>
    <n v="0"/>
    <n v="0"/>
    <n v="0"/>
    <n v="0"/>
    <n v="0"/>
    <n v="0"/>
    <n v="0"/>
    <n v="0"/>
    <n v="0"/>
    <n v="39.375768999999998"/>
    <n v="12.674071170000001"/>
    <n v="14.404144500000001"/>
    <n v="0.65691955000000002"/>
    <n v="0"/>
    <n v="0"/>
    <n v="-47.231490000000001"/>
    <n v="19.879414219999994"/>
  </r>
  <r>
    <x v="1"/>
    <x v="0"/>
    <x v="0"/>
    <n v="0"/>
    <n v="0"/>
    <n v="0"/>
    <n v="0"/>
    <n v="0"/>
    <n v="0"/>
    <n v="0"/>
    <n v="0"/>
    <n v="0"/>
    <n v="35.2408"/>
    <n v="619.4267625"/>
    <n v="0"/>
    <n v="5.9192"/>
    <n v="0"/>
    <n v="0"/>
    <n v="0"/>
    <n v="660.58676250000008"/>
  </r>
  <r>
    <x v="1"/>
    <x v="6"/>
    <x v="1"/>
    <n v="0"/>
    <n v="0"/>
    <n v="0"/>
    <n v="56.060500000000005"/>
    <n v="26.661749999999998"/>
    <n v="5.5685000000000002"/>
    <n v="0"/>
    <n v="0"/>
    <n v="0"/>
    <n v="0"/>
    <n v="0"/>
    <n v="0"/>
    <n v="0"/>
    <n v="0"/>
    <n v="0"/>
    <n v="0"/>
    <n v="88.290750000000003"/>
  </r>
  <r>
    <x v="1"/>
    <x v="7"/>
    <x v="5"/>
    <n v="0"/>
    <n v="0"/>
    <n v="0"/>
    <n v="2356.5"/>
    <n v="0.23800000000000002"/>
    <n v="332"/>
    <n v="0"/>
    <n v="0"/>
    <n v="0"/>
    <n v="0"/>
    <n v="0"/>
    <n v="0"/>
    <n v="0"/>
    <n v="0"/>
    <n v="0"/>
    <n v="0"/>
    <n v="2688.7379999999998"/>
  </r>
  <r>
    <x v="1"/>
    <x v="3"/>
    <x v="6"/>
    <n v="0"/>
    <n v="0"/>
    <n v="0"/>
    <n v="0"/>
    <n v="81.885374999999996"/>
    <n v="94.015000000000001"/>
    <n v="20.62"/>
    <n v="0"/>
    <n v="0"/>
    <n v="0"/>
    <n v="0"/>
    <n v="0"/>
    <n v="0"/>
    <n v="0"/>
    <n v="0"/>
    <n v="0"/>
    <n v="196.520375"/>
  </r>
  <r>
    <x v="1"/>
    <x v="4"/>
    <x v="1"/>
    <n v="0"/>
    <n v="0"/>
    <n v="0"/>
    <n v="56.060500000000005"/>
    <n v="26.661749999999998"/>
    <n v="5.5685000000000002"/>
    <n v="0"/>
    <n v="0"/>
    <n v="0"/>
    <n v="0"/>
    <n v="0"/>
    <n v="0"/>
    <n v="0"/>
    <n v="0"/>
    <n v="0"/>
    <n v="0"/>
    <n v="88.290750000000003"/>
  </r>
  <r>
    <x v="1"/>
    <x v="5"/>
    <x v="4"/>
    <n v="792.97525000000007"/>
    <n v="56.953865"/>
    <n v="41.570878999999998"/>
    <n v="891.49999400000002"/>
    <n v="37.645757542000005"/>
    <n v="73.560969999999998"/>
    <n v="0"/>
    <n v="269.373647705"/>
    <n v="0"/>
    <n v="0"/>
    <n v="0"/>
    <n v="0"/>
    <n v="0"/>
    <n v="0"/>
    <n v="0"/>
    <n v="0"/>
    <n v="1272.0803692469999"/>
  </r>
  <r>
    <x v="1"/>
    <x v="6"/>
    <x v="1"/>
    <n v="0"/>
    <n v="0"/>
    <n v="0"/>
    <n v="0"/>
    <n v="0"/>
    <n v="0"/>
    <n v="0"/>
    <n v="0"/>
    <n v="0"/>
    <n v="0.93799999999999994"/>
    <n v="26.928374999999999"/>
    <n v="0"/>
    <n v="0.27875"/>
    <n v="0"/>
    <n v="0"/>
    <n v="-19.923249999999999"/>
    <n v="8.2218749999999972"/>
  </r>
  <r>
    <x v="1"/>
    <x v="7"/>
    <x v="5"/>
    <n v="0"/>
    <n v="0"/>
    <n v="0"/>
    <n v="0"/>
    <n v="0"/>
    <n v="0"/>
    <n v="0"/>
    <n v="0"/>
    <n v="0"/>
    <n v="116"/>
    <n v="0.224"/>
    <n v="949.5"/>
    <n v="6.5"/>
    <n v="0"/>
    <n v="0"/>
    <n v="-597"/>
    <n v="475.22399999999993"/>
  </r>
  <r>
    <x v="1"/>
    <x v="3"/>
    <x v="6"/>
    <n v="0"/>
    <n v="0"/>
    <n v="0"/>
    <n v="0"/>
    <n v="0"/>
    <n v="0"/>
    <n v="0"/>
    <n v="0"/>
    <n v="0"/>
    <n v="31.074999999999999"/>
    <n v="82.704374999999999"/>
    <n v="49.04"/>
    <n v="2.1749999999999998"/>
    <n v="0"/>
    <n v="0"/>
    <n v="4.3949999999999996"/>
    <n v="169.38937500000003"/>
  </r>
  <r>
    <x v="1"/>
    <x v="4"/>
    <x v="1"/>
    <n v="0"/>
    <n v="0"/>
    <n v="0"/>
    <n v="0"/>
    <n v="0"/>
    <n v="0"/>
    <n v="0"/>
    <n v="0"/>
    <n v="0"/>
    <n v="0.93799999999999994"/>
    <n v="26.928374999999999"/>
    <n v="0"/>
    <n v="0.27875"/>
    <n v="0"/>
    <n v="0"/>
    <n v="-19.923249999999999"/>
    <n v="8.2218749999999972"/>
  </r>
  <r>
    <x v="1"/>
    <x v="5"/>
    <x v="4"/>
    <n v="0"/>
    <n v="0"/>
    <n v="0"/>
    <n v="0"/>
    <n v="0"/>
    <n v="0"/>
    <n v="0"/>
    <n v="0"/>
    <n v="0"/>
    <n v="39.375768999999998"/>
    <n v="12.674071170000001"/>
    <n v="14.404144500000001"/>
    <n v="0.65691955000000002"/>
    <n v="0"/>
    <n v="0"/>
    <n v="-47.231490000000001"/>
    <n v="19.879414219999994"/>
  </r>
  <r>
    <x v="2"/>
    <x v="0"/>
    <x v="0"/>
    <n v="0"/>
    <n v="0"/>
    <n v="0"/>
    <n v="0"/>
    <n v="0"/>
    <n v="0"/>
    <n v="0"/>
    <n v="0"/>
    <n v="0"/>
    <n v="35.2408"/>
    <n v="619.4267625"/>
    <n v="0"/>
    <n v="5.9192"/>
    <n v="0"/>
    <n v="0"/>
    <n v="0"/>
    <n v="660.58676250000008"/>
  </r>
  <r>
    <x v="2"/>
    <x v="6"/>
    <x v="1"/>
    <n v="0"/>
    <n v="0"/>
    <n v="0"/>
    <n v="56.060500000000005"/>
    <n v="26.661749999999998"/>
    <n v="5.5685000000000002"/>
    <n v="0"/>
    <n v="0"/>
    <n v="0"/>
    <n v="0"/>
    <n v="0"/>
    <n v="0"/>
    <n v="0"/>
    <n v="0"/>
    <n v="0"/>
    <n v="0"/>
    <n v="88.290750000000003"/>
  </r>
  <r>
    <x v="2"/>
    <x v="7"/>
    <x v="7"/>
    <n v="0"/>
    <n v="0"/>
    <n v="0"/>
    <n v="0"/>
    <n v="0"/>
    <n v="0"/>
    <n v="0"/>
    <n v="0"/>
    <n v="0"/>
    <n v="0"/>
    <n v="0"/>
    <n v="0"/>
    <n v="0"/>
    <n v="0"/>
    <n v="0"/>
    <n v="0"/>
    <n v="0"/>
  </r>
  <r>
    <x v="2"/>
    <x v="3"/>
    <x v="6"/>
    <n v="0"/>
    <n v="0"/>
    <n v="0"/>
    <n v="0"/>
    <n v="81.885374999999996"/>
    <n v="94.015000000000001"/>
    <n v="20.62"/>
    <n v="0"/>
    <n v="0"/>
    <n v="0"/>
    <n v="0"/>
    <n v="0"/>
    <n v="0"/>
    <n v="0"/>
    <n v="0"/>
    <n v="0"/>
    <n v="196.520375"/>
  </r>
  <r>
    <x v="2"/>
    <x v="4"/>
    <x v="1"/>
    <n v="0"/>
    <n v="0"/>
    <n v="0"/>
    <n v="56.060500000000005"/>
    <n v="26.661749999999998"/>
    <n v="5.5685000000000002"/>
    <n v="0"/>
    <n v="0"/>
    <n v="0"/>
    <n v="0"/>
    <n v="0"/>
    <n v="0"/>
    <n v="0"/>
    <n v="0"/>
    <n v="0"/>
    <n v="0"/>
    <n v="88.290750000000003"/>
  </r>
  <r>
    <x v="2"/>
    <x v="5"/>
    <x v="4"/>
    <n v="792.97525000000007"/>
    <n v="56.953865"/>
    <n v="41.570878999999998"/>
    <n v="891.49999400000002"/>
    <n v="37.645757542000005"/>
    <n v="73.560969999999998"/>
    <n v="0"/>
    <n v="269.373647705"/>
    <n v="0"/>
    <n v="0"/>
    <n v="0"/>
    <n v="0"/>
    <n v="0"/>
    <n v="0"/>
    <n v="0"/>
    <n v="0"/>
    <n v="1272.0803692469999"/>
  </r>
  <r>
    <x v="2"/>
    <x v="6"/>
    <x v="1"/>
    <n v="0"/>
    <n v="0"/>
    <n v="0"/>
    <n v="0"/>
    <n v="0"/>
    <n v="0"/>
    <n v="0"/>
    <n v="0"/>
    <n v="0"/>
    <n v="0.93799999999999994"/>
    <n v="26.928374999999999"/>
    <n v="0"/>
    <n v="0.27875"/>
    <n v="0"/>
    <n v="0"/>
    <n v="-19.923249999999999"/>
    <n v="8.2218749999999972"/>
  </r>
  <r>
    <x v="2"/>
    <x v="7"/>
    <x v="7"/>
    <n v="0"/>
    <n v="0"/>
    <n v="0"/>
    <n v="0"/>
    <n v="0"/>
    <n v="0"/>
    <n v="0"/>
    <n v="0"/>
    <n v="0"/>
    <n v="0"/>
    <n v="0"/>
    <n v="0"/>
    <n v="0"/>
    <n v="0"/>
    <n v="0"/>
    <n v="0"/>
    <n v="0"/>
  </r>
  <r>
    <x v="2"/>
    <x v="3"/>
    <x v="6"/>
    <n v="0"/>
    <n v="0"/>
    <n v="0"/>
    <n v="0"/>
    <n v="0"/>
    <n v="0"/>
    <n v="0"/>
    <n v="0"/>
    <n v="0"/>
    <n v="31.074999999999999"/>
    <n v="82.704374999999999"/>
    <n v="49.04"/>
    <n v="2.1749999999999998"/>
    <n v="0"/>
    <n v="0"/>
    <n v="4.3949999999999996"/>
    <n v="169.38937500000003"/>
  </r>
  <r>
    <x v="2"/>
    <x v="4"/>
    <x v="1"/>
    <n v="0"/>
    <n v="0"/>
    <n v="0"/>
    <n v="0"/>
    <n v="0"/>
    <n v="0"/>
    <n v="0"/>
    <n v="0"/>
    <n v="0"/>
    <n v="0.93799999999999994"/>
    <n v="26.928374999999999"/>
    <n v="0"/>
    <n v="0.27875"/>
    <n v="0"/>
    <n v="0"/>
    <n v="-19.923249999999999"/>
    <n v="8.2218749999999972"/>
  </r>
  <r>
    <x v="2"/>
    <x v="5"/>
    <x v="4"/>
    <n v="0"/>
    <n v="0"/>
    <n v="0"/>
    <n v="0"/>
    <n v="0"/>
    <n v="0"/>
    <n v="0"/>
    <n v="0"/>
    <n v="0"/>
    <n v="39.375768999999998"/>
    <n v="12.674071170000001"/>
    <n v="14.404144500000001"/>
    <n v="0.65691955000000002"/>
    <n v="0"/>
    <n v="0"/>
    <n v="-47.231490000000001"/>
    <n v="19.879414219999994"/>
  </r>
  <r>
    <x v="3"/>
    <x v="8"/>
    <x v="8"/>
    <n v="0"/>
    <n v="0"/>
    <n v="0"/>
    <n v="0"/>
    <n v="0"/>
    <n v="0"/>
    <n v="0"/>
    <n v="0"/>
    <n v="0"/>
    <n v="0"/>
    <n v="0"/>
    <n v="0"/>
    <n v="0"/>
    <n v="0"/>
    <n v="0"/>
    <n v="0"/>
    <n v="0"/>
  </r>
  <r>
    <x v="3"/>
    <x v="8"/>
    <x v="8"/>
    <n v="0"/>
    <n v="0"/>
    <n v="0"/>
    <n v="0"/>
    <n v="0"/>
    <n v="0"/>
    <n v="0"/>
    <n v="0"/>
    <n v="0"/>
    <n v="0"/>
    <n v="0"/>
    <n v="0"/>
    <n v="0"/>
    <n v="0"/>
    <n v="0"/>
    <n v="0"/>
    <n v="0"/>
  </r>
  <r>
    <x v="3"/>
    <x v="8"/>
    <x v="8"/>
    <n v="0"/>
    <n v="0"/>
    <n v="0"/>
    <n v="0"/>
    <n v="0"/>
    <n v="0"/>
    <n v="0"/>
    <n v="0"/>
    <n v="0"/>
    <n v="0"/>
    <n v="0"/>
    <n v="0"/>
    <n v="0"/>
    <n v="0"/>
    <n v="0"/>
    <n v="0"/>
    <n v="0"/>
  </r>
  <r>
    <x v="3"/>
    <x v="8"/>
    <x v="8"/>
    <n v="0"/>
    <n v="0"/>
    <n v="0"/>
    <n v="0"/>
    <n v="0"/>
    <n v="0"/>
    <n v="0"/>
    <n v="0"/>
    <n v="0"/>
    <n v="0"/>
    <n v="0"/>
    <n v="0"/>
    <n v="0"/>
    <n v="0"/>
    <n v="0"/>
    <n v="0"/>
    <n v="0"/>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37">
  <r>
    <x v="0"/>
    <s v="Grondontgraving"/>
    <s v="Ophoogmateriaal (Grond)"/>
    <n v="715"/>
    <n v="1"/>
    <n v="0"/>
    <n v="715"/>
    <n v="0"/>
    <n v="0"/>
    <n v="0"/>
    <n v="0"/>
    <n v="715"/>
    <n v="715"/>
  </r>
  <r>
    <x v="0"/>
    <s v="Zandbed"/>
    <s v="Ophoogmateriaal (Zand)"/>
    <n v="262.5"/>
    <n v="0"/>
    <n v="262.5"/>
    <n v="0"/>
    <n v="0"/>
    <n v="0"/>
    <n v="0"/>
    <n v="262.5"/>
    <n v="0"/>
    <n v="262.5"/>
  </r>
  <r>
    <x v="0"/>
    <s v="Funderingswapening"/>
    <s v="Geogrid"/>
    <n v="127.5"/>
    <n v="0"/>
    <n v="127.5"/>
    <n v="0"/>
    <n v="0"/>
    <n v="0"/>
    <n v="0"/>
    <n v="127.5"/>
    <n v="0"/>
    <n v="127.5"/>
  </r>
  <r>
    <x v="0"/>
    <s v="Menggranulaat"/>
    <s v="Menggranulaat 200mm"/>
    <n v="390"/>
    <n v="1"/>
    <n v="0"/>
    <n v="390"/>
    <n v="0"/>
    <n v="0"/>
    <n v="0"/>
    <n v="0"/>
    <n v="390"/>
    <n v="390"/>
  </r>
  <r>
    <x v="0"/>
    <s v="Straatlaag"/>
    <s v="Ophoogmateriaal (Zand)"/>
    <n v="37.5"/>
    <n v="0"/>
    <n v="37.5"/>
    <n v="0"/>
    <n v="0"/>
    <n v="0"/>
    <n v="0"/>
    <n v="37.5"/>
    <n v="0"/>
    <n v="37.5"/>
  </r>
  <r>
    <x v="0"/>
    <s v="Toplaag"/>
    <s v="Betonstraatsteen 210x105x80"/>
    <n v="89.800000000000011"/>
    <n v="5.7906458797327399E-2"/>
    <n v="84.600000000000009"/>
    <n v="5.2000000000000011"/>
    <n v="0"/>
    <n v="0"/>
    <n v="0"/>
    <n v="84.600000000000009"/>
    <n v="5.2000000000000011"/>
    <n v="89.800000000000011"/>
  </r>
  <r>
    <x v="0"/>
    <s v="Zandbed"/>
    <s v="Ophoogmateriaal (Zand)"/>
    <n v="262.5"/>
    <n v="0"/>
    <n v="262.5"/>
    <n v="0"/>
    <n v="0"/>
    <n v="0"/>
    <n v="0"/>
    <n v="262.5"/>
    <n v="0"/>
    <n v="262.5"/>
  </r>
  <r>
    <x v="0"/>
    <s v="Funderingswapening"/>
    <s v="Geogrid"/>
    <n v="127.5"/>
    <n v="0"/>
    <n v="127.5"/>
    <n v="0"/>
    <n v="0"/>
    <n v="0"/>
    <n v="0"/>
    <n v="127.5"/>
    <n v="0"/>
    <n v="127.5"/>
  </r>
  <r>
    <x v="0"/>
    <s v="Menggranulaat"/>
    <s v="Menggranulaat 200mm"/>
    <n v="390"/>
    <n v="1"/>
    <n v="0"/>
    <n v="390"/>
    <n v="0"/>
    <n v="0"/>
    <n v="0"/>
    <n v="0"/>
    <n v="390"/>
    <n v="390"/>
  </r>
  <r>
    <x v="0"/>
    <s v="Straatlaag"/>
    <s v="Ophoogmateriaal (Zand)"/>
    <n v="37.5"/>
    <n v="0"/>
    <n v="37.5"/>
    <n v="0"/>
    <n v="0"/>
    <n v="0"/>
    <n v="0"/>
    <n v="37.5"/>
    <n v="0"/>
    <n v="37.5"/>
  </r>
  <r>
    <x v="0"/>
    <s v="Toplaag"/>
    <s v="Betonstraatsteen 210x105x80"/>
    <n v="89.800000000000011"/>
    <n v="5.7906458797327399E-2"/>
    <n v="84.600000000000009"/>
    <n v="5.2000000000000011"/>
    <n v="0"/>
    <n v="0"/>
    <n v="0"/>
    <n v="84.600000000000009"/>
    <n v="5.2000000000000011"/>
    <n v="89.800000000000011"/>
  </r>
  <r>
    <x v="1"/>
    <s v="Grondontgraving"/>
    <s v="Ophoogmateriaal (Grond)"/>
    <n v="796.25"/>
    <n v="1"/>
    <n v="0"/>
    <n v="796.25"/>
    <n v="0"/>
    <n v="0"/>
    <n v="0"/>
    <n v="0"/>
    <n v="796.25"/>
    <n v="796.25"/>
  </r>
  <r>
    <x v="1"/>
    <s v="Grondverbetering"/>
    <s v="Ophoogmateriaal (Zand)"/>
    <n v="37.5"/>
    <n v="0"/>
    <n v="37.5"/>
    <n v="0"/>
    <n v="0"/>
    <n v="0"/>
    <n v="0"/>
    <n v="37.5"/>
    <n v="0"/>
    <n v="37.5"/>
  </r>
  <r>
    <x v="1"/>
    <s v="Waterbergendelaag"/>
    <s v="Kunststof Inflitratiekrat"/>
    <n v="7"/>
    <n v="0"/>
    <n v="7"/>
    <n v="0"/>
    <n v="0"/>
    <n v="0"/>
    <n v="0"/>
    <n v="7"/>
    <n v="0"/>
    <n v="7"/>
  </r>
  <r>
    <x v="1"/>
    <s v="Menggranulaat"/>
    <s v="Menggranulaat 300mm"/>
    <n v="292.5"/>
    <n v="1"/>
    <n v="0"/>
    <n v="292.5"/>
    <n v="0"/>
    <n v="0"/>
    <n v="0"/>
    <n v="0"/>
    <n v="292.5"/>
    <n v="292.5"/>
  </r>
  <r>
    <x v="1"/>
    <s v="Straatlaag"/>
    <s v="Ophoogmateriaal (Zand)"/>
    <n v="37.5"/>
    <n v="0"/>
    <n v="37.5"/>
    <n v="0"/>
    <n v="0"/>
    <n v="0"/>
    <n v="0"/>
    <n v="37.5"/>
    <n v="0"/>
    <n v="37.5"/>
  </r>
  <r>
    <x v="1"/>
    <s v="Toplaag"/>
    <s v="Betonstraatsteen 210x105x80"/>
    <n v="89.800000000000011"/>
    <n v="5.7906458797327399E-2"/>
    <n v="84.600000000000009"/>
    <n v="5.2000000000000011"/>
    <n v="0"/>
    <n v="0"/>
    <n v="0"/>
    <n v="84.600000000000009"/>
    <n v="5.2000000000000011"/>
    <n v="89.800000000000011"/>
  </r>
  <r>
    <x v="1"/>
    <s v="Grondverbetering"/>
    <s v="Ophoogmateriaal (Zand)"/>
    <n v="37.5"/>
    <n v="0"/>
    <n v="37.5"/>
    <n v="0"/>
    <n v="0"/>
    <n v="0"/>
    <n v="0"/>
    <n v="37.5"/>
    <n v="0"/>
    <n v="37.5"/>
  </r>
  <r>
    <x v="1"/>
    <s v="Waterbergendelaag"/>
    <s v="Kunststof Inflitratiekrat"/>
    <n v="7"/>
    <n v="0"/>
    <n v="7"/>
    <n v="0"/>
    <n v="0"/>
    <n v="0"/>
    <n v="0"/>
    <n v="7"/>
    <n v="0"/>
    <n v="7"/>
  </r>
  <r>
    <x v="1"/>
    <s v="Menggranulaat"/>
    <s v="Menggranulaat 300mm"/>
    <n v="292.5"/>
    <n v="1"/>
    <n v="0"/>
    <n v="292.5"/>
    <n v="0"/>
    <n v="0"/>
    <n v="0"/>
    <n v="0"/>
    <n v="292.5"/>
    <n v="292.5"/>
  </r>
  <r>
    <x v="1"/>
    <s v="Straatlaag"/>
    <s v="Ophoogmateriaal (Zand)"/>
    <n v="37.5"/>
    <n v="0"/>
    <n v="37.5"/>
    <n v="0"/>
    <n v="0"/>
    <n v="0"/>
    <n v="0"/>
    <n v="37.5"/>
    <n v="0"/>
    <n v="37.5"/>
  </r>
  <r>
    <x v="1"/>
    <s v="Toplaag"/>
    <s v="Betonstraatsteen 210x105x80"/>
    <n v="89.800000000000011"/>
    <n v="5.7906458797327399E-2"/>
    <n v="84.600000000000009"/>
    <n v="5.2000000000000011"/>
    <n v="0"/>
    <n v="0"/>
    <n v="0"/>
    <n v="84.600000000000009"/>
    <n v="5.2000000000000011"/>
    <n v="89.800000000000011"/>
  </r>
  <r>
    <x v="2"/>
    <s v="Grondontgraving"/>
    <s v="Ophoogmateriaal (Grond)"/>
    <n v="796.25"/>
    <n v="1"/>
    <n v="0"/>
    <n v="796.25"/>
    <n v="0"/>
    <n v="0"/>
    <n v="0"/>
    <n v="0"/>
    <n v="796.25"/>
    <n v="796.25"/>
  </r>
  <r>
    <x v="2"/>
    <s v="Grondverbetering"/>
    <s v="Ophoogmateriaal (Zand)"/>
    <n v="37.5"/>
    <n v="0"/>
    <n v="37.5"/>
    <n v="0"/>
    <n v="0"/>
    <n v="0"/>
    <n v="0"/>
    <n v="37.5"/>
    <n v="0"/>
    <n v="37.5"/>
  </r>
  <r>
    <x v="2"/>
    <s v="Waterbergendelaag"/>
    <s v="Rockwool, 50 cm"/>
    <n v="0"/>
    <n v="0"/>
    <n v="0"/>
    <n v="0"/>
    <n v="0"/>
    <n v="0"/>
    <n v="0"/>
    <n v="0"/>
    <n v="0"/>
    <n v="0"/>
  </r>
  <r>
    <x v="2"/>
    <s v="Menggranulaat"/>
    <s v="Menggranulaat 300mm"/>
    <n v="292.5"/>
    <n v="1"/>
    <n v="0"/>
    <n v="292.5"/>
    <n v="0"/>
    <n v="0"/>
    <n v="0"/>
    <n v="0"/>
    <n v="292.5"/>
    <n v="292.5"/>
  </r>
  <r>
    <x v="2"/>
    <s v="Straatlaag"/>
    <s v="Ophoogmateriaal (Zand)"/>
    <n v="37.5"/>
    <n v="0"/>
    <n v="37.5"/>
    <n v="0"/>
    <n v="0"/>
    <n v="0"/>
    <n v="0"/>
    <n v="37.5"/>
    <n v="0"/>
    <n v="37.5"/>
  </r>
  <r>
    <x v="2"/>
    <s v="Toplaag"/>
    <s v="Betonstraatsteen 210x105x80"/>
    <n v="89.800000000000011"/>
    <n v="5.7906458797327399E-2"/>
    <n v="84.600000000000009"/>
    <n v="5.2000000000000011"/>
    <n v="0"/>
    <n v="0"/>
    <n v="0"/>
    <n v="84.600000000000009"/>
    <n v="5.2000000000000011"/>
    <n v="89.800000000000011"/>
  </r>
  <r>
    <x v="2"/>
    <s v="Grondverbetering"/>
    <s v="Ophoogmateriaal (Zand)"/>
    <n v="37.5"/>
    <n v="0"/>
    <n v="37.5"/>
    <n v="0"/>
    <n v="0"/>
    <n v="0"/>
    <n v="0"/>
    <n v="37.5"/>
    <n v="0"/>
    <n v="37.5"/>
  </r>
  <r>
    <x v="2"/>
    <s v="Waterbergendelaag"/>
    <s v="Rockwool, 50 cm"/>
    <n v="0"/>
    <n v="0"/>
    <n v="0"/>
    <n v="0"/>
    <n v="0"/>
    <n v="0"/>
    <n v="0"/>
    <n v="0"/>
    <n v="0"/>
    <n v="0"/>
  </r>
  <r>
    <x v="2"/>
    <s v="Menggranulaat"/>
    <s v="Menggranulaat 300mm"/>
    <n v="292.5"/>
    <n v="1"/>
    <n v="0"/>
    <n v="292.5"/>
    <n v="0"/>
    <n v="0"/>
    <n v="0"/>
    <n v="0"/>
    <n v="292.5"/>
    <n v="292.5"/>
  </r>
  <r>
    <x v="2"/>
    <s v="Straatlaag"/>
    <s v="Ophoogmateriaal (Zand)"/>
    <n v="37.5"/>
    <n v="0"/>
    <n v="37.5"/>
    <n v="0"/>
    <n v="0"/>
    <n v="0"/>
    <n v="0"/>
    <n v="37.5"/>
    <n v="0"/>
    <n v="37.5"/>
  </r>
  <r>
    <x v="2"/>
    <s v="Toplaag"/>
    <s v="Betonstraatsteen 210x105x80"/>
    <n v="89.800000000000011"/>
    <n v="5.7906458797327399E-2"/>
    <n v="84.600000000000009"/>
    <n v="5.2000000000000011"/>
    <n v="0"/>
    <n v="0"/>
    <n v="0"/>
    <n v="84.600000000000009"/>
    <n v="5.2000000000000011"/>
    <n v="89.800000000000011"/>
  </r>
  <r>
    <x v="3"/>
    <n v="0"/>
    <n v="0"/>
    <n v="0"/>
    <n v="0"/>
    <n v="0"/>
    <n v="0"/>
    <n v="0"/>
    <n v="0"/>
    <n v="0"/>
    <n v="0"/>
    <n v="0"/>
    <n v="0"/>
  </r>
  <r>
    <x v="3"/>
    <n v="0"/>
    <n v="0"/>
    <n v="0"/>
    <n v="0"/>
    <n v="0"/>
    <n v="0"/>
    <n v="0"/>
    <n v="0"/>
    <n v="0"/>
    <n v="0"/>
    <n v="0"/>
    <n v="0"/>
  </r>
  <r>
    <x v="3"/>
    <n v="0"/>
    <n v="0"/>
    <n v="0"/>
    <n v="0"/>
    <n v="0"/>
    <n v="0"/>
    <n v="0"/>
    <n v="0"/>
    <n v="0"/>
    <n v="0"/>
    <n v="0"/>
    <n v="0"/>
  </r>
  <r>
    <x v="3"/>
    <n v="0"/>
    <n v="0"/>
    <n v="0"/>
    <n v="0"/>
    <n v="0"/>
    <n v="0"/>
    <n v="0"/>
    <n v="0"/>
    <n v="0"/>
    <n v="0"/>
    <n v="0"/>
    <n v="0"/>
  </r>
</pivotCacheRecords>
</file>

<file path=xl/pivotCache/pivotCacheRecords3.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37">
  <r>
    <x v="0"/>
    <s v="Grondontgraving"/>
    <s v="Ophoogmateriaal (Grond)"/>
    <n v="0"/>
    <n v="0"/>
    <n v="0"/>
    <n v="0"/>
    <n v="0"/>
    <n v="0"/>
    <n v="0"/>
    <n v="0"/>
    <n v="0"/>
    <n v="341.51401635999997"/>
    <n v="4954.95"/>
    <n v="0"/>
    <n v="39.6"/>
    <n v="0"/>
    <n v="0"/>
    <n v="0"/>
    <n v="5336.0640163600001"/>
  </r>
  <r>
    <x v="0"/>
    <s v="Zandbed"/>
    <s v="Ophoogmateriaal (Zand)"/>
    <n v="0"/>
    <n v="0"/>
    <n v="0"/>
    <n v="3080.0000000000005"/>
    <n v="1664.25"/>
    <n v="435.47874999999999"/>
    <n v="0"/>
    <n v="0"/>
    <n v="0"/>
    <n v="0"/>
    <n v="0"/>
    <n v="0"/>
    <n v="0"/>
    <n v="0"/>
    <n v="0"/>
    <n v="0"/>
    <n v="5179.7287500000002"/>
  </r>
  <r>
    <x v="0"/>
    <s v="Funderingswapening"/>
    <s v="Geogrid"/>
    <n v="0"/>
    <n v="0"/>
    <n v="0"/>
    <n v="345.78025580000002"/>
    <n v="0.65059408476000002"/>
    <n v="1737.0418500000001"/>
    <n v="0"/>
    <n v="0"/>
    <n v="0"/>
    <n v="0"/>
    <n v="0"/>
    <n v="0"/>
    <n v="0"/>
    <n v="0"/>
    <n v="0"/>
    <n v="0"/>
    <n v="2083.47269988476"/>
  </r>
  <r>
    <x v="0"/>
    <s v="Menggranulaat"/>
    <s v="Menggranulaat 200mm"/>
    <n v="0"/>
    <n v="0"/>
    <n v="0"/>
    <n v="0"/>
    <n v="643.5"/>
    <n v="2029.9999999999998"/>
    <n v="0"/>
    <n v="0"/>
    <n v="0"/>
    <n v="0"/>
    <n v="0"/>
    <n v="0"/>
    <n v="0"/>
    <n v="0"/>
    <n v="0"/>
    <n v="0"/>
    <n v="2673.5"/>
  </r>
  <r>
    <x v="0"/>
    <s v="Straatlaag"/>
    <s v="Ophoogmateriaal (Zand)"/>
    <n v="0"/>
    <n v="0"/>
    <n v="0"/>
    <n v="440.00000000000006"/>
    <n v="237.75"/>
    <n v="62.211249999999993"/>
    <n v="0"/>
    <n v="0"/>
    <n v="0"/>
    <n v="0"/>
    <n v="0"/>
    <n v="0"/>
    <n v="0"/>
    <n v="0"/>
    <n v="0"/>
    <n v="0"/>
    <n v="739.96124999999995"/>
  </r>
  <r>
    <x v="0"/>
    <s v="Toplaag"/>
    <s v="Betonstraatsteen 210x105x80"/>
    <n v="10998.630000000001"/>
    <n v="481.99106"/>
    <n v="583.98365000000001"/>
    <n v="12064.604710000001"/>
    <n v="318.58976396000003"/>
    <n v="723.28470000000004"/>
    <n v="0"/>
    <n v="0"/>
    <n v="0"/>
    <n v="0"/>
    <n v="0"/>
    <n v="0"/>
    <n v="0"/>
    <n v="0"/>
    <n v="0"/>
    <n v="0"/>
    <n v="13106.479173960002"/>
  </r>
  <r>
    <x v="0"/>
    <s v="Zandbed"/>
    <s v="Ophoogmateriaal (Zand)"/>
    <n v="0"/>
    <n v="0"/>
    <n v="0"/>
    <n v="0"/>
    <n v="0"/>
    <n v="0"/>
    <n v="0"/>
    <n v="0"/>
    <n v="0"/>
    <n v="81.497500000000002"/>
    <n v="1680"/>
    <n v="0"/>
    <n v="14"/>
    <n v="0"/>
    <n v="0"/>
    <n v="-1090.25"/>
    <n v="685.24749999999995"/>
  </r>
  <r>
    <x v="0"/>
    <s v="Funderingswapening"/>
    <s v="Geogrid"/>
    <n v="0"/>
    <n v="0"/>
    <n v="0"/>
    <n v="0"/>
    <n v="0"/>
    <n v="0"/>
    <n v="0"/>
    <n v="0"/>
    <n v="0"/>
    <n v="777.7799"/>
    <n v="0.46625909723999998"/>
    <n v="0"/>
    <n v="232.383566046"/>
    <n v="0"/>
    <n v="0"/>
    <n v="-128.22308784000001"/>
    <n v="882.4066373032399"/>
  </r>
  <r>
    <x v="0"/>
    <s v="Menggranulaat"/>
    <s v="Menggranulaat 200mm"/>
    <n v="0"/>
    <n v="0"/>
    <n v="0"/>
    <n v="0"/>
    <n v="0"/>
    <n v="0"/>
    <n v="0"/>
    <n v="0"/>
    <n v="0"/>
    <n v="671"/>
    <n v="647.4"/>
    <n v="0"/>
    <n v="20.6"/>
    <n v="0"/>
    <n v="0"/>
    <n v="16.400000000000002"/>
    <n v="1355.4"/>
  </r>
  <r>
    <x v="0"/>
    <s v="Straatlaag"/>
    <s v="Ophoogmateriaal (Zand)"/>
    <n v="0"/>
    <n v="0"/>
    <n v="0"/>
    <n v="0"/>
    <n v="0"/>
    <n v="0"/>
    <n v="0"/>
    <n v="0"/>
    <n v="0"/>
    <n v="11.6425"/>
    <n v="240"/>
    <n v="0"/>
    <n v="2"/>
    <n v="0"/>
    <n v="0"/>
    <n v="-155.75"/>
    <n v="97.892500000000013"/>
  </r>
  <r>
    <x v="0"/>
    <s v="Toplaag"/>
    <s v="Betonstraatsteen 210x105x80"/>
    <n v="0"/>
    <n v="0"/>
    <n v="0"/>
    <n v="0"/>
    <n v="0"/>
    <n v="0"/>
    <n v="0"/>
    <n v="0"/>
    <n v="0"/>
    <n v="297.4864"/>
    <n v="107.25855680000001"/>
    <n v="141.82248000000001"/>
    <n v="4.7972408"/>
    <n v="0"/>
    <n v="0"/>
    <n v="-389.04024500000003"/>
    <n v="162.32443260000002"/>
  </r>
  <r>
    <x v="1"/>
    <s v="Grondontgraving"/>
    <s v="Ophoogmateriaal (Grond)"/>
    <n v="0"/>
    <n v="0"/>
    <n v="0"/>
    <n v="0"/>
    <n v="0"/>
    <n v="0"/>
    <n v="0"/>
    <n v="0"/>
    <n v="0"/>
    <n v="380.32242731000002"/>
    <n v="5518.0124999999998"/>
    <n v="0"/>
    <n v="44.1"/>
    <n v="0"/>
    <n v="0"/>
    <n v="0"/>
    <n v="5942.4349273100006"/>
  </r>
  <r>
    <x v="1"/>
    <s v="Grondverbetering"/>
    <s v="Ophoogmateriaal (Zand)"/>
    <n v="0"/>
    <n v="0"/>
    <n v="0"/>
    <n v="440.00000000000006"/>
    <n v="237.75"/>
    <n v="62.211249999999993"/>
    <n v="0"/>
    <n v="0"/>
    <n v="0"/>
    <n v="0"/>
    <n v="0"/>
    <n v="0"/>
    <n v="0"/>
    <n v="0"/>
    <n v="0"/>
    <n v="0"/>
    <n v="739.96124999999995"/>
  </r>
  <r>
    <x v="1"/>
    <s v="Waterbergendelaag"/>
    <s v="Kunststof Inflitratiekrat"/>
    <n v="0"/>
    <n v="0"/>
    <n v="0"/>
    <n v="25000"/>
    <n v="1.9600000000000002"/>
    <n v="2950"/>
    <n v="0"/>
    <n v="0"/>
    <n v="0"/>
    <n v="0"/>
    <n v="0"/>
    <n v="0"/>
    <n v="0"/>
    <n v="0"/>
    <n v="0"/>
    <n v="0"/>
    <n v="27951.96"/>
  </r>
  <r>
    <x v="1"/>
    <s v="Menggranulaat"/>
    <s v="Menggranulaat 300mm"/>
    <n v="0"/>
    <n v="0"/>
    <n v="0"/>
    <n v="0"/>
    <n v="722.47500000000002"/>
    <n v="1014.9999999999999"/>
    <n v="0"/>
    <n v="0"/>
    <n v="0"/>
    <n v="0"/>
    <n v="0"/>
    <n v="0"/>
    <n v="0"/>
    <n v="0"/>
    <n v="0"/>
    <n v="0"/>
    <n v="1737.4749999999999"/>
  </r>
  <r>
    <x v="1"/>
    <s v="Straatlaag"/>
    <s v="Ophoogmateriaal (Zand)"/>
    <n v="0"/>
    <n v="0"/>
    <n v="0"/>
    <n v="440.00000000000006"/>
    <n v="237.75"/>
    <n v="62.211249999999993"/>
    <n v="0"/>
    <n v="0"/>
    <n v="0"/>
    <n v="0"/>
    <n v="0"/>
    <n v="0"/>
    <n v="0"/>
    <n v="0"/>
    <n v="0"/>
    <n v="0"/>
    <n v="739.96124999999995"/>
  </r>
  <r>
    <x v="1"/>
    <s v="Toplaag"/>
    <s v="Betonstraatsteen 210x105x80"/>
    <n v="10998.630000000001"/>
    <n v="481.99106"/>
    <n v="583.98365000000001"/>
    <n v="12064.604710000001"/>
    <n v="318.58976396000003"/>
    <n v="723.28470000000004"/>
    <n v="0"/>
    <n v="0"/>
    <n v="0"/>
    <n v="0"/>
    <n v="0"/>
    <n v="0"/>
    <n v="0"/>
    <n v="0"/>
    <n v="0"/>
    <n v="0"/>
    <n v="13106.479173960002"/>
  </r>
  <r>
    <x v="1"/>
    <s v="Grondverbetering"/>
    <s v="Ophoogmateriaal (Zand)"/>
    <n v="0"/>
    <n v="0"/>
    <n v="0"/>
    <n v="0"/>
    <n v="0"/>
    <n v="0"/>
    <n v="0"/>
    <n v="0"/>
    <n v="0"/>
    <n v="11.6425"/>
    <n v="240"/>
    <n v="0"/>
    <n v="2"/>
    <n v="0"/>
    <n v="0"/>
    <n v="-155.75"/>
    <n v="97.892500000000013"/>
  </r>
  <r>
    <x v="1"/>
    <s v="Waterbergendelaag"/>
    <s v="Kunststof Inflitratiekrat"/>
    <n v="0"/>
    <n v="0"/>
    <n v="0"/>
    <n v="0"/>
    <n v="0"/>
    <n v="0"/>
    <n v="0"/>
    <n v="0"/>
    <n v="0"/>
    <n v="850"/>
    <n v="1.82"/>
    <n v="16000"/>
    <n v="90"/>
    <n v="0"/>
    <n v="0"/>
    <n v="-10000"/>
    <n v="6941.82"/>
  </r>
  <r>
    <x v="1"/>
    <s v="Menggranulaat"/>
    <s v="Menggranulaat 300mm"/>
    <n v="0"/>
    <n v="0"/>
    <n v="0"/>
    <n v="0"/>
    <n v="0"/>
    <n v="0"/>
    <n v="0"/>
    <n v="0"/>
    <n v="0"/>
    <n v="335.5"/>
    <n v="731.25"/>
    <n v="0"/>
    <n v="15.450000000000001"/>
    <n v="0"/>
    <n v="0"/>
    <n v="12.3"/>
    <n v="1094.5"/>
  </r>
  <r>
    <x v="1"/>
    <s v="Straatlaag"/>
    <s v="Ophoogmateriaal (Zand)"/>
    <n v="0"/>
    <n v="0"/>
    <n v="0"/>
    <n v="0"/>
    <n v="0"/>
    <n v="0"/>
    <n v="0"/>
    <n v="0"/>
    <n v="0"/>
    <n v="11.6425"/>
    <n v="240"/>
    <n v="0"/>
    <n v="2"/>
    <n v="0"/>
    <n v="0"/>
    <n v="-155.75"/>
    <n v="97.892500000000013"/>
  </r>
  <r>
    <x v="1"/>
    <s v="Toplaag"/>
    <s v="Betonstraatsteen 210x105x80"/>
    <n v="0"/>
    <n v="0"/>
    <n v="0"/>
    <n v="0"/>
    <n v="0"/>
    <n v="0"/>
    <n v="0"/>
    <n v="0"/>
    <n v="0"/>
    <n v="297.4864"/>
    <n v="107.25855680000001"/>
    <n v="141.82248000000001"/>
    <n v="4.7972408"/>
    <n v="0"/>
    <n v="0"/>
    <n v="-389.04024500000003"/>
    <n v="162.32443260000002"/>
  </r>
  <r>
    <x v="2"/>
    <s v="Grondontgraving"/>
    <s v="Ophoogmateriaal (Grond)"/>
    <n v="0"/>
    <n v="0"/>
    <n v="0"/>
    <n v="0"/>
    <n v="0"/>
    <n v="0"/>
    <n v="0"/>
    <n v="0"/>
    <n v="0"/>
    <n v="380.32242731000002"/>
    <n v="5518.0124999999998"/>
    <n v="0"/>
    <n v="44.1"/>
    <n v="0"/>
    <n v="0"/>
    <n v="0"/>
    <n v="5942.4349273100006"/>
  </r>
  <r>
    <x v="2"/>
    <s v="Grondverbetering"/>
    <s v="Ophoogmateriaal (Zand)"/>
    <n v="0"/>
    <n v="0"/>
    <n v="0"/>
    <n v="440.00000000000006"/>
    <n v="237.75"/>
    <n v="62.211249999999993"/>
    <n v="0"/>
    <n v="0"/>
    <n v="0"/>
    <n v="0"/>
    <n v="0"/>
    <n v="0"/>
    <n v="0"/>
    <n v="0"/>
    <n v="0"/>
    <n v="0"/>
    <n v="739.96124999999995"/>
  </r>
  <r>
    <x v="2"/>
    <s v="Waterbergendelaag"/>
    <s v="Rockwool, 50 cm"/>
    <n v="0"/>
    <n v="0"/>
    <n v="0"/>
    <n v="0"/>
    <n v="0"/>
    <n v="0"/>
    <n v="0"/>
    <n v="0"/>
    <n v="0"/>
    <n v="0"/>
    <n v="0"/>
    <n v="0"/>
    <n v="0"/>
    <n v="0"/>
    <n v="0"/>
    <n v="0"/>
    <n v="0"/>
  </r>
  <r>
    <x v="2"/>
    <s v="Menggranulaat"/>
    <s v="Menggranulaat 300mm"/>
    <n v="0"/>
    <n v="0"/>
    <n v="0"/>
    <n v="0"/>
    <n v="722.47500000000002"/>
    <n v="1014.9999999999999"/>
    <n v="0"/>
    <n v="0"/>
    <n v="0"/>
    <n v="0"/>
    <n v="0"/>
    <n v="0"/>
    <n v="0"/>
    <n v="0"/>
    <n v="0"/>
    <n v="0"/>
    <n v="1737.4749999999999"/>
  </r>
  <r>
    <x v="2"/>
    <s v="Straatlaag"/>
    <s v="Ophoogmateriaal (Zand)"/>
    <n v="0"/>
    <n v="0"/>
    <n v="0"/>
    <n v="440.00000000000006"/>
    <n v="237.75"/>
    <n v="62.211249999999993"/>
    <n v="0"/>
    <n v="0"/>
    <n v="0"/>
    <n v="0"/>
    <n v="0"/>
    <n v="0"/>
    <n v="0"/>
    <n v="0"/>
    <n v="0"/>
    <n v="0"/>
    <n v="739.96124999999995"/>
  </r>
  <r>
    <x v="2"/>
    <s v="Toplaag"/>
    <s v="Betonstraatsteen 210x105x80"/>
    <n v="10998.630000000001"/>
    <n v="481.99106"/>
    <n v="583.98365000000001"/>
    <n v="12064.604710000001"/>
    <n v="318.58976396000003"/>
    <n v="723.28470000000004"/>
    <n v="0"/>
    <n v="0"/>
    <n v="0"/>
    <n v="0"/>
    <n v="0"/>
    <n v="0"/>
    <n v="0"/>
    <n v="0"/>
    <n v="0"/>
    <n v="0"/>
    <n v="13106.479173960002"/>
  </r>
  <r>
    <x v="2"/>
    <s v="Grondverbetering"/>
    <s v="Ophoogmateriaal (Zand)"/>
    <n v="0"/>
    <n v="0"/>
    <n v="0"/>
    <n v="0"/>
    <n v="0"/>
    <n v="0"/>
    <n v="0"/>
    <n v="0"/>
    <n v="0"/>
    <n v="11.6425"/>
    <n v="240"/>
    <n v="0"/>
    <n v="2"/>
    <n v="0"/>
    <n v="0"/>
    <n v="-155.75"/>
    <n v="97.892500000000013"/>
  </r>
  <r>
    <x v="2"/>
    <s v="Waterbergendelaag"/>
    <s v="Rockwool, 50 cm"/>
    <n v="0"/>
    <n v="0"/>
    <n v="0"/>
    <n v="0"/>
    <n v="0"/>
    <n v="0"/>
    <n v="0"/>
    <n v="0"/>
    <n v="0"/>
    <n v="0"/>
    <n v="0"/>
    <n v="0"/>
    <n v="0"/>
    <n v="0"/>
    <n v="0"/>
    <n v="0"/>
    <n v="0"/>
  </r>
  <r>
    <x v="2"/>
    <s v="Menggranulaat"/>
    <s v="Menggranulaat 300mm"/>
    <n v="0"/>
    <n v="0"/>
    <n v="0"/>
    <n v="0"/>
    <n v="0"/>
    <n v="0"/>
    <n v="0"/>
    <n v="0"/>
    <n v="0"/>
    <n v="335.5"/>
    <n v="731.25"/>
    <n v="0"/>
    <n v="15.450000000000001"/>
    <n v="0"/>
    <n v="0"/>
    <n v="12.3"/>
    <n v="1094.5"/>
  </r>
  <r>
    <x v="2"/>
    <s v="Straatlaag"/>
    <s v="Ophoogmateriaal (Zand)"/>
    <n v="0"/>
    <n v="0"/>
    <n v="0"/>
    <n v="0"/>
    <n v="0"/>
    <n v="0"/>
    <n v="0"/>
    <n v="0"/>
    <n v="0"/>
    <n v="11.6425"/>
    <n v="240"/>
    <n v="0"/>
    <n v="2"/>
    <n v="0"/>
    <n v="0"/>
    <n v="-155.75"/>
    <n v="97.892500000000013"/>
  </r>
  <r>
    <x v="2"/>
    <s v="Toplaag"/>
    <s v="Betonstraatsteen 210x105x80"/>
    <n v="0"/>
    <n v="0"/>
    <n v="0"/>
    <n v="0"/>
    <n v="0"/>
    <n v="0"/>
    <n v="0"/>
    <n v="0"/>
    <n v="0"/>
    <n v="297.4864"/>
    <n v="107.25855680000001"/>
    <n v="141.82248000000001"/>
    <n v="4.7972408"/>
    <n v="0"/>
    <n v="0"/>
    <n v="-389.04024500000003"/>
    <n v="162.32443260000002"/>
  </r>
  <r>
    <x v="3"/>
    <n v="0"/>
    <n v="0"/>
    <n v="0"/>
    <n v="0"/>
    <n v="0"/>
    <n v="0"/>
    <n v="0"/>
    <n v="0"/>
    <n v="0"/>
    <n v="0"/>
    <n v="0"/>
    <n v="0"/>
    <n v="0"/>
    <n v="0"/>
    <n v="0"/>
    <n v="0"/>
    <n v="0"/>
    <n v="0"/>
    <n v="0"/>
  </r>
  <r>
    <x v="3"/>
    <n v="0"/>
    <n v="0"/>
    <n v="0"/>
    <n v="0"/>
    <n v="0"/>
    <n v="0"/>
    <n v="0"/>
    <n v="0"/>
    <n v="0"/>
    <n v="0"/>
    <n v="0"/>
    <n v="0"/>
    <n v="0"/>
    <n v="0"/>
    <n v="0"/>
    <n v="0"/>
    <n v="0"/>
    <n v="0"/>
    <n v="0"/>
  </r>
  <r>
    <x v="3"/>
    <n v="0"/>
    <n v="0"/>
    <n v="0"/>
    <n v="0"/>
    <n v="0"/>
    <n v="0"/>
    <n v="0"/>
    <n v="0"/>
    <n v="0"/>
    <n v="0"/>
    <n v="0"/>
    <n v="0"/>
    <n v="0"/>
    <n v="0"/>
    <n v="0"/>
    <n v="0"/>
    <n v="0"/>
    <n v="0"/>
    <n v="0"/>
  </r>
  <r>
    <x v="3"/>
    <n v="0"/>
    <n v="0"/>
    <n v="0"/>
    <n v="0"/>
    <n v="0"/>
    <n v="0"/>
    <n v="0"/>
    <n v="0"/>
    <n v="0"/>
    <n v="0"/>
    <n v="0"/>
    <n v="0"/>
    <n v="0"/>
    <n v="0"/>
    <n v="0"/>
    <n v="0"/>
    <n v="0"/>
    <n v="0"/>
    <n v="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ACE24A8B-4A32-438A-A189-019C146AE3F0}" name="PivotTable2" cacheId="42485"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chartFormat="3">
  <location ref="CH3:CS12" firstHeaderRow="0" firstDataRow="1" firstDataCol="1" rowPageCount="1" colPageCount="1"/>
  <pivotFields count="20">
    <pivotField axis="axisPage" multipleItemSelectionAllowed="1" showAll="0">
      <items count="5">
        <item h="1" x="3"/>
        <item x="0"/>
        <item x="1"/>
        <item x="2"/>
        <item t="default"/>
      </items>
    </pivotField>
    <pivotField axis="axisRow" showAll="0">
      <items count="10">
        <item x="8"/>
        <item x="2"/>
        <item x="6"/>
        <item x="3"/>
        <item x="4"/>
        <item x="5"/>
        <item x="7"/>
        <item x="1"/>
        <item x="0"/>
        <item t="default"/>
      </items>
    </pivotField>
    <pivotField showAll="0"/>
    <pivotField showAll="0"/>
    <pivotField showAll="0"/>
    <pivotField showAll="0"/>
    <pivotField dataField="1" numFmtId="167"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showAll="0"/>
    <pivotField showAll="0"/>
    <pivotField dataField="1" numFmtId="167" showAll="0"/>
    <pivotField showAll="0"/>
  </pivotFields>
  <rowFields count="1">
    <field x="1"/>
  </rowFields>
  <rowItems count="9">
    <i>
      <x v="1"/>
    </i>
    <i>
      <x v="2"/>
    </i>
    <i>
      <x v="3"/>
    </i>
    <i>
      <x v="4"/>
    </i>
    <i>
      <x v="5"/>
    </i>
    <i>
      <x v="6"/>
    </i>
    <i>
      <x v="7"/>
    </i>
    <i>
      <x v="8"/>
    </i>
    <i t="grand">
      <x/>
    </i>
  </rowItems>
  <colFields count="1">
    <field x="-2"/>
  </colFields>
  <colItems count="11">
    <i>
      <x/>
    </i>
    <i i="1">
      <x v="1"/>
    </i>
    <i i="2">
      <x v="2"/>
    </i>
    <i i="3">
      <x v="3"/>
    </i>
    <i i="4">
      <x v="4"/>
    </i>
    <i i="5">
      <x v="5"/>
    </i>
    <i i="6">
      <x v="6"/>
    </i>
    <i i="7">
      <x v="7"/>
    </i>
    <i i="8">
      <x v="8"/>
    </i>
    <i i="9">
      <x v="9"/>
    </i>
    <i i="10">
      <x v="10"/>
    </i>
  </colItems>
  <pageFields count="1">
    <pageField fld="0" hier="-1"/>
  </pageFields>
  <dataFields count="11">
    <dataField name="Sum of A1-A3" fld="6" baseField="0" baseItem="0"/>
    <dataField name="Sum of A4" fld="7" baseField="0" baseItem="0"/>
    <dataField name="Sum of A5" fld="8" baseField="0" baseItem="0"/>
    <dataField name="Sum of B1" fld="9" baseField="0" baseItem="0"/>
    <dataField name="Sum of B3" fld="10" baseField="0" baseItem="0"/>
    <dataField name="Sum of B4" fld="11" baseField="0" baseItem="0"/>
    <dataField name="Sum of C1" fld="12" baseField="0" baseItem="0"/>
    <dataField name="Sum of C2" fld="13" baseField="0" baseItem="0"/>
    <dataField name="Sum of C3" fld="14" baseField="0" baseItem="0"/>
    <dataField name="Sum of C4" fld="15" baseField="0" baseItem="0"/>
    <dataField name="Sum of D" fld="18" baseField="0" baseItem="0"/>
  </dataFields>
  <chartFormats count="11">
    <chartFormat chart="2" format="43" series="1">
      <pivotArea type="data" outline="0" fieldPosition="0">
        <references count="1">
          <reference field="4294967294" count="1" selected="0">
            <x v="0"/>
          </reference>
        </references>
      </pivotArea>
    </chartFormat>
    <chartFormat chart="2" format="44" series="1">
      <pivotArea type="data" outline="0" fieldPosition="0">
        <references count="1">
          <reference field="4294967294" count="1" selected="0">
            <x v="1"/>
          </reference>
        </references>
      </pivotArea>
    </chartFormat>
    <chartFormat chart="2" format="45" series="1">
      <pivotArea type="data" outline="0" fieldPosition="0">
        <references count="1">
          <reference field="4294967294" count="1" selected="0">
            <x v="2"/>
          </reference>
        </references>
      </pivotArea>
    </chartFormat>
    <chartFormat chart="2" format="46" series="1">
      <pivotArea type="data" outline="0" fieldPosition="0">
        <references count="1">
          <reference field="4294967294" count="1" selected="0">
            <x v="3"/>
          </reference>
        </references>
      </pivotArea>
    </chartFormat>
    <chartFormat chart="2" format="47" series="1">
      <pivotArea type="data" outline="0" fieldPosition="0">
        <references count="1">
          <reference field="4294967294" count="1" selected="0">
            <x v="4"/>
          </reference>
        </references>
      </pivotArea>
    </chartFormat>
    <chartFormat chart="2" format="48" series="1">
      <pivotArea type="data" outline="0" fieldPosition="0">
        <references count="1">
          <reference field="4294967294" count="1" selected="0">
            <x v="5"/>
          </reference>
        </references>
      </pivotArea>
    </chartFormat>
    <chartFormat chart="2" format="49" series="1">
      <pivotArea type="data" outline="0" fieldPosition="0">
        <references count="1">
          <reference field="4294967294" count="1" selected="0">
            <x v="6"/>
          </reference>
        </references>
      </pivotArea>
    </chartFormat>
    <chartFormat chart="2" format="50" series="1">
      <pivotArea type="data" outline="0" fieldPosition="0">
        <references count="1">
          <reference field="4294967294" count="1" selected="0">
            <x v="7"/>
          </reference>
        </references>
      </pivotArea>
    </chartFormat>
    <chartFormat chart="2" format="51" series="1">
      <pivotArea type="data" outline="0" fieldPosition="0">
        <references count="1">
          <reference field="4294967294" count="1" selected="0">
            <x v="8"/>
          </reference>
        </references>
      </pivotArea>
    </chartFormat>
    <chartFormat chart="2" format="52" series="1">
      <pivotArea type="data" outline="0" fieldPosition="0">
        <references count="1">
          <reference field="4294967294" count="1" selected="0">
            <x v="9"/>
          </reference>
        </references>
      </pivotArea>
    </chartFormat>
    <chartFormat chart="2" format="53" series="1">
      <pivotArea type="data" outline="0" fieldPosition="0">
        <references count="1">
          <reference field="4294967294" count="1" selected="0">
            <x v="10"/>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A8BDF468-CA80-4489-B77B-99EC97BA0931}" name="PivotTable1" cacheId="42485"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chartFormat="4">
  <location ref="BJ4:BS9" firstHeaderRow="1" firstDataRow="2" firstDataCol="1" rowPageCount="1" colPageCount="1"/>
  <pivotFields count="20">
    <pivotField axis="axisRow" showAll="0">
      <items count="5">
        <item h="1" x="3"/>
        <item x="0"/>
        <item x="1"/>
        <item x="2"/>
        <item t="default"/>
      </items>
    </pivotField>
    <pivotField axis="axisCol" showAll="0">
      <items count="10">
        <item x="8"/>
        <item x="2"/>
        <item x="6"/>
        <item x="3"/>
        <item x="4"/>
        <item x="5"/>
        <item x="7"/>
        <item x="1"/>
        <item x="0"/>
        <item t="default"/>
      </items>
    </pivotField>
    <pivotField axis="axisPage" showAll="0">
      <items count="10">
        <item x="8"/>
        <item x="4"/>
        <item x="2"/>
        <item x="5"/>
        <item x="3"/>
        <item x="6"/>
        <item x="1"/>
        <item x="7"/>
        <item x="0"/>
        <item t="default"/>
      </items>
    </pivotField>
    <pivotField showAll="0"/>
    <pivotField showAll="0"/>
    <pivotField showAll="0"/>
    <pivotField numFmtId="167" showAll="0"/>
    <pivotField showAll="0"/>
    <pivotField showAll="0"/>
    <pivotField showAll="0"/>
    <pivotField showAll="0"/>
    <pivotField showAll="0"/>
    <pivotField showAll="0"/>
    <pivotField showAll="0"/>
    <pivotField showAll="0"/>
    <pivotField showAll="0"/>
    <pivotField showAll="0"/>
    <pivotField showAll="0"/>
    <pivotField numFmtId="167" showAll="0"/>
    <pivotField dataField="1" showAll="0"/>
  </pivotFields>
  <rowFields count="1">
    <field x="0"/>
  </rowFields>
  <rowItems count="4">
    <i>
      <x v="1"/>
    </i>
    <i>
      <x v="2"/>
    </i>
    <i>
      <x v="3"/>
    </i>
    <i t="grand">
      <x/>
    </i>
  </rowItems>
  <colFields count="1">
    <field x="1"/>
  </colFields>
  <colItems count="9">
    <i>
      <x v="1"/>
    </i>
    <i>
      <x v="2"/>
    </i>
    <i>
      <x v="3"/>
    </i>
    <i>
      <x v="4"/>
    </i>
    <i>
      <x v="5"/>
    </i>
    <i>
      <x v="6"/>
    </i>
    <i>
      <x v="7"/>
    </i>
    <i>
      <x v="8"/>
    </i>
    <i t="grand">
      <x/>
    </i>
  </colItems>
  <pageFields count="1">
    <pageField fld="2" hier="-1"/>
  </pageFields>
  <dataFields count="1">
    <dataField name="Sum of Totaal" fld="19" baseField="0" baseItem="0"/>
  </dataFields>
  <chartFormats count="12">
    <chartFormat chart="2" format="66" series="1">
      <pivotArea type="data" outline="0" fieldPosition="0">
        <references count="1">
          <reference field="4294967294" count="1" selected="0">
            <x v="0"/>
          </reference>
        </references>
      </pivotArea>
    </chartFormat>
    <chartFormat chart="2" format="67" series="1">
      <pivotArea type="data" outline="0" fieldPosition="0">
        <references count="2">
          <reference field="4294967294" count="1" selected="0">
            <x v="0"/>
          </reference>
          <reference field="0" count="1" selected="0">
            <x v="1"/>
          </reference>
        </references>
      </pivotArea>
    </chartFormat>
    <chartFormat chart="2" format="68" series="1">
      <pivotArea type="data" outline="0" fieldPosition="0">
        <references count="2">
          <reference field="4294967294" count="1" selected="0">
            <x v="0"/>
          </reference>
          <reference field="0" count="1" selected="0">
            <x v="2"/>
          </reference>
        </references>
      </pivotArea>
    </chartFormat>
    <chartFormat chart="2" format="69" series="1">
      <pivotArea type="data" outline="0" fieldPosition="0">
        <references count="2">
          <reference field="4294967294" count="1" selected="0">
            <x v="0"/>
          </reference>
          <reference field="0" count="1" selected="0">
            <x v="3"/>
          </reference>
        </references>
      </pivotArea>
    </chartFormat>
    <chartFormat chart="2" format="70" series="1">
      <pivotArea type="data" outline="0" fieldPosition="0">
        <references count="2">
          <reference field="4294967294" count="1" selected="0">
            <x v="0"/>
          </reference>
          <reference field="1" count="1" selected="0">
            <x v="1"/>
          </reference>
        </references>
      </pivotArea>
    </chartFormat>
    <chartFormat chart="2" format="71" series="1">
      <pivotArea type="data" outline="0" fieldPosition="0">
        <references count="2">
          <reference field="4294967294" count="1" selected="0">
            <x v="0"/>
          </reference>
          <reference field="1" count="1" selected="0">
            <x v="2"/>
          </reference>
        </references>
      </pivotArea>
    </chartFormat>
    <chartFormat chart="2" format="72" series="1">
      <pivotArea type="data" outline="0" fieldPosition="0">
        <references count="2">
          <reference field="4294967294" count="1" selected="0">
            <x v="0"/>
          </reference>
          <reference field="1" count="1" selected="0">
            <x v="3"/>
          </reference>
        </references>
      </pivotArea>
    </chartFormat>
    <chartFormat chart="2" format="73" series="1">
      <pivotArea type="data" outline="0" fieldPosition="0">
        <references count="2">
          <reference field="4294967294" count="1" selected="0">
            <x v="0"/>
          </reference>
          <reference field="1" count="1" selected="0">
            <x v="4"/>
          </reference>
        </references>
      </pivotArea>
    </chartFormat>
    <chartFormat chart="2" format="74" series="1">
      <pivotArea type="data" outline="0" fieldPosition="0">
        <references count="2">
          <reference field="4294967294" count="1" selected="0">
            <x v="0"/>
          </reference>
          <reference field="1" count="1" selected="0">
            <x v="5"/>
          </reference>
        </references>
      </pivotArea>
    </chartFormat>
    <chartFormat chart="2" format="75" series="1">
      <pivotArea type="data" outline="0" fieldPosition="0">
        <references count="2">
          <reference field="4294967294" count="1" selected="0">
            <x v="0"/>
          </reference>
          <reference field="1" count="1" selected="0">
            <x v="6"/>
          </reference>
        </references>
      </pivotArea>
    </chartFormat>
    <chartFormat chart="2" format="76" series="1">
      <pivotArea type="data" outline="0" fieldPosition="0">
        <references count="2">
          <reference field="4294967294" count="1" selected="0">
            <x v="0"/>
          </reference>
          <reference field="1" count="1" selected="0">
            <x v="7"/>
          </reference>
        </references>
      </pivotArea>
    </chartFormat>
    <chartFormat chart="2" format="77" series="1">
      <pivotArea type="data" outline="0" fieldPosition="0">
        <references count="2">
          <reference field="4294967294" count="1" selected="0">
            <x v="0"/>
          </reference>
          <reference field="1" count="1" selected="0">
            <x v="8"/>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57A72990-C840-4A8A-B5CA-D7B07D221247}" name="Draaitabel2" cacheId="42486" applyNumberFormats="0" applyBorderFormats="0" applyFontFormats="0" applyPatternFormats="0" applyAlignmentFormats="0" applyWidthHeightFormats="1" dataCaption="Waarden" updatedVersion="8" minRefreshableVersion="3" useAutoFormatting="1" itemPrintTitles="1" createdVersion="7" indent="0" outline="1" outlineData="1" multipleFieldFilters="0" chartFormat="3">
  <location ref="Z90:AB94" firstHeaderRow="0" firstDataRow="1" firstDataCol="1"/>
  <pivotFields count="13">
    <pivotField axis="axisRow" showAll="0">
      <items count="5">
        <item h="1" x="3"/>
        <item x="0"/>
        <item x="2"/>
        <item x="1"/>
        <item t="default"/>
      </items>
    </pivotField>
    <pivotField showAll="0"/>
    <pivotField showAll="0"/>
    <pivotField numFmtId="169" showAll="0"/>
    <pivotField numFmtId="9" showAll="0"/>
    <pivotField numFmtId="169" showAll="0"/>
    <pivotField numFmtId="169" showAll="0"/>
    <pivotField numFmtId="169" showAll="0"/>
    <pivotField numFmtId="169" showAll="0"/>
    <pivotField numFmtId="169" showAll="0"/>
    <pivotField dataField="1" showAll="0"/>
    <pivotField dataField="1" showAll="0"/>
    <pivotField showAll="0"/>
  </pivotFields>
  <rowFields count="1">
    <field x="0"/>
  </rowFields>
  <rowItems count="4">
    <i>
      <x v="1"/>
    </i>
    <i>
      <x v="2"/>
    </i>
    <i>
      <x v="3"/>
    </i>
    <i t="grand">
      <x/>
    </i>
  </rowItems>
  <colFields count="1">
    <field x="-2"/>
  </colFields>
  <colItems count="2">
    <i>
      <x/>
    </i>
    <i i="1">
      <x v="1"/>
    </i>
  </colItems>
  <dataFields count="2">
    <dataField name="Primair Materieelgebruik" fld="10" baseField="0" baseItem="0"/>
    <dataField name="Secundair Materieelgebruik" fld="11" baseField="0" baseItem="0"/>
  </dataFields>
  <formats count="1">
    <format dxfId="1452">
      <pivotArea outline="0" collapsedLevelsAreSubtotals="1" fieldPosition="0"/>
    </format>
  </formats>
  <chartFormats count="2">
    <chartFormat chart="2" format="79" series="1">
      <pivotArea type="data" outline="0" fieldPosition="0">
        <references count="1">
          <reference field="4294967294" count="1" selected="0">
            <x v="0"/>
          </reference>
        </references>
      </pivotArea>
    </chartFormat>
    <chartFormat chart="2" format="80" series="1">
      <pivotArea type="data" outline="0" fieldPosition="0">
        <references count="1">
          <reference field="4294967294" count="1" selected="0">
            <x v="1"/>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C9C22A41-0C96-47B6-9438-1C7163391DA0}" name="Draaitabel30" cacheId="42487" applyNumberFormats="0" applyBorderFormats="0" applyFontFormats="0" applyPatternFormats="0" applyAlignmentFormats="0" applyWidthHeightFormats="1" dataCaption="Waarden" updatedVersion="8" minRefreshableVersion="3" useAutoFormatting="1" itemPrintTitles="1" createdVersion="7" indent="0" outline="1" outlineData="1" multipleFieldFilters="0" chartFormat="7">
  <location ref="AC45:AD49" firstHeaderRow="1" firstDataRow="1" firstDataCol="1"/>
  <pivotFields count="20">
    <pivotField axis="axisRow" showAll="0">
      <items count="5">
        <item h="1" x="3"/>
        <item x="0"/>
        <item x="2"/>
        <item x="1"/>
        <item t="default"/>
      </items>
    </pivotField>
    <pivotField showAll="0"/>
    <pivotField showAll="0"/>
    <pivotField numFmtId="3" showAll="0"/>
    <pivotField numFmtId="3" showAll="0"/>
    <pivotField numFmtId="3" showAll="0"/>
    <pivotField numFmtId="3" showAll="0"/>
    <pivotField numFmtId="3" showAll="0"/>
    <pivotField numFmtId="3" showAll="0"/>
    <pivotField numFmtId="3" showAll="0"/>
    <pivotField showAll="0"/>
    <pivotField numFmtId="3" showAll="0"/>
    <pivotField numFmtId="3" showAll="0"/>
    <pivotField numFmtId="3" showAll="0"/>
    <pivotField numFmtId="3" showAll="0"/>
    <pivotField numFmtId="3" showAll="0"/>
    <pivotField numFmtId="3" showAll="0"/>
    <pivotField numFmtId="3" showAll="0"/>
    <pivotField numFmtId="3" showAll="0"/>
    <pivotField dataField="1" numFmtId="3" showAll="0"/>
  </pivotFields>
  <rowFields count="1">
    <field x="0"/>
  </rowFields>
  <rowItems count="4">
    <i>
      <x v="1"/>
    </i>
    <i>
      <x v="2"/>
    </i>
    <i>
      <x v="3"/>
    </i>
    <i t="grand">
      <x/>
    </i>
  </rowItems>
  <colItems count="1">
    <i/>
  </colItems>
  <dataFields count="1">
    <dataField name="Som van Totaal" fld="19" baseField="0" baseItem="0" numFmtId="168"/>
  </dataFields>
  <formats count="2">
    <format dxfId="1450">
      <pivotArea outline="0" collapsedLevelsAreSubtotals="1" fieldPosition="0"/>
    </format>
    <format dxfId="1451">
      <pivotArea dataOnly="0" labelOnly="1" outline="0" axis="axisValues" fieldPosition="0"/>
    </format>
  </formats>
  <chartFormats count="1">
    <chartFormat chart="2" format="16" series="1">
      <pivotArea type="data" outline="0" fieldPosition="0">
        <references count="1">
          <reference field="4294967294" count="1" selected="0">
            <x v="0"/>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5.xml><?xml version="1.0" encoding="utf-8"?>
<pivotTableDefinition xmlns="http://schemas.openxmlformats.org/spreadsheetml/2006/main" xmlns:mc="http://schemas.openxmlformats.org/markup-compatibility/2006" xmlns:xr="http://schemas.microsoft.com/office/spreadsheetml/2014/revision" mc:Ignorable="xr" xr:uid="{DF044C1A-CAE8-4539-AE70-729A42044D05}" name="Draaitabel1" cacheId="42485" applyNumberFormats="0" applyBorderFormats="0" applyFontFormats="0" applyPatternFormats="0" applyAlignmentFormats="0" applyWidthHeightFormats="1" dataCaption="Values" updatedVersion="8" minRefreshableVersion="3" useAutoFormatting="1" itemPrintTitles="1" createdVersion="7" indent="0" outline="1" outlineData="1" multipleFieldFilters="0" chartFormat="7">
  <location ref="AC3:AN7" firstHeaderRow="0" firstDataRow="1" firstDataCol="1"/>
  <pivotFields count="20">
    <pivotField axis="axisRow" showAll="0">
      <items count="5">
        <item h="1" x="3"/>
        <item x="0"/>
        <item x="1"/>
        <item x="2"/>
        <item t="default"/>
      </items>
    </pivotField>
    <pivotField showAll="0"/>
    <pivotField showAll="0"/>
    <pivotField showAll="0"/>
    <pivotField showAll="0"/>
    <pivotField showAll="0"/>
    <pivotField dataField="1" numFmtId="167"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showAll="0"/>
    <pivotField showAll="0"/>
    <pivotField dataField="1" numFmtId="167" showAll="0"/>
    <pivotField showAll="0"/>
  </pivotFields>
  <rowFields count="1">
    <field x="0"/>
  </rowFields>
  <rowItems count="4">
    <i>
      <x v="1"/>
    </i>
    <i>
      <x v="2"/>
    </i>
    <i>
      <x v="3"/>
    </i>
    <i t="grand">
      <x/>
    </i>
  </rowItems>
  <colFields count="1">
    <field x="-2"/>
  </colFields>
  <colItems count="11">
    <i>
      <x/>
    </i>
    <i i="1">
      <x v="1"/>
    </i>
    <i i="2">
      <x v="2"/>
    </i>
    <i i="3">
      <x v="3"/>
    </i>
    <i i="4">
      <x v="4"/>
    </i>
    <i i="5">
      <x v="5"/>
    </i>
    <i i="6">
      <x v="6"/>
    </i>
    <i i="7">
      <x v="7"/>
    </i>
    <i i="8">
      <x v="8"/>
    </i>
    <i i="9">
      <x v="9"/>
    </i>
    <i i="10">
      <x v="10"/>
    </i>
  </colItems>
  <dataFields count="11">
    <dataField name="Sum of A1-A3" fld="6" baseField="0" baseItem="0"/>
    <dataField name="Sum of A4" fld="7" baseField="0" baseItem="0"/>
    <dataField name="Sum of A5" fld="8" baseField="0" baseItem="0"/>
    <dataField name="Sum of B1" fld="9" baseField="0" baseItem="0"/>
    <dataField name="Sum of B3" fld="10" baseField="0" baseItem="0"/>
    <dataField name="Sum of B4" fld="11" baseField="0" baseItem="0"/>
    <dataField name="Sum of C1" fld="12" baseField="0" baseItem="0"/>
    <dataField name="Sum of C2" fld="13" baseField="0" baseItem="0"/>
    <dataField name="Sum of C3" fld="14" baseField="0" baseItem="0"/>
    <dataField name="Sum of C4" fld="15" baseField="0" baseItem="0"/>
    <dataField name="Sum of D" fld="18" baseField="0" baseItem="0"/>
  </dataFields>
  <chartFormats count="11">
    <chartFormat chart="4" format="131" series="1">
      <pivotArea type="data" outline="0" fieldPosition="0">
        <references count="1">
          <reference field="4294967294" count="1" selected="0">
            <x v="1"/>
          </reference>
        </references>
      </pivotArea>
    </chartFormat>
    <chartFormat chart="4" format="132" series="1">
      <pivotArea type="data" outline="0" fieldPosition="0">
        <references count="1">
          <reference field="4294967294" count="1" selected="0">
            <x v="2"/>
          </reference>
        </references>
      </pivotArea>
    </chartFormat>
    <chartFormat chart="4" format="133" series="1">
      <pivotArea type="data" outline="0" fieldPosition="0">
        <references count="1">
          <reference field="4294967294" count="1" selected="0">
            <x v="3"/>
          </reference>
        </references>
      </pivotArea>
    </chartFormat>
    <chartFormat chart="4" format="135" series="1">
      <pivotArea type="data" outline="0" fieldPosition="0">
        <references count="1">
          <reference field="4294967294" count="1" selected="0">
            <x v="5"/>
          </reference>
        </references>
      </pivotArea>
    </chartFormat>
    <chartFormat chart="4" format="136" series="1">
      <pivotArea type="data" outline="0" fieldPosition="0">
        <references count="1">
          <reference field="4294967294" count="1" selected="0">
            <x v="6"/>
          </reference>
        </references>
      </pivotArea>
    </chartFormat>
    <chartFormat chart="4" format="137" series="1">
      <pivotArea type="data" outline="0" fieldPosition="0">
        <references count="1">
          <reference field="4294967294" count="1" selected="0">
            <x v="0"/>
          </reference>
        </references>
      </pivotArea>
    </chartFormat>
    <chartFormat chart="4" format="138" series="1">
      <pivotArea type="data" outline="0" fieldPosition="0">
        <references count="1">
          <reference field="4294967294" count="1" selected="0">
            <x v="7"/>
          </reference>
        </references>
      </pivotArea>
    </chartFormat>
    <chartFormat chart="4" format="139" series="1">
      <pivotArea type="data" outline="0" fieldPosition="0">
        <references count="1">
          <reference field="4294967294" count="1" selected="0">
            <x v="8"/>
          </reference>
        </references>
      </pivotArea>
    </chartFormat>
    <chartFormat chart="4" format="140" series="1">
      <pivotArea type="data" outline="0" fieldPosition="0">
        <references count="1">
          <reference field="4294967294" count="1" selected="0">
            <x v="9"/>
          </reference>
        </references>
      </pivotArea>
    </chartFormat>
    <chartFormat chart="4" format="141" series="1">
      <pivotArea type="data" outline="0" fieldPosition="0">
        <references count="1">
          <reference field="4294967294" count="1" selected="0">
            <x v="10"/>
          </reference>
        </references>
      </pivotArea>
    </chartFormat>
    <chartFormat chart="4" format="143" series="1">
      <pivotArea type="data" outline="0" fieldPosition="0">
        <references count="1">
          <reference field="4294967294" count="1" selected="0">
            <x v="4"/>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eGegevens_2" connectionId="3" xr16:uid="{D4CE5DB0-13B3-4F16-8A97-7C6C5E3709C8}" autoFormatId="16" applyNumberFormats="0" applyBorderFormats="0" applyFontFormats="0" applyPatternFormats="0" applyAlignmentFormats="0" applyWidthHeightFormats="0">
  <queryTableRefresh nextId="688">
    <queryTableFields count="129">
      <queryTableField id="356" name="Client" tableColumnId="3"/>
      <queryTableField id="656" name="Contractor" tableColumnId="118"/>
      <queryTableField id="475" name="Project_ID" tableColumnId="1"/>
      <queryTableField id="476" name="Project_lifespan" tableColumnId="2"/>
      <queryTableField id="477" name="Project_date" tableColumnId="4"/>
      <queryTableField id="654" name="Version" tableColumnId="117"/>
      <queryTableField id="664" name="Category" tableColumnId="123"/>
      <queryTableField id="660" name="Total_units" tableColumnId="121"/>
      <queryTableField id="661" name="Unit" tableColumnId="122"/>
      <queryTableField id="478" name="RAW_ID" tableColumnId="5"/>
      <queryTableField id="139" name="Workscope" tableColumnId="8"/>
      <queryTableField id="140" name="Price" tableColumnId="9"/>
      <queryTableField id="141" name="Productgroup" tableColumnId="10"/>
      <queryTableField id="6" name="Product" tableColumnId="6"/>
      <queryTableField id="463" name="Producttype" tableColumnId="115"/>
      <queryTableField id="461" name="Surface[m2]" tableColumnId="113"/>
      <queryTableField id="462" name="Thickness[m]" tableColumnId="114"/>
      <queryTableField id="479" name="Specific_Weight[ton/m3]" tableColumnId="7"/>
      <queryTableField id="144" name="Amount[m3]" tableColumnId="13"/>
      <queryTableField id="666" name="A5 - Capaciteit over materieel [Eenheden / uur]" tableColumnId="124"/>
      <queryTableField id="143" name="Amount[ton]" tableColumnId="12"/>
      <queryTableField id="145" name="Replacements" tableColumnId="14"/>
      <queryTableField id="667" name="C1 - Capaciteit overig materieel [Eenheden / uur]" tableColumnId="125"/>
      <queryTableField id="480" name="A4_Transport_distance_to_construction_site[km]" tableColumnId="11"/>
      <queryTableField id="481" name="A4_Transportmode_to_construction_site" tableColumnId="15"/>
      <queryTableField id="638" name="A5_Asphalt_construction_set" tableColumnId="110"/>
      <queryTableField id="483" name="A5_Other_construction_equipment" tableColumnId="17"/>
      <queryTableField id="484" name="C1_Asphalt_removal_set" tableColumnId="18"/>
      <queryTableField id="485" name="C1_Other_removal_equipment" tableColumnId="19"/>
      <queryTableField id="486" name="C2_Transportdistance_to_processor[km]" tableColumnId="20"/>
      <queryTableField id="487" name="C2_Transportmode_to_processor" tableColumnId="21"/>
      <queryTableField id="488" name="C3_Processingset" tableColumnId="22"/>
      <queryTableField id="155" name="Assumptions" tableColumnId="24"/>
      <queryTableField id="489" name="ECI_Total.A1" tableColumnId="23"/>
      <queryTableField id="490" name="ECI_Total.A2" tableColumnId="25"/>
      <queryTableField id="491" name="ECI_Total.A3" tableColumnId="26"/>
      <queryTableField id="670" name="ECI_total.A1-A3" tableColumnId="126"/>
      <queryTableField id="492" name="ECI_Total.A4" tableColumnId="27"/>
      <queryTableField id="493" name="ECI_Total.A5" tableColumnId="28"/>
      <queryTableField id="494" name="ECI_Total.B1" tableColumnId="29"/>
      <queryTableField id="495" name="ECI_Total.B4" tableColumnId="30"/>
      <queryTableField id="496" name="ECI_Total.C1" tableColumnId="31"/>
      <queryTableField id="497" name="ECI_Total.C2" tableColumnId="32"/>
      <queryTableField id="498" name="ECI_Total.C3" tableColumnId="33"/>
      <queryTableField id="499" name="ECI_Total.C4" tableColumnId="34"/>
      <queryTableField id="500" name="ECI_Total.D1" tableColumnId="35"/>
      <queryTableField id="501" name="ECI_Total.D2" tableColumnId="36"/>
      <queryTableField id="671" name="ECI_total.D" tableColumnId="127"/>
      <queryTableField id="502" name="ECI_Total.Total" tableColumnId="37"/>
      <queryTableField id="503" name="CO2_Total.A1" tableColumnId="38"/>
      <queryTableField id="504" name="CO2_Total.A2" tableColumnId="39"/>
      <queryTableField id="505" name="CO2_Total.A3" tableColumnId="40"/>
      <queryTableField id="672" name="CO2_total.A1-A3" tableColumnId="128"/>
      <queryTableField id="506" name="CO2_Total.A4" tableColumnId="41"/>
      <queryTableField id="507" name="CO2_Total.A5" tableColumnId="42"/>
      <queryTableField id="508" name="CO2_Total.B1" tableColumnId="43"/>
      <queryTableField id="509" name="CO2_Total.B4" tableColumnId="44"/>
      <queryTableField id="510" name="CO2_Total.C1" tableColumnId="45"/>
      <queryTableField id="511" name="CO2_Total.C2" tableColumnId="46"/>
      <queryTableField id="512" name="CO2_Total.C3" tableColumnId="47"/>
      <queryTableField id="513" name="CO2_Total.C4" tableColumnId="48"/>
      <queryTableField id="514" name="CO2_Total.D1" tableColumnId="49"/>
      <queryTableField id="515" name="CO2_Total.D2" tableColumnId="50"/>
      <queryTableField id="673" name="CO2_total.D" tableColumnId="129"/>
      <queryTableField id="516" name="CO2_Total.Total" tableColumnId="51"/>
      <queryTableField id="517" name="Material_Total.Amount[ton]" tableColumnId="52"/>
      <queryTableField id="518" name="Material_Total.%Secundary" tableColumnId="53"/>
      <queryTableField id="519" name="Material_Total.Primary[ton]" tableColumnId="54"/>
      <queryTableField id="520" name="Material_Total.Secundary[ton]" tableColumnId="55"/>
      <queryTableField id="521" name="Material_Total.Amount_Replacements[ton]" tableColumnId="56"/>
      <queryTableField id="522" name="Material_Total.Primary_Replacements[ton]" tableColumnId="57"/>
      <queryTableField id="523" name="Material_Total.Secundary_Replacements[ton]" tableColumnId="58"/>
      <queryTableField id="524" name="Material_Total.Total_Primary[ton]" tableColumnId="59"/>
      <queryTableField id="525" name="Material_Total.Total_Secundary[ton]" tableColumnId="60"/>
      <queryTableField id="526" name="Material_Total.Total[ton]" tableColumnId="61"/>
      <queryTableField id="527" name="Renewable_Energy_Total.A1" tableColumnId="62"/>
      <queryTableField id="528" name="Renewable_Energy_Total.A2" tableColumnId="63"/>
      <queryTableField id="529" name="Renewable_Energy_Total.A3" tableColumnId="64"/>
      <queryTableField id="674" name="Renewable_energy_total.A1-A3" tableColumnId="130"/>
      <queryTableField id="530" name="Renewable_Energy_Total.A4" tableColumnId="65"/>
      <queryTableField id="531" name="Renewable_Energy_Total.A5" tableColumnId="66"/>
      <queryTableField id="532" name="Renewable_Energy_Total.B1" tableColumnId="67"/>
      <queryTableField id="533" name="Renewable_Energy_Total.B4" tableColumnId="68"/>
      <queryTableField id="534" name="Renewable_Energy_Total.C1" tableColumnId="69"/>
      <queryTableField id="535" name="Renewable_Energy_Total.C2" tableColumnId="70"/>
      <queryTableField id="536" name="Renewable_Energy_Total.C3" tableColumnId="71"/>
      <queryTableField id="537" name="Renewable_Energy_Total.C4" tableColumnId="72"/>
      <queryTableField id="640" name="Renewable_Energy_Total.D1" tableColumnId="111"/>
      <queryTableField id="538" name="Renewable_Energy_Total.D2" tableColumnId="73"/>
      <queryTableField id="675" name="Renewable_energy_total.D" tableColumnId="131"/>
      <queryTableField id="539" name="Renewable_Energy_Total.Total" tableColumnId="74"/>
      <queryTableField id="540" name="Fossil_Energy_Total.A1" tableColumnId="76"/>
      <queryTableField id="541" name="Fossil_Energy_Total.A2" tableColumnId="77"/>
      <queryTableField id="542" name="Fossil_Energy_Total.A3" tableColumnId="78"/>
      <queryTableField id="676" name="Fossil_energy_total.A1-A3" tableColumnId="132"/>
      <queryTableField id="543" name="Fossil_Energy_Total.A4" tableColumnId="79"/>
      <queryTableField id="544" name="Fossil_Energy_Total.A5" tableColumnId="80"/>
      <queryTableField id="545" name="Fossil_Energy_Total.B1" tableColumnId="81"/>
      <queryTableField id="546" name="Fossil_Energy_Total.B4" tableColumnId="82"/>
      <queryTableField id="547" name="Fossil_Energy_Total.C1" tableColumnId="83"/>
      <queryTableField id="548" name="Fossil_Energy_Total.C2" tableColumnId="84"/>
      <queryTableField id="549" name="Fossil_Energy_Total.C3" tableColumnId="85"/>
      <queryTableField id="550" name="Fossil_Energy_Total.C4" tableColumnId="86"/>
      <queryTableField id="551" name="Fossil_Energy_Total.D1" tableColumnId="87"/>
      <queryTableField id="552" name="Fossil_Energy_Total.D2" tableColumnId="88"/>
      <queryTableField id="677" name="Fossil_energy_total.D" tableColumnId="133"/>
      <queryTableField id="553" name="Fossil_Energy_Total.Total" tableColumnId="89"/>
      <queryTableField id="554" name="Transport_Total.Transport_to_construction_site[tkm]" tableColumnId="90"/>
      <queryTableField id="555" name="Transport_Total.Transport_to_processor[tkm]" tableColumnId="91"/>
      <queryTableField id="556" name="Transport_Total.Emission_free_Transport_to_construction_site" tableColumnId="92"/>
      <queryTableField id="557" name="Transport_Total.Emission_free_Transport_to_processor" tableColumnId="93"/>
      <queryTableField id="558" name="Transport_Total.Emission_free_Transport" tableColumnId="94"/>
      <queryTableField id="559" name="Transport_Total.Transport_to_construction_site_replacements[tkm]" tableColumnId="95"/>
      <queryTableField id="560" name="Transport_Total.Transport_to_processor_replacements[tkm]" tableColumnId="96"/>
      <queryTableField id="561" name="Transport_Total.Emission_free_Transport_replacements[tkm]" tableColumnId="97"/>
      <queryTableField id="562" name="Transport_Total.Total_Emission_free_Transport" tableColumnId="98"/>
      <queryTableField id="563" name="Transport_Total.Total_Non_Emission_free_Transport" tableColumnId="99"/>
      <queryTableField id="564" name="Transport_Total.Total_Transport" tableColumnId="100"/>
      <queryTableField id="565" name="Construction_site_Total.Operation_hour_Construction" tableColumnId="101"/>
      <queryTableField id="566" name="Construction_site_Total.Operation_hour_Removal" tableColumnId="102"/>
      <queryTableField id="567" name="Construction_site_Total.Emission_free_Construction" tableColumnId="103"/>
      <queryTableField id="568" name="Construction_site_Total.Emission_free_Removal" tableColumnId="104"/>
      <queryTableField id="569" name="Construction_site_Total.Emission_free_Construction_Site" tableColumnId="105"/>
      <queryTableField id="570" name="Construction_site_Total.Emission_free_Construction_site_Replacement" tableColumnId="106"/>
      <queryTableField id="571" name="Construction_site_Total.Total_Emission_free_Construction_site" tableColumnId="107"/>
      <queryTableField id="572" name="Construction_site_Total.Total_Non_Emission_free_Construction_site" tableColumnId="108"/>
      <queryTableField id="573" name="Construction_site_Total.Total_Construction_site" tableColumnId="109"/>
      <queryTableField id="686" name="ECI_unit_A1-A3" tableColumnId="16"/>
      <queryTableField id="687" name="CO2_unit_A1-A3" tableColumnId="75"/>
    </queryTableFields>
  </queryTableRefresh>
</queryTable>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ExterneGegevens_1" connectionId="15" xr16:uid="{BC445DD8-17C5-4113-90DA-74DF946355D8}" autoFormatId="16" applyNumberFormats="0" applyBorderFormats="0" applyFontFormats="0" applyPatternFormats="0" applyAlignmentFormats="0" applyWidthHeightFormats="0">
  <queryTableRefresh nextId="714">
    <queryTableFields count="129">
      <queryTableField id="130" name="Client" tableColumnId="1"/>
      <queryTableField id="680" name="Contractor" tableColumnId="110"/>
      <queryTableField id="549" name="Project_ID" tableColumnId="2"/>
      <queryTableField id="550" name="Project_lifespan" tableColumnId="3"/>
      <queryTableField id="551" name="Project_date" tableColumnId="4"/>
      <queryTableField id="678" name="Version" tableColumnId="109"/>
      <queryTableField id="688" name="Category" tableColumnId="115"/>
      <queryTableField id="684" name="Total_units" tableColumnId="113"/>
      <queryTableField id="685" name="Unit" tableColumnId="114"/>
      <queryTableField id="552" name="RAW_ID" tableColumnId="5"/>
      <queryTableField id="137" name="Workscope" tableColumnId="116"/>
      <queryTableField id="543" name="Price" tableColumnId="103"/>
      <queryTableField id="139" name="Productgroup" tableColumnId="118"/>
      <queryTableField id="6" name="Product" tableColumnId="6"/>
      <queryTableField id="7" name="Producttype" tableColumnId="7"/>
      <queryTableField id="140" name="Surface[m2]" tableColumnId="119"/>
      <queryTableField id="141" name="Thickness[m]" tableColumnId="120"/>
      <queryTableField id="553" name="Specific_Weight[ton/m3]" tableColumnId="8"/>
      <queryTableField id="143" name="Amount[m3]" tableColumnId="122"/>
      <queryTableField id="690" name="A5 - Capaciteit over materieel [Eenheden / uur]" tableColumnId="117"/>
      <queryTableField id="144" name="Amount[ton]" tableColumnId="123"/>
      <queryTableField id="145" name="Replacements" tableColumnId="124"/>
      <queryTableField id="691" name="C1 - Capaciteit overig materieel [Eenheden / uur]" tableColumnId="121"/>
      <queryTableField id="554" name="A4_Transport_distance_to_Construction_site[km]" tableColumnId="9"/>
      <queryTableField id="555" name="A4_Transportmode_to_Construction_site" tableColumnId="10"/>
      <queryTableField id="556" name="A5_Asphalt_Construction_set" tableColumnId="11"/>
      <queryTableField id="557" name="A5_Other_Construction_Equipment" tableColumnId="12"/>
      <queryTableField id="558" name="C1_Asphalt_removal_set" tableColumnId="13"/>
      <queryTableField id="559" name="C1_Other_removal_equipment" tableColumnId="14"/>
      <queryTableField id="560" name="C2_Transportdistance_to_processor[km]" tableColumnId="15"/>
      <queryTableField id="561" name="C2_Transportmode_to_processor" tableColumnId="16"/>
      <queryTableField id="562" name="C3_Processingset" tableColumnId="17"/>
      <queryTableField id="169" name="Assumptions" tableColumnId="134"/>
      <queryTableField id="564" name="ECI_Total.A1" tableColumnId="19"/>
      <queryTableField id="565" name="ECI_Total.A2" tableColumnId="20"/>
      <queryTableField id="566" name="ECI_Total.A3" tableColumnId="21"/>
      <queryTableField id="694" name="ECI_total.A1-A3" tableColumnId="125"/>
      <queryTableField id="567" name="ECI_Total.A4" tableColumnId="22"/>
      <queryTableField id="568" name="ECI_Total.A5" tableColumnId="23"/>
      <queryTableField id="569" name="ECI_Total.B1" tableColumnId="24"/>
      <queryTableField id="570" name="ECI_Total.B4" tableColumnId="25"/>
      <queryTableField id="571" name="ECI_Total.C1" tableColumnId="26"/>
      <queryTableField id="572" name="ECI_Total.C2" tableColumnId="27"/>
      <queryTableField id="573" name="ECI_Total.C3" tableColumnId="28"/>
      <queryTableField id="574" name="ECI_Total.C4" tableColumnId="29"/>
      <queryTableField id="575" name="ECI_Total.D1" tableColumnId="30"/>
      <queryTableField id="576" name="ECI_Total.D2" tableColumnId="31"/>
      <queryTableField id="695" name="ECI_total.D" tableColumnId="126"/>
      <queryTableField id="577" name="ECI_Total.Total" tableColumnId="32"/>
      <queryTableField id="578" name="CO2_Total.A1" tableColumnId="33"/>
      <queryTableField id="579" name="CO2_Total.A2" tableColumnId="34"/>
      <queryTableField id="580" name="CO2_Total.A3" tableColumnId="35"/>
      <queryTableField id="696" name="CO2_total.A1-A3" tableColumnId="127"/>
      <queryTableField id="581" name="CO2_Total.A4" tableColumnId="36"/>
      <queryTableField id="582" name="CO2_Total.A5" tableColumnId="37"/>
      <queryTableField id="583" name="CO2_Total.B1" tableColumnId="38"/>
      <queryTableField id="584" name="CO2_Total.B4" tableColumnId="39"/>
      <queryTableField id="585" name="CO2_Total.C1" tableColumnId="40"/>
      <queryTableField id="586" name="CO2_Total.C2" tableColumnId="41"/>
      <queryTableField id="587" name="CO2_Total.C3" tableColumnId="42"/>
      <queryTableField id="588" name="CO2_Total.C4" tableColumnId="43"/>
      <queryTableField id="589" name="CO2_Total.D1" tableColumnId="44"/>
      <queryTableField id="590" name="CO2_Total.D2" tableColumnId="45"/>
      <queryTableField id="697" name="CO2_total.D" tableColumnId="128"/>
      <queryTableField id="591" name="CO2_Total.Total" tableColumnId="46"/>
      <queryTableField id="592" name="Material_Total.Amount[ton]" tableColumnId="47"/>
      <queryTableField id="593" name="Material_Total.%Secundary" tableColumnId="48"/>
      <queryTableField id="594" name="Material_Total.Primary[ton]" tableColumnId="49"/>
      <queryTableField id="595" name="Material_Total.Secundary[ton]" tableColumnId="50"/>
      <queryTableField id="596" name="Material_Total.Amount_Replacements[ton]" tableColumnId="51"/>
      <queryTableField id="597" name="Material_Total.Primary_Replacements[ton]" tableColumnId="52"/>
      <queryTableField id="598" name="Material_Total.Secundary_Replacements[ton]" tableColumnId="53"/>
      <queryTableField id="599" name="Material_Total.Total_Primary[ton]" tableColumnId="54"/>
      <queryTableField id="600" name="Material_Total.Total_Secundary[ton]" tableColumnId="55"/>
      <queryTableField id="601" name="Material_Total.Total[ton]" tableColumnId="56"/>
      <queryTableField id="602" name="Renewable_Energy_Total.A1" tableColumnId="57"/>
      <queryTableField id="603" name="Renewable_Energy_Total.A2" tableColumnId="58"/>
      <queryTableField id="604" name="Renewable_Energy_Total.A3" tableColumnId="59"/>
      <queryTableField id="698" name="Renewable_energy_total.A1-A3" tableColumnId="129"/>
      <queryTableField id="605" name="Renewable_Energy_Total.A4" tableColumnId="60"/>
      <queryTableField id="606" name="Renewable_Energy_Total.A5" tableColumnId="61"/>
      <queryTableField id="607" name="Renewable_Energy_Total.B1" tableColumnId="62"/>
      <queryTableField id="608" name="Renewable_Energy_Total.B4" tableColumnId="63"/>
      <queryTableField id="609" name="Renewable_Energy_Total.C1" tableColumnId="64"/>
      <queryTableField id="610" name="Renewable_Energy_Total.C2" tableColumnId="65"/>
      <queryTableField id="611" name="Renewable_Energy_Total.C3" tableColumnId="66"/>
      <queryTableField id="612" name="Renewable_Energy_Total.C4" tableColumnId="67"/>
      <queryTableField id="613" name="Renewable_Energy_Total.D1" tableColumnId="68"/>
      <queryTableField id="614" name="Renewable_Energy_Total.D2" tableColumnId="69"/>
      <queryTableField id="699" name="Renewable_energy_total.D" tableColumnId="130"/>
      <queryTableField id="615" name="Renewable_Energy_Total.Total" tableColumnId="70"/>
      <queryTableField id="616" name="Fossil_Energy_Total.A1" tableColumnId="71"/>
      <queryTableField id="617" name="Fossil_Energy_Total.A2" tableColumnId="72"/>
      <queryTableField id="618" name="Fossil_Energy_Total.A3" tableColumnId="73"/>
      <queryTableField id="700" name="Fossil_energy_total.A1-A3" tableColumnId="131"/>
      <queryTableField id="619" name="Fossil_Energy_Total.A4" tableColumnId="74"/>
      <queryTableField id="620" name="Fossil_Energy_Total.A5" tableColumnId="75"/>
      <queryTableField id="621" name="Fossil_Energy_Total.B1" tableColumnId="76"/>
      <queryTableField id="622" name="Fossil_Energy_Total.B4" tableColumnId="77"/>
      <queryTableField id="623" name="Fossil_Energy_Total.C1" tableColumnId="78"/>
      <queryTableField id="624" name="Fossil_Energy_Total.C2" tableColumnId="79"/>
      <queryTableField id="625" name="Fossil_Energy_Total.C3" tableColumnId="80"/>
      <queryTableField id="626" name="Fossil_Energy_Total.C4" tableColumnId="81"/>
      <queryTableField id="627" name="Fossil_Energy_Total.D1" tableColumnId="82"/>
      <queryTableField id="628" name="Fossil_Energy_Total.D2" tableColumnId="83"/>
      <queryTableField id="710" name="Fossil_energy_total.D" tableColumnId="132"/>
      <queryTableField id="629" name="Fossil_Energy_Total.Total" tableColumnId="84"/>
      <queryTableField id="630" name="Transport_Total.Transport_to_Construction_site[tkm]" tableColumnId="85"/>
      <queryTableField id="631" name="Transport_Total.Transport_to_Processor[tkm]" tableColumnId="86"/>
      <queryTableField id="632" name="Transport_Total.Emission_free_Transport_to_Construction_site" tableColumnId="87"/>
      <queryTableField id="633" name="Transport_Total.Emission_free_Transport_to_Processor" tableColumnId="88"/>
      <queryTableField id="634" name="Transport_Total.Emission_free_Transport" tableColumnId="89"/>
      <queryTableField id="635" name="Transport_Total.Transport_to_construction_site_Replacements[tkm]" tableColumnId="90"/>
      <queryTableField id="636" name="Transport_Total.Transport_to_Processor_Replacements[tkm]" tableColumnId="91"/>
      <queryTableField id="637" name="Transport_Total.Emission_free_Transport_Replacements[tkm]" tableColumnId="92"/>
      <queryTableField id="638" name="Transport_Total.Total_Emission_free_Transport" tableColumnId="93"/>
      <queryTableField id="639" name="Transport_Total.Total_Non_Emission_free_Transport" tableColumnId="94"/>
      <queryTableField id="640" name="Transport_Total.Total_Transport" tableColumnId="95"/>
      <queryTableField id="641" name="Construction_site_Total.Operation_hour_Construction" tableColumnId="96"/>
      <queryTableField id="642" name="Construction_site_Total.Operation_hour_Removal" tableColumnId="97"/>
      <queryTableField id="643" name="Construction_site_Total.Emission_free_Construction" tableColumnId="98"/>
      <queryTableField id="644" name="Construction_site_Total.Emission_free_Removal" tableColumnId="99"/>
      <queryTableField id="666" name="Construction_site_Total.Emission_free_Construction_Site" tableColumnId="108"/>
      <queryTableField id="648" name="Construction_site_Total.Emission_free_Construction_site_Replacement" tableColumnId="104"/>
      <queryTableField id="649" name="Construction_site_Total.Total_Emission_free_Construction_Site" tableColumnId="105"/>
      <queryTableField id="650" name="Construction_site_Total.Total_Non_Emission_free_Construction_Site" tableColumnId="106"/>
      <queryTableField id="651" name="Construction_site_Total.Total_Construction_Site" tableColumnId="107"/>
      <queryTableField id="712" name="ECI_unit_A1-A3" tableColumnId="18"/>
      <queryTableField id="713" name="CO2_unit_A1-A3" tableColumnId="100"/>
    </queryTableFields>
  </queryTableRefresh>
</queryTable>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Variant" xr10:uid="{23CEE90A-9C67-4D4D-B56A-F78BD6B66AA6}" sourceName="Variant">
  <pivotTables>
    <pivotTable tabId="32" name="PivotTable1"/>
  </pivotTables>
  <data>
    <tabular pivotCacheId="1821895652">
      <items count="4">
        <i x="3"/>
        <i x="0" s="1"/>
        <i x="1" s="1"/>
        <i x="2" s="1"/>
      </items>
    </tabular>
  </data>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Variant1" xr10:uid="{853B1589-8E3B-4F06-8550-A7E710AD5E4F}" sourceName="Variant">
  <pivotTables>
    <pivotTable tabId="32" name="PivotTable2"/>
  </pivotTables>
  <data>
    <tabular pivotCacheId="1821895652">
      <items count="4">
        <i x="3"/>
        <i x="0" s="1"/>
        <i x="1" s="1"/>
        <i x="2" s="1"/>
      </items>
    </tabular>
  </data>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Product" xr10:uid="{47F0A15A-B166-4538-A300-CA41D03A20E9}" sourceName="Product">
  <extLst>
    <x:ext xmlns:x15="http://schemas.microsoft.com/office/spreadsheetml/2010/11/main" uri="{2F2917AC-EB37-4324-AD4E-5DD8C200BD13}">
      <x15:tableSlicerCache tableId="5" column="2"/>
    </x:ext>
  </extLst>
</slicerCacheDefinition>
</file>

<file path=xl/slicerCaches/slicerCache4.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Product1" xr10:uid="{E532FFBD-23F6-4C80-847D-8F94ACD5E6BF}" sourceName="Product">
  <extLst>
    <x:ext xmlns:x15="http://schemas.microsoft.com/office/spreadsheetml/2010/11/main" uri="{2F2917AC-EB37-4324-AD4E-5DD8C200BD13}">
      <x15:tableSlicerCache tableId="10" column="2"/>
    </x:ext>
  </extLst>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Variant" xr10:uid="{DB342616-73E8-4B6F-8E45-C5F38EC98823}" cache="Slicer_Variant" caption="Variant" rowHeight="241300"/>
  <slicer name="Variant 1" xr10:uid="{D8A86CF1-6E2C-4122-B907-0D9F79B892F5}" cache="Slicer_Variant1" caption="Variant" rowHeight="241300"/>
</slicers>
</file>

<file path=xl/slicers/slicer2.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Product" xr10:uid="{AA1DBF85-2C8E-43BC-A859-919224366A30}" cache="Slicer_Product" caption="Product" rowHeight="241300"/>
</slicers>
</file>

<file path=xl/slicers/slicer3.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Product 1" xr10:uid="{032631A6-F1F3-427C-9CB3-EB1DDC5AF82C}" cache="Slicer_Product1" caption="Product" style="SlicerStyleOther1" rowHeight="241300"/>
</slicers>
</file>

<file path=xl/tables/_rels/table59.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_rels/table60.xml.rels><?xml version="1.0" encoding="UTF-8" standalone="yes"?>
<Relationships xmlns="http://schemas.openxmlformats.org/package/2006/relationships"><Relationship Id="rId1" Type="http://schemas.openxmlformats.org/officeDocument/2006/relationships/queryTable" Target="../queryTables/queryTable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9" xr:uid="{654A4E50-9271-43E4-938E-CCE743B8924E}" name="Invoer_Ontwerp" displayName="Invoer_Ontwerp" ref="B4:AJ41" totalsRowShown="0" headerRowDxfId="1446" dataDxfId="1445">
  <autoFilter ref="B4:AJ41" xr:uid="{0E678168-5B31-420A-AABF-8EC1EFE6FB7E}"/>
  <tableColumns count="35">
    <tableColumn id="10" xr3:uid="{48F1D2DC-15A6-4663-B651-A17174EE385F}" name="Product-/ Projectvariant" dataDxfId="1444"/>
    <tableColumn id="37" xr3:uid="{8F770FA8-C8EB-44AB-A839-8B32E9A68CD2}" name="Onderdeel" dataDxfId="1443"/>
    <tableColumn id="38" xr3:uid="{1D5B9D92-F4AC-4C47-941D-DC5F70540775}" name="Omschrijving" dataDxfId="1442"/>
    <tableColumn id="1" xr3:uid="{B2446DFD-C2B7-4B13-882C-6FEAE85E122C}" name="Bestaande Situatie of Nieuw Sitautie?" dataDxfId="1441"/>
    <tableColumn id="12" xr3:uid="{100D400C-2456-4582-98BE-C3BDF1C617C8}" name="Productgroep" dataDxfId="1440"/>
    <tableColumn id="2" xr3:uid="{437C669A-1E95-4473-8B84-2CE7DEAA2E8B}" name="Product" dataDxfId="1439"/>
    <tableColumn id="3" xr3:uid="{19060DD7-DCD7-491A-BF24-6A6D19897948}" name="Category" dataDxfId="1438">
      <calculatedColumnFormula>_xlfn.IFNA(VLOOKUP(Invoer_Ontwerp[[#This Row],[Product]],Database_Productkaarten[[Product]:[Comment]],64,FALSE),0)</calculatedColumnFormula>
    </tableColumn>
    <tableColumn id="29" xr3:uid="{C9B4EE62-701D-4A71-B0A8-83E9A1BAB65E}" name="Producttype" dataDxfId="1437">
      <calculatedColumnFormula>_xlfn.IFNA(VLOOKUP(Invoer_Ontwerp[[#This Row],[Product]],Database_Productkaarten[[Product]:[Producttype]],3,FALSE),0)</calculatedColumnFormula>
    </tableColumn>
    <tableColumn id="30" xr3:uid="{ACA81A2F-67F8-4CCB-8C17-19A12FE8921D}" name="Aantal Eenheden" dataDxfId="1436"/>
    <tableColumn id="22" xr3:uid="{B607A5EB-6F90-478F-B999-381F57110D68}" name="Eenheid" dataDxfId="1435">
      <calculatedColumnFormula>_xlfn.IFNA(VLOOKUP(Invoer_Ontwerp[[#This Row],[Product]],Database_Productkaarten[[#All],[Product]:[Eenheid]],4,FALSE),0)</calculatedColumnFormula>
    </tableColumn>
    <tableColumn id="26" xr3:uid="{5CA5ABBE-A571-43AB-A44D-219FD6239C44}" name="Lengte[m]" dataDxfId="1434"/>
    <tableColumn id="25" xr3:uid="{C8425EDE-EB76-4A52-9785-F866482D958C}" name="Breedte [m]" dataDxfId="1433"/>
    <tableColumn id="4" xr3:uid="{72A29519-E7F5-455D-AA9D-72BCCC8C4321}" name="Dikte [m]" dataDxfId="1432"/>
    <tableColumn id="9" xr3:uid="{5DD35BC3-AC01-4950-82E2-B09AD6276038}" name="Oppervlakte [m2]" dataDxfId="1431">
      <calculatedColumnFormula>Invoer_Ontwerp[[#This Row],[Lengte'[m']]]*Invoer_Ontwerp[[#This Row],[Breedte '[m']]]</calculatedColumnFormula>
    </tableColumn>
    <tableColumn id="6" xr3:uid="{B3247B39-0302-413A-B2FD-DBBCB3E2D1CF}" name="Hoeveelheid [m3]" dataDxfId="1430">
      <calculatedColumnFormula>IFERROR(IF(Invoer_Ontwerp[[#This Row],[Oppervlakte '[m2']]]*Invoer_Ontwerp[[#This Row],[Dikte '[m']]]=0,Invoer_Ontwerp[[#This Row],[Gewicht '[ton']]]/Invoer_Ontwerp[[#This Row],[Soortelijk gewicht '[ton / m3']]],Invoer_Ontwerp[[#This Row],[Oppervlakte '[m2']]]*Invoer_Ontwerp[[#This Row],[Dikte '[m']]]),0)</calculatedColumnFormula>
    </tableColumn>
    <tableColumn id="31" xr3:uid="{451FE0EF-4ED0-4FA4-BC36-0E57F4CD7AD1}" name="Soortelijk gewicht [ton / m3]" dataDxfId="1429">
      <calculatedColumnFormula>_xlfn.IFNA(VLOOKUP(Invoer_Ontwerp[[#This Row],[Product]],Database_Productkaarten[[Product]:[Soortelijk Gewicht '[ton / m3']]],11,FALSE),0)</calculatedColumnFormula>
    </tableColumn>
    <tableColumn id="7" xr3:uid="{1E9285E5-80ED-4E25-9C2D-69FC86E03C07}" name="Gewicht [ton]" dataDxfId="1428">
      <calculatedColumnFormula>_xlfn.IFNA(VLOOKUP(Invoer_Ontwerp[[#This Row],[Product]],Database_Productkaarten[[Product]:[Gewicht '[ton'] / Eenheid]],12,FALSE)*Invoer_Ontwerp[[#This Row],[Aantal Eenheden]],0)</calculatedColumnFormula>
    </tableColumn>
    <tableColumn id="27" xr3:uid="{99F6D237-8289-4492-9112-A1AA082FE3B7}" name="Product levensduur [jaar]" dataDxfId="1427">
      <calculatedColumnFormula>_xlfn.IFNA(VLOOKUP(Invoer_Ontwerp[[#This Row],[Product]],Database_Productkaarten[[Product]:[Levensduur]],14,FALSE),0)</calculatedColumnFormula>
    </tableColumn>
    <tableColumn id="28" xr3:uid="{8C34C927-EA75-4115-B1D0-8BF3D9EDFA38}" name="Vervangingen" dataDxfId="1426">
      <calculatedColumnFormula>MAX(IFERROR($A$2/Invoer_Ontwerp[[#This Row],[Product levensduur '[jaar']]]-1,0),0)</calculatedColumnFormula>
    </tableColumn>
    <tableColumn id="33" xr3:uid="{E1DDB25E-5CF4-4B12-9029-AAD430741367}" name="Onderhoudscylus [jaar]" dataDxfId="1425"/>
    <tableColumn id="35" xr3:uid="{649EBC9F-7A8B-4782-8551-20F203ABEA0C}" name="Onderhoudsbeurten" dataDxfId="1424"/>
    <tableColumn id="8" xr3:uid="{39DA31A9-75E1-4938-BF27-9887812F41D4}" name="A4 - Transportafstand naar bouwplaats [km]" dataDxfId="1423"/>
    <tableColumn id="11" xr3:uid="{F553F02E-3480-4AB9-97A8-AF2F5D4931AB}" name="A4 - Transportmiddel naar bouwplaats" dataDxfId="1422"/>
    <tableColumn id="15" xr3:uid="{62DFB73E-BF6A-4059-BC5C-00749A1E489E}" name="A5 - Asfalt Aanlegset" dataDxfId="1421"/>
    <tableColumn id="16" xr3:uid="{6C96247B-37A7-4C43-9102-4BB8F3F72D7D}" name="A5 - Overig Materieel tbv Aanleg" dataDxfId="1420"/>
    <tableColumn id="17" xr3:uid="{988058C7-3F2F-4432-80AF-2E0BD6BC3878}" name="C1 - Asfalt Verwijderset" dataDxfId="1419"/>
    <tableColumn id="18" xr3:uid="{3437395F-4A05-47BD-94BE-B509CD46810A}" name="C1 - Overig Materieel tbv Verwijderen" dataDxfId="1418"/>
    <tableColumn id="19" xr3:uid="{E3DF045D-FCE9-4CEA-AE63-24B5534295AD}" name="C2 - Transportafstand naar verwerker [km]" dataDxfId="1417"/>
    <tableColumn id="20" xr3:uid="{57431EFA-D1D6-4C76-A05A-99D754B37B3D}" name="C2 - Transportmiddel naar verwerker" dataDxfId="1416"/>
    <tableColumn id="34" xr3:uid="{B7426B71-87F5-45B1-AA4F-D0ABD60A26E3}" name="C3 - % Verbranding" dataDxfId="1415"/>
    <tableColumn id="32" xr3:uid="{2D63F841-14E2-4FD0-9221-4B16DAD4992A}" name="C3 - % Recycling" dataDxfId="1414"/>
    <tableColumn id="21" xr3:uid="{2E72960E-1214-4260-85E4-212DEE60C917}" name="C3 - Verwerkingsset" dataDxfId="1413"/>
    <tableColumn id="24" xr3:uid="{D05D6AD7-E29C-4473-B33F-6CDF5B173600}" name="C4 - % stort / verlies" dataDxfId="1412"/>
    <tableColumn id="23" xr3:uid="{5E4C3731-77A7-44A6-9DD0-33AF02823D63}" name="D - % Hergebruik" dataDxfId="1411"/>
    <tableColumn id="13" xr3:uid="{42024628-D20F-4E82-AC74-EFEC6A9F9E0B}" name="Uitgangspunten" dataDxfId="1410"/>
  </tableColumns>
  <tableStyleInfo name="TableStyleMedium1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3" xr:uid="{F0E8FF47-90A4-496E-A407-EAF75E6FDDC4}" name="Ontwerp_MKI_Totaal" displayName="Ontwerp_MKI_Totaal" ref="B3:U41" totalsRowCount="1" headerRowDxfId="1409" dataDxfId="1408" totalsRowDxfId="1407">
  <autoFilter ref="B3:U40" xr:uid="{3F9A2857-3722-47B7-AF95-7C61007FC594}"/>
  <tableColumns count="20">
    <tableColumn id="1" xr3:uid="{7166F91B-6D84-4320-9725-923D36B0F62B}" name="Variant" totalsRowLabel="Totaal" dataDxfId="1405" totalsRowDxfId="1406">
      <calculatedColumnFormula>Ontwerpberekening!B5</calculatedColumnFormula>
    </tableColumn>
    <tableColumn id="18" xr3:uid="{B55AC4F1-F7FD-4BE7-9F8C-4CFB5E9E50A2}" name="Onderdeel" dataDxfId="1403" totalsRowDxfId="1404">
      <calculatedColumnFormula>Ontwerpberekening!C5</calculatedColumnFormula>
    </tableColumn>
    <tableColumn id="2" xr3:uid="{085BBFE7-5B63-4E94-BAC6-075ABB0F1B11}" name="Product" dataDxfId="1401" totalsRowDxfId="1402">
      <calculatedColumnFormula>Ontwerpberekening!G5</calculatedColumnFormula>
    </tableColumn>
    <tableColumn id="3" xr3:uid="{574B5CB5-8476-4FC6-9711-776C6F52A6D7}" name="A1" totalsRowFunction="sum" dataDxfId="1399" totalsRowDxfId="1400">
      <calculatedColumnFormula>(IF(Ontwerpberekening!E5="Nieuwe Situatie",(_xlfn.IFNA(VLOOKUP(Ontwerp_MKI_Totaal[[#This Row],[Product]]&amp;", "&amp;Ontwerp_MKI_Totaal[[#Headers],[A1]],Database_Productkaarten[#All],14,FALSE),0)*Ontwerpberekening!J5),0))/Ontwerpberekening!$A$2</calculatedColumnFormula>
    </tableColumn>
    <tableColumn id="4" xr3:uid="{98CE04B4-50BA-4423-B7F6-8B23C9FB3E1A}" name="A2" totalsRowFunction="sum" dataDxfId="1397" totalsRowDxfId="1398">
      <calculatedColumnFormula>(IF(Ontwerpberekening!E5="Nieuwe Situatie",(_xlfn.IFNA(VLOOKUP(Ontwerp_MKI_Totaal[[#This Row],[Product]]&amp;", "&amp;Ontwerp_MKI_Totaal[[#Headers],[A2]],Database_Productkaarten[#All],14,FALSE),0)*Ontwerpberekening!J5),0))/Ontwerpberekening!$A$2</calculatedColumnFormula>
    </tableColumn>
    <tableColumn id="5" xr3:uid="{76472148-98A9-4B54-A5E3-B56D99ED4839}" name="A3" totalsRowFunction="sum" dataDxfId="1395" totalsRowDxfId="1396">
      <calculatedColumnFormula>(IF(Ontwerpberekening!E5="Nieuwe Situatie",(_xlfn.IFNA(VLOOKUP(Ontwerp_MKI_Totaal[[#This Row],[Product]]&amp;", "&amp;Ontwerp_MKI_Totaal[[#Headers],[A3]],Database_Productkaarten[#All],14,FALSE),0)*Ontwerpberekening!J5),0))/Ontwerpberekening!$A$2</calculatedColumnFormula>
    </tableColumn>
    <tableColumn id="19" xr3:uid="{538539B1-2AA4-4436-B007-BDBE571952EF}" name="A1-A3" totalsRowFunction="sum" dataDxfId="1393" totalsRowDxfId="1394">
      <calculatedColumnFormula>(IF(Ontwerpberekening!E5="Nieuwe Situatie",(_xlfn.IFNA(VLOOKUP(Ontwerp_MKI_Totaal[[#This Row],[Product]]&amp;", "&amp;Ontwerp_MKI_Totaal[[#Headers],[A1-A3]],Database_Productkaarten[#All],14,FALSE),0)*Ontwerpberekening!J5),0))/Ontwerpberekening!$A$2</calculatedColumnFormula>
    </tableColumn>
    <tableColumn id="6" xr3:uid="{BEDFA501-F2AB-45B6-A6C2-E00ADA86C525}" name="A4" totalsRowFunction="sum" dataDxfId="1391" totalsRowDxfId="1392">
      <calculatedColumnFormula>(IF(Ontwerpberekening!E5="Nieuwe Situatie",(_xlfn.IFNA(VLOOKUP(Ontwerp_MKI_Totaal[[#This Row],[Product]]&amp;", "&amp;Ontwerp_MKI_Totaal[[#Headers],[A4]],Database_Productkaarten[#All],14,FALSE),0)*Ontwerpberekening!R5),0))/Ontwerpberekening!$A$2</calculatedColumnFormula>
    </tableColumn>
    <tableColumn id="7" xr3:uid="{320A5968-9004-4A02-907A-2365844B0947}" name="A5" totalsRowFunction="sum" dataDxfId="1389" totalsRowDxfId="1390">
      <calculatedColumnFormula>(IF(Ontwerpberekening!E5="Nieuwe Situatie",(_xlfn.IFNA(VLOOKUP(Ontwerp_MKI_Totaal[[#This Row],[Product]]&amp;", "&amp;Ontwerp_MKI_Totaal[[#Headers],[A5]],Database_Productkaarten[#All],14,FALSE),0)*Ontwerpberekening!J5),0))/Ontwerpberekening!$A$2</calculatedColumnFormula>
    </tableColumn>
    <tableColumn id="8" xr3:uid="{4EC0FDAF-A864-4A1A-A2E9-2565ECF93652}" name="B1" totalsRowFunction="sum" dataDxfId="1387" totalsRowDxfId="1388">
      <calculatedColumnFormula>(IF(Ontwerpberekening!E5="Nieuwe Situatie",(_xlfn.IFNA(VLOOKUP(Ontwerp_MKI_Totaal[[#This Row],[Product]]&amp;", "&amp;Ontwerp_MKI_Totaal[[#Headers],[B1]],Database_Productkaarten[#All],14,FALSE),0)*Ontwerpberekening!J5),0))/Ontwerpberekening!$A$2</calculatedColumnFormula>
    </tableColumn>
    <tableColumn id="17" xr3:uid="{FDA113B4-58DC-40E9-9495-1BB4A2728150}" name="B3" totalsRowFunction="sum" dataDxfId="1385" totalsRowDxfId="1386">
      <calculatedColumnFormula>(IF(Ontwerpberekening!E5="Nieuwe Situatie",(_xlfn.IFNA(VLOOKUP(Ontwerp_MKI_Totaal[[#This Row],[Product]]&amp;", "&amp;Ontwerp_MKI_Totaal[[#Headers],[B3]],Database_Productkaarten[#All],14,FALSE),0)*Ontwerpberekening!J5),0))/Ontwerpberekening!$A$2</calculatedColumnFormula>
    </tableColumn>
    <tableColumn id="9" xr3:uid="{6F1E8DFB-D39D-4A74-95CA-D98F3E381C9F}" name="B4" totalsRowFunction="sum" dataDxfId="1383" totalsRowDxfId="1384">
      <calculatedColumnFormula>(IF(Ontwerpberekening!E5="Nieuwe Situatie",(SUM(Ontwerp_MKI_Totaal[[#This Row],[A1]:[B1]],Ontwerp_MKI_Totaal[[#This Row],[C1]:[D2]])*Ontwerpberekening!T5),0))</calculatedColumnFormula>
    </tableColumn>
    <tableColumn id="10" xr3:uid="{7576B0C9-5638-45A7-A537-5328565C9A6F}" name="C1" totalsRowFunction="sum" dataDxfId="1381" totalsRowDxfId="1382">
      <calculatedColumnFormula>(IF(Ontwerpberekening!E5="Bestaande Situatie",(_xlfn.IFNA(VLOOKUP(Ontwerp_MKI_Totaal[[#This Row],[Product]]&amp;", "&amp;Ontwerp_MKI_Totaal[[#Headers],[C1]],Database_Productkaarten[#All],14,FALSE),0)*Ontwerpberekening!J5),0))/Ontwerpberekening!$A$2</calculatedColumnFormula>
    </tableColumn>
    <tableColumn id="11" xr3:uid="{B902E692-16FB-4DCF-9729-9E0B1712D05A}" name="C2" totalsRowFunction="sum" dataDxfId="1379" totalsRowDxfId="1380">
      <calculatedColumnFormula>(IF(Ontwerpberekening!E5="Bestaande Situatie",(_xlfn.IFNA(VLOOKUP(Ontwerp_MKI_Totaal[[#This Row],[Product]]&amp;", "&amp;Ontwerp_MKI_Totaal[[#Headers],[C2]],Database_Productkaarten[#All],14,FALSE),0)*Ontwerpberekening!R5),0))/Ontwerpberekening!$A$2</calculatedColumnFormula>
    </tableColumn>
    <tableColumn id="12" xr3:uid="{01BC9BC4-AD04-4412-8D1F-69231E8A7894}" name="C3" totalsRowFunction="sum" dataDxfId="1377" totalsRowDxfId="1378">
      <calculatedColumnFormula>(IF(Ontwerpberekening!E5="Bestaande Situatie",(_xlfn.IFNA(VLOOKUP(Ontwerp_MKI_Totaal[[#This Row],[Product]]&amp;", "&amp;Ontwerp_MKI_Totaal[[#Headers],[C3]],Database_Productkaarten[#All],14,FALSE),0)*Ontwerpberekening!J5),0))/Ontwerpberekening!$A$2</calculatedColumnFormula>
    </tableColumn>
    <tableColumn id="13" xr3:uid="{7CFAF1E9-88DC-4C90-AC99-F191FDD78D27}" name="C4" totalsRowFunction="sum" dataDxfId="1375" totalsRowDxfId="1376">
      <calculatedColumnFormula>(IF(Ontwerpberekening!E5="Bestaande Situatie",(_xlfn.IFNA(VLOOKUP(Ontwerp_MKI_Totaal[[#This Row],[Product]]&amp;", "&amp;Ontwerp_MKI_Totaal[[#Headers],[C4]],Database_Productkaarten[#All],14,FALSE),0)*Ontwerpberekening!J5),0))/Ontwerpberekening!$A$2</calculatedColumnFormula>
    </tableColumn>
    <tableColumn id="14" xr3:uid="{2386DF77-5F7B-4D93-A40D-F2A18A6ADA5B}" name="D1" totalsRowFunction="sum" dataDxfId="1373" totalsRowDxfId="1374">
      <calculatedColumnFormula>(IF(Ontwerpberekening!E5="Bestaande Situatie",(_xlfn.IFNA(VLOOKUP(Ontwerp_MKI_Totaal[[#This Row],[Product]]&amp;", "&amp;Ontwerp_MKI_Totaal[[#Headers],[D1]],Database_Productkaarten[#All],14,FALSE),0)*Ontwerpberekening!J5),0))/Ontwerpberekening!$A$2</calculatedColumnFormula>
    </tableColumn>
    <tableColumn id="15" xr3:uid="{F8726287-B776-49AC-8150-E58CCF3A54AF}" name="D2" totalsRowFunction="sum" dataDxfId="1371" totalsRowDxfId="1372">
      <calculatedColumnFormula>(IF(Ontwerpberekening!E5="Bestaande Situatie",(_xlfn.IFNA(VLOOKUP(Ontwerp_MKI_Totaal[[#This Row],[Product]]&amp;", "&amp;Ontwerp_MKI_Totaal[[#Headers],[D2]],Database_Productkaarten[#All],14,FALSE),0)*Ontwerpberekening!J5),0))/Ontwerpberekening!$A$2</calculatedColumnFormula>
    </tableColumn>
    <tableColumn id="20" xr3:uid="{448C759C-78C5-4DA8-ACBA-B59879CB6BBE}" name="D" totalsRowFunction="sum" dataDxfId="1369" totalsRowDxfId="1370">
      <calculatedColumnFormula>(IF(Ontwerpberekening!E5="Bestaande Situatie",(_xlfn.IFNA(VLOOKUP(Ontwerp_MKI_Totaal[[#This Row],[Product]]&amp;", "&amp;Ontwerp_MKI_Totaal[[#Headers],[D]],Database_Productkaarten[#All],14,FALSE),0)*Ontwerpberekening!J5),0))/Ontwerpberekening!$A$2</calculatedColumnFormula>
    </tableColumn>
    <tableColumn id="16" xr3:uid="{AE22DBDB-A10F-4BC7-9BA5-7052EAB4F8CD}" name="Totaal" totalsRowFunction="sum" dataDxfId="1367" totalsRowDxfId="1368">
      <calculatedColumnFormula>SUM(Ontwerp_MKI_Totaal[[#This Row],[A1-A3]:[C4]])+Ontwerp_MKI_Totaal[[#This Row],[D]]</calculatedColumnFormula>
    </tableColumn>
  </tableColumns>
  <tableStyleInfo name="TableStyleMedium1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4" xr:uid="{A80BD084-6A7E-4F3B-8A65-F73298FCDD17}" name="Ontwerp_CO2_Totaal" displayName="Ontwerp_CO2_Totaal" ref="B45:U83" totalsRowCount="1" headerRowDxfId="1366" dataDxfId="1365" totalsRowDxfId="1364">
  <autoFilter ref="B45:U82" xr:uid="{E9299BC0-FCB3-4896-8BF8-BE1D4BCC9128}"/>
  <tableColumns count="20">
    <tableColumn id="1" xr3:uid="{370E457E-7F0D-4801-8851-B9CCBFE2A5B8}" name="Variant" totalsRowLabel="Totaal" dataDxfId="1362" totalsRowDxfId="1363">
      <calculatedColumnFormula>Ontwerpberekening!B5</calculatedColumnFormula>
    </tableColumn>
    <tableColumn id="18" xr3:uid="{32B75B7A-2EE0-4678-AB20-A6A207A7288E}" name="Onderdeel" dataDxfId="1360" totalsRowDxfId="1361">
      <calculatedColumnFormula>Ontwerpberekening!C5</calculatedColumnFormula>
    </tableColumn>
    <tableColumn id="2" xr3:uid="{1A70479E-E2E1-439D-B91C-1DC87C023839}" name="Product" dataDxfId="1358" totalsRowDxfId="1359">
      <calculatedColumnFormula>Ontwerpberekening!G5</calculatedColumnFormula>
    </tableColumn>
    <tableColumn id="3" xr3:uid="{650526FE-B997-4585-9DBB-687BC4A90635}" name="A1" totalsRowFunction="sum" dataDxfId="1356" totalsRowDxfId="1357">
      <calculatedColumnFormula>(IF(Ontwerpberekening!E5="Nieuwe Situatie",(_xlfn.IFNA(VLOOKUP(Ontwerp_CO2_Totaal[[#This Row],[Product]]&amp;", "&amp;Ontwerp_CO2_Totaal[[#Headers],[A1]],Database_Productkaarten[#All],18,FALSE),0)*Ontwerpberekening!J5),0))/Ontwerpberekening!$A$2</calculatedColumnFormula>
    </tableColumn>
    <tableColumn id="4" xr3:uid="{F461B003-FAE6-493D-9C6F-D09CE516EF77}" name="A2" totalsRowFunction="sum" dataDxfId="1354" totalsRowDxfId="1355">
      <calculatedColumnFormula>(IF(Ontwerpberekening!E5="Nieuwe Situatie",(_xlfn.IFNA(VLOOKUP(Ontwerp_CO2_Totaal[[#This Row],[Product]]&amp;", "&amp;Ontwerp_CO2_Totaal[[#Headers],[A2]],Database_Productkaarten[#All],18,FALSE),0)*Ontwerpberekening!J5),0))/Ontwerpberekening!$A$2</calculatedColumnFormula>
    </tableColumn>
    <tableColumn id="5" xr3:uid="{736C939B-C2D0-48AB-AF06-F53A82D61FC3}" name="A3" totalsRowFunction="sum" dataDxfId="1352" totalsRowDxfId="1353">
      <calculatedColumnFormula>(IF(Ontwerpberekening!E5="Nieuwe Situatie",(_xlfn.IFNA(VLOOKUP(Ontwerp_CO2_Totaal[[#This Row],[Product]]&amp;", "&amp;Ontwerp_CO2_Totaal[[#Headers],[A3]],Database_Productkaarten[#All],18,FALSE),0)*Ontwerpberekening!J5),0))/Ontwerpberekening!$A$2</calculatedColumnFormula>
    </tableColumn>
    <tableColumn id="22" xr3:uid="{5437B28D-8EF4-4EE0-9DFD-896EE3EF36A3}" name="A1-A3" totalsRowFunction="sum" dataDxfId="1350" totalsRowDxfId="1351">
      <calculatedColumnFormula>(IF(Ontwerpberekening!E5="Nieuwe Situatie",(_xlfn.IFNA(VLOOKUP(Ontwerp_CO2_Totaal[[#This Row],[Product]]&amp;", "&amp;Ontwerp_CO2_Totaal[[#Headers],[A1-A3]],Database_Productkaarten[#All],18,FALSE),0)*Ontwerpberekening!J5),0))/Ontwerpberekening!$A$2</calculatedColumnFormula>
    </tableColumn>
    <tableColumn id="6" xr3:uid="{7A34F3A3-57C8-4F86-A875-87F33CA25D5B}" name="A4" totalsRowFunction="sum" dataDxfId="1348" totalsRowDxfId="1349">
      <calculatedColumnFormula>(IF(Ontwerpberekening!E5="Nieuwe Situatie",(_xlfn.IFNA(VLOOKUP(Ontwerp_CO2_Totaal[[#This Row],[Product]]&amp;", "&amp;Ontwerp_CO2_Totaal[[#Headers],[A4]],Database_Productkaarten[#All],18,FALSE),0)*Ontwerpberekening!R5),0))/Ontwerpberekening!$A$2</calculatedColumnFormula>
    </tableColumn>
    <tableColumn id="7" xr3:uid="{033EA927-037D-447D-8795-528DAD143021}" name="A5" totalsRowFunction="sum" dataDxfId="1346" totalsRowDxfId="1347">
      <calculatedColumnFormula>(IF(Ontwerpberekening!E5="Nieuwe Situatie",(_xlfn.IFNA(VLOOKUP(Ontwerp_CO2_Totaal[[#This Row],[Product]]&amp;", "&amp;Ontwerp_CO2_Totaal[[#Headers],[A5]],Database_Productkaarten[#All],18,FALSE),0)*Ontwerpberekening!J5),0))/Ontwerpberekening!$A$2</calculatedColumnFormula>
    </tableColumn>
    <tableColumn id="8" xr3:uid="{5A3E8FD4-6E86-4015-9931-3D4D4A25E5E3}" name="B1" totalsRowFunction="sum" dataDxfId="1344" totalsRowDxfId="1345">
      <calculatedColumnFormula>(IF(Ontwerpberekening!E5="Nieuwe Situatie",(_xlfn.IFNA(VLOOKUP(Ontwerp_CO2_Totaal[[#This Row],[Product]]&amp;", "&amp;Ontwerp_CO2_Totaal[[#Headers],[B1]],Database_Productkaarten[#All],18,FALSE),0)*Ontwerpberekening!J5),0))/Ontwerpberekening!$A$2</calculatedColumnFormula>
    </tableColumn>
    <tableColumn id="17" xr3:uid="{CD1B95D9-96F5-4D26-9BD3-8B4A40121C2D}" name="B3" totalsRowFunction="sum" dataDxfId="1342" totalsRowDxfId="1343">
      <calculatedColumnFormula>(IF(Ontwerpberekening!E5="Nieuwe Situatie",(_xlfn.IFNA(VLOOKUP(Ontwerp_CO2_Totaal[[#This Row],[Product]]&amp;", "&amp;Ontwerp_CO2_Totaal[[#Headers],[B3]],Database_Productkaarten[#All],18,FALSE),0)*Ontwerpberekening!J5),0))/Ontwerpberekening!$A$2</calculatedColumnFormula>
    </tableColumn>
    <tableColumn id="9" xr3:uid="{92B26A09-36E9-4AAE-B5B7-1AD3FE24F342}" name="B4" totalsRowFunction="sum" dataDxfId="1340" totalsRowDxfId="1341">
      <calculatedColumnFormula>(IF(Ontwerpberekening!E5="Nieuwe Situatie",(SUM(Ontwerp_CO2_Totaal[[#This Row],[A1]:[B1]],Ontwerp_CO2_Totaal[[#This Row],[C1]:[D2]])*Ontwerpberekening!T5),0))</calculatedColumnFormula>
    </tableColumn>
    <tableColumn id="10" xr3:uid="{A5329DD1-08D2-4D43-BB91-D023C5A990E3}" name="C1" totalsRowFunction="sum" dataDxfId="1338" totalsRowDxfId="1339">
      <calculatedColumnFormula>(IF(Ontwerpberekening!E5="Bestaande Situatie",(_xlfn.IFNA(VLOOKUP(Ontwerp_CO2_Totaal[[#This Row],[Product]]&amp;", "&amp;Ontwerp_CO2_Totaal[[#Headers],[C1]],Database_Productkaarten[#All],18,FALSE),0)*Ontwerpberekening!J5),0))/Ontwerpberekening!$A$2</calculatedColumnFormula>
    </tableColumn>
    <tableColumn id="11" xr3:uid="{50A80A7F-B319-49F9-B7D2-90BD325E7527}" name="C2" totalsRowFunction="sum" dataDxfId="1336" totalsRowDxfId="1337">
      <calculatedColumnFormula>(IF(Ontwerpberekening!E5="Bestaande Situatie",(_xlfn.IFNA(VLOOKUP(Ontwerp_CO2_Totaal[[#This Row],[Product]]&amp;", "&amp;Ontwerp_CO2_Totaal[[#Headers],[C2]],Database_Productkaarten[#All],18,FALSE),0)*Ontwerpberekening!R5),0))/Ontwerpberekening!$A$2</calculatedColumnFormula>
    </tableColumn>
    <tableColumn id="12" xr3:uid="{4E6D8250-E811-4F3F-B046-48DFC31C596E}" name="C3" totalsRowFunction="sum" dataDxfId="1334" totalsRowDxfId="1335">
      <calculatedColumnFormula>(IF(Ontwerpberekening!E5="Bestaande Situatie",(_xlfn.IFNA(VLOOKUP(Ontwerp_CO2_Totaal[[#This Row],[Product]]&amp;", "&amp;Ontwerp_CO2_Totaal[[#Headers],[C3]],Database_Productkaarten[#All],18,FALSE),0)*Ontwerpberekening!J5),0))/Ontwerpberekening!$A$2</calculatedColumnFormula>
    </tableColumn>
    <tableColumn id="13" xr3:uid="{3A8F3680-2475-48B4-9D5A-7E560091C63F}" name="C4" totalsRowFunction="sum" dataDxfId="1332" totalsRowDxfId="1333">
      <calculatedColumnFormula>(IF(Ontwerpberekening!E5="Bestaande Situatie",(_xlfn.IFNA(VLOOKUP(Ontwerp_CO2_Totaal[[#This Row],[Product]]&amp;", "&amp;Ontwerp_CO2_Totaal[[#Headers],[C4]],Database_Productkaarten[#All],18,FALSE),0)*Ontwerpberekening!J5),0))/Ontwerpberekening!$A$2</calculatedColumnFormula>
    </tableColumn>
    <tableColumn id="14" xr3:uid="{BFE452D0-0B7E-423F-9BD0-52CAC882EE74}" name="D1" totalsRowFunction="sum" dataDxfId="1330" totalsRowDxfId="1331">
      <calculatedColumnFormula>(IF(Ontwerpberekening!E5="Bestaande Situatie",(_xlfn.IFNA(VLOOKUP(Ontwerp_CO2_Totaal[[#This Row],[Product]]&amp;", "&amp;Ontwerp_CO2_Totaal[[#Headers],[D1]],Database_Productkaarten[#All],18,FALSE),0)*Ontwerpberekening!J5),0))/Ontwerpberekening!$A$2</calculatedColumnFormula>
    </tableColumn>
    <tableColumn id="15" xr3:uid="{F31D6C4B-C73D-4FAF-8CC0-3397AC6BA074}" name="D2" totalsRowFunction="sum" dataDxfId="1328" totalsRowDxfId="1329">
      <calculatedColumnFormula>(IF(Ontwerpberekening!E5="Bestaande Situatie",(_xlfn.IFNA(VLOOKUP(Ontwerp_CO2_Totaal[[#This Row],[Product]]&amp;", "&amp;Ontwerp_CO2_Totaal[[#Headers],[D2]],Database_Productkaarten[#All],18,FALSE),0)*Ontwerpberekening!J5),0))/Ontwerpberekening!$A$2</calculatedColumnFormula>
    </tableColumn>
    <tableColumn id="21" xr3:uid="{017B47E9-3B0B-44AA-8D9F-EDE79DAC2F87}" name="D" totalsRowFunction="sum" dataDxfId="1326" totalsRowDxfId="1327">
      <calculatedColumnFormula>(IF(Ontwerpberekening!E5="Bestaande Situatie",(_xlfn.IFNA(VLOOKUP(Ontwerp_CO2_Totaal[[#This Row],[Product]]&amp;", "&amp;Ontwerp_CO2_Totaal[[#Headers],[D]],Database_Productkaarten[#All],18,FALSE),0)*Ontwerpberekening!J5),0))/Ontwerpberekening!$A$2</calculatedColumnFormula>
    </tableColumn>
    <tableColumn id="16" xr3:uid="{C289BF46-64C4-4595-8666-E122641FD961}" name="Totaal" totalsRowFunction="sum" dataDxfId="1324" totalsRowDxfId="1325">
      <calculatedColumnFormula>SUM(Ontwerp_CO2_Totaal[[#This Row],[A1-A3]:[C4]])+Ontwerp_CO2_Totaal[[#This Row],[D]]</calculatedColumnFormula>
    </tableColumn>
  </tableColumns>
  <tableStyleInfo name="TableStyleMedium1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5" xr:uid="{A52351D6-B6F1-4C14-8F5D-076398EB732E}" name="Referentie_Materiaal_Totaal46" displayName="Referentie_Materiaal_Totaal46" ref="B87:N125" totalsRowCount="1" dataDxfId="1323" headerRowBorderDxfId="1321" tableBorderDxfId="1322">
  <autoFilter ref="B87:N124" xr:uid="{ADA2D3C8-8DB0-4CE1-81EA-5F645BA9A3E3}"/>
  <tableColumns count="13">
    <tableColumn id="1" xr3:uid="{240F56F6-58AA-48B0-847A-3D5DB55E8572}" name="Variant" totalsRowLabel="Totaal" dataDxfId="1319" totalsRowDxfId="1320">
      <calculatedColumnFormula>Ontwerpberekening!B5</calculatedColumnFormula>
    </tableColumn>
    <tableColumn id="13" xr3:uid="{323EE0E9-2384-4672-92F4-0BE017A3E54D}" name="Onderdeel" dataDxfId="1317" totalsRowDxfId="1318">
      <calculatedColumnFormula>Ontwerpberekening!C5</calculatedColumnFormula>
    </tableColumn>
    <tableColumn id="2" xr3:uid="{371F3A27-3FF0-4FF1-A5C5-711C0DF86470}" name="Product" dataDxfId="1315" totalsRowDxfId="1316">
      <calculatedColumnFormula>Ontwerpberekening!G5</calculatedColumnFormula>
    </tableColumn>
    <tableColumn id="3" xr3:uid="{4DD2BE2C-792E-4DD0-B637-DAE7B52FE171}" name="Hoeveelheid [ton]" totalsRowFunction="sum" dataDxfId="1313" totalsRowDxfId="1314">
      <calculatedColumnFormula>Ontwerpberekening!R5</calculatedColumnFormula>
    </tableColumn>
    <tableColumn id="4" xr3:uid="{A541B4A8-D27F-451B-896D-49383418560C}" name="% Secundair" dataDxfId="1311" totalsRowDxfId="1312">
      <calculatedColumnFormula>_xlfn.IFNA(VLOOKUP(Referentie_Materiaal_Totaal46[[#This Row],[Product]]&amp;", "&amp;"Totaal",Database_Productkaarten[#All],64,FALSE),0)</calculatedColumnFormula>
    </tableColumn>
    <tableColumn id="5" xr3:uid="{711931BD-46CF-4CCD-946D-91B7E4A68C83}" name="Primair materiaalverbruik [ton]" totalsRowFunction="sum" dataDxfId="1309" totalsRowDxfId="1310">
      <calculatedColumnFormula>Referentie_Materiaal_Totaal46[[#This Row],[Hoeveelheid '[ton']]]*(1-Referentie_Materiaal_Totaal46[[#This Row],[% Secundair]])</calculatedColumnFormula>
    </tableColumn>
    <tableColumn id="6" xr3:uid="{E35F8F4B-57BD-4EC2-A379-4CA321BC25BB}" name="Secundair materiaalverbruik [ton]" totalsRowFunction="sum" dataDxfId="1307" totalsRowDxfId="1308">
      <calculatedColumnFormula>Referentie_Materiaal_Totaal46[[#This Row],[Hoeveelheid '[ton']]]*Referentie_Materiaal_Totaal46[[#This Row],[% Secundair]]</calculatedColumnFormula>
    </tableColumn>
    <tableColumn id="7" xr3:uid="{5CDF6D76-896B-4EE3-99A0-3AD4C283F4CD}" name="Hoeveelheid Vervaningen [ton]" totalsRowFunction="sum" dataDxfId="1305" totalsRowDxfId="1306">
      <calculatedColumnFormula>Ontwerpberekening!R5*Ontwerpberekening!T5</calculatedColumnFormula>
    </tableColumn>
    <tableColumn id="8" xr3:uid="{7527DBAD-1376-4E20-8606-72BB8B49699C}" name="Primair materiaalverbruik Vervangingen [ton]" totalsRowFunction="sum" dataDxfId="1303" totalsRowDxfId="1304">
      <calculatedColumnFormula>Referentie_Materiaal_Totaal46[[#This Row],[Hoeveelheid Vervaningen '[ton']]]*(1-Referentie_Materiaal_Totaal46[[#This Row],[% Secundair]])</calculatedColumnFormula>
    </tableColumn>
    <tableColumn id="9" xr3:uid="{9F71AB00-7F9B-46F1-8793-B8C1388A6575}" name="Secundair materiaalverbruik Vervangingen [ton]" totalsRowFunction="sum" dataDxfId="1301" totalsRowDxfId="1302">
      <calculatedColumnFormula>Referentie_Materiaal_Totaal46[[#This Row],[Hoeveelheid Vervaningen '[ton']]]*Referentie_Materiaal_Totaal46[[#This Row],[% Secundair]]</calculatedColumnFormula>
    </tableColumn>
    <tableColumn id="10" xr3:uid="{F4EAEB69-1BC5-4DDA-8537-76A59BE1E9DC}" name="Totaal Primair Materieelgebruik" totalsRowFunction="sum" dataDxfId="1299" totalsRowDxfId="1300">
      <calculatedColumnFormula>Referentie_Materiaal_Totaal46[[#This Row],[Primair materiaalverbruik '[ton']]]+Referentie_Materiaal_Totaal46[[#This Row],[Primair materiaalverbruik Vervangingen '[ton']]]</calculatedColumnFormula>
    </tableColumn>
    <tableColumn id="11" xr3:uid="{0DFA3C68-E564-47CB-ABE4-39A65A3BF781}" name="Totaal Secundair Materieelgebruik" totalsRowFunction="sum" dataDxfId="1297" totalsRowDxfId="1298">
      <calculatedColumnFormula>Referentie_Materiaal_Totaal46[[#This Row],[Secundair materiaalverbruik '[ton']]]+Referentie_Materiaal_Totaal46[[#This Row],[Secundair materiaalverbruik Vervangingen '[ton']]]</calculatedColumnFormula>
    </tableColumn>
    <tableColumn id="12" xr3:uid="{890E3DCF-B1A6-4991-B58B-A82AE530E366}" name="Totaal Materieelgebruik" totalsRowFunction="sum" dataDxfId="1295" totalsRowDxfId="1296">
      <calculatedColumnFormula>Referentie_Materiaal_Totaal46[[#This Row],[Totaal Primair Materieelgebruik]]+Referentie_Materiaal_Totaal46[[#This Row],[Totaal Secundair Materieelgebruik]]</calculatedColumnFormula>
    </tableColumn>
  </tableColumns>
  <tableStyleInfo name="TableStyleMedium1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6" xr:uid="{CD108456-263E-4848-ABE5-0D9BA4D69A74}" name="Referentie_Hernieuwbare_Energie_Totaal47" displayName="Referentie_Hernieuwbare_Energie_Totaal47" ref="B129:U167" totalsRowCount="1" headerRowDxfId="1294" dataDxfId="1293" totalsRowDxfId="1292">
  <autoFilter ref="B129:U166" xr:uid="{40AA3D09-0E06-534E-9C14-B5A2BDDB2846}"/>
  <tableColumns count="20">
    <tableColumn id="1" xr3:uid="{4449837B-4E1F-478B-A4AE-643684B77D8C}" name="Variant" totalsRowLabel="Totaal" dataDxfId="1290" totalsRowDxfId="1291">
      <calculatedColumnFormula>Ontwerpberekening!B5</calculatedColumnFormula>
    </tableColumn>
    <tableColumn id="18" xr3:uid="{781AB4A1-4A25-4063-B4E3-6D4EA5BC77AD}" name="Onderdeel" dataDxfId="1288" totalsRowDxfId="1289">
      <calculatedColumnFormula>Ontwerpberekening!C5</calculatedColumnFormula>
    </tableColumn>
    <tableColumn id="2" xr3:uid="{BCC1E924-81C2-4C1E-8FA8-6093CC52CD40}" name="Product" dataDxfId="1286" totalsRowDxfId="1287">
      <calculatedColumnFormula>Ontwerpberekening!G5</calculatedColumnFormula>
    </tableColumn>
    <tableColumn id="3" xr3:uid="{81AFE95C-70C5-4933-BF3A-6C7C6EC196B4}" name="A1" totalsRowFunction="sum" dataDxfId="1284" totalsRowDxfId="1285">
      <calculatedColumnFormula>(IF(Ontwerpberekening!E5="Nieuwe Situatie",(_xlfn.IFNA(VLOOKUP(Referentie_Hernieuwbare_Energie_Totaal47[[#This Row],[Product]]&amp;", "&amp;Referentie_Hernieuwbare_Energie_Totaal47[[#Headers],[A1]],Database_Productkaarten[#All],48,FALSE),0)*Ontwerpberekening!J5),0))/Ontwerpberekening!$A$2</calculatedColumnFormula>
    </tableColumn>
    <tableColumn id="4" xr3:uid="{6E0FBD15-1139-4BAE-82AE-448EC0DF7A49}" name="A2" totalsRowFunction="sum" dataDxfId="1282" totalsRowDxfId="1283">
      <calculatedColumnFormula>(IF(Ontwerpberekening!E5="Nieuwe Situatie",(_xlfn.IFNA(VLOOKUP(Referentie_Hernieuwbare_Energie_Totaal47[[#This Row],[Product]]&amp;", "&amp;Referentie_Hernieuwbare_Energie_Totaal47[[#Headers],[A2]],Database_Productkaarten[#All],48,FALSE),0)*Ontwerpberekening!J5),0))/Ontwerpberekening!$A$2</calculatedColumnFormula>
    </tableColumn>
    <tableColumn id="5" xr3:uid="{AE4DF76C-BBA7-478A-99B5-33DB6A566229}" name="A3" totalsRowFunction="sum" dataDxfId="1280" totalsRowDxfId="1281">
      <calculatedColumnFormula>(IF(Ontwerpberekening!E5="Nieuwe Situatie",(_xlfn.IFNA(VLOOKUP(Referentie_Hernieuwbare_Energie_Totaal47[[#This Row],[Product]]&amp;", "&amp;Referentie_Hernieuwbare_Energie_Totaal47[[#Headers],[A3]],Database_Productkaarten[#All],48,FALSE),0)*Ontwerpberekening!J5),0))/Ontwerpberekening!$A$2</calculatedColumnFormula>
    </tableColumn>
    <tableColumn id="19" xr3:uid="{CF0B25D2-6E9C-4A3B-BF55-E416D99C671B}" name="A1-A3" totalsRowFunction="sum" dataDxfId="1278" totalsRowDxfId="1279">
      <calculatedColumnFormula>(IF(Ontwerpberekening!E5="Nieuwe Situatie",(_xlfn.IFNA(VLOOKUP(Referentie_Hernieuwbare_Energie_Totaal47[[#This Row],[Product]]&amp;", "&amp;Referentie_Hernieuwbare_Energie_Totaal47[[#Headers],[A1-A3]],Database_Productkaarten[#All],48,FALSE),0)*Ontwerpberekening!J5),0))/Ontwerpberekening!$A$2</calculatedColumnFormula>
    </tableColumn>
    <tableColumn id="6" xr3:uid="{80F46A29-FBCA-47CA-9570-F6A47AE88535}" name="A4" totalsRowFunction="sum" dataDxfId="1276" totalsRowDxfId="1277">
      <calculatedColumnFormula>(IF(Ontwerpberekening!E5="Nieuwe Situatie",(_xlfn.IFNA(VLOOKUP(Referentie_Hernieuwbare_Energie_Totaal47[[#This Row],[Product]]&amp;", "&amp;Referentie_Hernieuwbare_Energie_Totaal47[[#Headers],[A4]],Database_Productkaarten[#All],48,FALSE),0)*Ontwerpberekening!R5),0))/Ontwerpberekening!$A$2</calculatedColumnFormula>
    </tableColumn>
    <tableColumn id="7" xr3:uid="{6ACBFB63-1327-41F6-B471-98B7B6E20279}" name="A5" totalsRowFunction="sum" dataDxfId="1274" totalsRowDxfId="1275">
      <calculatedColumnFormula>(IF(Ontwerpberekening!E5="Nieuwe Situatie",(_xlfn.IFNA(VLOOKUP(Referentie_Hernieuwbare_Energie_Totaal47[[#This Row],[Product]]&amp;", "&amp;Referentie_Hernieuwbare_Energie_Totaal47[[#Headers],[A5]],Database_Productkaarten[#All],48,FALSE),0)*Ontwerpberekening!J5),0))/Ontwerpberekening!$A$2</calculatedColumnFormula>
    </tableColumn>
    <tableColumn id="8" xr3:uid="{6FF62F63-5C97-40C5-9E9E-3E0BF45C2A04}" name="B1" totalsRowFunction="sum" dataDxfId="1272" totalsRowDxfId="1273">
      <calculatedColumnFormula>(IF(Ontwerpberekening!E5="Nieuwe Situatie",(_xlfn.IFNA(VLOOKUP(Referentie_Hernieuwbare_Energie_Totaal47[[#This Row],[Product]]&amp;", "&amp;Referentie_Hernieuwbare_Energie_Totaal47[[#Headers],[B1]],Database_Productkaarten[#All],48,FALSE),0)*Ontwerpberekening!J5),0))/Ontwerpberekening!$A$2</calculatedColumnFormula>
    </tableColumn>
    <tableColumn id="17" xr3:uid="{EEDE1203-ED56-4971-87C7-37B3EF0FF1EF}" name="B3" totalsRowFunction="sum" dataDxfId="1270" totalsRowDxfId="1271">
      <calculatedColumnFormula>(IF(Ontwerpberekening!E5="Nieuwe Situatie",(_xlfn.IFNA(VLOOKUP(Referentie_Hernieuwbare_Energie_Totaal47[[#This Row],[Product]]&amp;", "&amp;Referentie_Hernieuwbare_Energie_Totaal47[[#Headers],[B3]],Database_Productkaarten[#All],48,FALSE),0)*Ontwerpberekening!J5),0))/Ontwerpberekening!$A$2</calculatedColumnFormula>
    </tableColumn>
    <tableColumn id="9" xr3:uid="{4D96517B-8AD7-4B77-9182-C2571204BCDC}" name="B4" totalsRowFunction="sum" dataDxfId="1268" totalsRowDxfId="1269">
      <calculatedColumnFormula>(IF(Ontwerpberekening!E5="Nieuwe Situatie",(SUM(Referentie_Hernieuwbare_Energie_Totaal47[[#This Row],[A1]:[B1]],Referentie_Hernieuwbare_Energie_Totaal47[[#This Row],[C1]:[D2]])*Ontwerpberekening!T5),0))/Ontwerpberekening!$A$2</calculatedColumnFormula>
    </tableColumn>
    <tableColumn id="10" xr3:uid="{53957D35-9BAB-43E4-BF92-CD7A9ACAC3AC}" name="C1" totalsRowFunction="sum" dataDxfId="1266" totalsRowDxfId="1267">
      <calculatedColumnFormula>(IF(Ontwerpberekening!E5="Bestaande Situatie",(_xlfn.IFNA(VLOOKUP(Referentie_Hernieuwbare_Energie_Totaal47[[#This Row],[Product]]&amp;", "&amp;Referentie_Hernieuwbare_Energie_Totaal47[[#Headers],[C1]],Database_Productkaarten[#All],48,FALSE),0)*Ontwerpberekening!J5),0))/Ontwerpberekening!$A$2</calculatedColumnFormula>
    </tableColumn>
    <tableColumn id="11" xr3:uid="{2CB28654-EAF7-4322-B52E-819E72416023}" name="C2" totalsRowFunction="sum" dataDxfId="1264" totalsRowDxfId="1265">
      <calculatedColumnFormula>(IF(Ontwerpberekening!E5="Bestaande Situatie",(_xlfn.IFNA(VLOOKUP(Referentie_Hernieuwbare_Energie_Totaal47[[#This Row],[Product]]&amp;", "&amp;Referentie_Hernieuwbare_Energie_Totaal47[[#Headers],[C2]],Database_Productkaarten[#All],48,FALSE),0)*Ontwerpberekening!R5),0))/Ontwerpberekening!$A$2</calculatedColumnFormula>
    </tableColumn>
    <tableColumn id="12" xr3:uid="{1B70F11D-602A-40FB-B9C1-53550F0A4352}" name="C3" totalsRowFunction="sum" dataDxfId="1262" totalsRowDxfId="1263">
      <calculatedColumnFormula>(IF(Ontwerpberekening!E5="Bestaande Situatie",(_xlfn.IFNA(VLOOKUP(Referentie_Hernieuwbare_Energie_Totaal47[[#This Row],[Product]]&amp;", "&amp;Referentie_Hernieuwbare_Energie_Totaal47[[#Headers],[C3]],Database_Productkaarten[#All],48,FALSE),0)*Ontwerpberekening!J5),0))/Ontwerpberekening!$A$2</calculatedColumnFormula>
    </tableColumn>
    <tableColumn id="13" xr3:uid="{519ED50E-17EE-466E-9B43-580A0013158F}" name="C4" totalsRowFunction="sum" dataDxfId="1260" totalsRowDxfId="1261">
      <calculatedColumnFormula>(IF(Ontwerpberekening!E5="Bestaande Situatie",(_xlfn.IFNA(VLOOKUP(Referentie_Hernieuwbare_Energie_Totaal47[[#This Row],[Product]]&amp;", "&amp;Referentie_Hernieuwbare_Energie_Totaal47[[#Headers],[C4]],Database_Productkaarten[#All],48,FALSE),0)*Ontwerpberekening!J5),0))/Ontwerpberekening!$A$2</calculatedColumnFormula>
    </tableColumn>
    <tableColumn id="14" xr3:uid="{5E704890-9A4F-4234-9141-07DCBD571281}" name="D1" totalsRowFunction="sum" dataDxfId="1258" totalsRowDxfId="1259">
      <calculatedColumnFormula>(IF(Ontwerpberekening!E5="Bestaande Situatie",(_xlfn.IFNA(VLOOKUP(Referentie_Hernieuwbare_Energie_Totaal47[[#This Row],[Product]]&amp;", "&amp;Referentie_Hernieuwbare_Energie_Totaal47[[#Headers],[D1]],Database_Productkaarten[#All],48,FALSE),0)*Ontwerpberekening!J5),0))/Ontwerpberekening!$A$2</calculatedColumnFormula>
    </tableColumn>
    <tableColumn id="15" xr3:uid="{DB1F3093-923E-449B-A828-46520DE18006}" name="D2" totalsRowFunction="sum" dataDxfId="1256" totalsRowDxfId="1257">
      <calculatedColumnFormula>(IF(Ontwerpberekening!E5="Bestaande Situatie",(_xlfn.IFNA(VLOOKUP(Referentie_Hernieuwbare_Energie_Totaal47[[#This Row],[Product]]&amp;", "&amp;Referentie_Hernieuwbare_Energie_Totaal47[[#Headers],[D2]],Database_Productkaarten[#All],48,FALSE),0)*Ontwerpberekening!J5),0))/Ontwerpberekening!$A$2</calculatedColumnFormula>
    </tableColumn>
    <tableColumn id="20" xr3:uid="{FFBD203B-F9A1-4D0A-B789-47C08AD8DDE7}" name="D" totalsRowFunction="sum" dataDxfId="1254" totalsRowDxfId="1255">
      <calculatedColumnFormula>(IF(Ontwerpberekening!E5="Bestaande Situatie",(_xlfn.IFNA(VLOOKUP(Referentie_Hernieuwbare_Energie_Totaal47[[#This Row],[Product]]&amp;", "&amp;Referentie_Hernieuwbare_Energie_Totaal47[[#Headers],[D]],Database_Productkaarten[#All],48,FALSE),0)*Ontwerpberekening!J5),0))/Ontwerpberekening!$A$2</calculatedColumnFormula>
    </tableColumn>
    <tableColumn id="16" xr3:uid="{376A9618-7D6B-4D67-BBEF-E3B324652B85}" name="Totaal" totalsRowFunction="sum" dataDxfId="1252" totalsRowDxfId="1253">
      <calculatedColumnFormula>SUM(Referentie_Hernieuwbare_Energie_Totaal47[[#This Row],[A1-A3]:[C4]])+Referentie_Hernieuwbare_Energie_Totaal47[[#This Row],[D]]</calculatedColumnFormula>
    </tableColumn>
  </tableColumns>
  <tableStyleInfo name="TableStyleMedium1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7" xr:uid="{CD61FD36-6754-4DD5-BB09-F645D90DD3FE}" name="Referentie_Fossiele_Energie_Totaal48" displayName="Referentie_Fossiele_Energie_Totaal48" ref="B171:U209" totalsRowCount="1" headerRowDxfId="1251" dataDxfId="1250" totalsRowDxfId="1249">
  <autoFilter ref="B171:U208" xr:uid="{7930D990-5012-4A8A-971B-F37B69769CFA}"/>
  <tableColumns count="20">
    <tableColumn id="1" xr3:uid="{AAFB79A6-4B55-414E-9240-265B7D1F6052}" name="Variant" totalsRowLabel="Totaal" dataDxfId="1247" totalsRowDxfId="1248">
      <calculatedColumnFormula>Ontwerpberekening!B5</calculatedColumnFormula>
    </tableColumn>
    <tableColumn id="18" xr3:uid="{48393788-29B5-42D4-8BDF-C44381C8D503}" name="Onderdeel" dataDxfId="1245" totalsRowDxfId="1246">
      <calculatedColumnFormula>Ontwerpberekening!C5</calculatedColumnFormula>
    </tableColumn>
    <tableColumn id="2" xr3:uid="{51A30FB0-0E45-48DB-89A7-BE8BFEA41D29}" name="Product" dataDxfId="1243" totalsRowDxfId="1244">
      <calculatedColumnFormula>Ontwerpberekening!G5</calculatedColumnFormula>
    </tableColumn>
    <tableColumn id="3" xr3:uid="{FB0A1D5D-9BA5-4325-9DCD-533C54CF9CF1}" name="A1" totalsRowFunction="sum" dataDxfId="1241" totalsRowDxfId="1242">
      <calculatedColumnFormula>(IF(Ontwerpberekening!E5="Nieuwe Situatie",(_xlfn.IFNA(VLOOKUP(Referentie_Fossiele_Energie_Totaal48[[#This Row],[Product]]&amp;", "&amp;Referentie_Fossiele_Energie_Totaal48[[#Headers],[A1]],Database_Productkaarten[#All],51,FALSE),0)*Ontwerpberekening!J5),0))/Ontwerpberekening!$A$2</calculatedColumnFormula>
    </tableColumn>
    <tableColumn id="4" xr3:uid="{72E11148-AC3A-40DB-A920-29CF531CF84B}" name="A2" totalsRowFunction="sum" dataDxfId="1239" totalsRowDxfId="1240">
      <calculatedColumnFormula>(IF(Ontwerpberekening!E5="Nieuwe Situatie",(_xlfn.IFNA(VLOOKUP(Referentie_Fossiele_Energie_Totaal48[[#This Row],[Product]]&amp;", "&amp;Referentie_Fossiele_Energie_Totaal48[[#Headers],[A2]],Database_Productkaarten[#All],51,FALSE),0)*Ontwerpberekening!J5),0))/Ontwerpberekening!$A$2</calculatedColumnFormula>
    </tableColumn>
    <tableColumn id="5" xr3:uid="{A92418CE-B9EF-4832-A5DE-24EABD6036BC}" name="A3" totalsRowFunction="sum" dataDxfId="1237" totalsRowDxfId="1238">
      <calculatedColumnFormula>(IF(Ontwerpberekening!E5="Nieuwe Situatie",(_xlfn.IFNA(VLOOKUP(Referentie_Fossiele_Energie_Totaal48[[#This Row],[Product]]&amp;", "&amp;Referentie_Fossiele_Energie_Totaal48[[#Headers],[A3]],Database_Productkaarten[#All],51,FALSE),0)*Ontwerpberekening!J5),0))/Ontwerpberekening!$A$2</calculatedColumnFormula>
    </tableColumn>
    <tableColumn id="19" xr3:uid="{0BCDC541-2854-40E2-B579-2DDF9A36205A}" name="A1-A3" totalsRowFunction="sum" dataDxfId="1235" totalsRowDxfId="1236">
      <calculatedColumnFormula>(IF(Ontwerpberekening!E5="Nieuwe Situatie",(_xlfn.IFNA(VLOOKUP(Referentie_Fossiele_Energie_Totaal48[[#This Row],[Product]]&amp;", "&amp;Referentie_Fossiele_Energie_Totaal48[[#Headers],[A1-A3]],Database_Productkaarten[#All],51,FALSE),0)*Ontwerpberekening!J5),0))/Ontwerpberekening!$A$2</calculatedColumnFormula>
    </tableColumn>
    <tableColumn id="6" xr3:uid="{62633363-E6F5-4C5D-9957-827E66475DA5}" name="A4" totalsRowFunction="sum" dataDxfId="1233" totalsRowDxfId="1234">
      <calculatedColumnFormula>(IF(Ontwerpberekening!E5="Nieuwe Situatie",(_xlfn.IFNA(VLOOKUP(Referentie_Fossiele_Energie_Totaal48[[#This Row],[Product]]&amp;", "&amp;Referentie_Fossiele_Energie_Totaal48[[#Headers],[A4]],Database_Productkaarten[#All],51,FALSE),0)*Ontwerpberekening!R5),0))/Ontwerpberekening!$A$2</calculatedColumnFormula>
    </tableColumn>
    <tableColumn id="7" xr3:uid="{A0BB4FF6-A053-47DC-8555-D50708AC5417}" name="A5" totalsRowFunction="sum" dataDxfId="1231" totalsRowDxfId="1232">
      <calculatedColumnFormula>(IF(Ontwerpberekening!E5="Nieuwe Situatie",(_xlfn.IFNA(VLOOKUP(Referentie_Fossiele_Energie_Totaal48[[#This Row],[Product]]&amp;", "&amp;Referentie_Fossiele_Energie_Totaal48[[#Headers],[A5]],Database_Productkaarten[#All],51,FALSE),0)*Ontwerpberekening!J5),0))/Ontwerpberekening!$A$2</calculatedColumnFormula>
    </tableColumn>
    <tableColumn id="8" xr3:uid="{367D9A0D-A56F-41B7-8FA3-87F4208F4E4D}" name="B1" totalsRowFunction="sum" dataDxfId="1229" totalsRowDxfId="1230">
      <calculatedColumnFormula>(IF(Ontwerpberekening!E5="Nieuwe Situatie",(_xlfn.IFNA(VLOOKUP(Referentie_Fossiele_Energie_Totaal48[[#This Row],[Product]]&amp;", "&amp;Referentie_Fossiele_Energie_Totaal48[[#Headers],[B1]],Database_Productkaarten[#All],51,FALSE),0)*Ontwerpberekening!J5),0))/Ontwerpberekening!$A$2</calculatedColumnFormula>
    </tableColumn>
    <tableColumn id="17" xr3:uid="{29D0FB93-7D57-46CA-9991-920A9CE8DBC0}" name="B3" totalsRowFunction="sum" dataDxfId="1227" totalsRowDxfId="1228">
      <calculatedColumnFormula>(IF(Ontwerpberekening!E5="Nieuwe Situatie",(_xlfn.IFNA(VLOOKUP(Referentie_Fossiele_Energie_Totaal48[[#This Row],[Product]]&amp;", "&amp;Referentie_Fossiele_Energie_Totaal48[[#Headers],[B3]],Database_Productkaarten[#All],51,FALSE),0)*Ontwerpberekening!J5),0))/Ontwerpberekening!$A$2</calculatedColumnFormula>
    </tableColumn>
    <tableColumn id="9" xr3:uid="{FBF6952E-C6F9-4773-8DC8-9958EE797FDD}" name="B4" totalsRowFunction="sum" dataDxfId="1225" totalsRowDxfId="1226">
      <calculatedColumnFormula>(IF(Ontwerpberekening!E5="Nieuwe Situatie",(SUM(Referentie_Fossiele_Energie_Totaal48[[#This Row],[A1]:[B1]],Referentie_Fossiele_Energie_Totaal48[[#This Row],[C1]:[D2]])*Ontwerpberekening!N5),0))/Ontwerpberekening!$A$2</calculatedColumnFormula>
    </tableColumn>
    <tableColumn id="10" xr3:uid="{D8896D1F-6317-4C3B-99FD-EEFB6C6F7C67}" name="C1" totalsRowFunction="sum" dataDxfId="1223" totalsRowDxfId="1224">
      <calculatedColumnFormula>(IF(Ontwerpberekening!E5="Bestaande Situatie",(_xlfn.IFNA(VLOOKUP(Referentie_Fossiele_Energie_Totaal48[[#This Row],[Product]]&amp;", "&amp;Referentie_Fossiele_Energie_Totaal48[[#Headers],[C1]],Database_Productkaarten[#All],51,FALSE),0)*Ontwerpberekening!J5),0))/Ontwerpberekening!$A$2</calculatedColumnFormula>
    </tableColumn>
    <tableColumn id="11" xr3:uid="{ED80CC68-3FE9-400E-A8B2-5548B2452B1E}" name="C2" totalsRowFunction="sum" dataDxfId="1221" totalsRowDxfId="1222">
      <calculatedColumnFormula>(IF(Ontwerpberekening!E5="Bestaande Situatie",(_xlfn.IFNA(VLOOKUP(Referentie_Fossiele_Energie_Totaal48[[#This Row],[Product]]&amp;", "&amp;Referentie_Fossiele_Energie_Totaal48[[#Headers],[C2]],Database_Productkaarten[#All],51,FALSE),0)*Ontwerpberekening!R5),0))/Ontwerpberekening!$A$2</calculatedColumnFormula>
    </tableColumn>
    <tableColumn id="12" xr3:uid="{128D67BB-92F5-4908-9C94-043EA1668CD9}" name="C3" totalsRowFunction="sum" dataDxfId="1219" totalsRowDxfId="1220">
      <calculatedColumnFormula>(IF(Ontwerpberekening!E5="Bestaande Situatie",(_xlfn.IFNA(VLOOKUP(Referentie_Fossiele_Energie_Totaal48[[#This Row],[Product]]&amp;", "&amp;Referentie_Fossiele_Energie_Totaal48[[#Headers],[C3]],Database_Productkaarten[#All],51,FALSE),0)*Ontwerpberekening!J5),0))/Ontwerpberekening!$A$2</calculatedColumnFormula>
    </tableColumn>
    <tableColumn id="13" xr3:uid="{C56884EC-8CBD-4DF8-AC7D-485CF21E6258}" name="C4" totalsRowFunction="sum" dataDxfId="1217" totalsRowDxfId="1218">
      <calculatedColumnFormula>(IF(Ontwerpberekening!E5="Bestaande Situatie",(_xlfn.IFNA(VLOOKUP(Referentie_Fossiele_Energie_Totaal48[[#This Row],[Product]]&amp;", "&amp;Referentie_Fossiele_Energie_Totaal48[[#Headers],[C4]],Database_Productkaarten[#All],51,FALSE),0)*Ontwerpberekening!J5),0))/Ontwerpberekening!$A$2</calculatedColumnFormula>
    </tableColumn>
    <tableColumn id="14" xr3:uid="{1243EA10-74BF-4F0F-84CB-22E47D6CA4DF}" name="D1" totalsRowFunction="sum" dataDxfId="1215" totalsRowDxfId="1216">
      <calculatedColumnFormula>(IF(Ontwerpberekening!E5="Bestaande Situatie",(_xlfn.IFNA(VLOOKUP(Referentie_Fossiele_Energie_Totaal48[[#This Row],[Product]]&amp;", "&amp;Referentie_Fossiele_Energie_Totaal48[[#Headers],[D1]],Database_Productkaarten[#All],51,FALSE),0)*Ontwerpberekening!J5),0))/Ontwerpberekening!$A$2</calculatedColumnFormula>
    </tableColumn>
    <tableColumn id="15" xr3:uid="{14272944-F9B9-4A10-89B3-E508E619ECF5}" name="D2" totalsRowFunction="sum" dataDxfId="1213" totalsRowDxfId="1214">
      <calculatedColumnFormula>(IF(Ontwerpberekening!E5="Bestaande Situatie",(_xlfn.IFNA(VLOOKUP(Referentie_Fossiele_Energie_Totaal48[[#This Row],[Product]]&amp;", "&amp;Referentie_Fossiele_Energie_Totaal48[[#Headers],[D2]],Database_Productkaarten[#All],51,FALSE),0)*Ontwerpberekening!J5),0))/Ontwerpberekening!$A$2</calculatedColumnFormula>
    </tableColumn>
    <tableColumn id="20" xr3:uid="{2046B662-569F-4600-83CE-310B48210B19}" name="D" totalsRowFunction="sum" dataDxfId="1211" totalsRowDxfId="1212">
      <calculatedColumnFormula>(IF(Ontwerpberekening!E5="Bestaande Situatie",(_xlfn.IFNA(VLOOKUP(Referentie_Fossiele_Energie_Totaal48[[#This Row],[Product]]&amp;", "&amp;Referentie_Fossiele_Energie_Totaal48[[#Headers],[D]],Database_Productkaarten[#All],51,FALSE),0)*Ontwerpberekening!J5),0))/Ontwerpberekening!$A$2</calculatedColumnFormula>
    </tableColumn>
    <tableColumn id="16" xr3:uid="{89211146-412E-45F7-9CC1-8A824C9BAD92}" name="Totaal" totalsRowFunction="sum" dataDxfId="1209" totalsRowDxfId="1210">
      <calculatedColumnFormula>SUM(Referentie_Fossiele_Energie_Totaal48[[#This Row],[A1-A3]:[C4]])+Referentie_Fossiele_Energie_Totaal48[[#This Row],[D]]</calculatedColumnFormula>
    </tableColumn>
  </tableColumns>
  <tableStyleInfo name="TableStyleMedium1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8" xr:uid="{DB27CCA3-5CC0-4C03-A01C-55548767C209}" name="Ontwerp_Transport_Totaal" displayName="Ontwerp_Transport_Totaal" ref="B213:N243" totalsRowCount="1" dataDxfId="1208" headerRowBorderDxfId="1206" tableBorderDxfId="1207">
  <autoFilter ref="B213:N242" xr:uid="{2EBC1538-A809-42FF-B9CA-72FFEA92DD06}"/>
  <tableColumns count="13">
    <tableColumn id="1" xr3:uid="{91BB4210-23E2-43EE-8653-C854D784AB64}" name="Variant" totalsRowLabel="Totaal" dataDxfId="1204" totalsRowDxfId="1205">
      <calculatedColumnFormula>Ontwerpberekening!B5</calculatedColumnFormula>
    </tableColumn>
    <tableColumn id="2" xr3:uid="{5CFADE2D-6ED8-443F-9C86-8AE337E7BBAF}" name="Product" dataDxfId="1202" totalsRowDxfId="1203">
      <calculatedColumnFormula>Ontwerpberekening!E5</calculatedColumnFormula>
    </tableColumn>
    <tableColumn id="3" xr3:uid="{4AE58CC1-29B2-4BF9-9738-0E3BADB4E5CA}" name="Transport naar bouwplaats [tkm]" dataDxfId="1200" totalsRowDxfId="1201"/>
    <tableColumn id="4" xr3:uid="{8E96392B-4ED7-4855-901D-738AC77EC8F2}" name="Transport naar verwerker [tkm]" dataDxfId="1198" totalsRowDxfId="1199"/>
    <tableColumn id="5" xr3:uid="{5011E81B-4723-4CC6-937A-6C88E3577B27}" name="Emissieloos Transport naar bouwplaats?" dataDxfId="1196" totalsRowDxfId="1197"/>
    <tableColumn id="6" xr3:uid="{07497326-DECE-4FC4-B9A0-7293BBF4C74A}" name="Emissieloos Transport naar verwerker?" dataDxfId="1194" totalsRowDxfId="1195"/>
    <tableColumn id="7" xr3:uid="{13AA2844-8019-4798-A66B-75ABFE524FE0}" name="Emissieloos Transport" dataDxfId="1192" totalsRowDxfId="1193">
      <calculatedColumnFormula>IF(Ontwerp_Transport_Totaal[[#This Row],[Emissieloos Transport naar bouwplaats?]]="JA",Ontwerp_Transport_Totaal[[#This Row],[Transport naar bouwplaats '[tkm']]],0)+IF(Ontwerp_Transport_Totaal[[#This Row],[Emissieloos Transport naar verwerker?]]="JA",Ontwerp_Transport_Totaal[[#This Row],[Transport naar verwerker '[tkm']]],0)</calculatedColumnFormula>
    </tableColumn>
    <tableColumn id="8" xr3:uid="{F6DEF0F6-8EB5-433B-B091-3B0B56C66736}" name="Transport naar bouwplaats Vervangingen [tkm]" dataDxfId="1190" totalsRowDxfId="1191"/>
    <tableColumn id="9" xr3:uid="{29F63910-F4F4-4E80-95A3-60A4A7D5E380}" name="Transport naar verwerker Vervangingen [tkm]" dataDxfId="1188" totalsRowDxfId="1189"/>
    <tableColumn id="10" xr3:uid="{3813EC57-302F-4C54-B3B1-7398544166F3}" name="Emissieloos Transport Vervangingen" dataDxfId="1186" totalsRowDxfId="1187">
      <calculatedColumnFormula>IF(Ontwerp_Transport_Totaal[[#This Row],[Emissieloos Transport naar bouwplaats?]]="JA",Ontwerp_Transport_Totaal[[#This Row],[Transport naar bouwplaats Vervangingen '[tkm']]],0)+IF(Ontwerp_Transport_Totaal[[#This Row],[Emissieloos Transport naar verwerker?]]="JA",Ontwerp_Transport_Totaal[[#This Row],[Transport naar verwerker Vervangingen '[tkm']]],0)</calculatedColumnFormula>
    </tableColumn>
    <tableColumn id="11" xr3:uid="{2591A0CC-DF6B-4E9E-A910-DE7F48E207D6}" name="Totaal Emissieloos Transport" dataDxfId="1184" totalsRowDxfId="1185">
      <calculatedColumnFormula>Ontwerp_Transport_Totaal[[#This Row],[Emissieloos Transport]]+Ontwerp_Transport_Totaal[[#This Row],[Emissieloos Transport Vervangingen]]</calculatedColumnFormula>
    </tableColumn>
    <tableColumn id="12" xr3:uid="{7869C3E9-7F49-4E0F-B3C9-FE5635AA1794}" name="Totaal Niet Emissieloos Transport" dataDxfId="1182" totalsRowDxfId="1183">
      <calculatedColumnFormula>(Ontwerp_Transport_Totaal[[#This Row],[Transport naar bouwplaats '[tkm']]]+Ontwerp_Transport_Totaal[[#This Row],[Transport naar verwerker '[tkm']]]+Ontwerp_Transport_Totaal[[#This Row],[Transport naar bouwplaats Vervangingen '[tkm']]]+Ontwerp_Transport_Totaal[[#This Row],[Transport naar verwerker Vervangingen '[tkm']]])-Ontwerp_Transport_Totaal[[#This Row],[Totaal Emissieloos Transport]]</calculatedColumnFormula>
    </tableColumn>
    <tableColumn id="13" xr3:uid="{519EC24E-435C-443F-BFB2-476F52CAD5B0}" name="Totaal Transport" dataDxfId="1180" totalsRowDxfId="1181">
      <calculatedColumnFormula>Ontwerp_Transport_Totaal[[#This Row],[Totaal Emissieloos Transport]]+Ontwerp_Transport_Totaal[[#This Row],[Totaal Niet Emissieloos Transport]]</calculatedColumnFormula>
    </tableColumn>
  </tableColumns>
  <tableStyleInfo name="TableStyleMedium11"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0" xr:uid="{46025670-1228-4DF5-A3A3-38A6DFF0509C}" name="Referentie_Bouwplaats_Totaal61" displayName="Referentie_Bouwplaats_Totaal61" ref="B247:N277" totalsRowCount="1" dataDxfId="1179" headerRowBorderDxfId="1177" tableBorderDxfId="1178">
  <autoFilter ref="B247:N276" xr:uid="{4A43CBAC-F7A2-405D-B423-4679C1E621D1}"/>
  <tableColumns count="13">
    <tableColumn id="1" xr3:uid="{B9AF4E08-BCD0-455F-A8D0-04183C4C29AF}" name="Variant" totalsRowLabel="Totaal" dataDxfId="1175" totalsRowDxfId="1176">
      <calculatedColumnFormula>Ontwerpberekening!B5</calculatedColumnFormula>
    </tableColumn>
    <tableColumn id="2" xr3:uid="{2D8EAE1C-E74A-40AC-9018-B35C94301538}" name="Product" dataDxfId="1173" totalsRowDxfId="1174">
      <calculatedColumnFormula>Ontwerpberekening!E5</calculatedColumnFormula>
    </tableColumn>
    <tableColumn id="3" xr3:uid="{7F6BC458-6B9C-4459-8FC1-7DD1DCB777D2}" name="Draaiuren Bouw" totalsRowFunction="sum" dataDxfId="1171" totalsRowDxfId="1172"/>
    <tableColumn id="4" xr3:uid="{98DF10A5-DF0D-44C0-9B9D-A7B1734D0F2A}" name="Draaiuren Sloop" totalsRowFunction="sum" dataDxfId="1169" totalsRowDxfId="1170"/>
    <tableColumn id="5" xr3:uid="{32E8A838-831D-4727-B089-6BC7C0A5911B}" name="Emissieloos Bouwmaterieel" totalsRowFunction="sum" dataDxfId="1167" totalsRowDxfId="1168"/>
    <tableColumn id="6" xr3:uid="{EEB472AD-D534-4162-AF02-3CDC656B6FD2}" name="Emissieloos Sloopmaterieel" totalsRowFunction="sum" dataDxfId="1165" totalsRowDxfId="1166"/>
    <tableColumn id="7" xr3:uid="{866EAB8E-45A6-44E1-8996-A5E3A3A22CA7}" name="Emissieloos bouwplaats" totalsRowFunction="sum" dataDxfId="1163" totalsRowDxfId="1164"/>
    <tableColumn id="8" xr3:uid="{D01A15B7-DBDC-41B7-B255-ED3BA0F37816}" name="Draaiuren Bouw Vervangingen" totalsRowFunction="sum" dataDxfId="1161" totalsRowDxfId="1162"/>
    <tableColumn id="9" xr3:uid="{E8F33F83-1864-401B-9CC1-B333BE0D9B87}" name="Draaiuren Sloop Vervangingen" totalsRowFunction="sum" dataDxfId="1159" totalsRowDxfId="1160"/>
    <tableColumn id="10" xr3:uid="{E86A2B0D-46C0-4204-BD2A-03ABC3266A4E}" name="Emissieloos bouwplaats Vervangingen" totalsRowFunction="sum" dataDxfId="1157" totalsRowDxfId="1158"/>
    <tableColumn id="11" xr3:uid="{21160198-5E4C-45BB-8AC4-88C0D823DC2B}" name="Totaal Emissieloos Bouwplaats" totalsRowFunction="sum" dataDxfId="1155" totalsRowDxfId="1156"/>
    <tableColumn id="12" xr3:uid="{C9925FEE-2249-43E1-BEBC-F520B26889C6}" name="Totaal Niet Emissieloos Bouwplaats" totalsRowFunction="sum" dataDxfId="1153" totalsRowDxfId="1154"/>
    <tableColumn id="13" xr3:uid="{35D1AF06-AA2B-4429-A19C-D80FC520B5CD}" name="Totaal Bouwplaats" totalsRowFunction="sum" dataDxfId="1151" totalsRowDxfId="1152"/>
  </tableColumns>
  <tableStyleInfo name="TableStyleMedium11"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E678168-5B31-420A-AABF-8EC1EFE6FB7E}" name="Invoer_Referentie" displayName="Invoer_Referentie" ref="B5:AF105" totalsRowShown="0" headerRowDxfId="1143" dataDxfId="1142">
  <autoFilter ref="B5:AF105" xr:uid="{0E678168-5B31-420A-AABF-8EC1EFE6FB7E}">
    <filterColumn colId="0">
      <customFilters>
        <customFilter operator="notEqual" val=" "/>
      </customFilters>
    </filterColumn>
  </autoFilter>
  <tableColumns count="31">
    <tableColumn id="10" xr3:uid="{13F0CB1B-E511-418A-8638-49905962F11A}" name="Bestekspost" dataDxfId="1141"/>
    <tableColumn id="1" xr3:uid="{4B834608-F315-4444-937F-1512654E3E13}" name="Bestaande Situatie of Nieuw Sitautie?" dataDxfId="1140"/>
    <tableColumn id="14" xr3:uid="{0FE17F31-17CD-4D01-BA20-D1C72DB1C7C4}" name="Kostenraming [€]" dataDxfId="1139"/>
    <tableColumn id="12" xr3:uid="{87B32B31-DEF6-4298-90B6-57AC4CF4A451}" name="Productgroep" dataDxfId="1138"/>
    <tableColumn id="2" xr3:uid="{EE9FEF7F-1121-483A-85D7-942DAD8EE187}" name="Product" dataDxfId="1137"/>
    <tableColumn id="4" xr3:uid="{3653D305-6E07-4E47-A87D-26889D857E53}" name="Category" dataDxfId="1136">
      <calculatedColumnFormula>_xlfn.IFNA(VLOOKUP(Invoer_Referentie[[#This Row],[Product]],Database_Productkaarten[[Product]:[Comment]],64,FALSE),0)</calculatedColumnFormula>
    </tableColumn>
    <tableColumn id="22" xr3:uid="{83EDFAC5-EE8C-42B9-B7A7-F86EF8E4AF7B}" name="Producttype" dataDxfId="1135">
      <calculatedColumnFormula>_xlfn.IFNA(VLOOKUP(Invoer_Referentie[[#This Row],[Product]],Database_Productkaarten[[Product]:[Producttype]],3,FALSE),0)</calculatedColumnFormula>
    </tableColumn>
    <tableColumn id="6" xr3:uid="{BCB9F575-9D6A-492B-BFFD-BE2671B17F1B}" name="Aantal Eenheden" dataDxfId="1134"/>
    <tableColumn id="24" xr3:uid="{87F7D059-622A-4C23-AF6B-715EE5CCB59B}" name="Eenheid" dataDxfId="1133">
      <calculatedColumnFormula>_xlfn.IFNA(VLOOKUP(Invoer_Referentie[[#This Row],[Product]],Database_Productkaarten[[Product]:[Eenheid]],4,FALSE),0)</calculatedColumnFormula>
    </tableColumn>
    <tableColumn id="25" xr3:uid="{2A28DCED-93CE-48B8-871E-678CF7B352CF}" name="Lengte[m]" dataDxfId="1132"/>
    <tableColumn id="26" xr3:uid="{D98CB1FB-828E-46A5-884A-9D50BDA5AF93}" name="Breedte [m]" dataDxfId="1131"/>
    <tableColumn id="27" xr3:uid="{83208E47-CBAB-4CF5-ADF6-F926B6CB1A5F}" name="Dikte [m]" dataDxfId="1130"/>
    <tableColumn id="3" xr3:uid="{38B20AD1-6A85-42C4-B6D4-5F0FD840C388}" name="Oppervlakte [m2]" dataDxfId="1129">
      <calculatedColumnFormula>Invoer_Referentie[[#This Row],[Lengte'[m']]]*Invoer_Referentie[[#This Row],[Breedte '[m']]]</calculatedColumnFormula>
    </tableColumn>
    <tableColumn id="23" xr3:uid="{E9E19F8A-4387-4152-B5AC-ACB31DEA7D0D}" name="Volume [m3]" dataDxfId="1128">
      <calculatedColumnFormula>IFERROR(IF(Invoer_Referentie[[#This Row],[Oppervlakte '[m2']]]*Invoer_Referentie[[#This Row],[Dikte '[m']]]=0,Invoer_Referentie[[#This Row],[Gewicht '[ton']]]/Invoer_Referentie[[#This Row],[Soortelijk gewicht '[ton / m3']]],Invoer_Referentie[[#This Row],[Oppervlakte '[m2']]]*Invoer_Referentie[[#This Row],[Dikte '[m']]]),0)</calculatedColumnFormula>
    </tableColumn>
    <tableColumn id="5" xr3:uid="{E697436E-9E5E-4A1D-8914-21AFCE0ECD7A}" name="Soortelijk gewicht [ton / m3]" dataDxfId="1127">
      <calculatedColumnFormula>_xlfn.IFNA(VLOOKUP(Invoer_Referentie[[#This Row],[Product]],Database_Productkaarten[[Product]:[Soortelijk Gewicht '[ton / m3']]],11,FALSE),0)</calculatedColumnFormula>
    </tableColumn>
    <tableColumn id="7" xr3:uid="{E0B4AC62-A4CA-473C-856C-988AD7BC2ADC}" name="Gewicht [ton]" dataDxfId="1126">
      <calculatedColumnFormula>_xlfn.IFNA(VLOOKUP(Invoer_Referentie[[#This Row],[Product]],Database_Productkaarten[[Product]:[Gewicht '[ton'] / Eenheid]],12,FALSE)*Invoer_Referentie[[#This Row],[Aantal Eenheden]],0)</calculatedColumnFormula>
    </tableColumn>
    <tableColumn id="9" xr3:uid="{FBA878AF-0A63-42E7-A636-84D5B8A970FB}" name="Vervangingen" dataDxfId="1125">
      <calculatedColumnFormula>MAX(IFERROR($E$2/IF(Invoer_Referentie[[#This Row],[Productgroep]]="Categorie_1_LCA_Producten",VLOOKUP(Invoer_Referentie[[#This Row],[Product]],Categorie_1_Producten[#All],7,FALSE),VLOOKUP(Invoer_Referentie[[#This Row],[Product]]&amp;", "&amp;"Totaal",Database_Productkaarten[#All],15,FALSE))-1,0),0)</calculatedColumnFormula>
    </tableColumn>
    <tableColumn id="8" xr3:uid="{E4B7CCE3-1860-49AB-9B3D-DA38D89AB018}" name="A4 - Transportafstand naar bouwplaats [km]" dataDxfId="1124"/>
    <tableColumn id="11" xr3:uid="{BCC31B3F-DD6C-4C70-933C-2B53BB0C3097}" name="A4 - Transportmiddel naar bouwplaats" dataDxfId="1123"/>
    <tableColumn id="15" xr3:uid="{241B6F36-1C11-460E-A39B-1392F5C90F33}" name="A5 - Asfalt Aanlegset" dataDxfId="1122"/>
    <tableColumn id="16" xr3:uid="{918C4224-6727-47C1-B908-C00FCEDBE717}" name="A5 - Overig Materieel tbv Aanleg" dataDxfId="1121"/>
    <tableColumn id="30" xr3:uid="{4AB546E1-F0A0-4C49-A980-1744C026CD37}" name="A5 - Verbruik overig materieel [liter - kWh - kg / uur]" dataDxfId="1120">
      <calculatedColumnFormula>_xlfn.IFNA(VLOOKUP(Invoer_Referentie[[#This Row],[Product]],Brandstofverbuiken[#All],4,FALSE),0)</calculatedColumnFormula>
    </tableColumn>
    <tableColumn id="28" xr3:uid="{D9CCE636-187A-4E27-A423-0DC59497DE3E}" name="A5 - Capaciteit overig materieel [Eenheden / uur]" dataDxfId="1119">
      <calculatedColumnFormula>_xlfn.IFNA(VLOOKUP(Invoer_Referentie[[#This Row],[Product]],Brandstofverbuiken[#All],5,FALSE),0)</calculatedColumnFormula>
    </tableColumn>
    <tableColumn id="17" xr3:uid="{B322A1EC-E02F-4A62-B402-2636BE57F0C7}" name="C1 - Asfalt Verwijderset" dataDxfId="1118"/>
    <tableColumn id="18" xr3:uid="{46B23281-EA21-45CA-BA88-FAD2E5692020}" name="C1 - Overig Materieel tbv Verwijderen" dataDxfId="1117"/>
    <tableColumn id="31" xr3:uid="{1F63B815-E4CC-4DBB-819F-4CF43C2AA8AF}" name="C1 - Verbruik overige materieel [liter - kWh - kg / uur]" dataDxfId="1116">
      <calculatedColumnFormula>_xlfn.IFNA(VLOOKUP(Invoer_Referentie[[#This Row],[Product]],Brandstofverbuiken[#All],7,FALSE),0)</calculatedColumnFormula>
    </tableColumn>
    <tableColumn id="29" xr3:uid="{048C9C80-5208-41AB-BD6B-B4046DE7297C}" name="C1 - Capaciteit overig materieel [Eenheden / uur]" dataDxfId="1115">
      <calculatedColumnFormula>_xlfn.IFNA(VLOOKUP(Invoer_Referentie[[#This Row],[Product]],Brandstofverbuiken[#All],8,FALSE),0)</calculatedColumnFormula>
    </tableColumn>
    <tableColumn id="19" xr3:uid="{70F02076-0F75-4C39-AAB4-FE75BB4E2A1D}" name="C2 - Transportafstand naar verwerker [km]" dataDxfId="1114"/>
    <tableColumn id="20" xr3:uid="{536ADE64-2E6C-4E1C-A9BC-D6BAF68C43AB}" name="C2 - Transportmiddel naar verwerker" dataDxfId="1113"/>
    <tableColumn id="21" xr3:uid="{420D7D13-2B71-4D2F-A614-A613744C50EB}" name="C3 - Verwerkingsset" dataDxfId="1112"/>
    <tableColumn id="13" xr3:uid="{CB3DABEF-17C3-4585-9A2E-39AF49851144}" name="Uitgangspunten" dataDxfId="1111"/>
  </tableColumns>
  <tableStyleInfo name="TableStyleMedium11"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0" xr:uid="{D6E8480C-BCF3-459E-BDBD-78FE005D6546}" name="Project_ID_Referentie" displayName="Project_ID_Referentie" ref="B1:H4" totalsRowShown="0" headerRowDxfId="1110" dataDxfId="1109">
  <autoFilter ref="B1:H4" xr:uid="{D6E8480C-BCF3-459E-BDBD-78FE005D6546}">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C79D0A8E-2B5F-42CD-A33B-8B6353AA860A}" name="Opdrachtgever" dataDxfId="1108" dataCellStyle="Standaard 2"/>
    <tableColumn id="2" xr3:uid="{DC0C4C2B-355E-4A7F-B703-4695297EC36B}" name="Opdrachtnemer" dataDxfId="1107"/>
    <tableColumn id="3" xr3:uid="{1BBDCD31-45BA-4B88-B4D4-05855BE5E830}" name="Project ID" dataDxfId="1106"/>
    <tableColumn id="4" xr3:uid="{067895B7-91A9-4DE4-9DD6-362D6C927C46}" name="Project levensduur" dataDxfId="1105"/>
    <tableColumn id="5" xr3:uid="{3948564D-5902-4510-929B-A443EEC62145}" name="Project datum" dataDxfId="1104"/>
    <tableColumn id="6" xr3:uid="{F716FA02-684A-4557-B129-6311FFF4E0B2}" name="Scope" dataDxfId="1103"/>
    <tableColumn id="7" xr3:uid="{A318060F-C1F9-4D49-BF1A-C8171C19A069}" name="Version" dataDxfId="1102"/>
  </tableColumns>
  <tableStyleInfo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3F9A2857-3722-47B7-AF95-7C61007FC594}" name="Referentie_MKI_Totaal" displayName="Referentie_MKI_Totaal" ref="B3:S104" totalsRowCount="1" headerRowDxfId="1101" dataDxfId="1100" totalsRowDxfId="1099">
  <autoFilter ref="B3:S103" xr:uid="{3F9A2857-3722-47B7-AF95-7C61007FC594}">
    <filterColumn colId="1">
      <filters>
        <filter val="AC bin/base 50% PR - PCR 2.0"/>
        <filter val="AC surf rood, met penbitumen - PCR 2.0"/>
        <filter val="Baksteen"/>
        <filter val="Betonbuis 500 mm"/>
        <filter val="Betonbuis 800 mm"/>
        <filter val="Betonstraatsteen 210x105x80"/>
        <filter val="Betontegel 300x300x45"/>
        <filter val="Fosforslakmengsel 200mm"/>
        <filter val="Gebakken klinker keiformaat"/>
        <filter val="Gebakken klinker keiformaat (hergebruik)"/>
        <filter val="Grasbetontegel CEM I 120 mm"/>
        <filter val="Kolk, Staal &amp; Beton"/>
        <filter val="Menggranulaat 250mm"/>
        <filter val="Menggranulaat 300mm"/>
        <filter val="Ophoogmateriaal (Grond)"/>
        <filter val="Ophoogmateriaal (Zand)"/>
        <filter val="Opsluitband 100x200"/>
        <filter val="Opsluitband 150x250"/>
        <filter val="RWSband 115/225x250"/>
        <filter val="Trottoirband 130/150x250"/>
        <filter val="Trottoirband 180/200x250"/>
      </filters>
    </filterColumn>
  </autoFilter>
  <tableColumns count="18">
    <tableColumn id="1" xr3:uid="{9AADEDDC-46C2-438F-A163-936C16D75DF8}" name="Bestekspost" totalsRowLabel="Totaal" dataDxfId="1097" totalsRowDxfId="1098">
      <calculatedColumnFormula>Baseline!B6</calculatedColumnFormula>
    </tableColumn>
    <tableColumn id="2" xr3:uid="{51AAEBD7-B06F-46A7-BC39-3FF99344D0D6}" name="Product" dataDxfId="1095" totalsRowDxfId="1096">
      <calculatedColumnFormula>Baseline!F6</calculatedColumnFormula>
    </tableColumn>
    <tableColumn id="3" xr3:uid="{BDBEC21C-B7A9-442E-B87E-54797F93A193}" name="A1" totalsRowFunction="sum" dataDxfId="1093" totalsRowDxfId="1094">
      <calculatedColumnFormula>(IF(Baseline!C6="Nieuwe Situatie",(_xlfn.IFNA(VLOOKUP(Referentie_MKI_Totaal[[#This Row],[Product]]&amp;", "&amp;Referentie_MKI_Totaal[[#Headers],[A1]],Database_Productkaarten[#All],14,FALSE),0)*Baseline!I6),0))</calculatedColumnFormula>
    </tableColumn>
    <tableColumn id="4" xr3:uid="{D9616AB3-4C96-4AEB-B58C-E0DCF177DC6A}" name="A2" totalsRowFunction="sum" dataDxfId="1091" totalsRowDxfId="1092">
      <calculatedColumnFormula>(IF(Baseline!C6="Nieuwe Situatie",(_xlfn.IFNA(VLOOKUP(Referentie_MKI_Totaal[[#This Row],[Product]]&amp;", "&amp;Referentie_MKI_Totaal[[#Headers],[A2]],Database_Productkaarten[#All],14,FALSE),0)*Baseline!I6),0))</calculatedColumnFormula>
    </tableColumn>
    <tableColumn id="5" xr3:uid="{D83E34F3-8182-4F07-A7F1-765FB5398959}" name="A3" totalsRowFunction="sum" dataDxfId="1089" totalsRowDxfId="1090">
      <calculatedColumnFormula>(IF(Baseline!C6="Nieuwe Situatie",(_xlfn.IFNA(VLOOKUP(Referentie_MKI_Totaal[[#This Row],[Product]]&amp;", "&amp;Referentie_MKI_Totaal[[#Headers],[A3]],Database_Productkaarten[#All],14,FALSE),0)*Baseline!I6),0))</calculatedColumnFormula>
    </tableColumn>
    <tableColumn id="17" xr3:uid="{71152FDA-CD93-4D41-9511-ADD40C1CAEEA}" name="A1-A3" totalsRowFunction="sum" dataDxfId="1087" totalsRowDxfId="1088">
      <calculatedColumnFormula>(IF(Baseline!C6="Nieuwe Situatie",(_xlfn.IFNA(VLOOKUP(Referentie_MKI_Totaal[[#This Row],[Product]]&amp;", "&amp;Referentie_MKI_Totaal[[#Headers],[A1-A3]],Database_Productkaarten[#All],14,FALSE),0)*Baseline!I6),0))</calculatedColumnFormula>
    </tableColumn>
    <tableColumn id="6" xr3:uid="{8DEA73B0-18EE-48C1-8E27-24F7F7599D60}" name="A4" totalsRowFunction="sum" dataDxfId="1085" totalsRowDxfId="1086">
      <calculatedColumnFormula>IF(Baseline!T6=0,(IF(Baseline!C6="Nieuwe Situatie",(_xlfn.IFNA(VLOOKUP(Referentie_MKI_Totaal[[#This Row],[Product]]&amp;", "&amp;Referentie_MKI_Totaal[[#Headers],[A4]],Database_Productkaarten[#All],14,FALSE),0)*Baseline!Q6),0)),(IF(Baseline!C6="Nieuwe Situatie",_xlfn.IFNA(VLOOKUP(Baseline!T6,Database_Transport[#All],7,FALSE)*(Baseline!Q6*Baseline!S6),0))))</calculatedColumnFormula>
    </tableColumn>
    <tableColumn id="7" xr3:uid="{CCFDFD0C-E802-428B-B41A-BFB6DE7E812F}" name="A5" totalsRowFunction="sum" dataDxfId="1083" totalsRowDxfId="1084">
      <calculatedColumnFormula>IF(Baseline!C6="Nieuwe situatie",IF(_xlfn.IFNA((VLOOKUP(Baseline!U6,Database_Asfalt_Aanlegset[#All],7,FALSE)*Baseline!I6),0)+_xlfn.IFNA(VLOOKUP(Baseline!V6,Database_Brandstoffen[#All],7,FALSE)*((Baseline!I6/Baseline!X6)*Baseline!W6),0)&gt;0,_xlfn.IFNA((VLOOKUP(Baseline!U6,Database_Asfalt_Aanlegset[#All],7,FALSE)*Baseline!I6),0)+_xlfn.IFNA(VLOOKUP(Baseline!V6,Database_Brandstoffen[#All],7,FALSE)*((Baseline!I6/Baseline!X6)*Baseline!W6),0),(_xlfn.IFNA(VLOOKUP(Referentie_MKI_Totaal[[#This Row],[Product]]&amp;", "&amp;Referentie_MKI_Totaal[[#Headers],[A5]],Database_Productkaarten[#All],14,FALSE),0)*Baseline!I6)),0)</calculatedColumnFormula>
    </tableColumn>
    <tableColumn id="8" xr3:uid="{50D9E244-B86D-4EFA-A664-6BB239E76F9A}" name="B1" totalsRowFunction="sum" dataDxfId="1081" totalsRowDxfId="1082"/>
    <tableColumn id="9" xr3:uid="{889F44BF-EF0F-43C3-AE57-6093DDB1B566}" name="B4" totalsRowFunction="sum" dataDxfId="1079" totalsRowDxfId="1080">
      <calculatedColumnFormula>(IF(Baseline!C6="Nieuwe Situatie",(SUM(Referentie_MKI_Totaal[[#This Row],[A1]:[B1]],Referentie_MKI_Totaal[[#This Row],[C1]:[D2]])*Baseline!R6),0))</calculatedColumnFormula>
    </tableColumn>
    <tableColumn id="10" xr3:uid="{4F2628B2-BAA1-43CA-AE97-8F3AAB0E28F7}" name="C1" totalsRowFunction="sum" dataDxfId="1077" totalsRowDxfId="1078">
      <calculatedColumnFormula>IF(Baseline!C6="Bestaande situatie",IF(_xlfn.IFNA((VLOOKUP(Baseline!Y6,Database_Asfalt_Verwijderset[#All],7,FALSE)*Baseline!I6),0)+_xlfn.IFNA(VLOOKUP(Baseline!Z6,Database_Brandstoffen[#All],7,FALSE)*((Baseline!I6/Baseline!AB6)*Baseline!AA6),0)&gt;0,_xlfn.IFNA((VLOOKUP(Baseline!Y6,Database_Asfalt_Verwijderset[#All],7,FALSE)*Baseline!I6),0)+_xlfn.IFNA(VLOOKUP(Baseline!Z6,Database_Brandstoffen[#All],7,FALSE)*((Baseline!I6/Baseline!AB6)*Baseline!AA6),0),(_xlfn.IFNA(VLOOKUP(Referentie_MKI_Totaal[[#This Row],[Product]]&amp;", "&amp;Referentie_MKI_Totaal[[#Headers],[C1]],Database_Productkaarten[#All],14,FALSE),0)*Baseline!I6)),0)</calculatedColumnFormula>
    </tableColumn>
    <tableColumn id="11" xr3:uid="{19E87939-7F04-4F2E-8315-ECEC4096529E}" name="C2" totalsRowFunction="sum" dataDxfId="1075" totalsRowDxfId="1076">
      <calculatedColumnFormula>IF(Baseline!AD6=0,(IF(Baseline!C6="Bestaande Situatie",(_xlfn.IFNA(VLOOKUP(Referentie_MKI_Totaal[[#This Row],[Product]]&amp;", "&amp;Referentie_MKI_Totaal[[#Headers],[C2]],Database_Productkaarten[#All],14,FALSE),0)*Baseline!I6),0)),(IF(Baseline!C6="Bestaande Situatie",_xlfn.IFNA(VLOOKUP(Baseline!AD6,Database_Transport[#All],7,FALSE)*(Baseline!Q6*Baseline!AC6),0))))</calculatedColumnFormula>
    </tableColumn>
    <tableColumn id="12" xr3:uid="{D0E46600-84A9-42DA-B0AB-56076A6D0FA2}" name="C3" totalsRowFunction="sum" dataDxfId="1073" totalsRowDxfId="1074">
      <calculatedColumnFormula>(IF(Baseline!C6="Bestaande Situatie",(_xlfn.IFNA(VLOOKUP(Referentie_MKI_Totaal[[#This Row],[Product]]&amp;", "&amp;Referentie_MKI_Totaal[[#Headers],[C3]],Database_Productkaarten[#All],14,FALSE),0)*Baseline!I6),0))</calculatedColumnFormula>
    </tableColumn>
    <tableColumn id="13" xr3:uid="{206CEC40-A782-4DE0-9142-4D8200D2CAEC}" name="C4" totalsRowFunction="sum" dataDxfId="1071" totalsRowDxfId="1072">
      <calculatedColumnFormula>(IF(Baseline!C6="Bestaande Situatie",(_xlfn.IFNA(VLOOKUP(Referentie_MKI_Totaal[[#This Row],[Product]]&amp;", "&amp;Referentie_MKI_Totaal[[#Headers],[C4]],Database_Productkaarten[#All],14,FALSE),0)*Baseline!I6),0))</calculatedColumnFormula>
    </tableColumn>
    <tableColumn id="14" xr3:uid="{DD696F53-4ABF-4F13-BBE3-A459F75D5110}" name="D1" totalsRowFunction="sum" dataDxfId="1069" totalsRowDxfId="1070">
      <calculatedColumnFormula>(IF(Baseline!C6="Bestaande Situatie",(_xlfn.IFNA(VLOOKUP(Referentie_MKI_Totaal[[#This Row],[Product]]&amp;", "&amp;Referentie_MKI_Totaal[[#Headers],[D1]],Database_Productkaarten[#All],14,FALSE),0)*Baseline!I6),0))</calculatedColumnFormula>
    </tableColumn>
    <tableColumn id="15" xr3:uid="{E140FBEC-10F6-4863-BD29-C8E677D0850A}" name="D2" totalsRowFunction="sum" dataDxfId="1067" totalsRowDxfId="1068">
      <calculatedColumnFormula>(IF(Baseline!C6="Bestaande Situatie",_xlfn.IFNA(VLOOKUP(Referentie_MKI_Totaal[[#This Row],[Product]]&amp;", "&amp;Referentie_MKI_Totaal[[#Headers],[D2]],Database_Productkaarten[#All],14,FALSE),0)*Baseline!I6,0))</calculatedColumnFormula>
    </tableColumn>
    <tableColumn id="18" xr3:uid="{C3D859EE-96AA-4F4F-A6CB-896B5F7F9C99}" name="D" totalsRowFunction="sum" dataDxfId="1065" totalsRowDxfId="1066">
      <calculatedColumnFormula>(IF(Baseline!C6="Bestaande Situatie",(_xlfn.IFNA(VLOOKUP(Referentie_MKI_Totaal[[#This Row],[Product]]&amp;", "&amp;Referentie_MKI_Totaal[[#Headers],[D]],Database_Productkaarten[#All],14,FALSE),0)*Baseline!I6),0))</calculatedColumnFormula>
    </tableColumn>
    <tableColumn id="16" xr3:uid="{A0B1C316-28D7-4785-93EE-278965008931}" name="Totaal" totalsRowFunction="sum" dataDxfId="1063" totalsRowDxfId="1064">
      <calculatedColumnFormula>SUM(Referentie_MKI_Totaal[[#This Row],[A1-A3]:[C4]])+Referentie_MKI_Totaal[[#This Row],[D]]</calculatedColumnFormula>
    </tableColumn>
  </tableColumns>
  <tableStyleInfo name="TableStyleMedium1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E9299BC0-FCB3-4896-8BF8-BE1D4BCC9128}" name="Referentie_CO2_Totaal" displayName="Referentie_CO2_Totaal" ref="B108:S209" totalsRowCount="1" headerRowDxfId="1062" dataDxfId="1061" totalsRowDxfId="1060">
  <autoFilter ref="B108:S208" xr:uid="{E9299BC0-FCB3-4896-8BF8-BE1D4BCC9128}"/>
  <tableColumns count="18">
    <tableColumn id="1" xr3:uid="{A7BF7145-69BD-415B-BA64-B32DA75A6B0B}" name="Bestekspost" totalsRowLabel="Totaal" dataDxfId="1058" totalsRowDxfId="1059">
      <calculatedColumnFormula>Baseline!B6</calculatedColumnFormula>
    </tableColumn>
    <tableColumn id="2" xr3:uid="{26278E78-CEF2-4D83-80E0-EC765C40C70C}" name="Product" dataDxfId="1056" totalsRowDxfId="1057">
      <calculatedColumnFormula>Baseline!F6</calculatedColumnFormula>
    </tableColumn>
    <tableColumn id="3" xr3:uid="{E917CD7C-F95C-451C-B904-0B9F23EF6310}" name="A1" totalsRowFunction="sum" dataDxfId="1054" totalsRowDxfId="1055">
      <calculatedColumnFormula>(IF(Baseline!C6="Nieuwe Situatie",(_xlfn.IFNA(VLOOKUP(Referentie_CO2_Totaal[[#This Row],[Product]]&amp;", "&amp;Referentie_CO2_Totaal[[#Headers],[A1]],Database_Productkaarten[#All],18,FALSE),0)*Baseline!I6),0))</calculatedColumnFormula>
    </tableColumn>
    <tableColumn id="4" xr3:uid="{4AD7C9D7-0C3F-4E74-A53A-CE85C08F3E0D}" name="A2" totalsRowFunction="sum" dataDxfId="1052" totalsRowDxfId="1053">
      <calculatedColumnFormula>(IF(Baseline!C6="Nieuwe Situatie",(_xlfn.IFNA(VLOOKUP(Referentie_CO2_Totaal[[#This Row],[Product]]&amp;", "&amp;Referentie_CO2_Totaal[[#Headers],[A2]],Database_Productkaarten[#All],18,FALSE),0)*Baseline!I6),0))</calculatedColumnFormula>
    </tableColumn>
    <tableColumn id="5" xr3:uid="{C4B62E5B-2002-413B-9826-58429E541654}" name="A3" totalsRowFunction="sum" dataDxfId="1050" totalsRowDxfId="1051">
      <calculatedColumnFormula>(IF(Baseline!C6="Nieuwe Situatie",(_xlfn.IFNA(VLOOKUP(Referentie_CO2_Totaal[[#This Row],[Product]]&amp;", "&amp;Referentie_CO2_Totaal[[#Headers],[A3]],Database_Productkaarten[#All],18,FALSE),0)*Baseline!I6),0))</calculatedColumnFormula>
    </tableColumn>
    <tableColumn id="18" xr3:uid="{F4D3BE84-D994-475F-9858-D669467BC2A3}" name="A1-A3" totalsRowFunction="sum" dataDxfId="1048" totalsRowDxfId="1049">
      <calculatedColumnFormula>(IF(Baseline!C6="Nieuwe Situatie",(_xlfn.IFNA(VLOOKUP(Referentie_CO2_Totaal[[#This Row],[Product]]&amp;", "&amp;Referentie_CO2_Totaal[[#Headers],[A1-A3]],Database_Productkaarten[#All],18,FALSE),0)*Baseline!I6),0))</calculatedColumnFormula>
    </tableColumn>
    <tableColumn id="6" xr3:uid="{F660C505-7082-49BB-A833-FB3874F9DA92}" name="A4" totalsRowFunction="sum" dataDxfId="1046" totalsRowDxfId="1047">
      <calculatedColumnFormula>IF(Baseline!T6=0,(IF(Baseline!C6="Nieuwe Situatie",(_xlfn.IFNA(VLOOKUP(Referentie_CO2_Totaal[[#This Row],[Product]]&amp;", "&amp;Referentie_CO2_Totaal[[#Headers],[A4]],Database_Productkaarten[#All],18,FALSE),0)*Baseline!I6),0)),IF(Baseline!C6="Nieuwe Situatie",_xlfn.IFNA(VLOOKUP(Baseline!T6,Database_Transport[#All],12,FALSE)*(Baseline!Q6*Baseline!S6),Baseline_Backlog!H109),0))</calculatedColumnFormula>
    </tableColumn>
    <tableColumn id="7" xr3:uid="{65FEB39F-2060-4C6E-8B93-21E36F7B2756}" name="A5" totalsRowFunction="sum" dataDxfId="1044" totalsRowDxfId="1045">
      <calculatedColumnFormula>IF(Baseline!C6="Nieuwe situatie",IF(_xlfn.IFNA((VLOOKUP(Baseline!U6,Database_Asfalt_Aanlegset[#All],12,FALSE)*Baseline!I6),0)+_xlfn.IFNA(VLOOKUP(Baseline!V6,Database_Brandstoffen[#All],12,FALSE)*((Baseline!I6/Baseline!X6)*Baseline!W6),0)&gt;0,_xlfn.IFNA((VLOOKUP(Baseline!U6,Database_Asfalt_Aanlegset[#All],12,FALSE)*Baseline!I6),0)+_xlfn.IFNA(VLOOKUP(Baseline!V6,Database_Brandstoffen[#All],12,FALSE)*((Baseline!I6/Baseline!X6)*Baseline!W6),0),(_xlfn.IFNA(VLOOKUP(Referentie_CO2_Totaal[[#This Row],[Product]]&amp;", "&amp;Referentie_MKI_Totaal[[#Headers],[A5]],Database_Productkaarten[#All],18,FALSE),0)*Baseline!I6)),0)</calculatedColumnFormula>
    </tableColumn>
    <tableColumn id="8" xr3:uid="{5982C9DB-32C4-4E0C-AFDD-668B5BE30A63}" name="B1" totalsRowFunction="sum" dataDxfId="1042" totalsRowDxfId="1043">
      <calculatedColumnFormula>(IF(Baseline!C6="Nieuwe Situatie",(_xlfn.IFNA(VLOOKUP(Referentie_CO2_Totaal[[#This Row],[Product]]&amp;", "&amp;Referentie_CO2_Totaal[[#Headers],[B1]],Database_Productkaarten[#All],18,FALSE),0)*Baseline!I6),0))</calculatedColumnFormula>
    </tableColumn>
    <tableColumn id="9" xr3:uid="{FDB895CC-5EA5-401B-BE27-F972C89517C8}" name="B4" totalsRowFunction="sum" dataDxfId="1040" totalsRowDxfId="1041">
      <calculatedColumnFormula>(IF(Baseline!C6="Nieuwe Situatie",(SUM(Referentie_CO2_Totaal[[#This Row],[A1]:[B1]],Referentie_CO2_Totaal[[#This Row],[C1]:[D2]])*Baseline!R6),0))</calculatedColumnFormula>
    </tableColumn>
    <tableColumn id="10" xr3:uid="{8A323C88-8011-4E78-A543-7EE1B4DE456C}" name="C1" totalsRowFunction="sum" dataDxfId="1038" totalsRowDxfId="1039">
      <calculatedColumnFormula>IF(Baseline!C6="Bestaande situatie",IF(_xlfn.IFNA((VLOOKUP(Baseline!Y6,Database_Asfalt_Verwijderset[#All],12,FALSE)*Baseline!I6),0)+_xlfn.IFNA(VLOOKUP(Baseline!Z6,Database_Brandstoffen[#All],12,FALSE)*((Baseline!I6/Baseline!AB6)*Baseline!AA6),0)&gt;0,_xlfn.IFNA((VLOOKUP(Baseline!Y6,Database_Asfalt_Verwijderset[#All],12,FALSE)*Baseline!I6),0)+_xlfn.IFNA(VLOOKUP(Baseline!Z6,Database_Brandstoffen[#All],12,FALSE)*((Baseline!I6/Baseline!AB6)*Baseline!AA6),0),(_xlfn.IFNA(VLOOKUP(Referentie_CO2_Totaal[[#This Row],[Product]]&amp;", "&amp;Referentie_MKI_Totaal[[#Headers],[C1]],Database_Productkaarten[#All],18,FALSE),0)*Baseline!I6)),0)</calculatedColumnFormula>
    </tableColumn>
    <tableColumn id="11" xr3:uid="{4AE2B197-514E-406F-B2BF-EF7EFE125408}" name="C2" totalsRowFunction="sum" dataDxfId="1036" totalsRowDxfId="1037">
      <calculatedColumnFormula>IF(Baseline!AD6=0,(IF(Baseline!C6="Bestaande Situatie",(_xlfn.IFNA(VLOOKUP(Referentie_CO2_Totaal[[#This Row],[Product]]&amp;", "&amp;Referentie_MKI_Totaal[[#Headers],[C2]],Database_Productkaarten[#All],18,FALSE),0)*Baseline!I6),0)),(IF(Baseline!C6="Bestaande Situatie",_xlfn.IFNA(VLOOKUP(Baseline!AD6,Database_Transport[#All],12,FALSE)*(Baseline!Q6*Baseline!AC6),0))))</calculatedColumnFormula>
    </tableColumn>
    <tableColumn id="12" xr3:uid="{0019E73F-CDE6-4C7E-8E76-EE2D9F15B795}" name="C3" totalsRowFunction="sum" dataDxfId="1034" totalsRowDxfId="1035">
      <calculatedColumnFormula>(IF(Baseline!C6="Bestaande Situatie",(_xlfn.IFNA(VLOOKUP(Referentie_CO2_Totaal[[#This Row],[Product]]&amp;", "&amp;Referentie_CO2_Totaal[[#Headers],[C3]],Database_Productkaarten[#All],18,FALSE),0)*Baseline!I6),0))</calculatedColumnFormula>
    </tableColumn>
    <tableColumn id="13" xr3:uid="{B1608BD0-18A6-4B57-8094-A23E5CA98889}" name="C4" totalsRowFunction="sum" dataDxfId="1032" totalsRowDxfId="1033">
      <calculatedColumnFormula>(IF(Baseline!C6="Bestaande Situatie",(_xlfn.IFNA(VLOOKUP(Referentie_CO2_Totaal[[#This Row],[Product]]&amp;", "&amp;Referentie_CO2_Totaal[[#Headers],[C4]],Database_Productkaarten[#All],18,FALSE),0)*Baseline!I6),0))</calculatedColumnFormula>
    </tableColumn>
    <tableColumn id="14" xr3:uid="{0235BDD1-A191-4A2A-8909-974B5F9E493B}" name="D1" totalsRowFunction="sum" dataDxfId="1030" totalsRowDxfId="1031">
      <calculatedColumnFormula>(IF(Baseline!C6="Bestaande Situatie",(_xlfn.IFNA(VLOOKUP(Referentie_CO2_Totaal[[#This Row],[Product]]&amp;", "&amp;Referentie_CO2_Totaal[[#Headers],[D1]],Database_Productkaarten[#All],18,FALSE),0)*Baseline!I6),0))</calculatedColumnFormula>
    </tableColumn>
    <tableColumn id="15" xr3:uid="{D789DE15-1979-4ED4-9E6D-48CFD72CC4AA}" name="D2" totalsRowFunction="sum" dataDxfId="1028" totalsRowDxfId="1029">
      <calculatedColumnFormula>(IF(Baseline!C6="Bestaande Situatie",_xlfn.IFNA(VLOOKUP(Referentie_CO2_Totaal[[#This Row],[Product]]&amp;", "&amp;Referentie_CO2_Totaal[[#Headers],[D2]],Database_Productkaarten[#All],18,FALSE),0)*Baseline!I6,0))</calculatedColumnFormula>
    </tableColumn>
    <tableColumn id="17" xr3:uid="{52E01D33-00CD-4DEC-A2E0-98C641A36CB2}" name="D" totalsRowFunction="sum" dataDxfId="1026" totalsRowDxfId="1027">
      <calculatedColumnFormula>(IF(Baseline!C6="Bestaande Situatie",(_xlfn.IFNA(VLOOKUP(Referentie_CO2_Totaal[[#This Row],[Product]]&amp;", "&amp;Referentie_CO2_Totaal[[#Headers],[D]],Database_Productkaarten[#All],18,FALSE),0)*Baseline!I6),0))</calculatedColumnFormula>
    </tableColumn>
    <tableColumn id="16" xr3:uid="{1F6859C5-E9BE-49F1-A7B2-A0F808A394CF}" name="Totaal" totalsRowFunction="sum" dataDxfId="1024" totalsRowDxfId="1025">
      <calculatedColumnFormula>SUM(Referentie_CO2_Totaal[[#This Row],[A1-A3]:[C4]])+Referentie_CO2_Totaal[[#This Row],[D]]</calculatedColumnFormula>
    </tableColumn>
  </tableColumns>
  <tableStyleInfo name="TableStyleMedium1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ADA2D3C8-8DB0-4CE1-81EA-5F645BA9A3E3}" name="Referentie_Materiaal_Totaal" displayName="Referentie_Materiaal_Totaal" ref="B213:M314" totalsRowCount="1" dataDxfId="1023" headerRowBorderDxfId="1021" tableBorderDxfId="1022">
  <autoFilter ref="B213:M313" xr:uid="{ADA2D3C8-8DB0-4CE1-81EA-5F645BA9A3E3}"/>
  <tableColumns count="12">
    <tableColumn id="1" xr3:uid="{D4EAD9D2-35A3-4E77-98A9-52A8F1E278A7}" name="Bestekspost" totalsRowLabel="Totaal" dataDxfId="1019" totalsRowDxfId="1020">
      <calculatedColumnFormula>Baseline!B6</calculatedColumnFormula>
    </tableColumn>
    <tableColumn id="2" xr3:uid="{31A76680-4543-4958-AF45-A886429DEF01}" name="Product" dataDxfId="1017" totalsRowDxfId="1018">
      <calculatedColumnFormula>Baseline!F6</calculatedColumnFormula>
    </tableColumn>
    <tableColumn id="3" xr3:uid="{4A9876A4-4F3C-4E0E-BF4C-1FCDAEF6F4A6}" name="Hoeveelheid [ton]" totalsRowFunction="sum" dataDxfId="1015" totalsRowDxfId="1016">
      <calculatedColumnFormula>Baseline!Q6</calculatedColumnFormula>
    </tableColumn>
    <tableColumn id="4" xr3:uid="{3695416C-585E-4A97-9C4F-1236683BCD8C}" name="% Secundair" dataDxfId="1013" totalsRowDxfId="1014">
      <calculatedColumnFormula>_xlfn.IFNA(VLOOKUP(Referentie_Materiaal_Totaal[[#This Row],[Product]]&amp;", "&amp;"Totaal",Database_Productkaarten[#All],64,FALSE),0)</calculatedColumnFormula>
    </tableColumn>
    <tableColumn id="5" xr3:uid="{26D41342-9C12-40C1-95C1-1D347EF27734}" name="Primair materiaalverbruik [ton]" totalsRowFunction="sum" dataDxfId="1011" totalsRowDxfId="1012">
      <calculatedColumnFormula>Referentie_Materiaal_Totaal[[#This Row],[Hoeveelheid '[ton']]]*(1-Referentie_Materiaal_Totaal[[#This Row],[% Secundair]])</calculatedColumnFormula>
    </tableColumn>
    <tableColumn id="6" xr3:uid="{1743A402-AA1B-4C72-A493-5B637B8AADEB}" name="Secundair materiaalverbruik [ton]" totalsRowFunction="sum" dataDxfId="1009" totalsRowDxfId="1010">
      <calculatedColumnFormula>Referentie_Materiaal_Totaal[[#This Row],[Hoeveelheid '[ton']]]*Referentie_Materiaal_Totaal[[#This Row],[% Secundair]]</calculatedColumnFormula>
    </tableColumn>
    <tableColumn id="7" xr3:uid="{32E74351-833F-4D8D-8343-57D8FCD91BF8}" name="Hoeveelheid Vervaningen [ton]" totalsRowFunction="sum" dataDxfId="1007" totalsRowDxfId="1008">
      <calculatedColumnFormula>Baseline!Q6*Baseline!R6</calculatedColumnFormula>
    </tableColumn>
    <tableColumn id="8" xr3:uid="{87048039-316E-4433-994D-E662D671B43B}" name="Primair materiaalverbruik Vervangingen [ton]" totalsRowFunction="sum" dataDxfId="1005" totalsRowDxfId="1006">
      <calculatedColumnFormula>Referentie_Materiaal_Totaal[[#This Row],[Hoeveelheid Vervaningen '[ton']]]*(1-Referentie_Materiaal_Totaal[[#This Row],[% Secundair]])</calculatedColumnFormula>
    </tableColumn>
    <tableColumn id="9" xr3:uid="{A40B9795-3DE5-4C9B-A319-3AB6075C3B82}" name="Secundair materiaalverbruik Vervangingen [ton]" totalsRowFunction="sum" dataDxfId="1003" totalsRowDxfId="1004">
      <calculatedColumnFormula>Referentie_Materiaal_Totaal[[#This Row],[Hoeveelheid Vervaningen '[ton']]]*Referentie_Materiaal_Totaal[[#This Row],[% Secundair]]</calculatedColumnFormula>
    </tableColumn>
    <tableColumn id="10" xr3:uid="{754F33A4-6FE6-4078-866E-90CD3CA70434}" name="Totaal Primair Materieelgebruik" totalsRowFunction="sum" dataDxfId="1001" totalsRowDxfId="1002">
      <calculatedColumnFormula>Referentie_Materiaal_Totaal[[#This Row],[Primair materiaalverbruik '[ton']]]+Referentie_Materiaal_Totaal[[#This Row],[Primair materiaalverbruik Vervangingen '[ton']]]</calculatedColumnFormula>
    </tableColumn>
    <tableColumn id="11" xr3:uid="{7DEBC0A6-4D4F-4876-9671-FCF2ADA4C75E}" name="Totaal Secundair Materieelgebruik" totalsRowFunction="sum" dataDxfId="999" totalsRowDxfId="1000">
      <calculatedColumnFormula>Referentie_Materiaal_Totaal[[#This Row],[Secundair materiaalverbruik '[ton']]]+Referentie_Materiaal_Totaal[[#This Row],[Secundair materiaalverbruik Vervangingen '[ton']]]</calculatedColumnFormula>
    </tableColumn>
    <tableColumn id="12" xr3:uid="{0E62E186-2E6C-474D-93D7-43250F8DA3D1}" name="Totaal Materieelgebruik" totalsRowFunction="sum" dataDxfId="997" totalsRowDxfId="998">
      <calculatedColumnFormula>Referentie_Materiaal_Totaal[[#This Row],[Totaal Primair Materieelgebruik]]+Referentie_Materiaal_Totaal[[#This Row],[Totaal Secundair Materieelgebruik]]</calculatedColumnFormula>
    </tableColumn>
  </tableColumns>
  <tableStyleInfo name="TableStyleMedium1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40AA3D09-0E06-534E-9C14-B5A2BDDB2846}" name="Referentie_Hernieuwbare_Energie_Totaal" displayName="Referentie_Hernieuwbare_Energie_Totaal" ref="B318:S419" totalsRowCount="1" headerRowDxfId="996" totalsRowDxfId="995">
  <autoFilter ref="B318:S418" xr:uid="{40AA3D09-0E06-534E-9C14-B5A2BDDB2846}"/>
  <tableColumns count="18">
    <tableColumn id="1" xr3:uid="{F5AF6289-4A19-BE49-881B-53D499E64185}" name="Bestekspost" totalsRowLabel="Totaal" dataDxfId="993" totalsRowDxfId="994">
      <calculatedColumnFormula>Baseline!B6</calculatedColumnFormula>
    </tableColumn>
    <tableColumn id="2" xr3:uid="{83D1AEEB-2442-5D4D-9918-FB7C2141E007}" name="Product" dataDxfId="991" totalsRowDxfId="992">
      <calculatedColumnFormula>Baseline!F6</calculatedColumnFormula>
    </tableColumn>
    <tableColumn id="3" xr3:uid="{68874378-4DB2-EE4B-B0FE-A32F9091F8BE}" name="A1" totalsRowFunction="sum" dataDxfId="989" totalsRowDxfId="990">
      <calculatedColumnFormula>(IF(Baseline!C6="Nieuwe Situatie",(_xlfn.IFNA(VLOOKUP(Referentie_Hernieuwbare_Energie_Totaal[[#This Row],[Product]]&amp;", "&amp;Referentie_Hernieuwbare_Energie_Totaal[[#Headers],[A1]],Database_Productkaarten[#All],48,FALSE),0)*Baseline!I6),0))</calculatedColumnFormula>
    </tableColumn>
    <tableColumn id="4" xr3:uid="{5D880E1A-B2BA-194E-BC22-07BA08FA460C}" name="A2" totalsRowFunction="sum" dataDxfId="987" totalsRowDxfId="988">
      <calculatedColumnFormula>(IF(Baseline!C6="Nieuwe Situatie",(_xlfn.IFNA(VLOOKUP(Referentie_Hernieuwbare_Energie_Totaal[[#This Row],[Product]]&amp;", "&amp;Referentie_Hernieuwbare_Energie_Totaal[[#Headers],[A2]],Database_Productkaarten[#All],48,FALSE),0)*Baseline!I6),0))</calculatedColumnFormula>
    </tableColumn>
    <tableColumn id="5" xr3:uid="{91ADB927-8567-8A46-B105-6339D325196E}" name="A3" totalsRowFunction="sum" dataDxfId="985" totalsRowDxfId="986">
      <calculatedColumnFormula>(IF(Baseline!C6="Nieuwe Situatie",(_xlfn.IFNA(VLOOKUP(Referentie_Hernieuwbare_Energie_Totaal[[#This Row],[Product]]&amp;", "&amp;Referentie_Hernieuwbare_Energie_Totaal[[#Headers],[A3]],Database_Productkaarten[#All],48,FALSE),0)*Baseline!I6),0))</calculatedColumnFormula>
    </tableColumn>
    <tableColumn id="17" xr3:uid="{EE93F6B0-A999-40FF-9593-C9B948E7BDD5}" name="A1-A3" totalsRowFunction="sum" dataDxfId="983" totalsRowDxfId="984">
      <calculatedColumnFormula>(IF(Baseline!C6="Nieuwe Situatie",(_xlfn.IFNA(VLOOKUP(Referentie_Hernieuwbare_Energie_Totaal[[#This Row],[Product]]&amp;", "&amp;Referentie_Hernieuwbare_Energie_Totaal[[#Headers],[A1-A3]],Database_Productkaarten[#All],48,FALSE),0)*Baseline!I6),0))</calculatedColumnFormula>
    </tableColumn>
    <tableColumn id="6" xr3:uid="{AE56006F-612E-DE43-89CF-16DB32B6D98C}" name="A4" totalsRowFunction="sum" dataDxfId="981" totalsRowDxfId="982">
      <calculatedColumnFormula>IF(Baseline!T6=0,(IF(Baseline!C6="Nieuwe Situatie",(_xlfn.IFNA(VLOOKUP(Referentie_Hernieuwbare_Energie_Totaal[[#This Row],[Product]]&amp;", "&amp;Referentie_CO2_Totaal[[#Headers],[A4]],Database_Productkaarten[#All],48,FALSE),0)*Baseline!I6),0)),IF(Baseline!C6="Nieuwe Situatie",_xlfn.IFNA(VLOOKUP(Baseline!T6,Database_Transport[#All],42,FALSE)*(Baseline!Q6*Baseline!S6),Baseline_Backlog!H109),0))</calculatedColumnFormula>
    </tableColumn>
    <tableColumn id="7" xr3:uid="{8FEE8657-6B3A-E640-BBAC-CC469365CFFF}" name="A5" totalsRowFunction="sum" dataDxfId="979" totalsRowDxfId="980">
      <calculatedColumnFormula>IF(Baseline!C6="Nieuwe situatie",IF(_xlfn.IFNA((VLOOKUP(Baseline!U6,Database_Asfalt_Aanlegset[#All],42,FALSE)*Baseline!I6),0)+_xlfn.IFNA(VLOOKUP(Baseline!V6,Database_Brandstoffen[#All],42,FALSE)*((Baseline!I6/Baseline!X6)*Baseline!W6),0)&gt;0,_xlfn.IFNA((VLOOKUP(Baseline!U6,Database_Asfalt_Aanlegset[#All],42,FALSE)*Baseline!I6),0)+_xlfn.IFNA(VLOOKUP(Baseline!V6,Database_Brandstoffen[#All],42,FALSE)*((Baseline!I6/Baseline!X6)*Baseline!W6),0),(_xlfn.IFNA(VLOOKUP(Referentie_Hernieuwbare_Energie_Totaal[[#This Row],[Product]]&amp;", "&amp;Referentie_MKI_Totaal[[#Headers],[A5]],Database_Productkaarten[#All],48,FALSE),0)*Baseline!I6)),0)</calculatedColumnFormula>
    </tableColumn>
    <tableColumn id="8" xr3:uid="{9DE136E9-2834-EE44-9BBE-A0B9EF69AF04}" name="B1" totalsRowFunction="sum" dataDxfId="977" totalsRowDxfId="978">
      <calculatedColumnFormula>(IF(Baseline!C6="Nieuwe Situatie",(_xlfn.IFNA(VLOOKUP(Referentie_Hernieuwbare_Energie_Totaal[[#This Row],[Product]]&amp;", "&amp;Referentie_Hernieuwbare_Energie_Totaal[[#Headers],[B1]],Database_Productkaarten[#All],48,FALSE),0)*Baseline!I6),0))</calculatedColumnFormula>
    </tableColumn>
    <tableColumn id="9" xr3:uid="{B5342E05-81C2-464E-B7DF-246F862CEA54}" name="B4" totalsRowFunction="sum" dataDxfId="975" totalsRowDxfId="976">
      <calculatedColumnFormula>(IF(Baseline!C6="Nieuwe Situatie",(SUM(Referentie_Hernieuwbare_Energie_Totaal[[#This Row],[A1]:[B1]],Referentie_Hernieuwbare_Energie_Totaal[[#This Row],[C1]:[D2]])*Baseline!R6),0))</calculatedColumnFormula>
    </tableColumn>
    <tableColumn id="10" xr3:uid="{E3A587EF-4E81-2E41-AC06-1A4D76CFDC40}" name="C1" totalsRowFunction="sum" dataDxfId="973" totalsRowDxfId="974">
      <calculatedColumnFormula>IF(Baseline!C6="Bestaande situatie",IF(_xlfn.IFNA((VLOOKUP(Baseline!Y6,Database_Asfalt_Verwijderset[#All],42,FALSE)*Baseline!I6),0)+_xlfn.IFNA(VLOOKUP(Baseline!Z6,Database_Brandstoffen[#All],42,FALSE)*((Baseline!I6/Baseline!AB6)*Baseline!AA6),0)&gt;0,_xlfn.IFNA((VLOOKUP(Baseline!Y6,Database_Asfalt_Verwijderset[#All],42,FALSE)*Baseline!I6),0)+_xlfn.IFNA(VLOOKUP(Baseline!Z6,Database_Brandstoffen[#All],42,FALSE)*((Baseline!I6/Baseline!AB6)*Baseline!AA6),0),(_xlfn.IFNA(VLOOKUP(Referentie_Hernieuwbare_Energie_Totaal[[#This Row],[Product]]&amp;", "&amp;Referentie_MKI_Totaal[[#Headers],[C1]],Database_Productkaarten[#All],48,FALSE),0)*Baseline!I6)),0)</calculatedColumnFormula>
    </tableColumn>
    <tableColumn id="11" xr3:uid="{2843C622-F9B0-C440-A819-3101B1FEBE9F}" name="C2" totalsRowFunction="sum" dataDxfId="971" totalsRowDxfId="972">
      <calculatedColumnFormula>IF(Baseline!AD6=0,(IF(Baseline!C6="Bestaande Situatie",(_xlfn.IFNA(VLOOKUP(Referentie_Hernieuwbare_Energie_Totaal[[#This Row],[Product]]&amp;", "&amp;Referentie_MKI_Totaal[[#Headers],[C2]],Database_Productkaarten[#All],48,FALSE),0)*Baseline!I6),0)),(IF(Baseline!C6="Bestaande Situatie",_xlfn.IFNA(VLOOKUP(Baseline!AD6,Database_Transport[#All],42,FALSE)*(Baseline!Q6*Baseline!AC6),0))))</calculatedColumnFormula>
    </tableColumn>
    <tableColumn id="12" xr3:uid="{ECB1812B-F92B-5642-8F33-6FB429B14B95}" name="C3" totalsRowFunction="sum" dataDxfId="969" totalsRowDxfId="970">
      <calculatedColumnFormula>(IF(Baseline!C6="Bestaande Situatie",(_xlfn.IFNA(VLOOKUP(Referentie_Hernieuwbare_Energie_Totaal[[#This Row],[Product]]&amp;", "&amp;Referentie_Hernieuwbare_Energie_Totaal[[#Headers],[C3]],Database_Productkaarten[#All],48,FALSE),0)*Baseline!I6),0))</calculatedColumnFormula>
    </tableColumn>
    <tableColumn id="13" xr3:uid="{2E1022F6-660F-3642-9284-722BCAD2DFB0}" name="C4" totalsRowFunction="sum" dataDxfId="967" totalsRowDxfId="968">
      <calculatedColumnFormula>(IF(Baseline!C6="Bestaande Situatie",(_xlfn.IFNA(VLOOKUP(Referentie_Hernieuwbare_Energie_Totaal[[#This Row],[Product]]&amp;", "&amp;Referentie_Hernieuwbare_Energie_Totaal[[#Headers],[C4]],Database_Productkaarten[#All],48,FALSE),0)*Baseline!I6),0))</calculatedColumnFormula>
    </tableColumn>
    <tableColumn id="14" xr3:uid="{F7AC05EB-B341-F24F-8D9E-1F278EF041CA}" name="D1" totalsRowFunction="sum" dataDxfId="965" totalsRowDxfId="966">
      <calculatedColumnFormula>(IF(Baseline!C6="Bestaande Situatie",(_xlfn.IFNA(VLOOKUP(Referentie_Hernieuwbare_Energie_Totaal[[#This Row],[Product]]&amp;", "&amp;Referentie_Hernieuwbare_Energie_Totaal[[#Headers],[D1]],Database_Productkaarten[#All],48,FALSE),0)*Baseline!I6),0))</calculatedColumnFormula>
    </tableColumn>
    <tableColumn id="15" xr3:uid="{20C9AF48-5C09-9849-B92A-B871AA87AC40}" name="D2" totalsRowFunction="sum" dataDxfId="963" totalsRowDxfId="964">
      <calculatedColumnFormula>(IF(Baseline!C6="Bestaande Situatie",_xlfn.IFNA(VLOOKUP(Referentie_Hernieuwbare_Energie_Totaal[[#This Row],[Product]]&amp;", "&amp;Referentie_Hernieuwbare_Energie_Totaal[[#Headers],[D2]],Database_Productkaarten[#All],48,FALSE),0)*Baseline!I6,0))</calculatedColumnFormula>
    </tableColumn>
    <tableColumn id="18" xr3:uid="{E82CABD6-C227-4364-980E-4C544F11BB28}" name="D" totalsRowFunction="sum" dataDxfId="961" totalsRowDxfId="962">
      <calculatedColumnFormula>(IF(Baseline!C6="Bestaande Situatie",_xlfn.IFNA(VLOOKUP(Referentie_Hernieuwbare_Energie_Totaal[[#This Row],[Product]]&amp;", "&amp;Referentie_Hernieuwbare_Energie_Totaal[[#Headers],[D]],Database_Productkaarten[#All],48,FALSE),0)*Baseline!I6,0))</calculatedColumnFormula>
    </tableColumn>
    <tableColumn id="16" xr3:uid="{0ED20A74-0600-4420-BFB5-B2C8F86BFE96}" name="Totaal" totalsRowFunction="sum" dataDxfId="959" totalsRowDxfId="960">
      <calculatedColumnFormula>SUM(Referentie_Hernieuwbare_Energie_Totaal[[#This Row],[A1-A3]:[C4]])+Referentie_Hernieuwbare_Energie_Totaal[[#This Row],[D]]</calculatedColumnFormula>
    </tableColumn>
  </tableColumns>
  <tableStyleInfo name="TableStyleMedium1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7930D990-5012-4A8A-971B-F37B69769CFA}" name="Referentie_Fossiele_Energie_Totaal" displayName="Referentie_Fossiele_Energie_Totaal" ref="B423:S524" totalsRowCount="1" headerRowDxfId="958" totalsRowDxfId="957">
  <autoFilter ref="B423:S523" xr:uid="{7930D990-5012-4A8A-971B-F37B69769CFA}"/>
  <tableColumns count="18">
    <tableColumn id="1" xr3:uid="{81C8D225-0F90-4BD9-9B4F-07158B2A8293}" name="Bestekspost" totalsRowLabel="Totaal" dataDxfId="955" totalsRowDxfId="956">
      <calculatedColumnFormula>Baseline!B6</calculatedColumnFormula>
    </tableColumn>
    <tableColumn id="2" xr3:uid="{BCDD74B6-AEC9-4DAE-91F3-8183DB5F9F49}" name="Product" dataDxfId="953" totalsRowDxfId="954">
      <calculatedColumnFormula>Baseline!F6</calculatedColumnFormula>
    </tableColumn>
    <tableColumn id="3" xr3:uid="{EC435E85-6AA5-428A-8F5A-841DC3418F5E}" name="A1" totalsRowFunction="sum" dataDxfId="951" totalsRowDxfId="952">
      <calculatedColumnFormula>(IF(Baseline!C6="Nieuwe Situatie",(_xlfn.IFNA(VLOOKUP(Referentie_Fossiele_Energie_Totaal[[#This Row],[Product]]&amp;", "&amp;Referentie_Fossiele_Energie_Totaal[[#Headers],[A1]],Database_Productkaarten[#All],51,FALSE),0)*Baseline!I6),0))</calculatedColumnFormula>
    </tableColumn>
    <tableColumn id="4" xr3:uid="{A7A1F281-74FC-4DF2-9D21-F6DC4B85F633}" name="A2" totalsRowFunction="sum" dataDxfId="949" totalsRowDxfId="950">
      <calculatedColumnFormula>(IF(Baseline!C6="Nieuwe Situatie",(_xlfn.IFNA(VLOOKUP(Referentie_Fossiele_Energie_Totaal[[#This Row],[Product]]&amp;", "&amp;Referentie_Fossiele_Energie_Totaal[[#Headers],[A2]],Database_Productkaarten[#All],51,FALSE),0)*Baseline!I6),0))</calculatedColumnFormula>
    </tableColumn>
    <tableColumn id="5" xr3:uid="{06D143F5-CF1E-45E6-A05A-FC7F7251936F}" name="A3" totalsRowFunction="sum" dataDxfId="947" totalsRowDxfId="948">
      <calculatedColumnFormula>(IF(Baseline!C6="Nieuwe Situatie",(_xlfn.IFNA(VLOOKUP(Referentie_Fossiele_Energie_Totaal[[#This Row],[Product]]&amp;", "&amp;Referentie_Fossiele_Energie_Totaal[[#Headers],[A3]],Database_Productkaarten[#All],51,FALSE),0)*Baseline!I6),0))</calculatedColumnFormula>
    </tableColumn>
    <tableColumn id="18" xr3:uid="{642F2B37-179A-461D-A95F-C604F6A7B1AA}" name="A1-A3" totalsRowFunction="sum" dataDxfId="945" totalsRowDxfId="946">
      <calculatedColumnFormula>(IF(Baseline!C6="Nieuwe Situatie",(_xlfn.IFNA(VLOOKUP(Referentie_Fossiele_Energie_Totaal[[#This Row],[Product]]&amp;", "&amp;Referentie_Fossiele_Energie_Totaal[[#Headers],[A1-A3]],Database_Productkaarten[#All],51,FALSE),0)*Baseline!I6),0))</calculatedColumnFormula>
    </tableColumn>
    <tableColumn id="6" xr3:uid="{8128BF63-50A7-41BD-8FE5-1CD7AAA0DAE0}" name="A4" totalsRowFunction="sum" dataDxfId="943" totalsRowDxfId="944">
      <calculatedColumnFormula>IF(Baseline!T6=0,(IF(Baseline!C6="Nieuwe Situatie",(_xlfn.IFNA(VLOOKUP(Referentie_Fossiele_Energie_Totaal[[#This Row],[Product]]&amp;", "&amp;Referentie_CO2_Totaal[[#Headers],[A4]],Database_Productkaarten[#All],51,FALSE),0)*Baseline!I6),0)),IF(Baseline!C6="Nieuwe Situatie",_xlfn.IFNA(VLOOKUP(Baseline!T6,Database_Transport[#All],45,FALSE)*(Baseline!Q6*Baseline!S6),Baseline_Backlog!H109),0))</calculatedColumnFormula>
    </tableColumn>
    <tableColumn id="7" xr3:uid="{F3500095-6CD4-42FE-9824-C319C9262E16}" name="A5" totalsRowFunction="sum" dataDxfId="941" totalsRowDxfId="942">
      <calculatedColumnFormula>IF(Baseline!C6="Nieuwe situatie",IF(_xlfn.IFNA((VLOOKUP(Baseline!U6,Database_Asfalt_Aanlegset[#All],45,FALSE)*Baseline!I6),0)+_xlfn.IFNA(VLOOKUP(Baseline!V6,Database_Brandstoffen[#All],45,FALSE)*((Baseline!I6/Baseline!X6)*Baseline!W6),0)&gt;0,_xlfn.IFNA((VLOOKUP(Baseline!U6,Database_Asfalt_Aanlegset[#All],45,FALSE)*Baseline!I6),0)+_xlfn.IFNA(VLOOKUP(Baseline!V6,Database_Brandstoffen[#All],45,FALSE)*((Baseline!I6/Baseline!X6)*Baseline!W6),0),(_xlfn.IFNA(VLOOKUP(Referentie_Fossiele_Energie_Totaal[[#This Row],[Product]]&amp;", "&amp;Referentie_MKI_Totaal[[#Headers],[A5]],Database_Productkaarten[#All],51,FALSE),0)*Baseline!I6)),0)</calculatedColumnFormula>
    </tableColumn>
    <tableColumn id="8" xr3:uid="{70E85376-0F47-4004-B58A-D191282DEE7A}" name="B1" totalsRowFunction="sum" dataDxfId="939" totalsRowDxfId="940">
      <calculatedColumnFormula>(IF(Baseline!C6="Nieuwe Situatie",(_xlfn.IFNA(VLOOKUP(Referentie_Fossiele_Energie_Totaal[[#This Row],[Product]]&amp;", "&amp;Referentie_Fossiele_Energie_Totaal[[#Headers],[B1]],Database_Productkaarten[#All],51,FALSE),0)*Baseline!I6),0))</calculatedColumnFormula>
    </tableColumn>
    <tableColumn id="9" xr3:uid="{C517DBF9-137F-4993-AF78-C89F260430A2}" name="B4" totalsRowFunction="sum" dataDxfId="937" totalsRowDxfId="938">
      <calculatedColumnFormula>(IF(Baseline!C6="Nieuwe Situatie",(SUM(Referentie_Fossiele_Energie_Totaal[[#This Row],[A1]:[B1]],Referentie_Fossiele_Energie_Totaal[[#This Row],[C1]:[D2]])*Baseline!R6),0))</calculatedColumnFormula>
    </tableColumn>
    <tableColumn id="10" xr3:uid="{ED3B291D-5136-4602-88DD-23266E51A104}" name="C1" totalsRowFunction="sum" dataDxfId="935" totalsRowDxfId="936">
      <calculatedColumnFormula>IF(Baseline!C6="Bestaande situatie",IF(_xlfn.IFNA((VLOOKUP(Baseline!Y6,Database_Asfalt_Verwijderset[#All],45,FALSE)*Baseline!I6),0)+_xlfn.IFNA(VLOOKUP(Baseline!Z6,Database_Brandstoffen[#All],45,FALSE)*((Baseline!I6/Baseline!AB6)*Baseline!AA6),0)&gt;0,_xlfn.IFNA((VLOOKUP(Baseline!Y6,Database_Asfalt_Verwijderset[#All],45,FALSE)*Baseline!I6),0)+_xlfn.IFNA(VLOOKUP(Baseline!Z6,Database_Brandstoffen[#All],45,FALSE)*((Baseline!I6/Baseline!AB6)*Baseline!AA6),0),(_xlfn.IFNA(VLOOKUP(Referentie_Fossiele_Energie_Totaal[[#This Row],[Product]]&amp;", "&amp;Referentie_MKI_Totaal[[#Headers],[C1]],Database_Productkaarten[#All],51,FALSE),0)*Baseline!I6)),0)</calculatedColumnFormula>
    </tableColumn>
    <tableColumn id="11" xr3:uid="{C6930C7B-8177-4161-85FF-B02AECD7293D}" name="C2" totalsRowFunction="sum" dataDxfId="933" totalsRowDxfId="934">
      <calculatedColumnFormula>IF(Baseline!AD6=0,(IF(Baseline!C6="Bestaande Situatie",(_xlfn.IFNA(VLOOKUP(Referentie_Fossiele_Energie_Totaal[[#This Row],[Product]]&amp;", "&amp;Referentie_MKI_Totaal[[#Headers],[C2]],Database_Productkaarten[#All],51,FALSE),0)*Baseline!I6),0)),(IF(Baseline!C6="Bestaande Situatie",_xlfn.IFNA(VLOOKUP(Baseline!AD6,Database_Transport[#All],45,FALSE)*(Baseline!Q6*Baseline!AC6),0))))</calculatedColumnFormula>
    </tableColumn>
    <tableColumn id="12" xr3:uid="{F2DCDD08-AED4-4468-B26E-964D18DB70B8}" name="C3" totalsRowFunction="sum" dataDxfId="931" totalsRowDxfId="932">
      <calculatedColumnFormula>(IF(Baseline!C6="Bestaande Situatie",(_xlfn.IFNA(VLOOKUP(Referentie_Fossiele_Energie_Totaal[[#This Row],[Product]]&amp;", "&amp;Referentie_Fossiele_Energie_Totaal[[#Headers],[C3]],Database_Productkaarten[#All],51,FALSE),0)*Baseline!I6),0))</calculatedColumnFormula>
    </tableColumn>
    <tableColumn id="13" xr3:uid="{9822DB1B-6434-4B7D-ACD5-1C1078E26C60}" name="C4" totalsRowFunction="sum" dataDxfId="929" totalsRowDxfId="930">
      <calculatedColumnFormula>(IF(Baseline!C6="Bestaande Situatie",(_xlfn.IFNA(VLOOKUP(Referentie_Fossiele_Energie_Totaal[[#This Row],[Product]]&amp;", "&amp;Referentie_Fossiele_Energie_Totaal[[#Headers],[C4]],Database_Productkaarten[#All],51,FALSE),0)*Baseline!I6),0))</calculatedColumnFormula>
    </tableColumn>
    <tableColumn id="14" xr3:uid="{C85B0B4C-29B9-4D41-A27A-3E716D009F74}" name="D1" totalsRowFunction="sum" dataDxfId="927" totalsRowDxfId="928">
      <calculatedColumnFormula>(IF(Baseline!C6="Bestaande Situatie",(_xlfn.IFNA(VLOOKUP(Referentie_Fossiele_Energie_Totaal[[#This Row],[Product]]&amp;", "&amp;Referentie_Fossiele_Energie_Totaal[[#Headers],[D1]],Database_Productkaarten[#All],51,FALSE),0)*Baseline!I6),0))</calculatedColumnFormula>
    </tableColumn>
    <tableColumn id="15" xr3:uid="{69BD03E7-E4DB-4C91-AC75-AEDF0DE2389A}" name="D2" totalsRowFunction="sum" dataDxfId="925" totalsRowDxfId="926">
      <calculatedColumnFormula>(IF(Baseline!C6="Bestaande Situatie",_xlfn.IFNA(VLOOKUP(Referentie_Fossiele_Energie_Totaal[[#This Row],[Product]]&amp;", "&amp;Referentie_Fossiele_Energie_Totaal[[#Headers],[D2]],Database_Productkaarten[#All],51,FALSE),0)*Baseline!I6,0))</calculatedColumnFormula>
    </tableColumn>
    <tableColumn id="17" xr3:uid="{9AA30785-C1AC-4898-BFCF-B4D708EA0CA5}" name="D" totalsRowFunction="sum" dataDxfId="923" totalsRowDxfId="924">
      <calculatedColumnFormula>(IF(Baseline!C6="Bestaande Situatie",_xlfn.IFNA(VLOOKUP(Referentie_Fossiele_Energie_Totaal[[#This Row],[Product]]&amp;", "&amp;Referentie_Fossiele_Energie_Totaal[[#Headers],[D]],Database_Productkaarten[#All],51,FALSE),0)*Baseline!I6,0))</calculatedColumnFormula>
    </tableColumn>
    <tableColumn id="16" xr3:uid="{82A2E988-0BC0-42CD-80DC-9B0D02807D57}" name="Totaal" totalsRowFunction="sum" dataDxfId="921" totalsRowDxfId="922">
      <calculatedColumnFormula>SUM(Referentie_Fossiele_Energie_Totaal[[#This Row],[A1-A3]:[C4]])+Referentie_Fossiele_Energie_Totaal[[#This Row],[D]]</calculatedColumnFormula>
    </tableColumn>
  </tableColumns>
  <tableStyleInfo name="TableStyleMedium1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2EBC1538-A809-42FF-B9CA-72FFEA92DD06}" name="Referentie_Transport_Totaal" displayName="Referentie_Transport_Totaal" ref="B528:N629" totalsRowCount="1" dataDxfId="920" headerRowBorderDxfId="918" tableBorderDxfId="919">
  <autoFilter ref="B528:N628" xr:uid="{2EBC1538-A809-42FF-B9CA-72FFEA92DD06}"/>
  <tableColumns count="13">
    <tableColumn id="1" xr3:uid="{898A6C45-A945-4232-AD31-AA1DA53AC22B}" name="Bestekspost" totalsRowLabel="Totaal" dataDxfId="916" totalsRowDxfId="917">
      <calculatedColumnFormula>Baseline!B6</calculatedColumnFormula>
    </tableColumn>
    <tableColumn id="2" xr3:uid="{D2BDB328-44A7-45D3-AE71-45618EB1C14A}" name="Product" dataDxfId="914" totalsRowDxfId="915">
      <calculatedColumnFormula>Baseline!F6</calculatedColumnFormula>
    </tableColumn>
    <tableColumn id="3" xr3:uid="{32D3E0DB-16BB-4695-8FA5-9080E0BA5D47}" name="Transport naar bouwplaats [tkm]" totalsRowFunction="sum" dataDxfId="912" totalsRowDxfId="913">
      <calculatedColumnFormula>(IF(Baseline!C6="Nieuwe situatie",(Baseline!S6),0)*Baseline!Q6)</calculatedColumnFormula>
    </tableColumn>
    <tableColumn id="4" xr3:uid="{A5A8EC77-2494-48CF-B64D-2C282A0D81A4}" name="Transport naar verwerker [tkm]" totalsRowFunction="sum" dataDxfId="910" totalsRowDxfId="911">
      <calculatedColumnFormula>(IF(Baseline!C6="Bestaande situatie",(Baseline!AC6),0)*Baseline!Q6)</calculatedColumnFormula>
    </tableColumn>
    <tableColumn id="5" xr3:uid="{EA6C6A4E-B068-4E46-850D-D5276EE45B04}" name="Emissieloos Transport naar bouwplaats?" totalsRowFunction="sum" dataDxfId="908" totalsRowDxfId="909">
      <calculatedColumnFormula>_xlfn.IFNA(VLOOKUP(Baseline!T6,Database_Transport[],60,FALSE),"Nee")</calculatedColumnFormula>
    </tableColumn>
    <tableColumn id="6" xr3:uid="{897B10C8-38A1-4785-8180-420DA54C208A}" name="Emissieloos Transport naar verwerker?" totalsRowFunction="sum" dataDxfId="906" totalsRowDxfId="907">
      <calculatedColumnFormula>_xlfn.IFNA(VLOOKUP(Baseline!AC6,Database_Transport[],60,FALSE),"Nee")</calculatedColumnFormula>
    </tableColumn>
    <tableColumn id="7" xr3:uid="{487E6056-FF28-4173-8531-65C8C8E61BCD}" name="Emissieloos Transport" totalsRowFunction="sum" dataDxfId="904" totalsRowDxfId="905">
      <calculatedColumnFormula>IF(Referentie_Transport_Totaal[[#This Row],[Emissieloos Transport naar bouwplaats?]]="JA",Referentie_Transport_Totaal[[#This Row],[Transport naar bouwplaats '[tkm']]],0)+IF(Referentie_Transport_Totaal[[#This Row],[Emissieloos Transport naar verwerker?]]="JA",Referentie_Transport_Totaal[[#This Row],[Transport naar verwerker '[tkm']]],0)</calculatedColumnFormula>
    </tableColumn>
    <tableColumn id="8" xr3:uid="{FF82059C-13F1-4F3B-8840-E9EC504796D0}" name="Transport naar bouwplaats Vervangingen [tkm]" totalsRowFunction="sum" dataDxfId="902" totalsRowDxfId="903">
      <calculatedColumnFormula array="1">_xlfn.IFNA((_xlfn.IFS(Baseline!C6="Nieuwe Situatie",(50),Baseline!C6="Bestaande Situatie",(0))),0)*Baseline!Q6*Baseline!R6</calculatedColumnFormula>
    </tableColumn>
    <tableColumn id="9" xr3:uid="{3DA8538C-BE0B-401D-AC64-FD4047B438F2}" name="Transport naar verwerker Vervangingen [tkm]" totalsRowFunction="sum" dataDxfId="900" totalsRowDxfId="901">
      <calculatedColumnFormula array="1">(_xlfn.IFNA((_xlfn.IFS(Baseline!C6="Nieuwe Situatie",(50),Baseline!C6="Bestaande Situatie",(50))),0)*Baseline!Q6)*Baseline!R6</calculatedColumnFormula>
    </tableColumn>
    <tableColumn id="10" xr3:uid="{0AC5159E-3CD1-4B4B-959A-CC68917215C9}" name="Emissieloos Transport Vervangingen" totalsRowFunction="sum" dataDxfId="898" totalsRowDxfId="899">
      <calculatedColumnFormula>IF(Referentie_Transport_Totaal[[#This Row],[Emissieloos Transport naar bouwplaats?]]="JA",Referentie_Transport_Totaal[[#This Row],[Transport naar bouwplaats Vervangingen '[tkm']]],0)+IF(Referentie_Transport_Totaal[[#This Row],[Emissieloos Transport naar verwerker?]]="JA",Referentie_Transport_Totaal[[#This Row],[Transport naar verwerker Vervangingen '[tkm']]],0)</calculatedColumnFormula>
    </tableColumn>
    <tableColumn id="11" xr3:uid="{F52564BD-159E-4185-9292-70EC60D7C4DC}" name="Totaal Emissieloos Transport" totalsRowFunction="sum" dataDxfId="896" totalsRowDxfId="897">
      <calculatedColumnFormula>Referentie_Transport_Totaal[[#This Row],[Emissieloos Transport]]+Referentie_Transport_Totaal[[#This Row],[Emissieloos Transport Vervangingen]]</calculatedColumnFormula>
    </tableColumn>
    <tableColumn id="12" xr3:uid="{CE75FDCD-59CE-4446-9FFF-6A33240A1434}" name="Totaal Niet Emissieloos Transport" totalsRowFunction="sum" dataDxfId="894" totalsRowDxfId="895">
      <calculatedColumnFormula>(Referentie_Transport_Totaal[[#This Row],[Transport naar bouwplaats '[tkm']]]+Referentie_Transport_Totaal[[#This Row],[Transport naar verwerker '[tkm']]]+Referentie_Transport_Totaal[[#This Row],[Transport naar bouwplaats Vervangingen '[tkm']]]+Referentie_Transport_Totaal[[#This Row],[Transport naar verwerker Vervangingen '[tkm']]])-Referentie_Transport_Totaal[[#This Row],[Totaal Emissieloos Transport]]</calculatedColumnFormula>
    </tableColumn>
    <tableColumn id="13" xr3:uid="{8981293F-8B94-470A-907A-A88CD4D01BAE}" name="Totaal Transport" totalsRowFunction="sum" dataDxfId="892" totalsRowDxfId="893">
      <calculatedColumnFormula>Referentie_Transport_Totaal[[#This Row],[Totaal Emissieloos Transport]]+Referentie_Transport_Totaal[[#This Row],[Totaal Niet Emissieloos Transport]]</calculatedColumnFormula>
    </tableColumn>
  </tableColumns>
  <tableStyleInfo name="TableStyleMedium1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xr:uid="{4A43CBAC-F7A2-405D-B423-4679C1E621D1}" name="Referentie_Bouwplaats_Totaal" displayName="Referentie_Bouwplaats_Totaal" ref="B633:T734" totalsRowCount="1" dataDxfId="891" headerRowBorderDxfId="889" tableBorderDxfId="890">
  <autoFilter ref="B633:T733" xr:uid="{4A43CBAC-F7A2-405D-B423-4679C1E621D1}"/>
  <tableColumns count="19">
    <tableColumn id="1" xr3:uid="{2707CA3C-67F4-470C-A7A4-FABDDF0ECD8A}" name="Bestekspost" totalsRowLabel="Totaal" dataDxfId="887" totalsRowDxfId="888">
      <calculatedColumnFormula>Baseline!B6</calculatedColumnFormula>
    </tableColumn>
    <tableColumn id="2" xr3:uid="{78313C08-6B97-4388-86A8-C0E64CB570D6}" name="Product" dataDxfId="885" totalsRowDxfId="886">
      <calculatedColumnFormula>Baseline!F6</calculatedColumnFormula>
    </tableColumn>
    <tableColumn id="3" xr3:uid="{CAC5E57A-A3F2-4A2B-A6DD-F20542B5D1E2}" name="Draaiuren Bouw Asfalt" totalsRowFunction="sum" dataDxfId="883" totalsRowDxfId="884">
      <calculatedColumnFormula>_xlfn.IFNA(IF(Baseline!C6="Nieuwe situatie",(Baseline!Q6/(VLOOKUP(Baseline!U6,Database_Asfalt_Aanlegset[#All],60,FALSE)/8)),0),0)</calculatedColumnFormula>
    </tableColumn>
    <tableColumn id="4" xr3:uid="{C275B642-82EF-4DC7-BDF7-12FDBED8A81C}" name="Draaiuren Bouw Overig" totalsRowFunction="sum" dataDxfId="881" totalsRowDxfId="882">
      <calculatedColumnFormula>IFERROR(IF(Baseline!C6="Nieuwe situatie",Baseline!I6/Baseline!X6,0),0)</calculatedColumnFormula>
    </tableColumn>
    <tableColumn id="14" xr3:uid="{359B5919-EEFE-4157-B0B7-9D7234A219B6}" name="Draaiuren Verwijder Asfalt" totalsRowFunction="sum" dataDxfId="879" totalsRowDxfId="880">
      <calculatedColumnFormula>_xlfn.IFNA(IF(Baseline!C6="Bestaande situatie",Baseline!Q6/(VLOOKUP(Baseline!Y6,Database_Asfalt_Verwijderset[#All],60,FALSE)/8),0),0)</calculatedColumnFormula>
    </tableColumn>
    <tableColumn id="15" xr3:uid="{B0A9740F-558A-4016-AE06-2714F2A129F9}" name="Draaiuren Verwijder Overig" totalsRowFunction="sum" dataDxfId="877" totalsRowDxfId="878">
      <calculatedColumnFormula>IFERROR(IF(Baseline!C6="Bestaande situatie",Baseline!I6/Baseline!AB6,0),0)</calculatedColumnFormula>
    </tableColumn>
    <tableColumn id="16" xr3:uid="{72A50FAF-FA6C-4695-B684-55837551180A}" name="Emissieloos Asfalt Aanlegset" dataDxfId="875" totalsRowDxfId="876">
      <calculatedColumnFormula>_xlfn.IFNA((VLOOKUP(Baseline!U6,Database_Asfalt_Aanlegset[],61,FALSE)),"Nee")</calculatedColumnFormula>
    </tableColumn>
    <tableColumn id="17" xr3:uid="{7390B16E-EF71-42AA-9DC7-94625EAF389B}" name="Emissieloos Bouwmaterieel" dataDxfId="873" totalsRowDxfId="874">
      <calculatedColumnFormula>_xlfn.IFNA((VLOOKUP(Baseline!V6,Database_Brandstoffen[],60,FALSE)),"Nee")</calculatedColumnFormula>
    </tableColumn>
    <tableColumn id="5" xr3:uid="{3971E55A-BA11-4256-8A18-5E85AFC97DF3}" name="Emissieloos Asfalt Verwijderset" totalsRowFunction="sum" dataDxfId="871" totalsRowDxfId="872">
      <calculatedColumnFormula>_xlfn.IFNA((VLOOKUP(Baseline!Y6,Database_Asfalt_Verwijderset[],61,FALSE)),"Nee")</calculatedColumnFormula>
    </tableColumn>
    <tableColumn id="6" xr3:uid="{A499D668-4142-4CD2-98E7-F09F339CEA40}" name="Emissieloos Sloopmaterieel" totalsRowFunction="sum" dataDxfId="869" totalsRowDxfId="870">
      <calculatedColumnFormula>_xlfn.IFNA((VLOOKUP(Baseline!Z6,Database_Brandstoffen[],60,FALSE)),"Nee")</calculatedColumnFormula>
    </tableColumn>
    <tableColumn id="7" xr3:uid="{F0A502B2-7628-484D-AB86-A291128974CD}" name="Emissieloos bouwplaats" totalsRowFunction="sum" dataDxfId="867" totalsRowDxfId="868">
      <calculatedColumnFormula>IF(Referentie_Bouwplaats_Totaal[[#This Row],[Emissieloos Asfalt Aanlegset]]="JA",Referentie_Bouwplaats_Totaal[[#This Row],[Draaiuren Bouw Asfalt]],0)+IF(Referentie_Bouwplaats_Totaal[[#This Row],[Emissieloos Bouwmaterieel]]="JA",Referentie_Bouwplaats_Totaal[[#This Row],[Draaiuren Bouw Overig]],0)+IF(Referentie_Bouwplaats_Totaal[[#This Row],[Emissieloos Asfalt Verwijderset]]="JA",Referentie_Bouwplaats_Totaal[[#This Row],[Draaiuren Verwijder Asfalt]],0)+IF(Referentie_Bouwplaats_Totaal[[#This Row],[Emissieloos Sloopmaterieel]]="JA",Referentie_Bouwplaats_Totaal[[#This Row],[Draaiuren Verwijder Overig]],0)</calculatedColumnFormula>
    </tableColumn>
    <tableColumn id="18" xr3:uid="{C55ED33C-FA72-4D0A-B7FE-DCC7B41859FD}" name="Draaiuren Bouw Asfalt Vervangingen" totalsRowFunction="sum" dataDxfId="865" totalsRowDxfId="866">
      <calculatedColumnFormula>_xlfn.IFNA(IF(Baseline!C6="Nieuwe situatie",(Baseline!Q6/(VLOOKUP(Baseline!U6,Database_Asfalt_Aanlegset[#All],60,FALSE)/8)),0),0)*Baseline!R6</calculatedColumnFormula>
    </tableColumn>
    <tableColumn id="19" xr3:uid="{106307D0-DB2D-4662-B54A-3E55564BF565}" name="Draaiuren Bouw Overig Vervangingen" totalsRowFunction="sum" dataDxfId="863" totalsRowDxfId="864">
      <calculatedColumnFormula>_xlfn.IFNA(IF(Baseline!C6="Nieuwe situatie",Baseline!O6/VLOOKUP(Baseline!V6,Database_Overig_Materieel[#All],8,FALSE),0),0)*Baseline!R6</calculatedColumnFormula>
    </tableColumn>
    <tableColumn id="8" xr3:uid="{CEB62726-BAE5-4A27-A3AB-88B2D394D6CC}" name="Draaiuren Verwijder Asfalt Vervangingen" totalsRowFunction="sum" dataDxfId="861" totalsRowDxfId="862">
      <calculatedColumnFormula>_xlfn.IFNA(IF(Baseline!C6="Bestaande situatie",Baseline!Q6/(VLOOKUP(Baseline!Y6,Database_Asfalt_Verwijderset[#All],60,FALSE)/8),0),0)*Baseline!R6</calculatedColumnFormula>
    </tableColumn>
    <tableColumn id="9" xr3:uid="{8BE01DF6-70F8-4A31-9C0B-2A2AD70FF43E}" name="Draaiuren Verwijder Overig Vervangingen" totalsRowFunction="sum" dataDxfId="859" totalsRowDxfId="860">
      <calculatedColumnFormula>_xlfn.IFNA(IF(Baseline!C6="Bestaande situatie",Baseline!O6/VLOOKUP(Baseline!Z6,Database_Overig_Materieel[#All],8,FALSE),0),0)*Baseline!R6</calculatedColumnFormula>
    </tableColumn>
    <tableColumn id="10" xr3:uid="{16702A65-8496-48C9-88CE-F4C777AC3C66}" name="Emissieloos bouwplaats Vervangingen" totalsRowFunction="sum" dataDxfId="857" totalsRowDxfId="858">
      <calculatedColumnFormula>IF(Referentie_Bouwplaats_Totaal[[#This Row],[Emissieloos Asfalt Aanlegset]]="JA",Referentie_Bouwplaats_Totaal[[#This Row],[Draaiuren Bouw Asfalt Vervangingen]],0)+IF(Referentie_Bouwplaats_Totaal[[#This Row],[Emissieloos Bouwmaterieel]]="JA",Referentie_Bouwplaats_Totaal[[#This Row],[Draaiuren Bouw Overig Vervangingen]],0)+IF(Referentie_Bouwplaats_Totaal[[#This Row],[Emissieloos Asfalt Verwijderset]]="JA",Referentie_Bouwplaats_Totaal[[#This Row],[Draaiuren Verwijder Asfalt Vervangingen]],0)+IF(Referentie_Bouwplaats_Totaal[[#This Row],[Emissieloos Sloopmaterieel]]="JA",Referentie_Bouwplaats_Totaal[[#This Row],[Draaiuren Verwijder Overig Vervangingen]],0)</calculatedColumnFormula>
    </tableColumn>
    <tableColumn id="11" xr3:uid="{A2A029AD-B496-4AF3-B79D-0BE6EA821F97}" name="Totaal Emissieloos Bouwplaats" totalsRowFunction="sum" dataDxfId="855" totalsRowDxfId="856">
      <calculatedColumnFormula>Referentie_Bouwplaats_Totaal[[#This Row],[Emissieloos bouwplaats]]+Referentie_Bouwplaats_Totaal[[#This Row],[Emissieloos bouwplaats Vervangingen]]</calculatedColumnFormula>
    </tableColumn>
    <tableColumn id="12" xr3:uid="{94960191-E4C9-45CD-9949-E1F5533DADDB}" name="Totaal Niet Emissieloos Bouwplaats" totalsRowFunction="sum" dataDxfId="853" totalsRowDxfId="854">
      <calculatedColumnFormula>(Referentie_Bouwplaats_Totaal[[#This Row],[Draaiuren Bouw Asfalt]]+Referentie_Bouwplaats_Totaal[[#This Row],[Draaiuren Bouw Overig]]+Referentie_Bouwplaats_Totaal[[#This Row],[Draaiuren Verwijder Asfalt]]+Referentie_Bouwplaats_Totaal[[#This Row],[Draaiuren Verwijder Overig]]+Referentie_Bouwplaats_Totaal[[#This Row],[Draaiuren Bouw Asfalt Vervangingen]]+Referentie_Bouwplaats_Totaal[[#This Row],[Draaiuren Bouw Overig Vervangingen]]+Referentie_Bouwplaats_Totaal[[#This Row],[Draaiuren Verwijder Asfalt Vervangingen]]+Referentie_Bouwplaats_Totaal[[#This Row],[Draaiuren Verwijder Overig Vervangingen]]-Referentie_Bouwplaats_Totaal[[#This Row],[Totaal Emissieloos Bouwplaats]])</calculatedColumnFormula>
    </tableColumn>
    <tableColumn id="13" xr3:uid="{91D37DB0-99AD-4D50-8CCB-FB1245A35314}" name="Totaal Bouwplaats" totalsRowFunction="sum" dataDxfId="851" totalsRowDxfId="852">
      <calculatedColumnFormula>Referentie_Bouwplaats_Totaal[[#This Row],[Totaal Emissieloos Bouwplaats]]+Referentie_Bouwplaats_Totaal[[#This Row],[Totaal Niet Emissieloos Bouwplaats]]</calculatedColumnFormula>
    </tableColumn>
  </tableColumns>
  <tableStyleInfo name="TableStyleMedium11"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5E1BF7A-C681-46CD-85D0-22C4DE91FCCF}" name="Invoer_Inschrijf" displayName="Invoer_Inschrijf" ref="B5:AH104" headerRowDxfId="843" dataDxfId="842" totalsRowDxfId="841">
  <autoFilter ref="B5:AH104" xr:uid="{A5E1BF7A-C681-46CD-85D0-22C4DE91FCCF}"/>
  <tableColumns count="33">
    <tableColumn id="14" xr3:uid="{1336BF3B-F352-4CA7-90E2-BDC87A364013}" name="Bestekspost" totalsRowLabel="Total" dataDxfId="840"/>
    <tableColumn id="15" xr3:uid="{91209028-3271-4F9A-9049-99D8B83E8C27}" name="Bestaande Situatie of Nieuw Sitautie?" dataDxfId="838" totalsRowDxfId="839"/>
    <tableColumn id="19" xr3:uid="{AD9C5537-DD92-4178-B2B7-A0FBE1D29A5B}" name="Inschrijfprijs [€]" dataDxfId="836" totalsRowDxfId="837"/>
    <tableColumn id="1" xr3:uid="{9937FB14-71BA-48E2-94EB-0F1438F17C7B}" name="Productgroep" dataDxfId="835"/>
    <tableColumn id="2" xr3:uid="{BBB240F4-1AEE-47AE-A0B2-2AB599A4A38F}" name="Product" dataDxfId="834"/>
    <tableColumn id="22" xr3:uid="{E85C9BFA-8BB9-477E-8CCF-95362D92EF51}" name="Category" dataDxfId="832" totalsRowDxfId="833">
      <calculatedColumnFormula>_xlfn.IFNA(IF(Invoer_Inschrijf[[#This Row],[Productgroep]]="Categorie_1_LCA_Producten",1,(VLOOKUP(Invoer_Inschrijf[[#This Row],[Product]],Database_Productkaarten[[Product]:[Comment]],64,FALSE))),0)</calculatedColumnFormula>
    </tableColumn>
    <tableColumn id="29" xr3:uid="{30D6C6DF-A3A1-42B4-A2BA-61331301007E}" name="Productgroep Cat. 1" dataDxfId="831">
      <calculatedColumnFormula>_xlfn.IFNA(IF(Invoer_Inschrijf[[#This Row],[Productgroep]]="Categorie_1_LCA_Producten",VLOOKUP(Invoer_Inschrijf[[#This Row],[Product]],Categorie_1_Producten[],2,TRUE),0),0)</calculatedColumnFormula>
    </tableColumn>
    <tableColumn id="20" xr3:uid="{48A625D3-23E9-4B77-9D3A-634E58C91909}" name="Poducttype" dataDxfId="829" totalsRowDxfId="830">
      <calculatedColumnFormula>_xlfn.IFNA(VLOOKUP(Invoer_Inschrijf[[#This Row],[Product]],Database_Productkaarten[[Product]:[Producttype]],3,FALSE),VLOOKUP(Invoer_Inschrijf[[#This Row],[Product]],Categorie_1_Producten[#All],3,FALSE))</calculatedColumnFormula>
    </tableColumn>
    <tableColumn id="23" xr3:uid="{B46EE264-799C-4764-A51D-E6EC7297E72B}" name="Aantal Eenheden" dataDxfId="827" totalsRowDxfId="828"/>
    <tableColumn id="24" xr3:uid="{978A94D2-5980-4B29-83BE-4B457D2202EF}" name="Eenheid" dataDxfId="826">
      <calculatedColumnFormula>_xlfn.IFNA(IF(Invoer_Inschrijf[[#This Row],[Productgroep]]="Categorie_1_LCA_Producten",VLOOKUP(Invoer_Inschrijf[[#This Row],[Product]],Categorie_1_Producten[],4,FALSE),VLOOKUP(Invoer_Inschrijf[[#This Row],[Product]],Database_Productkaarten[[Product]:[Eenheid]],4,FALSE)),0)</calculatedColumnFormula>
    </tableColumn>
    <tableColumn id="25" xr3:uid="{D709DC1B-4654-49FD-909B-934333718D07}" name="Lengte[m]" dataDxfId="824" totalsRowDxfId="825"/>
    <tableColumn id="26" xr3:uid="{B591656E-7583-4807-B0BC-AD8A04943FF6}" name="Breedte [m]" dataDxfId="822" totalsRowDxfId="823"/>
    <tableColumn id="21" xr3:uid="{E3157543-E0B6-4B85-BE0A-7A71F799AEC4}" name="Dikte [m]" dataDxfId="820" totalsRowDxfId="821"/>
    <tableColumn id="27" xr3:uid="{CD22768F-7259-43FE-B6E7-43FACC0F5F1D}" name="Oppervlakte [m2]" dataDxfId="818" totalsRowDxfId="819">
      <calculatedColumnFormula>Invoer_Inschrijf[[#This Row],[Lengte'[m']]]*Invoer_Inschrijf[[#This Row],[Breedte '[m']]]</calculatedColumnFormula>
    </tableColumn>
    <tableColumn id="28" xr3:uid="{5EA93C4E-4DA0-4120-80F1-78724DE0C9CD}" name="Volume [m3]" dataDxfId="816" totalsRowDxfId="817">
      <calculatedColumnFormula>IFERROR(IF(Invoer_Inschrijf[[#This Row],[Oppervlakte '[m2']]]*Invoer_Inschrijf[[#This Row],[Dikte '[m']]]=0,Invoer_Inschrijf[[#This Row],[Gewicht '[ton']]]/Invoer_Inschrijf[[#This Row],[Soortelijk gewicht '[ton / m3']]],Invoer_Inschrijf[[#This Row],[Oppervlakte '[m2']]]*Invoer_Inschrijf[[#This Row],[Dikte '[m']]]),0)</calculatedColumnFormula>
    </tableColumn>
    <tableColumn id="16" xr3:uid="{FFD0143F-19BF-436B-B450-26FFA0600BC3}" name="Soortelijk gewicht [ton / m3]" dataDxfId="814" totalsRowDxfId="815">
      <calculatedColumnFormula>_xlfn.IFNA(IF(Invoer_Inschrijf[[#This Row],[Productgroep]]="Categorie_1_LCA_Producten",VLOOKUP(F6,Categorie_1_Producten[#All],5,FALSE),VLOOKUP(F6&amp;", "&amp;"Totaal",Database_Productkaarten[#All],12,FALSE)),0)</calculatedColumnFormula>
    </tableColumn>
    <tableColumn id="7" xr3:uid="{1C55E373-975D-411E-A581-F1D1660C3BF1}" name="Gewicht [ton]" dataDxfId="812" totalsRowDxfId="813">
      <calculatedColumnFormula>_xlfn.IFNA(IF(Invoer_Inschrijf[[#This Row],[Productgroep]]="Categorie_1_LCA_Producten",VLOOKUP(Invoer_Inschrijf[[#This Row],[Product]],Categorie_1_Producten[],5,FALSE)*Invoer_Inschrijf[[#This Row],[Aantal Eenheden]],(VLOOKUP(Invoer_Inschrijf[[#This Row],[Product]],Database_Productkaarten[[Product]:[Gewicht '[ton'] / Eenheid]],12,FALSE)*Invoer_Inschrijf[[#This Row],[Aantal Eenheden]])),0)</calculatedColumnFormula>
    </tableColumn>
    <tableColumn id="3" xr3:uid="{F4DDB624-A2D3-4602-8983-B0CFFDEBEB58}" name="Column1" dataDxfId="810" totalsRowDxfId="811"/>
    <tableColumn id="8" xr3:uid="{138A68E1-B36B-4F1E-A22B-E102C7341112}" name="Vervangingen" dataDxfId="808" totalsRowDxfId="809"/>
    <tableColumn id="5" xr3:uid="{E84FE5D9-D7ED-402D-8473-C01F9C994ED8}" name="A4 - Transportafstand naar bouwplaats [km]" dataDxfId="806" totalsRowDxfId="807"/>
    <tableColumn id="6" xr3:uid="{F82B4EF4-64C0-4865-A29A-DCB15F55B6FE}" name="A4 - Transportmiddel naar bouwplaats" dataDxfId="804" totalsRowDxfId="805"/>
    <tableColumn id="9" xr3:uid="{8D09AB2B-E071-4A9C-992D-4879B6A0E0ED}" name="A5 - Asfalt Aanlegset" dataDxfId="803"/>
    <tableColumn id="17" xr3:uid="{9389A774-DCCA-4F76-9C6F-650AD8483AD3}" name="A5 - Overig Materieel tbv Aanleg" dataDxfId="801" totalsRowDxfId="802"/>
    <tableColumn id="34" xr3:uid="{DE2F159E-6DBC-4573-91BC-8FC008B12424}" name="A5 - Verbruik van materieel [liter - kWh - kg / uur]" dataDxfId="800">
      <calculatedColumnFormula>_xlfn.IFNA(IF(VLOOKUP(Invoer_Inschrijf[[#This Row],[A5 - Overig Materieel tbv Aanleg]],Brandstofmachines_Omrekentabel[],5,FALSE)=0,_xlfn.IFNA(Invoer_Referentie[[#This Row],[A5 - Verbruik overig materieel '[liter - kWh - kg / uur']]]*VLOOKUP(Invoer_Referentie[[#This Row],[A5 - Overig Materieel tbv Aanleg]],Brandstofmachines_Omrekentabel[],8,FALSE)/VLOOKUP(Invoer_Inschrijf[[#This Row],[A5 - Overig Materieel tbv Aanleg]],Brandstofmachines_Omrekentabel[],8,FALSE),0),_xlfn.IFNA(Invoer_Referentie[[#This Row],[A5 - Verbruik overig materieel '[liter - kWh - kg / uur']]]*VLOOKUP(Invoer_Referentie[[#This Row],[A5 - Overig Materieel tbv Aanleg]],Brandstofmachines_Omrekentabel[],8,FALSE)/VLOOKUP(Invoer_Inschrijf[[#This Row],[A5 - Overig Materieel tbv Aanleg]],Brandstofmachines_Omrekentabel[],8,FALSE),0)),0)</calculatedColumnFormula>
    </tableColumn>
    <tableColumn id="31" xr3:uid="{3DFB3723-F456-4C19-9C0E-CFDCB487AB2A}" name="A5 - Capaciteit over materieel [Eenheden / uur]" dataDxfId="798" totalsRowDxfId="799">
      <calculatedColumnFormula>Invoer_Referentie[[#This Row],[A5 - Capaciteit overig materieel '[Eenheden / uur']]]</calculatedColumnFormula>
    </tableColumn>
    <tableColumn id="10" xr3:uid="{16BA7BB5-051E-48DD-BFAF-08C6DB8EA856}" name="C1 - Asfalt Verwijderset" dataDxfId="796" totalsRowDxfId="797"/>
    <tableColumn id="18" xr3:uid="{AE85E740-2399-4B9A-8311-7D0E8EC52F0C}" name="C1 - Overig Materieel tbv Verwijderen" dataDxfId="794" totalsRowDxfId="795"/>
    <tableColumn id="33" xr3:uid="{23C1E9AA-C27F-48F0-B169-88B0DE622E04}" name="C1 - Verbruik overige materieel [liter - kWh - kg / uur]" dataDxfId="792" totalsRowDxfId="793">
      <calculatedColumnFormula>_xlfn.IFNA(IF(VLOOKUP(Invoer_Inschrijf[[#This Row],[C1 - Overig Materieel tbv Verwijderen]],Brandstofmachines_Omrekentabel[],5,FALSE)=0,_xlfn.IFNA(Invoer_Referentie[[#This Row],[C1 - Verbruik overige materieel '[liter - kWh - kg / uur']]]*VLOOKUP(Invoer_Referentie[[#This Row],[C1 - Overig Materieel tbv Verwijderen]],Brandstofmachines_Omrekentabel[],8,FALSE)/VLOOKUP(Invoer_Inschrijf[[#This Row],[C1 - Overig Materieel tbv Verwijderen]],Brandstofmachines_Omrekentabel[],8,FALSE),0),_xlfn.IFNA(Invoer_Referentie[[#This Row],[C1 - Verbruik overige materieel '[liter - kWh - kg / uur']]]*VLOOKUP(Invoer_Referentie[[#This Row],[C1 - Overig Materieel tbv Verwijderen]],Brandstofmachines_Omrekentabel[],8,FALSE)/VLOOKUP(Invoer_Inschrijf[[#This Row],[C1 - Overig Materieel tbv Verwijderen]],Brandstofmachines_Omrekentabel[],8,FALSE),0)),0)</calculatedColumnFormula>
    </tableColumn>
    <tableColumn id="30" xr3:uid="{009E3064-EBDD-4E5E-809A-6091FBEF79D0}" name="C1 - Capaciteit overig materieel [Eenheden / uur]" dataDxfId="790" totalsRowDxfId="791">
      <calculatedColumnFormula>Invoer_Referentie[[#This Row],[C1 - Capaciteit overig materieel '[Eenheden / uur']]]</calculatedColumnFormula>
    </tableColumn>
    <tableColumn id="13" xr3:uid="{BDFDA924-FD77-497A-8BA0-45E0337C581A}" name="C2 - Transportafstand naar verwerker [km]" dataDxfId="788" totalsRowDxfId="789"/>
    <tableColumn id="11" xr3:uid="{930ADEC6-5251-497F-942C-B31A8D9CCC7E}" name="C2 - Transportmiddel naar verwerker" dataDxfId="786" totalsRowDxfId="787"/>
    <tableColumn id="12" xr3:uid="{0B2F65FF-A829-40C0-9AD8-400903028A9D}" name="C3 - Verwerkingsset" dataDxfId="784" totalsRowDxfId="785"/>
    <tableColumn id="4" xr3:uid="{6AEF181D-1DAF-4147-A34D-2D70BD3579D8}" name="Uitgangspunten" totalsRowFunction="count" dataDxfId="782" totalsRowDxfId="783"/>
  </tableColumns>
  <tableStyleInfo name="TableStyleMedium11"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1" xr:uid="{8D39FC7E-6E41-45BA-A60A-64C138BBF5CB}" name="Project_ID_Inschrijver" displayName="Project_ID_Inschrijver" ref="C1:I2" totalsRowShown="0" headerRowDxfId="781" dataDxfId="780">
  <autoFilter ref="C1:I2" xr:uid="{8D39FC7E-6E41-45BA-A60A-64C138BBF5CB}">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5" xr3:uid="{875238F9-75A4-44EC-AF10-074ACFC99164}" name="Opdrachtgever" dataDxfId="779">
      <calculatedColumnFormula>Project_ID_Referentie[[#This Row],[Opdrachtgever]]</calculatedColumnFormula>
    </tableColumn>
    <tableColumn id="1" xr3:uid="{BE36A66F-E95A-437E-AF8C-006D36B149E0}" name="Project ID" dataDxfId="778" dataCellStyle="Standaard 2">
      <calculatedColumnFormula>Project_ID_Referentie[[#This Row],[Project ID]]</calculatedColumnFormula>
    </tableColumn>
    <tableColumn id="2" xr3:uid="{EEF6B1EE-EF01-46C3-B02F-89650056599E}" name="Project levensduur" dataDxfId="777"/>
    <tableColumn id="3" xr3:uid="{185C4B49-393F-45D3-9F42-9A4B32236295}" name="Inschrijver" dataDxfId="776"/>
    <tableColumn id="4" xr3:uid="{DE4C37EE-B696-44A4-B355-2A2B0B0FCBBE}" name="Project datum [DD-MM-YY]" dataDxfId="775"/>
    <tableColumn id="6" xr3:uid="{394EC377-4015-4DD5-A2B3-3F54297CAE0F}" name="Scope" dataDxfId="774"/>
    <tableColumn id="7" xr3:uid="{B9FB2946-0B33-4D59-B646-F6E06F3C349A}" name="Version" dataDxfId="773">
      <calculatedColumnFormula>Project_ID_Referentie[[#This Row],[Version]]</calculatedColumnFormula>
    </tableColumn>
  </tableColumns>
  <tableStyleInfo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60FC9AF0-AA4B-415A-9D45-2A58D0117CEE}" name="Inschrijf_MKI_Totaal" displayName="Inschrijf_MKI_Totaal" ref="B3:S104" totalsRowCount="1" headerRowDxfId="772" dataDxfId="771" totalsRowDxfId="770">
  <autoFilter ref="B3:S103" xr:uid="{60FC9AF0-AA4B-415A-9D45-2A58D0117CEE}">
    <filterColumn colId="1">
      <filters>
        <filter val="AC bin/base 50% PR - PCR 2.0"/>
        <filter val="AC surf rood, met penbitumen - PCR 2.0"/>
        <filter val="Baksteen"/>
        <filter val="Betonbuis 500 mm"/>
        <filter val="Betonbuis 800 mm"/>
        <filter val="Betonstraatsteen 210x105x80"/>
        <filter val="Betontegel 300x300x45"/>
        <filter val="Fosforslakmengsel 200mm"/>
        <filter val="Gebakken klinker keiformaat"/>
        <filter val="Gebakken klinker keiformaat (hergebruik)"/>
        <filter val="Grasbetontegel CEM I 120 mm"/>
        <filter val="Kolk, Staal &amp; Beton"/>
        <filter val="Menggranulaat 250mm"/>
        <filter val="Menggranulaat 300mm"/>
        <filter val="Ophoogmateriaal (Grond)"/>
        <filter val="Ophoogmateriaal (Zand)"/>
        <filter val="Opsluitband 100x200"/>
        <filter val="Opsluitband 150x250"/>
        <filter val="RWSband 115/225x250"/>
        <filter val="Trottoirband 130/150x250"/>
        <filter val="Trottoirband 180/200x250"/>
      </filters>
    </filterColumn>
  </autoFilter>
  <tableColumns count="18">
    <tableColumn id="1" xr3:uid="{4F622A01-7B5A-4640-969B-99C5366215E0}" name="Bestekspost" totalsRowLabel="Totaal" dataDxfId="768" totalsRowDxfId="769">
      <calculatedColumnFormula>Optimalisatie!B6</calculatedColumnFormula>
    </tableColumn>
    <tableColumn id="2" xr3:uid="{EAD7F702-0EEB-44D2-ADB0-576EDCD9AEC1}" name="Product" dataDxfId="767">
      <calculatedColumnFormula>Optimalisatie!F6</calculatedColumnFormula>
    </tableColumn>
    <tableColumn id="3" xr3:uid="{B7530B55-2385-4C3D-8AA6-E8C5C817D300}" name="A1" totalsRowFunction="sum" dataDxfId="765" totalsRowDxfId="766">
      <calculatedColumnFormula>(IF(Optimalisatie!C6="Nieuwe Situatie",_xlfn.IFNA(IF(Optimalisatie!E6="Categorie_1_LCA_Producten",VLOOKUP(Inschrijf_MKI_Totaal[[#This Row],[Product]],Categorie_1_Producten[#All],8,FALSE)*(Optimalisatie!J6),VLOOKUP(Inschrijf_MKI_Totaal[[#This Row],[Product]]&amp;", "&amp;Inschrijf_MKI_Totaal[[#Headers],[A1]],Database_Productkaarten[#All],14,FALSE)*Optimalisatie!J6),Baseline_Backlog!D4),0))</calculatedColumnFormula>
    </tableColumn>
    <tableColumn id="4" xr3:uid="{8AAE83A7-1AA3-4F3A-9C98-95D13FCD9030}" name="A2" totalsRowFunction="sum" dataDxfId="763" totalsRowDxfId="764">
      <calculatedColumnFormula>(IF(Optimalisatie!C6="Nieuwe Situatie",_xlfn.IFNA(IF(Optimalisatie!E6="Categorie_1_LCA_Producten",VLOOKUP(Inschrijf_MKI_Totaal[[#This Row],[Product]],Categorie_1_Producten[#All],9,FALSE)*(Optimalisatie!J6),VLOOKUP(Inschrijf_MKI_Totaal[[#This Row],[Product]]&amp;", "&amp;Inschrijf_MKI_Totaal[[#Headers],[A2]],Database_Productkaarten[#All],14,FALSE)*Optimalisatie!J6),Baseline_Backlog!E4),0))</calculatedColumnFormula>
    </tableColumn>
    <tableColumn id="5" xr3:uid="{5CDAE197-412C-4A06-929C-31274C7F11DA}" name="A3" totalsRowFunction="sum" dataDxfId="761" totalsRowDxfId="762">
      <calculatedColumnFormula>(IF(Optimalisatie!C6="Nieuwe Situatie",_xlfn.IFNA(IF(Optimalisatie!E6="Categorie_1_LCA_Producten",VLOOKUP(Inschrijf_MKI_Totaal[[#This Row],[Product]],Categorie_1_Producten[#All],10,FALSE)*(Optimalisatie!J6),VLOOKUP(Inschrijf_MKI_Totaal[[#This Row],[Product]]&amp;", "&amp;Inschrijf_MKI_Totaal[[#Headers],[A3]],Database_Productkaarten[#All],14,FALSE)*Optimalisatie!J6),Baseline_Backlog!F4),0))</calculatedColumnFormula>
    </tableColumn>
    <tableColumn id="17" xr3:uid="{A9F5A321-457E-46FA-B960-6A5D15F47C47}" name="A1-A3" totalsRowFunction="sum" dataDxfId="759" totalsRowDxfId="760">
      <calculatedColumnFormula>(IF(Optimalisatie!C6="Nieuwe Situatie",_xlfn.IFNA(IF(Optimalisatie!E6="Categorie_1_LCA_Producten",VLOOKUP(Inschrijf_MKI_Totaal[[#This Row],[Product]],Categorie_1_Producten[#All],11,FALSE)*(Optimalisatie!J6),VLOOKUP(Inschrijf_MKI_Totaal[[#This Row],[Product]]&amp;", "&amp;Inschrijf_MKI_Totaal[[#Headers],[A1-A3]],Database_Productkaarten[#All],14,FALSE)*Optimalisatie!J6),Baseline_Backlog!G4),0))</calculatedColumnFormula>
    </tableColumn>
    <tableColumn id="6" xr3:uid="{C67F147F-2412-457B-8DD6-7210F5AAAA5A}" name="A4" totalsRowFunction="sum" dataDxfId="757" totalsRowDxfId="758">
      <calculatedColumnFormula>(IF(Optimalisatie!C6="Nieuwe Situatie",_xlfn.IFNA(VLOOKUP(Optimalisatie!V6,Database_Transport[#All],7,FALSE)*((IF(Optimalisatie!R6=0,Baseline!Q6,Optimalisatie!R6))*Optimalisatie!U6),Baseline_Backlog!H4),0))</calculatedColumnFormula>
    </tableColumn>
    <tableColumn id="7" xr3:uid="{2A314B42-0C48-476D-8772-4085432A0A2D}" name="A5" totalsRowFunction="sum" dataDxfId="755" totalsRowDxfId="756">
      <calculatedColumnFormula>IF(Optimalisatie!C6="Nieuwe situatie",IF(_xlfn.IFNA((VLOOKUP(Optimalisatie!W6,Database_Asfalt_Aanlegset[#All],7,FALSE)*Optimalisatie!J6),0)+_xlfn.IFNA(VLOOKUP(Optimalisatie!X6,Database_Brandstoffen[#All],7,FALSE)*((Optimalisatie!J6/Optimalisatie!Z6)*Optimalisatie!Y6),0)&gt;0,_xlfn.IFNA((VLOOKUP(Optimalisatie!W6,Database_Asfalt_Aanlegset[#All],7,FALSE)*Optimalisatie!J6),0)+_xlfn.IFNA(VLOOKUP(Optimalisatie!X6,Database_Brandstoffen[#All],7,FALSE)*((Optimalisatie!J6/Optimalisatie!Z6)*Optimalisatie!Y6),0),(_xlfn.IFNA(VLOOKUP(Inschrijf_MKI_Totaal[[#This Row],[Product]]&amp;", "&amp;Inschrijf_MKI_Totaal[[#Headers],[A5]],Database_Productkaarten[#All],14,FALSE),0)*Optimalisatie!J6)),0)</calculatedColumnFormula>
    </tableColumn>
    <tableColumn id="8" xr3:uid="{2F7F3F24-1345-4BEF-896A-86B89F4ED472}" name="B1" totalsRowFunction="sum" dataDxfId="753" totalsRowDxfId="754"/>
    <tableColumn id="9" xr3:uid="{D955EA69-9283-41EF-B498-43EE99246176}" name="B4" totalsRowFunction="sum" dataDxfId="751" totalsRowDxfId="752">
      <calculatedColumnFormula>(IF(Optimalisatie!C6="Nieuwe Situatie",_xlfn.IFNA(SUM(Inschrijf_MKI_Totaal[[#This Row],[A1]:[B1]],Inschrijf_MKI_Totaal[[#This Row],[C1]:[D2]])*Optimalisatie!T6,0),0))</calculatedColumnFormula>
    </tableColumn>
    <tableColumn id="10" xr3:uid="{763B6B15-08E0-40AF-BD3E-61BEF18F26B0}" name="C1" totalsRowFunction="sum" dataDxfId="749" totalsRowDxfId="750" dataCellStyle="Standaard 2">
      <calculatedColumnFormula>IF(Optimalisatie!C6="Bestaande situatie",IF(_xlfn.IFNA((VLOOKUP(Optimalisatie!AA6,Database_Asfalt_Verwijderset[#All],7,FALSE)*Optimalisatie!J6),0)+_xlfn.IFNA(VLOOKUP(Optimalisatie!AB6,Database_Brandstoffen[#All],7,FALSE)*((Optimalisatie!J6/Optimalisatie!AD6)*Optimalisatie!AC6),0)&gt;0,_xlfn.IFNA((VLOOKUP(Optimalisatie!AA6,Database_Asfalt_Verwijderset[#All],7,FALSE)*Optimalisatie!J6),0)+_xlfn.IFNA(VLOOKUP(Optimalisatie!AB6,Database_Brandstoffen[#All],7,FALSE)*((Optimalisatie!J6/Optimalisatie!AD6)*Optimalisatie!AC6),0),(_xlfn.IFNA(VLOOKUP(Inschrijf_MKI_Totaal[[#This Row],[Product]]&amp;", "&amp;Inschrijf_MKI_Totaal[[#Headers],[C1]],Database_Productkaarten[#All],14,FALSE),0)*Optimalisatie!J6)),0)</calculatedColumnFormula>
    </tableColumn>
    <tableColumn id="11" xr3:uid="{4300020F-29F9-4001-984D-F7863CE3F90C}" name="C2" totalsRowFunction="sum" dataDxfId="747" totalsRowDxfId="748">
      <calculatedColumnFormula>(IF(Optimalisatie!C6="Bestaande Situatie",_xlfn.IFNA(VLOOKUP(Optimalisatie!AF6,Database_Transport[#All],7,FALSE)*(Optimalisatie!R6*Optimalisatie!AE6),Baseline_Backlog!M4),0))</calculatedColumnFormula>
    </tableColumn>
    <tableColumn id="12" xr3:uid="{BBC9A24A-34DA-4FB8-8C68-EFB545134D99}" name="C3" totalsRowFunction="sum" dataDxfId="745" totalsRowDxfId="746">
      <calculatedColumnFormula>(IF(Optimalisatie!C6="Bestaande Situatie",_xlfn.IFNA(VLOOKUP(Optimalisatie!AG6,Database_Asfalt_Verwerkingsset[#All],7,FALSE)*(Optimalisatie!J6/VLOOKUP(Optimalisatie!AG6,Database_Asfalt_Verwerkingsset[#All],8,FALSE)),Baseline_Backlog!N4),0))</calculatedColumnFormula>
    </tableColumn>
    <tableColumn id="13" xr3:uid="{66D24165-D725-4963-9D76-0C3093DD978B}" name="C4" totalsRowFunction="sum" dataDxfId="743" totalsRowDxfId="744">
      <calculatedColumnFormula>(IF(Optimalisatie!C6="Bestaande Situatie",_xlfn.IFNA(VLOOKUP(Inschrijf_MKI_Totaal[[#This Row],[Product]]&amp;", "&amp;Inschrijf_MKI_Totaal[[#Headers],[C4]],Database_Productkaarten[#All],14,FALSE),Baseline_Backlog!O4)*Optimalisatie!J6,0))</calculatedColumnFormula>
    </tableColumn>
    <tableColumn id="14" xr3:uid="{5600C9A6-5DB6-44EC-A58F-137911C66D15}" name="D1" totalsRowFunction="sum" dataDxfId="741" totalsRowDxfId="742">
      <calculatedColumnFormula>(IF(Optimalisatie!C6="Bestaande Situatie",_xlfn.IFNA(IF(Optimalisatie!E6="Categorie_1_LCA_Producten",VLOOKUP(Inschrijf_MKI_Totaal[[#This Row],[Product]],Categorie_1_Producten[#All],12,FALSE)*(Optimalisatie!J6),VLOOKUP(Inschrijf_MKI_Totaal[[#This Row],[Product]]&amp;", "&amp;Inschrijf_MKI_Totaal[[#Headers],[D1]],Database_Productkaarten[#All],14,FALSE)*Optimalisatie!J6),Baseline_Backlog!P4),0))</calculatedColumnFormula>
    </tableColumn>
    <tableColumn id="15" xr3:uid="{5E65004F-9A6D-4FA5-8FC0-8AFFB9FC8CB2}" name="D2" totalsRowFunction="sum" dataDxfId="739" totalsRowDxfId="740">
      <calculatedColumnFormula>(IF(Optimalisatie!C6="Bestaande Situatie",_xlfn.IFNA(IF(Optimalisatie!E6="Categorie_1_LCA_Producten",VLOOKUP(Inschrijf_MKI_Totaal[[#This Row],[Product]],Categorie_1_Producten[#All],13,FALSE)*(Optimalisatie!J6),VLOOKUP(Inschrijf_MKI_Totaal[[#This Row],[Product]]&amp;", "&amp;Inschrijf_MKI_Totaal[[#Headers],[D2]],Database_Productkaarten[#All],14,FALSE)*Optimalisatie!J6),Baseline_Backlog!Q4),0))</calculatedColumnFormula>
    </tableColumn>
    <tableColumn id="18" xr3:uid="{62F65359-6026-4C6F-9A6E-6D848CB90DD2}" name="D" totalsRowFunction="sum" dataDxfId="737" totalsRowDxfId="738">
      <calculatedColumnFormula>(IF(Optimalisatie!C6="Bestaande Situatie",_xlfn.IFNA(IF(Optimalisatie!E6="Categorie_1_LCA_Producten",VLOOKUP(Inschrijf_MKI_Totaal[[#This Row],[Product]],Categorie_1_Producten[#All],13,FALSE)*(Optimalisatie!J6),VLOOKUP(Inschrijf_MKI_Totaal[[#This Row],[Product]]&amp;", "&amp;Inschrijf_MKI_Totaal[[#Headers],[D]],Database_Productkaarten[#All],14,FALSE)*Optimalisatie!J6),Baseline_Backlog!S4),0))</calculatedColumnFormula>
    </tableColumn>
    <tableColumn id="16" xr3:uid="{EBD27826-43F8-4F7C-B271-3753F481BC9A}" name="Totaal" totalsRowFunction="sum" dataDxfId="735" totalsRowDxfId="736">
      <calculatedColumnFormula>SUM(Inschrijf_MKI_Totaal[[#This Row],[A1-A3]:[C4]])+Inschrijf_MKI_Totaal[[#This Row],[D]]</calculatedColumnFormula>
    </tableColumn>
  </tableColumns>
  <tableStyleInfo name="TableStyleMedium11"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21381C64-8573-45A9-A1EA-8F241D8EF283}" name="Inschrijf_CO2_Totaal" displayName="Inschrijf_CO2_Totaal" ref="B108:S209" totalsRowCount="1" headerRowDxfId="734" dataDxfId="733" totalsRowDxfId="732">
  <autoFilter ref="B108:S208" xr:uid="{21381C64-8573-45A9-A1EA-8F241D8EF283}"/>
  <tableColumns count="18">
    <tableColumn id="1" xr3:uid="{03AA0B56-A7D0-4CDF-BE56-B2E9D9C08A07}" name="Bestekspost" totalsRowLabel="Totaal" dataDxfId="730" totalsRowDxfId="731">
      <calculatedColumnFormula>Optimalisatie!B6</calculatedColumnFormula>
    </tableColumn>
    <tableColumn id="2" xr3:uid="{BA3583AD-D84B-426C-ABEC-3142F4BD8478}" name="Product" dataDxfId="728" totalsRowDxfId="729">
      <calculatedColumnFormula>Optimalisatie!F6</calculatedColumnFormula>
    </tableColumn>
    <tableColumn id="3" xr3:uid="{7BC26F36-AF1D-4E36-ADED-8B0DC5134457}" name="A1" totalsRowFunction="sum" dataDxfId="726" totalsRowDxfId="727">
      <calculatedColumnFormula>(IF(Optimalisatie!C6="Nieuwe Situatie",_xlfn.IFNA(IF(Optimalisatie!E6="Categorie_1_LCA_Producten",VLOOKUP(Inschrijf_CO2_Totaal[[#This Row],[Product]],Categorie_1_Producten[#All],14,FALSE)*(Optimalisatie!J6),VLOOKUP(Inschrijf_CO2_Totaal[[#This Row],[Product]]&amp;", "&amp;Inschrijf_CO2_Totaal[[#Headers],[A1]],Database_Productkaarten[#All],18,FALSE)*Optimalisatie!J6),Baseline_Backlog!D109),0))</calculatedColumnFormula>
    </tableColumn>
    <tableColumn id="4" xr3:uid="{EC959197-4823-403E-9361-769A67077B0A}" name="A2" totalsRowFunction="sum" dataDxfId="724" totalsRowDxfId="725">
      <calculatedColumnFormula>(IF(Optimalisatie!C6="Nieuwe Situatie",_xlfn.IFNA(IF(Optimalisatie!E6="Categorie_1_LCA_Producten",VLOOKUP(Inschrijf_CO2_Totaal[[#This Row],[Product]],Categorie_1_Producten[#All],15,FALSE)*(Optimalisatie!J6),VLOOKUP(Inschrijf_CO2_Totaal[[#This Row],[Product]]&amp;", "&amp;Inschrijf_CO2_Totaal[[#Headers],[A2]],Database_Productkaarten[#All],18,FALSE)*Optimalisatie!J6),Baseline_Backlog!E109),0))</calculatedColumnFormula>
    </tableColumn>
    <tableColumn id="5" xr3:uid="{C1922DFC-47B4-4BB5-99E2-913B7406ED6C}" name="A3" totalsRowFunction="sum" dataDxfId="722" totalsRowDxfId="723">
      <calculatedColumnFormula>(IF(Optimalisatie!C6="Nieuwe Situatie",_xlfn.IFNA(IF(Optimalisatie!E6="Categorie_1_LCA_Producten",VLOOKUP(Inschrijf_CO2_Totaal[[#This Row],[Product]],Categorie_1_Producten[#All],16,FALSE)*(Optimalisatie!J6),VLOOKUP(Inschrijf_CO2_Totaal[[#This Row],[Product]]&amp;", "&amp;Inschrijf_CO2_Totaal[[#Headers],[A3]],Database_Productkaarten[#All],18,FALSE)*Optimalisatie!J6),Baseline_Backlog!F109),0))</calculatedColumnFormula>
    </tableColumn>
    <tableColumn id="18" xr3:uid="{40449169-813D-4D53-A28E-37F401D1C876}" name="A1-A3" totalsRowFunction="sum" dataDxfId="720" totalsRowDxfId="721">
      <calculatedColumnFormula>(IF(Optimalisatie!C6="Nieuwe Situatie",_xlfn.IFNA(IF(Optimalisatie!E6="Categorie_1_LCA_Producten",VLOOKUP(Inschrijf_CO2_Totaal[[#This Row],[Product]],Categorie_1_Producten[#All],19,FALSE)*(Optimalisatie!J6),VLOOKUP(Inschrijf_CO2_Totaal[[#This Row],[Product]]&amp;", "&amp;Inschrijf_CO2_Totaal[[#Headers],[A1-A3]],Database_Productkaarten[#All],18,FALSE)*Optimalisatie!J6),Baseline_Backlog!G109),0))</calculatedColumnFormula>
    </tableColumn>
    <tableColumn id="6" xr3:uid="{9DEECFDA-84AA-41C9-91F2-787FC956D20A}" name="A4" totalsRowFunction="sum" dataDxfId="718" totalsRowDxfId="719">
      <calculatedColumnFormula>(IF(Optimalisatie!C6="Nieuwe Situatie",_xlfn.IFNA(VLOOKUP(Optimalisatie!V6,Database_Transport[#All],12,FALSE)*(Optimalisatie!R6*Optimalisatie!U6),Baseline_Backlog!H109),0))</calculatedColumnFormula>
    </tableColumn>
    <tableColumn id="7" xr3:uid="{65EC7337-60EF-40D7-8EF6-70C0FA713EBB}" name="A5" totalsRowFunction="sum" dataDxfId="716" totalsRowDxfId="717">
      <calculatedColumnFormula>IF(Optimalisatie!C6="Nieuwe situatie",IF(_xlfn.IFNA((VLOOKUP(Optimalisatie!W6,Database_Asfalt_Aanlegset[#All],12,FALSE)*Optimalisatie!J6),0)+_xlfn.IFNA(VLOOKUP(Optimalisatie!X6,Database_Brandstoffen[#All],12,FALSE)*((Optimalisatie!J6/Optimalisatie!Z6)*Optimalisatie!Y6),0)&gt;0,_xlfn.IFNA((VLOOKUP(Optimalisatie!W6,Database_Asfalt_Aanlegset[#All],12,FALSE)*Optimalisatie!J6),0)+_xlfn.IFNA(VLOOKUP(Optimalisatie!X6,Database_Brandstoffen[#All],12,FALSE)*((Optimalisatie!J6/Optimalisatie!Z6)*Optimalisatie!Y6),0),(_xlfn.IFNA(VLOOKUP(Inschrijf_CO2_Totaal[[#This Row],[Product]]&amp;", "&amp;Inschrijf_MKI_Totaal[[#Headers],[A5]],Database_Productkaarten[#All],18,FALSE),0)*Optimalisatie!J6)),0)</calculatedColumnFormula>
    </tableColumn>
    <tableColumn id="8" xr3:uid="{EDDCE063-7573-41C3-BDC3-162A551D43C9}" name="B1" totalsRowFunction="sum" dataDxfId="714" totalsRowDxfId="715">
      <calculatedColumnFormula>(IF(Optimalisatie!C6="Nieuwe Situatie",_xlfn.IFNA(IF(Optimalisatie!E6="Categorie_1_LCA_Producten",VLOOKUP(Inschrijf_CO2_Totaal[[#This Row],[Product]],Categorie_1_Producten[#All],20,FALSE)*(Optimalisatie!R6),VLOOKUP(Inschrijf_CO2_Totaal[[#This Row],[Product]]&amp;", "&amp;Inschrijf_CO2_Totaal[[#Headers],[B1]],Database_Productkaarten[#All],18,FALSE)*Optimalisatie!J6),Baseline_Backlog!J109),0))</calculatedColumnFormula>
    </tableColumn>
    <tableColumn id="9" xr3:uid="{BAA70382-4ED8-4190-B510-724D8D29F25B}" name="B4" totalsRowFunction="sum" dataDxfId="712" totalsRowDxfId="713">
      <calculatedColumnFormula>(IF(Optimalisatie!C6="Nieuwe Situatie",_xlfn.IFNA(SUM(Inschrijf_CO2_Totaal[[#This Row],[A1]:[B1]],Inschrijf_CO2_Totaal[[#This Row],[C1]:[D2]])*Optimalisatie!T6,0),0))</calculatedColumnFormula>
    </tableColumn>
    <tableColumn id="10" xr3:uid="{5A7432B2-338E-43B0-8388-24C56AD1F83F}" name="C1" totalsRowFunction="sum" dataDxfId="710" totalsRowDxfId="711">
      <calculatedColumnFormula>IF(Optimalisatie!C6="Bestaande situatie",IF(_xlfn.IFNA((VLOOKUP(Optimalisatie!AA6,Database_Asfalt_Verwijderset[#All],12,FALSE)*Optimalisatie!J6),0)+_xlfn.IFNA(VLOOKUP(Optimalisatie!AB6,Database_Brandstoffen[#All],12,FALSE)*((Optimalisatie!J6/Optimalisatie!AD6)*Optimalisatie!AC6),0)&gt;0,_xlfn.IFNA((VLOOKUP(Optimalisatie!AA6,Database_Asfalt_Verwijderset[#All],12,FALSE)*Optimalisatie!J6),0)+_xlfn.IFNA(VLOOKUP(Optimalisatie!AB6,Database_Brandstoffen[#All],12,FALSE)*((Optimalisatie!J6/Optimalisatie!AD6)*Optimalisatie!AC6),0),(_xlfn.IFNA(VLOOKUP(Inschrijf_CO2_Totaal[[#This Row],[Product]]&amp;", "&amp;Inschrijf_MKI_Totaal[[#Headers],[C1]],Database_Productkaarten[#All],18,FALSE),0)*Optimalisatie!J6)),0)</calculatedColumnFormula>
    </tableColumn>
    <tableColumn id="11" xr3:uid="{99404562-2D96-4768-B57E-D48FE1026E2D}" name="C2" totalsRowFunction="sum" dataDxfId="708" totalsRowDxfId="709">
      <calculatedColumnFormula>(IF(Optimalisatie!C6="Bestaande Situatie",_xlfn.IFNA(VLOOKUP(Optimalisatie!AF6,Database_Transport[#All],12,FALSE)*(Optimalisatie!R6*Optimalisatie!AE6),Baseline_Backlog!M109),0))</calculatedColumnFormula>
    </tableColumn>
    <tableColumn id="12" xr3:uid="{B462124E-5916-4D4A-82B1-711B440C3280}" name="C3" totalsRowFunction="sum" dataDxfId="706" totalsRowDxfId="707">
      <calculatedColumnFormula>(IF(Optimalisatie!C6="Bestaande Situatie",_xlfn.IFNA(VLOOKUP(Optimalisatie!AG6,Database_Asfalt_Verwerkingsset[#All],12,FALSE)*(Optimalisatie!J6/VLOOKUP(Optimalisatie!AG6,Database_Asfalt_Verwerkingsset[#All],12,FALSE)),Baseline_Backlog!N109),0))</calculatedColumnFormula>
    </tableColumn>
    <tableColumn id="13" xr3:uid="{B5DC7F9E-3BDE-4240-A0B7-AC2966928971}" name="C4" totalsRowFunction="sum" dataDxfId="704" totalsRowDxfId="705">
      <calculatedColumnFormula>(IF(Optimalisatie!C6="Bestaande Situatie",_xlfn.IFNA(VLOOKUP(Inschrijf_CO2_Totaal[[#This Row],[Product]]&amp;", "&amp;Inschrijf_CO2_Totaal[[#Headers],[C4]],Database_Productkaarten[#All],18,FALSE)*Optimalisatie!J6,Baseline_Backlog!O109),0))</calculatedColumnFormula>
    </tableColumn>
    <tableColumn id="14" xr3:uid="{3B5BC588-5DA2-4497-AA5A-2DDD9E1E0E82}" name="D1" totalsRowFunction="sum" dataDxfId="702" totalsRowDxfId="703">
      <calculatedColumnFormula>(IF(Optimalisatie!C6="Bestaande Situatie",_xlfn.IFNA(IF(Optimalisatie!E6="Categorie_1_LCA_Producten",VLOOKUP(Inschrijf_CO2_Totaal[[#This Row],[Product]],Categorie_1_Producten[#All],18,FALSE)*(Optimalisatie!J6),VLOOKUP(Inschrijf_CO2_Totaal[[#This Row],[Product]]&amp;", "&amp;Inschrijf_CO2_Totaal[[#Headers],[D1]],Database_Productkaarten[#All],18,FALSE)*Optimalisatie!J6),Baseline_Backlog!P109),0))</calculatedColumnFormula>
    </tableColumn>
    <tableColumn id="15" xr3:uid="{49A66DA4-68E9-41EB-8C1A-3EB4EA56F326}" name="D2" totalsRowFunction="sum" dataDxfId="700" totalsRowDxfId="701">
      <calculatedColumnFormula>(IF(Optimalisatie!C6="Bestaande Situatie",_xlfn.IFNA(IF(Optimalisatie!E6="Categorie_1_LCA_Producten",VLOOKUP(Inschrijf_CO2_Totaal[[#This Row],[Product]],Categorie_1_Producten[#All],19,FALSE)*(Optimalisatie!J6),VLOOKUP(Inschrijf_CO2_Totaal[[#This Row],[Product]]&amp;", "&amp;Inschrijf_CO2_Totaal[[#Headers],[D2]],Database_Productkaarten[#All],18,FALSE)*Optimalisatie!J6),Baseline_Backlog!Q109),0))</calculatedColumnFormula>
    </tableColumn>
    <tableColumn id="17" xr3:uid="{AE0F29D1-6A45-407D-9668-8A02CE6372C5}" name="D" totalsRowFunction="sum" dataDxfId="698" totalsRowDxfId="699">
      <calculatedColumnFormula>(IF(Optimalisatie!C6="Bestaande Situatie",_xlfn.IFNA(IF(Optimalisatie!E6="Categorie_1_LCA_Producten",VLOOKUP(Inschrijf_CO2_Totaal[[#This Row],[Product]],Categorie_1_Producten[#All],21,FALSE)*(Optimalisatie!J6),VLOOKUP(Inschrijf_CO2_Totaal[[#This Row],[Product]]&amp;", "&amp;Inschrijf_CO2_Totaal[[#Headers],[D]],Database_Productkaarten[#All],18,FALSE)*Optimalisatie!J6),Baseline_Backlog!S109),0))</calculatedColumnFormula>
    </tableColumn>
    <tableColumn id="16" xr3:uid="{70A58394-A5ED-4C7E-A220-F8060B33021B}" name="Totaal" totalsRowFunction="sum" dataDxfId="696" totalsRowDxfId="697">
      <calculatedColumnFormula>SUM(Inschrijf_CO2_Totaal[[#This Row],[A1-A3]:[C4]])+Inschrijf_CO2_Totaal[[#This Row],[D]]</calculatedColumnFormula>
    </tableColumn>
  </tableColumns>
  <tableStyleInfo name="TableStyleMedium11"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CDB88F3A-2BEC-4219-820B-1A6DCA9CD0D0}" name="Inschrijf_Materiaal_Totaal" displayName="Inschrijf_Materiaal_Totaal" ref="B213:M314" totalsRowCount="1" dataDxfId="695" headerRowBorderDxfId="693" tableBorderDxfId="694">
  <autoFilter ref="B213:M313" xr:uid="{CDB88F3A-2BEC-4219-820B-1A6DCA9CD0D0}"/>
  <tableColumns count="12">
    <tableColumn id="1" xr3:uid="{FEE4F92E-ADAA-46E6-B606-2EA13C813900}" name="Bestekspost" totalsRowLabel="Totaal" dataDxfId="691" totalsRowDxfId="692">
      <calculatedColumnFormula>Optimalisatie!B6</calculatedColumnFormula>
    </tableColumn>
    <tableColumn id="2" xr3:uid="{1BF20A56-E1B7-454B-AE33-610DE486208A}" name="Product" dataDxfId="689" totalsRowDxfId="690">
      <calculatedColumnFormula>Optimalisatie!F6</calculatedColumnFormula>
    </tableColumn>
    <tableColumn id="3" xr3:uid="{9F377F15-529D-460D-A204-6716E8FF940B}" name="Hoeveelheid [ton]" totalsRowFunction="sum" dataDxfId="687" totalsRowDxfId="688">
      <calculatedColumnFormula>Optimalisatie!R6</calculatedColumnFormula>
    </tableColumn>
    <tableColumn id="4" xr3:uid="{36515E0C-BE63-4130-8654-2353F9A423CC}" name="% Secundair" dataDxfId="685" totalsRowDxfId="686">
      <calculatedColumnFormula>_xlfn.IFNA(IF(Optimalisatie!E6="Categorie_1_LCA_Producten",VLOOKUP(Optimalisatie!F6,Categorie_1_Producten[#All],6,FALSE),VLOOKUP(Optimalisatie!F6&amp;", "&amp;"Totaal",Database_Productkaarten[#All],64,FALSE)),Referentie_Materiaal_Totaal[[#This Row],[% Secundair]])</calculatedColumnFormula>
    </tableColumn>
    <tableColumn id="5" xr3:uid="{3F4DA813-0CD0-4969-9272-2AD8A29C5C1E}" name="Primair materiaalverbruik" totalsRowFunction="sum" dataDxfId="683" totalsRowDxfId="684">
      <calculatedColumnFormula>Inschrijf_Materiaal_Totaal[[#This Row],[Hoeveelheid '[ton']]]*(1-Inschrijf_Materiaal_Totaal[[#This Row],[% Secundair]])</calculatedColumnFormula>
    </tableColumn>
    <tableColumn id="6" xr3:uid="{11FA650F-EDAE-4F2A-BE3F-EC6D1FCE8D65}" name="Secundair Materiaalverbruik" totalsRowFunction="sum" dataDxfId="681" totalsRowDxfId="682">
      <calculatedColumnFormula>Inschrijf_Materiaal_Totaal[[#This Row],[Hoeveelheid '[ton']]]*Inschrijf_Materiaal_Totaal[[#This Row],[% Secundair]]</calculatedColumnFormula>
    </tableColumn>
    <tableColumn id="7" xr3:uid="{1AD3D038-4877-49FF-B589-8EAED9DA3F36}" name="Hoeveelheid Vervangingen [ton]" totalsRowFunction="sum" dataDxfId="679" totalsRowDxfId="680">
      <calculatedColumnFormula>Optimalisatie!R6*Optimalisatie!T6</calculatedColumnFormula>
    </tableColumn>
    <tableColumn id="8" xr3:uid="{1CECEE5A-BBE8-44D9-B1E2-54481274780D}" name="Primair materiaalverbruik Vervangingen" totalsRowFunction="sum" dataDxfId="677" totalsRowDxfId="678">
      <calculatedColumnFormula>Inschrijf_Materiaal_Totaal[[#This Row],[Hoeveelheid Vervangingen '[ton']]]*(1-Inschrijf_Materiaal_Totaal[[#This Row],[% Secundair]])</calculatedColumnFormula>
    </tableColumn>
    <tableColumn id="9" xr3:uid="{AB5D9550-3F9B-42B2-A7DC-83C0A8B9C67E}" name="Secundair Materiaalverbruik Vervangingen" totalsRowFunction="sum" dataDxfId="675" totalsRowDxfId="676">
      <calculatedColumnFormula>Inschrijf_Materiaal_Totaal[[#This Row],[Primair materiaalverbruik Vervangingen]]*Inschrijf_Materiaal_Totaal[[#This Row],[% Secundair]]</calculatedColumnFormula>
    </tableColumn>
    <tableColumn id="11" xr3:uid="{AD10A8BA-BC1D-40CE-AA0F-55379DE76DD2}" name="Totaal Primair Materieelgebruik" totalsRowFunction="sum" dataDxfId="673" totalsRowDxfId="674">
      <calculatedColumnFormula>Inschrijf_Materiaal_Totaal[[#This Row],[Primair materiaalverbruik]]+Inschrijf_Materiaal_Totaal[[#This Row],[Primair materiaalverbruik Vervangingen]]</calculatedColumnFormula>
    </tableColumn>
    <tableColumn id="12" xr3:uid="{2A98C6CC-C27A-470D-95EC-F1C3256BA805}" name="Totaal Secundair Materieelgebruik" totalsRowFunction="sum" dataDxfId="671" totalsRowDxfId="672">
      <calculatedColumnFormula>Inschrijf_Materiaal_Totaal[[#This Row],[Secundair Materiaalverbruik]]+Inschrijf_Materiaal_Totaal[[#This Row],[Secundair Materiaalverbruik Vervangingen]]</calculatedColumnFormula>
    </tableColumn>
    <tableColumn id="13" xr3:uid="{3C5F54C0-A94C-4C2D-B197-4A21845BD3F0}" name="Totaal Materieelgebruik" totalsRowFunction="sum" dataDxfId="669" totalsRowDxfId="670">
      <calculatedColumnFormula>Inschrijf_Materiaal_Totaal[[#This Row],[Totaal Primair Materieelgebruik]]+Inschrijf_Materiaal_Totaal[[#This Row],[Totaal Secundair Materieelgebruik]]</calculatedColumnFormula>
    </tableColumn>
  </tableColumns>
  <tableStyleInfo name="TableStyleMedium11"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A0F71F05-BD68-4C96-B5E8-8A15FE7A1016}" name="Inschrijf_Hernieuwbare_Energie_Totaal" displayName="Inschrijf_Hernieuwbare_Energie_Totaal" ref="B318:S419" totalsRowCount="1" headerRowDxfId="668" dataDxfId="667" totalsRowDxfId="666">
  <autoFilter ref="B318:S418" xr:uid="{A0F71F05-BD68-4C96-B5E8-8A15FE7A1016}"/>
  <tableColumns count="18">
    <tableColumn id="1" xr3:uid="{D258EB6F-1D23-4713-B774-285036B273FD}" name="Bestekspost" totalsRowLabel="Totaal" dataDxfId="664" totalsRowDxfId="665">
      <calculatedColumnFormula>Optimalisatie!B6</calculatedColumnFormula>
    </tableColumn>
    <tableColumn id="2" xr3:uid="{D465E8D9-3080-42C0-B524-67713ADD0C56}" name="Product" dataDxfId="662" totalsRowDxfId="663">
      <calculatedColumnFormula>Optimalisatie!F6</calculatedColumnFormula>
    </tableColumn>
    <tableColumn id="3" xr3:uid="{FCC973B1-FB7B-42AA-B44F-BF6C917C502B}" name="A1" totalsRowFunction="sum" dataDxfId="660" totalsRowDxfId="661">
      <calculatedColumnFormula>(IF(Optimalisatie!C6="Nieuwe Situatie",_xlfn.IFNA(IF(Optimalisatie!E6="Categorie_1_LCA_Producten",VLOOKUP(Inschrijf_Hernieuwbare_Energie_Totaal[[#This Row],[Product]],Categorie_1_Producten[#All],20,FALSE)*(Optimalisatie!J6),VLOOKUP(Inschrijf_Hernieuwbare_Energie_Totaal[[#This Row],[Product]]&amp;", "&amp;Inschrijf_Hernieuwbare_Energie_Totaal[[#Headers],[A1]],Database_Productkaarten[#All],48,FALSE)*Optimalisatie!J6),Baseline_Backlog!D319),0))</calculatedColumnFormula>
    </tableColumn>
    <tableColumn id="4" xr3:uid="{74FBFDE5-01EE-42D7-87E8-B5A95F710CEC}" name="A2" totalsRowFunction="sum" dataDxfId="658" totalsRowDxfId="659">
      <calculatedColumnFormula>(IF(Optimalisatie!C6="Nieuwe Situatie",_xlfn.IFNA(IF(Optimalisatie!E6="Categorie_1_LCA_Producten",VLOOKUP(Inschrijf_Hernieuwbare_Energie_Totaal[[#This Row],[Product]],Categorie_1_Producten[#All],21,FALSE)*(Optimalisatie!J6),VLOOKUP(Inschrijf_Hernieuwbare_Energie_Totaal[[#This Row],[Product]]&amp;", "&amp;Inschrijf_Hernieuwbare_Energie_Totaal[[#Headers],[A2]],Database_Productkaarten[#All],48,FALSE)*Optimalisatie!J6),Baseline_Backlog!E319),0))</calculatedColumnFormula>
    </tableColumn>
    <tableColumn id="5" xr3:uid="{FAA6C160-FA0E-4C2D-A3DA-B4BE7C024528}" name="A3" totalsRowFunction="sum" dataDxfId="656" totalsRowDxfId="657">
      <calculatedColumnFormula>(IF(Optimalisatie!C6="Nieuwe Situatie",_xlfn.IFNA(IF(Optimalisatie!E6="Categorie_1_LCA_Producten",VLOOKUP(Inschrijf_Hernieuwbare_Energie_Totaal[[#This Row],[Product]],Categorie_1_Producten[#All],22,FALSE)*(Optimalisatie!J6),VLOOKUP(Inschrijf_Hernieuwbare_Energie_Totaal[[#This Row],[Product]]&amp;", "&amp;Inschrijf_Hernieuwbare_Energie_Totaal[[#Headers],[A3]],Database_Productkaarten[#All],48,FALSE)*Optimalisatie!J6),Baseline_Backlog!F319),0))</calculatedColumnFormula>
    </tableColumn>
    <tableColumn id="17" xr3:uid="{8B437778-CEB1-4212-BF45-0858F2404929}" name="A1-A3" totalsRowFunction="sum" dataDxfId="654" totalsRowDxfId="655">
      <calculatedColumnFormula>(IF(Optimalisatie!C6="Nieuwe Situatie",_xlfn.IFNA(IF(Optimalisatie!E6="Categorie_1_LCA_Producten",VLOOKUP(Inschrijf_Hernieuwbare_Energie_Totaal[[#This Row],[Product]],Categorie_1_Producten[#All],27,FALSE)*(Optimalisatie!J6),VLOOKUP(Inschrijf_Hernieuwbare_Energie_Totaal[[#This Row],[Product]]&amp;", "&amp;Inschrijf_Hernieuwbare_Energie_Totaal[[#Headers],[A1-A3]],Database_Productkaarten[#All],48,FALSE)*Optimalisatie!J6),Baseline_Backlog!G319),0))</calculatedColumnFormula>
    </tableColumn>
    <tableColumn id="6" xr3:uid="{038687F1-50DC-4965-9153-9AB075108C05}" name="A4" totalsRowFunction="sum" dataDxfId="652" totalsRowDxfId="653">
      <calculatedColumnFormula>(IF(Optimalisatie!C6="Nieuwe Situatie",_xlfn.IFNA(VLOOKUP(Optimalisatie!V6,Database_Transport[#All],42,FALSE)*(Optimalisatie!R6*Optimalisatie!U6),Baseline_Backlog!H319),0))</calculatedColumnFormula>
    </tableColumn>
    <tableColumn id="7" xr3:uid="{EE364DB4-F495-490C-95EB-CE5EC17C09DB}" name="A5" totalsRowFunction="sum" dataDxfId="650" totalsRowDxfId="651">
      <calculatedColumnFormula>IF(Optimalisatie!C6="Nieuwe situatie",IF(_xlfn.IFNA((VLOOKUP(Optimalisatie!W6,Database_Asfalt_Aanlegset[#All],42,FALSE)*Optimalisatie!J6),0)+_xlfn.IFNA(VLOOKUP(Optimalisatie!X6,Database_Brandstoffen[#All],42,FALSE)*((Optimalisatie!J6/Optimalisatie!Z6)*Optimalisatie!Y6),0)&gt;0,_xlfn.IFNA((VLOOKUP(Optimalisatie!W6,Database_Asfalt_Aanlegset[#All],42,FALSE)*Optimalisatie!J6),0)+_xlfn.IFNA(VLOOKUP(Optimalisatie!X6,Database_Brandstoffen[#All],42,FALSE)*((Optimalisatie!J6/Optimalisatie!Z6)*Optimalisatie!Y6),0),(_xlfn.IFNA(VLOOKUP(Inschrijf_Hernieuwbare_Energie_Totaal[[#This Row],[Product]]&amp;", "&amp;Inschrijf_MKI_Totaal[[#Headers],[A5]],Database_Productkaarten[#All],48,FALSE),0)*Optimalisatie!J6)),0)</calculatedColumnFormula>
    </tableColumn>
    <tableColumn id="8" xr3:uid="{A5402612-78A0-402C-96A5-74329D1C32BD}" name="B1" totalsRowFunction="sum" dataDxfId="648" totalsRowDxfId="649">
      <calculatedColumnFormula>(IF(Optimalisatie!C6="Nieuwe Situatie",_xlfn.IFNA(IF(Optimalisatie!E6="Categorie_1_LCA_Producten",VLOOKUP(Inschrijf_Hernieuwbare_Energie_Totaal[[#This Row],[Product]],Categorie_1_Producten[#All],28,FALSE)*(Optimalisatie!R6),VLOOKUP(Inschrijf_Hernieuwbare_Energie_Totaal[[#This Row],[Product]]&amp;", "&amp;Inschrijf_Hernieuwbare_Energie_Totaal[[#Headers],[B1]],Database_Productkaarten[#All],47,FALSE)*Optimalisatie!J6),Baseline_Backlog!J319),0))</calculatedColumnFormula>
    </tableColumn>
    <tableColumn id="9" xr3:uid="{6A7F9BA2-3732-472B-97FC-D6990B9DC9EC}" name="B4" totalsRowFunction="sum" dataDxfId="646" totalsRowDxfId="647">
      <calculatedColumnFormula>(IF(Optimalisatie!C6="Nieuwe Situatie",_xlfn.IFNA(SUM(Inschrijf_Hernieuwbare_Energie_Totaal[[#This Row],[A1]:[B1]],Inschrijf_Hernieuwbare_Energie_Totaal[[#This Row],[C1]:[D2]])*Optimalisatie!T6,0),0))</calculatedColumnFormula>
    </tableColumn>
    <tableColumn id="10" xr3:uid="{6106D5CF-989C-4144-BE76-B66AFCDE5748}" name="C1" totalsRowFunction="sum" dataDxfId="644" totalsRowDxfId="645">
      <calculatedColumnFormula>IF(Optimalisatie!C6="Bestaande situatie",IF(_xlfn.IFNA((VLOOKUP(Optimalisatie!AA6,Database_Asfalt_Verwijderset[#All],42,FALSE)*Optimalisatie!J6),0)+_xlfn.IFNA(VLOOKUP(Optimalisatie!AB6,Database_Brandstoffen[#All],42,FALSE)*((Optimalisatie!J6/Optimalisatie!AD6)*Optimalisatie!AC6),0)&gt;0,_xlfn.IFNA((VLOOKUP(Optimalisatie!AA6,Database_Asfalt_Verwijderset[#All],42,FALSE)*Optimalisatie!J6),0)+_xlfn.IFNA(VLOOKUP(Optimalisatie!AB6,Database_Brandstoffen[#All],42,FALSE)*((Optimalisatie!J6/Optimalisatie!AD6)*Optimalisatie!AC6),0),(_xlfn.IFNA(VLOOKUP(Inschrijf_Hernieuwbare_Energie_Totaal[[#This Row],[Product]]&amp;", "&amp;Inschrijf_MKI_Totaal[[#Headers],[C1]],Database_Productkaarten[#All],48,FALSE),0)*Optimalisatie!J6)),0)</calculatedColumnFormula>
    </tableColumn>
    <tableColumn id="11" xr3:uid="{739CF28F-79A5-4E8B-BB61-FB8BAD1A298D}" name="C2" totalsRowFunction="sum" dataDxfId="642" totalsRowDxfId="643">
      <calculatedColumnFormula>(IF(Optimalisatie!C6="Bestaande Situatie",_xlfn.IFNA(VLOOKUP(Optimalisatie!AF6,Database_Transport[#All],42,FALSE)*(Optimalisatie!R6*Optimalisatie!AE6),Baseline_Backlog!M319),0))</calculatedColumnFormula>
    </tableColumn>
    <tableColumn id="12" xr3:uid="{9B4DCE17-6195-4B4D-95D9-FD22CEE44742}" name="C3" totalsRowFunction="sum" dataDxfId="640" totalsRowDxfId="641">
      <calculatedColumnFormula>(IF(Optimalisatie!C6="Bestaande Situatie",_xlfn.IFNA(VLOOKUP(Optimalisatie!AG6,Database_Asfalt_Verwerkingsset[#All],42,FALSE)*(Optimalisatie!J6/VLOOKUP(Optimalisatie!AG6,Database_Asfalt_Verwerkingsset[#All],42,FALSE)),Baseline_Backlog!N319),0))</calculatedColumnFormula>
    </tableColumn>
    <tableColumn id="13" xr3:uid="{E0456EE4-0FB1-47A1-A025-8F0FFC4F04D1}" name="C4" totalsRowFunction="sum" dataDxfId="638" totalsRowDxfId="639">
      <calculatedColumnFormula>(IF(Optimalisatie!C6="Bestaande Situatie",_xlfn.IFNA(VLOOKUP(Inschrijf_Hernieuwbare_Energie_Totaal[[#This Row],[Product]]&amp;", "&amp;Inschrijf_MKI_Totaal[[#Headers],[C4]],Database_Productkaarten[#All],48,FALSE)*Optimalisatie!J6,Baseline_Backlog!O319),0))</calculatedColumnFormula>
    </tableColumn>
    <tableColumn id="14" xr3:uid="{DE7908D5-CA26-447D-B96E-70B9D627CEF5}" name="D1" totalsRowFunction="sum" dataDxfId="636" totalsRowDxfId="637">
      <calculatedColumnFormula>(IF(Optimalisatie!C6="Bestaande Situatie",_xlfn.IFNA(IF(Optimalisatie!E6="Categorie_1_LCA_Producten",VLOOKUP(Inschrijf_Hernieuwbare_Energie_Totaal[[#This Row],[Product]],Categorie_1_Producten[#All],24,FALSE)*(Optimalisatie!J6),VLOOKUP(Inschrijf_Hernieuwbare_Energie_Totaal[[#This Row],[Product]]&amp;", "&amp;Inschrijf_Hernieuwbare_Energie_Totaal[[#Headers],[D1]],Database_Productkaarten[#All],48,FALSE)*Optimalisatie!J6),Baseline_Backlog!P319),0))</calculatedColumnFormula>
    </tableColumn>
    <tableColumn id="15" xr3:uid="{66D5F26D-DCAA-4343-8895-169579838D83}" name="D2" totalsRowFunction="sum" dataDxfId="634" totalsRowDxfId="635">
      <calculatedColumnFormula>(IF(Optimalisatie!C6="Bestaande Situatie",_xlfn.IFNA(IF(Optimalisatie!E6="Categorie_1_LCA_Producten",VLOOKUP(Inschrijf_Hernieuwbare_Energie_Totaal[[#This Row],[Product]],Categorie_1_Producten[#All],25,FALSE)*(Optimalisatie!J6),VLOOKUP(Inschrijf_Hernieuwbare_Energie_Totaal[[#This Row],[Product]]&amp;", "&amp;Inschrijf_Hernieuwbare_Energie_Totaal[[#Headers],[D2]],Database_Productkaarten[#All],48,FALSE)*Optimalisatie!J6),Baseline_Backlog!Q319),0))</calculatedColumnFormula>
    </tableColumn>
    <tableColumn id="18" xr3:uid="{504CA3C8-D1E5-4EEF-8155-545BAA7715FF}" name="D" totalsRowFunction="sum" dataDxfId="632" totalsRowDxfId="633">
      <calculatedColumnFormula>(IF(Optimalisatie!C6="Bestaande Situatie",_xlfn.IFNA(IF(Optimalisatie!E6="Categorie_1_LCA_Producten",VLOOKUP(Inschrijf_Hernieuwbare_Energie_Totaal[[#This Row],[Product]],Categorie_1_Producten[#All],29,FALSE)*(Optimalisatie!J6),VLOOKUP(Inschrijf_Hernieuwbare_Energie_Totaal[[#This Row],[Product]]&amp;", "&amp;Inschrijf_Hernieuwbare_Energie_Totaal[[#Headers],[D]],Database_Productkaarten[#All],48,FALSE)*Optimalisatie!J6),Baseline_Backlog!S319),0))</calculatedColumnFormula>
    </tableColumn>
    <tableColumn id="16" xr3:uid="{41FF71B5-4C5C-4940-8E4C-6F60BF1144FC}" name="Totaal" totalsRowFunction="sum" dataDxfId="630" totalsRowDxfId="631">
      <calculatedColumnFormula>SUM(Inschrijf_Hernieuwbare_Energie_Totaal[[#This Row],[A1-A3]:[C4]])+Inschrijf_Hernieuwbare_Energie_Totaal[[#This Row],[D]]</calculatedColumnFormula>
    </tableColumn>
  </tableColumns>
  <tableStyleInfo name="TableStyleMedium11"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919E1BE6-68A0-4A91-9E5A-672DFADF89D7}" name="Inschrijf_Fossiele_Energie_Totaal" displayName="Inschrijf_Fossiele_Energie_Totaal" ref="B423:S524" totalsRowCount="1" headerRowDxfId="629" dataDxfId="628" totalsRowDxfId="627">
  <autoFilter ref="B423:S523" xr:uid="{919E1BE6-68A0-4A91-9E5A-672DFADF89D7}"/>
  <tableColumns count="18">
    <tableColumn id="1" xr3:uid="{B695A6BC-C831-42C5-856E-78621199F481}" name="Bestekspost" totalsRowLabel="Totaal" dataDxfId="625" totalsRowDxfId="626">
      <calculatedColumnFormula>Optimalisatie!B6</calculatedColumnFormula>
    </tableColumn>
    <tableColumn id="2" xr3:uid="{C7ADBC2A-FBC1-48A7-84A1-CDFCD213D771}" name="Product" dataDxfId="623" totalsRowDxfId="624">
      <calculatedColumnFormula>Optimalisatie!F6</calculatedColumnFormula>
    </tableColumn>
    <tableColumn id="3" xr3:uid="{A41ACABA-6B3C-4022-947B-C44A27B43AC2}" name="A1" totalsRowFunction="sum" dataDxfId="621" totalsRowDxfId="622">
      <calculatedColumnFormula>(IF(Optimalisatie!C6="Nieuwe Situatie",_xlfn.IFNA(IF(Optimalisatie!E6="Categorie_1_LCA_Producten",VLOOKUP(Inschrijf_Fossiele_Energie_Totaal[[#This Row],[Product]],Categorie_1_Producten[#All],26,FALSE)*(Optimalisatie!J6),VLOOKUP(Inschrijf_Fossiele_Energie_Totaal[[#This Row],[Product]]&amp;", "&amp;Inschrijf_Fossiele_Energie_Totaal[[#Headers],[A1]],Database_Productkaarten[#All],51,FALSE)*Optimalisatie!J6),Baseline_Backlog!D424),0))</calculatedColumnFormula>
    </tableColumn>
    <tableColumn id="4" xr3:uid="{C9B96C60-8DCE-4380-BE95-9AC21C8D211D}" name="A2" totalsRowFunction="sum" dataDxfId="619" totalsRowDxfId="620">
      <calculatedColumnFormula>(IF(Optimalisatie!C6="Nieuwe Situatie",_xlfn.IFNA(IF(Optimalisatie!E6="Categorie_1_LCA_Producten",VLOOKUP(Inschrijf_Fossiele_Energie_Totaal[[#This Row],[Product]],Categorie_1_Producten[#All],27,FALSE)*(Optimalisatie!J6),VLOOKUP(Inschrijf_Fossiele_Energie_Totaal[[#This Row],[Product]]&amp;", "&amp;Inschrijf_Fossiele_Energie_Totaal[[#Headers],[A2]],Database_Productkaarten[#All],51,FALSE)*Optimalisatie!J6),Baseline_Backlog!E424),0))</calculatedColumnFormula>
    </tableColumn>
    <tableColumn id="5" xr3:uid="{73363623-7747-4BAF-B7ED-1FC63D8074FD}" name="A3" totalsRowFunction="sum" dataDxfId="617" totalsRowDxfId="618">
      <calculatedColumnFormula>(IF(Optimalisatie!C6="Nieuwe Situatie",_xlfn.IFNA(IF(Optimalisatie!E6="Categorie_1_LCA_Producten",VLOOKUP(Inschrijf_Fossiele_Energie_Totaal[[#This Row],[Product]],Categorie_1_Producten[#All],28,FALSE)*(Optimalisatie!J6),VLOOKUP(Inschrijf_Fossiele_Energie_Totaal[[#This Row],[Product]]&amp;", "&amp;Inschrijf_Fossiele_Energie_Totaal[[#Headers],[A3]],Database_Productkaarten[#All],51,FALSE)*Optimalisatie!J6),Baseline_Backlog!F424),0))</calculatedColumnFormula>
    </tableColumn>
    <tableColumn id="17" xr3:uid="{14AC360A-8D60-45FF-9B71-270247DF3C7B}" name="A1-A3" totalsRowFunction="sum" dataDxfId="615" totalsRowDxfId="616">
      <calculatedColumnFormula>(IF(Optimalisatie!C6="Nieuwe Situatie",_xlfn.IFNA(IF(Optimalisatie!E6="Categorie_1_LCA_Producten",VLOOKUP(Inschrijf_Fossiele_Energie_Totaal[[#This Row],[Product]],Categorie_1_Producten[#All],35,FALSE)*(Optimalisatie!J6),VLOOKUP(Inschrijf_Fossiele_Energie_Totaal[[#This Row],[Product]]&amp;", "&amp;Inschrijf_Fossiele_Energie_Totaal[[#Headers],[A1-A3]],Database_Productkaarten[#All],51,FALSE)*Optimalisatie!J6),Baseline_Backlog!G424),0))</calculatedColumnFormula>
    </tableColumn>
    <tableColumn id="6" xr3:uid="{2C6D05E0-20CF-41E3-A22E-EA933A3C9046}" name="A4" totalsRowFunction="sum" dataDxfId="613" totalsRowDxfId="614">
      <calculatedColumnFormula>(IF(Optimalisatie!C6="Nieuwe Situatie",_xlfn.IFNA(VLOOKUP(Optimalisatie!V6,Database_Transport[#All],45,FALSE)*(Optimalisatie!R6*Optimalisatie!U6),Baseline_Backlog!H424),0))</calculatedColumnFormula>
    </tableColumn>
    <tableColumn id="7" xr3:uid="{0EC19A9E-CFB1-44F9-AFBB-DDEA2540BD67}" name="A5" totalsRowFunction="sum" dataDxfId="611" totalsRowDxfId="612">
      <calculatedColumnFormula>IF(Optimalisatie!C6="Nieuwe situatie",IF(_xlfn.IFNA((VLOOKUP(Optimalisatie!W6,Database_Asfalt_Aanlegset[#All],45,FALSE)*Optimalisatie!J6),0)+_xlfn.IFNA(VLOOKUP(Optimalisatie!X6,Database_Brandstoffen[#All],45,FALSE)*((Optimalisatie!J6/Optimalisatie!Z6)*Optimalisatie!Y6),0)&gt;0,_xlfn.IFNA((VLOOKUP(Optimalisatie!W6,Database_Asfalt_Aanlegset[#All],45,FALSE)*Optimalisatie!J6),0)+_xlfn.IFNA(VLOOKUP(Optimalisatie!X6,Database_Brandstoffen[#All],45,FALSE)*((Optimalisatie!J6/Optimalisatie!Z6)*Optimalisatie!Y6),0),(_xlfn.IFNA(VLOOKUP(Inschrijf_Fossiele_Energie_Totaal[[#This Row],[Product]]&amp;", "&amp;Inschrijf_MKI_Totaal[[#Headers],[A5]],Database_Productkaarten[#All],51,FALSE),0)*Optimalisatie!J6)),0)</calculatedColumnFormula>
    </tableColumn>
    <tableColumn id="8" xr3:uid="{F0D6C022-E33C-40BF-BF68-F1DFED969340}" name="B1" totalsRowFunction="sum" dataDxfId="609" totalsRowDxfId="610">
      <calculatedColumnFormula>(IF(Optimalisatie!C6="Nieuwe Situatie",_xlfn.IFNA(IF(Optimalisatie!E6="Categorie_1_LCA_Producten",VLOOKUP(Inschrijf_Fossiele_Energie_Totaal[[#This Row],[Product]],Categorie_1_Producten[#All],36,FALSE)*(Optimalisatie!R6),VLOOKUP(Inschrijf_Fossiele_Energie_Totaal[[#This Row],[Product]]&amp;", "&amp;Inschrijf_Fossiele_Energie_Totaal[[#Headers],[B1]],Database_Productkaarten[#All],51,FALSE)*Optimalisatie!J6),Baseline_Backlog!J424),0))</calculatedColumnFormula>
    </tableColumn>
    <tableColumn id="9" xr3:uid="{BF26AFB5-3F59-4499-B45E-F787B7141786}" name="B4" totalsRowFunction="sum" dataDxfId="607" totalsRowDxfId="608">
      <calculatedColumnFormula>(IF(Optimalisatie!C6="Nieuwe Situatie",_xlfn.IFNA(SUM(Inschrijf_Fossiele_Energie_Totaal[[#This Row],[A1]:[B1]],Inschrijf_Fossiele_Energie_Totaal[[#This Row],[C1]:[D2]])*Optimalisatie!T6,0),0))</calculatedColumnFormula>
    </tableColumn>
    <tableColumn id="10" xr3:uid="{039CCAE9-D435-4F1B-AD1A-DF50ACB0A5AB}" name="C1" totalsRowFunction="sum" dataDxfId="605" totalsRowDxfId="606">
      <calculatedColumnFormula>IF(Optimalisatie!C6="Bestaande situatie",IF(_xlfn.IFNA((VLOOKUP(Optimalisatie!AA6,Database_Asfalt_Verwijderset[#All],45,FALSE)*Optimalisatie!J6),0)+_xlfn.IFNA(VLOOKUP(Optimalisatie!AB6,Database_Brandstoffen[#All],45,FALSE)*((Optimalisatie!J6/Optimalisatie!AD6)*Optimalisatie!AC6),0)&gt;0,_xlfn.IFNA((VLOOKUP(Optimalisatie!AA6,Database_Asfalt_Verwijderset[#All],45,FALSE)*Optimalisatie!J6),0)+_xlfn.IFNA(VLOOKUP(Optimalisatie!AB6,Database_Brandstoffen[#All],45,FALSE)*((Optimalisatie!J6/Optimalisatie!AD6)*Optimalisatie!AC6),0),(_xlfn.IFNA(VLOOKUP(Inschrijf_Fossiele_Energie_Totaal[[#This Row],[Product]]&amp;", "&amp;Inschrijf_MKI_Totaal[[#Headers],[C1]],Database_Productkaarten[#All],51,FALSE),0)*Optimalisatie!J6)),0)</calculatedColumnFormula>
    </tableColumn>
    <tableColumn id="11" xr3:uid="{903B9715-3059-4205-8BE6-B47E32B27BB6}" name="C2" totalsRowFunction="sum" dataDxfId="603" totalsRowDxfId="604">
      <calculatedColumnFormula>(IF(Optimalisatie!C6="Bestaande Situatie",_xlfn.IFNA(VLOOKUP(Optimalisatie!AF6,Database_Transport[#All],45,FALSE)*(Optimalisatie!R6*Optimalisatie!AE6),Baseline_Backlog!M424),0))</calculatedColumnFormula>
    </tableColumn>
    <tableColumn id="12" xr3:uid="{FF7EFFE5-5429-4B23-A969-C951F608E981}" name="C3" totalsRowFunction="sum" dataDxfId="601" totalsRowDxfId="602">
      <calculatedColumnFormula>(IF(Optimalisatie!C6="Bestaande Situatie",_xlfn.IFNA(VLOOKUP(Optimalisatie!AG6,Database_Asfalt_Verwerkingsset[#All],45,FALSE)*(Optimalisatie!J6/VLOOKUP(Optimalisatie!AG6,Database_Asfalt_Verwerkingsset[#All],45,FALSE)),Baseline_Backlog!N424),0))</calculatedColumnFormula>
    </tableColumn>
    <tableColumn id="13" xr3:uid="{4353E183-7C57-43E9-A988-093DB34536FA}" name="C4" totalsRowFunction="sum" dataDxfId="599" totalsRowDxfId="600">
      <calculatedColumnFormula>(IF(Optimalisatie!C6="Bestaande Situatie",_xlfn.IFNA(VLOOKUP(Inschrijf_Fossiele_Energie_Totaal[[#This Row],[Product]]&amp;", "&amp;Inschrijf_MKI_Totaal[[#Headers],[C4]],Database_Productkaarten[#All],51,FALSE)*Optimalisatie!J6,Baseline_Backlog!O424),0))</calculatedColumnFormula>
    </tableColumn>
    <tableColumn id="14" xr3:uid="{A64CEFEF-8BE8-4C85-8DA8-BAA6DB938A7D}" name="D1" totalsRowFunction="sum" dataDxfId="597" totalsRowDxfId="598">
      <calculatedColumnFormula>(IF(Optimalisatie!C6="Bestaande Situatie",_xlfn.IFNA(IF(Optimalisatie!E6="Categorie_1_LCA_Producten",VLOOKUP(Inschrijf_Fossiele_Energie_Totaal[[#This Row],[Product]],Categorie_1_Producten[#All],30,FALSE)*(Optimalisatie!J6),VLOOKUP(Inschrijf_Fossiele_Energie_Totaal[[#This Row],[Product]]&amp;", "&amp;Inschrijf_Fossiele_Energie_Totaal[[#Headers],[D1]],Database_Productkaarten[#All],51,FALSE)*Optimalisatie!J6),Baseline_Backlog!P424),0))</calculatedColumnFormula>
    </tableColumn>
    <tableColumn id="15" xr3:uid="{F2A0309E-F8B8-4DF9-9D5A-76AB336CBEA6}" name="D2" totalsRowFunction="sum" dataDxfId="595" totalsRowDxfId="596">
      <calculatedColumnFormula>(IF(Optimalisatie!C6="Bestaande Situatie",_xlfn.IFNA(IF(Optimalisatie!E6="Categorie_1_LCA_Producten",VLOOKUP(Inschrijf_Fossiele_Energie_Totaal[[#This Row],[Product]],Categorie_1_Producten[#All],31,FALSE)*(Optimalisatie!J6),VLOOKUP(Inschrijf_Fossiele_Energie_Totaal[[#This Row],[Product]]&amp;", "&amp;Inschrijf_Fossiele_Energie_Totaal[[#Headers],[D2]],Database_Productkaarten[#All],51,FALSE)*Optimalisatie!J6),Baseline_Backlog!Q424),0))</calculatedColumnFormula>
    </tableColumn>
    <tableColumn id="18" xr3:uid="{020538A3-34DB-454C-906A-6E8C1075C54A}" name="D" totalsRowFunction="sum" dataDxfId="593" totalsRowDxfId="594">
      <calculatedColumnFormula>(IF(Optimalisatie!C6="Bestaande Situatie",_xlfn.IFNA(IF(Optimalisatie!E6="Categorie_1_LCA_Producten",VLOOKUP(Inschrijf_Fossiele_Energie_Totaal[[#This Row],[Product]],Categorie_1_Producten[#All],37,FALSE)*(Optimalisatie!J6),VLOOKUP(Inschrijf_Fossiele_Energie_Totaal[[#This Row],[Product]]&amp;", "&amp;Inschrijf_Fossiele_Energie_Totaal[[#Headers],[D]],Database_Productkaarten[#All],51,FALSE)*Optimalisatie!J6),Baseline_Backlog!S424),0))</calculatedColumnFormula>
    </tableColumn>
    <tableColumn id="16" xr3:uid="{5A90C467-1BFA-42F5-9779-04B4173F71CA}" name="Totaal" totalsRowFunction="sum" dataDxfId="591" totalsRowDxfId="592">
      <calculatedColumnFormula>SUM(Inschrijf_Fossiele_Energie_Totaal[[#This Row],[A1-A3]:[C4]])+Inschrijf_Fossiele_Energie_Totaal[[#This Row],[D]]</calculatedColumnFormula>
    </tableColumn>
  </tableColumns>
  <tableStyleInfo name="TableStyleMedium11"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8" xr:uid="{FFB10AA4-2C83-4389-A7A5-94AE34C46460}" name="Inschrijf_Transport_Totaal" displayName="Inschrijf_Transport_Totaal" ref="B528:N629" totalsRowCount="1" dataDxfId="590" headerRowBorderDxfId="588" tableBorderDxfId="589">
  <autoFilter ref="B528:N628" xr:uid="{FFB10AA4-2C83-4389-A7A5-94AE34C46460}"/>
  <tableColumns count="13">
    <tableColumn id="1" xr3:uid="{089D363E-34B4-4256-A559-047703DAFA6D}" name="Bestekspost" totalsRowLabel="Totaal" dataDxfId="586" totalsRowDxfId="587">
      <calculatedColumnFormula>Optimalisatie!B6</calculatedColumnFormula>
    </tableColumn>
    <tableColumn id="2" xr3:uid="{F84AA0A0-99BD-4E30-8439-F8E2B8741CF5}" name="Product" dataDxfId="584" totalsRowDxfId="585">
      <calculatedColumnFormula>Optimalisatie!F6</calculatedColumnFormula>
    </tableColumn>
    <tableColumn id="3" xr3:uid="{4EA2D403-6B48-4ABD-A300-4FDF48F936C0}" name="Transport naar bouwplaats [tkm]" totalsRowFunction="sum" dataDxfId="582" totalsRowDxfId="583">
      <calculatedColumnFormula>(IF(Optimalisatie!C6="Nieuwe Situatie",(Optimalisatie!U6),0)*Optimalisatie!R6)</calculatedColumnFormula>
    </tableColumn>
    <tableColumn id="4" xr3:uid="{B9CB135F-F401-4D18-97F7-89A00F670EF1}" name="Transport naar verwerker [tkm]" totalsRowFunction="sum" dataDxfId="580" totalsRowDxfId="581">
      <calculatedColumnFormula>(IF(Optimalisatie!C6="Bestaande Situatie",(Optimalisatie!AE6),0)*Optimalisatie!R6)</calculatedColumnFormula>
    </tableColumn>
    <tableColumn id="5" xr3:uid="{CA65D621-FFB5-4172-B602-6D045BDD72C6}" name="Emissieloos Transport naar bouwplaats?" totalsRowFunction="sum" dataDxfId="578" totalsRowDxfId="579">
      <calculatedColumnFormula>_xlfn.IFNA(VLOOKUP(Optimalisatie!V6,Database_Transport[],60,FALSE),"Nee")</calculatedColumnFormula>
    </tableColumn>
    <tableColumn id="6" xr3:uid="{B9B1747C-5608-4AB5-87B6-389DAD63B834}" name="Emissieloos Transport naar verwerker?" totalsRowFunction="sum" dataDxfId="576" totalsRowDxfId="577">
      <calculatedColumnFormula>_xlfn.IFNA(VLOOKUP(Optimalisatie!AF6,Database_Transport[],60,FALSE),"Nee")</calculatedColumnFormula>
    </tableColumn>
    <tableColumn id="7" xr3:uid="{04FC3552-9DF9-4115-BB07-2407C10C7066}" name="Emissieloos Transport" totalsRowFunction="sum" dataDxfId="574" totalsRowDxfId="575">
      <calculatedColumnFormula>IF(Inschrijf_Transport_Totaal[[#This Row],[Emissieloos Transport naar bouwplaats?]]="JA",Inschrijf_Transport_Totaal[[#This Row],[Transport naar bouwplaats '[tkm']]],0)+IF(Inschrijf_Transport_Totaal[[#This Row],[Emissieloos Transport naar verwerker?]]="JA",Inschrijf_Transport_Totaal[[#This Row],[Transport naar verwerker '[tkm']]],0)</calculatedColumnFormula>
    </tableColumn>
    <tableColumn id="9" xr3:uid="{BBA81D8E-4DB5-4C48-8748-E97844B9E7E7}" name="Transport naar bouwplaats Vervangingen [tkm]" totalsRowFunction="sum" dataDxfId="572" totalsRowDxfId="573">
      <calculatedColumnFormula>(IF(Optimalisatie!C6="Nieuwe Situatie",(Optimalisatie!U6),0)*Optimalisatie!R6)*Optimalisatie!T6</calculatedColumnFormula>
    </tableColumn>
    <tableColumn id="8" xr3:uid="{1C198CF7-1613-4A82-9472-2B507D3F9A02}" name="Transport naar verwerker Vervangingen [tkm]" totalsRowFunction="sum" dataDxfId="570" totalsRowDxfId="571">
      <calculatedColumnFormula>(IF(Optimalisatie!C6="Nieuwe Situatie",(Optimalisatie!AE6),(Optimalisatie!AE6))*Optimalisatie!R6)*Optimalisatie!T6</calculatedColumnFormula>
    </tableColumn>
    <tableColumn id="10" xr3:uid="{4CE6A70B-0F16-426A-ACB6-D48A54FD9361}" name="Emissieloos Transport Vervangingen" totalsRowFunction="sum" dataDxfId="568" totalsRowDxfId="569">
      <calculatedColumnFormula>IF(Inschrijf_Transport_Totaal[[#This Row],[Emissieloos Transport naar bouwplaats?]]="JA",Inschrijf_Transport_Totaal[[#This Row],[Transport naar bouwplaats Vervangingen '[tkm']]],0)+IF(Inschrijf_Transport_Totaal[[#This Row],[Emissieloos Transport naar verwerker?]]="JA",Inschrijf_Transport_Totaal[[#This Row],[Transport naar verwerker Vervangingen '[tkm']]],0)</calculatedColumnFormula>
    </tableColumn>
    <tableColumn id="11" xr3:uid="{20258A10-8831-4A03-A2DF-AED8EB0FF928}" name="Totaal Emissieloos Transport" totalsRowFunction="sum" dataDxfId="566" totalsRowDxfId="567">
      <calculatedColumnFormula>Inschrijf_Transport_Totaal[[#This Row],[Emissieloos Transport]]+Inschrijf_Transport_Totaal[[#This Row],[Emissieloos Transport Vervangingen]]</calculatedColumnFormula>
    </tableColumn>
    <tableColumn id="12" xr3:uid="{0FFD727B-C5F6-4F38-B21F-242300A53950}" name="Totaal Niet Emissieloos Transport" totalsRowFunction="sum" dataDxfId="564" totalsRowDxfId="565">
      <calculatedColumnFormula>(Inschrijf_Transport_Totaal[[#This Row],[Transport naar bouwplaats '[tkm']]]+Inschrijf_Transport_Totaal[[#This Row],[Transport naar verwerker '[tkm']]]+Inschrijf_Transport_Totaal[[#This Row],[Transport naar bouwplaats Vervangingen '[tkm']]]+Inschrijf_Transport_Totaal[[#This Row],[Transport naar verwerker Vervangingen '[tkm']]])-Inschrijf_Transport_Totaal[[#This Row],[Totaal Emissieloos Transport]]</calculatedColumnFormula>
    </tableColumn>
    <tableColumn id="13" xr3:uid="{EBA447B9-0211-496F-A4C0-42C86020DC34}" name="Totaal Transport" totalsRowFunction="sum" dataDxfId="562" totalsRowDxfId="563">
      <calculatedColumnFormula>Inschrijf_Transport_Totaal[[#This Row],[Totaal Emissieloos Transport]]+Inschrijf_Transport_Totaal[[#This Row],[Totaal Niet Emissieloos Transport]]</calculatedColumnFormula>
    </tableColumn>
  </tableColumns>
  <tableStyleInfo name="TableStyleMedium11"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7" xr:uid="{8DA17722-7282-45E0-9416-69E65A00AD2E}" name="Inschrijf_Bouwplaats_Totaal" displayName="Inschrijf_Bouwplaats_Totaal" ref="B633:T734" totalsRowCount="1" dataDxfId="561" headerRowBorderDxfId="559" tableBorderDxfId="560">
  <autoFilter ref="B633:T733" xr:uid="{8DA17722-7282-45E0-9416-69E65A00AD2E}"/>
  <tableColumns count="19">
    <tableColumn id="1" xr3:uid="{133B4394-52AE-4EAE-AC48-DCA3321FC4BC}" name="Bestekspost" totalsRowLabel="Totaal" dataDxfId="557" totalsRowDxfId="558">
      <calculatedColumnFormula>Optimalisatie!B6</calculatedColumnFormula>
    </tableColumn>
    <tableColumn id="2" xr3:uid="{482124C4-09E1-49EE-9C41-CA2104A6C047}" name="Product" dataDxfId="555" totalsRowDxfId="556">
      <calculatedColumnFormula>Optimalisatie!F6</calculatedColumnFormula>
    </tableColumn>
    <tableColumn id="3" xr3:uid="{036DEA3D-1C95-4FC9-A83A-6C6934ABB33E}" name="Draaiuren Bouw Asfalt" totalsRowFunction="sum" dataDxfId="553" totalsRowDxfId="554">
      <calculatedColumnFormula>_xlfn.IFNA(IF(Optimalisatie!C6="Nieuwe situatie",(Optimalisatie!R6/(VLOOKUP(Optimalisatie!W6,Database_Asfalt_Aanlegset[#All],60,FALSE)/8)),0),0)</calculatedColumnFormula>
    </tableColumn>
    <tableColumn id="11" xr3:uid="{DB254DA3-D2C3-4170-B1E6-C839F6019767}" name="Draaiuren Bouw Overig" totalsRowFunction="sum" dataDxfId="551" totalsRowDxfId="552">
      <calculatedColumnFormula>IFERROR(IF(Optimalisatie!C6="Nieuwe situatie",Optimalisatie!J6/Optimalisatie!Z6,0),0)</calculatedColumnFormula>
    </tableColumn>
    <tableColumn id="4" xr3:uid="{26CB9A2D-19DA-4DC4-A12A-23F47E1A8192}" name="Draaiuren Verwijder Asfalt" totalsRowFunction="sum" dataDxfId="549" totalsRowDxfId="550">
      <calculatedColumnFormula>_xlfn.IFNA(IF(Optimalisatie!C6="Bestaande situatie",Optimalisatie!R6/(VLOOKUP(Optimalisatie!AA6,Database_Asfalt_Verwijderset[#All],60,FALSE)/8),0),0)</calculatedColumnFormula>
    </tableColumn>
    <tableColumn id="12" xr3:uid="{02AE46FE-AA10-4294-815A-A83835BFE79D}" name="Draaiuren Verwijder Overig" totalsRowFunction="sum" dataDxfId="547" totalsRowDxfId="548">
      <calculatedColumnFormula>IFERROR(IF(Optimalisatie!C6="Bestaande situatie",Optimalisatie!J6/Optimalisatie!AD6,0),0)</calculatedColumnFormula>
    </tableColumn>
    <tableColumn id="5" xr3:uid="{AFCBB19F-0760-4756-B3ED-93507105FD40}" name="Emissieloos Asfalt Aanlegset" totalsRowFunction="sum" dataDxfId="545" totalsRowDxfId="546">
      <calculatedColumnFormula>_xlfn.IFNA((VLOOKUP(Optimalisatie!W6,Database_Asfalt_Aanlegset[],61,FALSE)),"Nee")</calculatedColumnFormula>
    </tableColumn>
    <tableColumn id="8" xr3:uid="{C4020CA7-CA0F-4D04-8990-1285374DFC49}" name="Emissieloos Bouwmaterieel" dataDxfId="543" totalsRowDxfId="544">
      <calculatedColumnFormula>_xlfn.IFNA((VLOOKUP(Optimalisatie!X6,Database_Brandstoffen[],60,FALSE)),"Nee")</calculatedColumnFormula>
    </tableColumn>
    <tableColumn id="6" xr3:uid="{807FCFE3-D2F3-4AF2-A1E8-8D72651EDABC}" name="Emissieloos Asfalt Verwijderset" totalsRowFunction="sum" dataDxfId="541" totalsRowDxfId="542">
      <calculatedColumnFormula>_xlfn.IFNA((VLOOKUP(Optimalisatie!AA6,Database_Asfalt_Verwijderset[],61,FALSE)),"Nee")</calculatedColumnFormula>
    </tableColumn>
    <tableColumn id="10" xr3:uid="{43CCF251-8AD5-466F-8B5A-08E38CED30DF}" name="Emissieloos Sloopmaterieel" dataDxfId="539" totalsRowDxfId="540">
      <calculatedColumnFormula>_xlfn.IFNA((VLOOKUP(Optimalisatie!AB6,Database_Brandstoffen[],60,FALSE)),"Nee")</calculatedColumnFormula>
    </tableColumn>
    <tableColumn id="7" xr3:uid="{6D1DD374-DB3A-42C0-BB8F-293572E34394}" name="Emissieloos bouwplaats" totalsRowFunction="sum" dataDxfId="537" totalsRowDxfId="538">
      <calculatedColumnFormula>IF(Inschrijf_Bouwplaats_Totaal[[#This Row],[Emissieloos Asfalt Aanlegset]]="JA",Inschrijf_Bouwplaats_Totaal[[#This Row],[Draaiuren Bouw Asfalt]],0)+IF(Inschrijf_Bouwplaats_Totaal[[#This Row],[Emissieloos Bouwmaterieel]]="JA",Inschrijf_Bouwplaats_Totaal[[#This Row],[Draaiuren Bouw Overig]],0)+IF(Inschrijf_Bouwplaats_Totaal[[#This Row],[Emissieloos Asfalt Verwijderset]]="JA",Inschrijf_Bouwplaats_Totaal[[#This Row],[Draaiuren Verwijder Asfalt]],0)+IF(Inschrijf_Bouwplaats_Totaal[[#This Row],[Emissieloos Sloopmaterieel]]="JA",Inschrijf_Bouwplaats_Totaal[[#This Row],[Draaiuren Verwijder Overig]],0)</calculatedColumnFormula>
    </tableColumn>
    <tableColumn id="9" xr3:uid="{1375E42C-5582-49F0-89DC-660BEFC91363}" name="Draaiuren Bouw Asfalt Vervangingen" totalsRowFunction="sum" dataDxfId="535" totalsRowDxfId="536">
      <calculatedColumnFormula>_xlfn.IFNA(IF(Optimalisatie!C6="Nieuwe situatie",(Optimalisatie!R6/(VLOOKUP(Optimalisatie!W6,Database_Asfalt_Aanlegset[#All],60,FALSE)/8)),0),0)*Optimalisatie!T6</calculatedColumnFormula>
    </tableColumn>
    <tableColumn id="13" xr3:uid="{CDBE9ADC-67D5-48CB-AB20-52E58A53A39B}" name="Draaiuren Bouw Overig Vervangingen" totalsRowFunction="sum" dataDxfId="533" totalsRowDxfId="534">
      <calculatedColumnFormula>_xlfn.IFNA(IF(Optimalisatie!C6="Nieuwe situatie",Optimalisatie!S6/VLOOKUP(Optimalisatie!X6,Database_Overig_Materieel[#All],8,FALSE),0),0)*Optimalisatie!T6</calculatedColumnFormula>
    </tableColumn>
    <tableColumn id="14" xr3:uid="{F773AF1B-7EDD-4F30-BAA9-57A77DB26D66}" name="Draaiuren Verwijder Asfalt Vervangingen" totalsRowFunction="sum" dataDxfId="531" totalsRowDxfId="532">
      <calculatedColumnFormula>_xlfn.IFNA(IF(Optimalisatie!C6="Bestaande situatie",Optimalisatie!R6/(VLOOKUP(Optimalisatie!AA6,Database_Asfalt_Verwijderset[#All],60,FALSE)/8),0),0)*Optimalisatie!T6</calculatedColumnFormula>
    </tableColumn>
    <tableColumn id="15" xr3:uid="{32994B01-B8C5-4365-9DCB-B768E3EB70B4}" name="Draaiuren Verwijder Overig Vervangingen" totalsRowFunction="sum" dataDxfId="529" totalsRowDxfId="530">
      <calculatedColumnFormula>_xlfn.IFNA(IF(Optimalisatie!C6="Bestaande situatie",Optimalisatie!S6/VLOOKUP(Optimalisatie!AB6,Database_Overig_Materieel[#All],8,FALSE),0),0)*Optimalisatie!T6</calculatedColumnFormula>
    </tableColumn>
    <tableColumn id="16" xr3:uid="{96223E47-63D0-4305-A457-536D89184CD0}" name="Emissieloos bouwplaats Vervangingen" totalsRowFunction="sum" dataDxfId="527" totalsRowDxfId="528">
      <calculatedColumnFormula>IF(Inschrijf_Bouwplaats_Totaal[[#This Row],[Emissieloos Asfalt Aanlegset]]="JA",Inschrijf_Bouwplaats_Totaal[[#This Row],[Draaiuren Bouw Asfalt Vervangingen]],0)+IF(Inschrijf_Bouwplaats_Totaal[[#This Row],[Emissieloos Bouwmaterieel]]="JA",Inschrijf_Bouwplaats_Totaal[[#This Row],[Draaiuren Bouw Overig Vervangingen]],0)+IF(Inschrijf_Bouwplaats_Totaal[[#This Row],[Emissieloos Asfalt Verwijderset]]="JA",Inschrijf_Bouwplaats_Totaal[[#This Row],[Draaiuren Verwijder Asfalt Vervangingen]],0)+IF(Inschrijf_Bouwplaats_Totaal[[#This Row],[Emissieloos Sloopmaterieel]]="JA",Inschrijf_Bouwplaats_Totaal[[#This Row],[Draaiuren Verwijder Overig Vervangingen]],0)</calculatedColumnFormula>
    </tableColumn>
    <tableColumn id="17" xr3:uid="{603E5717-7703-4A09-89ED-7E9FC9DAD8B5}" name="Totaal Emissieloos Bouwplaats" totalsRowFunction="sum" dataDxfId="525" totalsRowDxfId="526">
      <calculatedColumnFormula>Inschrijf_Bouwplaats_Totaal[[#This Row],[Emissieloos bouwplaats]]+Inschrijf_Bouwplaats_Totaal[[#This Row],[Emissieloos bouwplaats Vervangingen]]</calculatedColumnFormula>
    </tableColumn>
    <tableColumn id="18" xr3:uid="{521CADFF-92D9-4C25-BA9A-6003F46ECE63}" name="Totaal Niet Emissieloos Bouwplaats" totalsRowFunction="sum" dataDxfId="523" totalsRowDxfId="524">
      <calculatedColumnFormula>(Inschrijf_Bouwplaats_Totaal[[#This Row],[Draaiuren Bouw Asfalt]]+Inschrijf_Bouwplaats_Totaal[[#This Row],[Draaiuren Bouw Overig]]+Inschrijf_Bouwplaats_Totaal[[#This Row],[Draaiuren Verwijder Asfalt]]+Inschrijf_Bouwplaats_Totaal[[#This Row],[Draaiuren Verwijder Overig]]+Inschrijf_Bouwplaats_Totaal[[#This Row],[Draaiuren Bouw Asfalt Vervangingen]]+Inschrijf_Bouwplaats_Totaal[[#This Row],[Draaiuren Bouw Overig Vervangingen]]+Inschrijf_Bouwplaats_Totaal[[#This Row],[Draaiuren Verwijder Asfalt Vervangingen]]+Inschrijf_Bouwplaats_Totaal[[#This Row],[Draaiuren Verwijder Overig Vervangingen]])-Inschrijf_Bouwplaats_Totaal[[#This Row],[Totaal Emissieloos Bouwplaats]]</calculatedColumnFormula>
    </tableColumn>
    <tableColumn id="19" xr3:uid="{C14BEF00-55D2-4069-8FD0-DA702CC4924E}" name="Totaal Bouwplaats" totalsRowFunction="sum" dataDxfId="521" totalsRowDxfId="522">
      <calculatedColumnFormula>Inschrijf_Bouwplaats_Totaal[[#This Row],[Totaal Emissieloos Bouwplaats]]+Inschrijf_Bouwplaats_Totaal[[#This Row],[Totaal Niet Emissieloos Bouwplaats]]</calculatedColumnFormula>
    </tableColumn>
  </tableColumns>
  <tableStyleInfo name="TableStyleMedium11"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BBB5B20A-71D9-4F32-BFDE-23BFB50CDB3C}" name="Categorie_1_Producten" displayName="Categorie_1_Producten" ref="A3:AN40" totalsRowShown="0" headerRowDxfId="520" dataDxfId="519" headerRowCellStyle="Standaard 2" dataCellStyle="Standaard 2">
  <autoFilter ref="A3:AN40" xr:uid="{BBB5B20A-71D9-4F32-BFDE-23BFB50CDB3C}"/>
  <tableColumns count="40">
    <tableColumn id="1" xr3:uid="{C4C9EA8D-03BA-4F3C-AEE6-21C3A94F02FF}" name="Product" dataDxfId="518" dataCellStyle="Standaard 2"/>
    <tableColumn id="16" xr3:uid="{C573AC55-3C31-4519-9104-2800B44240EE}" name="Productgroep" dataDxfId="517" dataCellStyle="Standaard 2"/>
    <tableColumn id="15" xr3:uid="{AC619A22-0182-4F9B-90D3-1C4A416B845B}" name="Producttype" dataDxfId="516" dataCellStyle="Standaard 2"/>
    <tableColumn id="2" xr3:uid="{50F92EE3-0335-4C88-BE37-29EFF346B994}" name="Eenheid" dataDxfId="515" dataCellStyle="Standaard 2"/>
    <tableColumn id="3" xr3:uid="{0F2487E1-F15B-45AC-A2E5-FD9EFE73416E}" name="Gewicht in ton per eenheid [ton]" dataDxfId="514" dataCellStyle="Standaard 2"/>
    <tableColumn id="6" xr3:uid="{74EBBFEE-106F-451D-8C60-0C48BFD16797}" name="% Secundair materiaal" dataDxfId="513"/>
    <tableColumn id="14" xr3:uid="{F1FC5EED-5B54-414D-A8FA-461B59A3500B}" name="Levensduur" dataDxfId="512" dataCellStyle="Standaard 2"/>
    <tableColumn id="7" xr3:uid="{143BD3E1-44F8-4958-AEF8-AE64C1BF821B}" name="A1 - Milieu Kosten Indicator (MKI) - euro" dataDxfId="511" dataCellStyle="Standaard 2"/>
    <tableColumn id="8" xr3:uid="{FD10404B-8FDA-4E36-AEA5-CC85FA3F6F05}" name="A2 - Milieu Kosten Indicator (MKI) - euro" dataDxfId="510" dataCellStyle="Standaard 2"/>
    <tableColumn id="9" xr3:uid="{3E0062BD-0BFC-426E-9540-A7E7F2FE398F}" name="A3 - Milieu Kosten Indicator (MKI) - euro" dataDxfId="509" dataCellStyle="Standaard 2"/>
    <tableColumn id="4" xr3:uid="{84407F11-09C3-4981-B85B-2673C7B62E1E}" name="A1-A3 - Milieu Kosten Indicator (MKI) - euro" dataDxfId="508" dataCellStyle="Standaard 2"/>
    <tableColumn id="10" xr3:uid="{DEB40BEE-EDCE-427D-B63F-7F18950490FC}" name="B1 - Milieu Kosten Indicator (MKI) - euro" dataDxfId="507" dataCellStyle="Standaard 2"/>
    <tableColumn id="5" xr3:uid="{E2D26D88-AFC4-45EF-AA09-BDAB87B8CBA5}" name="D - Milieu Kosten Indicator (MKI) - euro" dataDxfId="506" dataCellStyle="Standaard 2"/>
    <tableColumn id="11" xr3:uid="{5CF1FC7F-D149-46BE-B8B4-67B98C237B46}" name="D1 - Milieu Kosten Indicator (MKI) - euro" dataDxfId="505" dataCellStyle="Standaard 2"/>
    <tableColumn id="12" xr3:uid="{DDD3BB26-1954-422D-9BA9-23FE5A6A2EF1}" name="D2 - Milieu Kosten Indicator (MKI) - euro" dataDxfId="504" dataCellStyle="Standaard 2"/>
    <tableColumn id="19" xr3:uid="{BFEE69D2-1266-4F50-837C-A9595E75E5CE}" name="A1 - Klimaatverandering /_x000a_Global warming (GWP) - kg CO2-eq" dataDxfId="503" dataCellStyle="Standaard 2"/>
    <tableColumn id="20" xr3:uid="{081FF74C-7C99-4D69-AD69-8DCDC3961CC8}" name="A2 - Klimaatverandering /_x000a_Global warming (GWP) - kg CO2-eq" dataDxfId="502" dataCellStyle="Standaard 2"/>
    <tableColumn id="21" xr3:uid="{D87A9539-4D9D-42D5-BE1D-79BF9AAFC2E0}" name="A3 - Klimaatverandering /_x000a_Global warming (GWP) - kg CO2-eq" dataDxfId="501" dataCellStyle="Standaard 2"/>
    <tableColumn id="13" xr3:uid="{586F2AC9-F44C-4695-A88E-AF0AB099EC4E}" name="A1-A3 - Klimaatverandering /_x000a_Global warming (GWP) - kg CO2-eq" dataDxfId="500" dataCellStyle="Standaard 2"/>
    <tableColumn id="24" xr3:uid="{16B234FE-40E4-4588-9FE2-3B9068B695D2}" name="B1 - Klimaatverandering /_x000a_Global warming (GWP) - kg CO2-eq" dataDxfId="499" dataCellStyle="Standaard 2"/>
    <tableColumn id="17" xr3:uid="{0768238D-E022-4CFF-A254-D8C9407BF187}" name="D - Klimaatverandering /_x000a_Global warming (GWP) - kg CO2-eq" dataDxfId="498" dataCellStyle="Standaard 2"/>
    <tableColumn id="26" xr3:uid="{F5F07F95-F778-418B-870D-A88B38429EC7}" name="D1 - Klimaatverandering /_x000a_Global warming (GWP) - kg CO2-eq" dataDxfId="497" dataCellStyle="Standaard 2"/>
    <tableColumn id="27" xr3:uid="{C7506F80-76EC-4171-B97E-FB5CAD537578}" name="D2 - Klimaatverandering /_x000a_Global warming (GWP) - kg CO2-eq" dataDxfId="496" dataCellStyle="Standaard 2"/>
    <tableColumn id="22" xr3:uid="{34985222-BBD1-4180-9830-D9542486EFE3}" name="A1 - Totaal gebruik van hernieuwbare primaire energie / _x000a_Energy, primary, renewable (MJ)" dataDxfId="495" dataCellStyle="Standaard 2"/>
    <tableColumn id="28" xr3:uid="{05954A96-73D4-4A03-B205-47B09999E154}" name="A2 - Totaal gebruik van hernieuwbare primaire energie / _x000a_Energy, primary, renewable (MJ)" dataDxfId="494" dataCellStyle="Standaard 2"/>
    <tableColumn id="29" xr3:uid="{9AEC1408-5CA0-4A6D-BB4E-6D47315D1C1D}" name="A3 - Totaal gebruik van hernieuwbare primaire energie / _x000a_Energy, primary, renewable (MJ)" dataDxfId="493" dataCellStyle="Standaard 2"/>
    <tableColumn id="18" xr3:uid="{4ADB22FF-BFBF-4BB9-B076-7263FE7BAD29}" name="A1-A3 - Totaal gebruik van hernieuwbare primaire energie / _x000a_Energy, primary, renewable (MJ)" dataDxfId="492" dataCellStyle="Standaard 2"/>
    <tableColumn id="30" xr3:uid="{0E22757E-9C9E-4FAF-AD32-E3EDE482DF01}" name="B1 - Totaal gebruik van hernieuwbare primaire energie / _x000a_Energy, primary, renewable (MJ)" dataDxfId="491" dataCellStyle="Standaard 2"/>
    <tableColumn id="25" xr3:uid="{33669A27-D1C4-47CF-895F-CE2B17F9ACF7}" name="D - Totaal gebruik van hernieuwbare primaire energie / _x000a_Energy, primary, renewable (MJ)" dataDxfId="490" dataCellStyle="Standaard 2"/>
    <tableColumn id="31" xr3:uid="{EAF97F06-9364-46CC-A53B-9F15E4C71123}" name="D1 - Totaal gebruik van hernieuwbare primaire energie / _x000a_Energy, primary, renewable (MJ)" dataDxfId="489" dataCellStyle="Standaard 2"/>
    <tableColumn id="32" xr3:uid="{0A76E324-D754-4AF4-94B3-BF94D55A6DFD}" name="D2 - Totaal gebruik van hernieuwbare primaire energie / _x000a_Energy, primary, renewable (MJ)" dataDxfId="488" dataCellStyle="Standaard 2"/>
    <tableColumn id="33" xr3:uid="{E4CA4F1B-B8E1-4982-BF5C-3025C0E798BC}" name="A1 - Totaal gebruik van niet hernieuwbare primaire  energie / _x000a_Energy, primary, non-renewable (MJ)" dataDxfId="487" dataCellStyle="Standaard 2"/>
    <tableColumn id="34" xr3:uid="{2DCD7FA0-3230-4344-93B9-1B81124A0D91}" name="A2 - Totaal gebruik van niet hernieuwbare primaire  energie / _x000a_Energy, primary, non-renewable (MJ)" dataDxfId="486" dataCellStyle="Standaard 2"/>
    <tableColumn id="35" xr3:uid="{38979E52-E591-4B69-A29A-59F79BEC8668}" name="A3 - Totaal gebruik van niet hernieuwbare primaire  energie / _x000a_Energy, primary, non-renewable (MJ)" dataDxfId="485" dataCellStyle="Standaard 2"/>
    <tableColumn id="39" xr3:uid="{44E6B830-6584-4B46-8AED-C7213EE7184C}" name="A1-A3 - Totaal gebruik van niet hernieuwbare primaire  energie / _x000a_Energy, primary, non-renewable (MJ)" dataDxfId="484" dataCellStyle="Standaard 2"/>
    <tableColumn id="37" xr3:uid="{F81EB843-22EC-44F5-9E23-635C577E2B76}" name="B1 - Totaal gebruik van niet hernieuwbare primaire  energie / _x000a_Energy, primary, non-renewable (MJ)" dataDxfId="483" dataCellStyle="Standaard 2"/>
    <tableColumn id="40" xr3:uid="{17615D14-832D-48B2-86E1-C98AC244B094}" name="D - Totaal gebruik van niet hernieuwbare primaire  energie / _x000a_Energy, primary, non-renewable (MJ)" dataDxfId="482" dataCellStyle="Standaard 2"/>
    <tableColumn id="38" xr3:uid="{053E1F5F-DCED-4A7C-8902-A40C1F589B2F}" name="D1 - Totaal gebruik van niet hernieuwbare primaire  energie / _x000a_Energy, primary, non-renewable (MJ)" dataDxfId="481" dataCellStyle="Standaard 2"/>
    <tableColumn id="36" xr3:uid="{97F5B8E4-65CB-486A-A3B3-457A52CC9083}" name="D2 - Totaal gebruik van niet hernieuwbare primaire  energie / _x000a_Energy, primary, non-renewable (MJ)" dataDxfId="480" dataCellStyle="Standaard 2"/>
    <tableColumn id="23" xr3:uid="{37233C24-966E-4C07-ABA5-4DAA0A38F0B3}" name="Bron (LCA Dossier)" dataDxfId="479" dataCellStyle="Standaard 2"/>
  </tableColumns>
  <tableStyleInfo name="TableStyleMedium11" showFirstColumn="0"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1C1F0907-D38E-4148-80ED-2B7556FA24E4}" name="Monitoring_Totaal" displayName="Monitoring_Totaal" ref="B2:J21" totalsRowShown="0" headerRowDxfId="436" dataDxfId="435" headerRowBorderDxfId="433" tableBorderDxfId="434" totalsRowBorderDxfId="432">
  <autoFilter ref="B2:J21" xr:uid="{1C1F0907-D38E-4148-80ED-2B7556FA24E4}"/>
  <tableColumns count="9">
    <tableColumn id="1" xr3:uid="{7085B10E-462E-42B6-862A-2441F527056B}" name="Bestekspost" dataDxfId="431">
      <calculatedColumnFormula>Baseline!B6</calculatedColumnFormula>
    </tableColumn>
    <tableColumn id="8" xr3:uid="{0A7639BB-9B14-41EB-944B-5575D615253D}" name="Meerprijs [€]" dataDxfId="430">
      <calculatedColumnFormula>Optimalisatie!D6-Baseline!D6</calculatedColumnFormula>
    </tableColumn>
    <tableColumn id="2" xr3:uid="{9FADFE35-E2AD-488F-8E10-604F6BA2FE27}" name="MKI Reductie [€]" dataDxfId="429">
      <calculatedColumnFormula>SUM(Optimalisatie_Backlog!D4:Q4)-SUM(Baseline_Backlog!D81:Q81)</calculatedColumnFormula>
    </tableColumn>
    <tableColumn id="3" xr3:uid="{598C3888-EF52-4235-B7F7-79057BFFDF66}" name="CO2 Reductie [kg]" dataDxfId="428">
      <calculatedColumnFormula>SUM(Optimalisatie_Backlog!D109:Q109)-SUM(Baseline_Backlog!D109:Q109)</calculatedColumnFormula>
    </tableColumn>
    <tableColumn id="4" xr3:uid="{F039F274-E025-44DE-93ED-F4DBAEBD02C4}" name="Primaire grondstoffen gebruik [ton]" dataDxfId="427">
      <calculatedColumnFormula>Optimalisatie_Backlog!F214-Baseline_Backlog!F214</calculatedColumnFormula>
    </tableColumn>
    <tableColumn id="5" xr3:uid="{37F0244B-A96D-40AF-8539-368A54CD9386}" name="Secundaire grondstoffen gebruik [ton]" dataDxfId="426">
      <calculatedColumnFormula>Optimalisatie_Backlog!G214-Baseline_Backlog!G214</calculatedColumnFormula>
    </tableColumn>
    <tableColumn id="6" xr3:uid="{B2512C8A-08BB-4D1E-885C-958D60D07B5A}" name="Hernieuwbare energie [MJ]" dataDxfId="425">
      <calculatedColumnFormula>SUM(Optimalisatie_Backlog!D319:Q319)-SUM(Baseline_Backlog!D319:Q319)</calculatedColumnFormula>
    </tableColumn>
    <tableColumn id="7" xr3:uid="{CAE3E314-D259-4D8A-9E19-734B2C0E4F4B}" name="Niet hernieuwbare energie [MJ]" dataDxfId="424">
      <calculatedColumnFormula>SUM(Optimalisatie_Backlog!D424:Q424)-SUM(Baseline_Backlog!D424:Q424)</calculatedColumnFormula>
    </tableColumn>
    <tableColumn id="9" xr3:uid="{55C44786-71D6-4F9A-A0D9-8C490B2C3746}" name="€ / MKI" dataDxfId="423">
      <calculatedColumnFormula>IFERROR(Monitoring_Totaal[[#This Row],[Meerprijs '[€']]]/Monitoring_Totaal[[#This Row],[MKI Reductie '[€']]],0)</calculatedColumnFormula>
    </tableColumn>
  </tableColumns>
  <tableStyleInfo name="TableStyleMedium2" showFirstColumn="0"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84B1EE6-248C-412E-B9E3-518289D5A408}" name="Database_Productkaarten" displayName="Database_Productkaarten" ref="A2:BP2540" totalsRowShown="0" headerRowBorderDxfId="399" tableBorderDxfId="400" headerRowCellStyle="Standaard 2">
  <autoFilter ref="A2:BP2540" xr:uid="{384B1EE6-248C-412E-B9E3-518289D5A408}"/>
  <tableColumns count="68">
    <tableColumn id="24" xr3:uid="{6221686A-205B-4EA4-9148-604B93BD06E3}" name="Zoeksleutel" dataDxfId="398" dataCellStyle="Standaard 2">
      <calculatedColumnFormula>Database_Productkaarten[[#This Row],[Product]]&amp;", "&amp;Database_Productkaarten[[#This Row],[Levensfase]]</calculatedColumnFormula>
    </tableColumn>
    <tableColumn id="1" xr3:uid="{0A4FCF34-6490-44B5-9A5A-DE8D9DB7DB7A}" name="Product" dataCellStyle="Standaard 2"/>
    <tableColumn id="29" xr3:uid="{BD9691E7-527E-4A3B-86F0-4E2340DA556D}" name="Productgroep" dataCellStyle="Standaard 2"/>
    <tableColumn id="28" xr3:uid="{06B82A07-0451-4E14-BB8A-256813A1B081}" name="Producttype" dataCellStyle="Standaard 2"/>
    <tableColumn id="27" xr3:uid="{D82C488D-C58D-4F20-B11D-57AD5862E831}" name="Eenheid" dataCellStyle="Standaard 2"/>
    <tableColumn id="23" xr3:uid="{CB57BB41-FFD3-4EF6-BCB1-73BCF36E5DB5}" name="Levensfase" dataCellStyle="Standaard 2"/>
    <tableColumn id="61" xr3:uid="{F4B03D42-0C0B-4322-A392-EDED9CCF602E}" name="Lengte(m)" dataCellStyle="Standaard 2"/>
    <tableColumn id="62" xr3:uid="{DEED98EF-3FAF-4A8D-91B1-8E47A200FFFD}" name="Breedte(m)" dataCellStyle="Standaard 2"/>
    <tableColumn id="63" xr3:uid="{720B8613-5499-4746-95FC-756B98E0525D}" name="Hoogte(m)" dataCellStyle="Standaard 2"/>
    <tableColumn id="64" xr3:uid="{6DF8E2A0-CC50-415E-A62F-1CD2F96EF7B7}" name="Diameter(m)" dataCellStyle="Standaard 2"/>
    <tableColumn id="65" xr3:uid="{F35EDD09-19FA-4E18-9656-616CC99BBB0A}" name="Wanddikte(m)" dataCellStyle="Standaard 2"/>
    <tableColumn id="21" xr3:uid="{467D0B7E-8140-4D77-9048-5C564C17EC3E}" name="Soortelijk Gewicht [ton / m3]" dataCellStyle="Standaard 2"/>
    <tableColumn id="68" xr3:uid="{5D43D943-5D93-4A1C-AE6A-E92A4B3463E4}" name="Gewicht [ton] / Eenheid" dataDxfId="397"/>
    <tableColumn id="2" xr3:uid="{7594A379-9538-4DDD-A132-D6168B1670C5}" name="Milieu Kosten Indicator (euro) - Euro" dataDxfId="396" dataCellStyle="Standaard 2"/>
    <tableColumn id="22" xr3:uid="{D5B7B969-91BB-43D0-9929-CE97D1518A8D}" name="Levensduur" dataCellStyle="Standaard 2"/>
    <tableColumn id="3" xr3:uid="{E4A49E8C-79B5-4523-8E51-738CB794800F}" name="001. abiotic depletion, non fuel (AD)" dataDxfId="395" dataCellStyle="Standaard 2"/>
    <tableColumn id="4" xr3:uid="{6C8B0A93-35DC-4242-9D4D-927414757419}" name="002. abiotic depletion, fuel (AD)" dataDxfId="394" dataCellStyle="Standaard 2"/>
    <tableColumn id="5" xr3:uid="{0400F954-BA19-4620-AC17-D8AD0F885DB0}" name="004. global warming (GWP)" dataDxfId="393" dataCellStyle="Standaard 2"/>
    <tableColumn id="6" xr3:uid="{91E49620-901C-4F2D-8921-DF47CB8E7F31}" name="005. ozone layer depletion (ODP)" dataDxfId="392" dataCellStyle="Standaard 2"/>
    <tableColumn id="7" xr3:uid="{650526F9-15D6-4411-93C5-600434AB34C4}" name="006. photochemical oxidation (POCP)" dataDxfId="391" dataCellStyle="Standaard 2"/>
    <tableColumn id="8" xr3:uid="{E41379FC-EC9E-4272-8865-366C51593756}" name="007. acidification (AP)" dataDxfId="390" dataCellStyle="Standaard 2"/>
    <tableColumn id="9" xr3:uid="{8D4BDB8F-DE6F-4652-A820-A8663FC0DD7A}" name="008. eutrophication (EP)" dataDxfId="389" dataCellStyle="Standaard 2"/>
    <tableColumn id="10" xr3:uid="{6B1F956E-2555-4889-94E3-D0ACEA8ACC8F}" name="009. human toxicity (HT)" dataDxfId="388" dataCellStyle="Standaard 2"/>
    <tableColumn id="11" xr3:uid="{A7CB1897-F87D-42D3-AB01-B43C1ABDA919}" name="010. Ecotoxicity, fresh water (FAETP)" dataDxfId="387" dataCellStyle="Standaard 2"/>
    <tableColumn id="12" xr3:uid="{B7091DC8-9F82-4688-B93F-B1C86EF0E1E2}" name="012. Ecotoxcity, marine water (MAETP)" dataDxfId="386" dataCellStyle="Standaard 2"/>
    <tableColumn id="13" xr3:uid="{487DBD96-143B-434A-8F88-D0DA015EB88E}" name="014. Ecotoxicity, terrestric (TETP)" dataDxfId="385" dataCellStyle="Standaard 2"/>
    <tableColumn id="31" xr3:uid="{64F75EBA-6C4D-44EA-89DC-7715FD0AD03A}" name="051. Climate change" dataDxfId="384" dataCellStyle="Standaard 2"/>
    <tableColumn id="32" xr3:uid="{7E14C484-2675-47B2-A57B-BC9B6066B28B}" name="052. Climate change - Fossil" dataDxfId="383" dataCellStyle="Standaard 2"/>
    <tableColumn id="33" xr3:uid="{FE67243E-961E-44CF-8B63-5B86B347DF0B}" name="053. Climate change - Biogenic" dataDxfId="382" dataCellStyle="Standaard 2"/>
    <tableColumn id="34" xr3:uid="{654D97C2-9040-4A18-B3E7-392EF619BAE1}" name="054. Climate change - Land use and LU ch" dataDxfId="381" dataCellStyle="Standaard 2"/>
    <tableColumn id="35" xr3:uid="{9543EDFB-1BA8-41C7-90EA-0EF20E86E7E1}" name="055. Ozone depletion" dataDxfId="380" dataCellStyle="Standaard 2"/>
    <tableColumn id="36" xr3:uid="{1E8539C8-5050-4C22-9575-6203191B9FBC}" name="056. Acidification" dataDxfId="379" dataCellStyle="Standaard 2"/>
    <tableColumn id="37" xr3:uid="{48E73484-2EFC-44BC-99E3-DF9E01D6E49C}" name="057. Eutrophication, freshwater" dataDxfId="378" dataCellStyle="Standaard 2"/>
    <tableColumn id="38" xr3:uid="{2759F4C2-4A73-4A10-A49D-EABF2D3B90E7}" name="058. Eutrophication, marine" dataDxfId="377" dataCellStyle="Standaard 2"/>
    <tableColumn id="39" xr3:uid="{07C1CA1A-9FB9-4CF0-A496-E2235F0AD3A6}" name="059. Eutrophication, terrestrial" dataDxfId="376" dataCellStyle="Standaard 2"/>
    <tableColumn id="40" xr3:uid="{9A1B969C-19BD-4D1A-9137-43002E8973AE}" name="060. Photochemical ozone formation" dataDxfId="375" dataCellStyle="Standaard 2"/>
    <tableColumn id="41" xr3:uid="{173CE162-1090-4287-B556-073DA3C1EB39}" name="061. Resource use, minerals and metals" dataDxfId="374" dataCellStyle="Standaard 2"/>
    <tableColumn id="42" xr3:uid="{C338DCDE-B31C-41D3-82DE-405B54F2578F}" name="062. Resource use, fossils" dataDxfId="373" dataCellStyle="Standaard 2"/>
    <tableColumn id="43" xr3:uid="{1154A903-43C1-4B43-960E-DC577743A839}" name="063. Water use" dataDxfId="372" dataCellStyle="Standaard 2"/>
    <tableColumn id="44" xr3:uid="{DA663797-1D4C-4770-9973-44790502B541}" name="064. Particulate matter" dataDxfId="371" dataCellStyle="Standaard 2"/>
    <tableColumn id="45" xr3:uid="{6C3941A1-2BF9-4DEC-AD74-33FF60B8CAD2}" name="065. Ionising radiation" dataDxfId="370" dataCellStyle="Standaard 2"/>
    <tableColumn id="46" xr3:uid="{E634408A-3134-47A5-B882-A7F990B1B08D}" name="066. Ecotoxicity, freshwater" dataDxfId="369" dataCellStyle="Standaard 2"/>
    <tableColumn id="47" xr3:uid="{870016B2-688B-4BAB-BF6C-BEAACF678C7E}" name="067. Human toxicity, cancer" dataDxfId="368" dataCellStyle="Standaard 2"/>
    <tableColumn id="48" xr3:uid="{5A4D9BAC-7F2E-4AE7-A73A-89B01B4124EB}" name="068. Human toxicity, non-cancer" dataDxfId="367" dataCellStyle="Standaard 2"/>
    <tableColumn id="49" xr3:uid="{F59EE3C2-AE40-4BD7-A2B2-127E9329E9D9}" name="069. Land use" dataDxfId="366" dataCellStyle="Standaard 2"/>
    <tableColumn id="50" xr3:uid="{83ED28FF-B469-4521-93AA-2CB1AC904C1B}" name="111. Energy, primary, renewable, excludi" dataDxfId="365" dataCellStyle="Standaard 2"/>
    <tableColumn id="51" xr3:uid="{E55A419F-4488-4F7D-B259-72766F06E4AB}" name="113. Energy, primary, renewable, materia" dataDxfId="364" dataCellStyle="Standaard 2"/>
    <tableColumn id="14" xr3:uid="{7C24FD99-718E-42F7-8831-3EC68201CC81}" name="101. Energy, primary, renewable (MJ)"/>
    <tableColumn id="52" xr3:uid="{8CD6333B-EF4D-4FE5-9660-8F0BBE9B49AC}" name="112. Energy, primary, non-renewable, exc" dataDxfId="363" dataCellStyle="Standaard 2"/>
    <tableColumn id="53" xr3:uid="{1E99C840-B3DB-49C9-9357-88ED9295A3C0}" name="114. Energy, primary, non-renewable, mat" dataDxfId="362" dataCellStyle="Standaard 2"/>
    <tableColumn id="15" xr3:uid="{3626A198-C2D0-475F-83CE-C84B2A9F66DB}" name="102. Energy, primary, non-renewable (MJ)"/>
    <tableColumn id="16" xr3:uid="{EE0B7BA4-5AD0-4413-A5FC-969008155E9A}" name="108. Secondary material (kg)" dataDxfId="361" dataCellStyle="Standaard 2"/>
    <tableColumn id="54" xr3:uid="{66C4110B-DCF6-49BF-8A5E-CCD25A745597}" name="109. Secondary fuel, renewable (kg)" dataDxfId="360" dataCellStyle="Standaard 2"/>
    <tableColumn id="55" xr3:uid="{28F00D93-2373-4ED7-A191-E5F3B7C9C8CE}" name="110. Secondary fuel, non-renewable (kg)" dataDxfId="359" dataCellStyle="Standaard 2"/>
    <tableColumn id="17" xr3:uid="{686B7FCE-D199-47AA-AAA9-B30A627143D1}" name="104. Water, fresh water use (m3)" dataDxfId="358" dataCellStyle="Standaard 2"/>
    <tableColumn id="18" xr3:uid="{8394B1D8-5CD3-46AE-8227-452019A33F0F}" name="106. Waste, hazardous (kg)" dataDxfId="357" dataCellStyle="Standaard 2"/>
    <tableColumn id="19" xr3:uid="{FDFF4413-09C2-4BDC-A107-CDA361317BFB}" name="105. Waste, non hazardous (kg)" dataDxfId="356" dataCellStyle="Standaard 2"/>
    <tableColumn id="20" xr3:uid="{A330A0CA-63A2-42B7-BA3F-07B1B92E4E93}" name="107. Waste, radioactive (kg)" dataDxfId="355" dataCellStyle="Standaard 2"/>
    <tableColumn id="56" xr3:uid="{712CD815-4E71-4ACC-BE86-9B3B58F625C2}" name="120. Components for re-use (kg)" dataDxfId="354" dataCellStyle="Standaard 2"/>
    <tableColumn id="57" xr3:uid="{009B32F9-1D83-43BD-B0DF-458A2A671A6B}" name="121. Materials for recycling (kg)" dataDxfId="353" dataCellStyle="Standaard 2"/>
    <tableColumn id="58" xr3:uid="{CEC0379C-459B-4565-AE81-7861B886D761}" name="122. Materials for energy recovery (kg)" dataDxfId="352" dataCellStyle="Standaard 2"/>
    <tableColumn id="59" xr3:uid="{812BCC30-49D6-43E1-B620-C1D8B657BFD6}" name="123. Exported energy, electric (MJ)" dataDxfId="351" dataCellStyle="Standaard 2"/>
    <tableColumn id="60" xr3:uid="{1D32D18D-9441-4711-BFD8-916D051A95AE}" name="124. Exported energy, thermal (MJ)" dataDxfId="350" dataCellStyle="Standaard 2"/>
    <tableColumn id="25" xr3:uid="{6C9E5673-0498-4DDC-9046-972C0FD71F4F}" name="Secundair Materiaal [%]" dataDxfId="349"/>
    <tableColumn id="66" xr3:uid="{F279F17B-2E63-4EBA-A63F-D9BDD51C6C04}" name="Category" dataDxfId="348"/>
    <tableColumn id="67" xr3:uid="{4C2B67AA-F423-458C-9015-A8B3F5B35A23}" name="Bouwverlies" dataDxfId="347"/>
    <tableColumn id="26" xr3:uid="{927BE522-B384-4643-80D6-A32720BE98F2}" name="Milieuprofiel / Bron" dataCellStyle="Standaard 2"/>
    <tableColumn id="30" xr3:uid="{26FC3836-B820-4FB3-8D00-F3D2990B55DC}" name="Comment" dataCellStyle="Standaard 2"/>
  </tableColumns>
  <tableStyleInfo name="TableStyleMedium11" showFirstColumn="0" showLastColumn="0"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7E68F81F-1728-4347-80E7-5BD85A62CA4E}" name="Database_Transport" displayName="Database_Transport" ref="A2549:BH2565" totalsRowShown="0" tableBorderDxfId="346" headerRowCellStyle="Standaard 2" dataCellStyle="Standaard 2">
  <autoFilter ref="A2549:BH2565" xr:uid="{7E68F81F-1728-4347-80E7-5BD85A62CA4E}"/>
  <tableColumns count="60">
    <tableColumn id="1" xr3:uid="{417216C0-0ADE-4144-8238-BCA9E9F51054}" name="Milieuprofiel" dataCellStyle="Standaard 2"/>
    <tableColumn id="3" xr3:uid="{8EBDAD8C-BD6C-48C9-AEB6-D629DCA79814}" name="Eenheid" dataCellStyle="Standaard 2"/>
    <tableColumn id="5" xr3:uid="{F749B7D7-1E52-44B6-88B6-6263E57AEBCA}" name="Productgroep" dataCellStyle="Standaard 2"/>
    <tableColumn id="4" xr3:uid="{7DEB159F-09CA-4525-8F90-177401398678}" name="Producttype" dataCellStyle="Standaard 2"/>
    <tableColumn id="6" xr3:uid="{DAE5D7BA-59D5-4354-BF46-695FA6985829}" name="Life cycle stage" dataCellStyle="Standaard 2"/>
    <tableColumn id="32" xr3:uid="{7B178CD3-CDDF-4521-A45B-8A5506CD212D}" name="Verbruik [liter/kWh/kg per uur]" dataCellStyle="Standaard 2"/>
    <tableColumn id="31" xr3:uid="{97C2B486-E015-4C79-AA32-B22560938641}" name="Milieu Kosten Indicator (euro) - Euro" dataDxfId="345" dataCellStyle="Standaard 2"/>
    <tableColumn id="33" xr3:uid="{4275F76C-FA18-4AF9-B878-BCD9A6159E0E}" name="Dichtheid [kg/liter]" dataCellStyle="Standaard 2"/>
    <tableColumn id="2" xr3:uid="{D6A25AE9-4EFD-4D86-98EA-73B1E09F3A4E}" name="Stookwaarde [MJ/liter]" dataDxfId="344" dataCellStyle="Standaard 2"/>
    <tableColumn id="7" xr3:uid="{9A492B71-76BA-4DB5-9692-9A0E825C6634}" name="001. abiotic depletion, non fuel (AD)" dataCellStyle="Standaard 2"/>
    <tableColumn id="8" xr3:uid="{957CCE89-DD34-4FD0-9D05-40869D796AA5}" name="002. abiotic depletion, fuel (AD)" dataCellStyle="Standaard 2"/>
    <tableColumn id="9" xr3:uid="{6F33F2DB-005F-4493-A99C-06171C5734DB}" name="004. global warming (GWP)" dataCellStyle="Standaard 2"/>
    <tableColumn id="10" xr3:uid="{DB6A5E20-88B3-47E9-BF75-62A82F42977D}" name="005. ozone layer depletion (ODP)" dataCellStyle="Standaard 2"/>
    <tableColumn id="11" xr3:uid="{934F6DB4-5779-417A-8008-CD6A70CB51E8}" name="006. photochemical oxidation (POCP)" dataCellStyle="Standaard 2"/>
    <tableColumn id="12" xr3:uid="{F9017E1D-24FF-4D79-9034-6805AEE56D0A}" name="007. acidification (AP)" dataCellStyle="Standaard 2"/>
    <tableColumn id="13" xr3:uid="{BC1AF608-64FB-4E1C-B8BB-C3F4248F64FF}" name="008. eutrophication (EP)" dataCellStyle="Standaard 2"/>
    <tableColumn id="14" xr3:uid="{87108564-8187-4BED-B342-355FB108037C}" name="009. human toxicity (HT)" dataCellStyle="Standaard 2"/>
    <tableColumn id="15" xr3:uid="{26667552-2AA1-44BF-A0A5-9AD3255328FB}" name="010. Ecotoxicity, fresh water (FAETP)" dataCellStyle="Standaard 2"/>
    <tableColumn id="16" xr3:uid="{4BD9E89A-DEAD-41BE-ADF7-C6591CCE3C67}" name="012. Ecotoxcity, marine water (MAETP)" dataCellStyle="Standaard 2"/>
    <tableColumn id="17" xr3:uid="{9680644C-CB0E-46D4-BAFA-BEA1D29B9177}" name="014. Ecotoxicity, terrestric (TETP)" dataCellStyle="Standaard 2"/>
    <tableColumn id="26" xr3:uid="{06761FF0-4B03-4D41-9764-37F9870964CE}" name="051. Climate change" dataDxfId="343" dataCellStyle="Standaard 2"/>
    <tableColumn id="27" xr3:uid="{F29E40C5-CAB6-4383-A701-4D1F567674B4}" name="052. Climate change - Fossil" dataDxfId="342" dataCellStyle="Standaard 2"/>
    <tableColumn id="28" xr3:uid="{D7BE526D-AB60-4A77-B43F-48409F4ABA9F}" name="053. Climate change - Biogenic" dataDxfId="341" dataCellStyle="Standaard 2"/>
    <tableColumn id="29" xr3:uid="{06BA8B1D-EED3-4CBC-BD3D-71A33E66FEC6}" name="054. Climate change - Land use and LU ch" dataDxfId="340" dataCellStyle="Standaard 2"/>
    <tableColumn id="34" xr3:uid="{05271CC4-51B8-400A-B34B-CCD601D5F7FA}" name="055. Ozone depletion" dataDxfId="339" dataCellStyle="Standaard 2"/>
    <tableColumn id="35" xr3:uid="{12477274-B937-43B7-ABF2-DAAD1B52F8CF}" name="056. Acidification" dataDxfId="338" dataCellStyle="Standaard 2"/>
    <tableColumn id="36" xr3:uid="{747EA919-A39B-456F-9C44-2D9D0CED3B84}" name="057. Eutrophication, freshwater" dataDxfId="337" dataCellStyle="Standaard 2"/>
    <tableColumn id="37" xr3:uid="{7727AE0D-1A68-4D46-A98B-1A0E8F4C1CBD}" name="058. Eutrophication, marine" dataDxfId="336" dataCellStyle="Standaard 2"/>
    <tableColumn id="38" xr3:uid="{ABA259AD-B75C-4235-8C38-6DDDD34D9FCD}" name="059. Eutrophication, terrestrial" dataDxfId="335" dataCellStyle="Standaard 2"/>
    <tableColumn id="39" xr3:uid="{3E1BF60D-FAD5-43C2-B54B-E1D4F6CEF900}" name="060. Photochemical ozone formation" dataDxfId="334" dataCellStyle="Standaard 2"/>
    <tableColumn id="40" xr3:uid="{57EB232D-6E16-4757-A192-57C810220101}" name="061. Resource use, minerals and metals" dataDxfId="333" dataCellStyle="Standaard 2"/>
    <tableColumn id="41" xr3:uid="{5E008541-B104-4324-82A1-F4D4E32502C3}" name="062. Resource use, fossils" dataDxfId="332" dataCellStyle="Standaard 2"/>
    <tableColumn id="42" xr3:uid="{77559D62-0288-4B61-9C34-B75B1FB3FC6C}" name="063. Water use" dataDxfId="331" dataCellStyle="Standaard 2"/>
    <tableColumn id="43" xr3:uid="{8FC5694D-23D5-4DE6-A75E-CE4F8FD19424}" name="064. Particulate matter" dataDxfId="330" dataCellStyle="Standaard 2"/>
    <tableColumn id="44" xr3:uid="{A8154AE8-D34A-46D2-9272-FDE668991E1F}" name="065. Ionising radiation" dataDxfId="329" dataCellStyle="Standaard 2"/>
    <tableColumn id="45" xr3:uid="{3270AA60-4CC2-4614-AB9A-5E6CF55873A4}" name="066. Ecotoxicity, freshwater" dataDxfId="328" dataCellStyle="Standaard 2"/>
    <tableColumn id="46" xr3:uid="{C6101C5A-8A22-4BF4-8372-D54D8D05F039}" name="067. Human toxicity, cancer" dataDxfId="327" dataCellStyle="Standaard 2"/>
    <tableColumn id="47" xr3:uid="{53957B04-F267-4D8A-B598-DD6BCC521C87}" name="068. Human toxicity, non-cancer" dataDxfId="326" dataCellStyle="Standaard 2"/>
    <tableColumn id="48" xr3:uid="{19FC7F5E-1FC9-46C2-99D3-157E1690C8ED}" name="069. Land use" dataDxfId="325" dataCellStyle="Standaard 2"/>
    <tableColumn id="49" xr3:uid="{319158EC-6BE8-465A-A114-6A543D30911F}" name="111. Energy, primary, renewable, excludi" dataDxfId="324" dataCellStyle="Standaard 2"/>
    <tableColumn id="50" xr3:uid="{F1DCD3E6-09A5-4C0A-B6B6-37C44A7F62AA}" name="113. Energy, primary, renewable, materia" dataDxfId="323" dataCellStyle="Standaard 2"/>
    <tableColumn id="18" xr3:uid="{272BE154-81EC-4EB6-948B-597D83A66609}" name="101. Energy, primary, renewable (MJ)" dataCellStyle="Standaard 2"/>
    <tableColumn id="51" xr3:uid="{427CCDFA-44B3-4F5F-802A-D40926155C77}" name="112. Energy, primary, non-renewable, exc" dataDxfId="322" dataCellStyle="Standaard 2"/>
    <tableColumn id="52" xr3:uid="{E4CFC970-2D8B-48FA-AD0A-5FCC6694B2C4}" name="114. Energy, primary, non-renewable, mat" dataDxfId="321" dataCellStyle="Standaard 2"/>
    <tableColumn id="19" xr3:uid="{9C6D57FC-E28E-4BD7-AE76-59C53B9C2960}" name="102. Energy, primary, non-renewable (MJ)" dataCellStyle="Standaard 2"/>
    <tableColumn id="53" xr3:uid="{2D80438E-D1D4-409A-BC8D-919E3D04E9C5}" name="108. Secondary material (kg)" dataDxfId="320" dataCellStyle="Standaard 2"/>
    <tableColumn id="54" xr3:uid="{38FFD61D-40E1-4202-A70B-795D9782ED09}" name="109. Secondary fuel, renewable (kg)" dataDxfId="319" dataCellStyle="Standaard 2"/>
    <tableColumn id="20" xr3:uid="{7B8C57C9-85A0-4BA6-918E-D39A7949B088}" name="110. Secondary fuel, non-renewable (kg)" dataCellStyle="Standaard 2"/>
    <tableColumn id="21" xr3:uid="{1D06A749-FB31-4AB0-9CBC-FF2579005F44}" name="104. Water, fresh water use (m3)" dataCellStyle="Standaard 2"/>
    <tableColumn id="22" xr3:uid="{17B41895-8D5B-488C-952C-89C314CD8CF1}" name="106. Waste, hazardous (kg)" dataCellStyle="Standaard 2"/>
    <tableColumn id="23" xr3:uid="{9EA8CC4E-89A9-416F-84BE-EB8459510FA3}" name="105. Waste, non hazardous (kg)" dataCellStyle="Standaard 2"/>
    <tableColumn id="24" xr3:uid="{4F3B2EFB-77C8-4133-BCBB-1190C06DDD2C}" name="107. Waste, radioactive (kg)" dataCellStyle="Standaard 2"/>
    <tableColumn id="55" xr3:uid="{405F1455-6CD5-4CFE-BE2E-B832A9D206B2}" name="120. Components for re-use (kg)" dataDxfId="318" dataCellStyle="Standaard 2"/>
    <tableColumn id="56" xr3:uid="{6387C066-F5B3-4151-B68D-E12DFFF3B6EE}" name="121. Materials for recycling (kg)" dataDxfId="317" dataCellStyle="Standaard 2"/>
    <tableColumn id="57" xr3:uid="{08F8923C-A2C5-4B50-B265-43007B523763}" name="122. Materials for energy recovery (kg)" dataDxfId="316" dataCellStyle="Standaard 2"/>
    <tableColumn id="58" xr3:uid="{5982D6A0-323E-4190-A5ED-325BF99DDEF8}" name="123. Exported energy, electric (MJ)" dataDxfId="315" dataCellStyle="Standaard 2"/>
    <tableColumn id="59" xr3:uid="{BD4AE6FE-981B-4D20-831B-5CF37D55900F}" name="124. Exported energy, thermal (MJ)" dataDxfId="314" dataCellStyle="Standaard 2"/>
    <tableColumn id="25" xr3:uid="{078386A2-4257-417A-9402-16CAA6C51AFE}" name="Milieuprofiel / Bron" dataCellStyle="Standaard 2"/>
    <tableColumn id="30" xr3:uid="{149DBF1A-A140-4953-81CE-91E712F0196C}" name="Comment" dataCellStyle="Standaard 2"/>
    <tableColumn id="60" xr3:uid="{890EAAEB-B803-4962-84A4-B61DF7327CE2}" name="Emissieloos" dataDxfId="313" dataCellStyle="Standaard 2"/>
  </tableColumns>
  <tableStyleInfo name="TableStyleMedium11" showFirstColumn="0" showLastColumn="0" showRowStripes="1"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DEEC78EF-4263-4080-A73B-BFE257A8A270}" name="Database_Asfalt_Aanlegset" displayName="Database_Asfalt_Aanlegset" ref="A2569:BI2588" totalsRowShown="0" headerRowCellStyle="Standaard 2" dataCellStyle="Standaard 2">
  <autoFilter ref="A2569:BI2588" xr:uid="{DEEC78EF-4263-4080-A73B-BFE257A8A270}"/>
  <tableColumns count="61">
    <tableColumn id="1" xr3:uid="{E998755B-576B-4572-99FE-0702AFB93E50}" name="Milieuprofiel" dataCellStyle="Standaard 2"/>
    <tableColumn id="2" xr3:uid="{CFC0506D-6062-4175-844E-A65B3856FC8A}" name="Eenheid" dataCellStyle="Standaard 2"/>
    <tableColumn id="29" xr3:uid="{B5BB94F6-8572-4995-A211-88743247769C}" name="Productgroep" dataDxfId="312" dataCellStyle="Standaard 2"/>
    <tableColumn id="30" xr3:uid="{719311C2-7B89-4384-B07D-3B0319D3120B}" name="Producttype" dataDxfId="311" dataCellStyle="Standaard 2"/>
    <tableColumn id="3" xr3:uid="{8632D876-0779-48E1-ADF3-02B86F67A355}" name="Life cycle stage" dataCellStyle="Standaard 2"/>
    <tableColumn id="4" xr3:uid="{C7F0936D-9B28-407A-B1C7-3C98202D67BC}" name="Verbruik [liter/kWh/kg per uur]" dataCellStyle="Standaard 2"/>
    <tableColumn id="5" xr3:uid="{A451E95F-360D-45D2-9EAA-52E4DB421725}" name="Milieu Kosten Indicator (euro) - Euro" dataDxfId="310" dataCellStyle="Standaard 2"/>
    <tableColumn id="6" xr3:uid="{5B92D9B1-EDC5-4865-9149-9C395AE865B7}" name="Dichtheid [kg/liter]" dataCellStyle="Standaard 2"/>
    <tableColumn id="27" xr3:uid="{2471D701-0634-4686-A532-377E58447B06}" name="Stookwaarde [MJ/liter]" dataDxfId="309"/>
    <tableColumn id="7" xr3:uid="{0FB79064-F806-42ED-A868-E6B38E95A899}" name="001. abiotic depletion, non fuel (AD)" dataCellStyle="Standaard 2"/>
    <tableColumn id="8" xr3:uid="{F9633924-B29B-41E3-AD1E-1BBFE2DFC917}" name="002. abiotic depletion, fuel (AD)" dataCellStyle="Standaard 2"/>
    <tableColumn id="9" xr3:uid="{119CE3E4-9789-4406-AFFB-1C9CA6D7D2C1}" name="004. global warming (GWP)" dataCellStyle="Standaard 2"/>
    <tableColumn id="10" xr3:uid="{A2D51897-5ABB-4D7E-B6EC-2AEA7252FA4A}" name="005. ozone layer depletion (ODP)" dataCellStyle="Standaard 2"/>
    <tableColumn id="11" xr3:uid="{391E7DCA-5C4F-4EE9-958E-94FD8477A470}" name="006. photochemical oxidation (POCP)" dataCellStyle="Standaard 2"/>
    <tableColumn id="12" xr3:uid="{30A1BE04-68C0-481F-A5A6-399471E6F957}" name="007. acidification (AP)" dataCellStyle="Standaard 2"/>
    <tableColumn id="13" xr3:uid="{DB9EDBE2-FE26-4AEA-A174-629CCDCCA714}" name="008. eutrophication (EP)" dataCellStyle="Standaard 2"/>
    <tableColumn id="14" xr3:uid="{AC8769CE-25C8-46DF-BF8B-8B5A74CF1419}" name="009. human toxicity (HT)" dataCellStyle="Standaard 2"/>
    <tableColumn id="15" xr3:uid="{367EA655-0D7F-4759-8009-074060BF1770}" name="010. Ecotoxicity, fresh water (FAETP)" dataCellStyle="Standaard 2"/>
    <tableColumn id="16" xr3:uid="{20D13669-CADA-4D36-BAF5-69B4274ED4A9}" name="012. Ecotoxcity, marine water (MAETP)" dataCellStyle="Standaard 2"/>
    <tableColumn id="17" xr3:uid="{9091AFB8-83B5-47C4-9092-D6E9326E4A33}" name="014. Ecotoxicity, terrestric (TETP)" dataCellStyle="Standaard 2"/>
    <tableColumn id="31" xr3:uid="{DBC10E7B-9681-4E0D-A010-AB51C9530DEC}" name="051. Climate change" dataDxfId="308" dataCellStyle="Standaard 2"/>
    <tableColumn id="32" xr3:uid="{86EFC878-45AC-4A31-A5D5-56B3A9296FCD}" name="052. Climate change - Fossil" dataDxfId="307" dataCellStyle="Standaard 2"/>
    <tableColumn id="33" xr3:uid="{B12EFE7E-8D57-4D33-A4D4-8CF48C71FA9A}" name="053. Climate change - Biogenic" dataDxfId="306" dataCellStyle="Standaard 2"/>
    <tableColumn id="34" xr3:uid="{B6C3AFEB-4B0E-4A1E-97E4-DAA304508DA4}" name="054. Climate change - Land use and LU ch" dataDxfId="305" dataCellStyle="Standaard 2"/>
    <tableColumn id="35" xr3:uid="{D33C61A7-4EBB-42F1-8542-C788F2F8E91A}" name="055. Ozone depletion" dataDxfId="304" dataCellStyle="Standaard 2"/>
    <tableColumn id="36" xr3:uid="{21977BEE-C535-40AC-9768-0B511DB5710B}" name="056. Acidification" dataDxfId="303" dataCellStyle="Standaard 2"/>
    <tableColumn id="37" xr3:uid="{3AA804F3-A34D-4472-84B4-858E081F1D14}" name="057. Eutrophication, freshwater" dataDxfId="302" dataCellStyle="Standaard 2"/>
    <tableColumn id="38" xr3:uid="{A21DBF46-76C7-4309-876C-DD0DCD9661CF}" name="058. Eutrophication, marine" dataDxfId="301" dataCellStyle="Standaard 2"/>
    <tableColumn id="39" xr3:uid="{061F9D3E-6058-489A-A74C-1464BC4F560D}" name="059. Eutrophication, terrestrial" dataDxfId="300" dataCellStyle="Standaard 2"/>
    <tableColumn id="40" xr3:uid="{AFE9B1D3-42DE-4511-BF73-B256C3A41993}" name="060. Photochemical ozone formation" dataDxfId="299" dataCellStyle="Standaard 2"/>
    <tableColumn id="41" xr3:uid="{1ED5492C-8A31-48B6-8253-DFD45A592F03}" name="061. Resource use, minerals and metals" dataDxfId="298" dataCellStyle="Standaard 2"/>
    <tableColumn id="42" xr3:uid="{AAC7032C-27AD-45D9-B3DD-27642543F1A2}" name="062. Resource use, fossils" dataDxfId="297" dataCellStyle="Standaard 2"/>
    <tableColumn id="43" xr3:uid="{8112C6DD-09EE-444D-AB0C-6D23B860EE21}" name="063. Water use" dataDxfId="296" dataCellStyle="Standaard 2"/>
    <tableColumn id="44" xr3:uid="{9FA9253B-1FF8-45A3-B60C-069644E9E431}" name="064. Particulate matter" dataDxfId="295" dataCellStyle="Standaard 2"/>
    <tableColumn id="45" xr3:uid="{C83D9346-6F3A-4A05-A002-90397F3CA427}" name="065. Ionising radiation" dataDxfId="294" dataCellStyle="Standaard 2"/>
    <tableColumn id="46" xr3:uid="{978AC726-559F-4A99-913F-3CA99EE7BD6D}" name="066. Ecotoxicity, freshwater" dataDxfId="293" dataCellStyle="Standaard 2"/>
    <tableColumn id="47" xr3:uid="{5371E71C-8360-4C98-B60B-6BBDFD21AA03}" name="067. Human toxicity, cancer" dataDxfId="292" dataCellStyle="Standaard 2"/>
    <tableColumn id="48" xr3:uid="{716F6CD9-A331-4AF9-93EE-9CF914E35F9C}" name="068. Human toxicity, non-cancer" dataDxfId="291" dataCellStyle="Standaard 2"/>
    <tableColumn id="49" xr3:uid="{B4E0EAA3-F022-4A58-A111-3EB52CA20D64}" name="069. Land use" dataDxfId="290" dataCellStyle="Standaard 2"/>
    <tableColumn id="50" xr3:uid="{FE9ADECA-8A74-4AD1-8F42-694E0179BABA}" name="111. Energy, primary, renewable, excludi" dataDxfId="289" dataCellStyle="Standaard 2"/>
    <tableColumn id="51" xr3:uid="{4DDFCCB7-2023-443B-8E1E-D86959797657}" name="113. Energy, primary, renewable, materia" dataDxfId="288" dataCellStyle="Standaard 2"/>
    <tableColumn id="18" xr3:uid="{8783F6E3-8AC4-41B7-AE2E-11A3E4A3649F}" name="101. Energy, primary, renewable (MJ)" dataCellStyle="Standaard 2"/>
    <tableColumn id="52" xr3:uid="{A2C96753-5397-43AA-BF59-E77007D530B0}" name="112. Energy, primary, non-renewable, exc" dataDxfId="287" dataCellStyle="Standaard 2"/>
    <tableColumn id="53" xr3:uid="{E41310AC-0AEC-49C5-BE1A-DBB9ADDBE568}" name="114. Energy, primary, non-renewable, mat" dataDxfId="286" dataCellStyle="Standaard 2"/>
    <tableColumn id="19" xr3:uid="{ED4DACE6-ED61-4FF6-B54F-4F2589483861}" name="102. Energy, primary, non-renewable (MJ)" dataCellStyle="Standaard 2"/>
    <tableColumn id="54" xr3:uid="{F2ED28C2-BFDE-49F9-B90E-77EB30162C8D}" name="108. Secondary material (kg)" dataDxfId="285" dataCellStyle="Standaard 2"/>
    <tableColumn id="55" xr3:uid="{44C80D7B-564E-41AA-A5A3-15FAF5FD0E0E}" name="109. Secondary fuel, renewable (kg)" dataDxfId="284" dataCellStyle="Standaard 2"/>
    <tableColumn id="20" xr3:uid="{BE0CBE5F-04DB-4484-8829-5AB600C560A1}" name="110. Secondary fuel, non-renewable (kg)" dataCellStyle="Standaard 2"/>
    <tableColumn id="21" xr3:uid="{4734302F-1789-40B2-ADE7-041D7D956622}" name="104. Water, fresh water use (m3)" dataCellStyle="Standaard 2"/>
    <tableColumn id="22" xr3:uid="{D3904C67-79C0-4F27-BD5C-DF81F794F352}" name="106. Waste, hazardous (kg)" dataCellStyle="Standaard 2"/>
    <tableColumn id="23" xr3:uid="{6B2E4C3C-9DF9-4A80-AA62-181A4A457326}" name="105. Waste, non hazardous (kg)" dataCellStyle="Standaard 2"/>
    <tableColumn id="24" xr3:uid="{6757E1BA-2CFC-46EE-9188-514ED118D988}" name="107. Waste, radioactive (kg)" dataCellStyle="Standaard 2"/>
    <tableColumn id="56" xr3:uid="{93362F56-A686-417B-84B1-93432FC798E4}" name="120. Components for re-use (kg)" dataDxfId="283" dataCellStyle="Standaard 2"/>
    <tableColumn id="57" xr3:uid="{59E923B6-35E9-4A11-ACD4-62B771364922}" name="121. Materials for recycling (kg)" dataDxfId="282" dataCellStyle="Standaard 2"/>
    <tableColumn id="58" xr3:uid="{54F28C55-E9C9-412B-93AA-3982436AD35C}" name="122. Materials for energy recovery (kg)" dataDxfId="281" dataCellStyle="Standaard 2"/>
    <tableColumn id="59" xr3:uid="{6516E2F0-9FA3-4F99-8FAD-23644E3566B1}" name="123. Exported energy, electric (MJ)" dataDxfId="280" dataCellStyle="Standaard 2"/>
    <tableColumn id="60" xr3:uid="{EEF6DC15-C17C-42EC-AEEB-11A9AED3B5D1}" name="124. Exported energy, thermal (MJ)" dataDxfId="279" dataCellStyle="Standaard 2"/>
    <tableColumn id="25" xr3:uid="{A29778D5-CB95-4846-8051-EB97D2FBFD8A}" name="Milieuprofiel / Bron" dataCellStyle="Standaard 2"/>
    <tableColumn id="26" xr3:uid="{21ADA0B4-061E-4656-8A45-2A1384E3779D}" name="Comment" dataCellStyle="Standaard 2"/>
    <tableColumn id="28" xr3:uid="{318BDD28-2DE6-4961-A540-6AD5C36B7F63}" name="Capaciteit" dataCellStyle="Standaard 2"/>
    <tableColumn id="61" xr3:uid="{E38D2D49-73CC-46D1-9390-775ED92A40E1}" name="Emissieloos" dataCellStyle="Standaard 2"/>
  </tableColumns>
  <tableStyleInfo name="TableStyleMedium11" showFirstColumn="0" showLastColumn="0" showRowStripes="1" showColumnStripes="0"/>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917C4231-04F1-47D6-98AC-C3493889333C}" name="Database_Asfalt_Verwijderset" displayName="Database_Asfalt_Verwijderset" ref="A2593:BI2612" totalsRowShown="0" headerRowCellStyle="Standaard 2" dataCellStyle="Standaard 2">
  <autoFilter ref="A2593:BI2612" xr:uid="{917C4231-04F1-47D6-98AC-C3493889333C}"/>
  <tableColumns count="61">
    <tableColumn id="1" xr3:uid="{7FF5F83E-4334-469F-9A45-71619763E4D7}" name="Milieuprofiel" dataCellStyle="Standaard 2"/>
    <tableColumn id="2" xr3:uid="{9967FEA1-DBD4-4005-997F-70F65743424F}" name="Eenheid" dataCellStyle="Standaard 2"/>
    <tableColumn id="28" xr3:uid="{C642B6A8-1B54-435A-B033-0948029B06CE}" name="Productgroep" dataDxfId="278" dataCellStyle="Standaard 2"/>
    <tableColumn id="29" xr3:uid="{4072C703-27CA-4D0E-953C-9F82F22F5198}" name="Producttype" dataDxfId="277" dataCellStyle="Standaard 2"/>
    <tableColumn id="3" xr3:uid="{5469AC27-DB00-4822-830B-432982A72EE8}" name="Life cycle stage" dataCellStyle="Standaard 2"/>
    <tableColumn id="4" xr3:uid="{1B4DDAE5-A974-4A84-8FF3-D87523D7673B}" name="Verbruik [liter/kWh/kg per uur]" dataCellStyle="Standaard 2"/>
    <tableColumn id="5" xr3:uid="{88434E69-D67D-42B3-9236-B0739C632E03}" name="Milieu Kosten Indicator (euro) - Euro" dataDxfId="276" dataCellStyle="Standaard 2"/>
    <tableColumn id="6" xr3:uid="{B4A860B2-492E-4282-8ED7-85B64C43D67C}" name="Dichtheid [kg/liter]" dataCellStyle="Standaard 2"/>
    <tableColumn id="27" xr3:uid="{1BB39C66-B916-4211-AD68-D59E1A6E967A}" name="Stookwaarde [MJ/liter]" dataDxfId="275"/>
    <tableColumn id="7" xr3:uid="{E8A9B772-ECBA-4216-90AC-AB957EE29BC8}" name="001. abiotic depletion, non fuel (AD)" dataCellStyle="Standaard 2"/>
    <tableColumn id="8" xr3:uid="{C3C29BD1-B1CA-4742-BC3F-C9BCDFA2097A}" name="002. abiotic depletion, fuel (AD)" dataCellStyle="Standaard 2"/>
    <tableColumn id="9" xr3:uid="{E9FE38FD-FD58-4BA2-BA56-DC001B19BDF1}" name="004. global warming (GWP)" dataCellStyle="Standaard 2"/>
    <tableColumn id="10" xr3:uid="{D2F7E157-5AE1-40CF-BF80-DD719622D7B6}" name="005. ozone layer depletion (ODP)" dataCellStyle="Standaard 2"/>
    <tableColumn id="11" xr3:uid="{3353465D-4947-42DF-BD35-A6285502BC96}" name="006. photochemical oxidation (POCP)" dataCellStyle="Standaard 2"/>
    <tableColumn id="12" xr3:uid="{8CC7FB82-7428-43CD-AC0F-B14085F15C97}" name="007. acidification (AP)" dataCellStyle="Standaard 2"/>
    <tableColumn id="13" xr3:uid="{C757B1BE-3E2E-4AE2-A335-03959150B133}" name="008. eutrophication (EP)" dataCellStyle="Standaard 2"/>
    <tableColumn id="14" xr3:uid="{4B42326E-D21F-4242-AE68-5F30D636C778}" name="009. human toxicity (HT)" dataCellStyle="Standaard 2"/>
    <tableColumn id="15" xr3:uid="{217B1919-D825-4482-8A70-8211A2078F98}" name="010. Ecotoxicity, fresh water (FAETP)" dataCellStyle="Standaard 2"/>
    <tableColumn id="16" xr3:uid="{18989F0E-4F23-45B4-A229-81167B2C78BF}" name="012. Ecotoxcity, marine water (MAETP)" dataCellStyle="Standaard 2"/>
    <tableColumn id="17" xr3:uid="{6B658357-2E50-4206-9992-3D7100CC24FD}" name="014. Ecotoxicity, terrestric (TETP)" dataCellStyle="Standaard 2"/>
    <tableColumn id="30" xr3:uid="{53334C17-14DB-40D7-B1B7-CEB962DC704C}" name="051. Climate change" dataDxfId="274" dataCellStyle="Standaard 2"/>
    <tableColumn id="31" xr3:uid="{602E3E34-D09C-4300-A58B-911FF0DE9BBA}" name="052. Climate change - Fossil" dataDxfId="273" dataCellStyle="Standaard 2"/>
    <tableColumn id="32" xr3:uid="{E1A37262-FFC0-4AED-B613-FA743ACABA2C}" name="053. Climate change - Biogenic" dataDxfId="272" dataCellStyle="Standaard 2"/>
    <tableColumn id="33" xr3:uid="{D1C40BEA-C6B5-4F80-83CF-1997F465CF24}" name="054. Climate change - Land use and LU ch" dataDxfId="271" dataCellStyle="Standaard 2"/>
    <tableColumn id="34" xr3:uid="{674CC7F6-02F3-4EDC-A386-B946A50DA1F9}" name="055. Ozone depletion" dataDxfId="270" dataCellStyle="Standaard 2"/>
    <tableColumn id="35" xr3:uid="{F4E114E2-463F-4528-847D-1BBF115390A4}" name="056. Acidification" dataDxfId="269" dataCellStyle="Standaard 2"/>
    <tableColumn id="36" xr3:uid="{A1AAB3AC-6E2F-4DA1-985A-7FD854CE2037}" name="057. Eutrophication, freshwater" dataDxfId="268" dataCellStyle="Standaard 2"/>
    <tableColumn id="37" xr3:uid="{C5C69DF5-1AC4-4AE6-9C07-EF8CE5F7E9FF}" name="058. Eutrophication, marine" dataDxfId="267" dataCellStyle="Standaard 2"/>
    <tableColumn id="38" xr3:uid="{C76D401D-C947-4A89-B51C-3BD8EFA3988D}" name="059. Eutrophication, terrestrial" dataDxfId="266" dataCellStyle="Standaard 2"/>
    <tableColumn id="39" xr3:uid="{69117CAD-C4BA-4BCB-A1A2-8C2A4FEB0F4B}" name="060. Photochemical ozone formation" dataDxfId="265" dataCellStyle="Standaard 2"/>
    <tableColumn id="40" xr3:uid="{0DF7A8A7-E3C7-431E-9DB1-25FE3AF3D1A7}" name="061. Resource use, minerals and metals" dataDxfId="264" dataCellStyle="Standaard 2"/>
    <tableColumn id="41" xr3:uid="{889CB08B-A0A7-430F-BA0C-3A0188406486}" name="062. Resource use, fossils" dataDxfId="263" dataCellStyle="Standaard 2"/>
    <tableColumn id="42" xr3:uid="{8865AA76-9D05-442C-A3AB-1C509F0E9EFD}" name="063. Water use" dataDxfId="262" dataCellStyle="Standaard 2"/>
    <tableColumn id="43" xr3:uid="{A1EF5B86-97DE-4590-91DC-B64615D6A8DD}" name="064. Particulate matter" dataDxfId="261" dataCellStyle="Standaard 2"/>
    <tableColumn id="44" xr3:uid="{12AA5B4D-19DB-4B19-83D2-22EEF915F13D}" name="065. Ionising radiation" dataDxfId="260" dataCellStyle="Standaard 2"/>
    <tableColumn id="45" xr3:uid="{7CC6DE50-E4F6-457A-A4D1-7DF1A2B3961B}" name="066. Ecotoxicity, freshwater" dataDxfId="259" dataCellStyle="Standaard 2"/>
    <tableColumn id="46" xr3:uid="{AB32D2DF-3937-4915-83AE-168CE0673FFC}" name="067. Human toxicity, cancer" dataDxfId="258" dataCellStyle="Standaard 2"/>
    <tableColumn id="47" xr3:uid="{4FBD7618-97A3-46EA-9DFC-92D01A539FB8}" name="068. Human toxicity, non-cancer" dataDxfId="257" dataCellStyle="Standaard 2"/>
    <tableColumn id="48" xr3:uid="{FAA48144-065A-4C07-B972-1D5BC64DD4DC}" name="069. Land use" dataDxfId="256" dataCellStyle="Standaard 2"/>
    <tableColumn id="49" xr3:uid="{1C8D0939-47A2-403E-813C-D27164930593}" name="111. Energy, primary, renewable, excludi" dataDxfId="255" dataCellStyle="Standaard 2"/>
    <tableColumn id="50" xr3:uid="{90283DE6-48CC-43DB-ABDF-AF5D7D6B9F19}" name="113. Energy, primary, renewable, materia" dataDxfId="254" dataCellStyle="Standaard 2"/>
    <tableColumn id="18" xr3:uid="{3517AFB6-3185-4D48-A928-A86E3CEC4935}" name="101. Energy, primary, renewable (MJ)" dataCellStyle="Standaard 2"/>
    <tableColumn id="51" xr3:uid="{0AE56B99-E9A2-4528-AA00-4A53918FB0DE}" name="112. Energy, primary, non-renewable, exc" dataDxfId="253" dataCellStyle="Standaard 2"/>
    <tableColumn id="52" xr3:uid="{BC15B496-EA10-4F5E-9948-F072DCB30EAF}" name="114. Energy, primary, non-renewable, mat" dataDxfId="252" dataCellStyle="Standaard 2"/>
    <tableColumn id="19" xr3:uid="{B802C652-C8A2-441F-8AF0-0C28A2D6BA10}" name="102. Energy, primary, non-renewable (MJ)" dataCellStyle="Standaard 2"/>
    <tableColumn id="54" xr3:uid="{C9D47D75-73CF-4013-A843-8E43EDBDDB06}" name="108. Secondary material (kg)" dataDxfId="251" dataCellStyle="Standaard 2"/>
    <tableColumn id="53" xr3:uid="{D7F832E2-4FF2-45F6-8F5C-AF84FDFC028B}" name="109. Secondary fuel, renewable (kg)" dataDxfId="250" dataCellStyle="Standaard 2"/>
    <tableColumn id="20" xr3:uid="{DC5AAF79-CECA-42AB-866C-813CA685DE3D}" name="110. Secondary fuel, non-renewable (kg)" dataCellStyle="Standaard 2"/>
    <tableColumn id="21" xr3:uid="{0E30928D-B9FE-4932-9F5F-0E633C2B7E43}" name="104. Water, fresh water use (m3)" dataCellStyle="Standaard 2"/>
    <tableColumn id="22" xr3:uid="{D4964975-77B6-4900-9CB2-673871C35224}" name="106. Waste, hazardous (kg)" dataCellStyle="Standaard 2"/>
    <tableColumn id="23" xr3:uid="{E4692342-8DBB-4E67-9C62-2E05B3FFDC04}" name="105. Waste, non hazardous (kg)" dataCellStyle="Standaard 2"/>
    <tableColumn id="24" xr3:uid="{C760F3CB-E359-4489-B48A-3CF148954F4C}" name="107. Waste, radioactive (kg)" dataCellStyle="Standaard 2"/>
    <tableColumn id="55" xr3:uid="{B4A36417-229F-4461-98CB-448B21D0F97F}" name="120. Components for re-use (kg)" dataDxfId="249" dataCellStyle="Standaard 2"/>
    <tableColumn id="56" xr3:uid="{85D11E7D-D54D-467D-9065-358D5771D870}" name="121. Materials for recycling (kg)" dataDxfId="248" dataCellStyle="Standaard 2"/>
    <tableColumn id="57" xr3:uid="{9B3F61D7-27A0-4FCC-800F-E11BA702CB29}" name="122. Materials for energy recovery (kg)" dataDxfId="247" dataCellStyle="Standaard 2"/>
    <tableColumn id="58" xr3:uid="{0DC65FE4-EC6B-4C29-AA7E-C953E6E625B8}" name="123. Exported energy, electric (MJ)" dataDxfId="246" dataCellStyle="Standaard 2"/>
    <tableColumn id="59" xr3:uid="{1B2CF010-4C76-4733-851B-78169F94C72B}" name="124. Exported energy, thermal (MJ)" dataDxfId="245" dataCellStyle="Standaard 2"/>
    <tableColumn id="25" xr3:uid="{3D43695A-7FB1-4B17-A65D-0DEBD9122B58}" name="Milieuprofiel / Bron" dataCellStyle="Standaard 2"/>
    <tableColumn id="26" xr3:uid="{538CE169-E1AF-44C4-B2BB-49A5CB073503}" name="Comment" dataCellStyle="Standaard 2"/>
    <tableColumn id="60" xr3:uid="{7CDB0CEE-BBF9-4B9C-AD9B-99A34810BE62}" name="Capaciteit" dataDxfId="244" dataCellStyle="Standaard 2"/>
    <tableColumn id="61" xr3:uid="{1137048F-3FF5-4937-BA0D-5D86427C851F}" name="Emissieloos" dataDxfId="243" dataCellStyle="Standaard 2"/>
  </tableColumns>
  <tableStyleInfo name="TableStyleMedium11" showFirstColumn="0" showLastColumn="0" showRowStripes="1" showColumnStripes="0"/>
</table>
</file>

<file path=xl/tables/table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49796DA-EF60-49F3-A753-B779D7D69D4F}" name="Database_Asfalt_Verwerkingsset" displayName="Database_Asfalt_Verwerkingsset" ref="A2616:BI2625" totalsRowShown="0" headerRowCellStyle="Standaard 2" dataCellStyle="Standaard 2">
  <autoFilter ref="A2616:BI2625" xr:uid="{249796DA-EF60-49F3-A753-B779D7D69D4F}"/>
  <tableColumns count="61">
    <tableColumn id="1" xr3:uid="{30CBD624-90EA-43D4-B410-823B1DC77A3B}" name="Milieuprofiel" dataCellStyle="Standaard 2"/>
    <tableColumn id="2" xr3:uid="{B7C83135-664B-4D34-864E-B1021C84744F}" name="Eenheid" dataCellStyle="Standaard 2"/>
    <tableColumn id="29" xr3:uid="{397B1E40-6244-47EB-A6AA-5B2287EFD691}" name="Productgroep" dataCellStyle="Standaard 2"/>
    <tableColumn id="30" xr3:uid="{ADF4F9CB-3561-4F38-B7C5-E488C8DE2EE5}" name="Producttype" dataCellStyle="Standaard 2"/>
    <tableColumn id="3" xr3:uid="{B7A46429-BB05-47A2-A71E-C3E171478F46}" name="Life cycle stage" dataCellStyle="Standaard 2"/>
    <tableColumn id="4" xr3:uid="{F61EA03D-6225-4F95-9738-B83C233AE82D}" name="Verbruik [liter/kWh/kg per uur]" dataCellStyle="Standaard 2"/>
    <tableColumn id="5" xr3:uid="{96B9EC55-6718-40CD-B8EE-F91100EF69CF}" name="Milieu Kosten Indicator (euro) - Euro" dataCellStyle="Standaard 2"/>
    <tableColumn id="6" xr3:uid="{F9E0F797-B11B-433C-9BD0-EFEDDA0D07F4}" name="Dichtheid [kg/liter]" dataCellStyle="Standaard 2"/>
    <tableColumn id="27" xr3:uid="{FF0EA754-7630-47FB-AE66-AC2D161E3E08}" name="Stookwaarde [MJ/liter]" dataDxfId="242"/>
    <tableColumn id="7" xr3:uid="{08A32DF3-880E-4894-8F15-AF31EDEE0923}" name="001. abiotic depletion, non fuel (AD)" dataDxfId="241" dataCellStyle="Standaard 2"/>
    <tableColumn id="8" xr3:uid="{5E55A102-AC66-41A1-8D57-F6DCFAAF34BF}" name="002. abiotic depletion, fuel (AD)" dataDxfId="240" dataCellStyle="Standaard 2"/>
    <tableColumn id="9" xr3:uid="{13604472-4A86-4167-88C8-BFA56D6C09D5}" name="004. global warming (GWP)" dataDxfId="239" dataCellStyle="Standaard 2"/>
    <tableColumn id="10" xr3:uid="{F310E188-1CC2-4E9D-AB30-665B04F68960}" name="005. ozone layer depletion (ODP)" dataDxfId="238" dataCellStyle="Standaard 2"/>
    <tableColumn id="11" xr3:uid="{803EDC8B-2DEE-4C57-8B01-755DD309F3BC}" name="006. photochemical oxidation (POCP)" dataDxfId="237" dataCellStyle="Standaard 2"/>
    <tableColumn id="12" xr3:uid="{BC76C183-210A-4ECD-98D3-73304D3B0F94}" name="007. acidification (AP)" dataDxfId="236" dataCellStyle="Standaard 2"/>
    <tableColumn id="13" xr3:uid="{D671A5DA-FD2D-415F-BF1F-F8CBBD6BEA07}" name="008. eutrophication (EP)" dataDxfId="235" dataCellStyle="Standaard 2"/>
    <tableColumn id="14" xr3:uid="{79C3E39B-46D9-46E5-8D67-3BF7D778C806}" name="009. human toxicity (HT)" dataDxfId="234" dataCellStyle="Standaard 2"/>
    <tableColumn id="15" xr3:uid="{EC013DE2-8F98-4C65-9087-AB75173B4AA1}" name="010. Ecotoxicity, fresh water (FAETP)" dataDxfId="233" dataCellStyle="Standaard 2"/>
    <tableColumn id="16" xr3:uid="{C2264E53-ADE5-43B6-8723-8ED042A29346}" name="012. Ecotoxcity, marine water (MAETP)" dataDxfId="232" dataCellStyle="Standaard 2"/>
    <tableColumn id="17" xr3:uid="{DB1432E1-FA4A-4946-8AB4-39E8EFCBB36E}" name="014. Ecotoxicity, terrestric (TETP)" dataDxfId="231" dataCellStyle="Standaard 2"/>
    <tableColumn id="31" xr3:uid="{21A012C7-2371-4270-A505-D1DDD80E9B94}" name="051. Climate change" dataDxfId="230" dataCellStyle="Standaard 2"/>
    <tableColumn id="32" xr3:uid="{1A8E36FE-F35F-4E3B-853C-6BAC844E5AA7}" name="052. Climate change - Fossil" dataDxfId="229" dataCellStyle="Standaard 2"/>
    <tableColumn id="33" xr3:uid="{4941DF02-FD21-4D98-AF94-A0E0098246CB}" name="053. Climate change - Biogenic" dataDxfId="228" dataCellStyle="Standaard 2"/>
    <tableColumn id="34" xr3:uid="{6B9B7804-2BDE-4D59-8EC5-C97EA0410B6D}" name="054. Climate change - Land use and LU ch" dataDxfId="227" dataCellStyle="Standaard 2"/>
    <tableColumn id="35" xr3:uid="{FB679B1E-4CC3-4B0E-9595-C795376226F7}" name="055. Ozone depletion" dataDxfId="226" dataCellStyle="Standaard 2"/>
    <tableColumn id="36" xr3:uid="{6B6CD412-493C-4517-8431-0CD04BB42727}" name="056. Acidification" dataDxfId="225" dataCellStyle="Standaard 2"/>
    <tableColumn id="37" xr3:uid="{AF05067A-CDAB-4943-B19B-FB721B57191A}" name="057. Eutrophication, freshwater" dataDxfId="224" dataCellStyle="Standaard 2"/>
    <tableColumn id="38" xr3:uid="{A70EE32D-14A6-4EF6-B300-BAA437985C30}" name="058. Eutrophication, marine" dataDxfId="223" dataCellStyle="Standaard 2"/>
    <tableColumn id="39" xr3:uid="{AB728975-9CDF-44DE-9D29-CD58A9E37655}" name="059. Eutrophication, terrestrial" dataDxfId="222" dataCellStyle="Standaard 2"/>
    <tableColumn id="40" xr3:uid="{B544A210-2AAD-40FC-9F16-819FB87D9CFE}" name="060. Photochemical ozone formation" dataDxfId="221" dataCellStyle="Standaard 2"/>
    <tableColumn id="41" xr3:uid="{6DCE91B6-592F-4B0D-9DD6-E513C518CD2C}" name="061. Resource use, minerals and metals" dataDxfId="220" dataCellStyle="Standaard 2"/>
    <tableColumn id="42" xr3:uid="{B55B755E-495C-4426-8228-84D6B8D26C75}" name="062. Resource use, fossils" dataDxfId="219" dataCellStyle="Standaard 2"/>
    <tableColumn id="43" xr3:uid="{1F4BA17B-1045-4529-B07F-BEAD73F9AA9B}" name="063. Water use" dataDxfId="218" dataCellStyle="Standaard 2"/>
    <tableColumn id="44" xr3:uid="{213A976B-166D-4674-9FC4-FCFAECC4D83B}" name="064. Particulate matter" dataDxfId="217" dataCellStyle="Standaard 2"/>
    <tableColumn id="45" xr3:uid="{D6E4C0A7-4FC9-4C24-86A8-A8E477DAE5C7}" name="065. Ionising radiation" dataDxfId="216" dataCellStyle="Standaard 2"/>
    <tableColumn id="46" xr3:uid="{8CB39275-B96B-46BF-9B2D-92049941473C}" name="066. Ecotoxicity, freshwater" dataDxfId="215" dataCellStyle="Standaard 2"/>
    <tableColumn id="47" xr3:uid="{ADF1D8F4-DA27-43C5-BAAF-5A80A5159057}" name="067. Human toxicity, cancer" dataDxfId="214" dataCellStyle="Standaard 2"/>
    <tableColumn id="48" xr3:uid="{47E04118-A1F6-4D9A-A246-9F75DBFD4710}" name="068. Human toxicity, non-cancer" dataDxfId="213" dataCellStyle="Standaard 2"/>
    <tableColumn id="49" xr3:uid="{DEB0A5A1-AAFD-4C47-AE2A-2ACB9DFB3E6E}" name="069. Land use" dataDxfId="212" dataCellStyle="Standaard 2"/>
    <tableColumn id="50" xr3:uid="{52B00AB6-A77D-49E1-9D8D-4406D3152E48}" name="111. Energy, primary, renewable, excludi" dataDxfId="211" dataCellStyle="Standaard 2"/>
    <tableColumn id="51" xr3:uid="{9587666E-7A7A-4D11-8912-DDE59B47794D}" name="113. Energy, primary, renewable, materia" dataDxfId="210" dataCellStyle="Standaard 2"/>
    <tableColumn id="18" xr3:uid="{E64A7D6A-6424-40D5-AFAA-8BBB3641F10B}" name="Totaal gebruik van hernieuwbare primaire energie (MJ)" dataDxfId="209" dataCellStyle="Standaard 2"/>
    <tableColumn id="52" xr3:uid="{F3320D05-0412-4D53-84D1-B1D2AE13CE49}" name="Kolom1" dataDxfId="208" dataCellStyle="Standaard 2"/>
    <tableColumn id="53" xr3:uid="{4A772C40-6580-4EBB-90A8-36D845E8F9B3}" name="Kolom2" dataDxfId="207" dataCellStyle="Standaard 2"/>
    <tableColumn id="19" xr3:uid="{230BB230-F5EC-412D-AA82-E321B361BADD}" name="Totaal gebruik van niet hernieuwbare primaire energie (MJ)" dataDxfId="206" dataCellStyle="Standaard 2"/>
    <tableColumn id="54" xr3:uid="{63ADD1D0-49F4-47CD-B73E-9D2C5FEF95FE}" name="Kolom3" dataDxfId="205" dataCellStyle="Standaard 2"/>
    <tableColumn id="55" xr3:uid="{7A1851DA-A4B1-4F2A-BCD9-97DC180F0EB1}" name="Kolom4" dataDxfId="204" dataCellStyle="Standaard 2"/>
    <tableColumn id="20" xr3:uid="{3D90D155-8F08-445F-9EC2-44DF0C136C01}" name="Energie, primair (MJ)" dataDxfId="203" dataCellStyle="Standaard 2"/>
    <tableColumn id="21" xr3:uid="{5FC47ACA-97A9-4651-AD17-91ABC542563B}" name="Waterverbruik (m3)" dataDxfId="202" dataCellStyle="Standaard 2"/>
    <tableColumn id="22" xr3:uid="{8E0C31DE-5C20-46E1-96F9-F56F67C4828F}" name="Gevaarlijk afval (kg)" dataDxfId="201" dataCellStyle="Standaard 2"/>
    <tableColumn id="23" xr3:uid="{22F92946-CC18-477B-A78E-6D4A4F617782}" name="Niet-gevaarlijk afval (kg)" dataDxfId="200" dataCellStyle="Standaard 2"/>
    <tableColumn id="24" xr3:uid="{C671B34D-6BB3-49A3-A15B-8DF7C2704975}" name="Radioactief afval (kg)" dataDxfId="199" dataCellStyle="Standaard 2"/>
    <tableColumn id="56" xr3:uid="{2B966114-A182-467C-93C6-B70E898C21EF}" name="Kolom5" dataDxfId="198" dataCellStyle="Standaard 2"/>
    <tableColumn id="57" xr3:uid="{90EA8F33-9724-4CF3-AAD8-A5A4B5A1B963}" name="Kolom6" dataDxfId="197" dataCellStyle="Standaard 2"/>
    <tableColumn id="58" xr3:uid="{A5579A7E-55EA-42A4-86E9-95A7417C32EB}" name="Kolom7" dataDxfId="196" dataCellStyle="Standaard 2"/>
    <tableColumn id="59" xr3:uid="{630B9634-6E4E-4C91-B0CE-F30E2F82C13D}" name="Kolom8" dataDxfId="195" dataCellStyle="Standaard 2"/>
    <tableColumn id="60" xr3:uid="{EDD0B961-92A2-4784-8CC7-4B5ECE43E412}" name="Kolom9" dataDxfId="194" dataCellStyle="Standaard 2"/>
    <tableColumn id="25" xr3:uid="{C6F64634-20EC-45FE-83E8-272C3A5A2FB0}" name="Milieuprofiel / Bron" dataCellStyle="Standaard 2"/>
    <tableColumn id="26" xr3:uid="{5F60BABC-0C7C-4470-8DB8-971813C01171}" name="Comment" dataCellStyle="Standaard 2"/>
    <tableColumn id="28" xr3:uid="{54FB5497-F155-4832-93C8-C7C1A4389EE4}" name="Capaciteit" dataDxfId="193" dataCellStyle="Standaard 2"/>
    <tableColumn id="61" xr3:uid="{6F1BA154-5AC1-48B7-9E71-F21EE231D9A5}" name="Emissieloos" dataCellStyle="Standaard 2"/>
  </tableColumns>
  <tableStyleInfo name="TableStyleMedium11" showFirstColumn="0" showLastColumn="0" showRowStripes="1" showColumnStripes="0"/>
</table>
</file>

<file path=xl/tables/table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7B981199-87E5-4ECF-98E1-2E8F603DA955}" name="Database_Brandstoffen" displayName="Database_Brandstoffen" ref="A2717:BH2768" totalsRowShown="0" dataDxfId="192" headerRowCellStyle="Standaard 2" dataCellStyle="Standaard 2">
  <autoFilter ref="A2717:BH2768" xr:uid="{7B981199-87E5-4ECF-98E1-2E8F603DA955}"/>
  <tableColumns count="60">
    <tableColumn id="1" xr3:uid="{19A5AC99-CB7B-4F69-8807-C1A4FC3549B7}" name="Milieuprofiel" dataDxfId="191" dataCellStyle="Standaard 2"/>
    <tableColumn id="2" xr3:uid="{C2452744-B9EF-4389-8348-3748A69BAB57}" name="Eenheid" dataDxfId="190" dataCellStyle="Standaard 2"/>
    <tableColumn id="28" xr3:uid="{2DFBD221-2908-4CC4-8475-A80D2B9B2BA8}" name="Productgroep" dataDxfId="189" dataCellStyle="Standaard 2"/>
    <tableColumn id="29" xr3:uid="{A9ABC0B7-7AE6-4EBE-A519-B9B58B082D37}" name="Producttype" dataDxfId="188" dataCellStyle="Standaard 2"/>
    <tableColumn id="3" xr3:uid="{CB51C818-0B6A-4BB7-A42E-B316241113C5}" name="Life cycle stage" dataDxfId="187" dataCellStyle="Standaard 2"/>
    <tableColumn id="4" xr3:uid="{05F69318-0545-465B-A6C4-5C43ED69B0E6}" name="Verbruik [liter/kWh/kg per uur]" dataDxfId="186" dataCellStyle="Standaard 2"/>
    <tableColumn id="5" xr3:uid="{FD3AF10D-CEC4-416B-8477-A6FC66E09750}" name="Milieu Kosten Indicator (euro) - Euro" dataDxfId="185" dataCellStyle="Standaard 2"/>
    <tableColumn id="6" xr3:uid="{051A9173-DF8B-49AF-B5B7-C27349B7E05F}" name="Capaciteit" dataDxfId="184" dataCellStyle="Standaard 2"/>
    <tableColumn id="27" xr3:uid="{6B300DEB-1BFE-4D6A-900A-02DC9DDA2F1D}" name="Stookwaarde [MJ/liter]" dataDxfId="183" dataCellStyle="Standaard 2"/>
    <tableColumn id="7" xr3:uid="{05C87061-F20A-4DCA-BC2B-EE7B3968AE92}" name="001. abiotic depletion, non fuel (AD)" dataDxfId="182" dataCellStyle="Standaard 2"/>
    <tableColumn id="8" xr3:uid="{AC281A13-D386-439B-814C-DAFDB4231203}" name="002. abiotic depletion, fuel (AD)" dataDxfId="181" dataCellStyle="Standaard 2"/>
    <tableColumn id="9" xr3:uid="{848A6501-07BE-4D42-82FA-13DCC30789F3}" name="004. global warming (GWP)" dataDxfId="180" dataCellStyle="Standaard 2"/>
    <tableColumn id="10" xr3:uid="{301378CC-BFCA-4F09-A486-597347252B7A}" name="005. ozone layer depletion (ODP)" dataDxfId="179" dataCellStyle="Standaard 2"/>
    <tableColumn id="11" xr3:uid="{807527D0-08F0-4377-92EE-17206FFCFF11}" name="006. photochemical oxidation (POCP)" dataDxfId="178" dataCellStyle="Standaard 2"/>
    <tableColumn id="12" xr3:uid="{E3F876FB-D568-4011-9BF8-96263D95A1AE}" name="007. acidification (AP)" dataDxfId="177" dataCellStyle="Standaard 2"/>
    <tableColumn id="13" xr3:uid="{5EE77DD2-AF25-4FB6-9B20-3E956FDA9F12}" name="008. eutrophication (EP)" dataDxfId="176" dataCellStyle="Standaard 2"/>
    <tableColumn id="14" xr3:uid="{08BD9204-1A88-4FE5-93A9-7E7893317579}" name="009. human toxicity (HT)" dataDxfId="175" dataCellStyle="Standaard 2"/>
    <tableColumn id="15" xr3:uid="{C85E50CF-E036-4296-A95A-20A94351EF9C}" name="010. Ecotoxicity, fresh water (FAETP)" dataDxfId="174" dataCellStyle="Standaard 2"/>
    <tableColumn id="16" xr3:uid="{2D172679-83B5-4012-9C88-361304CBB0DB}" name="012. Ecotoxcity, marine water (MAETP)" dataDxfId="173" dataCellStyle="Standaard 2"/>
    <tableColumn id="17" xr3:uid="{BCAB13D9-1410-4B9E-A738-7C6EC337FF0D}" name="014. Ecotoxicity, terrestric (TETP)" dataDxfId="172" dataCellStyle="Standaard 2"/>
    <tableColumn id="30" xr3:uid="{665A3741-4504-4814-9340-3AA83F651785}" name="051. Climate change" dataDxfId="171" dataCellStyle="Standaard 2"/>
    <tableColumn id="31" xr3:uid="{B4ED29BC-5CAE-4C75-9CE6-7C7E0C796244}" name="052. Climate change - Fossil" dataDxfId="170" dataCellStyle="Standaard 2"/>
    <tableColumn id="32" xr3:uid="{C5757DDD-B612-4E75-B2AB-C7DE4490F25E}" name="053. Climate change - Biogenic" dataDxfId="169" dataCellStyle="Standaard 2"/>
    <tableColumn id="33" xr3:uid="{C719DD66-8D0F-46F4-B13E-02EBCC0C5E98}" name="054. Climate change - Land use and LU ch" dataDxfId="168" dataCellStyle="Standaard 2"/>
    <tableColumn id="34" xr3:uid="{F55F1E7C-42FA-4C62-AB7C-40614B5698A2}" name="055. Ozone depletion" dataDxfId="167" dataCellStyle="Standaard 2"/>
    <tableColumn id="35" xr3:uid="{461D3F91-6177-4E92-8F41-492B66A2F707}" name="056. Acidification" dataDxfId="166" dataCellStyle="Standaard 2"/>
    <tableColumn id="36" xr3:uid="{3C453AE1-34DA-4CBA-804E-14FFB583AF7A}" name="057. Eutrophication, freshwater" dataDxfId="165" dataCellStyle="Standaard 2"/>
    <tableColumn id="37" xr3:uid="{767F94BB-9E52-4B23-A938-85EF006B59B9}" name="058. Eutrophication, marine" dataDxfId="164" dataCellStyle="Standaard 2"/>
    <tableColumn id="38" xr3:uid="{0A1C69DD-6CBA-4A05-8D85-AC1EA4BC6D3D}" name="059. Eutrophication, terrestrial" dataDxfId="163" dataCellStyle="Standaard 2"/>
    <tableColumn id="39" xr3:uid="{8845429B-9B34-4D26-8CC6-DB80EACC0DB4}" name="060. Photochemical ozone formation" dataDxfId="162" dataCellStyle="Standaard 2"/>
    <tableColumn id="40" xr3:uid="{25193C39-028F-49B5-9885-B0E41F8B332E}" name="061. Resource use, minerals and metals" dataDxfId="161" dataCellStyle="Standaard 2"/>
    <tableColumn id="41" xr3:uid="{528BC4C3-FE76-4FAC-8E43-29524070E790}" name="062. Resource use, fossils" dataDxfId="160" dataCellStyle="Standaard 2"/>
    <tableColumn id="42" xr3:uid="{B5708005-40AC-4971-8938-1214CBD8A4E9}" name="063. Water use" dataDxfId="159" dataCellStyle="Standaard 2"/>
    <tableColumn id="43" xr3:uid="{D0562868-F305-411B-9993-E2554B4DA0B1}" name="064. Particulate matter" dataDxfId="158" dataCellStyle="Standaard 2"/>
    <tableColumn id="44" xr3:uid="{D9BEA55A-6A12-40E8-A95E-A5A7FEF9B998}" name="065. Ionising radiation" dataDxfId="157" dataCellStyle="Standaard 2"/>
    <tableColumn id="45" xr3:uid="{C7B65AD9-4F6C-46D3-88FA-7C8336F79988}" name="066. Ecotoxicity, freshwater" dataDxfId="156" dataCellStyle="Standaard 2"/>
    <tableColumn id="46" xr3:uid="{B2E1F6E2-7137-4192-A334-33BDF20D4256}" name="067. Human toxicity, cancer" dataDxfId="155" dataCellStyle="Standaard 2"/>
    <tableColumn id="47" xr3:uid="{78F5D798-101E-4FF0-A3CE-0E14E67722CC}" name="068. Human toxicity, non-cancer" dataDxfId="154" dataCellStyle="Standaard 2"/>
    <tableColumn id="48" xr3:uid="{F73C49F0-7922-4271-803B-F73B44474F1C}" name="069. Land use" dataDxfId="153" dataCellStyle="Standaard 2"/>
    <tableColumn id="49" xr3:uid="{9B94697D-1A70-4050-ACBE-68F850928377}" name="111. Energy, primary, renewable, excludi" dataDxfId="152" dataCellStyle="Standaard 2"/>
    <tableColumn id="50" xr3:uid="{697C152D-80E7-4327-AB89-CBCA66446212}" name="113. Energy, primary, renewable, materia" dataDxfId="151" dataCellStyle="Standaard 2"/>
    <tableColumn id="18" xr3:uid="{9C81FAB0-FDEF-4497-8EAB-6B3D2820970C}" name="101. Energy, primary, renewable (MJ)" dataDxfId="150" dataCellStyle="Standaard 2"/>
    <tableColumn id="51" xr3:uid="{A9169CE4-FE2F-4BD3-908C-61E96B492690}" name="112. Energy, primary, non-renewable, exc" dataDxfId="149" dataCellStyle="Standaard 2"/>
    <tableColumn id="52" xr3:uid="{CD76A537-8722-4919-B233-F7348D21C079}" name="114. Energy, primary, non-renewable, mat" dataDxfId="148" dataCellStyle="Standaard 2"/>
    <tableColumn id="19" xr3:uid="{6B4F7CB1-24C7-4CFD-B91D-6A2E905DB54B}" name="102. Energy, primary, non-renewable (MJ)" dataDxfId="147" dataCellStyle="Standaard 2"/>
    <tableColumn id="53" xr3:uid="{68A36EB3-B70A-46AE-90F1-BAB99C38E6F1}" name="108. Secondary material (kg)" dataDxfId="146" dataCellStyle="Standaard 2"/>
    <tableColumn id="54" xr3:uid="{91A3A131-D125-432E-9644-DC23F113363D}" name="109. Secondary fuel, renewable (kg)" dataDxfId="145" dataCellStyle="Standaard 2"/>
    <tableColumn id="20" xr3:uid="{57190C97-6210-45E9-85A1-8EF927573B31}" name="110. Secondary fuel, non-renewable (kg)" dataDxfId="144" dataCellStyle="Standaard 2"/>
    <tableColumn id="21" xr3:uid="{B2F479A1-F56D-4BB9-821A-73A036E80218}" name="104. Water, fresh water use (m3)" dataDxfId="143" dataCellStyle="Standaard 2"/>
    <tableColumn id="22" xr3:uid="{30B0B57C-18EA-469D-BBDA-482C74B3A417}" name="106. Waste, hazardous (kg)" dataDxfId="142" dataCellStyle="Standaard 2"/>
    <tableColumn id="23" xr3:uid="{3199CE38-DB23-4FED-8317-D4E109FACD78}" name="105. Waste, non hazardous (kg)" dataDxfId="141" dataCellStyle="Standaard 2"/>
    <tableColumn id="24" xr3:uid="{388A5FE7-41EC-4F8C-A914-A59D93508CD5}" name="107. Waste, radioactive (kg)" dataDxfId="140" dataCellStyle="Standaard 2"/>
    <tableColumn id="55" xr3:uid="{BB2663F5-E416-46AC-A3E7-7AB63933B2D0}" name="120. Components for re-use (kg)" dataDxfId="139" dataCellStyle="Standaard 2"/>
    <tableColumn id="56" xr3:uid="{27E37A0C-D6B5-417F-A036-FFDE0AB6AC28}" name="121. Materials for recycling (kg)" dataDxfId="138" dataCellStyle="Standaard 2"/>
    <tableColumn id="57" xr3:uid="{F2D0DDEC-C77F-45AF-8113-D58F07DBA822}" name="122. Materials for energy recovery (kg)" dataDxfId="137" dataCellStyle="Standaard 2"/>
    <tableColumn id="58" xr3:uid="{3A91629F-8252-48F1-B462-072EF59409F3}" name="123. Exported energy, electric (MJ)" dataDxfId="136" dataCellStyle="Standaard 2"/>
    <tableColumn id="59" xr3:uid="{F41830D8-CC2F-4682-B1E7-05232A31BD50}" name="124. Exported energy, thermal (MJ)" dataDxfId="135" dataCellStyle="Standaard 2"/>
    <tableColumn id="25" xr3:uid="{0E7FE428-1A4A-437C-A956-8109BDAD00C2}" name="Milieuprofiel / Bron" dataDxfId="134" dataCellStyle="Standaard 2"/>
    <tableColumn id="26" xr3:uid="{37F73860-421B-4E84-BC04-84596B1BFEE4}" name="Comment" dataDxfId="133" dataCellStyle="Standaard 2"/>
    <tableColumn id="60" xr3:uid="{0662F8E1-E5F3-4A4A-A702-29F9C0BD10F0}" name="Emissieloos" dataDxfId="132" dataCellStyle="Standaard 2"/>
  </tableColumns>
  <tableStyleInfo name="TableStyleMedium11" showFirstColumn="0" showLastColumn="0" showRowStripes="1" showColumnStripes="0"/>
</table>
</file>

<file path=xl/tables/table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53D44CEB-1628-46C2-B1E1-9E7D93276ABC}" name="Database_Overig_Materieel" displayName="Database_Overig_Materieel" ref="A2629:BH2714" totalsRowShown="0" headerRowCellStyle="Standaard 2" dataCellStyle="Standaard 2">
  <autoFilter ref="A2629:BH2714" xr:uid="{53D44CEB-1628-46C2-B1E1-9E7D93276ABC}"/>
  <tableColumns count="60">
    <tableColumn id="1" xr3:uid="{55F5B9E6-0BF1-4B58-9DF9-20B5C32216F9}" name="Milieuprofiel" dataCellStyle="Standaard 2"/>
    <tableColumn id="2" xr3:uid="{7D256049-0F17-4E23-A6FC-63CF0F506D30}" name="Eenheid" dataCellStyle="Standaard 2"/>
    <tableColumn id="28" xr3:uid="{0D538E41-1A74-429D-84EE-5FA9D285BF1B}" name="Productgroep" dataDxfId="131" dataCellStyle="Standaard 2"/>
    <tableColumn id="29" xr3:uid="{536BD33D-6145-41DE-8756-ABB066686C01}" name="Producttype" dataDxfId="130" dataCellStyle="Standaard 2"/>
    <tableColumn id="3" xr3:uid="{3230FA76-7F37-4463-9C2A-C5163CC52233}" name="Life cycle stage" dataCellStyle="Standaard 2"/>
    <tableColumn id="4" xr3:uid="{B1D5B94C-7644-493C-8A48-11079459F5A2}" name="Verbruik [liter/kWh/kg per uur]" dataCellStyle="Standaard 2"/>
    <tableColumn id="5" xr3:uid="{5C85F56B-499E-4B2E-A367-D1E2BB329EF4}" name="Milieu Kosten Indicator (euro) - Euro" dataDxfId="129" dataCellStyle="Standaard 2">
      <calculatedColumnFormula>Database_Overig_Materieel[[#This Row],[Verbruik '[liter/kWh/kg per uur']]]*$G$2717</calculatedColumnFormula>
    </tableColumn>
    <tableColumn id="6" xr3:uid="{5EA4FD06-7747-4B00-9E44-B4396EA33FB3}" name="Capaciteit [m3/uur]" dataCellStyle="Standaard 2"/>
    <tableColumn id="27" xr3:uid="{475740BA-FB9F-4EB2-A401-ED6066AE2242}" name="Stookwaarde [MJ/liter]" dataDxfId="128" dataCellStyle="Standaard 2"/>
    <tableColumn id="7" xr3:uid="{2B24D4E9-D5F1-4FFF-B0B9-6BFC4480C85A}" name="001. abiotic depletion, non fuel (AD)" dataDxfId="127" dataCellStyle="Standaard 2"/>
    <tableColumn id="8" xr3:uid="{730526F9-69CE-4404-B2A3-05A58DADD171}" name="002. abiotic depletion, fuel (AD)" dataCellStyle="Standaard 2"/>
    <tableColumn id="9" xr3:uid="{5982D0D6-1D01-4677-BE0D-8FC591A4BD74}" name="004. global warming (GWP)" dataCellStyle="Standaard 2"/>
    <tableColumn id="10" xr3:uid="{6C13FB4A-8222-4AE6-B20E-6ECF0B645AB5}" name="005. ozone layer depletion (ODP)" dataCellStyle="Standaard 2"/>
    <tableColumn id="11" xr3:uid="{0688D447-197A-4E22-BBEF-E589BDC24A16}" name="006. photochemical oxidation (POCP)" dataCellStyle="Standaard 2"/>
    <tableColumn id="12" xr3:uid="{7C38C17A-0BD9-4464-A74F-0A88DD4CF4E5}" name="007. acidification (AP)" dataCellStyle="Standaard 2"/>
    <tableColumn id="13" xr3:uid="{924B100C-5335-4203-A3FB-B58BED36E4B6}" name="008. eutrophication (EP)" dataCellStyle="Standaard 2"/>
    <tableColumn id="14" xr3:uid="{A4D3F008-C4F5-4B0E-80C5-BEFFCEE08739}" name="009. human toxicity (HT)" dataCellStyle="Standaard 2"/>
    <tableColumn id="15" xr3:uid="{F8A7ABAB-D7C6-4155-8C00-27F29AC5650E}" name="010. Ecotoxicity, fresh water (FAETP)" dataCellStyle="Standaard 2"/>
    <tableColumn id="16" xr3:uid="{273E6941-49B4-4C54-8481-56A6C2034CD8}" name="012. Ecotoxcity, marine water (MAETP)" dataCellStyle="Standaard 2"/>
    <tableColumn id="17" xr3:uid="{A13802A8-64BC-4545-B32C-3256EFC5A46D}" name="014. Ecotoxicity, terrestric (TETP)" dataCellStyle="Standaard 2"/>
    <tableColumn id="30" xr3:uid="{56F9D633-CCB2-4DCF-989B-5990BB085D85}" name="051. Climate change" dataDxfId="126" dataCellStyle="Standaard 2"/>
    <tableColumn id="31" xr3:uid="{B4F19D1E-BA67-4558-9B0D-71C265956E27}" name="052. Climate change - Fossil" dataDxfId="125" dataCellStyle="Standaard 2"/>
    <tableColumn id="32" xr3:uid="{89D56050-82B6-47E4-B300-1273628B64FE}" name="053. Climate change - Biogenic" dataDxfId="124" dataCellStyle="Standaard 2"/>
    <tableColumn id="33" xr3:uid="{1476287D-795A-42B2-956C-7E93D0925345}" name="054. Climate change - Land use and LU ch" dataDxfId="123" dataCellStyle="Standaard 2"/>
    <tableColumn id="34" xr3:uid="{0672A6C6-71C4-420A-9C0F-4F7735457C2E}" name="055. Ozone depletion" dataDxfId="122" dataCellStyle="Standaard 2"/>
    <tableColumn id="35" xr3:uid="{43467A51-BE51-4B00-8DBA-A35FADA4A49C}" name="056. Acidification" dataDxfId="121" dataCellStyle="Standaard 2"/>
    <tableColumn id="36" xr3:uid="{E0C833E3-CD13-495F-A4EE-FC9A46049E1E}" name="057. Eutrophication, freshwater" dataDxfId="120" dataCellStyle="Standaard 2"/>
    <tableColumn id="37" xr3:uid="{B3B29B37-1468-427E-BB8D-8BC650A6AAF6}" name="058. Eutrophication, marine" dataDxfId="119" dataCellStyle="Standaard 2"/>
    <tableColumn id="38" xr3:uid="{064D8ED8-B776-4917-82A6-EFDA41BB6A9F}" name="059. Eutrophication, terrestrial" dataDxfId="118" dataCellStyle="Standaard 2"/>
    <tableColumn id="39" xr3:uid="{F36E223A-D2AB-428F-A8C4-7057E1D89366}" name="060. Photochemical ozone formation" dataDxfId="117" dataCellStyle="Standaard 2"/>
    <tableColumn id="40" xr3:uid="{7F12EAB3-43E2-4DFC-90B1-EC7F1E2A648F}" name="061. Resource use, minerals and metals" dataDxfId="116" dataCellStyle="Standaard 2"/>
    <tableColumn id="41" xr3:uid="{5E551EF2-4663-4F9A-9596-0D82D9B6EAFE}" name="062. Resource use, fossils" dataDxfId="115" dataCellStyle="Standaard 2"/>
    <tableColumn id="42" xr3:uid="{31CED5EC-9932-4B36-A63F-0FFD3E2E1C1E}" name="063. Water use" dataDxfId="114" dataCellStyle="Standaard 2"/>
    <tableColumn id="43" xr3:uid="{AB2432E0-10BF-49F4-B068-8E2B3CA4D5DD}" name="064. Particulate matter" dataDxfId="113" dataCellStyle="Standaard 2"/>
    <tableColumn id="44" xr3:uid="{99905C45-4355-4D0E-B791-0663039E6870}" name="065. Ionising radiation" dataDxfId="112" dataCellStyle="Standaard 2"/>
    <tableColumn id="45" xr3:uid="{B4B5A474-F064-4B1E-8AE7-F3024EEFD954}" name="066. Ecotoxicity, freshwater" dataDxfId="111" dataCellStyle="Standaard 2"/>
    <tableColumn id="46" xr3:uid="{B9DA0C1B-73F7-463F-9C97-81808B457374}" name="067. Human toxicity, cancer" dataDxfId="110" dataCellStyle="Standaard 2"/>
    <tableColumn id="47" xr3:uid="{2E968306-D8F6-46CE-9AD1-67CBE47FE3A2}" name="068. Human toxicity, non-cancer" dataDxfId="109" dataCellStyle="Standaard 2"/>
    <tableColumn id="48" xr3:uid="{DD3B772F-B95F-4987-A12D-BDD5A2F4B2FB}" name="069. Land use" dataDxfId="108" dataCellStyle="Standaard 2"/>
    <tableColumn id="49" xr3:uid="{ED72E50E-AA43-4D70-AAE7-E80DC29BBE05}" name="111. Energy, primary, renewable, excludi" dataDxfId="107" dataCellStyle="Standaard 2"/>
    <tableColumn id="50" xr3:uid="{687293BA-816B-4CA5-A6F1-900220056A7D}" name="113. Energy, primary, renewable, materia" dataDxfId="106" dataCellStyle="Standaard 2"/>
    <tableColumn id="18" xr3:uid="{8E698119-35F0-4E1A-A414-EDC1756C795D}" name="101. Energy, primary, renewable (MJ)" dataCellStyle="Standaard 2"/>
    <tableColumn id="51" xr3:uid="{5C394C25-0236-433F-93D2-C65D97E2EA92}" name="112. Energy, primary, non-renewable, exc" dataDxfId="105" dataCellStyle="Standaard 2"/>
    <tableColumn id="52" xr3:uid="{A29FFB7A-38D6-47DA-A87F-080B7C98B98A}" name="114. Energy, primary, non-renewable, mat" dataDxfId="104" dataCellStyle="Standaard 2"/>
    <tableColumn id="19" xr3:uid="{8D5090BE-A439-44BA-AC3F-911B73FF0801}" name="102. Energy, primary, non-renewable (MJ)" dataCellStyle="Standaard 2"/>
    <tableColumn id="56" xr3:uid="{A66BB22F-5BC0-459D-9EAC-931FC5976300}" name="108. Secondary material (kg)" dataDxfId="103" dataCellStyle="Standaard 2"/>
    <tableColumn id="57" xr3:uid="{BFCA894A-5BFE-4B2F-94A9-9BF7AA4AFAF1}" name="109. Secondary fuel, renewable (kg)" dataDxfId="102" dataCellStyle="Standaard 2"/>
    <tableColumn id="20" xr3:uid="{B6797E54-65E6-4D63-B7AE-CE773EEC557A}" name="110. Secondary fuel, non-renewable (kg)" dataCellStyle="Standaard 2"/>
    <tableColumn id="21" xr3:uid="{20E7F2DA-7AE9-4BC5-B25A-DD2E7E0B6C29}" name="104. Water, fresh water use (m3)" dataCellStyle="Standaard 2"/>
    <tableColumn id="22" xr3:uid="{68B7FBDD-AE2F-4BAE-9652-C223D33CE62C}" name="106. Waste, hazardous (kg)" dataCellStyle="Standaard 2"/>
    <tableColumn id="23" xr3:uid="{1F8FC27E-D7D3-40B8-8206-EEAB84C7002B}" name="105. Waste, non hazardous (kg)" dataCellStyle="Standaard 2"/>
    <tableColumn id="24" xr3:uid="{327A7570-EF31-41DA-BC9D-C3F1879E7372}" name="107. Waste, radioactive (kg)" dataCellStyle="Standaard 2"/>
    <tableColumn id="58" xr3:uid="{D15CEA4D-F189-4AA4-9109-7F3644198EA5}" name="120. Components for re-use (kg)" dataDxfId="101" dataCellStyle="Standaard 2"/>
    <tableColumn id="59" xr3:uid="{79608426-A6CB-4DF8-80AC-8760D29067B8}" name="121. Materials for recycling (kg)" dataDxfId="100" dataCellStyle="Standaard 2"/>
    <tableColumn id="60" xr3:uid="{EF5E4C82-B21B-4609-A520-102DD0AAE7B7}" name="122. Materials for energy recovery (kg)" dataDxfId="99" dataCellStyle="Standaard 2"/>
    <tableColumn id="61" xr3:uid="{0770A076-9F18-45CB-AA87-750FD79F16F1}" name="123. Exported energy, electric (MJ)" dataDxfId="98" dataCellStyle="Standaard 2"/>
    <tableColumn id="62" xr3:uid="{BB67FCCE-31CB-4BCC-83E0-ADB87D208D09}" name="124. Exported energy, thermal (MJ)" dataDxfId="97" dataCellStyle="Standaard 2"/>
    <tableColumn id="25" xr3:uid="{B33D3838-4B25-4EF2-BADB-B4E0F3D27C93}" name="Milieuprofiel / Bron" dataCellStyle="Standaard 2"/>
    <tableColumn id="26" xr3:uid="{4D8471A2-3C6A-470C-AFD2-FDDDD544B90E}" name="Comment" dataCellStyle="Standaard 2"/>
    <tableColumn id="53" xr3:uid="{4542B039-BE3B-48FA-90E1-D8832612DCCC}" name="Emissieloos" dataDxfId="96" dataCellStyle="Standaard 2"/>
  </tableColumns>
  <tableStyleInfo name="TableStyleMedium11" showFirstColumn="0" showLastColumn="0" showRowStripes="1" showColumnStripes="0"/>
</table>
</file>

<file path=xl/tables/table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9A5FE84F-E61A-4202-A1E2-06FDFDFF0E87}" name="Bitumineuze_verhardingen" displayName="Bitumineuze_verhardingen" ref="B1:B24" totalsRowShown="0" tableBorderDxfId="86">
  <autoFilter ref="B1:B24" xr:uid="{9A5FE84F-E61A-4202-A1E2-06FDFDFF0E87}"/>
  <tableColumns count="1">
    <tableColumn id="1" xr3:uid="{38DCC750-EE43-4538-AE51-2B2D12B18E90}" name="Bitumineuze_verhardingen"/>
  </tableColumns>
  <tableStyleInfo name="TableStyleMedium2" showFirstColumn="0" showLastColumn="0" showRowStripes="1" showColumnStripes="0"/>
</table>
</file>

<file path=xl/tables/table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C769692-2D5E-4C86-8F0D-54033F995A12}" name="Productgroep" displayName="Productgroep" ref="A1:A7" totalsRowShown="0" headerRowDxfId="85" headerRowBorderDxfId="83" tableBorderDxfId="84">
  <autoFilter ref="A1:A7" xr:uid="{0C769692-2D5E-4C86-8F0D-54033F995A12}"/>
  <tableColumns count="1">
    <tableColumn id="1" xr3:uid="{8D51972A-B246-4103-9CE2-A1758DF1BA99}" name="Productgroep"/>
  </tableColumns>
  <tableStyleInfo name="TableStyleMedium2" showFirstColumn="0" showLastColumn="0" showRowStripes="1" showColumnStripes="0"/>
</table>
</file>

<file path=xl/tables/table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5FCDA06-4EEF-4CD5-A08F-C9A4EAA60BA3}" name="Keuzelijst_Transport" displayName="Keuzelijst_Transport" ref="P1:P16" totalsRowShown="0" dataDxfId="82" tableBorderDxfId="81" dataCellStyle="Standaard 2">
  <autoFilter ref="P1:P16" xr:uid="{05FCDA06-4EEF-4CD5-A08F-C9A4EAA60BA3}"/>
  <tableColumns count="1">
    <tableColumn id="1" xr3:uid="{F698BA4C-C4A5-453E-AA14-7549EBFE2505}" name="Transport" dataDxfId="80" dataCellStyle="Standaard 2"/>
  </tableColumns>
  <tableStyleInfo name="TableStyleMedium2" showFirstColumn="0" showLastColumn="0" showRowStripes="1" showColumnStripes="0"/>
</table>
</file>

<file path=xl/tables/table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5A4E467B-CA43-4951-AEE9-47116B58E225}" name="Keuzelijst_Asfaltsets" displayName="Keuzelijst_Asfaltsets" ref="R1:R22" totalsRowShown="0" headerRowDxfId="79" dataDxfId="78" headerRowBorderDxfId="76" tableBorderDxfId="77" dataCellStyle="Standaard 2">
  <autoFilter ref="R1:R22" xr:uid="{5A4E467B-CA43-4951-AEE9-47116B58E225}"/>
  <tableColumns count="1">
    <tableColumn id="1" xr3:uid="{69C1B55B-DF63-4147-9271-395D8CF11B48}" name="Aanleg &amp; Verwijder Sets" dataDxfId="75" dataCellStyle="Standaard 2"/>
  </tableColumns>
  <tableStyleInfo name="TableStyleMedium2" showFirstColumn="0" showLastColumn="0" showRowStripes="1" showColumnStripes="0"/>
</table>
</file>

<file path=xl/tables/table4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84BF3A1A-B303-40A9-A3D8-B93BFFAD89B9}" name="Funderingslagen" displayName="Funderingslagen" ref="D1:D16" totalsRowShown="0" dataDxfId="74" headerRowBorderDxfId="72" tableBorderDxfId="73">
  <autoFilter ref="D1:D16" xr:uid="{84BF3A1A-B303-40A9-A3D8-B93BFFAD89B9}"/>
  <tableColumns count="1">
    <tableColumn id="1" xr3:uid="{39711E23-D9D3-4E27-88D5-249245C967A9}" name="Funderingslagen" dataDxfId="71"/>
  </tableColumns>
  <tableStyleInfo name="TableStyleMedium2" showFirstColumn="0" showLastColumn="0" showRowStripes="1" showColumnStripes="0"/>
</table>
</file>

<file path=xl/tables/table4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7F46C76C-AB2E-4F2C-91C6-ECFDFECE2C59}" name="Ophoogmateriaal" displayName="Ophoogmateriaal" ref="C1:C6" totalsRowShown="0" dataDxfId="70" dataCellStyle="Standaard 2">
  <autoFilter ref="C1:C6" xr:uid="{7F46C76C-AB2E-4F2C-91C6-ECFDFECE2C59}"/>
  <tableColumns count="1">
    <tableColumn id="1" xr3:uid="{289974A4-B38B-429C-A83B-6A148582443D}" name="Ophoogmateriaal" dataDxfId="69" dataCellStyle="Standaard 2"/>
  </tableColumns>
  <tableStyleInfo name="TableStyleMedium2" showFirstColumn="0" showLastColumn="0" showRowStripes="1" showColumnStripes="0"/>
</table>
</file>

<file path=xl/tables/table4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E0568C48-CC1F-4E96-ABA0-DAC4229D1DF7}" name="Betonverhardingen" displayName="Betonverhardingen" ref="E1:E4" totalsRowShown="0" headerRowDxfId="68" dataDxfId="67">
  <autoFilter ref="E1:E4" xr:uid="{E0568C48-CC1F-4E96-ABA0-DAC4229D1DF7}"/>
  <tableColumns count="1">
    <tableColumn id="1" xr3:uid="{58D0F8DB-029C-4858-A762-C8B1923CEAF3}" name="Betonverhardingen" dataDxfId="66"/>
  </tableColumns>
  <tableStyleInfo name="TableStyleMedium2" showFirstColumn="0" showLastColumn="0" showRowStripes="1" showColumnStripes="0"/>
</table>
</file>

<file path=xl/tables/table4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C1E6127E-7C5A-4491-B4A3-C27F5C5EE053}" name="Categorie_1_LCA_Producten" displayName="Categorie_1_LCA_Producten" ref="K1:K38" totalsRowShown="0">
  <autoFilter ref="K1:K38" xr:uid="{C1E6127E-7C5A-4491-B4A3-C27F5C5EE053}"/>
  <tableColumns count="1">
    <tableColumn id="1" xr3:uid="{A3D3129C-B75F-4E52-988D-D512C6245D75}" name="Categorie 1 LCA - Producten">
      <calculatedColumnFormula>'Cat. 1 LCA''s'!A4</calculatedColumnFormula>
    </tableColumn>
  </tableColumns>
  <tableStyleInfo name="TableStyleMedium2" showFirstColumn="0" showLastColumn="0" showRowStripes="1" showColumnStripes="0"/>
</table>
</file>

<file path=xl/tables/table4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B9DCEF9F-6537-4817-BE84-EE91028BA0DD}" name="Tabel24" displayName="Tabel24" ref="X1:X3" totalsRowShown="0">
  <autoFilter ref="X1:X3" xr:uid="{B9DCEF9F-6537-4817-BE84-EE91028BA0DD}"/>
  <tableColumns count="1">
    <tableColumn id="1" xr3:uid="{7F4A7CDA-902F-44E1-AC0E-37C8F8A7022A}" name="Sitautie"/>
  </tableColumns>
  <tableStyleInfo name="TableStyleMedium2" showFirstColumn="0" showLastColumn="0" showRowStripes="1" showColumnStripes="0"/>
</table>
</file>

<file path=xl/tables/table4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DB331799-D9E2-417E-AEA2-6BCFFE2ECF82}" name="Tabel33" displayName="Tabel33" ref="Z1:Z3" totalsRowShown="0">
  <autoFilter ref="Z1:Z3" xr:uid="{DB331799-D9E2-417E-AEA2-6BCFFE2ECF82}"/>
  <tableColumns count="1">
    <tableColumn id="1" xr3:uid="{5D1AB271-740F-435D-8B4E-773461EBF517}" name="Vraag"/>
  </tableColumns>
  <tableStyleInfo name="TableStyleMedium2" showFirstColumn="0" showLastColumn="0" showRowStripes="1" showColumnStripes="0"/>
</table>
</file>

<file path=xl/tables/table4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1" xr:uid="{CBAF0C2A-D7A2-4585-8239-874CAEA9E3B4}" name="Kunststofverhardingen" displayName="Kunststofverhardingen" ref="F1:F4" totalsRowShown="0" headerRowDxfId="65" dataDxfId="64">
  <autoFilter ref="F1:F4" xr:uid="{CBAF0C2A-D7A2-4585-8239-874CAEA9E3B4}"/>
  <tableColumns count="1">
    <tableColumn id="1" xr3:uid="{0540730E-14C6-4284-BD89-D77B30623661}" name="Kunststofverhardingen" dataDxfId="63"/>
  </tableColumns>
  <tableStyleInfo name="TableStyleMedium2" showFirstColumn="0" showLastColumn="0" showRowStripes="1" showColumnStripes="0"/>
</table>
</file>

<file path=xl/tables/table4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2" xr:uid="{1DA3D229-454C-4182-A690-A7F3DB77D884}" name="Elementenverhardingen" displayName="Elementenverhardingen" ref="G1:G43" totalsRowShown="0" headerRowDxfId="62" dataDxfId="61">
  <autoFilter ref="G1:G43" xr:uid="{1DA3D229-454C-4182-A690-A7F3DB77D884}"/>
  <tableColumns count="1">
    <tableColumn id="1" xr3:uid="{2339960E-6DAF-41D9-BB15-5E765AAC5081}" name="Elementenverhardingen" dataDxfId="60"/>
  </tableColumns>
  <tableStyleInfo name="TableStyleMedium2" showFirstColumn="0" showLastColumn="0" showRowStripes="1" showColumnStripes="0"/>
</table>
</file>

<file path=xl/tables/table4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2" xr:uid="{B2E7CE8B-A806-470E-B22F-919B3932288E}" name="MKI_Weegfactoren" displayName="MKI_Weegfactoren" ref="A109:C127" totalsRowShown="0" headerRowDxfId="59" dataDxfId="58" tableBorderDxfId="57" headerRowCellStyle="Standaard 2" dataCellStyle="Standaard 2">
  <autoFilter ref="A109:C127" xr:uid="{B2E7CE8B-A806-470E-B22F-919B3932288E}"/>
  <tableColumns count="3">
    <tableColumn id="1" xr3:uid="{4FD953B0-6AA4-432F-9B77-A2A06531B66C}" name="Environmental Impact Categories" dataDxfId="56" dataCellStyle="Standaard 2"/>
    <tableColumn id="3" xr3:uid="{572F6064-2025-428B-9B19-12A604966060}" name="Eenheid" dataDxfId="55" dataCellStyle="Standaard 2"/>
    <tableColumn id="2" xr3:uid="{F85942DD-DBCB-4C72-8A10-FB47EC82936C}" name="Environmental Costs Indicator [euro]" dataDxfId="54" dataCellStyle="Standaard 2"/>
  </tableColumns>
  <tableStyleInfo name="TableStyleMedium3" showFirstColumn="0" showLastColumn="0" showRowStripes="1" showColumnStripes="0"/>
</table>
</file>

<file path=xl/tables/table4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3" xr:uid="{5CB2158E-8355-42AE-A3F9-A6ABDAC67867}" name="Asfalt_Producttype" displayName="Asfalt_Producttype" ref="B66:B75" totalsRowShown="0">
  <autoFilter ref="B66:B75" xr:uid="{5CB2158E-8355-42AE-A3F9-A6ABDAC67867}"/>
  <tableColumns count="1">
    <tableColumn id="1" xr3:uid="{0064C08A-624C-4DC8-BB35-E48619556BF1}" name="Asfalt_Producttype"/>
  </tableColumns>
  <tableStyleInfo name="TableStyleMedium2" showFirstColumn="0" showLastColumn="0" showRowStripes="1" showColumnStripes="0"/>
</table>
</file>

<file path=xl/tables/table5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635D2DAC-BF92-470F-8266-4935528AD117}" name="Scopebepaling" displayName="Scopebepaling" ref="AD1:AD6" totalsRowShown="0">
  <autoFilter ref="AD1:AD6" xr:uid="{635D2DAC-BF92-470F-8266-4935528AD117}"/>
  <tableColumns count="1">
    <tableColumn id="1" xr3:uid="{EE16CC53-78E0-4F4F-8CE8-7B5FC24E80AD}" name="Scope"/>
  </tableColumns>
  <tableStyleInfo name="TableStyleMedium2" showFirstColumn="0" showLastColumn="0" showRowStripes="1" showColumnStripes="0"/>
</table>
</file>

<file path=xl/tables/table5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4" xr:uid="{97B46870-A94A-4DFA-AD61-A1ED83D9C2C5}" name="Waterafvoer" displayName="Waterafvoer" ref="H1:H20" totalsRowShown="0" headerRowDxfId="53" dataDxfId="52" dataCellStyle="Standaard 2">
  <autoFilter ref="H1:H20" xr:uid="{97B46870-A94A-4DFA-AD61-A1ED83D9C2C5}"/>
  <tableColumns count="1">
    <tableColumn id="1" xr3:uid="{CFC2C570-3AD2-4249-8D35-6A17B0996EB0}" name="Waterafvoer" dataDxfId="51" dataCellStyle="Standaard 2"/>
  </tableColumns>
  <tableStyleInfo name="TableStyleMedium2" showFirstColumn="0" showLastColumn="0" showRowStripes="1" showColumnStripes="0"/>
</table>
</file>

<file path=xl/tables/table5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5" xr:uid="{1232B805-2F0D-43CF-AE12-C3C5D966A5A2}" name="Table65" displayName="Table65" ref="AF1:AG4" totalsRowShown="0">
  <autoFilter ref="AF1:AG4" xr:uid="{1232B805-2F0D-43CF-AE12-C3C5D966A5A2}"/>
  <tableColumns count="2">
    <tableColumn id="1" xr3:uid="{D704DD4A-630C-4458-B1CD-73A538CD3EF9}" name="Producttype"/>
    <tableColumn id="2" xr3:uid="{5291EFFE-C87E-4678-BFD7-C46AEC97449A}" name="Bouwverlies"/>
  </tableColumns>
  <tableStyleInfo name="TableStyleMedium2" showFirstColumn="0" showLastColumn="0" showRowStripes="1" showColumnStripes="0"/>
</table>
</file>

<file path=xl/tables/table5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7" xr:uid="{7A79C536-EA64-422D-BF4F-937D7F946F91}" name="Kleine_Kunstwerken" displayName="Kleine_Kunstwerken" ref="I1:I5" totalsRowShown="0" dataDxfId="50" dataCellStyle="Standaard 2">
  <autoFilter ref="I1:I5" xr:uid="{7A79C536-EA64-422D-BF4F-937D7F946F91}"/>
  <tableColumns count="1">
    <tableColumn id="1" xr3:uid="{92DD14B9-E992-47CC-BAAE-1037FAE0F14E}" name="Kleine_Kunstwerken" dataDxfId="49" dataCellStyle="Standaard 2"/>
  </tableColumns>
  <tableStyleInfo name="TableStyleMedium2" showFirstColumn="0" showLastColumn="0" showRowStripes="1" showColumnStripes="0"/>
</table>
</file>

<file path=xl/tables/table5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6" xr:uid="{271E5DF9-F48F-44D1-B55E-1960ABD97CC0}" name="Speeltoestellen" displayName="Speeltoestellen" ref="J1:J9" totalsRowShown="0" dataDxfId="48" dataCellStyle="Standaard 2">
  <autoFilter ref="J1:J9" xr:uid="{271E5DF9-F48F-44D1-B55E-1960ABD97CC0}"/>
  <tableColumns count="1">
    <tableColumn id="1" xr3:uid="{D8865A8A-EF5A-4A80-8BE5-84F861ACABCE}" name="Speeltoestellen" dataDxfId="47" dataCellStyle="Standaard 2"/>
  </tableColumns>
  <tableStyleInfo name="TableStyleMedium2" showFirstColumn="0" showLastColumn="0" showRowStripes="1" showColumnStripes="0"/>
</table>
</file>

<file path=xl/tables/table5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9" xr:uid="{0FABFFE4-5326-411F-B926-D118A8E5C70D}" name="Wegbebakening" displayName="Wegbebakening" ref="L1:L4" totalsRowShown="0">
  <autoFilter ref="L1:L4" xr:uid="{0FABFFE4-5326-411F-B926-D118A8E5C70D}"/>
  <tableColumns count="1">
    <tableColumn id="1" xr3:uid="{6C430444-4580-44AD-9656-0B6D71954035}" name="Wegbebakening"/>
  </tableColumns>
  <tableStyleInfo name="TableStyleMedium2" showFirstColumn="0" showLastColumn="0" showRowStripes="1" showColumnStripes="0"/>
</table>
</file>

<file path=xl/tables/table5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0" xr:uid="{A02B65B5-7E67-491A-ABD4-12FE17C4D8E1}" name="Overig_Materieel" displayName="Overig_Materieel" ref="T1:T16" totalsRowShown="0">
  <autoFilter ref="T1:T16" xr:uid="{A02B65B5-7E67-491A-ABD4-12FE17C4D8E1}"/>
  <tableColumns count="1">
    <tableColumn id="1" xr3:uid="{1ACBEB70-533A-419F-AF58-BF43232F6A46}" name="Overig Materieel"/>
  </tableColumns>
  <tableStyleInfo name="TableStyleMedium2" showFirstColumn="0" showLastColumn="0" showRowStripes="1" showColumnStripes="0"/>
</table>
</file>

<file path=xl/tables/table5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F26EB005-A339-4011-AE8B-8B109AEEB59F}" name="Brandstofmachines_Omrekentabel" displayName="Brandstofmachines_Omrekentabel" ref="X22:AG40" totalsRowShown="0" headerRowDxfId="46">
  <autoFilter ref="X22:AG40" xr:uid="{F26EB005-A339-4011-AE8B-8B109AEEB59F}"/>
  <tableColumns count="10">
    <tableColumn id="11" xr3:uid="{13696D39-F8D3-4533-A21C-A5549098FF36}" name="Zoeksleutel" dataDxfId="45">
      <calculatedColumnFormula>Brandstofmachines_Omrekentabel[[#This Row],[Stage]]&amp;", "&amp;Brandstofmachines_Omrekentabel[[#This Row],[Brandstof]]</calculatedColumnFormula>
    </tableColumn>
    <tableColumn id="10" xr3:uid="{CDE2E27D-E01E-46D1-B099-EEAB7B81F71D}" name="Stage"/>
    <tableColumn id="1" xr3:uid="{156CE0E8-2847-43F5-AB20-BD34A3C21C66}" name="Brandstof"/>
    <tableColumn id="2" xr3:uid="{024639EF-112B-4A03-8B1A-D04DA2AB659E}" name="FE"/>
    <tableColumn id="3" xr3:uid="{D61ED815-17E4-44BE-97DE-BAE6C2C9A368}" name="liters"/>
    <tableColumn id="4" xr3:uid="{F831E419-26E7-4EB2-98E8-99A09D3B35BD}" name="kWh (input)" dataDxfId="44"/>
    <tableColumn id="5" xr3:uid="{833045F1-7718-457F-9372-1B30E8B44112}" name="MJ (input)"/>
    <tableColumn id="6" xr3:uid="{CA936E22-CC32-4B8B-9312-B69D162B86AE}" name="MJ (output) - Arbeid" dataDxfId="43"/>
    <tableColumn id="7" xr3:uid="{EE7545D6-8DD8-4B2B-BECD-AE0617906C8C}" name="kg"/>
    <tableColumn id="8" xr3:uid="{5C50F51A-B47B-49FB-9EEB-DF820EB35508}" name="Opmerking"/>
  </tableColumns>
  <tableStyleInfo name="TableStyleMedium2" showFirstColumn="0" showLastColumn="0" showRowStripes="1" showColumnStripes="0"/>
</table>
</file>

<file path=xl/tables/table5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633BBDBC-3018-4892-98FE-CF38754C8DCA}" name="Brandstofverbuiken" displayName="Brandstofverbuiken" ref="X66:AG151" totalsRowShown="0">
  <autoFilter ref="X66:AG151" xr:uid="{633BBDBC-3018-4892-98FE-CF38754C8DCA}"/>
  <tableColumns count="10">
    <tableColumn id="1" xr3:uid="{699877C1-E376-48D5-86EE-5AEBAB4D03AE}" name="Product" dataDxfId="42" dataCellStyle="Standaard 2"/>
    <tableColumn id="2" xr3:uid="{40BE0307-3CA5-45BD-8725-546F7D89D2CA}" name="Eenheid"/>
    <tableColumn id="3" xr3:uid="{2DD866EE-4534-4651-8D49-96ED9A2BCCDC}" name="Verbruik rapport - A5"/>
    <tableColumn id="4" xr3:uid="{332AE009-C606-4257-9597-5873D5B4EBAA}" name="Literverbruik per uur - A5"/>
    <tableColumn id="5" xr3:uid="{C2C3E118-7181-4142-A9E2-BA9DB102E1CB}" name="Capaciteit"/>
    <tableColumn id="6" xr3:uid="{1F4F62E9-2442-485E-9D11-4C9760F9412D}" name="Literverbruik rapport - C1"/>
    <tableColumn id="7" xr3:uid="{90F5AC34-0844-486C-A56F-CCF94B0272D3}" name="Literverbruik per uur - C1"/>
    <tableColumn id="8" xr3:uid="{FF120C7D-408C-4D12-B50E-0561684EAB01}" name="Capaciteit2"/>
    <tableColumn id="9" xr3:uid="{894687C7-8975-4A3B-A51C-8787B37ECDB8}" name="Opmerking - A5"/>
    <tableColumn id="10" xr3:uid="{F57F4ADE-5E6B-43A7-BE04-8F0F153C4FC7}" name="Opmerking - C1"/>
  </tableColumns>
  <tableStyleInfo name="TableStyleMedium2" showFirstColumn="0" showLastColumn="0" showRowStripes="1" showColumnStripes="0"/>
</table>
</file>

<file path=xl/tables/table5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10999F0C-1502-4517-900E-5CE81A04CF6D}" name="Inschrijf_Export" displayName="Inschrijf_Export" ref="A1:DY20" tableType="queryTable">
  <autoFilter ref="A1:DY20" xr:uid="{10999F0C-1502-4517-900E-5CE81A04CF6D}"/>
  <tableColumns count="129">
    <tableColumn id="3" xr3:uid="{ADFF3084-AC68-4C88-A36A-E4D6AC942DDE}" uniqueName="3" name="Client" queryTableFieldId="356" dataDxfId="40" totalsRowDxfId="41"/>
    <tableColumn id="118" xr3:uid="{72C6DD98-B496-48F9-80BE-10E9CD8194F5}" uniqueName="118" name="Contractor" queryTableFieldId="656" dataDxfId="38" totalsRowDxfId="39"/>
    <tableColumn id="1" xr3:uid="{0534377F-CD14-47FF-82EE-260712506B85}" uniqueName="1" name="Project_ID" queryTableFieldId="475" dataDxfId="36" totalsRowDxfId="37"/>
    <tableColumn id="2" xr3:uid="{150D89F6-E07E-4EEB-B01C-61D77ACA98D5}" uniqueName="2" name="Project_lifespan" queryTableFieldId="476"/>
    <tableColumn id="4" xr3:uid="{2384222F-A55E-4196-BCFD-CAFECF57E140}" uniqueName="4" name="Project_date" queryTableFieldId="477" dataDxfId="34" totalsRowDxfId="35"/>
    <tableColumn id="117" xr3:uid="{9D5A5220-F84A-4F63-89AB-8C8F8743F893}" uniqueName="117" name="Version" queryTableFieldId="654"/>
    <tableColumn id="123" xr3:uid="{AB65ADF5-1A7C-4D93-8B26-8370CE2DF1BD}" uniqueName="123" name="Category" queryTableFieldId="664"/>
    <tableColumn id="121" xr3:uid="{CF412153-3D33-4EBE-8F90-3806DDFFC8E5}" uniqueName="121" name="Total_units" queryTableFieldId="660"/>
    <tableColumn id="122" xr3:uid="{7E3E5887-29C3-4845-B064-1767626832C8}" uniqueName="122" name="Unit" queryTableFieldId="661"/>
    <tableColumn id="5" xr3:uid="{89B1867F-043D-44BD-8FF7-8B7A07CF518F}" uniqueName="5" name="RAW_ID" queryTableFieldId="478"/>
    <tableColumn id="8" xr3:uid="{F6FE7680-BF49-43C9-8556-C8EEF7613249}" uniqueName="8" name="Workscope" queryTableFieldId="139" dataDxfId="32" totalsRowDxfId="33"/>
    <tableColumn id="9" xr3:uid="{92AFFEE6-3E0D-432E-9A33-F3B1BF65172B}" uniqueName="9" name="Price" queryTableFieldId="140"/>
    <tableColumn id="10" xr3:uid="{A5512BB0-68D7-4719-9FAD-B7B0D76A78CD}" uniqueName="10" name="Productgroup" queryTableFieldId="141" dataDxfId="30" totalsRowDxfId="31"/>
    <tableColumn id="6" xr3:uid="{88E3C4FA-54B2-4303-95C3-FC43012FFCF5}" uniqueName="6" name="Product" queryTableFieldId="6" dataDxfId="28" totalsRowDxfId="29"/>
    <tableColumn id="115" xr3:uid="{72742F9D-2385-42A8-8872-4F9531809C34}" uniqueName="115" name="Producttype" queryTableFieldId="463"/>
    <tableColumn id="113" xr3:uid="{72F86AEA-02BA-462F-A668-5457742D8E24}" uniqueName="113" name="Surface[m2]" queryTableFieldId="461"/>
    <tableColumn id="114" xr3:uid="{C7311140-AC0C-4A7E-86D6-7FB8C9323CD4}" uniqueName="114" name="Thickness[m]" queryTableFieldId="462"/>
    <tableColumn id="7" xr3:uid="{C454E5AA-911E-41F9-AC7E-B1E882A27DD0}" uniqueName="7" name="Specific_weight[ton/m3]" queryTableFieldId="479"/>
    <tableColumn id="13" xr3:uid="{369CDC6C-9606-4707-B476-C0A15FF7BB1E}" uniqueName="13" name="Amount[m3]" queryTableFieldId="144"/>
    <tableColumn id="124" xr3:uid="{E12B3923-80C3-4952-A536-773E165DF06A}" uniqueName="124" name="A5 - Capaciteit over materieel [Eenheden / uur]" queryTableFieldId="666"/>
    <tableColumn id="12" xr3:uid="{B4A89A39-FD84-4553-A1F6-9DCD2177B931}" uniqueName="12" name="Amount[ton]" queryTableFieldId="143"/>
    <tableColumn id="14" xr3:uid="{8E36BE65-E5CC-49D4-9CF6-4EF87B08204C}" uniqueName="14" name="Replacements" queryTableFieldId="145"/>
    <tableColumn id="125" xr3:uid="{C208F442-EC74-4677-857A-919E3F4532E2}" uniqueName="125" name="C1 - Capaciteit overig materieel [Eenheden / uur]" queryTableFieldId="667"/>
    <tableColumn id="11" xr3:uid="{359EF330-FEDB-4B58-829D-E304B40B5ED7}" uniqueName="11" name="A4_transport_distance_to_construction_site[km]" queryTableFieldId="480"/>
    <tableColumn id="15" xr3:uid="{54F93ACC-3F47-4E03-8B7F-1C54E72EA309}" uniqueName="15" name="A4_transportmode_to_construction_site" queryTableFieldId="481" dataDxfId="26" totalsRowDxfId="27"/>
    <tableColumn id="110" xr3:uid="{2DCD1986-E5E6-45D8-919B-0F9E77D3DD6A}" uniqueName="110" name="A5_asphalt_construction_set" queryTableFieldId="638" dataDxfId="24" totalsRowDxfId="25"/>
    <tableColumn id="17" xr3:uid="{9C5B9765-25EE-425D-85B4-576E080B8807}" uniqueName="17" name="A5_other_construction_equipment" queryTableFieldId="483" dataDxfId="22" totalsRowDxfId="23"/>
    <tableColumn id="18" xr3:uid="{26CE5E8A-E3D7-4EEB-AA42-2B5F733DF9D2}" uniqueName="18" name="C1_asphalt_removal_set" queryTableFieldId="484" dataDxfId="20" totalsRowDxfId="21"/>
    <tableColumn id="19" xr3:uid="{4FE7D58B-AA56-4785-BB3B-A6512698227D}" uniqueName="19" name="C1_other_removal_equipment" queryTableFieldId="485" dataDxfId="18" totalsRowDxfId="19"/>
    <tableColumn id="20" xr3:uid="{D932146A-5EC6-45D0-A06C-19994BB4D4FD}" uniqueName="20" name="C2_transportdistance_to_processor[km]" queryTableFieldId="486"/>
    <tableColumn id="21" xr3:uid="{BFCB32DA-52E8-473D-B1B7-EB4786FDDA77}" uniqueName="21" name="C2_transportmode_to_processor" queryTableFieldId="487" dataDxfId="16" totalsRowDxfId="17"/>
    <tableColumn id="22" xr3:uid="{B727FD09-51DA-4EA9-A7D1-19D784A34D7B}" uniqueName="22" name="C3_processingset" queryTableFieldId="488" dataDxfId="14" totalsRowDxfId="15"/>
    <tableColumn id="24" xr3:uid="{8EF637FE-16D0-4406-B415-20D4F98B35D9}" uniqueName="24" name="Assumptions" queryTableFieldId="155"/>
    <tableColumn id="23" xr3:uid="{D132E1A8-6417-462F-A7C2-73910BCE8C39}" uniqueName="23" name="ECI_total.A1" queryTableFieldId="489"/>
    <tableColumn id="25" xr3:uid="{15BF7C96-7067-483C-90D6-492AA892B9AB}" uniqueName="25" name="ECI_total.A2" queryTableFieldId="490"/>
    <tableColumn id="26" xr3:uid="{836C2860-C40D-4BDD-9B0C-DAD48761581F}" uniqueName="26" name="ECI_total.A3" queryTableFieldId="491"/>
    <tableColumn id="126" xr3:uid="{D40C5E27-B65D-4803-89BB-060B3FD7AD98}" uniqueName="126" name="ECI_total.A1-A3" queryTableFieldId="670"/>
    <tableColumn id="27" xr3:uid="{815D411C-27A4-4858-9B3F-D07CC1D309EB}" uniqueName="27" name="ECI_total.A4" queryTableFieldId="492"/>
    <tableColumn id="28" xr3:uid="{C6AFFC07-D235-4202-B6A3-B40A566A9B1F}" uniqueName="28" name="ECI_total.A5" queryTableFieldId="493"/>
    <tableColumn id="29" xr3:uid="{485B5370-A934-423F-AB2B-22D4C139535C}" uniqueName="29" name="ECI_total.B1" queryTableFieldId="494"/>
    <tableColumn id="30" xr3:uid="{77DA5A97-63C0-406A-8BD5-26205BB815FB}" uniqueName="30" name="ECI_total.B4" queryTableFieldId="495"/>
    <tableColumn id="31" xr3:uid="{4860D48E-567E-47A5-86EE-1FE6112B28F3}" uniqueName="31" name="ECI_total.C1" queryTableFieldId="496"/>
    <tableColumn id="32" xr3:uid="{9B09CA55-22B8-4A2C-8E90-1F3CAA3CD3CC}" uniqueName="32" name="ECI_total.C2" queryTableFieldId="497"/>
    <tableColumn id="33" xr3:uid="{DB330B7B-2865-41D1-9959-E1DB5728E39A}" uniqueName="33" name="ECI_total.C3" queryTableFieldId="498"/>
    <tableColumn id="34" xr3:uid="{975AFD2E-6F4D-4E04-B79C-AD0531892338}" uniqueName="34" name="ECI_total.C4" queryTableFieldId="499"/>
    <tableColumn id="35" xr3:uid="{E2ACBEC6-1E57-4B6D-8D9C-9D1939181749}" uniqueName="35" name="ECI_total.D1" queryTableFieldId="500"/>
    <tableColumn id="36" xr3:uid="{1133D883-D91F-41B9-ADED-1268B1B7D528}" uniqueName="36" name="ECI_total.D2" queryTableFieldId="501"/>
    <tableColumn id="127" xr3:uid="{D7A94A5A-A061-4114-9593-3F0CF12C5879}" uniqueName="127" name="ECI_total.D" queryTableFieldId="671"/>
    <tableColumn id="37" xr3:uid="{0FE341CA-BBB8-45C2-8076-2384E46F6815}" uniqueName="37" name="ECI_total.total" queryTableFieldId="502"/>
    <tableColumn id="38" xr3:uid="{FDD74206-606B-4F86-B8E7-10434F22046B}" uniqueName="38" name="CO2_total.A1" queryTableFieldId="503"/>
    <tableColumn id="39" xr3:uid="{D419F899-E902-4B03-B216-CC21696A643C}" uniqueName="39" name="CO2_total.A2" queryTableFieldId="504"/>
    <tableColumn id="40" xr3:uid="{087BED5C-3B75-45F3-A5CD-801D7EF67006}" uniqueName="40" name="CO2_total.A3" queryTableFieldId="505"/>
    <tableColumn id="128" xr3:uid="{D9C3D527-DE3D-4504-8898-AE9B61754C99}" uniqueName="128" name="CO2_total.A1-A3" queryTableFieldId="672"/>
    <tableColumn id="41" xr3:uid="{198B852E-7C80-4C86-BCAB-31CDC53C9AAD}" uniqueName="41" name="CO2_total.A4" queryTableFieldId="506"/>
    <tableColumn id="42" xr3:uid="{23601F79-9618-4456-BE93-3F0F126B11F9}" uniqueName="42" name="CO2_total.A5" queryTableFieldId="507"/>
    <tableColumn id="43" xr3:uid="{590F0F2C-48DB-4077-8FF1-A4231F527A35}" uniqueName="43" name="CO2_total.B1" queryTableFieldId="508"/>
    <tableColumn id="44" xr3:uid="{6729F8F4-206B-4FC3-854B-A247A5C683AF}" uniqueName="44" name="CO2_total.B4" queryTableFieldId="509"/>
    <tableColumn id="45" xr3:uid="{D9B87201-549F-46B2-9FAF-F934D94191AD}" uniqueName="45" name="CO2_total.C1" queryTableFieldId="510"/>
    <tableColumn id="46" xr3:uid="{D15DAFF2-A771-42ED-85EC-8FB3FD30B7CE}" uniqueName="46" name="CO2_total.C2" queryTableFieldId="511"/>
    <tableColumn id="47" xr3:uid="{427681BF-CFE0-4712-8D74-055FD4A438F6}" uniqueName="47" name="CO2_total.C3" queryTableFieldId="512"/>
    <tableColumn id="48" xr3:uid="{42DF1438-2B9B-44B9-99B0-A3B7223F4034}" uniqueName="48" name="CO2_total.C4" queryTableFieldId="513"/>
    <tableColumn id="49" xr3:uid="{14D980D3-C07E-4611-92FF-7B25D5671BDD}" uniqueName="49" name="CO2_total.D1" queryTableFieldId="514"/>
    <tableColumn id="50" xr3:uid="{653F96A7-88F8-41C2-9841-B53F7AD332C6}" uniqueName="50" name="CO2_total.D2" queryTableFieldId="515"/>
    <tableColumn id="129" xr3:uid="{97A7155C-4153-47CC-916F-EB79A5D9E1D9}" uniqueName="129" name="CO2_total.D" queryTableFieldId="673"/>
    <tableColumn id="51" xr3:uid="{FD7A5FDB-ABBB-4941-A8C0-AC6ACC47B776}" uniqueName="51" name="CO2_total.total" queryTableFieldId="516"/>
    <tableColumn id="52" xr3:uid="{79C3CC06-E483-47AF-A2AC-848DCAE14B5F}" uniqueName="52" name="Material_total.amount[ton]" queryTableFieldId="517"/>
    <tableColumn id="53" xr3:uid="{E85D2C70-7094-4AE6-91B9-0009E6C570DF}" uniqueName="53" name="Material_total.%secundary" queryTableFieldId="518"/>
    <tableColumn id="54" xr3:uid="{7535303C-E2FB-46B8-B769-D0A9210A0E09}" uniqueName="54" name="Material_total.primary[ton]" queryTableFieldId="519"/>
    <tableColumn id="55" xr3:uid="{C3935C78-D234-4D04-A4FA-0FC2C59DC8E4}" uniqueName="55" name="Material_total.secundary[ton]" queryTableFieldId="520"/>
    <tableColumn id="56" xr3:uid="{39F05FEF-4B2A-4D7B-9092-35E5A309B086}" uniqueName="56" name="Material_total.amount_replacements[ton]" queryTableFieldId="521"/>
    <tableColumn id="57" xr3:uid="{C0670C1E-EF0C-4FE5-9AD1-D9C8A5D556DF}" uniqueName="57" name="Material_total.primary_replacements[ton]" queryTableFieldId="522"/>
    <tableColumn id="58" xr3:uid="{CD408F24-61A1-480E-BCE9-28F03E534D9B}" uniqueName="58" name="Material_total.secundary_replacements[ton]" queryTableFieldId="523"/>
    <tableColumn id="59" xr3:uid="{869319EE-BA0F-431D-8B80-DFE68C9F87F5}" uniqueName="59" name="Material_total.total_primary[ton]" queryTableFieldId="524"/>
    <tableColumn id="60" xr3:uid="{34A0116B-1241-44CE-B8E4-61D4403BF937}" uniqueName="60" name="Material_total.total_secundary[ton]" queryTableFieldId="525"/>
    <tableColumn id="61" xr3:uid="{9DD0F171-3124-4527-BC36-D80C77FC8E90}" uniqueName="61" name="Material_total.total[ton]" queryTableFieldId="526"/>
    <tableColumn id="62" xr3:uid="{7F0CEC07-E68D-4AD3-A49B-968190F41D39}" uniqueName="62" name="Renewable_energy_total.A1" queryTableFieldId="527"/>
    <tableColumn id="63" xr3:uid="{ACD6F48A-82B1-40E4-AF73-5664074520D5}" uniqueName="63" name="Renewable_energy_total.A2" queryTableFieldId="528"/>
    <tableColumn id="64" xr3:uid="{5890A8A6-C7F6-4BB2-AC76-4AADD44E62C9}" uniqueName="64" name="Renewable_energy_total.A3" queryTableFieldId="529"/>
    <tableColumn id="130" xr3:uid="{BAB956D6-33EA-44DD-98FC-1DC29CE1AFBE}" uniqueName="130" name="Renewable_energy_total.A1-A3" queryTableFieldId="674"/>
    <tableColumn id="65" xr3:uid="{82DAFA56-B94A-421C-B4DC-1956578D528C}" uniqueName="65" name="Renewable_energy_total.A4" queryTableFieldId="530"/>
    <tableColumn id="66" xr3:uid="{D424C483-5998-43B6-AA01-4DF7B2D8AC9E}" uniqueName="66" name="Renewable_energy_total.A5" queryTableFieldId="531"/>
    <tableColumn id="67" xr3:uid="{FDD7CEA7-C1C2-408C-841F-281F22FC970C}" uniqueName="67" name="Renewable_energy_total.B1" queryTableFieldId="532"/>
    <tableColumn id="68" xr3:uid="{D3163A1A-6628-4F9B-B22F-39A03078AC3C}" uniqueName="68" name="Renewable_energy_total.B4" queryTableFieldId="533"/>
    <tableColumn id="69" xr3:uid="{9484245A-5974-4E36-86B4-B69577E3D68A}" uniqueName="69" name="Renewable_energy_total.C1" queryTableFieldId="534"/>
    <tableColumn id="70" xr3:uid="{E6E8757D-371B-4095-81C6-7C53DE2F53DB}" uniqueName="70" name="Renewable_energy_total.C2" queryTableFieldId="535"/>
    <tableColumn id="71" xr3:uid="{0AD7EDBC-7A2B-4958-84E5-18C1F4ABA4AF}" uniqueName="71" name="Renewable_energy_total.C3" queryTableFieldId="536"/>
    <tableColumn id="72" xr3:uid="{6EE775E4-EDE6-497B-945D-BB62CD9DE13E}" uniqueName="72" name="Renewable_energy_total.C4" queryTableFieldId="537"/>
    <tableColumn id="111" xr3:uid="{CC18A487-35F0-40DB-BA6B-85618D86F0C0}" uniqueName="111" name="Renewable_energy_total.D1" queryTableFieldId="640"/>
    <tableColumn id="73" xr3:uid="{C332167C-C213-43FD-9817-0BC09C90FF3E}" uniqueName="73" name="Renewable_energy_total.D2" queryTableFieldId="538"/>
    <tableColumn id="131" xr3:uid="{81BB6CA6-CA99-4ED1-BFC7-E32FD30A1A46}" uniqueName="131" name="Renewable_energy_total.D" queryTableFieldId="675"/>
    <tableColumn id="74" xr3:uid="{2E133016-1F78-4F37-8480-9644748A9797}" uniqueName="74" name="Renewable_energy_total.total" queryTableFieldId="539"/>
    <tableColumn id="76" xr3:uid="{04E5DEB8-8D3A-4BDE-8E1A-1A2DA3225649}" uniqueName="76" name="Fossil_energy_total.A1" queryTableFieldId="540"/>
    <tableColumn id="77" xr3:uid="{51A258AE-2028-4C6F-881A-702C14FBD386}" uniqueName="77" name="Fossil_energy_total.A2" queryTableFieldId="541"/>
    <tableColumn id="78" xr3:uid="{CD80075C-6B5B-45B8-A296-C8B457F2F452}" uniqueName="78" name="Fossil_energy_total.A3" queryTableFieldId="542"/>
    <tableColumn id="132" xr3:uid="{3C36173D-B292-4ECB-95C3-116EC6D0CB5B}" uniqueName="132" name="Fossil_energy_total.A1-A3" queryTableFieldId="676"/>
    <tableColumn id="79" xr3:uid="{D4E4E619-172A-44E9-88DA-152E7E8B6D36}" uniqueName="79" name="Fossil_energy_total.A4" queryTableFieldId="543"/>
    <tableColumn id="80" xr3:uid="{1A93825C-8580-44E8-8128-CD7BB22FE68E}" uniqueName="80" name="Fossil_energy_total.A5" queryTableFieldId="544"/>
    <tableColumn id="81" xr3:uid="{56E2B5E2-5D15-404D-B5EF-A3ADCD7A624A}" uniqueName="81" name="Fossil_energy_total.B1" queryTableFieldId="545"/>
    <tableColumn id="82" xr3:uid="{08416BF6-7A6B-48B5-9424-54561A890C0D}" uniqueName="82" name="Fossil_energy_total.B4" queryTableFieldId="546"/>
    <tableColumn id="83" xr3:uid="{8B9A3BDA-3AC5-4B11-81CB-4D844B839DE6}" uniqueName="83" name="Fossil_energy_total.C1" queryTableFieldId="547"/>
    <tableColumn id="84" xr3:uid="{E90F1691-0C24-49FE-ADDD-7FB9D6DC661D}" uniqueName="84" name="Fossil_energy_total.C2" queryTableFieldId="548"/>
    <tableColumn id="85" xr3:uid="{7AED6404-50A1-4454-BB0E-8F86B5E09AC9}" uniqueName="85" name="Fossil_energy_total.C3" queryTableFieldId="549"/>
    <tableColumn id="86" xr3:uid="{F310D78A-A299-4CEE-B2AE-A3D42C1E9230}" uniqueName="86" name="Fossil_energy_total.C4" queryTableFieldId="550"/>
    <tableColumn id="87" xr3:uid="{B4477E0F-0764-4522-AA44-89C9D513956F}" uniqueName="87" name="Fossil_energy_total.D1" queryTableFieldId="551"/>
    <tableColumn id="88" xr3:uid="{435F7BC5-486D-4C7E-BD25-CA8E95F21276}" uniqueName="88" name="Fossil_energy_total.D2" queryTableFieldId="552"/>
    <tableColumn id="133" xr3:uid="{6626F190-8D81-4E10-BEF3-8C39DC73A80A}" uniqueName="133" name="Fossil_energy_total.D" queryTableFieldId="677"/>
    <tableColumn id="89" xr3:uid="{CCE6C327-10FD-4159-AA46-BEAC70AA62CA}" uniqueName="89" name="Fossil_energy_total.total" queryTableFieldId="553"/>
    <tableColumn id="90" xr3:uid="{5A6ADD3E-B8ED-47DE-B40E-6F7D0E2B84AF}" uniqueName="90" name="Transport_total.transport_to_construction_site[tkm]" totalsRowFunction="custom" queryTableFieldId="554">
      <totalsRowFormula>SUM(Referentie_Export[Transport_total.transport_to_construction_site'[tkm']])</totalsRowFormula>
    </tableColumn>
    <tableColumn id="91" xr3:uid="{973D3ED7-F0A3-4D2E-983A-202DA68B1C5D}" uniqueName="91" name="Transport_total.transport_to_processor[tkm]" queryTableFieldId="555"/>
    <tableColumn id="92" xr3:uid="{6FC369AC-4AD1-4D8C-920D-142344ED1139}" uniqueName="92" name="Transport_total.emission_free_transport_to_construction_site" queryTableFieldId="556"/>
    <tableColumn id="93" xr3:uid="{DA626BB8-11F4-49B0-A3FF-FC59ED0336B3}" uniqueName="93" name="Transport_total.emission_free_transport_to_processor" queryTableFieldId="557"/>
    <tableColumn id="94" xr3:uid="{6C0BB4BC-80E8-43C4-B33D-34655243A5E4}" uniqueName="94" name="Transport_total.emission_free_transport" queryTableFieldId="558"/>
    <tableColumn id="95" xr3:uid="{A0CCAAF2-7B65-41C0-8429-8A797D61ECEF}" uniqueName="95" name="Transport_total.transport_to_construction_site_replacements[tkm]" queryTableFieldId="559"/>
    <tableColumn id="96" xr3:uid="{549F2E11-DB3F-4F54-911B-7DAF124D9B07}" uniqueName="96" name="Transport_total.transport_to_processor_replacements[tkm]" queryTableFieldId="560"/>
    <tableColumn id="97" xr3:uid="{14C1E132-E8A7-42F3-9617-D6BEE2C271BE}" uniqueName="97" name="Transport_total.emission_free_transport_replacements[tkm]" queryTableFieldId="561"/>
    <tableColumn id="98" xr3:uid="{96A3AB5A-34A5-43FD-B00A-39D68C6C1E87}" uniqueName="98" name="Transport_total.total_emission_free_transport" queryTableFieldId="562"/>
    <tableColumn id="99" xr3:uid="{217B5017-7E22-4B91-862A-0C53244E343A}" uniqueName="99" name="Transport_total.total_non_emission_free_transport" queryTableFieldId="563"/>
    <tableColumn id="100" xr3:uid="{791BD061-0176-4343-A318-48D287F4E1A3}" uniqueName="100" name="Transport_total.total_transport" queryTableFieldId="564"/>
    <tableColumn id="101" xr3:uid="{7F8ECEBC-814D-428E-8075-C086ED00BD7C}" uniqueName="101" name="Construction_site_total.operation_hour_construction" queryTableFieldId="565"/>
    <tableColumn id="102" xr3:uid="{2FF2F006-464A-4975-9794-358C5BB931AD}" uniqueName="102" name="Construction_site_total.operation_hour_removal" queryTableFieldId="566"/>
    <tableColumn id="103" xr3:uid="{248B4381-F80D-4A82-8CE6-9A3B4BFC9927}" uniqueName="103" name="Construction_site_total.emission_free_construction" queryTableFieldId="567"/>
    <tableColumn id="104" xr3:uid="{6F8E8B6E-92DC-42BF-B8AB-E9C54A1ADD57}" uniqueName="104" name="Construction_site_total.emission_free_removal" queryTableFieldId="568"/>
    <tableColumn id="105" xr3:uid="{28DDB231-6F07-4CC3-91A3-E42E073284B2}" uniqueName="105" name="Construction_site_total.emission_free_construction_site" queryTableFieldId="569"/>
    <tableColumn id="106" xr3:uid="{AC745910-5D80-4832-80F5-B136E81BFDE9}" uniqueName="106" name="Construction_site_total.emission_free_construction_site_replacement" queryTableFieldId="570"/>
    <tableColumn id="107" xr3:uid="{F16FD940-BEA3-4CB2-94E8-525C2CC1EEF6}" uniqueName="107" name="Construction_site_total.total_emission_free_construction_site" queryTableFieldId="571"/>
    <tableColumn id="108" xr3:uid="{0D3879CF-7ADF-4B3A-9DE1-7FD852BF7133}" uniqueName="108" name="Construction_site_total.total_non_emission_free_construction_site" queryTableFieldId="572"/>
    <tableColumn id="109" xr3:uid="{72F4465C-5E87-40F6-A234-E8B405972685}" uniqueName="109" name="Construction_site_total.total_construction_site" queryTableFieldId="573"/>
    <tableColumn id="16" xr3:uid="{2F42DAEF-2166-41EF-A244-6BA42B3A628C}" uniqueName="16" name="ECI_unit_A1-A3" queryTableFieldId="686"/>
    <tableColumn id="75" xr3:uid="{CD53F3DC-F501-4065-87DA-B7476EDA3CB7}" uniqueName="75" name="CO2_unit_A1-A3" queryTableFieldId="687"/>
  </tableColumns>
  <tableStyleInfo name="TableStyleMedium7" showFirstColumn="0" showLastColumn="0" showRowStripes="1" showColumnStripes="0"/>
</table>
</file>

<file path=xl/tables/table6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8" xr:uid="{C29DFE82-581F-4837-97F0-1E7E5BA87EE0}" name="Referentie_Export" displayName="Referentie_Export" ref="A1:DY61" tableType="queryTable">
  <autoFilter ref="A1:DY61" xr:uid="{C29DFE82-581F-4837-97F0-1E7E5BA87EE0}"/>
  <tableColumns count="129">
    <tableColumn id="1" xr3:uid="{00D1E580-86A2-4099-B166-2CAA9439EBE1}" uniqueName="1" name="Client" queryTableFieldId="130"/>
    <tableColumn id="110" xr3:uid="{9746F697-9B21-41F5-8AED-03BDE0BCE056}" uniqueName="110" name="Contractor" queryTableFieldId="680"/>
    <tableColumn id="2" xr3:uid="{4E4FDB13-D635-4314-8287-997ACA7CBC4F}" uniqueName="2" name="Project_ID" queryTableFieldId="549" dataDxfId="12" totalsRowDxfId="13"/>
    <tableColumn id="3" xr3:uid="{461325B0-E685-45C8-90C2-17CFAB86916F}" uniqueName="3" name="Project_lifespan" queryTableFieldId="550"/>
    <tableColumn id="4" xr3:uid="{EB26C5D0-6454-481C-AA50-B5A350B5F6AE}" uniqueName="4" name="Project_date" queryTableFieldId="551" dataDxfId="10" totalsRowDxfId="11"/>
    <tableColumn id="109" xr3:uid="{685979B6-F71D-4B3D-9C44-EBA5858542FB}" uniqueName="109" name="Version" queryTableFieldId="678"/>
    <tableColumn id="115" xr3:uid="{B110C214-0DC7-4D8E-8C9D-FF8A9A4C2CCA}" uniqueName="115" name="Category" queryTableFieldId="688"/>
    <tableColumn id="113" xr3:uid="{1E2335C0-A8DC-48E9-BBFC-03B9F247271B}" uniqueName="113" name="Total_units" queryTableFieldId="684"/>
    <tableColumn id="114" xr3:uid="{C863552E-2E9F-44C2-855C-3BE6E6125F23}" uniqueName="114" name="Unit" queryTableFieldId="685"/>
    <tableColumn id="5" xr3:uid="{A1872EC4-1818-4716-8658-FA202752BD94}" uniqueName="5" name="RAW_ID" queryTableFieldId="552" dataDxfId="8" totalsRowDxfId="9"/>
    <tableColumn id="116" xr3:uid="{5ECC84B8-6AF1-40A2-9105-30BA45077E50}" uniqueName="116" name="Workscope" queryTableFieldId="137"/>
    <tableColumn id="103" xr3:uid="{202BDED7-E6BB-45E1-86C4-BDF7842603CC}" uniqueName="103" name="Price" queryTableFieldId="543"/>
    <tableColumn id="118" xr3:uid="{96DD8C2D-118F-479A-A66C-27BC5617A8B4}" uniqueName="118" name="Productgroup" queryTableFieldId="139"/>
    <tableColumn id="6" xr3:uid="{8063A05C-69AB-46E8-A1C5-54A8D49A5E3B}" uniqueName="6" name="Product" queryTableFieldId="6" dataDxfId="6" totalsRowDxfId="7"/>
    <tableColumn id="7" xr3:uid="{0DFE6EC6-5CF3-4BDE-A3B3-F0FEDAB1D0E7}" uniqueName="7" name="Producttype" queryTableFieldId="7"/>
    <tableColumn id="119" xr3:uid="{0F0EAA50-973B-412D-84B4-D4C709D519CB}" uniqueName="119" name="Surface[m2]" queryTableFieldId="140"/>
    <tableColumn id="120" xr3:uid="{DEE8864C-0DCA-4B7E-BA21-B265C3F19606}" uniqueName="120" name="Thickness[m]" queryTableFieldId="141"/>
    <tableColumn id="8" xr3:uid="{058773FB-E76A-41BE-8E64-8378C388F36B}" uniqueName="8" name="Specific_weight[ton/m3]" queryTableFieldId="553"/>
    <tableColumn id="122" xr3:uid="{DDAD8EE9-4C46-4C6B-BBC8-020A2B53379C}" uniqueName="122" name="Amount[m3]" queryTableFieldId="143"/>
    <tableColumn id="117" xr3:uid="{4D1E9266-76FF-4251-BCC8-62A2B39D8D50}" uniqueName="117" name="A5 - Capaciteit over materieel [Eenheden / uur]" queryTableFieldId="690"/>
    <tableColumn id="123" xr3:uid="{53733BC9-CCB4-46B3-BD6E-395C47A41D0C}" uniqueName="123" name="Amount[ton]" queryTableFieldId="144"/>
    <tableColumn id="124" xr3:uid="{E0395487-C8A7-4B66-922A-A5601174E1AE}" uniqueName="124" name="Replacements" queryTableFieldId="145"/>
    <tableColumn id="121" xr3:uid="{0F315388-5C3F-453D-9F78-8257EF060835}" uniqueName="121" name="C1 - Capaciteit overig materieel [Eenheden / uur]" queryTableFieldId="691"/>
    <tableColumn id="9" xr3:uid="{1FB1023C-7FA4-4339-A42A-2401A3C01A3D}" uniqueName="9" name="A4_transport_distance_to_construction_site[km]" queryTableFieldId="554"/>
    <tableColumn id="10" xr3:uid="{BA2B3281-3D18-4B3F-A636-A54627DED00C}" uniqueName="10" name="A4_transportmode_to_construction_site" queryTableFieldId="555"/>
    <tableColumn id="11" xr3:uid="{857EAA7F-4C95-469C-AFE6-22E75B3F007D}" uniqueName="11" name="A5_asphalt_construction_set" queryTableFieldId="556"/>
    <tableColumn id="12" xr3:uid="{ECBD4072-4960-4825-8001-4245290D192F}" uniqueName="12" name="A5_other_construction_equipment" queryTableFieldId="557"/>
    <tableColumn id="13" xr3:uid="{E1642C50-EA89-4C1E-92F6-CF116C356E4F}" uniqueName="13" name="C1_asphalt_removal_set" queryTableFieldId="558"/>
    <tableColumn id="14" xr3:uid="{D1940660-4DD3-4262-889B-69F7789012E9}" uniqueName="14" name="C1_other_removal_equipment" queryTableFieldId="559"/>
    <tableColumn id="15" xr3:uid="{9B813FC0-A950-4D08-B4F5-13316B790CC9}" uniqueName="15" name="C2_transportdistance_to_processor[km]" queryTableFieldId="560"/>
    <tableColumn id="16" xr3:uid="{8B87A32E-3B83-4AFF-826B-F62AA9A66EF0}" uniqueName="16" name="C2_transportmode_to_processor" queryTableFieldId="561"/>
    <tableColumn id="17" xr3:uid="{8B485036-9FE7-4AA4-8A9C-96925DA8B847}" uniqueName="17" name="C3_processingset" queryTableFieldId="562"/>
    <tableColumn id="134" xr3:uid="{BC1FC5D8-A48A-4BBD-9EF9-4C4A932AC88A}" uniqueName="134" name="Assumptions" queryTableFieldId="169"/>
    <tableColumn id="19" xr3:uid="{2FBD6AA1-078C-410B-A3AC-CC129D5A3EF4}" uniqueName="19" name="ECI_total.A1" queryTableFieldId="564"/>
    <tableColumn id="20" xr3:uid="{9AB676FF-758F-4021-AEA8-C9169BFF785D}" uniqueName="20" name="ECI_total.A2" queryTableFieldId="565"/>
    <tableColumn id="21" xr3:uid="{2C834DD1-D276-4095-AF3D-9D85AAF35895}" uniqueName="21" name="ECI_total.A3" queryTableFieldId="566"/>
    <tableColumn id="125" xr3:uid="{771C4527-2422-4947-8486-9A177D76E08A}" uniqueName="125" name="ECI_total.A1-A3" queryTableFieldId="694"/>
    <tableColumn id="22" xr3:uid="{B3512E67-33D8-4FD6-83FC-E3A3FB0550D2}" uniqueName="22" name="ECI_total.A4" queryTableFieldId="567"/>
    <tableColumn id="23" xr3:uid="{69725D91-F983-4A61-9DC3-4D72D7475962}" uniqueName="23" name="ECI_total.A5" queryTableFieldId="568"/>
    <tableColumn id="24" xr3:uid="{390B44B2-BBFC-4AAC-8C42-90149C409BB2}" uniqueName="24" name="ECI_total.B1" queryTableFieldId="569"/>
    <tableColumn id="25" xr3:uid="{E74DB647-06C6-439D-A836-8A970B33914D}" uniqueName="25" name="ECI_total.B4" queryTableFieldId="570"/>
    <tableColumn id="26" xr3:uid="{E155031A-9D18-47FE-ABEF-792BEC914299}" uniqueName="26" name="ECI_total.C1" queryTableFieldId="571"/>
    <tableColumn id="27" xr3:uid="{D1C7AF3E-CA22-4240-A5F1-F1B6E10D8006}" uniqueName="27" name="ECI_total.C2" queryTableFieldId="572"/>
    <tableColumn id="28" xr3:uid="{C47A7013-886E-47DB-B26F-614156254CDC}" uniqueName="28" name="ECI_total.C3" queryTableFieldId="573"/>
    <tableColumn id="29" xr3:uid="{129B790C-F622-45DB-A796-917A51744D79}" uniqueName="29" name="ECI_total.C4" queryTableFieldId="574"/>
    <tableColumn id="30" xr3:uid="{B847CE79-61F9-44BC-83D1-618FBB6F7253}" uniqueName="30" name="ECI_total.D1" queryTableFieldId="575"/>
    <tableColumn id="31" xr3:uid="{A846DFB8-3B88-45D1-80A3-43FB09081CE2}" uniqueName="31" name="ECI_total.D2" queryTableFieldId="576"/>
    <tableColumn id="126" xr3:uid="{AE8A2C29-5275-4151-8B74-F26C3AD66382}" uniqueName="126" name="ECI_total.D" queryTableFieldId="695"/>
    <tableColumn id="32" xr3:uid="{1B45F5EB-75E7-4AF7-9E98-830401BB93F3}" uniqueName="32" name="ECI_total.total" queryTableFieldId="577"/>
    <tableColumn id="33" xr3:uid="{C994A8EC-10D7-41A5-92B0-C79BDAAFDC59}" uniqueName="33" name="CO2_total.A1" queryTableFieldId="578"/>
    <tableColumn id="34" xr3:uid="{2775E6E3-5430-40C6-A05B-32AF13A210AD}" uniqueName="34" name="CO2_total.A2" queryTableFieldId="579"/>
    <tableColumn id="35" xr3:uid="{71271B40-ECD9-475E-8A90-4AE05F04B758}" uniqueName="35" name="CO2_total.A3" queryTableFieldId="580"/>
    <tableColumn id="127" xr3:uid="{3E32E99C-EE2A-4B89-8091-016AA355EB01}" uniqueName="127" name="CO2_total.A1-A3" queryTableFieldId="696"/>
    <tableColumn id="36" xr3:uid="{C62F7E40-2D1B-4271-82BA-628166CDE456}" uniqueName="36" name="CO2_total.A4" queryTableFieldId="581"/>
    <tableColumn id="37" xr3:uid="{3E29FBDF-C4CD-4A1E-A11E-BE7877A6E35F}" uniqueName="37" name="CO2_total.A5" queryTableFieldId="582"/>
    <tableColumn id="38" xr3:uid="{BCAF48FE-BEB3-44B9-BB50-01DD212A2D45}" uniqueName="38" name="CO2_total.B1" queryTableFieldId="583"/>
    <tableColumn id="39" xr3:uid="{BEA1ABC8-A7FD-4650-A9F9-3E6757BA5794}" uniqueName="39" name="CO2_total.B4" queryTableFieldId="584"/>
    <tableColumn id="40" xr3:uid="{CE16EDB4-81E4-4842-B80B-3B985F9E2AF0}" uniqueName="40" name="CO2_total.C1" queryTableFieldId="585"/>
    <tableColumn id="41" xr3:uid="{84460961-A105-4286-8BDC-65F94FEA646A}" uniqueName="41" name="CO2_total.C2" queryTableFieldId="586"/>
    <tableColumn id="42" xr3:uid="{851D0E3F-1E13-4CD7-9B62-A992492F13B0}" uniqueName="42" name="CO2_total.C3" queryTableFieldId="587"/>
    <tableColumn id="43" xr3:uid="{9A8D6A5B-5D75-4666-937F-91BB88E851FA}" uniqueName="43" name="CO2_total.C4" queryTableFieldId="588"/>
    <tableColumn id="44" xr3:uid="{AAC3C669-5FCD-4EDE-84FF-C5047AF2BA74}" uniqueName="44" name="CO2_total.D1" queryTableFieldId="589"/>
    <tableColumn id="45" xr3:uid="{4C71A880-8432-45B6-A712-1BFBE89088B6}" uniqueName="45" name="CO2_total.D2" queryTableFieldId="590"/>
    <tableColumn id="128" xr3:uid="{636BC2B1-04DB-4009-A974-65C54427A1A9}" uniqueName="128" name="CO2_total.D" queryTableFieldId="697"/>
    <tableColumn id="46" xr3:uid="{EB8E893B-160A-468F-9EDF-5B55763A9A09}" uniqueName="46" name="CO2_total.total" queryTableFieldId="591"/>
    <tableColumn id="47" xr3:uid="{E1646846-862C-4134-AE8D-B9567021538A}" uniqueName="47" name="Material_total.amount[ton]" queryTableFieldId="592"/>
    <tableColumn id="48" xr3:uid="{E0856B98-8680-4454-B1C3-BF82764707B9}" uniqueName="48" name="Material_total.%secundary" queryTableFieldId="593"/>
    <tableColumn id="49" xr3:uid="{9434EE6E-3655-4A9A-ADE1-5AEDF306938C}" uniqueName="49" name="Material_total.primary[ton]" queryTableFieldId="594"/>
    <tableColumn id="50" xr3:uid="{8EE4E207-309C-4A0D-8491-40F49CC6C603}" uniqueName="50" name="Material_total.secundary[ton]" queryTableFieldId="595"/>
    <tableColumn id="51" xr3:uid="{D356B88D-5967-480C-91B5-72CE0C1B412E}" uniqueName="51" name="Material_total.amount_replacements[ton]" queryTableFieldId="596"/>
    <tableColumn id="52" xr3:uid="{AF388514-C03E-40EB-BFBC-35BB0B87908B}" uniqueName="52" name="Material_total.primary_replacements[ton]" queryTableFieldId="597"/>
    <tableColumn id="53" xr3:uid="{BB2904FB-ABCA-4502-8484-EF2CE6865A0B}" uniqueName="53" name="Material_total.secundary_replacements[ton]" queryTableFieldId="598"/>
    <tableColumn id="54" xr3:uid="{4D8A71CA-342C-47D2-9798-FC931E4F66F1}" uniqueName="54" name="Material_total.total_primary[ton]" queryTableFieldId="599"/>
    <tableColumn id="55" xr3:uid="{C703FE52-2DEE-42B4-B8ED-1C171FEC1642}" uniqueName="55" name="Material_total.total_secundary[ton]" queryTableFieldId="600"/>
    <tableColumn id="56" xr3:uid="{3693A097-1040-4BFD-962E-F8525B72F12E}" uniqueName="56" name="Material_total.total[ton]" queryTableFieldId="601"/>
    <tableColumn id="57" xr3:uid="{DE5C768D-3E7B-4DA4-8D6E-E9C6A05A58E6}" uniqueName="57" name="Renewable_energy_total.A1" queryTableFieldId="602"/>
    <tableColumn id="58" xr3:uid="{6DCEC240-702E-41AF-AA60-8DACF0788547}" uniqueName="58" name="Renewable_energy_total.A2" queryTableFieldId="603"/>
    <tableColumn id="59" xr3:uid="{FE2C74BB-2FDE-4C15-BAF5-37ECC3226B3D}" uniqueName="59" name="Renewable_energy_total.A3" queryTableFieldId="604"/>
    <tableColumn id="129" xr3:uid="{9CE1A845-F67D-422E-9CDE-9E180E2FA7BB}" uniqueName="129" name="Renewable_energy_total.A1-A3" queryTableFieldId="698"/>
    <tableColumn id="60" xr3:uid="{4890B17D-FE9E-4C85-B146-F61DC1C1E993}" uniqueName="60" name="Renewable_energy_total.A4" queryTableFieldId="605"/>
    <tableColumn id="61" xr3:uid="{3632A161-DA91-4F13-99B0-FE06C22BD6E9}" uniqueName="61" name="Renewable_energy_total.A5" queryTableFieldId="606"/>
    <tableColumn id="62" xr3:uid="{9F372273-4190-4D1B-80B2-3D73D4105780}" uniqueName="62" name="Renewable_energy_total.B1" queryTableFieldId="607"/>
    <tableColumn id="63" xr3:uid="{B7439745-F08F-4BB8-8119-E5656C9F21B4}" uniqueName="63" name="Renewable_energy_total.B4" queryTableFieldId="608"/>
    <tableColumn id="64" xr3:uid="{2DC283C4-DAB5-45B5-87A4-F4285FEF974A}" uniqueName="64" name="Renewable_energy_total.C1" queryTableFieldId="609"/>
    <tableColumn id="65" xr3:uid="{1C881247-1F54-444F-9EAB-65B21540C4D0}" uniqueName="65" name="Renewable_energy_total.C2" queryTableFieldId="610"/>
    <tableColumn id="66" xr3:uid="{9A9A7334-90B3-4D15-BBFE-114F12A0A54A}" uniqueName="66" name="Renewable_energy_total.C3" queryTableFieldId="611"/>
    <tableColumn id="67" xr3:uid="{BB4D09FC-8BC9-494D-9913-05ACC7A19270}" uniqueName="67" name="Renewable_energy_total.C4" queryTableFieldId="612"/>
    <tableColumn id="68" xr3:uid="{EFEA48AF-9613-44F9-9354-69F2478B64E7}" uniqueName="68" name="Renewable_energy_total.D1" queryTableFieldId="613"/>
    <tableColumn id="69" xr3:uid="{D68FE50F-B8CF-463C-9809-153D2D15FAA2}" uniqueName="69" name="Renewable_energy_total.D2" queryTableFieldId="614"/>
    <tableColumn id="130" xr3:uid="{5B964134-8950-481F-AE11-8E9EABCC42EB}" uniqueName="130" name="Renewable_energy_total.D" queryTableFieldId="699"/>
    <tableColumn id="70" xr3:uid="{C8BC3A34-BF03-4CB4-8665-8A1BF40D3515}" uniqueName="70" name="Renewable_energy_total.total" queryTableFieldId="615"/>
    <tableColumn id="71" xr3:uid="{1F6E40A2-31AF-4475-AC7F-9561F3DED1EC}" uniqueName="71" name="Fossil_energy_total.A1" queryTableFieldId="616"/>
    <tableColumn id="72" xr3:uid="{3547F07F-EAA8-4052-BFC2-710CDBE86BBE}" uniqueName="72" name="Fossil_energy_total.A2" queryTableFieldId="617"/>
    <tableColumn id="73" xr3:uid="{A66F2528-EE38-4213-907D-08E0A5A0478A}" uniqueName="73" name="Fossil_energy_total.A3" queryTableFieldId="618"/>
    <tableColumn id="131" xr3:uid="{F1F0F2E9-AA92-4A8A-97B6-63D37C06D6B3}" uniqueName="131" name="Fossil_energy_total.A1-A3" queryTableFieldId="700"/>
    <tableColumn id="74" xr3:uid="{D3980D4F-51B7-475B-8F33-EA721C8AF22C}" uniqueName="74" name="Fossil_energy_total.A4" queryTableFieldId="619"/>
    <tableColumn id="75" xr3:uid="{767EF406-1997-48C3-A01F-59FBC457E844}" uniqueName="75" name="Fossil_energy_total.A5" queryTableFieldId="620"/>
    <tableColumn id="76" xr3:uid="{1ADA906F-4BD1-4597-8F9B-4B252967991E}" uniqueName="76" name="Fossil_energy_total.B1" queryTableFieldId="621"/>
    <tableColumn id="77" xr3:uid="{3DEBDE0F-441C-45F4-BBD1-801CF3EDD257}" uniqueName="77" name="Fossil_energy_total.B4" queryTableFieldId="622"/>
    <tableColumn id="78" xr3:uid="{8BEA220B-5F24-42C0-963F-2D4F3DB2159F}" uniqueName="78" name="Fossil_energy_total.C1" queryTableFieldId="623"/>
    <tableColumn id="79" xr3:uid="{19F1591F-5F36-4AEC-9BFE-D23F4A35464F}" uniqueName="79" name="Fossil_energy_total.C2" queryTableFieldId="624"/>
    <tableColumn id="80" xr3:uid="{45D890DF-D0CE-43D7-AC96-1554D79F8D19}" uniqueName="80" name="Fossil_energy_total.C3" queryTableFieldId="625"/>
    <tableColumn id="81" xr3:uid="{360DF8AA-E134-4BBE-9049-3DB2B203EBDB}" uniqueName="81" name="Fossil_energy_total.C4" queryTableFieldId="626"/>
    <tableColumn id="82" xr3:uid="{00B9F3E9-9713-4E58-9043-99E04696AE17}" uniqueName="82" name="Fossil_energy_total.D1" queryTableFieldId="627"/>
    <tableColumn id="83" xr3:uid="{86F74E11-21B9-411A-99F9-449ED854B964}" uniqueName="83" name="Fossil_energy_total.D2" queryTableFieldId="628"/>
    <tableColumn id="132" xr3:uid="{947B324C-591A-49FE-B79A-EA397C265478}" uniqueName="132" name="Fossil_energy_total.D" queryTableFieldId="710"/>
    <tableColumn id="84" xr3:uid="{1F0E976E-1CA9-4C45-905E-2710F4C8AD7E}" uniqueName="84" name="Fossil_energy_total.total" queryTableFieldId="629"/>
    <tableColumn id="85" xr3:uid="{5D29BAA4-36FD-4830-98AF-37BC8FBD164A}" uniqueName="85" name="Transport_total.transport_to_construction_site[tkm]" totalsRowFunction="custom" queryTableFieldId="630">
      <totalsRowFormula>SUM(Referentie_Export[Transport_total.transport_to_construction_site'[tkm']])</totalsRowFormula>
    </tableColumn>
    <tableColumn id="86" xr3:uid="{FAF2FD18-3185-4F01-A6D9-A5717571CA5F}" uniqueName="86" name="Transport_total.transport_to_processor[tkm]" queryTableFieldId="631"/>
    <tableColumn id="87" xr3:uid="{CAB9D63E-B82E-4332-B0E7-8D78CBDD6B6C}" uniqueName="87" name="Transport_total.emission_free_transport_to_construction_site" queryTableFieldId="632"/>
    <tableColumn id="88" xr3:uid="{5A0D618C-CD5B-4C2E-96CA-67467920C6A8}" uniqueName="88" name="Transport_total.emission_free_transport_to_processor" queryTableFieldId="633"/>
    <tableColumn id="89" xr3:uid="{DB7C65DC-1634-48B3-AE94-2D076B5754E1}" uniqueName="89" name="Transport_total.emission_free_transport" queryTableFieldId="634"/>
    <tableColumn id="90" xr3:uid="{AA0746DA-3A4E-45B7-8315-472E90C9D6A8}" uniqueName="90" name="Transport_total.transport_to_construction_site_replacements[tkm]" queryTableFieldId="635"/>
    <tableColumn id="91" xr3:uid="{3169C84F-0851-49A2-A738-B53AA55BA211}" uniqueName="91" name="Transport_total.transport_to_processor_replacements[tkm]" queryTableFieldId="636"/>
    <tableColumn id="92" xr3:uid="{3150004B-0673-497D-A7D5-1F15504AA2FE}" uniqueName="92" name="Transport_total.emission_free_transport_replacements[tkm]" queryTableFieldId="637"/>
    <tableColumn id="93" xr3:uid="{04423160-05B5-488C-8CEC-F41F047E5205}" uniqueName="93" name="Transport_total.total_emission_free_transport" queryTableFieldId="638"/>
    <tableColumn id="94" xr3:uid="{0D4C7911-D7A6-4AB3-BA6B-79996B49AAAD}" uniqueName="94" name="Transport_total.total_non_emission_free_transport" queryTableFieldId="639"/>
    <tableColumn id="95" xr3:uid="{D0611647-43C8-4CA1-810B-73AC6A596196}" uniqueName="95" name="Transport_total.total_transport" queryTableFieldId="640"/>
    <tableColumn id="96" xr3:uid="{E14138F9-FAE9-4DDF-B964-DE5E4C7D94B2}" uniqueName="96" name="Construction_site_total.operation_hour_construction" queryTableFieldId="641" dataDxfId="4" totalsRowDxfId="5"/>
    <tableColumn id="97" xr3:uid="{A22A78D8-41F5-412A-AB1E-395D2DC40DF6}" uniqueName="97" name="Construction_site_total.operation_hour_removal" queryTableFieldId="642" dataDxfId="2" totalsRowDxfId="3"/>
    <tableColumn id="98" xr3:uid="{97AFD1C7-F69E-4446-BE67-986E8BCC9B2B}" uniqueName="98" name="Construction_site_total.emission_free_construction" queryTableFieldId="643"/>
    <tableColumn id="99" xr3:uid="{542A69C0-7F36-4882-873C-A9B24692E692}" uniqueName="99" name="Construction_site_total.emission_free_removal" queryTableFieldId="644"/>
    <tableColumn id="108" xr3:uid="{20BF6A7A-A097-4114-BF79-C07B29199D16}" uniqueName="108" name="Construction_site_total.emission_free_construction_site" queryTableFieldId="666" dataDxfId="0" totalsRowDxfId="1"/>
    <tableColumn id="104" xr3:uid="{FAEB4213-88ED-4CBD-B95A-60AE5D326D32}" uniqueName="104" name="Construction_site_total.emission_free_construction_site_replacement" queryTableFieldId="648"/>
    <tableColumn id="105" xr3:uid="{D4D5C571-D52A-4B70-80E2-4E707A08BD54}" uniqueName="105" name="Construction_site_total.total_emission_free_construction_site" queryTableFieldId="649"/>
    <tableColumn id="106" xr3:uid="{C4915B17-A132-46E8-BF4D-41FFD197102A}" uniqueName="106" name="Construction_site_total.total_non_emission_free_construction_site" queryTableFieldId="650"/>
    <tableColumn id="107" xr3:uid="{8057E906-B114-4804-B693-0C340C63759A}" uniqueName="107" name="Construction_site_total.total_construction_site" queryTableFieldId="651"/>
    <tableColumn id="18" xr3:uid="{E9777EB2-8261-49DE-896A-DEA88FF7DECF}" uniqueName="18" name="ECI_unit_A1-A3" queryTableFieldId="712"/>
    <tableColumn id="100" xr3:uid="{7C791A63-8E65-420A-8354-5FCEC7986D4E}" uniqueName="100" name="CO2_unit_A1-A3" queryTableFieldId="713"/>
  </tableColumns>
  <tableStyleInfo name="TableStyleMedium7"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microsoft.com/office/2007/relationships/slicer" Target="../slicers/slicer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1.xml"/><Relationship Id="rId5" Type="http://schemas.openxmlformats.org/officeDocument/2006/relationships/image" Target="../media/image1.emf"/><Relationship Id="rId4" Type="http://schemas.openxmlformats.org/officeDocument/2006/relationships/control" Target="../activeX/activeX1.xml"/></Relationships>
</file>

<file path=xl/worksheets/_rels/sheet2.xml.rels><?xml version="1.0" encoding="UTF-8" standalone="yes"?>
<Relationships xmlns="http://schemas.openxmlformats.org/package/2006/relationships"><Relationship Id="rId8" Type="http://schemas.openxmlformats.org/officeDocument/2006/relationships/table" Target="../tables/table4.xml"/><Relationship Id="rId3" Type="http://schemas.openxmlformats.org/officeDocument/2006/relationships/pivotTable" Target="../pivotTables/pivotTable3.xml"/><Relationship Id="rId7" Type="http://schemas.openxmlformats.org/officeDocument/2006/relationships/table" Target="../tables/table3.xml"/><Relationship Id="rId12" Type="http://schemas.openxmlformats.org/officeDocument/2006/relationships/table" Target="../tables/table8.xml"/><Relationship Id="rId2" Type="http://schemas.openxmlformats.org/officeDocument/2006/relationships/pivotTable" Target="../pivotTables/pivotTable2.xml"/><Relationship Id="rId1" Type="http://schemas.openxmlformats.org/officeDocument/2006/relationships/pivotTable" Target="../pivotTables/pivotTable1.xml"/><Relationship Id="rId6" Type="http://schemas.openxmlformats.org/officeDocument/2006/relationships/table" Target="../tables/table2.xml"/><Relationship Id="rId11" Type="http://schemas.openxmlformats.org/officeDocument/2006/relationships/table" Target="../tables/table7.xml"/><Relationship Id="rId5" Type="http://schemas.openxmlformats.org/officeDocument/2006/relationships/pivotTable" Target="../pivotTables/pivotTable5.xml"/><Relationship Id="rId10" Type="http://schemas.openxmlformats.org/officeDocument/2006/relationships/table" Target="../tables/table6.xml"/><Relationship Id="rId4" Type="http://schemas.openxmlformats.org/officeDocument/2006/relationships/pivotTable" Target="../pivotTables/pivotTable4.xml"/><Relationship Id="rId9" Type="http://schemas.openxmlformats.org/officeDocument/2006/relationships/table" Target="../tables/table5.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8" Type="http://schemas.microsoft.com/office/2007/relationships/slicer" Target="../slicers/slicer2.xml"/><Relationship Id="rId3" Type="http://schemas.openxmlformats.org/officeDocument/2006/relationships/vmlDrawing" Target="../drawings/vmlDrawing2.vml"/><Relationship Id="rId7" Type="http://schemas.openxmlformats.org/officeDocument/2006/relationships/table" Target="../tables/table10.x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table" Target="../tables/table9.xml"/><Relationship Id="rId5" Type="http://schemas.openxmlformats.org/officeDocument/2006/relationships/image" Target="../media/image16.emf"/><Relationship Id="rId4" Type="http://schemas.openxmlformats.org/officeDocument/2006/relationships/control" Target="../activeX/activeX2.xml"/></Relationships>
</file>

<file path=xl/worksheets/_rels/sheet5.xml.rels><?xml version="1.0" encoding="UTF-8" standalone="yes"?>
<Relationships xmlns="http://schemas.openxmlformats.org/package/2006/relationships"><Relationship Id="rId8" Type="http://schemas.openxmlformats.org/officeDocument/2006/relationships/table" Target="../tables/table17.xml"/><Relationship Id="rId3" Type="http://schemas.openxmlformats.org/officeDocument/2006/relationships/table" Target="../tables/table12.xml"/><Relationship Id="rId7" Type="http://schemas.openxmlformats.org/officeDocument/2006/relationships/table" Target="../tables/table16.xml"/><Relationship Id="rId2" Type="http://schemas.openxmlformats.org/officeDocument/2006/relationships/table" Target="../tables/table11.xml"/><Relationship Id="rId1" Type="http://schemas.openxmlformats.org/officeDocument/2006/relationships/printerSettings" Target="../printerSettings/printerSettings4.bin"/><Relationship Id="rId6" Type="http://schemas.openxmlformats.org/officeDocument/2006/relationships/table" Target="../tables/table15.xml"/><Relationship Id="rId5" Type="http://schemas.openxmlformats.org/officeDocument/2006/relationships/table" Target="../tables/table14.xml"/><Relationship Id="rId4" Type="http://schemas.openxmlformats.org/officeDocument/2006/relationships/table" Target="../tables/table13.xml"/></Relationships>
</file>

<file path=xl/worksheets/_rels/sheet6.xml.rels><?xml version="1.0" encoding="UTF-8" standalone="yes"?>
<Relationships xmlns="http://schemas.openxmlformats.org/package/2006/relationships"><Relationship Id="rId3" Type="http://schemas.openxmlformats.org/officeDocument/2006/relationships/table" Target="../tables/table18.xml"/><Relationship Id="rId2" Type="http://schemas.openxmlformats.org/officeDocument/2006/relationships/drawing" Target="../drawings/drawing4.xml"/><Relationship Id="rId1" Type="http://schemas.openxmlformats.org/officeDocument/2006/relationships/printerSettings" Target="../printerSettings/printerSettings5.bin"/><Relationship Id="rId5" Type="http://schemas.microsoft.com/office/2007/relationships/slicer" Target="../slicers/slicer3.xml"/><Relationship Id="rId4" Type="http://schemas.openxmlformats.org/officeDocument/2006/relationships/table" Target="../tables/table19.xml"/></Relationships>
</file>

<file path=xl/worksheets/_rels/sheet7.xml.rels><?xml version="1.0" encoding="UTF-8" standalone="yes"?>
<Relationships xmlns="http://schemas.openxmlformats.org/package/2006/relationships"><Relationship Id="rId3" Type="http://schemas.openxmlformats.org/officeDocument/2006/relationships/table" Target="../tables/table22.xml"/><Relationship Id="rId7" Type="http://schemas.openxmlformats.org/officeDocument/2006/relationships/table" Target="../tables/table26.xml"/><Relationship Id="rId2" Type="http://schemas.openxmlformats.org/officeDocument/2006/relationships/table" Target="../tables/table21.xml"/><Relationship Id="rId1" Type="http://schemas.openxmlformats.org/officeDocument/2006/relationships/table" Target="../tables/table20.xml"/><Relationship Id="rId6" Type="http://schemas.openxmlformats.org/officeDocument/2006/relationships/table" Target="../tables/table25.xml"/><Relationship Id="rId5" Type="http://schemas.openxmlformats.org/officeDocument/2006/relationships/table" Target="../tables/table24.xml"/><Relationship Id="rId4" Type="http://schemas.openxmlformats.org/officeDocument/2006/relationships/table" Target="../tables/table23.xml"/></Relationships>
</file>

<file path=xl/worksheets/_rels/sheet8.xml.rels><?xml version="1.0" encoding="UTF-8" standalone="yes"?>
<Relationships xmlns="http://schemas.openxmlformats.org/package/2006/relationships"><Relationship Id="rId1" Type="http://schemas.openxmlformats.org/officeDocument/2006/relationships/table" Target="../tables/table27.xml"/></Relationships>
</file>

<file path=xl/worksheets/_rels/sheet9.xml.rels><?xml version="1.0" encoding="UTF-8" standalone="yes"?>
<Relationships xmlns="http://schemas.openxmlformats.org/package/2006/relationships"><Relationship Id="rId3" Type="http://schemas.openxmlformats.org/officeDocument/2006/relationships/table" Target="../tables/table28.xml"/><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8" Type="http://schemas.openxmlformats.org/officeDocument/2006/relationships/table" Target="../tables/table35.xml"/><Relationship Id="rId3" Type="http://schemas.openxmlformats.org/officeDocument/2006/relationships/table" Target="../tables/table30.xml"/><Relationship Id="rId7" Type="http://schemas.openxmlformats.org/officeDocument/2006/relationships/table" Target="../tables/table34.xml"/><Relationship Id="rId2" Type="http://schemas.openxmlformats.org/officeDocument/2006/relationships/table" Target="../tables/table29.xml"/><Relationship Id="rId1" Type="http://schemas.openxmlformats.org/officeDocument/2006/relationships/printerSettings" Target="../printerSettings/printerSettings7.bin"/><Relationship Id="rId6" Type="http://schemas.openxmlformats.org/officeDocument/2006/relationships/table" Target="../tables/table33.xml"/><Relationship Id="rId5" Type="http://schemas.openxmlformats.org/officeDocument/2006/relationships/table" Target="../tables/table32.xml"/><Relationship Id="rId4" Type="http://schemas.openxmlformats.org/officeDocument/2006/relationships/table" Target="../tables/table31.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8" Type="http://schemas.openxmlformats.org/officeDocument/2006/relationships/table" Target="../tables/table43.xml"/><Relationship Id="rId13" Type="http://schemas.openxmlformats.org/officeDocument/2006/relationships/table" Target="../tables/table48.xml"/><Relationship Id="rId18" Type="http://schemas.openxmlformats.org/officeDocument/2006/relationships/table" Target="../tables/table53.xml"/><Relationship Id="rId3" Type="http://schemas.openxmlformats.org/officeDocument/2006/relationships/table" Target="../tables/table38.xml"/><Relationship Id="rId21" Type="http://schemas.openxmlformats.org/officeDocument/2006/relationships/table" Target="../tables/table56.xml"/><Relationship Id="rId7" Type="http://schemas.openxmlformats.org/officeDocument/2006/relationships/table" Target="../tables/table42.xml"/><Relationship Id="rId12" Type="http://schemas.openxmlformats.org/officeDocument/2006/relationships/table" Target="../tables/table47.xml"/><Relationship Id="rId17" Type="http://schemas.openxmlformats.org/officeDocument/2006/relationships/table" Target="../tables/table52.xml"/><Relationship Id="rId2" Type="http://schemas.openxmlformats.org/officeDocument/2006/relationships/table" Target="../tables/table37.xml"/><Relationship Id="rId16" Type="http://schemas.openxmlformats.org/officeDocument/2006/relationships/table" Target="../tables/table51.xml"/><Relationship Id="rId20" Type="http://schemas.openxmlformats.org/officeDocument/2006/relationships/table" Target="../tables/table55.xml"/><Relationship Id="rId1" Type="http://schemas.openxmlformats.org/officeDocument/2006/relationships/table" Target="../tables/table36.xml"/><Relationship Id="rId6" Type="http://schemas.openxmlformats.org/officeDocument/2006/relationships/table" Target="../tables/table41.xml"/><Relationship Id="rId11" Type="http://schemas.openxmlformats.org/officeDocument/2006/relationships/table" Target="../tables/table46.xml"/><Relationship Id="rId5" Type="http://schemas.openxmlformats.org/officeDocument/2006/relationships/table" Target="../tables/table40.xml"/><Relationship Id="rId15" Type="http://schemas.openxmlformats.org/officeDocument/2006/relationships/table" Target="../tables/table50.xml"/><Relationship Id="rId23" Type="http://schemas.openxmlformats.org/officeDocument/2006/relationships/table" Target="../tables/table58.xml"/><Relationship Id="rId10" Type="http://schemas.openxmlformats.org/officeDocument/2006/relationships/table" Target="../tables/table45.xml"/><Relationship Id="rId19" Type="http://schemas.openxmlformats.org/officeDocument/2006/relationships/table" Target="../tables/table54.xml"/><Relationship Id="rId4" Type="http://schemas.openxmlformats.org/officeDocument/2006/relationships/table" Target="../tables/table39.xml"/><Relationship Id="rId9" Type="http://schemas.openxmlformats.org/officeDocument/2006/relationships/table" Target="../tables/table44.xml"/><Relationship Id="rId14" Type="http://schemas.openxmlformats.org/officeDocument/2006/relationships/table" Target="../tables/table49.xml"/><Relationship Id="rId22" Type="http://schemas.openxmlformats.org/officeDocument/2006/relationships/table" Target="../tables/table57.xml"/></Relationships>
</file>

<file path=xl/worksheets/_rels/sheet14.xml.rels><?xml version="1.0" encoding="UTF-8" standalone="yes"?>
<Relationships xmlns="http://schemas.openxmlformats.org/package/2006/relationships"><Relationship Id="rId2" Type="http://schemas.openxmlformats.org/officeDocument/2006/relationships/table" Target="../tables/table59.xml"/><Relationship Id="rId1" Type="http://schemas.openxmlformats.org/officeDocument/2006/relationships/printerSettings" Target="../printerSettings/printerSettings10.bin"/></Relationships>
</file>

<file path=xl/worksheets/_rels/sheet15.xml.rels><?xml version="1.0" encoding="UTF-8" standalone="yes"?>
<Relationships xmlns="http://schemas.openxmlformats.org/package/2006/relationships"><Relationship Id="rId1" Type="http://schemas.openxmlformats.org/officeDocument/2006/relationships/table" Target="../tables/table6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E1D57B-D25E-4795-9736-CDBCB83DA9F3}">
  <sheetPr codeName="Blad2"/>
  <dimension ref="A1:AS309"/>
  <sheetViews>
    <sheetView topLeftCell="A4" zoomScale="85" zoomScaleNormal="85" workbookViewId="0">
      <selection activeCell="C2" sqref="C2"/>
    </sheetView>
  </sheetViews>
  <sheetFormatPr defaultColWidth="9.140625" defaultRowHeight="15"/>
  <cols>
    <col min="1" max="1" width="20.28515625" style="13" customWidth="1"/>
    <col min="2" max="2" width="21.7109375" style="13" bestFit="1" customWidth="1"/>
    <col min="3" max="3" width="19.28515625" style="13" customWidth="1"/>
    <col min="4" max="4" width="19.5703125" style="13" hidden="1" customWidth="1"/>
    <col min="5" max="5" width="21.5703125" style="13" customWidth="1"/>
    <col min="6" max="6" width="22.5703125" style="13" customWidth="1"/>
    <col min="7" max="7" width="29.7109375" style="13" bestFit="1" customWidth="1"/>
    <col min="8" max="8" width="9.28515625" style="13" customWidth="1"/>
    <col min="9" max="9" width="21.28515625" style="13" bestFit="1" customWidth="1"/>
    <col min="10" max="10" width="9.5703125" style="13" bestFit="1" customWidth="1"/>
    <col min="11" max="11" width="6.85546875" style="13" customWidth="1"/>
    <col min="12" max="12" width="7.140625" style="13" hidden="1" customWidth="1"/>
    <col min="13" max="13" width="6.5703125" style="13" hidden="1" customWidth="1"/>
    <col min="14" max="14" width="7.140625" style="13" bestFit="1" customWidth="1"/>
    <col min="15" max="15" width="7.5703125" style="13" bestFit="1" customWidth="1"/>
    <col min="16" max="16" width="8.140625" style="13" customWidth="1"/>
    <col min="17" max="17" width="7.140625" style="13" hidden="1" customWidth="1"/>
    <col min="18" max="18" width="7.5703125" style="13" hidden="1" customWidth="1"/>
    <col min="19" max="19" width="7.5703125" style="13" customWidth="1"/>
    <col min="20" max="20" width="11.85546875" style="13" hidden="1" customWidth="1"/>
    <col min="21" max="21" width="11.140625" style="13" hidden="1" customWidth="1"/>
    <col min="22" max="22" width="20.28515625" hidden="1" customWidth="1"/>
    <col min="23" max="23" width="40" style="13" hidden="1" customWidth="1"/>
    <col min="24" max="24" width="11.85546875" style="13" hidden="1" customWidth="1"/>
    <col min="25" max="25" width="16.140625" style="13" hidden="1" customWidth="1"/>
    <col min="26" max="26" width="11.85546875" style="13" hidden="1" customWidth="1"/>
    <col min="27" max="27" width="16.140625" style="13" hidden="1" customWidth="1"/>
    <col min="28" max="28" width="20.28515625" style="13" hidden="1" customWidth="1"/>
    <col min="29" max="29" width="16.140625" style="13" hidden="1" customWidth="1"/>
    <col min="30" max="33" width="7.85546875" style="13" hidden="1" customWidth="1"/>
    <col min="34" max="34" width="16.7109375" style="13" hidden="1" customWidth="1"/>
    <col min="35" max="35" width="9.140625" style="13" hidden="1" customWidth="1"/>
    <col min="36" max="36" width="16" style="13" customWidth="1"/>
    <col min="37" max="37" width="27" style="13" customWidth="1"/>
    <col min="38" max="38" width="13.42578125" style="13" customWidth="1"/>
    <col min="39" max="43" width="9.140625" style="13"/>
    <col min="44" max="44" width="14.28515625" style="13" bestFit="1" customWidth="1"/>
    <col min="45" max="16384" width="9.140625" style="13"/>
  </cols>
  <sheetData>
    <row r="1" spans="1:36">
      <c r="A1" s="148" t="s">
        <v>0</v>
      </c>
      <c r="V1" s="13"/>
    </row>
    <row r="2" spans="1:36">
      <c r="A2" s="277">
        <v>1</v>
      </c>
      <c r="V2" s="13"/>
    </row>
    <row r="3" spans="1:36" ht="14.25">
      <c r="V3" s="13"/>
    </row>
    <row r="4" spans="1:36" ht="126" customHeight="1">
      <c r="A4" s="13" t="s">
        <v>1</v>
      </c>
      <c r="B4" s="12" t="s">
        <v>2</v>
      </c>
      <c r="C4" s="12" t="s">
        <v>3</v>
      </c>
      <c r="D4" s="12" t="s">
        <v>4</v>
      </c>
      <c r="E4" s="12" t="s">
        <v>5</v>
      </c>
      <c r="F4" s="12" t="s">
        <v>6</v>
      </c>
      <c r="G4" s="17" t="s">
        <v>7</v>
      </c>
      <c r="H4" s="17" t="s">
        <v>8</v>
      </c>
      <c r="I4" s="17" t="s">
        <v>9</v>
      </c>
      <c r="J4" s="233" t="s">
        <v>10</v>
      </c>
      <c r="K4" s="17" t="s">
        <v>11</v>
      </c>
      <c r="L4" s="17" t="s">
        <v>12</v>
      </c>
      <c r="M4" s="17" t="s">
        <v>13</v>
      </c>
      <c r="N4" s="17" t="s">
        <v>14</v>
      </c>
      <c r="O4" s="17" t="s">
        <v>15</v>
      </c>
      <c r="P4" s="17" t="s">
        <v>16</v>
      </c>
      <c r="Q4" s="17" t="s">
        <v>17</v>
      </c>
      <c r="R4" s="17" t="s">
        <v>18</v>
      </c>
      <c r="S4" s="17" t="s">
        <v>19</v>
      </c>
      <c r="T4" s="17" t="s">
        <v>20</v>
      </c>
      <c r="U4" s="17" t="s">
        <v>21</v>
      </c>
      <c r="V4" s="17" t="s">
        <v>22</v>
      </c>
      <c r="W4" s="17" t="s">
        <v>23</v>
      </c>
      <c r="X4" s="17" t="s">
        <v>24</v>
      </c>
      <c r="Y4" s="17" t="s">
        <v>25</v>
      </c>
      <c r="Z4" s="17" t="s">
        <v>26</v>
      </c>
      <c r="AA4" s="17" t="s">
        <v>27</v>
      </c>
      <c r="AB4" s="17" t="s">
        <v>28</v>
      </c>
      <c r="AC4" s="17" t="s">
        <v>29</v>
      </c>
      <c r="AD4" s="17" t="s">
        <v>30</v>
      </c>
      <c r="AE4" s="17" t="s">
        <v>31</v>
      </c>
      <c r="AF4" s="17" t="s">
        <v>32</v>
      </c>
      <c r="AG4" s="17" t="s">
        <v>33</v>
      </c>
      <c r="AH4" s="17" t="s">
        <v>34</v>
      </c>
      <c r="AI4" s="17" t="s">
        <v>35</v>
      </c>
      <c r="AJ4" s="171" t="s">
        <v>36</v>
      </c>
    </row>
    <row r="5" spans="1:36" ht="14.25">
      <c r="B5" s="3" t="s">
        <v>37</v>
      </c>
      <c r="C5" s="3" t="s">
        <v>38</v>
      </c>
      <c r="D5" s="3"/>
      <c r="E5" s="3" t="s">
        <v>39</v>
      </c>
      <c r="F5" s="1" t="s">
        <v>40</v>
      </c>
      <c r="G5" s="1" t="s">
        <v>41</v>
      </c>
      <c r="H5" s="190">
        <f>_xlfn.IFNA(VLOOKUP(Invoer_Ontwerp[[#This Row],[Product]],Database_Productkaarten[[Product]:[Comment]],64,FALSE),0)</f>
        <v>3</v>
      </c>
      <c r="I5" s="1" t="str">
        <f>_xlfn.IFNA(VLOOKUP(Invoer_Ontwerp[[#This Row],[Product]],Database_Productkaarten[[Product]:[Producttype]],3,FALSE),0)</f>
        <v>Grond</v>
      </c>
      <c r="J5" s="5">
        <v>440</v>
      </c>
      <c r="K5" s="1" t="str">
        <f>_xlfn.IFNA(VLOOKUP(Invoer_Ontwerp[[#This Row],[Product]],Database_Productkaarten[[#All],[Product]:[Eenheid]],4,FALSE),0)</f>
        <v>m3</v>
      </c>
      <c r="L5" s="127" t="s">
        <v>42</v>
      </c>
      <c r="M5" s="127" t="s">
        <v>43</v>
      </c>
      <c r="N5" s="3">
        <v>0.88</v>
      </c>
      <c r="O5" s="3">
        <f>Invoer_Ontwerp[[#This Row],[Lengte'[m']]]*Invoer_Ontwerp[[#This Row],[Breedte '[m']]]</f>
        <v>500</v>
      </c>
      <c r="P5" s="3">
        <f>IFERROR(IF(Invoer_Ontwerp[[#This Row],[Oppervlakte '[m2']]]*Invoer_Ontwerp[[#This Row],[Dikte '[m']]]=0,Invoer_Ontwerp[[#This Row],[Gewicht '[ton']]]/Invoer_Ontwerp[[#This Row],[Soortelijk gewicht '[ton / m3']]],Invoer_Ontwerp[[#This Row],[Oppervlakte '[m2']]]*Invoer_Ontwerp[[#This Row],[Dikte '[m']]]),0)</f>
        <v>440</v>
      </c>
      <c r="Q5" s="3">
        <f>_xlfn.IFNA(VLOOKUP(Invoer_Ontwerp[[#This Row],[Product]],Database_Productkaarten[[Product]:[Soortelijk Gewicht '[ton / m3']]],11,FALSE),0)</f>
        <v>1.625</v>
      </c>
      <c r="R5" s="3">
        <f>_xlfn.IFNA(VLOOKUP(Invoer_Ontwerp[[#This Row],[Product]],Database_Productkaarten[[Product]:[Gewicht '[ton'] / Eenheid]],12,FALSE)*Invoer_Ontwerp[[#This Row],[Aantal Eenheden]],0)</f>
        <v>715</v>
      </c>
      <c r="S5" s="5">
        <f>_xlfn.IFNA(VLOOKUP(Invoer_Ontwerp[[#This Row],[Product]],Database_Productkaarten[[Product]:[Levensduur]],14,FALSE),0)</f>
        <v>100</v>
      </c>
      <c r="T5" s="5">
        <f>MAX(IFERROR($A$2/Invoer_Ontwerp[[#This Row],[Product levensduur '[jaar']]]-1,0),0)</f>
        <v>0</v>
      </c>
      <c r="U5" s="5"/>
      <c r="V5" s="5"/>
      <c r="W5" s="5"/>
      <c r="X5" s="6"/>
      <c r="Y5" s="6"/>
      <c r="Z5" s="6"/>
      <c r="AA5" s="6"/>
      <c r="AB5" s="6"/>
      <c r="AC5" s="5"/>
      <c r="AD5" s="6"/>
      <c r="AE5" s="6"/>
      <c r="AF5" s="6"/>
      <c r="AG5" s="6"/>
      <c r="AH5" s="6"/>
      <c r="AI5" s="6"/>
      <c r="AJ5" s="3"/>
    </row>
    <row r="6" spans="1:36" ht="14.25">
      <c r="B6" s="3" t="s">
        <v>37</v>
      </c>
      <c r="C6" s="3" t="s">
        <v>44</v>
      </c>
      <c r="D6" s="3"/>
      <c r="E6" s="3" t="s">
        <v>45</v>
      </c>
      <c r="F6" s="1" t="s">
        <v>40</v>
      </c>
      <c r="G6" s="1" t="s">
        <v>46</v>
      </c>
      <c r="H6" s="190">
        <f>_xlfn.IFNA(VLOOKUP(Invoer_Ontwerp[[#This Row],[Product]],Database_Productkaarten[[Product]:[Comment]],64,FALSE),0)</f>
        <v>3</v>
      </c>
      <c r="I6" s="1" t="str">
        <f>_xlfn.IFNA(VLOOKUP(Invoer_Ontwerp[[#This Row],[Product]],Database_Productkaarten[[Product]:[Producttype]],3,FALSE),0)</f>
        <v>Zand</v>
      </c>
      <c r="J6" s="5">
        <v>175</v>
      </c>
      <c r="K6" s="1" t="str">
        <f>_xlfn.IFNA(VLOOKUP(Invoer_Ontwerp[[#This Row],[Product]],Database_Productkaarten[[#All],[Product]:[Eenheid]],4,FALSE),0)</f>
        <v>m3</v>
      </c>
      <c r="L6" s="127" t="s">
        <v>42</v>
      </c>
      <c r="M6" s="127" t="s">
        <v>43</v>
      </c>
      <c r="N6" s="3">
        <v>0.35</v>
      </c>
      <c r="O6" s="3">
        <f>Invoer_Ontwerp[[#This Row],[Lengte'[m']]]*Invoer_Ontwerp[[#This Row],[Breedte '[m']]]</f>
        <v>500</v>
      </c>
      <c r="P6" s="3">
        <f>IFERROR(IF(Invoer_Ontwerp[[#This Row],[Oppervlakte '[m2']]]*Invoer_Ontwerp[[#This Row],[Dikte '[m']]]=0,Invoer_Ontwerp[[#This Row],[Gewicht '[ton']]]/Invoer_Ontwerp[[#This Row],[Soortelijk gewicht '[ton / m3']]],Invoer_Ontwerp[[#This Row],[Oppervlakte '[m2']]]*Invoer_Ontwerp[[#This Row],[Dikte '[m']]]),0)</f>
        <v>175</v>
      </c>
      <c r="Q6" s="3">
        <f>_xlfn.IFNA(VLOOKUP(Invoer_Ontwerp[[#This Row],[Product]],Database_Productkaarten[[Product]:[Soortelijk Gewicht '[ton / m3']]],11,FALSE),0)</f>
        <v>1.5</v>
      </c>
      <c r="R6" s="3">
        <f>_xlfn.IFNA(VLOOKUP(Invoer_Ontwerp[[#This Row],[Product]],Database_Productkaarten[[Product]:[Gewicht '[ton'] / Eenheid]],12,FALSE)*Invoer_Ontwerp[[#This Row],[Aantal Eenheden]],0)</f>
        <v>262.5</v>
      </c>
      <c r="S6" s="5">
        <f>_xlfn.IFNA(VLOOKUP(Invoer_Ontwerp[[#This Row],[Product]],Database_Productkaarten[[Product]:[Levensduur]],14,FALSE),0)</f>
        <v>100</v>
      </c>
      <c r="T6" s="5">
        <f>MAX(IFERROR($A$2/Invoer_Ontwerp[[#This Row],[Product levensduur '[jaar']]]-1,0),0)</f>
        <v>0</v>
      </c>
      <c r="U6" s="5"/>
      <c r="V6" s="5"/>
      <c r="W6" s="5"/>
      <c r="X6" s="6"/>
      <c r="Y6" s="6"/>
      <c r="Z6" s="6"/>
      <c r="AA6" s="6"/>
      <c r="AB6" s="6"/>
      <c r="AC6" s="5"/>
      <c r="AD6" s="6"/>
      <c r="AE6" s="6"/>
      <c r="AF6" s="6"/>
      <c r="AG6" s="6"/>
      <c r="AH6" s="6"/>
      <c r="AI6" s="6"/>
      <c r="AJ6" s="3"/>
    </row>
    <row r="7" spans="1:36" ht="14.25">
      <c r="B7" s="3" t="s">
        <v>37</v>
      </c>
      <c r="C7" s="3" t="s">
        <v>47</v>
      </c>
      <c r="D7" s="3"/>
      <c r="E7" s="3" t="s">
        <v>45</v>
      </c>
      <c r="F7" s="1" t="s">
        <v>48</v>
      </c>
      <c r="G7" s="1" t="s">
        <v>49</v>
      </c>
      <c r="H7" s="190">
        <f>_xlfn.IFNA(VLOOKUP(Invoer_Ontwerp[[#This Row],[Product]],Database_Productkaarten[[Product]:[Comment]],64,FALSE),0)</f>
        <v>3</v>
      </c>
      <c r="I7" s="1" t="str">
        <f>_xlfn.IFNA(VLOOKUP(Invoer_Ontwerp[[#This Row],[Product]],Database_Productkaarten[[Product]:[Producttype]],3,FALSE),0)</f>
        <v>Waterbergende laag</v>
      </c>
      <c r="J7" s="5">
        <v>500</v>
      </c>
      <c r="K7" s="1" t="str">
        <f>_xlfn.IFNA(VLOOKUP(Invoer_Ontwerp[[#This Row],[Product]],Database_Productkaarten[[#All],[Product]:[Eenheid]],4,FALSE),0)</f>
        <v>m2</v>
      </c>
      <c r="L7" s="127" t="s">
        <v>42</v>
      </c>
      <c r="M7" s="127" t="s">
        <v>43</v>
      </c>
      <c r="N7" s="3"/>
      <c r="O7" s="3">
        <f>Invoer_Ontwerp[[#This Row],[Lengte'[m']]]*Invoer_Ontwerp[[#This Row],[Breedte '[m']]]</f>
        <v>500</v>
      </c>
      <c r="P7" s="3">
        <f>IFERROR(IF(Invoer_Ontwerp[[#This Row],[Oppervlakte '[m2']]]*Invoer_Ontwerp[[#This Row],[Dikte '[m']]]=0,Invoer_Ontwerp[[#This Row],[Gewicht '[ton']]]/Invoer_Ontwerp[[#This Row],[Soortelijk gewicht '[ton / m3']]],Invoer_Ontwerp[[#This Row],[Oppervlakte '[m2']]]*Invoer_Ontwerp[[#This Row],[Dikte '[m']]]),0)</f>
        <v>0</v>
      </c>
      <c r="Q7" s="3">
        <f>_xlfn.IFNA(VLOOKUP(Invoer_Ontwerp[[#This Row],[Product]],Database_Productkaarten[[Product]:[Soortelijk Gewicht '[ton / m3']]],11,FALSE),0)</f>
        <v>0</v>
      </c>
      <c r="R7" s="3">
        <f>_xlfn.IFNA(VLOOKUP(Invoer_Ontwerp[[#This Row],[Product]],Database_Productkaarten[[Product]:[Gewicht '[ton'] / Eenheid]],12,FALSE)*Invoer_Ontwerp[[#This Row],[Aantal Eenheden]],0)</f>
        <v>127.5</v>
      </c>
      <c r="S7" s="337">
        <f>_xlfn.IFNA(VLOOKUP(Invoer_Ontwerp[[#This Row],[Product]],Database_Productkaarten[[Product]:[Levensduur]],14,FALSE),0)</f>
        <v>35</v>
      </c>
      <c r="T7" s="5">
        <f>MAX(IFERROR($A$2/Invoer_Ontwerp[[#This Row],[Product levensduur '[jaar']]]-1,0),0)</f>
        <v>0</v>
      </c>
      <c r="U7" s="5"/>
      <c r="V7" s="5"/>
      <c r="W7" s="5"/>
      <c r="X7" s="6"/>
      <c r="Y7" s="6"/>
      <c r="Z7" s="6"/>
      <c r="AA7" s="6"/>
      <c r="AB7" s="6"/>
      <c r="AC7" s="5"/>
      <c r="AD7" s="6"/>
      <c r="AE7" s="6"/>
      <c r="AF7" s="6"/>
      <c r="AG7" s="6"/>
      <c r="AH7" s="6"/>
      <c r="AI7" s="6"/>
      <c r="AJ7" s="3"/>
    </row>
    <row r="8" spans="1:36" ht="14.25">
      <c r="B8" s="3" t="s">
        <v>37</v>
      </c>
      <c r="C8" s="3" t="s">
        <v>50</v>
      </c>
      <c r="D8" s="3"/>
      <c r="E8" s="3" t="s">
        <v>45</v>
      </c>
      <c r="F8" s="1" t="s">
        <v>48</v>
      </c>
      <c r="G8" s="1" t="s">
        <v>51</v>
      </c>
      <c r="H8" s="190">
        <f>_xlfn.IFNA(VLOOKUP(Invoer_Ontwerp[[#This Row],[Product]],Database_Productkaarten[[Product]:[Comment]],64,FALSE),0)</f>
        <v>3</v>
      </c>
      <c r="I8" s="1" t="str">
        <f>_xlfn.IFNA(VLOOKUP(Invoer_Ontwerp[[#This Row],[Product]],Database_Productkaarten[[Product]:[Producttype]],3,FALSE),0)</f>
        <v>Menggranulaat</v>
      </c>
      <c r="J8" s="5">
        <v>1000</v>
      </c>
      <c r="K8" s="1" t="str">
        <f>_xlfn.IFNA(VLOOKUP(Invoer_Ontwerp[[#This Row],[Product]],Database_Productkaarten[[#All],[Product]:[Eenheid]],4,FALSE),0)</f>
        <v>m2</v>
      </c>
      <c r="L8" s="127" t="s">
        <v>42</v>
      </c>
      <c r="M8" s="127" t="s">
        <v>43</v>
      </c>
      <c r="N8" s="3">
        <v>0.4</v>
      </c>
      <c r="O8" s="3">
        <f>Invoer_Ontwerp[[#This Row],[Lengte'[m']]]*Invoer_Ontwerp[[#This Row],[Breedte '[m']]]</f>
        <v>500</v>
      </c>
      <c r="P8" s="3">
        <f>IFERROR(IF(Invoer_Ontwerp[[#This Row],[Oppervlakte '[m2']]]*Invoer_Ontwerp[[#This Row],[Dikte '[m']]]=0,Invoer_Ontwerp[[#This Row],[Gewicht '[ton']]]/Invoer_Ontwerp[[#This Row],[Soortelijk gewicht '[ton / m3']]],Invoer_Ontwerp[[#This Row],[Oppervlakte '[m2']]]*Invoer_Ontwerp[[#This Row],[Dikte '[m']]]),0)</f>
        <v>200</v>
      </c>
      <c r="Q8" s="3">
        <f>_xlfn.IFNA(VLOOKUP(Invoer_Ontwerp[[#This Row],[Product]],Database_Productkaarten[[Product]:[Soortelijk Gewicht '[ton / m3']]],11,FALSE),0)</f>
        <v>1.95</v>
      </c>
      <c r="R8" s="3">
        <f>_xlfn.IFNA(VLOOKUP(Invoer_Ontwerp[[#This Row],[Product]],Database_Productkaarten[[Product]:[Gewicht '[ton'] / Eenheid]],12,FALSE)*Invoer_Ontwerp[[#This Row],[Aantal Eenheden]],0)</f>
        <v>390</v>
      </c>
      <c r="S8" s="5">
        <f>_xlfn.IFNA(VLOOKUP(Invoer_Ontwerp[[#This Row],[Product]],Database_Productkaarten[[Product]:[Levensduur]],14,FALSE),0)</f>
        <v>100</v>
      </c>
      <c r="T8" s="5">
        <f>MAX(IFERROR($A$2/Invoer_Ontwerp[[#This Row],[Product levensduur '[jaar']]]-1,0),0)</f>
        <v>0</v>
      </c>
      <c r="U8" s="5"/>
      <c r="V8" s="5"/>
      <c r="W8" s="5"/>
      <c r="X8" s="6"/>
      <c r="Y8" s="6"/>
      <c r="Z8" s="6"/>
      <c r="AA8" s="6"/>
      <c r="AB8" s="6"/>
      <c r="AC8" s="5"/>
      <c r="AD8" s="6"/>
      <c r="AE8" s="6"/>
      <c r="AF8" s="6"/>
      <c r="AG8" s="6"/>
      <c r="AH8" s="6"/>
      <c r="AI8" s="6"/>
      <c r="AJ8" s="3" t="s">
        <v>52</v>
      </c>
    </row>
    <row r="9" spans="1:36" ht="14.25">
      <c r="B9" s="3" t="s">
        <v>37</v>
      </c>
      <c r="C9" s="3" t="s">
        <v>53</v>
      </c>
      <c r="D9" s="3"/>
      <c r="E9" s="3" t="s">
        <v>45</v>
      </c>
      <c r="F9" s="1" t="s">
        <v>40</v>
      </c>
      <c r="G9" s="1" t="s">
        <v>46</v>
      </c>
      <c r="H9" s="190">
        <f>_xlfn.IFNA(VLOOKUP(Invoer_Ontwerp[[#This Row],[Product]],Database_Productkaarten[[Product]:[Comment]],64,FALSE),0)</f>
        <v>3</v>
      </c>
      <c r="I9" s="1" t="str">
        <f>_xlfn.IFNA(VLOOKUP(Invoer_Ontwerp[[#This Row],[Product]],Database_Productkaarten[[Product]:[Producttype]],3,FALSE),0)</f>
        <v>Zand</v>
      </c>
      <c r="J9" s="5">
        <v>25</v>
      </c>
      <c r="K9" s="1" t="str">
        <f>_xlfn.IFNA(VLOOKUP(Invoer_Ontwerp[[#This Row],[Product]],Database_Productkaarten[[#All],[Product]:[Eenheid]],4,FALSE),0)</f>
        <v>m3</v>
      </c>
      <c r="L9" s="127" t="s">
        <v>42</v>
      </c>
      <c r="M9" s="127" t="s">
        <v>43</v>
      </c>
      <c r="N9" s="3">
        <v>0.05</v>
      </c>
      <c r="O9" s="3">
        <f>Invoer_Ontwerp[[#This Row],[Lengte'[m']]]*Invoer_Ontwerp[[#This Row],[Breedte '[m']]]</f>
        <v>500</v>
      </c>
      <c r="P9" s="3">
        <f>IFERROR(IF(Invoer_Ontwerp[[#This Row],[Oppervlakte '[m2']]]*Invoer_Ontwerp[[#This Row],[Dikte '[m']]]=0,Invoer_Ontwerp[[#This Row],[Gewicht '[ton']]]/Invoer_Ontwerp[[#This Row],[Soortelijk gewicht '[ton / m3']]],Invoer_Ontwerp[[#This Row],[Oppervlakte '[m2']]]*Invoer_Ontwerp[[#This Row],[Dikte '[m']]]),0)</f>
        <v>25</v>
      </c>
      <c r="Q9" s="3">
        <f>_xlfn.IFNA(VLOOKUP(Invoer_Ontwerp[[#This Row],[Product]],Database_Productkaarten[[Product]:[Soortelijk Gewicht '[ton / m3']]],11,FALSE),0)</f>
        <v>1.5</v>
      </c>
      <c r="R9" s="3">
        <f>_xlfn.IFNA(VLOOKUP(Invoer_Ontwerp[[#This Row],[Product]],Database_Productkaarten[[Product]:[Gewicht '[ton'] / Eenheid]],12,FALSE)*Invoer_Ontwerp[[#This Row],[Aantal Eenheden]],0)</f>
        <v>37.5</v>
      </c>
      <c r="S9" s="5">
        <f>_xlfn.IFNA(VLOOKUP(Invoer_Ontwerp[[#This Row],[Product]],Database_Productkaarten[[Product]:[Levensduur]],14,FALSE),0)</f>
        <v>100</v>
      </c>
      <c r="T9" s="5">
        <f>MAX(IFERROR($A$2/Invoer_Ontwerp[[#This Row],[Product levensduur '[jaar']]]-1,0),0)</f>
        <v>0</v>
      </c>
      <c r="U9" s="5"/>
      <c r="V9" s="5"/>
      <c r="W9" s="5"/>
      <c r="X9" s="6"/>
      <c r="Y9" s="6"/>
      <c r="Z9" s="6"/>
      <c r="AA9" s="6"/>
      <c r="AB9" s="6"/>
      <c r="AC9" s="5"/>
      <c r="AD9" s="6"/>
      <c r="AE9" s="6"/>
      <c r="AF9" s="6"/>
      <c r="AG9" s="6"/>
      <c r="AH9" s="6"/>
      <c r="AI9" s="6"/>
      <c r="AJ9" s="3"/>
    </row>
    <row r="10" spans="1:36" ht="14.25">
      <c r="B10" s="3" t="s">
        <v>37</v>
      </c>
      <c r="C10" s="3" t="s">
        <v>54</v>
      </c>
      <c r="D10" s="3"/>
      <c r="E10" s="3" t="s">
        <v>45</v>
      </c>
      <c r="F10" s="1" t="s">
        <v>55</v>
      </c>
      <c r="G10" s="1" t="s">
        <v>56</v>
      </c>
      <c r="H10" s="190">
        <f>_xlfn.IFNA(VLOOKUP(Invoer_Ontwerp[[#This Row],[Product]],Database_Productkaarten[[Product]:[Comment]],64,FALSE),0)</f>
        <v>3</v>
      </c>
      <c r="I10" s="1" t="str">
        <f>_xlfn.IFNA(VLOOKUP(Invoer_Ontwerp[[#This Row],[Product]],Database_Productkaarten[[Product]:[Producttype]],3,FALSE),0)</f>
        <v>Betonstraatsteen</v>
      </c>
      <c r="J10" s="5">
        <v>500</v>
      </c>
      <c r="K10" s="1" t="str">
        <f>_xlfn.IFNA(VLOOKUP(Invoer_Ontwerp[[#This Row],[Product]],Database_Productkaarten[[#All],[Product]:[Eenheid]],4,FALSE),0)</f>
        <v>m2</v>
      </c>
      <c r="L10" s="127" t="s">
        <v>42</v>
      </c>
      <c r="M10" s="127" t="s">
        <v>43</v>
      </c>
      <c r="N10" s="3">
        <v>0.08</v>
      </c>
      <c r="O10" s="3">
        <f>Invoer_Ontwerp[[#This Row],[Lengte'[m']]]*Invoer_Ontwerp[[#This Row],[Breedte '[m']]]</f>
        <v>500</v>
      </c>
      <c r="P10" s="3">
        <f>IFERROR(IF(Invoer_Ontwerp[[#This Row],[Oppervlakte '[m2']]]*Invoer_Ontwerp[[#This Row],[Dikte '[m']]]=0,Invoer_Ontwerp[[#This Row],[Gewicht '[ton']]]/Invoer_Ontwerp[[#This Row],[Soortelijk gewicht '[ton / m3']]],Invoer_Ontwerp[[#This Row],[Oppervlakte '[m2']]]*Invoer_Ontwerp[[#This Row],[Dikte '[m']]]),0)</f>
        <v>40</v>
      </c>
      <c r="Q10" s="3">
        <f>_xlfn.IFNA(VLOOKUP(Invoer_Ontwerp[[#This Row],[Product]],Database_Productkaarten[[Product]:[Soortelijk Gewicht '[ton / m3']]],11,FALSE),0)</f>
        <v>2.4</v>
      </c>
      <c r="R10" s="3">
        <f>_xlfn.IFNA(VLOOKUP(Invoer_Ontwerp[[#This Row],[Product]],Database_Productkaarten[[Product]:[Gewicht '[ton'] / Eenheid]],12,FALSE)*Invoer_Ontwerp[[#This Row],[Aantal Eenheden]],0)</f>
        <v>89.800000000000011</v>
      </c>
      <c r="S10" s="5">
        <f>_xlfn.IFNA(VLOOKUP(Invoer_Ontwerp[[#This Row],[Product]],Database_Productkaarten[[Product]:[Levensduur]],14,FALSE),0)</f>
        <v>25</v>
      </c>
      <c r="T10" s="5">
        <f>MAX(IFERROR($A$2/Invoer_Ontwerp[[#This Row],[Product levensduur '[jaar']]]-1,0),0)</f>
        <v>0</v>
      </c>
      <c r="U10" s="5"/>
      <c r="V10" s="5"/>
      <c r="W10" s="5"/>
      <c r="X10" s="6"/>
      <c r="Y10" s="6"/>
      <c r="Z10" s="6"/>
      <c r="AA10" s="6"/>
      <c r="AB10" s="6"/>
      <c r="AC10" s="5"/>
      <c r="AD10" s="6"/>
      <c r="AE10" s="6"/>
      <c r="AF10" s="6"/>
      <c r="AG10" s="6"/>
      <c r="AH10" s="6"/>
      <c r="AI10" s="6"/>
      <c r="AJ10" s="3"/>
    </row>
    <row r="11" spans="1:36" ht="14.25">
      <c r="B11" s="3" t="s">
        <v>37</v>
      </c>
      <c r="C11" s="3" t="s">
        <v>44</v>
      </c>
      <c r="D11" s="3"/>
      <c r="E11" s="3" t="s">
        <v>39</v>
      </c>
      <c r="F11" s="1" t="s">
        <v>40</v>
      </c>
      <c r="G11" s="1" t="s">
        <v>46</v>
      </c>
      <c r="H11" s="190">
        <f>_xlfn.IFNA(VLOOKUP(Invoer_Ontwerp[[#This Row],[Product]],Database_Productkaarten[[Product]:[Comment]],64,FALSE),0)</f>
        <v>3</v>
      </c>
      <c r="I11" s="1" t="str">
        <f>_xlfn.IFNA(VLOOKUP(Invoer_Ontwerp[[#This Row],[Product]],Database_Productkaarten[[Product]:[Producttype]],3,FALSE),0)</f>
        <v>Zand</v>
      </c>
      <c r="J11" s="5">
        <v>175</v>
      </c>
      <c r="K11" s="1" t="str">
        <f>_xlfn.IFNA(VLOOKUP(Invoer_Ontwerp[[#This Row],[Product]],Database_Productkaarten[[#All],[Product]:[Eenheid]],4,FALSE),0)</f>
        <v>m3</v>
      </c>
      <c r="L11" s="127" t="s">
        <v>42</v>
      </c>
      <c r="M11" s="127" t="s">
        <v>43</v>
      </c>
      <c r="N11" s="3">
        <v>0.35</v>
      </c>
      <c r="O11" s="3">
        <f>Invoer_Ontwerp[[#This Row],[Lengte'[m']]]*Invoer_Ontwerp[[#This Row],[Breedte '[m']]]</f>
        <v>500</v>
      </c>
      <c r="P11" s="3">
        <f>IFERROR(IF(Invoer_Ontwerp[[#This Row],[Oppervlakte '[m2']]]*Invoer_Ontwerp[[#This Row],[Dikte '[m']]]=0,Invoer_Ontwerp[[#This Row],[Gewicht '[ton']]]/Invoer_Ontwerp[[#This Row],[Soortelijk gewicht '[ton / m3']]],Invoer_Ontwerp[[#This Row],[Oppervlakte '[m2']]]*Invoer_Ontwerp[[#This Row],[Dikte '[m']]]),0)</f>
        <v>175</v>
      </c>
      <c r="Q11" s="3">
        <f>_xlfn.IFNA(VLOOKUP(Invoer_Ontwerp[[#This Row],[Product]],Database_Productkaarten[[Product]:[Soortelijk Gewicht '[ton / m3']]],11,FALSE),0)</f>
        <v>1.5</v>
      </c>
      <c r="R11" s="3">
        <f>_xlfn.IFNA(VLOOKUP(Invoer_Ontwerp[[#This Row],[Product]],Database_Productkaarten[[Product]:[Gewicht '[ton'] / Eenheid]],12,FALSE)*Invoer_Ontwerp[[#This Row],[Aantal Eenheden]],0)</f>
        <v>262.5</v>
      </c>
      <c r="S11" s="5">
        <f>_xlfn.IFNA(VLOOKUP(Invoer_Ontwerp[[#This Row],[Product]],Database_Productkaarten[[Product]:[Levensduur]],14,FALSE),0)</f>
        <v>100</v>
      </c>
      <c r="T11" s="5">
        <f>MAX(IFERROR($A$2/Invoer_Ontwerp[[#This Row],[Product levensduur '[jaar']]]-1,0),0)</f>
        <v>0</v>
      </c>
      <c r="U11" s="5"/>
      <c r="V11" s="5"/>
      <c r="W11" s="5"/>
      <c r="X11" s="6"/>
      <c r="Y11" s="6"/>
      <c r="Z11" s="6"/>
      <c r="AA11" s="6"/>
      <c r="AB11" s="6"/>
      <c r="AC11" s="5"/>
      <c r="AD11" s="6"/>
      <c r="AE11" s="6"/>
      <c r="AF11" s="6"/>
      <c r="AG11" s="6"/>
      <c r="AH11" s="6"/>
      <c r="AI11" s="6"/>
      <c r="AJ11" s="3"/>
    </row>
    <row r="12" spans="1:36" ht="14.25">
      <c r="B12" s="3" t="s">
        <v>37</v>
      </c>
      <c r="C12" s="3" t="s">
        <v>47</v>
      </c>
      <c r="D12" s="3"/>
      <c r="E12" s="3" t="s">
        <v>39</v>
      </c>
      <c r="F12" s="1" t="s">
        <v>48</v>
      </c>
      <c r="G12" s="1" t="s">
        <v>49</v>
      </c>
      <c r="H12" s="190">
        <f>_xlfn.IFNA(VLOOKUP(Invoer_Ontwerp[[#This Row],[Product]],Database_Productkaarten[[Product]:[Comment]],64,FALSE),0)</f>
        <v>3</v>
      </c>
      <c r="I12" s="1" t="str">
        <f>_xlfn.IFNA(VLOOKUP(Invoer_Ontwerp[[#This Row],[Product]],Database_Productkaarten[[Product]:[Producttype]],3,FALSE),0)</f>
        <v>Waterbergende laag</v>
      </c>
      <c r="J12" s="5">
        <v>500</v>
      </c>
      <c r="K12" s="1" t="str">
        <f>_xlfn.IFNA(VLOOKUP(Invoer_Ontwerp[[#This Row],[Product]],Database_Productkaarten[[#All],[Product]:[Eenheid]],4,FALSE),0)</f>
        <v>m2</v>
      </c>
      <c r="L12" s="127" t="s">
        <v>42</v>
      </c>
      <c r="M12" s="127" t="s">
        <v>43</v>
      </c>
      <c r="N12" s="3"/>
      <c r="O12" s="3">
        <f>Invoer_Ontwerp[[#This Row],[Lengte'[m']]]*Invoer_Ontwerp[[#This Row],[Breedte '[m']]]</f>
        <v>500</v>
      </c>
      <c r="P12" s="3">
        <f>IFERROR(IF(Invoer_Ontwerp[[#This Row],[Oppervlakte '[m2']]]*Invoer_Ontwerp[[#This Row],[Dikte '[m']]]=0,Invoer_Ontwerp[[#This Row],[Gewicht '[ton']]]/Invoer_Ontwerp[[#This Row],[Soortelijk gewicht '[ton / m3']]],Invoer_Ontwerp[[#This Row],[Oppervlakte '[m2']]]*Invoer_Ontwerp[[#This Row],[Dikte '[m']]]),0)</f>
        <v>0</v>
      </c>
      <c r="Q12" s="3">
        <f>_xlfn.IFNA(VLOOKUP(Invoer_Ontwerp[[#This Row],[Product]],Database_Productkaarten[[Product]:[Soortelijk Gewicht '[ton / m3']]],11,FALSE),0)</f>
        <v>0</v>
      </c>
      <c r="R12" s="3">
        <f>_xlfn.IFNA(VLOOKUP(Invoer_Ontwerp[[#This Row],[Product]],Database_Productkaarten[[Product]:[Gewicht '[ton'] / Eenheid]],12,FALSE)*Invoer_Ontwerp[[#This Row],[Aantal Eenheden]],0)</f>
        <v>127.5</v>
      </c>
      <c r="S12" s="337">
        <f>_xlfn.IFNA(VLOOKUP(Invoer_Ontwerp[[#This Row],[Product]],Database_Productkaarten[[Product]:[Levensduur]],14,FALSE),0)</f>
        <v>35</v>
      </c>
      <c r="T12" s="5">
        <f>MAX(IFERROR($A$2/Invoer_Ontwerp[[#This Row],[Product levensduur '[jaar']]]-1,0),0)</f>
        <v>0</v>
      </c>
      <c r="U12" s="5"/>
      <c r="V12" s="5"/>
      <c r="W12" s="5"/>
      <c r="X12" s="6"/>
      <c r="Y12" s="6"/>
      <c r="Z12" s="6"/>
      <c r="AA12" s="6"/>
      <c r="AB12" s="6"/>
      <c r="AC12" s="5"/>
      <c r="AD12" s="6"/>
      <c r="AE12" s="6"/>
      <c r="AF12" s="6"/>
      <c r="AG12" s="6"/>
      <c r="AH12" s="6"/>
      <c r="AI12" s="6"/>
      <c r="AJ12" s="3"/>
    </row>
    <row r="13" spans="1:36" ht="14.25">
      <c r="B13" s="3" t="s">
        <v>37</v>
      </c>
      <c r="C13" s="3" t="s">
        <v>50</v>
      </c>
      <c r="D13" s="3"/>
      <c r="E13" s="3" t="s">
        <v>39</v>
      </c>
      <c r="F13" s="1" t="s">
        <v>48</v>
      </c>
      <c r="G13" s="1" t="s">
        <v>51</v>
      </c>
      <c r="H13" s="190">
        <f>_xlfn.IFNA(VLOOKUP(Invoer_Ontwerp[[#This Row],[Product]],Database_Productkaarten[[Product]:[Comment]],64,FALSE),0)</f>
        <v>3</v>
      </c>
      <c r="I13" s="1" t="str">
        <f>_xlfn.IFNA(VLOOKUP(Invoer_Ontwerp[[#This Row],[Product]],Database_Productkaarten[[Product]:[Producttype]],3,FALSE),0)</f>
        <v>Menggranulaat</v>
      </c>
      <c r="J13" s="5">
        <v>1000</v>
      </c>
      <c r="K13" s="1" t="str">
        <f>_xlfn.IFNA(VLOOKUP(Invoer_Ontwerp[[#This Row],[Product]],Database_Productkaarten[[#All],[Product]:[Eenheid]],4,FALSE),0)</f>
        <v>m2</v>
      </c>
      <c r="L13" s="127" t="s">
        <v>42</v>
      </c>
      <c r="M13" s="127" t="s">
        <v>43</v>
      </c>
      <c r="N13" s="3">
        <v>0.4</v>
      </c>
      <c r="O13" s="3">
        <f>Invoer_Ontwerp[[#This Row],[Lengte'[m']]]*Invoer_Ontwerp[[#This Row],[Breedte '[m']]]</f>
        <v>500</v>
      </c>
      <c r="P13" s="3">
        <f>IFERROR(IF(Invoer_Ontwerp[[#This Row],[Oppervlakte '[m2']]]*Invoer_Ontwerp[[#This Row],[Dikte '[m']]]=0,Invoer_Ontwerp[[#This Row],[Gewicht '[ton']]]/Invoer_Ontwerp[[#This Row],[Soortelijk gewicht '[ton / m3']]],Invoer_Ontwerp[[#This Row],[Oppervlakte '[m2']]]*Invoer_Ontwerp[[#This Row],[Dikte '[m']]]),0)</f>
        <v>200</v>
      </c>
      <c r="Q13" s="3">
        <f>_xlfn.IFNA(VLOOKUP(Invoer_Ontwerp[[#This Row],[Product]],Database_Productkaarten[[Product]:[Soortelijk Gewicht '[ton / m3']]],11,FALSE),0)</f>
        <v>1.95</v>
      </c>
      <c r="R13" s="3">
        <f>_xlfn.IFNA(VLOOKUP(Invoer_Ontwerp[[#This Row],[Product]],Database_Productkaarten[[Product]:[Gewicht '[ton'] / Eenheid]],12,FALSE)*Invoer_Ontwerp[[#This Row],[Aantal Eenheden]],0)</f>
        <v>390</v>
      </c>
      <c r="S13" s="5">
        <f>_xlfn.IFNA(VLOOKUP(Invoer_Ontwerp[[#This Row],[Product]],Database_Productkaarten[[Product]:[Levensduur]],14,FALSE),0)</f>
        <v>100</v>
      </c>
      <c r="T13" s="5">
        <f>MAX(IFERROR($A$2/Invoer_Ontwerp[[#This Row],[Product levensduur '[jaar']]]-1,0),0)</f>
        <v>0</v>
      </c>
      <c r="U13" s="5"/>
      <c r="V13" s="5"/>
      <c r="W13" s="5"/>
      <c r="X13" s="6"/>
      <c r="Y13" s="6"/>
      <c r="Z13" s="6"/>
      <c r="AA13" s="6"/>
      <c r="AB13" s="6"/>
      <c r="AC13" s="5"/>
      <c r="AD13" s="6"/>
      <c r="AE13" s="6"/>
      <c r="AF13" s="6"/>
      <c r="AG13" s="6"/>
      <c r="AH13" s="6"/>
      <c r="AI13" s="6"/>
      <c r="AJ13" s="3"/>
    </row>
    <row r="14" spans="1:36" ht="14.25">
      <c r="B14" s="3" t="s">
        <v>37</v>
      </c>
      <c r="C14" s="3" t="s">
        <v>53</v>
      </c>
      <c r="D14" s="3"/>
      <c r="E14" s="3" t="s">
        <v>39</v>
      </c>
      <c r="F14" s="1" t="s">
        <v>40</v>
      </c>
      <c r="G14" s="1" t="s">
        <v>46</v>
      </c>
      <c r="H14" s="190">
        <f>_xlfn.IFNA(VLOOKUP(Invoer_Ontwerp[[#This Row],[Product]],Database_Productkaarten[[Product]:[Comment]],64,FALSE),0)</f>
        <v>3</v>
      </c>
      <c r="I14" s="1" t="str">
        <f>_xlfn.IFNA(VLOOKUP(Invoer_Ontwerp[[#This Row],[Product]],Database_Productkaarten[[Product]:[Producttype]],3,FALSE),0)</f>
        <v>Zand</v>
      </c>
      <c r="J14" s="5">
        <v>25</v>
      </c>
      <c r="K14" s="1" t="str">
        <f>_xlfn.IFNA(VLOOKUP(Invoer_Ontwerp[[#This Row],[Product]],Database_Productkaarten[[#All],[Product]:[Eenheid]],4,FALSE),0)</f>
        <v>m3</v>
      </c>
      <c r="L14" s="127" t="s">
        <v>42</v>
      </c>
      <c r="M14" s="127" t="s">
        <v>43</v>
      </c>
      <c r="N14" s="3">
        <v>0.05</v>
      </c>
      <c r="O14" s="3">
        <f>Invoer_Ontwerp[[#This Row],[Lengte'[m']]]*Invoer_Ontwerp[[#This Row],[Breedte '[m']]]</f>
        <v>500</v>
      </c>
      <c r="P14" s="3">
        <f>IFERROR(IF(Invoer_Ontwerp[[#This Row],[Oppervlakte '[m2']]]*Invoer_Ontwerp[[#This Row],[Dikte '[m']]]=0,Invoer_Ontwerp[[#This Row],[Gewicht '[ton']]]/Invoer_Ontwerp[[#This Row],[Soortelijk gewicht '[ton / m3']]],Invoer_Ontwerp[[#This Row],[Oppervlakte '[m2']]]*Invoer_Ontwerp[[#This Row],[Dikte '[m']]]),0)</f>
        <v>25</v>
      </c>
      <c r="Q14" s="3">
        <f>_xlfn.IFNA(VLOOKUP(Invoer_Ontwerp[[#This Row],[Product]],Database_Productkaarten[[Product]:[Soortelijk Gewicht '[ton / m3']]],11,FALSE),0)</f>
        <v>1.5</v>
      </c>
      <c r="R14" s="3">
        <f>_xlfn.IFNA(VLOOKUP(Invoer_Ontwerp[[#This Row],[Product]],Database_Productkaarten[[Product]:[Gewicht '[ton'] / Eenheid]],12,FALSE)*Invoer_Ontwerp[[#This Row],[Aantal Eenheden]],0)</f>
        <v>37.5</v>
      </c>
      <c r="S14" s="5">
        <f>_xlfn.IFNA(VLOOKUP(Invoer_Ontwerp[[#This Row],[Product]],Database_Productkaarten[[Product]:[Levensduur]],14,FALSE),0)</f>
        <v>100</v>
      </c>
      <c r="T14" s="5">
        <f>MAX(IFERROR($A$2/Invoer_Ontwerp[[#This Row],[Product levensduur '[jaar']]]-1,0),0)</f>
        <v>0</v>
      </c>
      <c r="U14" s="5"/>
      <c r="V14" s="5"/>
      <c r="W14" s="5"/>
      <c r="X14" s="6"/>
      <c r="Y14" s="6"/>
      <c r="Z14" s="6"/>
      <c r="AA14" s="6"/>
      <c r="AB14" s="6"/>
      <c r="AC14" s="5"/>
      <c r="AD14" s="6"/>
      <c r="AE14" s="6"/>
      <c r="AF14" s="6"/>
      <c r="AG14" s="6"/>
      <c r="AH14" s="6"/>
      <c r="AI14" s="6"/>
      <c r="AJ14" s="3"/>
    </row>
    <row r="15" spans="1:36" ht="14.25">
      <c r="B15" s="3" t="s">
        <v>37</v>
      </c>
      <c r="C15" s="3" t="s">
        <v>54</v>
      </c>
      <c r="D15" s="3"/>
      <c r="E15" s="3" t="s">
        <v>39</v>
      </c>
      <c r="F15" s="1" t="s">
        <v>55</v>
      </c>
      <c r="G15" s="1" t="s">
        <v>56</v>
      </c>
      <c r="H15" s="190">
        <f>_xlfn.IFNA(VLOOKUP(Invoer_Ontwerp[[#This Row],[Product]],Database_Productkaarten[[Product]:[Comment]],64,FALSE),0)</f>
        <v>3</v>
      </c>
      <c r="I15" s="1" t="str">
        <f>_xlfn.IFNA(VLOOKUP(Invoer_Ontwerp[[#This Row],[Product]],Database_Productkaarten[[Product]:[Producttype]],3,FALSE),0)</f>
        <v>Betonstraatsteen</v>
      </c>
      <c r="J15" s="5">
        <v>500</v>
      </c>
      <c r="K15" s="1" t="str">
        <f>_xlfn.IFNA(VLOOKUP(Invoer_Ontwerp[[#This Row],[Product]],Database_Productkaarten[[#All],[Product]:[Eenheid]],4,FALSE),0)</f>
        <v>m2</v>
      </c>
      <c r="L15" s="127" t="s">
        <v>42</v>
      </c>
      <c r="M15" s="127" t="s">
        <v>43</v>
      </c>
      <c r="N15" s="3">
        <v>0.08</v>
      </c>
      <c r="O15" s="3">
        <f>Invoer_Ontwerp[[#This Row],[Lengte'[m']]]*Invoer_Ontwerp[[#This Row],[Breedte '[m']]]</f>
        <v>500</v>
      </c>
      <c r="P15" s="3">
        <f>IFERROR(IF(Invoer_Ontwerp[[#This Row],[Oppervlakte '[m2']]]*Invoer_Ontwerp[[#This Row],[Dikte '[m']]]=0,Invoer_Ontwerp[[#This Row],[Gewicht '[ton']]]/Invoer_Ontwerp[[#This Row],[Soortelijk gewicht '[ton / m3']]],Invoer_Ontwerp[[#This Row],[Oppervlakte '[m2']]]*Invoer_Ontwerp[[#This Row],[Dikte '[m']]]),0)</f>
        <v>40</v>
      </c>
      <c r="Q15" s="3">
        <f>_xlfn.IFNA(VLOOKUP(Invoer_Ontwerp[[#This Row],[Product]],Database_Productkaarten[[Product]:[Soortelijk Gewicht '[ton / m3']]],11,FALSE),0)</f>
        <v>2.4</v>
      </c>
      <c r="R15" s="3">
        <f>_xlfn.IFNA(VLOOKUP(Invoer_Ontwerp[[#This Row],[Product]],Database_Productkaarten[[Product]:[Gewicht '[ton'] / Eenheid]],12,FALSE)*Invoer_Ontwerp[[#This Row],[Aantal Eenheden]],0)</f>
        <v>89.800000000000011</v>
      </c>
      <c r="S15" s="5">
        <f>_xlfn.IFNA(VLOOKUP(Invoer_Ontwerp[[#This Row],[Product]],Database_Productkaarten[[Product]:[Levensduur]],14,FALSE),0)</f>
        <v>25</v>
      </c>
      <c r="T15" s="5">
        <f>MAX(IFERROR($A$2/Invoer_Ontwerp[[#This Row],[Product levensduur '[jaar']]]-1,0),0)</f>
        <v>0</v>
      </c>
      <c r="U15" s="5"/>
      <c r="V15" s="5"/>
      <c r="W15" s="5"/>
      <c r="X15" s="6"/>
      <c r="Y15" s="6"/>
      <c r="Z15" s="6"/>
      <c r="AA15" s="6"/>
      <c r="AB15" s="6"/>
      <c r="AC15" s="5"/>
      <c r="AD15" s="6"/>
      <c r="AE15" s="6"/>
      <c r="AF15" s="6"/>
      <c r="AG15" s="6"/>
      <c r="AH15" s="6"/>
      <c r="AI15" s="6"/>
      <c r="AJ15" s="3"/>
    </row>
    <row r="16" spans="1:36" ht="14.25">
      <c r="B16" s="3" t="s">
        <v>57</v>
      </c>
      <c r="C16" s="3" t="s">
        <v>38</v>
      </c>
      <c r="D16" s="3"/>
      <c r="E16" s="3" t="s">
        <v>39</v>
      </c>
      <c r="F16" s="1" t="s">
        <v>40</v>
      </c>
      <c r="G16" s="1" t="s">
        <v>41</v>
      </c>
      <c r="H16" s="190">
        <f>_xlfn.IFNA(VLOOKUP(Invoer_Ontwerp[[#This Row],[Product]],Database_Productkaarten[[Product]:[Comment]],64,FALSE),0)</f>
        <v>3</v>
      </c>
      <c r="I16" s="1" t="str">
        <f>_xlfn.IFNA(VLOOKUP(Invoer_Ontwerp[[#This Row],[Product]],Database_Productkaarten[[Product]:[Producttype]],3,FALSE),0)</f>
        <v>Grond</v>
      </c>
      <c r="J16" s="5">
        <v>490</v>
      </c>
      <c r="K16" s="1" t="str">
        <f>_xlfn.IFNA(VLOOKUP(Invoer_Ontwerp[[#This Row],[Product]],Database_Productkaarten[[#All],[Product]:[Eenheid]],4,FALSE),0)</f>
        <v>m3</v>
      </c>
      <c r="L16" s="127" t="s">
        <v>42</v>
      </c>
      <c r="M16" s="127" t="s">
        <v>43</v>
      </c>
      <c r="N16" s="3">
        <v>0.98</v>
      </c>
      <c r="O16" s="3">
        <f>Invoer_Ontwerp[[#This Row],[Lengte'[m']]]*Invoer_Ontwerp[[#This Row],[Breedte '[m']]]</f>
        <v>500</v>
      </c>
      <c r="P16" s="3">
        <f>IFERROR(IF(Invoer_Ontwerp[[#This Row],[Oppervlakte '[m2']]]*Invoer_Ontwerp[[#This Row],[Dikte '[m']]]=0,Invoer_Ontwerp[[#This Row],[Gewicht '[ton']]]/Invoer_Ontwerp[[#This Row],[Soortelijk gewicht '[ton / m3']]],Invoer_Ontwerp[[#This Row],[Oppervlakte '[m2']]]*Invoer_Ontwerp[[#This Row],[Dikte '[m']]]),0)</f>
        <v>490</v>
      </c>
      <c r="Q16" s="3">
        <f>_xlfn.IFNA(VLOOKUP(Invoer_Ontwerp[[#This Row],[Product]],Database_Productkaarten[[Product]:[Soortelijk Gewicht '[ton / m3']]],11,FALSE),0)</f>
        <v>1.625</v>
      </c>
      <c r="R16" s="3">
        <f>_xlfn.IFNA(VLOOKUP(Invoer_Ontwerp[[#This Row],[Product]],Database_Productkaarten[[Product]:[Gewicht '[ton'] / Eenheid]],12,FALSE)*Invoer_Ontwerp[[#This Row],[Aantal Eenheden]],0)</f>
        <v>796.25</v>
      </c>
      <c r="S16" s="5">
        <f>_xlfn.IFNA(VLOOKUP(Invoer_Ontwerp[[#This Row],[Product]],Database_Productkaarten[[Product]:[Levensduur]],14,FALSE),0)</f>
        <v>100</v>
      </c>
      <c r="T16" s="5">
        <f>MAX(IFERROR($A$2/Invoer_Ontwerp[[#This Row],[Product levensduur '[jaar']]]-1,0),0)</f>
        <v>0</v>
      </c>
      <c r="U16" s="5"/>
      <c r="V16" s="5"/>
      <c r="W16" s="5"/>
      <c r="X16" s="6"/>
      <c r="Y16" s="6"/>
      <c r="Z16" s="6"/>
      <c r="AA16" s="6"/>
      <c r="AB16" s="6"/>
      <c r="AC16" s="5"/>
      <c r="AD16" s="6"/>
      <c r="AE16" s="6"/>
      <c r="AF16" s="6"/>
      <c r="AG16" s="6"/>
      <c r="AH16" s="6"/>
      <c r="AI16" s="6"/>
      <c r="AJ16" s="3"/>
    </row>
    <row r="17" spans="2:45">
      <c r="B17" s="3" t="s">
        <v>57</v>
      </c>
      <c r="C17" s="3" t="s">
        <v>58</v>
      </c>
      <c r="D17" s="3"/>
      <c r="E17" s="3" t="s">
        <v>45</v>
      </c>
      <c r="F17" s="1" t="s">
        <v>40</v>
      </c>
      <c r="G17" s="1" t="s">
        <v>46</v>
      </c>
      <c r="H17" s="190">
        <f>_xlfn.IFNA(VLOOKUP(Invoer_Ontwerp[[#This Row],[Product]],Database_Productkaarten[[Product]:[Comment]],64,FALSE),0)</f>
        <v>3</v>
      </c>
      <c r="I17" s="1" t="str">
        <f>_xlfn.IFNA(VLOOKUP(Invoer_Ontwerp[[#This Row],[Product]],Database_Productkaarten[[Product]:[Producttype]],3,FALSE),0)</f>
        <v>Zand</v>
      </c>
      <c r="J17" s="5">
        <v>25</v>
      </c>
      <c r="K17" s="1" t="str">
        <f>_xlfn.IFNA(VLOOKUP(Invoer_Ontwerp[[#This Row],[Product]],Database_Productkaarten[[#All],[Product]:[Eenheid]],4,FALSE),0)</f>
        <v>m3</v>
      </c>
      <c r="L17" s="127" t="s">
        <v>42</v>
      </c>
      <c r="M17" s="127" t="s">
        <v>43</v>
      </c>
      <c r="N17" s="3">
        <v>0.05</v>
      </c>
      <c r="O17" s="3">
        <f>Invoer_Ontwerp[[#This Row],[Lengte'[m']]]*Invoer_Ontwerp[[#This Row],[Breedte '[m']]]</f>
        <v>500</v>
      </c>
      <c r="P17" s="3">
        <f>IFERROR(IF(Invoer_Ontwerp[[#This Row],[Oppervlakte '[m2']]]*Invoer_Ontwerp[[#This Row],[Dikte '[m']]]=0,Invoer_Ontwerp[[#This Row],[Gewicht '[ton']]]/Invoer_Ontwerp[[#This Row],[Soortelijk gewicht '[ton / m3']]],Invoer_Ontwerp[[#This Row],[Oppervlakte '[m2']]]*Invoer_Ontwerp[[#This Row],[Dikte '[m']]]),0)</f>
        <v>25</v>
      </c>
      <c r="Q17" s="3">
        <f>_xlfn.IFNA(VLOOKUP(Invoer_Ontwerp[[#This Row],[Product]],Database_Productkaarten[[Product]:[Soortelijk Gewicht '[ton / m3']]],11,FALSE),0)</f>
        <v>1.5</v>
      </c>
      <c r="R17" s="3">
        <f>_xlfn.IFNA(VLOOKUP(Invoer_Ontwerp[[#This Row],[Product]],Database_Productkaarten[[Product]:[Gewicht '[ton'] / Eenheid]],12,FALSE)*Invoer_Ontwerp[[#This Row],[Aantal Eenheden]],0)</f>
        <v>37.5</v>
      </c>
      <c r="S17" s="5">
        <f>_xlfn.IFNA(VLOOKUP(Invoer_Ontwerp[[#This Row],[Product]],Database_Productkaarten[[Product]:[Levensduur]],14,FALSE),0)</f>
        <v>100</v>
      </c>
      <c r="T17" s="5">
        <f>MAX(IFERROR($A$2/Invoer_Ontwerp[[#This Row],[Product levensduur '[jaar']]]-1,0),0)</f>
        <v>0</v>
      </c>
      <c r="U17" s="5"/>
      <c r="V17" s="5"/>
      <c r="W17" s="5"/>
      <c r="X17" s="6"/>
      <c r="Y17" s="6"/>
      <c r="Z17" s="6"/>
      <c r="AA17" s="6"/>
      <c r="AB17" s="6"/>
      <c r="AC17" s="5"/>
      <c r="AD17" s="6"/>
      <c r="AE17" s="6"/>
      <c r="AF17" s="6"/>
      <c r="AG17" s="6"/>
      <c r="AH17" s="6"/>
      <c r="AI17" s="6"/>
      <c r="AJ17" s="3"/>
      <c r="AR17" s="179"/>
      <c r="AS17" s="178"/>
    </row>
    <row r="18" spans="2:45" ht="14.25">
      <c r="B18" s="3" t="s">
        <v>57</v>
      </c>
      <c r="C18" s="3" t="s">
        <v>59</v>
      </c>
      <c r="D18" s="3"/>
      <c r="E18" s="3" t="s">
        <v>45</v>
      </c>
      <c r="F18" s="1" t="s">
        <v>48</v>
      </c>
      <c r="G18" s="1" t="s">
        <v>60</v>
      </c>
      <c r="H18" s="190">
        <f>_xlfn.IFNA(VLOOKUP(Invoer_Ontwerp[[#This Row],[Product]],Database_Productkaarten[[Product]:[Comment]],64,FALSE),0)</f>
        <v>3</v>
      </c>
      <c r="I18" s="1" t="str">
        <f>_xlfn.IFNA(VLOOKUP(Invoer_Ontwerp[[#This Row],[Product]],Database_Productkaarten[[Product]:[Producttype]],3,FALSE),0)</f>
        <v>Waterbergende laag</v>
      </c>
      <c r="J18" s="5">
        <v>500</v>
      </c>
      <c r="K18" s="1" t="str">
        <f>_xlfn.IFNA(VLOOKUP(Invoer_Ontwerp[[#This Row],[Product]],Database_Productkaarten[[#All],[Product]:[Eenheid]],4,FALSE),0)</f>
        <v>m2</v>
      </c>
      <c r="L18" s="127" t="s">
        <v>42</v>
      </c>
      <c r="M18" s="127" t="s">
        <v>43</v>
      </c>
      <c r="N18" s="3">
        <v>0.5</v>
      </c>
      <c r="O18" s="3">
        <f>Invoer_Ontwerp[[#This Row],[Lengte'[m']]]*Invoer_Ontwerp[[#This Row],[Breedte '[m']]]</f>
        <v>500</v>
      </c>
      <c r="P18" s="3">
        <f>IFERROR(IF(Invoer_Ontwerp[[#This Row],[Oppervlakte '[m2']]]*Invoer_Ontwerp[[#This Row],[Dikte '[m']]]=0,Invoer_Ontwerp[[#This Row],[Gewicht '[ton']]]/Invoer_Ontwerp[[#This Row],[Soortelijk gewicht '[ton / m3']]],Invoer_Ontwerp[[#This Row],[Oppervlakte '[m2']]]*Invoer_Ontwerp[[#This Row],[Dikte '[m']]]),0)</f>
        <v>250</v>
      </c>
      <c r="Q18" s="3">
        <f>_xlfn.IFNA(VLOOKUP(Invoer_Ontwerp[[#This Row],[Product]],Database_Productkaarten[[Product]:[Soortelijk Gewicht '[ton / m3']]],11,FALSE),0)</f>
        <v>0</v>
      </c>
      <c r="R18" s="3">
        <f>_xlfn.IFNA(VLOOKUP(Invoer_Ontwerp[[#This Row],[Product]],Database_Productkaarten[[Product]:[Gewicht '[ton'] / Eenheid]],12,FALSE)*Invoer_Ontwerp[[#This Row],[Aantal Eenheden]],0)</f>
        <v>7</v>
      </c>
      <c r="S18" s="337">
        <f>_xlfn.IFNA(VLOOKUP(Invoer_Ontwerp[[#This Row],[Product]],Database_Productkaarten[[Product]:[Levensduur]],14,FALSE),0)</f>
        <v>15</v>
      </c>
      <c r="T18" s="5">
        <f>MAX(IFERROR($A$2/Invoer_Ontwerp[[#This Row],[Product levensduur '[jaar']]]-1,0),0)</f>
        <v>0</v>
      </c>
      <c r="U18" s="5"/>
      <c r="V18" s="5"/>
      <c r="W18" s="5"/>
      <c r="X18" s="6"/>
      <c r="Y18" s="6"/>
      <c r="Z18" s="6"/>
      <c r="AA18" s="6"/>
      <c r="AB18" s="6"/>
      <c r="AC18" s="5"/>
      <c r="AD18" s="6"/>
      <c r="AE18" s="6"/>
      <c r="AF18" s="6"/>
      <c r="AG18" s="6"/>
      <c r="AH18" s="6"/>
      <c r="AI18" s="6"/>
      <c r="AJ18" s="3"/>
    </row>
    <row r="19" spans="2:45" ht="14.25">
      <c r="B19" s="3" t="s">
        <v>57</v>
      </c>
      <c r="C19" s="3" t="s">
        <v>50</v>
      </c>
      <c r="D19" s="3"/>
      <c r="E19" s="3" t="s">
        <v>45</v>
      </c>
      <c r="F19" s="1" t="s">
        <v>48</v>
      </c>
      <c r="G19" s="1" t="s">
        <v>61</v>
      </c>
      <c r="H19" s="190">
        <f>_xlfn.IFNA(VLOOKUP(Invoer_Ontwerp[[#This Row],[Product]],Database_Productkaarten[[Product]:[Comment]],64,FALSE),0)</f>
        <v>3</v>
      </c>
      <c r="I19" s="1" t="str">
        <f>_xlfn.IFNA(VLOOKUP(Invoer_Ontwerp[[#This Row],[Product]],Database_Productkaarten[[Product]:[Producttype]],3,FALSE),0)</f>
        <v>Menggranulaat</v>
      </c>
      <c r="J19" s="5">
        <v>500</v>
      </c>
      <c r="K19" s="1" t="str">
        <f>_xlfn.IFNA(VLOOKUP(Invoer_Ontwerp[[#This Row],[Product]],Database_Productkaarten[[#All],[Product]:[Eenheid]],4,FALSE),0)</f>
        <v>m2</v>
      </c>
      <c r="L19" s="127" t="s">
        <v>42</v>
      </c>
      <c r="M19" s="127" t="s">
        <v>43</v>
      </c>
      <c r="N19" s="3">
        <v>0.3</v>
      </c>
      <c r="O19" s="3">
        <f>Invoer_Ontwerp[[#This Row],[Lengte'[m']]]*Invoer_Ontwerp[[#This Row],[Breedte '[m']]]</f>
        <v>500</v>
      </c>
      <c r="P19" s="3">
        <f>IFERROR(IF(Invoer_Ontwerp[[#This Row],[Oppervlakte '[m2']]]*Invoer_Ontwerp[[#This Row],[Dikte '[m']]]=0,Invoer_Ontwerp[[#This Row],[Gewicht '[ton']]]/Invoer_Ontwerp[[#This Row],[Soortelijk gewicht '[ton / m3']]],Invoer_Ontwerp[[#This Row],[Oppervlakte '[m2']]]*Invoer_Ontwerp[[#This Row],[Dikte '[m']]]),0)</f>
        <v>150</v>
      </c>
      <c r="Q19" s="3">
        <f>_xlfn.IFNA(VLOOKUP(Invoer_Ontwerp[[#This Row],[Product]],Database_Productkaarten[[Product]:[Soortelijk Gewicht '[ton / m3']]],11,FALSE),0)</f>
        <v>1.95</v>
      </c>
      <c r="R19" s="3">
        <f>_xlfn.IFNA(VLOOKUP(Invoer_Ontwerp[[#This Row],[Product]],Database_Productkaarten[[Product]:[Gewicht '[ton'] / Eenheid]],12,FALSE)*Invoer_Ontwerp[[#This Row],[Aantal Eenheden]],0)</f>
        <v>292.5</v>
      </c>
      <c r="S19" s="5">
        <f>_xlfn.IFNA(VLOOKUP(Invoer_Ontwerp[[#This Row],[Product]],Database_Productkaarten[[Product]:[Levensduur]],14,FALSE),0)</f>
        <v>100</v>
      </c>
      <c r="T19" s="5">
        <f>MAX(IFERROR($A$2/Invoer_Ontwerp[[#This Row],[Product levensduur '[jaar']]]-1,0),0)</f>
        <v>0</v>
      </c>
      <c r="U19" s="5"/>
      <c r="V19" s="5"/>
      <c r="W19" s="5"/>
      <c r="X19" s="6"/>
      <c r="Y19" s="6"/>
      <c r="Z19" s="6"/>
      <c r="AA19" s="6"/>
      <c r="AB19" s="6"/>
      <c r="AC19" s="5"/>
      <c r="AD19" s="6"/>
      <c r="AE19" s="6"/>
      <c r="AF19" s="6"/>
      <c r="AG19" s="6"/>
      <c r="AH19" s="6"/>
      <c r="AI19" s="6"/>
      <c r="AJ19" s="3"/>
    </row>
    <row r="20" spans="2:45" ht="14.25">
      <c r="B20" s="3" t="s">
        <v>57</v>
      </c>
      <c r="C20" s="3" t="s">
        <v>53</v>
      </c>
      <c r="D20" s="3"/>
      <c r="E20" s="3" t="s">
        <v>45</v>
      </c>
      <c r="F20" s="1" t="s">
        <v>40</v>
      </c>
      <c r="G20" s="1" t="s">
        <v>46</v>
      </c>
      <c r="H20" s="190">
        <f>_xlfn.IFNA(VLOOKUP(Invoer_Ontwerp[[#This Row],[Product]],Database_Productkaarten[[Product]:[Comment]],64,FALSE),0)</f>
        <v>3</v>
      </c>
      <c r="I20" s="1" t="str">
        <f>_xlfn.IFNA(VLOOKUP(Invoer_Ontwerp[[#This Row],[Product]],Database_Productkaarten[[Product]:[Producttype]],3,FALSE),0)</f>
        <v>Zand</v>
      </c>
      <c r="J20" s="5">
        <v>25</v>
      </c>
      <c r="K20" s="1" t="str">
        <f>_xlfn.IFNA(VLOOKUP(Invoer_Ontwerp[[#This Row],[Product]],Database_Productkaarten[[#All],[Product]:[Eenheid]],4,FALSE),0)</f>
        <v>m3</v>
      </c>
      <c r="L20" s="127" t="s">
        <v>42</v>
      </c>
      <c r="M20" s="127" t="s">
        <v>43</v>
      </c>
      <c r="N20" s="3">
        <v>0.05</v>
      </c>
      <c r="O20" s="3">
        <f>Invoer_Ontwerp[[#This Row],[Lengte'[m']]]*Invoer_Ontwerp[[#This Row],[Breedte '[m']]]</f>
        <v>500</v>
      </c>
      <c r="P20" s="3">
        <f>IFERROR(IF(Invoer_Ontwerp[[#This Row],[Oppervlakte '[m2']]]*Invoer_Ontwerp[[#This Row],[Dikte '[m']]]=0,Invoer_Ontwerp[[#This Row],[Gewicht '[ton']]]/Invoer_Ontwerp[[#This Row],[Soortelijk gewicht '[ton / m3']]],Invoer_Ontwerp[[#This Row],[Oppervlakte '[m2']]]*Invoer_Ontwerp[[#This Row],[Dikte '[m']]]),0)</f>
        <v>25</v>
      </c>
      <c r="Q20" s="3">
        <f>_xlfn.IFNA(VLOOKUP(Invoer_Ontwerp[[#This Row],[Product]],Database_Productkaarten[[Product]:[Soortelijk Gewicht '[ton / m3']]],11,FALSE),0)</f>
        <v>1.5</v>
      </c>
      <c r="R20" s="3">
        <f>_xlfn.IFNA(VLOOKUP(Invoer_Ontwerp[[#This Row],[Product]],Database_Productkaarten[[Product]:[Gewicht '[ton'] / Eenheid]],12,FALSE)*Invoer_Ontwerp[[#This Row],[Aantal Eenheden]],0)</f>
        <v>37.5</v>
      </c>
      <c r="S20" s="5">
        <f>_xlfn.IFNA(VLOOKUP(Invoer_Ontwerp[[#This Row],[Product]],Database_Productkaarten[[Product]:[Levensduur]],14,FALSE),0)</f>
        <v>100</v>
      </c>
      <c r="T20" s="5">
        <f>MAX(IFERROR($A$2/Invoer_Ontwerp[[#This Row],[Product levensduur '[jaar']]]-1,0),0)</f>
        <v>0</v>
      </c>
      <c r="U20" s="5"/>
      <c r="V20" s="5"/>
      <c r="W20" s="5"/>
      <c r="X20" s="6"/>
      <c r="Y20" s="6"/>
      <c r="Z20" s="6"/>
      <c r="AA20" s="6"/>
      <c r="AB20" s="6"/>
      <c r="AC20" s="5"/>
      <c r="AD20" s="6"/>
      <c r="AE20" s="6"/>
      <c r="AF20" s="6"/>
      <c r="AG20" s="6"/>
      <c r="AH20" s="6"/>
      <c r="AI20" s="6"/>
      <c r="AJ20" s="3"/>
    </row>
    <row r="21" spans="2:45" ht="14.25">
      <c r="B21" s="3" t="s">
        <v>57</v>
      </c>
      <c r="C21" s="3" t="s">
        <v>54</v>
      </c>
      <c r="D21" s="3"/>
      <c r="E21" s="3" t="s">
        <v>45</v>
      </c>
      <c r="F21" s="1" t="s">
        <v>55</v>
      </c>
      <c r="G21" s="1" t="s">
        <v>56</v>
      </c>
      <c r="H21" s="190">
        <f>_xlfn.IFNA(VLOOKUP(Invoer_Ontwerp[[#This Row],[Product]],Database_Productkaarten[[Product]:[Comment]],64,FALSE),0)</f>
        <v>3</v>
      </c>
      <c r="I21" s="1" t="str">
        <f>_xlfn.IFNA(VLOOKUP(Invoer_Ontwerp[[#This Row],[Product]],Database_Productkaarten[[Product]:[Producttype]],3,FALSE),0)</f>
        <v>Betonstraatsteen</v>
      </c>
      <c r="J21" s="5">
        <v>500</v>
      </c>
      <c r="K21" s="1" t="str">
        <f>_xlfn.IFNA(VLOOKUP(Invoer_Ontwerp[[#This Row],[Product]],Database_Productkaarten[[#All],[Product]:[Eenheid]],4,FALSE),0)</f>
        <v>m2</v>
      </c>
      <c r="L21" s="127" t="s">
        <v>42</v>
      </c>
      <c r="M21" s="127" t="s">
        <v>43</v>
      </c>
      <c r="N21" s="3">
        <v>0.08</v>
      </c>
      <c r="O21" s="3">
        <f>Invoer_Ontwerp[[#This Row],[Lengte'[m']]]*Invoer_Ontwerp[[#This Row],[Breedte '[m']]]</f>
        <v>500</v>
      </c>
      <c r="P21" s="3">
        <f>IFERROR(IF(Invoer_Ontwerp[[#This Row],[Oppervlakte '[m2']]]*Invoer_Ontwerp[[#This Row],[Dikte '[m']]]=0,Invoer_Ontwerp[[#This Row],[Gewicht '[ton']]]/Invoer_Ontwerp[[#This Row],[Soortelijk gewicht '[ton / m3']]],Invoer_Ontwerp[[#This Row],[Oppervlakte '[m2']]]*Invoer_Ontwerp[[#This Row],[Dikte '[m']]]),0)</f>
        <v>40</v>
      </c>
      <c r="Q21" s="3">
        <f>_xlfn.IFNA(VLOOKUP(Invoer_Ontwerp[[#This Row],[Product]],Database_Productkaarten[[Product]:[Soortelijk Gewicht '[ton / m3']]],11,FALSE),0)</f>
        <v>2.4</v>
      </c>
      <c r="R21" s="3">
        <f>_xlfn.IFNA(VLOOKUP(Invoer_Ontwerp[[#This Row],[Product]],Database_Productkaarten[[Product]:[Gewicht '[ton'] / Eenheid]],12,FALSE)*Invoer_Ontwerp[[#This Row],[Aantal Eenheden]],0)</f>
        <v>89.800000000000011</v>
      </c>
      <c r="S21" s="5">
        <f>_xlfn.IFNA(VLOOKUP(Invoer_Ontwerp[[#This Row],[Product]],Database_Productkaarten[[Product]:[Levensduur]],14,FALSE),0)</f>
        <v>25</v>
      </c>
      <c r="T21" s="5">
        <f>MAX(IFERROR($A$2/Invoer_Ontwerp[[#This Row],[Product levensduur '[jaar']]]-1,0),0)</f>
        <v>0</v>
      </c>
      <c r="U21" s="5"/>
      <c r="V21" s="5"/>
      <c r="W21" s="5"/>
      <c r="X21" s="6"/>
      <c r="Y21" s="6"/>
      <c r="Z21" s="6"/>
      <c r="AA21" s="6"/>
      <c r="AB21" s="6"/>
      <c r="AC21" s="5"/>
      <c r="AD21" s="6"/>
      <c r="AE21" s="6"/>
      <c r="AF21" s="6"/>
      <c r="AG21" s="6"/>
      <c r="AH21" s="6"/>
      <c r="AI21" s="6"/>
      <c r="AJ21" s="3"/>
    </row>
    <row r="22" spans="2:45" ht="14.25">
      <c r="B22" s="3" t="s">
        <v>57</v>
      </c>
      <c r="C22" s="3" t="s">
        <v>58</v>
      </c>
      <c r="D22" s="3"/>
      <c r="E22" s="3" t="s">
        <v>39</v>
      </c>
      <c r="F22" s="1" t="s">
        <v>40</v>
      </c>
      <c r="G22" s="1" t="s">
        <v>46</v>
      </c>
      <c r="H22" s="190">
        <f>_xlfn.IFNA(VLOOKUP(Invoer_Ontwerp[[#This Row],[Product]],Database_Productkaarten[[Product]:[Comment]],64,FALSE),0)</f>
        <v>3</v>
      </c>
      <c r="I22" s="1" t="str">
        <f>_xlfn.IFNA(VLOOKUP(Invoer_Ontwerp[[#This Row],[Product]],Database_Productkaarten[[Product]:[Producttype]],3,FALSE),0)</f>
        <v>Zand</v>
      </c>
      <c r="J22" s="5">
        <v>25</v>
      </c>
      <c r="K22" s="1" t="str">
        <f>_xlfn.IFNA(VLOOKUP(Invoer_Ontwerp[[#This Row],[Product]],Database_Productkaarten[[#All],[Product]:[Eenheid]],4,FALSE),0)</f>
        <v>m3</v>
      </c>
      <c r="L22" s="127" t="s">
        <v>42</v>
      </c>
      <c r="M22" s="127" t="s">
        <v>43</v>
      </c>
      <c r="N22" s="3">
        <v>0.05</v>
      </c>
      <c r="O22" s="3">
        <f>Invoer_Ontwerp[[#This Row],[Lengte'[m']]]*Invoer_Ontwerp[[#This Row],[Breedte '[m']]]</f>
        <v>500</v>
      </c>
      <c r="P22" s="3">
        <f>IFERROR(IF(Invoer_Ontwerp[[#This Row],[Oppervlakte '[m2']]]*Invoer_Ontwerp[[#This Row],[Dikte '[m']]]=0,Invoer_Ontwerp[[#This Row],[Gewicht '[ton']]]/Invoer_Ontwerp[[#This Row],[Soortelijk gewicht '[ton / m3']]],Invoer_Ontwerp[[#This Row],[Oppervlakte '[m2']]]*Invoer_Ontwerp[[#This Row],[Dikte '[m']]]),0)</f>
        <v>25</v>
      </c>
      <c r="Q22" s="3">
        <f>_xlfn.IFNA(VLOOKUP(Invoer_Ontwerp[[#This Row],[Product]],Database_Productkaarten[[Product]:[Soortelijk Gewicht '[ton / m3']]],11,FALSE),0)</f>
        <v>1.5</v>
      </c>
      <c r="R22" s="3">
        <f>_xlfn.IFNA(VLOOKUP(Invoer_Ontwerp[[#This Row],[Product]],Database_Productkaarten[[Product]:[Gewicht '[ton'] / Eenheid]],12,FALSE)*Invoer_Ontwerp[[#This Row],[Aantal Eenheden]],0)</f>
        <v>37.5</v>
      </c>
      <c r="S22" s="5">
        <f>_xlfn.IFNA(VLOOKUP(Invoer_Ontwerp[[#This Row],[Product]],Database_Productkaarten[[Product]:[Levensduur]],14,FALSE),0)</f>
        <v>100</v>
      </c>
      <c r="T22" s="5">
        <f>MAX(IFERROR($A$2/Invoer_Ontwerp[[#This Row],[Product levensduur '[jaar']]]-1,0),0)</f>
        <v>0</v>
      </c>
      <c r="U22" s="5"/>
      <c r="V22" s="5"/>
      <c r="W22" s="5"/>
      <c r="X22" s="6"/>
      <c r="Y22" s="6"/>
      <c r="Z22" s="6"/>
      <c r="AA22" s="6"/>
      <c r="AB22" s="6"/>
      <c r="AC22" s="5"/>
      <c r="AD22" s="6"/>
      <c r="AE22" s="6"/>
      <c r="AF22" s="6"/>
      <c r="AG22" s="6"/>
      <c r="AH22" s="6"/>
      <c r="AI22" s="6"/>
      <c r="AJ22" s="3"/>
    </row>
    <row r="23" spans="2:45" ht="14.25">
      <c r="B23" s="3" t="s">
        <v>57</v>
      </c>
      <c r="C23" s="3" t="s">
        <v>59</v>
      </c>
      <c r="D23" s="3"/>
      <c r="E23" s="3" t="s">
        <v>39</v>
      </c>
      <c r="F23" s="1" t="s">
        <v>48</v>
      </c>
      <c r="G23" s="1" t="s">
        <v>60</v>
      </c>
      <c r="H23" s="190">
        <f>_xlfn.IFNA(VLOOKUP(Invoer_Ontwerp[[#This Row],[Product]],Database_Productkaarten[[Product]:[Comment]],64,FALSE),0)</f>
        <v>3</v>
      </c>
      <c r="I23" s="1" t="str">
        <f>_xlfn.IFNA(VLOOKUP(Invoer_Ontwerp[[#This Row],[Product]],Database_Productkaarten[[Product]:[Producttype]],3,FALSE),0)</f>
        <v>Waterbergende laag</v>
      </c>
      <c r="J23" s="5">
        <v>500</v>
      </c>
      <c r="K23" s="1" t="str">
        <f>_xlfn.IFNA(VLOOKUP(Invoer_Ontwerp[[#This Row],[Product]],Database_Productkaarten[[#All],[Product]:[Eenheid]],4,FALSE),0)</f>
        <v>m2</v>
      </c>
      <c r="L23" s="127" t="s">
        <v>42</v>
      </c>
      <c r="M23" s="127" t="s">
        <v>43</v>
      </c>
      <c r="N23" s="3">
        <v>0.5</v>
      </c>
      <c r="O23" s="3">
        <f>Invoer_Ontwerp[[#This Row],[Lengte'[m']]]*Invoer_Ontwerp[[#This Row],[Breedte '[m']]]</f>
        <v>500</v>
      </c>
      <c r="P23" s="3">
        <f>IFERROR(IF(Invoer_Ontwerp[[#This Row],[Oppervlakte '[m2']]]*Invoer_Ontwerp[[#This Row],[Dikte '[m']]]=0,Invoer_Ontwerp[[#This Row],[Gewicht '[ton']]]/Invoer_Ontwerp[[#This Row],[Soortelijk gewicht '[ton / m3']]],Invoer_Ontwerp[[#This Row],[Oppervlakte '[m2']]]*Invoer_Ontwerp[[#This Row],[Dikte '[m']]]),0)</f>
        <v>250</v>
      </c>
      <c r="Q23" s="3">
        <f>_xlfn.IFNA(VLOOKUP(Invoer_Ontwerp[[#This Row],[Product]],Database_Productkaarten[[Product]:[Soortelijk Gewicht '[ton / m3']]],11,FALSE),0)</f>
        <v>0</v>
      </c>
      <c r="R23" s="3">
        <f>_xlfn.IFNA(VLOOKUP(Invoer_Ontwerp[[#This Row],[Product]],Database_Productkaarten[[Product]:[Gewicht '[ton'] / Eenheid]],12,FALSE)*Invoer_Ontwerp[[#This Row],[Aantal Eenheden]],0)</f>
        <v>7</v>
      </c>
      <c r="S23" s="337">
        <f>_xlfn.IFNA(VLOOKUP(Invoer_Ontwerp[[#This Row],[Product]],Database_Productkaarten[[Product]:[Levensduur]],14,FALSE),0)</f>
        <v>15</v>
      </c>
      <c r="T23" s="5">
        <f>MAX(IFERROR($A$2/Invoer_Ontwerp[[#This Row],[Product levensduur '[jaar']]]-1,0),0)</f>
        <v>0</v>
      </c>
      <c r="U23" s="5"/>
      <c r="V23" s="5"/>
      <c r="W23" s="5"/>
      <c r="X23" s="6"/>
      <c r="Y23" s="6"/>
      <c r="Z23" s="6"/>
      <c r="AA23" s="6"/>
      <c r="AB23" s="6"/>
      <c r="AC23" s="5"/>
      <c r="AD23" s="6"/>
      <c r="AE23" s="6"/>
      <c r="AF23" s="6"/>
      <c r="AG23" s="6"/>
      <c r="AH23" s="6"/>
      <c r="AI23" s="6"/>
      <c r="AJ23" s="3"/>
    </row>
    <row r="24" spans="2:45" ht="14.25">
      <c r="B24" s="3" t="s">
        <v>57</v>
      </c>
      <c r="C24" s="3" t="s">
        <v>50</v>
      </c>
      <c r="D24" s="3"/>
      <c r="E24" s="3" t="s">
        <v>39</v>
      </c>
      <c r="F24" s="1" t="s">
        <v>48</v>
      </c>
      <c r="G24" s="1" t="s">
        <v>61</v>
      </c>
      <c r="H24" s="190">
        <f>_xlfn.IFNA(VLOOKUP(Invoer_Ontwerp[[#This Row],[Product]],Database_Productkaarten[[Product]:[Comment]],64,FALSE),0)</f>
        <v>3</v>
      </c>
      <c r="I24" s="1" t="str">
        <f>_xlfn.IFNA(VLOOKUP(Invoer_Ontwerp[[#This Row],[Product]],Database_Productkaarten[[Product]:[Producttype]],3,FALSE),0)</f>
        <v>Menggranulaat</v>
      </c>
      <c r="J24" s="5">
        <v>500</v>
      </c>
      <c r="K24" s="1" t="str">
        <f>_xlfn.IFNA(VLOOKUP(Invoer_Ontwerp[[#This Row],[Product]],Database_Productkaarten[[#All],[Product]:[Eenheid]],4,FALSE),0)</f>
        <v>m2</v>
      </c>
      <c r="L24" s="127" t="s">
        <v>42</v>
      </c>
      <c r="M24" s="127" t="s">
        <v>43</v>
      </c>
      <c r="N24" s="3">
        <v>0.3</v>
      </c>
      <c r="O24" s="3">
        <f>Invoer_Ontwerp[[#This Row],[Lengte'[m']]]*Invoer_Ontwerp[[#This Row],[Breedte '[m']]]</f>
        <v>500</v>
      </c>
      <c r="P24" s="3">
        <f>IFERROR(IF(Invoer_Ontwerp[[#This Row],[Oppervlakte '[m2']]]*Invoer_Ontwerp[[#This Row],[Dikte '[m']]]=0,Invoer_Ontwerp[[#This Row],[Gewicht '[ton']]]/Invoer_Ontwerp[[#This Row],[Soortelijk gewicht '[ton / m3']]],Invoer_Ontwerp[[#This Row],[Oppervlakte '[m2']]]*Invoer_Ontwerp[[#This Row],[Dikte '[m']]]),0)</f>
        <v>150</v>
      </c>
      <c r="Q24" s="3">
        <f>_xlfn.IFNA(VLOOKUP(Invoer_Ontwerp[[#This Row],[Product]],Database_Productkaarten[[Product]:[Soortelijk Gewicht '[ton / m3']]],11,FALSE),0)</f>
        <v>1.95</v>
      </c>
      <c r="R24" s="3">
        <f>_xlfn.IFNA(VLOOKUP(Invoer_Ontwerp[[#This Row],[Product]],Database_Productkaarten[[Product]:[Gewicht '[ton'] / Eenheid]],12,FALSE)*Invoer_Ontwerp[[#This Row],[Aantal Eenheden]],0)</f>
        <v>292.5</v>
      </c>
      <c r="S24" s="5">
        <f>_xlfn.IFNA(VLOOKUP(Invoer_Ontwerp[[#This Row],[Product]],Database_Productkaarten[[Product]:[Levensduur]],14,FALSE),0)</f>
        <v>100</v>
      </c>
      <c r="T24" s="5">
        <f>MAX(IFERROR($A$2/Invoer_Ontwerp[[#This Row],[Product levensduur '[jaar']]]-1,0),0)</f>
        <v>0</v>
      </c>
      <c r="U24" s="5"/>
      <c r="V24" s="5"/>
      <c r="W24" s="5"/>
      <c r="X24" s="6"/>
      <c r="Y24" s="6"/>
      <c r="Z24" s="6"/>
      <c r="AA24" s="6"/>
      <c r="AB24" s="6"/>
      <c r="AC24" s="5"/>
      <c r="AD24" s="6"/>
      <c r="AE24" s="6"/>
      <c r="AF24" s="6"/>
      <c r="AG24" s="6"/>
      <c r="AH24" s="6"/>
      <c r="AI24" s="6"/>
      <c r="AJ24" s="3"/>
    </row>
    <row r="25" spans="2:45" ht="14.25">
      <c r="B25" s="3" t="s">
        <v>57</v>
      </c>
      <c r="C25" s="3" t="s">
        <v>53</v>
      </c>
      <c r="D25" s="3"/>
      <c r="E25" s="3" t="s">
        <v>39</v>
      </c>
      <c r="F25" s="1" t="s">
        <v>40</v>
      </c>
      <c r="G25" s="1" t="s">
        <v>46</v>
      </c>
      <c r="H25" s="190">
        <f>_xlfn.IFNA(VLOOKUP(Invoer_Ontwerp[[#This Row],[Product]],Database_Productkaarten[[Product]:[Comment]],64,FALSE),0)</f>
        <v>3</v>
      </c>
      <c r="I25" s="1" t="str">
        <f>_xlfn.IFNA(VLOOKUP(Invoer_Ontwerp[[#This Row],[Product]],Database_Productkaarten[[Product]:[Producttype]],3,FALSE),0)</f>
        <v>Zand</v>
      </c>
      <c r="J25" s="5">
        <v>25</v>
      </c>
      <c r="K25" s="1" t="str">
        <f>_xlfn.IFNA(VLOOKUP(Invoer_Ontwerp[[#This Row],[Product]],Database_Productkaarten[[#All],[Product]:[Eenheid]],4,FALSE),0)</f>
        <v>m3</v>
      </c>
      <c r="L25" s="127" t="s">
        <v>42</v>
      </c>
      <c r="M25" s="127" t="s">
        <v>43</v>
      </c>
      <c r="N25" s="3">
        <v>0.05</v>
      </c>
      <c r="O25" s="3">
        <f>Invoer_Ontwerp[[#This Row],[Lengte'[m']]]*Invoer_Ontwerp[[#This Row],[Breedte '[m']]]</f>
        <v>500</v>
      </c>
      <c r="P25" s="3">
        <f>IFERROR(IF(Invoer_Ontwerp[[#This Row],[Oppervlakte '[m2']]]*Invoer_Ontwerp[[#This Row],[Dikte '[m']]]=0,Invoer_Ontwerp[[#This Row],[Gewicht '[ton']]]/Invoer_Ontwerp[[#This Row],[Soortelijk gewicht '[ton / m3']]],Invoer_Ontwerp[[#This Row],[Oppervlakte '[m2']]]*Invoer_Ontwerp[[#This Row],[Dikte '[m']]]),0)</f>
        <v>25</v>
      </c>
      <c r="Q25" s="3">
        <f>_xlfn.IFNA(VLOOKUP(Invoer_Ontwerp[[#This Row],[Product]],Database_Productkaarten[[Product]:[Soortelijk Gewicht '[ton / m3']]],11,FALSE),0)</f>
        <v>1.5</v>
      </c>
      <c r="R25" s="3">
        <f>_xlfn.IFNA(VLOOKUP(Invoer_Ontwerp[[#This Row],[Product]],Database_Productkaarten[[Product]:[Gewicht '[ton'] / Eenheid]],12,FALSE)*Invoer_Ontwerp[[#This Row],[Aantal Eenheden]],0)</f>
        <v>37.5</v>
      </c>
      <c r="S25" s="5">
        <f>_xlfn.IFNA(VLOOKUP(Invoer_Ontwerp[[#This Row],[Product]],Database_Productkaarten[[Product]:[Levensduur]],14,FALSE),0)</f>
        <v>100</v>
      </c>
      <c r="T25" s="5">
        <f>MAX(IFERROR($A$2/Invoer_Ontwerp[[#This Row],[Product levensduur '[jaar']]]-1,0),0)</f>
        <v>0</v>
      </c>
      <c r="U25" s="5"/>
      <c r="V25" s="5"/>
      <c r="W25" s="5"/>
      <c r="X25" s="6"/>
      <c r="Y25" s="6"/>
      <c r="Z25" s="6"/>
      <c r="AA25" s="6"/>
      <c r="AB25" s="6"/>
      <c r="AC25" s="5"/>
      <c r="AD25" s="6"/>
      <c r="AE25" s="6"/>
      <c r="AF25" s="6"/>
      <c r="AG25" s="6"/>
      <c r="AH25" s="6"/>
      <c r="AI25" s="6"/>
      <c r="AJ25" s="3"/>
    </row>
    <row r="26" spans="2:45" ht="14.25">
      <c r="B26" s="3" t="s">
        <v>57</v>
      </c>
      <c r="C26" s="3" t="s">
        <v>54</v>
      </c>
      <c r="D26" s="3"/>
      <c r="E26" s="3" t="s">
        <v>39</v>
      </c>
      <c r="F26" s="1" t="s">
        <v>55</v>
      </c>
      <c r="G26" s="1" t="s">
        <v>56</v>
      </c>
      <c r="H26" s="190">
        <f>_xlfn.IFNA(VLOOKUP(Invoer_Ontwerp[[#This Row],[Product]],Database_Productkaarten[[Product]:[Comment]],64,FALSE),0)</f>
        <v>3</v>
      </c>
      <c r="I26" s="1" t="str">
        <f>_xlfn.IFNA(VLOOKUP(Invoer_Ontwerp[[#This Row],[Product]],Database_Productkaarten[[Product]:[Producttype]],3,FALSE),0)</f>
        <v>Betonstraatsteen</v>
      </c>
      <c r="J26" s="5">
        <v>500</v>
      </c>
      <c r="K26" s="1" t="str">
        <f>_xlfn.IFNA(VLOOKUP(Invoer_Ontwerp[[#This Row],[Product]],Database_Productkaarten[[#All],[Product]:[Eenheid]],4,FALSE),0)</f>
        <v>m2</v>
      </c>
      <c r="L26" s="127" t="s">
        <v>42</v>
      </c>
      <c r="M26" s="127" t="s">
        <v>43</v>
      </c>
      <c r="N26" s="3">
        <v>0.08</v>
      </c>
      <c r="O26" s="3">
        <f>Invoer_Ontwerp[[#This Row],[Lengte'[m']]]*Invoer_Ontwerp[[#This Row],[Breedte '[m']]]</f>
        <v>500</v>
      </c>
      <c r="P26" s="3">
        <f>IFERROR(IF(Invoer_Ontwerp[[#This Row],[Oppervlakte '[m2']]]*Invoer_Ontwerp[[#This Row],[Dikte '[m']]]=0,Invoer_Ontwerp[[#This Row],[Gewicht '[ton']]]/Invoer_Ontwerp[[#This Row],[Soortelijk gewicht '[ton / m3']]],Invoer_Ontwerp[[#This Row],[Oppervlakte '[m2']]]*Invoer_Ontwerp[[#This Row],[Dikte '[m']]]),0)</f>
        <v>40</v>
      </c>
      <c r="Q26" s="3">
        <f>_xlfn.IFNA(VLOOKUP(Invoer_Ontwerp[[#This Row],[Product]],Database_Productkaarten[[Product]:[Soortelijk Gewicht '[ton / m3']]],11,FALSE),0)</f>
        <v>2.4</v>
      </c>
      <c r="R26" s="3">
        <f>_xlfn.IFNA(VLOOKUP(Invoer_Ontwerp[[#This Row],[Product]],Database_Productkaarten[[Product]:[Gewicht '[ton'] / Eenheid]],12,FALSE)*Invoer_Ontwerp[[#This Row],[Aantal Eenheden]],0)</f>
        <v>89.800000000000011</v>
      </c>
      <c r="S26" s="5">
        <f>_xlfn.IFNA(VLOOKUP(Invoer_Ontwerp[[#This Row],[Product]],Database_Productkaarten[[Product]:[Levensduur]],14,FALSE),0)</f>
        <v>25</v>
      </c>
      <c r="T26" s="5">
        <f>MAX(IFERROR($A$2/Invoer_Ontwerp[[#This Row],[Product levensduur '[jaar']]]-1,0),0)</f>
        <v>0</v>
      </c>
      <c r="U26" s="5"/>
      <c r="V26" s="5"/>
      <c r="W26" s="5"/>
      <c r="X26" s="6"/>
      <c r="Y26" s="6"/>
      <c r="Z26" s="6"/>
      <c r="AA26" s="6"/>
      <c r="AB26" s="6"/>
      <c r="AC26" s="5"/>
      <c r="AD26" s="6"/>
      <c r="AE26" s="6"/>
      <c r="AF26" s="6"/>
      <c r="AG26" s="6"/>
      <c r="AH26" s="6"/>
      <c r="AI26" s="6"/>
      <c r="AJ26" s="3"/>
    </row>
    <row r="27" spans="2:45" ht="14.25">
      <c r="B27" s="3" t="s">
        <v>62</v>
      </c>
      <c r="C27" s="3" t="s">
        <v>38</v>
      </c>
      <c r="D27" s="3"/>
      <c r="E27" s="3" t="s">
        <v>39</v>
      </c>
      <c r="F27" s="1" t="s">
        <v>40</v>
      </c>
      <c r="G27" s="1" t="s">
        <v>41</v>
      </c>
      <c r="H27" s="190">
        <f>_xlfn.IFNA(VLOOKUP(Invoer_Ontwerp[[#This Row],[Product]],Database_Productkaarten[[Product]:[Comment]],64,FALSE),0)</f>
        <v>3</v>
      </c>
      <c r="I27" s="1" t="str">
        <f>_xlfn.IFNA(VLOOKUP(Invoer_Ontwerp[[#This Row],[Product]],Database_Productkaarten[[Product]:[Producttype]],3,FALSE),0)</f>
        <v>Grond</v>
      </c>
      <c r="J27" s="5">
        <v>490</v>
      </c>
      <c r="K27" s="1" t="str">
        <f>_xlfn.IFNA(VLOOKUP(Invoer_Ontwerp[[#This Row],[Product]],Database_Productkaarten[[#All],[Product]:[Eenheid]],4,FALSE),0)</f>
        <v>m3</v>
      </c>
      <c r="L27" s="127" t="s">
        <v>42</v>
      </c>
      <c r="M27" s="127" t="s">
        <v>43</v>
      </c>
      <c r="N27" s="3">
        <v>0.98</v>
      </c>
      <c r="O27" s="3">
        <f>Invoer_Ontwerp[[#This Row],[Lengte'[m']]]*Invoer_Ontwerp[[#This Row],[Breedte '[m']]]</f>
        <v>500</v>
      </c>
      <c r="P27" s="3">
        <f>IFERROR(IF(Invoer_Ontwerp[[#This Row],[Oppervlakte '[m2']]]*Invoer_Ontwerp[[#This Row],[Dikte '[m']]]=0,Invoer_Ontwerp[[#This Row],[Gewicht '[ton']]]/Invoer_Ontwerp[[#This Row],[Soortelijk gewicht '[ton / m3']]],Invoer_Ontwerp[[#This Row],[Oppervlakte '[m2']]]*Invoer_Ontwerp[[#This Row],[Dikte '[m']]]),0)</f>
        <v>490</v>
      </c>
      <c r="Q27" s="3">
        <f>_xlfn.IFNA(VLOOKUP(Invoer_Ontwerp[[#This Row],[Product]],Database_Productkaarten[[Product]:[Soortelijk Gewicht '[ton / m3']]],11,FALSE),0)</f>
        <v>1.625</v>
      </c>
      <c r="R27" s="3">
        <f>_xlfn.IFNA(VLOOKUP(Invoer_Ontwerp[[#This Row],[Product]],Database_Productkaarten[[Product]:[Gewicht '[ton'] / Eenheid]],12,FALSE)*Invoer_Ontwerp[[#This Row],[Aantal Eenheden]],0)</f>
        <v>796.25</v>
      </c>
      <c r="S27" s="5">
        <f>_xlfn.IFNA(VLOOKUP(Invoer_Ontwerp[[#This Row],[Product]],Database_Productkaarten[[Product]:[Levensduur]],14,FALSE),0)</f>
        <v>100</v>
      </c>
      <c r="T27" s="5">
        <f>MAX(IFERROR($A$2/Invoer_Ontwerp[[#This Row],[Product levensduur '[jaar']]]-1,0),0)</f>
        <v>0</v>
      </c>
      <c r="U27" s="5"/>
      <c r="V27" s="5"/>
      <c r="W27" s="5"/>
      <c r="X27" s="6"/>
      <c r="Y27" s="6"/>
      <c r="Z27" s="6"/>
      <c r="AA27" s="6"/>
      <c r="AB27" s="6"/>
      <c r="AC27" s="5"/>
      <c r="AD27" s="6"/>
      <c r="AE27" s="6"/>
      <c r="AF27" s="6"/>
      <c r="AG27" s="6"/>
      <c r="AH27" s="6"/>
      <c r="AI27" s="6"/>
      <c r="AJ27" s="3"/>
    </row>
    <row r="28" spans="2:45" ht="14.25">
      <c r="B28" s="3" t="s">
        <v>62</v>
      </c>
      <c r="C28" s="3" t="s">
        <v>58</v>
      </c>
      <c r="D28" s="3"/>
      <c r="E28" s="3" t="s">
        <v>45</v>
      </c>
      <c r="F28" s="1" t="s">
        <v>40</v>
      </c>
      <c r="G28" s="1" t="s">
        <v>46</v>
      </c>
      <c r="H28" s="190">
        <f>_xlfn.IFNA(VLOOKUP(Invoer_Ontwerp[[#This Row],[Product]],Database_Productkaarten[[Product]:[Comment]],64,FALSE),0)</f>
        <v>3</v>
      </c>
      <c r="I28" s="1" t="str">
        <f>_xlfn.IFNA(VLOOKUP(Invoer_Ontwerp[[#This Row],[Product]],Database_Productkaarten[[Product]:[Producttype]],3,FALSE),0)</f>
        <v>Zand</v>
      </c>
      <c r="J28" s="5">
        <v>25</v>
      </c>
      <c r="K28" s="1" t="str">
        <f>_xlfn.IFNA(VLOOKUP(Invoer_Ontwerp[[#This Row],[Product]],Database_Productkaarten[[#All],[Product]:[Eenheid]],4,FALSE),0)</f>
        <v>m3</v>
      </c>
      <c r="L28" s="127" t="s">
        <v>42</v>
      </c>
      <c r="M28" s="127" t="s">
        <v>43</v>
      </c>
      <c r="N28" s="3">
        <v>0.05</v>
      </c>
      <c r="O28" s="3">
        <f>Invoer_Ontwerp[[#This Row],[Lengte'[m']]]*Invoer_Ontwerp[[#This Row],[Breedte '[m']]]</f>
        <v>500</v>
      </c>
      <c r="P28" s="3">
        <f>IFERROR(IF(Invoer_Ontwerp[[#This Row],[Oppervlakte '[m2']]]*Invoer_Ontwerp[[#This Row],[Dikte '[m']]]=0,Invoer_Ontwerp[[#This Row],[Gewicht '[ton']]]/Invoer_Ontwerp[[#This Row],[Soortelijk gewicht '[ton / m3']]],Invoer_Ontwerp[[#This Row],[Oppervlakte '[m2']]]*Invoer_Ontwerp[[#This Row],[Dikte '[m']]]),0)</f>
        <v>25</v>
      </c>
      <c r="Q28" s="3">
        <f>_xlfn.IFNA(VLOOKUP(Invoer_Ontwerp[[#This Row],[Product]],Database_Productkaarten[[Product]:[Soortelijk Gewicht '[ton / m3']]],11,FALSE),0)</f>
        <v>1.5</v>
      </c>
      <c r="R28" s="3">
        <f>_xlfn.IFNA(VLOOKUP(Invoer_Ontwerp[[#This Row],[Product]],Database_Productkaarten[[Product]:[Gewicht '[ton'] / Eenheid]],12,FALSE)*Invoer_Ontwerp[[#This Row],[Aantal Eenheden]],0)</f>
        <v>37.5</v>
      </c>
      <c r="S28" s="5">
        <f>_xlfn.IFNA(VLOOKUP(Invoer_Ontwerp[[#This Row],[Product]],Database_Productkaarten[[Product]:[Levensduur]],14,FALSE),0)</f>
        <v>100</v>
      </c>
      <c r="T28" s="5">
        <f>MAX(IFERROR($A$2/Invoer_Ontwerp[[#This Row],[Product levensduur '[jaar']]]-1,0),0)</f>
        <v>0</v>
      </c>
      <c r="U28" s="5"/>
      <c r="V28" s="5"/>
      <c r="W28" s="5"/>
      <c r="X28" s="6"/>
      <c r="Y28" s="6"/>
      <c r="Z28" s="6"/>
      <c r="AA28" s="6"/>
      <c r="AB28" s="6"/>
      <c r="AC28" s="5"/>
      <c r="AD28" s="6"/>
      <c r="AE28" s="6"/>
      <c r="AF28" s="6"/>
      <c r="AG28" s="6"/>
      <c r="AH28" s="6"/>
      <c r="AI28" s="6"/>
      <c r="AJ28" s="3"/>
    </row>
    <row r="29" spans="2:45" ht="14.25">
      <c r="B29" s="3" t="s">
        <v>62</v>
      </c>
      <c r="C29" s="3" t="s">
        <v>59</v>
      </c>
      <c r="D29" s="3"/>
      <c r="E29" s="3" t="s">
        <v>45</v>
      </c>
      <c r="F29" s="1" t="s">
        <v>48</v>
      </c>
      <c r="G29" s="1" t="s">
        <v>63</v>
      </c>
      <c r="H29" s="190">
        <f>_xlfn.IFNA(VLOOKUP(Invoer_Ontwerp[[#This Row],[Product]],Database_Productkaarten[[Product]:[Comment]],64,FALSE),0)</f>
        <v>0</v>
      </c>
      <c r="I29" s="1">
        <f>_xlfn.IFNA(VLOOKUP(Invoer_Ontwerp[[#This Row],[Product]],Database_Productkaarten[[Product]:[Producttype]],3,FALSE),0)</f>
        <v>0</v>
      </c>
      <c r="J29" s="5">
        <v>500</v>
      </c>
      <c r="K29" s="1">
        <f>_xlfn.IFNA(VLOOKUP(Invoer_Ontwerp[[#This Row],[Product]],Database_Productkaarten[[#All],[Product]:[Eenheid]],4,FALSE),0)</f>
        <v>0</v>
      </c>
      <c r="L29" s="127" t="s">
        <v>42</v>
      </c>
      <c r="M29" s="127" t="s">
        <v>43</v>
      </c>
      <c r="N29" s="3">
        <v>0.5</v>
      </c>
      <c r="O29" s="3">
        <f>Invoer_Ontwerp[[#This Row],[Lengte'[m']]]*Invoer_Ontwerp[[#This Row],[Breedte '[m']]]</f>
        <v>500</v>
      </c>
      <c r="P29" s="3">
        <f>IFERROR(IF(Invoer_Ontwerp[[#This Row],[Oppervlakte '[m2']]]*Invoer_Ontwerp[[#This Row],[Dikte '[m']]]=0,Invoer_Ontwerp[[#This Row],[Gewicht '[ton']]]/Invoer_Ontwerp[[#This Row],[Soortelijk gewicht '[ton / m3']]],Invoer_Ontwerp[[#This Row],[Oppervlakte '[m2']]]*Invoer_Ontwerp[[#This Row],[Dikte '[m']]]),0)</f>
        <v>250</v>
      </c>
      <c r="Q29" s="3">
        <f>_xlfn.IFNA(VLOOKUP(Invoer_Ontwerp[[#This Row],[Product]],Database_Productkaarten[[Product]:[Soortelijk Gewicht '[ton / m3']]],11,FALSE),0)</f>
        <v>0</v>
      </c>
      <c r="R29" s="3">
        <f>_xlfn.IFNA(VLOOKUP(Invoer_Ontwerp[[#This Row],[Product]],Database_Productkaarten[[Product]:[Gewicht '[ton'] / Eenheid]],12,FALSE)*Invoer_Ontwerp[[#This Row],[Aantal Eenheden]],0)</f>
        <v>0</v>
      </c>
      <c r="S29" s="337">
        <f>_xlfn.IFNA(VLOOKUP(Invoer_Ontwerp[[#This Row],[Product]],Database_Productkaarten[[Product]:[Levensduur]],14,FALSE),0)</f>
        <v>0</v>
      </c>
      <c r="T29" s="5">
        <f>MAX(IFERROR($A$2/Invoer_Ontwerp[[#This Row],[Product levensduur '[jaar']]]-1,0),0)</f>
        <v>0</v>
      </c>
      <c r="U29" s="5"/>
      <c r="V29" s="5"/>
      <c r="W29" s="5"/>
      <c r="X29" s="6"/>
      <c r="Y29" s="6"/>
      <c r="Z29" s="6"/>
      <c r="AA29" s="6"/>
      <c r="AB29" s="6"/>
      <c r="AC29" s="5"/>
      <c r="AD29" s="6"/>
      <c r="AE29" s="6"/>
      <c r="AF29" s="6"/>
      <c r="AG29" s="6"/>
      <c r="AH29" s="6"/>
      <c r="AI29" s="6"/>
      <c r="AJ29" s="3"/>
    </row>
    <row r="30" spans="2:45" ht="14.25">
      <c r="B30" s="3" t="s">
        <v>62</v>
      </c>
      <c r="C30" s="3" t="s">
        <v>50</v>
      </c>
      <c r="D30" s="3"/>
      <c r="E30" s="3" t="s">
        <v>45</v>
      </c>
      <c r="F30" s="1" t="s">
        <v>48</v>
      </c>
      <c r="G30" s="1" t="s">
        <v>61</v>
      </c>
      <c r="H30" s="190">
        <f>_xlfn.IFNA(VLOOKUP(Invoer_Ontwerp[[#This Row],[Product]],Database_Productkaarten[[Product]:[Comment]],64,FALSE),0)</f>
        <v>3</v>
      </c>
      <c r="I30" s="1" t="str">
        <f>_xlfn.IFNA(VLOOKUP(Invoer_Ontwerp[[#This Row],[Product]],Database_Productkaarten[[Product]:[Producttype]],3,FALSE),0)</f>
        <v>Menggranulaat</v>
      </c>
      <c r="J30" s="5">
        <v>500</v>
      </c>
      <c r="K30" s="1" t="str">
        <f>_xlfn.IFNA(VLOOKUP(Invoer_Ontwerp[[#This Row],[Product]],Database_Productkaarten[[#All],[Product]:[Eenheid]],4,FALSE),0)</f>
        <v>m2</v>
      </c>
      <c r="L30" s="127" t="s">
        <v>42</v>
      </c>
      <c r="M30" s="127" t="s">
        <v>43</v>
      </c>
      <c r="N30" s="3">
        <v>0.3</v>
      </c>
      <c r="O30" s="3">
        <f>Invoer_Ontwerp[[#This Row],[Lengte'[m']]]*Invoer_Ontwerp[[#This Row],[Breedte '[m']]]</f>
        <v>500</v>
      </c>
      <c r="P30" s="3">
        <f>IFERROR(IF(Invoer_Ontwerp[[#This Row],[Oppervlakte '[m2']]]*Invoer_Ontwerp[[#This Row],[Dikte '[m']]]=0,Invoer_Ontwerp[[#This Row],[Gewicht '[ton']]]/Invoer_Ontwerp[[#This Row],[Soortelijk gewicht '[ton / m3']]],Invoer_Ontwerp[[#This Row],[Oppervlakte '[m2']]]*Invoer_Ontwerp[[#This Row],[Dikte '[m']]]),0)</f>
        <v>150</v>
      </c>
      <c r="Q30" s="3">
        <f>_xlfn.IFNA(VLOOKUP(Invoer_Ontwerp[[#This Row],[Product]],Database_Productkaarten[[Product]:[Soortelijk Gewicht '[ton / m3']]],11,FALSE),0)</f>
        <v>1.95</v>
      </c>
      <c r="R30" s="3">
        <f>_xlfn.IFNA(VLOOKUP(Invoer_Ontwerp[[#This Row],[Product]],Database_Productkaarten[[Product]:[Gewicht '[ton'] / Eenheid]],12,FALSE)*Invoer_Ontwerp[[#This Row],[Aantal Eenheden]],0)</f>
        <v>292.5</v>
      </c>
      <c r="S30" s="5">
        <f>_xlfn.IFNA(VLOOKUP(Invoer_Ontwerp[[#This Row],[Product]],Database_Productkaarten[[Product]:[Levensduur]],14,FALSE),0)</f>
        <v>100</v>
      </c>
      <c r="T30" s="5">
        <f>MAX(IFERROR($A$2/Invoer_Ontwerp[[#This Row],[Product levensduur '[jaar']]]-1,0),0)</f>
        <v>0</v>
      </c>
      <c r="U30" s="5"/>
      <c r="V30" s="5"/>
      <c r="W30" s="5"/>
      <c r="X30" s="6"/>
      <c r="Y30" s="6"/>
      <c r="Z30" s="6"/>
      <c r="AA30" s="6"/>
      <c r="AB30" s="6"/>
      <c r="AC30" s="5"/>
      <c r="AD30" s="6"/>
      <c r="AE30" s="6"/>
      <c r="AF30" s="6"/>
      <c r="AG30" s="6"/>
      <c r="AH30" s="6"/>
      <c r="AI30" s="6"/>
      <c r="AJ30" s="3"/>
    </row>
    <row r="31" spans="2:45" ht="14.25">
      <c r="B31" s="3" t="s">
        <v>62</v>
      </c>
      <c r="C31" s="3" t="s">
        <v>53</v>
      </c>
      <c r="D31" s="3"/>
      <c r="E31" s="3" t="s">
        <v>45</v>
      </c>
      <c r="F31" s="1" t="s">
        <v>40</v>
      </c>
      <c r="G31" s="1" t="s">
        <v>46</v>
      </c>
      <c r="H31" s="190">
        <f>_xlfn.IFNA(VLOOKUP(Invoer_Ontwerp[[#This Row],[Product]],Database_Productkaarten[[Product]:[Comment]],64,FALSE),0)</f>
        <v>3</v>
      </c>
      <c r="I31" s="1" t="str">
        <f>_xlfn.IFNA(VLOOKUP(Invoer_Ontwerp[[#This Row],[Product]],Database_Productkaarten[[Product]:[Producttype]],3,FALSE),0)</f>
        <v>Zand</v>
      </c>
      <c r="J31" s="5">
        <v>25</v>
      </c>
      <c r="K31" s="1" t="str">
        <f>_xlfn.IFNA(VLOOKUP(Invoer_Ontwerp[[#This Row],[Product]],Database_Productkaarten[[#All],[Product]:[Eenheid]],4,FALSE),0)</f>
        <v>m3</v>
      </c>
      <c r="L31" s="127" t="s">
        <v>42</v>
      </c>
      <c r="M31" s="127" t="s">
        <v>43</v>
      </c>
      <c r="N31" s="3">
        <v>0.05</v>
      </c>
      <c r="O31" s="3">
        <f>Invoer_Ontwerp[[#This Row],[Lengte'[m']]]*Invoer_Ontwerp[[#This Row],[Breedte '[m']]]</f>
        <v>500</v>
      </c>
      <c r="P31" s="3">
        <f>IFERROR(IF(Invoer_Ontwerp[[#This Row],[Oppervlakte '[m2']]]*Invoer_Ontwerp[[#This Row],[Dikte '[m']]]=0,Invoer_Ontwerp[[#This Row],[Gewicht '[ton']]]/Invoer_Ontwerp[[#This Row],[Soortelijk gewicht '[ton / m3']]],Invoer_Ontwerp[[#This Row],[Oppervlakte '[m2']]]*Invoer_Ontwerp[[#This Row],[Dikte '[m']]]),0)</f>
        <v>25</v>
      </c>
      <c r="Q31" s="3">
        <f>_xlfn.IFNA(VLOOKUP(Invoer_Ontwerp[[#This Row],[Product]],Database_Productkaarten[[Product]:[Soortelijk Gewicht '[ton / m3']]],11,FALSE),0)</f>
        <v>1.5</v>
      </c>
      <c r="R31" s="3">
        <f>_xlfn.IFNA(VLOOKUP(Invoer_Ontwerp[[#This Row],[Product]],Database_Productkaarten[[Product]:[Gewicht '[ton'] / Eenheid]],12,FALSE)*Invoer_Ontwerp[[#This Row],[Aantal Eenheden]],0)</f>
        <v>37.5</v>
      </c>
      <c r="S31" s="5">
        <f>_xlfn.IFNA(VLOOKUP(Invoer_Ontwerp[[#This Row],[Product]],Database_Productkaarten[[Product]:[Levensduur]],14,FALSE),0)</f>
        <v>100</v>
      </c>
      <c r="T31" s="5">
        <f>MAX(IFERROR($A$2/Invoer_Ontwerp[[#This Row],[Product levensduur '[jaar']]]-1,0),0)</f>
        <v>0</v>
      </c>
      <c r="U31" s="5"/>
      <c r="V31" s="5"/>
      <c r="W31" s="5"/>
      <c r="X31" s="6"/>
      <c r="Y31" s="6"/>
      <c r="Z31" s="6"/>
      <c r="AA31" s="6"/>
      <c r="AB31" s="6"/>
      <c r="AC31" s="5"/>
      <c r="AD31" s="6"/>
      <c r="AE31" s="6"/>
      <c r="AF31" s="6"/>
      <c r="AG31" s="6"/>
      <c r="AH31" s="6"/>
      <c r="AI31" s="6"/>
      <c r="AJ31" s="3"/>
    </row>
    <row r="32" spans="2:45" ht="14.25">
      <c r="B32" s="3" t="s">
        <v>62</v>
      </c>
      <c r="C32" s="3" t="s">
        <v>54</v>
      </c>
      <c r="D32" s="3"/>
      <c r="E32" s="3" t="s">
        <v>45</v>
      </c>
      <c r="F32" s="1" t="s">
        <v>55</v>
      </c>
      <c r="G32" s="1" t="s">
        <v>56</v>
      </c>
      <c r="H32" s="190">
        <f>_xlfn.IFNA(VLOOKUP(Invoer_Ontwerp[[#This Row],[Product]],Database_Productkaarten[[Product]:[Comment]],64,FALSE),0)</f>
        <v>3</v>
      </c>
      <c r="I32" s="1" t="str">
        <f>_xlfn.IFNA(VLOOKUP(Invoer_Ontwerp[[#This Row],[Product]],Database_Productkaarten[[Product]:[Producttype]],3,FALSE),0)</f>
        <v>Betonstraatsteen</v>
      </c>
      <c r="J32" s="5">
        <v>500</v>
      </c>
      <c r="K32" s="1" t="str">
        <f>_xlfn.IFNA(VLOOKUP(Invoer_Ontwerp[[#This Row],[Product]],Database_Productkaarten[[#All],[Product]:[Eenheid]],4,FALSE),0)</f>
        <v>m2</v>
      </c>
      <c r="L32" s="127" t="s">
        <v>42</v>
      </c>
      <c r="M32" s="127" t="s">
        <v>43</v>
      </c>
      <c r="N32" s="3">
        <v>0.08</v>
      </c>
      <c r="O32" s="3">
        <f>Invoer_Ontwerp[[#This Row],[Lengte'[m']]]*Invoer_Ontwerp[[#This Row],[Breedte '[m']]]</f>
        <v>500</v>
      </c>
      <c r="P32" s="3">
        <f>IFERROR(IF(Invoer_Ontwerp[[#This Row],[Oppervlakte '[m2']]]*Invoer_Ontwerp[[#This Row],[Dikte '[m']]]=0,Invoer_Ontwerp[[#This Row],[Gewicht '[ton']]]/Invoer_Ontwerp[[#This Row],[Soortelijk gewicht '[ton / m3']]],Invoer_Ontwerp[[#This Row],[Oppervlakte '[m2']]]*Invoer_Ontwerp[[#This Row],[Dikte '[m']]]),0)</f>
        <v>40</v>
      </c>
      <c r="Q32" s="3">
        <f>_xlfn.IFNA(VLOOKUP(Invoer_Ontwerp[[#This Row],[Product]],Database_Productkaarten[[Product]:[Soortelijk Gewicht '[ton / m3']]],11,FALSE),0)</f>
        <v>2.4</v>
      </c>
      <c r="R32" s="3">
        <f>_xlfn.IFNA(VLOOKUP(Invoer_Ontwerp[[#This Row],[Product]],Database_Productkaarten[[Product]:[Gewicht '[ton'] / Eenheid]],12,FALSE)*Invoer_Ontwerp[[#This Row],[Aantal Eenheden]],0)</f>
        <v>89.800000000000011</v>
      </c>
      <c r="S32" s="5">
        <f>_xlfn.IFNA(VLOOKUP(Invoer_Ontwerp[[#This Row],[Product]],Database_Productkaarten[[Product]:[Levensduur]],14,FALSE),0)</f>
        <v>25</v>
      </c>
      <c r="T32" s="5">
        <f>MAX(IFERROR($A$2/Invoer_Ontwerp[[#This Row],[Product levensduur '[jaar']]]-1,0),0)</f>
        <v>0</v>
      </c>
      <c r="U32" s="5"/>
      <c r="V32" s="5"/>
      <c r="W32" s="5"/>
      <c r="X32" s="6"/>
      <c r="Y32" s="6"/>
      <c r="Z32" s="6"/>
      <c r="AA32" s="6"/>
      <c r="AB32" s="6"/>
      <c r="AC32" s="5"/>
      <c r="AD32" s="6"/>
      <c r="AE32" s="6"/>
      <c r="AF32" s="6"/>
      <c r="AG32" s="6"/>
      <c r="AH32" s="6"/>
      <c r="AI32" s="6"/>
      <c r="AJ32" s="3"/>
    </row>
    <row r="33" spans="2:36" ht="14.25">
      <c r="B33" s="3" t="s">
        <v>62</v>
      </c>
      <c r="C33" s="3" t="s">
        <v>58</v>
      </c>
      <c r="D33" s="3"/>
      <c r="E33" s="3" t="s">
        <v>39</v>
      </c>
      <c r="F33" s="1" t="s">
        <v>40</v>
      </c>
      <c r="G33" s="1" t="s">
        <v>46</v>
      </c>
      <c r="H33" s="190">
        <f>_xlfn.IFNA(VLOOKUP(Invoer_Ontwerp[[#This Row],[Product]],Database_Productkaarten[[Product]:[Comment]],64,FALSE),0)</f>
        <v>3</v>
      </c>
      <c r="I33" s="1" t="str">
        <f>_xlfn.IFNA(VLOOKUP(Invoer_Ontwerp[[#This Row],[Product]],Database_Productkaarten[[Product]:[Producttype]],3,FALSE),0)</f>
        <v>Zand</v>
      </c>
      <c r="J33" s="5">
        <v>25</v>
      </c>
      <c r="K33" s="1" t="str">
        <f>_xlfn.IFNA(VLOOKUP(Invoer_Ontwerp[[#This Row],[Product]],Database_Productkaarten[[#All],[Product]:[Eenheid]],4,FALSE),0)</f>
        <v>m3</v>
      </c>
      <c r="L33" s="127" t="s">
        <v>42</v>
      </c>
      <c r="M33" s="127" t="s">
        <v>43</v>
      </c>
      <c r="N33" s="3">
        <v>0.05</v>
      </c>
      <c r="O33" s="3">
        <f>Invoer_Ontwerp[[#This Row],[Lengte'[m']]]*Invoer_Ontwerp[[#This Row],[Breedte '[m']]]</f>
        <v>500</v>
      </c>
      <c r="P33" s="3">
        <f>IFERROR(IF(Invoer_Ontwerp[[#This Row],[Oppervlakte '[m2']]]*Invoer_Ontwerp[[#This Row],[Dikte '[m']]]=0,Invoer_Ontwerp[[#This Row],[Gewicht '[ton']]]/Invoer_Ontwerp[[#This Row],[Soortelijk gewicht '[ton / m3']]],Invoer_Ontwerp[[#This Row],[Oppervlakte '[m2']]]*Invoer_Ontwerp[[#This Row],[Dikte '[m']]]),0)</f>
        <v>25</v>
      </c>
      <c r="Q33" s="3">
        <f>_xlfn.IFNA(VLOOKUP(Invoer_Ontwerp[[#This Row],[Product]],Database_Productkaarten[[Product]:[Soortelijk Gewicht '[ton / m3']]],11,FALSE),0)</f>
        <v>1.5</v>
      </c>
      <c r="R33" s="3">
        <f>_xlfn.IFNA(VLOOKUP(Invoer_Ontwerp[[#This Row],[Product]],Database_Productkaarten[[Product]:[Gewicht '[ton'] / Eenheid]],12,FALSE)*Invoer_Ontwerp[[#This Row],[Aantal Eenheden]],0)</f>
        <v>37.5</v>
      </c>
      <c r="S33" s="5">
        <f>_xlfn.IFNA(VLOOKUP(Invoer_Ontwerp[[#This Row],[Product]],Database_Productkaarten[[Product]:[Levensduur]],14,FALSE),0)</f>
        <v>100</v>
      </c>
      <c r="T33" s="5">
        <f>MAX(IFERROR($A$2/Invoer_Ontwerp[[#This Row],[Product levensduur '[jaar']]]-1,0),0)</f>
        <v>0</v>
      </c>
      <c r="U33" s="5"/>
      <c r="V33" s="5"/>
      <c r="W33" s="5"/>
      <c r="X33" s="6"/>
      <c r="Y33" s="6"/>
      <c r="Z33" s="6"/>
      <c r="AA33" s="6"/>
      <c r="AB33" s="6"/>
      <c r="AC33" s="5"/>
      <c r="AD33" s="6"/>
      <c r="AE33" s="6"/>
      <c r="AF33" s="6"/>
      <c r="AG33" s="6"/>
      <c r="AH33" s="6"/>
      <c r="AI33" s="6"/>
      <c r="AJ33" s="3"/>
    </row>
    <row r="34" spans="2:36" ht="14.25">
      <c r="B34" s="3" t="s">
        <v>62</v>
      </c>
      <c r="C34" s="3" t="s">
        <v>59</v>
      </c>
      <c r="D34" s="3"/>
      <c r="E34" s="3" t="s">
        <v>39</v>
      </c>
      <c r="F34" s="1" t="s">
        <v>48</v>
      </c>
      <c r="G34" s="1" t="s">
        <v>63</v>
      </c>
      <c r="H34" s="190">
        <f>_xlfn.IFNA(VLOOKUP(Invoer_Ontwerp[[#This Row],[Product]],Database_Productkaarten[[Product]:[Comment]],64,FALSE),0)</f>
        <v>0</v>
      </c>
      <c r="I34" s="1">
        <f>_xlfn.IFNA(VLOOKUP(Invoer_Ontwerp[[#This Row],[Product]],Database_Productkaarten[[Product]:[Producttype]],3,FALSE),0)</f>
        <v>0</v>
      </c>
      <c r="J34" s="5">
        <v>500</v>
      </c>
      <c r="K34" s="1">
        <f>_xlfn.IFNA(VLOOKUP(Invoer_Ontwerp[[#This Row],[Product]],Database_Productkaarten[[#All],[Product]:[Eenheid]],4,FALSE),0)</f>
        <v>0</v>
      </c>
      <c r="L34" s="127" t="s">
        <v>42</v>
      </c>
      <c r="M34" s="127" t="s">
        <v>43</v>
      </c>
      <c r="N34" s="3">
        <v>0.5</v>
      </c>
      <c r="O34" s="3">
        <f>Invoer_Ontwerp[[#This Row],[Lengte'[m']]]*Invoer_Ontwerp[[#This Row],[Breedte '[m']]]</f>
        <v>500</v>
      </c>
      <c r="P34" s="3">
        <f>IFERROR(IF(Invoer_Ontwerp[[#This Row],[Oppervlakte '[m2']]]*Invoer_Ontwerp[[#This Row],[Dikte '[m']]]=0,Invoer_Ontwerp[[#This Row],[Gewicht '[ton']]]/Invoer_Ontwerp[[#This Row],[Soortelijk gewicht '[ton / m3']]],Invoer_Ontwerp[[#This Row],[Oppervlakte '[m2']]]*Invoer_Ontwerp[[#This Row],[Dikte '[m']]]),0)</f>
        <v>250</v>
      </c>
      <c r="Q34" s="3">
        <f>_xlfn.IFNA(VLOOKUP(Invoer_Ontwerp[[#This Row],[Product]],Database_Productkaarten[[Product]:[Soortelijk Gewicht '[ton / m3']]],11,FALSE),0)</f>
        <v>0</v>
      </c>
      <c r="R34" s="3">
        <f>_xlfn.IFNA(VLOOKUP(Invoer_Ontwerp[[#This Row],[Product]],Database_Productkaarten[[Product]:[Gewicht '[ton'] / Eenheid]],12,FALSE)*Invoer_Ontwerp[[#This Row],[Aantal Eenheden]],0)</f>
        <v>0</v>
      </c>
      <c r="S34" s="337">
        <f>_xlfn.IFNA(VLOOKUP(Invoer_Ontwerp[[#This Row],[Product]],Database_Productkaarten[[Product]:[Levensduur]],14,FALSE),0)</f>
        <v>0</v>
      </c>
      <c r="T34" s="5">
        <f>MAX(IFERROR($A$2/Invoer_Ontwerp[[#This Row],[Product levensduur '[jaar']]]-1,0),0)</f>
        <v>0</v>
      </c>
      <c r="U34" s="5"/>
      <c r="V34" s="5"/>
      <c r="W34" s="5"/>
      <c r="X34" s="6"/>
      <c r="Y34" s="6"/>
      <c r="Z34" s="6"/>
      <c r="AA34" s="6"/>
      <c r="AB34" s="6"/>
      <c r="AC34" s="5"/>
      <c r="AD34" s="6"/>
      <c r="AE34" s="6"/>
      <c r="AF34" s="6"/>
      <c r="AG34" s="6"/>
      <c r="AH34" s="6"/>
      <c r="AI34" s="6"/>
      <c r="AJ34" s="3"/>
    </row>
    <row r="35" spans="2:36" ht="14.25">
      <c r="B35" s="3" t="s">
        <v>62</v>
      </c>
      <c r="C35" s="3" t="s">
        <v>50</v>
      </c>
      <c r="D35" s="3"/>
      <c r="E35" s="3" t="s">
        <v>39</v>
      </c>
      <c r="F35" s="1" t="s">
        <v>48</v>
      </c>
      <c r="G35" s="1" t="s">
        <v>61</v>
      </c>
      <c r="H35" s="190">
        <f>_xlfn.IFNA(VLOOKUP(Invoer_Ontwerp[[#This Row],[Product]],Database_Productkaarten[[Product]:[Comment]],64,FALSE),0)</f>
        <v>3</v>
      </c>
      <c r="I35" s="1" t="str">
        <f>_xlfn.IFNA(VLOOKUP(Invoer_Ontwerp[[#This Row],[Product]],Database_Productkaarten[[Product]:[Producttype]],3,FALSE),0)</f>
        <v>Menggranulaat</v>
      </c>
      <c r="J35" s="5">
        <v>500</v>
      </c>
      <c r="K35" s="1" t="str">
        <f>_xlfn.IFNA(VLOOKUP(Invoer_Ontwerp[[#This Row],[Product]],Database_Productkaarten[[#All],[Product]:[Eenheid]],4,FALSE),0)</f>
        <v>m2</v>
      </c>
      <c r="L35" s="127" t="s">
        <v>42</v>
      </c>
      <c r="M35" s="127" t="s">
        <v>43</v>
      </c>
      <c r="N35" s="3">
        <v>0.3</v>
      </c>
      <c r="O35" s="3">
        <f>Invoer_Ontwerp[[#This Row],[Lengte'[m']]]*Invoer_Ontwerp[[#This Row],[Breedte '[m']]]</f>
        <v>500</v>
      </c>
      <c r="P35" s="3">
        <f>IFERROR(IF(Invoer_Ontwerp[[#This Row],[Oppervlakte '[m2']]]*Invoer_Ontwerp[[#This Row],[Dikte '[m']]]=0,Invoer_Ontwerp[[#This Row],[Gewicht '[ton']]]/Invoer_Ontwerp[[#This Row],[Soortelijk gewicht '[ton / m3']]],Invoer_Ontwerp[[#This Row],[Oppervlakte '[m2']]]*Invoer_Ontwerp[[#This Row],[Dikte '[m']]]),0)</f>
        <v>150</v>
      </c>
      <c r="Q35" s="3">
        <f>_xlfn.IFNA(VLOOKUP(Invoer_Ontwerp[[#This Row],[Product]],Database_Productkaarten[[Product]:[Soortelijk Gewicht '[ton / m3']]],11,FALSE),0)</f>
        <v>1.95</v>
      </c>
      <c r="R35" s="3">
        <f>_xlfn.IFNA(VLOOKUP(Invoer_Ontwerp[[#This Row],[Product]],Database_Productkaarten[[Product]:[Gewicht '[ton'] / Eenheid]],12,FALSE)*Invoer_Ontwerp[[#This Row],[Aantal Eenheden]],0)</f>
        <v>292.5</v>
      </c>
      <c r="S35" s="5">
        <f>_xlfn.IFNA(VLOOKUP(Invoer_Ontwerp[[#This Row],[Product]],Database_Productkaarten[[Product]:[Levensduur]],14,FALSE),0)</f>
        <v>100</v>
      </c>
      <c r="T35" s="5">
        <f>MAX(IFERROR($A$2/Invoer_Ontwerp[[#This Row],[Product levensduur '[jaar']]]-1,0),0)</f>
        <v>0</v>
      </c>
      <c r="U35" s="5"/>
      <c r="V35" s="5"/>
      <c r="W35" s="5"/>
      <c r="X35" s="6"/>
      <c r="Y35" s="6"/>
      <c r="Z35" s="6"/>
      <c r="AA35" s="6"/>
      <c r="AB35" s="6"/>
      <c r="AC35" s="5"/>
      <c r="AD35" s="6"/>
      <c r="AE35" s="6"/>
      <c r="AF35" s="6"/>
      <c r="AG35" s="6"/>
      <c r="AH35" s="6"/>
      <c r="AI35" s="6"/>
      <c r="AJ35" s="3"/>
    </row>
    <row r="36" spans="2:36" ht="14.25">
      <c r="B36" s="3" t="s">
        <v>62</v>
      </c>
      <c r="C36" s="3" t="s">
        <v>53</v>
      </c>
      <c r="D36" s="3"/>
      <c r="E36" s="3" t="s">
        <v>39</v>
      </c>
      <c r="F36" s="1" t="s">
        <v>40</v>
      </c>
      <c r="G36" s="1" t="s">
        <v>46</v>
      </c>
      <c r="H36" s="190">
        <f>_xlfn.IFNA(VLOOKUP(Invoer_Ontwerp[[#This Row],[Product]],Database_Productkaarten[[Product]:[Comment]],64,FALSE),0)</f>
        <v>3</v>
      </c>
      <c r="I36" s="1" t="str">
        <f>_xlfn.IFNA(VLOOKUP(Invoer_Ontwerp[[#This Row],[Product]],Database_Productkaarten[[Product]:[Producttype]],3,FALSE),0)</f>
        <v>Zand</v>
      </c>
      <c r="J36" s="5">
        <v>25</v>
      </c>
      <c r="K36" s="1" t="str">
        <f>_xlfn.IFNA(VLOOKUP(Invoer_Ontwerp[[#This Row],[Product]],Database_Productkaarten[[#All],[Product]:[Eenheid]],4,FALSE),0)</f>
        <v>m3</v>
      </c>
      <c r="L36" s="127" t="s">
        <v>42</v>
      </c>
      <c r="M36" s="127" t="s">
        <v>43</v>
      </c>
      <c r="N36" s="3">
        <v>0.05</v>
      </c>
      <c r="O36" s="3">
        <f>Invoer_Ontwerp[[#This Row],[Lengte'[m']]]*Invoer_Ontwerp[[#This Row],[Breedte '[m']]]</f>
        <v>500</v>
      </c>
      <c r="P36" s="3">
        <f>IFERROR(IF(Invoer_Ontwerp[[#This Row],[Oppervlakte '[m2']]]*Invoer_Ontwerp[[#This Row],[Dikte '[m']]]=0,Invoer_Ontwerp[[#This Row],[Gewicht '[ton']]]/Invoer_Ontwerp[[#This Row],[Soortelijk gewicht '[ton / m3']]],Invoer_Ontwerp[[#This Row],[Oppervlakte '[m2']]]*Invoer_Ontwerp[[#This Row],[Dikte '[m']]]),0)</f>
        <v>25</v>
      </c>
      <c r="Q36" s="3">
        <f>_xlfn.IFNA(VLOOKUP(Invoer_Ontwerp[[#This Row],[Product]],Database_Productkaarten[[Product]:[Soortelijk Gewicht '[ton / m3']]],11,FALSE),0)</f>
        <v>1.5</v>
      </c>
      <c r="R36" s="3">
        <f>_xlfn.IFNA(VLOOKUP(Invoer_Ontwerp[[#This Row],[Product]],Database_Productkaarten[[Product]:[Gewicht '[ton'] / Eenheid]],12,FALSE)*Invoer_Ontwerp[[#This Row],[Aantal Eenheden]],0)</f>
        <v>37.5</v>
      </c>
      <c r="S36" s="5">
        <f>_xlfn.IFNA(VLOOKUP(Invoer_Ontwerp[[#This Row],[Product]],Database_Productkaarten[[Product]:[Levensduur]],14,FALSE),0)</f>
        <v>100</v>
      </c>
      <c r="T36" s="5">
        <f>MAX(IFERROR($A$2/Invoer_Ontwerp[[#This Row],[Product levensduur '[jaar']]]-1,0),0)</f>
        <v>0</v>
      </c>
      <c r="U36" s="5"/>
      <c r="V36" s="5"/>
      <c r="W36" s="5"/>
      <c r="X36" s="6"/>
      <c r="Y36" s="6"/>
      <c r="Z36" s="6"/>
      <c r="AA36" s="6"/>
      <c r="AB36" s="6"/>
      <c r="AC36" s="5"/>
      <c r="AD36" s="6"/>
      <c r="AE36" s="6"/>
      <c r="AF36" s="6"/>
      <c r="AG36" s="6"/>
      <c r="AH36" s="6"/>
      <c r="AI36" s="6"/>
      <c r="AJ36" s="3"/>
    </row>
    <row r="37" spans="2:36" ht="14.25">
      <c r="B37" s="3" t="s">
        <v>62</v>
      </c>
      <c r="C37" s="3" t="s">
        <v>54</v>
      </c>
      <c r="D37" s="3"/>
      <c r="E37" s="3" t="s">
        <v>39</v>
      </c>
      <c r="F37" s="1" t="s">
        <v>55</v>
      </c>
      <c r="G37" s="1" t="s">
        <v>56</v>
      </c>
      <c r="H37" s="190">
        <f>_xlfn.IFNA(VLOOKUP(Invoer_Ontwerp[[#This Row],[Product]],Database_Productkaarten[[Product]:[Comment]],64,FALSE),0)</f>
        <v>3</v>
      </c>
      <c r="I37" s="1" t="str">
        <f>_xlfn.IFNA(VLOOKUP(Invoer_Ontwerp[[#This Row],[Product]],Database_Productkaarten[[Product]:[Producttype]],3,FALSE),0)</f>
        <v>Betonstraatsteen</v>
      </c>
      <c r="J37" s="5">
        <v>500</v>
      </c>
      <c r="K37" s="1" t="str">
        <f>_xlfn.IFNA(VLOOKUP(Invoer_Ontwerp[[#This Row],[Product]],Database_Productkaarten[[#All],[Product]:[Eenheid]],4,FALSE),0)</f>
        <v>m2</v>
      </c>
      <c r="L37" s="127" t="s">
        <v>42</v>
      </c>
      <c r="M37" s="127" t="s">
        <v>43</v>
      </c>
      <c r="N37" s="3">
        <v>0.08</v>
      </c>
      <c r="O37" s="3">
        <f>Invoer_Ontwerp[[#This Row],[Lengte'[m']]]*Invoer_Ontwerp[[#This Row],[Breedte '[m']]]</f>
        <v>500</v>
      </c>
      <c r="P37" s="3">
        <f>IFERROR(IF(Invoer_Ontwerp[[#This Row],[Oppervlakte '[m2']]]*Invoer_Ontwerp[[#This Row],[Dikte '[m']]]=0,Invoer_Ontwerp[[#This Row],[Gewicht '[ton']]]/Invoer_Ontwerp[[#This Row],[Soortelijk gewicht '[ton / m3']]],Invoer_Ontwerp[[#This Row],[Oppervlakte '[m2']]]*Invoer_Ontwerp[[#This Row],[Dikte '[m']]]),0)</f>
        <v>40</v>
      </c>
      <c r="Q37" s="3">
        <f>_xlfn.IFNA(VLOOKUP(Invoer_Ontwerp[[#This Row],[Product]],Database_Productkaarten[[Product]:[Soortelijk Gewicht '[ton / m3']]],11,FALSE),0)</f>
        <v>2.4</v>
      </c>
      <c r="R37" s="3">
        <f>_xlfn.IFNA(VLOOKUP(Invoer_Ontwerp[[#This Row],[Product]],Database_Productkaarten[[Product]:[Gewicht '[ton'] / Eenheid]],12,FALSE)*Invoer_Ontwerp[[#This Row],[Aantal Eenheden]],0)</f>
        <v>89.800000000000011</v>
      </c>
      <c r="S37" s="5">
        <f>_xlfn.IFNA(VLOOKUP(Invoer_Ontwerp[[#This Row],[Product]],Database_Productkaarten[[Product]:[Levensduur]],14,FALSE),0)</f>
        <v>25</v>
      </c>
      <c r="T37" s="5">
        <f>MAX(IFERROR($A$2/Invoer_Ontwerp[[#This Row],[Product levensduur '[jaar']]]-1,0),0)</f>
        <v>0</v>
      </c>
      <c r="U37" s="5"/>
      <c r="V37" s="5"/>
      <c r="W37" s="5"/>
      <c r="X37" s="6"/>
      <c r="Y37" s="6"/>
      <c r="Z37" s="6"/>
      <c r="AA37" s="6"/>
      <c r="AB37" s="6"/>
      <c r="AC37" s="5"/>
      <c r="AD37" s="6"/>
      <c r="AE37" s="6"/>
      <c r="AF37" s="6"/>
      <c r="AG37" s="6"/>
      <c r="AH37" s="6"/>
      <c r="AI37" s="6"/>
      <c r="AJ37" s="3"/>
    </row>
    <row r="38" spans="2:36" ht="14.25">
      <c r="B38" s="3"/>
      <c r="C38" s="3"/>
      <c r="D38" s="3"/>
      <c r="E38" s="3"/>
      <c r="F38" s="1"/>
      <c r="G38" s="1"/>
      <c r="H38" s="190">
        <f>_xlfn.IFNA(VLOOKUP(Invoer_Ontwerp[[#This Row],[Product]],Database_Productkaarten[[Product]:[Comment]],64,FALSE),0)</f>
        <v>0</v>
      </c>
      <c r="I38" s="1">
        <f>_xlfn.IFNA(VLOOKUP(Invoer_Ontwerp[[#This Row],[Product]],Database_Productkaarten[[Product]:[Producttype]],3,FALSE),0)</f>
        <v>0</v>
      </c>
      <c r="J38" s="5">
        <v>1</v>
      </c>
      <c r="K38" s="1">
        <f>_xlfn.IFNA(VLOOKUP(Invoer_Ontwerp[[#This Row],[Product]],Database_Productkaarten[[#All],[Product]:[Eenheid]],4,FALSE),0)</f>
        <v>0</v>
      </c>
      <c r="L38" s="127"/>
      <c r="M38" s="127"/>
      <c r="N38" s="3"/>
      <c r="O38" s="3">
        <f>Invoer_Ontwerp[[#This Row],[Lengte'[m']]]*Invoer_Ontwerp[[#This Row],[Breedte '[m']]]</f>
        <v>0</v>
      </c>
      <c r="P38" s="3">
        <f>IFERROR(IF(Invoer_Ontwerp[[#This Row],[Oppervlakte '[m2']]]*Invoer_Ontwerp[[#This Row],[Dikte '[m']]]=0,Invoer_Ontwerp[[#This Row],[Gewicht '[ton']]]/Invoer_Ontwerp[[#This Row],[Soortelijk gewicht '[ton / m3']]],Invoer_Ontwerp[[#This Row],[Oppervlakte '[m2']]]*Invoer_Ontwerp[[#This Row],[Dikte '[m']]]),0)</f>
        <v>0</v>
      </c>
      <c r="Q38" s="3">
        <f>_xlfn.IFNA(VLOOKUP(Invoer_Ontwerp[[#This Row],[Product]],Database_Productkaarten[[Product]:[Soortelijk Gewicht '[ton / m3']]],11,FALSE),0)</f>
        <v>0</v>
      </c>
      <c r="R38" s="3">
        <f>_xlfn.IFNA(VLOOKUP(Invoer_Ontwerp[[#This Row],[Product]],Database_Productkaarten[[Product]:[Gewicht '[ton'] / Eenheid]],12,FALSE)*Invoer_Ontwerp[[#This Row],[Aantal Eenheden]],0)</f>
        <v>0</v>
      </c>
      <c r="S38" s="5">
        <f>_xlfn.IFNA(VLOOKUP(Invoer_Ontwerp[[#This Row],[Product]],Database_Productkaarten[[Product]:[Levensduur]],14,FALSE),0)</f>
        <v>0</v>
      </c>
      <c r="T38" s="5">
        <f>MAX(IFERROR($A$2/Invoer_Ontwerp[[#This Row],[Product levensduur '[jaar']]]-1,0),0)</f>
        <v>0</v>
      </c>
      <c r="U38" s="5"/>
      <c r="V38" s="5"/>
      <c r="W38" s="5"/>
      <c r="X38" s="6"/>
      <c r="Y38" s="6"/>
      <c r="Z38" s="6"/>
      <c r="AA38" s="6"/>
      <c r="AB38" s="6"/>
      <c r="AC38" s="5"/>
      <c r="AD38" s="6"/>
      <c r="AE38" s="6"/>
      <c r="AF38" s="6"/>
      <c r="AG38" s="6"/>
      <c r="AH38" s="6"/>
      <c r="AI38" s="6"/>
      <c r="AJ38" s="3"/>
    </row>
    <row r="39" spans="2:36" ht="14.25">
      <c r="B39" s="3"/>
      <c r="C39" s="3"/>
      <c r="D39" s="3"/>
      <c r="E39" s="3"/>
      <c r="F39" s="1"/>
      <c r="G39" s="1"/>
      <c r="H39" s="190">
        <f>_xlfn.IFNA(VLOOKUP(Invoer_Ontwerp[[#This Row],[Product]],Database_Productkaarten[[Product]:[Comment]],64,FALSE),0)</f>
        <v>0</v>
      </c>
      <c r="I39" s="1">
        <f>_xlfn.IFNA(VLOOKUP(Invoer_Ontwerp[[#This Row],[Product]],Database_Productkaarten[[Product]:[Producttype]],3,FALSE),0)</f>
        <v>0</v>
      </c>
      <c r="J39" s="5">
        <v>1</v>
      </c>
      <c r="K39" s="1">
        <f>_xlfn.IFNA(VLOOKUP(Invoer_Ontwerp[[#This Row],[Product]],Database_Productkaarten[[#All],[Product]:[Eenheid]],4,FALSE),0)</f>
        <v>0</v>
      </c>
      <c r="L39" s="127"/>
      <c r="M39" s="127"/>
      <c r="N39" s="3"/>
      <c r="O39" s="3">
        <f>Invoer_Ontwerp[[#This Row],[Lengte'[m']]]*Invoer_Ontwerp[[#This Row],[Breedte '[m']]]</f>
        <v>0</v>
      </c>
      <c r="P39" s="3">
        <f>IFERROR(IF(Invoer_Ontwerp[[#This Row],[Oppervlakte '[m2']]]*Invoer_Ontwerp[[#This Row],[Dikte '[m']]]=0,Invoer_Ontwerp[[#This Row],[Gewicht '[ton']]]/Invoer_Ontwerp[[#This Row],[Soortelijk gewicht '[ton / m3']]],Invoer_Ontwerp[[#This Row],[Oppervlakte '[m2']]]*Invoer_Ontwerp[[#This Row],[Dikte '[m']]]),0)</f>
        <v>0</v>
      </c>
      <c r="Q39" s="3">
        <f>_xlfn.IFNA(VLOOKUP(Invoer_Ontwerp[[#This Row],[Product]],Database_Productkaarten[[Product]:[Soortelijk Gewicht '[ton / m3']]],11,FALSE),0)</f>
        <v>0</v>
      </c>
      <c r="R39" s="3">
        <f>_xlfn.IFNA(VLOOKUP(Invoer_Ontwerp[[#This Row],[Product]],Database_Productkaarten[[Product]:[Gewicht '[ton'] / Eenheid]],12,FALSE)*Invoer_Ontwerp[[#This Row],[Aantal Eenheden]],0)</f>
        <v>0</v>
      </c>
      <c r="S39" s="5">
        <f>_xlfn.IFNA(VLOOKUP(Invoer_Ontwerp[[#This Row],[Product]],Database_Productkaarten[[Product]:[Levensduur]],14,FALSE),0)</f>
        <v>0</v>
      </c>
      <c r="T39" s="5">
        <f>MAX(IFERROR($A$2/Invoer_Ontwerp[[#This Row],[Product levensduur '[jaar']]]-1,0),0)</f>
        <v>0</v>
      </c>
      <c r="U39" s="5"/>
      <c r="V39" s="5"/>
      <c r="W39" s="5"/>
      <c r="X39" s="6"/>
      <c r="Y39" s="6"/>
      <c r="Z39" s="6"/>
      <c r="AA39" s="6"/>
      <c r="AB39" s="6"/>
      <c r="AC39" s="5"/>
      <c r="AD39" s="6"/>
      <c r="AE39" s="6"/>
      <c r="AF39" s="6"/>
      <c r="AG39" s="6"/>
      <c r="AH39" s="6"/>
      <c r="AI39" s="6"/>
      <c r="AJ39" s="3"/>
    </row>
    <row r="40" spans="2:36" ht="14.25">
      <c r="B40" s="3"/>
      <c r="C40" s="3"/>
      <c r="D40" s="3"/>
      <c r="E40" s="3"/>
      <c r="F40" s="1"/>
      <c r="G40" s="1"/>
      <c r="H40" s="190">
        <f>_xlfn.IFNA(VLOOKUP(Invoer_Ontwerp[[#This Row],[Product]],Database_Productkaarten[[Product]:[Comment]],64,FALSE),0)</f>
        <v>0</v>
      </c>
      <c r="I40" s="1">
        <f>_xlfn.IFNA(VLOOKUP(Invoer_Ontwerp[[#This Row],[Product]],Database_Productkaarten[[Product]:[Producttype]],3,FALSE),0)</f>
        <v>0</v>
      </c>
      <c r="J40" s="5">
        <v>1</v>
      </c>
      <c r="K40" s="1">
        <f>_xlfn.IFNA(VLOOKUP(Invoer_Ontwerp[[#This Row],[Product]],Database_Productkaarten[[#All],[Product]:[Eenheid]],4,FALSE),0)</f>
        <v>0</v>
      </c>
      <c r="L40" s="127"/>
      <c r="M40" s="127"/>
      <c r="N40" s="3"/>
      <c r="O40" s="3">
        <f>Invoer_Ontwerp[[#This Row],[Lengte'[m']]]*Invoer_Ontwerp[[#This Row],[Breedte '[m']]]</f>
        <v>0</v>
      </c>
      <c r="P40" s="3">
        <f>IFERROR(IF(Invoer_Ontwerp[[#This Row],[Oppervlakte '[m2']]]*Invoer_Ontwerp[[#This Row],[Dikte '[m']]]=0,Invoer_Ontwerp[[#This Row],[Gewicht '[ton']]]/Invoer_Ontwerp[[#This Row],[Soortelijk gewicht '[ton / m3']]],Invoer_Ontwerp[[#This Row],[Oppervlakte '[m2']]]*Invoer_Ontwerp[[#This Row],[Dikte '[m']]]),0)</f>
        <v>0</v>
      </c>
      <c r="Q40" s="3">
        <f>_xlfn.IFNA(VLOOKUP(Invoer_Ontwerp[[#This Row],[Product]],Database_Productkaarten[[Product]:[Soortelijk Gewicht '[ton / m3']]],11,FALSE),0)</f>
        <v>0</v>
      </c>
      <c r="R40" s="3">
        <f>_xlfn.IFNA(VLOOKUP(Invoer_Ontwerp[[#This Row],[Product]],Database_Productkaarten[[Product]:[Gewicht '[ton'] / Eenheid]],12,FALSE)*Invoer_Ontwerp[[#This Row],[Aantal Eenheden]],0)</f>
        <v>0</v>
      </c>
      <c r="S40" s="5">
        <f>_xlfn.IFNA(VLOOKUP(Invoer_Ontwerp[[#This Row],[Product]],Database_Productkaarten[[Product]:[Levensduur]],14,FALSE),0)</f>
        <v>0</v>
      </c>
      <c r="T40" s="5">
        <f>MAX(IFERROR($A$2/Invoer_Ontwerp[[#This Row],[Product levensduur '[jaar']]]-1,0),0)</f>
        <v>0</v>
      </c>
      <c r="U40" s="5"/>
      <c r="V40" s="5"/>
      <c r="W40" s="5"/>
      <c r="X40" s="6"/>
      <c r="Y40" s="6"/>
      <c r="Z40" s="6"/>
      <c r="AA40" s="6"/>
      <c r="AB40" s="6"/>
      <c r="AC40" s="5"/>
      <c r="AD40" s="6"/>
      <c r="AE40" s="6"/>
      <c r="AF40" s="6"/>
      <c r="AG40" s="6"/>
      <c r="AH40" s="6"/>
      <c r="AI40" s="6"/>
      <c r="AJ40" s="3"/>
    </row>
    <row r="41" spans="2:36" ht="14.25">
      <c r="B41" s="3"/>
      <c r="C41" s="3"/>
      <c r="D41" s="3"/>
      <c r="E41" s="3"/>
      <c r="F41" s="1"/>
      <c r="G41" s="1"/>
      <c r="H41" s="190">
        <f>_xlfn.IFNA(VLOOKUP(Invoer_Ontwerp[[#This Row],[Product]],Database_Productkaarten[[Product]:[Comment]],64,FALSE),0)</f>
        <v>0</v>
      </c>
      <c r="I41" s="1">
        <f>_xlfn.IFNA(VLOOKUP(Invoer_Ontwerp[[#This Row],[Product]],Database_Productkaarten[[Product]:[Producttype]],3,FALSE),0)</f>
        <v>0</v>
      </c>
      <c r="J41" s="5">
        <v>1</v>
      </c>
      <c r="K41" s="1">
        <f>_xlfn.IFNA(VLOOKUP(Invoer_Ontwerp[[#This Row],[Product]],Database_Productkaarten[[#All],[Product]:[Eenheid]],4,FALSE),0)</f>
        <v>0</v>
      </c>
      <c r="L41" s="127"/>
      <c r="M41" s="127"/>
      <c r="N41" s="3"/>
      <c r="O41" s="3">
        <f>Invoer_Ontwerp[[#This Row],[Lengte'[m']]]*Invoer_Ontwerp[[#This Row],[Breedte '[m']]]</f>
        <v>0</v>
      </c>
      <c r="P41" s="3">
        <f>IFERROR(IF(Invoer_Ontwerp[[#This Row],[Oppervlakte '[m2']]]*Invoer_Ontwerp[[#This Row],[Dikte '[m']]]=0,Invoer_Ontwerp[[#This Row],[Gewicht '[ton']]]/Invoer_Ontwerp[[#This Row],[Soortelijk gewicht '[ton / m3']]],Invoer_Ontwerp[[#This Row],[Oppervlakte '[m2']]]*Invoer_Ontwerp[[#This Row],[Dikte '[m']]]),0)</f>
        <v>0</v>
      </c>
      <c r="Q41" s="3">
        <f>_xlfn.IFNA(VLOOKUP(Invoer_Ontwerp[[#This Row],[Product]],Database_Productkaarten[[Product]:[Soortelijk Gewicht '[ton / m3']]],11,FALSE),0)</f>
        <v>0</v>
      </c>
      <c r="R41" s="3">
        <f>_xlfn.IFNA(VLOOKUP(Invoer_Ontwerp[[#This Row],[Product]],Database_Productkaarten[[Product]:[Gewicht '[ton'] / Eenheid]],12,FALSE)*Invoer_Ontwerp[[#This Row],[Aantal Eenheden]],0)</f>
        <v>0</v>
      </c>
      <c r="S41" s="5">
        <f>_xlfn.IFNA(VLOOKUP(Invoer_Ontwerp[[#This Row],[Product]],Database_Productkaarten[[Product]:[Levensduur]],14,FALSE),0)</f>
        <v>0</v>
      </c>
      <c r="T41" s="5">
        <f>MAX(IFERROR($A$2/Invoer_Ontwerp[[#This Row],[Product levensduur '[jaar']]]-1,0),0)</f>
        <v>0</v>
      </c>
      <c r="U41" s="5"/>
      <c r="V41" s="5"/>
      <c r="W41" s="5"/>
      <c r="X41" s="6"/>
      <c r="Y41" s="6"/>
      <c r="Z41" s="6"/>
      <c r="AA41" s="6"/>
      <c r="AB41" s="6"/>
      <c r="AC41" s="5"/>
      <c r="AD41" s="6"/>
      <c r="AE41" s="6"/>
      <c r="AF41" s="6"/>
      <c r="AG41" s="6"/>
      <c r="AH41" s="6"/>
      <c r="AI41" s="6"/>
      <c r="AJ41" s="3"/>
    </row>
    <row r="42" spans="2:36" ht="14.25">
      <c r="B42" s="100"/>
      <c r="C42" s="100"/>
      <c r="D42" s="100"/>
      <c r="E42" s="101"/>
      <c r="H42" s="100"/>
      <c r="I42" s="100"/>
      <c r="J42" s="100"/>
      <c r="K42" s="100"/>
      <c r="L42" s="100"/>
      <c r="M42" s="100"/>
      <c r="N42" s="102"/>
      <c r="O42" s="100"/>
      <c r="V42" s="13"/>
    </row>
    <row r="43" spans="2:36" ht="14.25">
      <c r="V43" s="13"/>
    </row>
    <row r="44" spans="2:36" ht="14.25">
      <c r="V44" s="13"/>
    </row>
    <row r="45" spans="2:36" ht="14.25">
      <c r="V45" s="13"/>
    </row>
    <row r="46" spans="2:36" ht="14.25">
      <c r="V46" s="13"/>
    </row>
    <row r="47" spans="2:36" ht="14.25">
      <c r="V47" s="13"/>
    </row>
    <row r="48" spans="2:36" ht="14.25">
      <c r="V48" s="13"/>
    </row>
    <row r="49" spans="22:38" ht="14.25">
      <c r="V49" s="13"/>
    </row>
    <row r="50" spans="22:38">
      <c r="V50" s="13"/>
      <c r="AK50" s="55" t="str">
        <f>Ontwerp_Backlog!AC4</f>
        <v>Open Menggranulaat</v>
      </c>
      <c r="AL50" s="278">
        <f>SUM(Ontwerp_Backlog!AD4:AQ4)</f>
        <v>3399.0552038502315</v>
      </c>
    </row>
    <row r="51" spans="22:38">
      <c r="V51" s="13"/>
      <c r="AK51" s="55" t="str">
        <f>Ontwerp_Backlog!AC5</f>
        <v>Plastic kratten</v>
      </c>
      <c r="AL51" s="278">
        <f>SUM(Ontwerp_Backlog!AD5:AQ5)</f>
        <v>5675.4435459669994</v>
      </c>
    </row>
    <row r="52" spans="22:38">
      <c r="V52" s="13"/>
      <c r="AK52" s="55" t="str">
        <f>Ontwerp_Backlog!AC6</f>
        <v>Rockwool</v>
      </c>
      <c r="AL52" s="278">
        <f>SUM(Ontwerp_Backlog!AD6:AQ6)</f>
        <v>2511.4815459670003</v>
      </c>
    </row>
    <row r="53" spans="22:38">
      <c r="V53" s="13"/>
      <c r="AK53" s="55" t="str">
        <f>Ontwerp_Backlog!AC7</f>
        <v>Grand Total</v>
      </c>
      <c r="AL53" s="278">
        <f>SUM(Ontwerp_Backlog!AD7:AQ7)</f>
        <v>11585.980295784233</v>
      </c>
    </row>
    <row r="54" spans="22:38" ht="14.25">
      <c r="V54" s="13"/>
    </row>
    <row r="55" spans="22:38" ht="14.25">
      <c r="V55" s="13"/>
    </row>
    <row r="56" spans="22:38" ht="14.25">
      <c r="V56" s="13"/>
    </row>
    <row r="57" spans="22:38" ht="14.25">
      <c r="V57" s="13"/>
    </row>
    <row r="58" spans="22:38" ht="14.25">
      <c r="V58" s="13"/>
    </row>
    <row r="59" spans="22:38" ht="14.25">
      <c r="V59" s="13"/>
    </row>
    <row r="60" spans="22:38" ht="14.25">
      <c r="V60" s="13"/>
    </row>
    <row r="61" spans="22:38" ht="14.25">
      <c r="V61" s="13"/>
    </row>
    <row r="62" spans="22:38" ht="14.25">
      <c r="V62" s="13"/>
    </row>
    <row r="63" spans="22:38" ht="14.25">
      <c r="V63" s="13"/>
    </row>
    <row r="64" spans="22:38" ht="14.25">
      <c r="V64" s="13"/>
    </row>
    <row r="65" spans="5:22" ht="18">
      <c r="F65" s="416"/>
      <c r="G65" s="416"/>
      <c r="H65" s="416"/>
      <c r="I65" s="104"/>
      <c r="J65" s="104"/>
      <c r="V65" s="13"/>
    </row>
    <row r="66" spans="5:22" ht="18">
      <c r="F66" s="169"/>
      <c r="G66" s="169"/>
      <c r="H66" s="169"/>
      <c r="I66" s="150"/>
      <c r="J66" s="150"/>
      <c r="V66" s="13"/>
    </row>
    <row r="67" spans="5:22" ht="18.75" thickBot="1">
      <c r="E67" s="110" t="s">
        <v>64</v>
      </c>
      <c r="F67" s="110"/>
      <c r="G67" s="110"/>
      <c r="V67" s="13"/>
    </row>
    <row r="68" spans="5:22" ht="18.75" thickBot="1">
      <c r="E68" s="155">
        <f>SUM(Referentie_CO2_Totaal[[#Totals],[A1]:[D2]])/1000</f>
        <v>884.09719691056011</v>
      </c>
      <c r="F68" s="170"/>
      <c r="G68" s="170"/>
      <c r="V68" s="13"/>
    </row>
    <row r="69" spans="5:22" ht="14.25">
      <c r="V69" s="13"/>
    </row>
    <row r="70" spans="5:22" ht="18">
      <c r="E70" s="110" t="s">
        <v>65</v>
      </c>
      <c r="F70" s="110"/>
      <c r="G70" s="110"/>
      <c r="V70" s="13"/>
    </row>
    <row r="71" spans="5:22" ht="18">
      <c r="E71" s="110"/>
      <c r="F71" s="110"/>
      <c r="G71" s="110"/>
      <c r="V71" s="13"/>
    </row>
    <row r="72" spans="5:22" ht="18">
      <c r="E72" s="110"/>
      <c r="F72" s="110"/>
      <c r="G72" s="110"/>
      <c r="V72" s="13"/>
    </row>
    <row r="73" spans="5:22" ht="18">
      <c r="E73" s="110"/>
      <c r="F73" s="110"/>
      <c r="G73" s="110"/>
      <c r="V73" s="13"/>
    </row>
    <row r="74" spans="5:22" ht="18">
      <c r="E74" s="110"/>
      <c r="F74" s="110"/>
      <c r="G74" s="110"/>
      <c r="V74" s="13"/>
    </row>
    <row r="75" spans="5:22" ht="18">
      <c r="E75" s="110"/>
      <c r="F75" s="110"/>
      <c r="G75" s="110"/>
      <c r="V75" s="13"/>
    </row>
    <row r="76" spans="5:22" ht="18.75" thickBot="1">
      <c r="E76" s="110"/>
      <c r="F76" s="110"/>
      <c r="G76" s="110"/>
      <c r="V76" s="13"/>
    </row>
    <row r="77" spans="5:22" ht="18.75" thickBot="1">
      <c r="E77" s="155">
        <f>Referentie_Materiaal_Totaal[[#Totals],[Primair materiaalverbruik '[ton']]]+Referentie_Materiaal_Totaal[[#Totals],[Primair materiaalverbruik Vervangingen '[ton']]]</f>
        <v>12406.89629521266</v>
      </c>
      <c r="F77" s="170"/>
      <c r="G77" s="170"/>
      <c r="H77" s="55"/>
      <c r="I77" s="55"/>
      <c r="J77" s="55"/>
      <c r="V77" s="13"/>
    </row>
    <row r="78" spans="5:22" ht="18.75" thickBot="1">
      <c r="E78" s="155">
        <f>Referentie_Materiaal_Totaal[[#Totals],[Secundair materiaalverbruik '[ton']]]+Referentie_Materiaal_Totaal[[#Totals],[Secundair materiaalverbruik Vervangingen '[ton']]]</f>
        <v>94414.091564787333</v>
      </c>
      <c r="F78" s="170"/>
      <c r="G78" s="170"/>
      <c r="H78" s="55"/>
      <c r="I78" s="55"/>
      <c r="J78" s="55"/>
      <c r="V78" s="13"/>
    </row>
    <row r="79" spans="5:22" ht="18.75" thickBot="1">
      <c r="E79" s="152">
        <f>E77+E78</f>
        <v>106820.98785999999</v>
      </c>
      <c r="F79" s="168"/>
      <c r="G79" s="168"/>
      <c r="H79" s="55"/>
      <c r="I79" s="55"/>
      <c r="J79" s="55"/>
      <c r="V79" s="13"/>
    </row>
    <row r="80" spans="5:22" ht="14.25">
      <c r="V80" s="13"/>
    </row>
    <row r="81" spans="1:22" ht="14.25">
      <c r="V81" s="13"/>
    </row>
    <row r="82" spans="1:22" ht="14.25">
      <c r="V82" s="13"/>
    </row>
    <row r="83" spans="1:22" ht="14.25">
      <c r="V83" s="13"/>
    </row>
    <row r="84" spans="1:22" ht="14.25">
      <c r="V84" s="13"/>
    </row>
    <row r="85" spans="1:22" ht="18.75" thickBot="1">
      <c r="E85" s="110" t="s">
        <v>66</v>
      </c>
      <c r="F85" s="110"/>
      <c r="G85" s="110"/>
      <c r="V85" s="13"/>
    </row>
    <row r="86" spans="1:22" ht="18.75" thickBot="1">
      <c r="E86" s="156">
        <f>SUM(Referentie_Hernieuwbare_Energie_Totaal[[#Totals],[A1]:[D2]])/1000</f>
        <v>411.42480308854857</v>
      </c>
      <c r="F86" s="157"/>
      <c r="G86" s="158"/>
      <c r="H86" s="55" t="s">
        <v>67</v>
      </c>
      <c r="I86" s="55"/>
      <c r="J86" s="55"/>
      <c r="V86" s="13"/>
    </row>
    <row r="87" spans="1:22" ht="18.75" thickBot="1">
      <c r="E87" s="156">
        <f>SUM(Referentie_Fossiele_Energie_Totaal[[#Totals],[A1]:[D2]])/1000</f>
        <v>9648.964827815551</v>
      </c>
      <c r="F87" s="157"/>
      <c r="G87" s="158"/>
      <c r="H87" s="55" t="s">
        <v>68</v>
      </c>
      <c r="I87" s="55"/>
      <c r="J87" s="55"/>
      <c r="V87" s="13"/>
    </row>
    <row r="88" spans="1:22" ht="18.75" thickBot="1">
      <c r="E88" s="152">
        <f>E86+E87</f>
        <v>10060.389630904099</v>
      </c>
      <c r="F88" s="153"/>
      <c r="G88" s="154"/>
      <c r="H88" s="55" t="s">
        <v>69</v>
      </c>
      <c r="I88" s="55"/>
      <c r="J88" s="55"/>
      <c r="V88" s="13"/>
    </row>
    <row r="89" spans="1:22" ht="18">
      <c r="E89" s="168"/>
      <c r="F89" s="168"/>
      <c r="G89" s="168"/>
      <c r="H89" s="55"/>
      <c r="I89" s="55"/>
      <c r="J89" s="55"/>
      <c r="V89" s="13"/>
    </row>
    <row r="90" spans="1:22" ht="18">
      <c r="E90" s="168"/>
      <c r="F90" s="168"/>
      <c r="G90" s="168"/>
      <c r="H90" s="55"/>
      <c r="I90" s="55"/>
      <c r="J90" s="55"/>
      <c r="V90" s="13"/>
    </row>
    <row r="91" spans="1:22" ht="18">
      <c r="E91" s="168"/>
      <c r="F91" s="168"/>
      <c r="G91" s="168"/>
      <c r="H91" s="55"/>
      <c r="I91" s="55"/>
      <c r="J91" s="55"/>
      <c r="V91" s="13"/>
    </row>
    <row r="92" spans="1:22" ht="18">
      <c r="E92" s="168"/>
      <c r="F92" s="168"/>
      <c r="G92" s="168"/>
      <c r="H92" s="55"/>
      <c r="I92" s="55"/>
      <c r="J92" s="55"/>
      <c r="V92" s="13"/>
    </row>
    <row r="93" spans="1:22" ht="18">
      <c r="E93" s="99"/>
      <c r="F93" s="99"/>
      <c r="G93" s="99"/>
      <c r="H93" s="55"/>
      <c r="I93" s="55"/>
      <c r="J93" s="55"/>
      <c r="V93" s="13"/>
    </row>
    <row r="94" spans="1:22" ht="18">
      <c r="A94" s="14"/>
      <c r="B94" s="14"/>
      <c r="C94" s="14"/>
      <c r="E94" s="110"/>
      <c r="F94" s="110"/>
      <c r="G94" s="110"/>
      <c r="H94" s="14"/>
      <c r="I94" s="14"/>
      <c r="J94" s="14"/>
      <c r="V94" s="13"/>
    </row>
    <row r="95" spans="1:22" ht="18">
      <c r="A95" s="14"/>
      <c r="B95" s="14"/>
      <c r="C95" s="14"/>
      <c r="E95" s="168"/>
      <c r="F95" s="168"/>
      <c r="G95" s="168"/>
      <c r="H95" s="55"/>
      <c r="I95" s="55"/>
      <c r="J95" s="55"/>
      <c r="V95" s="13"/>
    </row>
    <row r="96" spans="1:22" ht="18">
      <c r="A96" s="14"/>
      <c r="B96" s="14"/>
      <c r="C96" s="14"/>
      <c r="E96" s="168"/>
      <c r="F96" s="168"/>
      <c r="G96" s="168"/>
      <c r="H96" s="55"/>
      <c r="I96" s="55"/>
      <c r="J96" s="55"/>
      <c r="V96" s="13"/>
    </row>
    <row r="97" spans="1:22" ht="18">
      <c r="A97" s="14"/>
      <c r="B97" s="14"/>
      <c r="C97" s="14"/>
      <c r="E97" s="99"/>
      <c r="F97" s="99"/>
      <c r="G97" s="99"/>
      <c r="H97" s="14"/>
      <c r="I97" s="14"/>
      <c r="J97" s="14"/>
      <c r="V97" s="13"/>
    </row>
    <row r="98" spans="1:22" ht="18">
      <c r="A98" s="14"/>
      <c r="B98" s="14"/>
      <c r="C98" s="14"/>
      <c r="E98" s="99"/>
      <c r="F98" s="99"/>
      <c r="G98" s="99"/>
      <c r="H98" s="14"/>
      <c r="I98" s="14"/>
      <c r="J98" s="14"/>
      <c r="V98" s="13"/>
    </row>
    <row r="99" spans="1:22" ht="18">
      <c r="A99" s="14"/>
      <c r="B99" s="14"/>
      <c r="C99" s="14"/>
      <c r="E99" s="99"/>
      <c r="F99" s="99"/>
      <c r="G99" s="99"/>
      <c r="H99" s="14"/>
      <c r="I99" s="14"/>
      <c r="J99" s="14"/>
      <c r="V99" s="13"/>
    </row>
    <row r="100" spans="1:22" ht="18">
      <c r="A100" s="14"/>
      <c r="B100" s="14"/>
      <c r="C100" s="14"/>
      <c r="E100" s="99"/>
      <c r="F100" s="99"/>
      <c r="G100" s="99"/>
      <c r="H100" s="14"/>
      <c r="I100" s="14"/>
      <c r="J100" s="14"/>
      <c r="V100" s="13"/>
    </row>
    <row r="101" spans="1:22" ht="18">
      <c r="A101" s="14"/>
      <c r="B101" s="14"/>
      <c r="C101" s="14"/>
      <c r="E101" s="99"/>
      <c r="F101" s="99"/>
      <c r="G101" s="99"/>
      <c r="H101" s="14"/>
      <c r="I101" s="14"/>
      <c r="J101" s="14"/>
      <c r="V101" s="13"/>
    </row>
    <row r="102" spans="1:22" ht="18">
      <c r="A102" s="14"/>
      <c r="B102" s="14"/>
      <c r="C102" s="14"/>
      <c r="E102" s="110"/>
      <c r="F102" s="110"/>
      <c r="G102" s="110"/>
      <c r="H102" s="14"/>
      <c r="I102" s="14"/>
      <c r="J102" s="14"/>
      <c r="V102" s="13"/>
    </row>
    <row r="103" spans="1:22" ht="18">
      <c r="A103" s="14"/>
      <c r="B103" s="14"/>
      <c r="C103" s="14"/>
      <c r="E103" s="168"/>
      <c r="F103" s="168"/>
      <c r="G103" s="168"/>
      <c r="H103" s="55"/>
      <c r="I103" s="55"/>
      <c r="J103" s="55"/>
      <c r="V103" s="13"/>
    </row>
    <row r="104" spans="1:22" ht="18">
      <c r="A104" s="14"/>
      <c r="B104" s="14"/>
      <c r="C104" s="14"/>
      <c r="E104" s="168"/>
      <c r="F104" s="168"/>
      <c r="G104" s="168"/>
      <c r="H104" s="55"/>
      <c r="I104" s="55"/>
      <c r="J104" s="55"/>
      <c r="V104" s="13"/>
    </row>
    <row r="105" spans="1:22" ht="18">
      <c r="A105" s="14"/>
      <c r="B105" s="14"/>
      <c r="C105" s="14"/>
      <c r="D105" s="99"/>
      <c r="E105" s="99"/>
      <c r="F105" s="99"/>
      <c r="G105" s="55"/>
      <c r="V105" s="13"/>
    </row>
    <row r="106" spans="1:22" ht="14.25">
      <c r="V106" s="13"/>
    </row>
    <row r="107" spans="1:22" ht="14.25">
      <c r="V107" s="13"/>
    </row>
    <row r="108" spans="1:22" ht="14.25">
      <c r="V108" s="13"/>
    </row>
    <row r="109" spans="1:22" ht="14.25">
      <c r="V109" s="13"/>
    </row>
    <row r="110" spans="1:22" ht="14.25">
      <c r="V110" s="13"/>
    </row>
    <row r="111" spans="1:22" ht="14.25">
      <c r="V111" s="13"/>
    </row>
    <row r="112" spans="1:22" ht="14.25">
      <c r="V112" s="13"/>
    </row>
    <row r="113" s="13" customFormat="1" ht="14.25"/>
    <row r="114" s="13" customFormat="1" ht="14.25"/>
    <row r="115" s="13" customFormat="1" ht="14.25"/>
    <row r="116" s="13" customFormat="1" ht="14.25"/>
    <row r="117" s="13" customFormat="1" ht="14.25"/>
    <row r="118" s="13" customFormat="1" ht="14.25"/>
    <row r="119" s="13" customFormat="1" ht="14.25"/>
    <row r="120" s="13" customFormat="1" ht="14.25"/>
    <row r="121" s="13" customFormat="1" ht="14.25"/>
    <row r="122" s="13" customFormat="1" ht="14.25"/>
    <row r="123" s="13" customFormat="1" ht="14.25"/>
    <row r="124" s="13" customFormat="1" ht="14.25"/>
    <row r="125" s="13" customFormat="1" ht="14.25"/>
    <row r="126" s="13" customFormat="1" ht="14.25"/>
    <row r="127" s="13" customFormat="1" ht="14.25"/>
    <row r="128" s="13" customFormat="1" ht="14.25"/>
    <row r="129" s="13" customFormat="1" ht="14.25"/>
    <row r="130" s="13" customFormat="1" ht="14.25"/>
    <row r="131" s="13" customFormat="1" ht="14.25"/>
    <row r="132" s="13" customFormat="1" ht="14.25"/>
    <row r="133" s="13" customFormat="1" ht="14.25"/>
    <row r="134" s="13" customFormat="1" ht="14.25"/>
    <row r="135" s="13" customFormat="1" ht="14.25"/>
    <row r="136" s="13" customFormat="1" ht="14.25"/>
    <row r="137" s="13" customFormat="1" ht="14.25"/>
    <row r="138" s="13" customFormat="1" ht="14.25"/>
    <row r="139" s="13" customFormat="1" ht="14.25"/>
    <row r="140" s="13" customFormat="1" ht="14.25"/>
    <row r="141" s="13" customFormat="1" ht="14.25"/>
    <row r="142" s="13" customFormat="1" ht="14.25"/>
    <row r="143" s="13" customFormat="1" ht="14.25"/>
    <row r="144" s="13" customFormat="1" ht="14.25"/>
    <row r="145" s="13" customFormat="1" ht="14.25"/>
    <row r="146" s="13" customFormat="1" ht="14.25"/>
    <row r="147" s="13" customFormat="1" ht="14.25"/>
    <row r="148" s="13" customFormat="1" ht="14.25"/>
    <row r="149" s="13" customFormat="1" ht="14.25"/>
    <row r="150" s="13" customFormat="1" ht="14.25"/>
    <row r="151" s="13" customFormat="1" ht="14.25"/>
    <row r="152" s="13" customFormat="1" ht="14.25"/>
    <row r="153" s="13" customFormat="1" ht="14.25"/>
    <row r="154" s="13" customFormat="1" ht="14.25"/>
    <row r="155" s="13" customFormat="1" ht="14.25"/>
    <row r="156" s="13" customFormat="1" ht="14.25"/>
    <row r="157" s="13" customFormat="1" ht="14.25"/>
    <row r="158" s="13" customFormat="1" ht="14.25"/>
    <row r="159" s="13" customFormat="1" ht="14.25"/>
    <row r="160" s="13" customFormat="1" ht="14.25"/>
    <row r="161" s="13" customFormat="1" ht="14.25"/>
    <row r="162" s="13" customFormat="1" ht="14.25"/>
    <row r="163" s="13" customFormat="1" ht="14.25"/>
    <row r="164" s="13" customFormat="1" ht="14.25"/>
    <row r="165" s="13" customFormat="1" ht="14.25"/>
    <row r="166" s="13" customFormat="1" ht="14.25"/>
    <row r="167" s="13" customFormat="1" ht="14.25"/>
    <row r="168" s="13" customFormat="1" ht="14.25"/>
    <row r="169" s="13" customFormat="1" ht="14.25"/>
    <row r="170" s="13" customFormat="1" ht="14.25"/>
    <row r="171" s="13" customFormat="1" ht="14.25"/>
    <row r="172" s="13" customFormat="1" ht="14.25"/>
    <row r="173" s="13" customFormat="1" ht="14.25"/>
    <row r="174" s="13" customFormat="1" ht="14.25"/>
    <row r="175" s="13" customFormat="1" ht="14.25"/>
    <row r="176" s="13" customFormat="1" ht="14.25"/>
    <row r="177" s="13" customFormat="1" ht="14.25"/>
    <row r="178" s="13" customFormat="1" ht="14.25"/>
    <row r="179" s="13" customFormat="1" ht="14.25"/>
    <row r="180" s="13" customFormat="1" ht="14.25"/>
    <row r="181" s="13" customFormat="1" ht="14.25"/>
    <row r="182" s="13" customFormat="1" ht="14.25"/>
    <row r="183" s="13" customFormat="1" ht="14.25"/>
    <row r="184" s="13" customFormat="1" ht="14.25"/>
    <row r="185" s="13" customFormat="1" ht="14.25"/>
    <row r="186" s="13" customFormat="1" ht="14.25"/>
    <row r="187" s="13" customFormat="1" ht="14.25"/>
    <row r="188" s="13" customFormat="1" ht="14.25"/>
    <row r="189" s="13" customFormat="1" ht="14.25"/>
    <row r="190" s="13" customFormat="1" ht="14.25"/>
    <row r="191" s="13" customFormat="1" ht="14.25"/>
    <row r="192" s="13" customFormat="1" ht="14.25"/>
    <row r="193" s="13" customFormat="1" ht="14.25"/>
    <row r="194" s="13" customFormat="1" ht="14.25"/>
    <row r="195" s="13" customFormat="1" ht="14.25"/>
    <row r="196" s="13" customFormat="1" ht="14.25"/>
    <row r="197" s="13" customFormat="1" ht="14.25"/>
    <row r="198" s="13" customFormat="1" ht="14.25"/>
    <row r="199" s="13" customFormat="1" ht="14.25"/>
    <row r="200" s="13" customFormat="1" ht="14.25"/>
    <row r="201" s="13" customFormat="1" ht="14.25"/>
    <row r="202" s="13" customFormat="1" ht="14.25"/>
    <row r="203" s="13" customFormat="1" ht="14.25"/>
    <row r="204" s="13" customFormat="1" ht="14.25"/>
    <row r="205" s="13" customFormat="1" ht="14.25"/>
    <row r="206" s="13" customFormat="1" ht="14.25"/>
    <row r="207" s="13" customFormat="1" ht="14.25"/>
    <row r="208" s="13" customFormat="1" ht="14.25"/>
    <row r="209" s="13" customFormat="1" ht="14.25"/>
    <row r="210" s="13" customFormat="1" ht="14.25"/>
    <row r="211" s="13" customFormat="1" ht="14.25"/>
    <row r="212" s="13" customFormat="1" ht="14.25"/>
    <row r="213" s="13" customFormat="1" ht="14.25"/>
    <row r="214" s="13" customFormat="1" ht="14.25"/>
    <row r="215" s="13" customFormat="1" ht="14.25"/>
    <row r="216" s="13" customFormat="1" ht="14.25"/>
    <row r="217" s="13" customFormat="1" ht="14.25"/>
    <row r="218" s="13" customFormat="1" ht="14.25"/>
    <row r="219" s="13" customFormat="1" ht="14.25"/>
    <row r="220" s="13" customFormat="1" ht="14.25"/>
    <row r="221" s="13" customFormat="1" ht="14.25"/>
    <row r="222" s="13" customFormat="1" ht="14.25"/>
    <row r="223" s="13" customFormat="1" ht="14.25"/>
    <row r="224" s="13" customFormat="1" ht="14.25"/>
    <row r="225" s="13" customFormat="1" ht="14.25"/>
    <row r="226" s="13" customFormat="1" ht="14.25"/>
    <row r="227" s="13" customFormat="1" ht="14.25"/>
    <row r="228" s="13" customFormat="1" ht="14.25"/>
    <row r="229" s="13" customFormat="1" ht="14.25"/>
    <row r="230" s="13" customFormat="1" ht="14.25"/>
    <row r="231" s="13" customFormat="1" ht="14.25"/>
    <row r="232" s="13" customFormat="1" ht="14.25"/>
    <row r="233" s="13" customFormat="1" ht="14.25"/>
    <row r="234" s="13" customFormat="1" ht="14.25"/>
    <row r="235" s="13" customFormat="1" ht="14.25"/>
    <row r="236" s="13" customFormat="1" ht="14.25"/>
    <row r="237" s="13" customFormat="1" ht="14.25"/>
    <row r="238" s="13" customFormat="1" ht="14.25"/>
    <row r="239" s="13" customFormat="1" ht="14.25"/>
    <row r="240" s="13" customFormat="1" ht="14.25"/>
    <row r="241" s="13" customFormat="1" ht="14.25"/>
    <row r="242" s="13" customFormat="1" ht="14.25"/>
    <row r="243" s="13" customFormat="1" ht="14.25"/>
    <row r="244" s="13" customFormat="1" ht="14.25"/>
    <row r="245" s="13" customFormat="1" ht="14.25"/>
    <row r="246" s="13" customFormat="1" ht="14.25"/>
    <row r="247" s="13" customFormat="1" ht="14.25"/>
    <row r="248" s="13" customFormat="1" ht="14.25"/>
    <row r="249" s="13" customFormat="1" ht="14.25"/>
    <row r="250" s="13" customFormat="1" ht="14.25"/>
    <row r="251" s="13" customFormat="1" ht="14.25"/>
    <row r="252" s="13" customFormat="1" ht="14.25"/>
    <row r="253" s="13" customFormat="1" ht="14.25"/>
    <row r="254" s="13" customFormat="1" ht="14.25"/>
    <row r="255" s="13" customFormat="1" ht="14.25"/>
    <row r="256" s="13" customFormat="1" ht="14.25"/>
    <row r="257" s="13" customFormat="1" ht="14.25"/>
    <row r="258" s="13" customFormat="1" ht="14.25"/>
    <row r="259" s="13" customFormat="1" ht="14.25"/>
    <row r="260" s="13" customFormat="1" ht="14.25"/>
    <row r="261" s="13" customFormat="1" ht="14.25"/>
    <row r="262" s="13" customFormat="1" ht="14.25"/>
    <row r="263" s="13" customFormat="1" ht="14.25"/>
    <row r="264" s="13" customFormat="1" ht="14.25"/>
    <row r="265" s="13" customFormat="1" ht="14.25"/>
    <row r="266" s="13" customFormat="1" ht="14.25"/>
    <row r="267" s="13" customFormat="1" ht="14.25"/>
    <row r="268" s="13" customFormat="1" ht="14.25"/>
    <row r="269" s="13" customFormat="1" ht="14.25"/>
    <row r="270" s="13" customFormat="1" ht="14.25"/>
    <row r="271" s="13" customFormat="1" ht="14.25"/>
    <row r="272" s="13" customFormat="1" ht="14.25"/>
    <row r="273" s="13" customFormat="1" ht="14.25"/>
    <row r="274" s="13" customFormat="1" ht="14.25"/>
    <row r="275" s="13" customFormat="1" ht="14.25"/>
    <row r="276" s="13" customFormat="1" ht="14.25"/>
    <row r="277" s="13" customFormat="1" ht="14.25"/>
    <row r="278" s="13" customFormat="1" ht="14.25"/>
    <row r="279" s="13" customFormat="1" ht="14.25"/>
    <row r="280" s="13" customFormat="1" ht="14.25"/>
    <row r="281" s="13" customFormat="1" ht="14.25"/>
    <row r="282" s="13" customFormat="1" ht="14.25"/>
    <row r="283" s="13" customFormat="1" ht="14.25"/>
    <row r="284" s="13" customFormat="1" ht="14.25"/>
    <row r="285" s="13" customFormat="1" ht="14.25"/>
    <row r="286" s="13" customFormat="1" ht="14.25"/>
    <row r="287" s="13" customFormat="1" ht="14.25"/>
    <row r="288" s="13" customFormat="1" ht="14.25"/>
    <row r="289" s="13" customFormat="1" ht="14.25"/>
    <row r="290" s="13" customFormat="1" ht="14.25"/>
    <row r="291" s="13" customFormat="1" ht="14.25"/>
    <row r="292" s="13" customFormat="1" ht="14.25"/>
    <row r="293" s="13" customFormat="1" ht="14.25"/>
    <row r="294" s="13" customFormat="1" ht="14.25"/>
    <row r="295" s="13" customFormat="1" ht="14.25"/>
    <row r="296" s="13" customFormat="1" ht="14.25"/>
    <row r="297" s="13" customFormat="1" ht="14.25"/>
    <row r="298" s="13" customFormat="1" ht="14.25"/>
    <row r="299" s="13" customFormat="1" ht="14.25"/>
    <row r="300" s="13" customFormat="1" ht="14.25"/>
    <row r="301" s="13" customFormat="1" ht="14.25"/>
    <row r="302" s="13" customFormat="1" ht="14.25"/>
    <row r="303" s="13" customFormat="1" ht="14.25"/>
    <row r="304" s="13" customFormat="1" ht="14.25"/>
    <row r="305" s="13" customFormat="1" ht="14.25"/>
    <row r="306" s="13" customFormat="1" ht="14.25"/>
    <row r="307" s="13" customFormat="1" ht="14.25"/>
    <row r="308" s="13" customFormat="1" ht="14.25"/>
    <row r="309" s="13" customFormat="1" ht="14.25"/>
  </sheetData>
  <mergeCells count="1">
    <mergeCell ref="F65:H65"/>
  </mergeCells>
  <phoneticPr fontId="11" type="noConversion"/>
  <conditionalFormatting sqref="X5:X21 AD5:AF41 X20:Z41">
    <cfRule type="expression" dxfId="1449" priority="12">
      <formula>"$C4=""Bestaande Situatie"""</formula>
    </cfRule>
  </conditionalFormatting>
  <conditionalFormatting sqref="Y5:Z41 AD17:AD20">
    <cfRule type="expression" dxfId="1448" priority="3">
      <formula>"$C4=""Bestaande Situatie"""</formula>
    </cfRule>
  </conditionalFormatting>
  <conditionalFormatting sqref="AD8:AD9">
    <cfRule type="expression" dxfId="1447" priority="4">
      <formula>"$C4=""Bestaande Situatie"""</formula>
    </cfRule>
  </conditionalFormatting>
  <dataValidations count="1">
    <dataValidation type="list" allowBlank="1" showInputMessage="1" showErrorMessage="1" sqref="G5:G42" xr:uid="{0B088BEA-88AF-4F0C-AA03-094DF8DDA2D6}">
      <formula1>INDIRECT(F5)</formula1>
    </dataValidation>
  </dataValidations>
  <pageMargins left="0.7" right="0.7" top="0.75" bottom="0.75" header="0.3" footer="0.3"/>
  <pageSetup orientation="portrait" r:id="rId1"/>
  <drawing r:id="rId2"/>
  <legacyDrawing r:id="rId3"/>
  <controls>
    <mc:AlternateContent xmlns:mc="http://schemas.openxmlformats.org/markup-compatibility/2006">
      <mc:Choice Requires="x14">
        <control shapeId="5121" r:id="rId4" name="Control 1">
          <controlPr defaultSize="0" autoPict="0" r:id="rId5">
            <anchor moveWithCells="1">
              <from>
                <xdr:col>1</xdr:col>
                <xdr:colOff>828675</xdr:colOff>
                <xdr:row>3</xdr:row>
                <xdr:rowOff>0</xdr:rowOff>
              </from>
              <to>
                <xdr:col>1</xdr:col>
                <xdr:colOff>1047750</xdr:colOff>
                <xdr:row>3</xdr:row>
                <xdr:rowOff>228600</xdr:rowOff>
              </to>
            </anchor>
          </controlPr>
        </control>
      </mc:Choice>
      <mc:Fallback>
        <control shapeId="5121" r:id="rId4" name="Control 1"/>
      </mc:Fallback>
    </mc:AlternateContent>
  </controls>
  <tableParts count="1">
    <tablePart r:id="rId6"/>
  </tableParts>
  <extLst>
    <ext xmlns:x14="http://schemas.microsoft.com/office/spreadsheetml/2009/9/main" uri="{CCE6A557-97BC-4b89-ADB6-D9C93CAAB3DF}">
      <x14:dataValidations xmlns:xm="http://schemas.microsoft.com/office/excel/2006/main" count="8">
        <x14:dataValidation type="list" allowBlank="1" showInputMessage="1" showErrorMessage="1" xr:uid="{4644F79C-1F31-4CAB-B3DF-E4DE00DC2E92}">
          <x14:formula1>
            <xm:f>Lijsten!$X$2:$X$3</xm:f>
          </x14:formula1>
          <xm:sqref>D42 E5:E41</xm:sqref>
        </x14:dataValidation>
        <x14:dataValidation type="list" allowBlank="1" showInputMessage="1" showErrorMessage="1" xr:uid="{4D5B34DD-FD3C-4AE9-B834-FBA52DDA2046}">
          <x14:formula1>
            <xm:f>Lijsten!$A$2:$A$14</xm:f>
          </x14:formula1>
          <xm:sqref>F42</xm:sqref>
        </x14:dataValidation>
        <x14:dataValidation type="list" allowBlank="1" showInputMessage="1" showErrorMessage="1" xr:uid="{E3901CAE-8CB3-4080-BABE-12693FD5C2E7}">
          <x14:formula1>
            <xm:f>Lijsten!$A$2:$A$61</xm:f>
          </x14:formula1>
          <xm:sqref>F5:F41</xm:sqref>
        </x14:dataValidation>
        <x14:dataValidation type="list" allowBlank="1" showInputMessage="1" showErrorMessage="1" xr:uid="{D36A2295-228D-4B78-946D-839F22B91369}">
          <x14:formula1>
            <xm:f>Database!$A$2551:$A$2565</xm:f>
          </x14:formula1>
          <xm:sqref>AD5:AF41 X5:X41</xm:sqref>
        </x14:dataValidation>
        <x14:dataValidation type="list" allowBlank="1" showInputMessage="1" showErrorMessage="1" xr:uid="{4B088F16-463C-4E98-83C8-0D95701B9AF9}">
          <x14:formula1>
            <xm:f>Database!$A$2570:$A$2588</xm:f>
          </x14:formula1>
          <xm:sqref>Y5:Y41</xm:sqref>
        </x14:dataValidation>
        <x14:dataValidation type="list" allowBlank="1" showInputMessage="1" showErrorMessage="1" xr:uid="{7094A08D-0D8B-4147-A05C-84E648EE69C7}">
          <x14:formula1>
            <xm:f>Database!$A$2630:$A$2672</xm:f>
          </x14:formula1>
          <xm:sqref>Z5:Z41 AB5:AB41</xm:sqref>
        </x14:dataValidation>
        <x14:dataValidation type="list" allowBlank="1" showInputMessage="1" showErrorMessage="1" xr:uid="{593F26A6-9D4E-4712-A287-BDB329CAAAD1}">
          <x14:formula1>
            <xm:f>Database!$A$2594:$A$2612</xm:f>
          </x14:formula1>
          <xm:sqref>AA5:AA41</xm:sqref>
        </x14:dataValidation>
        <x14:dataValidation type="list" allowBlank="1" showInputMessage="1" showErrorMessage="1" xr:uid="{B38E4F4D-0CD2-48FE-BCFB-C51CD1AF8918}">
          <x14:formula1>
            <xm:f>Database!$A$2617:$A$2625</xm:f>
          </x14:formula1>
          <xm:sqref>AG5:AI41</xm:sqref>
        </x14:dataValidation>
      </x14:dataValidations>
    </ext>
    <ext xmlns:x14="http://schemas.microsoft.com/office/spreadsheetml/2009/9/main" uri="{A8765BA9-456A-4dab-B4F3-ACF838C121DE}">
      <x14:slicerList>
        <x14:slicer r:id="rId7"/>
      </x14:slicerList>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AD67F9-0422-4399-A204-BF3FDC004FC4}">
  <sheetPr codeName="Blad10"/>
  <dimension ref="B1:DP277"/>
  <sheetViews>
    <sheetView zoomScale="85" zoomScaleNormal="85" workbookViewId="0">
      <selection activeCell="Q10" sqref="Q10"/>
    </sheetView>
  </sheetViews>
  <sheetFormatPr defaultColWidth="10.85546875" defaultRowHeight="15"/>
  <cols>
    <col min="1" max="1" width="10.85546875" style="14"/>
    <col min="2" max="2" width="14" style="14" customWidth="1"/>
    <col min="3" max="3" width="30.140625" style="14" customWidth="1"/>
    <col min="4" max="16" width="13.28515625" style="14" customWidth="1"/>
    <col min="17" max="17" width="13.42578125" style="14" bestFit="1" customWidth="1"/>
    <col min="18" max="24" width="10.85546875" style="14"/>
    <col min="25" max="25" width="33.140625" style="14" customWidth="1"/>
    <col min="26" max="26" width="21.7109375" style="14" bestFit="1" customWidth="1"/>
    <col min="27" max="27" width="29.5703125" style="14" bestFit="1" customWidth="1"/>
    <col min="28" max="28" width="33.5703125" style="14" bestFit="1" customWidth="1"/>
    <col min="29" max="29" width="21.7109375" style="14" bestFit="1" customWidth="1"/>
    <col min="30" max="30" width="19.28515625" style="14" bestFit="1" customWidth="1"/>
    <col min="31" max="32" width="17.7109375" style="14" bestFit="1" customWidth="1"/>
    <col min="33" max="33" width="12.85546875" style="14" bestFit="1" customWidth="1"/>
    <col min="34" max="34" width="17.7109375" style="14" bestFit="1" customWidth="1"/>
    <col min="35" max="35" width="13.140625" style="14" bestFit="1" customWidth="1"/>
    <col min="36" max="36" width="16" style="14" bestFit="1" customWidth="1"/>
    <col min="37" max="39" width="17.7109375" style="14" bestFit="1" customWidth="1"/>
    <col min="40" max="40" width="18.85546875" style="14" bestFit="1" customWidth="1"/>
    <col min="41" max="41" width="32" style="14" bestFit="1" customWidth="1"/>
    <col min="42" max="42" width="53.7109375" style="14" bestFit="1" customWidth="1"/>
    <col min="43" max="43" width="5.28515625" style="14" bestFit="1" customWidth="1"/>
    <col min="44" max="44" width="5.85546875" style="14" bestFit="1" customWidth="1"/>
    <col min="45" max="45" width="7.42578125" style="14" bestFit="1" customWidth="1"/>
    <col min="46" max="46" width="11.5703125" style="14" bestFit="1" customWidth="1"/>
    <col min="47" max="47" width="8.42578125" style="14" bestFit="1" customWidth="1"/>
    <col min="48" max="49" width="10" style="14" bestFit="1" customWidth="1"/>
    <col min="50" max="50" width="8.140625" style="14" bestFit="1" customWidth="1"/>
    <col min="51" max="51" width="19.5703125" style="14" bestFit="1" customWidth="1"/>
    <col min="52" max="52" width="9" style="14" bestFit="1" customWidth="1"/>
    <col min="53" max="53" width="8.7109375" style="14" bestFit="1" customWidth="1"/>
    <col min="54" max="56" width="9" style="14" bestFit="1" customWidth="1"/>
    <col min="57" max="57" width="10.85546875" style="14" bestFit="1" customWidth="1"/>
    <col min="58" max="58" width="59.140625" style="14" bestFit="1" customWidth="1"/>
    <col min="59" max="59" width="18.85546875" style="14" bestFit="1" customWidth="1"/>
    <col min="60" max="60" width="22.28515625" style="14" bestFit="1" customWidth="1"/>
    <col min="61" max="61" width="26.5703125" style="14" bestFit="1" customWidth="1"/>
    <col min="62" max="62" width="21.7109375" style="14" bestFit="1" customWidth="1"/>
    <col min="63" max="63" width="25.7109375" style="14" bestFit="1" customWidth="1"/>
    <col min="64" max="64" width="22" style="14" bestFit="1" customWidth="1"/>
    <col min="65" max="65" width="18.85546875" style="14" bestFit="1" customWidth="1"/>
    <col min="66" max="67" width="16" style="14" bestFit="1" customWidth="1"/>
    <col min="68" max="68" width="24.42578125" style="14" bestFit="1" customWidth="1"/>
    <col min="69" max="69" width="16" style="14" bestFit="1" customWidth="1"/>
    <col min="70" max="70" width="21" style="14" bestFit="1" customWidth="1"/>
    <col min="71" max="71" width="16" style="14" bestFit="1" customWidth="1"/>
    <col min="72" max="73" width="12.85546875" style="14" bestFit="1" customWidth="1"/>
    <col min="74" max="74" width="16" style="14" bestFit="1" customWidth="1"/>
    <col min="75" max="75" width="26.5703125" style="14" bestFit="1" customWidth="1"/>
    <col min="76" max="76" width="19.85546875" style="14" bestFit="1" customWidth="1"/>
    <col min="77" max="77" width="19.5703125" style="14" bestFit="1" customWidth="1"/>
    <col min="78" max="78" width="28.140625" style="14" bestFit="1" customWidth="1"/>
    <col min="79" max="79" width="19.5703125" style="14" bestFit="1" customWidth="1"/>
    <col min="80" max="80" width="16" style="14" bestFit="1" customWidth="1"/>
    <col min="81" max="81" width="26.5703125" style="14" bestFit="1" customWidth="1"/>
    <col min="82" max="82" width="19.85546875" style="14" bestFit="1" customWidth="1"/>
    <col min="83" max="83" width="9.42578125" style="14" bestFit="1" customWidth="1"/>
    <col min="84" max="84" width="22.28515625" style="14" bestFit="1" customWidth="1"/>
    <col min="85" max="85" width="26.28515625" style="14" bestFit="1" customWidth="1"/>
    <col min="86" max="86" width="21.5703125" style="14" bestFit="1" customWidth="1"/>
    <col min="87" max="87" width="18.28515625" style="14" bestFit="1" customWidth="1"/>
    <col min="88" max="89" width="17.7109375" style="14" bestFit="1" customWidth="1"/>
    <col min="90" max="90" width="12.85546875" style="14" bestFit="1" customWidth="1"/>
    <col min="91" max="91" width="17.7109375" style="14" bestFit="1" customWidth="1"/>
    <col min="92" max="92" width="13.140625" style="14" bestFit="1" customWidth="1"/>
    <col min="93" max="93" width="16" style="14" bestFit="1" customWidth="1"/>
    <col min="94" max="96" width="17.7109375" style="14" bestFit="1" customWidth="1"/>
    <col min="97" max="97" width="18.85546875" style="14" bestFit="1" customWidth="1"/>
    <col min="98" max="98" width="37" style="14" bestFit="1" customWidth="1"/>
    <col min="99" max="99" width="26.5703125" style="14" bestFit="1" customWidth="1"/>
    <col min="100" max="100" width="20.7109375" style="14" bestFit="1" customWidth="1"/>
    <col min="101" max="101" width="9.42578125" style="14" bestFit="1" customWidth="1"/>
    <col min="102" max="102" width="28.140625" style="14" bestFit="1" customWidth="1"/>
    <col min="103" max="103" width="8" style="14" bestFit="1" customWidth="1"/>
    <col min="104" max="104" width="24.28515625" style="14" bestFit="1" customWidth="1"/>
    <col min="105" max="107" width="24.85546875" style="14" bestFit="1" customWidth="1"/>
    <col min="108" max="108" width="24.5703125" style="14" bestFit="1" customWidth="1"/>
    <col min="109" max="109" width="24.28515625" style="14" bestFit="1" customWidth="1"/>
    <col min="110" max="110" width="24.85546875" style="14" bestFit="1" customWidth="1"/>
    <col min="111" max="111" width="24.28515625" style="14" bestFit="1" customWidth="1"/>
    <col min="112" max="114" width="24.85546875" style="14" bestFit="1" customWidth="1"/>
    <col min="115" max="115" width="24.28515625" style="14" bestFit="1" customWidth="1"/>
    <col min="116" max="116" width="24.85546875" style="14" bestFit="1" customWidth="1"/>
    <col min="117" max="16384" width="10.85546875" style="14"/>
  </cols>
  <sheetData>
    <row r="1" spans="2:120">
      <c r="Y1"/>
      <c r="Z1"/>
      <c r="BG1"/>
      <c r="BH1"/>
      <c r="BI1"/>
      <c r="BJ1"/>
      <c r="BK1"/>
      <c r="CF1"/>
      <c r="CG1"/>
      <c r="CH1" s="140" t="s">
        <v>70</v>
      </c>
      <c r="CI1" t="s">
        <v>71</v>
      </c>
    </row>
    <row r="2" spans="2:120" ht="18">
      <c r="B2" s="110" t="s">
        <v>72</v>
      </c>
      <c r="C2" s="110"/>
      <c r="D2" s="110"/>
      <c r="BG2"/>
      <c r="BH2"/>
      <c r="BI2"/>
      <c r="BJ2" s="140" t="s">
        <v>7</v>
      </c>
      <c r="BK2" t="s">
        <v>73</v>
      </c>
      <c r="CF2"/>
      <c r="CG2"/>
      <c r="CH2"/>
    </row>
    <row r="3" spans="2:120">
      <c r="B3" s="1" t="s">
        <v>70</v>
      </c>
      <c r="C3" s="1" t="s">
        <v>3</v>
      </c>
      <c r="D3" s="1" t="s">
        <v>7</v>
      </c>
      <c r="E3" s="18" t="s">
        <v>74</v>
      </c>
      <c r="F3" s="19" t="s">
        <v>75</v>
      </c>
      <c r="G3" s="20" t="s">
        <v>76</v>
      </c>
      <c r="H3" s="18" t="s">
        <v>77</v>
      </c>
      <c r="I3" s="21" t="s">
        <v>78</v>
      </c>
      <c r="J3" s="22" t="s">
        <v>79</v>
      </c>
      <c r="K3" s="23" t="s">
        <v>80</v>
      </c>
      <c r="L3" s="23" t="s">
        <v>81</v>
      </c>
      <c r="M3" s="24" t="s">
        <v>82</v>
      </c>
      <c r="N3" s="25" t="s">
        <v>83</v>
      </c>
      <c r="O3" s="26" t="s">
        <v>84</v>
      </c>
      <c r="P3" s="27" t="s">
        <v>85</v>
      </c>
      <c r="Q3" s="28" t="s">
        <v>86</v>
      </c>
      <c r="R3" s="29" t="s">
        <v>87</v>
      </c>
      <c r="S3" s="30" t="s">
        <v>88</v>
      </c>
      <c r="T3" s="29" t="s">
        <v>89</v>
      </c>
      <c r="U3" s="143" t="s">
        <v>90</v>
      </c>
      <c r="AC3" s="140" t="s">
        <v>91</v>
      </c>
      <c r="AD3" t="s">
        <v>92</v>
      </c>
      <c r="AE3" t="s">
        <v>93</v>
      </c>
      <c r="AF3" t="s">
        <v>94</v>
      </c>
      <c r="AG3" t="s">
        <v>95</v>
      </c>
      <c r="AH3" t="s">
        <v>96</v>
      </c>
      <c r="AI3" t="s">
        <v>97</v>
      </c>
      <c r="AJ3" t="s">
        <v>98</v>
      </c>
      <c r="AK3" t="s">
        <v>99</v>
      </c>
      <c r="AL3" t="s">
        <v>100</v>
      </c>
      <c r="AM3" t="s">
        <v>101</v>
      </c>
      <c r="AN3" t="s">
        <v>102</v>
      </c>
      <c r="AO3"/>
      <c r="AP3"/>
      <c r="AQ3"/>
      <c r="BJ3"/>
      <c r="BK3"/>
      <c r="BL3"/>
      <c r="BM3"/>
      <c r="BN3"/>
      <c r="BO3"/>
      <c r="BP3"/>
      <c r="BQ3"/>
      <c r="BR3"/>
      <c r="BS3"/>
      <c r="BT3"/>
      <c r="BU3"/>
      <c r="CH3" s="140" t="s">
        <v>91</v>
      </c>
      <c r="CI3" t="s">
        <v>92</v>
      </c>
      <c r="CJ3" t="s">
        <v>93</v>
      </c>
      <c r="CK3" t="s">
        <v>94</v>
      </c>
      <c r="CL3" t="s">
        <v>95</v>
      </c>
      <c r="CM3" t="s">
        <v>96</v>
      </c>
      <c r="CN3" t="s">
        <v>97</v>
      </c>
      <c r="CO3" t="s">
        <v>98</v>
      </c>
      <c r="CP3" t="s">
        <v>99</v>
      </c>
      <c r="CQ3" t="s">
        <v>100</v>
      </c>
      <c r="CR3" t="s">
        <v>101</v>
      </c>
      <c r="CS3" t="s">
        <v>102</v>
      </c>
      <c r="CT3"/>
      <c r="CU3"/>
      <c r="CV3"/>
      <c r="DG3"/>
      <c r="DH3"/>
      <c r="DI3"/>
      <c r="DJ3"/>
      <c r="DK3"/>
      <c r="DL3"/>
      <c r="DM3"/>
      <c r="DN3"/>
      <c r="DO3"/>
      <c r="DP3"/>
    </row>
    <row r="4" spans="2:120">
      <c r="B4" s="31" t="str">
        <f>Ontwerpberekening!B5</f>
        <v>Open Menggranulaat</v>
      </c>
      <c r="C4" s="31" t="str">
        <f>Ontwerpberekening!C5</f>
        <v>Grondontgraving</v>
      </c>
      <c r="D4" s="1" t="str">
        <f>Ontwerpberekening!G5</f>
        <v>Ophoogmateriaal (Grond)</v>
      </c>
      <c r="E4" s="9">
        <f>(IF(Ontwerpberekening!E5="Nieuwe Situatie",(_xlfn.IFNA(VLOOKUP(Ontwerp_MKI_Totaal[[#This Row],[Product]]&amp;", "&amp;Ontwerp_MKI_Totaal[[#Headers],[A1]],Database_Productkaarten[#All],14,FALSE),0)*Ontwerpberekening!J5),0))/Ontwerpberekening!$A$2</f>
        <v>0</v>
      </c>
      <c r="F4" s="9">
        <f>(IF(Ontwerpberekening!E5="Nieuwe Situatie",(_xlfn.IFNA(VLOOKUP(Ontwerp_MKI_Totaal[[#This Row],[Product]]&amp;", "&amp;Ontwerp_MKI_Totaal[[#Headers],[A2]],Database_Productkaarten[#All],14,FALSE),0)*Ontwerpberekening!J5),0))/Ontwerpberekening!$A$2</f>
        <v>0</v>
      </c>
      <c r="G4" s="9">
        <f>(IF(Ontwerpberekening!E5="Nieuwe Situatie",(_xlfn.IFNA(VLOOKUP(Ontwerp_MKI_Totaal[[#This Row],[Product]]&amp;", "&amp;Ontwerp_MKI_Totaal[[#Headers],[A3]],Database_Productkaarten[#All],14,FALSE),0)*Ontwerpberekening!J5),0))/Ontwerpberekening!$A$2</f>
        <v>0</v>
      </c>
      <c r="H4" s="9">
        <f>(IF(Ontwerpberekening!E5="Nieuwe Situatie",(_xlfn.IFNA(VLOOKUP(Ontwerp_MKI_Totaal[[#This Row],[Product]]&amp;", "&amp;Ontwerp_MKI_Totaal[[#Headers],[A1-A3]],Database_Productkaarten[#All],14,FALSE),0)*Ontwerpberekening!J5),0))/Ontwerpberekening!$A$2</f>
        <v>0</v>
      </c>
      <c r="I4" s="9">
        <f>(IF(Ontwerpberekening!E5="Nieuwe Situatie",(_xlfn.IFNA(VLOOKUP(Ontwerp_MKI_Totaal[[#This Row],[Product]]&amp;", "&amp;Ontwerp_MKI_Totaal[[#Headers],[A4]],Database_Productkaarten[#All],14,FALSE),0)*Ontwerpberekening!R5),0))/Ontwerpberekening!$A$2</f>
        <v>0</v>
      </c>
      <c r="J4" s="9">
        <f>(IF(Ontwerpberekening!E5="Nieuwe Situatie",(_xlfn.IFNA(VLOOKUP(Ontwerp_MKI_Totaal[[#This Row],[Product]]&amp;", "&amp;Ontwerp_MKI_Totaal[[#Headers],[A5]],Database_Productkaarten[#All],14,FALSE),0)*Ontwerpberekening!J5),0))/Ontwerpberekening!$A$2</f>
        <v>0</v>
      </c>
      <c r="K4" s="9">
        <f>(IF(Ontwerpberekening!E5="Nieuwe Situatie",(_xlfn.IFNA(VLOOKUP(Ontwerp_MKI_Totaal[[#This Row],[Product]]&amp;", "&amp;Ontwerp_MKI_Totaal[[#Headers],[B1]],Database_Productkaarten[#All],14,FALSE),0)*Ontwerpberekening!J5),0))/Ontwerpberekening!$A$2</f>
        <v>0</v>
      </c>
      <c r="L4" s="9">
        <f>(IF(Ontwerpberekening!E5="Nieuwe Situatie",(_xlfn.IFNA(VLOOKUP(Ontwerp_MKI_Totaal[[#This Row],[Product]]&amp;", "&amp;Ontwerp_MKI_Totaal[[#Headers],[B3]],Database_Productkaarten[#All],14,FALSE),0)*Ontwerpberekening!J5),0))/Ontwerpberekening!$A$2</f>
        <v>0</v>
      </c>
      <c r="M4" s="9">
        <f>(IF(Ontwerpberekening!E5="Nieuwe Situatie",(SUM(Ontwerp_MKI_Totaal[[#This Row],[A1]:[B1]],Ontwerp_MKI_Totaal[[#This Row],[C1]:[D2]])*Ontwerpberekening!T5),0))</f>
        <v>0</v>
      </c>
      <c r="N4" s="9">
        <f>(IF(Ontwerpberekening!E5="Bestaande Situatie",(_xlfn.IFNA(VLOOKUP(Ontwerp_MKI_Totaal[[#This Row],[Product]]&amp;", "&amp;Ontwerp_MKI_Totaal[[#Headers],[C1]],Database_Productkaarten[#All],14,FALSE),0)*Ontwerpberekening!J5),0))/Ontwerpberekening!$A$2</f>
        <v>31.6448</v>
      </c>
      <c r="O4" s="9">
        <f>(IF(Ontwerpberekening!E5="Bestaande Situatie",(_xlfn.IFNA(VLOOKUP(Ontwerp_MKI_Totaal[[#This Row],[Product]]&amp;", "&amp;Ontwerp_MKI_Totaal[[#Headers],[C2]],Database_Productkaarten[#All],14,FALSE),0)*Ontwerpberekening!R5),0))/Ontwerpberekening!$A$2</f>
        <v>556.21995000000004</v>
      </c>
      <c r="P4" s="9">
        <f>(IF(Ontwerpberekening!E5="Bestaande Situatie",(_xlfn.IFNA(VLOOKUP(Ontwerp_MKI_Totaal[[#This Row],[Product]]&amp;", "&amp;Ontwerp_MKI_Totaal[[#Headers],[C3]],Database_Productkaarten[#All],14,FALSE),0)*Ontwerpberekening!J5),0))/Ontwerpberekening!$A$2</f>
        <v>0</v>
      </c>
      <c r="Q4" s="9">
        <f>(IF(Ontwerpberekening!E5="Bestaande Situatie",(_xlfn.IFNA(VLOOKUP(Ontwerp_MKI_Totaal[[#This Row],[Product]]&amp;", "&amp;Ontwerp_MKI_Totaal[[#Headers],[C4]],Database_Productkaarten[#All],14,FALSE),0)*Ontwerpberekening!J5),0))/Ontwerpberekening!$A$2</f>
        <v>5.3151999999999999</v>
      </c>
      <c r="R4" s="9">
        <f>(IF(Ontwerpberekening!E5="Bestaande Situatie",(_xlfn.IFNA(VLOOKUP(Ontwerp_MKI_Totaal[[#This Row],[Product]]&amp;", "&amp;Ontwerp_MKI_Totaal[[#Headers],[D1]],Database_Productkaarten[#All],14,FALSE),0)*Ontwerpberekening!J5),0))/Ontwerpberekening!$A$2</f>
        <v>0</v>
      </c>
      <c r="S4" s="32">
        <f>(IF(Ontwerpberekening!E5="Bestaande Situatie",(_xlfn.IFNA(VLOOKUP(Ontwerp_MKI_Totaal[[#This Row],[Product]]&amp;", "&amp;Ontwerp_MKI_Totaal[[#Headers],[D2]],Database_Productkaarten[#All],14,FALSE),0)*Ontwerpberekening!J5),0))/Ontwerpberekening!$A$2</f>
        <v>0</v>
      </c>
      <c r="T4" s="32">
        <f>(IF(Ontwerpberekening!E5="Bestaande Situatie",(_xlfn.IFNA(VLOOKUP(Ontwerp_MKI_Totaal[[#This Row],[Product]]&amp;", "&amp;Ontwerp_MKI_Totaal[[#Headers],[D]],Database_Productkaarten[#All],14,FALSE),0)*Ontwerpberekening!J5),0))/Ontwerpberekening!$A$2</f>
        <v>0</v>
      </c>
      <c r="U4" s="142">
        <f>SUM(Ontwerp_MKI_Totaal[[#This Row],[A1-A3]:[C4]])+Ontwerp_MKI_Totaal[[#This Row],[D]]</f>
        <v>593.17995000000008</v>
      </c>
      <c r="AC4" s="151" t="s">
        <v>37</v>
      </c>
      <c r="AD4">
        <v>1372.05707078</v>
      </c>
      <c r="AE4">
        <v>323.80387109463999</v>
      </c>
      <c r="AF4">
        <v>538.82960500000002</v>
      </c>
      <c r="AG4">
        <v>27.490000000000002</v>
      </c>
      <c r="AH4">
        <v>269.373647705</v>
      </c>
      <c r="AI4">
        <v>0</v>
      </c>
      <c r="AJ4">
        <v>244.86440399999998</v>
      </c>
      <c r="AK4">
        <v>785.84751754939202</v>
      </c>
      <c r="AL4">
        <v>21.4174884</v>
      </c>
      <c r="AM4">
        <v>24.013710727199999</v>
      </c>
      <c r="AN4">
        <v>-208.64211140600003</v>
      </c>
      <c r="AO4"/>
      <c r="AP4"/>
      <c r="AQ4"/>
      <c r="BJ4" s="140" t="s">
        <v>103</v>
      </c>
      <c r="BK4" s="140" t="s">
        <v>104</v>
      </c>
      <c r="BL4"/>
      <c r="BM4"/>
      <c r="BN4"/>
      <c r="BO4"/>
      <c r="BP4"/>
      <c r="BQ4"/>
      <c r="BR4"/>
      <c r="BS4"/>
      <c r="BT4"/>
      <c r="BU4"/>
      <c r="CH4" s="151" t="s">
        <v>47</v>
      </c>
      <c r="CI4">
        <v>32.073076780000001</v>
      </c>
      <c r="CJ4">
        <v>7.8413552639999995E-2</v>
      </c>
      <c r="CK4">
        <v>232.69063500000001</v>
      </c>
      <c r="CL4">
        <v>0</v>
      </c>
      <c r="CM4">
        <v>0</v>
      </c>
      <c r="CN4">
        <v>0</v>
      </c>
      <c r="CO4">
        <v>104.18983499999999</v>
      </c>
      <c r="CP4">
        <v>5.6196379392E-2</v>
      </c>
      <c r="CQ4">
        <v>7.0133438999999997</v>
      </c>
      <c r="CR4">
        <v>12.9115911772</v>
      </c>
      <c r="CS4">
        <v>-7.8846214060000008</v>
      </c>
      <c r="CT4"/>
      <c r="CU4"/>
      <c r="CV4"/>
      <c r="DG4"/>
      <c r="DH4"/>
      <c r="DI4"/>
      <c r="DJ4"/>
      <c r="DK4"/>
      <c r="DL4"/>
      <c r="DM4"/>
      <c r="DN4"/>
      <c r="DO4"/>
      <c r="DP4"/>
    </row>
    <row r="5" spans="2:120">
      <c r="B5" s="31" t="str">
        <f>Ontwerpberekening!B6</f>
        <v>Open Menggranulaat</v>
      </c>
      <c r="C5" s="31" t="str">
        <f>Ontwerpberekening!C6</f>
        <v>Zandbed</v>
      </c>
      <c r="D5" s="1" t="str">
        <f>Ontwerpberekening!G6</f>
        <v>Ophoogmateriaal (Zand)</v>
      </c>
      <c r="E5" s="9">
        <f>(IF(Ontwerpberekening!E6="Nieuwe Situatie",(_xlfn.IFNA(VLOOKUP(Ontwerp_MKI_Totaal[[#This Row],[Product]]&amp;", "&amp;Ontwerp_MKI_Totaal[[#Headers],[A1]],Database_Productkaarten[#All],14,FALSE),0)*Ontwerpberekening!J6),0))/Ontwerpberekening!$A$2</f>
        <v>0</v>
      </c>
      <c r="F5" s="9">
        <f>(IF(Ontwerpberekening!E6="Nieuwe Situatie",(_xlfn.IFNA(VLOOKUP(Ontwerp_MKI_Totaal[[#This Row],[Product]]&amp;", "&amp;Ontwerp_MKI_Totaal[[#Headers],[A2]],Database_Productkaarten[#All],14,FALSE),0)*Ontwerpberekening!J6),0))/Ontwerpberekening!$A$2</f>
        <v>0</v>
      </c>
      <c r="G5" s="9">
        <f>(IF(Ontwerpberekening!E6="Nieuwe Situatie",(_xlfn.IFNA(VLOOKUP(Ontwerp_MKI_Totaal[[#This Row],[Product]]&amp;", "&amp;Ontwerp_MKI_Totaal[[#Headers],[A3]],Database_Productkaarten[#All],14,FALSE),0)*Ontwerpberekening!J6),0))/Ontwerpberekening!$A$2</f>
        <v>0</v>
      </c>
      <c r="H5" s="9">
        <f>(IF(Ontwerpberekening!E6="Nieuwe Situatie",(_xlfn.IFNA(VLOOKUP(Ontwerp_MKI_Totaal[[#This Row],[Product]]&amp;", "&amp;Ontwerp_MKI_Totaal[[#Headers],[A1-A3]],Database_Productkaarten[#All],14,FALSE),0)*Ontwerpberekening!J6),0))/Ontwerpberekening!$A$2</f>
        <v>392.42349999999999</v>
      </c>
      <c r="I5" s="9">
        <f>(IF(Ontwerpberekening!E6="Nieuwe Situatie",(_xlfn.IFNA(VLOOKUP(Ontwerp_MKI_Totaal[[#This Row],[Product]]&amp;", "&amp;Ontwerp_MKI_Totaal[[#Headers],[A4]],Database_Productkaarten[#All],14,FALSE),0)*Ontwerpberekening!R6),0))/Ontwerpberekening!$A$2</f>
        <v>186.63225</v>
      </c>
      <c r="J5" s="9">
        <f>(IF(Ontwerpberekening!E6="Nieuwe Situatie",(_xlfn.IFNA(VLOOKUP(Ontwerp_MKI_Totaal[[#This Row],[Product]]&amp;", "&amp;Ontwerp_MKI_Totaal[[#Headers],[A5]],Database_Productkaarten[#All],14,FALSE),0)*Ontwerpberekening!J6),0))/Ontwerpberekening!$A$2</f>
        <v>38.979500000000002</v>
      </c>
      <c r="K5" s="9">
        <f>(IF(Ontwerpberekening!E6="Nieuwe Situatie",(_xlfn.IFNA(VLOOKUP(Ontwerp_MKI_Totaal[[#This Row],[Product]]&amp;", "&amp;Ontwerp_MKI_Totaal[[#Headers],[B1]],Database_Productkaarten[#All],14,FALSE),0)*Ontwerpberekening!J6),0))/Ontwerpberekening!$A$2</f>
        <v>0</v>
      </c>
      <c r="L5" s="9">
        <f>(IF(Ontwerpberekening!E6="Nieuwe Situatie",(_xlfn.IFNA(VLOOKUP(Ontwerp_MKI_Totaal[[#This Row],[Product]]&amp;", "&amp;Ontwerp_MKI_Totaal[[#Headers],[B3]],Database_Productkaarten[#All],14,FALSE),0)*Ontwerpberekening!J6),0))/Ontwerpberekening!$A$2</f>
        <v>0</v>
      </c>
      <c r="M5" s="9">
        <f>(IF(Ontwerpberekening!E6="Nieuwe Situatie",(SUM(Ontwerp_MKI_Totaal[[#This Row],[A1]:[B1]],Ontwerp_MKI_Totaal[[#This Row],[C1]:[D2]])*Ontwerpberekening!T6),0))</f>
        <v>0</v>
      </c>
      <c r="N5" s="9">
        <f>(IF(Ontwerpberekening!E6="Bestaande Situatie",(_xlfn.IFNA(VLOOKUP(Ontwerp_MKI_Totaal[[#This Row],[Product]]&amp;", "&amp;Ontwerp_MKI_Totaal[[#Headers],[C1]],Database_Productkaarten[#All],14,FALSE),0)*Ontwerpberekening!J6),0))/Ontwerpberekening!$A$2</f>
        <v>0</v>
      </c>
      <c r="O5" s="9">
        <f>(IF(Ontwerpberekening!E6="Bestaande Situatie",(_xlfn.IFNA(VLOOKUP(Ontwerp_MKI_Totaal[[#This Row],[Product]]&amp;", "&amp;Ontwerp_MKI_Totaal[[#Headers],[C2]],Database_Productkaarten[#All],14,FALSE),0)*Ontwerpberekening!R6),0))/Ontwerpberekening!$A$2</f>
        <v>0</v>
      </c>
      <c r="P5" s="9">
        <f>(IF(Ontwerpberekening!E6="Bestaande Situatie",(_xlfn.IFNA(VLOOKUP(Ontwerp_MKI_Totaal[[#This Row],[Product]]&amp;", "&amp;Ontwerp_MKI_Totaal[[#Headers],[C3]],Database_Productkaarten[#All],14,FALSE),0)*Ontwerpberekening!J6),0))/Ontwerpberekening!$A$2</f>
        <v>0</v>
      </c>
      <c r="Q5" s="9">
        <f>(IF(Ontwerpberekening!E6="Bestaande Situatie",(_xlfn.IFNA(VLOOKUP(Ontwerp_MKI_Totaal[[#This Row],[Product]]&amp;", "&amp;Ontwerp_MKI_Totaal[[#Headers],[C4]],Database_Productkaarten[#All],14,FALSE),0)*Ontwerpberekening!J6),0))/Ontwerpberekening!$A$2</f>
        <v>0</v>
      </c>
      <c r="R5" s="9">
        <f>(IF(Ontwerpberekening!E6="Bestaande Situatie",(_xlfn.IFNA(VLOOKUP(Ontwerp_MKI_Totaal[[#This Row],[Product]]&amp;", "&amp;Ontwerp_MKI_Totaal[[#Headers],[D1]],Database_Productkaarten[#All],14,FALSE),0)*Ontwerpberekening!J6),0))/Ontwerpberekening!$A$2</f>
        <v>0</v>
      </c>
      <c r="S5" s="32">
        <f>(IF(Ontwerpberekening!E6="Bestaande Situatie",(_xlfn.IFNA(VLOOKUP(Ontwerp_MKI_Totaal[[#This Row],[Product]]&amp;", "&amp;Ontwerp_MKI_Totaal[[#Headers],[D2]],Database_Productkaarten[#All],14,FALSE),0)*Ontwerpberekening!J6),0))/Ontwerpberekening!$A$2</f>
        <v>0</v>
      </c>
      <c r="T5" s="32">
        <f>(IF(Ontwerpberekening!E6="Bestaande Situatie",(_xlfn.IFNA(VLOOKUP(Ontwerp_MKI_Totaal[[#This Row],[Product]]&amp;", "&amp;Ontwerp_MKI_Totaal[[#Headers],[D]],Database_Productkaarten[#All],14,FALSE),0)*Ontwerpberekening!J6),0))/Ontwerpberekening!$A$2</f>
        <v>0</v>
      </c>
      <c r="U5" s="142">
        <f>SUM(Ontwerp_MKI_Totaal[[#This Row],[A1-A3]:[C4]])+Ontwerp_MKI_Totaal[[#This Row],[D]]</f>
        <v>618.03525000000002</v>
      </c>
      <c r="AC5" s="151" t="s">
        <v>57</v>
      </c>
      <c r="AD5">
        <v>3360.1209939999999</v>
      </c>
      <c r="AE5">
        <v>173.09263254199999</v>
      </c>
      <c r="AF5">
        <v>510.71296999999993</v>
      </c>
      <c r="AG5">
        <v>20.62</v>
      </c>
      <c r="AH5">
        <v>269.373647705</v>
      </c>
      <c r="AI5">
        <v>0</v>
      </c>
      <c r="AJ5">
        <v>223.56756899999996</v>
      </c>
      <c r="AK5">
        <v>768.88595867000004</v>
      </c>
      <c r="AL5">
        <v>1012.9441445</v>
      </c>
      <c r="AM5">
        <v>15.80861955</v>
      </c>
      <c r="AN5">
        <v>-679.68299000000013</v>
      </c>
      <c r="AO5"/>
      <c r="AP5"/>
      <c r="AQ5"/>
      <c r="BJ5" s="140" t="s">
        <v>91</v>
      </c>
      <c r="BK5" t="s">
        <v>47</v>
      </c>
      <c r="BL5" t="s">
        <v>58</v>
      </c>
      <c r="BM5" t="s">
        <v>50</v>
      </c>
      <c r="BN5" t="s">
        <v>53</v>
      </c>
      <c r="BO5" t="s">
        <v>54</v>
      </c>
      <c r="BP5" t="s">
        <v>59</v>
      </c>
      <c r="BQ5" t="s">
        <v>44</v>
      </c>
      <c r="BR5" t="s">
        <v>38</v>
      </c>
      <c r="BS5" t="s">
        <v>105</v>
      </c>
      <c r="BT5"/>
      <c r="BU5"/>
      <c r="CH5" s="151" t="s">
        <v>58</v>
      </c>
      <c r="CI5">
        <v>112.12100000000001</v>
      </c>
      <c r="CJ5">
        <v>53.323499999999996</v>
      </c>
      <c r="CK5">
        <v>11.137</v>
      </c>
      <c r="CL5">
        <v>0</v>
      </c>
      <c r="CM5">
        <v>0</v>
      </c>
      <c r="CN5">
        <v>0</v>
      </c>
      <c r="CO5">
        <v>1.8759999999999999</v>
      </c>
      <c r="CP5">
        <v>53.856749999999998</v>
      </c>
      <c r="CQ5">
        <v>0</v>
      </c>
      <c r="CR5">
        <v>0.5575</v>
      </c>
      <c r="CS5">
        <v>-39.846499999999999</v>
      </c>
      <c r="CT5"/>
      <c r="CU5"/>
      <c r="CV5"/>
      <c r="DG5"/>
      <c r="DH5"/>
      <c r="DI5"/>
      <c r="DJ5"/>
      <c r="DK5"/>
      <c r="DL5"/>
      <c r="DM5"/>
      <c r="DN5"/>
      <c r="DO5"/>
      <c r="DP5"/>
    </row>
    <row r="6" spans="2:120">
      <c r="B6" s="31" t="str">
        <f>Ontwerpberekening!B7</f>
        <v>Open Menggranulaat</v>
      </c>
      <c r="C6" s="31" t="str">
        <f>Ontwerpberekening!C7</f>
        <v>Funderingswapening</v>
      </c>
      <c r="D6" s="1" t="str">
        <f>Ontwerpberekening!G7</f>
        <v>Geogrid</v>
      </c>
      <c r="E6" s="9">
        <f>(IF(Ontwerpberekening!E7="Nieuwe Situatie",(_xlfn.IFNA(VLOOKUP(Ontwerp_MKI_Totaal[[#This Row],[Product]]&amp;", "&amp;Ontwerp_MKI_Totaal[[#Headers],[A1]],Database_Productkaarten[#All],14,FALSE),0)*Ontwerpberekening!J7),0))/Ontwerpberekening!$A$2</f>
        <v>0</v>
      </c>
      <c r="F6" s="9">
        <f>(IF(Ontwerpberekening!E7="Nieuwe Situatie",(_xlfn.IFNA(VLOOKUP(Ontwerp_MKI_Totaal[[#This Row],[Product]]&amp;", "&amp;Ontwerp_MKI_Totaal[[#Headers],[A2]],Database_Productkaarten[#All],14,FALSE),0)*Ontwerpberekening!J7),0))/Ontwerpberekening!$A$2</f>
        <v>0</v>
      </c>
      <c r="G6" s="9">
        <f>(IF(Ontwerpberekening!E7="Nieuwe Situatie",(_xlfn.IFNA(VLOOKUP(Ontwerp_MKI_Totaal[[#This Row],[Product]]&amp;", "&amp;Ontwerp_MKI_Totaal[[#Headers],[A3]],Database_Productkaarten[#All],14,FALSE),0)*Ontwerpberekening!J7),0))/Ontwerpberekening!$A$2</f>
        <v>0</v>
      </c>
      <c r="H6" s="9">
        <f>(IF(Ontwerpberekening!E7="Nieuwe Situatie",(_xlfn.IFNA(VLOOKUP(Ontwerp_MKI_Totaal[[#This Row],[Product]]&amp;", "&amp;Ontwerp_MKI_Totaal[[#Headers],[A1-A3]],Database_Productkaarten[#All],14,FALSE),0)*Ontwerpberekening!J7),0))/Ontwerpberekening!$A$2</f>
        <v>32.073076780000001</v>
      </c>
      <c r="I6" s="9">
        <f>(IF(Ontwerpberekening!E7="Nieuwe Situatie",(_xlfn.IFNA(VLOOKUP(Ontwerp_MKI_Totaal[[#This Row],[Product]]&amp;", "&amp;Ontwerp_MKI_Totaal[[#Headers],[A4]],Database_Productkaarten[#All],14,FALSE),0)*Ontwerpberekening!R7),0))/Ontwerpberekening!$A$2</f>
        <v>7.8413552639999995E-2</v>
      </c>
      <c r="J6" s="9">
        <f>(IF(Ontwerpberekening!E7="Nieuwe Situatie",(_xlfn.IFNA(VLOOKUP(Ontwerp_MKI_Totaal[[#This Row],[Product]]&amp;", "&amp;Ontwerp_MKI_Totaal[[#Headers],[A5]],Database_Productkaarten[#All],14,FALSE),0)*Ontwerpberekening!J7),0))/Ontwerpberekening!$A$2</f>
        <v>232.69063500000001</v>
      </c>
      <c r="K6" s="9">
        <f>(IF(Ontwerpberekening!E7="Nieuwe Situatie",(_xlfn.IFNA(VLOOKUP(Ontwerp_MKI_Totaal[[#This Row],[Product]]&amp;", "&amp;Ontwerp_MKI_Totaal[[#Headers],[B1]],Database_Productkaarten[#All],14,FALSE),0)*Ontwerpberekening!J7),0))/Ontwerpberekening!$A$2</f>
        <v>0</v>
      </c>
      <c r="L6" s="9">
        <f>(IF(Ontwerpberekening!E7="Nieuwe Situatie",(_xlfn.IFNA(VLOOKUP(Ontwerp_MKI_Totaal[[#This Row],[Product]]&amp;", "&amp;Ontwerp_MKI_Totaal[[#Headers],[B3]],Database_Productkaarten[#All],14,FALSE),0)*Ontwerpberekening!J7),0))/Ontwerpberekening!$A$2</f>
        <v>0</v>
      </c>
      <c r="M6" s="9">
        <f>(IF(Ontwerpberekening!E7="Nieuwe Situatie",(SUM(Ontwerp_MKI_Totaal[[#This Row],[A1]:[B1]],Ontwerp_MKI_Totaal[[#This Row],[C1]:[D2]])*Ontwerpberekening!T7),0))</f>
        <v>0</v>
      </c>
      <c r="N6" s="9">
        <f>(IF(Ontwerpberekening!E7="Bestaande Situatie",(_xlfn.IFNA(VLOOKUP(Ontwerp_MKI_Totaal[[#This Row],[Product]]&amp;", "&amp;Ontwerp_MKI_Totaal[[#Headers],[C1]],Database_Productkaarten[#All],14,FALSE),0)*Ontwerpberekening!J7),0))/Ontwerpberekening!$A$2</f>
        <v>0</v>
      </c>
      <c r="O6" s="9">
        <f>(IF(Ontwerpberekening!E7="Bestaande Situatie",(_xlfn.IFNA(VLOOKUP(Ontwerp_MKI_Totaal[[#This Row],[Product]]&amp;", "&amp;Ontwerp_MKI_Totaal[[#Headers],[C2]],Database_Productkaarten[#All],14,FALSE),0)*Ontwerpberekening!R7),0))/Ontwerpberekening!$A$2</f>
        <v>0</v>
      </c>
      <c r="P6" s="9">
        <f>(IF(Ontwerpberekening!E7="Bestaande Situatie",(_xlfn.IFNA(VLOOKUP(Ontwerp_MKI_Totaal[[#This Row],[Product]]&amp;", "&amp;Ontwerp_MKI_Totaal[[#Headers],[C3]],Database_Productkaarten[#All],14,FALSE),0)*Ontwerpberekening!J7),0))/Ontwerpberekening!$A$2</f>
        <v>0</v>
      </c>
      <c r="Q6" s="9">
        <f>(IF(Ontwerpberekening!E7="Bestaande Situatie",(_xlfn.IFNA(VLOOKUP(Ontwerp_MKI_Totaal[[#This Row],[Product]]&amp;", "&amp;Ontwerp_MKI_Totaal[[#Headers],[C4]],Database_Productkaarten[#All],14,FALSE),0)*Ontwerpberekening!J7),0))/Ontwerpberekening!$A$2</f>
        <v>0</v>
      </c>
      <c r="R6" s="9">
        <f>(IF(Ontwerpberekening!E7="Bestaande Situatie",(_xlfn.IFNA(VLOOKUP(Ontwerp_MKI_Totaal[[#This Row],[Product]]&amp;", "&amp;Ontwerp_MKI_Totaal[[#Headers],[D1]],Database_Productkaarten[#All],14,FALSE),0)*Ontwerpberekening!J7),0))/Ontwerpberekening!$A$2</f>
        <v>0</v>
      </c>
      <c r="S6" s="32">
        <f>(IF(Ontwerpberekening!E7="Bestaande Situatie",(_xlfn.IFNA(VLOOKUP(Ontwerp_MKI_Totaal[[#This Row],[Product]]&amp;", "&amp;Ontwerp_MKI_Totaal[[#Headers],[D2]],Database_Productkaarten[#All],14,FALSE),0)*Ontwerpberekening!J7),0))/Ontwerpberekening!$A$2</f>
        <v>0</v>
      </c>
      <c r="T6" s="32">
        <f>(IF(Ontwerpberekening!E7="Bestaande Situatie",(_xlfn.IFNA(VLOOKUP(Ontwerp_MKI_Totaal[[#This Row],[Product]]&amp;", "&amp;Ontwerp_MKI_Totaal[[#Headers],[D]],Database_Productkaarten[#All],14,FALSE),0)*Ontwerpberekening!J7),0))/Ontwerpberekening!$A$2</f>
        <v>0</v>
      </c>
      <c r="U6" s="142">
        <f>SUM(Ontwerp_MKI_Totaal[[#This Row],[A1-A3]:[C4]])+Ontwerp_MKI_Totaal[[#This Row],[D]]</f>
        <v>264.84212533264002</v>
      </c>
      <c r="AC6" s="151" t="s">
        <v>62</v>
      </c>
      <c r="AD6">
        <v>1003.620994</v>
      </c>
      <c r="AE6">
        <v>172.85463254199999</v>
      </c>
      <c r="AF6">
        <v>178.71296999999998</v>
      </c>
      <c r="AG6">
        <v>20.62</v>
      </c>
      <c r="AH6">
        <v>269.373647705</v>
      </c>
      <c r="AI6">
        <v>0</v>
      </c>
      <c r="AJ6">
        <v>107.56756899999999</v>
      </c>
      <c r="AK6">
        <v>768.66195866999999</v>
      </c>
      <c r="AL6">
        <v>63.4441445</v>
      </c>
      <c r="AM6">
        <v>9.3086195499999995</v>
      </c>
      <c r="AN6">
        <v>-82.68298999999999</v>
      </c>
      <c r="AO6"/>
      <c r="AP6"/>
      <c r="AQ6"/>
      <c r="BJ6" s="151" t="s">
        <v>37</v>
      </c>
      <c r="BK6">
        <v>381.12847038323201</v>
      </c>
      <c r="BL6"/>
      <c r="BM6">
        <v>360.68600000000004</v>
      </c>
      <c r="BN6">
        <v>96.512625</v>
      </c>
      <c r="BO6">
        <v>1291.9597834669999</v>
      </c>
      <c r="BP6"/>
      <c r="BQ6">
        <v>675.58837500000004</v>
      </c>
      <c r="BR6">
        <v>593.17995000000008</v>
      </c>
      <c r="BS6">
        <v>3399.0552038502324</v>
      </c>
      <c r="BT6"/>
      <c r="BU6"/>
      <c r="CH6" s="151" t="s">
        <v>50</v>
      </c>
      <c r="CI6">
        <v>0</v>
      </c>
      <c r="CJ6">
        <v>236.55644999999998</v>
      </c>
      <c r="CK6">
        <v>376.06</v>
      </c>
      <c r="CL6">
        <v>68.73</v>
      </c>
      <c r="CM6">
        <v>0</v>
      </c>
      <c r="CN6">
        <v>0</v>
      </c>
      <c r="CO6">
        <v>124.3</v>
      </c>
      <c r="CP6">
        <v>166.87905000000001</v>
      </c>
      <c r="CQ6">
        <v>98.08</v>
      </c>
      <c r="CR6">
        <v>7.2499999999999991</v>
      </c>
      <c r="CS6">
        <v>14.649999999999999</v>
      </c>
      <c r="CT6"/>
      <c r="CU6"/>
      <c r="CV6"/>
      <c r="DG6"/>
      <c r="DH6"/>
      <c r="DI6"/>
      <c r="DJ6"/>
      <c r="DK6"/>
      <c r="DL6"/>
      <c r="DM6"/>
      <c r="DN6"/>
      <c r="DO6"/>
      <c r="DP6"/>
    </row>
    <row r="7" spans="2:120">
      <c r="B7" s="31" t="str">
        <f>Ontwerpberekening!B8</f>
        <v>Open Menggranulaat</v>
      </c>
      <c r="C7" s="31" t="str">
        <f>Ontwerpberekening!C8</f>
        <v>Menggranulaat</v>
      </c>
      <c r="D7" s="1" t="str">
        <f>Ontwerpberekening!G8</f>
        <v>Menggranulaat 200mm</v>
      </c>
      <c r="E7" s="9">
        <f>(IF(Ontwerpberekening!E8="Nieuwe Situatie",(_xlfn.IFNA(VLOOKUP(Ontwerp_MKI_Totaal[[#This Row],[Product]]&amp;", "&amp;Ontwerp_MKI_Totaal[[#Headers],[A1]],Database_Productkaarten[#All],14,FALSE),0)*Ontwerpberekening!J8),0))/Ontwerpberekening!$A$2</f>
        <v>0</v>
      </c>
      <c r="F7" s="9">
        <f>(IF(Ontwerpberekening!E8="Nieuwe Situatie",(_xlfn.IFNA(VLOOKUP(Ontwerp_MKI_Totaal[[#This Row],[Product]]&amp;", "&amp;Ontwerp_MKI_Totaal[[#Headers],[A2]],Database_Productkaarten[#All],14,FALSE),0)*Ontwerpberekening!J8),0))/Ontwerpberekening!$A$2</f>
        <v>0</v>
      </c>
      <c r="G7" s="9">
        <f>(IF(Ontwerpberekening!E8="Nieuwe Situatie",(_xlfn.IFNA(VLOOKUP(Ontwerp_MKI_Totaal[[#This Row],[Product]]&amp;", "&amp;Ontwerp_MKI_Totaal[[#Headers],[A3]],Database_Productkaarten[#All],14,FALSE),0)*Ontwerpberekening!J8),0))/Ontwerpberekening!$A$2</f>
        <v>0</v>
      </c>
      <c r="H7" s="9">
        <f>(IF(Ontwerpberekening!E8="Nieuwe Situatie",(_xlfn.IFNA(VLOOKUP(Ontwerp_MKI_Totaal[[#This Row],[Product]]&amp;", "&amp;Ontwerp_MKI_Totaal[[#Headers],[A1-A3]],Database_Productkaarten[#All],14,FALSE),0)*Ontwerpberekening!J8),0))/Ontwerpberekening!$A$2</f>
        <v>0</v>
      </c>
      <c r="I7" s="9">
        <f>(IF(Ontwerpberekening!E8="Nieuwe Situatie",(_xlfn.IFNA(VLOOKUP(Ontwerp_MKI_Totaal[[#This Row],[Product]]&amp;", "&amp;Ontwerp_MKI_Totaal[[#Headers],[A4]],Database_Productkaarten[#All],14,FALSE),0)*Ontwerpberekening!R8),0))/Ontwerpberekening!$A$2</f>
        <v>72.785699999999991</v>
      </c>
      <c r="J7" s="9">
        <f>(IF(Ontwerpberekening!E8="Nieuwe Situatie",(_xlfn.IFNA(VLOOKUP(Ontwerp_MKI_Totaal[[#This Row],[Product]]&amp;", "&amp;Ontwerp_MKI_Totaal[[#Headers],[A5]],Database_Productkaarten[#All],14,FALSE),0)*Ontwerpberekening!J8),0))/Ontwerpberekening!$A$2</f>
        <v>188.03</v>
      </c>
      <c r="K7" s="9">
        <f>(IF(Ontwerpberekening!E8="Nieuwe Situatie",(_xlfn.IFNA(VLOOKUP(Ontwerp_MKI_Totaal[[#This Row],[Product]]&amp;", "&amp;Ontwerp_MKI_Totaal[[#Headers],[B1]],Database_Productkaarten[#All],14,FALSE),0)*Ontwerpberekening!J8),0))/Ontwerpberekening!$A$2</f>
        <v>27.490000000000002</v>
      </c>
      <c r="L7" s="9">
        <f>(IF(Ontwerpberekening!E8="Nieuwe Situatie",(_xlfn.IFNA(VLOOKUP(Ontwerp_MKI_Totaal[[#This Row],[Product]]&amp;", "&amp;Ontwerp_MKI_Totaal[[#Headers],[B3]],Database_Productkaarten[#All],14,FALSE),0)*Ontwerpberekening!J8),0))/Ontwerpberekening!$A$2</f>
        <v>0</v>
      </c>
      <c r="M7" s="9">
        <f>(IF(Ontwerpberekening!E8="Nieuwe Situatie",(SUM(Ontwerp_MKI_Totaal[[#This Row],[A1]:[B1]],Ontwerp_MKI_Totaal[[#This Row],[C1]:[D2]])*Ontwerpberekening!T8),0))</f>
        <v>0</v>
      </c>
      <c r="N7" s="9">
        <f>(IF(Ontwerpberekening!E8="Bestaande Situatie",(_xlfn.IFNA(VLOOKUP(Ontwerp_MKI_Totaal[[#This Row],[Product]]&amp;", "&amp;Ontwerp_MKI_Totaal[[#Headers],[C1]],Database_Productkaarten[#All],14,FALSE),0)*Ontwerpberekening!J8),0))/Ontwerpberekening!$A$2</f>
        <v>0</v>
      </c>
      <c r="O7" s="9">
        <f>(IF(Ontwerpberekening!E8="Bestaande Situatie",(_xlfn.IFNA(VLOOKUP(Ontwerp_MKI_Totaal[[#This Row],[Product]]&amp;", "&amp;Ontwerp_MKI_Totaal[[#Headers],[C2]],Database_Productkaarten[#All],14,FALSE),0)*Ontwerpberekening!R8),0))/Ontwerpberekening!$A$2</f>
        <v>0</v>
      </c>
      <c r="P7" s="9">
        <f>(IF(Ontwerpberekening!E8="Bestaande Situatie",(_xlfn.IFNA(VLOOKUP(Ontwerp_MKI_Totaal[[#This Row],[Product]]&amp;", "&amp;Ontwerp_MKI_Totaal[[#Headers],[C3]],Database_Productkaarten[#All],14,FALSE),0)*Ontwerpberekening!J8),0))/Ontwerpberekening!$A$2</f>
        <v>0</v>
      </c>
      <c r="Q7" s="9">
        <f>(IF(Ontwerpberekening!E8="Bestaande Situatie",(_xlfn.IFNA(VLOOKUP(Ontwerp_MKI_Totaal[[#This Row],[Product]]&amp;", "&amp;Ontwerp_MKI_Totaal[[#Headers],[C4]],Database_Productkaarten[#All],14,FALSE),0)*Ontwerpberekening!J8),0))/Ontwerpberekening!$A$2</f>
        <v>0</v>
      </c>
      <c r="R7" s="9">
        <f>(IF(Ontwerpberekening!E8="Bestaande Situatie",(_xlfn.IFNA(VLOOKUP(Ontwerp_MKI_Totaal[[#This Row],[Product]]&amp;", "&amp;Ontwerp_MKI_Totaal[[#Headers],[D1]],Database_Productkaarten[#All],14,FALSE),0)*Ontwerpberekening!J8),0))/Ontwerpberekening!$A$2</f>
        <v>0</v>
      </c>
      <c r="S7" s="32">
        <f>(IF(Ontwerpberekening!E8="Bestaande Situatie",(_xlfn.IFNA(VLOOKUP(Ontwerp_MKI_Totaal[[#This Row],[Product]]&amp;", "&amp;Ontwerp_MKI_Totaal[[#Headers],[D2]],Database_Productkaarten[#All],14,FALSE),0)*Ontwerpberekening!J8),0))/Ontwerpberekening!$A$2</f>
        <v>0</v>
      </c>
      <c r="T7" s="32">
        <f>(IF(Ontwerpberekening!E8="Bestaande Situatie",(_xlfn.IFNA(VLOOKUP(Ontwerp_MKI_Totaal[[#This Row],[Product]]&amp;", "&amp;Ontwerp_MKI_Totaal[[#Headers],[D]],Database_Productkaarten[#All],14,FALSE),0)*Ontwerpberekening!J8),0))/Ontwerpberekening!$A$2</f>
        <v>0</v>
      </c>
      <c r="U7" s="142">
        <f>SUM(Ontwerp_MKI_Totaal[[#This Row],[A1-A3]:[C4]])+Ontwerp_MKI_Totaal[[#This Row],[D]]</f>
        <v>288.3057</v>
      </c>
      <c r="AC7" s="151" t="s">
        <v>105</v>
      </c>
      <c r="AD7">
        <v>5735.7990587799995</v>
      </c>
      <c r="AE7">
        <v>669.75113617863997</v>
      </c>
      <c r="AF7">
        <v>1228.255545</v>
      </c>
      <c r="AG7">
        <v>68.73</v>
      </c>
      <c r="AH7">
        <v>808.12094311500005</v>
      </c>
      <c r="AI7">
        <v>0</v>
      </c>
      <c r="AJ7">
        <v>575.99954200000002</v>
      </c>
      <c r="AK7">
        <v>2323.3954348893922</v>
      </c>
      <c r="AL7">
        <v>1097.8057773999999</v>
      </c>
      <c r="AM7">
        <v>49.130949827199998</v>
      </c>
      <c r="AN7">
        <v>-971.00809140600018</v>
      </c>
      <c r="AO7"/>
      <c r="AP7"/>
      <c r="AQ7"/>
      <c r="BJ7" s="151" t="s">
        <v>57</v>
      </c>
      <c r="BK7"/>
      <c r="BL7">
        <v>96.512625</v>
      </c>
      <c r="BM7">
        <v>365.90975000000003</v>
      </c>
      <c r="BN7">
        <v>96.512625</v>
      </c>
      <c r="BO7">
        <v>1291.9597834669999</v>
      </c>
      <c r="BP7">
        <v>3163.9619999999995</v>
      </c>
      <c r="BQ7"/>
      <c r="BR7">
        <v>660.58676250000008</v>
      </c>
      <c r="BS7">
        <v>5675.4435459669994</v>
      </c>
      <c r="BT7"/>
      <c r="BU7"/>
      <c r="CH7" s="151" t="s">
        <v>53</v>
      </c>
      <c r="CI7">
        <v>168.18150000000003</v>
      </c>
      <c r="CJ7">
        <v>79.985249999999994</v>
      </c>
      <c r="CK7">
        <v>16.705500000000001</v>
      </c>
      <c r="CL7">
        <v>0</v>
      </c>
      <c r="CM7">
        <v>0</v>
      </c>
      <c r="CN7">
        <v>0</v>
      </c>
      <c r="CO7">
        <v>2.8140000000000001</v>
      </c>
      <c r="CP7">
        <v>80.785124999999994</v>
      </c>
      <c r="CQ7">
        <v>0</v>
      </c>
      <c r="CR7">
        <v>0.83624999999999994</v>
      </c>
      <c r="CS7">
        <v>-59.769750000000002</v>
      </c>
      <c r="CT7"/>
      <c r="CU7"/>
      <c r="CV7"/>
      <c r="DG7"/>
      <c r="DH7"/>
      <c r="DI7"/>
      <c r="DJ7"/>
      <c r="DK7"/>
      <c r="DL7"/>
      <c r="DM7"/>
      <c r="DN7"/>
      <c r="DO7"/>
      <c r="DP7"/>
    </row>
    <row r="8" spans="2:120">
      <c r="B8" s="31" t="str">
        <f>Ontwerpberekening!B9</f>
        <v>Open Menggranulaat</v>
      </c>
      <c r="C8" s="31" t="str">
        <f>Ontwerpberekening!C9</f>
        <v>Straatlaag</v>
      </c>
      <c r="D8" s="1" t="str">
        <f>Ontwerpberekening!G9</f>
        <v>Ophoogmateriaal (Zand)</v>
      </c>
      <c r="E8" s="9">
        <f>(IF(Ontwerpberekening!E9="Nieuwe Situatie",(_xlfn.IFNA(VLOOKUP(Ontwerp_MKI_Totaal[[#This Row],[Product]]&amp;", "&amp;Ontwerp_MKI_Totaal[[#Headers],[A1]],Database_Productkaarten[#All],14,FALSE),0)*Ontwerpberekening!J9),0))/Ontwerpberekening!$A$2</f>
        <v>0</v>
      </c>
      <c r="F8" s="9">
        <f>(IF(Ontwerpberekening!E9="Nieuwe Situatie",(_xlfn.IFNA(VLOOKUP(Ontwerp_MKI_Totaal[[#This Row],[Product]]&amp;", "&amp;Ontwerp_MKI_Totaal[[#Headers],[A2]],Database_Productkaarten[#All],14,FALSE),0)*Ontwerpberekening!J9),0))/Ontwerpberekening!$A$2</f>
        <v>0</v>
      </c>
      <c r="G8" s="9">
        <f>(IF(Ontwerpberekening!E9="Nieuwe Situatie",(_xlfn.IFNA(VLOOKUP(Ontwerp_MKI_Totaal[[#This Row],[Product]]&amp;", "&amp;Ontwerp_MKI_Totaal[[#Headers],[A3]],Database_Productkaarten[#All],14,FALSE),0)*Ontwerpberekening!J9),0))/Ontwerpberekening!$A$2</f>
        <v>0</v>
      </c>
      <c r="H8" s="9">
        <f>(IF(Ontwerpberekening!E9="Nieuwe Situatie",(_xlfn.IFNA(VLOOKUP(Ontwerp_MKI_Totaal[[#This Row],[Product]]&amp;", "&amp;Ontwerp_MKI_Totaal[[#Headers],[A1-A3]],Database_Productkaarten[#All],14,FALSE),0)*Ontwerpberekening!J9),0))/Ontwerpberekening!$A$2</f>
        <v>56.060500000000005</v>
      </c>
      <c r="I8" s="9">
        <f>(IF(Ontwerpberekening!E9="Nieuwe Situatie",(_xlfn.IFNA(VLOOKUP(Ontwerp_MKI_Totaal[[#This Row],[Product]]&amp;", "&amp;Ontwerp_MKI_Totaal[[#Headers],[A4]],Database_Productkaarten[#All],14,FALSE),0)*Ontwerpberekening!R9),0))/Ontwerpberekening!$A$2</f>
        <v>26.661749999999998</v>
      </c>
      <c r="J8" s="9">
        <f>(IF(Ontwerpberekening!E9="Nieuwe Situatie",(_xlfn.IFNA(VLOOKUP(Ontwerp_MKI_Totaal[[#This Row],[Product]]&amp;", "&amp;Ontwerp_MKI_Totaal[[#Headers],[A5]],Database_Productkaarten[#All],14,FALSE),0)*Ontwerpberekening!J9),0))/Ontwerpberekening!$A$2</f>
        <v>5.5685000000000002</v>
      </c>
      <c r="K8" s="9">
        <f>(IF(Ontwerpberekening!E9="Nieuwe Situatie",(_xlfn.IFNA(VLOOKUP(Ontwerp_MKI_Totaal[[#This Row],[Product]]&amp;", "&amp;Ontwerp_MKI_Totaal[[#Headers],[B1]],Database_Productkaarten[#All],14,FALSE),0)*Ontwerpberekening!J9),0))/Ontwerpberekening!$A$2</f>
        <v>0</v>
      </c>
      <c r="L8" s="9">
        <f>(IF(Ontwerpberekening!E9="Nieuwe Situatie",(_xlfn.IFNA(VLOOKUP(Ontwerp_MKI_Totaal[[#This Row],[Product]]&amp;", "&amp;Ontwerp_MKI_Totaal[[#Headers],[B3]],Database_Productkaarten[#All],14,FALSE),0)*Ontwerpberekening!J9),0))/Ontwerpberekening!$A$2</f>
        <v>0</v>
      </c>
      <c r="M8" s="9">
        <f>(IF(Ontwerpberekening!E9="Nieuwe Situatie",(SUM(Ontwerp_MKI_Totaal[[#This Row],[A1]:[B1]],Ontwerp_MKI_Totaal[[#This Row],[C1]:[D2]])*Ontwerpberekening!T9),0))</f>
        <v>0</v>
      </c>
      <c r="N8" s="9">
        <f>(IF(Ontwerpberekening!E9="Bestaande Situatie",(_xlfn.IFNA(VLOOKUP(Ontwerp_MKI_Totaal[[#This Row],[Product]]&amp;", "&amp;Ontwerp_MKI_Totaal[[#Headers],[C1]],Database_Productkaarten[#All],14,FALSE),0)*Ontwerpberekening!J9),0))/Ontwerpberekening!$A$2</f>
        <v>0</v>
      </c>
      <c r="O8" s="9">
        <f>(IF(Ontwerpberekening!E9="Bestaande Situatie",(_xlfn.IFNA(VLOOKUP(Ontwerp_MKI_Totaal[[#This Row],[Product]]&amp;", "&amp;Ontwerp_MKI_Totaal[[#Headers],[C2]],Database_Productkaarten[#All],14,FALSE),0)*Ontwerpberekening!R9),0))/Ontwerpberekening!$A$2</f>
        <v>0</v>
      </c>
      <c r="P8" s="9">
        <f>(IF(Ontwerpberekening!E9="Bestaande Situatie",(_xlfn.IFNA(VLOOKUP(Ontwerp_MKI_Totaal[[#This Row],[Product]]&amp;", "&amp;Ontwerp_MKI_Totaal[[#Headers],[C3]],Database_Productkaarten[#All],14,FALSE),0)*Ontwerpberekening!J9),0))/Ontwerpberekening!$A$2</f>
        <v>0</v>
      </c>
      <c r="Q8" s="9">
        <f>(IF(Ontwerpberekening!E9="Bestaande Situatie",(_xlfn.IFNA(VLOOKUP(Ontwerp_MKI_Totaal[[#This Row],[Product]]&amp;", "&amp;Ontwerp_MKI_Totaal[[#Headers],[C4]],Database_Productkaarten[#All],14,FALSE),0)*Ontwerpberekening!J9),0))/Ontwerpberekening!$A$2</f>
        <v>0</v>
      </c>
      <c r="R8" s="9">
        <f>(IF(Ontwerpberekening!E9="Bestaande Situatie",(_xlfn.IFNA(VLOOKUP(Ontwerp_MKI_Totaal[[#This Row],[Product]]&amp;", "&amp;Ontwerp_MKI_Totaal[[#Headers],[D1]],Database_Productkaarten[#All],14,FALSE),0)*Ontwerpberekening!J9),0))/Ontwerpberekening!$A$2</f>
        <v>0</v>
      </c>
      <c r="S8" s="32">
        <f>(IF(Ontwerpberekening!E9="Bestaande Situatie",(_xlfn.IFNA(VLOOKUP(Ontwerp_MKI_Totaal[[#This Row],[Product]]&amp;", "&amp;Ontwerp_MKI_Totaal[[#Headers],[D2]],Database_Productkaarten[#All],14,FALSE),0)*Ontwerpberekening!J9),0))/Ontwerpberekening!$A$2</f>
        <v>0</v>
      </c>
      <c r="T8" s="32">
        <f>(IF(Ontwerpberekening!E9="Bestaande Situatie",(_xlfn.IFNA(VLOOKUP(Ontwerp_MKI_Totaal[[#This Row],[Product]]&amp;", "&amp;Ontwerp_MKI_Totaal[[#Headers],[D]],Database_Productkaarten[#All],14,FALSE),0)*Ontwerpberekening!J9),0))/Ontwerpberekening!$A$2</f>
        <v>0</v>
      </c>
      <c r="U8" s="142">
        <f>SUM(Ontwerp_MKI_Totaal[[#This Row],[A1-A3]:[C4]])+Ontwerp_MKI_Totaal[[#This Row],[D]]</f>
        <v>88.290750000000003</v>
      </c>
      <c r="AC8"/>
      <c r="AD8"/>
      <c r="AE8"/>
      <c r="AF8"/>
      <c r="AG8"/>
      <c r="AH8"/>
      <c r="AI8"/>
      <c r="AJ8"/>
      <c r="AK8"/>
      <c r="AL8"/>
      <c r="AM8"/>
      <c r="AN8"/>
      <c r="AO8"/>
      <c r="AP8"/>
      <c r="AQ8"/>
      <c r="BJ8" s="151" t="s">
        <v>62</v>
      </c>
      <c r="BK8"/>
      <c r="BL8">
        <v>96.512625</v>
      </c>
      <c r="BM8">
        <v>365.90975000000003</v>
      </c>
      <c r="BN8">
        <v>96.512625</v>
      </c>
      <c r="BO8">
        <v>1291.9597834669999</v>
      </c>
      <c r="BP8">
        <v>0</v>
      </c>
      <c r="BQ8"/>
      <c r="BR8">
        <v>660.58676250000008</v>
      </c>
      <c r="BS8">
        <v>2511.4815459669999</v>
      </c>
      <c r="BT8"/>
      <c r="BU8"/>
      <c r="CH8" s="151" t="s">
        <v>54</v>
      </c>
      <c r="CI8">
        <v>2674.4999820000003</v>
      </c>
      <c r="CJ8">
        <v>112.93727262600001</v>
      </c>
      <c r="CK8">
        <v>220.68290999999999</v>
      </c>
      <c r="CL8">
        <v>0</v>
      </c>
      <c r="CM8">
        <v>808.12094311500005</v>
      </c>
      <c r="CN8">
        <v>0</v>
      </c>
      <c r="CO8">
        <v>118.127307</v>
      </c>
      <c r="CP8">
        <v>38.02221351</v>
      </c>
      <c r="CQ8">
        <v>43.212433500000003</v>
      </c>
      <c r="CR8">
        <v>1.9707586500000001</v>
      </c>
      <c r="CS8">
        <v>-141.69447</v>
      </c>
      <c r="CT8"/>
      <c r="CU8"/>
      <c r="CV8"/>
      <c r="DG8"/>
      <c r="DH8"/>
      <c r="DI8"/>
      <c r="DJ8"/>
      <c r="DK8"/>
      <c r="DL8"/>
      <c r="DM8"/>
      <c r="DN8"/>
      <c r="DO8"/>
      <c r="DP8"/>
    </row>
    <row r="9" spans="2:120">
      <c r="B9" s="31" t="str">
        <f>Ontwerpberekening!B10</f>
        <v>Open Menggranulaat</v>
      </c>
      <c r="C9" s="31" t="str">
        <f>Ontwerpberekening!C10</f>
        <v>Toplaag</v>
      </c>
      <c r="D9" s="1" t="str">
        <f>Ontwerpberekening!G10</f>
        <v>Betonstraatsteen 210x105x80</v>
      </c>
      <c r="E9" s="9">
        <f>(IF(Ontwerpberekening!E10="Nieuwe Situatie",(_xlfn.IFNA(VLOOKUP(Ontwerp_MKI_Totaal[[#This Row],[Product]]&amp;", "&amp;Ontwerp_MKI_Totaal[[#Headers],[A1]],Database_Productkaarten[#All],14,FALSE),0)*Ontwerpberekening!J10),0))/Ontwerpberekening!$A$2</f>
        <v>792.97525000000007</v>
      </c>
      <c r="F9" s="9">
        <f>(IF(Ontwerpberekening!E10="Nieuwe Situatie",(_xlfn.IFNA(VLOOKUP(Ontwerp_MKI_Totaal[[#This Row],[Product]]&amp;", "&amp;Ontwerp_MKI_Totaal[[#Headers],[A2]],Database_Productkaarten[#All],14,FALSE),0)*Ontwerpberekening!J10),0))/Ontwerpberekening!$A$2</f>
        <v>56.953865</v>
      </c>
      <c r="G9" s="9">
        <f>(IF(Ontwerpberekening!E10="Nieuwe Situatie",(_xlfn.IFNA(VLOOKUP(Ontwerp_MKI_Totaal[[#This Row],[Product]]&amp;", "&amp;Ontwerp_MKI_Totaal[[#Headers],[A3]],Database_Productkaarten[#All],14,FALSE),0)*Ontwerpberekening!J10),0))/Ontwerpberekening!$A$2</f>
        <v>41.570878999999998</v>
      </c>
      <c r="H9" s="9">
        <f>(IF(Ontwerpberekening!E10="Nieuwe Situatie",(_xlfn.IFNA(VLOOKUP(Ontwerp_MKI_Totaal[[#This Row],[Product]]&amp;", "&amp;Ontwerp_MKI_Totaal[[#Headers],[A1-A3]],Database_Productkaarten[#All],14,FALSE),0)*Ontwerpberekening!J10),0))/Ontwerpberekening!$A$2</f>
        <v>891.49999400000002</v>
      </c>
      <c r="I9" s="9">
        <f>(IF(Ontwerpberekening!E10="Nieuwe Situatie",(_xlfn.IFNA(VLOOKUP(Ontwerp_MKI_Totaal[[#This Row],[Product]]&amp;", "&amp;Ontwerp_MKI_Totaal[[#Headers],[A4]],Database_Productkaarten[#All],14,FALSE),0)*Ontwerpberekening!R10),0))/Ontwerpberekening!$A$2</f>
        <v>37.645757542000005</v>
      </c>
      <c r="J9" s="9">
        <f>(IF(Ontwerpberekening!E10="Nieuwe Situatie",(_xlfn.IFNA(VLOOKUP(Ontwerp_MKI_Totaal[[#This Row],[Product]]&amp;", "&amp;Ontwerp_MKI_Totaal[[#Headers],[A5]],Database_Productkaarten[#All],14,FALSE),0)*Ontwerpberekening!J10),0))/Ontwerpberekening!$A$2</f>
        <v>73.560969999999998</v>
      </c>
      <c r="K9" s="9">
        <f>(IF(Ontwerpberekening!E10="Nieuwe Situatie",(_xlfn.IFNA(VLOOKUP(Ontwerp_MKI_Totaal[[#This Row],[Product]]&amp;", "&amp;Ontwerp_MKI_Totaal[[#Headers],[B1]],Database_Productkaarten[#All],14,FALSE),0)*Ontwerpberekening!J10),0))/Ontwerpberekening!$A$2</f>
        <v>0</v>
      </c>
      <c r="L9" s="9">
        <f>(IF(Ontwerpberekening!E10="Nieuwe Situatie",(_xlfn.IFNA(VLOOKUP(Ontwerp_MKI_Totaal[[#This Row],[Product]]&amp;", "&amp;Ontwerp_MKI_Totaal[[#Headers],[B3]],Database_Productkaarten[#All],14,FALSE),0)*Ontwerpberekening!J10),0))/Ontwerpberekening!$A$2</f>
        <v>269.373647705</v>
      </c>
      <c r="M9" s="9">
        <f>(IF(Ontwerpberekening!E10="Nieuwe Situatie",(SUM(Ontwerp_MKI_Totaal[[#This Row],[A1]:[B1]],Ontwerp_MKI_Totaal[[#This Row],[C1]:[D2]])*Ontwerpberekening!T10),0))</f>
        <v>0</v>
      </c>
      <c r="N9" s="9">
        <f>(IF(Ontwerpberekening!E10="Bestaande Situatie",(_xlfn.IFNA(VLOOKUP(Ontwerp_MKI_Totaal[[#This Row],[Product]]&amp;", "&amp;Ontwerp_MKI_Totaal[[#Headers],[C1]],Database_Productkaarten[#All],14,FALSE),0)*Ontwerpberekening!J10),0))/Ontwerpberekening!$A$2</f>
        <v>0</v>
      </c>
      <c r="O9" s="9">
        <f>(IF(Ontwerpberekening!E10="Bestaande Situatie",(_xlfn.IFNA(VLOOKUP(Ontwerp_MKI_Totaal[[#This Row],[Product]]&amp;", "&amp;Ontwerp_MKI_Totaal[[#Headers],[C2]],Database_Productkaarten[#All],14,FALSE),0)*Ontwerpberekening!R10),0))/Ontwerpberekening!$A$2</f>
        <v>0</v>
      </c>
      <c r="P9" s="9">
        <f>(IF(Ontwerpberekening!E10="Bestaande Situatie",(_xlfn.IFNA(VLOOKUP(Ontwerp_MKI_Totaal[[#This Row],[Product]]&amp;", "&amp;Ontwerp_MKI_Totaal[[#Headers],[C3]],Database_Productkaarten[#All],14,FALSE),0)*Ontwerpberekening!J10),0))/Ontwerpberekening!$A$2</f>
        <v>0</v>
      </c>
      <c r="Q9" s="9">
        <f>(IF(Ontwerpberekening!E10="Bestaande Situatie",(_xlfn.IFNA(VLOOKUP(Ontwerp_MKI_Totaal[[#This Row],[Product]]&amp;", "&amp;Ontwerp_MKI_Totaal[[#Headers],[C4]],Database_Productkaarten[#All],14,FALSE),0)*Ontwerpberekening!J10),0))/Ontwerpberekening!$A$2</f>
        <v>0</v>
      </c>
      <c r="R9" s="9">
        <f>(IF(Ontwerpberekening!E10="Bestaande Situatie",(_xlfn.IFNA(VLOOKUP(Ontwerp_MKI_Totaal[[#This Row],[Product]]&amp;", "&amp;Ontwerp_MKI_Totaal[[#Headers],[D1]],Database_Productkaarten[#All],14,FALSE),0)*Ontwerpberekening!J10),0))/Ontwerpberekening!$A$2</f>
        <v>0</v>
      </c>
      <c r="S9" s="32">
        <f>(IF(Ontwerpberekening!E10="Bestaande Situatie",(_xlfn.IFNA(VLOOKUP(Ontwerp_MKI_Totaal[[#This Row],[Product]]&amp;", "&amp;Ontwerp_MKI_Totaal[[#Headers],[D2]],Database_Productkaarten[#All],14,FALSE),0)*Ontwerpberekening!J10),0))/Ontwerpberekening!$A$2</f>
        <v>0</v>
      </c>
      <c r="T9" s="32">
        <f>(IF(Ontwerpberekening!E10="Bestaande Situatie",(_xlfn.IFNA(VLOOKUP(Ontwerp_MKI_Totaal[[#This Row],[Product]]&amp;", "&amp;Ontwerp_MKI_Totaal[[#Headers],[D]],Database_Productkaarten[#All],14,FALSE),0)*Ontwerpberekening!J10),0))/Ontwerpberekening!$A$2</f>
        <v>0</v>
      </c>
      <c r="U9" s="142">
        <f>SUM(Ontwerp_MKI_Totaal[[#This Row],[A1-A3]:[C4]])+Ontwerp_MKI_Totaal[[#This Row],[D]]</f>
        <v>1272.0803692469999</v>
      </c>
      <c r="AC9"/>
      <c r="AD9"/>
      <c r="AE9"/>
      <c r="AF9"/>
      <c r="AG9"/>
      <c r="AH9"/>
      <c r="AI9"/>
      <c r="AJ9"/>
      <c r="AK9"/>
      <c r="AL9"/>
      <c r="AM9"/>
      <c r="AN9"/>
      <c r="AO9"/>
      <c r="AP9"/>
      <c r="AQ9"/>
      <c r="BJ9" s="151" t="s">
        <v>105</v>
      </c>
      <c r="BK9">
        <v>381.12847038323201</v>
      </c>
      <c r="BL9">
        <v>193.02525</v>
      </c>
      <c r="BM9">
        <v>1092.5055000000002</v>
      </c>
      <c r="BN9">
        <v>289.53787499999999</v>
      </c>
      <c r="BO9">
        <v>3875.8793504009996</v>
      </c>
      <c r="BP9">
        <v>3163.9619999999995</v>
      </c>
      <c r="BQ9">
        <v>675.58837500000004</v>
      </c>
      <c r="BR9">
        <v>1914.3534750000003</v>
      </c>
      <c r="BS9">
        <v>11585.980295784233</v>
      </c>
      <c r="BT9"/>
      <c r="BU9"/>
      <c r="CH9" s="151" t="s">
        <v>59</v>
      </c>
      <c r="CI9">
        <v>2356.5</v>
      </c>
      <c r="CJ9">
        <v>0.23800000000000002</v>
      </c>
      <c r="CK9">
        <v>332</v>
      </c>
      <c r="CL9">
        <v>0</v>
      </c>
      <c r="CM9">
        <v>0</v>
      </c>
      <c r="CN9">
        <v>0</v>
      </c>
      <c r="CO9">
        <v>116</v>
      </c>
      <c r="CP9">
        <v>0.224</v>
      </c>
      <c r="CQ9">
        <v>949.5</v>
      </c>
      <c r="CR9">
        <v>6.5</v>
      </c>
      <c r="CS9">
        <v>-597</v>
      </c>
      <c r="CT9"/>
      <c r="CU9"/>
      <c r="CV9"/>
      <c r="DG9"/>
      <c r="DH9"/>
      <c r="DI9"/>
      <c r="DJ9"/>
      <c r="DK9"/>
      <c r="DL9"/>
      <c r="DM9"/>
      <c r="DN9"/>
      <c r="DO9"/>
      <c r="DP9"/>
    </row>
    <row r="10" spans="2:120">
      <c r="B10" s="31" t="str">
        <f>Ontwerpberekening!B11</f>
        <v>Open Menggranulaat</v>
      </c>
      <c r="C10" s="31" t="str">
        <f>Ontwerpberekening!C11</f>
        <v>Zandbed</v>
      </c>
      <c r="D10" s="1" t="str">
        <f>Ontwerpberekening!G11</f>
        <v>Ophoogmateriaal (Zand)</v>
      </c>
      <c r="E10" s="9">
        <f>(IF(Ontwerpberekening!E11="Nieuwe Situatie",(_xlfn.IFNA(VLOOKUP(Ontwerp_MKI_Totaal[[#This Row],[Product]]&amp;", "&amp;Ontwerp_MKI_Totaal[[#Headers],[A1]],Database_Productkaarten[#All],14,FALSE),0)*Ontwerpberekening!J11),0))/Ontwerpberekening!$A$2</f>
        <v>0</v>
      </c>
      <c r="F10" s="9">
        <f>(IF(Ontwerpberekening!E11="Nieuwe Situatie",(_xlfn.IFNA(VLOOKUP(Ontwerp_MKI_Totaal[[#This Row],[Product]]&amp;", "&amp;Ontwerp_MKI_Totaal[[#Headers],[A2]],Database_Productkaarten[#All],14,FALSE),0)*Ontwerpberekening!J11),0))/Ontwerpberekening!$A$2</f>
        <v>0</v>
      </c>
      <c r="G10" s="9">
        <f>(IF(Ontwerpberekening!E11="Nieuwe Situatie",(_xlfn.IFNA(VLOOKUP(Ontwerp_MKI_Totaal[[#This Row],[Product]]&amp;", "&amp;Ontwerp_MKI_Totaal[[#Headers],[A3]],Database_Productkaarten[#All],14,FALSE),0)*Ontwerpberekening!J11),0))/Ontwerpberekening!$A$2</f>
        <v>0</v>
      </c>
      <c r="H10" s="9">
        <f>(IF(Ontwerpberekening!E11="Nieuwe Situatie",(_xlfn.IFNA(VLOOKUP(Ontwerp_MKI_Totaal[[#This Row],[Product]]&amp;", "&amp;Ontwerp_MKI_Totaal[[#Headers],[A1-A3]],Database_Productkaarten[#All],14,FALSE),0)*Ontwerpberekening!J11),0))/Ontwerpberekening!$A$2</f>
        <v>0</v>
      </c>
      <c r="I10" s="9">
        <f>(IF(Ontwerpberekening!E11="Nieuwe Situatie",(_xlfn.IFNA(VLOOKUP(Ontwerp_MKI_Totaal[[#This Row],[Product]]&amp;", "&amp;Ontwerp_MKI_Totaal[[#Headers],[A4]],Database_Productkaarten[#All],14,FALSE),0)*Ontwerpberekening!R11),0))/Ontwerpberekening!$A$2</f>
        <v>0</v>
      </c>
      <c r="J10" s="9">
        <f>(IF(Ontwerpberekening!E11="Nieuwe Situatie",(_xlfn.IFNA(VLOOKUP(Ontwerp_MKI_Totaal[[#This Row],[Product]]&amp;", "&amp;Ontwerp_MKI_Totaal[[#Headers],[A5]],Database_Productkaarten[#All],14,FALSE),0)*Ontwerpberekening!J11),0))/Ontwerpberekening!$A$2</f>
        <v>0</v>
      </c>
      <c r="K10" s="9">
        <f>(IF(Ontwerpberekening!E11="Nieuwe Situatie",(_xlfn.IFNA(VLOOKUP(Ontwerp_MKI_Totaal[[#This Row],[Product]]&amp;", "&amp;Ontwerp_MKI_Totaal[[#Headers],[B1]],Database_Productkaarten[#All],14,FALSE),0)*Ontwerpberekening!J11),0))/Ontwerpberekening!$A$2</f>
        <v>0</v>
      </c>
      <c r="L10" s="9">
        <f>(IF(Ontwerpberekening!E11="Nieuwe Situatie",(_xlfn.IFNA(VLOOKUP(Ontwerp_MKI_Totaal[[#This Row],[Product]]&amp;", "&amp;Ontwerp_MKI_Totaal[[#Headers],[B3]],Database_Productkaarten[#All],14,FALSE),0)*Ontwerpberekening!J11),0))/Ontwerpberekening!$A$2</f>
        <v>0</v>
      </c>
      <c r="M10" s="9">
        <f>(IF(Ontwerpberekening!E11="Nieuwe Situatie",(SUM(Ontwerp_MKI_Totaal[[#This Row],[A1]:[B1]],Ontwerp_MKI_Totaal[[#This Row],[C1]:[D2]])*Ontwerpberekening!T11),0))</f>
        <v>0</v>
      </c>
      <c r="N10" s="9">
        <f>(IF(Ontwerpberekening!E11="Bestaande Situatie",(_xlfn.IFNA(VLOOKUP(Ontwerp_MKI_Totaal[[#This Row],[Product]]&amp;", "&amp;Ontwerp_MKI_Totaal[[#Headers],[C1]],Database_Productkaarten[#All],14,FALSE),0)*Ontwerpberekening!J11),0))/Ontwerpberekening!$A$2</f>
        <v>6.5659999999999998</v>
      </c>
      <c r="O10" s="9">
        <f>(IF(Ontwerpberekening!E11="Bestaande Situatie",(_xlfn.IFNA(VLOOKUP(Ontwerp_MKI_Totaal[[#This Row],[Product]]&amp;", "&amp;Ontwerp_MKI_Totaal[[#Headers],[C2]],Database_Productkaarten[#All],14,FALSE),0)*Ontwerpberekening!R11),0))/Ontwerpberekening!$A$2</f>
        <v>188.498625</v>
      </c>
      <c r="P10" s="9">
        <f>(IF(Ontwerpberekening!E11="Bestaande Situatie",(_xlfn.IFNA(VLOOKUP(Ontwerp_MKI_Totaal[[#This Row],[Product]]&amp;", "&amp;Ontwerp_MKI_Totaal[[#Headers],[C3]],Database_Productkaarten[#All],14,FALSE),0)*Ontwerpberekening!J11),0))/Ontwerpberekening!$A$2</f>
        <v>0</v>
      </c>
      <c r="Q10" s="9">
        <f>(IF(Ontwerpberekening!E11="Bestaande Situatie",(_xlfn.IFNA(VLOOKUP(Ontwerp_MKI_Totaal[[#This Row],[Product]]&amp;", "&amp;Ontwerp_MKI_Totaal[[#Headers],[C4]],Database_Productkaarten[#All],14,FALSE),0)*Ontwerpberekening!J11),0))/Ontwerpberekening!$A$2</f>
        <v>1.9512499999999999</v>
      </c>
      <c r="R10" s="9">
        <f>(IF(Ontwerpberekening!E11="Bestaande Situatie",(_xlfn.IFNA(VLOOKUP(Ontwerp_MKI_Totaal[[#This Row],[Product]]&amp;", "&amp;Ontwerp_MKI_Totaal[[#Headers],[D1]],Database_Productkaarten[#All],14,FALSE),0)*Ontwerpberekening!J11),0))/Ontwerpberekening!$A$2</f>
        <v>0</v>
      </c>
      <c r="S10" s="32">
        <f>(IF(Ontwerpberekening!E11="Bestaande Situatie",(_xlfn.IFNA(VLOOKUP(Ontwerp_MKI_Totaal[[#This Row],[Product]]&amp;", "&amp;Ontwerp_MKI_Totaal[[#Headers],[D2]],Database_Productkaarten[#All],14,FALSE),0)*Ontwerpberekening!J11),0))/Ontwerpberekening!$A$2</f>
        <v>0</v>
      </c>
      <c r="T10" s="32">
        <f>(IF(Ontwerpberekening!E11="Bestaande Situatie",(_xlfn.IFNA(VLOOKUP(Ontwerp_MKI_Totaal[[#This Row],[Product]]&amp;", "&amp;Ontwerp_MKI_Totaal[[#Headers],[D]],Database_Productkaarten[#All],14,FALSE),0)*Ontwerpberekening!J11),0))/Ontwerpberekening!$A$2</f>
        <v>-139.46275</v>
      </c>
      <c r="U10" s="142">
        <f>SUM(Ontwerp_MKI_Totaal[[#This Row],[A1-A3]:[C4]])+Ontwerp_MKI_Totaal[[#This Row],[D]]</f>
        <v>57.553124999999994</v>
      </c>
      <c r="AC10"/>
      <c r="AD10"/>
      <c r="AE10"/>
      <c r="AF10"/>
      <c r="AG10"/>
      <c r="AH10"/>
      <c r="AI10"/>
      <c r="AJ10"/>
      <c r="AK10"/>
      <c r="AL10"/>
      <c r="AM10"/>
      <c r="AN10"/>
      <c r="AO10"/>
      <c r="AP10"/>
      <c r="AQ10"/>
      <c r="BJ10"/>
      <c r="BK10"/>
      <c r="BL10"/>
      <c r="BM10"/>
      <c r="BN10"/>
      <c r="BO10"/>
      <c r="BP10"/>
      <c r="BQ10"/>
      <c r="BR10"/>
      <c r="BS10"/>
      <c r="BT10"/>
      <c r="BU10"/>
      <c r="CH10" s="151" t="s">
        <v>44</v>
      </c>
      <c r="CI10">
        <v>392.42349999999999</v>
      </c>
      <c r="CJ10">
        <v>186.63225</v>
      </c>
      <c r="CK10">
        <v>38.979500000000002</v>
      </c>
      <c r="CL10">
        <v>0</v>
      </c>
      <c r="CM10">
        <v>0</v>
      </c>
      <c r="CN10">
        <v>0</v>
      </c>
      <c r="CO10">
        <v>6.5659999999999998</v>
      </c>
      <c r="CP10">
        <v>188.498625</v>
      </c>
      <c r="CQ10">
        <v>0</v>
      </c>
      <c r="CR10">
        <v>1.9512499999999999</v>
      </c>
      <c r="CS10">
        <v>-139.46275</v>
      </c>
      <c r="CT10"/>
      <c r="CU10"/>
      <c r="CV10"/>
      <c r="DG10"/>
      <c r="DH10"/>
      <c r="DI10"/>
      <c r="DJ10"/>
      <c r="DK10"/>
      <c r="DL10"/>
      <c r="DM10"/>
      <c r="DN10"/>
      <c r="DO10"/>
      <c r="DP10"/>
    </row>
    <row r="11" spans="2:120">
      <c r="B11" s="31" t="str">
        <f>Ontwerpberekening!B12</f>
        <v>Open Menggranulaat</v>
      </c>
      <c r="C11" s="31" t="str">
        <f>Ontwerpberekening!C12</f>
        <v>Funderingswapening</v>
      </c>
      <c r="D11" s="1" t="str">
        <f>Ontwerpberekening!G12</f>
        <v>Geogrid</v>
      </c>
      <c r="E11" s="9">
        <f>(IF(Ontwerpberekening!E12="Nieuwe Situatie",(_xlfn.IFNA(VLOOKUP(Ontwerp_MKI_Totaal[[#This Row],[Product]]&amp;", "&amp;Ontwerp_MKI_Totaal[[#Headers],[A1]],Database_Productkaarten[#All],14,FALSE),0)*Ontwerpberekening!J12),0))/Ontwerpberekening!$A$2</f>
        <v>0</v>
      </c>
      <c r="F11" s="9">
        <f>(IF(Ontwerpberekening!E12="Nieuwe Situatie",(_xlfn.IFNA(VLOOKUP(Ontwerp_MKI_Totaal[[#This Row],[Product]]&amp;", "&amp;Ontwerp_MKI_Totaal[[#Headers],[A2]],Database_Productkaarten[#All],14,FALSE),0)*Ontwerpberekening!J12),0))/Ontwerpberekening!$A$2</f>
        <v>0</v>
      </c>
      <c r="G11" s="9">
        <f>(IF(Ontwerpberekening!E12="Nieuwe Situatie",(_xlfn.IFNA(VLOOKUP(Ontwerp_MKI_Totaal[[#This Row],[Product]]&amp;", "&amp;Ontwerp_MKI_Totaal[[#Headers],[A3]],Database_Productkaarten[#All],14,FALSE),0)*Ontwerpberekening!J12),0))/Ontwerpberekening!$A$2</f>
        <v>0</v>
      </c>
      <c r="H11" s="9">
        <f>(IF(Ontwerpberekening!E12="Nieuwe Situatie",(_xlfn.IFNA(VLOOKUP(Ontwerp_MKI_Totaal[[#This Row],[Product]]&amp;", "&amp;Ontwerp_MKI_Totaal[[#Headers],[A1-A3]],Database_Productkaarten[#All],14,FALSE),0)*Ontwerpberekening!J12),0))/Ontwerpberekening!$A$2</f>
        <v>0</v>
      </c>
      <c r="I11" s="9">
        <f>(IF(Ontwerpberekening!E12="Nieuwe Situatie",(_xlfn.IFNA(VLOOKUP(Ontwerp_MKI_Totaal[[#This Row],[Product]]&amp;", "&amp;Ontwerp_MKI_Totaal[[#Headers],[A4]],Database_Productkaarten[#All],14,FALSE),0)*Ontwerpberekening!R12),0))/Ontwerpberekening!$A$2</f>
        <v>0</v>
      </c>
      <c r="J11" s="9">
        <f>(IF(Ontwerpberekening!E12="Nieuwe Situatie",(_xlfn.IFNA(VLOOKUP(Ontwerp_MKI_Totaal[[#This Row],[Product]]&amp;", "&amp;Ontwerp_MKI_Totaal[[#Headers],[A5]],Database_Productkaarten[#All],14,FALSE),0)*Ontwerpberekening!J12),0))/Ontwerpberekening!$A$2</f>
        <v>0</v>
      </c>
      <c r="K11" s="9">
        <f>(IF(Ontwerpberekening!E12="Nieuwe Situatie",(_xlfn.IFNA(VLOOKUP(Ontwerp_MKI_Totaal[[#This Row],[Product]]&amp;", "&amp;Ontwerp_MKI_Totaal[[#Headers],[B1]],Database_Productkaarten[#All],14,FALSE),0)*Ontwerpberekening!J12),0))/Ontwerpberekening!$A$2</f>
        <v>0</v>
      </c>
      <c r="L11" s="9">
        <f>(IF(Ontwerpberekening!E12="Nieuwe Situatie",(_xlfn.IFNA(VLOOKUP(Ontwerp_MKI_Totaal[[#This Row],[Product]]&amp;", "&amp;Ontwerp_MKI_Totaal[[#Headers],[B3]],Database_Productkaarten[#All],14,FALSE),0)*Ontwerpberekening!J12),0))/Ontwerpberekening!$A$2</f>
        <v>0</v>
      </c>
      <c r="M11" s="9">
        <f>(IF(Ontwerpberekening!E12="Nieuwe Situatie",(SUM(Ontwerp_MKI_Totaal[[#This Row],[A1]:[B1]],Ontwerp_MKI_Totaal[[#This Row],[C1]:[D2]])*Ontwerpberekening!T12),0))</f>
        <v>0</v>
      </c>
      <c r="N11" s="9">
        <f>(IF(Ontwerpberekening!E12="Bestaande Situatie",(_xlfn.IFNA(VLOOKUP(Ontwerp_MKI_Totaal[[#This Row],[Product]]&amp;", "&amp;Ontwerp_MKI_Totaal[[#Headers],[C1]],Database_Productkaarten[#All],14,FALSE),0)*Ontwerpberekening!J12),0))/Ontwerpberekening!$A$2</f>
        <v>104.18983499999999</v>
      </c>
      <c r="O11" s="9">
        <f>(IF(Ontwerpberekening!E12="Bestaande Situatie",(_xlfn.IFNA(VLOOKUP(Ontwerp_MKI_Totaal[[#This Row],[Product]]&amp;", "&amp;Ontwerp_MKI_Totaal[[#Headers],[C2]],Database_Productkaarten[#All],14,FALSE),0)*Ontwerpberekening!R12),0))/Ontwerpberekening!$A$2</f>
        <v>5.6196379392E-2</v>
      </c>
      <c r="P11" s="9">
        <f>(IF(Ontwerpberekening!E12="Bestaande Situatie",(_xlfn.IFNA(VLOOKUP(Ontwerp_MKI_Totaal[[#This Row],[Product]]&amp;", "&amp;Ontwerp_MKI_Totaal[[#Headers],[C3]],Database_Productkaarten[#All],14,FALSE),0)*Ontwerpberekening!J12),0))/Ontwerpberekening!$A$2</f>
        <v>7.0133438999999997</v>
      </c>
      <c r="Q11" s="9">
        <f>(IF(Ontwerpberekening!E12="Bestaande Situatie",(_xlfn.IFNA(VLOOKUP(Ontwerp_MKI_Totaal[[#This Row],[Product]]&amp;", "&amp;Ontwerp_MKI_Totaal[[#Headers],[C4]],Database_Productkaarten[#All],14,FALSE),0)*Ontwerpberekening!J12),0))/Ontwerpberekening!$A$2</f>
        <v>12.9115911772</v>
      </c>
      <c r="R11" s="9">
        <f>(IF(Ontwerpberekening!E12="Bestaande Situatie",(_xlfn.IFNA(VLOOKUP(Ontwerp_MKI_Totaal[[#This Row],[Product]]&amp;", "&amp;Ontwerp_MKI_Totaal[[#Headers],[D1]],Database_Productkaarten[#All],14,FALSE),0)*Ontwerpberekening!J12),0))/Ontwerpberekening!$A$2</f>
        <v>0</v>
      </c>
      <c r="S11" s="32">
        <f>(IF(Ontwerpberekening!E12="Bestaande Situatie",(_xlfn.IFNA(VLOOKUP(Ontwerp_MKI_Totaal[[#This Row],[Product]]&amp;", "&amp;Ontwerp_MKI_Totaal[[#Headers],[D2]],Database_Productkaarten[#All],14,FALSE),0)*Ontwerpberekening!J12),0))/Ontwerpberekening!$A$2</f>
        <v>0</v>
      </c>
      <c r="T11" s="32">
        <f>(IF(Ontwerpberekening!E12="Bestaande Situatie",(_xlfn.IFNA(VLOOKUP(Ontwerp_MKI_Totaal[[#This Row],[Product]]&amp;", "&amp;Ontwerp_MKI_Totaal[[#Headers],[D]],Database_Productkaarten[#All],14,FALSE),0)*Ontwerpberekening!J12),0))/Ontwerpberekening!$A$2</f>
        <v>-7.8846214060000008</v>
      </c>
      <c r="U11" s="9">
        <f>SUM(Ontwerp_MKI_Totaal[[#This Row],[A1-A3]:[C4]])+Ontwerp_MKI_Totaal[[#This Row],[D]]</f>
        <v>116.28634505059199</v>
      </c>
      <c r="AC11"/>
      <c r="AD11"/>
      <c r="AE11"/>
      <c r="AF11"/>
      <c r="AG11"/>
      <c r="AH11"/>
      <c r="AI11"/>
      <c r="AJ11"/>
      <c r="AK11"/>
      <c r="AL11"/>
      <c r="AM11"/>
      <c r="AN11"/>
      <c r="AO11"/>
      <c r="AP11"/>
      <c r="AQ11"/>
      <c r="BJ11"/>
      <c r="BK11"/>
      <c r="BL11"/>
      <c r="BM11"/>
      <c r="BN11"/>
      <c r="BO11"/>
      <c r="BP11"/>
      <c r="BQ11"/>
      <c r="BR11"/>
      <c r="BS11"/>
      <c r="BT11"/>
      <c r="BU11"/>
      <c r="CH11" s="151" t="s">
        <v>38</v>
      </c>
      <c r="CI11">
        <v>0</v>
      </c>
      <c r="CJ11">
        <v>0</v>
      </c>
      <c r="CK11">
        <v>0</v>
      </c>
      <c r="CL11">
        <v>0</v>
      </c>
      <c r="CM11">
        <v>0</v>
      </c>
      <c r="CN11">
        <v>0</v>
      </c>
      <c r="CO11">
        <v>102.12639999999999</v>
      </c>
      <c r="CP11">
        <v>1795.0734749999999</v>
      </c>
      <c r="CQ11">
        <v>0</v>
      </c>
      <c r="CR11">
        <v>17.153600000000001</v>
      </c>
      <c r="CS11">
        <v>0</v>
      </c>
      <c r="CT11"/>
      <c r="CU11"/>
      <c r="CV11"/>
      <c r="DG11"/>
      <c r="DH11"/>
      <c r="DI11"/>
      <c r="DJ11"/>
      <c r="DK11"/>
      <c r="DL11"/>
      <c r="DM11"/>
      <c r="DN11"/>
      <c r="DO11"/>
      <c r="DP11"/>
    </row>
    <row r="12" spans="2:120">
      <c r="B12" s="31" t="str">
        <f>Ontwerpberekening!B13</f>
        <v>Open Menggranulaat</v>
      </c>
      <c r="C12" s="31" t="str">
        <f>Ontwerpberekening!C13</f>
        <v>Menggranulaat</v>
      </c>
      <c r="D12" s="1" t="str">
        <f>Ontwerpberekening!G13</f>
        <v>Menggranulaat 200mm</v>
      </c>
      <c r="E12" s="9">
        <f>(IF(Ontwerpberekening!E13="Nieuwe Situatie",(_xlfn.IFNA(VLOOKUP(Ontwerp_MKI_Totaal[[#This Row],[Product]]&amp;", "&amp;Ontwerp_MKI_Totaal[[#Headers],[A1]],Database_Productkaarten[#All],14,FALSE),0)*Ontwerpberekening!J13),0))/Ontwerpberekening!$A$2</f>
        <v>0</v>
      </c>
      <c r="F12" s="9">
        <f>(IF(Ontwerpberekening!E13="Nieuwe Situatie",(_xlfn.IFNA(VLOOKUP(Ontwerp_MKI_Totaal[[#This Row],[Product]]&amp;", "&amp;Ontwerp_MKI_Totaal[[#Headers],[A2]],Database_Productkaarten[#All],14,FALSE),0)*Ontwerpberekening!J13),0))/Ontwerpberekening!$A$2</f>
        <v>0</v>
      </c>
      <c r="G12" s="9">
        <f>(IF(Ontwerpberekening!E13="Nieuwe Situatie",(_xlfn.IFNA(VLOOKUP(Ontwerp_MKI_Totaal[[#This Row],[Product]]&amp;", "&amp;Ontwerp_MKI_Totaal[[#Headers],[A3]],Database_Productkaarten[#All],14,FALSE),0)*Ontwerpberekening!J13),0))/Ontwerpberekening!$A$2</f>
        <v>0</v>
      </c>
      <c r="H12" s="9">
        <f>(IF(Ontwerpberekening!E13="Nieuwe Situatie",(_xlfn.IFNA(VLOOKUP(Ontwerp_MKI_Totaal[[#This Row],[Product]]&amp;", "&amp;Ontwerp_MKI_Totaal[[#Headers],[A1-A3]],Database_Productkaarten[#All],14,FALSE),0)*Ontwerpberekening!J13),0))/Ontwerpberekening!$A$2</f>
        <v>0</v>
      </c>
      <c r="I12" s="9">
        <f>(IF(Ontwerpberekening!E13="Nieuwe Situatie",(_xlfn.IFNA(VLOOKUP(Ontwerp_MKI_Totaal[[#This Row],[Product]]&amp;", "&amp;Ontwerp_MKI_Totaal[[#Headers],[A4]],Database_Productkaarten[#All],14,FALSE),0)*Ontwerpberekening!R13),0))/Ontwerpberekening!$A$2</f>
        <v>0</v>
      </c>
      <c r="J12" s="9">
        <f>(IF(Ontwerpberekening!E13="Nieuwe Situatie",(_xlfn.IFNA(VLOOKUP(Ontwerp_MKI_Totaal[[#This Row],[Product]]&amp;", "&amp;Ontwerp_MKI_Totaal[[#Headers],[A5]],Database_Productkaarten[#All],14,FALSE),0)*Ontwerpberekening!J13),0))/Ontwerpberekening!$A$2</f>
        <v>0</v>
      </c>
      <c r="K12" s="9">
        <f>(IF(Ontwerpberekening!E13="Nieuwe Situatie",(_xlfn.IFNA(VLOOKUP(Ontwerp_MKI_Totaal[[#This Row],[Product]]&amp;", "&amp;Ontwerp_MKI_Totaal[[#Headers],[B1]],Database_Productkaarten[#All],14,FALSE),0)*Ontwerpberekening!J13),0))/Ontwerpberekening!$A$2</f>
        <v>0</v>
      </c>
      <c r="L12" s="9">
        <f>(IF(Ontwerpberekening!E13="Nieuwe Situatie",(_xlfn.IFNA(VLOOKUP(Ontwerp_MKI_Totaal[[#This Row],[Product]]&amp;", "&amp;Ontwerp_MKI_Totaal[[#Headers],[B3]],Database_Productkaarten[#All],14,FALSE),0)*Ontwerpberekening!J13),0))/Ontwerpberekening!$A$2</f>
        <v>0</v>
      </c>
      <c r="M12" s="9">
        <f>(IF(Ontwerpberekening!E13="Nieuwe Situatie",(SUM(Ontwerp_MKI_Totaal[[#This Row],[A1]:[B1]],Ontwerp_MKI_Totaal[[#This Row],[C1]:[D2]])*Ontwerpberekening!T13),0))</f>
        <v>0</v>
      </c>
      <c r="N12" s="9">
        <f>(IF(Ontwerpberekening!E13="Bestaande Situatie",(_xlfn.IFNA(VLOOKUP(Ontwerp_MKI_Totaal[[#This Row],[Product]]&amp;", "&amp;Ontwerp_MKI_Totaal[[#Headers],[C1]],Database_Productkaarten[#All],14,FALSE),0)*Ontwerpberekening!J13),0))/Ontwerpberekening!$A$2</f>
        <v>62.15</v>
      </c>
      <c r="O12" s="9">
        <f>(IF(Ontwerpberekening!E13="Bestaande Situatie",(_xlfn.IFNA(VLOOKUP(Ontwerp_MKI_Totaal[[#This Row],[Product]]&amp;", "&amp;Ontwerp_MKI_Totaal[[#Headers],[C2]],Database_Productkaarten[#All],14,FALSE),0)*Ontwerpberekening!R13),0))/Ontwerpberekening!$A$2</f>
        <v>1.4702999999999999</v>
      </c>
      <c r="P12" s="9">
        <f>(IF(Ontwerpberekening!E13="Bestaande Situatie",(_xlfn.IFNA(VLOOKUP(Ontwerp_MKI_Totaal[[#This Row],[Product]]&amp;", "&amp;Ontwerp_MKI_Totaal[[#Headers],[C3]],Database_Productkaarten[#All],14,FALSE),0)*Ontwerpberekening!J13),0))/Ontwerpberekening!$A$2</f>
        <v>0</v>
      </c>
      <c r="Q12" s="9">
        <f>(IF(Ontwerpberekening!E13="Bestaande Situatie",(_xlfn.IFNA(VLOOKUP(Ontwerp_MKI_Totaal[[#This Row],[Product]]&amp;", "&amp;Ontwerp_MKI_Totaal[[#Headers],[C4]],Database_Productkaarten[#All],14,FALSE),0)*Ontwerpberekening!J13),0))/Ontwerpberekening!$A$2</f>
        <v>2.9</v>
      </c>
      <c r="R12" s="9">
        <f>(IF(Ontwerpberekening!E13="Bestaande Situatie",(_xlfn.IFNA(VLOOKUP(Ontwerp_MKI_Totaal[[#This Row],[Product]]&amp;", "&amp;Ontwerp_MKI_Totaal[[#Headers],[D1]],Database_Productkaarten[#All],14,FALSE),0)*Ontwerpberekening!J13),0))/Ontwerpberekening!$A$2</f>
        <v>0</v>
      </c>
      <c r="S12" s="32">
        <f>(IF(Ontwerpberekening!E13="Bestaande Situatie",(_xlfn.IFNA(VLOOKUP(Ontwerp_MKI_Totaal[[#This Row],[Product]]&amp;", "&amp;Ontwerp_MKI_Totaal[[#Headers],[D2]],Database_Productkaarten[#All],14,FALSE),0)*Ontwerpberekening!J13),0))/Ontwerpberekening!$A$2</f>
        <v>0</v>
      </c>
      <c r="T12" s="32">
        <f>(IF(Ontwerpberekening!E13="Bestaande Situatie",(_xlfn.IFNA(VLOOKUP(Ontwerp_MKI_Totaal[[#This Row],[Product]]&amp;", "&amp;Ontwerp_MKI_Totaal[[#Headers],[D]],Database_Productkaarten[#All],14,FALSE),0)*Ontwerpberekening!J13),0))/Ontwerpberekening!$A$2</f>
        <v>5.8599999999999994</v>
      </c>
      <c r="U12" s="9">
        <f>SUM(Ontwerp_MKI_Totaal[[#This Row],[A1-A3]:[C4]])+Ontwerp_MKI_Totaal[[#This Row],[D]]</f>
        <v>72.380300000000005</v>
      </c>
      <c r="AC12"/>
      <c r="AD12"/>
      <c r="AE12"/>
      <c r="AF12"/>
      <c r="AG12"/>
      <c r="AH12"/>
      <c r="AI12"/>
      <c r="AJ12"/>
      <c r="AK12"/>
      <c r="AL12"/>
      <c r="AM12"/>
      <c r="AN12"/>
      <c r="AO12"/>
      <c r="AP12"/>
      <c r="AQ12"/>
      <c r="BJ12"/>
      <c r="BK12"/>
      <c r="BL12"/>
      <c r="BM12"/>
      <c r="BN12"/>
      <c r="BO12"/>
      <c r="BP12"/>
      <c r="BQ12"/>
      <c r="BR12"/>
      <c r="BS12"/>
      <c r="BT12"/>
      <c r="BU12"/>
      <c r="CH12" s="151" t="s">
        <v>105</v>
      </c>
      <c r="CI12">
        <v>5735.7990587800005</v>
      </c>
      <c r="CJ12">
        <v>669.75113617864008</v>
      </c>
      <c r="CK12">
        <v>1228.255545</v>
      </c>
      <c r="CL12">
        <v>68.73</v>
      </c>
      <c r="CM12">
        <v>808.12094311500005</v>
      </c>
      <c r="CN12">
        <v>0</v>
      </c>
      <c r="CO12">
        <v>575.99954200000002</v>
      </c>
      <c r="CP12">
        <v>2323.3954348893922</v>
      </c>
      <c r="CQ12">
        <v>1097.8057773999999</v>
      </c>
      <c r="CR12">
        <v>49.130949827199998</v>
      </c>
      <c r="CS12">
        <v>-971.00809140600006</v>
      </c>
      <c r="CT12"/>
      <c r="CU12"/>
      <c r="CV12"/>
      <c r="DG12"/>
      <c r="DH12"/>
      <c r="DI12"/>
      <c r="DJ12"/>
      <c r="DK12"/>
      <c r="DL12"/>
      <c r="DM12"/>
      <c r="DN12"/>
      <c r="DO12"/>
      <c r="DP12"/>
    </row>
    <row r="13" spans="2:120">
      <c r="B13" s="31" t="str">
        <f>Ontwerpberekening!B14</f>
        <v>Open Menggranulaat</v>
      </c>
      <c r="C13" s="31" t="str">
        <f>Ontwerpberekening!C14</f>
        <v>Straatlaag</v>
      </c>
      <c r="D13" s="1" t="str">
        <f>Ontwerpberekening!G14</f>
        <v>Ophoogmateriaal (Zand)</v>
      </c>
      <c r="E13" s="9">
        <f>(IF(Ontwerpberekening!E14="Nieuwe Situatie",(_xlfn.IFNA(VLOOKUP(Ontwerp_MKI_Totaal[[#This Row],[Product]]&amp;", "&amp;Ontwerp_MKI_Totaal[[#Headers],[A1]],Database_Productkaarten[#All],14,FALSE),0)*Ontwerpberekening!J14),0))/Ontwerpberekening!$A$2</f>
        <v>0</v>
      </c>
      <c r="F13" s="9">
        <f>(IF(Ontwerpberekening!E14="Nieuwe Situatie",(_xlfn.IFNA(VLOOKUP(Ontwerp_MKI_Totaal[[#This Row],[Product]]&amp;", "&amp;Ontwerp_MKI_Totaal[[#Headers],[A2]],Database_Productkaarten[#All],14,FALSE),0)*Ontwerpberekening!J14),0))/Ontwerpberekening!$A$2</f>
        <v>0</v>
      </c>
      <c r="G13" s="9">
        <f>(IF(Ontwerpberekening!E14="Nieuwe Situatie",(_xlfn.IFNA(VLOOKUP(Ontwerp_MKI_Totaal[[#This Row],[Product]]&amp;", "&amp;Ontwerp_MKI_Totaal[[#Headers],[A3]],Database_Productkaarten[#All],14,FALSE),0)*Ontwerpberekening!J14),0))/Ontwerpberekening!$A$2</f>
        <v>0</v>
      </c>
      <c r="H13" s="9">
        <f>(IF(Ontwerpberekening!E14="Nieuwe Situatie",(_xlfn.IFNA(VLOOKUP(Ontwerp_MKI_Totaal[[#This Row],[Product]]&amp;", "&amp;Ontwerp_MKI_Totaal[[#Headers],[A1-A3]],Database_Productkaarten[#All],14,FALSE),0)*Ontwerpberekening!J14),0))/Ontwerpberekening!$A$2</f>
        <v>0</v>
      </c>
      <c r="I13" s="9">
        <f>(IF(Ontwerpberekening!E14="Nieuwe Situatie",(_xlfn.IFNA(VLOOKUP(Ontwerp_MKI_Totaal[[#This Row],[Product]]&amp;", "&amp;Ontwerp_MKI_Totaal[[#Headers],[A4]],Database_Productkaarten[#All],14,FALSE),0)*Ontwerpberekening!R14),0))/Ontwerpberekening!$A$2</f>
        <v>0</v>
      </c>
      <c r="J13" s="9">
        <f>(IF(Ontwerpberekening!E14="Nieuwe Situatie",(_xlfn.IFNA(VLOOKUP(Ontwerp_MKI_Totaal[[#This Row],[Product]]&amp;", "&amp;Ontwerp_MKI_Totaal[[#Headers],[A5]],Database_Productkaarten[#All],14,FALSE),0)*Ontwerpberekening!J14),0))/Ontwerpberekening!$A$2</f>
        <v>0</v>
      </c>
      <c r="K13" s="9">
        <f>(IF(Ontwerpberekening!E14="Nieuwe Situatie",(_xlfn.IFNA(VLOOKUP(Ontwerp_MKI_Totaal[[#This Row],[Product]]&amp;", "&amp;Ontwerp_MKI_Totaal[[#Headers],[B1]],Database_Productkaarten[#All],14,FALSE),0)*Ontwerpberekening!J14),0))/Ontwerpberekening!$A$2</f>
        <v>0</v>
      </c>
      <c r="L13" s="9">
        <f>(IF(Ontwerpberekening!E14="Nieuwe Situatie",(_xlfn.IFNA(VLOOKUP(Ontwerp_MKI_Totaal[[#This Row],[Product]]&amp;", "&amp;Ontwerp_MKI_Totaal[[#Headers],[B3]],Database_Productkaarten[#All],14,FALSE),0)*Ontwerpberekening!J14),0))/Ontwerpberekening!$A$2</f>
        <v>0</v>
      </c>
      <c r="M13" s="9">
        <f>(IF(Ontwerpberekening!E14="Nieuwe Situatie",(SUM(Ontwerp_MKI_Totaal[[#This Row],[A1]:[B1]],Ontwerp_MKI_Totaal[[#This Row],[C1]:[D2]])*Ontwerpberekening!T14),0))</f>
        <v>0</v>
      </c>
      <c r="N13" s="9">
        <f>(IF(Ontwerpberekening!E14="Bestaande Situatie",(_xlfn.IFNA(VLOOKUP(Ontwerp_MKI_Totaal[[#This Row],[Product]]&amp;", "&amp;Ontwerp_MKI_Totaal[[#Headers],[C1]],Database_Productkaarten[#All],14,FALSE),0)*Ontwerpberekening!J14),0))/Ontwerpberekening!$A$2</f>
        <v>0.93799999999999994</v>
      </c>
      <c r="O13" s="9">
        <f>(IF(Ontwerpberekening!E14="Bestaande Situatie",(_xlfn.IFNA(VLOOKUP(Ontwerp_MKI_Totaal[[#This Row],[Product]]&amp;", "&amp;Ontwerp_MKI_Totaal[[#Headers],[C2]],Database_Productkaarten[#All],14,FALSE),0)*Ontwerpberekening!R14),0))/Ontwerpberekening!$A$2</f>
        <v>26.928374999999999</v>
      </c>
      <c r="P13" s="9">
        <f>(IF(Ontwerpberekening!E14="Bestaande Situatie",(_xlfn.IFNA(VLOOKUP(Ontwerp_MKI_Totaal[[#This Row],[Product]]&amp;", "&amp;Ontwerp_MKI_Totaal[[#Headers],[C3]],Database_Productkaarten[#All],14,FALSE),0)*Ontwerpberekening!J14),0))/Ontwerpberekening!$A$2</f>
        <v>0</v>
      </c>
      <c r="Q13" s="9">
        <f>(IF(Ontwerpberekening!E14="Bestaande Situatie",(_xlfn.IFNA(VLOOKUP(Ontwerp_MKI_Totaal[[#This Row],[Product]]&amp;", "&amp;Ontwerp_MKI_Totaal[[#Headers],[C4]],Database_Productkaarten[#All],14,FALSE),0)*Ontwerpberekening!J14),0))/Ontwerpberekening!$A$2</f>
        <v>0.27875</v>
      </c>
      <c r="R13" s="9">
        <f>(IF(Ontwerpberekening!E14="Bestaande Situatie",(_xlfn.IFNA(VLOOKUP(Ontwerp_MKI_Totaal[[#This Row],[Product]]&amp;", "&amp;Ontwerp_MKI_Totaal[[#Headers],[D1]],Database_Productkaarten[#All],14,FALSE),0)*Ontwerpberekening!J14),0))/Ontwerpberekening!$A$2</f>
        <v>0</v>
      </c>
      <c r="S13" s="32">
        <f>(IF(Ontwerpberekening!E14="Bestaande Situatie",(_xlfn.IFNA(VLOOKUP(Ontwerp_MKI_Totaal[[#This Row],[Product]]&amp;", "&amp;Ontwerp_MKI_Totaal[[#Headers],[D2]],Database_Productkaarten[#All],14,FALSE),0)*Ontwerpberekening!J14),0))/Ontwerpberekening!$A$2</f>
        <v>0</v>
      </c>
      <c r="T13" s="32">
        <f>(IF(Ontwerpberekening!E14="Bestaande Situatie",(_xlfn.IFNA(VLOOKUP(Ontwerp_MKI_Totaal[[#This Row],[Product]]&amp;", "&amp;Ontwerp_MKI_Totaal[[#Headers],[D]],Database_Productkaarten[#All],14,FALSE),0)*Ontwerpberekening!J14),0))/Ontwerpberekening!$A$2</f>
        <v>-19.923249999999999</v>
      </c>
      <c r="U13" s="9">
        <f>SUM(Ontwerp_MKI_Totaal[[#This Row],[A1-A3]:[C4]])+Ontwerp_MKI_Totaal[[#This Row],[D]]</f>
        <v>8.2218749999999972</v>
      </c>
      <c r="AC13"/>
      <c r="AD13"/>
      <c r="AE13"/>
      <c r="AF13"/>
      <c r="AG13"/>
      <c r="AH13"/>
      <c r="AI13"/>
      <c r="AJ13"/>
      <c r="AK13"/>
      <c r="AL13"/>
      <c r="AM13"/>
      <c r="AN13"/>
      <c r="AO13"/>
      <c r="AP13"/>
      <c r="AQ13"/>
      <c r="BJ13"/>
      <c r="BK13"/>
      <c r="BL13"/>
      <c r="BM13"/>
      <c r="BN13"/>
      <c r="BO13"/>
      <c r="BP13"/>
      <c r="BQ13"/>
      <c r="BR13"/>
      <c r="BS13"/>
      <c r="CH13"/>
      <c r="CI13"/>
      <c r="CJ13"/>
    </row>
    <row r="14" spans="2:120">
      <c r="B14" s="31" t="str">
        <f>Ontwerpberekening!B15</f>
        <v>Open Menggranulaat</v>
      </c>
      <c r="C14" s="31" t="str">
        <f>Ontwerpberekening!C15</f>
        <v>Toplaag</v>
      </c>
      <c r="D14" s="1" t="str">
        <f>Ontwerpberekening!G15</f>
        <v>Betonstraatsteen 210x105x80</v>
      </c>
      <c r="E14" s="9">
        <f>(IF(Ontwerpberekening!E15="Nieuwe Situatie",(_xlfn.IFNA(VLOOKUP(Ontwerp_MKI_Totaal[[#This Row],[Product]]&amp;", "&amp;Ontwerp_MKI_Totaal[[#Headers],[A1]],Database_Productkaarten[#All],14,FALSE),0)*Ontwerpberekening!J15),0))/Ontwerpberekening!$A$2</f>
        <v>0</v>
      </c>
      <c r="F14" s="9">
        <f>(IF(Ontwerpberekening!E15="Nieuwe Situatie",(_xlfn.IFNA(VLOOKUP(Ontwerp_MKI_Totaal[[#This Row],[Product]]&amp;", "&amp;Ontwerp_MKI_Totaal[[#Headers],[A2]],Database_Productkaarten[#All],14,FALSE),0)*Ontwerpberekening!J15),0))/Ontwerpberekening!$A$2</f>
        <v>0</v>
      </c>
      <c r="G14" s="9">
        <f>(IF(Ontwerpberekening!E15="Nieuwe Situatie",(_xlfn.IFNA(VLOOKUP(Ontwerp_MKI_Totaal[[#This Row],[Product]]&amp;", "&amp;Ontwerp_MKI_Totaal[[#Headers],[A3]],Database_Productkaarten[#All],14,FALSE),0)*Ontwerpberekening!J15),0))/Ontwerpberekening!$A$2</f>
        <v>0</v>
      </c>
      <c r="H14" s="9">
        <f>(IF(Ontwerpberekening!E15="Nieuwe Situatie",(_xlfn.IFNA(VLOOKUP(Ontwerp_MKI_Totaal[[#This Row],[Product]]&amp;", "&amp;Ontwerp_MKI_Totaal[[#Headers],[A1-A3]],Database_Productkaarten[#All],14,FALSE),0)*Ontwerpberekening!J15),0))/Ontwerpberekening!$A$2</f>
        <v>0</v>
      </c>
      <c r="I14" s="9">
        <f>(IF(Ontwerpberekening!E15="Nieuwe Situatie",(_xlfn.IFNA(VLOOKUP(Ontwerp_MKI_Totaal[[#This Row],[Product]]&amp;", "&amp;Ontwerp_MKI_Totaal[[#Headers],[A4]],Database_Productkaarten[#All],14,FALSE),0)*Ontwerpberekening!R15),0))/Ontwerpberekening!$A$2</f>
        <v>0</v>
      </c>
      <c r="J14" s="9">
        <f>(IF(Ontwerpberekening!E15="Nieuwe Situatie",(_xlfn.IFNA(VLOOKUP(Ontwerp_MKI_Totaal[[#This Row],[Product]]&amp;", "&amp;Ontwerp_MKI_Totaal[[#Headers],[A5]],Database_Productkaarten[#All],14,FALSE),0)*Ontwerpberekening!J15),0))/Ontwerpberekening!$A$2</f>
        <v>0</v>
      </c>
      <c r="K14" s="9">
        <f>(IF(Ontwerpberekening!E15="Nieuwe Situatie",(_xlfn.IFNA(VLOOKUP(Ontwerp_MKI_Totaal[[#This Row],[Product]]&amp;", "&amp;Ontwerp_MKI_Totaal[[#Headers],[B1]],Database_Productkaarten[#All],14,FALSE),0)*Ontwerpberekening!J15),0))/Ontwerpberekening!$A$2</f>
        <v>0</v>
      </c>
      <c r="L14" s="9">
        <f>(IF(Ontwerpberekening!E15="Nieuwe Situatie",(_xlfn.IFNA(VLOOKUP(Ontwerp_MKI_Totaal[[#This Row],[Product]]&amp;", "&amp;Ontwerp_MKI_Totaal[[#Headers],[B3]],Database_Productkaarten[#All],14,FALSE),0)*Ontwerpberekening!J15),0))/Ontwerpberekening!$A$2</f>
        <v>0</v>
      </c>
      <c r="M14" s="9">
        <f>(IF(Ontwerpberekening!E15="Nieuwe Situatie",(SUM(Ontwerp_MKI_Totaal[[#This Row],[A1]:[B1]],Ontwerp_MKI_Totaal[[#This Row],[C1]:[D2]])*Ontwerpberekening!T15),0))</f>
        <v>0</v>
      </c>
      <c r="N14" s="9">
        <f>(IF(Ontwerpberekening!E15="Bestaande Situatie",(_xlfn.IFNA(VLOOKUP(Ontwerp_MKI_Totaal[[#This Row],[Product]]&amp;", "&amp;Ontwerp_MKI_Totaal[[#Headers],[C1]],Database_Productkaarten[#All],14,FALSE),0)*Ontwerpberekening!J15),0))/Ontwerpberekening!$A$2</f>
        <v>39.375768999999998</v>
      </c>
      <c r="O14" s="9">
        <f>(IF(Ontwerpberekening!E15="Bestaande Situatie",(_xlfn.IFNA(VLOOKUP(Ontwerp_MKI_Totaal[[#This Row],[Product]]&amp;", "&amp;Ontwerp_MKI_Totaal[[#Headers],[C2]],Database_Productkaarten[#All],14,FALSE),0)*Ontwerpberekening!R15),0))/Ontwerpberekening!$A$2</f>
        <v>12.674071170000001</v>
      </c>
      <c r="P14" s="9">
        <f>(IF(Ontwerpberekening!E15="Bestaande Situatie",(_xlfn.IFNA(VLOOKUP(Ontwerp_MKI_Totaal[[#This Row],[Product]]&amp;", "&amp;Ontwerp_MKI_Totaal[[#Headers],[C3]],Database_Productkaarten[#All],14,FALSE),0)*Ontwerpberekening!J15),0))/Ontwerpberekening!$A$2</f>
        <v>14.404144500000001</v>
      </c>
      <c r="Q14" s="9">
        <f>(IF(Ontwerpberekening!E15="Bestaande Situatie",(_xlfn.IFNA(VLOOKUP(Ontwerp_MKI_Totaal[[#This Row],[Product]]&amp;", "&amp;Ontwerp_MKI_Totaal[[#Headers],[C4]],Database_Productkaarten[#All],14,FALSE),0)*Ontwerpberekening!J15),0))/Ontwerpberekening!$A$2</f>
        <v>0.65691955000000002</v>
      </c>
      <c r="R14" s="9">
        <f>(IF(Ontwerpberekening!E15="Bestaande Situatie",(_xlfn.IFNA(VLOOKUP(Ontwerp_MKI_Totaal[[#This Row],[Product]]&amp;", "&amp;Ontwerp_MKI_Totaal[[#Headers],[D1]],Database_Productkaarten[#All],14,FALSE),0)*Ontwerpberekening!J15),0))/Ontwerpberekening!$A$2</f>
        <v>0</v>
      </c>
      <c r="S14" s="32">
        <f>(IF(Ontwerpberekening!E15="Bestaande Situatie",(_xlfn.IFNA(VLOOKUP(Ontwerp_MKI_Totaal[[#This Row],[Product]]&amp;", "&amp;Ontwerp_MKI_Totaal[[#Headers],[D2]],Database_Productkaarten[#All],14,FALSE),0)*Ontwerpberekening!J15),0))/Ontwerpberekening!$A$2</f>
        <v>0</v>
      </c>
      <c r="T14" s="32">
        <f>(IF(Ontwerpberekening!E15="Bestaande Situatie",(_xlfn.IFNA(VLOOKUP(Ontwerp_MKI_Totaal[[#This Row],[Product]]&amp;", "&amp;Ontwerp_MKI_Totaal[[#Headers],[D]],Database_Productkaarten[#All],14,FALSE),0)*Ontwerpberekening!J15),0))/Ontwerpberekening!$A$2</f>
        <v>-47.231490000000001</v>
      </c>
      <c r="U14" s="9">
        <f>SUM(Ontwerp_MKI_Totaal[[#This Row],[A1-A3]:[C4]])+Ontwerp_MKI_Totaal[[#This Row],[D]]</f>
        <v>19.879414219999994</v>
      </c>
      <c r="AC14"/>
      <c r="AD14"/>
      <c r="AE14"/>
      <c r="AF14"/>
      <c r="AG14"/>
      <c r="AH14"/>
      <c r="AI14"/>
      <c r="AJ14"/>
      <c r="AK14"/>
      <c r="AL14"/>
      <c r="AM14"/>
      <c r="AN14"/>
      <c r="BJ14"/>
      <c r="BK14"/>
      <c r="BL14"/>
      <c r="BM14"/>
      <c r="BN14"/>
      <c r="BO14"/>
      <c r="BP14"/>
      <c r="BQ14"/>
      <c r="BR14"/>
      <c r="CH14"/>
      <c r="CI14"/>
      <c r="CJ14"/>
    </row>
    <row r="15" spans="2:120">
      <c r="B15" s="31" t="str">
        <f>Ontwerpberekening!B16</f>
        <v>Plastic kratten</v>
      </c>
      <c r="C15" s="31" t="str">
        <f>Ontwerpberekening!C16</f>
        <v>Grondontgraving</v>
      </c>
      <c r="D15" s="1" t="str">
        <f>Ontwerpberekening!G16</f>
        <v>Ophoogmateriaal (Grond)</v>
      </c>
      <c r="E15" s="9">
        <f>(IF(Ontwerpberekening!E16="Nieuwe Situatie",(_xlfn.IFNA(VLOOKUP(Ontwerp_MKI_Totaal[[#This Row],[Product]]&amp;", "&amp;Ontwerp_MKI_Totaal[[#Headers],[A1]],Database_Productkaarten[#All],14,FALSE),0)*Ontwerpberekening!J16),0))/Ontwerpberekening!$A$2</f>
        <v>0</v>
      </c>
      <c r="F15" s="9">
        <f>(IF(Ontwerpberekening!E16="Nieuwe Situatie",(_xlfn.IFNA(VLOOKUP(Ontwerp_MKI_Totaal[[#This Row],[Product]]&amp;", "&amp;Ontwerp_MKI_Totaal[[#Headers],[A2]],Database_Productkaarten[#All],14,FALSE),0)*Ontwerpberekening!J16),0))/Ontwerpberekening!$A$2</f>
        <v>0</v>
      </c>
      <c r="G15" s="9">
        <f>(IF(Ontwerpberekening!E16="Nieuwe Situatie",(_xlfn.IFNA(VLOOKUP(Ontwerp_MKI_Totaal[[#This Row],[Product]]&amp;", "&amp;Ontwerp_MKI_Totaal[[#Headers],[A3]],Database_Productkaarten[#All],14,FALSE),0)*Ontwerpberekening!J16),0))/Ontwerpberekening!$A$2</f>
        <v>0</v>
      </c>
      <c r="H15" s="9">
        <f>(IF(Ontwerpberekening!E16="Nieuwe Situatie",(_xlfn.IFNA(VLOOKUP(Ontwerp_MKI_Totaal[[#This Row],[Product]]&amp;", "&amp;Ontwerp_MKI_Totaal[[#Headers],[A1-A3]],Database_Productkaarten[#All],14,FALSE),0)*Ontwerpberekening!J16),0))/Ontwerpberekening!$A$2</f>
        <v>0</v>
      </c>
      <c r="I15" s="9">
        <f>(IF(Ontwerpberekening!E16="Nieuwe Situatie",(_xlfn.IFNA(VLOOKUP(Ontwerp_MKI_Totaal[[#This Row],[Product]]&amp;", "&amp;Ontwerp_MKI_Totaal[[#Headers],[A4]],Database_Productkaarten[#All],14,FALSE),0)*Ontwerpberekening!R16),0))/Ontwerpberekening!$A$2</f>
        <v>0</v>
      </c>
      <c r="J15" s="9">
        <f>(IF(Ontwerpberekening!E16="Nieuwe Situatie",(_xlfn.IFNA(VLOOKUP(Ontwerp_MKI_Totaal[[#This Row],[Product]]&amp;", "&amp;Ontwerp_MKI_Totaal[[#Headers],[A5]],Database_Productkaarten[#All],14,FALSE),0)*Ontwerpberekening!J16),0))/Ontwerpberekening!$A$2</f>
        <v>0</v>
      </c>
      <c r="K15" s="9">
        <f>(IF(Ontwerpberekening!E16="Nieuwe Situatie",(_xlfn.IFNA(VLOOKUP(Ontwerp_MKI_Totaal[[#This Row],[Product]]&amp;", "&amp;Ontwerp_MKI_Totaal[[#Headers],[B1]],Database_Productkaarten[#All],14,FALSE),0)*Ontwerpberekening!J16),0))/Ontwerpberekening!$A$2</f>
        <v>0</v>
      </c>
      <c r="L15" s="9">
        <f>(IF(Ontwerpberekening!E16="Nieuwe Situatie",(_xlfn.IFNA(VLOOKUP(Ontwerp_MKI_Totaal[[#This Row],[Product]]&amp;", "&amp;Ontwerp_MKI_Totaal[[#Headers],[B3]],Database_Productkaarten[#All],14,FALSE),0)*Ontwerpberekening!J16),0))/Ontwerpberekening!$A$2</f>
        <v>0</v>
      </c>
      <c r="M15" s="9">
        <f>(IF(Ontwerpberekening!E16="Nieuwe Situatie",(SUM(Ontwerp_MKI_Totaal[[#This Row],[A1]:[B1]],Ontwerp_MKI_Totaal[[#This Row],[C1]:[D2]])*Ontwerpberekening!T16),0))</f>
        <v>0</v>
      </c>
      <c r="N15" s="9">
        <f>(IF(Ontwerpberekening!E16="Bestaande Situatie",(_xlfn.IFNA(VLOOKUP(Ontwerp_MKI_Totaal[[#This Row],[Product]]&amp;", "&amp;Ontwerp_MKI_Totaal[[#Headers],[C1]],Database_Productkaarten[#All],14,FALSE),0)*Ontwerpberekening!J16),0))/Ontwerpberekening!$A$2</f>
        <v>35.2408</v>
      </c>
      <c r="O15" s="9">
        <f>(IF(Ontwerpberekening!E16="Bestaande Situatie",(_xlfn.IFNA(VLOOKUP(Ontwerp_MKI_Totaal[[#This Row],[Product]]&amp;", "&amp;Ontwerp_MKI_Totaal[[#Headers],[C2]],Database_Productkaarten[#All],14,FALSE),0)*Ontwerpberekening!R16),0))/Ontwerpberekening!$A$2</f>
        <v>619.4267625</v>
      </c>
      <c r="P15" s="9">
        <f>(IF(Ontwerpberekening!E16="Bestaande Situatie",(_xlfn.IFNA(VLOOKUP(Ontwerp_MKI_Totaal[[#This Row],[Product]]&amp;", "&amp;Ontwerp_MKI_Totaal[[#Headers],[C3]],Database_Productkaarten[#All],14,FALSE),0)*Ontwerpberekening!J16),0))/Ontwerpberekening!$A$2</f>
        <v>0</v>
      </c>
      <c r="Q15" s="9">
        <f>(IF(Ontwerpberekening!E16="Bestaande Situatie",(_xlfn.IFNA(VLOOKUP(Ontwerp_MKI_Totaal[[#This Row],[Product]]&amp;", "&amp;Ontwerp_MKI_Totaal[[#Headers],[C4]],Database_Productkaarten[#All],14,FALSE),0)*Ontwerpberekening!J16),0))/Ontwerpberekening!$A$2</f>
        <v>5.9192</v>
      </c>
      <c r="R15" s="9">
        <f>(IF(Ontwerpberekening!E16="Bestaande Situatie",(_xlfn.IFNA(VLOOKUP(Ontwerp_MKI_Totaal[[#This Row],[Product]]&amp;", "&amp;Ontwerp_MKI_Totaal[[#Headers],[D1]],Database_Productkaarten[#All],14,FALSE),0)*Ontwerpberekening!J16),0))/Ontwerpberekening!$A$2</f>
        <v>0</v>
      </c>
      <c r="S15" s="32">
        <f>(IF(Ontwerpberekening!E16="Bestaande Situatie",(_xlfn.IFNA(VLOOKUP(Ontwerp_MKI_Totaal[[#This Row],[Product]]&amp;", "&amp;Ontwerp_MKI_Totaal[[#Headers],[D2]],Database_Productkaarten[#All],14,FALSE),0)*Ontwerpberekening!J16),0))/Ontwerpberekening!$A$2</f>
        <v>0</v>
      </c>
      <c r="T15" s="32">
        <f>(IF(Ontwerpberekening!E16="Bestaande Situatie",(_xlfn.IFNA(VLOOKUP(Ontwerp_MKI_Totaal[[#This Row],[Product]]&amp;", "&amp;Ontwerp_MKI_Totaal[[#Headers],[D]],Database_Productkaarten[#All],14,FALSE),0)*Ontwerpberekening!J16),0))/Ontwerpberekening!$A$2</f>
        <v>0</v>
      </c>
      <c r="U15" s="9">
        <f>SUM(Ontwerp_MKI_Totaal[[#This Row],[A1-A3]:[C4]])+Ontwerp_MKI_Totaal[[#This Row],[D]]</f>
        <v>660.58676250000008</v>
      </c>
      <c r="AC15"/>
      <c r="AD15"/>
      <c r="AE15"/>
      <c r="AF15"/>
      <c r="AG15"/>
      <c r="AH15"/>
      <c r="AI15"/>
      <c r="AJ15"/>
      <c r="AK15"/>
      <c r="AL15"/>
      <c r="AM15"/>
      <c r="AN15"/>
      <c r="BJ15"/>
      <c r="BK15"/>
      <c r="BL15"/>
      <c r="BM15"/>
      <c r="BN15"/>
      <c r="BO15"/>
      <c r="BP15"/>
      <c r="BQ15"/>
      <c r="BR15"/>
      <c r="CH15"/>
      <c r="CI15"/>
      <c r="CJ15"/>
    </row>
    <row r="16" spans="2:120">
      <c r="B16" s="31" t="str">
        <f>Ontwerpberekening!B17</f>
        <v>Plastic kratten</v>
      </c>
      <c r="C16" s="31" t="str">
        <f>Ontwerpberekening!C17</f>
        <v>Grondverbetering</v>
      </c>
      <c r="D16" s="1" t="str">
        <f>Ontwerpberekening!G17</f>
        <v>Ophoogmateriaal (Zand)</v>
      </c>
      <c r="E16" s="9">
        <f>(IF(Ontwerpberekening!E17="Nieuwe Situatie",(_xlfn.IFNA(VLOOKUP(Ontwerp_MKI_Totaal[[#This Row],[Product]]&amp;", "&amp;Ontwerp_MKI_Totaal[[#Headers],[A1]],Database_Productkaarten[#All],14,FALSE),0)*Ontwerpberekening!J17),0))/Ontwerpberekening!$A$2</f>
        <v>0</v>
      </c>
      <c r="F16" s="9">
        <f>(IF(Ontwerpberekening!E17="Nieuwe Situatie",(_xlfn.IFNA(VLOOKUP(Ontwerp_MKI_Totaal[[#This Row],[Product]]&amp;", "&amp;Ontwerp_MKI_Totaal[[#Headers],[A2]],Database_Productkaarten[#All],14,FALSE),0)*Ontwerpberekening!J17),0))/Ontwerpberekening!$A$2</f>
        <v>0</v>
      </c>
      <c r="G16" s="9">
        <f>(IF(Ontwerpberekening!E17="Nieuwe Situatie",(_xlfn.IFNA(VLOOKUP(Ontwerp_MKI_Totaal[[#This Row],[Product]]&amp;", "&amp;Ontwerp_MKI_Totaal[[#Headers],[A3]],Database_Productkaarten[#All],14,FALSE),0)*Ontwerpberekening!J17),0))/Ontwerpberekening!$A$2</f>
        <v>0</v>
      </c>
      <c r="H16" s="9">
        <f>(IF(Ontwerpberekening!E17="Nieuwe Situatie",(_xlfn.IFNA(VLOOKUP(Ontwerp_MKI_Totaal[[#This Row],[Product]]&amp;", "&amp;Ontwerp_MKI_Totaal[[#Headers],[A1-A3]],Database_Productkaarten[#All],14,FALSE),0)*Ontwerpberekening!J17),0))/Ontwerpberekening!$A$2</f>
        <v>56.060500000000005</v>
      </c>
      <c r="I16" s="9">
        <f>(IF(Ontwerpberekening!E17="Nieuwe Situatie",(_xlfn.IFNA(VLOOKUP(Ontwerp_MKI_Totaal[[#This Row],[Product]]&amp;", "&amp;Ontwerp_MKI_Totaal[[#Headers],[A4]],Database_Productkaarten[#All],14,FALSE),0)*Ontwerpberekening!R17),0))/Ontwerpberekening!$A$2</f>
        <v>26.661749999999998</v>
      </c>
      <c r="J16" s="9">
        <f>(IF(Ontwerpberekening!E17="Nieuwe Situatie",(_xlfn.IFNA(VLOOKUP(Ontwerp_MKI_Totaal[[#This Row],[Product]]&amp;", "&amp;Ontwerp_MKI_Totaal[[#Headers],[A5]],Database_Productkaarten[#All],14,FALSE),0)*Ontwerpberekening!J17),0))/Ontwerpberekening!$A$2</f>
        <v>5.5685000000000002</v>
      </c>
      <c r="K16" s="9">
        <f>(IF(Ontwerpberekening!E17="Nieuwe Situatie",(_xlfn.IFNA(VLOOKUP(Ontwerp_MKI_Totaal[[#This Row],[Product]]&amp;", "&amp;Ontwerp_MKI_Totaal[[#Headers],[B1]],Database_Productkaarten[#All],14,FALSE),0)*Ontwerpberekening!J17),0))/Ontwerpberekening!$A$2</f>
        <v>0</v>
      </c>
      <c r="L16" s="9">
        <f>(IF(Ontwerpberekening!E17="Nieuwe Situatie",(_xlfn.IFNA(VLOOKUP(Ontwerp_MKI_Totaal[[#This Row],[Product]]&amp;", "&amp;Ontwerp_MKI_Totaal[[#Headers],[B3]],Database_Productkaarten[#All],14,FALSE),0)*Ontwerpberekening!J17),0))/Ontwerpberekening!$A$2</f>
        <v>0</v>
      </c>
      <c r="M16" s="9">
        <f>(IF(Ontwerpberekening!E17="Nieuwe Situatie",(SUM(Ontwerp_MKI_Totaal[[#This Row],[A1]:[B1]],Ontwerp_MKI_Totaal[[#This Row],[C1]:[D2]])*Ontwerpberekening!T17),0))</f>
        <v>0</v>
      </c>
      <c r="N16" s="9">
        <f>(IF(Ontwerpberekening!E17="Bestaande Situatie",(_xlfn.IFNA(VLOOKUP(Ontwerp_MKI_Totaal[[#This Row],[Product]]&amp;", "&amp;Ontwerp_MKI_Totaal[[#Headers],[C1]],Database_Productkaarten[#All],14,FALSE),0)*Ontwerpberekening!J17),0))/Ontwerpberekening!$A$2</f>
        <v>0</v>
      </c>
      <c r="O16" s="9">
        <f>(IF(Ontwerpberekening!E17="Bestaande Situatie",(_xlfn.IFNA(VLOOKUP(Ontwerp_MKI_Totaal[[#This Row],[Product]]&amp;", "&amp;Ontwerp_MKI_Totaal[[#Headers],[C2]],Database_Productkaarten[#All],14,FALSE),0)*Ontwerpberekening!R17),0))/Ontwerpberekening!$A$2</f>
        <v>0</v>
      </c>
      <c r="P16" s="9">
        <f>(IF(Ontwerpberekening!E17="Bestaande Situatie",(_xlfn.IFNA(VLOOKUP(Ontwerp_MKI_Totaal[[#This Row],[Product]]&amp;", "&amp;Ontwerp_MKI_Totaal[[#Headers],[C3]],Database_Productkaarten[#All],14,FALSE),0)*Ontwerpberekening!J17),0))/Ontwerpberekening!$A$2</f>
        <v>0</v>
      </c>
      <c r="Q16" s="9">
        <f>(IF(Ontwerpberekening!E17="Bestaande Situatie",(_xlfn.IFNA(VLOOKUP(Ontwerp_MKI_Totaal[[#This Row],[Product]]&amp;", "&amp;Ontwerp_MKI_Totaal[[#Headers],[C4]],Database_Productkaarten[#All],14,FALSE),0)*Ontwerpberekening!J17),0))/Ontwerpberekening!$A$2</f>
        <v>0</v>
      </c>
      <c r="R16" s="9">
        <f>(IF(Ontwerpberekening!E17="Bestaande Situatie",(_xlfn.IFNA(VLOOKUP(Ontwerp_MKI_Totaal[[#This Row],[Product]]&amp;", "&amp;Ontwerp_MKI_Totaal[[#Headers],[D1]],Database_Productkaarten[#All],14,FALSE),0)*Ontwerpberekening!J17),0))/Ontwerpberekening!$A$2</f>
        <v>0</v>
      </c>
      <c r="S16" s="32">
        <f>(IF(Ontwerpberekening!E17="Bestaande Situatie",(_xlfn.IFNA(VLOOKUP(Ontwerp_MKI_Totaal[[#This Row],[Product]]&amp;", "&amp;Ontwerp_MKI_Totaal[[#Headers],[D2]],Database_Productkaarten[#All],14,FALSE),0)*Ontwerpberekening!J17),0))/Ontwerpberekening!$A$2</f>
        <v>0</v>
      </c>
      <c r="T16" s="32">
        <f>(IF(Ontwerpberekening!E17="Bestaande Situatie",(_xlfn.IFNA(VLOOKUP(Ontwerp_MKI_Totaal[[#This Row],[Product]]&amp;", "&amp;Ontwerp_MKI_Totaal[[#Headers],[D]],Database_Productkaarten[#All],14,FALSE),0)*Ontwerpberekening!J17),0))/Ontwerpberekening!$A$2</f>
        <v>0</v>
      </c>
      <c r="U16" s="9">
        <f>SUM(Ontwerp_MKI_Totaal[[#This Row],[A1-A3]:[C4]])+Ontwerp_MKI_Totaal[[#This Row],[D]]</f>
        <v>88.290750000000003</v>
      </c>
      <c r="AC16"/>
      <c r="AD16"/>
      <c r="AE16"/>
      <c r="AF16"/>
      <c r="AG16"/>
      <c r="AH16"/>
      <c r="AI16"/>
      <c r="AJ16"/>
      <c r="AK16"/>
      <c r="AL16"/>
      <c r="AM16"/>
      <c r="AN16"/>
      <c r="BJ16"/>
      <c r="BK16"/>
      <c r="BL16"/>
      <c r="BM16"/>
      <c r="BN16"/>
      <c r="BO16"/>
      <c r="BP16"/>
      <c r="BQ16"/>
      <c r="BR16"/>
      <c r="CH16"/>
      <c r="CI16"/>
      <c r="CJ16"/>
    </row>
    <row r="17" spans="2:88">
      <c r="B17" s="31" t="str">
        <f>Ontwerpberekening!B18</f>
        <v>Plastic kratten</v>
      </c>
      <c r="C17" s="31" t="str">
        <f>Ontwerpberekening!C18</f>
        <v>Waterbergendelaag</v>
      </c>
      <c r="D17" s="1" t="str">
        <f>Ontwerpberekening!G18</f>
        <v>Kunststof Inflitratiekrat</v>
      </c>
      <c r="E17" s="9">
        <f>(IF(Ontwerpberekening!E18="Nieuwe Situatie",(_xlfn.IFNA(VLOOKUP(Ontwerp_MKI_Totaal[[#This Row],[Product]]&amp;", "&amp;Ontwerp_MKI_Totaal[[#Headers],[A1]],Database_Productkaarten[#All],14,FALSE),0)*Ontwerpberekening!J18),0))/Ontwerpberekening!$A$2</f>
        <v>0</v>
      </c>
      <c r="F17" s="9">
        <f>(IF(Ontwerpberekening!E18="Nieuwe Situatie",(_xlfn.IFNA(VLOOKUP(Ontwerp_MKI_Totaal[[#This Row],[Product]]&amp;", "&amp;Ontwerp_MKI_Totaal[[#Headers],[A2]],Database_Productkaarten[#All],14,FALSE),0)*Ontwerpberekening!J18),0))/Ontwerpberekening!$A$2</f>
        <v>0</v>
      </c>
      <c r="G17" s="9">
        <f>(IF(Ontwerpberekening!E18="Nieuwe Situatie",(_xlfn.IFNA(VLOOKUP(Ontwerp_MKI_Totaal[[#This Row],[Product]]&amp;", "&amp;Ontwerp_MKI_Totaal[[#Headers],[A3]],Database_Productkaarten[#All],14,FALSE),0)*Ontwerpberekening!J18),0))/Ontwerpberekening!$A$2</f>
        <v>0</v>
      </c>
      <c r="H17" s="9">
        <f>(IF(Ontwerpberekening!E18="Nieuwe Situatie",(_xlfn.IFNA(VLOOKUP(Ontwerp_MKI_Totaal[[#This Row],[Product]]&amp;", "&amp;Ontwerp_MKI_Totaal[[#Headers],[A1-A3]],Database_Productkaarten[#All],14,FALSE),0)*Ontwerpberekening!J18),0))/Ontwerpberekening!$A$2</f>
        <v>2356.5</v>
      </c>
      <c r="I17" s="9">
        <f>(IF(Ontwerpberekening!E18="Nieuwe Situatie",(_xlfn.IFNA(VLOOKUP(Ontwerp_MKI_Totaal[[#This Row],[Product]]&amp;", "&amp;Ontwerp_MKI_Totaal[[#Headers],[A4]],Database_Productkaarten[#All],14,FALSE),0)*Ontwerpberekening!R18),0))/Ontwerpberekening!$A$2</f>
        <v>0.23800000000000002</v>
      </c>
      <c r="J17" s="9">
        <f>(IF(Ontwerpberekening!E18="Nieuwe Situatie",(_xlfn.IFNA(VLOOKUP(Ontwerp_MKI_Totaal[[#This Row],[Product]]&amp;", "&amp;Ontwerp_MKI_Totaal[[#Headers],[A5]],Database_Productkaarten[#All],14,FALSE),0)*Ontwerpberekening!J18),0))/Ontwerpberekening!$A$2</f>
        <v>332</v>
      </c>
      <c r="K17" s="9">
        <f>(IF(Ontwerpberekening!E18="Nieuwe Situatie",(_xlfn.IFNA(VLOOKUP(Ontwerp_MKI_Totaal[[#This Row],[Product]]&amp;", "&amp;Ontwerp_MKI_Totaal[[#Headers],[B1]],Database_Productkaarten[#All],14,FALSE),0)*Ontwerpberekening!J18),0))/Ontwerpberekening!$A$2</f>
        <v>0</v>
      </c>
      <c r="L17" s="9">
        <f>(IF(Ontwerpberekening!E18="Nieuwe Situatie",(_xlfn.IFNA(VLOOKUP(Ontwerp_MKI_Totaal[[#This Row],[Product]]&amp;", "&amp;Ontwerp_MKI_Totaal[[#Headers],[B3]],Database_Productkaarten[#All],14,FALSE),0)*Ontwerpberekening!J18),0))/Ontwerpberekening!$A$2</f>
        <v>0</v>
      </c>
      <c r="M17" s="9">
        <f>(IF(Ontwerpberekening!E18="Nieuwe Situatie",(SUM(Ontwerp_MKI_Totaal[[#This Row],[A1]:[B1]],Ontwerp_MKI_Totaal[[#This Row],[C1]:[D2]])*Ontwerpberekening!T18),0))</f>
        <v>0</v>
      </c>
      <c r="N17" s="9">
        <f>(IF(Ontwerpberekening!E18="Bestaande Situatie",(_xlfn.IFNA(VLOOKUP(Ontwerp_MKI_Totaal[[#This Row],[Product]]&amp;", "&amp;Ontwerp_MKI_Totaal[[#Headers],[C1]],Database_Productkaarten[#All],14,FALSE),0)*Ontwerpberekening!J18),0))/Ontwerpberekening!$A$2</f>
        <v>0</v>
      </c>
      <c r="O17" s="9">
        <f>(IF(Ontwerpberekening!E18="Bestaande Situatie",(_xlfn.IFNA(VLOOKUP(Ontwerp_MKI_Totaal[[#This Row],[Product]]&amp;", "&amp;Ontwerp_MKI_Totaal[[#Headers],[C2]],Database_Productkaarten[#All],14,FALSE),0)*Ontwerpberekening!R18),0))/Ontwerpberekening!$A$2</f>
        <v>0</v>
      </c>
      <c r="P17" s="9">
        <f>(IF(Ontwerpberekening!E18="Bestaande Situatie",(_xlfn.IFNA(VLOOKUP(Ontwerp_MKI_Totaal[[#This Row],[Product]]&amp;", "&amp;Ontwerp_MKI_Totaal[[#Headers],[C3]],Database_Productkaarten[#All],14,FALSE),0)*Ontwerpberekening!J18),0))/Ontwerpberekening!$A$2</f>
        <v>0</v>
      </c>
      <c r="Q17" s="9">
        <f>(IF(Ontwerpberekening!E18="Bestaande Situatie",(_xlfn.IFNA(VLOOKUP(Ontwerp_MKI_Totaal[[#This Row],[Product]]&amp;", "&amp;Ontwerp_MKI_Totaal[[#Headers],[C4]],Database_Productkaarten[#All],14,FALSE),0)*Ontwerpberekening!J18),0))/Ontwerpberekening!$A$2</f>
        <v>0</v>
      </c>
      <c r="R17" s="9">
        <f>(IF(Ontwerpberekening!E18="Bestaande Situatie",(_xlfn.IFNA(VLOOKUP(Ontwerp_MKI_Totaal[[#This Row],[Product]]&amp;", "&amp;Ontwerp_MKI_Totaal[[#Headers],[D1]],Database_Productkaarten[#All],14,FALSE),0)*Ontwerpberekening!J18),0))/Ontwerpberekening!$A$2</f>
        <v>0</v>
      </c>
      <c r="S17" s="32">
        <f>(IF(Ontwerpberekening!E18="Bestaande Situatie",(_xlfn.IFNA(VLOOKUP(Ontwerp_MKI_Totaal[[#This Row],[Product]]&amp;", "&amp;Ontwerp_MKI_Totaal[[#Headers],[D2]],Database_Productkaarten[#All],14,FALSE),0)*Ontwerpberekening!J18),0))/Ontwerpberekening!$A$2</f>
        <v>0</v>
      </c>
      <c r="T17" s="32">
        <f>(IF(Ontwerpberekening!E18="Bestaande Situatie",(_xlfn.IFNA(VLOOKUP(Ontwerp_MKI_Totaal[[#This Row],[Product]]&amp;", "&amp;Ontwerp_MKI_Totaal[[#Headers],[D]],Database_Productkaarten[#All],14,FALSE),0)*Ontwerpberekening!J18),0))/Ontwerpberekening!$A$2</f>
        <v>0</v>
      </c>
      <c r="U17" s="9">
        <f>SUM(Ontwerp_MKI_Totaal[[#This Row],[A1-A3]:[C4]])+Ontwerp_MKI_Totaal[[#This Row],[D]]</f>
        <v>2688.7379999999998</v>
      </c>
      <c r="AC17"/>
      <c r="AD17"/>
      <c r="AE17"/>
      <c r="AF17"/>
      <c r="AG17"/>
      <c r="AH17"/>
      <c r="AI17"/>
      <c r="AJ17"/>
      <c r="AK17"/>
      <c r="AL17"/>
      <c r="AM17"/>
      <c r="AN17"/>
      <c r="BJ17"/>
      <c r="BK17"/>
      <c r="BL17"/>
      <c r="BM17"/>
      <c r="BN17"/>
      <c r="BO17"/>
      <c r="BP17"/>
      <c r="BQ17"/>
      <c r="BR17"/>
      <c r="CH17"/>
      <c r="CI17"/>
      <c r="CJ17"/>
    </row>
    <row r="18" spans="2:88">
      <c r="B18" s="31" t="str">
        <f>Ontwerpberekening!B19</f>
        <v>Plastic kratten</v>
      </c>
      <c r="C18" s="31" t="str">
        <f>Ontwerpberekening!C19</f>
        <v>Menggranulaat</v>
      </c>
      <c r="D18" s="1" t="str">
        <f>Ontwerpberekening!G19</f>
        <v>Menggranulaat 300mm</v>
      </c>
      <c r="E18" s="9">
        <f>(IF(Ontwerpberekening!E19="Nieuwe Situatie",(_xlfn.IFNA(VLOOKUP(Ontwerp_MKI_Totaal[[#This Row],[Product]]&amp;", "&amp;Ontwerp_MKI_Totaal[[#Headers],[A1]],Database_Productkaarten[#All],14,FALSE),0)*Ontwerpberekening!J19),0))/Ontwerpberekening!$A$2</f>
        <v>0</v>
      </c>
      <c r="F18" s="9">
        <f>(IF(Ontwerpberekening!E19="Nieuwe Situatie",(_xlfn.IFNA(VLOOKUP(Ontwerp_MKI_Totaal[[#This Row],[Product]]&amp;", "&amp;Ontwerp_MKI_Totaal[[#Headers],[A2]],Database_Productkaarten[#All],14,FALSE),0)*Ontwerpberekening!J19),0))/Ontwerpberekening!$A$2</f>
        <v>0</v>
      </c>
      <c r="G18" s="9">
        <f>(IF(Ontwerpberekening!E19="Nieuwe Situatie",(_xlfn.IFNA(VLOOKUP(Ontwerp_MKI_Totaal[[#This Row],[Product]]&amp;", "&amp;Ontwerp_MKI_Totaal[[#Headers],[A3]],Database_Productkaarten[#All],14,FALSE),0)*Ontwerpberekening!J19),0))/Ontwerpberekening!$A$2</f>
        <v>0</v>
      </c>
      <c r="H18" s="9">
        <f>(IF(Ontwerpberekening!E19="Nieuwe Situatie",(_xlfn.IFNA(VLOOKUP(Ontwerp_MKI_Totaal[[#This Row],[Product]]&amp;", "&amp;Ontwerp_MKI_Totaal[[#Headers],[A1-A3]],Database_Productkaarten[#All],14,FALSE),0)*Ontwerpberekening!J19),0))/Ontwerpberekening!$A$2</f>
        <v>0</v>
      </c>
      <c r="I18" s="9">
        <f>(IF(Ontwerpberekening!E19="Nieuwe Situatie",(_xlfn.IFNA(VLOOKUP(Ontwerp_MKI_Totaal[[#This Row],[Product]]&amp;", "&amp;Ontwerp_MKI_Totaal[[#Headers],[A4]],Database_Productkaarten[#All],14,FALSE),0)*Ontwerpberekening!R19),0))/Ontwerpberekening!$A$2</f>
        <v>81.885374999999996</v>
      </c>
      <c r="J18" s="9">
        <f>(IF(Ontwerpberekening!E19="Nieuwe Situatie",(_xlfn.IFNA(VLOOKUP(Ontwerp_MKI_Totaal[[#This Row],[Product]]&amp;", "&amp;Ontwerp_MKI_Totaal[[#Headers],[A5]],Database_Productkaarten[#All],14,FALSE),0)*Ontwerpberekening!J19),0))/Ontwerpberekening!$A$2</f>
        <v>94.015000000000001</v>
      </c>
      <c r="K18" s="9">
        <f>(IF(Ontwerpberekening!E19="Nieuwe Situatie",(_xlfn.IFNA(VLOOKUP(Ontwerp_MKI_Totaal[[#This Row],[Product]]&amp;", "&amp;Ontwerp_MKI_Totaal[[#Headers],[B1]],Database_Productkaarten[#All],14,FALSE),0)*Ontwerpberekening!J19),0))/Ontwerpberekening!$A$2</f>
        <v>20.62</v>
      </c>
      <c r="L18" s="9">
        <f>(IF(Ontwerpberekening!E19="Nieuwe Situatie",(_xlfn.IFNA(VLOOKUP(Ontwerp_MKI_Totaal[[#This Row],[Product]]&amp;", "&amp;Ontwerp_MKI_Totaal[[#Headers],[B3]],Database_Productkaarten[#All],14,FALSE),0)*Ontwerpberekening!J19),0))/Ontwerpberekening!$A$2</f>
        <v>0</v>
      </c>
      <c r="M18" s="9">
        <f>(IF(Ontwerpberekening!E19="Nieuwe Situatie",(SUM(Ontwerp_MKI_Totaal[[#This Row],[A1]:[B1]],Ontwerp_MKI_Totaal[[#This Row],[C1]:[D2]])*Ontwerpberekening!T19),0))</f>
        <v>0</v>
      </c>
      <c r="N18" s="9">
        <f>(IF(Ontwerpberekening!E19="Bestaande Situatie",(_xlfn.IFNA(VLOOKUP(Ontwerp_MKI_Totaal[[#This Row],[Product]]&amp;", "&amp;Ontwerp_MKI_Totaal[[#Headers],[C1]],Database_Productkaarten[#All],14,FALSE),0)*Ontwerpberekening!J19),0))/Ontwerpberekening!$A$2</f>
        <v>0</v>
      </c>
      <c r="O18" s="9">
        <f>(IF(Ontwerpberekening!E19="Bestaande Situatie",(_xlfn.IFNA(VLOOKUP(Ontwerp_MKI_Totaal[[#This Row],[Product]]&amp;", "&amp;Ontwerp_MKI_Totaal[[#Headers],[C2]],Database_Productkaarten[#All],14,FALSE),0)*Ontwerpberekening!R19),0))/Ontwerpberekening!$A$2</f>
        <v>0</v>
      </c>
      <c r="P18" s="9">
        <f>(IF(Ontwerpberekening!E19="Bestaande Situatie",(_xlfn.IFNA(VLOOKUP(Ontwerp_MKI_Totaal[[#This Row],[Product]]&amp;", "&amp;Ontwerp_MKI_Totaal[[#Headers],[C3]],Database_Productkaarten[#All],14,FALSE),0)*Ontwerpberekening!J19),0))/Ontwerpberekening!$A$2</f>
        <v>0</v>
      </c>
      <c r="Q18" s="9">
        <f>(IF(Ontwerpberekening!E19="Bestaande Situatie",(_xlfn.IFNA(VLOOKUP(Ontwerp_MKI_Totaal[[#This Row],[Product]]&amp;", "&amp;Ontwerp_MKI_Totaal[[#Headers],[C4]],Database_Productkaarten[#All],14,FALSE),0)*Ontwerpberekening!J19),0))/Ontwerpberekening!$A$2</f>
        <v>0</v>
      </c>
      <c r="R18" s="9">
        <f>(IF(Ontwerpberekening!E19="Bestaande Situatie",(_xlfn.IFNA(VLOOKUP(Ontwerp_MKI_Totaal[[#This Row],[Product]]&amp;", "&amp;Ontwerp_MKI_Totaal[[#Headers],[D1]],Database_Productkaarten[#All],14,FALSE),0)*Ontwerpberekening!J19),0))/Ontwerpberekening!$A$2</f>
        <v>0</v>
      </c>
      <c r="S18" s="32">
        <f>(IF(Ontwerpberekening!E19="Bestaande Situatie",(_xlfn.IFNA(VLOOKUP(Ontwerp_MKI_Totaal[[#This Row],[Product]]&amp;", "&amp;Ontwerp_MKI_Totaal[[#Headers],[D2]],Database_Productkaarten[#All],14,FALSE),0)*Ontwerpberekening!J19),0))/Ontwerpberekening!$A$2</f>
        <v>0</v>
      </c>
      <c r="T18" s="32">
        <f>(IF(Ontwerpberekening!E19="Bestaande Situatie",(_xlfn.IFNA(VLOOKUP(Ontwerp_MKI_Totaal[[#This Row],[Product]]&amp;", "&amp;Ontwerp_MKI_Totaal[[#Headers],[D]],Database_Productkaarten[#All],14,FALSE),0)*Ontwerpberekening!J19),0))/Ontwerpberekening!$A$2</f>
        <v>0</v>
      </c>
      <c r="U18" s="9">
        <f>SUM(Ontwerp_MKI_Totaal[[#This Row],[A1-A3]:[C4]])+Ontwerp_MKI_Totaal[[#This Row],[D]]</f>
        <v>196.520375</v>
      </c>
      <c r="AC18"/>
      <c r="AD18"/>
      <c r="AE18"/>
      <c r="AF18"/>
      <c r="AG18"/>
      <c r="AH18"/>
      <c r="AI18"/>
      <c r="AJ18"/>
      <c r="AK18"/>
      <c r="AL18"/>
      <c r="AM18"/>
      <c r="AN18"/>
      <c r="BJ18"/>
      <c r="BK18"/>
      <c r="BL18"/>
      <c r="BM18"/>
      <c r="BN18"/>
      <c r="BO18"/>
      <c r="BP18"/>
      <c r="BQ18"/>
      <c r="BR18"/>
      <c r="CH18"/>
      <c r="CI18"/>
      <c r="CJ18"/>
    </row>
    <row r="19" spans="2:88">
      <c r="B19" s="31" t="str">
        <f>Ontwerpberekening!B20</f>
        <v>Plastic kratten</v>
      </c>
      <c r="C19" s="31" t="str">
        <f>Ontwerpberekening!C20</f>
        <v>Straatlaag</v>
      </c>
      <c r="D19" s="1" t="str">
        <f>Ontwerpberekening!G20</f>
        <v>Ophoogmateriaal (Zand)</v>
      </c>
      <c r="E19" s="9">
        <f>(IF(Ontwerpberekening!E20="Nieuwe Situatie",(_xlfn.IFNA(VLOOKUP(Ontwerp_MKI_Totaal[[#This Row],[Product]]&amp;", "&amp;Ontwerp_MKI_Totaal[[#Headers],[A1]],Database_Productkaarten[#All],14,FALSE),0)*Ontwerpberekening!J20),0))/Ontwerpberekening!$A$2</f>
        <v>0</v>
      </c>
      <c r="F19" s="9">
        <f>(IF(Ontwerpberekening!E20="Nieuwe Situatie",(_xlfn.IFNA(VLOOKUP(Ontwerp_MKI_Totaal[[#This Row],[Product]]&amp;", "&amp;Ontwerp_MKI_Totaal[[#Headers],[A2]],Database_Productkaarten[#All],14,FALSE),0)*Ontwerpberekening!J20),0))/Ontwerpberekening!$A$2</f>
        <v>0</v>
      </c>
      <c r="G19" s="9">
        <f>(IF(Ontwerpberekening!E20="Nieuwe Situatie",(_xlfn.IFNA(VLOOKUP(Ontwerp_MKI_Totaal[[#This Row],[Product]]&amp;", "&amp;Ontwerp_MKI_Totaal[[#Headers],[A3]],Database_Productkaarten[#All],14,FALSE),0)*Ontwerpberekening!J20),0))/Ontwerpberekening!$A$2</f>
        <v>0</v>
      </c>
      <c r="H19" s="9">
        <f>(IF(Ontwerpberekening!E20="Nieuwe Situatie",(_xlfn.IFNA(VLOOKUP(Ontwerp_MKI_Totaal[[#This Row],[Product]]&amp;", "&amp;Ontwerp_MKI_Totaal[[#Headers],[A1-A3]],Database_Productkaarten[#All],14,FALSE),0)*Ontwerpberekening!J20),0))/Ontwerpberekening!$A$2</f>
        <v>56.060500000000005</v>
      </c>
      <c r="I19" s="9">
        <f>(IF(Ontwerpberekening!E20="Nieuwe Situatie",(_xlfn.IFNA(VLOOKUP(Ontwerp_MKI_Totaal[[#This Row],[Product]]&amp;", "&amp;Ontwerp_MKI_Totaal[[#Headers],[A4]],Database_Productkaarten[#All],14,FALSE),0)*Ontwerpberekening!R20),0))/Ontwerpberekening!$A$2</f>
        <v>26.661749999999998</v>
      </c>
      <c r="J19" s="9">
        <f>(IF(Ontwerpberekening!E20="Nieuwe Situatie",(_xlfn.IFNA(VLOOKUP(Ontwerp_MKI_Totaal[[#This Row],[Product]]&amp;", "&amp;Ontwerp_MKI_Totaal[[#Headers],[A5]],Database_Productkaarten[#All],14,FALSE),0)*Ontwerpberekening!J20),0))/Ontwerpberekening!$A$2</f>
        <v>5.5685000000000002</v>
      </c>
      <c r="K19" s="9">
        <f>(IF(Ontwerpberekening!E20="Nieuwe Situatie",(_xlfn.IFNA(VLOOKUP(Ontwerp_MKI_Totaal[[#This Row],[Product]]&amp;", "&amp;Ontwerp_MKI_Totaal[[#Headers],[B1]],Database_Productkaarten[#All],14,FALSE),0)*Ontwerpberekening!J20),0))/Ontwerpberekening!$A$2</f>
        <v>0</v>
      </c>
      <c r="L19" s="9">
        <f>(IF(Ontwerpberekening!E20="Nieuwe Situatie",(_xlfn.IFNA(VLOOKUP(Ontwerp_MKI_Totaal[[#This Row],[Product]]&amp;", "&amp;Ontwerp_MKI_Totaal[[#Headers],[B3]],Database_Productkaarten[#All],14,FALSE),0)*Ontwerpberekening!J20),0))/Ontwerpberekening!$A$2</f>
        <v>0</v>
      </c>
      <c r="M19" s="9">
        <f>(IF(Ontwerpberekening!E20="Nieuwe Situatie",(SUM(Ontwerp_MKI_Totaal[[#This Row],[A1]:[B1]],Ontwerp_MKI_Totaal[[#This Row],[C1]:[D2]])*Ontwerpberekening!T20),0))</f>
        <v>0</v>
      </c>
      <c r="N19" s="9">
        <f>(IF(Ontwerpberekening!E20="Bestaande Situatie",(_xlfn.IFNA(VLOOKUP(Ontwerp_MKI_Totaal[[#This Row],[Product]]&amp;", "&amp;Ontwerp_MKI_Totaal[[#Headers],[C1]],Database_Productkaarten[#All],14,FALSE),0)*Ontwerpberekening!J20),0))/Ontwerpberekening!$A$2</f>
        <v>0</v>
      </c>
      <c r="O19" s="9">
        <f>(IF(Ontwerpberekening!E20="Bestaande Situatie",(_xlfn.IFNA(VLOOKUP(Ontwerp_MKI_Totaal[[#This Row],[Product]]&amp;", "&amp;Ontwerp_MKI_Totaal[[#Headers],[C2]],Database_Productkaarten[#All],14,FALSE),0)*Ontwerpberekening!R20),0))/Ontwerpberekening!$A$2</f>
        <v>0</v>
      </c>
      <c r="P19" s="9">
        <f>(IF(Ontwerpberekening!E20="Bestaande Situatie",(_xlfn.IFNA(VLOOKUP(Ontwerp_MKI_Totaal[[#This Row],[Product]]&amp;", "&amp;Ontwerp_MKI_Totaal[[#Headers],[C3]],Database_Productkaarten[#All],14,FALSE),0)*Ontwerpberekening!J20),0))/Ontwerpberekening!$A$2</f>
        <v>0</v>
      </c>
      <c r="Q19" s="9">
        <f>(IF(Ontwerpberekening!E20="Bestaande Situatie",(_xlfn.IFNA(VLOOKUP(Ontwerp_MKI_Totaal[[#This Row],[Product]]&amp;", "&amp;Ontwerp_MKI_Totaal[[#Headers],[C4]],Database_Productkaarten[#All],14,FALSE),0)*Ontwerpberekening!J20),0))/Ontwerpberekening!$A$2</f>
        <v>0</v>
      </c>
      <c r="R19" s="9">
        <f>(IF(Ontwerpberekening!E20="Bestaande Situatie",(_xlfn.IFNA(VLOOKUP(Ontwerp_MKI_Totaal[[#This Row],[Product]]&amp;", "&amp;Ontwerp_MKI_Totaal[[#Headers],[D1]],Database_Productkaarten[#All],14,FALSE),0)*Ontwerpberekening!J20),0))/Ontwerpberekening!$A$2</f>
        <v>0</v>
      </c>
      <c r="S19" s="32">
        <f>(IF(Ontwerpberekening!E20="Bestaande Situatie",(_xlfn.IFNA(VLOOKUP(Ontwerp_MKI_Totaal[[#This Row],[Product]]&amp;", "&amp;Ontwerp_MKI_Totaal[[#Headers],[D2]],Database_Productkaarten[#All],14,FALSE),0)*Ontwerpberekening!J20),0))/Ontwerpberekening!$A$2</f>
        <v>0</v>
      </c>
      <c r="T19" s="32">
        <f>(IF(Ontwerpberekening!E20="Bestaande Situatie",(_xlfn.IFNA(VLOOKUP(Ontwerp_MKI_Totaal[[#This Row],[Product]]&amp;", "&amp;Ontwerp_MKI_Totaal[[#Headers],[D]],Database_Productkaarten[#All],14,FALSE),0)*Ontwerpberekening!J20),0))/Ontwerpberekening!$A$2</f>
        <v>0</v>
      </c>
      <c r="U19" s="9">
        <f>SUM(Ontwerp_MKI_Totaal[[#This Row],[A1-A3]:[C4]])+Ontwerp_MKI_Totaal[[#This Row],[D]]</f>
        <v>88.290750000000003</v>
      </c>
      <c r="AC19"/>
      <c r="AD19"/>
      <c r="AE19"/>
      <c r="AF19"/>
      <c r="AG19"/>
      <c r="AH19"/>
      <c r="AI19"/>
      <c r="AJ19"/>
      <c r="AK19"/>
      <c r="AL19"/>
      <c r="AM19"/>
      <c r="AN19"/>
      <c r="BJ19"/>
      <c r="BK19"/>
      <c r="BL19"/>
      <c r="BM19"/>
      <c r="BN19"/>
      <c r="BO19"/>
      <c r="BP19"/>
      <c r="BQ19"/>
      <c r="BR19"/>
      <c r="CH19"/>
      <c r="CI19"/>
      <c r="CJ19"/>
    </row>
    <row r="20" spans="2:88">
      <c r="B20" s="31" t="str">
        <f>Ontwerpberekening!B21</f>
        <v>Plastic kratten</v>
      </c>
      <c r="C20" s="31" t="str">
        <f>Ontwerpberekening!C21</f>
        <v>Toplaag</v>
      </c>
      <c r="D20" s="1" t="str">
        <f>Ontwerpberekening!G21</f>
        <v>Betonstraatsteen 210x105x80</v>
      </c>
      <c r="E20" s="9">
        <f>(IF(Ontwerpberekening!E21="Nieuwe Situatie",(_xlfn.IFNA(VLOOKUP(Ontwerp_MKI_Totaal[[#This Row],[Product]]&amp;", "&amp;Ontwerp_MKI_Totaal[[#Headers],[A1]],Database_Productkaarten[#All],14,FALSE),0)*Ontwerpberekening!J21),0))/Ontwerpberekening!$A$2</f>
        <v>792.97525000000007</v>
      </c>
      <c r="F20" s="9">
        <f>(IF(Ontwerpberekening!E21="Nieuwe Situatie",(_xlfn.IFNA(VLOOKUP(Ontwerp_MKI_Totaal[[#This Row],[Product]]&amp;", "&amp;Ontwerp_MKI_Totaal[[#Headers],[A2]],Database_Productkaarten[#All],14,FALSE),0)*Ontwerpberekening!J21),0))/Ontwerpberekening!$A$2</f>
        <v>56.953865</v>
      </c>
      <c r="G20" s="9">
        <f>(IF(Ontwerpberekening!E21="Nieuwe Situatie",(_xlfn.IFNA(VLOOKUP(Ontwerp_MKI_Totaal[[#This Row],[Product]]&amp;", "&amp;Ontwerp_MKI_Totaal[[#Headers],[A3]],Database_Productkaarten[#All],14,FALSE),0)*Ontwerpberekening!J21),0))/Ontwerpberekening!$A$2</f>
        <v>41.570878999999998</v>
      </c>
      <c r="H20" s="9">
        <f>(IF(Ontwerpberekening!E21="Nieuwe Situatie",(_xlfn.IFNA(VLOOKUP(Ontwerp_MKI_Totaal[[#This Row],[Product]]&amp;", "&amp;Ontwerp_MKI_Totaal[[#Headers],[A1-A3]],Database_Productkaarten[#All],14,FALSE),0)*Ontwerpberekening!J21),0))/Ontwerpberekening!$A$2</f>
        <v>891.49999400000002</v>
      </c>
      <c r="I20" s="9">
        <f>(IF(Ontwerpberekening!E21="Nieuwe Situatie",(_xlfn.IFNA(VLOOKUP(Ontwerp_MKI_Totaal[[#This Row],[Product]]&amp;", "&amp;Ontwerp_MKI_Totaal[[#Headers],[A4]],Database_Productkaarten[#All],14,FALSE),0)*Ontwerpberekening!R21),0))/Ontwerpberekening!$A$2</f>
        <v>37.645757542000005</v>
      </c>
      <c r="J20" s="9">
        <f>(IF(Ontwerpberekening!E21="Nieuwe Situatie",(_xlfn.IFNA(VLOOKUP(Ontwerp_MKI_Totaal[[#This Row],[Product]]&amp;", "&amp;Ontwerp_MKI_Totaal[[#Headers],[A5]],Database_Productkaarten[#All],14,FALSE),0)*Ontwerpberekening!J21),0))/Ontwerpberekening!$A$2</f>
        <v>73.560969999999998</v>
      </c>
      <c r="K20" s="9">
        <f>(IF(Ontwerpberekening!E21="Nieuwe Situatie",(_xlfn.IFNA(VLOOKUP(Ontwerp_MKI_Totaal[[#This Row],[Product]]&amp;", "&amp;Ontwerp_MKI_Totaal[[#Headers],[B1]],Database_Productkaarten[#All],14,FALSE),0)*Ontwerpberekening!J21),0))/Ontwerpberekening!$A$2</f>
        <v>0</v>
      </c>
      <c r="L20" s="9">
        <f>(IF(Ontwerpberekening!E21="Nieuwe Situatie",(_xlfn.IFNA(VLOOKUP(Ontwerp_MKI_Totaal[[#This Row],[Product]]&amp;", "&amp;Ontwerp_MKI_Totaal[[#Headers],[B3]],Database_Productkaarten[#All],14,FALSE),0)*Ontwerpberekening!J21),0))/Ontwerpberekening!$A$2</f>
        <v>269.373647705</v>
      </c>
      <c r="M20" s="9">
        <f>(IF(Ontwerpberekening!E21="Nieuwe Situatie",(SUM(Ontwerp_MKI_Totaal[[#This Row],[A1]:[B1]],Ontwerp_MKI_Totaal[[#This Row],[C1]:[D2]])*Ontwerpberekening!T21),0))</f>
        <v>0</v>
      </c>
      <c r="N20" s="9">
        <f>(IF(Ontwerpberekening!E21="Bestaande Situatie",(_xlfn.IFNA(VLOOKUP(Ontwerp_MKI_Totaal[[#This Row],[Product]]&amp;", "&amp;Ontwerp_MKI_Totaal[[#Headers],[C1]],Database_Productkaarten[#All],14,FALSE),0)*Ontwerpberekening!J21),0))/Ontwerpberekening!$A$2</f>
        <v>0</v>
      </c>
      <c r="O20" s="9">
        <f>(IF(Ontwerpberekening!E21="Bestaande Situatie",(_xlfn.IFNA(VLOOKUP(Ontwerp_MKI_Totaal[[#This Row],[Product]]&amp;", "&amp;Ontwerp_MKI_Totaal[[#Headers],[C2]],Database_Productkaarten[#All],14,FALSE),0)*Ontwerpberekening!R21),0))/Ontwerpberekening!$A$2</f>
        <v>0</v>
      </c>
      <c r="P20" s="9">
        <f>(IF(Ontwerpberekening!E21="Bestaande Situatie",(_xlfn.IFNA(VLOOKUP(Ontwerp_MKI_Totaal[[#This Row],[Product]]&amp;", "&amp;Ontwerp_MKI_Totaal[[#Headers],[C3]],Database_Productkaarten[#All],14,FALSE),0)*Ontwerpberekening!J21),0))/Ontwerpberekening!$A$2</f>
        <v>0</v>
      </c>
      <c r="Q20" s="9">
        <f>(IF(Ontwerpberekening!E21="Bestaande Situatie",(_xlfn.IFNA(VLOOKUP(Ontwerp_MKI_Totaal[[#This Row],[Product]]&amp;", "&amp;Ontwerp_MKI_Totaal[[#Headers],[C4]],Database_Productkaarten[#All],14,FALSE),0)*Ontwerpberekening!J21),0))/Ontwerpberekening!$A$2</f>
        <v>0</v>
      </c>
      <c r="R20" s="9">
        <f>(IF(Ontwerpberekening!E21="Bestaande Situatie",(_xlfn.IFNA(VLOOKUP(Ontwerp_MKI_Totaal[[#This Row],[Product]]&amp;", "&amp;Ontwerp_MKI_Totaal[[#Headers],[D1]],Database_Productkaarten[#All],14,FALSE),0)*Ontwerpberekening!J21),0))/Ontwerpberekening!$A$2</f>
        <v>0</v>
      </c>
      <c r="S20" s="32">
        <f>(IF(Ontwerpberekening!E21="Bestaande Situatie",(_xlfn.IFNA(VLOOKUP(Ontwerp_MKI_Totaal[[#This Row],[Product]]&amp;", "&amp;Ontwerp_MKI_Totaal[[#Headers],[D2]],Database_Productkaarten[#All],14,FALSE),0)*Ontwerpberekening!J21),0))/Ontwerpberekening!$A$2</f>
        <v>0</v>
      </c>
      <c r="T20" s="32">
        <f>(IF(Ontwerpberekening!E21="Bestaande Situatie",(_xlfn.IFNA(VLOOKUP(Ontwerp_MKI_Totaal[[#This Row],[Product]]&amp;", "&amp;Ontwerp_MKI_Totaal[[#Headers],[D]],Database_Productkaarten[#All],14,FALSE),0)*Ontwerpberekening!J21),0))/Ontwerpberekening!$A$2</f>
        <v>0</v>
      </c>
      <c r="U20" s="9">
        <f>SUM(Ontwerp_MKI_Totaal[[#This Row],[A1-A3]:[C4]])+Ontwerp_MKI_Totaal[[#This Row],[D]]</f>
        <v>1272.0803692469999</v>
      </c>
      <c r="AC20"/>
      <c r="AD20"/>
      <c r="AE20"/>
      <c r="AF20"/>
      <c r="AG20"/>
      <c r="AH20"/>
      <c r="AI20"/>
      <c r="AJ20"/>
      <c r="AK20"/>
      <c r="AL20"/>
      <c r="AM20"/>
      <c r="AN20"/>
      <c r="BJ20"/>
      <c r="BK20"/>
      <c r="BL20"/>
      <c r="CH20"/>
      <c r="CI20"/>
      <c r="CJ20"/>
    </row>
    <row r="21" spans="2:88">
      <c r="B21" s="31" t="str">
        <f>Ontwerpberekening!B22</f>
        <v>Plastic kratten</v>
      </c>
      <c r="C21" s="31" t="str">
        <f>Ontwerpberekening!C22</f>
        <v>Grondverbetering</v>
      </c>
      <c r="D21" s="1" t="str">
        <f>Ontwerpberekening!G22</f>
        <v>Ophoogmateriaal (Zand)</v>
      </c>
      <c r="E21" s="9">
        <f>(IF(Ontwerpberekening!E22="Nieuwe Situatie",(_xlfn.IFNA(VLOOKUP(Ontwerp_MKI_Totaal[[#This Row],[Product]]&amp;", "&amp;Ontwerp_MKI_Totaal[[#Headers],[A1]],Database_Productkaarten[#All],14,FALSE),0)*Ontwerpberekening!J22),0))/Ontwerpberekening!$A$2</f>
        <v>0</v>
      </c>
      <c r="F21" s="9">
        <f>(IF(Ontwerpberekening!E22="Nieuwe Situatie",(_xlfn.IFNA(VLOOKUP(Ontwerp_MKI_Totaal[[#This Row],[Product]]&amp;", "&amp;Ontwerp_MKI_Totaal[[#Headers],[A2]],Database_Productkaarten[#All],14,FALSE),0)*Ontwerpberekening!J22),0))/Ontwerpberekening!$A$2</f>
        <v>0</v>
      </c>
      <c r="G21" s="9">
        <f>(IF(Ontwerpberekening!E22="Nieuwe Situatie",(_xlfn.IFNA(VLOOKUP(Ontwerp_MKI_Totaal[[#This Row],[Product]]&amp;", "&amp;Ontwerp_MKI_Totaal[[#Headers],[A3]],Database_Productkaarten[#All],14,FALSE),0)*Ontwerpberekening!J22),0))/Ontwerpberekening!$A$2</f>
        <v>0</v>
      </c>
      <c r="H21" s="9">
        <f>(IF(Ontwerpberekening!E22="Nieuwe Situatie",(_xlfn.IFNA(VLOOKUP(Ontwerp_MKI_Totaal[[#This Row],[Product]]&amp;", "&amp;Ontwerp_MKI_Totaal[[#Headers],[A1-A3]],Database_Productkaarten[#All],14,FALSE),0)*Ontwerpberekening!J22),0))/Ontwerpberekening!$A$2</f>
        <v>0</v>
      </c>
      <c r="I21" s="9">
        <f>(IF(Ontwerpberekening!E22="Nieuwe Situatie",(_xlfn.IFNA(VLOOKUP(Ontwerp_MKI_Totaal[[#This Row],[Product]]&amp;", "&amp;Ontwerp_MKI_Totaal[[#Headers],[A4]],Database_Productkaarten[#All],14,FALSE),0)*Ontwerpberekening!R22),0))/Ontwerpberekening!$A$2</f>
        <v>0</v>
      </c>
      <c r="J21" s="9">
        <f>(IF(Ontwerpberekening!E22="Nieuwe Situatie",(_xlfn.IFNA(VLOOKUP(Ontwerp_MKI_Totaal[[#This Row],[Product]]&amp;", "&amp;Ontwerp_MKI_Totaal[[#Headers],[A5]],Database_Productkaarten[#All],14,FALSE),0)*Ontwerpberekening!J22),0))/Ontwerpberekening!$A$2</f>
        <v>0</v>
      </c>
      <c r="K21" s="9">
        <f>(IF(Ontwerpberekening!E22="Nieuwe Situatie",(_xlfn.IFNA(VLOOKUP(Ontwerp_MKI_Totaal[[#This Row],[Product]]&amp;", "&amp;Ontwerp_MKI_Totaal[[#Headers],[B1]],Database_Productkaarten[#All],14,FALSE),0)*Ontwerpberekening!J22),0))/Ontwerpberekening!$A$2</f>
        <v>0</v>
      </c>
      <c r="L21" s="9">
        <f>(IF(Ontwerpberekening!E22="Nieuwe Situatie",(_xlfn.IFNA(VLOOKUP(Ontwerp_MKI_Totaal[[#This Row],[Product]]&amp;", "&amp;Ontwerp_MKI_Totaal[[#Headers],[B3]],Database_Productkaarten[#All],14,FALSE),0)*Ontwerpberekening!J22),0))/Ontwerpberekening!$A$2</f>
        <v>0</v>
      </c>
      <c r="M21" s="9">
        <f>(IF(Ontwerpberekening!E22="Nieuwe Situatie",(SUM(Ontwerp_MKI_Totaal[[#This Row],[A1]:[B1]],Ontwerp_MKI_Totaal[[#This Row],[C1]:[D2]])*Ontwerpberekening!T22),0))</f>
        <v>0</v>
      </c>
      <c r="N21" s="9">
        <f>(IF(Ontwerpberekening!E22="Bestaande Situatie",(_xlfn.IFNA(VLOOKUP(Ontwerp_MKI_Totaal[[#This Row],[Product]]&amp;", "&amp;Ontwerp_MKI_Totaal[[#Headers],[C1]],Database_Productkaarten[#All],14,FALSE),0)*Ontwerpberekening!J22),0))/Ontwerpberekening!$A$2</f>
        <v>0.93799999999999994</v>
      </c>
      <c r="O21" s="9">
        <f>(IF(Ontwerpberekening!E22="Bestaande Situatie",(_xlfn.IFNA(VLOOKUP(Ontwerp_MKI_Totaal[[#This Row],[Product]]&amp;", "&amp;Ontwerp_MKI_Totaal[[#Headers],[C2]],Database_Productkaarten[#All],14,FALSE),0)*Ontwerpberekening!R22),0))/Ontwerpberekening!$A$2</f>
        <v>26.928374999999999</v>
      </c>
      <c r="P21" s="9">
        <f>(IF(Ontwerpberekening!E22="Bestaande Situatie",(_xlfn.IFNA(VLOOKUP(Ontwerp_MKI_Totaal[[#This Row],[Product]]&amp;", "&amp;Ontwerp_MKI_Totaal[[#Headers],[C3]],Database_Productkaarten[#All],14,FALSE),0)*Ontwerpberekening!J22),0))/Ontwerpberekening!$A$2</f>
        <v>0</v>
      </c>
      <c r="Q21" s="9">
        <f>(IF(Ontwerpberekening!E22="Bestaande Situatie",(_xlfn.IFNA(VLOOKUP(Ontwerp_MKI_Totaal[[#This Row],[Product]]&amp;", "&amp;Ontwerp_MKI_Totaal[[#Headers],[C4]],Database_Productkaarten[#All],14,FALSE),0)*Ontwerpberekening!J22),0))/Ontwerpberekening!$A$2</f>
        <v>0.27875</v>
      </c>
      <c r="R21" s="9">
        <f>(IF(Ontwerpberekening!E22="Bestaande Situatie",(_xlfn.IFNA(VLOOKUP(Ontwerp_MKI_Totaal[[#This Row],[Product]]&amp;", "&amp;Ontwerp_MKI_Totaal[[#Headers],[D1]],Database_Productkaarten[#All],14,FALSE),0)*Ontwerpberekening!J22),0))/Ontwerpberekening!$A$2</f>
        <v>0</v>
      </c>
      <c r="S21" s="32">
        <f>(IF(Ontwerpberekening!E22="Bestaande Situatie",(_xlfn.IFNA(VLOOKUP(Ontwerp_MKI_Totaal[[#This Row],[Product]]&amp;", "&amp;Ontwerp_MKI_Totaal[[#Headers],[D2]],Database_Productkaarten[#All],14,FALSE),0)*Ontwerpberekening!J22),0))/Ontwerpberekening!$A$2</f>
        <v>0</v>
      </c>
      <c r="T21" s="32">
        <f>(IF(Ontwerpberekening!E22="Bestaande Situatie",(_xlfn.IFNA(VLOOKUP(Ontwerp_MKI_Totaal[[#This Row],[Product]]&amp;", "&amp;Ontwerp_MKI_Totaal[[#Headers],[D]],Database_Productkaarten[#All],14,FALSE),0)*Ontwerpberekening!J22),0))/Ontwerpberekening!$A$2</f>
        <v>-19.923249999999999</v>
      </c>
      <c r="U21" s="9">
        <f>SUM(Ontwerp_MKI_Totaal[[#This Row],[A1-A3]:[C4]])+Ontwerp_MKI_Totaal[[#This Row],[D]]</f>
        <v>8.2218749999999972</v>
      </c>
      <c r="AC21"/>
      <c r="AD21"/>
      <c r="AE21"/>
      <c r="AF21"/>
      <c r="AG21"/>
      <c r="AH21"/>
      <c r="AI21"/>
      <c r="AJ21"/>
      <c r="AK21"/>
      <c r="AL21"/>
      <c r="AM21"/>
      <c r="AN21"/>
      <c r="BJ21"/>
      <c r="BK21"/>
    </row>
    <row r="22" spans="2:88">
      <c r="B22" s="31" t="str">
        <f>Ontwerpberekening!B23</f>
        <v>Plastic kratten</v>
      </c>
      <c r="C22" s="31" t="str">
        <f>Ontwerpberekening!C23</f>
        <v>Waterbergendelaag</v>
      </c>
      <c r="D22" s="1" t="str">
        <f>Ontwerpberekening!G23</f>
        <v>Kunststof Inflitratiekrat</v>
      </c>
      <c r="E22" s="9">
        <f>(IF(Ontwerpberekening!E23="Nieuwe Situatie",(_xlfn.IFNA(VLOOKUP(Ontwerp_MKI_Totaal[[#This Row],[Product]]&amp;", "&amp;Ontwerp_MKI_Totaal[[#Headers],[A1]],Database_Productkaarten[#All],14,FALSE),0)*Ontwerpberekening!J23),0))/Ontwerpberekening!$A$2</f>
        <v>0</v>
      </c>
      <c r="F22" s="9">
        <f>(IF(Ontwerpberekening!E23="Nieuwe Situatie",(_xlfn.IFNA(VLOOKUP(Ontwerp_MKI_Totaal[[#This Row],[Product]]&amp;", "&amp;Ontwerp_MKI_Totaal[[#Headers],[A2]],Database_Productkaarten[#All],14,FALSE),0)*Ontwerpberekening!J23),0))/Ontwerpberekening!$A$2</f>
        <v>0</v>
      </c>
      <c r="G22" s="9">
        <f>(IF(Ontwerpberekening!E23="Nieuwe Situatie",(_xlfn.IFNA(VLOOKUP(Ontwerp_MKI_Totaal[[#This Row],[Product]]&amp;", "&amp;Ontwerp_MKI_Totaal[[#Headers],[A3]],Database_Productkaarten[#All],14,FALSE),0)*Ontwerpberekening!J23),0))/Ontwerpberekening!$A$2</f>
        <v>0</v>
      </c>
      <c r="H22" s="9">
        <f>(IF(Ontwerpberekening!E23="Nieuwe Situatie",(_xlfn.IFNA(VLOOKUP(Ontwerp_MKI_Totaal[[#This Row],[Product]]&amp;", "&amp;Ontwerp_MKI_Totaal[[#Headers],[A1-A3]],Database_Productkaarten[#All],14,FALSE),0)*Ontwerpberekening!J23),0))/Ontwerpberekening!$A$2</f>
        <v>0</v>
      </c>
      <c r="I22" s="9">
        <f>(IF(Ontwerpberekening!E23="Nieuwe Situatie",(_xlfn.IFNA(VLOOKUP(Ontwerp_MKI_Totaal[[#This Row],[Product]]&amp;", "&amp;Ontwerp_MKI_Totaal[[#Headers],[A4]],Database_Productkaarten[#All],14,FALSE),0)*Ontwerpberekening!R23),0))/Ontwerpberekening!$A$2</f>
        <v>0</v>
      </c>
      <c r="J22" s="9">
        <f>(IF(Ontwerpberekening!E23="Nieuwe Situatie",(_xlfn.IFNA(VLOOKUP(Ontwerp_MKI_Totaal[[#This Row],[Product]]&amp;", "&amp;Ontwerp_MKI_Totaal[[#Headers],[A5]],Database_Productkaarten[#All],14,FALSE),0)*Ontwerpberekening!J23),0))/Ontwerpberekening!$A$2</f>
        <v>0</v>
      </c>
      <c r="K22" s="9">
        <f>(IF(Ontwerpberekening!E23="Nieuwe Situatie",(_xlfn.IFNA(VLOOKUP(Ontwerp_MKI_Totaal[[#This Row],[Product]]&amp;", "&amp;Ontwerp_MKI_Totaal[[#Headers],[B1]],Database_Productkaarten[#All],14,FALSE),0)*Ontwerpberekening!J23),0))/Ontwerpberekening!$A$2</f>
        <v>0</v>
      </c>
      <c r="L22" s="9">
        <f>(IF(Ontwerpberekening!E23="Nieuwe Situatie",(_xlfn.IFNA(VLOOKUP(Ontwerp_MKI_Totaal[[#This Row],[Product]]&amp;", "&amp;Ontwerp_MKI_Totaal[[#Headers],[B3]],Database_Productkaarten[#All],14,FALSE),0)*Ontwerpberekening!J23),0))/Ontwerpberekening!$A$2</f>
        <v>0</v>
      </c>
      <c r="M22" s="9">
        <f>(IF(Ontwerpberekening!E23="Nieuwe Situatie",(SUM(Ontwerp_MKI_Totaal[[#This Row],[A1]:[B1]],Ontwerp_MKI_Totaal[[#This Row],[C1]:[D2]])*Ontwerpberekening!T23),0))</f>
        <v>0</v>
      </c>
      <c r="N22" s="9">
        <f>(IF(Ontwerpberekening!E23="Bestaande Situatie",(_xlfn.IFNA(VLOOKUP(Ontwerp_MKI_Totaal[[#This Row],[Product]]&amp;", "&amp;Ontwerp_MKI_Totaal[[#Headers],[C1]],Database_Productkaarten[#All],14,FALSE),0)*Ontwerpberekening!J23),0))/Ontwerpberekening!$A$2</f>
        <v>116</v>
      </c>
      <c r="O22" s="9">
        <f>(IF(Ontwerpberekening!E23="Bestaande Situatie",(_xlfn.IFNA(VLOOKUP(Ontwerp_MKI_Totaal[[#This Row],[Product]]&amp;", "&amp;Ontwerp_MKI_Totaal[[#Headers],[C2]],Database_Productkaarten[#All],14,FALSE),0)*Ontwerpberekening!R23),0))/Ontwerpberekening!$A$2</f>
        <v>0.224</v>
      </c>
      <c r="P22" s="9">
        <f>(IF(Ontwerpberekening!E23="Bestaande Situatie",(_xlfn.IFNA(VLOOKUP(Ontwerp_MKI_Totaal[[#This Row],[Product]]&amp;", "&amp;Ontwerp_MKI_Totaal[[#Headers],[C3]],Database_Productkaarten[#All],14,FALSE),0)*Ontwerpberekening!J23),0))/Ontwerpberekening!$A$2</f>
        <v>949.5</v>
      </c>
      <c r="Q22" s="9">
        <f>(IF(Ontwerpberekening!E23="Bestaande Situatie",(_xlfn.IFNA(VLOOKUP(Ontwerp_MKI_Totaal[[#This Row],[Product]]&amp;", "&amp;Ontwerp_MKI_Totaal[[#Headers],[C4]],Database_Productkaarten[#All],14,FALSE),0)*Ontwerpberekening!J23),0))/Ontwerpberekening!$A$2</f>
        <v>6.5</v>
      </c>
      <c r="R22" s="9">
        <f>(IF(Ontwerpberekening!E23="Bestaande Situatie",(_xlfn.IFNA(VLOOKUP(Ontwerp_MKI_Totaal[[#This Row],[Product]]&amp;", "&amp;Ontwerp_MKI_Totaal[[#Headers],[D1]],Database_Productkaarten[#All],14,FALSE),0)*Ontwerpberekening!J23),0))/Ontwerpberekening!$A$2</f>
        <v>0</v>
      </c>
      <c r="S22" s="32">
        <f>(IF(Ontwerpberekening!E23="Bestaande Situatie",(_xlfn.IFNA(VLOOKUP(Ontwerp_MKI_Totaal[[#This Row],[Product]]&amp;", "&amp;Ontwerp_MKI_Totaal[[#Headers],[D2]],Database_Productkaarten[#All],14,FALSE),0)*Ontwerpberekening!J23),0))/Ontwerpberekening!$A$2</f>
        <v>0</v>
      </c>
      <c r="T22" s="32">
        <f>(IF(Ontwerpberekening!E23="Bestaande Situatie",(_xlfn.IFNA(VLOOKUP(Ontwerp_MKI_Totaal[[#This Row],[Product]]&amp;", "&amp;Ontwerp_MKI_Totaal[[#Headers],[D]],Database_Productkaarten[#All],14,FALSE),0)*Ontwerpberekening!J23),0))/Ontwerpberekening!$A$2</f>
        <v>-597</v>
      </c>
      <c r="U22" s="9">
        <f>SUM(Ontwerp_MKI_Totaal[[#This Row],[A1-A3]:[C4]])+Ontwerp_MKI_Totaal[[#This Row],[D]]</f>
        <v>475.22399999999993</v>
      </c>
      <c r="AC22"/>
      <c r="AD22"/>
      <c r="AE22"/>
      <c r="AF22"/>
      <c r="AG22"/>
      <c r="AH22"/>
      <c r="AI22"/>
      <c r="AJ22"/>
      <c r="AK22"/>
      <c r="AL22"/>
      <c r="AM22"/>
      <c r="AN22"/>
      <c r="BJ22"/>
      <c r="BK22"/>
    </row>
    <row r="23" spans="2:88">
      <c r="B23" s="31" t="str">
        <f>Ontwerpberekening!B24</f>
        <v>Plastic kratten</v>
      </c>
      <c r="C23" s="31" t="str">
        <f>Ontwerpberekening!C24</f>
        <v>Menggranulaat</v>
      </c>
      <c r="D23" s="1" t="str">
        <f>Ontwerpberekening!G24</f>
        <v>Menggranulaat 300mm</v>
      </c>
      <c r="E23" s="9">
        <f>(IF(Ontwerpberekening!E24="Nieuwe Situatie",(_xlfn.IFNA(VLOOKUP(Ontwerp_MKI_Totaal[[#This Row],[Product]]&amp;", "&amp;Ontwerp_MKI_Totaal[[#Headers],[A1]],Database_Productkaarten[#All],14,FALSE),0)*Ontwerpberekening!J24),0))/Ontwerpberekening!$A$2</f>
        <v>0</v>
      </c>
      <c r="F23" s="9">
        <f>(IF(Ontwerpberekening!E24="Nieuwe Situatie",(_xlfn.IFNA(VLOOKUP(Ontwerp_MKI_Totaal[[#This Row],[Product]]&amp;", "&amp;Ontwerp_MKI_Totaal[[#Headers],[A2]],Database_Productkaarten[#All],14,FALSE),0)*Ontwerpberekening!J24),0))/Ontwerpberekening!$A$2</f>
        <v>0</v>
      </c>
      <c r="G23" s="9">
        <f>(IF(Ontwerpberekening!E24="Nieuwe Situatie",(_xlfn.IFNA(VLOOKUP(Ontwerp_MKI_Totaal[[#This Row],[Product]]&amp;", "&amp;Ontwerp_MKI_Totaal[[#Headers],[A3]],Database_Productkaarten[#All],14,FALSE),0)*Ontwerpberekening!J24),0))/Ontwerpberekening!$A$2</f>
        <v>0</v>
      </c>
      <c r="H23" s="9">
        <f>(IF(Ontwerpberekening!E24="Nieuwe Situatie",(_xlfn.IFNA(VLOOKUP(Ontwerp_MKI_Totaal[[#This Row],[Product]]&amp;", "&amp;Ontwerp_MKI_Totaal[[#Headers],[A1-A3]],Database_Productkaarten[#All],14,FALSE),0)*Ontwerpberekening!J24),0))/Ontwerpberekening!$A$2</f>
        <v>0</v>
      </c>
      <c r="I23" s="9">
        <f>(IF(Ontwerpberekening!E24="Nieuwe Situatie",(_xlfn.IFNA(VLOOKUP(Ontwerp_MKI_Totaal[[#This Row],[Product]]&amp;", "&amp;Ontwerp_MKI_Totaal[[#Headers],[A4]],Database_Productkaarten[#All],14,FALSE),0)*Ontwerpberekening!R24),0))/Ontwerpberekening!$A$2</f>
        <v>0</v>
      </c>
      <c r="J23" s="9">
        <f>(IF(Ontwerpberekening!E24="Nieuwe Situatie",(_xlfn.IFNA(VLOOKUP(Ontwerp_MKI_Totaal[[#This Row],[Product]]&amp;", "&amp;Ontwerp_MKI_Totaal[[#Headers],[A5]],Database_Productkaarten[#All],14,FALSE),0)*Ontwerpberekening!J24),0))/Ontwerpberekening!$A$2</f>
        <v>0</v>
      </c>
      <c r="K23" s="9">
        <f>(IF(Ontwerpberekening!E24="Nieuwe Situatie",(_xlfn.IFNA(VLOOKUP(Ontwerp_MKI_Totaal[[#This Row],[Product]]&amp;", "&amp;Ontwerp_MKI_Totaal[[#Headers],[B1]],Database_Productkaarten[#All],14,FALSE),0)*Ontwerpberekening!J24),0))/Ontwerpberekening!$A$2</f>
        <v>0</v>
      </c>
      <c r="L23" s="9">
        <f>(IF(Ontwerpberekening!E24="Nieuwe Situatie",(_xlfn.IFNA(VLOOKUP(Ontwerp_MKI_Totaal[[#This Row],[Product]]&amp;", "&amp;Ontwerp_MKI_Totaal[[#Headers],[B3]],Database_Productkaarten[#All],14,FALSE),0)*Ontwerpberekening!J24),0))/Ontwerpberekening!$A$2</f>
        <v>0</v>
      </c>
      <c r="M23" s="9">
        <f>(IF(Ontwerpberekening!E24="Nieuwe Situatie",(SUM(Ontwerp_MKI_Totaal[[#This Row],[A1]:[B1]],Ontwerp_MKI_Totaal[[#This Row],[C1]:[D2]])*Ontwerpberekening!T24),0))</f>
        <v>0</v>
      </c>
      <c r="N23" s="9">
        <f>(IF(Ontwerpberekening!E24="Bestaande Situatie",(_xlfn.IFNA(VLOOKUP(Ontwerp_MKI_Totaal[[#This Row],[Product]]&amp;", "&amp;Ontwerp_MKI_Totaal[[#Headers],[C1]],Database_Productkaarten[#All],14,FALSE),0)*Ontwerpberekening!J24),0))/Ontwerpberekening!$A$2</f>
        <v>31.074999999999999</v>
      </c>
      <c r="O23" s="9">
        <f>(IF(Ontwerpberekening!E24="Bestaande Situatie",(_xlfn.IFNA(VLOOKUP(Ontwerp_MKI_Totaal[[#This Row],[Product]]&amp;", "&amp;Ontwerp_MKI_Totaal[[#Headers],[C2]],Database_Productkaarten[#All],14,FALSE),0)*Ontwerpberekening!R24),0))/Ontwerpberekening!$A$2</f>
        <v>82.704374999999999</v>
      </c>
      <c r="P23" s="9">
        <f>(IF(Ontwerpberekening!E24="Bestaande Situatie",(_xlfn.IFNA(VLOOKUP(Ontwerp_MKI_Totaal[[#This Row],[Product]]&amp;", "&amp;Ontwerp_MKI_Totaal[[#Headers],[C3]],Database_Productkaarten[#All],14,FALSE),0)*Ontwerpberekening!J24),0))/Ontwerpberekening!$A$2</f>
        <v>49.04</v>
      </c>
      <c r="Q23" s="9">
        <f>(IF(Ontwerpberekening!E24="Bestaande Situatie",(_xlfn.IFNA(VLOOKUP(Ontwerp_MKI_Totaal[[#This Row],[Product]]&amp;", "&amp;Ontwerp_MKI_Totaal[[#Headers],[C4]],Database_Productkaarten[#All],14,FALSE),0)*Ontwerpberekening!J24),0))/Ontwerpberekening!$A$2</f>
        <v>2.1749999999999998</v>
      </c>
      <c r="R23" s="9">
        <f>(IF(Ontwerpberekening!E24="Bestaande Situatie",(_xlfn.IFNA(VLOOKUP(Ontwerp_MKI_Totaal[[#This Row],[Product]]&amp;", "&amp;Ontwerp_MKI_Totaal[[#Headers],[D1]],Database_Productkaarten[#All],14,FALSE),0)*Ontwerpberekening!J24),0))/Ontwerpberekening!$A$2</f>
        <v>0</v>
      </c>
      <c r="S23" s="32">
        <f>(IF(Ontwerpberekening!E24="Bestaande Situatie",(_xlfn.IFNA(VLOOKUP(Ontwerp_MKI_Totaal[[#This Row],[Product]]&amp;", "&amp;Ontwerp_MKI_Totaal[[#Headers],[D2]],Database_Productkaarten[#All],14,FALSE),0)*Ontwerpberekening!J24),0))/Ontwerpberekening!$A$2</f>
        <v>0</v>
      </c>
      <c r="T23" s="32">
        <f>(IF(Ontwerpberekening!E24="Bestaande Situatie",(_xlfn.IFNA(VLOOKUP(Ontwerp_MKI_Totaal[[#This Row],[Product]]&amp;", "&amp;Ontwerp_MKI_Totaal[[#Headers],[D]],Database_Productkaarten[#All],14,FALSE),0)*Ontwerpberekening!J24),0))/Ontwerpberekening!$A$2</f>
        <v>4.3949999999999996</v>
      </c>
      <c r="U23" s="9">
        <f>SUM(Ontwerp_MKI_Totaal[[#This Row],[A1-A3]:[C4]])+Ontwerp_MKI_Totaal[[#This Row],[D]]</f>
        <v>169.38937500000003</v>
      </c>
      <c r="AC23"/>
      <c r="AD23"/>
      <c r="AE23"/>
      <c r="AF23"/>
      <c r="AG23"/>
      <c r="AH23"/>
      <c r="AI23"/>
      <c r="AJ23"/>
      <c r="AK23"/>
      <c r="AL23"/>
      <c r="AM23"/>
      <c r="AN23"/>
      <c r="BJ23"/>
      <c r="BK23"/>
    </row>
    <row r="24" spans="2:88">
      <c r="B24" s="31" t="str">
        <f>Ontwerpberekening!B25</f>
        <v>Plastic kratten</v>
      </c>
      <c r="C24" s="31" t="str">
        <f>Ontwerpberekening!C25</f>
        <v>Straatlaag</v>
      </c>
      <c r="D24" s="1" t="str">
        <f>Ontwerpberekening!G25</f>
        <v>Ophoogmateriaal (Zand)</v>
      </c>
      <c r="E24" s="9">
        <f>(IF(Ontwerpberekening!E25="Nieuwe Situatie",(_xlfn.IFNA(VLOOKUP(Ontwerp_MKI_Totaal[[#This Row],[Product]]&amp;", "&amp;Ontwerp_MKI_Totaal[[#Headers],[A1]],Database_Productkaarten[#All],14,FALSE),0)*Ontwerpberekening!J25),0))/Ontwerpberekening!$A$2</f>
        <v>0</v>
      </c>
      <c r="F24" s="9">
        <f>(IF(Ontwerpberekening!E25="Nieuwe Situatie",(_xlfn.IFNA(VLOOKUP(Ontwerp_MKI_Totaal[[#This Row],[Product]]&amp;", "&amp;Ontwerp_MKI_Totaal[[#Headers],[A2]],Database_Productkaarten[#All],14,FALSE),0)*Ontwerpberekening!J25),0))/Ontwerpberekening!$A$2</f>
        <v>0</v>
      </c>
      <c r="G24" s="9">
        <f>(IF(Ontwerpberekening!E25="Nieuwe Situatie",(_xlfn.IFNA(VLOOKUP(Ontwerp_MKI_Totaal[[#This Row],[Product]]&amp;", "&amp;Ontwerp_MKI_Totaal[[#Headers],[A3]],Database_Productkaarten[#All],14,FALSE),0)*Ontwerpberekening!J25),0))/Ontwerpberekening!$A$2</f>
        <v>0</v>
      </c>
      <c r="H24" s="9">
        <f>(IF(Ontwerpberekening!E25="Nieuwe Situatie",(_xlfn.IFNA(VLOOKUP(Ontwerp_MKI_Totaal[[#This Row],[Product]]&amp;", "&amp;Ontwerp_MKI_Totaal[[#Headers],[A1-A3]],Database_Productkaarten[#All],14,FALSE),0)*Ontwerpberekening!J25),0))/Ontwerpberekening!$A$2</f>
        <v>0</v>
      </c>
      <c r="I24" s="9">
        <f>(IF(Ontwerpberekening!E25="Nieuwe Situatie",(_xlfn.IFNA(VLOOKUP(Ontwerp_MKI_Totaal[[#This Row],[Product]]&amp;", "&amp;Ontwerp_MKI_Totaal[[#Headers],[A4]],Database_Productkaarten[#All],14,FALSE),0)*Ontwerpberekening!R25),0))/Ontwerpberekening!$A$2</f>
        <v>0</v>
      </c>
      <c r="J24" s="9">
        <f>(IF(Ontwerpberekening!E25="Nieuwe Situatie",(_xlfn.IFNA(VLOOKUP(Ontwerp_MKI_Totaal[[#This Row],[Product]]&amp;", "&amp;Ontwerp_MKI_Totaal[[#Headers],[A5]],Database_Productkaarten[#All],14,FALSE),0)*Ontwerpberekening!J25),0))/Ontwerpberekening!$A$2</f>
        <v>0</v>
      </c>
      <c r="K24" s="9">
        <f>(IF(Ontwerpberekening!E25="Nieuwe Situatie",(_xlfn.IFNA(VLOOKUP(Ontwerp_MKI_Totaal[[#This Row],[Product]]&amp;", "&amp;Ontwerp_MKI_Totaal[[#Headers],[B1]],Database_Productkaarten[#All],14,FALSE),0)*Ontwerpberekening!J25),0))/Ontwerpberekening!$A$2</f>
        <v>0</v>
      </c>
      <c r="L24" s="9">
        <f>(IF(Ontwerpberekening!E25="Nieuwe Situatie",(_xlfn.IFNA(VLOOKUP(Ontwerp_MKI_Totaal[[#This Row],[Product]]&amp;", "&amp;Ontwerp_MKI_Totaal[[#Headers],[B3]],Database_Productkaarten[#All],14,FALSE),0)*Ontwerpberekening!J25),0))/Ontwerpberekening!$A$2</f>
        <v>0</v>
      </c>
      <c r="M24" s="9">
        <f>(IF(Ontwerpberekening!E25="Nieuwe Situatie",(SUM(Ontwerp_MKI_Totaal[[#This Row],[A1]:[B1]],Ontwerp_MKI_Totaal[[#This Row],[C1]:[D2]])*Ontwerpberekening!T25),0))</f>
        <v>0</v>
      </c>
      <c r="N24" s="9">
        <f>(IF(Ontwerpberekening!E25="Bestaande Situatie",(_xlfn.IFNA(VLOOKUP(Ontwerp_MKI_Totaal[[#This Row],[Product]]&amp;", "&amp;Ontwerp_MKI_Totaal[[#Headers],[C1]],Database_Productkaarten[#All],14,FALSE),0)*Ontwerpberekening!J25),0))/Ontwerpberekening!$A$2</f>
        <v>0.93799999999999994</v>
      </c>
      <c r="O24" s="9">
        <f>(IF(Ontwerpberekening!E25="Bestaande Situatie",(_xlfn.IFNA(VLOOKUP(Ontwerp_MKI_Totaal[[#This Row],[Product]]&amp;", "&amp;Ontwerp_MKI_Totaal[[#Headers],[C2]],Database_Productkaarten[#All],14,FALSE),0)*Ontwerpberekening!R25),0))/Ontwerpberekening!$A$2</f>
        <v>26.928374999999999</v>
      </c>
      <c r="P24" s="9">
        <f>(IF(Ontwerpberekening!E25="Bestaande Situatie",(_xlfn.IFNA(VLOOKUP(Ontwerp_MKI_Totaal[[#This Row],[Product]]&amp;", "&amp;Ontwerp_MKI_Totaal[[#Headers],[C3]],Database_Productkaarten[#All],14,FALSE),0)*Ontwerpberekening!J25),0))/Ontwerpberekening!$A$2</f>
        <v>0</v>
      </c>
      <c r="Q24" s="9">
        <f>(IF(Ontwerpberekening!E25="Bestaande Situatie",(_xlfn.IFNA(VLOOKUP(Ontwerp_MKI_Totaal[[#This Row],[Product]]&amp;", "&amp;Ontwerp_MKI_Totaal[[#Headers],[C4]],Database_Productkaarten[#All],14,FALSE),0)*Ontwerpberekening!J25),0))/Ontwerpberekening!$A$2</f>
        <v>0.27875</v>
      </c>
      <c r="R24" s="9">
        <f>(IF(Ontwerpberekening!E25="Bestaande Situatie",(_xlfn.IFNA(VLOOKUP(Ontwerp_MKI_Totaal[[#This Row],[Product]]&amp;", "&amp;Ontwerp_MKI_Totaal[[#Headers],[D1]],Database_Productkaarten[#All],14,FALSE),0)*Ontwerpberekening!J25),0))/Ontwerpberekening!$A$2</f>
        <v>0</v>
      </c>
      <c r="S24" s="32">
        <f>(IF(Ontwerpberekening!E25="Bestaande Situatie",(_xlfn.IFNA(VLOOKUP(Ontwerp_MKI_Totaal[[#This Row],[Product]]&amp;", "&amp;Ontwerp_MKI_Totaal[[#Headers],[D2]],Database_Productkaarten[#All],14,FALSE),0)*Ontwerpberekening!J25),0))/Ontwerpberekening!$A$2</f>
        <v>0</v>
      </c>
      <c r="T24" s="32">
        <f>(IF(Ontwerpberekening!E25="Bestaande Situatie",(_xlfn.IFNA(VLOOKUP(Ontwerp_MKI_Totaal[[#This Row],[Product]]&amp;", "&amp;Ontwerp_MKI_Totaal[[#Headers],[D]],Database_Productkaarten[#All],14,FALSE),0)*Ontwerpberekening!J25),0))/Ontwerpberekening!$A$2</f>
        <v>-19.923249999999999</v>
      </c>
      <c r="U24" s="9">
        <f>SUM(Ontwerp_MKI_Totaal[[#This Row],[A1-A3]:[C4]])+Ontwerp_MKI_Totaal[[#This Row],[D]]</f>
        <v>8.2218749999999972</v>
      </c>
      <c r="AC24"/>
      <c r="AD24"/>
      <c r="AE24"/>
      <c r="AF24"/>
      <c r="AG24"/>
      <c r="AH24"/>
      <c r="AI24"/>
      <c r="AJ24"/>
      <c r="AK24"/>
      <c r="AL24"/>
      <c r="AM24"/>
      <c r="AN24"/>
      <c r="BJ24"/>
      <c r="BK24"/>
    </row>
    <row r="25" spans="2:88">
      <c r="B25" s="31" t="str">
        <f>Ontwerpberekening!B26</f>
        <v>Plastic kratten</v>
      </c>
      <c r="C25" s="31" t="str">
        <f>Ontwerpberekening!C26</f>
        <v>Toplaag</v>
      </c>
      <c r="D25" s="1" t="str">
        <f>Ontwerpberekening!G26</f>
        <v>Betonstraatsteen 210x105x80</v>
      </c>
      <c r="E25" s="9">
        <f>(IF(Ontwerpberekening!E26="Nieuwe Situatie",(_xlfn.IFNA(VLOOKUP(Ontwerp_MKI_Totaal[[#This Row],[Product]]&amp;", "&amp;Ontwerp_MKI_Totaal[[#Headers],[A1]],Database_Productkaarten[#All],14,FALSE),0)*Ontwerpberekening!J26),0))/Ontwerpberekening!$A$2</f>
        <v>0</v>
      </c>
      <c r="F25" s="9">
        <f>(IF(Ontwerpberekening!E26="Nieuwe Situatie",(_xlfn.IFNA(VLOOKUP(Ontwerp_MKI_Totaal[[#This Row],[Product]]&amp;", "&amp;Ontwerp_MKI_Totaal[[#Headers],[A2]],Database_Productkaarten[#All],14,FALSE),0)*Ontwerpberekening!J26),0))/Ontwerpberekening!$A$2</f>
        <v>0</v>
      </c>
      <c r="G25" s="9">
        <f>(IF(Ontwerpberekening!E26="Nieuwe Situatie",(_xlfn.IFNA(VLOOKUP(Ontwerp_MKI_Totaal[[#This Row],[Product]]&amp;", "&amp;Ontwerp_MKI_Totaal[[#Headers],[A3]],Database_Productkaarten[#All],14,FALSE),0)*Ontwerpberekening!J26),0))/Ontwerpberekening!$A$2</f>
        <v>0</v>
      </c>
      <c r="H25" s="9">
        <f>(IF(Ontwerpberekening!E26="Nieuwe Situatie",(_xlfn.IFNA(VLOOKUP(Ontwerp_MKI_Totaal[[#This Row],[Product]]&amp;", "&amp;Ontwerp_MKI_Totaal[[#Headers],[A1-A3]],Database_Productkaarten[#All],14,FALSE),0)*Ontwerpberekening!J26),0))/Ontwerpberekening!$A$2</f>
        <v>0</v>
      </c>
      <c r="I25" s="9">
        <f>(IF(Ontwerpberekening!E26="Nieuwe Situatie",(_xlfn.IFNA(VLOOKUP(Ontwerp_MKI_Totaal[[#This Row],[Product]]&amp;", "&amp;Ontwerp_MKI_Totaal[[#Headers],[A4]],Database_Productkaarten[#All],14,FALSE),0)*Ontwerpberekening!R26),0))/Ontwerpberekening!$A$2</f>
        <v>0</v>
      </c>
      <c r="J25" s="9">
        <f>(IF(Ontwerpberekening!E26="Nieuwe Situatie",(_xlfn.IFNA(VLOOKUP(Ontwerp_MKI_Totaal[[#This Row],[Product]]&amp;", "&amp;Ontwerp_MKI_Totaal[[#Headers],[A5]],Database_Productkaarten[#All],14,FALSE),0)*Ontwerpberekening!J26),0))/Ontwerpberekening!$A$2</f>
        <v>0</v>
      </c>
      <c r="K25" s="9">
        <f>(IF(Ontwerpberekening!E26="Nieuwe Situatie",(_xlfn.IFNA(VLOOKUP(Ontwerp_MKI_Totaal[[#This Row],[Product]]&amp;", "&amp;Ontwerp_MKI_Totaal[[#Headers],[B1]],Database_Productkaarten[#All],14,FALSE),0)*Ontwerpberekening!J26),0))/Ontwerpberekening!$A$2</f>
        <v>0</v>
      </c>
      <c r="L25" s="9">
        <f>(IF(Ontwerpberekening!E26="Nieuwe Situatie",(_xlfn.IFNA(VLOOKUP(Ontwerp_MKI_Totaal[[#This Row],[Product]]&amp;", "&amp;Ontwerp_MKI_Totaal[[#Headers],[B3]],Database_Productkaarten[#All],14,FALSE),0)*Ontwerpberekening!J26),0))/Ontwerpberekening!$A$2</f>
        <v>0</v>
      </c>
      <c r="M25" s="9">
        <f>(IF(Ontwerpberekening!E26="Nieuwe Situatie",(SUM(Ontwerp_MKI_Totaal[[#This Row],[A1]:[B1]],Ontwerp_MKI_Totaal[[#This Row],[C1]:[D2]])*Ontwerpberekening!T26),0))</f>
        <v>0</v>
      </c>
      <c r="N25" s="9">
        <f>(IF(Ontwerpberekening!E26="Bestaande Situatie",(_xlfn.IFNA(VLOOKUP(Ontwerp_MKI_Totaal[[#This Row],[Product]]&amp;", "&amp;Ontwerp_MKI_Totaal[[#Headers],[C1]],Database_Productkaarten[#All],14,FALSE),0)*Ontwerpberekening!J26),0))/Ontwerpberekening!$A$2</f>
        <v>39.375768999999998</v>
      </c>
      <c r="O25" s="9">
        <f>(IF(Ontwerpberekening!E26="Bestaande Situatie",(_xlfn.IFNA(VLOOKUP(Ontwerp_MKI_Totaal[[#This Row],[Product]]&amp;", "&amp;Ontwerp_MKI_Totaal[[#Headers],[C2]],Database_Productkaarten[#All],14,FALSE),0)*Ontwerpberekening!R26),0))/Ontwerpberekening!$A$2</f>
        <v>12.674071170000001</v>
      </c>
      <c r="P25" s="9">
        <f>(IF(Ontwerpberekening!E26="Bestaande Situatie",(_xlfn.IFNA(VLOOKUP(Ontwerp_MKI_Totaal[[#This Row],[Product]]&amp;", "&amp;Ontwerp_MKI_Totaal[[#Headers],[C3]],Database_Productkaarten[#All],14,FALSE),0)*Ontwerpberekening!J26),0))/Ontwerpberekening!$A$2</f>
        <v>14.404144500000001</v>
      </c>
      <c r="Q25" s="9">
        <f>(IF(Ontwerpberekening!E26="Bestaande Situatie",(_xlfn.IFNA(VLOOKUP(Ontwerp_MKI_Totaal[[#This Row],[Product]]&amp;", "&amp;Ontwerp_MKI_Totaal[[#Headers],[C4]],Database_Productkaarten[#All],14,FALSE),0)*Ontwerpberekening!J26),0))/Ontwerpberekening!$A$2</f>
        <v>0.65691955000000002</v>
      </c>
      <c r="R25" s="9">
        <f>(IF(Ontwerpberekening!E26="Bestaande Situatie",(_xlfn.IFNA(VLOOKUP(Ontwerp_MKI_Totaal[[#This Row],[Product]]&amp;", "&amp;Ontwerp_MKI_Totaal[[#Headers],[D1]],Database_Productkaarten[#All],14,FALSE),0)*Ontwerpberekening!J26),0))/Ontwerpberekening!$A$2</f>
        <v>0</v>
      </c>
      <c r="S25" s="32">
        <f>(IF(Ontwerpberekening!E26="Bestaande Situatie",(_xlfn.IFNA(VLOOKUP(Ontwerp_MKI_Totaal[[#This Row],[Product]]&amp;", "&amp;Ontwerp_MKI_Totaal[[#Headers],[D2]],Database_Productkaarten[#All],14,FALSE),0)*Ontwerpberekening!J26),0))/Ontwerpberekening!$A$2</f>
        <v>0</v>
      </c>
      <c r="T25" s="32">
        <f>(IF(Ontwerpberekening!E26="Bestaande Situatie",(_xlfn.IFNA(VLOOKUP(Ontwerp_MKI_Totaal[[#This Row],[Product]]&amp;", "&amp;Ontwerp_MKI_Totaal[[#Headers],[D]],Database_Productkaarten[#All],14,FALSE),0)*Ontwerpberekening!J26),0))/Ontwerpberekening!$A$2</f>
        <v>-47.231490000000001</v>
      </c>
      <c r="U25" s="9">
        <f>SUM(Ontwerp_MKI_Totaal[[#This Row],[A1-A3]:[C4]])+Ontwerp_MKI_Totaal[[#This Row],[D]]</f>
        <v>19.879414219999994</v>
      </c>
      <c r="AC25"/>
      <c r="AD25"/>
      <c r="AE25"/>
      <c r="AF25"/>
      <c r="AG25"/>
      <c r="AH25"/>
      <c r="AI25"/>
      <c r="AJ25"/>
      <c r="AK25"/>
      <c r="AL25"/>
      <c r="AM25"/>
      <c r="AN25"/>
      <c r="BJ25"/>
      <c r="BK25"/>
    </row>
    <row r="26" spans="2:88">
      <c r="B26" s="31" t="str">
        <f>Ontwerpberekening!B27</f>
        <v>Rockwool</v>
      </c>
      <c r="C26" s="31" t="str">
        <f>Ontwerpberekening!C27</f>
        <v>Grondontgraving</v>
      </c>
      <c r="D26" s="1" t="str">
        <f>Ontwerpberekening!G27</f>
        <v>Ophoogmateriaal (Grond)</v>
      </c>
      <c r="E26" s="9">
        <f>(IF(Ontwerpberekening!E27="Nieuwe Situatie",(_xlfn.IFNA(VLOOKUP(Ontwerp_MKI_Totaal[[#This Row],[Product]]&amp;", "&amp;Ontwerp_MKI_Totaal[[#Headers],[A1]],Database_Productkaarten[#All],14,FALSE),0)*Ontwerpberekening!J27),0))/Ontwerpberekening!$A$2</f>
        <v>0</v>
      </c>
      <c r="F26" s="9">
        <f>(IF(Ontwerpberekening!E27="Nieuwe Situatie",(_xlfn.IFNA(VLOOKUP(Ontwerp_MKI_Totaal[[#This Row],[Product]]&amp;", "&amp;Ontwerp_MKI_Totaal[[#Headers],[A2]],Database_Productkaarten[#All],14,FALSE),0)*Ontwerpberekening!J27),0))/Ontwerpberekening!$A$2</f>
        <v>0</v>
      </c>
      <c r="G26" s="9">
        <f>(IF(Ontwerpberekening!E27="Nieuwe Situatie",(_xlfn.IFNA(VLOOKUP(Ontwerp_MKI_Totaal[[#This Row],[Product]]&amp;", "&amp;Ontwerp_MKI_Totaal[[#Headers],[A3]],Database_Productkaarten[#All],14,FALSE),0)*Ontwerpberekening!J27),0))/Ontwerpberekening!$A$2</f>
        <v>0</v>
      </c>
      <c r="H26" s="9">
        <f>(IF(Ontwerpberekening!E27="Nieuwe Situatie",(_xlfn.IFNA(VLOOKUP(Ontwerp_MKI_Totaal[[#This Row],[Product]]&amp;", "&amp;Ontwerp_MKI_Totaal[[#Headers],[A1-A3]],Database_Productkaarten[#All],14,FALSE),0)*Ontwerpberekening!J27),0))/Ontwerpberekening!$A$2</f>
        <v>0</v>
      </c>
      <c r="I26" s="9">
        <f>(IF(Ontwerpberekening!E27="Nieuwe Situatie",(_xlfn.IFNA(VLOOKUP(Ontwerp_MKI_Totaal[[#This Row],[Product]]&amp;", "&amp;Ontwerp_MKI_Totaal[[#Headers],[A4]],Database_Productkaarten[#All],14,FALSE),0)*Ontwerpberekening!R27),0))/Ontwerpberekening!$A$2</f>
        <v>0</v>
      </c>
      <c r="J26" s="9">
        <f>(IF(Ontwerpberekening!E27="Nieuwe Situatie",(_xlfn.IFNA(VLOOKUP(Ontwerp_MKI_Totaal[[#This Row],[Product]]&amp;", "&amp;Ontwerp_MKI_Totaal[[#Headers],[A5]],Database_Productkaarten[#All],14,FALSE),0)*Ontwerpberekening!J27),0))/Ontwerpberekening!$A$2</f>
        <v>0</v>
      </c>
      <c r="K26" s="9">
        <f>(IF(Ontwerpberekening!E27="Nieuwe Situatie",(_xlfn.IFNA(VLOOKUP(Ontwerp_MKI_Totaal[[#This Row],[Product]]&amp;", "&amp;Ontwerp_MKI_Totaal[[#Headers],[B1]],Database_Productkaarten[#All],14,FALSE),0)*Ontwerpberekening!J27),0))/Ontwerpberekening!$A$2</f>
        <v>0</v>
      </c>
      <c r="L26" s="9">
        <f>(IF(Ontwerpberekening!E27="Nieuwe Situatie",(_xlfn.IFNA(VLOOKUP(Ontwerp_MKI_Totaal[[#This Row],[Product]]&amp;", "&amp;Ontwerp_MKI_Totaal[[#Headers],[B3]],Database_Productkaarten[#All],14,FALSE),0)*Ontwerpberekening!J27),0))/Ontwerpberekening!$A$2</f>
        <v>0</v>
      </c>
      <c r="M26" s="9">
        <f>(IF(Ontwerpberekening!E27="Nieuwe Situatie",(SUM(Ontwerp_MKI_Totaal[[#This Row],[A1]:[B1]],Ontwerp_MKI_Totaal[[#This Row],[C1]:[D2]])*Ontwerpberekening!T27),0))</f>
        <v>0</v>
      </c>
      <c r="N26" s="9">
        <f>(IF(Ontwerpberekening!E27="Bestaande Situatie",(_xlfn.IFNA(VLOOKUP(Ontwerp_MKI_Totaal[[#This Row],[Product]]&amp;", "&amp;Ontwerp_MKI_Totaal[[#Headers],[C1]],Database_Productkaarten[#All],14,FALSE),0)*Ontwerpberekening!J27),0))/Ontwerpberekening!$A$2</f>
        <v>35.2408</v>
      </c>
      <c r="O26" s="9">
        <f>(IF(Ontwerpberekening!E27="Bestaande Situatie",(_xlfn.IFNA(VLOOKUP(Ontwerp_MKI_Totaal[[#This Row],[Product]]&amp;", "&amp;Ontwerp_MKI_Totaal[[#Headers],[C2]],Database_Productkaarten[#All],14,FALSE),0)*Ontwerpberekening!R27),0))/Ontwerpberekening!$A$2</f>
        <v>619.4267625</v>
      </c>
      <c r="P26" s="9">
        <f>(IF(Ontwerpberekening!E27="Bestaande Situatie",(_xlfn.IFNA(VLOOKUP(Ontwerp_MKI_Totaal[[#This Row],[Product]]&amp;", "&amp;Ontwerp_MKI_Totaal[[#Headers],[C3]],Database_Productkaarten[#All],14,FALSE),0)*Ontwerpberekening!J27),0))/Ontwerpberekening!$A$2</f>
        <v>0</v>
      </c>
      <c r="Q26" s="9">
        <f>(IF(Ontwerpberekening!E27="Bestaande Situatie",(_xlfn.IFNA(VLOOKUP(Ontwerp_MKI_Totaal[[#This Row],[Product]]&amp;", "&amp;Ontwerp_MKI_Totaal[[#Headers],[C4]],Database_Productkaarten[#All],14,FALSE),0)*Ontwerpberekening!J27),0))/Ontwerpberekening!$A$2</f>
        <v>5.9192</v>
      </c>
      <c r="R26" s="9">
        <f>(IF(Ontwerpberekening!E27="Bestaande Situatie",(_xlfn.IFNA(VLOOKUP(Ontwerp_MKI_Totaal[[#This Row],[Product]]&amp;", "&amp;Ontwerp_MKI_Totaal[[#Headers],[D1]],Database_Productkaarten[#All],14,FALSE),0)*Ontwerpberekening!J27),0))/Ontwerpberekening!$A$2</f>
        <v>0</v>
      </c>
      <c r="S26" s="32">
        <f>(IF(Ontwerpberekening!E27="Bestaande Situatie",(_xlfn.IFNA(VLOOKUP(Ontwerp_MKI_Totaal[[#This Row],[Product]]&amp;", "&amp;Ontwerp_MKI_Totaal[[#Headers],[D2]],Database_Productkaarten[#All],14,FALSE),0)*Ontwerpberekening!J27),0))/Ontwerpberekening!$A$2</f>
        <v>0</v>
      </c>
      <c r="T26" s="32">
        <f>(IF(Ontwerpberekening!E27="Bestaande Situatie",(_xlfn.IFNA(VLOOKUP(Ontwerp_MKI_Totaal[[#This Row],[Product]]&amp;", "&amp;Ontwerp_MKI_Totaal[[#Headers],[D]],Database_Productkaarten[#All],14,FALSE),0)*Ontwerpberekening!J27),0))/Ontwerpberekening!$A$2</f>
        <v>0</v>
      </c>
      <c r="U26" s="9">
        <f>SUM(Ontwerp_MKI_Totaal[[#This Row],[A1-A3]:[C4]])+Ontwerp_MKI_Totaal[[#This Row],[D]]</f>
        <v>660.58676250000008</v>
      </c>
      <c r="AC26"/>
      <c r="AD26"/>
      <c r="AE26"/>
      <c r="AF26"/>
      <c r="AG26"/>
      <c r="AH26"/>
      <c r="AI26"/>
      <c r="AJ26"/>
      <c r="AK26"/>
      <c r="AL26"/>
      <c r="AM26"/>
      <c r="AN26"/>
      <c r="BJ26"/>
      <c r="BK26"/>
    </row>
    <row r="27" spans="2:88">
      <c r="B27" s="31" t="str">
        <f>Ontwerpberekening!B28</f>
        <v>Rockwool</v>
      </c>
      <c r="C27" s="31" t="str">
        <f>Ontwerpberekening!C28</f>
        <v>Grondverbetering</v>
      </c>
      <c r="D27" s="1" t="str">
        <f>Ontwerpberekening!G28</f>
        <v>Ophoogmateriaal (Zand)</v>
      </c>
      <c r="E27" s="9">
        <f>(IF(Ontwerpberekening!E28="Nieuwe Situatie",(_xlfn.IFNA(VLOOKUP(Ontwerp_MKI_Totaal[[#This Row],[Product]]&amp;", "&amp;Ontwerp_MKI_Totaal[[#Headers],[A1]],Database_Productkaarten[#All],14,FALSE),0)*Ontwerpberekening!J28),0))/Ontwerpberekening!$A$2</f>
        <v>0</v>
      </c>
      <c r="F27" s="9">
        <f>(IF(Ontwerpberekening!E28="Nieuwe Situatie",(_xlfn.IFNA(VLOOKUP(Ontwerp_MKI_Totaal[[#This Row],[Product]]&amp;", "&amp;Ontwerp_MKI_Totaal[[#Headers],[A2]],Database_Productkaarten[#All],14,FALSE),0)*Ontwerpberekening!J28),0))/Ontwerpberekening!$A$2</f>
        <v>0</v>
      </c>
      <c r="G27" s="9">
        <f>(IF(Ontwerpberekening!E28="Nieuwe Situatie",(_xlfn.IFNA(VLOOKUP(Ontwerp_MKI_Totaal[[#This Row],[Product]]&amp;", "&amp;Ontwerp_MKI_Totaal[[#Headers],[A3]],Database_Productkaarten[#All],14,FALSE),0)*Ontwerpberekening!J28),0))/Ontwerpberekening!$A$2</f>
        <v>0</v>
      </c>
      <c r="H27" s="9">
        <f>(IF(Ontwerpberekening!E28="Nieuwe Situatie",(_xlfn.IFNA(VLOOKUP(Ontwerp_MKI_Totaal[[#This Row],[Product]]&amp;", "&amp;Ontwerp_MKI_Totaal[[#Headers],[A1-A3]],Database_Productkaarten[#All],14,FALSE),0)*Ontwerpberekening!J28),0))/Ontwerpberekening!$A$2</f>
        <v>56.060500000000005</v>
      </c>
      <c r="I27" s="9">
        <f>(IF(Ontwerpberekening!E28="Nieuwe Situatie",(_xlfn.IFNA(VLOOKUP(Ontwerp_MKI_Totaal[[#This Row],[Product]]&amp;", "&amp;Ontwerp_MKI_Totaal[[#Headers],[A4]],Database_Productkaarten[#All],14,FALSE),0)*Ontwerpberekening!R28),0))/Ontwerpberekening!$A$2</f>
        <v>26.661749999999998</v>
      </c>
      <c r="J27" s="9">
        <f>(IF(Ontwerpberekening!E28="Nieuwe Situatie",(_xlfn.IFNA(VLOOKUP(Ontwerp_MKI_Totaal[[#This Row],[Product]]&amp;", "&amp;Ontwerp_MKI_Totaal[[#Headers],[A5]],Database_Productkaarten[#All],14,FALSE),0)*Ontwerpberekening!J28),0))/Ontwerpberekening!$A$2</f>
        <v>5.5685000000000002</v>
      </c>
      <c r="K27" s="9">
        <f>(IF(Ontwerpberekening!E28="Nieuwe Situatie",(_xlfn.IFNA(VLOOKUP(Ontwerp_MKI_Totaal[[#This Row],[Product]]&amp;", "&amp;Ontwerp_MKI_Totaal[[#Headers],[B1]],Database_Productkaarten[#All],14,FALSE),0)*Ontwerpberekening!J28),0))/Ontwerpberekening!$A$2</f>
        <v>0</v>
      </c>
      <c r="L27" s="9">
        <f>(IF(Ontwerpberekening!E28="Nieuwe Situatie",(_xlfn.IFNA(VLOOKUP(Ontwerp_MKI_Totaal[[#This Row],[Product]]&amp;", "&amp;Ontwerp_MKI_Totaal[[#Headers],[B3]],Database_Productkaarten[#All],14,FALSE),0)*Ontwerpberekening!J28),0))/Ontwerpberekening!$A$2</f>
        <v>0</v>
      </c>
      <c r="M27" s="9">
        <f>(IF(Ontwerpberekening!E28="Nieuwe Situatie",(SUM(Ontwerp_MKI_Totaal[[#This Row],[A1]:[B1]],Ontwerp_MKI_Totaal[[#This Row],[C1]:[D2]])*Ontwerpberekening!T28),0))</f>
        <v>0</v>
      </c>
      <c r="N27" s="9">
        <f>(IF(Ontwerpberekening!E28="Bestaande Situatie",(_xlfn.IFNA(VLOOKUP(Ontwerp_MKI_Totaal[[#This Row],[Product]]&amp;", "&amp;Ontwerp_MKI_Totaal[[#Headers],[C1]],Database_Productkaarten[#All],14,FALSE),0)*Ontwerpberekening!J28),0))/Ontwerpberekening!$A$2</f>
        <v>0</v>
      </c>
      <c r="O27" s="9">
        <f>(IF(Ontwerpberekening!E28="Bestaande Situatie",(_xlfn.IFNA(VLOOKUP(Ontwerp_MKI_Totaal[[#This Row],[Product]]&amp;", "&amp;Ontwerp_MKI_Totaal[[#Headers],[C2]],Database_Productkaarten[#All],14,FALSE),0)*Ontwerpberekening!R28),0))/Ontwerpberekening!$A$2</f>
        <v>0</v>
      </c>
      <c r="P27" s="9">
        <f>(IF(Ontwerpberekening!E28="Bestaande Situatie",(_xlfn.IFNA(VLOOKUP(Ontwerp_MKI_Totaal[[#This Row],[Product]]&amp;", "&amp;Ontwerp_MKI_Totaal[[#Headers],[C3]],Database_Productkaarten[#All],14,FALSE),0)*Ontwerpberekening!J28),0))/Ontwerpberekening!$A$2</f>
        <v>0</v>
      </c>
      <c r="Q27" s="9">
        <f>(IF(Ontwerpberekening!E28="Bestaande Situatie",(_xlfn.IFNA(VLOOKUP(Ontwerp_MKI_Totaal[[#This Row],[Product]]&amp;", "&amp;Ontwerp_MKI_Totaal[[#Headers],[C4]],Database_Productkaarten[#All],14,FALSE),0)*Ontwerpberekening!J28),0))/Ontwerpberekening!$A$2</f>
        <v>0</v>
      </c>
      <c r="R27" s="9">
        <f>(IF(Ontwerpberekening!E28="Bestaande Situatie",(_xlfn.IFNA(VLOOKUP(Ontwerp_MKI_Totaal[[#This Row],[Product]]&amp;", "&amp;Ontwerp_MKI_Totaal[[#Headers],[D1]],Database_Productkaarten[#All],14,FALSE),0)*Ontwerpberekening!J28),0))/Ontwerpberekening!$A$2</f>
        <v>0</v>
      </c>
      <c r="S27" s="32">
        <f>(IF(Ontwerpberekening!E28="Bestaande Situatie",(_xlfn.IFNA(VLOOKUP(Ontwerp_MKI_Totaal[[#This Row],[Product]]&amp;", "&amp;Ontwerp_MKI_Totaal[[#Headers],[D2]],Database_Productkaarten[#All],14,FALSE),0)*Ontwerpberekening!J28),0))/Ontwerpberekening!$A$2</f>
        <v>0</v>
      </c>
      <c r="T27" s="32">
        <f>(IF(Ontwerpberekening!E28="Bestaande Situatie",(_xlfn.IFNA(VLOOKUP(Ontwerp_MKI_Totaal[[#This Row],[Product]]&amp;", "&amp;Ontwerp_MKI_Totaal[[#Headers],[D]],Database_Productkaarten[#All],14,FALSE),0)*Ontwerpberekening!J28),0))/Ontwerpberekening!$A$2</f>
        <v>0</v>
      </c>
      <c r="U27" s="9">
        <f>SUM(Ontwerp_MKI_Totaal[[#This Row],[A1-A3]:[C4]])+Ontwerp_MKI_Totaal[[#This Row],[D]]</f>
        <v>88.290750000000003</v>
      </c>
      <c r="AC27"/>
      <c r="AD27"/>
      <c r="AE27"/>
      <c r="AF27"/>
      <c r="AG27"/>
      <c r="AH27"/>
      <c r="AI27"/>
      <c r="AJ27"/>
      <c r="AK27"/>
      <c r="AL27"/>
      <c r="AM27"/>
      <c r="AN27"/>
      <c r="BJ27"/>
      <c r="BK27"/>
    </row>
    <row r="28" spans="2:88">
      <c r="B28" s="31" t="str">
        <f>Ontwerpberekening!B29</f>
        <v>Rockwool</v>
      </c>
      <c r="C28" s="31" t="str">
        <f>Ontwerpberekening!C29</f>
        <v>Waterbergendelaag</v>
      </c>
      <c r="D28" s="1" t="str">
        <f>Ontwerpberekening!G29</f>
        <v>Rockwool, 50 cm</v>
      </c>
      <c r="E28" s="9">
        <f>(IF(Ontwerpberekening!E29="Nieuwe Situatie",(_xlfn.IFNA(VLOOKUP(Ontwerp_MKI_Totaal[[#This Row],[Product]]&amp;", "&amp;Ontwerp_MKI_Totaal[[#Headers],[A1]],Database_Productkaarten[#All],14,FALSE),0)*Ontwerpberekening!J29),0))/Ontwerpberekening!$A$2</f>
        <v>0</v>
      </c>
      <c r="F28" s="9">
        <f>(IF(Ontwerpberekening!E29="Nieuwe Situatie",(_xlfn.IFNA(VLOOKUP(Ontwerp_MKI_Totaal[[#This Row],[Product]]&amp;", "&amp;Ontwerp_MKI_Totaal[[#Headers],[A2]],Database_Productkaarten[#All],14,FALSE),0)*Ontwerpberekening!J29),0))/Ontwerpberekening!$A$2</f>
        <v>0</v>
      </c>
      <c r="G28" s="9">
        <f>(IF(Ontwerpberekening!E29="Nieuwe Situatie",(_xlfn.IFNA(VLOOKUP(Ontwerp_MKI_Totaal[[#This Row],[Product]]&amp;", "&amp;Ontwerp_MKI_Totaal[[#Headers],[A3]],Database_Productkaarten[#All],14,FALSE),0)*Ontwerpberekening!J29),0))/Ontwerpberekening!$A$2</f>
        <v>0</v>
      </c>
      <c r="H28" s="9">
        <f>(IF(Ontwerpberekening!E29="Nieuwe Situatie",(_xlfn.IFNA(VLOOKUP(Ontwerp_MKI_Totaal[[#This Row],[Product]]&amp;", "&amp;Ontwerp_MKI_Totaal[[#Headers],[A1-A3]],Database_Productkaarten[#All],14,FALSE),0)*Ontwerpberekening!J29),0))/Ontwerpberekening!$A$2</f>
        <v>0</v>
      </c>
      <c r="I28" s="9">
        <f>(IF(Ontwerpberekening!E29="Nieuwe Situatie",(_xlfn.IFNA(VLOOKUP(Ontwerp_MKI_Totaal[[#This Row],[Product]]&amp;", "&amp;Ontwerp_MKI_Totaal[[#Headers],[A4]],Database_Productkaarten[#All],14,FALSE),0)*Ontwerpberekening!R29),0))/Ontwerpberekening!$A$2</f>
        <v>0</v>
      </c>
      <c r="J28" s="9">
        <f>(IF(Ontwerpberekening!E29="Nieuwe Situatie",(_xlfn.IFNA(VLOOKUP(Ontwerp_MKI_Totaal[[#This Row],[Product]]&amp;", "&amp;Ontwerp_MKI_Totaal[[#Headers],[A5]],Database_Productkaarten[#All],14,FALSE),0)*Ontwerpberekening!J29),0))/Ontwerpberekening!$A$2</f>
        <v>0</v>
      </c>
      <c r="K28" s="9">
        <f>(IF(Ontwerpberekening!E29="Nieuwe Situatie",(_xlfn.IFNA(VLOOKUP(Ontwerp_MKI_Totaal[[#This Row],[Product]]&amp;", "&amp;Ontwerp_MKI_Totaal[[#Headers],[B1]],Database_Productkaarten[#All],14,FALSE),0)*Ontwerpberekening!J29),0))/Ontwerpberekening!$A$2</f>
        <v>0</v>
      </c>
      <c r="L28" s="9">
        <f>(IF(Ontwerpberekening!E29="Nieuwe Situatie",(_xlfn.IFNA(VLOOKUP(Ontwerp_MKI_Totaal[[#This Row],[Product]]&amp;", "&amp;Ontwerp_MKI_Totaal[[#Headers],[B3]],Database_Productkaarten[#All],14,FALSE),0)*Ontwerpberekening!J29),0))/Ontwerpberekening!$A$2</f>
        <v>0</v>
      </c>
      <c r="M28" s="9">
        <f>(IF(Ontwerpberekening!E29="Nieuwe Situatie",(SUM(Ontwerp_MKI_Totaal[[#This Row],[A1]:[B1]],Ontwerp_MKI_Totaal[[#This Row],[C1]:[D2]])*Ontwerpberekening!T29),0))</f>
        <v>0</v>
      </c>
      <c r="N28" s="9">
        <f>(IF(Ontwerpberekening!E29="Bestaande Situatie",(_xlfn.IFNA(VLOOKUP(Ontwerp_MKI_Totaal[[#This Row],[Product]]&amp;", "&amp;Ontwerp_MKI_Totaal[[#Headers],[C1]],Database_Productkaarten[#All],14,FALSE),0)*Ontwerpberekening!J29),0))/Ontwerpberekening!$A$2</f>
        <v>0</v>
      </c>
      <c r="O28" s="9">
        <f>(IF(Ontwerpberekening!E29="Bestaande Situatie",(_xlfn.IFNA(VLOOKUP(Ontwerp_MKI_Totaal[[#This Row],[Product]]&amp;", "&amp;Ontwerp_MKI_Totaal[[#Headers],[C2]],Database_Productkaarten[#All],14,FALSE),0)*Ontwerpberekening!R29),0))/Ontwerpberekening!$A$2</f>
        <v>0</v>
      </c>
      <c r="P28" s="9">
        <f>(IF(Ontwerpberekening!E29="Bestaande Situatie",(_xlfn.IFNA(VLOOKUP(Ontwerp_MKI_Totaal[[#This Row],[Product]]&amp;", "&amp;Ontwerp_MKI_Totaal[[#Headers],[C3]],Database_Productkaarten[#All],14,FALSE),0)*Ontwerpberekening!J29),0))/Ontwerpberekening!$A$2</f>
        <v>0</v>
      </c>
      <c r="Q28" s="9">
        <f>(IF(Ontwerpberekening!E29="Bestaande Situatie",(_xlfn.IFNA(VLOOKUP(Ontwerp_MKI_Totaal[[#This Row],[Product]]&amp;", "&amp;Ontwerp_MKI_Totaal[[#Headers],[C4]],Database_Productkaarten[#All],14,FALSE),0)*Ontwerpberekening!J29),0))/Ontwerpberekening!$A$2</f>
        <v>0</v>
      </c>
      <c r="R28" s="9">
        <f>(IF(Ontwerpberekening!E29="Bestaande Situatie",(_xlfn.IFNA(VLOOKUP(Ontwerp_MKI_Totaal[[#This Row],[Product]]&amp;", "&amp;Ontwerp_MKI_Totaal[[#Headers],[D1]],Database_Productkaarten[#All],14,FALSE),0)*Ontwerpberekening!J29),0))/Ontwerpberekening!$A$2</f>
        <v>0</v>
      </c>
      <c r="S28" s="9">
        <f>(IF(Ontwerpberekening!E29="Bestaande Situatie",(_xlfn.IFNA(VLOOKUP(Ontwerp_MKI_Totaal[[#This Row],[Product]]&amp;", "&amp;Ontwerp_MKI_Totaal[[#Headers],[D2]],Database_Productkaarten[#All],14,FALSE),0)*Ontwerpberekening!J29),0))/Ontwerpberekening!$A$2</f>
        <v>0</v>
      </c>
      <c r="T28" s="9">
        <f>(IF(Ontwerpberekening!E29="Bestaande Situatie",(_xlfn.IFNA(VLOOKUP(Ontwerp_MKI_Totaal[[#This Row],[Product]]&amp;", "&amp;Ontwerp_MKI_Totaal[[#Headers],[D]],Database_Productkaarten[#All],14,FALSE),0)*Ontwerpberekening!J29),0))/Ontwerpberekening!$A$2</f>
        <v>0</v>
      </c>
      <c r="U28" s="9">
        <f>SUM(Ontwerp_MKI_Totaal[[#This Row],[A1-A3]:[C4]])+Ontwerp_MKI_Totaal[[#This Row],[D]]</f>
        <v>0</v>
      </c>
      <c r="AC28"/>
      <c r="AD28"/>
      <c r="AE28"/>
      <c r="AF28"/>
      <c r="AG28"/>
      <c r="AH28"/>
      <c r="AI28"/>
      <c r="AJ28"/>
      <c r="AK28"/>
      <c r="AL28"/>
      <c r="AM28"/>
      <c r="AN28"/>
      <c r="BJ28"/>
      <c r="BK28"/>
    </row>
    <row r="29" spans="2:88">
      <c r="B29" s="31" t="str">
        <f>Ontwerpberekening!B30</f>
        <v>Rockwool</v>
      </c>
      <c r="C29" s="31" t="str">
        <f>Ontwerpberekening!C30</f>
        <v>Menggranulaat</v>
      </c>
      <c r="D29" s="1" t="str">
        <f>Ontwerpberekening!G30</f>
        <v>Menggranulaat 300mm</v>
      </c>
      <c r="E29" s="9">
        <f>(IF(Ontwerpberekening!E30="Nieuwe Situatie",(_xlfn.IFNA(VLOOKUP(Ontwerp_MKI_Totaal[[#This Row],[Product]]&amp;", "&amp;Ontwerp_MKI_Totaal[[#Headers],[A1]],Database_Productkaarten[#All],14,FALSE),0)*Ontwerpberekening!J30),0))/Ontwerpberekening!$A$2</f>
        <v>0</v>
      </c>
      <c r="F29" s="9">
        <f>(IF(Ontwerpberekening!E30="Nieuwe Situatie",(_xlfn.IFNA(VLOOKUP(Ontwerp_MKI_Totaal[[#This Row],[Product]]&amp;", "&amp;Ontwerp_MKI_Totaal[[#Headers],[A2]],Database_Productkaarten[#All],14,FALSE),0)*Ontwerpberekening!J30),0))/Ontwerpberekening!$A$2</f>
        <v>0</v>
      </c>
      <c r="G29" s="9">
        <f>(IF(Ontwerpberekening!E30="Nieuwe Situatie",(_xlfn.IFNA(VLOOKUP(Ontwerp_MKI_Totaal[[#This Row],[Product]]&amp;", "&amp;Ontwerp_MKI_Totaal[[#Headers],[A3]],Database_Productkaarten[#All],14,FALSE),0)*Ontwerpberekening!J30),0))/Ontwerpberekening!$A$2</f>
        <v>0</v>
      </c>
      <c r="H29" s="9">
        <f>(IF(Ontwerpberekening!E30="Nieuwe Situatie",(_xlfn.IFNA(VLOOKUP(Ontwerp_MKI_Totaal[[#This Row],[Product]]&amp;", "&amp;Ontwerp_MKI_Totaal[[#Headers],[A1-A3]],Database_Productkaarten[#All],14,FALSE),0)*Ontwerpberekening!J30),0))/Ontwerpberekening!$A$2</f>
        <v>0</v>
      </c>
      <c r="I29" s="9">
        <f>(IF(Ontwerpberekening!E30="Nieuwe Situatie",(_xlfn.IFNA(VLOOKUP(Ontwerp_MKI_Totaal[[#This Row],[Product]]&amp;", "&amp;Ontwerp_MKI_Totaal[[#Headers],[A4]],Database_Productkaarten[#All],14,FALSE),0)*Ontwerpberekening!R30),0))/Ontwerpberekening!$A$2</f>
        <v>81.885374999999996</v>
      </c>
      <c r="J29" s="9">
        <f>(IF(Ontwerpberekening!E30="Nieuwe Situatie",(_xlfn.IFNA(VLOOKUP(Ontwerp_MKI_Totaal[[#This Row],[Product]]&amp;", "&amp;Ontwerp_MKI_Totaal[[#Headers],[A5]],Database_Productkaarten[#All],14,FALSE),0)*Ontwerpberekening!J30),0))/Ontwerpberekening!$A$2</f>
        <v>94.015000000000001</v>
      </c>
      <c r="K29" s="9">
        <f>(IF(Ontwerpberekening!E30="Nieuwe Situatie",(_xlfn.IFNA(VLOOKUP(Ontwerp_MKI_Totaal[[#This Row],[Product]]&amp;", "&amp;Ontwerp_MKI_Totaal[[#Headers],[B1]],Database_Productkaarten[#All],14,FALSE),0)*Ontwerpberekening!J30),0))/Ontwerpberekening!$A$2</f>
        <v>20.62</v>
      </c>
      <c r="L29" s="9">
        <f>(IF(Ontwerpberekening!E30="Nieuwe Situatie",(_xlfn.IFNA(VLOOKUP(Ontwerp_MKI_Totaal[[#This Row],[Product]]&amp;", "&amp;Ontwerp_MKI_Totaal[[#Headers],[B3]],Database_Productkaarten[#All],14,FALSE),0)*Ontwerpberekening!J30),0))/Ontwerpberekening!$A$2</f>
        <v>0</v>
      </c>
      <c r="M29" s="9">
        <f>(IF(Ontwerpberekening!E30="Nieuwe Situatie",(SUM(Ontwerp_MKI_Totaal[[#This Row],[A1]:[B1]],Ontwerp_MKI_Totaal[[#This Row],[C1]:[D2]])*Ontwerpberekening!T30),0))</f>
        <v>0</v>
      </c>
      <c r="N29" s="9">
        <f>(IF(Ontwerpberekening!E30="Bestaande Situatie",(_xlfn.IFNA(VLOOKUP(Ontwerp_MKI_Totaal[[#This Row],[Product]]&amp;", "&amp;Ontwerp_MKI_Totaal[[#Headers],[C1]],Database_Productkaarten[#All],14,FALSE),0)*Ontwerpberekening!J30),0))/Ontwerpberekening!$A$2</f>
        <v>0</v>
      </c>
      <c r="O29" s="9">
        <f>(IF(Ontwerpberekening!E30="Bestaande Situatie",(_xlfn.IFNA(VLOOKUP(Ontwerp_MKI_Totaal[[#This Row],[Product]]&amp;", "&amp;Ontwerp_MKI_Totaal[[#Headers],[C2]],Database_Productkaarten[#All],14,FALSE),0)*Ontwerpberekening!R30),0))/Ontwerpberekening!$A$2</f>
        <v>0</v>
      </c>
      <c r="P29" s="9">
        <f>(IF(Ontwerpberekening!E30="Bestaande Situatie",(_xlfn.IFNA(VLOOKUP(Ontwerp_MKI_Totaal[[#This Row],[Product]]&amp;", "&amp;Ontwerp_MKI_Totaal[[#Headers],[C3]],Database_Productkaarten[#All],14,FALSE),0)*Ontwerpberekening!J30),0))/Ontwerpberekening!$A$2</f>
        <v>0</v>
      </c>
      <c r="Q29" s="9">
        <f>(IF(Ontwerpberekening!E30="Bestaande Situatie",(_xlfn.IFNA(VLOOKUP(Ontwerp_MKI_Totaal[[#This Row],[Product]]&amp;", "&amp;Ontwerp_MKI_Totaal[[#Headers],[C4]],Database_Productkaarten[#All],14,FALSE),0)*Ontwerpberekening!J30),0))/Ontwerpberekening!$A$2</f>
        <v>0</v>
      </c>
      <c r="R29" s="9">
        <f>(IF(Ontwerpberekening!E30="Bestaande Situatie",(_xlfn.IFNA(VLOOKUP(Ontwerp_MKI_Totaal[[#This Row],[Product]]&amp;", "&amp;Ontwerp_MKI_Totaal[[#Headers],[D1]],Database_Productkaarten[#All],14,FALSE),0)*Ontwerpberekening!J30),0))/Ontwerpberekening!$A$2</f>
        <v>0</v>
      </c>
      <c r="S29" s="32">
        <f>(IF(Ontwerpberekening!E30="Bestaande Situatie",(_xlfn.IFNA(VLOOKUP(Ontwerp_MKI_Totaal[[#This Row],[Product]]&amp;", "&amp;Ontwerp_MKI_Totaal[[#Headers],[D2]],Database_Productkaarten[#All],14,FALSE),0)*Ontwerpberekening!J30),0))/Ontwerpberekening!$A$2</f>
        <v>0</v>
      </c>
      <c r="T29" s="32">
        <f>(IF(Ontwerpberekening!E30="Bestaande Situatie",(_xlfn.IFNA(VLOOKUP(Ontwerp_MKI_Totaal[[#This Row],[Product]]&amp;", "&amp;Ontwerp_MKI_Totaal[[#Headers],[D]],Database_Productkaarten[#All],14,FALSE),0)*Ontwerpberekening!J30),0))/Ontwerpberekening!$A$2</f>
        <v>0</v>
      </c>
      <c r="U29" s="9">
        <f>SUM(Ontwerp_MKI_Totaal[[#This Row],[A1-A3]:[C4]])+Ontwerp_MKI_Totaal[[#This Row],[D]]</f>
        <v>196.520375</v>
      </c>
      <c r="AC29"/>
      <c r="AD29"/>
      <c r="AE29"/>
      <c r="AF29"/>
      <c r="AG29"/>
      <c r="AH29"/>
      <c r="AI29"/>
      <c r="AJ29"/>
      <c r="AK29"/>
      <c r="AL29"/>
      <c r="AM29"/>
      <c r="AN29"/>
      <c r="BJ29"/>
      <c r="BK29"/>
    </row>
    <row r="30" spans="2:88">
      <c r="B30" s="31" t="str">
        <f>Ontwerpberekening!B31</f>
        <v>Rockwool</v>
      </c>
      <c r="C30" s="31" t="str">
        <f>Ontwerpberekening!C31</f>
        <v>Straatlaag</v>
      </c>
      <c r="D30" s="1" t="str">
        <f>Ontwerpberekening!G31</f>
        <v>Ophoogmateriaal (Zand)</v>
      </c>
      <c r="E30" s="9">
        <f>(IF(Ontwerpberekening!E31="Nieuwe Situatie",(_xlfn.IFNA(VLOOKUP(Ontwerp_MKI_Totaal[[#This Row],[Product]]&amp;", "&amp;Ontwerp_MKI_Totaal[[#Headers],[A1]],Database_Productkaarten[#All],14,FALSE),0)*Ontwerpberekening!J31),0))/Ontwerpberekening!$A$2</f>
        <v>0</v>
      </c>
      <c r="F30" s="9">
        <f>(IF(Ontwerpberekening!E31="Nieuwe Situatie",(_xlfn.IFNA(VLOOKUP(Ontwerp_MKI_Totaal[[#This Row],[Product]]&amp;", "&amp;Ontwerp_MKI_Totaal[[#Headers],[A2]],Database_Productkaarten[#All],14,FALSE),0)*Ontwerpberekening!J31),0))/Ontwerpberekening!$A$2</f>
        <v>0</v>
      </c>
      <c r="G30" s="9">
        <f>(IF(Ontwerpberekening!E31="Nieuwe Situatie",(_xlfn.IFNA(VLOOKUP(Ontwerp_MKI_Totaal[[#This Row],[Product]]&amp;", "&amp;Ontwerp_MKI_Totaal[[#Headers],[A3]],Database_Productkaarten[#All],14,FALSE),0)*Ontwerpberekening!J31),0))/Ontwerpberekening!$A$2</f>
        <v>0</v>
      </c>
      <c r="H30" s="9">
        <f>(IF(Ontwerpberekening!E31="Nieuwe Situatie",(_xlfn.IFNA(VLOOKUP(Ontwerp_MKI_Totaal[[#This Row],[Product]]&amp;", "&amp;Ontwerp_MKI_Totaal[[#Headers],[A1-A3]],Database_Productkaarten[#All],14,FALSE),0)*Ontwerpberekening!J31),0))/Ontwerpberekening!$A$2</f>
        <v>56.060500000000005</v>
      </c>
      <c r="I30" s="9">
        <f>(IF(Ontwerpberekening!E31="Nieuwe Situatie",(_xlfn.IFNA(VLOOKUP(Ontwerp_MKI_Totaal[[#This Row],[Product]]&amp;", "&amp;Ontwerp_MKI_Totaal[[#Headers],[A4]],Database_Productkaarten[#All],14,FALSE),0)*Ontwerpberekening!R31),0))/Ontwerpberekening!$A$2</f>
        <v>26.661749999999998</v>
      </c>
      <c r="J30" s="9">
        <f>(IF(Ontwerpberekening!E31="Nieuwe Situatie",(_xlfn.IFNA(VLOOKUP(Ontwerp_MKI_Totaal[[#This Row],[Product]]&amp;", "&amp;Ontwerp_MKI_Totaal[[#Headers],[A5]],Database_Productkaarten[#All],14,FALSE),0)*Ontwerpberekening!J31),0))/Ontwerpberekening!$A$2</f>
        <v>5.5685000000000002</v>
      </c>
      <c r="K30" s="9">
        <f>(IF(Ontwerpberekening!E31="Nieuwe Situatie",(_xlfn.IFNA(VLOOKUP(Ontwerp_MKI_Totaal[[#This Row],[Product]]&amp;", "&amp;Ontwerp_MKI_Totaal[[#Headers],[B1]],Database_Productkaarten[#All],14,FALSE),0)*Ontwerpberekening!J31),0))/Ontwerpberekening!$A$2</f>
        <v>0</v>
      </c>
      <c r="L30" s="9">
        <f>(IF(Ontwerpberekening!E31="Nieuwe Situatie",(_xlfn.IFNA(VLOOKUP(Ontwerp_MKI_Totaal[[#This Row],[Product]]&amp;", "&amp;Ontwerp_MKI_Totaal[[#Headers],[B3]],Database_Productkaarten[#All],14,FALSE),0)*Ontwerpberekening!J31),0))/Ontwerpberekening!$A$2</f>
        <v>0</v>
      </c>
      <c r="M30" s="9">
        <f>(IF(Ontwerpberekening!E31="Nieuwe Situatie",(SUM(Ontwerp_MKI_Totaal[[#This Row],[A1]:[B1]],Ontwerp_MKI_Totaal[[#This Row],[C1]:[D2]])*Ontwerpberekening!T31),0))</f>
        <v>0</v>
      </c>
      <c r="N30" s="9">
        <f>(IF(Ontwerpberekening!E31="Bestaande Situatie",(_xlfn.IFNA(VLOOKUP(Ontwerp_MKI_Totaal[[#This Row],[Product]]&amp;", "&amp;Ontwerp_MKI_Totaal[[#Headers],[C1]],Database_Productkaarten[#All],14,FALSE),0)*Ontwerpberekening!J31),0))/Ontwerpberekening!$A$2</f>
        <v>0</v>
      </c>
      <c r="O30" s="9">
        <f>(IF(Ontwerpberekening!E31="Bestaande Situatie",(_xlfn.IFNA(VLOOKUP(Ontwerp_MKI_Totaal[[#This Row],[Product]]&amp;", "&amp;Ontwerp_MKI_Totaal[[#Headers],[C2]],Database_Productkaarten[#All],14,FALSE),0)*Ontwerpberekening!R31),0))/Ontwerpberekening!$A$2</f>
        <v>0</v>
      </c>
      <c r="P30" s="9">
        <f>(IF(Ontwerpberekening!E31="Bestaande Situatie",(_xlfn.IFNA(VLOOKUP(Ontwerp_MKI_Totaal[[#This Row],[Product]]&amp;", "&amp;Ontwerp_MKI_Totaal[[#Headers],[C3]],Database_Productkaarten[#All],14,FALSE),0)*Ontwerpberekening!J31),0))/Ontwerpberekening!$A$2</f>
        <v>0</v>
      </c>
      <c r="Q30" s="9">
        <f>(IF(Ontwerpberekening!E31="Bestaande Situatie",(_xlfn.IFNA(VLOOKUP(Ontwerp_MKI_Totaal[[#This Row],[Product]]&amp;", "&amp;Ontwerp_MKI_Totaal[[#Headers],[C4]],Database_Productkaarten[#All],14,FALSE),0)*Ontwerpberekening!J31),0))/Ontwerpberekening!$A$2</f>
        <v>0</v>
      </c>
      <c r="R30" s="9">
        <f>(IF(Ontwerpberekening!E31="Bestaande Situatie",(_xlfn.IFNA(VLOOKUP(Ontwerp_MKI_Totaal[[#This Row],[Product]]&amp;", "&amp;Ontwerp_MKI_Totaal[[#Headers],[D1]],Database_Productkaarten[#All],14,FALSE),0)*Ontwerpberekening!J31),0))/Ontwerpberekening!$A$2</f>
        <v>0</v>
      </c>
      <c r="S30" s="32">
        <f>(IF(Ontwerpberekening!E31="Bestaande Situatie",(_xlfn.IFNA(VLOOKUP(Ontwerp_MKI_Totaal[[#This Row],[Product]]&amp;", "&amp;Ontwerp_MKI_Totaal[[#Headers],[D2]],Database_Productkaarten[#All],14,FALSE),0)*Ontwerpberekening!J31),0))/Ontwerpberekening!$A$2</f>
        <v>0</v>
      </c>
      <c r="T30" s="32">
        <f>(IF(Ontwerpberekening!E31="Bestaande Situatie",(_xlfn.IFNA(VLOOKUP(Ontwerp_MKI_Totaal[[#This Row],[Product]]&amp;", "&amp;Ontwerp_MKI_Totaal[[#Headers],[D]],Database_Productkaarten[#All],14,FALSE),0)*Ontwerpberekening!J31),0))/Ontwerpberekening!$A$2</f>
        <v>0</v>
      </c>
      <c r="U30" s="9">
        <f>SUM(Ontwerp_MKI_Totaal[[#This Row],[A1-A3]:[C4]])+Ontwerp_MKI_Totaal[[#This Row],[D]]</f>
        <v>88.290750000000003</v>
      </c>
      <c r="AC30"/>
      <c r="AD30"/>
      <c r="AE30"/>
      <c r="AF30"/>
      <c r="AG30"/>
      <c r="AH30"/>
      <c r="AI30"/>
      <c r="AJ30"/>
      <c r="AK30"/>
      <c r="AL30"/>
      <c r="AM30"/>
      <c r="AN30"/>
    </row>
    <row r="31" spans="2:88">
      <c r="B31" s="31" t="str">
        <f>Ontwerpberekening!B32</f>
        <v>Rockwool</v>
      </c>
      <c r="C31" s="31" t="str">
        <f>Ontwerpberekening!C32</f>
        <v>Toplaag</v>
      </c>
      <c r="D31" s="1" t="str">
        <f>Ontwerpberekening!G32</f>
        <v>Betonstraatsteen 210x105x80</v>
      </c>
      <c r="E31" s="9">
        <f>(IF(Ontwerpberekening!E32="Nieuwe Situatie",(_xlfn.IFNA(VLOOKUP(Ontwerp_MKI_Totaal[[#This Row],[Product]]&amp;", "&amp;Ontwerp_MKI_Totaal[[#Headers],[A1]],Database_Productkaarten[#All],14,FALSE),0)*Ontwerpberekening!J32),0))/Ontwerpberekening!$A$2</f>
        <v>792.97525000000007</v>
      </c>
      <c r="F31" s="9">
        <f>(IF(Ontwerpberekening!E32="Nieuwe Situatie",(_xlfn.IFNA(VLOOKUP(Ontwerp_MKI_Totaal[[#This Row],[Product]]&amp;", "&amp;Ontwerp_MKI_Totaal[[#Headers],[A2]],Database_Productkaarten[#All],14,FALSE),0)*Ontwerpberekening!J32),0))/Ontwerpberekening!$A$2</f>
        <v>56.953865</v>
      </c>
      <c r="G31" s="9">
        <f>(IF(Ontwerpberekening!E32="Nieuwe Situatie",(_xlfn.IFNA(VLOOKUP(Ontwerp_MKI_Totaal[[#This Row],[Product]]&amp;", "&amp;Ontwerp_MKI_Totaal[[#Headers],[A3]],Database_Productkaarten[#All],14,FALSE),0)*Ontwerpberekening!J32),0))/Ontwerpberekening!$A$2</f>
        <v>41.570878999999998</v>
      </c>
      <c r="H31" s="9">
        <f>(IF(Ontwerpberekening!E32="Nieuwe Situatie",(_xlfn.IFNA(VLOOKUP(Ontwerp_MKI_Totaal[[#This Row],[Product]]&amp;", "&amp;Ontwerp_MKI_Totaal[[#Headers],[A1-A3]],Database_Productkaarten[#All],14,FALSE),0)*Ontwerpberekening!J32),0))/Ontwerpberekening!$A$2</f>
        <v>891.49999400000002</v>
      </c>
      <c r="I31" s="9">
        <f>(IF(Ontwerpberekening!E32="Nieuwe Situatie",(_xlfn.IFNA(VLOOKUP(Ontwerp_MKI_Totaal[[#This Row],[Product]]&amp;", "&amp;Ontwerp_MKI_Totaal[[#Headers],[A4]],Database_Productkaarten[#All],14,FALSE),0)*Ontwerpberekening!R32),0))/Ontwerpberekening!$A$2</f>
        <v>37.645757542000005</v>
      </c>
      <c r="J31" s="9">
        <f>(IF(Ontwerpberekening!E32="Nieuwe Situatie",(_xlfn.IFNA(VLOOKUP(Ontwerp_MKI_Totaal[[#This Row],[Product]]&amp;", "&amp;Ontwerp_MKI_Totaal[[#Headers],[A5]],Database_Productkaarten[#All],14,FALSE),0)*Ontwerpberekening!J32),0))/Ontwerpberekening!$A$2</f>
        <v>73.560969999999998</v>
      </c>
      <c r="K31" s="9">
        <f>(IF(Ontwerpberekening!E32="Nieuwe Situatie",(_xlfn.IFNA(VLOOKUP(Ontwerp_MKI_Totaal[[#This Row],[Product]]&amp;", "&amp;Ontwerp_MKI_Totaal[[#Headers],[B1]],Database_Productkaarten[#All],14,FALSE),0)*Ontwerpberekening!J32),0))/Ontwerpberekening!$A$2</f>
        <v>0</v>
      </c>
      <c r="L31" s="9">
        <f>(IF(Ontwerpberekening!E32="Nieuwe Situatie",(_xlfn.IFNA(VLOOKUP(Ontwerp_MKI_Totaal[[#This Row],[Product]]&amp;", "&amp;Ontwerp_MKI_Totaal[[#Headers],[B3]],Database_Productkaarten[#All],14,FALSE),0)*Ontwerpberekening!J32),0))/Ontwerpberekening!$A$2</f>
        <v>269.373647705</v>
      </c>
      <c r="M31" s="9">
        <f>(IF(Ontwerpberekening!E32="Nieuwe Situatie",(SUM(Ontwerp_MKI_Totaal[[#This Row],[A1]:[B1]],Ontwerp_MKI_Totaal[[#This Row],[C1]:[D2]])*Ontwerpberekening!T32),0))</f>
        <v>0</v>
      </c>
      <c r="N31" s="9">
        <f>(IF(Ontwerpberekening!E32="Bestaande Situatie",(_xlfn.IFNA(VLOOKUP(Ontwerp_MKI_Totaal[[#This Row],[Product]]&amp;", "&amp;Ontwerp_MKI_Totaal[[#Headers],[C1]],Database_Productkaarten[#All],14,FALSE),0)*Ontwerpberekening!J32),0))/Ontwerpberekening!$A$2</f>
        <v>0</v>
      </c>
      <c r="O31" s="9">
        <f>(IF(Ontwerpberekening!E32="Bestaande Situatie",(_xlfn.IFNA(VLOOKUP(Ontwerp_MKI_Totaal[[#This Row],[Product]]&amp;", "&amp;Ontwerp_MKI_Totaal[[#Headers],[C2]],Database_Productkaarten[#All],14,FALSE),0)*Ontwerpberekening!R32),0))/Ontwerpberekening!$A$2</f>
        <v>0</v>
      </c>
      <c r="P31" s="9">
        <f>(IF(Ontwerpberekening!E32="Bestaande Situatie",(_xlfn.IFNA(VLOOKUP(Ontwerp_MKI_Totaal[[#This Row],[Product]]&amp;", "&amp;Ontwerp_MKI_Totaal[[#Headers],[C3]],Database_Productkaarten[#All],14,FALSE),0)*Ontwerpberekening!J32),0))/Ontwerpberekening!$A$2</f>
        <v>0</v>
      </c>
      <c r="Q31" s="9">
        <f>(IF(Ontwerpberekening!E32="Bestaande Situatie",(_xlfn.IFNA(VLOOKUP(Ontwerp_MKI_Totaal[[#This Row],[Product]]&amp;", "&amp;Ontwerp_MKI_Totaal[[#Headers],[C4]],Database_Productkaarten[#All],14,FALSE),0)*Ontwerpberekening!J32),0))/Ontwerpberekening!$A$2</f>
        <v>0</v>
      </c>
      <c r="R31" s="9">
        <f>(IF(Ontwerpberekening!E32="Bestaande Situatie",(_xlfn.IFNA(VLOOKUP(Ontwerp_MKI_Totaal[[#This Row],[Product]]&amp;", "&amp;Ontwerp_MKI_Totaal[[#Headers],[D1]],Database_Productkaarten[#All],14,FALSE),0)*Ontwerpberekening!J32),0))/Ontwerpberekening!$A$2</f>
        <v>0</v>
      </c>
      <c r="S31" s="32">
        <f>(IF(Ontwerpberekening!E32="Bestaande Situatie",(_xlfn.IFNA(VLOOKUP(Ontwerp_MKI_Totaal[[#This Row],[Product]]&amp;", "&amp;Ontwerp_MKI_Totaal[[#Headers],[D2]],Database_Productkaarten[#All],14,FALSE),0)*Ontwerpberekening!J32),0))/Ontwerpberekening!$A$2</f>
        <v>0</v>
      </c>
      <c r="T31" s="32">
        <f>(IF(Ontwerpberekening!E32="Bestaande Situatie",(_xlfn.IFNA(VLOOKUP(Ontwerp_MKI_Totaal[[#This Row],[Product]]&amp;", "&amp;Ontwerp_MKI_Totaal[[#Headers],[D]],Database_Productkaarten[#All],14,FALSE),0)*Ontwerpberekening!J32),0))/Ontwerpberekening!$A$2</f>
        <v>0</v>
      </c>
      <c r="U31" s="9">
        <f>SUM(Ontwerp_MKI_Totaal[[#This Row],[A1-A3]:[C4]])+Ontwerp_MKI_Totaal[[#This Row],[D]]</f>
        <v>1272.0803692469999</v>
      </c>
      <c r="AC31"/>
      <c r="AD31"/>
      <c r="AE31"/>
      <c r="AF31"/>
      <c r="AG31"/>
      <c r="AH31"/>
      <c r="AI31"/>
      <c r="AJ31"/>
      <c r="AK31"/>
      <c r="AL31"/>
      <c r="AM31"/>
      <c r="AN31"/>
    </row>
    <row r="32" spans="2:88">
      <c r="B32" s="31" t="str">
        <f>Ontwerpberekening!B33</f>
        <v>Rockwool</v>
      </c>
      <c r="C32" s="31" t="str">
        <f>Ontwerpberekening!C33</f>
        <v>Grondverbetering</v>
      </c>
      <c r="D32" s="1" t="str">
        <f>Ontwerpberekening!G33</f>
        <v>Ophoogmateriaal (Zand)</v>
      </c>
      <c r="E32" s="9">
        <f>(IF(Ontwerpberekening!E33="Nieuwe Situatie",(_xlfn.IFNA(VLOOKUP(Ontwerp_MKI_Totaal[[#This Row],[Product]]&amp;", "&amp;Ontwerp_MKI_Totaal[[#Headers],[A1]],Database_Productkaarten[#All],14,FALSE),0)*Ontwerpberekening!J33),0))/Ontwerpberekening!$A$2</f>
        <v>0</v>
      </c>
      <c r="F32" s="9">
        <f>(IF(Ontwerpberekening!E33="Nieuwe Situatie",(_xlfn.IFNA(VLOOKUP(Ontwerp_MKI_Totaal[[#This Row],[Product]]&amp;", "&amp;Ontwerp_MKI_Totaal[[#Headers],[A2]],Database_Productkaarten[#All],14,FALSE),0)*Ontwerpberekening!J33),0))/Ontwerpberekening!$A$2</f>
        <v>0</v>
      </c>
      <c r="G32" s="9">
        <f>(IF(Ontwerpberekening!E33="Nieuwe Situatie",(_xlfn.IFNA(VLOOKUP(Ontwerp_MKI_Totaal[[#This Row],[Product]]&amp;", "&amp;Ontwerp_MKI_Totaal[[#Headers],[A3]],Database_Productkaarten[#All],14,FALSE),0)*Ontwerpberekening!J33),0))/Ontwerpberekening!$A$2</f>
        <v>0</v>
      </c>
      <c r="H32" s="9">
        <f>(IF(Ontwerpberekening!E33="Nieuwe Situatie",(_xlfn.IFNA(VLOOKUP(Ontwerp_MKI_Totaal[[#This Row],[Product]]&amp;", "&amp;Ontwerp_MKI_Totaal[[#Headers],[A1-A3]],Database_Productkaarten[#All],14,FALSE),0)*Ontwerpberekening!J33),0))/Ontwerpberekening!$A$2</f>
        <v>0</v>
      </c>
      <c r="I32" s="9">
        <f>(IF(Ontwerpberekening!E33="Nieuwe Situatie",(_xlfn.IFNA(VLOOKUP(Ontwerp_MKI_Totaal[[#This Row],[Product]]&amp;", "&amp;Ontwerp_MKI_Totaal[[#Headers],[A4]],Database_Productkaarten[#All],14,FALSE),0)*Ontwerpberekening!R33),0))/Ontwerpberekening!$A$2</f>
        <v>0</v>
      </c>
      <c r="J32" s="9">
        <f>(IF(Ontwerpberekening!E33="Nieuwe Situatie",(_xlfn.IFNA(VLOOKUP(Ontwerp_MKI_Totaal[[#This Row],[Product]]&amp;", "&amp;Ontwerp_MKI_Totaal[[#Headers],[A5]],Database_Productkaarten[#All],14,FALSE),0)*Ontwerpberekening!J33),0))/Ontwerpberekening!$A$2</f>
        <v>0</v>
      </c>
      <c r="K32" s="9">
        <f>(IF(Ontwerpberekening!E33="Nieuwe Situatie",(_xlfn.IFNA(VLOOKUP(Ontwerp_MKI_Totaal[[#This Row],[Product]]&amp;", "&amp;Ontwerp_MKI_Totaal[[#Headers],[B1]],Database_Productkaarten[#All],14,FALSE),0)*Ontwerpberekening!J33),0))/Ontwerpberekening!$A$2</f>
        <v>0</v>
      </c>
      <c r="L32" s="9">
        <f>(IF(Ontwerpberekening!E33="Nieuwe Situatie",(_xlfn.IFNA(VLOOKUP(Ontwerp_MKI_Totaal[[#This Row],[Product]]&amp;", "&amp;Ontwerp_MKI_Totaal[[#Headers],[B3]],Database_Productkaarten[#All],14,FALSE),0)*Ontwerpberekening!J33),0))/Ontwerpberekening!$A$2</f>
        <v>0</v>
      </c>
      <c r="M32" s="9">
        <f>(IF(Ontwerpberekening!E33="Nieuwe Situatie",(SUM(Ontwerp_MKI_Totaal[[#This Row],[A1]:[B1]],Ontwerp_MKI_Totaal[[#This Row],[C1]:[D2]])*Ontwerpberekening!T33),0))</f>
        <v>0</v>
      </c>
      <c r="N32" s="9">
        <f>(IF(Ontwerpberekening!E33="Bestaande Situatie",(_xlfn.IFNA(VLOOKUP(Ontwerp_MKI_Totaal[[#This Row],[Product]]&amp;", "&amp;Ontwerp_MKI_Totaal[[#Headers],[C1]],Database_Productkaarten[#All],14,FALSE),0)*Ontwerpberekening!J33),0))/Ontwerpberekening!$A$2</f>
        <v>0.93799999999999994</v>
      </c>
      <c r="O32" s="9">
        <f>(IF(Ontwerpberekening!E33="Bestaande Situatie",(_xlfn.IFNA(VLOOKUP(Ontwerp_MKI_Totaal[[#This Row],[Product]]&amp;", "&amp;Ontwerp_MKI_Totaal[[#Headers],[C2]],Database_Productkaarten[#All],14,FALSE),0)*Ontwerpberekening!R33),0))/Ontwerpberekening!$A$2</f>
        <v>26.928374999999999</v>
      </c>
      <c r="P32" s="9">
        <f>(IF(Ontwerpberekening!E33="Bestaande Situatie",(_xlfn.IFNA(VLOOKUP(Ontwerp_MKI_Totaal[[#This Row],[Product]]&amp;", "&amp;Ontwerp_MKI_Totaal[[#Headers],[C3]],Database_Productkaarten[#All],14,FALSE),0)*Ontwerpberekening!J33),0))/Ontwerpberekening!$A$2</f>
        <v>0</v>
      </c>
      <c r="Q32" s="9">
        <f>(IF(Ontwerpberekening!E33="Bestaande Situatie",(_xlfn.IFNA(VLOOKUP(Ontwerp_MKI_Totaal[[#This Row],[Product]]&amp;", "&amp;Ontwerp_MKI_Totaal[[#Headers],[C4]],Database_Productkaarten[#All],14,FALSE),0)*Ontwerpberekening!J33),0))/Ontwerpberekening!$A$2</f>
        <v>0.27875</v>
      </c>
      <c r="R32" s="9">
        <f>(IF(Ontwerpberekening!E33="Bestaande Situatie",(_xlfn.IFNA(VLOOKUP(Ontwerp_MKI_Totaal[[#This Row],[Product]]&amp;", "&amp;Ontwerp_MKI_Totaal[[#Headers],[D1]],Database_Productkaarten[#All],14,FALSE),0)*Ontwerpberekening!J33),0))/Ontwerpberekening!$A$2</f>
        <v>0</v>
      </c>
      <c r="S32" s="32">
        <f>(IF(Ontwerpberekening!E33="Bestaande Situatie",(_xlfn.IFNA(VLOOKUP(Ontwerp_MKI_Totaal[[#This Row],[Product]]&amp;", "&amp;Ontwerp_MKI_Totaal[[#Headers],[D2]],Database_Productkaarten[#All],14,FALSE),0)*Ontwerpberekening!J33),0))/Ontwerpberekening!$A$2</f>
        <v>0</v>
      </c>
      <c r="T32" s="32">
        <f>(IF(Ontwerpberekening!E33="Bestaande Situatie",(_xlfn.IFNA(VLOOKUP(Ontwerp_MKI_Totaal[[#This Row],[Product]]&amp;", "&amp;Ontwerp_MKI_Totaal[[#Headers],[D]],Database_Productkaarten[#All],14,FALSE),0)*Ontwerpberekening!J33),0))/Ontwerpberekening!$A$2</f>
        <v>-19.923249999999999</v>
      </c>
      <c r="U32" s="9">
        <f>SUM(Ontwerp_MKI_Totaal[[#This Row],[A1-A3]:[C4]])+Ontwerp_MKI_Totaal[[#This Row],[D]]</f>
        <v>8.2218749999999972</v>
      </c>
      <c r="AC32"/>
      <c r="AD32"/>
      <c r="AE32"/>
      <c r="AF32"/>
      <c r="AG32"/>
      <c r="AH32"/>
      <c r="AI32"/>
      <c r="AJ32"/>
      <c r="AK32"/>
      <c r="AL32"/>
      <c r="AM32"/>
      <c r="AN32"/>
    </row>
    <row r="33" spans="2:40">
      <c r="B33" s="31" t="str">
        <f>Ontwerpberekening!B34</f>
        <v>Rockwool</v>
      </c>
      <c r="C33" s="31" t="str">
        <f>Ontwerpberekening!C34</f>
        <v>Waterbergendelaag</v>
      </c>
      <c r="D33" s="1" t="str">
        <f>Ontwerpberekening!G34</f>
        <v>Rockwool, 50 cm</v>
      </c>
      <c r="E33" s="9">
        <f>(IF(Ontwerpberekening!E34="Nieuwe Situatie",(_xlfn.IFNA(VLOOKUP(Ontwerp_MKI_Totaal[[#This Row],[Product]]&amp;", "&amp;Ontwerp_MKI_Totaal[[#Headers],[A1]],Database_Productkaarten[#All],14,FALSE),0)*Ontwerpberekening!J34),0))/Ontwerpberekening!$A$2</f>
        <v>0</v>
      </c>
      <c r="F33" s="9">
        <f>(IF(Ontwerpberekening!E34="Nieuwe Situatie",(_xlfn.IFNA(VLOOKUP(Ontwerp_MKI_Totaal[[#This Row],[Product]]&amp;", "&amp;Ontwerp_MKI_Totaal[[#Headers],[A2]],Database_Productkaarten[#All],14,FALSE),0)*Ontwerpberekening!J34),0))/Ontwerpberekening!$A$2</f>
        <v>0</v>
      </c>
      <c r="G33" s="9">
        <f>(IF(Ontwerpberekening!E34="Nieuwe Situatie",(_xlfn.IFNA(VLOOKUP(Ontwerp_MKI_Totaal[[#This Row],[Product]]&amp;", "&amp;Ontwerp_MKI_Totaal[[#Headers],[A3]],Database_Productkaarten[#All],14,FALSE),0)*Ontwerpberekening!J34),0))/Ontwerpberekening!$A$2</f>
        <v>0</v>
      </c>
      <c r="H33" s="9">
        <f>(IF(Ontwerpberekening!E34="Nieuwe Situatie",(_xlfn.IFNA(VLOOKUP(Ontwerp_MKI_Totaal[[#This Row],[Product]]&amp;", "&amp;Ontwerp_MKI_Totaal[[#Headers],[A1-A3]],Database_Productkaarten[#All],14,FALSE),0)*Ontwerpberekening!J34),0))/Ontwerpberekening!$A$2</f>
        <v>0</v>
      </c>
      <c r="I33" s="9">
        <f>(IF(Ontwerpberekening!E34="Nieuwe Situatie",(_xlfn.IFNA(VLOOKUP(Ontwerp_MKI_Totaal[[#This Row],[Product]]&amp;", "&amp;Ontwerp_MKI_Totaal[[#Headers],[A4]],Database_Productkaarten[#All],14,FALSE),0)*Ontwerpberekening!R34),0))/Ontwerpberekening!$A$2</f>
        <v>0</v>
      </c>
      <c r="J33" s="9">
        <f>(IF(Ontwerpberekening!E34="Nieuwe Situatie",(_xlfn.IFNA(VLOOKUP(Ontwerp_MKI_Totaal[[#This Row],[Product]]&amp;", "&amp;Ontwerp_MKI_Totaal[[#Headers],[A5]],Database_Productkaarten[#All],14,FALSE),0)*Ontwerpberekening!J34),0))/Ontwerpberekening!$A$2</f>
        <v>0</v>
      </c>
      <c r="K33" s="9">
        <f>(IF(Ontwerpberekening!E34="Nieuwe Situatie",(_xlfn.IFNA(VLOOKUP(Ontwerp_MKI_Totaal[[#This Row],[Product]]&amp;", "&amp;Ontwerp_MKI_Totaal[[#Headers],[B1]],Database_Productkaarten[#All],14,FALSE),0)*Ontwerpberekening!J34),0))/Ontwerpberekening!$A$2</f>
        <v>0</v>
      </c>
      <c r="L33" s="9">
        <f>(IF(Ontwerpberekening!E34="Nieuwe Situatie",(_xlfn.IFNA(VLOOKUP(Ontwerp_MKI_Totaal[[#This Row],[Product]]&amp;", "&amp;Ontwerp_MKI_Totaal[[#Headers],[B3]],Database_Productkaarten[#All],14,FALSE),0)*Ontwerpberekening!J34),0))/Ontwerpberekening!$A$2</f>
        <v>0</v>
      </c>
      <c r="M33" s="9">
        <f>(IF(Ontwerpberekening!E34="Nieuwe Situatie",(SUM(Ontwerp_MKI_Totaal[[#This Row],[A1]:[B1]],Ontwerp_MKI_Totaal[[#This Row],[C1]:[D2]])*Ontwerpberekening!T34),0))</f>
        <v>0</v>
      </c>
      <c r="N33" s="9">
        <f>(IF(Ontwerpberekening!E34="Bestaande Situatie",(_xlfn.IFNA(VLOOKUP(Ontwerp_MKI_Totaal[[#This Row],[Product]]&amp;", "&amp;Ontwerp_MKI_Totaal[[#Headers],[C1]],Database_Productkaarten[#All],14,FALSE),0)*Ontwerpberekening!J34),0))/Ontwerpberekening!$A$2</f>
        <v>0</v>
      </c>
      <c r="O33" s="9">
        <f>(IF(Ontwerpberekening!E34="Bestaande Situatie",(_xlfn.IFNA(VLOOKUP(Ontwerp_MKI_Totaal[[#This Row],[Product]]&amp;", "&amp;Ontwerp_MKI_Totaal[[#Headers],[C2]],Database_Productkaarten[#All],14,FALSE),0)*Ontwerpberekening!R34),0))/Ontwerpberekening!$A$2</f>
        <v>0</v>
      </c>
      <c r="P33" s="9">
        <f>(IF(Ontwerpberekening!E34="Bestaande Situatie",(_xlfn.IFNA(VLOOKUP(Ontwerp_MKI_Totaal[[#This Row],[Product]]&amp;", "&amp;Ontwerp_MKI_Totaal[[#Headers],[C3]],Database_Productkaarten[#All],14,FALSE),0)*Ontwerpberekening!J34),0))/Ontwerpberekening!$A$2</f>
        <v>0</v>
      </c>
      <c r="Q33" s="9">
        <f>(IF(Ontwerpberekening!E34="Bestaande Situatie",(_xlfn.IFNA(VLOOKUP(Ontwerp_MKI_Totaal[[#This Row],[Product]]&amp;", "&amp;Ontwerp_MKI_Totaal[[#Headers],[C4]],Database_Productkaarten[#All],14,FALSE),0)*Ontwerpberekening!J34),0))/Ontwerpberekening!$A$2</f>
        <v>0</v>
      </c>
      <c r="R33" s="9">
        <f>(IF(Ontwerpberekening!E34="Bestaande Situatie",(_xlfn.IFNA(VLOOKUP(Ontwerp_MKI_Totaal[[#This Row],[Product]]&amp;", "&amp;Ontwerp_MKI_Totaal[[#Headers],[D1]],Database_Productkaarten[#All],14,FALSE),0)*Ontwerpberekening!J34),0))/Ontwerpberekening!$A$2</f>
        <v>0</v>
      </c>
      <c r="S33" s="9">
        <f>(IF(Ontwerpberekening!E34="Bestaande Situatie",(_xlfn.IFNA(VLOOKUP(Ontwerp_MKI_Totaal[[#This Row],[Product]]&amp;", "&amp;Ontwerp_MKI_Totaal[[#Headers],[D2]],Database_Productkaarten[#All],14,FALSE),0)*Ontwerpberekening!J34),0))/Ontwerpberekening!$A$2</f>
        <v>0</v>
      </c>
      <c r="T33" s="9">
        <f>(IF(Ontwerpberekening!E34="Bestaande Situatie",(_xlfn.IFNA(VLOOKUP(Ontwerp_MKI_Totaal[[#This Row],[Product]]&amp;", "&amp;Ontwerp_MKI_Totaal[[#Headers],[D]],Database_Productkaarten[#All],14,FALSE),0)*Ontwerpberekening!J34),0))/Ontwerpberekening!$A$2</f>
        <v>0</v>
      </c>
      <c r="U33" s="9">
        <f>SUM(Ontwerp_MKI_Totaal[[#This Row],[A1-A3]:[C4]])+Ontwerp_MKI_Totaal[[#This Row],[D]]</f>
        <v>0</v>
      </c>
      <c r="AC33"/>
      <c r="AD33"/>
      <c r="AE33"/>
      <c r="AF33"/>
      <c r="AG33"/>
      <c r="AH33"/>
      <c r="AI33"/>
      <c r="AJ33"/>
      <c r="AK33"/>
      <c r="AL33"/>
      <c r="AM33"/>
      <c r="AN33"/>
    </row>
    <row r="34" spans="2:40">
      <c r="B34" s="31" t="str">
        <f>Ontwerpberekening!B35</f>
        <v>Rockwool</v>
      </c>
      <c r="C34" s="31" t="str">
        <f>Ontwerpberekening!C35</f>
        <v>Menggranulaat</v>
      </c>
      <c r="D34" s="1" t="str">
        <f>Ontwerpberekening!G35</f>
        <v>Menggranulaat 300mm</v>
      </c>
      <c r="E34" s="9">
        <f>(IF(Ontwerpberekening!E35="Nieuwe Situatie",(_xlfn.IFNA(VLOOKUP(Ontwerp_MKI_Totaal[[#This Row],[Product]]&amp;", "&amp;Ontwerp_MKI_Totaal[[#Headers],[A1]],Database_Productkaarten[#All],14,FALSE),0)*Ontwerpberekening!J35),0))/Ontwerpberekening!$A$2</f>
        <v>0</v>
      </c>
      <c r="F34" s="9">
        <f>(IF(Ontwerpberekening!E35="Nieuwe Situatie",(_xlfn.IFNA(VLOOKUP(Ontwerp_MKI_Totaal[[#This Row],[Product]]&amp;", "&amp;Ontwerp_MKI_Totaal[[#Headers],[A2]],Database_Productkaarten[#All],14,FALSE),0)*Ontwerpberekening!J35),0))/Ontwerpberekening!$A$2</f>
        <v>0</v>
      </c>
      <c r="G34" s="9">
        <f>(IF(Ontwerpberekening!E35="Nieuwe Situatie",(_xlfn.IFNA(VLOOKUP(Ontwerp_MKI_Totaal[[#This Row],[Product]]&amp;", "&amp;Ontwerp_MKI_Totaal[[#Headers],[A3]],Database_Productkaarten[#All],14,FALSE),0)*Ontwerpberekening!J35),0))/Ontwerpberekening!$A$2</f>
        <v>0</v>
      </c>
      <c r="H34" s="9">
        <f>(IF(Ontwerpberekening!E35="Nieuwe Situatie",(_xlfn.IFNA(VLOOKUP(Ontwerp_MKI_Totaal[[#This Row],[Product]]&amp;", "&amp;Ontwerp_MKI_Totaal[[#Headers],[A1-A3]],Database_Productkaarten[#All],14,FALSE),0)*Ontwerpberekening!J35),0))/Ontwerpberekening!$A$2</f>
        <v>0</v>
      </c>
      <c r="I34" s="9">
        <f>(IF(Ontwerpberekening!E35="Nieuwe Situatie",(_xlfn.IFNA(VLOOKUP(Ontwerp_MKI_Totaal[[#This Row],[Product]]&amp;", "&amp;Ontwerp_MKI_Totaal[[#Headers],[A4]],Database_Productkaarten[#All],14,FALSE),0)*Ontwerpberekening!R35),0))/Ontwerpberekening!$A$2</f>
        <v>0</v>
      </c>
      <c r="J34" s="9">
        <f>(IF(Ontwerpberekening!E35="Nieuwe Situatie",(_xlfn.IFNA(VLOOKUP(Ontwerp_MKI_Totaal[[#This Row],[Product]]&amp;", "&amp;Ontwerp_MKI_Totaal[[#Headers],[A5]],Database_Productkaarten[#All],14,FALSE),0)*Ontwerpberekening!J35),0))/Ontwerpberekening!$A$2</f>
        <v>0</v>
      </c>
      <c r="K34" s="9">
        <f>(IF(Ontwerpberekening!E35="Nieuwe Situatie",(_xlfn.IFNA(VLOOKUP(Ontwerp_MKI_Totaal[[#This Row],[Product]]&amp;", "&amp;Ontwerp_MKI_Totaal[[#Headers],[B1]],Database_Productkaarten[#All],14,FALSE),0)*Ontwerpberekening!J35),0))/Ontwerpberekening!$A$2</f>
        <v>0</v>
      </c>
      <c r="L34" s="9">
        <f>(IF(Ontwerpberekening!E35="Nieuwe Situatie",(_xlfn.IFNA(VLOOKUP(Ontwerp_MKI_Totaal[[#This Row],[Product]]&amp;", "&amp;Ontwerp_MKI_Totaal[[#Headers],[B3]],Database_Productkaarten[#All],14,FALSE),0)*Ontwerpberekening!J35),0))/Ontwerpberekening!$A$2</f>
        <v>0</v>
      </c>
      <c r="M34" s="9">
        <f>(IF(Ontwerpberekening!E35="Nieuwe Situatie",(SUM(Ontwerp_MKI_Totaal[[#This Row],[A1]:[B1]],Ontwerp_MKI_Totaal[[#This Row],[C1]:[D2]])*Ontwerpberekening!T35),0))</f>
        <v>0</v>
      </c>
      <c r="N34" s="9">
        <f>(IF(Ontwerpberekening!E35="Bestaande Situatie",(_xlfn.IFNA(VLOOKUP(Ontwerp_MKI_Totaal[[#This Row],[Product]]&amp;", "&amp;Ontwerp_MKI_Totaal[[#Headers],[C1]],Database_Productkaarten[#All],14,FALSE),0)*Ontwerpberekening!J35),0))/Ontwerpberekening!$A$2</f>
        <v>31.074999999999999</v>
      </c>
      <c r="O34" s="9">
        <f>(IF(Ontwerpberekening!E35="Bestaande Situatie",(_xlfn.IFNA(VLOOKUP(Ontwerp_MKI_Totaal[[#This Row],[Product]]&amp;", "&amp;Ontwerp_MKI_Totaal[[#Headers],[C2]],Database_Productkaarten[#All],14,FALSE),0)*Ontwerpberekening!R35),0))/Ontwerpberekening!$A$2</f>
        <v>82.704374999999999</v>
      </c>
      <c r="P34" s="9">
        <f>(IF(Ontwerpberekening!E35="Bestaande Situatie",(_xlfn.IFNA(VLOOKUP(Ontwerp_MKI_Totaal[[#This Row],[Product]]&amp;", "&amp;Ontwerp_MKI_Totaal[[#Headers],[C3]],Database_Productkaarten[#All],14,FALSE),0)*Ontwerpberekening!J35),0))/Ontwerpberekening!$A$2</f>
        <v>49.04</v>
      </c>
      <c r="Q34" s="9">
        <f>(IF(Ontwerpberekening!E35="Bestaande Situatie",(_xlfn.IFNA(VLOOKUP(Ontwerp_MKI_Totaal[[#This Row],[Product]]&amp;", "&amp;Ontwerp_MKI_Totaal[[#Headers],[C4]],Database_Productkaarten[#All],14,FALSE),0)*Ontwerpberekening!J35),0))/Ontwerpberekening!$A$2</f>
        <v>2.1749999999999998</v>
      </c>
      <c r="R34" s="9">
        <f>(IF(Ontwerpberekening!E35="Bestaande Situatie",(_xlfn.IFNA(VLOOKUP(Ontwerp_MKI_Totaal[[#This Row],[Product]]&amp;", "&amp;Ontwerp_MKI_Totaal[[#Headers],[D1]],Database_Productkaarten[#All],14,FALSE),0)*Ontwerpberekening!J35),0))/Ontwerpberekening!$A$2</f>
        <v>0</v>
      </c>
      <c r="S34" s="9">
        <f>(IF(Ontwerpberekening!E35="Bestaande Situatie",(_xlfn.IFNA(VLOOKUP(Ontwerp_MKI_Totaal[[#This Row],[Product]]&amp;", "&amp;Ontwerp_MKI_Totaal[[#Headers],[D2]],Database_Productkaarten[#All],14,FALSE),0)*Ontwerpberekening!J35),0))/Ontwerpberekening!$A$2</f>
        <v>0</v>
      </c>
      <c r="T34" s="9">
        <f>(IF(Ontwerpberekening!E35="Bestaande Situatie",(_xlfn.IFNA(VLOOKUP(Ontwerp_MKI_Totaal[[#This Row],[Product]]&amp;", "&amp;Ontwerp_MKI_Totaal[[#Headers],[D]],Database_Productkaarten[#All],14,FALSE),0)*Ontwerpberekening!J35),0))/Ontwerpberekening!$A$2</f>
        <v>4.3949999999999996</v>
      </c>
      <c r="U34" s="9">
        <f>SUM(Ontwerp_MKI_Totaal[[#This Row],[A1-A3]:[C4]])+Ontwerp_MKI_Totaal[[#This Row],[D]]</f>
        <v>169.38937500000003</v>
      </c>
      <c r="AC34"/>
      <c r="AD34"/>
      <c r="AE34"/>
      <c r="AF34"/>
      <c r="AG34"/>
      <c r="AH34"/>
      <c r="AI34"/>
      <c r="AJ34"/>
      <c r="AK34"/>
      <c r="AL34"/>
      <c r="AM34"/>
      <c r="AN34"/>
    </row>
    <row r="35" spans="2:40">
      <c r="B35" s="31" t="str">
        <f>Ontwerpberekening!B36</f>
        <v>Rockwool</v>
      </c>
      <c r="C35" s="31" t="str">
        <f>Ontwerpberekening!C36</f>
        <v>Straatlaag</v>
      </c>
      <c r="D35" s="1" t="str">
        <f>Ontwerpberekening!G36</f>
        <v>Ophoogmateriaal (Zand)</v>
      </c>
      <c r="E35" s="9">
        <f>(IF(Ontwerpberekening!E36="Nieuwe Situatie",(_xlfn.IFNA(VLOOKUP(Ontwerp_MKI_Totaal[[#This Row],[Product]]&amp;", "&amp;Ontwerp_MKI_Totaal[[#Headers],[A1]],Database_Productkaarten[#All],14,FALSE),0)*Ontwerpberekening!J36),0))/Ontwerpberekening!$A$2</f>
        <v>0</v>
      </c>
      <c r="F35" s="9">
        <f>(IF(Ontwerpberekening!E36="Nieuwe Situatie",(_xlfn.IFNA(VLOOKUP(Ontwerp_MKI_Totaal[[#This Row],[Product]]&amp;", "&amp;Ontwerp_MKI_Totaal[[#Headers],[A2]],Database_Productkaarten[#All],14,FALSE),0)*Ontwerpberekening!J36),0))/Ontwerpberekening!$A$2</f>
        <v>0</v>
      </c>
      <c r="G35" s="9">
        <f>(IF(Ontwerpberekening!E36="Nieuwe Situatie",(_xlfn.IFNA(VLOOKUP(Ontwerp_MKI_Totaal[[#This Row],[Product]]&amp;", "&amp;Ontwerp_MKI_Totaal[[#Headers],[A3]],Database_Productkaarten[#All],14,FALSE),0)*Ontwerpberekening!J36),0))/Ontwerpberekening!$A$2</f>
        <v>0</v>
      </c>
      <c r="H35" s="9">
        <f>(IF(Ontwerpberekening!E36="Nieuwe Situatie",(_xlfn.IFNA(VLOOKUP(Ontwerp_MKI_Totaal[[#This Row],[Product]]&amp;", "&amp;Ontwerp_MKI_Totaal[[#Headers],[A1-A3]],Database_Productkaarten[#All],14,FALSE),0)*Ontwerpberekening!J36),0))/Ontwerpberekening!$A$2</f>
        <v>0</v>
      </c>
      <c r="I35" s="9">
        <f>(IF(Ontwerpberekening!E36="Nieuwe Situatie",(_xlfn.IFNA(VLOOKUP(Ontwerp_MKI_Totaal[[#This Row],[Product]]&amp;", "&amp;Ontwerp_MKI_Totaal[[#Headers],[A4]],Database_Productkaarten[#All],14,FALSE),0)*Ontwerpberekening!R36),0))/Ontwerpberekening!$A$2</f>
        <v>0</v>
      </c>
      <c r="J35" s="9">
        <f>(IF(Ontwerpberekening!E36="Nieuwe Situatie",(_xlfn.IFNA(VLOOKUP(Ontwerp_MKI_Totaal[[#This Row],[Product]]&amp;", "&amp;Ontwerp_MKI_Totaal[[#Headers],[A5]],Database_Productkaarten[#All],14,FALSE),0)*Ontwerpberekening!J36),0))/Ontwerpberekening!$A$2</f>
        <v>0</v>
      </c>
      <c r="K35" s="9">
        <f>(IF(Ontwerpberekening!E36="Nieuwe Situatie",(_xlfn.IFNA(VLOOKUP(Ontwerp_MKI_Totaal[[#This Row],[Product]]&amp;", "&amp;Ontwerp_MKI_Totaal[[#Headers],[B1]],Database_Productkaarten[#All],14,FALSE),0)*Ontwerpberekening!J36),0))/Ontwerpberekening!$A$2</f>
        <v>0</v>
      </c>
      <c r="L35" s="9">
        <f>(IF(Ontwerpberekening!E36="Nieuwe Situatie",(_xlfn.IFNA(VLOOKUP(Ontwerp_MKI_Totaal[[#This Row],[Product]]&amp;", "&amp;Ontwerp_MKI_Totaal[[#Headers],[B3]],Database_Productkaarten[#All],14,FALSE),0)*Ontwerpberekening!J36),0))/Ontwerpberekening!$A$2</f>
        <v>0</v>
      </c>
      <c r="M35" s="9">
        <f>(IF(Ontwerpberekening!E36="Nieuwe Situatie",(SUM(Ontwerp_MKI_Totaal[[#This Row],[A1]:[B1]],Ontwerp_MKI_Totaal[[#This Row],[C1]:[D2]])*Ontwerpberekening!T36),0))</f>
        <v>0</v>
      </c>
      <c r="N35" s="9">
        <f>(IF(Ontwerpberekening!E36="Bestaande Situatie",(_xlfn.IFNA(VLOOKUP(Ontwerp_MKI_Totaal[[#This Row],[Product]]&amp;", "&amp;Ontwerp_MKI_Totaal[[#Headers],[C1]],Database_Productkaarten[#All],14,FALSE),0)*Ontwerpberekening!J36),0))/Ontwerpberekening!$A$2</f>
        <v>0.93799999999999994</v>
      </c>
      <c r="O35" s="9">
        <f>(IF(Ontwerpberekening!E36="Bestaande Situatie",(_xlfn.IFNA(VLOOKUP(Ontwerp_MKI_Totaal[[#This Row],[Product]]&amp;", "&amp;Ontwerp_MKI_Totaal[[#Headers],[C2]],Database_Productkaarten[#All],14,FALSE),0)*Ontwerpberekening!R36),0))/Ontwerpberekening!$A$2</f>
        <v>26.928374999999999</v>
      </c>
      <c r="P35" s="9">
        <f>(IF(Ontwerpberekening!E36="Bestaande Situatie",(_xlfn.IFNA(VLOOKUP(Ontwerp_MKI_Totaal[[#This Row],[Product]]&amp;", "&amp;Ontwerp_MKI_Totaal[[#Headers],[C3]],Database_Productkaarten[#All],14,FALSE),0)*Ontwerpberekening!J36),0))/Ontwerpberekening!$A$2</f>
        <v>0</v>
      </c>
      <c r="Q35" s="9">
        <f>(IF(Ontwerpberekening!E36="Bestaande Situatie",(_xlfn.IFNA(VLOOKUP(Ontwerp_MKI_Totaal[[#This Row],[Product]]&amp;", "&amp;Ontwerp_MKI_Totaal[[#Headers],[C4]],Database_Productkaarten[#All],14,FALSE),0)*Ontwerpberekening!J36),0))/Ontwerpberekening!$A$2</f>
        <v>0.27875</v>
      </c>
      <c r="R35" s="9">
        <f>(IF(Ontwerpberekening!E36="Bestaande Situatie",(_xlfn.IFNA(VLOOKUP(Ontwerp_MKI_Totaal[[#This Row],[Product]]&amp;", "&amp;Ontwerp_MKI_Totaal[[#Headers],[D1]],Database_Productkaarten[#All],14,FALSE),0)*Ontwerpberekening!J36),0))/Ontwerpberekening!$A$2</f>
        <v>0</v>
      </c>
      <c r="S35" s="9">
        <f>(IF(Ontwerpberekening!E36="Bestaande Situatie",(_xlfn.IFNA(VLOOKUP(Ontwerp_MKI_Totaal[[#This Row],[Product]]&amp;", "&amp;Ontwerp_MKI_Totaal[[#Headers],[D2]],Database_Productkaarten[#All],14,FALSE),0)*Ontwerpberekening!J36),0))/Ontwerpberekening!$A$2</f>
        <v>0</v>
      </c>
      <c r="T35" s="9">
        <f>(IF(Ontwerpberekening!E36="Bestaande Situatie",(_xlfn.IFNA(VLOOKUP(Ontwerp_MKI_Totaal[[#This Row],[Product]]&amp;", "&amp;Ontwerp_MKI_Totaal[[#Headers],[D]],Database_Productkaarten[#All],14,FALSE),0)*Ontwerpberekening!J36),0))/Ontwerpberekening!$A$2</f>
        <v>-19.923249999999999</v>
      </c>
      <c r="U35" s="9">
        <f>SUM(Ontwerp_MKI_Totaal[[#This Row],[A1-A3]:[C4]])+Ontwerp_MKI_Totaal[[#This Row],[D]]</f>
        <v>8.2218749999999972</v>
      </c>
      <c r="AC35"/>
      <c r="AD35"/>
      <c r="AE35"/>
      <c r="AF35"/>
      <c r="AG35"/>
      <c r="AH35"/>
      <c r="AI35"/>
      <c r="AJ35"/>
      <c r="AK35"/>
      <c r="AL35"/>
      <c r="AM35"/>
      <c r="AN35"/>
    </row>
    <row r="36" spans="2:40">
      <c r="B36" s="31" t="str">
        <f>Ontwerpberekening!B37</f>
        <v>Rockwool</v>
      </c>
      <c r="C36" s="31" t="str">
        <f>Ontwerpberekening!C37</f>
        <v>Toplaag</v>
      </c>
      <c r="D36" s="1" t="str">
        <f>Ontwerpberekening!G37</f>
        <v>Betonstraatsteen 210x105x80</v>
      </c>
      <c r="E36" s="9">
        <f>(IF(Ontwerpberekening!E37="Nieuwe Situatie",(_xlfn.IFNA(VLOOKUP(Ontwerp_MKI_Totaal[[#This Row],[Product]]&amp;", "&amp;Ontwerp_MKI_Totaal[[#Headers],[A1]],Database_Productkaarten[#All],14,FALSE),0)*Ontwerpberekening!J37),0))/Ontwerpberekening!$A$2</f>
        <v>0</v>
      </c>
      <c r="F36" s="9">
        <f>(IF(Ontwerpberekening!E37="Nieuwe Situatie",(_xlfn.IFNA(VLOOKUP(Ontwerp_MKI_Totaal[[#This Row],[Product]]&amp;", "&amp;Ontwerp_MKI_Totaal[[#Headers],[A2]],Database_Productkaarten[#All],14,FALSE),0)*Ontwerpberekening!J37),0))/Ontwerpberekening!$A$2</f>
        <v>0</v>
      </c>
      <c r="G36" s="9">
        <f>(IF(Ontwerpberekening!E37="Nieuwe Situatie",(_xlfn.IFNA(VLOOKUP(Ontwerp_MKI_Totaal[[#This Row],[Product]]&amp;", "&amp;Ontwerp_MKI_Totaal[[#Headers],[A3]],Database_Productkaarten[#All],14,FALSE),0)*Ontwerpberekening!J37),0))/Ontwerpberekening!$A$2</f>
        <v>0</v>
      </c>
      <c r="H36" s="9">
        <f>(IF(Ontwerpberekening!E37="Nieuwe Situatie",(_xlfn.IFNA(VLOOKUP(Ontwerp_MKI_Totaal[[#This Row],[Product]]&amp;", "&amp;Ontwerp_MKI_Totaal[[#Headers],[A1-A3]],Database_Productkaarten[#All],14,FALSE),0)*Ontwerpberekening!J37),0))/Ontwerpberekening!$A$2</f>
        <v>0</v>
      </c>
      <c r="I36" s="9">
        <f>(IF(Ontwerpberekening!E37="Nieuwe Situatie",(_xlfn.IFNA(VLOOKUP(Ontwerp_MKI_Totaal[[#This Row],[Product]]&amp;", "&amp;Ontwerp_MKI_Totaal[[#Headers],[A4]],Database_Productkaarten[#All],14,FALSE),0)*Ontwerpberekening!R37),0))/Ontwerpberekening!$A$2</f>
        <v>0</v>
      </c>
      <c r="J36" s="9">
        <f>(IF(Ontwerpberekening!E37="Nieuwe Situatie",(_xlfn.IFNA(VLOOKUP(Ontwerp_MKI_Totaal[[#This Row],[Product]]&amp;", "&amp;Ontwerp_MKI_Totaal[[#Headers],[A5]],Database_Productkaarten[#All],14,FALSE),0)*Ontwerpberekening!J37),0))/Ontwerpberekening!$A$2</f>
        <v>0</v>
      </c>
      <c r="K36" s="9">
        <f>(IF(Ontwerpberekening!E37="Nieuwe Situatie",(_xlfn.IFNA(VLOOKUP(Ontwerp_MKI_Totaal[[#This Row],[Product]]&amp;", "&amp;Ontwerp_MKI_Totaal[[#Headers],[B1]],Database_Productkaarten[#All],14,FALSE),0)*Ontwerpberekening!J37),0))/Ontwerpberekening!$A$2</f>
        <v>0</v>
      </c>
      <c r="L36" s="9">
        <f>(IF(Ontwerpberekening!E37="Nieuwe Situatie",(_xlfn.IFNA(VLOOKUP(Ontwerp_MKI_Totaal[[#This Row],[Product]]&amp;", "&amp;Ontwerp_MKI_Totaal[[#Headers],[B3]],Database_Productkaarten[#All],14,FALSE),0)*Ontwerpberekening!J37),0))/Ontwerpberekening!$A$2</f>
        <v>0</v>
      </c>
      <c r="M36" s="9">
        <f>(IF(Ontwerpberekening!E37="Nieuwe Situatie",(SUM(Ontwerp_MKI_Totaal[[#This Row],[A1]:[B1]],Ontwerp_MKI_Totaal[[#This Row],[C1]:[D2]])*Ontwerpberekening!T37),0))</f>
        <v>0</v>
      </c>
      <c r="N36" s="9">
        <f>(IF(Ontwerpberekening!E37="Bestaande Situatie",(_xlfn.IFNA(VLOOKUP(Ontwerp_MKI_Totaal[[#This Row],[Product]]&amp;", "&amp;Ontwerp_MKI_Totaal[[#Headers],[C1]],Database_Productkaarten[#All],14,FALSE),0)*Ontwerpberekening!J37),0))/Ontwerpberekening!$A$2</f>
        <v>39.375768999999998</v>
      </c>
      <c r="O36" s="9">
        <f>(IF(Ontwerpberekening!E37="Bestaande Situatie",(_xlfn.IFNA(VLOOKUP(Ontwerp_MKI_Totaal[[#This Row],[Product]]&amp;", "&amp;Ontwerp_MKI_Totaal[[#Headers],[C2]],Database_Productkaarten[#All],14,FALSE),0)*Ontwerpberekening!R37),0))/Ontwerpberekening!$A$2</f>
        <v>12.674071170000001</v>
      </c>
      <c r="P36" s="9">
        <f>(IF(Ontwerpberekening!E37="Bestaande Situatie",(_xlfn.IFNA(VLOOKUP(Ontwerp_MKI_Totaal[[#This Row],[Product]]&amp;", "&amp;Ontwerp_MKI_Totaal[[#Headers],[C3]],Database_Productkaarten[#All],14,FALSE),0)*Ontwerpberekening!J37),0))/Ontwerpberekening!$A$2</f>
        <v>14.404144500000001</v>
      </c>
      <c r="Q36" s="9">
        <f>(IF(Ontwerpberekening!E37="Bestaande Situatie",(_xlfn.IFNA(VLOOKUP(Ontwerp_MKI_Totaal[[#This Row],[Product]]&amp;", "&amp;Ontwerp_MKI_Totaal[[#Headers],[C4]],Database_Productkaarten[#All],14,FALSE),0)*Ontwerpberekening!J37),0))/Ontwerpberekening!$A$2</f>
        <v>0.65691955000000002</v>
      </c>
      <c r="R36" s="9">
        <f>(IF(Ontwerpberekening!E37="Bestaande Situatie",(_xlfn.IFNA(VLOOKUP(Ontwerp_MKI_Totaal[[#This Row],[Product]]&amp;", "&amp;Ontwerp_MKI_Totaal[[#Headers],[D1]],Database_Productkaarten[#All],14,FALSE),0)*Ontwerpberekening!J37),0))/Ontwerpberekening!$A$2</f>
        <v>0</v>
      </c>
      <c r="S36" s="9">
        <f>(IF(Ontwerpberekening!E37="Bestaande Situatie",(_xlfn.IFNA(VLOOKUP(Ontwerp_MKI_Totaal[[#This Row],[Product]]&amp;", "&amp;Ontwerp_MKI_Totaal[[#Headers],[D2]],Database_Productkaarten[#All],14,FALSE),0)*Ontwerpberekening!J37),0))/Ontwerpberekening!$A$2</f>
        <v>0</v>
      </c>
      <c r="T36" s="9">
        <f>(IF(Ontwerpberekening!E37="Bestaande Situatie",(_xlfn.IFNA(VLOOKUP(Ontwerp_MKI_Totaal[[#This Row],[Product]]&amp;", "&amp;Ontwerp_MKI_Totaal[[#Headers],[D]],Database_Productkaarten[#All],14,FALSE),0)*Ontwerpberekening!J37),0))/Ontwerpberekening!$A$2</f>
        <v>-47.231490000000001</v>
      </c>
      <c r="U36" s="9">
        <f>SUM(Ontwerp_MKI_Totaal[[#This Row],[A1-A3]:[C4]])+Ontwerp_MKI_Totaal[[#This Row],[D]]</f>
        <v>19.879414219999994</v>
      </c>
      <c r="AC36"/>
      <c r="AD36"/>
      <c r="AE36"/>
      <c r="AF36"/>
      <c r="AG36"/>
      <c r="AH36"/>
      <c r="AI36"/>
      <c r="AJ36"/>
      <c r="AK36"/>
      <c r="AL36"/>
      <c r="AM36"/>
      <c r="AN36"/>
    </row>
    <row r="37" spans="2:40">
      <c r="B37" s="31">
        <f>Ontwerpberekening!B38</f>
        <v>0</v>
      </c>
      <c r="C37" s="31">
        <f>Ontwerpberekening!C38</f>
        <v>0</v>
      </c>
      <c r="D37" s="1">
        <f>Ontwerpberekening!G38</f>
        <v>0</v>
      </c>
      <c r="E37" s="9">
        <f>(IF(Ontwerpberekening!E38="Nieuwe Situatie",(_xlfn.IFNA(VLOOKUP(Ontwerp_MKI_Totaal[[#This Row],[Product]]&amp;", "&amp;Ontwerp_MKI_Totaal[[#Headers],[A1]],Database_Productkaarten[#All],14,FALSE),0)*Ontwerpberekening!J38),0))/Ontwerpberekening!$A$2</f>
        <v>0</v>
      </c>
      <c r="F37" s="9">
        <f>(IF(Ontwerpberekening!E38="Nieuwe Situatie",(_xlfn.IFNA(VLOOKUP(Ontwerp_MKI_Totaal[[#This Row],[Product]]&amp;", "&amp;Ontwerp_MKI_Totaal[[#Headers],[A2]],Database_Productkaarten[#All],14,FALSE),0)*Ontwerpberekening!J38),0))/Ontwerpberekening!$A$2</f>
        <v>0</v>
      </c>
      <c r="G37" s="9">
        <f>(IF(Ontwerpberekening!E38="Nieuwe Situatie",(_xlfn.IFNA(VLOOKUP(Ontwerp_MKI_Totaal[[#This Row],[Product]]&amp;", "&amp;Ontwerp_MKI_Totaal[[#Headers],[A3]],Database_Productkaarten[#All],14,FALSE),0)*Ontwerpberekening!J38),0))/Ontwerpberekening!$A$2</f>
        <v>0</v>
      </c>
      <c r="H37" s="9">
        <f>(IF(Ontwerpberekening!E38="Nieuwe Situatie",(_xlfn.IFNA(VLOOKUP(Ontwerp_MKI_Totaal[[#This Row],[Product]]&amp;", "&amp;Ontwerp_MKI_Totaal[[#Headers],[A1-A3]],Database_Productkaarten[#All],14,FALSE),0)*Ontwerpberekening!J38),0))/Ontwerpberekening!$A$2</f>
        <v>0</v>
      </c>
      <c r="I37" s="9">
        <f>(IF(Ontwerpberekening!E38="Nieuwe Situatie",(_xlfn.IFNA(VLOOKUP(Ontwerp_MKI_Totaal[[#This Row],[Product]]&amp;", "&amp;Ontwerp_MKI_Totaal[[#Headers],[A4]],Database_Productkaarten[#All],14,FALSE),0)*Ontwerpberekening!R38),0))/Ontwerpberekening!$A$2</f>
        <v>0</v>
      </c>
      <c r="J37" s="9">
        <f>(IF(Ontwerpberekening!E38="Nieuwe Situatie",(_xlfn.IFNA(VLOOKUP(Ontwerp_MKI_Totaal[[#This Row],[Product]]&amp;", "&amp;Ontwerp_MKI_Totaal[[#Headers],[A5]],Database_Productkaarten[#All],14,FALSE),0)*Ontwerpberekening!J38),0))/Ontwerpberekening!$A$2</f>
        <v>0</v>
      </c>
      <c r="K37" s="9">
        <f>(IF(Ontwerpberekening!E38="Nieuwe Situatie",(_xlfn.IFNA(VLOOKUP(Ontwerp_MKI_Totaal[[#This Row],[Product]]&amp;", "&amp;Ontwerp_MKI_Totaal[[#Headers],[B1]],Database_Productkaarten[#All],14,FALSE),0)*Ontwerpberekening!J38),0))/Ontwerpberekening!$A$2</f>
        <v>0</v>
      </c>
      <c r="L37" s="9">
        <f>(IF(Ontwerpberekening!E38="Nieuwe Situatie",(_xlfn.IFNA(VLOOKUP(Ontwerp_MKI_Totaal[[#This Row],[Product]]&amp;", "&amp;Ontwerp_MKI_Totaal[[#Headers],[B3]],Database_Productkaarten[#All],14,FALSE),0)*Ontwerpberekening!J38),0))/Ontwerpberekening!$A$2</f>
        <v>0</v>
      </c>
      <c r="M37" s="9">
        <f>(IF(Ontwerpberekening!E38="Nieuwe Situatie",(SUM(Ontwerp_MKI_Totaal[[#This Row],[A1]:[B1]],Ontwerp_MKI_Totaal[[#This Row],[C1]:[D2]])*Ontwerpberekening!T38),0))</f>
        <v>0</v>
      </c>
      <c r="N37" s="9">
        <f>(IF(Ontwerpberekening!E38="Bestaande Situatie",(_xlfn.IFNA(VLOOKUP(Ontwerp_MKI_Totaal[[#This Row],[Product]]&amp;", "&amp;Ontwerp_MKI_Totaal[[#Headers],[C1]],Database_Productkaarten[#All],14,FALSE),0)*Ontwerpberekening!J38),0))/Ontwerpberekening!$A$2</f>
        <v>0</v>
      </c>
      <c r="O37" s="9">
        <f>(IF(Ontwerpberekening!E38="Bestaande Situatie",(_xlfn.IFNA(VLOOKUP(Ontwerp_MKI_Totaal[[#This Row],[Product]]&amp;", "&amp;Ontwerp_MKI_Totaal[[#Headers],[C2]],Database_Productkaarten[#All],14,FALSE),0)*Ontwerpberekening!R38),0))/Ontwerpberekening!$A$2</f>
        <v>0</v>
      </c>
      <c r="P37" s="9">
        <f>(IF(Ontwerpberekening!E38="Bestaande Situatie",(_xlfn.IFNA(VLOOKUP(Ontwerp_MKI_Totaal[[#This Row],[Product]]&amp;", "&amp;Ontwerp_MKI_Totaal[[#Headers],[C3]],Database_Productkaarten[#All],14,FALSE),0)*Ontwerpberekening!J38),0))/Ontwerpberekening!$A$2</f>
        <v>0</v>
      </c>
      <c r="Q37" s="9">
        <f>(IF(Ontwerpberekening!E38="Bestaande Situatie",(_xlfn.IFNA(VLOOKUP(Ontwerp_MKI_Totaal[[#This Row],[Product]]&amp;", "&amp;Ontwerp_MKI_Totaal[[#Headers],[C4]],Database_Productkaarten[#All],14,FALSE),0)*Ontwerpberekening!J38),0))/Ontwerpberekening!$A$2</f>
        <v>0</v>
      </c>
      <c r="R37" s="9">
        <f>(IF(Ontwerpberekening!E38="Bestaande Situatie",(_xlfn.IFNA(VLOOKUP(Ontwerp_MKI_Totaal[[#This Row],[Product]]&amp;", "&amp;Ontwerp_MKI_Totaal[[#Headers],[D1]],Database_Productkaarten[#All],14,FALSE),0)*Ontwerpberekening!J38),0))/Ontwerpberekening!$A$2</f>
        <v>0</v>
      </c>
      <c r="S37" s="9">
        <f>(IF(Ontwerpberekening!E38="Bestaande Situatie",(_xlfn.IFNA(VLOOKUP(Ontwerp_MKI_Totaal[[#This Row],[Product]]&amp;", "&amp;Ontwerp_MKI_Totaal[[#Headers],[D2]],Database_Productkaarten[#All],14,FALSE),0)*Ontwerpberekening!J38),0))/Ontwerpberekening!$A$2</f>
        <v>0</v>
      </c>
      <c r="T37" s="9">
        <f>(IF(Ontwerpberekening!E38="Bestaande Situatie",(_xlfn.IFNA(VLOOKUP(Ontwerp_MKI_Totaal[[#This Row],[Product]]&amp;", "&amp;Ontwerp_MKI_Totaal[[#Headers],[D]],Database_Productkaarten[#All],14,FALSE),0)*Ontwerpberekening!J38),0))/Ontwerpberekening!$A$2</f>
        <v>0</v>
      </c>
      <c r="U37" s="9">
        <f>SUM(Ontwerp_MKI_Totaal[[#This Row],[A1-A3]:[C4]])+Ontwerp_MKI_Totaal[[#This Row],[D]]</f>
        <v>0</v>
      </c>
      <c r="AC37"/>
      <c r="AD37"/>
      <c r="AE37"/>
      <c r="AF37"/>
      <c r="AG37"/>
      <c r="AH37"/>
      <c r="AI37"/>
      <c r="AJ37"/>
      <c r="AK37"/>
      <c r="AL37"/>
      <c r="AM37"/>
      <c r="AN37"/>
    </row>
    <row r="38" spans="2:40">
      <c r="B38" s="31">
        <f>Ontwerpberekening!B39</f>
        <v>0</v>
      </c>
      <c r="C38" s="31">
        <f>Ontwerpberekening!C39</f>
        <v>0</v>
      </c>
      <c r="D38" s="1">
        <f>Ontwerpberekening!G39</f>
        <v>0</v>
      </c>
      <c r="E38" s="9">
        <f>(IF(Ontwerpberekening!E39="Nieuwe Situatie",(_xlfn.IFNA(VLOOKUP(Ontwerp_MKI_Totaal[[#This Row],[Product]]&amp;", "&amp;Ontwerp_MKI_Totaal[[#Headers],[A1]],Database_Productkaarten[#All],14,FALSE),0)*Ontwerpberekening!J39),0))/Ontwerpberekening!$A$2</f>
        <v>0</v>
      </c>
      <c r="F38" s="9">
        <f>(IF(Ontwerpberekening!E39="Nieuwe Situatie",(_xlfn.IFNA(VLOOKUP(Ontwerp_MKI_Totaal[[#This Row],[Product]]&amp;", "&amp;Ontwerp_MKI_Totaal[[#Headers],[A2]],Database_Productkaarten[#All],14,FALSE),0)*Ontwerpberekening!J39),0))/Ontwerpberekening!$A$2</f>
        <v>0</v>
      </c>
      <c r="G38" s="9">
        <f>(IF(Ontwerpberekening!E39="Nieuwe Situatie",(_xlfn.IFNA(VLOOKUP(Ontwerp_MKI_Totaal[[#This Row],[Product]]&amp;", "&amp;Ontwerp_MKI_Totaal[[#Headers],[A3]],Database_Productkaarten[#All],14,FALSE),0)*Ontwerpberekening!J39),0))/Ontwerpberekening!$A$2</f>
        <v>0</v>
      </c>
      <c r="H38" s="9">
        <f>(IF(Ontwerpberekening!E39="Nieuwe Situatie",(_xlfn.IFNA(VLOOKUP(Ontwerp_MKI_Totaal[[#This Row],[Product]]&amp;", "&amp;Ontwerp_MKI_Totaal[[#Headers],[A1-A3]],Database_Productkaarten[#All],14,FALSE),0)*Ontwerpberekening!J39),0))/Ontwerpberekening!$A$2</f>
        <v>0</v>
      </c>
      <c r="I38" s="9">
        <f>(IF(Ontwerpberekening!E39="Nieuwe Situatie",(_xlfn.IFNA(VLOOKUP(Ontwerp_MKI_Totaal[[#This Row],[Product]]&amp;", "&amp;Ontwerp_MKI_Totaal[[#Headers],[A4]],Database_Productkaarten[#All],14,FALSE),0)*Ontwerpberekening!R39),0))/Ontwerpberekening!$A$2</f>
        <v>0</v>
      </c>
      <c r="J38" s="9">
        <f>(IF(Ontwerpberekening!E39="Nieuwe Situatie",(_xlfn.IFNA(VLOOKUP(Ontwerp_MKI_Totaal[[#This Row],[Product]]&amp;", "&amp;Ontwerp_MKI_Totaal[[#Headers],[A5]],Database_Productkaarten[#All],14,FALSE),0)*Ontwerpberekening!J39),0))/Ontwerpberekening!$A$2</f>
        <v>0</v>
      </c>
      <c r="K38" s="9">
        <f>(IF(Ontwerpberekening!E39="Nieuwe Situatie",(_xlfn.IFNA(VLOOKUP(Ontwerp_MKI_Totaal[[#This Row],[Product]]&amp;", "&amp;Ontwerp_MKI_Totaal[[#Headers],[B1]],Database_Productkaarten[#All],14,FALSE),0)*Ontwerpberekening!J39),0))/Ontwerpberekening!$A$2</f>
        <v>0</v>
      </c>
      <c r="L38" s="9">
        <f>(IF(Ontwerpberekening!E39="Nieuwe Situatie",(_xlfn.IFNA(VLOOKUP(Ontwerp_MKI_Totaal[[#This Row],[Product]]&amp;", "&amp;Ontwerp_MKI_Totaal[[#Headers],[B3]],Database_Productkaarten[#All],14,FALSE),0)*Ontwerpberekening!J39),0))/Ontwerpberekening!$A$2</f>
        <v>0</v>
      </c>
      <c r="M38" s="9">
        <f>(IF(Ontwerpberekening!E39="Nieuwe Situatie",(SUM(Ontwerp_MKI_Totaal[[#This Row],[A1]:[B1]],Ontwerp_MKI_Totaal[[#This Row],[C1]:[D2]])*Ontwerpberekening!T39),0))</f>
        <v>0</v>
      </c>
      <c r="N38" s="9">
        <f>(IF(Ontwerpberekening!E39="Bestaande Situatie",(_xlfn.IFNA(VLOOKUP(Ontwerp_MKI_Totaal[[#This Row],[Product]]&amp;", "&amp;Ontwerp_MKI_Totaal[[#Headers],[C1]],Database_Productkaarten[#All],14,FALSE),0)*Ontwerpberekening!J39),0))/Ontwerpberekening!$A$2</f>
        <v>0</v>
      </c>
      <c r="O38" s="9">
        <f>(IF(Ontwerpberekening!E39="Bestaande Situatie",(_xlfn.IFNA(VLOOKUP(Ontwerp_MKI_Totaal[[#This Row],[Product]]&amp;", "&amp;Ontwerp_MKI_Totaal[[#Headers],[C2]],Database_Productkaarten[#All],14,FALSE),0)*Ontwerpberekening!R39),0))/Ontwerpberekening!$A$2</f>
        <v>0</v>
      </c>
      <c r="P38" s="9">
        <f>(IF(Ontwerpberekening!E39="Bestaande Situatie",(_xlfn.IFNA(VLOOKUP(Ontwerp_MKI_Totaal[[#This Row],[Product]]&amp;", "&amp;Ontwerp_MKI_Totaal[[#Headers],[C3]],Database_Productkaarten[#All],14,FALSE),0)*Ontwerpberekening!J39),0))/Ontwerpberekening!$A$2</f>
        <v>0</v>
      </c>
      <c r="Q38" s="9">
        <f>(IF(Ontwerpberekening!E39="Bestaande Situatie",(_xlfn.IFNA(VLOOKUP(Ontwerp_MKI_Totaal[[#This Row],[Product]]&amp;", "&amp;Ontwerp_MKI_Totaal[[#Headers],[C4]],Database_Productkaarten[#All],14,FALSE),0)*Ontwerpberekening!J39),0))/Ontwerpberekening!$A$2</f>
        <v>0</v>
      </c>
      <c r="R38" s="9">
        <f>(IF(Ontwerpberekening!E39="Bestaande Situatie",(_xlfn.IFNA(VLOOKUP(Ontwerp_MKI_Totaal[[#This Row],[Product]]&amp;", "&amp;Ontwerp_MKI_Totaal[[#Headers],[D1]],Database_Productkaarten[#All],14,FALSE),0)*Ontwerpberekening!J39),0))/Ontwerpberekening!$A$2</f>
        <v>0</v>
      </c>
      <c r="S38" s="9">
        <f>(IF(Ontwerpberekening!E39="Bestaande Situatie",(_xlfn.IFNA(VLOOKUP(Ontwerp_MKI_Totaal[[#This Row],[Product]]&amp;", "&amp;Ontwerp_MKI_Totaal[[#Headers],[D2]],Database_Productkaarten[#All],14,FALSE),0)*Ontwerpberekening!J39),0))/Ontwerpberekening!$A$2</f>
        <v>0</v>
      </c>
      <c r="T38" s="9">
        <f>(IF(Ontwerpberekening!E39="Bestaande Situatie",(_xlfn.IFNA(VLOOKUP(Ontwerp_MKI_Totaal[[#This Row],[Product]]&amp;", "&amp;Ontwerp_MKI_Totaal[[#Headers],[D]],Database_Productkaarten[#All],14,FALSE),0)*Ontwerpberekening!J39),0))/Ontwerpberekening!$A$2</f>
        <v>0</v>
      </c>
      <c r="U38" s="9">
        <f>SUM(Ontwerp_MKI_Totaal[[#This Row],[A1-A3]:[C4]])+Ontwerp_MKI_Totaal[[#This Row],[D]]</f>
        <v>0</v>
      </c>
      <c r="AC38"/>
      <c r="AD38"/>
      <c r="AE38"/>
      <c r="AF38"/>
      <c r="AG38"/>
      <c r="AH38"/>
      <c r="AI38"/>
      <c r="AJ38"/>
      <c r="AK38"/>
      <c r="AL38"/>
      <c r="AM38"/>
      <c r="AN38"/>
    </row>
    <row r="39" spans="2:40">
      <c r="B39" s="31">
        <f>Ontwerpberekening!B40</f>
        <v>0</v>
      </c>
      <c r="C39" s="31">
        <f>Ontwerpberekening!C40</f>
        <v>0</v>
      </c>
      <c r="D39" s="1">
        <f>Ontwerpberekening!G40</f>
        <v>0</v>
      </c>
      <c r="E39" s="9">
        <f>(IF(Ontwerpberekening!E40="Nieuwe Situatie",(_xlfn.IFNA(VLOOKUP(Ontwerp_MKI_Totaal[[#This Row],[Product]]&amp;", "&amp;Ontwerp_MKI_Totaal[[#Headers],[A1]],Database_Productkaarten[#All],14,FALSE),0)*Ontwerpberekening!J40),0))/Ontwerpberekening!$A$2</f>
        <v>0</v>
      </c>
      <c r="F39" s="9">
        <f>(IF(Ontwerpberekening!E40="Nieuwe Situatie",(_xlfn.IFNA(VLOOKUP(Ontwerp_MKI_Totaal[[#This Row],[Product]]&amp;", "&amp;Ontwerp_MKI_Totaal[[#Headers],[A2]],Database_Productkaarten[#All],14,FALSE),0)*Ontwerpberekening!J40),0))/Ontwerpberekening!$A$2</f>
        <v>0</v>
      </c>
      <c r="G39" s="9">
        <f>(IF(Ontwerpberekening!E40="Nieuwe Situatie",(_xlfn.IFNA(VLOOKUP(Ontwerp_MKI_Totaal[[#This Row],[Product]]&amp;", "&amp;Ontwerp_MKI_Totaal[[#Headers],[A3]],Database_Productkaarten[#All],14,FALSE),0)*Ontwerpberekening!J40),0))/Ontwerpberekening!$A$2</f>
        <v>0</v>
      </c>
      <c r="H39" s="9">
        <f>(IF(Ontwerpberekening!E40="Nieuwe Situatie",(_xlfn.IFNA(VLOOKUP(Ontwerp_MKI_Totaal[[#This Row],[Product]]&amp;", "&amp;Ontwerp_MKI_Totaal[[#Headers],[A1-A3]],Database_Productkaarten[#All],14,FALSE),0)*Ontwerpberekening!J40),0))/Ontwerpberekening!$A$2</f>
        <v>0</v>
      </c>
      <c r="I39" s="9">
        <f>(IF(Ontwerpberekening!E40="Nieuwe Situatie",(_xlfn.IFNA(VLOOKUP(Ontwerp_MKI_Totaal[[#This Row],[Product]]&amp;", "&amp;Ontwerp_MKI_Totaal[[#Headers],[A4]],Database_Productkaarten[#All],14,FALSE),0)*Ontwerpberekening!R40),0))/Ontwerpberekening!$A$2</f>
        <v>0</v>
      </c>
      <c r="J39" s="9">
        <f>(IF(Ontwerpberekening!E40="Nieuwe Situatie",(_xlfn.IFNA(VLOOKUP(Ontwerp_MKI_Totaal[[#This Row],[Product]]&amp;", "&amp;Ontwerp_MKI_Totaal[[#Headers],[A5]],Database_Productkaarten[#All],14,FALSE),0)*Ontwerpberekening!J40),0))/Ontwerpberekening!$A$2</f>
        <v>0</v>
      </c>
      <c r="K39" s="9">
        <f>(IF(Ontwerpberekening!E40="Nieuwe Situatie",(_xlfn.IFNA(VLOOKUP(Ontwerp_MKI_Totaal[[#This Row],[Product]]&amp;", "&amp;Ontwerp_MKI_Totaal[[#Headers],[B1]],Database_Productkaarten[#All],14,FALSE),0)*Ontwerpberekening!J40),0))/Ontwerpberekening!$A$2</f>
        <v>0</v>
      </c>
      <c r="L39" s="9">
        <f>(IF(Ontwerpberekening!E40="Nieuwe Situatie",(_xlfn.IFNA(VLOOKUP(Ontwerp_MKI_Totaal[[#This Row],[Product]]&amp;", "&amp;Ontwerp_MKI_Totaal[[#Headers],[B3]],Database_Productkaarten[#All],14,FALSE),0)*Ontwerpberekening!J40),0))/Ontwerpberekening!$A$2</f>
        <v>0</v>
      </c>
      <c r="M39" s="9">
        <f>(IF(Ontwerpberekening!E40="Nieuwe Situatie",(SUM(Ontwerp_MKI_Totaal[[#This Row],[A1]:[B1]],Ontwerp_MKI_Totaal[[#This Row],[C1]:[D2]])*Ontwerpberekening!T40),0))</f>
        <v>0</v>
      </c>
      <c r="N39" s="9">
        <f>(IF(Ontwerpberekening!E40="Bestaande Situatie",(_xlfn.IFNA(VLOOKUP(Ontwerp_MKI_Totaal[[#This Row],[Product]]&amp;", "&amp;Ontwerp_MKI_Totaal[[#Headers],[C1]],Database_Productkaarten[#All],14,FALSE),0)*Ontwerpberekening!J40),0))/Ontwerpberekening!$A$2</f>
        <v>0</v>
      </c>
      <c r="O39" s="9">
        <f>(IF(Ontwerpberekening!E40="Bestaande Situatie",(_xlfn.IFNA(VLOOKUP(Ontwerp_MKI_Totaal[[#This Row],[Product]]&amp;", "&amp;Ontwerp_MKI_Totaal[[#Headers],[C2]],Database_Productkaarten[#All],14,FALSE),0)*Ontwerpberekening!R40),0))/Ontwerpberekening!$A$2</f>
        <v>0</v>
      </c>
      <c r="P39" s="9">
        <f>(IF(Ontwerpberekening!E40="Bestaande Situatie",(_xlfn.IFNA(VLOOKUP(Ontwerp_MKI_Totaal[[#This Row],[Product]]&amp;", "&amp;Ontwerp_MKI_Totaal[[#Headers],[C3]],Database_Productkaarten[#All],14,FALSE),0)*Ontwerpberekening!J40),0))/Ontwerpberekening!$A$2</f>
        <v>0</v>
      </c>
      <c r="Q39" s="9">
        <f>(IF(Ontwerpberekening!E40="Bestaande Situatie",(_xlfn.IFNA(VLOOKUP(Ontwerp_MKI_Totaal[[#This Row],[Product]]&amp;", "&amp;Ontwerp_MKI_Totaal[[#Headers],[C4]],Database_Productkaarten[#All],14,FALSE),0)*Ontwerpberekening!J40),0))/Ontwerpberekening!$A$2</f>
        <v>0</v>
      </c>
      <c r="R39" s="9">
        <f>(IF(Ontwerpberekening!E40="Bestaande Situatie",(_xlfn.IFNA(VLOOKUP(Ontwerp_MKI_Totaal[[#This Row],[Product]]&amp;", "&amp;Ontwerp_MKI_Totaal[[#Headers],[D1]],Database_Productkaarten[#All],14,FALSE),0)*Ontwerpberekening!J40),0))/Ontwerpberekening!$A$2</f>
        <v>0</v>
      </c>
      <c r="S39" s="9">
        <f>(IF(Ontwerpberekening!E40="Bestaande Situatie",(_xlfn.IFNA(VLOOKUP(Ontwerp_MKI_Totaal[[#This Row],[Product]]&amp;", "&amp;Ontwerp_MKI_Totaal[[#Headers],[D2]],Database_Productkaarten[#All],14,FALSE),0)*Ontwerpberekening!J40),0))/Ontwerpberekening!$A$2</f>
        <v>0</v>
      </c>
      <c r="T39" s="9">
        <f>(IF(Ontwerpberekening!E40="Bestaande Situatie",(_xlfn.IFNA(VLOOKUP(Ontwerp_MKI_Totaal[[#This Row],[Product]]&amp;", "&amp;Ontwerp_MKI_Totaal[[#Headers],[D]],Database_Productkaarten[#All],14,FALSE),0)*Ontwerpberekening!J40),0))/Ontwerpberekening!$A$2</f>
        <v>0</v>
      </c>
      <c r="U39" s="9">
        <f>SUM(Ontwerp_MKI_Totaal[[#This Row],[A1-A3]:[C4]])+Ontwerp_MKI_Totaal[[#This Row],[D]]</f>
        <v>0</v>
      </c>
      <c r="AC39"/>
      <c r="AD39"/>
      <c r="AE39"/>
      <c r="AF39"/>
      <c r="AG39"/>
      <c r="AH39"/>
      <c r="AI39"/>
      <c r="AJ39"/>
      <c r="AK39"/>
      <c r="AL39"/>
      <c r="AM39"/>
      <c r="AN39"/>
    </row>
    <row r="40" spans="2:40">
      <c r="B40" s="31">
        <f>Ontwerpberekening!B41</f>
        <v>0</v>
      </c>
      <c r="C40" s="31">
        <f>Ontwerpberekening!C41</f>
        <v>0</v>
      </c>
      <c r="D40" s="1">
        <f>Ontwerpberekening!G41</f>
        <v>0</v>
      </c>
      <c r="E40" s="9">
        <f>(IF(Ontwerpberekening!E41="Nieuwe Situatie",(_xlfn.IFNA(VLOOKUP(Ontwerp_MKI_Totaal[[#This Row],[Product]]&amp;", "&amp;Ontwerp_MKI_Totaal[[#Headers],[A1]],Database_Productkaarten[#All],14,FALSE),0)*Ontwerpberekening!J41),0))/Ontwerpberekening!$A$2</f>
        <v>0</v>
      </c>
      <c r="F40" s="9">
        <f>(IF(Ontwerpberekening!E41="Nieuwe Situatie",(_xlfn.IFNA(VLOOKUP(Ontwerp_MKI_Totaal[[#This Row],[Product]]&amp;", "&amp;Ontwerp_MKI_Totaal[[#Headers],[A2]],Database_Productkaarten[#All],14,FALSE),0)*Ontwerpberekening!J41),0))/Ontwerpberekening!$A$2</f>
        <v>0</v>
      </c>
      <c r="G40" s="9">
        <f>(IF(Ontwerpberekening!E41="Nieuwe Situatie",(_xlfn.IFNA(VLOOKUP(Ontwerp_MKI_Totaal[[#This Row],[Product]]&amp;", "&amp;Ontwerp_MKI_Totaal[[#Headers],[A3]],Database_Productkaarten[#All],14,FALSE),0)*Ontwerpberekening!J41),0))/Ontwerpberekening!$A$2</f>
        <v>0</v>
      </c>
      <c r="H40" s="9">
        <f>(IF(Ontwerpberekening!E41="Nieuwe Situatie",(_xlfn.IFNA(VLOOKUP(Ontwerp_MKI_Totaal[[#This Row],[Product]]&amp;", "&amp;Ontwerp_MKI_Totaal[[#Headers],[A1-A3]],Database_Productkaarten[#All],14,FALSE),0)*Ontwerpberekening!J41),0))/Ontwerpberekening!$A$2</f>
        <v>0</v>
      </c>
      <c r="I40" s="9">
        <f>(IF(Ontwerpberekening!E41="Nieuwe Situatie",(_xlfn.IFNA(VLOOKUP(Ontwerp_MKI_Totaal[[#This Row],[Product]]&amp;", "&amp;Ontwerp_MKI_Totaal[[#Headers],[A4]],Database_Productkaarten[#All],14,FALSE),0)*Ontwerpberekening!R41),0))/Ontwerpberekening!$A$2</f>
        <v>0</v>
      </c>
      <c r="J40" s="9">
        <f>(IF(Ontwerpberekening!E41="Nieuwe Situatie",(_xlfn.IFNA(VLOOKUP(Ontwerp_MKI_Totaal[[#This Row],[Product]]&amp;", "&amp;Ontwerp_MKI_Totaal[[#Headers],[A5]],Database_Productkaarten[#All],14,FALSE),0)*Ontwerpberekening!J41),0))/Ontwerpberekening!$A$2</f>
        <v>0</v>
      </c>
      <c r="K40" s="9">
        <f>(IF(Ontwerpberekening!E41="Nieuwe Situatie",(_xlfn.IFNA(VLOOKUP(Ontwerp_MKI_Totaal[[#This Row],[Product]]&amp;", "&amp;Ontwerp_MKI_Totaal[[#Headers],[B1]],Database_Productkaarten[#All],14,FALSE),0)*Ontwerpberekening!J41),0))/Ontwerpberekening!$A$2</f>
        <v>0</v>
      </c>
      <c r="L40" s="9">
        <f>(IF(Ontwerpberekening!E41="Nieuwe Situatie",(_xlfn.IFNA(VLOOKUP(Ontwerp_MKI_Totaal[[#This Row],[Product]]&amp;", "&amp;Ontwerp_MKI_Totaal[[#Headers],[B3]],Database_Productkaarten[#All],14,FALSE),0)*Ontwerpberekening!J41),0))/Ontwerpberekening!$A$2</f>
        <v>0</v>
      </c>
      <c r="M40" s="9">
        <f>(IF(Ontwerpberekening!E41="Nieuwe Situatie",(SUM(Ontwerp_MKI_Totaal[[#This Row],[A1]:[B1]],Ontwerp_MKI_Totaal[[#This Row],[C1]:[D2]])*Ontwerpberekening!T41),0))</f>
        <v>0</v>
      </c>
      <c r="N40" s="9">
        <f>(IF(Ontwerpberekening!E41="Bestaande Situatie",(_xlfn.IFNA(VLOOKUP(Ontwerp_MKI_Totaal[[#This Row],[Product]]&amp;", "&amp;Ontwerp_MKI_Totaal[[#Headers],[C1]],Database_Productkaarten[#All],14,FALSE),0)*Ontwerpberekening!J41),0))/Ontwerpberekening!$A$2</f>
        <v>0</v>
      </c>
      <c r="O40" s="9">
        <f>(IF(Ontwerpberekening!E41="Bestaande Situatie",(_xlfn.IFNA(VLOOKUP(Ontwerp_MKI_Totaal[[#This Row],[Product]]&amp;", "&amp;Ontwerp_MKI_Totaal[[#Headers],[C2]],Database_Productkaarten[#All],14,FALSE),0)*Ontwerpberekening!R41),0))/Ontwerpberekening!$A$2</f>
        <v>0</v>
      </c>
      <c r="P40" s="9">
        <f>(IF(Ontwerpberekening!E41="Bestaande Situatie",(_xlfn.IFNA(VLOOKUP(Ontwerp_MKI_Totaal[[#This Row],[Product]]&amp;", "&amp;Ontwerp_MKI_Totaal[[#Headers],[C3]],Database_Productkaarten[#All],14,FALSE),0)*Ontwerpberekening!J41),0))/Ontwerpberekening!$A$2</f>
        <v>0</v>
      </c>
      <c r="Q40" s="9">
        <f>(IF(Ontwerpberekening!E41="Bestaande Situatie",(_xlfn.IFNA(VLOOKUP(Ontwerp_MKI_Totaal[[#This Row],[Product]]&amp;", "&amp;Ontwerp_MKI_Totaal[[#Headers],[C4]],Database_Productkaarten[#All],14,FALSE),0)*Ontwerpberekening!J41),0))/Ontwerpberekening!$A$2</f>
        <v>0</v>
      </c>
      <c r="R40" s="9">
        <f>(IF(Ontwerpberekening!E41="Bestaande Situatie",(_xlfn.IFNA(VLOOKUP(Ontwerp_MKI_Totaal[[#This Row],[Product]]&amp;", "&amp;Ontwerp_MKI_Totaal[[#Headers],[D1]],Database_Productkaarten[#All],14,FALSE),0)*Ontwerpberekening!J41),0))/Ontwerpberekening!$A$2</f>
        <v>0</v>
      </c>
      <c r="S40" s="9">
        <f>(IF(Ontwerpberekening!E41="Bestaande Situatie",(_xlfn.IFNA(VLOOKUP(Ontwerp_MKI_Totaal[[#This Row],[Product]]&amp;", "&amp;Ontwerp_MKI_Totaal[[#Headers],[D2]],Database_Productkaarten[#All],14,FALSE),0)*Ontwerpberekening!J41),0))/Ontwerpberekening!$A$2</f>
        <v>0</v>
      </c>
      <c r="T40" s="9">
        <f>(IF(Ontwerpberekening!E41="Bestaande Situatie",(_xlfn.IFNA(VLOOKUP(Ontwerp_MKI_Totaal[[#This Row],[Product]]&amp;", "&amp;Ontwerp_MKI_Totaal[[#Headers],[D]],Database_Productkaarten[#All],14,FALSE),0)*Ontwerpberekening!J41),0))/Ontwerpberekening!$A$2</f>
        <v>0</v>
      </c>
      <c r="U40" s="9">
        <f>SUM(Ontwerp_MKI_Totaal[[#This Row],[A1-A3]:[C4]])+Ontwerp_MKI_Totaal[[#This Row],[D]]</f>
        <v>0</v>
      </c>
      <c r="AC40"/>
      <c r="AD40"/>
      <c r="AE40"/>
      <c r="AF40"/>
      <c r="AG40"/>
      <c r="AH40"/>
      <c r="AI40"/>
      <c r="AJ40"/>
      <c r="AK40"/>
      <c r="AL40"/>
      <c r="AM40"/>
      <c r="AN40"/>
    </row>
    <row r="41" spans="2:40">
      <c r="B41" s="1" t="s">
        <v>90</v>
      </c>
      <c r="C41" s="1"/>
      <c r="D41" s="1"/>
      <c r="E41" s="90">
        <f>SUBTOTAL(109,Ontwerp_MKI_Totaal[A1])</f>
        <v>2378.9257500000003</v>
      </c>
      <c r="F41" s="90">
        <f>SUBTOTAL(109,Ontwerp_MKI_Totaal[A2])</f>
        <v>170.86159499999999</v>
      </c>
      <c r="G41" s="90">
        <f>SUBTOTAL(109,Ontwerp_MKI_Totaal[A3])</f>
        <v>124.712637</v>
      </c>
      <c r="H41" s="90">
        <f>SUBTOTAL(109,Ontwerp_MKI_Totaal[A1-A3])</f>
        <v>5735.7990587799995</v>
      </c>
      <c r="I41" s="90">
        <f>SUBTOTAL(109,Ontwerp_MKI_Totaal[A4])</f>
        <v>669.75113617863985</v>
      </c>
      <c r="J41" s="90">
        <f>SUBTOTAL(109,Ontwerp_MKI_Totaal[A5])</f>
        <v>1228.2555450000002</v>
      </c>
      <c r="K41" s="90">
        <f>SUBTOTAL(109,Ontwerp_MKI_Totaal[B1])</f>
        <v>68.73</v>
      </c>
      <c r="L41" s="90">
        <f>SUBTOTAL(109,Ontwerp_MKI_Totaal[B3])</f>
        <v>808.12094311500005</v>
      </c>
      <c r="M41" s="90">
        <f>SUBTOTAL(109,Ontwerp_MKI_Totaal[B4])</f>
        <v>0</v>
      </c>
      <c r="N41" s="90">
        <f>SUBTOTAL(109,Ontwerp_MKI_Totaal[C1])</f>
        <v>575.99954199999991</v>
      </c>
      <c r="O41" s="90">
        <f>SUBTOTAL(109,Ontwerp_MKI_Totaal[C2])</f>
        <v>2323.3954348893913</v>
      </c>
      <c r="P41" s="90">
        <f>SUBTOTAL(109,Ontwerp_MKI_Totaal[C3])</f>
        <v>1097.8057773999999</v>
      </c>
      <c r="Q41" s="90">
        <f>SUBTOTAL(109,Ontwerp_MKI_Totaal[C4])</f>
        <v>49.130949827199998</v>
      </c>
      <c r="R41" s="90">
        <f>SUBTOTAL(109,Ontwerp_MKI_Totaal[D1])</f>
        <v>0</v>
      </c>
      <c r="S41" s="90">
        <f>SUBTOTAL(109,Ontwerp_MKI_Totaal[D2])</f>
        <v>0</v>
      </c>
      <c r="T41" s="90">
        <f>SUBTOTAL(109,Ontwerp_MKI_Totaal[D])</f>
        <v>-971.00809140600018</v>
      </c>
      <c r="U41" s="146">
        <f>SUBTOTAL(109,Ontwerp_MKI_Totaal[Totaal])</f>
        <v>11585.980295784233</v>
      </c>
    </row>
    <row r="42" spans="2:40">
      <c r="B42" s="13"/>
      <c r="C42" s="13"/>
      <c r="D42" s="125"/>
      <c r="E42" s="125"/>
      <c r="F42" s="125"/>
      <c r="G42" s="125"/>
      <c r="H42" s="125"/>
      <c r="I42" s="125"/>
      <c r="J42" s="125"/>
      <c r="K42" s="125"/>
      <c r="L42" s="125"/>
      <c r="M42" s="125"/>
      <c r="N42" s="125"/>
      <c r="O42" s="125"/>
      <c r="P42" s="125"/>
    </row>
    <row r="44" spans="2:40" ht="18">
      <c r="B44" s="110" t="s">
        <v>106</v>
      </c>
      <c r="C44" s="110"/>
      <c r="D44" s="110"/>
      <c r="E44" s="13"/>
      <c r="F44" s="13"/>
      <c r="G44" s="13"/>
      <c r="H44" s="13"/>
      <c r="I44" s="13"/>
      <c r="J44" s="13"/>
      <c r="K44" s="13"/>
      <c r="L44" s="13"/>
      <c r="M44" s="13"/>
      <c r="N44" s="13"/>
      <c r="O44" s="13"/>
      <c r="P44" s="13"/>
    </row>
    <row r="45" spans="2:40">
      <c r="B45" s="1" t="s">
        <v>70</v>
      </c>
      <c r="C45" s="1" t="s">
        <v>3</v>
      </c>
      <c r="D45" s="1" t="s">
        <v>7</v>
      </c>
      <c r="E45" s="18" t="s">
        <v>74</v>
      </c>
      <c r="F45" s="19" t="s">
        <v>75</v>
      </c>
      <c r="G45" s="20" t="s">
        <v>76</v>
      </c>
      <c r="H45" s="18" t="s">
        <v>77</v>
      </c>
      <c r="I45" s="21" t="s">
        <v>78</v>
      </c>
      <c r="J45" s="22" t="s">
        <v>79</v>
      </c>
      <c r="K45" s="23" t="s">
        <v>80</v>
      </c>
      <c r="L45" s="23" t="s">
        <v>81</v>
      </c>
      <c r="M45" s="24" t="s">
        <v>82</v>
      </c>
      <c r="N45" s="25" t="s">
        <v>83</v>
      </c>
      <c r="O45" s="26" t="s">
        <v>84</v>
      </c>
      <c r="P45" s="27" t="s">
        <v>85</v>
      </c>
      <c r="Q45" s="28" t="s">
        <v>86</v>
      </c>
      <c r="R45" s="29" t="s">
        <v>87</v>
      </c>
      <c r="S45" s="30" t="s">
        <v>88</v>
      </c>
      <c r="T45" s="29" t="s">
        <v>89</v>
      </c>
      <c r="U45" s="143" t="s">
        <v>90</v>
      </c>
      <c r="AC45" s="140" t="s">
        <v>91</v>
      </c>
      <c r="AD45" s="280" t="s">
        <v>107</v>
      </c>
    </row>
    <row r="46" spans="2:40">
      <c r="B46" s="31" t="str">
        <f>Ontwerpberekening!B5</f>
        <v>Open Menggranulaat</v>
      </c>
      <c r="C46" s="31" t="str">
        <f>Ontwerpberekening!C5</f>
        <v>Grondontgraving</v>
      </c>
      <c r="D46" s="1" t="str">
        <f>Ontwerpberekening!G5</f>
        <v>Ophoogmateriaal (Grond)</v>
      </c>
      <c r="E46" s="56">
        <f>(IF(Ontwerpberekening!E5="Nieuwe Situatie",(_xlfn.IFNA(VLOOKUP(Ontwerp_CO2_Totaal[[#This Row],[Product]]&amp;", "&amp;Ontwerp_CO2_Totaal[[#Headers],[A1]],Database_Productkaarten[#All],18,FALSE),0)*Ontwerpberekening!J5),0))/Ontwerpberekening!$A$2</f>
        <v>0</v>
      </c>
      <c r="F46" s="56">
        <f>(IF(Ontwerpberekening!E5="Nieuwe Situatie",(_xlfn.IFNA(VLOOKUP(Ontwerp_CO2_Totaal[[#This Row],[Product]]&amp;", "&amp;Ontwerp_CO2_Totaal[[#Headers],[A2]],Database_Productkaarten[#All],18,FALSE),0)*Ontwerpberekening!J5),0))/Ontwerpberekening!$A$2</f>
        <v>0</v>
      </c>
      <c r="G46" s="56">
        <f>(IF(Ontwerpberekening!E5="Nieuwe Situatie",(_xlfn.IFNA(VLOOKUP(Ontwerp_CO2_Totaal[[#This Row],[Product]]&amp;", "&amp;Ontwerp_CO2_Totaal[[#Headers],[A3]],Database_Productkaarten[#All],18,FALSE),0)*Ontwerpberekening!J5),0))/Ontwerpberekening!$A$2</f>
        <v>0</v>
      </c>
      <c r="H46" s="56">
        <f>(IF(Ontwerpberekening!E5="Nieuwe Situatie",(_xlfn.IFNA(VLOOKUP(Ontwerp_CO2_Totaal[[#This Row],[Product]]&amp;", "&amp;Ontwerp_CO2_Totaal[[#Headers],[A1-A3]],Database_Productkaarten[#All],18,FALSE),0)*Ontwerpberekening!J5),0))/Ontwerpberekening!$A$2</f>
        <v>0</v>
      </c>
      <c r="I46" s="56">
        <f>(IF(Ontwerpberekening!E5="Nieuwe Situatie",(_xlfn.IFNA(VLOOKUP(Ontwerp_CO2_Totaal[[#This Row],[Product]]&amp;", "&amp;Ontwerp_CO2_Totaal[[#Headers],[A4]],Database_Productkaarten[#All],18,FALSE),0)*Ontwerpberekening!R5),0))/Ontwerpberekening!$A$2</f>
        <v>0</v>
      </c>
      <c r="J46" s="56">
        <f>(IF(Ontwerpberekening!E5="Nieuwe Situatie",(_xlfn.IFNA(VLOOKUP(Ontwerp_CO2_Totaal[[#This Row],[Product]]&amp;", "&amp;Ontwerp_CO2_Totaal[[#Headers],[A5]],Database_Productkaarten[#All],18,FALSE),0)*Ontwerpberekening!J5),0))/Ontwerpberekening!$A$2</f>
        <v>0</v>
      </c>
      <c r="K46" s="56">
        <f>(IF(Ontwerpberekening!E5="Nieuwe Situatie",(_xlfn.IFNA(VLOOKUP(Ontwerp_CO2_Totaal[[#This Row],[Product]]&amp;", "&amp;Ontwerp_CO2_Totaal[[#Headers],[B1]],Database_Productkaarten[#All],18,FALSE),0)*Ontwerpberekening!J5),0))/Ontwerpberekening!$A$2</f>
        <v>0</v>
      </c>
      <c r="L46" s="56">
        <f>(IF(Ontwerpberekening!E5="Nieuwe Situatie",(_xlfn.IFNA(VLOOKUP(Ontwerp_CO2_Totaal[[#This Row],[Product]]&amp;", "&amp;Ontwerp_CO2_Totaal[[#Headers],[B3]],Database_Productkaarten[#All],18,FALSE),0)*Ontwerpberekening!J5),0))/Ontwerpberekening!$A$2</f>
        <v>0</v>
      </c>
      <c r="M46" s="56">
        <f>(IF(Ontwerpberekening!E5="Nieuwe Situatie",(SUM(Ontwerp_CO2_Totaal[[#This Row],[A1]:[B1]],Ontwerp_CO2_Totaal[[#This Row],[C1]:[D2]])*Ontwerpberekening!T5),0))</f>
        <v>0</v>
      </c>
      <c r="N46" s="56">
        <f>(IF(Ontwerpberekening!E5="Bestaande Situatie",(_xlfn.IFNA(VLOOKUP(Ontwerp_CO2_Totaal[[#This Row],[Product]]&amp;", "&amp;Ontwerp_CO2_Totaal[[#Headers],[C1]],Database_Productkaarten[#All],18,FALSE),0)*Ontwerpberekening!J5),0))/Ontwerpberekening!$A$2</f>
        <v>341.51401635999997</v>
      </c>
      <c r="O46" s="56">
        <f>(IF(Ontwerpberekening!E5="Bestaande Situatie",(_xlfn.IFNA(VLOOKUP(Ontwerp_CO2_Totaal[[#This Row],[Product]]&amp;", "&amp;Ontwerp_CO2_Totaal[[#Headers],[C2]],Database_Productkaarten[#All],18,FALSE),0)*Ontwerpberekening!R5),0))/Ontwerpberekening!$A$2</f>
        <v>4954.95</v>
      </c>
      <c r="P46" s="56">
        <f>(IF(Ontwerpberekening!E5="Bestaande Situatie",(_xlfn.IFNA(VLOOKUP(Ontwerp_CO2_Totaal[[#This Row],[Product]]&amp;", "&amp;Ontwerp_CO2_Totaal[[#Headers],[C3]],Database_Productkaarten[#All],18,FALSE),0)*Ontwerpberekening!J5),0))/Ontwerpberekening!$A$2</f>
        <v>0</v>
      </c>
      <c r="Q46" s="56">
        <f>(IF(Ontwerpberekening!E5="Bestaande Situatie",(_xlfn.IFNA(VLOOKUP(Ontwerp_CO2_Totaal[[#This Row],[Product]]&amp;", "&amp;Ontwerp_CO2_Totaal[[#Headers],[C4]],Database_Productkaarten[#All],18,FALSE),0)*Ontwerpberekening!J5),0))/Ontwerpberekening!$A$2</f>
        <v>39.6</v>
      </c>
      <c r="R46" s="56">
        <f>(IF(Ontwerpberekening!E5="Bestaande Situatie",(_xlfn.IFNA(VLOOKUP(Ontwerp_CO2_Totaal[[#This Row],[Product]]&amp;", "&amp;Ontwerp_CO2_Totaal[[#Headers],[D1]],Database_Productkaarten[#All],18,FALSE),0)*Ontwerpberekening!J5),0))/Ontwerpberekening!$A$2</f>
        <v>0</v>
      </c>
      <c r="S46" s="57">
        <f>(IF(Ontwerpberekening!E5="Bestaande Situatie",(_xlfn.IFNA(VLOOKUP(Ontwerp_CO2_Totaal[[#This Row],[Product]]&amp;", "&amp;Ontwerp_CO2_Totaal[[#Headers],[D2]],Database_Productkaarten[#All],18,FALSE),0)*Ontwerpberekening!J5),0))/Ontwerpberekening!$A$2</f>
        <v>0</v>
      </c>
      <c r="T46" s="57">
        <f>(IF(Ontwerpberekening!E5="Bestaande Situatie",(_xlfn.IFNA(VLOOKUP(Ontwerp_CO2_Totaal[[#This Row],[Product]]&amp;", "&amp;Ontwerp_CO2_Totaal[[#Headers],[D]],Database_Productkaarten[#All],18,FALSE),0)*Ontwerpberekening!J5),0))/Ontwerpberekening!$A$2</f>
        <v>0</v>
      </c>
      <c r="U46" s="56">
        <f>SUM(Ontwerp_CO2_Totaal[[#This Row],[A1-A3]:[C4]])+Ontwerp_CO2_Totaal[[#This Row],[D]]</f>
        <v>5336.0640163600001</v>
      </c>
      <c r="AC46" s="151" t="s">
        <v>37</v>
      </c>
      <c r="AD46" s="280">
        <v>32302.476960108008</v>
      </c>
    </row>
    <row r="47" spans="2:40">
      <c r="B47" s="31" t="str">
        <f>Ontwerpberekening!B6</f>
        <v>Open Menggranulaat</v>
      </c>
      <c r="C47" s="31" t="str">
        <f>Ontwerpberekening!C6</f>
        <v>Zandbed</v>
      </c>
      <c r="D47" s="1" t="str">
        <f>Ontwerpberekening!G6</f>
        <v>Ophoogmateriaal (Zand)</v>
      </c>
      <c r="E47" s="56">
        <f>(IF(Ontwerpberekening!E6="Nieuwe Situatie",(_xlfn.IFNA(VLOOKUP(Ontwerp_CO2_Totaal[[#This Row],[Product]]&amp;", "&amp;Ontwerp_CO2_Totaal[[#Headers],[A1]],Database_Productkaarten[#All],18,FALSE),0)*Ontwerpberekening!J6),0))/Ontwerpberekening!$A$2</f>
        <v>0</v>
      </c>
      <c r="F47" s="56">
        <f>(IF(Ontwerpberekening!E6="Nieuwe Situatie",(_xlfn.IFNA(VLOOKUP(Ontwerp_CO2_Totaal[[#This Row],[Product]]&amp;", "&amp;Ontwerp_CO2_Totaal[[#Headers],[A2]],Database_Productkaarten[#All],18,FALSE),0)*Ontwerpberekening!J6),0))/Ontwerpberekening!$A$2</f>
        <v>0</v>
      </c>
      <c r="G47" s="56">
        <f>(IF(Ontwerpberekening!E6="Nieuwe Situatie",(_xlfn.IFNA(VLOOKUP(Ontwerp_CO2_Totaal[[#This Row],[Product]]&amp;", "&amp;Ontwerp_CO2_Totaal[[#Headers],[A3]],Database_Productkaarten[#All],18,FALSE),0)*Ontwerpberekening!J6),0))/Ontwerpberekening!$A$2</f>
        <v>0</v>
      </c>
      <c r="H47" s="56">
        <f>(IF(Ontwerpberekening!E6="Nieuwe Situatie",(_xlfn.IFNA(VLOOKUP(Ontwerp_CO2_Totaal[[#This Row],[Product]]&amp;", "&amp;Ontwerp_CO2_Totaal[[#Headers],[A1-A3]],Database_Productkaarten[#All],18,FALSE),0)*Ontwerpberekening!J6),0))/Ontwerpberekening!$A$2</f>
        <v>3080.0000000000005</v>
      </c>
      <c r="I47" s="56">
        <f>(IF(Ontwerpberekening!E6="Nieuwe Situatie",(_xlfn.IFNA(VLOOKUP(Ontwerp_CO2_Totaal[[#This Row],[Product]]&amp;", "&amp;Ontwerp_CO2_Totaal[[#Headers],[A4]],Database_Productkaarten[#All],18,FALSE),0)*Ontwerpberekening!R6),0))/Ontwerpberekening!$A$2</f>
        <v>1664.25</v>
      </c>
      <c r="J47" s="56">
        <f>(IF(Ontwerpberekening!E6="Nieuwe Situatie",(_xlfn.IFNA(VLOOKUP(Ontwerp_CO2_Totaal[[#This Row],[Product]]&amp;", "&amp;Ontwerp_CO2_Totaal[[#Headers],[A5]],Database_Productkaarten[#All],18,FALSE),0)*Ontwerpberekening!J6),0))/Ontwerpberekening!$A$2</f>
        <v>435.47874999999999</v>
      </c>
      <c r="K47" s="56">
        <f>(IF(Ontwerpberekening!E6="Nieuwe Situatie",(_xlfn.IFNA(VLOOKUP(Ontwerp_CO2_Totaal[[#This Row],[Product]]&amp;", "&amp;Ontwerp_CO2_Totaal[[#Headers],[B1]],Database_Productkaarten[#All],18,FALSE),0)*Ontwerpberekening!J6),0))/Ontwerpberekening!$A$2</f>
        <v>0</v>
      </c>
      <c r="L47" s="56">
        <f>(IF(Ontwerpberekening!E6="Nieuwe Situatie",(_xlfn.IFNA(VLOOKUP(Ontwerp_CO2_Totaal[[#This Row],[Product]]&amp;", "&amp;Ontwerp_CO2_Totaal[[#Headers],[B3]],Database_Productkaarten[#All],18,FALSE),0)*Ontwerpberekening!J6),0))/Ontwerpberekening!$A$2</f>
        <v>0</v>
      </c>
      <c r="M47" s="56">
        <f>(IF(Ontwerpberekening!E6="Nieuwe Situatie",(SUM(Ontwerp_CO2_Totaal[[#This Row],[A1]:[B1]],Ontwerp_CO2_Totaal[[#This Row],[C1]:[D2]])*Ontwerpberekening!T6),0))</f>
        <v>0</v>
      </c>
      <c r="N47" s="56">
        <f>(IF(Ontwerpberekening!E6="Bestaande Situatie",(_xlfn.IFNA(VLOOKUP(Ontwerp_CO2_Totaal[[#This Row],[Product]]&amp;", "&amp;Ontwerp_CO2_Totaal[[#Headers],[C1]],Database_Productkaarten[#All],18,FALSE),0)*Ontwerpberekening!J6),0))/Ontwerpberekening!$A$2</f>
        <v>0</v>
      </c>
      <c r="O47" s="56">
        <f>(IF(Ontwerpberekening!E6="Bestaande Situatie",(_xlfn.IFNA(VLOOKUP(Ontwerp_CO2_Totaal[[#This Row],[Product]]&amp;", "&amp;Ontwerp_CO2_Totaal[[#Headers],[C2]],Database_Productkaarten[#All],18,FALSE),0)*Ontwerpberekening!R6),0))/Ontwerpberekening!$A$2</f>
        <v>0</v>
      </c>
      <c r="P47" s="56">
        <f>(IF(Ontwerpberekening!E6="Bestaande Situatie",(_xlfn.IFNA(VLOOKUP(Ontwerp_CO2_Totaal[[#This Row],[Product]]&amp;", "&amp;Ontwerp_CO2_Totaal[[#Headers],[C3]],Database_Productkaarten[#All],18,FALSE),0)*Ontwerpberekening!J6),0))/Ontwerpberekening!$A$2</f>
        <v>0</v>
      </c>
      <c r="Q47" s="56">
        <f>(IF(Ontwerpberekening!E6="Bestaande Situatie",(_xlfn.IFNA(VLOOKUP(Ontwerp_CO2_Totaal[[#This Row],[Product]]&amp;", "&amp;Ontwerp_CO2_Totaal[[#Headers],[C4]],Database_Productkaarten[#All],18,FALSE),0)*Ontwerpberekening!J6),0))/Ontwerpberekening!$A$2</f>
        <v>0</v>
      </c>
      <c r="R47" s="56">
        <f>(IF(Ontwerpberekening!E6="Bestaande Situatie",(_xlfn.IFNA(VLOOKUP(Ontwerp_CO2_Totaal[[#This Row],[Product]]&amp;", "&amp;Ontwerp_CO2_Totaal[[#Headers],[D1]],Database_Productkaarten[#All],18,FALSE),0)*Ontwerpberekening!J6),0))/Ontwerpberekening!$A$2</f>
        <v>0</v>
      </c>
      <c r="S47" s="57">
        <f>(IF(Ontwerpberekening!E6="Bestaande Situatie",(_xlfn.IFNA(VLOOKUP(Ontwerp_CO2_Totaal[[#This Row],[Product]]&amp;", "&amp;Ontwerp_CO2_Totaal[[#Headers],[D2]],Database_Productkaarten[#All],18,FALSE),0)*Ontwerpberekening!J6),0))/Ontwerpberekening!$A$2</f>
        <v>0</v>
      </c>
      <c r="T47" s="57">
        <f>(IF(Ontwerpberekening!E6="Bestaande Situatie",(_xlfn.IFNA(VLOOKUP(Ontwerp_CO2_Totaal[[#This Row],[Product]]&amp;", "&amp;Ontwerp_CO2_Totaal[[#Headers],[D]],Database_Productkaarten[#All],18,FALSE),0)*Ontwerpberekening!J6),0))/Ontwerpberekening!$A$2</f>
        <v>0</v>
      </c>
      <c r="U47" s="56">
        <f>SUM(Ontwerp_CO2_Totaal[[#This Row],[A1-A3]:[C4]])+Ontwerp_CO2_Totaal[[#This Row],[D]]</f>
        <v>5179.7287500000002</v>
      </c>
      <c r="AC47" s="151" t="s">
        <v>62</v>
      </c>
      <c r="AD47" s="280">
        <v>23718.921033870007</v>
      </c>
    </row>
    <row r="48" spans="2:40">
      <c r="B48" s="31" t="str">
        <f>Ontwerpberekening!B7</f>
        <v>Open Menggranulaat</v>
      </c>
      <c r="C48" s="31" t="str">
        <f>Ontwerpberekening!C7</f>
        <v>Funderingswapening</v>
      </c>
      <c r="D48" s="1" t="str">
        <f>Ontwerpberekening!G7</f>
        <v>Geogrid</v>
      </c>
      <c r="E48" s="56">
        <f>(IF(Ontwerpberekening!E7="Nieuwe Situatie",(_xlfn.IFNA(VLOOKUP(Ontwerp_CO2_Totaal[[#This Row],[Product]]&amp;", "&amp;Ontwerp_CO2_Totaal[[#Headers],[A1]],Database_Productkaarten[#All],18,FALSE),0)*Ontwerpberekening!J7),0))/Ontwerpberekening!$A$2</f>
        <v>0</v>
      </c>
      <c r="F48" s="56">
        <f>(IF(Ontwerpberekening!E7="Nieuwe Situatie",(_xlfn.IFNA(VLOOKUP(Ontwerp_CO2_Totaal[[#This Row],[Product]]&amp;", "&amp;Ontwerp_CO2_Totaal[[#Headers],[A2]],Database_Productkaarten[#All],18,FALSE),0)*Ontwerpberekening!J7),0))/Ontwerpberekening!$A$2</f>
        <v>0</v>
      </c>
      <c r="G48" s="56">
        <f>(IF(Ontwerpberekening!E7="Nieuwe Situatie",(_xlfn.IFNA(VLOOKUP(Ontwerp_CO2_Totaal[[#This Row],[Product]]&amp;", "&amp;Ontwerp_CO2_Totaal[[#Headers],[A3]],Database_Productkaarten[#All],18,FALSE),0)*Ontwerpberekening!J7),0))/Ontwerpberekening!$A$2</f>
        <v>0</v>
      </c>
      <c r="H48" s="56">
        <f>(IF(Ontwerpberekening!E7="Nieuwe Situatie",(_xlfn.IFNA(VLOOKUP(Ontwerp_CO2_Totaal[[#This Row],[Product]]&amp;", "&amp;Ontwerp_CO2_Totaal[[#Headers],[A1-A3]],Database_Productkaarten[#All],18,FALSE),0)*Ontwerpberekening!J7),0))/Ontwerpberekening!$A$2</f>
        <v>345.78025580000002</v>
      </c>
      <c r="I48" s="56">
        <f>(IF(Ontwerpberekening!E7="Nieuwe Situatie",(_xlfn.IFNA(VLOOKUP(Ontwerp_CO2_Totaal[[#This Row],[Product]]&amp;", "&amp;Ontwerp_CO2_Totaal[[#Headers],[A4]],Database_Productkaarten[#All],18,FALSE),0)*Ontwerpberekening!R7),0))/Ontwerpberekening!$A$2</f>
        <v>0.65059408476000002</v>
      </c>
      <c r="J48" s="56">
        <f>(IF(Ontwerpberekening!E7="Nieuwe Situatie",(_xlfn.IFNA(VLOOKUP(Ontwerp_CO2_Totaal[[#This Row],[Product]]&amp;", "&amp;Ontwerp_CO2_Totaal[[#Headers],[A5]],Database_Productkaarten[#All],18,FALSE),0)*Ontwerpberekening!J7),0))/Ontwerpberekening!$A$2</f>
        <v>1737.0418500000001</v>
      </c>
      <c r="K48" s="56">
        <f>(IF(Ontwerpberekening!E7="Nieuwe Situatie",(_xlfn.IFNA(VLOOKUP(Ontwerp_CO2_Totaal[[#This Row],[Product]]&amp;", "&amp;Ontwerp_CO2_Totaal[[#Headers],[B1]],Database_Productkaarten[#All],18,FALSE),0)*Ontwerpberekening!J7),0))/Ontwerpberekening!$A$2</f>
        <v>0</v>
      </c>
      <c r="L48" s="56">
        <f>(IF(Ontwerpberekening!E7="Nieuwe Situatie",(_xlfn.IFNA(VLOOKUP(Ontwerp_CO2_Totaal[[#This Row],[Product]]&amp;", "&amp;Ontwerp_CO2_Totaal[[#Headers],[B3]],Database_Productkaarten[#All],18,FALSE),0)*Ontwerpberekening!J7),0))/Ontwerpberekening!$A$2</f>
        <v>0</v>
      </c>
      <c r="M48" s="56">
        <f>(IF(Ontwerpberekening!E7="Nieuwe Situatie",(SUM(Ontwerp_CO2_Totaal[[#This Row],[A1]:[B1]],Ontwerp_CO2_Totaal[[#This Row],[C1]:[D2]])*Ontwerpberekening!T7),0))</f>
        <v>0</v>
      </c>
      <c r="N48" s="56">
        <f>(IF(Ontwerpberekening!E7="Bestaande Situatie",(_xlfn.IFNA(VLOOKUP(Ontwerp_CO2_Totaal[[#This Row],[Product]]&amp;", "&amp;Ontwerp_CO2_Totaal[[#Headers],[C1]],Database_Productkaarten[#All],18,FALSE),0)*Ontwerpberekening!J7),0))/Ontwerpberekening!$A$2</f>
        <v>0</v>
      </c>
      <c r="O48" s="56">
        <f>(IF(Ontwerpberekening!E7="Bestaande Situatie",(_xlfn.IFNA(VLOOKUP(Ontwerp_CO2_Totaal[[#This Row],[Product]]&amp;", "&amp;Ontwerp_CO2_Totaal[[#Headers],[C2]],Database_Productkaarten[#All],18,FALSE),0)*Ontwerpberekening!R7),0))/Ontwerpberekening!$A$2</f>
        <v>0</v>
      </c>
      <c r="P48" s="56">
        <f>(IF(Ontwerpberekening!E7="Bestaande Situatie",(_xlfn.IFNA(VLOOKUP(Ontwerp_CO2_Totaal[[#This Row],[Product]]&amp;", "&amp;Ontwerp_CO2_Totaal[[#Headers],[C3]],Database_Productkaarten[#All],18,FALSE),0)*Ontwerpberekening!J7),0))/Ontwerpberekening!$A$2</f>
        <v>0</v>
      </c>
      <c r="Q48" s="56">
        <f>(IF(Ontwerpberekening!E7="Bestaande Situatie",(_xlfn.IFNA(VLOOKUP(Ontwerp_CO2_Totaal[[#This Row],[Product]]&amp;", "&amp;Ontwerp_CO2_Totaal[[#Headers],[C4]],Database_Productkaarten[#All],18,FALSE),0)*Ontwerpberekening!J7),0))/Ontwerpberekening!$A$2</f>
        <v>0</v>
      </c>
      <c r="R48" s="56">
        <f>(IF(Ontwerpberekening!E7="Bestaande Situatie",(_xlfn.IFNA(VLOOKUP(Ontwerp_CO2_Totaal[[#This Row],[Product]]&amp;", "&amp;Ontwerp_CO2_Totaal[[#Headers],[D1]],Database_Productkaarten[#All],18,FALSE),0)*Ontwerpberekening!J7),0))/Ontwerpberekening!$A$2</f>
        <v>0</v>
      </c>
      <c r="S48" s="57">
        <f>(IF(Ontwerpberekening!E7="Bestaande Situatie",(_xlfn.IFNA(VLOOKUP(Ontwerp_CO2_Totaal[[#This Row],[Product]]&amp;", "&amp;Ontwerp_CO2_Totaal[[#Headers],[D2]],Database_Productkaarten[#All],18,FALSE),0)*Ontwerpberekening!J7),0))/Ontwerpberekening!$A$2</f>
        <v>0</v>
      </c>
      <c r="T48" s="57">
        <f>(IF(Ontwerpberekening!E7="Bestaande Situatie",(_xlfn.IFNA(VLOOKUP(Ontwerp_CO2_Totaal[[#This Row],[Product]]&amp;", "&amp;Ontwerp_CO2_Totaal[[#Headers],[D]],Database_Productkaarten[#All],18,FALSE),0)*Ontwerpberekening!J7),0))/Ontwerpberekening!$A$2</f>
        <v>0</v>
      </c>
      <c r="U48" s="56">
        <f>SUM(Ontwerp_CO2_Totaal[[#This Row],[A1-A3]:[C4]])+Ontwerp_CO2_Totaal[[#This Row],[D]]</f>
        <v>2083.47269988476</v>
      </c>
      <c r="AC48" s="151" t="s">
        <v>57</v>
      </c>
      <c r="AD48" s="280">
        <v>58612.701033870006</v>
      </c>
    </row>
    <row r="49" spans="2:30">
      <c r="B49" s="31" t="str">
        <f>Ontwerpberekening!B8</f>
        <v>Open Menggranulaat</v>
      </c>
      <c r="C49" s="31" t="str">
        <f>Ontwerpberekening!C8</f>
        <v>Menggranulaat</v>
      </c>
      <c r="D49" s="1" t="str">
        <f>Ontwerpberekening!G8</f>
        <v>Menggranulaat 200mm</v>
      </c>
      <c r="E49" s="56">
        <f>(IF(Ontwerpberekening!E8="Nieuwe Situatie",(_xlfn.IFNA(VLOOKUP(Ontwerp_CO2_Totaal[[#This Row],[Product]]&amp;", "&amp;Ontwerp_CO2_Totaal[[#Headers],[A1]],Database_Productkaarten[#All],18,FALSE),0)*Ontwerpberekening!J8),0))/Ontwerpberekening!$A$2</f>
        <v>0</v>
      </c>
      <c r="F49" s="56">
        <f>(IF(Ontwerpberekening!E8="Nieuwe Situatie",(_xlfn.IFNA(VLOOKUP(Ontwerp_CO2_Totaal[[#This Row],[Product]]&amp;", "&amp;Ontwerp_CO2_Totaal[[#Headers],[A2]],Database_Productkaarten[#All],18,FALSE),0)*Ontwerpberekening!J8),0))/Ontwerpberekening!$A$2</f>
        <v>0</v>
      </c>
      <c r="G49" s="56">
        <f>(IF(Ontwerpberekening!E8="Nieuwe Situatie",(_xlfn.IFNA(VLOOKUP(Ontwerp_CO2_Totaal[[#This Row],[Product]]&amp;", "&amp;Ontwerp_CO2_Totaal[[#Headers],[A3]],Database_Productkaarten[#All],18,FALSE),0)*Ontwerpberekening!J8),0))/Ontwerpberekening!$A$2</f>
        <v>0</v>
      </c>
      <c r="H49" s="56">
        <f>(IF(Ontwerpberekening!E8="Nieuwe Situatie",(_xlfn.IFNA(VLOOKUP(Ontwerp_CO2_Totaal[[#This Row],[Product]]&amp;", "&amp;Ontwerp_CO2_Totaal[[#Headers],[A1-A3]],Database_Productkaarten[#All],18,FALSE),0)*Ontwerpberekening!J8),0))/Ontwerpberekening!$A$2</f>
        <v>0</v>
      </c>
      <c r="I49" s="56">
        <f>(IF(Ontwerpberekening!E8="Nieuwe Situatie",(_xlfn.IFNA(VLOOKUP(Ontwerp_CO2_Totaal[[#This Row],[Product]]&amp;", "&amp;Ontwerp_CO2_Totaal[[#Headers],[A4]],Database_Productkaarten[#All],18,FALSE),0)*Ontwerpberekening!R8),0))/Ontwerpberekening!$A$2</f>
        <v>643.5</v>
      </c>
      <c r="J49" s="56">
        <f>(IF(Ontwerpberekening!E8="Nieuwe Situatie",(_xlfn.IFNA(VLOOKUP(Ontwerp_CO2_Totaal[[#This Row],[Product]]&amp;", "&amp;Ontwerp_CO2_Totaal[[#Headers],[A5]],Database_Productkaarten[#All],18,FALSE),0)*Ontwerpberekening!J8),0))/Ontwerpberekening!$A$2</f>
        <v>2029.9999999999998</v>
      </c>
      <c r="K49" s="56">
        <f>(IF(Ontwerpberekening!E8="Nieuwe Situatie",(_xlfn.IFNA(VLOOKUP(Ontwerp_CO2_Totaal[[#This Row],[Product]]&amp;", "&amp;Ontwerp_CO2_Totaal[[#Headers],[B1]],Database_Productkaarten[#All],18,FALSE),0)*Ontwerpberekening!J8),0))/Ontwerpberekening!$A$2</f>
        <v>0</v>
      </c>
      <c r="L49" s="56">
        <f>(IF(Ontwerpberekening!E8="Nieuwe Situatie",(_xlfn.IFNA(VLOOKUP(Ontwerp_CO2_Totaal[[#This Row],[Product]]&amp;", "&amp;Ontwerp_CO2_Totaal[[#Headers],[B3]],Database_Productkaarten[#All],18,FALSE),0)*Ontwerpberekening!J8),0))/Ontwerpberekening!$A$2</f>
        <v>0</v>
      </c>
      <c r="M49" s="56">
        <f>(IF(Ontwerpberekening!E8="Nieuwe Situatie",(SUM(Ontwerp_CO2_Totaal[[#This Row],[A1]:[B1]],Ontwerp_CO2_Totaal[[#This Row],[C1]:[D2]])*Ontwerpberekening!T8),0))</f>
        <v>0</v>
      </c>
      <c r="N49" s="56">
        <f>(IF(Ontwerpberekening!E8="Bestaande Situatie",(_xlfn.IFNA(VLOOKUP(Ontwerp_CO2_Totaal[[#This Row],[Product]]&amp;", "&amp;Ontwerp_CO2_Totaal[[#Headers],[C1]],Database_Productkaarten[#All],18,FALSE),0)*Ontwerpberekening!J8),0))/Ontwerpberekening!$A$2</f>
        <v>0</v>
      </c>
      <c r="O49" s="56">
        <f>(IF(Ontwerpberekening!E8="Bestaande Situatie",(_xlfn.IFNA(VLOOKUP(Ontwerp_CO2_Totaal[[#This Row],[Product]]&amp;", "&amp;Ontwerp_CO2_Totaal[[#Headers],[C2]],Database_Productkaarten[#All],18,FALSE),0)*Ontwerpberekening!R8),0))/Ontwerpberekening!$A$2</f>
        <v>0</v>
      </c>
      <c r="P49" s="56">
        <f>(IF(Ontwerpberekening!E8="Bestaande Situatie",(_xlfn.IFNA(VLOOKUP(Ontwerp_CO2_Totaal[[#This Row],[Product]]&amp;", "&amp;Ontwerp_CO2_Totaal[[#Headers],[C3]],Database_Productkaarten[#All],18,FALSE),0)*Ontwerpberekening!J8),0))/Ontwerpberekening!$A$2</f>
        <v>0</v>
      </c>
      <c r="Q49" s="56">
        <f>(IF(Ontwerpberekening!E8="Bestaande Situatie",(_xlfn.IFNA(VLOOKUP(Ontwerp_CO2_Totaal[[#This Row],[Product]]&amp;", "&amp;Ontwerp_CO2_Totaal[[#Headers],[C4]],Database_Productkaarten[#All],18,FALSE),0)*Ontwerpberekening!J8),0))/Ontwerpberekening!$A$2</f>
        <v>0</v>
      </c>
      <c r="R49" s="56">
        <f>(IF(Ontwerpberekening!E8="Bestaande Situatie",(_xlfn.IFNA(VLOOKUP(Ontwerp_CO2_Totaal[[#This Row],[Product]]&amp;", "&amp;Ontwerp_CO2_Totaal[[#Headers],[D1]],Database_Productkaarten[#All],18,FALSE),0)*Ontwerpberekening!J8),0))/Ontwerpberekening!$A$2</f>
        <v>0</v>
      </c>
      <c r="S49" s="57">
        <f>(IF(Ontwerpberekening!E8="Bestaande Situatie",(_xlfn.IFNA(VLOOKUP(Ontwerp_CO2_Totaal[[#This Row],[Product]]&amp;", "&amp;Ontwerp_CO2_Totaal[[#Headers],[D2]],Database_Productkaarten[#All],18,FALSE),0)*Ontwerpberekening!J8),0))/Ontwerpberekening!$A$2</f>
        <v>0</v>
      </c>
      <c r="T49" s="57">
        <f>(IF(Ontwerpberekening!E8="Bestaande Situatie",(_xlfn.IFNA(VLOOKUP(Ontwerp_CO2_Totaal[[#This Row],[Product]]&amp;", "&amp;Ontwerp_CO2_Totaal[[#Headers],[D]],Database_Productkaarten[#All],18,FALSE),0)*Ontwerpberekening!J8),0))/Ontwerpberekening!$A$2</f>
        <v>0</v>
      </c>
      <c r="U49" s="56">
        <f>SUM(Ontwerp_CO2_Totaal[[#This Row],[A1-A3]:[C4]])+Ontwerp_CO2_Totaal[[#This Row],[D]]</f>
        <v>2673.5</v>
      </c>
      <c r="AC49" s="151" t="s">
        <v>105</v>
      </c>
      <c r="AD49" s="280">
        <v>114634.09902784802</v>
      </c>
    </row>
    <row r="50" spans="2:30">
      <c r="B50" s="31" t="str">
        <f>Ontwerpberekening!B9</f>
        <v>Open Menggranulaat</v>
      </c>
      <c r="C50" s="31" t="str">
        <f>Ontwerpberekening!C9</f>
        <v>Straatlaag</v>
      </c>
      <c r="D50" s="1" t="str">
        <f>Ontwerpberekening!G9</f>
        <v>Ophoogmateriaal (Zand)</v>
      </c>
      <c r="E50" s="56">
        <f>(IF(Ontwerpberekening!E9="Nieuwe Situatie",(_xlfn.IFNA(VLOOKUP(Ontwerp_CO2_Totaal[[#This Row],[Product]]&amp;", "&amp;Ontwerp_CO2_Totaal[[#Headers],[A1]],Database_Productkaarten[#All],18,FALSE),0)*Ontwerpberekening!J9),0))/Ontwerpberekening!$A$2</f>
        <v>0</v>
      </c>
      <c r="F50" s="56">
        <f>(IF(Ontwerpberekening!E9="Nieuwe Situatie",(_xlfn.IFNA(VLOOKUP(Ontwerp_CO2_Totaal[[#This Row],[Product]]&amp;", "&amp;Ontwerp_CO2_Totaal[[#Headers],[A2]],Database_Productkaarten[#All],18,FALSE),0)*Ontwerpberekening!J9),0))/Ontwerpberekening!$A$2</f>
        <v>0</v>
      </c>
      <c r="G50" s="56">
        <f>(IF(Ontwerpberekening!E9="Nieuwe Situatie",(_xlfn.IFNA(VLOOKUP(Ontwerp_CO2_Totaal[[#This Row],[Product]]&amp;", "&amp;Ontwerp_CO2_Totaal[[#Headers],[A3]],Database_Productkaarten[#All],18,FALSE),0)*Ontwerpberekening!J9),0))/Ontwerpberekening!$A$2</f>
        <v>0</v>
      </c>
      <c r="H50" s="56">
        <f>(IF(Ontwerpberekening!E9="Nieuwe Situatie",(_xlfn.IFNA(VLOOKUP(Ontwerp_CO2_Totaal[[#This Row],[Product]]&amp;", "&amp;Ontwerp_CO2_Totaal[[#Headers],[A1-A3]],Database_Productkaarten[#All],18,FALSE),0)*Ontwerpberekening!J9),0))/Ontwerpberekening!$A$2</f>
        <v>440.00000000000006</v>
      </c>
      <c r="I50" s="56">
        <f>(IF(Ontwerpberekening!E9="Nieuwe Situatie",(_xlfn.IFNA(VLOOKUP(Ontwerp_CO2_Totaal[[#This Row],[Product]]&amp;", "&amp;Ontwerp_CO2_Totaal[[#Headers],[A4]],Database_Productkaarten[#All],18,FALSE),0)*Ontwerpberekening!R9),0))/Ontwerpberekening!$A$2</f>
        <v>237.75</v>
      </c>
      <c r="J50" s="56">
        <f>(IF(Ontwerpberekening!E9="Nieuwe Situatie",(_xlfn.IFNA(VLOOKUP(Ontwerp_CO2_Totaal[[#This Row],[Product]]&amp;", "&amp;Ontwerp_CO2_Totaal[[#Headers],[A5]],Database_Productkaarten[#All],18,FALSE),0)*Ontwerpberekening!J9),0))/Ontwerpberekening!$A$2</f>
        <v>62.211249999999993</v>
      </c>
      <c r="K50" s="56">
        <f>(IF(Ontwerpberekening!E9="Nieuwe Situatie",(_xlfn.IFNA(VLOOKUP(Ontwerp_CO2_Totaal[[#This Row],[Product]]&amp;", "&amp;Ontwerp_CO2_Totaal[[#Headers],[B1]],Database_Productkaarten[#All],18,FALSE),0)*Ontwerpberekening!J9),0))/Ontwerpberekening!$A$2</f>
        <v>0</v>
      </c>
      <c r="L50" s="56">
        <f>(IF(Ontwerpberekening!E9="Nieuwe Situatie",(_xlfn.IFNA(VLOOKUP(Ontwerp_CO2_Totaal[[#This Row],[Product]]&amp;", "&amp;Ontwerp_CO2_Totaal[[#Headers],[B3]],Database_Productkaarten[#All],18,FALSE),0)*Ontwerpberekening!J9),0))/Ontwerpberekening!$A$2</f>
        <v>0</v>
      </c>
      <c r="M50" s="56">
        <f>(IF(Ontwerpberekening!E9="Nieuwe Situatie",(SUM(Ontwerp_CO2_Totaal[[#This Row],[A1]:[B1]],Ontwerp_CO2_Totaal[[#This Row],[C1]:[D2]])*Ontwerpberekening!T9),0))</f>
        <v>0</v>
      </c>
      <c r="N50" s="56">
        <f>(IF(Ontwerpberekening!E9="Bestaande Situatie",(_xlfn.IFNA(VLOOKUP(Ontwerp_CO2_Totaal[[#This Row],[Product]]&amp;", "&amp;Ontwerp_CO2_Totaal[[#Headers],[C1]],Database_Productkaarten[#All],18,FALSE),0)*Ontwerpberekening!J9),0))/Ontwerpberekening!$A$2</f>
        <v>0</v>
      </c>
      <c r="O50" s="56">
        <f>(IF(Ontwerpberekening!E9="Bestaande Situatie",(_xlfn.IFNA(VLOOKUP(Ontwerp_CO2_Totaal[[#This Row],[Product]]&amp;", "&amp;Ontwerp_CO2_Totaal[[#Headers],[C2]],Database_Productkaarten[#All],18,FALSE),0)*Ontwerpberekening!R9),0))/Ontwerpberekening!$A$2</f>
        <v>0</v>
      </c>
      <c r="P50" s="56">
        <f>(IF(Ontwerpberekening!E9="Bestaande Situatie",(_xlfn.IFNA(VLOOKUP(Ontwerp_CO2_Totaal[[#This Row],[Product]]&amp;", "&amp;Ontwerp_CO2_Totaal[[#Headers],[C3]],Database_Productkaarten[#All],18,FALSE),0)*Ontwerpberekening!J9),0))/Ontwerpberekening!$A$2</f>
        <v>0</v>
      </c>
      <c r="Q50" s="56">
        <f>(IF(Ontwerpberekening!E9="Bestaande Situatie",(_xlfn.IFNA(VLOOKUP(Ontwerp_CO2_Totaal[[#This Row],[Product]]&amp;", "&amp;Ontwerp_CO2_Totaal[[#Headers],[C4]],Database_Productkaarten[#All],18,FALSE),0)*Ontwerpberekening!J9),0))/Ontwerpberekening!$A$2</f>
        <v>0</v>
      </c>
      <c r="R50" s="56">
        <f>(IF(Ontwerpberekening!E9="Bestaande Situatie",(_xlfn.IFNA(VLOOKUP(Ontwerp_CO2_Totaal[[#This Row],[Product]]&amp;", "&amp;Ontwerp_CO2_Totaal[[#Headers],[D1]],Database_Productkaarten[#All],18,FALSE),0)*Ontwerpberekening!J9),0))/Ontwerpberekening!$A$2</f>
        <v>0</v>
      </c>
      <c r="S50" s="57">
        <f>(IF(Ontwerpberekening!E9="Bestaande Situatie",(_xlfn.IFNA(VLOOKUP(Ontwerp_CO2_Totaal[[#This Row],[Product]]&amp;", "&amp;Ontwerp_CO2_Totaal[[#Headers],[D2]],Database_Productkaarten[#All],18,FALSE),0)*Ontwerpberekening!J9),0))/Ontwerpberekening!$A$2</f>
        <v>0</v>
      </c>
      <c r="T50" s="57">
        <f>(IF(Ontwerpberekening!E9="Bestaande Situatie",(_xlfn.IFNA(VLOOKUP(Ontwerp_CO2_Totaal[[#This Row],[Product]]&amp;", "&amp;Ontwerp_CO2_Totaal[[#Headers],[D]],Database_Productkaarten[#All],18,FALSE),0)*Ontwerpberekening!J9),0))/Ontwerpberekening!$A$2</f>
        <v>0</v>
      </c>
      <c r="U50" s="56">
        <f>SUM(Ontwerp_CO2_Totaal[[#This Row],[A1-A3]:[C4]])+Ontwerp_CO2_Totaal[[#This Row],[D]]</f>
        <v>739.96124999999995</v>
      </c>
      <c r="AC50"/>
      <c r="AD50"/>
    </row>
    <row r="51" spans="2:30">
      <c r="B51" s="31" t="str">
        <f>Ontwerpberekening!B10</f>
        <v>Open Menggranulaat</v>
      </c>
      <c r="C51" s="31" t="str">
        <f>Ontwerpberekening!C10</f>
        <v>Toplaag</v>
      </c>
      <c r="D51" s="1" t="str">
        <f>Ontwerpberekening!G10</f>
        <v>Betonstraatsteen 210x105x80</v>
      </c>
      <c r="E51" s="56">
        <f>(IF(Ontwerpberekening!E10="Nieuwe Situatie",(_xlfn.IFNA(VLOOKUP(Ontwerp_CO2_Totaal[[#This Row],[Product]]&amp;", "&amp;Ontwerp_CO2_Totaal[[#Headers],[A1]],Database_Productkaarten[#All],18,FALSE),0)*Ontwerpberekening!J10),0))/Ontwerpberekening!$A$2</f>
        <v>10998.630000000001</v>
      </c>
      <c r="F51" s="56">
        <f>(IF(Ontwerpberekening!E10="Nieuwe Situatie",(_xlfn.IFNA(VLOOKUP(Ontwerp_CO2_Totaal[[#This Row],[Product]]&amp;", "&amp;Ontwerp_CO2_Totaal[[#Headers],[A2]],Database_Productkaarten[#All],18,FALSE),0)*Ontwerpberekening!J10),0))/Ontwerpberekening!$A$2</f>
        <v>481.99106</v>
      </c>
      <c r="G51" s="56">
        <f>(IF(Ontwerpberekening!E10="Nieuwe Situatie",(_xlfn.IFNA(VLOOKUP(Ontwerp_CO2_Totaal[[#This Row],[Product]]&amp;", "&amp;Ontwerp_CO2_Totaal[[#Headers],[A3]],Database_Productkaarten[#All],18,FALSE),0)*Ontwerpberekening!J10),0))/Ontwerpberekening!$A$2</f>
        <v>583.98365000000001</v>
      </c>
      <c r="H51" s="56">
        <f>(IF(Ontwerpberekening!E10="Nieuwe Situatie",(_xlfn.IFNA(VLOOKUP(Ontwerp_CO2_Totaal[[#This Row],[Product]]&amp;", "&amp;Ontwerp_CO2_Totaal[[#Headers],[A1-A3]],Database_Productkaarten[#All],18,FALSE),0)*Ontwerpberekening!J10),0))/Ontwerpberekening!$A$2</f>
        <v>12064.604710000001</v>
      </c>
      <c r="I51" s="56">
        <f>(IF(Ontwerpberekening!E10="Nieuwe Situatie",(_xlfn.IFNA(VLOOKUP(Ontwerp_CO2_Totaal[[#This Row],[Product]]&amp;", "&amp;Ontwerp_CO2_Totaal[[#Headers],[A4]],Database_Productkaarten[#All],18,FALSE),0)*Ontwerpberekening!R10),0))/Ontwerpberekening!$A$2</f>
        <v>318.58976396000003</v>
      </c>
      <c r="J51" s="56">
        <f>(IF(Ontwerpberekening!E10="Nieuwe Situatie",(_xlfn.IFNA(VLOOKUP(Ontwerp_CO2_Totaal[[#This Row],[Product]]&amp;", "&amp;Ontwerp_CO2_Totaal[[#Headers],[A5]],Database_Productkaarten[#All],18,FALSE),0)*Ontwerpberekening!J10),0))/Ontwerpberekening!$A$2</f>
        <v>723.28470000000004</v>
      </c>
      <c r="K51" s="56">
        <f>(IF(Ontwerpberekening!E10="Nieuwe Situatie",(_xlfn.IFNA(VLOOKUP(Ontwerp_CO2_Totaal[[#This Row],[Product]]&amp;", "&amp;Ontwerp_CO2_Totaal[[#Headers],[B1]],Database_Productkaarten[#All],18,FALSE),0)*Ontwerpberekening!J10),0))/Ontwerpberekening!$A$2</f>
        <v>0</v>
      </c>
      <c r="L51" s="56">
        <f>(IF(Ontwerpberekening!E10="Nieuwe Situatie",(_xlfn.IFNA(VLOOKUP(Ontwerp_CO2_Totaal[[#This Row],[Product]]&amp;", "&amp;Ontwerp_CO2_Totaal[[#Headers],[B3]],Database_Productkaarten[#All],18,FALSE),0)*Ontwerpberekening!J10),0))/Ontwerpberekening!$A$2</f>
        <v>0</v>
      </c>
      <c r="M51" s="56">
        <f>(IF(Ontwerpberekening!E10="Nieuwe Situatie",(SUM(Ontwerp_CO2_Totaal[[#This Row],[A1]:[B1]],Ontwerp_CO2_Totaal[[#This Row],[C1]:[D2]])*Ontwerpberekening!T10),0))</f>
        <v>0</v>
      </c>
      <c r="N51" s="56">
        <f>(IF(Ontwerpberekening!E10="Bestaande Situatie",(_xlfn.IFNA(VLOOKUP(Ontwerp_CO2_Totaal[[#This Row],[Product]]&amp;", "&amp;Ontwerp_CO2_Totaal[[#Headers],[C1]],Database_Productkaarten[#All],18,FALSE),0)*Ontwerpberekening!J10),0))/Ontwerpberekening!$A$2</f>
        <v>0</v>
      </c>
      <c r="O51" s="56">
        <f>(IF(Ontwerpberekening!E10="Bestaande Situatie",(_xlfn.IFNA(VLOOKUP(Ontwerp_CO2_Totaal[[#This Row],[Product]]&amp;", "&amp;Ontwerp_CO2_Totaal[[#Headers],[C2]],Database_Productkaarten[#All],18,FALSE),0)*Ontwerpberekening!R10),0))/Ontwerpberekening!$A$2</f>
        <v>0</v>
      </c>
      <c r="P51" s="56">
        <f>(IF(Ontwerpberekening!E10="Bestaande Situatie",(_xlfn.IFNA(VLOOKUP(Ontwerp_CO2_Totaal[[#This Row],[Product]]&amp;", "&amp;Ontwerp_CO2_Totaal[[#Headers],[C3]],Database_Productkaarten[#All],18,FALSE),0)*Ontwerpberekening!J10),0))/Ontwerpberekening!$A$2</f>
        <v>0</v>
      </c>
      <c r="Q51" s="56">
        <f>(IF(Ontwerpberekening!E10="Bestaande Situatie",(_xlfn.IFNA(VLOOKUP(Ontwerp_CO2_Totaal[[#This Row],[Product]]&amp;", "&amp;Ontwerp_CO2_Totaal[[#Headers],[C4]],Database_Productkaarten[#All],18,FALSE),0)*Ontwerpberekening!J10),0))/Ontwerpberekening!$A$2</f>
        <v>0</v>
      </c>
      <c r="R51" s="56">
        <f>(IF(Ontwerpberekening!E10="Bestaande Situatie",(_xlfn.IFNA(VLOOKUP(Ontwerp_CO2_Totaal[[#This Row],[Product]]&amp;", "&amp;Ontwerp_CO2_Totaal[[#Headers],[D1]],Database_Productkaarten[#All],18,FALSE),0)*Ontwerpberekening!J10),0))/Ontwerpberekening!$A$2</f>
        <v>0</v>
      </c>
      <c r="S51" s="57">
        <f>(IF(Ontwerpberekening!E10="Bestaande Situatie",(_xlfn.IFNA(VLOOKUP(Ontwerp_CO2_Totaal[[#This Row],[Product]]&amp;", "&amp;Ontwerp_CO2_Totaal[[#Headers],[D2]],Database_Productkaarten[#All],18,FALSE),0)*Ontwerpberekening!J10),0))/Ontwerpberekening!$A$2</f>
        <v>0</v>
      </c>
      <c r="T51" s="57">
        <f>(IF(Ontwerpberekening!E10="Bestaande Situatie",(_xlfn.IFNA(VLOOKUP(Ontwerp_CO2_Totaal[[#This Row],[Product]]&amp;", "&amp;Ontwerp_CO2_Totaal[[#Headers],[D]],Database_Productkaarten[#All],18,FALSE),0)*Ontwerpberekening!J10),0))/Ontwerpberekening!$A$2</f>
        <v>0</v>
      </c>
      <c r="U51" s="56">
        <f>SUM(Ontwerp_CO2_Totaal[[#This Row],[A1-A3]:[C4]])+Ontwerp_CO2_Totaal[[#This Row],[D]]</f>
        <v>13106.479173960002</v>
      </c>
      <c r="AC51"/>
      <c r="AD51"/>
    </row>
    <row r="52" spans="2:30">
      <c r="B52" s="31" t="str">
        <f>Ontwerpberekening!B11</f>
        <v>Open Menggranulaat</v>
      </c>
      <c r="C52" s="31" t="str">
        <f>Ontwerpberekening!C11</f>
        <v>Zandbed</v>
      </c>
      <c r="D52" s="1" t="str">
        <f>Ontwerpberekening!G11</f>
        <v>Ophoogmateriaal (Zand)</v>
      </c>
      <c r="E52" s="56">
        <f>(IF(Ontwerpberekening!E11="Nieuwe Situatie",(_xlfn.IFNA(VLOOKUP(Ontwerp_CO2_Totaal[[#This Row],[Product]]&amp;", "&amp;Ontwerp_CO2_Totaal[[#Headers],[A1]],Database_Productkaarten[#All],18,FALSE),0)*Ontwerpberekening!J11),0))/Ontwerpberekening!$A$2</f>
        <v>0</v>
      </c>
      <c r="F52" s="56">
        <f>(IF(Ontwerpberekening!E11="Nieuwe Situatie",(_xlfn.IFNA(VLOOKUP(Ontwerp_CO2_Totaal[[#This Row],[Product]]&amp;", "&amp;Ontwerp_CO2_Totaal[[#Headers],[A2]],Database_Productkaarten[#All],18,FALSE),0)*Ontwerpberekening!J11),0))/Ontwerpberekening!$A$2</f>
        <v>0</v>
      </c>
      <c r="G52" s="56">
        <f>(IF(Ontwerpberekening!E11="Nieuwe Situatie",(_xlfn.IFNA(VLOOKUP(Ontwerp_CO2_Totaal[[#This Row],[Product]]&amp;", "&amp;Ontwerp_CO2_Totaal[[#Headers],[A3]],Database_Productkaarten[#All],18,FALSE),0)*Ontwerpberekening!J11),0))/Ontwerpberekening!$A$2</f>
        <v>0</v>
      </c>
      <c r="H52" s="56">
        <f>(IF(Ontwerpberekening!E11="Nieuwe Situatie",(_xlfn.IFNA(VLOOKUP(Ontwerp_CO2_Totaal[[#This Row],[Product]]&amp;", "&amp;Ontwerp_CO2_Totaal[[#Headers],[A1-A3]],Database_Productkaarten[#All],18,FALSE),0)*Ontwerpberekening!J11),0))/Ontwerpberekening!$A$2</f>
        <v>0</v>
      </c>
      <c r="I52" s="56">
        <f>(IF(Ontwerpberekening!E11="Nieuwe Situatie",(_xlfn.IFNA(VLOOKUP(Ontwerp_CO2_Totaal[[#This Row],[Product]]&amp;", "&amp;Ontwerp_CO2_Totaal[[#Headers],[A4]],Database_Productkaarten[#All],18,FALSE),0)*Ontwerpberekening!R11),0))/Ontwerpberekening!$A$2</f>
        <v>0</v>
      </c>
      <c r="J52" s="56">
        <f>(IF(Ontwerpberekening!E11="Nieuwe Situatie",(_xlfn.IFNA(VLOOKUP(Ontwerp_CO2_Totaal[[#This Row],[Product]]&amp;", "&amp;Ontwerp_CO2_Totaal[[#Headers],[A5]],Database_Productkaarten[#All],18,FALSE),0)*Ontwerpberekening!J11),0))/Ontwerpberekening!$A$2</f>
        <v>0</v>
      </c>
      <c r="K52" s="56">
        <f>(IF(Ontwerpberekening!E11="Nieuwe Situatie",(_xlfn.IFNA(VLOOKUP(Ontwerp_CO2_Totaal[[#This Row],[Product]]&amp;", "&amp;Ontwerp_CO2_Totaal[[#Headers],[B1]],Database_Productkaarten[#All],18,FALSE),0)*Ontwerpberekening!J11),0))/Ontwerpberekening!$A$2</f>
        <v>0</v>
      </c>
      <c r="L52" s="56">
        <f>(IF(Ontwerpberekening!E11="Nieuwe Situatie",(_xlfn.IFNA(VLOOKUP(Ontwerp_CO2_Totaal[[#This Row],[Product]]&amp;", "&amp;Ontwerp_CO2_Totaal[[#Headers],[B3]],Database_Productkaarten[#All],18,FALSE),0)*Ontwerpberekening!J11),0))/Ontwerpberekening!$A$2</f>
        <v>0</v>
      </c>
      <c r="M52" s="56">
        <f>(IF(Ontwerpberekening!E11="Nieuwe Situatie",(SUM(Ontwerp_CO2_Totaal[[#This Row],[A1]:[B1]],Ontwerp_CO2_Totaal[[#This Row],[C1]:[D2]])*Ontwerpberekening!T11),0))</f>
        <v>0</v>
      </c>
      <c r="N52" s="56">
        <f>(IF(Ontwerpberekening!E11="Bestaande Situatie",(_xlfn.IFNA(VLOOKUP(Ontwerp_CO2_Totaal[[#This Row],[Product]]&amp;", "&amp;Ontwerp_CO2_Totaal[[#Headers],[C1]],Database_Productkaarten[#All],18,FALSE),0)*Ontwerpberekening!J11),0))/Ontwerpberekening!$A$2</f>
        <v>81.497500000000002</v>
      </c>
      <c r="O52" s="56">
        <f>(IF(Ontwerpberekening!E11="Bestaande Situatie",(_xlfn.IFNA(VLOOKUP(Ontwerp_CO2_Totaal[[#This Row],[Product]]&amp;", "&amp;Ontwerp_CO2_Totaal[[#Headers],[C2]],Database_Productkaarten[#All],18,FALSE),0)*Ontwerpberekening!R11),0))/Ontwerpberekening!$A$2</f>
        <v>1680</v>
      </c>
      <c r="P52" s="56">
        <f>(IF(Ontwerpberekening!E11="Bestaande Situatie",(_xlfn.IFNA(VLOOKUP(Ontwerp_CO2_Totaal[[#This Row],[Product]]&amp;", "&amp;Ontwerp_CO2_Totaal[[#Headers],[C3]],Database_Productkaarten[#All],18,FALSE),0)*Ontwerpberekening!J11),0))/Ontwerpberekening!$A$2</f>
        <v>0</v>
      </c>
      <c r="Q52" s="56">
        <f>(IF(Ontwerpberekening!E11="Bestaande Situatie",(_xlfn.IFNA(VLOOKUP(Ontwerp_CO2_Totaal[[#This Row],[Product]]&amp;", "&amp;Ontwerp_CO2_Totaal[[#Headers],[C4]],Database_Productkaarten[#All],18,FALSE),0)*Ontwerpberekening!J11),0))/Ontwerpberekening!$A$2</f>
        <v>14</v>
      </c>
      <c r="R52" s="56">
        <f>(IF(Ontwerpberekening!E11="Bestaande Situatie",(_xlfn.IFNA(VLOOKUP(Ontwerp_CO2_Totaal[[#This Row],[Product]]&amp;", "&amp;Ontwerp_CO2_Totaal[[#Headers],[D1]],Database_Productkaarten[#All],18,FALSE),0)*Ontwerpberekening!J11),0))/Ontwerpberekening!$A$2</f>
        <v>0</v>
      </c>
      <c r="S52" s="57">
        <f>(IF(Ontwerpberekening!E11="Bestaande Situatie",(_xlfn.IFNA(VLOOKUP(Ontwerp_CO2_Totaal[[#This Row],[Product]]&amp;", "&amp;Ontwerp_CO2_Totaal[[#Headers],[D2]],Database_Productkaarten[#All],18,FALSE),0)*Ontwerpberekening!J11),0))/Ontwerpberekening!$A$2</f>
        <v>0</v>
      </c>
      <c r="T52" s="57">
        <f>(IF(Ontwerpberekening!E11="Bestaande Situatie",(_xlfn.IFNA(VLOOKUP(Ontwerp_CO2_Totaal[[#This Row],[Product]]&amp;", "&amp;Ontwerp_CO2_Totaal[[#Headers],[D]],Database_Productkaarten[#All],18,FALSE),0)*Ontwerpberekening!J11),0))/Ontwerpberekening!$A$2</f>
        <v>-1090.25</v>
      </c>
      <c r="U52" s="56">
        <f>SUM(Ontwerp_CO2_Totaal[[#This Row],[A1-A3]:[C4]])+Ontwerp_CO2_Totaal[[#This Row],[D]]</f>
        <v>685.24749999999995</v>
      </c>
      <c r="AC52"/>
      <c r="AD52"/>
    </row>
    <row r="53" spans="2:30">
      <c r="B53" s="31" t="str">
        <f>Ontwerpberekening!B12</f>
        <v>Open Menggranulaat</v>
      </c>
      <c r="C53" s="31" t="str">
        <f>Ontwerpberekening!C12</f>
        <v>Funderingswapening</v>
      </c>
      <c r="D53" s="1" t="str">
        <f>Ontwerpberekening!G12</f>
        <v>Geogrid</v>
      </c>
      <c r="E53" s="56">
        <f>(IF(Ontwerpberekening!E12="Nieuwe Situatie",(_xlfn.IFNA(VLOOKUP(Ontwerp_CO2_Totaal[[#This Row],[Product]]&amp;", "&amp;Ontwerp_CO2_Totaal[[#Headers],[A1]],Database_Productkaarten[#All],18,FALSE),0)*Ontwerpberekening!J12),0))/Ontwerpberekening!$A$2</f>
        <v>0</v>
      </c>
      <c r="F53" s="56">
        <f>(IF(Ontwerpberekening!E12="Nieuwe Situatie",(_xlfn.IFNA(VLOOKUP(Ontwerp_CO2_Totaal[[#This Row],[Product]]&amp;", "&amp;Ontwerp_CO2_Totaal[[#Headers],[A2]],Database_Productkaarten[#All],18,FALSE),0)*Ontwerpberekening!J12),0))/Ontwerpberekening!$A$2</f>
        <v>0</v>
      </c>
      <c r="G53" s="56">
        <f>(IF(Ontwerpberekening!E12="Nieuwe Situatie",(_xlfn.IFNA(VLOOKUP(Ontwerp_CO2_Totaal[[#This Row],[Product]]&amp;", "&amp;Ontwerp_CO2_Totaal[[#Headers],[A3]],Database_Productkaarten[#All],18,FALSE),0)*Ontwerpberekening!J12),0))/Ontwerpberekening!$A$2</f>
        <v>0</v>
      </c>
      <c r="H53" s="56">
        <f>(IF(Ontwerpberekening!E12="Nieuwe Situatie",(_xlfn.IFNA(VLOOKUP(Ontwerp_CO2_Totaal[[#This Row],[Product]]&amp;", "&amp;Ontwerp_CO2_Totaal[[#Headers],[A1-A3]],Database_Productkaarten[#All],18,FALSE),0)*Ontwerpberekening!J12),0))/Ontwerpberekening!$A$2</f>
        <v>0</v>
      </c>
      <c r="I53" s="56">
        <f>(IF(Ontwerpberekening!E12="Nieuwe Situatie",(_xlfn.IFNA(VLOOKUP(Ontwerp_CO2_Totaal[[#This Row],[Product]]&amp;", "&amp;Ontwerp_CO2_Totaal[[#Headers],[A4]],Database_Productkaarten[#All],18,FALSE),0)*Ontwerpberekening!R12),0))/Ontwerpberekening!$A$2</f>
        <v>0</v>
      </c>
      <c r="J53" s="56">
        <f>(IF(Ontwerpberekening!E12="Nieuwe Situatie",(_xlfn.IFNA(VLOOKUP(Ontwerp_CO2_Totaal[[#This Row],[Product]]&amp;", "&amp;Ontwerp_CO2_Totaal[[#Headers],[A5]],Database_Productkaarten[#All],18,FALSE),0)*Ontwerpberekening!J12),0))/Ontwerpberekening!$A$2</f>
        <v>0</v>
      </c>
      <c r="K53" s="56">
        <f>(IF(Ontwerpberekening!E12="Nieuwe Situatie",(_xlfn.IFNA(VLOOKUP(Ontwerp_CO2_Totaal[[#This Row],[Product]]&amp;", "&amp;Ontwerp_CO2_Totaal[[#Headers],[B1]],Database_Productkaarten[#All],18,FALSE),0)*Ontwerpberekening!J12),0))/Ontwerpberekening!$A$2</f>
        <v>0</v>
      </c>
      <c r="L53" s="56">
        <f>(IF(Ontwerpberekening!E12="Nieuwe Situatie",(_xlfn.IFNA(VLOOKUP(Ontwerp_CO2_Totaal[[#This Row],[Product]]&amp;", "&amp;Ontwerp_CO2_Totaal[[#Headers],[B3]],Database_Productkaarten[#All],18,FALSE),0)*Ontwerpberekening!J12),0))/Ontwerpberekening!$A$2</f>
        <v>0</v>
      </c>
      <c r="M53" s="56">
        <f>(IF(Ontwerpberekening!E12="Nieuwe Situatie",(SUM(Ontwerp_CO2_Totaal[[#This Row],[A1]:[B1]],Ontwerp_CO2_Totaal[[#This Row],[C1]:[D2]])*Ontwerpberekening!T12),0))</f>
        <v>0</v>
      </c>
      <c r="N53" s="56">
        <f>(IF(Ontwerpberekening!E12="Bestaande Situatie",(_xlfn.IFNA(VLOOKUP(Ontwerp_CO2_Totaal[[#This Row],[Product]]&amp;", "&amp;Ontwerp_CO2_Totaal[[#Headers],[C1]],Database_Productkaarten[#All],18,FALSE),0)*Ontwerpberekening!J12),0))/Ontwerpberekening!$A$2</f>
        <v>777.7799</v>
      </c>
      <c r="O53" s="56">
        <f>(IF(Ontwerpberekening!E12="Bestaande Situatie",(_xlfn.IFNA(VLOOKUP(Ontwerp_CO2_Totaal[[#This Row],[Product]]&amp;", "&amp;Ontwerp_CO2_Totaal[[#Headers],[C2]],Database_Productkaarten[#All],18,FALSE),0)*Ontwerpberekening!R12),0))/Ontwerpberekening!$A$2</f>
        <v>0.46625909723999998</v>
      </c>
      <c r="P53" s="56">
        <f>(IF(Ontwerpberekening!E12="Bestaande Situatie",(_xlfn.IFNA(VLOOKUP(Ontwerp_CO2_Totaal[[#This Row],[Product]]&amp;", "&amp;Ontwerp_CO2_Totaal[[#Headers],[C3]],Database_Productkaarten[#All],18,FALSE),0)*Ontwerpberekening!J12),0))/Ontwerpberekening!$A$2</f>
        <v>0</v>
      </c>
      <c r="Q53" s="56">
        <f>(IF(Ontwerpberekening!E12="Bestaande Situatie",(_xlfn.IFNA(VLOOKUP(Ontwerp_CO2_Totaal[[#This Row],[Product]]&amp;", "&amp;Ontwerp_CO2_Totaal[[#Headers],[C4]],Database_Productkaarten[#All],18,FALSE),0)*Ontwerpberekening!J12),0))/Ontwerpberekening!$A$2</f>
        <v>232.383566046</v>
      </c>
      <c r="R53" s="56">
        <f>(IF(Ontwerpberekening!E12="Bestaande Situatie",(_xlfn.IFNA(VLOOKUP(Ontwerp_CO2_Totaal[[#This Row],[Product]]&amp;", "&amp;Ontwerp_CO2_Totaal[[#Headers],[D1]],Database_Productkaarten[#All],18,FALSE),0)*Ontwerpberekening!J12),0))/Ontwerpberekening!$A$2</f>
        <v>0</v>
      </c>
      <c r="S53" s="57">
        <f>(IF(Ontwerpberekening!E12="Bestaande Situatie",(_xlfn.IFNA(VLOOKUP(Ontwerp_CO2_Totaal[[#This Row],[Product]]&amp;", "&amp;Ontwerp_CO2_Totaal[[#Headers],[D2]],Database_Productkaarten[#All],18,FALSE),0)*Ontwerpberekening!J12),0))/Ontwerpberekening!$A$2</f>
        <v>0</v>
      </c>
      <c r="T53" s="57">
        <f>(IF(Ontwerpberekening!E12="Bestaande Situatie",(_xlfn.IFNA(VLOOKUP(Ontwerp_CO2_Totaal[[#This Row],[Product]]&amp;", "&amp;Ontwerp_CO2_Totaal[[#Headers],[D]],Database_Productkaarten[#All],18,FALSE),0)*Ontwerpberekening!J12),0))/Ontwerpberekening!$A$2</f>
        <v>-128.22308784000001</v>
      </c>
      <c r="U53" s="56">
        <f>SUM(Ontwerp_CO2_Totaal[[#This Row],[A1-A3]:[C4]])+Ontwerp_CO2_Totaal[[#This Row],[D]]</f>
        <v>882.4066373032399</v>
      </c>
      <c r="AC53"/>
      <c r="AD53"/>
    </row>
    <row r="54" spans="2:30">
      <c r="B54" s="31" t="str">
        <f>Ontwerpberekening!B13</f>
        <v>Open Menggranulaat</v>
      </c>
      <c r="C54" s="31" t="str">
        <f>Ontwerpberekening!C13</f>
        <v>Menggranulaat</v>
      </c>
      <c r="D54" s="1" t="str">
        <f>Ontwerpberekening!G13</f>
        <v>Menggranulaat 200mm</v>
      </c>
      <c r="E54" s="56">
        <f>(IF(Ontwerpberekening!E13="Nieuwe Situatie",(_xlfn.IFNA(VLOOKUP(Ontwerp_CO2_Totaal[[#This Row],[Product]]&amp;", "&amp;Ontwerp_CO2_Totaal[[#Headers],[A1]],Database_Productkaarten[#All],18,FALSE),0)*Ontwerpberekening!J13),0))/Ontwerpberekening!$A$2</f>
        <v>0</v>
      </c>
      <c r="F54" s="56">
        <f>(IF(Ontwerpberekening!E13="Nieuwe Situatie",(_xlfn.IFNA(VLOOKUP(Ontwerp_CO2_Totaal[[#This Row],[Product]]&amp;", "&amp;Ontwerp_CO2_Totaal[[#Headers],[A2]],Database_Productkaarten[#All],18,FALSE),0)*Ontwerpberekening!J13),0))/Ontwerpberekening!$A$2</f>
        <v>0</v>
      </c>
      <c r="G54" s="56">
        <f>(IF(Ontwerpberekening!E13="Nieuwe Situatie",(_xlfn.IFNA(VLOOKUP(Ontwerp_CO2_Totaal[[#This Row],[Product]]&amp;", "&amp;Ontwerp_CO2_Totaal[[#Headers],[A3]],Database_Productkaarten[#All],18,FALSE),0)*Ontwerpberekening!J13),0))/Ontwerpberekening!$A$2</f>
        <v>0</v>
      </c>
      <c r="H54" s="56">
        <f>(IF(Ontwerpberekening!E13="Nieuwe Situatie",(_xlfn.IFNA(VLOOKUP(Ontwerp_CO2_Totaal[[#This Row],[Product]]&amp;", "&amp;Ontwerp_CO2_Totaal[[#Headers],[A1-A3]],Database_Productkaarten[#All],18,FALSE),0)*Ontwerpberekening!J13),0))/Ontwerpberekening!$A$2</f>
        <v>0</v>
      </c>
      <c r="I54" s="56">
        <f>(IF(Ontwerpberekening!E13="Nieuwe Situatie",(_xlfn.IFNA(VLOOKUP(Ontwerp_CO2_Totaal[[#This Row],[Product]]&amp;", "&amp;Ontwerp_CO2_Totaal[[#Headers],[A4]],Database_Productkaarten[#All],18,FALSE),0)*Ontwerpberekening!R13),0))/Ontwerpberekening!$A$2</f>
        <v>0</v>
      </c>
      <c r="J54" s="56">
        <f>(IF(Ontwerpberekening!E13="Nieuwe Situatie",(_xlfn.IFNA(VLOOKUP(Ontwerp_CO2_Totaal[[#This Row],[Product]]&amp;", "&amp;Ontwerp_CO2_Totaal[[#Headers],[A5]],Database_Productkaarten[#All],18,FALSE),0)*Ontwerpberekening!J13),0))/Ontwerpberekening!$A$2</f>
        <v>0</v>
      </c>
      <c r="K54" s="56">
        <f>(IF(Ontwerpberekening!E13="Nieuwe Situatie",(_xlfn.IFNA(VLOOKUP(Ontwerp_CO2_Totaal[[#This Row],[Product]]&amp;", "&amp;Ontwerp_CO2_Totaal[[#Headers],[B1]],Database_Productkaarten[#All],18,FALSE),0)*Ontwerpberekening!J13),0))/Ontwerpberekening!$A$2</f>
        <v>0</v>
      </c>
      <c r="L54" s="56">
        <f>(IF(Ontwerpberekening!E13="Nieuwe Situatie",(_xlfn.IFNA(VLOOKUP(Ontwerp_CO2_Totaal[[#This Row],[Product]]&amp;", "&amp;Ontwerp_CO2_Totaal[[#Headers],[B3]],Database_Productkaarten[#All],18,FALSE),0)*Ontwerpberekening!J13),0))/Ontwerpberekening!$A$2</f>
        <v>0</v>
      </c>
      <c r="M54" s="56">
        <f>(IF(Ontwerpberekening!E13="Nieuwe Situatie",(SUM(Ontwerp_CO2_Totaal[[#This Row],[A1]:[B1]],Ontwerp_CO2_Totaal[[#This Row],[C1]:[D2]])*Ontwerpberekening!T13),0))</f>
        <v>0</v>
      </c>
      <c r="N54" s="56">
        <f>(IF(Ontwerpberekening!E13="Bestaande Situatie",(_xlfn.IFNA(VLOOKUP(Ontwerp_CO2_Totaal[[#This Row],[Product]]&amp;", "&amp;Ontwerp_CO2_Totaal[[#Headers],[C1]],Database_Productkaarten[#All],18,FALSE),0)*Ontwerpberekening!J13),0))/Ontwerpberekening!$A$2</f>
        <v>671</v>
      </c>
      <c r="O54" s="56">
        <f>(IF(Ontwerpberekening!E13="Bestaande Situatie",(_xlfn.IFNA(VLOOKUP(Ontwerp_CO2_Totaal[[#This Row],[Product]]&amp;", "&amp;Ontwerp_CO2_Totaal[[#Headers],[C2]],Database_Productkaarten[#All],18,FALSE),0)*Ontwerpberekening!R13),0))/Ontwerpberekening!$A$2</f>
        <v>647.4</v>
      </c>
      <c r="P54" s="56">
        <f>(IF(Ontwerpberekening!E13="Bestaande Situatie",(_xlfn.IFNA(VLOOKUP(Ontwerp_CO2_Totaal[[#This Row],[Product]]&amp;", "&amp;Ontwerp_CO2_Totaal[[#Headers],[C3]],Database_Productkaarten[#All],18,FALSE),0)*Ontwerpberekening!J13),0))/Ontwerpberekening!$A$2</f>
        <v>0</v>
      </c>
      <c r="Q54" s="56">
        <f>(IF(Ontwerpberekening!E13="Bestaande Situatie",(_xlfn.IFNA(VLOOKUP(Ontwerp_CO2_Totaal[[#This Row],[Product]]&amp;", "&amp;Ontwerp_CO2_Totaal[[#Headers],[C4]],Database_Productkaarten[#All],18,FALSE),0)*Ontwerpberekening!J13),0))/Ontwerpberekening!$A$2</f>
        <v>20.6</v>
      </c>
      <c r="R54" s="56">
        <f>(IF(Ontwerpberekening!E13="Bestaande Situatie",(_xlfn.IFNA(VLOOKUP(Ontwerp_CO2_Totaal[[#This Row],[Product]]&amp;", "&amp;Ontwerp_CO2_Totaal[[#Headers],[D1]],Database_Productkaarten[#All],18,FALSE),0)*Ontwerpberekening!J13),0))/Ontwerpberekening!$A$2</f>
        <v>0</v>
      </c>
      <c r="S54" s="57">
        <f>(IF(Ontwerpberekening!E13="Bestaande Situatie",(_xlfn.IFNA(VLOOKUP(Ontwerp_CO2_Totaal[[#This Row],[Product]]&amp;", "&amp;Ontwerp_CO2_Totaal[[#Headers],[D2]],Database_Productkaarten[#All],18,FALSE),0)*Ontwerpberekening!J13),0))/Ontwerpberekening!$A$2</f>
        <v>0</v>
      </c>
      <c r="T54" s="57">
        <f>(IF(Ontwerpberekening!E13="Bestaande Situatie",(_xlfn.IFNA(VLOOKUP(Ontwerp_CO2_Totaal[[#This Row],[Product]]&amp;", "&amp;Ontwerp_CO2_Totaal[[#Headers],[D]],Database_Productkaarten[#All],18,FALSE),0)*Ontwerpberekening!J13),0))/Ontwerpberekening!$A$2</f>
        <v>16.400000000000002</v>
      </c>
      <c r="U54" s="56">
        <f>SUM(Ontwerp_CO2_Totaal[[#This Row],[A1-A3]:[C4]])+Ontwerp_CO2_Totaal[[#This Row],[D]]</f>
        <v>1355.4</v>
      </c>
      <c r="AC54"/>
      <c r="AD54"/>
    </row>
    <row r="55" spans="2:30">
      <c r="B55" s="31" t="str">
        <f>Ontwerpberekening!B14</f>
        <v>Open Menggranulaat</v>
      </c>
      <c r="C55" s="31" t="str">
        <f>Ontwerpberekening!C14</f>
        <v>Straatlaag</v>
      </c>
      <c r="D55" s="1" t="str">
        <f>Ontwerpberekening!G14</f>
        <v>Ophoogmateriaal (Zand)</v>
      </c>
      <c r="E55" s="56">
        <f>(IF(Ontwerpberekening!E14="Nieuwe Situatie",(_xlfn.IFNA(VLOOKUP(Ontwerp_CO2_Totaal[[#This Row],[Product]]&amp;", "&amp;Ontwerp_CO2_Totaal[[#Headers],[A1]],Database_Productkaarten[#All],18,FALSE),0)*Ontwerpberekening!J14),0))/Ontwerpberekening!$A$2</f>
        <v>0</v>
      </c>
      <c r="F55" s="56">
        <f>(IF(Ontwerpberekening!E14="Nieuwe Situatie",(_xlfn.IFNA(VLOOKUP(Ontwerp_CO2_Totaal[[#This Row],[Product]]&amp;", "&amp;Ontwerp_CO2_Totaal[[#Headers],[A2]],Database_Productkaarten[#All],18,FALSE),0)*Ontwerpberekening!J14),0))/Ontwerpberekening!$A$2</f>
        <v>0</v>
      </c>
      <c r="G55" s="56">
        <f>(IF(Ontwerpberekening!E14="Nieuwe Situatie",(_xlfn.IFNA(VLOOKUP(Ontwerp_CO2_Totaal[[#This Row],[Product]]&amp;", "&amp;Ontwerp_CO2_Totaal[[#Headers],[A3]],Database_Productkaarten[#All],18,FALSE),0)*Ontwerpberekening!J14),0))/Ontwerpberekening!$A$2</f>
        <v>0</v>
      </c>
      <c r="H55" s="56">
        <f>(IF(Ontwerpberekening!E14="Nieuwe Situatie",(_xlfn.IFNA(VLOOKUP(Ontwerp_CO2_Totaal[[#This Row],[Product]]&amp;", "&amp;Ontwerp_CO2_Totaal[[#Headers],[A1-A3]],Database_Productkaarten[#All],18,FALSE),0)*Ontwerpberekening!J14),0))/Ontwerpberekening!$A$2</f>
        <v>0</v>
      </c>
      <c r="I55" s="56">
        <f>(IF(Ontwerpberekening!E14="Nieuwe Situatie",(_xlfn.IFNA(VLOOKUP(Ontwerp_CO2_Totaal[[#This Row],[Product]]&amp;", "&amp;Ontwerp_CO2_Totaal[[#Headers],[A4]],Database_Productkaarten[#All],18,FALSE),0)*Ontwerpberekening!R14),0))/Ontwerpberekening!$A$2</f>
        <v>0</v>
      </c>
      <c r="J55" s="56">
        <f>(IF(Ontwerpberekening!E14="Nieuwe Situatie",(_xlfn.IFNA(VLOOKUP(Ontwerp_CO2_Totaal[[#This Row],[Product]]&amp;", "&amp;Ontwerp_CO2_Totaal[[#Headers],[A5]],Database_Productkaarten[#All],18,FALSE),0)*Ontwerpberekening!J14),0))/Ontwerpberekening!$A$2</f>
        <v>0</v>
      </c>
      <c r="K55" s="56">
        <f>(IF(Ontwerpberekening!E14="Nieuwe Situatie",(_xlfn.IFNA(VLOOKUP(Ontwerp_CO2_Totaal[[#This Row],[Product]]&amp;", "&amp;Ontwerp_CO2_Totaal[[#Headers],[B1]],Database_Productkaarten[#All],18,FALSE),0)*Ontwerpberekening!J14),0))/Ontwerpberekening!$A$2</f>
        <v>0</v>
      </c>
      <c r="L55" s="56">
        <f>(IF(Ontwerpberekening!E14="Nieuwe Situatie",(_xlfn.IFNA(VLOOKUP(Ontwerp_CO2_Totaal[[#This Row],[Product]]&amp;", "&amp;Ontwerp_CO2_Totaal[[#Headers],[B3]],Database_Productkaarten[#All],18,FALSE),0)*Ontwerpberekening!J14),0))/Ontwerpberekening!$A$2</f>
        <v>0</v>
      </c>
      <c r="M55" s="56">
        <f>(IF(Ontwerpberekening!E14="Nieuwe Situatie",(SUM(Ontwerp_CO2_Totaal[[#This Row],[A1]:[B1]],Ontwerp_CO2_Totaal[[#This Row],[C1]:[D2]])*Ontwerpberekening!T14),0))</f>
        <v>0</v>
      </c>
      <c r="N55" s="56">
        <f>(IF(Ontwerpberekening!E14="Bestaande Situatie",(_xlfn.IFNA(VLOOKUP(Ontwerp_CO2_Totaal[[#This Row],[Product]]&amp;", "&amp;Ontwerp_CO2_Totaal[[#Headers],[C1]],Database_Productkaarten[#All],18,FALSE),0)*Ontwerpberekening!J14),0))/Ontwerpberekening!$A$2</f>
        <v>11.6425</v>
      </c>
      <c r="O55" s="56">
        <f>(IF(Ontwerpberekening!E14="Bestaande Situatie",(_xlfn.IFNA(VLOOKUP(Ontwerp_CO2_Totaal[[#This Row],[Product]]&amp;", "&amp;Ontwerp_CO2_Totaal[[#Headers],[C2]],Database_Productkaarten[#All],18,FALSE),0)*Ontwerpberekening!R14),0))/Ontwerpberekening!$A$2</f>
        <v>240</v>
      </c>
      <c r="P55" s="56">
        <f>(IF(Ontwerpberekening!E14="Bestaande Situatie",(_xlfn.IFNA(VLOOKUP(Ontwerp_CO2_Totaal[[#This Row],[Product]]&amp;", "&amp;Ontwerp_CO2_Totaal[[#Headers],[C3]],Database_Productkaarten[#All],18,FALSE),0)*Ontwerpberekening!J14),0))/Ontwerpberekening!$A$2</f>
        <v>0</v>
      </c>
      <c r="Q55" s="56">
        <f>(IF(Ontwerpberekening!E14="Bestaande Situatie",(_xlfn.IFNA(VLOOKUP(Ontwerp_CO2_Totaal[[#This Row],[Product]]&amp;", "&amp;Ontwerp_CO2_Totaal[[#Headers],[C4]],Database_Productkaarten[#All],18,FALSE),0)*Ontwerpberekening!J14),0))/Ontwerpberekening!$A$2</f>
        <v>2</v>
      </c>
      <c r="R55" s="56">
        <f>(IF(Ontwerpberekening!E14="Bestaande Situatie",(_xlfn.IFNA(VLOOKUP(Ontwerp_CO2_Totaal[[#This Row],[Product]]&amp;", "&amp;Ontwerp_CO2_Totaal[[#Headers],[D1]],Database_Productkaarten[#All],18,FALSE),0)*Ontwerpberekening!J14),0))/Ontwerpberekening!$A$2</f>
        <v>0</v>
      </c>
      <c r="S55" s="57">
        <f>(IF(Ontwerpberekening!E14="Bestaande Situatie",(_xlfn.IFNA(VLOOKUP(Ontwerp_CO2_Totaal[[#This Row],[Product]]&amp;", "&amp;Ontwerp_CO2_Totaal[[#Headers],[D2]],Database_Productkaarten[#All],18,FALSE),0)*Ontwerpberekening!J14),0))/Ontwerpberekening!$A$2</f>
        <v>0</v>
      </c>
      <c r="T55" s="57">
        <f>(IF(Ontwerpberekening!E14="Bestaande Situatie",(_xlfn.IFNA(VLOOKUP(Ontwerp_CO2_Totaal[[#This Row],[Product]]&amp;", "&amp;Ontwerp_CO2_Totaal[[#Headers],[D]],Database_Productkaarten[#All],18,FALSE),0)*Ontwerpberekening!J14),0))/Ontwerpberekening!$A$2</f>
        <v>-155.75</v>
      </c>
      <c r="U55" s="56">
        <f>SUM(Ontwerp_CO2_Totaal[[#This Row],[A1-A3]:[C4]])+Ontwerp_CO2_Totaal[[#This Row],[D]]</f>
        <v>97.892500000000013</v>
      </c>
      <c r="AC55"/>
      <c r="AD55"/>
    </row>
    <row r="56" spans="2:30">
      <c r="B56" s="31" t="str">
        <f>Ontwerpberekening!B15</f>
        <v>Open Menggranulaat</v>
      </c>
      <c r="C56" s="31" t="str">
        <f>Ontwerpberekening!C15</f>
        <v>Toplaag</v>
      </c>
      <c r="D56" s="1" t="str">
        <f>Ontwerpberekening!G15</f>
        <v>Betonstraatsteen 210x105x80</v>
      </c>
      <c r="E56" s="56">
        <f>(IF(Ontwerpberekening!E15="Nieuwe Situatie",(_xlfn.IFNA(VLOOKUP(Ontwerp_CO2_Totaal[[#This Row],[Product]]&amp;", "&amp;Ontwerp_CO2_Totaal[[#Headers],[A1]],Database_Productkaarten[#All],18,FALSE),0)*Ontwerpberekening!J15),0))/Ontwerpberekening!$A$2</f>
        <v>0</v>
      </c>
      <c r="F56" s="56">
        <f>(IF(Ontwerpberekening!E15="Nieuwe Situatie",(_xlfn.IFNA(VLOOKUP(Ontwerp_CO2_Totaal[[#This Row],[Product]]&amp;", "&amp;Ontwerp_CO2_Totaal[[#Headers],[A2]],Database_Productkaarten[#All],18,FALSE),0)*Ontwerpberekening!J15),0))/Ontwerpberekening!$A$2</f>
        <v>0</v>
      </c>
      <c r="G56" s="56">
        <f>(IF(Ontwerpberekening!E15="Nieuwe Situatie",(_xlfn.IFNA(VLOOKUP(Ontwerp_CO2_Totaal[[#This Row],[Product]]&amp;", "&amp;Ontwerp_CO2_Totaal[[#Headers],[A3]],Database_Productkaarten[#All],18,FALSE),0)*Ontwerpberekening!J15),0))/Ontwerpberekening!$A$2</f>
        <v>0</v>
      </c>
      <c r="H56" s="56">
        <f>(IF(Ontwerpberekening!E15="Nieuwe Situatie",(_xlfn.IFNA(VLOOKUP(Ontwerp_CO2_Totaal[[#This Row],[Product]]&amp;", "&amp;Ontwerp_CO2_Totaal[[#Headers],[A1-A3]],Database_Productkaarten[#All],18,FALSE),0)*Ontwerpberekening!J15),0))/Ontwerpberekening!$A$2</f>
        <v>0</v>
      </c>
      <c r="I56" s="56">
        <f>(IF(Ontwerpberekening!E15="Nieuwe Situatie",(_xlfn.IFNA(VLOOKUP(Ontwerp_CO2_Totaal[[#This Row],[Product]]&amp;", "&amp;Ontwerp_CO2_Totaal[[#Headers],[A4]],Database_Productkaarten[#All],18,FALSE),0)*Ontwerpberekening!R15),0))/Ontwerpberekening!$A$2</f>
        <v>0</v>
      </c>
      <c r="J56" s="56">
        <f>(IF(Ontwerpberekening!E15="Nieuwe Situatie",(_xlfn.IFNA(VLOOKUP(Ontwerp_CO2_Totaal[[#This Row],[Product]]&amp;", "&amp;Ontwerp_CO2_Totaal[[#Headers],[A5]],Database_Productkaarten[#All],18,FALSE),0)*Ontwerpberekening!J15),0))/Ontwerpberekening!$A$2</f>
        <v>0</v>
      </c>
      <c r="K56" s="56">
        <f>(IF(Ontwerpberekening!E15="Nieuwe Situatie",(_xlfn.IFNA(VLOOKUP(Ontwerp_CO2_Totaal[[#This Row],[Product]]&amp;", "&amp;Ontwerp_CO2_Totaal[[#Headers],[B1]],Database_Productkaarten[#All],18,FALSE),0)*Ontwerpberekening!J15),0))/Ontwerpberekening!$A$2</f>
        <v>0</v>
      </c>
      <c r="L56" s="56">
        <f>(IF(Ontwerpberekening!E15="Nieuwe Situatie",(_xlfn.IFNA(VLOOKUP(Ontwerp_CO2_Totaal[[#This Row],[Product]]&amp;", "&amp;Ontwerp_CO2_Totaal[[#Headers],[B3]],Database_Productkaarten[#All],18,FALSE),0)*Ontwerpberekening!J15),0))/Ontwerpberekening!$A$2</f>
        <v>0</v>
      </c>
      <c r="M56" s="56">
        <f>(IF(Ontwerpberekening!E15="Nieuwe Situatie",(SUM(Ontwerp_CO2_Totaal[[#This Row],[A1]:[B1]],Ontwerp_CO2_Totaal[[#This Row],[C1]:[D2]])*Ontwerpberekening!T15),0))</f>
        <v>0</v>
      </c>
      <c r="N56" s="56">
        <f>(IF(Ontwerpberekening!E15="Bestaande Situatie",(_xlfn.IFNA(VLOOKUP(Ontwerp_CO2_Totaal[[#This Row],[Product]]&amp;", "&amp;Ontwerp_CO2_Totaal[[#Headers],[C1]],Database_Productkaarten[#All],18,FALSE),0)*Ontwerpberekening!J15),0))/Ontwerpberekening!$A$2</f>
        <v>297.4864</v>
      </c>
      <c r="O56" s="56">
        <f>(IF(Ontwerpberekening!E15="Bestaande Situatie",(_xlfn.IFNA(VLOOKUP(Ontwerp_CO2_Totaal[[#This Row],[Product]]&amp;", "&amp;Ontwerp_CO2_Totaal[[#Headers],[C2]],Database_Productkaarten[#All],18,FALSE),0)*Ontwerpberekening!R15),0))/Ontwerpberekening!$A$2</f>
        <v>107.25855680000001</v>
      </c>
      <c r="P56" s="56">
        <f>(IF(Ontwerpberekening!E15="Bestaande Situatie",(_xlfn.IFNA(VLOOKUP(Ontwerp_CO2_Totaal[[#This Row],[Product]]&amp;", "&amp;Ontwerp_CO2_Totaal[[#Headers],[C3]],Database_Productkaarten[#All],18,FALSE),0)*Ontwerpberekening!J15),0))/Ontwerpberekening!$A$2</f>
        <v>141.82248000000001</v>
      </c>
      <c r="Q56" s="56">
        <f>(IF(Ontwerpberekening!E15="Bestaande Situatie",(_xlfn.IFNA(VLOOKUP(Ontwerp_CO2_Totaal[[#This Row],[Product]]&amp;", "&amp;Ontwerp_CO2_Totaal[[#Headers],[C4]],Database_Productkaarten[#All],18,FALSE),0)*Ontwerpberekening!J15),0))/Ontwerpberekening!$A$2</f>
        <v>4.7972408</v>
      </c>
      <c r="R56" s="56">
        <f>(IF(Ontwerpberekening!E15="Bestaande Situatie",(_xlfn.IFNA(VLOOKUP(Ontwerp_CO2_Totaal[[#This Row],[Product]]&amp;", "&amp;Ontwerp_CO2_Totaal[[#Headers],[D1]],Database_Productkaarten[#All],18,FALSE),0)*Ontwerpberekening!J15),0))/Ontwerpberekening!$A$2</f>
        <v>0</v>
      </c>
      <c r="S56" s="57">
        <f>(IF(Ontwerpberekening!E15="Bestaande Situatie",(_xlfn.IFNA(VLOOKUP(Ontwerp_CO2_Totaal[[#This Row],[Product]]&amp;", "&amp;Ontwerp_CO2_Totaal[[#Headers],[D2]],Database_Productkaarten[#All],18,FALSE),0)*Ontwerpberekening!J15),0))/Ontwerpberekening!$A$2</f>
        <v>0</v>
      </c>
      <c r="T56" s="57">
        <f>(IF(Ontwerpberekening!E15="Bestaande Situatie",(_xlfn.IFNA(VLOOKUP(Ontwerp_CO2_Totaal[[#This Row],[Product]]&amp;", "&amp;Ontwerp_CO2_Totaal[[#Headers],[D]],Database_Productkaarten[#All],18,FALSE),0)*Ontwerpberekening!J15),0))/Ontwerpberekening!$A$2</f>
        <v>-389.04024500000003</v>
      </c>
      <c r="U56" s="56">
        <f>SUM(Ontwerp_CO2_Totaal[[#This Row],[A1-A3]:[C4]])+Ontwerp_CO2_Totaal[[#This Row],[D]]</f>
        <v>162.32443260000002</v>
      </c>
    </row>
    <row r="57" spans="2:30">
      <c r="B57" s="31" t="str">
        <f>Ontwerpberekening!B16</f>
        <v>Plastic kratten</v>
      </c>
      <c r="C57" s="31" t="str">
        <f>Ontwerpberekening!C16</f>
        <v>Grondontgraving</v>
      </c>
      <c r="D57" s="1" t="str">
        <f>Ontwerpberekening!G16</f>
        <v>Ophoogmateriaal (Grond)</v>
      </c>
      <c r="E57" s="56">
        <f>(IF(Ontwerpberekening!E16="Nieuwe Situatie",(_xlfn.IFNA(VLOOKUP(Ontwerp_CO2_Totaal[[#This Row],[Product]]&amp;", "&amp;Ontwerp_CO2_Totaal[[#Headers],[A1]],Database_Productkaarten[#All],18,FALSE),0)*Ontwerpberekening!J16),0))/Ontwerpberekening!$A$2</f>
        <v>0</v>
      </c>
      <c r="F57" s="56">
        <f>(IF(Ontwerpberekening!E16="Nieuwe Situatie",(_xlfn.IFNA(VLOOKUP(Ontwerp_CO2_Totaal[[#This Row],[Product]]&amp;", "&amp;Ontwerp_CO2_Totaal[[#Headers],[A2]],Database_Productkaarten[#All],18,FALSE),0)*Ontwerpberekening!J16),0))/Ontwerpberekening!$A$2</f>
        <v>0</v>
      </c>
      <c r="G57" s="56">
        <f>(IF(Ontwerpberekening!E16="Nieuwe Situatie",(_xlfn.IFNA(VLOOKUP(Ontwerp_CO2_Totaal[[#This Row],[Product]]&amp;", "&amp;Ontwerp_CO2_Totaal[[#Headers],[A3]],Database_Productkaarten[#All],18,FALSE),0)*Ontwerpberekening!J16),0))/Ontwerpberekening!$A$2</f>
        <v>0</v>
      </c>
      <c r="H57" s="56">
        <f>(IF(Ontwerpberekening!E16="Nieuwe Situatie",(_xlfn.IFNA(VLOOKUP(Ontwerp_CO2_Totaal[[#This Row],[Product]]&amp;", "&amp;Ontwerp_CO2_Totaal[[#Headers],[A1-A3]],Database_Productkaarten[#All],18,FALSE),0)*Ontwerpberekening!J16),0))/Ontwerpberekening!$A$2</f>
        <v>0</v>
      </c>
      <c r="I57" s="56">
        <f>(IF(Ontwerpberekening!E16="Nieuwe Situatie",(_xlfn.IFNA(VLOOKUP(Ontwerp_CO2_Totaal[[#This Row],[Product]]&amp;", "&amp;Ontwerp_CO2_Totaal[[#Headers],[A4]],Database_Productkaarten[#All],18,FALSE),0)*Ontwerpberekening!R16),0))/Ontwerpberekening!$A$2</f>
        <v>0</v>
      </c>
      <c r="J57" s="56">
        <f>(IF(Ontwerpberekening!E16="Nieuwe Situatie",(_xlfn.IFNA(VLOOKUP(Ontwerp_CO2_Totaal[[#This Row],[Product]]&amp;", "&amp;Ontwerp_CO2_Totaal[[#Headers],[A5]],Database_Productkaarten[#All],18,FALSE),0)*Ontwerpberekening!J16),0))/Ontwerpberekening!$A$2</f>
        <v>0</v>
      </c>
      <c r="K57" s="56">
        <f>(IF(Ontwerpberekening!E16="Nieuwe Situatie",(_xlfn.IFNA(VLOOKUP(Ontwerp_CO2_Totaal[[#This Row],[Product]]&amp;", "&amp;Ontwerp_CO2_Totaal[[#Headers],[B1]],Database_Productkaarten[#All],18,FALSE),0)*Ontwerpberekening!J16),0))/Ontwerpberekening!$A$2</f>
        <v>0</v>
      </c>
      <c r="L57" s="56">
        <f>(IF(Ontwerpberekening!E16="Nieuwe Situatie",(_xlfn.IFNA(VLOOKUP(Ontwerp_CO2_Totaal[[#This Row],[Product]]&amp;", "&amp;Ontwerp_CO2_Totaal[[#Headers],[B3]],Database_Productkaarten[#All],18,FALSE),0)*Ontwerpberekening!J16),0))/Ontwerpberekening!$A$2</f>
        <v>0</v>
      </c>
      <c r="M57" s="56">
        <f>(IF(Ontwerpberekening!E16="Nieuwe Situatie",(SUM(Ontwerp_CO2_Totaal[[#This Row],[A1]:[B1]],Ontwerp_CO2_Totaal[[#This Row],[C1]:[D2]])*Ontwerpberekening!T16),0))</f>
        <v>0</v>
      </c>
      <c r="N57" s="56">
        <f>(IF(Ontwerpberekening!E16="Bestaande Situatie",(_xlfn.IFNA(VLOOKUP(Ontwerp_CO2_Totaal[[#This Row],[Product]]&amp;", "&amp;Ontwerp_CO2_Totaal[[#Headers],[C1]],Database_Productkaarten[#All],18,FALSE),0)*Ontwerpberekening!J16),0))/Ontwerpberekening!$A$2</f>
        <v>380.32242731000002</v>
      </c>
      <c r="O57" s="56">
        <f>(IF(Ontwerpberekening!E16="Bestaande Situatie",(_xlfn.IFNA(VLOOKUP(Ontwerp_CO2_Totaal[[#This Row],[Product]]&amp;", "&amp;Ontwerp_CO2_Totaal[[#Headers],[C2]],Database_Productkaarten[#All],18,FALSE),0)*Ontwerpberekening!R16),0))/Ontwerpberekening!$A$2</f>
        <v>5518.0124999999998</v>
      </c>
      <c r="P57" s="56">
        <f>(IF(Ontwerpberekening!E16="Bestaande Situatie",(_xlfn.IFNA(VLOOKUP(Ontwerp_CO2_Totaal[[#This Row],[Product]]&amp;", "&amp;Ontwerp_CO2_Totaal[[#Headers],[C3]],Database_Productkaarten[#All],18,FALSE),0)*Ontwerpberekening!J16),0))/Ontwerpberekening!$A$2</f>
        <v>0</v>
      </c>
      <c r="Q57" s="56">
        <f>(IF(Ontwerpberekening!E16="Bestaande Situatie",(_xlfn.IFNA(VLOOKUP(Ontwerp_CO2_Totaal[[#This Row],[Product]]&amp;", "&amp;Ontwerp_CO2_Totaal[[#Headers],[C4]],Database_Productkaarten[#All],18,FALSE),0)*Ontwerpberekening!J16),0))/Ontwerpberekening!$A$2</f>
        <v>44.1</v>
      </c>
      <c r="R57" s="56">
        <f>(IF(Ontwerpberekening!E16="Bestaande Situatie",(_xlfn.IFNA(VLOOKUP(Ontwerp_CO2_Totaal[[#This Row],[Product]]&amp;", "&amp;Ontwerp_CO2_Totaal[[#Headers],[D1]],Database_Productkaarten[#All],18,FALSE),0)*Ontwerpberekening!J16),0))/Ontwerpberekening!$A$2</f>
        <v>0</v>
      </c>
      <c r="S57" s="57">
        <f>(IF(Ontwerpberekening!E16="Bestaande Situatie",(_xlfn.IFNA(VLOOKUP(Ontwerp_CO2_Totaal[[#This Row],[Product]]&amp;", "&amp;Ontwerp_CO2_Totaal[[#Headers],[D2]],Database_Productkaarten[#All],18,FALSE),0)*Ontwerpberekening!J16),0))/Ontwerpberekening!$A$2</f>
        <v>0</v>
      </c>
      <c r="T57" s="57">
        <f>(IF(Ontwerpberekening!E16="Bestaande Situatie",(_xlfn.IFNA(VLOOKUP(Ontwerp_CO2_Totaal[[#This Row],[Product]]&amp;", "&amp;Ontwerp_CO2_Totaal[[#Headers],[D]],Database_Productkaarten[#All],18,FALSE),0)*Ontwerpberekening!J16),0))/Ontwerpberekening!$A$2</f>
        <v>0</v>
      </c>
      <c r="U57" s="56">
        <f>SUM(Ontwerp_CO2_Totaal[[#This Row],[A1-A3]:[C4]])+Ontwerp_CO2_Totaal[[#This Row],[D]]</f>
        <v>5942.4349273100006</v>
      </c>
    </row>
    <row r="58" spans="2:30">
      <c r="B58" s="31" t="str">
        <f>Ontwerpberekening!B17</f>
        <v>Plastic kratten</v>
      </c>
      <c r="C58" s="31" t="str">
        <f>Ontwerpberekening!C17</f>
        <v>Grondverbetering</v>
      </c>
      <c r="D58" s="1" t="str">
        <f>Ontwerpberekening!G17</f>
        <v>Ophoogmateriaal (Zand)</v>
      </c>
      <c r="E58" s="56">
        <f>(IF(Ontwerpberekening!E17="Nieuwe Situatie",(_xlfn.IFNA(VLOOKUP(Ontwerp_CO2_Totaal[[#This Row],[Product]]&amp;", "&amp;Ontwerp_CO2_Totaal[[#Headers],[A1]],Database_Productkaarten[#All],18,FALSE),0)*Ontwerpberekening!J17),0))/Ontwerpberekening!$A$2</f>
        <v>0</v>
      </c>
      <c r="F58" s="56">
        <f>(IF(Ontwerpberekening!E17="Nieuwe Situatie",(_xlfn.IFNA(VLOOKUP(Ontwerp_CO2_Totaal[[#This Row],[Product]]&amp;", "&amp;Ontwerp_CO2_Totaal[[#Headers],[A2]],Database_Productkaarten[#All],18,FALSE),0)*Ontwerpberekening!J17),0))/Ontwerpberekening!$A$2</f>
        <v>0</v>
      </c>
      <c r="G58" s="56">
        <f>(IF(Ontwerpberekening!E17="Nieuwe Situatie",(_xlfn.IFNA(VLOOKUP(Ontwerp_CO2_Totaal[[#This Row],[Product]]&amp;", "&amp;Ontwerp_CO2_Totaal[[#Headers],[A3]],Database_Productkaarten[#All],18,FALSE),0)*Ontwerpberekening!J17),0))/Ontwerpberekening!$A$2</f>
        <v>0</v>
      </c>
      <c r="H58" s="56">
        <f>(IF(Ontwerpberekening!E17="Nieuwe Situatie",(_xlfn.IFNA(VLOOKUP(Ontwerp_CO2_Totaal[[#This Row],[Product]]&amp;", "&amp;Ontwerp_CO2_Totaal[[#Headers],[A1-A3]],Database_Productkaarten[#All],18,FALSE),0)*Ontwerpberekening!J17),0))/Ontwerpberekening!$A$2</f>
        <v>440.00000000000006</v>
      </c>
      <c r="I58" s="56">
        <f>(IF(Ontwerpberekening!E17="Nieuwe Situatie",(_xlfn.IFNA(VLOOKUP(Ontwerp_CO2_Totaal[[#This Row],[Product]]&amp;", "&amp;Ontwerp_CO2_Totaal[[#Headers],[A4]],Database_Productkaarten[#All],18,FALSE),0)*Ontwerpberekening!R17),0))/Ontwerpberekening!$A$2</f>
        <v>237.75</v>
      </c>
      <c r="J58" s="56">
        <f>(IF(Ontwerpberekening!E17="Nieuwe Situatie",(_xlfn.IFNA(VLOOKUP(Ontwerp_CO2_Totaal[[#This Row],[Product]]&amp;", "&amp;Ontwerp_CO2_Totaal[[#Headers],[A5]],Database_Productkaarten[#All],18,FALSE),0)*Ontwerpberekening!J17),0))/Ontwerpberekening!$A$2</f>
        <v>62.211249999999993</v>
      </c>
      <c r="K58" s="56">
        <f>(IF(Ontwerpberekening!E17="Nieuwe Situatie",(_xlfn.IFNA(VLOOKUP(Ontwerp_CO2_Totaal[[#This Row],[Product]]&amp;", "&amp;Ontwerp_CO2_Totaal[[#Headers],[B1]],Database_Productkaarten[#All],18,FALSE),0)*Ontwerpberekening!J17),0))/Ontwerpberekening!$A$2</f>
        <v>0</v>
      </c>
      <c r="L58" s="56">
        <f>(IF(Ontwerpberekening!E17="Nieuwe Situatie",(_xlfn.IFNA(VLOOKUP(Ontwerp_CO2_Totaal[[#This Row],[Product]]&amp;", "&amp;Ontwerp_CO2_Totaal[[#Headers],[B3]],Database_Productkaarten[#All],18,FALSE),0)*Ontwerpberekening!J17),0))/Ontwerpberekening!$A$2</f>
        <v>0</v>
      </c>
      <c r="M58" s="56">
        <f>(IF(Ontwerpberekening!E17="Nieuwe Situatie",(SUM(Ontwerp_CO2_Totaal[[#This Row],[A1]:[B1]],Ontwerp_CO2_Totaal[[#This Row],[C1]:[D2]])*Ontwerpberekening!T17),0))</f>
        <v>0</v>
      </c>
      <c r="N58" s="56">
        <f>(IF(Ontwerpberekening!E17="Bestaande Situatie",(_xlfn.IFNA(VLOOKUP(Ontwerp_CO2_Totaal[[#This Row],[Product]]&amp;", "&amp;Ontwerp_CO2_Totaal[[#Headers],[C1]],Database_Productkaarten[#All],18,FALSE),0)*Ontwerpberekening!J17),0))/Ontwerpberekening!$A$2</f>
        <v>0</v>
      </c>
      <c r="O58" s="56">
        <f>(IF(Ontwerpberekening!E17="Bestaande Situatie",(_xlfn.IFNA(VLOOKUP(Ontwerp_CO2_Totaal[[#This Row],[Product]]&amp;", "&amp;Ontwerp_CO2_Totaal[[#Headers],[C2]],Database_Productkaarten[#All],18,FALSE),0)*Ontwerpberekening!R17),0))/Ontwerpberekening!$A$2</f>
        <v>0</v>
      </c>
      <c r="P58" s="56">
        <f>(IF(Ontwerpberekening!E17="Bestaande Situatie",(_xlfn.IFNA(VLOOKUP(Ontwerp_CO2_Totaal[[#This Row],[Product]]&amp;", "&amp;Ontwerp_CO2_Totaal[[#Headers],[C3]],Database_Productkaarten[#All],18,FALSE),0)*Ontwerpberekening!J17),0))/Ontwerpberekening!$A$2</f>
        <v>0</v>
      </c>
      <c r="Q58" s="56">
        <f>(IF(Ontwerpberekening!E17="Bestaande Situatie",(_xlfn.IFNA(VLOOKUP(Ontwerp_CO2_Totaal[[#This Row],[Product]]&amp;", "&amp;Ontwerp_CO2_Totaal[[#Headers],[C4]],Database_Productkaarten[#All],18,FALSE),0)*Ontwerpberekening!J17),0))/Ontwerpberekening!$A$2</f>
        <v>0</v>
      </c>
      <c r="R58" s="56">
        <f>(IF(Ontwerpberekening!E17="Bestaande Situatie",(_xlfn.IFNA(VLOOKUP(Ontwerp_CO2_Totaal[[#This Row],[Product]]&amp;", "&amp;Ontwerp_CO2_Totaal[[#Headers],[D1]],Database_Productkaarten[#All],18,FALSE),0)*Ontwerpberekening!J17),0))/Ontwerpberekening!$A$2</f>
        <v>0</v>
      </c>
      <c r="S58" s="57">
        <f>(IF(Ontwerpberekening!E17="Bestaande Situatie",(_xlfn.IFNA(VLOOKUP(Ontwerp_CO2_Totaal[[#This Row],[Product]]&amp;", "&amp;Ontwerp_CO2_Totaal[[#Headers],[D2]],Database_Productkaarten[#All],18,FALSE),0)*Ontwerpberekening!J17),0))/Ontwerpberekening!$A$2</f>
        <v>0</v>
      </c>
      <c r="T58" s="57">
        <f>(IF(Ontwerpberekening!E17="Bestaande Situatie",(_xlfn.IFNA(VLOOKUP(Ontwerp_CO2_Totaal[[#This Row],[Product]]&amp;", "&amp;Ontwerp_CO2_Totaal[[#Headers],[D]],Database_Productkaarten[#All],18,FALSE),0)*Ontwerpberekening!J17),0))/Ontwerpberekening!$A$2</f>
        <v>0</v>
      </c>
      <c r="U58" s="56">
        <f>SUM(Ontwerp_CO2_Totaal[[#This Row],[A1-A3]:[C4]])+Ontwerp_CO2_Totaal[[#This Row],[D]]</f>
        <v>739.96124999999995</v>
      </c>
    </row>
    <row r="59" spans="2:30">
      <c r="B59" s="31" t="str">
        <f>Ontwerpberekening!B18</f>
        <v>Plastic kratten</v>
      </c>
      <c r="C59" s="31" t="str">
        <f>Ontwerpberekening!C18</f>
        <v>Waterbergendelaag</v>
      </c>
      <c r="D59" s="1" t="str">
        <f>Ontwerpberekening!G18</f>
        <v>Kunststof Inflitratiekrat</v>
      </c>
      <c r="E59" s="56">
        <f>(IF(Ontwerpberekening!E18="Nieuwe Situatie",(_xlfn.IFNA(VLOOKUP(Ontwerp_CO2_Totaal[[#This Row],[Product]]&amp;", "&amp;Ontwerp_CO2_Totaal[[#Headers],[A1]],Database_Productkaarten[#All],18,FALSE),0)*Ontwerpberekening!J18),0))/Ontwerpberekening!$A$2</f>
        <v>0</v>
      </c>
      <c r="F59" s="56">
        <f>(IF(Ontwerpberekening!E18="Nieuwe Situatie",(_xlfn.IFNA(VLOOKUP(Ontwerp_CO2_Totaal[[#This Row],[Product]]&amp;", "&amp;Ontwerp_CO2_Totaal[[#Headers],[A2]],Database_Productkaarten[#All],18,FALSE),0)*Ontwerpberekening!J18),0))/Ontwerpberekening!$A$2</f>
        <v>0</v>
      </c>
      <c r="G59" s="56">
        <f>(IF(Ontwerpberekening!E18="Nieuwe Situatie",(_xlfn.IFNA(VLOOKUP(Ontwerp_CO2_Totaal[[#This Row],[Product]]&amp;", "&amp;Ontwerp_CO2_Totaal[[#Headers],[A3]],Database_Productkaarten[#All],18,FALSE),0)*Ontwerpberekening!J18),0))/Ontwerpberekening!$A$2</f>
        <v>0</v>
      </c>
      <c r="H59" s="56">
        <f>(IF(Ontwerpberekening!E18="Nieuwe Situatie",(_xlfn.IFNA(VLOOKUP(Ontwerp_CO2_Totaal[[#This Row],[Product]]&amp;", "&amp;Ontwerp_CO2_Totaal[[#Headers],[A1-A3]],Database_Productkaarten[#All],18,FALSE),0)*Ontwerpberekening!J18),0))/Ontwerpberekening!$A$2</f>
        <v>25000</v>
      </c>
      <c r="I59" s="56">
        <f>(IF(Ontwerpberekening!E18="Nieuwe Situatie",(_xlfn.IFNA(VLOOKUP(Ontwerp_CO2_Totaal[[#This Row],[Product]]&amp;", "&amp;Ontwerp_CO2_Totaal[[#Headers],[A4]],Database_Productkaarten[#All],18,FALSE),0)*Ontwerpberekening!R18),0))/Ontwerpberekening!$A$2</f>
        <v>1.9600000000000002</v>
      </c>
      <c r="J59" s="56">
        <f>(IF(Ontwerpberekening!E18="Nieuwe Situatie",(_xlfn.IFNA(VLOOKUP(Ontwerp_CO2_Totaal[[#This Row],[Product]]&amp;", "&amp;Ontwerp_CO2_Totaal[[#Headers],[A5]],Database_Productkaarten[#All],18,FALSE),0)*Ontwerpberekening!J18),0))/Ontwerpberekening!$A$2</f>
        <v>2950</v>
      </c>
      <c r="K59" s="56">
        <f>(IF(Ontwerpberekening!E18="Nieuwe Situatie",(_xlfn.IFNA(VLOOKUP(Ontwerp_CO2_Totaal[[#This Row],[Product]]&amp;", "&amp;Ontwerp_CO2_Totaal[[#Headers],[B1]],Database_Productkaarten[#All],18,FALSE),0)*Ontwerpberekening!J18),0))/Ontwerpberekening!$A$2</f>
        <v>0</v>
      </c>
      <c r="L59" s="56">
        <f>(IF(Ontwerpberekening!E18="Nieuwe Situatie",(_xlfn.IFNA(VLOOKUP(Ontwerp_CO2_Totaal[[#This Row],[Product]]&amp;", "&amp;Ontwerp_CO2_Totaal[[#Headers],[B3]],Database_Productkaarten[#All],18,FALSE),0)*Ontwerpberekening!J18),0))/Ontwerpberekening!$A$2</f>
        <v>0</v>
      </c>
      <c r="M59" s="56">
        <f>(IF(Ontwerpberekening!E18="Nieuwe Situatie",(SUM(Ontwerp_CO2_Totaal[[#This Row],[A1]:[B1]],Ontwerp_CO2_Totaal[[#This Row],[C1]:[D2]])*Ontwerpberekening!T18),0))</f>
        <v>0</v>
      </c>
      <c r="N59" s="56">
        <f>(IF(Ontwerpberekening!E18="Bestaande Situatie",(_xlfn.IFNA(VLOOKUP(Ontwerp_CO2_Totaal[[#This Row],[Product]]&amp;", "&amp;Ontwerp_CO2_Totaal[[#Headers],[C1]],Database_Productkaarten[#All],18,FALSE),0)*Ontwerpberekening!J18),0))/Ontwerpberekening!$A$2</f>
        <v>0</v>
      </c>
      <c r="O59" s="56">
        <f>(IF(Ontwerpberekening!E18="Bestaande Situatie",(_xlfn.IFNA(VLOOKUP(Ontwerp_CO2_Totaal[[#This Row],[Product]]&amp;", "&amp;Ontwerp_CO2_Totaal[[#Headers],[C2]],Database_Productkaarten[#All],18,FALSE),0)*Ontwerpberekening!R18),0))/Ontwerpberekening!$A$2</f>
        <v>0</v>
      </c>
      <c r="P59" s="56">
        <f>(IF(Ontwerpberekening!E18="Bestaande Situatie",(_xlfn.IFNA(VLOOKUP(Ontwerp_CO2_Totaal[[#This Row],[Product]]&amp;", "&amp;Ontwerp_CO2_Totaal[[#Headers],[C3]],Database_Productkaarten[#All],18,FALSE),0)*Ontwerpberekening!J18),0))/Ontwerpberekening!$A$2</f>
        <v>0</v>
      </c>
      <c r="Q59" s="56">
        <f>(IF(Ontwerpberekening!E18="Bestaande Situatie",(_xlfn.IFNA(VLOOKUP(Ontwerp_CO2_Totaal[[#This Row],[Product]]&amp;", "&amp;Ontwerp_CO2_Totaal[[#Headers],[C4]],Database_Productkaarten[#All],18,FALSE),0)*Ontwerpberekening!J18),0))/Ontwerpberekening!$A$2</f>
        <v>0</v>
      </c>
      <c r="R59" s="56">
        <f>(IF(Ontwerpberekening!E18="Bestaande Situatie",(_xlfn.IFNA(VLOOKUP(Ontwerp_CO2_Totaal[[#This Row],[Product]]&amp;", "&amp;Ontwerp_CO2_Totaal[[#Headers],[D1]],Database_Productkaarten[#All],18,FALSE),0)*Ontwerpberekening!J18),0))/Ontwerpberekening!$A$2</f>
        <v>0</v>
      </c>
      <c r="S59" s="57">
        <f>(IF(Ontwerpberekening!E18="Bestaande Situatie",(_xlfn.IFNA(VLOOKUP(Ontwerp_CO2_Totaal[[#This Row],[Product]]&amp;", "&amp;Ontwerp_CO2_Totaal[[#Headers],[D2]],Database_Productkaarten[#All],18,FALSE),0)*Ontwerpberekening!J18),0))/Ontwerpberekening!$A$2</f>
        <v>0</v>
      </c>
      <c r="T59" s="57">
        <f>(IF(Ontwerpberekening!E18="Bestaande Situatie",(_xlfn.IFNA(VLOOKUP(Ontwerp_CO2_Totaal[[#This Row],[Product]]&amp;", "&amp;Ontwerp_CO2_Totaal[[#Headers],[D]],Database_Productkaarten[#All],18,FALSE),0)*Ontwerpberekening!J18),0))/Ontwerpberekening!$A$2</f>
        <v>0</v>
      </c>
      <c r="U59" s="56">
        <f>SUM(Ontwerp_CO2_Totaal[[#This Row],[A1-A3]:[C4]])+Ontwerp_CO2_Totaal[[#This Row],[D]]</f>
        <v>27951.96</v>
      </c>
    </row>
    <row r="60" spans="2:30">
      <c r="B60" s="31" t="str">
        <f>Ontwerpberekening!B19</f>
        <v>Plastic kratten</v>
      </c>
      <c r="C60" s="31" t="str">
        <f>Ontwerpberekening!C19</f>
        <v>Menggranulaat</v>
      </c>
      <c r="D60" s="1" t="str">
        <f>Ontwerpberekening!G19</f>
        <v>Menggranulaat 300mm</v>
      </c>
      <c r="E60" s="56">
        <f>(IF(Ontwerpberekening!E19="Nieuwe Situatie",(_xlfn.IFNA(VLOOKUP(Ontwerp_CO2_Totaal[[#This Row],[Product]]&amp;", "&amp;Ontwerp_CO2_Totaal[[#Headers],[A1]],Database_Productkaarten[#All],18,FALSE),0)*Ontwerpberekening!J19),0))/Ontwerpberekening!$A$2</f>
        <v>0</v>
      </c>
      <c r="F60" s="56">
        <f>(IF(Ontwerpberekening!E19="Nieuwe Situatie",(_xlfn.IFNA(VLOOKUP(Ontwerp_CO2_Totaal[[#This Row],[Product]]&amp;", "&amp;Ontwerp_CO2_Totaal[[#Headers],[A2]],Database_Productkaarten[#All],18,FALSE),0)*Ontwerpberekening!J19),0))/Ontwerpberekening!$A$2</f>
        <v>0</v>
      </c>
      <c r="G60" s="56">
        <f>(IF(Ontwerpberekening!E19="Nieuwe Situatie",(_xlfn.IFNA(VLOOKUP(Ontwerp_CO2_Totaal[[#This Row],[Product]]&amp;", "&amp;Ontwerp_CO2_Totaal[[#Headers],[A3]],Database_Productkaarten[#All],18,FALSE),0)*Ontwerpberekening!J19),0))/Ontwerpberekening!$A$2</f>
        <v>0</v>
      </c>
      <c r="H60" s="56">
        <f>(IF(Ontwerpberekening!E19="Nieuwe Situatie",(_xlfn.IFNA(VLOOKUP(Ontwerp_CO2_Totaal[[#This Row],[Product]]&amp;", "&amp;Ontwerp_CO2_Totaal[[#Headers],[A1-A3]],Database_Productkaarten[#All],18,FALSE),0)*Ontwerpberekening!J19),0))/Ontwerpberekening!$A$2</f>
        <v>0</v>
      </c>
      <c r="I60" s="56">
        <f>(IF(Ontwerpberekening!E19="Nieuwe Situatie",(_xlfn.IFNA(VLOOKUP(Ontwerp_CO2_Totaal[[#This Row],[Product]]&amp;", "&amp;Ontwerp_CO2_Totaal[[#Headers],[A4]],Database_Productkaarten[#All],18,FALSE),0)*Ontwerpberekening!R19),0))/Ontwerpberekening!$A$2</f>
        <v>722.47500000000002</v>
      </c>
      <c r="J60" s="56">
        <f>(IF(Ontwerpberekening!E19="Nieuwe Situatie",(_xlfn.IFNA(VLOOKUP(Ontwerp_CO2_Totaal[[#This Row],[Product]]&amp;", "&amp;Ontwerp_CO2_Totaal[[#Headers],[A5]],Database_Productkaarten[#All],18,FALSE),0)*Ontwerpberekening!J19),0))/Ontwerpberekening!$A$2</f>
        <v>1014.9999999999999</v>
      </c>
      <c r="K60" s="56">
        <f>(IF(Ontwerpberekening!E19="Nieuwe Situatie",(_xlfn.IFNA(VLOOKUP(Ontwerp_CO2_Totaal[[#This Row],[Product]]&amp;", "&amp;Ontwerp_CO2_Totaal[[#Headers],[B1]],Database_Productkaarten[#All],18,FALSE),0)*Ontwerpberekening!J19),0))/Ontwerpberekening!$A$2</f>
        <v>0</v>
      </c>
      <c r="L60" s="56">
        <f>(IF(Ontwerpberekening!E19="Nieuwe Situatie",(_xlfn.IFNA(VLOOKUP(Ontwerp_CO2_Totaal[[#This Row],[Product]]&amp;", "&amp;Ontwerp_CO2_Totaal[[#Headers],[B3]],Database_Productkaarten[#All],18,FALSE),0)*Ontwerpberekening!J19),0))/Ontwerpberekening!$A$2</f>
        <v>0</v>
      </c>
      <c r="M60" s="56">
        <f>(IF(Ontwerpberekening!E19="Nieuwe Situatie",(SUM(Ontwerp_CO2_Totaal[[#This Row],[A1]:[B1]],Ontwerp_CO2_Totaal[[#This Row],[C1]:[D2]])*Ontwerpberekening!T19),0))</f>
        <v>0</v>
      </c>
      <c r="N60" s="56">
        <f>(IF(Ontwerpberekening!E19="Bestaande Situatie",(_xlfn.IFNA(VLOOKUP(Ontwerp_CO2_Totaal[[#This Row],[Product]]&amp;", "&amp;Ontwerp_CO2_Totaal[[#Headers],[C1]],Database_Productkaarten[#All],18,FALSE),0)*Ontwerpberekening!J19),0))/Ontwerpberekening!$A$2</f>
        <v>0</v>
      </c>
      <c r="O60" s="56">
        <f>(IF(Ontwerpberekening!E19="Bestaande Situatie",(_xlfn.IFNA(VLOOKUP(Ontwerp_CO2_Totaal[[#This Row],[Product]]&amp;", "&amp;Ontwerp_CO2_Totaal[[#Headers],[C2]],Database_Productkaarten[#All],18,FALSE),0)*Ontwerpberekening!R19),0))/Ontwerpberekening!$A$2</f>
        <v>0</v>
      </c>
      <c r="P60" s="56">
        <f>(IF(Ontwerpberekening!E19="Bestaande Situatie",(_xlfn.IFNA(VLOOKUP(Ontwerp_CO2_Totaal[[#This Row],[Product]]&amp;", "&amp;Ontwerp_CO2_Totaal[[#Headers],[C3]],Database_Productkaarten[#All],18,FALSE),0)*Ontwerpberekening!J19),0))/Ontwerpberekening!$A$2</f>
        <v>0</v>
      </c>
      <c r="Q60" s="56">
        <f>(IF(Ontwerpberekening!E19="Bestaande Situatie",(_xlfn.IFNA(VLOOKUP(Ontwerp_CO2_Totaal[[#This Row],[Product]]&amp;", "&amp;Ontwerp_CO2_Totaal[[#Headers],[C4]],Database_Productkaarten[#All],18,FALSE),0)*Ontwerpberekening!J19),0))/Ontwerpberekening!$A$2</f>
        <v>0</v>
      </c>
      <c r="R60" s="56">
        <f>(IF(Ontwerpberekening!E19="Bestaande Situatie",(_xlfn.IFNA(VLOOKUP(Ontwerp_CO2_Totaal[[#This Row],[Product]]&amp;", "&amp;Ontwerp_CO2_Totaal[[#Headers],[D1]],Database_Productkaarten[#All],18,FALSE),0)*Ontwerpberekening!J19),0))/Ontwerpberekening!$A$2</f>
        <v>0</v>
      </c>
      <c r="S60" s="57">
        <f>(IF(Ontwerpberekening!E19="Bestaande Situatie",(_xlfn.IFNA(VLOOKUP(Ontwerp_CO2_Totaal[[#This Row],[Product]]&amp;", "&amp;Ontwerp_CO2_Totaal[[#Headers],[D2]],Database_Productkaarten[#All],18,FALSE),0)*Ontwerpberekening!J19),0))/Ontwerpberekening!$A$2</f>
        <v>0</v>
      </c>
      <c r="T60" s="57">
        <f>(IF(Ontwerpberekening!E19="Bestaande Situatie",(_xlfn.IFNA(VLOOKUP(Ontwerp_CO2_Totaal[[#This Row],[Product]]&amp;", "&amp;Ontwerp_CO2_Totaal[[#Headers],[D]],Database_Productkaarten[#All],18,FALSE),0)*Ontwerpberekening!J19),0))/Ontwerpberekening!$A$2</f>
        <v>0</v>
      </c>
      <c r="U60" s="56">
        <f>SUM(Ontwerp_CO2_Totaal[[#This Row],[A1-A3]:[C4]])+Ontwerp_CO2_Totaal[[#This Row],[D]]</f>
        <v>1737.4749999999999</v>
      </c>
    </row>
    <row r="61" spans="2:30">
      <c r="B61" s="31" t="str">
        <f>Ontwerpberekening!B20</f>
        <v>Plastic kratten</v>
      </c>
      <c r="C61" s="31" t="str">
        <f>Ontwerpberekening!C20</f>
        <v>Straatlaag</v>
      </c>
      <c r="D61" s="1" t="str">
        <f>Ontwerpberekening!G20</f>
        <v>Ophoogmateriaal (Zand)</v>
      </c>
      <c r="E61" s="56">
        <f>(IF(Ontwerpberekening!E20="Nieuwe Situatie",(_xlfn.IFNA(VLOOKUP(Ontwerp_CO2_Totaal[[#This Row],[Product]]&amp;", "&amp;Ontwerp_CO2_Totaal[[#Headers],[A1]],Database_Productkaarten[#All],18,FALSE),0)*Ontwerpberekening!J20),0))/Ontwerpberekening!$A$2</f>
        <v>0</v>
      </c>
      <c r="F61" s="56">
        <f>(IF(Ontwerpberekening!E20="Nieuwe Situatie",(_xlfn.IFNA(VLOOKUP(Ontwerp_CO2_Totaal[[#This Row],[Product]]&amp;", "&amp;Ontwerp_CO2_Totaal[[#Headers],[A2]],Database_Productkaarten[#All],18,FALSE),0)*Ontwerpberekening!J20),0))/Ontwerpberekening!$A$2</f>
        <v>0</v>
      </c>
      <c r="G61" s="56">
        <f>(IF(Ontwerpberekening!E20="Nieuwe Situatie",(_xlfn.IFNA(VLOOKUP(Ontwerp_CO2_Totaal[[#This Row],[Product]]&amp;", "&amp;Ontwerp_CO2_Totaal[[#Headers],[A3]],Database_Productkaarten[#All],18,FALSE),0)*Ontwerpberekening!J20),0))/Ontwerpberekening!$A$2</f>
        <v>0</v>
      </c>
      <c r="H61" s="56">
        <f>(IF(Ontwerpberekening!E20="Nieuwe Situatie",(_xlfn.IFNA(VLOOKUP(Ontwerp_CO2_Totaal[[#This Row],[Product]]&amp;", "&amp;Ontwerp_CO2_Totaal[[#Headers],[A1-A3]],Database_Productkaarten[#All],18,FALSE),0)*Ontwerpberekening!J20),0))/Ontwerpberekening!$A$2</f>
        <v>440.00000000000006</v>
      </c>
      <c r="I61" s="56">
        <f>(IF(Ontwerpberekening!E20="Nieuwe Situatie",(_xlfn.IFNA(VLOOKUP(Ontwerp_CO2_Totaal[[#This Row],[Product]]&amp;", "&amp;Ontwerp_CO2_Totaal[[#Headers],[A4]],Database_Productkaarten[#All],18,FALSE),0)*Ontwerpberekening!R20),0))/Ontwerpberekening!$A$2</f>
        <v>237.75</v>
      </c>
      <c r="J61" s="56">
        <f>(IF(Ontwerpberekening!E20="Nieuwe Situatie",(_xlfn.IFNA(VLOOKUP(Ontwerp_CO2_Totaal[[#This Row],[Product]]&amp;", "&amp;Ontwerp_CO2_Totaal[[#Headers],[A5]],Database_Productkaarten[#All],18,FALSE),0)*Ontwerpberekening!J20),0))/Ontwerpberekening!$A$2</f>
        <v>62.211249999999993</v>
      </c>
      <c r="K61" s="56">
        <f>(IF(Ontwerpberekening!E20="Nieuwe Situatie",(_xlfn.IFNA(VLOOKUP(Ontwerp_CO2_Totaal[[#This Row],[Product]]&amp;", "&amp;Ontwerp_CO2_Totaal[[#Headers],[B1]],Database_Productkaarten[#All],18,FALSE),0)*Ontwerpberekening!J20),0))/Ontwerpberekening!$A$2</f>
        <v>0</v>
      </c>
      <c r="L61" s="56">
        <f>(IF(Ontwerpberekening!E20="Nieuwe Situatie",(_xlfn.IFNA(VLOOKUP(Ontwerp_CO2_Totaal[[#This Row],[Product]]&amp;", "&amp;Ontwerp_CO2_Totaal[[#Headers],[B3]],Database_Productkaarten[#All],18,FALSE),0)*Ontwerpberekening!J20),0))/Ontwerpberekening!$A$2</f>
        <v>0</v>
      </c>
      <c r="M61" s="56">
        <f>(IF(Ontwerpberekening!E20="Nieuwe Situatie",(SUM(Ontwerp_CO2_Totaal[[#This Row],[A1]:[B1]],Ontwerp_CO2_Totaal[[#This Row],[C1]:[D2]])*Ontwerpberekening!T20),0))</f>
        <v>0</v>
      </c>
      <c r="N61" s="56">
        <f>(IF(Ontwerpberekening!E20="Bestaande Situatie",(_xlfn.IFNA(VLOOKUP(Ontwerp_CO2_Totaal[[#This Row],[Product]]&amp;", "&amp;Ontwerp_CO2_Totaal[[#Headers],[C1]],Database_Productkaarten[#All],18,FALSE),0)*Ontwerpberekening!J20),0))/Ontwerpberekening!$A$2</f>
        <v>0</v>
      </c>
      <c r="O61" s="56">
        <f>(IF(Ontwerpberekening!E20="Bestaande Situatie",(_xlfn.IFNA(VLOOKUP(Ontwerp_CO2_Totaal[[#This Row],[Product]]&amp;", "&amp;Ontwerp_CO2_Totaal[[#Headers],[C2]],Database_Productkaarten[#All],18,FALSE),0)*Ontwerpberekening!R20),0))/Ontwerpberekening!$A$2</f>
        <v>0</v>
      </c>
      <c r="P61" s="56">
        <f>(IF(Ontwerpberekening!E20="Bestaande Situatie",(_xlfn.IFNA(VLOOKUP(Ontwerp_CO2_Totaal[[#This Row],[Product]]&amp;", "&amp;Ontwerp_CO2_Totaal[[#Headers],[C3]],Database_Productkaarten[#All],18,FALSE),0)*Ontwerpberekening!J20),0))/Ontwerpberekening!$A$2</f>
        <v>0</v>
      </c>
      <c r="Q61" s="56">
        <f>(IF(Ontwerpberekening!E20="Bestaande Situatie",(_xlfn.IFNA(VLOOKUP(Ontwerp_CO2_Totaal[[#This Row],[Product]]&amp;", "&amp;Ontwerp_CO2_Totaal[[#Headers],[C4]],Database_Productkaarten[#All],18,FALSE),0)*Ontwerpberekening!J20),0))/Ontwerpberekening!$A$2</f>
        <v>0</v>
      </c>
      <c r="R61" s="56">
        <f>(IF(Ontwerpberekening!E20="Bestaande Situatie",(_xlfn.IFNA(VLOOKUP(Ontwerp_CO2_Totaal[[#This Row],[Product]]&amp;", "&amp;Ontwerp_CO2_Totaal[[#Headers],[D1]],Database_Productkaarten[#All],18,FALSE),0)*Ontwerpberekening!J20),0))/Ontwerpberekening!$A$2</f>
        <v>0</v>
      </c>
      <c r="S61" s="57">
        <f>(IF(Ontwerpberekening!E20="Bestaande Situatie",(_xlfn.IFNA(VLOOKUP(Ontwerp_CO2_Totaal[[#This Row],[Product]]&amp;", "&amp;Ontwerp_CO2_Totaal[[#Headers],[D2]],Database_Productkaarten[#All],18,FALSE),0)*Ontwerpberekening!J20),0))/Ontwerpberekening!$A$2</f>
        <v>0</v>
      </c>
      <c r="T61" s="57">
        <f>(IF(Ontwerpberekening!E20="Bestaande Situatie",(_xlfn.IFNA(VLOOKUP(Ontwerp_CO2_Totaal[[#This Row],[Product]]&amp;", "&amp;Ontwerp_CO2_Totaal[[#Headers],[D]],Database_Productkaarten[#All],18,FALSE),0)*Ontwerpberekening!J20),0))/Ontwerpberekening!$A$2</f>
        <v>0</v>
      </c>
      <c r="U61" s="56">
        <f>SUM(Ontwerp_CO2_Totaal[[#This Row],[A1-A3]:[C4]])+Ontwerp_CO2_Totaal[[#This Row],[D]]</f>
        <v>739.96124999999995</v>
      </c>
    </row>
    <row r="62" spans="2:30">
      <c r="B62" s="31" t="str">
        <f>Ontwerpberekening!B21</f>
        <v>Plastic kratten</v>
      </c>
      <c r="C62" s="31" t="str">
        <f>Ontwerpberekening!C21</f>
        <v>Toplaag</v>
      </c>
      <c r="D62" s="1" t="str">
        <f>Ontwerpberekening!G21</f>
        <v>Betonstraatsteen 210x105x80</v>
      </c>
      <c r="E62" s="56">
        <f>(IF(Ontwerpberekening!E21="Nieuwe Situatie",(_xlfn.IFNA(VLOOKUP(Ontwerp_CO2_Totaal[[#This Row],[Product]]&amp;", "&amp;Ontwerp_CO2_Totaal[[#Headers],[A1]],Database_Productkaarten[#All],18,FALSE),0)*Ontwerpberekening!J21),0))/Ontwerpberekening!$A$2</f>
        <v>10998.630000000001</v>
      </c>
      <c r="F62" s="56">
        <f>(IF(Ontwerpberekening!E21="Nieuwe Situatie",(_xlfn.IFNA(VLOOKUP(Ontwerp_CO2_Totaal[[#This Row],[Product]]&amp;", "&amp;Ontwerp_CO2_Totaal[[#Headers],[A2]],Database_Productkaarten[#All],18,FALSE),0)*Ontwerpberekening!J21),0))/Ontwerpberekening!$A$2</f>
        <v>481.99106</v>
      </c>
      <c r="G62" s="56">
        <f>(IF(Ontwerpberekening!E21="Nieuwe Situatie",(_xlfn.IFNA(VLOOKUP(Ontwerp_CO2_Totaal[[#This Row],[Product]]&amp;", "&amp;Ontwerp_CO2_Totaal[[#Headers],[A3]],Database_Productkaarten[#All],18,FALSE),0)*Ontwerpberekening!J21),0))/Ontwerpberekening!$A$2</f>
        <v>583.98365000000001</v>
      </c>
      <c r="H62" s="56">
        <f>(IF(Ontwerpberekening!E21="Nieuwe Situatie",(_xlfn.IFNA(VLOOKUP(Ontwerp_CO2_Totaal[[#This Row],[Product]]&amp;", "&amp;Ontwerp_CO2_Totaal[[#Headers],[A1-A3]],Database_Productkaarten[#All],18,FALSE),0)*Ontwerpberekening!J21),0))/Ontwerpberekening!$A$2</f>
        <v>12064.604710000001</v>
      </c>
      <c r="I62" s="56">
        <f>(IF(Ontwerpberekening!E21="Nieuwe Situatie",(_xlfn.IFNA(VLOOKUP(Ontwerp_CO2_Totaal[[#This Row],[Product]]&amp;", "&amp;Ontwerp_CO2_Totaal[[#Headers],[A4]],Database_Productkaarten[#All],18,FALSE),0)*Ontwerpberekening!R21),0))/Ontwerpberekening!$A$2</f>
        <v>318.58976396000003</v>
      </c>
      <c r="J62" s="56">
        <f>(IF(Ontwerpberekening!E21="Nieuwe Situatie",(_xlfn.IFNA(VLOOKUP(Ontwerp_CO2_Totaal[[#This Row],[Product]]&amp;", "&amp;Ontwerp_CO2_Totaal[[#Headers],[A5]],Database_Productkaarten[#All],18,FALSE),0)*Ontwerpberekening!J21),0))/Ontwerpberekening!$A$2</f>
        <v>723.28470000000004</v>
      </c>
      <c r="K62" s="56">
        <f>(IF(Ontwerpberekening!E21="Nieuwe Situatie",(_xlfn.IFNA(VLOOKUP(Ontwerp_CO2_Totaal[[#This Row],[Product]]&amp;", "&amp;Ontwerp_CO2_Totaal[[#Headers],[B1]],Database_Productkaarten[#All],18,FALSE),0)*Ontwerpberekening!J21),0))/Ontwerpberekening!$A$2</f>
        <v>0</v>
      </c>
      <c r="L62" s="56">
        <f>(IF(Ontwerpberekening!E21="Nieuwe Situatie",(_xlfn.IFNA(VLOOKUP(Ontwerp_CO2_Totaal[[#This Row],[Product]]&amp;", "&amp;Ontwerp_CO2_Totaal[[#Headers],[B3]],Database_Productkaarten[#All],18,FALSE),0)*Ontwerpberekening!J21),0))/Ontwerpberekening!$A$2</f>
        <v>0</v>
      </c>
      <c r="M62" s="56">
        <f>(IF(Ontwerpberekening!E21="Nieuwe Situatie",(SUM(Ontwerp_CO2_Totaal[[#This Row],[A1]:[B1]],Ontwerp_CO2_Totaal[[#This Row],[C1]:[D2]])*Ontwerpberekening!T21),0))</f>
        <v>0</v>
      </c>
      <c r="N62" s="56">
        <f>(IF(Ontwerpberekening!E21="Bestaande Situatie",(_xlfn.IFNA(VLOOKUP(Ontwerp_CO2_Totaal[[#This Row],[Product]]&amp;", "&amp;Ontwerp_CO2_Totaal[[#Headers],[C1]],Database_Productkaarten[#All],18,FALSE),0)*Ontwerpberekening!J21),0))/Ontwerpberekening!$A$2</f>
        <v>0</v>
      </c>
      <c r="O62" s="56">
        <f>(IF(Ontwerpberekening!E21="Bestaande Situatie",(_xlfn.IFNA(VLOOKUP(Ontwerp_CO2_Totaal[[#This Row],[Product]]&amp;", "&amp;Ontwerp_CO2_Totaal[[#Headers],[C2]],Database_Productkaarten[#All],18,FALSE),0)*Ontwerpberekening!R21),0))/Ontwerpberekening!$A$2</f>
        <v>0</v>
      </c>
      <c r="P62" s="56">
        <f>(IF(Ontwerpberekening!E21="Bestaande Situatie",(_xlfn.IFNA(VLOOKUP(Ontwerp_CO2_Totaal[[#This Row],[Product]]&amp;", "&amp;Ontwerp_CO2_Totaal[[#Headers],[C3]],Database_Productkaarten[#All],18,FALSE),0)*Ontwerpberekening!J21),0))/Ontwerpberekening!$A$2</f>
        <v>0</v>
      </c>
      <c r="Q62" s="56">
        <f>(IF(Ontwerpberekening!E21="Bestaande Situatie",(_xlfn.IFNA(VLOOKUP(Ontwerp_CO2_Totaal[[#This Row],[Product]]&amp;", "&amp;Ontwerp_CO2_Totaal[[#Headers],[C4]],Database_Productkaarten[#All],18,FALSE),0)*Ontwerpberekening!J21),0))/Ontwerpberekening!$A$2</f>
        <v>0</v>
      </c>
      <c r="R62" s="56">
        <f>(IF(Ontwerpberekening!E21="Bestaande Situatie",(_xlfn.IFNA(VLOOKUP(Ontwerp_CO2_Totaal[[#This Row],[Product]]&amp;", "&amp;Ontwerp_CO2_Totaal[[#Headers],[D1]],Database_Productkaarten[#All],18,FALSE),0)*Ontwerpberekening!J21),0))/Ontwerpberekening!$A$2</f>
        <v>0</v>
      </c>
      <c r="S62" s="57">
        <f>(IF(Ontwerpberekening!E21="Bestaande Situatie",(_xlfn.IFNA(VLOOKUP(Ontwerp_CO2_Totaal[[#This Row],[Product]]&amp;", "&amp;Ontwerp_CO2_Totaal[[#Headers],[D2]],Database_Productkaarten[#All],18,FALSE),0)*Ontwerpberekening!J21),0))/Ontwerpberekening!$A$2</f>
        <v>0</v>
      </c>
      <c r="T62" s="57">
        <f>(IF(Ontwerpberekening!E21="Bestaande Situatie",(_xlfn.IFNA(VLOOKUP(Ontwerp_CO2_Totaal[[#This Row],[Product]]&amp;", "&amp;Ontwerp_CO2_Totaal[[#Headers],[D]],Database_Productkaarten[#All],18,FALSE),0)*Ontwerpberekening!J21),0))/Ontwerpberekening!$A$2</f>
        <v>0</v>
      </c>
      <c r="U62" s="56">
        <f>SUM(Ontwerp_CO2_Totaal[[#This Row],[A1-A3]:[C4]])+Ontwerp_CO2_Totaal[[#This Row],[D]]</f>
        <v>13106.479173960002</v>
      </c>
    </row>
    <row r="63" spans="2:30">
      <c r="B63" s="31" t="str">
        <f>Ontwerpberekening!B22</f>
        <v>Plastic kratten</v>
      </c>
      <c r="C63" s="31" t="str">
        <f>Ontwerpberekening!C22</f>
        <v>Grondverbetering</v>
      </c>
      <c r="D63" s="1" t="str">
        <f>Ontwerpberekening!G22</f>
        <v>Ophoogmateriaal (Zand)</v>
      </c>
      <c r="E63" s="56">
        <f>(IF(Ontwerpberekening!E22="Nieuwe Situatie",(_xlfn.IFNA(VLOOKUP(Ontwerp_CO2_Totaal[[#This Row],[Product]]&amp;", "&amp;Ontwerp_CO2_Totaal[[#Headers],[A1]],Database_Productkaarten[#All],18,FALSE),0)*Ontwerpberekening!J22),0))/Ontwerpberekening!$A$2</f>
        <v>0</v>
      </c>
      <c r="F63" s="56">
        <f>(IF(Ontwerpberekening!E22="Nieuwe Situatie",(_xlfn.IFNA(VLOOKUP(Ontwerp_CO2_Totaal[[#This Row],[Product]]&amp;", "&amp;Ontwerp_CO2_Totaal[[#Headers],[A2]],Database_Productkaarten[#All],18,FALSE),0)*Ontwerpberekening!J22),0))/Ontwerpberekening!$A$2</f>
        <v>0</v>
      </c>
      <c r="G63" s="56">
        <f>(IF(Ontwerpberekening!E22="Nieuwe Situatie",(_xlfn.IFNA(VLOOKUP(Ontwerp_CO2_Totaal[[#This Row],[Product]]&amp;", "&amp;Ontwerp_CO2_Totaal[[#Headers],[A3]],Database_Productkaarten[#All],18,FALSE),0)*Ontwerpberekening!J22),0))/Ontwerpberekening!$A$2</f>
        <v>0</v>
      </c>
      <c r="H63" s="56">
        <f>(IF(Ontwerpberekening!E22="Nieuwe Situatie",(_xlfn.IFNA(VLOOKUP(Ontwerp_CO2_Totaal[[#This Row],[Product]]&amp;", "&amp;Ontwerp_CO2_Totaal[[#Headers],[A1-A3]],Database_Productkaarten[#All],18,FALSE),0)*Ontwerpberekening!J22),0))/Ontwerpberekening!$A$2</f>
        <v>0</v>
      </c>
      <c r="I63" s="56">
        <f>(IF(Ontwerpberekening!E22="Nieuwe Situatie",(_xlfn.IFNA(VLOOKUP(Ontwerp_CO2_Totaal[[#This Row],[Product]]&amp;", "&amp;Ontwerp_CO2_Totaal[[#Headers],[A4]],Database_Productkaarten[#All],18,FALSE),0)*Ontwerpberekening!R22),0))/Ontwerpberekening!$A$2</f>
        <v>0</v>
      </c>
      <c r="J63" s="56">
        <f>(IF(Ontwerpberekening!E22="Nieuwe Situatie",(_xlfn.IFNA(VLOOKUP(Ontwerp_CO2_Totaal[[#This Row],[Product]]&amp;", "&amp;Ontwerp_CO2_Totaal[[#Headers],[A5]],Database_Productkaarten[#All],18,FALSE),0)*Ontwerpberekening!J22),0))/Ontwerpberekening!$A$2</f>
        <v>0</v>
      </c>
      <c r="K63" s="56">
        <f>(IF(Ontwerpberekening!E22="Nieuwe Situatie",(_xlfn.IFNA(VLOOKUP(Ontwerp_CO2_Totaal[[#This Row],[Product]]&amp;", "&amp;Ontwerp_CO2_Totaal[[#Headers],[B1]],Database_Productkaarten[#All],18,FALSE),0)*Ontwerpberekening!J22),0))/Ontwerpberekening!$A$2</f>
        <v>0</v>
      </c>
      <c r="L63" s="56">
        <f>(IF(Ontwerpberekening!E22="Nieuwe Situatie",(_xlfn.IFNA(VLOOKUP(Ontwerp_CO2_Totaal[[#This Row],[Product]]&amp;", "&amp;Ontwerp_CO2_Totaal[[#Headers],[B3]],Database_Productkaarten[#All],18,FALSE),0)*Ontwerpberekening!J22),0))/Ontwerpberekening!$A$2</f>
        <v>0</v>
      </c>
      <c r="M63" s="56">
        <f>(IF(Ontwerpberekening!E22="Nieuwe Situatie",(SUM(Ontwerp_CO2_Totaal[[#This Row],[A1]:[B1]],Ontwerp_CO2_Totaal[[#This Row],[C1]:[D2]])*Ontwerpberekening!T22),0))</f>
        <v>0</v>
      </c>
      <c r="N63" s="56">
        <f>(IF(Ontwerpberekening!E22="Bestaande Situatie",(_xlfn.IFNA(VLOOKUP(Ontwerp_CO2_Totaal[[#This Row],[Product]]&amp;", "&amp;Ontwerp_CO2_Totaal[[#Headers],[C1]],Database_Productkaarten[#All],18,FALSE),0)*Ontwerpberekening!J22),0))/Ontwerpberekening!$A$2</f>
        <v>11.6425</v>
      </c>
      <c r="O63" s="56">
        <f>(IF(Ontwerpberekening!E22="Bestaande Situatie",(_xlfn.IFNA(VLOOKUP(Ontwerp_CO2_Totaal[[#This Row],[Product]]&amp;", "&amp;Ontwerp_CO2_Totaal[[#Headers],[C2]],Database_Productkaarten[#All],18,FALSE),0)*Ontwerpberekening!R22),0))/Ontwerpberekening!$A$2</f>
        <v>240</v>
      </c>
      <c r="P63" s="56">
        <f>(IF(Ontwerpberekening!E22="Bestaande Situatie",(_xlfn.IFNA(VLOOKUP(Ontwerp_CO2_Totaal[[#This Row],[Product]]&amp;", "&amp;Ontwerp_CO2_Totaal[[#Headers],[C3]],Database_Productkaarten[#All],18,FALSE),0)*Ontwerpberekening!J22),0))/Ontwerpberekening!$A$2</f>
        <v>0</v>
      </c>
      <c r="Q63" s="56">
        <f>(IF(Ontwerpberekening!E22="Bestaande Situatie",(_xlfn.IFNA(VLOOKUP(Ontwerp_CO2_Totaal[[#This Row],[Product]]&amp;", "&amp;Ontwerp_CO2_Totaal[[#Headers],[C4]],Database_Productkaarten[#All],18,FALSE),0)*Ontwerpberekening!J22),0))/Ontwerpberekening!$A$2</f>
        <v>2</v>
      </c>
      <c r="R63" s="56">
        <f>(IF(Ontwerpberekening!E22="Bestaande Situatie",(_xlfn.IFNA(VLOOKUP(Ontwerp_CO2_Totaal[[#This Row],[Product]]&amp;", "&amp;Ontwerp_CO2_Totaal[[#Headers],[D1]],Database_Productkaarten[#All],18,FALSE),0)*Ontwerpberekening!J22),0))/Ontwerpberekening!$A$2</f>
        <v>0</v>
      </c>
      <c r="S63" s="57">
        <f>(IF(Ontwerpberekening!E22="Bestaande Situatie",(_xlfn.IFNA(VLOOKUP(Ontwerp_CO2_Totaal[[#This Row],[Product]]&amp;", "&amp;Ontwerp_CO2_Totaal[[#Headers],[D2]],Database_Productkaarten[#All],18,FALSE),0)*Ontwerpberekening!J22),0))/Ontwerpberekening!$A$2</f>
        <v>0</v>
      </c>
      <c r="T63" s="57">
        <f>(IF(Ontwerpberekening!E22="Bestaande Situatie",(_xlfn.IFNA(VLOOKUP(Ontwerp_CO2_Totaal[[#This Row],[Product]]&amp;", "&amp;Ontwerp_CO2_Totaal[[#Headers],[D]],Database_Productkaarten[#All],18,FALSE),0)*Ontwerpberekening!J22),0))/Ontwerpberekening!$A$2</f>
        <v>-155.75</v>
      </c>
      <c r="U63" s="56">
        <f>SUM(Ontwerp_CO2_Totaal[[#This Row],[A1-A3]:[C4]])+Ontwerp_CO2_Totaal[[#This Row],[D]]</f>
        <v>97.892500000000013</v>
      </c>
    </row>
    <row r="64" spans="2:30">
      <c r="B64" s="31" t="str">
        <f>Ontwerpberekening!B23</f>
        <v>Plastic kratten</v>
      </c>
      <c r="C64" s="31" t="str">
        <f>Ontwerpberekening!C23</f>
        <v>Waterbergendelaag</v>
      </c>
      <c r="D64" s="1" t="str">
        <f>Ontwerpberekening!G23</f>
        <v>Kunststof Inflitratiekrat</v>
      </c>
      <c r="E64" s="56">
        <f>(IF(Ontwerpberekening!E23="Nieuwe Situatie",(_xlfn.IFNA(VLOOKUP(Ontwerp_CO2_Totaal[[#This Row],[Product]]&amp;", "&amp;Ontwerp_CO2_Totaal[[#Headers],[A1]],Database_Productkaarten[#All],18,FALSE),0)*Ontwerpberekening!J23),0))/Ontwerpberekening!$A$2</f>
        <v>0</v>
      </c>
      <c r="F64" s="56">
        <f>(IF(Ontwerpberekening!E23="Nieuwe Situatie",(_xlfn.IFNA(VLOOKUP(Ontwerp_CO2_Totaal[[#This Row],[Product]]&amp;", "&amp;Ontwerp_CO2_Totaal[[#Headers],[A2]],Database_Productkaarten[#All],18,FALSE),0)*Ontwerpberekening!J23),0))/Ontwerpberekening!$A$2</f>
        <v>0</v>
      </c>
      <c r="G64" s="56">
        <f>(IF(Ontwerpberekening!E23="Nieuwe Situatie",(_xlfn.IFNA(VLOOKUP(Ontwerp_CO2_Totaal[[#This Row],[Product]]&amp;", "&amp;Ontwerp_CO2_Totaal[[#Headers],[A3]],Database_Productkaarten[#All],18,FALSE),0)*Ontwerpberekening!J23),0))/Ontwerpberekening!$A$2</f>
        <v>0</v>
      </c>
      <c r="H64" s="56">
        <f>(IF(Ontwerpberekening!E23="Nieuwe Situatie",(_xlfn.IFNA(VLOOKUP(Ontwerp_CO2_Totaal[[#This Row],[Product]]&amp;", "&amp;Ontwerp_CO2_Totaal[[#Headers],[A1-A3]],Database_Productkaarten[#All],18,FALSE),0)*Ontwerpberekening!J23),0))/Ontwerpberekening!$A$2</f>
        <v>0</v>
      </c>
      <c r="I64" s="56">
        <f>(IF(Ontwerpberekening!E23="Nieuwe Situatie",(_xlfn.IFNA(VLOOKUP(Ontwerp_CO2_Totaal[[#This Row],[Product]]&amp;", "&amp;Ontwerp_CO2_Totaal[[#Headers],[A4]],Database_Productkaarten[#All],18,FALSE),0)*Ontwerpberekening!R23),0))/Ontwerpberekening!$A$2</f>
        <v>0</v>
      </c>
      <c r="J64" s="56">
        <f>(IF(Ontwerpberekening!E23="Nieuwe Situatie",(_xlfn.IFNA(VLOOKUP(Ontwerp_CO2_Totaal[[#This Row],[Product]]&amp;", "&amp;Ontwerp_CO2_Totaal[[#Headers],[A5]],Database_Productkaarten[#All],18,FALSE),0)*Ontwerpberekening!J23),0))/Ontwerpberekening!$A$2</f>
        <v>0</v>
      </c>
      <c r="K64" s="56">
        <f>(IF(Ontwerpberekening!E23="Nieuwe Situatie",(_xlfn.IFNA(VLOOKUP(Ontwerp_CO2_Totaal[[#This Row],[Product]]&amp;", "&amp;Ontwerp_CO2_Totaal[[#Headers],[B1]],Database_Productkaarten[#All],18,FALSE),0)*Ontwerpberekening!J23),0))/Ontwerpberekening!$A$2</f>
        <v>0</v>
      </c>
      <c r="L64" s="56">
        <f>(IF(Ontwerpberekening!E23="Nieuwe Situatie",(_xlfn.IFNA(VLOOKUP(Ontwerp_CO2_Totaal[[#This Row],[Product]]&amp;", "&amp;Ontwerp_CO2_Totaal[[#Headers],[B3]],Database_Productkaarten[#All],18,FALSE),0)*Ontwerpberekening!J23),0))/Ontwerpberekening!$A$2</f>
        <v>0</v>
      </c>
      <c r="M64" s="56">
        <f>(IF(Ontwerpberekening!E23="Nieuwe Situatie",(SUM(Ontwerp_CO2_Totaal[[#This Row],[A1]:[B1]],Ontwerp_CO2_Totaal[[#This Row],[C1]:[D2]])*Ontwerpberekening!T23),0))</f>
        <v>0</v>
      </c>
      <c r="N64" s="56">
        <f>(IF(Ontwerpberekening!E23="Bestaande Situatie",(_xlfn.IFNA(VLOOKUP(Ontwerp_CO2_Totaal[[#This Row],[Product]]&amp;", "&amp;Ontwerp_CO2_Totaal[[#Headers],[C1]],Database_Productkaarten[#All],18,FALSE),0)*Ontwerpberekening!J23),0))/Ontwerpberekening!$A$2</f>
        <v>850</v>
      </c>
      <c r="O64" s="56">
        <f>(IF(Ontwerpberekening!E23="Bestaande Situatie",(_xlfn.IFNA(VLOOKUP(Ontwerp_CO2_Totaal[[#This Row],[Product]]&amp;", "&amp;Ontwerp_CO2_Totaal[[#Headers],[C2]],Database_Productkaarten[#All],18,FALSE),0)*Ontwerpberekening!R23),0))/Ontwerpberekening!$A$2</f>
        <v>1.82</v>
      </c>
      <c r="P64" s="56">
        <f>(IF(Ontwerpberekening!E23="Bestaande Situatie",(_xlfn.IFNA(VLOOKUP(Ontwerp_CO2_Totaal[[#This Row],[Product]]&amp;", "&amp;Ontwerp_CO2_Totaal[[#Headers],[C3]],Database_Productkaarten[#All],18,FALSE),0)*Ontwerpberekening!J23),0))/Ontwerpberekening!$A$2</f>
        <v>16000</v>
      </c>
      <c r="Q64" s="56">
        <f>(IF(Ontwerpberekening!E23="Bestaande Situatie",(_xlfn.IFNA(VLOOKUP(Ontwerp_CO2_Totaal[[#This Row],[Product]]&amp;", "&amp;Ontwerp_CO2_Totaal[[#Headers],[C4]],Database_Productkaarten[#All],18,FALSE),0)*Ontwerpberekening!J23),0))/Ontwerpberekening!$A$2</f>
        <v>90</v>
      </c>
      <c r="R64" s="56">
        <f>(IF(Ontwerpberekening!E23="Bestaande Situatie",(_xlfn.IFNA(VLOOKUP(Ontwerp_CO2_Totaal[[#This Row],[Product]]&amp;", "&amp;Ontwerp_CO2_Totaal[[#Headers],[D1]],Database_Productkaarten[#All],18,FALSE),0)*Ontwerpberekening!J23),0))/Ontwerpberekening!$A$2</f>
        <v>0</v>
      </c>
      <c r="S64" s="57">
        <f>(IF(Ontwerpberekening!E23="Bestaande Situatie",(_xlfn.IFNA(VLOOKUP(Ontwerp_CO2_Totaal[[#This Row],[Product]]&amp;", "&amp;Ontwerp_CO2_Totaal[[#Headers],[D2]],Database_Productkaarten[#All],18,FALSE),0)*Ontwerpberekening!J23),0))/Ontwerpberekening!$A$2</f>
        <v>0</v>
      </c>
      <c r="T64" s="57">
        <f>(IF(Ontwerpberekening!E23="Bestaande Situatie",(_xlfn.IFNA(VLOOKUP(Ontwerp_CO2_Totaal[[#This Row],[Product]]&amp;", "&amp;Ontwerp_CO2_Totaal[[#Headers],[D]],Database_Productkaarten[#All],18,FALSE),0)*Ontwerpberekening!J23),0))/Ontwerpberekening!$A$2</f>
        <v>-10000</v>
      </c>
      <c r="U64" s="56">
        <f>SUM(Ontwerp_CO2_Totaal[[#This Row],[A1-A3]:[C4]])+Ontwerp_CO2_Totaal[[#This Row],[D]]</f>
        <v>6941.82</v>
      </c>
    </row>
    <row r="65" spans="2:21">
      <c r="B65" s="31" t="str">
        <f>Ontwerpberekening!B24</f>
        <v>Plastic kratten</v>
      </c>
      <c r="C65" s="31" t="str">
        <f>Ontwerpberekening!C24</f>
        <v>Menggranulaat</v>
      </c>
      <c r="D65" s="1" t="str">
        <f>Ontwerpberekening!G24</f>
        <v>Menggranulaat 300mm</v>
      </c>
      <c r="E65" s="56">
        <f>(IF(Ontwerpberekening!E24="Nieuwe Situatie",(_xlfn.IFNA(VLOOKUP(Ontwerp_CO2_Totaal[[#This Row],[Product]]&amp;", "&amp;Ontwerp_CO2_Totaal[[#Headers],[A1]],Database_Productkaarten[#All],18,FALSE),0)*Ontwerpberekening!J24),0))/Ontwerpberekening!$A$2</f>
        <v>0</v>
      </c>
      <c r="F65" s="56">
        <f>(IF(Ontwerpberekening!E24="Nieuwe Situatie",(_xlfn.IFNA(VLOOKUP(Ontwerp_CO2_Totaal[[#This Row],[Product]]&amp;", "&amp;Ontwerp_CO2_Totaal[[#Headers],[A2]],Database_Productkaarten[#All],18,FALSE),0)*Ontwerpberekening!J24),0))/Ontwerpberekening!$A$2</f>
        <v>0</v>
      </c>
      <c r="G65" s="56">
        <f>(IF(Ontwerpberekening!E24="Nieuwe Situatie",(_xlfn.IFNA(VLOOKUP(Ontwerp_CO2_Totaal[[#This Row],[Product]]&amp;", "&amp;Ontwerp_CO2_Totaal[[#Headers],[A3]],Database_Productkaarten[#All],18,FALSE),0)*Ontwerpberekening!J24),0))/Ontwerpberekening!$A$2</f>
        <v>0</v>
      </c>
      <c r="H65" s="56">
        <f>(IF(Ontwerpberekening!E24="Nieuwe Situatie",(_xlfn.IFNA(VLOOKUP(Ontwerp_CO2_Totaal[[#This Row],[Product]]&amp;", "&amp;Ontwerp_CO2_Totaal[[#Headers],[A1-A3]],Database_Productkaarten[#All],18,FALSE),0)*Ontwerpberekening!J24),0))/Ontwerpberekening!$A$2</f>
        <v>0</v>
      </c>
      <c r="I65" s="56">
        <f>(IF(Ontwerpberekening!E24="Nieuwe Situatie",(_xlfn.IFNA(VLOOKUP(Ontwerp_CO2_Totaal[[#This Row],[Product]]&amp;", "&amp;Ontwerp_CO2_Totaal[[#Headers],[A4]],Database_Productkaarten[#All],18,FALSE),0)*Ontwerpberekening!R24),0))/Ontwerpberekening!$A$2</f>
        <v>0</v>
      </c>
      <c r="J65" s="56">
        <f>(IF(Ontwerpberekening!E24="Nieuwe Situatie",(_xlfn.IFNA(VLOOKUP(Ontwerp_CO2_Totaal[[#This Row],[Product]]&amp;", "&amp;Ontwerp_CO2_Totaal[[#Headers],[A5]],Database_Productkaarten[#All],18,FALSE),0)*Ontwerpberekening!J24),0))/Ontwerpberekening!$A$2</f>
        <v>0</v>
      </c>
      <c r="K65" s="56">
        <f>(IF(Ontwerpberekening!E24="Nieuwe Situatie",(_xlfn.IFNA(VLOOKUP(Ontwerp_CO2_Totaal[[#This Row],[Product]]&amp;", "&amp;Ontwerp_CO2_Totaal[[#Headers],[B1]],Database_Productkaarten[#All],18,FALSE),0)*Ontwerpberekening!J24),0))/Ontwerpberekening!$A$2</f>
        <v>0</v>
      </c>
      <c r="L65" s="56">
        <f>(IF(Ontwerpberekening!E24="Nieuwe Situatie",(_xlfn.IFNA(VLOOKUP(Ontwerp_CO2_Totaal[[#This Row],[Product]]&amp;", "&amp;Ontwerp_CO2_Totaal[[#Headers],[B3]],Database_Productkaarten[#All],18,FALSE),0)*Ontwerpberekening!J24),0))/Ontwerpberekening!$A$2</f>
        <v>0</v>
      </c>
      <c r="M65" s="56">
        <f>(IF(Ontwerpberekening!E24="Nieuwe Situatie",(SUM(Ontwerp_CO2_Totaal[[#This Row],[A1]:[B1]],Ontwerp_CO2_Totaal[[#This Row],[C1]:[D2]])*Ontwerpberekening!T24),0))</f>
        <v>0</v>
      </c>
      <c r="N65" s="56">
        <f>(IF(Ontwerpberekening!E24="Bestaande Situatie",(_xlfn.IFNA(VLOOKUP(Ontwerp_CO2_Totaal[[#This Row],[Product]]&amp;", "&amp;Ontwerp_CO2_Totaal[[#Headers],[C1]],Database_Productkaarten[#All],18,FALSE),0)*Ontwerpberekening!J24),0))/Ontwerpberekening!$A$2</f>
        <v>335.5</v>
      </c>
      <c r="O65" s="56">
        <f>(IF(Ontwerpberekening!E24="Bestaande Situatie",(_xlfn.IFNA(VLOOKUP(Ontwerp_CO2_Totaal[[#This Row],[Product]]&amp;", "&amp;Ontwerp_CO2_Totaal[[#Headers],[C2]],Database_Productkaarten[#All],18,FALSE),0)*Ontwerpberekening!R24),0))/Ontwerpberekening!$A$2</f>
        <v>731.25</v>
      </c>
      <c r="P65" s="56">
        <f>(IF(Ontwerpberekening!E24="Bestaande Situatie",(_xlfn.IFNA(VLOOKUP(Ontwerp_CO2_Totaal[[#This Row],[Product]]&amp;", "&amp;Ontwerp_CO2_Totaal[[#Headers],[C3]],Database_Productkaarten[#All],18,FALSE),0)*Ontwerpberekening!J24),0))/Ontwerpberekening!$A$2</f>
        <v>0</v>
      </c>
      <c r="Q65" s="56">
        <f>(IF(Ontwerpberekening!E24="Bestaande Situatie",(_xlfn.IFNA(VLOOKUP(Ontwerp_CO2_Totaal[[#This Row],[Product]]&amp;", "&amp;Ontwerp_CO2_Totaal[[#Headers],[C4]],Database_Productkaarten[#All],18,FALSE),0)*Ontwerpberekening!J24),0))/Ontwerpberekening!$A$2</f>
        <v>15.450000000000001</v>
      </c>
      <c r="R65" s="56">
        <f>(IF(Ontwerpberekening!E24="Bestaande Situatie",(_xlfn.IFNA(VLOOKUP(Ontwerp_CO2_Totaal[[#This Row],[Product]]&amp;", "&amp;Ontwerp_CO2_Totaal[[#Headers],[D1]],Database_Productkaarten[#All],18,FALSE),0)*Ontwerpberekening!J24),0))/Ontwerpberekening!$A$2</f>
        <v>0</v>
      </c>
      <c r="S65" s="57">
        <f>(IF(Ontwerpberekening!E24="Bestaande Situatie",(_xlfn.IFNA(VLOOKUP(Ontwerp_CO2_Totaal[[#This Row],[Product]]&amp;", "&amp;Ontwerp_CO2_Totaal[[#Headers],[D2]],Database_Productkaarten[#All],18,FALSE),0)*Ontwerpberekening!J24),0))/Ontwerpberekening!$A$2</f>
        <v>0</v>
      </c>
      <c r="T65" s="57">
        <f>(IF(Ontwerpberekening!E24="Bestaande Situatie",(_xlfn.IFNA(VLOOKUP(Ontwerp_CO2_Totaal[[#This Row],[Product]]&amp;", "&amp;Ontwerp_CO2_Totaal[[#Headers],[D]],Database_Productkaarten[#All],18,FALSE),0)*Ontwerpberekening!J24),0))/Ontwerpberekening!$A$2</f>
        <v>12.3</v>
      </c>
      <c r="U65" s="56">
        <f>SUM(Ontwerp_CO2_Totaal[[#This Row],[A1-A3]:[C4]])+Ontwerp_CO2_Totaal[[#This Row],[D]]</f>
        <v>1094.5</v>
      </c>
    </row>
    <row r="66" spans="2:21">
      <c r="B66" s="31" t="str">
        <f>Ontwerpberekening!B25</f>
        <v>Plastic kratten</v>
      </c>
      <c r="C66" s="31" t="str">
        <f>Ontwerpberekening!C25</f>
        <v>Straatlaag</v>
      </c>
      <c r="D66" s="1" t="str">
        <f>Ontwerpberekening!G25</f>
        <v>Ophoogmateriaal (Zand)</v>
      </c>
      <c r="E66" s="56">
        <f>(IF(Ontwerpberekening!E25="Nieuwe Situatie",(_xlfn.IFNA(VLOOKUP(Ontwerp_CO2_Totaal[[#This Row],[Product]]&amp;", "&amp;Ontwerp_CO2_Totaal[[#Headers],[A1]],Database_Productkaarten[#All],18,FALSE),0)*Ontwerpberekening!J25),0))/Ontwerpberekening!$A$2</f>
        <v>0</v>
      </c>
      <c r="F66" s="56">
        <f>(IF(Ontwerpberekening!E25="Nieuwe Situatie",(_xlfn.IFNA(VLOOKUP(Ontwerp_CO2_Totaal[[#This Row],[Product]]&amp;", "&amp;Ontwerp_CO2_Totaal[[#Headers],[A2]],Database_Productkaarten[#All],18,FALSE),0)*Ontwerpberekening!J25),0))/Ontwerpberekening!$A$2</f>
        <v>0</v>
      </c>
      <c r="G66" s="56">
        <f>(IF(Ontwerpberekening!E25="Nieuwe Situatie",(_xlfn.IFNA(VLOOKUP(Ontwerp_CO2_Totaal[[#This Row],[Product]]&amp;", "&amp;Ontwerp_CO2_Totaal[[#Headers],[A3]],Database_Productkaarten[#All],18,FALSE),0)*Ontwerpberekening!J25),0))/Ontwerpberekening!$A$2</f>
        <v>0</v>
      </c>
      <c r="H66" s="56">
        <f>(IF(Ontwerpberekening!E25="Nieuwe Situatie",(_xlfn.IFNA(VLOOKUP(Ontwerp_CO2_Totaal[[#This Row],[Product]]&amp;", "&amp;Ontwerp_CO2_Totaal[[#Headers],[A1-A3]],Database_Productkaarten[#All],18,FALSE),0)*Ontwerpberekening!J25),0))/Ontwerpberekening!$A$2</f>
        <v>0</v>
      </c>
      <c r="I66" s="56">
        <f>(IF(Ontwerpberekening!E25="Nieuwe Situatie",(_xlfn.IFNA(VLOOKUP(Ontwerp_CO2_Totaal[[#This Row],[Product]]&amp;", "&amp;Ontwerp_CO2_Totaal[[#Headers],[A4]],Database_Productkaarten[#All],18,FALSE),0)*Ontwerpberekening!R25),0))/Ontwerpberekening!$A$2</f>
        <v>0</v>
      </c>
      <c r="J66" s="56">
        <f>(IF(Ontwerpberekening!E25="Nieuwe Situatie",(_xlfn.IFNA(VLOOKUP(Ontwerp_CO2_Totaal[[#This Row],[Product]]&amp;", "&amp;Ontwerp_CO2_Totaal[[#Headers],[A5]],Database_Productkaarten[#All],18,FALSE),0)*Ontwerpberekening!J25),0))/Ontwerpberekening!$A$2</f>
        <v>0</v>
      </c>
      <c r="K66" s="56">
        <f>(IF(Ontwerpberekening!E25="Nieuwe Situatie",(_xlfn.IFNA(VLOOKUP(Ontwerp_CO2_Totaal[[#This Row],[Product]]&amp;", "&amp;Ontwerp_CO2_Totaal[[#Headers],[B1]],Database_Productkaarten[#All],18,FALSE),0)*Ontwerpberekening!J25),0))/Ontwerpberekening!$A$2</f>
        <v>0</v>
      </c>
      <c r="L66" s="56">
        <f>(IF(Ontwerpberekening!E25="Nieuwe Situatie",(_xlfn.IFNA(VLOOKUP(Ontwerp_CO2_Totaal[[#This Row],[Product]]&amp;", "&amp;Ontwerp_CO2_Totaal[[#Headers],[B3]],Database_Productkaarten[#All],18,FALSE),0)*Ontwerpberekening!J25),0))/Ontwerpberekening!$A$2</f>
        <v>0</v>
      </c>
      <c r="M66" s="56">
        <f>(IF(Ontwerpberekening!E25="Nieuwe Situatie",(SUM(Ontwerp_CO2_Totaal[[#This Row],[A1]:[B1]],Ontwerp_CO2_Totaal[[#This Row],[C1]:[D2]])*Ontwerpberekening!T25),0))</f>
        <v>0</v>
      </c>
      <c r="N66" s="56">
        <f>(IF(Ontwerpberekening!E25="Bestaande Situatie",(_xlfn.IFNA(VLOOKUP(Ontwerp_CO2_Totaal[[#This Row],[Product]]&amp;", "&amp;Ontwerp_CO2_Totaal[[#Headers],[C1]],Database_Productkaarten[#All],18,FALSE),0)*Ontwerpberekening!J25),0))/Ontwerpberekening!$A$2</f>
        <v>11.6425</v>
      </c>
      <c r="O66" s="56">
        <f>(IF(Ontwerpberekening!E25="Bestaande Situatie",(_xlfn.IFNA(VLOOKUP(Ontwerp_CO2_Totaal[[#This Row],[Product]]&amp;", "&amp;Ontwerp_CO2_Totaal[[#Headers],[C2]],Database_Productkaarten[#All],18,FALSE),0)*Ontwerpberekening!R25),0))/Ontwerpberekening!$A$2</f>
        <v>240</v>
      </c>
      <c r="P66" s="56">
        <f>(IF(Ontwerpberekening!E25="Bestaande Situatie",(_xlfn.IFNA(VLOOKUP(Ontwerp_CO2_Totaal[[#This Row],[Product]]&amp;", "&amp;Ontwerp_CO2_Totaal[[#Headers],[C3]],Database_Productkaarten[#All],18,FALSE),0)*Ontwerpberekening!J25),0))/Ontwerpberekening!$A$2</f>
        <v>0</v>
      </c>
      <c r="Q66" s="56">
        <f>(IF(Ontwerpberekening!E25="Bestaande Situatie",(_xlfn.IFNA(VLOOKUP(Ontwerp_CO2_Totaal[[#This Row],[Product]]&amp;", "&amp;Ontwerp_CO2_Totaal[[#Headers],[C4]],Database_Productkaarten[#All],18,FALSE),0)*Ontwerpberekening!J25),0))/Ontwerpberekening!$A$2</f>
        <v>2</v>
      </c>
      <c r="R66" s="56">
        <f>(IF(Ontwerpberekening!E25="Bestaande Situatie",(_xlfn.IFNA(VLOOKUP(Ontwerp_CO2_Totaal[[#This Row],[Product]]&amp;", "&amp;Ontwerp_CO2_Totaal[[#Headers],[D1]],Database_Productkaarten[#All],18,FALSE),0)*Ontwerpberekening!J25),0))/Ontwerpberekening!$A$2</f>
        <v>0</v>
      </c>
      <c r="S66" s="57">
        <f>(IF(Ontwerpberekening!E25="Bestaande Situatie",(_xlfn.IFNA(VLOOKUP(Ontwerp_CO2_Totaal[[#This Row],[Product]]&amp;", "&amp;Ontwerp_CO2_Totaal[[#Headers],[D2]],Database_Productkaarten[#All],18,FALSE),0)*Ontwerpberekening!J25),0))/Ontwerpberekening!$A$2</f>
        <v>0</v>
      </c>
      <c r="T66" s="57">
        <f>(IF(Ontwerpberekening!E25="Bestaande Situatie",(_xlfn.IFNA(VLOOKUP(Ontwerp_CO2_Totaal[[#This Row],[Product]]&amp;", "&amp;Ontwerp_CO2_Totaal[[#Headers],[D]],Database_Productkaarten[#All],18,FALSE),0)*Ontwerpberekening!J25),0))/Ontwerpberekening!$A$2</f>
        <v>-155.75</v>
      </c>
      <c r="U66" s="56">
        <f>SUM(Ontwerp_CO2_Totaal[[#This Row],[A1-A3]:[C4]])+Ontwerp_CO2_Totaal[[#This Row],[D]]</f>
        <v>97.892500000000013</v>
      </c>
    </row>
    <row r="67" spans="2:21">
      <c r="B67" s="31" t="str">
        <f>Ontwerpberekening!B26</f>
        <v>Plastic kratten</v>
      </c>
      <c r="C67" s="31" t="str">
        <f>Ontwerpberekening!C26</f>
        <v>Toplaag</v>
      </c>
      <c r="D67" s="1" t="str">
        <f>Ontwerpberekening!G26</f>
        <v>Betonstraatsteen 210x105x80</v>
      </c>
      <c r="E67" s="56">
        <f>(IF(Ontwerpberekening!E26="Nieuwe Situatie",(_xlfn.IFNA(VLOOKUP(Ontwerp_CO2_Totaal[[#This Row],[Product]]&amp;", "&amp;Ontwerp_CO2_Totaal[[#Headers],[A1]],Database_Productkaarten[#All],18,FALSE),0)*Ontwerpberekening!J26),0))/Ontwerpberekening!$A$2</f>
        <v>0</v>
      </c>
      <c r="F67" s="56">
        <f>(IF(Ontwerpberekening!E26="Nieuwe Situatie",(_xlfn.IFNA(VLOOKUP(Ontwerp_CO2_Totaal[[#This Row],[Product]]&amp;", "&amp;Ontwerp_CO2_Totaal[[#Headers],[A2]],Database_Productkaarten[#All],18,FALSE),0)*Ontwerpberekening!J26),0))/Ontwerpberekening!$A$2</f>
        <v>0</v>
      </c>
      <c r="G67" s="56">
        <f>(IF(Ontwerpberekening!E26="Nieuwe Situatie",(_xlfn.IFNA(VLOOKUP(Ontwerp_CO2_Totaal[[#This Row],[Product]]&amp;", "&amp;Ontwerp_CO2_Totaal[[#Headers],[A3]],Database_Productkaarten[#All],18,FALSE),0)*Ontwerpberekening!J26),0))/Ontwerpberekening!$A$2</f>
        <v>0</v>
      </c>
      <c r="H67" s="56">
        <f>(IF(Ontwerpberekening!E26="Nieuwe Situatie",(_xlfn.IFNA(VLOOKUP(Ontwerp_CO2_Totaal[[#This Row],[Product]]&amp;", "&amp;Ontwerp_CO2_Totaal[[#Headers],[A1-A3]],Database_Productkaarten[#All],18,FALSE),0)*Ontwerpberekening!J26),0))/Ontwerpberekening!$A$2</f>
        <v>0</v>
      </c>
      <c r="I67" s="56">
        <f>(IF(Ontwerpberekening!E26="Nieuwe Situatie",(_xlfn.IFNA(VLOOKUP(Ontwerp_CO2_Totaal[[#This Row],[Product]]&amp;", "&amp;Ontwerp_CO2_Totaal[[#Headers],[A4]],Database_Productkaarten[#All],18,FALSE),0)*Ontwerpberekening!R26),0))/Ontwerpberekening!$A$2</f>
        <v>0</v>
      </c>
      <c r="J67" s="56">
        <f>(IF(Ontwerpberekening!E26="Nieuwe Situatie",(_xlfn.IFNA(VLOOKUP(Ontwerp_CO2_Totaal[[#This Row],[Product]]&amp;", "&amp;Ontwerp_CO2_Totaal[[#Headers],[A5]],Database_Productkaarten[#All],18,FALSE),0)*Ontwerpberekening!J26),0))/Ontwerpberekening!$A$2</f>
        <v>0</v>
      </c>
      <c r="K67" s="56">
        <f>(IF(Ontwerpberekening!E26="Nieuwe Situatie",(_xlfn.IFNA(VLOOKUP(Ontwerp_CO2_Totaal[[#This Row],[Product]]&amp;", "&amp;Ontwerp_CO2_Totaal[[#Headers],[B1]],Database_Productkaarten[#All],18,FALSE),0)*Ontwerpberekening!J26),0))/Ontwerpberekening!$A$2</f>
        <v>0</v>
      </c>
      <c r="L67" s="56">
        <f>(IF(Ontwerpberekening!E26="Nieuwe Situatie",(_xlfn.IFNA(VLOOKUP(Ontwerp_CO2_Totaal[[#This Row],[Product]]&amp;", "&amp;Ontwerp_CO2_Totaal[[#Headers],[B3]],Database_Productkaarten[#All],18,FALSE),0)*Ontwerpberekening!J26),0))/Ontwerpberekening!$A$2</f>
        <v>0</v>
      </c>
      <c r="M67" s="56">
        <f>(IF(Ontwerpberekening!E26="Nieuwe Situatie",(SUM(Ontwerp_CO2_Totaal[[#This Row],[A1]:[B1]],Ontwerp_CO2_Totaal[[#This Row],[C1]:[D2]])*Ontwerpberekening!T26),0))</f>
        <v>0</v>
      </c>
      <c r="N67" s="56">
        <f>(IF(Ontwerpberekening!E26="Bestaande Situatie",(_xlfn.IFNA(VLOOKUP(Ontwerp_CO2_Totaal[[#This Row],[Product]]&amp;", "&amp;Ontwerp_CO2_Totaal[[#Headers],[C1]],Database_Productkaarten[#All],18,FALSE),0)*Ontwerpberekening!J26),0))/Ontwerpberekening!$A$2</f>
        <v>297.4864</v>
      </c>
      <c r="O67" s="56">
        <f>(IF(Ontwerpberekening!E26="Bestaande Situatie",(_xlfn.IFNA(VLOOKUP(Ontwerp_CO2_Totaal[[#This Row],[Product]]&amp;", "&amp;Ontwerp_CO2_Totaal[[#Headers],[C2]],Database_Productkaarten[#All],18,FALSE),0)*Ontwerpberekening!R26),0))/Ontwerpberekening!$A$2</f>
        <v>107.25855680000001</v>
      </c>
      <c r="P67" s="56">
        <f>(IF(Ontwerpberekening!E26="Bestaande Situatie",(_xlfn.IFNA(VLOOKUP(Ontwerp_CO2_Totaal[[#This Row],[Product]]&amp;", "&amp;Ontwerp_CO2_Totaal[[#Headers],[C3]],Database_Productkaarten[#All],18,FALSE),0)*Ontwerpberekening!J26),0))/Ontwerpberekening!$A$2</f>
        <v>141.82248000000001</v>
      </c>
      <c r="Q67" s="56">
        <f>(IF(Ontwerpberekening!E26="Bestaande Situatie",(_xlfn.IFNA(VLOOKUP(Ontwerp_CO2_Totaal[[#This Row],[Product]]&amp;", "&amp;Ontwerp_CO2_Totaal[[#Headers],[C4]],Database_Productkaarten[#All],18,FALSE),0)*Ontwerpberekening!J26),0))/Ontwerpberekening!$A$2</f>
        <v>4.7972408</v>
      </c>
      <c r="R67" s="56">
        <f>(IF(Ontwerpberekening!E26="Bestaande Situatie",(_xlfn.IFNA(VLOOKUP(Ontwerp_CO2_Totaal[[#This Row],[Product]]&amp;", "&amp;Ontwerp_CO2_Totaal[[#Headers],[D1]],Database_Productkaarten[#All],18,FALSE),0)*Ontwerpberekening!J26),0))/Ontwerpberekening!$A$2</f>
        <v>0</v>
      </c>
      <c r="S67" s="57">
        <f>(IF(Ontwerpberekening!E26="Bestaande Situatie",(_xlfn.IFNA(VLOOKUP(Ontwerp_CO2_Totaal[[#This Row],[Product]]&amp;", "&amp;Ontwerp_CO2_Totaal[[#Headers],[D2]],Database_Productkaarten[#All],18,FALSE),0)*Ontwerpberekening!J26),0))/Ontwerpberekening!$A$2</f>
        <v>0</v>
      </c>
      <c r="T67" s="57">
        <f>(IF(Ontwerpberekening!E26="Bestaande Situatie",(_xlfn.IFNA(VLOOKUP(Ontwerp_CO2_Totaal[[#This Row],[Product]]&amp;", "&amp;Ontwerp_CO2_Totaal[[#Headers],[D]],Database_Productkaarten[#All],18,FALSE),0)*Ontwerpberekening!J26),0))/Ontwerpberekening!$A$2</f>
        <v>-389.04024500000003</v>
      </c>
      <c r="U67" s="56">
        <f>SUM(Ontwerp_CO2_Totaal[[#This Row],[A1-A3]:[C4]])+Ontwerp_CO2_Totaal[[#This Row],[D]]</f>
        <v>162.32443260000002</v>
      </c>
    </row>
    <row r="68" spans="2:21">
      <c r="B68" s="31" t="str">
        <f>Ontwerpberekening!B27</f>
        <v>Rockwool</v>
      </c>
      <c r="C68" s="31" t="str">
        <f>Ontwerpberekening!C27</f>
        <v>Grondontgraving</v>
      </c>
      <c r="D68" s="1" t="str">
        <f>Ontwerpberekening!G27</f>
        <v>Ophoogmateriaal (Grond)</v>
      </c>
      <c r="E68" s="56">
        <f>(IF(Ontwerpberekening!E27="Nieuwe Situatie",(_xlfn.IFNA(VLOOKUP(Ontwerp_CO2_Totaal[[#This Row],[Product]]&amp;", "&amp;Ontwerp_CO2_Totaal[[#Headers],[A1]],Database_Productkaarten[#All],18,FALSE),0)*Ontwerpberekening!J27),0))/Ontwerpberekening!$A$2</f>
        <v>0</v>
      </c>
      <c r="F68" s="56">
        <f>(IF(Ontwerpberekening!E27="Nieuwe Situatie",(_xlfn.IFNA(VLOOKUP(Ontwerp_CO2_Totaal[[#This Row],[Product]]&amp;", "&amp;Ontwerp_CO2_Totaal[[#Headers],[A2]],Database_Productkaarten[#All],18,FALSE),0)*Ontwerpberekening!J27),0))/Ontwerpberekening!$A$2</f>
        <v>0</v>
      </c>
      <c r="G68" s="56">
        <f>(IF(Ontwerpberekening!E27="Nieuwe Situatie",(_xlfn.IFNA(VLOOKUP(Ontwerp_CO2_Totaal[[#This Row],[Product]]&amp;", "&amp;Ontwerp_CO2_Totaal[[#Headers],[A3]],Database_Productkaarten[#All],18,FALSE),0)*Ontwerpberekening!J27),0))/Ontwerpberekening!$A$2</f>
        <v>0</v>
      </c>
      <c r="H68" s="56">
        <f>(IF(Ontwerpberekening!E27="Nieuwe Situatie",(_xlfn.IFNA(VLOOKUP(Ontwerp_CO2_Totaal[[#This Row],[Product]]&amp;", "&amp;Ontwerp_CO2_Totaal[[#Headers],[A1-A3]],Database_Productkaarten[#All],18,FALSE),0)*Ontwerpberekening!J27),0))/Ontwerpberekening!$A$2</f>
        <v>0</v>
      </c>
      <c r="I68" s="56">
        <f>(IF(Ontwerpberekening!E27="Nieuwe Situatie",(_xlfn.IFNA(VLOOKUP(Ontwerp_CO2_Totaal[[#This Row],[Product]]&amp;", "&amp;Ontwerp_CO2_Totaal[[#Headers],[A4]],Database_Productkaarten[#All],18,FALSE),0)*Ontwerpberekening!R27),0))/Ontwerpberekening!$A$2</f>
        <v>0</v>
      </c>
      <c r="J68" s="56">
        <f>(IF(Ontwerpberekening!E27="Nieuwe Situatie",(_xlfn.IFNA(VLOOKUP(Ontwerp_CO2_Totaal[[#This Row],[Product]]&amp;", "&amp;Ontwerp_CO2_Totaal[[#Headers],[A5]],Database_Productkaarten[#All],18,FALSE),0)*Ontwerpberekening!J27),0))/Ontwerpberekening!$A$2</f>
        <v>0</v>
      </c>
      <c r="K68" s="56">
        <f>(IF(Ontwerpberekening!E27="Nieuwe Situatie",(_xlfn.IFNA(VLOOKUP(Ontwerp_CO2_Totaal[[#This Row],[Product]]&amp;", "&amp;Ontwerp_CO2_Totaal[[#Headers],[B1]],Database_Productkaarten[#All],18,FALSE),0)*Ontwerpberekening!J27),0))/Ontwerpberekening!$A$2</f>
        <v>0</v>
      </c>
      <c r="L68" s="56">
        <f>(IF(Ontwerpberekening!E27="Nieuwe Situatie",(_xlfn.IFNA(VLOOKUP(Ontwerp_CO2_Totaal[[#This Row],[Product]]&amp;", "&amp;Ontwerp_CO2_Totaal[[#Headers],[B3]],Database_Productkaarten[#All],18,FALSE),0)*Ontwerpberekening!J27),0))/Ontwerpberekening!$A$2</f>
        <v>0</v>
      </c>
      <c r="M68" s="56">
        <f>(IF(Ontwerpberekening!E27="Nieuwe Situatie",(SUM(Ontwerp_CO2_Totaal[[#This Row],[A1]:[B1]],Ontwerp_CO2_Totaal[[#This Row],[C1]:[D2]])*Ontwerpberekening!T27),0))</f>
        <v>0</v>
      </c>
      <c r="N68" s="56">
        <f>(IF(Ontwerpberekening!E27="Bestaande Situatie",(_xlfn.IFNA(VLOOKUP(Ontwerp_CO2_Totaal[[#This Row],[Product]]&amp;", "&amp;Ontwerp_CO2_Totaal[[#Headers],[C1]],Database_Productkaarten[#All],18,FALSE),0)*Ontwerpberekening!J27),0))/Ontwerpberekening!$A$2</f>
        <v>380.32242731000002</v>
      </c>
      <c r="O68" s="56">
        <f>(IF(Ontwerpberekening!E27="Bestaande Situatie",(_xlfn.IFNA(VLOOKUP(Ontwerp_CO2_Totaal[[#This Row],[Product]]&amp;", "&amp;Ontwerp_CO2_Totaal[[#Headers],[C2]],Database_Productkaarten[#All],18,FALSE),0)*Ontwerpberekening!R27),0))/Ontwerpberekening!$A$2</f>
        <v>5518.0124999999998</v>
      </c>
      <c r="P68" s="56">
        <f>(IF(Ontwerpberekening!E27="Bestaande Situatie",(_xlfn.IFNA(VLOOKUP(Ontwerp_CO2_Totaal[[#This Row],[Product]]&amp;", "&amp;Ontwerp_CO2_Totaal[[#Headers],[C3]],Database_Productkaarten[#All],18,FALSE),0)*Ontwerpberekening!J27),0))/Ontwerpberekening!$A$2</f>
        <v>0</v>
      </c>
      <c r="Q68" s="56">
        <f>(IF(Ontwerpberekening!E27="Bestaande Situatie",(_xlfn.IFNA(VLOOKUP(Ontwerp_CO2_Totaal[[#This Row],[Product]]&amp;", "&amp;Ontwerp_CO2_Totaal[[#Headers],[C4]],Database_Productkaarten[#All],18,FALSE),0)*Ontwerpberekening!J27),0))/Ontwerpberekening!$A$2</f>
        <v>44.1</v>
      </c>
      <c r="R68" s="56">
        <f>(IF(Ontwerpberekening!E27="Bestaande Situatie",(_xlfn.IFNA(VLOOKUP(Ontwerp_CO2_Totaal[[#This Row],[Product]]&amp;", "&amp;Ontwerp_CO2_Totaal[[#Headers],[D1]],Database_Productkaarten[#All],18,FALSE),0)*Ontwerpberekening!J27),0))/Ontwerpberekening!$A$2</f>
        <v>0</v>
      </c>
      <c r="S68" s="57">
        <f>(IF(Ontwerpberekening!E27="Bestaande Situatie",(_xlfn.IFNA(VLOOKUP(Ontwerp_CO2_Totaal[[#This Row],[Product]]&amp;", "&amp;Ontwerp_CO2_Totaal[[#Headers],[D2]],Database_Productkaarten[#All],18,FALSE),0)*Ontwerpberekening!J27),0))/Ontwerpberekening!$A$2</f>
        <v>0</v>
      </c>
      <c r="T68" s="57">
        <f>(IF(Ontwerpberekening!E27="Bestaande Situatie",(_xlfn.IFNA(VLOOKUP(Ontwerp_CO2_Totaal[[#This Row],[Product]]&amp;", "&amp;Ontwerp_CO2_Totaal[[#Headers],[D]],Database_Productkaarten[#All],18,FALSE),0)*Ontwerpberekening!J27),0))/Ontwerpberekening!$A$2</f>
        <v>0</v>
      </c>
      <c r="U68" s="56">
        <f>SUM(Ontwerp_CO2_Totaal[[#This Row],[A1-A3]:[C4]])+Ontwerp_CO2_Totaal[[#This Row],[D]]</f>
        <v>5942.4349273100006</v>
      </c>
    </row>
    <row r="69" spans="2:21">
      <c r="B69" s="31" t="str">
        <f>Ontwerpberekening!B28</f>
        <v>Rockwool</v>
      </c>
      <c r="C69" s="31" t="str">
        <f>Ontwerpberekening!C28</f>
        <v>Grondverbetering</v>
      </c>
      <c r="D69" s="1" t="str">
        <f>Ontwerpberekening!G28</f>
        <v>Ophoogmateriaal (Zand)</v>
      </c>
      <c r="E69" s="56">
        <f>(IF(Ontwerpberekening!E28="Nieuwe Situatie",(_xlfn.IFNA(VLOOKUP(Ontwerp_CO2_Totaal[[#This Row],[Product]]&amp;", "&amp;Ontwerp_CO2_Totaal[[#Headers],[A1]],Database_Productkaarten[#All],18,FALSE),0)*Ontwerpberekening!J28),0))/Ontwerpberekening!$A$2</f>
        <v>0</v>
      </c>
      <c r="F69" s="56">
        <f>(IF(Ontwerpberekening!E28="Nieuwe Situatie",(_xlfn.IFNA(VLOOKUP(Ontwerp_CO2_Totaal[[#This Row],[Product]]&amp;", "&amp;Ontwerp_CO2_Totaal[[#Headers],[A2]],Database_Productkaarten[#All],18,FALSE),0)*Ontwerpberekening!J28),0))/Ontwerpberekening!$A$2</f>
        <v>0</v>
      </c>
      <c r="G69" s="56">
        <f>(IF(Ontwerpberekening!E28="Nieuwe Situatie",(_xlfn.IFNA(VLOOKUP(Ontwerp_CO2_Totaal[[#This Row],[Product]]&amp;", "&amp;Ontwerp_CO2_Totaal[[#Headers],[A3]],Database_Productkaarten[#All],18,FALSE),0)*Ontwerpberekening!J28),0))/Ontwerpberekening!$A$2</f>
        <v>0</v>
      </c>
      <c r="H69" s="56">
        <f>(IF(Ontwerpberekening!E28="Nieuwe Situatie",(_xlfn.IFNA(VLOOKUP(Ontwerp_CO2_Totaal[[#This Row],[Product]]&amp;", "&amp;Ontwerp_CO2_Totaal[[#Headers],[A1-A3]],Database_Productkaarten[#All],18,FALSE),0)*Ontwerpberekening!J28),0))/Ontwerpberekening!$A$2</f>
        <v>440.00000000000006</v>
      </c>
      <c r="I69" s="56">
        <f>(IF(Ontwerpberekening!E28="Nieuwe Situatie",(_xlfn.IFNA(VLOOKUP(Ontwerp_CO2_Totaal[[#This Row],[Product]]&amp;", "&amp;Ontwerp_CO2_Totaal[[#Headers],[A4]],Database_Productkaarten[#All],18,FALSE),0)*Ontwerpberekening!R28),0))/Ontwerpberekening!$A$2</f>
        <v>237.75</v>
      </c>
      <c r="J69" s="56">
        <f>(IF(Ontwerpberekening!E28="Nieuwe Situatie",(_xlfn.IFNA(VLOOKUP(Ontwerp_CO2_Totaal[[#This Row],[Product]]&amp;", "&amp;Ontwerp_CO2_Totaal[[#Headers],[A5]],Database_Productkaarten[#All],18,FALSE),0)*Ontwerpberekening!J28),0))/Ontwerpberekening!$A$2</f>
        <v>62.211249999999993</v>
      </c>
      <c r="K69" s="56">
        <f>(IF(Ontwerpberekening!E28="Nieuwe Situatie",(_xlfn.IFNA(VLOOKUP(Ontwerp_CO2_Totaal[[#This Row],[Product]]&amp;", "&amp;Ontwerp_CO2_Totaal[[#Headers],[B1]],Database_Productkaarten[#All],18,FALSE),0)*Ontwerpberekening!J28),0))/Ontwerpberekening!$A$2</f>
        <v>0</v>
      </c>
      <c r="L69" s="56">
        <f>(IF(Ontwerpberekening!E28="Nieuwe Situatie",(_xlfn.IFNA(VLOOKUP(Ontwerp_CO2_Totaal[[#This Row],[Product]]&amp;", "&amp;Ontwerp_CO2_Totaal[[#Headers],[B3]],Database_Productkaarten[#All],18,FALSE),0)*Ontwerpberekening!J28),0))/Ontwerpberekening!$A$2</f>
        <v>0</v>
      </c>
      <c r="M69" s="56">
        <f>(IF(Ontwerpberekening!E28="Nieuwe Situatie",(SUM(Ontwerp_CO2_Totaal[[#This Row],[A1]:[B1]],Ontwerp_CO2_Totaal[[#This Row],[C1]:[D2]])*Ontwerpberekening!T28),0))</f>
        <v>0</v>
      </c>
      <c r="N69" s="56">
        <f>(IF(Ontwerpberekening!E28="Bestaande Situatie",(_xlfn.IFNA(VLOOKUP(Ontwerp_CO2_Totaal[[#This Row],[Product]]&amp;", "&amp;Ontwerp_CO2_Totaal[[#Headers],[C1]],Database_Productkaarten[#All],18,FALSE),0)*Ontwerpberekening!J28),0))/Ontwerpberekening!$A$2</f>
        <v>0</v>
      </c>
      <c r="O69" s="56">
        <f>(IF(Ontwerpberekening!E28="Bestaande Situatie",(_xlfn.IFNA(VLOOKUP(Ontwerp_CO2_Totaal[[#This Row],[Product]]&amp;", "&amp;Ontwerp_CO2_Totaal[[#Headers],[C2]],Database_Productkaarten[#All],18,FALSE),0)*Ontwerpberekening!R28),0))/Ontwerpberekening!$A$2</f>
        <v>0</v>
      </c>
      <c r="P69" s="56">
        <f>(IF(Ontwerpberekening!E28="Bestaande Situatie",(_xlfn.IFNA(VLOOKUP(Ontwerp_CO2_Totaal[[#This Row],[Product]]&amp;", "&amp;Ontwerp_CO2_Totaal[[#Headers],[C3]],Database_Productkaarten[#All],18,FALSE),0)*Ontwerpberekening!J28),0))/Ontwerpberekening!$A$2</f>
        <v>0</v>
      </c>
      <c r="Q69" s="56">
        <f>(IF(Ontwerpberekening!E28="Bestaande Situatie",(_xlfn.IFNA(VLOOKUP(Ontwerp_CO2_Totaal[[#This Row],[Product]]&amp;", "&amp;Ontwerp_CO2_Totaal[[#Headers],[C4]],Database_Productkaarten[#All],18,FALSE),0)*Ontwerpberekening!J28),0))/Ontwerpberekening!$A$2</f>
        <v>0</v>
      </c>
      <c r="R69" s="56">
        <f>(IF(Ontwerpberekening!E28="Bestaande Situatie",(_xlfn.IFNA(VLOOKUP(Ontwerp_CO2_Totaal[[#This Row],[Product]]&amp;", "&amp;Ontwerp_CO2_Totaal[[#Headers],[D1]],Database_Productkaarten[#All],18,FALSE),0)*Ontwerpberekening!J28),0))/Ontwerpberekening!$A$2</f>
        <v>0</v>
      </c>
      <c r="S69" s="57">
        <f>(IF(Ontwerpberekening!E28="Bestaande Situatie",(_xlfn.IFNA(VLOOKUP(Ontwerp_CO2_Totaal[[#This Row],[Product]]&amp;", "&amp;Ontwerp_CO2_Totaal[[#Headers],[D2]],Database_Productkaarten[#All],18,FALSE),0)*Ontwerpberekening!J28),0))/Ontwerpberekening!$A$2</f>
        <v>0</v>
      </c>
      <c r="T69" s="57">
        <f>(IF(Ontwerpberekening!E28="Bestaande Situatie",(_xlfn.IFNA(VLOOKUP(Ontwerp_CO2_Totaal[[#This Row],[Product]]&amp;", "&amp;Ontwerp_CO2_Totaal[[#Headers],[D]],Database_Productkaarten[#All],18,FALSE),0)*Ontwerpberekening!J28),0))/Ontwerpberekening!$A$2</f>
        <v>0</v>
      </c>
      <c r="U69" s="56">
        <f>SUM(Ontwerp_CO2_Totaal[[#This Row],[A1-A3]:[C4]])+Ontwerp_CO2_Totaal[[#This Row],[D]]</f>
        <v>739.96124999999995</v>
      </c>
    </row>
    <row r="70" spans="2:21">
      <c r="B70" s="31" t="str">
        <f>Ontwerpberekening!B29</f>
        <v>Rockwool</v>
      </c>
      <c r="C70" s="31" t="str">
        <f>Ontwerpberekening!C29</f>
        <v>Waterbergendelaag</v>
      </c>
      <c r="D70" s="1" t="str">
        <f>Ontwerpberekening!G29</f>
        <v>Rockwool, 50 cm</v>
      </c>
      <c r="E70" s="56">
        <f>(IF(Ontwerpberekening!E29="Nieuwe Situatie",(_xlfn.IFNA(VLOOKUP(Ontwerp_CO2_Totaal[[#This Row],[Product]]&amp;", "&amp;Ontwerp_CO2_Totaal[[#Headers],[A1]],Database_Productkaarten[#All],18,FALSE),0)*Ontwerpberekening!J29),0))/Ontwerpberekening!$A$2</f>
        <v>0</v>
      </c>
      <c r="F70" s="56">
        <f>(IF(Ontwerpberekening!E29="Nieuwe Situatie",(_xlfn.IFNA(VLOOKUP(Ontwerp_CO2_Totaal[[#This Row],[Product]]&amp;", "&amp;Ontwerp_CO2_Totaal[[#Headers],[A2]],Database_Productkaarten[#All],18,FALSE),0)*Ontwerpberekening!J29),0))/Ontwerpberekening!$A$2</f>
        <v>0</v>
      </c>
      <c r="G70" s="56">
        <f>(IF(Ontwerpberekening!E29="Nieuwe Situatie",(_xlfn.IFNA(VLOOKUP(Ontwerp_CO2_Totaal[[#This Row],[Product]]&amp;", "&amp;Ontwerp_CO2_Totaal[[#Headers],[A3]],Database_Productkaarten[#All],18,FALSE),0)*Ontwerpberekening!J29),0))/Ontwerpberekening!$A$2</f>
        <v>0</v>
      </c>
      <c r="H70" s="56">
        <f>(IF(Ontwerpberekening!E29="Nieuwe Situatie",(_xlfn.IFNA(VLOOKUP(Ontwerp_CO2_Totaal[[#This Row],[Product]]&amp;", "&amp;Ontwerp_CO2_Totaal[[#Headers],[A1-A3]],Database_Productkaarten[#All],18,FALSE),0)*Ontwerpberekening!J29),0))/Ontwerpberekening!$A$2</f>
        <v>0</v>
      </c>
      <c r="I70" s="56">
        <f>(IF(Ontwerpberekening!E29="Nieuwe Situatie",(_xlfn.IFNA(VLOOKUP(Ontwerp_CO2_Totaal[[#This Row],[Product]]&amp;", "&amp;Ontwerp_CO2_Totaal[[#Headers],[A4]],Database_Productkaarten[#All],18,FALSE),0)*Ontwerpberekening!R29),0))/Ontwerpberekening!$A$2</f>
        <v>0</v>
      </c>
      <c r="J70" s="56">
        <f>(IF(Ontwerpberekening!E29="Nieuwe Situatie",(_xlfn.IFNA(VLOOKUP(Ontwerp_CO2_Totaal[[#This Row],[Product]]&amp;", "&amp;Ontwerp_CO2_Totaal[[#Headers],[A5]],Database_Productkaarten[#All],18,FALSE),0)*Ontwerpberekening!J29),0))/Ontwerpberekening!$A$2</f>
        <v>0</v>
      </c>
      <c r="K70" s="56">
        <f>(IF(Ontwerpberekening!E29="Nieuwe Situatie",(_xlfn.IFNA(VLOOKUP(Ontwerp_CO2_Totaal[[#This Row],[Product]]&amp;", "&amp;Ontwerp_CO2_Totaal[[#Headers],[B1]],Database_Productkaarten[#All],18,FALSE),0)*Ontwerpberekening!J29),0))/Ontwerpberekening!$A$2</f>
        <v>0</v>
      </c>
      <c r="L70" s="56">
        <f>(IF(Ontwerpberekening!E29="Nieuwe Situatie",(_xlfn.IFNA(VLOOKUP(Ontwerp_CO2_Totaal[[#This Row],[Product]]&amp;", "&amp;Ontwerp_CO2_Totaal[[#Headers],[B3]],Database_Productkaarten[#All],18,FALSE),0)*Ontwerpberekening!J29),0))/Ontwerpberekening!$A$2</f>
        <v>0</v>
      </c>
      <c r="M70" s="56">
        <f>(IF(Ontwerpberekening!E29="Nieuwe Situatie",(SUM(Ontwerp_CO2_Totaal[[#This Row],[A1]:[B1]],Ontwerp_CO2_Totaal[[#This Row],[C1]:[D2]])*Ontwerpberekening!T29),0))</f>
        <v>0</v>
      </c>
      <c r="N70" s="56">
        <f>(IF(Ontwerpberekening!E29="Bestaande Situatie",(_xlfn.IFNA(VLOOKUP(Ontwerp_CO2_Totaal[[#This Row],[Product]]&amp;", "&amp;Ontwerp_CO2_Totaal[[#Headers],[C1]],Database_Productkaarten[#All],18,FALSE),0)*Ontwerpberekening!J29),0))/Ontwerpberekening!$A$2</f>
        <v>0</v>
      </c>
      <c r="O70" s="56">
        <f>(IF(Ontwerpberekening!E29="Bestaande Situatie",(_xlfn.IFNA(VLOOKUP(Ontwerp_CO2_Totaal[[#This Row],[Product]]&amp;", "&amp;Ontwerp_CO2_Totaal[[#Headers],[C2]],Database_Productkaarten[#All],18,FALSE),0)*Ontwerpberekening!R29),0))/Ontwerpberekening!$A$2</f>
        <v>0</v>
      </c>
      <c r="P70" s="56">
        <f>(IF(Ontwerpberekening!E29="Bestaande Situatie",(_xlfn.IFNA(VLOOKUP(Ontwerp_CO2_Totaal[[#This Row],[Product]]&amp;", "&amp;Ontwerp_CO2_Totaal[[#Headers],[C3]],Database_Productkaarten[#All],18,FALSE),0)*Ontwerpberekening!J29),0))/Ontwerpberekening!$A$2</f>
        <v>0</v>
      </c>
      <c r="Q70" s="56">
        <f>(IF(Ontwerpberekening!E29="Bestaande Situatie",(_xlfn.IFNA(VLOOKUP(Ontwerp_CO2_Totaal[[#This Row],[Product]]&amp;", "&amp;Ontwerp_CO2_Totaal[[#Headers],[C4]],Database_Productkaarten[#All],18,FALSE),0)*Ontwerpberekening!J29),0))/Ontwerpberekening!$A$2</f>
        <v>0</v>
      </c>
      <c r="R70" s="56">
        <f>(IF(Ontwerpberekening!E29="Bestaande Situatie",(_xlfn.IFNA(VLOOKUP(Ontwerp_CO2_Totaal[[#This Row],[Product]]&amp;", "&amp;Ontwerp_CO2_Totaal[[#Headers],[D1]],Database_Productkaarten[#All],18,FALSE),0)*Ontwerpberekening!J29),0))/Ontwerpberekening!$A$2</f>
        <v>0</v>
      </c>
      <c r="S70" s="56">
        <f>(IF(Ontwerpberekening!E29="Bestaande Situatie",(_xlfn.IFNA(VLOOKUP(Ontwerp_CO2_Totaal[[#This Row],[Product]]&amp;", "&amp;Ontwerp_CO2_Totaal[[#Headers],[D2]],Database_Productkaarten[#All],18,FALSE),0)*Ontwerpberekening!J29),0))/Ontwerpberekening!$A$2</f>
        <v>0</v>
      </c>
      <c r="T70" s="56">
        <f>(IF(Ontwerpberekening!E29="Bestaande Situatie",(_xlfn.IFNA(VLOOKUP(Ontwerp_CO2_Totaal[[#This Row],[Product]]&amp;", "&amp;Ontwerp_CO2_Totaal[[#Headers],[D]],Database_Productkaarten[#All],18,FALSE),0)*Ontwerpberekening!J29),0))/Ontwerpberekening!$A$2</f>
        <v>0</v>
      </c>
      <c r="U70" s="56">
        <f>SUM(Ontwerp_CO2_Totaal[[#This Row],[A1-A3]:[C4]])+Ontwerp_CO2_Totaal[[#This Row],[D]]</f>
        <v>0</v>
      </c>
    </row>
    <row r="71" spans="2:21">
      <c r="B71" s="31" t="str">
        <f>Ontwerpberekening!B30</f>
        <v>Rockwool</v>
      </c>
      <c r="C71" s="31" t="str">
        <f>Ontwerpberekening!C30</f>
        <v>Menggranulaat</v>
      </c>
      <c r="D71" s="1" t="str">
        <f>Ontwerpberekening!G30</f>
        <v>Menggranulaat 300mm</v>
      </c>
      <c r="E71" s="56">
        <f>(IF(Ontwerpberekening!E30="Nieuwe Situatie",(_xlfn.IFNA(VLOOKUP(Ontwerp_CO2_Totaal[[#This Row],[Product]]&amp;", "&amp;Ontwerp_CO2_Totaal[[#Headers],[A1]],Database_Productkaarten[#All],18,FALSE),0)*Ontwerpberekening!J30),0))/Ontwerpberekening!$A$2</f>
        <v>0</v>
      </c>
      <c r="F71" s="56">
        <f>(IF(Ontwerpberekening!E30="Nieuwe Situatie",(_xlfn.IFNA(VLOOKUP(Ontwerp_CO2_Totaal[[#This Row],[Product]]&amp;", "&amp;Ontwerp_CO2_Totaal[[#Headers],[A2]],Database_Productkaarten[#All],18,FALSE),0)*Ontwerpberekening!J30),0))/Ontwerpberekening!$A$2</f>
        <v>0</v>
      </c>
      <c r="G71" s="56">
        <f>(IF(Ontwerpberekening!E30="Nieuwe Situatie",(_xlfn.IFNA(VLOOKUP(Ontwerp_CO2_Totaal[[#This Row],[Product]]&amp;", "&amp;Ontwerp_CO2_Totaal[[#Headers],[A3]],Database_Productkaarten[#All],18,FALSE),0)*Ontwerpberekening!J30),0))/Ontwerpberekening!$A$2</f>
        <v>0</v>
      </c>
      <c r="H71" s="56">
        <f>(IF(Ontwerpberekening!E30="Nieuwe Situatie",(_xlfn.IFNA(VLOOKUP(Ontwerp_CO2_Totaal[[#This Row],[Product]]&amp;", "&amp;Ontwerp_CO2_Totaal[[#Headers],[A1-A3]],Database_Productkaarten[#All],18,FALSE),0)*Ontwerpberekening!J30),0))/Ontwerpberekening!$A$2</f>
        <v>0</v>
      </c>
      <c r="I71" s="56">
        <f>(IF(Ontwerpberekening!E30="Nieuwe Situatie",(_xlfn.IFNA(VLOOKUP(Ontwerp_CO2_Totaal[[#This Row],[Product]]&amp;", "&amp;Ontwerp_CO2_Totaal[[#Headers],[A4]],Database_Productkaarten[#All],18,FALSE),0)*Ontwerpberekening!R30),0))/Ontwerpberekening!$A$2</f>
        <v>722.47500000000002</v>
      </c>
      <c r="J71" s="56">
        <f>(IF(Ontwerpberekening!E30="Nieuwe Situatie",(_xlfn.IFNA(VLOOKUP(Ontwerp_CO2_Totaal[[#This Row],[Product]]&amp;", "&amp;Ontwerp_CO2_Totaal[[#Headers],[A5]],Database_Productkaarten[#All],18,FALSE),0)*Ontwerpberekening!J30),0))/Ontwerpberekening!$A$2</f>
        <v>1014.9999999999999</v>
      </c>
      <c r="K71" s="56">
        <f>(IF(Ontwerpberekening!E30="Nieuwe Situatie",(_xlfn.IFNA(VLOOKUP(Ontwerp_CO2_Totaal[[#This Row],[Product]]&amp;", "&amp;Ontwerp_CO2_Totaal[[#Headers],[B1]],Database_Productkaarten[#All],18,FALSE),0)*Ontwerpberekening!J30),0))/Ontwerpberekening!$A$2</f>
        <v>0</v>
      </c>
      <c r="L71" s="56">
        <f>(IF(Ontwerpberekening!E30="Nieuwe Situatie",(_xlfn.IFNA(VLOOKUP(Ontwerp_CO2_Totaal[[#This Row],[Product]]&amp;", "&amp;Ontwerp_CO2_Totaal[[#Headers],[B3]],Database_Productkaarten[#All],18,FALSE),0)*Ontwerpberekening!J30),0))/Ontwerpberekening!$A$2</f>
        <v>0</v>
      </c>
      <c r="M71" s="56">
        <f>(IF(Ontwerpberekening!E30="Nieuwe Situatie",(SUM(Ontwerp_CO2_Totaal[[#This Row],[A1]:[B1]],Ontwerp_CO2_Totaal[[#This Row],[C1]:[D2]])*Ontwerpberekening!T30),0))</f>
        <v>0</v>
      </c>
      <c r="N71" s="56">
        <f>(IF(Ontwerpberekening!E30="Bestaande Situatie",(_xlfn.IFNA(VLOOKUP(Ontwerp_CO2_Totaal[[#This Row],[Product]]&amp;", "&amp;Ontwerp_CO2_Totaal[[#Headers],[C1]],Database_Productkaarten[#All],18,FALSE),0)*Ontwerpberekening!J30),0))/Ontwerpberekening!$A$2</f>
        <v>0</v>
      </c>
      <c r="O71" s="56">
        <f>(IF(Ontwerpberekening!E30="Bestaande Situatie",(_xlfn.IFNA(VLOOKUP(Ontwerp_CO2_Totaal[[#This Row],[Product]]&amp;", "&amp;Ontwerp_CO2_Totaal[[#Headers],[C2]],Database_Productkaarten[#All],18,FALSE),0)*Ontwerpberekening!R30),0))/Ontwerpberekening!$A$2</f>
        <v>0</v>
      </c>
      <c r="P71" s="56">
        <f>(IF(Ontwerpberekening!E30="Bestaande Situatie",(_xlfn.IFNA(VLOOKUP(Ontwerp_CO2_Totaal[[#This Row],[Product]]&amp;", "&amp;Ontwerp_CO2_Totaal[[#Headers],[C3]],Database_Productkaarten[#All],18,FALSE),0)*Ontwerpberekening!J30),0))/Ontwerpberekening!$A$2</f>
        <v>0</v>
      </c>
      <c r="Q71" s="56">
        <f>(IF(Ontwerpberekening!E30="Bestaande Situatie",(_xlfn.IFNA(VLOOKUP(Ontwerp_CO2_Totaal[[#This Row],[Product]]&amp;", "&amp;Ontwerp_CO2_Totaal[[#Headers],[C4]],Database_Productkaarten[#All],18,FALSE),0)*Ontwerpberekening!J30),0))/Ontwerpberekening!$A$2</f>
        <v>0</v>
      </c>
      <c r="R71" s="56">
        <f>(IF(Ontwerpberekening!E30="Bestaande Situatie",(_xlfn.IFNA(VLOOKUP(Ontwerp_CO2_Totaal[[#This Row],[Product]]&amp;", "&amp;Ontwerp_CO2_Totaal[[#Headers],[D1]],Database_Productkaarten[#All],18,FALSE),0)*Ontwerpberekening!J30),0))/Ontwerpberekening!$A$2</f>
        <v>0</v>
      </c>
      <c r="S71" s="57">
        <f>(IF(Ontwerpberekening!E30="Bestaande Situatie",(_xlfn.IFNA(VLOOKUP(Ontwerp_CO2_Totaal[[#This Row],[Product]]&amp;", "&amp;Ontwerp_CO2_Totaal[[#Headers],[D2]],Database_Productkaarten[#All],18,FALSE),0)*Ontwerpberekening!J30),0))/Ontwerpberekening!$A$2</f>
        <v>0</v>
      </c>
      <c r="T71" s="57">
        <f>(IF(Ontwerpberekening!E30="Bestaande Situatie",(_xlfn.IFNA(VLOOKUP(Ontwerp_CO2_Totaal[[#This Row],[Product]]&amp;", "&amp;Ontwerp_CO2_Totaal[[#Headers],[D]],Database_Productkaarten[#All],18,FALSE),0)*Ontwerpberekening!J30),0))/Ontwerpberekening!$A$2</f>
        <v>0</v>
      </c>
      <c r="U71" s="56">
        <f>SUM(Ontwerp_CO2_Totaal[[#This Row],[A1-A3]:[C4]])+Ontwerp_CO2_Totaal[[#This Row],[D]]</f>
        <v>1737.4749999999999</v>
      </c>
    </row>
    <row r="72" spans="2:21">
      <c r="B72" s="31" t="str">
        <f>Ontwerpberekening!B31</f>
        <v>Rockwool</v>
      </c>
      <c r="C72" s="31" t="str">
        <f>Ontwerpberekening!C31</f>
        <v>Straatlaag</v>
      </c>
      <c r="D72" s="1" t="str">
        <f>Ontwerpberekening!G31</f>
        <v>Ophoogmateriaal (Zand)</v>
      </c>
      <c r="E72" s="56">
        <f>(IF(Ontwerpberekening!E31="Nieuwe Situatie",(_xlfn.IFNA(VLOOKUP(Ontwerp_CO2_Totaal[[#This Row],[Product]]&amp;", "&amp;Ontwerp_CO2_Totaal[[#Headers],[A1]],Database_Productkaarten[#All],18,FALSE),0)*Ontwerpberekening!J31),0))/Ontwerpberekening!$A$2</f>
        <v>0</v>
      </c>
      <c r="F72" s="56">
        <f>(IF(Ontwerpberekening!E31="Nieuwe Situatie",(_xlfn.IFNA(VLOOKUP(Ontwerp_CO2_Totaal[[#This Row],[Product]]&amp;", "&amp;Ontwerp_CO2_Totaal[[#Headers],[A2]],Database_Productkaarten[#All],18,FALSE),0)*Ontwerpberekening!J31),0))/Ontwerpberekening!$A$2</f>
        <v>0</v>
      </c>
      <c r="G72" s="56">
        <f>(IF(Ontwerpberekening!E31="Nieuwe Situatie",(_xlfn.IFNA(VLOOKUP(Ontwerp_CO2_Totaal[[#This Row],[Product]]&amp;", "&amp;Ontwerp_CO2_Totaal[[#Headers],[A3]],Database_Productkaarten[#All],18,FALSE),0)*Ontwerpberekening!J31),0))/Ontwerpberekening!$A$2</f>
        <v>0</v>
      </c>
      <c r="H72" s="56">
        <f>(IF(Ontwerpberekening!E31="Nieuwe Situatie",(_xlfn.IFNA(VLOOKUP(Ontwerp_CO2_Totaal[[#This Row],[Product]]&amp;", "&amp;Ontwerp_CO2_Totaal[[#Headers],[A1-A3]],Database_Productkaarten[#All],18,FALSE),0)*Ontwerpberekening!J31),0))/Ontwerpberekening!$A$2</f>
        <v>440.00000000000006</v>
      </c>
      <c r="I72" s="56">
        <f>(IF(Ontwerpberekening!E31="Nieuwe Situatie",(_xlfn.IFNA(VLOOKUP(Ontwerp_CO2_Totaal[[#This Row],[Product]]&amp;", "&amp;Ontwerp_CO2_Totaal[[#Headers],[A4]],Database_Productkaarten[#All],18,FALSE),0)*Ontwerpberekening!R31),0))/Ontwerpberekening!$A$2</f>
        <v>237.75</v>
      </c>
      <c r="J72" s="56">
        <f>(IF(Ontwerpberekening!E31="Nieuwe Situatie",(_xlfn.IFNA(VLOOKUP(Ontwerp_CO2_Totaal[[#This Row],[Product]]&amp;", "&amp;Ontwerp_CO2_Totaal[[#Headers],[A5]],Database_Productkaarten[#All],18,FALSE),0)*Ontwerpberekening!J31),0))/Ontwerpberekening!$A$2</f>
        <v>62.211249999999993</v>
      </c>
      <c r="K72" s="56">
        <f>(IF(Ontwerpberekening!E31="Nieuwe Situatie",(_xlfn.IFNA(VLOOKUP(Ontwerp_CO2_Totaal[[#This Row],[Product]]&amp;", "&amp;Ontwerp_CO2_Totaal[[#Headers],[B1]],Database_Productkaarten[#All],18,FALSE),0)*Ontwerpberekening!J31),0))/Ontwerpberekening!$A$2</f>
        <v>0</v>
      </c>
      <c r="L72" s="56">
        <f>(IF(Ontwerpberekening!E31="Nieuwe Situatie",(_xlfn.IFNA(VLOOKUP(Ontwerp_CO2_Totaal[[#This Row],[Product]]&amp;", "&amp;Ontwerp_CO2_Totaal[[#Headers],[B3]],Database_Productkaarten[#All],18,FALSE),0)*Ontwerpberekening!J31),0))/Ontwerpberekening!$A$2</f>
        <v>0</v>
      </c>
      <c r="M72" s="56">
        <f>(IF(Ontwerpberekening!E31="Nieuwe Situatie",(SUM(Ontwerp_CO2_Totaal[[#This Row],[A1]:[B1]],Ontwerp_CO2_Totaal[[#This Row],[C1]:[D2]])*Ontwerpberekening!T31),0))</f>
        <v>0</v>
      </c>
      <c r="N72" s="56">
        <f>(IF(Ontwerpberekening!E31="Bestaande Situatie",(_xlfn.IFNA(VLOOKUP(Ontwerp_CO2_Totaal[[#This Row],[Product]]&amp;", "&amp;Ontwerp_CO2_Totaal[[#Headers],[C1]],Database_Productkaarten[#All],18,FALSE),0)*Ontwerpberekening!J31),0))/Ontwerpberekening!$A$2</f>
        <v>0</v>
      </c>
      <c r="O72" s="56">
        <f>(IF(Ontwerpberekening!E31="Bestaande Situatie",(_xlfn.IFNA(VLOOKUP(Ontwerp_CO2_Totaal[[#This Row],[Product]]&amp;", "&amp;Ontwerp_CO2_Totaal[[#Headers],[C2]],Database_Productkaarten[#All],18,FALSE),0)*Ontwerpberekening!R31),0))/Ontwerpberekening!$A$2</f>
        <v>0</v>
      </c>
      <c r="P72" s="56">
        <f>(IF(Ontwerpberekening!E31="Bestaande Situatie",(_xlfn.IFNA(VLOOKUP(Ontwerp_CO2_Totaal[[#This Row],[Product]]&amp;", "&amp;Ontwerp_CO2_Totaal[[#Headers],[C3]],Database_Productkaarten[#All],18,FALSE),0)*Ontwerpberekening!J31),0))/Ontwerpberekening!$A$2</f>
        <v>0</v>
      </c>
      <c r="Q72" s="56">
        <f>(IF(Ontwerpberekening!E31="Bestaande Situatie",(_xlfn.IFNA(VLOOKUP(Ontwerp_CO2_Totaal[[#This Row],[Product]]&amp;", "&amp;Ontwerp_CO2_Totaal[[#Headers],[C4]],Database_Productkaarten[#All],18,FALSE),0)*Ontwerpberekening!J31),0))/Ontwerpberekening!$A$2</f>
        <v>0</v>
      </c>
      <c r="R72" s="56">
        <f>(IF(Ontwerpberekening!E31="Bestaande Situatie",(_xlfn.IFNA(VLOOKUP(Ontwerp_CO2_Totaal[[#This Row],[Product]]&amp;", "&amp;Ontwerp_CO2_Totaal[[#Headers],[D1]],Database_Productkaarten[#All],18,FALSE),0)*Ontwerpberekening!J31),0))/Ontwerpberekening!$A$2</f>
        <v>0</v>
      </c>
      <c r="S72" s="57">
        <f>(IF(Ontwerpberekening!E31="Bestaande Situatie",(_xlfn.IFNA(VLOOKUP(Ontwerp_CO2_Totaal[[#This Row],[Product]]&amp;", "&amp;Ontwerp_CO2_Totaal[[#Headers],[D2]],Database_Productkaarten[#All],18,FALSE),0)*Ontwerpberekening!J31),0))/Ontwerpberekening!$A$2</f>
        <v>0</v>
      </c>
      <c r="T72" s="57">
        <f>(IF(Ontwerpberekening!E31="Bestaande Situatie",(_xlfn.IFNA(VLOOKUP(Ontwerp_CO2_Totaal[[#This Row],[Product]]&amp;", "&amp;Ontwerp_CO2_Totaal[[#Headers],[D]],Database_Productkaarten[#All],18,FALSE),0)*Ontwerpberekening!J31),0))/Ontwerpberekening!$A$2</f>
        <v>0</v>
      </c>
      <c r="U72" s="56">
        <f>SUM(Ontwerp_CO2_Totaal[[#This Row],[A1-A3]:[C4]])+Ontwerp_CO2_Totaal[[#This Row],[D]]</f>
        <v>739.96124999999995</v>
      </c>
    </row>
    <row r="73" spans="2:21">
      <c r="B73" s="31" t="str">
        <f>Ontwerpberekening!B32</f>
        <v>Rockwool</v>
      </c>
      <c r="C73" s="31" t="str">
        <f>Ontwerpberekening!C32</f>
        <v>Toplaag</v>
      </c>
      <c r="D73" s="1" t="str">
        <f>Ontwerpberekening!G32</f>
        <v>Betonstraatsteen 210x105x80</v>
      </c>
      <c r="E73" s="56">
        <f>(IF(Ontwerpberekening!E32="Nieuwe Situatie",(_xlfn.IFNA(VLOOKUP(Ontwerp_CO2_Totaal[[#This Row],[Product]]&amp;", "&amp;Ontwerp_CO2_Totaal[[#Headers],[A1]],Database_Productkaarten[#All],18,FALSE),0)*Ontwerpberekening!J32),0))/Ontwerpberekening!$A$2</f>
        <v>10998.630000000001</v>
      </c>
      <c r="F73" s="56">
        <f>(IF(Ontwerpberekening!E32="Nieuwe Situatie",(_xlfn.IFNA(VLOOKUP(Ontwerp_CO2_Totaal[[#This Row],[Product]]&amp;", "&amp;Ontwerp_CO2_Totaal[[#Headers],[A2]],Database_Productkaarten[#All],18,FALSE),0)*Ontwerpberekening!J32),0))/Ontwerpberekening!$A$2</f>
        <v>481.99106</v>
      </c>
      <c r="G73" s="56">
        <f>(IF(Ontwerpberekening!E32="Nieuwe Situatie",(_xlfn.IFNA(VLOOKUP(Ontwerp_CO2_Totaal[[#This Row],[Product]]&amp;", "&amp;Ontwerp_CO2_Totaal[[#Headers],[A3]],Database_Productkaarten[#All],18,FALSE),0)*Ontwerpberekening!J32),0))/Ontwerpberekening!$A$2</f>
        <v>583.98365000000001</v>
      </c>
      <c r="H73" s="56">
        <f>(IF(Ontwerpberekening!E32="Nieuwe Situatie",(_xlfn.IFNA(VLOOKUP(Ontwerp_CO2_Totaal[[#This Row],[Product]]&amp;", "&amp;Ontwerp_CO2_Totaal[[#Headers],[A1-A3]],Database_Productkaarten[#All],18,FALSE),0)*Ontwerpberekening!J32),0))/Ontwerpberekening!$A$2</f>
        <v>12064.604710000001</v>
      </c>
      <c r="I73" s="56">
        <f>(IF(Ontwerpberekening!E32="Nieuwe Situatie",(_xlfn.IFNA(VLOOKUP(Ontwerp_CO2_Totaal[[#This Row],[Product]]&amp;", "&amp;Ontwerp_CO2_Totaal[[#Headers],[A4]],Database_Productkaarten[#All],18,FALSE),0)*Ontwerpberekening!R32),0))/Ontwerpberekening!$A$2</f>
        <v>318.58976396000003</v>
      </c>
      <c r="J73" s="56">
        <f>(IF(Ontwerpberekening!E32="Nieuwe Situatie",(_xlfn.IFNA(VLOOKUP(Ontwerp_CO2_Totaal[[#This Row],[Product]]&amp;", "&amp;Ontwerp_CO2_Totaal[[#Headers],[A5]],Database_Productkaarten[#All],18,FALSE),0)*Ontwerpberekening!J32),0))/Ontwerpberekening!$A$2</f>
        <v>723.28470000000004</v>
      </c>
      <c r="K73" s="56">
        <f>(IF(Ontwerpberekening!E32="Nieuwe Situatie",(_xlfn.IFNA(VLOOKUP(Ontwerp_CO2_Totaal[[#This Row],[Product]]&amp;", "&amp;Ontwerp_CO2_Totaal[[#Headers],[B1]],Database_Productkaarten[#All],18,FALSE),0)*Ontwerpberekening!J32),0))/Ontwerpberekening!$A$2</f>
        <v>0</v>
      </c>
      <c r="L73" s="56">
        <f>(IF(Ontwerpberekening!E32="Nieuwe Situatie",(_xlfn.IFNA(VLOOKUP(Ontwerp_CO2_Totaal[[#This Row],[Product]]&amp;", "&amp;Ontwerp_CO2_Totaal[[#Headers],[B3]],Database_Productkaarten[#All],18,FALSE),0)*Ontwerpberekening!J32),0))/Ontwerpberekening!$A$2</f>
        <v>0</v>
      </c>
      <c r="M73" s="56">
        <f>(IF(Ontwerpberekening!E32="Nieuwe Situatie",(SUM(Ontwerp_CO2_Totaal[[#This Row],[A1]:[B1]],Ontwerp_CO2_Totaal[[#This Row],[C1]:[D2]])*Ontwerpberekening!T32),0))</f>
        <v>0</v>
      </c>
      <c r="N73" s="56">
        <f>(IF(Ontwerpberekening!E32="Bestaande Situatie",(_xlfn.IFNA(VLOOKUP(Ontwerp_CO2_Totaal[[#This Row],[Product]]&amp;", "&amp;Ontwerp_CO2_Totaal[[#Headers],[C1]],Database_Productkaarten[#All],18,FALSE),0)*Ontwerpberekening!J32),0))/Ontwerpberekening!$A$2</f>
        <v>0</v>
      </c>
      <c r="O73" s="56">
        <f>(IF(Ontwerpberekening!E32="Bestaande Situatie",(_xlfn.IFNA(VLOOKUP(Ontwerp_CO2_Totaal[[#This Row],[Product]]&amp;", "&amp;Ontwerp_CO2_Totaal[[#Headers],[C2]],Database_Productkaarten[#All],18,FALSE),0)*Ontwerpberekening!R32),0))/Ontwerpberekening!$A$2</f>
        <v>0</v>
      </c>
      <c r="P73" s="56">
        <f>(IF(Ontwerpberekening!E32="Bestaande Situatie",(_xlfn.IFNA(VLOOKUP(Ontwerp_CO2_Totaal[[#This Row],[Product]]&amp;", "&amp;Ontwerp_CO2_Totaal[[#Headers],[C3]],Database_Productkaarten[#All],18,FALSE),0)*Ontwerpberekening!J32),0))/Ontwerpberekening!$A$2</f>
        <v>0</v>
      </c>
      <c r="Q73" s="56">
        <f>(IF(Ontwerpberekening!E32="Bestaande Situatie",(_xlfn.IFNA(VLOOKUP(Ontwerp_CO2_Totaal[[#This Row],[Product]]&amp;", "&amp;Ontwerp_CO2_Totaal[[#Headers],[C4]],Database_Productkaarten[#All],18,FALSE),0)*Ontwerpberekening!J32),0))/Ontwerpberekening!$A$2</f>
        <v>0</v>
      </c>
      <c r="R73" s="56">
        <f>(IF(Ontwerpberekening!E32="Bestaande Situatie",(_xlfn.IFNA(VLOOKUP(Ontwerp_CO2_Totaal[[#This Row],[Product]]&amp;", "&amp;Ontwerp_CO2_Totaal[[#Headers],[D1]],Database_Productkaarten[#All],18,FALSE),0)*Ontwerpberekening!J32),0))/Ontwerpberekening!$A$2</f>
        <v>0</v>
      </c>
      <c r="S73" s="57">
        <f>(IF(Ontwerpberekening!E32="Bestaande Situatie",(_xlfn.IFNA(VLOOKUP(Ontwerp_CO2_Totaal[[#This Row],[Product]]&amp;", "&amp;Ontwerp_CO2_Totaal[[#Headers],[D2]],Database_Productkaarten[#All],18,FALSE),0)*Ontwerpberekening!J32),0))/Ontwerpberekening!$A$2</f>
        <v>0</v>
      </c>
      <c r="T73" s="57">
        <f>(IF(Ontwerpberekening!E32="Bestaande Situatie",(_xlfn.IFNA(VLOOKUP(Ontwerp_CO2_Totaal[[#This Row],[Product]]&amp;", "&amp;Ontwerp_CO2_Totaal[[#Headers],[D]],Database_Productkaarten[#All],18,FALSE),0)*Ontwerpberekening!J32),0))/Ontwerpberekening!$A$2</f>
        <v>0</v>
      </c>
      <c r="U73" s="56">
        <f>SUM(Ontwerp_CO2_Totaal[[#This Row],[A1-A3]:[C4]])+Ontwerp_CO2_Totaal[[#This Row],[D]]</f>
        <v>13106.479173960002</v>
      </c>
    </row>
    <row r="74" spans="2:21">
      <c r="B74" s="31" t="str">
        <f>Ontwerpberekening!B33</f>
        <v>Rockwool</v>
      </c>
      <c r="C74" s="31" t="str">
        <f>Ontwerpberekening!C33</f>
        <v>Grondverbetering</v>
      </c>
      <c r="D74" s="1" t="str">
        <f>Ontwerpberekening!G33</f>
        <v>Ophoogmateriaal (Zand)</v>
      </c>
      <c r="E74" s="56">
        <f>(IF(Ontwerpberekening!E33="Nieuwe Situatie",(_xlfn.IFNA(VLOOKUP(Ontwerp_CO2_Totaal[[#This Row],[Product]]&amp;", "&amp;Ontwerp_CO2_Totaal[[#Headers],[A1]],Database_Productkaarten[#All],18,FALSE),0)*Ontwerpberekening!J33),0))/Ontwerpberekening!$A$2</f>
        <v>0</v>
      </c>
      <c r="F74" s="56">
        <f>(IF(Ontwerpberekening!E33="Nieuwe Situatie",(_xlfn.IFNA(VLOOKUP(Ontwerp_CO2_Totaal[[#This Row],[Product]]&amp;", "&amp;Ontwerp_CO2_Totaal[[#Headers],[A2]],Database_Productkaarten[#All],18,FALSE),0)*Ontwerpberekening!J33),0))/Ontwerpberekening!$A$2</f>
        <v>0</v>
      </c>
      <c r="G74" s="56">
        <f>(IF(Ontwerpberekening!E33="Nieuwe Situatie",(_xlfn.IFNA(VLOOKUP(Ontwerp_CO2_Totaal[[#This Row],[Product]]&amp;", "&amp;Ontwerp_CO2_Totaal[[#Headers],[A3]],Database_Productkaarten[#All],18,FALSE),0)*Ontwerpberekening!J33),0))/Ontwerpberekening!$A$2</f>
        <v>0</v>
      </c>
      <c r="H74" s="56">
        <f>(IF(Ontwerpberekening!E33="Nieuwe Situatie",(_xlfn.IFNA(VLOOKUP(Ontwerp_CO2_Totaal[[#This Row],[Product]]&amp;", "&amp;Ontwerp_CO2_Totaal[[#Headers],[A1-A3]],Database_Productkaarten[#All],18,FALSE),0)*Ontwerpberekening!J33),0))/Ontwerpberekening!$A$2</f>
        <v>0</v>
      </c>
      <c r="I74" s="56">
        <f>(IF(Ontwerpberekening!E33="Nieuwe Situatie",(_xlfn.IFNA(VLOOKUP(Ontwerp_CO2_Totaal[[#This Row],[Product]]&amp;", "&amp;Ontwerp_CO2_Totaal[[#Headers],[A4]],Database_Productkaarten[#All],18,FALSE),0)*Ontwerpberekening!R33),0))/Ontwerpberekening!$A$2</f>
        <v>0</v>
      </c>
      <c r="J74" s="56">
        <f>(IF(Ontwerpberekening!E33="Nieuwe Situatie",(_xlfn.IFNA(VLOOKUP(Ontwerp_CO2_Totaal[[#This Row],[Product]]&amp;", "&amp;Ontwerp_CO2_Totaal[[#Headers],[A5]],Database_Productkaarten[#All],18,FALSE),0)*Ontwerpberekening!J33),0))/Ontwerpberekening!$A$2</f>
        <v>0</v>
      </c>
      <c r="K74" s="56">
        <f>(IF(Ontwerpberekening!E33="Nieuwe Situatie",(_xlfn.IFNA(VLOOKUP(Ontwerp_CO2_Totaal[[#This Row],[Product]]&amp;", "&amp;Ontwerp_CO2_Totaal[[#Headers],[B1]],Database_Productkaarten[#All],18,FALSE),0)*Ontwerpberekening!J33),0))/Ontwerpberekening!$A$2</f>
        <v>0</v>
      </c>
      <c r="L74" s="56">
        <f>(IF(Ontwerpberekening!E33="Nieuwe Situatie",(_xlfn.IFNA(VLOOKUP(Ontwerp_CO2_Totaal[[#This Row],[Product]]&amp;", "&amp;Ontwerp_CO2_Totaal[[#Headers],[B3]],Database_Productkaarten[#All],18,FALSE),0)*Ontwerpberekening!J33),0))/Ontwerpberekening!$A$2</f>
        <v>0</v>
      </c>
      <c r="M74" s="56">
        <f>(IF(Ontwerpberekening!E33="Nieuwe Situatie",(SUM(Ontwerp_CO2_Totaal[[#This Row],[A1]:[B1]],Ontwerp_CO2_Totaal[[#This Row],[C1]:[D2]])*Ontwerpberekening!T33),0))</f>
        <v>0</v>
      </c>
      <c r="N74" s="56">
        <f>(IF(Ontwerpberekening!E33="Bestaande Situatie",(_xlfn.IFNA(VLOOKUP(Ontwerp_CO2_Totaal[[#This Row],[Product]]&amp;", "&amp;Ontwerp_CO2_Totaal[[#Headers],[C1]],Database_Productkaarten[#All],18,FALSE),0)*Ontwerpberekening!J33),0))/Ontwerpberekening!$A$2</f>
        <v>11.6425</v>
      </c>
      <c r="O74" s="56">
        <f>(IF(Ontwerpberekening!E33="Bestaande Situatie",(_xlfn.IFNA(VLOOKUP(Ontwerp_CO2_Totaal[[#This Row],[Product]]&amp;", "&amp;Ontwerp_CO2_Totaal[[#Headers],[C2]],Database_Productkaarten[#All],18,FALSE),0)*Ontwerpberekening!R33),0))/Ontwerpberekening!$A$2</f>
        <v>240</v>
      </c>
      <c r="P74" s="56">
        <f>(IF(Ontwerpberekening!E33="Bestaande Situatie",(_xlfn.IFNA(VLOOKUP(Ontwerp_CO2_Totaal[[#This Row],[Product]]&amp;", "&amp;Ontwerp_CO2_Totaal[[#Headers],[C3]],Database_Productkaarten[#All],18,FALSE),0)*Ontwerpberekening!J33),0))/Ontwerpberekening!$A$2</f>
        <v>0</v>
      </c>
      <c r="Q74" s="56">
        <f>(IF(Ontwerpberekening!E33="Bestaande Situatie",(_xlfn.IFNA(VLOOKUP(Ontwerp_CO2_Totaal[[#This Row],[Product]]&amp;", "&amp;Ontwerp_CO2_Totaal[[#Headers],[C4]],Database_Productkaarten[#All],18,FALSE),0)*Ontwerpberekening!J33),0))/Ontwerpberekening!$A$2</f>
        <v>2</v>
      </c>
      <c r="R74" s="56">
        <f>(IF(Ontwerpberekening!E33="Bestaande Situatie",(_xlfn.IFNA(VLOOKUP(Ontwerp_CO2_Totaal[[#This Row],[Product]]&amp;", "&amp;Ontwerp_CO2_Totaal[[#Headers],[D1]],Database_Productkaarten[#All],18,FALSE),0)*Ontwerpberekening!J33),0))/Ontwerpberekening!$A$2</f>
        <v>0</v>
      </c>
      <c r="S74" s="57">
        <f>(IF(Ontwerpberekening!E33="Bestaande Situatie",(_xlfn.IFNA(VLOOKUP(Ontwerp_CO2_Totaal[[#This Row],[Product]]&amp;", "&amp;Ontwerp_CO2_Totaal[[#Headers],[D2]],Database_Productkaarten[#All],18,FALSE),0)*Ontwerpberekening!J33),0))/Ontwerpberekening!$A$2</f>
        <v>0</v>
      </c>
      <c r="T74" s="57">
        <f>(IF(Ontwerpberekening!E33="Bestaande Situatie",(_xlfn.IFNA(VLOOKUP(Ontwerp_CO2_Totaal[[#This Row],[Product]]&amp;", "&amp;Ontwerp_CO2_Totaal[[#Headers],[D]],Database_Productkaarten[#All],18,FALSE),0)*Ontwerpberekening!J33),0))/Ontwerpberekening!$A$2</f>
        <v>-155.75</v>
      </c>
      <c r="U74" s="56">
        <f>SUM(Ontwerp_CO2_Totaal[[#This Row],[A1-A3]:[C4]])+Ontwerp_CO2_Totaal[[#This Row],[D]]</f>
        <v>97.892500000000013</v>
      </c>
    </row>
    <row r="75" spans="2:21">
      <c r="B75" s="31" t="str">
        <f>Ontwerpberekening!B34</f>
        <v>Rockwool</v>
      </c>
      <c r="C75" s="31" t="str">
        <f>Ontwerpberekening!C34</f>
        <v>Waterbergendelaag</v>
      </c>
      <c r="D75" s="1" t="str">
        <f>Ontwerpberekening!G34</f>
        <v>Rockwool, 50 cm</v>
      </c>
      <c r="E75" s="56">
        <f>(IF(Ontwerpberekening!E34="Nieuwe Situatie",(_xlfn.IFNA(VLOOKUP(Ontwerp_CO2_Totaal[[#This Row],[Product]]&amp;", "&amp;Ontwerp_CO2_Totaal[[#Headers],[A1]],Database_Productkaarten[#All],18,FALSE),0)*Ontwerpberekening!J34),0))/Ontwerpberekening!$A$2</f>
        <v>0</v>
      </c>
      <c r="F75" s="56">
        <f>(IF(Ontwerpberekening!E34="Nieuwe Situatie",(_xlfn.IFNA(VLOOKUP(Ontwerp_CO2_Totaal[[#This Row],[Product]]&amp;", "&amp;Ontwerp_CO2_Totaal[[#Headers],[A2]],Database_Productkaarten[#All],18,FALSE),0)*Ontwerpberekening!J34),0))/Ontwerpberekening!$A$2</f>
        <v>0</v>
      </c>
      <c r="G75" s="56">
        <f>(IF(Ontwerpberekening!E34="Nieuwe Situatie",(_xlfn.IFNA(VLOOKUP(Ontwerp_CO2_Totaal[[#This Row],[Product]]&amp;", "&amp;Ontwerp_CO2_Totaal[[#Headers],[A3]],Database_Productkaarten[#All],18,FALSE),0)*Ontwerpberekening!J34),0))/Ontwerpberekening!$A$2</f>
        <v>0</v>
      </c>
      <c r="H75" s="56">
        <f>(IF(Ontwerpberekening!E34="Nieuwe Situatie",(_xlfn.IFNA(VLOOKUP(Ontwerp_CO2_Totaal[[#This Row],[Product]]&amp;", "&amp;Ontwerp_CO2_Totaal[[#Headers],[A1-A3]],Database_Productkaarten[#All],18,FALSE),0)*Ontwerpberekening!J34),0))/Ontwerpberekening!$A$2</f>
        <v>0</v>
      </c>
      <c r="I75" s="56">
        <f>(IF(Ontwerpberekening!E34="Nieuwe Situatie",(_xlfn.IFNA(VLOOKUP(Ontwerp_CO2_Totaal[[#This Row],[Product]]&amp;", "&amp;Ontwerp_CO2_Totaal[[#Headers],[A4]],Database_Productkaarten[#All],18,FALSE),0)*Ontwerpberekening!R34),0))/Ontwerpberekening!$A$2</f>
        <v>0</v>
      </c>
      <c r="J75" s="56">
        <f>(IF(Ontwerpberekening!E34="Nieuwe Situatie",(_xlfn.IFNA(VLOOKUP(Ontwerp_CO2_Totaal[[#This Row],[Product]]&amp;", "&amp;Ontwerp_CO2_Totaal[[#Headers],[A5]],Database_Productkaarten[#All],18,FALSE),0)*Ontwerpberekening!J34),0))/Ontwerpberekening!$A$2</f>
        <v>0</v>
      </c>
      <c r="K75" s="56">
        <f>(IF(Ontwerpberekening!E34="Nieuwe Situatie",(_xlfn.IFNA(VLOOKUP(Ontwerp_CO2_Totaal[[#This Row],[Product]]&amp;", "&amp;Ontwerp_CO2_Totaal[[#Headers],[B1]],Database_Productkaarten[#All],18,FALSE),0)*Ontwerpberekening!J34),0))/Ontwerpberekening!$A$2</f>
        <v>0</v>
      </c>
      <c r="L75" s="56">
        <f>(IF(Ontwerpberekening!E34="Nieuwe Situatie",(_xlfn.IFNA(VLOOKUP(Ontwerp_CO2_Totaal[[#This Row],[Product]]&amp;", "&amp;Ontwerp_CO2_Totaal[[#Headers],[B3]],Database_Productkaarten[#All],18,FALSE),0)*Ontwerpberekening!J34),0))/Ontwerpberekening!$A$2</f>
        <v>0</v>
      </c>
      <c r="M75" s="56">
        <f>(IF(Ontwerpberekening!E34="Nieuwe Situatie",(SUM(Ontwerp_CO2_Totaal[[#This Row],[A1]:[B1]],Ontwerp_CO2_Totaal[[#This Row],[C1]:[D2]])*Ontwerpberekening!T34),0))</f>
        <v>0</v>
      </c>
      <c r="N75" s="56">
        <f>(IF(Ontwerpberekening!E34="Bestaande Situatie",(_xlfn.IFNA(VLOOKUP(Ontwerp_CO2_Totaal[[#This Row],[Product]]&amp;", "&amp;Ontwerp_CO2_Totaal[[#Headers],[C1]],Database_Productkaarten[#All],18,FALSE),0)*Ontwerpberekening!J34),0))/Ontwerpberekening!$A$2</f>
        <v>0</v>
      </c>
      <c r="O75" s="56">
        <f>(IF(Ontwerpberekening!E34="Bestaande Situatie",(_xlfn.IFNA(VLOOKUP(Ontwerp_CO2_Totaal[[#This Row],[Product]]&amp;", "&amp;Ontwerp_CO2_Totaal[[#Headers],[C2]],Database_Productkaarten[#All],18,FALSE),0)*Ontwerpberekening!R34),0))/Ontwerpberekening!$A$2</f>
        <v>0</v>
      </c>
      <c r="P75" s="56">
        <f>(IF(Ontwerpberekening!E34="Bestaande Situatie",(_xlfn.IFNA(VLOOKUP(Ontwerp_CO2_Totaal[[#This Row],[Product]]&amp;", "&amp;Ontwerp_CO2_Totaal[[#Headers],[C3]],Database_Productkaarten[#All],18,FALSE),0)*Ontwerpberekening!J34),0))/Ontwerpberekening!$A$2</f>
        <v>0</v>
      </c>
      <c r="Q75" s="56">
        <f>(IF(Ontwerpberekening!E34="Bestaande Situatie",(_xlfn.IFNA(VLOOKUP(Ontwerp_CO2_Totaal[[#This Row],[Product]]&amp;", "&amp;Ontwerp_CO2_Totaal[[#Headers],[C4]],Database_Productkaarten[#All],18,FALSE),0)*Ontwerpberekening!J34),0))/Ontwerpberekening!$A$2</f>
        <v>0</v>
      </c>
      <c r="R75" s="56">
        <f>(IF(Ontwerpberekening!E34="Bestaande Situatie",(_xlfn.IFNA(VLOOKUP(Ontwerp_CO2_Totaal[[#This Row],[Product]]&amp;", "&amp;Ontwerp_CO2_Totaal[[#Headers],[D1]],Database_Productkaarten[#All],18,FALSE),0)*Ontwerpberekening!J34),0))/Ontwerpberekening!$A$2</f>
        <v>0</v>
      </c>
      <c r="S75" s="56">
        <f>(IF(Ontwerpberekening!E34="Bestaande Situatie",(_xlfn.IFNA(VLOOKUP(Ontwerp_CO2_Totaal[[#This Row],[Product]]&amp;", "&amp;Ontwerp_CO2_Totaal[[#Headers],[D2]],Database_Productkaarten[#All],18,FALSE),0)*Ontwerpberekening!J34),0))/Ontwerpberekening!$A$2</f>
        <v>0</v>
      </c>
      <c r="T75" s="56">
        <f>(IF(Ontwerpberekening!E34="Bestaande Situatie",(_xlfn.IFNA(VLOOKUP(Ontwerp_CO2_Totaal[[#This Row],[Product]]&amp;", "&amp;Ontwerp_CO2_Totaal[[#Headers],[D]],Database_Productkaarten[#All],18,FALSE),0)*Ontwerpberekening!J34),0))/Ontwerpberekening!$A$2</f>
        <v>0</v>
      </c>
      <c r="U75" s="56">
        <f>SUM(Ontwerp_CO2_Totaal[[#This Row],[A1-A3]:[C4]])+Ontwerp_CO2_Totaal[[#This Row],[D]]</f>
        <v>0</v>
      </c>
    </row>
    <row r="76" spans="2:21">
      <c r="B76" s="31" t="str">
        <f>Ontwerpberekening!B35</f>
        <v>Rockwool</v>
      </c>
      <c r="C76" s="31" t="str">
        <f>Ontwerpberekening!C35</f>
        <v>Menggranulaat</v>
      </c>
      <c r="D76" s="1" t="str">
        <f>Ontwerpberekening!G35</f>
        <v>Menggranulaat 300mm</v>
      </c>
      <c r="E76" s="56">
        <f>(IF(Ontwerpberekening!E35="Nieuwe Situatie",(_xlfn.IFNA(VLOOKUP(Ontwerp_CO2_Totaal[[#This Row],[Product]]&amp;", "&amp;Ontwerp_CO2_Totaal[[#Headers],[A1]],Database_Productkaarten[#All],18,FALSE),0)*Ontwerpberekening!J35),0))/Ontwerpberekening!$A$2</f>
        <v>0</v>
      </c>
      <c r="F76" s="56">
        <f>(IF(Ontwerpberekening!E35="Nieuwe Situatie",(_xlfn.IFNA(VLOOKUP(Ontwerp_CO2_Totaal[[#This Row],[Product]]&amp;", "&amp;Ontwerp_CO2_Totaal[[#Headers],[A2]],Database_Productkaarten[#All],18,FALSE),0)*Ontwerpberekening!J35),0))/Ontwerpberekening!$A$2</f>
        <v>0</v>
      </c>
      <c r="G76" s="56">
        <f>(IF(Ontwerpberekening!E35="Nieuwe Situatie",(_xlfn.IFNA(VLOOKUP(Ontwerp_CO2_Totaal[[#This Row],[Product]]&amp;", "&amp;Ontwerp_CO2_Totaal[[#Headers],[A3]],Database_Productkaarten[#All],18,FALSE),0)*Ontwerpberekening!J35),0))/Ontwerpberekening!$A$2</f>
        <v>0</v>
      </c>
      <c r="H76" s="56">
        <f>(IF(Ontwerpberekening!E35="Nieuwe Situatie",(_xlfn.IFNA(VLOOKUP(Ontwerp_CO2_Totaal[[#This Row],[Product]]&amp;", "&amp;Ontwerp_CO2_Totaal[[#Headers],[A1-A3]],Database_Productkaarten[#All],18,FALSE),0)*Ontwerpberekening!J35),0))/Ontwerpberekening!$A$2</f>
        <v>0</v>
      </c>
      <c r="I76" s="56">
        <f>(IF(Ontwerpberekening!E35="Nieuwe Situatie",(_xlfn.IFNA(VLOOKUP(Ontwerp_CO2_Totaal[[#This Row],[Product]]&amp;", "&amp;Ontwerp_CO2_Totaal[[#Headers],[A4]],Database_Productkaarten[#All],18,FALSE),0)*Ontwerpberekening!R35),0))/Ontwerpberekening!$A$2</f>
        <v>0</v>
      </c>
      <c r="J76" s="56">
        <f>(IF(Ontwerpberekening!E35="Nieuwe Situatie",(_xlfn.IFNA(VLOOKUP(Ontwerp_CO2_Totaal[[#This Row],[Product]]&amp;", "&amp;Ontwerp_CO2_Totaal[[#Headers],[A5]],Database_Productkaarten[#All],18,FALSE),0)*Ontwerpberekening!J35),0))/Ontwerpberekening!$A$2</f>
        <v>0</v>
      </c>
      <c r="K76" s="56">
        <f>(IF(Ontwerpberekening!E35="Nieuwe Situatie",(_xlfn.IFNA(VLOOKUP(Ontwerp_CO2_Totaal[[#This Row],[Product]]&amp;", "&amp;Ontwerp_CO2_Totaal[[#Headers],[B1]],Database_Productkaarten[#All],18,FALSE),0)*Ontwerpberekening!J35),0))/Ontwerpberekening!$A$2</f>
        <v>0</v>
      </c>
      <c r="L76" s="56">
        <f>(IF(Ontwerpberekening!E35="Nieuwe Situatie",(_xlfn.IFNA(VLOOKUP(Ontwerp_CO2_Totaal[[#This Row],[Product]]&amp;", "&amp;Ontwerp_CO2_Totaal[[#Headers],[B3]],Database_Productkaarten[#All],18,FALSE),0)*Ontwerpberekening!J35),0))/Ontwerpberekening!$A$2</f>
        <v>0</v>
      </c>
      <c r="M76" s="56">
        <f>(IF(Ontwerpberekening!E35="Nieuwe Situatie",(SUM(Ontwerp_CO2_Totaal[[#This Row],[A1]:[B1]],Ontwerp_CO2_Totaal[[#This Row],[C1]:[D2]])*Ontwerpberekening!T35),0))</f>
        <v>0</v>
      </c>
      <c r="N76" s="56">
        <f>(IF(Ontwerpberekening!E35="Bestaande Situatie",(_xlfn.IFNA(VLOOKUP(Ontwerp_CO2_Totaal[[#This Row],[Product]]&amp;", "&amp;Ontwerp_CO2_Totaal[[#Headers],[C1]],Database_Productkaarten[#All],18,FALSE),0)*Ontwerpberekening!J35),0))/Ontwerpberekening!$A$2</f>
        <v>335.5</v>
      </c>
      <c r="O76" s="56">
        <f>(IF(Ontwerpberekening!E35="Bestaande Situatie",(_xlfn.IFNA(VLOOKUP(Ontwerp_CO2_Totaal[[#This Row],[Product]]&amp;", "&amp;Ontwerp_CO2_Totaal[[#Headers],[C2]],Database_Productkaarten[#All],18,FALSE),0)*Ontwerpberekening!R35),0))/Ontwerpberekening!$A$2</f>
        <v>731.25</v>
      </c>
      <c r="P76" s="56">
        <f>(IF(Ontwerpberekening!E35="Bestaande Situatie",(_xlfn.IFNA(VLOOKUP(Ontwerp_CO2_Totaal[[#This Row],[Product]]&amp;", "&amp;Ontwerp_CO2_Totaal[[#Headers],[C3]],Database_Productkaarten[#All],18,FALSE),0)*Ontwerpberekening!J35),0))/Ontwerpberekening!$A$2</f>
        <v>0</v>
      </c>
      <c r="Q76" s="56">
        <f>(IF(Ontwerpberekening!E35="Bestaande Situatie",(_xlfn.IFNA(VLOOKUP(Ontwerp_CO2_Totaal[[#This Row],[Product]]&amp;", "&amp;Ontwerp_CO2_Totaal[[#Headers],[C4]],Database_Productkaarten[#All],18,FALSE),0)*Ontwerpberekening!J35),0))/Ontwerpberekening!$A$2</f>
        <v>15.450000000000001</v>
      </c>
      <c r="R76" s="56">
        <f>(IF(Ontwerpberekening!E35="Bestaande Situatie",(_xlfn.IFNA(VLOOKUP(Ontwerp_CO2_Totaal[[#This Row],[Product]]&amp;", "&amp;Ontwerp_CO2_Totaal[[#Headers],[D1]],Database_Productkaarten[#All],18,FALSE),0)*Ontwerpberekening!J35),0))/Ontwerpberekening!$A$2</f>
        <v>0</v>
      </c>
      <c r="S76" s="56">
        <f>(IF(Ontwerpberekening!E35="Bestaande Situatie",(_xlfn.IFNA(VLOOKUP(Ontwerp_CO2_Totaal[[#This Row],[Product]]&amp;", "&amp;Ontwerp_CO2_Totaal[[#Headers],[D2]],Database_Productkaarten[#All],18,FALSE),0)*Ontwerpberekening!J35),0))/Ontwerpberekening!$A$2</f>
        <v>0</v>
      </c>
      <c r="T76" s="56">
        <f>(IF(Ontwerpberekening!E35="Bestaande Situatie",(_xlfn.IFNA(VLOOKUP(Ontwerp_CO2_Totaal[[#This Row],[Product]]&amp;", "&amp;Ontwerp_CO2_Totaal[[#Headers],[D]],Database_Productkaarten[#All],18,FALSE),0)*Ontwerpberekening!J35),0))/Ontwerpberekening!$A$2</f>
        <v>12.3</v>
      </c>
      <c r="U76" s="56">
        <f>SUM(Ontwerp_CO2_Totaal[[#This Row],[A1-A3]:[C4]])+Ontwerp_CO2_Totaal[[#This Row],[D]]</f>
        <v>1094.5</v>
      </c>
    </row>
    <row r="77" spans="2:21">
      <c r="B77" s="31" t="str">
        <f>Ontwerpberekening!B36</f>
        <v>Rockwool</v>
      </c>
      <c r="C77" s="31" t="str">
        <f>Ontwerpberekening!C36</f>
        <v>Straatlaag</v>
      </c>
      <c r="D77" s="1" t="str">
        <f>Ontwerpberekening!G36</f>
        <v>Ophoogmateriaal (Zand)</v>
      </c>
      <c r="E77" s="56">
        <f>(IF(Ontwerpberekening!E36="Nieuwe Situatie",(_xlfn.IFNA(VLOOKUP(Ontwerp_CO2_Totaal[[#This Row],[Product]]&amp;", "&amp;Ontwerp_CO2_Totaal[[#Headers],[A1]],Database_Productkaarten[#All],18,FALSE),0)*Ontwerpberekening!J36),0))/Ontwerpberekening!$A$2</f>
        <v>0</v>
      </c>
      <c r="F77" s="56">
        <f>(IF(Ontwerpberekening!E36="Nieuwe Situatie",(_xlfn.IFNA(VLOOKUP(Ontwerp_CO2_Totaal[[#This Row],[Product]]&amp;", "&amp;Ontwerp_CO2_Totaal[[#Headers],[A2]],Database_Productkaarten[#All],18,FALSE),0)*Ontwerpberekening!J36),0))/Ontwerpberekening!$A$2</f>
        <v>0</v>
      </c>
      <c r="G77" s="56">
        <f>(IF(Ontwerpberekening!E36="Nieuwe Situatie",(_xlfn.IFNA(VLOOKUP(Ontwerp_CO2_Totaal[[#This Row],[Product]]&amp;", "&amp;Ontwerp_CO2_Totaal[[#Headers],[A3]],Database_Productkaarten[#All],18,FALSE),0)*Ontwerpberekening!J36),0))/Ontwerpberekening!$A$2</f>
        <v>0</v>
      </c>
      <c r="H77" s="56">
        <f>(IF(Ontwerpberekening!E36="Nieuwe Situatie",(_xlfn.IFNA(VLOOKUP(Ontwerp_CO2_Totaal[[#This Row],[Product]]&amp;", "&amp;Ontwerp_CO2_Totaal[[#Headers],[A1-A3]],Database_Productkaarten[#All],18,FALSE),0)*Ontwerpberekening!J36),0))/Ontwerpberekening!$A$2</f>
        <v>0</v>
      </c>
      <c r="I77" s="56">
        <f>(IF(Ontwerpberekening!E36="Nieuwe Situatie",(_xlfn.IFNA(VLOOKUP(Ontwerp_CO2_Totaal[[#This Row],[Product]]&amp;", "&amp;Ontwerp_CO2_Totaal[[#Headers],[A4]],Database_Productkaarten[#All],18,FALSE),0)*Ontwerpberekening!R36),0))/Ontwerpberekening!$A$2</f>
        <v>0</v>
      </c>
      <c r="J77" s="56">
        <f>(IF(Ontwerpberekening!E36="Nieuwe Situatie",(_xlfn.IFNA(VLOOKUP(Ontwerp_CO2_Totaal[[#This Row],[Product]]&amp;", "&amp;Ontwerp_CO2_Totaal[[#Headers],[A5]],Database_Productkaarten[#All],18,FALSE),0)*Ontwerpberekening!J36),0))/Ontwerpberekening!$A$2</f>
        <v>0</v>
      </c>
      <c r="K77" s="56">
        <f>(IF(Ontwerpberekening!E36="Nieuwe Situatie",(_xlfn.IFNA(VLOOKUP(Ontwerp_CO2_Totaal[[#This Row],[Product]]&amp;", "&amp;Ontwerp_CO2_Totaal[[#Headers],[B1]],Database_Productkaarten[#All],18,FALSE),0)*Ontwerpberekening!J36),0))/Ontwerpberekening!$A$2</f>
        <v>0</v>
      </c>
      <c r="L77" s="56">
        <f>(IF(Ontwerpberekening!E36="Nieuwe Situatie",(_xlfn.IFNA(VLOOKUP(Ontwerp_CO2_Totaal[[#This Row],[Product]]&amp;", "&amp;Ontwerp_CO2_Totaal[[#Headers],[B3]],Database_Productkaarten[#All],18,FALSE),0)*Ontwerpberekening!J36),0))/Ontwerpberekening!$A$2</f>
        <v>0</v>
      </c>
      <c r="M77" s="56">
        <f>(IF(Ontwerpberekening!E36="Nieuwe Situatie",(SUM(Ontwerp_CO2_Totaal[[#This Row],[A1]:[B1]],Ontwerp_CO2_Totaal[[#This Row],[C1]:[D2]])*Ontwerpberekening!T36),0))</f>
        <v>0</v>
      </c>
      <c r="N77" s="56">
        <f>(IF(Ontwerpberekening!E36="Bestaande Situatie",(_xlfn.IFNA(VLOOKUP(Ontwerp_CO2_Totaal[[#This Row],[Product]]&amp;", "&amp;Ontwerp_CO2_Totaal[[#Headers],[C1]],Database_Productkaarten[#All],18,FALSE),0)*Ontwerpberekening!J36),0))/Ontwerpberekening!$A$2</f>
        <v>11.6425</v>
      </c>
      <c r="O77" s="56">
        <f>(IF(Ontwerpberekening!E36="Bestaande Situatie",(_xlfn.IFNA(VLOOKUP(Ontwerp_CO2_Totaal[[#This Row],[Product]]&amp;", "&amp;Ontwerp_CO2_Totaal[[#Headers],[C2]],Database_Productkaarten[#All],18,FALSE),0)*Ontwerpberekening!R36),0))/Ontwerpberekening!$A$2</f>
        <v>240</v>
      </c>
      <c r="P77" s="56">
        <f>(IF(Ontwerpberekening!E36="Bestaande Situatie",(_xlfn.IFNA(VLOOKUP(Ontwerp_CO2_Totaal[[#This Row],[Product]]&amp;", "&amp;Ontwerp_CO2_Totaal[[#Headers],[C3]],Database_Productkaarten[#All],18,FALSE),0)*Ontwerpberekening!J36),0))/Ontwerpberekening!$A$2</f>
        <v>0</v>
      </c>
      <c r="Q77" s="56">
        <f>(IF(Ontwerpberekening!E36="Bestaande Situatie",(_xlfn.IFNA(VLOOKUP(Ontwerp_CO2_Totaal[[#This Row],[Product]]&amp;", "&amp;Ontwerp_CO2_Totaal[[#Headers],[C4]],Database_Productkaarten[#All],18,FALSE),0)*Ontwerpberekening!J36),0))/Ontwerpberekening!$A$2</f>
        <v>2</v>
      </c>
      <c r="R77" s="56">
        <f>(IF(Ontwerpberekening!E36="Bestaande Situatie",(_xlfn.IFNA(VLOOKUP(Ontwerp_CO2_Totaal[[#This Row],[Product]]&amp;", "&amp;Ontwerp_CO2_Totaal[[#Headers],[D1]],Database_Productkaarten[#All],18,FALSE),0)*Ontwerpberekening!J36),0))/Ontwerpberekening!$A$2</f>
        <v>0</v>
      </c>
      <c r="S77" s="56">
        <f>(IF(Ontwerpberekening!E36="Bestaande Situatie",(_xlfn.IFNA(VLOOKUP(Ontwerp_CO2_Totaal[[#This Row],[Product]]&amp;", "&amp;Ontwerp_CO2_Totaal[[#Headers],[D2]],Database_Productkaarten[#All],18,FALSE),0)*Ontwerpberekening!J36),0))/Ontwerpberekening!$A$2</f>
        <v>0</v>
      </c>
      <c r="T77" s="56">
        <f>(IF(Ontwerpberekening!E36="Bestaande Situatie",(_xlfn.IFNA(VLOOKUP(Ontwerp_CO2_Totaal[[#This Row],[Product]]&amp;", "&amp;Ontwerp_CO2_Totaal[[#Headers],[D]],Database_Productkaarten[#All],18,FALSE),0)*Ontwerpberekening!J36),0))/Ontwerpberekening!$A$2</f>
        <v>-155.75</v>
      </c>
      <c r="U77" s="56">
        <f>SUM(Ontwerp_CO2_Totaal[[#This Row],[A1-A3]:[C4]])+Ontwerp_CO2_Totaal[[#This Row],[D]]</f>
        <v>97.892500000000013</v>
      </c>
    </row>
    <row r="78" spans="2:21">
      <c r="B78" s="31" t="str">
        <f>Ontwerpberekening!B37</f>
        <v>Rockwool</v>
      </c>
      <c r="C78" s="31" t="str">
        <f>Ontwerpberekening!C37</f>
        <v>Toplaag</v>
      </c>
      <c r="D78" s="1" t="str">
        <f>Ontwerpberekening!G37</f>
        <v>Betonstraatsteen 210x105x80</v>
      </c>
      <c r="E78" s="56">
        <f>(IF(Ontwerpberekening!E37="Nieuwe Situatie",(_xlfn.IFNA(VLOOKUP(Ontwerp_CO2_Totaal[[#This Row],[Product]]&amp;", "&amp;Ontwerp_CO2_Totaal[[#Headers],[A1]],Database_Productkaarten[#All],18,FALSE),0)*Ontwerpberekening!J37),0))/Ontwerpberekening!$A$2</f>
        <v>0</v>
      </c>
      <c r="F78" s="56">
        <f>(IF(Ontwerpberekening!E37="Nieuwe Situatie",(_xlfn.IFNA(VLOOKUP(Ontwerp_CO2_Totaal[[#This Row],[Product]]&amp;", "&amp;Ontwerp_CO2_Totaal[[#Headers],[A2]],Database_Productkaarten[#All],18,FALSE),0)*Ontwerpberekening!J37),0))/Ontwerpberekening!$A$2</f>
        <v>0</v>
      </c>
      <c r="G78" s="56">
        <f>(IF(Ontwerpberekening!E37="Nieuwe Situatie",(_xlfn.IFNA(VLOOKUP(Ontwerp_CO2_Totaal[[#This Row],[Product]]&amp;", "&amp;Ontwerp_CO2_Totaal[[#Headers],[A3]],Database_Productkaarten[#All],18,FALSE),0)*Ontwerpberekening!J37),0))/Ontwerpberekening!$A$2</f>
        <v>0</v>
      </c>
      <c r="H78" s="56">
        <f>(IF(Ontwerpberekening!E37="Nieuwe Situatie",(_xlfn.IFNA(VLOOKUP(Ontwerp_CO2_Totaal[[#This Row],[Product]]&amp;", "&amp;Ontwerp_CO2_Totaal[[#Headers],[A1-A3]],Database_Productkaarten[#All],18,FALSE),0)*Ontwerpberekening!J37),0))/Ontwerpberekening!$A$2</f>
        <v>0</v>
      </c>
      <c r="I78" s="56">
        <f>(IF(Ontwerpberekening!E37="Nieuwe Situatie",(_xlfn.IFNA(VLOOKUP(Ontwerp_CO2_Totaal[[#This Row],[Product]]&amp;", "&amp;Ontwerp_CO2_Totaal[[#Headers],[A4]],Database_Productkaarten[#All],18,FALSE),0)*Ontwerpberekening!R37),0))/Ontwerpberekening!$A$2</f>
        <v>0</v>
      </c>
      <c r="J78" s="56">
        <f>(IF(Ontwerpberekening!E37="Nieuwe Situatie",(_xlfn.IFNA(VLOOKUP(Ontwerp_CO2_Totaal[[#This Row],[Product]]&amp;", "&amp;Ontwerp_CO2_Totaal[[#Headers],[A5]],Database_Productkaarten[#All],18,FALSE),0)*Ontwerpberekening!J37),0))/Ontwerpberekening!$A$2</f>
        <v>0</v>
      </c>
      <c r="K78" s="56">
        <f>(IF(Ontwerpberekening!E37="Nieuwe Situatie",(_xlfn.IFNA(VLOOKUP(Ontwerp_CO2_Totaal[[#This Row],[Product]]&amp;", "&amp;Ontwerp_CO2_Totaal[[#Headers],[B1]],Database_Productkaarten[#All],18,FALSE),0)*Ontwerpberekening!J37),0))/Ontwerpberekening!$A$2</f>
        <v>0</v>
      </c>
      <c r="L78" s="56">
        <f>(IF(Ontwerpberekening!E37="Nieuwe Situatie",(_xlfn.IFNA(VLOOKUP(Ontwerp_CO2_Totaal[[#This Row],[Product]]&amp;", "&amp;Ontwerp_CO2_Totaal[[#Headers],[B3]],Database_Productkaarten[#All],18,FALSE),0)*Ontwerpberekening!J37),0))/Ontwerpberekening!$A$2</f>
        <v>0</v>
      </c>
      <c r="M78" s="56">
        <f>(IF(Ontwerpberekening!E37="Nieuwe Situatie",(SUM(Ontwerp_CO2_Totaal[[#This Row],[A1]:[B1]],Ontwerp_CO2_Totaal[[#This Row],[C1]:[D2]])*Ontwerpberekening!T37),0))</f>
        <v>0</v>
      </c>
      <c r="N78" s="56">
        <f>(IF(Ontwerpberekening!E37="Bestaande Situatie",(_xlfn.IFNA(VLOOKUP(Ontwerp_CO2_Totaal[[#This Row],[Product]]&amp;", "&amp;Ontwerp_CO2_Totaal[[#Headers],[C1]],Database_Productkaarten[#All],18,FALSE),0)*Ontwerpberekening!J37),0))/Ontwerpberekening!$A$2</f>
        <v>297.4864</v>
      </c>
      <c r="O78" s="56">
        <f>(IF(Ontwerpberekening!E37="Bestaande Situatie",(_xlfn.IFNA(VLOOKUP(Ontwerp_CO2_Totaal[[#This Row],[Product]]&amp;", "&amp;Ontwerp_CO2_Totaal[[#Headers],[C2]],Database_Productkaarten[#All],18,FALSE),0)*Ontwerpberekening!R37),0))/Ontwerpberekening!$A$2</f>
        <v>107.25855680000001</v>
      </c>
      <c r="P78" s="56">
        <f>(IF(Ontwerpberekening!E37="Bestaande Situatie",(_xlfn.IFNA(VLOOKUP(Ontwerp_CO2_Totaal[[#This Row],[Product]]&amp;", "&amp;Ontwerp_CO2_Totaal[[#Headers],[C3]],Database_Productkaarten[#All],18,FALSE),0)*Ontwerpberekening!J37),0))/Ontwerpberekening!$A$2</f>
        <v>141.82248000000001</v>
      </c>
      <c r="Q78" s="56">
        <f>(IF(Ontwerpberekening!E37="Bestaande Situatie",(_xlfn.IFNA(VLOOKUP(Ontwerp_CO2_Totaal[[#This Row],[Product]]&amp;", "&amp;Ontwerp_CO2_Totaal[[#Headers],[C4]],Database_Productkaarten[#All],18,FALSE),0)*Ontwerpberekening!J37),0))/Ontwerpberekening!$A$2</f>
        <v>4.7972408</v>
      </c>
      <c r="R78" s="56">
        <f>(IF(Ontwerpberekening!E37="Bestaande Situatie",(_xlfn.IFNA(VLOOKUP(Ontwerp_CO2_Totaal[[#This Row],[Product]]&amp;", "&amp;Ontwerp_CO2_Totaal[[#Headers],[D1]],Database_Productkaarten[#All],18,FALSE),0)*Ontwerpberekening!J37),0))/Ontwerpberekening!$A$2</f>
        <v>0</v>
      </c>
      <c r="S78" s="56">
        <f>(IF(Ontwerpberekening!E37="Bestaande Situatie",(_xlfn.IFNA(VLOOKUP(Ontwerp_CO2_Totaal[[#This Row],[Product]]&amp;", "&amp;Ontwerp_CO2_Totaal[[#Headers],[D2]],Database_Productkaarten[#All],18,FALSE),0)*Ontwerpberekening!J37),0))/Ontwerpberekening!$A$2</f>
        <v>0</v>
      </c>
      <c r="T78" s="56">
        <f>(IF(Ontwerpberekening!E37="Bestaande Situatie",(_xlfn.IFNA(VLOOKUP(Ontwerp_CO2_Totaal[[#This Row],[Product]]&amp;", "&amp;Ontwerp_CO2_Totaal[[#Headers],[D]],Database_Productkaarten[#All],18,FALSE),0)*Ontwerpberekening!J37),0))/Ontwerpberekening!$A$2</f>
        <v>-389.04024500000003</v>
      </c>
      <c r="U78" s="56">
        <f>SUM(Ontwerp_CO2_Totaal[[#This Row],[A1-A3]:[C4]])+Ontwerp_CO2_Totaal[[#This Row],[D]]</f>
        <v>162.32443260000002</v>
      </c>
    </row>
    <row r="79" spans="2:21">
      <c r="B79" s="31">
        <f>Ontwerpberekening!B38</f>
        <v>0</v>
      </c>
      <c r="C79" s="31">
        <f>Ontwerpberekening!C38</f>
        <v>0</v>
      </c>
      <c r="D79" s="1">
        <f>Ontwerpberekening!G38</f>
        <v>0</v>
      </c>
      <c r="E79" s="56">
        <f>(IF(Ontwerpberekening!E38="Nieuwe Situatie",(_xlfn.IFNA(VLOOKUP(Ontwerp_CO2_Totaal[[#This Row],[Product]]&amp;", "&amp;Ontwerp_CO2_Totaal[[#Headers],[A1]],Database_Productkaarten[#All],18,FALSE),0)*Ontwerpberekening!J38),0))/Ontwerpberekening!$A$2</f>
        <v>0</v>
      </c>
      <c r="F79" s="56">
        <f>(IF(Ontwerpberekening!E38="Nieuwe Situatie",(_xlfn.IFNA(VLOOKUP(Ontwerp_CO2_Totaal[[#This Row],[Product]]&amp;", "&amp;Ontwerp_CO2_Totaal[[#Headers],[A2]],Database_Productkaarten[#All],18,FALSE),0)*Ontwerpberekening!J38),0))/Ontwerpberekening!$A$2</f>
        <v>0</v>
      </c>
      <c r="G79" s="56">
        <f>(IF(Ontwerpberekening!E38="Nieuwe Situatie",(_xlfn.IFNA(VLOOKUP(Ontwerp_CO2_Totaal[[#This Row],[Product]]&amp;", "&amp;Ontwerp_CO2_Totaal[[#Headers],[A3]],Database_Productkaarten[#All],18,FALSE),0)*Ontwerpberekening!J38),0))/Ontwerpberekening!$A$2</f>
        <v>0</v>
      </c>
      <c r="H79" s="56">
        <f>(IF(Ontwerpberekening!E38="Nieuwe Situatie",(_xlfn.IFNA(VLOOKUP(Ontwerp_CO2_Totaal[[#This Row],[Product]]&amp;", "&amp;Ontwerp_CO2_Totaal[[#Headers],[A1-A3]],Database_Productkaarten[#All],18,FALSE),0)*Ontwerpberekening!J38),0))/Ontwerpberekening!$A$2</f>
        <v>0</v>
      </c>
      <c r="I79" s="56">
        <f>(IF(Ontwerpberekening!E38="Nieuwe Situatie",(_xlfn.IFNA(VLOOKUP(Ontwerp_CO2_Totaal[[#This Row],[Product]]&amp;", "&amp;Ontwerp_CO2_Totaal[[#Headers],[A4]],Database_Productkaarten[#All],18,FALSE),0)*Ontwerpberekening!R38),0))/Ontwerpberekening!$A$2</f>
        <v>0</v>
      </c>
      <c r="J79" s="56">
        <f>(IF(Ontwerpberekening!E38="Nieuwe Situatie",(_xlfn.IFNA(VLOOKUP(Ontwerp_CO2_Totaal[[#This Row],[Product]]&amp;", "&amp;Ontwerp_CO2_Totaal[[#Headers],[A5]],Database_Productkaarten[#All],18,FALSE),0)*Ontwerpberekening!J38),0))/Ontwerpberekening!$A$2</f>
        <v>0</v>
      </c>
      <c r="K79" s="56">
        <f>(IF(Ontwerpberekening!E38="Nieuwe Situatie",(_xlfn.IFNA(VLOOKUP(Ontwerp_CO2_Totaal[[#This Row],[Product]]&amp;", "&amp;Ontwerp_CO2_Totaal[[#Headers],[B1]],Database_Productkaarten[#All],18,FALSE),0)*Ontwerpberekening!J38),0))/Ontwerpberekening!$A$2</f>
        <v>0</v>
      </c>
      <c r="L79" s="56">
        <f>(IF(Ontwerpberekening!E38="Nieuwe Situatie",(_xlfn.IFNA(VLOOKUP(Ontwerp_CO2_Totaal[[#This Row],[Product]]&amp;", "&amp;Ontwerp_CO2_Totaal[[#Headers],[B3]],Database_Productkaarten[#All],18,FALSE),0)*Ontwerpberekening!J38),0))/Ontwerpberekening!$A$2</f>
        <v>0</v>
      </c>
      <c r="M79" s="56">
        <f>(IF(Ontwerpberekening!E38="Nieuwe Situatie",(SUM(Ontwerp_CO2_Totaal[[#This Row],[A1]:[B1]],Ontwerp_CO2_Totaal[[#This Row],[C1]:[D2]])*Ontwerpberekening!T38),0))</f>
        <v>0</v>
      </c>
      <c r="N79" s="56">
        <f>(IF(Ontwerpberekening!E38="Bestaande Situatie",(_xlfn.IFNA(VLOOKUP(Ontwerp_CO2_Totaal[[#This Row],[Product]]&amp;", "&amp;Ontwerp_CO2_Totaal[[#Headers],[C1]],Database_Productkaarten[#All],18,FALSE),0)*Ontwerpberekening!J38),0))/Ontwerpberekening!$A$2</f>
        <v>0</v>
      </c>
      <c r="O79" s="56">
        <f>(IF(Ontwerpberekening!E38="Bestaande Situatie",(_xlfn.IFNA(VLOOKUP(Ontwerp_CO2_Totaal[[#This Row],[Product]]&amp;", "&amp;Ontwerp_CO2_Totaal[[#Headers],[C2]],Database_Productkaarten[#All],18,FALSE),0)*Ontwerpberekening!R38),0))/Ontwerpberekening!$A$2</f>
        <v>0</v>
      </c>
      <c r="P79" s="56">
        <f>(IF(Ontwerpberekening!E38="Bestaande Situatie",(_xlfn.IFNA(VLOOKUP(Ontwerp_CO2_Totaal[[#This Row],[Product]]&amp;", "&amp;Ontwerp_CO2_Totaal[[#Headers],[C3]],Database_Productkaarten[#All],18,FALSE),0)*Ontwerpberekening!J38),0))/Ontwerpberekening!$A$2</f>
        <v>0</v>
      </c>
      <c r="Q79" s="56">
        <f>(IF(Ontwerpberekening!E38="Bestaande Situatie",(_xlfn.IFNA(VLOOKUP(Ontwerp_CO2_Totaal[[#This Row],[Product]]&amp;", "&amp;Ontwerp_CO2_Totaal[[#Headers],[C4]],Database_Productkaarten[#All],18,FALSE),0)*Ontwerpberekening!J38),0))/Ontwerpberekening!$A$2</f>
        <v>0</v>
      </c>
      <c r="R79" s="56">
        <f>(IF(Ontwerpberekening!E38="Bestaande Situatie",(_xlfn.IFNA(VLOOKUP(Ontwerp_CO2_Totaal[[#This Row],[Product]]&amp;", "&amp;Ontwerp_CO2_Totaal[[#Headers],[D1]],Database_Productkaarten[#All],18,FALSE),0)*Ontwerpberekening!J38),0))/Ontwerpberekening!$A$2</f>
        <v>0</v>
      </c>
      <c r="S79" s="56">
        <f>(IF(Ontwerpberekening!E38="Bestaande Situatie",(_xlfn.IFNA(VLOOKUP(Ontwerp_CO2_Totaal[[#This Row],[Product]]&amp;", "&amp;Ontwerp_CO2_Totaal[[#Headers],[D2]],Database_Productkaarten[#All],18,FALSE),0)*Ontwerpberekening!J38),0))/Ontwerpberekening!$A$2</f>
        <v>0</v>
      </c>
      <c r="T79" s="56">
        <f>(IF(Ontwerpberekening!E38="Bestaande Situatie",(_xlfn.IFNA(VLOOKUP(Ontwerp_CO2_Totaal[[#This Row],[Product]]&amp;", "&amp;Ontwerp_CO2_Totaal[[#Headers],[D]],Database_Productkaarten[#All],18,FALSE),0)*Ontwerpberekening!J38),0))/Ontwerpberekening!$A$2</f>
        <v>0</v>
      </c>
      <c r="U79" s="56">
        <f>SUM(Ontwerp_CO2_Totaal[[#This Row],[A1-A3]:[C4]])+Ontwerp_CO2_Totaal[[#This Row],[D]]</f>
        <v>0</v>
      </c>
    </row>
    <row r="80" spans="2:21">
      <c r="B80" s="31">
        <f>Ontwerpberekening!B39</f>
        <v>0</v>
      </c>
      <c r="C80" s="31">
        <f>Ontwerpberekening!C39</f>
        <v>0</v>
      </c>
      <c r="D80" s="1">
        <f>Ontwerpberekening!G39</f>
        <v>0</v>
      </c>
      <c r="E80" s="56">
        <f>(IF(Ontwerpberekening!E39="Nieuwe Situatie",(_xlfn.IFNA(VLOOKUP(Ontwerp_CO2_Totaal[[#This Row],[Product]]&amp;", "&amp;Ontwerp_CO2_Totaal[[#Headers],[A1]],Database_Productkaarten[#All],18,FALSE),0)*Ontwerpberekening!J39),0))/Ontwerpberekening!$A$2</f>
        <v>0</v>
      </c>
      <c r="F80" s="56">
        <f>(IF(Ontwerpberekening!E39="Nieuwe Situatie",(_xlfn.IFNA(VLOOKUP(Ontwerp_CO2_Totaal[[#This Row],[Product]]&amp;", "&amp;Ontwerp_CO2_Totaal[[#Headers],[A2]],Database_Productkaarten[#All],18,FALSE),0)*Ontwerpberekening!J39),0))/Ontwerpberekening!$A$2</f>
        <v>0</v>
      </c>
      <c r="G80" s="56">
        <f>(IF(Ontwerpberekening!E39="Nieuwe Situatie",(_xlfn.IFNA(VLOOKUP(Ontwerp_CO2_Totaal[[#This Row],[Product]]&amp;", "&amp;Ontwerp_CO2_Totaal[[#Headers],[A3]],Database_Productkaarten[#All],18,FALSE),0)*Ontwerpberekening!J39),0))/Ontwerpberekening!$A$2</f>
        <v>0</v>
      </c>
      <c r="H80" s="56">
        <f>(IF(Ontwerpberekening!E39="Nieuwe Situatie",(_xlfn.IFNA(VLOOKUP(Ontwerp_CO2_Totaal[[#This Row],[Product]]&amp;", "&amp;Ontwerp_CO2_Totaal[[#Headers],[A1-A3]],Database_Productkaarten[#All],18,FALSE),0)*Ontwerpberekening!J39),0))/Ontwerpberekening!$A$2</f>
        <v>0</v>
      </c>
      <c r="I80" s="56">
        <f>(IF(Ontwerpberekening!E39="Nieuwe Situatie",(_xlfn.IFNA(VLOOKUP(Ontwerp_CO2_Totaal[[#This Row],[Product]]&amp;", "&amp;Ontwerp_CO2_Totaal[[#Headers],[A4]],Database_Productkaarten[#All],18,FALSE),0)*Ontwerpberekening!R39),0))/Ontwerpberekening!$A$2</f>
        <v>0</v>
      </c>
      <c r="J80" s="56">
        <f>(IF(Ontwerpberekening!E39="Nieuwe Situatie",(_xlfn.IFNA(VLOOKUP(Ontwerp_CO2_Totaal[[#This Row],[Product]]&amp;", "&amp;Ontwerp_CO2_Totaal[[#Headers],[A5]],Database_Productkaarten[#All],18,FALSE),0)*Ontwerpberekening!J39),0))/Ontwerpberekening!$A$2</f>
        <v>0</v>
      </c>
      <c r="K80" s="56">
        <f>(IF(Ontwerpberekening!E39="Nieuwe Situatie",(_xlfn.IFNA(VLOOKUP(Ontwerp_CO2_Totaal[[#This Row],[Product]]&amp;", "&amp;Ontwerp_CO2_Totaal[[#Headers],[B1]],Database_Productkaarten[#All],18,FALSE),0)*Ontwerpberekening!J39),0))/Ontwerpberekening!$A$2</f>
        <v>0</v>
      </c>
      <c r="L80" s="56">
        <f>(IF(Ontwerpberekening!E39="Nieuwe Situatie",(_xlfn.IFNA(VLOOKUP(Ontwerp_CO2_Totaal[[#This Row],[Product]]&amp;", "&amp;Ontwerp_CO2_Totaal[[#Headers],[B3]],Database_Productkaarten[#All],18,FALSE),0)*Ontwerpberekening!J39),0))/Ontwerpberekening!$A$2</f>
        <v>0</v>
      </c>
      <c r="M80" s="56">
        <f>(IF(Ontwerpberekening!E39="Nieuwe Situatie",(SUM(Ontwerp_CO2_Totaal[[#This Row],[A1]:[B1]],Ontwerp_CO2_Totaal[[#This Row],[C1]:[D2]])*Ontwerpberekening!T39),0))</f>
        <v>0</v>
      </c>
      <c r="N80" s="56">
        <f>(IF(Ontwerpberekening!E39="Bestaande Situatie",(_xlfn.IFNA(VLOOKUP(Ontwerp_CO2_Totaal[[#This Row],[Product]]&amp;", "&amp;Ontwerp_CO2_Totaal[[#Headers],[C1]],Database_Productkaarten[#All],18,FALSE),0)*Ontwerpberekening!J39),0))/Ontwerpberekening!$A$2</f>
        <v>0</v>
      </c>
      <c r="O80" s="56">
        <f>(IF(Ontwerpberekening!E39="Bestaande Situatie",(_xlfn.IFNA(VLOOKUP(Ontwerp_CO2_Totaal[[#This Row],[Product]]&amp;", "&amp;Ontwerp_CO2_Totaal[[#Headers],[C2]],Database_Productkaarten[#All],18,FALSE),0)*Ontwerpberekening!R39),0))/Ontwerpberekening!$A$2</f>
        <v>0</v>
      </c>
      <c r="P80" s="56">
        <f>(IF(Ontwerpberekening!E39="Bestaande Situatie",(_xlfn.IFNA(VLOOKUP(Ontwerp_CO2_Totaal[[#This Row],[Product]]&amp;", "&amp;Ontwerp_CO2_Totaal[[#Headers],[C3]],Database_Productkaarten[#All],18,FALSE),0)*Ontwerpberekening!J39),0))/Ontwerpberekening!$A$2</f>
        <v>0</v>
      </c>
      <c r="Q80" s="56">
        <f>(IF(Ontwerpberekening!E39="Bestaande Situatie",(_xlfn.IFNA(VLOOKUP(Ontwerp_CO2_Totaal[[#This Row],[Product]]&amp;", "&amp;Ontwerp_CO2_Totaal[[#Headers],[C4]],Database_Productkaarten[#All],18,FALSE),0)*Ontwerpberekening!J39),0))/Ontwerpberekening!$A$2</f>
        <v>0</v>
      </c>
      <c r="R80" s="56">
        <f>(IF(Ontwerpberekening!E39="Bestaande Situatie",(_xlfn.IFNA(VLOOKUP(Ontwerp_CO2_Totaal[[#This Row],[Product]]&amp;", "&amp;Ontwerp_CO2_Totaal[[#Headers],[D1]],Database_Productkaarten[#All],18,FALSE),0)*Ontwerpberekening!J39),0))/Ontwerpberekening!$A$2</f>
        <v>0</v>
      </c>
      <c r="S80" s="56">
        <f>(IF(Ontwerpberekening!E39="Bestaande Situatie",(_xlfn.IFNA(VLOOKUP(Ontwerp_CO2_Totaal[[#This Row],[Product]]&amp;", "&amp;Ontwerp_CO2_Totaal[[#Headers],[D2]],Database_Productkaarten[#All],18,FALSE),0)*Ontwerpberekening!J39),0))/Ontwerpberekening!$A$2</f>
        <v>0</v>
      </c>
      <c r="T80" s="56">
        <f>(IF(Ontwerpberekening!E39="Bestaande Situatie",(_xlfn.IFNA(VLOOKUP(Ontwerp_CO2_Totaal[[#This Row],[Product]]&amp;", "&amp;Ontwerp_CO2_Totaal[[#Headers],[D]],Database_Productkaarten[#All],18,FALSE),0)*Ontwerpberekening!J39),0))/Ontwerpberekening!$A$2</f>
        <v>0</v>
      </c>
      <c r="U80" s="56">
        <f>SUM(Ontwerp_CO2_Totaal[[#This Row],[A1-A3]:[C4]])+Ontwerp_CO2_Totaal[[#This Row],[D]]</f>
        <v>0</v>
      </c>
    </row>
    <row r="81" spans="2:33">
      <c r="B81" s="31">
        <f>Ontwerpberekening!B40</f>
        <v>0</v>
      </c>
      <c r="C81" s="31">
        <f>Ontwerpberekening!C40</f>
        <v>0</v>
      </c>
      <c r="D81" s="1">
        <f>Ontwerpberekening!G40</f>
        <v>0</v>
      </c>
      <c r="E81" s="56">
        <f>(IF(Ontwerpberekening!E40="Nieuwe Situatie",(_xlfn.IFNA(VLOOKUP(Ontwerp_CO2_Totaal[[#This Row],[Product]]&amp;", "&amp;Ontwerp_CO2_Totaal[[#Headers],[A1]],Database_Productkaarten[#All],18,FALSE),0)*Ontwerpberekening!J40),0))/Ontwerpberekening!$A$2</f>
        <v>0</v>
      </c>
      <c r="F81" s="56">
        <f>(IF(Ontwerpberekening!E40="Nieuwe Situatie",(_xlfn.IFNA(VLOOKUP(Ontwerp_CO2_Totaal[[#This Row],[Product]]&amp;", "&amp;Ontwerp_CO2_Totaal[[#Headers],[A2]],Database_Productkaarten[#All],18,FALSE),0)*Ontwerpberekening!J40),0))/Ontwerpberekening!$A$2</f>
        <v>0</v>
      </c>
      <c r="G81" s="56">
        <f>(IF(Ontwerpberekening!E40="Nieuwe Situatie",(_xlfn.IFNA(VLOOKUP(Ontwerp_CO2_Totaal[[#This Row],[Product]]&amp;", "&amp;Ontwerp_CO2_Totaal[[#Headers],[A3]],Database_Productkaarten[#All],18,FALSE),0)*Ontwerpberekening!J40),0))/Ontwerpberekening!$A$2</f>
        <v>0</v>
      </c>
      <c r="H81" s="56">
        <f>(IF(Ontwerpberekening!E40="Nieuwe Situatie",(_xlfn.IFNA(VLOOKUP(Ontwerp_CO2_Totaal[[#This Row],[Product]]&amp;", "&amp;Ontwerp_CO2_Totaal[[#Headers],[A1-A3]],Database_Productkaarten[#All],18,FALSE),0)*Ontwerpberekening!J40),0))/Ontwerpberekening!$A$2</f>
        <v>0</v>
      </c>
      <c r="I81" s="56">
        <f>(IF(Ontwerpberekening!E40="Nieuwe Situatie",(_xlfn.IFNA(VLOOKUP(Ontwerp_CO2_Totaal[[#This Row],[Product]]&amp;", "&amp;Ontwerp_CO2_Totaal[[#Headers],[A4]],Database_Productkaarten[#All],18,FALSE),0)*Ontwerpberekening!R40),0))/Ontwerpberekening!$A$2</f>
        <v>0</v>
      </c>
      <c r="J81" s="56">
        <f>(IF(Ontwerpberekening!E40="Nieuwe Situatie",(_xlfn.IFNA(VLOOKUP(Ontwerp_CO2_Totaal[[#This Row],[Product]]&amp;", "&amp;Ontwerp_CO2_Totaal[[#Headers],[A5]],Database_Productkaarten[#All],18,FALSE),0)*Ontwerpberekening!J40),0))/Ontwerpberekening!$A$2</f>
        <v>0</v>
      </c>
      <c r="K81" s="56">
        <f>(IF(Ontwerpberekening!E40="Nieuwe Situatie",(_xlfn.IFNA(VLOOKUP(Ontwerp_CO2_Totaal[[#This Row],[Product]]&amp;", "&amp;Ontwerp_CO2_Totaal[[#Headers],[B1]],Database_Productkaarten[#All],18,FALSE),0)*Ontwerpberekening!J40),0))/Ontwerpberekening!$A$2</f>
        <v>0</v>
      </c>
      <c r="L81" s="56">
        <f>(IF(Ontwerpberekening!E40="Nieuwe Situatie",(_xlfn.IFNA(VLOOKUP(Ontwerp_CO2_Totaal[[#This Row],[Product]]&amp;", "&amp;Ontwerp_CO2_Totaal[[#Headers],[B3]],Database_Productkaarten[#All],18,FALSE),0)*Ontwerpberekening!J40),0))/Ontwerpberekening!$A$2</f>
        <v>0</v>
      </c>
      <c r="M81" s="56">
        <f>(IF(Ontwerpberekening!E40="Nieuwe Situatie",(SUM(Ontwerp_CO2_Totaal[[#This Row],[A1]:[B1]],Ontwerp_CO2_Totaal[[#This Row],[C1]:[D2]])*Ontwerpberekening!T40),0))</f>
        <v>0</v>
      </c>
      <c r="N81" s="56">
        <f>(IF(Ontwerpberekening!E40="Bestaande Situatie",(_xlfn.IFNA(VLOOKUP(Ontwerp_CO2_Totaal[[#This Row],[Product]]&amp;", "&amp;Ontwerp_CO2_Totaal[[#Headers],[C1]],Database_Productkaarten[#All],18,FALSE),0)*Ontwerpberekening!J40),0))/Ontwerpberekening!$A$2</f>
        <v>0</v>
      </c>
      <c r="O81" s="56">
        <f>(IF(Ontwerpberekening!E40="Bestaande Situatie",(_xlfn.IFNA(VLOOKUP(Ontwerp_CO2_Totaal[[#This Row],[Product]]&amp;", "&amp;Ontwerp_CO2_Totaal[[#Headers],[C2]],Database_Productkaarten[#All],18,FALSE),0)*Ontwerpberekening!R40),0))/Ontwerpberekening!$A$2</f>
        <v>0</v>
      </c>
      <c r="P81" s="56">
        <f>(IF(Ontwerpberekening!E40="Bestaande Situatie",(_xlfn.IFNA(VLOOKUP(Ontwerp_CO2_Totaal[[#This Row],[Product]]&amp;", "&amp;Ontwerp_CO2_Totaal[[#Headers],[C3]],Database_Productkaarten[#All],18,FALSE),0)*Ontwerpberekening!J40),0))/Ontwerpberekening!$A$2</f>
        <v>0</v>
      </c>
      <c r="Q81" s="56">
        <f>(IF(Ontwerpberekening!E40="Bestaande Situatie",(_xlfn.IFNA(VLOOKUP(Ontwerp_CO2_Totaal[[#This Row],[Product]]&amp;", "&amp;Ontwerp_CO2_Totaal[[#Headers],[C4]],Database_Productkaarten[#All],18,FALSE),0)*Ontwerpberekening!J40),0))/Ontwerpberekening!$A$2</f>
        <v>0</v>
      </c>
      <c r="R81" s="56">
        <f>(IF(Ontwerpberekening!E40="Bestaande Situatie",(_xlfn.IFNA(VLOOKUP(Ontwerp_CO2_Totaal[[#This Row],[Product]]&amp;", "&amp;Ontwerp_CO2_Totaal[[#Headers],[D1]],Database_Productkaarten[#All],18,FALSE),0)*Ontwerpberekening!J40),0))/Ontwerpberekening!$A$2</f>
        <v>0</v>
      </c>
      <c r="S81" s="56">
        <f>(IF(Ontwerpberekening!E40="Bestaande Situatie",(_xlfn.IFNA(VLOOKUP(Ontwerp_CO2_Totaal[[#This Row],[Product]]&amp;", "&amp;Ontwerp_CO2_Totaal[[#Headers],[D2]],Database_Productkaarten[#All],18,FALSE),0)*Ontwerpberekening!J40),0))/Ontwerpberekening!$A$2</f>
        <v>0</v>
      </c>
      <c r="T81" s="56">
        <f>(IF(Ontwerpberekening!E40="Bestaande Situatie",(_xlfn.IFNA(VLOOKUP(Ontwerp_CO2_Totaal[[#This Row],[Product]]&amp;", "&amp;Ontwerp_CO2_Totaal[[#Headers],[D]],Database_Productkaarten[#All],18,FALSE),0)*Ontwerpberekening!J40),0))/Ontwerpberekening!$A$2</f>
        <v>0</v>
      </c>
      <c r="U81" s="56">
        <f>SUM(Ontwerp_CO2_Totaal[[#This Row],[A1-A3]:[C4]])+Ontwerp_CO2_Totaal[[#This Row],[D]]</f>
        <v>0</v>
      </c>
    </row>
    <row r="82" spans="2:33">
      <c r="B82" s="31">
        <f>Ontwerpberekening!B41</f>
        <v>0</v>
      </c>
      <c r="C82" s="31">
        <f>Ontwerpberekening!C41</f>
        <v>0</v>
      </c>
      <c r="D82" s="1">
        <f>Ontwerpberekening!G41</f>
        <v>0</v>
      </c>
      <c r="E82" s="56">
        <f>(IF(Ontwerpberekening!E41="Nieuwe Situatie",(_xlfn.IFNA(VLOOKUP(Ontwerp_CO2_Totaal[[#This Row],[Product]]&amp;", "&amp;Ontwerp_CO2_Totaal[[#Headers],[A1]],Database_Productkaarten[#All],18,FALSE),0)*Ontwerpberekening!J41),0))/Ontwerpberekening!$A$2</f>
        <v>0</v>
      </c>
      <c r="F82" s="56">
        <f>(IF(Ontwerpberekening!E41="Nieuwe Situatie",(_xlfn.IFNA(VLOOKUP(Ontwerp_CO2_Totaal[[#This Row],[Product]]&amp;", "&amp;Ontwerp_CO2_Totaal[[#Headers],[A2]],Database_Productkaarten[#All],18,FALSE),0)*Ontwerpberekening!J41),0))/Ontwerpberekening!$A$2</f>
        <v>0</v>
      </c>
      <c r="G82" s="56">
        <f>(IF(Ontwerpberekening!E41="Nieuwe Situatie",(_xlfn.IFNA(VLOOKUP(Ontwerp_CO2_Totaal[[#This Row],[Product]]&amp;", "&amp;Ontwerp_CO2_Totaal[[#Headers],[A3]],Database_Productkaarten[#All],18,FALSE),0)*Ontwerpberekening!J41),0))/Ontwerpberekening!$A$2</f>
        <v>0</v>
      </c>
      <c r="H82" s="56">
        <f>(IF(Ontwerpberekening!E41="Nieuwe Situatie",(_xlfn.IFNA(VLOOKUP(Ontwerp_CO2_Totaal[[#This Row],[Product]]&amp;", "&amp;Ontwerp_CO2_Totaal[[#Headers],[A1-A3]],Database_Productkaarten[#All],18,FALSE),0)*Ontwerpberekening!J41),0))/Ontwerpberekening!$A$2</f>
        <v>0</v>
      </c>
      <c r="I82" s="56">
        <f>(IF(Ontwerpberekening!E41="Nieuwe Situatie",(_xlfn.IFNA(VLOOKUP(Ontwerp_CO2_Totaal[[#This Row],[Product]]&amp;", "&amp;Ontwerp_CO2_Totaal[[#Headers],[A4]],Database_Productkaarten[#All],18,FALSE),0)*Ontwerpberekening!R41),0))/Ontwerpberekening!$A$2</f>
        <v>0</v>
      </c>
      <c r="J82" s="56">
        <f>(IF(Ontwerpberekening!E41="Nieuwe Situatie",(_xlfn.IFNA(VLOOKUP(Ontwerp_CO2_Totaal[[#This Row],[Product]]&amp;", "&amp;Ontwerp_CO2_Totaal[[#Headers],[A5]],Database_Productkaarten[#All],18,FALSE),0)*Ontwerpberekening!J41),0))/Ontwerpberekening!$A$2</f>
        <v>0</v>
      </c>
      <c r="K82" s="56">
        <f>(IF(Ontwerpberekening!E41="Nieuwe Situatie",(_xlfn.IFNA(VLOOKUP(Ontwerp_CO2_Totaal[[#This Row],[Product]]&amp;", "&amp;Ontwerp_CO2_Totaal[[#Headers],[B1]],Database_Productkaarten[#All],18,FALSE),0)*Ontwerpberekening!J41),0))/Ontwerpberekening!$A$2</f>
        <v>0</v>
      </c>
      <c r="L82" s="56">
        <f>(IF(Ontwerpberekening!E41="Nieuwe Situatie",(_xlfn.IFNA(VLOOKUP(Ontwerp_CO2_Totaal[[#This Row],[Product]]&amp;", "&amp;Ontwerp_CO2_Totaal[[#Headers],[B3]],Database_Productkaarten[#All],18,FALSE),0)*Ontwerpberekening!J41),0))/Ontwerpberekening!$A$2</f>
        <v>0</v>
      </c>
      <c r="M82" s="56">
        <f>(IF(Ontwerpberekening!E41="Nieuwe Situatie",(SUM(Ontwerp_CO2_Totaal[[#This Row],[A1]:[B1]],Ontwerp_CO2_Totaal[[#This Row],[C1]:[D2]])*Ontwerpberekening!T41),0))</f>
        <v>0</v>
      </c>
      <c r="N82" s="56">
        <f>(IF(Ontwerpberekening!E41="Bestaande Situatie",(_xlfn.IFNA(VLOOKUP(Ontwerp_CO2_Totaal[[#This Row],[Product]]&amp;", "&amp;Ontwerp_CO2_Totaal[[#Headers],[C1]],Database_Productkaarten[#All],18,FALSE),0)*Ontwerpberekening!J41),0))/Ontwerpberekening!$A$2</f>
        <v>0</v>
      </c>
      <c r="O82" s="56">
        <f>(IF(Ontwerpberekening!E41="Bestaande Situatie",(_xlfn.IFNA(VLOOKUP(Ontwerp_CO2_Totaal[[#This Row],[Product]]&amp;", "&amp;Ontwerp_CO2_Totaal[[#Headers],[C2]],Database_Productkaarten[#All],18,FALSE),0)*Ontwerpberekening!R41),0))/Ontwerpberekening!$A$2</f>
        <v>0</v>
      </c>
      <c r="P82" s="56">
        <f>(IF(Ontwerpberekening!E41="Bestaande Situatie",(_xlfn.IFNA(VLOOKUP(Ontwerp_CO2_Totaal[[#This Row],[Product]]&amp;", "&amp;Ontwerp_CO2_Totaal[[#Headers],[C3]],Database_Productkaarten[#All],18,FALSE),0)*Ontwerpberekening!J41),0))/Ontwerpberekening!$A$2</f>
        <v>0</v>
      </c>
      <c r="Q82" s="56">
        <f>(IF(Ontwerpberekening!E41="Bestaande Situatie",(_xlfn.IFNA(VLOOKUP(Ontwerp_CO2_Totaal[[#This Row],[Product]]&amp;", "&amp;Ontwerp_CO2_Totaal[[#Headers],[C4]],Database_Productkaarten[#All],18,FALSE),0)*Ontwerpberekening!J41),0))/Ontwerpberekening!$A$2</f>
        <v>0</v>
      </c>
      <c r="R82" s="56">
        <f>(IF(Ontwerpberekening!E41="Bestaande Situatie",(_xlfn.IFNA(VLOOKUP(Ontwerp_CO2_Totaal[[#This Row],[Product]]&amp;", "&amp;Ontwerp_CO2_Totaal[[#Headers],[D1]],Database_Productkaarten[#All],18,FALSE),0)*Ontwerpberekening!J41),0))/Ontwerpberekening!$A$2</f>
        <v>0</v>
      </c>
      <c r="S82" s="56">
        <f>(IF(Ontwerpberekening!E41="Bestaande Situatie",(_xlfn.IFNA(VLOOKUP(Ontwerp_CO2_Totaal[[#This Row],[Product]]&amp;", "&amp;Ontwerp_CO2_Totaal[[#Headers],[D2]],Database_Productkaarten[#All],18,FALSE),0)*Ontwerpberekening!J41),0))/Ontwerpberekening!$A$2</f>
        <v>0</v>
      </c>
      <c r="T82" s="56">
        <f>(IF(Ontwerpberekening!E41="Bestaande Situatie",(_xlfn.IFNA(VLOOKUP(Ontwerp_CO2_Totaal[[#This Row],[Product]]&amp;", "&amp;Ontwerp_CO2_Totaal[[#Headers],[D]],Database_Productkaarten[#All],18,FALSE),0)*Ontwerpberekening!J41),0))/Ontwerpberekening!$A$2</f>
        <v>0</v>
      </c>
      <c r="U82" s="56">
        <f>SUM(Ontwerp_CO2_Totaal[[#This Row],[A1-A3]:[C4]])+Ontwerp_CO2_Totaal[[#This Row],[D]]</f>
        <v>0</v>
      </c>
    </row>
    <row r="83" spans="2:33">
      <c r="B83" s="1" t="s">
        <v>90</v>
      </c>
      <c r="C83" s="1"/>
      <c r="D83" s="1"/>
      <c r="E83" s="61">
        <f>SUBTOTAL(109,Ontwerp_CO2_Totaal[A1])</f>
        <v>32995.89</v>
      </c>
      <c r="F83" s="61">
        <f>SUBTOTAL(109,Ontwerp_CO2_Totaal[A2])</f>
        <v>1445.97318</v>
      </c>
      <c r="G83" s="61">
        <f>SUBTOTAL(109,Ontwerp_CO2_Totaal[A3])</f>
        <v>1751.9509499999999</v>
      </c>
      <c r="H83" s="61">
        <f>SUBTOTAL(109,Ontwerp_CO2_Totaal[A1-A3])</f>
        <v>66819.59438580001</v>
      </c>
      <c r="I83" s="61">
        <f>SUBTOTAL(109,Ontwerp_CO2_Totaal[A4])</f>
        <v>5899.8298859647603</v>
      </c>
      <c r="J83" s="61">
        <f>SUBTOTAL(109,Ontwerp_CO2_Totaal[A5])</f>
        <v>11663.430950000002</v>
      </c>
      <c r="K83" s="61">
        <f>SUBTOTAL(109,Ontwerp_CO2_Totaal[B1])</f>
        <v>0</v>
      </c>
      <c r="L83" s="61">
        <f>SUBTOTAL(109,Ontwerp_CO2_Totaal[B3])</f>
        <v>0</v>
      </c>
      <c r="M83" s="61">
        <f>SUBTOTAL(109,Ontwerp_CO2_Totaal[B4])</f>
        <v>0</v>
      </c>
      <c r="N83" s="61">
        <f>SUBTOTAL(109,Ontwerp_CO2_Totaal[C1])</f>
        <v>5104.1079709799997</v>
      </c>
      <c r="O83" s="61">
        <f>SUBTOTAL(109,Ontwerp_CO2_Totaal[C2])</f>
        <v>21304.936929497238</v>
      </c>
      <c r="P83" s="61">
        <f>SUBTOTAL(109,Ontwerp_CO2_Totaal[C3])</f>
        <v>16425.46744</v>
      </c>
      <c r="Q83" s="61">
        <f>SUBTOTAL(109,Ontwerp_CO2_Totaal[C4])</f>
        <v>540.07528844600017</v>
      </c>
      <c r="R83" s="61">
        <f>SUBTOTAL(109,Ontwerp_CO2_Totaal[D1])</f>
        <v>0</v>
      </c>
      <c r="S83" s="61">
        <f>SUBTOTAL(109,Ontwerp_CO2_Totaal[D2])</f>
        <v>0</v>
      </c>
      <c r="T83" s="61">
        <f>SUBTOTAL(109,Ontwerp_CO2_Totaal[D])</f>
        <v>-13123.343822840001</v>
      </c>
      <c r="U83" s="141">
        <f>SUBTOTAL(109,Ontwerp_CO2_Totaal[Totaal])</f>
        <v>114634.099027848</v>
      </c>
    </row>
    <row r="84" spans="2:33">
      <c r="B84" s="13"/>
      <c r="C84" s="13"/>
      <c r="D84" s="13"/>
      <c r="E84" s="13"/>
      <c r="F84" s="13"/>
      <c r="G84" s="13"/>
      <c r="H84" s="13"/>
      <c r="I84" s="13"/>
      <c r="J84" s="13"/>
      <c r="K84" s="13"/>
      <c r="L84" s="13"/>
      <c r="M84" s="13"/>
      <c r="N84" s="13"/>
      <c r="O84" s="13"/>
      <c r="P84" s="13"/>
    </row>
    <row r="85" spans="2:33">
      <c r="B85" s="13"/>
      <c r="C85" s="13"/>
      <c r="D85" s="13"/>
      <c r="E85" s="13"/>
      <c r="F85" s="13"/>
      <c r="G85" s="13"/>
      <c r="H85" s="13"/>
      <c r="I85" s="13"/>
      <c r="J85" s="13"/>
      <c r="K85" s="13"/>
      <c r="L85" s="13"/>
      <c r="M85" s="13"/>
      <c r="N85" s="13"/>
      <c r="O85" s="13"/>
      <c r="P85" s="13"/>
    </row>
    <row r="86" spans="2:33" ht="18">
      <c r="B86" s="110" t="s">
        <v>108</v>
      </c>
      <c r="C86" s="110"/>
      <c r="D86" s="110"/>
      <c r="E86" s="13"/>
      <c r="F86" s="13"/>
      <c r="G86" s="13"/>
      <c r="H86" s="13"/>
      <c r="I86" s="13"/>
      <c r="J86" s="13"/>
      <c r="K86" s="13"/>
      <c r="L86" s="13"/>
      <c r="M86" s="13"/>
      <c r="N86" s="13"/>
      <c r="O86" s="13"/>
      <c r="P86" s="13"/>
    </row>
    <row r="87" spans="2:33" ht="15.75" thickBot="1">
      <c r="B87" s="1" t="s">
        <v>70</v>
      </c>
      <c r="C87" s="1" t="s">
        <v>3</v>
      </c>
      <c r="D87" s="50" t="s">
        <v>7</v>
      </c>
      <c r="E87" s="58" t="s">
        <v>109</v>
      </c>
      <c r="F87" s="59" t="s">
        <v>110</v>
      </c>
      <c r="G87" s="59" t="s">
        <v>111</v>
      </c>
      <c r="H87" s="59" t="s">
        <v>112</v>
      </c>
      <c r="I87" s="129" t="s">
        <v>113</v>
      </c>
      <c r="J87" s="59" t="s">
        <v>114</v>
      </c>
      <c r="K87" s="59" t="s">
        <v>115</v>
      </c>
      <c r="L87" s="145" t="s">
        <v>116</v>
      </c>
      <c r="M87" s="145" t="s">
        <v>117</v>
      </c>
      <c r="N87" s="145" t="s">
        <v>118</v>
      </c>
      <c r="O87" s="13"/>
      <c r="P87" s="13"/>
      <c r="Q87" s="13"/>
      <c r="R87" s="13"/>
      <c r="S87" s="13"/>
      <c r="Z87" s="13"/>
    </row>
    <row r="88" spans="2:33" ht="15.75" thickTop="1">
      <c r="B88" s="51" t="str">
        <f>Ontwerpberekening!B5</f>
        <v>Open Menggranulaat</v>
      </c>
      <c r="C88" s="51" t="str">
        <f>Ontwerpberekening!C5</f>
        <v>Grondontgraving</v>
      </c>
      <c r="D88" s="51" t="str">
        <f>Ontwerpberekening!G5</f>
        <v>Ophoogmateriaal (Grond)</v>
      </c>
      <c r="E88" s="93">
        <f>Ontwerpberekening!R5</f>
        <v>715</v>
      </c>
      <c r="F88" s="60">
        <f>_xlfn.IFNA(VLOOKUP(Referentie_Materiaal_Totaal46[[#This Row],[Product]]&amp;", "&amp;"Totaal",Database_Productkaarten[#All],64,FALSE),0)</f>
        <v>1</v>
      </c>
      <c r="G88" s="94">
        <f>Referentie_Materiaal_Totaal46[[#This Row],[Hoeveelheid '[ton']]]*(1-Referentie_Materiaal_Totaal46[[#This Row],[% Secundair]])</f>
        <v>0</v>
      </c>
      <c r="H88" s="94">
        <f>Referentie_Materiaal_Totaal46[[#This Row],[Hoeveelheid '[ton']]]*Referentie_Materiaal_Totaal46[[#This Row],[% Secundair]]</f>
        <v>715</v>
      </c>
      <c r="I88" s="128">
        <f>Ontwerpberekening!R5*Ontwerpberekening!T5</f>
        <v>0</v>
      </c>
      <c r="J88" s="128">
        <f>Referentie_Materiaal_Totaal46[[#This Row],[Hoeveelheid Vervaningen '[ton']]]*(1-Referentie_Materiaal_Totaal46[[#This Row],[% Secundair]])</f>
        <v>0</v>
      </c>
      <c r="K88" s="128">
        <f>Referentie_Materiaal_Totaal46[[#This Row],[Hoeveelheid Vervaningen '[ton']]]*Referentie_Materiaal_Totaal46[[#This Row],[% Secundair]]</f>
        <v>0</v>
      </c>
      <c r="L88" s="128">
        <f>Referentie_Materiaal_Totaal46[[#This Row],[Primair materiaalverbruik '[ton']]]+Referentie_Materiaal_Totaal46[[#This Row],[Primair materiaalverbruik Vervangingen '[ton']]]</f>
        <v>0</v>
      </c>
      <c r="M88" s="128">
        <f>Referentie_Materiaal_Totaal46[[#This Row],[Secundair materiaalverbruik '[ton']]]+Referentie_Materiaal_Totaal46[[#This Row],[Secundair materiaalverbruik Vervangingen '[ton']]]</f>
        <v>715</v>
      </c>
      <c r="N88" s="128">
        <f>Referentie_Materiaal_Totaal46[[#This Row],[Totaal Primair Materieelgebruik]]+Referentie_Materiaal_Totaal46[[#This Row],[Totaal Secundair Materieelgebruik]]</f>
        <v>715</v>
      </c>
      <c r="O88" s="13"/>
      <c r="P88" s="13"/>
      <c r="Q88" s="13"/>
      <c r="R88" s="13"/>
      <c r="S88" s="13"/>
      <c r="Z88" s="13"/>
    </row>
    <row r="89" spans="2:33">
      <c r="B89" s="51" t="str">
        <f>Ontwerpberekening!B6</f>
        <v>Open Menggranulaat</v>
      </c>
      <c r="C89" s="51" t="str">
        <f>Ontwerpberekening!C6</f>
        <v>Zandbed</v>
      </c>
      <c r="D89" s="51" t="str">
        <f>Ontwerpberekening!G6</f>
        <v>Ophoogmateriaal (Zand)</v>
      </c>
      <c r="E89" s="93">
        <f>Ontwerpberekening!R6</f>
        <v>262.5</v>
      </c>
      <c r="F89" s="60">
        <f>_xlfn.IFNA(VLOOKUP(Referentie_Materiaal_Totaal46[[#This Row],[Product]]&amp;", "&amp;"Totaal",Database_Productkaarten[#All],64,FALSE),0)</f>
        <v>0</v>
      </c>
      <c r="G89" s="94">
        <f>Referentie_Materiaal_Totaal46[[#This Row],[Hoeveelheid '[ton']]]*(1-Referentie_Materiaal_Totaal46[[#This Row],[% Secundair]])</f>
        <v>262.5</v>
      </c>
      <c r="H89" s="94">
        <f>Referentie_Materiaal_Totaal46[[#This Row],[Hoeveelheid '[ton']]]*Referentie_Materiaal_Totaal46[[#This Row],[% Secundair]]</f>
        <v>0</v>
      </c>
      <c r="I89" s="128">
        <f>Ontwerpberekening!R6*Ontwerpberekening!T6</f>
        <v>0</v>
      </c>
      <c r="J89" s="128">
        <f>Referentie_Materiaal_Totaal46[[#This Row],[Hoeveelheid Vervaningen '[ton']]]*(1-Referentie_Materiaal_Totaal46[[#This Row],[% Secundair]])</f>
        <v>0</v>
      </c>
      <c r="K89" s="128">
        <f>Referentie_Materiaal_Totaal46[[#This Row],[Hoeveelheid Vervaningen '[ton']]]*Referentie_Materiaal_Totaal46[[#This Row],[% Secundair]]</f>
        <v>0</v>
      </c>
      <c r="L89" s="128">
        <f>Referentie_Materiaal_Totaal46[[#This Row],[Primair materiaalverbruik '[ton']]]+Referentie_Materiaal_Totaal46[[#This Row],[Primair materiaalverbruik Vervangingen '[ton']]]</f>
        <v>262.5</v>
      </c>
      <c r="M89" s="128">
        <f>Referentie_Materiaal_Totaal46[[#This Row],[Secundair materiaalverbruik '[ton']]]+Referentie_Materiaal_Totaal46[[#This Row],[Secundair materiaalverbruik Vervangingen '[ton']]]</f>
        <v>0</v>
      </c>
      <c r="N89" s="128">
        <f>Referentie_Materiaal_Totaal46[[#This Row],[Totaal Primair Materieelgebruik]]+Referentie_Materiaal_Totaal46[[#This Row],[Totaal Secundair Materieelgebruik]]</f>
        <v>262.5</v>
      </c>
      <c r="O89" s="13"/>
      <c r="P89" s="13"/>
      <c r="Q89" s="13"/>
      <c r="R89" s="13"/>
      <c r="S89" s="13"/>
      <c r="Z89" s="13"/>
    </row>
    <row r="90" spans="2:33">
      <c r="B90" s="51" t="str">
        <f>Ontwerpberekening!B7</f>
        <v>Open Menggranulaat</v>
      </c>
      <c r="C90" s="51" t="str">
        <f>Ontwerpberekening!C7</f>
        <v>Funderingswapening</v>
      </c>
      <c r="D90" s="51" t="str">
        <f>Ontwerpberekening!G7</f>
        <v>Geogrid</v>
      </c>
      <c r="E90" s="93">
        <f>Ontwerpberekening!R7</f>
        <v>127.5</v>
      </c>
      <c r="F90" s="60">
        <f>_xlfn.IFNA(VLOOKUP(Referentie_Materiaal_Totaal46[[#This Row],[Product]]&amp;", "&amp;"Totaal",Database_Productkaarten[#All],64,FALSE),0)</f>
        <v>0</v>
      </c>
      <c r="G90" s="94">
        <f>Referentie_Materiaal_Totaal46[[#This Row],[Hoeveelheid '[ton']]]*(1-Referentie_Materiaal_Totaal46[[#This Row],[% Secundair]])</f>
        <v>127.5</v>
      </c>
      <c r="H90" s="94">
        <f>Referentie_Materiaal_Totaal46[[#This Row],[Hoeveelheid '[ton']]]*Referentie_Materiaal_Totaal46[[#This Row],[% Secundair]]</f>
        <v>0</v>
      </c>
      <c r="I90" s="128">
        <f>Ontwerpberekening!R7*Ontwerpberekening!T7</f>
        <v>0</v>
      </c>
      <c r="J90" s="128">
        <f>Referentie_Materiaal_Totaal46[[#This Row],[Hoeveelheid Vervaningen '[ton']]]*(1-Referentie_Materiaal_Totaal46[[#This Row],[% Secundair]])</f>
        <v>0</v>
      </c>
      <c r="K90" s="128">
        <f>Referentie_Materiaal_Totaal46[[#This Row],[Hoeveelheid Vervaningen '[ton']]]*Referentie_Materiaal_Totaal46[[#This Row],[% Secundair]]</f>
        <v>0</v>
      </c>
      <c r="L90" s="128">
        <f>Referentie_Materiaal_Totaal46[[#This Row],[Primair materiaalverbruik '[ton']]]+Referentie_Materiaal_Totaal46[[#This Row],[Primair materiaalverbruik Vervangingen '[ton']]]</f>
        <v>127.5</v>
      </c>
      <c r="M90" s="128">
        <f>Referentie_Materiaal_Totaal46[[#This Row],[Secundair materiaalverbruik '[ton']]]+Referentie_Materiaal_Totaal46[[#This Row],[Secundair materiaalverbruik Vervangingen '[ton']]]</f>
        <v>0</v>
      </c>
      <c r="N90" s="128">
        <f>Referentie_Materiaal_Totaal46[[#This Row],[Totaal Primair Materieelgebruik]]+Referentie_Materiaal_Totaal46[[#This Row],[Totaal Secundair Materieelgebruik]]</f>
        <v>127.5</v>
      </c>
      <c r="O90" s="13"/>
      <c r="P90" s="13"/>
      <c r="Q90" s="13"/>
      <c r="R90" s="13"/>
      <c r="S90" s="13"/>
      <c r="Z90" s="140" t="s">
        <v>91</v>
      </c>
      <c r="AA90" t="s">
        <v>119</v>
      </c>
      <c r="AB90" t="s">
        <v>120</v>
      </c>
      <c r="AC90"/>
      <c r="AD90"/>
      <c r="AE90"/>
      <c r="AF90"/>
      <c r="AG90"/>
    </row>
    <row r="91" spans="2:33">
      <c r="B91" s="51" t="str">
        <f>Ontwerpberekening!B8</f>
        <v>Open Menggranulaat</v>
      </c>
      <c r="C91" s="51" t="str">
        <f>Ontwerpberekening!C8</f>
        <v>Menggranulaat</v>
      </c>
      <c r="D91" s="51" t="str">
        <f>Ontwerpberekening!G8</f>
        <v>Menggranulaat 200mm</v>
      </c>
      <c r="E91" s="93">
        <f>Ontwerpberekening!R8</f>
        <v>390</v>
      </c>
      <c r="F91" s="60">
        <f>_xlfn.IFNA(VLOOKUP(Referentie_Materiaal_Totaal46[[#This Row],[Product]]&amp;", "&amp;"Totaal",Database_Productkaarten[#All],64,FALSE),0)</f>
        <v>1</v>
      </c>
      <c r="G91" s="94">
        <f>Referentie_Materiaal_Totaal46[[#This Row],[Hoeveelheid '[ton']]]*(1-Referentie_Materiaal_Totaal46[[#This Row],[% Secundair]])</f>
        <v>0</v>
      </c>
      <c r="H91" s="94">
        <f>Referentie_Materiaal_Totaal46[[#This Row],[Hoeveelheid '[ton']]]*Referentie_Materiaal_Totaal46[[#This Row],[% Secundair]]</f>
        <v>390</v>
      </c>
      <c r="I91" s="128">
        <f>Ontwerpberekening!R8*Ontwerpberekening!T8</f>
        <v>0</v>
      </c>
      <c r="J91" s="128">
        <f>Referentie_Materiaal_Totaal46[[#This Row],[Hoeveelheid Vervaningen '[ton']]]*(1-Referentie_Materiaal_Totaal46[[#This Row],[% Secundair]])</f>
        <v>0</v>
      </c>
      <c r="K91" s="128">
        <f>Referentie_Materiaal_Totaal46[[#This Row],[Hoeveelheid Vervaningen '[ton']]]*Referentie_Materiaal_Totaal46[[#This Row],[% Secundair]]</f>
        <v>0</v>
      </c>
      <c r="L91" s="128">
        <f>Referentie_Materiaal_Totaal46[[#This Row],[Primair materiaalverbruik '[ton']]]+Referentie_Materiaal_Totaal46[[#This Row],[Primair materiaalverbruik Vervangingen '[ton']]]</f>
        <v>0</v>
      </c>
      <c r="M91" s="128">
        <f>Referentie_Materiaal_Totaal46[[#This Row],[Secundair materiaalverbruik '[ton']]]+Referentie_Materiaal_Totaal46[[#This Row],[Secundair materiaalverbruik Vervangingen '[ton']]]</f>
        <v>390</v>
      </c>
      <c r="N91" s="128">
        <f>Referentie_Materiaal_Totaal46[[#This Row],[Totaal Primair Materieelgebruik]]+Referentie_Materiaal_Totaal46[[#This Row],[Totaal Secundair Materieelgebruik]]</f>
        <v>390</v>
      </c>
      <c r="O91" s="13"/>
      <c r="P91" s="13"/>
      <c r="Q91" s="13"/>
      <c r="R91" s="13"/>
      <c r="S91" s="13"/>
      <c r="Z91" s="151" t="s">
        <v>37</v>
      </c>
      <c r="AA91" s="137">
        <v>1024.2</v>
      </c>
      <c r="AB91" s="137">
        <v>1505.4</v>
      </c>
      <c r="AC91"/>
      <c r="AD91"/>
      <c r="AE91" s="182">
        <f>AC91+AD91</f>
        <v>0</v>
      </c>
      <c r="AF91" s="181" t="e">
        <f>AC91/AE91</f>
        <v>#DIV/0!</v>
      </c>
      <c r="AG91" s="181" t="e">
        <f>AD91/AE91</f>
        <v>#DIV/0!</v>
      </c>
    </row>
    <row r="92" spans="2:33">
      <c r="B92" s="51" t="str">
        <f>Ontwerpberekening!B9</f>
        <v>Open Menggranulaat</v>
      </c>
      <c r="C92" s="51" t="str">
        <f>Ontwerpberekening!C9</f>
        <v>Straatlaag</v>
      </c>
      <c r="D92" s="51" t="str">
        <f>Ontwerpberekening!G9</f>
        <v>Ophoogmateriaal (Zand)</v>
      </c>
      <c r="E92" s="93">
        <f>Ontwerpberekening!R9</f>
        <v>37.5</v>
      </c>
      <c r="F92" s="60">
        <f>_xlfn.IFNA(VLOOKUP(Referentie_Materiaal_Totaal46[[#This Row],[Product]]&amp;", "&amp;"Totaal",Database_Productkaarten[#All],64,FALSE),0)</f>
        <v>0</v>
      </c>
      <c r="G92" s="94">
        <f>Referentie_Materiaal_Totaal46[[#This Row],[Hoeveelheid '[ton']]]*(1-Referentie_Materiaal_Totaal46[[#This Row],[% Secundair]])</f>
        <v>37.5</v>
      </c>
      <c r="H92" s="94">
        <f>Referentie_Materiaal_Totaal46[[#This Row],[Hoeveelheid '[ton']]]*Referentie_Materiaal_Totaal46[[#This Row],[% Secundair]]</f>
        <v>0</v>
      </c>
      <c r="I92" s="128">
        <f>Ontwerpberekening!R9*Ontwerpberekening!T9</f>
        <v>0</v>
      </c>
      <c r="J92" s="128">
        <f>Referentie_Materiaal_Totaal46[[#This Row],[Hoeveelheid Vervaningen '[ton']]]*(1-Referentie_Materiaal_Totaal46[[#This Row],[% Secundair]])</f>
        <v>0</v>
      </c>
      <c r="K92" s="128">
        <f>Referentie_Materiaal_Totaal46[[#This Row],[Hoeveelheid Vervaningen '[ton']]]*Referentie_Materiaal_Totaal46[[#This Row],[% Secundair]]</f>
        <v>0</v>
      </c>
      <c r="L92" s="128">
        <f>Referentie_Materiaal_Totaal46[[#This Row],[Primair materiaalverbruik '[ton']]]+Referentie_Materiaal_Totaal46[[#This Row],[Primair materiaalverbruik Vervangingen '[ton']]]</f>
        <v>37.5</v>
      </c>
      <c r="M92" s="128">
        <f>Referentie_Materiaal_Totaal46[[#This Row],[Secundair materiaalverbruik '[ton']]]+Referentie_Materiaal_Totaal46[[#This Row],[Secundair materiaalverbruik Vervangingen '[ton']]]</f>
        <v>0</v>
      </c>
      <c r="N92" s="128">
        <f>Referentie_Materiaal_Totaal46[[#This Row],[Totaal Primair Materieelgebruik]]+Referentie_Materiaal_Totaal46[[#This Row],[Totaal Secundair Materieelgebruik]]</f>
        <v>37.5</v>
      </c>
      <c r="O92" s="13"/>
      <c r="P92" s="13"/>
      <c r="Q92" s="13"/>
      <c r="R92" s="13"/>
      <c r="S92" s="13"/>
      <c r="Z92" s="151" t="s">
        <v>62</v>
      </c>
      <c r="AA92" s="137">
        <v>319.20000000000005</v>
      </c>
      <c r="AB92" s="137">
        <v>1391.65</v>
      </c>
      <c r="AC92"/>
      <c r="AD92"/>
      <c r="AE92" s="182">
        <f t="shared" ref="AE92:AE98" si="0">AC92+AD92</f>
        <v>0</v>
      </c>
      <c r="AF92" s="181" t="e">
        <f t="shared" ref="AF92:AF98" si="1">AC92/AE92</f>
        <v>#DIV/0!</v>
      </c>
      <c r="AG92" s="181" t="e">
        <f t="shared" ref="AG92:AG98" si="2">AD92/AE92</f>
        <v>#DIV/0!</v>
      </c>
    </row>
    <row r="93" spans="2:33">
      <c r="B93" s="51" t="str">
        <f>Ontwerpberekening!B10</f>
        <v>Open Menggranulaat</v>
      </c>
      <c r="C93" s="51" t="str">
        <f>Ontwerpberekening!C10</f>
        <v>Toplaag</v>
      </c>
      <c r="D93" s="51" t="str">
        <f>Ontwerpberekening!G10</f>
        <v>Betonstraatsteen 210x105x80</v>
      </c>
      <c r="E93" s="93">
        <f>Ontwerpberekening!R10</f>
        <v>89.800000000000011</v>
      </c>
      <c r="F93" s="60">
        <f>_xlfn.IFNA(VLOOKUP(Referentie_Materiaal_Totaal46[[#This Row],[Product]]&amp;", "&amp;"Totaal",Database_Productkaarten[#All],64,FALSE),0)</f>
        <v>5.7906458797327399E-2</v>
      </c>
      <c r="G93" s="94">
        <f>Referentie_Materiaal_Totaal46[[#This Row],[Hoeveelheid '[ton']]]*(1-Referentie_Materiaal_Totaal46[[#This Row],[% Secundair]])</f>
        <v>84.600000000000009</v>
      </c>
      <c r="H93" s="94">
        <f>Referentie_Materiaal_Totaal46[[#This Row],[Hoeveelheid '[ton']]]*Referentie_Materiaal_Totaal46[[#This Row],[% Secundair]]</f>
        <v>5.2000000000000011</v>
      </c>
      <c r="I93" s="128">
        <f>Ontwerpberekening!R10*Ontwerpberekening!T10</f>
        <v>0</v>
      </c>
      <c r="J93" s="128">
        <f>Referentie_Materiaal_Totaal46[[#This Row],[Hoeveelheid Vervaningen '[ton']]]*(1-Referentie_Materiaal_Totaal46[[#This Row],[% Secundair]])</f>
        <v>0</v>
      </c>
      <c r="K93" s="128">
        <f>Referentie_Materiaal_Totaal46[[#This Row],[Hoeveelheid Vervaningen '[ton']]]*Referentie_Materiaal_Totaal46[[#This Row],[% Secundair]]</f>
        <v>0</v>
      </c>
      <c r="L93" s="128">
        <f>Referentie_Materiaal_Totaal46[[#This Row],[Primair materiaalverbruik '[ton']]]+Referentie_Materiaal_Totaal46[[#This Row],[Primair materiaalverbruik Vervangingen '[ton']]]</f>
        <v>84.600000000000009</v>
      </c>
      <c r="M93" s="128">
        <f>Referentie_Materiaal_Totaal46[[#This Row],[Secundair materiaalverbruik '[ton']]]+Referentie_Materiaal_Totaal46[[#This Row],[Secundair materiaalverbruik Vervangingen '[ton']]]</f>
        <v>5.2000000000000011</v>
      </c>
      <c r="N93" s="128">
        <f>Referentie_Materiaal_Totaal46[[#This Row],[Totaal Primair Materieelgebruik]]+Referentie_Materiaal_Totaal46[[#This Row],[Totaal Secundair Materieelgebruik]]</f>
        <v>89.800000000000011</v>
      </c>
      <c r="O93" s="13"/>
      <c r="P93" s="13"/>
      <c r="Q93" s="13"/>
      <c r="R93" s="13"/>
      <c r="S93" s="13"/>
      <c r="Z93" s="151" t="s">
        <v>57</v>
      </c>
      <c r="AA93" s="137">
        <v>333.20000000000005</v>
      </c>
      <c r="AB93" s="137">
        <v>1391.65</v>
      </c>
      <c r="AC93"/>
      <c r="AD93"/>
      <c r="AE93" s="182">
        <f t="shared" si="0"/>
        <v>0</v>
      </c>
      <c r="AF93" s="181" t="e">
        <f t="shared" si="1"/>
        <v>#DIV/0!</v>
      </c>
      <c r="AG93" s="181" t="e">
        <f t="shared" si="2"/>
        <v>#DIV/0!</v>
      </c>
    </row>
    <row r="94" spans="2:33">
      <c r="B94" s="51" t="str">
        <f>Ontwerpberekening!B11</f>
        <v>Open Menggranulaat</v>
      </c>
      <c r="C94" s="51" t="str">
        <f>Ontwerpberekening!C11</f>
        <v>Zandbed</v>
      </c>
      <c r="D94" s="51" t="str">
        <f>Ontwerpberekening!G11</f>
        <v>Ophoogmateriaal (Zand)</v>
      </c>
      <c r="E94" s="93">
        <f>Ontwerpberekening!R11</f>
        <v>262.5</v>
      </c>
      <c r="F94" s="60">
        <f>_xlfn.IFNA(VLOOKUP(Referentie_Materiaal_Totaal46[[#This Row],[Product]]&amp;", "&amp;"Totaal",Database_Productkaarten[#All],64,FALSE),0)</f>
        <v>0</v>
      </c>
      <c r="G94" s="94">
        <f>Referentie_Materiaal_Totaal46[[#This Row],[Hoeveelheid '[ton']]]*(1-Referentie_Materiaal_Totaal46[[#This Row],[% Secundair]])</f>
        <v>262.5</v>
      </c>
      <c r="H94" s="94">
        <f>Referentie_Materiaal_Totaal46[[#This Row],[Hoeveelheid '[ton']]]*Referentie_Materiaal_Totaal46[[#This Row],[% Secundair]]</f>
        <v>0</v>
      </c>
      <c r="I94" s="128">
        <f>Ontwerpberekening!R11*Ontwerpberekening!T11</f>
        <v>0</v>
      </c>
      <c r="J94" s="128">
        <f>Referentie_Materiaal_Totaal46[[#This Row],[Hoeveelheid Vervaningen '[ton']]]*(1-Referentie_Materiaal_Totaal46[[#This Row],[% Secundair]])</f>
        <v>0</v>
      </c>
      <c r="K94" s="128">
        <f>Referentie_Materiaal_Totaal46[[#This Row],[Hoeveelheid Vervaningen '[ton']]]*Referentie_Materiaal_Totaal46[[#This Row],[% Secundair]]</f>
        <v>0</v>
      </c>
      <c r="L94" s="128">
        <f>Referentie_Materiaal_Totaal46[[#This Row],[Primair materiaalverbruik '[ton']]]+Referentie_Materiaal_Totaal46[[#This Row],[Primair materiaalverbruik Vervangingen '[ton']]]</f>
        <v>262.5</v>
      </c>
      <c r="M94" s="128">
        <f>Referentie_Materiaal_Totaal46[[#This Row],[Secundair materiaalverbruik '[ton']]]+Referentie_Materiaal_Totaal46[[#This Row],[Secundair materiaalverbruik Vervangingen '[ton']]]</f>
        <v>0</v>
      </c>
      <c r="N94" s="128">
        <f>Referentie_Materiaal_Totaal46[[#This Row],[Totaal Primair Materieelgebruik]]+Referentie_Materiaal_Totaal46[[#This Row],[Totaal Secundair Materieelgebruik]]</f>
        <v>262.5</v>
      </c>
      <c r="O94" s="13"/>
      <c r="P94" s="13"/>
      <c r="Q94" s="13"/>
      <c r="R94" s="13"/>
      <c r="S94" s="13"/>
      <c r="Z94" s="151" t="s">
        <v>105</v>
      </c>
      <c r="AA94" s="137">
        <v>1676.6000000000001</v>
      </c>
      <c r="AB94" s="137">
        <v>4288.7000000000007</v>
      </c>
      <c r="AC94"/>
      <c r="AD94"/>
      <c r="AE94" s="182">
        <f t="shared" si="0"/>
        <v>0</v>
      </c>
      <c r="AF94" s="181" t="e">
        <f t="shared" si="1"/>
        <v>#DIV/0!</v>
      </c>
      <c r="AG94" s="181" t="e">
        <f t="shared" si="2"/>
        <v>#DIV/0!</v>
      </c>
    </row>
    <row r="95" spans="2:33">
      <c r="B95" s="51" t="str">
        <f>Ontwerpberekening!B12</f>
        <v>Open Menggranulaat</v>
      </c>
      <c r="C95" s="51" t="str">
        <f>Ontwerpberekening!C12</f>
        <v>Funderingswapening</v>
      </c>
      <c r="D95" s="51" t="str">
        <f>Ontwerpberekening!G12</f>
        <v>Geogrid</v>
      </c>
      <c r="E95" s="93">
        <f>Ontwerpberekening!R12</f>
        <v>127.5</v>
      </c>
      <c r="F95" s="60">
        <f>_xlfn.IFNA(VLOOKUP(Referentie_Materiaal_Totaal46[[#This Row],[Product]]&amp;", "&amp;"Totaal",Database_Productkaarten[#All],64,FALSE),0)</f>
        <v>0</v>
      </c>
      <c r="G95" s="94">
        <f>Referentie_Materiaal_Totaal46[[#This Row],[Hoeveelheid '[ton']]]*(1-Referentie_Materiaal_Totaal46[[#This Row],[% Secundair]])</f>
        <v>127.5</v>
      </c>
      <c r="H95" s="94">
        <f>Referentie_Materiaal_Totaal46[[#This Row],[Hoeveelheid '[ton']]]*Referentie_Materiaal_Totaal46[[#This Row],[% Secundair]]</f>
        <v>0</v>
      </c>
      <c r="I95" s="128">
        <f>Ontwerpberekening!R12*Ontwerpberekening!T12</f>
        <v>0</v>
      </c>
      <c r="J95" s="128">
        <f>Referentie_Materiaal_Totaal46[[#This Row],[Hoeveelheid Vervaningen '[ton']]]*(1-Referentie_Materiaal_Totaal46[[#This Row],[% Secundair]])</f>
        <v>0</v>
      </c>
      <c r="K95" s="128">
        <f>Referentie_Materiaal_Totaal46[[#This Row],[Hoeveelheid Vervaningen '[ton']]]*Referentie_Materiaal_Totaal46[[#This Row],[% Secundair]]</f>
        <v>0</v>
      </c>
      <c r="L95" s="128">
        <f>Referentie_Materiaal_Totaal46[[#This Row],[Primair materiaalverbruik '[ton']]]+Referentie_Materiaal_Totaal46[[#This Row],[Primair materiaalverbruik Vervangingen '[ton']]]</f>
        <v>127.5</v>
      </c>
      <c r="M95" s="128">
        <f>Referentie_Materiaal_Totaal46[[#This Row],[Secundair materiaalverbruik '[ton']]]+Referentie_Materiaal_Totaal46[[#This Row],[Secundair materiaalverbruik Vervangingen '[ton']]]</f>
        <v>0</v>
      </c>
      <c r="N95" s="128">
        <f>Referentie_Materiaal_Totaal46[[#This Row],[Totaal Primair Materieelgebruik]]+Referentie_Materiaal_Totaal46[[#This Row],[Totaal Secundair Materieelgebruik]]</f>
        <v>127.5</v>
      </c>
      <c r="O95" s="13"/>
      <c r="P95" s="13"/>
      <c r="Q95" s="13"/>
      <c r="R95" s="13"/>
      <c r="S95" s="13"/>
      <c r="Z95"/>
      <c r="AA95"/>
      <c r="AB95"/>
      <c r="AC95"/>
      <c r="AD95"/>
      <c r="AE95" s="182">
        <f t="shared" si="0"/>
        <v>0</v>
      </c>
      <c r="AF95" s="181" t="e">
        <f t="shared" si="1"/>
        <v>#DIV/0!</v>
      </c>
      <c r="AG95" s="181" t="e">
        <f t="shared" si="2"/>
        <v>#DIV/0!</v>
      </c>
    </row>
    <row r="96" spans="2:33">
      <c r="B96" s="51" t="str">
        <f>Ontwerpberekening!B13</f>
        <v>Open Menggranulaat</v>
      </c>
      <c r="C96" s="51" t="str">
        <f>Ontwerpberekening!C13</f>
        <v>Menggranulaat</v>
      </c>
      <c r="D96" s="51" t="str">
        <f>Ontwerpberekening!G13</f>
        <v>Menggranulaat 200mm</v>
      </c>
      <c r="E96" s="93">
        <f>Ontwerpberekening!R13</f>
        <v>390</v>
      </c>
      <c r="F96" s="60">
        <f>_xlfn.IFNA(VLOOKUP(Referentie_Materiaal_Totaal46[[#This Row],[Product]]&amp;", "&amp;"Totaal",Database_Productkaarten[#All],64,FALSE),0)</f>
        <v>1</v>
      </c>
      <c r="G96" s="94">
        <f>Referentie_Materiaal_Totaal46[[#This Row],[Hoeveelheid '[ton']]]*(1-Referentie_Materiaal_Totaal46[[#This Row],[% Secundair]])</f>
        <v>0</v>
      </c>
      <c r="H96" s="94">
        <f>Referentie_Materiaal_Totaal46[[#This Row],[Hoeveelheid '[ton']]]*Referentie_Materiaal_Totaal46[[#This Row],[% Secundair]]</f>
        <v>390</v>
      </c>
      <c r="I96" s="128">
        <f>Ontwerpberekening!R13*Ontwerpberekening!T13</f>
        <v>0</v>
      </c>
      <c r="J96" s="128">
        <f>Referentie_Materiaal_Totaal46[[#This Row],[Hoeveelheid Vervaningen '[ton']]]*(1-Referentie_Materiaal_Totaal46[[#This Row],[% Secundair]])</f>
        <v>0</v>
      </c>
      <c r="K96" s="128">
        <f>Referentie_Materiaal_Totaal46[[#This Row],[Hoeveelheid Vervaningen '[ton']]]*Referentie_Materiaal_Totaal46[[#This Row],[% Secundair]]</f>
        <v>0</v>
      </c>
      <c r="L96" s="128">
        <f>Referentie_Materiaal_Totaal46[[#This Row],[Primair materiaalverbruik '[ton']]]+Referentie_Materiaal_Totaal46[[#This Row],[Primair materiaalverbruik Vervangingen '[ton']]]</f>
        <v>0</v>
      </c>
      <c r="M96" s="128">
        <f>Referentie_Materiaal_Totaal46[[#This Row],[Secundair materiaalverbruik '[ton']]]+Referentie_Materiaal_Totaal46[[#This Row],[Secundair materiaalverbruik Vervangingen '[ton']]]</f>
        <v>390</v>
      </c>
      <c r="N96" s="128">
        <f>Referentie_Materiaal_Totaal46[[#This Row],[Totaal Primair Materieelgebruik]]+Referentie_Materiaal_Totaal46[[#This Row],[Totaal Secundair Materieelgebruik]]</f>
        <v>390</v>
      </c>
      <c r="O96" s="13"/>
      <c r="P96" s="13"/>
      <c r="Q96" s="13"/>
      <c r="R96" s="13"/>
      <c r="S96" s="13"/>
      <c r="Z96"/>
      <c r="AA96"/>
      <c r="AB96"/>
      <c r="AC96"/>
      <c r="AD96"/>
      <c r="AE96" s="182">
        <f t="shared" si="0"/>
        <v>0</v>
      </c>
      <c r="AF96" s="181" t="e">
        <f t="shared" si="1"/>
        <v>#DIV/0!</v>
      </c>
      <c r="AG96" s="181" t="e">
        <f t="shared" si="2"/>
        <v>#DIV/0!</v>
      </c>
    </row>
    <row r="97" spans="2:33">
      <c r="B97" s="51" t="str">
        <f>Ontwerpberekening!B14</f>
        <v>Open Menggranulaat</v>
      </c>
      <c r="C97" s="51" t="str">
        <f>Ontwerpberekening!C14</f>
        <v>Straatlaag</v>
      </c>
      <c r="D97" s="51" t="str">
        <f>Ontwerpberekening!G14</f>
        <v>Ophoogmateriaal (Zand)</v>
      </c>
      <c r="E97" s="93">
        <f>Ontwerpberekening!R14</f>
        <v>37.5</v>
      </c>
      <c r="F97" s="60">
        <f>_xlfn.IFNA(VLOOKUP(Referentie_Materiaal_Totaal46[[#This Row],[Product]]&amp;", "&amp;"Totaal",Database_Productkaarten[#All],64,FALSE),0)</f>
        <v>0</v>
      </c>
      <c r="G97" s="94">
        <f>Referentie_Materiaal_Totaal46[[#This Row],[Hoeveelheid '[ton']]]*(1-Referentie_Materiaal_Totaal46[[#This Row],[% Secundair]])</f>
        <v>37.5</v>
      </c>
      <c r="H97" s="94">
        <f>Referentie_Materiaal_Totaal46[[#This Row],[Hoeveelheid '[ton']]]*Referentie_Materiaal_Totaal46[[#This Row],[% Secundair]]</f>
        <v>0</v>
      </c>
      <c r="I97" s="128">
        <f>Ontwerpberekening!R14*Ontwerpberekening!T14</f>
        <v>0</v>
      </c>
      <c r="J97" s="128">
        <f>Referentie_Materiaal_Totaal46[[#This Row],[Hoeveelheid Vervaningen '[ton']]]*(1-Referentie_Materiaal_Totaal46[[#This Row],[% Secundair]])</f>
        <v>0</v>
      </c>
      <c r="K97" s="128">
        <f>Referentie_Materiaal_Totaal46[[#This Row],[Hoeveelheid Vervaningen '[ton']]]*Referentie_Materiaal_Totaal46[[#This Row],[% Secundair]]</f>
        <v>0</v>
      </c>
      <c r="L97" s="128">
        <f>Referentie_Materiaal_Totaal46[[#This Row],[Primair materiaalverbruik '[ton']]]+Referentie_Materiaal_Totaal46[[#This Row],[Primair materiaalverbruik Vervangingen '[ton']]]</f>
        <v>37.5</v>
      </c>
      <c r="M97" s="128">
        <f>Referentie_Materiaal_Totaal46[[#This Row],[Secundair materiaalverbruik '[ton']]]+Referentie_Materiaal_Totaal46[[#This Row],[Secundair materiaalverbruik Vervangingen '[ton']]]</f>
        <v>0</v>
      </c>
      <c r="N97" s="128">
        <f>Referentie_Materiaal_Totaal46[[#This Row],[Totaal Primair Materieelgebruik]]+Referentie_Materiaal_Totaal46[[#This Row],[Totaal Secundair Materieelgebruik]]</f>
        <v>37.5</v>
      </c>
      <c r="O97" s="13"/>
      <c r="P97" s="13"/>
      <c r="Q97" s="13"/>
      <c r="R97" s="13"/>
      <c r="S97" s="13"/>
      <c r="Z97"/>
      <c r="AA97"/>
      <c r="AB97"/>
      <c r="AC97" t="e">
        <f>GETPIVOTDATA("Primair materiaalverbruik",$Z$90,"Bestekspost","Geopolymeer - elementverharding")</f>
        <v>#REF!</v>
      </c>
      <c r="AD97" s="182" t="e">
        <f>GETPIVOTDATA("Secundair materiaalverbruik",$Z$90,"Bestekspost","Geopolymeer - elementverharding")</f>
        <v>#REF!</v>
      </c>
      <c r="AE97" s="182" t="e">
        <f t="shared" si="0"/>
        <v>#REF!</v>
      </c>
      <c r="AF97" s="181" t="e">
        <f t="shared" si="1"/>
        <v>#REF!</v>
      </c>
      <c r="AG97" s="181" t="e">
        <f t="shared" si="2"/>
        <v>#REF!</v>
      </c>
    </row>
    <row r="98" spans="2:33">
      <c r="B98" s="51" t="str">
        <f>Ontwerpberekening!B15</f>
        <v>Open Menggranulaat</v>
      </c>
      <c r="C98" s="51" t="str">
        <f>Ontwerpberekening!C15</f>
        <v>Toplaag</v>
      </c>
      <c r="D98" s="51" t="str">
        <f>Ontwerpberekening!G15</f>
        <v>Betonstraatsteen 210x105x80</v>
      </c>
      <c r="E98" s="93">
        <f>Ontwerpberekening!R15</f>
        <v>89.800000000000011</v>
      </c>
      <c r="F98" s="60">
        <f>_xlfn.IFNA(VLOOKUP(Referentie_Materiaal_Totaal46[[#This Row],[Product]]&amp;", "&amp;"Totaal",Database_Productkaarten[#All],64,FALSE),0)</f>
        <v>5.7906458797327399E-2</v>
      </c>
      <c r="G98" s="94">
        <f>Referentie_Materiaal_Totaal46[[#This Row],[Hoeveelheid '[ton']]]*(1-Referentie_Materiaal_Totaal46[[#This Row],[% Secundair]])</f>
        <v>84.600000000000009</v>
      </c>
      <c r="H98" s="94">
        <f>Referentie_Materiaal_Totaal46[[#This Row],[Hoeveelheid '[ton']]]*Referentie_Materiaal_Totaal46[[#This Row],[% Secundair]]</f>
        <v>5.2000000000000011</v>
      </c>
      <c r="I98" s="128">
        <f>Ontwerpberekening!R15*Ontwerpberekening!T15</f>
        <v>0</v>
      </c>
      <c r="J98" s="128">
        <f>Referentie_Materiaal_Totaal46[[#This Row],[Hoeveelheid Vervaningen '[ton']]]*(1-Referentie_Materiaal_Totaal46[[#This Row],[% Secundair]])</f>
        <v>0</v>
      </c>
      <c r="K98" s="128">
        <f>Referentie_Materiaal_Totaal46[[#This Row],[Hoeveelheid Vervaningen '[ton']]]*Referentie_Materiaal_Totaal46[[#This Row],[% Secundair]]</f>
        <v>0</v>
      </c>
      <c r="L98" s="128">
        <f>Referentie_Materiaal_Totaal46[[#This Row],[Primair materiaalverbruik '[ton']]]+Referentie_Materiaal_Totaal46[[#This Row],[Primair materiaalverbruik Vervangingen '[ton']]]</f>
        <v>84.600000000000009</v>
      </c>
      <c r="M98" s="128">
        <f>Referentie_Materiaal_Totaal46[[#This Row],[Secundair materiaalverbruik '[ton']]]+Referentie_Materiaal_Totaal46[[#This Row],[Secundair materiaalverbruik Vervangingen '[ton']]]</f>
        <v>5.2000000000000011</v>
      </c>
      <c r="N98" s="128">
        <f>Referentie_Materiaal_Totaal46[[#This Row],[Totaal Primair Materieelgebruik]]+Referentie_Materiaal_Totaal46[[#This Row],[Totaal Secundair Materieelgebruik]]</f>
        <v>89.800000000000011</v>
      </c>
      <c r="O98" s="13"/>
      <c r="P98" s="13"/>
      <c r="Q98" s="13"/>
      <c r="R98" s="13"/>
      <c r="S98" s="13"/>
      <c r="Z98"/>
      <c r="AA98"/>
      <c r="AB98"/>
      <c r="AC98" t="e">
        <f>GETPIVOTDATA("Primair materiaalverbruik",$Z$90,"Bestekspost","Gebakken - elementverharding")</f>
        <v>#REF!</v>
      </c>
      <c r="AD98" s="182" t="e">
        <f>GETPIVOTDATA("Secundair materiaalverbruik",$Z$90,"Bestekspost","Gebakken - elementverharding")</f>
        <v>#REF!</v>
      </c>
      <c r="AE98" s="182" t="e">
        <f t="shared" si="0"/>
        <v>#REF!</v>
      </c>
      <c r="AF98" s="181" t="e">
        <f t="shared" si="1"/>
        <v>#REF!</v>
      </c>
      <c r="AG98" s="181" t="e">
        <f t="shared" si="2"/>
        <v>#REF!</v>
      </c>
    </row>
    <row r="99" spans="2:33">
      <c r="B99" s="51" t="str">
        <f>Ontwerpberekening!B16</f>
        <v>Plastic kratten</v>
      </c>
      <c r="C99" s="51" t="str">
        <f>Ontwerpberekening!C16</f>
        <v>Grondontgraving</v>
      </c>
      <c r="D99" s="51" t="str">
        <f>Ontwerpberekening!G16</f>
        <v>Ophoogmateriaal (Grond)</v>
      </c>
      <c r="E99" s="93">
        <f>Ontwerpberekening!R16</f>
        <v>796.25</v>
      </c>
      <c r="F99" s="60">
        <f>_xlfn.IFNA(VLOOKUP(Referentie_Materiaal_Totaal46[[#This Row],[Product]]&amp;", "&amp;"Totaal",Database_Productkaarten[#All],64,FALSE),0)</f>
        <v>1</v>
      </c>
      <c r="G99" s="94">
        <f>Referentie_Materiaal_Totaal46[[#This Row],[Hoeveelheid '[ton']]]*(1-Referentie_Materiaal_Totaal46[[#This Row],[% Secundair]])</f>
        <v>0</v>
      </c>
      <c r="H99" s="94">
        <f>Referentie_Materiaal_Totaal46[[#This Row],[Hoeveelheid '[ton']]]*Referentie_Materiaal_Totaal46[[#This Row],[% Secundair]]</f>
        <v>796.25</v>
      </c>
      <c r="I99" s="128">
        <f>Ontwerpberekening!R16*Ontwerpberekening!T16</f>
        <v>0</v>
      </c>
      <c r="J99" s="128">
        <f>Referentie_Materiaal_Totaal46[[#This Row],[Hoeveelheid Vervaningen '[ton']]]*(1-Referentie_Materiaal_Totaal46[[#This Row],[% Secundair]])</f>
        <v>0</v>
      </c>
      <c r="K99" s="128">
        <f>Referentie_Materiaal_Totaal46[[#This Row],[Hoeveelheid Vervaningen '[ton']]]*Referentie_Materiaal_Totaal46[[#This Row],[% Secundair]]</f>
        <v>0</v>
      </c>
      <c r="L99" s="128">
        <f>Referentie_Materiaal_Totaal46[[#This Row],[Primair materiaalverbruik '[ton']]]+Referentie_Materiaal_Totaal46[[#This Row],[Primair materiaalverbruik Vervangingen '[ton']]]</f>
        <v>0</v>
      </c>
      <c r="M99" s="128">
        <f>Referentie_Materiaal_Totaal46[[#This Row],[Secundair materiaalverbruik '[ton']]]+Referentie_Materiaal_Totaal46[[#This Row],[Secundair materiaalverbruik Vervangingen '[ton']]]</f>
        <v>796.25</v>
      </c>
      <c r="N99" s="128">
        <f>Referentie_Materiaal_Totaal46[[#This Row],[Totaal Primair Materieelgebruik]]+Referentie_Materiaal_Totaal46[[#This Row],[Totaal Secundair Materieelgebruik]]</f>
        <v>796.25</v>
      </c>
      <c r="O99" s="13"/>
      <c r="P99" s="13"/>
      <c r="Q99" s="13"/>
      <c r="R99" s="13"/>
      <c r="S99" s="13"/>
      <c r="Z99"/>
      <c r="AA99"/>
      <c r="AB99"/>
    </row>
    <row r="100" spans="2:33">
      <c r="B100" s="51" t="str">
        <f>Ontwerpberekening!B17</f>
        <v>Plastic kratten</v>
      </c>
      <c r="C100" s="51" t="str">
        <f>Ontwerpberekening!C17</f>
        <v>Grondverbetering</v>
      </c>
      <c r="D100" s="51" t="str">
        <f>Ontwerpberekening!G17</f>
        <v>Ophoogmateriaal (Zand)</v>
      </c>
      <c r="E100" s="93">
        <f>Ontwerpberekening!R17</f>
        <v>37.5</v>
      </c>
      <c r="F100" s="60">
        <f>_xlfn.IFNA(VLOOKUP(Referentie_Materiaal_Totaal46[[#This Row],[Product]]&amp;", "&amp;"Totaal",Database_Productkaarten[#All],64,FALSE),0)</f>
        <v>0</v>
      </c>
      <c r="G100" s="94">
        <f>Referentie_Materiaal_Totaal46[[#This Row],[Hoeveelheid '[ton']]]*(1-Referentie_Materiaal_Totaal46[[#This Row],[% Secundair]])</f>
        <v>37.5</v>
      </c>
      <c r="H100" s="94">
        <f>Referentie_Materiaal_Totaal46[[#This Row],[Hoeveelheid '[ton']]]*Referentie_Materiaal_Totaal46[[#This Row],[% Secundair]]</f>
        <v>0</v>
      </c>
      <c r="I100" s="128">
        <f>Ontwerpberekening!R17*Ontwerpberekening!T17</f>
        <v>0</v>
      </c>
      <c r="J100" s="128">
        <f>Referentie_Materiaal_Totaal46[[#This Row],[Hoeveelheid Vervaningen '[ton']]]*(1-Referentie_Materiaal_Totaal46[[#This Row],[% Secundair]])</f>
        <v>0</v>
      </c>
      <c r="K100" s="128">
        <f>Referentie_Materiaal_Totaal46[[#This Row],[Hoeveelheid Vervaningen '[ton']]]*Referentie_Materiaal_Totaal46[[#This Row],[% Secundair]]</f>
        <v>0</v>
      </c>
      <c r="L100" s="128">
        <f>Referentie_Materiaal_Totaal46[[#This Row],[Primair materiaalverbruik '[ton']]]+Referentie_Materiaal_Totaal46[[#This Row],[Primair materiaalverbruik Vervangingen '[ton']]]</f>
        <v>37.5</v>
      </c>
      <c r="M100" s="128">
        <f>Referentie_Materiaal_Totaal46[[#This Row],[Secundair materiaalverbruik '[ton']]]+Referentie_Materiaal_Totaal46[[#This Row],[Secundair materiaalverbruik Vervangingen '[ton']]]</f>
        <v>0</v>
      </c>
      <c r="N100" s="128">
        <f>Referentie_Materiaal_Totaal46[[#This Row],[Totaal Primair Materieelgebruik]]+Referentie_Materiaal_Totaal46[[#This Row],[Totaal Secundair Materieelgebruik]]</f>
        <v>37.5</v>
      </c>
      <c r="O100" s="13"/>
      <c r="P100" s="13"/>
      <c r="Q100" s="13"/>
      <c r="R100" s="13"/>
      <c r="S100" s="13"/>
      <c r="Z100"/>
      <c r="AA100"/>
      <c r="AB100"/>
    </row>
    <row r="101" spans="2:33">
      <c r="B101" s="51" t="str">
        <f>Ontwerpberekening!B18</f>
        <v>Plastic kratten</v>
      </c>
      <c r="C101" s="51" t="str">
        <f>Ontwerpberekening!C18</f>
        <v>Waterbergendelaag</v>
      </c>
      <c r="D101" s="51" t="str">
        <f>Ontwerpberekening!G18</f>
        <v>Kunststof Inflitratiekrat</v>
      </c>
      <c r="E101" s="93">
        <f>Ontwerpberekening!R18</f>
        <v>7</v>
      </c>
      <c r="F101" s="60">
        <f>_xlfn.IFNA(VLOOKUP(Referentie_Materiaal_Totaal46[[#This Row],[Product]]&amp;", "&amp;"Totaal",Database_Productkaarten[#All],64,FALSE),0)</f>
        <v>0</v>
      </c>
      <c r="G101" s="94">
        <f>Referentie_Materiaal_Totaal46[[#This Row],[Hoeveelheid '[ton']]]*(1-Referentie_Materiaal_Totaal46[[#This Row],[% Secundair]])</f>
        <v>7</v>
      </c>
      <c r="H101" s="94">
        <f>Referentie_Materiaal_Totaal46[[#This Row],[Hoeveelheid '[ton']]]*Referentie_Materiaal_Totaal46[[#This Row],[% Secundair]]</f>
        <v>0</v>
      </c>
      <c r="I101" s="128">
        <f>Ontwerpberekening!R18*Ontwerpberekening!T18</f>
        <v>0</v>
      </c>
      <c r="J101" s="128">
        <f>Referentie_Materiaal_Totaal46[[#This Row],[Hoeveelheid Vervaningen '[ton']]]*(1-Referentie_Materiaal_Totaal46[[#This Row],[% Secundair]])</f>
        <v>0</v>
      </c>
      <c r="K101" s="128">
        <f>Referentie_Materiaal_Totaal46[[#This Row],[Hoeveelheid Vervaningen '[ton']]]*Referentie_Materiaal_Totaal46[[#This Row],[% Secundair]]</f>
        <v>0</v>
      </c>
      <c r="L101" s="128">
        <f>Referentie_Materiaal_Totaal46[[#This Row],[Primair materiaalverbruik '[ton']]]+Referentie_Materiaal_Totaal46[[#This Row],[Primair materiaalverbruik Vervangingen '[ton']]]</f>
        <v>7</v>
      </c>
      <c r="M101" s="128">
        <f>Referentie_Materiaal_Totaal46[[#This Row],[Secundair materiaalverbruik '[ton']]]+Referentie_Materiaal_Totaal46[[#This Row],[Secundair materiaalverbruik Vervangingen '[ton']]]</f>
        <v>0</v>
      </c>
      <c r="N101" s="128">
        <f>Referentie_Materiaal_Totaal46[[#This Row],[Totaal Primair Materieelgebruik]]+Referentie_Materiaal_Totaal46[[#This Row],[Totaal Secundair Materieelgebruik]]</f>
        <v>7</v>
      </c>
      <c r="O101" s="13"/>
      <c r="P101" s="13"/>
      <c r="Q101" s="13"/>
      <c r="R101" s="13"/>
      <c r="S101" s="13"/>
    </row>
    <row r="102" spans="2:33">
      <c r="B102" s="51" t="str">
        <f>Ontwerpberekening!B19</f>
        <v>Plastic kratten</v>
      </c>
      <c r="C102" s="51" t="str">
        <f>Ontwerpberekening!C19</f>
        <v>Menggranulaat</v>
      </c>
      <c r="D102" s="51" t="str">
        <f>Ontwerpberekening!G19</f>
        <v>Menggranulaat 300mm</v>
      </c>
      <c r="E102" s="93">
        <f>Ontwerpberekening!R19</f>
        <v>292.5</v>
      </c>
      <c r="F102" s="60">
        <f>_xlfn.IFNA(VLOOKUP(Referentie_Materiaal_Totaal46[[#This Row],[Product]]&amp;", "&amp;"Totaal",Database_Productkaarten[#All],64,FALSE),0)</f>
        <v>1</v>
      </c>
      <c r="G102" s="94">
        <f>Referentie_Materiaal_Totaal46[[#This Row],[Hoeveelheid '[ton']]]*(1-Referentie_Materiaal_Totaal46[[#This Row],[% Secundair]])</f>
        <v>0</v>
      </c>
      <c r="H102" s="94">
        <f>Referentie_Materiaal_Totaal46[[#This Row],[Hoeveelheid '[ton']]]*Referentie_Materiaal_Totaal46[[#This Row],[% Secundair]]</f>
        <v>292.5</v>
      </c>
      <c r="I102" s="128">
        <f>Ontwerpberekening!R19*Ontwerpberekening!T19</f>
        <v>0</v>
      </c>
      <c r="J102" s="128">
        <f>Referentie_Materiaal_Totaal46[[#This Row],[Hoeveelheid Vervaningen '[ton']]]*(1-Referentie_Materiaal_Totaal46[[#This Row],[% Secundair]])</f>
        <v>0</v>
      </c>
      <c r="K102" s="128">
        <f>Referentie_Materiaal_Totaal46[[#This Row],[Hoeveelheid Vervaningen '[ton']]]*Referentie_Materiaal_Totaal46[[#This Row],[% Secundair]]</f>
        <v>0</v>
      </c>
      <c r="L102" s="128">
        <f>Referentie_Materiaal_Totaal46[[#This Row],[Primair materiaalverbruik '[ton']]]+Referentie_Materiaal_Totaal46[[#This Row],[Primair materiaalverbruik Vervangingen '[ton']]]</f>
        <v>0</v>
      </c>
      <c r="M102" s="128">
        <f>Referentie_Materiaal_Totaal46[[#This Row],[Secundair materiaalverbruik '[ton']]]+Referentie_Materiaal_Totaal46[[#This Row],[Secundair materiaalverbruik Vervangingen '[ton']]]</f>
        <v>292.5</v>
      </c>
      <c r="N102" s="128">
        <f>Referentie_Materiaal_Totaal46[[#This Row],[Totaal Primair Materieelgebruik]]+Referentie_Materiaal_Totaal46[[#This Row],[Totaal Secundair Materieelgebruik]]</f>
        <v>292.5</v>
      </c>
      <c r="O102" s="13"/>
      <c r="P102" s="13"/>
      <c r="Q102" s="13"/>
      <c r="R102" s="13"/>
      <c r="S102" s="13"/>
    </row>
    <row r="103" spans="2:33">
      <c r="B103" s="51" t="str">
        <f>Ontwerpberekening!B20</f>
        <v>Plastic kratten</v>
      </c>
      <c r="C103" s="51" t="str">
        <f>Ontwerpberekening!C20</f>
        <v>Straatlaag</v>
      </c>
      <c r="D103" s="51" t="str">
        <f>Ontwerpberekening!G20</f>
        <v>Ophoogmateriaal (Zand)</v>
      </c>
      <c r="E103" s="93">
        <f>Ontwerpberekening!R20</f>
        <v>37.5</v>
      </c>
      <c r="F103" s="60">
        <f>_xlfn.IFNA(VLOOKUP(Referentie_Materiaal_Totaal46[[#This Row],[Product]]&amp;", "&amp;"Totaal",Database_Productkaarten[#All],64,FALSE),0)</f>
        <v>0</v>
      </c>
      <c r="G103" s="94">
        <f>Referentie_Materiaal_Totaal46[[#This Row],[Hoeveelheid '[ton']]]*(1-Referentie_Materiaal_Totaal46[[#This Row],[% Secundair]])</f>
        <v>37.5</v>
      </c>
      <c r="H103" s="94">
        <f>Referentie_Materiaal_Totaal46[[#This Row],[Hoeveelheid '[ton']]]*Referentie_Materiaal_Totaal46[[#This Row],[% Secundair]]</f>
        <v>0</v>
      </c>
      <c r="I103" s="128">
        <f>Ontwerpberekening!R20*Ontwerpberekening!T20</f>
        <v>0</v>
      </c>
      <c r="J103" s="128">
        <f>Referentie_Materiaal_Totaal46[[#This Row],[Hoeveelheid Vervaningen '[ton']]]*(1-Referentie_Materiaal_Totaal46[[#This Row],[% Secundair]])</f>
        <v>0</v>
      </c>
      <c r="K103" s="128">
        <f>Referentie_Materiaal_Totaal46[[#This Row],[Hoeveelheid Vervaningen '[ton']]]*Referentie_Materiaal_Totaal46[[#This Row],[% Secundair]]</f>
        <v>0</v>
      </c>
      <c r="L103" s="128">
        <f>Referentie_Materiaal_Totaal46[[#This Row],[Primair materiaalverbruik '[ton']]]+Referentie_Materiaal_Totaal46[[#This Row],[Primair materiaalverbruik Vervangingen '[ton']]]</f>
        <v>37.5</v>
      </c>
      <c r="M103" s="128">
        <f>Referentie_Materiaal_Totaal46[[#This Row],[Secundair materiaalverbruik '[ton']]]+Referentie_Materiaal_Totaal46[[#This Row],[Secundair materiaalverbruik Vervangingen '[ton']]]</f>
        <v>0</v>
      </c>
      <c r="N103" s="128">
        <f>Referentie_Materiaal_Totaal46[[#This Row],[Totaal Primair Materieelgebruik]]+Referentie_Materiaal_Totaal46[[#This Row],[Totaal Secundair Materieelgebruik]]</f>
        <v>37.5</v>
      </c>
      <c r="O103" s="13"/>
      <c r="P103" s="13"/>
      <c r="Q103" s="13"/>
      <c r="R103" s="13"/>
      <c r="S103" s="13"/>
    </row>
    <row r="104" spans="2:33">
      <c r="B104" s="51" t="str">
        <f>Ontwerpberekening!B21</f>
        <v>Plastic kratten</v>
      </c>
      <c r="C104" s="51" t="str">
        <f>Ontwerpberekening!C21</f>
        <v>Toplaag</v>
      </c>
      <c r="D104" s="51" t="str">
        <f>Ontwerpberekening!G21</f>
        <v>Betonstraatsteen 210x105x80</v>
      </c>
      <c r="E104" s="93">
        <f>Ontwerpberekening!R21</f>
        <v>89.800000000000011</v>
      </c>
      <c r="F104" s="60">
        <f>_xlfn.IFNA(VLOOKUP(Referentie_Materiaal_Totaal46[[#This Row],[Product]]&amp;", "&amp;"Totaal",Database_Productkaarten[#All],64,FALSE),0)</f>
        <v>5.7906458797327399E-2</v>
      </c>
      <c r="G104" s="94">
        <f>Referentie_Materiaal_Totaal46[[#This Row],[Hoeveelheid '[ton']]]*(1-Referentie_Materiaal_Totaal46[[#This Row],[% Secundair]])</f>
        <v>84.600000000000009</v>
      </c>
      <c r="H104" s="94">
        <f>Referentie_Materiaal_Totaal46[[#This Row],[Hoeveelheid '[ton']]]*Referentie_Materiaal_Totaal46[[#This Row],[% Secundair]]</f>
        <v>5.2000000000000011</v>
      </c>
      <c r="I104" s="128">
        <f>Ontwerpberekening!R21*Ontwerpberekening!T21</f>
        <v>0</v>
      </c>
      <c r="J104" s="128">
        <f>Referentie_Materiaal_Totaal46[[#This Row],[Hoeveelheid Vervaningen '[ton']]]*(1-Referentie_Materiaal_Totaal46[[#This Row],[% Secundair]])</f>
        <v>0</v>
      </c>
      <c r="K104" s="128">
        <f>Referentie_Materiaal_Totaal46[[#This Row],[Hoeveelheid Vervaningen '[ton']]]*Referentie_Materiaal_Totaal46[[#This Row],[% Secundair]]</f>
        <v>0</v>
      </c>
      <c r="L104" s="128">
        <f>Referentie_Materiaal_Totaal46[[#This Row],[Primair materiaalverbruik '[ton']]]+Referentie_Materiaal_Totaal46[[#This Row],[Primair materiaalverbruik Vervangingen '[ton']]]</f>
        <v>84.600000000000009</v>
      </c>
      <c r="M104" s="128">
        <f>Referentie_Materiaal_Totaal46[[#This Row],[Secundair materiaalverbruik '[ton']]]+Referentie_Materiaal_Totaal46[[#This Row],[Secundair materiaalverbruik Vervangingen '[ton']]]</f>
        <v>5.2000000000000011</v>
      </c>
      <c r="N104" s="128">
        <f>Referentie_Materiaal_Totaal46[[#This Row],[Totaal Primair Materieelgebruik]]+Referentie_Materiaal_Totaal46[[#This Row],[Totaal Secundair Materieelgebruik]]</f>
        <v>89.800000000000011</v>
      </c>
      <c r="O104" s="13"/>
      <c r="P104" s="13"/>
      <c r="Q104" s="13"/>
      <c r="R104" s="13"/>
      <c r="S104" s="13"/>
    </row>
    <row r="105" spans="2:33">
      <c r="B105" s="51" t="str">
        <f>Ontwerpberekening!B22</f>
        <v>Plastic kratten</v>
      </c>
      <c r="C105" s="51" t="str">
        <f>Ontwerpberekening!C22</f>
        <v>Grondverbetering</v>
      </c>
      <c r="D105" s="51" t="str">
        <f>Ontwerpberekening!G22</f>
        <v>Ophoogmateriaal (Zand)</v>
      </c>
      <c r="E105" s="93">
        <f>Ontwerpberekening!R22</f>
        <v>37.5</v>
      </c>
      <c r="F105" s="60">
        <f>_xlfn.IFNA(VLOOKUP(Referentie_Materiaal_Totaal46[[#This Row],[Product]]&amp;", "&amp;"Totaal",Database_Productkaarten[#All],64,FALSE),0)</f>
        <v>0</v>
      </c>
      <c r="G105" s="94">
        <f>Referentie_Materiaal_Totaal46[[#This Row],[Hoeveelheid '[ton']]]*(1-Referentie_Materiaal_Totaal46[[#This Row],[% Secundair]])</f>
        <v>37.5</v>
      </c>
      <c r="H105" s="94">
        <f>Referentie_Materiaal_Totaal46[[#This Row],[Hoeveelheid '[ton']]]*Referentie_Materiaal_Totaal46[[#This Row],[% Secundair]]</f>
        <v>0</v>
      </c>
      <c r="I105" s="128">
        <f>Ontwerpberekening!R22*Ontwerpberekening!T22</f>
        <v>0</v>
      </c>
      <c r="J105" s="128">
        <f>Referentie_Materiaal_Totaal46[[#This Row],[Hoeveelheid Vervaningen '[ton']]]*(1-Referentie_Materiaal_Totaal46[[#This Row],[% Secundair]])</f>
        <v>0</v>
      </c>
      <c r="K105" s="128">
        <f>Referentie_Materiaal_Totaal46[[#This Row],[Hoeveelheid Vervaningen '[ton']]]*Referentie_Materiaal_Totaal46[[#This Row],[% Secundair]]</f>
        <v>0</v>
      </c>
      <c r="L105" s="128">
        <f>Referentie_Materiaal_Totaal46[[#This Row],[Primair materiaalverbruik '[ton']]]+Referentie_Materiaal_Totaal46[[#This Row],[Primair materiaalverbruik Vervangingen '[ton']]]</f>
        <v>37.5</v>
      </c>
      <c r="M105" s="128">
        <f>Referentie_Materiaal_Totaal46[[#This Row],[Secundair materiaalverbruik '[ton']]]+Referentie_Materiaal_Totaal46[[#This Row],[Secundair materiaalverbruik Vervangingen '[ton']]]</f>
        <v>0</v>
      </c>
      <c r="N105" s="128">
        <f>Referentie_Materiaal_Totaal46[[#This Row],[Totaal Primair Materieelgebruik]]+Referentie_Materiaal_Totaal46[[#This Row],[Totaal Secundair Materieelgebruik]]</f>
        <v>37.5</v>
      </c>
      <c r="O105" s="13"/>
      <c r="P105" s="13"/>
      <c r="Q105" s="13"/>
      <c r="R105" s="13"/>
      <c r="S105" s="13"/>
    </row>
    <row r="106" spans="2:33">
      <c r="B106" s="51" t="str">
        <f>Ontwerpberekening!B23</f>
        <v>Plastic kratten</v>
      </c>
      <c r="C106" s="51" t="str">
        <f>Ontwerpberekening!C23</f>
        <v>Waterbergendelaag</v>
      </c>
      <c r="D106" s="51" t="str">
        <f>Ontwerpberekening!G23</f>
        <v>Kunststof Inflitratiekrat</v>
      </c>
      <c r="E106" s="93">
        <f>Ontwerpberekening!R23</f>
        <v>7</v>
      </c>
      <c r="F106" s="60">
        <f>_xlfn.IFNA(VLOOKUP(Referentie_Materiaal_Totaal46[[#This Row],[Product]]&amp;", "&amp;"Totaal",Database_Productkaarten[#All],64,FALSE),0)</f>
        <v>0</v>
      </c>
      <c r="G106" s="94">
        <f>Referentie_Materiaal_Totaal46[[#This Row],[Hoeveelheid '[ton']]]*(1-Referentie_Materiaal_Totaal46[[#This Row],[% Secundair]])</f>
        <v>7</v>
      </c>
      <c r="H106" s="94">
        <f>Referentie_Materiaal_Totaal46[[#This Row],[Hoeveelheid '[ton']]]*Referentie_Materiaal_Totaal46[[#This Row],[% Secundair]]</f>
        <v>0</v>
      </c>
      <c r="I106" s="128">
        <f>Ontwerpberekening!R23*Ontwerpberekening!T23</f>
        <v>0</v>
      </c>
      <c r="J106" s="128">
        <f>Referentie_Materiaal_Totaal46[[#This Row],[Hoeveelheid Vervaningen '[ton']]]*(1-Referentie_Materiaal_Totaal46[[#This Row],[% Secundair]])</f>
        <v>0</v>
      </c>
      <c r="K106" s="128">
        <f>Referentie_Materiaal_Totaal46[[#This Row],[Hoeveelheid Vervaningen '[ton']]]*Referentie_Materiaal_Totaal46[[#This Row],[% Secundair]]</f>
        <v>0</v>
      </c>
      <c r="L106" s="128">
        <f>Referentie_Materiaal_Totaal46[[#This Row],[Primair materiaalverbruik '[ton']]]+Referentie_Materiaal_Totaal46[[#This Row],[Primair materiaalverbruik Vervangingen '[ton']]]</f>
        <v>7</v>
      </c>
      <c r="M106" s="128">
        <f>Referentie_Materiaal_Totaal46[[#This Row],[Secundair materiaalverbruik '[ton']]]+Referentie_Materiaal_Totaal46[[#This Row],[Secundair materiaalverbruik Vervangingen '[ton']]]</f>
        <v>0</v>
      </c>
      <c r="N106" s="128">
        <f>Referentie_Materiaal_Totaal46[[#This Row],[Totaal Primair Materieelgebruik]]+Referentie_Materiaal_Totaal46[[#This Row],[Totaal Secundair Materieelgebruik]]</f>
        <v>7</v>
      </c>
      <c r="O106" s="13"/>
      <c r="P106" s="13"/>
      <c r="Q106" s="13"/>
      <c r="R106" s="13"/>
      <c r="S106" s="13"/>
    </row>
    <row r="107" spans="2:33">
      <c r="B107" s="51" t="str">
        <f>Ontwerpberekening!B24</f>
        <v>Plastic kratten</v>
      </c>
      <c r="C107" s="51" t="str">
        <f>Ontwerpberekening!C24</f>
        <v>Menggranulaat</v>
      </c>
      <c r="D107" s="51" t="str">
        <f>Ontwerpberekening!G24</f>
        <v>Menggranulaat 300mm</v>
      </c>
      <c r="E107" s="93">
        <f>Ontwerpberekening!R24</f>
        <v>292.5</v>
      </c>
      <c r="F107" s="60">
        <f>_xlfn.IFNA(VLOOKUP(Referentie_Materiaal_Totaal46[[#This Row],[Product]]&amp;", "&amp;"Totaal",Database_Productkaarten[#All],64,FALSE),0)</f>
        <v>1</v>
      </c>
      <c r="G107" s="94">
        <f>Referentie_Materiaal_Totaal46[[#This Row],[Hoeveelheid '[ton']]]*(1-Referentie_Materiaal_Totaal46[[#This Row],[% Secundair]])</f>
        <v>0</v>
      </c>
      <c r="H107" s="94">
        <f>Referentie_Materiaal_Totaal46[[#This Row],[Hoeveelheid '[ton']]]*Referentie_Materiaal_Totaal46[[#This Row],[% Secundair]]</f>
        <v>292.5</v>
      </c>
      <c r="I107" s="128">
        <f>Ontwerpberekening!R24*Ontwerpberekening!T24</f>
        <v>0</v>
      </c>
      <c r="J107" s="128">
        <f>Referentie_Materiaal_Totaal46[[#This Row],[Hoeveelheid Vervaningen '[ton']]]*(1-Referentie_Materiaal_Totaal46[[#This Row],[% Secundair]])</f>
        <v>0</v>
      </c>
      <c r="K107" s="128">
        <f>Referentie_Materiaal_Totaal46[[#This Row],[Hoeveelheid Vervaningen '[ton']]]*Referentie_Materiaal_Totaal46[[#This Row],[% Secundair]]</f>
        <v>0</v>
      </c>
      <c r="L107" s="128">
        <f>Referentie_Materiaal_Totaal46[[#This Row],[Primair materiaalverbruik '[ton']]]+Referentie_Materiaal_Totaal46[[#This Row],[Primair materiaalverbruik Vervangingen '[ton']]]</f>
        <v>0</v>
      </c>
      <c r="M107" s="128">
        <f>Referentie_Materiaal_Totaal46[[#This Row],[Secundair materiaalverbruik '[ton']]]+Referentie_Materiaal_Totaal46[[#This Row],[Secundair materiaalverbruik Vervangingen '[ton']]]</f>
        <v>292.5</v>
      </c>
      <c r="N107" s="128">
        <f>Referentie_Materiaal_Totaal46[[#This Row],[Totaal Primair Materieelgebruik]]+Referentie_Materiaal_Totaal46[[#This Row],[Totaal Secundair Materieelgebruik]]</f>
        <v>292.5</v>
      </c>
      <c r="O107" s="13"/>
      <c r="P107" s="13"/>
      <c r="Q107" s="13"/>
      <c r="R107" s="13"/>
      <c r="S107" s="13"/>
    </row>
    <row r="108" spans="2:33">
      <c r="B108" s="51" t="str">
        <f>Ontwerpberekening!B25</f>
        <v>Plastic kratten</v>
      </c>
      <c r="C108" s="51" t="str">
        <f>Ontwerpberekening!C25</f>
        <v>Straatlaag</v>
      </c>
      <c r="D108" s="51" t="str">
        <f>Ontwerpberekening!G25</f>
        <v>Ophoogmateriaal (Zand)</v>
      </c>
      <c r="E108" s="93">
        <f>Ontwerpberekening!R25</f>
        <v>37.5</v>
      </c>
      <c r="F108" s="60">
        <f>_xlfn.IFNA(VLOOKUP(Referentie_Materiaal_Totaal46[[#This Row],[Product]]&amp;", "&amp;"Totaal",Database_Productkaarten[#All],64,FALSE),0)</f>
        <v>0</v>
      </c>
      <c r="G108" s="94">
        <f>Referentie_Materiaal_Totaal46[[#This Row],[Hoeveelheid '[ton']]]*(1-Referentie_Materiaal_Totaal46[[#This Row],[% Secundair]])</f>
        <v>37.5</v>
      </c>
      <c r="H108" s="94">
        <f>Referentie_Materiaal_Totaal46[[#This Row],[Hoeveelheid '[ton']]]*Referentie_Materiaal_Totaal46[[#This Row],[% Secundair]]</f>
        <v>0</v>
      </c>
      <c r="I108" s="128">
        <f>Ontwerpberekening!R25*Ontwerpberekening!T25</f>
        <v>0</v>
      </c>
      <c r="J108" s="128">
        <f>Referentie_Materiaal_Totaal46[[#This Row],[Hoeveelheid Vervaningen '[ton']]]*(1-Referentie_Materiaal_Totaal46[[#This Row],[% Secundair]])</f>
        <v>0</v>
      </c>
      <c r="K108" s="128">
        <f>Referentie_Materiaal_Totaal46[[#This Row],[Hoeveelheid Vervaningen '[ton']]]*Referentie_Materiaal_Totaal46[[#This Row],[% Secundair]]</f>
        <v>0</v>
      </c>
      <c r="L108" s="128">
        <f>Referentie_Materiaal_Totaal46[[#This Row],[Primair materiaalverbruik '[ton']]]+Referentie_Materiaal_Totaal46[[#This Row],[Primair materiaalverbruik Vervangingen '[ton']]]</f>
        <v>37.5</v>
      </c>
      <c r="M108" s="128">
        <f>Referentie_Materiaal_Totaal46[[#This Row],[Secundair materiaalverbruik '[ton']]]+Referentie_Materiaal_Totaal46[[#This Row],[Secundair materiaalverbruik Vervangingen '[ton']]]</f>
        <v>0</v>
      </c>
      <c r="N108" s="128">
        <f>Referentie_Materiaal_Totaal46[[#This Row],[Totaal Primair Materieelgebruik]]+Referentie_Materiaal_Totaal46[[#This Row],[Totaal Secundair Materieelgebruik]]</f>
        <v>37.5</v>
      </c>
      <c r="O108" s="13"/>
      <c r="P108" s="13"/>
      <c r="Q108" s="13"/>
      <c r="R108" s="13"/>
      <c r="S108" s="13"/>
    </row>
    <row r="109" spans="2:33">
      <c r="B109" s="51" t="str">
        <f>Ontwerpberekening!B26</f>
        <v>Plastic kratten</v>
      </c>
      <c r="C109" s="51" t="str">
        <f>Ontwerpberekening!C26</f>
        <v>Toplaag</v>
      </c>
      <c r="D109" s="51" t="str">
        <f>Ontwerpberekening!G26</f>
        <v>Betonstraatsteen 210x105x80</v>
      </c>
      <c r="E109" s="93">
        <f>Ontwerpberekening!R26</f>
        <v>89.800000000000011</v>
      </c>
      <c r="F109" s="60">
        <f>_xlfn.IFNA(VLOOKUP(Referentie_Materiaal_Totaal46[[#This Row],[Product]]&amp;", "&amp;"Totaal",Database_Productkaarten[#All],64,FALSE),0)</f>
        <v>5.7906458797327399E-2</v>
      </c>
      <c r="G109" s="94">
        <f>Referentie_Materiaal_Totaal46[[#This Row],[Hoeveelheid '[ton']]]*(1-Referentie_Materiaal_Totaal46[[#This Row],[% Secundair]])</f>
        <v>84.600000000000009</v>
      </c>
      <c r="H109" s="94">
        <f>Referentie_Materiaal_Totaal46[[#This Row],[Hoeveelheid '[ton']]]*Referentie_Materiaal_Totaal46[[#This Row],[% Secundair]]</f>
        <v>5.2000000000000011</v>
      </c>
      <c r="I109" s="128">
        <f>Ontwerpberekening!R26*Ontwerpberekening!T26</f>
        <v>0</v>
      </c>
      <c r="J109" s="128">
        <f>Referentie_Materiaal_Totaal46[[#This Row],[Hoeveelheid Vervaningen '[ton']]]*(1-Referentie_Materiaal_Totaal46[[#This Row],[% Secundair]])</f>
        <v>0</v>
      </c>
      <c r="K109" s="128">
        <f>Referentie_Materiaal_Totaal46[[#This Row],[Hoeveelheid Vervaningen '[ton']]]*Referentie_Materiaal_Totaal46[[#This Row],[% Secundair]]</f>
        <v>0</v>
      </c>
      <c r="L109" s="128">
        <f>Referentie_Materiaal_Totaal46[[#This Row],[Primair materiaalverbruik '[ton']]]+Referentie_Materiaal_Totaal46[[#This Row],[Primair materiaalverbruik Vervangingen '[ton']]]</f>
        <v>84.600000000000009</v>
      </c>
      <c r="M109" s="128">
        <f>Referentie_Materiaal_Totaal46[[#This Row],[Secundair materiaalverbruik '[ton']]]+Referentie_Materiaal_Totaal46[[#This Row],[Secundair materiaalverbruik Vervangingen '[ton']]]</f>
        <v>5.2000000000000011</v>
      </c>
      <c r="N109" s="128">
        <f>Referentie_Materiaal_Totaal46[[#This Row],[Totaal Primair Materieelgebruik]]+Referentie_Materiaal_Totaal46[[#This Row],[Totaal Secundair Materieelgebruik]]</f>
        <v>89.800000000000011</v>
      </c>
      <c r="O109" s="13"/>
      <c r="P109" s="13"/>
      <c r="Q109" s="13"/>
      <c r="R109" s="13"/>
      <c r="S109" s="13"/>
    </row>
    <row r="110" spans="2:33">
      <c r="B110" s="51" t="str">
        <f>Ontwerpberekening!B27</f>
        <v>Rockwool</v>
      </c>
      <c r="C110" s="51" t="str">
        <f>Ontwerpberekening!C27</f>
        <v>Grondontgraving</v>
      </c>
      <c r="D110" s="51" t="str">
        <f>Ontwerpberekening!G27</f>
        <v>Ophoogmateriaal (Grond)</v>
      </c>
      <c r="E110" s="93">
        <f>Ontwerpberekening!R27</f>
        <v>796.25</v>
      </c>
      <c r="F110" s="60">
        <f>_xlfn.IFNA(VLOOKUP(Referentie_Materiaal_Totaal46[[#This Row],[Product]]&amp;", "&amp;"Totaal",Database_Productkaarten[#All],64,FALSE),0)</f>
        <v>1</v>
      </c>
      <c r="G110" s="94">
        <f>Referentie_Materiaal_Totaal46[[#This Row],[Hoeveelheid '[ton']]]*(1-Referentie_Materiaal_Totaal46[[#This Row],[% Secundair]])</f>
        <v>0</v>
      </c>
      <c r="H110" s="94">
        <f>Referentie_Materiaal_Totaal46[[#This Row],[Hoeveelheid '[ton']]]*Referentie_Materiaal_Totaal46[[#This Row],[% Secundair]]</f>
        <v>796.25</v>
      </c>
      <c r="I110" s="128">
        <f>Ontwerpberekening!R27*Ontwerpberekening!T27</f>
        <v>0</v>
      </c>
      <c r="J110" s="128">
        <f>Referentie_Materiaal_Totaal46[[#This Row],[Hoeveelheid Vervaningen '[ton']]]*(1-Referentie_Materiaal_Totaal46[[#This Row],[% Secundair]])</f>
        <v>0</v>
      </c>
      <c r="K110" s="128">
        <f>Referentie_Materiaal_Totaal46[[#This Row],[Hoeveelheid Vervaningen '[ton']]]*Referentie_Materiaal_Totaal46[[#This Row],[% Secundair]]</f>
        <v>0</v>
      </c>
      <c r="L110" s="128">
        <f>Referentie_Materiaal_Totaal46[[#This Row],[Primair materiaalverbruik '[ton']]]+Referentie_Materiaal_Totaal46[[#This Row],[Primair materiaalverbruik Vervangingen '[ton']]]</f>
        <v>0</v>
      </c>
      <c r="M110" s="128">
        <f>Referentie_Materiaal_Totaal46[[#This Row],[Secundair materiaalverbruik '[ton']]]+Referentie_Materiaal_Totaal46[[#This Row],[Secundair materiaalverbruik Vervangingen '[ton']]]</f>
        <v>796.25</v>
      </c>
      <c r="N110" s="128">
        <f>Referentie_Materiaal_Totaal46[[#This Row],[Totaal Primair Materieelgebruik]]+Referentie_Materiaal_Totaal46[[#This Row],[Totaal Secundair Materieelgebruik]]</f>
        <v>796.25</v>
      </c>
      <c r="O110" s="13"/>
      <c r="P110" s="13"/>
      <c r="Q110" s="13"/>
      <c r="R110" s="13"/>
      <c r="S110" s="13"/>
    </row>
    <row r="111" spans="2:33">
      <c r="B111" s="51" t="str">
        <f>Ontwerpberekening!B28</f>
        <v>Rockwool</v>
      </c>
      <c r="C111" s="51" t="str">
        <f>Ontwerpberekening!C28</f>
        <v>Grondverbetering</v>
      </c>
      <c r="D111" s="51" t="str">
        <f>Ontwerpberekening!G28</f>
        <v>Ophoogmateriaal (Zand)</v>
      </c>
      <c r="E111" s="93">
        <f>Ontwerpberekening!R28</f>
        <v>37.5</v>
      </c>
      <c r="F111" s="60">
        <f>_xlfn.IFNA(VLOOKUP(Referentie_Materiaal_Totaal46[[#This Row],[Product]]&amp;", "&amp;"Totaal",Database_Productkaarten[#All],64,FALSE),0)</f>
        <v>0</v>
      </c>
      <c r="G111" s="94">
        <f>Referentie_Materiaal_Totaal46[[#This Row],[Hoeveelheid '[ton']]]*(1-Referentie_Materiaal_Totaal46[[#This Row],[% Secundair]])</f>
        <v>37.5</v>
      </c>
      <c r="H111" s="94">
        <f>Referentie_Materiaal_Totaal46[[#This Row],[Hoeveelheid '[ton']]]*Referentie_Materiaal_Totaal46[[#This Row],[% Secundair]]</f>
        <v>0</v>
      </c>
      <c r="I111" s="128">
        <f>Ontwerpberekening!R28*Ontwerpberekening!T28</f>
        <v>0</v>
      </c>
      <c r="J111" s="128">
        <f>Referentie_Materiaal_Totaal46[[#This Row],[Hoeveelheid Vervaningen '[ton']]]*(1-Referentie_Materiaal_Totaal46[[#This Row],[% Secundair]])</f>
        <v>0</v>
      </c>
      <c r="K111" s="128">
        <f>Referentie_Materiaal_Totaal46[[#This Row],[Hoeveelheid Vervaningen '[ton']]]*Referentie_Materiaal_Totaal46[[#This Row],[% Secundair]]</f>
        <v>0</v>
      </c>
      <c r="L111" s="128">
        <f>Referentie_Materiaal_Totaal46[[#This Row],[Primair materiaalverbruik '[ton']]]+Referentie_Materiaal_Totaal46[[#This Row],[Primair materiaalverbruik Vervangingen '[ton']]]</f>
        <v>37.5</v>
      </c>
      <c r="M111" s="128">
        <f>Referentie_Materiaal_Totaal46[[#This Row],[Secundair materiaalverbruik '[ton']]]+Referentie_Materiaal_Totaal46[[#This Row],[Secundair materiaalverbruik Vervangingen '[ton']]]</f>
        <v>0</v>
      </c>
      <c r="N111" s="128">
        <f>Referentie_Materiaal_Totaal46[[#This Row],[Totaal Primair Materieelgebruik]]+Referentie_Materiaal_Totaal46[[#This Row],[Totaal Secundair Materieelgebruik]]</f>
        <v>37.5</v>
      </c>
      <c r="O111" s="13"/>
      <c r="P111" s="13"/>
      <c r="Q111" s="13"/>
      <c r="R111" s="13"/>
      <c r="S111" s="13"/>
    </row>
    <row r="112" spans="2:33">
      <c r="B112" s="51" t="str">
        <f>Ontwerpberekening!B29</f>
        <v>Rockwool</v>
      </c>
      <c r="C112" s="51" t="str">
        <f>Ontwerpberekening!C29</f>
        <v>Waterbergendelaag</v>
      </c>
      <c r="D112" s="51" t="str">
        <f>Ontwerpberekening!G29</f>
        <v>Rockwool, 50 cm</v>
      </c>
      <c r="E112" s="93">
        <f>Ontwerpberekening!R29</f>
        <v>0</v>
      </c>
      <c r="F112" s="60">
        <f>_xlfn.IFNA(VLOOKUP(Referentie_Materiaal_Totaal46[[#This Row],[Product]]&amp;", "&amp;"Totaal",Database_Productkaarten[#All],64,FALSE),0)</f>
        <v>0</v>
      </c>
      <c r="G112" s="94">
        <f>Referentie_Materiaal_Totaal46[[#This Row],[Hoeveelheid '[ton']]]*(1-Referentie_Materiaal_Totaal46[[#This Row],[% Secundair]])</f>
        <v>0</v>
      </c>
      <c r="H112" s="94">
        <f>Referentie_Materiaal_Totaal46[[#This Row],[Hoeveelheid '[ton']]]*Referentie_Materiaal_Totaal46[[#This Row],[% Secundair]]</f>
        <v>0</v>
      </c>
      <c r="I112" s="128">
        <f>Ontwerpberekening!R29*Ontwerpberekening!T29</f>
        <v>0</v>
      </c>
      <c r="J112" s="128">
        <f>Referentie_Materiaal_Totaal46[[#This Row],[Hoeveelheid Vervaningen '[ton']]]*(1-Referentie_Materiaal_Totaal46[[#This Row],[% Secundair]])</f>
        <v>0</v>
      </c>
      <c r="K112" s="128">
        <f>Referentie_Materiaal_Totaal46[[#This Row],[Hoeveelheid Vervaningen '[ton']]]*Referentie_Materiaal_Totaal46[[#This Row],[% Secundair]]</f>
        <v>0</v>
      </c>
      <c r="L112" s="128">
        <f>Referentie_Materiaal_Totaal46[[#This Row],[Primair materiaalverbruik '[ton']]]+Referentie_Materiaal_Totaal46[[#This Row],[Primair materiaalverbruik Vervangingen '[ton']]]</f>
        <v>0</v>
      </c>
      <c r="M112" s="128">
        <f>Referentie_Materiaal_Totaal46[[#This Row],[Secundair materiaalverbruik '[ton']]]+Referentie_Materiaal_Totaal46[[#This Row],[Secundair materiaalverbruik Vervangingen '[ton']]]</f>
        <v>0</v>
      </c>
      <c r="N112" s="128">
        <f>Referentie_Materiaal_Totaal46[[#This Row],[Totaal Primair Materieelgebruik]]+Referentie_Materiaal_Totaal46[[#This Row],[Totaal Secundair Materieelgebruik]]</f>
        <v>0</v>
      </c>
      <c r="O112" s="13"/>
      <c r="P112" s="13"/>
      <c r="Q112" s="13"/>
      <c r="R112" s="13"/>
      <c r="S112" s="13"/>
    </row>
    <row r="113" spans="2:26">
      <c r="B113" s="51" t="str">
        <f>Ontwerpberekening!B30</f>
        <v>Rockwool</v>
      </c>
      <c r="C113" s="51" t="str">
        <f>Ontwerpberekening!C30</f>
        <v>Menggranulaat</v>
      </c>
      <c r="D113" s="51" t="str">
        <f>Ontwerpberekening!G30</f>
        <v>Menggranulaat 300mm</v>
      </c>
      <c r="E113" s="93">
        <f>Ontwerpberekening!R30</f>
        <v>292.5</v>
      </c>
      <c r="F113" s="60">
        <f>_xlfn.IFNA(VLOOKUP(Referentie_Materiaal_Totaal46[[#This Row],[Product]]&amp;", "&amp;"Totaal",Database_Productkaarten[#All],64,FALSE),0)</f>
        <v>1</v>
      </c>
      <c r="G113" s="94">
        <f>Referentie_Materiaal_Totaal46[[#This Row],[Hoeveelheid '[ton']]]*(1-Referentie_Materiaal_Totaal46[[#This Row],[% Secundair]])</f>
        <v>0</v>
      </c>
      <c r="H113" s="94">
        <f>Referentie_Materiaal_Totaal46[[#This Row],[Hoeveelheid '[ton']]]*Referentie_Materiaal_Totaal46[[#This Row],[% Secundair]]</f>
        <v>292.5</v>
      </c>
      <c r="I113" s="128">
        <f>Ontwerpberekening!R30*Ontwerpberekening!T30</f>
        <v>0</v>
      </c>
      <c r="J113" s="128">
        <f>Referentie_Materiaal_Totaal46[[#This Row],[Hoeveelheid Vervaningen '[ton']]]*(1-Referentie_Materiaal_Totaal46[[#This Row],[% Secundair]])</f>
        <v>0</v>
      </c>
      <c r="K113" s="128">
        <f>Referentie_Materiaal_Totaal46[[#This Row],[Hoeveelheid Vervaningen '[ton']]]*Referentie_Materiaal_Totaal46[[#This Row],[% Secundair]]</f>
        <v>0</v>
      </c>
      <c r="L113" s="128">
        <f>Referentie_Materiaal_Totaal46[[#This Row],[Primair materiaalverbruik '[ton']]]+Referentie_Materiaal_Totaal46[[#This Row],[Primair materiaalverbruik Vervangingen '[ton']]]</f>
        <v>0</v>
      </c>
      <c r="M113" s="128">
        <f>Referentie_Materiaal_Totaal46[[#This Row],[Secundair materiaalverbruik '[ton']]]+Referentie_Materiaal_Totaal46[[#This Row],[Secundair materiaalverbruik Vervangingen '[ton']]]</f>
        <v>292.5</v>
      </c>
      <c r="N113" s="128">
        <f>Referentie_Materiaal_Totaal46[[#This Row],[Totaal Primair Materieelgebruik]]+Referentie_Materiaal_Totaal46[[#This Row],[Totaal Secundair Materieelgebruik]]</f>
        <v>292.5</v>
      </c>
      <c r="O113" s="13"/>
      <c r="P113" s="13"/>
      <c r="Q113" s="13"/>
      <c r="R113" s="13"/>
      <c r="S113" s="13"/>
    </row>
    <row r="114" spans="2:26">
      <c r="B114" s="51" t="str">
        <f>Ontwerpberekening!B31</f>
        <v>Rockwool</v>
      </c>
      <c r="C114" s="51" t="str">
        <f>Ontwerpberekening!C31</f>
        <v>Straatlaag</v>
      </c>
      <c r="D114" s="51" t="str">
        <f>Ontwerpberekening!G31</f>
        <v>Ophoogmateriaal (Zand)</v>
      </c>
      <c r="E114" s="93">
        <f>Ontwerpberekening!R31</f>
        <v>37.5</v>
      </c>
      <c r="F114" s="60">
        <f>_xlfn.IFNA(VLOOKUP(Referentie_Materiaal_Totaal46[[#This Row],[Product]]&amp;", "&amp;"Totaal",Database_Productkaarten[#All],64,FALSE),0)</f>
        <v>0</v>
      </c>
      <c r="G114" s="94">
        <f>Referentie_Materiaal_Totaal46[[#This Row],[Hoeveelheid '[ton']]]*(1-Referentie_Materiaal_Totaal46[[#This Row],[% Secundair]])</f>
        <v>37.5</v>
      </c>
      <c r="H114" s="94">
        <f>Referentie_Materiaal_Totaal46[[#This Row],[Hoeveelheid '[ton']]]*Referentie_Materiaal_Totaal46[[#This Row],[% Secundair]]</f>
        <v>0</v>
      </c>
      <c r="I114" s="128">
        <f>Ontwerpberekening!R31*Ontwerpberekening!T31</f>
        <v>0</v>
      </c>
      <c r="J114" s="128">
        <f>Referentie_Materiaal_Totaal46[[#This Row],[Hoeveelheid Vervaningen '[ton']]]*(1-Referentie_Materiaal_Totaal46[[#This Row],[% Secundair]])</f>
        <v>0</v>
      </c>
      <c r="K114" s="128">
        <f>Referentie_Materiaal_Totaal46[[#This Row],[Hoeveelheid Vervaningen '[ton']]]*Referentie_Materiaal_Totaal46[[#This Row],[% Secundair]]</f>
        <v>0</v>
      </c>
      <c r="L114" s="128">
        <f>Referentie_Materiaal_Totaal46[[#This Row],[Primair materiaalverbruik '[ton']]]+Referentie_Materiaal_Totaal46[[#This Row],[Primair materiaalverbruik Vervangingen '[ton']]]</f>
        <v>37.5</v>
      </c>
      <c r="M114" s="128">
        <f>Referentie_Materiaal_Totaal46[[#This Row],[Secundair materiaalverbruik '[ton']]]+Referentie_Materiaal_Totaal46[[#This Row],[Secundair materiaalverbruik Vervangingen '[ton']]]</f>
        <v>0</v>
      </c>
      <c r="N114" s="128">
        <f>Referentie_Materiaal_Totaal46[[#This Row],[Totaal Primair Materieelgebruik]]+Referentie_Materiaal_Totaal46[[#This Row],[Totaal Secundair Materieelgebruik]]</f>
        <v>37.5</v>
      </c>
      <c r="O114" s="13"/>
      <c r="P114" s="13"/>
      <c r="Q114" s="13"/>
      <c r="R114" s="13"/>
      <c r="S114" s="13"/>
      <c r="Z114" s="13"/>
    </row>
    <row r="115" spans="2:26">
      <c r="B115" s="51" t="str">
        <f>Ontwerpberekening!B32</f>
        <v>Rockwool</v>
      </c>
      <c r="C115" s="51" t="str">
        <f>Ontwerpberekening!C32</f>
        <v>Toplaag</v>
      </c>
      <c r="D115" s="51" t="str">
        <f>Ontwerpberekening!G32</f>
        <v>Betonstraatsteen 210x105x80</v>
      </c>
      <c r="E115" s="93">
        <f>Ontwerpberekening!R32</f>
        <v>89.800000000000011</v>
      </c>
      <c r="F115" s="60">
        <f>_xlfn.IFNA(VLOOKUP(Referentie_Materiaal_Totaal46[[#This Row],[Product]]&amp;", "&amp;"Totaal",Database_Productkaarten[#All],64,FALSE),0)</f>
        <v>5.7906458797327399E-2</v>
      </c>
      <c r="G115" s="94">
        <f>Referentie_Materiaal_Totaal46[[#This Row],[Hoeveelheid '[ton']]]*(1-Referentie_Materiaal_Totaal46[[#This Row],[% Secundair]])</f>
        <v>84.600000000000009</v>
      </c>
      <c r="H115" s="94">
        <f>Referentie_Materiaal_Totaal46[[#This Row],[Hoeveelheid '[ton']]]*Referentie_Materiaal_Totaal46[[#This Row],[% Secundair]]</f>
        <v>5.2000000000000011</v>
      </c>
      <c r="I115" s="128">
        <f>Ontwerpberekening!R32*Ontwerpberekening!T32</f>
        <v>0</v>
      </c>
      <c r="J115" s="128">
        <f>Referentie_Materiaal_Totaal46[[#This Row],[Hoeveelheid Vervaningen '[ton']]]*(1-Referentie_Materiaal_Totaal46[[#This Row],[% Secundair]])</f>
        <v>0</v>
      </c>
      <c r="K115" s="128">
        <f>Referentie_Materiaal_Totaal46[[#This Row],[Hoeveelheid Vervaningen '[ton']]]*Referentie_Materiaal_Totaal46[[#This Row],[% Secundair]]</f>
        <v>0</v>
      </c>
      <c r="L115" s="128">
        <f>Referentie_Materiaal_Totaal46[[#This Row],[Primair materiaalverbruik '[ton']]]+Referentie_Materiaal_Totaal46[[#This Row],[Primair materiaalverbruik Vervangingen '[ton']]]</f>
        <v>84.600000000000009</v>
      </c>
      <c r="M115" s="128">
        <f>Referentie_Materiaal_Totaal46[[#This Row],[Secundair materiaalverbruik '[ton']]]+Referentie_Materiaal_Totaal46[[#This Row],[Secundair materiaalverbruik Vervangingen '[ton']]]</f>
        <v>5.2000000000000011</v>
      </c>
      <c r="N115" s="128">
        <f>Referentie_Materiaal_Totaal46[[#This Row],[Totaal Primair Materieelgebruik]]+Referentie_Materiaal_Totaal46[[#This Row],[Totaal Secundair Materieelgebruik]]</f>
        <v>89.800000000000011</v>
      </c>
      <c r="O115" s="13"/>
      <c r="P115" s="13"/>
      <c r="Q115" s="13"/>
      <c r="R115" s="13"/>
      <c r="S115" s="13"/>
      <c r="Z115" s="13"/>
    </row>
    <row r="116" spans="2:26">
      <c r="B116" s="51" t="str">
        <f>Ontwerpberekening!B33</f>
        <v>Rockwool</v>
      </c>
      <c r="C116" s="51" t="str">
        <f>Ontwerpberekening!C33</f>
        <v>Grondverbetering</v>
      </c>
      <c r="D116" s="51" t="str">
        <f>Ontwerpberekening!G33</f>
        <v>Ophoogmateriaal (Zand)</v>
      </c>
      <c r="E116" s="93">
        <f>Ontwerpberekening!R33</f>
        <v>37.5</v>
      </c>
      <c r="F116" s="60">
        <f>_xlfn.IFNA(VLOOKUP(Referentie_Materiaal_Totaal46[[#This Row],[Product]]&amp;", "&amp;"Totaal",Database_Productkaarten[#All],64,FALSE),0)</f>
        <v>0</v>
      </c>
      <c r="G116" s="94">
        <f>Referentie_Materiaal_Totaal46[[#This Row],[Hoeveelheid '[ton']]]*(1-Referentie_Materiaal_Totaal46[[#This Row],[% Secundair]])</f>
        <v>37.5</v>
      </c>
      <c r="H116" s="94">
        <f>Referentie_Materiaal_Totaal46[[#This Row],[Hoeveelheid '[ton']]]*Referentie_Materiaal_Totaal46[[#This Row],[% Secundair]]</f>
        <v>0</v>
      </c>
      <c r="I116" s="128">
        <f>Ontwerpberekening!R33*Ontwerpberekening!T33</f>
        <v>0</v>
      </c>
      <c r="J116" s="128">
        <f>Referentie_Materiaal_Totaal46[[#This Row],[Hoeveelheid Vervaningen '[ton']]]*(1-Referentie_Materiaal_Totaal46[[#This Row],[% Secundair]])</f>
        <v>0</v>
      </c>
      <c r="K116" s="128">
        <f>Referentie_Materiaal_Totaal46[[#This Row],[Hoeveelheid Vervaningen '[ton']]]*Referentie_Materiaal_Totaal46[[#This Row],[% Secundair]]</f>
        <v>0</v>
      </c>
      <c r="L116" s="128">
        <f>Referentie_Materiaal_Totaal46[[#This Row],[Primair materiaalverbruik '[ton']]]+Referentie_Materiaal_Totaal46[[#This Row],[Primair materiaalverbruik Vervangingen '[ton']]]</f>
        <v>37.5</v>
      </c>
      <c r="M116" s="128">
        <f>Referentie_Materiaal_Totaal46[[#This Row],[Secundair materiaalverbruik '[ton']]]+Referentie_Materiaal_Totaal46[[#This Row],[Secundair materiaalverbruik Vervangingen '[ton']]]</f>
        <v>0</v>
      </c>
      <c r="N116" s="128">
        <f>Referentie_Materiaal_Totaal46[[#This Row],[Totaal Primair Materieelgebruik]]+Referentie_Materiaal_Totaal46[[#This Row],[Totaal Secundair Materieelgebruik]]</f>
        <v>37.5</v>
      </c>
      <c r="O116" s="13"/>
      <c r="P116" s="13"/>
      <c r="Q116" s="13"/>
      <c r="R116" s="13"/>
      <c r="S116" s="13"/>
      <c r="Z116" s="13"/>
    </row>
    <row r="117" spans="2:26">
      <c r="B117" s="51" t="str">
        <f>Ontwerpberekening!B34</f>
        <v>Rockwool</v>
      </c>
      <c r="C117" s="51" t="str">
        <f>Ontwerpberekening!C34</f>
        <v>Waterbergendelaag</v>
      </c>
      <c r="D117" s="51" t="str">
        <f>Ontwerpberekening!G34</f>
        <v>Rockwool, 50 cm</v>
      </c>
      <c r="E117" s="93">
        <f>Ontwerpberekening!R34</f>
        <v>0</v>
      </c>
      <c r="F117" s="60">
        <f>_xlfn.IFNA(VLOOKUP(Referentie_Materiaal_Totaal46[[#This Row],[Product]]&amp;", "&amp;"Totaal",Database_Productkaarten[#All],64,FALSE),0)</f>
        <v>0</v>
      </c>
      <c r="G117" s="196">
        <f>Referentie_Materiaal_Totaal46[[#This Row],[Hoeveelheid '[ton']]]*(1-Referentie_Materiaal_Totaal46[[#This Row],[% Secundair]])</f>
        <v>0</v>
      </c>
      <c r="H117" s="196">
        <f>Referentie_Materiaal_Totaal46[[#This Row],[Hoeveelheid '[ton']]]*Referentie_Materiaal_Totaal46[[#This Row],[% Secundair]]</f>
        <v>0</v>
      </c>
      <c r="I117" s="199">
        <f>Ontwerpberekening!R34*Ontwerpberekening!T34</f>
        <v>0</v>
      </c>
      <c r="J117" s="199">
        <f>Referentie_Materiaal_Totaal46[[#This Row],[Hoeveelheid Vervaningen '[ton']]]*(1-Referentie_Materiaal_Totaal46[[#This Row],[% Secundair]])</f>
        <v>0</v>
      </c>
      <c r="K117" s="199">
        <f>Referentie_Materiaal_Totaal46[[#This Row],[Hoeveelheid Vervaningen '[ton']]]*Referentie_Materiaal_Totaal46[[#This Row],[% Secundair]]</f>
        <v>0</v>
      </c>
      <c r="L117" s="199">
        <f>Referentie_Materiaal_Totaal46[[#This Row],[Primair materiaalverbruik '[ton']]]+Referentie_Materiaal_Totaal46[[#This Row],[Primair materiaalverbruik Vervangingen '[ton']]]</f>
        <v>0</v>
      </c>
      <c r="M117" s="199">
        <f>Referentie_Materiaal_Totaal46[[#This Row],[Secundair materiaalverbruik '[ton']]]+Referentie_Materiaal_Totaal46[[#This Row],[Secundair materiaalverbruik Vervangingen '[ton']]]</f>
        <v>0</v>
      </c>
      <c r="N117" s="199">
        <f>Referentie_Materiaal_Totaal46[[#This Row],[Totaal Primair Materieelgebruik]]+Referentie_Materiaal_Totaal46[[#This Row],[Totaal Secundair Materieelgebruik]]</f>
        <v>0</v>
      </c>
      <c r="O117" s="13"/>
      <c r="P117" s="13"/>
      <c r="Q117" s="13"/>
      <c r="R117" s="13"/>
      <c r="S117" s="13"/>
      <c r="Z117" s="13"/>
    </row>
    <row r="118" spans="2:26">
      <c r="B118" s="51" t="str">
        <f>Ontwerpberekening!B35</f>
        <v>Rockwool</v>
      </c>
      <c r="C118" s="51" t="str">
        <f>Ontwerpberekening!C35</f>
        <v>Menggranulaat</v>
      </c>
      <c r="D118" s="51" t="str">
        <f>Ontwerpberekening!G35</f>
        <v>Menggranulaat 300mm</v>
      </c>
      <c r="E118" s="93">
        <f>Ontwerpberekening!R35</f>
        <v>292.5</v>
      </c>
      <c r="F118" s="60">
        <f>_xlfn.IFNA(VLOOKUP(Referentie_Materiaal_Totaal46[[#This Row],[Product]]&amp;", "&amp;"Totaal",Database_Productkaarten[#All],64,FALSE),0)</f>
        <v>1</v>
      </c>
      <c r="G118" s="196">
        <f>Referentie_Materiaal_Totaal46[[#This Row],[Hoeveelheid '[ton']]]*(1-Referentie_Materiaal_Totaal46[[#This Row],[% Secundair]])</f>
        <v>0</v>
      </c>
      <c r="H118" s="196">
        <f>Referentie_Materiaal_Totaal46[[#This Row],[Hoeveelheid '[ton']]]*Referentie_Materiaal_Totaal46[[#This Row],[% Secundair]]</f>
        <v>292.5</v>
      </c>
      <c r="I118" s="199">
        <f>Ontwerpberekening!R35*Ontwerpberekening!T35</f>
        <v>0</v>
      </c>
      <c r="J118" s="199">
        <f>Referentie_Materiaal_Totaal46[[#This Row],[Hoeveelheid Vervaningen '[ton']]]*(1-Referentie_Materiaal_Totaal46[[#This Row],[% Secundair]])</f>
        <v>0</v>
      </c>
      <c r="K118" s="199">
        <f>Referentie_Materiaal_Totaal46[[#This Row],[Hoeveelheid Vervaningen '[ton']]]*Referentie_Materiaal_Totaal46[[#This Row],[% Secundair]]</f>
        <v>0</v>
      </c>
      <c r="L118" s="199">
        <f>Referentie_Materiaal_Totaal46[[#This Row],[Primair materiaalverbruik '[ton']]]+Referentie_Materiaal_Totaal46[[#This Row],[Primair materiaalverbruik Vervangingen '[ton']]]</f>
        <v>0</v>
      </c>
      <c r="M118" s="199">
        <f>Referentie_Materiaal_Totaal46[[#This Row],[Secundair materiaalverbruik '[ton']]]+Referentie_Materiaal_Totaal46[[#This Row],[Secundair materiaalverbruik Vervangingen '[ton']]]</f>
        <v>292.5</v>
      </c>
      <c r="N118" s="199">
        <f>Referentie_Materiaal_Totaal46[[#This Row],[Totaal Primair Materieelgebruik]]+Referentie_Materiaal_Totaal46[[#This Row],[Totaal Secundair Materieelgebruik]]</f>
        <v>292.5</v>
      </c>
      <c r="O118" s="13"/>
      <c r="P118" s="13"/>
      <c r="Q118" s="13"/>
      <c r="R118" s="13"/>
      <c r="S118" s="13"/>
      <c r="Z118" s="13"/>
    </row>
    <row r="119" spans="2:26">
      <c r="B119" s="51" t="str">
        <f>Ontwerpberekening!B36</f>
        <v>Rockwool</v>
      </c>
      <c r="C119" s="51" t="str">
        <f>Ontwerpberekening!C36</f>
        <v>Straatlaag</v>
      </c>
      <c r="D119" s="51" t="str">
        <f>Ontwerpberekening!G36</f>
        <v>Ophoogmateriaal (Zand)</v>
      </c>
      <c r="E119" s="93">
        <f>Ontwerpberekening!R36</f>
        <v>37.5</v>
      </c>
      <c r="F119" s="60">
        <f>_xlfn.IFNA(VLOOKUP(Referentie_Materiaal_Totaal46[[#This Row],[Product]]&amp;", "&amp;"Totaal",Database_Productkaarten[#All],64,FALSE),0)</f>
        <v>0</v>
      </c>
      <c r="G119" s="196">
        <f>Referentie_Materiaal_Totaal46[[#This Row],[Hoeveelheid '[ton']]]*(1-Referentie_Materiaal_Totaal46[[#This Row],[% Secundair]])</f>
        <v>37.5</v>
      </c>
      <c r="H119" s="196">
        <f>Referentie_Materiaal_Totaal46[[#This Row],[Hoeveelheid '[ton']]]*Referentie_Materiaal_Totaal46[[#This Row],[% Secundair]]</f>
        <v>0</v>
      </c>
      <c r="I119" s="199">
        <f>Ontwerpberekening!R36*Ontwerpberekening!T36</f>
        <v>0</v>
      </c>
      <c r="J119" s="199">
        <f>Referentie_Materiaal_Totaal46[[#This Row],[Hoeveelheid Vervaningen '[ton']]]*(1-Referentie_Materiaal_Totaal46[[#This Row],[% Secundair]])</f>
        <v>0</v>
      </c>
      <c r="K119" s="199">
        <f>Referentie_Materiaal_Totaal46[[#This Row],[Hoeveelheid Vervaningen '[ton']]]*Referentie_Materiaal_Totaal46[[#This Row],[% Secundair]]</f>
        <v>0</v>
      </c>
      <c r="L119" s="199">
        <f>Referentie_Materiaal_Totaal46[[#This Row],[Primair materiaalverbruik '[ton']]]+Referentie_Materiaal_Totaal46[[#This Row],[Primair materiaalverbruik Vervangingen '[ton']]]</f>
        <v>37.5</v>
      </c>
      <c r="M119" s="199">
        <f>Referentie_Materiaal_Totaal46[[#This Row],[Secundair materiaalverbruik '[ton']]]+Referentie_Materiaal_Totaal46[[#This Row],[Secundair materiaalverbruik Vervangingen '[ton']]]</f>
        <v>0</v>
      </c>
      <c r="N119" s="199">
        <f>Referentie_Materiaal_Totaal46[[#This Row],[Totaal Primair Materieelgebruik]]+Referentie_Materiaal_Totaal46[[#This Row],[Totaal Secundair Materieelgebruik]]</f>
        <v>37.5</v>
      </c>
      <c r="O119" s="13"/>
      <c r="P119" s="13"/>
      <c r="Q119" s="13"/>
      <c r="R119" s="13"/>
      <c r="S119" s="13"/>
      <c r="Z119" s="13"/>
    </row>
    <row r="120" spans="2:26">
      <c r="B120" s="51" t="str">
        <f>Ontwerpberekening!B37</f>
        <v>Rockwool</v>
      </c>
      <c r="C120" s="51" t="str">
        <f>Ontwerpberekening!C37</f>
        <v>Toplaag</v>
      </c>
      <c r="D120" s="51" t="str">
        <f>Ontwerpberekening!G37</f>
        <v>Betonstraatsteen 210x105x80</v>
      </c>
      <c r="E120" s="93">
        <f>Ontwerpberekening!R37</f>
        <v>89.800000000000011</v>
      </c>
      <c r="F120" s="60">
        <f>_xlfn.IFNA(VLOOKUP(Referentie_Materiaal_Totaal46[[#This Row],[Product]]&amp;", "&amp;"Totaal",Database_Productkaarten[#All],64,FALSE),0)</f>
        <v>5.7906458797327399E-2</v>
      </c>
      <c r="G120" s="94">
        <f>Referentie_Materiaal_Totaal46[[#This Row],[Hoeveelheid '[ton']]]*(1-Referentie_Materiaal_Totaal46[[#This Row],[% Secundair]])</f>
        <v>84.600000000000009</v>
      </c>
      <c r="H120" s="94">
        <f>Referentie_Materiaal_Totaal46[[#This Row],[Hoeveelheid '[ton']]]*Referentie_Materiaal_Totaal46[[#This Row],[% Secundair]]</f>
        <v>5.2000000000000011</v>
      </c>
      <c r="I120" s="128">
        <f>Ontwerpberekening!R37*Ontwerpberekening!T37</f>
        <v>0</v>
      </c>
      <c r="J120" s="128">
        <f>Referentie_Materiaal_Totaal46[[#This Row],[Hoeveelheid Vervaningen '[ton']]]*(1-Referentie_Materiaal_Totaal46[[#This Row],[% Secundair]])</f>
        <v>0</v>
      </c>
      <c r="K120" s="128">
        <f>Referentie_Materiaal_Totaal46[[#This Row],[Hoeveelheid Vervaningen '[ton']]]*Referentie_Materiaal_Totaal46[[#This Row],[% Secundair]]</f>
        <v>0</v>
      </c>
      <c r="L120" s="128">
        <f>Referentie_Materiaal_Totaal46[[#This Row],[Primair materiaalverbruik '[ton']]]+Referentie_Materiaal_Totaal46[[#This Row],[Primair materiaalverbruik Vervangingen '[ton']]]</f>
        <v>84.600000000000009</v>
      </c>
      <c r="M120" s="128">
        <f>Referentie_Materiaal_Totaal46[[#This Row],[Secundair materiaalverbruik '[ton']]]+Referentie_Materiaal_Totaal46[[#This Row],[Secundair materiaalverbruik Vervangingen '[ton']]]</f>
        <v>5.2000000000000011</v>
      </c>
      <c r="N120" s="128">
        <f>Referentie_Materiaal_Totaal46[[#This Row],[Totaal Primair Materieelgebruik]]+Referentie_Materiaal_Totaal46[[#This Row],[Totaal Secundair Materieelgebruik]]</f>
        <v>89.800000000000011</v>
      </c>
      <c r="O120" s="13"/>
      <c r="P120" s="13"/>
      <c r="Q120" s="13"/>
      <c r="R120" s="13"/>
      <c r="S120" s="13"/>
      <c r="Z120" s="13"/>
    </row>
    <row r="121" spans="2:26">
      <c r="B121" s="51">
        <f>Ontwerpberekening!B38</f>
        <v>0</v>
      </c>
      <c r="C121" s="51">
        <f>Ontwerpberekening!C38</f>
        <v>0</v>
      </c>
      <c r="D121" s="51">
        <f>Ontwerpberekening!G38</f>
        <v>0</v>
      </c>
      <c r="E121" s="93">
        <f>Ontwerpberekening!R38</f>
        <v>0</v>
      </c>
      <c r="F121" s="60">
        <f>_xlfn.IFNA(VLOOKUP(Referentie_Materiaal_Totaal46[[#This Row],[Product]]&amp;", "&amp;"Totaal",Database_Productkaarten[#All],64,FALSE),0)</f>
        <v>0</v>
      </c>
      <c r="G121" s="196">
        <f>Referentie_Materiaal_Totaal46[[#This Row],[Hoeveelheid '[ton']]]*(1-Referentie_Materiaal_Totaal46[[#This Row],[% Secundair]])</f>
        <v>0</v>
      </c>
      <c r="H121" s="196">
        <f>Referentie_Materiaal_Totaal46[[#This Row],[Hoeveelheid '[ton']]]*Referentie_Materiaal_Totaal46[[#This Row],[% Secundair]]</f>
        <v>0</v>
      </c>
      <c r="I121" s="199">
        <f>Ontwerpberekening!R38*Ontwerpberekening!T38</f>
        <v>0</v>
      </c>
      <c r="J121" s="199">
        <f>Referentie_Materiaal_Totaal46[[#This Row],[Hoeveelheid Vervaningen '[ton']]]*(1-Referentie_Materiaal_Totaal46[[#This Row],[% Secundair]])</f>
        <v>0</v>
      </c>
      <c r="K121" s="199">
        <f>Referentie_Materiaal_Totaal46[[#This Row],[Hoeveelheid Vervaningen '[ton']]]*Referentie_Materiaal_Totaal46[[#This Row],[% Secundair]]</f>
        <v>0</v>
      </c>
      <c r="L121" s="199">
        <f>Referentie_Materiaal_Totaal46[[#This Row],[Primair materiaalverbruik '[ton']]]+Referentie_Materiaal_Totaal46[[#This Row],[Primair materiaalverbruik Vervangingen '[ton']]]</f>
        <v>0</v>
      </c>
      <c r="M121" s="199">
        <f>Referentie_Materiaal_Totaal46[[#This Row],[Secundair materiaalverbruik '[ton']]]+Referentie_Materiaal_Totaal46[[#This Row],[Secundair materiaalverbruik Vervangingen '[ton']]]</f>
        <v>0</v>
      </c>
      <c r="N121" s="199">
        <f>Referentie_Materiaal_Totaal46[[#This Row],[Totaal Primair Materieelgebruik]]+Referentie_Materiaal_Totaal46[[#This Row],[Totaal Secundair Materieelgebruik]]</f>
        <v>0</v>
      </c>
      <c r="O121" s="13"/>
      <c r="P121" s="13"/>
      <c r="Q121" s="13"/>
      <c r="R121" s="13"/>
      <c r="S121" s="13"/>
      <c r="Z121" s="13"/>
    </row>
    <row r="122" spans="2:26">
      <c r="B122" s="51">
        <f>Ontwerpberekening!B39</f>
        <v>0</v>
      </c>
      <c r="C122" s="51">
        <f>Ontwerpberekening!C39</f>
        <v>0</v>
      </c>
      <c r="D122" s="51">
        <f>Ontwerpberekening!G39</f>
        <v>0</v>
      </c>
      <c r="E122" s="93">
        <f>Ontwerpberekening!R39</f>
        <v>0</v>
      </c>
      <c r="F122" s="60">
        <f>_xlfn.IFNA(VLOOKUP(Referentie_Materiaal_Totaal46[[#This Row],[Product]]&amp;", "&amp;"Totaal",Database_Productkaarten[#All],64,FALSE),0)</f>
        <v>0</v>
      </c>
      <c r="G122" s="196">
        <f>Referentie_Materiaal_Totaal46[[#This Row],[Hoeveelheid '[ton']]]*(1-Referentie_Materiaal_Totaal46[[#This Row],[% Secundair]])</f>
        <v>0</v>
      </c>
      <c r="H122" s="196">
        <f>Referentie_Materiaal_Totaal46[[#This Row],[Hoeveelheid '[ton']]]*Referentie_Materiaal_Totaal46[[#This Row],[% Secundair]]</f>
        <v>0</v>
      </c>
      <c r="I122" s="199">
        <f>Ontwerpberekening!R39*Ontwerpberekening!T39</f>
        <v>0</v>
      </c>
      <c r="J122" s="199">
        <f>Referentie_Materiaal_Totaal46[[#This Row],[Hoeveelheid Vervaningen '[ton']]]*(1-Referentie_Materiaal_Totaal46[[#This Row],[% Secundair]])</f>
        <v>0</v>
      </c>
      <c r="K122" s="199">
        <f>Referentie_Materiaal_Totaal46[[#This Row],[Hoeveelheid Vervaningen '[ton']]]*Referentie_Materiaal_Totaal46[[#This Row],[% Secundair]]</f>
        <v>0</v>
      </c>
      <c r="L122" s="199">
        <f>Referentie_Materiaal_Totaal46[[#This Row],[Primair materiaalverbruik '[ton']]]+Referentie_Materiaal_Totaal46[[#This Row],[Primair materiaalverbruik Vervangingen '[ton']]]</f>
        <v>0</v>
      </c>
      <c r="M122" s="199">
        <f>Referentie_Materiaal_Totaal46[[#This Row],[Secundair materiaalverbruik '[ton']]]+Referentie_Materiaal_Totaal46[[#This Row],[Secundair materiaalverbruik Vervangingen '[ton']]]</f>
        <v>0</v>
      </c>
      <c r="N122" s="199">
        <f>Referentie_Materiaal_Totaal46[[#This Row],[Totaal Primair Materieelgebruik]]+Referentie_Materiaal_Totaal46[[#This Row],[Totaal Secundair Materieelgebruik]]</f>
        <v>0</v>
      </c>
      <c r="O122" s="13"/>
      <c r="P122" s="13"/>
      <c r="Q122" s="13"/>
      <c r="R122" s="13"/>
      <c r="S122" s="13"/>
      <c r="Z122" s="13"/>
    </row>
    <row r="123" spans="2:26">
      <c r="B123" s="51">
        <f>Ontwerpberekening!B40</f>
        <v>0</v>
      </c>
      <c r="C123" s="51">
        <f>Ontwerpberekening!C40</f>
        <v>0</v>
      </c>
      <c r="D123" s="51">
        <f>Ontwerpberekening!G40</f>
        <v>0</v>
      </c>
      <c r="E123" s="93">
        <f>Ontwerpberekening!R40</f>
        <v>0</v>
      </c>
      <c r="F123" s="60">
        <f>_xlfn.IFNA(VLOOKUP(Referentie_Materiaal_Totaal46[[#This Row],[Product]]&amp;", "&amp;"Totaal",Database_Productkaarten[#All],64,FALSE),0)</f>
        <v>0</v>
      </c>
      <c r="G123" s="196">
        <f>Referentie_Materiaal_Totaal46[[#This Row],[Hoeveelheid '[ton']]]*(1-Referentie_Materiaal_Totaal46[[#This Row],[% Secundair]])</f>
        <v>0</v>
      </c>
      <c r="H123" s="196">
        <f>Referentie_Materiaal_Totaal46[[#This Row],[Hoeveelheid '[ton']]]*Referentie_Materiaal_Totaal46[[#This Row],[% Secundair]]</f>
        <v>0</v>
      </c>
      <c r="I123" s="199">
        <f>Ontwerpberekening!R40*Ontwerpberekening!T40</f>
        <v>0</v>
      </c>
      <c r="J123" s="199">
        <f>Referentie_Materiaal_Totaal46[[#This Row],[Hoeveelheid Vervaningen '[ton']]]*(1-Referentie_Materiaal_Totaal46[[#This Row],[% Secundair]])</f>
        <v>0</v>
      </c>
      <c r="K123" s="199">
        <f>Referentie_Materiaal_Totaal46[[#This Row],[Hoeveelheid Vervaningen '[ton']]]*Referentie_Materiaal_Totaal46[[#This Row],[% Secundair]]</f>
        <v>0</v>
      </c>
      <c r="L123" s="199">
        <f>Referentie_Materiaal_Totaal46[[#This Row],[Primair materiaalverbruik '[ton']]]+Referentie_Materiaal_Totaal46[[#This Row],[Primair materiaalverbruik Vervangingen '[ton']]]</f>
        <v>0</v>
      </c>
      <c r="M123" s="199">
        <f>Referentie_Materiaal_Totaal46[[#This Row],[Secundair materiaalverbruik '[ton']]]+Referentie_Materiaal_Totaal46[[#This Row],[Secundair materiaalverbruik Vervangingen '[ton']]]</f>
        <v>0</v>
      </c>
      <c r="N123" s="199">
        <f>Referentie_Materiaal_Totaal46[[#This Row],[Totaal Primair Materieelgebruik]]+Referentie_Materiaal_Totaal46[[#This Row],[Totaal Secundair Materieelgebruik]]</f>
        <v>0</v>
      </c>
      <c r="O123" s="13"/>
      <c r="P123" s="13"/>
      <c r="Q123" s="13"/>
      <c r="R123" s="13"/>
      <c r="S123" s="13"/>
      <c r="Z123" s="13"/>
    </row>
    <row r="124" spans="2:26" ht="15.75" thickBot="1">
      <c r="B124" s="51">
        <f>Ontwerpberekening!B41</f>
        <v>0</v>
      </c>
      <c r="C124" s="51">
        <f>Ontwerpberekening!C41</f>
        <v>0</v>
      </c>
      <c r="D124" s="51">
        <f>Ontwerpberekening!G41</f>
        <v>0</v>
      </c>
      <c r="E124" s="93">
        <f>Ontwerpberekening!R41</f>
        <v>0</v>
      </c>
      <c r="F124" s="60">
        <f>_xlfn.IFNA(VLOOKUP(Referentie_Materiaal_Totaal46[[#This Row],[Product]]&amp;", "&amp;"Totaal",Database_Productkaarten[#All],64,FALSE),0)</f>
        <v>0</v>
      </c>
      <c r="G124" s="94">
        <f>Referentie_Materiaal_Totaal46[[#This Row],[Hoeveelheid '[ton']]]*(1-Referentie_Materiaal_Totaal46[[#This Row],[% Secundair]])</f>
        <v>0</v>
      </c>
      <c r="H124" s="94">
        <f>Referentie_Materiaal_Totaal46[[#This Row],[Hoeveelheid '[ton']]]*Referentie_Materiaal_Totaal46[[#This Row],[% Secundair]]</f>
        <v>0</v>
      </c>
      <c r="I124" s="128">
        <f>Ontwerpberekening!R41*Ontwerpberekening!T41</f>
        <v>0</v>
      </c>
      <c r="J124" s="128">
        <f>Referentie_Materiaal_Totaal46[[#This Row],[Hoeveelheid Vervaningen '[ton']]]*(1-Referentie_Materiaal_Totaal46[[#This Row],[% Secundair]])</f>
        <v>0</v>
      </c>
      <c r="K124" s="128">
        <f>Referentie_Materiaal_Totaal46[[#This Row],[Hoeveelheid Vervaningen '[ton']]]*Referentie_Materiaal_Totaal46[[#This Row],[% Secundair]]</f>
        <v>0</v>
      </c>
      <c r="L124" s="128">
        <f>Referentie_Materiaal_Totaal46[[#This Row],[Primair materiaalverbruik '[ton']]]+Referentie_Materiaal_Totaal46[[#This Row],[Primair materiaalverbruik Vervangingen '[ton']]]</f>
        <v>0</v>
      </c>
      <c r="M124" s="128">
        <f>Referentie_Materiaal_Totaal46[[#This Row],[Secundair materiaalverbruik '[ton']]]+Referentie_Materiaal_Totaal46[[#This Row],[Secundair materiaalverbruik Vervangingen '[ton']]]</f>
        <v>0</v>
      </c>
      <c r="N124" s="128">
        <f>Referentie_Materiaal_Totaal46[[#This Row],[Totaal Primair Materieelgebruik]]+Referentie_Materiaal_Totaal46[[#This Row],[Totaal Secundair Materieelgebruik]]</f>
        <v>0</v>
      </c>
      <c r="O124" s="13"/>
      <c r="P124" s="13"/>
      <c r="Q124" s="13"/>
      <c r="R124" s="13"/>
      <c r="S124" s="13"/>
      <c r="Z124" s="13"/>
    </row>
    <row r="125" spans="2:26" ht="15.75" thickTop="1">
      <c r="B125" s="52" t="s">
        <v>90</v>
      </c>
      <c r="C125" s="52"/>
      <c r="D125" s="53"/>
      <c r="E125" s="80">
        <f>SUBTOTAL(109,Referentie_Materiaal_Totaal46[Hoeveelheid '[ton']])</f>
        <v>5965.3000000000011</v>
      </c>
      <c r="F125" s="53"/>
      <c r="G125" s="80">
        <f>SUBTOTAL(109,Referentie_Materiaal_Totaal46[Primair materiaalverbruik '[ton']])</f>
        <v>1676.5999999999997</v>
      </c>
      <c r="H125" s="80">
        <f>SUBTOTAL(109,Referentie_Materiaal_Totaal46[Secundair materiaalverbruik '[ton']])</f>
        <v>4288.7</v>
      </c>
      <c r="I125" s="131">
        <f>SUBTOTAL(109,Referentie_Materiaal_Totaal46[Hoeveelheid Vervaningen '[ton']])</f>
        <v>0</v>
      </c>
      <c r="J125" s="131">
        <f>SUBTOTAL(109,Referentie_Materiaal_Totaal46[Primair materiaalverbruik Vervangingen '[ton']])</f>
        <v>0</v>
      </c>
      <c r="K125" s="131">
        <f>SUBTOTAL(109,Referentie_Materiaal_Totaal46[Secundair materiaalverbruik Vervangingen '[ton']])</f>
        <v>0</v>
      </c>
      <c r="L125" s="131">
        <f>SUBTOTAL(109,Referentie_Materiaal_Totaal46[Totaal Primair Materieelgebruik])</f>
        <v>1676.5999999999997</v>
      </c>
      <c r="M125" s="131">
        <f>SUBTOTAL(109,Referentie_Materiaal_Totaal46[Totaal Secundair Materieelgebruik])</f>
        <v>4288.7</v>
      </c>
      <c r="N125" s="131">
        <f>SUBTOTAL(109,Referentie_Materiaal_Totaal46[Totaal Materieelgebruik])</f>
        <v>5965.3000000000011</v>
      </c>
      <c r="O125" s="13"/>
      <c r="P125" s="13"/>
      <c r="Q125" s="13"/>
      <c r="R125" s="13"/>
      <c r="S125" s="13"/>
      <c r="Z125" s="13"/>
    </row>
    <row r="126" spans="2:26">
      <c r="B126" s="13"/>
      <c r="C126" s="13"/>
      <c r="D126" s="13"/>
      <c r="E126" s="13"/>
      <c r="F126" s="13"/>
      <c r="G126" s="13"/>
      <c r="H126" s="13"/>
      <c r="I126" s="13"/>
      <c r="J126" s="13"/>
      <c r="K126" s="13"/>
      <c r="L126" s="13"/>
      <c r="M126" s="13"/>
      <c r="N126" s="13"/>
      <c r="O126" s="13"/>
      <c r="P126" s="13"/>
    </row>
    <row r="127" spans="2:26">
      <c r="B127" s="13"/>
      <c r="C127" s="13"/>
      <c r="D127" s="13"/>
      <c r="E127" s="13"/>
      <c r="F127" s="13"/>
      <c r="G127" s="13"/>
      <c r="H127" s="13"/>
      <c r="I127" s="13"/>
      <c r="J127" s="13"/>
      <c r="K127" s="13"/>
      <c r="L127" s="13"/>
      <c r="M127" s="13"/>
      <c r="N127" s="13"/>
      <c r="O127" s="13"/>
      <c r="P127" s="13"/>
    </row>
    <row r="128" spans="2:26" ht="20.100000000000001" customHeight="1">
      <c r="B128" s="110" t="s">
        <v>121</v>
      </c>
      <c r="C128" s="110"/>
      <c r="D128" s="110"/>
      <c r="E128" s="13"/>
      <c r="F128" s="13"/>
      <c r="G128" s="13"/>
      <c r="H128" s="13"/>
      <c r="I128" s="13"/>
      <c r="J128" s="13"/>
      <c r="K128" s="13"/>
      <c r="L128" s="13"/>
      <c r="M128" s="13"/>
      <c r="N128" s="13"/>
      <c r="O128" s="13"/>
      <c r="P128" s="13"/>
    </row>
    <row r="129" spans="2:21" ht="15.75" thickBot="1">
      <c r="B129" s="1" t="s">
        <v>70</v>
      </c>
      <c r="C129" s="1" t="s">
        <v>3</v>
      </c>
      <c r="D129" s="50" t="s">
        <v>7</v>
      </c>
      <c r="E129" s="63" t="s">
        <v>74</v>
      </c>
      <c r="F129" s="64" t="s">
        <v>75</v>
      </c>
      <c r="G129" s="65" t="s">
        <v>76</v>
      </c>
      <c r="H129" s="18" t="s">
        <v>77</v>
      </c>
      <c r="I129" s="66" t="s">
        <v>78</v>
      </c>
      <c r="J129" s="67" t="s">
        <v>79</v>
      </c>
      <c r="K129" s="68" t="s">
        <v>80</v>
      </c>
      <c r="L129" s="23" t="s">
        <v>81</v>
      </c>
      <c r="M129" s="69" t="s">
        <v>82</v>
      </c>
      <c r="N129" s="70" t="s">
        <v>83</v>
      </c>
      <c r="O129" s="71" t="s">
        <v>84</v>
      </c>
      <c r="P129" s="72" t="s">
        <v>85</v>
      </c>
      <c r="Q129" s="73" t="s">
        <v>86</v>
      </c>
      <c r="R129" s="74" t="s">
        <v>87</v>
      </c>
      <c r="S129" s="75" t="s">
        <v>88</v>
      </c>
      <c r="T129" s="29" t="s">
        <v>89</v>
      </c>
      <c r="U129" s="143" t="s">
        <v>90</v>
      </c>
    </row>
    <row r="130" spans="2:21" ht="15.75" thickTop="1">
      <c r="B130" s="51" t="str">
        <f>Ontwerpberekening!B5</f>
        <v>Open Menggranulaat</v>
      </c>
      <c r="C130" s="51" t="str">
        <f>Ontwerpberekening!C5</f>
        <v>Grondontgraving</v>
      </c>
      <c r="D130" s="76" t="str">
        <f>Ontwerpberekening!G5</f>
        <v>Ophoogmateriaal (Grond)</v>
      </c>
      <c r="E130" s="77">
        <f>(IF(Ontwerpberekening!E5="Nieuwe Situatie",(_xlfn.IFNA(VLOOKUP(Referentie_Hernieuwbare_Energie_Totaal47[[#This Row],[Product]]&amp;", "&amp;Referentie_Hernieuwbare_Energie_Totaal47[[#Headers],[A1]],Database_Productkaarten[#All],48,FALSE),0)*Ontwerpberekening!J5),0))/Ontwerpberekening!$A$2</f>
        <v>0</v>
      </c>
      <c r="F130" s="77">
        <f>(IF(Ontwerpberekening!E5="Nieuwe Situatie",(_xlfn.IFNA(VLOOKUP(Referentie_Hernieuwbare_Energie_Totaal47[[#This Row],[Product]]&amp;", "&amp;Referentie_Hernieuwbare_Energie_Totaal47[[#Headers],[A2]],Database_Productkaarten[#All],48,FALSE),0)*Ontwerpberekening!J5),0))/Ontwerpberekening!$A$2</f>
        <v>0</v>
      </c>
      <c r="G130" s="77">
        <f>(IF(Ontwerpberekening!E5="Nieuwe Situatie",(_xlfn.IFNA(VLOOKUP(Referentie_Hernieuwbare_Energie_Totaal47[[#This Row],[Product]]&amp;", "&amp;Referentie_Hernieuwbare_Energie_Totaal47[[#Headers],[A3]],Database_Productkaarten[#All],48,FALSE),0)*Ontwerpberekening!J5),0))/Ontwerpberekening!$A$2</f>
        <v>0</v>
      </c>
      <c r="H130" s="77">
        <f>(IF(Ontwerpberekening!E5="Nieuwe Situatie",(_xlfn.IFNA(VLOOKUP(Referentie_Hernieuwbare_Energie_Totaal47[[#This Row],[Product]]&amp;", "&amp;Referentie_Hernieuwbare_Energie_Totaal47[[#Headers],[A1-A3]],Database_Productkaarten[#All],48,FALSE),0)*Ontwerpberekening!J5),0))/Ontwerpberekening!$A$2</f>
        <v>0</v>
      </c>
      <c r="I130" s="77">
        <f>(IF(Ontwerpberekening!E5="Nieuwe Situatie",(_xlfn.IFNA(VLOOKUP(Referentie_Hernieuwbare_Energie_Totaal47[[#This Row],[Product]]&amp;", "&amp;Referentie_Hernieuwbare_Energie_Totaal47[[#Headers],[A4]],Database_Productkaarten[#All],48,FALSE),0)*Ontwerpberekening!R5),0))/Ontwerpberekening!$A$2</f>
        <v>0</v>
      </c>
      <c r="J130" s="77">
        <f>(IF(Ontwerpberekening!E5="Nieuwe Situatie",(_xlfn.IFNA(VLOOKUP(Referentie_Hernieuwbare_Energie_Totaal47[[#This Row],[Product]]&amp;", "&amp;Referentie_Hernieuwbare_Energie_Totaal47[[#Headers],[A5]],Database_Productkaarten[#All],48,FALSE),0)*Ontwerpberekening!J5),0))/Ontwerpberekening!$A$2</f>
        <v>0</v>
      </c>
      <c r="K130" s="77">
        <f>(IF(Ontwerpberekening!E5="Nieuwe Situatie",(_xlfn.IFNA(VLOOKUP(Referentie_Hernieuwbare_Energie_Totaal47[[#This Row],[Product]]&amp;", "&amp;Referentie_Hernieuwbare_Energie_Totaal47[[#Headers],[B1]],Database_Productkaarten[#All],48,FALSE),0)*Ontwerpberekening!J5),0))/Ontwerpberekening!$A$2</f>
        <v>0</v>
      </c>
      <c r="L130" s="77">
        <f>(IF(Ontwerpberekening!E5="Nieuwe Situatie",(_xlfn.IFNA(VLOOKUP(Referentie_Hernieuwbare_Energie_Totaal47[[#This Row],[Product]]&amp;", "&amp;Referentie_Hernieuwbare_Energie_Totaal47[[#Headers],[B3]],Database_Productkaarten[#All],48,FALSE),0)*Ontwerpberekening!J5),0))/Ontwerpberekening!$A$2</f>
        <v>0</v>
      </c>
      <c r="M130" s="77">
        <f>(IF(Ontwerpberekening!E5="Nieuwe Situatie",(SUM(Referentie_Hernieuwbare_Energie_Totaal47[[#This Row],[A1]:[B1]],Referentie_Hernieuwbare_Energie_Totaal47[[#This Row],[C1]:[D2]])*Ontwerpberekening!T5),0))/Ontwerpberekening!$A$2</f>
        <v>0</v>
      </c>
      <c r="N130" s="77">
        <f>(IF(Ontwerpberekening!E5="Bestaande Situatie",(_xlfn.IFNA(VLOOKUP(Referentie_Hernieuwbare_Energie_Totaal47[[#This Row],[Product]]&amp;", "&amp;Referentie_Hernieuwbare_Energie_Totaal47[[#Headers],[C1]],Database_Productkaarten[#All],48,FALSE),0)*Ontwerpberekening!J5),0))/Ontwerpberekening!$A$2</f>
        <v>0</v>
      </c>
      <c r="O130" s="77">
        <f>(IF(Ontwerpberekening!E5="Bestaande Situatie",(_xlfn.IFNA(VLOOKUP(Referentie_Hernieuwbare_Energie_Totaal47[[#This Row],[Product]]&amp;", "&amp;Referentie_Hernieuwbare_Energie_Totaal47[[#Headers],[C2]],Database_Productkaarten[#All],48,FALSE),0)*Ontwerpberekening!R5),0))/Ontwerpberekening!$A$2</f>
        <v>0</v>
      </c>
      <c r="P130" s="77">
        <f>(IF(Ontwerpberekening!E5="Bestaande Situatie",(_xlfn.IFNA(VLOOKUP(Referentie_Hernieuwbare_Energie_Totaal47[[#This Row],[Product]]&amp;", "&amp;Referentie_Hernieuwbare_Energie_Totaal47[[#Headers],[C3]],Database_Productkaarten[#All],48,FALSE),0)*Ontwerpberekening!J5),0))/Ontwerpberekening!$A$2</f>
        <v>0</v>
      </c>
      <c r="Q130" s="77">
        <f>(IF(Ontwerpberekening!E5="Bestaande Situatie",(_xlfn.IFNA(VLOOKUP(Referentie_Hernieuwbare_Energie_Totaal47[[#This Row],[Product]]&amp;", "&amp;Referentie_Hernieuwbare_Energie_Totaal47[[#Headers],[C4]],Database_Productkaarten[#All],48,FALSE),0)*Ontwerpberekening!J5),0))/Ontwerpberekening!$A$2</f>
        <v>9.5040000000000013</v>
      </c>
      <c r="R130" s="77">
        <f>(IF(Ontwerpberekening!E5="Bestaande Situatie",(_xlfn.IFNA(VLOOKUP(Referentie_Hernieuwbare_Energie_Totaal47[[#This Row],[Product]]&amp;", "&amp;Referentie_Hernieuwbare_Energie_Totaal47[[#Headers],[D1]],Database_Productkaarten[#All],48,FALSE),0)*Ontwerpberekening!J5),0))/Ontwerpberekening!$A$2</f>
        <v>0</v>
      </c>
      <c r="S130" s="78">
        <f>(IF(Ontwerpberekening!E5="Bestaande Situatie",(_xlfn.IFNA(VLOOKUP(Referentie_Hernieuwbare_Energie_Totaal47[[#This Row],[Product]]&amp;", "&amp;Referentie_Hernieuwbare_Energie_Totaal47[[#Headers],[D2]],Database_Productkaarten[#All],48,FALSE),0)*Ontwerpberekening!J5),0))/Ontwerpberekening!$A$2</f>
        <v>0</v>
      </c>
      <c r="T130" s="57">
        <f>(IF(Ontwerpberekening!E5="Bestaande Situatie",(_xlfn.IFNA(VLOOKUP(Referentie_Hernieuwbare_Energie_Totaal47[[#This Row],[Product]]&amp;", "&amp;Referentie_Hernieuwbare_Energie_Totaal47[[#Headers],[D]],Database_Productkaarten[#All],48,FALSE),0)*Ontwerpberekening!J5),0))/Ontwerpberekening!$A$2</f>
        <v>0</v>
      </c>
      <c r="U130" s="56">
        <f>SUM(Referentie_Hernieuwbare_Energie_Totaal47[[#This Row],[A1-A3]:[C4]])+Referentie_Hernieuwbare_Energie_Totaal47[[#This Row],[D]]</f>
        <v>9.5040000000000013</v>
      </c>
    </row>
    <row r="131" spans="2:21">
      <c r="B131" s="51" t="str">
        <f>Ontwerpberekening!B6</f>
        <v>Open Menggranulaat</v>
      </c>
      <c r="C131" s="51" t="str">
        <f>Ontwerpberekening!C6</f>
        <v>Zandbed</v>
      </c>
      <c r="D131" s="76" t="str">
        <f>Ontwerpberekening!G6</f>
        <v>Ophoogmateriaal (Zand)</v>
      </c>
      <c r="E131" s="77">
        <f>(IF(Ontwerpberekening!E6="Nieuwe Situatie",(_xlfn.IFNA(VLOOKUP(Referentie_Hernieuwbare_Energie_Totaal47[[#This Row],[Product]]&amp;", "&amp;Referentie_Hernieuwbare_Energie_Totaal47[[#Headers],[A1]],Database_Productkaarten[#All],48,FALSE),0)*Ontwerpberekening!J6),0))/Ontwerpberekening!$A$2</f>
        <v>0</v>
      </c>
      <c r="F131" s="77">
        <f>(IF(Ontwerpberekening!E6="Nieuwe Situatie",(_xlfn.IFNA(VLOOKUP(Referentie_Hernieuwbare_Energie_Totaal47[[#This Row],[Product]]&amp;", "&amp;Referentie_Hernieuwbare_Energie_Totaal47[[#Headers],[A2]],Database_Productkaarten[#All],48,FALSE),0)*Ontwerpberekening!J6),0))/Ontwerpberekening!$A$2</f>
        <v>0</v>
      </c>
      <c r="G131" s="77">
        <f>(IF(Ontwerpberekening!E6="Nieuwe Situatie",(_xlfn.IFNA(VLOOKUP(Referentie_Hernieuwbare_Energie_Totaal47[[#This Row],[Product]]&amp;", "&amp;Referentie_Hernieuwbare_Energie_Totaal47[[#Headers],[A3]],Database_Productkaarten[#All],48,FALSE),0)*Ontwerpberekening!J6),0))/Ontwerpberekening!$A$2</f>
        <v>0</v>
      </c>
      <c r="H131" s="77">
        <f>(IF(Ontwerpberekening!E6="Nieuwe Situatie",(_xlfn.IFNA(VLOOKUP(Referentie_Hernieuwbare_Energie_Totaal47[[#This Row],[Product]]&amp;", "&amp;Referentie_Hernieuwbare_Energie_Totaal47[[#Headers],[A1-A3]],Database_Productkaarten[#All],48,FALSE),0)*Ontwerpberekening!J6),0))/Ontwerpberekening!$A$2</f>
        <v>1485.75</v>
      </c>
      <c r="I131" s="77">
        <f>(IF(Ontwerpberekening!E6="Nieuwe Situatie",(_xlfn.IFNA(VLOOKUP(Referentie_Hernieuwbare_Energie_Totaal47[[#This Row],[Product]]&amp;", "&amp;Referentie_Hernieuwbare_Energie_Totaal47[[#Headers],[A4]],Database_Productkaarten[#All],48,FALSE),0)*Ontwerpberekening!R6),0))/Ontwerpberekening!$A$2</f>
        <v>0</v>
      </c>
      <c r="J131" s="77">
        <f>(IF(Ontwerpberekening!E6="Nieuwe Situatie",(_xlfn.IFNA(VLOOKUP(Referentie_Hernieuwbare_Energie_Totaal47[[#This Row],[Product]]&amp;", "&amp;Referentie_Hernieuwbare_Energie_Totaal47[[#Headers],[A5]],Database_Productkaarten[#All],48,FALSE),0)*Ontwerpberekening!J6),0))/Ontwerpberekening!$A$2</f>
        <v>0</v>
      </c>
      <c r="K131" s="77">
        <f>(IF(Ontwerpberekening!E6="Nieuwe Situatie",(_xlfn.IFNA(VLOOKUP(Referentie_Hernieuwbare_Energie_Totaal47[[#This Row],[Product]]&amp;", "&amp;Referentie_Hernieuwbare_Energie_Totaal47[[#Headers],[B1]],Database_Productkaarten[#All],48,FALSE),0)*Ontwerpberekening!J6),0))/Ontwerpberekening!$A$2</f>
        <v>0</v>
      </c>
      <c r="L131" s="77">
        <f>(IF(Ontwerpberekening!E6="Nieuwe Situatie",(_xlfn.IFNA(VLOOKUP(Referentie_Hernieuwbare_Energie_Totaal47[[#This Row],[Product]]&amp;", "&amp;Referentie_Hernieuwbare_Energie_Totaal47[[#Headers],[B3]],Database_Productkaarten[#All],48,FALSE),0)*Ontwerpberekening!J6),0))/Ontwerpberekening!$A$2</f>
        <v>0</v>
      </c>
      <c r="M131" s="77">
        <f>(IF(Ontwerpberekening!E6="Nieuwe Situatie",(SUM(Referentie_Hernieuwbare_Energie_Totaal47[[#This Row],[A1]:[B1]],Referentie_Hernieuwbare_Energie_Totaal47[[#This Row],[C1]:[D2]])*Ontwerpberekening!T6),0))/Ontwerpberekening!$A$2</f>
        <v>0</v>
      </c>
      <c r="N131" s="77">
        <f>(IF(Ontwerpberekening!E6="Bestaande Situatie",(_xlfn.IFNA(VLOOKUP(Referentie_Hernieuwbare_Energie_Totaal47[[#This Row],[Product]]&amp;", "&amp;Referentie_Hernieuwbare_Energie_Totaal47[[#Headers],[C1]],Database_Productkaarten[#All],48,FALSE),0)*Ontwerpberekening!J6),0))/Ontwerpberekening!$A$2</f>
        <v>0</v>
      </c>
      <c r="O131" s="77">
        <f>(IF(Ontwerpberekening!E6="Bestaande Situatie",(_xlfn.IFNA(VLOOKUP(Referentie_Hernieuwbare_Energie_Totaal47[[#This Row],[Product]]&amp;", "&amp;Referentie_Hernieuwbare_Energie_Totaal47[[#Headers],[C2]],Database_Productkaarten[#All],48,FALSE),0)*Ontwerpberekening!R6),0))/Ontwerpberekening!$A$2</f>
        <v>0</v>
      </c>
      <c r="P131" s="77">
        <f>(IF(Ontwerpberekening!E6="Bestaande Situatie",(_xlfn.IFNA(VLOOKUP(Referentie_Hernieuwbare_Energie_Totaal47[[#This Row],[Product]]&amp;", "&amp;Referentie_Hernieuwbare_Energie_Totaal47[[#Headers],[C3]],Database_Productkaarten[#All],48,FALSE),0)*Ontwerpberekening!J6),0))/Ontwerpberekening!$A$2</f>
        <v>0</v>
      </c>
      <c r="Q131" s="77">
        <f>(IF(Ontwerpberekening!E6="Bestaande Situatie",(_xlfn.IFNA(VLOOKUP(Referentie_Hernieuwbare_Energie_Totaal47[[#This Row],[Product]]&amp;", "&amp;Referentie_Hernieuwbare_Energie_Totaal47[[#Headers],[C4]],Database_Productkaarten[#All],48,FALSE),0)*Ontwerpberekening!J6),0))/Ontwerpberekening!$A$2</f>
        <v>0</v>
      </c>
      <c r="R131" s="77">
        <f>(IF(Ontwerpberekening!E6="Bestaande Situatie",(_xlfn.IFNA(VLOOKUP(Referentie_Hernieuwbare_Energie_Totaal47[[#This Row],[Product]]&amp;", "&amp;Referentie_Hernieuwbare_Energie_Totaal47[[#Headers],[D1]],Database_Productkaarten[#All],48,FALSE),0)*Ontwerpberekening!J6),0))/Ontwerpberekening!$A$2</f>
        <v>0</v>
      </c>
      <c r="S131" s="78">
        <f>(IF(Ontwerpberekening!E6="Bestaande Situatie",(_xlfn.IFNA(VLOOKUP(Referentie_Hernieuwbare_Energie_Totaal47[[#This Row],[Product]]&amp;", "&amp;Referentie_Hernieuwbare_Energie_Totaal47[[#Headers],[D2]],Database_Productkaarten[#All],48,FALSE),0)*Ontwerpberekening!J6),0))/Ontwerpberekening!$A$2</f>
        <v>0</v>
      </c>
      <c r="T131" s="57">
        <f>(IF(Ontwerpberekening!E6="Bestaande Situatie",(_xlfn.IFNA(VLOOKUP(Referentie_Hernieuwbare_Energie_Totaal47[[#This Row],[Product]]&amp;", "&amp;Referentie_Hernieuwbare_Energie_Totaal47[[#Headers],[D]],Database_Productkaarten[#All],48,FALSE),0)*Ontwerpberekening!J6),0))/Ontwerpberekening!$A$2</f>
        <v>0</v>
      </c>
      <c r="U131" s="56">
        <f>SUM(Referentie_Hernieuwbare_Energie_Totaal47[[#This Row],[A1-A3]:[C4]])+Referentie_Hernieuwbare_Energie_Totaal47[[#This Row],[D]]</f>
        <v>1485.75</v>
      </c>
    </row>
    <row r="132" spans="2:21">
      <c r="B132" s="51" t="str">
        <f>Ontwerpberekening!B7</f>
        <v>Open Menggranulaat</v>
      </c>
      <c r="C132" s="51" t="str">
        <f>Ontwerpberekening!C7</f>
        <v>Funderingswapening</v>
      </c>
      <c r="D132" s="76" t="str">
        <f>Ontwerpberekening!G7</f>
        <v>Geogrid</v>
      </c>
      <c r="E132" s="77">
        <f>(IF(Ontwerpberekening!E7="Nieuwe Situatie",(_xlfn.IFNA(VLOOKUP(Referentie_Hernieuwbare_Energie_Totaal47[[#This Row],[Product]]&amp;", "&amp;Referentie_Hernieuwbare_Energie_Totaal47[[#Headers],[A1]],Database_Productkaarten[#All],48,FALSE),0)*Ontwerpberekening!J7),0))/Ontwerpberekening!$A$2</f>
        <v>0</v>
      </c>
      <c r="F132" s="77">
        <f>(IF(Ontwerpberekening!E7="Nieuwe Situatie",(_xlfn.IFNA(VLOOKUP(Referentie_Hernieuwbare_Energie_Totaal47[[#This Row],[Product]]&amp;", "&amp;Referentie_Hernieuwbare_Energie_Totaal47[[#Headers],[A2]],Database_Productkaarten[#All],48,FALSE),0)*Ontwerpberekening!J7),0))/Ontwerpberekening!$A$2</f>
        <v>0</v>
      </c>
      <c r="G132" s="77">
        <f>(IF(Ontwerpberekening!E7="Nieuwe Situatie",(_xlfn.IFNA(VLOOKUP(Referentie_Hernieuwbare_Energie_Totaal47[[#This Row],[Product]]&amp;", "&amp;Referentie_Hernieuwbare_Energie_Totaal47[[#Headers],[A3]],Database_Productkaarten[#All],48,FALSE),0)*Ontwerpberekening!J7),0))/Ontwerpberekening!$A$2</f>
        <v>0</v>
      </c>
      <c r="H132" s="77">
        <f>(IF(Ontwerpberekening!E7="Nieuwe Situatie",(_xlfn.IFNA(VLOOKUP(Referentie_Hernieuwbare_Energie_Totaal47[[#This Row],[Product]]&amp;", "&amp;Referentie_Hernieuwbare_Energie_Totaal47[[#Headers],[A1-A3]],Database_Productkaarten[#All],48,FALSE),0)*Ontwerpberekening!J7),0))/Ontwerpberekening!$A$2</f>
        <v>282.90761199999997</v>
      </c>
      <c r="I132" s="77">
        <f>(IF(Ontwerpberekening!E7="Nieuwe Situatie",(_xlfn.IFNA(VLOOKUP(Referentie_Hernieuwbare_Energie_Totaal47[[#This Row],[Product]]&amp;", "&amp;Referentie_Hernieuwbare_Energie_Totaal47[[#Headers],[A4]],Database_Productkaarten[#All],48,FALSE),0)*Ontwerpberekening!R7),0))/Ontwerpberekening!$A$2</f>
        <v>0.123879852618</v>
      </c>
      <c r="J132" s="77">
        <f>(IF(Ontwerpberekening!E7="Nieuwe Situatie",(_xlfn.IFNA(VLOOKUP(Referentie_Hernieuwbare_Energie_Totaal47[[#This Row],[Product]]&amp;", "&amp;Referentie_Hernieuwbare_Energie_Totaal47[[#Headers],[A5]],Database_Productkaarten[#All],48,FALSE),0)*Ontwerpberekening!J7),0))/Ontwerpberekening!$A$2</f>
        <v>130.66051999999999</v>
      </c>
      <c r="K132" s="77">
        <f>(IF(Ontwerpberekening!E7="Nieuwe Situatie",(_xlfn.IFNA(VLOOKUP(Referentie_Hernieuwbare_Energie_Totaal47[[#This Row],[Product]]&amp;", "&amp;Referentie_Hernieuwbare_Energie_Totaal47[[#Headers],[B1]],Database_Productkaarten[#All],48,FALSE),0)*Ontwerpberekening!J7),0))/Ontwerpberekening!$A$2</f>
        <v>0</v>
      </c>
      <c r="L132" s="77">
        <f>(IF(Ontwerpberekening!E7="Nieuwe Situatie",(_xlfn.IFNA(VLOOKUP(Referentie_Hernieuwbare_Energie_Totaal47[[#This Row],[Product]]&amp;", "&amp;Referentie_Hernieuwbare_Energie_Totaal47[[#Headers],[B3]],Database_Productkaarten[#All],48,FALSE),0)*Ontwerpberekening!J7),0))/Ontwerpberekening!$A$2</f>
        <v>0</v>
      </c>
      <c r="M132" s="77">
        <f>(IF(Ontwerpberekening!E7="Nieuwe Situatie",(SUM(Referentie_Hernieuwbare_Energie_Totaal47[[#This Row],[A1]:[B1]],Referentie_Hernieuwbare_Energie_Totaal47[[#This Row],[C1]:[D2]])*Ontwerpberekening!T7),0))/Ontwerpberekening!$A$2</f>
        <v>0</v>
      </c>
      <c r="N132" s="77">
        <f>(IF(Ontwerpberekening!E7="Bestaande Situatie",(_xlfn.IFNA(VLOOKUP(Referentie_Hernieuwbare_Energie_Totaal47[[#This Row],[Product]]&amp;", "&amp;Referentie_Hernieuwbare_Energie_Totaal47[[#Headers],[C1]],Database_Productkaarten[#All],48,FALSE),0)*Ontwerpberekening!J7),0))/Ontwerpberekening!$A$2</f>
        <v>0</v>
      </c>
      <c r="O132" s="77">
        <f>(IF(Ontwerpberekening!E7="Bestaande Situatie",(_xlfn.IFNA(VLOOKUP(Referentie_Hernieuwbare_Energie_Totaal47[[#This Row],[Product]]&amp;", "&amp;Referentie_Hernieuwbare_Energie_Totaal47[[#Headers],[C2]],Database_Productkaarten[#All],48,FALSE),0)*Ontwerpberekening!R7),0))/Ontwerpberekening!$A$2</f>
        <v>0</v>
      </c>
      <c r="P132" s="77">
        <f>(IF(Ontwerpberekening!E7="Bestaande Situatie",(_xlfn.IFNA(VLOOKUP(Referentie_Hernieuwbare_Energie_Totaal47[[#This Row],[Product]]&amp;", "&amp;Referentie_Hernieuwbare_Energie_Totaal47[[#Headers],[C3]],Database_Productkaarten[#All],48,FALSE),0)*Ontwerpberekening!J7),0))/Ontwerpberekening!$A$2</f>
        <v>0</v>
      </c>
      <c r="Q132" s="77">
        <f>(IF(Ontwerpberekening!E7="Bestaande Situatie",(_xlfn.IFNA(VLOOKUP(Referentie_Hernieuwbare_Energie_Totaal47[[#This Row],[Product]]&amp;", "&amp;Referentie_Hernieuwbare_Energie_Totaal47[[#Headers],[C4]],Database_Productkaarten[#All],48,FALSE),0)*Ontwerpberekening!J7),0))/Ontwerpberekening!$A$2</f>
        <v>0</v>
      </c>
      <c r="R132" s="77">
        <f>(IF(Ontwerpberekening!E7="Bestaande Situatie",(_xlfn.IFNA(VLOOKUP(Referentie_Hernieuwbare_Energie_Totaal47[[#This Row],[Product]]&amp;", "&amp;Referentie_Hernieuwbare_Energie_Totaal47[[#Headers],[D1]],Database_Productkaarten[#All],48,FALSE),0)*Ontwerpberekening!J7),0))/Ontwerpberekening!$A$2</f>
        <v>0</v>
      </c>
      <c r="S132" s="78">
        <f>(IF(Ontwerpberekening!E7="Bestaande Situatie",(_xlfn.IFNA(VLOOKUP(Referentie_Hernieuwbare_Energie_Totaal47[[#This Row],[Product]]&amp;", "&amp;Referentie_Hernieuwbare_Energie_Totaal47[[#Headers],[D2]],Database_Productkaarten[#All],48,FALSE),0)*Ontwerpberekening!J7),0))/Ontwerpberekening!$A$2</f>
        <v>0</v>
      </c>
      <c r="T132" s="57">
        <f>(IF(Ontwerpberekening!E7="Bestaande Situatie",(_xlfn.IFNA(VLOOKUP(Referentie_Hernieuwbare_Energie_Totaal47[[#This Row],[Product]]&amp;", "&amp;Referentie_Hernieuwbare_Energie_Totaal47[[#Headers],[D]],Database_Productkaarten[#All],48,FALSE),0)*Ontwerpberekening!J7),0))/Ontwerpberekening!$A$2</f>
        <v>0</v>
      </c>
      <c r="U132" s="56">
        <f>SUM(Referentie_Hernieuwbare_Energie_Totaal47[[#This Row],[A1-A3]:[C4]])+Referentie_Hernieuwbare_Energie_Totaal47[[#This Row],[D]]</f>
        <v>413.69201185261795</v>
      </c>
    </row>
    <row r="133" spans="2:21">
      <c r="B133" s="51" t="str">
        <f>Ontwerpberekening!B8</f>
        <v>Open Menggranulaat</v>
      </c>
      <c r="C133" s="51" t="str">
        <f>Ontwerpberekening!C8</f>
        <v>Menggranulaat</v>
      </c>
      <c r="D133" s="76" t="str">
        <f>Ontwerpberekening!G8</f>
        <v>Menggranulaat 200mm</v>
      </c>
      <c r="E133" s="77">
        <f>(IF(Ontwerpberekening!E8="Nieuwe Situatie",(_xlfn.IFNA(VLOOKUP(Referentie_Hernieuwbare_Energie_Totaal47[[#This Row],[Product]]&amp;", "&amp;Referentie_Hernieuwbare_Energie_Totaal47[[#Headers],[A1]],Database_Productkaarten[#All],48,FALSE),0)*Ontwerpberekening!J8),0))/Ontwerpberekening!$A$2</f>
        <v>0</v>
      </c>
      <c r="F133" s="77">
        <f>(IF(Ontwerpberekening!E8="Nieuwe Situatie",(_xlfn.IFNA(VLOOKUP(Referentie_Hernieuwbare_Energie_Totaal47[[#This Row],[Product]]&amp;", "&amp;Referentie_Hernieuwbare_Energie_Totaal47[[#Headers],[A2]],Database_Productkaarten[#All],48,FALSE),0)*Ontwerpberekening!J8),0))/Ontwerpberekening!$A$2</f>
        <v>0</v>
      </c>
      <c r="G133" s="77">
        <f>(IF(Ontwerpberekening!E8="Nieuwe Situatie",(_xlfn.IFNA(VLOOKUP(Referentie_Hernieuwbare_Energie_Totaal47[[#This Row],[Product]]&amp;", "&amp;Referentie_Hernieuwbare_Energie_Totaal47[[#Headers],[A3]],Database_Productkaarten[#All],48,FALSE),0)*Ontwerpberekening!J8),0))/Ontwerpberekening!$A$2</f>
        <v>0</v>
      </c>
      <c r="H133" s="77">
        <f>(IF(Ontwerpberekening!E8="Nieuwe Situatie",(_xlfn.IFNA(VLOOKUP(Referentie_Hernieuwbare_Energie_Totaal47[[#This Row],[Product]]&amp;", "&amp;Referentie_Hernieuwbare_Energie_Totaal47[[#Headers],[A1-A3]],Database_Productkaarten[#All],48,FALSE),0)*Ontwerpberekening!J8),0))/Ontwerpberekening!$A$2</f>
        <v>0</v>
      </c>
      <c r="I133" s="77">
        <f>(IF(Ontwerpberekening!E8="Nieuwe Situatie",(_xlfn.IFNA(VLOOKUP(Referentie_Hernieuwbare_Energie_Totaal47[[#This Row],[Product]]&amp;", "&amp;Referentie_Hernieuwbare_Energie_Totaal47[[#Headers],[A4]],Database_Productkaarten[#All],48,FALSE),0)*Ontwerpberekening!R8),0))/Ontwerpberekening!$A$2</f>
        <v>173.55</v>
      </c>
      <c r="J133" s="77">
        <f>(IF(Ontwerpberekening!E8="Nieuwe Situatie",(_xlfn.IFNA(VLOOKUP(Referentie_Hernieuwbare_Energie_Totaal47[[#This Row],[Product]]&amp;", "&amp;Referentie_Hernieuwbare_Energie_Totaal47[[#Headers],[A5]],Database_Productkaarten[#All],48,FALSE),0)*Ontwerpberekening!J8),0))/Ontwerpberekening!$A$2</f>
        <v>226</v>
      </c>
      <c r="K133" s="77">
        <f>(IF(Ontwerpberekening!E8="Nieuwe Situatie",(_xlfn.IFNA(VLOOKUP(Referentie_Hernieuwbare_Energie_Totaal47[[#This Row],[Product]]&amp;", "&amp;Referentie_Hernieuwbare_Energie_Totaal47[[#Headers],[B1]],Database_Productkaarten[#All],48,FALSE),0)*Ontwerpberekening!J8),0))/Ontwerpberekening!$A$2</f>
        <v>0</v>
      </c>
      <c r="L133" s="77">
        <f>(IF(Ontwerpberekening!E8="Nieuwe Situatie",(_xlfn.IFNA(VLOOKUP(Referentie_Hernieuwbare_Energie_Totaal47[[#This Row],[Product]]&amp;", "&amp;Referentie_Hernieuwbare_Energie_Totaal47[[#Headers],[B3]],Database_Productkaarten[#All],48,FALSE),0)*Ontwerpberekening!J8),0))/Ontwerpberekening!$A$2</f>
        <v>0</v>
      </c>
      <c r="M133" s="77">
        <f>(IF(Ontwerpberekening!E8="Nieuwe Situatie",(SUM(Referentie_Hernieuwbare_Energie_Totaal47[[#This Row],[A1]:[B1]],Referentie_Hernieuwbare_Energie_Totaal47[[#This Row],[C1]:[D2]])*Ontwerpberekening!T8),0))/Ontwerpberekening!$A$2</f>
        <v>0</v>
      </c>
      <c r="N133" s="77">
        <f>(IF(Ontwerpberekening!E8="Bestaande Situatie",(_xlfn.IFNA(VLOOKUP(Referentie_Hernieuwbare_Energie_Totaal47[[#This Row],[Product]]&amp;", "&amp;Referentie_Hernieuwbare_Energie_Totaal47[[#Headers],[C1]],Database_Productkaarten[#All],48,FALSE),0)*Ontwerpberekening!J8),0))/Ontwerpberekening!$A$2</f>
        <v>0</v>
      </c>
      <c r="O133" s="77">
        <f>(IF(Ontwerpberekening!E8="Bestaande Situatie",(_xlfn.IFNA(VLOOKUP(Referentie_Hernieuwbare_Energie_Totaal47[[#This Row],[Product]]&amp;", "&amp;Referentie_Hernieuwbare_Energie_Totaal47[[#Headers],[C2]],Database_Productkaarten[#All],48,FALSE),0)*Ontwerpberekening!R8),0))/Ontwerpberekening!$A$2</f>
        <v>0</v>
      </c>
      <c r="P133" s="77">
        <f>(IF(Ontwerpberekening!E8="Bestaande Situatie",(_xlfn.IFNA(VLOOKUP(Referentie_Hernieuwbare_Energie_Totaal47[[#This Row],[Product]]&amp;", "&amp;Referentie_Hernieuwbare_Energie_Totaal47[[#Headers],[C3]],Database_Productkaarten[#All],48,FALSE),0)*Ontwerpberekening!J8),0))/Ontwerpberekening!$A$2</f>
        <v>0</v>
      </c>
      <c r="Q133" s="77">
        <f>(IF(Ontwerpberekening!E8="Bestaande Situatie",(_xlfn.IFNA(VLOOKUP(Referentie_Hernieuwbare_Energie_Totaal47[[#This Row],[Product]]&amp;", "&amp;Referentie_Hernieuwbare_Energie_Totaal47[[#Headers],[C4]],Database_Productkaarten[#All],48,FALSE),0)*Ontwerpberekening!J8),0))/Ontwerpberekening!$A$2</f>
        <v>0</v>
      </c>
      <c r="R133" s="77">
        <f>(IF(Ontwerpberekening!E8="Bestaande Situatie",(_xlfn.IFNA(VLOOKUP(Referentie_Hernieuwbare_Energie_Totaal47[[#This Row],[Product]]&amp;", "&amp;Referentie_Hernieuwbare_Energie_Totaal47[[#Headers],[D1]],Database_Productkaarten[#All],48,FALSE),0)*Ontwerpberekening!J8),0))/Ontwerpberekening!$A$2</f>
        <v>0</v>
      </c>
      <c r="S133" s="78">
        <f>(IF(Ontwerpberekening!E8="Bestaande Situatie",(_xlfn.IFNA(VLOOKUP(Referentie_Hernieuwbare_Energie_Totaal47[[#This Row],[Product]]&amp;", "&amp;Referentie_Hernieuwbare_Energie_Totaal47[[#Headers],[D2]],Database_Productkaarten[#All],48,FALSE),0)*Ontwerpberekening!J8),0))/Ontwerpberekening!$A$2</f>
        <v>0</v>
      </c>
      <c r="T133" s="57">
        <f>(IF(Ontwerpberekening!E8="Bestaande Situatie",(_xlfn.IFNA(VLOOKUP(Referentie_Hernieuwbare_Energie_Totaal47[[#This Row],[Product]]&amp;", "&amp;Referentie_Hernieuwbare_Energie_Totaal47[[#Headers],[D]],Database_Productkaarten[#All],48,FALSE),0)*Ontwerpberekening!J8),0))/Ontwerpberekening!$A$2</f>
        <v>0</v>
      </c>
      <c r="U133" s="56">
        <f>SUM(Referentie_Hernieuwbare_Energie_Totaal47[[#This Row],[A1-A3]:[C4]])+Referentie_Hernieuwbare_Energie_Totaal47[[#This Row],[D]]</f>
        <v>399.55</v>
      </c>
    </row>
    <row r="134" spans="2:21">
      <c r="B134" s="51" t="str">
        <f>Ontwerpberekening!B9</f>
        <v>Open Menggranulaat</v>
      </c>
      <c r="C134" s="51" t="str">
        <f>Ontwerpberekening!C9</f>
        <v>Straatlaag</v>
      </c>
      <c r="D134" s="76" t="str">
        <f>Ontwerpberekening!G9</f>
        <v>Ophoogmateriaal (Zand)</v>
      </c>
      <c r="E134" s="77">
        <f>(IF(Ontwerpberekening!E9="Nieuwe Situatie",(_xlfn.IFNA(VLOOKUP(Referentie_Hernieuwbare_Energie_Totaal47[[#This Row],[Product]]&amp;", "&amp;Referentie_Hernieuwbare_Energie_Totaal47[[#Headers],[A1]],Database_Productkaarten[#All],48,FALSE),0)*Ontwerpberekening!J9),0))/Ontwerpberekening!$A$2</f>
        <v>0</v>
      </c>
      <c r="F134" s="77">
        <f>(IF(Ontwerpberekening!E9="Nieuwe Situatie",(_xlfn.IFNA(VLOOKUP(Referentie_Hernieuwbare_Energie_Totaal47[[#This Row],[Product]]&amp;", "&amp;Referentie_Hernieuwbare_Energie_Totaal47[[#Headers],[A2]],Database_Productkaarten[#All],48,FALSE),0)*Ontwerpberekening!J9),0))/Ontwerpberekening!$A$2</f>
        <v>0</v>
      </c>
      <c r="G134" s="77">
        <f>(IF(Ontwerpberekening!E9="Nieuwe Situatie",(_xlfn.IFNA(VLOOKUP(Referentie_Hernieuwbare_Energie_Totaal47[[#This Row],[Product]]&amp;", "&amp;Referentie_Hernieuwbare_Energie_Totaal47[[#Headers],[A3]],Database_Productkaarten[#All],48,FALSE),0)*Ontwerpberekening!J9),0))/Ontwerpberekening!$A$2</f>
        <v>0</v>
      </c>
      <c r="H134" s="77">
        <f>(IF(Ontwerpberekening!E9="Nieuwe Situatie",(_xlfn.IFNA(VLOOKUP(Referentie_Hernieuwbare_Energie_Totaal47[[#This Row],[Product]]&amp;", "&amp;Referentie_Hernieuwbare_Energie_Totaal47[[#Headers],[A1-A3]],Database_Productkaarten[#All],48,FALSE),0)*Ontwerpberekening!J9),0))/Ontwerpberekening!$A$2</f>
        <v>212.25</v>
      </c>
      <c r="I134" s="77">
        <f>(IF(Ontwerpberekening!E9="Nieuwe Situatie",(_xlfn.IFNA(VLOOKUP(Referentie_Hernieuwbare_Energie_Totaal47[[#This Row],[Product]]&amp;", "&amp;Referentie_Hernieuwbare_Energie_Totaal47[[#Headers],[A4]],Database_Productkaarten[#All],48,FALSE),0)*Ontwerpberekening!R9),0))/Ontwerpberekening!$A$2</f>
        <v>0</v>
      </c>
      <c r="J134" s="77">
        <f>(IF(Ontwerpberekening!E9="Nieuwe Situatie",(_xlfn.IFNA(VLOOKUP(Referentie_Hernieuwbare_Energie_Totaal47[[#This Row],[Product]]&amp;", "&amp;Referentie_Hernieuwbare_Energie_Totaal47[[#Headers],[A5]],Database_Productkaarten[#All],48,FALSE),0)*Ontwerpberekening!J9),0))/Ontwerpberekening!$A$2</f>
        <v>0</v>
      </c>
      <c r="K134" s="77">
        <f>(IF(Ontwerpberekening!E9="Nieuwe Situatie",(_xlfn.IFNA(VLOOKUP(Referentie_Hernieuwbare_Energie_Totaal47[[#This Row],[Product]]&amp;", "&amp;Referentie_Hernieuwbare_Energie_Totaal47[[#Headers],[B1]],Database_Productkaarten[#All],48,FALSE),0)*Ontwerpberekening!J9),0))/Ontwerpberekening!$A$2</f>
        <v>0</v>
      </c>
      <c r="L134" s="77">
        <f>(IF(Ontwerpberekening!E9="Nieuwe Situatie",(_xlfn.IFNA(VLOOKUP(Referentie_Hernieuwbare_Energie_Totaal47[[#This Row],[Product]]&amp;", "&amp;Referentie_Hernieuwbare_Energie_Totaal47[[#Headers],[B3]],Database_Productkaarten[#All],48,FALSE),0)*Ontwerpberekening!J9),0))/Ontwerpberekening!$A$2</f>
        <v>0</v>
      </c>
      <c r="M134" s="77">
        <f>(IF(Ontwerpberekening!E9="Nieuwe Situatie",(SUM(Referentie_Hernieuwbare_Energie_Totaal47[[#This Row],[A1]:[B1]],Referentie_Hernieuwbare_Energie_Totaal47[[#This Row],[C1]:[D2]])*Ontwerpberekening!T9),0))/Ontwerpberekening!$A$2</f>
        <v>0</v>
      </c>
      <c r="N134" s="77">
        <f>(IF(Ontwerpberekening!E9="Bestaande Situatie",(_xlfn.IFNA(VLOOKUP(Referentie_Hernieuwbare_Energie_Totaal47[[#This Row],[Product]]&amp;", "&amp;Referentie_Hernieuwbare_Energie_Totaal47[[#Headers],[C1]],Database_Productkaarten[#All],48,FALSE),0)*Ontwerpberekening!J9),0))/Ontwerpberekening!$A$2</f>
        <v>0</v>
      </c>
      <c r="O134" s="77">
        <f>(IF(Ontwerpberekening!E9="Bestaande Situatie",(_xlfn.IFNA(VLOOKUP(Referentie_Hernieuwbare_Energie_Totaal47[[#This Row],[Product]]&amp;", "&amp;Referentie_Hernieuwbare_Energie_Totaal47[[#Headers],[C2]],Database_Productkaarten[#All],48,FALSE),0)*Ontwerpberekening!R9),0))/Ontwerpberekening!$A$2</f>
        <v>0</v>
      </c>
      <c r="P134" s="77">
        <f>(IF(Ontwerpberekening!E9="Bestaande Situatie",(_xlfn.IFNA(VLOOKUP(Referentie_Hernieuwbare_Energie_Totaal47[[#This Row],[Product]]&amp;", "&amp;Referentie_Hernieuwbare_Energie_Totaal47[[#Headers],[C3]],Database_Productkaarten[#All],48,FALSE),0)*Ontwerpberekening!J9),0))/Ontwerpberekening!$A$2</f>
        <v>0</v>
      </c>
      <c r="Q134" s="77">
        <f>(IF(Ontwerpberekening!E9="Bestaande Situatie",(_xlfn.IFNA(VLOOKUP(Referentie_Hernieuwbare_Energie_Totaal47[[#This Row],[Product]]&amp;", "&amp;Referentie_Hernieuwbare_Energie_Totaal47[[#Headers],[C4]],Database_Productkaarten[#All],48,FALSE),0)*Ontwerpberekening!J9),0))/Ontwerpberekening!$A$2</f>
        <v>0</v>
      </c>
      <c r="R134" s="77">
        <f>(IF(Ontwerpberekening!E9="Bestaande Situatie",(_xlfn.IFNA(VLOOKUP(Referentie_Hernieuwbare_Energie_Totaal47[[#This Row],[Product]]&amp;", "&amp;Referentie_Hernieuwbare_Energie_Totaal47[[#Headers],[D1]],Database_Productkaarten[#All],48,FALSE),0)*Ontwerpberekening!J9),0))/Ontwerpberekening!$A$2</f>
        <v>0</v>
      </c>
      <c r="S134" s="78">
        <f>(IF(Ontwerpberekening!E9="Bestaande Situatie",(_xlfn.IFNA(VLOOKUP(Referentie_Hernieuwbare_Energie_Totaal47[[#This Row],[Product]]&amp;", "&amp;Referentie_Hernieuwbare_Energie_Totaal47[[#Headers],[D2]],Database_Productkaarten[#All],48,FALSE),0)*Ontwerpberekening!J9),0))/Ontwerpberekening!$A$2</f>
        <v>0</v>
      </c>
      <c r="T134" s="57">
        <f>(IF(Ontwerpberekening!E9="Bestaande Situatie",(_xlfn.IFNA(VLOOKUP(Referentie_Hernieuwbare_Energie_Totaal47[[#This Row],[Product]]&amp;", "&amp;Referentie_Hernieuwbare_Energie_Totaal47[[#Headers],[D]],Database_Productkaarten[#All],48,FALSE),0)*Ontwerpberekening!J9),0))/Ontwerpberekening!$A$2</f>
        <v>0</v>
      </c>
      <c r="U134" s="56">
        <f>SUM(Referentie_Hernieuwbare_Energie_Totaal47[[#This Row],[A1-A3]:[C4]])+Referentie_Hernieuwbare_Energie_Totaal47[[#This Row],[D]]</f>
        <v>212.25</v>
      </c>
    </row>
    <row r="135" spans="2:21">
      <c r="B135" s="51" t="str">
        <f>Ontwerpberekening!B10</f>
        <v>Open Menggranulaat</v>
      </c>
      <c r="C135" s="51" t="str">
        <f>Ontwerpberekening!C10</f>
        <v>Toplaag</v>
      </c>
      <c r="D135" s="76" t="str">
        <f>Ontwerpberekening!G10</f>
        <v>Betonstraatsteen 210x105x80</v>
      </c>
      <c r="E135" s="77">
        <f>(IF(Ontwerpberekening!E10="Nieuwe Situatie",(_xlfn.IFNA(VLOOKUP(Referentie_Hernieuwbare_Energie_Totaal47[[#This Row],[Product]]&amp;", "&amp;Referentie_Hernieuwbare_Energie_Totaal47[[#Headers],[A1]],Database_Productkaarten[#All],48,FALSE),0)*Ontwerpberekening!J10),0))/Ontwerpberekening!$A$2</f>
        <v>9607.8685000000005</v>
      </c>
      <c r="F135" s="77">
        <f>(IF(Ontwerpberekening!E10="Nieuwe Situatie",(_xlfn.IFNA(VLOOKUP(Referentie_Hernieuwbare_Energie_Totaal47[[#This Row],[Product]]&amp;", "&amp;Referentie_Hernieuwbare_Energie_Totaal47[[#Headers],[A2]],Database_Productkaarten[#All],48,FALSE),0)*Ontwerpberekening!J10),0))/Ontwerpberekening!$A$2</f>
        <v>101.500435</v>
      </c>
      <c r="G135" s="77">
        <f>(IF(Ontwerpberekening!E10="Nieuwe Situatie",(_xlfn.IFNA(VLOOKUP(Referentie_Hernieuwbare_Energie_Totaal47[[#This Row],[Product]]&amp;", "&amp;Referentie_Hernieuwbare_Energie_Totaal47[[#Headers],[A3]],Database_Productkaarten[#All],48,FALSE),0)*Ontwerpberekening!J10),0))/Ontwerpberekening!$A$2</f>
        <v>739.49469999999997</v>
      </c>
      <c r="H135" s="77">
        <f>(IF(Ontwerpberekening!E10="Nieuwe Situatie",(_xlfn.IFNA(VLOOKUP(Referentie_Hernieuwbare_Energie_Totaal47[[#This Row],[Product]]&amp;", "&amp;Referentie_Hernieuwbare_Energie_Totaal47[[#Headers],[A1-A3]],Database_Productkaarten[#All],48,FALSE),0)*Ontwerpberekening!J10),0))/Ontwerpberekening!$A$2</f>
        <v>10448.863635</v>
      </c>
      <c r="I135" s="77">
        <f>(IF(Ontwerpberekening!E10="Nieuwe Situatie",(_xlfn.IFNA(VLOOKUP(Referentie_Hernieuwbare_Energie_Totaal47[[#This Row],[Product]]&amp;", "&amp;Referentie_Hernieuwbare_Energie_Totaal47[[#Headers],[A4]],Database_Productkaarten[#All],48,FALSE),0)*Ontwerpberekening!R10),0))/Ontwerpberekening!$A$2</f>
        <v>67.090458244000004</v>
      </c>
      <c r="J135" s="77">
        <f>(IF(Ontwerpberekening!E10="Nieuwe Situatie",(_xlfn.IFNA(VLOOKUP(Referentie_Hernieuwbare_Energie_Totaal47[[#This Row],[Product]]&amp;", "&amp;Referentie_Hernieuwbare_Energie_Totaal47[[#Headers],[A5]],Database_Productkaarten[#All],48,FALSE),0)*Ontwerpberekening!J10),0))/Ontwerpberekening!$A$2</f>
        <v>347.22676000000001</v>
      </c>
      <c r="K135" s="77">
        <f>(IF(Ontwerpberekening!E10="Nieuwe Situatie",(_xlfn.IFNA(VLOOKUP(Referentie_Hernieuwbare_Energie_Totaal47[[#This Row],[Product]]&amp;", "&amp;Referentie_Hernieuwbare_Energie_Totaal47[[#Headers],[B1]],Database_Productkaarten[#All],48,FALSE),0)*Ontwerpberekening!J10),0))/Ontwerpberekening!$A$2</f>
        <v>0</v>
      </c>
      <c r="L135" s="77">
        <f>(IF(Ontwerpberekening!E10="Nieuwe Situatie",(_xlfn.IFNA(VLOOKUP(Referentie_Hernieuwbare_Energie_Totaal47[[#This Row],[Product]]&amp;", "&amp;Referentie_Hernieuwbare_Energie_Totaal47[[#Headers],[B3]],Database_Productkaarten[#All],48,FALSE),0)*Ontwerpberekening!J10),0))/Ontwerpberekening!$A$2</f>
        <v>0</v>
      </c>
      <c r="M135" s="77">
        <f>(IF(Ontwerpberekening!E10="Nieuwe Situatie",(SUM(Referentie_Hernieuwbare_Energie_Totaal47[[#This Row],[A1]:[B1]],Referentie_Hernieuwbare_Energie_Totaal47[[#This Row],[C1]:[D2]])*Ontwerpberekening!T10),0))/Ontwerpberekening!$A$2</f>
        <v>0</v>
      </c>
      <c r="N135" s="77">
        <f>(IF(Ontwerpberekening!E10="Bestaande Situatie",(_xlfn.IFNA(VLOOKUP(Referentie_Hernieuwbare_Energie_Totaal47[[#This Row],[Product]]&amp;", "&amp;Referentie_Hernieuwbare_Energie_Totaal47[[#Headers],[C1]],Database_Productkaarten[#All],48,FALSE),0)*Ontwerpberekening!J10),0))/Ontwerpberekening!$A$2</f>
        <v>0</v>
      </c>
      <c r="O135" s="77">
        <f>(IF(Ontwerpberekening!E10="Bestaande Situatie",(_xlfn.IFNA(VLOOKUP(Referentie_Hernieuwbare_Energie_Totaal47[[#This Row],[Product]]&amp;", "&amp;Referentie_Hernieuwbare_Energie_Totaal47[[#Headers],[C2]],Database_Productkaarten[#All],48,FALSE),0)*Ontwerpberekening!R10),0))/Ontwerpberekening!$A$2</f>
        <v>0</v>
      </c>
      <c r="P135" s="77">
        <f>(IF(Ontwerpberekening!E10="Bestaande Situatie",(_xlfn.IFNA(VLOOKUP(Referentie_Hernieuwbare_Energie_Totaal47[[#This Row],[Product]]&amp;", "&amp;Referentie_Hernieuwbare_Energie_Totaal47[[#Headers],[C3]],Database_Productkaarten[#All],48,FALSE),0)*Ontwerpberekening!J10),0))/Ontwerpberekening!$A$2</f>
        <v>0</v>
      </c>
      <c r="Q135" s="77">
        <f>(IF(Ontwerpberekening!E10="Bestaande Situatie",(_xlfn.IFNA(VLOOKUP(Referentie_Hernieuwbare_Energie_Totaal47[[#This Row],[Product]]&amp;", "&amp;Referentie_Hernieuwbare_Energie_Totaal47[[#Headers],[C4]],Database_Productkaarten[#All],48,FALSE),0)*Ontwerpberekening!J10),0))/Ontwerpberekening!$A$2</f>
        <v>0</v>
      </c>
      <c r="R135" s="77">
        <f>(IF(Ontwerpberekening!E10="Bestaande Situatie",(_xlfn.IFNA(VLOOKUP(Referentie_Hernieuwbare_Energie_Totaal47[[#This Row],[Product]]&amp;", "&amp;Referentie_Hernieuwbare_Energie_Totaal47[[#Headers],[D1]],Database_Productkaarten[#All],48,FALSE),0)*Ontwerpberekening!J10),0))/Ontwerpberekening!$A$2</f>
        <v>0</v>
      </c>
      <c r="S135" s="78">
        <f>(IF(Ontwerpberekening!E10="Bestaande Situatie",(_xlfn.IFNA(VLOOKUP(Referentie_Hernieuwbare_Energie_Totaal47[[#This Row],[Product]]&amp;", "&amp;Referentie_Hernieuwbare_Energie_Totaal47[[#Headers],[D2]],Database_Productkaarten[#All],48,FALSE),0)*Ontwerpberekening!J10),0))/Ontwerpberekening!$A$2</f>
        <v>0</v>
      </c>
      <c r="T135" s="57">
        <f>(IF(Ontwerpberekening!E10="Bestaande Situatie",(_xlfn.IFNA(VLOOKUP(Referentie_Hernieuwbare_Energie_Totaal47[[#This Row],[Product]]&amp;", "&amp;Referentie_Hernieuwbare_Energie_Totaal47[[#Headers],[D]],Database_Productkaarten[#All],48,FALSE),0)*Ontwerpberekening!J10),0))/Ontwerpberekening!$A$2</f>
        <v>0</v>
      </c>
      <c r="U135" s="56">
        <f>SUM(Referentie_Hernieuwbare_Energie_Totaal47[[#This Row],[A1-A3]:[C4]])+Referentie_Hernieuwbare_Energie_Totaal47[[#This Row],[D]]</f>
        <v>10863.180853243999</v>
      </c>
    </row>
    <row r="136" spans="2:21">
      <c r="B136" s="51" t="str">
        <f>Ontwerpberekening!B11</f>
        <v>Open Menggranulaat</v>
      </c>
      <c r="C136" s="51" t="str">
        <f>Ontwerpberekening!C11</f>
        <v>Zandbed</v>
      </c>
      <c r="D136" s="76" t="str">
        <f>Ontwerpberekening!G11</f>
        <v>Ophoogmateriaal (Zand)</v>
      </c>
      <c r="E136" s="77">
        <f>(IF(Ontwerpberekening!E11="Nieuwe Situatie",(_xlfn.IFNA(VLOOKUP(Referentie_Hernieuwbare_Energie_Totaal47[[#This Row],[Product]]&amp;", "&amp;Referentie_Hernieuwbare_Energie_Totaal47[[#Headers],[A1]],Database_Productkaarten[#All],48,FALSE),0)*Ontwerpberekening!J11),0))/Ontwerpberekening!$A$2</f>
        <v>0</v>
      </c>
      <c r="F136" s="77">
        <f>(IF(Ontwerpberekening!E11="Nieuwe Situatie",(_xlfn.IFNA(VLOOKUP(Referentie_Hernieuwbare_Energie_Totaal47[[#This Row],[Product]]&amp;", "&amp;Referentie_Hernieuwbare_Energie_Totaal47[[#Headers],[A2]],Database_Productkaarten[#All],48,FALSE),0)*Ontwerpberekening!J11),0))/Ontwerpberekening!$A$2</f>
        <v>0</v>
      </c>
      <c r="G136" s="77">
        <f>(IF(Ontwerpberekening!E11="Nieuwe Situatie",(_xlfn.IFNA(VLOOKUP(Referentie_Hernieuwbare_Energie_Totaal47[[#This Row],[Product]]&amp;", "&amp;Referentie_Hernieuwbare_Energie_Totaal47[[#Headers],[A3]],Database_Productkaarten[#All],48,FALSE),0)*Ontwerpberekening!J11),0))/Ontwerpberekening!$A$2</f>
        <v>0</v>
      </c>
      <c r="H136" s="77">
        <f>(IF(Ontwerpberekening!E11="Nieuwe Situatie",(_xlfn.IFNA(VLOOKUP(Referentie_Hernieuwbare_Energie_Totaal47[[#This Row],[Product]]&amp;", "&amp;Referentie_Hernieuwbare_Energie_Totaal47[[#Headers],[A1-A3]],Database_Productkaarten[#All],48,FALSE),0)*Ontwerpberekening!J11),0))/Ontwerpberekening!$A$2</f>
        <v>0</v>
      </c>
      <c r="I136" s="77">
        <f>(IF(Ontwerpberekening!E11="Nieuwe Situatie",(_xlfn.IFNA(VLOOKUP(Referentie_Hernieuwbare_Energie_Totaal47[[#This Row],[Product]]&amp;", "&amp;Referentie_Hernieuwbare_Energie_Totaal47[[#Headers],[A4]],Database_Productkaarten[#All],48,FALSE),0)*Ontwerpberekening!R11),0))/Ontwerpberekening!$A$2</f>
        <v>0</v>
      </c>
      <c r="J136" s="77">
        <f>(IF(Ontwerpberekening!E11="Nieuwe Situatie",(_xlfn.IFNA(VLOOKUP(Referentie_Hernieuwbare_Energie_Totaal47[[#This Row],[Product]]&amp;", "&amp;Referentie_Hernieuwbare_Energie_Totaal47[[#Headers],[A5]],Database_Productkaarten[#All],48,FALSE),0)*Ontwerpberekening!J11),0))/Ontwerpberekening!$A$2</f>
        <v>0</v>
      </c>
      <c r="K136" s="77">
        <f>(IF(Ontwerpberekening!E11="Nieuwe Situatie",(_xlfn.IFNA(VLOOKUP(Referentie_Hernieuwbare_Energie_Totaal47[[#This Row],[Product]]&amp;", "&amp;Referentie_Hernieuwbare_Energie_Totaal47[[#Headers],[B1]],Database_Productkaarten[#All],48,FALSE),0)*Ontwerpberekening!J11),0))/Ontwerpberekening!$A$2</f>
        <v>0</v>
      </c>
      <c r="L136" s="77">
        <f>(IF(Ontwerpberekening!E11="Nieuwe Situatie",(_xlfn.IFNA(VLOOKUP(Referentie_Hernieuwbare_Energie_Totaal47[[#This Row],[Product]]&amp;", "&amp;Referentie_Hernieuwbare_Energie_Totaal47[[#Headers],[B3]],Database_Productkaarten[#All],48,FALSE),0)*Ontwerpberekening!J11),0))/Ontwerpberekening!$A$2</f>
        <v>0</v>
      </c>
      <c r="M136" s="77">
        <f>(IF(Ontwerpberekening!E11="Nieuwe Situatie",(SUM(Referentie_Hernieuwbare_Energie_Totaal47[[#This Row],[A1]:[B1]],Referentie_Hernieuwbare_Energie_Totaal47[[#This Row],[C1]:[D2]])*Ontwerpberekening!T11),0))/Ontwerpberekening!$A$2</f>
        <v>0</v>
      </c>
      <c r="N136" s="77">
        <f>(IF(Ontwerpberekening!E11="Bestaande Situatie",(_xlfn.IFNA(VLOOKUP(Referentie_Hernieuwbare_Energie_Totaal47[[#This Row],[Product]]&amp;", "&amp;Referentie_Hernieuwbare_Energie_Totaal47[[#Headers],[C1]],Database_Productkaarten[#All],48,FALSE),0)*Ontwerpberekening!J11),0))/Ontwerpberekening!$A$2</f>
        <v>0</v>
      </c>
      <c r="O136" s="77">
        <f>(IF(Ontwerpberekening!E11="Bestaande Situatie",(_xlfn.IFNA(VLOOKUP(Referentie_Hernieuwbare_Energie_Totaal47[[#This Row],[Product]]&amp;", "&amp;Referentie_Hernieuwbare_Energie_Totaal47[[#Headers],[C2]],Database_Productkaarten[#All],48,FALSE),0)*Ontwerpberekening!R11),0))/Ontwerpberekening!$A$2</f>
        <v>0</v>
      </c>
      <c r="P136" s="77">
        <f>(IF(Ontwerpberekening!E11="Bestaande Situatie",(_xlfn.IFNA(VLOOKUP(Referentie_Hernieuwbare_Energie_Totaal47[[#This Row],[Product]]&amp;", "&amp;Referentie_Hernieuwbare_Energie_Totaal47[[#Headers],[C3]],Database_Productkaarten[#All],48,FALSE),0)*Ontwerpberekening!J11),0))/Ontwerpberekening!$A$2</f>
        <v>0</v>
      </c>
      <c r="Q136" s="77">
        <f>(IF(Ontwerpberekening!E11="Bestaande Situatie",(_xlfn.IFNA(VLOOKUP(Referentie_Hernieuwbare_Energie_Totaal47[[#This Row],[Product]]&amp;", "&amp;Referentie_Hernieuwbare_Energie_Totaal47[[#Headers],[C4]],Database_Productkaarten[#All],48,FALSE),0)*Ontwerpberekening!J11),0))/Ontwerpberekening!$A$2</f>
        <v>3.4825000000000004</v>
      </c>
      <c r="R136" s="77">
        <f>(IF(Ontwerpberekening!E11="Bestaande Situatie",(_xlfn.IFNA(VLOOKUP(Referentie_Hernieuwbare_Energie_Totaal47[[#This Row],[Product]]&amp;", "&amp;Referentie_Hernieuwbare_Energie_Totaal47[[#Headers],[D1]],Database_Productkaarten[#All],48,FALSE),0)*Ontwerpberekening!J11),0))/Ontwerpberekening!$A$2</f>
        <v>0</v>
      </c>
      <c r="S136" s="78">
        <f>(IF(Ontwerpberekening!E11="Bestaande Situatie",(_xlfn.IFNA(VLOOKUP(Referentie_Hernieuwbare_Energie_Totaal47[[#This Row],[Product]]&amp;", "&amp;Referentie_Hernieuwbare_Energie_Totaal47[[#Headers],[D2]],Database_Productkaarten[#All],48,FALSE),0)*Ontwerpberekening!J11),0))/Ontwerpberekening!$A$2</f>
        <v>0</v>
      </c>
      <c r="T136" s="57">
        <f>(IF(Ontwerpberekening!E11="Bestaande Situatie",(_xlfn.IFNA(VLOOKUP(Referentie_Hernieuwbare_Energie_Totaal47[[#This Row],[Product]]&amp;", "&amp;Referentie_Hernieuwbare_Energie_Totaal47[[#Headers],[D]],Database_Productkaarten[#All],48,FALSE),0)*Ontwerpberekening!J11),0))/Ontwerpberekening!$A$2</f>
        <v>-920.5</v>
      </c>
      <c r="U136" s="56">
        <f>SUM(Referentie_Hernieuwbare_Energie_Totaal47[[#This Row],[A1-A3]:[C4]])+Referentie_Hernieuwbare_Energie_Totaal47[[#This Row],[D]]</f>
        <v>-917.01750000000004</v>
      </c>
    </row>
    <row r="137" spans="2:21">
      <c r="B137" s="51" t="str">
        <f>Ontwerpberekening!B12</f>
        <v>Open Menggranulaat</v>
      </c>
      <c r="C137" s="51" t="str">
        <f>Ontwerpberekening!C12</f>
        <v>Funderingswapening</v>
      </c>
      <c r="D137" s="76" t="str">
        <f>Ontwerpberekening!G12</f>
        <v>Geogrid</v>
      </c>
      <c r="E137" s="77">
        <f>(IF(Ontwerpberekening!E12="Nieuwe Situatie",(_xlfn.IFNA(VLOOKUP(Referentie_Hernieuwbare_Energie_Totaal47[[#This Row],[Product]]&amp;", "&amp;Referentie_Hernieuwbare_Energie_Totaal47[[#Headers],[A1]],Database_Productkaarten[#All],48,FALSE),0)*Ontwerpberekening!J12),0))/Ontwerpberekening!$A$2</f>
        <v>0</v>
      </c>
      <c r="F137" s="77">
        <f>(IF(Ontwerpberekening!E12="Nieuwe Situatie",(_xlfn.IFNA(VLOOKUP(Referentie_Hernieuwbare_Energie_Totaal47[[#This Row],[Product]]&amp;", "&amp;Referentie_Hernieuwbare_Energie_Totaal47[[#Headers],[A2]],Database_Productkaarten[#All],48,FALSE),0)*Ontwerpberekening!J12),0))/Ontwerpberekening!$A$2</f>
        <v>0</v>
      </c>
      <c r="G137" s="77">
        <f>(IF(Ontwerpberekening!E12="Nieuwe Situatie",(_xlfn.IFNA(VLOOKUP(Referentie_Hernieuwbare_Energie_Totaal47[[#This Row],[Product]]&amp;", "&amp;Referentie_Hernieuwbare_Energie_Totaal47[[#Headers],[A3]],Database_Productkaarten[#All],48,FALSE),0)*Ontwerpberekening!J12),0))/Ontwerpberekening!$A$2</f>
        <v>0</v>
      </c>
      <c r="H137" s="77">
        <f>(IF(Ontwerpberekening!E12="Nieuwe Situatie",(_xlfn.IFNA(VLOOKUP(Referentie_Hernieuwbare_Energie_Totaal47[[#This Row],[Product]]&amp;", "&amp;Referentie_Hernieuwbare_Energie_Totaal47[[#Headers],[A1-A3]],Database_Productkaarten[#All],48,FALSE),0)*Ontwerpberekening!J12),0))/Ontwerpberekening!$A$2</f>
        <v>0</v>
      </c>
      <c r="I137" s="77">
        <f>(IF(Ontwerpberekening!E12="Nieuwe Situatie",(_xlfn.IFNA(VLOOKUP(Referentie_Hernieuwbare_Energie_Totaal47[[#This Row],[Product]]&amp;", "&amp;Referentie_Hernieuwbare_Energie_Totaal47[[#Headers],[A4]],Database_Productkaarten[#All],48,FALSE),0)*Ontwerpberekening!R12),0))/Ontwerpberekening!$A$2</f>
        <v>0</v>
      </c>
      <c r="J137" s="77">
        <f>(IF(Ontwerpberekening!E12="Nieuwe Situatie",(_xlfn.IFNA(VLOOKUP(Referentie_Hernieuwbare_Energie_Totaal47[[#This Row],[Product]]&amp;", "&amp;Referentie_Hernieuwbare_Energie_Totaal47[[#Headers],[A5]],Database_Productkaarten[#All],48,FALSE),0)*Ontwerpberekening!J12),0))/Ontwerpberekening!$A$2</f>
        <v>0</v>
      </c>
      <c r="K137" s="77">
        <f>(IF(Ontwerpberekening!E12="Nieuwe Situatie",(_xlfn.IFNA(VLOOKUP(Referentie_Hernieuwbare_Energie_Totaal47[[#This Row],[Product]]&amp;", "&amp;Referentie_Hernieuwbare_Energie_Totaal47[[#Headers],[B1]],Database_Productkaarten[#All],48,FALSE),0)*Ontwerpberekening!J12),0))/Ontwerpberekening!$A$2</f>
        <v>0</v>
      </c>
      <c r="L137" s="77">
        <f>(IF(Ontwerpberekening!E12="Nieuwe Situatie",(_xlfn.IFNA(VLOOKUP(Referentie_Hernieuwbare_Energie_Totaal47[[#This Row],[Product]]&amp;", "&amp;Referentie_Hernieuwbare_Energie_Totaal47[[#Headers],[B3]],Database_Productkaarten[#All],48,FALSE),0)*Ontwerpberekening!J12),0))/Ontwerpberekening!$A$2</f>
        <v>0</v>
      </c>
      <c r="M137" s="77">
        <f>(IF(Ontwerpberekening!E12="Nieuwe Situatie",(SUM(Referentie_Hernieuwbare_Energie_Totaal47[[#This Row],[A1]:[B1]],Referentie_Hernieuwbare_Energie_Totaal47[[#This Row],[C1]:[D2]])*Ontwerpberekening!T12),0))/Ontwerpberekening!$A$2</f>
        <v>0</v>
      </c>
      <c r="N137" s="77">
        <f>(IF(Ontwerpberekening!E12="Bestaande Situatie",(_xlfn.IFNA(VLOOKUP(Referentie_Hernieuwbare_Energie_Totaal47[[#This Row],[Product]]&amp;", "&amp;Referentie_Hernieuwbare_Energie_Totaal47[[#Headers],[C1]],Database_Productkaarten[#All],48,FALSE),0)*Ontwerpberekening!J12),0))/Ontwerpberekening!$A$2</f>
        <v>58.504710000000003</v>
      </c>
      <c r="O137" s="77">
        <f>(IF(Ontwerpberekening!E12="Bestaande Situatie",(_xlfn.IFNA(VLOOKUP(Referentie_Hernieuwbare_Energie_Totaal47[[#This Row],[Product]]&amp;", "&amp;Referentie_Hernieuwbare_Energie_Totaal47[[#Headers],[C2]],Database_Productkaarten[#All],48,FALSE),0)*Ontwerpberekening!R12),0))/Ontwerpberekening!$A$2</f>
        <v>8.8780561728000001E-2</v>
      </c>
      <c r="P137" s="77">
        <f>(IF(Ontwerpberekening!E12="Bestaande Situatie",(_xlfn.IFNA(VLOOKUP(Referentie_Hernieuwbare_Energie_Totaal47[[#This Row],[Product]]&amp;", "&amp;Referentie_Hernieuwbare_Energie_Totaal47[[#Headers],[C3]],Database_Productkaarten[#All],48,FALSE),0)*Ontwerpberekening!J12),0))/Ontwerpberekening!$A$2</f>
        <v>0</v>
      </c>
      <c r="Q137" s="77">
        <f>(IF(Ontwerpberekening!E12="Bestaande Situatie",(_xlfn.IFNA(VLOOKUP(Referentie_Hernieuwbare_Energie_Totaal47[[#This Row],[Product]]&amp;", "&amp;Referentie_Hernieuwbare_Energie_Totaal47[[#Headers],[C4]],Database_Productkaarten[#All],48,FALSE),0)*Ontwerpberekening!J12),0))/Ontwerpberekening!$A$2</f>
        <v>0.46192338330000005</v>
      </c>
      <c r="R137" s="77">
        <f>(IF(Ontwerpberekening!E12="Bestaande Situatie",(_xlfn.IFNA(VLOOKUP(Referentie_Hernieuwbare_Energie_Totaal47[[#This Row],[Product]]&amp;", "&amp;Referentie_Hernieuwbare_Energie_Totaal47[[#Headers],[D1]],Database_Productkaarten[#All],48,FALSE),0)*Ontwerpberekening!J12),0))/Ontwerpberekening!$A$2</f>
        <v>0</v>
      </c>
      <c r="S137" s="78">
        <f>(IF(Ontwerpberekening!E12="Bestaande Situatie",(_xlfn.IFNA(VLOOKUP(Referentie_Hernieuwbare_Energie_Totaal47[[#This Row],[Product]]&amp;", "&amp;Referentie_Hernieuwbare_Energie_Totaal47[[#Headers],[D2]],Database_Productkaarten[#All],48,FALSE),0)*Ontwerpberekening!J12),0))/Ontwerpberekening!$A$2</f>
        <v>0</v>
      </c>
      <c r="T137" s="57">
        <f>(IF(Ontwerpberekening!E12="Bestaande Situatie",(_xlfn.IFNA(VLOOKUP(Referentie_Hernieuwbare_Energie_Totaal47[[#This Row],[Product]]&amp;", "&amp;Referentie_Hernieuwbare_Energie_Totaal47[[#Headers],[D]],Database_Productkaarten[#All],48,FALSE),0)*Ontwerpberekening!J12),0))/Ontwerpberekening!$A$2</f>
        <v>-8.5604866300000015</v>
      </c>
      <c r="U137" s="56">
        <f>SUM(Referentie_Hernieuwbare_Energie_Totaal47[[#This Row],[A1-A3]:[C4]])+Referentie_Hernieuwbare_Energie_Totaal47[[#This Row],[D]]</f>
        <v>50.494927315028001</v>
      </c>
    </row>
    <row r="138" spans="2:21">
      <c r="B138" s="51" t="str">
        <f>Ontwerpberekening!B13</f>
        <v>Open Menggranulaat</v>
      </c>
      <c r="C138" s="51" t="str">
        <f>Ontwerpberekening!C13</f>
        <v>Menggranulaat</v>
      </c>
      <c r="D138" s="76" t="str">
        <f>Ontwerpberekening!G13</f>
        <v>Menggranulaat 200mm</v>
      </c>
      <c r="E138" s="77">
        <f>(IF(Ontwerpberekening!E13="Nieuwe Situatie",(_xlfn.IFNA(VLOOKUP(Referentie_Hernieuwbare_Energie_Totaal47[[#This Row],[Product]]&amp;", "&amp;Referentie_Hernieuwbare_Energie_Totaal47[[#Headers],[A1]],Database_Productkaarten[#All],48,FALSE),0)*Ontwerpberekening!J13),0))/Ontwerpberekening!$A$2</f>
        <v>0</v>
      </c>
      <c r="F138" s="77">
        <f>(IF(Ontwerpberekening!E13="Nieuwe Situatie",(_xlfn.IFNA(VLOOKUP(Referentie_Hernieuwbare_Energie_Totaal47[[#This Row],[Product]]&amp;", "&amp;Referentie_Hernieuwbare_Energie_Totaal47[[#Headers],[A2]],Database_Productkaarten[#All],48,FALSE),0)*Ontwerpberekening!J13),0))/Ontwerpberekening!$A$2</f>
        <v>0</v>
      </c>
      <c r="G138" s="77">
        <f>(IF(Ontwerpberekening!E13="Nieuwe Situatie",(_xlfn.IFNA(VLOOKUP(Referentie_Hernieuwbare_Energie_Totaal47[[#This Row],[Product]]&amp;", "&amp;Referentie_Hernieuwbare_Energie_Totaal47[[#Headers],[A3]],Database_Productkaarten[#All],48,FALSE),0)*Ontwerpberekening!J13),0))/Ontwerpberekening!$A$2</f>
        <v>0</v>
      </c>
      <c r="H138" s="77">
        <f>(IF(Ontwerpberekening!E13="Nieuwe Situatie",(_xlfn.IFNA(VLOOKUP(Referentie_Hernieuwbare_Energie_Totaal47[[#This Row],[Product]]&amp;", "&amp;Referentie_Hernieuwbare_Energie_Totaal47[[#Headers],[A1-A3]],Database_Productkaarten[#All],48,FALSE),0)*Ontwerpberekening!J13),0))/Ontwerpberekening!$A$2</f>
        <v>0</v>
      </c>
      <c r="I138" s="77">
        <f>(IF(Ontwerpberekening!E13="Nieuwe Situatie",(_xlfn.IFNA(VLOOKUP(Referentie_Hernieuwbare_Energie_Totaal47[[#This Row],[Product]]&amp;", "&amp;Referentie_Hernieuwbare_Energie_Totaal47[[#Headers],[A4]],Database_Productkaarten[#All],48,FALSE),0)*Ontwerpberekening!R13),0))/Ontwerpberekening!$A$2</f>
        <v>0</v>
      </c>
      <c r="J138" s="77">
        <f>(IF(Ontwerpberekening!E13="Nieuwe Situatie",(_xlfn.IFNA(VLOOKUP(Referentie_Hernieuwbare_Energie_Totaal47[[#This Row],[Product]]&amp;", "&amp;Referentie_Hernieuwbare_Energie_Totaal47[[#Headers],[A5]],Database_Productkaarten[#All],48,FALSE),0)*Ontwerpberekening!J13),0))/Ontwerpberekening!$A$2</f>
        <v>0</v>
      </c>
      <c r="K138" s="77">
        <f>(IF(Ontwerpberekening!E13="Nieuwe Situatie",(_xlfn.IFNA(VLOOKUP(Referentie_Hernieuwbare_Energie_Totaal47[[#This Row],[Product]]&amp;", "&amp;Referentie_Hernieuwbare_Energie_Totaal47[[#Headers],[B1]],Database_Productkaarten[#All],48,FALSE),0)*Ontwerpberekening!J13),0))/Ontwerpberekening!$A$2</f>
        <v>0</v>
      </c>
      <c r="L138" s="77">
        <f>(IF(Ontwerpberekening!E13="Nieuwe Situatie",(_xlfn.IFNA(VLOOKUP(Referentie_Hernieuwbare_Energie_Totaal47[[#This Row],[Product]]&amp;", "&amp;Referentie_Hernieuwbare_Energie_Totaal47[[#Headers],[B3]],Database_Productkaarten[#All],48,FALSE),0)*Ontwerpberekening!J13),0))/Ontwerpberekening!$A$2</f>
        <v>0</v>
      </c>
      <c r="M138" s="77">
        <f>(IF(Ontwerpberekening!E13="Nieuwe Situatie",(SUM(Referentie_Hernieuwbare_Energie_Totaal47[[#This Row],[A1]:[B1]],Referentie_Hernieuwbare_Energie_Totaal47[[#This Row],[C1]:[D2]])*Ontwerpberekening!T13),0))/Ontwerpberekening!$A$2</f>
        <v>0</v>
      </c>
      <c r="N138" s="77">
        <f>(IF(Ontwerpberekening!E13="Bestaande Situatie",(_xlfn.IFNA(VLOOKUP(Referentie_Hernieuwbare_Energie_Totaal47[[#This Row],[Product]]&amp;", "&amp;Referentie_Hernieuwbare_Energie_Totaal47[[#Headers],[C1]],Database_Productkaarten[#All],48,FALSE),0)*Ontwerpberekening!J13),0))/Ontwerpberekening!$A$2</f>
        <v>74.599999999999994</v>
      </c>
      <c r="O138" s="77">
        <f>(IF(Ontwerpberekening!E13="Bestaande Situatie",(_xlfn.IFNA(VLOOKUP(Referentie_Hernieuwbare_Energie_Totaal47[[#This Row],[Product]]&amp;", "&amp;Referentie_Hernieuwbare_Energie_Totaal47[[#Headers],[C2]],Database_Productkaarten[#All],48,FALSE),0)*Ontwerpberekening!R13),0))/Ontwerpberekening!$A$2</f>
        <v>175.5</v>
      </c>
      <c r="P138" s="77">
        <f>(IF(Ontwerpberekening!E13="Bestaande Situatie",(_xlfn.IFNA(VLOOKUP(Referentie_Hernieuwbare_Energie_Totaal47[[#This Row],[Product]]&amp;", "&amp;Referentie_Hernieuwbare_Energie_Totaal47[[#Headers],[C3]],Database_Productkaarten[#All],48,FALSE),0)*Ontwerpberekening!J13),0))/Ontwerpberekening!$A$2</f>
        <v>0</v>
      </c>
      <c r="Q138" s="77">
        <f>(IF(Ontwerpberekening!E13="Bestaande Situatie",(_xlfn.IFNA(VLOOKUP(Referentie_Hernieuwbare_Energie_Totaal47[[#This Row],[Product]]&amp;", "&amp;Referentie_Hernieuwbare_Energie_Totaal47[[#Headers],[C4]],Database_Productkaarten[#All],48,FALSE),0)*Ontwerpberekening!J13),0))/Ontwerpberekening!$A$2</f>
        <v>5.18</v>
      </c>
      <c r="R138" s="77">
        <f>(IF(Ontwerpberekening!E13="Bestaande Situatie",(_xlfn.IFNA(VLOOKUP(Referentie_Hernieuwbare_Energie_Totaal47[[#This Row],[Product]]&amp;", "&amp;Referentie_Hernieuwbare_Energie_Totaal47[[#Headers],[D1]],Database_Productkaarten[#All],48,FALSE),0)*Ontwerpberekening!J13),0))/Ontwerpberekening!$A$2</f>
        <v>0</v>
      </c>
      <c r="S138" s="78">
        <f>(IF(Ontwerpberekening!E13="Bestaande Situatie",(_xlfn.IFNA(VLOOKUP(Referentie_Hernieuwbare_Energie_Totaal47[[#This Row],[Product]]&amp;", "&amp;Referentie_Hernieuwbare_Energie_Totaal47[[#Headers],[D2]],Database_Productkaarten[#All],48,FALSE),0)*Ontwerpberekening!J13),0))/Ontwerpberekening!$A$2</f>
        <v>0</v>
      </c>
      <c r="T138" s="57">
        <f>(IF(Ontwerpberekening!E13="Bestaande Situatie",(_xlfn.IFNA(VLOOKUP(Referentie_Hernieuwbare_Energie_Totaal47[[#This Row],[Product]]&amp;", "&amp;Referentie_Hernieuwbare_Energie_Totaal47[[#Headers],[D]],Database_Productkaarten[#All],48,FALSE),0)*Ontwerpberekening!J13),0))/Ontwerpberekening!$A$2</f>
        <v>13.799999999999999</v>
      </c>
      <c r="U138" s="56">
        <f>SUM(Referentie_Hernieuwbare_Energie_Totaal47[[#This Row],[A1-A3]:[C4]])+Referentie_Hernieuwbare_Energie_Totaal47[[#This Row],[D]]</f>
        <v>269.08</v>
      </c>
    </row>
    <row r="139" spans="2:21">
      <c r="B139" s="51" t="str">
        <f>Ontwerpberekening!B14</f>
        <v>Open Menggranulaat</v>
      </c>
      <c r="C139" s="51" t="str">
        <f>Ontwerpberekening!C14</f>
        <v>Straatlaag</v>
      </c>
      <c r="D139" s="76" t="str">
        <f>Ontwerpberekening!G14</f>
        <v>Ophoogmateriaal (Zand)</v>
      </c>
      <c r="E139" s="77">
        <f>(IF(Ontwerpberekening!E14="Nieuwe Situatie",(_xlfn.IFNA(VLOOKUP(Referentie_Hernieuwbare_Energie_Totaal47[[#This Row],[Product]]&amp;", "&amp;Referentie_Hernieuwbare_Energie_Totaal47[[#Headers],[A1]],Database_Productkaarten[#All],48,FALSE),0)*Ontwerpberekening!J14),0))/Ontwerpberekening!$A$2</f>
        <v>0</v>
      </c>
      <c r="F139" s="77">
        <f>(IF(Ontwerpberekening!E14="Nieuwe Situatie",(_xlfn.IFNA(VLOOKUP(Referentie_Hernieuwbare_Energie_Totaal47[[#This Row],[Product]]&amp;", "&amp;Referentie_Hernieuwbare_Energie_Totaal47[[#Headers],[A2]],Database_Productkaarten[#All],48,FALSE),0)*Ontwerpberekening!J14),0))/Ontwerpberekening!$A$2</f>
        <v>0</v>
      </c>
      <c r="G139" s="77">
        <f>(IF(Ontwerpberekening!E14="Nieuwe Situatie",(_xlfn.IFNA(VLOOKUP(Referentie_Hernieuwbare_Energie_Totaal47[[#This Row],[Product]]&amp;", "&amp;Referentie_Hernieuwbare_Energie_Totaal47[[#Headers],[A3]],Database_Productkaarten[#All],48,FALSE),0)*Ontwerpberekening!J14),0))/Ontwerpberekening!$A$2</f>
        <v>0</v>
      </c>
      <c r="H139" s="77">
        <f>(IF(Ontwerpberekening!E14="Nieuwe Situatie",(_xlfn.IFNA(VLOOKUP(Referentie_Hernieuwbare_Energie_Totaal47[[#This Row],[Product]]&amp;", "&amp;Referentie_Hernieuwbare_Energie_Totaal47[[#Headers],[A1-A3]],Database_Productkaarten[#All],48,FALSE),0)*Ontwerpberekening!J14),0))/Ontwerpberekening!$A$2</f>
        <v>0</v>
      </c>
      <c r="I139" s="77">
        <f>(IF(Ontwerpberekening!E14="Nieuwe Situatie",(_xlfn.IFNA(VLOOKUP(Referentie_Hernieuwbare_Energie_Totaal47[[#This Row],[Product]]&amp;", "&amp;Referentie_Hernieuwbare_Energie_Totaal47[[#Headers],[A4]],Database_Productkaarten[#All],48,FALSE),0)*Ontwerpberekening!R14),0))/Ontwerpberekening!$A$2</f>
        <v>0</v>
      </c>
      <c r="J139" s="77">
        <f>(IF(Ontwerpberekening!E14="Nieuwe Situatie",(_xlfn.IFNA(VLOOKUP(Referentie_Hernieuwbare_Energie_Totaal47[[#This Row],[Product]]&amp;", "&amp;Referentie_Hernieuwbare_Energie_Totaal47[[#Headers],[A5]],Database_Productkaarten[#All],48,FALSE),0)*Ontwerpberekening!J14),0))/Ontwerpberekening!$A$2</f>
        <v>0</v>
      </c>
      <c r="K139" s="77">
        <f>(IF(Ontwerpberekening!E14="Nieuwe Situatie",(_xlfn.IFNA(VLOOKUP(Referentie_Hernieuwbare_Energie_Totaal47[[#This Row],[Product]]&amp;", "&amp;Referentie_Hernieuwbare_Energie_Totaal47[[#Headers],[B1]],Database_Productkaarten[#All],48,FALSE),0)*Ontwerpberekening!J14),0))/Ontwerpberekening!$A$2</f>
        <v>0</v>
      </c>
      <c r="L139" s="77">
        <f>(IF(Ontwerpberekening!E14="Nieuwe Situatie",(_xlfn.IFNA(VLOOKUP(Referentie_Hernieuwbare_Energie_Totaal47[[#This Row],[Product]]&amp;", "&amp;Referentie_Hernieuwbare_Energie_Totaal47[[#Headers],[B3]],Database_Productkaarten[#All],48,FALSE),0)*Ontwerpberekening!J14),0))/Ontwerpberekening!$A$2</f>
        <v>0</v>
      </c>
      <c r="M139" s="77">
        <f>(IF(Ontwerpberekening!E14="Nieuwe Situatie",(SUM(Referentie_Hernieuwbare_Energie_Totaal47[[#This Row],[A1]:[B1]],Referentie_Hernieuwbare_Energie_Totaal47[[#This Row],[C1]:[D2]])*Ontwerpberekening!T14),0))/Ontwerpberekening!$A$2</f>
        <v>0</v>
      </c>
      <c r="N139" s="77">
        <f>(IF(Ontwerpberekening!E14="Bestaande Situatie",(_xlfn.IFNA(VLOOKUP(Referentie_Hernieuwbare_Energie_Totaal47[[#This Row],[Product]]&amp;", "&amp;Referentie_Hernieuwbare_Energie_Totaal47[[#Headers],[C1]],Database_Productkaarten[#All],48,FALSE),0)*Ontwerpberekening!J14),0))/Ontwerpberekening!$A$2</f>
        <v>0</v>
      </c>
      <c r="O139" s="77">
        <f>(IF(Ontwerpberekening!E14="Bestaande Situatie",(_xlfn.IFNA(VLOOKUP(Referentie_Hernieuwbare_Energie_Totaal47[[#This Row],[Product]]&amp;", "&amp;Referentie_Hernieuwbare_Energie_Totaal47[[#Headers],[C2]],Database_Productkaarten[#All],48,FALSE),0)*Ontwerpberekening!R14),0))/Ontwerpberekening!$A$2</f>
        <v>0</v>
      </c>
      <c r="P139" s="77">
        <f>(IF(Ontwerpberekening!E14="Bestaande Situatie",(_xlfn.IFNA(VLOOKUP(Referentie_Hernieuwbare_Energie_Totaal47[[#This Row],[Product]]&amp;", "&amp;Referentie_Hernieuwbare_Energie_Totaal47[[#Headers],[C3]],Database_Productkaarten[#All],48,FALSE),0)*Ontwerpberekening!J14),0))/Ontwerpberekening!$A$2</f>
        <v>0</v>
      </c>
      <c r="Q139" s="77">
        <f>(IF(Ontwerpberekening!E14="Bestaande Situatie",(_xlfn.IFNA(VLOOKUP(Referentie_Hernieuwbare_Energie_Totaal47[[#This Row],[Product]]&amp;", "&amp;Referentie_Hernieuwbare_Energie_Totaal47[[#Headers],[C4]],Database_Productkaarten[#All],48,FALSE),0)*Ontwerpberekening!J14),0))/Ontwerpberekening!$A$2</f>
        <v>0.49750000000000005</v>
      </c>
      <c r="R139" s="77">
        <f>(IF(Ontwerpberekening!E14="Bestaande Situatie",(_xlfn.IFNA(VLOOKUP(Referentie_Hernieuwbare_Energie_Totaal47[[#This Row],[Product]]&amp;", "&amp;Referentie_Hernieuwbare_Energie_Totaal47[[#Headers],[D1]],Database_Productkaarten[#All],48,FALSE),0)*Ontwerpberekening!J14),0))/Ontwerpberekening!$A$2</f>
        <v>0</v>
      </c>
      <c r="S139" s="78">
        <f>(IF(Ontwerpberekening!E14="Bestaande Situatie",(_xlfn.IFNA(VLOOKUP(Referentie_Hernieuwbare_Energie_Totaal47[[#This Row],[Product]]&amp;", "&amp;Referentie_Hernieuwbare_Energie_Totaal47[[#Headers],[D2]],Database_Productkaarten[#All],48,FALSE),0)*Ontwerpberekening!J14),0))/Ontwerpberekening!$A$2</f>
        <v>0</v>
      </c>
      <c r="T139" s="57">
        <f>(IF(Ontwerpberekening!E14="Bestaande Situatie",(_xlfn.IFNA(VLOOKUP(Referentie_Hernieuwbare_Energie_Totaal47[[#This Row],[Product]]&amp;", "&amp;Referentie_Hernieuwbare_Energie_Totaal47[[#Headers],[D]],Database_Productkaarten[#All],48,FALSE),0)*Ontwerpberekening!J14),0))/Ontwerpberekening!$A$2</f>
        <v>-131.5</v>
      </c>
      <c r="U139" s="56">
        <f>SUM(Referentie_Hernieuwbare_Energie_Totaal47[[#This Row],[A1-A3]:[C4]])+Referentie_Hernieuwbare_Energie_Totaal47[[#This Row],[D]]</f>
        <v>-131.0025</v>
      </c>
    </row>
    <row r="140" spans="2:21">
      <c r="B140" s="51" t="str">
        <f>Ontwerpberekening!B15</f>
        <v>Open Menggranulaat</v>
      </c>
      <c r="C140" s="51" t="str">
        <f>Ontwerpberekening!C15</f>
        <v>Toplaag</v>
      </c>
      <c r="D140" s="76" t="str">
        <f>Ontwerpberekening!G15</f>
        <v>Betonstraatsteen 210x105x80</v>
      </c>
      <c r="E140" s="77">
        <f>(IF(Ontwerpberekening!E15="Nieuwe Situatie",(_xlfn.IFNA(VLOOKUP(Referentie_Hernieuwbare_Energie_Totaal47[[#This Row],[Product]]&amp;", "&amp;Referentie_Hernieuwbare_Energie_Totaal47[[#Headers],[A1]],Database_Productkaarten[#All],48,FALSE),0)*Ontwerpberekening!J15),0))/Ontwerpberekening!$A$2</f>
        <v>0</v>
      </c>
      <c r="F140" s="77">
        <f>(IF(Ontwerpberekening!E15="Nieuwe Situatie",(_xlfn.IFNA(VLOOKUP(Referentie_Hernieuwbare_Energie_Totaal47[[#This Row],[Product]]&amp;", "&amp;Referentie_Hernieuwbare_Energie_Totaal47[[#Headers],[A2]],Database_Productkaarten[#All],48,FALSE),0)*Ontwerpberekening!J15),0))/Ontwerpberekening!$A$2</f>
        <v>0</v>
      </c>
      <c r="G140" s="77">
        <f>(IF(Ontwerpberekening!E15="Nieuwe Situatie",(_xlfn.IFNA(VLOOKUP(Referentie_Hernieuwbare_Energie_Totaal47[[#This Row],[Product]]&amp;", "&amp;Referentie_Hernieuwbare_Energie_Totaal47[[#Headers],[A3]],Database_Productkaarten[#All],48,FALSE),0)*Ontwerpberekening!J15),0))/Ontwerpberekening!$A$2</f>
        <v>0</v>
      </c>
      <c r="H140" s="77">
        <f>(IF(Ontwerpberekening!E15="Nieuwe Situatie",(_xlfn.IFNA(VLOOKUP(Referentie_Hernieuwbare_Energie_Totaal47[[#This Row],[Product]]&amp;", "&amp;Referentie_Hernieuwbare_Energie_Totaal47[[#Headers],[A1-A3]],Database_Productkaarten[#All],48,FALSE),0)*Ontwerpberekening!J15),0))/Ontwerpberekening!$A$2</f>
        <v>0</v>
      </c>
      <c r="I140" s="77">
        <f>(IF(Ontwerpberekening!E15="Nieuwe Situatie",(_xlfn.IFNA(VLOOKUP(Referentie_Hernieuwbare_Energie_Totaal47[[#This Row],[Product]]&amp;", "&amp;Referentie_Hernieuwbare_Energie_Totaal47[[#Headers],[A4]],Database_Productkaarten[#All],48,FALSE),0)*Ontwerpberekening!R15),0))/Ontwerpberekening!$A$2</f>
        <v>0</v>
      </c>
      <c r="J140" s="77">
        <f>(IF(Ontwerpberekening!E15="Nieuwe Situatie",(_xlfn.IFNA(VLOOKUP(Referentie_Hernieuwbare_Energie_Totaal47[[#This Row],[Product]]&amp;", "&amp;Referentie_Hernieuwbare_Energie_Totaal47[[#Headers],[A5]],Database_Productkaarten[#All],48,FALSE),0)*Ontwerpberekening!J15),0))/Ontwerpberekening!$A$2</f>
        <v>0</v>
      </c>
      <c r="K140" s="77">
        <f>(IF(Ontwerpberekening!E15="Nieuwe Situatie",(_xlfn.IFNA(VLOOKUP(Referentie_Hernieuwbare_Energie_Totaal47[[#This Row],[Product]]&amp;", "&amp;Referentie_Hernieuwbare_Energie_Totaal47[[#Headers],[B1]],Database_Productkaarten[#All],48,FALSE),0)*Ontwerpberekening!J15),0))/Ontwerpberekening!$A$2</f>
        <v>0</v>
      </c>
      <c r="L140" s="77">
        <f>(IF(Ontwerpberekening!E15="Nieuwe Situatie",(_xlfn.IFNA(VLOOKUP(Referentie_Hernieuwbare_Energie_Totaal47[[#This Row],[Product]]&amp;", "&amp;Referentie_Hernieuwbare_Energie_Totaal47[[#Headers],[B3]],Database_Productkaarten[#All],48,FALSE),0)*Ontwerpberekening!J15),0))/Ontwerpberekening!$A$2</f>
        <v>0</v>
      </c>
      <c r="M140" s="77">
        <f>(IF(Ontwerpberekening!E15="Nieuwe Situatie",(SUM(Referentie_Hernieuwbare_Energie_Totaal47[[#This Row],[A1]:[B1]],Referentie_Hernieuwbare_Energie_Totaal47[[#This Row],[C1]:[D2]])*Ontwerpberekening!T15),0))/Ontwerpberekening!$A$2</f>
        <v>0</v>
      </c>
      <c r="N140" s="77">
        <f>(IF(Ontwerpberekening!E15="Bestaande Situatie",(_xlfn.IFNA(VLOOKUP(Referentie_Hernieuwbare_Energie_Totaal47[[#This Row],[Product]]&amp;", "&amp;Referentie_Hernieuwbare_Energie_Totaal47[[#Headers],[C1]],Database_Productkaarten[#All],48,FALSE),0)*Ontwerpberekening!J15),0))/Ontwerpberekening!$A$2</f>
        <v>24.721086499999998</v>
      </c>
      <c r="O140" s="77">
        <f>(IF(Ontwerpberekening!E15="Bestaande Situatie",(_xlfn.IFNA(VLOOKUP(Referentie_Hernieuwbare_Energie_Totaal47[[#This Row],[Product]]&amp;", "&amp;Referentie_Hernieuwbare_Energie_Totaal47[[#Headers],[C2]],Database_Productkaarten[#All],48,FALSE),0)*Ontwerpberekening!R15),0))/Ontwerpberekening!$A$2</f>
        <v>22.587121008000004</v>
      </c>
      <c r="P140" s="77">
        <f>(IF(Ontwerpberekening!E15="Bestaande Situatie",(_xlfn.IFNA(VLOOKUP(Referentie_Hernieuwbare_Energie_Totaal47[[#This Row],[Product]]&amp;", "&amp;Referentie_Hernieuwbare_Energie_Totaal47[[#Headers],[C3]],Database_Productkaarten[#All],48,FALSE),0)*Ontwerpberekening!J15),0))/Ontwerpberekening!$A$2</f>
        <v>115.07561</v>
      </c>
      <c r="Q140" s="77">
        <f>(IF(Ontwerpberekening!E15="Bestaande Situatie",(_xlfn.IFNA(VLOOKUP(Referentie_Hernieuwbare_Energie_Totaal47[[#This Row],[Product]]&amp;", "&amp;Referentie_Hernieuwbare_Energie_Totaal47[[#Headers],[C4]],Database_Productkaarten[#All],48,FALSE),0)*Ontwerpberekening!J15),0))/Ontwerpberekening!$A$2</f>
        <v>3.4969481500000001</v>
      </c>
      <c r="R140" s="77">
        <f>(IF(Ontwerpberekening!E15="Bestaande Situatie",(_xlfn.IFNA(VLOOKUP(Referentie_Hernieuwbare_Energie_Totaal47[[#This Row],[Product]]&amp;", "&amp;Referentie_Hernieuwbare_Energie_Totaal47[[#Headers],[D1]],Database_Productkaarten[#All],48,FALSE),0)*Ontwerpberekening!J15),0))/Ontwerpberekening!$A$2</f>
        <v>0</v>
      </c>
      <c r="S140" s="78">
        <f>(IF(Ontwerpberekening!E15="Bestaande Situatie",(_xlfn.IFNA(VLOOKUP(Referentie_Hernieuwbare_Energie_Totaal47[[#This Row],[Product]]&amp;", "&amp;Referentie_Hernieuwbare_Energie_Totaal47[[#Headers],[D2]],Database_Productkaarten[#All],48,FALSE),0)*Ontwerpberekening!J15),0))/Ontwerpberekening!$A$2</f>
        <v>0</v>
      </c>
      <c r="T140" s="57">
        <f>(IF(Ontwerpberekening!E15="Bestaande Situatie",(_xlfn.IFNA(VLOOKUP(Referentie_Hernieuwbare_Energie_Totaal47[[#This Row],[Product]]&amp;", "&amp;Referentie_Hernieuwbare_Energie_Totaal47[[#Headers],[D]],Database_Productkaarten[#All],48,FALSE),0)*Ontwerpberekening!J15),0))/Ontwerpberekening!$A$2</f>
        <v>-316.56529</v>
      </c>
      <c r="U140" s="56">
        <f>SUM(Referentie_Hernieuwbare_Energie_Totaal47[[#This Row],[A1-A3]:[C4]])+Referentie_Hernieuwbare_Energie_Totaal47[[#This Row],[D]]</f>
        <v>-150.684524342</v>
      </c>
    </row>
    <row r="141" spans="2:21">
      <c r="B141" s="51" t="str">
        <f>Ontwerpberekening!B16</f>
        <v>Plastic kratten</v>
      </c>
      <c r="C141" s="51" t="str">
        <f>Ontwerpberekening!C16</f>
        <v>Grondontgraving</v>
      </c>
      <c r="D141" s="76" t="str">
        <f>Ontwerpberekening!G16</f>
        <v>Ophoogmateriaal (Grond)</v>
      </c>
      <c r="E141" s="77">
        <f>(IF(Ontwerpberekening!E16="Nieuwe Situatie",(_xlfn.IFNA(VLOOKUP(Referentie_Hernieuwbare_Energie_Totaal47[[#This Row],[Product]]&amp;", "&amp;Referentie_Hernieuwbare_Energie_Totaal47[[#Headers],[A1]],Database_Productkaarten[#All],48,FALSE),0)*Ontwerpberekening!J16),0))/Ontwerpberekening!$A$2</f>
        <v>0</v>
      </c>
      <c r="F141" s="77">
        <f>(IF(Ontwerpberekening!E16="Nieuwe Situatie",(_xlfn.IFNA(VLOOKUP(Referentie_Hernieuwbare_Energie_Totaal47[[#This Row],[Product]]&amp;", "&amp;Referentie_Hernieuwbare_Energie_Totaal47[[#Headers],[A2]],Database_Productkaarten[#All],48,FALSE),0)*Ontwerpberekening!J16),0))/Ontwerpberekening!$A$2</f>
        <v>0</v>
      </c>
      <c r="G141" s="77">
        <f>(IF(Ontwerpberekening!E16="Nieuwe Situatie",(_xlfn.IFNA(VLOOKUP(Referentie_Hernieuwbare_Energie_Totaal47[[#This Row],[Product]]&amp;", "&amp;Referentie_Hernieuwbare_Energie_Totaal47[[#Headers],[A3]],Database_Productkaarten[#All],48,FALSE),0)*Ontwerpberekening!J16),0))/Ontwerpberekening!$A$2</f>
        <v>0</v>
      </c>
      <c r="H141" s="77">
        <f>(IF(Ontwerpberekening!E16="Nieuwe Situatie",(_xlfn.IFNA(VLOOKUP(Referentie_Hernieuwbare_Energie_Totaal47[[#This Row],[Product]]&amp;", "&amp;Referentie_Hernieuwbare_Energie_Totaal47[[#Headers],[A1-A3]],Database_Productkaarten[#All],48,FALSE),0)*Ontwerpberekening!J16),0))/Ontwerpberekening!$A$2</f>
        <v>0</v>
      </c>
      <c r="I141" s="77">
        <f>(IF(Ontwerpberekening!E16="Nieuwe Situatie",(_xlfn.IFNA(VLOOKUP(Referentie_Hernieuwbare_Energie_Totaal47[[#This Row],[Product]]&amp;", "&amp;Referentie_Hernieuwbare_Energie_Totaal47[[#Headers],[A4]],Database_Productkaarten[#All],48,FALSE),0)*Ontwerpberekening!R16),0))/Ontwerpberekening!$A$2</f>
        <v>0</v>
      </c>
      <c r="J141" s="77">
        <f>(IF(Ontwerpberekening!E16="Nieuwe Situatie",(_xlfn.IFNA(VLOOKUP(Referentie_Hernieuwbare_Energie_Totaal47[[#This Row],[Product]]&amp;", "&amp;Referentie_Hernieuwbare_Energie_Totaal47[[#Headers],[A5]],Database_Productkaarten[#All],48,FALSE),0)*Ontwerpberekening!J16),0))/Ontwerpberekening!$A$2</f>
        <v>0</v>
      </c>
      <c r="K141" s="77">
        <f>(IF(Ontwerpberekening!E16="Nieuwe Situatie",(_xlfn.IFNA(VLOOKUP(Referentie_Hernieuwbare_Energie_Totaal47[[#This Row],[Product]]&amp;", "&amp;Referentie_Hernieuwbare_Energie_Totaal47[[#Headers],[B1]],Database_Productkaarten[#All],48,FALSE),0)*Ontwerpberekening!J16),0))/Ontwerpberekening!$A$2</f>
        <v>0</v>
      </c>
      <c r="L141" s="77">
        <f>(IF(Ontwerpberekening!E16="Nieuwe Situatie",(_xlfn.IFNA(VLOOKUP(Referentie_Hernieuwbare_Energie_Totaal47[[#This Row],[Product]]&amp;", "&amp;Referentie_Hernieuwbare_Energie_Totaal47[[#Headers],[B3]],Database_Productkaarten[#All],48,FALSE),0)*Ontwerpberekening!J16),0))/Ontwerpberekening!$A$2</f>
        <v>0</v>
      </c>
      <c r="M141" s="77">
        <f>(IF(Ontwerpberekening!E16="Nieuwe Situatie",(SUM(Referentie_Hernieuwbare_Energie_Totaal47[[#This Row],[A1]:[B1]],Referentie_Hernieuwbare_Energie_Totaal47[[#This Row],[C1]:[D2]])*Ontwerpberekening!T16),0))/Ontwerpberekening!$A$2</f>
        <v>0</v>
      </c>
      <c r="N141" s="77">
        <f>(IF(Ontwerpberekening!E16="Bestaande Situatie",(_xlfn.IFNA(VLOOKUP(Referentie_Hernieuwbare_Energie_Totaal47[[#This Row],[Product]]&amp;", "&amp;Referentie_Hernieuwbare_Energie_Totaal47[[#Headers],[C1]],Database_Productkaarten[#All],48,FALSE),0)*Ontwerpberekening!J16),0))/Ontwerpberekening!$A$2</f>
        <v>0</v>
      </c>
      <c r="O141" s="77">
        <f>(IF(Ontwerpberekening!E16="Bestaande Situatie",(_xlfn.IFNA(VLOOKUP(Referentie_Hernieuwbare_Energie_Totaal47[[#This Row],[Product]]&amp;", "&amp;Referentie_Hernieuwbare_Energie_Totaal47[[#Headers],[C2]],Database_Productkaarten[#All],48,FALSE),0)*Ontwerpberekening!R16),0))/Ontwerpberekening!$A$2</f>
        <v>0</v>
      </c>
      <c r="P141" s="77">
        <f>(IF(Ontwerpberekening!E16="Bestaande Situatie",(_xlfn.IFNA(VLOOKUP(Referentie_Hernieuwbare_Energie_Totaal47[[#This Row],[Product]]&amp;", "&amp;Referentie_Hernieuwbare_Energie_Totaal47[[#Headers],[C3]],Database_Productkaarten[#All],48,FALSE),0)*Ontwerpberekening!J16),0))/Ontwerpberekening!$A$2</f>
        <v>0</v>
      </c>
      <c r="Q141" s="77">
        <f>(IF(Ontwerpberekening!E16="Bestaande Situatie",(_xlfn.IFNA(VLOOKUP(Referentie_Hernieuwbare_Energie_Totaal47[[#This Row],[Product]]&amp;", "&amp;Referentie_Hernieuwbare_Energie_Totaal47[[#Headers],[C4]],Database_Productkaarten[#All],48,FALSE),0)*Ontwerpberekening!J16),0))/Ontwerpberekening!$A$2</f>
        <v>10.584000000000001</v>
      </c>
      <c r="R141" s="77">
        <f>(IF(Ontwerpberekening!E16="Bestaande Situatie",(_xlfn.IFNA(VLOOKUP(Referentie_Hernieuwbare_Energie_Totaal47[[#This Row],[Product]]&amp;", "&amp;Referentie_Hernieuwbare_Energie_Totaal47[[#Headers],[D1]],Database_Productkaarten[#All],48,FALSE),0)*Ontwerpberekening!J16),0))/Ontwerpberekening!$A$2</f>
        <v>0</v>
      </c>
      <c r="S141" s="78">
        <f>(IF(Ontwerpberekening!E16="Bestaande Situatie",(_xlfn.IFNA(VLOOKUP(Referentie_Hernieuwbare_Energie_Totaal47[[#This Row],[Product]]&amp;", "&amp;Referentie_Hernieuwbare_Energie_Totaal47[[#Headers],[D2]],Database_Productkaarten[#All],48,FALSE),0)*Ontwerpberekening!J16),0))/Ontwerpberekening!$A$2</f>
        <v>0</v>
      </c>
      <c r="T141" s="57">
        <f>(IF(Ontwerpberekening!E16="Bestaande Situatie",(_xlfn.IFNA(VLOOKUP(Referentie_Hernieuwbare_Energie_Totaal47[[#This Row],[Product]]&amp;", "&amp;Referentie_Hernieuwbare_Energie_Totaal47[[#Headers],[D]],Database_Productkaarten[#All],48,FALSE),0)*Ontwerpberekening!J16),0))/Ontwerpberekening!$A$2</f>
        <v>0</v>
      </c>
      <c r="U141" s="56">
        <f>SUM(Referentie_Hernieuwbare_Energie_Totaal47[[#This Row],[A1-A3]:[C4]])+Referentie_Hernieuwbare_Energie_Totaal47[[#This Row],[D]]</f>
        <v>10.584000000000001</v>
      </c>
    </row>
    <row r="142" spans="2:21">
      <c r="B142" s="51" t="str">
        <f>Ontwerpberekening!B17</f>
        <v>Plastic kratten</v>
      </c>
      <c r="C142" s="51" t="str">
        <f>Ontwerpberekening!C17</f>
        <v>Grondverbetering</v>
      </c>
      <c r="D142" s="76" t="str">
        <f>Ontwerpberekening!G17</f>
        <v>Ophoogmateriaal (Zand)</v>
      </c>
      <c r="E142" s="77">
        <f>(IF(Ontwerpberekening!E17="Nieuwe Situatie",(_xlfn.IFNA(VLOOKUP(Referentie_Hernieuwbare_Energie_Totaal47[[#This Row],[Product]]&amp;", "&amp;Referentie_Hernieuwbare_Energie_Totaal47[[#Headers],[A1]],Database_Productkaarten[#All],48,FALSE),0)*Ontwerpberekening!J17),0))/Ontwerpberekening!$A$2</f>
        <v>0</v>
      </c>
      <c r="F142" s="77">
        <f>(IF(Ontwerpberekening!E17="Nieuwe Situatie",(_xlfn.IFNA(VLOOKUP(Referentie_Hernieuwbare_Energie_Totaal47[[#This Row],[Product]]&amp;", "&amp;Referentie_Hernieuwbare_Energie_Totaal47[[#Headers],[A2]],Database_Productkaarten[#All],48,FALSE),0)*Ontwerpberekening!J17),0))/Ontwerpberekening!$A$2</f>
        <v>0</v>
      </c>
      <c r="G142" s="77">
        <f>(IF(Ontwerpberekening!E17="Nieuwe Situatie",(_xlfn.IFNA(VLOOKUP(Referentie_Hernieuwbare_Energie_Totaal47[[#This Row],[Product]]&amp;", "&amp;Referentie_Hernieuwbare_Energie_Totaal47[[#Headers],[A3]],Database_Productkaarten[#All],48,FALSE),0)*Ontwerpberekening!J17),0))/Ontwerpberekening!$A$2</f>
        <v>0</v>
      </c>
      <c r="H142" s="77">
        <f>(IF(Ontwerpberekening!E17="Nieuwe Situatie",(_xlfn.IFNA(VLOOKUP(Referentie_Hernieuwbare_Energie_Totaal47[[#This Row],[Product]]&amp;", "&amp;Referentie_Hernieuwbare_Energie_Totaal47[[#Headers],[A1-A3]],Database_Productkaarten[#All],48,FALSE),0)*Ontwerpberekening!J17),0))/Ontwerpberekening!$A$2</f>
        <v>212.25</v>
      </c>
      <c r="I142" s="77">
        <f>(IF(Ontwerpberekening!E17="Nieuwe Situatie",(_xlfn.IFNA(VLOOKUP(Referentie_Hernieuwbare_Energie_Totaal47[[#This Row],[Product]]&amp;", "&amp;Referentie_Hernieuwbare_Energie_Totaal47[[#Headers],[A4]],Database_Productkaarten[#All],48,FALSE),0)*Ontwerpberekening!R17),0))/Ontwerpberekening!$A$2</f>
        <v>0</v>
      </c>
      <c r="J142" s="77">
        <f>(IF(Ontwerpberekening!E17="Nieuwe Situatie",(_xlfn.IFNA(VLOOKUP(Referentie_Hernieuwbare_Energie_Totaal47[[#This Row],[Product]]&amp;", "&amp;Referentie_Hernieuwbare_Energie_Totaal47[[#Headers],[A5]],Database_Productkaarten[#All],48,FALSE),0)*Ontwerpberekening!J17),0))/Ontwerpberekening!$A$2</f>
        <v>0</v>
      </c>
      <c r="K142" s="77">
        <f>(IF(Ontwerpberekening!E17="Nieuwe Situatie",(_xlfn.IFNA(VLOOKUP(Referentie_Hernieuwbare_Energie_Totaal47[[#This Row],[Product]]&amp;", "&amp;Referentie_Hernieuwbare_Energie_Totaal47[[#Headers],[B1]],Database_Productkaarten[#All],48,FALSE),0)*Ontwerpberekening!J17),0))/Ontwerpberekening!$A$2</f>
        <v>0</v>
      </c>
      <c r="L142" s="77">
        <f>(IF(Ontwerpberekening!E17="Nieuwe Situatie",(_xlfn.IFNA(VLOOKUP(Referentie_Hernieuwbare_Energie_Totaal47[[#This Row],[Product]]&amp;", "&amp;Referentie_Hernieuwbare_Energie_Totaal47[[#Headers],[B3]],Database_Productkaarten[#All],48,FALSE),0)*Ontwerpberekening!J17),0))/Ontwerpberekening!$A$2</f>
        <v>0</v>
      </c>
      <c r="M142" s="77">
        <f>(IF(Ontwerpberekening!E17="Nieuwe Situatie",(SUM(Referentie_Hernieuwbare_Energie_Totaal47[[#This Row],[A1]:[B1]],Referentie_Hernieuwbare_Energie_Totaal47[[#This Row],[C1]:[D2]])*Ontwerpberekening!T17),0))/Ontwerpberekening!$A$2</f>
        <v>0</v>
      </c>
      <c r="N142" s="77">
        <f>(IF(Ontwerpberekening!E17="Bestaande Situatie",(_xlfn.IFNA(VLOOKUP(Referentie_Hernieuwbare_Energie_Totaal47[[#This Row],[Product]]&amp;", "&amp;Referentie_Hernieuwbare_Energie_Totaal47[[#Headers],[C1]],Database_Productkaarten[#All],48,FALSE),0)*Ontwerpberekening!J17),0))/Ontwerpberekening!$A$2</f>
        <v>0</v>
      </c>
      <c r="O142" s="77">
        <f>(IF(Ontwerpberekening!E17="Bestaande Situatie",(_xlfn.IFNA(VLOOKUP(Referentie_Hernieuwbare_Energie_Totaal47[[#This Row],[Product]]&amp;", "&amp;Referentie_Hernieuwbare_Energie_Totaal47[[#Headers],[C2]],Database_Productkaarten[#All],48,FALSE),0)*Ontwerpberekening!R17),0))/Ontwerpberekening!$A$2</f>
        <v>0</v>
      </c>
      <c r="P142" s="77">
        <f>(IF(Ontwerpberekening!E17="Bestaande Situatie",(_xlfn.IFNA(VLOOKUP(Referentie_Hernieuwbare_Energie_Totaal47[[#This Row],[Product]]&amp;", "&amp;Referentie_Hernieuwbare_Energie_Totaal47[[#Headers],[C3]],Database_Productkaarten[#All],48,FALSE),0)*Ontwerpberekening!J17),0))/Ontwerpberekening!$A$2</f>
        <v>0</v>
      </c>
      <c r="Q142" s="77">
        <f>(IF(Ontwerpberekening!E17="Bestaande Situatie",(_xlfn.IFNA(VLOOKUP(Referentie_Hernieuwbare_Energie_Totaal47[[#This Row],[Product]]&amp;", "&amp;Referentie_Hernieuwbare_Energie_Totaal47[[#Headers],[C4]],Database_Productkaarten[#All],48,FALSE),0)*Ontwerpberekening!J17),0))/Ontwerpberekening!$A$2</f>
        <v>0</v>
      </c>
      <c r="R142" s="77">
        <f>(IF(Ontwerpberekening!E17="Bestaande Situatie",(_xlfn.IFNA(VLOOKUP(Referentie_Hernieuwbare_Energie_Totaal47[[#This Row],[Product]]&amp;", "&amp;Referentie_Hernieuwbare_Energie_Totaal47[[#Headers],[D1]],Database_Productkaarten[#All],48,FALSE),0)*Ontwerpberekening!J17),0))/Ontwerpberekening!$A$2</f>
        <v>0</v>
      </c>
      <c r="S142" s="78">
        <f>(IF(Ontwerpberekening!E17="Bestaande Situatie",(_xlfn.IFNA(VLOOKUP(Referentie_Hernieuwbare_Energie_Totaal47[[#This Row],[Product]]&amp;", "&amp;Referentie_Hernieuwbare_Energie_Totaal47[[#Headers],[D2]],Database_Productkaarten[#All],48,FALSE),0)*Ontwerpberekening!J17),0))/Ontwerpberekening!$A$2</f>
        <v>0</v>
      </c>
      <c r="T142" s="57">
        <f>(IF(Ontwerpberekening!E17="Bestaande Situatie",(_xlfn.IFNA(VLOOKUP(Referentie_Hernieuwbare_Energie_Totaal47[[#This Row],[Product]]&amp;", "&amp;Referentie_Hernieuwbare_Energie_Totaal47[[#Headers],[D]],Database_Productkaarten[#All],48,FALSE),0)*Ontwerpberekening!J17),0))/Ontwerpberekening!$A$2</f>
        <v>0</v>
      </c>
      <c r="U142" s="56">
        <f>SUM(Referentie_Hernieuwbare_Energie_Totaal47[[#This Row],[A1-A3]:[C4]])+Referentie_Hernieuwbare_Energie_Totaal47[[#This Row],[D]]</f>
        <v>212.25</v>
      </c>
    </row>
    <row r="143" spans="2:21">
      <c r="B143" s="51" t="str">
        <f>Ontwerpberekening!B18</f>
        <v>Plastic kratten</v>
      </c>
      <c r="C143" s="51" t="str">
        <f>Ontwerpberekening!C18</f>
        <v>Waterbergendelaag</v>
      </c>
      <c r="D143" s="76" t="str">
        <f>Ontwerpberekening!G18</f>
        <v>Kunststof Inflitratiekrat</v>
      </c>
      <c r="E143" s="77">
        <f>(IF(Ontwerpberekening!E18="Nieuwe Situatie",(_xlfn.IFNA(VLOOKUP(Referentie_Hernieuwbare_Energie_Totaal47[[#This Row],[Product]]&amp;", "&amp;Referentie_Hernieuwbare_Energie_Totaal47[[#Headers],[A1]],Database_Productkaarten[#All],48,FALSE),0)*Ontwerpberekening!J18),0))/Ontwerpberekening!$A$2</f>
        <v>0</v>
      </c>
      <c r="F143" s="77">
        <f>(IF(Ontwerpberekening!E18="Nieuwe Situatie",(_xlfn.IFNA(VLOOKUP(Referentie_Hernieuwbare_Energie_Totaal47[[#This Row],[Product]]&amp;", "&amp;Referentie_Hernieuwbare_Energie_Totaal47[[#Headers],[A2]],Database_Productkaarten[#All],48,FALSE),0)*Ontwerpberekening!J18),0))/Ontwerpberekening!$A$2</f>
        <v>0</v>
      </c>
      <c r="G143" s="77">
        <f>(IF(Ontwerpberekening!E18="Nieuwe Situatie",(_xlfn.IFNA(VLOOKUP(Referentie_Hernieuwbare_Energie_Totaal47[[#This Row],[Product]]&amp;", "&amp;Referentie_Hernieuwbare_Energie_Totaal47[[#Headers],[A3]],Database_Productkaarten[#All],48,FALSE),0)*Ontwerpberekening!J18),0))/Ontwerpberekening!$A$2</f>
        <v>0</v>
      </c>
      <c r="H143" s="77">
        <f>(IF(Ontwerpberekening!E18="Nieuwe Situatie",(_xlfn.IFNA(VLOOKUP(Referentie_Hernieuwbare_Energie_Totaal47[[#This Row],[Product]]&amp;", "&amp;Referentie_Hernieuwbare_Energie_Totaal47[[#Headers],[A1-A3]],Database_Productkaarten[#All],48,FALSE),0)*Ontwerpberekening!J18),0))/Ontwerpberekening!$A$2</f>
        <v>24500</v>
      </c>
      <c r="I143" s="77">
        <f>(IF(Ontwerpberekening!E18="Nieuwe Situatie",(_xlfn.IFNA(VLOOKUP(Referentie_Hernieuwbare_Energie_Totaal47[[#This Row],[Product]]&amp;", "&amp;Referentie_Hernieuwbare_Energie_Totaal47[[#Headers],[A4]],Database_Productkaarten[#All],48,FALSE),0)*Ontwerpberekening!R18),0))/Ontwerpberekening!$A$2</f>
        <v>0.378</v>
      </c>
      <c r="J143" s="77">
        <f>(IF(Ontwerpberekening!E18="Nieuwe Situatie",(_xlfn.IFNA(VLOOKUP(Referentie_Hernieuwbare_Energie_Totaal47[[#This Row],[Product]]&amp;", "&amp;Referentie_Hernieuwbare_Energie_Totaal47[[#Headers],[A5]],Database_Productkaarten[#All],48,FALSE),0)*Ontwerpberekening!J18),0))/Ontwerpberekening!$A$2</f>
        <v>900</v>
      </c>
      <c r="K143" s="77">
        <f>(IF(Ontwerpberekening!E18="Nieuwe Situatie",(_xlfn.IFNA(VLOOKUP(Referentie_Hernieuwbare_Energie_Totaal47[[#This Row],[Product]]&amp;", "&amp;Referentie_Hernieuwbare_Energie_Totaal47[[#Headers],[B1]],Database_Productkaarten[#All],48,FALSE),0)*Ontwerpberekening!J18),0))/Ontwerpberekening!$A$2</f>
        <v>0</v>
      </c>
      <c r="L143" s="77">
        <f>(IF(Ontwerpberekening!E18="Nieuwe Situatie",(_xlfn.IFNA(VLOOKUP(Referentie_Hernieuwbare_Energie_Totaal47[[#This Row],[Product]]&amp;", "&amp;Referentie_Hernieuwbare_Energie_Totaal47[[#Headers],[B3]],Database_Productkaarten[#All],48,FALSE),0)*Ontwerpberekening!J18),0))/Ontwerpberekening!$A$2</f>
        <v>0</v>
      </c>
      <c r="M143" s="77">
        <f>(IF(Ontwerpberekening!E18="Nieuwe Situatie",(SUM(Referentie_Hernieuwbare_Energie_Totaal47[[#This Row],[A1]:[B1]],Referentie_Hernieuwbare_Energie_Totaal47[[#This Row],[C1]:[D2]])*Ontwerpberekening!T18),0))/Ontwerpberekening!$A$2</f>
        <v>0</v>
      </c>
      <c r="N143" s="77">
        <f>(IF(Ontwerpberekening!E18="Bestaande Situatie",(_xlfn.IFNA(VLOOKUP(Referentie_Hernieuwbare_Energie_Totaal47[[#This Row],[Product]]&amp;", "&amp;Referentie_Hernieuwbare_Energie_Totaal47[[#Headers],[C1]],Database_Productkaarten[#All],48,FALSE),0)*Ontwerpberekening!J18),0))/Ontwerpberekening!$A$2</f>
        <v>0</v>
      </c>
      <c r="O143" s="77">
        <f>(IF(Ontwerpberekening!E18="Bestaande Situatie",(_xlfn.IFNA(VLOOKUP(Referentie_Hernieuwbare_Energie_Totaal47[[#This Row],[Product]]&amp;", "&amp;Referentie_Hernieuwbare_Energie_Totaal47[[#Headers],[C2]],Database_Productkaarten[#All],48,FALSE),0)*Ontwerpberekening!R18),0))/Ontwerpberekening!$A$2</f>
        <v>0</v>
      </c>
      <c r="P143" s="77">
        <f>(IF(Ontwerpberekening!E18="Bestaande Situatie",(_xlfn.IFNA(VLOOKUP(Referentie_Hernieuwbare_Energie_Totaal47[[#This Row],[Product]]&amp;", "&amp;Referentie_Hernieuwbare_Energie_Totaal47[[#Headers],[C3]],Database_Productkaarten[#All],48,FALSE),0)*Ontwerpberekening!J18),0))/Ontwerpberekening!$A$2</f>
        <v>0</v>
      </c>
      <c r="Q143" s="77">
        <f>(IF(Ontwerpberekening!E18="Bestaande Situatie",(_xlfn.IFNA(VLOOKUP(Referentie_Hernieuwbare_Energie_Totaal47[[#This Row],[Product]]&amp;", "&amp;Referentie_Hernieuwbare_Energie_Totaal47[[#Headers],[C4]],Database_Productkaarten[#All],48,FALSE),0)*Ontwerpberekening!J18),0))/Ontwerpberekening!$A$2</f>
        <v>0</v>
      </c>
      <c r="R143" s="77">
        <f>(IF(Ontwerpberekening!E18="Bestaande Situatie",(_xlfn.IFNA(VLOOKUP(Referentie_Hernieuwbare_Energie_Totaal47[[#This Row],[Product]]&amp;", "&amp;Referentie_Hernieuwbare_Energie_Totaal47[[#Headers],[D1]],Database_Productkaarten[#All],48,FALSE),0)*Ontwerpberekening!J18),0))/Ontwerpberekening!$A$2</f>
        <v>0</v>
      </c>
      <c r="S143" s="78">
        <f>(IF(Ontwerpberekening!E18="Bestaande Situatie",(_xlfn.IFNA(VLOOKUP(Referentie_Hernieuwbare_Energie_Totaal47[[#This Row],[Product]]&amp;", "&amp;Referentie_Hernieuwbare_Energie_Totaal47[[#Headers],[D2]],Database_Productkaarten[#All],48,FALSE),0)*Ontwerpberekening!J18),0))/Ontwerpberekening!$A$2</f>
        <v>0</v>
      </c>
      <c r="T143" s="57">
        <f>(IF(Ontwerpberekening!E18="Bestaande Situatie",(_xlfn.IFNA(VLOOKUP(Referentie_Hernieuwbare_Energie_Totaal47[[#This Row],[Product]]&amp;", "&amp;Referentie_Hernieuwbare_Energie_Totaal47[[#Headers],[D]],Database_Productkaarten[#All],48,FALSE),0)*Ontwerpberekening!J18),0))/Ontwerpberekening!$A$2</f>
        <v>0</v>
      </c>
      <c r="U143" s="56">
        <f>SUM(Referentie_Hernieuwbare_Energie_Totaal47[[#This Row],[A1-A3]:[C4]])+Referentie_Hernieuwbare_Energie_Totaal47[[#This Row],[D]]</f>
        <v>25400.378000000001</v>
      </c>
    </row>
    <row r="144" spans="2:21">
      <c r="B144" s="51" t="str">
        <f>Ontwerpberekening!B19</f>
        <v>Plastic kratten</v>
      </c>
      <c r="C144" s="51" t="str">
        <f>Ontwerpberekening!C19</f>
        <v>Menggranulaat</v>
      </c>
      <c r="D144" s="76" t="str">
        <f>Ontwerpberekening!G19</f>
        <v>Menggranulaat 300mm</v>
      </c>
      <c r="E144" s="77">
        <f>(IF(Ontwerpberekening!E19="Nieuwe Situatie",(_xlfn.IFNA(VLOOKUP(Referentie_Hernieuwbare_Energie_Totaal47[[#This Row],[Product]]&amp;", "&amp;Referentie_Hernieuwbare_Energie_Totaal47[[#Headers],[A1]],Database_Productkaarten[#All],48,FALSE),0)*Ontwerpberekening!J19),0))/Ontwerpberekening!$A$2</f>
        <v>0</v>
      </c>
      <c r="F144" s="77">
        <f>(IF(Ontwerpberekening!E19="Nieuwe Situatie",(_xlfn.IFNA(VLOOKUP(Referentie_Hernieuwbare_Energie_Totaal47[[#This Row],[Product]]&amp;", "&amp;Referentie_Hernieuwbare_Energie_Totaal47[[#Headers],[A2]],Database_Productkaarten[#All],48,FALSE),0)*Ontwerpberekening!J19),0))/Ontwerpberekening!$A$2</f>
        <v>0</v>
      </c>
      <c r="G144" s="77">
        <f>(IF(Ontwerpberekening!E19="Nieuwe Situatie",(_xlfn.IFNA(VLOOKUP(Referentie_Hernieuwbare_Energie_Totaal47[[#This Row],[Product]]&amp;", "&amp;Referentie_Hernieuwbare_Energie_Totaal47[[#Headers],[A3]],Database_Productkaarten[#All],48,FALSE),0)*Ontwerpberekening!J19),0))/Ontwerpberekening!$A$2</f>
        <v>0</v>
      </c>
      <c r="H144" s="77">
        <f>(IF(Ontwerpberekening!E19="Nieuwe Situatie",(_xlfn.IFNA(VLOOKUP(Referentie_Hernieuwbare_Energie_Totaal47[[#This Row],[Product]]&amp;", "&amp;Referentie_Hernieuwbare_Energie_Totaal47[[#Headers],[A1-A3]],Database_Productkaarten[#All],48,FALSE),0)*Ontwerpberekening!J19),0))/Ontwerpberekening!$A$2</f>
        <v>0</v>
      </c>
      <c r="I144" s="77">
        <f>(IF(Ontwerpberekening!E19="Nieuwe Situatie",(_xlfn.IFNA(VLOOKUP(Referentie_Hernieuwbare_Energie_Totaal47[[#This Row],[Product]]&amp;", "&amp;Referentie_Hernieuwbare_Energie_Totaal47[[#Headers],[A4]],Database_Productkaarten[#All],48,FALSE),0)*Ontwerpberekening!R19),0))/Ontwerpberekening!$A$2</f>
        <v>195.39000000000001</v>
      </c>
      <c r="J144" s="77">
        <f>(IF(Ontwerpberekening!E19="Nieuwe Situatie",(_xlfn.IFNA(VLOOKUP(Referentie_Hernieuwbare_Energie_Totaal47[[#This Row],[Product]]&amp;", "&amp;Referentie_Hernieuwbare_Energie_Totaal47[[#Headers],[A5]],Database_Productkaarten[#All],48,FALSE),0)*Ontwerpberekening!J19),0))/Ontwerpberekening!$A$2</f>
        <v>113</v>
      </c>
      <c r="K144" s="77">
        <f>(IF(Ontwerpberekening!E19="Nieuwe Situatie",(_xlfn.IFNA(VLOOKUP(Referentie_Hernieuwbare_Energie_Totaal47[[#This Row],[Product]]&amp;", "&amp;Referentie_Hernieuwbare_Energie_Totaal47[[#Headers],[B1]],Database_Productkaarten[#All],48,FALSE),0)*Ontwerpberekening!J19),0))/Ontwerpberekening!$A$2</f>
        <v>0</v>
      </c>
      <c r="L144" s="77">
        <f>(IF(Ontwerpberekening!E19="Nieuwe Situatie",(_xlfn.IFNA(VLOOKUP(Referentie_Hernieuwbare_Energie_Totaal47[[#This Row],[Product]]&amp;", "&amp;Referentie_Hernieuwbare_Energie_Totaal47[[#Headers],[B3]],Database_Productkaarten[#All],48,FALSE),0)*Ontwerpberekening!J19),0))/Ontwerpberekening!$A$2</f>
        <v>0</v>
      </c>
      <c r="M144" s="77">
        <f>(IF(Ontwerpberekening!E19="Nieuwe Situatie",(SUM(Referentie_Hernieuwbare_Energie_Totaal47[[#This Row],[A1]:[B1]],Referentie_Hernieuwbare_Energie_Totaal47[[#This Row],[C1]:[D2]])*Ontwerpberekening!T19),0))/Ontwerpberekening!$A$2</f>
        <v>0</v>
      </c>
      <c r="N144" s="77">
        <f>(IF(Ontwerpberekening!E19="Bestaande Situatie",(_xlfn.IFNA(VLOOKUP(Referentie_Hernieuwbare_Energie_Totaal47[[#This Row],[Product]]&amp;", "&amp;Referentie_Hernieuwbare_Energie_Totaal47[[#Headers],[C1]],Database_Productkaarten[#All],48,FALSE),0)*Ontwerpberekening!J19),0))/Ontwerpberekening!$A$2</f>
        <v>0</v>
      </c>
      <c r="O144" s="77">
        <f>(IF(Ontwerpberekening!E19="Bestaande Situatie",(_xlfn.IFNA(VLOOKUP(Referentie_Hernieuwbare_Energie_Totaal47[[#This Row],[Product]]&amp;", "&amp;Referentie_Hernieuwbare_Energie_Totaal47[[#Headers],[C2]],Database_Productkaarten[#All],48,FALSE),0)*Ontwerpberekening!R19),0))/Ontwerpberekening!$A$2</f>
        <v>0</v>
      </c>
      <c r="P144" s="77">
        <f>(IF(Ontwerpberekening!E19="Bestaande Situatie",(_xlfn.IFNA(VLOOKUP(Referentie_Hernieuwbare_Energie_Totaal47[[#This Row],[Product]]&amp;", "&amp;Referentie_Hernieuwbare_Energie_Totaal47[[#Headers],[C3]],Database_Productkaarten[#All],48,FALSE),0)*Ontwerpberekening!J19),0))/Ontwerpberekening!$A$2</f>
        <v>0</v>
      </c>
      <c r="Q144" s="77">
        <f>(IF(Ontwerpberekening!E19="Bestaande Situatie",(_xlfn.IFNA(VLOOKUP(Referentie_Hernieuwbare_Energie_Totaal47[[#This Row],[Product]]&amp;", "&amp;Referentie_Hernieuwbare_Energie_Totaal47[[#Headers],[C4]],Database_Productkaarten[#All],48,FALSE),0)*Ontwerpberekening!J19),0))/Ontwerpberekening!$A$2</f>
        <v>0</v>
      </c>
      <c r="R144" s="77">
        <f>(IF(Ontwerpberekening!E19="Bestaande Situatie",(_xlfn.IFNA(VLOOKUP(Referentie_Hernieuwbare_Energie_Totaal47[[#This Row],[Product]]&amp;", "&amp;Referentie_Hernieuwbare_Energie_Totaal47[[#Headers],[D1]],Database_Productkaarten[#All],48,FALSE),0)*Ontwerpberekening!J19),0))/Ontwerpberekening!$A$2</f>
        <v>0</v>
      </c>
      <c r="S144" s="78">
        <f>(IF(Ontwerpberekening!E19="Bestaande Situatie",(_xlfn.IFNA(VLOOKUP(Referentie_Hernieuwbare_Energie_Totaal47[[#This Row],[Product]]&amp;", "&amp;Referentie_Hernieuwbare_Energie_Totaal47[[#Headers],[D2]],Database_Productkaarten[#All],48,FALSE),0)*Ontwerpberekening!J19),0))/Ontwerpberekening!$A$2</f>
        <v>0</v>
      </c>
      <c r="T144" s="57">
        <f>(IF(Ontwerpberekening!E19="Bestaande Situatie",(_xlfn.IFNA(VLOOKUP(Referentie_Hernieuwbare_Energie_Totaal47[[#This Row],[Product]]&amp;", "&amp;Referentie_Hernieuwbare_Energie_Totaal47[[#Headers],[D]],Database_Productkaarten[#All],48,FALSE),0)*Ontwerpberekening!J19),0))/Ontwerpberekening!$A$2</f>
        <v>0</v>
      </c>
      <c r="U144" s="56">
        <f>SUM(Referentie_Hernieuwbare_Energie_Totaal47[[#This Row],[A1-A3]:[C4]])+Referentie_Hernieuwbare_Energie_Totaal47[[#This Row],[D]]</f>
        <v>308.39</v>
      </c>
    </row>
    <row r="145" spans="2:21">
      <c r="B145" s="51" t="str">
        <f>Ontwerpberekening!B20</f>
        <v>Plastic kratten</v>
      </c>
      <c r="C145" s="51" t="str">
        <f>Ontwerpberekening!C20</f>
        <v>Straatlaag</v>
      </c>
      <c r="D145" s="76" t="str">
        <f>Ontwerpberekening!G20</f>
        <v>Ophoogmateriaal (Zand)</v>
      </c>
      <c r="E145" s="77">
        <f>(IF(Ontwerpberekening!E20="Nieuwe Situatie",(_xlfn.IFNA(VLOOKUP(Referentie_Hernieuwbare_Energie_Totaal47[[#This Row],[Product]]&amp;", "&amp;Referentie_Hernieuwbare_Energie_Totaal47[[#Headers],[A1]],Database_Productkaarten[#All],48,FALSE),0)*Ontwerpberekening!J20),0))/Ontwerpberekening!$A$2</f>
        <v>0</v>
      </c>
      <c r="F145" s="77">
        <f>(IF(Ontwerpberekening!E20="Nieuwe Situatie",(_xlfn.IFNA(VLOOKUP(Referentie_Hernieuwbare_Energie_Totaal47[[#This Row],[Product]]&amp;", "&amp;Referentie_Hernieuwbare_Energie_Totaal47[[#Headers],[A2]],Database_Productkaarten[#All],48,FALSE),0)*Ontwerpberekening!J20),0))/Ontwerpberekening!$A$2</f>
        <v>0</v>
      </c>
      <c r="G145" s="77">
        <f>(IF(Ontwerpberekening!E20="Nieuwe Situatie",(_xlfn.IFNA(VLOOKUP(Referentie_Hernieuwbare_Energie_Totaal47[[#This Row],[Product]]&amp;", "&amp;Referentie_Hernieuwbare_Energie_Totaal47[[#Headers],[A3]],Database_Productkaarten[#All],48,FALSE),0)*Ontwerpberekening!J20),0))/Ontwerpberekening!$A$2</f>
        <v>0</v>
      </c>
      <c r="H145" s="77">
        <f>(IF(Ontwerpberekening!E20="Nieuwe Situatie",(_xlfn.IFNA(VLOOKUP(Referentie_Hernieuwbare_Energie_Totaal47[[#This Row],[Product]]&amp;", "&amp;Referentie_Hernieuwbare_Energie_Totaal47[[#Headers],[A1-A3]],Database_Productkaarten[#All],48,FALSE),0)*Ontwerpberekening!J20),0))/Ontwerpberekening!$A$2</f>
        <v>212.25</v>
      </c>
      <c r="I145" s="77">
        <f>(IF(Ontwerpberekening!E20="Nieuwe Situatie",(_xlfn.IFNA(VLOOKUP(Referentie_Hernieuwbare_Energie_Totaal47[[#This Row],[Product]]&amp;", "&amp;Referentie_Hernieuwbare_Energie_Totaal47[[#Headers],[A4]],Database_Productkaarten[#All],48,FALSE),0)*Ontwerpberekening!R20),0))/Ontwerpberekening!$A$2</f>
        <v>0</v>
      </c>
      <c r="J145" s="77">
        <f>(IF(Ontwerpberekening!E20="Nieuwe Situatie",(_xlfn.IFNA(VLOOKUP(Referentie_Hernieuwbare_Energie_Totaal47[[#This Row],[Product]]&amp;", "&amp;Referentie_Hernieuwbare_Energie_Totaal47[[#Headers],[A5]],Database_Productkaarten[#All],48,FALSE),0)*Ontwerpberekening!J20),0))/Ontwerpberekening!$A$2</f>
        <v>0</v>
      </c>
      <c r="K145" s="77">
        <f>(IF(Ontwerpberekening!E20="Nieuwe Situatie",(_xlfn.IFNA(VLOOKUP(Referentie_Hernieuwbare_Energie_Totaal47[[#This Row],[Product]]&amp;", "&amp;Referentie_Hernieuwbare_Energie_Totaal47[[#Headers],[B1]],Database_Productkaarten[#All],48,FALSE),0)*Ontwerpberekening!J20),0))/Ontwerpberekening!$A$2</f>
        <v>0</v>
      </c>
      <c r="L145" s="77">
        <f>(IF(Ontwerpberekening!E20="Nieuwe Situatie",(_xlfn.IFNA(VLOOKUP(Referentie_Hernieuwbare_Energie_Totaal47[[#This Row],[Product]]&amp;", "&amp;Referentie_Hernieuwbare_Energie_Totaal47[[#Headers],[B3]],Database_Productkaarten[#All],48,FALSE),0)*Ontwerpberekening!J20),0))/Ontwerpberekening!$A$2</f>
        <v>0</v>
      </c>
      <c r="M145" s="77">
        <f>(IF(Ontwerpberekening!E20="Nieuwe Situatie",(SUM(Referentie_Hernieuwbare_Energie_Totaal47[[#This Row],[A1]:[B1]],Referentie_Hernieuwbare_Energie_Totaal47[[#This Row],[C1]:[D2]])*Ontwerpberekening!T20),0))/Ontwerpberekening!$A$2</f>
        <v>0</v>
      </c>
      <c r="N145" s="77">
        <f>(IF(Ontwerpberekening!E20="Bestaande Situatie",(_xlfn.IFNA(VLOOKUP(Referentie_Hernieuwbare_Energie_Totaal47[[#This Row],[Product]]&amp;", "&amp;Referentie_Hernieuwbare_Energie_Totaal47[[#Headers],[C1]],Database_Productkaarten[#All],48,FALSE),0)*Ontwerpberekening!J20),0))/Ontwerpberekening!$A$2</f>
        <v>0</v>
      </c>
      <c r="O145" s="77">
        <f>(IF(Ontwerpberekening!E20="Bestaande Situatie",(_xlfn.IFNA(VLOOKUP(Referentie_Hernieuwbare_Energie_Totaal47[[#This Row],[Product]]&amp;", "&amp;Referentie_Hernieuwbare_Energie_Totaal47[[#Headers],[C2]],Database_Productkaarten[#All],48,FALSE),0)*Ontwerpberekening!R20),0))/Ontwerpberekening!$A$2</f>
        <v>0</v>
      </c>
      <c r="P145" s="77">
        <f>(IF(Ontwerpberekening!E20="Bestaande Situatie",(_xlfn.IFNA(VLOOKUP(Referentie_Hernieuwbare_Energie_Totaal47[[#This Row],[Product]]&amp;", "&amp;Referentie_Hernieuwbare_Energie_Totaal47[[#Headers],[C3]],Database_Productkaarten[#All],48,FALSE),0)*Ontwerpberekening!J20),0))/Ontwerpberekening!$A$2</f>
        <v>0</v>
      </c>
      <c r="Q145" s="77">
        <f>(IF(Ontwerpberekening!E20="Bestaande Situatie",(_xlfn.IFNA(VLOOKUP(Referentie_Hernieuwbare_Energie_Totaal47[[#This Row],[Product]]&amp;", "&amp;Referentie_Hernieuwbare_Energie_Totaal47[[#Headers],[C4]],Database_Productkaarten[#All],48,FALSE),0)*Ontwerpberekening!J20),0))/Ontwerpberekening!$A$2</f>
        <v>0</v>
      </c>
      <c r="R145" s="77">
        <f>(IF(Ontwerpberekening!E20="Bestaande Situatie",(_xlfn.IFNA(VLOOKUP(Referentie_Hernieuwbare_Energie_Totaal47[[#This Row],[Product]]&amp;", "&amp;Referentie_Hernieuwbare_Energie_Totaal47[[#Headers],[D1]],Database_Productkaarten[#All],48,FALSE),0)*Ontwerpberekening!J20),0))/Ontwerpberekening!$A$2</f>
        <v>0</v>
      </c>
      <c r="S145" s="78">
        <f>(IF(Ontwerpberekening!E20="Bestaande Situatie",(_xlfn.IFNA(VLOOKUP(Referentie_Hernieuwbare_Energie_Totaal47[[#This Row],[Product]]&amp;", "&amp;Referentie_Hernieuwbare_Energie_Totaal47[[#Headers],[D2]],Database_Productkaarten[#All],48,FALSE),0)*Ontwerpberekening!J20),0))/Ontwerpberekening!$A$2</f>
        <v>0</v>
      </c>
      <c r="T145" s="57">
        <f>(IF(Ontwerpberekening!E20="Bestaande Situatie",(_xlfn.IFNA(VLOOKUP(Referentie_Hernieuwbare_Energie_Totaal47[[#This Row],[Product]]&amp;", "&amp;Referentie_Hernieuwbare_Energie_Totaal47[[#Headers],[D]],Database_Productkaarten[#All],48,FALSE),0)*Ontwerpberekening!J20),0))/Ontwerpberekening!$A$2</f>
        <v>0</v>
      </c>
      <c r="U145" s="56">
        <f>SUM(Referentie_Hernieuwbare_Energie_Totaal47[[#This Row],[A1-A3]:[C4]])+Referentie_Hernieuwbare_Energie_Totaal47[[#This Row],[D]]</f>
        <v>212.25</v>
      </c>
    </row>
    <row r="146" spans="2:21">
      <c r="B146" s="51" t="str">
        <f>Ontwerpberekening!B21</f>
        <v>Plastic kratten</v>
      </c>
      <c r="C146" s="51" t="str">
        <f>Ontwerpberekening!C21</f>
        <v>Toplaag</v>
      </c>
      <c r="D146" s="76" t="str">
        <f>Ontwerpberekening!G21</f>
        <v>Betonstraatsteen 210x105x80</v>
      </c>
      <c r="E146" s="77">
        <f>(IF(Ontwerpberekening!E21="Nieuwe Situatie",(_xlfn.IFNA(VLOOKUP(Referentie_Hernieuwbare_Energie_Totaal47[[#This Row],[Product]]&amp;", "&amp;Referentie_Hernieuwbare_Energie_Totaal47[[#Headers],[A1]],Database_Productkaarten[#All],48,FALSE),0)*Ontwerpberekening!J21),0))/Ontwerpberekening!$A$2</f>
        <v>9607.8685000000005</v>
      </c>
      <c r="F146" s="77">
        <f>(IF(Ontwerpberekening!E21="Nieuwe Situatie",(_xlfn.IFNA(VLOOKUP(Referentie_Hernieuwbare_Energie_Totaal47[[#This Row],[Product]]&amp;", "&amp;Referentie_Hernieuwbare_Energie_Totaal47[[#Headers],[A2]],Database_Productkaarten[#All],48,FALSE),0)*Ontwerpberekening!J21),0))/Ontwerpberekening!$A$2</f>
        <v>101.500435</v>
      </c>
      <c r="G146" s="77">
        <f>(IF(Ontwerpberekening!E21="Nieuwe Situatie",(_xlfn.IFNA(VLOOKUP(Referentie_Hernieuwbare_Energie_Totaal47[[#This Row],[Product]]&amp;", "&amp;Referentie_Hernieuwbare_Energie_Totaal47[[#Headers],[A3]],Database_Productkaarten[#All],48,FALSE),0)*Ontwerpberekening!J21),0))/Ontwerpberekening!$A$2</f>
        <v>739.49469999999997</v>
      </c>
      <c r="H146" s="77">
        <f>(IF(Ontwerpberekening!E21="Nieuwe Situatie",(_xlfn.IFNA(VLOOKUP(Referentie_Hernieuwbare_Energie_Totaal47[[#This Row],[Product]]&amp;", "&amp;Referentie_Hernieuwbare_Energie_Totaal47[[#Headers],[A1-A3]],Database_Productkaarten[#All],48,FALSE),0)*Ontwerpberekening!J21),0))/Ontwerpberekening!$A$2</f>
        <v>10448.863635</v>
      </c>
      <c r="I146" s="77">
        <f>(IF(Ontwerpberekening!E21="Nieuwe Situatie",(_xlfn.IFNA(VLOOKUP(Referentie_Hernieuwbare_Energie_Totaal47[[#This Row],[Product]]&amp;", "&amp;Referentie_Hernieuwbare_Energie_Totaal47[[#Headers],[A4]],Database_Productkaarten[#All],48,FALSE),0)*Ontwerpberekening!R21),0))/Ontwerpberekening!$A$2</f>
        <v>67.090458244000004</v>
      </c>
      <c r="J146" s="77">
        <f>(IF(Ontwerpberekening!E21="Nieuwe Situatie",(_xlfn.IFNA(VLOOKUP(Referentie_Hernieuwbare_Energie_Totaal47[[#This Row],[Product]]&amp;", "&amp;Referentie_Hernieuwbare_Energie_Totaal47[[#Headers],[A5]],Database_Productkaarten[#All],48,FALSE),0)*Ontwerpberekening!J21),0))/Ontwerpberekening!$A$2</f>
        <v>347.22676000000001</v>
      </c>
      <c r="K146" s="77">
        <f>(IF(Ontwerpberekening!E21="Nieuwe Situatie",(_xlfn.IFNA(VLOOKUP(Referentie_Hernieuwbare_Energie_Totaal47[[#This Row],[Product]]&amp;", "&amp;Referentie_Hernieuwbare_Energie_Totaal47[[#Headers],[B1]],Database_Productkaarten[#All],48,FALSE),0)*Ontwerpberekening!J21),0))/Ontwerpberekening!$A$2</f>
        <v>0</v>
      </c>
      <c r="L146" s="77">
        <f>(IF(Ontwerpberekening!E21="Nieuwe Situatie",(_xlfn.IFNA(VLOOKUP(Referentie_Hernieuwbare_Energie_Totaal47[[#This Row],[Product]]&amp;", "&amp;Referentie_Hernieuwbare_Energie_Totaal47[[#Headers],[B3]],Database_Productkaarten[#All],48,FALSE),0)*Ontwerpberekening!J21),0))/Ontwerpberekening!$A$2</f>
        <v>0</v>
      </c>
      <c r="M146" s="77">
        <f>(IF(Ontwerpberekening!E21="Nieuwe Situatie",(SUM(Referentie_Hernieuwbare_Energie_Totaal47[[#This Row],[A1]:[B1]],Referentie_Hernieuwbare_Energie_Totaal47[[#This Row],[C1]:[D2]])*Ontwerpberekening!T21),0))/Ontwerpberekening!$A$2</f>
        <v>0</v>
      </c>
      <c r="N146" s="77">
        <f>(IF(Ontwerpberekening!E21="Bestaande Situatie",(_xlfn.IFNA(VLOOKUP(Referentie_Hernieuwbare_Energie_Totaal47[[#This Row],[Product]]&amp;", "&amp;Referentie_Hernieuwbare_Energie_Totaal47[[#Headers],[C1]],Database_Productkaarten[#All],48,FALSE),0)*Ontwerpberekening!J21),0))/Ontwerpberekening!$A$2</f>
        <v>0</v>
      </c>
      <c r="O146" s="77">
        <f>(IF(Ontwerpberekening!E21="Bestaande Situatie",(_xlfn.IFNA(VLOOKUP(Referentie_Hernieuwbare_Energie_Totaal47[[#This Row],[Product]]&amp;", "&amp;Referentie_Hernieuwbare_Energie_Totaal47[[#Headers],[C2]],Database_Productkaarten[#All],48,FALSE),0)*Ontwerpberekening!R21),0))/Ontwerpberekening!$A$2</f>
        <v>0</v>
      </c>
      <c r="P146" s="77">
        <f>(IF(Ontwerpberekening!E21="Bestaande Situatie",(_xlfn.IFNA(VLOOKUP(Referentie_Hernieuwbare_Energie_Totaal47[[#This Row],[Product]]&amp;", "&amp;Referentie_Hernieuwbare_Energie_Totaal47[[#Headers],[C3]],Database_Productkaarten[#All],48,FALSE),0)*Ontwerpberekening!J21),0))/Ontwerpberekening!$A$2</f>
        <v>0</v>
      </c>
      <c r="Q146" s="77">
        <f>(IF(Ontwerpberekening!E21="Bestaande Situatie",(_xlfn.IFNA(VLOOKUP(Referentie_Hernieuwbare_Energie_Totaal47[[#This Row],[Product]]&amp;", "&amp;Referentie_Hernieuwbare_Energie_Totaal47[[#Headers],[C4]],Database_Productkaarten[#All],48,FALSE),0)*Ontwerpberekening!J21),0))/Ontwerpberekening!$A$2</f>
        <v>0</v>
      </c>
      <c r="R146" s="77">
        <f>(IF(Ontwerpberekening!E21="Bestaande Situatie",(_xlfn.IFNA(VLOOKUP(Referentie_Hernieuwbare_Energie_Totaal47[[#This Row],[Product]]&amp;", "&amp;Referentie_Hernieuwbare_Energie_Totaal47[[#Headers],[D1]],Database_Productkaarten[#All],48,FALSE),0)*Ontwerpberekening!J21),0))/Ontwerpberekening!$A$2</f>
        <v>0</v>
      </c>
      <c r="S146" s="78">
        <f>(IF(Ontwerpberekening!E21="Bestaande Situatie",(_xlfn.IFNA(VLOOKUP(Referentie_Hernieuwbare_Energie_Totaal47[[#This Row],[Product]]&amp;", "&amp;Referentie_Hernieuwbare_Energie_Totaal47[[#Headers],[D2]],Database_Productkaarten[#All],48,FALSE),0)*Ontwerpberekening!J21),0))/Ontwerpberekening!$A$2</f>
        <v>0</v>
      </c>
      <c r="T146" s="57">
        <f>(IF(Ontwerpberekening!E21="Bestaande Situatie",(_xlfn.IFNA(VLOOKUP(Referentie_Hernieuwbare_Energie_Totaal47[[#This Row],[Product]]&amp;", "&amp;Referentie_Hernieuwbare_Energie_Totaal47[[#Headers],[D]],Database_Productkaarten[#All],48,FALSE),0)*Ontwerpberekening!J21),0))/Ontwerpberekening!$A$2</f>
        <v>0</v>
      </c>
      <c r="U146" s="56">
        <f>SUM(Referentie_Hernieuwbare_Energie_Totaal47[[#This Row],[A1-A3]:[C4]])+Referentie_Hernieuwbare_Energie_Totaal47[[#This Row],[D]]</f>
        <v>10863.180853243999</v>
      </c>
    </row>
    <row r="147" spans="2:21">
      <c r="B147" s="51" t="str">
        <f>Ontwerpberekening!B22</f>
        <v>Plastic kratten</v>
      </c>
      <c r="C147" s="51" t="str">
        <f>Ontwerpberekening!C22</f>
        <v>Grondverbetering</v>
      </c>
      <c r="D147" s="76" t="str">
        <f>Ontwerpberekening!G22</f>
        <v>Ophoogmateriaal (Zand)</v>
      </c>
      <c r="E147" s="77">
        <f>(IF(Ontwerpberekening!E22="Nieuwe Situatie",(_xlfn.IFNA(VLOOKUP(Referentie_Hernieuwbare_Energie_Totaal47[[#This Row],[Product]]&amp;", "&amp;Referentie_Hernieuwbare_Energie_Totaal47[[#Headers],[A1]],Database_Productkaarten[#All],48,FALSE),0)*Ontwerpberekening!J22),0))/Ontwerpberekening!$A$2</f>
        <v>0</v>
      </c>
      <c r="F147" s="77">
        <f>(IF(Ontwerpberekening!E22="Nieuwe Situatie",(_xlfn.IFNA(VLOOKUP(Referentie_Hernieuwbare_Energie_Totaal47[[#This Row],[Product]]&amp;", "&amp;Referentie_Hernieuwbare_Energie_Totaal47[[#Headers],[A2]],Database_Productkaarten[#All],48,FALSE),0)*Ontwerpberekening!J22),0))/Ontwerpberekening!$A$2</f>
        <v>0</v>
      </c>
      <c r="G147" s="77">
        <f>(IF(Ontwerpberekening!E22="Nieuwe Situatie",(_xlfn.IFNA(VLOOKUP(Referentie_Hernieuwbare_Energie_Totaal47[[#This Row],[Product]]&amp;", "&amp;Referentie_Hernieuwbare_Energie_Totaal47[[#Headers],[A3]],Database_Productkaarten[#All],48,FALSE),0)*Ontwerpberekening!J22),0))/Ontwerpberekening!$A$2</f>
        <v>0</v>
      </c>
      <c r="H147" s="77">
        <f>(IF(Ontwerpberekening!E22="Nieuwe Situatie",(_xlfn.IFNA(VLOOKUP(Referentie_Hernieuwbare_Energie_Totaal47[[#This Row],[Product]]&amp;", "&amp;Referentie_Hernieuwbare_Energie_Totaal47[[#Headers],[A1-A3]],Database_Productkaarten[#All],48,FALSE),0)*Ontwerpberekening!J22),0))/Ontwerpberekening!$A$2</f>
        <v>0</v>
      </c>
      <c r="I147" s="77">
        <f>(IF(Ontwerpberekening!E22="Nieuwe Situatie",(_xlfn.IFNA(VLOOKUP(Referentie_Hernieuwbare_Energie_Totaal47[[#This Row],[Product]]&amp;", "&amp;Referentie_Hernieuwbare_Energie_Totaal47[[#Headers],[A4]],Database_Productkaarten[#All],48,FALSE),0)*Ontwerpberekening!R22),0))/Ontwerpberekening!$A$2</f>
        <v>0</v>
      </c>
      <c r="J147" s="77">
        <f>(IF(Ontwerpberekening!E22="Nieuwe Situatie",(_xlfn.IFNA(VLOOKUP(Referentie_Hernieuwbare_Energie_Totaal47[[#This Row],[Product]]&amp;", "&amp;Referentie_Hernieuwbare_Energie_Totaal47[[#Headers],[A5]],Database_Productkaarten[#All],48,FALSE),0)*Ontwerpberekening!J22),0))/Ontwerpberekening!$A$2</f>
        <v>0</v>
      </c>
      <c r="K147" s="77">
        <f>(IF(Ontwerpberekening!E22="Nieuwe Situatie",(_xlfn.IFNA(VLOOKUP(Referentie_Hernieuwbare_Energie_Totaal47[[#This Row],[Product]]&amp;", "&amp;Referentie_Hernieuwbare_Energie_Totaal47[[#Headers],[B1]],Database_Productkaarten[#All],48,FALSE),0)*Ontwerpberekening!J22),0))/Ontwerpberekening!$A$2</f>
        <v>0</v>
      </c>
      <c r="L147" s="77">
        <f>(IF(Ontwerpberekening!E22="Nieuwe Situatie",(_xlfn.IFNA(VLOOKUP(Referentie_Hernieuwbare_Energie_Totaal47[[#This Row],[Product]]&amp;", "&amp;Referentie_Hernieuwbare_Energie_Totaal47[[#Headers],[B3]],Database_Productkaarten[#All],48,FALSE),0)*Ontwerpberekening!J22),0))/Ontwerpberekening!$A$2</f>
        <v>0</v>
      </c>
      <c r="M147" s="77">
        <f>(IF(Ontwerpberekening!E22="Nieuwe Situatie",(SUM(Referentie_Hernieuwbare_Energie_Totaal47[[#This Row],[A1]:[B1]],Referentie_Hernieuwbare_Energie_Totaal47[[#This Row],[C1]:[D2]])*Ontwerpberekening!T22),0))/Ontwerpberekening!$A$2</f>
        <v>0</v>
      </c>
      <c r="N147" s="77">
        <f>(IF(Ontwerpberekening!E22="Bestaande Situatie",(_xlfn.IFNA(VLOOKUP(Referentie_Hernieuwbare_Energie_Totaal47[[#This Row],[Product]]&amp;", "&amp;Referentie_Hernieuwbare_Energie_Totaal47[[#Headers],[C1]],Database_Productkaarten[#All],48,FALSE),0)*Ontwerpberekening!J22),0))/Ontwerpberekening!$A$2</f>
        <v>0</v>
      </c>
      <c r="O147" s="77">
        <f>(IF(Ontwerpberekening!E22="Bestaande Situatie",(_xlfn.IFNA(VLOOKUP(Referentie_Hernieuwbare_Energie_Totaal47[[#This Row],[Product]]&amp;", "&amp;Referentie_Hernieuwbare_Energie_Totaal47[[#Headers],[C2]],Database_Productkaarten[#All],48,FALSE),0)*Ontwerpberekening!R22),0))/Ontwerpberekening!$A$2</f>
        <v>0</v>
      </c>
      <c r="P147" s="77">
        <f>(IF(Ontwerpberekening!E22="Bestaande Situatie",(_xlfn.IFNA(VLOOKUP(Referentie_Hernieuwbare_Energie_Totaal47[[#This Row],[Product]]&amp;", "&amp;Referentie_Hernieuwbare_Energie_Totaal47[[#Headers],[C3]],Database_Productkaarten[#All],48,FALSE),0)*Ontwerpberekening!J22),0))/Ontwerpberekening!$A$2</f>
        <v>0</v>
      </c>
      <c r="Q147" s="77">
        <f>(IF(Ontwerpberekening!E22="Bestaande Situatie",(_xlfn.IFNA(VLOOKUP(Referentie_Hernieuwbare_Energie_Totaal47[[#This Row],[Product]]&amp;", "&amp;Referentie_Hernieuwbare_Energie_Totaal47[[#Headers],[C4]],Database_Productkaarten[#All],48,FALSE),0)*Ontwerpberekening!J22),0))/Ontwerpberekening!$A$2</f>
        <v>0.49750000000000005</v>
      </c>
      <c r="R147" s="77">
        <f>(IF(Ontwerpberekening!E22="Bestaande Situatie",(_xlfn.IFNA(VLOOKUP(Referentie_Hernieuwbare_Energie_Totaal47[[#This Row],[Product]]&amp;", "&amp;Referentie_Hernieuwbare_Energie_Totaal47[[#Headers],[D1]],Database_Productkaarten[#All],48,FALSE),0)*Ontwerpberekening!J22),0))/Ontwerpberekening!$A$2</f>
        <v>0</v>
      </c>
      <c r="S147" s="78">
        <f>(IF(Ontwerpberekening!E22="Bestaande Situatie",(_xlfn.IFNA(VLOOKUP(Referentie_Hernieuwbare_Energie_Totaal47[[#This Row],[Product]]&amp;", "&amp;Referentie_Hernieuwbare_Energie_Totaal47[[#Headers],[D2]],Database_Productkaarten[#All],48,FALSE),0)*Ontwerpberekening!J22),0))/Ontwerpberekening!$A$2</f>
        <v>0</v>
      </c>
      <c r="T147" s="57">
        <f>(IF(Ontwerpberekening!E22="Bestaande Situatie",(_xlfn.IFNA(VLOOKUP(Referentie_Hernieuwbare_Energie_Totaal47[[#This Row],[Product]]&amp;", "&amp;Referentie_Hernieuwbare_Energie_Totaal47[[#Headers],[D]],Database_Productkaarten[#All],48,FALSE),0)*Ontwerpberekening!J22),0))/Ontwerpberekening!$A$2</f>
        <v>-131.5</v>
      </c>
      <c r="U147" s="56">
        <f>SUM(Referentie_Hernieuwbare_Energie_Totaal47[[#This Row],[A1-A3]:[C4]])+Referentie_Hernieuwbare_Energie_Totaal47[[#This Row],[D]]</f>
        <v>-131.0025</v>
      </c>
    </row>
    <row r="148" spans="2:21">
      <c r="B148" s="51" t="str">
        <f>Ontwerpberekening!B23</f>
        <v>Plastic kratten</v>
      </c>
      <c r="C148" s="51" t="str">
        <f>Ontwerpberekening!C23</f>
        <v>Waterbergendelaag</v>
      </c>
      <c r="D148" s="76" t="str">
        <f>Ontwerpberekening!G23</f>
        <v>Kunststof Inflitratiekrat</v>
      </c>
      <c r="E148" s="77">
        <f>(IF(Ontwerpberekening!E23="Nieuwe Situatie",(_xlfn.IFNA(VLOOKUP(Referentie_Hernieuwbare_Energie_Totaal47[[#This Row],[Product]]&amp;", "&amp;Referentie_Hernieuwbare_Energie_Totaal47[[#Headers],[A1]],Database_Productkaarten[#All],48,FALSE),0)*Ontwerpberekening!J23),0))/Ontwerpberekening!$A$2</f>
        <v>0</v>
      </c>
      <c r="F148" s="77">
        <f>(IF(Ontwerpberekening!E23="Nieuwe Situatie",(_xlfn.IFNA(VLOOKUP(Referentie_Hernieuwbare_Energie_Totaal47[[#This Row],[Product]]&amp;", "&amp;Referentie_Hernieuwbare_Energie_Totaal47[[#Headers],[A2]],Database_Productkaarten[#All],48,FALSE),0)*Ontwerpberekening!J23),0))/Ontwerpberekening!$A$2</f>
        <v>0</v>
      </c>
      <c r="G148" s="77">
        <f>(IF(Ontwerpberekening!E23="Nieuwe Situatie",(_xlfn.IFNA(VLOOKUP(Referentie_Hernieuwbare_Energie_Totaal47[[#This Row],[Product]]&amp;", "&amp;Referentie_Hernieuwbare_Energie_Totaal47[[#Headers],[A3]],Database_Productkaarten[#All],48,FALSE),0)*Ontwerpberekening!J23),0))/Ontwerpberekening!$A$2</f>
        <v>0</v>
      </c>
      <c r="H148" s="77">
        <f>(IF(Ontwerpberekening!E23="Nieuwe Situatie",(_xlfn.IFNA(VLOOKUP(Referentie_Hernieuwbare_Energie_Totaal47[[#This Row],[Product]]&amp;", "&amp;Referentie_Hernieuwbare_Energie_Totaal47[[#Headers],[A1-A3]],Database_Productkaarten[#All],48,FALSE),0)*Ontwerpberekening!J23),0))/Ontwerpberekening!$A$2</f>
        <v>0</v>
      </c>
      <c r="I148" s="77">
        <f>(IF(Ontwerpberekening!E23="Nieuwe Situatie",(_xlfn.IFNA(VLOOKUP(Referentie_Hernieuwbare_Energie_Totaal47[[#This Row],[Product]]&amp;", "&amp;Referentie_Hernieuwbare_Energie_Totaal47[[#Headers],[A4]],Database_Productkaarten[#All],48,FALSE),0)*Ontwerpberekening!R23),0))/Ontwerpberekening!$A$2</f>
        <v>0</v>
      </c>
      <c r="J148" s="77">
        <f>(IF(Ontwerpberekening!E23="Nieuwe Situatie",(_xlfn.IFNA(VLOOKUP(Referentie_Hernieuwbare_Energie_Totaal47[[#This Row],[Product]]&amp;", "&amp;Referentie_Hernieuwbare_Energie_Totaal47[[#Headers],[A5]],Database_Productkaarten[#All],48,FALSE),0)*Ontwerpberekening!J23),0))/Ontwerpberekening!$A$2</f>
        <v>0</v>
      </c>
      <c r="K148" s="77">
        <f>(IF(Ontwerpberekening!E23="Nieuwe Situatie",(_xlfn.IFNA(VLOOKUP(Referentie_Hernieuwbare_Energie_Totaal47[[#This Row],[Product]]&amp;", "&amp;Referentie_Hernieuwbare_Energie_Totaal47[[#Headers],[B1]],Database_Productkaarten[#All],48,FALSE),0)*Ontwerpberekening!J23),0))/Ontwerpberekening!$A$2</f>
        <v>0</v>
      </c>
      <c r="L148" s="77">
        <f>(IF(Ontwerpberekening!E23="Nieuwe Situatie",(_xlfn.IFNA(VLOOKUP(Referentie_Hernieuwbare_Energie_Totaal47[[#This Row],[Product]]&amp;", "&amp;Referentie_Hernieuwbare_Energie_Totaal47[[#Headers],[B3]],Database_Productkaarten[#All],48,FALSE),0)*Ontwerpberekening!J23),0))/Ontwerpberekening!$A$2</f>
        <v>0</v>
      </c>
      <c r="M148" s="77">
        <f>(IF(Ontwerpberekening!E23="Nieuwe Situatie",(SUM(Referentie_Hernieuwbare_Energie_Totaal47[[#This Row],[A1]:[B1]],Referentie_Hernieuwbare_Energie_Totaal47[[#This Row],[C1]:[D2]])*Ontwerpberekening!T23),0))/Ontwerpberekening!$A$2</f>
        <v>0</v>
      </c>
      <c r="N148" s="77">
        <f>(IF(Ontwerpberekening!E23="Bestaande Situatie",(_xlfn.IFNA(VLOOKUP(Referentie_Hernieuwbare_Energie_Totaal47[[#This Row],[Product]]&amp;", "&amp;Referentie_Hernieuwbare_Energie_Totaal47[[#Headers],[C1]],Database_Productkaarten[#All],48,FALSE),0)*Ontwerpberekening!J23),0))/Ontwerpberekening!$A$2</f>
        <v>65</v>
      </c>
      <c r="O148" s="77">
        <f>(IF(Ontwerpberekening!E23="Bestaande Situatie",(_xlfn.IFNA(VLOOKUP(Referentie_Hernieuwbare_Energie_Totaal47[[#This Row],[Product]]&amp;", "&amp;Referentie_Hernieuwbare_Energie_Totaal47[[#Headers],[C2]],Database_Productkaarten[#All],48,FALSE),0)*Ontwerpberekening!R23),0))/Ontwerpberekening!$A$2</f>
        <v>0.35000000000000003</v>
      </c>
      <c r="P148" s="77">
        <f>(IF(Ontwerpberekening!E23="Bestaande Situatie",(_xlfn.IFNA(VLOOKUP(Referentie_Hernieuwbare_Energie_Totaal47[[#This Row],[Product]]&amp;", "&amp;Referentie_Hernieuwbare_Energie_Totaal47[[#Headers],[C3]],Database_Productkaarten[#All],48,FALSE),0)*Ontwerpberekening!J23),0))/Ontwerpberekening!$A$2</f>
        <v>1250</v>
      </c>
      <c r="Q148" s="77">
        <f>(IF(Ontwerpberekening!E23="Bestaande Situatie",(_xlfn.IFNA(VLOOKUP(Referentie_Hernieuwbare_Energie_Totaal47[[#This Row],[Product]]&amp;", "&amp;Referentie_Hernieuwbare_Energie_Totaal47[[#Headers],[C4]],Database_Productkaarten[#All],48,FALSE),0)*Ontwerpberekening!J23),0))/Ontwerpberekening!$A$2</f>
        <v>3.1</v>
      </c>
      <c r="R148" s="77">
        <f>(IF(Ontwerpberekening!E23="Bestaande Situatie",(_xlfn.IFNA(VLOOKUP(Referentie_Hernieuwbare_Energie_Totaal47[[#This Row],[Product]]&amp;", "&amp;Referentie_Hernieuwbare_Energie_Totaal47[[#Headers],[D1]],Database_Productkaarten[#All],48,FALSE),0)*Ontwerpberekening!J23),0))/Ontwerpberekening!$A$2</f>
        <v>0</v>
      </c>
      <c r="S148" s="78">
        <f>(IF(Ontwerpberekening!E23="Bestaande Situatie",(_xlfn.IFNA(VLOOKUP(Referentie_Hernieuwbare_Energie_Totaal47[[#This Row],[Product]]&amp;", "&amp;Referentie_Hernieuwbare_Energie_Totaal47[[#Headers],[D2]],Database_Productkaarten[#All],48,FALSE),0)*Ontwerpberekening!J23),0))/Ontwerpberekening!$A$2</f>
        <v>0</v>
      </c>
      <c r="T148" s="57">
        <f>(IF(Ontwerpberekening!E23="Bestaande Situatie",(_xlfn.IFNA(VLOOKUP(Referentie_Hernieuwbare_Energie_Totaal47[[#This Row],[Product]]&amp;", "&amp;Referentie_Hernieuwbare_Energie_Totaal47[[#Headers],[D]],Database_Productkaarten[#All],48,FALSE),0)*Ontwerpberekening!J23),0))/Ontwerpberekening!$A$2</f>
        <v>-550</v>
      </c>
      <c r="U148" s="56">
        <f>SUM(Referentie_Hernieuwbare_Energie_Totaal47[[#This Row],[A1-A3]:[C4]])+Referentie_Hernieuwbare_Energie_Totaal47[[#This Row],[D]]</f>
        <v>768.44999999999982</v>
      </c>
    </row>
    <row r="149" spans="2:21">
      <c r="B149" s="51" t="str">
        <f>Ontwerpberekening!B24</f>
        <v>Plastic kratten</v>
      </c>
      <c r="C149" s="51" t="str">
        <f>Ontwerpberekening!C24</f>
        <v>Menggranulaat</v>
      </c>
      <c r="D149" s="76" t="str">
        <f>Ontwerpberekening!G24</f>
        <v>Menggranulaat 300mm</v>
      </c>
      <c r="E149" s="77">
        <f>(IF(Ontwerpberekening!E24="Nieuwe Situatie",(_xlfn.IFNA(VLOOKUP(Referentie_Hernieuwbare_Energie_Totaal47[[#This Row],[Product]]&amp;", "&amp;Referentie_Hernieuwbare_Energie_Totaal47[[#Headers],[A1]],Database_Productkaarten[#All],48,FALSE),0)*Ontwerpberekening!J24),0))/Ontwerpberekening!$A$2</f>
        <v>0</v>
      </c>
      <c r="F149" s="77">
        <f>(IF(Ontwerpberekening!E24="Nieuwe Situatie",(_xlfn.IFNA(VLOOKUP(Referentie_Hernieuwbare_Energie_Totaal47[[#This Row],[Product]]&amp;", "&amp;Referentie_Hernieuwbare_Energie_Totaal47[[#Headers],[A2]],Database_Productkaarten[#All],48,FALSE),0)*Ontwerpberekening!J24),0))/Ontwerpberekening!$A$2</f>
        <v>0</v>
      </c>
      <c r="G149" s="77">
        <f>(IF(Ontwerpberekening!E24="Nieuwe Situatie",(_xlfn.IFNA(VLOOKUP(Referentie_Hernieuwbare_Energie_Totaal47[[#This Row],[Product]]&amp;", "&amp;Referentie_Hernieuwbare_Energie_Totaal47[[#Headers],[A3]],Database_Productkaarten[#All],48,FALSE),0)*Ontwerpberekening!J24),0))/Ontwerpberekening!$A$2</f>
        <v>0</v>
      </c>
      <c r="H149" s="77">
        <f>(IF(Ontwerpberekening!E24="Nieuwe Situatie",(_xlfn.IFNA(VLOOKUP(Referentie_Hernieuwbare_Energie_Totaal47[[#This Row],[Product]]&amp;", "&amp;Referentie_Hernieuwbare_Energie_Totaal47[[#Headers],[A1-A3]],Database_Productkaarten[#All],48,FALSE),0)*Ontwerpberekening!J24),0))/Ontwerpberekening!$A$2</f>
        <v>0</v>
      </c>
      <c r="I149" s="77">
        <f>(IF(Ontwerpberekening!E24="Nieuwe Situatie",(_xlfn.IFNA(VLOOKUP(Referentie_Hernieuwbare_Energie_Totaal47[[#This Row],[Product]]&amp;", "&amp;Referentie_Hernieuwbare_Energie_Totaal47[[#Headers],[A4]],Database_Productkaarten[#All],48,FALSE),0)*Ontwerpberekening!R24),0))/Ontwerpberekening!$A$2</f>
        <v>0</v>
      </c>
      <c r="J149" s="77">
        <f>(IF(Ontwerpberekening!E24="Nieuwe Situatie",(_xlfn.IFNA(VLOOKUP(Referentie_Hernieuwbare_Energie_Totaal47[[#This Row],[Product]]&amp;", "&amp;Referentie_Hernieuwbare_Energie_Totaal47[[#Headers],[A5]],Database_Productkaarten[#All],48,FALSE),0)*Ontwerpberekening!J24),0))/Ontwerpberekening!$A$2</f>
        <v>0</v>
      </c>
      <c r="K149" s="77">
        <f>(IF(Ontwerpberekening!E24="Nieuwe Situatie",(_xlfn.IFNA(VLOOKUP(Referentie_Hernieuwbare_Energie_Totaal47[[#This Row],[Product]]&amp;", "&amp;Referentie_Hernieuwbare_Energie_Totaal47[[#Headers],[B1]],Database_Productkaarten[#All],48,FALSE),0)*Ontwerpberekening!J24),0))/Ontwerpberekening!$A$2</f>
        <v>0</v>
      </c>
      <c r="L149" s="77">
        <f>(IF(Ontwerpberekening!E24="Nieuwe Situatie",(_xlfn.IFNA(VLOOKUP(Referentie_Hernieuwbare_Energie_Totaal47[[#This Row],[Product]]&amp;", "&amp;Referentie_Hernieuwbare_Energie_Totaal47[[#Headers],[B3]],Database_Productkaarten[#All],48,FALSE),0)*Ontwerpberekening!J24),0))/Ontwerpberekening!$A$2</f>
        <v>0</v>
      </c>
      <c r="M149" s="77">
        <f>(IF(Ontwerpberekening!E24="Nieuwe Situatie",(SUM(Referentie_Hernieuwbare_Energie_Totaal47[[#This Row],[A1]:[B1]],Referentie_Hernieuwbare_Energie_Totaal47[[#This Row],[C1]:[D2]])*Ontwerpberekening!T24),0))/Ontwerpberekening!$A$2</f>
        <v>0</v>
      </c>
      <c r="N149" s="77">
        <f>(IF(Ontwerpberekening!E24="Bestaande Situatie",(_xlfn.IFNA(VLOOKUP(Referentie_Hernieuwbare_Energie_Totaal47[[#This Row],[Product]]&amp;", "&amp;Referentie_Hernieuwbare_Energie_Totaal47[[#Headers],[C1]],Database_Productkaarten[#All],48,FALSE),0)*Ontwerpberekening!J24),0))/Ontwerpberekening!$A$2</f>
        <v>37.299999999999997</v>
      </c>
      <c r="O149" s="77">
        <f>(IF(Ontwerpberekening!E24="Bestaande Situatie",(_xlfn.IFNA(VLOOKUP(Referentie_Hernieuwbare_Energie_Totaal47[[#This Row],[Product]]&amp;", "&amp;Referentie_Hernieuwbare_Energie_Totaal47[[#Headers],[C2]],Database_Productkaarten[#All],48,FALSE),0)*Ontwerpberekening!R24),0))/Ontwerpberekening!$A$2</f>
        <v>197.4375</v>
      </c>
      <c r="P149" s="77">
        <f>(IF(Ontwerpberekening!E24="Bestaande Situatie",(_xlfn.IFNA(VLOOKUP(Referentie_Hernieuwbare_Energie_Totaal47[[#This Row],[Product]]&amp;", "&amp;Referentie_Hernieuwbare_Energie_Totaal47[[#Headers],[C3]],Database_Productkaarten[#All],48,FALSE),0)*Ontwerpberekening!J24),0))/Ontwerpberekening!$A$2</f>
        <v>0</v>
      </c>
      <c r="Q149" s="77">
        <f>(IF(Ontwerpberekening!E24="Bestaande Situatie",(_xlfn.IFNA(VLOOKUP(Referentie_Hernieuwbare_Energie_Totaal47[[#This Row],[Product]]&amp;", "&amp;Referentie_Hernieuwbare_Energie_Totaal47[[#Headers],[C4]],Database_Productkaarten[#All],48,FALSE),0)*Ontwerpberekening!J24),0))/Ontwerpberekening!$A$2</f>
        <v>3.8849999999999998</v>
      </c>
      <c r="R149" s="77">
        <f>(IF(Ontwerpberekening!E24="Bestaande Situatie",(_xlfn.IFNA(VLOOKUP(Referentie_Hernieuwbare_Energie_Totaal47[[#This Row],[Product]]&amp;", "&amp;Referentie_Hernieuwbare_Energie_Totaal47[[#Headers],[D1]],Database_Productkaarten[#All],48,FALSE),0)*Ontwerpberekening!J24),0))/Ontwerpberekening!$A$2</f>
        <v>0</v>
      </c>
      <c r="S149" s="78">
        <f>(IF(Ontwerpberekening!E24="Bestaande Situatie",(_xlfn.IFNA(VLOOKUP(Referentie_Hernieuwbare_Energie_Totaal47[[#This Row],[Product]]&amp;", "&amp;Referentie_Hernieuwbare_Energie_Totaal47[[#Headers],[D2]],Database_Productkaarten[#All],48,FALSE),0)*Ontwerpberekening!J24),0))/Ontwerpberekening!$A$2</f>
        <v>0</v>
      </c>
      <c r="T149" s="57">
        <f>(IF(Ontwerpberekening!E24="Bestaande Situatie",(_xlfn.IFNA(VLOOKUP(Referentie_Hernieuwbare_Energie_Totaal47[[#This Row],[Product]]&amp;", "&amp;Referentie_Hernieuwbare_Energie_Totaal47[[#Headers],[D]],Database_Productkaarten[#All],48,FALSE),0)*Ontwerpberekening!J24),0))/Ontwerpberekening!$A$2</f>
        <v>10.35</v>
      </c>
      <c r="U149" s="56">
        <f>SUM(Referentie_Hernieuwbare_Energie_Totaal47[[#This Row],[A1-A3]:[C4]])+Referentie_Hernieuwbare_Energie_Totaal47[[#This Row],[D]]</f>
        <v>248.9725</v>
      </c>
    </row>
    <row r="150" spans="2:21">
      <c r="B150" s="51" t="str">
        <f>Ontwerpberekening!B25</f>
        <v>Plastic kratten</v>
      </c>
      <c r="C150" s="51" t="str">
        <f>Ontwerpberekening!C25</f>
        <v>Straatlaag</v>
      </c>
      <c r="D150" s="76" t="str">
        <f>Ontwerpberekening!G25</f>
        <v>Ophoogmateriaal (Zand)</v>
      </c>
      <c r="E150" s="77">
        <f>(IF(Ontwerpberekening!E25="Nieuwe Situatie",(_xlfn.IFNA(VLOOKUP(Referentie_Hernieuwbare_Energie_Totaal47[[#This Row],[Product]]&amp;", "&amp;Referentie_Hernieuwbare_Energie_Totaal47[[#Headers],[A1]],Database_Productkaarten[#All],48,FALSE),0)*Ontwerpberekening!J25),0))/Ontwerpberekening!$A$2</f>
        <v>0</v>
      </c>
      <c r="F150" s="77">
        <f>(IF(Ontwerpberekening!E25="Nieuwe Situatie",(_xlfn.IFNA(VLOOKUP(Referentie_Hernieuwbare_Energie_Totaal47[[#This Row],[Product]]&amp;", "&amp;Referentie_Hernieuwbare_Energie_Totaal47[[#Headers],[A2]],Database_Productkaarten[#All],48,FALSE),0)*Ontwerpberekening!J25),0))/Ontwerpberekening!$A$2</f>
        <v>0</v>
      </c>
      <c r="G150" s="77">
        <f>(IF(Ontwerpberekening!E25="Nieuwe Situatie",(_xlfn.IFNA(VLOOKUP(Referentie_Hernieuwbare_Energie_Totaal47[[#This Row],[Product]]&amp;", "&amp;Referentie_Hernieuwbare_Energie_Totaal47[[#Headers],[A3]],Database_Productkaarten[#All],48,FALSE),0)*Ontwerpberekening!J25),0))/Ontwerpberekening!$A$2</f>
        <v>0</v>
      </c>
      <c r="H150" s="77">
        <f>(IF(Ontwerpberekening!E25="Nieuwe Situatie",(_xlfn.IFNA(VLOOKUP(Referentie_Hernieuwbare_Energie_Totaal47[[#This Row],[Product]]&amp;", "&amp;Referentie_Hernieuwbare_Energie_Totaal47[[#Headers],[A1-A3]],Database_Productkaarten[#All],48,FALSE),0)*Ontwerpberekening!J25),0))/Ontwerpberekening!$A$2</f>
        <v>0</v>
      </c>
      <c r="I150" s="77">
        <f>(IF(Ontwerpberekening!E25="Nieuwe Situatie",(_xlfn.IFNA(VLOOKUP(Referentie_Hernieuwbare_Energie_Totaal47[[#This Row],[Product]]&amp;", "&amp;Referentie_Hernieuwbare_Energie_Totaal47[[#Headers],[A4]],Database_Productkaarten[#All],48,FALSE),0)*Ontwerpberekening!R25),0))/Ontwerpberekening!$A$2</f>
        <v>0</v>
      </c>
      <c r="J150" s="77">
        <f>(IF(Ontwerpberekening!E25="Nieuwe Situatie",(_xlfn.IFNA(VLOOKUP(Referentie_Hernieuwbare_Energie_Totaal47[[#This Row],[Product]]&amp;", "&amp;Referentie_Hernieuwbare_Energie_Totaal47[[#Headers],[A5]],Database_Productkaarten[#All],48,FALSE),0)*Ontwerpberekening!J25),0))/Ontwerpberekening!$A$2</f>
        <v>0</v>
      </c>
      <c r="K150" s="77">
        <f>(IF(Ontwerpberekening!E25="Nieuwe Situatie",(_xlfn.IFNA(VLOOKUP(Referentie_Hernieuwbare_Energie_Totaal47[[#This Row],[Product]]&amp;", "&amp;Referentie_Hernieuwbare_Energie_Totaal47[[#Headers],[B1]],Database_Productkaarten[#All],48,FALSE),0)*Ontwerpberekening!J25),0))/Ontwerpberekening!$A$2</f>
        <v>0</v>
      </c>
      <c r="L150" s="77">
        <f>(IF(Ontwerpberekening!E25="Nieuwe Situatie",(_xlfn.IFNA(VLOOKUP(Referentie_Hernieuwbare_Energie_Totaal47[[#This Row],[Product]]&amp;", "&amp;Referentie_Hernieuwbare_Energie_Totaal47[[#Headers],[B3]],Database_Productkaarten[#All],48,FALSE),0)*Ontwerpberekening!J25),0))/Ontwerpberekening!$A$2</f>
        <v>0</v>
      </c>
      <c r="M150" s="77">
        <f>(IF(Ontwerpberekening!E25="Nieuwe Situatie",(SUM(Referentie_Hernieuwbare_Energie_Totaal47[[#This Row],[A1]:[B1]],Referentie_Hernieuwbare_Energie_Totaal47[[#This Row],[C1]:[D2]])*Ontwerpberekening!T25),0))/Ontwerpberekening!$A$2</f>
        <v>0</v>
      </c>
      <c r="N150" s="77">
        <f>(IF(Ontwerpberekening!E25="Bestaande Situatie",(_xlfn.IFNA(VLOOKUP(Referentie_Hernieuwbare_Energie_Totaal47[[#This Row],[Product]]&amp;", "&amp;Referentie_Hernieuwbare_Energie_Totaal47[[#Headers],[C1]],Database_Productkaarten[#All],48,FALSE),0)*Ontwerpberekening!J25),0))/Ontwerpberekening!$A$2</f>
        <v>0</v>
      </c>
      <c r="O150" s="77">
        <f>(IF(Ontwerpberekening!E25="Bestaande Situatie",(_xlfn.IFNA(VLOOKUP(Referentie_Hernieuwbare_Energie_Totaal47[[#This Row],[Product]]&amp;", "&amp;Referentie_Hernieuwbare_Energie_Totaal47[[#Headers],[C2]],Database_Productkaarten[#All],48,FALSE),0)*Ontwerpberekening!R25),0))/Ontwerpberekening!$A$2</f>
        <v>0</v>
      </c>
      <c r="P150" s="77">
        <f>(IF(Ontwerpberekening!E25="Bestaande Situatie",(_xlfn.IFNA(VLOOKUP(Referentie_Hernieuwbare_Energie_Totaal47[[#This Row],[Product]]&amp;", "&amp;Referentie_Hernieuwbare_Energie_Totaal47[[#Headers],[C3]],Database_Productkaarten[#All],48,FALSE),0)*Ontwerpberekening!J25),0))/Ontwerpberekening!$A$2</f>
        <v>0</v>
      </c>
      <c r="Q150" s="77">
        <f>(IF(Ontwerpberekening!E25="Bestaande Situatie",(_xlfn.IFNA(VLOOKUP(Referentie_Hernieuwbare_Energie_Totaal47[[#This Row],[Product]]&amp;", "&amp;Referentie_Hernieuwbare_Energie_Totaal47[[#Headers],[C4]],Database_Productkaarten[#All],48,FALSE),0)*Ontwerpberekening!J25),0))/Ontwerpberekening!$A$2</f>
        <v>0.49750000000000005</v>
      </c>
      <c r="R150" s="77">
        <f>(IF(Ontwerpberekening!E25="Bestaande Situatie",(_xlfn.IFNA(VLOOKUP(Referentie_Hernieuwbare_Energie_Totaal47[[#This Row],[Product]]&amp;", "&amp;Referentie_Hernieuwbare_Energie_Totaal47[[#Headers],[D1]],Database_Productkaarten[#All],48,FALSE),0)*Ontwerpberekening!J25),0))/Ontwerpberekening!$A$2</f>
        <v>0</v>
      </c>
      <c r="S150" s="78">
        <f>(IF(Ontwerpberekening!E25="Bestaande Situatie",(_xlfn.IFNA(VLOOKUP(Referentie_Hernieuwbare_Energie_Totaal47[[#This Row],[Product]]&amp;", "&amp;Referentie_Hernieuwbare_Energie_Totaal47[[#Headers],[D2]],Database_Productkaarten[#All],48,FALSE),0)*Ontwerpberekening!J25),0))/Ontwerpberekening!$A$2</f>
        <v>0</v>
      </c>
      <c r="T150" s="57">
        <f>(IF(Ontwerpberekening!E25="Bestaande Situatie",(_xlfn.IFNA(VLOOKUP(Referentie_Hernieuwbare_Energie_Totaal47[[#This Row],[Product]]&amp;", "&amp;Referentie_Hernieuwbare_Energie_Totaal47[[#Headers],[D]],Database_Productkaarten[#All],48,FALSE),0)*Ontwerpberekening!J25),0))/Ontwerpberekening!$A$2</f>
        <v>-131.5</v>
      </c>
      <c r="U150" s="56">
        <f>SUM(Referentie_Hernieuwbare_Energie_Totaal47[[#This Row],[A1-A3]:[C4]])+Referentie_Hernieuwbare_Energie_Totaal47[[#This Row],[D]]</f>
        <v>-131.0025</v>
      </c>
    </row>
    <row r="151" spans="2:21">
      <c r="B151" s="51" t="str">
        <f>Ontwerpberekening!B26</f>
        <v>Plastic kratten</v>
      </c>
      <c r="C151" s="51" t="str">
        <f>Ontwerpberekening!C26</f>
        <v>Toplaag</v>
      </c>
      <c r="D151" s="76" t="str">
        <f>Ontwerpberekening!G26</f>
        <v>Betonstraatsteen 210x105x80</v>
      </c>
      <c r="E151" s="77">
        <f>(IF(Ontwerpberekening!E26="Nieuwe Situatie",(_xlfn.IFNA(VLOOKUP(Referentie_Hernieuwbare_Energie_Totaal47[[#This Row],[Product]]&amp;", "&amp;Referentie_Hernieuwbare_Energie_Totaal47[[#Headers],[A1]],Database_Productkaarten[#All],48,FALSE),0)*Ontwerpberekening!J26),0))/Ontwerpberekening!$A$2</f>
        <v>0</v>
      </c>
      <c r="F151" s="77">
        <f>(IF(Ontwerpberekening!E26="Nieuwe Situatie",(_xlfn.IFNA(VLOOKUP(Referentie_Hernieuwbare_Energie_Totaal47[[#This Row],[Product]]&amp;", "&amp;Referentie_Hernieuwbare_Energie_Totaal47[[#Headers],[A2]],Database_Productkaarten[#All],48,FALSE),0)*Ontwerpberekening!J26),0))/Ontwerpberekening!$A$2</f>
        <v>0</v>
      </c>
      <c r="G151" s="77">
        <f>(IF(Ontwerpberekening!E26="Nieuwe Situatie",(_xlfn.IFNA(VLOOKUP(Referentie_Hernieuwbare_Energie_Totaal47[[#This Row],[Product]]&amp;", "&amp;Referentie_Hernieuwbare_Energie_Totaal47[[#Headers],[A3]],Database_Productkaarten[#All],48,FALSE),0)*Ontwerpberekening!J26),0))/Ontwerpberekening!$A$2</f>
        <v>0</v>
      </c>
      <c r="H151" s="77">
        <f>(IF(Ontwerpberekening!E26="Nieuwe Situatie",(_xlfn.IFNA(VLOOKUP(Referentie_Hernieuwbare_Energie_Totaal47[[#This Row],[Product]]&amp;", "&amp;Referentie_Hernieuwbare_Energie_Totaal47[[#Headers],[A1-A3]],Database_Productkaarten[#All],48,FALSE),0)*Ontwerpberekening!J26),0))/Ontwerpberekening!$A$2</f>
        <v>0</v>
      </c>
      <c r="I151" s="77">
        <f>(IF(Ontwerpberekening!E26="Nieuwe Situatie",(_xlfn.IFNA(VLOOKUP(Referentie_Hernieuwbare_Energie_Totaal47[[#This Row],[Product]]&amp;", "&amp;Referentie_Hernieuwbare_Energie_Totaal47[[#Headers],[A4]],Database_Productkaarten[#All],48,FALSE),0)*Ontwerpberekening!R26),0))/Ontwerpberekening!$A$2</f>
        <v>0</v>
      </c>
      <c r="J151" s="77">
        <f>(IF(Ontwerpberekening!E26="Nieuwe Situatie",(_xlfn.IFNA(VLOOKUP(Referentie_Hernieuwbare_Energie_Totaal47[[#This Row],[Product]]&amp;", "&amp;Referentie_Hernieuwbare_Energie_Totaal47[[#Headers],[A5]],Database_Productkaarten[#All],48,FALSE),0)*Ontwerpberekening!J26),0))/Ontwerpberekening!$A$2</f>
        <v>0</v>
      </c>
      <c r="K151" s="77">
        <f>(IF(Ontwerpberekening!E26="Nieuwe Situatie",(_xlfn.IFNA(VLOOKUP(Referentie_Hernieuwbare_Energie_Totaal47[[#This Row],[Product]]&amp;", "&amp;Referentie_Hernieuwbare_Energie_Totaal47[[#Headers],[B1]],Database_Productkaarten[#All],48,FALSE),0)*Ontwerpberekening!J26),0))/Ontwerpberekening!$A$2</f>
        <v>0</v>
      </c>
      <c r="L151" s="77">
        <f>(IF(Ontwerpberekening!E26="Nieuwe Situatie",(_xlfn.IFNA(VLOOKUP(Referentie_Hernieuwbare_Energie_Totaal47[[#This Row],[Product]]&amp;", "&amp;Referentie_Hernieuwbare_Energie_Totaal47[[#Headers],[B3]],Database_Productkaarten[#All],48,FALSE),0)*Ontwerpberekening!J26),0))/Ontwerpberekening!$A$2</f>
        <v>0</v>
      </c>
      <c r="M151" s="77">
        <f>(IF(Ontwerpberekening!E26="Nieuwe Situatie",(SUM(Referentie_Hernieuwbare_Energie_Totaal47[[#This Row],[A1]:[B1]],Referentie_Hernieuwbare_Energie_Totaal47[[#This Row],[C1]:[D2]])*Ontwerpberekening!T26),0))/Ontwerpberekening!$A$2</f>
        <v>0</v>
      </c>
      <c r="N151" s="77">
        <f>(IF(Ontwerpberekening!E26="Bestaande Situatie",(_xlfn.IFNA(VLOOKUP(Referentie_Hernieuwbare_Energie_Totaal47[[#This Row],[Product]]&amp;", "&amp;Referentie_Hernieuwbare_Energie_Totaal47[[#Headers],[C1]],Database_Productkaarten[#All],48,FALSE),0)*Ontwerpberekening!J26),0))/Ontwerpberekening!$A$2</f>
        <v>24.721086499999998</v>
      </c>
      <c r="O151" s="77">
        <f>(IF(Ontwerpberekening!E26="Bestaande Situatie",(_xlfn.IFNA(VLOOKUP(Referentie_Hernieuwbare_Energie_Totaal47[[#This Row],[Product]]&amp;", "&amp;Referentie_Hernieuwbare_Energie_Totaal47[[#Headers],[C2]],Database_Productkaarten[#All],48,FALSE),0)*Ontwerpberekening!R26),0))/Ontwerpberekening!$A$2</f>
        <v>22.587121008000004</v>
      </c>
      <c r="P151" s="77">
        <f>(IF(Ontwerpberekening!E26="Bestaande Situatie",(_xlfn.IFNA(VLOOKUP(Referentie_Hernieuwbare_Energie_Totaal47[[#This Row],[Product]]&amp;", "&amp;Referentie_Hernieuwbare_Energie_Totaal47[[#Headers],[C3]],Database_Productkaarten[#All],48,FALSE),0)*Ontwerpberekening!J26),0))/Ontwerpberekening!$A$2</f>
        <v>115.07561</v>
      </c>
      <c r="Q151" s="77">
        <f>(IF(Ontwerpberekening!E26="Bestaande Situatie",(_xlfn.IFNA(VLOOKUP(Referentie_Hernieuwbare_Energie_Totaal47[[#This Row],[Product]]&amp;", "&amp;Referentie_Hernieuwbare_Energie_Totaal47[[#Headers],[C4]],Database_Productkaarten[#All],48,FALSE),0)*Ontwerpberekening!J26),0))/Ontwerpberekening!$A$2</f>
        <v>3.4969481500000001</v>
      </c>
      <c r="R151" s="77">
        <f>(IF(Ontwerpberekening!E26="Bestaande Situatie",(_xlfn.IFNA(VLOOKUP(Referentie_Hernieuwbare_Energie_Totaal47[[#This Row],[Product]]&amp;", "&amp;Referentie_Hernieuwbare_Energie_Totaal47[[#Headers],[D1]],Database_Productkaarten[#All],48,FALSE),0)*Ontwerpberekening!J26),0))/Ontwerpberekening!$A$2</f>
        <v>0</v>
      </c>
      <c r="S151" s="78">
        <f>(IF(Ontwerpberekening!E26="Bestaande Situatie",(_xlfn.IFNA(VLOOKUP(Referentie_Hernieuwbare_Energie_Totaal47[[#This Row],[Product]]&amp;", "&amp;Referentie_Hernieuwbare_Energie_Totaal47[[#Headers],[D2]],Database_Productkaarten[#All],48,FALSE),0)*Ontwerpberekening!J26),0))/Ontwerpberekening!$A$2</f>
        <v>0</v>
      </c>
      <c r="T151" s="57">
        <f>(IF(Ontwerpberekening!E26="Bestaande Situatie",(_xlfn.IFNA(VLOOKUP(Referentie_Hernieuwbare_Energie_Totaal47[[#This Row],[Product]]&amp;", "&amp;Referentie_Hernieuwbare_Energie_Totaal47[[#Headers],[D]],Database_Productkaarten[#All],48,FALSE),0)*Ontwerpberekening!J26),0))/Ontwerpberekening!$A$2</f>
        <v>-316.56529</v>
      </c>
      <c r="U151" s="56">
        <f>SUM(Referentie_Hernieuwbare_Energie_Totaal47[[#This Row],[A1-A3]:[C4]])+Referentie_Hernieuwbare_Energie_Totaal47[[#This Row],[D]]</f>
        <v>-150.684524342</v>
      </c>
    </row>
    <row r="152" spans="2:21">
      <c r="B152" s="51" t="str">
        <f>Ontwerpberekening!B27</f>
        <v>Rockwool</v>
      </c>
      <c r="C152" s="51" t="str">
        <f>Ontwerpberekening!C27</f>
        <v>Grondontgraving</v>
      </c>
      <c r="D152" s="76" t="str">
        <f>Ontwerpberekening!G27</f>
        <v>Ophoogmateriaal (Grond)</v>
      </c>
      <c r="E152" s="77">
        <f>(IF(Ontwerpberekening!E27="Nieuwe Situatie",(_xlfn.IFNA(VLOOKUP(Referentie_Hernieuwbare_Energie_Totaal47[[#This Row],[Product]]&amp;", "&amp;Referentie_Hernieuwbare_Energie_Totaal47[[#Headers],[A1]],Database_Productkaarten[#All],48,FALSE),0)*Ontwerpberekening!J27),0))/Ontwerpberekening!$A$2</f>
        <v>0</v>
      </c>
      <c r="F152" s="77">
        <f>(IF(Ontwerpberekening!E27="Nieuwe Situatie",(_xlfn.IFNA(VLOOKUP(Referentie_Hernieuwbare_Energie_Totaal47[[#This Row],[Product]]&amp;", "&amp;Referentie_Hernieuwbare_Energie_Totaal47[[#Headers],[A2]],Database_Productkaarten[#All],48,FALSE),0)*Ontwerpberekening!J27),0))/Ontwerpberekening!$A$2</f>
        <v>0</v>
      </c>
      <c r="G152" s="77">
        <f>(IF(Ontwerpberekening!E27="Nieuwe Situatie",(_xlfn.IFNA(VLOOKUP(Referentie_Hernieuwbare_Energie_Totaal47[[#This Row],[Product]]&amp;", "&amp;Referentie_Hernieuwbare_Energie_Totaal47[[#Headers],[A3]],Database_Productkaarten[#All],48,FALSE),0)*Ontwerpberekening!J27),0))/Ontwerpberekening!$A$2</f>
        <v>0</v>
      </c>
      <c r="H152" s="77">
        <f>(IF(Ontwerpberekening!E27="Nieuwe Situatie",(_xlfn.IFNA(VLOOKUP(Referentie_Hernieuwbare_Energie_Totaal47[[#This Row],[Product]]&amp;", "&amp;Referentie_Hernieuwbare_Energie_Totaal47[[#Headers],[A1-A3]],Database_Productkaarten[#All],48,FALSE),0)*Ontwerpberekening!J27),0))/Ontwerpberekening!$A$2</f>
        <v>0</v>
      </c>
      <c r="I152" s="77">
        <f>(IF(Ontwerpberekening!E27="Nieuwe Situatie",(_xlfn.IFNA(VLOOKUP(Referentie_Hernieuwbare_Energie_Totaal47[[#This Row],[Product]]&amp;", "&amp;Referentie_Hernieuwbare_Energie_Totaal47[[#Headers],[A4]],Database_Productkaarten[#All],48,FALSE),0)*Ontwerpberekening!R27),0))/Ontwerpberekening!$A$2</f>
        <v>0</v>
      </c>
      <c r="J152" s="77">
        <f>(IF(Ontwerpberekening!E27="Nieuwe Situatie",(_xlfn.IFNA(VLOOKUP(Referentie_Hernieuwbare_Energie_Totaal47[[#This Row],[Product]]&amp;", "&amp;Referentie_Hernieuwbare_Energie_Totaal47[[#Headers],[A5]],Database_Productkaarten[#All],48,FALSE),0)*Ontwerpberekening!J27),0))/Ontwerpberekening!$A$2</f>
        <v>0</v>
      </c>
      <c r="K152" s="77">
        <f>(IF(Ontwerpberekening!E27="Nieuwe Situatie",(_xlfn.IFNA(VLOOKUP(Referentie_Hernieuwbare_Energie_Totaal47[[#This Row],[Product]]&amp;", "&amp;Referentie_Hernieuwbare_Energie_Totaal47[[#Headers],[B1]],Database_Productkaarten[#All],48,FALSE),0)*Ontwerpberekening!J27),0))/Ontwerpberekening!$A$2</f>
        <v>0</v>
      </c>
      <c r="L152" s="77">
        <f>(IF(Ontwerpberekening!E27="Nieuwe Situatie",(_xlfn.IFNA(VLOOKUP(Referentie_Hernieuwbare_Energie_Totaal47[[#This Row],[Product]]&amp;", "&amp;Referentie_Hernieuwbare_Energie_Totaal47[[#Headers],[B3]],Database_Productkaarten[#All],48,FALSE),0)*Ontwerpberekening!J27),0))/Ontwerpberekening!$A$2</f>
        <v>0</v>
      </c>
      <c r="M152" s="77">
        <f>(IF(Ontwerpberekening!E27="Nieuwe Situatie",(SUM(Referentie_Hernieuwbare_Energie_Totaal47[[#This Row],[A1]:[B1]],Referentie_Hernieuwbare_Energie_Totaal47[[#This Row],[C1]:[D2]])*Ontwerpberekening!T27),0))/Ontwerpberekening!$A$2</f>
        <v>0</v>
      </c>
      <c r="N152" s="77">
        <f>(IF(Ontwerpberekening!E27="Bestaande Situatie",(_xlfn.IFNA(VLOOKUP(Referentie_Hernieuwbare_Energie_Totaal47[[#This Row],[Product]]&amp;", "&amp;Referentie_Hernieuwbare_Energie_Totaal47[[#Headers],[C1]],Database_Productkaarten[#All],48,FALSE),0)*Ontwerpberekening!J27),0))/Ontwerpberekening!$A$2</f>
        <v>0</v>
      </c>
      <c r="O152" s="77">
        <f>(IF(Ontwerpberekening!E27="Bestaande Situatie",(_xlfn.IFNA(VLOOKUP(Referentie_Hernieuwbare_Energie_Totaal47[[#This Row],[Product]]&amp;", "&amp;Referentie_Hernieuwbare_Energie_Totaal47[[#Headers],[C2]],Database_Productkaarten[#All],48,FALSE),0)*Ontwerpberekening!R27),0))/Ontwerpberekening!$A$2</f>
        <v>0</v>
      </c>
      <c r="P152" s="77">
        <f>(IF(Ontwerpberekening!E27="Bestaande Situatie",(_xlfn.IFNA(VLOOKUP(Referentie_Hernieuwbare_Energie_Totaal47[[#This Row],[Product]]&amp;", "&amp;Referentie_Hernieuwbare_Energie_Totaal47[[#Headers],[C3]],Database_Productkaarten[#All],48,FALSE),0)*Ontwerpberekening!J27),0))/Ontwerpberekening!$A$2</f>
        <v>0</v>
      </c>
      <c r="Q152" s="77">
        <f>(IF(Ontwerpberekening!E27="Bestaande Situatie",(_xlfn.IFNA(VLOOKUP(Referentie_Hernieuwbare_Energie_Totaal47[[#This Row],[Product]]&amp;", "&amp;Referentie_Hernieuwbare_Energie_Totaal47[[#Headers],[C4]],Database_Productkaarten[#All],48,FALSE),0)*Ontwerpberekening!J27),0))/Ontwerpberekening!$A$2</f>
        <v>10.584000000000001</v>
      </c>
      <c r="R152" s="77">
        <f>(IF(Ontwerpberekening!E27="Bestaande Situatie",(_xlfn.IFNA(VLOOKUP(Referentie_Hernieuwbare_Energie_Totaal47[[#This Row],[Product]]&amp;", "&amp;Referentie_Hernieuwbare_Energie_Totaal47[[#Headers],[D1]],Database_Productkaarten[#All],48,FALSE),0)*Ontwerpberekening!J27),0))/Ontwerpberekening!$A$2</f>
        <v>0</v>
      </c>
      <c r="S152" s="78">
        <f>(IF(Ontwerpberekening!E27="Bestaande Situatie",(_xlfn.IFNA(VLOOKUP(Referentie_Hernieuwbare_Energie_Totaal47[[#This Row],[Product]]&amp;", "&amp;Referentie_Hernieuwbare_Energie_Totaal47[[#Headers],[D2]],Database_Productkaarten[#All],48,FALSE),0)*Ontwerpberekening!J27),0))/Ontwerpberekening!$A$2</f>
        <v>0</v>
      </c>
      <c r="T152" s="57">
        <f>(IF(Ontwerpberekening!E27="Bestaande Situatie",(_xlfn.IFNA(VLOOKUP(Referentie_Hernieuwbare_Energie_Totaal47[[#This Row],[Product]]&amp;", "&amp;Referentie_Hernieuwbare_Energie_Totaal47[[#Headers],[D]],Database_Productkaarten[#All],48,FALSE),0)*Ontwerpberekening!J27),0))/Ontwerpberekening!$A$2</f>
        <v>0</v>
      </c>
      <c r="U152" s="56">
        <f>SUM(Referentie_Hernieuwbare_Energie_Totaal47[[#This Row],[A1-A3]:[C4]])+Referentie_Hernieuwbare_Energie_Totaal47[[#This Row],[D]]</f>
        <v>10.584000000000001</v>
      </c>
    </row>
    <row r="153" spans="2:21">
      <c r="B153" s="51" t="str">
        <f>Ontwerpberekening!B28</f>
        <v>Rockwool</v>
      </c>
      <c r="C153" s="51" t="str">
        <f>Ontwerpberekening!C28</f>
        <v>Grondverbetering</v>
      </c>
      <c r="D153" s="76" t="str">
        <f>Ontwerpberekening!G28</f>
        <v>Ophoogmateriaal (Zand)</v>
      </c>
      <c r="E153" s="77">
        <f>(IF(Ontwerpberekening!E28="Nieuwe Situatie",(_xlfn.IFNA(VLOOKUP(Referentie_Hernieuwbare_Energie_Totaal47[[#This Row],[Product]]&amp;", "&amp;Referentie_Hernieuwbare_Energie_Totaal47[[#Headers],[A1]],Database_Productkaarten[#All],48,FALSE),0)*Ontwerpberekening!J28),0))/Ontwerpberekening!$A$2</f>
        <v>0</v>
      </c>
      <c r="F153" s="77">
        <f>(IF(Ontwerpberekening!E28="Nieuwe Situatie",(_xlfn.IFNA(VLOOKUP(Referentie_Hernieuwbare_Energie_Totaal47[[#This Row],[Product]]&amp;", "&amp;Referentie_Hernieuwbare_Energie_Totaal47[[#Headers],[A2]],Database_Productkaarten[#All],48,FALSE),0)*Ontwerpberekening!J28),0))/Ontwerpberekening!$A$2</f>
        <v>0</v>
      </c>
      <c r="G153" s="77">
        <f>(IF(Ontwerpberekening!E28="Nieuwe Situatie",(_xlfn.IFNA(VLOOKUP(Referentie_Hernieuwbare_Energie_Totaal47[[#This Row],[Product]]&amp;", "&amp;Referentie_Hernieuwbare_Energie_Totaal47[[#Headers],[A3]],Database_Productkaarten[#All],48,FALSE),0)*Ontwerpberekening!J28),0))/Ontwerpberekening!$A$2</f>
        <v>0</v>
      </c>
      <c r="H153" s="77">
        <f>(IF(Ontwerpberekening!E28="Nieuwe Situatie",(_xlfn.IFNA(VLOOKUP(Referentie_Hernieuwbare_Energie_Totaal47[[#This Row],[Product]]&amp;", "&amp;Referentie_Hernieuwbare_Energie_Totaal47[[#Headers],[A1-A3]],Database_Productkaarten[#All],48,FALSE),0)*Ontwerpberekening!J28),0))/Ontwerpberekening!$A$2</f>
        <v>212.25</v>
      </c>
      <c r="I153" s="77">
        <f>(IF(Ontwerpberekening!E28="Nieuwe Situatie",(_xlfn.IFNA(VLOOKUP(Referentie_Hernieuwbare_Energie_Totaal47[[#This Row],[Product]]&amp;", "&amp;Referentie_Hernieuwbare_Energie_Totaal47[[#Headers],[A4]],Database_Productkaarten[#All],48,FALSE),0)*Ontwerpberekening!R28),0))/Ontwerpberekening!$A$2</f>
        <v>0</v>
      </c>
      <c r="J153" s="77">
        <f>(IF(Ontwerpberekening!E28="Nieuwe Situatie",(_xlfn.IFNA(VLOOKUP(Referentie_Hernieuwbare_Energie_Totaal47[[#This Row],[Product]]&amp;", "&amp;Referentie_Hernieuwbare_Energie_Totaal47[[#Headers],[A5]],Database_Productkaarten[#All],48,FALSE),0)*Ontwerpberekening!J28),0))/Ontwerpberekening!$A$2</f>
        <v>0</v>
      </c>
      <c r="K153" s="77">
        <f>(IF(Ontwerpberekening!E28="Nieuwe Situatie",(_xlfn.IFNA(VLOOKUP(Referentie_Hernieuwbare_Energie_Totaal47[[#This Row],[Product]]&amp;", "&amp;Referentie_Hernieuwbare_Energie_Totaal47[[#Headers],[B1]],Database_Productkaarten[#All],48,FALSE),0)*Ontwerpberekening!J28),0))/Ontwerpberekening!$A$2</f>
        <v>0</v>
      </c>
      <c r="L153" s="77">
        <f>(IF(Ontwerpberekening!E28="Nieuwe Situatie",(_xlfn.IFNA(VLOOKUP(Referentie_Hernieuwbare_Energie_Totaal47[[#This Row],[Product]]&amp;", "&amp;Referentie_Hernieuwbare_Energie_Totaal47[[#Headers],[B3]],Database_Productkaarten[#All],48,FALSE),0)*Ontwerpberekening!J28),0))/Ontwerpberekening!$A$2</f>
        <v>0</v>
      </c>
      <c r="M153" s="77">
        <f>(IF(Ontwerpberekening!E28="Nieuwe Situatie",(SUM(Referentie_Hernieuwbare_Energie_Totaal47[[#This Row],[A1]:[B1]],Referentie_Hernieuwbare_Energie_Totaal47[[#This Row],[C1]:[D2]])*Ontwerpberekening!T28),0))/Ontwerpberekening!$A$2</f>
        <v>0</v>
      </c>
      <c r="N153" s="77">
        <f>(IF(Ontwerpberekening!E28="Bestaande Situatie",(_xlfn.IFNA(VLOOKUP(Referentie_Hernieuwbare_Energie_Totaal47[[#This Row],[Product]]&amp;", "&amp;Referentie_Hernieuwbare_Energie_Totaal47[[#Headers],[C1]],Database_Productkaarten[#All],48,FALSE),0)*Ontwerpberekening!J28),0))/Ontwerpberekening!$A$2</f>
        <v>0</v>
      </c>
      <c r="O153" s="77">
        <f>(IF(Ontwerpberekening!E28="Bestaande Situatie",(_xlfn.IFNA(VLOOKUP(Referentie_Hernieuwbare_Energie_Totaal47[[#This Row],[Product]]&amp;", "&amp;Referentie_Hernieuwbare_Energie_Totaal47[[#Headers],[C2]],Database_Productkaarten[#All],48,FALSE),0)*Ontwerpberekening!R28),0))/Ontwerpberekening!$A$2</f>
        <v>0</v>
      </c>
      <c r="P153" s="77">
        <f>(IF(Ontwerpberekening!E28="Bestaande Situatie",(_xlfn.IFNA(VLOOKUP(Referentie_Hernieuwbare_Energie_Totaal47[[#This Row],[Product]]&amp;", "&amp;Referentie_Hernieuwbare_Energie_Totaal47[[#Headers],[C3]],Database_Productkaarten[#All],48,FALSE),0)*Ontwerpberekening!J28),0))/Ontwerpberekening!$A$2</f>
        <v>0</v>
      </c>
      <c r="Q153" s="77">
        <f>(IF(Ontwerpberekening!E28="Bestaande Situatie",(_xlfn.IFNA(VLOOKUP(Referentie_Hernieuwbare_Energie_Totaal47[[#This Row],[Product]]&amp;", "&amp;Referentie_Hernieuwbare_Energie_Totaal47[[#Headers],[C4]],Database_Productkaarten[#All],48,FALSE),0)*Ontwerpberekening!J28),0))/Ontwerpberekening!$A$2</f>
        <v>0</v>
      </c>
      <c r="R153" s="77">
        <f>(IF(Ontwerpberekening!E28="Bestaande Situatie",(_xlfn.IFNA(VLOOKUP(Referentie_Hernieuwbare_Energie_Totaal47[[#This Row],[Product]]&amp;", "&amp;Referentie_Hernieuwbare_Energie_Totaal47[[#Headers],[D1]],Database_Productkaarten[#All],48,FALSE),0)*Ontwerpberekening!J28),0))/Ontwerpberekening!$A$2</f>
        <v>0</v>
      </c>
      <c r="S153" s="78">
        <f>(IF(Ontwerpberekening!E28="Bestaande Situatie",(_xlfn.IFNA(VLOOKUP(Referentie_Hernieuwbare_Energie_Totaal47[[#This Row],[Product]]&amp;", "&amp;Referentie_Hernieuwbare_Energie_Totaal47[[#Headers],[D2]],Database_Productkaarten[#All],48,FALSE),0)*Ontwerpberekening!J28),0))/Ontwerpberekening!$A$2</f>
        <v>0</v>
      </c>
      <c r="T153" s="57">
        <f>(IF(Ontwerpberekening!E28="Bestaande Situatie",(_xlfn.IFNA(VLOOKUP(Referentie_Hernieuwbare_Energie_Totaal47[[#This Row],[Product]]&amp;", "&amp;Referentie_Hernieuwbare_Energie_Totaal47[[#Headers],[D]],Database_Productkaarten[#All],48,FALSE),0)*Ontwerpberekening!J28),0))/Ontwerpberekening!$A$2</f>
        <v>0</v>
      </c>
      <c r="U153" s="56">
        <f>SUM(Referentie_Hernieuwbare_Energie_Totaal47[[#This Row],[A1-A3]:[C4]])+Referentie_Hernieuwbare_Energie_Totaal47[[#This Row],[D]]</f>
        <v>212.25</v>
      </c>
    </row>
    <row r="154" spans="2:21">
      <c r="B154" s="51" t="str">
        <f>Ontwerpberekening!B29</f>
        <v>Rockwool</v>
      </c>
      <c r="C154" s="51" t="str">
        <f>Ontwerpberekening!C29</f>
        <v>Waterbergendelaag</v>
      </c>
      <c r="D154" s="76" t="str">
        <f>Ontwerpberekening!G29</f>
        <v>Rockwool, 50 cm</v>
      </c>
      <c r="E154" s="77">
        <f>(IF(Ontwerpberekening!E29="Nieuwe Situatie",(_xlfn.IFNA(VLOOKUP(Referentie_Hernieuwbare_Energie_Totaal47[[#This Row],[Product]]&amp;", "&amp;Referentie_Hernieuwbare_Energie_Totaal47[[#Headers],[A1]],Database_Productkaarten[#All],48,FALSE),0)*Ontwerpberekening!J29),0))/Ontwerpberekening!$A$2</f>
        <v>0</v>
      </c>
      <c r="F154" s="77">
        <f>(IF(Ontwerpberekening!E29="Nieuwe Situatie",(_xlfn.IFNA(VLOOKUP(Referentie_Hernieuwbare_Energie_Totaal47[[#This Row],[Product]]&amp;", "&amp;Referentie_Hernieuwbare_Energie_Totaal47[[#Headers],[A2]],Database_Productkaarten[#All],48,FALSE),0)*Ontwerpberekening!J29),0))/Ontwerpberekening!$A$2</f>
        <v>0</v>
      </c>
      <c r="G154" s="77">
        <f>(IF(Ontwerpberekening!E29="Nieuwe Situatie",(_xlfn.IFNA(VLOOKUP(Referentie_Hernieuwbare_Energie_Totaal47[[#This Row],[Product]]&amp;", "&amp;Referentie_Hernieuwbare_Energie_Totaal47[[#Headers],[A3]],Database_Productkaarten[#All],48,FALSE),0)*Ontwerpberekening!J29),0))/Ontwerpberekening!$A$2</f>
        <v>0</v>
      </c>
      <c r="H154" s="77">
        <f>(IF(Ontwerpberekening!E29="Nieuwe Situatie",(_xlfn.IFNA(VLOOKUP(Referentie_Hernieuwbare_Energie_Totaal47[[#This Row],[Product]]&amp;", "&amp;Referentie_Hernieuwbare_Energie_Totaal47[[#Headers],[A1-A3]],Database_Productkaarten[#All],48,FALSE),0)*Ontwerpberekening!J29),0))/Ontwerpberekening!$A$2</f>
        <v>0</v>
      </c>
      <c r="I154" s="77">
        <f>(IF(Ontwerpberekening!E29="Nieuwe Situatie",(_xlfn.IFNA(VLOOKUP(Referentie_Hernieuwbare_Energie_Totaal47[[#This Row],[Product]]&amp;", "&amp;Referentie_Hernieuwbare_Energie_Totaal47[[#Headers],[A4]],Database_Productkaarten[#All],48,FALSE),0)*Ontwerpberekening!R29),0))/Ontwerpberekening!$A$2</f>
        <v>0</v>
      </c>
      <c r="J154" s="77">
        <f>(IF(Ontwerpberekening!E29="Nieuwe Situatie",(_xlfn.IFNA(VLOOKUP(Referentie_Hernieuwbare_Energie_Totaal47[[#This Row],[Product]]&amp;", "&amp;Referentie_Hernieuwbare_Energie_Totaal47[[#Headers],[A5]],Database_Productkaarten[#All],48,FALSE),0)*Ontwerpberekening!J29),0))/Ontwerpberekening!$A$2</f>
        <v>0</v>
      </c>
      <c r="K154" s="77">
        <f>(IF(Ontwerpberekening!E29="Nieuwe Situatie",(_xlfn.IFNA(VLOOKUP(Referentie_Hernieuwbare_Energie_Totaal47[[#This Row],[Product]]&amp;", "&amp;Referentie_Hernieuwbare_Energie_Totaal47[[#Headers],[B1]],Database_Productkaarten[#All],48,FALSE),0)*Ontwerpberekening!J29),0))/Ontwerpberekening!$A$2</f>
        <v>0</v>
      </c>
      <c r="L154" s="77">
        <f>(IF(Ontwerpberekening!E29="Nieuwe Situatie",(_xlfn.IFNA(VLOOKUP(Referentie_Hernieuwbare_Energie_Totaal47[[#This Row],[Product]]&amp;", "&amp;Referentie_Hernieuwbare_Energie_Totaal47[[#Headers],[B3]],Database_Productkaarten[#All],48,FALSE),0)*Ontwerpberekening!J29),0))/Ontwerpberekening!$A$2</f>
        <v>0</v>
      </c>
      <c r="M154" s="77">
        <f>(IF(Ontwerpberekening!E29="Nieuwe Situatie",(SUM(Referentie_Hernieuwbare_Energie_Totaal47[[#This Row],[A1]:[B1]],Referentie_Hernieuwbare_Energie_Totaal47[[#This Row],[C1]:[D2]])*Ontwerpberekening!T29),0))/Ontwerpberekening!$A$2</f>
        <v>0</v>
      </c>
      <c r="N154" s="77">
        <f>(IF(Ontwerpberekening!E29="Bestaande Situatie",(_xlfn.IFNA(VLOOKUP(Referentie_Hernieuwbare_Energie_Totaal47[[#This Row],[Product]]&amp;", "&amp;Referentie_Hernieuwbare_Energie_Totaal47[[#Headers],[C1]],Database_Productkaarten[#All],48,FALSE),0)*Ontwerpberekening!J29),0))/Ontwerpberekening!$A$2</f>
        <v>0</v>
      </c>
      <c r="O154" s="77">
        <f>(IF(Ontwerpberekening!E29="Bestaande Situatie",(_xlfn.IFNA(VLOOKUP(Referentie_Hernieuwbare_Energie_Totaal47[[#This Row],[Product]]&amp;", "&amp;Referentie_Hernieuwbare_Energie_Totaal47[[#Headers],[C2]],Database_Productkaarten[#All],48,FALSE),0)*Ontwerpberekening!R29),0))/Ontwerpberekening!$A$2</f>
        <v>0</v>
      </c>
      <c r="P154" s="77">
        <f>(IF(Ontwerpberekening!E29="Bestaande Situatie",(_xlfn.IFNA(VLOOKUP(Referentie_Hernieuwbare_Energie_Totaal47[[#This Row],[Product]]&amp;", "&amp;Referentie_Hernieuwbare_Energie_Totaal47[[#Headers],[C3]],Database_Productkaarten[#All],48,FALSE),0)*Ontwerpberekening!J29),0))/Ontwerpberekening!$A$2</f>
        <v>0</v>
      </c>
      <c r="Q154" s="77">
        <f>(IF(Ontwerpberekening!E29="Bestaande Situatie",(_xlfn.IFNA(VLOOKUP(Referentie_Hernieuwbare_Energie_Totaal47[[#This Row],[Product]]&amp;", "&amp;Referentie_Hernieuwbare_Energie_Totaal47[[#Headers],[C4]],Database_Productkaarten[#All],48,FALSE),0)*Ontwerpberekening!J29),0))/Ontwerpberekening!$A$2</f>
        <v>0</v>
      </c>
      <c r="R154" s="77">
        <f>(IF(Ontwerpberekening!E29="Bestaande Situatie",(_xlfn.IFNA(VLOOKUP(Referentie_Hernieuwbare_Energie_Totaal47[[#This Row],[Product]]&amp;", "&amp;Referentie_Hernieuwbare_Energie_Totaal47[[#Headers],[D1]],Database_Productkaarten[#All],48,FALSE),0)*Ontwerpberekening!J29),0))/Ontwerpberekening!$A$2</f>
        <v>0</v>
      </c>
      <c r="S154" s="79">
        <f>(IF(Ontwerpberekening!E29="Bestaande Situatie",(_xlfn.IFNA(VLOOKUP(Referentie_Hernieuwbare_Energie_Totaal47[[#This Row],[Product]]&amp;", "&amp;Referentie_Hernieuwbare_Energie_Totaal47[[#Headers],[D2]],Database_Productkaarten[#All],48,FALSE),0)*Ontwerpberekening!J29),0))/Ontwerpberekening!$A$2</f>
        <v>0</v>
      </c>
      <c r="T154" s="56">
        <f>(IF(Ontwerpberekening!E29="Bestaande Situatie",(_xlfn.IFNA(VLOOKUP(Referentie_Hernieuwbare_Energie_Totaal47[[#This Row],[Product]]&amp;", "&amp;Referentie_Hernieuwbare_Energie_Totaal47[[#Headers],[D]],Database_Productkaarten[#All],48,FALSE),0)*Ontwerpberekening!J29),0))/Ontwerpberekening!$A$2</f>
        <v>0</v>
      </c>
      <c r="U154" s="56">
        <f>SUM(Referentie_Hernieuwbare_Energie_Totaal47[[#This Row],[A1-A3]:[C4]])+Referentie_Hernieuwbare_Energie_Totaal47[[#This Row],[D]]</f>
        <v>0</v>
      </c>
    </row>
    <row r="155" spans="2:21">
      <c r="B155" s="51" t="str">
        <f>Ontwerpberekening!B30</f>
        <v>Rockwool</v>
      </c>
      <c r="C155" s="51" t="str">
        <f>Ontwerpberekening!C30</f>
        <v>Menggranulaat</v>
      </c>
      <c r="D155" s="76" t="str">
        <f>Ontwerpberekening!G30</f>
        <v>Menggranulaat 300mm</v>
      </c>
      <c r="E155" s="77">
        <f>(IF(Ontwerpberekening!E30="Nieuwe Situatie",(_xlfn.IFNA(VLOOKUP(Referentie_Hernieuwbare_Energie_Totaal47[[#This Row],[Product]]&amp;", "&amp;Referentie_Hernieuwbare_Energie_Totaal47[[#Headers],[A1]],Database_Productkaarten[#All],48,FALSE),0)*Ontwerpberekening!J30),0))/Ontwerpberekening!$A$2</f>
        <v>0</v>
      </c>
      <c r="F155" s="77">
        <f>(IF(Ontwerpberekening!E30="Nieuwe Situatie",(_xlfn.IFNA(VLOOKUP(Referentie_Hernieuwbare_Energie_Totaal47[[#This Row],[Product]]&amp;", "&amp;Referentie_Hernieuwbare_Energie_Totaal47[[#Headers],[A2]],Database_Productkaarten[#All],48,FALSE),0)*Ontwerpberekening!J30),0))/Ontwerpberekening!$A$2</f>
        <v>0</v>
      </c>
      <c r="G155" s="77">
        <f>(IF(Ontwerpberekening!E30="Nieuwe Situatie",(_xlfn.IFNA(VLOOKUP(Referentie_Hernieuwbare_Energie_Totaal47[[#This Row],[Product]]&amp;", "&amp;Referentie_Hernieuwbare_Energie_Totaal47[[#Headers],[A3]],Database_Productkaarten[#All],48,FALSE),0)*Ontwerpberekening!J30),0))/Ontwerpberekening!$A$2</f>
        <v>0</v>
      </c>
      <c r="H155" s="77">
        <f>(IF(Ontwerpberekening!E30="Nieuwe Situatie",(_xlfn.IFNA(VLOOKUP(Referentie_Hernieuwbare_Energie_Totaal47[[#This Row],[Product]]&amp;", "&amp;Referentie_Hernieuwbare_Energie_Totaal47[[#Headers],[A1-A3]],Database_Productkaarten[#All],48,FALSE),0)*Ontwerpberekening!J30),0))/Ontwerpberekening!$A$2</f>
        <v>0</v>
      </c>
      <c r="I155" s="77">
        <f>(IF(Ontwerpberekening!E30="Nieuwe Situatie",(_xlfn.IFNA(VLOOKUP(Referentie_Hernieuwbare_Energie_Totaal47[[#This Row],[Product]]&amp;", "&amp;Referentie_Hernieuwbare_Energie_Totaal47[[#Headers],[A4]],Database_Productkaarten[#All],48,FALSE),0)*Ontwerpberekening!R30),0))/Ontwerpberekening!$A$2</f>
        <v>195.39000000000001</v>
      </c>
      <c r="J155" s="77">
        <f>(IF(Ontwerpberekening!E30="Nieuwe Situatie",(_xlfn.IFNA(VLOOKUP(Referentie_Hernieuwbare_Energie_Totaal47[[#This Row],[Product]]&amp;", "&amp;Referentie_Hernieuwbare_Energie_Totaal47[[#Headers],[A5]],Database_Productkaarten[#All],48,FALSE),0)*Ontwerpberekening!J30),0))/Ontwerpberekening!$A$2</f>
        <v>113</v>
      </c>
      <c r="K155" s="77">
        <f>(IF(Ontwerpberekening!E30="Nieuwe Situatie",(_xlfn.IFNA(VLOOKUP(Referentie_Hernieuwbare_Energie_Totaal47[[#This Row],[Product]]&amp;", "&amp;Referentie_Hernieuwbare_Energie_Totaal47[[#Headers],[B1]],Database_Productkaarten[#All],48,FALSE),0)*Ontwerpberekening!J30),0))/Ontwerpberekening!$A$2</f>
        <v>0</v>
      </c>
      <c r="L155" s="77">
        <f>(IF(Ontwerpberekening!E30="Nieuwe Situatie",(_xlfn.IFNA(VLOOKUP(Referentie_Hernieuwbare_Energie_Totaal47[[#This Row],[Product]]&amp;", "&amp;Referentie_Hernieuwbare_Energie_Totaal47[[#Headers],[B3]],Database_Productkaarten[#All],48,FALSE),0)*Ontwerpberekening!J30),0))/Ontwerpberekening!$A$2</f>
        <v>0</v>
      </c>
      <c r="M155" s="77">
        <f>(IF(Ontwerpberekening!E30="Nieuwe Situatie",(SUM(Referentie_Hernieuwbare_Energie_Totaal47[[#This Row],[A1]:[B1]],Referentie_Hernieuwbare_Energie_Totaal47[[#This Row],[C1]:[D2]])*Ontwerpberekening!T30),0))/Ontwerpberekening!$A$2</f>
        <v>0</v>
      </c>
      <c r="N155" s="77">
        <f>(IF(Ontwerpberekening!E30="Bestaande Situatie",(_xlfn.IFNA(VLOOKUP(Referentie_Hernieuwbare_Energie_Totaal47[[#This Row],[Product]]&amp;", "&amp;Referentie_Hernieuwbare_Energie_Totaal47[[#Headers],[C1]],Database_Productkaarten[#All],48,FALSE),0)*Ontwerpberekening!J30),0))/Ontwerpberekening!$A$2</f>
        <v>0</v>
      </c>
      <c r="O155" s="77">
        <f>(IF(Ontwerpberekening!E30="Bestaande Situatie",(_xlfn.IFNA(VLOOKUP(Referentie_Hernieuwbare_Energie_Totaal47[[#This Row],[Product]]&amp;", "&amp;Referentie_Hernieuwbare_Energie_Totaal47[[#Headers],[C2]],Database_Productkaarten[#All],48,FALSE),0)*Ontwerpberekening!R30),0))/Ontwerpberekening!$A$2</f>
        <v>0</v>
      </c>
      <c r="P155" s="77">
        <f>(IF(Ontwerpberekening!E30="Bestaande Situatie",(_xlfn.IFNA(VLOOKUP(Referentie_Hernieuwbare_Energie_Totaal47[[#This Row],[Product]]&amp;", "&amp;Referentie_Hernieuwbare_Energie_Totaal47[[#Headers],[C3]],Database_Productkaarten[#All],48,FALSE),0)*Ontwerpberekening!J30),0))/Ontwerpberekening!$A$2</f>
        <v>0</v>
      </c>
      <c r="Q155" s="77">
        <f>(IF(Ontwerpberekening!E30="Bestaande Situatie",(_xlfn.IFNA(VLOOKUP(Referentie_Hernieuwbare_Energie_Totaal47[[#This Row],[Product]]&amp;", "&amp;Referentie_Hernieuwbare_Energie_Totaal47[[#Headers],[C4]],Database_Productkaarten[#All],48,FALSE),0)*Ontwerpberekening!J30),0))/Ontwerpberekening!$A$2</f>
        <v>0</v>
      </c>
      <c r="R155" s="77">
        <f>(IF(Ontwerpberekening!E30="Bestaande Situatie",(_xlfn.IFNA(VLOOKUP(Referentie_Hernieuwbare_Energie_Totaal47[[#This Row],[Product]]&amp;", "&amp;Referentie_Hernieuwbare_Energie_Totaal47[[#Headers],[D1]],Database_Productkaarten[#All],48,FALSE),0)*Ontwerpberekening!J30),0))/Ontwerpberekening!$A$2</f>
        <v>0</v>
      </c>
      <c r="S155" s="78">
        <f>(IF(Ontwerpberekening!E30="Bestaande Situatie",(_xlfn.IFNA(VLOOKUP(Referentie_Hernieuwbare_Energie_Totaal47[[#This Row],[Product]]&amp;", "&amp;Referentie_Hernieuwbare_Energie_Totaal47[[#Headers],[D2]],Database_Productkaarten[#All],48,FALSE),0)*Ontwerpberekening!J30),0))/Ontwerpberekening!$A$2</f>
        <v>0</v>
      </c>
      <c r="T155" s="57">
        <f>(IF(Ontwerpberekening!E30="Bestaande Situatie",(_xlfn.IFNA(VLOOKUP(Referentie_Hernieuwbare_Energie_Totaal47[[#This Row],[Product]]&amp;", "&amp;Referentie_Hernieuwbare_Energie_Totaal47[[#Headers],[D]],Database_Productkaarten[#All],48,FALSE),0)*Ontwerpberekening!J30),0))/Ontwerpberekening!$A$2</f>
        <v>0</v>
      </c>
      <c r="U155" s="56">
        <f>SUM(Referentie_Hernieuwbare_Energie_Totaal47[[#This Row],[A1-A3]:[C4]])+Referentie_Hernieuwbare_Energie_Totaal47[[#This Row],[D]]</f>
        <v>308.39</v>
      </c>
    </row>
    <row r="156" spans="2:21">
      <c r="B156" s="51" t="str">
        <f>Ontwerpberekening!B31</f>
        <v>Rockwool</v>
      </c>
      <c r="C156" s="51" t="str">
        <f>Ontwerpberekening!C31</f>
        <v>Straatlaag</v>
      </c>
      <c r="D156" s="76" t="str">
        <f>Ontwerpberekening!G31</f>
        <v>Ophoogmateriaal (Zand)</v>
      </c>
      <c r="E156" s="77">
        <f>(IF(Ontwerpberekening!E31="Nieuwe Situatie",(_xlfn.IFNA(VLOOKUP(Referentie_Hernieuwbare_Energie_Totaal47[[#This Row],[Product]]&amp;", "&amp;Referentie_Hernieuwbare_Energie_Totaal47[[#Headers],[A1]],Database_Productkaarten[#All],48,FALSE),0)*Ontwerpberekening!J31),0))/Ontwerpberekening!$A$2</f>
        <v>0</v>
      </c>
      <c r="F156" s="77">
        <f>(IF(Ontwerpberekening!E31="Nieuwe Situatie",(_xlfn.IFNA(VLOOKUP(Referentie_Hernieuwbare_Energie_Totaal47[[#This Row],[Product]]&amp;", "&amp;Referentie_Hernieuwbare_Energie_Totaal47[[#Headers],[A2]],Database_Productkaarten[#All],48,FALSE),0)*Ontwerpberekening!J31),0))/Ontwerpberekening!$A$2</f>
        <v>0</v>
      </c>
      <c r="G156" s="77">
        <f>(IF(Ontwerpberekening!E31="Nieuwe Situatie",(_xlfn.IFNA(VLOOKUP(Referentie_Hernieuwbare_Energie_Totaal47[[#This Row],[Product]]&amp;", "&amp;Referentie_Hernieuwbare_Energie_Totaal47[[#Headers],[A3]],Database_Productkaarten[#All],48,FALSE),0)*Ontwerpberekening!J31),0))/Ontwerpberekening!$A$2</f>
        <v>0</v>
      </c>
      <c r="H156" s="77">
        <f>(IF(Ontwerpberekening!E31="Nieuwe Situatie",(_xlfn.IFNA(VLOOKUP(Referentie_Hernieuwbare_Energie_Totaal47[[#This Row],[Product]]&amp;", "&amp;Referentie_Hernieuwbare_Energie_Totaal47[[#Headers],[A1-A3]],Database_Productkaarten[#All],48,FALSE),0)*Ontwerpberekening!J31),0))/Ontwerpberekening!$A$2</f>
        <v>212.25</v>
      </c>
      <c r="I156" s="77">
        <f>(IF(Ontwerpberekening!E31="Nieuwe Situatie",(_xlfn.IFNA(VLOOKUP(Referentie_Hernieuwbare_Energie_Totaal47[[#This Row],[Product]]&amp;", "&amp;Referentie_Hernieuwbare_Energie_Totaal47[[#Headers],[A4]],Database_Productkaarten[#All],48,FALSE),0)*Ontwerpberekening!R31),0))/Ontwerpberekening!$A$2</f>
        <v>0</v>
      </c>
      <c r="J156" s="77">
        <f>(IF(Ontwerpberekening!E31="Nieuwe Situatie",(_xlfn.IFNA(VLOOKUP(Referentie_Hernieuwbare_Energie_Totaal47[[#This Row],[Product]]&amp;", "&amp;Referentie_Hernieuwbare_Energie_Totaal47[[#Headers],[A5]],Database_Productkaarten[#All],48,FALSE),0)*Ontwerpberekening!J31),0))/Ontwerpberekening!$A$2</f>
        <v>0</v>
      </c>
      <c r="K156" s="77">
        <f>(IF(Ontwerpberekening!E31="Nieuwe Situatie",(_xlfn.IFNA(VLOOKUP(Referentie_Hernieuwbare_Energie_Totaal47[[#This Row],[Product]]&amp;", "&amp;Referentie_Hernieuwbare_Energie_Totaal47[[#Headers],[B1]],Database_Productkaarten[#All],48,FALSE),0)*Ontwerpberekening!J31),0))/Ontwerpberekening!$A$2</f>
        <v>0</v>
      </c>
      <c r="L156" s="77">
        <f>(IF(Ontwerpberekening!E31="Nieuwe Situatie",(_xlfn.IFNA(VLOOKUP(Referentie_Hernieuwbare_Energie_Totaal47[[#This Row],[Product]]&amp;", "&amp;Referentie_Hernieuwbare_Energie_Totaal47[[#Headers],[B3]],Database_Productkaarten[#All],48,FALSE),0)*Ontwerpberekening!J31),0))/Ontwerpberekening!$A$2</f>
        <v>0</v>
      </c>
      <c r="M156" s="77">
        <f>(IF(Ontwerpberekening!E31="Nieuwe Situatie",(SUM(Referentie_Hernieuwbare_Energie_Totaal47[[#This Row],[A1]:[B1]],Referentie_Hernieuwbare_Energie_Totaal47[[#This Row],[C1]:[D2]])*Ontwerpberekening!T31),0))/Ontwerpberekening!$A$2</f>
        <v>0</v>
      </c>
      <c r="N156" s="77">
        <f>(IF(Ontwerpberekening!E31="Bestaande Situatie",(_xlfn.IFNA(VLOOKUP(Referentie_Hernieuwbare_Energie_Totaal47[[#This Row],[Product]]&amp;", "&amp;Referentie_Hernieuwbare_Energie_Totaal47[[#Headers],[C1]],Database_Productkaarten[#All],48,FALSE),0)*Ontwerpberekening!J31),0))/Ontwerpberekening!$A$2</f>
        <v>0</v>
      </c>
      <c r="O156" s="77">
        <f>(IF(Ontwerpberekening!E31="Bestaande Situatie",(_xlfn.IFNA(VLOOKUP(Referentie_Hernieuwbare_Energie_Totaal47[[#This Row],[Product]]&amp;", "&amp;Referentie_Hernieuwbare_Energie_Totaal47[[#Headers],[C2]],Database_Productkaarten[#All],48,FALSE),0)*Ontwerpberekening!R31),0))/Ontwerpberekening!$A$2</f>
        <v>0</v>
      </c>
      <c r="P156" s="77">
        <f>(IF(Ontwerpberekening!E31="Bestaande Situatie",(_xlfn.IFNA(VLOOKUP(Referentie_Hernieuwbare_Energie_Totaal47[[#This Row],[Product]]&amp;", "&amp;Referentie_Hernieuwbare_Energie_Totaal47[[#Headers],[C3]],Database_Productkaarten[#All],48,FALSE),0)*Ontwerpberekening!J31),0))/Ontwerpberekening!$A$2</f>
        <v>0</v>
      </c>
      <c r="Q156" s="77">
        <f>(IF(Ontwerpberekening!E31="Bestaande Situatie",(_xlfn.IFNA(VLOOKUP(Referentie_Hernieuwbare_Energie_Totaal47[[#This Row],[Product]]&amp;", "&amp;Referentie_Hernieuwbare_Energie_Totaal47[[#Headers],[C4]],Database_Productkaarten[#All],48,FALSE),0)*Ontwerpberekening!J31),0))/Ontwerpberekening!$A$2</f>
        <v>0</v>
      </c>
      <c r="R156" s="77">
        <f>(IF(Ontwerpberekening!E31="Bestaande Situatie",(_xlfn.IFNA(VLOOKUP(Referentie_Hernieuwbare_Energie_Totaal47[[#This Row],[Product]]&amp;", "&amp;Referentie_Hernieuwbare_Energie_Totaal47[[#Headers],[D1]],Database_Productkaarten[#All],48,FALSE),0)*Ontwerpberekening!J31),0))/Ontwerpberekening!$A$2</f>
        <v>0</v>
      </c>
      <c r="S156" s="78">
        <f>(IF(Ontwerpberekening!E31="Bestaande Situatie",(_xlfn.IFNA(VLOOKUP(Referentie_Hernieuwbare_Energie_Totaal47[[#This Row],[Product]]&amp;", "&amp;Referentie_Hernieuwbare_Energie_Totaal47[[#Headers],[D2]],Database_Productkaarten[#All],48,FALSE),0)*Ontwerpberekening!J31),0))/Ontwerpberekening!$A$2</f>
        <v>0</v>
      </c>
      <c r="T156" s="57">
        <f>(IF(Ontwerpberekening!E31="Bestaande Situatie",(_xlfn.IFNA(VLOOKUP(Referentie_Hernieuwbare_Energie_Totaal47[[#This Row],[Product]]&amp;", "&amp;Referentie_Hernieuwbare_Energie_Totaal47[[#Headers],[D]],Database_Productkaarten[#All],48,FALSE),0)*Ontwerpberekening!J31),0))/Ontwerpberekening!$A$2</f>
        <v>0</v>
      </c>
      <c r="U156" s="56">
        <f>SUM(Referentie_Hernieuwbare_Energie_Totaal47[[#This Row],[A1-A3]:[C4]])+Referentie_Hernieuwbare_Energie_Totaal47[[#This Row],[D]]</f>
        <v>212.25</v>
      </c>
    </row>
    <row r="157" spans="2:21">
      <c r="B157" s="51" t="str">
        <f>Ontwerpberekening!B32</f>
        <v>Rockwool</v>
      </c>
      <c r="C157" s="51" t="str">
        <f>Ontwerpberekening!C32</f>
        <v>Toplaag</v>
      </c>
      <c r="D157" s="76" t="str">
        <f>Ontwerpberekening!G32</f>
        <v>Betonstraatsteen 210x105x80</v>
      </c>
      <c r="E157" s="77">
        <f>(IF(Ontwerpberekening!E32="Nieuwe Situatie",(_xlfn.IFNA(VLOOKUP(Referentie_Hernieuwbare_Energie_Totaal47[[#This Row],[Product]]&amp;", "&amp;Referentie_Hernieuwbare_Energie_Totaal47[[#Headers],[A1]],Database_Productkaarten[#All],48,FALSE),0)*Ontwerpberekening!J32),0))/Ontwerpberekening!$A$2</f>
        <v>9607.8685000000005</v>
      </c>
      <c r="F157" s="77">
        <f>(IF(Ontwerpberekening!E32="Nieuwe Situatie",(_xlfn.IFNA(VLOOKUP(Referentie_Hernieuwbare_Energie_Totaal47[[#This Row],[Product]]&amp;", "&amp;Referentie_Hernieuwbare_Energie_Totaal47[[#Headers],[A2]],Database_Productkaarten[#All],48,FALSE),0)*Ontwerpberekening!J32),0))/Ontwerpberekening!$A$2</f>
        <v>101.500435</v>
      </c>
      <c r="G157" s="77">
        <f>(IF(Ontwerpberekening!E32="Nieuwe Situatie",(_xlfn.IFNA(VLOOKUP(Referentie_Hernieuwbare_Energie_Totaal47[[#This Row],[Product]]&amp;", "&amp;Referentie_Hernieuwbare_Energie_Totaal47[[#Headers],[A3]],Database_Productkaarten[#All],48,FALSE),0)*Ontwerpberekening!J32),0))/Ontwerpberekening!$A$2</f>
        <v>739.49469999999997</v>
      </c>
      <c r="H157" s="77">
        <f>(IF(Ontwerpberekening!E32="Nieuwe Situatie",(_xlfn.IFNA(VLOOKUP(Referentie_Hernieuwbare_Energie_Totaal47[[#This Row],[Product]]&amp;", "&amp;Referentie_Hernieuwbare_Energie_Totaal47[[#Headers],[A1-A3]],Database_Productkaarten[#All],48,FALSE),0)*Ontwerpberekening!J32),0))/Ontwerpberekening!$A$2</f>
        <v>10448.863635</v>
      </c>
      <c r="I157" s="77">
        <f>(IF(Ontwerpberekening!E32="Nieuwe Situatie",(_xlfn.IFNA(VLOOKUP(Referentie_Hernieuwbare_Energie_Totaal47[[#This Row],[Product]]&amp;", "&amp;Referentie_Hernieuwbare_Energie_Totaal47[[#Headers],[A4]],Database_Productkaarten[#All],48,FALSE),0)*Ontwerpberekening!R32),0))/Ontwerpberekening!$A$2</f>
        <v>67.090458244000004</v>
      </c>
      <c r="J157" s="77">
        <f>(IF(Ontwerpberekening!E32="Nieuwe Situatie",(_xlfn.IFNA(VLOOKUP(Referentie_Hernieuwbare_Energie_Totaal47[[#This Row],[Product]]&amp;", "&amp;Referentie_Hernieuwbare_Energie_Totaal47[[#Headers],[A5]],Database_Productkaarten[#All],48,FALSE),0)*Ontwerpberekening!J32),0))/Ontwerpberekening!$A$2</f>
        <v>347.22676000000001</v>
      </c>
      <c r="K157" s="77">
        <f>(IF(Ontwerpberekening!E32="Nieuwe Situatie",(_xlfn.IFNA(VLOOKUP(Referentie_Hernieuwbare_Energie_Totaal47[[#This Row],[Product]]&amp;", "&amp;Referentie_Hernieuwbare_Energie_Totaal47[[#Headers],[B1]],Database_Productkaarten[#All],48,FALSE),0)*Ontwerpberekening!J32),0))/Ontwerpberekening!$A$2</f>
        <v>0</v>
      </c>
      <c r="L157" s="77">
        <f>(IF(Ontwerpberekening!E32="Nieuwe Situatie",(_xlfn.IFNA(VLOOKUP(Referentie_Hernieuwbare_Energie_Totaal47[[#This Row],[Product]]&amp;", "&amp;Referentie_Hernieuwbare_Energie_Totaal47[[#Headers],[B3]],Database_Productkaarten[#All],48,FALSE),0)*Ontwerpberekening!J32),0))/Ontwerpberekening!$A$2</f>
        <v>0</v>
      </c>
      <c r="M157" s="77">
        <f>(IF(Ontwerpberekening!E32="Nieuwe Situatie",(SUM(Referentie_Hernieuwbare_Energie_Totaal47[[#This Row],[A1]:[B1]],Referentie_Hernieuwbare_Energie_Totaal47[[#This Row],[C1]:[D2]])*Ontwerpberekening!T32),0))/Ontwerpberekening!$A$2</f>
        <v>0</v>
      </c>
      <c r="N157" s="77">
        <f>(IF(Ontwerpberekening!E32="Bestaande Situatie",(_xlfn.IFNA(VLOOKUP(Referentie_Hernieuwbare_Energie_Totaal47[[#This Row],[Product]]&amp;", "&amp;Referentie_Hernieuwbare_Energie_Totaal47[[#Headers],[C1]],Database_Productkaarten[#All],48,FALSE),0)*Ontwerpberekening!J32),0))/Ontwerpberekening!$A$2</f>
        <v>0</v>
      </c>
      <c r="O157" s="77">
        <f>(IF(Ontwerpberekening!E32="Bestaande Situatie",(_xlfn.IFNA(VLOOKUP(Referentie_Hernieuwbare_Energie_Totaal47[[#This Row],[Product]]&amp;", "&amp;Referentie_Hernieuwbare_Energie_Totaal47[[#Headers],[C2]],Database_Productkaarten[#All],48,FALSE),0)*Ontwerpberekening!R32),0))/Ontwerpberekening!$A$2</f>
        <v>0</v>
      </c>
      <c r="P157" s="77">
        <f>(IF(Ontwerpberekening!E32="Bestaande Situatie",(_xlfn.IFNA(VLOOKUP(Referentie_Hernieuwbare_Energie_Totaal47[[#This Row],[Product]]&amp;", "&amp;Referentie_Hernieuwbare_Energie_Totaal47[[#Headers],[C3]],Database_Productkaarten[#All],48,FALSE),0)*Ontwerpberekening!J32),0))/Ontwerpberekening!$A$2</f>
        <v>0</v>
      </c>
      <c r="Q157" s="77">
        <f>(IF(Ontwerpberekening!E32="Bestaande Situatie",(_xlfn.IFNA(VLOOKUP(Referentie_Hernieuwbare_Energie_Totaal47[[#This Row],[Product]]&amp;", "&amp;Referentie_Hernieuwbare_Energie_Totaal47[[#Headers],[C4]],Database_Productkaarten[#All],48,FALSE),0)*Ontwerpberekening!J32),0))/Ontwerpberekening!$A$2</f>
        <v>0</v>
      </c>
      <c r="R157" s="77">
        <f>(IF(Ontwerpberekening!E32="Bestaande Situatie",(_xlfn.IFNA(VLOOKUP(Referentie_Hernieuwbare_Energie_Totaal47[[#This Row],[Product]]&amp;", "&amp;Referentie_Hernieuwbare_Energie_Totaal47[[#Headers],[D1]],Database_Productkaarten[#All],48,FALSE),0)*Ontwerpberekening!J32),0))/Ontwerpberekening!$A$2</f>
        <v>0</v>
      </c>
      <c r="S157" s="78">
        <f>(IF(Ontwerpberekening!E32="Bestaande Situatie",(_xlfn.IFNA(VLOOKUP(Referentie_Hernieuwbare_Energie_Totaal47[[#This Row],[Product]]&amp;", "&amp;Referentie_Hernieuwbare_Energie_Totaal47[[#Headers],[D2]],Database_Productkaarten[#All],48,FALSE),0)*Ontwerpberekening!J32),0))/Ontwerpberekening!$A$2</f>
        <v>0</v>
      </c>
      <c r="T157" s="57">
        <f>(IF(Ontwerpberekening!E32="Bestaande Situatie",(_xlfn.IFNA(VLOOKUP(Referentie_Hernieuwbare_Energie_Totaal47[[#This Row],[Product]]&amp;", "&amp;Referentie_Hernieuwbare_Energie_Totaal47[[#Headers],[D]],Database_Productkaarten[#All],48,FALSE),0)*Ontwerpberekening!J32),0))/Ontwerpberekening!$A$2</f>
        <v>0</v>
      </c>
      <c r="U157" s="56">
        <f>SUM(Referentie_Hernieuwbare_Energie_Totaal47[[#This Row],[A1-A3]:[C4]])+Referentie_Hernieuwbare_Energie_Totaal47[[#This Row],[D]]</f>
        <v>10863.180853243999</v>
      </c>
    </row>
    <row r="158" spans="2:21">
      <c r="B158" s="51" t="str">
        <f>Ontwerpberekening!B33</f>
        <v>Rockwool</v>
      </c>
      <c r="C158" s="51" t="str">
        <f>Ontwerpberekening!C33</f>
        <v>Grondverbetering</v>
      </c>
      <c r="D158" s="76" t="str">
        <f>Ontwerpberekening!G33</f>
        <v>Ophoogmateriaal (Zand)</v>
      </c>
      <c r="E158" s="77">
        <f>(IF(Ontwerpberekening!E33="Nieuwe Situatie",(_xlfn.IFNA(VLOOKUP(Referentie_Hernieuwbare_Energie_Totaal47[[#This Row],[Product]]&amp;", "&amp;Referentie_Hernieuwbare_Energie_Totaal47[[#Headers],[A1]],Database_Productkaarten[#All],48,FALSE),0)*Ontwerpberekening!J33),0))/Ontwerpberekening!$A$2</f>
        <v>0</v>
      </c>
      <c r="F158" s="77">
        <f>(IF(Ontwerpberekening!E33="Nieuwe Situatie",(_xlfn.IFNA(VLOOKUP(Referentie_Hernieuwbare_Energie_Totaal47[[#This Row],[Product]]&amp;", "&amp;Referentie_Hernieuwbare_Energie_Totaal47[[#Headers],[A2]],Database_Productkaarten[#All],48,FALSE),0)*Ontwerpberekening!J33),0))/Ontwerpberekening!$A$2</f>
        <v>0</v>
      </c>
      <c r="G158" s="77">
        <f>(IF(Ontwerpberekening!E33="Nieuwe Situatie",(_xlfn.IFNA(VLOOKUP(Referentie_Hernieuwbare_Energie_Totaal47[[#This Row],[Product]]&amp;", "&amp;Referentie_Hernieuwbare_Energie_Totaal47[[#Headers],[A3]],Database_Productkaarten[#All],48,FALSE),0)*Ontwerpberekening!J33),0))/Ontwerpberekening!$A$2</f>
        <v>0</v>
      </c>
      <c r="H158" s="77">
        <f>(IF(Ontwerpberekening!E33="Nieuwe Situatie",(_xlfn.IFNA(VLOOKUP(Referentie_Hernieuwbare_Energie_Totaal47[[#This Row],[Product]]&amp;", "&amp;Referentie_Hernieuwbare_Energie_Totaal47[[#Headers],[A1-A3]],Database_Productkaarten[#All],48,FALSE),0)*Ontwerpberekening!J33),0))/Ontwerpberekening!$A$2</f>
        <v>0</v>
      </c>
      <c r="I158" s="77">
        <f>(IF(Ontwerpberekening!E33="Nieuwe Situatie",(_xlfn.IFNA(VLOOKUP(Referentie_Hernieuwbare_Energie_Totaal47[[#This Row],[Product]]&amp;", "&amp;Referentie_Hernieuwbare_Energie_Totaal47[[#Headers],[A4]],Database_Productkaarten[#All],48,FALSE),0)*Ontwerpberekening!R33),0))/Ontwerpberekening!$A$2</f>
        <v>0</v>
      </c>
      <c r="J158" s="77">
        <f>(IF(Ontwerpberekening!E33="Nieuwe Situatie",(_xlfn.IFNA(VLOOKUP(Referentie_Hernieuwbare_Energie_Totaal47[[#This Row],[Product]]&amp;", "&amp;Referentie_Hernieuwbare_Energie_Totaal47[[#Headers],[A5]],Database_Productkaarten[#All],48,FALSE),0)*Ontwerpberekening!J33),0))/Ontwerpberekening!$A$2</f>
        <v>0</v>
      </c>
      <c r="K158" s="77">
        <f>(IF(Ontwerpberekening!E33="Nieuwe Situatie",(_xlfn.IFNA(VLOOKUP(Referentie_Hernieuwbare_Energie_Totaal47[[#This Row],[Product]]&amp;", "&amp;Referentie_Hernieuwbare_Energie_Totaal47[[#Headers],[B1]],Database_Productkaarten[#All],48,FALSE),0)*Ontwerpberekening!J33),0))/Ontwerpberekening!$A$2</f>
        <v>0</v>
      </c>
      <c r="L158" s="77">
        <f>(IF(Ontwerpberekening!E33="Nieuwe Situatie",(_xlfn.IFNA(VLOOKUP(Referentie_Hernieuwbare_Energie_Totaal47[[#This Row],[Product]]&amp;", "&amp;Referentie_Hernieuwbare_Energie_Totaal47[[#Headers],[B3]],Database_Productkaarten[#All],48,FALSE),0)*Ontwerpberekening!J33),0))/Ontwerpberekening!$A$2</f>
        <v>0</v>
      </c>
      <c r="M158" s="77">
        <f>(IF(Ontwerpberekening!E33="Nieuwe Situatie",(SUM(Referentie_Hernieuwbare_Energie_Totaal47[[#This Row],[A1]:[B1]],Referentie_Hernieuwbare_Energie_Totaal47[[#This Row],[C1]:[D2]])*Ontwerpberekening!T33),0))/Ontwerpberekening!$A$2</f>
        <v>0</v>
      </c>
      <c r="N158" s="77">
        <f>(IF(Ontwerpberekening!E33="Bestaande Situatie",(_xlfn.IFNA(VLOOKUP(Referentie_Hernieuwbare_Energie_Totaal47[[#This Row],[Product]]&amp;", "&amp;Referentie_Hernieuwbare_Energie_Totaal47[[#Headers],[C1]],Database_Productkaarten[#All],48,FALSE),0)*Ontwerpberekening!J33),0))/Ontwerpberekening!$A$2</f>
        <v>0</v>
      </c>
      <c r="O158" s="77">
        <f>(IF(Ontwerpberekening!E33="Bestaande Situatie",(_xlfn.IFNA(VLOOKUP(Referentie_Hernieuwbare_Energie_Totaal47[[#This Row],[Product]]&amp;", "&amp;Referentie_Hernieuwbare_Energie_Totaal47[[#Headers],[C2]],Database_Productkaarten[#All],48,FALSE),0)*Ontwerpberekening!R33),0))/Ontwerpberekening!$A$2</f>
        <v>0</v>
      </c>
      <c r="P158" s="77">
        <f>(IF(Ontwerpberekening!E33="Bestaande Situatie",(_xlfn.IFNA(VLOOKUP(Referentie_Hernieuwbare_Energie_Totaal47[[#This Row],[Product]]&amp;", "&amp;Referentie_Hernieuwbare_Energie_Totaal47[[#Headers],[C3]],Database_Productkaarten[#All],48,FALSE),0)*Ontwerpberekening!J33),0))/Ontwerpberekening!$A$2</f>
        <v>0</v>
      </c>
      <c r="Q158" s="77">
        <f>(IF(Ontwerpberekening!E33="Bestaande Situatie",(_xlfn.IFNA(VLOOKUP(Referentie_Hernieuwbare_Energie_Totaal47[[#This Row],[Product]]&amp;", "&amp;Referentie_Hernieuwbare_Energie_Totaal47[[#Headers],[C4]],Database_Productkaarten[#All],48,FALSE),0)*Ontwerpberekening!J33),0))/Ontwerpberekening!$A$2</f>
        <v>0.49750000000000005</v>
      </c>
      <c r="R158" s="77">
        <f>(IF(Ontwerpberekening!E33="Bestaande Situatie",(_xlfn.IFNA(VLOOKUP(Referentie_Hernieuwbare_Energie_Totaal47[[#This Row],[Product]]&amp;", "&amp;Referentie_Hernieuwbare_Energie_Totaal47[[#Headers],[D1]],Database_Productkaarten[#All],48,FALSE),0)*Ontwerpberekening!J33),0))/Ontwerpberekening!$A$2</f>
        <v>0</v>
      </c>
      <c r="S158" s="78">
        <f>(IF(Ontwerpberekening!E33="Bestaande Situatie",(_xlfn.IFNA(VLOOKUP(Referentie_Hernieuwbare_Energie_Totaal47[[#This Row],[Product]]&amp;", "&amp;Referentie_Hernieuwbare_Energie_Totaal47[[#Headers],[D2]],Database_Productkaarten[#All],48,FALSE),0)*Ontwerpberekening!J33),0))/Ontwerpberekening!$A$2</f>
        <v>0</v>
      </c>
      <c r="T158" s="57">
        <f>(IF(Ontwerpberekening!E33="Bestaande Situatie",(_xlfn.IFNA(VLOOKUP(Referentie_Hernieuwbare_Energie_Totaal47[[#This Row],[Product]]&amp;", "&amp;Referentie_Hernieuwbare_Energie_Totaal47[[#Headers],[D]],Database_Productkaarten[#All],48,FALSE),0)*Ontwerpberekening!J33),0))/Ontwerpberekening!$A$2</f>
        <v>-131.5</v>
      </c>
      <c r="U158" s="56">
        <f>SUM(Referentie_Hernieuwbare_Energie_Totaal47[[#This Row],[A1-A3]:[C4]])+Referentie_Hernieuwbare_Energie_Totaal47[[#This Row],[D]]</f>
        <v>-131.0025</v>
      </c>
    </row>
    <row r="159" spans="2:21">
      <c r="B159" s="51" t="str">
        <f>Ontwerpberekening!B34</f>
        <v>Rockwool</v>
      </c>
      <c r="C159" s="51" t="str">
        <f>Ontwerpberekening!C34</f>
        <v>Waterbergendelaag</v>
      </c>
      <c r="D159" s="76" t="str">
        <f>Ontwerpberekening!G34</f>
        <v>Rockwool, 50 cm</v>
      </c>
      <c r="E159" s="77">
        <f>(IF(Ontwerpberekening!E34="Nieuwe Situatie",(_xlfn.IFNA(VLOOKUP(Referentie_Hernieuwbare_Energie_Totaal47[[#This Row],[Product]]&amp;", "&amp;Referentie_Hernieuwbare_Energie_Totaal47[[#Headers],[A1]],Database_Productkaarten[#All],48,FALSE),0)*Ontwerpberekening!J34),0))/Ontwerpberekening!$A$2</f>
        <v>0</v>
      </c>
      <c r="F159" s="77">
        <f>(IF(Ontwerpberekening!E34="Nieuwe Situatie",(_xlfn.IFNA(VLOOKUP(Referentie_Hernieuwbare_Energie_Totaal47[[#This Row],[Product]]&amp;", "&amp;Referentie_Hernieuwbare_Energie_Totaal47[[#Headers],[A2]],Database_Productkaarten[#All],48,FALSE),0)*Ontwerpberekening!J34),0))/Ontwerpberekening!$A$2</f>
        <v>0</v>
      </c>
      <c r="G159" s="77">
        <f>(IF(Ontwerpberekening!E34="Nieuwe Situatie",(_xlfn.IFNA(VLOOKUP(Referentie_Hernieuwbare_Energie_Totaal47[[#This Row],[Product]]&amp;", "&amp;Referentie_Hernieuwbare_Energie_Totaal47[[#Headers],[A3]],Database_Productkaarten[#All],48,FALSE),0)*Ontwerpberekening!J34),0))/Ontwerpberekening!$A$2</f>
        <v>0</v>
      </c>
      <c r="H159" s="77">
        <f>(IF(Ontwerpberekening!E34="Nieuwe Situatie",(_xlfn.IFNA(VLOOKUP(Referentie_Hernieuwbare_Energie_Totaal47[[#This Row],[Product]]&amp;", "&amp;Referentie_Hernieuwbare_Energie_Totaal47[[#Headers],[A1-A3]],Database_Productkaarten[#All],48,FALSE),0)*Ontwerpberekening!J34),0))/Ontwerpberekening!$A$2</f>
        <v>0</v>
      </c>
      <c r="I159" s="77">
        <f>(IF(Ontwerpberekening!E34="Nieuwe Situatie",(_xlfn.IFNA(VLOOKUP(Referentie_Hernieuwbare_Energie_Totaal47[[#This Row],[Product]]&amp;", "&amp;Referentie_Hernieuwbare_Energie_Totaal47[[#Headers],[A4]],Database_Productkaarten[#All],48,FALSE),0)*Ontwerpberekening!R34),0))/Ontwerpberekening!$A$2</f>
        <v>0</v>
      </c>
      <c r="J159" s="77">
        <f>(IF(Ontwerpberekening!E34="Nieuwe Situatie",(_xlfn.IFNA(VLOOKUP(Referentie_Hernieuwbare_Energie_Totaal47[[#This Row],[Product]]&amp;", "&amp;Referentie_Hernieuwbare_Energie_Totaal47[[#Headers],[A5]],Database_Productkaarten[#All],48,FALSE),0)*Ontwerpberekening!J34),0))/Ontwerpberekening!$A$2</f>
        <v>0</v>
      </c>
      <c r="K159" s="77">
        <f>(IF(Ontwerpberekening!E34="Nieuwe Situatie",(_xlfn.IFNA(VLOOKUP(Referentie_Hernieuwbare_Energie_Totaal47[[#This Row],[Product]]&amp;", "&amp;Referentie_Hernieuwbare_Energie_Totaal47[[#Headers],[B1]],Database_Productkaarten[#All],48,FALSE),0)*Ontwerpberekening!J34),0))/Ontwerpberekening!$A$2</f>
        <v>0</v>
      </c>
      <c r="L159" s="77">
        <f>(IF(Ontwerpberekening!E34="Nieuwe Situatie",(_xlfn.IFNA(VLOOKUP(Referentie_Hernieuwbare_Energie_Totaal47[[#This Row],[Product]]&amp;", "&amp;Referentie_Hernieuwbare_Energie_Totaal47[[#Headers],[B3]],Database_Productkaarten[#All],48,FALSE),0)*Ontwerpberekening!J34),0))/Ontwerpberekening!$A$2</f>
        <v>0</v>
      </c>
      <c r="M159" s="77">
        <f>(IF(Ontwerpberekening!E34="Nieuwe Situatie",(SUM(Referentie_Hernieuwbare_Energie_Totaal47[[#This Row],[A1]:[B1]],Referentie_Hernieuwbare_Energie_Totaal47[[#This Row],[C1]:[D2]])*Ontwerpberekening!T34),0))/Ontwerpberekening!$A$2</f>
        <v>0</v>
      </c>
      <c r="N159" s="77">
        <f>(IF(Ontwerpberekening!E34="Bestaande Situatie",(_xlfn.IFNA(VLOOKUP(Referentie_Hernieuwbare_Energie_Totaal47[[#This Row],[Product]]&amp;", "&amp;Referentie_Hernieuwbare_Energie_Totaal47[[#Headers],[C1]],Database_Productkaarten[#All],48,FALSE),0)*Ontwerpberekening!J34),0))/Ontwerpberekening!$A$2</f>
        <v>0</v>
      </c>
      <c r="O159" s="77">
        <f>(IF(Ontwerpberekening!E34="Bestaande Situatie",(_xlfn.IFNA(VLOOKUP(Referentie_Hernieuwbare_Energie_Totaal47[[#This Row],[Product]]&amp;", "&amp;Referentie_Hernieuwbare_Energie_Totaal47[[#Headers],[C2]],Database_Productkaarten[#All],48,FALSE),0)*Ontwerpberekening!R34),0))/Ontwerpberekening!$A$2</f>
        <v>0</v>
      </c>
      <c r="P159" s="77">
        <f>(IF(Ontwerpberekening!E34="Bestaande Situatie",(_xlfn.IFNA(VLOOKUP(Referentie_Hernieuwbare_Energie_Totaal47[[#This Row],[Product]]&amp;", "&amp;Referentie_Hernieuwbare_Energie_Totaal47[[#Headers],[C3]],Database_Productkaarten[#All],48,FALSE),0)*Ontwerpberekening!J34),0))/Ontwerpberekening!$A$2</f>
        <v>0</v>
      </c>
      <c r="Q159" s="77">
        <f>(IF(Ontwerpberekening!E34="Bestaande Situatie",(_xlfn.IFNA(VLOOKUP(Referentie_Hernieuwbare_Energie_Totaal47[[#This Row],[Product]]&amp;", "&amp;Referentie_Hernieuwbare_Energie_Totaal47[[#Headers],[C4]],Database_Productkaarten[#All],48,FALSE),0)*Ontwerpberekening!J34),0))/Ontwerpberekening!$A$2</f>
        <v>0</v>
      </c>
      <c r="R159" s="77">
        <f>(IF(Ontwerpberekening!E34="Bestaande Situatie",(_xlfn.IFNA(VLOOKUP(Referentie_Hernieuwbare_Energie_Totaal47[[#This Row],[Product]]&amp;", "&amp;Referentie_Hernieuwbare_Energie_Totaal47[[#Headers],[D1]],Database_Productkaarten[#All],48,FALSE),0)*Ontwerpberekening!J34),0))/Ontwerpberekening!$A$2</f>
        <v>0</v>
      </c>
      <c r="S159" s="78">
        <f>(IF(Ontwerpberekening!E34="Bestaande Situatie",(_xlfn.IFNA(VLOOKUP(Referentie_Hernieuwbare_Energie_Totaal47[[#This Row],[Product]]&amp;", "&amp;Referentie_Hernieuwbare_Energie_Totaal47[[#Headers],[D2]],Database_Productkaarten[#All],48,FALSE),0)*Ontwerpberekening!J34),0))/Ontwerpberekening!$A$2</f>
        <v>0</v>
      </c>
      <c r="T159" s="57">
        <f>(IF(Ontwerpberekening!E34="Bestaande Situatie",(_xlfn.IFNA(VLOOKUP(Referentie_Hernieuwbare_Energie_Totaal47[[#This Row],[Product]]&amp;", "&amp;Referentie_Hernieuwbare_Energie_Totaal47[[#Headers],[D]],Database_Productkaarten[#All],48,FALSE),0)*Ontwerpberekening!J34),0))/Ontwerpberekening!$A$2</f>
        <v>0</v>
      </c>
      <c r="U159" s="56">
        <f>SUM(Referentie_Hernieuwbare_Energie_Totaal47[[#This Row],[A1-A3]:[C4]])+Referentie_Hernieuwbare_Energie_Totaal47[[#This Row],[D]]</f>
        <v>0</v>
      </c>
    </row>
    <row r="160" spans="2:21">
      <c r="B160" s="51" t="str">
        <f>Ontwerpberekening!B35</f>
        <v>Rockwool</v>
      </c>
      <c r="C160" s="51" t="str">
        <f>Ontwerpberekening!C35</f>
        <v>Menggranulaat</v>
      </c>
      <c r="D160" s="76" t="str">
        <f>Ontwerpberekening!G35</f>
        <v>Menggranulaat 300mm</v>
      </c>
      <c r="E160" s="77">
        <f>(IF(Ontwerpberekening!E35="Nieuwe Situatie",(_xlfn.IFNA(VLOOKUP(Referentie_Hernieuwbare_Energie_Totaal47[[#This Row],[Product]]&amp;", "&amp;Referentie_Hernieuwbare_Energie_Totaal47[[#Headers],[A1]],Database_Productkaarten[#All],48,FALSE),0)*Ontwerpberekening!J35),0))/Ontwerpberekening!$A$2</f>
        <v>0</v>
      </c>
      <c r="F160" s="77">
        <f>(IF(Ontwerpberekening!E35="Nieuwe Situatie",(_xlfn.IFNA(VLOOKUP(Referentie_Hernieuwbare_Energie_Totaal47[[#This Row],[Product]]&amp;", "&amp;Referentie_Hernieuwbare_Energie_Totaal47[[#Headers],[A2]],Database_Productkaarten[#All],48,FALSE),0)*Ontwerpberekening!J35),0))/Ontwerpberekening!$A$2</f>
        <v>0</v>
      </c>
      <c r="G160" s="77">
        <f>(IF(Ontwerpberekening!E35="Nieuwe Situatie",(_xlfn.IFNA(VLOOKUP(Referentie_Hernieuwbare_Energie_Totaal47[[#This Row],[Product]]&amp;", "&amp;Referentie_Hernieuwbare_Energie_Totaal47[[#Headers],[A3]],Database_Productkaarten[#All],48,FALSE),0)*Ontwerpberekening!J35),0))/Ontwerpberekening!$A$2</f>
        <v>0</v>
      </c>
      <c r="H160" s="77">
        <f>(IF(Ontwerpberekening!E35="Nieuwe Situatie",(_xlfn.IFNA(VLOOKUP(Referentie_Hernieuwbare_Energie_Totaal47[[#This Row],[Product]]&amp;", "&amp;Referentie_Hernieuwbare_Energie_Totaal47[[#Headers],[A1-A3]],Database_Productkaarten[#All],48,FALSE),0)*Ontwerpberekening!J35),0))/Ontwerpberekening!$A$2</f>
        <v>0</v>
      </c>
      <c r="I160" s="77">
        <f>(IF(Ontwerpberekening!E35="Nieuwe Situatie",(_xlfn.IFNA(VLOOKUP(Referentie_Hernieuwbare_Energie_Totaal47[[#This Row],[Product]]&amp;", "&amp;Referentie_Hernieuwbare_Energie_Totaal47[[#Headers],[A4]],Database_Productkaarten[#All],48,FALSE),0)*Ontwerpberekening!R35),0))/Ontwerpberekening!$A$2</f>
        <v>0</v>
      </c>
      <c r="J160" s="77">
        <f>(IF(Ontwerpberekening!E35="Nieuwe Situatie",(_xlfn.IFNA(VLOOKUP(Referentie_Hernieuwbare_Energie_Totaal47[[#This Row],[Product]]&amp;", "&amp;Referentie_Hernieuwbare_Energie_Totaal47[[#Headers],[A5]],Database_Productkaarten[#All],48,FALSE),0)*Ontwerpberekening!J35),0))/Ontwerpberekening!$A$2</f>
        <v>0</v>
      </c>
      <c r="K160" s="77">
        <f>(IF(Ontwerpberekening!E35="Nieuwe Situatie",(_xlfn.IFNA(VLOOKUP(Referentie_Hernieuwbare_Energie_Totaal47[[#This Row],[Product]]&amp;", "&amp;Referentie_Hernieuwbare_Energie_Totaal47[[#Headers],[B1]],Database_Productkaarten[#All],48,FALSE),0)*Ontwerpberekening!J35),0))/Ontwerpberekening!$A$2</f>
        <v>0</v>
      </c>
      <c r="L160" s="77">
        <f>(IF(Ontwerpberekening!E35="Nieuwe Situatie",(_xlfn.IFNA(VLOOKUP(Referentie_Hernieuwbare_Energie_Totaal47[[#This Row],[Product]]&amp;", "&amp;Referentie_Hernieuwbare_Energie_Totaal47[[#Headers],[B3]],Database_Productkaarten[#All],48,FALSE),0)*Ontwerpberekening!J35),0))/Ontwerpberekening!$A$2</f>
        <v>0</v>
      </c>
      <c r="M160" s="77">
        <f>(IF(Ontwerpberekening!E35="Nieuwe Situatie",(SUM(Referentie_Hernieuwbare_Energie_Totaal47[[#This Row],[A1]:[B1]],Referentie_Hernieuwbare_Energie_Totaal47[[#This Row],[C1]:[D2]])*Ontwerpberekening!T35),0))/Ontwerpberekening!$A$2</f>
        <v>0</v>
      </c>
      <c r="N160" s="77">
        <f>(IF(Ontwerpberekening!E35="Bestaande Situatie",(_xlfn.IFNA(VLOOKUP(Referentie_Hernieuwbare_Energie_Totaal47[[#This Row],[Product]]&amp;", "&amp;Referentie_Hernieuwbare_Energie_Totaal47[[#Headers],[C1]],Database_Productkaarten[#All],48,FALSE),0)*Ontwerpberekening!J35),0))/Ontwerpberekening!$A$2</f>
        <v>37.299999999999997</v>
      </c>
      <c r="O160" s="77">
        <f>(IF(Ontwerpberekening!E35="Bestaande Situatie",(_xlfn.IFNA(VLOOKUP(Referentie_Hernieuwbare_Energie_Totaal47[[#This Row],[Product]]&amp;", "&amp;Referentie_Hernieuwbare_Energie_Totaal47[[#Headers],[C2]],Database_Productkaarten[#All],48,FALSE),0)*Ontwerpberekening!R35),0))/Ontwerpberekening!$A$2</f>
        <v>197.4375</v>
      </c>
      <c r="P160" s="77">
        <f>(IF(Ontwerpberekening!E35="Bestaande Situatie",(_xlfn.IFNA(VLOOKUP(Referentie_Hernieuwbare_Energie_Totaal47[[#This Row],[Product]]&amp;", "&amp;Referentie_Hernieuwbare_Energie_Totaal47[[#Headers],[C3]],Database_Productkaarten[#All],48,FALSE),0)*Ontwerpberekening!J35),0))/Ontwerpberekening!$A$2</f>
        <v>0</v>
      </c>
      <c r="Q160" s="77">
        <f>(IF(Ontwerpberekening!E35="Bestaande Situatie",(_xlfn.IFNA(VLOOKUP(Referentie_Hernieuwbare_Energie_Totaal47[[#This Row],[Product]]&amp;", "&amp;Referentie_Hernieuwbare_Energie_Totaal47[[#Headers],[C4]],Database_Productkaarten[#All],48,FALSE),0)*Ontwerpberekening!J35),0))/Ontwerpberekening!$A$2</f>
        <v>3.8849999999999998</v>
      </c>
      <c r="R160" s="77">
        <f>(IF(Ontwerpberekening!E35="Bestaande Situatie",(_xlfn.IFNA(VLOOKUP(Referentie_Hernieuwbare_Energie_Totaal47[[#This Row],[Product]]&amp;", "&amp;Referentie_Hernieuwbare_Energie_Totaal47[[#Headers],[D1]],Database_Productkaarten[#All],48,FALSE),0)*Ontwerpberekening!J35),0))/Ontwerpberekening!$A$2</f>
        <v>0</v>
      </c>
      <c r="S160" s="78">
        <f>(IF(Ontwerpberekening!E35="Bestaande Situatie",(_xlfn.IFNA(VLOOKUP(Referentie_Hernieuwbare_Energie_Totaal47[[#This Row],[Product]]&amp;", "&amp;Referentie_Hernieuwbare_Energie_Totaal47[[#Headers],[D2]],Database_Productkaarten[#All],48,FALSE),0)*Ontwerpberekening!J35),0))/Ontwerpberekening!$A$2</f>
        <v>0</v>
      </c>
      <c r="T160" s="57">
        <f>(IF(Ontwerpberekening!E35="Bestaande Situatie",(_xlfn.IFNA(VLOOKUP(Referentie_Hernieuwbare_Energie_Totaal47[[#This Row],[Product]]&amp;", "&amp;Referentie_Hernieuwbare_Energie_Totaal47[[#Headers],[D]],Database_Productkaarten[#All],48,FALSE),0)*Ontwerpberekening!J35),0))/Ontwerpberekening!$A$2</f>
        <v>10.35</v>
      </c>
      <c r="U160" s="56">
        <f>SUM(Referentie_Hernieuwbare_Energie_Totaal47[[#This Row],[A1-A3]:[C4]])+Referentie_Hernieuwbare_Energie_Totaal47[[#This Row],[D]]</f>
        <v>248.9725</v>
      </c>
    </row>
    <row r="161" spans="2:21">
      <c r="B161" s="51" t="str">
        <f>Ontwerpberekening!B36</f>
        <v>Rockwool</v>
      </c>
      <c r="C161" s="51" t="str">
        <f>Ontwerpberekening!C36</f>
        <v>Straatlaag</v>
      </c>
      <c r="D161" s="76" t="str">
        <f>Ontwerpberekening!G36</f>
        <v>Ophoogmateriaal (Zand)</v>
      </c>
      <c r="E161" s="77">
        <f>(IF(Ontwerpberekening!E36="Nieuwe Situatie",(_xlfn.IFNA(VLOOKUP(Referentie_Hernieuwbare_Energie_Totaal47[[#This Row],[Product]]&amp;", "&amp;Referentie_Hernieuwbare_Energie_Totaal47[[#Headers],[A1]],Database_Productkaarten[#All],48,FALSE),0)*Ontwerpberekening!J36),0))/Ontwerpberekening!$A$2</f>
        <v>0</v>
      </c>
      <c r="F161" s="77">
        <f>(IF(Ontwerpberekening!E36="Nieuwe Situatie",(_xlfn.IFNA(VLOOKUP(Referentie_Hernieuwbare_Energie_Totaal47[[#This Row],[Product]]&amp;", "&amp;Referentie_Hernieuwbare_Energie_Totaal47[[#Headers],[A2]],Database_Productkaarten[#All],48,FALSE),0)*Ontwerpberekening!J36),0))/Ontwerpberekening!$A$2</f>
        <v>0</v>
      </c>
      <c r="G161" s="77">
        <f>(IF(Ontwerpberekening!E36="Nieuwe Situatie",(_xlfn.IFNA(VLOOKUP(Referentie_Hernieuwbare_Energie_Totaal47[[#This Row],[Product]]&amp;", "&amp;Referentie_Hernieuwbare_Energie_Totaal47[[#Headers],[A3]],Database_Productkaarten[#All],48,FALSE),0)*Ontwerpberekening!J36),0))/Ontwerpberekening!$A$2</f>
        <v>0</v>
      </c>
      <c r="H161" s="77">
        <f>(IF(Ontwerpberekening!E36="Nieuwe Situatie",(_xlfn.IFNA(VLOOKUP(Referentie_Hernieuwbare_Energie_Totaal47[[#This Row],[Product]]&amp;", "&amp;Referentie_Hernieuwbare_Energie_Totaal47[[#Headers],[A1-A3]],Database_Productkaarten[#All],48,FALSE),0)*Ontwerpberekening!J36),0))/Ontwerpberekening!$A$2</f>
        <v>0</v>
      </c>
      <c r="I161" s="77">
        <f>(IF(Ontwerpberekening!E36="Nieuwe Situatie",(_xlfn.IFNA(VLOOKUP(Referentie_Hernieuwbare_Energie_Totaal47[[#This Row],[Product]]&amp;", "&amp;Referentie_Hernieuwbare_Energie_Totaal47[[#Headers],[A4]],Database_Productkaarten[#All],48,FALSE),0)*Ontwerpberekening!R36),0))/Ontwerpberekening!$A$2</f>
        <v>0</v>
      </c>
      <c r="J161" s="77">
        <f>(IF(Ontwerpberekening!E36="Nieuwe Situatie",(_xlfn.IFNA(VLOOKUP(Referentie_Hernieuwbare_Energie_Totaal47[[#This Row],[Product]]&amp;", "&amp;Referentie_Hernieuwbare_Energie_Totaal47[[#Headers],[A5]],Database_Productkaarten[#All],48,FALSE),0)*Ontwerpberekening!J36),0))/Ontwerpberekening!$A$2</f>
        <v>0</v>
      </c>
      <c r="K161" s="77">
        <f>(IF(Ontwerpberekening!E36="Nieuwe Situatie",(_xlfn.IFNA(VLOOKUP(Referentie_Hernieuwbare_Energie_Totaal47[[#This Row],[Product]]&amp;", "&amp;Referentie_Hernieuwbare_Energie_Totaal47[[#Headers],[B1]],Database_Productkaarten[#All],48,FALSE),0)*Ontwerpberekening!J36),0))/Ontwerpberekening!$A$2</f>
        <v>0</v>
      </c>
      <c r="L161" s="77">
        <f>(IF(Ontwerpberekening!E36="Nieuwe Situatie",(_xlfn.IFNA(VLOOKUP(Referentie_Hernieuwbare_Energie_Totaal47[[#This Row],[Product]]&amp;", "&amp;Referentie_Hernieuwbare_Energie_Totaal47[[#Headers],[B3]],Database_Productkaarten[#All],48,FALSE),0)*Ontwerpberekening!J36),0))/Ontwerpberekening!$A$2</f>
        <v>0</v>
      </c>
      <c r="M161" s="77">
        <f>(IF(Ontwerpberekening!E36="Nieuwe Situatie",(SUM(Referentie_Hernieuwbare_Energie_Totaal47[[#This Row],[A1]:[B1]],Referentie_Hernieuwbare_Energie_Totaal47[[#This Row],[C1]:[D2]])*Ontwerpberekening!T36),0))/Ontwerpberekening!$A$2</f>
        <v>0</v>
      </c>
      <c r="N161" s="77">
        <f>(IF(Ontwerpberekening!E36="Bestaande Situatie",(_xlfn.IFNA(VLOOKUP(Referentie_Hernieuwbare_Energie_Totaal47[[#This Row],[Product]]&amp;", "&amp;Referentie_Hernieuwbare_Energie_Totaal47[[#Headers],[C1]],Database_Productkaarten[#All],48,FALSE),0)*Ontwerpberekening!J36),0))/Ontwerpberekening!$A$2</f>
        <v>0</v>
      </c>
      <c r="O161" s="77">
        <f>(IF(Ontwerpberekening!E36="Bestaande Situatie",(_xlfn.IFNA(VLOOKUP(Referentie_Hernieuwbare_Energie_Totaal47[[#This Row],[Product]]&amp;", "&amp;Referentie_Hernieuwbare_Energie_Totaal47[[#Headers],[C2]],Database_Productkaarten[#All],48,FALSE),0)*Ontwerpberekening!R36),0))/Ontwerpberekening!$A$2</f>
        <v>0</v>
      </c>
      <c r="P161" s="77">
        <f>(IF(Ontwerpberekening!E36="Bestaande Situatie",(_xlfn.IFNA(VLOOKUP(Referentie_Hernieuwbare_Energie_Totaal47[[#This Row],[Product]]&amp;", "&amp;Referentie_Hernieuwbare_Energie_Totaal47[[#Headers],[C3]],Database_Productkaarten[#All],48,FALSE),0)*Ontwerpberekening!J36),0))/Ontwerpberekening!$A$2</f>
        <v>0</v>
      </c>
      <c r="Q161" s="77">
        <f>(IF(Ontwerpberekening!E36="Bestaande Situatie",(_xlfn.IFNA(VLOOKUP(Referentie_Hernieuwbare_Energie_Totaal47[[#This Row],[Product]]&amp;", "&amp;Referentie_Hernieuwbare_Energie_Totaal47[[#Headers],[C4]],Database_Productkaarten[#All],48,FALSE),0)*Ontwerpberekening!J36),0))/Ontwerpberekening!$A$2</f>
        <v>0.49750000000000005</v>
      </c>
      <c r="R161" s="77">
        <f>(IF(Ontwerpberekening!E36="Bestaande Situatie",(_xlfn.IFNA(VLOOKUP(Referentie_Hernieuwbare_Energie_Totaal47[[#This Row],[Product]]&amp;", "&amp;Referentie_Hernieuwbare_Energie_Totaal47[[#Headers],[D1]],Database_Productkaarten[#All],48,FALSE),0)*Ontwerpberekening!J36),0))/Ontwerpberekening!$A$2</f>
        <v>0</v>
      </c>
      <c r="S161" s="78">
        <f>(IF(Ontwerpberekening!E36="Bestaande Situatie",(_xlfn.IFNA(VLOOKUP(Referentie_Hernieuwbare_Energie_Totaal47[[#This Row],[Product]]&amp;", "&amp;Referentie_Hernieuwbare_Energie_Totaal47[[#Headers],[D2]],Database_Productkaarten[#All],48,FALSE),0)*Ontwerpberekening!J36),0))/Ontwerpberekening!$A$2</f>
        <v>0</v>
      </c>
      <c r="T161" s="57">
        <f>(IF(Ontwerpberekening!E36="Bestaande Situatie",(_xlfn.IFNA(VLOOKUP(Referentie_Hernieuwbare_Energie_Totaal47[[#This Row],[Product]]&amp;", "&amp;Referentie_Hernieuwbare_Energie_Totaal47[[#Headers],[D]],Database_Productkaarten[#All],48,FALSE),0)*Ontwerpberekening!J36),0))/Ontwerpberekening!$A$2</f>
        <v>-131.5</v>
      </c>
      <c r="U161" s="56">
        <f>SUM(Referentie_Hernieuwbare_Energie_Totaal47[[#This Row],[A1-A3]:[C4]])+Referentie_Hernieuwbare_Energie_Totaal47[[#This Row],[D]]</f>
        <v>-131.0025</v>
      </c>
    </row>
    <row r="162" spans="2:21">
      <c r="B162" s="51" t="str">
        <f>Ontwerpberekening!B37</f>
        <v>Rockwool</v>
      </c>
      <c r="C162" s="51" t="str">
        <f>Ontwerpberekening!C37</f>
        <v>Toplaag</v>
      </c>
      <c r="D162" s="76" t="str">
        <f>Ontwerpberekening!G37</f>
        <v>Betonstraatsteen 210x105x80</v>
      </c>
      <c r="E162" s="77">
        <f>(IF(Ontwerpberekening!E37="Nieuwe Situatie",(_xlfn.IFNA(VLOOKUP(Referentie_Hernieuwbare_Energie_Totaal47[[#This Row],[Product]]&amp;", "&amp;Referentie_Hernieuwbare_Energie_Totaal47[[#Headers],[A1]],Database_Productkaarten[#All],48,FALSE),0)*Ontwerpberekening!J37),0))/Ontwerpberekening!$A$2</f>
        <v>0</v>
      </c>
      <c r="F162" s="77">
        <f>(IF(Ontwerpberekening!E37="Nieuwe Situatie",(_xlfn.IFNA(VLOOKUP(Referentie_Hernieuwbare_Energie_Totaal47[[#This Row],[Product]]&amp;", "&amp;Referentie_Hernieuwbare_Energie_Totaal47[[#Headers],[A2]],Database_Productkaarten[#All],48,FALSE),0)*Ontwerpberekening!J37),0))/Ontwerpberekening!$A$2</f>
        <v>0</v>
      </c>
      <c r="G162" s="77">
        <f>(IF(Ontwerpberekening!E37="Nieuwe Situatie",(_xlfn.IFNA(VLOOKUP(Referentie_Hernieuwbare_Energie_Totaal47[[#This Row],[Product]]&amp;", "&amp;Referentie_Hernieuwbare_Energie_Totaal47[[#Headers],[A3]],Database_Productkaarten[#All],48,FALSE),0)*Ontwerpberekening!J37),0))/Ontwerpberekening!$A$2</f>
        <v>0</v>
      </c>
      <c r="H162" s="77">
        <f>(IF(Ontwerpberekening!E37="Nieuwe Situatie",(_xlfn.IFNA(VLOOKUP(Referentie_Hernieuwbare_Energie_Totaal47[[#This Row],[Product]]&amp;", "&amp;Referentie_Hernieuwbare_Energie_Totaal47[[#Headers],[A1-A3]],Database_Productkaarten[#All],48,FALSE),0)*Ontwerpberekening!J37),0))/Ontwerpberekening!$A$2</f>
        <v>0</v>
      </c>
      <c r="I162" s="77">
        <f>(IF(Ontwerpberekening!E37="Nieuwe Situatie",(_xlfn.IFNA(VLOOKUP(Referentie_Hernieuwbare_Energie_Totaal47[[#This Row],[Product]]&amp;", "&amp;Referentie_Hernieuwbare_Energie_Totaal47[[#Headers],[A4]],Database_Productkaarten[#All],48,FALSE),0)*Ontwerpberekening!R37),0))/Ontwerpberekening!$A$2</f>
        <v>0</v>
      </c>
      <c r="J162" s="77">
        <f>(IF(Ontwerpberekening!E37="Nieuwe Situatie",(_xlfn.IFNA(VLOOKUP(Referentie_Hernieuwbare_Energie_Totaal47[[#This Row],[Product]]&amp;", "&amp;Referentie_Hernieuwbare_Energie_Totaal47[[#Headers],[A5]],Database_Productkaarten[#All],48,FALSE),0)*Ontwerpberekening!J37),0))/Ontwerpberekening!$A$2</f>
        <v>0</v>
      </c>
      <c r="K162" s="77">
        <f>(IF(Ontwerpberekening!E37="Nieuwe Situatie",(_xlfn.IFNA(VLOOKUP(Referentie_Hernieuwbare_Energie_Totaal47[[#This Row],[Product]]&amp;", "&amp;Referentie_Hernieuwbare_Energie_Totaal47[[#Headers],[B1]],Database_Productkaarten[#All],48,FALSE),0)*Ontwerpberekening!J37),0))/Ontwerpberekening!$A$2</f>
        <v>0</v>
      </c>
      <c r="L162" s="77">
        <f>(IF(Ontwerpberekening!E37="Nieuwe Situatie",(_xlfn.IFNA(VLOOKUP(Referentie_Hernieuwbare_Energie_Totaal47[[#This Row],[Product]]&amp;", "&amp;Referentie_Hernieuwbare_Energie_Totaal47[[#Headers],[B3]],Database_Productkaarten[#All],48,FALSE),0)*Ontwerpberekening!J37),0))/Ontwerpberekening!$A$2</f>
        <v>0</v>
      </c>
      <c r="M162" s="77">
        <f>(IF(Ontwerpberekening!E37="Nieuwe Situatie",(SUM(Referentie_Hernieuwbare_Energie_Totaal47[[#This Row],[A1]:[B1]],Referentie_Hernieuwbare_Energie_Totaal47[[#This Row],[C1]:[D2]])*Ontwerpberekening!T37),0))/Ontwerpberekening!$A$2</f>
        <v>0</v>
      </c>
      <c r="N162" s="77">
        <f>(IF(Ontwerpberekening!E37="Bestaande Situatie",(_xlfn.IFNA(VLOOKUP(Referentie_Hernieuwbare_Energie_Totaal47[[#This Row],[Product]]&amp;", "&amp;Referentie_Hernieuwbare_Energie_Totaal47[[#Headers],[C1]],Database_Productkaarten[#All],48,FALSE),0)*Ontwerpberekening!J37),0))/Ontwerpberekening!$A$2</f>
        <v>24.721086499999998</v>
      </c>
      <c r="O162" s="77">
        <f>(IF(Ontwerpberekening!E37="Bestaande Situatie",(_xlfn.IFNA(VLOOKUP(Referentie_Hernieuwbare_Energie_Totaal47[[#This Row],[Product]]&amp;", "&amp;Referentie_Hernieuwbare_Energie_Totaal47[[#Headers],[C2]],Database_Productkaarten[#All],48,FALSE),0)*Ontwerpberekening!R37),0))/Ontwerpberekening!$A$2</f>
        <v>22.587121008000004</v>
      </c>
      <c r="P162" s="77">
        <f>(IF(Ontwerpberekening!E37="Bestaande Situatie",(_xlfn.IFNA(VLOOKUP(Referentie_Hernieuwbare_Energie_Totaal47[[#This Row],[Product]]&amp;", "&amp;Referentie_Hernieuwbare_Energie_Totaal47[[#Headers],[C3]],Database_Productkaarten[#All],48,FALSE),0)*Ontwerpberekening!J37),0))/Ontwerpberekening!$A$2</f>
        <v>115.07561</v>
      </c>
      <c r="Q162" s="77">
        <f>(IF(Ontwerpberekening!E37="Bestaande Situatie",(_xlfn.IFNA(VLOOKUP(Referentie_Hernieuwbare_Energie_Totaal47[[#This Row],[Product]]&amp;", "&amp;Referentie_Hernieuwbare_Energie_Totaal47[[#Headers],[C4]],Database_Productkaarten[#All],48,FALSE),0)*Ontwerpberekening!J37),0))/Ontwerpberekening!$A$2</f>
        <v>3.4969481500000001</v>
      </c>
      <c r="R162" s="77">
        <f>(IF(Ontwerpberekening!E37="Bestaande Situatie",(_xlfn.IFNA(VLOOKUP(Referentie_Hernieuwbare_Energie_Totaal47[[#This Row],[Product]]&amp;", "&amp;Referentie_Hernieuwbare_Energie_Totaal47[[#Headers],[D1]],Database_Productkaarten[#All],48,FALSE),0)*Ontwerpberekening!J37),0))/Ontwerpberekening!$A$2</f>
        <v>0</v>
      </c>
      <c r="S162" s="78">
        <f>(IF(Ontwerpberekening!E37="Bestaande Situatie",(_xlfn.IFNA(VLOOKUP(Referentie_Hernieuwbare_Energie_Totaal47[[#This Row],[Product]]&amp;", "&amp;Referentie_Hernieuwbare_Energie_Totaal47[[#Headers],[D2]],Database_Productkaarten[#All],48,FALSE),0)*Ontwerpberekening!J37),0))/Ontwerpberekening!$A$2</f>
        <v>0</v>
      </c>
      <c r="T162" s="57">
        <f>(IF(Ontwerpberekening!E37="Bestaande Situatie",(_xlfn.IFNA(VLOOKUP(Referentie_Hernieuwbare_Energie_Totaal47[[#This Row],[Product]]&amp;", "&amp;Referentie_Hernieuwbare_Energie_Totaal47[[#Headers],[D]],Database_Productkaarten[#All],48,FALSE),0)*Ontwerpberekening!J37),0))/Ontwerpberekening!$A$2</f>
        <v>-316.56529</v>
      </c>
      <c r="U162" s="56">
        <f>SUM(Referentie_Hernieuwbare_Energie_Totaal47[[#This Row],[A1-A3]:[C4]])+Referentie_Hernieuwbare_Energie_Totaal47[[#This Row],[D]]</f>
        <v>-150.684524342</v>
      </c>
    </row>
    <row r="163" spans="2:21">
      <c r="B163" s="51">
        <f>Ontwerpberekening!B38</f>
        <v>0</v>
      </c>
      <c r="C163" s="51">
        <f>Ontwerpberekening!C38</f>
        <v>0</v>
      </c>
      <c r="D163" s="76">
        <f>Ontwerpberekening!G38</f>
        <v>0</v>
      </c>
      <c r="E163" s="77">
        <f>(IF(Ontwerpberekening!E38="Nieuwe Situatie",(_xlfn.IFNA(VLOOKUP(Referentie_Hernieuwbare_Energie_Totaal47[[#This Row],[Product]]&amp;", "&amp;Referentie_Hernieuwbare_Energie_Totaal47[[#Headers],[A1]],Database_Productkaarten[#All],48,FALSE),0)*Ontwerpberekening!J38),0))/Ontwerpberekening!$A$2</f>
        <v>0</v>
      </c>
      <c r="F163" s="77">
        <f>(IF(Ontwerpberekening!E38="Nieuwe Situatie",(_xlfn.IFNA(VLOOKUP(Referentie_Hernieuwbare_Energie_Totaal47[[#This Row],[Product]]&amp;", "&amp;Referentie_Hernieuwbare_Energie_Totaal47[[#Headers],[A2]],Database_Productkaarten[#All],48,FALSE),0)*Ontwerpberekening!J38),0))/Ontwerpberekening!$A$2</f>
        <v>0</v>
      </c>
      <c r="G163" s="77">
        <f>(IF(Ontwerpberekening!E38="Nieuwe Situatie",(_xlfn.IFNA(VLOOKUP(Referentie_Hernieuwbare_Energie_Totaal47[[#This Row],[Product]]&amp;", "&amp;Referentie_Hernieuwbare_Energie_Totaal47[[#Headers],[A3]],Database_Productkaarten[#All],48,FALSE),0)*Ontwerpberekening!J38),0))/Ontwerpberekening!$A$2</f>
        <v>0</v>
      </c>
      <c r="H163" s="77">
        <f>(IF(Ontwerpberekening!E38="Nieuwe Situatie",(_xlfn.IFNA(VLOOKUP(Referentie_Hernieuwbare_Energie_Totaal47[[#This Row],[Product]]&amp;", "&amp;Referentie_Hernieuwbare_Energie_Totaal47[[#Headers],[A1-A3]],Database_Productkaarten[#All],48,FALSE),0)*Ontwerpberekening!J38),0))/Ontwerpberekening!$A$2</f>
        <v>0</v>
      </c>
      <c r="I163" s="77">
        <f>(IF(Ontwerpberekening!E38="Nieuwe Situatie",(_xlfn.IFNA(VLOOKUP(Referentie_Hernieuwbare_Energie_Totaal47[[#This Row],[Product]]&amp;", "&amp;Referentie_Hernieuwbare_Energie_Totaal47[[#Headers],[A4]],Database_Productkaarten[#All],48,FALSE),0)*Ontwerpberekening!R38),0))/Ontwerpberekening!$A$2</f>
        <v>0</v>
      </c>
      <c r="J163" s="77">
        <f>(IF(Ontwerpberekening!E38="Nieuwe Situatie",(_xlfn.IFNA(VLOOKUP(Referentie_Hernieuwbare_Energie_Totaal47[[#This Row],[Product]]&amp;", "&amp;Referentie_Hernieuwbare_Energie_Totaal47[[#Headers],[A5]],Database_Productkaarten[#All],48,FALSE),0)*Ontwerpberekening!J38),0))/Ontwerpberekening!$A$2</f>
        <v>0</v>
      </c>
      <c r="K163" s="77">
        <f>(IF(Ontwerpberekening!E38="Nieuwe Situatie",(_xlfn.IFNA(VLOOKUP(Referentie_Hernieuwbare_Energie_Totaal47[[#This Row],[Product]]&amp;", "&amp;Referentie_Hernieuwbare_Energie_Totaal47[[#Headers],[B1]],Database_Productkaarten[#All],48,FALSE),0)*Ontwerpberekening!J38),0))/Ontwerpberekening!$A$2</f>
        <v>0</v>
      </c>
      <c r="L163" s="77">
        <f>(IF(Ontwerpberekening!E38="Nieuwe Situatie",(_xlfn.IFNA(VLOOKUP(Referentie_Hernieuwbare_Energie_Totaal47[[#This Row],[Product]]&amp;", "&amp;Referentie_Hernieuwbare_Energie_Totaal47[[#Headers],[B3]],Database_Productkaarten[#All],48,FALSE),0)*Ontwerpberekening!J38),0))/Ontwerpberekening!$A$2</f>
        <v>0</v>
      </c>
      <c r="M163" s="77">
        <f>(IF(Ontwerpberekening!E38="Nieuwe Situatie",(SUM(Referentie_Hernieuwbare_Energie_Totaal47[[#This Row],[A1]:[B1]],Referentie_Hernieuwbare_Energie_Totaal47[[#This Row],[C1]:[D2]])*Ontwerpberekening!T38),0))/Ontwerpberekening!$A$2</f>
        <v>0</v>
      </c>
      <c r="N163" s="77">
        <f>(IF(Ontwerpberekening!E38="Bestaande Situatie",(_xlfn.IFNA(VLOOKUP(Referentie_Hernieuwbare_Energie_Totaal47[[#This Row],[Product]]&amp;", "&amp;Referentie_Hernieuwbare_Energie_Totaal47[[#Headers],[C1]],Database_Productkaarten[#All],48,FALSE),0)*Ontwerpberekening!J38),0))/Ontwerpberekening!$A$2</f>
        <v>0</v>
      </c>
      <c r="O163" s="77">
        <f>(IF(Ontwerpberekening!E38="Bestaande Situatie",(_xlfn.IFNA(VLOOKUP(Referentie_Hernieuwbare_Energie_Totaal47[[#This Row],[Product]]&amp;", "&amp;Referentie_Hernieuwbare_Energie_Totaal47[[#Headers],[C2]],Database_Productkaarten[#All],48,FALSE),0)*Ontwerpberekening!R38),0))/Ontwerpberekening!$A$2</f>
        <v>0</v>
      </c>
      <c r="P163" s="77">
        <f>(IF(Ontwerpberekening!E38="Bestaande Situatie",(_xlfn.IFNA(VLOOKUP(Referentie_Hernieuwbare_Energie_Totaal47[[#This Row],[Product]]&amp;", "&amp;Referentie_Hernieuwbare_Energie_Totaal47[[#Headers],[C3]],Database_Productkaarten[#All],48,FALSE),0)*Ontwerpberekening!J38),0))/Ontwerpberekening!$A$2</f>
        <v>0</v>
      </c>
      <c r="Q163" s="77">
        <f>(IF(Ontwerpberekening!E38="Bestaande Situatie",(_xlfn.IFNA(VLOOKUP(Referentie_Hernieuwbare_Energie_Totaal47[[#This Row],[Product]]&amp;", "&amp;Referentie_Hernieuwbare_Energie_Totaal47[[#Headers],[C4]],Database_Productkaarten[#All],48,FALSE),0)*Ontwerpberekening!J38),0))/Ontwerpberekening!$A$2</f>
        <v>0</v>
      </c>
      <c r="R163" s="77">
        <f>(IF(Ontwerpberekening!E38="Bestaande Situatie",(_xlfn.IFNA(VLOOKUP(Referentie_Hernieuwbare_Energie_Totaal47[[#This Row],[Product]]&amp;", "&amp;Referentie_Hernieuwbare_Energie_Totaal47[[#Headers],[D1]],Database_Productkaarten[#All],48,FALSE),0)*Ontwerpberekening!J38),0))/Ontwerpberekening!$A$2</f>
        <v>0</v>
      </c>
      <c r="S163" s="79">
        <f>(IF(Ontwerpberekening!E38="Bestaande Situatie",(_xlfn.IFNA(VLOOKUP(Referentie_Hernieuwbare_Energie_Totaal47[[#This Row],[Product]]&amp;", "&amp;Referentie_Hernieuwbare_Energie_Totaal47[[#Headers],[D2]],Database_Productkaarten[#All],48,FALSE),0)*Ontwerpberekening!J38),0))/Ontwerpberekening!$A$2</f>
        <v>0</v>
      </c>
      <c r="T163" s="56">
        <f>(IF(Ontwerpberekening!E38="Bestaande Situatie",(_xlfn.IFNA(VLOOKUP(Referentie_Hernieuwbare_Energie_Totaal47[[#This Row],[Product]]&amp;", "&amp;Referentie_Hernieuwbare_Energie_Totaal47[[#Headers],[D]],Database_Productkaarten[#All],48,FALSE),0)*Ontwerpberekening!J38),0))/Ontwerpberekening!$A$2</f>
        <v>0</v>
      </c>
      <c r="U163" s="56">
        <f>SUM(Referentie_Hernieuwbare_Energie_Totaal47[[#This Row],[A1-A3]:[C4]])+Referentie_Hernieuwbare_Energie_Totaal47[[#This Row],[D]]</f>
        <v>0</v>
      </c>
    </row>
    <row r="164" spans="2:21">
      <c r="B164" s="51">
        <f>Ontwerpberekening!B39</f>
        <v>0</v>
      </c>
      <c r="C164" s="51">
        <f>Ontwerpberekening!C39</f>
        <v>0</v>
      </c>
      <c r="D164" s="76">
        <f>Ontwerpberekening!G39</f>
        <v>0</v>
      </c>
      <c r="E164" s="77">
        <f>(IF(Ontwerpberekening!E39="Nieuwe Situatie",(_xlfn.IFNA(VLOOKUP(Referentie_Hernieuwbare_Energie_Totaal47[[#This Row],[Product]]&amp;", "&amp;Referentie_Hernieuwbare_Energie_Totaal47[[#Headers],[A1]],Database_Productkaarten[#All],48,FALSE),0)*Ontwerpberekening!J39),0))/Ontwerpberekening!$A$2</f>
        <v>0</v>
      </c>
      <c r="F164" s="77">
        <f>(IF(Ontwerpberekening!E39="Nieuwe Situatie",(_xlfn.IFNA(VLOOKUP(Referentie_Hernieuwbare_Energie_Totaal47[[#This Row],[Product]]&amp;", "&amp;Referentie_Hernieuwbare_Energie_Totaal47[[#Headers],[A2]],Database_Productkaarten[#All],48,FALSE),0)*Ontwerpberekening!J39),0))/Ontwerpberekening!$A$2</f>
        <v>0</v>
      </c>
      <c r="G164" s="77">
        <f>(IF(Ontwerpberekening!E39="Nieuwe Situatie",(_xlfn.IFNA(VLOOKUP(Referentie_Hernieuwbare_Energie_Totaal47[[#This Row],[Product]]&amp;", "&amp;Referentie_Hernieuwbare_Energie_Totaal47[[#Headers],[A3]],Database_Productkaarten[#All],48,FALSE),0)*Ontwerpberekening!J39),0))/Ontwerpberekening!$A$2</f>
        <v>0</v>
      </c>
      <c r="H164" s="77">
        <f>(IF(Ontwerpberekening!E39="Nieuwe Situatie",(_xlfn.IFNA(VLOOKUP(Referentie_Hernieuwbare_Energie_Totaal47[[#This Row],[Product]]&amp;", "&amp;Referentie_Hernieuwbare_Energie_Totaal47[[#Headers],[A1-A3]],Database_Productkaarten[#All],48,FALSE),0)*Ontwerpberekening!J39),0))/Ontwerpberekening!$A$2</f>
        <v>0</v>
      </c>
      <c r="I164" s="77">
        <f>(IF(Ontwerpberekening!E39="Nieuwe Situatie",(_xlfn.IFNA(VLOOKUP(Referentie_Hernieuwbare_Energie_Totaal47[[#This Row],[Product]]&amp;", "&amp;Referentie_Hernieuwbare_Energie_Totaal47[[#Headers],[A4]],Database_Productkaarten[#All],48,FALSE),0)*Ontwerpberekening!R39),0))/Ontwerpberekening!$A$2</f>
        <v>0</v>
      </c>
      <c r="J164" s="77">
        <f>(IF(Ontwerpberekening!E39="Nieuwe Situatie",(_xlfn.IFNA(VLOOKUP(Referentie_Hernieuwbare_Energie_Totaal47[[#This Row],[Product]]&amp;", "&amp;Referentie_Hernieuwbare_Energie_Totaal47[[#Headers],[A5]],Database_Productkaarten[#All],48,FALSE),0)*Ontwerpberekening!J39),0))/Ontwerpberekening!$A$2</f>
        <v>0</v>
      </c>
      <c r="K164" s="77">
        <f>(IF(Ontwerpberekening!E39="Nieuwe Situatie",(_xlfn.IFNA(VLOOKUP(Referentie_Hernieuwbare_Energie_Totaal47[[#This Row],[Product]]&amp;", "&amp;Referentie_Hernieuwbare_Energie_Totaal47[[#Headers],[B1]],Database_Productkaarten[#All],48,FALSE),0)*Ontwerpberekening!J39),0))/Ontwerpberekening!$A$2</f>
        <v>0</v>
      </c>
      <c r="L164" s="77">
        <f>(IF(Ontwerpberekening!E39="Nieuwe Situatie",(_xlfn.IFNA(VLOOKUP(Referentie_Hernieuwbare_Energie_Totaal47[[#This Row],[Product]]&amp;", "&amp;Referentie_Hernieuwbare_Energie_Totaal47[[#Headers],[B3]],Database_Productkaarten[#All],48,FALSE),0)*Ontwerpberekening!J39),0))/Ontwerpberekening!$A$2</f>
        <v>0</v>
      </c>
      <c r="M164" s="77">
        <f>(IF(Ontwerpberekening!E39="Nieuwe Situatie",(SUM(Referentie_Hernieuwbare_Energie_Totaal47[[#This Row],[A1]:[B1]],Referentie_Hernieuwbare_Energie_Totaal47[[#This Row],[C1]:[D2]])*Ontwerpberekening!T39),0))/Ontwerpberekening!$A$2</f>
        <v>0</v>
      </c>
      <c r="N164" s="77">
        <f>(IF(Ontwerpberekening!E39="Bestaande Situatie",(_xlfn.IFNA(VLOOKUP(Referentie_Hernieuwbare_Energie_Totaal47[[#This Row],[Product]]&amp;", "&amp;Referentie_Hernieuwbare_Energie_Totaal47[[#Headers],[C1]],Database_Productkaarten[#All],48,FALSE),0)*Ontwerpberekening!J39),0))/Ontwerpberekening!$A$2</f>
        <v>0</v>
      </c>
      <c r="O164" s="77">
        <f>(IF(Ontwerpberekening!E39="Bestaande Situatie",(_xlfn.IFNA(VLOOKUP(Referentie_Hernieuwbare_Energie_Totaal47[[#This Row],[Product]]&amp;", "&amp;Referentie_Hernieuwbare_Energie_Totaal47[[#Headers],[C2]],Database_Productkaarten[#All],48,FALSE),0)*Ontwerpberekening!R39),0))/Ontwerpberekening!$A$2</f>
        <v>0</v>
      </c>
      <c r="P164" s="77">
        <f>(IF(Ontwerpberekening!E39="Bestaande Situatie",(_xlfn.IFNA(VLOOKUP(Referentie_Hernieuwbare_Energie_Totaal47[[#This Row],[Product]]&amp;", "&amp;Referentie_Hernieuwbare_Energie_Totaal47[[#Headers],[C3]],Database_Productkaarten[#All],48,FALSE),0)*Ontwerpberekening!J39),0))/Ontwerpberekening!$A$2</f>
        <v>0</v>
      </c>
      <c r="Q164" s="77">
        <f>(IF(Ontwerpberekening!E39="Bestaande Situatie",(_xlfn.IFNA(VLOOKUP(Referentie_Hernieuwbare_Energie_Totaal47[[#This Row],[Product]]&amp;", "&amp;Referentie_Hernieuwbare_Energie_Totaal47[[#Headers],[C4]],Database_Productkaarten[#All],48,FALSE),0)*Ontwerpberekening!J39),0))/Ontwerpberekening!$A$2</f>
        <v>0</v>
      </c>
      <c r="R164" s="77">
        <f>(IF(Ontwerpberekening!E39="Bestaande Situatie",(_xlfn.IFNA(VLOOKUP(Referentie_Hernieuwbare_Energie_Totaal47[[#This Row],[Product]]&amp;", "&amp;Referentie_Hernieuwbare_Energie_Totaal47[[#Headers],[D1]],Database_Productkaarten[#All],48,FALSE),0)*Ontwerpberekening!J39),0))/Ontwerpberekening!$A$2</f>
        <v>0</v>
      </c>
      <c r="S164" s="79">
        <f>(IF(Ontwerpberekening!E39="Bestaande Situatie",(_xlfn.IFNA(VLOOKUP(Referentie_Hernieuwbare_Energie_Totaal47[[#This Row],[Product]]&amp;", "&amp;Referentie_Hernieuwbare_Energie_Totaal47[[#Headers],[D2]],Database_Productkaarten[#All],48,FALSE),0)*Ontwerpberekening!J39),0))/Ontwerpberekening!$A$2</f>
        <v>0</v>
      </c>
      <c r="T164" s="56">
        <f>(IF(Ontwerpberekening!E39="Bestaande Situatie",(_xlfn.IFNA(VLOOKUP(Referentie_Hernieuwbare_Energie_Totaal47[[#This Row],[Product]]&amp;", "&amp;Referentie_Hernieuwbare_Energie_Totaal47[[#Headers],[D]],Database_Productkaarten[#All],48,FALSE),0)*Ontwerpberekening!J39),0))/Ontwerpberekening!$A$2</f>
        <v>0</v>
      </c>
      <c r="U164" s="56">
        <f>SUM(Referentie_Hernieuwbare_Energie_Totaal47[[#This Row],[A1-A3]:[C4]])+Referentie_Hernieuwbare_Energie_Totaal47[[#This Row],[D]]</f>
        <v>0</v>
      </c>
    </row>
    <row r="165" spans="2:21">
      <c r="B165" s="51">
        <f>Ontwerpberekening!B40</f>
        <v>0</v>
      </c>
      <c r="C165" s="51">
        <f>Ontwerpberekening!C40</f>
        <v>0</v>
      </c>
      <c r="D165" s="76">
        <f>Ontwerpberekening!G40</f>
        <v>0</v>
      </c>
      <c r="E165" s="77">
        <f>(IF(Ontwerpberekening!E40="Nieuwe Situatie",(_xlfn.IFNA(VLOOKUP(Referentie_Hernieuwbare_Energie_Totaal47[[#This Row],[Product]]&amp;", "&amp;Referentie_Hernieuwbare_Energie_Totaal47[[#Headers],[A1]],Database_Productkaarten[#All],48,FALSE),0)*Ontwerpberekening!J40),0))/Ontwerpberekening!$A$2</f>
        <v>0</v>
      </c>
      <c r="F165" s="77">
        <f>(IF(Ontwerpberekening!E40="Nieuwe Situatie",(_xlfn.IFNA(VLOOKUP(Referentie_Hernieuwbare_Energie_Totaal47[[#This Row],[Product]]&amp;", "&amp;Referentie_Hernieuwbare_Energie_Totaal47[[#Headers],[A2]],Database_Productkaarten[#All],48,FALSE),0)*Ontwerpberekening!J40),0))/Ontwerpberekening!$A$2</f>
        <v>0</v>
      </c>
      <c r="G165" s="77">
        <f>(IF(Ontwerpberekening!E40="Nieuwe Situatie",(_xlfn.IFNA(VLOOKUP(Referentie_Hernieuwbare_Energie_Totaal47[[#This Row],[Product]]&amp;", "&amp;Referentie_Hernieuwbare_Energie_Totaal47[[#Headers],[A3]],Database_Productkaarten[#All],48,FALSE),0)*Ontwerpberekening!J40),0))/Ontwerpberekening!$A$2</f>
        <v>0</v>
      </c>
      <c r="H165" s="77">
        <f>(IF(Ontwerpberekening!E40="Nieuwe Situatie",(_xlfn.IFNA(VLOOKUP(Referentie_Hernieuwbare_Energie_Totaal47[[#This Row],[Product]]&amp;", "&amp;Referentie_Hernieuwbare_Energie_Totaal47[[#Headers],[A1-A3]],Database_Productkaarten[#All],48,FALSE),0)*Ontwerpberekening!J40),0))/Ontwerpberekening!$A$2</f>
        <v>0</v>
      </c>
      <c r="I165" s="77">
        <f>(IF(Ontwerpberekening!E40="Nieuwe Situatie",(_xlfn.IFNA(VLOOKUP(Referentie_Hernieuwbare_Energie_Totaal47[[#This Row],[Product]]&amp;", "&amp;Referentie_Hernieuwbare_Energie_Totaal47[[#Headers],[A4]],Database_Productkaarten[#All],48,FALSE),0)*Ontwerpberekening!R40),0))/Ontwerpberekening!$A$2</f>
        <v>0</v>
      </c>
      <c r="J165" s="77">
        <f>(IF(Ontwerpberekening!E40="Nieuwe Situatie",(_xlfn.IFNA(VLOOKUP(Referentie_Hernieuwbare_Energie_Totaal47[[#This Row],[Product]]&amp;", "&amp;Referentie_Hernieuwbare_Energie_Totaal47[[#Headers],[A5]],Database_Productkaarten[#All],48,FALSE),0)*Ontwerpberekening!J40),0))/Ontwerpberekening!$A$2</f>
        <v>0</v>
      </c>
      <c r="K165" s="77">
        <f>(IF(Ontwerpberekening!E40="Nieuwe Situatie",(_xlfn.IFNA(VLOOKUP(Referentie_Hernieuwbare_Energie_Totaal47[[#This Row],[Product]]&amp;", "&amp;Referentie_Hernieuwbare_Energie_Totaal47[[#Headers],[B1]],Database_Productkaarten[#All],48,FALSE),0)*Ontwerpberekening!J40),0))/Ontwerpberekening!$A$2</f>
        <v>0</v>
      </c>
      <c r="L165" s="77">
        <f>(IF(Ontwerpberekening!E40="Nieuwe Situatie",(_xlfn.IFNA(VLOOKUP(Referentie_Hernieuwbare_Energie_Totaal47[[#This Row],[Product]]&amp;", "&amp;Referentie_Hernieuwbare_Energie_Totaal47[[#Headers],[B3]],Database_Productkaarten[#All],48,FALSE),0)*Ontwerpberekening!J40),0))/Ontwerpberekening!$A$2</f>
        <v>0</v>
      </c>
      <c r="M165" s="77">
        <f>(IF(Ontwerpberekening!E40="Nieuwe Situatie",(SUM(Referentie_Hernieuwbare_Energie_Totaal47[[#This Row],[A1]:[B1]],Referentie_Hernieuwbare_Energie_Totaal47[[#This Row],[C1]:[D2]])*Ontwerpberekening!T40),0))/Ontwerpberekening!$A$2</f>
        <v>0</v>
      </c>
      <c r="N165" s="77">
        <f>(IF(Ontwerpberekening!E40="Bestaande Situatie",(_xlfn.IFNA(VLOOKUP(Referentie_Hernieuwbare_Energie_Totaal47[[#This Row],[Product]]&amp;", "&amp;Referentie_Hernieuwbare_Energie_Totaal47[[#Headers],[C1]],Database_Productkaarten[#All],48,FALSE),0)*Ontwerpberekening!J40),0))/Ontwerpberekening!$A$2</f>
        <v>0</v>
      </c>
      <c r="O165" s="77">
        <f>(IF(Ontwerpberekening!E40="Bestaande Situatie",(_xlfn.IFNA(VLOOKUP(Referentie_Hernieuwbare_Energie_Totaal47[[#This Row],[Product]]&amp;", "&amp;Referentie_Hernieuwbare_Energie_Totaal47[[#Headers],[C2]],Database_Productkaarten[#All],48,FALSE),0)*Ontwerpberekening!R40),0))/Ontwerpberekening!$A$2</f>
        <v>0</v>
      </c>
      <c r="P165" s="77">
        <f>(IF(Ontwerpberekening!E40="Bestaande Situatie",(_xlfn.IFNA(VLOOKUP(Referentie_Hernieuwbare_Energie_Totaal47[[#This Row],[Product]]&amp;", "&amp;Referentie_Hernieuwbare_Energie_Totaal47[[#Headers],[C3]],Database_Productkaarten[#All],48,FALSE),0)*Ontwerpberekening!J40),0))/Ontwerpberekening!$A$2</f>
        <v>0</v>
      </c>
      <c r="Q165" s="77">
        <f>(IF(Ontwerpberekening!E40="Bestaande Situatie",(_xlfn.IFNA(VLOOKUP(Referentie_Hernieuwbare_Energie_Totaal47[[#This Row],[Product]]&amp;", "&amp;Referentie_Hernieuwbare_Energie_Totaal47[[#Headers],[C4]],Database_Productkaarten[#All],48,FALSE),0)*Ontwerpberekening!J40),0))/Ontwerpberekening!$A$2</f>
        <v>0</v>
      </c>
      <c r="R165" s="77">
        <f>(IF(Ontwerpberekening!E40="Bestaande Situatie",(_xlfn.IFNA(VLOOKUP(Referentie_Hernieuwbare_Energie_Totaal47[[#This Row],[Product]]&amp;", "&amp;Referentie_Hernieuwbare_Energie_Totaal47[[#Headers],[D1]],Database_Productkaarten[#All],48,FALSE),0)*Ontwerpberekening!J40),0))/Ontwerpberekening!$A$2</f>
        <v>0</v>
      </c>
      <c r="S165" s="79">
        <f>(IF(Ontwerpberekening!E40="Bestaande Situatie",(_xlfn.IFNA(VLOOKUP(Referentie_Hernieuwbare_Energie_Totaal47[[#This Row],[Product]]&amp;", "&amp;Referentie_Hernieuwbare_Energie_Totaal47[[#Headers],[D2]],Database_Productkaarten[#All],48,FALSE),0)*Ontwerpberekening!J40),0))/Ontwerpberekening!$A$2</f>
        <v>0</v>
      </c>
      <c r="T165" s="56">
        <f>(IF(Ontwerpberekening!E40="Bestaande Situatie",(_xlfn.IFNA(VLOOKUP(Referentie_Hernieuwbare_Energie_Totaal47[[#This Row],[Product]]&amp;", "&amp;Referentie_Hernieuwbare_Energie_Totaal47[[#Headers],[D]],Database_Productkaarten[#All],48,FALSE),0)*Ontwerpberekening!J40),0))/Ontwerpberekening!$A$2</f>
        <v>0</v>
      </c>
      <c r="U165" s="56">
        <f>SUM(Referentie_Hernieuwbare_Energie_Totaal47[[#This Row],[A1-A3]:[C4]])+Referentie_Hernieuwbare_Energie_Totaal47[[#This Row],[D]]</f>
        <v>0</v>
      </c>
    </row>
    <row r="166" spans="2:21" ht="15.75" thickBot="1">
      <c r="B166" s="51">
        <f>Ontwerpberekening!B41</f>
        <v>0</v>
      </c>
      <c r="C166" s="51">
        <f>Ontwerpberekening!C41</f>
        <v>0</v>
      </c>
      <c r="D166" s="76">
        <f>Ontwerpberekening!G41</f>
        <v>0</v>
      </c>
      <c r="E166" s="77">
        <f>(IF(Ontwerpberekening!E41="Nieuwe Situatie",(_xlfn.IFNA(VLOOKUP(Referentie_Hernieuwbare_Energie_Totaal47[[#This Row],[Product]]&amp;", "&amp;Referentie_Hernieuwbare_Energie_Totaal47[[#Headers],[A1]],Database_Productkaarten[#All],48,FALSE),0)*Ontwerpberekening!J41),0))/Ontwerpberekening!$A$2</f>
        <v>0</v>
      </c>
      <c r="F166" s="77">
        <f>(IF(Ontwerpberekening!E41="Nieuwe Situatie",(_xlfn.IFNA(VLOOKUP(Referentie_Hernieuwbare_Energie_Totaal47[[#This Row],[Product]]&amp;", "&amp;Referentie_Hernieuwbare_Energie_Totaal47[[#Headers],[A2]],Database_Productkaarten[#All],48,FALSE),0)*Ontwerpberekening!J41),0))/Ontwerpberekening!$A$2</f>
        <v>0</v>
      </c>
      <c r="G166" s="77">
        <f>(IF(Ontwerpberekening!E41="Nieuwe Situatie",(_xlfn.IFNA(VLOOKUP(Referentie_Hernieuwbare_Energie_Totaal47[[#This Row],[Product]]&amp;", "&amp;Referentie_Hernieuwbare_Energie_Totaal47[[#Headers],[A3]],Database_Productkaarten[#All],48,FALSE),0)*Ontwerpberekening!J41),0))/Ontwerpberekening!$A$2</f>
        <v>0</v>
      </c>
      <c r="H166" s="77">
        <f>(IF(Ontwerpberekening!E41="Nieuwe Situatie",(_xlfn.IFNA(VLOOKUP(Referentie_Hernieuwbare_Energie_Totaal47[[#This Row],[Product]]&amp;", "&amp;Referentie_Hernieuwbare_Energie_Totaal47[[#Headers],[A1-A3]],Database_Productkaarten[#All],48,FALSE),0)*Ontwerpberekening!J41),0))/Ontwerpberekening!$A$2</f>
        <v>0</v>
      </c>
      <c r="I166" s="77">
        <f>(IF(Ontwerpberekening!E41="Nieuwe Situatie",(_xlfn.IFNA(VLOOKUP(Referentie_Hernieuwbare_Energie_Totaal47[[#This Row],[Product]]&amp;", "&amp;Referentie_Hernieuwbare_Energie_Totaal47[[#Headers],[A4]],Database_Productkaarten[#All],48,FALSE),0)*Ontwerpberekening!R41),0))/Ontwerpberekening!$A$2</f>
        <v>0</v>
      </c>
      <c r="J166" s="77">
        <f>(IF(Ontwerpberekening!E41="Nieuwe Situatie",(_xlfn.IFNA(VLOOKUP(Referentie_Hernieuwbare_Energie_Totaal47[[#This Row],[Product]]&amp;", "&amp;Referentie_Hernieuwbare_Energie_Totaal47[[#Headers],[A5]],Database_Productkaarten[#All],48,FALSE),0)*Ontwerpberekening!J41),0))/Ontwerpberekening!$A$2</f>
        <v>0</v>
      </c>
      <c r="K166" s="77">
        <f>(IF(Ontwerpberekening!E41="Nieuwe Situatie",(_xlfn.IFNA(VLOOKUP(Referentie_Hernieuwbare_Energie_Totaal47[[#This Row],[Product]]&amp;", "&amp;Referentie_Hernieuwbare_Energie_Totaal47[[#Headers],[B1]],Database_Productkaarten[#All],48,FALSE),0)*Ontwerpberekening!J41),0))/Ontwerpberekening!$A$2</f>
        <v>0</v>
      </c>
      <c r="L166" s="77">
        <f>(IF(Ontwerpberekening!E41="Nieuwe Situatie",(_xlfn.IFNA(VLOOKUP(Referentie_Hernieuwbare_Energie_Totaal47[[#This Row],[Product]]&amp;", "&amp;Referentie_Hernieuwbare_Energie_Totaal47[[#Headers],[B3]],Database_Productkaarten[#All],48,FALSE),0)*Ontwerpberekening!J41),0))/Ontwerpberekening!$A$2</f>
        <v>0</v>
      </c>
      <c r="M166" s="77">
        <f>(IF(Ontwerpberekening!E41="Nieuwe Situatie",(SUM(Referentie_Hernieuwbare_Energie_Totaal47[[#This Row],[A1]:[B1]],Referentie_Hernieuwbare_Energie_Totaal47[[#This Row],[C1]:[D2]])*Ontwerpberekening!T41),0))/Ontwerpberekening!$A$2</f>
        <v>0</v>
      </c>
      <c r="N166" s="77">
        <f>(IF(Ontwerpberekening!E41="Bestaande Situatie",(_xlfn.IFNA(VLOOKUP(Referentie_Hernieuwbare_Energie_Totaal47[[#This Row],[Product]]&amp;", "&amp;Referentie_Hernieuwbare_Energie_Totaal47[[#Headers],[C1]],Database_Productkaarten[#All],48,FALSE),0)*Ontwerpberekening!J41),0))/Ontwerpberekening!$A$2</f>
        <v>0</v>
      </c>
      <c r="O166" s="77">
        <f>(IF(Ontwerpberekening!E41="Bestaande Situatie",(_xlfn.IFNA(VLOOKUP(Referentie_Hernieuwbare_Energie_Totaal47[[#This Row],[Product]]&amp;", "&amp;Referentie_Hernieuwbare_Energie_Totaal47[[#Headers],[C2]],Database_Productkaarten[#All],48,FALSE),0)*Ontwerpberekening!R41),0))/Ontwerpberekening!$A$2</f>
        <v>0</v>
      </c>
      <c r="P166" s="77">
        <f>(IF(Ontwerpberekening!E41="Bestaande Situatie",(_xlfn.IFNA(VLOOKUP(Referentie_Hernieuwbare_Energie_Totaal47[[#This Row],[Product]]&amp;", "&amp;Referentie_Hernieuwbare_Energie_Totaal47[[#Headers],[C3]],Database_Productkaarten[#All],48,FALSE),0)*Ontwerpberekening!J41),0))/Ontwerpberekening!$A$2</f>
        <v>0</v>
      </c>
      <c r="Q166" s="77">
        <f>(IF(Ontwerpberekening!E41="Bestaande Situatie",(_xlfn.IFNA(VLOOKUP(Referentie_Hernieuwbare_Energie_Totaal47[[#This Row],[Product]]&amp;", "&amp;Referentie_Hernieuwbare_Energie_Totaal47[[#Headers],[C4]],Database_Productkaarten[#All],48,FALSE),0)*Ontwerpberekening!J41),0))/Ontwerpberekening!$A$2</f>
        <v>0</v>
      </c>
      <c r="R166" s="77">
        <f>(IF(Ontwerpberekening!E41="Bestaande Situatie",(_xlfn.IFNA(VLOOKUP(Referentie_Hernieuwbare_Energie_Totaal47[[#This Row],[Product]]&amp;", "&amp;Referentie_Hernieuwbare_Energie_Totaal47[[#Headers],[D1]],Database_Productkaarten[#All],48,FALSE),0)*Ontwerpberekening!J41),0))/Ontwerpberekening!$A$2</f>
        <v>0</v>
      </c>
      <c r="S166" s="79">
        <f>(IF(Ontwerpberekening!E41="Bestaande Situatie",(_xlfn.IFNA(VLOOKUP(Referentie_Hernieuwbare_Energie_Totaal47[[#This Row],[Product]]&amp;", "&amp;Referentie_Hernieuwbare_Energie_Totaal47[[#Headers],[D2]],Database_Productkaarten[#All],48,FALSE),0)*Ontwerpberekening!J41),0))/Ontwerpberekening!$A$2</f>
        <v>0</v>
      </c>
      <c r="T166" s="56">
        <f>(IF(Ontwerpberekening!E41="Bestaande Situatie",(_xlfn.IFNA(VLOOKUP(Referentie_Hernieuwbare_Energie_Totaal47[[#This Row],[Product]]&amp;", "&amp;Referentie_Hernieuwbare_Energie_Totaal47[[#Headers],[D]],Database_Productkaarten[#All],48,FALSE),0)*Ontwerpberekening!J41),0))/Ontwerpberekening!$A$2</f>
        <v>0</v>
      </c>
      <c r="U166" s="56">
        <f>SUM(Referentie_Hernieuwbare_Energie_Totaal47[[#This Row],[A1-A3]:[C4]])+Referentie_Hernieuwbare_Energie_Totaal47[[#This Row],[D]]</f>
        <v>0</v>
      </c>
    </row>
    <row r="167" spans="2:21" ht="15.75" thickTop="1">
      <c r="B167" s="52" t="s">
        <v>90</v>
      </c>
      <c r="C167" s="52"/>
      <c r="D167" s="53"/>
      <c r="E167" s="159">
        <f>SUBTOTAL(109,Referentie_Hernieuwbare_Energie_Totaal47[A1])</f>
        <v>28823.605500000001</v>
      </c>
      <c r="F167" s="159">
        <f>SUBTOTAL(109,Referentie_Hernieuwbare_Energie_Totaal47[A2])</f>
        <v>304.501305</v>
      </c>
      <c r="G167" s="159">
        <f>SUBTOTAL(109,Referentie_Hernieuwbare_Energie_Totaal47[A3])</f>
        <v>2218.4840999999997</v>
      </c>
      <c r="H167" s="159">
        <f>SUBTOTAL(109,Referentie_Hernieuwbare_Energie_Totaal47[A1-A3])</f>
        <v>58676.498517</v>
      </c>
      <c r="I167" s="159">
        <f>SUBTOTAL(109,Referentie_Hernieuwbare_Energie_Totaal47[A4])</f>
        <v>766.10325458461807</v>
      </c>
      <c r="J167" s="159">
        <f>SUBTOTAL(109,Referentie_Hernieuwbare_Energie_Totaal47[A5])</f>
        <v>2524.3407999999999</v>
      </c>
      <c r="K167" s="159">
        <f>SUBTOTAL(109,Referentie_Hernieuwbare_Energie_Totaal47[B1])</f>
        <v>0</v>
      </c>
      <c r="L167" s="159">
        <f>SUBTOTAL(109,Referentie_Hernieuwbare_Energie_Totaal47[B3])</f>
        <v>0</v>
      </c>
      <c r="M167" s="159">
        <f>SUBTOTAL(109,Referentie_Hernieuwbare_Energie_Totaal47[B4])</f>
        <v>0</v>
      </c>
      <c r="N167" s="159">
        <f>SUBTOTAL(109,Referentie_Hernieuwbare_Energie_Totaal47[C1])</f>
        <v>346.86796950000007</v>
      </c>
      <c r="O167" s="159">
        <f>SUBTOTAL(109,Referentie_Hernieuwbare_Energie_Totaal47[C2])</f>
        <v>638.57514358572803</v>
      </c>
      <c r="P167" s="159">
        <f>SUBTOTAL(109,Referentie_Hernieuwbare_Energie_Totaal47[C3])</f>
        <v>1595.2268300000003</v>
      </c>
      <c r="Q167" s="159">
        <f>SUBTOTAL(109,Referentie_Hernieuwbare_Energie_Totaal47[C4])</f>
        <v>63.644767833300016</v>
      </c>
      <c r="R167" s="159">
        <f>SUBTOTAL(109,Referentie_Hernieuwbare_Energie_Totaal47[D1])</f>
        <v>0</v>
      </c>
      <c r="S167" s="160">
        <f>SUBTOTAL(109,Referentie_Hernieuwbare_Energie_Totaal47[D2])</f>
        <v>0</v>
      </c>
      <c r="T167" s="160">
        <f>SUBTOTAL(109,Referentie_Hernieuwbare_Energie_Totaal47[D])</f>
        <v>-3051.75635663</v>
      </c>
      <c r="U167" s="161">
        <f>SUBTOTAL(109,Referentie_Hernieuwbare_Energie_Totaal47[Totaal])</f>
        <v>61559.500925873632</v>
      </c>
    </row>
    <row r="168" spans="2:21">
      <c r="B168" s="13"/>
      <c r="C168" s="13"/>
      <c r="D168" s="13"/>
      <c r="E168" s="13"/>
      <c r="F168" s="13"/>
      <c r="G168" s="13"/>
      <c r="H168" s="13"/>
      <c r="I168" s="13"/>
      <c r="J168" s="13"/>
      <c r="K168" s="13"/>
      <c r="L168" s="13"/>
      <c r="M168" s="13"/>
      <c r="N168" s="13"/>
      <c r="O168" s="13"/>
      <c r="P168" s="13"/>
    </row>
    <row r="169" spans="2:21">
      <c r="B169" s="13"/>
      <c r="C169" s="13"/>
      <c r="D169" s="13"/>
      <c r="E169" s="13"/>
      <c r="F169" s="13"/>
      <c r="G169" s="13"/>
      <c r="H169" s="13"/>
      <c r="I169" s="13"/>
      <c r="J169" s="13"/>
      <c r="K169" s="13"/>
      <c r="L169" s="13"/>
      <c r="M169" s="13"/>
      <c r="N169" s="13"/>
      <c r="O169" s="13"/>
      <c r="P169" s="13"/>
    </row>
    <row r="170" spans="2:21" ht="18">
      <c r="B170" s="110" t="s">
        <v>122</v>
      </c>
      <c r="C170" s="110"/>
      <c r="D170" s="110"/>
      <c r="E170" s="13"/>
      <c r="F170" s="13"/>
      <c r="G170" s="13"/>
      <c r="H170" s="13"/>
      <c r="I170" s="13"/>
      <c r="J170" s="13"/>
      <c r="K170" s="13"/>
      <c r="L170" s="13"/>
      <c r="M170" s="13"/>
      <c r="N170" s="13"/>
      <c r="O170" s="13"/>
      <c r="P170" s="13"/>
    </row>
    <row r="171" spans="2:21" ht="15.75" thickBot="1">
      <c r="B171" s="1" t="s">
        <v>70</v>
      </c>
      <c r="C171" s="1" t="s">
        <v>3</v>
      </c>
      <c r="D171" s="50" t="s">
        <v>7</v>
      </c>
      <c r="E171" s="63" t="s">
        <v>74</v>
      </c>
      <c r="F171" s="64" t="s">
        <v>75</v>
      </c>
      <c r="G171" s="65" t="s">
        <v>76</v>
      </c>
      <c r="H171" s="18" t="s">
        <v>77</v>
      </c>
      <c r="I171" s="66" t="s">
        <v>78</v>
      </c>
      <c r="J171" s="67" t="s">
        <v>79</v>
      </c>
      <c r="K171" s="68" t="s">
        <v>80</v>
      </c>
      <c r="L171" s="68" t="s">
        <v>81</v>
      </c>
      <c r="M171" s="69" t="s">
        <v>82</v>
      </c>
      <c r="N171" s="70" t="s">
        <v>83</v>
      </c>
      <c r="O171" s="71" t="s">
        <v>84</v>
      </c>
      <c r="P171" s="72" t="s">
        <v>85</v>
      </c>
      <c r="Q171" s="73" t="s">
        <v>86</v>
      </c>
      <c r="R171" s="74" t="s">
        <v>87</v>
      </c>
      <c r="S171" s="75" t="s">
        <v>88</v>
      </c>
      <c r="T171" s="29" t="s">
        <v>89</v>
      </c>
      <c r="U171" s="143" t="s">
        <v>90</v>
      </c>
    </row>
    <row r="172" spans="2:21" ht="15.75" thickTop="1">
      <c r="B172" s="51" t="str">
        <f>Ontwerpberekening!B5</f>
        <v>Open Menggranulaat</v>
      </c>
      <c r="C172" s="51" t="str">
        <f>Ontwerpberekening!C5</f>
        <v>Grondontgraving</v>
      </c>
      <c r="D172" s="76" t="str">
        <f>Ontwerpberekening!G5</f>
        <v>Ophoogmateriaal (Grond)</v>
      </c>
      <c r="E172" s="77">
        <f>(IF(Ontwerpberekening!E5="Nieuwe Situatie",(_xlfn.IFNA(VLOOKUP(Referentie_Fossiele_Energie_Totaal48[[#This Row],[Product]]&amp;", "&amp;Referentie_Fossiele_Energie_Totaal48[[#Headers],[A1]],Database_Productkaarten[#All],51,FALSE),0)*Ontwerpberekening!J5),0))/Ontwerpberekening!$A$2</f>
        <v>0</v>
      </c>
      <c r="F172" s="77">
        <f>(IF(Ontwerpberekening!E5="Nieuwe Situatie",(_xlfn.IFNA(VLOOKUP(Referentie_Fossiele_Energie_Totaal48[[#This Row],[Product]]&amp;", "&amp;Referentie_Fossiele_Energie_Totaal48[[#Headers],[A2]],Database_Productkaarten[#All],51,FALSE),0)*Ontwerpberekening!J5),0))/Ontwerpberekening!$A$2</f>
        <v>0</v>
      </c>
      <c r="G172" s="77">
        <f>(IF(Ontwerpberekening!E5="Nieuwe Situatie",(_xlfn.IFNA(VLOOKUP(Referentie_Fossiele_Energie_Totaal48[[#This Row],[Product]]&amp;", "&amp;Referentie_Fossiele_Energie_Totaal48[[#Headers],[A3]],Database_Productkaarten[#All],51,FALSE),0)*Ontwerpberekening!J5),0))/Ontwerpberekening!$A$2</f>
        <v>0</v>
      </c>
      <c r="H172" s="77">
        <f>(IF(Ontwerpberekening!E5="Nieuwe Situatie",(_xlfn.IFNA(VLOOKUP(Referentie_Fossiele_Energie_Totaal48[[#This Row],[Product]]&amp;", "&amp;Referentie_Fossiele_Energie_Totaal48[[#Headers],[A1-A3]],Database_Productkaarten[#All],51,FALSE),0)*Ontwerpberekening!J5),0))/Ontwerpberekening!$A$2</f>
        <v>0</v>
      </c>
      <c r="I172" s="77">
        <f>(IF(Ontwerpberekening!E5="Nieuwe Situatie",(_xlfn.IFNA(VLOOKUP(Referentie_Fossiele_Energie_Totaal48[[#This Row],[Product]]&amp;", "&amp;Referentie_Fossiele_Energie_Totaal48[[#Headers],[A4]],Database_Productkaarten[#All],51,FALSE),0)*Ontwerpberekening!R5),0))/Ontwerpberekening!$A$2</f>
        <v>0</v>
      </c>
      <c r="J172" s="77">
        <f>(IF(Ontwerpberekening!E5="Nieuwe Situatie",(_xlfn.IFNA(VLOOKUP(Referentie_Fossiele_Energie_Totaal48[[#This Row],[Product]]&amp;", "&amp;Referentie_Fossiele_Energie_Totaal48[[#Headers],[A5]],Database_Productkaarten[#All],51,FALSE),0)*Ontwerpberekening!J5),0))/Ontwerpberekening!$A$2</f>
        <v>0</v>
      </c>
      <c r="K172" s="77">
        <f>(IF(Ontwerpberekening!E5="Nieuwe Situatie",(_xlfn.IFNA(VLOOKUP(Referentie_Fossiele_Energie_Totaal48[[#This Row],[Product]]&amp;", "&amp;Referentie_Fossiele_Energie_Totaal48[[#Headers],[B1]],Database_Productkaarten[#All],51,FALSE),0)*Ontwerpberekening!J5),0))/Ontwerpberekening!$A$2</f>
        <v>0</v>
      </c>
      <c r="L172" s="77">
        <f>(IF(Ontwerpberekening!E5="Nieuwe Situatie",(_xlfn.IFNA(VLOOKUP(Referentie_Fossiele_Energie_Totaal48[[#This Row],[Product]]&amp;", "&amp;Referentie_Fossiele_Energie_Totaal48[[#Headers],[B3]],Database_Productkaarten[#All],51,FALSE),0)*Ontwerpberekening!J5),0))/Ontwerpberekening!$A$2</f>
        <v>0</v>
      </c>
      <c r="M172" s="77">
        <f>(IF(Ontwerpberekening!E5="Nieuwe Situatie",(SUM(Referentie_Fossiele_Energie_Totaal48[[#This Row],[A1]:[B1]],Referentie_Fossiele_Energie_Totaal48[[#This Row],[C1]:[D2]])*Ontwerpberekening!N5),0))/Ontwerpberekening!$A$2</f>
        <v>0</v>
      </c>
      <c r="N172" s="77">
        <f>(IF(Ontwerpberekening!E5="Bestaande Situatie",(_xlfn.IFNA(VLOOKUP(Referentie_Fossiele_Energie_Totaal48[[#This Row],[Product]]&amp;", "&amp;Referentie_Fossiele_Energie_Totaal48[[#Headers],[C1]],Database_Productkaarten[#All],51,FALSE),0)*Ontwerpberekening!J5),0))/Ontwerpberekening!$A$2</f>
        <v>0</v>
      </c>
      <c r="O172" s="77">
        <f>(IF(Ontwerpberekening!E5="Bestaande Situatie",(_xlfn.IFNA(VLOOKUP(Referentie_Fossiele_Energie_Totaal48[[#This Row],[Product]]&amp;", "&amp;Referentie_Fossiele_Energie_Totaal48[[#Headers],[C2]],Database_Productkaarten[#All],51,FALSE),0)*Ontwerpberekening!R5),0))/Ontwerpberekening!$A$2</f>
        <v>0</v>
      </c>
      <c r="P172" s="77">
        <f>(IF(Ontwerpberekening!E5="Bestaande Situatie",(_xlfn.IFNA(VLOOKUP(Referentie_Fossiele_Energie_Totaal48[[#This Row],[Product]]&amp;", "&amp;Referentie_Fossiele_Energie_Totaal48[[#Headers],[C3]],Database_Productkaarten[#All],51,FALSE),0)*Ontwerpberekening!J5),0))/Ontwerpberekening!$A$2</f>
        <v>0</v>
      </c>
      <c r="Q172" s="77">
        <f>(IF(Ontwerpberekening!E5="Bestaande Situatie",(_xlfn.IFNA(VLOOKUP(Referentie_Fossiele_Energie_Totaal48[[#This Row],[Product]]&amp;", "&amp;Referentie_Fossiele_Energie_Totaal48[[#Headers],[C4]],Database_Productkaarten[#All],51,FALSE),0)*Ontwerpberekening!J5),0))/Ontwerpberekening!$A$2</f>
        <v>1232</v>
      </c>
      <c r="R172" s="77">
        <f>(IF(Ontwerpberekening!E5="Bestaande Situatie",(_xlfn.IFNA(VLOOKUP(Referentie_Fossiele_Energie_Totaal48[[#This Row],[Product]]&amp;", "&amp;Referentie_Fossiele_Energie_Totaal48[[#Headers],[D1]],Database_Productkaarten[#All],51,FALSE),0)*Ontwerpberekening!J5),0))/Ontwerpberekening!$A$2</f>
        <v>0</v>
      </c>
      <c r="S172" s="78">
        <f>(IF(Ontwerpberekening!E5="Bestaande Situatie",(_xlfn.IFNA(VLOOKUP(Referentie_Fossiele_Energie_Totaal48[[#This Row],[Product]]&amp;", "&amp;Referentie_Fossiele_Energie_Totaal48[[#Headers],[D2]],Database_Productkaarten[#All],51,FALSE),0)*Ontwerpberekening!J5),0))/Ontwerpberekening!$A$2</f>
        <v>0</v>
      </c>
      <c r="T172" s="57">
        <f>(IF(Ontwerpberekening!E5="Bestaande Situatie",(_xlfn.IFNA(VLOOKUP(Referentie_Fossiele_Energie_Totaal48[[#This Row],[Product]]&amp;", "&amp;Referentie_Fossiele_Energie_Totaal48[[#Headers],[D]],Database_Productkaarten[#All],51,FALSE),0)*Ontwerpberekening!J5),0))/Ontwerpberekening!$A$2</f>
        <v>0</v>
      </c>
      <c r="U172" s="56">
        <f>SUM(Referentie_Fossiele_Energie_Totaal48[[#This Row],[A1-A3]:[C4]])+Referentie_Fossiele_Energie_Totaal48[[#This Row],[D]]</f>
        <v>1232</v>
      </c>
    </row>
    <row r="173" spans="2:21">
      <c r="B173" s="51" t="str">
        <f>Ontwerpberekening!B6</f>
        <v>Open Menggranulaat</v>
      </c>
      <c r="C173" s="51" t="str">
        <f>Ontwerpberekening!C6</f>
        <v>Zandbed</v>
      </c>
      <c r="D173" s="76" t="str">
        <f>Ontwerpberekening!G6</f>
        <v>Ophoogmateriaal (Zand)</v>
      </c>
      <c r="E173" s="77">
        <f>(IF(Ontwerpberekening!E6="Nieuwe Situatie",(_xlfn.IFNA(VLOOKUP(Referentie_Fossiele_Energie_Totaal48[[#This Row],[Product]]&amp;", "&amp;Referentie_Fossiele_Energie_Totaal48[[#Headers],[A1]],Database_Productkaarten[#All],51,FALSE),0)*Ontwerpberekening!J6),0))/Ontwerpberekening!$A$2</f>
        <v>0</v>
      </c>
      <c r="F173" s="77">
        <f>(IF(Ontwerpberekening!E6="Nieuwe Situatie",(_xlfn.IFNA(VLOOKUP(Referentie_Fossiele_Energie_Totaal48[[#This Row],[Product]]&amp;", "&amp;Referentie_Fossiele_Energie_Totaal48[[#Headers],[A2]],Database_Productkaarten[#All],51,FALSE),0)*Ontwerpberekening!J6),0))/Ontwerpberekening!$A$2</f>
        <v>0</v>
      </c>
      <c r="G173" s="77">
        <f>(IF(Ontwerpberekening!E6="Nieuwe Situatie",(_xlfn.IFNA(VLOOKUP(Referentie_Fossiele_Energie_Totaal48[[#This Row],[Product]]&amp;", "&amp;Referentie_Fossiele_Energie_Totaal48[[#Headers],[A3]],Database_Productkaarten[#All],51,FALSE),0)*Ontwerpberekening!J6),0))/Ontwerpberekening!$A$2</f>
        <v>0</v>
      </c>
      <c r="H173" s="77">
        <f>(IF(Ontwerpberekening!E6="Nieuwe Situatie",(_xlfn.IFNA(VLOOKUP(Referentie_Fossiele_Energie_Totaal48[[#This Row],[Product]]&amp;", "&amp;Referentie_Fossiele_Energie_Totaal48[[#Headers],[A1-A3]],Database_Productkaarten[#All],51,FALSE),0)*Ontwerpberekening!J6),0))/Ontwerpberekening!$A$2</f>
        <v>47075</v>
      </c>
      <c r="I173" s="77">
        <f>(IF(Ontwerpberekening!E6="Nieuwe Situatie",(_xlfn.IFNA(VLOOKUP(Referentie_Fossiele_Energie_Totaal48[[#This Row],[Product]]&amp;", "&amp;Referentie_Fossiele_Energie_Totaal48[[#Headers],[A4]],Database_Productkaarten[#All],51,FALSE),0)*Ontwerpberekening!R6),0))/Ontwerpberekening!$A$2</f>
        <v>0</v>
      </c>
      <c r="J173" s="77">
        <f>(IF(Ontwerpberekening!E6="Nieuwe Situatie",(_xlfn.IFNA(VLOOKUP(Referentie_Fossiele_Energie_Totaal48[[#This Row],[Product]]&amp;", "&amp;Referentie_Fossiele_Energie_Totaal48[[#Headers],[A5]],Database_Productkaarten[#All],51,FALSE),0)*Ontwerpberekening!J6),0))/Ontwerpberekening!$A$2</f>
        <v>0</v>
      </c>
      <c r="K173" s="77">
        <f>(IF(Ontwerpberekening!E6="Nieuwe Situatie",(_xlfn.IFNA(VLOOKUP(Referentie_Fossiele_Energie_Totaal48[[#This Row],[Product]]&amp;", "&amp;Referentie_Fossiele_Energie_Totaal48[[#Headers],[B1]],Database_Productkaarten[#All],51,FALSE),0)*Ontwerpberekening!J6),0))/Ontwerpberekening!$A$2</f>
        <v>0</v>
      </c>
      <c r="L173" s="77">
        <f>(IF(Ontwerpberekening!E6="Nieuwe Situatie",(_xlfn.IFNA(VLOOKUP(Referentie_Fossiele_Energie_Totaal48[[#This Row],[Product]]&amp;", "&amp;Referentie_Fossiele_Energie_Totaal48[[#Headers],[B3]],Database_Productkaarten[#All],51,FALSE),0)*Ontwerpberekening!J6),0))/Ontwerpberekening!$A$2</f>
        <v>0</v>
      </c>
      <c r="M173" s="77">
        <f>(IF(Ontwerpberekening!E6="Nieuwe Situatie",(SUM(Referentie_Fossiele_Energie_Totaal48[[#This Row],[A1]:[B1]],Referentie_Fossiele_Energie_Totaal48[[#This Row],[C1]:[D2]])*Ontwerpberekening!N6),0))/Ontwerpberekening!$A$2</f>
        <v>16476.25</v>
      </c>
      <c r="N173" s="77">
        <f>(IF(Ontwerpberekening!E6="Bestaande Situatie",(_xlfn.IFNA(VLOOKUP(Referentie_Fossiele_Energie_Totaal48[[#This Row],[Product]]&amp;", "&amp;Referentie_Fossiele_Energie_Totaal48[[#Headers],[C1]],Database_Productkaarten[#All],51,FALSE),0)*Ontwerpberekening!J6),0))/Ontwerpberekening!$A$2</f>
        <v>0</v>
      </c>
      <c r="O173" s="77">
        <f>(IF(Ontwerpberekening!E6="Bestaande Situatie",(_xlfn.IFNA(VLOOKUP(Referentie_Fossiele_Energie_Totaal48[[#This Row],[Product]]&amp;", "&amp;Referentie_Fossiele_Energie_Totaal48[[#Headers],[C2]],Database_Productkaarten[#All],51,FALSE),0)*Ontwerpberekening!R6),0))/Ontwerpberekening!$A$2</f>
        <v>0</v>
      </c>
      <c r="P173" s="77">
        <f>(IF(Ontwerpberekening!E6="Bestaande Situatie",(_xlfn.IFNA(VLOOKUP(Referentie_Fossiele_Energie_Totaal48[[#This Row],[Product]]&amp;", "&amp;Referentie_Fossiele_Energie_Totaal48[[#Headers],[C3]],Database_Productkaarten[#All],51,FALSE),0)*Ontwerpberekening!J6),0))/Ontwerpberekening!$A$2</f>
        <v>0</v>
      </c>
      <c r="Q173" s="77">
        <f>(IF(Ontwerpberekening!E6="Bestaande Situatie",(_xlfn.IFNA(VLOOKUP(Referentie_Fossiele_Energie_Totaal48[[#This Row],[Product]]&amp;", "&amp;Referentie_Fossiele_Energie_Totaal48[[#Headers],[C4]],Database_Productkaarten[#All],51,FALSE),0)*Ontwerpberekening!J6),0))/Ontwerpberekening!$A$2</f>
        <v>0</v>
      </c>
      <c r="R173" s="77">
        <f>(IF(Ontwerpberekening!E6="Bestaande Situatie",(_xlfn.IFNA(VLOOKUP(Referentie_Fossiele_Energie_Totaal48[[#This Row],[Product]]&amp;", "&amp;Referentie_Fossiele_Energie_Totaal48[[#Headers],[D1]],Database_Productkaarten[#All],51,FALSE),0)*Ontwerpberekening!J6),0))/Ontwerpberekening!$A$2</f>
        <v>0</v>
      </c>
      <c r="S173" s="78">
        <f>(IF(Ontwerpberekening!E6="Bestaande Situatie",(_xlfn.IFNA(VLOOKUP(Referentie_Fossiele_Energie_Totaal48[[#This Row],[Product]]&amp;", "&amp;Referentie_Fossiele_Energie_Totaal48[[#Headers],[D2]],Database_Productkaarten[#All],51,FALSE),0)*Ontwerpberekening!J6),0))/Ontwerpberekening!$A$2</f>
        <v>0</v>
      </c>
      <c r="T173" s="57">
        <f>(IF(Ontwerpberekening!E6="Bestaande Situatie",(_xlfn.IFNA(VLOOKUP(Referentie_Fossiele_Energie_Totaal48[[#This Row],[Product]]&amp;", "&amp;Referentie_Fossiele_Energie_Totaal48[[#Headers],[D]],Database_Productkaarten[#All],51,FALSE),0)*Ontwerpberekening!J6),0))/Ontwerpberekening!$A$2</f>
        <v>0</v>
      </c>
      <c r="U173" s="56">
        <f>SUM(Referentie_Fossiele_Energie_Totaal48[[#This Row],[A1-A3]:[C4]])+Referentie_Fossiele_Energie_Totaal48[[#This Row],[D]]</f>
        <v>63551.25</v>
      </c>
    </row>
    <row r="174" spans="2:21">
      <c r="B174" s="51" t="str">
        <f>Ontwerpberekening!B7</f>
        <v>Open Menggranulaat</v>
      </c>
      <c r="C174" s="51" t="str">
        <f>Ontwerpberekening!C7</f>
        <v>Funderingswapening</v>
      </c>
      <c r="D174" s="76" t="str">
        <f>Ontwerpberekening!G7</f>
        <v>Geogrid</v>
      </c>
      <c r="E174" s="77">
        <f>(IF(Ontwerpberekening!E7="Nieuwe Situatie",(_xlfn.IFNA(VLOOKUP(Referentie_Fossiele_Energie_Totaal48[[#This Row],[Product]]&amp;", "&amp;Referentie_Fossiele_Energie_Totaal48[[#Headers],[A1]],Database_Productkaarten[#All],51,FALSE),0)*Ontwerpberekening!J7),0))/Ontwerpberekening!$A$2</f>
        <v>0</v>
      </c>
      <c r="F174" s="77">
        <f>(IF(Ontwerpberekening!E7="Nieuwe Situatie",(_xlfn.IFNA(VLOOKUP(Referentie_Fossiele_Energie_Totaal48[[#This Row],[Product]]&amp;", "&amp;Referentie_Fossiele_Energie_Totaal48[[#Headers],[A2]],Database_Productkaarten[#All],51,FALSE),0)*Ontwerpberekening!J7),0))/Ontwerpberekening!$A$2</f>
        <v>0</v>
      </c>
      <c r="G174" s="77">
        <f>(IF(Ontwerpberekening!E7="Nieuwe Situatie",(_xlfn.IFNA(VLOOKUP(Referentie_Fossiele_Energie_Totaal48[[#This Row],[Product]]&amp;", "&amp;Referentie_Fossiele_Energie_Totaal48[[#Headers],[A3]],Database_Productkaarten[#All],51,FALSE),0)*Ontwerpberekening!J7),0))/Ontwerpberekening!$A$2</f>
        <v>0</v>
      </c>
      <c r="H174" s="77">
        <f>(IF(Ontwerpberekening!E7="Nieuwe Situatie",(_xlfn.IFNA(VLOOKUP(Referentie_Fossiele_Energie_Totaal48[[#This Row],[Product]]&amp;", "&amp;Referentie_Fossiele_Energie_Totaal48[[#Headers],[A1-A3]],Database_Productkaarten[#All],51,FALSE),0)*Ontwerpberekening!J7),0))/Ontwerpberekening!$A$2</f>
        <v>11053.247159999999</v>
      </c>
      <c r="I174" s="77">
        <f>(IF(Ontwerpberekening!E7="Nieuwe Situatie",(_xlfn.IFNA(VLOOKUP(Referentie_Fossiele_Energie_Totaal48[[#This Row],[Product]]&amp;", "&amp;Referentie_Fossiele_Energie_Totaal48[[#Headers],[A4]],Database_Productkaarten[#All],51,FALSE),0)*Ontwerpberekening!R7),0))/Ontwerpberekening!$A$2</f>
        <v>10.505826895799999</v>
      </c>
      <c r="J174" s="77">
        <f>(IF(Ontwerpberekening!E7="Nieuwe Situatie",(_xlfn.IFNA(VLOOKUP(Referentie_Fossiele_Energie_Totaal48[[#This Row],[Product]]&amp;", "&amp;Referentie_Fossiele_Energie_Totaal48[[#Headers],[A5]],Database_Productkaarten[#All],51,FALSE),0)*Ontwerpberekening!J7),0))/Ontwerpberekening!$A$2</f>
        <v>25653.345999999998</v>
      </c>
      <c r="K174" s="77">
        <f>(IF(Ontwerpberekening!E7="Nieuwe Situatie",(_xlfn.IFNA(VLOOKUP(Referentie_Fossiele_Energie_Totaal48[[#This Row],[Product]]&amp;", "&amp;Referentie_Fossiele_Energie_Totaal48[[#Headers],[B1]],Database_Productkaarten[#All],51,FALSE),0)*Ontwerpberekening!J7),0))/Ontwerpberekening!$A$2</f>
        <v>0</v>
      </c>
      <c r="L174" s="77">
        <f>(IF(Ontwerpberekening!E7="Nieuwe Situatie",(_xlfn.IFNA(VLOOKUP(Referentie_Fossiele_Energie_Totaal48[[#This Row],[Product]]&amp;", "&amp;Referentie_Fossiele_Energie_Totaal48[[#Headers],[B3]],Database_Productkaarten[#All],51,FALSE),0)*Ontwerpberekening!J7),0))/Ontwerpberekening!$A$2</f>
        <v>0</v>
      </c>
      <c r="M174" s="77">
        <f>(IF(Ontwerpberekening!E7="Nieuwe Situatie",(SUM(Referentie_Fossiele_Energie_Totaal48[[#This Row],[A1]:[B1]],Referentie_Fossiele_Energie_Totaal48[[#This Row],[C1]:[D2]])*Ontwerpberekening!N7),0))/Ontwerpberekening!$A$2</f>
        <v>0</v>
      </c>
      <c r="N174" s="77">
        <f>(IF(Ontwerpberekening!E7="Bestaande Situatie",(_xlfn.IFNA(VLOOKUP(Referentie_Fossiele_Energie_Totaal48[[#This Row],[Product]]&amp;", "&amp;Referentie_Fossiele_Energie_Totaal48[[#Headers],[C1]],Database_Productkaarten[#All],51,FALSE),0)*Ontwerpberekening!J7),0))/Ontwerpberekening!$A$2</f>
        <v>0</v>
      </c>
      <c r="O174" s="77">
        <f>(IF(Ontwerpberekening!E7="Bestaande Situatie",(_xlfn.IFNA(VLOOKUP(Referentie_Fossiele_Energie_Totaal48[[#This Row],[Product]]&amp;", "&amp;Referentie_Fossiele_Energie_Totaal48[[#Headers],[C2]],Database_Productkaarten[#All],51,FALSE),0)*Ontwerpberekening!R7),0))/Ontwerpberekening!$A$2</f>
        <v>0</v>
      </c>
      <c r="P174" s="77">
        <f>(IF(Ontwerpberekening!E7="Bestaande Situatie",(_xlfn.IFNA(VLOOKUP(Referentie_Fossiele_Energie_Totaal48[[#This Row],[Product]]&amp;", "&amp;Referentie_Fossiele_Energie_Totaal48[[#Headers],[C3]],Database_Productkaarten[#All],51,FALSE),0)*Ontwerpberekening!J7),0))/Ontwerpberekening!$A$2</f>
        <v>0</v>
      </c>
      <c r="Q174" s="77">
        <f>(IF(Ontwerpberekening!E7="Bestaande Situatie",(_xlfn.IFNA(VLOOKUP(Referentie_Fossiele_Energie_Totaal48[[#This Row],[Product]]&amp;", "&amp;Referentie_Fossiele_Energie_Totaal48[[#Headers],[C4]],Database_Productkaarten[#All],51,FALSE),0)*Ontwerpberekening!J7),0))/Ontwerpberekening!$A$2</f>
        <v>0</v>
      </c>
      <c r="R174" s="77">
        <f>(IF(Ontwerpberekening!E7="Bestaande Situatie",(_xlfn.IFNA(VLOOKUP(Referentie_Fossiele_Energie_Totaal48[[#This Row],[Product]]&amp;", "&amp;Referentie_Fossiele_Energie_Totaal48[[#Headers],[D1]],Database_Productkaarten[#All],51,FALSE),0)*Ontwerpberekening!J7),0))/Ontwerpberekening!$A$2</f>
        <v>0</v>
      </c>
      <c r="S174" s="78">
        <f>(IF(Ontwerpberekening!E7="Bestaande Situatie",(_xlfn.IFNA(VLOOKUP(Referentie_Fossiele_Energie_Totaal48[[#This Row],[Product]]&amp;", "&amp;Referentie_Fossiele_Energie_Totaal48[[#Headers],[D2]],Database_Productkaarten[#All],51,FALSE),0)*Ontwerpberekening!J7),0))/Ontwerpberekening!$A$2</f>
        <v>0</v>
      </c>
      <c r="T174" s="57">
        <f>(IF(Ontwerpberekening!E7="Bestaande Situatie",(_xlfn.IFNA(VLOOKUP(Referentie_Fossiele_Energie_Totaal48[[#This Row],[Product]]&amp;", "&amp;Referentie_Fossiele_Energie_Totaal48[[#Headers],[D]],Database_Productkaarten[#All],51,FALSE),0)*Ontwerpberekening!J7),0))/Ontwerpberekening!$A$2</f>
        <v>0</v>
      </c>
      <c r="U174" s="56">
        <f>SUM(Referentie_Fossiele_Energie_Totaal48[[#This Row],[A1-A3]:[C4]])+Referentie_Fossiele_Energie_Totaal48[[#This Row],[D]]</f>
        <v>36717.098986895799</v>
      </c>
    </row>
    <row r="175" spans="2:21">
      <c r="B175" s="51" t="str">
        <f>Ontwerpberekening!B8</f>
        <v>Open Menggranulaat</v>
      </c>
      <c r="C175" s="51" t="str">
        <f>Ontwerpberekening!C8</f>
        <v>Menggranulaat</v>
      </c>
      <c r="D175" s="76" t="str">
        <f>Ontwerpberekening!G8</f>
        <v>Menggranulaat 200mm</v>
      </c>
      <c r="E175" s="77">
        <f>(IF(Ontwerpberekening!E8="Nieuwe Situatie",(_xlfn.IFNA(VLOOKUP(Referentie_Fossiele_Energie_Totaal48[[#This Row],[Product]]&amp;", "&amp;Referentie_Fossiele_Energie_Totaal48[[#Headers],[A1]],Database_Productkaarten[#All],51,FALSE),0)*Ontwerpberekening!J8),0))/Ontwerpberekening!$A$2</f>
        <v>0</v>
      </c>
      <c r="F175" s="77">
        <f>(IF(Ontwerpberekening!E8="Nieuwe Situatie",(_xlfn.IFNA(VLOOKUP(Referentie_Fossiele_Energie_Totaal48[[#This Row],[Product]]&amp;", "&amp;Referentie_Fossiele_Energie_Totaal48[[#Headers],[A2]],Database_Productkaarten[#All],51,FALSE),0)*Ontwerpberekening!J8),0))/Ontwerpberekening!$A$2</f>
        <v>0</v>
      </c>
      <c r="G175" s="77">
        <f>(IF(Ontwerpberekening!E8="Nieuwe Situatie",(_xlfn.IFNA(VLOOKUP(Referentie_Fossiele_Energie_Totaal48[[#This Row],[Product]]&amp;", "&amp;Referentie_Fossiele_Energie_Totaal48[[#Headers],[A3]],Database_Productkaarten[#All],51,FALSE),0)*Ontwerpberekening!J8),0))/Ontwerpberekening!$A$2</f>
        <v>0</v>
      </c>
      <c r="H175" s="77">
        <f>(IF(Ontwerpberekening!E8="Nieuwe Situatie",(_xlfn.IFNA(VLOOKUP(Referentie_Fossiele_Energie_Totaal48[[#This Row],[Product]]&amp;", "&amp;Referentie_Fossiele_Energie_Totaal48[[#Headers],[A1-A3]],Database_Productkaarten[#All],51,FALSE),0)*Ontwerpberekening!J8),0))/Ontwerpberekening!$A$2</f>
        <v>0</v>
      </c>
      <c r="I175" s="77">
        <f>(IF(Ontwerpberekening!E8="Nieuwe Situatie",(_xlfn.IFNA(VLOOKUP(Referentie_Fossiele_Energie_Totaal48[[#This Row],[Product]]&amp;", "&amp;Referentie_Fossiele_Energie_Totaal48[[#Headers],[A4]],Database_Productkaarten[#All],51,FALSE),0)*Ontwerpberekening!R8),0))/Ontwerpberekening!$A$2</f>
        <v>11115</v>
      </c>
      <c r="J175" s="77">
        <f>(IF(Ontwerpberekening!E8="Nieuwe Situatie",(_xlfn.IFNA(VLOOKUP(Referentie_Fossiele_Energie_Totaal48[[#This Row],[Product]]&amp;", "&amp;Referentie_Fossiele_Energie_Totaal48[[#Headers],[A5]],Database_Productkaarten[#All],51,FALSE),0)*Ontwerpberekening!J8),0))/Ontwerpberekening!$A$2</f>
        <v>30900</v>
      </c>
      <c r="K175" s="77">
        <f>(IF(Ontwerpberekening!E8="Nieuwe Situatie",(_xlfn.IFNA(VLOOKUP(Referentie_Fossiele_Energie_Totaal48[[#This Row],[Product]]&amp;", "&amp;Referentie_Fossiele_Energie_Totaal48[[#Headers],[B1]],Database_Productkaarten[#All],51,FALSE),0)*Ontwerpberekening!J8),0))/Ontwerpberekening!$A$2</f>
        <v>0</v>
      </c>
      <c r="L175" s="77">
        <f>(IF(Ontwerpberekening!E8="Nieuwe Situatie",(_xlfn.IFNA(VLOOKUP(Referentie_Fossiele_Energie_Totaal48[[#This Row],[Product]]&amp;", "&amp;Referentie_Fossiele_Energie_Totaal48[[#Headers],[B3]],Database_Productkaarten[#All],51,FALSE),0)*Ontwerpberekening!J8),0))/Ontwerpberekening!$A$2</f>
        <v>0</v>
      </c>
      <c r="M175" s="77">
        <f>(IF(Ontwerpberekening!E8="Nieuwe Situatie",(SUM(Referentie_Fossiele_Energie_Totaal48[[#This Row],[A1]:[B1]],Referentie_Fossiele_Energie_Totaal48[[#This Row],[C1]:[D2]])*Ontwerpberekening!N8),0))/Ontwerpberekening!$A$2</f>
        <v>16806</v>
      </c>
      <c r="N175" s="77">
        <f>(IF(Ontwerpberekening!E8="Bestaande Situatie",(_xlfn.IFNA(VLOOKUP(Referentie_Fossiele_Energie_Totaal48[[#This Row],[Product]]&amp;", "&amp;Referentie_Fossiele_Energie_Totaal48[[#Headers],[C1]],Database_Productkaarten[#All],51,FALSE),0)*Ontwerpberekening!J8),0))/Ontwerpberekening!$A$2</f>
        <v>0</v>
      </c>
      <c r="O175" s="77">
        <f>(IF(Ontwerpberekening!E8="Bestaande Situatie",(_xlfn.IFNA(VLOOKUP(Referentie_Fossiele_Energie_Totaal48[[#This Row],[Product]]&amp;", "&amp;Referentie_Fossiele_Energie_Totaal48[[#Headers],[C2]],Database_Productkaarten[#All],51,FALSE),0)*Ontwerpberekening!R8),0))/Ontwerpberekening!$A$2</f>
        <v>0</v>
      </c>
      <c r="P175" s="77">
        <f>(IF(Ontwerpberekening!E8="Bestaande Situatie",(_xlfn.IFNA(VLOOKUP(Referentie_Fossiele_Energie_Totaal48[[#This Row],[Product]]&amp;", "&amp;Referentie_Fossiele_Energie_Totaal48[[#Headers],[C3]],Database_Productkaarten[#All],51,FALSE),0)*Ontwerpberekening!J8),0))/Ontwerpberekening!$A$2</f>
        <v>0</v>
      </c>
      <c r="Q175" s="77">
        <f>(IF(Ontwerpberekening!E8="Bestaande Situatie",(_xlfn.IFNA(VLOOKUP(Referentie_Fossiele_Energie_Totaal48[[#This Row],[Product]]&amp;", "&amp;Referentie_Fossiele_Energie_Totaal48[[#Headers],[C4]],Database_Productkaarten[#All],51,FALSE),0)*Ontwerpberekening!J8),0))/Ontwerpberekening!$A$2</f>
        <v>0</v>
      </c>
      <c r="R175" s="77">
        <f>(IF(Ontwerpberekening!E8="Bestaande Situatie",(_xlfn.IFNA(VLOOKUP(Referentie_Fossiele_Energie_Totaal48[[#This Row],[Product]]&amp;", "&amp;Referentie_Fossiele_Energie_Totaal48[[#Headers],[D1]],Database_Productkaarten[#All],51,FALSE),0)*Ontwerpberekening!J8),0))/Ontwerpberekening!$A$2</f>
        <v>0</v>
      </c>
      <c r="S175" s="78">
        <f>(IF(Ontwerpberekening!E8="Bestaande Situatie",(_xlfn.IFNA(VLOOKUP(Referentie_Fossiele_Energie_Totaal48[[#This Row],[Product]]&amp;", "&amp;Referentie_Fossiele_Energie_Totaal48[[#Headers],[D2]],Database_Productkaarten[#All],51,FALSE),0)*Ontwerpberekening!J8),0))/Ontwerpberekening!$A$2</f>
        <v>0</v>
      </c>
      <c r="T175" s="57">
        <f>(IF(Ontwerpberekening!E8="Bestaande Situatie",(_xlfn.IFNA(VLOOKUP(Referentie_Fossiele_Energie_Totaal48[[#This Row],[Product]]&amp;", "&amp;Referentie_Fossiele_Energie_Totaal48[[#Headers],[D]],Database_Productkaarten[#All],51,FALSE),0)*Ontwerpberekening!J8),0))/Ontwerpberekening!$A$2</f>
        <v>0</v>
      </c>
      <c r="U175" s="56">
        <f>SUM(Referentie_Fossiele_Energie_Totaal48[[#This Row],[A1-A3]:[C4]])+Referentie_Fossiele_Energie_Totaal48[[#This Row],[D]]</f>
        <v>58821</v>
      </c>
    </row>
    <row r="176" spans="2:21">
      <c r="B176" s="51" t="str">
        <f>Ontwerpberekening!B9</f>
        <v>Open Menggranulaat</v>
      </c>
      <c r="C176" s="51" t="str">
        <f>Ontwerpberekening!C9</f>
        <v>Straatlaag</v>
      </c>
      <c r="D176" s="76" t="str">
        <f>Ontwerpberekening!G9</f>
        <v>Ophoogmateriaal (Zand)</v>
      </c>
      <c r="E176" s="77">
        <f>(IF(Ontwerpberekening!E9="Nieuwe Situatie",(_xlfn.IFNA(VLOOKUP(Referentie_Fossiele_Energie_Totaal48[[#This Row],[Product]]&amp;", "&amp;Referentie_Fossiele_Energie_Totaal48[[#Headers],[A1]],Database_Productkaarten[#All],51,FALSE),0)*Ontwerpberekening!J9),0))/Ontwerpberekening!$A$2</f>
        <v>0</v>
      </c>
      <c r="F176" s="77">
        <f>(IF(Ontwerpberekening!E9="Nieuwe Situatie",(_xlfn.IFNA(VLOOKUP(Referentie_Fossiele_Energie_Totaal48[[#This Row],[Product]]&amp;", "&amp;Referentie_Fossiele_Energie_Totaal48[[#Headers],[A2]],Database_Productkaarten[#All],51,FALSE),0)*Ontwerpberekening!J9),0))/Ontwerpberekening!$A$2</f>
        <v>0</v>
      </c>
      <c r="G176" s="77">
        <f>(IF(Ontwerpberekening!E9="Nieuwe Situatie",(_xlfn.IFNA(VLOOKUP(Referentie_Fossiele_Energie_Totaal48[[#This Row],[Product]]&amp;", "&amp;Referentie_Fossiele_Energie_Totaal48[[#Headers],[A3]],Database_Productkaarten[#All],51,FALSE),0)*Ontwerpberekening!J9),0))/Ontwerpberekening!$A$2</f>
        <v>0</v>
      </c>
      <c r="H176" s="77">
        <f>(IF(Ontwerpberekening!E9="Nieuwe Situatie",(_xlfn.IFNA(VLOOKUP(Referentie_Fossiele_Energie_Totaal48[[#This Row],[Product]]&amp;", "&amp;Referentie_Fossiele_Energie_Totaal48[[#Headers],[A1-A3]],Database_Productkaarten[#All],51,FALSE),0)*Ontwerpberekening!J9),0))/Ontwerpberekening!$A$2</f>
        <v>6725</v>
      </c>
      <c r="I176" s="77">
        <f>(IF(Ontwerpberekening!E9="Nieuwe Situatie",(_xlfn.IFNA(VLOOKUP(Referentie_Fossiele_Energie_Totaal48[[#This Row],[Product]]&amp;", "&amp;Referentie_Fossiele_Energie_Totaal48[[#Headers],[A4]],Database_Productkaarten[#All],51,FALSE),0)*Ontwerpberekening!R9),0))/Ontwerpberekening!$A$2</f>
        <v>0</v>
      </c>
      <c r="J176" s="77">
        <f>(IF(Ontwerpberekening!E9="Nieuwe Situatie",(_xlfn.IFNA(VLOOKUP(Referentie_Fossiele_Energie_Totaal48[[#This Row],[Product]]&amp;", "&amp;Referentie_Fossiele_Energie_Totaal48[[#Headers],[A5]],Database_Productkaarten[#All],51,FALSE),0)*Ontwerpberekening!J9),0))/Ontwerpberekening!$A$2</f>
        <v>0</v>
      </c>
      <c r="K176" s="77">
        <f>(IF(Ontwerpberekening!E9="Nieuwe Situatie",(_xlfn.IFNA(VLOOKUP(Referentie_Fossiele_Energie_Totaal48[[#This Row],[Product]]&amp;", "&amp;Referentie_Fossiele_Energie_Totaal48[[#Headers],[B1]],Database_Productkaarten[#All],51,FALSE),0)*Ontwerpberekening!J9),0))/Ontwerpberekening!$A$2</f>
        <v>0</v>
      </c>
      <c r="L176" s="77">
        <f>(IF(Ontwerpberekening!E9="Nieuwe Situatie",(_xlfn.IFNA(VLOOKUP(Referentie_Fossiele_Energie_Totaal48[[#This Row],[Product]]&amp;", "&amp;Referentie_Fossiele_Energie_Totaal48[[#Headers],[B3]],Database_Productkaarten[#All],51,FALSE),0)*Ontwerpberekening!J9),0))/Ontwerpberekening!$A$2</f>
        <v>0</v>
      </c>
      <c r="M176" s="77">
        <f>(IF(Ontwerpberekening!E9="Nieuwe Situatie",(SUM(Referentie_Fossiele_Energie_Totaal48[[#This Row],[A1]:[B1]],Referentie_Fossiele_Energie_Totaal48[[#This Row],[C1]:[D2]])*Ontwerpberekening!N9),0))/Ontwerpberekening!$A$2</f>
        <v>336.25</v>
      </c>
      <c r="N176" s="77">
        <f>(IF(Ontwerpberekening!E9="Bestaande Situatie",(_xlfn.IFNA(VLOOKUP(Referentie_Fossiele_Energie_Totaal48[[#This Row],[Product]]&amp;", "&amp;Referentie_Fossiele_Energie_Totaal48[[#Headers],[C1]],Database_Productkaarten[#All],51,FALSE),0)*Ontwerpberekening!J9),0))/Ontwerpberekening!$A$2</f>
        <v>0</v>
      </c>
      <c r="O176" s="77">
        <f>(IF(Ontwerpberekening!E9="Bestaande Situatie",(_xlfn.IFNA(VLOOKUP(Referentie_Fossiele_Energie_Totaal48[[#This Row],[Product]]&amp;", "&amp;Referentie_Fossiele_Energie_Totaal48[[#Headers],[C2]],Database_Productkaarten[#All],51,FALSE),0)*Ontwerpberekening!R9),0))/Ontwerpberekening!$A$2</f>
        <v>0</v>
      </c>
      <c r="P176" s="77">
        <f>(IF(Ontwerpberekening!E9="Bestaande Situatie",(_xlfn.IFNA(VLOOKUP(Referentie_Fossiele_Energie_Totaal48[[#This Row],[Product]]&amp;", "&amp;Referentie_Fossiele_Energie_Totaal48[[#Headers],[C3]],Database_Productkaarten[#All],51,FALSE),0)*Ontwerpberekening!J9),0))/Ontwerpberekening!$A$2</f>
        <v>0</v>
      </c>
      <c r="Q176" s="77">
        <f>(IF(Ontwerpberekening!E9="Bestaande Situatie",(_xlfn.IFNA(VLOOKUP(Referentie_Fossiele_Energie_Totaal48[[#This Row],[Product]]&amp;", "&amp;Referentie_Fossiele_Energie_Totaal48[[#Headers],[C4]],Database_Productkaarten[#All],51,FALSE),0)*Ontwerpberekening!J9),0))/Ontwerpberekening!$A$2</f>
        <v>0</v>
      </c>
      <c r="R176" s="77">
        <f>(IF(Ontwerpberekening!E9="Bestaande Situatie",(_xlfn.IFNA(VLOOKUP(Referentie_Fossiele_Energie_Totaal48[[#This Row],[Product]]&amp;", "&amp;Referentie_Fossiele_Energie_Totaal48[[#Headers],[D1]],Database_Productkaarten[#All],51,FALSE),0)*Ontwerpberekening!J9),0))/Ontwerpberekening!$A$2</f>
        <v>0</v>
      </c>
      <c r="S176" s="78">
        <f>(IF(Ontwerpberekening!E9="Bestaande Situatie",(_xlfn.IFNA(VLOOKUP(Referentie_Fossiele_Energie_Totaal48[[#This Row],[Product]]&amp;", "&amp;Referentie_Fossiele_Energie_Totaal48[[#Headers],[D2]],Database_Productkaarten[#All],51,FALSE),0)*Ontwerpberekening!J9),0))/Ontwerpberekening!$A$2</f>
        <v>0</v>
      </c>
      <c r="T176" s="57">
        <f>(IF(Ontwerpberekening!E9="Bestaande Situatie",(_xlfn.IFNA(VLOOKUP(Referentie_Fossiele_Energie_Totaal48[[#This Row],[Product]]&amp;", "&amp;Referentie_Fossiele_Energie_Totaal48[[#Headers],[D]],Database_Productkaarten[#All],51,FALSE),0)*Ontwerpberekening!J9),0))/Ontwerpberekening!$A$2</f>
        <v>0</v>
      </c>
      <c r="U176" s="56">
        <f>SUM(Referentie_Fossiele_Energie_Totaal48[[#This Row],[A1-A3]:[C4]])+Referentie_Fossiele_Energie_Totaal48[[#This Row],[D]]</f>
        <v>7061.25</v>
      </c>
    </row>
    <row r="177" spans="2:21">
      <c r="B177" s="51" t="str">
        <f>Ontwerpberekening!B10</f>
        <v>Open Menggranulaat</v>
      </c>
      <c r="C177" s="51" t="str">
        <f>Ontwerpberekening!C10</f>
        <v>Toplaag</v>
      </c>
      <c r="D177" s="76" t="str">
        <f>Ontwerpberekening!G10</f>
        <v>Betonstraatsteen 210x105x80</v>
      </c>
      <c r="E177" s="77">
        <f>(IF(Ontwerpberekening!E10="Nieuwe Situatie",(_xlfn.IFNA(VLOOKUP(Referentie_Fossiele_Energie_Totaal48[[#This Row],[Product]]&amp;", "&amp;Referentie_Fossiele_Energie_Totaal48[[#Headers],[A1]],Database_Productkaarten[#All],51,FALSE),0)*Ontwerpberekening!J10),0))/Ontwerpberekening!$A$2</f>
        <v>61919.19</v>
      </c>
      <c r="F177" s="77">
        <f>(IF(Ontwerpberekening!E10="Nieuwe Situatie",(_xlfn.IFNA(VLOOKUP(Referentie_Fossiele_Energie_Totaal48[[#This Row],[Product]]&amp;", "&amp;Referentie_Fossiele_Energie_Totaal48[[#Headers],[A2]],Database_Productkaarten[#All],51,FALSE),0)*Ontwerpberekening!J10),0))/Ontwerpberekening!$A$2</f>
        <v>7931.2264999999998</v>
      </c>
      <c r="G177" s="77">
        <f>(IF(Ontwerpberekening!E10="Nieuwe Situatie",(_xlfn.IFNA(VLOOKUP(Referentie_Fossiele_Energie_Totaal48[[#This Row],[Product]]&amp;", "&amp;Referentie_Fossiele_Energie_Totaal48[[#Headers],[A3]],Database_Productkaarten[#All],51,FALSE),0)*Ontwerpberekening!J10),0))/Ontwerpberekening!$A$2</f>
        <v>9575.9699999999993</v>
      </c>
      <c r="H177" s="77">
        <f>(IF(Ontwerpberekening!E10="Nieuwe Situatie",(_xlfn.IFNA(VLOOKUP(Referentie_Fossiele_Energie_Totaal48[[#This Row],[Product]]&amp;", "&amp;Referentie_Fossiele_Energie_Totaal48[[#Headers],[A1-A3]],Database_Productkaarten[#All],51,FALSE),0)*Ontwerpberekening!J10),0))/Ontwerpberekening!$A$2</f>
        <v>79426.386499999993</v>
      </c>
      <c r="I177" s="77">
        <f>(IF(Ontwerpberekening!E10="Nieuwe Situatie",(_xlfn.IFNA(VLOOKUP(Referentie_Fossiele_Energie_Totaal48[[#This Row],[Product]]&amp;", "&amp;Referentie_Fossiele_Energie_Totaal48[[#Headers],[A4]],Database_Productkaarten[#All],51,FALSE),0)*Ontwerpberekening!R10),0))/Ontwerpberekening!$A$2</f>
        <v>5242.4366246000009</v>
      </c>
      <c r="J177" s="77">
        <f>(IF(Ontwerpberekening!E10="Nieuwe Situatie",(_xlfn.IFNA(VLOOKUP(Referentie_Fossiele_Energie_Totaal48[[#This Row],[Product]]&amp;", "&amp;Referentie_Fossiele_Energie_Totaal48[[#Headers],[A5]],Database_Productkaarten[#All],51,FALSE),0)*Ontwerpberekening!J10),0))/Ontwerpberekening!$A$2</f>
        <v>8073.6364999999996</v>
      </c>
      <c r="K177" s="77">
        <f>(IF(Ontwerpberekening!E10="Nieuwe Situatie",(_xlfn.IFNA(VLOOKUP(Referentie_Fossiele_Energie_Totaal48[[#This Row],[Product]]&amp;", "&amp;Referentie_Fossiele_Energie_Totaal48[[#Headers],[B1]],Database_Productkaarten[#All],51,FALSE),0)*Ontwerpberekening!J10),0))/Ontwerpberekening!$A$2</f>
        <v>0</v>
      </c>
      <c r="L177" s="77">
        <f>(IF(Ontwerpberekening!E10="Nieuwe Situatie",(_xlfn.IFNA(VLOOKUP(Referentie_Fossiele_Energie_Totaal48[[#This Row],[Product]]&amp;", "&amp;Referentie_Fossiele_Energie_Totaal48[[#Headers],[B3]],Database_Productkaarten[#All],51,FALSE),0)*Ontwerpberekening!J10),0))/Ontwerpberekening!$A$2</f>
        <v>0</v>
      </c>
      <c r="M177" s="77">
        <f>(IF(Ontwerpberekening!E10="Nieuwe Situatie",(SUM(Referentie_Fossiele_Energie_Totaal48[[#This Row],[A1]:[B1]],Referentie_Fossiele_Energie_Totaal48[[#This Row],[C1]:[D2]])*Ontwerpberekening!N10),0))/Ontwerpberekening!$A$2</f>
        <v>13773.507689967999</v>
      </c>
      <c r="N177" s="77">
        <f>(IF(Ontwerpberekening!E10="Bestaande Situatie",(_xlfn.IFNA(VLOOKUP(Referentie_Fossiele_Energie_Totaal48[[#This Row],[Product]]&amp;", "&amp;Referentie_Fossiele_Energie_Totaal48[[#Headers],[C1]],Database_Productkaarten[#All],51,FALSE),0)*Ontwerpberekening!J10),0))/Ontwerpberekening!$A$2</f>
        <v>0</v>
      </c>
      <c r="O177" s="77">
        <f>(IF(Ontwerpberekening!E10="Bestaande Situatie",(_xlfn.IFNA(VLOOKUP(Referentie_Fossiele_Energie_Totaal48[[#This Row],[Product]]&amp;", "&amp;Referentie_Fossiele_Energie_Totaal48[[#Headers],[C2]],Database_Productkaarten[#All],51,FALSE),0)*Ontwerpberekening!R10),0))/Ontwerpberekening!$A$2</f>
        <v>0</v>
      </c>
      <c r="P177" s="77">
        <f>(IF(Ontwerpberekening!E10="Bestaande Situatie",(_xlfn.IFNA(VLOOKUP(Referentie_Fossiele_Energie_Totaal48[[#This Row],[Product]]&amp;", "&amp;Referentie_Fossiele_Energie_Totaal48[[#Headers],[C3]],Database_Productkaarten[#All],51,FALSE),0)*Ontwerpberekening!J10),0))/Ontwerpberekening!$A$2</f>
        <v>0</v>
      </c>
      <c r="Q177" s="77">
        <f>(IF(Ontwerpberekening!E10="Bestaande Situatie",(_xlfn.IFNA(VLOOKUP(Referentie_Fossiele_Energie_Totaal48[[#This Row],[Product]]&amp;", "&amp;Referentie_Fossiele_Energie_Totaal48[[#Headers],[C4]],Database_Productkaarten[#All],51,FALSE),0)*Ontwerpberekening!J10),0))/Ontwerpberekening!$A$2</f>
        <v>0</v>
      </c>
      <c r="R177" s="77">
        <f>(IF(Ontwerpberekening!E10="Bestaande Situatie",(_xlfn.IFNA(VLOOKUP(Referentie_Fossiele_Energie_Totaal48[[#This Row],[Product]]&amp;", "&amp;Referentie_Fossiele_Energie_Totaal48[[#Headers],[D1]],Database_Productkaarten[#All],51,FALSE),0)*Ontwerpberekening!J10),0))/Ontwerpberekening!$A$2</f>
        <v>0</v>
      </c>
      <c r="S177" s="78">
        <f>(IF(Ontwerpberekening!E10="Bestaande Situatie",(_xlfn.IFNA(VLOOKUP(Referentie_Fossiele_Energie_Totaal48[[#This Row],[Product]]&amp;", "&amp;Referentie_Fossiele_Energie_Totaal48[[#Headers],[D2]],Database_Productkaarten[#All],51,FALSE),0)*Ontwerpberekening!J10),0))/Ontwerpberekening!$A$2</f>
        <v>0</v>
      </c>
      <c r="T177" s="57">
        <f>(IF(Ontwerpberekening!E10="Bestaande Situatie",(_xlfn.IFNA(VLOOKUP(Referentie_Fossiele_Energie_Totaal48[[#This Row],[Product]]&amp;", "&amp;Referentie_Fossiele_Energie_Totaal48[[#Headers],[D]],Database_Productkaarten[#All],51,FALSE),0)*Ontwerpberekening!J10),0))/Ontwerpberekening!$A$2</f>
        <v>0</v>
      </c>
      <c r="U177" s="56">
        <f>SUM(Referentie_Fossiele_Energie_Totaal48[[#This Row],[A1-A3]:[C4]])+Referentie_Fossiele_Energie_Totaal48[[#This Row],[D]]</f>
        <v>106515.96731456798</v>
      </c>
    </row>
    <row r="178" spans="2:21">
      <c r="B178" s="51" t="str">
        <f>Ontwerpberekening!B11</f>
        <v>Open Menggranulaat</v>
      </c>
      <c r="C178" s="51" t="str">
        <f>Ontwerpberekening!C11</f>
        <v>Zandbed</v>
      </c>
      <c r="D178" s="76" t="str">
        <f>Ontwerpberekening!G11</f>
        <v>Ophoogmateriaal (Zand)</v>
      </c>
      <c r="E178" s="77">
        <f>(IF(Ontwerpberekening!E11="Nieuwe Situatie",(_xlfn.IFNA(VLOOKUP(Referentie_Fossiele_Energie_Totaal48[[#This Row],[Product]]&amp;", "&amp;Referentie_Fossiele_Energie_Totaal48[[#Headers],[A1]],Database_Productkaarten[#All],51,FALSE),0)*Ontwerpberekening!J11),0))/Ontwerpberekening!$A$2</f>
        <v>0</v>
      </c>
      <c r="F178" s="77">
        <f>(IF(Ontwerpberekening!E11="Nieuwe Situatie",(_xlfn.IFNA(VLOOKUP(Referentie_Fossiele_Energie_Totaal48[[#This Row],[Product]]&amp;", "&amp;Referentie_Fossiele_Energie_Totaal48[[#Headers],[A2]],Database_Productkaarten[#All],51,FALSE),0)*Ontwerpberekening!J11),0))/Ontwerpberekening!$A$2</f>
        <v>0</v>
      </c>
      <c r="G178" s="77">
        <f>(IF(Ontwerpberekening!E11="Nieuwe Situatie",(_xlfn.IFNA(VLOOKUP(Referentie_Fossiele_Energie_Totaal48[[#This Row],[Product]]&amp;", "&amp;Referentie_Fossiele_Energie_Totaal48[[#Headers],[A3]],Database_Productkaarten[#All],51,FALSE),0)*Ontwerpberekening!J11),0))/Ontwerpberekening!$A$2</f>
        <v>0</v>
      </c>
      <c r="H178" s="77">
        <f>(IF(Ontwerpberekening!E11="Nieuwe Situatie",(_xlfn.IFNA(VLOOKUP(Referentie_Fossiele_Energie_Totaal48[[#This Row],[Product]]&amp;", "&amp;Referentie_Fossiele_Energie_Totaal48[[#Headers],[A1-A3]],Database_Productkaarten[#All],51,FALSE),0)*Ontwerpberekening!J11),0))/Ontwerpberekening!$A$2</f>
        <v>0</v>
      </c>
      <c r="I178" s="77">
        <f>(IF(Ontwerpberekening!E11="Nieuwe Situatie",(_xlfn.IFNA(VLOOKUP(Referentie_Fossiele_Energie_Totaal48[[#This Row],[Product]]&amp;", "&amp;Referentie_Fossiele_Energie_Totaal48[[#Headers],[A4]],Database_Productkaarten[#All],51,FALSE),0)*Ontwerpberekening!R11),0))/Ontwerpberekening!$A$2</f>
        <v>0</v>
      </c>
      <c r="J178" s="77">
        <f>(IF(Ontwerpberekening!E11="Nieuwe Situatie",(_xlfn.IFNA(VLOOKUP(Referentie_Fossiele_Energie_Totaal48[[#This Row],[Product]]&amp;", "&amp;Referentie_Fossiele_Energie_Totaal48[[#Headers],[A5]],Database_Productkaarten[#All],51,FALSE),0)*Ontwerpberekening!J11),0))/Ontwerpberekening!$A$2</f>
        <v>0</v>
      </c>
      <c r="K178" s="77">
        <f>(IF(Ontwerpberekening!E11="Nieuwe Situatie",(_xlfn.IFNA(VLOOKUP(Referentie_Fossiele_Energie_Totaal48[[#This Row],[Product]]&amp;", "&amp;Referentie_Fossiele_Energie_Totaal48[[#Headers],[B1]],Database_Productkaarten[#All],51,FALSE),0)*Ontwerpberekening!J11),0))/Ontwerpberekening!$A$2</f>
        <v>0</v>
      </c>
      <c r="L178" s="77">
        <f>(IF(Ontwerpberekening!E11="Nieuwe Situatie",(_xlfn.IFNA(VLOOKUP(Referentie_Fossiele_Energie_Totaal48[[#This Row],[Product]]&amp;", "&amp;Referentie_Fossiele_Energie_Totaal48[[#Headers],[B3]],Database_Productkaarten[#All],51,FALSE),0)*Ontwerpberekening!J11),0))/Ontwerpberekening!$A$2</f>
        <v>0</v>
      </c>
      <c r="M178" s="77">
        <f>(IF(Ontwerpberekening!E11="Nieuwe Situatie",(SUM(Referentie_Fossiele_Energie_Totaal48[[#This Row],[A1]:[B1]],Referentie_Fossiele_Energie_Totaal48[[#This Row],[C1]:[D2]])*Ontwerpberekening!N11),0))/Ontwerpberekening!$A$2</f>
        <v>0</v>
      </c>
      <c r="N178" s="77">
        <f>(IF(Ontwerpberekening!E11="Bestaande Situatie",(_xlfn.IFNA(VLOOKUP(Referentie_Fossiele_Energie_Totaal48[[#This Row],[Product]]&amp;", "&amp;Referentie_Fossiele_Energie_Totaal48[[#Headers],[C1]],Database_Productkaarten[#All],51,FALSE),0)*Ontwerpberekening!J11),0))/Ontwerpberekening!$A$2</f>
        <v>0</v>
      </c>
      <c r="O178" s="77">
        <f>(IF(Ontwerpberekening!E11="Bestaande Situatie",(_xlfn.IFNA(VLOOKUP(Referentie_Fossiele_Energie_Totaal48[[#This Row],[Product]]&amp;", "&amp;Referentie_Fossiele_Energie_Totaal48[[#Headers],[C2]],Database_Productkaarten[#All],51,FALSE),0)*Ontwerpberekening!R11),0))/Ontwerpberekening!$A$2</f>
        <v>0</v>
      </c>
      <c r="P178" s="77">
        <f>(IF(Ontwerpberekening!E11="Bestaande Situatie",(_xlfn.IFNA(VLOOKUP(Referentie_Fossiele_Energie_Totaal48[[#This Row],[Product]]&amp;", "&amp;Referentie_Fossiele_Energie_Totaal48[[#Headers],[C3]],Database_Productkaarten[#All],51,FALSE),0)*Ontwerpberekening!J11),0))/Ontwerpberekening!$A$2</f>
        <v>0</v>
      </c>
      <c r="Q178" s="77">
        <f>(IF(Ontwerpberekening!E11="Bestaande Situatie",(_xlfn.IFNA(VLOOKUP(Referentie_Fossiele_Energie_Totaal48[[#This Row],[Product]]&amp;", "&amp;Referentie_Fossiele_Energie_Totaal48[[#Headers],[C4]],Database_Productkaarten[#All],51,FALSE),0)*Ontwerpberekening!J11),0))/Ontwerpberekening!$A$2</f>
        <v>453.25</v>
      </c>
      <c r="R178" s="77">
        <f>(IF(Ontwerpberekening!E11="Bestaande Situatie",(_xlfn.IFNA(VLOOKUP(Referentie_Fossiele_Energie_Totaal48[[#This Row],[Product]]&amp;", "&amp;Referentie_Fossiele_Energie_Totaal48[[#Headers],[D1]],Database_Productkaarten[#All],51,FALSE),0)*Ontwerpberekening!J11),0))/Ontwerpberekening!$A$2</f>
        <v>0</v>
      </c>
      <c r="S178" s="78">
        <f>(IF(Ontwerpberekening!E11="Bestaande Situatie",(_xlfn.IFNA(VLOOKUP(Referentie_Fossiele_Energie_Totaal48[[#This Row],[Product]]&amp;", "&amp;Referentie_Fossiele_Energie_Totaal48[[#Headers],[D2]],Database_Productkaarten[#All],51,FALSE),0)*Ontwerpberekening!J11),0))/Ontwerpberekening!$A$2</f>
        <v>0</v>
      </c>
      <c r="T178" s="57">
        <f>(IF(Ontwerpberekening!E11="Bestaande Situatie",(_xlfn.IFNA(VLOOKUP(Referentie_Fossiele_Energie_Totaal48[[#This Row],[Product]]&amp;", "&amp;Referentie_Fossiele_Energie_Totaal48[[#Headers],[D]],Database_Productkaarten[#All],51,FALSE),0)*Ontwerpberekening!J11),0))/Ontwerpberekening!$A$2</f>
        <v>-15067.499999999998</v>
      </c>
      <c r="U178" s="56">
        <f>SUM(Referentie_Fossiele_Energie_Totaal48[[#This Row],[A1-A3]:[C4]])+Referentie_Fossiele_Energie_Totaal48[[#This Row],[D]]</f>
        <v>-14614.249999999998</v>
      </c>
    </row>
    <row r="179" spans="2:21">
      <c r="B179" s="51" t="str">
        <f>Ontwerpberekening!B12</f>
        <v>Open Menggranulaat</v>
      </c>
      <c r="C179" s="51" t="str">
        <f>Ontwerpberekening!C12</f>
        <v>Funderingswapening</v>
      </c>
      <c r="D179" s="76" t="str">
        <f>Ontwerpberekening!G12</f>
        <v>Geogrid</v>
      </c>
      <c r="E179" s="77">
        <f>(IF(Ontwerpberekening!E12="Nieuwe Situatie",(_xlfn.IFNA(VLOOKUP(Referentie_Fossiele_Energie_Totaal48[[#This Row],[Product]]&amp;", "&amp;Referentie_Fossiele_Energie_Totaal48[[#Headers],[A1]],Database_Productkaarten[#All],51,FALSE),0)*Ontwerpberekening!J12),0))/Ontwerpberekening!$A$2</f>
        <v>0</v>
      </c>
      <c r="F179" s="77">
        <f>(IF(Ontwerpberekening!E12="Nieuwe Situatie",(_xlfn.IFNA(VLOOKUP(Referentie_Fossiele_Energie_Totaal48[[#This Row],[Product]]&amp;", "&amp;Referentie_Fossiele_Energie_Totaal48[[#Headers],[A2]],Database_Productkaarten[#All],51,FALSE),0)*Ontwerpberekening!J12),0))/Ontwerpberekening!$A$2</f>
        <v>0</v>
      </c>
      <c r="G179" s="77">
        <f>(IF(Ontwerpberekening!E12="Nieuwe Situatie",(_xlfn.IFNA(VLOOKUP(Referentie_Fossiele_Energie_Totaal48[[#This Row],[Product]]&amp;", "&amp;Referentie_Fossiele_Energie_Totaal48[[#Headers],[A3]],Database_Productkaarten[#All],51,FALSE),0)*Ontwerpberekening!J12),0))/Ontwerpberekening!$A$2</f>
        <v>0</v>
      </c>
      <c r="H179" s="77">
        <f>(IF(Ontwerpberekening!E12="Nieuwe Situatie",(_xlfn.IFNA(VLOOKUP(Referentie_Fossiele_Energie_Totaal48[[#This Row],[Product]]&amp;", "&amp;Referentie_Fossiele_Energie_Totaal48[[#Headers],[A1-A3]],Database_Productkaarten[#All],51,FALSE),0)*Ontwerpberekening!J12),0))/Ontwerpberekening!$A$2</f>
        <v>0</v>
      </c>
      <c r="I179" s="77">
        <f>(IF(Ontwerpberekening!E12="Nieuwe Situatie",(_xlfn.IFNA(VLOOKUP(Referentie_Fossiele_Energie_Totaal48[[#This Row],[Product]]&amp;", "&amp;Referentie_Fossiele_Energie_Totaal48[[#Headers],[A4]],Database_Productkaarten[#All],51,FALSE),0)*Ontwerpberekening!R12),0))/Ontwerpberekening!$A$2</f>
        <v>0</v>
      </c>
      <c r="J179" s="77">
        <f>(IF(Ontwerpberekening!E12="Nieuwe Situatie",(_xlfn.IFNA(VLOOKUP(Referentie_Fossiele_Energie_Totaal48[[#This Row],[Product]]&amp;", "&amp;Referentie_Fossiele_Energie_Totaal48[[#Headers],[A5]],Database_Productkaarten[#All],51,FALSE),0)*Ontwerpberekening!J12),0))/Ontwerpberekening!$A$2</f>
        <v>0</v>
      </c>
      <c r="K179" s="77">
        <f>(IF(Ontwerpberekening!E12="Nieuwe Situatie",(_xlfn.IFNA(VLOOKUP(Referentie_Fossiele_Energie_Totaal48[[#This Row],[Product]]&amp;", "&amp;Referentie_Fossiele_Energie_Totaal48[[#Headers],[B1]],Database_Productkaarten[#All],51,FALSE),0)*Ontwerpberekening!J12),0))/Ontwerpberekening!$A$2</f>
        <v>0</v>
      </c>
      <c r="L179" s="77">
        <f>(IF(Ontwerpberekening!E12="Nieuwe Situatie",(_xlfn.IFNA(VLOOKUP(Referentie_Fossiele_Energie_Totaal48[[#This Row],[Product]]&amp;", "&amp;Referentie_Fossiele_Energie_Totaal48[[#Headers],[B3]],Database_Productkaarten[#All],51,FALSE),0)*Ontwerpberekening!J12),0))/Ontwerpberekening!$A$2</f>
        <v>0</v>
      </c>
      <c r="M179" s="77">
        <f>(IF(Ontwerpberekening!E12="Nieuwe Situatie",(SUM(Referentie_Fossiele_Energie_Totaal48[[#This Row],[A1]:[B1]],Referentie_Fossiele_Energie_Totaal48[[#This Row],[C1]:[D2]])*Ontwerpberekening!N12),0))/Ontwerpberekening!$A$2</f>
        <v>0</v>
      </c>
      <c r="N179" s="77">
        <f>(IF(Ontwerpberekening!E12="Bestaande Situatie",(_xlfn.IFNA(VLOOKUP(Referentie_Fossiele_Energie_Totaal48[[#This Row],[Product]]&amp;", "&amp;Referentie_Fossiele_Energie_Totaal48[[#Headers],[C1]],Database_Productkaarten[#All],51,FALSE),0)*Ontwerpberekening!J12),0))/Ontwerpberekening!$A$2</f>
        <v>11486.573</v>
      </c>
      <c r="O179" s="77">
        <f>(IF(Ontwerpberekening!E12="Bestaande Situatie",(_xlfn.IFNA(VLOOKUP(Referentie_Fossiele_Energie_Totaal48[[#This Row],[Product]]&amp;", "&amp;Referentie_Fossiele_Energie_Totaal48[[#Headers],[C2]],Database_Productkaarten[#All],51,FALSE),0)*Ontwerpberekening!R12),0))/Ontwerpberekening!$A$2</f>
        <v>7.5291759050999989</v>
      </c>
      <c r="P179" s="77">
        <f>(IF(Ontwerpberekening!E12="Bestaande Situatie",(_xlfn.IFNA(VLOOKUP(Referentie_Fossiele_Energie_Totaal48[[#This Row],[Product]]&amp;", "&amp;Referentie_Fossiele_Energie_Totaal48[[#Headers],[C3]],Database_Productkaarten[#All],51,FALSE),0)*Ontwerpberekening!J12),0))/Ontwerpberekening!$A$2</f>
        <v>0</v>
      </c>
      <c r="Q179" s="77">
        <f>(IF(Ontwerpberekening!E12="Bestaande Situatie",(_xlfn.IFNA(VLOOKUP(Referentie_Fossiele_Energie_Totaal48[[#This Row],[Product]]&amp;", "&amp;Referentie_Fossiele_Energie_Totaal48[[#Headers],[C4]],Database_Productkaarten[#All],51,FALSE),0)*Ontwerpberekening!J12),0))/Ontwerpberekening!$A$2</f>
        <v>25.074251233999998</v>
      </c>
      <c r="R179" s="77">
        <f>(IF(Ontwerpberekening!E12="Bestaande Situatie",(_xlfn.IFNA(VLOOKUP(Referentie_Fossiele_Energie_Totaal48[[#This Row],[Product]]&amp;", "&amp;Referentie_Fossiele_Energie_Totaal48[[#Headers],[D1]],Database_Productkaarten[#All],51,FALSE),0)*Ontwerpberekening!J12),0))/Ontwerpberekening!$A$2</f>
        <v>0</v>
      </c>
      <c r="S179" s="78">
        <f>(IF(Ontwerpberekening!E12="Bestaande Situatie",(_xlfn.IFNA(VLOOKUP(Referentie_Fossiele_Energie_Totaal48[[#This Row],[Product]]&amp;", "&amp;Referentie_Fossiele_Energie_Totaal48[[#Headers],[D2]],Database_Productkaarten[#All],51,FALSE),0)*Ontwerpberekening!J12),0))/Ontwerpberekening!$A$2</f>
        <v>0</v>
      </c>
      <c r="T179" s="57">
        <f>(IF(Ontwerpberekening!E12="Bestaande Situatie",(_xlfn.IFNA(VLOOKUP(Referentie_Fossiele_Energie_Totaal48[[#This Row],[Product]]&amp;", "&amp;Referentie_Fossiele_Energie_Totaal48[[#Headers],[D]],Database_Productkaarten[#All],51,FALSE),0)*Ontwerpberekening!J12),0))/Ontwerpberekening!$A$2</f>
        <v>-2582.8699846</v>
      </c>
      <c r="U179" s="56">
        <f>SUM(Referentie_Fossiele_Energie_Totaal48[[#This Row],[A1-A3]:[C4]])+Referentie_Fossiele_Energie_Totaal48[[#This Row],[D]]</f>
        <v>8936.3064425391003</v>
      </c>
    </row>
    <row r="180" spans="2:21">
      <c r="B180" s="51" t="str">
        <f>Ontwerpberekening!B13</f>
        <v>Open Menggranulaat</v>
      </c>
      <c r="C180" s="51" t="str">
        <f>Ontwerpberekening!C13</f>
        <v>Menggranulaat</v>
      </c>
      <c r="D180" s="76" t="str">
        <f>Ontwerpberekening!G13</f>
        <v>Menggranulaat 200mm</v>
      </c>
      <c r="E180" s="77">
        <f>(IF(Ontwerpberekening!E13="Nieuwe Situatie",(_xlfn.IFNA(VLOOKUP(Referentie_Fossiele_Energie_Totaal48[[#This Row],[Product]]&amp;", "&amp;Referentie_Fossiele_Energie_Totaal48[[#Headers],[A1]],Database_Productkaarten[#All],51,FALSE),0)*Ontwerpberekening!J13),0))/Ontwerpberekening!$A$2</f>
        <v>0</v>
      </c>
      <c r="F180" s="77">
        <f>(IF(Ontwerpberekening!E13="Nieuwe Situatie",(_xlfn.IFNA(VLOOKUP(Referentie_Fossiele_Energie_Totaal48[[#This Row],[Product]]&amp;", "&amp;Referentie_Fossiele_Energie_Totaal48[[#Headers],[A2]],Database_Productkaarten[#All],51,FALSE),0)*Ontwerpberekening!J13),0))/Ontwerpberekening!$A$2</f>
        <v>0</v>
      </c>
      <c r="G180" s="77">
        <f>(IF(Ontwerpberekening!E13="Nieuwe Situatie",(_xlfn.IFNA(VLOOKUP(Referentie_Fossiele_Energie_Totaal48[[#This Row],[Product]]&amp;", "&amp;Referentie_Fossiele_Energie_Totaal48[[#Headers],[A3]],Database_Productkaarten[#All],51,FALSE),0)*Ontwerpberekening!J13),0))/Ontwerpberekening!$A$2</f>
        <v>0</v>
      </c>
      <c r="H180" s="77">
        <f>(IF(Ontwerpberekening!E13="Nieuwe Situatie",(_xlfn.IFNA(VLOOKUP(Referentie_Fossiele_Energie_Totaal48[[#This Row],[Product]]&amp;", "&amp;Referentie_Fossiele_Energie_Totaal48[[#Headers],[A1-A3]],Database_Productkaarten[#All],51,FALSE),0)*Ontwerpberekening!J13),0))/Ontwerpberekening!$A$2</f>
        <v>0</v>
      </c>
      <c r="I180" s="77">
        <f>(IF(Ontwerpberekening!E13="Nieuwe Situatie",(_xlfn.IFNA(VLOOKUP(Referentie_Fossiele_Energie_Totaal48[[#This Row],[Product]]&amp;", "&amp;Referentie_Fossiele_Energie_Totaal48[[#Headers],[A4]],Database_Productkaarten[#All],51,FALSE),0)*Ontwerpberekening!R13),0))/Ontwerpberekening!$A$2</f>
        <v>0</v>
      </c>
      <c r="J180" s="77">
        <f>(IF(Ontwerpberekening!E13="Nieuwe Situatie",(_xlfn.IFNA(VLOOKUP(Referentie_Fossiele_Energie_Totaal48[[#This Row],[Product]]&amp;", "&amp;Referentie_Fossiele_Energie_Totaal48[[#Headers],[A5]],Database_Productkaarten[#All],51,FALSE),0)*Ontwerpberekening!J13),0))/Ontwerpberekening!$A$2</f>
        <v>0</v>
      </c>
      <c r="K180" s="77">
        <f>(IF(Ontwerpberekening!E13="Nieuwe Situatie",(_xlfn.IFNA(VLOOKUP(Referentie_Fossiele_Energie_Totaal48[[#This Row],[Product]]&amp;", "&amp;Referentie_Fossiele_Energie_Totaal48[[#Headers],[B1]],Database_Productkaarten[#All],51,FALSE),0)*Ontwerpberekening!J13),0))/Ontwerpberekening!$A$2</f>
        <v>0</v>
      </c>
      <c r="L180" s="77">
        <f>(IF(Ontwerpberekening!E13="Nieuwe Situatie",(_xlfn.IFNA(VLOOKUP(Referentie_Fossiele_Energie_Totaal48[[#This Row],[Product]]&amp;", "&amp;Referentie_Fossiele_Energie_Totaal48[[#Headers],[B3]],Database_Productkaarten[#All],51,FALSE),0)*Ontwerpberekening!J13),0))/Ontwerpberekening!$A$2</f>
        <v>0</v>
      </c>
      <c r="M180" s="77">
        <f>(IF(Ontwerpberekening!E13="Nieuwe Situatie",(SUM(Referentie_Fossiele_Energie_Totaal48[[#This Row],[A1]:[B1]],Referentie_Fossiele_Energie_Totaal48[[#This Row],[C1]:[D2]])*Ontwerpberekening!N13),0))/Ontwerpberekening!$A$2</f>
        <v>0</v>
      </c>
      <c r="N180" s="77">
        <f>(IF(Ontwerpberekening!E13="Bestaande Situatie",(_xlfn.IFNA(VLOOKUP(Referentie_Fossiele_Energie_Totaal48[[#This Row],[Product]]&amp;", "&amp;Referentie_Fossiele_Energie_Totaal48[[#Headers],[C1]],Database_Productkaarten[#All],51,FALSE),0)*Ontwerpberekening!J13),0))/Ontwerpberekening!$A$2</f>
        <v>10200</v>
      </c>
      <c r="O180" s="77">
        <f>(IF(Ontwerpberekening!E13="Bestaande Situatie",(_xlfn.IFNA(VLOOKUP(Referentie_Fossiele_Energie_Totaal48[[#This Row],[Product]]&amp;", "&amp;Referentie_Fossiele_Energie_Totaal48[[#Headers],[C2]],Database_Productkaarten[#All],51,FALSE),0)*Ontwerpberekening!R13),0))/Ontwerpberekening!$A$2</f>
        <v>11232</v>
      </c>
      <c r="P180" s="77">
        <f>(IF(Ontwerpberekening!E13="Bestaande Situatie",(_xlfn.IFNA(VLOOKUP(Referentie_Fossiele_Energie_Totaal48[[#This Row],[Product]]&amp;", "&amp;Referentie_Fossiele_Energie_Totaal48[[#Headers],[C3]],Database_Productkaarten[#All],51,FALSE),0)*Ontwerpberekening!J13),0))/Ontwerpberekening!$A$2</f>
        <v>0</v>
      </c>
      <c r="Q180" s="77">
        <f>(IF(Ontwerpberekening!E13="Bestaande Situatie",(_xlfn.IFNA(VLOOKUP(Referentie_Fossiele_Energie_Totaal48[[#This Row],[Product]]&amp;", "&amp;Referentie_Fossiele_Energie_Totaal48[[#Headers],[C4]],Database_Productkaarten[#All],51,FALSE),0)*Ontwerpberekening!J13),0))/Ontwerpberekening!$A$2</f>
        <v>672</v>
      </c>
      <c r="R180" s="77">
        <f>(IF(Ontwerpberekening!E13="Bestaande Situatie",(_xlfn.IFNA(VLOOKUP(Referentie_Fossiele_Energie_Totaal48[[#This Row],[Product]]&amp;", "&amp;Referentie_Fossiele_Energie_Totaal48[[#Headers],[D1]],Database_Productkaarten[#All],51,FALSE),0)*Ontwerpberekening!J13),0))/Ontwerpberekening!$A$2</f>
        <v>0</v>
      </c>
      <c r="S180" s="78">
        <f>(IF(Ontwerpberekening!E13="Bestaande Situatie",(_xlfn.IFNA(VLOOKUP(Referentie_Fossiele_Energie_Totaal48[[#This Row],[Product]]&amp;", "&amp;Referentie_Fossiele_Energie_Totaal48[[#Headers],[D2]],Database_Productkaarten[#All],51,FALSE),0)*Ontwerpberekening!J13),0))/Ontwerpberekening!$A$2</f>
        <v>0</v>
      </c>
      <c r="T180" s="57">
        <f>(IF(Ontwerpberekening!E13="Bestaande Situatie",(_xlfn.IFNA(VLOOKUP(Referentie_Fossiele_Energie_Totaal48[[#This Row],[Product]]&amp;", "&amp;Referentie_Fossiele_Energie_Totaal48[[#Headers],[D]],Database_Productkaarten[#All],51,FALSE),0)*Ontwerpberekening!J13),0))/Ontwerpberekening!$A$2</f>
        <v>226</v>
      </c>
      <c r="U180" s="56">
        <f>SUM(Referentie_Fossiele_Energie_Totaal48[[#This Row],[A1-A3]:[C4]])+Referentie_Fossiele_Energie_Totaal48[[#This Row],[D]]</f>
        <v>22330</v>
      </c>
    </row>
    <row r="181" spans="2:21">
      <c r="B181" s="51" t="str">
        <f>Ontwerpberekening!B14</f>
        <v>Open Menggranulaat</v>
      </c>
      <c r="C181" s="51" t="str">
        <f>Ontwerpberekening!C14</f>
        <v>Straatlaag</v>
      </c>
      <c r="D181" s="76" t="str">
        <f>Ontwerpberekening!G14</f>
        <v>Ophoogmateriaal (Zand)</v>
      </c>
      <c r="E181" s="77">
        <f>(IF(Ontwerpberekening!E14="Nieuwe Situatie",(_xlfn.IFNA(VLOOKUP(Referentie_Fossiele_Energie_Totaal48[[#This Row],[Product]]&amp;", "&amp;Referentie_Fossiele_Energie_Totaal48[[#Headers],[A1]],Database_Productkaarten[#All],51,FALSE),0)*Ontwerpberekening!J14),0))/Ontwerpberekening!$A$2</f>
        <v>0</v>
      </c>
      <c r="F181" s="77">
        <f>(IF(Ontwerpberekening!E14="Nieuwe Situatie",(_xlfn.IFNA(VLOOKUP(Referentie_Fossiele_Energie_Totaal48[[#This Row],[Product]]&amp;", "&amp;Referentie_Fossiele_Energie_Totaal48[[#Headers],[A2]],Database_Productkaarten[#All],51,FALSE),0)*Ontwerpberekening!J14),0))/Ontwerpberekening!$A$2</f>
        <v>0</v>
      </c>
      <c r="G181" s="77">
        <f>(IF(Ontwerpberekening!E14="Nieuwe Situatie",(_xlfn.IFNA(VLOOKUP(Referentie_Fossiele_Energie_Totaal48[[#This Row],[Product]]&amp;", "&amp;Referentie_Fossiele_Energie_Totaal48[[#Headers],[A3]],Database_Productkaarten[#All],51,FALSE),0)*Ontwerpberekening!J14),0))/Ontwerpberekening!$A$2</f>
        <v>0</v>
      </c>
      <c r="H181" s="77">
        <f>(IF(Ontwerpberekening!E14="Nieuwe Situatie",(_xlfn.IFNA(VLOOKUP(Referentie_Fossiele_Energie_Totaal48[[#This Row],[Product]]&amp;", "&amp;Referentie_Fossiele_Energie_Totaal48[[#Headers],[A1-A3]],Database_Productkaarten[#All],51,FALSE),0)*Ontwerpberekening!J14),0))/Ontwerpberekening!$A$2</f>
        <v>0</v>
      </c>
      <c r="I181" s="77">
        <f>(IF(Ontwerpberekening!E14="Nieuwe Situatie",(_xlfn.IFNA(VLOOKUP(Referentie_Fossiele_Energie_Totaal48[[#This Row],[Product]]&amp;", "&amp;Referentie_Fossiele_Energie_Totaal48[[#Headers],[A4]],Database_Productkaarten[#All],51,FALSE),0)*Ontwerpberekening!R14),0))/Ontwerpberekening!$A$2</f>
        <v>0</v>
      </c>
      <c r="J181" s="77">
        <f>(IF(Ontwerpberekening!E14="Nieuwe Situatie",(_xlfn.IFNA(VLOOKUP(Referentie_Fossiele_Energie_Totaal48[[#This Row],[Product]]&amp;", "&amp;Referentie_Fossiele_Energie_Totaal48[[#Headers],[A5]],Database_Productkaarten[#All],51,FALSE),0)*Ontwerpberekening!J14),0))/Ontwerpberekening!$A$2</f>
        <v>0</v>
      </c>
      <c r="K181" s="77">
        <f>(IF(Ontwerpberekening!E14="Nieuwe Situatie",(_xlfn.IFNA(VLOOKUP(Referentie_Fossiele_Energie_Totaal48[[#This Row],[Product]]&amp;", "&amp;Referentie_Fossiele_Energie_Totaal48[[#Headers],[B1]],Database_Productkaarten[#All],51,FALSE),0)*Ontwerpberekening!J14),0))/Ontwerpberekening!$A$2</f>
        <v>0</v>
      </c>
      <c r="L181" s="77">
        <f>(IF(Ontwerpberekening!E14="Nieuwe Situatie",(_xlfn.IFNA(VLOOKUP(Referentie_Fossiele_Energie_Totaal48[[#This Row],[Product]]&amp;", "&amp;Referentie_Fossiele_Energie_Totaal48[[#Headers],[B3]],Database_Productkaarten[#All],51,FALSE),0)*Ontwerpberekening!J14),0))/Ontwerpberekening!$A$2</f>
        <v>0</v>
      </c>
      <c r="M181" s="77">
        <f>(IF(Ontwerpberekening!E14="Nieuwe Situatie",(SUM(Referentie_Fossiele_Energie_Totaal48[[#This Row],[A1]:[B1]],Referentie_Fossiele_Energie_Totaal48[[#This Row],[C1]:[D2]])*Ontwerpberekening!N14),0))/Ontwerpberekening!$A$2</f>
        <v>0</v>
      </c>
      <c r="N181" s="77">
        <f>(IF(Ontwerpberekening!E14="Bestaande Situatie",(_xlfn.IFNA(VLOOKUP(Referentie_Fossiele_Energie_Totaal48[[#This Row],[Product]]&amp;", "&amp;Referentie_Fossiele_Energie_Totaal48[[#Headers],[C1]],Database_Productkaarten[#All],51,FALSE),0)*Ontwerpberekening!J14),0))/Ontwerpberekening!$A$2</f>
        <v>0</v>
      </c>
      <c r="O181" s="77">
        <f>(IF(Ontwerpberekening!E14="Bestaande Situatie",(_xlfn.IFNA(VLOOKUP(Referentie_Fossiele_Energie_Totaal48[[#This Row],[Product]]&amp;", "&amp;Referentie_Fossiele_Energie_Totaal48[[#Headers],[C2]],Database_Productkaarten[#All],51,FALSE),0)*Ontwerpberekening!R14),0))/Ontwerpberekening!$A$2</f>
        <v>0</v>
      </c>
      <c r="P181" s="77">
        <f>(IF(Ontwerpberekening!E14="Bestaande Situatie",(_xlfn.IFNA(VLOOKUP(Referentie_Fossiele_Energie_Totaal48[[#This Row],[Product]]&amp;", "&amp;Referentie_Fossiele_Energie_Totaal48[[#Headers],[C3]],Database_Productkaarten[#All],51,FALSE),0)*Ontwerpberekening!J14),0))/Ontwerpberekening!$A$2</f>
        <v>0</v>
      </c>
      <c r="Q181" s="77">
        <f>(IF(Ontwerpberekening!E14="Bestaande Situatie",(_xlfn.IFNA(VLOOKUP(Referentie_Fossiele_Energie_Totaal48[[#This Row],[Product]]&amp;", "&amp;Referentie_Fossiele_Energie_Totaal48[[#Headers],[C4]],Database_Productkaarten[#All],51,FALSE),0)*Ontwerpberekening!J14),0))/Ontwerpberekening!$A$2</f>
        <v>64.75</v>
      </c>
      <c r="R181" s="77">
        <f>(IF(Ontwerpberekening!E14="Bestaande Situatie",(_xlfn.IFNA(VLOOKUP(Referentie_Fossiele_Energie_Totaal48[[#This Row],[Product]]&amp;", "&amp;Referentie_Fossiele_Energie_Totaal48[[#Headers],[D1]],Database_Productkaarten[#All],51,FALSE),0)*Ontwerpberekening!J14),0))/Ontwerpberekening!$A$2</f>
        <v>0</v>
      </c>
      <c r="S181" s="78">
        <f>(IF(Ontwerpberekening!E14="Bestaande Situatie",(_xlfn.IFNA(VLOOKUP(Referentie_Fossiele_Energie_Totaal48[[#This Row],[Product]]&amp;", "&amp;Referentie_Fossiele_Energie_Totaal48[[#Headers],[D2]],Database_Productkaarten[#All],51,FALSE),0)*Ontwerpberekening!J14),0))/Ontwerpberekening!$A$2</f>
        <v>0</v>
      </c>
      <c r="T181" s="57">
        <f>(IF(Ontwerpberekening!E14="Bestaande Situatie",(_xlfn.IFNA(VLOOKUP(Referentie_Fossiele_Energie_Totaal48[[#This Row],[Product]]&amp;", "&amp;Referentie_Fossiele_Energie_Totaal48[[#Headers],[D]],Database_Productkaarten[#All],51,FALSE),0)*Ontwerpberekening!J14),0))/Ontwerpberekening!$A$2</f>
        <v>-2152.5</v>
      </c>
      <c r="U181" s="56">
        <f>SUM(Referentie_Fossiele_Energie_Totaal48[[#This Row],[A1-A3]:[C4]])+Referentie_Fossiele_Energie_Totaal48[[#This Row],[D]]</f>
        <v>-2087.75</v>
      </c>
    </row>
    <row r="182" spans="2:21">
      <c r="B182" s="51" t="str">
        <f>Ontwerpberekening!B15</f>
        <v>Open Menggranulaat</v>
      </c>
      <c r="C182" s="51" t="str">
        <f>Ontwerpberekening!C15</f>
        <v>Toplaag</v>
      </c>
      <c r="D182" s="76" t="str">
        <f>Ontwerpberekening!G15</f>
        <v>Betonstraatsteen 210x105x80</v>
      </c>
      <c r="E182" s="77">
        <f>(IF(Ontwerpberekening!E15="Nieuwe Situatie",(_xlfn.IFNA(VLOOKUP(Referentie_Fossiele_Energie_Totaal48[[#This Row],[Product]]&amp;", "&amp;Referentie_Fossiele_Energie_Totaal48[[#Headers],[A1]],Database_Productkaarten[#All],51,FALSE),0)*Ontwerpberekening!J15),0))/Ontwerpberekening!$A$2</f>
        <v>0</v>
      </c>
      <c r="F182" s="77">
        <f>(IF(Ontwerpberekening!E15="Nieuwe Situatie",(_xlfn.IFNA(VLOOKUP(Referentie_Fossiele_Energie_Totaal48[[#This Row],[Product]]&amp;", "&amp;Referentie_Fossiele_Energie_Totaal48[[#Headers],[A2]],Database_Productkaarten[#All],51,FALSE),0)*Ontwerpberekening!J15),0))/Ontwerpberekening!$A$2</f>
        <v>0</v>
      </c>
      <c r="G182" s="77">
        <f>(IF(Ontwerpberekening!E15="Nieuwe Situatie",(_xlfn.IFNA(VLOOKUP(Referentie_Fossiele_Energie_Totaal48[[#This Row],[Product]]&amp;", "&amp;Referentie_Fossiele_Energie_Totaal48[[#Headers],[A3]],Database_Productkaarten[#All],51,FALSE),0)*Ontwerpberekening!J15),0))/Ontwerpberekening!$A$2</f>
        <v>0</v>
      </c>
      <c r="H182" s="77">
        <f>(IF(Ontwerpberekening!E15="Nieuwe Situatie",(_xlfn.IFNA(VLOOKUP(Referentie_Fossiele_Energie_Totaal48[[#This Row],[Product]]&amp;", "&amp;Referentie_Fossiele_Energie_Totaal48[[#Headers],[A1-A3]],Database_Productkaarten[#All],51,FALSE),0)*Ontwerpberekening!J15),0))/Ontwerpberekening!$A$2</f>
        <v>0</v>
      </c>
      <c r="I182" s="77">
        <f>(IF(Ontwerpberekening!E15="Nieuwe Situatie",(_xlfn.IFNA(VLOOKUP(Referentie_Fossiele_Energie_Totaal48[[#This Row],[Product]]&amp;", "&amp;Referentie_Fossiele_Energie_Totaal48[[#Headers],[A4]],Database_Productkaarten[#All],51,FALSE),0)*Ontwerpberekening!R15),0))/Ontwerpberekening!$A$2</f>
        <v>0</v>
      </c>
      <c r="J182" s="77">
        <f>(IF(Ontwerpberekening!E15="Nieuwe Situatie",(_xlfn.IFNA(VLOOKUP(Referentie_Fossiele_Energie_Totaal48[[#This Row],[Product]]&amp;", "&amp;Referentie_Fossiele_Energie_Totaal48[[#Headers],[A5]],Database_Productkaarten[#All],51,FALSE),0)*Ontwerpberekening!J15),0))/Ontwerpberekening!$A$2</f>
        <v>0</v>
      </c>
      <c r="K182" s="77">
        <f>(IF(Ontwerpberekening!E15="Nieuwe Situatie",(_xlfn.IFNA(VLOOKUP(Referentie_Fossiele_Energie_Totaal48[[#This Row],[Product]]&amp;", "&amp;Referentie_Fossiele_Energie_Totaal48[[#Headers],[B1]],Database_Productkaarten[#All],51,FALSE),0)*Ontwerpberekening!J15),0))/Ontwerpberekening!$A$2</f>
        <v>0</v>
      </c>
      <c r="L182" s="77">
        <f>(IF(Ontwerpberekening!E15="Nieuwe Situatie",(_xlfn.IFNA(VLOOKUP(Referentie_Fossiele_Energie_Totaal48[[#This Row],[Product]]&amp;", "&amp;Referentie_Fossiele_Energie_Totaal48[[#Headers],[B3]],Database_Productkaarten[#All],51,FALSE),0)*Ontwerpberekening!J15),0))/Ontwerpberekening!$A$2</f>
        <v>0</v>
      </c>
      <c r="M182" s="77">
        <f>(IF(Ontwerpberekening!E15="Nieuwe Situatie",(SUM(Referentie_Fossiele_Energie_Totaal48[[#This Row],[A1]:[B1]],Referentie_Fossiele_Energie_Totaal48[[#This Row],[C1]:[D2]])*Ontwerpberekening!N15),0))/Ontwerpberekening!$A$2</f>
        <v>0</v>
      </c>
      <c r="N182" s="77">
        <f>(IF(Ontwerpberekening!E15="Bestaande Situatie",(_xlfn.IFNA(VLOOKUP(Referentie_Fossiele_Energie_Totaal48[[#This Row],[Product]]&amp;", "&amp;Referentie_Fossiele_Energie_Totaal48[[#Headers],[C1]],Database_Productkaarten[#All],51,FALSE),0)*Ontwerpberekening!J15),0))/Ontwerpberekening!$A$2</f>
        <v>4604.2567500000005</v>
      </c>
      <c r="O182" s="77">
        <f>(IF(Ontwerpberekening!E15="Bestaande Situatie",(_xlfn.IFNA(VLOOKUP(Referentie_Fossiele_Energie_Totaal48[[#This Row],[Product]]&amp;", "&amp;Referentie_Fossiele_Energie_Totaal48[[#Headers],[C2]],Database_Productkaarten[#All],51,FALSE),0)*Ontwerpberekening!R15),0))/Ontwerpberekening!$A$2</f>
        <v>1764.9536256000001</v>
      </c>
      <c r="P182" s="77">
        <f>(IF(Ontwerpberekening!E15="Bestaande Situatie",(_xlfn.IFNA(VLOOKUP(Referentie_Fossiele_Energie_Totaal48[[#This Row],[Product]]&amp;", "&amp;Referentie_Fossiele_Energie_Totaal48[[#Headers],[C3]],Database_Productkaarten[#All],51,FALSE),0)*Ontwerpberekening!J15),0))/Ontwerpberekening!$A$2</f>
        <v>2237.2098000000001</v>
      </c>
      <c r="Q182" s="77">
        <f>(IF(Ontwerpberekening!E15="Bestaande Situatie",(_xlfn.IFNA(VLOOKUP(Referentie_Fossiele_Energie_Totaal48[[#This Row],[Product]]&amp;", "&amp;Referentie_Fossiele_Energie_Totaal48[[#Headers],[C4]],Database_Productkaarten[#All],51,FALSE),0)*Ontwerpberekening!J15),0))/Ontwerpberekening!$A$2</f>
        <v>145.83498</v>
      </c>
      <c r="R182" s="77">
        <f>(IF(Ontwerpberekening!E15="Bestaande Situatie",(_xlfn.IFNA(VLOOKUP(Referentie_Fossiele_Energie_Totaal48[[#This Row],[Product]]&amp;", "&amp;Referentie_Fossiele_Energie_Totaal48[[#Headers],[D1]],Database_Productkaarten[#All],51,FALSE),0)*Ontwerpberekening!J15),0))/Ontwerpberekening!$A$2</f>
        <v>0</v>
      </c>
      <c r="S182" s="78">
        <f>(IF(Ontwerpberekening!E15="Bestaande Situatie",(_xlfn.IFNA(VLOOKUP(Referentie_Fossiele_Energie_Totaal48[[#This Row],[Product]]&amp;", "&amp;Referentie_Fossiele_Energie_Totaal48[[#Headers],[D2]],Database_Productkaarten[#All],51,FALSE),0)*Ontwerpberekening!J15),0))/Ontwerpberekening!$A$2</f>
        <v>0</v>
      </c>
      <c r="T182" s="57">
        <f>(IF(Ontwerpberekening!E15="Bestaande Situatie",(_xlfn.IFNA(VLOOKUP(Referentie_Fossiele_Energie_Totaal48[[#This Row],[Product]]&amp;", "&amp;Referentie_Fossiele_Energie_Totaal48[[#Headers],[D]],Database_Productkaarten[#All],51,FALSE),0)*Ontwerpberekening!J15),0))/Ontwerpberekening!$A$2</f>
        <v>-5180.0905000000002</v>
      </c>
      <c r="U182" s="56">
        <f>SUM(Referentie_Fossiele_Energie_Totaal48[[#This Row],[A1-A3]:[C4]])+Referentie_Fossiele_Energie_Totaal48[[#This Row],[D]]</f>
        <v>3572.1646555999996</v>
      </c>
    </row>
    <row r="183" spans="2:21">
      <c r="B183" s="51" t="str">
        <f>Ontwerpberekening!B16</f>
        <v>Plastic kratten</v>
      </c>
      <c r="C183" s="51" t="str">
        <f>Ontwerpberekening!C16</f>
        <v>Grondontgraving</v>
      </c>
      <c r="D183" s="76" t="str">
        <f>Ontwerpberekening!G16</f>
        <v>Ophoogmateriaal (Grond)</v>
      </c>
      <c r="E183" s="77">
        <f>(IF(Ontwerpberekening!E16="Nieuwe Situatie",(_xlfn.IFNA(VLOOKUP(Referentie_Fossiele_Energie_Totaal48[[#This Row],[Product]]&amp;", "&amp;Referentie_Fossiele_Energie_Totaal48[[#Headers],[A1]],Database_Productkaarten[#All],51,FALSE),0)*Ontwerpberekening!J16),0))/Ontwerpberekening!$A$2</f>
        <v>0</v>
      </c>
      <c r="F183" s="77">
        <f>(IF(Ontwerpberekening!E16="Nieuwe Situatie",(_xlfn.IFNA(VLOOKUP(Referentie_Fossiele_Energie_Totaal48[[#This Row],[Product]]&amp;", "&amp;Referentie_Fossiele_Energie_Totaal48[[#Headers],[A2]],Database_Productkaarten[#All],51,FALSE),0)*Ontwerpberekening!J16),0))/Ontwerpberekening!$A$2</f>
        <v>0</v>
      </c>
      <c r="G183" s="77">
        <f>(IF(Ontwerpberekening!E16="Nieuwe Situatie",(_xlfn.IFNA(VLOOKUP(Referentie_Fossiele_Energie_Totaal48[[#This Row],[Product]]&amp;", "&amp;Referentie_Fossiele_Energie_Totaal48[[#Headers],[A3]],Database_Productkaarten[#All],51,FALSE),0)*Ontwerpberekening!J16),0))/Ontwerpberekening!$A$2</f>
        <v>0</v>
      </c>
      <c r="H183" s="77">
        <f>(IF(Ontwerpberekening!E16="Nieuwe Situatie",(_xlfn.IFNA(VLOOKUP(Referentie_Fossiele_Energie_Totaal48[[#This Row],[Product]]&amp;", "&amp;Referentie_Fossiele_Energie_Totaal48[[#Headers],[A1-A3]],Database_Productkaarten[#All],51,FALSE),0)*Ontwerpberekening!J16),0))/Ontwerpberekening!$A$2</f>
        <v>0</v>
      </c>
      <c r="I183" s="77">
        <f>(IF(Ontwerpberekening!E16="Nieuwe Situatie",(_xlfn.IFNA(VLOOKUP(Referentie_Fossiele_Energie_Totaal48[[#This Row],[Product]]&amp;", "&amp;Referentie_Fossiele_Energie_Totaal48[[#Headers],[A4]],Database_Productkaarten[#All],51,FALSE),0)*Ontwerpberekening!R16),0))/Ontwerpberekening!$A$2</f>
        <v>0</v>
      </c>
      <c r="J183" s="77">
        <f>(IF(Ontwerpberekening!E16="Nieuwe Situatie",(_xlfn.IFNA(VLOOKUP(Referentie_Fossiele_Energie_Totaal48[[#This Row],[Product]]&amp;", "&amp;Referentie_Fossiele_Energie_Totaal48[[#Headers],[A5]],Database_Productkaarten[#All],51,FALSE),0)*Ontwerpberekening!J16),0))/Ontwerpberekening!$A$2</f>
        <v>0</v>
      </c>
      <c r="K183" s="77">
        <f>(IF(Ontwerpberekening!E16="Nieuwe Situatie",(_xlfn.IFNA(VLOOKUP(Referentie_Fossiele_Energie_Totaal48[[#This Row],[Product]]&amp;", "&amp;Referentie_Fossiele_Energie_Totaal48[[#Headers],[B1]],Database_Productkaarten[#All],51,FALSE),0)*Ontwerpberekening!J16),0))/Ontwerpberekening!$A$2</f>
        <v>0</v>
      </c>
      <c r="L183" s="77">
        <f>(IF(Ontwerpberekening!E16="Nieuwe Situatie",(_xlfn.IFNA(VLOOKUP(Referentie_Fossiele_Energie_Totaal48[[#This Row],[Product]]&amp;", "&amp;Referentie_Fossiele_Energie_Totaal48[[#Headers],[B3]],Database_Productkaarten[#All],51,FALSE),0)*Ontwerpberekening!J16),0))/Ontwerpberekening!$A$2</f>
        <v>0</v>
      </c>
      <c r="M183" s="77">
        <f>(IF(Ontwerpberekening!E16="Nieuwe Situatie",(SUM(Referentie_Fossiele_Energie_Totaal48[[#This Row],[A1]:[B1]],Referentie_Fossiele_Energie_Totaal48[[#This Row],[C1]:[D2]])*Ontwerpberekening!N16),0))/Ontwerpberekening!$A$2</f>
        <v>0</v>
      </c>
      <c r="N183" s="77">
        <f>(IF(Ontwerpberekening!E16="Bestaande Situatie",(_xlfn.IFNA(VLOOKUP(Referentie_Fossiele_Energie_Totaal48[[#This Row],[Product]]&amp;", "&amp;Referentie_Fossiele_Energie_Totaal48[[#Headers],[C1]],Database_Productkaarten[#All],51,FALSE),0)*Ontwerpberekening!J16),0))/Ontwerpberekening!$A$2</f>
        <v>0</v>
      </c>
      <c r="O183" s="77">
        <f>(IF(Ontwerpberekening!E16="Bestaande Situatie",(_xlfn.IFNA(VLOOKUP(Referentie_Fossiele_Energie_Totaal48[[#This Row],[Product]]&amp;", "&amp;Referentie_Fossiele_Energie_Totaal48[[#Headers],[C2]],Database_Productkaarten[#All],51,FALSE),0)*Ontwerpberekening!R16),0))/Ontwerpberekening!$A$2</f>
        <v>0</v>
      </c>
      <c r="P183" s="77">
        <f>(IF(Ontwerpberekening!E16="Bestaande Situatie",(_xlfn.IFNA(VLOOKUP(Referentie_Fossiele_Energie_Totaal48[[#This Row],[Product]]&amp;", "&amp;Referentie_Fossiele_Energie_Totaal48[[#Headers],[C3]],Database_Productkaarten[#All],51,FALSE),0)*Ontwerpberekening!J16),0))/Ontwerpberekening!$A$2</f>
        <v>0</v>
      </c>
      <c r="Q183" s="77">
        <f>(IF(Ontwerpberekening!E16="Bestaande Situatie",(_xlfn.IFNA(VLOOKUP(Referentie_Fossiele_Energie_Totaal48[[#This Row],[Product]]&amp;", "&amp;Referentie_Fossiele_Energie_Totaal48[[#Headers],[C4]],Database_Productkaarten[#All],51,FALSE),0)*Ontwerpberekening!J16),0))/Ontwerpberekening!$A$2</f>
        <v>1372</v>
      </c>
      <c r="R183" s="77">
        <f>(IF(Ontwerpberekening!E16="Bestaande Situatie",(_xlfn.IFNA(VLOOKUP(Referentie_Fossiele_Energie_Totaal48[[#This Row],[Product]]&amp;", "&amp;Referentie_Fossiele_Energie_Totaal48[[#Headers],[D1]],Database_Productkaarten[#All],51,FALSE),0)*Ontwerpberekening!J16),0))/Ontwerpberekening!$A$2</f>
        <v>0</v>
      </c>
      <c r="S183" s="78">
        <f>(IF(Ontwerpberekening!E16="Bestaande Situatie",(_xlfn.IFNA(VLOOKUP(Referentie_Fossiele_Energie_Totaal48[[#This Row],[Product]]&amp;", "&amp;Referentie_Fossiele_Energie_Totaal48[[#Headers],[D2]],Database_Productkaarten[#All],51,FALSE),0)*Ontwerpberekening!J16),0))/Ontwerpberekening!$A$2</f>
        <v>0</v>
      </c>
      <c r="T183" s="57">
        <f>(IF(Ontwerpberekening!E16="Bestaande Situatie",(_xlfn.IFNA(VLOOKUP(Referentie_Fossiele_Energie_Totaal48[[#This Row],[Product]]&amp;", "&amp;Referentie_Fossiele_Energie_Totaal48[[#Headers],[D]],Database_Productkaarten[#All],51,FALSE),0)*Ontwerpberekening!J16),0))/Ontwerpberekening!$A$2</f>
        <v>0</v>
      </c>
      <c r="U183" s="56">
        <f>SUM(Referentie_Fossiele_Energie_Totaal48[[#This Row],[A1-A3]:[C4]])+Referentie_Fossiele_Energie_Totaal48[[#This Row],[D]]</f>
        <v>1372</v>
      </c>
    </row>
    <row r="184" spans="2:21">
      <c r="B184" s="51" t="str">
        <f>Ontwerpberekening!B17</f>
        <v>Plastic kratten</v>
      </c>
      <c r="C184" s="51" t="str">
        <f>Ontwerpberekening!C17</f>
        <v>Grondverbetering</v>
      </c>
      <c r="D184" s="76" t="str">
        <f>Ontwerpberekening!G17</f>
        <v>Ophoogmateriaal (Zand)</v>
      </c>
      <c r="E184" s="77">
        <f>(IF(Ontwerpberekening!E17="Nieuwe Situatie",(_xlfn.IFNA(VLOOKUP(Referentie_Fossiele_Energie_Totaal48[[#This Row],[Product]]&amp;", "&amp;Referentie_Fossiele_Energie_Totaal48[[#Headers],[A1]],Database_Productkaarten[#All],51,FALSE),0)*Ontwerpberekening!J17),0))/Ontwerpberekening!$A$2</f>
        <v>0</v>
      </c>
      <c r="F184" s="77">
        <f>(IF(Ontwerpberekening!E17="Nieuwe Situatie",(_xlfn.IFNA(VLOOKUP(Referentie_Fossiele_Energie_Totaal48[[#This Row],[Product]]&amp;", "&amp;Referentie_Fossiele_Energie_Totaal48[[#Headers],[A2]],Database_Productkaarten[#All],51,FALSE),0)*Ontwerpberekening!J17),0))/Ontwerpberekening!$A$2</f>
        <v>0</v>
      </c>
      <c r="G184" s="77">
        <f>(IF(Ontwerpberekening!E17="Nieuwe Situatie",(_xlfn.IFNA(VLOOKUP(Referentie_Fossiele_Energie_Totaal48[[#This Row],[Product]]&amp;", "&amp;Referentie_Fossiele_Energie_Totaal48[[#Headers],[A3]],Database_Productkaarten[#All],51,FALSE),0)*Ontwerpberekening!J17),0))/Ontwerpberekening!$A$2</f>
        <v>0</v>
      </c>
      <c r="H184" s="77">
        <f>(IF(Ontwerpberekening!E17="Nieuwe Situatie",(_xlfn.IFNA(VLOOKUP(Referentie_Fossiele_Energie_Totaal48[[#This Row],[Product]]&amp;", "&amp;Referentie_Fossiele_Energie_Totaal48[[#Headers],[A1-A3]],Database_Productkaarten[#All],51,FALSE),0)*Ontwerpberekening!J17),0))/Ontwerpberekening!$A$2</f>
        <v>6725</v>
      </c>
      <c r="I184" s="77">
        <f>(IF(Ontwerpberekening!E17="Nieuwe Situatie",(_xlfn.IFNA(VLOOKUP(Referentie_Fossiele_Energie_Totaal48[[#This Row],[Product]]&amp;", "&amp;Referentie_Fossiele_Energie_Totaal48[[#Headers],[A4]],Database_Productkaarten[#All],51,FALSE),0)*Ontwerpberekening!R17),0))/Ontwerpberekening!$A$2</f>
        <v>0</v>
      </c>
      <c r="J184" s="77">
        <f>(IF(Ontwerpberekening!E17="Nieuwe Situatie",(_xlfn.IFNA(VLOOKUP(Referentie_Fossiele_Energie_Totaal48[[#This Row],[Product]]&amp;", "&amp;Referentie_Fossiele_Energie_Totaal48[[#Headers],[A5]],Database_Productkaarten[#All],51,FALSE),0)*Ontwerpberekening!J17),0))/Ontwerpberekening!$A$2</f>
        <v>0</v>
      </c>
      <c r="K184" s="77">
        <f>(IF(Ontwerpberekening!E17="Nieuwe Situatie",(_xlfn.IFNA(VLOOKUP(Referentie_Fossiele_Energie_Totaal48[[#This Row],[Product]]&amp;", "&amp;Referentie_Fossiele_Energie_Totaal48[[#Headers],[B1]],Database_Productkaarten[#All],51,FALSE),0)*Ontwerpberekening!J17),0))/Ontwerpberekening!$A$2</f>
        <v>0</v>
      </c>
      <c r="L184" s="77">
        <f>(IF(Ontwerpberekening!E17="Nieuwe Situatie",(_xlfn.IFNA(VLOOKUP(Referentie_Fossiele_Energie_Totaal48[[#This Row],[Product]]&amp;", "&amp;Referentie_Fossiele_Energie_Totaal48[[#Headers],[B3]],Database_Productkaarten[#All],51,FALSE),0)*Ontwerpberekening!J17),0))/Ontwerpberekening!$A$2</f>
        <v>0</v>
      </c>
      <c r="M184" s="77">
        <f>(IF(Ontwerpberekening!E17="Nieuwe Situatie",(SUM(Referentie_Fossiele_Energie_Totaal48[[#This Row],[A1]:[B1]],Referentie_Fossiele_Energie_Totaal48[[#This Row],[C1]:[D2]])*Ontwerpberekening!N17),0))/Ontwerpberekening!$A$2</f>
        <v>336.25</v>
      </c>
      <c r="N184" s="77">
        <f>(IF(Ontwerpberekening!E17="Bestaande Situatie",(_xlfn.IFNA(VLOOKUP(Referentie_Fossiele_Energie_Totaal48[[#This Row],[Product]]&amp;", "&amp;Referentie_Fossiele_Energie_Totaal48[[#Headers],[C1]],Database_Productkaarten[#All],51,FALSE),0)*Ontwerpberekening!J17),0))/Ontwerpberekening!$A$2</f>
        <v>0</v>
      </c>
      <c r="O184" s="77">
        <f>(IF(Ontwerpberekening!E17="Bestaande Situatie",(_xlfn.IFNA(VLOOKUP(Referentie_Fossiele_Energie_Totaal48[[#This Row],[Product]]&amp;", "&amp;Referentie_Fossiele_Energie_Totaal48[[#Headers],[C2]],Database_Productkaarten[#All],51,FALSE),0)*Ontwerpberekening!R17),0))/Ontwerpberekening!$A$2</f>
        <v>0</v>
      </c>
      <c r="P184" s="77">
        <f>(IF(Ontwerpberekening!E17="Bestaande Situatie",(_xlfn.IFNA(VLOOKUP(Referentie_Fossiele_Energie_Totaal48[[#This Row],[Product]]&amp;", "&amp;Referentie_Fossiele_Energie_Totaal48[[#Headers],[C3]],Database_Productkaarten[#All],51,FALSE),0)*Ontwerpberekening!J17),0))/Ontwerpberekening!$A$2</f>
        <v>0</v>
      </c>
      <c r="Q184" s="77">
        <f>(IF(Ontwerpberekening!E17="Bestaande Situatie",(_xlfn.IFNA(VLOOKUP(Referentie_Fossiele_Energie_Totaal48[[#This Row],[Product]]&amp;", "&amp;Referentie_Fossiele_Energie_Totaal48[[#Headers],[C4]],Database_Productkaarten[#All],51,FALSE),0)*Ontwerpberekening!J17),0))/Ontwerpberekening!$A$2</f>
        <v>0</v>
      </c>
      <c r="R184" s="77">
        <f>(IF(Ontwerpberekening!E17="Bestaande Situatie",(_xlfn.IFNA(VLOOKUP(Referentie_Fossiele_Energie_Totaal48[[#This Row],[Product]]&amp;", "&amp;Referentie_Fossiele_Energie_Totaal48[[#Headers],[D1]],Database_Productkaarten[#All],51,FALSE),0)*Ontwerpberekening!J17),0))/Ontwerpberekening!$A$2</f>
        <v>0</v>
      </c>
      <c r="S184" s="78">
        <f>(IF(Ontwerpberekening!E17="Bestaande Situatie",(_xlfn.IFNA(VLOOKUP(Referentie_Fossiele_Energie_Totaal48[[#This Row],[Product]]&amp;", "&amp;Referentie_Fossiele_Energie_Totaal48[[#Headers],[D2]],Database_Productkaarten[#All],51,FALSE),0)*Ontwerpberekening!J17),0))/Ontwerpberekening!$A$2</f>
        <v>0</v>
      </c>
      <c r="T184" s="57">
        <f>(IF(Ontwerpberekening!E17="Bestaande Situatie",(_xlfn.IFNA(VLOOKUP(Referentie_Fossiele_Energie_Totaal48[[#This Row],[Product]]&amp;", "&amp;Referentie_Fossiele_Energie_Totaal48[[#Headers],[D]],Database_Productkaarten[#All],51,FALSE),0)*Ontwerpberekening!J17),0))/Ontwerpberekening!$A$2</f>
        <v>0</v>
      </c>
      <c r="U184" s="56">
        <f>SUM(Referentie_Fossiele_Energie_Totaal48[[#This Row],[A1-A3]:[C4]])+Referentie_Fossiele_Energie_Totaal48[[#This Row],[D]]</f>
        <v>7061.25</v>
      </c>
    </row>
    <row r="185" spans="2:21">
      <c r="B185" s="51" t="str">
        <f>Ontwerpberekening!B18</f>
        <v>Plastic kratten</v>
      </c>
      <c r="C185" s="51" t="str">
        <f>Ontwerpberekening!C18</f>
        <v>Waterbergendelaag</v>
      </c>
      <c r="D185" s="76" t="str">
        <f>Ontwerpberekening!G18</f>
        <v>Kunststof Inflitratiekrat</v>
      </c>
      <c r="E185" s="77">
        <f>(IF(Ontwerpberekening!E18="Nieuwe Situatie",(_xlfn.IFNA(VLOOKUP(Referentie_Fossiele_Energie_Totaal48[[#This Row],[Product]]&amp;", "&amp;Referentie_Fossiele_Energie_Totaal48[[#Headers],[A1]],Database_Productkaarten[#All],51,FALSE),0)*Ontwerpberekening!J18),0))/Ontwerpberekening!$A$2</f>
        <v>0</v>
      </c>
      <c r="F185" s="77">
        <f>(IF(Ontwerpberekening!E18="Nieuwe Situatie",(_xlfn.IFNA(VLOOKUP(Referentie_Fossiele_Energie_Totaal48[[#This Row],[Product]]&amp;", "&amp;Referentie_Fossiele_Energie_Totaal48[[#Headers],[A2]],Database_Productkaarten[#All],51,FALSE),0)*Ontwerpberekening!J18),0))/Ontwerpberekening!$A$2</f>
        <v>0</v>
      </c>
      <c r="G185" s="77">
        <f>(IF(Ontwerpberekening!E18="Nieuwe Situatie",(_xlfn.IFNA(VLOOKUP(Referentie_Fossiele_Energie_Totaal48[[#This Row],[Product]]&amp;", "&amp;Referentie_Fossiele_Energie_Totaal48[[#Headers],[A3]],Database_Productkaarten[#All],51,FALSE),0)*Ontwerpberekening!J18),0))/Ontwerpberekening!$A$2</f>
        <v>0</v>
      </c>
      <c r="H185" s="77">
        <f>(IF(Ontwerpberekening!E18="Nieuwe Situatie",(_xlfn.IFNA(VLOOKUP(Referentie_Fossiele_Energie_Totaal48[[#This Row],[Product]]&amp;", "&amp;Referentie_Fossiele_Energie_Totaal48[[#Headers],[A1-A3]],Database_Productkaarten[#All],51,FALSE),0)*Ontwerpberekening!J18),0))/Ontwerpberekening!$A$2</f>
        <v>700000</v>
      </c>
      <c r="I185" s="77">
        <f>(IF(Ontwerpberekening!E18="Nieuwe Situatie",(_xlfn.IFNA(VLOOKUP(Referentie_Fossiele_Energie_Totaal48[[#This Row],[Product]]&amp;", "&amp;Referentie_Fossiele_Energie_Totaal48[[#Headers],[A4]],Database_Productkaarten[#All],51,FALSE),0)*Ontwerpberekening!R18),0))/Ontwerpberekening!$A$2</f>
        <v>31.5</v>
      </c>
      <c r="J185" s="77">
        <f>(IF(Ontwerpberekening!E18="Nieuwe Situatie",(_xlfn.IFNA(VLOOKUP(Referentie_Fossiele_Energie_Totaal48[[#This Row],[Product]]&amp;", "&amp;Referentie_Fossiele_Energie_Totaal48[[#Headers],[A5]],Database_Productkaarten[#All],51,FALSE),0)*Ontwerpberekening!J18),0))/Ontwerpberekening!$A$2</f>
        <v>47500</v>
      </c>
      <c r="K185" s="77">
        <f>(IF(Ontwerpberekening!E18="Nieuwe Situatie",(_xlfn.IFNA(VLOOKUP(Referentie_Fossiele_Energie_Totaal48[[#This Row],[Product]]&amp;", "&amp;Referentie_Fossiele_Energie_Totaal48[[#Headers],[B1]],Database_Productkaarten[#All],51,FALSE),0)*Ontwerpberekening!J18),0))/Ontwerpberekening!$A$2</f>
        <v>0</v>
      </c>
      <c r="L185" s="77">
        <f>(IF(Ontwerpberekening!E18="Nieuwe Situatie",(_xlfn.IFNA(VLOOKUP(Referentie_Fossiele_Energie_Totaal48[[#This Row],[Product]]&amp;", "&amp;Referentie_Fossiele_Energie_Totaal48[[#Headers],[B3]],Database_Productkaarten[#All],51,FALSE),0)*Ontwerpberekening!J18),0))/Ontwerpberekening!$A$2</f>
        <v>0</v>
      </c>
      <c r="M185" s="77">
        <f>(IF(Ontwerpberekening!E18="Nieuwe Situatie",(SUM(Referentie_Fossiele_Energie_Totaal48[[#This Row],[A1]:[B1]],Referentie_Fossiele_Energie_Totaal48[[#This Row],[C1]:[D2]])*Ontwerpberekening!N18),0))/Ontwerpberekening!$A$2</f>
        <v>373765.75</v>
      </c>
      <c r="N185" s="77">
        <f>(IF(Ontwerpberekening!E18="Bestaande Situatie",(_xlfn.IFNA(VLOOKUP(Referentie_Fossiele_Energie_Totaal48[[#This Row],[Product]]&amp;", "&amp;Referentie_Fossiele_Energie_Totaal48[[#Headers],[C1]],Database_Productkaarten[#All],51,FALSE),0)*Ontwerpberekening!J18),0))/Ontwerpberekening!$A$2</f>
        <v>0</v>
      </c>
      <c r="O185" s="77">
        <f>(IF(Ontwerpberekening!E18="Bestaande Situatie",(_xlfn.IFNA(VLOOKUP(Referentie_Fossiele_Energie_Totaal48[[#This Row],[Product]]&amp;", "&amp;Referentie_Fossiele_Energie_Totaal48[[#Headers],[C2]],Database_Productkaarten[#All],51,FALSE),0)*Ontwerpberekening!R18),0))/Ontwerpberekening!$A$2</f>
        <v>0</v>
      </c>
      <c r="P185" s="77">
        <f>(IF(Ontwerpberekening!E18="Bestaande Situatie",(_xlfn.IFNA(VLOOKUP(Referentie_Fossiele_Energie_Totaal48[[#This Row],[Product]]&amp;", "&amp;Referentie_Fossiele_Energie_Totaal48[[#Headers],[C3]],Database_Productkaarten[#All],51,FALSE),0)*Ontwerpberekening!J18),0))/Ontwerpberekening!$A$2</f>
        <v>0</v>
      </c>
      <c r="Q185" s="77">
        <f>(IF(Ontwerpberekening!E18="Bestaande Situatie",(_xlfn.IFNA(VLOOKUP(Referentie_Fossiele_Energie_Totaal48[[#This Row],[Product]]&amp;", "&amp;Referentie_Fossiele_Energie_Totaal48[[#Headers],[C4]],Database_Productkaarten[#All],51,FALSE),0)*Ontwerpberekening!J18),0))/Ontwerpberekening!$A$2</f>
        <v>0</v>
      </c>
      <c r="R185" s="77">
        <f>(IF(Ontwerpberekening!E18="Bestaande Situatie",(_xlfn.IFNA(VLOOKUP(Referentie_Fossiele_Energie_Totaal48[[#This Row],[Product]]&amp;", "&amp;Referentie_Fossiele_Energie_Totaal48[[#Headers],[D1]],Database_Productkaarten[#All],51,FALSE),0)*Ontwerpberekening!J18),0))/Ontwerpberekening!$A$2</f>
        <v>0</v>
      </c>
      <c r="S185" s="78">
        <f>(IF(Ontwerpberekening!E18="Bestaande Situatie",(_xlfn.IFNA(VLOOKUP(Referentie_Fossiele_Energie_Totaal48[[#This Row],[Product]]&amp;", "&amp;Referentie_Fossiele_Energie_Totaal48[[#Headers],[D2]],Database_Productkaarten[#All],51,FALSE),0)*Ontwerpberekening!J18),0))/Ontwerpberekening!$A$2</f>
        <v>0</v>
      </c>
      <c r="T185" s="57">
        <f>(IF(Ontwerpberekening!E18="Bestaande Situatie",(_xlfn.IFNA(VLOOKUP(Referentie_Fossiele_Energie_Totaal48[[#This Row],[Product]]&amp;", "&amp;Referentie_Fossiele_Energie_Totaal48[[#Headers],[D]],Database_Productkaarten[#All],51,FALSE),0)*Ontwerpberekening!J18),0))/Ontwerpberekening!$A$2</f>
        <v>0</v>
      </c>
      <c r="U185" s="56">
        <f>SUM(Referentie_Fossiele_Energie_Totaal48[[#This Row],[A1-A3]:[C4]])+Referentie_Fossiele_Energie_Totaal48[[#This Row],[D]]</f>
        <v>1121297.25</v>
      </c>
    </row>
    <row r="186" spans="2:21">
      <c r="B186" s="51" t="str">
        <f>Ontwerpberekening!B19</f>
        <v>Plastic kratten</v>
      </c>
      <c r="C186" s="51" t="str">
        <f>Ontwerpberekening!C19</f>
        <v>Menggranulaat</v>
      </c>
      <c r="D186" s="76" t="str">
        <f>Ontwerpberekening!G19</f>
        <v>Menggranulaat 300mm</v>
      </c>
      <c r="E186" s="77">
        <f>(IF(Ontwerpberekening!E19="Nieuwe Situatie",(_xlfn.IFNA(VLOOKUP(Referentie_Fossiele_Energie_Totaal48[[#This Row],[Product]]&amp;", "&amp;Referentie_Fossiele_Energie_Totaal48[[#Headers],[A1]],Database_Productkaarten[#All],51,FALSE),0)*Ontwerpberekening!J19),0))/Ontwerpberekening!$A$2</f>
        <v>0</v>
      </c>
      <c r="F186" s="77">
        <f>(IF(Ontwerpberekening!E19="Nieuwe Situatie",(_xlfn.IFNA(VLOOKUP(Referentie_Fossiele_Energie_Totaal48[[#This Row],[Product]]&amp;", "&amp;Referentie_Fossiele_Energie_Totaal48[[#Headers],[A2]],Database_Productkaarten[#All],51,FALSE),0)*Ontwerpberekening!J19),0))/Ontwerpberekening!$A$2</f>
        <v>0</v>
      </c>
      <c r="G186" s="77">
        <f>(IF(Ontwerpberekening!E19="Nieuwe Situatie",(_xlfn.IFNA(VLOOKUP(Referentie_Fossiele_Energie_Totaal48[[#This Row],[Product]]&amp;", "&amp;Referentie_Fossiele_Energie_Totaal48[[#Headers],[A3]],Database_Productkaarten[#All],51,FALSE),0)*Ontwerpberekening!J19),0))/Ontwerpberekening!$A$2</f>
        <v>0</v>
      </c>
      <c r="H186" s="77">
        <f>(IF(Ontwerpberekening!E19="Nieuwe Situatie",(_xlfn.IFNA(VLOOKUP(Referentie_Fossiele_Energie_Totaal48[[#This Row],[Product]]&amp;", "&amp;Referentie_Fossiele_Energie_Totaal48[[#Headers],[A1-A3]],Database_Productkaarten[#All],51,FALSE),0)*Ontwerpberekening!J19),0))/Ontwerpberekening!$A$2</f>
        <v>0</v>
      </c>
      <c r="I186" s="77">
        <f>(IF(Ontwerpberekening!E19="Nieuwe Situatie",(_xlfn.IFNA(VLOOKUP(Referentie_Fossiele_Energie_Totaal48[[#This Row],[Product]]&amp;", "&amp;Referentie_Fossiele_Energie_Totaal48[[#Headers],[A4]],Database_Productkaarten[#All],51,FALSE),0)*Ontwerpberekening!R19),0))/Ontwerpberekening!$A$2</f>
        <v>12489.75</v>
      </c>
      <c r="J186" s="77">
        <f>(IF(Ontwerpberekening!E19="Nieuwe Situatie",(_xlfn.IFNA(VLOOKUP(Referentie_Fossiele_Energie_Totaal48[[#This Row],[Product]]&amp;", "&amp;Referentie_Fossiele_Energie_Totaal48[[#Headers],[A5]],Database_Productkaarten[#All],51,FALSE),0)*Ontwerpberekening!J19),0))/Ontwerpberekening!$A$2</f>
        <v>15450</v>
      </c>
      <c r="K186" s="77">
        <f>(IF(Ontwerpberekening!E19="Nieuwe Situatie",(_xlfn.IFNA(VLOOKUP(Referentie_Fossiele_Energie_Totaal48[[#This Row],[Product]]&amp;", "&amp;Referentie_Fossiele_Energie_Totaal48[[#Headers],[B1]],Database_Productkaarten[#All],51,FALSE),0)*Ontwerpberekening!J19),0))/Ontwerpberekening!$A$2</f>
        <v>0</v>
      </c>
      <c r="L186" s="77">
        <f>(IF(Ontwerpberekening!E19="Nieuwe Situatie",(_xlfn.IFNA(VLOOKUP(Referentie_Fossiele_Energie_Totaal48[[#This Row],[Product]]&amp;", "&amp;Referentie_Fossiele_Energie_Totaal48[[#Headers],[B3]],Database_Productkaarten[#All],51,FALSE),0)*Ontwerpberekening!J19),0))/Ontwerpberekening!$A$2</f>
        <v>0</v>
      </c>
      <c r="M186" s="77">
        <f>(IF(Ontwerpberekening!E19="Nieuwe Situatie",(SUM(Referentie_Fossiele_Energie_Totaal48[[#This Row],[A1]:[B1]],Referentie_Fossiele_Energie_Totaal48[[#This Row],[C1]:[D2]])*Ontwerpberekening!N19),0))/Ontwerpberekening!$A$2</f>
        <v>8381.9249999999993</v>
      </c>
      <c r="N186" s="77">
        <f>(IF(Ontwerpberekening!E19="Bestaande Situatie",(_xlfn.IFNA(VLOOKUP(Referentie_Fossiele_Energie_Totaal48[[#This Row],[Product]]&amp;", "&amp;Referentie_Fossiele_Energie_Totaal48[[#Headers],[C1]],Database_Productkaarten[#All],51,FALSE),0)*Ontwerpberekening!J19),0))/Ontwerpberekening!$A$2</f>
        <v>0</v>
      </c>
      <c r="O186" s="77">
        <f>(IF(Ontwerpberekening!E19="Bestaande Situatie",(_xlfn.IFNA(VLOOKUP(Referentie_Fossiele_Energie_Totaal48[[#This Row],[Product]]&amp;", "&amp;Referentie_Fossiele_Energie_Totaal48[[#Headers],[C2]],Database_Productkaarten[#All],51,FALSE),0)*Ontwerpberekening!R19),0))/Ontwerpberekening!$A$2</f>
        <v>0</v>
      </c>
      <c r="P186" s="77">
        <f>(IF(Ontwerpberekening!E19="Bestaande Situatie",(_xlfn.IFNA(VLOOKUP(Referentie_Fossiele_Energie_Totaal48[[#This Row],[Product]]&amp;", "&amp;Referentie_Fossiele_Energie_Totaal48[[#Headers],[C3]],Database_Productkaarten[#All],51,FALSE),0)*Ontwerpberekening!J19),0))/Ontwerpberekening!$A$2</f>
        <v>0</v>
      </c>
      <c r="Q186" s="77">
        <f>(IF(Ontwerpberekening!E19="Bestaande Situatie",(_xlfn.IFNA(VLOOKUP(Referentie_Fossiele_Energie_Totaal48[[#This Row],[Product]]&amp;", "&amp;Referentie_Fossiele_Energie_Totaal48[[#Headers],[C4]],Database_Productkaarten[#All],51,FALSE),0)*Ontwerpberekening!J19),0))/Ontwerpberekening!$A$2</f>
        <v>0</v>
      </c>
      <c r="R186" s="77">
        <f>(IF(Ontwerpberekening!E19="Bestaande Situatie",(_xlfn.IFNA(VLOOKUP(Referentie_Fossiele_Energie_Totaal48[[#This Row],[Product]]&amp;", "&amp;Referentie_Fossiele_Energie_Totaal48[[#Headers],[D1]],Database_Productkaarten[#All],51,FALSE),0)*Ontwerpberekening!J19),0))/Ontwerpberekening!$A$2</f>
        <v>0</v>
      </c>
      <c r="S186" s="78">
        <f>(IF(Ontwerpberekening!E19="Bestaande Situatie",(_xlfn.IFNA(VLOOKUP(Referentie_Fossiele_Energie_Totaal48[[#This Row],[Product]]&amp;", "&amp;Referentie_Fossiele_Energie_Totaal48[[#Headers],[D2]],Database_Productkaarten[#All],51,FALSE),0)*Ontwerpberekening!J19),0))/Ontwerpberekening!$A$2</f>
        <v>0</v>
      </c>
      <c r="T186" s="57">
        <f>(IF(Ontwerpberekening!E19="Bestaande Situatie",(_xlfn.IFNA(VLOOKUP(Referentie_Fossiele_Energie_Totaal48[[#This Row],[Product]]&amp;", "&amp;Referentie_Fossiele_Energie_Totaal48[[#Headers],[D]],Database_Productkaarten[#All],51,FALSE),0)*Ontwerpberekening!J19),0))/Ontwerpberekening!$A$2</f>
        <v>0</v>
      </c>
      <c r="U186" s="56">
        <f>SUM(Referentie_Fossiele_Energie_Totaal48[[#This Row],[A1-A3]:[C4]])+Referentie_Fossiele_Energie_Totaal48[[#This Row],[D]]</f>
        <v>36321.675000000003</v>
      </c>
    </row>
    <row r="187" spans="2:21">
      <c r="B187" s="51" t="str">
        <f>Ontwerpberekening!B20</f>
        <v>Plastic kratten</v>
      </c>
      <c r="C187" s="51" t="str">
        <f>Ontwerpberekening!C20</f>
        <v>Straatlaag</v>
      </c>
      <c r="D187" s="76" t="str">
        <f>Ontwerpberekening!G20</f>
        <v>Ophoogmateriaal (Zand)</v>
      </c>
      <c r="E187" s="77">
        <f>(IF(Ontwerpberekening!E20="Nieuwe Situatie",(_xlfn.IFNA(VLOOKUP(Referentie_Fossiele_Energie_Totaal48[[#This Row],[Product]]&amp;", "&amp;Referentie_Fossiele_Energie_Totaal48[[#Headers],[A1]],Database_Productkaarten[#All],51,FALSE),0)*Ontwerpberekening!J20),0))/Ontwerpberekening!$A$2</f>
        <v>0</v>
      </c>
      <c r="F187" s="77">
        <f>(IF(Ontwerpberekening!E20="Nieuwe Situatie",(_xlfn.IFNA(VLOOKUP(Referentie_Fossiele_Energie_Totaal48[[#This Row],[Product]]&amp;", "&amp;Referentie_Fossiele_Energie_Totaal48[[#Headers],[A2]],Database_Productkaarten[#All],51,FALSE),0)*Ontwerpberekening!J20),0))/Ontwerpberekening!$A$2</f>
        <v>0</v>
      </c>
      <c r="G187" s="77">
        <f>(IF(Ontwerpberekening!E20="Nieuwe Situatie",(_xlfn.IFNA(VLOOKUP(Referentie_Fossiele_Energie_Totaal48[[#This Row],[Product]]&amp;", "&amp;Referentie_Fossiele_Energie_Totaal48[[#Headers],[A3]],Database_Productkaarten[#All],51,FALSE),0)*Ontwerpberekening!J20),0))/Ontwerpberekening!$A$2</f>
        <v>0</v>
      </c>
      <c r="H187" s="77">
        <f>(IF(Ontwerpberekening!E20="Nieuwe Situatie",(_xlfn.IFNA(VLOOKUP(Referentie_Fossiele_Energie_Totaal48[[#This Row],[Product]]&amp;", "&amp;Referentie_Fossiele_Energie_Totaal48[[#Headers],[A1-A3]],Database_Productkaarten[#All],51,FALSE),0)*Ontwerpberekening!J20),0))/Ontwerpberekening!$A$2</f>
        <v>6725</v>
      </c>
      <c r="I187" s="77">
        <f>(IF(Ontwerpberekening!E20="Nieuwe Situatie",(_xlfn.IFNA(VLOOKUP(Referentie_Fossiele_Energie_Totaal48[[#This Row],[Product]]&amp;", "&amp;Referentie_Fossiele_Energie_Totaal48[[#Headers],[A4]],Database_Productkaarten[#All],51,FALSE),0)*Ontwerpberekening!R20),0))/Ontwerpberekening!$A$2</f>
        <v>0</v>
      </c>
      <c r="J187" s="77">
        <f>(IF(Ontwerpberekening!E20="Nieuwe Situatie",(_xlfn.IFNA(VLOOKUP(Referentie_Fossiele_Energie_Totaal48[[#This Row],[Product]]&amp;", "&amp;Referentie_Fossiele_Energie_Totaal48[[#Headers],[A5]],Database_Productkaarten[#All],51,FALSE),0)*Ontwerpberekening!J20),0))/Ontwerpberekening!$A$2</f>
        <v>0</v>
      </c>
      <c r="K187" s="77">
        <f>(IF(Ontwerpberekening!E20="Nieuwe Situatie",(_xlfn.IFNA(VLOOKUP(Referentie_Fossiele_Energie_Totaal48[[#This Row],[Product]]&amp;", "&amp;Referentie_Fossiele_Energie_Totaal48[[#Headers],[B1]],Database_Productkaarten[#All],51,FALSE),0)*Ontwerpberekening!J20),0))/Ontwerpberekening!$A$2</f>
        <v>0</v>
      </c>
      <c r="L187" s="77">
        <f>(IF(Ontwerpberekening!E20="Nieuwe Situatie",(_xlfn.IFNA(VLOOKUP(Referentie_Fossiele_Energie_Totaal48[[#This Row],[Product]]&amp;", "&amp;Referentie_Fossiele_Energie_Totaal48[[#Headers],[B3]],Database_Productkaarten[#All],51,FALSE),0)*Ontwerpberekening!J20),0))/Ontwerpberekening!$A$2</f>
        <v>0</v>
      </c>
      <c r="M187" s="77">
        <f>(IF(Ontwerpberekening!E20="Nieuwe Situatie",(SUM(Referentie_Fossiele_Energie_Totaal48[[#This Row],[A1]:[B1]],Referentie_Fossiele_Energie_Totaal48[[#This Row],[C1]:[D2]])*Ontwerpberekening!N20),0))/Ontwerpberekening!$A$2</f>
        <v>336.25</v>
      </c>
      <c r="N187" s="77">
        <f>(IF(Ontwerpberekening!E20="Bestaande Situatie",(_xlfn.IFNA(VLOOKUP(Referentie_Fossiele_Energie_Totaal48[[#This Row],[Product]]&amp;", "&amp;Referentie_Fossiele_Energie_Totaal48[[#Headers],[C1]],Database_Productkaarten[#All],51,FALSE),0)*Ontwerpberekening!J20),0))/Ontwerpberekening!$A$2</f>
        <v>0</v>
      </c>
      <c r="O187" s="77">
        <f>(IF(Ontwerpberekening!E20="Bestaande Situatie",(_xlfn.IFNA(VLOOKUP(Referentie_Fossiele_Energie_Totaal48[[#This Row],[Product]]&amp;", "&amp;Referentie_Fossiele_Energie_Totaal48[[#Headers],[C2]],Database_Productkaarten[#All],51,FALSE),0)*Ontwerpberekening!R20),0))/Ontwerpberekening!$A$2</f>
        <v>0</v>
      </c>
      <c r="P187" s="77">
        <f>(IF(Ontwerpberekening!E20="Bestaande Situatie",(_xlfn.IFNA(VLOOKUP(Referentie_Fossiele_Energie_Totaal48[[#This Row],[Product]]&amp;", "&amp;Referentie_Fossiele_Energie_Totaal48[[#Headers],[C3]],Database_Productkaarten[#All],51,FALSE),0)*Ontwerpberekening!J20),0))/Ontwerpberekening!$A$2</f>
        <v>0</v>
      </c>
      <c r="Q187" s="77">
        <f>(IF(Ontwerpberekening!E20="Bestaande Situatie",(_xlfn.IFNA(VLOOKUP(Referentie_Fossiele_Energie_Totaal48[[#This Row],[Product]]&amp;", "&amp;Referentie_Fossiele_Energie_Totaal48[[#Headers],[C4]],Database_Productkaarten[#All],51,FALSE),0)*Ontwerpberekening!J20),0))/Ontwerpberekening!$A$2</f>
        <v>0</v>
      </c>
      <c r="R187" s="77">
        <f>(IF(Ontwerpberekening!E20="Bestaande Situatie",(_xlfn.IFNA(VLOOKUP(Referentie_Fossiele_Energie_Totaal48[[#This Row],[Product]]&amp;", "&amp;Referentie_Fossiele_Energie_Totaal48[[#Headers],[D1]],Database_Productkaarten[#All],51,FALSE),0)*Ontwerpberekening!J20),0))/Ontwerpberekening!$A$2</f>
        <v>0</v>
      </c>
      <c r="S187" s="78">
        <f>(IF(Ontwerpberekening!E20="Bestaande Situatie",(_xlfn.IFNA(VLOOKUP(Referentie_Fossiele_Energie_Totaal48[[#This Row],[Product]]&amp;", "&amp;Referentie_Fossiele_Energie_Totaal48[[#Headers],[D2]],Database_Productkaarten[#All],51,FALSE),0)*Ontwerpberekening!J20),0))/Ontwerpberekening!$A$2</f>
        <v>0</v>
      </c>
      <c r="T187" s="57">
        <f>(IF(Ontwerpberekening!E20="Bestaande Situatie",(_xlfn.IFNA(VLOOKUP(Referentie_Fossiele_Energie_Totaal48[[#This Row],[Product]]&amp;", "&amp;Referentie_Fossiele_Energie_Totaal48[[#Headers],[D]],Database_Productkaarten[#All],51,FALSE),0)*Ontwerpberekening!J20),0))/Ontwerpberekening!$A$2</f>
        <v>0</v>
      </c>
      <c r="U187" s="56">
        <f>SUM(Referentie_Fossiele_Energie_Totaal48[[#This Row],[A1-A3]:[C4]])+Referentie_Fossiele_Energie_Totaal48[[#This Row],[D]]</f>
        <v>7061.25</v>
      </c>
    </row>
    <row r="188" spans="2:21">
      <c r="B188" s="51" t="str">
        <f>Ontwerpberekening!B21</f>
        <v>Plastic kratten</v>
      </c>
      <c r="C188" s="51" t="str">
        <f>Ontwerpberekening!C21</f>
        <v>Toplaag</v>
      </c>
      <c r="D188" s="76" t="str">
        <f>Ontwerpberekening!G21</f>
        <v>Betonstraatsteen 210x105x80</v>
      </c>
      <c r="E188" s="77">
        <f>(IF(Ontwerpberekening!E21="Nieuwe Situatie",(_xlfn.IFNA(VLOOKUP(Referentie_Fossiele_Energie_Totaal48[[#This Row],[Product]]&amp;", "&amp;Referentie_Fossiele_Energie_Totaal48[[#Headers],[A1]],Database_Productkaarten[#All],51,FALSE),0)*Ontwerpberekening!J21),0))/Ontwerpberekening!$A$2</f>
        <v>61919.19</v>
      </c>
      <c r="F188" s="77">
        <f>(IF(Ontwerpberekening!E21="Nieuwe Situatie",(_xlfn.IFNA(VLOOKUP(Referentie_Fossiele_Energie_Totaal48[[#This Row],[Product]]&amp;", "&amp;Referentie_Fossiele_Energie_Totaal48[[#Headers],[A2]],Database_Productkaarten[#All],51,FALSE),0)*Ontwerpberekening!J21),0))/Ontwerpberekening!$A$2</f>
        <v>7931.2264999999998</v>
      </c>
      <c r="G188" s="77">
        <f>(IF(Ontwerpberekening!E21="Nieuwe Situatie",(_xlfn.IFNA(VLOOKUP(Referentie_Fossiele_Energie_Totaal48[[#This Row],[Product]]&amp;", "&amp;Referentie_Fossiele_Energie_Totaal48[[#Headers],[A3]],Database_Productkaarten[#All],51,FALSE),0)*Ontwerpberekening!J21),0))/Ontwerpberekening!$A$2</f>
        <v>9575.9699999999993</v>
      </c>
      <c r="H188" s="77">
        <f>(IF(Ontwerpberekening!E21="Nieuwe Situatie",(_xlfn.IFNA(VLOOKUP(Referentie_Fossiele_Energie_Totaal48[[#This Row],[Product]]&amp;", "&amp;Referentie_Fossiele_Energie_Totaal48[[#Headers],[A1-A3]],Database_Productkaarten[#All],51,FALSE),0)*Ontwerpberekening!J21),0))/Ontwerpberekening!$A$2</f>
        <v>79426.386499999993</v>
      </c>
      <c r="I188" s="77">
        <f>(IF(Ontwerpberekening!E21="Nieuwe Situatie",(_xlfn.IFNA(VLOOKUP(Referentie_Fossiele_Energie_Totaal48[[#This Row],[Product]]&amp;", "&amp;Referentie_Fossiele_Energie_Totaal48[[#Headers],[A4]],Database_Productkaarten[#All],51,FALSE),0)*Ontwerpberekening!R21),0))/Ontwerpberekening!$A$2</f>
        <v>5242.4366246000009</v>
      </c>
      <c r="J188" s="77">
        <f>(IF(Ontwerpberekening!E21="Nieuwe Situatie",(_xlfn.IFNA(VLOOKUP(Referentie_Fossiele_Energie_Totaal48[[#This Row],[Product]]&amp;", "&amp;Referentie_Fossiele_Energie_Totaal48[[#Headers],[A5]],Database_Productkaarten[#All],51,FALSE),0)*Ontwerpberekening!J21),0))/Ontwerpberekening!$A$2</f>
        <v>8073.6364999999996</v>
      </c>
      <c r="K188" s="77">
        <f>(IF(Ontwerpberekening!E21="Nieuwe Situatie",(_xlfn.IFNA(VLOOKUP(Referentie_Fossiele_Energie_Totaal48[[#This Row],[Product]]&amp;", "&amp;Referentie_Fossiele_Energie_Totaal48[[#Headers],[B1]],Database_Productkaarten[#All],51,FALSE),0)*Ontwerpberekening!J21),0))/Ontwerpberekening!$A$2</f>
        <v>0</v>
      </c>
      <c r="L188" s="77">
        <f>(IF(Ontwerpberekening!E21="Nieuwe Situatie",(_xlfn.IFNA(VLOOKUP(Referentie_Fossiele_Energie_Totaal48[[#This Row],[Product]]&amp;", "&amp;Referentie_Fossiele_Energie_Totaal48[[#Headers],[B3]],Database_Productkaarten[#All],51,FALSE),0)*Ontwerpberekening!J21),0))/Ontwerpberekening!$A$2</f>
        <v>0</v>
      </c>
      <c r="M188" s="77">
        <f>(IF(Ontwerpberekening!E21="Nieuwe Situatie",(SUM(Referentie_Fossiele_Energie_Totaal48[[#This Row],[A1]:[B1]],Referentie_Fossiele_Energie_Totaal48[[#This Row],[C1]:[D2]])*Ontwerpberekening!N21),0))/Ontwerpberekening!$A$2</f>
        <v>13773.507689967999</v>
      </c>
      <c r="N188" s="77">
        <f>(IF(Ontwerpberekening!E21="Bestaande Situatie",(_xlfn.IFNA(VLOOKUP(Referentie_Fossiele_Energie_Totaal48[[#This Row],[Product]]&amp;", "&amp;Referentie_Fossiele_Energie_Totaal48[[#Headers],[C1]],Database_Productkaarten[#All],51,FALSE),0)*Ontwerpberekening!J21),0))/Ontwerpberekening!$A$2</f>
        <v>0</v>
      </c>
      <c r="O188" s="77">
        <f>(IF(Ontwerpberekening!E21="Bestaande Situatie",(_xlfn.IFNA(VLOOKUP(Referentie_Fossiele_Energie_Totaal48[[#This Row],[Product]]&amp;", "&amp;Referentie_Fossiele_Energie_Totaal48[[#Headers],[C2]],Database_Productkaarten[#All],51,FALSE),0)*Ontwerpberekening!R21),0))/Ontwerpberekening!$A$2</f>
        <v>0</v>
      </c>
      <c r="P188" s="77">
        <f>(IF(Ontwerpberekening!E21="Bestaande Situatie",(_xlfn.IFNA(VLOOKUP(Referentie_Fossiele_Energie_Totaal48[[#This Row],[Product]]&amp;", "&amp;Referentie_Fossiele_Energie_Totaal48[[#Headers],[C3]],Database_Productkaarten[#All],51,FALSE),0)*Ontwerpberekening!J21),0))/Ontwerpberekening!$A$2</f>
        <v>0</v>
      </c>
      <c r="Q188" s="77">
        <f>(IF(Ontwerpberekening!E21="Bestaande Situatie",(_xlfn.IFNA(VLOOKUP(Referentie_Fossiele_Energie_Totaal48[[#This Row],[Product]]&amp;", "&amp;Referentie_Fossiele_Energie_Totaal48[[#Headers],[C4]],Database_Productkaarten[#All],51,FALSE),0)*Ontwerpberekening!J21),0))/Ontwerpberekening!$A$2</f>
        <v>0</v>
      </c>
      <c r="R188" s="77">
        <f>(IF(Ontwerpberekening!E21="Bestaande Situatie",(_xlfn.IFNA(VLOOKUP(Referentie_Fossiele_Energie_Totaal48[[#This Row],[Product]]&amp;", "&amp;Referentie_Fossiele_Energie_Totaal48[[#Headers],[D1]],Database_Productkaarten[#All],51,FALSE),0)*Ontwerpberekening!J21),0))/Ontwerpberekening!$A$2</f>
        <v>0</v>
      </c>
      <c r="S188" s="78">
        <f>(IF(Ontwerpberekening!E21="Bestaande Situatie",(_xlfn.IFNA(VLOOKUP(Referentie_Fossiele_Energie_Totaal48[[#This Row],[Product]]&amp;", "&amp;Referentie_Fossiele_Energie_Totaal48[[#Headers],[D2]],Database_Productkaarten[#All],51,FALSE),0)*Ontwerpberekening!J21),0))/Ontwerpberekening!$A$2</f>
        <v>0</v>
      </c>
      <c r="T188" s="57">
        <f>(IF(Ontwerpberekening!E21="Bestaande Situatie",(_xlfn.IFNA(VLOOKUP(Referentie_Fossiele_Energie_Totaal48[[#This Row],[Product]]&amp;", "&amp;Referentie_Fossiele_Energie_Totaal48[[#Headers],[D]],Database_Productkaarten[#All],51,FALSE),0)*Ontwerpberekening!J21),0))/Ontwerpberekening!$A$2</f>
        <v>0</v>
      </c>
      <c r="U188" s="56">
        <f>SUM(Referentie_Fossiele_Energie_Totaal48[[#This Row],[A1-A3]:[C4]])+Referentie_Fossiele_Energie_Totaal48[[#This Row],[D]]</f>
        <v>106515.96731456798</v>
      </c>
    </row>
    <row r="189" spans="2:21">
      <c r="B189" s="51" t="str">
        <f>Ontwerpberekening!B22</f>
        <v>Plastic kratten</v>
      </c>
      <c r="C189" s="51" t="str">
        <f>Ontwerpberekening!C22</f>
        <v>Grondverbetering</v>
      </c>
      <c r="D189" s="76" t="str">
        <f>Ontwerpberekening!G22</f>
        <v>Ophoogmateriaal (Zand)</v>
      </c>
      <c r="E189" s="77">
        <f>(IF(Ontwerpberekening!E22="Nieuwe Situatie",(_xlfn.IFNA(VLOOKUP(Referentie_Fossiele_Energie_Totaal48[[#This Row],[Product]]&amp;", "&amp;Referentie_Fossiele_Energie_Totaal48[[#Headers],[A1]],Database_Productkaarten[#All],51,FALSE),0)*Ontwerpberekening!J22),0))/Ontwerpberekening!$A$2</f>
        <v>0</v>
      </c>
      <c r="F189" s="77">
        <f>(IF(Ontwerpberekening!E22="Nieuwe Situatie",(_xlfn.IFNA(VLOOKUP(Referentie_Fossiele_Energie_Totaal48[[#This Row],[Product]]&amp;", "&amp;Referentie_Fossiele_Energie_Totaal48[[#Headers],[A2]],Database_Productkaarten[#All],51,FALSE),0)*Ontwerpberekening!J22),0))/Ontwerpberekening!$A$2</f>
        <v>0</v>
      </c>
      <c r="G189" s="77">
        <f>(IF(Ontwerpberekening!E22="Nieuwe Situatie",(_xlfn.IFNA(VLOOKUP(Referentie_Fossiele_Energie_Totaal48[[#This Row],[Product]]&amp;", "&amp;Referentie_Fossiele_Energie_Totaal48[[#Headers],[A3]],Database_Productkaarten[#All],51,FALSE),0)*Ontwerpberekening!J22),0))/Ontwerpberekening!$A$2</f>
        <v>0</v>
      </c>
      <c r="H189" s="77">
        <f>(IF(Ontwerpberekening!E22="Nieuwe Situatie",(_xlfn.IFNA(VLOOKUP(Referentie_Fossiele_Energie_Totaal48[[#This Row],[Product]]&amp;", "&amp;Referentie_Fossiele_Energie_Totaal48[[#Headers],[A1-A3]],Database_Productkaarten[#All],51,FALSE),0)*Ontwerpberekening!J22),0))/Ontwerpberekening!$A$2</f>
        <v>0</v>
      </c>
      <c r="I189" s="77">
        <f>(IF(Ontwerpberekening!E22="Nieuwe Situatie",(_xlfn.IFNA(VLOOKUP(Referentie_Fossiele_Energie_Totaal48[[#This Row],[Product]]&amp;", "&amp;Referentie_Fossiele_Energie_Totaal48[[#Headers],[A4]],Database_Productkaarten[#All],51,FALSE),0)*Ontwerpberekening!R22),0))/Ontwerpberekening!$A$2</f>
        <v>0</v>
      </c>
      <c r="J189" s="77">
        <f>(IF(Ontwerpberekening!E22="Nieuwe Situatie",(_xlfn.IFNA(VLOOKUP(Referentie_Fossiele_Energie_Totaal48[[#This Row],[Product]]&amp;", "&amp;Referentie_Fossiele_Energie_Totaal48[[#Headers],[A5]],Database_Productkaarten[#All],51,FALSE),0)*Ontwerpberekening!J22),0))/Ontwerpberekening!$A$2</f>
        <v>0</v>
      </c>
      <c r="K189" s="77">
        <f>(IF(Ontwerpberekening!E22="Nieuwe Situatie",(_xlfn.IFNA(VLOOKUP(Referentie_Fossiele_Energie_Totaal48[[#This Row],[Product]]&amp;", "&amp;Referentie_Fossiele_Energie_Totaal48[[#Headers],[B1]],Database_Productkaarten[#All],51,FALSE),0)*Ontwerpberekening!J22),0))/Ontwerpberekening!$A$2</f>
        <v>0</v>
      </c>
      <c r="L189" s="77">
        <f>(IF(Ontwerpberekening!E22="Nieuwe Situatie",(_xlfn.IFNA(VLOOKUP(Referentie_Fossiele_Energie_Totaal48[[#This Row],[Product]]&amp;", "&amp;Referentie_Fossiele_Energie_Totaal48[[#Headers],[B3]],Database_Productkaarten[#All],51,FALSE),0)*Ontwerpberekening!J22),0))/Ontwerpberekening!$A$2</f>
        <v>0</v>
      </c>
      <c r="M189" s="77">
        <f>(IF(Ontwerpberekening!E22="Nieuwe Situatie",(SUM(Referentie_Fossiele_Energie_Totaal48[[#This Row],[A1]:[B1]],Referentie_Fossiele_Energie_Totaal48[[#This Row],[C1]:[D2]])*Ontwerpberekening!N22),0))/Ontwerpberekening!$A$2</f>
        <v>0</v>
      </c>
      <c r="N189" s="77">
        <f>(IF(Ontwerpberekening!E22="Bestaande Situatie",(_xlfn.IFNA(VLOOKUP(Referentie_Fossiele_Energie_Totaal48[[#This Row],[Product]]&amp;", "&amp;Referentie_Fossiele_Energie_Totaal48[[#Headers],[C1]],Database_Productkaarten[#All],51,FALSE),0)*Ontwerpberekening!J22),0))/Ontwerpberekening!$A$2</f>
        <v>0</v>
      </c>
      <c r="O189" s="77">
        <f>(IF(Ontwerpberekening!E22="Bestaande Situatie",(_xlfn.IFNA(VLOOKUP(Referentie_Fossiele_Energie_Totaal48[[#This Row],[Product]]&amp;", "&amp;Referentie_Fossiele_Energie_Totaal48[[#Headers],[C2]],Database_Productkaarten[#All],51,FALSE),0)*Ontwerpberekening!R22),0))/Ontwerpberekening!$A$2</f>
        <v>0</v>
      </c>
      <c r="P189" s="77">
        <f>(IF(Ontwerpberekening!E22="Bestaande Situatie",(_xlfn.IFNA(VLOOKUP(Referentie_Fossiele_Energie_Totaal48[[#This Row],[Product]]&amp;", "&amp;Referentie_Fossiele_Energie_Totaal48[[#Headers],[C3]],Database_Productkaarten[#All],51,FALSE),0)*Ontwerpberekening!J22),0))/Ontwerpberekening!$A$2</f>
        <v>0</v>
      </c>
      <c r="Q189" s="77">
        <f>(IF(Ontwerpberekening!E22="Bestaande Situatie",(_xlfn.IFNA(VLOOKUP(Referentie_Fossiele_Energie_Totaal48[[#This Row],[Product]]&amp;", "&amp;Referentie_Fossiele_Energie_Totaal48[[#Headers],[C4]],Database_Productkaarten[#All],51,FALSE),0)*Ontwerpberekening!J22),0))/Ontwerpberekening!$A$2</f>
        <v>64.75</v>
      </c>
      <c r="R189" s="77">
        <f>(IF(Ontwerpberekening!E22="Bestaande Situatie",(_xlfn.IFNA(VLOOKUP(Referentie_Fossiele_Energie_Totaal48[[#This Row],[Product]]&amp;", "&amp;Referentie_Fossiele_Energie_Totaal48[[#Headers],[D1]],Database_Productkaarten[#All],51,FALSE),0)*Ontwerpberekening!J22),0))/Ontwerpberekening!$A$2</f>
        <v>0</v>
      </c>
      <c r="S189" s="78">
        <f>(IF(Ontwerpberekening!E22="Bestaande Situatie",(_xlfn.IFNA(VLOOKUP(Referentie_Fossiele_Energie_Totaal48[[#This Row],[Product]]&amp;", "&amp;Referentie_Fossiele_Energie_Totaal48[[#Headers],[D2]],Database_Productkaarten[#All],51,FALSE),0)*Ontwerpberekening!J22),0))/Ontwerpberekening!$A$2</f>
        <v>0</v>
      </c>
      <c r="T189" s="57">
        <f>(IF(Ontwerpberekening!E22="Bestaande Situatie",(_xlfn.IFNA(VLOOKUP(Referentie_Fossiele_Energie_Totaal48[[#This Row],[Product]]&amp;", "&amp;Referentie_Fossiele_Energie_Totaal48[[#Headers],[D]],Database_Productkaarten[#All],51,FALSE),0)*Ontwerpberekening!J22),0))/Ontwerpberekening!$A$2</f>
        <v>-2152.5</v>
      </c>
      <c r="U189" s="56">
        <f>SUM(Referentie_Fossiele_Energie_Totaal48[[#This Row],[A1-A3]:[C4]])+Referentie_Fossiele_Energie_Totaal48[[#This Row],[D]]</f>
        <v>-2087.75</v>
      </c>
    </row>
    <row r="190" spans="2:21">
      <c r="B190" s="51" t="str">
        <f>Ontwerpberekening!B23</f>
        <v>Plastic kratten</v>
      </c>
      <c r="C190" s="51" t="str">
        <f>Ontwerpberekening!C23</f>
        <v>Waterbergendelaag</v>
      </c>
      <c r="D190" s="76" t="str">
        <f>Ontwerpberekening!G23</f>
        <v>Kunststof Inflitratiekrat</v>
      </c>
      <c r="E190" s="77">
        <f>(IF(Ontwerpberekening!E23="Nieuwe Situatie",(_xlfn.IFNA(VLOOKUP(Referentie_Fossiele_Energie_Totaal48[[#This Row],[Product]]&amp;", "&amp;Referentie_Fossiele_Energie_Totaal48[[#Headers],[A1]],Database_Productkaarten[#All],51,FALSE),0)*Ontwerpberekening!J23),0))/Ontwerpberekening!$A$2</f>
        <v>0</v>
      </c>
      <c r="F190" s="77">
        <f>(IF(Ontwerpberekening!E23="Nieuwe Situatie",(_xlfn.IFNA(VLOOKUP(Referentie_Fossiele_Energie_Totaal48[[#This Row],[Product]]&amp;", "&amp;Referentie_Fossiele_Energie_Totaal48[[#Headers],[A2]],Database_Productkaarten[#All],51,FALSE),0)*Ontwerpberekening!J23),0))/Ontwerpberekening!$A$2</f>
        <v>0</v>
      </c>
      <c r="G190" s="77">
        <f>(IF(Ontwerpberekening!E23="Nieuwe Situatie",(_xlfn.IFNA(VLOOKUP(Referentie_Fossiele_Energie_Totaal48[[#This Row],[Product]]&amp;", "&amp;Referentie_Fossiele_Energie_Totaal48[[#Headers],[A3]],Database_Productkaarten[#All],51,FALSE),0)*Ontwerpberekening!J23),0))/Ontwerpberekening!$A$2</f>
        <v>0</v>
      </c>
      <c r="H190" s="77">
        <f>(IF(Ontwerpberekening!E23="Nieuwe Situatie",(_xlfn.IFNA(VLOOKUP(Referentie_Fossiele_Energie_Totaal48[[#This Row],[Product]]&amp;", "&amp;Referentie_Fossiele_Energie_Totaal48[[#Headers],[A1-A3]],Database_Productkaarten[#All],51,FALSE),0)*Ontwerpberekening!J23),0))/Ontwerpberekening!$A$2</f>
        <v>0</v>
      </c>
      <c r="I190" s="77">
        <f>(IF(Ontwerpberekening!E23="Nieuwe Situatie",(_xlfn.IFNA(VLOOKUP(Referentie_Fossiele_Energie_Totaal48[[#This Row],[Product]]&amp;", "&amp;Referentie_Fossiele_Energie_Totaal48[[#Headers],[A4]],Database_Productkaarten[#All],51,FALSE),0)*Ontwerpberekening!R23),0))/Ontwerpberekening!$A$2</f>
        <v>0</v>
      </c>
      <c r="J190" s="77">
        <f>(IF(Ontwerpberekening!E23="Nieuwe Situatie",(_xlfn.IFNA(VLOOKUP(Referentie_Fossiele_Energie_Totaal48[[#This Row],[Product]]&amp;", "&amp;Referentie_Fossiele_Energie_Totaal48[[#Headers],[A5]],Database_Productkaarten[#All],51,FALSE),0)*Ontwerpberekening!J23),0))/Ontwerpberekening!$A$2</f>
        <v>0</v>
      </c>
      <c r="K190" s="77">
        <f>(IF(Ontwerpberekening!E23="Nieuwe Situatie",(_xlfn.IFNA(VLOOKUP(Referentie_Fossiele_Energie_Totaal48[[#This Row],[Product]]&amp;", "&amp;Referentie_Fossiele_Energie_Totaal48[[#Headers],[B1]],Database_Productkaarten[#All],51,FALSE),0)*Ontwerpberekening!J23),0))/Ontwerpberekening!$A$2</f>
        <v>0</v>
      </c>
      <c r="L190" s="77">
        <f>(IF(Ontwerpberekening!E23="Nieuwe Situatie",(_xlfn.IFNA(VLOOKUP(Referentie_Fossiele_Energie_Totaal48[[#This Row],[Product]]&amp;", "&amp;Referentie_Fossiele_Energie_Totaal48[[#Headers],[B3]],Database_Productkaarten[#All],51,FALSE),0)*Ontwerpberekening!J23),0))/Ontwerpberekening!$A$2</f>
        <v>0</v>
      </c>
      <c r="M190" s="77">
        <f>(IF(Ontwerpberekening!E23="Nieuwe Situatie",(SUM(Referentie_Fossiele_Energie_Totaal48[[#This Row],[A1]:[B1]],Referentie_Fossiele_Energie_Totaal48[[#This Row],[C1]:[D2]])*Ontwerpberekening!N23),0))/Ontwerpberekening!$A$2</f>
        <v>0</v>
      </c>
      <c r="N190" s="77">
        <f>(IF(Ontwerpberekening!E23="Bestaande Situatie",(_xlfn.IFNA(VLOOKUP(Referentie_Fossiele_Energie_Totaal48[[#This Row],[Product]]&amp;", "&amp;Referentie_Fossiele_Energie_Totaal48[[#Headers],[C1]],Database_Productkaarten[#All],51,FALSE),0)*Ontwerpberekening!J23),0))/Ontwerpberekening!$A$2</f>
        <v>13000</v>
      </c>
      <c r="O190" s="77">
        <f>(IF(Ontwerpberekening!E23="Bestaande Situatie",(_xlfn.IFNA(VLOOKUP(Referentie_Fossiele_Energie_Totaal48[[#This Row],[Product]]&amp;", "&amp;Referentie_Fossiele_Energie_Totaal48[[#Headers],[C2]],Database_Productkaarten[#All],51,FALSE),0)*Ontwerpberekening!R23),0))/Ontwerpberekening!$A$2</f>
        <v>29.400000000000002</v>
      </c>
      <c r="P190" s="77">
        <f>(IF(Ontwerpberekening!E23="Bestaande Situatie",(_xlfn.IFNA(VLOOKUP(Referentie_Fossiele_Energie_Totaal48[[#This Row],[Product]]&amp;", "&amp;Referentie_Fossiele_Energie_Totaal48[[#Headers],[C3]],Database_Productkaarten[#All],51,FALSE),0)*Ontwerpberekening!J23),0))/Ontwerpberekening!$A$2</f>
        <v>13000</v>
      </c>
      <c r="Q190" s="77">
        <f>(IF(Ontwerpberekening!E23="Bestaande Situatie",(_xlfn.IFNA(VLOOKUP(Referentie_Fossiele_Energie_Totaal48[[#This Row],[Product]]&amp;", "&amp;Referentie_Fossiele_Energie_Totaal48[[#Headers],[C4]],Database_Productkaarten[#All],51,FALSE),0)*Ontwerpberekening!J23),0))/Ontwerpberekening!$A$2</f>
        <v>185</v>
      </c>
      <c r="R190" s="77">
        <f>(IF(Ontwerpberekening!E23="Bestaande Situatie",(_xlfn.IFNA(VLOOKUP(Referentie_Fossiele_Energie_Totaal48[[#This Row],[Product]]&amp;", "&amp;Referentie_Fossiele_Energie_Totaal48[[#Headers],[D1]],Database_Productkaarten[#All],51,FALSE),0)*Ontwerpberekening!J23),0))/Ontwerpberekening!$A$2</f>
        <v>0</v>
      </c>
      <c r="S190" s="78">
        <f>(IF(Ontwerpberekening!E23="Bestaande Situatie",(_xlfn.IFNA(VLOOKUP(Referentie_Fossiele_Energie_Totaal48[[#This Row],[Product]]&amp;", "&amp;Referentie_Fossiele_Energie_Totaal48[[#Headers],[D2]],Database_Productkaarten[#All],51,FALSE),0)*Ontwerpberekening!J23),0))/Ontwerpberekening!$A$2</f>
        <v>0</v>
      </c>
      <c r="T190" s="57">
        <f>(IF(Ontwerpberekening!E23="Bestaande Situatie",(_xlfn.IFNA(VLOOKUP(Referentie_Fossiele_Energie_Totaal48[[#This Row],[Product]]&amp;", "&amp;Referentie_Fossiele_Energie_Totaal48[[#Headers],[D]],Database_Productkaarten[#All],51,FALSE),0)*Ontwerpberekening!J23),0))/Ontwerpberekening!$A$2</f>
        <v>-190000</v>
      </c>
      <c r="U190" s="56">
        <f>SUM(Referentie_Fossiele_Energie_Totaal48[[#This Row],[A1-A3]:[C4]])+Referentie_Fossiele_Energie_Totaal48[[#This Row],[D]]</f>
        <v>-163785.60000000001</v>
      </c>
    </row>
    <row r="191" spans="2:21">
      <c r="B191" s="51" t="str">
        <f>Ontwerpberekening!B24</f>
        <v>Plastic kratten</v>
      </c>
      <c r="C191" s="51" t="str">
        <f>Ontwerpberekening!C24</f>
        <v>Menggranulaat</v>
      </c>
      <c r="D191" s="76" t="str">
        <f>Ontwerpberekening!G24</f>
        <v>Menggranulaat 300mm</v>
      </c>
      <c r="E191" s="77">
        <f>(IF(Ontwerpberekening!E24="Nieuwe Situatie",(_xlfn.IFNA(VLOOKUP(Referentie_Fossiele_Energie_Totaal48[[#This Row],[Product]]&amp;", "&amp;Referentie_Fossiele_Energie_Totaal48[[#Headers],[A1]],Database_Productkaarten[#All],51,FALSE),0)*Ontwerpberekening!J24),0))/Ontwerpberekening!$A$2</f>
        <v>0</v>
      </c>
      <c r="F191" s="77">
        <f>(IF(Ontwerpberekening!E24="Nieuwe Situatie",(_xlfn.IFNA(VLOOKUP(Referentie_Fossiele_Energie_Totaal48[[#This Row],[Product]]&amp;", "&amp;Referentie_Fossiele_Energie_Totaal48[[#Headers],[A2]],Database_Productkaarten[#All],51,FALSE),0)*Ontwerpberekening!J24),0))/Ontwerpberekening!$A$2</f>
        <v>0</v>
      </c>
      <c r="G191" s="77">
        <f>(IF(Ontwerpberekening!E24="Nieuwe Situatie",(_xlfn.IFNA(VLOOKUP(Referentie_Fossiele_Energie_Totaal48[[#This Row],[Product]]&amp;", "&amp;Referentie_Fossiele_Energie_Totaal48[[#Headers],[A3]],Database_Productkaarten[#All],51,FALSE),0)*Ontwerpberekening!J24),0))/Ontwerpberekening!$A$2</f>
        <v>0</v>
      </c>
      <c r="H191" s="77">
        <f>(IF(Ontwerpberekening!E24="Nieuwe Situatie",(_xlfn.IFNA(VLOOKUP(Referentie_Fossiele_Energie_Totaal48[[#This Row],[Product]]&amp;", "&amp;Referentie_Fossiele_Energie_Totaal48[[#Headers],[A1-A3]],Database_Productkaarten[#All],51,FALSE),0)*Ontwerpberekening!J24),0))/Ontwerpberekening!$A$2</f>
        <v>0</v>
      </c>
      <c r="I191" s="77">
        <f>(IF(Ontwerpberekening!E24="Nieuwe Situatie",(_xlfn.IFNA(VLOOKUP(Referentie_Fossiele_Energie_Totaal48[[#This Row],[Product]]&amp;", "&amp;Referentie_Fossiele_Energie_Totaal48[[#Headers],[A4]],Database_Productkaarten[#All],51,FALSE),0)*Ontwerpberekening!R24),0))/Ontwerpberekening!$A$2</f>
        <v>0</v>
      </c>
      <c r="J191" s="77">
        <f>(IF(Ontwerpberekening!E24="Nieuwe Situatie",(_xlfn.IFNA(VLOOKUP(Referentie_Fossiele_Energie_Totaal48[[#This Row],[Product]]&amp;", "&amp;Referentie_Fossiele_Energie_Totaal48[[#Headers],[A5]],Database_Productkaarten[#All],51,FALSE),0)*Ontwerpberekening!J24),0))/Ontwerpberekening!$A$2</f>
        <v>0</v>
      </c>
      <c r="K191" s="77">
        <f>(IF(Ontwerpberekening!E24="Nieuwe Situatie",(_xlfn.IFNA(VLOOKUP(Referentie_Fossiele_Energie_Totaal48[[#This Row],[Product]]&amp;", "&amp;Referentie_Fossiele_Energie_Totaal48[[#Headers],[B1]],Database_Productkaarten[#All],51,FALSE),0)*Ontwerpberekening!J24),0))/Ontwerpberekening!$A$2</f>
        <v>0</v>
      </c>
      <c r="L191" s="77">
        <f>(IF(Ontwerpberekening!E24="Nieuwe Situatie",(_xlfn.IFNA(VLOOKUP(Referentie_Fossiele_Energie_Totaal48[[#This Row],[Product]]&amp;", "&amp;Referentie_Fossiele_Energie_Totaal48[[#Headers],[B3]],Database_Productkaarten[#All],51,FALSE),0)*Ontwerpberekening!J24),0))/Ontwerpberekening!$A$2</f>
        <v>0</v>
      </c>
      <c r="M191" s="77">
        <f>(IF(Ontwerpberekening!E24="Nieuwe Situatie",(SUM(Referentie_Fossiele_Energie_Totaal48[[#This Row],[A1]:[B1]],Referentie_Fossiele_Energie_Totaal48[[#This Row],[C1]:[D2]])*Ontwerpberekening!N24),0))/Ontwerpberekening!$A$2</f>
        <v>0</v>
      </c>
      <c r="N191" s="77">
        <f>(IF(Ontwerpberekening!E24="Bestaande Situatie",(_xlfn.IFNA(VLOOKUP(Referentie_Fossiele_Energie_Totaal48[[#This Row],[Product]]&amp;", "&amp;Referentie_Fossiele_Energie_Totaal48[[#Headers],[C1]],Database_Productkaarten[#All],51,FALSE),0)*Ontwerpberekening!J24),0))/Ontwerpberekening!$A$2</f>
        <v>5100</v>
      </c>
      <c r="O191" s="77">
        <f>(IF(Ontwerpberekening!E24="Bestaande Situatie",(_xlfn.IFNA(VLOOKUP(Referentie_Fossiele_Energie_Totaal48[[#This Row],[Product]]&amp;", "&amp;Referentie_Fossiele_Energie_Totaal48[[#Headers],[C2]],Database_Productkaarten[#All],51,FALSE),0)*Ontwerpberekening!R24),0))/Ontwerpberekening!$A$2</f>
        <v>12636</v>
      </c>
      <c r="P191" s="77">
        <f>(IF(Ontwerpberekening!E24="Bestaande Situatie",(_xlfn.IFNA(VLOOKUP(Referentie_Fossiele_Energie_Totaal48[[#This Row],[Product]]&amp;", "&amp;Referentie_Fossiele_Energie_Totaal48[[#Headers],[C3]],Database_Productkaarten[#All],51,FALSE),0)*Ontwerpberekening!J24),0))/Ontwerpberekening!$A$2</f>
        <v>0</v>
      </c>
      <c r="Q191" s="77">
        <f>(IF(Ontwerpberekening!E24="Bestaande Situatie",(_xlfn.IFNA(VLOOKUP(Referentie_Fossiele_Energie_Totaal48[[#This Row],[Product]]&amp;", "&amp;Referentie_Fossiele_Energie_Totaal48[[#Headers],[C4]],Database_Productkaarten[#All],51,FALSE),0)*Ontwerpberekening!J24),0))/Ontwerpberekening!$A$2</f>
        <v>505</v>
      </c>
      <c r="R191" s="77">
        <f>(IF(Ontwerpberekening!E24="Bestaande Situatie",(_xlfn.IFNA(VLOOKUP(Referentie_Fossiele_Energie_Totaal48[[#This Row],[Product]]&amp;", "&amp;Referentie_Fossiele_Energie_Totaal48[[#Headers],[D1]],Database_Productkaarten[#All],51,FALSE),0)*Ontwerpberekening!J24),0))/Ontwerpberekening!$A$2</f>
        <v>0</v>
      </c>
      <c r="S191" s="78">
        <f>(IF(Ontwerpberekening!E24="Bestaande Situatie",(_xlfn.IFNA(VLOOKUP(Referentie_Fossiele_Energie_Totaal48[[#This Row],[Product]]&amp;", "&amp;Referentie_Fossiele_Energie_Totaal48[[#Headers],[D2]],Database_Productkaarten[#All],51,FALSE),0)*Ontwerpberekening!J24),0))/Ontwerpberekening!$A$2</f>
        <v>0</v>
      </c>
      <c r="T191" s="57">
        <f>(IF(Ontwerpberekening!E24="Bestaande Situatie",(_xlfn.IFNA(VLOOKUP(Referentie_Fossiele_Energie_Totaal48[[#This Row],[Product]]&amp;", "&amp;Referentie_Fossiele_Energie_Totaal48[[#Headers],[D]],Database_Productkaarten[#All],51,FALSE),0)*Ontwerpberekening!J24),0))/Ontwerpberekening!$A$2</f>
        <v>169.5</v>
      </c>
      <c r="U191" s="56">
        <f>SUM(Referentie_Fossiele_Energie_Totaal48[[#This Row],[A1-A3]:[C4]])+Referentie_Fossiele_Energie_Totaal48[[#This Row],[D]]</f>
        <v>18410.5</v>
      </c>
    </row>
    <row r="192" spans="2:21">
      <c r="B192" s="51" t="str">
        <f>Ontwerpberekening!B25</f>
        <v>Plastic kratten</v>
      </c>
      <c r="C192" s="51" t="str">
        <f>Ontwerpberekening!C25</f>
        <v>Straatlaag</v>
      </c>
      <c r="D192" s="76" t="str">
        <f>Ontwerpberekening!G25</f>
        <v>Ophoogmateriaal (Zand)</v>
      </c>
      <c r="E192" s="77">
        <f>(IF(Ontwerpberekening!E25="Nieuwe Situatie",(_xlfn.IFNA(VLOOKUP(Referentie_Fossiele_Energie_Totaal48[[#This Row],[Product]]&amp;", "&amp;Referentie_Fossiele_Energie_Totaal48[[#Headers],[A1]],Database_Productkaarten[#All],51,FALSE),0)*Ontwerpberekening!J25),0))/Ontwerpberekening!$A$2</f>
        <v>0</v>
      </c>
      <c r="F192" s="77">
        <f>(IF(Ontwerpberekening!E25="Nieuwe Situatie",(_xlfn.IFNA(VLOOKUP(Referentie_Fossiele_Energie_Totaal48[[#This Row],[Product]]&amp;", "&amp;Referentie_Fossiele_Energie_Totaal48[[#Headers],[A2]],Database_Productkaarten[#All],51,FALSE),0)*Ontwerpberekening!J25),0))/Ontwerpberekening!$A$2</f>
        <v>0</v>
      </c>
      <c r="G192" s="77">
        <f>(IF(Ontwerpberekening!E25="Nieuwe Situatie",(_xlfn.IFNA(VLOOKUP(Referentie_Fossiele_Energie_Totaal48[[#This Row],[Product]]&amp;", "&amp;Referentie_Fossiele_Energie_Totaal48[[#Headers],[A3]],Database_Productkaarten[#All],51,FALSE),0)*Ontwerpberekening!J25),0))/Ontwerpberekening!$A$2</f>
        <v>0</v>
      </c>
      <c r="H192" s="77">
        <f>(IF(Ontwerpberekening!E25="Nieuwe Situatie",(_xlfn.IFNA(VLOOKUP(Referentie_Fossiele_Energie_Totaal48[[#This Row],[Product]]&amp;", "&amp;Referentie_Fossiele_Energie_Totaal48[[#Headers],[A1-A3]],Database_Productkaarten[#All],51,FALSE),0)*Ontwerpberekening!J25),0))/Ontwerpberekening!$A$2</f>
        <v>0</v>
      </c>
      <c r="I192" s="77">
        <f>(IF(Ontwerpberekening!E25="Nieuwe Situatie",(_xlfn.IFNA(VLOOKUP(Referentie_Fossiele_Energie_Totaal48[[#This Row],[Product]]&amp;", "&amp;Referentie_Fossiele_Energie_Totaal48[[#Headers],[A4]],Database_Productkaarten[#All],51,FALSE),0)*Ontwerpberekening!R25),0))/Ontwerpberekening!$A$2</f>
        <v>0</v>
      </c>
      <c r="J192" s="77">
        <f>(IF(Ontwerpberekening!E25="Nieuwe Situatie",(_xlfn.IFNA(VLOOKUP(Referentie_Fossiele_Energie_Totaal48[[#This Row],[Product]]&amp;", "&amp;Referentie_Fossiele_Energie_Totaal48[[#Headers],[A5]],Database_Productkaarten[#All],51,FALSE),0)*Ontwerpberekening!J25),0))/Ontwerpberekening!$A$2</f>
        <v>0</v>
      </c>
      <c r="K192" s="77">
        <f>(IF(Ontwerpberekening!E25="Nieuwe Situatie",(_xlfn.IFNA(VLOOKUP(Referentie_Fossiele_Energie_Totaal48[[#This Row],[Product]]&amp;", "&amp;Referentie_Fossiele_Energie_Totaal48[[#Headers],[B1]],Database_Productkaarten[#All],51,FALSE),0)*Ontwerpberekening!J25),0))/Ontwerpberekening!$A$2</f>
        <v>0</v>
      </c>
      <c r="L192" s="77">
        <f>(IF(Ontwerpberekening!E25="Nieuwe Situatie",(_xlfn.IFNA(VLOOKUP(Referentie_Fossiele_Energie_Totaal48[[#This Row],[Product]]&amp;", "&amp;Referentie_Fossiele_Energie_Totaal48[[#Headers],[B3]],Database_Productkaarten[#All],51,FALSE),0)*Ontwerpberekening!J25),0))/Ontwerpberekening!$A$2</f>
        <v>0</v>
      </c>
      <c r="M192" s="77">
        <f>(IF(Ontwerpberekening!E25="Nieuwe Situatie",(SUM(Referentie_Fossiele_Energie_Totaal48[[#This Row],[A1]:[B1]],Referentie_Fossiele_Energie_Totaal48[[#This Row],[C1]:[D2]])*Ontwerpberekening!N25),0))/Ontwerpberekening!$A$2</f>
        <v>0</v>
      </c>
      <c r="N192" s="77">
        <f>(IF(Ontwerpberekening!E25="Bestaande Situatie",(_xlfn.IFNA(VLOOKUP(Referentie_Fossiele_Energie_Totaal48[[#This Row],[Product]]&amp;", "&amp;Referentie_Fossiele_Energie_Totaal48[[#Headers],[C1]],Database_Productkaarten[#All],51,FALSE),0)*Ontwerpberekening!J25),0))/Ontwerpberekening!$A$2</f>
        <v>0</v>
      </c>
      <c r="O192" s="77">
        <f>(IF(Ontwerpberekening!E25="Bestaande Situatie",(_xlfn.IFNA(VLOOKUP(Referentie_Fossiele_Energie_Totaal48[[#This Row],[Product]]&amp;", "&amp;Referentie_Fossiele_Energie_Totaal48[[#Headers],[C2]],Database_Productkaarten[#All],51,FALSE),0)*Ontwerpberekening!R25),0))/Ontwerpberekening!$A$2</f>
        <v>0</v>
      </c>
      <c r="P192" s="77">
        <f>(IF(Ontwerpberekening!E25="Bestaande Situatie",(_xlfn.IFNA(VLOOKUP(Referentie_Fossiele_Energie_Totaal48[[#This Row],[Product]]&amp;", "&amp;Referentie_Fossiele_Energie_Totaal48[[#Headers],[C3]],Database_Productkaarten[#All],51,FALSE),0)*Ontwerpberekening!J25),0))/Ontwerpberekening!$A$2</f>
        <v>0</v>
      </c>
      <c r="Q192" s="77">
        <f>(IF(Ontwerpberekening!E25="Bestaande Situatie",(_xlfn.IFNA(VLOOKUP(Referentie_Fossiele_Energie_Totaal48[[#This Row],[Product]]&amp;", "&amp;Referentie_Fossiele_Energie_Totaal48[[#Headers],[C4]],Database_Productkaarten[#All],51,FALSE),0)*Ontwerpberekening!J25),0))/Ontwerpberekening!$A$2</f>
        <v>64.75</v>
      </c>
      <c r="R192" s="77">
        <f>(IF(Ontwerpberekening!E25="Bestaande Situatie",(_xlfn.IFNA(VLOOKUP(Referentie_Fossiele_Energie_Totaal48[[#This Row],[Product]]&amp;", "&amp;Referentie_Fossiele_Energie_Totaal48[[#Headers],[D1]],Database_Productkaarten[#All],51,FALSE),0)*Ontwerpberekening!J25),0))/Ontwerpberekening!$A$2</f>
        <v>0</v>
      </c>
      <c r="S192" s="78">
        <f>(IF(Ontwerpberekening!E25="Bestaande Situatie",(_xlfn.IFNA(VLOOKUP(Referentie_Fossiele_Energie_Totaal48[[#This Row],[Product]]&amp;", "&amp;Referentie_Fossiele_Energie_Totaal48[[#Headers],[D2]],Database_Productkaarten[#All],51,FALSE),0)*Ontwerpberekening!J25),0))/Ontwerpberekening!$A$2</f>
        <v>0</v>
      </c>
      <c r="T192" s="57">
        <f>(IF(Ontwerpberekening!E25="Bestaande Situatie",(_xlfn.IFNA(VLOOKUP(Referentie_Fossiele_Energie_Totaal48[[#This Row],[Product]]&amp;", "&amp;Referentie_Fossiele_Energie_Totaal48[[#Headers],[D]],Database_Productkaarten[#All],51,FALSE),0)*Ontwerpberekening!J25),0))/Ontwerpberekening!$A$2</f>
        <v>-2152.5</v>
      </c>
      <c r="U192" s="56">
        <f>SUM(Referentie_Fossiele_Energie_Totaal48[[#This Row],[A1-A3]:[C4]])+Referentie_Fossiele_Energie_Totaal48[[#This Row],[D]]</f>
        <v>-2087.75</v>
      </c>
    </row>
    <row r="193" spans="2:21">
      <c r="B193" s="51" t="str">
        <f>Ontwerpberekening!B26</f>
        <v>Plastic kratten</v>
      </c>
      <c r="C193" s="51" t="str">
        <f>Ontwerpberekening!C26</f>
        <v>Toplaag</v>
      </c>
      <c r="D193" s="76" t="str">
        <f>Ontwerpberekening!G26</f>
        <v>Betonstraatsteen 210x105x80</v>
      </c>
      <c r="E193" s="77">
        <f>(IF(Ontwerpberekening!E26="Nieuwe Situatie",(_xlfn.IFNA(VLOOKUP(Referentie_Fossiele_Energie_Totaal48[[#This Row],[Product]]&amp;", "&amp;Referentie_Fossiele_Energie_Totaal48[[#Headers],[A1]],Database_Productkaarten[#All],51,FALSE),0)*Ontwerpberekening!J26),0))/Ontwerpberekening!$A$2</f>
        <v>0</v>
      </c>
      <c r="F193" s="77">
        <f>(IF(Ontwerpberekening!E26="Nieuwe Situatie",(_xlfn.IFNA(VLOOKUP(Referentie_Fossiele_Energie_Totaal48[[#This Row],[Product]]&amp;", "&amp;Referentie_Fossiele_Energie_Totaal48[[#Headers],[A2]],Database_Productkaarten[#All],51,FALSE),0)*Ontwerpberekening!J26),0))/Ontwerpberekening!$A$2</f>
        <v>0</v>
      </c>
      <c r="G193" s="77">
        <f>(IF(Ontwerpberekening!E26="Nieuwe Situatie",(_xlfn.IFNA(VLOOKUP(Referentie_Fossiele_Energie_Totaal48[[#This Row],[Product]]&amp;", "&amp;Referentie_Fossiele_Energie_Totaal48[[#Headers],[A3]],Database_Productkaarten[#All],51,FALSE),0)*Ontwerpberekening!J26),0))/Ontwerpberekening!$A$2</f>
        <v>0</v>
      </c>
      <c r="H193" s="77">
        <f>(IF(Ontwerpberekening!E26="Nieuwe Situatie",(_xlfn.IFNA(VLOOKUP(Referentie_Fossiele_Energie_Totaal48[[#This Row],[Product]]&amp;", "&amp;Referentie_Fossiele_Energie_Totaal48[[#Headers],[A1-A3]],Database_Productkaarten[#All],51,FALSE),0)*Ontwerpberekening!J26),0))/Ontwerpberekening!$A$2</f>
        <v>0</v>
      </c>
      <c r="I193" s="77">
        <f>(IF(Ontwerpberekening!E26="Nieuwe Situatie",(_xlfn.IFNA(VLOOKUP(Referentie_Fossiele_Energie_Totaal48[[#This Row],[Product]]&amp;", "&amp;Referentie_Fossiele_Energie_Totaal48[[#Headers],[A4]],Database_Productkaarten[#All],51,FALSE),0)*Ontwerpberekening!R26),0))/Ontwerpberekening!$A$2</f>
        <v>0</v>
      </c>
      <c r="J193" s="77">
        <f>(IF(Ontwerpberekening!E26="Nieuwe Situatie",(_xlfn.IFNA(VLOOKUP(Referentie_Fossiele_Energie_Totaal48[[#This Row],[Product]]&amp;", "&amp;Referentie_Fossiele_Energie_Totaal48[[#Headers],[A5]],Database_Productkaarten[#All],51,FALSE),0)*Ontwerpberekening!J26),0))/Ontwerpberekening!$A$2</f>
        <v>0</v>
      </c>
      <c r="K193" s="77">
        <f>(IF(Ontwerpberekening!E26="Nieuwe Situatie",(_xlfn.IFNA(VLOOKUP(Referentie_Fossiele_Energie_Totaal48[[#This Row],[Product]]&amp;", "&amp;Referentie_Fossiele_Energie_Totaal48[[#Headers],[B1]],Database_Productkaarten[#All],51,FALSE),0)*Ontwerpberekening!J26),0))/Ontwerpberekening!$A$2</f>
        <v>0</v>
      </c>
      <c r="L193" s="77">
        <f>(IF(Ontwerpberekening!E26="Nieuwe Situatie",(_xlfn.IFNA(VLOOKUP(Referentie_Fossiele_Energie_Totaal48[[#This Row],[Product]]&amp;", "&amp;Referentie_Fossiele_Energie_Totaal48[[#Headers],[B3]],Database_Productkaarten[#All],51,FALSE),0)*Ontwerpberekening!J26),0))/Ontwerpberekening!$A$2</f>
        <v>0</v>
      </c>
      <c r="M193" s="77">
        <f>(IF(Ontwerpberekening!E26="Nieuwe Situatie",(SUM(Referentie_Fossiele_Energie_Totaal48[[#This Row],[A1]:[B1]],Referentie_Fossiele_Energie_Totaal48[[#This Row],[C1]:[D2]])*Ontwerpberekening!N26),0))/Ontwerpberekening!$A$2</f>
        <v>0</v>
      </c>
      <c r="N193" s="77">
        <f>(IF(Ontwerpberekening!E26="Bestaande Situatie",(_xlfn.IFNA(VLOOKUP(Referentie_Fossiele_Energie_Totaal48[[#This Row],[Product]]&amp;", "&amp;Referentie_Fossiele_Energie_Totaal48[[#Headers],[C1]],Database_Productkaarten[#All],51,FALSE),0)*Ontwerpberekening!J26),0))/Ontwerpberekening!$A$2</f>
        <v>4604.2567500000005</v>
      </c>
      <c r="O193" s="77">
        <f>(IF(Ontwerpberekening!E26="Bestaande Situatie",(_xlfn.IFNA(VLOOKUP(Referentie_Fossiele_Energie_Totaal48[[#This Row],[Product]]&amp;", "&amp;Referentie_Fossiele_Energie_Totaal48[[#Headers],[C2]],Database_Productkaarten[#All],51,FALSE),0)*Ontwerpberekening!R26),0))/Ontwerpberekening!$A$2</f>
        <v>1764.9536256000001</v>
      </c>
      <c r="P193" s="77">
        <f>(IF(Ontwerpberekening!E26="Bestaande Situatie",(_xlfn.IFNA(VLOOKUP(Referentie_Fossiele_Energie_Totaal48[[#This Row],[Product]]&amp;", "&amp;Referentie_Fossiele_Energie_Totaal48[[#Headers],[C3]],Database_Productkaarten[#All],51,FALSE),0)*Ontwerpberekening!J26),0))/Ontwerpberekening!$A$2</f>
        <v>2237.2098000000001</v>
      </c>
      <c r="Q193" s="77">
        <f>(IF(Ontwerpberekening!E26="Bestaande Situatie",(_xlfn.IFNA(VLOOKUP(Referentie_Fossiele_Energie_Totaal48[[#This Row],[Product]]&amp;", "&amp;Referentie_Fossiele_Energie_Totaal48[[#Headers],[C4]],Database_Productkaarten[#All],51,FALSE),0)*Ontwerpberekening!J26),0))/Ontwerpberekening!$A$2</f>
        <v>145.83498</v>
      </c>
      <c r="R193" s="77">
        <f>(IF(Ontwerpberekening!E26="Bestaande Situatie",(_xlfn.IFNA(VLOOKUP(Referentie_Fossiele_Energie_Totaal48[[#This Row],[Product]]&amp;", "&amp;Referentie_Fossiele_Energie_Totaal48[[#Headers],[D1]],Database_Productkaarten[#All],51,FALSE),0)*Ontwerpberekening!J26),0))/Ontwerpberekening!$A$2</f>
        <v>0</v>
      </c>
      <c r="S193" s="78">
        <f>(IF(Ontwerpberekening!E26="Bestaande Situatie",(_xlfn.IFNA(VLOOKUP(Referentie_Fossiele_Energie_Totaal48[[#This Row],[Product]]&amp;", "&amp;Referentie_Fossiele_Energie_Totaal48[[#Headers],[D2]],Database_Productkaarten[#All],51,FALSE),0)*Ontwerpberekening!J26),0))/Ontwerpberekening!$A$2</f>
        <v>0</v>
      </c>
      <c r="T193" s="57">
        <f>(IF(Ontwerpberekening!E26="Bestaande Situatie",(_xlfn.IFNA(VLOOKUP(Referentie_Fossiele_Energie_Totaal48[[#This Row],[Product]]&amp;", "&amp;Referentie_Fossiele_Energie_Totaal48[[#Headers],[D]],Database_Productkaarten[#All],51,FALSE),0)*Ontwerpberekening!J26),0))/Ontwerpberekening!$A$2</f>
        <v>-5180.0905000000002</v>
      </c>
      <c r="U193" s="56">
        <f>SUM(Referentie_Fossiele_Energie_Totaal48[[#This Row],[A1-A3]:[C4]])+Referentie_Fossiele_Energie_Totaal48[[#This Row],[D]]</f>
        <v>3572.1646555999996</v>
      </c>
    </row>
    <row r="194" spans="2:21">
      <c r="B194" s="51" t="str">
        <f>Ontwerpberekening!B27</f>
        <v>Rockwool</v>
      </c>
      <c r="C194" s="51" t="str">
        <f>Ontwerpberekening!C27</f>
        <v>Grondontgraving</v>
      </c>
      <c r="D194" s="76" t="str">
        <f>Ontwerpberekening!G27</f>
        <v>Ophoogmateriaal (Grond)</v>
      </c>
      <c r="E194" s="77">
        <f>(IF(Ontwerpberekening!E27="Nieuwe Situatie",(_xlfn.IFNA(VLOOKUP(Referentie_Fossiele_Energie_Totaal48[[#This Row],[Product]]&amp;", "&amp;Referentie_Fossiele_Energie_Totaal48[[#Headers],[A1]],Database_Productkaarten[#All],51,FALSE),0)*Ontwerpberekening!J27),0))/Ontwerpberekening!$A$2</f>
        <v>0</v>
      </c>
      <c r="F194" s="77">
        <f>(IF(Ontwerpberekening!E27="Nieuwe Situatie",(_xlfn.IFNA(VLOOKUP(Referentie_Fossiele_Energie_Totaal48[[#This Row],[Product]]&amp;", "&amp;Referentie_Fossiele_Energie_Totaal48[[#Headers],[A2]],Database_Productkaarten[#All],51,FALSE),0)*Ontwerpberekening!J27),0))/Ontwerpberekening!$A$2</f>
        <v>0</v>
      </c>
      <c r="G194" s="77">
        <f>(IF(Ontwerpberekening!E27="Nieuwe Situatie",(_xlfn.IFNA(VLOOKUP(Referentie_Fossiele_Energie_Totaal48[[#This Row],[Product]]&amp;", "&amp;Referentie_Fossiele_Energie_Totaal48[[#Headers],[A3]],Database_Productkaarten[#All],51,FALSE),0)*Ontwerpberekening!J27),0))/Ontwerpberekening!$A$2</f>
        <v>0</v>
      </c>
      <c r="H194" s="77">
        <f>(IF(Ontwerpberekening!E27="Nieuwe Situatie",(_xlfn.IFNA(VLOOKUP(Referentie_Fossiele_Energie_Totaal48[[#This Row],[Product]]&amp;", "&amp;Referentie_Fossiele_Energie_Totaal48[[#Headers],[A1-A3]],Database_Productkaarten[#All],51,FALSE),0)*Ontwerpberekening!J27),0))/Ontwerpberekening!$A$2</f>
        <v>0</v>
      </c>
      <c r="I194" s="77">
        <f>(IF(Ontwerpberekening!E27="Nieuwe Situatie",(_xlfn.IFNA(VLOOKUP(Referentie_Fossiele_Energie_Totaal48[[#This Row],[Product]]&amp;", "&amp;Referentie_Fossiele_Energie_Totaal48[[#Headers],[A4]],Database_Productkaarten[#All],51,FALSE),0)*Ontwerpberekening!R27),0))/Ontwerpberekening!$A$2</f>
        <v>0</v>
      </c>
      <c r="J194" s="77">
        <f>(IF(Ontwerpberekening!E27="Nieuwe Situatie",(_xlfn.IFNA(VLOOKUP(Referentie_Fossiele_Energie_Totaal48[[#This Row],[Product]]&amp;", "&amp;Referentie_Fossiele_Energie_Totaal48[[#Headers],[A5]],Database_Productkaarten[#All],51,FALSE),0)*Ontwerpberekening!J27),0))/Ontwerpberekening!$A$2</f>
        <v>0</v>
      </c>
      <c r="K194" s="77">
        <f>(IF(Ontwerpberekening!E27="Nieuwe Situatie",(_xlfn.IFNA(VLOOKUP(Referentie_Fossiele_Energie_Totaal48[[#This Row],[Product]]&amp;", "&amp;Referentie_Fossiele_Energie_Totaal48[[#Headers],[B1]],Database_Productkaarten[#All],51,FALSE),0)*Ontwerpberekening!J27),0))/Ontwerpberekening!$A$2</f>
        <v>0</v>
      </c>
      <c r="L194" s="77">
        <f>(IF(Ontwerpberekening!E27="Nieuwe Situatie",(_xlfn.IFNA(VLOOKUP(Referentie_Fossiele_Energie_Totaal48[[#This Row],[Product]]&amp;", "&amp;Referentie_Fossiele_Energie_Totaal48[[#Headers],[B3]],Database_Productkaarten[#All],51,FALSE),0)*Ontwerpberekening!J27),0))/Ontwerpberekening!$A$2</f>
        <v>0</v>
      </c>
      <c r="M194" s="77">
        <f>(IF(Ontwerpberekening!E27="Nieuwe Situatie",(SUM(Referentie_Fossiele_Energie_Totaal48[[#This Row],[A1]:[B1]],Referentie_Fossiele_Energie_Totaal48[[#This Row],[C1]:[D2]])*Ontwerpberekening!N27),0))/Ontwerpberekening!$A$2</f>
        <v>0</v>
      </c>
      <c r="N194" s="77">
        <f>(IF(Ontwerpberekening!E27="Bestaande Situatie",(_xlfn.IFNA(VLOOKUP(Referentie_Fossiele_Energie_Totaal48[[#This Row],[Product]]&amp;", "&amp;Referentie_Fossiele_Energie_Totaal48[[#Headers],[C1]],Database_Productkaarten[#All],51,FALSE),0)*Ontwerpberekening!J27),0))/Ontwerpberekening!$A$2</f>
        <v>0</v>
      </c>
      <c r="O194" s="77">
        <f>(IF(Ontwerpberekening!E27="Bestaande Situatie",(_xlfn.IFNA(VLOOKUP(Referentie_Fossiele_Energie_Totaal48[[#This Row],[Product]]&amp;", "&amp;Referentie_Fossiele_Energie_Totaal48[[#Headers],[C2]],Database_Productkaarten[#All],51,FALSE),0)*Ontwerpberekening!R27),0))/Ontwerpberekening!$A$2</f>
        <v>0</v>
      </c>
      <c r="P194" s="77">
        <f>(IF(Ontwerpberekening!E27="Bestaande Situatie",(_xlfn.IFNA(VLOOKUP(Referentie_Fossiele_Energie_Totaal48[[#This Row],[Product]]&amp;", "&amp;Referentie_Fossiele_Energie_Totaal48[[#Headers],[C3]],Database_Productkaarten[#All],51,FALSE),0)*Ontwerpberekening!J27),0))/Ontwerpberekening!$A$2</f>
        <v>0</v>
      </c>
      <c r="Q194" s="77">
        <f>(IF(Ontwerpberekening!E27="Bestaande Situatie",(_xlfn.IFNA(VLOOKUP(Referentie_Fossiele_Energie_Totaal48[[#This Row],[Product]]&amp;", "&amp;Referentie_Fossiele_Energie_Totaal48[[#Headers],[C4]],Database_Productkaarten[#All],51,FALSE),0)*Ontwerpberekening!J27),0))/Ontwerpberekening!$A$2</f>
        <v>1372</v>
      </c>
      <c r="R194" s="77">
        <f>(IF(Ontwerpberekening!E27="Bestaande Situatie",(_xlfn.IFNA(VLOOKUP(Referentie_Fossiele_Energie_Totaal48[[#This Row],[Product]]&amp;", "&amp;Referentie_Fossiele_Energie_Totaal48[[#Headers],[D1]],Database_Productkaarten[#All],51,FALSE),0)*Ontwerpberekening!J27),0))/Ontwerpberekening!$A$2</f>
        <v>0</v>
      </c>
      <c r="S194" s="78">
        <f>(IF(Ontwerpberekening!E27="Bestaande Situatie",(_xlfn.IFNA(VLOOKUP(Referentie_Fossiele_Energie_Totaal48[[#This Row],[Product]]&amp;", "&amp;Referentie_Fossiele_Energie_Totaal48[[#Headers],[D2]],Database_Productkaarten[#All],51,FALSE),0)*Ontwerpberekening!J27),0))/Ontwerpberekening!$A$2</f>
        <v>0</v>
      </c>
      <c r="T194" s="57">
        <f>(IF(Ontwerpberekening!E27="Bestaande Situatie",(_xlfn.IFNA(VLOOKUP(Referentie_Fossiele_Energie_Totaal48[[#This Row],[Product]]&amp;", "&amp;Referentie_Fossiele_Energie_Totaal48[[#Headers],[D]],Database_Productkaarten[#All],51,FALSE),0)*Ontwerpberekening!J27),0))/Ontwerpberekening!$A$2</f>
        <v>0</v>
      </c>
      <c r="U194" s="56">
        <f>SUM(Referentie_Fossiele_Energie_Totaal48[[#This Row],[A1-A3]:[C4]])+Referentie_Fossiele_Energie_Totaal48[[#This Row],[D]]</f>
        <v>1372</v>
      </c>
    </row>
    <row r="195" spans="2:21">
      <c r="B195" s="51" t="str">
        <f>Ontwerpberekening!B28</f>
        <v>Rockwool</v>
      </c>
      <c r="C195" s="51" t="str">
        <f>Ontwerpberekening!C28</f>
        <v>Grondverbetering</v>
      </c>
      <c r="D195" s="76" t="str">
        <f>Ontwerpberekening!G28</f>
        <v>Ophoogmateriaal (Zand)</v>
      </c>
      <c r="E195" s="77">
        <f>(IF(Ontwerpberekening!E28="Nieuwe Situatie",(_xlfn.IFNA(VLOOKUP(Referentie_Fossiele_Energie_Totaal48[[#This Row],[Product]]&amp;", "&amp;Referentie_Fossiele_Energie_Totaal48[[#Headers],[A1]],Database_Productkaarten[#All],51,FALSE),0)*Ontwerpberekening!J28),0))/Ontwerpberekening!$A$2</f>
        <v>0</v>
      </c>
      <c r="F195" s="77">
        <f>(IF(Ontwerpberekening!E28="Nieuwe Situatie",(_xlfn.IFNA(VLOOKUP(Referentie_Fossiele_Energie_Totaal48[[#This Row],[Product]]&amp;", "&amp;Referentie_Fossiele_Energie_Totaal48[[#Headers],[A2]],Database_Productkaarten[#All],51,FALSE),0)*Ontwerpberekening!J28),0))/Ontwerpberekening!$A$2</f>
        <v>0</v>
      </c>
      <c r="G195" s="77">
        <f>(IF(Ontwerpberekening!E28="Nieuwe Situatie",(_xlfn.IFNA(VLOOKUP(Referentie_Fossiele_Energie_Totaal48[[#This Row],[Product]]&amp;", "&amp;Referentie_Fossiele_Energie_Totaal48[[#Headers],[A3]],Database_Productkaarten[#All],51,FALSE),0)*Ontwerpberekening!J28),0))/Ontwerpberekening!$A$2</f>
        <v>0</v>
      </c>
      <c r="H195" s="77">
        <f>(IF(Ontwerpberekening!E28="Nieuwe Situatie",(_xlfn.IFNA(VLOOKUP(Referentie_Fossiele_Energie_Totaal48[[#This Row],[Product]]&amp;", "&amp;Referentie_Fossiele_Energie_Totaal48[[#Headers],[A1-A3]],Database_Productkaarten[#All],51,FALSE),0)*Ontwerpberekening!J28),0))/Ontwerpberekening!$A$2</f>
        <v>6725</v>
      </c>
      <c r="I195" s="77">
        <f>(IF(Ontwerpberekening!E28="Nieuwe Situatie",(_xlfn.IFNA(VLOOKUP(Referentie_Fossiele_Energie_Totaal48[[#This Row],[Product]]&amp;", "&amp;Referentie_Fossiele_Energie_Totaal48[[#Headers],[A4]],Database_Productkaarten[#All],51,FALSE),0)*Ontwerpberekening!R28),0))/Ontwerpberekening!$A$2</f>
        <v>0</v>
      </c>
      <c r="J195" s="77">
        <f>(IF(Ontwerpberekening!E28="Nieuwe Situatie",(_xlfn.IFNA(VLOOKUP(Referentie_Fossiele_Energie_Totaal48[[#This Row],[Product]]&amp;", "&amp;Referentie_Fossiele_Energie_Totaal48[[#Headers],[A5]],Database_Productkaarten[#All],51,FALSE),0)*Ontwerpberekening!J28),0))/Ontwerpberekening!$A$2</f>
        <v>0</v>
      </c>
      <c r="K195" s="77">
        <f>(IF(Ontwerpberekening!E28="Nieuwe Situatie",(_xlfn.IFNA(VLOOKUP(Referentie_Fossiele_Energie_Totaal48[[#This Row],[Product]]&amp;", "&amp;Referentie_Fossiele_Energie_Totaal48[[#Headers],[B1]],Database_Productkaarten[#All],51,FALSE),0)*Ontwerpberekening!J28),0))/Ontwerpberekening!$A$2</f>
        <v>0</v>
      </c>
      <c r="L195" s="77">
        <f>(IF(Ontwerpberekening!E28="Nieuwe Situatie",(_xlfn.IFNA(VLOOKUP(Referentie_Fossiele_Energie_Totaal48[[#This Row],[Product]]&amp;", "&amp;Referentie_Fossiele_Energie_Totaal48[[#Headers],[B3]],Database_Productkaarten[#All],51,FALSE),0)*Ontwerpberekening!J28),0))/Ontwerpberekening!$A$2</f>
        <v>0</v>
      </c>
      <c r="M195" s="77">
        <f>(IF(Ontwerpberekening!E28="Nieuwe Situatie",(SUM(Referentie_Fossiele_Energie_Totaal48[[#This Row],[A1]:[B1]],Referentie_Fossiele_Energie_Totaal48[[#This Row],[C1]:[D2]])*Ontwerpberekening!N28),0))/Ontwerpberekening!$A$2</f>
        <v>336.25</v>
      </c>
      <c r="N195" s="77">
        <f>(IF(Ontwerpberekening!E28="Bestaande Situatie",(_xlfn.IFNA(VLOOKUP(Referentie_Fossiele_Energie_Totaal48[[#This Row],[Product]]&amp;", "&amp;Referentie_Fossiele_Energie_Totaal48[[#Headers],[C1]],Database_Productkaarten[#All],51,FALSE),0)*Ontwerpberekening!J28),0))/Ontwerpberekening!$A$2</f>
        <v>0</v>
      </c>
      <c r="O195" s="77">
        <f>(IF(Ontwerpberekening!E28="Bestaande Situatie",(_xlfn.IFNA(VLOOKUP(Referentie_Fossiele_Energie_Totaal48[[#This Row],[Product]]&amp;", "&amp;Referentie_Fossiele_Energie_Totaal48[[#Headers],[C2]],Database_Productkaarten[#All],51,FALSE),0)*Ontwerpberekening!R28),0))/Ontwerpberekening!$A$2</f>
        <v>0</v>
      </c>
      <c r="P195" s="77">
        <f>(IF(Ontwerpberekening!E28="Bestaande Situatie",(_xlfn.IFNA(VLOOKUP(Referentie_Fossiele_Energie_Totaal48[[#This Row],[Product]]&amp;", "&amp;Referentie_Fossiele_Energie_Totaal48[[#Headers],[C3]],Database_Productkaarten[#All],51,FALSE),0)*Ontwerpberekening!J28),0))/Ontwerpberekening!$A$2</f>
        <v>0</v>
      </c>
      <c r="Q195" s="77">
        <f>(IF(Ontwerpberekening!E28="Bestaande Situatie",(_xlfn.IFNA(VLOOKUP(Referentie_Fossiele_Energie_Totaal48[[#This Row],[Product]]&amp;", "&amp;Referentie_Fossiele_Energie_Totaal48[[#Headers],[C4]],Database_Productkaarten[#All],51,FALSE),0)*Ontwerpberekening!J28),0))/Ontwerpberekening!$A$2</f>
        <v>0</v>
      </c>
      <c r="R195" s="77">
        <f>(IF(Ontwerpberekening!E28="Bestaande Situatie",(_xlfn.IFNA(VLOOKUP(Referentie_Fossiele_Energie_Totaal48[[#This Row],[Product]]&amp;", "&amp;Referentie_Fossiele_Energie_Totaal48[[#Headers],[D1]],Database_Productkaarten[#All],51,FALSE),0)*Ontwerpberekening!J28),0))/Ontwerpberekening!$A$2</f>
        <v>0</v>
      </c>
      <c r="S195" s="78">
        <f>(IF(Ontwerpberekening!E28="Bestaande Situatie",(_xlfn.IFNA(VLOOKUP(Referentie_Fossiele_Energie_Totaal48[[#This Row],[Product]]&amp;", "&amp;Referentie_Fossiele_Energie_Totaal48[[#Headers],[D2]],Database_Productkaarten[#All],51,FALSE),0)*Ontwerpberekening!J28),0))/Ontwerpberekening!$A$2</f>
        <v>0</v>
      </c>
      <c r="T195" s="57">
        <f>(IF(Ontwerpberekening!E28="Bestaande Situatie",(_xlfn.IFNA(VLOOKUP(Referentie_Fossiele_Energie_Totaal48[[#This Row],[Product]]&amp;", "&amp;Referentie_Fossiele_Energie_Totaal48[[#Headers],[D]],Database_Productkaarten[#All],51,FALSE),0)*Ontwerpberekening!J28),0))/Ontwerpberekening!$A$2</f>
        <v>0</v>
      </c>
      <c r="U195" s="56">
        <f>SUM(Referentie_Fossiele_Energie_Totaal48[[#This Row],[A1-A3]:[C4]])+Referentie_Fossiele_Energie_Totaal48[[#This Row],[D]]</f>
        <v>7061.25</v>
      </c>
    </row>
    <row r="196" spans="2:21">
      <c r="B196" s="51" t="str">
        <f>Ontwerpberekening!B29</f>
        <v>Rockwool</v>
      </c>
      <c r="C196" s="51" t="str">
        <f>Ontwerpberekening!C29</f>
        <v>Waterbergendelaag</v>
      </c>
      <c r="D196" s="76" t="str">
        <f>Ontwerpberekening!G29</f>
        <v>Rockwool, 50 cm</v>
      </c>
      <c r="E196" s="77">
        <f>(IF(Ontwerpberekening!E29="Nieuwe Situatie",(_xlfn.IFNA(VLOOKUP(Referentie_Fossiele_Energie_Totaal48[[#This Row],[Product]]&amp;", "&amp;Referentie_Fossiele_Energie_Totaal48[[#Headers],[A1]],Database_Productkaarten[#All],51,FALSE),0)*Ontwerpberekening!J29),0))/Ontwerpberekening!$A$2</f>
        <v>0</v>
      </c>
      <c r="F196" s="77">
        <f>(IF(Ontwerpberekening!E29="Nieuwe Situatie",(_xlfn.IFNA(VLOOKUP(Referentie_Fossiele_Energie_Totaal48[[#This Row],[Product]]&amp;", "&amp;Referentie_Fossiele_Energie_Totaal48[[#Headers],[A2]],Database_Productkaarten[#All],51,FALSE),0)*Ontwerpberekening!J29),0))/Ontwerpberekening!$A$2</f>
        <v>0</v>
      </c>
      <c r="G196" s="77">
        <f>(IF(Ontwerpberekening!E29="Nieuwe Situatie",(_xlfn.IFNA(VLOOKUP(Referentie_Fossiele_Energie_Totaal48[[#This Row],[Product]]&amp;", "&amp;Referentie_Fossiele_Energie_Totaal48[[#Headers],[A3]],Database_Productkaarten[#All],51,FALSE),0)*Ontwerpberekening!J29),0))/Ontwerpberekening!$A$2</f>
        <v>0</v>
      </c>
      <c r="H196" s="77">
        <f>(IF(Ontwerpberekening!E29="Nieuwe Situatie",(_xlfn.IFNA(VLOOKUP(Referentie_Fossiele_Energie_Totaal48[[#This Row],[Product]]&amp;", "&amp;Referentie_Fossiele_Energie_Totaal48[[#Headers],[A1-A3]],Database_Productkaarten[#All],51,FALSE),0)*Ontwerpberekening!J29),0))/Ontwerpberekening!$A$2</f>
        <v>0</v>
      </c>
      <c r="I196" s="77">
        <f>(IF(Ontwerpberekening!E29="Nieuwe Situatie",(_xlfn.IFNA(VLOOKUP(Referentie_Fossiele_Energie_Totaal48[[#This Row],[Product]]&amp;", "&amp;Referentie_Fossiele_Energie_Totaal48[[#Headers],[A4]],Database_Productkaarten[#All],51,FALSE),0)*Ontwerpberekening!R29),0))/Ontwerpberekening!$A$2</f>
        <v>0</v>
      </c>
      <c r="J196" s="77">
        <f>(IF(Ontwerpberekening!E29="Nieuwe Situatie",(_xlfn.IFNA(VLOOKUP(Referentie_Fossiele_Energie_Totaal48[[#This Row],[Product]]&amp;", "&amp;Referentie_Fossiele_Energie_Totaal48[[#Headers],[A5]],Database_Productkaarten[#All],51,FALSE),0)*Ontwerpberekening!J29),0))/Ontwerpberekening!$A$2</f>
        <v>0</v>
      </c>
      <c r="K196" s="77">
        <f>(IF(Ontwerpberekening!E29="Nieuwe Situatie",(_xlfn.IFNA(VLOOKUP(Referentie_Fossiele_Energie_Totaal48[[#This Row],[Product]]&amp;", "&amp;Referentie_Fossiele_Energie_Totaal48[[#Headers],[B1]],Database_Productkaarten[#All],51,FALSE),0)*Ontwerpberekening!J29),0))/Ontwerpberekening!$A$2</f>
        <v>0</v>
      </c>
      <c r="L196" s="77">
        <f>(IF(Ontwerpberekening!E29="Nieuwe Situatie",(_xlfn.IFNA(VLOOKUP(Referentie_Fossiele_Energie_Totaal48[[#This Row],[Product]]&amp;", "&amp;Referentie_Fossiele_Energie_Totaal48[[#Headers],[B3]],Database_Productkaarten[#All],51,FALSE),0)*Ontwerpberekening!J29),0))/Ontwerpberekening!$A$2</f>
        <v>0</v>
      </c>
      <c r="M196" s="77">
        <f>(IF(Ontwerpberekening!E29="Nieuwe Situatie",(SUM(Referentie_Fossiele_Energie_Totaal48[[#This Row],[A1]:[B1]],Referentie_Fossiele_Energie_Totaal48[[#This Row],[C1]:[D2]])*Ontwerpberekening!N29),0))/Ontwerpberekening!$A$2</f>
        <v>0</v>
      </c>
      <c r="N196" s="77">
        <f>(IF(Ontwerpberekening!E29="Bestaande Situatie",(_xlfn.IFNA(VLOOKUP(Referentie_Fossiele_Energie_Totaal48[[#This Row],[Product]]&amp;", "&amp;Referentie_Fossiele_Energie_Totaal48[[#Headers],[C1]],Database_Productkaarten[#All],51,FALSE),0)*Ontwerpberekening!J29),0))/Ontwerpberekening!$A$2</f>
        <v>0</v>
      </c>
      <c r="O196" s="77">
        <f>(IF(Ontwerpberekening!E29="Bestaande Situatie",(_xlfn.IFNA(VLOOKUP(Referentie_Fossiele_Energie_Totaal48[[#This Row],[Product]]&amp;", "&amp;Referentie_Fossiele_Energie_Totaal48[[#Headers],[C2]],Database_Productkaarten[#All],51,FALSE),0)*Ontwerpberekening!R29),0))/Ontwerpberekening!$A$2</f>
        <v>0</v>
      </c>
      <c r="P196" s="77">
        <f>(IF(Ontwerpberekening!E29="Bestaande Situatie",(_xlfn.IFNA(VLOOKUP(Referentie_Fossiele_Energie_Totaal48[[#This Row],[Product]]&amp;", "&amp;Referentie_Fossiele_Energie_Totaal48[[#Headers],[C3]],Database_Productkaarten[#All],51,FALSE),0)*Ontwerpberekening!J29),0))/Ontwerpberekening!$A$2</f>
        <v>0</v>
      </c>
      <c r="Q196" s="77">
        <f>(IF(Ontwerpberekening!E29="Bestaande Situatie",(_xlfn.IFNA(VLOOKUP(Referentie_Fossiele_Energie_Totaal48[[#This Row],[Product]]&amp;", "&amp;Referentie_Fossiele_Energie_Totaal48[[#Headers],[C4]],Database_Productkaarten[#All],51,FALSE),0)*Ontwerpberekening!J29),0))/Ontwerpberekening!$A$2</f>
        <v>0</v>
      </c>
      <c r="R196" s="77">
        <f>(IF(Ontwerpberekening!E29="Bestaande Situatie",(_xlfn.IFNA(VLOOKUP(Referentie_Fossiele_Energie_Totaal48[[#This Row],[Product]]&amp;", "&amp;Referentie_Fossiele_Energie_Totaal48[[#Headers],[D1]],Database_Productkaarten[#All],51,FALSE),0)*Ontwerpberekening!J29),0))/Ontwerpberekening!$A$2</f>
        <v>0</v>
      </c>
      <c r="S196" s="79">
        <f>(IF(Ontwerpberekening!E29="Bestaande Situatie",(_xlfn.IFNA(VLOOKUP(Referentie_Fossiele_Energie_Totaal48[[#This Row],[Product]]&amp;", "&amp;Referentie_Fossiele_Energie_Totaal48[[#Headers],[D2]],Database_Productkaarten[#All],51,FALSE),0)*Ontwerpberekening!J29),0))/Ontwerpberekening!$A$2</f>
        <v>0</v>
      </c>
      <c r="T196" s="56">
        <f>(IF(Ontwerpberekening!E29="Bestaande Situatie",(_xlfn.IFNA(VLOOKUP(Referentie_Fossiele_Energie_Totaal48[[#This Row],[Product]]&amp;", "&amp;Referentie_Fossiele_Energie_Totaal48[[#Headers],[D]],Database_Productkaarten[#All],51,FALSE),0)*Ontwerpberekening!J29),0))/Ontwerpberekening!$A$2</f>
        <v>0</v>
      </c>
      <c r="U196" s="56">
        <f>SUM(Referentie_Fossiele_Energie_Totaal48[[#This Row],[A1-A3]:[C4]])+Referentie_Fossiele_Energie_Totaal48[[#This Row],[D]]</f>
        <v>0</v>
      </c>
    </row>
    <row r="197" spans="2:21">
      <c r="B197" s="51" t="str">
        <f>Ontwerpberekening!B30</f>
        <v>Rockwool</v>
      </c>
      <c r="C197" s="51" t="str">
        <f>Ontwerpberekening!C30</f>
        <v>Menggranulaat</v>
      </c>
      <c r="D197" s="76" t="str">
        <f>Ontwerpberekening!G30</f>
        <v>Menggranulaat 300mm</v>
      </c>
      <c r="E197" s="77">
        <f>(IF(Ontwerpberekening!E30="Nieuwe Situatie",(_xlfn.IFNA(VLOOKUP(Referentie_Fossiele_Energie_Totaal48[[#This Row],[Product]]&amp;", "&amp;Referentie_Fossiele_Energie_Totaal48[[#Headers],[A1]],Database_Productkaarten[#All],51,FALSE),0)*Ontwerpberekening!J30),0))/Ontwerpberekening!$A$2</f>
        <v>0</v>
      </c>
      <c r="F197" s="77">
        <f>(IF(Ontwerpberekening!E30="Nieuwe Situatie",(_xlfn.IFNA(VLOOKUP(Referentie_Fossiele_Energie_Totaal48[[#This Row],[Product]]&amp;", "&amp;Referentie_Fossiele_Energie_Totaal48[[#Headers],[A2]],Database_Productkaarten[#All],51,FALSE),0)*Ontwerpberekening!J30),0))/Ontwerpberekening!$A$2</f>
        <v>0</v>
      </c>
      <c r="G197" s="77">
        <f>(IF(Ontwerpberekening!E30="Nieuwe Situatie",(_xlfn.IFNA(VLOOKUP(Referentie_Fossiele_Energie_Totaal48[[#This Row],[Product]]&amp;", "&amp;Referentie_Fossiele_Energie_Totaal48[[#Headers],[A3]],Database_Productkaarten[#All],51,FALSE),0)*Ontwerpberekening!J30),0))/Ontwerpberekening!$A$2</f>
        <v>0</v>
      </c>
      <c r="H197" s="77">
        <f>(IF(Ontwerpberekening!E30="Nieuwe Situatie",(_xlfn.IFNA(VLOOKUP(Referentie_Fossiele_Energie_Totaal48[[#This Row],[Product]]&amp;", "&amp;Referentie_Fossiele_Energie_Totaal48[[#Headers],[A1-A3]],Database_Productkaarten[#All],51,FALSE),0)*Ontwerpberekening!J30),0))/Ontwerpberekening!$A$2</f>
        <v>0</v>
      </c>
      <c r="I197" s="77">
        <f>(IF(Ontwerpberekening!E30="Nieuwe Situatie",(_xlfn.IFNA(VLOOKUP(Referentie_Fossiele_Energie_Totaal48[[#This Row],[Product]]&amp;", "&amp;Referentie_Fossiele_Energie_Totaal48[[#Headers],[A4]],Database_Productkaarten[#All],51,FALSE),0)*Ontwerpberekening!R30),0))/Ontwerpberekening!$A$2</f>
        <v>12489.75</v>
      </c>
      <c r="J197" s="77">
        <f>(IF(Ontwerpberekening!E30="Nieuwe Situatie",(_xlfn.IFNA(VLOOKUP(Referentie_Fossiele_Energie_Totaal48[[#This Row],[Product]]&amp;", "&amp;Referentie_Fossiele_Energie_Totaal48[[#Headers],[A5]],Database_Productkaarten[#All],51,FALSE),0)*Ontwerpberekening!J30),0))/Ontwerpberekening!$A$2</f>
        <v>15450</v>
      </c>
      <c r="K197" s="77">
        <f>(IF(Ontwerpberekening!E30="Nieuwe Situatie",(_xlfn.IFNA(VLOOKUP(Referentie_Fossiele_Energie_Totaal48[[#This Row],[Product]]&amp;", "&amp;Referentie_Fossiele_Energie_Totaal48[[#Headers],[B1]],Database_Productkaarten[#All],51,FALSE),0)*Ontwerpberekening!J30),0))/Ontwerpberekening!$A$2</f>
        <v>0</v>
      </c>
      <c r="L197" s="77">
        <f>(IF(Ontwerpberekening!E30="Nieuwe Situatie",(_xlfn.IFNA(VLOOKUP(Referentie_Fossiele_Energie_Totaal48[[#This Row],[Product]]&amp;", "&amp;Referentie_Fossiele_Energie_Totaal48[[#Headers],[B3]],Database_Productkaarten[#All],51,FALSE),0)*Ontwerpberekening!J30),0))/Ontwerpberekening!$A$2</f>
        <v>0</v>
      </c>
      <c r="M197" s="77">
        <f>(IF(Ontwerpberekening!E30="Nieuwe Situatie",(SUM(Referentie_Fossiele_Energie_Totaal48[[#This Row],[A1]:[B1]],Referentie_Fossiele_Energie_Totaal48[[#This Row],[C1]:[D2]])*Ontwerpberekening!N30),0))/Ontwerpberekening!$A$2</f>
        <v>8381.9249999999993</v>
      </c>
      <c r="N197" s="77">
        <f>(IF(Ontwerpberekening!E30="Bestaande Situatie",(_xlfn.IFNA(VLOOKUP(Referentie_Fossiele_Energie_Totaal48[[#This Row],[Product]]&amp;", "&amp;Referentie_Fossiele_Energie_Totaal48[[#Headers],[C1]],Database_Productkaarten[#All],51,FALSE),0)*Ontwerpberekening!J30),0))/Ontwerpberekening!$A$2</f>
        <v>0</v>
      </c>
      <c r="O197" s="77">
        <f>(IF(Ontwerpberekening!E30="Bestaande Situatie",(_xlfn.IFNA(VLOOKUP(Referentie_Fossiele_Energie_Totaal48[[#This Row],[Product]]&amp;", "&amp;Referentie_Fossiele_Energie_Totaal48[[#Headers],[C2]],Database_Productkaarten[#All],51,FALSE),0)*Ontwerpberekening!R30),0))/Ontwerpberekening!$A$2</f>
        <v>0</v>
      </c>
      <c r="P197" s="77">
        <f>(IF(Ontwerpberekening!E30="Bestaande Situatie",(_xlfn.IFNA(VLOOKUP(Referentie_Fossiele_Energie_Totaal48[[#This Row],[Product]]&amp;", "&amp;Referentie_Fossiele_Energie_Totaal48[[#Headers],[C3]],Database_Productkaarten[#All],51,FALSE),0)*Ontwerpberekening!J30),0))/Ontwerpberekening!$A$2</f>
        <v>0</v>
      </c>
      <c r="Q197" s="77">
        <f>(IF(Ontwerpberekening!E30="Bestaande Situatie",(_xlfn.IFNA(VLOOKUP(Referentie_Fossiele_Energie_Totaal48[[#This Row],[Product]]&amp;", "&amp;Referentie_Fossiele_Energie_Totaal48[[#Headers],[C4]],Database_Productkaarten[#All],51,FALSE),0)*Ontwerpberekening!J30),0))/Ontwerpberekening!$A$2</f>
        <v>0</v>
      </c>
      <c r="R197" s="77">
        <f>(IF(Ontwerpberekening!E30="Bestaande Situatie",(_xlfn.IFNA(VLOOKUP(Referentie_Fossiele_Energie_Totaal48[[#This Row],[Product]]&amp;", "&amp;Referentie_Fossiele_Energie_Totaal48[[#Headers],[D1]],Database_Productkaarten[#All],51,FALSE),0)*Ontwerpberekening!J30),0))/Ontwerpberekening!$A$2</f>
        <v>0</v>
      </c>
      <c r="S197" s="78">
        <f>(IF(Ontwerpberekening!E30="Bestaande Situatie",(_xlfn.IFNA(VLOOKUP(Referentie_Fossiele_Energie_Totaal48[[#This Row],[Product]]&amp;", "&amp;Referentie_Fossiele_Energie_Totaal48[[#Headers],[D2]],Database_Productkaarten[#All],51,FALSE),0)*Ontwerpberekening!J30),0))/Ontwerpberekening!$A$2</f>
        <v>0</v>
      </c>
      <c r="T197" s="57">
        <f>(IF(Ontwerpberekening!E30="Bestaande Situatie",(_xlfn.IFNA(VLOOKUP(Referentie_Fossiele_Energie_Totaal48[[#This Row],[Product]]&amp;", "&amp;Referentie_Fossiele_Energie_Totaal48[[#Headers],[D]],Database_Productkaarten[#All],51,FALSE),0)*Ontwerpberekening!J30),0))/Ontwerpberekening!$A$2</f>
        <v>0</v>
      </c>
      <c r="U197" s="56">
        <f>SUM(Referentie_Fossiele_Energie_Totaal48[[#This Row],[A1-A3]:[C4]])+Referentie_Fossiele_Energie_Totaal48[[#This Row],[D]]</f>
        <v>36321.675000000003</v>
      </c>
    </row>
    <row r="198" spans="2:21">
      <c r="B198" s="51" t="str">
        <f>Ontwerpberekening!B31</f>
        <v>Rockwool</v>
      </c>
      <c r="C198" s="51" t="str">
        <f>Ontwerpberekening!C31</f>
        <v>Straatlaag</v>
      </c>
      <c r="D198" s="76" t="str">
        <f>Ontwerpberekening!G31</f>
        <v>Ophoogmateriaal (Zand)</v>
      </c>
      <c r="E198" s="77">
        <f>(IF(Ontwerpberekening!E31="Nieuwe Situatie",(_xlfn.IFNA(VLOOKUP(Referentie_Fossiele_Energie_Totaal48[[#This Row],[Product]]&amp;", "&amp;Referentie_Fossiele_Energie_Totaal48[[#Headers],[A1]],Database_Productkaarten[#All],51,FALSE),0)*Ontwerpberekening!J31),0))/Ontwerpberekening!$A$2</f>
        <v>0</v>
      </c>
      <c r="F198" s="77">
        <f>(IF(Ontwerpberekening!E31="Nieuwe Situatie",(_xlfn.IFNA(VLOOKUP(Referentie_Fossiele_Energie_Totaal48[[#This Row],[Product]]&amp;", "&amp;Referentie_Fossiele_Energie_Totaal48[[#Headers],[A2]],Database_Productkaarten[#All],51,FALSE),0)*Ontwerpberekening!J31),0))/Ontwerpberekening!$A$2</f>
        <v>0</v>
      </c>
      <c r="G198" s="77">
        <f>(IF(Ontwerpberekening!E31="Nieuwe Situatie",(_xlfn.IFNA(VLOOKUP(Referentie_Fossiele_Energie_Totaal48[[#This Row],[Product]]&amp;", "&amp;Referentie_Fossiele_Energie_Totaal48[[#Headers],[A3]],Database_Productkaarten[#All],51,FALSE),0)*Ontwerpberekening!J31),0))/Ontwerpberekening!$A$2</f>
        <v>0</v>
      </c>
      <c r="H198" s="77">
        <f>(IF(Ontwerpberekening!E31="Nieuwe Situatie",(_xlfn.IFNA(VLOOKUP(Referentie_Fossiele_Energie_Totaal48[[#This Row],[Product]]&amp;", "&amp;Referentie_Fossiele_Energie_Totaal48[[#Headers],[A1-A3]],Database_Productkaarten[#All],51,FALSE),0)*Ontwerpberekening!J31),0))/Ontwerpberekening!$A$2</f>
        <v>6725</v>
      </c>
      <c r="I198" s="77">
        <f>(IF(Ontwerpberekening!E31="Nieuwe Situatie",(_xlfn.IFNA(VLOOKUP(Referentie_Fossiele_Energie_Totaal48[[#This Row],[Product]]&amp;", "&amp;Referentie_Fossiele_Energie_Totaal48[[#Headers],[A4]],Database_Productkaarten[#All],51,FALSE),0)*Ontwerpberekening!R31),0))/Ontwerpberekening!$A$2</f>
        <v>0</v>
      </c>
      <c r="J198" s="77">
        <f>(IF(Ontwerpberekening!E31="Nieuwe Situatie",(_xlfn.IFNA(VLOOKUP(Referentie_Fossiele_Energie_Totaal48[[#This Row],[Product]]&amp;", "&amp;Referentie_Fossiele_Energie_Totaal48[[#Headers],[A5]],Database_Productkaarten[#All],51,FALSE),0)*Ontwerpberekening!J31),0))/Ontwerpberekening!$A$2</f>
        <v>0</v>
      </c>
      <c r="K198" s="77">
        <f>(IF(Ontwerpberekening!E31="Nieuwe Situatie",(_xlfn.IFNA(VLOOKUP(Referentie_Fossiele_Energie_Totaal48[[#This Row],[Product]]&amp;", "&amp;Referentie_Fossiele_Energie_Totaal48[[#Headers],[B1]],Database_Productkaarten[#All],51,FALSE),0)*Ontwerpberekening!J31),0))/Ontwerpberekening!$A$2</f>
        <v>0</v>
      </c>
      <c r="L198" s="77">
        <f>(IF(Ontwerpberekening!E31="Nieuwe Situatie",(_xlfn.IFNA(VLOOKUP(Referentie_Fossiele_Energie_Totaal48[[#This Row],[Product]]&amp;", "&amp;Referentie_Fossiele_Energie_Totaal48[[#Headers],[B3]],Database_Productkaarten[#All],51,FALSE),0)*Ontwerpberekening!J31),0))/Ontwerpberekening!$A$2</f>
        <v>0</v>
      </c>
      <c r="M198" s="77">
        <f>(IF(Ontwerpberekening!E31="Nieuwe Situatie",(SUM(Referentie_Fossiele_Energie_Totaal48[[#This Row],[A1]:[B1]],Referentie_Fossiele_Energie_Totaal48[[#This Row],[C1]:[D2]])*Ontwerpberekening!N31),0))/Ontwerpberekening!$A$2</f>
        <v>336.25</v>
      </c>
      <c r="N198" s="77">
        <f>(IF(Ontwerpberekening!E31="Bestaande Situatie",(_xlfn.IFNA(VLOOKUP(Referentie_Fossiele_Energie_Totaal48[[#This Row],[Product]]&amp;", "&amp;Referentie_Fossiele_Energie_Totaal48[[#Headers],[C1]],Database_Productkaarten[#All],51,FALSE),0)*Ontwerpberekening!J31),0))/Ontwerpberekening!$A$2</f>
        <v>0</v>
      </c>
      <c r="O198" s="77">
        <f>(IF(Ontwerpberekening!E31="Bestaande Situatie",(_xlfn.IFNA(VLOOKUP(Referentie_Fossiele_Energie_Totaal48[[#This Row],[Product]]&amp;", "&amp;Referentie_Fossiele_Energie_Totaal48[[#Headers],[C2]],Database_Productkaarten[#All],51,FALSE),0)*Ontwerpberekening!R31),0))/Ontwerpberekening!$A$2</f>
        <v>0</v>
      </c>
      <c r="P198" s="77">
        <f>(IF(Ontwerpberekening!E31="Bestaande Situatie",(_xlfn.IFNA(VLOOKUP(Referentie_Fossiele_Energie_Totaal48[[#This Row],[Product]]&amp;", "&amp;Referentie_Fossiele_Energie_Totaal48[[#Headers],[C3]],Database_Productkaarten[#All],51,FALSE),0)*Ontwerpberekening!J31),0))/Ontwerpberekening!$A$2</f>
        <v>0</v>
      </c>
      <c r="Q198" s="77">
        <f>(IF(Ontwerpberekening!E31="Bestaande Situatie",(_xlfn.IFNA(VLOOKUP(Referentie_Fossiele_Energie_Totaal48[[#This Row],[Product]]&amp;", "&amp;Referentie_Fossiele_Energie_Totaal48[[#Headers],[C4]],Database_Productkaarten[#All],51,FALSE),0)*Ontwerpberekening!J31),0))/Ontwerpberekening!$A$2</f>
        <v>0</v>
      </c>
      <c r="R198" s="77">
        <f>(IF(Ontwerpberekening!E31="Bestaande Situatie",(_xlfn.IFNA(VLOOKUP(Referentie_Fossiele_Energie_Totaal48[[#This Row],[Product]]&amp;", "&amp;Referentie_Fossiele_Energie_Totaal48[[#Headers],[D1]],Database_Productkaarten[#All],51,FALSE),0)*Ontwerpberekening!J31),0))/Ontwerpberekening!$A$2</f>
        <v>0</v>
      </c>
      <c r="S198" s="78">
        <f>(IF(Ontwerpberekening!E31="Bestaande Situatie",(_xlfn.IFNA(VLOOKUP(Referentie_Fossiele_Energie_Totaal48[[#This Row],[Product]]&amp;", "&amp;Referentie_Fossiele_Energie_Totaal48[[#Headers],[D2]],Database_Productkaarten[#All],51,FALSE),0)*Ontwerpberekening!J31),0))/Ontwerpberekening!$A$2</f>
        <v>0</v>
      </c>
      <c r="T198" s="57">
        <f>(IF(Ontwerpberekening!E31="Bestaande Situatie",(_xlfn.IFNA(VLOOKUP(Referentie_Fossiele_Energie_Totaal48[[#This Row],[Product]]&amp;", "&amp;Referentie_Fossiele_Energie_Totaal48[[#Headers],[D]],Database_Productkaarten[#All],51,FALSE),0)*Ontwerpberekening!J31),0))/Ontwerpberekening!$A$2</f>
        <v>0</v>
      </c>
      <c r="U198" s="56">
        <f>SUM(Referentie_Fossiele_Energie_Totaal48[[#This Row],[A1-A3]:[C4]])+Referentie_Fossiele_Energie_Totaal48[[#This Row],[D]]</f>
        <v>7061.25</v>
      </c>
    </row>
    <row r="199" spans="2:21">
      <c r="B199" s="51" t="str">
        <f>Ontwerpberekening!B32</f>
        <v>Rockwool</v>
      </c>
      <c r="C199" s="51" t="str">
        <f>Ontwerpberekening!C32</f>
        <v>Toplaag</v>
      </c>
      <c r="D199" s="76" t="str">
        <f>Ontwerpberekening!G32</f>
        <v>Betonstraatsteen 210x105x80</v>
      </c>
      <c r="E199" s="77">
        <f>(IF(Ontwerpberekening!E32="Nieuwe Situatie",(_xlfn.IFNA(VLOOKUP(Referentie_Fossiele_Energie_Totaal48[[#This Row],[Product]]&amp;", "&amp;Referentie_Fossiele_Energie_Totaal48[[#Headers],[A1]],Database_Productkaarten[#All],51,FALSE),0)*Ontwerpberekening!J32),0))/Ontwerpberekening!$A$2</f>
        <v>61919.19</v>
      </c>
      <c r="F199" s="77">
        <f>(IF(Ontwerpberekening!E32="Nieuwe Situatie",(_xlfn.IFNA(VLOOKUP(Referentie_Fossiele_Energie_Totaal48[[#This Row],[Product]]&amp;", "&amp;Referentie_Fossiele_Energie_Totaal48[[#Headers],[A2]],Database_Productkaarten[#All],51,FALSE),0)*Ontwerpberekening!J32),0))/Ontwerpberekening!$A$2</f>
        <v>7931.2264999999998</v>
      </c>
      <c r="G199" s="77">
        <f>(IF(Ontwerpberekening!E32="Nieuwe Situatie",(_xlfn.IFNA(VLOOKUP(Referentie_Fossiele_Energie_Totaal48[[#This Row],[Product]]&amp;", "&amp;Referentie_Fossiele_Energie_Totaal48[[#Headers],[A3]],Database_Productkaarten[#All],51,FALSE),0)*Ontwerpberekening!J32),0))/Ontwerpberekening!$A$2</f>
        <v>9575.9699999999993</v>
      </c>
      <c r="H199" s="77">
        <f>(IF(Ontwerpberekening!E32="Nieuwe Situatie",(_xlfn.IFNA(VLOOKUP(Referentie_Fossiele_Energie_Totaal48[[#This Row],[Product]]&amp;", "&amp;Referentie_Fossiele_Energie_Totaal48[[#Headers],[A1-A3]],Database_Productkaarten[#All],51,FALSE),0)*Ontwerpberekening!J32),0))/Ontwerpberekening!$A$2</f>
        <v>79426.386499999993</v>
      </c>
      <c r="I199" s="77">
        <f>(IF(Ontwerpberekening!E32="Nieuwe Situatie",(_xlfn.IFNA(VLOOKUP(Referentie_Fossiele_Energie_Totaal48[[#This Row],[Product]]&amp;", "&amp;Referentie_Fossiele_Energie_Totaal48[[#Headers],[A4]],Database_Productkaarten[#All],51,FALSE),0)*Ontwerpberekening!R32),0))/Ontwerpberekening!$A$2</f>
        <v>5242.4366246000009</v>
      </c>
      <c r="J199" s="77">
        <f>(IF(Ontwerpberekening!E32="Nieuwe Situatie",(_xlfn.IFNA(VLOOKUP(Referentie_Fossiele_Energie_Totaal48[[#This Row],[Product]]&amp;", "&amp;Referentie_Fossiele_Energie_Totaal48[[#Headers],[A5]],Database_Productkaarten[#All],51,FALSE),0)*Ontwerpberekening!J32),0))/Ontwerpberekening!$A$2</f>
        <v>8073.6364999999996</v>
      </c>
      <c r="K199" s="77">
        <f>(IF(Ontwerpberekening!E32="Nieuwe Situatie",(_xlfn.IFNA(VLOOKUP(Referentie_Fossiele_Energie_Totaal48[[#This Row],[Product]]&amp;", "&amp;Referentie_Fossiele_Energie_Totaal48[[#Headers],[B1]],Database_Productkaarten[#All],51,FALSE),0)*Ontwerpberekening!J32),0))/Ontwerpberekening!$A$2</f>
        <v>0</v>
      </c>
      <c r="L199" s="77">
        <f>(IF(Ontwerpberekening!E32="Nieuwe Situatie",(_xlfn.IFNA(VLOOKUP(Referentie_Fossiele_Energie_Totaal48[[#This Row],[Product]]&amp;", "&amp;Referentie_Fossiele_Energie_Totaal48[[#Headers],[B3]],Database_Productkaarten[#All],51,FALSE),0)*Ontwerpberekening!J32),0))/Ontwerpberekening!$A$2</f>
        <v>0</v>
      </c>
      <c r="M199" s="77">
        <f>(IF(Ontwerpberekening!E32="Nieuwe Situatie",(SUM(Referentie_Fossiele_Energie_Totaal48[[#This Row],[A1]:[B1]],Referentie_Fossiele_Energie_Totaal48[[#This Row],[C1]:[D2]])*Ontwerpberekening!N32),0))/Ontwerpberekening!$A$2</f>
        <v>13773.507689967999</v>
      </c>
      <c r="N199" s="77">
        <f>(IF(Ontwerpberekening!E32="Bestaande Situatie",(_xlfn.IFNA(VLOOKUP(Referentie_Fossiele_Energie_Totaal48[[#This Row],[Product]]&amp;", "&amp;Referentie_Fossiele_Energie_Totaal48[[#Headers],[C1]],Database_Productkaarten[#All],51,FALSE),0)*Ontwerpberekening!J32),0))/Ontwerpberekening!$A$2</f>
        <v>0</v>
      </c>
      <c r="O199" s="77">
        <f>(IF(Ontwerpberekening!E32="Bestaande Situatie",(_xlfn.IFNA(VLOOKUP(Referentie_Fossiele_Energie_Totaal48[[#This Row],[Product]]&amp;", "&amp;Referentie_Fossiele_Energie_Totaal48[[#Headers],[C2]],Database_Productkaarten[#All],51,FALSE),0)*Ontwerpberekening!R32),0))/Ontwerpberekening!$A$2</f>
        <v>0</v>
      </c>
      <c r="P199" s="77">
        <f>(IF(Ontwerpberekening!E32="Bestaande Situatie",(_xlfn.IFNA(VLOOKUP(Referentie_Fossiele_Energie_Totaal48[[#This Row],[Product]]&amp;", "&amp;Referentie_Fossiele_Energie_Totaal48[[#Headers],[C3]],Database_Productkaarten[#All],51,FALSE),0)*Ontwerpberekening!J32),0))/Ontwerpberekening!$A$2</f>
        <v>0</v>
      </c>
      <c r="Q199" s="77">
        <f>(IF(Ontwerpberekening!E32="Bestaande Situatie",(_xlfn.IFNA(VLOOKUP(Referentie_Fossiele_Energie_Totaal48[[#This Row],[Product]]&amp;", "&amp;Referentie_Fossiele_Energie_Totaal48[[#Headers],[C4]],Database_Productkaarten[#All],51,FALSE),0)*Ontwerpberekening!J32),0))/Ontwerpberekening!$A$2</f>
        <v>0</v>
      </c>
      <c r="R199" s="77">
        <f>(IF(Ontwerpberekening!E32="Bestaande Situatie",(_xlfn.IFNA(VLOOKUP(Referentie_Fossiele_Energie_Totaal48[[#This Row],[Product]]&amp;", "&amp;Referentie_Fossiele_Energie_Totaal48[[#Headers],[D1]],Database_Productkaarten[#All],51,FALSE),0)*Ontwerpberekening!J32),0))/Ontwerpberekening!$A$2</f>
        <v>0</v>
      </c>
      <c r="S199" s="78">
        <f>(IF(Ontwerpberekening!E32="Bestaande Situatie",(_xlfn.IFNA(VLOOKUP(Referentie_Fossiele_Energie_Totaal48[[#This Row],[Product]]&amp;", "&amp;Referentie_Fossiele_Energie_Totaal48[[#Headers],[D2]],Database_Productkaarten[#All],51,FALSE),0)*Ontwerpberekening!J32),0))/Ontwerpberekening!$A$2</f>
        <v>0</v>
      </c>
      <c r="T199" s="57">
        <f>(IF(Ontwerpberekening!E32="Bestaande Situatie",(_xlfn.IFNA(VLOOKUP(Referentie_Fossiele_Energie_Totaal48[[#This Row],[Product]]&amp;", "&amp;Referentie_Fossiele_Energie_Totaal48[[#Headers],[D]],Database_Productkaarten[#All],51,FALSE),0)*Ontwerpberekening!J32),0))/Ontwerpberekening!$A$2</f>
        <v>0</v>
      </c>
      <c r="U199" s="56">
        <f>SUM(Referentie_Fossiele_Energie_Totaal48[[#This Row],[A1-A3]:[C4]])+Referentie_Fossiele_Energie_Totaal48[[#This Row],[D]]</f>
        <v>106515.96731456798</v>
      </c>
    </row>
    <row r="200" spans="2:21">
      <c r="B200" s="51" t="str">
        <f>Ontwerpberekening!B33</f>
        <v>Rockwool</v>
      </c>
      <c r="C200" s="51" t="str">
        <f>Ontwerpberekening!C33</f>
        <v>Grondverbetering</v>
      </c>
      <c r="D200" s="76" t="str">
        <f>Ontwerpberekening!G33</f>
        <v>Ophoogmateriaal (Zand)</v>
      </c>
      <c r="E200" s="77">
        <f>(IF(Ontwerpberekening!E33="Nieuwe Situatie",(_xlfn.IFNA(VLOOKUP(Referentie_Fossiele_Energie_Totaal48[[#This Row],[Product]]&amp;", "&amp;Referentie_Fossiele_Energie_Totaal48[[#Headers],[A1]],Database_Productkaarten[#All],51,FALSE),0)*Ontwerpberekening!J33),0))/Ontwerpberekening!$A$2</f>
        <v>0</v>
      </c>
      <c r="F200" s="77">
        <f>(IF(Ontwerpberekening!E33="Nieuwe Situatie",(_xlfn.IFNA(VLOOKUP(Referentie_Fossiele_Energie_Totaal48[[#This Row],[Product]]&amp;", "&amp;Referentie_Fossiele_Energie_Totaal48[[#Headers],[A2]],Database_Productkaarten[#All],51,FALSE),0)*Ontwerpberekening!J33),0))/Ontwerpberekening!$A$2</f>
        <v>0</v>
      </c>
      <c r="G200" s="77">
        <f>(IF(Ontwerpberekening!E33="Nieuwe Situatie",(_xlfn.IFNA(VLOOKUP(Referentie_Fossiele_Energie_Totaal48[[#This Row],[Product]]&amp;", "&amp;Referentie_Fossiele_Energie_Totaal48[[#Headers],[A3]],Database_Productkaarten[#All],51,FALSE),0)*Ontwerpberekening!J33),0))/Ontwerpberekening!$A$2</f>
        <v>0</v>
      </c>
      <c r="H200" s="77">
        <f>(IF(Ontwerpberekening!E33="Nieuwe Situatie",(_xlfn.IFNA(VLOOKUP(Referentie_Fossiele_Energie_Totaal48[[#This Row],[Product]]&amp;", "&amp;Referentie_Fossiele_Energie_Totaal48[[#Headers],[A1-A3]],Database_Productkaarten[#All],51,FALSE),0)*Ontwerpberekening!J33),0))/Ontwerpberekening!$A$2</f>
        <v>0</v>
      </c>
      <c r="I200" s="77">
        <f>(IF(Ontwerpberekening!E33="Nieuwe Situatie",(_xlfn.IFNA(VLOOKUP(Referentie_Fossiele_Energie_Totaal48[[#This Row],[Product]]&amp;", "&amp;Referentie_Fossiele_Energie_Totaal48[[#Headers],[A4]],Database_Productkaarten[#All],51,FALSE),0)*Ontwerpberekening!R33),0))/Ontwerpberekening!$A$2</f>
        <v>0</v>
      </c>
      <c r="J200" s="77">
        <f>(IF(Ontwerpberekening!E33="Nieuwe Situatie",(_xlfn.IFNA(VLOOKUP(Referentie_Fossiele_Energie_Totaal48[[#This Row],[Product]]&amp;", "&amp;Referentie_Fossiele_Energie_Totaal48[[#Headers],[A5]],Database_Productkaarten[#All],51,FALSE),0)*Ontwerpberekening!J33),0))/Ontwerpberekening!$A$2</f>
        <v>0</v>
      </c>
      <c r="K200" s="77">
        <f>(IF(Ontwerpberekening!E33="Nieuwe Situatie",(_xlfn.IFNA(VLOOKUP(Referentie_Fossiele_Energie_Totaal48[[#This Row],[Product]]&amp;", "&amp;Referentie_Fossiele_Energie_Totaal48[[#Headers],[B1]],Database_Productkaarten[#All],51,FALSE),0)*Ontwerpberekening!J33),0))/Ontwerpberekening!$A$2</f>
        <v>0</v>
      </c>
      <c r="L200" s="77">
        <f>(IF(Ontwerpberekening!E33="Nieuwe Situatie",(_xlfn.IFNA(VLOOKUP(Referentie_Fossiele_Energie_Totaal48[[#This Row],[Product]]&amp;", "&amp;Referentie_Fossiele_Energie_Totaal48[[#Headers],[B3]],Database_Productkaarten[#All],51,FALSE),0)*Ontwerpberekening!J33),0))/Ontwerpberekening!$A$2</f>
        <v>0</v>
      </c>
      <c r="M200" s="77">
        <f>(IF(Ontwerpberekening!E33="Nieuwe Situatie",(SUM(Referentie_Fossiele_Energie_Totaal48[[#This Row],[A1]:[B1]],Referentie_Fossiele_Energie_Totaal48[[#This Row],[C1]:[D2]])*Ontwerpberekening!N33),0))/Ontwerpberekening!$A$2</f>
        <v>0</v>
      </c>
      <c r="N200" s="77">
        <f>(IF(Ontwerpberekening!E33="Bestaande Situatie",(_xlfn.IFNA(VLOOKUP(Referentie_Fossiele_Energie_Totaal48[[#This Row],[Product]]&amp;", "&amp;Referentie_Fossiele_Energie_Totaal48[[#Headers],[C1]],Database_Productkaarten[#All],51,FALSE),0)*Ontwerpberekening!J33),0))/Ontwerpberekening!$A$2</f>
        <v>0</v>
      </c>
      <c r="O200" s="77">
        <f>(IF(Ontwerpberekening!E33="Bestaande Situatie",(_xlfn.IFNA(VLOOKUP(Referentie_Fossiele_Energie_Totaal48[[#This Row],[Product]]&amp;", "&amp;Referentie_Fossiele_Energie_Totaal48[[#Headers],[C2]],Database_Productkaarten[#All],51,FALSE),0)*Ontwerpberekening!R33),0))/Ontwerpberekening!$A$2</f>
        <v>0</v>
      </c>
      <c r="P200" s="77">
        <f>(IF(Ontwerpberekening!E33="Bestaande Situatie",(_xlfn.IFNA(VLOOKUP(Referentie_Fossiele_Energie_Totaal48[[#This Row],[Product]]&amp;", "&amp;Referentie_Fossiele_Energie_Totaal48[[#Headers],[C3]],Database_Productkaarten[#All],51,FALSE),0)*Ontwerpberekening!J33),0))/Ontwerpberekening!$A$2</f>
        <v>0</v>
      </c>
      <c r="Q200" s="77">
        <f>(IF(Ontwerpberekening!E33="Bestaande Situatie",(_xlfn.IFNA(VLOOKUP(Referentie_Fossiele_Energie_Totaal48[[#This Row],[Product]]&amp;", "&amp;Referentie_Fossiele_Energie_Totaal48[[#Headers],[C4]],Database_Productkaarten[#All],51,FALSE),0)*Ontwerpberekening!J33),0))/Ontwerpberekening!$A$2</f>
        <v>64.75</v>
      </c>
      <c r="R200" s="77">
        <f>(IF(Ontwerpberekening!E33="Bestaande Situatie",(_xlfn.IFNA(VLOOKUP(Referentie_Fossiele_Energie_Totaal48[[#This Row],[Product]]&amp;", "&amp;Referentie_Fossiele_Energie_Totaal48[[#Headers],[D1]],Database_Productkaarten[#All],51,FALSE),0)*Ontwerpberekening!J33),0))/Ontwerpberekening!$A$2</f>
        <v>0</v>
      </c>
      <c r="S200" s="78">
        <f>(IF(Ontwerpberekening!E33="Bestaande Situatie",(_xlfn.IFNA(VLOOKUP(Referentie_Fossiele_Energie_Totaal48[[#This Row],[Product]]&amp;", "&amp;Referentie_Fossiele_Energie_Totaal48[[#Headers],[D2]],Database_Productkaarten[#All],51,FALSE),0)*Ontwerpberekening!J33),0))/Ontwerpberekening!$A$2</f>
        <v>0</v>
      </c>
      <c r="T200" s="57">
        <f>(IF(Ontwerpberekening!E33="Bestaande Situatie",(_xlfn.IFNA(VLOOKUP(Referentie_Fossiele_Energie_Totaal48[[#This Row],[Product]]&amp;", "&amp;Referentie_Fossiele_Energie_Totaal48[[#Headers],[D]],Database_Productkaarten[#All],51,FALSE),0)*Ontwerpberekening!J33),0))/Ontwerpberekening!$A$2</f>
        <v>-2152.5</v>
      </c>
      <c r="U200" s="56">
        <f>SUM(Referentie_Fossiele_Energie_Totaal48[[#This Row],[A1-A3]:[C4]])+Referentie_Fossiele_Energie_Totaal48[[#This Row],[D]]</f>
        <v>-2087.75</v>
      </c>
    </row>
    <row r="201" spans="2:21">
      <c r="B201" s="51" t="str">
        <f>Ontwerpberekening!B34</f>
        <v>Rockwool</v>
      </c>
      <c r="C201" s="51" t="str">
        <f>Ontwerpberekening!C34</f>
        <v>Waterbergendelaag</v>
      </c>
      <c r="D201" s="76" t="str">
        <f>Ontwerpberekening!G34</f>
        <v>Rockwool, 50 cm</v>
      </c>
      <c r="E201" s="77">
        <f>(IF(Ontwerpberekening!E34="Nieuwe Situatie",(_xlfn.IFNA(VLOOKUP(Referentie_Fossiele_Energie_Totaal48[[#This Row],[Product]]&amp;", "&amp;Referentie_Fossiele_Energie_Totaal48[[#Headers],[A1]],Database_Productkaarten[#All],51,FALSE),0)*Ontwerpberekening!J34),0))/Ontwerpberekening!$A$2</f>
        <v>0</v>
      </c>
      <c r="F201" s="77">
        <f>(IF(Ontwerpberekening!E34="Nieuwe Situatie",(_xlfn.IFNA(VLOOKUP(Referentie_Fossiele_Energie_Totaal48[[#This Row],[Product]]&amp;", "&amp;Referentie_Fossiele_Energie_Totaal48[[#Headers],[A2]],Database_Productkaarten[#All],51,FALSE),0)*Ontwerpberekening!J34),0))/Ontwerpberekening!$A$2</f>
        <v>0</v>
      </c>
      <c r="G201" s="77">
        <f>(IF(Ontwerpberekening!E34="Nieuwe Situatie",(_xlfn.IFNA(VLOOKUP(Referentie_Fossiele_Energie_Totaal48[[#This Row],[Product]]&amp;", "&amp;Referentie_Fossiele_Energie_Totaal48[[#Headers],[A3]],Database_Productkaarten[#All],51,FALSE),0)*Ontwerpberekening!J34),0))/Ontwerpberekening!$A$2</f>
        <v>0</v>
      </c>
      <c r="H201" s="77">
        <f>(IF(Ontwerpberekening!E34="Nieuwe Situatie",(_xlfn.IFNA(VLOOKUP(Referentie_Fossiele_Energie_Totaal48[[#This Row],[Product]]&amp;", "&amp;Referentie_Fossiele_Energie_Totaal48[[#Headers],[A1-A3]],Database_Productkaarten[#All],51,FALSE),0)*Ontwerpberekening!J34),0))/Ontwerpberekening!$A$2</f>
        <v>0</v>
      </c>
      <c r="I201" s="77">
        <f>(IF(Ontwerpberekening!E34="Nieuwe Situatie",(_xlfn.IFNA(VLOOKUP(Referentie_Fossiele_Energie_Totaal48[[#This Row],[Product]]&amp;", "&amp;Referentie_Fossiele_Energie_Totaal48[[#Headers],[A4]],Database_Productkaarten[#All],51,FALSE),0)*Ontwerpberekening!R34),0))/Ontwerpberekening!$A$2</f>
        <v>0</v>
      </c>
      <c r="J201" s="77">
        <f>(IF(Ontwerpberekening!E34="Nieuwe Situatie",(_xlfn.IFNA(VLOOKUP(Referentie_Fossiele_Energie_Totaal48[[#This Row],[Product]]&amp;", "&amp;Referentie_Fossiele_Energie_Totaal48[[#Headers],[A5]],Database_Productkaarten[#All],51,FALSE),0)*Ontwerpberekening!J34),0))/Ontwerpberekening!$A$2</f>
        <v>0</v>
      </c>
      <c r="K201" s="77">
        <f>(IF(Ontwerpberekening!E34="Nieuwe Situatie",(_xlfn.IFNA(VLOOKUP(Referentie_Fossiele_Energie_Totaal48[[#This Row],[Product]]&amp;", "&amp;Referentie_Fossiele_Energie_Totaal48[[#Headers],[B1]],Database_Productkaarten[#All],51,FALSE),0)*Ontwerpberekening!J34),0))/Ontwerpberekening!$A$2</f>
        <v>0</v>
      </c>
      <c r="L201" s="77">
        <f>(IF(Ontwerpberekening!E34="Nieuwe Situatie",(_xlfn.IFNA(VLOOKUP(Referentie_Fossiele_Energie_Totaal48[[#This Row],[Product]]&amp;", "&amp;Referentie_Fossiele_Energie_Totaal48[[#Headers],[B3]],Database_Productkaarten[#All],51,FALSE),0)*Ontwerpberekening!J34),0))/Ontwerpberekening!$A$2</f>
        <v>0</v>
      </c>
      <c r="M201" s="77">
        <f>(IF(Ontwerpberekening!E34="Nieuwe Situatie",(SUM(Referentie_Fossiele_Energie_Totaal48[[#This Row],[A1]:[B1]],Referentie_Fossiele_Energie_Totaal48[[#This Row],[C1]:[D2]])*Ontwerpberekening!N34),0))/Ontwerpberekening!$A$2</f>
        <v>0</v>
      </c>
      <c r="N201" s="77">
        <f>(IF(Ontwerpberekening!E34="Bestaande Situatie",(_xlfn.IFNA(VLOOKUP(Referentie_Fossiele_Energie_Totaal48[[#This Row],[Product]]&amp;", "&amp;Referentie_Fossiele_Energie_Totaal48[[#Headers],[C1]],Database_Productkaarten[#All],51,FALSE),0)*Ontwerpberekening!J34),0))/Ontwerpberekening!$A$2</f>
        <v>0</v>
      </c>
      <c r="O201" s="77">
        <f>(IF(Ontwerpberekening!E34="Bestaande Situatie",(_xlfn.IFNA(VLOOKUP(Referentie_Fossiele_Energie_Totaal48[[#This Row],[Product]]&amp;", "&amp;Referentie_Fossiele_Energie_Totaal48[[#Headers],[C2]],Database_Productkaarten[#All],51,FALSE),0)*Ontwerpberekening!R34),0))/Ontwerpberekening!$A$2</f>
        <v>0</v>
      </c>
      <c r="P201" s="77">
        <f>(IF(Ontwerpberekening!E34="Bestaande Situatie",(_xlfn.IFNA(VLOOKUP(Referentie_Fossiele_Energie_Totaal48[[#This Row],[Product]]&amp;", "&amp;Referentie_Fossiele_Energie_Totaal48[[#Headers],[C3]],Database_Productkaarten[#All],51,FALSE),0)*Ontwerpberekening!J34),0))/Ontwerpberekening!$A$2</f>
        <v>0</v>
      </c>
      <c r="Q201" s="77">
        <f>(IF(Ontwerpberekening!E34="Bestaande Situatie",(_xlfn.IFNA(VLOOKUP(Referentie_Fossiele_Energie_Totaal48[[#This Row],[Product]]&amp;", "&amp;Referentie_Fossiele_Energie_Totaal48[[#Headers],[C4]],Database_Productkaarten[#All],51,FALSE),0)*Ontwerpberekening!J34),0))/Ontwerpberekening!$A$2</f>
        <v>0</v>
      </c>
      <c r="R201" s="77">
        <f>(IF(Ontwerpberekening!E34="Bestaande Situatie",(_xlfn.IFNA(VLOOKUP(Referentie_Fossiele_Energie_Totaal48[[#This Row],[Product]]&amp;", "&amp;Referentie_Fossiele_Energie_Totaal48[[#Headers],[D1]],Database_Productkaarten[#All],51,FALSE),0)*Ontwerpberekening!J34),0))/Ontwerpberekening!$A$2</f>
        <v>0</v>
      </c>
      <c r="S201" s="79">
        <f>(IF(Ontwerpberekening!E34="Bestaande Situatie",(_xlfn.IFNA(VLOOKUP(Referentie_Fossiele_Energie_Totaal48[[#This Row],[Product]]&amp;", "&amp;Referentie_Fossiele_Energie_Totaal48[[#Headers],[D2]],Database_Productkaarten[#All],51,FALSE),0)*Ontwerpberekening!J34),0))/Ontwerpberekening!$A$2</f>
        <v>0</v>
      </c>
      <c r="T201" s="56">
        <f>(IF(Ontwerpberekening!E34="Bestaande Situatie",(_xlfn.IFNA(VLOOKUP(Referentie_Fossiele_Energie_Totaal48[[#This Row],[Product]]&amp;", "&amp;Referentie_Fossiele_Energie_Totaal48[[#Headers],[D]],Database_Productkaarten[#All],51,FALSE),0)*Ontwerpberekening!J34),0))/Ontwerpberekening!$A$2</f>
        <v>0</v>
      </c>
      <c r="U201" s="56">
        <f>SUM(Referentie_Fossiele_Energie_Totaal48[[#This Row],[A1-A3]:[C4]])+Referentie_Fossiele_Energie_Totaal48[[#This Row],[D]]</f>
        <v>0</v>
      </c>
    </row>
    <row r="202" spans="2:21">
      <c r="B202" s="51" t="str">
        <f>Ontwerpberekening!B35</f>
        <v>Rockwool</v>
      </c>
      <c r="C202" s="51" t="str">
        <f>Ontwerpberekening!C35</f>
        <v>Menggranulaat</v>
      </c>
      <c r="D202" s="76" t="str">
        <f>Ontwerpberekening!G35</f>
        <v>Menggranulaat 300mm</v>
      </c>
      <c r="E202" s="77">
        <f>(IF(Ontwerpberekening!E35="Nieuwe Situatie",(_xlfn.IFNA(VLOOKUP(Referentie_Fossiele_Energie_Totaal48[[#This Row],[Product]]&amp;", "&amp;Referentie_Fossiele_Energie_Totaal48[[#Headers],[A1]],Database_Productkaarten[#All],51,FALSE),0)*Ontwerpberekening!J35),0))/Ontwerpberekening!$A$2</f>
        <v>0</v>
      </c>
      <c r="F202" s="77">
        <f>(IF(Ontwerpberekening!E35="Nieuwe Situatie",(_xlfn.IFNA(VLOOKUP(Referentie_Fossiele_Energie_Totaal48[[#This Row],[Product]]&amp;", "&amp;Referentie_Fossiele_Energie_Totaal48[[#Headers],[A2]],Database_Productkaarten[#All],51,FALSE),0)*Ontwerpberekening!J35),0))/Ontwerpberekening!$A$2</f>
        <v>0</v>
      </c>
      <c r="G202" s="77">
        <f>(IF(Ontwerpberekening!E35="Nieuwe Situatie",(_xlfn.IFNA(VLOOKUP(Referentie_Fossiele_Energie_Totaal48[[#This Row],[Product]]&amp;", "&amp;Referentie_Fossiele_Energie_Totaal48[[#Headers],[A3]],Database_Productkaarten[#All],51,FALSE),0)*Ontwerpberekening!J35),0))/Ontwerpberekening!$A$2</f>
        <v>0</v>
      </c>
      <c r="H202" s="77">
        <f>(IF(Ontwerpberekening!E35="Nieuwe Situatie",(_xlfn.IFNA(VLOOKUP(Referentie_Fossiele_Energie_Totaal48[[#This Row],[Product]]&amp;", "&amp;Referentie_Fossiele_Energie_Totaal48[[#Headers],[A1-A3]],Database_Productkaarten[#All],51,FALSE),0)*Ontwerpberekening!J35),0))/Ontwerpberekening!$A$2</f>
        <v>0</v>
      </c>
      <c r="I202" s="77">
        <f>(IF(Ontwerpberekening!E35="Nieuwe Situatie",(_xlfn.IFNA(VLOOKUP(Referentie_Fossiele_Energie_Totaal48[[#This Row],[Product]]&amp;", "&amp;Referentie_Fossiele_Energie_Totaal48[[#Headers],[A4]],Database_Productkaarten[#All],51,FALSE),0)*Ontwerpberekening!R35),0))/Ontwerpberekening!$A$2</f>
        <v>0</v>
      </c>
      <c r="J202" s="77">
        <f>(IF(Ontwerpberekening!E35="Nieuwe Situatie",(_xlfn.IFNA(VLOOKUP(Referentie_Fossiele_Energie_Totaal48[[#This Row],[Product]]&amp;", "&amp;Referentie_Fossiele_Energie_Totaal48[[#Headers],[A5]],Database_Productkaarten[#All],51,FALSE),0)*Ontwerpberekening!J35),0))/Ontwerpberekening!$A$2</f>
        <v>0</v>
      </c>
      <c r="K202" s="77">
        <f>(IF(Ontwerpberekening!E35="Nieuwe Situatie",(_xlfn.IFNA(VLOOKUP(Referentie_Fossiele_Energie_Totaal48[[#This Row],[Product]]&amp;", "&amp;Referentie_Fossiele_Energie_Totaal48[[#Headers],[B1]],Database_Productkaarten[#All],51,FALSE),0)*Ontwerpberekening!J35),0))/Ontwerpberekening!$A$2</f>
        <v>0</v>
      </c>
      <c r="L202" s="77">
        <f>(IF(Ontwerpberekening!E35="Nieuwe Situatie",(_xlfn.IFNA(VLOOKUP(Referentie_Fossiele_Energie_Totaal48[[#This Row],[Product]]&amp;", "&amp;Referentie_Fossiele_Energie_Totaal48[[#Headers],[B3]],Database_Productkaarten[#All],51,FALSE),0)*Ontwerpberekening!J35),0))/Ontwerpberekening!$A$2</f>
        <v>0</v>
      </c>
      <c r="M202" s="77">
        <f>(IF(Ontwerpberekening!E35="Nieuwe Situatie",(SUM(Referentie_Fossiele_Energie_Totaal48[[#This Row],[A1]:[B1]],Referentie_Fossiele_Energie_Totaal48[[#This Row],[C1]:[D2]])*Ontwerpberekening!N35),0))/Ontwerpberekening!$A$2</f>
        <v>0</v>
      </c>
      <c r="N202" s="77">
        <f>(IF(Ontwerpberekening!E35="Bestaande Situatie",(_xlfn.IFNA(VLOOKUP(Referentie_Fossiele_Energie_Totaal48[[#This Row],[Product]]&amp;", "&amp;Referentie_Fossiele_Energie_Totaal48[[#Headers],[C1]],Database_Productkaarten[#All],51,FALSE),0)*Ontwerpberekening!J35),0))/Ontwerpberekening!$A$2</f>
        <v>5100</v>
      </c>
      <c r="O202" s="77">
        <f>(IF(Ontwerpberekening!E35="Bestaande Situatie",(_xlfn.IFNA(VLOOKUP(Referentie_Fossiele_Energie_Totaal48[[#This Row],[Product]]&amp;", "&amp;Referentie_Fossiele_Energie_Totaal48[[#Headers],[C2]],Database_Productkaarten[#All],51,FALSE),0)*Ontwerpberekening!R35),0))/Ontwerpberekening!$A$2</f>
        <v>12636</v>
      </c>
      <c r="P202" s="77">
        <f>(IF(Ontwerpberekening!E35="Bestaande Situatie",(_xlfn.IFNA(VLOOKUP(Referentie_Fossiele_Energie_Totaal48[[#This Row],[Product]]&amp;", "&amp;Referentie_Fossiele_Energie_Totaal48[[#Headers],[C3]],Database_Productkaarten[#All],51,FALSE),0)*Ontwerpberekening!J35),0))/Ontwerpberekening!$A$2</f>
        <v>0</v>
      </c>
      <c r="Q202" s="77">
        <f>(IF(Ontwerpberekening!E35="Bestaande Situatie",(_xlfn.IFNA(VLOOKUP(Referentie_Fossiele_Energie_Totaal48[[#This Row],[Product]]&amp;", "&amp;Referentie_Fossiele_Energie_Totaal48[[#Headers],[C4]],Database_Productkaarten[#All],51,FALSE),0)*Ontwerpberekening!J35),0))/Ontwerpberekening!$A$2</f>
        <v>505</v>
      </c>
      <c r="R202" s="77">
        <f>(IF(Ontwerpberekening!E35="Bestaande Situatie",(_xlfn.IFNA(VLOOKUP(Referentie_Fossiele_Energie_Totaal48[[#This Row],[Product]]&amp;", "&amp;Referentie_Fossiele_Energie_Totaal48[[#Headers],[D1]],Database_Productkaarten[#All],51,FALSE),0)*Ontwerpberekening!J35),0))/Ontwerpberekening!$A$2</f>
        <v>0</v>
      </c>
      <c r="S202" s="79">
        <f>(IF(Ontwerpberekening!E35="Bestaande Situatie",(_xlfn.IFNA(VLOOKUP(Referentie_Fossiele_Energie_Totaal48[[#This Row],[Product]]&amp;", "&amp;Referentie_Fossiele_Energie_Totaal48[[#Headers],[D2]],Database_Productkaarten[#All],51,FALSE),0)*Ontwerpberekening!J35),0))/Ontwerpberekening!$A$2</f>
        <v>0</v>
      </c>
      <c r="T202" s="56">
        <f>(IF(Ontwerpberekening!E35="Bestaande Situatie",(_xlfn.IFNA(VLOOKUP(Referentie_Fossiele_Energie_Totaal48[[#This Row],[Product]]&amp;", "&amp;Referentie_Fossiele_Energie_Totaal48[[#Headers],[D]],Database_Productkaarten[#All],51,FALSE),0)*Ontwerpberekening!J35),0))/Ontwerpberekening!$A$2</f>
        <v>169.5</v>
      </c>
      <c r="U202" s="56">
        <f>SUM(Referentie_Fossiele_Energie_Totaal48[[#This Row],[A1-A3]:[C4]])+Referentie_Fossiele_Energie_Totaal48[[#This Row],[D]]</f>
        <v>18410.5</v>
      </c>
    </row>
    <row r="203" spans="2:21">
      <c r="B203" s="51" t="str">
        <f>Ontwerpberekening!B36</f>
        <v>Rockwool</v>
      </c>
      <c r="C203" s="51" t="str">
        <f>Ontwerpberekening!C36</f>
        <v>Straatlaag</v>
      </c>
      <c r="D203" s="76" t="str">
        <f>Ontwerpberekening!G36</f>
        <v>Ophoogmateriaal (Zand)</v>
      </c>
      <c r="E203" s="77">
        <f>(IF(Ontwerpberekening!E36="Nieuwe Situatie",(_xlfn.IFNA(VLOOKUP(Referentie_Fossiele_Energie_Totaal48[[#This Row],[Product]]&amp;", "&amp;Referentie_Fossiele_Energie_Totaal48[[#Headers],[A1]],Database_Productkaarten[#All],51,FALSE),0)*Ontwerpberekening!J36),0))/Ontwerpberekening!$A$2</f>
        <v>0</v>
      </c>
      <c r="F203" s="77">
        <f>(IF(Ontwerpberekening!E36="Nieuwe Situatie",(_xlfn.IFNA(VLOOKUP(Referentie_Fossiele_Energie_Totaal48[[#This Row],[Product]]&amp;", "&amp;Referentie_Fossiele_Energie_Totaal48[[#Headers],[A2]],Database_Productkaarten[#All],51,FALSE),0)*Ontwerpberekening!J36),0))/Ontwerpberekening!$A$2</f>
        <v>0</v>
      </c>
      <c r="G203" s="77">
        <f>(IF(Ontwerpberekening!E36="Nieuwe Situatie",(_xlfn.IFNA(VLOOKUP(Referentie_Fossiele_Energie_Totaal48[[#This Row],[Product]]&amp;", "&amp;Referentie_Fossiele_Energie_Totaal48[[#Headers],[A3]],Database_Productkaarten[#All],51,FALSE),0)*Ontwerpberekening!J36),0))/Ontwerpberekening!$A$2</f>
        <v>0</v>
      </c>
      <c r="H203" s="77">
        <f>(IF(Ontwerpberekening!E36="Nieuwe Situatie",(_xlfn.IFNA(VLOOKUP(Referentie_Fossiele_Energie_Totaal48[[#This Row],[Product]]&amp;", "&amp;Referentie_Fossiele_Energie_Totaal48[[#Headers],[A1-A3]],Database_Productkaarten[#All],51,FALSE),0)*Ontwerpberekening!J36),0))/Ontwerpberekening!$A$2</f>
        <v>0</v>
      </c>
      <c r="I203" s="77">
        <f>(IF(Ontwerpberekening!E36="Nieuwe Situatie",(_xlfn.IFNA(VLOOKUP(Referentie_Fossiele_Energie_Totaal48[[#This Row],[Product]]&amp;", "&amp;Referentie_Fossiele_Energie_Totaal48[[#Headers],[A4]],Database_Productkaarten[#All],51,FALSE),0)*Ontwerpberekening!R36),0))/Ontwerpberekening!$A$2</f>
        <v>0</v>
      </c>
      <c r="J203" s="77">
        <f>(IF(Ontwerpberekening!E36="Nieuwe Situatie",(_xlfn.IFNA(VLOOKUP(Referentie_Fossiele_Energie_Totaal48[[#This Row],[Product]]&amp;", "&amp;Referentie_Fossiele_Energie_Totaal48[[#Headers],[A5]],Database_Productkaarten[#All],51,FALSE),0)*Ontwerpberekening!J36),0))/Ontwerpberekening!$A$2</f>
        <v>0</v>
      </c>
      <c r="K203" s="77">
        <f>(IF(Ontwerpberekening!E36="Nieuwe Situatie",(_xlfn.IFNA(VLOOKUP(Referentie_Fossiele_Energie_Totaal48[[#This Row],[Product]]&amp;", "&amp;Referentie_Fossiele_Energie_Totaal48[[#Headers],[B1]],Database_Productkaarten[#All],51,FALSE),0)*Ontwerpberekening!J36),0))/Ontwerpberekening!$A$2</f>
        <v>0</v>
      </c>
      <c r="L203" s="77">
        <f>(IF(Ontwerpberekening!E36="Nieuwe Situatie",(_xlfn.IFNA(VLOOKUP(Referentie_Fossiele_Energie_Totaal48[[#This Row],[Product]]&amp;", "&amp;Referentie_Fossiele_Energie_Totaal48[[#Headers],[B3]],Database_Productkaarten[#All],51,FALSE),0)*Ontwerpberekening!J36),0))/Ontwerpberekening!$A$2</f>
        <v>0</v>
      </c>
      <c r="M203" s="77">
        <f>(IF(Ontwerpberekening!E36="Nieuwe Situatie",(SUM(Referentie_Fossiele_Energie_Totaal48[[#This Row],[A1]:[B1]],Referentie_Fossiele_Energie_Totaal48[[#This Row],[C1]:[D2]])*Ontwerpberekening!N36),0))/Ontwerpberekening!$A$2</f>
        <v>0</v>
      </c>
      <c r="N203" s="77">
        <f>(IF(Ontwerpberekening!E36="Bestaande Situatie",(_xlfn.IFNA(VLOOKUP(Referentie_Fossiele_Energie_Totaal48[[#This Row],[Product]]&amp;", "&amp;Referentie_Fossiele_Energie_Totaal48[[#Headers],[C1]],Database_Productkaarten[#All],51,FALSE),0)*Ontwerpberekening!J36),0))/Ontwerpberekening!$A$2</f>
        <v>0</v>
      </c>
      <c r="O203" s="77">
        <f>(IF(Ontwerpberekening!E36="Bestaande Situatie",(_xlfn.IFNA(VLOOKUP(Referentie_Fossiele_Energie_Totaal48[[#This Row],[Product]]&amp;", "&amp;Referentie_Fossiele_Energie_Totaal48[[#Headers],[C2]],Database_Productkaarten[#All],51,FALSE),0)*Ontwerpberekening!R36),0))/Ontwerpberekening!$A$2</f>
        <v>0</v>
      </c>
      <c r="P203" s="77">
        <f>(IF(Ontwerpberekening!E36="Bestaande Situatie",(_xlfn.IFNA(VLOOKUP(Referentie_Fossiele_Energie_Totaal48[[#This Row],[Product]]&amp;", "&amp;Referentie_Fossiele_Energie_Totaal48[[#Headers],[C3]],Database_Productkaarten[#All],51,FALSE),0)*Ontwerpberekening!J36),0))/Ontwerpberekening!$A$2</f>
        <v>0</v>
      </c>
      <c r="Q203" s="77">
        <f>(IF(Ontwerpberekening!E36="Bestaande Situatie",(_xlfn.IFNA(VLOOKUP(Referentie_Fossiele_Energie_Totaal48[[#This Row],[Product]]&amp;", "&amp;Referentie_Fossiele_Energie_Totaal48[[#Headers],[C4]],Database_Productkaarten[#All],51,FALSE),0)*Ontwerpberekening!J36),0))/Ontwerpberekening!$A$2</f>
        <v>64.75</v>
      </c>
      <c r="R203" s="77">
        <f>(IF(Ontwerpberekening!E36="Bestaande Situatie",(_xlfn.IFNA(VLOOKUP(Referentie_Fossiele_Energie_Totaal48[[#This Row],[Product]]&amp;", "&amp;Referentie_Fossiele_Energie_Totaal48[[#Headers],[D1]],Database_Productkaarten[#All],51,FALSE),0)*Ontwerpberekening!J36),0))/Ontwerpberekening!$A$2</f>
        <v>0</v>
      </c>
      <c r="S203" s="79">
        <f>(IF(Ontwerpberekening!E36="Bestaande Situatie",(_xlfn.IFNA(VLOOKUP(Referentie_Fossiele_Energie_Totaal48[[#This Row],[Product]]&amp;", "&amp;Referentie_Fossiele_Energie_Totaal48[[#Headers],[D2]],Database_Productkaarten[#All],51,FALSE),0)*Ontwerpberekening!J36),0))/Ontwerpberekening!$A$2</f>
        <v>0</v>
      </c>
      <c r="T203" s="56">
        <f>(IF(Ontwerpberekening!E36="Bestaande Situatie",(_xlfn.IFNA(VLOOKUP(Referentie_Fossiele_Energie_Totaal48[[#This Row],[Product]]&amp;", "&amp;Referentie_Fossiele_Energie_Totaal48[[#Headers],[D]],Database_Productkaarten[#All],51,FALSE),0)*Ontwerpberekening!J36),0))/Ontwerpberekening!$A$2</f>
        <v>-2152.5</v>
      </c>
      <c r="U203" s="56">
        <f>SUM(Referentie_Fossiele_Energie_Totaal48[[#This Row],[A1-A3]:[C4]])+Referentie_Fossiele_Energie_Totaal48[[#This Row],[D]]</f>
        <v>-2087.75</v>
      </c>
    </row>
    <row r="204" spans="2:21">
      <c r="B204" s="51" t="str">
        <f>Ontwerpberekening!B37</f>
        <v>Rockwool</v>
      </c>
      <c r="C204" s="51" t="str">
        <f>Ontwerpberekening!C37</f>
        <v>Toplaag</v>
      </c>
      <c r="D204" s="76" t="str">
        <f>Ontwerpberekening!G37</f>
        <v>Betonstraatsteen 210x105x80</v>
      </c>
      <c r="E204" s="77">
        <f>(IF(Ontwerpberekening!E37="Nieuwe Situatie",(_xlfn.IFNA(VLOOKUP(Referentie_Fossiele_Energie_Totaal48[[#This Row],[Product]]&amp;", "&amp;Referentie_Fossiele_Energie_Totaal48[[#Headers],[A1]],Database_Productkaarten[#All],51,FALSE),0)*Ontwerpberekening!J37),0))/Ontwerpberekening!$A$2</f>
        <v>0</v>
      </c>
      <c r="F204" s="77">
        <f>(IF(Ontwerpberekening!E37="Nieuwe Situatie",(_xlfn.IFNA(VLOOKUP(Referentie_Fossiele_Energie_Totaal48[[#This Row],[Product]]&amp;", "&amp;Referentie_Fossiele_Energie_Totaal48[[#Headers],[A2]],Database_Productkaarten[#All],51,FALSE),0)*Ontwerpberekening!J37),0))/Ontwerpberekening!$A$2</f>
        <v>0</v>
      </c>
      <c r="G204" s="77">
        <f>(IF(Ontwerpberekening!E37="Nieuwe Situatie",(_xlfn.IFNA(VLOOKUP(Referentie_Fossiele_Energie_Totaal48[[#This Row],[Product]]&amp;", "&amp;Referentie_Fossiele_Energie_Totaal48[[#Headers],[A3]],Database_Productkaarten[#All],51,FALSE),0)*Ontwerpberekening!J37),0))/Ontwerpberekening!$A$2</f>
        <v>0</v>
      </c>
      <c r="H204" s="77">
        <f>(IF(Ontwerpberekening!E37="Nieuwe Situatie",(_xlfn.IFNA(VLOOKUP(Referentie_Fossiele_Energie_Totaal48[[#This Row],[Product]]&amp;", "&amp;Referentie_Fossiele_Energie_Totaal48[[#Headers],[A1-A3]],Database_Productkaarten[#All],51,FALSE),0)*Ontwerpberekening!J37),0))/Ontwerpberekening!$A$2</f>
        <v>0</v>
      </c>
      <c r="I204" s="77">
        <f>(IF(Ontwerpberekening!E37="Nieuwe Situatie",(_xlfn.IFNA(VLOOKUP(Referentie_Fossiele_Energie_Totaal48[[#This Row],[Product]]&amp;", "&amp;Referentie_Fossiele_Energie_Totaal48[[#Headers],[A4]],Database_Productkaarten[#All],51,FALSE),0)*Ontwerpberekening!R37),0))/Ontwerpberekening!$A$2</f>
        <v>0</v>
      </c>
      <c r="J204" s="77">
        <f>(IF(Ontwerpberekening!E37="Nieuwe Situatie",(_xlfn.IFNA(VLOOKUP(Referentie_Fossiele_Energie_Totaal48[[#This Row],[Product]]&amp;", "&amp;Referentie_Fossiele_Energie_Totaal48[[#Headers],[A5]],Database_Productkaarten[#All],51,FALSE),0)*Ontwerpberekening!J37),0))/Ontwerpberekening!$A$2</f>
        <v>0</v>
      </c>
      <c r="K204" s="77">
        <f>(IF(Ontwerpberekening!E37="Nieuwe Situatie",(_xlfn.IFNA(VLOOKUP(Referentie_Fossiele_Energie_Totaal48[[#This Row],[Product]]&amp;", "&amp;Referentie_Fossiele_Energie_Totaal48[[#Headers],[B1]],Database_Productkaarten[#All],51,FALSE),0)*Ontwerpberekening!J37),0))/Ontwerpberekening!$A$2</f>
        <v>0</v>
      </c>
      <c r="L204" s="77">
        <f>(IF(Ontwerpberekening!E37="Nieuwe Situatie",(_xlfn.IFNA(VLOOKUP(Referentie_Fossiele_Energie_Totaal48[[#This Row],[Product]]&amp;", "&amp;Referentie_Fossiele_Energie_Totaal48[[#Headers],[B3]],Database_Productkaarten[#All],51,FALSE),0)*Ontwerpberekening!J37),0))/Ontwerpberekening!$A$2</f>
        <v>0</v>
      </c>
      <c r="M204" s="77">
        <f>(IF(Ontwerpberekening!E37="Nieuwe Situatie",(SUM(Referentie_Fossiele_Energie_Totaal48[[#This Row],[A1]:[B1]],Referentie_Fossiele_Energie_Totaal48[[#This Row],[C1]:[D2]])*Ontwerpberekening!N37),0))/Ontwerpberekening!$A$2</f>
        <v>0</v>
      </c>
      <c r="N204" s="77">
        <f>(IF(Ontwerpberekening!E37="Bestaande Situatie",(_xlfn.IFNA(VLOOKUP(Referentie_Fossiele_Energie_Totaal48[[#This Row],[Product]]&amp;", "&amp;Referentie_Fossiele_Energie_Totaal48[[#Headers],[C1]],Database_Productkaarten[#All],51,FALSE),0)*Ontwerpberekening!J37),0))/Ontwerpberekening!$A$2</f>
        <v>4604.2567500000005</v>
      </c>
      <c r="O204" s="77">
        <f>(IF(Ontwerpberekening!E37="Bestaande Situatie",(_xlfn.IFNA(VLOOKUP(Referentie_Fossiele_Energie_Totaal48[[#This Row],[Product]]&amp;", "&amp;Referentie_Fossiele_Energie_Totaal48[[#Headers],[C2]],Database_Productkaarten[#All],51,FALSE),0)*Ontwerpberekening!R37),0))/Ontwerpberekening!$A$2</f>
        <v>1764.9536256000001</v>
      </c>
      <c r="P204" s="77">
        <f>(IF(Ontwerpberekening!E37="Bestaande Situatie",(_xlfn.IFNA(VLOOKUP(Referentie_Fossiele_Energie_Totaal48[[#This Row],[Product]]&amp;", "&amp;Referentie_Fossiele_Energie_Totaal48[[#Headers],[C3]],Database_Productkaarten[#All],51,FALSE),0)*Ontwerpberekening!J37),0))/Ontwerpberekening!$A$2</f>
        <v>2237.2098000000001</v>
      </c>
      <c r="Q204" s="77">
        <f>(IF(Ontwerpberekening!E37="Bestaande Situatie",(_xlfn.IFNA(VLOOKUP(Referentie_Fossiele_Energie_Totaal48[[#This Row],[Product]]&amp;", "&amp;Referentie_Fossiele_Energie_Totaal48[[#Headers],[C4]],Database_Productkaarten[#All],51,FALSE),0)*Ontwerpberekening!J37),0))/Ontwerpberekening!$A$2</f>
        <v>145.83498</v>
      </c>
      <c r="R204" s="77">
        <f>(IF(Ontwerpberekening!E37="Bestaande Situatie",(_xlfn.IFNA(VLOOKUP(Referentie_Fossiele_Energie_Totaal48[[#This Row],[Product]]&amp;", "&amp;Referentie_Fossiele_Energie_Totaal48[[#Headers],[D1]],Database_Productkaarten[#All],51,FALSE),0)*Ontwerpberekening!J37),0))/Ontwerpberekening!$A$2</f>
        <v>0</v>
      </c>
      <c r="S204" s="79">
        <f>(IF(Ontwerpberekening!E37="Bestaande Situatie",(_xlfn.IFNA(VLOOKUP(Referentie_Fossiele_Energie_Totaal48[[#This Row],[Product]]&amp;", "&amp;Referentie_Fossiele_Energie_Totaal48[[#Headers],[D2]],Database_Productkaarten[#All],51,FALSE),0)*Ontwerpberekening!J37),0))/Ontwerpberekening!$A$2</f>
        <v>0</v>
      </c>
      <c r="T204" s="56">
        <f>(IF(Ontwerpberekening!E37="Bestaande Situatie",(_xlfn.IFNA(VLOOKUP(Referentie_Fossiele_Energie_Totaal48[[#This Row],[Product]]&amp;", "&amp;Referentie_Fossiele_Energie_Totaal48[[#Headers],[D]],Database_Productkaarten[#All],51,FALSE),0)*Ontwerpberekening!J37),0))/Ontwerpberekening!$A$2</f>
        <v>-5180.0905000000002</v>
      </c>
      <c r="U204" s="56">
        <f>SUM(Referentie_Fossiele_Energie_Totaal48[[#This Row],[A1-A3]:[C4]])+Referentie_Fossiele_Energie_Totaal48[[#This Row],[D]]</f>
        <v>3572.1646555999996</v>
      </c>
    </row>
    <row r="205" spans="2:21">
      <c r="B205" s="51">
        <f>Ontwerpberekening!B38</f>
        <v>0</v>
      </c>
      <c r="C205" s="51">
        <f>Ontwerpberekening!C38</f>
        <v>0</v>
      </c>
      <c r="D205" s="76">
        <f>Ontwerpberekening!G38</f>
        <v>0</v>
      </c>
      <c r="E205" s="77">
        <f>(IF(Ontwerpberekening!E38="Nieuwe Situatie",(_xlfn.IFNA(VLOOKUP(Referentie_Fossiele_Energie_Totaal48[[#This Row],[Product]]&amp;", "&amp;Referentie_Fossiele_Energie_Totaal48[[#Headers],[A1]],Database_Productkaarten[#All],51,FALSE),0)*Ontwerpberekening!J38),0))/Ontwerpberekening!$A$2</f>
        <v>0</v>
      </c>
      <c r="F205" s="77">
        <f>(IF(Ontwerpberekening!E38="Nieuwe Situatie",(_xlfn.IFNA(VLOOKUP(Referentie_Fossiele_Energie_Totaal48[[#This Row],[Product]]&amp;", "&amp;Referentie_Fossiele_Energie_Totaal48[[#Headers],[A2]],Database_Productkaarten[#All],51,FALSE),0)*Ontwerpberekening!J38),0))/Ontwerpberekening!$A$2</f>
        <v>0</v>
      </c>
      <c r="G205" s="77">
        <f>(IF(Ontwerpberekening!E38="Nieuwe Situatie",(_xlfn.IFNA(VLOOKUP(Referentie_Fossiele_Energie_Totaal48[[#This Row],[Product]]&amp;", "&amp;Referentie_Fossiele_Energie_Totaal48[[#Headers],[A3]],Database_Productkaarten[#All],51,FALSE),0)*Ontwerpberekening!J38),0))/Ontwerpberekening!$A$2</f>
        <v>0</v>
      </c>
      <c r="H205" s="77">
        <f>(IF(Ontwerpberekening!E38="Nieuwe Situatie",(_xlfn.IFNA(VLOOKUP(Referentie_Fossiele_Energie_Totaal48[[#This Row],[Product]]&amp;", "&amp;Referentie_Fossiele_Energie_Totaal48[[#Headers],[A1-A3]],Database_Productkaarten[#All],51,FALSE),0)*Ontwerpberekening!J38),0))/Ontwerpberekening!$A$2</f>
        <v>0</v>
      </c>
      <c r="I205" s="77">
        <f>(IF(Ontwerpberekening!E38="Nieuwe Situatie",(_xlfn.IFNA(VLOOKUP(Referentie_Fossiele_Energie_Totaal48[[#This Row],[Product]]&amp;", "&amp;Referentie_Fossiele_Energie_Totaal48[[#Headers],[A4]],Database_Productkaarten[#All],51,FALSE),0)*Ontwerpberekening!R38),0))/Ontwerpberekening!$A$2</f>
        <v>0</v>
      </c>
      <c r="J205" s="77">
        <f>(IF(Ontwerpberekening!E38="Nieuwe Situatie",(_xlfn.IFNA(VLOOKUP(Referentie_Fossiele_Energie_Totaal48[[#This Row],[Product]]&amp;", "&amp;Referentie_Fossiele_Energie_Totaal48[[#Headers],[A5]],Database_Productkaarten[#All],51,FALSE),0)*Ontwerpberekening!J38),0))/Ontwerpberekening!$A$2</f>
        <v>0</v>
      </c>
      <c r="K205" s="77">
        <f>(IF(Ontwerpberekening!E38="Nieuwe Situatie",(_xlfn.IFNA(VLOOKUP(Referentie_Fossiele_Energie_Totaal48[[#This Row],[Product]]&amp;", "&amp;Referentie_Fossiele_Energie_Totaal48[[#Headers],[B1]],Database_Productkaarten[#All],51,FALSE),0)*Ontwerpberekening!J38),0))/Ontwerpberekening!$A$2</f>
        <v>0</v>
      </c>
      <c r="L205" s="77">
        <f>(IF(Ontwerpberekening!E38="Nieuwe Situatie",(_xlfn.IFNA(VLOOKUP(Referentie_Fossiele_Energie_Totaal48[[#This Row],[Product]]&amp;", "&amp;Referentie_Fossiele_Energie_Totaal48[[#Headers],[B3]],Database_Productkaarten[#All],51,FALSE),0)*Ontwerpberekening!J38),0))/Ontwerpberekening!$A$2</f>
        <v>0</v>
      </c>
      <c r="M205" s="77">
        <f>(IF(Ontwerpberekening!E38="Nieuwe Situatie",(SUM(Referentie_Fossiele_Energie_Totaal48[[#This Row],[A1]:[B1]],Referentie_Fossiele_Energie_Totaal48[[#This Row],[C1]:[D2]])*Ontwerpberekening!N38),0))/Ontwerpberekening!$A$2</f>
        <v>0</v>
      </c>
      <c r="N205" s="77">
        <f>(IF(Ontwerpberekening!E38="Bestaande Situatie",(_xlfn.IFNA(VLOOKUP(Referentie_Fossiele_Energie_Totaal48[[#This Row],[Product]]&amp;", "&amp;Referentie_Fossiele_Energie_Totaal48[[#Headers],[C1]],Database_Productkaarten[#All],51,FALSE),0)*Ontwerpberekening!J38),0))/Ontwerpberekening!$A$2</f>
        <v>0</v>
      </c>
      <c r="O205" s="77">
        <f>(IF(Ontwerpberekening!E38="Bestaande Situatie",(_xlfn.IFNA(VLOOKUP(Referentie_Fossiele_Energie_Totaal48[[#This Row],[Product]]&amp;", "&amp;Referentie_Fossiele_Energie_Totaal48[[#Headers],[C2]],Database_Productkaarten[#All],51,FALSE),0)*Ontwerpberekening!R38),0))/Ontwerpberekening!$A$2</f>
        <v>0</v>
      </c>
      <c r="P205" s="77">
        <f>(IF(Ontwerpberekening!E38="Bestaande Situatie",(_xlfn.IFNA(VLOOKUP(Referentie_Fossiele_Energie_Totaal48[[#This Row],[Product]]&amp;", "&amp;Referentie_Fossiele_Energie_Totaal48[[#Headers],[C3]],Database_Productkaarten[#All],51,FALSE),0)*Ontwerpberekening!J38),0))/Ontwerpberekening!$A$2</f>
        <v>0</v>
      </c>
      <c r="Q205" s="77">
        <f>(IF(Ontwerpberekening!E38="Bestaande Situatie",(_xlfn.IFNA(VLOOKUP(Referentie_Fossiele_Energie_Totaal48[[#This Row],[Product]]&amp;", "&amp;Referentie_Fossiele_Energie_Totaal48[[#Headers],[C4]],Database_Productkaarten[#All],51,FALSE),0)*Ontwerpberekening!J38),0))/Ontwerpberekening!$A$2</f>
        <v>0</v>
      </c>
      <c r="R205" s="77">
        <f>(IF(Ontwerpberekening!E38="Bestaande Situatie",(_xlfn.IFNA(VLOOKUP(Referentie_Fossiele_Energie_Totaal48[[#This Row],[Product]]&amp;", "&amp;Referentie_Fossiele_Energie_Totaal48[[#Headers],[D1]],Database_Productkaarten[#All],51,FALSE),0)*Ontwerpberekening!J38),0))/Ontwerpberekening!$A$2</f>
        <v>0</v>
      </c>
      <c r="S205" s="79">
        <f>(IF(Ontwerpberekening!E38="Bestaande Situatie",(_xlfn.IFNA(VLOOKUP(Referentie_Fossiele_Energie_Totaal48[[#This Row],[Product]]&amp;", "&amp;Referentie_Fossiele_Energie_Totaal48[[#Headers],[D2]],Database_Productkaarten[#All],51,FALSE),0)*Ontwerpberekening!J38),0))/Ontwerpberekening!$A$2</f>
        <v>0</v>
      </c>
      <c r="T205" s="56">
        <f>(IF(Ontwerpberekening!E38="Bestaande Situatie",(_xlfn.IFNA(VLOOKUP(Referentie_Fossiele_Energie_Totaal48[[#This Row],[Product]]&amp;", "&amp;Referentie_Fossiele_Energie_Totaal48[[#Headers],[D]],Database_Productkaarten[#All],51,FALSE),0)*Ontwerpberekening!J38),0))/Ontwerpberekening!$A$2</f>
        <v>0</v>
      </c>
      <c r="U205" s="56">
        <f>SUM(Referentie_Fossiele_Energie_Totaal48[[#This Row],[A1-A3]:[C4]])+Referentie_Fossiele_Energie_Totaal48[[#This Row],[D]]</f>
        <v>0</v>
      </c>
    </row>
    <row r="206" spans="2:21">
      <c r="B206" s="51">
        <f>Ontwerpberekening!B39</f>
        <v>0</v>
      </c>
      <c r="C206" s="51">
        <f>Ontwerpberekening!C39</f>
        <v>0</v>
      </c>
      <c r="D206" s="76">
        <f>Ontwerpberekening!G39</f>
        <v>0</v>
      </c>
      <c r="E206" s="77">
        <f>(IF(Ontwerpberekening!E39="Nieuwe Situatie",(_xlfn.IFNA(VLOOKUP(Referentie_Fossiele_Energie_Totaal48[[#This Row],[Product]]&amp;", "&amp;Referentie_Fossiele_Energie_Totaal48[[#Headers],[A1]],Database_Productkaarten[#All],51,FALSE),0)*Ontwerpberekening!J39),0))/Ontwerpberekening!$A$2</f>
        <v>0</v>
      </c>
      <c r="F206" s="77">
        <f>(IF(Ontwerpberekening!E39="Nieuwe Situatie",(_xlfn.IFNA(VLOOKUP(Referentie_Fossiele_Energie_Totaal48[[#This Row],[Product]]&amp;", "&amp;Referentie_Fossiele_Energie_Totaal48[[#Headers],[A2]],Database_Productkaarten[#All],51,FALSE),0)*Ontwerpberekening!J39),0))/Ontwerpberekening!$A$2</f>
        <v>0</v>
      </c>
      <c r="G206" s="77">
        <f>(IF(Ontwerpberekening!E39="Nieuwe Situatie",(_xlfn.IFNA(VLOOKUP(Referentie_Fossiele_Energie_Totaal48[[#This Row],[Product]]&amp;", "&amp;Referentie_Fossiele_Energie_Totaal48[[#Headers],[A3]],Database_Productkaarten[#All],51,FALSE),0)*Ontwerpberekening!J39),0))/Ontwerpberekening!$A$2</f>
        <v>0</v>
      </c>
      <c r="H206" s="77">
        <f>(IF(Ontwerpberekening!E39="Nieuwe Situatie",(_xlfn.IFNA(VLOOKUP(Referentie_Fossiele_Energie_Totaal48[[#This Row],[Product]]&amp;", "&amp;Referentie_Fossiele_Energie_Totaal48[[#Headers],[A1-A3]],Database_Productkaarten[#All],51,FALSE),0)*Ontwerpberekening!J39),0))/Ontwerpberekening!$A$2</f>
        <v>0</v>
      </c>
      <c r="I206" s="77">
        <f>(IF(Ontwerpberekening!E39="Nieuwe Situatie",(_xlfn.IFNA(VLOOKUP(Referentie_Fossiele_Energie_Totaal48[[#This Row],[Product]]&amp;", "&amp;Referentie_Fossiele_Energie_Totaal48[[#Headers],[A4]],Database_Productkaarten[#All],51,FALSE),0)*Ontwerpberekening!R39),0))/Ontwerpberekening!$A$2</f>
        <v>0</v>
      </c>
      <c r="J206" s="77">
        <f>(IF(Ontwerpberekening!E39="Nieuwe Situatie",(_xlfn.IFNA(VLOOKUP(Referentie_Fossiele_Energie_Totaal48[[#This Row],[Product]]&amp;", "&amp;Referentie_Fossiele_Energie_Totaal48[[#Headers],[A5]],Database_Productkaarten[#All],51,FALSE),0)*Ontwerpberekening!J39),0))/Ontwerpberekening!$A$2</f>
        <v>0</v>
      </c>
      <c r="K206" s="77">
        <f>(IF(Ontwerpberekening!E39="Nieuwe Situatie",(_xlfn.IFNA(VLOOKUP(Referentie_Fossiele_Energie_Totaal48[[#This Row],[Product]]&amp;", "&amp;Referentie_Fossiele_Energie_Totaal48[[#Headers],[B1]],Database_Productkaarten[#All],51,FALSE),0)*Ontwerpberekening!J39),0))/Ontwerpberekening!$A$2</f>
        <v>0</v>
      </c>
      <c r="L206" s="77">
        <f>(IF(Ontwerpberekening!E39="Nieuwe Situatie",(_xlfn.IFNA(VLOOKUP(Referentie_Fossiele_Energie_Totaal48[[#This Row],[Product]]&amp;", "&amp;Referentie_Fossiele_Energie_Totaal48[[#Headers],[B3]],Database_Productkaarten[#All],51,FALSE),0)*Ontwerpberekening!J39),0))/Ontwerpberekening!$A$2</f>
        <v>0</v>
      </c>
      <c r="M206" s="77">
        <f>(IF(Ontwerpberekening!E39="Nieuwe Situatie",(SUM(Referentie_Fossiele_Energie_Totaal48[[#This Row],[A1]:[B1]],Referentie_Fossiele_Energie_Totaal48[[#This Row],[C1]:[D2]])*Ontwerpberekening!N39),0))/Ontwerpberekening!$A$2</f>
        <v>0</v>
      </c>
      <c r="N206" s="77">
        <f>(IF(Ontwerpberekening!E39="Bestaande Situatie",(_xlfn.IFNA(VLOOKUP(Referentie_Fossiele_Energie_Totaal48[[#This Row],[Product]]&amp;", "&amp;Referentie_Fossiele_Energie_Totaal48[[#Headers],[C1]],Database_Productkaarten[#All],51,FALSE),0)*Ontwerpberekening!J39),0))/Ontwerpberekening!$A$2</f>
        <v>0</v>
      </c>
      <c r="O206" s="77">
        <f>(IF(Ontwerpberekening!E39="Bestaande Situatie",(_xlfn.IFNA(VLOOKUP(Referentie_Fossiele_Energie_Totaal48[[#This Row],[Product]]&amp;", "&amp;Referentie_Fossiele_Energie_Totaal48[[#Headers],[C2]],Database_Productkaarten[#All],51,FALSE),0)*Ontwerpberekening!R39),0))/Ontwerpberekening!$A$2</f>
        <v>0</v>
      </c>
      <c r="P206" s="77">
        <f>(IF(Ontwerpberekening!E39="Bestaande Situatie",(_xlfn.IFNA(VLOOKUP(Referentie_Fossiele_Energie_Totaal48[[#This Row],[Product]]&amp;", "&amp;Referentie_Fossiele_Energie_Totaal48[[#Headers],[C3]],Database_Productkaarten[#All],51,FALSE),0)*Ontwerpberekening!J39),0))/Ontwerpberekening!$A$2</f>
        <v>0</v>
      </c>
      <c r="Q206" s="77">
        <f>(IF(Ontwerpberekening!E39="Bestaande Situatie",(_xlfn.IFNA(VLOOKUP(Referentie_Fossiele_Energie_Totaal48[[#This Row],[Product]]&amp;", "&amp;Referentie_Fossiele_Energie_Totaal48[[#Headers],[C4]],Database_Productkaarten[#All],51,FALSE),0)*Ontwerpberekening!J39),0))/Ontwerpberekening!$A$2</f>
        <v>0</v>
      </c>
      <c r="R206" s="77">
        <f>(IF(Ontwerpberekening!E39="Bestaande Situatie",(_xlfn.IFNA(VLOOKUP(Referentie_Fossiele_Energie_Totaal48[[#This Row],[Product]]&amp;", "&amp;Referentie_Fossiele_Energie_Totaal48[[#Headers],[D1]],Database_Productkaarten[#All],51,FALSE),0)*Ontwerpberekening!J39),0))/Ontwerpberekening!$A$2</f>
        <v>0</v>
      </c>
      <c r="S206" s="79">
        <f>(IF(Ontwerpberekening!E39="Bestaande Situatie",(_xlfn.IFNA(VLOOKUP(Referentie_Fossiele_Energie_Totaal48[[#This Row],[Product]]&amp;", "&amp;Referentie_Fossiele_Energie_Totaal48[[#Headers],[D2]],Database_Productkaarten[#All],51,FALSE),0)*Ontwerpberekening!J39),0))/Ontwerpberekening!$A$2</f>
        <v>0</v>
      </c>
      <c r="T206" s="56">
        <f>(IF(Ontwerpberekening!E39="Bestaande Situatie",(_xlfn.IFNA(VLOOKUP(Referentie_Fossiele_Energie_Totaal48[[#This Row],[Product]]&amp;", "&amp;Referentie_Fossiele_Energie_Totaal48[[#Headers],[D]],Database_Productkaarten[#All],51,FALSE),0)*Ontwerpberekening!J39),0))/Ontwerpberekening!$A$2</f>
        <v>0</v>
      </c>
      <c r="U206" s="56">
        <f>SUM(Referentie_Fossiele_Energie_Totaal48[[#This Row],[A1-A3]:[C4]])+Referentie_Fossiele_Energie_Totaal48[[#This Row],[D]]</f>
        <v>0</v>
      </c>
    </row>
    <row r="207" spans="2:21">
      <c r="B207" s="51">
        <f>Ontwerpberekening!B40</f>
        <v>0</v>
      </c>
      <c r="C207" s="51">
        <f>Ontwerpberekening!C40</f>
        <v>0</v>
      </c>
      <c r="D207" s="76">
        <f>Ontwerpberekening!G40</f>
        <v>0</v>
      </c>
      <c r="E207" s="77">
        <f>(IF(Ontwerpberekening!E40="Nieuwe Situatie",(_xlfn.IFNA(VLOOKUP(Referentie_Fossiele_Energie_Totaal48[[#This Row],[Product]]&amp;", "&amp;Referentie_Fossiele_Energie_Totaal48[[#Headers],[A1]],Database_Productkaarten[#All],51,FALSE),0)*Ontwerpberekening!J40),0))/Ontwerpberekening!$A$2</f>
        <v>0</v>
      </c>
      <c r="F207" s="77">
        <f>(IF(Ontwerpberekening!E40="Nieuwe Situatie",(_xlfn.IFNA(VLOOKUP(Referentie_Fossiele_Energie_Totaal48[[#This Row],[Product]]&amp;", "&amp;Referentie_Fossiele_Energie_Totaal48[[#Headers],[A2]],Database_Productkaarten[#All],51,FALSE),0)*Ontwerpberekening!J40),0))/Ontwerpberekening!$A$2</f>
        <v>0</v>
      </c>
      <c r="G207" s="77">
        <f>(IF(Ontwerpberekening!E40="Nieuwe Situatie",(_xlfn.IFNA(VLOOKUP(Referentie_Fossiele_Energie_Totaal48[[#This Row],[Product]]&amp;", "&amp;Referentie_Fossiele_Energie_Totaal48[[#Headers],[A3]],Database_Productkaarten[#All],51,FALSE),0)*Ontwerpberekening!J40),0))/Ontwerpberekening!$A$2</f>
        <v>0</v>
      </c>
      <c r="H207" s="77">
        <f>(IF(Ontwerpberekening!E40="Nieuwe Situatie",(_xlfn.IFNA(VLOOKUP(Referentie_Fossiele_Energie_Totaal48[[#This Row],[Product]]&amp;", "&amp;Referentie_Fossiele_Energie_Totaal48[[#Headers],[A1-A3]],Database_Productkaarten[#All],51,FALSE),0)*Ontwerpberekening!J40),0))/Ontwerpberekening!$A$2</f>
        <v>0</v>
      </c>
      <c r="I207" s="77">
        <f>(IF(Ontwerpberekening!E40="Nieuwe Situatie",(_xlfn.IFNA(VLOOKUP(Referentie_Fossiele_Energie_Totaal48[[#This Row],[Product]]&amp;", "&amp;Referentie_Fossiele_Energie_Totaal48[[#Headers],[A4]],Database_Productkaarten[#All],51,FALSE),0)*Ontwerpberekening!R40),0))/Ontwerpberekening!$A$2</f>
        <v>0</v>
      </c>
      <c r="J207" s="77">
        <f>(IF(Ontwerpberekening!E40="Nieuwe Situatie",(_xlfn.IFNA(VLOOKUP(Referentie_Fossiele_Energie_Totaal48[[#This Row],[Product]]&amp;", "&amp;Referentie_Fossiele_Energie_Totaal48[[#Headers],[A5]],Database_Productkaarten[#All],51,FALSE),0)*Ontwerpberekening!J40),0))/Ontwerpberekening!$A$2</f>
        <v>0</v>
      </c>
      <c r="K207" s="77">
        <f>(IF(Ontwerpberekening!E40="Nieuwe Situatie",(_xlfn.IFNA(VLOOKUP(Referentie_Fossiele_Energie_Totaal48[[#This Row],[Product]]&amp;", "&amp;Referentie_Fossiele_Energie_Totaal48[[#Headers],[B1]],Database_Productkaarten[#All],51,FALSE),0)*Ontwerpberekening!J40),0))/Ontwerpberekening!$A$2</f>
        <v>0</v>
      </c>
      <c r="L207" s="77">
        <f>(IF(Ontwerpberekening!E40="Nieuwe Situatie",(_xlfn.IFNA(VLOOKUP(Referentie_Fossiele_Energie_Totaal48[[#This Row],[Product]]&amp;", "&amp;Referentie_Fossiele_Energie_Totaal48[[#Headers],[B3]],Database_Productkaarten[#All],51,FALSE),0)*Ontwerpberekening!J40),0))/Ontwerpberekening!$A$2</f>
        <v>0</v>
      </c>
      <c r="M207" s="77">
        <f>(IF(Ontwerpberekening!E40="Nieuwe Situatie",(SUM(Referentie_Fossiele_Energie_Totaal48[[#This Row],[A1]:[B1]],Referentie_Fossiele_Energie_Totaal48[[#This Row],[C1]:[D2]])*Ontwerpberekening!N40),0))/Ontwerpberekening!$A$2</f>
        <v>0</v>
      </c>
      <c r="N207" s="77">
        <f>(IF(Ontwerpberekening!E40="Bestaande Situatie",(_xlfn.IFNA(VLOOKUP(Referentie_Fossiele_Energie_Totaal48[[#This Row],[Product]]&amp;", "&amp;Referentie_Fossiele_Energie_Totaal48[[#Headers],[C1]],Database_Productkaarten[#All],51,FALSE),0)*Ontwerpberekening!J40),0))/Ontwerpberekening!$A$2</f>
        <v>0</v>
      </c>
      <c r="O207" s="77">
        <f>(IF(Ontwerpberekening!E40="Bestaande Situatie",(_xlfn.IFNA(VLOOKUP(Referentie_Fossiele_Energie_Totaal48[[#This Row],[Product]]&amp;", "&amp;Referentie_Fossiele_Energie_Totaal48[[#Headers],[C2]],Database_Productkaarten[#All],51,FALSE),0)*Ontwerpberekening!R40),0))/Ontwerpberekening!$A$2</f>
        <v>0</v>
      </c>
      <c r="P207" s="77">
        <f>(IF(Ontwerpberekening!E40="Bestaande Situatie",(_xlfn.IFNA(VLOOKUP(Referentie_Fossiele_Energie_Totaal48[[#This Row],[Product]]&amp;", "&amp;Referentie_Fossiele_Energie_Totaal48[[#Headers],[C3]],Database_Productkaarten[#All],51,FALSE),0)*Ontwerpberekening!J40),0))/Ontwerpberekening!$A$2</f>
        <v>0</v>
      </c>
      <c r="Q207" s="77">
        <f>(IF(Ontwerpberekening!E40="Bestaande Situatie",(_xlfn.IFNA(VLOOKUP(Referentie_Fossiele_Energie_Totaal48[[#This Row],[Product]]&amp;", "&amp;Referentie_Fossiele_Energie_Totaal48[[#Headers],[C4]],Database_Productkaarten[#All],51,FALSE),0)*Ontwerpberekening!J40),0))/Ontwerpberekening!$A$2</f>
        <v>0</v>
      </c>
      <c r="R207" s="77">
        <f>(IF(Ontwerpberekening!E40="Bestaande Situatie",(_xlfn.IFNA(VLOOKUP(Referentie_Fossiele_Energie_Totaal48[[#This Row],[Product]]&amp;", "&amp;Referentie_Fossiele_Energie_Totaal48[[#Headers],[D1]],Database_Productkaarten[#All],51,FALSE),0)*Ontwerpberekening!J40),0))/Ontwerpberekening!$A$2</f>
        <v>0</v>
      </c>
      <c r="S207" s="79">
        <f>(IF(Ontwerpberekening!E40="Bestaande Situatie",(_xlfn.IFNA(VLOOKUP(Referentie_Fossiele_Energie_Totaal48[[#This Row],[Product]]&amp;", "&amp;Referentie_Fossiele_Energie_Totaal48[[#Headers],[D2]],Database_Productkaarten[#All],51,FALSE),0)*Ontwerpberekening!J40),0))/Ontwerpberekening!$A$2</f>
        <v>0</v>
      </c>
      <c r="T207" s="56">
        <f>(IF(Ontwerpberekening!E40="Bestaande Situatie",(_xlfn.IFNA(VLOOKUP(Referentie_Fossiele_Energie_Totaal48[[#This Row],[Product]]&amp;", "&amp;Referentie_Fossiele_Energie_Totaal48[[#Headers],[D]],Database_Productkaarten[#All],51,FALSE),0)*Ontwerpberekening!J40),0))/Ontwerpberekening!$A$2</f>
        <v>0</v>
      </c>
      <c r="U207" s="56">
        <f>SUM(Referentie_Fossiele_Energie_Totaal48[[#This Row],[A1-A3]:[C4]])+Referentie_Fossiele_Energie_Totaal48[[#This Row],[D]]</f>
        <v>0</v>
      </c>
    </row>
    <row r="208" spans="2:21" ht="15.75" thickBot="1">
      <c r="B208" s="51">
        <f>Ontwerpberekening!B41</f>
        <v>0</v>
      </c>
      <c r="C208" s="51">
        <f>Ontwerpberekening!C41</f>
        <v>0</v>
      </c>
      <c r="D208" s="76">
        <f>Ontwerpberekening!G41</f>
        <v>0</v>
      </c>
      <c r="E208" s="77">
        <f>(IF(Ontwerpberekening!E41="Nieuwe Situatie",(_xlfn.IFNA(VLOOKUP(Referentie_Fossiele_Energie_Totaal48[[#This Row],[Product]]&amp;", "&amp;Referentie_Fossiele_Energie_Totaal48[[#Headers],[A1]],Database_Productkaarten[#All],51,FALSE),0)*Ontwerpberekening!J41),0))/Ontwerpberekening!$A$2</f>
        <v>0</v>
      </c>
      <c r="F208" s="77">
        <f>(IF(Ontwerpberekening!E41="Nieuwe Situatie",(_xlfn.IFNA(VLOOKUP(Referentie_Fossiele_Energie_Totaal48[[#This Row],[Product]]&amp;", "&amp;Referentie_Fossiele_Energie_Totaal48[[#Headers],[A2]],Database_Productkaarten[#All],51,FALSE),0)*Ontwerpberekening!J41),0))/Ontwerpberekening!$A$2</f>
        <v>0</v>
      </c>
      <c r="G208" s="77">
        <f>(IF(Ontwerpberekening!E41="Nieuwe Situatie",(_xlfn.IFNA(VLOOKUP(Referentie_Fossiele_Energie_Totaal48[[#This Row],[Product]]&amp;", "&amp;Referentie_Fossiele_Energie_Totaal48[[#Headers],[A3]],Database_Productkaarten[#All],51,FALSE),0)*Ontwerpberekening!J41),0))/Ontwerpberekening!$A$2</f>
        <v>0</v>
      </c>
      <c r="H208" s="77">
        <f>(IF(Ontwerpberekening!E41="Nieuwe Situatie",(_xlfn.IFNA(VLOOKUP(Referentie_Fossiele_Energie_Totaal48[[#This Row],[Product]]&amp;", "&amp;Referentie_Fossiele_Energie_Totaal48[[#Headers],[A1-A3]],Database_Productkaarten[#All],51,FALSE),0)*Ontwerpberekening!J41),0))/Ontwerpberekening!$A$2</f>
        <v>0</v>
      </c>
      <c r="I208" s="77">
        <f>(IF(Ontwerpberekening!E41="Nieuwe Situatie",(_xlfn.IFNA(VLOOKUP(Referentie_Fossiele_Energie_Totaal48[[#This Row],[Product]]&amp;", "&amp;Referentie_Fossiele_Energie_Totaal48[[#Headers],[A4]],Database_Productkaarten[#All],51,FALSE),0)*Ontwerpberekening!R41),0))/Ontwerpberekening!$A$2</f>
        <v>0</v>
      </c>
      <c r="J208" s="77">
        <f>(IF(Ontwerpberekening!E41="Nieuwe Situatie",(_xlfn.IFNA(VLOOKUP(Referentie_Fossiele_Energie_Totaal48[[#This Row],[Product]]&amp;", "&amp;Referentie_Fossiele_Energie_Totaal48[[#Headers],[A5]],Database_Productkaarten[#All],51,FALSE),0)*Ontwerpberekening!J41),0))/Ontwerpberekening!$A$2</f>
        <v>0</v>
      </c>
      <c r="K208" s="77">
        <f>(IF(Ontwerpberekening!E41="Nieuwe Situatie",(_xlfn.IFNA(VLOOKUP(Referentie_Fossiele_Energie_Totaal48[[#This Row],[Product]]&amp;", "&amp;Referentie_Fossiele_Energie_Totaal48[[#Headers],[B1]],Database_Productkaarten[#All],51,FALSE),0)*Ontwerpberekening!J41),0))/Ontwerpberekening!$A$2</f>
        <v>0</v>
      </c>
      <c r="L208" s="77">
        <f>(IF(Ontwerpberekening!E41="Nieuwe Situatie",(_xlfn.IFNA(VLOOKUP(Referentie_Fossiele_Energie_Totaal48[[#This Row],[Product]]&amp;", "&amp;Referentie_Fossiele_Energie_Totaal48[[#Headers],[B3]],Database_Productkaarten[#All],51,FALSE),0)*Ontwerpberekening!J41),0))/Ontwerpberekening!$A$2</f>
        <v>0</v>
      </c>
      <c r="M208" s="77">
        <f>(IF(Ontwerpberekening!E41="Nieuwe Situatie",(SUM(Referentie_Fossiele_Energie_Totaal48[[#This Row],[A1]:[B1]],Referentie_Fossiele_Energie_Totaal48[[#This Row],[C1]:[D2]])*Ontwerpberekening!N41),0))/Ontwerpberekening!$A$2</f>
        <v>0</v>
      </c>
      <c r="N208" s="77">
        <f>(IF(Ontwerpberekening!E41="Bestaande Situatie",(_xlfn.IFNA(VLOOKUP(Referentie_Fossiele_Energie_Totaal48[[#This Row],[Product]]&amp;", "&amp;Referentie_Fossiele_Energie_Totaal48[[#Headers],[C1]],Database_Productkaarten[#All],51,FALSE),0)*Ontwerpberekening!J41),0))/Ontwerpberekening!$A$2</f>
        <v>0</v>
      </c>
      <c r="O208" s="77">
        <f>(IF(Ontwerpberekening!E41="Bestaande Situatie",(_xlfn.IFNA(VLOOKUP(Referentie_Fossiele_Energie_Totaal48[[#This Row],[Product]]&amp;", "&amp;Referentie_Fossiele_Energie_Totaal48[[#Headers],[C2]],Database_Productkaarten[#All],51,FALSE),0)*Ontwerpberekening!R41),0))/Ontwerpberekening!$A$2</f>
        <v>0</v>
      </c>
      <c r="P208" s="77">
        <f>(IF(Ontwerpberekening!E41="Bestaande Situatie",(_xlfn.IFNA(VLOOKUP(Referentie_Fossiele_Energie_Totaal48[[#This Row],[Product]]&amp;", "&amp;Referentie_Fossiele_Energie_Totaal48[[#Headers],[C3]],Database_Productkaarten[#All],51,FALSE),0)*Ontwerpberekening!J41),0))/Ontwerpberekening!$A$2</f>
        <v>0</v>
      </c>
      <c r="Q208" s="77">
        <f>(IF(Ontwerpberekening!E41="Bestaande Situatie",(_xlfn.IFNA(VLOOKUP(Referentie_Fossiele_Energie_Totaal48[[#This Row],[Product]]&amp;", "&amp;Referentie_Fossiele_Energie_Totaal48[[#Headers],[C4]],Database_Productkaarten[#All],51,FALSE),0)*Ontwerpberekening!J41),0))/Ontwerpberekening!$A$2</f>
        <v>0</v>
      </c>
      <c r="R208" s="77">
        <f>(IF(Ontwerpberekening!E41="Bestaande Situatie",(_xlfn.IFNA(VLOOKUP(Referentie_Fossiele_Energie_Totaal48[[#This Row],[Product]]&amp;", "&amp;Referentie_Fossiele_Energie_Totaal48[[#Headers],[D1]],Database_Productkaarten[#All],51,FALSE),0)*Ontwerpberekening!J41),0))/Ontwerpberekening!$A$2</f>
        <v>0</v>
      </c>
      <c r="S208" s="79">
        <f>(IF(Ontwerpberekening!E41="Bestaande Situatie",(_xlfn.IFNA(VLOOKUP(Referentie_Fossiele_Energie_Totaal48[[#This Row],[Product]]&amp;", "&amp;Referentie_Fossiele_Energie_Totaal48[[#Headers],[D2]],Database_Productkaarten[#All],51,FALSE),0)*Ontwerpberekening!J41),0))/Ontwerpberekening!$A$2</f>
        <v>0</v>
      </c>
      <c r="T208" s="56">
        <f>(IF(Ontwerpberekening!E41="Bestaande Situatie",(_xlfn.IFNA(VLOOKUP(Referentie_Fossiele_Energie_Totaal48[[#This Row],[Product]]&amp;", "&amp;Referentie_Fossiele_Energie_Totaal48[[#Headers],[D]],Database_Productkaarten[#All],51,FALSE),0)*Ontwerpberekening!J41),0))/Ontwerpberekening!$A$2</f>
        <v>0</v>
      </c>
      <c r="U208" s="56">
        <f>SUM(Referentie_Fossiele_Energie_Totaal48[[#This Row],[A1-A3]:[C4]])+Referentie_Fossiele_Energie_Totaal48[[#This Row],[D]]</f>
        <v>0</v>
      </c>
    </row>
    <row r="209" spans="2:25" ht="15.75" thickTop="1">
      <c r="B209" s="52" t="s">
        <v>90</v>
      </c>
      <c r="C209" s="52"/>
      <c r="D209" s="53"/>
      <c r="E209" s="159">
        <f>SUBTOTAL(109,Referentie_Fossiele_Energie_Totaal48[A1])</f>
        <v>185757.57</v>
      </c>
      <c r="F209" s="159">
        <f>SUBTOTAL(109,Referentie_Fossiele_Energie_Totaal48[A2])</f>
        <v>23793.679499999998</v>
      </c>
      <c r="G209" s="159">
        <f>SUBTOTAL(109,Referentie_Fossiele_Energie_Totaal48[A3])</f>
        <v>28727.909999999996</v>
      </c>
      <c r="H209" s="159">
        <f>SUBTOTAL(109,Referentie_Fossiele_Energie_Totaal48[A1-A3])</f>
        <v>1030032.4066600001</v>
      </c>
      <c r="I209" s="159">
        <f>SUBTOTAL(109,Referentie_Fossiele_Energie_Totaal48[A4])</f>
        <v>51863.815700695799</v>
      </c>
      <c r="J209" s="159">
        <f>SUBTOTAL(109,Referentie_Fossiele_Energie_Totaal48[A5])</f>
        <v>159174.2555</v>
      </c>
      <c r="K209" s="159">
        <f>SUBTOTAL(109,Referentie_Fossiele_Energie_Totaal48[B1])</f>
        <v>0</v>
      </c>
      <c r="L209" s="159">
        <f>SUBTOTAL(109,Referentie_Fossiele_Energie_Totaal48[B3])</f>
        <v>0</v>
      </c>
      <c r="M209" s="159">
        <f>SUBTOTAL(109,Referentie_Fossiele_Energie_Totaal48[B4])</f>
        <v>466813.62306990393</v>
      </c>
      <c r="N209" s="159">
        <f>SUBTOTAL(109,Referentie_Fossiele_Energie_Totaal48[C1])</f>
        <v>58699.343250000005</v>
      </c>
      <c r="O209" s="159">
        <f>SUBTOTAL(109,Referentie_Fossiele_Energie_Totaal48[C2])</f>
        <v>41835.790052705095</v>
      </c>
      <c r="P209" s="159">
        <f>SUBTOTAL(109,Referentie_Fossiele_Energie_Totaal48[C3])</f>
        <v>19711.629400000002</v>
      </c>
      <c r="Q209" s="159">
        <f>SUBTOTAL(109,Referentie_Fossiele_Energie_Totaal48[C4])</f>
        <v>7082.5791912339992</v>
      </c>
      <c r="R209" s="159">
        <f>SUBTOTAL(109,Referentie_Fossiele_Energie_Totaal48[D1])</f>
        <v>0</v>
      </c>
      <c r="S209" s="160">
        <f>SUBTOTAL(109,Referentie_Fossiele_Energie_Totaal48[D2])</f>
        <v>0</v>
      </c>
      <c r="T209" s="160">
        <f>SUBTOTAL(109,Referentie_Fossiele_Energie_Totaal48[D])</f>
        <v>-233388.14148459997</v>
      </c>
      <c r="U209" s="161">
        <f>SUBTOTAL(109,Referentie_Fossiele_Energie_Totaal48[Totaal])</f>
        <v>1601825.3013399385</v>
      </c>
    </row>
    <row r="210" spans="2:25">
      <c r="B210" s="13"/>
      <c r="C210" s="13"/>
      <c r="D210" s="13"/>
      <c r="E210" s="13"/>
      <c r="F210" s="13"/>
      <c r="G210" s="13"/>
      <c r="H210" s="13"/>
      <c r="I210" s="13"/>
      <c r="J210" s="13"/>
      <c r="K210" s="13"/>
      <c r="L210" s="13"/>
      <c r="M210" s="13"/>
      <c r="N210" s="13"/>
      <c r="O210" s="13"/>
      <c r="P210" s="13"/>
    </row>
    <row r="211" spans="2:25">
      <c r="B211" s="13"/>
      <c r="C211" s="13"/>
      <c r="D211" s="13"/>
      <c r="E211" s="13"/>
      <c r="F211" s="13"/>
      <c r="G211" s="13"/>
      <c r="H211" s="13"/>
      <c r="I211" s="13"/>
      <c r="J211" s="13"/>
      <c r="K211" s="13"/>
      <c r="L211" s="13"/>
      <c r="M211" s="13"/>
      <c r="N211" s="13"/>
      <c r="O211" s="13"/>
      <c r="P211" s="13"/>
    </row>
    <row r="212" spans="2:25" ht="18">
      <c r="B212" s="110" t="s">
        <v>123</v>
      </c>
      <c r="C212" s="110"/>
      <c r="D212" s="110"/>
      <c r="E212" s="13"/>
      <c r="F212" s="13"/>
      <c r="G212" s="13"/>
      <c r="H212" s="13"/>
      <c r="I212" s="13"/>
      <c r="J212" s="13"/>
      <c r="K212" s="13"/>
      <c r="L212" s="13"/>
      <c r="M212" s="13"/>
      <c r="N212" s="13"/>
      <c r="O212" s="13"/>
      <c r="P212" s="13"/>
    </row>
    <row r="213" spans="2:25" ht="15.75" thickBot="1">
      <c r="B213" s="1" t="s">
        <v>70</v>
      </c>
      <c r="C213" s="50" t="s">
        <v>7</v>
      </c>
      <c r="D213" s="58" t="s">
        <v>124</v>
      </c>
      <c r="E213" s="59" t="s">
        <v>125</v>
      </c>
      <c r="F213" s="59" t="s">
        <v>126</v>
      </c>
      <c r="G213" s="59" t="s">
        <v>127</v>
      </c>
      <c r="H213" s="59" t="s">
        <v>128</v>
      </c>
      <c r="I213" s="58" t="s">
        <v>129</v>
      </c>
      <c r="J213" s="59" t="s">
        <v>130</v>
      </c>
      <c r="K213" s="59" t="s">
        <v>131</v>
      </c>
      <c r="L213" s="145" t="s">
        <v>132</v>
      </c>
      <c r="M213" s="145" t="s">
        <v>133</v>
      </c>
      <c r="N213" s="145" t="s">
        <v>134</v>
      </c>
      <c r="O213" s="13"/>
      <c r="P213" s="13"/>
      <c r="Q213" s="13"/>
      <c r="R213" s="13"/>
      <c r="Y213" s="13"/>
    </row>
    <row r="214" spans="2:25" ht="15.75" thickTop="1">
      <c r="B214" s="51" t="str">
        <f>Ontwerpberekening!B5</f>
        <v>Open Menggranulaat</v>
      </c>
      <c r="C214" s="51" t="str">
        <f>Ontwerpberekening!E5</f>
        <v>Bestaande situatie</v>
      </c>
      <c r="D214" s="51"/>
      <c r="E214" s="51"/>
      <c r="F214" s="94" t="s">
        <v>135</v>
      </c>
      <c r="G214" s="94" t="s">
        <v>135</v>
      </c>
      <c r="H214" s="124">
        <f>IF(Ontwerp_Transport_Totaal[[#This Row],[Emissieloos Transport naar bouwplaats?]]="JA",Ontwerp_Transport_Totaal[[#This Row],[Transport naar bouwplaats '[tkm']]],0)+IF(Ontwerp_Transport_Totaal[[#This Row],[Emissieloos Transport naar verwerker?]]="JA",Ontwerp_Transport_Totaal[[#This Row],[Transport naar verwerker '[tkm']]],0)</f>
        <v>0</v>
      </c>
      <c r="I214" s="133"/>
      <c r="J214" s="133"/>
      <c r="K214" s="133">
        <f>IF(Ontwerp_Transport_Totaal[[#This Row],[Emissieloos Transport naar bouwplaats?]]="JA",Ontwerp_Transport_Totaal[[#This Row],[Transport naar bouwplaats Vervangingen '[tkm']]],0)+IF(Ontwerp_Transport_Totaal[[#This Row],[Emissieloos Transport naar verwerker?]]="JA",Ontwerp_Transport_Totaal[[#This Row],[Transport naar verwerker Vervangingen '[tkm']]],0)</f>
        <v>0</v>
      </c>
      <c r="L214" s="133">
        <f>Ontwerp_Transport_Totaal[[#This Row],[Emissieloos Transport]]+Ontwerp_Transport_Totaal[[#This Row],[Emissieloos Transport Vervangingen]]</f>
        <v>0</v>
      </c>
      <c r="M214" s="133">
        <f>(Ontwerp_Transport_Totaal[[#This Row],[Transport naar bouwplaats '[tkm']]]+Ontwerp_Transport_Totaal[[#This Row],[Transport naar verwerker '[tkm']]]+Ontwerp_Transport_Totaal[[#This Row],[Transport naar bouwplaats Vervangingen '[tkm']]]+Ontwerp_Transport_Totaal[[#This Row],[Transport naar verwerker Vervangingen '[tkm']]])-Ontwerp_Transport_Totaal[[#This Row],[Totaal Emissieloos Transport]]</f>
        <v>0</v>
      </c>
      <c r="N214" s="133">
        <f>Ontwerp_Transport_Totaal[[#This Row],[Totaal Emissieloos Transport]]+Ontwerp_Transport_Totaal[[#This Row],[Totaal Niet Emissieloos Transport]]</f>
        <v>0</v>
      </c>
      <c r="O214" s="13"/>
      <c r="P214" s="13"/>
      <c r="Q214" s="13"/>
      <c r="R214" s="13"/>
      <c r="Y214" s="13"/>
    </row>
    <row r="215" spans="2:25">
      <c r="B215" s="51" t="str">
        <f>Ontwerpberekening!B6</f>
        <v>Open Menggranulaat</v>
      </c>
      <c r="C215" s="51" t="str">
        <f>Ontwerpberekening!E6</f>
        <v>Nieuwe situatie</v>
      </c>
      <c r="D215" s="51"/>
      <c r="E215" s="51"/>
      <c r="F215" s="94" t="s">
        <v>135</v>
      </c>
      <c r="G215" s="94" t="s">
        <v>135</v>
      </c>
      <c r="H215" s="51">
        <f>IF(Ontwerp_Transport_Totaal[[#This Row],[Emissieloos Transport naar bouwplaats?]]="JA",Ontwerp_Transport_Totaal[[#This Row],[Transport naar bouwplaats '[tkm']]],0)+IF(Ontwerp_Transport_Totaal[[#This Row],[Emissieloos Transport naar verwerker?]]="JA",Ontwerp_Transport_Totaal[[#This Row],[Transport naar verwerker '[tkm']]],0)</f>
        <v>0</v>
      </c>
      <c r="I215" s="51"/>
      <c r="J215" s="51"/>
      <c r="K215" s="51">
        <f>IF(Ontwerp_Transport_Totaal[[#This Row],[Emissieloos Transport naar bouwplaats?]]="JA",Ontwerp_Transport_Totaal[[#This Row],[Transport naar bouwplaats Vervangingen '[tkm']]],0)+IF(Ontwerp_Transport_Totaal[[#This Row],[Emissieloos Transport naar verwerker?]]="JA",Ontwerp_Transport_Totaal[[#This Row],[Transport naar verwerker Vervangingen '[tkm']]],0)</f>
        <v>0</v>
      </c>
      <c r="L215" s="51">
        <f>Ontwerp_Transport_Totaal[[#This Row],[Emissieloos Transport]]+Ontwerp_Transport_Totaal[[#This Row],[Emissieloos Transport Vervangingen]]</f>
        <v>0</v>
      </c>
      <c r="M215" s="51">
        <f>(Ontwerp_Transport_Totaal[[#This Row],[Transport naar bouwplaats '[tkm']]]+Ontwerp_Transport_Totaal[[#This Row],[Transport naar verwerker '[tkm']]]+Ontwerp_Transport_Totaal[[#This Row],[Transport naar bouwplaats Vervangingen '[tkm']]]+Ontwerp_Transport_Totaal[[#This Row],[Transport naar verwerker Vervangingen '[tkm']]])-Ontwerp_Transport_Totaal[[#This Row],[Totaal Emissieloos Transport]]</f>
        <v>0</v>
      </c>
      <c r="N215" s="51">
        <f>Ontwerp_Transport_Totaal[[#This Row],[Totaal Emissieloos Transport]]+Ontwerp_Transport_Totaal[[#This Row],[Totaal Niet Emissieloos Transport]]</f>
        <v>0</v>
      </c>
      <c r="O215" s="13"/>
      <c r="P215" s="13"/>
      <c r="Q215" s="13"/>
      <c r="R215" s="13"/>
      <c r="Y215" s="13"/>
    </row>
    <row r="216" spans="2:25">
      <c r="B216" s="51" t="str">
        <f>Ontwerpberekening!B7</f>
        <v>Open Menggranulaat</v>
      </c>
      <c r="C216" s="51" t="str">
        <f>Ontwerpberekening!E7</f>
        <v>Nieuwe situatie</v>
      </c>
      <c r="D216" s="51"/>
      <c r="E216" s="51"/>
      <c r="F216" s="94" t="s">
        <v>135</v>
      </c>
      <c r="G216" s="94" t="s">
        <v>135</v>
      </c>
      <c r="H216" s="51">
        <f>IF(Ontwerp_Transport_Totaal[[#This Row],[Emissieloos Transport naar bouwplaats?]]="JA",Ontwerp_Transport_Totaal[[#This Row],[Transport naar bouwplaats '[tkm']]],0)+IF(Ontwerp_Transport_Totaal[[#This Row],[Emissieloos Transport naar verwerker?]]="JA",Ontwerp_Transport_Totaal[[#This Row],[Transport naar verwerker '[tkm']]],0)</f>
        <v>0</v>
      </c>
      <c r="I216" s="51"/>
      <c r="J216" s="51"/>
      <c r="K216" s="51">
        <f>IF(Ontwerp_Transport_Totaal[[#This Row],[Emissieloos Transport naar bouwplaats?]]="JA",Ontwerp_Transport_Totaal[[#This Row],[Transport naar bouwplaats Vervangingen '[tkm']]],0)+IF(Ontwerp_Transport_Totaal[[#This Row],[Emissieloos Transport naar verwerker?]]="JA",Ontwerp_Transport_Totaal[[#This Row],[Transport naar verwerker Vervangingen '[tkm']]],0)</f>
        <v>0</v>
      </c>
      <c r="L216" s="51">
        <f>Ontwerp_Transport_Totaal[[#This Row],[Emissieloos Transport]]+Ontwerp_Transport_Totaal[[#This Row],[Emissieloos Transport Vervangingen]]</f>
        <v>0</v>
      </c>
      <c r="M216" s="51">
        <f>(Ontwerp_Transport_Totaal[[#This Row],[Transport naar bouwplaats '[tkm']]]+Ontwerp_Transport_Totaal[[#This Row],[Transport naar verwerker '[tkm']]]+Ontwerp_Transport_Totaal[[#This Row],[Transport naar bouwplaats Vervangingen '[tkm']]]+Ontwerp_Transport_Totaal[[#This Row],[Transport naar verwerker Vervangingen '[tkm']]])-Ontwerp_Transport_Totaal[[#This Row],[Totaal Emissieloos Transport]]</f>
        <v>0</v>
      </c>
      <c r="N216" s="51">
        <f>Ontwerp_Transport_Totaal[[#This Row],[Totaal Emissieloos Transport]]+Ontwerp_Transport_Totaal[[#This Row],[Totaal Niet Emissieloos Transport]]</f>
        <v>0</v>
      </c>
      <c r="O216" s="13"/>
      <c r="P216" s="13"/>
      <c r="Q216" s="13"/>
      <c r="R216" s="13"/>
      <c r="Y216" s="13"/>
    </row>
    <row r="217" spans="2:25">
      <c r="B217" s="51" t="str">
        <f>Ontwerpberekening!B8</f>
        <v>Open Menggranulaat</v>
      </c>
      <c r="C217" s="51" t="str">
        <f>Ontwerpberekening!E8</f>
        <v>Nieuwe situatie</v>
      </c>
      <c r="D217" s="51"/>
      <c r="E217" s="51"/>
      <c r="F217" s="94" t="s">
        <v>135</v>
      </c>
      <c r="G217" s="94" t="s">
        <v>135</v>
      </c>
      <c r="H217" s="51">
        <f>IF(Ontwerp_Transport_Totaal[[#This Row],[Emissieloos Transport naar bouwplaats?]]="JA",Ontwerp_Transport_Totaal[[#This Row],[Transport naar bouwplaats '[tkm']]],0)+IF(Ontwerp_Transport_Totaal[[#This Row],[Emissieloos Transport naar verwerker?]]="JA",Ontwerp_Transport_Totaal[[#This Row],[Transport naar verwerker '[tkm']]],0)</f>
        <v>0</v>
      </c>
      <c r="I217" s="51"/>
      <c r="J217" s="51"/>
      <c r="K217" s="51">
        <f>IF(Ontwerp_Transport_Totaal[[#This Row],[Emissieloos Transport naar bouwplaats?]]="JA",Ontwerp_Transport_Totaal[[#This Row],[Transport naar bouwplaats Vervangingen '[tkm']]],0)+IF(Ontwerp_Transport_Totaal[[#This Row],[Emissieloos Transport naar verwerker?]]="JA",Ontwerp_Transport_Totaal[[#This Row],[Transport naar verwerker Vervangingen '[tkm']]],0)</f>
        <v>0</v>
      </c>
      <c r="L217" s="51">
        <f>Ontwerp_Transport_Totaal[[#This Row],[Emissieloos Transport]]+Ontwerp_Transport_Totaal[[#This Row],[Emissieloos Transport Vervangingen]]</f>
        <v>0</v>
      </c>
      <c r="M217" s="51">
        <f>(Ontwerp_Transport_Totaal[[#This Row],[Transport naar bouwplaats '[tkm']]]+Ontwerp_Transport_Totaal[[#This Row],[Transport naar verwerker '[tkm']]]+Ontwerp_Transport_Totaal[[#This Row],[Transport naar bouwplaats Vervangingen '[tkm']]]+Ontwerp_Transport_Totaal[[#This Row],[Transport naar verwerker Vervangingen '[tkm']]])-Ontwerp_Transport_Totaal[[#This Row],[Totaal Emissieloos Transport]]</f>
        <v>0</v>
      </c>
      <c r="N217" s="51">
        <f>Ontwerp_Transport_Totaal[[#This Row],[Totaal Emissieloos Transport]]+Ontwerp_Transport_Totaal[[#This Row],[Totaal Niet Emissieloos Transport]]</f>
        <v>0</v>
      </c>
      <c r="O217" s="13"/>
      <c r="P217" s="13"/>
      <c r="Q217" s="13"/>
      <c r="R217" s="13"/>
      <c r="Y217" s="13"/>
    </row>
    <row r="218" spans="2:25">
      <c r="B218" s="51" t="str">
        <f>Ontwerpberekening!B9</f>
        <v>Open Menggranulaat</v>
      </c>
      <c r="C218" s="51" t="str">
        <f>Ontwerpberekening!E9</f>
        <v>Nieuwe situatie</v>
      </c>
      <c r="D218" s="51"/>
      <c r="E218" s="51"/>
      <c r="F218" s="94" t="s">
        <v>135</v>
      </c>
      <c r="G218" s="94" t="s">
        <v>135</v>
      </c>
      <c r="H218" s="51">
        <f>IF(Ontwerp_Transport_Totaal[[#This Row],[Emissieloos Transport naar bouwplaats?]]="JA",Ontwerp_Transport_Totaal[[#This Row],[Transport naar bouwplaats '[tkm']]],0)+IF(Ontwerp_Transport_Totaal[[#This Row],[Emissieloos Transport naar verwerker?]]="JA",Ontwerp_Transport_Totaal[[#This Row],[Transport naar verwerker '[tkm']]],0)</f>
        <v>0</v>
      </c>
      <c r="I218" s="51"/>
      <c r="J218" s="51"/>
      <c r="K218" s="51">
        <f>IF(Ontwerp_Transport_Totaal[[#This Row],[Emissieloos Transport naar bouwplaats?]]="JA",Ontwerp_Transport_Totaal[[#This Row],[Transport naar bouwplaats Vervangingen '[tkm']]],0)+IF(Ontwerp_Transport_Totaal[[#This Row],[Emissieloos Transport naar verwerker?]]="JA",Ontwerp_Transport_Totaal[[#This Row],[Transport naar verwerker Vervangingen '[tkm']]],0)</f>
        <v>0</v>
      </c>
      <c r="L218" s="51">
        <f>Ontwerp_Transport_Totaal[[#This Row],[Emissieloos Transport]]+Ontwerp_Transport_Totaal[[#This Row],[Emissieloos Transport Vervangingen]]</f>
        <v>0</v>
      </c>
      <c r="M218" s="51">
        <f>(Ontwerp_Transport_Totaal[[#This Row],[Transport naar bouwplaats '[tkm']]]+Ontwerp_Transport_Totaal[[#This Row],[Transport naar verwerker '[tkm']]]+Ontwerp_Transport_Totaal[[#This Row],[Transport naar bouwplaats Vervangingen '[tkm']]]+Ontwerp_Transport_Totaal[[#This Row],[Transport naar verwerker Vervangingen '[tkm']]])-Ontwerp_Transport_Totaal[[#This Row],[Totaal Emissieloos Transport]]</f>
        <v>0</v>
      </c>
      <c r="N218" s="51">
        <f>Ontwerp_Transport_Totaal[[#This Row],[Totaal Emissieloos Transport]]+Ontwerp_Transport_Totaal[[#This Row],[Totaal Niet Emissieloos Transport]]</f>
        <v>0</v>
      </c>
      <c r="O218" s="13"/>
      <c r="P218" s="13"/>
      <c r="Q218" s="13"/>
      <c r="R218" s="13"/>
      <c r="Y218" s="13"/>
    </row>
    <row r="219" spans="2:25">
      <c r="B219" s="51" t="str">
        <f>Ontwerpberekening!B10</f>
        <v>Open Menggranulaat</v>
      </c>
      <c r="C219" s="51" t="str">
        <f>Ontwerpberekening!E10</f>
        <v>Nieuwe situatie</v>
      </c>
      <c r="D219" s="51"/>
      <c r="E219" s="51"/>
      <c r="F219" s="94" t="s">
        <v>135</v>
      </c>
      <c r="G219" s="94" t="s">
        <v>135</v>
      </c>
      <c r="H219" s="51">
        <f>IF(Ontwerp_Transport_Totaal[[#This Row],[Emissieloos Transport naar bouwplaats?]]="JA",Ontwerp_Transport_Totaal[[#This Row],[Transport naar bouwplaats '[tkm']]],0)+IF(Ontwerp_Transport_Totaal[[#This Row],[Emissieloos Transport naar verwerker?]]="JA",Ontwerp_Transport_Totaal[[#This Row],[Transport naar verwerker '[tkm']]],0)</f>
        <v>0</v>
      </c>
      <c r="I219" s="51"/>
      <c r="J219" s="51"/>
      <c r="K219" s="51">
        <f>IF(Ontwerp_Transport_Totaal[[#This Row],[Emissieloos Transport naar bouwplaats?]]="JA",Ontwerp_Transport_Totaal[[#This Row],[Transport naar bouwplaats Vervangingen '[tkm']]],0)+IF(Ontwerp_Transport_Totaal[[#This Row],[Emissieloos Transport naar verwerker?]]="JA",Ontwerp_Transport_Totaal[[#This Row],[Transport naar verwerker Vervangingen '[tkm']]],0)</f>
        <v>0</v>
      </c>
      <c r="L219" s="51">
        <f>Ontwerp_Transport_Totaal[[#This Row],[Emissieloos Transport]]+Ontwerp_Transport_Totaal[[#This Row],[Emissieloos Transport Vervangingen]]</f>
        <v>0</v>
      </c>
      <c r="M219" s="51">
        <f>(Ontwerp_Transport_Totaal[[#This Row],[Transport naar bouwplaats '[tkm']]]+Ontwerp_Transport_Totaal[[#This Row],[Transport naar verwerker '[tkm']]]+Ontwerp_Transport_Totaal[[#This Row],[Transport naar bouwplaats Vervangingen '[tkm']]]+Ontwerp_Transport_Totaal[[#This Row],[Transport naar verwerker Vervangingen '[tkm']]])-Ontwerp_Transport_Totaal[[#This Row],[Totaal Emissieloos Transport]]</f>
        <v>0</v>
      </c>
      <c r="N219" s="51">
        <f>Ontwerp_Transport_Totaal[[#This Row],[Totaal Emissieloos Transport]]+Ontwerp_Transport_Totaal[[#This Row],[Totaal Niet Emissieloos Transport]]</f>
        <v>0</v>
      </c>
      <c r="O219" s="13"/>
      <c r="P219" s="13"/>
      <c r="Q219" s="13"/>
      <c r="R219" s="13"/>
      <c r="Y219" s="13"/>
    </row>
    <row r="220" spans="2:25">
      <c r="B220" s="51" t="str">
        <f>Ontwerpberekening!B11</f>
        <v>Open Menggranulaat</v>
      </c>
      <c r="C220" s="51" t="str">
        <f>Ontwerpberekening!E11</f>
        <v>Bestaande situatie</v>
      </c>
      <c r="D220" s="51"/>
      <c r="E220" s="51"/>
      <c r="F220" s="94" t="s">
        <v>135</v>
      </c>
      <c r="G220" s="94" t="s">
        <v>135</v>
      </c>
      <c r="H220" s="51">
        <f>IF(Ontwerp_Transport_Totaal[[#This Row],[Emissieloos Transport naar bouwplaats?]]="JA",Ontwerp_Transport_Totaal[[#This Row],[Transport naar bouwplaats '[tkm']]],0)+IF(Ontwerp_Transport_Totaal[[#This Row],[Emissieloos Transport naar verwerker?]]="JA",Ontwerp_Transport_Totaal[[#This Row],[Transport naar verwerker '[tkm']]],0)</f>
        <v>0</v>
      </c>
      <c r="I220" s="51"/>
      <c r="J220" s="51"/>
      <c r="K220" s="51">
        <f>IF(Ontwerp_Transport_Totaal[[#This Row],[Emissieloos Transport naar bouwplaats?]]="JA",Ontwerp_Transport_Totaal[[#This Row],[Transport naar bouwplaats Vervangingen '[tkm']]],0)+IF(Ontwerp_Transport_Totaal[[#This Row],[Emissieloos Transport naar verwerker?]]="JA",Ontwerp_Transport_Totaal[[#This Row],[Transport naar verwerker Vervangingen '[tkm']]],0)</f>
        <v>0</v>
      </c>
      <c r="L220" s="51">
        <f>Ontwerp_Transport_Totaal[[#This Row],[Emissieloos Transport]]+Ontwerp_Transport_Totaal[[#This Row],[Emissieloos Transport Vervangingen]]</f>
        <v>0</v>
      </c>
      <c r="M220" s="51">
        <f>(Ontwerp_Transport_Totaal[[#This Row],[Transport naar bouwplaats '[tkm']]]+Ontwerp_Transport_Totaal[[#This Row],[Transport naar verwerker '[tkm']]]+Ontwerp_Transport_Totaal[[#This Row],[Transport naar bouwplaats Vervangingen '[tkm']]]+Ontwerp_Transport_Totaal[[#This Row],[Transport naar verwerker Vervangingen '[tkm']]])-Ontwerp_Transport_Totaal[[#This Row],[Totaal Emissieloos Transport]]</f>
        <v>0</v>
      </c>
      <c r="N220" s="51">
        <f>Ontwerp_Transport_Totaal[[#This Row],[Totaal Emissieloos Transport]]+Ontwerp_Transport_Totaal[[#This Row],[Totaal Niet Emissieloos Transport]]</f>
        <v>0</v>
      </c>
      <c r="O220" s="13"/>
      <c r="P220" s="13"/>
      <c r="Q220" s="13"/>
      <c r="R220" s="13"/>
      <c r="Y220" s="13"/>
    </row>
    <row r="221" spans="2:25">
      <c r="B221" s="51" t="str">
        <f>Ontwerpberekening!B12</f>
        <v>Open Menggranulaat</v>
      </c>
      <c r="C221" s="51" t="str">
        <f>Ontwerpberekening!E12</f>
        <v>Bestaande situatie</v>
      </c>
      <c r="D221" s="51"/>
      <c r="E221" s="51"/>
      <c r="F221" s="94" t="s">
        <v>135</v>
      </c>
      <c r="G221" s="94" t="s">
        <v>135</v>
      </c>
      <c r="H221" s="51">
        <f>IF(Ontwerp_Transport_Totaal[[#This Row],[Emissieloos Transport naar bouwplaats?]]="JA",Ontwerp_Transport_Totaal[[#This Row],[Transport naar bouwplaats '[tkm']]],0)+IF(Ontwerp_Transport_Totaal[[#This Row],[Emissieloos Transport naar verwerker?]]="JA",Ontwerp_Transport_Totaal[[#This Row],[Transport naar verwerker '[tkm']]],0)</f>
        <v>0</v>
      </c>
      <c r="I221" s="51"/>
      <c r="J221" s="51"/>
      <c r="K221" s="51">
        <f>IF(Ontwerp_Transport_Totaal[[#This Row],[Emissieloos Transport naar bouwplaats?]]="JA",Ontwerp_Transport_Totaal[[#This Row],[Transport naar bouwplaats Vervangingen '[tkm']]],0)+IF(Ontwerp_Transport_Totaal[[#This Row],[Emissieloos Transport naar verwerker?]]="JA",Ontwerp_Transport_Totaal[[#This Row],[Transport naar verwerker Vervangingen '[tkm']]],0)</f>
        <v>0</v>
      </c>
      <c r="L221" s="51">
        <f>Ontwerp_Transport_Totaal[[#This Row],[Emissieloos Transport]]+Ontwerp_Transport_Totaal[[#This Row],[Emissieloos Transport Vervangingen]]</f>
        <v>0</v>
      </c>
      <c r="M221" s="51">
        <f>(Ontwerp_Transport_Totaal[[#This Row],[Transport naar bouwplaats '[tkm']]]+Ontwerp_Transport_Totaal[[#This Row],[Transport naar verwerker '[tkm']]]+Ontwerp_Transport_Totaal[[#This Row],[Transport naar bouwplaats Vervangingen '[tkm']]]+Ontwerp_Transport_Totaal[[#This Row],[Transport naar verwerker Vervangingen '[tkm']]])-Ontwerp_Transport_Totaal[[#This Row],[Totaal Emissieloos Transport]]</f>
        <v>0</v>
      </c>
      <c r="N221" s="51">
        <f>Ontwerp_Transport_Totaal[[#This Row],[Totaal Emissieloos Transport]]+Ontwerp_Transport_Totaal[[#This Row],[Totaal Niet Emissieloos Transport]]</f>
        <v>0</v>
      </c>
      <c r="O221" s="13"/>
      <c r="P221" s="13"/>
      <c r="Q221" s="13"/>
      <c r="R221" s="13"/>
      <c r="Y221" s="13"/>
    </row>
    <row r="222" spans="2:25">
      <c r="B222" s="51" t="str">
        <f>Ontwerpberekening!B13</f>
        <v>Open Menggranulaat</v>
      </c>
      <c r="C222" s="51" t="str">
        <f>Ontwerpberekening!E13</f>
        <v>Bestaande situatie</v>
      </c>
      <c r="D222" s="51"/>
      <c r="E222" s="51"/>
      <c r="F222" s="94" t="s">
        <v>135</v>
      </c>
      <c r="G222" s="94" t="s">
        <v>135</v>
      </c>
      <c r="H222" s="51">
        <f>IF(Ontwerp_Transport_Totaal[[#This Row],[Emissieloos Transport naar bouwplaats?]]="JA",Ontwerp_Transport_Totaal[[#This Row],[Transport naar bouwplaats '[tkm']]],0)+IF(Ontwerp_Transport_Totaal[[#This Row],[Emissieloos Transport naar verwerker?]]="JA",Ontwerp_Transport_Totaal[[#This Row],[Transport naar verwerker '[tkm']]],0)</f>
        <v>0</v>
      </c>
      <c r="I222" s="51"/>
      <c r="J222" s="51"/>
      <c r="K222" s="51">
        <f>IF(Ontwerp_Transport_Totaal[[#This Row],[Emissieloos Transport naar bouwplaats?]]="JA",Ontwerp_Transport_Totaal[[#This Row],[Transport naar bouwplaats Vervangingen '[tkm']]],0)+IF(Ontwerp_Transport_Totaal[[#This Row],[Emissieloos Transport naar verwerker?]]="JA",Ontwerp_Transport_Totaal[[#This Row],[Transport naar verwerker Vervangingen '[tkm']]],0)</f>
        <v>0</v>
      </c>
      <c r="L222" s="51">
        <f>Ontwerp_Transport_Totaal[[#This Row],[Emissieloos Transport]]+Ontwerp_Transport_Totaal[[#This Row],[Emissieloos Transport Vervangingen]]</f>
        <v>0</v>
      </c>
      <c r="M222" s="51">
        <f>(Ontwerp_Transport_Totaal[[#This Row],[Transport naar bouwplaats '[tkm']]]+Ontwerp_Transport_Totaal[[#This Row],[Transport naar verwerker '[tkm']]]+Ontwerp_Transport_Totaal[[#This Row],[Transport naar bouwplaats Vervangingen '[tkm']]]+Ontwerp_Transport_Totaal[[#This Row],[Transport naar verwerker Vervangingen '[tkm']]])-Ontwerp_Transport_Totaal[[#This Row],[Totaal Emissieloos Transport]]</f>
        <v>0</v>
      </c>
      <c r="N222" s="51">
        <f>Ontwerp_Transport_Totaal[[#This Row],[Totaal Emissieloos Transport]]+Ontwerp_Transport_Totaal[[#This Row],[Totaal Niet Emissieloos Transport]]</f>
        <v>0</v>
      </c>
      <c r="O222" s="13"/>
      <c r="P222" s="13"/>
      <c r="Q222" s="13"/>
      <c r="R222" s="13"/>
      <c r="Y222" s="13"/>
    </row>
    <row r="223" spans="2:25">
      <c r="B223" s="51" t="str">
        <f>Ontwerpberekening!B14</f>
        <v>Open Menggranulaat</v>
      </c>
      <c r="C223" s="51" t="str">
        <f>Ontwerpberekening!E14</f>
        <v>Bestaande situatie</v>
      </c>
      <c r="D223" s="51"/>
      <c r="E223" s="51"/>
      <c r="F223" s="94" t="s">
        <v>135</v>
      </c>
      <c r="G223" s="94" t="s">
        <v>135</v>
      </c>
      <c r="H223" s="51">
        <f>IF(Ontwerp_Transport_Totaal[[#This Row],[Emissieloos Transport naar bouwplaats?]]="JA",Ontwerp_Transport_Totaal[[#This Row],[Transport naar bouwplaats '[tkm']]],0)+IF(Ontwerp_Transport_Totaal[[#This Row],[Emissieloos Transport naar verwerker?]]="JA",Ontwerp_Transport_Totaal[[#This Row],[Transport naar verwerker '[tkm']]],0)</f>
        <v>0</v>
      </c>
      <c r="I223" s="51"/>
      <c r="J223" s="51"/>
      <c r="K223" s="51">
        <f>IF(Ontwerp_Transport_Totaal[[#This Row],[Emissieloos Transport naar bouwplaats?]]="JA",Ontwerp_Transport_Totaal[[#This Row],[Transport naar bouwplaats Vervangingen '[tkm']]],0)+IF(Ontwerp_Transport_Totaal[[#This Row],[Emissieloos Transport naar verwerker?]]="JA",Ontwerp_Transport_Totaal[[#This Row],[Transport naar verwerker Vervangingen '[tkm']]],0)</f>
        <v>0</v>
      </c>
      <c r="L223" s="51">
        <f>Ontwerp_Transport_Totaal[[#This Row],[Emissieloos Transport]]+Ontwerp_Transport_Totaal[[#This Row],[Emissieloos Transport Vervangingen]]</f>
        <v>0</v>
      </c>
      <c r="M223" s="51">
        <f>(Ontwerp_Transport_Totaal[[#This Row],[Transport naar bouwplaats '[tkm']]]+Ontwerp_Transport_Totaal[[#This Row],[Transport naar verwerker '[tkm']]]+Ontwerp_Transport_Totaal[[#This Row],[Transport naar bouwplaats Vervangingen '[tkm']]]+Ontwerp_Transport_Totaal[[#This Row],[Transport naar verwerker Vervangingen '[tkm']]])-Ontwerp_Transport_Totaal[[#This Row],[Totaal Emissieloos Transport]]</f>
        <v>0</v>
      </c>
      <c r="N223" s="51">
        <f>Ontwerp_Transport_Totaal[[#This Row],[Totaal Emissieloos Transport]]+Ontwerp_Transport_Totaal[[#This Row],[Totaal Niet Emissieloos Transport]]</f>
        <v>0</v>
      </c>
      <c r="O223" s="13"/>
      <c r="P223" s="13"/>
      <c r="Q223" s="13"/>
      <c r="R223" s="13"/>
      <c r="Y223" s="13"/>
    </row>
    <row r="224" spans="2:25">
      <c r="B224" s="51" t="str">
        <f>Ontwerpberekening!B15</f>
        <v>Open Menggranulaat</v>
      </c>
      <c r="C224" s="51" t="str">
        <f>Ontwerpberekening!E15</f>
        <v>Bestaande situatie</v>
      </c>
      <c r="D224" s="51"/>
      <c r="E224" s="51"/>
      <c r="F224" s="94" t="s">
        <v>135</v>
      </c>
      <c r="G224" s="94" t="s">
        <v>135</v>
      </c>
      <c r="H224" s="51">
        <f>IF(Ontwerp_Transport_Totaal[[#This Row],[Emissieloos Transport naar bouwplaats?]]="JA",Ontwerp_Transport_Totaal[[#This Row],[Transport naar bouwplaats '[tkm']]],0)+IF(Ontwerp_Transport_Totaal[[#This Row],[Emissieloos Transport naar verwerker?]]="JA",Ontwerp_Transport_Totaal[[#This Row],[Transport naar verwerker '[tkm']]],0)</f>
        <v>0</v>
      </c>
      <c r="I224" s="51"/>
      <c r="J224" s="51"/>
      <c r="K224" s="51">
        <f>IF(Ontwerp_Transport_Totaal[[#This Row],[Emissieloos Transport naar bouwplaats?]]="JA",Ontwerp_Transport_Totaal[[#This Row],[Transport naar bouwplaats Vervangingen '[tkm']]],0)+IF(Ontwerp_Transport_Totaal[[#This Row],[Emissieloos Transport naar verwerker?]]="JA",Ontwerp_Transport_Totaal[[#This Row],[Transport naar verwerker Vervangingen '[tkm']]],0)</f>
        <v>0</v>
      </c>
      <c r="L224" s="51">
        <f>Ontwerp_Transport_Totaal[[#This Row],[Emissieloos Transport]]+Ontwerp_Transport_Totaal[[#This Row],[Emissieloos Transport Vervangingen]]</f>
        <v>0</v>
      </c>
      <c r="M224" s="51">
        <f>(Ontwerp_Transport_Totaal[[#This Row],[Transport naar bouwplaats '[tkm']]]+Ontwerp_Transport_Totaal[[#This Row],[Transport naar verwerker '[tkm']]]+Ontwerp_Transport_Totaal[[#This Row],[Transport naar bouwplaats Vervangingen '[tkm']]]+Ontwerp_Transport_Totaal[[#This Row],[Transport naar verwerker Vervangingen '[tkm']]])-Ontwerp_Transport_Totaal[[#This Row],[Totaal Emissieloos Transport]]</f>
        <v>0</v>
      </c>
      <c r="N224" s="51">
        <f>Ontwerp_Transport_Totaal[[#This Row],[Totaal Emissieloos Transport]]+Ontwerp_Transport_Totaal[[#This Row],[Totaal Niet Emissieloos Transport]]</f>
        <v>0</v>
      </c>
      <c r="O224" s="13"/>
      <c r="P224" s="13"/>
      <c r="Q224" s="13"/>
      <c r="R224" s="13"/>
      <c r="Y224" s="13"/>
    </row>
    <row r="225" spans="2:25">
      <c r="B225" s="51" t="str">
        <f>Ontwerpberekening!B16</f>
        <v>Plastic kratten</v>
      </c>
      <c r="C225" s="51" t="str">
        <f>Ontwerpberekening!E16</f>
        <v>Bestaande situatie</v>
      </c>
      <c r="D225" s="51"/>
      <c r="E225" s="51"/>
      <c r="F225" s="94" t="s">
        <v>135</v>
      </c>
      <c r="G225" s="94" t="s">
        <v>135</v>
      </c>
      <c r="H225" s="51">
        <f>IF(Ontwerp_Transport_Totaal[[#This Row],[Emissieloos Transport naar bouwplaats?]]="JA",Ontwerp_Transport_Totaal[[#This Row],[Transport naar bouwplaats '[tkm']]],0)+IF(Ontwerp_Transport_Totaal[[#This Row],[Emissieloos Transport naar verwerker?]]="JA",Ontwerp_Transport_Totaal[[#This Row],[Transport naar verwerker '[tkm']]],0)</f>
        <v>0</v>
      </c>
      <c r="I225" s="51"/>
      <c r="J225" s="51"/>
      <c r="K225" s="51">
        <f>IF(Ontwerp_Transport_Totaal[[#This Row],[Emissieloos Transport naar bouwplaats?]]="JA",Ontwerp_Transport_Totaal[[#This Row],[Transport naar bouwplaats Vervangingen '[tkm']]],0)+IF(Ontwerp_Transport_Totaal[[#This Row],[Emissieloos Transport naar verwerker?]]="JA",Ontwerp_Transport_Totaal[[#This Row],[Transport naar verwerker Vervangingen '[tkm']]],0)</f>
        <v>0</v>
      </c>
      <c r="L225" s="51">
        <f>Ontwerp_Transport_Totaal[[#This Row],[Emissieloos Transport]]+Ontwerp_Transport_Totaal[[#This Row],[Emissieloos Transport Vervangingen]]</f>
        <v>0</v>
      </c>
      <c r="M225" s="51">
        <f>(Ontwerp_Transport_Totaal[[#This Row],[Transport naar bouwplaats '[tkm']]]+Ontwerp_Transport_Totaal[[#This Row],[Transport naar verwerker '[tkm']]]+Ontwerp_Transport_Totaal[[#This Row],[Transport naar bouwplaats Vervangingen '[tkm']]]+Ontwerp_Transport_Totaal[[#This Row],[Transport naar verwerker Vervangingen '[tkm']]])-Ontwerp_Transport_Totaal[[#This Row],[Totaal Emissieloos Transport]]</f>
        <v>0</v>
      </c>
      <c r="N225" s="51">
        <f>Ontwerp_Transport_Totaal[[#This Row],[Totaal Emissieloos Transport]]+Ontwerp_Transport_Totaal[[#This Row],[Totaal Niet Emissieloos Transport]]</f>
        <v>0</v>
      </c>
      <c r="O225" s="13"/>
      <c r="P225" s="13"/>
      <c r="Q225" s="13"/>
      <c r="R225" s="13"/>
      <c r="Y225" s="13"/>
    </row>
    <row r="226" spans="2:25">
      <c r="B226" s="51" t="str">
        <f>Ontwerpberekening!B17</f>
        <v>Plastic kratten</v>
      </c>
      <c r="C226" s="51" t="str">
        <f>Ontwerpberekening!E17</f>
        <v>Nieuwe situatie</v>
      </c>
      <c r="D226" s="51"/>
      <c r="E226" s="51"/>
      <c r="F226" s="94" t="s">
        <v>135</v>
      </c>
      <c r="G226" s="94" t="s">
        <v>135</v>
      </c>
      <c r="H226" s="51">
        <f>IF(Ontwerp_Transport_Totaal[[#This Row],[Emissieloos Transport naar bouwplaats?]]="JA",Ontwerp_Transport_Totaal[[#This Row],[Transport naar bouwplaats '[tkm']]],0)+IF(Ontwerp_Transport_Totaal[[#This Row],[Emissieloos Transport naar verwerker?]]="JA",Ontwerp_Transport_Totaal[[#This Row],[Transport naar verwerker '[tkm']]],0)</f>
        <v>0</v>
      </c>
      <c r="I226" s="51"/>
      <c r="J226" s="51"/>
      <c r="K226" s="51">
        <f>IF(Ontwerp_Transport_Totaal[[#This Row],[Emissieloos Transport naar bouwplaats?]]="JA",Ontwerp_Transport_Totaal[[#This Row],[Transport naar bouwplaats Vervangingen '[tkm']]],0)+IF(Ontwerp_Transport_Totaal[[#This Row],[Emissieloos Transport naar verwerker?]]="JA",Ontwerp_Transport_Totaal[[#This Row],[Transport naar verwerker Vervangingen '[tkm']]],0)</f>
        <v>0</v>
      </c>
      <c r="L226" s="51">
        <f>Ontwerp_Transport_Totaal[[#This Row],[Emissieloos Transport]]+Ontwerp_Transport_Totaal[[#This Row],[Emissieloos Transport Vervangingen]]</f>
        <v>0</v>
      </c>
      <c r="M226" s="51">
        <f>(Ontwerp_Transport_Totaal[[#This Row],[Transport naar bouwplaats '[tkm']]]+Ontwerp_Transport_Totaal[[#This Row],[Transport naar verwerker '[tkm']]]+Ontwerp_Transport_Totaal[[#This Row],[Transport naar bouwplaats Vervangingen '[tkm']]]+Ontwerp_Transport_Totaal[[#This Row],[Transport naar verwerker Vervangingen '[tkm']]])-Ontwerp_Transport_Totaal[[#This Row],[Totaal Emissieloos Transport]]</f>
        <v>0</v>
      </c>
      <c r="N226" s="51">
        <f>Ontwerp_Transport_Totaal[[#This Row],[Totaal Emissieloos Transport]]+Ontwerp_Transport_Totaal[[#This Row],[Totaal Niet Emissieloos Transport]]</f>
        <v>0</v>
      </c>
      <c r="O226" s="13"/>
      <c r="P226" s="13"/>
      <c r="Q226" s="13"/>
      <c r="R226" s="13"/>
      <c r="Y226" s="13"/>
    </row>
    <row r="227" spans="2:25">
      <c r="B227" s="51" t="str">
        <f>Ontwerpberekening!B18</f>
        <v>Plastic kratten</v>
      </c>
      <c r="C227" s="51" t="str">
        <f>Ontwerpberekening!E18</f>
        <v>Nieuwe situatie</v>
      </c>
      <c r="D227" s="51"/>
      <c r="E227" s="51"/>
      <c r="F227" s="94" t="s">
        <v>135</v>
      </c>
      <c r="G227" s="94" t="s">
        <v>135</v>
      </c>
      <c r="H227" s="51">
        <f>IF(Ontwerp_Transport_Totaal[[#This Row],[Emissieloos Transport naar bouwplaats?]]="JA",Ontwerp_Transport_Totaal[[#This Row],[Transport naar bouwplaats '[tkm']]],0)+IF(Ontwerp_Transport_Totaal[[#This Row],[Emissieloos Transport naar verwerker?]]="JA",Ontwerp_Transport_Totaal[[#This Row],[Transport naar verwerker '[tkm']]],0)</f>
        <v>0</v>
      </c>
      <c r="I227" s="51"/>
      <c r="J227" s="51"/>
      <c r="K227" s="51">
        <f>IF(Ontwerp_Transport_Totaal[[#This Row],[Emissieloos Transport naar bouwplaats?]]="JA",Ontwerp_Transport_Totaal[[#This Row],[Transport naar bouwplaats Vervangingen '[tkm']]],0)+IF(Ontwerp_Transport_Totaal[[#This Row],[Emissieloos Transport naar verwerker?]]="JA",Ontwerp_Transport_Totaal[[#This Row],[Transport naar verwerker Vervangingen '[tkm']]],0)</f>
        <v>0</v>
      </c>
      <c r="L227" s="51">
        <f>Ontwerp_Transport_Totaal[[#This Row],[Emissieloos Transport]]+Ontwerp_Transport_Totaal[[#This Row],[Emissieloos Transport Vervangingen]]</f>
        <v>0</v>
      </c>
      <c r="M227" s="51">
        <f>(Ontwerp_Transport_Totaal[[#This Row],[Transport naar bouwplaats '[tkm']]]+Ontwerp_Transport_Totaal[[#This Row],[Transport naar verwerker '[tkm']]]+Ontwerp_Transport_Totaal[[#This Row],[Transport naar bouwplaats Vervangingen '[tkm']]]+Ontwerp_Transport_Totaal[[#This Row],[Transport naar verwerker Vervangingen '[tkm']]])-Ontwerp_Transport_Totaal[[#This Row],[Totaal Emissieloos Transport]]</f>
        <v>0</v>
      </c>
      <c r="N227" s="51">
        <f>Ontwerp_Transport_Totaal[[#This Row],[Totaal Emissieloos Transport]]+Ontwerp_Transport_Totaal[[#This Row],[Totaal Niet Emissieloos Transport]]</f>
        <v>0</v>
      </c>
      <c r="O227" s="13"/>
      <c r="P227" s="13"/>
      <c r="Q227" s="13"/>
      <c r="R227" s="13"/>
      <c r="Y227" s="13"/>
    </row>
    <row r="228" spans="2:25">
      <c r="B228" s="51" t="str">
        <f>Ontwerpberekening!B19</f>
        <v>Plastic kratten</v>
      </c>
      <c r="C228" s="51" t="str">
        <f>Ontwerpberekening!E19</f>
        <v>Nieuwe situatie</v>
      </c>
      <c r="D228" s="51"/>
      <c r="E228" s="51"/>
      <c r="F228" s="94" t="s">
        <v>135</v>
      </c>
      <c r="G228" s="94" t="s">
        <v>135</v>
      </c>
      <c r="H228" s="51">
        <f>IF(Ontwerp_Transport_Totaal[[#This Row],[Emissieloos Transport naar bouwplaats?]]="JA",Ontwerp_Transport_Totaal[[#This Row],[Transport naar bouwplaats '[tkm']]],0)+IF(Ontwerp_Transport_Totaal[[#This Row],[Emissieloos Transport naar verwerker?]]="JA",Ontwerp_Transport_Totaal[[#This Row],[Transport naar verwerker '[tkm']]],0)</f>
        <v>0</v>
      </c>
      <c r="I228" s="51"/>
      <c r="J228" s="51"/>
      <c r="K228" s="51">
        <f>IF(Ontwerp_Transport_Totaal[[#This Row],[Emissieloos Transport naar bouwplaats?]]="JA",Ontwerp_Transport_Totaal[[#This Row],[Transport naar bouwplaats Vervangingen '[tkm']]],0)+IF(Ontwerp_Transport_Totaal[[#This Row],[Emissieloos Transport naar verwerker?]]="JA",Ontwerp_Transport_Totaal[[#This Row],[Transport naar verwerker Vervangingen '[tkm']]],0)</f>
        <v>0</v>
      </c>
      <c r="L228" s="51">
        <f>Ontwerp_Transport_Totaal[[#This Row],[Emissieloos Transport]]+Ontwerp_Transport_Totaal[[#This Row],[Emissieloos Transport Vervangingen]]</f>
        <v>0</v>
      </c>
      <c r="M228" s="51">
        <f>(Ontwerp_Transport_Totaal[[#This Row],[Transport naar bouwplaats '[tkm']]]+Ontwerp_Transport_Totaal[[#This Row],[Transport naar verwerker '[tkm']]]+Ontwerp_Transport_Totaal[[#This Row],[Transport naar bouwplaats Vervangingen '[tkm']]]+Ontwerp_Transport_Totaal[[#This Row],[Transport naar verwerker Vervangingen '[tkm']]])-Ontwerp_Transport_Totaal[[#This Row],[Totaal Emissieloos Transport]]</f>
        <v>0</v>
      </c>
      <c r="N228" s="51">
        <f>Ontwerp_Transport_Totaal[[#This Row],[Totaal Emissieloos Transport]]+Ontwerp_Transport_Totaal[[#This Row],[Totaal Niet Emissieloos Transport]]</f>
        <v>0</v>
      </c>
      <c r="O228" s="13"/>
      <c r="P228" s="13"/>
      <c r="Q228" s="13"/>
      <c r="R228" s="13"/>
      <c r="Y228" s="13"/>
    </row>
    <row r="229" spans="2:25">
      <c r="B229" s="51" t="str">
        <f>Ontwerpberekening!B20</f>
        <v>Plastic kratten</v>
      </c>
      <c r="C229" s="51" t="str">
        <f>Ontwerpberekening!E20</f>
        <v>Nieuwe situatie</v>
      </c>
      <c r="D229" s="51"/>
      <c r="E229" s="51"/>
      <c r="F229" s="94" t="s">
        <v>135</v>
      </c>
      <c r="G229" s="94" t="s">
        <v>135</v>
      </c>
      <c r="H229" s="51">
        <f>IF(Ontwerp_Transport_Totaal[[#This Row],[Emissieloos Transport naar bouwplaats?]]="JA",Ontwerp_Transport_Totaal[[#This Row],[Transport naar bouwplaats '[tkm']]],0)+IF(Ontwerp_Transport_Totaal[[#This Row],[Emissieloos Transport naar verwerker?]]="JA",Ontwerp_Transport_Totaal[[#This Row],[Transport naar verwerker '[tkm']]],0)</f>
        <v>0</v>
      </c>
      <c r="I229" s="51"/>
      <c r="J229" s="51"/>
      <c r="K229" s="51">
        <f>IF(Ontwerp_Transport_Totaal[[#This Row],[Emissieloos Transport naar bouwplaats?]]="JA",Ontwerp_Transport_Totaal[[#This Row],[Transport naar bouwplaats Vervangingen '[tkm']]],0)+IF(Ontwerp_Transport_Totaal[[#This Row],[Emissieloos Transport naar verwerker?]]="JA",Ontwerp_Transport_Totaal[[#This Row],[Transport naar verwerker Vervangingen '[tkm']]],0)</f>
        <v>0</v>
      </c>
      <c r="L229" s="51">
        <f>Ontwerp_Transport_Totaal[[#This Row],[Emissieloos Transport]]+Ontwerp_Transport_Totaal[[#This Row],[Emissieloos Transport Vervangingen]]</f>
        <v>0</v>
      </c>
      <c r="M229" s="51">
        <f>(Ontwerp_Transport_Totaal[[#This Row],[Transport naar bouwplaats '[tkm']]]+Ontwerp_Transport_Totaal[[#This Row],[Transport naar verwerker '[tkm']]]+Ontwerp_Transport_Totaal[[#This Row],[Transport naar bouwplaats Vervangingen '[tkm']]]+Ontwerp_Transport_Totaal[[#This Row],[Transport naar verwerker Vervangingen '[tkm']]])-Ontwerp_Transport_Totaal[[#This Row],[Totaal Emissieloos Transport]]</f>
        <v>0</v>
      </c>
      <c r="N229" s="51">
        <f>Ontwerp_Transport_Totaal[[#This Row],[Totaal Emissieloos Transport]]+Ontwerp_Transport_Totaal[[#This Row],[Totaal Niet Emissieloos Transport]]</f>
        <v>0</v>
      </c>
      <c r="O229" s="13"/>
      <c r="P229" s="13"/>
      <c r="Q229" s="13"/>
      <c r="R229" s="13"/>
      <c r="Y229" s="13"/>
    </row>
    <row r="230" spans="2:25">
      <c r="B230" s="51" t="str">
        <f>Ontwerpberekening!B21</f>
        <v>Plastic kratten</v>
      </c>
      <c r="C230" s="51" t="str">
        <f>Ontwerpberekening!E21</f>
        <v>Nieuwe situatie</v>
      </c>
      <c r="D230" s="51"/>
      <c r="E230" s="51"/>
      <c r="F230" s="94" t="s">
        <v>135</v>
      </c>
      <c r="G230" s="94" t="s">
        <v>135</v>
      </c>
      <c r="H230" s="51">
        <f>IF(Ontwerp_Transport_Totaal[[#This Row],[Emissieloos Transport naar bouwplaats?]]="JA",Ontwerp_Transport_Totaal[[#This Row],[Transport naar bouwplaats '[tkm']]],0)+IF(Ontwerp_Transport_Totaal[[#This Row],[Emissieloos Transport naar verwerker?]]="JA",Ontwerp_Transport_Totaal[[#This Row],[Transport naar verwerker '[tkm']]],0)</f>
        <v>0</v>
      </c>
      <c r="I230" s="51"/>
      <c r="J230" s="51"/>
      <c r="K230" s="51">
        <f>IF(Ontwerp_Transport_Totaal[[#This Row],[Emissieloos Transport naar bouwplaats?]]="JA",Ontwerp_Transport_Totaal[[#This Row],[Transport naar bouwplaats Vervangingen '[tkm']]],0)+IF(Ontwerp_Transport_Totaal[[#This Row],[Emissieloos Transport naar verwerker?]]="JA",Ontwerp_Transport_Totaal[[#This Row],[Transport naar verwerker Vervangingen '[tkm']]],0)</f>
        <v>0</v>
      </c>
      <c r="L230" s="51">
        <f>Ontwerp_Transport_Totaal[[#This Row],[Emissieloos Transport]]+Ontwerp_Transport_Totaal[[#This Row],[Emissieloos Transport Vervangingen]]</f>
        <v>0</v>
      </c>
      <c r="M230" s="51">
        <f>(Ontwerp_Transport_Totaal[[#This Row],[Transport naar bouwplaats '[tkm']]]+Ontwerp_Transport_Totaal[[#This Row],[Transport naar verwerker '[tkm']]]+Ontwerp_Transport_Totaal[[#This Row],[Transport naar bouwplaats Vervangingen '[tkm']]]+Ontwerp_Transport_Totaal[[#This Row],[Transport naar verwerker Vervangingen '[tkm']]])-Ontwerp_Transport_Totaal[[#This Row],[Totaal Emissieloos Transport]]</f>
        <v>0</v>
      </c>
      <c r="N230" s="51">
        <f>Ontwerp_Transport_Totaal[[#This Row],[Totaal Emissieloos Transport]]+Ontwerp_Transport_Totaal[[#This Row],[Totaal Niet Emissieloos Transport]]</f>
        <v>0</v>
      </c>
      <c r="O230" s="13"/>
      <c r="P230" s="13"/>
      <c r="Q230" s="13"/>
      <c r="R230" s="13"/>
      <c r="Y230" s="13"/>
    </row>
    <row r="231" spans="2:25">
      <c r="B231" s="51" t="str">
        <f>Ontwerpberekening!B22</f>
        <v>Plastic kratten</v>
      </c>
      <c r="C231" s="51" t="str">
        <f>Ontwerpberekening!E22</f>
        <v>Bestaande situatie</v>
      </c>
      <c r="D231" s="51"/>
      <c r="E231" s="51"/>
      <c r="F231" s="94" t="s">
        <v>135</v>
      </c>
      <c r="G231" s="94" t="s">
        <v>135</v>
      </c>
      <c r="H231" s="51">
        <f>IF(Ontwerp_Transport_Totaal[[#This Row],[Emissieloos Transport naar bouwplaats?]]="JA",Ontwerp_Transport_Totaal[[#This Row],[Transport naar bouwplaats '[tkm']]],0)+IF(Ontwerp_Transport_Totaal[[#This Row],[Emissieloos Transport naar verwerker?]]="JA",Ontwerp_Transport_Totaal[[#This Row],[Transport naar verwerker '[tkm']]],0)</f>
        <v>0</v>
      </c>
      <c r="I231" s="51"/>
      <c r="J231" s="51"/>
      <c r="K231" s="51">
        <f>IF(Ontwerp_Transport_Totaal[[#This Row],[Emissieloos Transport naar bouwplaats?]]="JA",Ontwerp_Transport_Totaal[[#This Row],[Transport naar bouwplaats Vervangingen '[tkm']]],0)+IF(Ontwerp_Transport_Totaal[[#This Row],[Emissieloos Transport naar verwerker?]]="JA",Ontwerp_Transport_Totaal[[#This Row],[Transport naar verwerker Vervangingen '[tkm']]],0)</f>
        <v>0</v>
      </c>
      <c r="L231" s="51">
        <f>Ontwerp_Transport_Totaal[[#This Row],[Emissieloos Transport]]+Ontwerp_Transport_Totaal[[#This Row],[Emissieloos Transport Vervangingen]]</f>
        <v>0</v>
      </c>
      <c r="M231" s="51">
        <f>(Ontwerp_Transport_Totaal[[#This Row],[Transport naar bouwplaats '[tkm']]]+Ontwerp_Transport_Totaal[[#This Row],[Transport naar verwerker '[tkm']]]+Ontwerp_Transport_Totaal[[#This Row],[Transport naar bouwplaats Vervangingen '[tkm']]]+Ontwerp_Transport_Totaal[[#This Row],[Transport naar verwerker Vervangingen '[tkm']]])-Ontwerp_Transport_Totaal[[#This Row],[Totaal Emissieloos Transport]]</f>
        <v>0</v>
      </c>
      <c r="N231" s="51">
        <f>Ontwerp_Transport_Totaal[[#This Row],[Totaal Emissieloos Transport]]+Ontwerp_Transport_Totaal[[#This Row],[Totaal Niet Emissieloos Transport]]</f>
        <v>0</v>
      </c>
      <c r="O231" s="13"/>
      <c r="P231" s="13"/>
      <c r="Q231" s="13"/>
      <c r="R231" s="13"/>
      <c r="Y231" s="13"/>
    </row>
    <row r="232" spans="2:25">
      <c r="B232" s="51" t="str">
        <f>Ontwerpberekening!B23</f>
        <v>Plastic kratten</v>
      </c>
      <c r="C232" s="51" t="str">
        <f>Ontwerpberekening!E23</f>
        <v>Bestaande situatie</v>
      </c>
      <c r="D232" s="51"/>
      <c r="E232" s="51"/>
      <c r="F232" s="94" t="s">
        <v>135</v>
      </c>
      <c r="G232" s="94" t="s">
        <v>135</v>
      </c>
      <c r="H232" s="51">
        <f>IF(Ontwerp_Transport_Totaal[[#This Row],[Emissieloos Transport naar bouwplaats?]]="JA",Ontwerp_Transport_Totaal[[#This Row],[Transport naar bouwplaats '[tkm']]],0)+IF(Ontwerp_Transport_Totaal[[#This Row],[Emissieloos Transport naar verwerker?]]="JA",Ontwerp_Transport_Totaal[[#This Row],[Transport naar verwerker '[tkm']]],0)</f>
        <v>0</v>
      </c>
      <c r="I232" s="51"/>
      <c r="J232" s="51"/>
      <c r="K232" s="51">
        <f>IF(Ontwerp_Transport_Totaal[[#This Row],[Emissieloos Transport naar bouwplaats?]]="JA",Ontwerp_Transport_Totaal[[#This Row],[Transport naar bouwplaats Vervangingen '[tkm']]],0)+IF(Ontwerp_Transport_Totaal[[#This Row],[Emissieloos Transport naar verwerker?]]="JA",Ontwerp_Transport_Totaal[[#This Row],[Transport naar verwerker Vervangingen '[tkm']]],0)</f>
        <v>0</v>
      </c>
      <c r="L232" s="51">
        <f>Ontwerp_Transport_Totaal[[#This Row],[Emissieloos Transport]]+Ontwerp_Transport_Totaal[[#This Row],[Emissieloos Transport Vervangingen]]</f>
        <v>0</v>
      </c>
      <c r="M232" s="51">
        <f>(Ontwerp_Transport_Totaal[[#This Row],[Transport naar bouwplaats '[tkm']]]+Ontwerp_Transport_Totaal[[#This Row],[Transport naar verwerker '[tkm']]]+Ontwerp_Transport_Totaal[[#This Row],[Transport naar bouwplaats Vervangingen '[tkm']]]+Ontwerp_Transport_Totaal[[#This Row],[Transport naar verwerker Vervangingen '[tkm']]])-Ontwerp_Transport_Totaal[[#This Row],[Totaal Emissieloos Transport]]</f>
        <v>0</v>
      </c>
      <c r="N232" s="51">
        <f>Ontwerp_Transport_Totaal[[#This Row],[Totaal Emissieloos Transport]]+Ontwerp_Transport_Totaal[[#This Row],[Totaal Niet Emissieloos Transport]]</f>
        <v>0</v>
      </c>
      <c r="O232" s="13"/>
      <c r="P232" s="13"/>
      <c r="Q232" s="13"/>
      <c r="R232" s="13"/>
      <c r="Y232" s="13"/>
    </row>
    <row r="233" spans="2:25">
      <c r="B233" s="51" t="str">
        <f>Ontwerpberekening!B24</f>
        <v>Plastic kratten</v>
      </c>
      <c r="C233" s="51" t="str">
        <f>Ontwerpberekening!E24</f>
        <v>Bestaande situatie</v>
      </c>
      <c r="D233" s="51"/>
      <c r="E233" s="51"/>
      <c r="F233" s="94" t="s">
        <v>135</v>
      </c>
      <c r="G233" s="94" t="s">
        <v>135</v>
      </c>
      <c r="H233" s="51">
        <f>IF(Ontwerp_Transport_Totaal[[#This Row],[Emissieloos Transport naar bouwplaats?]]="JA",Ontwerp_Transport_Totaal[[#This Row],[Transport naar bouwplaats '[tkm']]],0)+IF(Ontwerp_Transport_Totaal[[#This Row],[Emissieloos Transport naar verwerker?]]="JA",Ontwerp_Transport_Totaal[[#This Row],[Transport naar verwerker '[tkm']]],0)</f>
        <v>0</v>
      </c>
      <c r="I233" s="51"/>
      <c r="J233" s="51"/>
      <c r="K233" s="51">
        <f>IF(Ontwerp_Transport_Totaal[[#This Row],[Emissieloos Transport naar bouwplaats?]]="JA",Ontwerp_Transport_Totaal[[#This Row],[Transport naar bouwplaats Vervangingen '[tkm']]],0)+IF(Ontwerp_Transport_Totaal[[#This Row],[Emissieloos Transport naar verwerker?]]="JA",Ontwerp_Transport_Totaal[[#This Row],[Transport naar verwerker Vervangingen '[tkm']]],0)</f>
        <v>0</v>
      </c>
      <c r="L233" s="51">
        <f>Ontwerp_Transport_Totaal[[#This Row],[Emissieloos Transport]]+Ontwerp_Transport_Totaal[[#This Row],[Emissieloos Transport Vervangingen]]</f>
        <v>0</v>
      </c>
      <c r="M233" s="51">
        <f>(Ontwerp_Transport_Totaal[[#This Row],[Transport naar bouwplaats '[tkm']]]+Ontwerp_Transport_Totaal[[#This Row],[Transport naar verwerker '[tkm']]]+Ontwerp_Transport_Totaal[[#This Row],[Transport naar bouwplaats Vervangingen '[tkm']]]+Ontwerp_Transport_Totaal[[#This Row],[Transport naar verwerker Vervangingen '[tkm']]])-Ontwerp_Transport_Totaal[[#This Row],[Totaal Emissieloos Transport]]</f>
        <v>0</v>
      </c>
      <c r="N233" s="51">
        <f>Ontwerp_Transport_Totaal[[#This Row],[Totaal Emissieloos Transport]]+Ontwerp_Transport_Totaal[[#This Row],[Totaal Niet Emissieloos Transport]]</f>
        <v>0</v>
      </c>
      <c r="O233" s="13"/>
      <c r="P233" s="13"/>
      <c r="Q233" s="13"/>
      <c r="R233" s="13"/>
      <c r="Y233" s="13"/>
    </row>
    <row r="234" spans="2:25">
      <c r="B234" s="51" t="str">
        <f>Ontwerpberekening!B25</f>
        <v>Plastic kratten</v>
      </c>
      <c r="C234" s="51" t="str">
        <f>Ontwerpberekening!E25</f>
        <v>Bestaande situatie</v>
      </c>
      <c r="D234" s="51"/>
      <c r="E234" s="51"/>
      <c r="F234" s="94" t="s">
        <v>135</v>
      </c>
      <c r="G234" s="94" t="s">
        <v>135</v>
      </c>
      <c r="H234" s="51">
        <f>IF(Ontwerp_Transport_Totaal[[#This Row],[Emissieloos Transport naar bouwplaats?]]="JA",Ontwerp_Transport_Totaal[[#This Row],[Transport naar bouwplaats '[tkm']]],0)+IF(Ontwerp_Transport_Totaal[[#This Row],[Emissieloos Transport naar verwerker?]]="JA",Ontwerp_Transport_Totaal[[#This Row],[Transport naar verwerker '[tkm']]],0)</f>
        <v>0</v>
      </c>
      <c r="I234" s="51"/>
      <c r="J234" s="51"/>
      <c r="K234" s="51">
        <f>IF(Ontwerp_Transport_Totaal[[#This Row],[Emissieloos Transport naar bouwplaats?]]="JA",Ontwerp_Transport_Totaal[[#This Row],[Transport naar bouwplaats Vervangingen '[tkm']]],0)+IF(Ontwerp_Transport_Totaal[[#This Row],[Emissieloos Transport naar verwerker?]]="JA",Ontwerp_Transport_Totaal[[#This Row],[Transport naar verwerker Vervangingen '[tkm']]],0)</f>
        <v>0</v>
      </c>
      <c r="L234" s="51">
        <f>Ontwerp_Transport_Totaal[[#This Row],[Emissieloos Transport]]+Ontwerp_Transport_Totaal[[#This Row],[Emissieloos Transport Vervangingen]]</f>
        <v>0</v>
      </c>
      <c r="M234" s="51">
        <f>(Ontwerp_Transport_Totaal[[#This Row],[Transport naar bouwplaats '[tkm']]]+Ontwerp_Transport_Totaal[[#This Row],[Transport naar verwerker '[tkm']]]+Ontwerp_Transport_Totaal[[#This Row],[Transport naar bouwplaats Vervangingen '[tkm']]]+Ontwerp_Transport_Totaal[[#This Row],[Transport naar verwerker Vervangingen '[tkm']]])-Ontwerp_Transport_Totaal[[#This Row],[Totaal Emissieloos Transport]]</f>
        <v>0</v>
      </c>
      <c r="N234" s="51">
        <f>Ontwerp_Transport_Totaal[[#This Row],[Totaal Emissieloos Transport]]+Ontwerp_Transport_Totaal[[#This Row],[Totaal Niet Emissieloos Transport]]</f>
        <v>0</v>
      </c>
      <c r="O234" s="13"/>
      <c r="P234" s="13"/>
      <c r="Q234" s="13"/>
      <c r="R234" s="13"/>
      <c r="Y234" s="13"/>
    </row>
    <row r="235" spans="2:25">
      <c r="B235" s="51" t="str">
        <f>Ontwerpberekening!B26</f>
        <v>Plastic kratten</v>
      </c>
      <c r="C235" s="51" t="str">
        <f>Ontwerpberekening!E26</f>
        <v>Bestaande situatie</v>
      </c>
      <c r="D235" s="51"/>
      <c r="E235" s="51"/>
      <c r="F235" s="94" t="s">
        <v>135</v>
      </c>
      <c r="G235" s="94" t="s">
        <v>135</v>
      </c>
      <c r="H235" s="51">
        <f>IF(Ontwerp_Transport_Totaal[[#This Row],[Emissieloos Transport naar bouwplaats?]]="JA",Ontwerp_Transport_Totaal[[#This Row],[Transport naar bouwplaats '[tkm']]],0)+IF(Ontwerp_Transport_Totaal[[#This Row],[Emissieloos Transport naar verwerker?]]="JA",Ontwerp_Transport_Totaal[[#This Row],[Transport naar verwerker '[tkm']]],0)</f>
        <v>0</v>
      </c>
      <c r="I235" s="51"/>
      <c r="J235" s="51"/>
      <c r="K235" s="51">
        <f>IF(Ontwerp_Transport_Totaal[[#This Row],[Emissieloos Transport naar bouwplaats?]]="JA",Ontwerp_Transport_Totaal[[#This Row],[Transport naar bouwplaats Vervangingen '[tkm']]],0)+IF(Ontwerp_Transport_Totaal[[#This Row],[Emissieloos Transport naar verwerker?]]="JA",Ontwerp_Transport_Totaal[[#This Row],[Transport naar verwerker Vervangingen '[tkm']]],0)</f>
        <v>0</v>
      </c>
      <c r="L235" s="51">
        <f>Ontwerp_Transport_Totaal[[#This Row],[Emissieloos Transport]]+Ontwerp_Transport_Totaal[[#This Row],[Emissieloos Transport Vervangingen]]</f>
        <v>0</v>
      </c>
      <c r="M235" s="51">
        <f>(Ontwerp_Transport_Totaal[[#This Row],[Transport naar bouwplaats '[tkm']]]+Ontwerp_Transport_Totaal[[#This Row],[Transport naar verwerker '[tkm']]]+Ontwerp_Transport_Totaal[[#This Row],[Transport naar bouwplaats Vervangingen '[tkm']]]+Ontwerp_Transport_Totaal[[#This Row],[Transport naar verwerker Vervangingen '[tkm']]])-Ontwerp_Transport_Totaal[[#This Row],[Totaal Emissieloos Transport]]</f>
        <v>0</v>
      </c>
      <c r="N235" s="51">
        <f>Ontwerp_Transport_Totaal[[#This Row],[Totaal Emissieloos Transport]]+Ontwerp_Transport_Totaal[[#This Row],[Totaal Niet Emissieloos Transport]]</f>
        <v>0</v>
      </c>
      <c r="O235" s="13"/>
      <c r="P235" s="13"/>
      <c r="Q235" s="13"/>
      <c r="R235" s="13"/>
      <c r="Y235" s="13"/>
    </row>
    <row r="236" spans="2:25">
      <c r="B236" s="51" t="str">
        <f>Ontwerpberekening!B27</f>
        <v>Rockwool</v>
      </c>
      <c r="C236" s="51" t="str">
        <f>Ontwerpberekening!E27</f>
        <v>Bestaande situatie</v>
      </c>
      <c r="D236" s="51"/>
      <c r="E236" s="51"/>
      <c r="F236" s="94" t="s">
        <v>135</v>
      </c>
      <c r="G236" s="94" t="s">
        <v>135</v>
      </c>
      <c r="H236" s="51">
        <f>IF(Ontwerp_Transport_Totaal[[#This Row],[Emissieloos Transport naar bouwplaats?]]="JA",Ontwerp_Transport_Totaal[[#This Row],[Transport naar bouwplaats '[tkm']]],0)+IF(Ontwerp_Transport_Totaal[[#This Row],[Emissieloos Transport naar verwerker?]]="JA",Ontwerp_Transport_Totaal[[#This Row],[Transport naar verwerker '[tkm']]],0)</f>
        <v>0</v>
      </c>
      <c r="I236" s="51"/>
      <c r="J236" s="51"/>
      <c r="K236" s="51">
        <f>IF(Ontwerp_Transport_Totaal[[#This Row],[Emissieloos Transport naar bouwplaats?]]="JA",Ontwerp_Transport_Totaal[[#This Row],[Transport naar bouwplaats Vervangingen '[tkm']]],0)+IF(Ontwerp_Transport_Totaal[[#This Row],[Emissieloos Transport naar verwerker?]]="JA",Ontwerp_Transport_Totaal[[#This Row],[Transport naar verwerker Vervangingen '[tkm']]],0)</f>
        <v>0</v>
      </c>
      <c r="L236" s="51">
        <f>Ontwerp_Transport_Totaal[[#This Row],[Emissieloos Transport]]+Ontwerp_Transport_Totaal[[#This Row],[Emissieloos Transport Vervangingen]]</f>
        <v>0</v>
      </c>
      <c r="M236" s="51">
        <f>(Ontwerp_Transport_Totaal[[#This Row],[Transport naar bouwplaats '[tkm']]]+Ontwerp_Transport_Totaal[[#This Row],[Transport naar verwerker '[tkm']]]+Ontwerp_Transport_Totaal[[#This Row],[Transport naar bouwplaats Vervangingen '[tkm']]]+Ontwerp_Transport_Totaal[[#This Row],[Transport naar verwerker Vervangingen '[tkm']]])-Ontwerp_Transport_Totaal[[#This Row],[Totaal Emissieloos Transport]]</f>
        <v>0</v>
      </c>
      <c r="N236" s="51">
        <f>Ontwerp_Transport_Totaal[[#This Row],[Totaal Emissieloos Transport]]+Ontwerp_Transport_Totaal[[#This Row],[Totaal Niet Emissieloos Transport]]</f>
        <v>0</v>
      </c>
      <c r="O236" s="13"/>
      <c r="P236" s="13"/>
      <c r="Q236" s="13"/>
      <c r="R236" s="13"/>
      <c r="Y236" s="13"/>
    </row>
    <row r="237" spans="2:25">
      <c r="B237" s="51" t="str">
        <f>Ontwerpberekening!B28</f>
        <v>Rockwool</v>
      </c>
      <c r="C237" s="51" t="str">
        <f>Ontwerpberekening!E28</f>
        <v>Nieuwe situatie</v>
      </c>
      <c r="D237" s="51"/>
      <c r="E237" s="51"/>
      <c r="F237" s="94" t="s">
        <v>135</v>
      </c>
      <c r="G237" s="94" t="s">
        <v>135</v>
      </c>
      <c r="H237" s="51">
        <f>IF(Ontwerp_Transport_Totaal[[#This Row],[Emissieloos Transport naar bouwplaats?]]="JA",Ontwerp_Transport_Totaal[[#This Row],[Transport naar bouwplaats '[tkm']]],0)+IF(Ontwerp_Transport_Totaal[[#This Row],[Emissieloos Transport naar verwerker?]]="JA",Ontwerp_Transport_Totaal[[#This Row],[Transport naar verwerker '[tkm']]],0)</f>
        <v>0</v>
      </c>
      <c r="I237" s="51"/>
      <c r="J237" s="51"/>
      <c r="K237" s="51">
        <f>IF(Ontwerp_Transport_Totaal[[#This Row],[Emissieloos Transport naar bouwplaats?]]="JA",Ontwerp_Transport_Totaal[[#This Row],[Transport naar bouwplaats Vervangingen '[tkm']]],0)+IF(Ontwerp_Transport_Totaal[[#This Row],[Emissieloos Transport naar verwerker?]]="JA",Ontwerp_Transport_Totaal[[#This Row],[Transport naar verwerker Vervangingen '[tkm']]],0)</f>
        <v>0</v>
      </c>
      <c r="L237" s="51">
        <f>Ontwerp_Transport_Totaal[[#This Row],[Emissieloos Transport]]+Ontwerp_Transport_Totaal[[#This Row],[Emissieloos Transport Vervangingen]]</f>
        <v>0</v>
      </c>
      <c r="M237" s="51">
        <f>(Ontwerp_Transport_Totaal[[#This Row],[Transport naar bouwplaats '[tkm']]]+Ontwerp_Transport_Totaal[[#This Row],[Transport naar verwerker '[tkm']]]+Ontwerp_Transport_Totaal[[#This Row],[Transport naar bouwplaats Vervangingen '[tkm']]]+Ontwerp_Transport_Totaal[[#This Row],[Transport naar verwerker Vervangingen '[tkm']]])-Ontwerp_Transport_Totaal[[#This Row],[Totaal Emissieloos Transport]]</f>
        <v>0</v>
      </c>
      <c r="N237" s="51">
        <f>Ontwerp_Transport_Totaal[[#This Row],[Totaal Emissieloos Transport]]+Ontwerp_Transport_Totaal[[#This Row],[Totaal Niet Emissieloos Transport]]</f>
        <v>0</v>
      </c>
      <c r="O237" s="13"/>
      <c r="P237" s="13"/>
      <c r="Q237" s="13"/>
      <c r="R237" s="13"/>
      <c r="Y237" s="13"/>
    </row>
    <row r="238" spans="2:25">
      <c r="B238" s="51" t="str">
        <f>Ontwerpberekening!B29</f>
        <v>Rockwool</v>
      </c>
      <c r="C238" s="51" t="str">
        <f>Ontwerpberekening!E29</f>
        <v>Nieuwe situatie</v>
      </c>
      <c r="D238" s="51"/>
      <c r="E238" s="51"/>
      <c r="F238" s="94" t="s">
        <v>135</v>
      </c>
      <c r="G238" s="94" t="s">
        <v>135</v>
      </c>
      <c r="H238" s="51">
        <f>IF(Ontwerp_Transport_Totaal[[#This Row],[Emissieloos Transport naar bouwplaats?]]="JA",Ontwerp_Transport_Totaal[[#This Row],[Transport naar bouwplaats '[tkm']]],0)+IF(Ontwerp_Transport_Totaal[[#This Row],[Emissieloos Transport naar verwerker?]]="JA",Ontwerp_Transport_Totaal[[#This Row],[Transport naar verwerker '[tkm']]],0)</f>
        <v>0</v>
      </c>
      <c r="I238" s="51"/>
      <c r="J238" s="51"/>
      <c r="K238" s="51">
        <f>IF(Ontwerp_Transport_Totaal[[#This Row],[Emissieloos Transport naar bouwplaats?]]="JA",Ontwerp_Transport_Totaal[[#This Row],[Transport naar bouwplaats Vervangingen '[tkm']]],0)+IF(Ontwerp_Transport_Totaal[[#This Row],[Emissieloos Transport naar verwerker?]]="JA",Ontwerp_Transport_Totaal[[#This Row],[Transport naar verwerker Vervangingen '[tkm']]],0)</f>
        <v>0</v>
      </c>
      <c r="L238" s="51">
        <f>Ontwerp_Transport_Totaal[[#This Row],[Emissieloos Transport]]+Ontwerp_Transport_Totaal[[#This Row],[Emissieloos Transport Vervangingen]]</f>
        <v>0</v>
      </c>
      <c r="M238" s="51">
        <f>(Ontwerp_Transport_Totaal[[#This Row],[Transport naar bouwplaats '[tkm']]]+Ontwerp_Transport_Totaal[[#This Row],[Transport naar verwerker '[tkm']]]+Ontwerp_Transport_Totaal[[#This Row],[Transport naar bouwplaats Vervangingen '[tkm']]]+Ontwerp_Transport_Totaal[[#This Row],[Transport naar verwerker Vervangingen '[tkm']]])-Ontwerp_Transport_Totaal[[#This Row],[Totaal Emissieloos Transport]]</f>
        <v>0</v>
      </c>
      <c r="N238" s="51">
        <f>Ontwerp_Transport_Totaal[[#This Row],[Totaal Emissieloos Transport]]+Ontwerp_Transport_Totaal[[#This Row],[Totaal Niet Emissieloos Transport]]</f>
        <v>0</v>
      </c>
      <c r="O238" s="13"/>
      <c r="P238" s="13"/>
      <c r="Q238" s="13"/>
      <c r="R238" s="13"/>
      <c r="Y238" s="13"/>
    </row>
    <row r="239" spans="2:25">
      <c r="B239" s="51" t="str">
        <f>Ontwerpberekening!B30</f>
        <v>Rockwool</v>
      </c>
      <c r="C239" s="51" t="str">
        <f>Ontwerpberekening!E30</f>
        <v>Nieuwe situatie</v>
      </c>
      <c r="D239" s="51"/>
      <c r="E239" s="51"/>
      <c r="F239" s="94" t="s">
        <v>135</v>
      </c>
      <c r="G239" s="94" t="s">
        <v>135</v>
      </c>
      <c r="H239" s="51">
        <f>IF(Ontwerp_Transport_Totaal[[#This Row],[Emissieloos Transport naar bouwplaats?]]="JA",Ontwerp_Transport_Totaal[[#This Row],[Transport naar bouwplaats '[tkm']]],0)+IF(Ontwerp_Transport_Totaal[[#This Row],[Emissieloos Transport naar verwerker?]]="JA",Ontwerp_Transport_Totaal[[#This Row],[Transport naar verwerker '[tkm']]],0)</f>
        <v>0</v>
      </c>
      <c r="I239" s="51"/>
      <c r="J239" s="51"/>
      <c r="K239" s="51">
        <f>IF(Ontwerp_Transport_Totaal[[#This Row],[Emissieloos Transport naar bouwplaats?]]="JA",Ontwerp_Transport_Totaal[[#This Row],[Transport naar bouwplaats Vervangingen '[tkm']]],0)+IF(Ontwerp_Transport_Totaal[[#This Row],[Emissieloos Transport naar verwerker?]]="JA",Ontwerp_Transport_Totaal[[#This Row],[Transport naar verwerker Vervangingen '[tkm']]],0)</f>
        <v>0</v>
      </c>
      <c r="L239" s="51">
        <f>Ontwerp_Transport_Totaal[[#This Row],[Emissieloos Transport]]+Ontwerp_Transport_Totaal[[#This Row],[Emissieloos Transport Vervangingen]]</f>
        <v>0</v>
      </c>
      <c r="M239" s="51">
        <f>(Ontwerp_Transport_Totaal[[#This Row],[Transport naar bouwplaats '[tkm']]]+Ontwerp_Transport_Totaal[[#This Row],[Transport naar verwerker '[tkm']]]+Ontwerp_Transport_Totaal[[#This Row],[Transport naar bouwplaats Vervangingen '[tkm']]]+Ontwerp_Transport_Totaal[[#This Row],[Transport naar verwerker Vervangingen '[tkm']]])-Ontwerp_Transport_Totaal[[#This Row],[Totaal Emissieloos Transport]]</f>
        <v>0</v>
      </c>
      <c r="N239" s="51">
        <f>Ontwerp_Transport_Totaal[[#This Row],[Totaal Emissieloos Transport]]+Ontwerp_Transport_Totaal[[#This Row],[Totaal Niet Emissieloos Transport]]</f>
        <v>0</v>
      </c>
      <c r="O239" s="13"/>
      <c r="P239" s="13"/>
      <c r="Q239" s="13"/>
      <c r="R239" s="13"/>
      <c r="Y239" s="13"/>
    </row>
    <row r="240" spans="2:25">
      <c r="B240" s="51" t="str">
        <f>Ontwerpberekening!B31</f>
        <v>Rockwool</v>
      </c>
      <c r="C240" s="51" t="str">
        <f>Ontwerpberekening!E31</f>
        <v>Nieuwe situatie</v>
      </c>
      <c r="D240" s="51"/>
      <c r="E240" s="51"/>
      <c r="F240" s="94" t="s">
        <v>135</v>
      </c>
      <c r="G240" s="94" t="s">
        <v>135</v>
      </c>
      <c r="H240" s="51">
        <f>IF(Ontwerp_Transport_Totaal[[#This Row],[Emissieloos Transport naar bouwplaats?]]="JA",Ontwerp_Transport_Totaal[[#This Row],[Transport naar bouwplaats '[tkm']]],0)+IF(Ontwerp_Transport_Totaal[[#This Row],[Emissieloos Transport naar verwerker?]]="JA",Ontwerp_Transport_Totaal[[#This Row],[Transport naar verwerker '[tkm']]],0)</f>
        <v>0</v>
      </c>
      <c r="I240" s="51"/>
      <c r="J240" s="51"/>
      <c r="K240" s="51">
        <f>IF(Ontwerp_Transport_Totaal[[#This Row],[Emissieloos Transport naar bouwplaats?]]="JA",Ontwerp_Transport_Totaal[[#This Row],[Transport naar bouwplaats Vervangingen '[tkm']]],0)+IF(Ontwerp_Transport_Totaal[[#This Row],[Emissieloos Transport naar verwerker?]]="JA",Ontwerp_Transport_Totaal[[#This Row],[Transport naar verwerker Vervangingen '[tkm']]],0)</f>
        <v>0</v>
      </c>
      <c r="L240" s="51">
        <f>Ontwerp_Transport_Totaal[[#This Row],[Emissieloos Transport]]+Ontwerp_Transport_Totaal[[#This Row],[Emissieloos Transport Vervangingen]]</f>
        <v>0</v>
      </c>
      <c r="M240" s="51">
        <f>(Ontwerp_Transport_Totaal[[#This Row],[Transport naar bouwplaats '[tkm']]]+Ontwerp_Transport_Totaal[[#This Row],[Transport naar verwerker '[tkm']]]+Ontwerp_Transport_Totaal[[#This Row],[Transport naar bouwplaats Vervangingen '[tkm']]]+Ontwerp_Transport_Totaal[[#This Row],[Transport naar verwerker Vervangingen '[tkm']]])-Ontwerp_Transport_Totaal[[#This Row],[Totaal Emissieloos Transport]]</f>
        <v>0</v>
      </c>
      <c r="N240" s="51">
        <f>Ontwerp_Transport_Totaal[[#This Row],[Totaal Emissieloos Transport]]+Ontwerp_Transport_Totaal[[#This Row],[Totaal Niet Emissieloos Transport]]</f>
        <v>0</v>
      </c>
      <c r="O240" s="13"/>
      <c r="P240" s="13"/>
      <c r="Q240" s="13"/>
      <c r="R240" s="13"/>
      <c r="Y240" s="13"/>
    </row>
    <row r="241" spans="2:28">
      <c r="B241" s="51" t="str">
        <f>Ontwerpberekening!B32</f>
        <v>Rockwool</v>
      </c>
      <c r="C241" s="51" t="str">
        <f>Ontwerpberekening!E32</f>
        <v>Nieuwe situatie</v>
      </c>
      <c r="D241" s="51"/>
      <c r="E241" s="51"/>
      <c r="F241" s="94" t="s">
        <v>135</v>
      </c>
      <c r="G241" s="94" t="s">
        <v>135</v>
      </c>
      <c r="H241" s="51">
        <f>IF(Ontwerp_Transport_Totaal[[#This Row],[Emissieloos Transport naar bouwplaats?]]="JA",Ontwerp_Transport_Totaal[[#This Row],[Transport naar bouwplaats '[tkm']]],0)+IF(Ontwerp_Transport_Totaal[[#This Row],[Emissieloos Transport naar verwerker?]]="JA",Ontwerp_Transport_Totaal[[#This Row],[Transport naar verwerker '[tkm']]],0)</f>
        <v>0</v>
      </c>
      <c r="I241" s="51"/>
      <c r="J241" s="51"/>
      <c r="K241" s="51">
        <f>IF(Ontwerp_Transport_Totaal[[#This Row],[Emissieloos Transport naar bouwplaats?]]="JA",Ontwerp_Transport_Totaal[[#This Row],[Transport naar bouwplaats Vervangingen '[tkm']]],0)+IF(Ontwerp_Transport_Totaal[[#This Row],[Emissieloos Transport naar verwerker?]]="JA",Ontwerp_Transport_Totaal[[#This Row],[Transport naar verwerker Vervangingen '[tkm']]],0)</f>
        <v>0</v>
      </c>
      <c r="L241" s="51">
        <f>Ontwerp_Transport_Totaal[[#This Row],[Emissieloos Transport]]+Ontwerp_Transport_Totaal[[#This Row],[Emissieloos Transport Vervangingen]]</f>
        <v>0</v>
      </c>
      <c r="M241" s="51">
        <f>(Ontwerp_Transport_Totaal[[#This Row],[Transport naar bouwplaats '[tkm']]]+Ontwerp_Transport_Totaal[[#This Row],[Transport naar verwerker '[tkm']]]+Ontwerp_Transport_Totaal[[#This Row],[Transport naar bouwplaats Vervangingen '[tkm']]]+Ontwerp_Transport_Totaal[[#This Row],[Transport naar verwerker Vervangingen '[tkm']]])-Ontwerp_Transport_Totaal[[#This Row],[Totaal Emissieloos Transport]]</f>
        <v>0</v>
      </c>
      <c r="N241" s="51">
        <f>Ontwerp_Transport_Totaal[[#This Row],[Totaal Emissieloos Transport]]+Ontwerp_Transport_Totaal[[#This Row],[Totaal Niet Emissieloos Transport]]</f>
        <v>0</v>
      </c>
      <c r="O241" s="13"/>
      <c r="P241" s="13"/>
      <c r="Q241" s="13"/>
      <c r="R241" s="13"/>
      <c r="Y241" s="13"/>
    </row>
    <row r="242" spans="2:28" ht="15.75" thickBot="1">
      <c r="B242" s="51" t="str">
        <f>Ontwerpberekening!B33</f>
        <v>Rockwool</v>
      </c>
      <c r="C242" s="51" t="str">
        <f>Ontwerpberekening!E33</f>
        <v>Bestaande situatie</v>
      </c>
      <c r="D242" s="51"/>
      <c r="E242" s="51"/>
      <c r="F242" s="94" t="s">
        <v>135</v>
      </c>
      <c r="G242" s="94" t="s">
        <v>135</v>
      </c>
      <c r="H242" s="51">
        <f>IF(Ontwerp_Transport_Totaal[[#This Row],[Emissieloos Transport naar bouwplaats?]]="JA",Ontwerp_Transport_Totaal[[#This Row],[Transport naar bouwplaats '[tkm']]],0)+IF(Ontwerp_Transport_Totaal[[#This Row],[Emissieloos Transport naar verwerker?]]="JA",Ontwerp_Transport_Totaal[[#This Row],[Transport naar verwerker '[tkm']]],0)</f>
        <v>0</v>
      </c>
      <c r="I242" s="51"/>
      <c r="J242" s="51"/>
      <c r="K242" s="51">
        <f>IF(Ontwerp_Transport_Totaal[[#This Row],[Emissieloos Transport naar bouwplaats?]]="JA",Ontwerp_Transport_Totaal[[#This Row],[Transport naar bouwplaats Vervangingen '[tkm']]],0)+IF(Ontwerp_Transport_Totaal[[#This Row],[Emissieloos Transport naar verwerker?]]="JA",Ontwerp_Transport_Totaal[[#This Row],[Transport naar verwerker Vervangingen '[tkm']]],0)</f>
        <v>0</v>
      </c>
      <c r="L242" s="51">
        <f>Ontwerp_Transport_Totaal[[#This Row],[Emissieloos Transport]]+Ontwerp_Transport_Totaal[[#This Row],[Emissieloos Transport Vervangingen]]</f>
        <v>0</v>
      </c>
      <c r="M242" s="51">
        <f>(Ontwerp_Transport_Totaal[[#This Row],[Transport naar bouwplaats '[tkm']]]+Ontwerp_Transport_Totaal[[#This Row],[Transport naar verwerker '[tkm']]]+Ontwerp_Transport_Totaal[[#This Row],[Transport naar bouwplaats Vervangingen '[tkm']]]+Ontwerp_Transport_Totaal[[#This Row],[Transport naar verwerker Vervangingen '[tkm']]])-Ontwerp_Transport_Totaal[[#This Row],[Totaal Emissieloos Transport]]</f>
        <v>0</v>
      </c>
      <c r="N242" s="51">
        <f>Ontwerp_Transport_Totaal[[#This Row],[Totaal Emissieloos Transport]]+Ontwerp_Transport_Totaal[[#This Row],[Totaal Niet Emissieloos Transport]]</f>
        <v>0</v>
      </c>
      <c r="O242" s="13"/>
      <c r="P242" s="13"/>
      <c r="Q242" s="13"/>
      <c r="R242" s="13"/>
      <c r="Y242" s="13"/>
    </row>
    <row r="243" spans="2:28" ht="15.75" thickTop="1">
      <c r="B243" s="52" t="s">
        <v>90</v>
      </c>
      <c r="C243" s="53"/>
      <c r="D243" s="80"/>
      <c r="E243" s="80"/>
      <c r="F243" s="80"/>
      <c r="G243" s="80"/>
      <c r="H243" s="11"/>
      <c r="I243" s="80"/>
      <c r="J243" s="80"/>
      <c r="K243" s="130"/>
      <c r="L243" s="80"/>
      <c r="M243" s="80"/>
      <c r="N243" s="80"/>
      <c r="O243" s="13"/>
      <c r="P243" s="13"/>
      <c r="Q243" s="13"/>
      <c r="R243" s="13"/>
      <c r="Y243" s="13"/>
    </row>
    <row r="244" spans="2:28">
      <c r="B244" s="13"/>
      <c r="C244" s="13"/>
      <c r="D244" s="13"/>
      <c r="E244" s="13"/>
      <c r="F244" s="13"/>
      <c r="G244" s="13"/>
      <c r="H244" s="13"/>
      <c r="I244" s="13"/>
      <c r="J244" s="13"/>
      <c r="K244" s="13"/>
      <c r="L244" s="13"/>
      <c r="M244" s="13"/>
      <c r="N244" s="13"/>
      <c r="O244" s="13"/>
      <c r="P244" s="13"/>
    </row>
    <row r="245" spans="2:28">
      <c r="B245" s="13"/>
      <c r="C245" s="13"/>
      <c r="D245" s="13"/>
      <c r="E245" s="13"/>
      <c r="F245" s="13"/>
      <c r="G245" s="13"/>
      <c r="H245" s="13"/>
      <c r="I245" s="13"/>
      <c r="J245" s="13"/>
      <c r="K245" s="13"/>
      <c r="L245" s="13"/>
      <c r="M245" s="13"/>
      <c r="N245" s="13"/>
      <c r="O245" s="13"/>
      <c r="P245" s="13"/>
    </row>
    <row r="246" spans="2:28" ht="18">
      <c r="B246" s="110" t="s">
        <v>136</v>
      </c>
      <c r="C246" s="110"/>
      <c r="D246" s="110"/>
      <c r="E246" s="13"/>
      <c r="F246" s="13"/>
      <c r="G246" s="13"/>
      <c r="H246" s="13"/>
      <c r="I246" s="13"/>
      <c r="J246" s="13"/>
      <c r="K246" s="13"/>
      <c r="L246" s="13"/>
      <c r="M246" s="13"/>
      <c r="N246" s="13"/>
      <c r="O246" s="13"/>
      <c r="P246" s="13"/>
    </row>
    <row r="247" spans="2:28" ht="15.75" thickBot="1">
      <c r="B247" s="1" t="s">
        <v>70</v>
      </c>
      <c r="C247" s="50" t="s">
        <v>7</v>
      </c>
      <c r="D247" s="58" t="s">
        <v>137</v>
      </c>
      <c r="E247" s="59" t="s">
        <v>138</v>
      </c>
      <c r="F247" s="59" t="s">
        <v>139</v>
      </c>
      <c r="G247" s="59" t="s">
        <v>140</v>
      </c>
      <c r="H247" s="59" t="s">
        <v>141</v>
      </c>
      <c r="I247" s="58" t="s">
        <v>142</v>
      </c>
      <c r="J247" s="59" t="s">
        <v>143</v>
      </c>
      <c r="K247" s="59" t="s">
        <v>144</v>
      </c>
      <c r="L247" s="145" t="s">
        <v>145</v>
      </c>
      <c r="M247" s="145" t="s">
        <v>146</v>
      </c>
      <c r="N247" s="145" t="s">
        <v>147</v>
      </c>
      <c r="O247" s="13"/>
      <c r="P247" s="13"/>
      <c r="Q247" s="13"/>
      <c r="R247" s="13"/>
      <c r="Y247" s="13"/>
      <c r="Z247" s="13"/>
      <c r="AA247" s="13"/>
      <c r="AB247" s="13"/>
    </row>
    <row r="248" spans="2:28" ht="15.75" thickTop="1">
      <c r="B248" s="51" t="str">
        <f>Ontwerpberekening!B5</f>
        <v>Open Menggranulaat</v>
      </c>
      <c r="C248" s="51" t="str">
        <f>Ontwerpberekening!E5</f>
        <v>Bestaande situatie</v>
      </c>
      <c r="D248" s="51"/>
      <c r="E248" s="51"/>
      <c r="F248" s="94" t="s">
        <v>135</v>
      </c>
      <c r="G248" s="94" t="s">
        <v>135</v>
      </c>
      <c r="H248" s="51"/>
      <c r="I248" s="51"/>
      <c r="J248" s="51"/>
      <c r="K248" s="51"/>
      <c r="L248" s="51"/>
      <c r="M248" s="51"/>
      <c r="N248" s="51"/>
      <c r="O248" s="13"/>
      <c r="P248" s="13"/>
      <c r="Q248" s="13"/>
      <c r="R248" s="13"/>
      <c r="Y248" s="13"/>
      <c r="Z248" s="13"/>
      <c r="AA248" s="13"/>
      <c r="AB248" s="13"/>
    </row>
    <row r="249" spans="2:28">
      <c r="B249" s="51" t="str">
        <f>Ontwerpberekening!B6</f>
        <v>Open Menggranulaat</v>
      </c>
      <c r="C249" s="51" t="str">
        <f>Ontwerpberekening!E6</f>
        <v>Nieuwe situatie</v>
      </c>
      <c r="D249" s="51"/>
      <c r="E249" s="51"/>
      <c r="F249" s="94" t="s">
        <v>135</v>
      </c>
      <c r="G249" s="94" t="s">
        <v>135</v>
      </c>
      <c r="H249" s="51"/>
      <c r="I249" s="51"/>
      <c r="J249" s="51"/>
      <c r="K249" s="51"/>
      <c r="L249" s="51"/>
      <c r="M249" s="51"/>
      <c r="N249" s="51"/>
      <c r="O249" s="13"/>
      <c r="P249" s="13"/>
      <c r="Q249" s="13"/>
      <c r="R249" s="13"/>
      <c r="Y249" s="13"/>
      <c r="Z249" s="13"/>
      <c r="AA249" s="13"/>
      <c r="AB249" s="13"/>
    </row>
    <row r="250" spans="2:28">
      <c r="B250" s="51" t="str">
        <f>Ontwerpberekening!B7</f>
        <v>Open Menggranulaat</v>
      </c>
      <c r="C250" s="51" t="str">
        <f>Ontwerpberekening!E7</f>
        <v>Nieuwe situatie</v>
      </c>
      <c r="D250" s="51"/>
      <c r="E250" s="51"/>
      <c r="F250" s="94" t="s">
        <v>135</v>
      </c>
      <c r="G250" s="94" t="s">
        <v>135</v>
      </c>
      <c r="H250" s="51"/>
      <c r="I250" s="51"/>
      <c r="J250" s="51"/>
      <c r="K250" s="51"/>
      <c r="L250" s="51"/>
      <c r="M250" s="51"/>
      <c r="N250" s="51"/>
      <c r="O250" s="13"/>
      <c r="P250" s="13"/>
      <c r="Q250" s="13"/>
      <c r="R250" s="13"/>
      <c r="Y250" s="13"/>
      <c r="Z250" s="13"/>
      <c r="AA250" s="13"/>
      <c r="AB250" s="13"/>
    </row>
    <row r="251" spans="2:28">
      <c r="B251" s="51" t="str">
        <f>Ontwerpberekening!B8</f>
        <v>Open Menggranulaat</v>
      </c>
      <c r="C251" s="51" t="str">
        <f>Ontwerpberekening!E8</f>
        <v>Nieuwe situatie</v>
      </c>
      <c r="D251" s="51"/>
      <c r="E251" s="51"/>
      <c r="F251" s="94" t="s">
        <v>135</v>
      </c>
      <c r="G251" s="94" t="s">
        <v>135</v>
      </c>
      <c r="H251" s="51"/>
      <c r="I251" s="51"/>
      <c r="J251" s="51"/>
      <c r="K251" s="51"/>
      <c r="L251" s="51"/>
      <c r="M251" s="51"/>
      <c r="N251" s="51"/>
      <c r="O251" s="13"/>
      <c r="P251" s="13"/>
      <c r="Q251" s="13"/>
      <c r="R251" s="13"/>
      <c r="Y251" s="13"/>
      <c r="Z251" s="13"/>
      <c r="AA251" s="13"/>
      <c r="AB251" s="13"/>
    </row>
    <row r="252" spans="2:28">
      <c r="B252" s="51" t="str">
        <f>Ontwerpberekening!B9</f>
        <v>Open Menggranulaat</v>
      </c>
      <c r="C252" s="51" t="str">
        <f>Ontwerpberekening!E9</f>
        <v>Nieuwe situatie</v>
      </c>
      <c r="D252" s="51"/>
      <c r="E252" s="51"/>
      <c r="F252" s="94" t="s">
        <v>135</v>
      </c>
      <c r="G252" s="94" t="s">
        <v>135</v>
      </c>
      <c r="H252" s="51"/>
      <c r="I252" s="51"/>
      <c r="J252" s="51"/>
      <c r="K252" s="51"/>
      <c r="L252" s="51"/>
      <c r="M252" s="51"/>
      <c r="N252" s="51"/>
      <c r="O252" s="13"/>
      <c r="P252" s="13"/>
      <c r="Q252" s="13"/>
      <c r="R252" s="13"/>
      <c r="Y252" s="13"/>
      <c r="Z252" s="13"/>
      <c r="AA252" s="13"/>
      <c r="AB252" s="13"/>
    </row>
    <row r="253" spans="2:28">
      <c r="B253" s="51" t="str">
        <f>Ontwerpberekening!B10</f>
        <v>Open Menggranulaat</v>
      </c>
      <c r="C253" s="51" t="str">
        <f>Ontwerpberekening!E10</f>
        <v>Nieuwe situatie</v>
      </c>
      <c r="D253" s="51"/>
      <c r="E253" s="51"/>
      <c r="F253" s="94" t="s">
        <v>135</v>
      </c>
      <c r="G253" s="94" t="s">
        <v>135</v>
      </c>
      <c r="H253" s="51"/>
      <c r="I253" s="51"/>
      <c r="J253" s="51"/>
      <c r="K253" s="51"/>
      <c r="L253" s="51"/>
      <c r="M253" s="51"/>
      <c r="N253" s="51"/>
      <c r="O253" s="13"/>
      <c r="P253" s="13"/>
      <c r="Q253" s="13"/>
      <c r="R253" s="13"/>
      <c r="Y253" s="13"/>
      <c r="Z253" s="13"/>
      <c r="AA253" s="13"/>
      <c r="AB253" s="13"/>
    </row>
    <row r="254" spans="2:28">
      <c r="B254" s="51" t="str">
        <f>Ontwerpberekening!B11</f>
        <v>Open Menggranulaat</v>
      </c>
      <c r="C254" s="51" t="str">
        <f>Ontwerpberekening!E11</f>
        <v>Bestaande situatie</v>
      </c>
      <c r="D254" s="51"/>
      <c r="E254" s="51"/>
      <c r="F254" s="94" t="s">
        <v>135</v>
      </c>
      <c r="G254" s="94" t="s">
        <v>135</v>
      </c>
      <c r="H254" s="51"/>
      <c r="I254" s="51"/>
      <c r="J254" s="51"/>
      <c r="K254" s="51"/>
      <c r="L254" s="51"/>
      <c r="M254" s="51"/>
      <c r="N254" s="51"/>
      <c r="O254" s="13"/>
      <c r="P254" s="13"/>
      <c r="Q254" s="13"/>
      <c r="R254" s="13"/>
      <c r="Y254" s="13"/>
      <c r="Z254" s="13"/>
      <c r="AA254" s="13"/>
      <c r="AB254" s="13"/>
    </row>
    <row r="255" spans="2:28">
      <c r="B255" s="51" t="str">
        <f>Ontwerpberekening!B12</f>
        <v>Open Menggranulaat</v>
      </c>
      <c r="C255" s="51" t="str">
        <f>Ontwerpberekening!E12</f>
        <v>Bestaande situatie</v>
      </c>
      <c r="D255" s="51"/>
      <c r="E255" s="51"/>
      <c r="F255" s="94" t="s">
        <v>135</v>
      </c>
      <c r="G255" s="94" t="s">
        <v>135</v>
      </c>
      <c r="H255" s="51"/>
      <c r="I255" s="51"/>
      <c r="J255" s="51"/>
      <c r="K255" s="51"/>
      <c r="L255" s="51"/>
      <c r="M255" s="51"/>
      <c r="N255" s="51"/>
      <c r="O255" s="13"/>
      <c r="P255" s="13"/>
      <c r="Q255" s="13"/>
      <c r="R255" s="13"/>
      <c r="Y255" s="13"/>
      <c r="Z255" s="13"/>
      <c r="AA255" s="13"/>
      <c r="AB255" s="13"/>
    </row>
    <row r="256" spans="2:28">
      <c r="B256" s="51" t="str">
        <f>Ontwerpberekening!B13</f>
        <v>Open Menggranulaat</v>
      </c>
      <c r="C256" s="51" t="str">
        <f>Ontwerpberekening!E13</f>
        <v>Bestaande situatie</v>
      </c>
      <c r="D256" s="51"/>
      <c r="E256" s="51"/>
      <c r="F256" s="94" t="s">
        <v>135</v>
      </c>
      <c r="G256" s="94" t="s">
        <v>135</v>
      </c>
      <c r="H256" s="51"/>
      <c r="I256" s="51"/>
      <c r="J256" s="51"/>
      <c r="K256" s="51"/>
      <c r="L256" s="51"/>
      <c r="M256" s="51"/>
      <c r="N256" s="51"/>
      <c r="O256" s="13"/>
      <c r="P256" s="13"/>
      <c r="Q256" s="13"/>
      <c r="R256" s="13"/>
      <c r="Y256" s="13"/>
      <c r="Z256" s="13"/>
      <c r="AA256" s="13"/>
      <c r="AB256" s="13"/>
    </row>
    <row r="257" spans="2:28">
      <c r="B257" s="51" t="str">
        <f>Ontwerpberekening!B14</f>
        <v>Open Menggranulaat</v>
      </c>
      <c r="C257" s="51" t="str">
        <f>Ontwerpberekening!E14</f>
        <v>Bestaande situatie</v>
      </c>
      <c r="D257" s="51"/>
      <c r="E257" s="51"/>
      <c r="F257" s="94" t="s">
        <v>135</v>
      </c>
      <c r="G257" s="94" t="s">
        <v>135</v>
      </c>
      <c r="H257" s="51"/>
      <c r="I257" s="51"/>
      <c r="J257" s="51"/>
      <c r="K257" s="51"/>
      <c r="L257" s="51"/>
      <c r="M257" s="51"/>
      <c r="N257" s="51"/>
      <c r="O257" s="13"/>
      <c r="P257" s="13"/>
      <c r="Q257" s="13"/>
      <c r="R257" s="13"/>
      <c r="Y257" s="13"/>
      <c r="Z257" s="13"/>
      <c r="AA257" s="13"/>
      <c r="AB257" s="13"/>
    </row>
    <row r="258" spans="2:28">
      <c r="B258" s="51" t="str">
        <f>Ontwerpberekening!B15</f>
        <v>Open Menggranulaat</v>
      </c>
      <c r="C258" s="51" t="str">
        <f>Ontwerpberekening!E15</f>
        <v>Bestaande situatie</v>
      </c>
      <c r="D258" s="51"/>
      <c r="E258" s="51"/>
      <c r="F258" s="94" t="s">
        <v>135</v>
      </c>
      <c r="G258" s="94" t="s">
        <v>135</v>
      </c>
      <c r="H258" s="51"/>
      <c r="I258" s="51"/>
      <c r="J258" s="51"/>
      <c r="K258" s="51"/>
      <c r="L258" s="51"/>
      <c r="M258" s="51"/>
      <c r="N258" s="51"/>
      <c r="O258" s="13"/>
      <c r="P258" s="13"/>
      <c r="Q258" s="13"/>
      <c r="R258" s="13"/>
      <c r="Y258" s="13"/>
      <c r="Z258" s="13"/>
      <c r="AA258" s="13"/>
      <c r="AB258" s="13"/>
    </row>
    <row r="259" spans="2:28">
      <c r="B259" s="51" t="str">
        <f>Ontwerpberekening!B16</f>
        <v>Plastic kratten</v>
      </c>
      <c r="C259" s="51" t="str">
        <f>Ontwerpberekening!E16</f>
        <v>Bestaande situatie</v>
      </c>
      <c r="D259" s="54"/>
      <c r="E259" s="54"/>
      <c r="F259" s="94" t="s">
        <v>135</v>
      </c>
      <c r="G259" s="94" t="s">
        <v>135</v>
      </c>
      <c r="H259" s="54"/>
      <c r="I259" s="54"/>
      <c r="J259" s="54"/>
      <c r="K259" s="54"/>
      <c r="L259" s="54"/>
      <c r="M259" s="54"/>
      <c r="N259" s="54"/>
      <c r="O259" s="13"/>
      <c r="P259" s="13"/>
      <c r="Q259" s="13"/>
      <c r="R259" s="13"/>
      <c r="Y259" s="13"/>
      <c r="Z259" s="13"/>
      <c r="AA259" s="13"/>
      <c r="AB259" s="13"/>
    </row>
    <row r="260" spans="2:28">
      <c r="B260" s="51" t="str">
        <f>Ontwerpberekening!B17</f>
        <v>Plastic kratten</v>
      </c>
      <c r="C260" s="51" t="str">
        <f>Ontwerpberekening!E17</f>
        <v>Nieuwe situatie</v>
      </c>
      <c r="D260" s="54"/>
      <c r="E260" s="54"/>
      <c r="F260" s="94" t="s">
        <v>135</v>
      </c>
      <c r="G260" s="94" t="s">
        <v>135</v>
      </c>
      <c r="H260" s="54"/>
      <c r="I260" s="54"/>
      <c r="J260" s="54"/>
      <c r="K260" s="54"/>
      <c r="L260" s="54"/>
      <c r="M260" s="54"/>
      <c r="N260" s="54"/>
    </row>
    <row r="261" spans="2:28">
      <c r="B261" s="51" t="str">
        <f>Ontwerpberekening!B18</f>
        <v>Plastic kratten</v>
      </c>
      <c r="C261" s="51" t="str">
        <f>Ontwerpberekening!E18</f>
        <v>Nieuwe situatie</v>
      </c>
      <c r="D261" s="54"/>
      <c r="E261" s="54"/>
      <c r="F261" s="94" t="s">
        <v>135</v>
      </c>
      <c r="G261" s="94" t="s">
        <v>135</v>
      </c>
      <c r="H261" s="54"/>
      <c r="I261" s="54"/>
      <c r="J261" s="54"/>
      <c r="K261" s="54"/>
      <c r="L261" s="54"/>
      <c r="M261" s="54"/>
      <c r="N261" s="54"/>
    </row>
    <row r="262" spans="2:28">
      <c r="B262" s="51" t="str">
        <f>Ontwerpberekening!B19</f>
        <v>Plastic kratten</v>
      </c>
      <c r="C262" s="51" t="str">
        <f>Ontwerpberekening!E19</f>
        <v>Nieuwe situatie</v>
      </c>
      <c r="D262" s="54"/>
      <c r="E262" s="54"/>
      <c r="F262" s="94" t="s">
        <v>135</v>
      </c>
      <c r="G262" s="94" t="s">
        <v>135</v>
      </c>
      <c r="H262" s="54"/>
      <c r="I262" s="54"/>
      <c r="J262" s="54"/>
      <c r="K262" s="54"/>
      <c r="L262" s="54"/>
      <c r="M262" s="54"/>
      <c r="N262" s="54"/>
    </row>
    <row r="263" spans="2:28">
      <c r="B263" s="51" t="str">
        <f>Ontwerpberekening!B20</f>
        <v>Plastic kratten</v>
      </c>
      <c r="C263" s="51" t="str">
        <f>Ontwerpberekening!E20</f>
        <v>Nieuwe situatie</v>
      </c>
      <c r="D263" s="54"/>
      <c r="E263" s="54"/>
      <c r="F263" s="94" t="s">
        <v>135</v>
      </c>
      <c r="G263" s="94" t="s">
        <v>135</v>
      </c>
      <c r="H263" s="54"/>
      <c r="I263" s="54"/>
      <c r="J263" s="54"/>
      <c r="K263" s="54"/>
      <c r="L263" s="54"/>
      <c r="M263" s="54"/>
      <c r="N263" s="54"/>
    </row>
    <row r="264" spans="2:28">
      <c r="B264" s="51" t="str">
        <f>Ontwerpberekening!B21</f>
        <v>Plastic kratten</v>
      </c>
      <c r="C264" s="51" t="str">
        <f>Ontwerpberekening!E21</f>
        <v>Nieuwe situatie</v>
      </c>
      <c r="D264" s="54"/>
      <c r="E264" s="54"/>
      <c r="F264" s="94" t="s">
        <v>135</v>
      </c>
      <c r="G264" s="94" t="s">
        <v>135</v>
      </c>
      <c r="H264" s="54"/>
      <c r="I264" s="54"/>
      <c r="J264" s="54"/>
      <c r="K264" s="54"/>
      <c r="L264" s="54"/>
      <c r="M264" s="54"/>
      <c r="N264" s="54"/>
    </row>
    <row r="265" spans="2:28">
      <c r="B265" s="51" t="str">
        <f>Ontwerpberekening!B22</f>
        <v>Plastic kratten</v>
      </c>
      <c r="C265" s="51" t="str">
        <f>Ontwerpberekening!E22</f>
        <v>Bestaande situatie</v>
      </c>
      <c r="D265" s="54"/>
      <c r="E265" s="54"/>
      <c r="F265" s="94" t="s">
        <v>135</v>
      </c>
      <c r="G265" s="94" t="s">
        <v>135</v>
      </c>
      <c r="H265" s="54"/>
      <c r="I265" s="54"/>
      <c r="J265" s="54"/>
      <c r="K265" s="54"/>
      <c r="L265" s="54"/>
      <c r="M265" s="54"/>
      <c r="N265" s="54"/>
    </row>
    <row r="266" spans="2:28">
      <c r="B266" s="51" t="str">
        <f>Ontwerpberekening!B23</f>
        <v>Plastic kratten</v>
      </c>
      <c r="C266" s="51" t="str">
        <f>Ontwerpberekening!E23</f>
        <v>Bestaande situatie</v>
      </c>
      <c r="D266" s="54"/>
      <c r="E266" s="54"/>
      <c r="F266" s="94" t="s">
        <v>135</v>
      </c>
      <c r="G266" s="94" t="s">
        <v>135</v>
      </c>
      <c r="H266" s="54"/>
      <c r="I266" s="54"/>
      <c r="J266" s="54"/>
      <c r="K266" s="54"/>
      <c r="L266" s="54"/>
      <c r="M266" s="54"/>
      <c r="N266" s="54"/>
    </row>
    <row r="267" spans="2:28">
      <c r="B267" s="51" t="str">
        <f>Ontwerpberekening!B24</f>
        <v>Plastic kratten</v>
      </c>
      <c r="C267" s="51" t="str">
        <f>Ontwerpberekening!E24</f>
        <v>Bestaande situatie</v>
      </c>
      <c r="D267" s="54"/>
      <c r="E267" s="54"/>
      <c r="F267" s="94" t="s">
        <v>135</v>
      </c>
      <c r="G267" s="94" t="s">
        <v>135</v>
      </c>
      <c r="H267" s="54"/>
      <c r="I267" s="54"/>
      <c r="J267" s="54"/>
      <c r="K267" s="54"/>
      <c r="L267" s="54"/>
      <c r="M267" s="54"/>
      <c r="N267" s="54"/>
    </row>
    <row r="268" spans="2:28">
      <c r="B268" s="51" t="str">
        <f>Ontwerpberekening!B25</f>
        <v>Plastic kratten</v>
      </c>
      <c r="C268" s="51" t="str">
        <f>Ontwerpberekening!E25</f>
        <v>Bestaande situatie</v>
      </c>
      <c r="D268" s="54"/>
      <c r="E268" s="54"/>
      <c r="F268" s="94" t="s">
        <v>135</v>
      </c>
      <c r="G268" s="94" t="s">
        <v>135</v>
      </c>
      <c r="H268" s="54"/>
      <c r="I268" s="54"/>
      <c r="J268" s="54"/>
      <c r="K268" s="54"/>
      <c r="L268" s="54"/>
      <c r="M268" s="54"/>
      <c r="N268" s="54"/>
    </row>
    <row r="269" spans="2:28">
      <c r="B269" s="51" t="str">
        <f>Ontwerpberekening!B26</f>
        <v>Plastic kratten</v>
      </c>
      <c r="C269" s="51" t="str">
        <f>Ontwerpberekening!E26</f>
        <v>Bestaande situatie</v>
      </c>
      <c r="D269" s="54"/>
      <c r="E269" s="54"/>
      <c r="F269" s="94" t="s">
        <v>135</v>
      </c>
      <c r="G269" s="94" t="s">
        <v>135</v>
      </c>
      <c r="H269" s="54"/>
      <c r="I269" s="54"/>
      <c r="J269" s="54"/>
      <c r="K269" s="54"/>
      <c r="L269" s="54"/>
      <c r="M269" s="54"/>
      <c r="N269" s="54"/>
    </row>
    <row r="270" spans="2:28">
      <c r="B270" s="51" t="str">
        <f>Ontwerpberekening!B27</f>
        <v>Rockwool</v>
      </c>
      <c r="C270" s="51" t="str">
        <f>Ontwerpberekening!E27</f>
        <v>Bestaande situatie</v>
      </c>
      <c r="D270" s="54"/>
      <c r="E270" s="54"/>
      <c r="F270" s="94" t="s">
        <v>135</v>
      </c>
      <c r="G270" s="94" t="s">
        <v>135</v>
      </c>
      <c r="H270" s="54"/>
      <c r="I270" s="54"/>
      <c r="J270" s="54"/>
      <c r="K270" s="54"/>
      <c r="L270" s="54"/>
      <c r="M270" s="54"/>
      <c r="N270" s="54"/>
    </row>
    <row r="271" spans="2:28">
      <c r="B271" s="51" t="str">
        <f>Ontwerpberekening!B28</f>
        <v>Rockwool</v>
      </c>
      <c r="C271" s="51" t="str">
        <f>Ontwerpberekening!E28</f>
        <v>Nieuwe situatie</v>
      </c>
      <c r="D271" s="54"/>
      <c r="E271" s="54"/>
      <c r="F271" s="94" t="s">
        <v>135</v>
      </c>
      <c r="G271" s="94" t="s">
        <v>135</v>
      </c>
      <c r="H271" s="54"/>
      <c r="I271" s="54"/>
      <c r="J271" s="54"/>
      <c r="K271" s="54"/>
      <c r="L271" s="54"/>
      <c r="M271" s="54"/>
      <c r="N271" s="54"/>
    </row>
    <row r="272" spans="2:28">
      <c r="B272" s="51" t="str">
        <f>Ontwerpberekening!B29</f>
        <v>Rockwool</v>
      </c>
      <c r="C272" s="51" t="str">
        <f>Ontwerpberekening!E29</f>
        <v>Nieuwe situatie</v>
      </c>
      <c r="D272" s="54"/>
      <c r="E272" s="54"/>
      <c r="F272" s="94" t="s">
        <v>135</v>
      </c>
      <c r="G272" s="94" t="s">
        <v>135</v>
      </c>
      <c r="H272" s="54"/>
      <c r="I272" s="54"/>
      <c r="J272" s="54"/>
      <c r="K272" s="54"/>
      <c r="L272" s="54"/>
      <c r="M272" s="54"/>
      <c r="N272" s="54"/>
    </row>
    <row r="273" spans="2:14">
      <c r="B273" s="197" t="str">
        <f>Ontwerpberekening!B30</f>
        <v>Rockwool</v>
      </c>
      <c r="C273" s="197" t="str">
        <f>Ontwerpberekening!E30</f>
        <v>Nieuwe situatie</v>
      </c>
      <c r="D273" s="198"/>
      <c r="E273" s="198"/>
      <c r="F273" s="94" t="s">
        <v>135</v>
      </c>
      <c r="G273" s="94" t="s">
        <v>135</v>
      </c>
      <c r="H273" s="198"/>
      <c r="I273" s="198"/>
      <c r="J273" s="198"/>
      <c r="K273" s="198"/>
      <c r="L273" s="198"/>
      <c r="M273" s="198"/>
      <c r="N273" s="198"/>
    </row>
    <row r="274" spans="2:14">
      <c r="B274" s="51" t="str">
        <f>Ontwerpberekening!B31</f>
        <v>Rockwool</v>
      </c>
      <c r="C274" s="51" t="str">
        <f>Ontwerpberekening!E31</f>
        <v>Nieuwe situatie</v>
      </c>
      <c r="D274" s="54"/>
      <c r="E274" s="54"/>
      <c r="F274" s="94" t="s">
        <v>135</v>
      </c>
      <c r="G274" s="94" t="s">
        <v>135</v>
      </c>
      <c r="H274" s="54"/>
      <c r="I274" s="54"/>
      <c r="J274" s="54"/>
      <c r="K274" s="54"/>
      <c r="L274" s="54"/>
      <c r="M274" s="54"/>
      <c r="N274" s="54"/>
    </row>
    <row r="275" spans="2:14">
      <c r="B275" s="197" t="str">
        <f>Ontwerpberekening!B32</f>
        <v>Rockwool</v>
      </c>
      <c r="C275" s="197" t="str">
        <f>Ontwerpberekening!E32</f>
        <v>Nieuwe situatie</v>
      </c>
      <c r="D275" s="198"/>
      <c r="E275" s="198"/>
      <c r="F275" s="94" t="s">
        <v>135</v>
      </c>
      <c r="G275" s="94" t="s">
        <v>135</v>
      </c>
      <c r="H275" s="198"/>
      <c r="I275" s="198"/>
      <c r="J275" s="198"/>
      <c r="K275" s="198"/>
      <c r="L275" s="198"/>
      <c r="M275" s="198"/>
      <c r="N275" s="198"/>
    </row>
    <row r="276" spans="2:14" ht="15.75" thickBot="1">
      <c r="B276" s="197" t="str">
        <f>Ontwerpberekening!B33</f>
        <v>Rockwool</v>
      </c>
      <c r="C276" s="197" t="str">
        <f>Ontwerpberekening!E33</f>
        <v>Bestaande situatie</v>
      </c>
      <c r="D276" s="198"/>
      <c r="E276" s="198"/>
      <c r="F276" s="94" t="s">
        <v>135</v>
      </c>
      <c r="G276" s="94" t="s">
        <v>135</v>
      </c>
      <c r="H276" s="198"/>
      <c r="I276" s="198"/>
      <c r="J276" s="198"/>
      <c r="K276" s="198"/>
      <c r="L276" s="198"/>
      <c r="M276" s="198"/>
      <c r="N276" s="198"/>
    </row>
    <row r="277" spans="2:14" ht="15.75" thickTop="1">
      <c r="B277" s="52" t="s">
        <v>90</v>
      </c>
      <c r="C277" s="53"/>
      <c r="D277" s="136">
        <f>SUBTOTAL(109,Referentie_Bouwplaats_Totaal61[Draaiuren Bouw])</f>
        <v>0</v>
      </c>
      <c r="E277" s="136">
        <f>SUBTOTAL(109,Referentie_Bouwplaats_Totaal61[Draaiuren Sloop])</f>
        <v>0</v>
      </c>
      <c r="F277" s="80">
        <f>SUBTOTAL(109,Referentie_Bouwplaats_Totaal61[Emissieloos Bouwmaterieel])</f>
        <v>0</v>
      </c>
      <c r="G277" s="80">
        <f>SUBTOTAL(109,Referentie_Bouwplaats_Totaal61[Emissieloos Sloopmaterieel])</f>
        <v>0</v>
      </c>
      <c r="H277" s="11">
        <f>SUBTOTAL(109,Referentie_Bouwplaats_Totaal61[Emissieloos bouwplaats])</f>
        <v>0</v>
      </c>
      <c r="I277" s="136">
        <f>SUBTOTAL(109,Referentie_Bouwplaats_Totaal61[Draaiuren Bouw Vervangingen])</f>
        <v>0</v>
      </c>
      <c r="J277" s="136">
        <f>SUBTOTAL(109,Referentie_Bouwplaats_Totaal61[Draaiuren Sloop Vervangingen])</f>
        <v>0</v>
      </c>
      <c r="K277" s="137">
        <f>SUBTOTAL(109,Referentie_Bouwplaats_Totaal61[Emissieloos bouwplaats Vervangingen])</f>
        <v>0</v>
      </c>
      <c r="L277" s="137">
        <f>SUBTOTAL(109,Referentie_Bouwplaats_Totaal61[Totaal Emissieloos Bouwplaats])</f>
        <v>0</v>
      </c>
      <c r="M277" s="137">
        <f>SUBTOTAL(109,Referentie_Bouwplaats_Totaal61[Totaal Niet Emissieloos Bouwplaats])</f>
        <v>0</v>
      </c>
      <c r="N277" s="137">
        <f>SUBTOTAL(109,Referentie_Bouwplaats_Totaal61[Totaal Bouwplaats])</f>
        <v>0</v>
      </c>
    </row>
  </sheetData>
  <phoneticPr fontId="11" type="noConversion"/>
  <pageMargins left="0.7" right="0.7" top="0.75" bottom="0.75" header="0.3" footer="0.3"/>
  <tableParts count="7">
    <tablePart r:id="rId6"/>
    <tablePart r:id="rId7"/>
    <tablePart r:id="rId8"/>
    <tablePart r:id="rId9"/>
    <tablePart r:id="rId10"/>
    <tablePart r:id="rId11"/>
    <tablePart r:id="rId12"/>
  </tableParts>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665BBA75-8DFD-4942-8C22-4FCD52F0A34A}">
          <x14:formula1>
            <xm:f>Lijsten!$Z$2:$Z$3</xm:f>
          </x14:formula1>
          <xm:sqref>F214:G242 F248:G276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59657E-8DEE-4277-9C3F-BB0A743D1F8C}">
  <sheetPr codeName="Sheet1"/>
  <dimension ref="B1:B152"/>
  <sheetViews>
    <sheetView zoomScale="130" zoomScaleNormal="130" workbookViewId="0">
      <selection activeCell="A2" sqref="A2"/>
    </sheetView>
  </sheetViews>
  <sheetFormatPr defaultRowHeight="15"/>
  <cols>
    <col min="1" max="1" width="15" style="14" customWidth="1"/>
    <col min="2" max="2" width="131.5703125" style="223" customWidth="1"/>
    <col min="3" max="16384" width="9.140625" style="14"/>
  </cols>
  <sheetData>
    <row r="1" spans="2:2" ht="115.5" customHeight="1"/>
    <row r="2" spans="2:2" ht="15.75">
      <c r="B2" s="372" t="s">
        <v>148</v>
      </c>
    </row>
    <row r="3" spans="2:2">
      <c r="B3" s="216"/>
    </row>
    <row r="4" spans="2:2">
      <c r="B4" s="373" t="s">
        <v>149</v>
      </c>
    </row>
    <row r="5" spans="2:2">
      <c r="B5" s="217" t="s">
        <v>150</v>
      </c>
    </row>
    <row r="6" spans="2:2" ht="15" customHeight="1">
      <c r="B6" s="217" t="s">
        <v>151</v>
      </c>
    </row>
    <row r="7" spans="2:2">
      <c r="B7" s="217" t="s">
        <v>152</v>
      </c>
    </row>
    <row r="8" spans="2:2">
      <c r="B8" s="217" t="s">
        <v>153</v>
      </c>
    </row>
    <row r="9" spans="2:2">
      <c r="B9" s="218" t="s">
        <v>154</v>
      </c>
    </row>
    <row r="10" spans="2:2">
      <c r="B10" s="218" t="s">
        <v>155</v>
      </c>
    </row>
    <row r="11" spans="2:2">
      <c r="B11" s="218" t="s">
        <v>156</v>
      </c>
    </row>
    <row r="12" spans="2:2">
      <c r="B12" s="218" t="s">
        <v>157</v>
      </c>
    </row>
    <row r="13" spans="2:2">
      <c r="B13" s="217" t="s">
        <v>158</v>
      </c>
    </row>
    <row r="14" spans="2:2">
      <c r="B14" s="217" t="s">
        <v>159</v>
      </c>
    </row>
    <row r="15" spans="2:2">
      <c r="B15" s="217"/>
    </row>
    <row r="16" spans="2:2">
      <c r="B16" s="373" t="s">
        <v>160</v>
      </c>
    </row>
    <row r="17" spans="2:2">
      <c r="B17" s="217" t="s">
        <v>161</v>
      </c>
    </row>
    <row r="18" spans="2:2">
      <c r="B18" s="217" t="s">
        <v>162</v>
      </c>
    </row>
    <row r="19" spans="2:2">
      <c r="B19" s="217"/>
    </row>
    <row r="20" spans="2:2">
      <c r="B20" s="217"/>
    </row>
    <row r="21" spans="2:2">
      <c r="B21" s="217"/>
    </row>
    <row r="33" spans="2:2">
      <c r="B33" s="400" t="s">
        <v>163</v>
      </c>
    </row>
    <row r="34" spans="2:2" ht="21" customHeight="1">
      <c r="B34" s="378" t="s">
        <v>164</v>
      </c>
    </row>
    <row r="35" spans="2:2">
      <c r="B35" s="217" t="s">
        <v>165</v>
      </c>
    </row>
    <row r="36" spans="2:2">
      <c r="B36" s="217"/>
    </row>
    <row r="37" spans="2:2">
      <c r="B37" s="409" t="s">
        <v>166</v>
      </c>
    </row>
    <row r="38" spans="2:2">
      <c r="B38" s="14"/>
    </row>
    <row r="39" spans="2:2" ht="15" customHeight="1">
      <c r="B39" s="217" t="s">
        <v>167</v>
      </c>
    </row>
    <row r="40" spans="2:2" hidden="1">
      <c r="B40" s="248" t="s">
        <v>168</v>
      </c>
    </row>
    <row r="41" spans="2:2" hidden="1">
      <c r="B41" s="217" t="s">
        <v>169</v>
      </c>
    </row>
    <row r="42" spans="2:2">
      <c r="B42" s="375" t="s">
        <v>6</v>
      </c>
    </row>
    <row r="43" spans="2:2">
      <c r="B43" s="217" t="s">
        <v>170</v>
      </c>
    </row>
    <row r="44" spans="2:2">
      <c r="B44" s="217"/>
    </row>
    <row r="45" spans="2:2">
      <c r="B45" s="375" t="s">
        <v>7</v>
      </c>
    </row>
    <row r="46" spans="2:2" ht="30">
      <c r="B46" s="217" t="s">
        <v>171</v>
      </c>
    </row>
    <row r="47" spans="2:2">
      <c r="B47" s="217" t="s">
        <v>172</v>
      </c>
    </row>
    <row r="48" spans="2:2">
      <c r="B48" s="375" t="s">
        <v>173</v>
      </c>
    </row>
    <row r="49" spans="2:2">
      <c r="B49" s="217" t="s">
        <v>174</v>
      </c>
    </row>
    <row r="50" spans="2:2">
      <c r="B50" s="375" t="s">
        <v>175</v>
      </c>
    </row>
    <row r="51" spans="2:2">
      <c r="B51" s="217" t="s">
        <v>176</v>
      </c>
    </row>
    <row r="52" spans="2:2">
      <c r="B52" s="375" t="s">
        <v>177</v>
      </c>
    </row>
    <row r="53" spans="2:2">
      <c r="B53" s="217" t="s">
        <v>178</v>
      </c>
    </row>
    <row r="54" spans="2:2" ht="30">
      <c r="B54" s="217" t="s">
        <v>179</v>
      </c>
    </row>
    <row r="55" spans="2:2">
      <c r="B55" s="220" t="s">
        <v>180</v>
      </c>
    </row>
    <row r="56" spans="2:2" ht="30">
      <c r="B56" s="217" t="s">
        <v>181</v>
      </c>
    </row>
    <row r="57" spans="2:2" ht="30">
      <c r="B57" s="221" t="s">
        <v>182</v>
      </c>
    </row>
    <row r="58" spans="2:2">
      <c r="B58" s="221"/>
    </row>
    <row r="59" spans="2:2">
      <c r="B59" s="374" t="s">
        <v>183</v>
      </c>
    </row>
    <row r="60" spans="2:2">
      <c r="B60" s="216"/>
    </row>
    <row r="62" spans="2:2">
      <c r="B62" s="216"/>
    </row>
    <row r="63" spans="2:2">
      <c r="B63" s="216"/>
    </row>
    <row r="64" spans="2:2">
      <c r="B64" s="216"/>
    </row>
    <row r="65" spans="2:2">
      <c r="B65" s="216"/>
    </row>
    <row r="66" spans="2:2">
      <c r="B66" s="216"/>
    </row>
    <row r="67" spans="2:2">
      <c r="B67" s="216"/>
    </row>
    <row r="68" spans="2:2">
      <c r="B68" s="216"/>
    </row>
    <row r="69" spans="2:2">
      <c r="B69" s="216"/>
    </row>
    <row r="70" spans="2:2">
      <c r="B70" s="216"/>
    </row>
    <row r="71" spans="2:2">
      <c r="B71" s="216"/>
    </row>
    <row r="72" spans="2:2">
      <c r="B72" s="216"/>
    </row>
    <row r="73" spans="2:2">
      <c r="B73" s="216"/>
    </row>
    <row r="74" spans="2:2">
      <c r="B74" s="216"/>
    </row>
    <row r="75" spans="2:2">
      <c r="B75" s="216"/>
    </row>
    <row r="76" spans="2:2">
      <c r="B76" s="216"/>
    </row>
    <row r="77" spans="2:2">
      <c r="B77" s="216"/>
    </row>
    <row r="78" spans="2:2">
      <c r="B78" s="400" t="s">
        <v>184</v>
      </c>
    </row>
    <row r="79" spans="2:2">
      <c r="B79" s="217" t="s">
        <v>185</v>
      </c>
    </row>
    <row r="80" spans="2:2" ht="30">
      <c r="B80" s="217" t="s">
        <v>186</v>
      </c>
    </row>
    <row r="81" spans="2:2">
      <c r="B81" s="217" t="s">
        <v>187</v>
      </c>
    </row>
    <row r="82" spans="2:2">
      <c r="B82" s="217"/>
    </row>
    <row r="83" spans="2:2">
      <c r="B83" s="376" t="s">
        <v>188</v>
      </c>
    </row>
    <row r="84" spans="2:2">
      <c r="B84" s="220"/>
    </row>
    <row r="85" spans="2:2">
      <c r="B85" s="220"/>
    </row>
    <row r="86" spans="2:2">
      <c r="B86" s="220"/>
    </row>
    <row r="87" spans="2:2">
      <c r="B87" s="220"/>
    </row>
    <row r="88" spans="2:2">
      <c r="B88" s="220"/>
    </row>
    <row r="89" spans="2:2">
      <c r="B89" s="222" t="s">
        <v>189</v>
      </c>
    </row>
    <row r="90" spans="2:2">
      <c r="B90" s="222"/>
    </row>
    <row r="92" spans="2:2">
      <c r="B92" s="400" t="s">
        <v>190</v>
      </c>
    </row>
    <row r="93" spans="2:2" ht="30">
      <c r="B93" s="217" t="s">
        <v>191</v>
      </c>
    </row>
    <row r="94" spans="2:2" ht="30">
      <c r="B94" s="217" t="s">
        <v>192</v>
      </c>
    </row>
    <row r="95" spans="2:2">
      <c r="B95" s="217" t="s">
        <v>193</v>
      </c>
    </row>
    <row r="96" spans="2:2" ht="30">
      <c r="B96" s="217" t="s">
        <v>194</v>
      </c>
    </row>
    <row r="97" spans="2:2">
      <c r="B97" s="217"/>
    </row>
    <row r="98" spans="2:2">
      <c r="B98" s="373" t="s">
        <v>195</v>
      </c>
    </row>
    <row r="99" spans="2:2">
      <c r="B99" s="217" t="s">
        <v>196</v>
      </c>
    </row>
    <row r="100" spans="2:2" ht="30">
      <c r="B100" s="217" t="s">
        <v>197</v>
      </c>
    </row>
    <row r="101" spans="2:2">
      <c r="B101" s="217" t="s">
        <v>198</v>
      </c>
    </row>
    <row r="102" spans="2:2">
      <c r="B102" s="222"/>
    </row>
    <row r="103" spans="2:2">
      <c r="B103" s="222"/>
    </row>
    <row r="104" spans="2:2">
      <c r="B104" s="222"/>
    </row>
    <row r="105" spans="2:2">
      <c r="B105" s="222"/>
    </row>
    <row r="106" spans="2:2">
      <c r="B106" s="222"/>
    </row>
    <row r="107" spans="2:2">
      <c r="B107" s="222"/>
    </row>
    <row r="115" spans="2:2">
      <c r="B115" s="377" t="s">
        <v>199</v>
      </c>
    </row>
    <row r="116" spans="2:2" ht="30">
      <c r="B116" s="217" t="s">
        <v>200</v>
      </c>
    </row>
    <row r="117" spans="2:2" ht="30">
      <c r="B117" s="217" t="s">
        <v>201</v>
      </c>
    </row>
    <row r="126" spans="2:2">
      <c r="B126" s="375" t="s">
        <v>202</v>
      </c>
    </row>
    <row r="127" spans="2:2" ht="30">
      <c r="B127" s="217" t="s">
        <v>203</v>
      </c>
    </row>
    <row r="128" spans="2:2">
      <c r="B128" s="217"/>
    </row>
    <row r="129" spans="2:2">
      <c r="B129" s="217"/>
    </row>
    <row r="130" spans="2:2">
      <c r="B130" s="217"/>
    </row>
    <row r="131" spans="2:2">
      <c r="B131" s="217"/>
    </row>
    <row r="132" spans="2:2">
      <c r="B132" s="217"/>
    </row>
    <row r="133" spans="2:2">
      <c r="B133" s="217"/>
    </row>
    <row r="134" spans="2:2">
      <c r="B134" s="217"/>
    </row>
    <row r="135" spans="2:2">
      <c r="B135" s="217"/>
    </row>
    <row r="136" spans="2:2">
      <c r="B136" s="217"/>
    </row>
    <row r="137" spans="2:2">
      <c r="B137" s="217"/>
    </row>
    <row r="138" spans="2:2">
      <c r="B138" s="217"/>
    </row>
    <row r="139" spans="2:2">
      <c r="B139" s="217"/>
    </row>
    <row r="140" spans="2:2">
      <c r="B140" s="217"/>
    </row>
    <row r="141" spans="2:2">
      <c r="B141" s="217"/>
    </row>
    <row r="142" spans="2:2">
      <c r="B142" s="222"/>
    </row>
    <row r="148" spans="2:2">
      <c r="B148" s="219"/>
    </row>
    <row r="152" spans="2:2">
      <c r="B152" s="400" t="s">
        <v>204</v>
      </c>
    </row>
  </sheetData>
  <sheetProtection algorithmName="SHA-512" hashValue="dQE5DCAYkHucSUa+Dx9zQOoL/2Zvk2JcNPSPoGUN/AfYCCUqmy+GOW0eo2LplpbFh4WupHUjo5VTr+njB/AbAA==" saltValue="v/DqYNWSC/wfBaWCg/f4kQ==" spinCount="100000" sheet="1" objects="1" scenarios="1" selectLockedCells="1" selectUnlockedCells="1"/>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DB1341-E817-44D8-A656-46C8F95DBEBE}">
  <sheetPr codeName="Blad1"/>
  <dimension ref="A1:AF156"/>
  <sheetViews>
    <sheetView topLeftCell="C1" zoomScale="70" zoomScaleNormal="70" workbookViewId="0">
      <selection activeCell="F2" sqref="F2"/>
    </sheetView>
  </sheetViews>
  <sheetFormatPr defaultColWidth="9.140625" defaultRowHeight="14.25"/>
  <cols>
    <col min="1" max="1" width="20.28515625" style="13" customWidth="1"/>
    <col min="2" max="2" width="48.140625" style="13" customWidth="1"/>
    <col min="3" max="3" width="19.5703125" style="13" bestFit="1" customWidth="1"/>
    <col min="4" max="4" width="22" style="13" bestFit="1" customWidth="1"/>
    <col min="5" max="5" width="27.140625" style="13" customWidth="1"/>
    <col min="6" max="6" width="40" style="13" customWidth="1"/>
    <col min="7" max="7" width="20.7109375" style="13" hidden="1" customWidth="1"/>
    <col min="8" max="8" width="18.28515625" style="13" hidden="1" customWidth="1"/>
    <col min="9" max="9" width="13.85546875" style="13" customWidth="1"/>
    <col min="10" max="10" width="6.5703125" style="13" customWidth="1"/>
    <col min="11" max="11" width="8.28515625" style="13" hidden="1" customWidth="1"/>
    <col min="12" max="14" width="7.85546875" style="13" hidden="1" customWidth="1"/>
    <col min="15" max="19" width="10.28515625" style="13" bestFit="1" customWidth="1"/>
    <col min="20" max="20" width="39.140625" style="13" customWidth="1"/>
    <col min="21" max="21" width="41.42578125" style="13" hidden="1" customWidth="1"/>
    <col min="22" max="22" width="25" style="13" customWidth="1"/>
    <col min="23" max="23" width="10.28515625" style="13" hidden="1" customWidth="1"/>
    <col min="24" max="24" width="10" style="13" hidden="1" customWidth="1"/>
    <col min="25" max="25" width="38.5703125" style="13" bestFit="1" customWidth="1"/>
    <col min="26" max="26" width="36.140625" style="13" customWidth="1"/>
    <col min="27" max="28" width="10.28515625" style="13" hidden="1" customWidth="1"/>
    <col min="29" max="29" width="9.42578125" style="13" customWidth="1"/>
    <col min="30" max="30" width="36.5703125" style="13" customWidth="1"/>
    <col min="31" max="31" width="9.140625" style="13" hidden="1" customWidth="1"/>
    <col min="32" max="32" width="15" style="13" customWidth="1"/>
    <col min="33" max="16384" width="9.140625" style="13"/>
  </cols>
  <sheetData>
    <row r="1" spans="2:32" ht="15">
      <c r="B1" s="148" t="s">
        <v>205</v>
      </c>
      <c r="C1" s="148" t="s">
        <v>206</v>
      </c>
      <c r="D1" s="148" t="s">
        <v>207</v>
      </c>
      <c r="E1" s="148" t="s">
        <v>0</v>
      </c>
      <c r="F1" s="148" t="s">
        <v>208</v>
      </c>
      <c r="G1" s="148" t="s">
        <v>209</v>
      </c>
      <c r="H1" s="148" t="s">
        <v>210</v>
      </c>
    </row>
    <row r="2" spans="2:32" ht="15">
      <c r="B2" s="341" t="s">
        <v>211</v>
      </c>
      <c r="C2" s="126"/>
      <c r="D2" s="227" t="s">
        <v>212</v>
      </c>
      <c r="E2" s="415">
        <v>1</v>
      </c>
      <c r="F2" s="342">
        <f ca="1">TODAY()</f>
        <v>45169</v>
      </c>
      <c r="G2" s="126" t="s">
        <v>213</v>
      </c>
      <c r="H2" s="126">
        <v>1</v>
      </c>
    </row>
    <row r="3" spans="2:32" ht="15">
      <c r="B3" s="341"/>
      <c r="C3" s="126"/>
      <c r="D3" s="126"/>
      <c r="E3" s="126"/>
      <c r="F3" s="126"/>
      <c r="G3" s="126"/>
      <c r="H3" s="126"/>
    </row>
    <row r="4" spans="2:32" ht="15">
      <c r="B4" s="341"/>
      <c r="C4" s="126"/>
      <c r="D4" s="126"/>
      <c r="E4" s="126"/>
      <c r="F4" s="126"/>
      <c r="G4" s="126"/>
      <c r="H4" s="126"/>
    </row>
    <row r="5" spans="2:32" ht="189.75">
      <c r="B5" s="2" t="s">
        <v>214</v>
      </c>
      <c r="C5" s="12" t="s">
        <v>5</v>
      </c>
      <c r="D5" s="2" t="s">
        <v>215</v>
      </c>
      <c r="E5" s="2" t="s">
        <v>6</v>
      </c>
      <c r="F5" s="16" t="s">
        <v>7</v>
      </c>
      <c r="G5" s="16" t="s">
        <v>8</v>
      </c>
      <c r="H5" s="16" t="s">
        <v>9</v>
      </c>
      <c r="I5" s="233" t="s">
        <v>10</v>
      </c>
      <c r="J5" s="233" t="s">
        <v>11</v>
      </c>
      <c r="K5" s="17" t="s">
        <v>12</v>
      </c>
      <c r="L5" s="17" t="s">
        <v>13</v>
      </c>
      <c r="M5" s="17" t="s">
        <v>14</v>
      </c>
      <c r="N5" s="16" t="s">
        <v>15</v>
      </c>
      <c r="O5" s="16" t="s">
        <v>216</v>
      </c>
      <c r="P5" s="17" t="s">
        <v>17</v>
      </c>
      <c r="Q5" s="16" t="s">
        <v>18</v>
      </c>
      <c r="R5" s="16" t="s">
        <v>20</v>
      </c>
      <c r="S5" s="16" t="s">
        <v>23</v>
      </c>
      <c r="T5" s="16" t="s">
        <v>24</v>
      </c>
      <c r="U5" s="16" t="s">
        <v>25</v>
      </c>
      <c r="V5" s="16" t="s">
        <v>26</v>
      </c>
      <c r="W5" s="16" t="s">
        <v>217</v>
      </c>
      <c r="X5" s="16" t="s">
        <v>218</v>
      </c>
      <c r="Y5" s="16" t="s">
        <v>27</v>
      </c>
      <c r="Z5" s="16" t="s">
        <v>28</v>
      </c>
      <c r="AA5" s="16" t="s">
        <v>219</v>
      </c>
      <c r="AB5" s="16" t="s">
        <v>220</v>
      </c>
      <c r="AC5" s="16" t="s">
        <v>29</v>
      </c>
      <c r="AD5" s="16" t="s">
        <v>30</v>
      </c>
      <c r="AE5" s="16" t="s">
        <v>33</v>
      </c>
      <c r="AF5" s="343" t="s">
        <v>36</v>
      </c>
    </row>
    <row r="6" spans="2:32" ht="15">
      <c r="B6" s="344" t="s">
        <v>221</v>
      </c>
      <c r="C6" s="345" t="s">
        <v>39</v>
      </c>
      <c r="D6" s="346"/>
      <c r="E6" s="347" t="s">
        <v>55</v>
      </c>
      <c r="F6" s="1" t="s">
        <v>222</v>
      </c>
      <c r="G6" s="348">
        <f>_xlfn.IFNA(VLOOKUP(Invoer_Referentie[[#This Row],[Product]],Database_Productkaarten[[Product]:[Comment]],64,FALSE),0)</f>
        <v>3</v>
      </c>
      <c r="H6" s="349" t="str">
        <f>_xlfn.IFNA(VLOOKUP(Invoer_Referentie[[#This Row],[Product]],Database_Productkaarten[[Product]:[Producttype]],3,FALSE),0)</f>
        <v>Trottoirband</v>
      </c>
      <c r="I6" s="354">
        <v>3185</v>
      </c>
      <c r="J6" s="348" t="str">
        <f>_xlfn.IFNA(VLOOKUP(Invoer_Referentie[[#This Row],[Product]],Database_Productkaarten[[Product]:[Eenheid]],4,FALSE),0)</f>
        <v>m1</v>
      </c>
      <c r="K6" s="348"/>
      <c r="L6" s="348"/>
      <c r="M6" s="345"/>
      <c r="N6" s="351">
        <f>Invoer_Referentie[[#This Row],[Lengte'[m']]]*Invoer_Referentie[[#This Row],[Breedte '[m']]]</f>
        <v>0</v>
      </c>
      <c r="O6" s="345">
        <f>IFERROR(IF(Invoer_Referentie[[#This Row],[Oppervlakte '[m2']]]*Invoer_Referentie[[#This Row],[Dikte '[m']]]=0,Invoer_Referentie[[#This Row],[Gewicht '[ton']]]/Invoer_Referentie[[#This Row],[Soortelijk gewicht '[ton / m3']]],Invoer_Referentie[[#This Row],[Oppervlakte '[m2']]]*Invoer_Referentie[[#This Row],[Dikte '[m']]]),0)</f>
        <v>111.873125</v>
      </c>
      <c r="P6" s="345">
        <f>_xlfn.IFNA(VLOOKUP(Invoer_Referentie[[#This Row],[Product]],Database_Productkaarten[[Product]:[Soortelijk Gewicht '[ton / m3']]],11,FALSE),0)</f>
        <v>2.4</v>
      </c>
      <c r="Q6" s="350">
        <f>_xlfn.IFNA(VLOOKUP(Invoer_Referentie[[#This Row],[Product]],Database_Productkaarten[[Product]:[Gewicht '[ton'] / Eenheid]],12,FALSE)*Invoer_Referentie[[#This Row],[Aantal Eenheden]],0)</f>
        <v>268.49549999999999</v>
      </c>
      <c r="R6" s="350">
        <f>MAX(IFERROR($E$2/IF(Invoer_Referentie[[#This Row],[Productgroep]]="Categorie_1_LCA_Producten",VLOOKUP(Invoer_Referentie[[#This Row],[Product]],Categorie_1_Producten[#All],7,FALSE),VLOOKUP(Invoer_Referentie[[#This Row],[Product]]&amp;", "&amp;"Totaal",Database_Productkaarten[#All],15,FALSE))-1,0),0)</f>
        <v>0</v>
      </c>
      <c r="S6" s="350"/>
      <c r="T6" s="352"/>
      <c r="U6" s="352"/>
      <c r="V6" s="353"/>
      <c r="W6" s="390">
        <f>_xlfn.IFNA(VLOOKUP(Invoer_Referentie[[#This Row],[Product]],Brandstofverbuiken[#All],4,FALSE),0)</f>
        <v>13.175487465181059</v>
      </c>
      <c r="X6" s="390">
        <f>_xlfn.IFNA(VLOOKUP(Invoer_Referentie[[#This Row],[Product]],Brandstofverbuiken[#All],5,FALSE),0)</f>
        <v>16</v>
      </c>
      <c r="Y6" s="352"/>
      <c r="Z6" s="353" t="s">
        <v>223</v>
      </c>
      <c r="AA6" s="364">
        <f>_xlfn.IFNA(VLOOKUP(Invoer_Referentie[[#This Row],[Product]],Brandstofverbuiken[#All],7,FALSE),0)</f>
        <v>15.933147632311979</v>
      </c>
      <c r="AB6" s="390">
        <f>_xlfn.IFNA(VLOOKUP(Invoer_Referentie[[#This Row],[Product]],Brandstofverbuiken[#All],8,FALSE),0)</f>
        <v>50</v>
      </c>
      <c r="AC6" s="350">
        <v>20</v>
      </c>
      <c r="AD6" s="352" t="s">
        <v>224</v>
      </c>
      <c r="AE6" s="353"/>
      <c r="AF6" s="345"/>
    </row>
    <row r="7" spans="2:32" ht="15">
      <c r="B7" s="344" t="s">
        <v>225</v>
      </c>
      <c r="C7" s="345" t="s">
        <v>39</v>
      </c>
      <c r="D7" s="346"/>
      <c r="E7" s="347" t="s">
        <v>55</v>
      </c>
      <c r="F7" s="1" t="s">
        <v>226</v>
      </c>
      <c r="G7" s="348">
        <f>_xlfn.IFNA(VLOOKUP(Invoer_Referentie[[#This Row],[Product]],Database_Productkaarten[[Product]:[Comment]],64,FALSE),0)</f>
        <v>3</v>
      </c>
      <c r="H7" s="349" t="str">
        <f>_xlfn.IFNA(VLOOKUP(Invoer_Referentie[[#This Row],[Product]],Database_Productkaarten[[Product]:[Producttype]],3,FALSE),0)</f>
        <v>Trottoirband</v>
      </c>
      <c r="I7" s="354">
        <v>335</v>
      </c>
      <c r="J7" s="348" t="str">
        <f>_xlfn.IFNA(VLOOKUP(Invoer_Referentie[[#This Row],[Product]],Database_Productkaarten[[Product]:[Eenheid]],4,FALSE),0)</f>
        <v>m1</v>
      </c>
      <c r="K7" s="348"/>
      <c r="L7" s="348"/>
      <c r="M7" s="345"/>
      <c r="N7" s="351">
        <f>Invoer_Referentie[[#This Row],[Lengte'[m']]]*Invoer_Referentie[[#This Row],[Breedte '[m']]]</f>
        <v>0</v>
      </c>
      <c r="O7" s="345">
        <f>IFERROR(IF(Invoer_Referentie[[#This Row],[Oppervlakte '[m2']]]*Invoer_Referentie[[#This Row],[Dikte '[m']]]=0,Invoer_Referentie[[#This Row],[Gewicht '[ton']]]/Invoer_Referentie[[#This Row],[Soortelijk gewicht '[ton / m3']]],Invoer_Referentie[[#This Row],[Oppervlakte '[m2']]]*Invoer_Referentie[[#This Row],[Dikte '[m']]]),0)</f>
        <v>17.629375</v>
      </c>
      <c r="P7" s="345">
        <f>_xlfn.IFNA(VLOOKUP(Invoer_Referentie[[#This Row],[Product]],Database_Productkaarten[[Product]:[Soortelijk Gewicht '[ton / m3']]],11,FALSE),0)</f>
        <v>2.4</v>
      </c>
      <c r="Q7" s="350">
        <f>_xlfn.IFNA(VLOOKUP(Invoer_Referentie[[#This Row],[Product]],Database_Productkaarten[[Product]:[Gewicht '[ton'] / Eenheid]],12,FALSE)*Invoer_Referentie[[#This Row],[Aantal Eenheden]],0)</f>
        <v>42.310499999999998</v>
      </c>
      <c r="R7" s="350">
        <f>MAX(IFERROR($E$2/IF(Invoer_Referentie[[#This Row],[Productgroep]]="Categorie_1_LCA_Producten",VLOOKUP(Invoer_Referentie[[#This Row],[Product]],Categorie_1_Producten[#All],7,FALSE),VLOOKUP(Invoer_Referentie[[#This Row],[Product]]&amp;", "&amp;"Totaal",Database_Productkaarten[#All],15,FALSE))-1,0),0)</f>
        <v>0</v>
      </c>
      <c r="S7" s="350"/>
      <c r="T7" s="352"/>
      <c r="U7" s="352"/>
      <c r="V7" s="353"/>
      <c r="W7" s="390">
        <f>_xlfn.IFNA(VLOOKUP(Invoer_Referentie[[#This Row],[Product]],Brandstofverbuiken[#All],4,FALSE),0)</f>
        <v>13.175487465181059</v>
      </c>
      <c r="X7" s="390">
        <f>_xlfn.IFNA(VLOOKUP(Invoer_Referentie[[#This Row],[Product]],Brandstofverbuiken[#All],5,FALSE),0)</f>
        <v>14</v>
      </c>
      <c r="Y7" s="352"/>
      <c r="Z7" s="353" t="s">
        <v>223</v>
      </c>
      <c r="AA7" s="364">
        <f>_xlfn.IFNA(VLOOKUP(Invoer_Referentie[[#This Row],[Product]],Brandstofverbuiken[#All],7,FALSE),0)</f>
        <v>15.933147632311979</v>
      </c>
      <c r="AB7" s="390">
        <f>_xlfn.IFNA(VLOOKUP(Invoer_Referentie[[#This Row],[Product]],Brandstofverbuiken[#All],8,FALSE),0)</f>
        <v>50</v>
      </c>
      <c r="AC7" s="350">
        <v>20</v>
      </c>
      <c r="AD7" s="352" t="s">
        <v>224</v>
      </c>
      <c r="AE7" s="353"/>
      <c r="AF7" s="345"/>
    </row>
    <row r="8" spans="2:32" ht="15">
      <c r="B8" s="344" t="s">
        <v>227</v>
      </c>
      <c r="C8" s="345" t="s">
        <v>39</v>
      </c>
      <c r="D8" s="346"/>
      <c r="E8" s="347" t="s">
        <v>55</v>
      </c>
      <c r="F8" s="1" t="s">
        <v>228</v>
      </c>
      <c r="G8" s="348">
        <f>_xlfn.IFNA(VLOOKUP(Invoer_Referentie[[#This Row],[Product]],Database_Productkaarten[[Product]:[Comment]],64,FALSE),0)</f>
        <v>3</v>
      </c>
      <c r="H8" s="349" t="str">
        <f>_xlfn.IFNA(VLOOKUP(Invoer_Referentie[[#This Row],[Product]],Database_Productkaarten[[Product]:[Producttype]],3,FALSE),0)</f>
        <v>Opsluitband</v>
      </c>
      <c r="I8" s="354">
        <v>1160</v>
      </c>
      <c r="J8" s="348" t="str">
        <f>_xlfn.IFNA(VLOOKUP(Invoer_Referentie[[#This Row],[Product]],Database_Productkaarten[[Product]:[Eenheid]],4,FALSE),0)</f>
        <v>m1</v>
      </c>
      <c r="K8" s="348"/>
      <c r="L8" s="348"/>
      <c r="M8" s="345"/>
      <c r="N8" s="351">
        <f>Invoer_Referentie[[#This Row],[Lengte'[m']]]*Invoer_Referentie[[#This Row],[Breedte '[m']]]</f>
        <v>0</v>
      </c>
      <c r="O8" s="345">
        <f>IFERROR(IF(Invoer_Referentie[[#This Row],[Oppervlakte '[m2']]]*Invoer_Referentie[[#This Row],[Dikte '[m']]]=0,Invoer_Referentie[[#This Row],[Gewicht '[ton']]]/Invoer_Referentie[[#This Row],[Soortelijk gewicht '[ton / m3']]],Invoer_Referentie[[#This Row],[Oppervlakte '[m2']]]*Invoer_Referentie[[#This Row],[Dikte '[m']]]),0)</f>
        <v>21.991666666666667</v>
      </c>
      <c r="P8" s="345">
        <f>_xlfn.IFNA(VLOOKUP(Invoer_Referentie[[#This Row],[Product]],Database_Productkaarten[[Product]:[Soortelijk Gewicht '[ton / m3']]],11,FALSE),0)</f>
        <v>2.4</v>
      </c>
      <c r="Q8" s="350">
        <f>_xlfn.IFNA(VLOOKUP(Invoer_Referentie[[#This Row],[Product]],Database_Productkaarten[[Product]:[Gewicht '[ton'] / Eenheid]],12,FALSE)*Invoer_Referentie[[#This Row],[Aantal Eenheden]],0)</f>
        <v>52.78</v>
      </c>
      <c r="R8" s="350">
        <f>MAX(IFERROR($E$2/IF(Invoer_Referentie[[#This Row],[Productgroep]]="Categorie_1_LCA_Producten",VLOOKUP(Invoer_Referentie[[#This Row],[Product]],Categorie_1_Producten[#All],7,FALSE),VLOOKUP(Invoer_Referentie[[#This Row],[Product]]&amp;", "&amp;"Totaal",Database_Productkaarten[#All],15,FALSE))-1,0),0)</f>
        <v>0</v>
      </c>
      <c r="S8" s="350"/>
      <c r="T8" s="352"/>
      <c r="U8" s="352"/>
      <c r="V8" s="353"/>
      <c r="W8" s="390">
        <f>_xlfn.IFNA(VLOOKUP(Invoer_Referentie[[#This Row],[Product]],Brandstofverbuiken[#All],4,FALSE),0)</f>
        <v>13.175487465181059</v>
      </c>
      <c r="X8" s="390">
        <f>_xlfn.IFNA(VLOOKUP(Invoer_Referentie[[#This Row],[Product]],Brandstofverbuiken[#All],5,FALSE),0)</f>
        <v>18</v>
      </c>
      <c r="Y8" s="352"/>
      <c r="Z8" s="353" t="s">
        <v>223</v>
      </c>
      <c r="AA8" s="364">
        <f>_xlfn.IFNA(VLOOKUP(Invoer_Referentie[[#This Row],[Product]],Brandstofverbuiken[#All],7,FALSE),0)</f>
        <v>15.933147632311979</v>
      </c>
      <c r="AB8" s="390">
        <f>_xlfn.IFNA(VLOOKUP(Invoer_Referentie[[#This Row],[Product]],Brandstofverbuiken[#All],8,FALSE),0)</f>
        <v>50</v>
      </c>
      <c r="AC8" s="350">
        <v>20</v>
      </c>
      <c r="AD8" s="352" t="s">
        <v>224</v>
      </c>
      <c r="AE8" s="353"/>
      <c r="AF8" s="345"/>
    </row>
    <row r="9" spans="2:32" ht="15">
      <c r="B9" s="344" t="s">
        <v>229</v>
      </c>
      <c r="C9" s="345" t="s">
        <v>39</v>
      </c>
      <c r="D9" s="346"/>
      <c r="E9" s="347" t="s">
        <v>55</v>
      </c>
      <c r="F9" s="1" t="s">
        <v>56</v>
      </c>
      <c r="G9" s="348">
        <f>_xlfn.IFNA(VLOOKUP(Invoer_Referentie[[#This Row],[Product]],Database_Productkaarten[[Product]:[Comment]],64,FALSE),0)</f>
        <v>3</v>
      </c>
      <c r="H9" s="349" t="str">
        <f>_xlfn.IFNA(VLOOKUP(Invoer_Referentie[[#This Row],[Product]],Database_Productkaarten[[Product]:[Producttype]],3,FALSE),0)</f>
        <v>Betonstraatsteen</v>
      </c>
      <c r="I9" s="354">
        <v>1600</v>
      </c>
      <c r="J9" s="348" t="str">
        <f>_xlfn.IFNA(VLOOKUP(Invoer_Referentie[[#This Row],[Product]],Database_Productkaarten[[Product]:[Eenheid]],4,FALSE),0)</f>
        <v>m2</v>
      </c>
      <c r="K9" s="348"/>
      <c r="L9" s="348"/>
      <c r="M9" s="345"/>
      <c r="N9" s="351">
        <f>Invoer_Referentie[[#This Row],[Lengte'[m']]]*Invoer_Referentie[[#This Row],[Breedte '[m']]]</f>
        <v>0</v>
      </c>
      <c r="O9" s="345">
        <f>IFERROR(IF(Invoer_Referentie[[#This Row],[Oppervlakte '[m2']]]*Invoer_Referentie[[#This Row],[Dikte '[m']]]=0,Invoer_Referentie[[#This Row],[Gewicht '[ton']]]/Invoer_Referentie[[#This Row],[Soortelijk gewicht '[ton / m3']]],Invoer_Referentie[[#This Row],[Oppervlakte '[m2']]]*Invoer_Referentie[[#This Row],[Dikte '[m']]]),0)</f>
        <v>119.73333333333335</v>
      </c>
      <c r="P9" s="345">
        <f>_xlfn.IFNA(VLOOKUP(Invoer_Referentie[[#This Row],[Product]],Database_Productkaarten[[Product]:[Soortelijk Gewicht '[ton / m3']]],11,FALSE),0)</f>
        <v>2.4</v>
      </c>
      <c r="Q9" s="350">
        <f>_xlfn.IFNA(VLOOKUP(Invoer_Referentie[[#This Row],[Product]],Database_Productkaarten[[Product]:[Gewicht '[ton'] / Eenheid]],12,FALSE)*Invoer_Referentie[[#This Row],[Aantal Eenheden]],0)</f>
        <v>287.36</v>
      </c>
      <c r="R9" s="350">
        <f>MAX(IFERROR($E$2/IF(Invoer_Referentie[[#This Row],[Productgroep]]="Categorie_1_LCA_Producten",VLOOKUP(Invoer_Referentie[[#This Row],[Product]],Categorie_1_Producten[#All],7,FALSE),VLOOKUP(Invoer_Referentie[[#This Row],[Product]]&amp;", "&amp;"Totaal",Database_Productkaarten[#All],15,FALSE))-1,0),0)</f>
        <v>0</v>
      </c>
      <c r="S9" s="350"/>
      <c r="T9" s="352"/>
      <c r="U9" s="352"/>
      <c r="V9" s="353"/>
      <c r="W9" s="390">
        <f>_xlfn.IFNA(VLOOKUP(Invoer_Referentie[[#This Row],[Product]],Brandstofverbuiken[#All],4,FALSE),0)</f>
        <v>13.175487465181059</v>
      </c>
      <c r="X9" s="390">
        <f>_xlfn.IFNA(VLOOKUP(Invoer_Referentie[[#This Row],[Product]],Brandstofverbuiken[#All],5,FALSE),0)</f>
        <v>73.197152584339221</v>
      </c>
      <c r="Y9" s="352"/>
      <c r="Z9" s="353" t="s">
        <v>223</v>
      </c>
      <c r="AA9" s="364">
        <f>_xlfn.IFNA(VLOOKUP(Invoer_Referentie[[#This Row],[Product]],Brandstofverbuiken[#All],7,FALSE),0)</f>
        <v>15.933147632311979</v>
      </c>
      <c r="AB9" s="390">
        <f>_xlfn.IFNA(VLOOKUP(Invoer_Referentie[[#This Row],[Product]],Brandstofverbuiken[#All],8,FALSE),0)</f>
        <v>50</v>
      </c>
      <c r="AC9" s="350">
        <v>20</v>
      </c>
      <c r="AD9" s="352" t="s">
        <v>224</v>
      </c>
      <c r="AE9" s="353"/>
      <c r="AF9" s="345"/>
    </row>
    <row r="10" spans="2:32" ht="15">
      <c r="B10" s="344" t="s">
        <v>230</v>
      </c>
      <c r="C10" s="345" t="s">
        <v>39</v>
      </c>
      <c r="D10" s="346"/>
      <c r="E10" s="347" t="s">
        <v>55</v>
      </c>
      <c r="F10" s="1" t="s">
        <v>231</v>
      </c>
      <c r="G10" s="348">
        <f>_xlfn.IFNA(VLOOKUP(Invoer_Referentie[[#This Row],[Product]],Database_Productkaarten[[Product]:[Comment]],64,FALSE),0)</f>
        <v>3</v>
      </c>
      <c r="H10" s="349" t="str">
        <f>_xlfn.IFNA(VLOOKUP(Invoer_Referentie[[#This Row],[Product]],Database_Productkaarten[[Product]:[Producttype]],3,FALSE),0)</f>
        <v>Gebakken klinker</v>
      </c>
      <c r="I10" s="354">
        <v>9275</v>
      </c>
      <c r="J10" s="348" t="str">
        <f>_xlfn.IFNA(VLOOKUP(Invoer_Referentie[[#This Row],[Product]],Database_Productkaarten[[Product]:[Eenheid]],4,FALSE),0)</f>
        <v>m2</v>
      </c>
      <c r="K10" s="348"/>
      <c r="L10" s="348"/>
      <c r="M10" s="345"/>
      <c r="N10" s="351">
        <f>Invoer_Referentie[[#This Row],[Lengte'[m']]]*Invoer_Referentie[[#This Row],[Breedte '[m']]]</f>
        <v>0</v>
      </c>
      <c r="O10" s="345">
        <f>IFERROR(IF(Invoer_Referentie[[#This Row],[Oppervlakte '[m2']]]*Invoer_Referentie[[#This Row],[Dikte '[m']]]=0,Invoer_Referentie[[#This Row],[Gewicht '[ton']]]/Invoer_Referentie[[#This Row],[Soortelijk gewicht '[ton / m3']]],Invoer_Referentie[[#This Row],[Oppervlakte '[m2']]]*Invoer_Referentie[[#This Row],[Dikte '[m']]]),0)</f>
        <v>675.01388888888891</v>
      </c>
      <c r="P10" s="345">
        <f>_xlfn.IFNA(VLOOKUP(Invoer_Referentie[[#This Row],[Product]],Database_Productkaarten[[Product]:[Soortelijk Gewicht '[ton / m3']]],11,FALSE),0)</f>
        <v>1.8</v>
      </c>
      <c r="Q10" s="350">
        <f>_xlfn.IFNA(VLOOKUP(Invoer_Referentie[[#This Row],[Product]],Database_Productkaarten[[Product]:[Gewicht '[ton'] / Eenheid]],12,FALSE)*Invoer_Referentie[[#This Row],[Aantal Eenheden]],0)</f>
        <v>1215.0250000000001</v>
      </c>
      <c r="R10" s="350">
        <f>MAX(IFERROR($E$2/IF(Invoer_Referentie[[#This Row],[Productgroep]]="Categorie_1_LCA_Producten",VLOOKUP(Invoer_Referentie[[#This Row],[Product]],Categorie_1_Producten[#All],7,FALSE),VLOOKUP(Invoer_Referentie[[#This Row],[Product]]&amp;", "&amp;"Totaal",Database_Productkaarten[#All],15,FALSE))-1,0),0)</f>
        <v>0</v>
      </c>
      <c r="S10" s="350"/>
      <c r="T10" s="352"/>
      <c r="U10" s="352"/>
      <c r="V10" s="353"/>
      <c r="W10" s="390">
        <f>_xlfn.IFNA(VLOOKUP(Invoer_Referentie[[#This Row],[Product]],Brandstofverbuiken[#All],4,FALSE),0)</f>
        <v>19.5</v>
      </c>
      <c r="X10" s="390">
        <f>_xlfn.IFNA(VLOOKUP(Invoer_Referentie[[#This Row],[Product]],Brandstofverbuiken[#All],5,FALSE),0)</f>
        <v>12.004801920768308</v>
      </c>
      <c r="Y10" s="352"/>
      <c r="Z10" s="353" t="s">
        <v>223</v>
      </c>
      <c r="AA10" s="364">
        <f>_xlfn.IFNA(VLOOKUP(Invoer_Referentie[[#This Row],[Product]],Brandstofverbuiken[#All],7,FALSE),0)</f>
        <v>19.5</v>
      </c>
      <c r="AB10" s="390">
        <f>_xlfn.IFNA(VLOOKUP(Invoer_Referentie[[#This Row],[Product]],Brandstofverbuiken[#All],8,FALSE),0)</f>
        <v>125</v>
      </c>
      <c r="AC10" s="350">
        <v>20</v>
      </c>
      <c r="AD10" s="352" t="s">
        <v>224</v>
      </c>
      <c r="AE10" s="353"/>
      <c r="AF10" s="345"/>
    </row>
    <row r="11" spans="2:32" ht="15">
      <c r="B11" s="344" t="s">
        <v>232</v>
      </c>
      <c r="C11" s="345" t="s">
        <v>39</v>
      </c>
      <c r="D11" s="346"/>
      <c r="E11" s="347" t="s">
        <v>55</v>
      </c>
      <c r="F11" s="1" t="s">
        <v>233</v>
      </c>
      <c r="G11" s="348">
        <f>_xlfn.IFNA(VLOOKUP(Invoer_Referentie[[#This Row],[Product]],Database_Productkaarten[[Product]:[Comment]],64,FALSE),0)</f>
        <v>3</v>
      </c>
      <c r="H11" s="349" t="str">
        <f>_xlfn.IFNA(VLOOKUP(Invoer_Referentie[[#This Row],[Product]],Database_Productkaarten[[Product]:[Producttype]],3,FALSE),0)</f>
        <v>Gebakken klinker</v>
      </c>
      <c r="I11" s="354">
        <v>4720</v>
      </c>
      <c r="J11" s="348" t="str">
        <f>_xlfn.IFNA(VLOOKUP(Invoer_Referentie[[#This Row],[Product]],Database_Productkaarten[[Product]:[Eenheid]],4,FALSE),0)</f>
        <v>m2</v>
      </c>
      <c r="K11" s="348"/>
      <c r="L11" s="348"/>
      <c r="M11" s="345"/>
      <c r="N11" s="351">
        <f>Invoer_Referentie[[#This Row],[Lengte'[m']]]*Invoer_Referentie[[#This Row],[Breedte '[m']]]</f>
        <v>0</v>
      </c>
      <c r="O11" s="345">
        <f>IFERROR(IF(Invoer_Referentie[[#This Row],[Oppervlakte '[m2']]]*Invoer_Referentie[[#This Row],[Dikte '[m']]]=0,Invoer_Referentie[[#This Row],[Gewicht '[ton']]]/Invoer_Referentie[[#This Row],[Soortelijk gewicht '[ton / m3']]],Invoer_Referentie[[#This Row],[Oppervlakte '[m2']]]*Invoer_Referentie[[#This Row],[Dikte '[m']]]),0)</f>
        <v>343.51111111111112</v>
      </c>
      <c r="P11" s="345">
        <f>_xlfn.IFNA(VLOOKUP(Invoer_Referentie[[#This Row],[Product]],Database_Productkaarten[[Product]:[Soortelijk Gewicht '[ton / m3']]],11,FALSE),0)</f>
        <v>1.8</v>
      </c>
      <c r="Q11" s="350">
        <f>_xlfn.IFNA(VLOOKUP(Invoer_Referentie[[#This Row],[Product]],Database_Productkaarten[[Product]:[Gewicht '[ton'] / Eenheid]],12,FALSE)*Invoer_Referentie[[#This Row],[Aantal Eenheden]],0)</f>
        <v>618.32000000000005</v>
      </c>
      <c r="R11" s="350">
        <f>MAX(IFERROR($E$2/IF(Invoer_Referentie[[#This Row],[Productgroep]]="Categorie_1_LCA_Producten",VLOOKUP(Invoer_Referentie[[#This Row],[Product]],Categorie_1_Producten[#All],7,FALSE),VLOOKUP(Invoer_Referentie[[#This Row],[Product]]&amp;", "&amp;"Totaal",Database_Productkaarten[#All],15,FALSE))-1,0),0)</f>
        <v>0</v>
      </c>
      <c r="S11" s="350"/>
      <c r="T11" s="352"/>
      <c r="U11" s="352"/>
      <c r="V11" s="353"/>
      <c r="W11" s="390">
        <f>_xlfn.IFNA(VLOOKUP(Invoer_Referentie[[#This Row],[Product]],Brandstofverbuiken[#All],4,FALSE),0)</f>
        <v>19.5</v>
      </c>
      <c r="X11" s="390">
        <f>_xlfn.IFNA(VLOOKUP(Invoer_Referentie[[#This Row],[Product]],Brandstofverbuiken[#All],5,FALSE),0)</f>
        <v>12.004801920768308</v>
      </c>
      <c r="Y11" s="352"/>
      <c r="Z11" s="353" t="s">
        <v>223</v>
      </c>
      <c r="AA11" s="364">
        <f>_xlfn.IFNA(VLOOKUP(Invoer_Referentie[[#This Row],[Product]],Brandstofverbuiken[#All],7,FALSE),0)</f>
        <v>19.5</v>
      </c>
      <c r="AB11" s="390">
        <f>_xlfn.IFNA(VLOOKUP(Invoer_Referentie[[#This Row],[Product]],Brandstofverbuiken[#All],8,FALSE),0)</f>
        <v>125</v>
      </c>
      <c r="AC11" s="350">
        <v>20</v>
      </c>
      <c r="AD11" s="352" t="s">
        <v>224</v>
      </c>
      <c r="AE11" s="353"/>
      <c r="AF11" s="345"/>
    </row>
    <row r="12" spans="2:32" ht="15">
      <c r="B12" s="344" t="s">
        <v>234</v>
      </c>
      <c r="C12" s="345" t="s">
        <v>39</v>
      </c>
      <c r="D12" s="346"/>
      <c r="E12" s="347" t="s">
        <v>55</v>
      </c>
      <c r="F12" s="1" t="s">
        <v>235</v>
      </c>
      <c r="G12" s="348">
        <f>_xlfn.IFNA(VLOOKUP(Invoer_Referentie[[#This Row],[Product]],Database_Productkaarten[[Product]:[Comment]],64,FALSE),0)</f>
        <v>3</v>
      </c>
      <c r="H12" s="349" t="str">
        <f>_xlfn.IFNA(VLOOKUP(Invoer_Referentie[[#This Row],[Product]],Database_Productkaarten[[Product]:[Producttype]],3,FALSE),0)</f>
        <v>Betontegel</v>
      </c>
      <c r="I12" s="354">
        <v>10015</v>
      </c>
      <c r="J12" s="348" t="str">
        <f>_xlfn.IFNA(VLOOKUP(Invoer_Referentie[[#This Row],[Product]],Database_Productkaarten[[Product]:[Eenheid]],4,FALSE),0)</f>
        <v>m2</v>
      </c>
      <c r="K12" s="348"/>
      <c r="L12" s="348"/>
      <c r="M12" s="345"/>
      <c r="N12" s="351">
        <f>Invoer_Referentie[[#This Row],[Lengte'[m']]]*Invoer_Referentie[[#This Row],[Breedte '[m']]]</f>
        <v>0</v>
      </c>
      <c r="O12" s="345">
        <f>IFERROR(IF(Invoer_Referentie[[#This Row],[Oppervlakte '[m2']]]*Invoer_Referentie[[#This Row],[Dikte '[m']]]=0,Invoer_Referentie[[#This Row],[Gewicht '[ton']]]/Invoer_Referentie[[#This Row],[Soortelijk gewicht '[ton / m3']]],Invoer_Referentie[[#This Row],[Oppervlakte '[m2']]]*Invoer_Referentie[[#This Row],[Dikte '[m']]]),0)</f>
        <v>436.06979166666662</v>
      </c>
      <c r="P12" s="345">
        <f>_xlfn.IFNA(VLOOKUP(Invoer_Referentie[[#This Row],[Product]],Database_Productkaarten[[Product]:[Soortelijk Gewicht '[ton / m3']]],11,FALSE),0)</f>
        <v>2.4</v>
      </c>
      <c r="Q12" s="350">
        <f>_xlfn.IFNA(VLOOKUP(Invoer_Referentie[[#This Row],[Product]],Database_Productkaarten[[Product]:[Gewicht '[ton'] / Eenheid]],12,FALSE)*Invoer_Referentie[[#This Row],[Aantal Eenheden]],0)</f>
        <v>1046.5674999999999</v>
      </c>
      <c r="R12" s="350">
        <f>MAX(IFERROR($E$2/IF(Invoer_Referentie[[#This Row],[Productgroep]]="Categorie_1_LCA_Producten",VLOOKUP(Invoer_Referentie[[#This Row],[Product]],Categorie_1_Producten[#All],7,FALSE),VLOOKUP(Invoer_Referentie[[#This Row],[Product]]&amp;", "&amp;"Totaal",Database_Productkaarten[#All],15,FALSE))-1,0),0)</f>
        <v>0</v>
      </c>
      <c r="S12" s="350"/>
      <c r="T12" s="352"/>
      <c r="U12" s="352"/>
      <c r="V12" s="353"/>
      <c r="W12" s="390">
        <f>_xlfn.IFNA(VLOOKUP(Invoer_Referentie[[#This Row],[Product]],Brandstofverbuiken[#All],4,FALSE),0)</f>
        <v>13.175487465181059</v>
      </c>
      <c r="X12" s="390">
        <f>_xlfn.IFNA(VLOOKUP(Invoer_Referentie[[#This Row],[Product]],Brandstofverbuiken[#All],5,FALSE),0)</f>
        <v>73.197152584339221</v>
      </c>
      <c r="Y12" s="352"/>
      <c r="Z12" s="353" t="s">
        <v>223</v>
      </c>
      <c r="AA12" s="364">
        <f>_xlfn.IFNA(VLOOKUP(Invoer_Referentie[[#This Row],[Product]],Brandstofverbuiken[#All],7,FALSE),0)</f>
        <v>15.933147632311979</v>
      </c>
      <c r="AB12" s="390">
        <f>_xlfn.IFNA(VLOOKUP(Invoer_Referentie[[#This Row],[Product]],Brandstofverbuiken[#All],8,FALSE),0)</f>
        <v>50</v>
      </c>
      <c r="AC12" s="350">
        <v>20</v>
      </c>
      <c r="AD12" s="352" t="s">
        <v>224</v>
      </c>
      <c r="AE12" s="353"/>
      <c r="AF12" s="345"/>
    </row>
    <row r="13" spans="2:32" ht="15">
      <c r="B13" s="344" t="s">
        <v>236</v>
      </c>
      <c r="C13" s="345" t="s">
        <v>39</v>
      </c>
      <c r="D13" s="346"/>
      <c r="E13" s="347" t="s">
        <v>237</v>
      </c>
      <c r="F13" s="1" t="s">
        <v>238</v>
      </c>
      <c r="G13" s="348">
        <f>_xlfn.IFNA(VLOOKUP(Invoer_Referentie[[#This Row],[Product]],Database_Productkaarten[[Product]:[Comment]],64,FALSE),0)</f>
        <v>2</v>
      </c>
      <c r="H13" s="349" t="str">
        <f>_xlfn.IFNA(VLOOKUP(Invoer_Referentie[[#This Row],[Product]],Database_Productkaarten[[Product]:[Producttype]],3,FALSE),0)</f>
        <v>AC bin/base</v>
      </c>
      <c r="I13" s="354">
        <v>2625</v>
      </c>
      <c r="J13" s="348" t="str">
        <f>_xlfn.IFNA(VLOOKUP(Invoer_Referentie[[#This Row],[Product]],Database_Productkaarten[[Product]:[Eenheid]],4,FALSE),0)</f>
        <v>Ton</v>
      </c>
      <c r="K13" s="348"/>
      <c r="L13" s="348"/>
      <c r="M13" s="345"/>
      <c r="N13" s="351">
        <f>Invoer_Referentie[[#This Row],[Lengte'[m']]]*Invoer_Referentie[[#This Row],[Breedte '[m']]]</f>
        <v>0</v>
      </c>
      <c r="O13" s="345">
        <f>IFERROR(IF(Invoer_Referentie[[#This Row],[Oppervlakte '[m2']]]*Invoer_Referentie[[#This Row],[Dikte '[m']]]=0,Invoer_Referentie[[#This Row],[Gewicht '[ton']]]/Invoer_Referentie[[#This Row],[Soortelijk gewicht '[ton / m3']]],Invoer_Referentie[[#This Row],[Oppervlakte '[m2']]]*Invoer_Referentie[[#This Row],[Dikte '[m']]]),0)</f>
        <v>1107.5949367088608</v>
      </c>
      <c r="P13" s="345">
        <f>_xlfn.IFNA(VLOOKUP(Invoer_Referentie[[#This Row],[Product]],Database_Productkaarten[[Product]:[Soortelijk Gewicht '[ton / m3']]],11,FALSE),0)</f>
        <v>2.37</v>
      </c>
      <c r="Q13" s="350">
        <f>_xlfn.IFNA(VLOOKUP(Invoer_Referentie[[#This Row],[Product]],Database_Productkaarten[[Product]:[Gewicht '[ton'] / Eenheid]],12,FALSE)*Invoer_Referentie[[#This Row],[Aantal Eenheden]],0)</f>
        <v>2625</v>
      </c>
      <c r="R13" s="350">
        <f>MAX(IFERROR($E$2/IF(Invoer_Referentie[[#This Row],[Productgroep]]="Categorie_1_LCA_Producten",VLOOKUP(Invoer_Referentie[[#This Row],[Product]],Categorie_1_Producten[#All],7,FALSE),VLOOKUP(Invoer_Referentie[[#This Row],[Product]]&amp;", "&amp;"Totaal",Database_Productkaarten[#All],15,FALSE))-1,0),0)</f>
        <v>0</v>
      </c>
      <c r="S13" s="350"/>
      <c r="T13" s="352"/>
      <c r="U13" s="352"/>
      <c r="V13" s="353"/>
      <c r="W13" s="390">
        <f>_xlfn.IFNA(VLOOKUP(Invoer_Referentie[[#This Row],[Product]],Brandstofverbuiken[#All],4,FALSE),0)</f>
        <v>0</v>
      </c>
      <c r="X13" s="390">
        <f>_xlfn.IFNA(VLOOKUP(Invoer_Referentie[[#This Row],[Product]],Brandstofverbuiken[#All],5,FALSE),0)</f>
        <v>0</v>
      </c>
      <c r="Y13" s="352" t="s">
        <v>239</v>
      </c>
      <c r="Z13" s="353"/>
      <c r="AA13" s="364">
        <f>_xlfn.IFNA(VLOOKUP(Invoer_Referentie[[#This Row],[Product]],Brandstofverbuiken[#All],7,FALSE),0)</f>
        <v>0</v>
      </c>
      <c r="AB13" s="390">
        <f>_xlfn.IFNA(VLOOKUP(Invoer_Referentie[[#This Row],[Product]],Brandstofverbuiken[#All],8,FALSE),0)</f>
        <v>0</v>
      </c>
      <c r="AC13" s="350">
        <v>20</v>
      </c>
      <c r="AD13" s="352" t="s">
        <v>224</v>
      </c>
      <c r="AE13" s="353"/>
      <c r="AF13" s="345"/>
    </row>
    <row r="14" spans="2:32" ht="15">
      <c r="B14" s="344" t="s">
        <v>240</v>
      </c>
      <c r="C14" s="345" t="s">
        <v>39</v>
      </c>
      <c r="D14" s="346"/>
      <c r="E14" s="347" t="s">
        <v>237</v>
      </c>
      <c r="F14" s="1" t="s">
        <v>241</v>
      </c>
      <c r="G14" s="348">
        <f>_xlfn.IFNA(VLOOKUP(Invoer_Referentie[[#This Row],[Product]],Database_Productkaarten[[Product]:[Comment]],64,FALSE),0)</f>
        <v>2</v>
      </c>
      <c r="H14" s="349" t="str">
        <f>_xlfn.IFNA(VLOOKUP(Invoer_Referentie[[#This Row],[Product]],Database_Productkaarten[[Product]:[Producttype]],3,FALSE),0)</f>
        <v>AC surf rood</v>
      </c>
      <c r="I14" s="354">
        <v>1800</v>
      </c>
      <c r="J14" s="348" t="str">
        <f>_xlfn.IFNA(VLOOKUP(Invoer_Referentie[[#This Row],[Product]],Database_Productkaarten[[Product]:[Eenheid]],4,FALSE),0)</f>
        <v>Ton</v>
      </c>
      <c r="K14" s="348"/>
      <c r="L14" s="348"/>
      <c r="M14" s="345"/>
      <c r="N14" s="351">
        <f>Invoer_Referentie[[#This Row],[Lengte'[m']]]*Invoer_Referentie[[#This Row],[Breedte '[m']]]</f>
        <v>0</v>
      </c>
      <c r="O14" s="345">
        <f>IFERROR(IF(Invoer_Referentie[[#This Row],[Oppervlakte '[m2']]]*Invoer_Referentie[[#This Row],[Dikte '[m']]]=0,Invoer_Referentie[[#This Row],[Gewicht '[ton']]]/Invoer_Referentie[[#This Row],[Soortelijk gewicht '[ton / m3']]],Invoer_Referentie[[#This Row],[Oppervlakte '[m2']]]*Invoer_Referentie[[#This Row],[Dikte '[m']]]),0)</f>
        <v>765.95744680851055</v>
      </c>
      <c r="P14" s="345">
        <f>_xlfn.IFNA(VLOOKUP(Invoer_Referentie[[#This Row],[Product]],Database_Productkaarten[[Product]:[Soortelijk Gewicht '[ton / m3']]],11,FALSE),0)</f>
        <v>2.35</v>
      </c>
      <c r="Q14" s="350">
        <f>_xlfn.IFNA(VLOOKUP(Invoer_Referentie[[#This Row],[Product]],Database_Productkaarten[[Product]:[Gewicht '[ton'] / Eenheid]],12,FALSE)*Invoer_Referentie[[#This Row],[Aantal Eenheden]],0)</f>
        <v>1800</v>
      </c>
      <c r="R14" s="350">
        <f>MAX(IFERROR($E$2/IF(Invoer_Referentie[[#This Row],[Productgroep]]="Categorie_1_LCA_Producten",VLOOKUP(Invoer_Referentie[[#This Row],[Product]],Categorie_1_Producten[#All],7,FALSE),VLOOKUP(Invoer_Referentie[[#This Row],[Product]]&amp;", "&amp;"Totaal",Database_Productkaarten[#All],15,FALSE))-1,0),0)</f>
        <v>0</v>
      </c>
      <c r="S14" s="350"/>
      <c r="T14" s="352"/>
      <c r="U14" s="352"/>
      <c r="V14" s="353"/>
      <c r="W14" s="390">
        <f>_xlfn.IFNA(VLOOKUP(Invoer_Referentie[[#This Row],[Product]],Brandstofverbuiken[#All],4,FALSE),0)</f>
        <v>0</v>
      </c>
      <c r="X14" s="390">
        <f>_xlfn.IFNA(VLOOKUP(Invoer_Referentie[[#This Row],[Product]],Brandstofverbuiken[#All],5,FALSE),0)</f>
        <v>0</v>
      </c>
      <c r="Y14" s="352" t="s">
        <v>239</v>
      </c>
      <c r="Z14" s="353"/>
      <c r="AA14" s="364">
        <f>_xlfn.IFNA(VLOOKUP(Invoer_Referentie[[#This Row],[Product]],Brandstofverbuiken[#All],7,FALSE),0)</f>
        <v>0</v>
      </c>
      <c r="AB14" s="390">
        <f>_xlfn.IFNA(VLOOKUP(Invoer_Referentie[[#This Row],[Product]],Brandstofverbuiken[#All],8,FALSE),0)</f>
        <v>0</v>
      </c>
      <c r="AC14" s="350">
        <v>20</v>
      </c>
      <c r="AD14" s="352" t="s">
        <v>224</v>
      </c>
      <c r="AE14" s="353"/>
      <c r="AF14" s="345"/>
    </row>
    <row r="15" spans="2:32" ht="15">
      <c r="B15" s="344" t="s">
        <v>242</v>
      </c>
      <c r="C15" s="345" t="s">
        <v>39</v>
      </c>
      <c r="D15" s="346"/>
      <c r="E15" s="347" t="s">
        <v>48</v>
      </c>
      <c r="F15" s="1" t="s">
        <v>61</v>
      </c>
      <c r="G15" s="348">
        <f>_xlfn.IFNA(VLOOKUP(Invoer_Referentie[[#This Row],[Product]],Database_Productkaarten[[Product]:[Comment]],64,FALSE),0)</f>
        <v>3</v>
      </c>
      <c r="H15" s="349" t="str">
        <f>_xlfn.IFNA(VLOOKUP(Invoer_Referentie[[#This Row],[Product]],Database_Productkaarten[[Product]:[Producttype]],3,FALSE),0)</f>
        <v>Menggranulaat</v>
      </c>
      <c r="I15" s="354">
        <f>1150/0.3</f>
        <v>3833.3333333333335</v>
      </c>
      <c r="J15" s="348" t="str">
        <f>_xlfn.IFNA(VLOOKUP(Invoer_Referentie[[#This Row],[Product]],Database_Productkaarten[[Product]:[Eenheid]],4,FALSE),0)</f>
        <v>m2</v>
      </c>
      <c r="K15" s="348"/>
      <c r="L15" s="348"/>
      <c r="M15" s="345"/>
      <c r="N15" s="351">
        <f>Invoer_Referentie[[#This Row],[Lengte'[m']]]*Invoer_Referentie[[#This Row],[Breedte '[m']]]</f>
        <v>0</v>
      </c>
      <c r="O15" s="345">
        <f>IFERROR(IF(Invoer_Referentie[[#This Row],[Oppervlakte '[m2']]]*Invoer_Referentie[[#This Row],[Dikte '[m']]]=0,Invoer_Referentie[[#This Row],[Gewicht '[ton']]]/Invoer_Referentie[[#This Row],[Soortelijk gewicht '[ton / m3']]],Invoer_Referentie[[#This Row],[Oppervlakte '[m2']]]*Invoer_Referentie[[#This Row],[Dikte '[m']]]),0)</f>
        <v>1150</v>
      </c>
      <c r="P15" s="345">
        <f>_xlfn.IFNA(VLOOKUP(Invoer_Referentie[[#This Row],[Product]],Database_Productkaarten[[Product]:[Soortelijk Gewicht '[ton / m3']]],11,FALSE),0)</f>
        <v>1.95</v>
      </c>
      <c r="Q15" s="350">
        <f>_xlfn.IFNA(VLOOKUP(Invoer_Referentie[[#This Row],[Product]],Database_Productkaarten[[Product]:[Gewicht '[ton'] / Eenheid]],12,FALSE)*Invoer_Referentie[[#This Row],[Aantal Eenheden]],0)</f>
        <v>2242.5</v>
      </c>
      <c r="R15" s="350">
        <f>MAX(IFERROR($E$2/IF(Invoer_Referentie[[#This Row],[Productgroep]]="Categorie_1_LCA_Producten",VLOOKUP(Invoer_Referentie[[#This Row],[Product]],Categorie_1_Producten[#All],7,FALSE),VLOOKUP(Invoer_Referentie[[#This Row],[Product]]&amp;", "&amp;"Totaal",Database_Productkaarten[#All],15,FALSE))-1,0),0)</f>
        <v>0</v>
      </c>
      <c r="S15" s="350"/>
      <c r="T15" s="352"/>
      <c r="U15" s="352"/>
      <c r="V15" s="353"/>
      <c r="W15" s="390">
        <f>_xlfn.IFNA(VLOOKUP(Invoer_Referentie[[#This Row],[Product]],Brandstofverbuiken[#All],4,FALSE),0)</f>
        <v>19.5</v>
      </c>
      <c r="X15" s="390">
        <f>_xlfn.IFNA(VLOOKUP(Invoer_Referentie[[#This Row],[Product]],Brandstofverbuiken[#All],5,FALSE),0)</f>
        <v>50</v>
      </c>
      <c r="Y15" s="352"/>
      <c r="Z15" s="353" t="s">
        <v>223</v>
      </c>
      <c r="AA15" s="364">
        <f>_xlfn.IFNA(VLOOKUP(Invoer_Referentie[[#This Row],[Product]],Brandstofverbuiken[#All],7,FALSE),0)</f>
        <v>19.5</v>
      </c>
      <c r="AB15" s="390">
        <f>_xlfn.IFNA(VLOOKUP(Invoer_Referentie[[#This Row],[Product]],Brandstofverbuiken[#All],8,FALSE),0)</f>
        <v>100</v>
      </c>
      <c r="AC15" s="350">
        <v>20</v>
      </c>
      <c r="AD15" s="352" t="s">
        <v>224</v>
      </c>
      <c r="AE15" s="353"/>
      <c r="AF15" s="345"/>
    </row>
    <row r="16" spans="2:32" ht="15">
      <c r="B16" s="344" t="s">
        <v>243</v>
      </c>
      <c r="C16" s="345" t="s">
        <v>39</v>
      </c>
      <c r="D16" s="346"/>
      <c r="E16" s="347" t="s">
        <v>48</v>
      </c>
      <c r="F16" s="1" t="s">
        <v>244</v>
      </c>
      <c r="G16" s="348">
        <f>_xlfn.IFNA(VLOOKUP(Invoer_Referentie[[#This Row],[Product]],Database_Productkaarten[[Product]:[Comment]],64,FALSE),0)</f>
        <v>3</v>
      </c>
      <c r="H16" s="349" t="str">
        <f>_xlfn.IFNA(VLOOKUP(Invoer_Referentie[[#This Row],[Product]],Database_Productkaarten[[Product]:[Producttype]],3,FALSE),0)</f>
        <v>Fosforslak</v>
      </c>
      <c r="I16" s="354">
        <f>350/0.2</f>
        <v>1750</v>
      </c>
      <c r="J16" s="348" t="str">
        <f>_xlfn.IFNA(VLOOKUP(Invoer_Referentie[[#This Row],[Product]],Database_Productkaarten[[Product]:[Eenheid]],4,FALSE),0)</f>
        <v>m2</v>
      </c>
      <c r="K16" s="348"/>
      <c r="L16" s="348"/>
      <c r="M16" s="345"/>
      <c r="N16" s="351">
        <f>Invoer_Referentie[[#This Row],[Lengte'[m']]]*Invoer_Referentie[[#This Row],[Breedte '[m']]]</f>
        <v>0</v>
      </c>
      <c r="O16" s="345">
        <f>IFERROR(IF(Invoer_Referentie[[#This Row],[Oppervlakte '[m2']]]*Invoer_Referentie[[#This Row],[Dikte '[m']]]=0,Invoer_Referentie[[#This Row],[Gewicht '[ton']]]/Invoer_Referentie[[#This Row],[Soortelijk gewicht '[ton / m3']]],Invoer_Referentie[[#This Row],[Oppervlakte '[m2']]]*Invoer_Referentie[[#This Row],[Dikte '[m']]]),0)</f>
        <v>350.00000000000006</v>
      </c>
      <c r="P16" s="345">
        <f>_xlfn.IFNA(VLOOKUP(Invoer_Referentie[[#This Row],[Product]],Database_Productkaarten[[Product]:[Soortelijk Gewicht '[ton / m3']]],11,FALSE),0)</f>
        <v>2.8</v>
      </c>
      <c r="Q16" s="350">
        <f>_xlfn.IFNA(VLOOKUP(Invoer_Referentie[[#This Row],[Product]],Database_Productkaarten[[Product]:[Gewicht '[ton'] / Eenheid]],12,FALSE)*Invoer_Referentie[[#This Row],[Aantal Eenheden]],0)</f>
        <v>980.00000000000011</v>
      </c>
      <c r="R16" s="350">
        <f>MAX(IFERROR($E$2/IF(Invoer_Referentie[[#This Row],[Productgroep]]="Categorie_1_LCA_Producten",VLOOKUP(Invoer_Referentie[[#This Row],[Product]],Categorie_1_Producten[#All],7,FALSE),VLOOKUP(Invoer_Referentie[[#This Row],[Product]]&amp;", "&amp;"Totaal",Database_Productkaarten[#All],15,FALSE))-1,0),0)</f>
        <v>0</v>
      </c>
      <c r="S16" s="350"/>
      <c r="T16" s="352"/>
      <c r="U16" s="352"/>
      <c r="V16" s="353"/>
      <c r="W16" s="390">
        <f>_xlfn.IFNA(VLOOKUP(Invoer_Referentie[[#This Row],[Product]],Brandstofverbuiken[#All],4,FALSE),0)</f>
        <v>19.5</v>
      </c>
      <c r="X16" s="390">
        <f>_xlfn.IFNA(VLOOKUP(Invoer_Referentie[[#This Row],[Product]],Brandstofverbuiken[#All],5,FALSE),0)</f>
        <v>50</v>
      </c>
      <c r="Y16" s="352"/>
      <c r="Z16" s="353" t="s">
        <v>223</v>
      </c>
      <c r="AA16" s="364">
        <f>_xlfn.IFNA(VLOOKUP(Invoer_Referentie[[#This Row],[Product]],Brandstofverbuiken[#All],7,FALSE),0)</f>
        <v>19.5</v>
      </c>
      <c r="AB16" s="390">
        <f>_xlfn.IFNA(VLOOKUP(Invoer_Referentie[[#This Row],[Product]],Brandstofverbuiken[#All],8,FALSE),0)</f>
        <v>100</v>
      </c>
      <c r="AC16" s="350">
        <v>20</v>
      </c>
      <c r="AD16" s="352" t="s">
        <v>224</v>
      </c>
      <c r="AE16" s="353"/>
      <c r="AF16" s="345"/>
    </row>
    <row r="17" spans="2:32" ht="15">
      <c r="B17" s="344" t="s">
        <v>245</v>
      </c>
      <c r="C17" s="345" t="s">
        <v>39</v>
      </c>
      <c r="D17" s="346"/>
      <c r="E17" s="347" t="s">
        <v>246</v>
      </c>
      <c r="F17" s="1" t="s">
        <v>247</v>
      </c>
      <c r="G17" s="348">
        <f>_xlfn.IFNA(VLOOKUP(Invoer_Referentie[[#This Row],[Product]],Database_Productkaarten[[Product]:[Comment]],64,FALSE),0)</f>
        <v>3</v>
      </c>
      <c r="H17" s="349" t="str">
        <f>_xlfn.IFNA(VLOOKUP(Invoer_Referentie[[#This Row],[Product]],Database_Productkaarten[[Product]:[Producttype]],3,FALSE),0)</f>
        <v>Kolk</v>
      </c>
      <c r="I17" s="354">
        <v>202</v>
      </c>
      <c r="J17" s="348" t="str">
        <f>_xlfn.IFNA(VLOOKUP(Invoer_Referentie[[#This Row],[Product]],Database_Productkaarten[[Product]:[Eenheid]],4,FALSE),0)</f>
        <v>stuk</v>
      </c>
      <c r="K17" s="348"/>
      <c r="L17" s="348"/>
      <c r="M17" s="345"/>
      <c r="N17" s="351">
        <f>Invoer_Referentie[[#This Row],[Lengte'[m']]]*Invoer_Referentie[[#This Row],[Breedte '[m']]]</f>
        <v>0</v>
      </c>
      <c r="O17" s="345">
        <f>IFERROR(IF(Invoer_Referentie[[#This Row],[Oppervlakte '[m2']]]*Invoer_Referentie[[#This Row],[Dikte '[m']]]=0,Invoer_Referentie[[#This Row],[Gewicht '[ton']]]/Invoer_Referentie[[#This Row],[Soortelijk gewicht '[ton / m3']]],Invoer_Referentie[[#This Row],[Oppervlakte '[m2']]]*Invoer_Referentie[[#This Row],[Dikte '[m']]]),0)</f>
        <v>0</v>
      </c>
      <c r="P17" s="345" t="str">
        <f>_xlfn.IFNA(VLOOKUP(Invoer_Referentie[[#This Row],[Product]],Database_Productkaarten[[Product]:[Soortelijk Gewicht '[ton / m3']]],11,FALSE),0)</f>
        <v>NVT</v>
      </c>
      <c r="Q17" s="350">
        <f>_xlfn.IFNA(VLOOKUP(Invoer_Referentie[[#This Row],[Product]],Database_Productkaarten[[Product]:[Gewicht '[ton'] / Eenheid]],12,FALSE)*Invoer_Referentie[[#This Row],[Aantal Eenheden]],0)</f>
        <v>40.973680000000002</v>
      </c>
      <c r="R17" s="350">
        <f>MAX(IFERROR($E$2/IF(Invoer_Referentie[[#This Row],[Productgroep]]="Categorie_1_LCA_Producten",VLOOKUP(Invoer_Referentie[[#This Row],[Product]],Categorie_1_Producten[#All],7,FALSE),VLOOKUP(Invoer_Referentie[[#This Row],[Product]]&amp;", "&amp;"Totaal",Database_Productkaarten[#All],15,FALSE))-1,0),0)</f>
        <v>0</v>
      </c>
      <c r="S17" s="350"/>
      <c r="T17" s="352"/>
      <c r="U17" s="352"/>
      <c r="V17" s="353"/>
      <c r="W17" s="390">
        <f>_xlfn.IFNA(VLOOKUP(Invoer_Referentie[[#This Row],[Product]],Brandstofverbuiken[#All],4,FALSE),0)</f>
        <v>15.933147632311979</v>
      </c>
      <c r="X17" s="390">
        <f>_xlfn.IFNA(VLOOKUP(Invoer_Referentie[[#This Row],[Product]],Brandstofverbuiken[#All],5,FALSE),0)</f>
        <v>2</v>
      </c>
      <c r="Y17" s="352"/>
      <c r="Z17" s="353" t="s">
        <v>223</v>
      </c>
      <c r="AA17" s="364">
        <f>_xlfn.IFNA(VLOOKUP(Invoer_Referentie[[#This Row],[Product]],Brandstofverbuiken[#All],7,FALSE),0)</f>
        <v>15.933147632311979</v>
      </c>
      <c r="AB17" s="390">
        <f>_xlfn.IFNA(VLOOKUP(Invoer_Referentie[[#This Row],[Product]],Brandstofverbuiken[#All],8,FALSE),0)</f>
        <v>2</v>
      </c>
      <c r="AC17" s="350">
        <v>20</v>
      </c>
      <c r="AD17" s="352" t="s">
        <v>224</v>
      </c>
      <c r="AE17" s="353"/>
      <c r="AF17" s="345"/>
    </row>
    <row r="18" spans="2:32" ht="15">
      <c r="B18" s="344" t="s">
        <v>248</v>
      </c>
      <c r="C18" s="345" t="s">
        <v>39</v>
      </c>
      <c r="D18" s="346"/>
      <c r="E18" s="347" t="s">
        <v>40</v>
      </c>
      <c r="F18" s="1" t="s">
        <v>41</v>
      </c>
      <c r="G18" s="348">
        <f>_xlfn.IFNA(VLOOKUP(Invoer_Referentie[[#This Row],[Product]],Database_Productkaarten[[Product]:[Comment]],64,FALSE),0)</f>
        <v>3</v>
      </c>
      <c r="H18" s="349" t="str">
        <f>_xlfn.IFNA(VLOOKUP(Invoer_Referentie[[#This Row],[Product]],Database_Productkaarten[[Product]:[Producttype]],3,FALSE),0)</f>
        <v>Grond</v>
      </c>
      <c r="I18" s="354">
        <v>5020</v>
      </c>
      <c r="J18" s="348" t="str">
        <f>_xlfn.IFNA(VLOOKUP(Invoer_Referentie[[#This Row],[Product]],Database_Productkaarten[[Product]:[Eenheid]],4,FALSE),0)</f>
        <v>m3</v>
      </c>
      <c r="K18" s="348"/>
      <c r="L18" s="348"/>
      <c r="M18" s="345"/>
      <c r="N18" s="351">
        <f>Invoer_Referentie[[#This Row],[Lengte'[m']]]*Invoer_Referentie[[#This Row],[Breedte '[m']]]</f>
        <v>0</v>
      </c>
      <c r="O18" s="345">
        <f>IFERROR(IF(Invoer_Referentie[[#This Row],[Oppervlakte '[m2']]]*Invoer_Referentie[[#This Row],[Dikte '[m']]]=0,Invoer_Referentie[[#This Row],[Gewicht '[ton']]]/Invoer_Referentie[[#This Row],[Soortelijk gewicht '[ton / m3']]],Invoer_Referentie[[#This Row],[Oppervlakte '[m2']]]*Invoer_Referentie[[#This Row],[Dikte '[m']]]),0)</f>
        <v>5020</v>
      </c>
      <c r="P18" s="345">
        <f>_xlfn.IFNA(VLOOKUP(Invoer_Referentie[[#This Row],[Product]],Database_Productkaarten[[Product]:[Soortelijk Gewicht '[ton / m3']]],11,FALSE),0)</f>
        <v>1.625</v>
      </c>
      <c r="Q18" s="350">
        <f>_xlfn.IFNA(VLOOKUP(Invoer_Referentie[[#This Row],[Product]],Database_Productkaarten[[Product]:[Gewicht '[ton'] / Eenheid]],12,FALSE)*Invoer_Referentie[[#This Row],[Aantal Eenheden]],0)</f>
        <v>8157.5</v>
      </c>
      <c r="R18" s="350">
        <f>MAX(IFERROR($E$2/IF(Invoer_Referentie[[#This Row],[Productgroep]]="Categorie_1_LCA_Producten",VLOOKUP(Invoer_Referentie[[#This Row],[Product]],Categorie_1_Producten[#All],7,FALSE),VLOOKUP(Invoer_Referentie[[#This Row],[Product]]&amp;", "&amp;"Totaal",Database_Productkaarten[#All],15,FALSE))-1,0),0)</f>
        <v>0</v>
      </c>
      <c r="S18" s="350"/>
      <c r="T18" s="352"/>
      <c r="U18" s="352"/>
      <c r="V18" s="353"/>
      <c r="W18" s="390">
        <f>_xlfn.IFNA(VLOOKUP(Invoer_Referentie[[#This Row],[Product]],Brandstofverbuiken[#All],4,FALSE),0)</f>
        <v>19.5</v>
      </c>
      <c r="X18" s="390">
        <f>_xlfn.IFNA(VLOOKUP(Invoer_Referentie[[#This Row],[Product]],Brandstofverbuiken[#All],5,FALSE),0)</f>
        <v>40</v>
      </c>
      <c r="Y18" s="352"/>
      <c r="Z18" s="353" t="s">
        <v>223</v>
      </c>
      <c r="AA18" s="364">
        <f>_xlfn.IFNA(VLOOKUP(Invoer_Referentie[[#This Row],[Product]],Brandstofverbuiken[#All],7,FALSE),0)</f>
        <v>13.54</v>
      </c>
      <c r="AB18" s="390">
        <f>_xlfn.IFNA(VLOOKUP(Invoer_Referentie[[#This Row],[Product]],Brandstofverbuiken[#All],8,FALSE),0)</f>
        <v>60</v>
      </c>
      <c r="AC18" s="350">
        <v>20</v>
      </c>
      <c r="AD18" s="352" t="s">
        <v>224</v>
      </c>
      <c r="AE18" s="353"/>
      <c r="AF18" s="345"/>
    </row>
    <row r="19" spans="2:32" ht="15">
      <c r="B19" s="344" t="s">
        <v>249</v>
      </c>
      <c r="C19" s="345" t="s">
        <v>39</v>
      </c>
      <c r="D19" s="346"/>
      <c r="E19" s="347" t="s">
        <v>40</v>
      </c>
      <c r="F19" s="1" t="s">
        <v>41</v>
      </c>
      <c r="G19" s="348">
        <f>_xlfn.IFNA(VLOOKUP(Invoer_Referentie[[#This Row],[Product]],Database_Productkaarten[[Product]:[Comment]],64,FALSE),0)</f>
        <v>3</v>
      </c>
      <c r="H19" s="349" t="str">
        <f>_xlfn.IFNA(VLOOKUP(Invoer_Referentie[[#This Row],[Product]],Database_Productkaarten[[Product]:[Producttype]],3,FALSE),0)</f>
        <v>Grond</v>
      </c>
      <c r="I19" s="354">
        <v>18900</v>
      </c>
      <c r="J19" s="348" t="str">
        <f>_xlfn.IFNA(VLOOKUP(Invoer_Referentie[[#This Row],[Product]],Database_Productkaarten[[Product]:[Eenheid]],4,FALSE),0)</f>
        <v>m3</v>
      </c>
      <c r="K19" s="348"/>
      <c r="L19" s="348"/>
      <c r="M19" s="345"/>
      <c r="N19" s="351">
        <f>Invoer_Referentie[[#This Row],[Lengte'[m']]]*Invoer_Referentie[[#This Row],[Breedte '[m']]]</f>
        <v>0</v>
      </c>
      <c r="O19" s="345">
        <f>IFERROR(IF(Invoer_Referentie[[#This Row],[Oppervlakte '[m2']]]*Invoer_Referentie[[#This Row],[Dikte '[m']]]=0,Invoer_Referentie[[#This Row],[Gewicht '[ton']]]/Invoer_Referentie[[#This Row],[Soortelijk gewicht '[ton / m3']]],Invoer_Referentie[[#This Row],[Oppervlakte '[m2']]]*Invoer_Referentie[[#This Row],[Dikte '[m']]]),0)</f>
        <v>18900</v>
      </c>
      <c r="P19" s="345">
        <f>_xlfn.IFNA(VLOOKUP(Invoer_Referentie[[#This Row],[Product]],Database_Productkaarten[[Product]:[Soortelijk Gewicht '[ton / m3']]],11,FALSE),0)</f>
        <v>1.625</v>
      </c>
      <c r="Q19" s="350">
        <f>_xlfn.IFNA(VLOOKUP(Invoer_Referentie[[#This Row],[Product]],Database_Productkaarten[[Product]:[Gewicht '[ton'] / Eenheid]],12,FALSE)*Invoer_Referentie[[#This Row],[Aantal Eenheden]],0)</f>
        <v>30712.5</v>
      </c>
      <c r="R19" s="350">
        <f>MAX(IFERROR($E$2/IF(Invoer_Referentie[[#This Row],[Productgroep]]="Categorie_1_LCA_Producten",VLOOKUP(Invoer_Referentie[[#This Row],[Product]],Categorie_1_Producten[#All],7,FALSE),VLOOKUP(Invoer_Referentie[[#This Row],[Product]]&amp;", "&amp;"Totaal",Database_Productkaarten[#All],15,FALSE))-1,0),0)</f>
        <v>0</v>
      </c>
      <c r="S19" s="350"/>
      <c r="T19" s="352"/>
      <c r="U19" s="352"/>
      <c r="V19" s="353"/>
      <c r="W19" s="390">
        <f>_xlfn.IFNA(VLOOKUP(Invoer_Referentie[[#This Row],[Product]],Brandstofverbuiken[#All],4,FALSE),0)</f>
        <v>19.5</v>
      </c>
      <c r="X19" s="390">
        <f>_xlfn.IFNA(VLOOKUP(Invoer_Referentie[[#This Row],[Product]],Brandstofverbuiken[#All],5,FALSE),0)</f>
        <v>40</v>
      </c>
      <c r="Y19" s="352"/>
      <c r="Z19" s="353" t="s">
        <v>223</v>
      </c>
      <c r="AA19" s="364">
        <f>_xlfn.IFNA(VLOOKUP(Invoer_Referentie[[#This Row],[Product]],Brandstofverbuiken[#All],7,FALSE),0)</f>
        <v>13.54</v>
      </c>
      <c r="AB19" s="390">
        <f>_xlfn.IFNA(VLOOKUP(Invoer_Referentie[[#This Row],[Product]],Brandstofverbuiken[#All],8,FALSE),0)</f>
        <v>60</v>
      </c>
      <c r="AC19" s="350">
        <v>5</v>
      </c>
      <c r="AD19" s="352" t="s">
        <v>224</v>
      </c>
      <c r="AE19" s="353"/>
      <c r="AF19" s="345"/>
    </row>
    <row r="20" spans="2:32" ht="15">
      <c r="B20" s="344" t="s">
        <v>250</v>
      </c>
      <c r="C20" s="345" t="s">
        <v>39</v>
      </c>
      <c r="D20" s="346"/>
      <c r="E20" s="347" t="s">
        <v>40</v>
      </c>
      <c r="F20" s="1" t="s">
        <v>41</v>
      </c>
      <c r="G20" s="348">
        <f>_xlfn.IFNA(VLOOKUP(Invoer_Referentie[[#This Row],[Product]],Database_Productkaarten[[Product]:[Comment]],64,FALSE),0)</f>
        <v>3</v>
      </c>
      <c r="H20" s="349" t="str">
        <f>_xlfn.IFNA(VLOOKUP(Invoer_Referentie[[#This Row],[Product]],Database_Productkaarten[[Product]:[Producttype]],3,FALSE),0)</f>
        <v>Grond</v>
      </c>
      <c r="I20" s="354">
        <v>4684</v>
      </c>
      <c r="J20" s="348" t="str">
        <f>_xlfn.IFNA(VLOOKUP(Invoer_Referentie[[#This Row],[Product]],Database_Productkaarten[[Product]:[Eenheid]],4,FALSE),0)</f>
        <v>m3</v>
      </c>
      <c r="K20" s="348"/>
      <c r="L20" s="348"/>
      <c r="M20" s="345"/>
      <c r="N20" s="351">
        <f>Invoer_Referentie[[#This Row],[Lengte'[m']]]*Invoer_Referentie[[#This Row],[Breedte '[m']]]</f>
        <v>0</v>
      </c>
      <c r="O20" s="345">
        <f>IFERROR(IF(Invoer_Referentie[[#This Row],[Oppervlakte '[m2']]]*Invoer_Referentie[[#This Row],[Dikte '[m']]]=0,Invoer_Referentie[[#This Row],[Gewicht '[ton']]]/Invoer_Referentie[[#This Row],[Soortelijk gewicht '[ton / m3']]],Invoer_Referentie[[#This Row],[Oppervlakte '[m2']]]*Invoer_Referentie[[#This Row],[Dikte '[m']]]),0)</f>
        <v>4684</v>
      </c>
      <c r="P20" s="345">
        <f>_xlfn.IFNA(VLOOKUP(Invoer_Referentie[[#This Row],[Product]],Database_Productkaarten[[Product]:[Soortelijk Gewicht '[ton / m3']]],11,FALSE),0)</f>
        <v>1.625</v>
      </c>
      <c r="Q20" s="350">
        <f>_xlfn.IFNA(VLOOKUP(Invoer_Referentie[[#This Row],[Product]],Database_Productkaarten[[Product]:[Gewicht '[ton'] / Eenheid]],12,FALSE)*Invoer_Referentie[[#This Row],[Aantal Eenheden]],0)</f>
        <v>7611.5</v>
      </c>
      <c r="R20" s="350">
        <f>MAX(IFERROR($E$2/IF(Invoer_Referentie[[#This Row],[Productgroep]]="Categorie_1_LCA_Producten",VLOOKUP(Invoer_Referentie[[#This Row],[Product]],Categorie_1_Producten[#All],7,FALSE),VLOOKUP(Invoer_Referentie[[#This Row],[Product]]&amp;", "&amp;"Totaal",Database_Productkaarten[#All],15,FALSE))-1,0),0)</f>
        <v>0</v>
      </c>
      <c r="S20" s="350"/>
      <c r="T20" s="352"/>
      <c r="U20" s="352"/>
      <c r="V20" s="353"/>
      <c r="W20" s="390">
        <f>_xlfn.IFNA(VLOOKUP(Invoer_Referentie[[#This Row],[Product]],Brandstofverbuiken[#All],4,FALSE),0)</f>
        <v>19.5</v>
      </c>
      <c r="X20" s="390">
        <f>_xlfn.IFNA(VLOOKUP(Invoer_Referentie[[#This Row],[Product]],Brandstofverbuiken[#All],5,FALSE),0)</f>
        <v>40</v>
      </c>
      <c r="Y20" s="352"/>
      <c r="Z20" s="353" t="s">
        <v>223</v>
      </c>
      <c r="AA20" s="364">
        <f>_xlfn.IFNA(VLOOKUP(Invoer_Referentie[[#This Row],[Product]],Brandstofverbuiken[#All],7,FALSE),0)</f>
        <v>13.54</v>
      </c>
      <c r="AB20" s="390">
        <f>_xlfn.IFNA(VLOOKUP(Invoer_Referentie[[#This Row],[Product]],Brandstofverbuiken[#All],8,FALSE),0)</f>
        <v>60</v>
      </c>
      <c r="AC20" s="350">
        <v>20</v>
      </c>
      <c r="AD20" s="352" t="s">
        <v>224</v>
      </c>
      <c r="AE20" s="353"/>
      <c r="AF20" s="345"/>
    </row>
    <row r="21" spans="2:32" ht="15">
      <c r="B21" s="344" t="s">
        <v>251</v>
      </c>
      <c r="C21" s="345" t="s">
        <v>45</v>
      </c>
      <c r="D21" s="346"/>
      <c r="E21" s="347" t="s">
        <v>40</v>
      </c>
      <c r="F21" s="1" t="s">
        <v>41</v>
      </c>
      <c r="G21" s="348">
        <f>_xlfn.IFNA(VLOOKUP(Invoer_Referentie[[#This Row],[Product]],Database_Productkaarten[[Product]:[Comment]],64,FALSE),0)</f>
        <v>3</v>
      </c>
      <c r="H21" s="349" t="str">
        <f>_xlfn.IFNA(VLOOKUP(Invoer_Referentie[[#This Row],[Product]],Database_Productkaarten[[Product]:[Producttype]],3,FALSE),0)</f>
        <v>Grond</v>
      </c>
      <c r="I21" s="354">
        <v>18900</v>
      </c>
      <c r="J21" s="348" t="str">
        <f>_xlfn.IFNA(VLOOKUP(Invoer_Referentie[[#This Row],[Product]],Database_Productkaarten[[Product]:[Eenheid]],4,FALSE),0)</f>
        <v>m3</v>
      </c>
      <c r="K21" s="348"/>
      <c r="L21" s="348"/>
      <c r="M21" s="345"/>
      <c r="N21" s="351">
        <f>Invoer_Referentie[[#This Row],[Lengte'[m']]]*Invoer_Referentie[[#This Row],[Breedte '[m']]]</f>
        <v>0</v>
      </c>
      <c r="O21" s="345">
        <f>IFERROR(IF(Invoer_Referentie[[#This Row],[Oppervlakte '[m2']]]*Invoer_Referentie[[#This Row],[Dikte '[m']]]=0,Invoer_Referentie[[#This Row],[Gewicht '[ton']]]/Invoer_Referentie[[#This Row],[Soortelijk gewicht '[ton / m3']]],Invoer_Referentie[[#This Row],[Oppervlakte '[m2']]]*Invoer_Referentie[[#This Row],[Dikte '[m']]]),0)</f>
        <v>18900</v>
      </c>
      <c r="P21" s="345">
        <f>_xlfn.IFNA(VLOOKUP(Invoer_Referentie[[#This Row],[Product]],Database_Productkaarten[[Product]:[Soortelijk Gewicht '[ton / m3']]],11,FALSE),0)</f>
        <v>1.625</v>
      </c>
      <c r="Q21" s="350">
        <f>_xlfn.IFNA(VLOOKUP(Invoer_Referentie[[#This Row],[Product]],Database_Productkaarten[[Product]:[Gewicht '[ton'] / Eenheid]],12,FALSE)*Invoer_Referentie[[#This Row],[Aantal Eenheden]],0)</f>
        <v>30712.5</v>
      </c>
      <c r="R21" s="350">
        <f>MAX(IFERROR($E$2/IF(Invoer_Referentie[[#This Row],[Productgroep]]="Categorie_1_LCA_Producten",VLOOKUP(Invoer_Referentie[[#This Row],[Product]],Categorie_1_Producten[#All],7,FALSE),VLOOKUP(Invoer_Referentie[[#This Row],[Product]]&amp;", "&amp;"Totaal",Database_Productkaarten[#All],15,FALSE))-1,0),0)</f>
        <v>0</v>
      </c>
      <c r="S21" s="350">
        <v>5</v>
      </c>
      <c r="T21" s="352" t="s">
        <v>224</v>
      </c>
      <c r="U21" s="352"/>
      <c r="V21" s="353" t="s">
        <v>223</v>
      </c>
      <c r="W21" s="390">
        <f>_xlfn.IFNA(VLOOKUP(Invoer_Referentie[[#This Row],[Product]],Brandstofverbuiken[#All],4,FALSE),0)</f>
        <v>19.5</v>
      </c>
      <c r="X21" s="390">
        <f>_xlfn.IFNA(VLOOKUP(Invoer_Referentie[[#This Row],[Product]],Brandstofverbuiken[#All],5,FALSE),0)</f>
        <v>40</v>
      </c>
      <c r="Y21" s="352"/>
      <c r="Z21" s="353"/>
      <c r="AA21" s="364">
        <f>_xlfn.IFNA(VLOOKUP(Invoer_Referentie[[#This Row],[Product]],Brandstofverbuiken[#All],7,FALSE),0)</f>
        <v>13.54</v>
      </c>
      <c r="AB21" s="390">
        <f>_xlfn.IFNA(VLOOKUP(Invoer_Referentie[[#This Row],[Product]],Brandstofverbuiken[#All],8,FALSE),0)</f>
        <v>60</v>
      </c>
      <c r="AC21" s="350"/>
      <c r="AD21" s="352"/>
      <c r="AE21" s="353"/>
      <c r="AF21" s="345"/>
    </row>
    <row r="22" spans="2:32" ht="15">
      <c r="B22" s="344" t="s">
        <v>252</v>
      </c>
      <c r="C22" s="345" t="s">
        <v>45</v>
      </c>
      <c r="D22" s="346"/>
      <c r="E22" s="347" t="s">
        <v>40</v>
      </c>
      <c r="F22" s="1" t="s">
        <v>46</v>
      </c>
      <c r="G22" s="348">
        <f>_xlfn.IFNA(VLOOKUP(Invoer_Referentie[[#This Row],[Product]],Database_Productkaarten[[Product]:[Comment]],64,FALSE),0)</f>
        <v>3</v>
      </c>
      <c r="H22" s="349" t="str">
        <f>_xlfn.IFNA(VLOOKUP(Invoer_Referentie[[#This Row],[Product]],Database_Productkaarten[[Product]:[Producttype]],3,FALSE),0)</f>
        <v>Zand</v>
      </c>
      <c r="I22" s="354">
        <v>2450</v>
      </c>
      <c r="J22" s="348" t="str">
        <f>_xlfn.IFNA(VLOOKUP(Invoer_Referentie[[#This Row],[Product]],Database_Productkaarten[[Product]:[Eenheid]],4,FALSE),0)</f>
        <v>m3</v>
      </c>
      <c r="K22" s="348"/>
      <c r="L22" s="348"/>
      <c r="M22" s="345"/>
      <c r="N22" s="351">
        <f>Invoer_Referentie[[#This Row],[Lengte'[m']]]*Invoer_Referentie[[#This Row],[Breedte '[m']]]</f>
        <v>0</v>
      </c>
      <c r="O22" s="345">
        <f>IFERROR(IF(Invoer_Referentie[[#This Row],[Oppervlakte '[m2']]]*Invoer_Referentie[[#This Row],[Dikte '[m']]]=0,Invoer_Referentie[[#This Row],[Gewicht '[ton']]]/Invoer_Referentie[[#This Row],[Soortelijk gewicht '[ton / m3']]],Invoer_Referentie[[#This Row],[Oppervlakte '[m2']]]*Invoer_Referentie[[#This Row],[Dikte '[m']]]),0)</f>
        <v>2450</v>
      </c>
      <c r="P22" s="345">
        <f>_xlfn.IFNA(VLOOKUP(Invoer_Referentie[[#This Row],[Product]],Database_Productkaarten[[Product]:[Soortelijk Gewicht '[ton / m3']]],11,FALSE),0)</f>
        <v>1.5</v>
      </c>
      <c r="Q22" s="350">
        <f>_xlfn.IFNA(VLOOKUP(Invoer_Referentie[[#This Row],[Product]],Database_Productkaarten[[Product]:[Gewicht '[ton'] / Eenheid]],12,FALSE)*Invoer_Referentie[[#This Row],[Aantal Eenheden]],0)</f>
        <v>3675</v>
      </c>
      <c r="R22" s="350">
        <f>MAX(IFERROR($E$2/IF(Invoer_Referentie[[#This Row],[Productgroep]]="Categorie_1_LCA_Producten",VLOOKUP(Invoer_Referentie[[#This Row],[Product]],Categorie_1_Producten[#All],7,FALSE),VLOOKUP(Invoer_Referentie[[#This Row],[Product]]&amp;", "&amp;"Totaal",Database_Productkaarten[#All],15,FALSE))-1,0),0)</f>
        <v>0</v>
      </c>
      <c r="S22" s="350">
        <v>20</v>
      </c>
      <c r="T22" s="352" t="s">
        <v>224</v>
      </c>
      <c r="U22" s="352"/>
      <c r="V22" s="353" t="s">
        <v>223</v>
      </c>
      <c r="W22" s="390">
        <f>_xlfn.IFNA(VLOOKUP(Invoer_Referentie[[#This Row],[Product]],Brandstofverbuiken[#All],4,FALSE),0)</f>
        <v>40.64</v>
      </c>
      <c r="X22" s="390">
        <f>_xlfn.IFNA(VLOOKUP(Invoer_Referentie[[#This Row],[Product]],Brandstofverbuiken[#All],5,FALSE),0)</f>
        <v>70</v>
      </c>
      <c r="Y22" s="352"/>
      <c r="Z22" s="353"/>
      <c r="AA22" s="364">
        <f>_xlfn.IFNA(VLOOKUP(Invoer_Referentie[[#This Row],[Product]],Brandstofverbuiken[#All],7,FALSE),0)</f>
        <v>13.54</v>
      </c>
      <c r="AB22" s="390">
        <f>_xlfn.IFNA(VLOOKUP(Invoer_Referentie[[#This Row],[Product]],Brandstofverbuiken[#All],8,FALSE),0)</f>
        <v>115</v>
      </c>
      <c r="AC22" s="350"/>
      <c r="AD22" s="352"/>
      <c r="AE22" s="353"/>
      <c r="AF22" s="345"/>
    </row>
    <row r="23" spans="2:32" ht="15">
      <c r="B23" s="344" t="s">
        <v>253</v>
      </c>
      <c r="C23" s="345" t="s">
        <v>45</v>
      </c>
      <c r="D23" s="346"/>
      <c r="E23" s="347" t="s">
        <v>246</v>
      </c>
      <c r="F23" s="1" t="s">
        <v>254</v>
      </c>
      <c r="G23" s="348">
        <f>_xlfn.IFNA(VLOOKUP(Invoer_Referentie[[#This Row],[Product]],Database_Productkaarten[[Product]:[Comment]],64,FALSE),0)</f>
        <v>3</v>
      </c>
      <c r="H23" s="349" t="str">
        <f>_xlfn.IFNA(VLOOKUP(Invoer_Referentie[[#This Row],[Product]],Database_Productkaarten[[Product]:[Producttype]],3,FALSE),0)</f>
        <v>Betonnen riolering</v>
      </c>
      <c r="I23" s="354">
        <v>240</v>
      </c>
      <c r="J23" s="348" t="str">
        <f>_xlfn.IFNA(VLOOKUP(Invoer_Referentie[[#This Row],[Product]],Database_Productkaarten[[Product]:[Eenheid]],4,FALSE),0)</f>
        <v>m1</v>
      </c>
      <c r="K23" s="348"/>
      <c r="L23" s="348"/>
      <c r="M23" s="345"/>
      <c r="N23" s="351">
        <f>Invoer_Referentie[[#This Row],[Lengte'[m']]]*Invoer_Referentie[[#This Row],[Breedte '[m']]]</f>
        <v>0</v>
      </c>
      <c r="O23" s="345">
        <f>IFERROR(IF(Invoer_Referentie[[#This Row],[Oppervlakte '[m2']]]*Invoer_Referentie[[#This Row],[Dikte '[m']]]=0,Invoer_Referentie[[#This Row],[Gewicht '[ton']]]/Invoer_Referentie[[#This Row],[Soortelijk gewicht '[ton / m3']]],Invoer_Referentie[[#This Row],[Oppervlakte '[m2']]]*Invoer_Referentie[[#This Row],[Dikte '[m']]]),0)</f>
        <v>32.799999999999997</v>
      </c>
      <c r="P23" s="345">
        <f>_xlfn.IFNA(VLOOKUP(Invoer_Referentie[[#This Row],[Product]],Database_Productkaarten[[Product]:[Soortelijk Gewicht '[ton / m3']]],11,FALSE),0)</f>
        <v>2.4</v>
      </c>
      <c r="Q23" s="350">
        <f>_xlfn.IFNA(VLOOKUP(Invoer_Referentie[[#This Row],[Product]],Database_Productkaarten[[Product]:[Gewicht '[ton'] / Eenheid]],12,FALSE)*Invoer_Referentie[[#This Row],[Aantal Eenheden]],0)</f>
        <v>78.719999999999985</v>
      </c>
      <c r="R23" s="350">
        <f>MAX(IFERROR($E$2/IF(Invoer_Referentie[[#This Row],[Productgroep]]="Categorie_1_LCA_Producten",VLOOKUP(Invoer_Referentie[[#This Row],[Product]],Categorie_1_Producten[#All],7,FALSE),VLOOKUP(Invoer_Referentie[[#This Row],[Product]]&amp;", "&amp;"Totaal",Database_Productkaarten[#All],15,FALSE))-1,0),0)</f>
        <v>0</v>
      </c>
      <c r="S23" s="350">
        <v>50</v>
      </c>
      <c r="T23" s="352" t="s">
        <v>224</v>
      </c>
      <c r="U23" s="352"/>
      <c r="V23" s="353" t="s">
        <v>223</v>
      </c>
      <c r="W23" s="390">
        <f>_xlfn.IFNA(VLOOKUP(Invoer_Referentie[[#This Row],[Product]],Brandstofverbuiken[#All],4,FALSE),0)</f>
        <v>29.108635097493039</v>
      </c>
      <c r="X23" s="390">
        <f>_xlfn.IFNA(VLOOKUP(Invoer_Referentie[[#This Row],[Product]],Brandstofverbuiken[#All],5,FALSE),0)</f>
        <v>14.285714285714285</v>
      </c>
      <c r="Y23" s="352"/>
      <c r="Z23" s="353"/>
      <c r="AA23" s="364">
        <f>_xlfn.IFNA(VLOOKUP(Invoer_Referentie[[#This Row],[Product]],Brandstofverbuiken[#All],7,FALSE),0)</f>
        <v>15.933147632311979</v>
      </c>
      <c r="AB23" s="390">
        <f>_xlfn.IFNA(VLOOKUP(Invoer_Referentie[[#This Row],[Product]],Brandstofverbuiken[#All],8,FALSE),0)</f>
        <v>14.285714285714285</v>
      </c>
      <c r="AC23" s="350"/>
      <c r="AD23" s="352"/>
      <c r="AE23" s="353"/>
      <c r="AF23" s="345"/>
    </row>
    <row r="24" spans="2:32" ht="15">
      <c r="B24" s="344" t="s">
        <v>255</v>
      </c>
      <c r="C24" s="345" t="s">
        <v>45</v>
      </c>
      <c r="D24" s="346"/>
      <c r="E24" s="347" t="s">
        <v>246</v>
      </c>
      <c r="F24" s="1" t="s">
        <v>254</v>
      </c>
      <c r="G24" s="348">
        <f>_xlfn.IFNA(VLOOKUP(Invoer_Referentie[[#This Row],[Product]],Database_Productkaarten[[Product]:[Comment]],64,FALSE),0)</f>
        <v>3</v>
      </c>
      <c r="H24" s="349" t="str">
        <f>_xlfn.IFNA(VLOOKUP(Invoer_Referentie[[#This Row],[Product]],Database_Productkaarten[[Product]:[Producttype]],3,FALSE),0)</f>
        <v>Betonnen riolering</v>
      </c>
      <c r="I24" s="354">
        <v>190</v>
      </c>
      <c r="J24" s="348" t="str">
        <f>_xlfn.IFNA(VLOOKUP(Invoer_Referentie[[#This Row],[Product]],Database_Productkaarten[[Product]:[Eenheid]],4,FALSE),0)</f>
        <v>m1</v>
      </c>
      <c r="K24" s="348"/>
      <c r="L24" s="348"/>
      <c r="M24" s="345"/>
      <c r="N24" s="351">
        <f>Invoer_Referentie[[#This Row],[Lengte'[m']]]*Invoer_Referentie[[#This Row],[Breedte '[m']]]</f>
        <v>0</v>
      </c>
      <c r="O24" s="345">
        <f>IFERROR(IF(Invoer_Referentie[[#This Row],[Oppervlakte '[m2']]]*Invoer_Referentie[[#This Row],[Dikte '[m']]]=0,Invoer_Referentie[[#This Row],[Gewicht '[ton']]]/Invoer_Referentie[[#This Row],[Soortelijk gewicht '[ton / m3']]],Invoer_Referentie[[#This Row],[Oppervlakte '[m2']]]*Invoer_Referentie[[#This Row],[Dikte '[m']]]),0)</f>
        <v>25.966666666666665</v>
      </c>
      <c r="P24" s="345">
        <f>_xlfn.IFNA(VLOOKUP(Invoer_Referentie[[#This Row],[Product]],Database_Productkaarten[[Product]:[Soortelijk Gewicht '[ton / m3']]],11,FALSE),0)</f>
        <v>2.4</v>
      </c>
      <c r="Q24" s="350">
        <f>_xlfn.IFNA(VLOOKUP(Invoer_Referentie[[#This Row],[Product]],Database_Productkaarten[[Product]:[Gewicht '[ton'] / Eenheid]],12,FALSE)*Invoer_Referentie[[#This Row],[Aantal Eenheden]],0)</f>
        <v>62.319999999999993</v>
      </c>
      <c r="R24" s="350">
        <f>MAX(IFERROR($E$2/IF(Invoer_Referentie[[#This Row],[Productgroep]]="Categorie_1_LCA_Producten",VLOOKUP(Invoer_Referentie[[#This Row],[Product]],Categorie_1_Producten[#All],7,FALSE),VLOOKUP(Invoer_Referentie[[#This Row],[Product]]&amp;", "&amp;"Totaal",Database_Productkaarten[#All],15,FALSE))-1,0),0)</f>
        <v>0</v>
      </c>
      <c r="S24" s="350">
        <v>50</v>
      </c>
      <c r="T24" s="352" t="s">
        <v>224</v>
      </c>
      <c r="U24" s="352"/>
      <c r="V24" s="353" t="s">
        <v>223</v>
      </c>
      <c r="W24" s="390">
        <f>_xlfn.IFNA(VLOOKUP(Invoer_Referentie[[#This Row],[Product]],Brandstofverbuiken[#All],4,FALSE),0)</f>
        <v>29.108635097493039</v>
      </c>
      <c r="X24" s="390">
        <f>_xlfn.IFNA(VLOOKUP(Invoer_Referentie[[#This Row],[Product]],Brandstofverbuiken[#All],5,FALSE),0)</f>
        <v>14.285714285714285</v>
      </c>
      <c r="Y24" s="352"/>
      <c r="Z24" s="353"/>
      <c r="AA24" s="364">
        <f>_xlfn.IFNA(VLOOKUP(Invoer_Referentie[[#This Row],[Product]],Brandstofverbuiken[#All],7,FALSE),0)</f>
        <v>15.933147632311979</v>
      </c>
      <c r="AB24" s="390">
        <f>_xlfn.IFNA(VLOOKUP(Invoer_Referentie[[#This Row],[Product]],Brandstofverbuiken[#All],8,FALSE),0)</f>
        <v>14.285714285714285</v>
      </c>
      <c r="AC24" s="350"/>
      <c r="AD24" s="352"/>
      <c r="AE24" s="353"/>
      <c r="AF24" s="345"/>
    </row>
    <row r="25" spans="2:32" ht="15">
      <c r="B25" s="344" t="s">
        <v>256</v>
      </c>
      <c r="C25" s="345" t="s">
        <v>45</v>
      </c>
      <c r="D25" s="346"/>
      <c r="E25" s="347" t="s">
        <v>246</v>
      </c>
      <c r="F25" s="1" t="s">
        <v>257</v>
      </c>
      <c r="G25" s="348">
        <f>_xlfn.IFNA(VLOOKUP(Invoer_Referentie[[#This Row],[Product]],Database_Productkaarten[[Product]:[Comment]],64,FALSE),0)</f>
        <v>3</v>
      </c>
      <c r="H25" s="349" t="str">
        <f>_xlfn.IFNA(VLOOKUP(Invoer_Referentie[[#This Row],[Product]],Database_Productkaarten[[Product]:[Producttype]],3,FALSE),0)</f>
        <v>Betonnen riolering</v>
      </c>
      <c r="I25" s="354">
        <v>905</v>
      </c>
      <c r="J25" s="348" t="str">
        <f>_xlfn.IFNA(VLOOKUP(Invoer_Referentie[[#This Row],[Product]],Database_Productkaarten[[Product]:[Eenheid]],4,FALSE),0)</f>
        <v>m1</v>
      </c>
      <c r="K25" s="348"/>
      <c r="L25" s="348"/>
      <c r="M25" s="345"/>
      <c r="N25" s="351">
        <f>Invoer_Referentie[[#This Row],[Lengte'[m']]]*Invoer_Referentie[[#This Row],[Breedte '[m']]]</f>
        <v>0</v>
      </c>
      <c r="O25" s="345">
        <f>IFERROR(IF(Invoer_Referentie[[#This Row],[Oppervlakte '[m2']]]*Invoer_Referentie[[#This Row],[Dikte '[m']]]=0,Invoer_Referentie[[#This Row],[Gewicht '[ton']]]/Invoer_Referentie[[#This Row],[Soortelijk gewicht '[ton / m3']]],Invoer_Referentie[[#This Row],[Oppervlakte '[m2']]]*Invoer_Referentie[[#This Row],[Dikte '[m']]]),0)</f>
        <v>250.38333333333333</v>
      </c>
      <c r="P25" s="345">
        <f>_xlfn.IFNA(VLOOKUP(Invoer_Referentie[[#This Row],[Product]],Database_Productkaarten[[Product]:[Soortelijk Gewicht '[ton / m3']]],11,FALSE),0)</f>
        <v>2.4</v>
      </c>
      <c r="Q25" s="350">
        <f>_xlfn.IFNA(VLOOKUP(Invoer_Referentie[[#This Row],[Product]],Database_Productkaarten[[Product]:[Gewicht '[ton'] / Eenheid]],12,FALSE)*Invoer_Referentie[[#This Row],[Aantal Eenheden]],0)</f>
        <v>600.91999999999996</v>
      </c>
      <c r="R25" s="350">
        <f>MAX(IFERROR($E$2/IF(Invoer_Referentie[[#This Row],[Productgroep]]="Categorie_1_LCA_Producten",VLOOKUP(Invoer_Referentie[[#This Row],[Product]],Categorie_1_Producten[#All],7,FALSE),VLOOKUP(Invoer_Referentie[[#This Row],[Product]]&amp;", "&amp;"Totaal",Database_Productkaarten[#All],15,FALSE))-1,0),0)</f>
        <v>0</v>
      </c>
      <c r="S25" s="350">
        <v>50</v>
      </c>
      <c r="T25" s="352" t="s">
        <v>224</v>
      </c>
      <c r="U25" s="352"/>
      <c r="V25" s="353" t="s">
        <v>223</v>
      </c>
      <c r="W25" s="390">
        <f>_xlfn.IFNA(VLOOKUP(Invoer_Referentie[[#This Row],[Product]],Brandstofverbuiken[#All],4,FALSE),0)</f>
        <v>29.108635097493039</v>
      </c>
      <c r="X25" s="390">
        <f>_xlfn.IFNA(VLOOKUP(Invoer_Referentie[[#This Row],[Product]],Brandstofverbuiken[#All],5,FALSE),0)</f>
        <v>9.0909090909090917</v>
      </c>
      <c r="Y25" s="352"/>
      <c r="Z25" s="353"/>
      <c r="AA25" s="364">
        <f>_xlfn.IFNA(VLOOKUP(Invoer_Referentie[[#This Row],[Product]],Brandstofverbuiken[#All],7,FALSE),0)</f>
        <v>15.933147632311979</v>
      </c>
      <c r="AB25" s="390">
        <f>_xlfn.IFNA(VLOOKUP(Invoer_Referentie[[#This Row],[Product]],Brandstofverbuiken[#All],8,FALSE),0)</f>
        <v>9.0909090909090917</v>
      </c>
      <c r="AC25" s="350"/>
      <c r="AD25" s="352"/>
      <c r="AE25" s="353"/>
      <c r="AF25" s="345"/>
    </row>
    <row r="26" spans="2:32" ht="15">
      <c r="B26" s="344" t="s">
        <v>258</v>
      </c>
      <c r="C26" s="345" t="s">
        <v>45</v>
      </c>
      <c r="D26" s="346"/>
      <c r="E26" s="347" t="s">
        <v>246</v>
      </c>
      <c r="F26" s="1" t="s">
        <v>247</v>
      </c>
      <c r="G26" s="348">
        <f>_xlfn.IFNA(VLOOKUP(Invoer_Referentie[[#This Row],[Product]],Database_Productkaarten[[Product]:[Comment]],64,FALSE),0)</f>
        <v>3</v>
      </c>
      <c r="H26" s="349" t="str">
        <f>_xlfn.IFNA(VLOOKUP(Invoer_Referentie[[#This Row],[Product]],Database_Productkaarten[[Product]:[Producttype]],3,FALSE),0)</f>
        <v>Kolk</v>
      </c>
      <c r="I26" s="354">
        <v>202</v>
      </c>
      <c r="J26" s="348" t="str">
        <f>_xlfn.IFNA(VLOOKUP(Invoer_Referentie[[#This Row],[Product]],Database_Productkaarten[[Product]:[Eenheid]],4,FALSE),0)</f>
        <v>stuk</v>
      </c>
      <c r="K26" s="348"/>
      <c r="L26" s="348"/>
      <c r="M26" s="345"/>
      <c r="N26" s="351">
        <f>Invoer_Referentie[[#This Row],[Lengte'[m']]]*Invoer_Referentie[[#This Row],[Breedte '[m']]]</f>
        <v>0</v>
      </c>
      <c r="O26" s="345">
        <f>IFERROR(IF(Invoer_Referentie[[#This Row],[Oppervlakte '[m2']]]*Invoer_Referentie[[#This Row],[Dikte '[m']]]=0,Invoer_Referentie[[#This Row],[Gewicht '[ton']]]/Invoer_Referentie[[#This Row],[Soortelijk gewicht '[ton / m3']]],Invoer_Referentie[[#This Row],[Oppervlakte '[m2']]]*Invoer_Referentie[[#This Row],[Dikte '[m']]]),0)</f>
        <v>0</v>
      </c>
      <c r="P26" s="345" t="str">
        <f>_xlfn.IFNA(VLOOKUP(Invoer_Referentie[[#This Row],[Product]],Database_Productkaarten[[Product]:[Soortelijk Gewicht '[ton / m3']]],11,FALSE),0)</f>
        <v>NVT</v>
      </c>
      <c r="Q26" s="350">
        <f>_xlfn.IFNA(VLOOKUP(Invoer_Referentie[[#This Row],[Product]],Database_Productkaarten[[Product]:[Gewicht '[ton'] / Eenheid]],12,FALSE)*Invoer_Referentie[[#This Row],[Aantal Eenheden]],0)</f>
        <v>40.973680000000002</v>
      </c>
      <c r="R26" s="350">
        <f>MAX(IFERROR($E$2/IF(Invoer_Referentie[[#This Row],[Productgroep]]="Categorie_1_LCA_Producten",VLOOKUP(Invoer_Referentie[[#This Row],[Product]],Categorie_1_Producten[#All],7,FALSE),VLOOKUP(Invoer_Referentie[[#This Row],[Product]]&amp;", "&amp;"Totaal",Database_Productkaarten[#All],15,FALSE))-1,0),0)</f>
        <v>0</v>
      </c>
      <c r="S26" s="350">
        <v>50</v>
      </c>
      <c r="T26" s="352" t="s">
        <v>224</v>
      </c>
      <c r="U26" s="352"/>
      <c r="V26" s="353" t="s">
        <v>223</v>
      </c>
      <c r="W26" s="390">
        <f>_xlfn.IFNA(VLOOKUP(Invoer_Referentie[[#This Row],[Product]],Brandstofverbuiken[#All],4,FALSE),0)</f>
        <v>15.933147632311979</v>
      </c>
      <c r="X26" s="390">
        <f>_xlfn.IFNA(VLOOKUP(Invoer_Referentie[[#This Row],[Product]],Brandstofverbuiken[#All],5,FALSE),0)</f>
        <v>2</v>
      </c>
      <c r="Y26" s="352"/>
      <c r="Z26" s="353"/>
      <c r="AA26" s="364">
        <f>_xlfn.IFNA(VLOOKUP(Invoer_Referentie[[#This Row],[Product]],Brandstofverbuiken[#All],7,FALSE),0)</f>
        <v>15.933147632311979</v>
      </c>
      <c r="AB26" s="390">
        <f>_xlfn.IFNA(VLOOKUP(Invoer_Referentie[[#This Row],[Product]],Brandstofverbuiken[#All],8,FALSE),0)</f>
        <v>2</v>
      </c>
      <c r="AC26" s="350"/>
      <c r="AD26" s="352"/>
      <c r="AE26" s="353"/>
      <c r="AF26" s="345"/>
    </row>
    <row r="27" spans="2:32" ht="15">
      <c r="B27" s="344" t="s">
        <v>259</v>
      </c>
      <c r="C27" s="345" t="s">
        <v>45</v>
      </c>
      <c r="D27" s="346"/>
      <c r="E27" s="347" t="s">
        <v>48</v>
      </c>
      <c r="F27" s="1" t="s">
        <v>260</v>
      </c>
      <c r="G27" s="348">
        <f>_xlfn.IFNA(VLOOKUP(Invoer_Referentie[[#This Row],[Product]],Database_Productkaarten[[Product]:[Comment]],64,FALSE),0)</f>
        <v>3</v>
      </c>
      <c r="H27" s="349" t="str">
        <f>_xlfn.IFNA(VLOOKUP(Invoer_Referentie[[#This Row],[Product]],Database_Productkaarten[[Product]:[Producttype]],3,FALSE),0)</f>
        <v>Menggranulaat</v>
      </c>
      <c r="I27" s="354">
        <f>6100/0.25</f>
        <v>24400</v>
      </c>
      <c r="J27" s="348" t="str">
        <f>_xlfn.IFNA(VLOOKUP(Invoer_Referentie[[#This Row],[Product]],Database_Productkaarten[[Product]:[Eenheid]],4,FALSE),0)</f>
        <v>m2</v>
      </c>
      <c r="K27" s="348"/>
      <c r="L27" s="348"/>
      <c r="M27" s="345"/>
      <c r="N27" s="351">
        <f>Invoer_Referentie[[#This Row],[Lengte'[m']]]*Invoer_Referentie[[#This Row],[Breedte '[m']]]</f>
        <v>0</v>
      </c>
      <c r="O27" s="345">
        <f>IFERROR(IF(Invoer_Referentie[[#This Row],[Oppervlakte '[m2']]]*Invoer_Referentie[[#This Row],[Dikte '[m']]]=0,Invoer_Referentie[[#This Row],[Gewicht '[ton']]]/Invoer_Referentie[[#This Row],[Soortelijk gewicht '[ton / m3']]],Invoer_Referentie[[#This Row],[Oppervlakte '[m2']]]*Invoer_Referentie[[#This Row],[Dikte '[m']]]),0)</f>
        <v>6100</v>
      </c>
      <c r="P27" s="345">
        <f>_xlfn.IFNA(VLOOKUP(Invoer_Referentie[[#This Row],[Product]],Database_Productkaarten[[Product]:[Soortelijk Gewicht '[ton / m3']]],11,FALSE),0)</f>
        <v>1.95</v>
      </c>
      <c r="Q27" s="350">
        <f>_xlfn.IFNA(VLOOKUP(Invoer_Referentie[[#This Row],[Product]],Database_Productkaarten[[Product]:[Gewicht '[ton'] / Eenheid]],12,FALSE)*Invoer_Referentie[[#This Row],[Aantal Eenheden]],0)</f>
        <v>11895</v>
      </c>
      <c r="R27" s="350">
        <f>MAX(IFERROR($E$2/IF(Invoer_Referentie[[#This Row],[Productgroep]]="Categorie_1_LCA_Producten",VLOOKUP(Invoer_Referentie[[#This Row],[Product]],Categorie_1_Producten[#All],7,FALSE),VLOOKUP(Invoer_Referentie[[#This Row],[Product]]&amp;", "&amp;"Totaal",Database_Productkaarten[#All],15,FALSE))-1,0),0)</f>
        <v>0</v>
      </c>
      <c r="S27" s="350">
        <v>20</v>
      </c>
      <c r="T27" s="352" t="s">
        <v>224</v>
      </c>
      <c r="U27" s="352"/>
      <c r="V27" s="353" t="s">
        <v>223</v>
      </c>
      <c r="W27" s="390">
        <f>_xlfn.IFNA(VLOOKUP(Invoer_Referentie[[#This Row],[Product]],Brandstofverbuiken[#All],4,FALSE),0)</f>
        <v>19.5</v>
      </c>
      <c r="X27" s="390">
        <f>_xlfn.IFNA(VLOOKUP(Invoer_Referentie[[#This Row],[Product]],Brandstofverbuiken[#All],5,FALSE),0)</f>
        <v>50</v>
      </c>
      <c r="Y27" s="352"/>
      <c r="Z27" s="353"/>
      <c r="AA27" s="364">
        <f>_xlfn.IFNA(VLOOKUP(Invoer_Referentie[[#This Row],[Product]],Brandstofverbuiken[#All],7,FALSE),0)</f>
        <v>19.5</v>
      </c>
      <c r="AB27" s="390">
        <f>_xlfn.IFNA(VLOOKUP(Invoer_Referentie[[#This Row],[Product]],Brandstofverbuiken[#All],8,FALSE),0)</f>
        <v>100</v>
      </c>
      <c r="AC27" s="350"/>
      <c r="AD27" s="352"/>
      <c r="AE27" s="353"/>
      <c r="AF27" s="345"/>
    </row>
    <row r="28" spans="2:32" ht="15">
      <c r="B28" s="344" t="s">
        <v>261</v>
      </c>
      <c r="C28" s="345" t="s">
        <v>45</v>
      </c>
      <c r="D28" s="346"/>
      <c r="E28" s="347" t="s">
        <v>55</v>
      </c>
      <c r="F28" s="1" t="s">
        <v>262</v>
      </c>
      <c r="G28" s="348">
        <f>_xlfn.IFNA(VLOOKUP(Invoer_Referentie[[#This Row],[Product]],Database_Productkaarten[[Product]:[Comment]],64,FALSE),0)</f>
        <v>3</v>
      </c>
      <c r="H28" s="349" t="str">
        <f>_xlfn.IFNA(VLOOKUP(Invoer_Referentie[[#This Row],[Product]],Database_Productkaarten[[Product]:[Producttype]],3,FALSE),0)</f>
        <v>Trottoirband</v>
      </c>
      <c r="I28" s="354">
        <v>85</v>
      </c>
      <c r="J28" s="348" t="str">
        <f>_xlfn.IFNA(VLOOKUP(Invoer_Referentie[[#This Row],[Product]],Database_Productkaarten[[Product]:[Eenheid]],4,FALSE),0)</f>
        <v>m1</v>
      </c>
      <c r="K28" s="348"/>
      <c r="L28" s="348"/>
      <c r="M28" s="345"/>
      <c r="N28" s="351">
        <f>Invoer_Referentie[[#This Row],[Lengte'[m']]]*Invoer_Referentie[[#This Row],[Breedte '[m']]]</f>
        <v>0</v>
      </c>
      <c r="O28" s="345">
        <f>IFERROR(IF(Invoer_Referentie[[#This Row],[Oppervlakte '[m2']]]*Invoer_Referentie[[#This Row],[Dikte '[m']]]=0,Invoer_Referentie[[#This Row],[Gewicht '[ton']]]/Invoer_Referentie[[#This Row],[Soortelijk gewicht '[ton / m3']]],Invoer_Referentie[[#This Row],[Oppervlakte '[m2']]]*Invoer_Referentie[[#This Row],[Dikte '[m']]]),0)</f>
        <v>4.9760416666666671</v>
      </c>
      <c r="P28" s="345">
        <f>_xlfn.IFNA(VLOOKUP(Invoer_Referentie[[#This Row],[Product]],Database_Productkaarten[[Product]:[Soortelijk Gewicht '[ton / m3']]],11,FALSE),0)</f>
        <v>2.4</v>
      </c>
      <c r="Q28" s="350">
        <f>_xlfn.IFNA(VLOOKUP(Invoer_Referentie[[#This Row],[Product]],Database_Productkaarten[[Product]:[Gewicht '[ton'] / Eenheid]],12,FALSE)*Invoer_Referentie[[#This Row],[Aantal Eenheden]],0)</f>
        <v>11.942500000000001</v>
      </c>
      <c r="R28" s="350">
        <f>MAX(IFERROR($E$2/IF(Invoer_Referentie[[#This Row],[Productgroep]]="Categorie_1_LCA_Producten",VLOOKUP(Invoer_Referentie[[#This Row],[Product]],Categorie_1_Producten[#All],7,FALSE),VLOOKUP(Invoer_Referentie[[#This Row],[Product]]&amp;", "&amp;"Totaal",Database_Productkaarten[#All],15,FALSE))-1,0),0)</f>
        <v>0</v>
      </c>
      <c r="S28" s="350">
        <v>35.5</v>
      </c>
      <c r="T28" s="352" t="s">
        <v>224</v>
      </c>
      <c r="U28" s="352"/>
      <c r="V28" s="353" t="s">
        <v>223</v>
      </c>
      <c r="W28" s="390">
        <f>_xlfn.IFNA(VLOOKUP(Invoer_Referentie[[#This Row],[Product]],Brandstofverbuiken[#All],4,FALSE),0)</f>
        <v>13.175487465181059</v>
      </c>
      <c r="X28" s="390">
        <f>_xlfn.IFNA(VLOOKUP(Invoer_Referentie[[#This Row],[Product]],Brandstofverbuiken[#All],5,FALSE),0)</f>
        <v>16</v>
      </c>
      <c r="Y28" s="352"/>
      <c r="Z28" s="353"/>
      <c r="AA28" s="364">
        <f>_xlfn.IFNA(VLOOKUP(Invoer_Referentie[[#This Row],[Product]],Brandstofverbuiken[#All],7,FALSE),0)</f>
        <v>15.933147632311979</v>
      </c>
      <c r="AB28" s="390">
        <f>_xlfn.IFNA(VLOOKUP(Invoer_Referentie[[#This Row],[Product]],Brandstofverbuiken[#All],8,FALSE),0)</f>
        <v>50</v>
      </c>
      <c r="AC28" s="350"/>
      <c r="AD28" s="352"/>
      <c r="AE28" s="353"/>
      <c r="AF28" s="345"/>
    </row>
    <row r="29" spans="2:32" ht="15">
      <c r="B29" s="344" t="s">
        <v>263</v>
      </c>
      <c r="C29" s="345" t="s">
        <v>45</v>
      </c>
      <c r="D29" s="346"/>
      <c r="E29" s="347" t="s">
        <v>55</v>
      </c>
      <c r="F29" s="1" t="s">
        <v>222</v>
      </c>
      <c r="G29" s="348">
        <f>_xlfn.IFNA(VLOOKUP(Invoer_Referentie[[#This Row],[Product]],Database_Productkaarten[[Product]:[Comment]],64,FALSE),0)</f>
        <v>3</v>
      </c>
      <c r="H29" s="349" t="str">
        <f>_xlfn.IFNA(VLOOKUP(Invoer_Referentie[[#This Row],[Product]],Database_Productkaarten[[Product]:[Producttype]],3,FALSE),0)</f>
        <v>Trottoirband</v>
      </c>
      <c r="I29" s="354">
        <v>230</v>
      </c>
      <c r="J29" s="348" t="str">
        <f>_xlfn.IFNA(VLOOKUP(Invoer_Referentie[[#This Row],[Product]],Database_Productkaarten[[Product]:[Eenheid]],4,FALSE),0)</f>
        <v>m1</v>
      </c>
      <c r="K29" s="348"/>
      <c r="L29" s="348"/>
      <c r="M29" s="345"/>
      <c r="N29" s="351">
        <f>Invoer_Referentie[[#This Row],[Lengte'[m']]]*Invoer_Referentie[[#This Row],[Breedte '[m']]]</f>
        <v>0</v>
      </c>
      <c r="O29" s="345">
        <f>IFERROR(IF(Invoer_Referentie[[#This Row],[Oppervlakte '[m2']]]*Invoer_Referentie[[#This Row],[Dikte '[m']]]=0,Invoer_Referentie[[#This Row],[Gewicht '[ton']]]/Invoer_Referentie[[#This Row],[Soortelijk gewicht '[ton / m3']]],Invoer_Referentie[[#This Row],[Oppervlakte '[m2']]]*Invoer_Referentie[[#This Row],[Dikte '[m']]]),0)</f>
        <v>8.0787499999999994</v>
      </c>
      <c r="P29" s="345">
        <f>_xlfn.IFNA(VLOOKUP(Invoer_Referentie[[#This Row],[Product]],Database_Productkaarten[[Product]:[Soortelijk Gewicht '[ton / m3']]],11,FALSE),0)</f>
        <v>2.4</v>
      </c>
      <c r="Q29" s="350">
        <f>_xlfn.IFNA(VLOOKUP(Invoer_Referentie[[#This Row],[Product]],Database_Productkaarten[[Product]:[Gewicht '[ton'] / Eenheid]],12,FALSE)*Invoer_Referentie[[#This Row],[Aantal Eenheden]],0)</f>
        <v>19.388999999999999</v>
      </c>
      <c r="R29" s="350">
        <f>MAX(IFERROR($E$2/IF(Invoer_Referentie[[#This Row],[Productgroep]]="Categorie_1_LCA_Producten",VLOOKUP(Invoer_Referentie[[#This Row],[Product]],Categorie_1_Producten[#All],7,FALSE),VLOOKUP(Invoer_Referentie[[#This Row],[Product]]&amp;", "&amp;"Totaal",Database_Productkaarten[#All],15,FALSE))-1,0),0)</f>
        <v>0</v>
      </c>
      <c r="S29" s="350">
        <v>35.5</v>
      </c>
      <c r="T29" s="352" t="s">
        <v>224</v>
      </c>
      <c r="U29" s="352"/>
      <c r="V29" s="353" t="s">
        <v>223</v>
      </c>
      <c r="W29" s="390">
        <f>_xlfn.IFNA(VLOOKUP(Invoer_Referentie[[#This Row],[Product]],Brandstofverbuiken[#All],4,FALSE),0)</f>
        <v>13.175487465181059</v>
      </c>
      <c r="X29" s="390">
        <f>_xlfn.IFNA(VLOOKUP(Invoer_Referentie[[#This Row],[Product]],Brandstofverbuiken[#All],5,FALSE),0)</f>
        <v>16</v>
      </c>
      <c r="Y29" s="352"/>
      <c r="Z29" s="353"/>
      <c r="AA29" s="364">
        <f>_xlfn.IFNA(VLOOKUP(Invoer_Referentie[[#This Row],[Product]],Brandstofverbuiken[#All],7,FALSE),0)</f>
        <v>15.933147632311979</v>
      </c>
      <c r="AB29" s="390">
        <f>_xlfn.IFNA(VLOOKUP(Invoer_Referentie[[#This Row],[Product]],Brandstofverbuiken[#All],8,FALSE),0)</f>
        <v>50</v>
      </c>
      <c r="AC29" s="350"/>
      <c r="AD29" s="352"/>
      <c r="AE29" s="353"/>
      <c r="AF29" s="345"/>
    </row>
    <row r="30" spans="2:32" ht="15">
      <c r="B30" s="344" t="s">
        <v>264</v>
      </c>
      <c r="C30" s="345" t="s">
        <v>45</v>
      </c>
      <c r="D30" s="346"/>
      <c r="E30" s="347" t="s">
        <v>55</v>
      </c>
      <c r="F30" s="1" t="s">
        <v>228</v>
      </c>
      <c r="G30" s="348">
        <f>_xlfn.IFNA(VLOOKUP(Invoer_Referentie[[#This Row],[Product]],Database_Productkaarten[[Product]:[Comment]],64,FALSE),0)</f>
        <v>3</v>
      </c>
      <c r="H30" s="349" t="str">
        <f>_xlfn.IFNA(VLOOKUP(Invoer_Referentie[[#This Row],[Product]],Database_Productkaarten[[Product]:[Producttype]],3,FALSE),0)</f>
        <v>Opsluitband</v>
      </c>
      <c r="I30" s="354">
        <v>1495</v>
      </c>
      <c r="J30" s="348" t="str">
        <f>_xlfn.IFNA(VLOOKUP(Invoer_Referentie[[#This Row],[Product]],Database_Productkaarten[[Product]:[Eenheid]],4,FALSE),0)</f>
        <v>m1</v>
      </c>
      <c r="K30" s="348"/>
      <c r="L30" s="348"/>
      <c r="M30" s="345"/>
      <c r="N30" s="351">
        <f>Invoer_Referentie[[#This Row],[Lengte'[m']]]*Invoer_Referentie[[#This Row],[Breedte '[m']]]</f>
        <v>0</v>
      </c>
      <c r="O30" s="345">
        <f>IFERROR(IF(Invoer_Referentie[[#This Row],[Oppervlakte '[m2']]]*Invoer_Referentie[[#This Row],[Dikte '[m']]]=0,Invoer_Referentie[[#This Row],[Gewicht '[ton']]]/Invoer_Referentie[[#This Row],[Soortelijk gewicht '[ton / m3']]],Invoer_Referentie[[#This Row],[Oppervlakte '[m2']]]*Invoer_Referentie[[#This Row],[Dikte '[m']]]),0)</f>
        <v>28.342708333333331</v>
      </c>
      <c r="P30" s="345">
        <f>_xlfn.IFNA(VLOOKUP(Invoer_Referentie[[#This Row],[Product]],Database_Productkaarten[[Product]:[Soortelijk Gewicht '[ton / m3']]],11,FALSE),0)</f>
        <v>2.4</v>
      </c>
      <c r="Q30" s="350">
        <f>_xlfn.IFNA(VLOOKUP(Invoer_Referentie[[#This Row],[Product]],Database_Productkaarten[[Product]:[Gewicht '[ton'] / Eenheid]],12,FALSE)*Invoer_Referentie[[#This Row],[Aantal Eenheden]],0)</f>
        <v>68.022499999999994</v>
      </c>
      <c r="R30" s="350">
        <f>MAX(IFERROR($E$2/IF(Invoer_Referentie[[#This Row],[Productgroep]]="Categorie_1_LCA_Producten",VLOOKUP(Invoer_Referentie[[#This Row],[Product]],Categorie_1_Producten[#All],7,FALSE),VLOOKUP(Invoer_Referentie[[#This Row],[Product]]&amp;", "&amp;"Totaal",Database_Productkaarten[#All],15,FALSE))-1,0),0)</f>
        <v>0</v>
      </c>
      <c r="S30" s="350">
        <v>35.5</v>
      </c>
      <c r="T30" s="352" t="s">
        <v>224</v>
      </c>
      <c r="U30" s="352"/>
      <c r="V30" s="353" t="s">
        <v>223</v>
      </c>
      <c r="W30" s="390">
        <f>_xlfn.IFNA(VLOOKUP(Invoer_Referentie[[#This Row],[Product]],Brandstofverbuiken[#All],4,FALSE),0)</f>
        <v>13.175487465181059</v>
      </c>
      <c r="X30" s="390">
        <f>_xlfn.IFNA(VLOOKUP(Invoer_Referentie[[#This Row],[Product]],Brandstofverbuiken[#All],5,FALSE),0)</f>
        <v>18</v>
      </c>
      <c r="Y30" s="352"/>
      <c r="Z30" s="353"/>
      <c r="AA30" s="364">
        <f>_xlfn.IFNA(VLOOKUP(Invoer_Referentie[[#This Row],[Product]],Brandstofverbuiken[#All],7,FALSE),0)</f>
        <v>15.933147632311979</v>
      </c>
      <c r="AB30" s="390">
        <f>_xlfn.IFNA(VLOOKUP(Invoer_Referentie[[#This Row],[Product]],Brandstofverbuiken[#All],8,FALSE),0)</f>
        <v>50</v>
      </c>
      <c r="AC30" s="350"/>
      <c r="AD30" s="352"/>
      <c r="AE30" s="353"/>
      <c r="AF30" s="345"/>
    </row>
    <row r="31" spans="2:32" ht="15">
      <c r="B31" s="344" t="s">
        <v>265</v>
      </c>
      <c r="C31" s="345" t="s">
        <v>45</v>
      </c>
      <c r="D31" s="346"/>
      <c r="E31" s="347" t="s">
        <v>55</v>
      </c>
      <c r="F31" s="1" t="s">
        <v>266</v>
      </c>
      <c r="G31" s="348">
        <f>_xlfn.IFNA(VLOOKUP(Invoer_Referentie[[#This Row],[Product]],Database_Productkaarten[[Product]:[Comment]],64,FALSE),0)</f>
        <v>3</v>
      </c>
      <c r="H31" s="349" t="str">
        <f>_xlfn.IFNA(VLOOKUP(Invoer_Referentie[[#This Row],[Product]],Database_Productkaarten[[Product]:[Producttype]],3,FALSE),0)</f>
        <v>Opsluitband</v>
      </c>
      <c r="I31" s="354">
        <v>1400</v>
      </c>
      <c r="J31" s="348" t="str">
        <f>_xlfn.IFNA(VLOOKUP(Invoer_Referentie[[#This Row],[Product]],Database_Productkaarten[[Product]:[Eenheid]],4,FALSE),0)</f>
        <v>m1</v>
      </c>
      <c r="K31" s="348"/>
      <c r="L31" s="348"/>
      <c r="M31" s="345"/>
      <c r="N31" s="351">
        <f>Invoer_Referentie[[#This Row],[Lengte'[m']]]*Invoer_Referentie[[#This Row],[Breedte '[m']]]</f>
        <v>0</v>
      </c>
      <c r="O31" s="345">
        <f>IFERROR(IF(Invoer_Referentie[[#This Row],[Oppervlakte '[m2']]]*Invoer_Referentie[[#This Row],[Dikte '[m']]]=0,Invoer_Referentie[[#This Row],[Gewicht '[ton']]]/Invoer_Referentie[[#This Row],[Soortelijk gewicht '[ton / m3']]],Invoer_Referentie[[#This Row],[Oppervlakte '[m2']]]*Invoer_Referentie[[#This Row],[Dikte '[m']]]),0)</f>
        <v>49.765625000000007</v>
      </c>
      <c r="P31" s="345">
        <f>_xlfn.IFNA(VLOOKUP(Invoer_Referentie[[#This Row],[Product]],Database_Productkaarten[[Product]:[Soortelijk Gewicht '[ton / m3']]],11,FALSE),0)</f>
        <v>2.4</v>
      </c>
      <c r="Q31" s="350">
        <f>_xlfn.IFNA(VLOOKUP(Invoer_Referentie[[#This Row],[Product]],Database_Productkaarten[[Product]:[Gewicht '[ton'] / Eenheid]],12,FALSE)*Invoer_Referentie[[#This Row],[Aantal Eenheden]],0)</f>
        <v>119.43750000000001</v>
      </c>
      <c r="R31" s="350">
        <f>MAX(IFERROR($E$2/IF(Invoer_Referentie[[#This Row],[Productgroep]]="Categorie_1_LCA_Producten",VLOOKUP(Invoer_Referentie[[#This Row],[Product]],Categorie_1_Producten[#All],7,FALSE),VLOOKUP(Invoer_Referentie[[#This Row],[Product]]&amp;", "&amp;"Totaal",Database_Productkaarten[#All],15,FALSE))-1,0),0)</f>
        <v>0</v>
      </c>
      <c r="S31" s="350">
        <v>35.5</v>
      </c>
      <c r="T31" s="352" t="s">
        <v>224</v>
      </c>
      <c r="U31" s="352"/>
      <c r="V31" s="353" t="s">
        <v>223</v>
      </c>
      <c r="W31" s="390">
        <f>_xlfn.IFNA(VLOOKUP(Invoer_Referentie[[#This Row],[Product]],Brandstofverbuiken[#All],4,FALSE),0)</f>
        <v>13.175487465181059</v>
      </c>
      <c r="X31" s="390">
        <f>_xlfn.IFNA(VLOOKUP(Invoer_Referentie[[#This Row],[Product]],Brandstofverbuiken[#All],5,FALSE),0)</f>
        <v>16</v>
      </c>
      <c r="Y31" s="352"/>
      <c r="Z31" s="353"/>
      <c r="AA31" s="364">
        <f>_xlfn.IFNA(VLOOKUP(Invoer_Referentie[[#This Row],[Product]],Brandstofverbuiken[#All],7,FALSE),0)</f>
        <v>15.933147632311979</v>
      </c>
      <c r="AB31" s="390">
        <f>_xlfn.IFNA(VLOOKUP(Invoer_Referentie[[#This Row],[Product]],Brandstofverbuiken[#All],8,FALSE),0)</f>
        <v>50</v>
      </c>
      <c r="AC31" s="350"/>
      <c r="AD31" s="352"/>
      <c r="AE31" s="353"/>
      <c r="AF31" s="345"/>
    </row>
    <row r="32" spans="2:32" ht="15">
      <c r="B32" s="344" t="s">
        <v>267</v>
      </c>
      <c r="C32" s="345" t="s">
        <v>45</v>
      </c>
      <c r="D32" s="346"/>
      <c r="E32" s="347" t="s">
        <v>55</v>
      </c>
      <c r="F32" s="1" t="s">
        <v>268</v>
      </c>
      <c r="G32" s="348">
        <f>_xlfn.IFNA(VLOOKUP(Invoer_Referentie[[#This Row],[Product]],Database_Productkaarten[[Product]:[Comment]],64,FALSE),0)</f>
        <v>3</v>
      </c>
      <c r="H32" s="349" t="str">
        <f>_xlfn.IFNA(VLOOKUP(Invoer_Referentie[[#This Row],[Product]],Database_Productkaarten[[Product]:[Producttype]],3,FALSE),0)</f>
        <v>Gebakken klinker</v>
      </c>
      <c r="I32" s="354">
        <v>6265</v>
      </c>
      <c r="J32" s="348" t="str">
        <f>_xlfn.IFNA(VLOOKUP(Invoer_Referentie[[#This Row],[Product]],Database_Productkaarten[[Product]:[Eenheid]],4,FALSE),0)</f>
        <v>m2</v>
      </c>
      <c r="K32" s="348"/>
      <c r="L32" s="348"/>
      <c r="M32" s="345"/>
      <c r="N32" s="351">
        <f>Invoer_Referentie[[#This Row],[Lengte'[m']]]*Invoer_Referentie[[#This Row],[Breedte '[m']]]</f>
        <v>0</v>
      </c>
      <c r="O32" s="345">
        <f>IFERROR(IF(Invoer_Referentie[[#This Row],[Oppervlakte '[m2']]]*Invoer_Referentie[[#This Row],[Dikte '[m']]]=0,Invoer_Referentie[[#This Row],[Gewicht '[ton']]]/Invoer_Referentie[[#This Row],[Soortelijk gewicht '[ton / m3']]],Invoer_Referentie[[#This Row],[Oppervlakte '[m2']]]*Invoer_Referentie[[#This Row],[Dikte '[m']]]),0)</f>
        <v>313.25</v>
      </c>
      <c r="P32" s="345">
        <f>_xlfn.IFNA(VLOOKUP(Invoer_Referentie[[#This Row],[Product]],Database_Productkaarten[[Product]:[Soortelijk Gewicht '[ton / m3']]],11,FALSE),0)</f>
        <v>1.45</v>
      </c>
      <c r="Q32" s="350">
        <f>_xlfn.IFNA(VLOOKUP(Invoer_Referentie[[#This Row],[Product]],Database_Productkaarten[[Product]:[Gewicht '[ton'] / Eenheid]],12,FALSE)*Invoer_Referentie[[#This Row],[Aantal Eenheden]],0)</f>
        <v>454.21249999999998</v>
      </c>
      <c r="R32" s="350">
        <f>MAX(IFERROR($E$2/IF(Invoer_Referentie[[#This Row],[Productgroep]]="Categorie_1_LCA_Producten",VLOOKUP(Invoer_Referentie[[#This Row],[Product]],Categorie_1_Producten[#All],7,FALSE),VLOOKUP(Invoer_Referentie[[#This Row],[Product]]&amp;", "&amp;"Totaal",Database_Productkaarten[#All],15,FALSE))-1,0),0)</f>
        <v>0</v>
      </c>
      <c r="S32" s="350">
        <v>80</v>
      </c>
      <c r="T32" s="352" t="s">
        <v>224</v>
      </c>
      <c r="U32" s="352"/>
      <c r="V32" s="353" t="s">
        <v>223</v>
      </c>
      <c r="W32" s="390">
        <f>_xlfn.IFNA(VLOOKUP(Invoer_Referentie[[#This Row],[Product]],Brandstofverbuiken[#All],4,FALSE),0)</f>
        <v>19.5</v>
      </c>
      <c r="X32" s="390">
        <f>_xlfn.IFNA(VLOOKUP(Invoer_Referentie[[#This Row],[Product]],Brandstofverbuiken[#All],5,FALSE),0)</f>
        <v>12.004801920768308</v>
      </c>
      <c r="Y32" s="352"/>
      <c r="Z32" s="353"/>
      <c r="AA32" s="364">
        <f>_xlfn.IFNA(VLOOKUP(Invoer_Referentie[[#This Row],[Product]],Brandstofverbuiken[#All],7,FALSE),0)</f>
        <v>19.5</v>
      </c>
      <c r="AB32" s="390">
        <f>_xlfn.IFNA(VLOOKUP(Invoer_Referentie[[#This Row],[Product]],Brandstofverbuiken[#All],8,FALSE),0)</f>
        <v>125</v>
      </c>
      <c r="AC32" s="350"/>
      <c r="AD32" s="352"/>
      <c r="AE32" s="353"/>
      <c r="AF32" s="345"/>
    </row>
    <row r="33" spans="2:32" ht="15">
      <c r="B33" s="344" t="s">
        <v>269</v>
      </c>
      <c r="C33" s="345" t="s">
        <v>45</v>
      </c>
      <c r="D33" s="346"/>
      <c r="E33" s="347" t="s">
        <v>55</v>
      </c>
      <c r="F33" s="1" t="s">
        <v>268</v>
      </c>
      <c r="G33" s="348">
        <f>_xlfn.IFNA(VLOOKUP(Invoer_Referentie[[#This Row],[Product]],Database_Productkaarten[[Product]:[Comment]],64,FALSE),0)</f>
        <v>3</v>
      </c>
      <c r="H33" s="349" t="str">
        <f>_xlfn.IFNA(VLOOKUP(Invoer_Referentie[[#This Row],[Product]],Database_Productkaarten[[Product]:[Producttype]],3,FALSE),0)</f>
        <v>Gebakken klinker</v>
      </c>
      <c r="I33" s="354">
        <v>9275</v>
      </c>
      <c r="J33" s="348" t="str">
        <f>_xlfn.IFNA(VLOOKUP(Invoer_Referentie[[#This Row],[Product]],Database_Productkaarten[[Product]:[Eenheid]],4,FALSE),0)</f>
        <v>m2</v>
      </c>
      <c r="K33" s="348"/>
      <c r="L33" s="348"/>
      <c r="M33" s="345"/>
      <c r="N33" s="351">
        <f>Invoer_Referentie[[#This Row],[Lengte'[m']]]*Invoer_Referentie[[#This Row],[Breedte '[m']]]</f>
        <v>0</v>
      </c>
      <c r="O33" s="345">
        <f>IFERROR(IF(Invoer_Referentie[[#This Row],[Oppervlakte '[m2']]]*Invoer_Referentie[[#This Row],[Dikte '[m']]]=0,Invoer_Referentie[[#This Row],[Gewicht '[ton']]]/Invoer_Referentie[[#This Row],[Soortelijk gewicht '[ton / m3']]],Invoer_Referentie[[#This Row],[Oppervlakte '[m2']]]*Invoer_Referentie[[#This Row],[Dikte '[m']]]),0)</f>
        <v>463.75</v>
      </c>
      <c r="P33" s="345">
        <f>_xlfn.IFNA(VLOOKUP(Invoer_Referentie[[#This Row],[Product]],Database_Productkaarten[[Product]:[Soortelijk Gewicht '[ton / m3']]],11,FALSE),0)</f>
        <v>1.45</v>
      </c>
      <c r="Q33" s="350">
        <f>_xlfn.IFNA(VLOOKUP(Invoer_Referentie[[#This Row],[Product]],Database_Productkaarten[[Product]:[Gewicht '[ton'] / Eenheid]],12,FALSE)*Invoer_Referentie[[#This Row],[Aantal Eenheden]],0)</f>
        <v>672.4375</v>
      </c>
      <c r="R33" s="350">
        <f>MAX(IFERROR($E$2/IF(Invoer_Referentie[[#This Row],[Productgroep]]="Categorie_1_LCA_Producten",VLOOKUP(Invoer_Referentie[[#This Row],[Product]],Categorie_1_Producten[#All],7,FALSE),VLOOKUP(Invoer_Referentie[[#This Row],[Product]]&amp;", "&amp;"Totaal",Database_Productkaarten[#All],15,FALSE))-1,0),0)</f>
        <v>0</v>
      </c>
      <c r="S33" s="350">
        <v>80</v>
      </c>
      <c r="T33" s="352" t="s">
        <v>224</v>
      </c>
      <c r="U33" s="352"/>
      <c r="V33" s="353" t="s">
        <v>223</v>
      </c>
      <c r="W33" s="390">
        <f>_xlfn.IFNA(VLOOKUP(Invoer_Referentie[[#This Row],[Product]],Brandstofverbuiken[#All],4,FALSE),0)</f>
        <v>19.5</v>
      </c>
      <c r="X33" s="390">
        <f>_xlfn.IFNA(VLOOKUP(Invoer_Referentie[[#This Row],[Product]],Brandstofverbuiken[#All],5,FALSE),0)</f>
        <v>12.004801920768308</v>
      </c>
      <c r="Y33" s="352"/>
      <c r="Z33" s="353"/>
      <c r="AA33" s="364">
        <f>_xlfn.IFNA(VLOOKUP(Invoer_Referentie[[#This Row],[Product]],Brandstofverbuiken[#All],7,FALSE),0)</f>
        <v>19.5</v>
      </c>
      <c r="AB33" s="390">
        <f>_xlfn.IFNA(VLOOKUP(Invoer_Referentie[[#This Row],[Product]],Brandstofverbuiken[#All],8,FALSE),0)</f>
        <v>125</v>
      </c>
      <c r="AC33" s="350"/>
      <c r="AD33" s="352"/>
      <c r="AE33" s="353"/>
      <c r="AF33" s="345"/>
    </row>
    <row r="34" spans="2:32" ht="15">
      <c r="B34" s="344" t="s">
        <v>270</v>
      </c>
      <c r="C34" s="345" t="s">
        <v>45</v>
      </c>
      <c r="D34" s="346"/>
      <c r="E34" s="347" t="s">
        <v>55</v>
      </c>
      <c r="F34" s="1" t="s">
        <v>268</v>
      </c>
      <c r="G34" s="348">
        <f>_xlfn.IFNA(VLOOKUP(Invoer_Referentie[[#This Row],[Product]],Database_Productkaarten[[Product]:[Comment]],64,FALSE),0)</f>
        <v>3</v>
      </c>
      <c r="H34" s="349" t="str">
        <f>_xlfn.IFNA(VLOOKUP(Invoer_Referentie[[#This Row],[Product]],Database_Productkaarten[[Product]:[Producttype]],3,FALSE),0)</f>
        <v>Gebakken klinker</v>
      </c>
      <c r="I34" s="354">
        <v>625</v>
      </c>
      <c r="J34" s="348" t="str">
        <f>_xlfn.IFNA(VLOOKUP(Invoer_Referentie[[#This Row],[Product]],Database_Productkaarten[[Product]:[Eenheid]],4,FALSE),0)</f>
        <v>m2</v>
      </c>
      <c r="K34" s="348"/>
      <c r="L34" s="348"/>
      <c r="M34" s="345"/>
      <c r="N34" s="351">
        <f>Invoer_Referentie[[#This Row],[Lengte'[m']]]*Invoer_Referentie[[#This Row],[Breedte '[m']]]</f>
        <v>0</v>
      </c>
      <c r="O34" s="345">
        <f>IFERROR(IF(Invoer_Referentie[[#This Row],[Oppervlakte '[m2']]]*Invoer_Referentie[[#This Row],[Dikte '[m']]]=0,Invoer_Referentie[[#This Row],[Gewicht '[ton']]]/Invoer_Referentie[[#This Row],[Soortelijk gewicht '[ton / m3']]],Invoer_Referentie[[#This Row],[Oppervlakte '[m2']]]*Invoer_Referentie[[#This Row],[Dikte '[m']]]),0)</f>
        <v>31.25</v>
      </c>
      <c r="P34" s="345">
        <f>_xlfn.IFNA(VLOOKUP(Invoer_Referentie[[#This Row],[Product]],Database_Productkaarten[[Product]:[Soortelijk Gewicht '[ton / m3']]],11,FALSE),0)</f>
        <v>1.45</v>
      </c>
      <c r="Q34" s="350">
        <f>_xlfn.IFNA(VLOOKUP(Invoer_Referentie[[#This Row],[Product]],Database_Productkaarten[[Product]:[Gewicht '[ton'] / Eenheid]],12,FALSE)*Invoer_Referentie[[#This Row],[Aantal Eenheden]],0)</f>
        <v>45.3125</v>
      </c>
      <c r="R34" s="350">
        <f>MAX(IFERROR($E$2/IF(Invoer_Referentie[[#This Row],[Productgroep]]="Categorie_1_LCA_Producten",VLOOKUP(Invoer_Referentie[[#This Row],[Product]],Categorie_1_Producten[#All],7,FALSE),VLOOKUP(Invoer_Referentie[[#This Row],[Product]]&amp;", "&amp;"Totaal",Database_Productkaarten[#All],15,FALSE))-1,0),0)</f>
        <v>0</v>
      </c>
      <c r="S34" s="350">
        <v>80</v>
      </c>
      <c r="T34" s="352" t="s">
        <v>224</v>
      </c>
      <c r="U34" s="352"/>
      <c r="V34" s="353" t="s">
        <v>223</v>
      </c>
      <c r="W34" s="390">
        <f>_xlfn.IFNA(VLOOKUP(Invoer_Referentie[[#This Row],[Product]],Brandstofverbuiken[#All],4,FALSE),0)</f>
        <v>19.5</v>
      </c>
      <c r="X34" s="390">
        <f>_xlfn.IFNA(VLOOKUP(Invoer_Referentie[[#This Row],[Product]],Brandstofverbuiken[#All],5,FALSE),0)</f>
        <v>12.004801920768308</v>
      </c>
      <c r="Y34" s="352"/>
      <c r="Z34" s="353"/>
      <c r="AA34" s="364">
        <f>_xlfn.IFNA(VLOOKUP(Invoer_Referentie[[#This Row],[Product]],Brandstofverbuiken[#All],7,FALSE),0)</f>
        <v>19.5</v>
      </c>
      <c r="AB34" s="390">
        <f>_xlfn.IFNA(VLOOKUP(Invoer_Referentie[[#This Row],[Product]],Brandstofverbuiken[#All],8,FALSE),0)</f>
        <v>125</v>
      </c>
      <c r="AC34" s="350"/>
      <c r="AD34" s="352"/>
      <c r="AE34" s="353"/>
      <c r="AF34" s="345"/>
    </row>
    <row r="35" spans="2:32" ht="15">
      <c r="B35" s="344" t="s">
        <v>271</v>
      </c>
      <c r="C35" s="345" t="s">
        <v>45</v>
      </c>
      <c r="D35" s="346"/>
      <c r="E35" s="347" t="s">
        <v>55</v>
      </c>
      <c r="F35" s="1" t="s">
        <v>268</v>
      </c>
      <c r="G35" s="348">
        <f>_xlfn.IFNA(VLOOKUP(Invoer_Referentie[[#This Row],[Product]],Database_Productkaarten[[Product]:[Comment]],64,FALSE),0)</f>
        <v>3</v>
      </c>
      <c r="H35" s="349" t="str">
        <f>_xlfn.IFNA(VLOOKUP(Invoer_Referentie[[#This Row],[Product]],Database_Productkaarten[[Product]:[Producttype]],3,FALSE),0)</f>
        <v>Gebakken klinker</v>
      </c>
      <c r="I35" s="354">
        <v>710</v>
      </c>
      <c r="J35" s="348" t="str">
        <f>_xlfn.IFNA(VLOOKUP(Invoer_Referentie[[#This Row],[Product]],Database_Productkaarten[[Product]:[Eenheid]],4,FALSE),0)</f>
        <v>m2</v>
      </c>
      <c r="K35" s="348"/>
      <c r="L35" s="348"/>
      <c r="M35" s="345"/>
      <c r="N35" s="351">
        <f>Invoer_Referentie[[#This Row],[Lengte'[m']]]*Invoer_Referentie[[#This Row],[Breedte '[m']]]</f>
        <v>0</v>
      </c>
      <c r="O35" s="345">
        <f>IFERROR(IF(Invoer_Referentie[[#This Row],[Oppervlakte '[m2']]]*Invoer_Referentie[[#This Row],[Dikte '[m']]]=0,Invoer_Referentie[[#This Row],[Gewicht '[ton']]]/Invoer_Referentie[[#This Row],[Soortelijk gewicht '[ton / m3']]],Invoer_Referentie[[#This Row],[Oppervlakte '[m2']]]*Invoer_Referentie[[#This Row],[Dikte '[m']]]),0)</f>
        <v>35.5</v>
      </c>
      <c r="P35" s="345">
        <f>_xlfn.IFNA(VLOOKUP(Invoer_Referentie[[#This Row],[Product]],Database_Productkaarten[[Product]:[Soortelijk Gewicht '[ton / m3']]],11,FALSE),0)</f>
        <v>1.45</v>
      </c>
      <c r="Q35" s="350">
        <f>_xlfn.IFNA(VLOOKUP(Invoer_Referentie[[#This Row],[Product]],Database_Productkaarten[[Product]:[Gewicht '[ton'] / Eenheid]],12,FALSE)*Invoer_Referentie[[#This Row],[Aantal Eenheden]],0)</f>
        <v>51.474999999999994</v>
      </c>
      <c r="R35" s="350">
        <f>MAX(IFERROR($E$2/IF(Invoer_Referentie[[#This Row],[Productgroep]]="Categorie_1_LCA_Producten",VLOOKUP(Invoer_Referentie[[#This Row],[Product]],Categorie_1_Producten[#All],7,FALSE),VLOOKUP(Invoer_Referentie[[#This Row],[Product]]&amp;", "&amp;"Totaal",Database_Productkaarten[#All],15,FALSE))-1,0),0)</f>
        <v>0</v>
      </c>
      <c r="S35" s="350">
        <v>80</v>
      </c>
      <c r="T35" s="352" t="s">
        <v>224</v>
      </c>
      <c r="U35" s="352"/>
      <c r="V35" s="353" t="s">
        <v>223</v>
      </c>
      <c r="W35" s="390">
        <f>_xlfn.IFNA(VLOOKUP(Invoer_Referentie[[#This Row],[Product]],Brandstofverbuiken[#All],4,FALSE),0)</f>
        <v>19.5</v>
      </c>
      <c r="X35" s="390">
        <f>_xlfn.IFNA(VLOOKUP(Invoer_Referentie[[#This Row],[Product]],Brandstofverbuiken[#All],5,FALSE),0)</f>
        <v>12.004801920768308</v>
      </c>
      <c r="Y35" s="352"/>
      <c r="Z35" s="353"/>
      <c r="AA35" s="364">
        <f>_xlfn.IFNA(VLOOKUP(Invoer_Referentie[[#This Row],[Product]],Brandstofverbuiken[#All],7,FALSE),0)</f>
        <v>19.5</v>
      </c>
      <c r="AB35" s="390">
        <f>_xlfn.IFNA(VLOOKUP(Invoer_Referentie[[#This Row],[Product]],Brandstofverbuiken[#All],8,FALSE),0)</f>
        <v>125</v>
      </c>
      <c r="AC35" s="350"/>
      <c r="AD35" s="352"/>
      <c r="AE35" s="353"/>
      <c r="AF35" s="345"/>
    </row>
    <row r="36" spans="2:32" ht="15">
      <c r="B36" s="344" t="s">
        <v>272</v>
      </c>
      <c r="C36" s="345" t="s">
        <v>45</v>
      </c>
      <c r="D36" s="346"/>
      <c r="E36" s="347" t="s">
        <v>55</v>
      </c>
      <c r="F36" s="1" t="s">
        <v>273</v>
      </c>
      <c r="G36" s="348">
        <f>_xlfn.IFNA(VLOOKUP(Invoer_Referentie[[#This Row],[Product]],Database_Productkaarten[[Product]:[Comment]],64,FALSE),0)</f>
        <v>3</v>
      </c>
      <c r="H36" s="349" t="str">
        <f>_xlfn.IFNA(VLOOKUP(Invoer_Referentie[[#This Row],[Product]],Database_Productkaarten[[Product]:[Producttype]],3,FALSE),0)</f>
        <v>Grasbetontegel</v>
      </c>
      <c r="I36" s="354">
        <v>1000</v>
      </c>
      <c r="J36" s="348" t="str">
        <f>_xlfn.IFNA(VLOOKUP(Invoer_Referentie[[#This Row],[Product]],Database_Productkaarten[[Product]:[Eenheid]],4,FALSE),0)</f>
        <v>m2</v>
      </c>
      <c r="K36" s="348"/>
      <c r="L36" s="348"/>
      <c r="M36" s="345"/>
      <c r="N36" s="351">
        <f>Invoer_Referentie[[#This Row],[Lengte'[m']]]*Invoer_Referentie[[#This Row],[Breedte '[m']]]</f>
        <v>0</v>
      </c>
      <c r="O36" s="345">
        <f>IFERROR(IF(Invoer_Referentie[[#This Row],[Oppervlakte '[m2']]]*Invoer_Referentie[[#This Row],[Dikte '[m']]]=0,Invoer_Referentie[[#This Row],[Gewicht '[ton']]]/Invoer_Referentie[[#This Row],[Soortelijk gewicht '[ton / m3']]],Invoer_Referentie[[#This Row],[Oppervlakte '[m2']]]*Invoer_Referentie[[#This Row],[Dikte '[m']]]),0)</f>
        <v>83.417881646655232</v>
      </c>
      <c r="P36" s="345">
        <f>_xlfn.IFNA(VLOOKUP(Invoer_Referentie[[#This Row],[Product]],Database_Productkaarten[[Product]:[Soortelijk Gewicht '[ton / m3']]],11,FALSE),0)</f>
        <v>2.3319999999999999</v>
      </c>
      <c r="Q36" s="350">
        <f>_xlfn.IFNA(VLOOKUP(Invoer_Referentie[[#This Row],[Product]],Database_Productkaarten[[Product]:[Gewicht '[ton'] / Eenheid]],12,FALSE)*Invoer_Referentie[[#This Row],[Aantal Eenheden]],0)</f>
        <v>194.53049999999999</v>
      </c>
      <c r="R36" s="350">
        <f>MAX(IFERROR($E$2/IF(Invoer_Referentie[[#This Row],[Productgroep]]="Categorie_1_LCA_Producten",VLOOKUP(Invoer_Referentie[[#This Row],[Product]],Categorie_1_Producten[#All],7,FALSE),VLOOKUP(Invoer_Referentie[[#This Row],[Product]]&amp;", "&amp;"Totaal",Database_Productkaarten[#All],15,FALSE))-1,0),0)</f>
        <v>0</v>
      </c>
      <c r="S36" s="350">
        <v>50</v>
      </c>
      <c r="T36" s="352" t="s">
        <v>224</v>
      </c>
      <c r="U36" s="352"/>
      <c r="V36" s="353" t="s">
        <v>223</v>
      </c>
      <c r="W36" s="390">
        <f>_xlfn.IFNA(VLOOKUP(Invoer_Referentie[[#This Row],[Product]],Brandstofverbuiken[#All],4,FALSE),0)</f>
        <v>19.5</v>
      </c>
      <c r="X36" s="390">
        <f>_xlfn.IFNA(VLOOKUP(Invoer_Referentie[[#This Row],[Product]],Brandstofverbuiken[#All],5,FALSE),0)</f>
        <v>12.004801920768308</v>
      </c>
      <c r="Y36" s="352"/>
      <c r="Z36" s="353"/>
      <c r="AA36" s="364">
        <f>_xlfn.IFNA(VLOOKUP(Invoer_Referentie[[#This Row],[Product]],Brandstofverbuiken[#All],7,FALSE),0)</f>
        <v>19.5</v>
      </c>
      <c r="AB36" s="390">
        <f>_xlfn.IFNA(VLOOKUP(Invoer_Referentie[[#This Row],[Product]],Brandstofverbuiken[#All],8,FALSE),0)</f>
        <v>40</v>
      </c>
      <c r="AC36" s="350"/>
      <c r="AD36" s="352"/>
      <c r="AE36" s="353"/>
      <c r="AF36" s="345"/>
    </row>
    <row r="37" spans="2:32" ht="15">
      <c r="B37" s="344" t="s">
        <v>274</v>
      </c>
      <c r="C37" s="345" t="s">
        <v>45</v>
      </c>
      <c r="D37" s="346"/>
      <c r="E37" s="347" t="s">
        <v>55</v>
      </c>
      <c r="F37" s="1" t="s">
        <v>268</v>
      </c>
      <c r="G37" s="348">
        <f>_xlfn.IFNA(VLOOKUP(Invoer_Referentie[[#This Row],[Product]],Database_Productkaarten[[Product]:[Comment]],64,FALSE),0)</f>
        <v>3</v>
      </c>
      <c r="H37" s="349" t="str">
        <f>_xlfn.IFNA(VLOOKUP(Invoer_Referentie[[#This Row],[Product]],Database_Productkaarten[[Product]:[Producttype]],3,FALSE),0)</f>
        <v>Gebakken klinker</v>
      </c>
      <c r="I37" s="354">
        <v>4390</v>
      </c>
      <c r="J37" s="348" t="str">
        <f>_xlfn.IFNA(VLOOKUP(Invoer_Referentie[[#This Row],[Product]],Database_Productkaarten[[Product]:[Eenheid]],4,FALSE),0)</f>
        <v>m2</v>
      </c>
      <c r="K37" s="348"/>
      <c r="L37" s="348"/>
      <c r="M37" s="345"/>
      <c r="N37" s="351">
        <f>Invoer_Referentie[[#This Row],[Lengte'[m']]]*Invoer_Referentie[[#This Row],[Breedte '[m']]]</f>
        <v>0</v>
      </c>
      <c r="O37" s="345">
        <f>IFERROR(IF(Invoer_Referentie[[#This Row],[Oppervlakte '[m2']]]*Invoer_Referentie[[#This Row],[Dikte '[m']]]=0,Invoer_Referentie[[#This Row],[Gewicht '[ton']]]/Invoer_Referentie[[#This Row],[Soortelijk gewicht '[ton / m3']]],Invoer_Referentie[[#This Row],[Oppervlakte '[m2']]]*Invoer_Referentie[[#This Row],[Dikte '[m']]]),0)</f>
        <v>219.5</v>
      </c>
      <c r="P37" s="345">
        <f>_xlfn.IFNA(VLOOKUP(Invoer_Referentie[[#This Row],[Product]],Database_Productkaarten[[Product]:[Soortelijk Gewicht '[ton / m3']]],11,FALSE),0)</f>
        <v>1.45</v>
      </c>
      <c r="Q37" s="350">
        <f>_xlfn.IFNA(VLOOKUP(Invoer_Referentie[[#This Row],[Product]],Database_Productkaarten[[Product]:[Gewicht '[ton'] / Eenheid]],12,FALSE)*Invoer_Referentie[[#This Row],[Aantal Eenheden]],0)</f>
        <v>318.27499999999998</v>
      </c>
      <c r="R37" s="350">
        <f>MAX(IFERROR($E$2/IF(Invoer_Referentie[[#This Row],[Productgroep]]="Categorie_1_LCA_Producten",VLOOKUP(Invoer_Referentie[[#This Row],[Product]],Categorie_1_Producten[#All],7,FALSE),VLOOKUP(Invoer_Referentie[[#This Row],[Product]]&amp;", "&amp;"Totaal",Database_Productkaarten[#All],15,FALSE))-1,0),0)</f>
        <v>0</v>
      </c>
      <c r="S37" s="350">
        <v>80</v>
      </c>
      <c r="T37" s="352" t="s">
        <v>224</v>
      </c>
      <c r="U37" s="352"/>
      <c r="V37" s="353" t="s">
        <v>223</v>
      </c>
      <c r="W37" s="390">
        <f>_xlfn.IFNA(VLOOKUP(Invoer_Referentie[[#This Row],[Product]],Brandstofverbuiken[#All],4,FALSE),0)</f>
        <v>19.5</v>
      </c>
      <c r="X37" s="390">
        <f>_xlfn.IFNA(VLOOKUP(Invoer_Referentie[[#This Row],[Product]],Brandstofverbuiken[#All],5,FALSE),0)</f>
        <v>12.004801920768308</v>
      </c>
      <c r="Y37" s="352"/>
      <c r="Z37" s="353"/>
      <c r="AA37" s="364">
        <f>_xlfn.IFNA(VLOOKUP(Invoer_Referentie[[#This Row],[Product]],Brandstofverbuiken[#All],7,FALSE),0)</f>
        <v>19.5</v>
      </c>
      <c r="AB37" s="390">
        <f>_xlfn.IFNA(VLOOKUP(Invoer_Referentie[[#This Row],[Product]],Brandstofverbuiken[#All],8,FALSE),0)</f>
        <v>125</v>
      </c>
      <c r="AC37" s="350"/>
      <c r="AD37" s="352"/>
      <c r="AE37" s="353"/>
      <c r="AF37" s="345"/>
    </row>
    <row r="38" spans="2:32" ht="15">
      <c r="B38" s="344" t="s">
        <v>275</v>
      </c>
      <c r="C38" s="345" t="s">
        <v>45</v>
      </c>
      <c r="D38" s="346"/>
      <c r="E38" s="347" t="s">
        <v>55</v>
      </c>
      <c r="F38" s="1" t="s">
        <v>268</v>
      </c>
      <c r="G38" s="348">
        <f>_xlfn.IFNA(VLOOKUP(Invoer_Referentie[[#This Row],[Product]],Database_Productkaarten[[Product]:[Comment]],64,FALSE),0)</f>
        <v>3</v>
      </c>
      <c r="H38" s="349" t="str">
        <f>_xlfn.IFNA(VLOOKUP(Invoer_Referentie[[#This Row],[Product]],Database_Productkaarten[[Product]:[Producttype]],3,FALSE),0)</f>
        <v>Gebakken klinker</v>
      </c>
      <c r="I38" s="354">
        <v>1150</v>
      </c>
      <c r="J38" s="348" t="str">
        <f>_xlfn.IFNA(VLOOKUP(Invoer_Referentie[[#This Row],[Product]],Database_Productkaarten[[Product]:[Eenheid]],4,FALSE),0)</f>
        <v>m2</v>
      </c>
      <c r="K38" s="348"/>
      <c r="L38" s="348"/>
      <c r="M38" s="345"/>
      <c r="N38" s="351">
        <f>Invoer_Referentie[[#This Row],[Lengte'[m']]]*Invoer_Referentie[[#This Row],[Breedte '[m']]]</f>
        <v>0</v>
      </c>
      <c r="O38" s="345">
        <f>IFERROR(IF(Invoer_Referentie[[#This Row],[Oppervlakte '[m2']]]*Invoer_Referentie[[#This Row],[Dikte '[m']]]=0,Invoer_Referentie[[#This Row],[Gewicht '[ton']]]/Invoer_Referentie[[#This Row],[Soortelijk gewicht '[ton / m3']]],Invoer_Referentie[[#This Row],[Oppervlakte '[m2']]]*Invoer_Referentie[[#This Row],[Dikte '[m']]]),0)</f>
        <v>57.5</v>
      </c>
      <c r="P38" s="345">
        <f>_xlfn.IFNA(VLOOKUP(Invoer_Referentie[[#This Row],[Product]],Database_Productkaarten[[Product]:[Soortelijk Gewicht '[ton / m3']]],11,FALSE),0)</f>
        <v>1.45</v>
      </c>
      <c r="Q38" s="350">
        <f>_xlfn.IFNA(VLOOKUP(Invoer_Referentie[[#This Row],[Product]],Database_Productkaarten[[Product]:[Gewicht '[ton'] / Eenheid]],12,FALSE)*Invoer_Referentie[[#This Row],[Aantal Eenheden]],0)</f>
        <v>83.375</v>
      </c>
      <c r="R38" s="350">
        <f>MAX(IFERROR($E$2/IF(Invoer_Referentie[[#This Row],[Productgroep]]="Categorie_1_LCA_Producten",VLOOKUP(Invoer_Referentie[[#This Row],[Product]],Categorie_1_Producten[#All],7,FALSE),VLOOKUP(Invoer_Referentie[[#This Row],[Product]]&amp;", "&amp;"Totaal",Database_Productkaarten[#All],15,FALSE))-1,0),0)</f>
        <v>0</v>
      </c>
      <c r="S38" s="350">
        <v>80</v>
      </c>
      <c r="T38" s="352" t="s">
        <v>224</v>
      </c>
      <c r="U38" s="352"/>
      <c r="V38" s="353" t="s">
        <v>223</v>
      </c>
      <c r="W38" s="390">
        <f>_xlfn.IFNA(VLOOKUP(Invoer_Referentie[[#This Row],[Product]],Brandstofverbuiken[#All],4,FALSE),0)</f>
        <v>19.5</v>
      </c>
      <c r="X38" s="390">
        <f>_xlfn.IFNA(VLOOKUP(Invoer_Referentie[[#This Row],[Product]],Brandstofverbuiken[#All],5,FALSE),0)</f>
        <v>12.004801920768308</v>
      </c>
      <c r="Y38" s="352"/>
      <c r="Z38" s="353"/>
      <c r="AA38" s="364">
        <f>_xlfn.IFNA(VLOOKUP(Invoer_Referentie[[#This Row],[Product]],Brandstofverbuiken[#All],7,FALSE),0)</f>
        <v>19.5</v>
      </c>
      <c r="AB38" s="390">
        <f>_xlfn.IFNA(VLOOKUP(Invoer_Referentie[[#This Row],[Product]],Brandstofverbuiken[#All],8,FALSE),0)</f>
        <v>125</v>
      </c>
      <c r="AC38" s="350"/>
      <c r="AD38" s="352"/>
      <c r="AE38" s="353"/>
      <c r="AF38" s="345"/>
    </row>
    <row r="39" spans="2:32" ht="15">
      <c r="B39" s="344" t="s">
        <v>276</v>
      </c>
      <c r="C39" s="345" t="s">
        <v>45</v>
      </c>
      <c r="D39" s="346"/>
      <c r="E39" s="347" t="s">
        <v>55</v>
      </c>
      <c r="F39" s="1" t="s">
        <v>268</v>
      </c>
      <c r="G39" s="348">
        <f>_xlfn.IFNA(VLOOKUP(Invoer_Referentie[[#This Row],[Product]],Database_Productkaarten[[Product]:[Comment]],64,FALSE),0)</f>
        <v>3</v>
      </c>
      <c r="H39" s="349" t="str">
        <f>_xlfn.IFNA(VLOOKUP(Invoer_Referentie[[#This Row],[Product]],Database_Productkaarten[[Product]:[Producttype]],3,FALSE),0)</f>
        <v>Gebakken klinker</v>
      </c>
      <c r="I39" s="354">
        <v>225</v>
      </c>
      <c r="J39" s="348" t="str">
        <f>_xlfn.IFNA(VLOOKUP(Invoer_Referentie[[#This Row],[Product]],Database_Productkaarten[[Product]:[Eenheid]],4,FALSE),0)</f>
        <v>m2</v>
      </c>
      <c r="K39" s="348"/>
      <c r="L39" s="348"/>
      <c r="M39" s="345"/>
      <c r="N39" s="351">
        <f>Invoer_Referentie[[#This Row],[Lengte'[m']]]*Invoer_Referentie[[#This Row],[Breedte '[m']]]</f>
        <v>0</v>
      </c>
      <c r="O39" s="345">
        <f>IFERROR(IF(Invoer_Referentie[[#This Row],[Oppervlakte '[m2']]]*Invoer_Referentie[[#This Row],[Dikte '[m']]]=0,Invoer_Referentie[[#This Row],[Gewicht '[ton']]]/Invoer_Referentie[[#This Row],[Soortelijk gewicht '[ton / m3']]],Invoer_Referentie[[#This Row],[Oppervlakte '[m2']]]*Invoer_Referentie[[#This Row],[Dikte '[m']]]),0)</f>
        <v>11.25</v>
      </c>
      <c r="P39" s="345">
        <f>_xlfn.IFNA(VLOOKUP(Invoer_Referentie[[#This Row],[Product]],Database_Productkaarten[[Product]:[Soortelijk Gewicht '[ton / m3']]],11,FALSE),0)</f>
        <v>1.45</v>
      </c>
      <c r="Q39" s="350">
        <f>_xlfn.IFNA(VLOOKUP(Invoer_Referentie[[#This Row],[Product]],Database_Productkaarten[[Product]:[Gewicht '[ton'] / Eenheid]],12,FALSE)*Invoer_Referentie[[#This Row],[Aantal Eenheden]],0)</f>
        <v>16.3125</v>
      </c>
      <c r="R39" s="350">
        <f>MAX(IFERROR($E$2/IF(Invoer_Referentie[[#This Row],[Productgroep]]="Categorie_1_LCA_Producten",VLOOKUP(Invoer_Referentie[[#This Row],[Product]],Categorie_1_Producten[#All],7,FALSE),VLOOKUP(Invoer_Referentie[[#This Row],[Product]]&amp;", "&amp;"Totaal",Database_Productkaarten[#All],15,FALSE))-1,0),0)</f>
        <v>0</v>
      </c>
      <c r="S39" s="350">
        <v>80</v>
      </c>
      <c r="T39" s="352" t="s">
        <v>224</v>
      </c>
      <c r="U39" s="352"/>
      <c r="V39" s="353" t="s">
        <v>223</v>
      </c>
      <c r="W39" s="390">
        <f>_xlfn.IFNA(VLOOKUP(Invoer_Referentie[[#This Row],[Product]],Brandstofverbuiken[#All],4,FALSE),0)</f>
        <v>19.5</v>
      </c>
      <c r="X39" s="390">
        <f>_xlfn.IFNA(VLOOKUP(Invoer_Referentie[[#This Row],[Product]],Brandstofverbuiken[#All],5,FALSE),0)</f>
        <v>12.004801920768308</v>
      </c>
      <c r="Y39" s="352"/>
      <c r="Z39" s="353"/>
      <c r="AA39" s="364">
        <f>_xlfn.IFNA(VLOOKUP(Invoer_Referentie[[#This Row],[Product]],Brandstofverbuiken[#All],7,FALSE),0)</f>
        <v>19.5</v>
      </c>
      <c r="AB39" s="390">
        <f>_xlfn.IFNA(VLOOKUP(Invoer_Referentie[[#This Row],[Product]],Brandstofverbuiken[#All],8,FALSE),0)</f>
        <v>125</v>
      </c>
      <c r="AC39" s="350"/>
      <c r="AD39" s="352"/>
      <c r="AE39" s="353"/>
      <c r="AF39" s="345"/>
    </row>
    <row r="40" spans="2:32" ht="15" hidden="1">
      <c r="B40" s="344"/>
      <c r="C40" s="345"/>
      <c r="D40" s="346"/>
      <c r="E40" s="347"/>
      <c r="F40" s="1"/>
      <c r="G40" s="348">
        <f>_xlfn.IFNA(VLOOKUP(Invoer_Referentie[[#This Row],[Product]],Database_Productkaarten[[Product]:[Comment]],64,FALSE),0)</f>
        <v>0</v>
      </c>
      <c r="H40" s="349">
        <f>_xlfn.IFNA(VLOOKUP(Invoer_Referentie[[#This Row],[Product]],Database_Productkaarten[[Product]:[Producttype]],3,FALSE),0)</f>
        <v>0</v>
      </c>
      <c r="I40" s="354"/>
      <c r="J40" s="348">
        <f>_xlfn.IFNA(VLOOKUP(Invoer_Referentie[[#This Row],[Product]],Database_Productkaarten[[Product]:[Eenheid]],4,FALSE),0)</f>
        <v>0</v>
      </c>
      <c r="K40" s="348"/>
      <c r="L40" s="348"/>
      <c r="M40" s="345"/>
      <c r="N40" s="351">
        <f>Invoer_Referentie[[#This Row],[Lengte'[m']]]*Invoer_Referentie[[#This Row],[Breedte '[m']]]</f>
        <v>0</v>
      </c>
      <c r="O40" s="345">
        <f>IFERROR(IF(Invoer_Referentie[[#This Row],[Oppervlakte '[m2']]]*Invoer_Referentie[[#This Row],[Dikte '[m']]]=0,Invoer_Referentie[[#This Row],[Gewicht '[ton']]]/Invoer_Referentie[[#This Row],[Soortelijk gewicht '[ton / m3']]],Invoer_Referentie[[#This Row],[Oppervlakte '[m2']]]*Invoer_Referentie[[#This Row],[Dikte '[m']]]),0)</f>
        <v>0</v>
      </c>
      <c r="P40" s="345">
        <f>_xlfn.IFNA(VLOOKUP(Invoer_Referentie[[#This Row],[Product]],Database_Productkaarten[[Product]:[Soortelijk Gewicht '[ton / m3']]],11,FALSE),0)</f>
        <v>0</v>
      </c>
      <c r="Q40" s="350">
        <f>_xlfn.IFNA(VLOOKUP(Invoer_Referentie[[#This Row],[Product]],Database_Productkaarten[[Product]:[Gewicht '[ton'] / Eenheid]],12,FALSE)*Invoer_Referentie[[#This Row],[Aantal Eenheden]],0)</f>
        <v>0</v>
      </c>
      <c r="R40" s="350">
        <f>MAX(IFERROR($E$2/IF(Invoer_Referentie[[#This Row],[Productgroep]]="Categorie_1_LCA_Producten",VLOOKUP(Invoer_Referentie[[#This Row],[Product]],Categorie_1_Producten[#All],7,FALSE),VLOOKUP(Invoer_Referentie[[#This Row],[Product]]&amp;", "&amp;"Totaal",Database_Productkaarten[#All],15,FALSE))-1,0),0)</f>
        <v>0</v>
      </c>
      <c r="S40" s="350"/>
      <c r="T40" s="352"/>
      <c r="U40" s="352"/>
      <c r="V40" s="353"/>
      <c r="W40" s="390">
        <f>_xlfn.IFNA(VLOOKUP(Invoer_Referentie[[#This Row],[Product]],Brandstofverbuiken[#All],4,FALSE),0)</f>
        <v>0</v>
      </c>
      <c r="X40" s="390">
        <f>_xlfn.IFNA(VLOOKUP(Invoer_Referentie[[#This Row],[Product]],Brandstofverbuiken[#All],5,FALSE),0)</f>
        <v>0</v>
      </c>
      <c r="Y40" s="352"/>
      <c r="Z40" s="353"/>
      <c r="AA40" s="364">
        <f>_xlfn.IFNA(VLOOKUP(Invoer_Referentie[[#This Row],[Product]],Brandstofverbuiken[#All],7,FALSE),0)</f>
        <v>0</v>
      </c>
      <c r="AB40" s="390">
        <f>_xlfn.IFNA(VLOOKUP(Invoer_Referentie[[#This Row],[Product]],Brandstofverbuiken[#All],8,FALSE),0)</f>
        <v>0</v>
      </c>
      <c r="AC40" s="350"/>
      <c r="AD40" s="352"/>
      <c r="AE40" s="353"/>
      <c r="AF40" s="345"/>
    </row>
    <row r="41" spans="2:32" ht="15" hidden="1">
      <c r="B41" s="344"/>
      <c r="C41" s="345"/>
      <c r="D41" s="346"/>
      <c r="E41" s="347"/>
      <c r="F41" s="1"/>
      <c r="G41" s="348">
        <f>_xlfn.IFNA(VLOOKUP(Invoer_Referentie[[#This Row],[Product]],Database_Productkaarten[[Product]:[Comment]],64,FALSE),0)</f>
        <v>0</v>
      </c>
      <c r="H41" s="349">
        <f>_xlfn.IFNA(VLOOKUP(Invoer_Referentie[[#This Row],[Product]],Database_Productkaarten[[Product]:[Producttype]],3,FALSE),0)</f>
        <v>0</v>
      </c>
      <c r="I41" s="354"/>
      <c r="J41" s="348">
        <f>_xlfn.IFNA(VLOOKUP(Invoer_Referentie[[#This Row],[Product]],Database_Productkaarten[[Product]:[Eenheid]],4,FALSE),0)</f>
        <v>0</v>
      </c>
      <c r="K41" s="348"/>
      <c r="L41" s="348"/>
      <c r="M41" s="345"/>
      <c r="N41" s="351">
        <f>Invoer_Referentie[[#This Row],[Lengte'[m']]]*Invoer_Referentie[[#This Row],[Breedte '[m']]]</f>
        <v>0</v>
      </c>
      <c r="O41" s="345">
        <f>IFERROR(IF(Invoer_Referentie[[#This Row],[Oppervlakte '[m2']]]*Invoer_Referentie[[#This Row],[Dikte '[m']]]=0,Invoer_Referentie[[#This Row],[Gewicht '[ton']]]/Invoer_Referentie[[#This Row],[Soortelijk gewicht '[ton / m3']]],Invoer_Referentie[[#This Row],[Oppervlakte '[m2']]]*Invoer_Referentie[[#This Row],[Dikte '[m']]]),0)</f>
        <v>0</v>
      </c>
      <c r="P41" s="345">
        <f>_xlfn.IFNA(VLOOKUP(Invoer_Referentie[[#This Row],[Product]],Database_Productkaarten[[Product]:[Soortelijk Gewicht '[ton / m3']]],11,FALSE),0)</f>
        <v>0</v>
      </c>
      <c r="Q41" s="350">
        <f>_xlfn.IFNA(VLOOKUP(Invoer_Referentie[[#This Row],[Product]],Database_Productkaarten[[Product]:[Gewicht '[ton'] / Eenheid]],12,FALSE)*Invoer_Referentie[[#This Row],[Aantal Eenheden]],0)</f>
        <v>0</v>
      </c>
      <c r="R41" s="350">
        <f>MAX(IFERROR($E$2/IF(Invoer_Referentie[[#This Row],[Productgroep]]="Categorie_1_LCA_Producten",VLOOKUP(Invoer_Referentie[[#This Row],[Product]],Categorie_1_Producten[#All],7,FALSE),VLOOKUP(Invoer_Referentie[[#This Row],[Product]]&amp;", "&amp;"Totaal",Database_Productkaarten[#All],15,FALSE))-1,0),0)</f>
        <v>0</v>
      </c>
      <c r="S41" s="350"/>
      <c r="T41" s="352"/>
      <c r="U41" s="352"/>
      <c r="V41" s="353"/>
      <c r="W41" s="390">
        <f>_xlfn.IFNA(VLOOKUP(Invoer_Referentie[[#This Row],[Product]],Brandstofverbuiken[#All],4,FALSE),0)</f>
        <v>0</v>
      </c>
      <c r="X41" s="390">
        <f>_xlfn.IFNA(VLOOKUP(Invoer_Referentie[[#This Row],[Product]],Brandstofverbuiken[#All],5,FALSE),0)</f>
        <v>0</v>
      </c>
      <c r="Y41" s="352"/>
      <c r="Z41" s="353"/>
      <c r="AA41" s="364">
        <f>_xlfn.IFNA(VLOOKUP(Invoer_Referentie[[#This Row],[Product]],Brandstofverbuiken[#All],7,FALSE),0)</f>
        <v>0</v>
      </c>
      <c r="AB41" s="390">
        <f>_xlfn.IFNA(VLOOKUP(Invoer_Referentie[[#This Row],[Product]],Brandstofverbuiken[#All],8,FALSE),0)</f>
        <v>0</v>
      </c>
      <c r="AC41" s="350"/>
      <c r="AD41" s="352"/>
      <c r="AE41" s="353"/>
      <c r="AF41" s="345"/>
    </row>
    <row r="42" spans="2:32" ht="15" hidden="1">
      <c r="B42" s="344"/>
      <c r="C42" s="345"/>
      <c r="D42" s="346"/>
      <c r="E42" s="347"/>
      <c r="F42" s="1"/>
      <c r="G42" s="348">
        <f>_xlfn.IFNA(VLOOKUP(Invoer_Referentie[[#This Row],[Product]],Database_Productkaarten[[Product]:[Comment]],64,FALSE),0)</f>
        <v>0</v>
      </c>
      <c r="H42" s="349">
        <f>_xlfn.IFNA(VLOOKUP(Invoer_Referentie[[#This Row],[Product]],Database_Productkaarten[[Product]:[Producttype]],3,FALSE),0)</f>
        <v>0</v>
      </c>
      <c r="I42" s="354"/>
      <c r="J42" s="348">
        <f>_xlfn.IFNA(VLOOKUP(Invoer_Referentie[[#This Row],[Product]],Database_Productkaarten[[Product]:[Eenheid]],4,FALSE),0)</f>
        <v>0</v>
      </c>
      <c r="K42" s="348"/>
      <c r="L42" s="348"/>
      <c r="M42" s="345"/>
      <c r="N42" s="351">
        <f>Invoer_Referentie[[#This Row],[Lengte'[m']]]*Invoer_Referentie[[#This Row],[Breedte '[m']]]</f>
        <v>0</v>
      </c>
      <c r="O42" s="345">
        <f>IFERROR(IF(Invoer_Referentie[[#This Row],[Oppervlakte '[m2']]]*Invoer_Referentie[[#This Row],[Dikte '[m']]]=0,Invoer_Referentie[[#This Row],[Gewicht '[ton']]]/Invoer_Referentie[[#This Row],[Soortelijk gewicht '[ton / m3']]],Invoer_Referentie[[#This Row],[Oppervlakte '[m2']]]*Invoer_Referentie[[#This Row],[Dikte '[m']]]),0)</f>
        <v>0</v>
      </c>
      <c r="P42" s="345">
        <f>_xlfn.IFNA(VLOOKUP(Invoer_Referentie[[#This Row],[Product]],Database_Productkaarten[[Product]:[Soortelijk Gewicht '[ton / m3']]],11,FALSE),0)</f>
        <v>0</v>
      </c>
      <c r="Q42" s="350">
        <f>_xlfn.IFNA(VLOOKUP(Invoer_Referentie[[#This Row],[Product]],Database_Productkaarten[[Product]:[Gewicht '[ton'] / Eenheid]],12,FALSE)*Invoer_Referentie[[#This Row],[Aantal Eenheden]],0)</f>
        <v>0</v>
      </c>
      <c r="R42" s="350">
        <f>MAX(IFERROR($E$2/IF(Invoer_Referentie[[#This Row],[Productgroep]]="Categorie_1_LCA_Producten",VLOOKUP(Invoer_Referentie[[#This Row],[Product]],Categorie_1_Producten[#All],7,FALSE),VLOOKUP(Invoer_Referentie[[#This Row],[Product]]&amp;", "&amp;"Totaal",Database_Productkaarten[#All],15,FALSE))-1,0),0)</f>
        <v>0</v>
      </c>
      <c r="S42" s="350"/>
      <c r="T42" s="352"/>
      <c r="U42" s="352"/>
      <c r="V42" s="353"/>
      <c r="W42" s="390">
        <f>_xlfn.IFNA(VLOOKUP(Invoer_Referentie[[#This Row],[Product]],Brandstofverbuiken[#All],4,FALSE),0)</f>
        <v>0</v>
      </c>
      <c r="X42" s="390">
        <f>_xlfn.IFNA(VLOOKUP(Invoer_Referentie[[#This Row],[Product]],Brandstofverbuiken[#All],5,FALSE),0)</f>
        <v>0</v>
      </c>
      <c r="Y42" s="352"/>
      <c r="Z42" s="353"/>
      <c r="AA42" s="364">
        <f>_xlfn.IFNA(VLOOKUP(Invoer_Referentie[[#This Row],[Product]],Brandstofverbuiken[#All],7,FALSE),0)</f>
        <v>0</v>
      </c>
      <c r="AB42" s="390">
        <f>_xlfn.IFNA(VLOOKUP(Invoer_Referentie[[#This Row],[Product]],Brandstofverbuiken[#All],8,FALSE),0)</f>
        <v>0</v>
      </c>
      <c r="AC42" s="350"/>
      <c r="AD42" s="352"/>
      <c r="AE42" s="353"/>
      <c r="AF42" s="345"/>
    </row>
    <row r="43" spans="2:32" ht="15" hidden="1">
      <c r="B43" s="344"/>
      <c r="C43" s="345"/>
      <c r="D43" s="346"/>
      <c r="E43" s="347"/>
      <c r="F43" s="1"/>
      <c r="G43" s="348">
        <f>_xlfn.IFNA(VLOOKUP(Invoer_Referentie[[#This Row],[Product]],Database_Productkaarten[[Product]:[Comment]],64,FALSE),0)</f>
        <v>0</v>
      </c>
      <c r="H43" s="349">
        <f>_xlfn.IFNA(VLOOKUP(Invoer_Referentie[[#This Row],[Product]],Database_Productkaarten[[Product]:[Producttype]],3,FALSE),0)</f>
        <v>0</v>
      </c>
      <c r="I43" s="354"/>
      <c r="J43" s="348">
        <f>_xlfn.IFNA(VLOOKUP(Invoer_Referentie[[#This Row],[Product]],Database_Productkaarten[[Product]:[Eenheid]],4,FALSE),0)</f>
        <v>0</v>
      </c>
      <c r="K43" s="348"/>
      <c r="L43" s="348"/>
      <c r="M43" s="345"/>
      <c r="N43" s="351">
        <f>Invoer_Referentie[[#This Row],[Lengte'[m']]]*Invoer_Referentie[[#This Row],[Breedte '[m']]]</f>
        <v>0</v>
      </c>
      <c r="O43" s="345">
        <f>IFERROR(IF(Invoer_Referentie[[#This Row],[Oppervlakte '[m2']]]*Invoer_Referentie[[#This Row],[Dikte '[m']]]=0,Invoer_Referentie[[#This Row],[Gewicht '[ton']]]/Invoer_Referentie[[#This Row],[Soortelijk gewicht '[ton / m3']]],Invoer_Referentie[[#This Row],[Oppervlakte '[m2']]]*Invoer_Referentie[[#This Row],[Dikte '[m']]]),0)</f>
        <v>0</v>
      </c>
      <c r="P43" s="345">
        <f>_xlfn.IFNA(VLOOKUP(Invoer_Referentie[[#This Row],[Product]],Database_Productkaarten[[Product]:[Soortelijk Gewicht '[ton / m3']]],11,FALSE),0)</f>
        <v>0</v>
      </c>
      <c r="Q43" s="350">
        <f>_xlfn.IFNA(VLOOKUP(Invoer_Referentie[[#This Row],[Product]],Database_Productkaarten[[Product]:[Gewicht '[ton'] / Eenheid]],12,FALSE)*Invoer_Referentie[[#This Row],[Aantal Eenheden]],0)</f>
        <v>0</v>
      </c>
      <c r="R43" s="350">
        <f>MAX(IFERROR($E$2/IF(Invoer_Referentie[[#This Row],[Productgroep]]="Categorie_1_LCA_Producten",VLOOKUP(Invoer_Referentie[[#This Row],[Product]],Categorie_1_Producten[#All],7,FALSE),VLOOKUP(Invoer_Referentie[[#This Row],[Product]]&amp;", "&amp;"Totaal",Database_Productkaarten[#All],15,FALSE))-1,0),0)</f>
        <v>0</v>
      </c>
      <c r="S43" s="350"/>
      <c r="T43" s="352"/>
      <c r="U43" s="352"/>
      <c r="V43" s="353"/>
      <c r="W43" s="390">
        <f>_xlfn.IFNA(VLOOKUP(Invoer_Referentie[[#This Row],[Product]],Brandstofverbuiken[#All],4,FALSE),0)</f>
        <v>0</v>
      </c>
      <c r="X43" s="390">
        <f>_xlfn.IFNA(VLOOKUP(Invoer_Referentie[[#This Row],[Product]],Brandstofverbuiken[#All],5,FALSE),0)</f>
        <v>0</v>
      </c>
      <c r="Y43" s="352"/>
      <c r="Z43" s="353"/>
      <c r="AA43" s="364">
        <f>_xlfn.IFNA(VLOOKUP(Invoer_Referentie[[#This Row],[Product]],Brandstofverbuiken[#All],7,FALSE),0)</f>
        <v>0</v>
      </c>
      <c r="AB43" s="390">
        <f>_xlfn.IFNA(VLOOKUP(Invoer_Referentie[[#This Row],[Product]],Brandstofverbuiken[#All],8,FALSE),0)</f>
        <v>0</v>
      </c>
      <c r="AC43" s="350"/>
      <c r="AD43" s="352"/>
      <c r="AE43" s="353"/>
      <c r="AF43" s="345"/>
    </row>
    <row r="44" spans="2:32" ht="15" hidden="1">
      <c r="B44" s="344"/>
      <c r="C44" s="345"/>
      <c r="D44" s="346"/>
      <c r="E44" s="347"/>
      <c r="F44" s="1"/>
      <c r="G44" s="348">
        <f>_xlfn.IFNA(VLOOKUP(Invoer_Referentie[[#This Row],[Product]],Database_Productkaarten[[Product]:[Comment]],64,FALSE),0)</f>
        <v>0</v>
      </c>
      <c r="H44" s="349">
        <f>_xlfn.IFNA(VLOOKUP(Invoer_Referentie[[#This Row],[Product]],Database_Productkaarten[[Product]:[Producttype]],3,FALSE),0)</f>
        <v>0</v>
      </c>
      <c r="I44" s="354"/>
      <c r="J44" s="348">
        <f>_xlfn.IFNA(VLOOKUP(Invoer_Referentie[[#This Row],[Product]],Database_Productkaarten[[Product]:[Eenheid]],4,FALSE),0)</f>
        <v>0</v>
      </c>
      <c r="K44" s="348"/>
      <c r="L44" s="348"/>
      <c r="M44" s="345"/>
      <c r="N44" s="351">
        <f>Invoer_Referentie[[#This Row],[Lengte'[m']]]*Invoer_Referentie[[#This Row],[Breedte '[m']]]</f>
        <v>0</v>
      </c>
      <c r="O44" s="345">
        <f>IFERROR(IF(Invoer_Referentie[[#This Row],[Oppervlakte '[m2']]]*Invoer_Referentie[[#This Row],[Dikte '[m']]]=0,Invoer_Referentie[[#This Row],[Gewicht '[ton']]]/Invoer_Referentie[[#This Row],[Soortelijk gewicht '[ton / m3']]],Invoer_Referentie[[#This Row],[Oppervlakte '[m2']]]*Invoer_Referentie[[#This Row],[Dikte '[m']]]),0)</f>
        <v>0</v>
      </c>
      <c r="P44" s="345">
        <f>_xlfn.IFNA(VLOOKUP(Invoer_Referentie[[#This Row],[Product]],Database_Productkaarten[[Product]:[Soortelijk Gewicht '[ton / m3']]],11,FALSE),0)</f>
        <v>0</v>
      </c>
      <c r="Q44" s="350">
        <f>_xlfn.IFNA(VLOOKUP(Invoer_Referentie[[#This Row],[Product]],Database_Productkaarten[[Product]:[Gewicht '[ton'] / Eenheid]],12,FALSE)*Invoer_Referentie[[#This Row],[Aantal Eenheden]],0)</f>
        <v>0</v>
      </c>
      <c r="R44" s="350">
        <f>MAX(IFERROR($E$2/IF(Invoer_Referentie[[#This Row],[Productgroep]]="Categorie_1_LCA_Producten",VLOOKUP(Invoer_Referentie[[#This Row],[Product]],Categorie_1_Producten[#All],7,FALSE),VLOOKUP(Invoer_Referentie[[#This Row],[Product]]&amp;", "&amp;"Totaal",Database_Productkaarten[#All],15,FALSE))-1,0),0)</f>
        <v>0</v>
      </c>
      <c r="S44" s="350"/>
      <c r="T44" s="352"/>
      <c r="U44" s="352"/>
      <c r="V44" s="353"/>
      <c r="W44" s="390">
        <f>_xlfn.IFNA(VLOOKUP(Invoer_Referentie[[#This Row],[Product]],Brandstofverbuiken[#All],4,FALSE),0)</f>
        <v>0</v>
      </c>
      <c r="X44" s="390">
        <f>_xlfn.IFNA(VLOOKUP(Invoer_Referentie[[#This Row],[Product]],Brandstofverbuiken[#All],5,FALSE),0)</f>
        <v>0</v>
      </c>
      <c r="Y44" s="352"/>
      <c r="Z44" s="353"/>
      <c r="AA44" s="364">
        <f>_xlfn.IFNA(VLOOKUP(Invoer_Referentie[[#This Row],[Product]],Brandstofverbuiken[#All],7,FALSE),0)</f>
        <v>0</v>
      </c>
      <c r="AB44" s="390">
        <f>_xlfn.IFNA(VLOOKUP(Invoer_Referentie[[#This Row],[Product]],Brandstofverbuiken[#All],8,FALSE),0)</f>
        <v>0</v>
      </c>
      <c r="AC44" s="350"/>
      <c r="AD44" s="352"/>
      <c r="AE44" s="353"/>
      <c r="AF44" s="345"/>
    </row>
    <row r="45" spans="2:32" ht="15" hidden="1">
      <c r="B45" s="344"/>
      <c r="C45" s="345"/>
      <c r="D45" s="346"/>
      <c r="E45" s="347"/>
      <c r="F45" s="1"/>
      <c r="G45" s="348">
        <f>_xlfn.IFNA(VLOOKUP(Invoer_Referentie[[#This Row],[Product]],Database_Productkaarten[[Product]:[Comment]],64,FALSE),0)</f>
        <v>0</v>
      </c>
      <c r="H45" s="349">
        <f>_xlfn.IFNA(VLOOKUP(Invoer_Referentie[[#This Row],[Product]],Database_Productkaarten[[Product]:[Producttype]],3,FALSE),0)</f>
        <v>0</v>
      </c>
      <c r="I45" s="354"/>
      <c r="J45" s="348">
        <f>_xlfn.IFNA(VLOOKUP(Invoer_Referentie[[#This Row],[Product]],Database_Productkaarten[[Product]:[Eenheid]],4,FALSE),0)</f>
        <v>0</v>
      </c>
      <c r="K45" s="348"/>
      <c r="L45" s="348"/>
      <c r="M45" s="345"/>
      <c r="N45" s="351">
        <f>Invoer_Referentie[[#This Row],[Lengte'[m']]]*Invoer_Referentie[[#This Row],[Breedte '[m']]]</f>
        <v>0</v>
      </c>
      <c r="O45" s="345">
        <f>IFERROR(IF(Invoer_Referentie[[#This Row],[Oppervlakte '[m2']]]*Invoer_Referentie[[#This Row],[Dikte '[m']]]=0,Invoer_Referentie[[#This Row],[Gewicht '[ton']]]/Invoer_Referentie[[#This Row],[Soortelijk gewicht '[ton / m3']]],Invoer_Referentie[[#This Row],[Oppervlakte '[m2']]]*Invoer_Referentie[[#This Row],[Dikte '[m']]]),0)</f>
        <v>0</v>
      </c>
      <c r="P45" s="345">
        <f>_xlfn.IFNA(VLOOKUP(Invoer_Referentie[[#This Row],[Product]],Database_Productkaarten[[Product]:[Soortelijk Gewicht '[ton / m3']]],11,FALSE),0)</f>
        <v>0</v>
      </c>
      <c r="Q45" s="350">
        <f>_xlfn.IFNA(VLOOKUP(Invoer_Referentie[[#This Row],[Product]],Database_Productkaarten[[Product]:[Gewicht '[ton'] / Eenheid]],12,FALSE)*Invoer_Referentie[[#This Row],[Aantal Eenheden]],0)</f>
        <v>0</v>
      </c>
      <c r="R45" s="350">
        <f>MAX(IFERROR($E$2/IF(Invoer_Referentie[[#This Row],[Productgroep]]="Categorie_1_LCA_Producten",VLOOKUP(Invoer_Referentie[[#This Row],[Product]],Categorie_1_Producten[#All],7,FALSE),VLOOKUP(Invoer_Referentie[[#This Row],[Product]]&amp;", "&amp;"Totaal",Database_Productkaarten[#All],15,FALSE))-1,0),0)</f>
        <v>0</v>
      </c>
      <c r="S45" s="350"/>
      <c r="T45" s="352"/>
      <c r="U45" s="352"/>
      <c r="V45" s="353"/>
      <c r="W45" s="390">
        <f>_xlfn.IFNA(VLOOKUP(Invoer_Referentie[[#This Row],[Product]],Brandstofverbuiken[#All],4,FALSE),0)</f>
        <v>0</v>
      </c>
      <c r="X45" s="390">
        <f>_xlfn.IFNA(VLOOKUP(Invoer_Referentie[[#This Row],[Product]],Brandstofverbuiken[#All],5,FALSE),0)</f>
        <v>0</v>
      </c>
      <c r="Y45" s="352"/>
      <c r="Z45" s="353"/>
      <c r="AA45" s="364">
        <f>_xlfn.IFNA(VLOOKUP(Invoer_Referentie[[#This Row],[Product]],Brandstofverbuiken[#All],7,FALSE),0)</f>
        <v>0</v>
      </c>
      <c r="AB45" s="390">
        <f>_xlfn.IFNA(VLOOKUP(Invoer_Referentie[[#This Row],[Product]],Brandstofverbuiken[#All],8,FALSE),0)</f>
        <v>0</v>
      </c>
      <c r="AC45" s="350"/>
      <c r="AD45" s="352"/>
      <c r="AE45" s="353"/>
      <c r="AF45" s="345"/>
    </row>
    <row r="46" spans="2:32" ht="15" hidden="1">
      <c r="B46" s="344"/>
      <c r="C46" s="345"/>
      <c r="D46" s="346"/>
      <c r="E46" s="347"/>
      <c r="F46" s="1"/>
      <c r="G46" s="348">
        <f>_xlfn.IFNA(VLOOKUP(Invoer_Referentie[[#This Row],[Product]],Database_Productkaarten[[Product]:[Comment]],64,FALSE),0)</f>
        <v>0</v>
      </c>
      <c r="H46" s="349">
        <f>_xlfn.IFNA(VLOOKUP(Invoer_Referentie[[#This Row],[Product]],Database_Productkaarten[[Product]:[Producttype]],3,FALSE),0)</f>
        <v>0</v>
      </c>
      <c r="I46" s="354"/>
      <c r="J46" s="348">
        <f>_xlfn.IFNA(VLOOKUP(Invoer_Referentie[[#This Row],[Product]],Database_Productkaarten[[Product]:[Eenheid]],4,FALSE),0)</f>
        <v>0</v>
      </c>
      <c r="K46" s="348"/>
      <c r="L46" s="348"/>
      <c r="M46" s="345"/>
      <c r="N46" s="351">
        <f>Invoer_Referentie[[#This Row],[Lengte'[m']]]*Invoer_Referentie[[#This Row],[Breedte '[m']]]</f>
        <v>0</v>
      </c>
      <c r="O46" s="345">
        <f>IFERROR(IF(Invoer_Referentie[[#This Row],[Oppervlakte '[m2']]]*Invoer_Referentie[[#This Row],[Dikte '[m']]]=0,Invoer_Referentie[[#This Row],[Gewicht '[ton']]]/Invoer_Referentie[[#This Row],[Soortelijk gewicht '[ton / m3']]],Invoer_Referentie[[#This Row],[Oppervlakte '[m2']]]*Invoer_Referentie[[#This Row],[Dikte '[m']]]),0)</f>
        <v>0</v>
      </c>
      <c r="P46" s="345">
        <f>_xlfn.IFNA(VLOOKUP(Invoer_Referentie[[#This Row],[Product]],Database_Productkaarten[[Product]:[Soortelijk Gewicht '[ton / m3']]],11,FALSE),0)</f>
        <v>0</v>
      </c>
      <c r="Q46" s="350">
        <f>_xlfn.IFNA(VLOOKUP(Invoer_Referentie[[#This Row],[Product]],Database_Productkaarten[[Product]:[Gewicht '[ton'] / Eenheid]],12,FALSE)*Invoer_Referentie[[#This Row],[Aantal Eenheden]],0)</f>
        <v>0</v>
      </c>
      <c r="R46" s="350">
        <f>MAX(IFERROR($E$2/IF(Invoer_Referentie[[#This Row],[Productgroep]]="Categorie_1_LCA_Producten",VLOOKUP(Invoer_Referentie[[#This Row],[Product]],Categorie_1_Producten[#All],7,FALSE),VLOOKUP(Invoer_Referentie[[#This Row],[Product]]&amp;", "&amp;"Totaal",Database_Productkaarten[#All],15,FALSE))-1,0),0)</f>
        <v>0</v>
      </c>
      <c r="S46" s="350"/>
      <c r="T46" s="352"/>
      <c r="U46" s="352"/>
      <c r="V46" s="353"/>
      <c r="W46" s="390">
        <f>_xlfn.IFNA(VLOOKUP(Invoer_Referentie[[#This Row],[Product]],Brandstofverbuiken[#All],4,FALSE),0)</f>
        <v>0</v>
      </c>
      <c r="X46" s="390">
        <f>_xlfn.IFNA(VLOOKUP(Invoer_Referentie[[#This Row],[Product]],Brandstofverbuiken[#All],5,FALSE),0)</f>
        <v>0</v>
      </c>
      <c r="Y46" s="352"/>
      <c r="Z46" s="353"/>
      <c r="AA46" s="364">
        <f>_xlfn.IFNA(VLOOKUP(Invoer_Referentie[[#This Row],[Product]],Brandstofverbuiken[#All],7,FALSE),0)</f>
        <v>0</v>
      </c>
      <c r="AB46" s="390">
        <f>_xlfn.IFNA(VLOOKUP(Invoer_Referentie[[#This Row],[Product]],Brandstofverbuiken[#All],8,FALSE),0)</f>
        <v>0</v>
      </c>
      <c r="AC46" s="350"/>
      <c r="AD46" s="352"/>
      <c r="AE46" s="353"/>
      <c r="AF46" s="345"/>
    </row>
    <row r="47" spans="2:32" ht="15" hidden="1">
      <c r="B47" s="344"/>
      <c r="C47" s="345"/>
      <c r="D47" s="346"/>
      <c r="E47" s="347"/>
      <c r="F47" s="1"/>
      <c r="G47" s="348">
        <f>_xlfn.IFNA(VLOOKUP(Invoer_Referentie[[#This Row],[Product]],Database_Productkaarten[[Product]:[Comment]],64,FALSE),0)</f>
        <v>0</v>
      </c>
      <c r="H47" s="349">
        <f>_xlfn.IFNA(VLOOKUP(Invoer_Referentie[[#This Row],[Product]],Database_Productkaarten[[Product]:[Producttype]],3,FALSE),0)</f>
        <v>0</v>
      </c>
      <c r="I47" s="354"/>
      <c r="J47" s="348">
        <f>_xlfn.IFNA(VLOOKUP(Invoer_Referentie[[#This Row],[Product]],Database_Productkaarten[[Product]:[Eenheid]],4,FALSE),0)</f>
        <v>0</v>
      </c>
      <c r="K47" s="348"/>
      <c r="L47" s="348"/>
      <c r="M47" s="345"/>
      <c r="N47" s="351">
        <f>Invoer_Referentie[[#This Row],[Lengte'[m']]]*Invoer_Referentie[[#This Row],[Breedte '[m']]]</f>
        <v>0</v>
      </c>
      <c r="O47" s="345">
        <f>IFERROR(IF(Invoer_Referentie[[#This Row],[Oppervlakte '[m2']]]*Invoer_Referentie[[#This Row],[Dikte '[m']]]=0,Invoer_Referentie[[#This Row],[Gewicht '[ton']]]/Invoer_Referentie[[#This Row],[Soortelijk gewicht '[ton / m3']]],Invoer_Referentie[[#This Row],[Oppervlakte '[m2']]]*Invoer_Referentie[[#This Row],[Dikte '[m']]]),0)</f>
        <v>0</v>
      </c>
      <c r="P47" s="345">
        <f>_xlfn.IFNA(VLOOKUP(Invoer_Referentie[[#This Row],[Product]],Database_Productkaarten[[Product]:[Soortelijk Gewicht '[ton / m3']]],11,FALSE),0)</f>
        <v>0</v>
      </c>
      <c r="Q47" s="350">
        <f>_xlfn.IFNA(VLOOKUP(Invoer_Referentie[[#This Row],[Product]],Database_Productkaarten[[Product]:[Gewicht '[ton'] / Eenheid]],12,FALSE)*Invoer_Referentie[[#This Row],[Aantal Eenheden]],0)</f>
        <v>0</v>
      </c>
      <c r="R47" s="350">
        <f>MAX(IFERROR($E$2/IF(Invoer_Referentie[[#This Row],[Productgroep]]="Categorie_1_LCA_Producten",VLOOKUP(Invoer_Referentie[[#This Row],[Product]],Categorie_1_Producten[#All],7,FALSE),VLOOKUP(Invoer_Referentie[[#This Row],[Product]]&amp;", "&amp;"Totaal",Database_Productkaarten[#All],15,FALSE))-1,0),0)</f>
        <v>0</v>
      </c>
      <c r="S47" s="350"/>
      <c r="T47" s="352"/>
      <c r="U47" s="352"/>
      <c r="V47" s="353"/>
      <c r="W47" s="390">
        <f>_xlfn.IFNA(VLOOKUP(Invoer_Referentie[[#This Row],[Product]],Brandstofverbuiken[#All],4,FALSE),0)</f>
        <v>0</v>
      </c>
      <c r="X47" s="390">
        <f>_xlfn.IFNA(VLOOKUP(Invoer_Referentie[[#This Row],[Product]],Brandstofverbuiken[#All],5,FALSE),0)</f>
        <v>0</v>
      </c>
      <c r="Y47" s="352"/>
      <c r="Z47" s="353"/>
      <c r="AA47" s="364">
        <f>_xlfn.IFNA(VLOOKUP(Invoer_Referentie[[#This Row],[Product]],Brandstofverbuiken[#All],7,FALSE),0)</f>
        <v>0</v>
      </c>
      <c r="AB47" s="390">
        <f>_xlfn.IFNA(VLOOKUP(Invoer_Referentie[[#This Row],[Product]],Brandstofverbuiken[#All],8,FALSE),0)</f>
        <v>0</v>
      </c>
      <c r="AC47" s="350"/>
      <c r="AD47" s="352"/>
      <c r="AE47" s="353"/>
      <c r="AF47" s="345"/>
    </row>
    <row r="48" spans="2:32" ht="15" hidden="1">
      <c r="B48" s="344"/>
      <c r="C48" s="345"/>
      <c r="D48" s="346"/>
      <c r="E48" s="347"/>
      <c r="F48" s="1"/>
      <c r="G48" s="348">
        <f>_xlfn.IFNA(VLOOKUP(Invoer_Referentie[[#This Row],[Product]],Database_Productkaarten[[Product]:[Comment]],64,FALSE),0)</f>
        <v>0</v>
      </c>
      <c r="H48" s="349">
        <f>_xlfn.IFNA(VLOOKUP(Invoer_Referentie[[#This Row],[Product]],Database_Productkaarten[[Product]:[Producttype]],3,FALSE),0)</f>
        <v>0</v>
      </c>
      <c r="I48" s="354"/>
      <c r="J48" s="348">
        <f>_xlfn.IFNA(VLOOKUP(Invoer_Referentie[[#This Row],[Product]],Database_Productkaarten[[Product]:[Eenheid]],4,FALSE),0)</f>
        <v>0</v>
      </c>
      <c r="K48" s="348"/>
      <c r="L48" s="348"/>
      <c r="M48" s="345"/>
      <c r="N48" s="351">
        <f>Invoer_Referentie[[#This Row],[Lengte'[m']]]*Invoer_Referentie[[#This Row],[Breedte '[m']]]</f>
        <v>0</v>
      </c>
      <c r="O48" s="345">
        <f>IFERROR(IF(Invoer_Referentie[[#This Row],[Oppervlakte '[m2']]]*Invoer_Referentie[[#This Row],[Dikte '[m']]]=0,Invoer_Referentie[[#This Row],[Gewicht '[ton']]]/Invoer_Referentie[[#This Row],[Soortelijk gewicht '[ton / m3']]],Invoer_Referentie[[#This Row],[Oppervlakte '[m2']]]*Invoer_Referentie[[#This Row],[Dikte '[m']]]),0)</f>
        <v>0</v>
      </c>
      <c r="P48" s="345">
        <f>_xlfn.IFNA(VLOOKUP(Invoer_Referentie[[#This Row],[Product]],Database_Productkaarten[[Product]:[Soortelijk Gewicht '[ton / m3']]],11,FALSE),0)</f>
        <v>0</v>
      </c>
      <c r="Q48" s="350">
        <f>_xlfn.IFNA(VLOOKUP(Invoer_Referentie[[#This Row],[Product]],Database_Productkaarten[[Product]:[Gewicht '[ton'] / Eenheid]],12,FALSE)*Invoer_Referentie[[#This Row],[Aantal Eenheden]],0)</f>
        <v>0</v>
      </c>
      <c r="R48" s="350">
        <f>MAX(IFERROR($E$2/IF(Invoer_Referentie[[#This Row],[Productgroep]]="Categorie_1_LCA_Producten",VLOOKUP(Invoer_Referentie[[#This Row],[Product]],Categorie_1_Producten[#All],7,FALSE),VLOOKUP(Invoer_Referentie[[#This Row],[Product]]&amp;", "&amp;"Totaal",Database_Productkaarten[#All],15,FALSE))-1,0),0)</f>
        <v>0</v>
      </c>
      <c r="S48" s="350"/>
      <c r="T48" s="352"/>
      <c r="U48" s="352"/>
      <c r="V48" s="353"/>
      <c r="W48" s="390">
        <f>_xlfn.IFNA(VLOOKUP(Invoer_Referentie[[#This Row],[Product]],Brandstofverbuiken[#All],4,FALSE),0)</f>
        <v>0</v>
      </c>
      <c r="X48" s="390">
        <f>_xlfn.IFNA(VLOOKUP(Invoer_Referentie[[#This Row],[Product]],Brandstofverbuiken[#All],5,FALSE),0)</f>
        <v>0</v>
      </c>
      <c r="Y48" s="352"/>
      <c r="Z48" s="353"/>
      <c r="AA48" s="364">
        <f>_xlfn.IFNA(VLOOKUP(Invoer_Referentie[[#This Row],[Product]],Brandstofverbuiken[#All],7,FALSE),0)</f>
        <v>0</v>
      </c>
      <c r="AB48" s="390">
        <f>_xlfn.IFNA(VLOOKUP(Invoer_Referentie[[#This Row],[Product]],Brandstofverbuiken[#All],8,FALSE),0)</f>
        <v>0</v>
      </c>
      <c r="AC48" s="350"/>
      <c r="AD48" s="352"/>
      <c r="AE48" s="353"/>
      <c r="AF48" s="345"/>
    </row>
    <row r="49" spans="2:32" ht="15" hidden="1">
      <c r="B49" s="344"/>
      <c r="C49" s="345"/>
      <c r="D49" s="346"/>
      <c r="E49" s="347"/>
      <c r="F49" s="1"/>
      <c r="G49" s="348">
        <f>_xlfn.IFNA(VLOOKUP(Invoer_Referentie[[#This Row],[Product]],Database_Productkaarten[[Product]:[Comment]],64,FALSE),0)</f>
        <v>0</v>
      </c>
      <c r="H49" s="349">
        <f>_xlfn.IFNA(VLOOKUP(Invoer_Referentie[[#This Row],[Product]],Database_Productkaarten[[Product]:[Producttype]],3,FALSE),0)</f>
        <v>0</v>
      </c>
      <c r="I49" s="354"/>
      <c r="J49" s="348">
        <f>_xlfn.IFNA(VLOOKUP(Invoer_Referentie[[#This Row],[Product]],Database_Productkaarten[[Product]:[Eenheid]],4,FALSE),0)</f>
        <v>0</v>
      </c>
      <c r="K49" s="348"/>
      <c r="L49" s="348"/>
      <c r="M49" s="345"/>
      <c r="N49" s="351">
        <f>Invoer_Referentie[[#This Row],[Lengte'[m']]]*Invoer_Referentie[[#This Row],[Breedte '[m']]]</f>
        <v>0</v>
      </c>
      <c r="O49" s="345">
        <f>IFERROR(IF(Invoer_Referentie[[#This Row],[Oppervlakte '[m2']]]*Invoer_Referentie[[#This Row],[Dikte '[m']]]=0,Invoer_Referentie[[#This Row],[Gewicht '[ton']]]/Invoer_Referentie[[#This Row],[Soortelijk gewicht '[ton / m3']]],Invoer_Referentie[[#This Row],[Oppervlakte '[m2']]]*Invoer_Referentie[[#This Row],[Dikte '[m']]]),0)</f>
        <v>0</v>
      </c>
      <c r="P49" s="345">
        <f>_xlfn.IFNA(VLOOKUP(Invoer_Referentie[[#This Row],[Product]],Database_Productkaarten[[Product]:[Soortelijk Gewicht '[ton / m3']]],11,FALSE),0)</f>
        <v>0</v>
      </c>
      <c r="Q49" s="350">
        <f>_xlfn.IFNA(VLOOKUP(Invoer_Referentie[[#This Row],[Product]],Database_Productkaarten[[Product]:[Gewicht '[ton'] / Eenheid]],12,FALSE)*Invoer_Referentie[[#This Row],[Aantal Eenheden]],0)</f>
        <v>0</v>
      </c>
      <c r="R49" s="350">
        <f>MAX(IFERROR($E$2/IF(Invoer_Referentie[[#This Row],[Productgroep]]="Categorie_1_LCA_Producten",VLOOKUP(Invoer_Referentie[[#This Row],[Product]],Categorie_1_Producten[#All],7,FALSE),VLOOKUP(Invoer_Referentie[[#This Row],[Product]]&amp;", "&amp;"Totaal",Database_Productkaarten[#All],15,FALSE))-1,0),0)</f>
        <v>0</v>
      </c>
      <c r="S49" s="350"/>
      <c r="T49" s="352"/>
      <c r="U49" s="352"/>
      <c r="V49" s="353"/>
      <c r="W49" s="390">
        <f>_xlfn.IFNA(VLOOKUP(Invoer_Referentie[[#This Row],[Product]],Brandstofverbuiken[#All],4,FALSE),0)</f>
        <v>0</v>
      </c>
      <c r="X49" s="390">
        <f>_xlfn.IFNA(VLOOKUP(Invoer_Referentie[[#This Row],[Product]],Brandstofverbuiken[#All],5,FALSE),0)</f>
        <v>0</v>
      </c>
      <c r="Y49" s="352"/>
      <c r="Z49" s="353"/>
      <c r="AA49" s="364">
        <f>_xlfn.IFNA(VLOOKUP(Invoer_Referentie[[#This Row],[Product]],Brandstofverbuiken[#All],7,FALSE),0)</f>
        <v>0</v>
      </c>
      <c r="AB49" s="390">
        <f>_xlfn.IFNA(VLOOKUP(Invoer_Referentie[[#This Row],[Product]],Brandstofverbuiken[#All],8,FALSE),0)</f>
        <v>0</v>
      </c>
      <c r="AC49" s="350"/>
      <c r="AD49" s="352"/>
      <c r="AE49" s="353"/>
      <c r="AF49" s="345"/>
    </row>
    <row r="50" spans="2:32" ht="15" hidden="1">
      <c r="B50" s="344"/>
      <c r="C50" s="345"/>
      <c r="D50" s="346"/>
      <c r="E50" s="347"/>
      <c r="F50" s="1"/>
      <c r="G50" s="348">
        <f>_xlfn.IFNA(VLOOKUP(Invoer_Referentie[[#This Row],[Product]],Database_Productkaarten[[Product]:[Comment]],64,FALSE),0)</f>
        <v>0</v>
      </c>
      <c r="H50" s="349">
        <f>_xlfn.IFNA(VLOOKUP(Invoer_Referentie[[#This Row],[Product]],Database_Productkaarten[[Product]:[Producttype]],3,FALSE),0)</f>
        <v>0</v>
      </c>
      <c r="I50" s="354"/>
      <c r="J50" s="348">
        <f>_xlfn.IFNA(VLOOKUP(Invoer_Referentie[[#This Row],[Product]],Database_Productkaarten[[Product]:[Eenheid]],4,FALSE),0)</f>
        <v>0</v>
      </c>
      <c r="K50" s="348"/>
      <c r="L50" s="348"/>
      <c r="M50" s="345"/>
      <c r="N50" s="351">
        <f>Invoer_Referentie[[#This Row],[Lengte'[m']]]*Invoer_Referentie[[#This Row],[Breedte '[m']]]</f>
        <v>0</v>
      </c>
      <c r="O50" s="345">
        <f>IFERROR(IF(Invoer_Referentie[[#This Row],[Oppervlakte '[m2']]]*Invoer_Referentie[[#This Row],[Dikte '[m']]]=0,Invoer_Referentie[[#This Row],[Gewicht '[ton']]]/Invoer_Referentie[[#This Row],[Soortelijk gewicht '[ton / m3']]],Invoer_Referentie[[#This Row],[Oppervlakte '[m2']]]*Invoer_Referentie[[#This Row],[Dikte '[m']]]),0)</f>
        <v>0</v>
      </c>
      <c r="P50" s="345">
        <f>_xlfn.IFNA(VLOOKUP(Invoer_Referentie[[#This Row],[Product]],Database_Productkaarten[[Product]:[Soortelijk Gewicht '[ton / m3']]],11,FALSE),0)</f>
        <v>0</v>
      </c>
      <c r="Q50" s="350">
        <f>_xlfn.IFNA(VLOOKUP(Invoer_Referentie[[#This Row],[Product]],Database_Productkaarten[[Product]:[Gewicht '[ton'] / Eenheid]],12,FALSE)*Invoer_Referentie[[#This Row],[Aantal Eenheden]],0)</f>
        <v>0</v>
      </c>
      <c r="R50" s="350">
        <f>MAX(IFERROR($E$2/IF(Invoer_Referentie[[#This Row],[Productgroep]]="Categorie_1_LCA_Producten",VLOOKUP(Invoer_Referentie[[#This Row],[Product]],Categorie_1_Producten[#All],7,FALSE),VLOOKUP(Invoer_Referentie[[#This Row],[Product]]&amp;", "&amp;"Totaal",Database_Productkaarten[#All],15,FALSE))-1,0),0)</f>
        <v>0</v>
      </c>
      <c r="S50" s="350"/>
      <c r="T50" s="352"/>
      <c r="U50" s="352"/>
      <c r="V50" s="353"/>
      <c r="W50" s="390">
        <f>_xlfn.IFNA(VLOOKUP(Invoer_Referentie[[#This Row],[Product]],Brandstofverbuiken[#All],4,FALSE),0)</f>
        <v>0</v>
      </c>
      <c r="X50" s="390">
        <f>_xlfn.IFNA(VLOOKUP(Invoer_Referentie[[#This Row],[Product]],Brandstofverbuiken[#All],5,FALSE),0)</f>
        <v>0</v>
      </c>
      <c r="Y50" s="352"/>
      <c r="Z50" s="353"/>
      <c r="AA50" s="364">
        <f>_xlfn.IFNA(VLOOKUP(Invoer_Referentie[[#This Row],[Product]],Brandstofverbuiken[#All],7,FALSE),0)</f>
        <v>0</v>
      </c>
      <c r="AB50" s="390">
        <f>_xlfn.IFNA(VLOOKUP(Invoer_Referentie[[#This Row],[Product]],Brandstofverbuiken[#All],8,FALSE),0)</f>
        <v>0</v>
      </c>
      <c r="AC50" s="350"/>
      <c r="AD50" s="352"/>
      <c r="AE50" s="353"/>
      <c r="AF50" s="345"/>
    </row>
    <row r="51" spans="2:32" ht="15" hidden="1">
      <c r="B51" s="344"/>
      <c r="C51" s="345"/>
      <c r="D51" s="346"/>
      <c r="E51" s="347"/>
      <c r="F51" s="1"/>
      <c r="G51" s="348">
        <f>_xlfn.IFNA(VLOOKUP(Invoer_Referentie[[#This Row],[Product]],Database_Productkaarten[[Product]:[Comment]],64,FALSE),0)</f>
        <v>0</v>
      </c>
      <c r="H51" s="349">
        <f>_xlfn.IFNA(VLOOKUP(Invoer_Referentie[[#This Row],[Product]],Database_Productkaarten[[Product]:[Producttype]],3,FALSE),0)</f>
        <v>0</v>
      </c>
      <c r="I51" s="354"/>
      <c r="J51" s="348">
        <f>_xlfn.IFNA(VLOOKUP(Invoer_Referentie[[#This Row],[Product]],Database_Productkaarten[[Product]:[Eenheid]],4,FALSE),0)</f>
        <v>0</v>
      </c>
      <c r="K51" s="348"/>
      <c r="L51" s="348"/>
      <c r="M51" s="345"/>
      <c r="N51" s="351">
        <f>Invoer_Referentie[[#This Row],[Lengte'[m']]]*Invoer_Referentie[[#This Row],[Breedte '[m']]]</f>
        <v>0</v>
      </c>
      <c r="O51" s="345">
        <f>IFERROR(IF(Invoer_Referentie[[#This Row],[Oppervlakte '[m2']]]*Invoer_Referentie[[#This Row],[Dikte '[m']]]=0,Invoer_Referentie[[#This Row],[Gewicht '[ton']]]/Invoer_Referentie[[#This Row],[Soortelijk gewicht '[ton / m3']]],Invoer_Referentie[[#This Row],[Oppervlakte '[m2']]]*Invoer_Referentie[[#This Row],[Dikte '[m']]]),0)</f>
        <v>0</v>
      </c>
      <c r="P51" s="345">
        <f>_xlfn.IFNA(VLOOKUP(Invoer_Referentie[[#This Row],[Product]],Database_Productkaarten[[Product]:[Soortelijk Gewicht '[ton / m3']]],11,FALSE),0)</f>
        <v>0</v>
      </c>
      <c r="Q51" s="350">
        <f>_xlfn.IFNA(VLOOKUP(Invoer_Referentie[[#This Row],[Product]],Database_Productkaarten[[Product]:[Gewicht '[ton'] / Eenheid]],12,FALSE)*Invoer_Referentie[[#This Row],[Aantal Eenheden]],0)</f>
        <v>0</v>
      </c>
      <c r="R51" s="350">
        <f>MAX(IFERROR($E$2/IF(Invoer_Referentie[[#This Row],[Productgroep]]="Categorie_1_LCA_Producten",VLOOKUP(Invoer_Referentie[[#This Row],[Product]],Categorie_1_Producten[#All],7,FALSE),VLOOKUP(Invoer_Referentie[[#This Row],[Product]]&amp;", "&amp;"Totaal",Database_Productkaarten[#All],15,FALSE))-1,0),0)</f>
        <v>0</v>
      </c>
      <c r="S51" s="350"/>
      <c r="T51" s="352"/>
      <c r="U51" s="352"/>
      <c r="V51" s="353"/>
      <c r="W51" s="390">
        <f>_xlfn.IFNA(VLOOKUP(Invoer_Referentie[[#This Row],[Product]],Brandstofverbuiken[#All],4,FALSE),0)</f>
        <v>0</v>
      </c>
      <c r="X51" s="390">
        <f>_xlfn.IFNA(VLOOKUP(Invoer_Referentie[[#This Row],[Product]],Brandstofverbuiken[#All],5,FALSE),0)</f>
        <v>0</v>
      </c>
      <c r="Y51" s="352"/>
      <c r="Z51" s="353"/>
      <c r="AA51" s="364">
        <f>_xlfn.IFNA(VLOOKUP(Invoer_Referentie[[#This Row],[Product]],Brandstofverbuiken[#All],7,FALSE),0)</f>
        <v>0</v>
      </c>
      <c r="AB51" s="390">
        <f>_xlfn.IFNA(VLOOKUP(Invoer_Referentie[[#This Row],[Product]],Brandstofverbuiken[#All],8,FALSE),0)</f>
        <v>0</v>
      </c>
      <c r="AC51" s="350"/>
      <c r="AD51" s="352"/>
      <c r="AE51" s="353"/>
      <c r="AF51" s="345"/>
    </row>
    <row r="52" spans="2:32" ht="15" hidden="1">
      <c r="B52" s="344"/>
      <c r="C52" s="345"/>
      <c r="D52" s="346"/>
      <c r="E52" s="347"/>
      <c r="F52" s="1"/>
      <c r="G52" s="348">
        <f>_xlfn.IFNA(VLOOKUP(Invoer_Referentie[[#This Row],[Product]],Database_Productkaarten[[Product]:[Comment]],64,FALSE),0)</f>
        <v>0</v>
      </c>
      <c r="H52" s="349">
        <f>_xlfn.IFNA(VLOOKUP(Invoer_Referentie[[#This Row],[Product]],Database_Productkaarten[[Product]:[Producttype]],3,FALSE),0)</f>
        <v>0</v>
      </c>
      <c r="I52" s="354"/>
      <c r="J52" s="348">
        <f>_xlfn.IFNA(VLOOKUP(Invoer_Referentie[[#This Row],[Product]],Database_Productkaarten[[Product]:[Eenheid]],4,FALSE),0)</f>
        <v>0</v>
      </c>
      <c r="K52" s="348"/>
      <c r="L52" s="348"/>
      <c r="M52" s="345"/>
      <c r="N52" s="351">
        <f>Invoer_Referentie[[#This Row],[Lengte'[m']]]*Invoer_Referentie[[#This Row],[Breedte '[m']]]</f>
        <v>0</v>
      </c>
      <c r="O52" s="345">
        <f>IFERROR(IF(Invoer_Referentie[[#This Row],[Oppervlakte '[m2']]]*Invoer_Referentie[[#This Row],[Dikte '[m']]]=0,Invoer_Referentie[[#This Row],[Gewicht '[ton']]]/Invoer_Referentie[[#This Row],[Soortelijk gewicht '[ton / m3']]],Invoer_Referentie[[#This Row],[Oppervlakte '[m2']]]*Invoer_Referentie[[#This Row],[Dikte '[m']]]),0)</f>
        <v>0</v>
      </c>
      <c r="P52" s="345">
        <f>_xlfn.IFNA(VLOOKUP(Invoer_Referentie[[#This Row],[Product]],Database_Productkaarten[[Product]:[Soortelijk Gewicht '[ton / m3']]],11,FALSE),0)</f>
        <v>0</v>
      </c>
      <c r="Q52" s="350">
        <f>_xlfn.IFNA(VLOOKUP(Invoer_Referentie[[#This Row],[Product]],Database_Productkaarten[[Product]:[Gewicht '[ton'] / Eenheid]],12,FALSE)*Invoer_Referentie[[#This Row],[Aantal Eenheden]],0)</f>
        <v>0</v>
      </c>
      <c r="R52" s="350">
        <f>MAX(IFERROR($E$2/IF(Invoer_Referentie[[#This Row],[Productgroep]]="Categorie_1_LCA_Producten",VLOOKUP(Invoer_Referentie[[#This Row],[Product]],Categorie_1_Producten[#All],7,FALSE),VLOOKUP(Invoer_Referentie[[#This Row],[Product]]&amp;", "&amp;"Totaal",Database_Productkaarten[#All],15,FALSE))-1,0),0)</f>
        <v>0</v>
      </c>
      <c r="S52" s="350"/>
      <c r="T52" s="352"/>
      <c r="U52" s="352"/>
      <c r="V52" s="353"/>
      <c r="W52" s="390">
        <f>_xlfn.IFNA(VLOOKUP(Invoer_Referentie[[#This Row],[Product]],Brandstofverbuiken[#All],4,FALSE),0)</f>
        <v>0</v>
      </c>
      <c r="X52" s="390">
        <f>_xlfn.IFNA(VLOOKUP(Invoer_Referentie[[#This Row],[Product]],Brandstofverbuiken[#All],5,FALSE),0)</f>
        <v>0</v>
      </c>
      <c r="Y52" s="352"/>
      <c r="Z52" s="353"/>
      <c r="AA52" s="364">
        <f>_xlfn.IFNA(VLOOKUP(Invoer_Referentie[[#This Row],[Product]],Brandstofverbuiken[#All],7,FALSE),0)</f>
        <v>0</v>
      </c>
      <c r="AB52" s="390">
        <f>_xlfn.IFNA(VLOOKUP(Invoer_Referentie[[#This Row],[Product]],Brandstofverbuiken[#All],8,FALSE),0)</f>
        <v>0</v>
      </c>
      <c r="AC52" s="350"/>
      <c r="AD52" s="352"/>
      <c r="AE52" s="353"/>
      <c r="AF52" s="345"/>
    </row>
    <row r="53" spans="2:32" ht="15" hidden="1">
      <c r="B53" s="344"/>
      <c r="C53" s="345"/>
      <c r="D53" s="346"/>
      <c r="E53" s="347"/>
      <c r="F53" s="1"/>
      <c r="G53" s="348">
        <f>_xlfn.IFNA(VLOOKUP(Invoer_Referentie[[#This Row],[Product]],Database_Productkaarten[[Product]:[Comment]],64,FALSE),0)</f>
        <v>0</v>
      </c>
      <c r="H53" s="349">
        <f>_xlfn.IFNA(VLOOKUP(Invoer_Referentie[[#This Row],[Product]],Database_Productkaarten[[Product]:[Producttype]],3,FALSE),0)</f>
        <v>0</v>
      </c>
      <c r="I53" s="354"/>
      <c r="J53" s="348">
        <f>_xlfn.IFNA(VLOOKUP(Invoer_Referentie[[#This Row],[Product]],Database_Productkaarten[[Product]:[Eenheid]],4,FALSE),0)</f>
        <v>0</v>
      </c>
      <c r="K53" s="348"/>
      <c r="L53" s="348"/>
      <c r="M53" s="345"/>
      <c r="N53" s="351">
        <f>Invoer_Referentie[[#This Row],[Lengte'[m']]]*Invoer_Referentie[[#This Row],[Breedte '[m']]]</f>
        <v>0</v>
      </c>
      <c r="O53" s="345">
        <f>IFERROR(IF(Invoer_Referentie[[#This Row],[Oppervlakte '[m2']]]*Invoer_Referentie[[#This Row],[Dikte '[m']]]=0,Invoer_Referentie[[#This Row],[Gewicht '[ton']]]/Invoer_Referentie[[#This Row],[Soortelijk gewicht '[ton / m3']]],Invoer_Referentie[[#This Row],[Oppervlakte '[m2']]]*Invoer_Referentie[[#This Row],[Dikte '[m']]]),0)</f>
        <v>0</v>
      </c>
      <c r="P53" s="345">
        <f>_xlfn.IFNA(VLOOKUP(Invoer_Referentie[[#This Row],[Product]],Database_Productkaarten[[Product]:[Soortelijk Gewicht '[ton / m3']]],11,FALSE),0)</f>
        <v>0</v>
      </c>
      <c r="Q53" s="350">
        <f>_xlfn.IFNA(VLOOKUP(Invoer_Referentie[[#This Row],[Product]],Database_Productkaarten[[Product]:[Gewicht '[ton'] / Eenheid]],12,FALSE)*Invoer_Referentie[[#This Row],[Aantal Eenheden]],0)</f>
        <v>0</v>
      </c>
      <c r="R53" s="350">
        <f>MAX(IFERROR($E$2/IF(Invoer_Referentie[[#This Row],[Productgroep]]="Categorie_1_LCA_Producten",VLOOKUP(Invoer_Referentie[[#This Row],[Product]],Categorie_1_Producten[#All],7,FALSE),VLOOKUP(Invoer_Referentie[[#This Row],[Product]]&amp;", "&amp;"Totaal",Database_Productkaarten[#All],15,FALSE))-1,0),0)</f>
        <v>0</v>
      </c>
      <c r="S53" s="350"/>
      <c r="T53" s="352"/>
      <c r="U53" s="352"/>
      <c r="V53" s="353"/>
      <c r="W53" s="390">
        <f>_xlfn.IFNA(VLOOKUP(Invoer_Referentie[[#This Row],[Product]],Brandstofverbuiken[#All],4,FALSE),0)</f>
        <v>0</v>
      </c>
      <c r="X53" s="390">
        <f>_xlfn.IFNA(VLOOKUP(Invoer_Referentie[[#This Row],[Product]],Brandstofverbuiken[#All],5,FALSE),0)</f>
        <v>0</v>
      </c>
      <c r="Y53" s="352"/>
      <c r="Z53" s="353"/>
      <c r="AA53" s="364">
        <f>_xlfn.IFNA(VLOOKUP(Invoer_Referentie[[#This Row],[Product]],Brandstofverbuiken[#All],7,FALSE),0)</f>
        <v>0</v>
      </c>
      <c r="AB53" s="390">
        <f>_xlfn.IFNA(VLOOKUP(Invoer_Referentie[[#This Row],[Product]],Brandstofverbuiken[#All],8,FALSE),0)</f>
        <v>0</v>
      </c>
      <c r="AC53" s="350"/>
      <c r="AD53" s="352"/>
      <c r="AE53" s="353"/>
      <c r="AF53" s="345"/>
    </row>
    <row r="54" spans="2:32" ht="15" hidden="1">
      <c r="B54" s="344"/>
      <c r="C54" s="345"/>
      <c r="D54" s="346"/>
      <c r="E54" s="347"/>
      <c r="F54" s="1"/>
      <c r="G54" s="348">
        <f>_xlfn.IFNA(VLOOKUP(Invoer_Referentie[[#This Row],[Product]],Database_Productkaarten[[Product]:[Comment]],64,FALSE),0)</f>
        <v>0</v>
      </c>
      <c r="H54" s="349">
        <f>_xlfn.IFNA(VLOOKUP(Invoer_Referentie[[#This Row],[Product]],Database_Productkaarten[[Product]:[Producttype]],3,FALSE),0)</f>
        <v>0</v>
      </c>
      <c r="I54" s="354"/>
      <c r="J54" s="348">
        <f>_xlfn.IFNA(VLOOKUP(Invoer_Referentie[[#This Row],[Product]],Database_Productkaarten[[Product]:[Eenheid]],4,FALSE),0)</f>
        <v>0</v>
      </c>
      <c r="K54" s="348"/>
      <c r="L54" s="348"/>
      <c r="M54" s="345"/>
      <c r="N54" s="351">
        <f>Invoer_Referentie[[#This Row],[Lengte'[m']]]*Invoer_Referentie[[#This Row],[Breedte '[m']]]</f>
        <v>0</v>
      </c>
      <c r="O54" s="345">
        <f>IFERROR(IF(Invoer_Referentie[[#This Row],[Oppervlakte '[m2']]]*Invoer_Referentie[[#This Row],[Dikte '[m']]]=0,Invoer_Referentie[[#This Row],[Gewicht '[ton']]]/Invoer_Referentie[[#This Row],[Soortelijk gewicht '[ton / m3']]],Invoer_Referentie[[#This Row],[Oppervlakte '[m2']]]*Invoer_Referentie[[#This Row],[Dikte '[m']]]),0)</f>
        <v>0</v>
      </c>
      <c r="P54" s="345">
        <f>_xlfn.IFNA(VLOOKUP(Invoer_Referentie[[#This Row],[Product]],Database_Productkaarten[[Product]:[Soortelijk Gewicht '[ton / m3']]],11,FALSE),0)</f>
        <v>0</v>
      </c>
      <c r="Q54" s="350">
        <f>_xlfn.IFNA(VLOOKUP(Invoer_Referentie[[#This Row],[Product]],Database_Productkaarten[[Product]:[Gewicht '[ton'] / Eenheid]],12,FALSE)*Invoer_Referentie[[#This Row],[Aantal Eenheden]],0)</f>
        <v>0</v>
      </c>
      <c r="R54" s="350">
        <f>MAX(IFERROR($E$2/IF(Invoer_Referentie[[#This Row],[Productgroep]]="Categorie_1_LCA_Producten",VLOOKUP(Invoer_Referentie[[#This Row],[Product]],Categorie_1_Producten[#All],7,FALSE),VLOOKUP(Invoer_Referentie[[#This Row],[Product]]&amp;", "&amp;"Totaal",Database_Productkaarten[#All],15,FALSE))-1,0),0)</f>
        <v>0</v>
      </c>
      <c r="S54" s="350"/>
      <c r="T54" s="352"/>
      <c r="U54" s="352"/>
      <c r="V54" s="353"/>
      <c r="W54" s="390">
        <f>_xlfn.IFNA(VLOOKUP(Invoer_Referentie[[#This Row],[Product]],Brandstofverbuiken[#All],4,FALSE),0)</f>
        <v>0</v>
      </c>
      <c r="X54" s="390">
        <f>_xlfn.IFNA(VLOOKUP(Invoer_Referentie[[#This Row],[Product]],Brandstofverbuiken[#All],5,FALSE),0)</f>
        <v>0</v>
      </c>
      <c r="Y54" s="352"/>
      <c r="Z54" s="353"/>
      <c r="AA54" s="364">
        <f>_xlfn.IFNA(VLOOKUP(Invoer_Referentie[[#This Row],[Product]],Brandstofverbuiken[#All],7,FALSE),0)</f>
        <v>0</v>
      </c>
      <c r="AB54" s="390">
        <f>_xlfn.IFNA(VLOOKUP(Invoer_Referentie[[#This Row],[Product]],Brandstofverbuiken[#All],8,FALSE),0)</f>
        <v>0</v>
      </c>
      <c r="AC54" s="350"/>
      <c r="AD54" s="352"/>
      <c r="AE54" s="353"/>
      <c r="AF54" s="345"/>
    </row>
    <row r="55" spans="2:32" ht="15" hidden="1">
      <c r="B55" s="344"/>
      <c r="C55" s="345"/>
      <c r="D55" s="346"/>
      <c r="E55" s="347"/>
      <c r="F55" s="1"/>
      <c r="G55" s="348">
        <f>_xlfn.IFNA(VLOOKUP(Invoer_Referentie[[#This Row],[Product]],Database_Productkaarten[[Product]:[Comment]],64,FALSE),0)</f>
        <v>0</v>
      </c>
      <c r="H55" s="349">
        <f>_xlfn.IFNA(VLOOKUP(Invoer_Referentie[[#This Row],[Product]],Database_Productkaarten[[Product]:[Producttype]],3,FALSE),0)</f>
        <v>0</v>
      </c>
      <c r="I55" s="354"/>
      <c r="J55" s="348">
        <f>_xlfn.IFNA(VLOOKUP(Invoer_Referentie[[#This Row],[Product]],Database_Productkaarten[[Product]:[Eenheid]],4,FALSE),0)</f>
        <v>0</v>
      </c>
      <c r="K55" s="348"/>
      <c r="L55" s="348"/>
      <c r="M55" s="345"/>
      <c r="N55" s="351">
        <f>Invoer_Referentie[[#This Row],[Lengte'[m']]]*Invoer_Referentie[[#This Row],[Breedte '[m']]]</f>
        <v>0</v>
      </c>
      <c r="O55" s="345">
        <f>IFERROR(IF(Invoer_Referentie[[#This Row],[Oppervlakte '[m2']]]*Invoer_Referentie[[#This Row],[Dikte '[m']]]=0,Invoer_Referentie[[#This Row],[Gewicht '[ton']]]/Invoer_Referentie[[#This Row],[Soortelijk gewicht '[ton / m3']]],Invoer_Referentie[[#This Row],[Oppervlakte '[m2']]]*Invoer_Referentie[[#This Row],[Dikte '[m']]]),0)</f>
        <v>0</v>
      </c>
      <c r="P55" s="345">
        <f>_xlfn.IFNA(VLOOKUP(Invoer_Referentie[[#This Row],[Product]],Database_Productkaarten[[Product]:[Soortelijk Gewicht '[ton / m3']]],11,FALSE),0)</f>
        <v>0</v>
      </c>
      <c r="Q55" s="350">
        <f>_xlfn.IFNA(VLOOKUP(Invoer_Referentie[[#This Row],[Product]],Database_Productkaarten[[Product]:[Gewicht '[ton'] / Eenheid]],12,FALSE)*Invoer_Referentie[[#This Row],[Aantal Eenheden]],0)</f>
        <v>0</v>
      </c>
      <c r="R55" s="350">
        <f>MAX(IFERROR($E$2/IF(Invoer_Referentie[[#This Row],[Productgroep]]="Categorie_1_LCA_Producten",VLOOKUP(Invoer_Referentie[[#This Row],[Product]],Categorie_1_Producten[#All],7,FALSE),VLOOKUP(Invoer_Referentie[[#This Row],[Product]]&amp;", "&amp;"Totaal",Database_Productkaarten[#All],15,FALSE))-1,0),0)</f>
        <v>0</v>
      </c>
      <c r="S55" s="350"/>
      <c r="T55" s="352"/>
      <c r="U55" s="352"/>
      <c r="V55" s="353"/>
      <c r="W55" s="390">
        <f>_xlfn.IFNA(VLOOKUP(Invoer_Referentie[[#This Row],[Product]],Brandstofverbuiken[#All],4,FALSE),0)</f>
        <v>0</v>
      </c>
      <c r="X55" s="390">
        <f>_xlfn.IFNA(VLOOKUP(Invoer_Referentie[[#This Row],[Product]],Brandstofverbuiken[#All],5,FALSE),0)</f>
        <v>0</v>
      </c>
      <c r="Y55" s="352"/>
      <c r="Z55" s="353"/>
      <c r="AA55" s="364">
        <f>_xlfn.IFNA(VLOOKUP(Invoer_Referentie[[#This Row],[Product]],Brandstofverbuiken[#All],7,FALSE),0)</f>
        <v>0</v>
      </c>
      <c r="AB55" s="390">
        <f>_xlfn.IFNA(VLOOKUP(Invoer_Referentie[[#This Row],[Product]],Brandstofverbuiken[#All],8,FALSE),0)</f>
        <v>0</v>
      </c>
      <c r="AC55" s="350"/>
      <c r="AD55" s="352"/>
      <c r="AE55" s="353"/>
      <c r="AF55" s="345"/>
    </row>
    <row r="56" spans="2:32" ht="15" hidden="1">
      <c r="B56" s="344"/>
      <c r="C56" s="345"/>
      <c r="D56" s="346"/>
      <c r="E56" s="347"/>
      <c r="F56" s="1"/>
      <c r="G56" s="348">
        <f>_xlfn.IFNA(VLOOKUP(Invoer_Referentie[[#This Row],[Product]],Database_Productkaarten[[Product]:[Comment]],64,FALSE),0)</f>
        <v>0</v>
      </c>
      <c r="H56" s="349">
        <f>_xlfn.IFNA(VLOOKUP(Invoer_Referentie[[#This Row],[Product]],Database_Productkaarten[[Product]:[Producttype]],3,FALSE),0)</f>
        <v>0</v>
      </c>
      <c r="I56" s="354"/>
      <c r="J56" s="348">
        <f>_xlfn.IFNA(VLOOKUP(Invoer_Referentie[[#This Row],[Product]],Database_Productkaarten[[Product]:[Eenheid]],4,FALSE),0)</f>
        <v>0</v>
      </c>
      <c r="K56" s="348"/>
      <c r="L56" s="348"/>
      <c r="M56" s="345"/>
      <c r="N56" s="351">
        <f>Invoer_Referentie[[#This Row],[Lengte'[m']]]*Invoer_Referentie[[#This Row],[Breedte '[m']]]</f>
        <v>0</v>
      </c>
      <c r="O56" s="345">
        <f>IFERROR(IF(Invoer_Referentie[[#This Row],[Oppervlakte '[m2']]]*Invoer_Referentie[[#This Row],[Dikte '[m']]]=0,Invoer_Referentie[[#This Row],[Gewicht '[ton']]]/Invoer_Referentie[[#This Row],[Soortelijk gewicht '[ton / m3']]],Invoer_Referentie[[#This Row],[Oppervlakte '[m2']]]*Invoer_Referentie[[#This Row],[Dikte '[m']]]),0)</f>
        <v>0</v>
      </c>
      <c r="P56" s="345">
        <f>_xlfn.IFNA(VLOOKUP(Invoer_Referentie[[#This Row],[Product]],Database_Productkaarten[[Product]:[Soortelijk Gewicht '[ton / m3']]],11,FALSE),0)</f>
        <v>0</v>
      </c>
      <c r="Q56" s="350">
        <f>_xlfn.IFNA(VLOOKUP(Invoer_Referentie[[#This Row],[Product]],Database_Productkaarten[[Product]:[Gewicht '[ton'] / Eenheid]],12,FALSE)*Invoer_Referentie[[#This Row],[Aantal Eenheden]],0)</f>
        <v>0</v>
      </c>
      <c r="R56" s="350">
        <f>MAX(IFERROR($E$2/IF(Invoer_Referentie[[#This Row],[Productgroep]]="Categorie_1_LCA_Producten",VLOOKUP(Invoer_Referentie[[#This Row],[Product]],Categorie_1_Producten[#All],7,FALSE),VLOOKUP(Invoer_Referentie[[#This Row],[Product]]&amp;", "&amp;"Totaal",Database_Productkaarten[#All],15,FALSE))-1,0),0)</f>
        <v>0</v>
      </c>
      <c r="S56" s="350"/>
      <c r="T56" s="352"/>
      <c r="U56" s="352"/>
      <c r="V56" s="353"/>
      <c r="W56" s="390">
        <f>_xlfn.IFNA(VLOOKUP(Invoer_Referentie[[#This Row],[Product]],Brandstofverbuiken[#All],4,FALSE),0)</f>
        <v>0</v>
      </c>
      <c r="X56" s="390">
        <f>_xlfn.IFNA(VLOOKUP(Invoer_Referentie[[#This Row],[Product]],Brandstofverbuiken[#All],5,FALSE),0)</f>
        <v>0</v>
      </c>
      <c r="Y56" s="352"/>
      <c r="Z56" s="353"/>
      <c r="AA56" s="364">
        <f>_xlfn.IFNA(VLOOKUP(Invoer_Referentie[[#This Row],[Product]],Brandstofverbuiken[#All],7,FALSE),0)</f>
        <v>0</v>
      </c>
      <c r="AB56" s="390">
        <f>_xlfn.IFNA(VLOOKUP(Invoer_Referentie[[#This Row],[Product]],Brandstofverbuiken[#All],8,FALSE),0)</f>
        <v>0</v>
      </c>
      <c r="AC56" s="350"/>
      <c r="AD56" s="352"/>
      <c r="AE56" s="353"/>
      <c r="AF56" s="345"/>
    </row>
    <row r="57" spans="2:32" ht="15" hidden="1">
      <c r="B57" s="344"/>
      <c r="C57" s="345"/>
      <c r="D57" s="346"/>
      <c r="E57" s="347"/>
      <c r="F57" s="1"/>
      <c r="G57" s="348">
        <f>_xlfn.IFNA(VLOOKUP(Invoer_Referentie[[#This Row],[Product]],Database_Productkaarten[[Product]:[Comment]],64,FALSE),0)</f>
        <v>0</v>
      </c>
      <c r="H57" s="349">
        <f>_xlfn.IFNA(VLOOKUP(Invoer_Referentie[[#This Row],[Product]],Database_Productkaarten[[Product]:[Producttype]],3,FALSE),0)</f>
        <v>0</v>
      </c>
      <c r="I57" s="354"/>
      <c r="J57" s="348">
        <f>_xlfn.IFNA(VLOOKUP(Invoer_Referentie[[#This Row],[Product]],Database_Productkaarten[[Product]:[Eenheid]],4,FALSE),0)</f>
        <v>0</v>
      </c>
      <c r="K57" s="348"/>
      <c r="L57" s="348"/>
      <c r="M57" s="345"/>
      <c r="N57" s="351">
        <f>Invoer_Referentie[[#This Row],[Lengte'[m']]]*Invoer_Referentie[[#This Row],[Breedte '[m']]]</f>
        <v>0</v>
      </c>
      <c r="O57" s="345">
        <f>IFERROR(IF(Invoer_Referentie[[#This Row],[Oppervlakte '[m2']]]*Invoer_Referentie[[#This Row],[Dikte '[m']]]=0,Invoer_Referentie[[#This Row],[Gewicht '[ton']]]/Invoer_Referentie[[#This Row],[Soortelijk gewicht '[ton / m3']]],Invoer_Referentie[[#This Row],[Oppervlakte '[m2']]]*Invoer_Referentie[[#This Row],[Dikte '[m']]]),0)</f>
        <v>0</v>
      </c>
      <c r="P57" s="345">
        <f>_xlfn.IFNA(VLOOKUP(Invoer_Referentie[[#This Row],[Product]],Database_Productkaarten[[Product]:[Soortelijk Gewicht '[ton / m3']]],11,FALSE),0)</f>
        <v>0</v>
      </c>
      <c r="Q57" s="350">
        <f>_xlfn.IFNA(VLOOKUP(Invoer_Referentie[[#This Row],[Product]],Database_Productkaarten[[Product]:[Gewicht '[ton'] / Eenheid]],12,FALSE)*Invoer_Referentie[[#This Row],[Aantal Eenheden]],0)</f>
        <v>0</v>
      </c>
      <c r="R57" s="350">
        <f>MAX(IFERROR($E$2/IF(Invoer_Referentie[[#This Row],[Productgroep]]="Categorie_1_LCA_Producten",VLOOKUP(Invoer_Referentie[[#This Row],[Product]],Categorie_1_Producten[#All],7,FALSE),VLOOKUP(Invoer_Referentie[[#This Row],[Product]]&amp;", "&amp;"Totaal",Database_Productkaarten[#All],15,FALSE))-1,0),0)</f>
        <v>0</v>
      </c>
      <c r="S57" s="350"/>
      <c r="T57" s="352"/>
      <c r="U57" s="352"/>
      <c r="V57" s="353"/>
      <c r="W57" s="390">
        <f>_xlfn.IFNA(VLOOKUP(Invoer_Referentie[[#This Row],[Product]],Brandstofverbuiken[#All],4,FALSE),0)</f>
        <v>0</v>
      </c>
      <c r="X57" s="390">
        <f>_xlfn.IFNA(VLOOKUP(Invoer_Referentie[[#This Row],[Product]],Brandstofverbuiken[#All],5,FALSE),0)</f>
        <v>0</v>
      </c>
      <c r="Y57" s="352"/>
      <c r="Z57" s="353"/>
      <c r="AA57" s="364">
        <f>_xlfn.IFNA(VLOOKUP(Invoer_Referentie[[#This Row],[Product]],Brandstofverbuiken[#All],7,FALSE),0)</f>
        <v>0</v>
      </c>
      <c r="AB57" s="390">
        <f>_xlfn.IFNA(VLOOKUP(Invoer_Referentie[[#This Row],[Product]],Brandstofverbuiken[#All],8,FALSE),0)</f>
        <v>0</v>
      </c>
      <c r="AC57" s="350"/>
      <c r="AD57" s="352"/>
      <c r="AE57" s="353"/>
      <c r="AF57" s="345"/>
    </row>
    <row r="58" spans="2:32" ht="15" hidden="1">
      <c r="B58" s="344"/>
      <c r="C58" s="345"/>
      <c r="D58" s="346"/>
      <c r="E58" s="347"/>
      <c r="F58" s="1"/>
      <c r="G58" s="348">
        <f>_xlfn.IFNA(VLOOKUP(Invoer_Referentie[[#This Row],[Product]],Database_Productkaarten[[Product]:[Comment]],64,FALSE),0)</f>
        <v>0</v>
      </c>
      <c r="H58" s="349">
        <f>_xlfn.IFNA(VLOOKUP(Invoer_Referentie[[#This Row],[Product]],Database_Productkaarten[[Product]:[Producttype]],3,FALSE),0)</f>
        <v>0</v>
      </c>
      <c r="I58" s="354"/>
      <c r="J58" s="348">
        <f>_xlfn.IFNA(VLOOKUP(Invoer_Referentie[[#This Row],[Product]],Database_Productkaarten[[Product]:[Eenheid]],4,FALSE),0)</f>
        <v>0</v>
      </c>
      <c r="K58" s="348"/>
      <c r="L58" s="348"/>
      <c r="M58" s="345"/>
      <c r="N58" s="351">
        <f>Invoer_Referentie[[#This Row],[Lengte'[m']]]*Invoer_Referentie[[#This Row],[Breedte '[m']]]</f>
        <v>0</v>
      </c>
      <c r="O58" s="345">
        <f>IFERROR(IF(Invoer_Referentie[[#This Row],[Oppervlakte '[m2']]]*Invoer_Referentie[[#This Row],[Dikte '[m']]]=0,Invoer_Referentie[[#This Row],[Gewicht '[ton']]]/Invoer_Referentie[[#This Row],[Soortelijk gewicht '[ton / m3']]],Invoer_Referentie[[#This Row],[Oppervlakte '[m2']]]*Invoer_Referentie[[#This Row],[Dikte '[m']]]),0)</f>
        <v>0</v>
      </c>
      <c r="P58" s="345">
        <f>_xlfn.IFNA(VLOOKUP(Invoer_Referentie[[#This Row],[Product]],Database_Productkaarten[[Product]:[Soortelijk Gewicht '[ton / m3']]],11,FALSE),0)</f>
        <v>0</v>
      </c>
      <c r="Q58" s="350">
        <f>_xlfn.IFNA(VLOOKUP(Invoer_Referentie[[#This Row],[Product]],Database_Productkaarten[[Product]:[Gewicht '[ton'] / Eenheid]],12,FALSE)*Invoer_Referentie[[#This Row],[Aantal Eenheden]],0)</f>
        <v>0</v>
      </c>
      <c r="R58" s="350">
        <f>MAX(IFERROR($E$2/IF(Invoer_Referentie[[#This Row],[Productgroep]]="Categorie_1_LCA_Producten",VLOOKUP(Invoer_Referentie[[#This Row],[Product]],Categorie_1_Producten[#All],7,FALSE),VLOOKUP(Invoer_Referentie[[#This Row],[Product]]&amp;", "&amp;"Totaal",Database_Productkaarten[#All],15,FALSE))-1,0),0)</f>
        <v>0</v>
      </c>
      <c r="S58" s="350"/>
      <c r="T58" s="352"/>
      <c r="U58" s="352"/>
      <c r="V58" s="353"/>
      <c r="W58" s="390">
        <f>_xlfn.IFNA(VLOOKUP(Invoer_Referentie[[#This Row],[Product]],Brandstofverbuiken[#All],4,FALSE),0)</f>
        <v>0</v>
      </c>
      <c r="X58" s="390">
        <f>_xlfn.IFNA(VLOOKUP(Invoer_Referentie[[#This Row],[Product]],Brandstofverbuiken[#All],5,FALSE),0)</f>
        <v>0</v>
      </c>
      <c r="Y58" s="352"/>
      <c r="Z58" s="353"/>
      <c r="AA58" s="364">
        <f>_xlfn.IFNA(VLOOKUP(Invoer_Referentie[[#This Row],[Product]],Brandstofverbuiken[#All],7,FALSE),0)</f>
        <v>0</v>
      </c>
      <c r="AB58" s="390">
        <f>_xlfn.IFNA(VLOOKUP(Invoer_Referentie[[#This Row],[Product]],Brandstofverbuiken[#All],8,FALSE),0)</f>
        <v>0</v>
      </c>
      <c r="AC58" s="350"/>
      <c r="AD58" s="352"/>
      <c r="AE58" s="353"/>
      <c r="AF58" s="345"/>
    </row>
    <row r="59" spans="2:32" ht="15" hidden="1">
      <c r="B59" s="344"/>
      <c r="C59" s="345"/>
      <c r="D59" s="346"/>
      <c r="E59" s="347"/>
      <c r="F59" s="1"/>
      <c r="G59" s="348">
        <f>_xlfn.IFNA(VLOOKUP(Invoer_Referentie[[#This Row],[Product]],Database_Productkaarten[[Product]:[Comment]],64,FALSE),0)</f>
        <v>0</v>
      </c>
      <c r="H59" s="349">
        <f>_xlfn.IFNA(VLOOKUP(Invoer_Referentie[[#This Row],[Product]],Database_Productkaarten[[Product]:[Producttype]],3,FALSE),0)</f>
        <v>0</v>
      </c>
      <c r="I59" s="354"/>
      <c r="J59" s="348">
        <f>_xlfn.IFNA(VLOOKUP(Invoer_Referentie[[#This Row],[Product]],Database_Productkaarten[[Product]:[Eenheid]],4,FALSE),0)</f>
        <v>0</v>
      </c>
      <c r="K59" s="348"/>
      <c r="L59" s="348"/>
      <c r="M59" s="345"/>
      <c r="N59" s="351">
        <f>Invoer_Referentie[[#This Row],[Lengte'[m']]]*Invoer_Referentie[[#This Row],[Breedte '[m']]]</f>
        <v>0</v>
      </c>
      <c r="O59" s="345">
        <f>IFERROR(IF(Invoer_Referentie[[#This Row],[Oppervlakte '[m2']]]*Invoer_Referentie[[#This Row],[Dikte '[m']]]=0,Invoer_Referentie[[#This Row],[Gewicht '[ton']]]/Invoer_Referentie[[#This Row],[Soortelijk gewicht '[ton / m3']]],Invoer_Referentie[[#This Row],[Oppervlakte '[m2']]]*Invoer_Referentie[[#This Row],[Dikte '[m']]]),0)</f>
        <v>0</v>
      </c>
      <c r="P59" s="345">
        <f>_xlfn.IFNA(VLOOKUP(Invoer_Referentie[[#This Row],[Product]],Database_Productkaarten[[Product]:[Soortelijk Gewicht '[ton / m3']]],11,FALSE),0)</f>
        <v>0</v>
      </c>
      <c r="Q59" s="350">
        <f>_xlfn.IFNA(VLOOKUP(Invoer_Referentie[[#This Row],[Product]],Database_Productkaarten[[Product]:[Gewicht '[ton'] / Eenheid]],12,FALSE)*Invoer_Referentie[[#This Row],[Aantal Eenheden]],0)</f>
        <v>0</v>
      </c>
      <c r="R59" s="350">
        <f>MAX(IFERROR($E$2/IF(Invoer_Referentie[[#This Row],[Productgroep]]="Categorie_1_LCA_Producten",VLOOKUP(Invoer_Referentie[[#This Row],[Product]],Categorie_1_Producten[#All],7,FALSE),VLOOKUP(Invoer_Referentie[[#This Row],[Product]]&amp;", "&amp;"Totaal",Database_Productkaarten[#All],15,FALSE))-1,0),0)</f>
        <v>0</v>
      </c>
      <c r="S59" s="350"/>
      <c r="T59" s="352"/>
      <c r="U59" s="352"/>
      <c r="V59" s="353"/>
      <c r="W59" s="390">
        <f>_xlfn.IFNA(VLOOKUP(Invoer_Referentie[[#This Row],[Product]],Brandstofverbuiken[#All],4,FALSE),0)</f>
        <v>0</v>
      </c>
      <c r="X59" s="390">
        <f>_xlfn.IFNA(VLOOKUP(Invoer_Referentie[[#This Row],[Product]],Brandstofverbuiken[#All],5,FALSE),0)</f>
        <v>0</v>
      </c>
      <c r="Y59" s="352"/>
      <c r="Z59" s="353"/>
      <c r="AA59" s="364">
        <f>_xlfn.IFNA(VLOOKUP(Invoer_Referentie[[#This Row],[Product]],Brandstofverbuiken[#All],7,FALSE),0)</f>
        <v>0</v>
      </c>
      <c r="AB59" s="390">
        <f>_xlfn.IFNA(VLOOKUP(Invoer_Referentie[[#This Row],[Product]],Brandstofverbuiken[#All],8,FALSE),0)</f>
        <v>0</v>
      </c>
      <c r="AC59" s="350"/>
      <c r="AD59" s="352"/>
      <c r="AE59" s="353"/>
      <c r="AF59" s="345"/>
    </row>
    <row r="60" spans="2:32" ht="15" hidden="1">
      <c r="B60" s="344"/>
      <c r="C60" s="345"/>
      <c r="D60" s="346"/>
      <c r="E60" s="347"/>
      <c r="F60" s="1"/>
      <c r="G60" s="348">
        <f>_xlfn.IFNA(VLOOKUP(Invoer_Referentie[[#This Row],[Product]],Database_Productkaarten[[Product]:[Comment]],64,FALSE),0)</f>
        <v>0</v>
      </c>
      <c r="H60" s="349">
        <f>_xlfn.IFNA(VLOOKUP(Invoer_Referentie[[#This Row],[Product]],Database_Productkaarten[[Product]:[Producttype]],3,FALSE),0)</f>
        <v>0</v>
      </c>
      <c r="I60" s="354"/>
      <c r="J60" s="348">
        <f>_xlfn.IFNA(VLOOKUP(Invoer_Referentie[[#This Row],[Product]],Database_Productkaarten[[Product]:[Eenheid]],4,FALSE),0)</f>
        <v>0</v>
      </c>
      <c r="K60" s="348"/>
      <c r="L60" s="348"/>
      <c r="M60" s="345"/>
      <c r="N60" s="351">
        <f>Invoer_Referentie[[#This Row],[Lengte'[m']]]*Invoer_Referentie[[#This Row],[Breedte '[m']]]</f>
        <v>0</v>
      </c>
      <c r="O60" s="345">
        <f>IFERROR(IF(Invoer_Referentie[[#This Row],[Oppervlakte '[m2']]]*Invoer_Referentie[[#This Row],[Dikte '[m']]]=0,Invoer_Referentie[[#This Row],[Gewicht '[ton']]]/Invoer_Referentie[[#This Row],[Soortelijk gewicht '[ton / m3']]],Invoer_Referentie[[#This Row],[Oppervlakte '[m2']]]*Invoer_Referentie[[#This Row],[Dikte '[m']]]),0)</f>
        <v>0</v>
      </c>
      <c r="P60" s="345">
        <f>_xlfn.IFNA(VLOOKUP(Invoer_Referentie[[#This Row],[Product]],Database_Productkaarten[[Product]:[Soortelijk Gewicht '[ton / m3']]],11,FALSE),0)</f>
        <v>0</v>
      </c>
      <c r="Q60" s="350">
        <f>_xlfn.IFNA(VLOOKUP(Invoer_Referentie[[#This Row],[Product]],Database_Productkaarten[[Product]:[Gewicht '[ton'] / Eenheid]],12,FALSE)*Invoer_Referentie[[#This Row],[Aantal Eenheden]],0)</f>
        <v>0</v>
      </c>
      <c r="R60" s="350">
        <f>MAX(IFERROR($E$2/IF(Invoer_Referentie[[#This Row],[Productgroep]]="Categorie_1_LCA_Producten",VLOOKUP(Invoer_Referentie[[#This Row],[Product]],Categorie_1_Producten[#All],7,FALSE),VLOOKUP(Invoer_Referentie[[#This Row],[Product]]&amp;", "&amp;"Totaal",Database_Productkaarten[#All],15,FALSE))-1,0),0)</f>
        <v>0</v>
      </c>
      <c r="S60" s="350"/>
      <c r="T60" s="352"/>
      <c r="U60" s="352"/>
      <c r="V60" s="353"/>
      <c r="W60" s="390">
        <f>_xlfn.IFNA(VLOOKUP(Invoer_Referentie[[#This Row],[Product]],Brandstofverbuiken[#All],4,FALSE),0)</f>
        <v>0</v>
      </c>
      <c r="X60" s="390">
        <f>_xlfn.IFNA(VLOOKUP(Invoer_Referentie[[#This Row],[Product]],Brandstofverbuiken[#All],5,FALSE),0)</f>
        <v>0</v>
      </c>
      <c r="Y60" s="352"/>
      <c r="Z60" s="353"/>
      <c r="AA60" s="364">
        <f>_xlfn.IFNA(VLOOKUP(Invoer_Referentie[[#This Row],[Product]],Brandstofverbuiken[#All],7,FALSE),0)</f>
        <v>0</v>
      </c>
      <c r="AB60" s="390">
        <f>_xlfn.IFNA(VLOOKUP(Invoer_Referentie[[#This Row],[Product]],Brandstofverbuiken[#All],8,FALSE),0)</f>
        <v>0</v>
      </c>
      <c r="AC60" s="350"/>
      <c r="AD60" s="352"/>
      <c r="AE60" s="353"/>
      <c r="AF60" s="345"/>
    </row>
    <row r="61" spans="2:32" ht="15" hidden="1">
      <c r="B61" s="344"/>
      <c r="C61" s="345"/>
      <c r="D61" s="346"/>
      <c r="E61" s="347"/>
      <c r="F61" s="1"/>
      <c r="G61" s="348">
        <f>_xlfn.IFNA(VLOOKUP(Invoer_Referentie[[#This Row],[Product]],Database_Productkaarten[[Product]:[Comment]],64,FALSE),0)</f>
        <v>0</v>
      </c>
      <c r="H61" s="349">
        <f>_xlfn.IFNA(VLOOKUP(Invoer_Referentie[[#This Row],[Product]],Database_Productkaarten[[Product]:[Producttype]],3,FALSE),0)</f>
        <v>0</v>
      </c>
      <c r="I61" s="354"/>
      <c r="J61" s="348">
        <f>_xlfn.IFNA(VLOOKUP(Invoer_Referentie[[#This Row],[Product]],Database_Productkaarten[[Product]:[Eenheid]],4,FALSE),0)</f>
        <v>0</v>
      </c>
      <c r="K61" s="348"/>
      <c r="L61" s="348"/>
      <c r="M61" s="345"/>
      <c r="N61" s="351">
        <f>Invoer_Referentie[[#This Row],[Lengte'[m']]]*Invoer_Referentie[[#This Row],[Breedte '[m']]]</f>
        <v>0</v>
      </c>
      <c r="O61" s="345">
        <f>IFERROR(IF(Invoer_Referentie[[#This Row],[Oppervlakte '[m2']]]*Invoer_Referentie[[#This Row],[Dikte '[m']]]=0,Invoer_Referentie[[#This Row],[Gewicht '[ton']]]/Invoer_Referentie[[#This Row],[Soortelijk gewicht '[ton / m3']]],Invoer_Referentie[[#This Row],[Oppervlakte '[m2']]]*Invoer_Referentie[[#This Row],[Dikte '[m']]]),0)</f>
        <v>0</v>
      </c>
      <c r="P61" s="345">
        <f>_xlfn.IFNA(VLOOKUP(Invoer_Referentie[[#This Row],[Product]],Database_Productkaarten[[Product]:[Soortelijk Gewicht '[ton / m3']]],11,FALSE),0)</f>
        <v>0</v>
      </c>
      <c r="Q61" s="350">
        <f>_xlfn.IFNA(VLOOKUP(Invoer_Referentie[[#This Row],[Product]],Database_Productkaarten[[Product]:[Gewicht '[ton'] / Eenheid]],12,FALSE)*Invoer_Referentie[[#This Row],[Aantal Eenheden]],0)</f>
        <v>0</v>
      </c>
      <c r="R61" s="350">
        <f>MAX(IFERROR($E$2/IF(Invoer_Referentie[[#This Row],[Productgroep]]="Categorie_1_LCA_Producten",VLOOKUP(Invoer_Referentie[[#This Row],[Product]],Categorie_1_Producten[#All],7,FALSE),VLOOKUP(Invoer_Referentie[[#This Row],[Product]]&amp;", "&amp;"Totaal",Database_Productkaarten[#All],15,FALSE))-1,0),0)</f>
        <v>0</v>
      </c>
      <c r="S61" s="350"/>
      <c r="T61" s="352"/>
      <c r="U61" s="352"/>
      <c r="V61" s="353"/>
      <c r="W61" s="390">
        <f>_xlfn.IFNA(VLOOKUP(Invoer_Referentie[[#This Row],[Product]],Brandstofverbuiken[#All],4,FALSE),0)</f>
        <v>0</v>
      </c>
      <c r="X61" s="390">
        <f>_xlfn.IFNA(VLOOKUP(Invoer_Referentie[[#This Row],[Product]],Brandstofverbuiken[#All],5,FALSE),0)</f>
        <v>0</v>
      </c>
      <c r="Y61" s="352"/>
      <c r="Z61" s="353"/>
      <c r="AA61" s="364">
        <f>_xlfn.IFNA(VLOOKUP(Invoer_Referentie[[#This Row],[Product]],Brandstofverbuiken[#All],7,FALSE),0)</f>
        <v>0</v>
      </c>
      <c r="AB61" s="390">
        <f>_xlfn.IFNA(VLOOKUP(Invoer_Referentie[[#This Row],[Product]],Brandstofverbuiken[#All],8,FALSE),0)</f>
        <v>0</v>
      </c>
      <c r="AC61" s="350"/>
      <c r="AD61" s="352"/>
      <c r="AE61" s="353"/>
      <c r="AF61" s="345"/>
    </row>
    <row r="62" spans="2:32" ht="15" hidden="1">
      <c r="B62" s="344"/>
      <c r="C62" s="345"/>
      <c r="D62" s="346"/>
      <c r="E62" s="347"/>
      <c r="F62" s="1"/>
      <c r="G62" s="348">
        <f>_xlfn.IFNA(VLOOKUP(Invoer_Referentie[[#This Row],[Product]],Database_Productkaarten[[Product]:[Comment]],64,FALSE),0)</f>
        <v>0</v>
      </c>
      <c r="H62" s="349">
        <f>_xlfn.IFNA(VLOOKUP(Invoer_Referentie[[#This Row],[Product]],Database_Productkaarten[[Product]:[Producttype]],3,FALSE),0)</f>
        <v>0</v>
      </c>
      <c r="I62" s="354"/>
      <c r="J62" s="348">
        <f>_xlfn.IFNA(VLOOKUP(Invoer_Referentie[[#This Row],[Product]],Database_Productkaarten[[Product]:[Eenheid]],4,FALSE),0)</f>
        <v>0</v>
      </c>
      <c r="K62" s="348"/>
      <c r="L62" s="348"/>
      <c r="M62" s="345"/>
      <c r="N62" s="351">
        <f>Invoer_Referentie[[#This Row],[Lengte'[m']]]*Invoer_Referentie[[#This Row],[Breedte '[m']]]</f>
        <v>0</v>
      </c>
      <c r="O62" s="345">
        <f>IFERROR(IF(Invoer_Referentie[[#This Row],[Oppervlakte '[m2']]]*Invoer_Referentie[[#This Row],[Dikte '[m']]]=0,Invoer_Referentie[[#This Row],[Gewicht '[ton']]]/Invoer_Referentie[[#This Row],[Soortelijk gewicht '[ton / m3']]],Invoer_Referentie[[#This Row],[Oppervlakte '[m2']]]*Invoer_Referentie[[#This Row],[Dikte '[m']]]),0)</f>
        <v>0</v>
      </c>
      <c r="P62" s="345">
        <f>_xlfn.IFNA(VLOOKUP(Invoer_Referentie[[#This Row],[Product]],Database_Productkaarten[[Product]:[Soortelijk Gewicht '[ton / m3']]],11,FALSE),0)</f>
        <v>0</v>
      </c>
      <c r="Q62" s="350">
        <f>_xlfn.IFNA(VLOOKUP(Invoer_Referentie[[#This Row],[Product]],Database_Productkaarten[[Product]:[Gewicht '[ton'] / Eenheid]],12,FALSE)*Invoer_Referentie[[#This Row],[Aantal Eenheden]],0)</f>
        <v>0</v>
      </c>
      <c r="R62" s="350">
        <f>MAX(IFERROR($E$2/IF(Invoer_Referentie[[#This Row],[Productgroep]]="Categorie_1_LCA_Producten",VLOOKUP(Invoer_Referentie[[#This Row],[Product]],Categorie_1_Producten[#All],7,FALSE),VLOOKUP(Invoer_Referentie[[#This Row],[Product]]&amp;", "&amp;"Totaal",Database_Productkaarten[#All],15,FALSE))-1,0),0)</f>
        <v>0</v>
      </c>
      <c r="S62" s="350"/>
      <c r="T62" s="352"/>
      <c r="U62" s="352"/>
      <c r="V62" s="353"/>
      <c r="W62" s="390">
        <f>_xlfn.IFNA(VLOOKUP(Invoer_Referentie[[#This Row],[Product]],Brandstofverbuiken[#All],4,FALSE),0)</f>
        <v>0</v>
      </c>
      <c r="X62" s="390">
        <f>_xlfn.IFNA(VLOOKUP(Invoer_Referentie[[#This Row],[Product]],Brandstofverbuiken[#All],5,FALSE),0)</f>
        <v>0</v>
      </c>
      <c r="Y62" s="352"/>
      <c r="Z62" s="353"/>
      <c r="AA62" s="364">
        <f>_xlfn.IFNA(VLOOKUP(Invoer_Referentie[[#This Row],[Product]],Brandstofverbuiken[#All],7,FALSE),0)</f>
        <v>0</v>
      </c>
      <c r="AB62" s="390">
        <f>_xlfn.IFNA(VLOOKUP(Invoer_Referentie[[#This Row],[Product]],Brandstofverbuiken[#All],8,FALSE),0)</f>
        <v>0</v>
      </c>
      <c r="AC62" s="350"/>
      <c r="AD62" s="352"/>
      <c r="AE62" s="353"/>
      <c r="AF62" s="345"/>
    </row>
    <row r="63" spans="2:32" ht="15" hidden="1">
      <c r="B63" s="344"/>
      <c r="C63" s="345"/>
      <c r="D63" s="346"/>
      <c r="E63" s="347"/>
      <c r="F63" s="1"/>
      <c r="G63" s="348">
        <f>_xlfn.IFNA(VLOOKUP(Invoer_Referentie[[#This Row],[Product]],Database_Productkaarten[[Product]:[Comment]],64,FALSE),0)</f>
        <v>0</v>
      </c>
      <c r="H63" s="349">
        <f>_xlfn.IFNA(VLOOKUP(Invoer_Referentie[[#This Row],[Product]],Database_Productkaarten[[Product]:[Producttype]],3,FALSE),0)</f>
        <v>0</v>
      </c>
      <c r="I63" s="354"/>
      <c r="J63" s="348">
        <f>_xlfn.IFNA(VLOOKUP(Invoer_Referentie[[#This Row],[Product]],Database_Productkaarten[[Product]:[Eenheid]],4,FALSE),0)</f>
        <v>0</v>
      </c>
      <c r="K63" s="348"/>
      <c r="L63" s="348"/>
      <c r="M63" s="345"/>
      <c r="N63" s="351">
        <f>Invoer_Referentie[[#This Row],[Lengte'[m']]]*Invoer_Referentie[[#This Row],[Breedte '[m']]]</f>
        <v>0</v>
      </c>
      <c r="O63" s="345">
        <f>IFERROR(IF(Invoer_Referentie[[#This Row],[Oppervlakte '[m2']]]*Invoer_Referentie[[#This Row],[Dikte '[m']]]=0,Invoer_Referentie[[#This Row],[Gewicht '[ton']]]/Invoer_Referentie[[#This Row],[Soortelijk gewicht '[ton / m3']]],Invoer_Referentie[[#This Row],[Oppervlakte '[m2']]]*Invoer_Referentie[[#This Row],[Dikte '[m']]]),0)</f>
        <v>0</v>
      </c>
      <c r="P63" s="345">
        <f>_xlfn.IFNA(VLOOKUP(Invoer_Referentie[[#This Row],[Product]],Database_Productkaarten[[Product]:[Soortelijk Gewicht '[ton / m3']]],11,FALSE),0)</f>
        <v>0</v>
      </c>
      <c r="Q63" s="350">
        <f>_xlfn.IFNA(VLOOKUP(Invoer_Referentie[[#This Row],[Product]],Database_Productkaarten[[Product]:[Gewicht '[ton'] / Eenheid]],12,FALSE)*Invoer_Referentie[[#This Row],[Aantal Eenheden]],0)</f>
        <v>0</v>
      </c>
      <c r="R63" s="350">
        <f>MAX(IFERROR($E$2/IF(Invoer_Referentie[[#This Row],[Productgroep]]="Categorie_1_LCA_Producten",VLOOKUP(Invoer_Referentie[[#This Row],[Product]],Categorie_1_Producten[#All],7,FALSE),VLOOKUP(Invoer_Referentie[[#This Row],[Product]]&amp;", "&amp;"Totaal",Database_Productkaarten[#All],15,FALSE))-1,0),0)</f>
        <v>0</v>
      </c>
      <c r="S63" s="350"/>
      <c r="T63" s="352"/>
      <c r="U63" s="352"/>
      <c r="V63" s="353"/>
      <c r="W63" s="390">
        <f>_xlfn.IFNA(VLOOKUP(Invoer_Referentie[[#This Row],[Product]],Brandstofverbuiken[#All],4,FALSE),0)</f>
        <v>0</v>
      </c>
      <c r="X63" s="390">
        <f>_xlfn.IFNA(VLOOKUP(Invoer_Referentie[[#This Row],[Product]],Brandstofverbuiken[#All],5,FALSE),0)</f>
        <v>0</v>
      </c>
      <c r="Y63" s="352"/>
      <c r="Z63" s="353"/>
      <c r="AA63" s="364">
        <f>_xlfn.IFNA(VLOOKUP(Invoer_Referentie[[#This Row],[Product]],Brandstofverbuiken[#All],7,FALSE),0)</f>
        <v>0</v>
      </c>
      <c r="AB63" s="390">
        <f>_xlfn.IFNA(VLOOKUP(Invoer_Referentie[[#This Row],[Product]],Brandstofverbuiken[#All],8,FALSE),0)</f>
        <v>0</v>
      </c>
      <c r="AC63" s="350"/>
      <c r="AD63" s="352"/>
      <c r="AE63" s="353"/>
      <c r="AF63" s="345"/>
    </row>
    <row r="64" spans="2:32" ht="15" hidden="1">
      <c r="B64" s="344"/>
      <c r="C64" s="345"/>
      <c r="D64" s="346"/>
      <c r="E64" s="347"/>
      <c r="F64" s="1"/>
      <c r="G64" s="348">
        <f>_xlfn.IFNA(VLOOKUP(Invoer_Referentie[[#This Row],[Product]],Database_Productkaarten[[Product]:[Comment]],64,FALSE),0)</f>
        <v>0</v>
      </c>
      <c r="H64" s="349">
        <f>_xlfn.IFNA(VLOOKUP(Invoer_Referentie[[#This Row],[Product]],Database_Productkaarten[[Product]:[Producttype]],3,FALSE),0)</f>
        <v>0</v>
      </c>
      <c r="I64" s="354"/>
      <c r="J64" s="348">
        <f>_xlfn.IFNA(VLOOKUP(Invoer_Referentie[[#This Row],[Product]],Database_Productkaarten[[Product]:[Eenheid]],4,FALSE),0)</f>
        <v>0</v>
      </c>
      <c r="K64" s="348"/>
      <c r="L64" s="348"/>
      <c r="M64" s="345"/>
      <c r="N64" s="351">
        <f>Invoer_Referentie[[#This Row],[Lengte'[m']]]*Invoer_Referentie[[#This Row],[Breedte '[m']]]</f>
        <v>0</v>
      </c>
      <c r="O64" s="345">
        <f>IFERROR(IF(Invoer_Referentie[[#This Row],[Oppervlakte '[m2']]]*Invoer_Referentie[[#This Row],[Dikte '[m']]]=0,Invoer_Referentie[[#This Row],[Gewicht '[ton']]]/Invoer_Referentie[[#This Row],[Soortelijk gewicht '[ton / m3']]],Invoer_Referentie[[#This Row],[Oppervlakte '[m2']]]*Invoer_Referentie[[#This Row],[Dikte '[m']]]),0)</f>
        <v>0</v>
      </c>
      <c r="P64" s="345">
        <f>_xlfn.IFNA(VLOOKUP(Invoer_Referentie[[#This Row],[Product]],Database_Productkaarten[[Product]:[Soortelijk Gewicht '[ton / m3']]],11,FALSE),0)</f>
        <v>0</v>
      </c>
      <c r="Q64" s="350">
        <f>_xlfn.IFNA(VLOOKUP(Invoer_Referentie[[#This Row],[Product]],Database_Productkaarten[[Product]:[Gewicht '[ton'] / Eenheid]],12,FALSE)*Invoer_Referentie[[#This Row],[Aantal Eenheden]],0)</f>
        <v>0</v>
      </c>
      <c r="R64" s="350">
        <f>MAX(IFERROR($E$2/IF(Invoer_Referentie[[#This Row],[Productgroep]]="Categorie_1_LCA_Producten",VLOOKUP(Invoer_Referentie[[#This Row],[Product]],Categorie_1_Producten[#All],7,FALSE),VLOOKUP(Invoer_Referentie[[#This Row],[Product]]&amp;", "&amp;"Totaal",Database_Productkaarten[#All],15,FALSE))-1,0),0)</f>
        <v>0</v>
      </c>
      <c r="S64" s="350"/>
      <c r="T64" s="352"/>
      <c r="U64" s="352"/>
      <c r="V64" s="353"/>
      <c r="W64" s="390">
        <f>_xlfn.IFNA(VLOOKUP(Invoer_Referentie[[#This Row],[Product]],Brandstofverbuiken[#All],4,FALSE),0)</f>
        <v>0</v>
      </c>
      <c r="X64" s="390">
        <f>_xlfn.IFNA(VLOOKUP(Invoer_Referentie[[#This Row],[Product]],Brandstofverbuiken[#All],5,FALSE),0)</f>
        <v>0</v>
      </c>
      <c r="Y64" s="352"/>
      <c r="Z64" s="353"/>
      <c r="AA64" s="364">
        <f>_xlfn.IFNA(VLOOKUP(Invoer_Referentie[[#This Row],[Product]],Brandstofverbuiken[#All],7,FALSE),0)</f>
        <v>0</v>
      </c>
      <c r="AB64" s="390">
        <f>_xlfn.IFNA(VLOOKUP(Invoer_Referentie[[#This Row],[Product]],Brandstofverbuiken[#All],8,FALSE),0)</f>
        <v>0</v>
      </c>
      <c r="AC64" s="350"/>
      <c r="AD64" s="352"/>
      <c r="AE64" s="353"/>
      <c r="AF64" s="345"/>
    </row>
    <row r="65" spans="2:32" ht="15" hidden="1">
      <c r="B65" s="344"/>
      <c r="C65" s="345"/>
      <c r="D65" s="346"/>
      <c r="E65" s="347"/>
      <c r="F65" s="1"/>
      <c r="G65" s="348">
        <f>_xlfn.IFNA(VLOOKUP(Invoer_Referentie[[#This Row],[Product]],Database_Productkaarten[[Product]:[Comment]],64,FALSE),0)</f>
        <v>0</v>
      </c>
      <c r="H65" s="349">
        <f>_xlfn.IFNA(VLOOKUP(Invoer_Referentie[[#This Row],[Product]],Database_Productkaarten[[Product]:[Producttype]],3,FALSE),0)</f>
        <v>0</v>
      </c>
      <c r="I65" s="354"/>
      <c r="J65" s="348">
        <f>_xlfn.IFNA(VLOOKUP(Invoer_Referentie[[#This Row],[Product]],Database_Productkaarten[[Product]:[Eenheid]],4,FALSE),0)</f>
        <v>0</v>
      </c>
      <c r="K65" s="348"/>
      <c r="L65" s="348"/>
      <c r="M65" s="345"/>
      <c r="N65" s="351">
        <f>Invoer_Referentie[[#This Row],[Lengte'[m']]]*Invoer_Referentie[[#This Row],[Breedte '[m']]]</f>
        <v>0</v>
      </c>
      <c r="O65" s="345">
        <f>IFERROR(IF(Invoer_Referentie[[#This Row],[Oppervlakte '[m2']]]*Invoer_Referentie[[#This Row],[Dikte '[m']]]=0,Invoer_Referentie[[#This Row],[Gewicht '[ton']]]/Invoer_Referentie[[#This Row],[Soortelijk gewicht '[ton / m3']]],Invoer_Referentie[[#This Row],[Oppervlakte '[m2']]]*Invoer_Referentie[[#This Row],[Dikte '[m']]]),0)</f>
        <v>0</v>
      </c>
      <c r="P65" s="345">
        <f>_xlfn.IFNA(VLOOKUP(Invoer_Referentie[[#This Row],[Product]],Database_Productkaarten[[Product]:[Soortelijk Gewicht '[ton / m3']]],11,FALSE),0)</f>
        <v>0</v>
      </c>
      <c r="Q65" s="350">
        <f>_xlfn.IFNA(VLOOKUP(Invoer_Referentie[[#This Row],[Product]],Database_Productkaarten[[Product]:[Gewicht '[ton'] / Eenheid]],12,FALSE)*Invoer_Referentie[[#This Row],[Aantal Eenheden]],0)</f>
        <v>0</v>
      </c>
      <c r="R65" s="350">
        <f>MAX(IFERROR($E$2/IF(Invoer_Referentie[[#This Row],[Productgroep]]="Categorie_1_LCA_Producten",VLOOKUP(Invoer_Referentie[[#This Row],[Product]],Categorie_1_Producten[#All],7,FALSE),VLOOKUP(Invoer_Referentie[[#This Row],[Product]]&amp;", "&amp;"Totaal",Database_Productkaarten[#All],15,FALSE))-1,0),0)</f>
        <v>0</v>
      </c>
      <c r="S65" s="350"/>
      <c r="T65" s="352"/>
      <c r="U65" s="352"/>
      <c r="V65" s="353"/>
      <c r="W65" s="390">
        <f>_xlfn.IFNA(VLOOKUP(Invoer_Referentie[[#This Row],[Product]],Brandstofverbuiken[#All],4,FALSE),0)</f>
        <v>0</v>
      </c>
      <c r="X65" s="390">
        <f>_xlfn.IFNA(VLOOKUP(Invoer_Referentie[[#This Row],[Product]],Brandstofverbuiken[#All],5,FALSE),0)</f>
        <v>0</v>
      </c>
      <c r="Y65" s="352"/>
      <c r="Z65" s="353"/>
      <c r="AA65" s="364">
        <f>_xlfn.IFNA(VLOOKUP(Invoer_Referentie[[#This Row],[Product]],Brandstofverbuiken[#All],7,FALSE),0)</f>
        <v>0</v>
      </c>
      <c r="AB65" s="390">
        <f>_xlfn.IFNA(VLOOKUP(Invoer_Referentie[[#This Row],[Product]],Brandstofverbuiken[#All],8,FALSE),0)</f>
        <v>0</v>
      </c>
      <c r="AC65" s="350"/>
      <c r="AD65" s="352"/>
      <c r="AE65" s="353"/>
      <c r="AF65" s="345"/>
    </row>
    <row r="66" spans="2:32" ht="15" hidden="1">
      <c r="B66" s="344"/>
      <c r="C66" s="345"/>
      <c r="D66" s="346"/>
      <c r="E66" s="347"/>
      <c r="F66" s="1"/>
      <c r="G66" s="348">
        <f>_xlfn.IFNA(VLOOKUP(Invoer_Referentie[[#This Row],[Product]],Database_Productkaarten[[Product]:[Comment]],64,FALSE),0)</f>
        <v>0</v>
      </c>
      <c r="H66" s="349">
        <f>_xlfn.IFNA(VLOOKUP(Invoer_Referentie[[#This Row],[Product]],Database_Productkaarten[[Product]:[Producttype]],3,FALSE),0)</f>
        <v>0</v>
      </c>
      <c r="I66" s="354"/>
      <c r="J66" s="348">
        <f>_xlfn.IFNA(VLOOKUP(Invoer_Referentie[[#This Row],[Product]],Database_Productkaarten[[Product]:[Eenheid]],4,FALSE),0)</f>
        <v>0</v>
      </c>
      <c r="K66" s="348"/>
      <c r="L66" s="348"/>
      <c r="M66" s="345"/>
      <c r="N66" s="351">
        <f>Invoer_Referentie[[#This Row],[Lengte'[m']]]*Invoer_Referentie[[#This Row],[Breedte '[m']]]</f>
        <v>0</v>
      </c>
      <c r="O66" s="345">
        <f>IFERROR(IF(Invoer_Referentie[[#This Row],[Oppervlakte '[m2']]]*Invoer_Referentie[[#This Row],[Dikte '[m']]]=0,Invoer_Referentie[[#This Row],[Gewicht '[ton']]]/Invoer_Referentie[[#This Row],[Soortelijk gewicht '[ton / m3']]],Invoer_Referentie[[#This Row],[Oppervlakte '[m2']]]*Invoer_Referentie[[#This Row],[Dikte '[m']]]),0)</f>
        <v>0</v>
      </c>
      <c r="P66" s="345">
        <f>_xlfn.IFNA(VLOOKUP(Invoer_Referentie[[#This Row],[Product]],Database_Productkaarten[[Product]:[Soortelijk Gewicht '[ton / m3']]],11,FALSE),0)</f>
        <v>0</v>
      </c>
      <c r="Q66" s="350">
        <f>_xlfn.IFNA(VLOOKUP(Invoer_Referentie[[#This Row],[Product]],Database_Productkaarten[[Product]:[Gewicht '[ton'] / Eenheid]],12,FALSE)*Invoer_Referentie[[#This Row],[Aantal Eenheden]],0)</f>
        <v>0</v>
      </c>
      <c r="R66" s="350">
        <f>MAX(IFERROR($E$2/IF(Invoer_Referentie[[#This Row],[Productgroep]]="Categorie_1_LCA_Producten",VLOOKUP(Invoer_Referentie[[#This Row],[Product]],Categorie_1_Producten[#All],7,FALSE),VLOOKUP(Invoer_Referentie[[#This Row],[Product]]&amp;", "&amp;"Totaal",Database_Productkaarten[#All],15,FALSE))-1,0),0)</f>
        <v>0</v>
      </c>
      <c r="S66" s="350"/>
      <c r="T66" s="352"/>
      <c r="U66" s="352"/>
      <c r="V66" s="353"/>
      <c r="W66" s="390">
        <f>_xlfn.IFNA(VLOOKUP(Invoer_Referentie[[#This Row],[Product]],Brandstofverbuiken[#All],4,FALSE),0)</f>
        <v>0</v>
      </c>
      <c r="X66" s="390">
        <f>_xlfn.IFNA(VLOOKUP(Invoer_Referentie[[#This Row],[Product]],Brandstofverbuiken[#All],5,FALSE),0)</f>
        <v>0</v>
      </c>
      <c r="Y66" s="352"/>
      <c r="Z66" s="353"/>
      <c r="AA66" s="364">
        <f>_xlfn.IFNA(VLOOKUP(Invoer_Referentie[[#This Row],[Product]],Brandstofverbuiken[#All],7,FALSE),0)</f>
        <v>0</v>
      </c>
      <c r="AB66" s="390">
        <f>_xlfn.IFNA(VLOOKUP(Invoer_Referentie[[#This Row],[Product]],Brandstofverbuiken[#All],8,FALSE),0)</f>
        <v>0</v>
      </c>
      <c r="AC66" s="350"/>
      <c r="AD66" s="352"/>
      <c r="AE66" s="353"/>
      <c r="AF66" s="345"/>
    </row>
    <row r="67" spans="2:32" ht="15" hidden="1">
      <c r="B67" s="344"/>
      <c r="C67" s="345"/>
      <c r="D67" s="346"/>
      <c r="E67" s="347"/>
      <c r="F67" s="1"/>
      <c r="G67" s="348">
        <f>_xlfn.IFNA(VLOOKUP(Invoer_Referentie[[#This Row],[Product]],Database_Productkaarten[[Product]:[Comment]],64,FALSE),0)</f>
        <v>0</v>
      </c>
      <c r="H67" s="349">
        <f>_xlfn.IFNA(VLOOKUP(Invoer_Referentie[[#This Row],[Product]],Database_Productkaarten[[Product]:[Producttype]],3,FALSE),0)</f>
        <v>0</v>
      </c>
      <c r="I67" s="354"/>
      <c r="J67" s="348">
        <f>_xlfn.IFNA(VLOOKUP(Invoer_Referentie[[#This Row],[Product]],Database_Productkaarten[[Product]:[Eenheid]],4,FALSE),0)</f>
        <v>0</v>
      </c>
      <c r="K67" s="348"/>
      <c r="L67" s="348"/>
      <c r="M67" s="345"/>
      <c r="N67" s="351">
        <f>Invoer_Referentie[[#This Row],[Lengte'[m']]]*Invoer_Referentie[[#This Row],[Breedte '[m']]]</f>
        <v>0</v>
      </c>
      <c r="O67" s="345">
        <f>IFERROR(IF(Invoer_Referentie[[#This Row],[Oppervlakte '[m2']]]*Invoer_Referentie[[#This Row],[Dikte '[m']]]=0,Invoer_Referentie[[#This Row],[Gewicht '[ton']]]/Invoer_Referentie[[#This Row],[Soortelijk gewicht '[ton / m3']]],Invoer_Referentie[[#This Row],[Oppervlakte '[m2']]]*Invoer_Referentie[[#This Row],[Dikte '[m']]]),0)</f>
        <v>0</v>
      </c>
      <c r="P67" s="345">
        <f>_xlfn.IFNA(VLOOKUP(Invoer_Referentie[[#This Row],[Product]],Database_Productkaarten[[Product]:[Soortelijk Gewicht '[ton / m3']]],11,FALSE),0)</f>
        <v>0</v>
      </c>
      <c r="Q67" s="350">
        <f>_xlfn.IFNA(VLOOKUP(Invoer_Referentie[[#This Row],[Product]],Database_Productkaarten[[Product]:[Gewicht '[ton'] / Eenheid]],12,FALSE)*Invoer_Referentie[[#This Row],[Aantal Eenheden]],0)</f>
        <v>0</v>
      </c>
      <c r="R67" s="350">
        <f>MAX(IFERROR($E$2/IF(Invoer_Referentie[[#This Row],[Productgroep]]="Categorie_1_LCA_Producten",VLOOKUP(Invoer_Referentie[[#This Row],[Product]],Categorie_1_Producten[#All],7,FALSE),VLOOKUP(Invoer_Referentie[[#This Row],[Product]]&amp;", "&amp;"Totaal",Database_Productkaarten[#All],15,FALSE))-1,0),0)</f>
        <v>0</v>
      </c>
      <c r="S67" s="350"/>
      <c r="T67" s="352"/>
      <c r="U67" s="352"/>
      <c r="V67" s="353"/>
      <c r="W67" s="390">
        <f>_xlfn.IFNA(VLOOKUP(Invoer_Referentie[[#This Row],[Product]],Brandstofverbuiken[#All],4,FALSE),0)</f>
        <v>0</v>
      </c>
      <c r="X67" s="390">
        <f>_xlfn.IFNA(VLOOKUP(Invoer_Referentie[[#This Row],[Product]],Brandstofverbuiken[#All],5,FALSE),0)</f>
        <v>0</v>
      </c>
      <c r="Y67" s="352"/>
      <c r="Z67" s="353"/>
      <c r="AA67" s="364">
        <f>_xlfn.IFNA(VLOOKUP(Invoer_Referentie[[#This Row],[Product]],Brandstofverbuiken[#All],7,FALSE),0)</f>
        <v>0</v>
      </c>
      <c r="AB67" s="390">
        <f>_xlfn.IFNA(VLOOKUP(Invoer_Referentie[[#This Row],[Product]],Brandstofverbuiken[#All],8,FALSE),0)</f>
        <v>0</v>
      </c>
      <c r="AC67" s="350"/>
      <c r="AD67" s="352"/>
      <c r="AE67" s="353"/>
      <c r="AF67" s="345"/>
    </row>
    <row r="68" spans="2:32" ht="15" hidden="1">
      <c r="B68" s="344"/>
      <c r="C68" s="345"/>
      <c r="D68" s="346"/>
      <c r="E68" s="347"/>
      <c r="F68" s="1"/>
      <c r="G68" s="348">
        <f>_xlfn.IFNA(VLOOKUP(Invoer_Referentie[[#This Row],[Product]],Database_Productkaarten[[Product]:[Comment]],64,FALSE),0)</f>
        <v>0</v>
      </c>
      <c r="H68" s="349">
        <f>_xlfn.IFNA(VLOOKUP(Invoer_Referentie[[#This Row],[Product]],Database_Productkaarten[[Product]:[Producttype]],3,FALSE),0)</f>
        <v>0</v>
      </c>
      <c r="I68" s="354"/>
      <c r="J68" s="348">
        <f>_xlfn.IFNA(VLOOKUP(Invoer_Referentie[[#This Row],[Product]],Database_Productkaarten[[Product]:[Eenheid]],4,FALSE),0)</f>
        <v>0</v>
      </c>
      <c r="K68" s="348"/>
      <c r="L68" s="348"/>
      <c r="M68" s="345"/>
      <c r="N68" s="351">
        <f>Invoer_Referentie[[#This Row],[Lengte'[m']]]*Invoer_Referentie[[#This Row],[Breedte '[m']]]</f>
        <v>0</v>
      </c>
      <c r="O68" s="345">
        <f>IFERROR(IF(Invoer_Referentie[[#This Row],[Oppervlakte '[m2']]]*Invoer_Referentie[[#This Row],[Dikte '[m']]]=0,Invoer_Referentie[[#This Row],[Gewicht '[ton']]]/Invoer_Referentie[[#This Row],[Soortelijk gewicht '[ton / m3']]],Invoer_Referentie[[#This Row],[Oppervlakte '[m2']]]*Invoer_Referentie[[#This Row],[Dikte '[m']]]),0)</f>
        <v>0</v>
      </c>
      <c r="P68" s="345">
        <f>_xlfn.IFNA(VLOOKUP(Invoer_Referentie[[#This Row],[Product]],Database_Productkaarten[[Product]:[Soortelijk Gewicht '[ton / m3']]],11,FALSE),0)</f>
        <v>0</v>
      </c>
      <c r="Q68" s="350">
        <f>_xlfn.IFNA(VLOOKUP(Invoer_Referentie[[#This Row],[Product]],Database_Productkaarten[[Product]:[Gewicht '[ton'] / Eenheid]],12,FALSE)*Invoer_Referentie[[#This Row],[Aantal Eenheden]],0)</f>
        <v>0</v>
      </c>
      <c r="R68" s="350">
        <f>MAX(IFERROR($E$2/IF(Invoer_Referentie[[#This Row],[Productgroep]]="Categorie_1_LCA_Producten",VLOOKUP(Invoer_Referentie[[#This Row],[Product]],Categorie_1_Producten[#All],7,FALSE),VLOOKUP(Invoer_Referentie[[#This Row],[Product]]&amp;", "&amp;"Totaal",Database_Productkaarten[#All],15,FALSE))-1,0),0)</f>
        <v>0</v>
      </c>
      <c r="S68" s="350"/>
      <c r="T68" s="352"/>
      <c r="U68" s="352"/>
      <c r="V68" s="353"/>
      <c r="W68" s="390">
        <f>_xlfn.IFNA(VLOOKUP(Invoer_Referentie[[#This Row],[Product]],Brandstofverbuiken[#All],4,FALSE),0)</f>
        <v>0</v>
      </c>
      <c r="X68" s="390">
        <f>_xlfn.IFNA(VLOOKUP(Invoer_Referentie[[#This Row],[Product]],Brandstofverbuiken[#All],5,FALSE),0)</f>
        <v>0</v>
      </c>
      <c r="Y68" s="352"/>
      <c r="Z68" s="353"/>
      <c r="AA68" s="364">
        <f>_xlfn.IFNA(VLOOKUP(Invoer_Referentie[[#This Row],[Product]],Brandstofverbuiken[#All],7,FALSE),0)</f>
        <v>0</v>
      </c>
      <c r="AB68" s="390">
        <f>_xlfn.IFNA(VLOOKUP(Invoer_Referentie[[#This Row],[Product]],Brandstofverbuiken[#All],8,FALSE),0)</f>
        <v>0</v>
      </c>
      <c r="AC68" s="350"/>
      <c r="AD68" s="352"/>
      <c r="AE68" s="353"/>
      <c r="AF68" s="345"/>
    </row>
    <row r="69" spans="2:32" ht="15" hidden="1">
      <c r="B69" s="344"/>
      <c r="C69" s="345"/>
      <c r="D69" s="346"/>
      <c r="E69" s="347"/>
      <c r="F69" s="1"/>
      <c r="G69" s="348">
        <f>_xlfn.IFNA(VLOOKUP(Invoer_Referentie[[#This Row],[Product]],Database_Productkaarten[[Product]:[Comment]],64,FALSE),0)</f>
        <v>0</v>
      </c>
      <c r="H69" s="349">
        <f>_xlfn.IFNA(VLOOKUP(Invoer_Referentie[[#This Row],[Product]],Database_Productkaarten[[Product]:[Producttype]],3,FALSE),0)</f>
        <v>0</v>
      </c>
      <c r="I69" s="354"/>
      <c r="J69" s="348">
        <f>_xlfn.IFNA(VLOOKUP(Invoer_Referentie[[#This Row],[Product]],Database_Productkaarten[[Product]:[Eenheid]],4,FALSE),0)</f>
        <v>0</v>
      </c>
      <c r="K69" s="348"/>
      <c r="L69" s="348"/>
      <c r="M69" s="345"/>
      <c r="N69" s="351">
        <f>Invoer_Referentie[[#This Row],[Lengte'[m']]]*Invoer_Referentie[[#This Row],[Breedte '[m']]]</f>
        <v>0</v>
      </c>
      <c r="O69" s="345">
        <f>IFERROR(IF(Invoer_Referentie[[#This Row],[Oppervlakte '[m2']]]*Invoer_Referentie[[#This Row],[Dikte '[m']]]=0,Invoer_Referentie[[#This Row],[Gewicht '[ton']]]/Invoer_Referentie[[#This Row],[Soortelijk gewicht '[ton / m3']]],Invoer_Referentie[[#This Row],[Oppervlakte '[m2']]]*Invoer_Referentie[[#This Row],[Dikte '[m']]]),0)</f>
        <v>0</v>
      </c>
      <c r="P69" s="345">
        <f>_xlfn.IFNA(VLOOKUP(Invoer_Referentie[[#This Row],[Product]],Database_Productkaarten[[Product]:[Soortelijk Gewicht '[ton / m3']]],11,FALSE),0)</f>
        <v>0</v>
      </c>
      <c r="Q69" s="350">
        <f>_xlfn.IFNA(VLOOKUP(Invoer_Referentie[[#This Row],[Product]],Database_Productkaarten[[Product]:[Gewicht '[ton'] / Eenheid]],12,FALSE)*Invoer_Referentie[[#This Row],[Aantal Eenheden]],0)</f>
        <v>0</v>
      </c>
      <c r="R69" s="350">
        <f>MAX(IFERROR($E$2/IF(Invoer_Referentie[[#This Row],[Productgroep]]="Categorie_1_LCA_Producten",VLOOKUP(Invoer_Referentie[[#This Row],[Product]],Categorie_1_Producten[#All],7,FALSE),VLOOKUP(Invoer_Referentie[[#This Row],[Product]]&amp;", "&amp;"Totaal",Database_Productkaarten[#All],15,FALSE))-1,0),0)</f>
        <v>0</v>
      </c>
      <c r="S69" s="350"/>
      <c r="T69" s="352"/>
      <c r="U69" s="352"/>
      <c r="V69" s="353"/>
      <c r="W69" s="390">
        <f>_xlfn.IFNA(VLOOKUP(Invoer_Referentie[[#This Row],[Product]],Brandstofverbuiken[#All],4,FALSE),0)</f>
        <v>0</v>
      </c>
      <c r="X69" s="390">
        <f>_xlfn.IFNA(VLOOKUP(Invoer_Referentie[[#This Row],[Product]],Brandstofverbuiken[#All],5,FALSE),0)</f>
        <v>0</v>
      </c>
      <c r="Y69" s="352"/>
      <c r="Z69" s="353"/>
      <c r="AA69" s="364">
        <f>_xlfn.IFNA(VLOOKUP(Invoer_Referentie[[#This Row],[Product]],Brandstofverbuiken[#All],7,FALSE),0)</f>
        <v>0</v>
      </c>
      <c r="AB69" s="390">
        <f>_xlfn.IFNA(VLOOKUP(Invoer_Referentie[[#This Row],[Product]],Brandstofverbuiken[#All],8,FALSE),0)</f>
        <v>0</v>
      </c>
      <c r="AC69" s="350"/>
      <c r="AD69" s="352"/>
      <c r="AE69" s="353"/>
      <c r="AF69" s="345"/>
    </row>
    <row r="70" spans="2:32" ht="15" hidden="1">
      <c r="B70" s="344"/>
      <c r="C70" s="345"/>
      <c r="D70" s="346"/>
      <c r="E70" s="347"/>
      <c r="F70" s="1"/>
      <c r="G70" s="348">
        <f>_xlfn.IFNA(VLOOKUP(Invoer_Referentie[[#This Row],[Product]],Database_Productkaarten[[Product]:[Comment]],64,FALSE),0)</f>
        <v>0</v>
      </c>
      <c r="H70" s="349">
        <f>_xlfn.IFNA(VLOOKUP(Invoer_Referentie[[#This Row],[Product]],Database_Productkaarten[[Product]:[Producttype]],3,FALSE),0)</f>
        <v>0</v>
      </c>
      <c r="I70" s="354"/>
      <c r="J70" s="348">
        <f>_xlfn.IFNA(VLOOKUP(Invoer_Referentie[[#This Row],[Product]],Database_Productkaarten[[Product]:[Eenheid]],4,FALSE),0)</f>
        <v>0</v>
      </c>
      <c r="K70" s="348"/>
      <c r="L70" s="348"/>
      <c r="M70" s="345"/>
      <c r="N70" s="351">
        <f>Invoer_Referentie[[#This Row],[Lengte'[m']]]*Invoer_Referentie[[#This Row],[Breedte '[m']]]</f>
        <v>0</v>
      </c>
      <c r="O70" s="345">
        <f>IFERROR(IF(Invoer_Referentie[[#This Row],[Oppervlakte '[m2']]]*Invoer_Referentie[[#This Row],[Dikte '[m']]]=0,Invoer_Referentie[[#This Row],[Gewicht '[ton']]]/Invoer_Referentie[[#This Row],[Soortelijk gewicht '[ton / m3']]],Invoer_Referentie[[#This Row],[Oppervlakte '[m2']]]*Invoer_Referentie[[#This Row],[Dikte '[m']]]),0)</f>
        <v>0</v>
      </c>
      <c r="P70" s="345">
        <f>_xlfn.IFNA(VLOOKUP(Invoer_Referentie[[#This Row],[Product]],Database_Productkaarten[[Product]:[Soortelijk Gewicht '[ton / m3']]],11,FALSE),0)</f>
        <v>0</v>
      </c>
      <c r="Q70" s="350">
        <f>_xlfn.IFNA(VLOOKUP(Invoer_Referentie[[#This Row],[Product]],Database_Productkaarten[[Product]:[Gewicht '[ton'] / Eenheid]],12,FALSE)*Invoer_Referentie[[#This Row],[Aantal Eenheden]],0)</f>
        <v>0</v>
      </c>
      <c r="R70" s="350">
        <f>MAX(IFERROR($E$2/IF(Invoer_Referentie[[#This Row],[Productgroep]]="Categorie_1_LCA_Producten",VLOOKUP(Invoer_Referentie[[#This Row],[Product]],Categorie_1_Producten[#All],7,FALSE),VLOOKUP(Invoer_Referentie[[#This Row],[Product]]&amp;", "&amp;"Totaal",Database_Productkaarten[#All],15,FALSE))-1,0),0)</f>
        <v>0</v>
      </c>
      <c r="S70" s="350"/>
      <c r="T70" s="352"/>
      <c r="U70" s="352"/>
      <c r="V70" s="353"/>
      <c r="W70" s="390">
        <f>_xlfn.IFNA(VLOOKUP(Invoer_Referentie[[#This Row],[Product]],Brandstofverbuiken[#All],4,FALSE),0)</f>
        <v>0</v>
      </c>
      <c r="X70" s="390">
        <f>_xlfn.IFNA(VLOOKUP(Invoer_Referentie[[#This Row],[Product]],Brandstofverbuiken[#All],5,FALSE),0)</f>
        <v>0</v>
      </c>
      <c r="Y70" s="352"/>
      <c r="Z70" s="353"/>
      <c r="AA70" s="364">
        <f>_xlfn.IFNA(VLOOKUP(Invoer_Referentie[[#This Row],[Product]],Brandstofverbuiken[#All],7,FALSE),0)</f>
        <v>0</v>
      </c>
      <c r="AB70" s="390">
        <f>_xlfn.IFNA(VLOOKUP(Invoer_Referentie[[#This Row],[Product]],Brandstofverbuiken[#All],8,FALSE),0)</f>
        <v>0</v>
      </c>
      <c r="AC70" s="350"/>
      <c r="AD70" s="352"/>
      <c r="AE70" s="353"/>
      <c r="AF70" s="345"/>
    </row>
    <row r="71" spans="2:32" ht="15" hidden="1">
      <c r="B71" s="344"/>
      <c r="C71" s="345"/>
      <c r="D71" s="346"/>
      <c r="E71" s="347"/>
      <c r="F71" s="1"/>
      <c r="G71" s="348">
        <f>_xlfn.IFNA(VLOOKUP(Invoer_Referentie[[#This Row],[Product]],Database_Productkaarten[[Product]:[Comment]],64,FALSE),0)</f>
        <v>0</v>
      </c>
      <c r="H71" s="349">
        <f>_xlfn.IFNA(VLOOKUP(Invoer_Referentie[[#This Row],[Product]],Database_Productkaarten[[Product]:[Producttype]],3,FALSE),0)</f>
        <v>0</v>
      </c>
      <c r="I71" s="354"/>
      <c r="J71" s="348">
        <f>_xlfn.IFNA(VLOOKUP(Invoer_Referentie[[#This Row],[Product]],Database_Productkaarten[[Product]:[Eenheid]],4,FALSE),0)</f>
        <v>0</v>
      </c>
      <c r="K71" s="348"/>
      <c r="L71" s="348"/>
      <c r="M71" s="345"/>
      <c r="N71" s="351">
        <f>Invoer_Referentie[[#This Row],[Lengte'[m']]]*Invoer_Referentie[[#This Row],[Breedte '[m']]]</f>
        <v>0</v>
      </c>
      <c r="O71" s="345">
        <f>IFERROR(IF(Invoer_Referentie[[#This Row],[Oppervlakte '[m2']]]*Invoer_Referentie[[#This Row],[Dikte '[m']]]=0,Invoer_Referentie[[#This Row],[Gewicht '[ton']]]/Invoer_Referentie[[#This Row],[Soortelijk gewicht '[ton / m3']]],Invoer_Referentie[[#This Row],[Oppervlakte '[m2']]]*Invoer_Referentie[[#This Row],[Dikte '[m']]]),0)</f>
        <v>0</v>
      </c>
      <c r="P71" s="345">
        <f>_xlfn.IFNA(VLOOKUP(Invoer_Referentie[[#This Row],[Product]],Database_Productkaarten[[Product]:[Soortelijk Gewicht '[ton / m3']]],11,FALSE),0)</f>
        <v>0</v>
      </c>
      <c r="Q71" s="350">
        <f>_xlfn.IFNA(VLOOKUP(Invoer_Referentie[[#This Row],[Product]],Database_Productkaarten[[Product]:[Gewicht '[ton'] / Eenheid]],12,FALSE)*Invoer_Referentie[[#This Row],[Aantal Eenheden]],0)</f>
        <v>0</v>
      </c>
      <c r="R71" s="350">
        <f>MAX(IFERROR($E$2/IF(Invoer_Referentie[[#This Row],[Productgroep]]="Categorie_1_LCA_Producten",VLOOKUP(Invoer_Referentie[[#This Row],[Product]],Categorie_1_Producten[#All],7,FALSE),VLOOKUP(Invoer_Referentie[[#This Row],[Product]]&amp;", "&amp;"Totaal",Database_Productkaarten[#All],15,FALSE))-1,0),0)</f>
        <v>0</v>
      </c>
      <c r="S71" s="350"/>
      <c r="T71" s="352"/>
      <c r="U71" s="352"/>
      <c r="V71" s="353"/>
      <c r="W71" s="390">
        <f>_xlfn.IFNA(VLOOKUP(Invoer_Referentie[[#This Row],[Product]],Brandstofverbuiken[#All],4,FALSE),0)</f>
        <v>0</v>
      </c>
      <c r="X71" s="390">
        <f>_xlfn.IFNA(VLOOKUP(Invoer_Referentie[[#This Row],[Product]],Brandstofverbuiken[#All],5,FALSE),0)</f>
        <v>0</v>
      </c>
      <c r="Y71" s="352"/>
      <c r="Z71" s="353"/>
      <c r="AA71" s="364">
        <f>_xlfn.IFNA(VLOOKUP(Invoer_Referentie[[#This Row],[Product]],Brandstofverbuiken[#All],7,FALSE),0)</f>
        <v>0</v>
      </c>
      <c r="AB71" s="390">
        <f>_xlfn.IFNA(VLOOKUP(Invoer_Referentie[[#This Row],[Product]],Brandstofverbuiken[#All],8,FALSE),0)</f>
        <v>0</v>
      </c>
      <c r="AC71" s="350"/>
      <c r="AD71" s="352"/>
      <c r="AE71" s="353"/>
      <c r="AF71" s="345"/>
    </row>
    <row r="72" spans="2:32" ht="15" hidden="1">
      <c r="B72" s="344"/>
      <c r="C72" s="345"/>
      <c r="D72" s="346"/>
      <c r="E72" s="347"/>
      <c r="F72" s="1"/>
      <c r="G72" s="348">
        <f>_xlfn.IFNA(VLOOKUP(Invoer_Referentie[[#This Row],[Product]],Database_Productkaarten[[Product]:[Comment]],64,FALSE),0)</f>
        <v>0</v>
      </c>
      <c r="H72" s="349">
        <f>_xlfn.IFNA(VLOOKUP(Invoer_Referentie[[#This Row],[Product]],Database_Productkaarten[[Product]:[Producttype]],3,FALSE),0)</f>
        <v>0</v>
      </c>
      <c r="I72" s="354"/>
      <c r="J72" s="348">
        <f>_xlfn.IFNA(VLOOKUP(Invoer_Referentie[[#This Row],[Product]],Database_Productkaarten[[Product]:[Eenheid]],4,FALSE),0)</f>
        <v>0</v>
      </c>
      <c r="K72" s="348"/>
      <c r="L72" s="348"/>
      <c r="M72" s="345"/>
      <c r="N72" s="351">
        <f>Invoer_Referentie[[#This Row],[Lengte'[m']]]*Invoer_Referentie[[#This Row],[Breedte '[m']]]</f>
        <v>0</v>
      </c>
      <c r="O72" s="345">
        <f>IFERROR(IF(Invoer_Referentie[[#This Row],[Oppervlakte '[m2']]]*Invoer_Referentie[[#This Row],[Dikte '[m']]]=0,Invoer_Referentie[[#This Row],[Gewicht '[ton']]]/Invoer_Referentie[[#This Row],[Soortelijk gewicht '[ton / m3']]],Invoer_Referentie[[#This Row],[Oppervlakte '[m2']]]*Invoer_Referentie[[#This Row],[Dikte '[m']]]),0)</f>
        <v>0</v>
      </c>
      <c r="P72" s="345">
        <f>_xlfn.IFNA(VLOOKUP(Invoer_Referentie[[#This Row],[Product]],Database_Productkaarten[[Product]:[Soortelijk Gewicht '[ton / m3']]],11,FALSE),0)</f>
        <v>0</v>
      </c>
      <c r="Q72" s="350">
        <f>_xlfn.IFNA(VLOOKUP(Invoer_Referentie[[#This Row],[Product]],Database_Productkaarten[[Product]:[Gewicht '[ton'] / Eenheid]],12,FALSE)*Invoer_Referentie[[#This Row],[Aantal Eenheden]],0)</f>
        <v>0</v>
      </c>
      <c r="R72" s="350">
        <f>MAX(IFERROR($E$2/IF(Invoer_Referentie[[#This Row],[Productgroep]]="Categorie_1_LCA_Producten",VLOOKUP(Invoer_Referentie[[#This Row],[Product]],Categorie_1_Producten[#All],7,FALSE),VLOOKUP(Invoer_Referentie[[#This Row],[Product]]&amp;", "&amp;"Totaal",Database_Productkaarten[#All],15,FALSE))-1,0),0)</f>
        <v>0</v>
      </c>
      <c r="S72" s="350"/>
      <c r="T72" s="352"/>
      <c r="U72" s="352"/>
      <c r="V72" s="353"/>
      <c r="W72" s="390">
        <f>_xlfn.IFNA(VLOOKUP(Invoer_Referentie[[#This Row],[Product]],Brandstofverbuiken[#All],4,FALSE),0)</f>
        <v>0</v>
      </c>
      <c r="X72" s="390">
        <f>_xlfn.IFNA(VLOOKUP(Invoer_Referentie[[#This Row],[Product]],Brandstofverbuiken[#All],5,FALSE),0)</f>
        <v>0</v>
      </c>
      <c r="Y72" s="352"/>
      <c r="Z72" s="353"/>
      <c r="AA72" s="364">
        <f>_xlfn.IFNA(VLOOKUP(Invoer_Referentie[[#This Row],[Product]],Brandstofverbuiken[#All],7,FALSE),0)</f>
        <v>0</v>
      </c>
      <c r="AB72" s="390">
        <f>_xlfn.IFNA(VLOOKUP(Invoer_Referentie[[#This Row],[Product]],Brandstofverbuiken[#All],8,FALSE),0)</f>
        <v>0</v>
      </c>
      <c r="AC72" s="350"/>
      <c r="AD72" s="352"/>
      <c r="AE72" s="353"/>
      <c r="AF72" s="345"/>
    </row>
    <row r="73" spans="2:32" ht="15" hidden="1">
      <c r="B73" s="344"/>
      <c r="C73" s="345"/>
      <c r="D73" s="346"/>
      <c r="E73" s="347"/>
      <c r="F73" s="1"/>
      <c r="G73" s="348">
        <f>_xlfn.IFNA(VLOOKUP(Invoer_Referentie[[#This Row],[Product]],Database_Productkaarten[[Product]:[Comment]],64,FALSE),0)</f>
        <v>0</v>
      </c>
      <c r="H73" s="349">
        <f>_xlfn.IFNA(VLOOKUP(Invoer_Referentie[[#This Row],[Product]],Database_Productkaarten[[Product]:[Producttype]],3,FALSE),0)</f>
        <v>0</v>
      </c>
      <c r="I73" s="354"/>
      <c r="J73" s="348">
        <f>_xlfn.IFNA(VLOOKUP(Invoer_Referentie[[#This Row],[Product]],Database_Productkaarten[[Product]:[Eenheid]],4,FALSE),0)</f>
        <v>0</v>
      </c>
      <c r="K73" s="348"/>
      <c r="L73" s="348"/>
      <c r="M73" s="345"/>
      <c r="N73" s="351">
        <f>Invoer_Referentie[[#This Row],[Lengte'[m']]]*Invoer_Referentie[[#This Row],[Breedte '[m']]]</f>
        <v>0</v>
      </c>
      <c r="O73" s="345">
        <f>IFERROR(IF(Invoer_Referentie[[#This Row],[Oppervlakte '[m2']]]*Invoer_Referentie[[#This Row],[Dikte '[m']]]=0,Invoer_Referentie[[#This Row],[Gewicht '[ton']]]/Invoer_Referentie[[#This Row],[Soortelijk gewicht '[ton / m3']]],Invoer_Referentie[[#This Row],[Oppervlakte '[m2']]]*Invoer_Referentie[[#This Row],[Dikte '[m']]]),0)</f>
        <v>0</v>
      </c>
      <c r="P73" s="345">
        <f>_xlfn.IFNA(VLOOKUP(Invoer_Referentie[[#This Row],[Product]],Database_Productkaarten[[Product]:[Soortelijk Gewicht '[ton / m3']]],11,FALSE),0)</f>
        <v>0</v>
      </c>
      <c r="Q73" s="350">
        <f>_xlfn.IFNA(VLOOKUP(Invoer_Referentie[[#This Row],[Product]],Database_Productkaarten[[Product]:[Gewicht '[ton'] / Eenheid]],12,FALSE)*Invoer_Referentie[[#This Row],[Aantal Eenheden]],0)</f>
        <v>0</v>
      </c>
      <c r="R73" s="350">
        <f>MAX(IFERROR($E$2/IF(Invoer_Referentie[[#This Row],[Productgroep]]="Categorie_1_LCA_Producten",VLOOKUP(Invoer_Referentie[[#This Row],[Product]],Categorie_1_Producten[#All],7,FALSE),VLOOKUP(Invoer_Referentie[[#This Row],[Product]]&amp;", "&amp;"Totaal",Database_Productkaarten[#All],15,FALSE))-1,0),0)</f>
        <v>0</v>
      </c>
      <c r="S73" s="350"/>
      <c r="T73" s="352"/>
      <c r="U73" s="352"/>
      <c r="V73" s="353"/>
      <c r="W73" s="390">
        <f>_xlfn.IFNA(VLOOKUP(Invoer_Referentie[[#This Row],[Product]],Brandstofverbuiken[#All],4,FALSE),0)</f>
        <v>0</v>
      </c>
      <c r="X73" s="390">
        <f>_xlfn.IFNA(VLOOKUP(Invoer_Referentie[[#This Row],[Product]],Brandstofverbuiken[#All],5,FALSE),0)</f>
        <v>0</v>
      </c>
      <c r="Y73" s="352"/>
      <c r="Z73" s="353"/>
      <c r="AA73" s="364">
        <f>_xlfn.IFNA(VLOOKUP(Invoer_Referentie[[#This Row],[Product]],Brandstofverbuiken[#All],7,FALSE),0)</f>
        <v>0</v>
      </c>
      <c r="AB73" s="390">
        <f>_xlfn.IFNA(VLOOKUP(Invoer_Referentie[[#This Row],[Product]],Brandstofverbuiken[#All],8,FALSE),0)</f>
        <v>0</v>
      </c>
      <c r="AC73" s="350"/>
      <c r="AD73" s="352"/>
      <c r="AE73" s="353"/>
      <c r="AF73" s="345"/>
    </row>
    <row r="74" spans="2:32" ht="15" hidden="1">
      <c r="B74" s="344"/>
      <c r="C74" s="345"/>
      <c r="D74" s="346"/>
      <c r="E74" s="347"/>
      <c r="F74" s="1"/>
      <c r="G74" s="348">
        <f>_xlfn.IFNA(VLOOKUP(Invoer_Referentie[[#This Row],[Product]],Database_Productkaarten[[Product]:[Comment]],64,FALSE),0)</f>
        <v>0</v>
      </c>
      <c r="H74" s="349">
        <f>_xlfn.IFNA(VLOOKUP(Invoer_Referentie[[#This Row],[Product]],Database_Productkaarten[[Product]:[Producttype]],3,FALSE),0)</f>
        <v>0</v>
      </c>
      <c r="I74" s="354"/>
      <c r="J74" s="348">
        <f>_xlfn.IFNA(VLOOKUP(Invoer_Referentie[[#This Row],[Product]],Database_Productkaarten[[Product]:[Eenheid]],4,FALSE),0)</f>
        <v>0</v>
      </c>
      <c r="K74" s="348"/>
      <c r="L74" s="348"/>
      <c r="M74" s="345"/>
      <c r="N74" s="351">
        <f>Invoer_Referentie[[#This Row],[Lengte'[m']]]*Invoer_Referentie[[#This Row],[Breedte '[m']]]</f>
        <v>0</v>
      </c>
      <c r="O74" s="345">
        <f>IFERROR(IF(Invoer_Referentie[[#This Row],[Oppervlakte '[m2']]]*Invoer_Referentie[[#This Row],[Dikte '[m']]]=0,Invoer_Referentie[[#This Row],[Gewicht '[ton']]]/Invoer_Referentie[[#This Row],[Soortelijk gewicht '[ton / m3']]],Invoer_Referentie[[#This Row],[Oppervlakte '[m2']]]*Invoer_Referentie[[#This Row],[Dikte '[m']]]),0)</f>
        <v>0</v>
      </c>
      <c r="P74" s="345">
        <f>_xlfn.IFNA(VLOOKUP(Invoer_Referentie[[#This Row],[Product]],Database_Productkaarten[[Product]:[Soortelijk Gewicht '[ton / m3']]],11,FALSE),0)</f>
        <v>0</v>
      </c>
      <c r="Q74" s="350">
        <f>_xlfn.IFNA(VLOOKUP(Invoer_Referentie[[#This Row],[Product]],Database_Productkaarten[[Product]:[Gewicht '[ton'] / Eenheid]],12,FALSE)*Invoer_Referentie[[#This Row],[Aantal Eenheden]],0)</f>
        <v>0</v>
      </c>
      <c r="R74" s="350">
        <f>MAX(IFERROR($E$2/IF(Invoer_Referentie[[#This Row],[Productgroep]]="Categorie_1_LCA_Producten",VLOOKUP(Invoer_Referentie[[#This Row],[Product]],Categorie_1_Producten[#All],7,FALSE),VLOOKUP(Invoer_Referentie[[#This Row],[Product]]&amp;", "&amp;"Totaal",Database_Productkaarten[#All],15,FALSE))-1,0),0)</f>
        <v>0</v>
      </c>
      <c r="S74" s="350"/>
      <c r="T74" s="352"/>
      <c r="U74" s="352"/>
      <c r="V74" s="353"/>
      <c r="W74" s="390">
        <f>_xlfn.IFNA(VLOOKUP(Invoer_Referentie[[#This Row],[Product]],Brandstofverbuiken[#All],4,FALSE),0)</f>
        <v>0</v>
      </c>
      <c r="X74" s="390">
        <f>_xlfn.IFNA(VLOOKUP(Invoer_Referentie[[#This Row],[Product]],Brandstofverbuiken[#All],5,FALSE),0)</f>
        <v>0</v>
      </c>
      <c r="Y74" s="352"/>
      <c r="Z74" s="353"/>
      <c r="AA74" s="364">
        <f>_xlfn.IFNA(VLOOKUP(Invoer_Referentie[[#This Row],[Product]],Brandstofverbuiken[#All],7,FALSE),0)</f>
        <v>0</v>
      </c>
      <c r="AB74" s="390">
        <f>_xlfn.IFNA(VLOOKUP(Invoer_Referentie[[#This Row],[Product]],Brandstofverbuiken[#All],8,FALSE),0)</f>
        <v>0</v>
      </c>
      <c r="AC74" s="350"/>
      <c r="AD74" s="352"/>
      <c r="AE74" s="353"/>
      <c r="AF74" s="345"/>
    </row>
    <row r="75" spans="2:32" ht="15" hidden="1">
      <c r="B75" s="344"/>
      <c r="C75" s="345"/>
      <c r="D75" s="346"/>
      <c r="E75" s="347"/>
      <c r="F75" s="1"/>
      <c r="G75" s="348">
        <f>_xlfn.IFNA(VLOOKUP(Invoer_Referentie[[#This Row],[Product]],Database_Productkaarten[[Product]:[Comment]],64,FALSE),0)</f>
        <v>0</v>
      </c>
      <c r="H75" s="349">
        <f>_xlfn.IFNA(VLOOKUP(Invoer_Referentie[[#This Row],[Product]],Database_Productkaarten[[Product]:[Producttype]],3,FALSE),0)</f>
        <v>0</v>
      </c>
      <c r="I75" s="354"/>
      <c r="J75" s="348">
        <f>_xlfn.IFNA(VLOOKUP(Invoer_Referentie[[#This Row],[Product]],Database_Productkaarten[[Product]:[Eenheid]],4,FALSE),0)</f>
        <v>0</v>
      </c>
      <c r="K75" s="348"/>
      <c r="L75" s="348"/>
      <c r="M75" s="345"/>
      <c r="N75" s="351">
        <f>Invoer_Referentie[[#This Row],[Lengte'[m']]]*Invoer_Referentie[[#This Row],[Breedte '[m']]]</f>
        <v>0</v>
      </c>
      <c r="O75" s="345">
        <f>IFERROR(IF(Invoer_Referentie[[#This Row],[Oppervlakte '[m2']]]*Invoer_Referentie[[#This Row],[Dikte '[m']]]=0,Invoer_Referentie[[#This Row],[Gewicht '[ton']]]/Invoer_Referentie[[#This Row],[Soortelijk gewicht '[ton / m3']]],Invoer_Referentie[[#This Row],[Oppervlakte '[m2']]]*Invoer_Referentie[[#This Row],[Dikte '[m']]]),0)</f>
        <v>0</v>
      </c>
      <c r="P75" s="345">
        <f>_xlfn.IFNA(VLOOKUP(Invoer_Referentie[[#This Row],[Product]],Database_Productkaarten[[Product]:[Soortelijk Gewicht '[ton / m3']]],11,FALSE),0)</f>
        <v>0</v>
      </c>
      <c r="Q75" s="350">
        <f>_xlfn.IFNA(VLOOKUP(Invoer_Referentie[[#This Row],[Product]],Database_Productkaarten[[Product]:[Gewicht '[ton'] / Eenheid]],12,FALSE)*Invoer_Referentie[[#This Row],[Aantal Eenheden]],0)</f>
        <v>0</v>
      </c>
      <c r="R75" s="350">
        <f>MAX(IFERROR($E$2/IF(Invoer_Referentie[[#This Row],[Productgroep]]="Categorie_1_LCA_Producten",VLOOKUP(Invoer_Referentie[[#This Row],[Product]],Categorie_1_Producten[#All],7,FALSE),VLOOKUP(Invoer_Referentie[[#This Row],[Product]]&amp;", "&amp;"Totaal",Database_Productkaarten[#All],15,FALSE))-1,0),0)</f>
        <v>0</v>
      </c>
      <c r="S75" s="350"/>
      <c r="T75" s="352"/>
      <c r="U75" s="352"/>
      <c r="V75" s="353"/>
      <c r="W75" s="390">
        <f>_xlfn.IFNA(VLOOKUP(Invoer_Referentie[[#This Row],[Product]],Brandstofverbuiken[#All],4,FALSE),0)</f>
        <v>0</v>
      </c>
      <c r="X75" s="390">
        <f>_xlfn.IFNA(VLOOKUP(Invoer_Referentie[[#This Row],[Product]],Brandstofverbuiken[#All],5,FALSE),0)</f>
        <v>0</v>
      </c>
      <c r="Y75" s="352"/>
      <c r="Z75" s="353"/>
      <c r="AA75" s="364">
        <f>_xlfn.IFNA(VLOOKUP(Invoer_Referentie[[#This Row],[Product]],Brandstofverbuiken[#All],7,FALSE),0)</f>
        <v>0</v>
      </c>
      <c r="AB75" s="390">
        <f>_xlfn.IFNA(VLOOKUP(Invoer_Referentie[[#This Row],[Product]],Brandstofverbuiken[#All],8,FALSE),0)</f>
        <v>0</v>
      </c>
      <c r="AC75" s="350"/>
      <c r="AD75" s="352"/>
      <c r="AE75" s="353"/>
      <c r="AF75" s="345"/>
    </row>
    <row r="76" spans="2:32" ht="15" hidden="1">
      <c r="B76" s="344"/>
      <c r="C76" s="345"/>
      <c r="D76" s="346"/>
      <c r="E76" s="347"/>
      <c r="F76" s="1"/>
      <c r="G76" s="348">
        <f>_xlfn.IFNA(VLOOKUP(Invoer_Referentie[[#This Row],[Product]],Database_Productkaarten[[Product]:[Comment]],64,FALSE),0)</f>
        <v>0</v>
      </c>
      <c r="H76" s="349">
        <f>_xlfn.IFNA(VLOOKUP(Invoer_Referentie[[#This Row],[Product]],Database_Productkaarten[[Product]:[Producttype]],3,FALSE),0)</f>
        <v>0</v>
      </c>
      <c r="I76" s="354"/>
      <c r="J76" s="348">
        <f>_xlfn.IFNA(VLOOKUP(Invoer_Referentie[[#This Row],[Product]],Database_Productkaarten[[Product]:[Eenheid]],4,FALSE),0)</f>
        <v>0</v>
      </c>
      <c r="K76" s="348"/>
      <c r="L76" s="348"/>
      <c r="M76" s="345"/>
      <c r="N76" s="351">
        <f>Invoer_Referentie[[#This Row],[Lengte'[m']]]*Invoer_Referentie[[#This Row],[Breedte '[m']]]</f>
        <v>0</v>
      </c>
      <c r="O76" s="345">
        <f>IFERROR(IF(Invoer_Referentie[[#This Row],[Oppervlakte '[m2']]]*Invoer_Referentie[[#This Row],[Dikte '[m']]]=0,Invoer_Referentie[[#This Row],[Gewicht '[ton']]]/Invoer_Referentie[[#This Row],[Soortelijk gewicht '[ton / m3']]],Invoer_Referentie[[#This Row],[Oppervlakte '[m2']]]*Invoer_Referentie[[#This Row],[Dikte '[m']]]),0)</f>
        <v>0</v>
      </c>
      <c r="P76" s="345">
        <f>_xlfn.IFNA(VLOOKUP(Invoer_Referentie[[#This Row],[Product]],Database_Productkaarten[[Product]:[Soortelijk Gewicht '[ton / m3']]],11,FALSE),0)</f>
        <v>0</v>
      </c>
      <c r="Q76" s="350">
        <f>_xlfn.IFNA(VLOOKUP(Invoer_Referentie[[#This Row],[Product]],Database_Productkaarten[[Product]:[Gewicht '[ton'] / Eenheid]],12,FALSE)*Invoer_Referentie[[#This Row],[Aantal Eenheden]],0)</f>
        <v>0</v>
      </c>
      <c r="R76" s="350">
        <f>MAX(IFERROR($E$2/IF(Invoer_Referentie[[#This Row],[Productgroep]]="Categorie_1_LCA_Producten",VLOOKUP(Invoer_Referentie[[#This Row],[Product]],Categorie_1_Producten[#All],7,FALSE),VLOOKUP(Invoer_Referentie[[#This Row],[Product]]&amp;", "&amp;"Totaal",Database_Productkaarten[#All],15,FALSE))-1,0),0)</f>
        <v>0</v>
      </c>
      <c r="S76" s="350"/>
      <c r="T76" s="352"/>
      <c r="U76" s="352"/>
      <c r="V76" s="353"/>
      <c r="W76" s="390">
        <f>_xlfn.IFNA(VLOOKUP(Invoer_Referentie[[#This Row],[Product]],Brandstofverbuiken[#All],4,FALSE),0)</f>
        <v>0</v>
      </c>
      <c r="X76" s="390">
        <f>_xlfn.IFNA(VLOOKUP(Invoer_Referentie[[#This Row],[Product]],Brandstofverbuiken[#All],5,FALSE),0)</f>
        <v>0</v>
      </c>
      <c r="Y76" s="352"/>
      <c r="Z76" s="353"/>
      <c r="AA76" s="364">
        <f>_xlfn.IFNA(VLOOKUP(Invoer_Referentie[[#This Row],[Product]],Brandstofverbuiken[#All],7,FALSE),0)</f>
        <v>0</v>
      </c>
      <c r="AB76" s="390">
        <f>_xlfn.IFNA(VLOOKUP(Invoer_Referentie[[#This Row],[Product]],Brandstofverbuiken[#All],8,FALSE),0)</f>
        <v>0</v>
      </c>
      <c r="AC76" s="350"/>
      <c r="AD76" s="352"/>
      <c r="AE76" s="353"/>
      <c r="AF76" s="345"/>
    </row>
    <row r="77" spans="2:32" ht="15" hidden="1">
      <c r="B77" s="344"/>
      <c r="C77" s="345"/>
      <c r="D77" s="346"/>
      <c r="E77" s="347"/>
      <c r="F77" s="1"/>
      <c r="G77" s="348">
        <f>_xlfn.IFNA(VLOOKUP(Invoer_Referentie[[#This Row],[Product]],Database_Productkaarten[[Product]:[Comment]],64,FALSE),0)</f>
        <v>0</v>
      </c>
      <c r="H77" s="349">
        <f>_xlfn.IFNA(VLOOKUP(Invoer_Referentie[[#This Row],[Product]],Database_Productkaarten[[Product]:[Producttype]],3,FALSE),0)</f>
        <v>0</v>
      </c>
      <c r="I77" s="354"/>
      <c r="J77" s="348">
        <f>_xlfn.IFNA(VLOOKUP(Invoer_Referentie[[#This Row],[Product]],Database_Productkaarten[[Product]:[Eenheid]],4,FALSE),0)</f>
        <v>0</v>
      </c>
      <c r="K77" s="348"/>
      <c r="L77" s="348"/>
      <c r="M77" s="345"/>
      <c r="N77" s="351">
        <f>Invoer_Referentie[[#This Row],[Lengte'[m']]]*Invoer_Referentie[[#This Row],[Breedte '[m']]]</f>
        <v>0</v>
      </c>
      <c r="O77" s="345">
        <f>IFERROR(IF(Invoer_Referentie[[#This Row],[Oppervlakte '[m2']]]*Invoer_Referentie[[#This Row],[Dikte '[m']]]=0,Invoer_Referentie[[#This Row],[Gewicht '[ton']]]/Invoer_Referentie[[#This Row],[Soortelijk gewicht '[ton / m3']]],Invoer_Referentie[[#This Row],[Oppervlakte '[m2']]]*Invoer_Referentie[[#This Row],[Dikte '[m']]]),0)</f>
        <v>0</v>
      </c>
      <c r="P77" s="345">
        <f>_xlfn.IFNA(VLOOKUP(Invoer_Referentie[[#This Row],[Product]],Database_Productkaarten[[Product]:[Soortelijk Gewicht '[ton / m3']]],11,FALSE),0)</f>
        <v>0</v>
      </c>
      <c r="Q77" s="350">
        <f>_xlfn.IFNA(VLOOKUP(Invoer_Referentie[[#This Row],[Product]],Database_Productkaarten[[Product]:[Gewicht '[ton'] / Eenheid]],12,FALSE)*Invoer_Referentie[[#This Row],[Aantal Eenheden]],0)</f>
        <v>0</v>
      </c>
      <c r="R77" s="350">
        <f>MAX(IFERROR($E$2/IF(Invoer_Referentie[[#This Row],[Productgroep]]="Categorie_1_LCA_Producten",VLOOKUP(Invoer_Referentie[[#This Row],[Product]],Categorie_1_Producten[#All],7,FALSE),VLOOKUP(Invoer_Referentie[[#This Row],[Product]]&amp;", "&amp;"Totaal",Database_Productkaarten[#All],15,FALSE))-1,0),0)</f>
        <v>0</v>
      </c>
      <c r="S77" s="350"/>
      <c r="T77" s="352"/>
      <c r="U77" s="352"/>
      <c r="V77" s="353"/>
      <c r="W77" s="390">
        <f>_xlfn.IFNA(VLOOKUP(Invoer_Referentie[[#This Row],[Product]],Brandstofverbuiken[#All],4,FALSE),0)</f>
        <v>0</v>
      </c>
      <c r="X77" s="390">
        <f>_xlfn.IFNA(VLOOKUP(Invoer_Referentie[[#This Row],[Product]],Brandstofverbuiken[#All],5,FALSE),0)</f>
        <v>0</v>
      </c>
      <c r="Y77" s="352"/>
      <c r="Z77" s="353"/>
      <c r="AA77" s="364">
        <f>_xlfn.IFNA(VLOOKUP(Invoer_Referentie[[#This Row],[Product]],Brandstofverbuiken[#All],7,FALSE),0)</f>
        <v>0</v>
      </c>
      <c r="AB77" s="390">
        <f>_xlfn.IFNA(VLOOKUP(Invoer_Referentie[[#This Row],[Product]],Brandstofverbuiken[#All],8,FALSE),0)</f>
        <v>0</v>
      </c>
      <c r="AC77" s="350"/>
      <c r="AD77" s="352"/>
      <c r="AE77" s="353"/>
      <c r="AF77" s="345"/>
    </row>
    <row r="78" spans="2:32" ht="15" hidden="1">
      <c r="B78" s="344"/>
      <c r="C78" s="345"/>
      <c r="D78" s="346"/>
      <c r="E78" s="347"/>
      <c r="F78" s="1"/>
      <c r="G78" s="348">
        <f>_xlfn.IFNA(VLOOKUP(Invoer_Referentie[[#This Row],[Product]],Database_Productkaarten[[Product]:[Comment]],64,FALSE),0)</f>
        <v>0</v>
      </c>
      <c r="H78" s="349">
        <f>_xlfn.IFNA(VLOOKUP(Invoer_Referentie[[#This Row],[Product]],Database_Productkaarten[[Product]:[Producttype]],3,FALSE),0)</f>
        <v>0</v>
      </c>
      <c r="I78" s="354"/>
      <c r="J78" s="348">
        <f>_xlfn.IFNA(VLOOKUP(Invoer_Referentie[[#This Row],[Product]],Database_Productkaarten[[Product]:[Eenheid]],4,FALSE),0)</f>
        <v>0</v>
      </c>
      <c r="K78" s="348"/>
      <c r="L78" s="348"/>
      <c r="M78" s="345"/>
      <c r="N78" s="351">
        <f>Invoer_Referentie[[#This Row],[Lengte'[m']]]*Invoer_Referentie[[#This Row],[Breedte '[m']]]</f>
        <v>0</v>
      </c>
      <c r="O78" s="345">
        <f>IFERROR(IF(Invoer_Referentie[[#This Row],[Oppervlakte '[m2']]]*Invoer_Referentie[[#This Row],[Dikte '[m']]]=0,Invoer_Referentie[[#This Row],[Gewicht '[ton']]]/Invoer_Referentie[[#This Row],[Soortelijk gewicht '[ton / m3']]],Invoer_Referentie[[#This Row],[Oppervlakte '[m2']]]*Invoer_Referentie[[#This Row],[Dikte '[m']]]),0)</f>
        <v>0</v>
      </c>
      <c r="P78" s="345">
        <f>_xlfn.IFNA(VLOOKUP(Invoer_Referentie[[#This Row],[Product]],Database_Productkaarten[[Product]:[Soortelijk Gewicht '[ton / m3']]],11,FALSE),0)</f>
        <v>0</v>
      </c>
      <c r="Q78" s="350">
        <f>_xlfn.IFNA(VLOOKUP(Invoer_Referentie[[#This Row],[Product]],Database_Productkaarten[[Product]:[Gewicht '[ton'] / Eenheid]],12,FALSE)*Invoer_Referentie[[#This Row],[Aantal Eenheden]],0)</f>
        <v>0</v>
      </c>
      <c r="R78" s="350">
        <f>MAX(IFERROR($E$2/IF(Invoer_Referentie[[#This Row],[Productgroep]]="Categorie_1_LCA_Producten",VLOOKUP(Invoer_Referentie[[#This Row],[Product]],Categorie_1_Producten[#All],7,FALSE),VLOOKUP(Invoer_Referentie[[#This Row],[Product]]&amp;", "&amp;"Totaal",Database_Productkaarten[#All],15,FALSE))-1,0),0)</f>
        <v>0</v>
      </c>
      <c r="S78" s="350"/>
      <c r="T78" s="352"/>
      <c r="U78" s="352"/>
      <c r="V78" s="353"/>
      <c r="W78" s="390">
        <f>_xlfn.IFNA(VLOOKUP(Invoer_Referentie[[#This Row],[Product]],Brandstofverbuiken[#All],4,FALSE),0)</f>
        <v>0</v>
      </c>
      <c r="X78" s="390">
        <f>_xlfn.IFNA(VLOOKUP(Invoer_Referentie[[#This Row],[Product]],Brandstofverbuiken[#All],5,FALSE),0)</f>
        <v>0</v>
      </c>
      <c r="Y78" s="352"/>
      <c r="Z78" s="353"/>
      <c r="AA78" s="364">
        <f>_xlfn.IFNA(VLOOKUP(Invoer_Referentie[[#This Row],[Product]],Brandstofverbuiken[#All],7,FALSE),0)</f>
        <v>0</v>
      </c>
      <c r="AB78" s="390">
        <f>_xlfn.IFNA(VLOOKUP(Invoer_Referentie[[#This Row],[Product]],Brandstofverbuiken[#All],8,FALSE),0)</f>
        <v>0</v>
      </c>
      <c r="AC78" s="350"/>
      <c r="AD78" s="352"/>
      <c r="AE78" s="353"/>
      <c r="AF78" s="345"/>
    </row>
    <row r="79" spans="2:32" ht="15" hidden="1">
      <c r="B79" s="344"/>
      <c r="C79" s="345"/>
      <c r="D79" s="346"/>
      <c r="E79" s="347"/>
      <c r="F79" s="1"/>
      <c r="G79" s="348">
        <f>_xlfn.IFNA(VLOOKUP(Invoer_Referentie[[#This Row],[Product]],Database_Productkaarten[[Product]:[Comment]],64,FALSE),0)</f>
        <v>0</v>
      </c>
      <c r="H79" s="349">
        <f>_xlfn.IFNA(VLOOKUP(Invoer_Referentie[[#This Row],[Product]],Database_Productkaarten[[Product]:[Producttype]],3,FALSE),0)</f>
        <v>0</v>
      </c>
      <c r="I79" s="354"/>
      <c r="J79" s="348">
        <f>_xlfn.IFNA(VLOOKUP(Invoer_Referentie[[#This Row],[Product]],Database_Productkaarten[[Product]:[Eenheid]],4,FALSE),0)</f>
        <v>0</v>
      </c>
      <c r="K79" s="348"/>
      <c r="L79" s="348"/>
      <c r="M79" s="345"/>
      <c r="N79" s="351">
        <f>Invoer_Referentie[[#This Row],[Lengte'[m']]]*Invoer_Referentie[[#This Row],[Breedte '[m']]]</f>
        <v>0</v>
      </c>
      <c r="O79" s="345">
        <f>IFERROR(IF(Invoer_Referentie[[#This Row],[Oppervlakte '[m2']]]*Invoer_Referentie[[#This Row],[Dikte '[m']]]=0,Invoer_Referentie[[#This Row],[Gewicht '[ton']]]/Invoer_Referentie[[#This Row],[Soortelijk gewicht '[ton / m3']]],Invoer_Referentie[[#This Row],[Oppervlakte '[m2']]]*Invoer_Referentie[[#This Row],[Dikte '[m']]]),0)</f>
        <v>0</v>
      </c>
      <c r="P79" s="345">
        <f>_xlfn.IFNA(VLOOKUP(Invoer_Referentie[[#This Row],[Product]],Database_Productkaarten[[Product]:[Soortelijk Gewicht '[ton / m3']]],11,FALSE),0)</f>
        <v>0</v>
      </c>
      <c r="Q79" s="350">
        <f>_xlfn.IFNA(VLOOKUP(Invoer_Referentie[[#This Row],[Product]],Database_Productkaarten[[Product]:[Gewicht '[ton'] / Eenheid]],12,FALSE)*Invoer_Referentie[[#This Row],[Aantal Eenheden]],0)</f>
        <v>0</v>
      </c>
      <c r="R79" s="350">
        <f>MAX(IFERROR($E$2/IF(Invoer_Referentie[[#This Row],[Productgroep]]="Categorie_1_LCA_Producten",VLOOKUP(Invoer_Referentie[[#This Row],[Product]],Categorie_1_Producten[#All],7,FALSE),VLOOKUP(Invoer_Referentie[[#This Row],[Product]]&amp;", "&amp;"Totaal",Database_Productkaarten[#All],15,FALSE))-1,0),0)</f>
        <v>0</v>
      </c>
      <c r="S79" s="350"/>
      <c r="T79" s="352"/>
      <c r="U79" s="352"/>
      <c r="V79" s="353"/>
      <c r="W79" s="390">
        <f>_xlfn.IFNA(VLOOKUP(Invoer_Referentie[[#This Row],[Product]],Brandstofverbuiken[#All],4,FALSE),0)</f>
        <v>0</v>
      </c>
      <c r="X79" s="390">
        <f>_xlfn.IFNA(VLOOKUP(Invoer_Referentie[[#This Row],[Product]],Brandstofverbuiken[#All],5,FALSE),0)</f>
        <v>0</v>
      </c>
      <c r="Y79" s="352"/>
      <c r="Z79" s="353"/>
      <c r="AA79" s="364">
        <f>_xlfn.IFNA(VLOOKUP(Invoer_Referentie[[#This Row],[Product]],Brandstofverbuiken[#All],7,FALSE),0)</f>
        <v>0</v>
      </c>
      <c r="AB79" s="390">
        <f>_xlfn.IFNA(VLOOKUP(Invoer_Referentie[[#This Row],[Product]],Brandstofverbuiken[#All],8,FALSE),0)</f>
        <v>0</v>
      </c>
      <c r="AC79" s="350"/>
      <c r="AD79" s="352"/>
      <c r="AE79" s="353"/>
      <c r="AF79" s="345"/>
    </row>
    <row r="80" spans="2:32" ht="15" hidden="1">
      <c r="B80" s="344"/>
      <c r="C80" s="345"/>
      <c r="D80" s="346"/>
      <c r="E80" s="347"/>
      <c r="F80" s="1"/>
      <c r="G80" s="348">
        <f>_xlfn.IFNA(VLOOKUP(Invoer_Referentie[[#This Row],[Product]],Database_Productkaarten[[Product]:[Comment]],64,FALSE),0)</f>
        <v>0</v>
      </c>
      <c r="H80" s="349">
        <f>_xlfn.IFNA(VLOOKUP(Invoer_Referentie[[#This Row],[Product]],Database_Productkaarten[[Product]:[Producttype]],3,FALSE),0)</f>
        <v>0</v>
      </c>
      <c r="I80" s="354"/>
      <c r="J80" s="348">
        <f>_xlfn.IFNA(VLOOKUP(Invoer_Referentie[[#This Row],[Product]],Database_Productkaarten[[Product]:[Eenheid]],4,FALSE),0)</f>
        <v>0</v>
      </c>
      <c r="K80" s="348"/>
      <c r="L80" s="348"/>
      <c r="M80" s="345"/>
      <c r="N80" s="351">
        <f>Invoer_Referentie[[#This Row],[Lengte'[m']]]*Invoer_Referentie[[#This Row],[Breedte '[m']]]</f>
        <v>0</v>
      </c>
      <c r="O80" s="345">
        <f>IFERROR(IF(Invoer_Referentie[[#This Row],[Oppervlakte '[m2']]]*Invoer_Referentie[[#This Row],[Dikte '[m']]]=0,Invoer_Referentie[[#This Row],[Gewicht '[ton']]]/Invoer_Referentie[[#This Row],[Soortelijk gewicht '[ton / m3']]],Invoer_Referentie[[#This Row],[Oppervlakte '[m2']]]*Invoer_Referentie[[#This Row],[Dikte '[m']]]),0)</f>
        <v>0</v>
      </c>
      <c r="P80" s="345">
        <f>_xlfn.IFNA(VLOOKUP(Invoer_Referentie[[#This Row],[Product]],Database_Productkaarten[[Product]:[Soortelijk Gewicht '[ton / m3']]],11,FALSE),0)</f>
        <v>0</v>
      </c>
      <c r="Q80" s="350">
        <f>_xlfn.IFNA(VLOOKUP(Invoer_Referentie[[#This Row],[Product]],Database_Productkaarten[[Product]:[Gewicht '[ton'] / Eenheid]],12,FALSE)*Invoer_Referentie[[#This Row],[Aantal Eenheden]],0)</f>
        <v>0</v>
      </c>
      <c r="R80" s="350">
        <f>MAX(IFERROR($E$2/IF(Invoer_Referentie[[#This Row],[Productgroep]]="Categorie_1_LCA_Producten",VLOOKUP(Invoer_Referentie[[#This Row],[Product]],Categorie_1_Producten[#All],7,FALSE),VLOOKUP(Invoer_Referentie[[#This Row],[Product]]&amp;", "&amp;"Totaal",Database_Productkaarten[#All],15,FALSE))-1,0),0)</f>
        <v>0</v>
      </c>
      <c r="S80" s="350"/>
      <c r="T80" s="352"/>
      <c r="U80" s="352"/>
      <c r="V80" s="353"/>
      <c r="W80" s="390">
        <f>_xlfn.IFNA(VLOOKUP(Invoer_Referentie[[#This Row],[Product]],Brandstofverbuiken[#All],4,FALSE),0)</f>
        <v>0</v>
      </c>
      <c r="X80" s="390">
        <f>_xlfn.IFNA(VLOOKUP(Invoer_Referentie[[#This Row],[Product]],Brandstofverbuiken[#All],5,FALSE),0)</f>
        <v>0</v>
      </c>
      <c r="Y80" s="352"/>
      <c r="Z80" s="353"/>
      <c r="AA80" s="364">
        <f>_xlfn.IFNA(VLOOKUP(Invoer_Referentie[[#This Row],[Product]],Brandstofverbuiken[#All],7,FALSE),0)</f>
        <v>0</v>
      </c>
      <c r="AB80" s="390">
        <f>_xlfn.IFNA(VLOOKUP(Invoer_Referentie[[#This Row],[Product]],Brandstofverbuiken[#All],8,FALSE),0)</f>
        <v>0</v>
      </c>
      <c r="AC80" s="350"/>
      <c r="AD80" s="352"/>
      <c r="AE80" s="353"/>
      <c r="AF80" s="345"/>
    </row>
    <row r="81" spans="2:32" ht="15" hidden="1">
      <c r="B81" s="344"/>
      <c r="C81" s="345"/>
      <c r="D81" s="346"/>
      <c r="E81" s="347"/>
      <c r="F81" s="1"/>
      <c r="G81" s="348">
        <f>_xlfn.IFNA(VLOOKUP(Invoer_Referentie[[#This Row],[Product]],Database_Productkaarten[[Product]:[Comment]],64,FALSE),0)</f>
        <v>0</v>
      </c>
      <c r="H81" s="349">
        <f>_xlfn.IFNA(VLOOKUP(Invoer_Referentie[[#This Row],[Product]],Database_Productkaarten[[Product]:[Producttype]],3,FALSE),0)</f>
        <v>0</v>
      </c>
      <c r="I81" s="354"/>
      <c r="J81" s="348">
        <f>_xlfn.IFNA(VLOOKUP(Invoer_Referentie[[#This Row],[Product]],Database_Productkaarten[[Product]:[Eenheid]],4,FALSE),0)</f>
        <v>0</v>
      </c>
      <c r="K81" s="348"/>
      <c r="L81" s="348"/>
      <c r="M81" s="345"/>
      <c r="N81" s="351">
        <f>Invoer_Referentie[[#This Row],[Lengte'[m']]]*Invoer_Referentie[[#This Row],[Breedte '[m']]]</f>
        <v>0</v>
      </c>
      <c r="O81" s="345">
        <f>IFERROR(IF(Invoer_Referentie[[#This Row],[Oppervlakte '[m2']]]*Invoer_Referentie[[#This Row],[Dikte '[m']]]=0,Invoer_Referentie[[#This Row],[Gewicht '[ton']]]/Invoer_Referentie[[#This Row],[Soortelijk gewicht '[ton / m3']]],Invoer_Referentie[[#This Row],[Oppervlakte '[m2']]]*Invoer_Referentie[[#This Row],[Dikte '[m']]]),0)</f>
        <v>0</v>
      </c>
      <c r="P81" s="345">
        <f>_xlfn.IFNA(VLOOKUP(Invoer_Referentie[[#This Row],[Product]],Database_Productkaarten[[Product]:[Soortelijk Gewicht '[ton / m3']]],11,FALSE),0)</f>
        <v>0</v>
      </c>
      <c r="Q81" s="350">
        <f>_xlfn.IFNA(VLOOKUP(Invoer_Referentie[[#This Row],[Product]],Database_Productkaarten[[Product]:[Gewicht '[ton'] / Eenheid]],12,FALSE)*Invoer_Referentie[[#This Row],[Aantal Eenheden]],0)</f>
        <v>0</v>
      </c>
      <c r="R81" s="350">
        <f>MAX(IFERROR($E$2/IF(Invoer_Referentie[[#This Row],[Productgroep]]="Categorie_1_LCA_Producten",VLOOKUP(Invoer_Referentie[[#This Row],[Product]],Categorie_1_Producten[#All],7,FALSE),VLOOKUP(Invoer_Referentie[[#This Row],[Product]]&amp;", "&amp;"Totaal",Database_Productkaarten[#All],15,FALSE))-1,0),0)</f>
        <v>0</v>
      </c>
      <c r="S81" s="350"/>
      <c r="T81" s="352"/>
      <c r="U81" s="352"/>
      <c r="V81" s="353"/>
      <c r="W81" s="390">
        <f>_xlfn.IFNA(VLOOKUP(Invoer_Referentie[[#This Row],[Product]],Brandstofverbuiken[#All],4,FALSE),0)</f>
        <v>0</v>
      </c>
      <c r="X81" s="390">
        <f>_xlfn.IFNA(VLOOKUP(Invoer_Referentie[[#This Row],[Product]],Brandstofverbuiken[#All],5,FALSE),0)</f>
        <v>0</v>
      </c>
      <c r="Y81" s="352"/>
      <c r="Z81" s="353"/>
      <c r="AA81" s="364">
        <f>_xlfn.IFNA(VLOOKUP(Invoer_Referentie[[#This Row],[Product]],Brandstofverbuiken[#All],7,FALSE),0)</f>
        <v>0</v>
      </c>
      <c r="AB81" s="390">
        <f>_xlfn.IFNA(VLOOKUP(Invoer_Referentie[[#This Row],[Product]],Brandstofverbuiken[#All],8,FALSE),0)</f>
        <v>0</v>
      </c>
      <c r="AC81" s="350"/>
      <c r="AD81" s="352"/>
      <c r="AE81" s="353"/>
      <c r="AF81" s="345"/>
    </row>
    <row r="82" spans="2:32" ht="15" hidden="1">
      <c r="B82" s="344"/>
      <c r="C82" s="345"/>
      <c r="D82" s="346"/>
      <c r="E82" s="347"/>
      <c r="F82" s="1"/>
      <c r="G82" s="348">
        <f>_xlfn.IFNA(VLOOKUP(Invoer_Referentie[[#This Row],[Product]],Database_Productkaarten[[Product]:[Comment]],64,FALSE),0)</f>
        <v>0</v>
      </c>
      <c r="H82" s="349">
        <f>_xlfn.IFNA(VLOOKUP(Invoer_Referentie[[#This Row],[Product]],Database_Productkaarten[[Product]:[Producttype]],3,FALSE),0)</f>
        <v>0</v>
      </c>
      <c r="I82" s="354"/>
      <c r="J82" s="348">
        <f>_xlfn.IFNA(VLOOKUP(Invoer_Referentie[[#This Row],[Product]],Database_Productkaarten[[Product]:[Eenheid]],4,FALSE),0)</f>
        <v>0</v>
      </c>
      <c r="K82" s="348"/>
      <c r="L82" s="348"/>
      <c r="M82" s="345"/>
      <c r="N82" s="351">
        <f>Invoer_Referentie[[#This Row],[Lengte'[m']]]*Invoer_Referentie[[#This Row],[Breedte '[m']]]</f>
        <v>0</v>
      </c>
      <c r="O82" s="345">
        <f>IFERROR(IF(Invoer_Referentie[[#This Row],[Oppervlakte '[m2']]]*Invoer_Referentie[[#This Row],[Dikte '[m']]]=0,Invoer_Referentie[[#This Row],[Gewicht '[ton']]]/Invoer_Referentie[[#This Row],[Soortelijk gewicht '[ton / m3']]],Invoer_Referentie[[#This Row],[Oppervlakte '[m2']]]*Invoer_Referentie[[#This Row],[Dikte '[m']]]),0)</f>
        <v>0</v>
      </c>
      <c r="P82" s="345">
        <f>_xlfn.IFNA(VLOOKUP(Invoer_Referentie[[#This Row],[Product]],Database_Productkaarten[[Product]:[Soortelijk Gewicht '[ton / m3']]],11,FALSE),0)</f>
        <v>0</v>
      </c>
      <c r="Q82" s="350">
        <f>_xlfn.IFNA(VLOOKUP(Invoer_Referentie[[#This Row],[Product]],Database_Productkaarten[[Product]:[Gewicht '[ton'] / Eenheid]],12,FALSE)*Invoer_Referentie[[#This Row],[Aantal Eenheden]],0)</f>
        <v>0</v>
      </c>
      <c r="R82" s="350">
        <f>MAX(IFERROR($E$2/IF(Invoer_Referentie[[#This Row],[Productgroep]]="Categorie_1_LCA_Producten",VLOOKUP(Invoer_Referentie[[#This Row],[Product]],Categorie_1_Producten[#All],7,FALSE),VLOOKUP(Invoer_Referentie[[#This Row],[Product]]&amp;", "&amp;"Totaal",Database_Productkaarten[#All],15,FALSE))-1,0),0)</f>
        <v>0</v>
      </c>
      <c r="S82" s="350"/>
      <c r="T82" s="352"/>
      <c r="U82" s="352"/>
      <c r="V82" s="353"/>
      <c r="W82" s="390">
        <f>_xlfn.IFNA(VLOOKUP(Invoer_Referentie[[#This Row],[Product]],Brandstofverbuiken[#All],4,FALSE),0)</f>
        <v>0</v>
      </c>
      <c r="X82" s="390">
        <f>_xlfn.IFNA(VLOOKUP(Invoer_Referentie[[#This Row],[Product]],Brandstofverbuiken[#All],5,FALSE),0)</f>
        <v>0</v>
      </c>
      <c r="Y82" s="352"/>
      <c r="Z82" s="353"/>
      <c r="AA82" s="364">
        <f>_xlfn.IFNA(VLOOKUP(Invoer_Referentie[[#This Row],[Product]],Brandstofverbuiken[#All],7,FALSE),0)</f>
        <v>0</v>
      </c>
      <c r="AB82" s="390">
        <f>_xlfn.IFNA(VLOOKUP(Invoer_Referentie[[#This Row],[Product]],Brandstofverbuiken[#All],8,FALSE),0)</f>
        <v>0</v>
      </c>
      <c r="AC82" s="350"/>
      <c r="AD82" s="352"/>
      <c r="AE82" s="353"/>
      <c r="AF82" s="345"/>
    </row>
    <row r="83" spans="2:32" ht="15" hidden="1">
      <c r="B83" s="344"/>
      <c r="C83" s="345"/>
      <c r="D83" s="346"/>
      <c r="E83" s="347"/>
      <c r="F83" s="1"/>
      <c r="G83" s="348">
        <f>_xlfn.IFNA(VLOOKUP(Invoer_Referentie[[#This Row],[Product]],Database_Productkaarten[[Product]:[Comment]],64,FALSE),0)</f>
        <v>0</v>
      </c>
      <c r="H83" s="349">
        <f>_xlfn.IFNA(VLOOKUP(Invoer_Referentie[[#This Row],[Product]],Database_Productkaarten[[Product]:[Producttype]],3,FALSE),0)</f>
        <v>0</v>
      </c>
      <c r="I83" s="354"/>
      <c r="J83" s="348">
        <f>_xlfn.IFNA(VLOOKUP(Invoer_Referentie[[#This Row],[Product]],Database_Productkaarten[[Product]:[Eenheid]],4,FALSE),0)</f>
        <v>0</v>
      </c>
      <c r="K83" s="348"/>
      <c r="L83" s="348"/>
      <c r="M83" s="345"/>
      <c r="N83" s="351">
        <f>Invoer_Referentie[[#This Row],[Lengte'[m']]]*Invoer_Referentie[[#This Row],[Breedte '[m']]]</f>
        <v>0</v>
      </c>
      <c r="O83" s="345">
        <f>IFERROR(IF(Invoer_Referentie[[#This Row],[Oppervlakte '[m2']]]*Invoer_Referentie[[#This Row],[Dikte '[m']]]=0,Invoer_Referentie[[#This Row],[Gewicht '[ton']]]/Invoer_Referentie[[#This Row],[Soortelijk gewicht '[ton / m3']]],Invoer_Referentie[[#This Row],[Oppervlakte '[m2']]]*Invoer_Referentie[[#This Row],[Dikte '[m']]]),0)</f>
        <v>0</v>
      </c>
      <c r="P83" s="345">
        <f>_xlfn.IFNA(VLOOKUP(Invoer_Referentie[[#This Row],[Product]],Database_Productkaarten[[Product]:[Soortelijk Gewicht '[ton / m3']]],11,FALSE),0)</f>
        <v>0</v>
      </c>
      <c r="Q83" s="350">
        <f>_xlfn.IFNA(VLOOKUP(Invoer_Referentie[[#This Row],[Product]],Database_Productkaarten[[Product]:[Gewicht '[ton'] / Eenheid]],12,FALSE)*Invoer_Referentie[[#This Row],[Aantal Eenheden]],0)</f>
        <v>0</v>
      </c>
      <c r="R83" s="350">
        <f>MAX(IFERROR($E$2/IF(Invoer_Referentie[[#This Row],[Productgroep]]="Categorie_1_LCA_Producten",VLOOKUP(Invoer_Referentie[[#This Row],[Product]],Categorie_1_Producten[#All],7,FALSE),VLOOKUP(Invoer_Referentie[[#This Row],[Product]]&amp;", "&amp;"Totaal",Database_Productkaarten[#All],15,FALSE))-1,0),0)</f>
        <v>0</v>
      </c>
      <c r="S83" s="350"/>
      <c r="T83" s="352"/>
      <c r="U83" s="352"/>
      <c r="V83" s="353"/>
      <c r="W83" s="390">
        <f>_xlfn.IFNA(VLOOKUP(Invoer_Referentie[[#This Row],[Product]],Brandstofverbuiken[#All],4,FALSE),0)</f>
        <v>0</v>
      </c>
      <c r="X83" s="390">
        <f>_xlfn.IFNA(VLOOKUP(Invoer_Referentie[[#This Row],[Product]],Brandstofverbuiken[#All],5,FALSE),0)</f>
        <v>0</v>
      </c>
      <c r="Y83" s="352"/>
      <c r="Z83" s="353"/>
      <c r="AA83" s="364">
        <f>_xlfn.IFNA(VLOOKUP(Invoer_Referentie[[#This Row],[Product]],Brandstofverbuiken[#All],7,FALSE),0)</f>
        <v>0</v>
      </c>
      <c r="AB83" s="390">
        <f>_xlfn.IFNA(VLOOKUP(Invoer_Referentie[[#This Row],[Product]],Brandstofverbuiken[#All],8,FALSE),0)</f>
        <v>0</v>
      </c>
      <c r="AC83" s="350"/>
      <c r="AD83" s="352"/>
      <c r="AE83" s="353"/>
      <c r="AF83" s="345"/>
    </row>
    <row r="84" spans="2:32" ht="15" hidden="1">
      <c r="B84" s="344"/>
      <c r="C84" s="345"/>
      <c r="D84" s="346"/>
      <c r="E84" s="347"/>
      <c r="F84" s="1"/>
      <c r="G84" s="348">
        <f>_xlfn.IFNA(VLOOKUP(Invoer_Referentie[[#This Row],[Product]],Database_Productkaarten[[Product]:[Comment]],64,FALSE),0)</f>
        <v>0</v>
      </c>
      <c r="H84" s="349">
        <f>_xlfn.IFNA(VLOOKUP(Invoer_Referentie[[#This Row],[Product]],Database_Productkaarten[[Product]:[Producttype]],3,FALSE),0)</f>
        <v>0</v>
      </c>
      <c r="I84" s="354"/>
      <c r="J84" s="348">
        <f>_xlfn.IFNA(VLOOKUP(Invoer_Referentie[[#This Row],[Product]],Database_Productkaarten[[Product]:[Eenheid]],4,FALSE),0)</f>
        <v>0</v>
      </c>
      <c r="K84" s="348"/>
      <c r="L84" s="348"/>
      <c r="M84" s="345"/>
      <c r="N84" s="351">
        <f>Invoer_Referentie[[#This Row],[Lengte'[m']]]*Invoer_Referentie[[#This Row],[Breedte '[m']]]</f>
        <v>0</v>
      </c>
      <c r="O84" s="345">
        <f>IFERROR(IF(Invoer_Referentie[[#This Row],[Oppervlakte '[m2']]]*Invoer_Referentie[[#This Row],[Dikte '[m']]]=0,Invoer_Referentie[[#This Row],[Gewicht '[ton']]]/Invoer_Referentie[[#This Row],[Soortelijk gewicht '[ton / m3']]],Invoer_Referentie[[#This Row],[Oppervlakte '[m2']]]*Invoer_Referentie[[#This Row],[Dikte '[m']]]),0)</f>
        <v>0</v>
      </c>
      <c r="P84" s="345">
        <f>_xlfn.IFNA(VLOOKUP(Invoer_Referentie[[#This Row],[Product]],Database_Productkaarten[[Product]:[Soortelijk Gewicht '[ton / m3']]],11,FALSE),0)</f>
        <v>0</v>
      </c>
      <c r="Q84" s="350">
        <f>_xlfn.IFNA(VLOOKUP(Invoer_Referentie[[#This Row],[Product]],Database_Productkaarten[[Product]:[Gewicht '[ton'] / Eenheid]],12,FALSE)*Invoer_Referentie[[#This Row],[Aantal Eenheden]],0)</f>
        <v>0</v>
      </c>
      <c r="R84" s="350">
        <f>MAX(IFERROR($E$2/IF(Invoer_Referentie[[#This Row],[Productgroep]]="Categorie_1_LCA_Producten",VLOOKUP(Invoer_Referentie[[#This Row],[Product]],Categorie_1_Producten[#All],7,FALSE),VLOOKUP(Invoer_Referentie[[#This Row],[Product]]&amp;", "&amp;"Totaal",Database_Productkaarten[#All],15,FALSE))-1,0),0)</f>
        <v>0</v>
      </c>
      <c r="S84" s="350"/>
      <c r="T84" s="352"/>
      <c r="U84" s="352"/>
      <c r="V84" s="353"/>
      <c r="W84" s="390">
        <f>_xlfn.IFNA(VLOOKUP(Invoer_Referentie[[#This Row],[Product]],Brandstofverbuiken[#All],4,FALSE),0)</f>
        <v>0</v>
      </c>
      <c r="X84" s="390">
        <f>_xlfn.IFNA(VLOOKUP(Invoer_Referentie[[#This Row],[Product]],Brandstofverbuiken[#All],5,FALSE),0)</f>
        <v>0</v>
      </c>
      <c r="Y84" s="352"/>
      <c r="Z84" s="353"/>
      <c r="AA84" s="364">
        <f>_xlfn.IFNA(VLOOKUP(Invoer_Referentie[[#This Row],[Product]],Brandstofverbuiken[#All],7,FALSE),0)</f>
        <v>0</v>
      </c>
      <c r="AB84" s="390">
        <f>_xlfn.IFNA(VLOOKUP(Invoer_Referentie[[#This Row],[Product]],Brandstofverbuiken[#All],8,FALSE),0)</f>
        <v>0</v>
      </c>
      <c r="AC84" s="350"/>
      <c r="AD84" s="352"/>
      <c r="AE84" s="353"/>
      <c r="AF84" s="345"/>
    </row>
    <row r="85" spans="2:32" ht="15" hidden="1">
      <c r="B85" s="344"/>
      <c r="C85" s="345"/>
      <c r="D85" s="346"/>
      <c r="E85" s="347"/>
      <c r="F85" s="1"/>
      <c r="G85" s="348">
        <f>_xlfn.IFNA(VLOOKUP(Invoer_Referentie[[#This Row],[Product]],Database_Productkaarten[[Product]:[Comment]],64,FALSE),0)</f>
        <v>0</v>
      </c>
      <c r="H85" s="349">
        <f>_xlfn.IFNA(VLOOKUP(Invoer_Referentie[[#This Row],[Product]],Database_Productkaarten[[Product]:[Producttype]],3,FALSE),0)</f>
        <v>0</v>
      </c>
      <c r="I85" s="354"/>
      <c r="J85" s="348">
        <f>_xlfn.IFNA(VLOOKUP(Invoer_Referentie[[#This Row],[Product]],Database_Productkaarten[[Product]:[Eenheid]],4,FALSE),0)</f>
        <v>0</v>
      </c>
      <c r="K85" s="348"/>
      <c r="L85" s="348"/>
      <c r="M85" s="345"/>
      <c r="N85" s="351">
        <f>Invoer_Referentie[[#This Row],[Lengte'[m']]]*Invoer_Referentie[[#This Row],[Breedte '[m']]]</f>
        <v>0</v>
      </c>
      <c r="O85" s="345">
        <f>IFERROR(IF(Invoer_Referentie[[#This Row],[Oppervlakte '[m2']]]*Invoer_Referentie[[#This Row],[Dikte '[m']]]=0,Invoer_Referentie[[#This Row],[Gewicht '[ton']]]/Invoer_Referentie[[#This Row],[Soortelijk gewicht '[ton / m3']]],Invoer_Referentie[[#This Row],[Oppervlakte '[m2']]]*Invoer_Referentie[[#This Row],[Dikte '[m']]]),0)</f>
        <v>0</v>
      </c>
      <c r="P85" s="345">
        <f>_xlfn.IFNA(VLOOKUP(Invoer_Referentie[[#This Row],[Product]],Database_Productkaarten[[Product]:[Soortelijk Gewicht '[ton / m3']]],11,FALSE),0)</f>
        <v>0</v>
      </c>
      <c r="Q85" s="350">
        <f>_xlfn.IFNA(VLOOKUP(Invoer_Referentie[[#This Row],[Product]],Database_Productkaarten[[Product]:[Gewicht '[ton'] / Eenheid]],12,FALSE)*Invoer_Referentie[[#This Row],[Aantal Eenheden]],0)</f>
        <v>0</v>
      </c>
      <c r="R85" s="350">
        <f>MAX(IFERROR($E$2/IF(Invoer_Referentie[[#This Row],[Productgroep]]="Categorie_1_LCA_Producten",VLOOKUP(Invoer_Referentie[[#This Row],[Product]],Categorie_1_Producten[#All],7,FALSE),VLOOKUP(Invoer_Referentie[[#This Row],[Product]]&amp;", "&amp;"Totaal",Database_Productkaarten[#All],15,FALSE))-1,0),0)</f>
        <v>0</v>
      </c>
      <c r="S85" s="350"/>
      <c r="T85" s="352"/>
      <c r="U85" s="352"/>
      <c r="V85" s="353"/>
      <c r="W85" s="390">
        <f>_xlfn.IFNA(VLOOKUP(Invoer_Referentie[[#This Row],[Product]],Brandstofverbuiken[#All],4,FALSE),0)</f>
        <v>0</v>
      </c>
      <c r="X85" s="390">
        <f>_xlfn.IFNA(VLOOKUP(Invoer_Referentie[[#This Row],[Product]],Brandstofverbuiken[#All],5,FALSE),0)</f>
        <v>0</v>
      </c>
      <c r="Y85" s="352"/>
      <c r="Z85" s="353"/>
      <c r="AA85" s="364">
        <f>_xlfn.IFNA(VLOOKUP(Invoer_Referentie[[#This Row],[Product]],Brandstofverbuiken[#All],7,FALSE),0)</f>
        <v>0</v>
      </c>
      <c r="AB85" s="390">
        <f>_xlfn.IFNA(VLOOKUP(Invoer_Referentie[[#This Row],[Product]],Brandstofverbuiken[#All],8,FALSE),0)</f>
        <v>0</v>
      </c>
      <c r="AC85" s="350"/>
      <c r="AD85" s="352"/>
      <c r="AE85" s="353"/>
      <c r="AF85" s="345"/>
    </row>
    <row r="86" spans="2:32" ht="15" hidden="1">
      <c r="B86" s="344"/>
      <c r="C86" s="345"/>
      <c r="D86" s="346"/>
      <c r="E86" s="347"/>
      <c r="F86" s="1"/>
      <c r="G86" s="348">
        <f>_xlfn.IFNA(VLOOKUP(Invoer_Referentie[[#This Row],[Product]],Database_Productkaarten[[Product]:[Comment]],64,FALSE),0)</f>
        <v>0</v>
      </c>
      <c r="H86" s="349">
        <f>_xlfn.IFNA(VLOOKUP(Invoer_Referentie[[#This Row],[Product]],Database_Productkaarten[[Product]:[Producttype]],3,FALSE),0)</f>
        <v>0</v>
      </c>
      <c r="I86" s="354"/>
      <c r="J86" s="348">
        <f>_xlfn.IFNA(VLOOKUP(Invoer_Referentie[[#This Row],[Product]],Database_Productkaarten[[Product]:[Eenheid]],4,FALSE),0)</f>
        <v>0</v>
      </c>
      <c r="K86" s="348"/>
      <c r="L86" s="348"/>
      <c r="M86" s="345"/>
      <c r="N86" s="351">
        <f>Invoer_Referentie[[#This Row],[Lengte'[m']]]*Invoer_Referentie[[#This Row],[Breedte '[m']]]</f>
        <v>0</v>
      </c>
      <c r="O86" s="345">
        <f>IFERROR(IF(Invoer_Referentie[[#This Row],[Oppervlakte '[m2']]]*Invoer_Referentie[[#This Row],[Dikte '[m']]]=0,Invoer_Referentie[[#This Row],[Gewicht '[ton']]]/Invoer_Referentie[[#This Row],[Soortelijk gewicht '[ton / m3']]],Invoer_Referentie[[#This Row],[Oppervlakte '[m2']]]*Invoer_Referentie[[#This Row],[Dikte '[m']]]),0)</f>
        <v>0</v>
      </c>
      <c r="P86" s="345">
        <f>_xlfn.IFNA(VLOOKUP(Invoer_Referentie[[#This Row],[Product]],Database_Productkaarten[[Product]:[Soortelijk Gewicht '[ton / m3']]],11,FALSE),0)</f>
        <v>0</v>
      </c>
      <c r="Q86" s="350">
        <f>_xlfn.IFNA(VLOOKUP(Invoer_Referentie[[#This Row],[Product]],Database_Productkaarten[[Product]:[Gewicht '[ton'] / Eenheid]],12,FALSE)*Invoer_Referentie[[#This Row],[Aantal Eenheden]],0)</f>
        <v>0</v>
      </c>
      <c r="R86" s="350">
        <f>MAX(IFERROR($E$2/IF(Invoer_Referentie[[#This Row],[Productgroep]]="Categorie_1_LCA_Producten",VLOOKUP(Invoer_Referentie[[#This Row],[Product]],Categorie_1_Producten[#All],7,FALSE),VLOOKUP(Invoer_Referentie[[#This Row],[Product]]&amp;", "&amp;"Totaal",Database_Productkaarten[#All],15,FALSE))-1,0),0)</f>
        <v>0</v>
      </c>
      <c r="S86" s="350"/>
      <c r="T86" s="352"/>
      <c r="U86" s="352"/>
      <c r="V86" s="353"/>
      <c r="W86" s="390">
        <f>_xlfn.IFNA(VLOOKUP(Invoer_Referentie[[#This Row],[Product]],Brandstofverbuiken[#All],4,FALSE),0)</f>
        <v>0</v>
      </c>
      <c r="X86" s="390">
        <f>_xlfn.IFNA(VLOOKUP(Invoer_Referentie[[#This Row],[Product]],Brandstofverbuiken[#All],5,FALSE),0)</f>
        <v>0</v>
      </c>
      <c r="Y86" s="352"/>
      <c r="Z86" s="353"/>
      <c r="AA86" s="364">
        <f>_xlfn.IFNA(VLOOKUP(Invoer_Referentie[[#This Row],[Product]],Brandstofverbuiken[#All],7,FALSE),0)</f>
        <v>0</v>
      </c>
      <c r="AB86" s="390">
        <f>_xlfn.IFNA(VLOOKUP(Invoer_Referentie[[#This Row],[Product]],Brandstofverbuiken[#All],8,FALSE),0)</f>
        <v>0</v>
      </c>
      <c r="AC86" s="350"/>
      <c r="AD86" s="352"/>
      <c r="AE86" s="353"/>
      <c r="AF86" s="345"/>
    </row>
    <row r="87" spans="2:32" ht="15" hidden="1">
      <c r="B87" s="344"/>
      <c r="C87" s="345"/>
      <c r="D87" s="346"/>
      <c r="E87" s="347"/>
      <c r="F87" s="1"/>
      <c r="G87" s="348">
        <f>_xlfn.IFNA(VLOOKUP(Invoer_Referentie[[#This Row],[Product]],Database_Productkaarten[[Product]:[Comment]],64,FALSE),0)</f>
        <v>0</v>
      </c>
      <c r="H87" s="349">
        <f>_xlfn.IFNA(VLOOKUP(Invoer_Referentie[[#This Row],[Product]],Database_Productkaarten[[Product]:[Producttype]],3,FALSE),0)</f>
        <v>0</v>
      </c>
      <c r="I87" s="354"/>
      <c r="J87" s="348">
        <f>_xlfn.IFNA(VLOOKUP(Invoer_Referentie[[#This Row],[Product]],Database_Productkaarten[[Product]:[Eenheid]],4,FALSE),0)</f>
        <v>0</v>
      </c>
      <c r="K87" s="348"/>
      <c r="L87" s="348"/>
      <c r="M87" s="345"/>
      <c r="N87" s="351">
        <f>Invoer_Referentie[[#This Row],[Lengte'[m']]]*Invoer_Referentie[[#This Row],[Breedte '[m']]]</f>
        <v>0</v>
      </c>
      <c r="O87" s="345">
        <f>IFERROR(IF(Invoer_Referentie[[#This Row],[Oppervlakte '[m2']]]*Invoer_Referentie[[#This Row],[Dikte '[m']]]=0,Invoer_Referentie[[#This Row],[Gewicht '[ton']]]/Invoer_Referentie[[#This Row],[Soortelijk gewicht '[ton / m3']]],Invoer_Referentie[[#This Row],[Oppervlakte '[m2']]]*Invoer_Referentie[[#This Row],[Dikte '[m']]]),0)</f>
        <v>0</v>
      </c>
      <c r="P87" s="345">
        <f>_xlfn.IFNA(VLOOKUP(Invoer_Referentie[[#This Row],[Product]],Database_Productkaarten[[Product]:[Soortelijk Gewicht '[ton / m3']]],11,FALSE),0)</f>
        <v>0</v>
      </c>
      <c r="Q87" s="350">
        <f>_xlfn.IFNA(VLOOKUP(Invoer_Referentie[[#This Row],[Product]],Database_Productkaarten[[Product]:[Gewicht '[ton'] / Eenheid]],12,FALSE)*Invoer_Referentie[[#This Row],[Aantal Eenheden]],0)</f>
        <v>0</v>
      </c>
      <c r="R87" s="350">
        <f>MAX(IFERROR($E$2/IF(Invoer_Referentie[[#This Row],[Productgroep]]="Categorie_1_LCA_Producten",VLOOKUP(Invoer_Referentie[[#This Row],[Product]],Categorie_1_Producten[#All],7,FALSE),VLOOKUP(Invoer_Referentie[[#This Row],[Product]]&amp;", "&amp;"Totaal",Database_Productkaarten[#All],15,FALSE))-1,0),0)</f>
        <v>0</v>
      </c>
      <c r="S87" s="350"/>
      <c r="T87" s="352"/>
      <c r="U87" s="352"/>
      <c r="V87" s="353"/>
      <c r="W87" s="390">
        <f>_xlfn.IFNA(VLOOKUP(Invoer_Referentie[[#This Row],[Product]],Brandstofverbuiken[#All],4,FALSE),0)</f>
        <v>0</v>
      </c>
      <c r="X87" s="390">
        <f>_xlfn.IFNA(VLOOKUP(Invoer_Referentie[[#This Row],[Product]],Brandstofverbuiken[#All],5,FALSE),0)</f>
        <v>0</v>
      </c>
      <c r="Y87" s="352"/>
      <c r="Z87" s="353"/>
      <c r="AA87" s="364">
        <f>_xlfn.IFNA(VLOOKUP(Invoer_Referentie[[#This Row],[Product]],Brandstofverbuiken[#All],7,FALSE),0)</f>
        <v>0</v>
      </c>
      <c r="AB87" s="390">
        <f>_xlfn.IFNA(VLOOKUP(Invoer_Referentie[[#This Row],[Product]],Brandstofverbuiken[#All],8,FALSE),0)</f>
        <v>0</v>
      </c>
      <c r="AC87" s="350"/>
      <c r="AD87" s="352"/>
      <c r="AE87" s="353"/>
      <c r="AF87" s="345"/>
    </row>
    <row r="88" spans="2:32" ht="15" hidden="1">
      <c r="B88" s="344"/>
      <c r="C88" s="345"/>
      <c r="D88" s="346"/>
      <c r="E88" s="347"/>
      <c r="F88" s="1"/>
      <c r="G88" s="348">
        <f>_xlfn.IFNA(VLOOKUP(Invoer_Referentie[[#This Row],[Product]],Database_Productkaarten[[Product]:[Comment]],64,FALSE),0)</f>
        <v>0</v>
      </c>
      <c r="H88" s="349">
        <f>_xlfn.IFNA(VLOOKUP(Invoer_Referentie[[#This Row],[Product]],Database_Productkaarten[[Product]:[Producttype]],3,FALSE),0)</f>
        <v>0</v>
      </c>
      <c r="I88" s="354"/>
      <c r="J88" s="348">
        <f>_xlfn.IFNA(VLOOKUP(Invoer_Referentie[[#This Row],[Product]],Database_Productkaarten[[Product]:[Eenheid]],4,FALSE),0)</f>
        <v>0</v>
      </c>
      <c r="K88" s="348"/>
      <c r="L88" s="348"/>
      <c r="M88" s="345"/>
      <c r="N88" s="351">
        <f>Invoer_Referentie[[#This Row],[Lengte'[m']]]*Invoer_Referentie[[#This Row],[Breedte '[m']]]</f>
        <v>0</v>
      </c>
      <c r="O88" s="345">
        <f>IFERROR(IF(Invoer_Referentie[[#This Row],[Oppervlakte '[m2']]]*Invoer_Referentie[[#This Row],[Dikte '[m']]]=0,Invoer_Referentie[[#This Row],[Gewicht '[ton']]]/Invoer_Referentie[[#This Row],[Soortelijk gewicht '[ton / m3']]],Invoer_Referentie[[#This Row],[Oppervlakte '[m2']]]*Invoer_Referentie[[#This Row],[Dikte '[m']]]),0)</f>
        <v>0</v>
      </c>
      <c r="P88" s="345">
        <f>_xlfn.IFNA(VLOOKUP(Invoer_Referentie[[#This Row],[Product]],Database_Productkaarten[[Product]:[Soortelijk Gewicht '[ton / m3']]],11,FALSE),0)</f>
        <v>0</v>
      </c>
      <c r="Q88" s="350">
        <f>_xlfn.IFNA(VLOOKUP(Invoer_Referentie[[#This Row],[Product]],Database_Productkaarten[[Product]:[Gewicht '[ton'] / Eenheid]],12,FALSE)*Invoer_Referentie[[#This Row],[Aantal Eenheden]],0)</f>
        <v>0</v>
      </c>
      <c r="R88" s="350">
        <f>MAX(IFERROR($E$2/IF(Invoer_Referentie[[#This Row],[Productgroep]]="Categorie_1_LCA_Producten",VLOOKUP(Invoer_Referentie[[#This Row],[Product]],Categorie_1_Producten[#All],7,FALSE),VLOOKUP(Invoer_Referentie[[#This Row],[Product]]&amp;", "&amp;"Totaal",Database_Productkaarten[#All],15,FALSE))-1,0),0)</f>
        <v>0</v>
      </c>
      <c r="S88" s="350"/>
      <c r="T88" s="352"/>
      <c r="U88" s="352"/>
      <c r="V88" s="353"/>
      <c r="W88" s="390">
        <f>_xlfn.IFNA(VLOOKUP(Invoer_Referentie[[#This Row],[Product]],Brandstofverbuiken[#All],4,FALSE),0)</f>
        <v>0</v>
      </c>
      <c r="X88" s="390">
        <f>_xlfn.IFNA(VLOOKUP(Invoer_Referentie[[#This Row],[Product]],Brandstofverbuiken[#All],5,FALSE),0)</f>
        <v>0</v>
      </c>
      <c r="Y88" s="352"/>
      <c r="Z88" s="353"/>
      <c r="AA88" s="364">
        <f>_xlfn.IFNA(VLOOKUP(Invoer_Referentie[[#This Row],[Product]],Brandstofverbuiken[#All],7,FALSE),0)</f>
        <v>0</v>
      </c>
      <c r="AB88" s="390">
        <f>_xlfn.IFNA(VLOOKUP(Invoer_Referentie[[#This Row],[Product]],Brandstofverbuiken[#All],8,FALSE),0)</f>
        <v>0</v>
      </c>
      <c r="AC88" s="350"/>
      <c r="AD88" s="352"/>
      <c r="AE88" s="353"/>
      <c r="AF88" s="345"/>
    </row>
    <row r="89" spans="2:32" ht="15" hidden="1">
      <c r="B89" s="344"/>
      <c r="C89" s="345"/>
      <c r="D89" s="346"/>
      <c r="E89" s="347"/>
      <c r="F89" s="1"/>
      <c r="G89" s="348">
        <f>_xlfn.IFNA(VLOOKUP(Invoer_Referentie[[#This Row],[Product]],Database_Productkaarten[[Product]:[Comment]],64,FALSE),0)</f>
        <v>0</v>
      </c>
      <c r="H89" s="349">
        <f>_xlfn.IFNA(VLOOKUP(Invoer_Referentie[[#This Row],[Product]],Database_Productkaarten[[Product]:[Producttype]],3,FALSE),0)</f>
        <v>0</v>
      </c>
      <c r="I89" s="354"/>
      <c r="J89" s="348">
        <f>_xlfn.IFNA(VLOOKUP(Invoer_Referentie[[#This Row],[Product]],Database_Productkaarten[[Product]:[Eenheid]],4,FALSE),0)</f>
        <v>0</v>
      </c>
      <c r="K89" s="348"/>
      <c r="L89" s="348"/>
      <c r="M89" s="345"/>
      <c r="N89" s="351">
        <f>Invoer_Referentie[[#This Row],[Lengte'[m']]]*Invoer_Referentie[[#This Row],[Breedte '[m']]]</f>
        <v>0</v>
      </c>
      <c r="O89" s="345">
        <f>IFERROR(IF(Invoer_Referentie[[#This Row],[Oppervlakte '[m2']]]*Invoer_Referentie[[#This Row],[Dikte '[m']]]=0,Invoer_Referentie[[#This Row],[Gewicht '[ton']]]/Invoer_Referentie[[#This Row],[Soortelijk gewicht '[ton / m3']]],Invoer_Referentie[[#This Row],[Oppervlakte '[m2']]]*Invoer_Referentie[[#This Row],[Dikte '[m']]]),0)</f>
        <v>0</v>
      </c>
      <c r="P89" s="345">
        <f>_xlfn.IFNA(VLOOKUP(Invoer_Referentie[[#This Row],[Product]],Database_Productkaarten[[Product]:[Soortelijk Gewicht '[ton / m3']]],11,FALSE),0)</f>
        <v>0</v>
      </c>
      <c r="Q89" s="350">
        <f>_xlfn.IFNA(VLOOKUP(Invoer_Referentie[[#This Row],[Product]],Database_Productkaarten[[Product]:[Gewicht '[ton'] / Eenheid]],12,FALSE)*Invoer_Referentie[[#This Row],[Aantal Eenheden]],0)</f>
        <v>0</v>
      </c>
      <c r="R89" s="350">
        <f>MAX(IFERROR($E$2/IF(Invoer_Referentie[[#This Row],[Productgroep]]="Categorie_1_LCA_Producten",VLOOKUP(Invoer_Referentie[[#This Row],[Product]],Categorie_1_Producten[#All],7,FALSE),VLOOKUP(Invoer_Referentie[[#This Row],[Product]]&amp;", "&amp;"Totaal",Database_Productkaarten[#All],15,FALSE))-1,0),0)</f>
        <v>0</v>
      </c>
      <c r="S89" s="350"/>
      <c r="T89" s="352"/>
      <c r="U89" s="352"/>
      <c r="V89" s="353"/>
      <c r="W89" s="390">
        <f>_xlfn.IFNA(VLOOKUP(Invoer_Referentie[[#This Row],[Product]],Brandstofverbuiken[#All],4,FALSE),0)</f>
        <v>0</v>
      </c>
      <c r="X89" s="390">
        <f>_xlfn.IFNA(VLOOKUP(Invoer_Referentie[[#This Row],[Product]],Brandstofverbuiken[#All],5,FALSE),0)</f>
        <v>0</v>
      </c>
      <c r="Y89" s="352"/>
      <c r="Z89" s="353"/>
      <c r="AA89" s="364">
        <f>_xlfn.IFNA(VLOOKUP(Invoer_Referentie[[#This Row],[Product]],Brandstofverbuiken[#All],7,FALSE),0)</f>
        <v>0</v>
      </c>
      <c r="AB89" s="390">
        <f>_xlfn.IFNA(VLOOKUP(Invoer_Referentie[[#This Row],[Product]],Brandstofverbuiken[#All],8,FALSE),0)</f>
        <v>0</v>
      </c>
      <c r="AC89" s="350"/>
      <c r="AD89" s="352"/>
      <c r="AE89" s="353"/>
      <c r="AF89" s="345"/>
    </row>
    <row r="90" spans="2:32" ht="15" hidden="1">
      <c r="B90" s="344"/>
      <c r="C90" s="345"/>
      <c r="D90" s="346"/>
      <c r="E90" s="347"/>
      <c r="F90" s="1"/>
      <c r="G90" s="348">
        <f>_xlfn.IFNA(VLOOKUP(Invoer_Referentie[[#This Row],[Product]],Database_Productkaarten[[Product]:[Comment]],64,FALSE),0)</f>
        <v>0</v>
      </c>
      <c r="H90" s="349">
        <f>_xlfn.IFNA(VLOOKUP(Invoer_Referentie[[#This Row],[Product]],Database_Productkaarten[[Product]:[Producttype]],3,FALSE),0)</f>
        <v>0</v>
      </c>
      <c r="I90" s="354"/>
      <c r="J90" s="348">
        <f>_xlfn.IFNA(VLOOKUP(Invoer_Referentie[[#This Row],[Product]],Database_Productkaarten[[Product]:[Eenheid]],4,FALSE),0)</f>
        <v>0</v>
      </c>
      <c r="K90" s="348"/>
      <c r="L90" s="348"/>
      <c r="M90" s="345"/>
      <c r="N90" s="351">
        <f>Invoer_Referentie[[#This Row],[Lengte'[m']]]*Invoer_Referentie[[#This Row],[Breedte '[m']]]</f>
        <v>0</v>
      </c>
      <c r="O90" s="345">
        <f>IFERROR(IF(Invoer_Referentie[[#This Row],[Oppervlakte '[m2']]]*Invoer_Referentie[[#This Row],[Dikte '[m']]]=0,Invoer_Referentie[[#This Row],[Gewicht '[ton']]]/Invoer_Referentie[[#This Row],[Soortelijk gewicht '[ton / m3']]],Invoer_Referentie[[#This Row],[Oppervlakte '[m2']]]*Invoer_Referentie[[#This Row],[Dikte '[m']]]),0)</f>
        <v>0</v>
      </c>
      <c r="P90" s="345">
        <f>_xlfn.IFNA(VLOOKUP(Invoer_Referentie[[#This Row],[Product]],Database_Productkaarten[[Product]:[Soortelijk Gewicht '[ton / m3']]],11,FALSE),0)</f>
        <v>0</v>
      </c>
      <c r="Q90" s="350">
        <f>_xlfn.IFNA(VLOOKUP(Invoer_Referentie[[#This Row],[Product]],Database_Productkaarten[[Product]:[Gewicht '[ton'] / Eenheid]],12,FALSE)*Invoer_Referentie[[#This Row],[Aantal Eenheden]],0)</f>
        <v>0</v>
      </c>
      <c r="R90" s="350">
        <f>MAX(IFERROR($E$2/IF(Invoer_Referentie[[#This Row],[Productgroep]]="Categorie_1_LCA_Producten",VLOOKUP(Invoer_Referentie[[#This Row],[Product]],Categorie_1_Producten[#All],7,FALSE),VLOOKUP(Invoer_Referentie[[#This Row],[Product]]&amp;", "&amp;"Totaal",Database_Productkaarten[#All],15,FALSE))-1,0),0)</f>
        <v>0</v>
      </c>
      <c r="S90" s="350"/>
      <c r="T90" s="352"/>
      <c r="U90" s="352"/>
      <c r="V90" s="353"/>
      <c r="W90" s="390">
        <f>_xlfn.IFNA(VLOOKUP(Invoer_Referentie[[#This Row],[Product]],Brandstofverbuiken[#All],4,FALSE),0)</f>
        <v>0</v>
      </c>
      <c r="X90" s="390">
        <f>_xlfn.IFNA(VLOOKUP(Invoer_Referentie[[#This Row],[Product]],Brandstofverbuiken[#All],5,FALSE),0)</f>
        <v>0</v>
      </c>
      <c r="Y90" s="352"/>
      <c r="Z90" s="353"/>
      <c r="AA90" s="364">
        <f>_xlfn.IFNA(VLOOKUP(Invoer_Referentie[[#This Row],[Product]],Brandstofverbuiken[#All],7,FALSE),0)</f>
        <v>0</v>
      </c>
      <c r="AB90" s="390">
        <f>_xlfn.IFNA(VLOOKUP(Invoer_Referentie[[#This Row],[Product]],Brandstofverbuiken[#All],8,FALSE),0)</f>
        <v>0</v>
      </c>
      <c r="AC90" s="350"/>
      <c r="AD90" s="352"/>
      <c r="AE90" s="353"/>
      <c r="AF90" s="345"/>
    </row>
    <row r="91" spans="2:32" ht="15" hidden="1">
      <c r="B91" s="344"/>
      <c r="C91" s="345"/>
      <c r="D91" s="346"/>
      <c r="E91" s="347"/>
      <c r="F91" s="1"/>
      <c r="G91" s="348">
        <f>_xlfn.IFNA(VLOOKUP(Invoer_Referentie[[#This Row],[Product]],Database_Productkaarten[[Product]:[Comment]],64,FALSE),0)</f>
        <v>0</v>
      </c>
      <c r="H91" s="349">
        <f>_xlfn.IFNA(VLOOKUP(Invoer_Referentie[[#This Row],[Product]],Database_Productkaarten[[Product]:[Producttype]],3,FALSE),0)</f>
        <v>0</v>
      </c>
      <c r="I91" s="354"/>
      <c r="J91" s="348">
        <f>_xlfn.IFNA(VLOOKUP(Invoer_Referentie[[#This Row],[Product]],Database_Productkaarten[[Product]:[Eenheid]],4,FALSE),0)</f>
        <v>0</v>
      </c>
      <c r="K91" s="348"/>
      <c r="L91" s="348"/>
      <c r="M91" s="345"/>
      <c r="N91" s="351">
        <f>Invoer_Referentie[[#This Row],[Lengte'[m']]]*Invoer_Referentie[[#This Row],[Breedte '[m']]]</f>
        <v>0</v>
      </c>
      <c r="O91" s="345">
        <f>IFERROR(IF(Invoer_Referentie[[#This Row],[Oppervlakte '[m2']]]*Invoer_Referentie[[#This Row],[Dikte '[m']]]=0,Invoer_Referentie[[#This Row],[Gewicht '[ton']]]/Invoer_Referentie[[#This Row],[Soortelijk gewicht '[ton / m3']]],Invoer_Referentie[[#This Row],[Oppervlakte '[m2']]]*Invoer_Referentie[[#This Row],[Dikte '[m']]]),0)</f>
        <v>0</v>
      </c>
      <c r="P91" s="345">
        <f>_xlfn.IFNA(VLOOKUP(Invoer_Referentie[[#This Row],[Product]],Database_Productkaarten[[Product]:[Soortelijk Gewicht '[ton / m3']]],11,FALSE),0)</f>
        <v>0</v>
      </c>
      <c r="Q91" s="350">
        <f>_xlfn.IFNA(VLOOKUP(Invoer_Referentie[[#This Row],[Product]],Database_Productkaarten[[Product]:[Gewicht '[ton'] / Eenheid]],12,FALSE)*Invoer_Referentie[[#This Row],[Aantal Eenheden]],0)</f>
        <v>0</v>
      </c>
      <c r="R91" s="350">
        <f>MAX(IFERROR($E$2/IF(Invoer_Referentie[[#This Row],[Productgroep]]="Categorie_1_LCA_Producten",VLOOKUP(Invoer_Referentie[[#This Row],[Product]],Categorie_1_Producten[#All],7,FALSE),VLOOKUP(Invoer_Referentie[[#This Row],[Product]]&amp;", "&amp;"Totaal",Database_Productkaarten[#All],15,FALSE))-1,0),0)</f>
        <v>0</v>
      </c>
      <c r="S91" s="350"/>
      <c r="T91" s="352"/>
      <c r="U91" s="352"/>
      <c r="V91" s="353"/>
      <c r="W91" s="390">
        <f>_xlfn.IFNA(VLOOKUP(Invoer_Referentie[[#This Row],[Product]],Brandstofverbuiken[#All],4,FALSE),0)</f>
        <v>0</v>
      </c>
      <c r="X91" s="390">
        <f>_xlfn.IFNA(VLOOKUP(Invoer_Referentie[[#This Row],[Product]],Brandstofverbuiken[#All],5,FALSE),0)</f>
        <v>0</v>
      </c>
      <c r="Y91" s="352"/>
      <c r="Z91" s="353"/>
      <c r="AA91" s="364">
        <f>_xlfn.IFNA(VLOOKUP(Invoer_Referentie[[#This Row],[Product]],Brandstofverbuiken[#All],7,FALSE),0)</f>
        <v>0</v>
      </c>
      <c r="AB91" s="390">
        <f>_xlfn.IFNA(VLOOKUP(Invoer_Referentie[[#This Row],[Product]],Brandstofverbuiken[#All],8,FALSE),0)</f>
        <v>0</v>
      </c>
      <c r="AC91" s="350"/>
      <c r="AD91" s="352"/>
      <c r="AE91" s="353"/>
      <c r="AF91" s="345"/>
    </row>
    <row r="92" spans="2:32" ht="15" hidden="1">
      <c r="B92" s="344"/>
      <c r="C92" s="345"/>
      <c r="D92" s="346"/>
      <c r="E92" s="347"/>
      <c r="F92" s="1"/>
      <c r="G92" s="348">
        <f>_xlfn.IFNA(VLOOKUP(Invoer_Referentie[[#This Row],[Product]],Database_Productkaarten[[Product]:[Comment]],64,FALSE),0)</f>
        <v>0</v>
      </c>
      <c r="H92" s="349">
        <f>_xlfn.IFNA(VLOOKUP(Invoer_Referentie[[#This Row],[Product]],Database_Productkaarten[[Product]:[Producttype]],3,FALSE),0)</f>
        <v>0</v>
      </c>
      <c r="I92" s="354"/>
      <c r="J92" s="348">
        <f>_xlfn.IFNA(VLOOKUP(Invoer_Referentie[[#This Row],[Product]],Database_Productkaarten[[Product]:[Eenheid]],4,FALSE),0)</f>
        <v>0</v>
      </c>
      <c r="K92" s="348"/>
      <c r="L92" s="348"/>
      <c r="M92" s="345"/>
      <c r="N92" s="351">
        <f>Invoer_Referentie[[#This Row],[Lengte'[m']]]*Invoer_Referentie[[#This Row],[Breedte '[m']]]</f>
        <v>0</v>
      </c>
      <c r="O92" s="345">
        <f>IFERROR(IF(Invoer_Referentie[[#This Row],[Oppervlakte '[m2']]]*Invoer_Referentie[[#This Row],[Dikte '[m']]]=0,Invoer_Referentie[[#This Row],[Gewicht '[ton']]]/Invoer_Referentie[[#This Row],[Soortelijk gewicht '[ton / m3']]],Invoer_Referentie[[#This Row],[Oppervlakte '[m2']]]*Invoer_Referentie[[#This Row],[Dikte '[m']]]),0)</f>
        <v>0</v>
      </c>
      <c r="P92" s="345">
        <f>_xlfn.IFNA(VLOOKUP(Invoer_Referentie[[#This Row],[Product]],Database_Productkaarten[[Product]:[Soortelijk Gewicht '[ton / m3']]],11,FALSE),0)</f>
        <v>0</v>
      </c>
      <c r="Q92" s="350">
        <f>_xlfn.IFNA(VLOOKUP(Invoer_Referentie[[#This Row],[Product]],Database_Productkaarten[[Product]:[Gewicht '[ton'] / Eenheid]],12,FALSE)*Invoer_Referentie[[#This Row],[Aantal Eenheden]],0)</f>
        <v>0</v>
      </c>
      <c r="R92" s="350">
        <f>MAX(IFERROR($E$2/IF(Invoer_Referentie[[#This Row],[Productgroep]]="Categorie_1_LCA_Producten",VLOOKUP(Invoer_Referentie[[#This Row],[Product]],Categorie_1_Producten[#All],7,FALSE),VLOOKUP(Invoer_Referentie[[#This Row],[Product]]&amp;", "&amp;"Totaal",Database_Productkaarten[#All],15,FALSE))-1,0),0)</f>
        <v>0</v>
      </c>
      <c r="S92" s="350"/>
      <c r="T92" s="352"/>
      <c r="U92" s="352"/>
      <c r="V92" s="353"/>
      <c r="W92" s="390">
        <f>_xlfn.IFNA(VLOOKUP(Invoer_Referentie[[#This Row],[Product]],Brandstofverbuiken[#All],4,FALSE),0)</f>
        <v>0</v>
      </c>
      <c r="X92" s="390">
        <f>_xlfn.IFNA(VLOOKUP(Invoer_Referentie[[#This Row],[Product]],Brandstofverbuiken[#All],5,FALSE),0)</f>
        <v>0</v>
      </c>
      <c r="Y92" s="352"/>
      <c r="Z92" s="353"/>
      <c r="AA92" s="364">
        <f>_xlfn.IFNA(VLOOKUP(Invoer_Referentie[[#This Row],[Product]],Brandstofverbuiken[#All],7,FALSE),0)</f>
        <v>0</v>
      </c>
      <c r="AB92" s="390">
        <f>_xlfn.IFNA(VLOOKUP(Invoer_Referentie[[#This Row],[Product]],Brandstofverbuiken[#All],8,FALSE),0)</f>
        <v>0</v>
      </c>
      <c r="AC92" s="350"/>
      <c r="AD92" s="352"/>
      <c r="AE92" s="353"/>
      <c r="AF92" s="345"/>
    </row>
    <row r="93" spans="2:32" ht="15" hidden="1">
      <c r="B93" s="344"/>
      <c r="C93" s="345"/>
      <c r="D93" s="346"/>
      <c r="E93" s="347"/>
      <c r="F93" s="1"/>
      <c r="G93" s="348">
        <f>_xlfn.IFNA(VLOOKUP(Invoer_Referentie[[#This Row],[Product]],Database_Productkaarten[[Product]:[Comment]],64,FALSE),0)</f>
        <v>0</v>
      </c>
      <c r="H93" s="349">
        <f>_xlfn.IFNA(VLOOKUP(Invoer_Referentie[[#This Row],[Product]],Database_Productkaarten[[Product]:[Producttype]],3,FALSE),0)</f>
        <v>0</v>
      </c>
      <c r="I93" s="354"/>
      <c r="J93" s="348">
        <f>_xlfn.IFNA(VLOOKUP(Invoer_Referentie[[#This Row],[Product]],Database_Productkaarten[[Product]:[Eenheid]],4,FALSE),0)</f>
        <v>0</v>
      </c>
      <c r="K93" s="348"/>
      <c r="L93" s="348"/>
      <c r="M93" s="345"/>
      <c r="N93" s="351">
        <f>Invoer_Referentie[[#This Row],[Lengte'[m']]]*Invoer_Referentie[[#This Row],[Breedte '[m']]]</f>
        <v>0</v>
      </c>
      <c r="O93" s="345">
        <f>IFERROR(IF(Invoer_Referentie[[#This Row],[Oppervlakte '[m2']]]*Invoer_Referentie[[#This Row],[Dikte '[m']]]=0,Invoer_Referentie[[#This Row],[Gewicht '[ton']]]/Invoer_Referentie[[#This Row],[Soortelijk gewicht '[ton / m3']]],Invoer_Referentie[[#This Row],[Oppervlakte '[m2']]]*Invoer_Referentie[[#This Row],[Dikte '[m']]]),0)</f>
        <v>0</v>
      </c>
      <c r="P93" s="345">
        <f>_xlfn.IFNA(VLOOKUP(Invoer_Referentie[[#This Row],[Product]],Database_Productkaarten[[Product]:[Soortelijk Gewicht '[ton / m3']]],11,FALSE),0)</f>
        <v>0</v>
      </c>
      <c r="Q93" s="350">
        <f>_xlfn.IFNA(VLOOKUP(Invoer_Referentie[[#This Row],[Product]],Database_Productkaarten[[Product]:[Gewicht '[ton'] / Eenheid]],12,FALSE)*Invoer_Referentie[[#This Row],[Aantal Eenheden]],0)</f>
        <v>0</v>
      </c>
      <c r="R93" s="350">
        <f>MAX(IFERROR($E$2/IF(Invoer_Referentie[[#This Row],[Productgroep]]="Categorie_1_LCA_Producten",VLOOKUP(Invoer_Referentie[[#This Row],[Product]],Categorie_1_Producten[#All],7,FALSE),VLOOKUP(Invoer_Referentie[[#This Row],[Product]]&amp;", "&amp;"Totaal",Database_Productkaarten[#All],15,FALSE))-1,0),0)</f>
        <v>0</v>
      </c>
      <c r="S93" s="350"/>
      <c r="T93" s="352"/>
      <c r="U93" s="352"/>
      <c r="V93" s="353"/>
      <c r="W93" s="390">
        <f>_xlfn.IFNA(VLOOKUP(Invoer_Referentie[[#This Row],[Product]],Brandstofverbuiken[#All],4,FALSE),0)</f>
        <v>0</v>
      </c>
      <c r="X93" s="390">
        <f>_xlfn.IFNA(VLOOKUP(Invoer_Referentie[[#This Row],[Product]],Brandstofverbuiken[#All],5,FALSE),0)</f>
        <v>0</v>
      </c>
      <c r="Y93" s="352"/>
      <c r="Z93" s="353"/>
      <c r="AA93" s="364">
        <f>_xlfn.IFNA(VLOOKUP(Invoer_Referentie[[#This Row],[Product]],Brandstofverbuiken[#All],7,FALSE),0)</f>
        <v>0</v>
      </c>
      <c r="AB93" s="390">
        <f>_xlfn.IFNA(VLOOKUP(Invoer_Referentie[[#This Row],[Product]],Brandstofverbuiken[#All],8,FALSE),0)</f>
        <v>0</v>
      </c>
      <c r="AC93" s="350"/>
      <c r="AD93" s="352"/>
      <c r="AE93" s="353"/>
      <c r="AF93" s="345"/>
    </row>
    <row r="94" spans="2:32" ht="15" hidden="1">
      <c r="B94" s="344"/>
      <c r="C94" s="345"/>
      <c r="D94" s="346"/>
      <c r="E94" s="347"/>
      <c r="F94" s="1"/>
      <c r="G94" s="348">
        <f>_xlfn.IFNA(VLOOKUP(Invoer_Referentie[[#This Row],[Product]],Database_Productkaarten[[Product]:[Comment]],64,FALSE),0)</f>
        <v>0</v>
      </c>
      <c r="H94" s="349">
        <f>_xlfn.IFNA(VLOOKUP(Invoer_Referentie[[#This Row],[Product]],Database_Productkaarten[[Product]:[Producttype]],3,FALSE),0)</f>
        <v>0</v>
      </c>
      <c r="I94" s="354"/>
      <c r="J94" s="348">
        <f>_xlfn.IFNA(VLOOKUP(Invoer_Referentie[[#This Row],[Product]],Database_Productkaarten[[Product]:[Eenheid]],4,FALSE),0)</f>
        <v>0</v>
      </c>
      <c r="K94" s="348"/>
      <c r="L94" s="348"/>
      <c r="M94" s="345"/>
      <c r="N94" s="351">
        <f>Invoer_Referentie[[#This Row],[Lengte'[m']]]*Invoer_Referentie[[#This Row],[Breedte '[m']]]</f>
        <v>0</v>
      </c>
      <c r="O94" s="345">
        <f>IFERROR(IF(Invoer_Referentie[[#This Row],[Oppervlakte '[m2']]]*Invoer_Referentie[[#This Row],[Dikte '[m']]]=0,Invoer_Referentie[[#This Row],[Gewicht '[ton']]]/Invoer_Referentie[[#This Row],[Soortelijk gewicht '[ton / m3']]],Invoer_Referentie[[#This Row],[Oppervlakte '[m2']]]*Invoer_Referentie[[#This Row],[Dikte '[m']]]),0)</f>
        <v>0</v>
      </c>
      <c r="P94" s="345">
        <f>_xlfn.IFNA(VLOOKUP(Invoer_Referentie[[#This Row],[Product]],Database_Productkaarten[[Product]:[Soortelijk Gewicht '[ton / m3']]],11,FALSE),0)</f>
        <v>0</v>
      </c>
      <c r="Q94" s="350">
        <f>_xlfn.IFNA(VLOOKUP(Invoer_Referentie[[#This Row],[Product]],Database_Productkaarten[[Product]:[Gewicht '[ton'] / Eenheid]],12,FALSE)*Invoer_Referentie[[#This Row],[Aantal Eenheden]],0)</f>
        <v>0</v>
      </c>
      <c r="R94" s="350">
        <f>MAX(IFERROR($E$2/IF(Invoer_Referentie[[#This Row],[Productgroep]]="Categorie_1_LCA_Producten",VLOOKUP(Invoer_Referentie[[#This Row],[Product]],Categorie_1_Producten[#All],7,FALSE),VLOOKUP(Invoer_Referentie[[#This Row],[Product]]&amp;", "&amp;"Totaal",Database_Productkaarten[#All],15,FALSE))-1,0),0)</f>
        <v>0</v>
      </c>
      <c r="S94" s="350"/>
      <c r="T94" s="352"/>
      <c r="U94" s="352"/>
      <c r="V94" s="353"/>
      <c r="W94" s="390">
        <f>_xlfn.IFNA(VLOOKUP(Invoer_Referentie[[#This Row],[Product]],Brandstofverbuiken[#All],4,FALSE),0)</f>
        <v>0</v>
      </c>
      <c r="X94" s="390">
        <f>_xlfn.IFNA(VLOOKUP(Invoer_Referentie[[#This Row],[Product]],Brandstofverbuiken[#All],5,FALSE),0)</f>
        <v>0</v>
      </c>
      <c r="Y94" s="352"/>
      <c r="Z94" s="353"/>
      <c r="AA94" s="364">
        <f>_xlfn.IFNA(VLOOKUP(Invoer_Referentie[[#This Row],[Product]],Brandstofverbuiken[#All],7,FALSE),0)</f>
        <v>0</v>
      </c>
      <c r="AB94" s="390">
        <f>_xlfn.IFNA(VLOOKUP(Invoer_Referentie[[#This Row],[Product]],Brandstofverbuiken[#All],8,FALSE),0)</f>
        <v>0</v>
      </c>
      <c r="AC94" s="350"/>
      <c r="AD94" s="352"/>
      <c r="AE94" s="353"/>
      <c r="AF94" s="345"/>
    </row>
    <row r="95" spans="2:32" ht="15" hidden="1">
      <c r="B95" s="344"/>
      <c r="C95" s="345"/>
      <c r="D95" s="346"/>
      <c r="E95" s="347"/>
      <c r="F95" s="1"/>
      <c r="G95" s="348">
        <f>_xlfn.IFNA(VLOOKUP(Invoer_Referentie[[#This Row],[Product]],Database_Productkaarten[[Product]:[Comment]],64,FALSE),0)</f>
        <v>0</v>
      </c>
      <c r="H95" s="349">
        <f>_xlfn.IFNA(VLOOKUP(Invoer_Referentie[[#This Row],[Product]],Database_Productkaarten[[Product]:[Producttype]],3,FALSE),0)</f>
        <v>0</v>
      </c>
      <c r="I95" s="354"/>
      <c r="J95" s="348">
        <f>_xlfn.IFNA(VLOOKUP(Invoer_Referentie[[#This Row],[Product]],Database_Productkaarten[[Product]:[Eenheid]],4,FALSE),0)</f>
        <v>0</v>
      </c>
      <c r="K95" s="348"/>
      <c r="L95" s="348"/>
      <c r="M95" s="345"/>
      <c r="N95" s="351">
        <f>Invoer_Referentie[[#This Row],[Lengte'[m']]]*Invoer_Referentie[[#This Row],[Breedte '[m']]]</f>
        <v>0</v>
      </c>
      <c r="O95" s="345">
        <f>IFERROR(IF(Invoer_Referentie[[#This Row],[Oppervlakte '[m2']]]*Invoer_Referentie[[#This Row],[Dikte '[m']]]=0,Invoer_Referentie[[#This Row],[Gewicht '[ton']]]/Invoer_Referentie[[#This Row],[Soortelijk gewicht '[ton / m3']]],Invoer_Referentie[[#This Row],[Oppervlakte '[m2']]]*Invoer_Referentie[[#This Row],[Dikte '[m']]]),0)</f>
        <v>0</v>
      </c>
      <c r="P95" s="345">
        <f>_xlfn.IFNA(VLOOKUP(Invoer_Referentie[[#This Row],[Product]],Database_Productkaarten[[Product]:[Soortelijk Gewicht '[ton / m3']]],11,FALSE),0)</f>
        <v>0</v>
      </c>
      <c r="Q95" s="350">
        <f>_xlfn.IFNA(VLOOKUP(Invoer_Referentie[[#This Row],[Product]],Database_Productkaarten[[Product]:[Gewicht '[ton'] / Eenheid]],12,FALSE)*Invoer_Referentie[[#This Row],[Aantal Eenheden]],0)</f>
        <v>0</v>
      </c>
      <c r="R95" s="350">
        <f>MAX(IFERROR($E$2/IF(Invoer_Referentie[[#This Row],[Productgroep]]="Categorie_1_LCA_Producten",VLOOKUP(Invoer_Referentie[[#This Row],[Product]],Categorie_1_Producten[#All],7,FALSE),VLOOKUP(Invoer_Referentie[[#This Row],[Product]]&amp;", "&amp;"Totaal",Database_Productkaarten[#All],15,FALSE))-1,0),0)</f>
        <v>0</v>
      </c>
      <c r="S95" s="350"/>
      <c r="T95" s="352"/>
      <c r="U95" s="352"/>
      <c r="V95" s="353"/>
      <c r="W95" s="390">
        <f>_xlfn.IFNA(VLOOKUP(Invoer_Referentie[[#This Row],[Product]],Brandstofverbuiken[#All],4,FALSE),0)</f>
        <v>0</v>
      </c>
      <c r="X95" s="390">
        <f>_xlfn.IFNA(VLOOKUP(Invoer_Referentie[[#This Row],[Product]],Brandstofverbuiken[#All],5,FALSE),0)</f>
        <v>0</v>
      </c>
      <c r="Y95" s="352"/>
      <c r="Z95" s="353"/>
      <c r="AA95" s="364">
        <f>_xlfn.IFNA(VLOOKUP(Invoer_Referentie[[#This Row],[Product]],Brandstofverbuiken[#All],7,FALSE),0)</f>
        <v>0</v>
      </c>
      <c r="AB95" s="390">
        <f>_xlfn.IFNA(VLOOKUP(Invoer_Referentie[[#This Row],[Product]],Brandstofverbuiken[#All],8,FALSE),0)</f>
        <v>0</v>
      </c>
      <c r="AC95" s="350"/>
      <c r="AD95" s="352"/>
      <c r="AE95" s="353"/>
      <c r="AF95" s="345"/>
    </row>
    <row r="96" spans="2:32" ht="15" hidden="1">
      <c r="B96" s="344"/>
      <c r="C96" s="345"/>
      <c r="D96" s="346"/>
      <c r="E96" s="347"/>
      <c r="F96" s="1"/>
      <c r="G96" s="348">
        <f>_xlfn.IFNA(VLOOKUP(Invoer_Referentie[[#This Row],[Product]],Database_Productkaarten[[Product]:[Comment]],64,FALSE),0)</f>
        <v>0</v>
      </c>
      <c r="H96" s="349">
        <f>_xlfn.IFNA(VLOOKUP(Invoer_Referentie[[#This Row],[Product]],Database_Productkaarten[[Product]:[Producttype]],3,FALSE),0)</f>
        <v>0</v>
      </c>
      <c r="I96" s="354"/>
      <c r="J96" s="348">
        <f>_xlfn.IFNA(VLOOKUP(Invoer_Referentie[[#This Row],[Product]],Database_Productkaarten[[Product]:[Eenheid]],4,FALSE),0)</f>
        <v>0</v>
      </c>
      <c r="K96" s="348"/>
      <c r="L96" s="348"/>
      <c r="M96" s="345"/>
      <c r="N96" s="351">
        <f>Invoer_Referentie[[#This Row],[Lengte'[m']]]*Invoer_Referentie[[#This Row],[Breedte '[m']]]</f>
        <v>0</v>
      </c>
      <c r="O96" s="345">
        <f>IFERROR(IF(Invoer_Referentie[[#This Row],[Oppervlakte '[m2']]]*Invoer_Referentie[[#This Row],[Dikte '[m']]]=0,Invoer_Referentie[[#This Row],[Gewicht '[ton']]]/Invoer_Referentie[[#This Row],[Soortelijk gewicht '[ton / m3']]],Invoer_Referentie[[#This Row],[Oppervlakte '[m2']]]*Invoer_Referentie[[#This Row],[Dikte '[m']]]),0)</f>
        <v>0</v>
      </c>
      <c r="P96" s="345">
        <f>_xlfn.IFNA(VLOOKUP(Invoer_Referentie[[#This Row],[Product]],Database_Productkaarten[[Product]:[Soortelijk Gewicht '[ton / m3']]],11,FALSE),0)</f>
        <v>0</v>
      </c>
      <c r="Q96" s="350">
        <f>_xlfn.IFNA(VLOOKUP(Invoer_Referentie[[#This Row],[Product]],Database_Productkaarten[[Product]:[Gewicht '[ton'] / Eenheid]],12,FALSE)*Invoer_Referentie[[#This Row],[Aantal Eenheden]],0)</f>
        <v>0</v>
      </c>
      <c r="R96" s="350">
        <f>MAX(IFERROR($E$2/IF(Invoer_Referentie[[#This Row],[Productgroep]]="Categorie_1_LCA_Producten",VLOOKUP(Invoer_Referentie[[#This Row],[Product]],Categorie_1_Producten[#All],7,FALSE),VLOOKUP(Invoer_Referentie[[#This Row],[Product]]&amp;", "&amp;"Totaal",Database_Productkaarten[#All],15,FALSE))-1,0),0)</f>
        <v>0</v>
      </c>
      <c r="S96" s="350"/>
      <c r="T96" s="352"/>
      <c r="U96" s="352"/>
      <c r="V96" s="353"/>
      <c r="W96" s="390">
        <f>_xlfn.IFNA(VLOOKUP(Invoer_Referentie[[#This Row],[Product]],Brandstofverbuiken[#All],4,FALSE),0)</f>
        <v>0</v>
      </c>
      <c r="X96" s="390">
        <f>_xlfn.IFNA(VLOOKUP(Invoer_Referentie[[#This Row],[Product]],Brandstofverbuiken[#All],5,FALSE),0)</f>
        <v>0</v>
      </c>
      <c r="Y96" s="352"/>
      <c r="Z96" s="353"/>
      <c r="AA96" s="364">
        <f>_xlfn.IFNA(VLOOKUP(Invoer_Referentie[[#This Row],[Product]],Brandstofverbuiken[#All],7,FALSE),0)</f>
        <v>0</v>
      </c>
      <c r="AB96" s="390">
        <f>_xlfn.IFNA(VLOOKUP(Invoer_Referentie[[#This Row],[Product]],Brandstofverbuiken[#All],8,FALSE),0)</f>
        <v>0</v>
      </c>
      <c r="AC96" s="350"/>
      <c r="AD96" s="352"/>
      <c r="AE96" s="353"/>
      <c r="AF96" s="345"/>
    </row>
    <row r="97" spans="2:32" ht="15" hidden="1">
      <c r="B97" s="344"/>
      <c r="C97" s="345"/>
      <c r="D97" s="346"/>
      <c r="E97" s="347"/>
      <c r="F97" s="1"/>
      <c r="G97" s="348">
        <f>_xlfn.IFNA(VLOOKUP(Invoer_Referentie[[#This Row],[Product]],Database_Productkaarten[[Product]:[Comment]],64,FALSE),0)</f>
        <v>0</v>
      </c>
      <c r="H97" s="349">
        <f>_xlfn.IFNA(VLOOKUP(Invoer_Referentie[[#This Row],[Product]],Database_Productkaarten[[Product]:[Producttype]],3,FALSE),0)</f>
        <v>0</v>
      </c>
      <c r="I97" s="354"/>
      <c r="J97" s="348">
        <f>_xlfn.IFNA(VLOOKUP(Invoer_Referentie[[#This Row],[Product]],Database_Productkaarten[[Product]:[Eenheid]],4,FALSE),0)</f>
        <v>0</v>
      </c>
      <c r="K97" s="348"/>
      <c r="L97" s="348"/>
      <c r="M97" s="345"/>
      <c r="N97" s="351">
        <f>Invoer_Referentie[[#This Row],[Lengte'[m']]]*Invoer_Referentie[[#This Row],[Breedte '[m']]]</f>
        <v>0</v>
      </c>
      <c r="O97" s="345">
        <f>IFERROR(IF(Invoer_Referentie[[#This Row],[Oppervlakte '[m2']]]*Invoer_Referentie[[#This Row],[Dikte '[m']]]=0,Invoer_Referentie[[#This Row],[Gewicht '[ton']]]/Invoer_Referentie[[#This Row],[Soortelijk gewicht '[ton / m3']]],Invoer_Referentie[[#This Row],[Oppervlakte '[m2']]]*Invoer_Referentie[[#This Row],[Dikte '[m']]]),0)</f>
        <v>0</v>
      </c>
      <c r="P97" s="345">
        <f>_xlfn.IFNA(VLOOKUP(Invoer_Referentie[[#This Row],[Product]],Database_Productkaarten[[Product]:[Soortelijk Gewicht '[ton / m3']]],11,FALSE),0)</f>
        <v>0</v>
      </c>
      <c r="Q97" s="350">
        <f>_xlfn.IFNA(VLOOKUP(Invoer_Referentie[[#This Row],[Product]],Database_Productkaarten[[Product]:[Gewicht '[ton'] / Eenheid]],12,FALSE)*Invoer_Referentie[[#This Row],[Aantal Eenheden]],0)</f>
        <v>0</v>
      </c>
      <c r="R97" s="350">
        <f>MAX(IFERROR($E$2/IF(Invoer_Referentie[[#This Row],[Productgroep]]="Categorie_1_LCA_Producten",VLOOKUP(Invoer_Referentie[[#This Row],[Product]],Categorie_1_Producten[#All],7,FALSE),VLOOKUP(Invoer_Referentie[[#This Row],[Product]]&amp;", "&amp;"Totaal",Database_Productkaarten[#All],15,FALSE))-1,0),0)</f>
        <v>0</v>
      </c>
      <c r="S97" s="350"/>
      <c r="T97" s="352"/>
      <c r="U97" s="352"/>
      <c r="V97" s="353"/>
      <c r="W97" s="390">
        <f>_xlfn.IFNA(VLOOKUP(Invoer_Referentie[[#This Row],[Product]],Brandstofverbuiken[#All],4,FALSE),0)</f>
        <v>0</v>
      </c>
      <c r="X97" s="390">
        <f>_xlfn.IFNA(VLOOKUP(Invoer_Referentie[[#This Row],[Product]],Brandstofverbuiken[#All],5,FALSE),0)</f>
        <v>0</v>
      </c>
      <c r="Y97" s="352"/>
      <c r="Z97" s="353"/>
      <c r="AA97" s="364">
        <f>_xlfn.IFNA(VLOOKUP(Invoer_Referentie[[#This Row],[Product]],Brandstofverbuiken[#All],7,FALSE),0)</f>
        <v>0</v>
      </c>
      <c r="AB97" s="390">
        <f>_xlfn.IFNA(VLOOKUP(Invoer_Referentie[[#This Row],[Product]],Brandstofverbuiken[#All],8,FALSE),0)</f>
        <v>0</v>
      </c>
      <c r="AC97" s="350"/>
      <c r="AD97" s="352"/>
      <c r="AE97" s="353"/>
      <c r="AF97" s="345"/>
    </row>
    <row r="98" spans="2:32" ht="15" hidden="1">
      <c r="B98" s="344"/>
      <c r="C98" s="345"/>
      <c r="D98" s="346"/>
      <c r="E98" s="347"/>
      <c r="F98" s="1"/>
      <c r="G98" s="348">
        <f>_xlfn.IFNA(VLOOKUP(Invoer_Referentie[[#This Row],[Product]],Database_Productkaarten[[Product]:[Comment]],64,FALSE),0)</f>
        <v>0</v>
      </c>
      <c r="H98" s="349">
        <f>_xlfn.IFNA(VLOOKUP(Invoer_Referentie[[#This Row],[Product]],Database_Productkaarten[[Product]:[Producttype]],3,FALSE),0)</f>
        <v>0</v>
      </c>
      <c r="I98" s="354"/>
      <c r="J98" s="348">
        <f>_xlfn.IFNA(VLOOKUP(Invoer_Referentie[[#This Row],[Product]],Database_Productkaarten[[Product]:[Eenheid]],4,FALSE),0)</f>
        <v>0</v>
      </c>
      <c r="K98" s="348"/>
      <c r="L98" s="348"/>
      <c r="M98" s="345"/>
      <c r="N98" s="351">
        <f>Invoer_Referentie[[#This Row],[Lengte'[m']]]*Invoer_Referentie[[#This Row],[Breedte '[m']]]</f>
        <v>0</v>
      </c>
      <c r="O98" s="345">
        <f>IFERROR(IF(Invoer_Referentie[[#This Row],[Oppervlakte '[m2']]]*Invoer_Referentie[[#This Row],[Dikte '[m']]]=0,Invoer_Referentie[[#This Row],[Gewicht '[ton']]]/Invoer_Referentie[[#This Row],[Soortelijk gewicht '[ton / m3']]],Invoer_Referentie[[#This Row],[Oppervlakte '[m2']]]*Invoer_Referentie[[#This Row],[Dikte '[m']]]),0)</f>
        <v>0</v>
      </c>
      <c r="P98" s="345">
        <f>_xlfn.IFNA(VLOOKUP(Invoer_Referentie[[#This Row],[Product]],Database_Productkaarten[[Product]:[Soortelijk Gewicht '[ton / m3']]],11,FALSE),0)</f>
        <v>0</v>
      </c>
      <c r="Q98" s="350">
        <f>_xlfn.IFNA(VLOOKUP(Invoer_Referentie[[#This Row],[Product]],Database_Productkaarten[[Product]:[Gewicht '[ton'] / Eenheid]],12,FALSE)*Invoer_Referentie[[#This Row],[Aantal Eenheden]],0)</f>
        <v>0</v>
      </c>
      <c r="R98" s="350">
        <f>MAX(IFERROR($E$2/IF(Invoer_Referentie[[#This Row],[Productgroep]]="Categorie_1_LCA_Producten",VLOOKUP(Invoer_Referentie[[#This Row],[Product]],Categorie_1_Producten[#All],7,FALSE),VLOOKUP(Invoer_Referentie[[#This Row],[Product]]&amp;", "&amp;"Totaal",Database_Productkaarten[#All],15,FALSE))-1,0),0)</f>
        <v>0</v>
      </c>
      <c r="S98" s="350"/>
      <c r="T98" s="352"/>
      <c r="U98" s="352"/>
      <c r="V98" s="353"/>
      <c r="W98" s="390">
        <f>_xlfn.IFNA(VLOOKUP(Invoer_Referentie[[#This Row],[Product]],Brandstofverbuiken[#All],4,FALSE),0)</f>
        <v>0</v>
      </c>
      <c r="X98" s="390">
        <f>_xlfn.IFNA(VLOOKUP(Invoer_Referentie[[#This Row],[Product]],Brandstofverbuiken[#All],5,FALSE),0)</f>
        <v>0</v>
      </c>
      <c r="Y98" s="352"/>
      <c r="Z98" s="353"/>
      <c r="AA98" s="364">
        <f>_xlfn.IFNA(VLOOKUP(Invoer_Referentie[[#This Row],[Product]],Brandstofverbuiken[#All],7,FALSE),0)</f>
        <v>0</v>
      </c>
      <c r="AB98" s="390">
        <f>_xlfn.IFNA(VLOOKUP(Invoer_Referentie[[#This Row],[Product]],Brandstofverbuiken[#All],8,FALSE),0)</f>
        <v>0</v>
      </c>
      <c r="AC98" s="350"/>
      <c r="AD98" s="352"/>
      <c r="AE98" s="353"/>
      <c r="AF98" s="345"/>
    </row>
    <row r="99" spans="2:32" ht="15" hidden="1">
      <c r="B99" s="344"/>
      <c r="C99" s="345"/>
      <c r="D99" s="346"/>
      <c r="E99" s="347"/>
      <c r="F99" s="1"/>
      <c r="G99" s="348">
        <f>_xlfn.IFNA(VLOOKUP(Invoer_Referentie[[#This Row],[Product]],Database_Productkaarten[[Product]:[Comment]],64,FALSE),0)</f>
        <v>0</v>
      </c>
      <c r="H99" s="349">
        <f>_xlfn.IFNA(VLOOKUP(Invoer_Referentie[[#This Row],[Product]],Database_Productkaarten[[Product]:[Producttype]],3,FALSE),0)</f>
        <v>0</v>
      </c>
      <c r="I99" s="354"/>
      <c r="J99" s="348">
        <f>_xlfn.IFNA(VLOOKUP(Invoer_Referentie[[#This Row],[Product]],Database_Productkaarten[[Product]:[Eenheid]],4,FALSE),0)</f>
        <v>0</v>
      </c>
      <c r="K99" s="348"/>
      <c r="L99" s="348"/>
      <c r="M99" s="345"/>
      <c r="N99" s="351">
        <f>Invoer_Referentie[[#This Row],[Lengte'[m']]]*Invoer_Referentie[[#This Row],[Breedte '[m']]]</f>
        <v>0</v>
      </c>
      <c r="O99" s="345">
        <f>IFERROR(IF(Invoer_Referentie[[#This Row],[Oppervlakte '[m2']]]*Invoer_Referentie[[#This Row],[Dikte '[m']]]=0,Invoer_Referentie[[#This Row],[Gewicht '[ton']]]/Invoer_Referentie[[#This Row],[Soortelijk gewicht '[ton / m3']]],Invoer_Referentie[[#This Row],[Oppervlakte '[m2']]]*Invoer_Referentie[[#This Row],[Dikte '[m']]]),0)</f>
        <v>0</v>
      </c>
      <c r="P99" s="345">
        <f>_xlfn.IFNA(VLOOKUP(Invoer_Referentie[[#This Row],[Product]],Database_Productkaarten[[Product]:[Soortelijk Gewicht '[ton / m3']]],11,FALSE),0)</f>
        <v>0</v>
      </c>
      <c r="Q99" s="350">
        <f>_xlfn.IFNA(VLOOKUP(Invoer_Referentie[[#This Row],[Product]],Database_Productkaarten[[Product]:[Gewicht '[ton'] / Eenheid]],12,FALSE)*Invoer_Referentie[[#This Row],[Aantal Eenheden]],0)</f>
        <v>0</v>
      </c>
      <c r="R99" s="350">
        <f>MAX(IFERROR($E$2/IF(Invoer_Referentie[[#This Row],[Productgroep]]="Categorie_1_LCA_Producten",VLOOKUP(Invoer_Referentie[[#This Row],[Product]],Categorie_1_Producten[#All],7,FALSE),VLOOKUP(Invoer_Referentie[[#This Row],[Product]]&amp;", "&amp;"Totaal",Database_Productkaarten[#All],15,FALSE))-1,0),0)</f>
        <v>0</v>
      </c>
      <c r="S99" s="350"/>
      <c r="T99" s="352"/>
      <c r="U99" s="352"/>
      <c r="V99" s="353"/>
      <c r="W99" s="390">
        <f>_xlfn.IFNA(VLOOKUP(Invoer_Referentie[[#This Row],[Product]],Brandstofverbuiken[#All],4,FALSE),0)</f>
        <v>0</v>
      </c>
      <c r="X99" s="390">
        <f>_xlfn.IFNA(VLOOKUP(Invoer_Referentie[[#This Row],[Product]],Brandstofverbuiken[#All],5,FALSE),0)</f>
        <v>0</v>
      </c>
      <c r="Y99" s="352"/>
      <c r="Z99" s="353"/>
      <c r="AA99" s="364">
        <f>_xlfn.IFNA(VLOOKUP(Invoer_Referentie[[#This Row],[Product]],Brandstofverbuiken[#All],7,FALSE),0)</f>
        <v>0</v>
      </c>
      <c r="AB99" s="390">
        <f>_xlfn.IFNA(VLOOKUP(Invoer_Referentie[[#This Row],[Product]],Brandstofverbuiken[#All],8,FALSE),0)</f>
        <v>0</v>
      </c>
      <c r="AC99" s="350"/>
      <c r="AD99" s="352"/>
      <c r="AE99" s="353"/>
      <c r="AF99" s="345"/>
    </row>
    <row r="100" spans="2:32" ht="15" hidden="1">
      <c r="B100" s="344"/>
      <c r="C100" s="345"/>
      <c r="D100" s="346"/>
      <c r="E100" s="347"/>
      <c r="F100" s="1"/>
      <c r="G100" s="348">
        <f>_xlfn.IFNA(VLOOKUP(Invoer_Referentie[[#This Row],[Product]],Database_Productkaarten[[Product]:[Comment]],64,FALSE),0)</f>
        <v>0</v>
      </c>
      <c r="H100" s="349">
        <f>_xlfn.IFNA(VLOOKUP(Invoer_Referentie[[#This Row],[Product]],Database_Productkaarten[[Product]:[Producttype]],3,FALSE),0)</f>
        <v>0</v>
      </c>
      <c r="I100" s="354"/>
      <c r="J100" s="348">
        <f>_xlfn.IFNA(VLOOKUP(Invoer_Referentie[[#This Row],[Product]],Database_Productkaarten[[Product]:[Eenheid]],4,FALSE),0)</f>
        <v>0</v>
      </c>
      <c r="K100" s="348"/>
      <c r="L100" s="348"/>
      <c r="M100" s="345"/>
      <c r="N100" s="351">
        <f>Invoer_Referentie[[#This Row],[Lengte'[m']]]*Invoer_Referentie[[#This Row],[Breedte '[m']]]</f>
        <v>0</v>
      </c>
      <c r="O100" s="345">
        <f>IFERROR(IF(Invoer_Referentie[[#This Row],[Oppervlakte '[m2']]]*Invoer_Referentie[[#This Row],[Dikte '[m']]]=0,Invoer_Referentie[[#This Row],[Gewicht '[ton']]]/Invoer_Referentie[[#This Row],[Soortelijk gewicht '[ton / m3']]],Invoer_Referentie[[#This Row],[Oppervlakte '[m2']]]*Invoer_Referentie[[#This Row],[Dikte '[m']]]),0)</f>
        <v>0</v>
      </c>
      <c r="P100" s="345">
        <f>_xlfn.IFNA(VLOOKUP(Invoer_Referentie[[#This Row],[Product]],Database_Productkaarten[[Product]:[Soortelijk Gewicht '[ton / m3']]],11,FALSE),0)</f>
        <v>0</v>
      </c>
      <c r="Q100" s="350">
        <f>_xlfn.IFNA(VLOOKUP(Invoer_Referentie[[#This Row],[Product]],Database_Productkaarten[[Product]:[Gewicht '[ton'] / Eenheid]],12,FALSE)*Invoer_Referentie[[#This Row],[Aantal Eenheden]],0)</f>
        <v>0</v>
      </c>
      <c r="R100" s="350">
        <f>MAX(IFERROR($E$2/IF(Invoer_Referentie[[#This Row],[Productgroep]]="Categorie_1_LCA_Producten",VLOOKUP(Invoer_Referentie[[#This Row],[Product]],Categorie_1_Producten[#All],7,FALSE),VLOOKUP(Invoer_Referentie[[#This Row],[Product]]&amp;", "&amp;"Totaal",Database_Productkaarten[#All],15,FALSE))-1,0),0)</f>
        <v>0</v>
      </c>
      <c r="S100" s="350"/>
      <c r="T100" s="352"/>
      <c r="U100" s="352"/>
      <c r="V100" s="353"/>
      <c r="W100" s="390">
        <f>_xlfn.IFNA(VLOOKUP(Invoer_Referentie[[#This Row],[Product]],Brandstofverbuiken[#All],4,FALSE),0)</f>
        <v>0</v>
      </c>
      <c r="X100" s="390">
        <f>_xlfn.IFNA(VLOOKUP(Invoer_Referentie[[#This Row],[Product]],Brandstofverbuiken[#All],5,FALSE),0)</f>
        <v>0</v>
      </c>
      <c r="Y100" s="352"/>
      <c r="Z100" s="353"/>
      <c r="AA100" s="364">
        <f>_xlfn.IFNA(VLOOKUP(Invoer_Referentie[[#This Row],[Product]],Brandstofverbuiken[#All],7,FALSE),0)</f>
        <v>0</v>
      </c>
      <c r="AB100" s="390">
        <f>_xlfn.IFNA(VLOOKUP(Invoer_Referentie[[#This Row],[Product]],Brandstofverbuiken[#All],8,FALSE),0)</f>
        <v>0</v>
      </c>
      <c r="AC100" s="350"/>
      <c r="AD100" s="352"/>
      <c r="AE100" s="353"/>
      <c r="AF100" s="345"/>
    </row>
    <row r="101" spans="2:32" ht="15" hidden="1">
      <c r="B101" s="344"/>
      <c r="C101" s="345"/>
      <c r="D101" s="346"/>
      <c r="E101" s="347"/>
      <c r="F101" s="1"/>
      <c r="G101" s="348">
        <f>_xlfn.IFNA(VLOOKUP(Invoer_Referentie[[#This Row],[Product]],Database_Productkaarten[[Product]:[Comment]],64,FALSE),0)</f>
        <v>0</v>
      </c>
      <c r="H101" s="349">
        <f>_xlfn.IFNA(VLOOKUP(Invoer_Referentie[[#This Row],[Product]],Database_Productkaarten[[Product]:[Producttype]],3,FALSE),0)</f>
        <v>0</v>
      </c>
      <c r="I101" s="354"/>
      <c r="J101" s="348">
        <f>_xlfn.IFNA(VLOOKUP(Invoer_Referentie[[#This Row],[Product]],Database_Productkaarten[[Product]:[Eenheid]],4,FALSE),0)</f>
        <v>0</v>
      </c>
      <c r="K101" s="348"/>
      <c r="L101" s="348"/>
      <c r="M101" s="345"/>
      <c r="N101" s="351">
        <f>Invoer_Referentie[[#This Row],[Lengte'[m']]]*Invoer_Referentie[[#This Row],[Breedte '[m']]]</f>
        <v>0</v>
      </c>
      <c r="O101" s="345">
        <f>IFERROR(IF(Invoer_Referentie[[#This Row],[Oppervlakte '[m2']]]*Invoer_Referentie[[#This Row],[Dikte '[m']]]=0,Invoer_Referentie[[#This Row],[Gewicht '[ton']]]/Invoer_Referentie[[#This Row],[Soortelijk gewicht '[ton / m3']]],Invoer_Referentie[[#This Row],[Oppervlakte '[m2']]]*Invoer_Referentie[[#This Row],[Dikte '[m']]]),0)</f>
        <v>0</v>
      </c>
      <c r="P101" s="345">
        <f>_xlfn.IFNA(VLOOKUP(Invoer_Referentie[[#This Row],[Product]],Database_Productkaarten[[Product]:[Soortelijk Gewicht '[ton / m3']]],11,FALSE),0)</f>
        <v>0</v>
      </c>
      <c r="Q101" s="350">
        <f>_xlfn.IFNA(VLOOKUP(Invoer_Referentie[[#This Row],[Product]],Database_Productkaarten[[Product]:[Gewicht '[ton'] / Eenheid]],12,FALSE)*Invoer_Referentie[[#This Row],[Aantal Eenheden]],0)</f>
        <v>0</v>
      </c>
      <c r="R101" s="350">
        <f>MAX(IFERROR($E$2/IF(Invoer_Referentie[[#This Row],[Productgroep]]="Categorie_1_LCA_Producten",VLOOKUP(Invoer_Referentie[[#This Row],[Product]],Categorie_1_Producten[#All],7,FALSE),VLOOKUP(Invoer_Referentie[[#This Row],[Product]]&amp;", "&amp;"Totaal",Database_Productkaarten[#All],15,FALSE))-1,0),0)</f>
        <v>0</v>
      </c>
      <c r="S101" s="350"/>
      <c r="T101" s="352"/>
      <c r="U101" s="352"/>
      <c r="V101" s="353"/>
      <c r="W101" s="390">
        <f>_xlfn.IFNA(VLOOKUP(Invoer_Referentie[[#This Row],[Product]],Brandstofverbuiken[#All],4,FALSE),0)</f>
        <v>0</v>
      </c>
      <c r="X101" s="390">
        <f>_xlfn.IFNA(VLOOKUP(Invoer_Referentie[[#This Row],[Product]],Brandstofverbuiken[#All],5,FALSE),0)</f>
        <v>0</v>
      </c>
      <c r="Y101" s="352"/>
      <c r="Z101" s="353"/>
      <c r="AA101" s="364">
        <f>_xlfn.IFNA(VLOOKUP(Invoer_Referentie[[#This Row],[Product]],Brandstofverbuiken[#All],7,FALSE),0)</f>
        <v>0</v>
      </c>
      <c r="AB101" s="390">
        <f>_xlfn.IFNA(VLOOKUP(Invoer_Referentie[[#This Row],[Product]],Brandstofverbuiken[#All],8,FALSE),0)</f>
        <v>0</v>
      </c>
      <c r="AC101" s="350"/>
      <c r="AD101" s="352"/>
      <c r="AE101" s="353"/>
      <c r="AF101" s="345"/>
    </row>
    <row r="102" spans="2:32" ht="15" hidden="1">
      <c r="B102" s="344"/>
      <c r="C102" s="345"/>
      <c r="D102" s="346"/>
      <c r="E102" s="347"/>
      <c r="F102" s="1"/>
      <c r="G102" s="348">
        <f>_xlfn.IFNA(VLOOKUP(Invoer_Referentie[[#This Row],[Product]],Database_Productkaarten[[Product]:[Comment]],64,FALSE),0)</f>
        <v>0</v>
      </c>
      <c r="H102" s="349">
        <f>_xlfn.IFNA(VLOOKUP(Invoer_Referentie[[#This Row],[Product]],Database_Productkaarten[[Product]:[Producttype]],3,FALSE),0)</f>
        <v>0</v>
      </c>
      <c r="I102" s="354"/>
      <c r="J102" s="348">
        <f>_xlfn.IFNA(VLOOKUP(Invoer_Referentie[[#This Row],[Product]],Database_Productkaarten[[Product]:[Eenheid]],4,FALSE),0)</f>
        <v>0</v>
      </c>
      <c r="K102" s="348"/>
      <c r="L102" s="348"/>
      <c r="M102" s="345"/>
      <c r="N102" s="351">
        <f>Invoer_Referentie[[#This Row],[Lengte'[m']]]*Invoer_Referentie[[#This Row],[Breedte '[m']]]</f>
        <v>0</v>
      </c>
      <c r="O102" s="345">
        <f>IFERROR(IF(Invoer_Referentie[[#This Row],[Oppervlakte '[m2']]]*Invoer_Referentie[[#This Row],[Dikte '[m']]]=0,Invoer_Referentie[[#This Row],[Gewicht '[ton']]]/Invoer_Referentie[[#This Row],[Soortelijk gewicht '[ton / m3']]],Invoer_Referentie[[#This Row],[Oppervlakte '[m2']]]*Invoer_Referentie[[#This Row],[Dikte '[m']]]),0)</f>
        <v>0</v>
      </c>
      <c r="P102" s="345">
        <f>_xlfn.IFNA(VLOOKUP(Invoer_Referentie[[#This Row],[Product]],Database_Productkaarten[[Product]:[Soortelijk Gewicht '[ton / m3']]],11,FALSE),0)</f>
        <v>0</v>
      </c>
      <c r="Q102" s="350">
        <f>_xlfn.IFNA(VLOOKUP(Invoer_Referentie[[#This Row],[Product]],Database_Productkaarten[[Product]:[Gewicht '[ton'] / Eenheid]],12,FALSE)*Invoer_Referentie[[#This Row],[Aantal Eenheden]],0)</f>
        <v>0</v>
      </c>
      <c r="R102" s="350">
        <f>MAX(IFERROR($E$2/IF(Invoer_Referentie[[#This Row],[Productgroep]]="Categorie_1_LCA_Producten",VLOOKUP(Invoer_Referentie[[#This Row],[Product]],Categorie_1_Producten[#All],7,FALSE),VLOOKUP(Invoer_Referentie[[#This Row],[Product]]&amp;", "&amp;"Totaal",Database_Productkaarten[#All],15,FALSE))-1,0),0)</f>
        <v>0</v>
      </c>
      <c r="S102" s="350"/>
      <c r="T102" s="352"/>
      <c r="U102" s="352"/>
      <c r="V102" s="353"/>
      <c r="W102" s="390">
        <f>_xlfn.IFNA(VLOOKUP(Invoer_Referentie[[#This Row],[Product]],Brandstofverbuiken[#All],4,FALSE),0)</f>
        <v>0</v>
      </c>
      <c r="X102" s="390">
        <f>_xlfn.IFNA(VLOOKUP(Invoer_Referentie[[#This Row],[Product]],Brandstofverbuiken[#All],5,FALSE),0)</f>
        <v>0</v>
      </c>
      <c r="Y102" s="352"/>
      <c r="Z102" s="353"/>
      <c r="AA102" s="364">
        <f>_xlfn.IFNA(VLOOKUP(Invoer_Referentie[[#This Row],[Product]],Brandstofverbuiken[#All],7,FALSE),0)</f>
        <v>0</v>
      </c>
      <c r="AB102" s="390">
        <f>_xlfn.IFNA(VLOOKUP(Invoer_Referentie[[#This Row],[Product]],Brandstofverbuiken[#All],8,FALSE),0)</f>
        <v>0</v>
      </c>
      <c r="AC102" s="350"/>
      <c r="AD102" s="352"/>
      <c r="AE102" s="353"/>
      <c r="AF102" s="345"/>
    </row>
    <row r="103" spans="2:32" ht="15" hidden="1">
      <c r="B103" s="344"/>
      <c r="C103" s="345"/>
      <c r="D103" s="346"/>
      <c r="E103" s="347"/>
      <c r="F103" s="1"/>
      <c r="G103" s="348">
        <f>_xlfn.IFNA(VLOOKUP(Invoer_Referentie[[#This Row],[Product]],Database_Productkaarten[[Product]:[Comment]],64,FALSE),0)</f>
        <v>0</v>
      </c>
      <c r="H103" s="349">
        <f>_xlfn.IFNA(VLOOKUP(Invoer_Referentie[[#This Row],[Product]],Database_Productkaarten[[Product]:[Producttype]],3,FALSE),0)</f>
        <v>0</v>
      </c>
      <c r="I103" s="354"/>
      <c r="J103" s="348">
        <f>_xlfn.IFNA(VLOOKUP(Invoer_Referentie[[#This Row],[Product]],Database_Productkaarten[[Product]:[Eenheid]],4,FALSE),0)</f>
        <v>0</v>
      </c>
      <c r="K103" s="348"/>
      <c r="L103" s="348"/>
      <c r="M103" s="345"/>
      <c r="N103" s="351">
        <f>Invoer_Referentie[[#This Row],[Lengte'[m']]]*Invoer_Referentie[[#This Row],[Breedte '[m']]]</f>
        <v>0</v>
      </c>
      <c r="O103" s="345">
        <f>IFERROR(IF(Invoer_Referentie[[#This Row],[Oppervlakte '[m2']]]*Invoer_Referentie[[#This Row],[Dikte '[m']]]=0,Invoer_Referentie[[#This Row],[Gewicht '[ton']]]/Invoer_Referentie[[#This Row],[Soortelijk gewicht '[ton / m3']]],Invoer_Referentie[[#This Row],[Oppervlakte '[m2']]]*Invoer_Referentie[[#This Row],[Dikte '[m']]]),0)</f>
        <v>0</v>
      </c>
      <c r="P103" s="345">
        <f>_xlfn.IFNA(VLOOKUP(Invoer_Referentie[[#This Row],[Product]],Database_Productkaarten[[Product]:[Soortelijk Gewicht '[ton / m3']]],11,FALSE),0)</f>
        <v>0</v>
      </c>
      <c r="Q103" s="350">
        <f>_xlfn.IFNA(VLOOKUP(Invoer_Referentie[[#This Row],[Product]],Database_Productkaarten[[Product]:[Gewicht '[ton'] / Eenheid]],12,FALSE)*Invoer_Referentie[[#This Row],[Aantal Eenheden]],0)</f>
        <v>0</v>
      </c>
      <c r="R103" s="350">
        <f>MAX(IFERROR($E$2/IF(Invoer_Referentie[[#This Row],[Productgroep]]="Categorie_1_LCA_Producten",VLOOKUP(Invoer_Referentie[[#This Row],[Product]],Categorie_1_Producten[#All],7,FALSE),VLOOKUP(Invoer_Referentie[[#This Row],[Product]]&amp;", "&amp;"Totaal",Database_Productkaarten[#All],15,FALSE))-1,0),0)</f>
        <v>0</v>
      </c>
      <c r="S103" s="350"/>
      <c r="T103" s="352"/>
      <c r="U103" s="352"/>
      <c r="V103" s="353"/>
      <c r="W103" s="390">
        <f>_xlfn.IFNA(VLOOKUP(Invoer_Referentie[[#This Row],[Product]],Brandstofverbuiken[#All],4,FALSE),0)</f>
        <v>0</v>
      </c>
      <c r="X103" s="390">
        <f>_xlfn.IFNA(VLOOKUP(Invoer_Referentie[[#This Row],[Product]],Brandstofverbuiken[#All],5,FALSE),0)</f>
        <v>0</v>
      </c>
      <c r="Y103" s="352"/>
      <c r="Z103" s="353"/>
      <c r="AA103" s="364">
        <f>_xlfn.IFNA(VLOOKUP(Invoer_Referentie[[#This Row],[Product]],Brandstofverbuiken[#All],7,FALSE),0)</f>
        <v>0</v>
      </c>
      <c r="AB103" s="390">
        <f>_xlfn.IFNA(VLOOKUP(Invoer_Referentie[[#This Row],[Product]],Brandstofverbuiken[#All],8,FALSE),0)</f>
        <v>0</v>
      </c>
      <c r="AC103" s="350"/>
      <c r="AD103" s="352"/>
      <c r="AE103" s="353"/>
      <c r="AF103" s="345"/>
    </row>
    <row r="104" spans="2:32" ht="15" hidden="1">
      <c r="B104" s="344"/>
      <c r="C104" s="345"/>
      <c r="D104" s="346"/>
      <c r="E104" s="347"/>
      <c r="F104" s="1"/>
      <c r="G104" s="348">
        <f>_xlfn.IFNA(VLOOKUP(Invoer_Referentie[[#This Row],[Product]],Database_Productkaarten[[Product]:[Comment]],64,FALSE),0)</f>
        <v>0</v>
      </c>
      <c r="H104" s="349">
        <f>_xlfn.IFNA(VLOOKUP(Invoer_Referentie[[#This Row],[Product]],Database_Productkaarten[[Product]:[Producttype]],3,FALSE),0)</f>
        <v>0</v>
      </c>
      <c r="I104" s="354"/>
      <c r="J104" s="348">
        <f>_xlfn.IFNA(VLOOKUP(Invoer_Referentie[[#This Row],[Product]],Database_Productkaarten[[Product]:[Eenheid]],4,FALSE),0)</f>
        <v>0</v>
      </c>
      <c r="K104" s="348"/>
      <c r="L104" s="348"/>
      <c r="M104" s="345"/>
      <c r="N104" s="351">
        <f>Invoer_Referentie[[#This Row],[Lengte'[m']]]*Invoer_Referentie[[#This Row],[Breedte '[m']]]</f>
        <v>0</v>
      </c>
      <c r="O104" s="345">
        <f>IFERROR(IF(Invoer_Referentie[[#This Row],[Oppervlakte '[m2']]]*Invoer_Referentie[[#This Row],[Dikte '[m']]]=0,Invoer_Referentie[[#This Row],[Gewicht '[ton']]]/Invoer_Referentie[[#This Row],[Soortelijk gewicht '[ton / m3']]],Invoer_Referentie[[#This Row],[Oppervlakte '[m2']]]*Invoer_Referentie[[#This Row],[Dikte '[m']]]),0)</f>
        <v>0</v>
      </c>
      <c r="P104" s="345">
        <f>_xlfn.IFNA(VLOOKUP(Invoer_Referentie[[#This Row],[Product]],Database_Productkaarten[[Product]:[Soortelijk Gewicht '[ton / m3']]],11,FALSE),0)</f>
        <v>0</v>
      </c>
      <c r="Q104" s="350">
        <f>_xlfn.IFNA(VLOOKUP(Invoer_Referentie[[#This Row],[Product]],Database_Productkaarten[[Product]:[Gewicht '[ton'] / Eenheid]],12,FALSE)*Invoer_Referentie[[#This Row],[Aantal Eenheden]],0)</f>
        <v>0</v>
      </c>
      <c r="R104" s="350">
        <f>MAX(IFERROR($E$2/IF(Invoer_Referentie[[#This Row],[Productgroep]]="Categorie_1_LCA_Producten",VLOOKUP(Invoer_Referentie[[#This Row],[Product]],Categorie_1_Producten[#All],7,FALSE),VLOOKUP(Invoer_Referentie[[#This Row],[Product]]&amp;", "&amp;"Totaal",Database_Productkaarten[#All],15,FALSE))-1,0),0)</f>
        <v>0</v>
      </c>
      <c r="S104" s="350"/>
      <c r="T104" s="352"/>
      <c r="U104" s="352"/>
      <c r="V104" s="353"/>
      <c r="W104" s="390">
        <f>_xlfn.IFNA(VLOOKUP(Invoer_Referentie[[#This Row],[Product]],Brandstofverbuiken[#All],4,FALSE),0)</f>
        <v>0</v>
      </c>
      <c r="X104" s="390">
        <f>_xlfn.IFNA(VLOOKUP(Invoer_Referentie[[#This Row],[Product]],Brandstofverbuiken[#All],5,FALSE),0)</f>
        <v>0</v>
      </c>
      <c r="Y104" s="352"/>
      <c r="Z104" s="353"/>
      <c r="AA104" s="364">
        <f>_xlfn.IFNA(VLOOKUP(Invoer_Referentie[[#This Row],[Product]],Brandstofverbuiken[#All],7,FALSE),0)</f>
        <v>0</v>
      </c>
      <c r="AB104" s="390">
        <f>_xlfn.IFNA(VLOOKUP(Invoer_Referentie[[#This Row],[Product]],Brandstofverbuiken[#All],8,FALSE),0)</f>
        <v>0</v>
      </c>
      <c r="AC104" s="350"/>
      <c r="AD104" s="352"/>
      <c r="AE104" s="353"/>
      <c r="AF104" s="345"/>
    </row>
    <row r="105" spans="2:32" ht="15" hidden="1">
      <c r="B105" s="344"/>
      <c r="C105" s="345"/>
      <c r="D105" s="346"/>
      <c r="E105" s="347"/>
      <c r="F105" s="1"/>
      <c r="G105" s="348">
        <f>_xlfn.IFNA(VLOOKUP(Invoer_Referentie[[#This Row],[Product]],Database_Productkaarten[[Product]:[Comment]],64,FALSE),0)</f>
        <v>0</v>
      </c>
      <c r="H105" s="349">
        <f>_xlfn.IFNA(VLOOKUP(Invoer_Referentie[[#This Row],[Product]],Database_Productkaarten[[Product]:[Producttype]],3,FALSE),0)</f>
        <v>0</v>
      </c>
      <c r="I105" s="354"/>
      <c r="J105" s="348">
        <f>_xlfn.IFNA(VLOOKUP(Invoer_Referentie[[#This Row],[Product]],Database_Productkaarten[[Product]:[Eenheid]],4,FALSE),0)</f>
        <v>0</v>
      </c>
      <c r="K105" s="348"/>
      <c r="L105" s="348"/>
      <c r="M105" s="345"/>
      <c r="N105" s="351">
        <f>Invoer_Referentie[[#This Row],[Lengte'[m']]]*Invoer_Referentie[[#This Row],[Breedte '[m']]]</f>
        <v>0</v>
      </c>
      <c r="O105" s="345">
        <f>IFERROR(IF(Invoer_Referentie[[#This Row],[Oppervlakte '[m2']]]*Invoer_Referentie[[#This Row],[Dikte '[m']]]=0,Invoer_Referentie[[#This Row],[Gewicht '[ton']]]/Invoer_Referentie[[#This Row],[Soortelijk gewicht '[ton / m3']]],Invoer_Referentie[[#This Row],[Oppervlakte '[m2']]]*Invoer_Referentie[[#This Row],[Dikte '[m']]]),0)</f>
        <v>0</v>
      </c>
      <c r="P105" s="345">
        <f>_xlfn.IFNA(VLOOKUP(Invoer_Referentie[[#This Row],[Product]],Database_Productkaarten[[Product]:[Soortelijk Gewicht '[ton / m3']]],11,FALSE),0)</f>
        <v>0</v>
      </c>
      <c r="Q105" s="350">
        <f>_xlfn.IFNA(VLOOKUP(Invoer_Referentie[[#This Row],[Product]],Database_Productkaarten[[Product]:[Gewicht '[ton'] / Eenheid]],12,FALSE)*Invoer_Referentie[[#This Row],[Aantal Eenheden]],0)</f>
        <v>0</v>
      </c>
      <c r="R105" s="350">
        <f>MAX(IFERROR($E$2/IF(Invoer_Referentie[[#This Row],[Productgroep]]="Categorie_1_LCA_Producten",VLOOKUP(Invoer_Referentie[[#This Row],[Product]],Categorie_1_Producten[#All],7,FALSE),VLOOKUP(Invoer_Referentie[[#This Row],[Product]]&amp;", "&amp;"Totaal",Database_Productkaarten[#All],15,FALSE))-1,0),0)</f>
        <v>0</v>
      </c>
      <c r="S105" s="350"/>
      <c r="T105" s="352"/>
      <c r="U105" s="352"/>
      <c r="V105" s="353"/>
      <c r="W105" s="390">
        <f>_xlfn.IFNA(VLOOKUP(Invoer_Referentie[[#This Row],[Product]],Brandstofverbuiken[#All],4,FALSE),0)</f>
        <v>0</v>
      </c>
      <c r="X105" s="390">
        <f>_xlfn.IFNA(VLOOKUP(Invoer_Referentie[[#This Row],[Product]],Brandstofverbuiken[#All],5,FALSE),0)</f>
        <v>0</v>
      </c>
      <c r="Y105" s="352"/>
      <c r="Z105" s="353"/>
      <c r="AA105" s="364">
        <f>_xlfn.IFNA(VLOOKUP(Invoer_Referentie[[#This Row],[Product]],Brandstofverbuiken[#All],7,FALSE),0)</f>
        <v>0</v>
      </c>
      <c r="AB105" s="390">
        <f>_xlfn.IFNA(VLOOKUP(Invoer_Referentie[[#This Row],[Product]],Brandstofverbuiken[#All],8,FALSE),0)</f>
        <v>0</v>
      </c>
      <c r="AC105" s="350"/>
      <c r="AD105" s="352"/>
      <c r="AE105" s="353"/>
      <c r="AF105" s="345"/>
    </row>
    <row r="106" spans="2:32">
      <c r="B106" s="355"/>
      <c r="C106" s="355"/>
      <c r="D106" s="355"/>
      <c r="E106" s="355"/>
      <c r="F106" s="355"/>
      <c r="G106" s="355"/>
      <c r="H106" s="355"/>
      <c r="I106" s="355"/>
      <c r="J106" s="355"/>
      <c r="K106" s="355"/>
      <c r="L106" s="355"/>
      <c r="M106" s="355"/>
      <c r="N106" s="355"/>
      <c r="O106" s="355"/>
      <c r="P106" s="355"/>
      <c r="Q106" s="355"/>
      <c r="R106" s="355"/>
      <c r="S106" s="355"/>
      <c r="T106" s="355"/>
      <c r="U106" s="355"/>
      <c r="V106" s="355"/>
      <c r="W106" s="355"/>
    </row>
    <row r="107" spans="2:32">
      <c r="B107" s="355"/>
      <c r="C107" s="355"/>
      <c r="D107" s="355"/>
      <c r="E107" s="355"/>
      <c r="F107" s="355"/>
      <c r="G107" s="355"/>
      <c r="H107" s="355"/>
      <c r="I107" s="355"/>
      <c r="J107" s="355"/>
      <c r="K107" s="355"/>
      <c r="L107" s="355"/>
      <c r="M107" s="355"/>
      <c r="N107" s="355"/>
      <c r="O107" s="355"/>
      <c r="P107" s="355"/>
      <c r="Q107" s="355"/>
      <c r="R107" s="355"/>
      <c r="S107" s="355"/>
      <c r="T107" s="355"/>
      <c r="U107" s="355"/>
      <c r="V107" s="355"/>
      <c r="W107" s="355"/>
    </row>
    <row r="108" spans="2:32">
      <c r="B108" s="355"/>
      <c r="C108" s="355"/>
      <c r="D108" s="355"/>
      <c r="E108" s="355"/>
      <c r="F108" s="355"/>
      <c r="G108" s="355"/>
      <c r="H108" s="355"/>
      <c r="I108" s="355"/>
      <c r="J108" s="355"/>
      <c r="K108" s="355"/>
      <c r="L108" s="355"/>
      <c r="M108" s="355"/>
      <c r="N108" s="355"/>
      <c r="O108" s="355"/>
      <c r="P108" s="355"/>
      <c r="Q108" s="355"/>
      <c r="R108" s="355"/>
      <c r="S108" s="355"/>
      <c r="T108" s="355"/>
      <c r="U108" s="355"/>
      <c r="V108" s="355"/>
      <c r="W108" s="355"/>
    </row>
    <row r="109" spans="2:32">
      <c r="B109" s="355"/>
      <c r="C109" s="355"/>
      <c r="D109" s="356"/>
      <c r="G109" s="355"/>
      <c r="H109" s="355"/>
      <c r="I109" s="355"/>
      <c r="J109" s="355"/>
      <c r="K109" s="355"/>
      <c r="L109" s="357"/>
      <c r="M109" s="355"/>
    </row>
    <row r="112" spans="2:32" ht="18.75" thickBot="1">
      <c r="D112" s="416" t="s">
        <v>277</v>
      </c>
      <c r="E112" s="416"/>
      <c r="F112" s="416"/>
    </row>
    <row r="113" spans="4:6" ht="18.75" thickBot="1">
      <c r="D113" s="426">
        <f>SUM(Referentie_MKI_Totaal[[#Totals],[A1-A3]:[C4]])+Referentie_MKI_Totaal[[#Totals],[D]]</f>
        <v>81746.936381935957</v>
      </c>
      <c r="E113" s="427"/>
      <c r="F113" s="428"/>
    </row>
    <row r="134" spans="4:20" ht="18.75" thickBot="1">
      <c r="D134" s="416" t="s">
        <v>64</v>
      </c>
      <c r="E134" s="416"/>
      <c r="F134" s="416"/>
    </row>
    <row r="135" spans="4:20" ht="18.75" thickBot="1">
      <c r="D135" s="423">
        <f>(SUM(Referentie_CO2_Totaal[[#Totals],[A1-A3]:[C4]])+Referentie_CO2_Totaal[[#Totals],[D]])/1000</f>
        <v>615.21424859950707</v>
      </c>
      <c r="E135" s="424"/>
      <c r="F135" s="425"/>
      <c r="S135" s="339">
        <f>D135/(40075*0.000204)</f>
        <v>75.252804007132099</v>
      </c>
      <c r="T135" s="340" t="s">
        <v>278</v>
      </c>
    </row>
    <row r="137" spans="4:20" ht="18.75" thickBot="1">
      <c r="D137" s="416" t="s">
        <v>65</v>
      </c>
      <c r="E137" s="416"/>
      <c r="F137" s="416"/>
      <c r="I137" s="276" t="s">
        <v>279</v>
      </c>
      <c r="J137" s="170"/>
    </row>
    <row r="138" spans="4:20" ht="18.75" thickBot="1">
      <c r="D138" s="423">
        <f>Referentie_Materiaal_Totaal[[#Totals],[Primair materiaalverbruik '[ton']]]+Referentie_Materiaal_Totaal[[#Totals],[Primair materiaalverbruik Vervangingen '[ton']]]</f>
        <v>12406.89629521266</v>
      </c>
      <c r="E138" s="424"/>
      <c r="F138" s="425"/>
      <c r="G138" s="55" t="s">
        <v>280</v>
      </c>
      <c r="I138" s="358">
        <f>D138/D140</f>
        <v>0.11614661635102258</v>
      </c>
      <c r="J138" s="55" t="s">
        <v>280</v>
      </c>
    </row>
    <row r="139" spans="4:20" ht="18.75" thickBot="1">
      <c r="D139" s="423">
        <f>Referentie_Materiaal_Totaal[[#Totals],[Secundair materiaalverbruik '[ton']]]+Referentie_Materiaal_Totaal[[#Totals],[Secundair materiaalverbruik Vervangingen '[ton']]]</f>
        <v>94414.091564787333</v>
      </c>
      <c r="E139" s="424"/>
      <c r="F139" s="425"/>
      <c r="G139" s="55" t="s">
        <v>281</v>
      </c>
      <c r="I139" s="359">
        <f>D139/D140</f>
        <v>0.88385338364897736</v>
      </c>
      <c r="J139" s="55" t="s">
        <v>281</v>
      </c>
    </row>
    <row r="140" spans="4:20" ht="18.75" thickBot="1">
      <c r="D140" s="420">
        <f>D138+D139</f>
        <v>106820.98785999999</v>
      </c>
      <c r="E140" s="421"/>
      <c r="F140" s="422"/>
      <c r="G140" s="55" t="s">
        <v>282</v>
      </c>
      <c r="I140" s="359"/>
      <c r="J140" s="55" t="s">
        <v>282</v>
      </c>
      <c r="S140" s="339">
        <f>D140/7300</f>
        <v>14.633012035616437</v>
      </c>
      <c r="T140" s="340" t="s">
        <v>283</v>
      </c>
    </row>
    <row r="141" spans="4:20" ht="15">
      <c r="I141" s="55"/>
    </row>
    <row r="142" spans="4:20" ht="18.75" thickBot="1">
      <c r="D142" s="416" t="s">
        <v>66</v>
      </c>
      <c r="E142" s="416"/>
      <c r="F142" s="416"/>
      <c r="I142" s="276" t="s">
        <v>279</v>
      </c>
    </row>
    <row r="143" spans="4:20" ht="18.75" thickBot="1">
      <c r="D143" s="417">
        <f>(SUM(Referentie_Hernieuwbare_Energie_Totaal[[#Totals],[A1-A3]:[C4]])+Referentie_Hernieuwbare_Energie_Totaal[[#Totals],[D]])/1000</f>
        <v>245.26259383418196</v>
      </c>
      <c r="E143" s="418"/>
      <c r="F143" s="419"/>
      <c r="G143" s="55" t="s">
        <v>67</v>
      </c>
      <c r="I143" s="358">
        <f>D143/D145</f>
        <v>7.6767299439875911E-2</v>
      </c>
      <c r="J143" s="55" t="s">
        <v>67</v>
      </c>
    </row>
    <row r="144" spans="4:20" ht="18.75" thickBot="1">
      <c r="D144" s="417">
        <f>(SUM(Referentie_Fossiele_Energie_Totaal[[#Totals],[A1-A3]:[C4]])+Referentie_Fossiele_Energie_Totaal[[#Totals],[D]])/1000</f>
        <v>2949.6211082591999</v>
      </c>
      <c r="E144" s="418"/>
      <c r="F144" s="419"/>
      <c r="G144" s="55" t="s">
        <v>68</v>
      </c>
      <c r="I144" s="358">
        <f>D144/D145</f>
        <v>0.92323270056012408</v>
      </c>
      <c r="J144" s="55" t="s">
        <v>68</v>
      </c>
    </row>
    <row r="145" spans="1:20" ht="18.75" thickBot="1">
      <c r="D145" s="420">
        <f>D143+D144</f>
        <v>3194.883702093382</v>
      </c>
      <c r="E145" s="421"/>
      <c r="F145" s="422"/>
      <c r="G145" s="55" t="s">
        <v>69</v>
      </c>
      <c r="I145" s="359"/>
      <c r="J145" s="55" t="s">
        <v>69</v>
      </c>
      <c r="S145" s="339">
        <f>D145/((2479*0.0036)+(1169/31.6))</f>
        <v>69.577916503068707</v>
      </c>
      <c r="T145" s="340" t="s">
        <v>284</v>
      </c>
    </row>
    <row r="146" spans="1:20" ht="18">
      <c r="A146" s="14"/>
      <c r="D146" s="360"/>
      <c r="E146" s="360"/>
      <c r="F146" s="360"/>
      <c r="G146" s="55"/>
      <c r="I146" s="55"/>
    </row>
    <row r="147" spans="1:20" ht="18.75" thickBot="1">
      <c r="A147" s="14"/>
      <c r="B147" s="14"/>
      <c r="D147" s="416" t="s">
        <v>123</v>
      </c>
      <c r="E147" s="416"/>
      <c r="F147" s="416"/>
      <c r="G147" s="14"/>
      <c r="I147" s="276" t="s">
        <v>279</v>
      </c>
      <c r="J147" s="14"/>
    </row>
    <row r="148" spans="1:20" ht="18.75" thickBot="1">
      <c r="A148" s="14"/>
      <c r="B148" s="14"/>
      <c r="D148" s="420">
        <f>Referentie_Transport_Totaal[[#Totals],[Emissieloos Transport]]+Referentie_Transport_Totaal[[#Totals],[Emissieloos Transport Vervangingen]]</f>
        <v>0</v>
      </c>
      <c r="E148" s="421"/>
      <c r="F148" s="422"/>
      <c r="G148" s="55" t="s">
        <v>285</v>
      </c>
      <c r="I148" s="358">
        <f>D148/D150</f>
        <v>0</v>
      </c>
      <c r="J148" s="55" t="s">
        <v>285</v>
      </c>
    </row>
    <row r="149" spans="1:20" ht="18.75" thickBot="1">
      <c r="A149" s="14"/>
      <c r="B149" s="14"/>
      <c r="D149" s="420">
        <f>D150-D148</f>
        <v>1346243.9508499999</v>
      </c>
      <c r="E149" s="421"/>
      <c r="F149" s="422"/>
      <c r="G149" s="245" t="s">
        <v>286</v>
      </c>
      <c r="I149" s="358">
        <f>D149/D150</f>
        <v>1</v>
      </c>
      <c r="J149" s="245" t="s">
        <v>286</v>
      </c>
    </row>
    <row r="150" spans="1:20" ht="18.75" thickBot="1">
      <c r="A150" s="14"/>
      <c r="B150" s="14"/>
      <c r="D150" s="420">
        <f>SUM(Referentie_Transport_Totaal[[#Totals],[Transport naar bouwplaats '[tkm']]:[Transport naar verwerker '[tkm']]])+SUM(Referentie_Transport_Totaal[[#Totals],[Transport naar bouwplaats Vervangingen '[tkm']]:[Transport naar verwerker Vervangingen '[tkm']]])</f>
        <v>1346243.9508499999</v>
      </c>
      <c r="E150" s="421"/>
      <c r="F150" s="422"/>
      <c r="G150" s="55" t="s">
        <v>287</v>
      </c>
      <c r="I150" s="359"/>
      <c r="J150" s="55" t="s">
        <v>287</v>
      </c>
      <c r="S150" s="339">
        <f>(D150/32)/40075</f>
        <v>1.0497847402136617</v>
      </c>
      <c r="T150" s="340" t="s">
        <v>288</v>
      </c>
    </row>
    <row r="151" spans="1:20" ht="18">
      <c r="A151" s="14"/>
      <c r="B151" s="14"/>
      <c r="D151" s="360"/>
      <c r="E151" s="360"/>
      <c r="F151" s="360"/>
      <c r="G151" s="14"/>
      <c r="I151" s="55"/>
    </row>
    <row r="152" spans="1:20" ht="18.75" thickBot="1">
      <c r="A152" s="14"/>
      <c r="B152" s="14"/>
      <c r="D152" s="416" t="s">
        <v>289</v>
      </c>
      <c r="E152" s="416"/>
      <c r="F152" s="416"/>
      <c r="G152" s="14"/>
      <c r="I152" s="276" t="s">
        <v>279</v>
      </c>
      <c r="J152" s="14"/>
    </row>
    <row r="153" spans="1:20" ht="18.75" thickBot="1">
      <c r="A153" s="14"/>
      <c r="B153" s="14"/>
      <c r="D153" s="420">
        <f>Referentie_Bouwplaats_Totaal[[#Totals],[Emissieloos bouwplaats]]+Referentie_Bouwplaats_Totaal[[#Totals],[Emissieloos bouwplaats Vervangingen]]</f>
        <v>0</v>
      </c>
      <c r="E153" s="421"/>
      <c r="F153" s="422"/>
      <c r="G153" s="55" t="s">
        <v>290</v>
      </c>
      <c r="I153" s="358">
        <f>D153/D155</f>
        <v>0</v>
      </c>
      <c r="J153" s="55" t="s">
        <v>290</v>
      </c>
    </row>
    <row r="154" spans="1:20" ht="18.75" thickBot="1">
      <c r="A154" s="14"/>
      <c r="B154" s="14"/>
      <c r="D154" s="420">
        <f>D155-D153</f>
        <v>4545.531722222222</v>
      </c>
      <c r="E154" s="421"/>
      <c r="F154" s="422"/>
      <c r="G154" s="245" t="s">
        <v>291</v>
      </c>
      <c r="I154" s="358">
        <f>D154/D155</f>
        <v>1</v>
      </c>
      <c r="J154" s="245" t="s">
        <v>291</v>
      </c>
    </row>
    <row r="155" spans="1:20" ht="18.75" thickBot="1">
      <c r="A155" s="14"/>
      <c r="B155" s="14"/>
      <c r="D155" s="420">
        <f>SUM(Referentie_Bouwplaats_Totaal[[#Totals],[Draaiuren Bouw Asfalt]:[Draaiuren Verwijder Overig]])+SUM(Referentie_Bouwplaats_Totaal[[#Totals],[Draaiuren Bouw Asfalt Vervangingen]:[Draaiuren Verwijder Overig Vervangingen]])</f>
        <v>4545.531722222222</v>
      </c>
      <c r="E155" s="421"/>
      <c r="F155" s="422"/>
      <c r="G155" s="55" t="s">
        <v>292</v>
      </c>
      <c r="I155" s="359"/>
      <c r="J155" s="55" t="s">
        <v>292</v>
      </c>
      <c r="S155" s="339">
        <f>D155/(5*52*8)</f>
        <v>2.1853517895299146</v>
      </c>
      <c r="T155" s="340" t="s">
        <v>293</v>
      </c>
    </row>
    <row r="156" spans="1:20" ht="18">
      <c r="B156" s="14"/>
      <c r="C156" s="360"/>
      <c r="D156" s="360"/>
      <c r="E156" s="360"/>
      <c r="F156" s="55"/>
    </row>
  </sheetData>
  <sheetProtection algorithmName="SHA-512" hashValue="OSO/zfoPoAK6Wj1vQeKecjTUOYcqW841AH6PgDjqRQV1h9e/SHw0xFzZC+khqFVj4gStiiVvrEO7uo5cXZxJ9A==" saltValue="NFPclt9I4zLwWv2n0C9e4g==" spinCount="100000" sheet="1" objects="1" scenarios="1" selectLockedCells="1"/>
  <mergeCells count="20">
    <mergeCell ref="D148:F148"/>
    <mergeCell ref="D150:F150"/>
    <mergeCell ref="D152:F152"/>
    <mergeCell ref="D153:F153"/>
    <mergeCell ref="D155:F155"/>
    <mergeCell ref="D154:F154"/>
    <mergeCell ref="D149:F149"/>
    <mergeCell ref="D112:F112"/>
    <mergeCell ref="D113:F113"/>
    <mergeCell ref="D134:F134"/>
    <mergeCell ref="D135:F135"/>
    <mergeCell ref="D143:F143"/>
    <mergeCell ref="D147:F147"/>
    <mergeCell ref="D144:F144"/>
    <mergeCell ref="D145:F145"/>
    <mergeCell ref="D137:F137"/>
    <mergeCell ref="D138:F138"/>
    <mergeCell ref="D139:F139"/>
    <mergeCell ref="D140:F140"/>
    <mergeCell ref="D142:F142"/>
  </mergeCells>
  <phoneticPr fontId="11" type="noConversion"/>
  <conditionalFormatting sqref="T6:T105">
    <cfRule type="expression" dxfId="1150" priority="5">
      <formula>"$C4=""Bestaande Situatie"""</formula>
    </cfRule>
  </conditionalFormatting>
  <conditionalFormatting sqref="U6:U105">
    <cfRule type="expression" dxfId="1149" priority="25">
      <formula>"$C4=""Bestaande Situatie"""</formula>
    </cfRule>
  </conditionalFormatting>
  <conditionalFormatting sqref="V6:V105">
    <cfRule type="expression" dxfId="1148" priority="4">
      <formula>"$C4=""Bestaande Situatie"""</formula>
    </cfRule>
  </conditionalFormatting>
  <conditionalFormatting sqref="Y6:Y105">
    <cfRule type="expression" dxfId="1147" priority="3">
      <formula>"$C4=""Bestaande Situatie"""</formula>
    </cfRule>
  </conditionalFormatting>
  <conditionalFormatting sqref="Z6:Z105">
    <cfRule type="expression" dxfId="1146" priority="2">
      <formula>"$C4=""Bestaande Situatie"""</formula>
    </cfRule>
  </conditionalFormatting>
  <conditionalFormatting sqref="AA6:AA105">
    <cfRule type="expression" dxfId="1145" priority="14">
      <formula>"$C4=""Bestaande Situatie"""</formula>
    </cfRule>
  </conditionalFormatting>
  <conditionalFormatting sqref="AD6:AD105">
    <cfRule type="expression" dxfId="1144" priority="1">
      <formula>"$C4=""Bestaande Situatie"""</formula>
    </cfRule>
  </conditionalFormatting>
  <dataValidations disablePrompts="1" count="1">
    <dataValidation type="list" allowBlank="1" showInputMessage="1" showErrorMessage="1" sqref="F109 F6:F105" xr:uid="{BC6DD3A0-5808-41F2-8D1A-DC0E18DA8B00}">
      <formula1>INDIRECT(E6)</formula1>
    </dataValidation>
  </dataValidations>
  <pageMargins left="0.7" right="0.7" top="0.75" bottom="0.75" header="0.3" footer="0.3"/>
  <pageSetup orientation="portrait" r:id="rId1"/>
  <drawing r:id="rId2"/>
  <legacyDrawing r:id="rId3"/>
  <controls>
    <mc:AlternateContent xmlns:mc="http://schemas.openxmlformats.org/markup-compatibility/2006">
      <mc:Choice Requires="x14">
        <control shapeId="1025" r:id="rId4" name="Control 1">
          <controlPr defaultSize="0" autoPict="0" r:id="rId5">
            <anchor moveWithCells="1">
              <from>
                <xdr:col>1</xdr:col>
                <xdr:colOff>590550</xdr:colOff>
                <xdr:row>2</xdr:row>
                <xdr:rowOff>19050</xdr:rowOff>
              </from>
              <to>
                <xdr:col>1</xdr:col>
                <xdr:colOff>809625</xdr:colOff>
                <xdr:row>3</xdr:row>
                <xdr:rowOff>57150</xdr:rowOff>
              </to>
            </anchor>
          </controlPr>
        </control>
      </mc:Choice>
      <mc:Fallback>
        <control shapeId="1025" r:id="rId4" name="Control 1"/>
      </mc:Fallback>
    </mc:AlternateContent>
  </controls>
  <tableParts count="2">
    <tablePart r:id="rId6"/>
    <tablePart r:id="rId7"/>
  </tableParts>
  <extLst>
    <ext xmlns:x14="http://schemas.microsoft.com/office/spreadsheetml/2009/9/main" uri="{CCE6A557-97BC-4b89-ADB6-D9C93CAAB3DF}">
      <x14:dataValidations xmlns:xm="http://schemas.microsoft.com/office/excel/2006/main" disablePrompts="1" count="8">
        <x14:dataValidation type="list" allowBlank="1" showInputMessage="1" showErrorMessage="1" xr:uid="{3976511A-CE74-416E-9DEB-307C9C25893E}">
          <x14:formula1>
            <xm:f>Lijsten!$X$2:$X$3</xm:f>
          </x14:formula1>
          <xm:sqref>C109 C40:C105</xm:sqref>
        </x14:dataValidation>
        <x14:dataValidation type="list" allowBlank="1" showInputMessage="1" showErrorMessage="1" xr:uid="{1A640D41-45BC-473A-B9FE-EE86D96BBFF9}">
          <x14:formula1>
            <xm:f>Lijsten!$AD$2:$AD$6</xm:f>
          </x14:formula1>
          <xm:sqref>G2:G3</xm:sqref>
        </x14:dataValidation>
        <x14:dataValidation type="list" allowBlank="1" showInputMessage="1" showErrorMessage="1" xr:uid="{22D41B71-8107-428A-89E1-501A69846554}">
          <x14:formula1>
            <xm:f>Lijsten!$R$2:$R$22</xm:f>
          </x14:formula1>
          <xm:sqref>U6:U105 Y40:Y105</xm:sqref>
        </x14:dataValidation>
        <x14:dataValidation type="list" allowBlank="1" showInputMessage="1" showErrorMessage="1" xr:uid="{FA9180C6-88FF-416B-8903-CC2DA4EAB479}">
          <x14:formula1>
            <xm:f>Lijsten!$A$2:$A$14</xm:f>
          </x14:formula1>
          <xm:sqref>E109</xm:sqref>
        </x14:dataValidation>
        <x14:dataValidation type="list" allowBlank="1" showInputMessage="1" showErrorMessage="1" xr:uid="{90D7675F-82EC-449A-B2EF-46CCBB56F6DA}">
          <x14:formula1>
            <xm:f>Lijsten!$A$2:$A$12</xm:f>
          </x14:formula1>
          <xm:sqref>E40:E105</xm:sqref>
        </x14:dataValidation>
        <x14:dataValidation type="list" allowBlank="1" showInputMessage="1" showErrorMessage="1" xr:uid="{D905AE7D-1229-4E15-AE1A-5E202109D2F7}">
          <x14:formula1>
            <xm:f>Lijsten!$P$2:$P$16</xm:f>
          </x14:formula1>
          <xm:sqref>T40:T105 AD40:AD105</xm:sqref>
        </x14:dataValidation>
        <x14:dataValidation type="list" allowBlank="1" showInputMessage="1" showErrorMessage="1" xr:uid="{477E4B77-8783-4EF7-87D1-350B55EC5EE8}">
          <x14:formula1>
            <xm:f>Database!$A$2617:$A$2625</xm:f>
          </x14:formula1>
          <xm:sqref>AE6:AE105</xm:sqref>
        </x14:dataValidation>
        <x14:dataValidation type="list" allowBlank="1" showInputMessage="1" showErrorMessage="1" xr:uid="{B71AEF3F-3D16-41A3-93BF-7A8B9BF4DC60}">
          <x14:formula1>
            <xm:f>Lijsten!$T$2:$T$16</xm:f>
          </x14:formula1>
          <xm:sqref>V40:V105 Z40:Z105</xm:sqref>
        </x14:dataValidation>
      </x14:dataValidations>
    </ext>
    <ext xmlns:x15="http://schemas.microsoft.com/office/spreadsheetml/2010/11/main" uri="{3A4CF648-6AED-40f4-86FF-DC5316D8AED3}">
      <x14:slicerList xmlns:x14="http://schemas.microsoft.com/office/spreadsheetml/2009/9/main">
        <x14:slicer r:id="rId8"/>
      </x14:slicerList>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83A029-F3EF-9D44-8100-119BD40DFD88}">
  <sheetPr codeName="Blad3"/>
  <dimension ref="B2:AC734"/>
  <sheetViews>
    <sheetView zoomScale="70" zoomScaleNormal="70" workbookViewId="0">
      <selection activeCell="J4" sqref="J4:J103"/>
    </sheetView>
  </sheetViews>
  <sheetFormatPr defaultColWidth="10.85546875" defaultRowHeight="15"/>
  <cols>
    <col min="1" max="1" width="10.85546875" style="14"/>
    <col min="2" max="2" width="61" style="14" customWidth="1"/>
    <col min="3" max="3" width="26.28515625" style="14" bestFit="1" customWidth="1"/>
    <col min="4" max="4" width="16.5703125" style="14" customWidth="1"/>
    <col min="5" max="16" width="13.28515625" style="14" customWidth="1"/>
    <col min="17" max="17" width="16.140625" style="14" bestFit="1" customWidth="1"/>
    <col min="18" max="18" width="15" style="14" customWidth="1"/>
    <col min="19" max="19" width="18.5703125" style="14" customWidth="1"/>
    <col min="20" max="16384" width="10.85546875" style="14"/>
  </cols>
  <sheetData>
    <row r="2" spans="2:22" ht="18">
      <c r="B2" s="110" t="s">
        <v>72</v>
      </c>
      <c r="C2" s="110"/>
      <c r="D2" s="110"/>
    </row>
    <row r="3" spans="2:22">
      <c r="B3" s="1" t="s">
        <v>214</v>
      </c>
      <c r="C3" s="1" t="s">
        <v>7</v>
      </c>
      <c r="D3" s="18" t="s">
        <v>74</v>
      </c>
      <c r="E3" s="19" t="s">
        <v>75</v>
      </c>
      <c r="F3" s="20" t="s">
        <v>76</v>
      </c>
      <c r="G3" s="18" t="s">
        <v>77</v>
      </c>
      <c r="H3" s="21" t="s">
        <v>78</v>
      </c>
      <c r="I3" s="22" t="s">
        <v>79</v>
      </c>
      <c r="J3" s="23" t="s">
        <v>80</v>
      </c>
      <c r="K3" s="24" t="s">
        <v>82</v>
      </c>
      <c r="L3" s="25" t="s">
        <v>83</v>
      </c>
      <c r="M3" s="26" t="s">
        <v>84</v>
      </c>
      <c r="N3" s="27" t="s">
        <v>85</v>
      </c>
      <c r="O3" s="28" t="s">
        <v>86</v>
      </c>
      <c r="P3" s="29" t="s">
        <v>87</v>
      </c>
      <c r="Q3" s="30" t="s">
        <v>88</v>
      </c>
      <c r="R3" s="29" t="s">
        <v>89</v>
      </c>
      <c r="S3" s="143" t="s">
        <v>90</v>
      </c>
      <c r="V3" s="35" t="s">
        <v>294</v>
      </c>
    </row>
    <row r="4" spans="2:22">
      <c r="B4" s="263" t="str">
        <f>Baseline!B6</f>
        <v xml:space="preserve">121110 - Opbreken trottoirband </v>
      </c>
      <c r="C4" s="264" t="str">
        <f>Baseline!F6</f>
        <v>Trottoirband 130/150x250</v>
      </c>
      <c r="D4" s="265">
        <f>(IF(Baseline!C6="Nieuwe Situatie",(_xlfn.IFNA(VLOOKUP(Referentie_MKI_Totaal[[#This Row],[Product]]&amp;", "&amp;Referentie_MKI_Totaal[[#Headers],[A1]],Database_Productkaarten[#All],14,FALSE),0)*Baseline!I6),0))</f>
        <v>0</v>
      </c>
      <c r="E4" s="265">
        <f>(IF(Baseline!C6="Nieuwe Situatie",(_xlfn.IFNA(VLOOKUP(Referentie_MKI_Totaal[[#This Row],[Product]]&amp;", "&amp;Referentie_MKI_Totaal[[#Headers],[A2]],Database_Productkaarten[#All],14,FALSE),0)*Baseline!I6),0))</f>
        <v>0</v>
      </c>
      <c r="F4" s="265">
        <f>(IF(Baseline!C6="Nieuwe Situatie",(_xlfn.IFNA(VLOOKUP(Referentie_MKI_Totaal[[#This Row],[Product]]&amp;", "&amp;Referentie_MKI_Totaal[[#Headers],[A3]],Database_Productkaarten[#All],14,FALSE),0)*Baseline!I6),0))</f>
        <v>0</v>
      </c>
      <c r="G4" s="265">
        <f>(IF(Baseline!C6="Nieuwe Situatie",(_xlfn.IFNA(VLOOKUP(Referentie_MKI_Totaal[[#This Row],[Product]]&amp;", "&amp;Referentie_MKI_Totaal[[#Headers],[A1-A3]],Database_Productkaarten[#All],14,FALSE),0)*Baseline!I6),0))</f>
        <v>0</v>
      </c>
      <c r="H4" s="265">
        <f>IF(Baseline!T6=0,(IF(Baseline!C6="Nieuwe Situatie",(_xlfn.IFNA(VLOOKUP(Referentie_MKI_Totaal[[#This Row],[Product]]&amp;", "&amp;Referentie_MKI_Totaal[[#Headers],[A4]],Database_Productkaarten[#All],14,FALSE),0)*Baseline!Q6),0)),(IF(Baseline!C6="Nieuwe Situatie",_xlfn.IFNA(VLOOKUP(Baseline!T6,Database_Transport[#All],7,FALSE)*(Baseline!Q6*Baseline!S6),0))))</f>
        <v>0</v>
      </c>
      <c r="I4" s="265">
        <f>IF(Baseline!C6="Nieuwe situatie",IF(_xlfn.IFNA((VLOOKUP(Baseline!U6,Database_Asfalt_Aanlegset[#All],7,FALSE)*Baseline!I6),0)+_xlfn.IFNA(VLOOKUP(Baseline!V6,Database_Brandstoffen[#All],7,FALSE)*((Baseline!I6/Baseline!X6)*Baseline!W6),0)&gt;0,_xlfn.IFNA((VLOOKUP(Baseline!U6,Database_Asfalt_Aanlegset[#All],7,FALSE)*Baseline!I6),0)+_xlfn.IFNA(VLOOKUP(Baseline!V6,Database_Brandstoffen[#All],7,FALSE)*((Baseline!I6/Baseline!X6)*Baseline!W6),0),(_xlfn.IFNA(VLOOKUP(Referentie_MKI_Totaal[[#This Row],[Product]]&amp;", "&amp;Referentie_MKI_Totaal[[#Headers],[A5]],Database_Productkaarten[#All],14,FALSE),0)*Baseline!I6)),0)</f>
        <v>0</v>
      </c>
      <c r="J4" s="265"/>
      <c r="K4" s="265">
        <f>(IF(Baseline!C6="Nieuwe Situatie",(SUM(Referentie_MKI_Totaal[[#This Row],[A1]:[B1]],Referentie_MKI_Totaal[[#This Row],[C1]:[D2]])*Baseline!R6),0))</f>
        <v>0</v>
      </c>
      <c r="L4" s="265">
        <f>IF(Baseline!C6="Bestaande situatie",IF(_xlfn.IFNA((VLOOKUP(Baseline!Y6,Database_Asfalt_Verwijderset[#All],7,FALSE)*Baseline!I6),0)+_xlfn.IFNA(VLOOKUP(Baseline!Z6,Database_Brandstoffen[#All],7,FALSE)*((Baseline!I6/Baseline!AB6)*Baseline!AA6),0)&gt;0,_xlfn.IFNA((VLOOKUP(Baseline!Y6,Database_Asfalt_Verwijderset[#All],7,FALSE)*Baseline!I6),0)+_xlfn.IFNA(VLOOKUP(Baseline!Z6,Database_Brandstoffen[#All],7,FALSE)*((Baseline!I6/Baseline!AB6)*Baseline!AA6),0),(_xlfn.IFNA(VLOOKUP(Referentie_MKI_Totaal[[#This Row],[Product]]&amp;", "&amp;Referentie_MKI_Totaal[[#Headers],[C1]],Database_Productkaarten[#All],14,FALSE),0)*Baseline!I6)),0)</f>
        <v>372.26836443454044</v>
      </c>
      <c r="M4" s="265">
        <f>IF(Baseline!AD6=0,(IF(Baseline!C6="Bestaande Situatie",(_xlfn.IFNA(VLOOKUP(Referentie_MKI_Totaal[[#This Row],[Product]]&amp;", "&amp;Referentie_MKI_Totaal[[#Headers],[C2]],Database_Productkaarten[#All],14,FALSE),0)*Baseline!I6),0)),(IF(Baseline!C6="Bestaande Situatie",_xlfn.IFNA(VLOOKUP(Baseline!AD6,Database_Transport[#All],7,FALSE)*(Baseline!Q6*Baseline!AC6),0))))</f>
        <v>46.173105085107004</v>
      </c>
      <c r="N4" s="265">
        <f>(IF(Baseline!C6="Bestaande Situatie",(_xlfn.IFNA(VLOOKUP(Referentie_MKI_Totaal[[#This Row],[Product]]&amp;", "&amp;Referentie_MKI_Totaal[[#Headers],[C3]],Database_Productkaarten[#All],14,FALSE),0)*Baseline!I6),0))</f>
        <v>76.503699999999995</v>
      </c>
      <c r="O4" s="265">
        <f>(IF(Baseline!C6="Bestaande Situatie",(_xlfn.IFNA(VLOOKUP(Referentie_MKI_Totaal[[#This Row],[Product]]&amp;", "&amp;Referentie_MKI_Totaal[[#Headers],[C4]],Database_Productkaarten[#All],14,FALSE),0)*Baseline!I6),0))</f>
        <v>2.0065500000000003</v>
      </c>
      <c r="P4" s="265">
        <f>(IF(Baseline!C6="Bestaande Situatie",(_xlfn.IFNA(VLOOKUP(Referentie_MKI_Totaal[[#This Row],[Product]]&amp;", "&amp;Referentie_MKI_Totaal[[#Headers],[D1]],Database_Productkaarten[#All],14,FALSE),0)*Baseline!I6),0))</f>
        <v>0</v>
      </c>
      <c r="Q4" s="265">
        <f>(IF(Baseline!C6="Bestaande Situatie",_xlfn.IFNA(VLOOKUP(Referentie_MKI_Totaal[[#This Row],[Product]]&amp;", "&amp;Referentie_MKI_Totaal[[#Headers],[D2]],Database_Productkaarten[#All],14,FALSE),0)*Baseline!I6,0))</f>
        <v>0</v>
      </c>
      <c r="R4" s="265">
        <f>(IF(Baseline!C6="Bestaande Situatie",(_xlfn.IFNA(VLOOKUP(Referentie_MKI_Totaal[[#This Row],[Product]]&amp;", "&amp;Referentie_MKI_Totaal[[#Headers],[D]],Database_Productkaarten[#All],14,FALSE),0)*Baseline!I6),0))</f>
        <v>-141.85990000000001</v>
      </c>
      <c r="S4" s="266">
        <f>SUM(Referentie_MKI_Totaal[[#This Row],[A1-A3]:[C4]])+Referentie_MKI_Totaal[[#This Row],[D]]</f>
        <v>355.0918195196474</v>
      </c>
      <c r="V4" s="331">
        <f>SUM(Referentie_MKI_Totaal[[#This Row],[A1-A3]]+Referentie_MKI_Totaal[[#This Row],[A4]]+Referentie_MKI_Totaal[[#This Row],[C2]]+Referentie_MKI_Totaal[[#This Row],[C3]]+Referentie_MKI_Totaal[[#This Row],[C4]]+Referentie_MKI_Totaal[[#This Row],[D]])*(VLOOKUP(Referentie_MKI_Totaal[[#This Row],[Product]]&amp;", "&amp;Referentie_MKI_Totaal[[#Headers],[A5]],Database_Productkaarten[#All],66,FALSE))</f>
        <v>-0.51529634744679043</v>
      </c>
    </row>
    <row r="5" spans="2:22">
      <c r="B5" s="263" t="str">
        <f>Baseline!B7</f>
        <v>121120 - Opbreken RWS band</v>
      </c>
      <c r="C5" s="264" t="str">
        <f>Baseline!F7</f>
        <v>RWSband 115/225x250</v>
      </c>
      <c r="D5" s="265">
        <f>(IF(Baseline!C7="Nieuwe Situatie",(_xlfn.IFNA(VLOOKUP(Referentie_MKI_Totaal[[#This Row],[Product]]&amp;", "&amp;Referentie_MKI_Totaal[[#Headers],[A1]],Database_Productkaarten[#All],14,FALSE),0)*Baseline!I7),0))</f>
        <v>0</v>
      </c>
      <c r="E5" s="265">
        <f>(IF(Baseline!C7="Nieuwe Situatie",(_xlfn.IFNA(VLOOKUP(Referentie_MKI_Totaal[[#This Row],[Product]]&amp;", "&amp;Referentie_MKI_Totaal[[#Headers],[A2]],Database_Productkaarten[#All],14,FALSE),0)*Baseline!I7),0))</f>
        <v>0</v>
      </c>
      <c r="F5" s="265">
        <f>(IF(Baseline!C7="Nieuwe Situatie",(_xlfn.IFNA(VLOOKUP(Referentie_MKI_Totaal[[#This Row],[Product]]&amp;", "&amp;Referentie_MKI_Totaal[[#Headers],[A3]],Database_Productkaarten[#All],14,FALSE),0)*Baseline!I7),0))</f>
        <v>0</v>
      </c>
      <c r="G5" s="265">
        <f>(IF(Baseline!C7="Nieuwe Situatie",(_xlfn.IFNA(VLOOKUP(Referentie_MKI_Totaal[[#This Row],[Product]]&amp;", "&amp;Referentie_MKI_Totaal[[#Headers],[A1-A3]],Database_Productkaarten[#All],14,FALSE),0)*Baseline!I7),0))</f>
        <v>0</v>
      </c>
      <c r="H5" s="265">
        <f>IF(Baseline!T7=0,(IF(Baseline!C7="Nieuwe Situatie",(_xlfn.IFNA(VLOOKUP(Referentie_MKI_Totaal[[#This Row],[Product]]&amp;", "&amp;Referentie_MKI_Totaal[[#Headers],[A4]],Database_Productkaarten[#All],14,FALSE),0)*Baseline!Q7),0)),(IF(Baseline!C7="Nieuwe Situatie",_xlfn.IFNA(VLOOKUP(Baseline!T7,Database_Transport[#All],7,FALSE)*(Baseline!Q7*Baseline!S7),0))))</f>
        <v>0</v>
      </c>
      <c r="I5" s="265">
        <f>IF(Baseline!C7="Nieuwe situatie",IF(_xlfn.IFNA((VLOOKUP(Baseline!U7,Database_Asfalt_Aanlegset[#All],7,FALSE)*Baseline!I7),0)+_xlfn.IFNA(VLOOKUP(Baseline!V7,Database_Brandstoffen[#All],7,FALSE)*((Baseline!I7/Baseline!X7)*Baseline!W7),0)&gt;0,_xlfn.IFNA((VLOOKUP(Baseline!U7,Database_Asfalt_Aanlegset[#All],7,FALSE)*Baseline!I7),0)+_xlfn.IFNA(VLOOKUP(Baseline!V7,Database_Brandstoffen[#All],7,FALSE)*((Baseline!I7/Baseline!X7)*Baseline!W7),0),(_xlfn.IFNA(VLOOKUP(Referentie_MKI_Totaal[[#This Row],[Product]]&amp;", "&amp;Referentie_MKI_Totaal[[#Headers],[A5]],Database_Productkaarten[#All],14,FALSE),0)*Baseline!I7)),0)</f>
        <v>0</v>
      </c>
      <c r="J5" s="265"/>
      <c r="K5" s="265">
        <f>(IF(Baseline!C7="Nieuwe Situatie",(SUM(Referentie_MKI_Totaal[[#This Row],[A1]:[B1]],Referentie_MKI_Totaal[[#This Row],[C1]:[D2]])*Baseline!R7),0))</f>
        <v>0</v>
      </c>
      <c r="L5" s="265">
        <f>IF(Baseline!C7="Bestaande situatie",IF(_xlfn.IFNA((VLOOKUP(Baseline!Y7,Database_Asfalt_Verwijderset[#All],7,FALSE)*Baseline!I7),0)+_xlfn.IFNA(VLOOKUP(Baseline!Z7,Database_Brandstoffen[#All],7,FALSE)*((Baseline!I7/Baseline!AB7)*Baseline!AA7),0)&gt;0,_xlfn.IFNA((VLOOKUP(Baseline!Y7,Database_Asfalt_Verwijderset[#All],7,FALSE)*Baseline!I7),0)+_xlfn.IFNA(VLOOKUP(Baseline!Z7,Database_Brandstoffen[#All],7,FALSE)*((Baseline!I7/Baseline!AB7)*Baseline!AA7),0),(_xlfn.IFNA(VLOOKUP(Referentie_MKI_Totaal[[#This Row],[Product]]&amp;", "&amp;Referentie_MKI_Totaal[[#Headers],[C1]],Database_Productkaarten[#All],14,FALSE),0)*Baseline!I7)),0)</f>
        <v>39.155385270194991</v>
      </c>
      <c r="M5" s="265">
        <f>IF(Baseline!AD7=0,(IF(Baseline!C7="Bestaande Situatie",(_xlfn.IFNA(VLOOKUP(Referentie_MKI_Totaal[[#This Row],[Product]]&amp;", "&amp;Referentie_MKI_Totaal[[#Headers],[C2]],Database_Productkaarten[#All],14,FALSE),0)*Baseline!I7),0)),(IF(Baseline!C7="Bestaande Situatie",_xlfn.IFNA(VLOOKUP(Baseline!AD7,Database_Transport[#All],7,FALSE)*(Baseline!Q7*Baseline!AC7),0))))</f>
        <v>7.2761262766170001</v>
      </c>
      <c r="N5" s="265">
        <f>(IF(Baseline!C7="Bestaande Situatie",(_xlfn.IFNA(VLOOKUP(Referentie_MKI_Totaal[[#This Row],[Product]]&amp;", "&amp;Referentie_MKI_Totaal[[#Headers],[C3]],Database_Productkaarten[#All],14,FALSE),0)*Baseline!I7),0))</f>
        <v>12.0466</v>
      </c>
      <c r="O5" s="265">
        <f>(IF(Baseline!C7="Bestaande Situatie",(_xlfn.IFNA(VLOOKUP(Referentie_MKI_Totaal[[#This Row],[Product]]&amp;", "&amp;Referentie_MKI_Totaal[[#Headers],[C4]],Database_Productkaarten[#All],14,FALSE),0)*Baseline!I7),0))</f>
        <v>0.31490000000000001</v>
      </c>
      <c r="P5" s="265">
        <f>(IF(Baseline!C7="Bestaande Situatie",(_xlfn.IFNA(VLOOKUP(Referentie_MKI_Totaal[[#This Row],[Product]]&amp;", "&amp;Referentie_MKI_Totaal[[#Headers],[D1]],Database_Productkaarten[#All],14,FALSE),0)*Baseline!I7),0))</f>
        <v>0</v>
      </c>
      <c r="Q5" s="265">
        <f>(IF(Baseline!C7="Bestaande Situatie",_xlfn.IFNA(VLOOKUP(Referentie_MKI_Totaal[[#This Row],[Product]]&amp;", "&amp;Referentie_MKI_Totaal[[#Headers],[D2]],Database_Productkaarten[#All],14,FALSE),0)*Baseline!I7,0))</f>
        <v>0</v>
      </c>
      <c r="R5" s="265">
        <f>(IF(Baseline!C7="Bestaande Situatie",(_xlfn.IFNA(VLOOKUP(Referentie_MKI_Totaal[[#This Row],[Product]]&amp;", "&amp;Referentie_MKI_Totaal[[#Headers],[D]],Database_Productkaarten[#All],14,FALSE),0)*Baseline!I7),0))</f>
        <v>-22.471800000000002</v>
      </c>
      <c r="S5" s="266">
        <f>SUM(Referentie_MKI_Totaal[[#This Row],[A1-A3]:[C4]])+Referentie_MKI_Totaal[[#This Row],[D]]</f>
        <v>36.321211546811988</v>
      </c>
      <c r="V5" s="331">
        <f>SUM(Referentie_MKI_Totaal[[#This Row],[A1-A3]]+Referentie_MKI_Totaal[[#This Row],[A4]]+Referentie_MKI_Totaal[[#This Row],[C2]]+Referentie_MKI_Totaal[[#This Row],[C3]]+Referentie_MKI_Totaal[[#This Row],[C4]]+Referentie_MKI_Totaal[[#This Row],[D]])*(VLOOKUP(Referentie_MKI_Totaal[[#This Row],[Product]]&amp;", "&amp;Referentie_MKI_Totaal[[#Headers],[A5]],Database_Productkaarten[#All],66,FALSE))</f>
        <v>-8.5025211701489981E-2</v>
      </c>
    </row>
    <row r="6" spans="2:22">
      <c r="B6" s="263" t="str">
        <f>Baseline!B8</f>
        <v>121140 - Opbreken Opsluitband</v>
      </c>
      <c r="C6" s="264" t="str">
        <f>Baseline!F8</f>
        <v>Opsluitband 100x200</v>
      </c>
      <c r="D6" s="265">
        <f>(IF(Baseline!C8="Nieuwe Situatie",(_xlfn.IFNA(VLOOKUP(Referentie_MKI_Totaal[[#This Row],[Product]]&amp;", "&amp;Referentie_MKI_Totaal[[#Headers],[A1]],Database_Productkaarten[#All],14,FALSE),0)*Baseline!I8),0))</f>
        <v>0</v>
      </c>
      <c r="E6" s="265">
        <f>(IF(Baseline!C8="Nieuwe Situatie",(_xlfn.IFNA(VLOOKUP(Referentie_MKI_Totaal[[#This Row],[Product]]&amp;", "&amp;Referentie_MKI_Totaal[[#Headers],[A2]],Database_Productkaarten[#All],14,FALSE),0)*Baseline!I8),0))</f>
        <v>0</v>
      </c>
      <c r="F6" s="265">
        <f>(IF(Baseline!C8="Nieuwe Situatie",(_xlfn.IFNA(VLOOKUP(Referentie_MKI_Totaal[[#This Row],[Product]]&amp;", "&amp;Referentie_MKI_Totaal[[#Headers],[A3]],Database_Productkaarten[#All],14,FALSE),0)*Baseline!I8),0))</f>
        <v>0</v>
      </c>
      <c r="G6" s="265">
        <f>(IF(Baseline!C8="Nieuwe Situatie",(_xlfn.IFNA(VLOOKUP(Referentie_MKI_Totaal[[#This Row],[Product]]&amp;", "&amp;Referentie_MKI_Totaal[[#Headers],[A1-A3]],Database_Productkaarten[#All],14,FALSE),0)*Baseline!I8),0))</f>
        <v>0</v>
      </c>
      <c r="H6" s="265">
        <f>IF(Baseline!T8=0,(IF(Baseline!C8="Nieuwe Situatie",(_xlfn.IFNA(VLOOKUP(Referentie_MKI_Totaal[[#This Row],[Product]]&amp;", "&amp;Referentie_MKI_Totaal[[#Headers],[A4]],Database_Productkaarten[#All],14,FALSE),0)*Baseline!Q8),0)),(IF(Baseline!C8="Nieuwe Situatie",_xlfn.IFNA(VLOOKUP(Baseline!T8,Database_Transport[#All],7,FALSE)*(Baseline!Q8*Baseline!S8),0))))</f>
        <v>0</v>
      </c>
      <c r="I6" s="265">
        <f>IF(Baseline!C8="Nieuwe situatie",IF(_xlfn.IFNA((VLOOKUP(Baseline!U8,Database_Asfalt_Aanlegset[#All],7,FALSE)*Baseline!I8),0)+_xlfn.IFNA(VLOOKUP(Baseline!V8,Database_Brandstoffen[#All],7,FALSE)*((Baseline!I8/Baseline!X8)*Baseline!W8),0)&gt;0,_xlfn.IFNA((VLOOKUP(Baseline!U8,Database_Asfalt_Aanlegset[#All],7,FALSE)*Baseline!I8),0)+_xlfn.IFNA(VLOOKUP(Baseline!V8,Database_Brandstoffen[#All],7,FALSE)*((Baseline!I8/Baseline!X8)*Baseline!W8),0),(_xlfn.IFNA(VLOOKUP(Referentie_MKI_Totaal[[#This Row],[Product]]&amp;", "&amp;Referentie_MKI_Totaal[[#Headers],[A5]],Database_Productkaarten[#All],14,FALSE),0)*Baseline!I8)),0)</f>
        <v>0</v>
      </c>
      <c r="J6" s="265"/>
      <c r="K6" s="265">
        <f>(IF(Baseline!C8="Nieuwe Situatie",(SUM(Referentie_MKI_Totaal[[#This Row],[A1]:[B1]],Referentie_MKI_Totaal[[#This Row],[C1]:[D2]])*Baseline!R8),0))</f>
        <v>0</v>
      </c>
      <c r="L6" s="265">
        <f>IF(Baseline!C8="Bestaande situatie",IF(_xlfn.IFNA((VLOOKUP(Baseline!Y8,Database_Asfalt_Verwijderset[#All],7,FALSE)*Baseline!I8),0)+_xlfn.IFNA(VLOOKUP(Baseline!Z8,Database_Brandstoffen[#All],7,FALSE)*((Baseline!I8/Baseline!AB8)*Baseline!AA8),0)&gt;0,_xlfn.IFNA((VLOOKUP(Baseline!Y8,Database_Asfalt_Verwijderset[#All],7,FALSE)*Baseline!I8),0)+_xlfn.IFNA(VLOOKUP(Baseline!Z8,Database_Brandstoffen[#All],7,FALSE)*((Baseline!I8/Baseline!AB8)*Baseline!AA8),0),(_xlfn.IFNA(VLOOKUP(Referentie_MKI_Totaal[[#This Row],[Product]]&amp;", "&amp;Referentie_MKI_Totaal[[#Headers],[C1]],Database_Productkaarten[#All],14,FALSE),0)*Baseline!I8)),0)</f>
        <v>135.58282660724234</v>
      </c>
      <c r="M6" s="265">
        <f>IF(Baseline!AD8=0,(IF(Baseline!C8="Bestaande Situatie",(_xlfn.IFNA(VLOOKUP(Referentie_MKI_Totaal[[#This Row],[Product]]&amp;", "&amp;Referentie_MKI_Totaal[[#Headers],[C2]],Database_Productkaarten[#All],14,FALSE),0)*Baseline!I8),0)),(IF(Baseline!C8="Bestaande Situatie",_xlfn.IFNA(VLOOKUP(Baseline!AD8,Database_Transport[#All],7,FALSE)*(Baseline!Q8*Baseline!AC8),0))))</f>
        <v>9.0765636161199996</v>
      </c>
      <c r="N6" s="265">
        <f>(IF(Baseline!C8="Bestaande Situatie",(_xlfn.IFNA(VLOOKUP(Referentie_MKI_Totaal[[#This Row],[Product]]&amp;", "&amp;Referentie_MKI_Totaal[[#Headers],[C3]],Database_Productkaarten[#All],14,FALSE),0)*Baseline!I8),0))</f>
        <v>8.7347999999999999</v>
      </c>
      <c r="O6" s="265">
        <f>(IF(Baseline!C8="Bestaande Situatie",(_xlfn.IFNA(VLOOKUP(Referentie_MKI_Totaal[[#This Row],[Product]]&amp;", "&amp;Referentie_MKI_Totaal[[#Headers],[C4]],Database_Productkaarten[#All],14,FALSE),0)*Baseline!I8),0))</f>
        <v>0.38279999999999997</v>
      </c>
      <c r="P6" s="265">
        <f>(IF(Baseline!C8="Bestaande Situatie",(_xlfn.IFNA(VLOOKUP(Referentie_MKI_Totaal[[#This Row],[Product]]&amp;", "&amp;Referentie_MKI_Totaal[[#Headers],[D1]],Database_Productkaarten[#All],14,FALSE),0)*Baseline!I8),0))</f>
        <v>0</v>
      </c>
      <c r="Q6" s="265">
        <f>(IF(Baseline!C8="Bestaande Situatie",_xlfn.IFNA(VLOOKUP(Referentie_MKI_Totaal[[#This Row],[Product]]&amp;", "&amp;Referentie_MKI_Totaal[[#Headers],[D2]],Database_Productkaarten[#All],14,FALSE),0)*Baseline!I8,0))</f>
        <v>0</v>
      </c>
      <c r="R6" s="265">
        <f>(IF(Baseline!C8="Bestaande Situatie",(_xlfn.IFNA(VLOOKUP(Referentie_MKI_Totaal[[#This Row],[Product]]&amp;", "&amp;Referentie_MKI_Totaal[[#Headers],[D]],Database_Productkaarten[#All],14,FALSE),0)*Baseline!I8),0))</f>
        <v>-27.387599999999999</v>
      </c>
      <c r="S6" s="266">
        <f>SUM(Referentie_MKI_Totaal[[#This Row],[A1-A3]:[C4]])+Referentie_MKI_Totaal[[#This Row],[D]]</f>
        <v>126.38939022336237</v>
      </c>
      <c r="V6" s="331">
        <f>SUM(Referentie_MKI_Totaal[[#This Row],[A1-A3]]+Referentie_MKI_Totaal[[#This Row],[A4]]+Referentie_MKI_Totaal[[#This Row],[C2]]+Referentie_MKI_Totaal[[#This Row],[C3]]+Referentie_MKI_Totaal[[#This Row],[C4]]+Referentie_MKI_Totaal[[#This Row],[D]])*(VLOOKUP(Referentie_MKI_Totaal[[#This Row],[Product]]&amp;", "&amp;Referentie_MKI_Totaal[[#Headers],[A5]],Database_Productkaarten[#All],66,FALSE))</f>
        <v>-0.27580309151640003</v>
      </c>
    </row>
    <row r="7" spans="2:22">
      <c r="B7" s="263" t="str">
        <f>Baseline!B9</f>
        <v>121310 - Opbreken betonstraatstenen</v>
      </c>
      <c r="C7" s="264" t="str">
        <f>Baseline!F9</f>
        <v>Betonstraatsteen 210x105x80</v>
      </c>
      <c r="D7" s="265">
        <f>(IF(Baseline!C9="Nieuwe Situatie",(_xlfn.IFNA(VLOOKUP(Referentie_MKI_Totaal[[#This Row],[Product]]&amp;", "&amp;Referentie_MKI_Totaal[[#Headers],[A1]],Database_Productkaarten[#All],14,FALSE),0)*Baseline!I9),0))</f>
        <v>0</v>
      </c>
      <c r="E7" s="265">
        <f>(IF(Baseline!C9="Nieuwe Situatie",(_xlfn.IFNA(VLOOKUP(Referentie_MKI_Totaal[[#This Row],[Product]]&amp;", "&amp;Referentie_MKI_Totaal[[#Headers],[A2]],Database_Productkaarten[#All],14,FALSE),0)*Baseline!I9),0))</f>
        <v>0</v>
      </c>
      <c r="F7" s="265">
        <f>(IF(Baseline!C9="Nieuwe Situatie",(_xlfn.IFNA(VLOOKUP(Referentie_MKI_Totaal[[#This Row],[Product]]&amp;", "&amp;Referentie_MKI_Totaal[[#Headers],[A3]],Database_Productkaarten[#All],14,FALSE),0)*Baseline!I9),0))</f>
        <v>0</v>
      </c>
      <c r="G7" s="265">
        <f>(IF(Baseline!C9="Nieuwe Situatie",(_xlfn.IFNA(VLOOKUP(Referentie_MKI_Totaal[[#This Row],[Product]]&amp;", "&amp;Referentie_MKI_Totaal[[#Headers],[A1-A3]],Database_Productkaarten[#All],14,FALSE),0)*Baseline!I9),0))</f>
        <v>0</v>
      </c>
      <c r="H7" s="265">
        <f>IF(Baseline!T9=0,(IF(Baseline!C9="Nieuwe Situatie",(_xlfn.IFNA(VLOOKUP(Referentie_MKI_Totaal[[#This Row],[Product]]&amp;", "&amp;Referentie_MKI_Totaal[[#Headers],[A4]],Database_Productkaarten[#All],14,FALSE),0)*Baseline!Q9),0)),(IF(Baseline!C9="Nieuwe Situatie",_xlfn.IFNA(VLOOKUP(Baseline!T9,Database_Transport[#All],7,FALSE)*(Baseline!Q9*Baseline!S9),0))))</f>
        <v>0</v>
      </c>
      <c r="I7" s="265">
        <f>IF(Baseline!C9="Nieuwe situatie",IF(_xlfn.IFNA((VLOOKUP(Baseline!U9,Database_Asfalt_Aanlegset[#All],7,FALSE)*Baseline!I9),0)+_xlfn.IFNA(VLOOKUP(Baseline!V9,Database_Brandstoffen[#All],7,FALSE)*((Baseline!I9/Baseline!X9)*Baseline!W9),0)&gt;0,_xlfn.IFNA((VLOOKUP(Baseline!U9,Database_Asfalt_Aanlegset[#All],7,FALSE)*Baseline!I9),0)+_xlfn.IFNA(VLOOKUP(Baseline!V9,Database_Brandstoffen[#All],7,FALSE)*((Baseline!I9/Baseline!X9)*Baseline!W9),0),(_xlfn.IFNA(VLOOKUP(Referentie_MKI_Totaal[[#This Row],[Product]]&amp;", "&amp;Referentie_MKI_Totaal[[#Headers],[A5]],Database_Productkaarten[#All],14,FALSE),0)*Baseline!I9)),0)</f>
        <v>0</v>
      </c>
      <c r="J7" s="265"/>
      <c r="K7" s="265">
        <f>(IF(Baseline!C9="Nieuwe Situatie",(SUM(Referentie_MKI_Totaal[[#This Row],[A1]:[B1]],Referentie_MKI_Totaal[[#This Row],[C1]:[D2]])*Baseline!R9),0))</f>
        <v>0</v>
      </c>
      <c r="L7" s="265">
        <f>IF(Baseline!C9="Bestaande situatie",IF(_xlfn.IFNA((VLOOKUP(Baseline!Y9,Database_Asfalt_Verwijderset[#All],7,FALSE)*Baseline!I9),0)+_xlfn.IFNA(VLOOKUP(Baseline!Z9,Database_Brandstoffen[#All],7,FALSE)*((Baseline!I9/Baseline!AB9)*Baseline!AA9),0)&gt;0,_xlfn.IFNA((VLOOKUP(Baseline!Y9,Database_Asfalt_Verwijderset[#All],7,FALSE)*Baseline!I9),0)+_xlfn.IFNA(VLOOKUP(Baseline!Z9,Database_Brandstoffen[#All],7,FALSE)*((Baseline!I9/Baseline!AB9)*Baseline!AA9),0),(_xlfn.IFNA(VLOOKUP(Referentie_MKI_Totaal[[#This Row],[Product]]&amp;", "&amp;Referentie_MKI_Totaal[[#Headers],[C1]],Database_Productkaarten[#All],14,FALSE),0)*Baseline!I9)),0)</f>
        <v>187.01079532033427</v>
      </c>
      <c r="M7" s="265">
        <f>IF(Baseline!AD9=0,(IF(Baseline!C9="Bestaande Situatie",(_xlfn.IFNA(VLOOKUP(Referentie_MKI_Totaal[[#This Row],[Product]]&amp;", "&amp;Referentie_MKI_Totaal[[#Headers],[C2]],Database_Productkaarten[#All],14,FALSE),0)*Baseline!I9),0)),(IF(Baseline!C9="Bestaande Situatie",_xlfn.IFNA(VLOOKUP(Baseline!AD9,Database_Transport[#All],7,FALSE)*(Baseline!Q9*Baseline!AC9),0))))</f>
        <v>49.417228509440008</v>
      </c>
      <c r="N7" s="265">
        <f>(IF(Baseline!C9="Bestaande Situatie",(_xlfn.IFNA(VLOOKUP(Referentie_MKI_Totaal[[#This Row],[Product]]&amp;", "&amp;Referentie_MKI_Totaal[[#Headers],[C3]],Database_Productkaarten[#All],14,FALSE),0)*Baseline!I9),0))</f>
        <v>46.0932624</v>
      </c>
      <c r="O7" s="265">
        <f>(IF(Baseline!C9="Bestaande Situatie",(_xlfn.IFNA(VLOOKUP(Referentie_MKI_Totaal[[#This Row],[Product]]&amp;", "&amp;Referentie_MKI_Totaal[[#Headers],[C4]],Database_Productkaarten[#All],14,FALSE),0)*Baseline!I9),0))</f>
        <v>2.1021425599999999</v>
      </c>
      <c r="P7" s="265">
        <f>(IF(Baseline!C9="Bestaande Situatie",(_xlfn.IFNA(VLOOKUP(Referentie_MKI_Totaal[[#This Row],[Product]]&amp;", "&amp;Referentie_MKI_Totaal[[#Headers],[D1]],Database_Productkaarten[#All],14,FALSE),0)*Baseline!I9),0))</f>
        <v>0</v>
      </c>
      <c r="Q7" s="265">
        <f>(IF(Baseline!C9="Bestaande Situatie",_xlfn.IFNA(VLOOKUP(Referentie_MKI_Totaal[[#This Row],[Product]]&amp;", "&amp;Referentie_MKI_Totaal[[#Headers],[D2]],Database_Productkaarten[#All],14,FALSE),0)*Baseline!I9,0))</f>
        <v>0</v>
      </c>
      <c r="R7" s="265">
        <f>(IF(Baseline!C9="Bestaande Situatie",(_xlfn.IFNA(VLOOKUP(Referentie_MKI_Totaal[[#This Row],[Product]]&amp;", "&amp;Referentie_MKI_Totaal[[#Headers],[D]],Database_Productkaarten[#All],14,FALSE),0)*Baseline!I9),0))</f>
        <v>-151.14076800000001</v>
      </c>
      <c r="S7" s="266">
        <f>SUM(Referentie_MKI_Totaal[[#This Row],[A1-A3]:[C4]])+Referentie_MKI_Totaal[[#This Row],[D]]</f>
        <v>133.48266078977426</v>
      </c>
      <c r="V7" s="331">
        <f>SUM(Referentie_MKI_Totaal[[#This Row],[A1-A3]]+Referentie_MKI_Totaal[[#This Row],[A4]]+Referentie_MKI_Totaal[[#This Row],[C2]]+Referentie_MKI_Totaal[[#This Row],[C3]]+Referentie_MKI_Totaal[[#This Row],[C4]]+Referentie_MKI_Totaal[[#This Row],[D]])*(VLOOKUP(Referentie_MKI_Totaal[[#This Row],[Product]]&amp;", "&amp;Referentie_MKI_Totaal[[#Headers],[A5]],Database_Productkaarten[#All],66,FALSE))</f>
        <v>-1.6058440359167998</v>
      </c>
    </row>
    <row r="8" spans="2:22">
      <c r="B8" s="263" t="str">
        <f>Baseline!B10</f>
        <v>121320 - Opbreken straatbakstenen en geschikt maken voor hergebruik</v>
      </c>
      <c r="C8" s="264" t="str">
        <f>Baseline!F10</f>
        <v>Gebakken klinker keiformaat</v>
      </c>
      <c r="D8" s="265">
        <f>(IF(Baseline!C10="Nieuwe Situatie",(_xlfn.IFNA(VLOOKUP(Referentie_MKI_Totaal[[#This Row],[Product]]&amp;", "&amp;Referentie_MKI_Totaal[[#Headers],[A1]],Database_Productkaarten[#All],14,FALSE),0)*Baseline!I10),0))</f>
        <v>0</v>
      </c>
      <c r="E8" s="265">
        <f>(IF(Baseline!C10="Nieuwe Situatie",(_xlfn.IFNA(VLOOKUP(Referentie_MKI_Totaal[[#This Row],[Product]]&amp;", "&amp;Referentie_MKI_Totaal[[#Headers],[A2]],Database_Productkaarten[#All],14,FALSE),0)*Baseline!I10),0))</f>
        <v>0</v>
      </c>
      <c r="F8" s="265">
        <f>(IF(Baseline!C10="Nieuwe Situatie",(_xlfn.IFNA(VLOOKUP(Referentie_MKI_Totaal[[#This Row],[Product]]&amp;", "&amp;Referentie_MKI_Totaal[[#Headers],[A3]],Database_Productkaarten[#All],14,FALSE),0)*Baseline!I10),0))</f>
        <v>0</v>
      </c>
      <c r="G8" s="265">
        <f>(IF(Baseline!C10="Nieuwe Situatie",(_xlfn.IFNA(VLOOKUP(Referentie_MKI_Totaal[[#This Row],[Product]]&amp;", "&amp;Referentie_MKI_Totaal[[#Headers],[A1-A3]],Database_Productkaarten[#All],14,FALSE),0)*Baseline!I10),0))</f>
        <v>0</v>
      </c>
      <c r="H8" s="265">
        <f>IF(Baseline!T10=0,(IF(Baseline!C10="Nieuwe Situatie",(_xlfn.IFNA(VLOOKUP(Referentie_MKI_Totaal[[#This Row],[Product]]&amp;", "&amp;Referentie_MKI_Totaal[[#Headers],[A4]],Database_Productkaarten[#All],14,FALSE),0)*Baseline!Q10),0)),(IF(Baseline!C10="Nieuwe Situatie",_xlfn.IFNA(VLOOKUP(Baseline!T10,Database_Transport[#All],7,FALSE)*(Baseline!Q10*Baseline!S10),0))))</f>
        <v>0</v>
      </c>
      <c r="I8" s="265">
        <f>IF(Baseline!C10="Nieuwe situatie",IF(_xlfn.IFNA((VLOOKUP(Baseline!U10,Database_Asfalt_Aanlegset[#All],7,FALSE)*Baseline!I10),0)+_xlfn.IFNA(VLOOKUP(Baseline!V10,Database_Brandstoffen[#All],7,FALSE)*((Baseline!I10/Baseline!X10)*Baseline!W10),0)&gt;0,_xlfn.IFNA((VLOOKUP(Baseline!U10,Database_Asfalt_Aanlegset[#All],7,FALSE)*Baseline!I10),0)+_xlfn.IFNA(VLOOKUP(Baseline!V10,Database_Brandstoffen[#All],7,FALSE)*((Baseline!I10/Baseline!X10)*Baseline!W10),0),(_xlfn.IFNA(VLOOKUP(Referentie_MKI_Totaal[[#This Row],[Product]]&amp;", "&amp;Referentie_MKI_Totaal[[#Headers],[A5]],Database_Productkaarten[#All],14,FALSE),0)*Baseline!I10)),0)</f>
        <v>0</v>
      </c>
      <c r="J8" s="265"/>
      <c r="K8" s="265">
        <f>(IF(Baseline!C10="Nieuwe Situatie",(SUM(Referentie_MKI_Totaal[[#This Row],[A1]:[B1]],Referentie_MKI_Totaal[[#This Row],[C1]:[D2]])*Baseline!R10),0))</f>
        <v>0</v>
      </c>
      <c r="L8" s="265">
        <f>IF(Baseline!C10="Bestaande situatie",IF(_xlfn.IFNA((VLOOKUP(Baseline!Y10,Database_Asfalt_Verwijderset[#All],7,FALSE)*Baseline!I10),0)+_xlfn.IFNA(VLOOKUP(Baseline!Z10,Database_Brandstoffen[#All],7,FALSE)*((Baseline!I10/Baseline!AB10)*Baseline!AA10),0)&gt;0,_xlfn.IFNA((VLOOKUP(Baseline!Y10,Database_Asfalt_Verwijderset[#All],7,FALSE)*Baseline!I10),0)+_xlfn.IFNA(VLOOKUP(Baseline!Z10,Database_Brandstoffen[#All],7,FALSE)*((Baseline!I10/Baseline!AB10)*Baseline!AA10),0),(_xlfn.IFNA(VLOOKUP(Referentie_MKI_Totaal[[#This Row],[Product]]&amp;", "&amp;Referentie_MKI_Totaal[[#Headers],[C1]],Database_Productkaarten[#All],14,FALSE),0)*Baseline!I10)),0)</f>
        <v>530.70555720000004</v>
      </c>
      <c r="M8" s="265">
        <f>IF(Baseline!AD10=0,(IF(Baseline!C10="Bestaande Situatie",(_xlfn.IFNA(VLOOKUP(Referentie_MKI_Totaal[[#This Row],[Product]]&amp;", "&amp;Referentie_MKI_Totaal[[#Headers],[C2]],Database_Productkaarten[#All],14,FALSE),0)*Baseline!I10),0)),(IF(Baseline!C10="Bestaande Situatie",_xlfn.IFNA(VLOOKUP(Baseline!AD10,Database_Transport[#All],7,FALSE)*(Baseline!Q10*Baseline!AC10),0))))</f>
        <v>208.94755035385003</v>
      </c>
      <c r="N8" s="265">
        <f>(IF(Baseline!C10="Bestaande Situatie",(_xlfn.IFNA(VLOOKUP(Referentie_MKI_Totaal[[#This Row],[Product]]&amp;", "&amp;Referentie_MKI_Totaal[[#Headers],[C3]],Database_Productkaarten[#All],14,FALSE),0)*Baseline!I10),0))</f>
        <v>191.065</v>
      </c>
      <c r="O8" s="265">
        <f>(IF(Baseline!C10="Bestaande Situatie",(_xlfn.IFNA(VLOOKUP(Referentie_MKI_Totaal[[#This Row],[Product]]&amp;", "&amp;Referentie_MKI_Totaal[[#Headers],[C4]],Database_Productkaarten[#All],14,FALSE),0)*Baseline!I10),0))</f>
        <v>0.50085000000000002</v>
      </c>
      <c r="P8" s="265">
        <f>(IF(Baseline!C10="Bestaande Situatie",(_xlfn.IFNA(VLOOKUP(Referentie_MKI_Totaal[[#This Row],[Product]]&amp;", "&amp;Referentie_MKI_Totaal[[#Headers],[D1]],Database_Productkaarten[#All],14,FALSE),0)*Baseline!I10),0))</f>
        <v>-20479.2</v>
      </c>
      <c r="Q8" s="265">
        <f>(IF(Baseline!C10="Bestaande Situatie",_xlfn.IFNA(VLOOKUP(Referentie_MKI_Totaal[[#This Row],[Product]]&amp;", "&amp;Referentie_MKI_Totaal[[#Headers],[D2]],Database_Productkaarten[#All],14,FALSE),0)*Baseline!I10,0))</f>
        <v>0</v>
      </c>
      <c r="R8" s="265">
        <f>(IF(Baseline!C10="Bestaande Situatie",(_xlfn.IFNA(VLOOKUP(Referentie_MKI_Totaal[[#This Row],[Product]]&amp;", "&amp;Referentie_MKI_Totaal[[#Headers],[D]],Database_Productkaarten[#All],14,FALSE),0)*Baseline!I10),0))</f>
        <v>-20479.2</v>
      </c>
      <c r="S8" s="266">
        <f>SUM(Referentie_MKI_Totaal[[#This Row],[A1-A3]:[C4]])+Referentie_MKI_Totaal[[#This Row],[D]]</f>
        <v>-19547.98104244615</v>
      </c>
      <c r="V8" s="331">
        <f>SUM(Referentie_MKI_Totaal[[#This Row],[A1-A3]]+Referentie_MKI_Totaal[[#This Row],[A4]]+Referentie_MKI_Totaal[[#This Row],[C2]]+Referentie_MKI_Totaal[[#This Row],[C3]]+Referentie_MKI_Totaal[[#This Row],[C4]]+Referentie_MKI_Totaal[[#This Row],[D]])*(VLOOKUP(Referentie_MKI_Totaal[[#This Row],[Product]]&amp;", "&amp;Referentie_MKI_Totaal[[#Headers],[A5]],Database_Productkaarten[#All],66,FALSE))</f>
        <v>-602.36059798938447</v>
      </c>
    </row>
    <row r="9" spans="2:22">
      <c r="B9" s="263" t="str">
        <f>Baseline!B11</f>
        <v>121330 - Opbreken en afvoeren straatbakstenen</v>
      </c>
      <c r="C9" s="264" t="str">
        <f>Baseline!F11</f>
        <v>Gebakken klinker keiformaat (hergebruik)</v>
      </c>
      <c r="D9" s="265">
        <f>(IF(Baseline!C11="Nieuwe Situatie",(_xlfn.IFNA(VLOOKUP(Referentie_MKI_Totaal[[#This Row],[Product]]&amp;", "&amp;Referentie_MKI_Totaal[[#Headers],[A1]],Database_Productkaarten[#All],14,FALSE),0)*Baseline!I11),0))</f>
        <v>0</v>
      </c>
      <c r="E9" s="265">
        <f>(IF(Baseline!C11="Nieuwe Situatie",(_xlfn.IFNA(VLOOKUP(Referentie_MKI_Totaal[[#This Row],[Product]]&amp;", "&amp;Referentie_MKI_Totaal[[#Headers],[A2]],Database_Productkaarten[#All],14,FALSE),0)*Baseline!I11),0))</f>
        <v>0</v>
      </c>
      <c r="F9" s="265">
        <f>(IF(Baseline!C11="Nieuwe Situatie",(_xlfn.IFNA(VLOOKUP(Referentie_MKI_Totaal[[#This Row],[Product]]&amp;", "&amp;Referentie_MKI_Totaal[[#Headers],[A3]],Database_Productkaarten[#All],14,FALSE),0)*Baseline!I11),0))</f>
        <v>0</v>
      </c>
      <c r="G9" s="265">
        <f>(IF(Baseline!C11="Nieuwe Situatie",(_xlfn.IFNA(VLOOKUP(Referentie_MKI_Totaal[[#This Row],[Product]]&amp;", "&amp;Referentie_MKI_Totaal[[#Headers],[A1-A3]],Database_Productkaarten[#All],14,FALSE),0)*Baseline!I11),0))</f>
        <v>0</v>
      </c>
      <c r="H9" s="265">
        <f>IF(Baseline!T11=0,(IF(Baseline!C11="Nieuwe Situatie",(_xlfn.IFNA(VLOOKUP(Referentie_MKI_Totaal[[#This Row],[Product]]&amp;", "&amp;Referentie_MKI_Totaal[[#Headers],[A4]],Database_Productkaarten[#All],14,FALSE),0)*Baseline!Q11),0)),(IF(Baseline!C11="Nieuwe Situatie",_xlfn.IFNA(VLOOKUP(Baseline!T11,Database_Transport[#All],7,FALSE)*(Baseline!Q11*Baseline!S11),0))))</f>
        <v>0</v>
      </c>
      <c r="I9" s="265">
        <f>IF(Baseline!C11="Nieuwe situatie",IF(_xlfn.IFNA((VLOOKUP(Baseline!U11,Database_Asfalt_Aanlegset[#All],7,FALSE)*Baseline!I11),0)+_xlfn.IFNA(VLOOKUP(Baseline!V11,Database_Brandstoffen[#All],7,FALSE)*((Baseline!I11/Baseline!X11)*Baseline!W11),0)&gt;0,_xlfn.IFNA((VLOOKUP(Baseline!U11,Database_Asfalt_Aanlegset[#All],7,FALSE)*Baseline!I11),0)+_xlfn.IFNA(VLOOKUP(Baseline!V11,Database_Brandstoffen[#All],7,FALSE)*((Baseline!I11/Baseline!X11)*Baseline!W11),0),(_xlfn.IFNA(VLOOKUP(Referentie_MKI_Totaal[[#This Row],[Product]]&amp;", "&amp;Referentie_MKI_Totaal[[#Headers],[A5]],Database_Productkaarten[#All],14,FALSE),0)*Baseline!I11)),0)</f>
        <v>0</v>
      </c>
      <c r="J9" s="265"/>
      <c r="K9" s="265">
        <f>(IF(Baseline!C11="Nieuwe Situatie",(SUM(Referentie_MKI_Totaal[[#This Row],[A1]:[B1]],Referentie_MKI_Totaal[[#This Row],[C1]:[D2]])*Baseline!R11),0))</f>
        <v>0</v>
      </c>
      <c r="L9" s="265">
        <f>IF(Baseline!C11="Bestaande situatie",IF(_xlfn.IFNA((VLOOKUP(Baseline!Y11,Database_Asfalt_Verwijderset[#All],7,FALSE)*Baseline!I11),0)+_xlfn.IFNA(VLOOKUP(Baseline!Z11,Database_Brandstoffen[#All],7,FALSE)*((Baseline!I11/Baseline!AB11)*Baseline!AA11),0)&gt;0,_xlfn.IFNA((VLOOKUP(Baseline!Y11,Database_Asfalt_Verwijderset[#All],7,FALSE)*Baseline!I11),0)+_xlfn.IFNA(VLOOKUP(Baseline!Z11,Database_Brandstoffen[#All],7,FALSE)*((Baseline!I11/Baseline!AB11)*Baseline!AA11),0),(_xlfn.IFNA(VLOOKUP(Referentie_MKI_Totaal[[#This Row],[Product]]&amp;", "&amp;Referentie_MKI_Totaal[[#Headers],[C1]],Database_Productkaarten[#All],14,FALSE),0)*Baseline!I11)),0)</f>
        <v>270.07334015999999</v>
      </c>
      <c r="M9" s="265">
        <f>IF(Baseline!AD11=0,(IF(Baseline!C11="Bestaande Situatie",(_xlfn.IFNA(VLOOKUP(Referentie_MKI_Totaal[[#This Row],[Product]]&amp;", "&amp;Referentie_MKI_Totaal[[#Headers],[C2]],Database_Productkaarten[#All],14,FALSE),0)*Baseline!I11),0)),(IF(Baseline!C11="Bestaande Situatie",_xlfn.IFNA(VLOOKUP(Baseline!AD11,Database_Transport[#All],7,FALSE)*(Baseline!Q11*Baseline!AC11),0))))</f>
        <v>106.33233829328002</v>
      </c>
      <c r="N9" s="265">
        <f>(IF(Baseline!C11="Bestaande Situatie",(_xlfn.IFNA(VLOOKUP(Referentie_MKI_Totaal[[#This Row],[Product]]&amp;", "&amp;Referentie_MKI_Totaal[[#Headers],[C3]],Database_Productkaarten[#All],14,FALSE),0)*Baseline!I11),0))</f>
        <v>97.231999999999999</v>
      </c>
      <c r="O9" s="265">
        <f>(IF(Baseline!C11="Bestaande Situatie",(_xlfn.IFNA(VLOOKUP(Referentie_MKI_Totaal[[#This Row],[Product]]&amp;", "&amp;Referentie_MKI_Totaal[[#Headers],[C4]],Database_Productkaarten[#All],14,FALSE),0)*Baseline!I11),0))</f>
        <v>0.25488</v>
      </c>
      <c r="P9" s="265">
        <f>(IF(Baseline!C11="Bestaande Situatie",(_xlfn.IFNA(VLOOKUP(Referentie_MKI_Totaal[[#This Row],[Product]]&amp;", "&amp;Referentie_MKI_Totaal[[#Headers],[D1]],Database_Productkaarten[#All],14,FALSE),0)*Baseline!I11),0))</f>
        <v>0</v>
      </c>
      <c r="Q9" s="265">
        <f>(IF(Baseline!C11="Bestaande Situatie",_xlfn.IFNA(VLOOKUP(Referentie_MKI_Totaal[[#This Row],[Product]]&amp;", "&amp;Referentie_MKI_Totaal[[#Headers],[D2]],Database_Productkaarten[#All],14,FALSE),0)*Baseline!I11,0))</f>
        <v>0</v>
      </c>
      <c r="R9" s="265">
        <f>(IF(Baseline!C11="Bestaande Situatie",(_xlfn.IFNA(VLOOKUP(Referentie_MKI_Totaal[[#This Row],[Product]]&amp;", "&amp;Referentie_MKI_Totaal[[#Headers],[D]],Database_Productkaarten[#All],14,FALSE),0)*Baseline!I11),0))</f>
        <v>1105.3296</v>
      </c>
      <c r="S9" s="266">
        <f>SUM(Referentie_MKI_Totaal[[#This Row],[A1-A3]:[C4]])+Referentie_MKI_Totaal[[#This Row],[D]]</f>
        <v>1579.2221584532801</v>
      </c>
      <c r="V9" s="331">
        <f>SUM(Referentie_MKI_Totaal[[#This Row],[A1-A3]]+Referentie_MKI_Totaal[[#This Row],[A4]]+Referentie_MKI_Totaal[[#This Row],[C2]]+Referentie_MKI_Totaal[[#This Row],[C3]]+Referentie_MKI_Totaal[[#This Row],[C4]]+Referentie_MKI_Totaal[[#This Row],[D]])*(VLOOKUP(Referentie_MKI_Totaal[[#This Row],[Product]]&amp;", "&amp;Referentie_MKI_Totaal[[#Headers],[A5]],Database_Productkaarten[#All],66,FALSE))</f>
        <v>39.274464548798399</v>
      </c>
    </row>
    <row r="10" spans="2:22">
      <c r="B10" s="263" t="str">
        <f>Baseline!B12</f>
        <v>121340 - Opbreken betontegels 300x300x45mm</v>
      </c>
      <c r="C10" s="264" t="str">
        <f>Baseline!F12</f>
        <v>Betontegel 300x300x45</v>
      </c>
      <c r="D10" s="265">
        <f>(IF(Baseline!C12="Nieuwe Situatie",(_xlfn.IFNA(VLOOKUP(Referentie_MKI_Totaal[[#This Row],[Product]]&amp;", "&amp;Referentie_MKI_Totaal[[#Headers],[A1]],Database_Productkaarten[#All],14,FALSE),0)*Baseline!I12),0))</f>
        <v>0</v>
      </c>
      <c r="E10" s="265">
        <f>(IF(Baseline!C12="Nieuwe Situatie",(_xlfn.IFNA(VLOOKUP(Referentie_MKI_Totaal[[#This Row],[Product]]&amp;", "&amp;Referentie_MKI_Totaal[[#Headers],[A2]],Database_Productkaarten[#All],14,FALSE),0)*Baseline!I12),0))</f>
        <v>0</v>
      </c>
      <c r="F10" s="265">
        <f>(IF(Baseline!C12="Nieuwe Situatie",(_xlfn.IFNA(VLOOKUP(Referentie_MKI_Totaal[[#This Row],[Product]]&amp;", "&amp;Referentie_MKI_Totaal[[#Headers],[A3]],Database_Productkaarten[#All],14,FALSE),0)*Baseline!I12),0))</f>
        <v>0</v>
      </c>
      <c r="G10" s="265">
        <f>(IF(Baseline!C12="Nieuwe Situatie",(_xlfn.IFNA(VLOOKUP(Referentie_MKI_Totaal[[#This Row],[Product]]&amp;", "&amp;Referentie_MKI_Totaal[[#Headers],[A1-A3]],Database_Productkaarten[#All],14,FALSE),0)*Baseline!I12),0))</f>
        <v>0</v>
      </c>
      <c r="H10" s="265">
        <f>IF(Baseline!T12=0,(IF(Baseline!C12="Nieuwe Situatie",(_xlfn.IFNA(VLOOKUP(Referentie_MKI_Totaal[[#This Row],[Product]]&amp;", "&amp;Referentie_MKI_Totaal[[#Headers],[A4]],Database_Productkaarten[#All],14,FALSE),0)*Baseline!Q12),0)),(IF(Baseline!C12="Nieuwe Situatie",_xlfn.IFNA(VLOOKUP(Baseline!T12,Database_Transport[#All],7,FALSE)*(Baseline!Q12*Baseline!S12),0))))</f>
        <v>0</v>
      </c>
      <c r="I10" s="265">
        <f>IF(Baseline!C12="Nieuwe situatie",IF(_xlfn.IFNA((VLOOKUP(Baseline!U12,Database_Asfalt_Aanlegset[#All],7,FALSE)*Baseline!I12),0)+_xlfn.IFNA(VLOOKUP(Baseline!V12,Database_Brandstoffen[#All],7,FALSE)*((Baseline!I12/Baseline!X12)*Baseline!W12),0)&gt;0,_xlfn.IFNA((VLOOKUP(Baseline!U12,Database_Asfalt_Aanlegset[#All],7,FALSE)*Baseline!I12),0)+_xlfn.IFNA(VLOOKUP(Baseline!V12,Database_Brandstoffen[#All],7,FALSE)*((Baseline!I12/Baseline!X12)*Baseline!W12),0),(_xlfn.IFNA(VLOOKUP(Referentie_MKI_Totaal[[#This Row],[Product]]&amp;", "&amp;Referentie_MKI_Totaal[[#Headers],[A5]],Database_Productkaarten[#All],14,FALSE),0)*Baseline!I12)),0)</f>
        <v>0</v>
      </c>
      <c r="J10" s="265"/>
      <c r="K10" s="265">
        <f>(IF(Baseline!C12="Nieuwe Situatie",(SUM(Referentie_MKI_Totaal[[#This Row],[A1]:[B1]],Referentie_MKI_Totaal[[#This Row],[C1]:[D2]])*Baseline!R12),0))</f>
        <v>0</v>
      </c>
      <c r="L10" s="265">
        <f>IF(Baseline!C12="Bestaande situatie",IF(_xlfn.IFNA((VLOOKUP(Baseline!Y12,Database_Asfalt_Verwijderset[#All],7,FALSE)*Baseline!I12),0)+_xlfn.IFNA(VLOOKUP(Baseline!Z12,Database_Brandstoffen[#All],7,FALSE)*((Baseline!I12/Baseline!AB12)*Baseline!AA12),0)&gt;0,_xlfn.IFNA((VLOOKUP(Baseline!Y12,Database_Asfalt_Verwijderset[#All],7,FALSE)*Baseline!I12),0)+_xlfn.IFNA(VLOOKUP(Baseline!Z12,Database_Brandstoffen[#All],7,FALSE)*((Baseline!I12/Baseline!AB12)*Baseline!AA12),0),(_xlfn.IFNA(VLOOKUP(Referentie_MKI_Totaal[[#This Row],[Product]]&amp;", "&amp;Referentie_MKI_Totaal[[#Headers],[C1]],Database_Productkaarten[#All],14,FALSE),0)*Baseline!I12)),0)</f>
        <v>1170.5706969582175</v>
      </c>
      <c r="M10" s="265">
        <f>IF(Baseline!AD12=0,(IF(Baseline!C12="Bestaande Situatie",(_xlfn.IFNA(VLOOKUP(Referentie_MKI_Totaal[[#This Row],[Product]]&amp;", "&amp;Referentie_MKI_Totaal[[#Headers],[C2]],Database_Productkaarten[#All],14,FALSE),0)*Baseline!I12),0)),(IF(Baseline!C12="Bestaande Situatie",_xlfn.IFNA(VLOOKUP(Baseline!AD12,Database_Transport[#All],7,FALSE)*(Baseline!Q12*Baseline!AC12),0))))</f>
        <v>179.97795551939501</v>
      </c>
      <c r="N10" s="265">
        <f>(IF(Baseline!C12="Bestaande Situatie",(_xlfn.IFNA(VLOOKUP(Referentie_MKI_Totaal[[#This Row],[Product]]&amp;", "&amp;Referentie_MKI_Totaal[[#Headers],[C3]],Database_Productkaarten[#All],14,FALSE),0)*Baseline!I12),0))</f>
        <v>288.43200000000002</v>
      </c>
      <c r="O10" s="265">
        <f>(IF(Baseline!C12="Bestaande Situatie",(_xlfn.IFNA(VLOOKUP(Referentie_MKI_Totaal[[#This Row],[Product]]&amp;", "&amp;Referentie_MKI_Totaal[[#Headers],[C4]],Database_Productkaarten[#All],14,FALSE),0)*Baseline!I12),0))</f>
        <v>752.52710000000002</v>
      </c>
      <c r="P10" s="265">
        <f>(IF(Baseline!C12="Bestaande Situatie",(_xlfn.IFNA(VLOOKUP(Referentie_MKI_Totaal[[#This Row],[Product]]&amp;", "&amp;Referentie_MKI_Totaal[[#Headers],[D1]],Database_Productkaarten[#All],14,FALSE),0)*Baseline!I12),0))</f>
        <v>-537.80549999999994</v>
      </c>
      <c r="Q10" s="265">
        <f>(IF(Baseline!C12="Bestaande Situatie",_xlfn.IFNA(VLOOKUP(Referentie_MKI_Totaal[[#This Row],[Product]]&amp;", "&amp;Referentie_MKI_Totaal[[#Headers],[D2]],Database_Productkaarten[#All],14,FALSE),0)*Baseline!I12,0))</f>
        <v>0</v>
      </c>
      <c r="R10" s="265">
        <f>(IF(Baseline!C12="Bestaande Situatie",(_xlfn.IFNA(VLOOKUP(Referentie_MKI_Totaal[[#This Row],[Product]]&amp;", "&amp;Referentie_MKI_Totaal[[#Headers],[D]],Database_Productkaarten[#All],14,FALSE),0)*Baseline!I12),0))</f>
        <v>-537.80549999999994</v>
      </c>
      <c r="S10" s="266">
        <f>SUM(Referentie_MKI_Totaal[[#This Row],[A1-A3]:[C4]])+Referentie_MKI_Totaal[[#This Row],[D]]</f>
        <v>1853.7022524776125</v>
      </c>
      <c r="V10" s="331">
        <f>SUM(Referentie_MKI_Totaal[[#This Row],[A1-A3]]+Referentie_MKI_Totaal[[#This Row],[A4]]+Referentie_MKI_Totaal[[#This Row],[C2]]+Referentie_MKI_Totaal[[#This Row],[C3]]+Referentie_MKI_Totaal[[#This Row],[C4]]+Referentie_MKI_Totaal[[#This Row],[D]])*(VLOOKUP(Referentie_MKI_Totaal[[#This Row],[Product]]&amp;", "&amp;Referentie_MKI_Totaal[[#Headers],[A5]],Database_Productkaarten[#All],66,FALSE))</f>
        <v>20.493946665581852</v>
      </c>
    </row>
    <row r="11" spans="2:22">
      <c r="B11" s="263" t="str">
        <f>Baseline!B13</f>
        <v>121410 - Opbreken en afvoeren asfaltverharding zwart teervrij</v>
      </c>
      <c r="C11" s="264" t="str">
        <f>Baseline!F13</f>
        <v>AC bin/base 50% PR - PCR 2.0</v>
      </c>
      <c r="D11" s="265">
        <f>(IF(Baseline!C13="Nieuwe Situatie",(_xlfn.IFNA(VLOOKUP(Referentie_MKI_Totaal[[#This Row],[Product]]&amp;", "&amp;Referentie_MKI_Totaal[[#Headers],[A1]],Database_Productkaarten[#All],14,FALSE),0)*Baseline!I13),0))</f>
        <v>0</v>
      </c>
      <c r="E11" s="265">
        <f>(IF(Baseline!C13="Nieuwe Situatie",(_xlfn.IFNA(VLOOKUP(Referentie_MKI_Totaal[[#This Row],[Product]]&amp;", "&amp;Referentie_MKI_Totaal[[#Headers],[A2]],Database_Productkaarten[#All],14,FALSE),0)*Baseline!I13),0))</f>
        <v>0</v>
      </c>
      <c r="F11" s="265">
        <f>(IF(Baseline!C13="Nieuwe Situatie",(_xlfn.IFNA(VLOOKUP(Referentie_MKI_Totaal[[#This Row],[Product]]&amp;", "&amp;Referentie_MKI_Totaal[[#Headers],[A3]],Database_Productkaarten[#All],14,FALSE),0)*Baseline!I13),0))</f>
        <v>0</v>
      </c>
      <c r="G11" s="265">
        <f>(IF(Baseline!C13="Nieuwe Situatie",(_xlfn.IFNA(VLOOKUP(Referentie_MKI_Totaal[[#This Row],[Product]]&amp;", "&amp;Referentie_MKI_Totaal[[#Headers],[A1-A3]],Database_Productkaarten[#All],14,FALSE),0)*Baseline!I13),0))</f>
        <v>0</v>
      </c>
      <c r="H11" s="265">
        <f>IF(Baseline!T13=0,(IF(Baseline!C13="Nieuwe Situatie",(_xlfn.IFNA(VLOOKUP(Referentie_MKI_Totaal[[#This Row],[Product]]&amp;", "&amp;Referentie_MKI_Totaal[[#Headers],[A4]],Database_Productkaarten[#All],14,FALSE),0)*Baseline!Q13),0)),(IF(Baseline!C13="Nieuwe Situatie",_xlfn.IFNA(VLOOKUP(Baseline!T13,Database_Transport[#All],7,FALSE)*(Baseline!Q13*Baseline!S13),0))))</f>
        <v>0</v>
      </c>
      <c r="I11" s="265">
        <f>IF(Baseline!C13="Nieuwe situatie",IF(_xlfn.IFNA((VLOOKUP(Baseline!U13,Database_Asfalt_Aanlegset[#All],7,FALSE)*Baseline!I13),0)+_xlfn.IFNA(VLOOKUP(Baseline!V13,Database_Brandstoffen[#All],7,FALSE)*((Baseline!I13/Baseline!X13)*Baseline!W13),0)&gt;0,_xlfn.IFNA((VLOOKUP(Baseline!U13,Database_Asfalt_Aanlegset[#All],7,FALSE)*Baseline!I13),0)+_xlfn.IFNA(VLOOKUP(Baseline!V13,Database_Brandstoffen[#All],7,FALSE)*((Baseline!I13/Baseline!X13)*Baseline!W13),0),(_xlfn.IFNA(VLOOKUP(Referentie_MKI_Totaal[[#This Row],[Product]]&amp;", "&amp;Referentie_MKI_Totaal[[#Headers],[A5]],Database_Productkaarten[#All],14,FALSE),0)*Baseline!I13)),0)</f>
        <v>0</v>
      </c>
      <c r="J11" s="265"/>
      <c r="K11" s="265">
        <f>(IF(Baseline!C13="Nieuwe Situatie",(SUM(Referentie_MKI_Totaal[[#This Row],[A1]:[B1]],Referentie_MKI_Totaal[[#This Row],[C1]:[D2]])*Baseline!R13),0))</f>
        <v>0</v>
      </c>
      <c r="L11" s="265">
        <f>IF(Baseline!C13="Bestaande situatie",IF(_xlfn.IFNA((VLOOKUP(Baseline!Y13,Database_Asfalt_Verwijderset[#All],7,FALSE)*Baseline!I13),0)+_xlfn.IFNA(VLOOKUP(Baseline!Z13,Database_Brandstoffen[#All],7,FALSE)*((Baseline!I13/Baseline!AB13)*Baseline!AA13),0)&gt;0,_xlfn.IFNA((VLOOKUP(Baseline!Y13,Database_Asfalt_Verwijderset[#All],7,FALSE)*Baseline!I13),0)+_xlfn.IFNA(VLOOKUP(Baseline!Z13,Database_Brandstoffen[#All],7,FALSE)*((Baseline!I13/Baseline!AB13)*Baseline!AA13),0),(_xlfn.IFNA(VLOOKUP(Referentie_MKI_Totaal[[#This Row],[Product]]&amp;", "&amp;Referentie_MKI_Totaal[[#Headers],[C1]],Database_Productkaarten[#All],14,FALSE),0)*Baseline!I13)),0)</f>
        <v>355.46707396930805</v>
      </c>
      <c r="M11" s="265">
        <f>IF(Baseline!AD13=0,(IF(Baseline!C13="Bestaande Situatie",(_xlfn.IFNA(VLOOKUP(Referentie_MKI_Totaal[[#This Row],[Product]]&amp;", "&amp;Referentie_MKI_Totaal[[#Headers],[C2]],Database_Productkaarten[#All],14,FALSE),0)*Baseline!I13),0)),(IF(Baseline!C13="Bestaande Situatie",_xlfn.IFNA(VLOOKUP(Baseline!AD13,Database_Transport[#All],7,FALSE)*(Baseline!Q13*Baseline!AC13),0))))</f>
        <v>451.42060425000005</v>
      </c>
      <c r="N11" s="265">
        <f>(IF(Baseline!C13="Bestaande Situatie",(_xlfn.IFNA(VLOOKUP(Referentie_MKI_Totaal[[#This Row],[Product]]&amp;", "&amp;Referentie_MKI_Totaal[[#Headers],[C3]],Database_Productkaarten[#All],14,FALSE),0)*Baseline!I13),0))</f>
        <v>418.16240754244768</v>
      </c>
      <c r="O11" s="265">
        <f>(IF(Baseline!C13="Bestaande Situatie",(_xlfn.IFNA(VLOOKUP(Referentie_MKI_Totaal[[#This Row],[Product]]&amp;", "&amp;Referentie_MKI_Totaal[[#Headers],[C4]],Database_Productkaarten[#All],14,FALSE),0)*Baseline!I13),0))</f>
        <v>0</v>
      </c>
      <c r="P11" s="265">
        <f>(IF(Baseline!C13="Bestaande Situatie",(_xlfn.IFNA(VLOOKUP(Referentie_MKI_Totaal[[#This Row],[Product]]&amp;", "&amp;Referentie_MKI_Totaal[[#Headers],[D1]],Database_Productkaarten[#All],14,FALSE),0)*Baseline!I13),0))</f>
        <v>0</v>
      </c>
      <c r="Q11" s="265">
        <f>(IF(Baseline!C13="Bestaande Situatie",_xlfn.IFNA(VLOOKUP(Referentie_MKI_Totaal[[#This Row],[Product]]&amp;", "&amp;Referentie_MKI_Totaal[[#Headers],[D2]],Database_Productkaarten[#All],14,FALSE),0)*Baseline!I13,0))</f>
        <v>0</v>
      </c>
      <c r="R11" s="265">
        <f>(IF(Baseline!C13="Bestaande Situatie",(_xlfn.IFNA(VLOOKUP(Referentie_MKI_Totaal[[#This Row],[Product]]&amp;", "&amp;Referentie_MKI_Totaal[[#Headers],[D]],Database_Productkaarten[#All],14,FALSE),0)*Baseline!I13),0))</f>
        <v>-6105.0077760645981</v>
      </c>
      <c r="S11" s="266">
        <f>SUM(Referentie_MKI_Totaal[[#This Row],[A1-A3]:[C4]])+Referentie_MKI_Totaal[[#This Row],[D]]</f>
        <v>-4879.9576903028428</v>
      </c>
      <c r="V11" s="331">
        <f>SUM(Referentie_MKI_Totaal[[#This Row],[A1-A3]]+Referentie_MKI_Totaal[[#This Row],[A4]]+Referentie_MKI_Totaal[[#This Row],[C2]]+Referentie_MKI_Totaal[[#This Row],[C3]]+Referentie_MKI_Totaal[[#This Row],[C4]]+Referentie_MKI_Totaal[[#This Row],[D]])*(VLOOKUP(Referentie_MKI_Totaal[[#This Row],[Product]]&amp;", "&amp;Referentie_MKI_Totaal[[#Headers],[A5]],Database_Productkaarten[#All],66,FALSE))</f>
        <v>0</v>
      </c>
    </row>
    <row r="12" spans="2:22">
      <c r="B12" s="263" t="str">
        <f>Baseline!B14</f>
        <v>121420 - Opbreken en afvoeren asfaltverharding rood teervrij</v>
      </c>
      <c r="C12" s="264" t="str">
        <f>Baseline!F14</f>
        <v>AC surf rood, met penbitumen - PCR 2.0</v>
      </c>
      <c r="D12" s="265">
        <f>(IF(Baseline!C14="Nieuwe Situatie",(_xlfn.IFNA(VLOOKUP(Referentie_MKI_Totaal[[#This Row],[Product]]&amp;", "&amp;Referentie_MKI_Totaal[[#Headers],[A1]],Database_Productkaarten[#All],14,FALSE),0)*Baseline!I14),0))</f>
        <v>0</v>
      </c>
      <c r="E12" s="265">
        <f>(IF(Baseline!C14="Nieuwe Situatie",(_xlfn.IFNA(VLOOKUP(Referentie_MKI_Totaal[[#This Row],[Product]]&amp;", "&amp;Referentie_MKI_Totaal[[#Headers],[A2]],Database_Productkaarten[#All],14,FALSE),0)*Baseline!I14),0))</f>
        <v>0</v>
      </c>
      <c r="F12" s="265">
        <f>(IF(Baseline!C14="Nieuwe Situatie",(_xlfn.IFNA(VLOOKUP(Referentie_MKI_Totaal[[#This Row],[Product]]&amp;", "&amp;Referentie_MKI_Totaal[[#Headers],[A3]],Database_Productkaarten[#All],14,FALSE),0)*Baseline!I14),0))</f>
        <v>0</v>
      </c>
      <c r="G12" s="265">
        <f>(IF(Baseline!C14="Nieuwe Situatie",(_xlfn.IFNA(VLOOKUP(Referentie_MKI_Totaal[[#This Row],[Product]]&amp;", "&amp;Referentie_MKI_Totaal[[#Headers],[A1-A3]],Database_Productkaarten[#All],14,FALSE),0)*Baseline!I14),0))</f>
        <v>0</v>
      </c>
      <c r="H12" s="265">
        <f>IF(Baseline!T14=0,(IF(Baseline!C14="Nieuwe Situatie",(_xlfn.IFNA(VLOOKUP(Referentie_MKI_Totaal[[#This Row],[Product]]&amp;", "&amp;Referentie_MKI_Totaal[[#Headers],[A4]],Database_Productkaarten[#All],14,FALSE),0)*Baseline!Q14),0)),(IF(Baseline!C14="Nieuwe Situatie",_xlfn.IFNA(VLOOKUP(Baseline!T14,Database_Transport[#All],7,FALSE)*(Baseline!Q14*Baseline!S14),0))))</f>
        <v>0</v>
      </c>
      <c r="I12" s="265">
        <f>IF(Baseline!C14="Nieuwe situatie",IF(_xlfn.IFNA((VLOOKUP(Baseline!U14,Database_Asfalt_Aanlegset[#All],7,FALSE)*Baseline!I14),0)+_xlfn.IFNA(VLOOKUP(Baseline!V14,Database_Brandstoffen[#All],7,FALSE)*((Baseline!I14/Baseline!X14)*Baseline!W14),0)&gt;0,_xlfn.IFNA((VLOOKUP(Baseline!U14,Database_Asfalt_Aanlegset[#All],7,FALSE)*Baseline!I14),0)+_xlfn.IFNA(VLOOKUP(Baseline!V14,Database_Brandstoffen[#All],7,FALSE)*((Baseline!I14/Baseline!X14)*Baseline!W14),0),(_xlfn.IFNA(VLOOKUP(Referentie_MKI_Totaal[[#This Row],[Product]]&amp;", "&amp;Referentie_MKI_Totaal[[#Headers],[A5]],Database_Productkaarten[#All],14,FALSE),0)*Baseline!I14)),0)</f>
        <v>0</v>
      </c>
      <c r="J12" s="265"/>
      <c r="K12" s="265">
        <f>(IF(Baseline!C14="Nieuwe Situatie",(SUM(Referentie_MKI_Totaal[[#This Row],[A1]:[B1]],Referentie_MKI_Totaal[[#This Row],[C1]:[D2]])*Baseline!R14),0))</f>
        <v>0</v>
      </c>
      <c r="L12" s="265">
        <f>IF(Baseline!C14="Bestaande situatie",IF(_xlfn.IFNA((VLOOKUP(Baseline!Y14,Database_Asfalt_Verwijderset[#All],7,FALSE)*Baseline!I14),0)+_xlfn.IFNA(VLOOKUP(Baseline!Z14,Database_Brandstoffen[#All],7,FALSE)*((Baseline!I14/Baseline!AB14)*Baseline!AA14),0)&gt;0,_xlfn.IFNA((VLOOKUP(Baseline!Y14,Database_Asfalt_Verwijderset[#All],7,FALSE)*Baseline!I14),0)+_xlfn.IFNA(VLOOKUP(Baseline!Z14,Database_Brandstoffen[#All],7,FALSE)*((Baseline!I14/Baseline!AB14)*Baseline!AA14),0),(_xlfn.IFNA(VLOOKUP(Referentie_MKI_Totaal[[#This Row],[Product]]&amp;", "&amp;Referentie_MKI_Totaal[[#Headers],[C1]],Database_Productkaarten[#All],14,FALSE),0)*Baseline!I14)),0)</f>
        <v>243.74885072181121</v>
      </c>
      <c r="M12" s="265">
        <f>IF(Baseline!AD14=0,(IF(Baseline!C14="Bestaande Situatie",(_xlfn.IFNA(VLOOKUP(Referentie_MKI_Totaal[[#This Row],[Product]]&amp;", "&amp;Referentie_MKI_Totaal[[#Headers],[C2]],Database_Productkaarten[#All],14,FALSE),0)*Baseline!I14),0)),(IF(Baseline!C14="Bestaande Situatie",_xlfn.IFNA(VLOOKUP(Baseline!AD14,Database_Transport[#All],7,FALSE)*(Baseline!Q14*Baseline!AC14),0))))</f>
        <v>309.54555720000002</v>
      </c>
      <c r="N12" s="265">
        <f>(IF(Baseline!C14="Bestaande Situatie",(_xlfn.IFNA(VLOOKUP(Referentie_MKI_Totaal[[#This Row],[Product]]&amp;", "&amp;Referentie_MKI_Totaal[[#Headers],[C3]],Database_Productkaarten[#All],14,FALSE),0)*Baseline!I14),0))</f>
        <v>286.73993652465566</v>
      </c>
      <c r="O12" s="265">
        <f>(IF(Baseline!C14="Bestaande Situatie",(_xlfn.IFNA(VLOOKUP(Referentie_MKI_Totaal[[#This Row],[Product]]&amp;", "&amp;Referentie_MKI_Totaal[[#Headers],[C4]],Database_Productkaarten[#All],14,FALSE),0)*Baseline!I14),0))</f>
        <v>0</v>
      </c>
      <c r="P12" s="265">
        <f>(IF(Baseline!C14="Bestaande Situatie",(_xlfn.IFNA(VLOOKUP(Referentie_MKI_Totaal[[#This Row],[Product]]&amp;", "&amp;Referentie_MKI_Totaal[[#Headers],[D1]],Database_Productkaarten[#All],14,FALSE),0)*Baseline!I14),0))</f>
        <v>0</v>
      </c>
      <c r="Q12" s="265">
        <f>(IF(Baseline!C14="Bestaande Situatie",_xlfn.IFNA(VLOOKUP(Referentie_MKI_Totaal[[#This Row],[Product]]&amp;", "&amp;Referentie_MKI_Totaal[[#Headers],[D2]],Database_Productkaarten[#All],14,FALSE),0)*Baseline!I14,0))</f>
        <v>0</v>
      </c>
      <c r="R12" s="265">
        <f>(IF(Baseline!C14="Bestaande Situatie",(_xlfn.IFNA(VLOOKUP(Referentie_MKI_Totaal[[#This Row],[Product]]&amp;", "&amp;Referentie_MKI_Totaal[[#Headers],[D]],Database_Productkaarten[#All],14,FALSE),0)*Baseline!I14),0))</f>
        <v>-7862.3757990610584</v>
      </c>
      <c r="S12" s="266">
        <f>SUM(Referentie_MKI_Totaal[[#This Row],[A1-A3]:[C4]])+Referentie_MKI_Totaal[[#This Row],[D]]</f>
        <v>-7022.3414546145914</v>
      </c>
      <c r="V12" s="331">
        <f>SUM(Referentie_MKI_Totaal[[#This Row],[A1-A3]]+Referentie_MKI_Totaal[[#This Row],[A4]]+Referentie_MKI_Totaal[[#This Row],[C2]]+Referentie_MKI_Totaal[[#This Row],[C3]]+Referentie_MKI_Totaal[[#This Row],[C4]]+Referentie_MKI_Totaal[[#This Row],[D]])*(VLOOKUP(Referentie_MKI_Totaal[[#This Row],[Product]]&amp;", "&amp;Referentie_MKI_Totaal[[#Headers],[A5]],Database_Productkaarten[#All],66,FALSE))</f>
        <v>0</v>
      </c>
    </row>
    <row r="13" spans="2:22">
      <c r="B13" s="263" t="str">
        <f>Baseline!B15</f>
        <v>121510 - Opbreken fundering van menggranulaat, 400-200 mm dik</v>
      </c>
      <c r="C13" s="264" t="str">
        <f>Baseline!F15</f>
        <v>Menggranulaat 300mm</v>
      </c>
      <c r="D13" s="265">
        <f>(IF(Baseline!C15="Nieuwe Situatie",(_xlfn.IFNA(VLOOKUP(Referentie_MKI_Totaal[[#This Row],[Product]]&amp;", "&amp;Referentie_MKI_Totaal[[#Headers],[A1]],Database_Productkaarten[#All],14,FALSE),0)*Baseline!I15),0))</f>
        <v>0</v>
      </c>
      <c r="E13" s="265">
        <f>(IF(Baseline!C15="Nieuwe Situatie",(_xlfn.IFNA(VLOOKUP(Referentie_MKI_Totaal[[#This Row],[Product]]&amp;", "&amp;Referentie_MKI_Totaal[[#Headers],[A2]],Database_Productkaarten[#All],14,FALSE),0)*Baseline!I15),0))</f>
        <v>0</v>
      </c>
      <c r="F13" s="265">
        <f>(IF(Baseline!C15="Nieuwe Situatie",(_xlfn.IFNA(VLOOKUP(Referentie_MKI_Totaal[[#This Row],[Product]]&amp;", "&amp;Referentie_MKI_Totaal[[#Headers],[A3]],Database_Productkaarten[#All],14,FALSE),0)*Baseline!I15),0))</f>
        <v>0</v>
      </c>
      <c r="G13" s="265">
        <f>(IF(Baseline!C15="Nieuwe Situatie",(_xlfn.IFNA(VLOOKUP(Referentie_MKI_Totaal[[#This Row],[Product]]&amp;", "&amp;Referentie_MKI_Totaal[[#Headers],[A1-A3]],Database_Productkaarten[#All],14,FALSE),0)*Baseline!I15),0))</f>
        <v>0</v>
      </c>
      <c r="H13" s="265">
        <f>IF(Baseline!T15=0,(IF(Baseline!C15="Nieuwe Situatie",(_xlfn.IFNA(VLOOKUP(Referentie_MKI_Totaal[[#This Row],[Product]]&amp;", "&amp;Referentie_MKI_Totaal[[#Headers],[A4]],Database_Productkaarten[#All],14,FALSE),0)*Baseline!Q15),0)),(IF(Baseline!C15="Nieuwe Situatie",_xlfn.IFNA(VLOOKUP(Baseline!T15,Database_Transport[#All],7,FALSE)*(Baseline!Q15*Baseline!S15),0))))</f>
        <v>0</v>
      </c>
      <c r="I13" s="265">
        <f>IF(Baseline!C15="Nieuwe situatie",IF(_xlfn.IFNA((VLOOKUP(Baseline!U15,Database_Asfalt_Aanlegset[#All],7,FALSE)*Baseline!I15),0)+_xlfn.IFNA(VLOOKUP(Baseline!V15,Database_Brandstoffen[#All],7,FALSE)*((Baseline!I15/Baseline!X15)*Baseline!W15),0)&gt;0,_xlfn.IFNA((VLOOKUP(Baseline!U15,Database_Asfalt_Aanlegset[#All],7,FALSE)*Baseline!I15),0)+_xlfn.IFNA(VLOOKUP(Baseline!V15,Database_Brandstoffen[#All],7,FALSE)*((Baseline!I15/Baseline!X15)*Baseline!W15),0),(_xlfn.IFNA(VLOOKUP(Referentie_MKI_Totaal[[#This Row],[Product]]&amp;", "&amp;Referentie_MKI_Totaal[[#Headers],[A5]],Database_Productkaarten[#All],14,FALSE),0)*Baseline!I15)),0)</f>
        <v>0</v>
      </c>
      <c r="J13" s="265"/>
      <c r="K13" s="265">
        <f>(IF(Baseline!C15="Nieuwe Situatie",(SUM(Referentie_MKI_Totaal[[#This Row],[A1]:[B1]],Referentie_MKI_Totaal[[#This Row],[C1]:[D2]])*Baseline!R15),0))</f>
        <v>0</v>
      </c>
      <c r="L13" s="265">
        <f>IF(Baseline!C15="Bestaande situatie",IF(_xlfn.IFNA((VLOOKUP(Baseline!Y15,Database_Asfalt_Verwijderset[#All],7,FALSE)*Baseline!I15),0)+_xlfn.IFNA(VLOOKUP(Baseline!Z15,Database_Brandstoffen[#All],7,FALSE)*((Baseline!I15/Baseline!AB15)*Baseline!AA15),0)&gt;0,_xlfn.IFNA((VLOOKUP(Baseline!Y15,Database_Asfalt_Verwijderset[#All],7,FALSE)*Baseline!I15),0)+_xlfn.IFNA(VLOOKUP(Baseline!Z15,Database_Brandstoffen[#All],7,FALSE)*((Baseline!I15/Baseline!AB15)*Baseline!AA15),0),(_xlfn.IFNA(VLOOKUP(Referentie_MKI_Totaal[[#This Row],[Product]]&amp;", "&amp;Referentie_MKI_Totaal[[#Headers],[C1]],Database_Productkaarten[#All],14,FALSE),0)*Baseline!I15)),0)</f>
        <v>274.17403000000002</v>
      </c>
      <c r="M13" s="265">
        <f>IF(Baseline!AD15=0,(IF(Baseline!C15="Bestaande Situatie",(_xlfn.IFNA(VLOOKUP(Referentie_MKI_Totaal[[#This Row],[Product]]&amp;", "&amp;Referentie_MKI_Totaal[[#Headers],[C2]],Database_Productkaarten[#All],14,FALSE),0)*Baseline!I15),0)),(IF(Baseline!C15="Bestaande Situatie",_xlfn.IFNA(VLOOKUP(Baseline!AD15,Database_Transport[#All],7,FALSE)*(Baseline!Q15*Baseline!AC15),0))))</f>
        <v>385.64217334500006</v>
      </c>
      <c r="N13" s="265">
        <f>(IF(Baseline!C15="Bestaande Situatie",(_xlfn.IFNA(VLOOKUP(Referentie_MKI_Totaal[[#This Row],[Product]]&amp;", "&amp;Referentie_MKI_Totaal[[#Headers],[C3]],Database_Productkaarten[#All],14,FALSE),0)*Baseline!I15),0))</f>
        <v>375.97333333333336</v>
      </c>
      <c r="O13" s="265">
        <f>(IF(Baseline!C15="Bestaande Situatie",(_xlfn.IFNA(VLOOKUP(Referentie_MKI_Totaal[[#This Row],[Product]]&amp;", "&amp;Referentie_MKI_Totaal[[#Headers],[C4]],Database_Productkaarten[#All],14,FALSE),0)*Baseline!I15),0))</f>
        <v>16.675000000000001</v>
      </c>
      <c r="P13" s="265">
        <f>(IF(Baseline!C15="Bestaande Situatie",(_xlfn.IFNA(VLOOKUP(Referentie_MKI_Totaal[[#This Row],[Product]]&amp;", "&amp;Referentie_MKI_Totaal[[#Headers],[D1]],Database_Productkaarten[#All],14,FALSE),0)*Baseline!I15),0))</f>
        <v>0</v>
      </c>
      <c r="Q13" s="265">
        <f>(IF(Baseline!C15="Bestaande Situatie",_xlfn.IFNA(VLOOKUP(Referentie_MKI_Totaal[[#This Row],[Product]]&amp;", "&amp;Referentie_MKI_Totaal[[#Headers],[D2]],Database_Productkaarten[#All],14,FALSE),0)*Baseline!I15,0))</f>
        <v>0</v>
      </c>
      <c r="R13" s="265">
        <f>(IF(Baseline!C15="Bestaande Situatie",(_xlfn.IFNA(VLOOKUP(Referentie_MKI_Totaal[[#This Row],[Product]]&amp;", "&amp;Referentie_MKI_Totaal[[#Headers],[D]],Database_Productkaarten[#All],14,FALSE),0)*Baseline!I15),0))</f>
        <v>33.695</v>
      </c>
      <c r="S13" s="266">
        <f>SUM(Referentie_MKI_Totaal[[#This Row],[A1-A3]:[C4]])+Referentie_MKI_Totaal[[#This Row],[D]]</f>
        <v>1086.1595366783333</v>
      </c>
      <c r="V13" s="331">
        <f>SUM(Referentie_MKI_Totaal[[#This Row],[A1-A3]]+Referentie_MKI_Totaal[[#This Row],[A4]]+Referentie_MKI_Totaal[[#This Row],[C2]]+Referentie_MKI_Totaal[[#This Row],[C3]]+Referentie_MKI_Totaal[[#This Row],[C4]]+Referentie_MKI_Totaal[[#This Row],[D]])*(VLOOKUP(Referentie_MKI_Totaal[[#This Row],[Product]]&amp;", "&amp;Referentie_MKI_Totaal[[#Headers],[A5]],Database_Productkaarten[#All],66,FALSE))</f>
        <v>0</v>
      </c>
    </row>
    <row r="14" spans="2:22">
      <c r="B14" s="263" t="str">
        <f>Baseline!B16</f>
        <v>121520 - Opbreken fundering van slakken 200-400 mm dik</v>
      </c>
      <c r="C14" s="264" t="str">
        <f>Baseline!F16</f>
        <v>Fosforslakmengsel 200mm</v>
      </c>
      <c r="D14" s="265">
        <f>(IF(Baseline!C16="Nieuwe Situatie",(_xlfn.IFNA(VLOOKUP(Referentie_MKI_Totaal[[#This Row],[Product]]&amp;", "&amp;Referentie_MKI_Totaal[[#Headers],[A1]],Database_Productkaarten[#All],14,FALSE),0)*Baseline!I16),0))</f>
        <v>0</v>
      </c>
      <c r="E14" s="265">
        <f>(IF(Baseline!C16="Nieuwe Situatie",(_xlfn.IFNA(VLOOKUP(Referentie_MKI_Totaal[[#This Row],[Product]]&amp;", "&amp;Referentie_MKI_Totaal[[#Headers],[A2]],Database_Productkaarten[#All],14,FALSE),0)*Baseline!I16),0))</f>
        <v>0</v>
      </c>
      <c r="F14" s="265">
        <f>(IF(Baseline!C16="Nieuwe Situatie",(_xlfn.IFNA(VLOOKUP(Referentie_MKI_Totaal[[#This Row],[Product]]&amp;", "&amp;Referentie_MKI_Totaal[[#Headers],[A3]],Database_Productkaarten[#All],14,FALSE),0)*Baseline!I16),0))</f>
        <v>0</v>
      </c>
      <c r="G14" s="265">
        <f>(IF(Baseline!C16="Nieuwe Situatie",(_xlfn.IFNA(VLOOKUP(Referentie_MKI_Totaal[[#This Row],[Product]]&amp;", "&amp;Referentie_MKI_Totaal[[#Headers],[A1-A3]],Database_Productkaarten[#All],14,FALSE),0)*Baseline!I16),0))</f>
        <v>0</v>
      </c>
      <c r="H14" s="265">
        <f>IF(Baseline!T16=0,(IF(Baseline!C16="Nieuwe Situatie",(_xlfn.IFNA(VLOOKUP(Referentie_MKI_Totaal[[#This Row],[Product]]&amp;", "&amp;Referentie_MKI_Totaal[[#Headers],[A4]],Database_Productkaarten[#All],14,FALSE),0)*Baseline!Q16),0)),(IF(Baseline!C16="Nieuwe Situatie",_xlfn.IFNA(VLOOKUP(Baseline!T16,Database_Transport[#All],7,FALSE)*(Baseline!Q16*Baseline!S16),0))))</f>
        <v>0</v>
      </c>
      <c r="I14" s="265">
        <f>IF(Baseline!C16="Nieuwe situatie",IF(_xlfn.IFNA((VLOOKUP(Baseline!U16,Database_Asfalt_Aanlegset[#All],7,FALSE)*Baseline!I16),0)+_xlfn.IFNA(VLOOKUP(Baseline!V16,Database_Brandstoffen[#All],7,FALSE)*((Baseline!I16/Baseline!X16)*Baseline!W16),0)&gt;0,_xlfn.IFNA((VLOOKUP(Baseline!U16,Database_Asfalt_Aanlegset[#All],7,FALSE)*Baseline!I16),0)+_xlfn.IFNA(VLOOKUP(Baseline!V16,Database_Brandstoffen[#All],7,FALSE)*((Baseline!I16/Baseline!X16)*Baseline!W16),0),(_xlfn.IFNA(VLOOKUP(Referentie_MKI_Totaal[[#This Row],[Product]]&amp;", "&amp;Referentie_MKI_Totaal[[#Headers],[A5]],Database_Productkaarten[#All],14,FALSE),0)*Baseline!I16)),0)</f>
        <v>0</v>
      </c>
      <c r="J14" s="265"/>
      <c r="K14" s="265">
        <f>(IF(Baseline!C16="Nieuwe Situatie",(SUM(Referentie_MKI_Totaal[[#This Row],[A1]:[B1]],Referentie_MKI_Totaal[[#This Row],[C1]:[D2]])*Baseline!R16),0))</f>
        <v>0</v>
      </c>
      <c r="L14" s="265">
        <f>IF(Baseline!C16="Bestaande situatie",IF(_xlfn.IFNA((VLOOKUP(Baseline!Y16,Database_Asfalt_Verwijderset[#All],7,FALSE)*Baseline!I16),0)+_xlfn.IFNA(VLOOKUP(Baseline!Z16,Database_Brandstoffen[#All],7,FALSE)*((Baseline!I16/Baseline!AB16)*Baseline!AA16),0)&gt;0,_xlfn.IFNA((VLOOKUP(Baseline!Y16,Database_Asfalt_Verwijderset[#All],7,FALSE)*Baseline!I16),0)+_xlfn.IFNA(VLOOKUP(Baseline!Z16,Database_Brandstoffen[#All],7,FALSE)*((Baseline!I16/Baseline!AB16)*Baseline!AA16),0),(_xlfn.IFNA(VLOOKUP(Referentie_MKI_Totaal[[#This Row],[Product]]&amp;", "&amp;Referentie_MKI_Totaal[[#Headers],[C1]],Database_Productkaarten[#All],14,FALSE),0)*Baseline!I16)),0)</f>
        <v>125.166405</v>
      </c>
      <c r="M14" s="265">
        <f>IF(Baseline!AD16=0,(IF(Baseline!C16="Bestaande Situatie",(_xlfn.IFNA(VLOOKUP(Referentie_MKI_Totaal[[#This Row],[Product]]&amp;", "&amp;Referentie_MKI_Totaal[[#Headers],[C2]],Database_Productkaarten[#All],14,FALSE),0)*Baseline!I16),0)),(IF(Baseline!C16="Bestaande Situatie",_xlfn.IFNA(VLOOKUP(Baseline!AD16,Database_Transport[#All],7,FALSE)*(Baseline!Q16*Baseline!AC16),0))))</f>
        <v>168.53035892000005</v>
      </c>
      <c r="N14" s="265">
        <f>(IF(Baseline!C16="Bestaande Situatie",(_xlfn.IFNA(VLOOKUP(Referentie_MKI_Totaal[[#This Row],[Product]]&amp;", "&amp;Referentie_MKI_Totaal[[#Headers],[C3]],Database_Productkaarten[#All],14,FALSE),0)*Baseline!I16),0))</f>
        <v>0</v>
      </c>
      <c r="O14" s="265">
        <f>(IF(Baseline!C16="Bestaande Situatie",(_xlfn.IFNA(VLOOKUP(Referentie_MKI_Totaal[[#This Row],[Product]]&amp;", "&amp;Referentie_MKI_Totaal[[#Headers],[C4]],Database_Productkaarten[#All],14,FALSE),0)*Baseline!I16),0))</f>
        <v>7.2799999999999994</v>
      </c>
      <c r="P14" s="265">
        <f>(IF(Baseline!C16="Bestaande Situatie",(_xlfn.IFNA(VLOOKUP(Referentie_MKI_Totaal[[#This Row],[Product]]&amp;", "&amp;Referentie_MKI_Totaal[[#Headers],[D1]],Database_Productkaarten[#All],14,FALSE),0)*Baseline!I16),0))</f>
        <v>0</v>
      </c>
      <c r="Q14" s="265">
        <f>(IF(Baseline!C16="Bestaande Situatie",_xlfn.IFNA(VLOOKUP(Referentie_MKI_Totaal[[#This Row],[Product]]&amp;", "&amp;Referentie_MKI_Totaal[[#Headers],[D2]],Database_Productkaarten[#All],14,FALSE),0)*Baseline!I16,0))</f>
        <v>0</v>
      </c>
      <c r="R14" s="265">
        <f>(IF(Baseline!C16="Bestaande Situatie",(_xlfn.IFNA(VLOOKUP(Referentie_MKI_Totaal[[#This Row],[Product]]&amp;", "&amp;Referentie_MKI_Totaal[[#Headers],[D]],Database_Productkaarten[#All],14,FALSE),0)*Baseline!I16),0))</f>
        <v>14.735000000000001</v>
      </c>
      <c r="S14" s="266">
        <f>SUM(Referentie_MKI_Totaal[[#This Row],[A1-A3]:[C4]])+Referentie_MKI_Totaal[[#This Row],[D]]</f>
        <v>315.71176392000007</v>
      </c>
      <c r="V14" s="331">
        <f>SUM(Referentie_MKI_Totaal[[#This Row],[A1-A3]]+Referentie_MKI_Totaal[[#This Row],[A4]]+Referentie_MKI_Totaal[[#This Row],[C2]]+Referentie_MKI_Totaal[[#This Row],[C3]]+Referentie_MKI_Totaal[[#This Row],[C4]]+Referentie_MKI_Totaal[[#This Row],[D]])*(VLOOKUP(Referentie_MKI_Totaal[[#This Row],[Product]]&amp;", "&amp;Referentie_MKI_Totaal[[#Headers],[A5]],Database_Productkaarten[#All],66,FALSE))</f>
        <v>0</v>
      </c>
    </row>
    <row r="15" spans="2:22">
      <c r="B15" s="263" t="str">
        <f>Baseline!B17</f>
        <v>121310 - Verwijderen en afvoeren kolken, incl aansluitingen</v>
      </c>
      <c r="C15" s="264" t="str">
        <f>Baseline!F17</f>
        <v>Kolk, Staal &amp; Beton</v>
      </c>
      <c r="D15" s="265">
        <f>(IF(Baseline!C17="Nieuwe Situatie",(_xlfn.IFNA(VLOOKUP(Referentie_MKI_Totaal[[#This Row],[Product]]&amp;", "&amp;Referentie_MKI_Totaal[[#Headers],[A1]],Database_Productkaarten[#All],14,FALSE),0)*Baseline!I17),0))</f>
        <v>0</v>
      </c>
      <c r="E15" s="265">
        <f>(IF(Baseline!C17="Nieuwe Situatie",(_xlfn.IFNA(VLOOKUP(Referentie_MKI_Totaal[[#This Row],[Product]]&amp;", "&amp;Referentie_MKI_Totaal[[#Headers],[A2]],Database_Productkaarten[#All],14,FALSE),0)*Baseline!I17),0))</f>
        <v>0</v>
      </c>
      <c r="F15" s="265">
        <f>(IF(Baseline!C17="Nieuwe Situatie",(_xlfn.IFNA(VLOOKUP(Referentie_MKI_Totaal[[#This Row],[Product]]&amp;", "&amp;Referentie_MKI_Totaal[[#Headers],[A3]],Database_Productkaarten[#All],14,FALSE),0)*Baseline!I17),0))</f>
        <v>0</v>
      </c>
      <c r="G15" s="265">
        <f>(IF(Baseline!C17="Nieuwe Situatie",(_xlfn.IFNA(VLOOKUP(Referentie_MKI_Totaal[[#This Row],[Product]]&amp;", "&amp;Referentie_MKI_Totaal[[#Headers],[A1-A3]],Database_Productkaarten[#All],14,FALSE),0)*Baseline!I17),0))</f>
        <v>0</v>
      </c>
      <c r="H15" s="265">
        <f>IF(Baseline!T17=0,(IF(Baseline!C17="Nieuwe Situatie",(_xlfn.IFNA(VLOOKUP(Referentie_MKI_Totaal[[#This Row],[Product]]&amp;", "&amp;Referentie_MKI_Totaal[[#Headers],[A4]],Database_Productkaarten[#All],14,FALSE),0)*Baseline!Q17),0)),(IF(Baseline!C17="Nieuwe Situatie",_xlfn.IFNA(VLOOKUP(Baseline!T17,Database_Transport[#All],7,FALSE)*(Baseline!Q17*Baseline!S17),0))))</f>
        <v>0</v>
      </c>
      <c r="I15" s="265">
        <f>IF(Baseline!C17="Nieuwe situatie",IF(_xlfn.IFNA((VLOOKUP(Baseline!U17,Database_Asfalt_Aanlegset[#All],7,FALSE)*Baseline!I17),0)+_xlfn.IFNA(VLOOKUP(Baseline!V17,Database_Brandstoffen[#All],7,FALSE)*((Baseline!I17/Baseline!X17)*Baseline!W17),0)&gt;0,_xlfn.IFNA((VLOOKUP(Baseline!U17,Database_Asfalt_Aanlegset[#All],7,FALSE)*Baseline!I17),0)+_xlfn.IFNA(VLOOKUP(Baseline!V17,Database_Brandstoffen[#All],7,FALSE)*((Baseline!I17/Baseline!X17)*Baseline!W17),0),(_xlfn.IFNA(VLOOKUP(Referentie_MKI_Totaal[[#This Row],[Product]]&amp;", "&amp;Referentie_MKI_Totaal[[#Headers],[A5]],Database_Productkaarten[#All],14,FALSE),0)*Baseline!I17)),0)</f>
        <v>0</v>
      </c>
      <c r="J15" s="265"/>
      <c r="K15" s="265">
        <f>(IF(Baseline!C17="Nieuwe Situatie",(SUM(Referentie_MKI_Totaal[[#This Row],[A1]:[B1]],Referentie_MKI_Totaal[[#This Row],[C1]:[D2]])*Baseline!R17),0))</f>
        <v>0</v>
      </c>
      <c r="L15" s="265">
        <f>IF(Baseline!C17="Bestaande situatie",IF(_xlfn.IFNA((VLOOKUP(Baseline!Y17,Database_Asfalt_Verwijderset[#All],7,FALSE)*Baseline!I17),0)+_xlfn.IFNA(VLOOKUP(Baseline!Z17,Database_Brandstoffen[#All],7,FALSE)*((Baseline!I17/Baseline!AB17)*Baseline!AA17),0)&gt;0,_xlfn.IFNA((VLOOKUP(Baseline!Y17,Database_Asfalt_Verwijderset[#All],7,FALSE)*Baseline!I17),0)+_xlfn.IFNA(VLOOKUP(Baseline!Z17,Database_Brandstoffen[#All],7,FALSE)*((Baseline!I17/Baseline!AB17)*Baseline!AA17),0),(_xlfn.IFNA(VLOOKUP(Referentie_MKI_Totaal[[#This Row],[Product]]&amp;", "&amp;Referentie_MKI_Totaal[[#Headers],[C1]],Database_Productkaarten[#All],14,FALSE),0)*Baseline!I17)),0)</f>
        <v>590.25282272980508</v>
      </c>
      <c r="M15" s="265">
        <f>IF(Baseline!AD17=0,(IF(Baseline!C17="Bestaande Situatie",(_xlfn.IFNA(VLOOKUP(Referentie_MKI_Totaal[[#This Row],[Product]]&amp;", "&amp;Referentie_MKI_Totaal[[#Headers],[C2]],Database_Productkaarten[#All],14,FALSE),0)*Baseline!I17),0)),(IF(Baseline!C17="Bestaande Situatie",_xlfn.IFNA(VLOOKUP(Baseline!AD17,Database_Transport[#All],7,FALSE)*(Baseline!Q17*Baseline!AC17),0))))</f>
        <v>7.046233670074721</v>
      </c>
      <c r="N15" s="265">
        <f>(IF(Baseline!C17="Bestaande Situatie",(_xlfn.IFNA(VLOOKUP(Referentie_MKI_Totaal[[#This Row],[Product]]&amp;", "&amp;Referentie_MKI_Totaal[[#Headers],[C3]],Database_Productkaarten[#All],14,FALSE),0)*Baseline!I17),0))</f>
        <v>8.08</v>
      </c>
      <c r="O15" s="265">
        <f>(IF(Baseline!C17="Bestaande Situatie",(_xlfn.IFNA(VLOOKUP(Referentie_MKI_Totaal[[#This Row],[Product]]&amp;", "&amp;Referentie_MKI_Totaal[[#Headers],[C4]],Database_Productkaarten[#All],14,FALSE),0)*Baseline!I17),0))</f>
        <v>0</v>
      </c>
      <c r="P15" s="265">
        <f>(IF(Baseline!C17="Bestaande Situatie",(_xlfn.IFNA(VLOOKUP(Referentie_MKI_Totaal[[#This Row],[Product]]&amp;", "&amp;Referentie_MKI_Totaal[[#Headers],[D1]],Database_Productkaarten[#All],14,FALSE),0)*Baseline!I17),0))</f>
        <v>-763.56</v>
      </c>
      <c r="Q15" s="265">
        <f>(IF(Baseline!C17="Bestaande Situatie",_xlfn.IFNA(VLOOKUP(Referentie_MKI_Totaal[[#This Row],[Product]]&amp;", "&amp;Referentie_MKI_Totaal[[#Headers],[D2]],Database_Productkaarten[#All],14,FALSE),0)*Baseline!I17,0))</f>
        <v>0</v>
      </c>
      <c r="R15" s="265">
        <f>(IF(Baseline!C17="Bestaande Situatie",(_xlfn.IFNA(VLOOKUP(Referentie_MKI_Totaal[[#This Row],[Product]]&amp;", "&amp;Referentie_MKI_Totaal[[#Headers],[D]],Database_Productkaarten[#All],14,FALSE),0)*Baseline!I17),0))</f>
        <v>-763.56</v>
      </c>
      <c r="S15" s="266">
        <f>SUM(Referentie_MKI_Totaal[[#This Row],[A1-A3]:[C4]])+Referentie_MKI_Totaal[[#This Row],[D]]</f>
        <v>-158.18094360012014</v>
      </c>
      <c r="V15" s="331">
        <f>SUM(Referentie_MKI_Totaal[[#This Row],[A1-A3]]+Referentie_MKI_Totaal[[#This Row],[A4]]+Referentie_MKI_Totaal[[#This Row],[C2]]+Referentie_MKI_Totaal[[#This Row],[C3]]+Referentie_MKI_Totaal[[#This Row],[C4]]+Referentie_MKI_Totaal[[#This Row],[D]])*(VLOOKUP(Referentie_MKI_Totaal[[#This Row],[Product]]&amp;", "&amp;Referentie_MKI_Totaal[[#Headers],[A5]],Database_Productkaarten[#All],66,FALSE))</f>
        <v>-22.453012989897754</v>
      </c>
    </row>
    <row r="16" spans="2:22">
      <c r="B16" s="263" t="str">
        <f>Baseline!B18</f>
        <v>210010 - Grond ontgraven uit cunet wegen en parkeervakken 0,25 m</v>
      </c>
      <c r="C16" s="264" t="str">
        <f>Baseline!F18</f>
        <v>Ophoogmateriaal (Grond)</v>
      </c>
      <c r="D16" s="265">
        <f>(IF(Baseline!C18="Nieuwe Situatie",(_xlfn.IFNA(VLOOKUP(Referentie_MKI_Totaal[[#This Row],[Product]]&amp;", "&amp;Referentie_MKI_Totaal[[#Headers],[A1]],Database_Productkaarten[#All],14,FALSE),0)*Baseline!I18),0))</f>
        <v>0</v>
      </c>
      <c r="E16" s="265">
        <f>(IF(Baseline!C18="Nieuwe Situatie",(_xlfn.IFNA(VLOOKUP(Referentie_MKI_Totaal[[#This Row],[Product]]&amp;", "&amp;Referentie_MKI_Totaal[[#Headers],[A2]],Database_Productkaarten[#All],14,FALSE),0)*Baseline!I18),0))</f>
        <v>0</v>
      </c>
      <c r="F16" s="265">
        <f>(IF(Baseline!C18="Nieuwe Situatie",(_xlfn.IFNA(VLOOKUP(Referentie_MKI_Totaal[[#This Row],[Product]]&amp;", "&amp;Referentie_MKI_Totaal[[#Headers],[A3]],Database_Productkaarten[#All],14,FALSE),0)*Baseline!I18),0))</f>
        <v>0</v>
      </c>
      <c r="G16" s="265">
        <f>(IF(Baseline!C18="Nieuwe Situatie",(_xlfn.IFNA(VLOOKUP(Referentie_MKI_Totaal[[#This Row],[Product]]&amp;", "&amp;Referentie_MKI_Totaal[[#Headers],[A1-A3]],Database_Productkaarten[#All],14,FALSE),0)*Baseline!I18),0))</f>
        <v>0</v>
      </c>
      <c r="H16" s="265">
        <f>IF(Baseline!T18=0,(IF(Baseline!C18="Nieuwe Situatie",(_xlfn.IFNA(VLOOKUP(Referentie_MKI_Totaal[[#This Row],[Product]]&amp;", "&amp;Referentie_MKI_Totaal[[#Headers],[A4]],Database_Productkaarten[#All],14,FALSE),0)*Baseline!Q18),0)),(IF(Baseline!C18="Nieuwe Situatie",_xlfn.IFNA(VLOOKUP(Baseline!T18,Database_Transport[#All],7,FALSE)*(Baseline!Q18*Baseline!S18),0))))</f>
        <v>0</v>
      </c>
      <c r="I16" s="265">
        <f>IF(Baseline!C18="Nieuwe situatie",IF(_xlfn.IFNA((VLOOKUP(Baseline!U18,Database_Asfalt_Aanlegset[#All],7,FALSE)*Baseline!I18),0)+_xlfn.IFNA(VLOOKUP(Baseline!V18,Database_Brandstoffen[#All],7,FALSE)*((Baseline!I18/Baseline!X18)*Baseline!W18),0)&gt;0,_xlfn.IFNA((VLOOKUP(Baseline!U18,Database_Asfalt_Aanlegset[#All],7,FALSE)*Baseline!I18),0)+_xlfn.IFNA(VLOOKUP(Baseline!V18,Database_Brandstoffen[#All],7,FALSE)*((Baseline!I18/Baseline!X18)*Baseline!W18),0),(_xlfn.IFNA(VLOOKUP(Referentie_MKI_Totaal[[#This Row],[Product]]&amp;", "&amp;Referentie_MKI_Totaal[[#Headers],[A5]],Database_Productkaarten[#All],14,FALSE),0)*Baseline!I18)),0)</f>
        <v>0</v>
      </c>
      <c r="J16" s="265"/>
      <c r="K16" s="265">
        <f>(IF(Baseline!C18="Nieuwe Situatie",(SUM(Referentie_MKI_Totaal[[#This Row],[A1]:[B1]],Referentie_MKI_Totaal[[#This Row],[C1]:[D2]])*Baseline!R18),0))</f>
        <v>0</v>
      </c>
      <c r="L16" s="265">
        <f>IF(Baseline!C18="Bestaande situatie",IF(_xlfn.IFNA((VLOOKUP(Baseline!Y18,Database_Asfalt_Verwijderset[#All],7,FALSE)*Baseline!I18),0)+_xlfn.IFNA(VLOOKUP(Baseline!Z18,Database_Brandstoffen[#All],7,FALSE)*((Baseline!I18/Baseline!AB18)*Baseline!AA18),0)&gt;0,_xlfn.IFNA((VLOOKUP(Baseline!Y18,Database_Asfalt_Verwijderset[#All],7,FALSE)*Baseline!I18),0)+_xlfn.IFNA(VLOOKUP(Baseline!Z18,Database_Brandstoffen[#All],7,FALSE)*((Baseline!I18/Baseline!AB18)*Baseline!AA18),0),(_xlfn.IFNA(VLOOKUP(Referentie_MKI_Totaal[[#This Row],[Product]]&amp;", "&amp;Referentie_MKI_Totaal[[#Headers],[C1]],Database_Productkaarten[#All],14,FALSE),0)*Baseline!I18)),0)</f>
        <v>415.51456317333333</v>
      </c>
      <c r="M16" s="265">
        <f>IF(Baseline!AD18=0,(IF(Baseline!C18="Bestaande Situatie",(_xlfn.IFNA(VLOOKUP(Referentie_MKI_Totaal[[#This Row],[Product]]&amp;", "&amp;Referentie_MKI_Totaal[[#Headers],[C2]],Database_Productkaarten[#All],14,FALSE),0)*Baseline!I18),0)),(IF(Baseline!C18="Bestaande Situatie",_xlfn.IFNA(VLOOKUP(Baseline!AD18,Database_Transport[#All],7,FALSE)*(Baseline!Q18*Baseline!AC18),0))))</f>
        <v>1402.8432682550001</v>
      </c>
      <c r="N16" s="265">
        <f>(IF(Baseline!C18="Bestaande Situatie",(_xlfn.IFNA(VLOOKUP(Referentie_MKI_Totaal[[#This Row],[Product]]&amp;", "&amp;Referentie_MKI_Totaal[[#Headers],[C3]],Database_Productkaarten[#All],14,FALSE),0)*Baseline!I18),0))</f>
        <v>0</v>
      </c>
      <c r="O16" s="265">
        <f>(IF(Baseline!C18="Bestaande Situatie",(_xlfn.IFNA(VLOOKUP(Referentie_MKI_Totaal[[#This Row],[Product]]&amp;", "&amp;Referentie_MKI_Totaal[[#Headers],[C4]],Database_Productkaarten[#All],14,FALSE),0)*Baseline!I18),0))</f>
        <v>60.641600000000004</v>
      </c>
      <c r="P16" s="265">
        <f>(IF(Baseline!C18="Bestaande Situatie",(_xlfn.IFNA(VLOOKUP(Referentie_MKI_Totaal[[#This Row],[Product]]&amp;", "&amp;Referentie_MKI_Totaal[[#Headers],[D1]],Database_Productkaarten[#All],14,FALSE),0)*Baseline!I18),0))</f>
        <v>0</v>
      </c>
      <c r="Q16" s="265">
        <f>(IF(Baseline!C18="Bestaande Situatie",_xlfn.IFNA(VLOOKUP(Referentie_MKI_Totaal[[#This Row],[Product]]&amp;", "&amp;Referentie_MKI_Totaal[[#Headers],[D2]],Database_Productkaarten[#All],14,FALSE),0)*Baseline!I18,0))</f>
        <v>0</v>
      </c>
      <c r="R16" s="265">
        <f>(IF(Baseline!C18="Bestaande Situatie",(_xlfn.IFNA(VLOOKUP(Referentie_MKI_Totaal[[#This Row],[Product]]&amp;", "&amp;Referentie_MKI_Totaal[[#Headers],[D]],Database_Productkaarten[#All],14,FALSE),0)*Baseline!I18),0))</f>
        <v>0</v>
      </c>
      <c r="S16" s="266">
        <f>SUM(Referentie_MKI_Totaal[[#This Row],[A1-A3]:[C4]])+Referentie_MKI_Totaal[[#This Row],[D]]</f>
        <v>1878.9994314283333</v>
      </c>
      <c r="V16" s="331">
        <f>SUM(Referentie_MKI_Totaal[[#This Row],[A1-A3]]+Referentie_MKI_Totaal[[#This Row],[A4]]+Referentie_MKI_Totaal[[#This Row],[C2]]+Referentie_MKI_Totaal[[#This Row],[C3]]+Referentie_MKI_Totaal[[#This Row],[C4]]+Referentie_MKI_Totaal[[#This Row],[D]])*(VLOOKUP(Referentie_MKI_Totaal[[#This Row],[Product]]&amp;", "&amp;Referentie_MKI_Totaal[[#Headers],[A5]],Database_Productkaarten[#All],66,FALSE))</f>
        <v>73.174243412750002</v>
      </c>
    </row>
    <row r="17" spans="2:22">
      <c r="B17" s="263" t="str">
        <f>Baseline!B19</f>
        <v>210020 - Grond ontgraven uit sleuf riolering (gerekend met 11,5m3/m1 riool)</v>
      </c>
      <c r="C17" s="264" t="str">
        <f>Baseline!F19</f>
        <v>Ophoogmateriaal (Grond)</v>
      </c>
      <c r="D17" s="265">
        <f>(IF(Baseline!C19="Nieuwe Situatie",(_xlfn.IFNA(VLOOKUP(Referentie_MKI_Totaal[[#This Row],[Product]]&amp;", "&amp;Referentie_MKI_Totaal[[#Headers],[A1]],Database_Productkaarten[#All],14,FALSE),0)*Baseline!I19),0))</f>
        <v>0</v>
      </c>
      <c r="E17" s="265">
        <f>(IF(Baseline!C19="Nieuwe Situatie",(_xlfn.IFNA(VLOOKUP(Referentie_MKI_Totaal[[#This Row],[Product]]&amp;", "&amp;Referentie_MKI_Totaal[[#Headers],[A2]],Database_Productkaarten[#All],14,FALSE),0)*Baseline!I19),0))</f>
        <v>0</v>
      </c>
      <c r="F17" s="265">
        <f>(IF(Baseline!C19="Nieuwe Situatie",(_xlfn.IFNA(VLOOKUP(Referentie_MKI_Totaal[[#This Row],[Product]]&amp;", "&amp;Referentie_MKI_Totaal[[#Headers],[A3]],Database_Productkaarten[#All],14,FALSE),0)*Baseline!I19),0))</f>
        <v>0</v>
      </c>
      <c r="G17" s="265">
        <f>(IF(Baseline!C19="Nieuwe Situatie",(_xlfn.IFNA(VLOOKUP(Referentie_MKI_Totaal[[#This Row],[Product]]&amp;", "&amp;Referentie_MKI_Totaal[[#Headers],[A1-A3]],Database_Productkaarten[#All],14,FALSE),0)*Baseline!I19),0))</f>
        <v>0</v>
      </c>
      <c r="H17" s="265">
        <f>IF(Baseline!T19=0,(IF(Baseline!C19="Nieuwe Situatie",(_xlfn.IFNA(VLOOKUP(Referentie_MKI_Totaal[[#This Row],[Product]]&amp;", "&amp;Referentie_MKI_Totaal[[#Headers],[A4]],Database_Productkaarten[#All],14,FALSE),0)*Baseline!Q19),0)),(IF(Baseline!C19="Nieuwe Situatie",_xlfn.IFNA(VLOOKUP(Baseline!T19,Database_Transport[#All],7,FALSE)*(Baseline!Q19*Baseline!S19),0))))</f>
        <v>0</v>
      </c>
      <c r="I17" s="265">
        <f>IF(Baseline!C19="Nieuwe situatie",IF(_xlfn.IFNA((VLOOKUP(Baseline!U19,Database_Asfalt_Aanlegset[#All],7,FALSE)*Baseline!I19),0)+_xlfn.IFNA(VLOOKUP(Baseline!V19,Database_Brandstoffen[#All],7,FALSE)*((Baseline!I19/Baseline!X19)*Baseline!W19),0)&gt;0,_xlfn.IFNA((VLOOKUP(Baseline!U19,Database_Asfalt_Aanlegset[#All],7,FALSE)*Baseline!I19),0)+_xlfn.IFNA(VLOOKUP(Baseline!V19,Database_Brandstoffen[#All],7,FALSE)*((Baseline!I19/Baseline!X19)*Baseline!W19),0),(_xlfn.IFNA(VLOOKUP(Referentie_MKI_Totaal[[#This Row],[Product]]&amp;", "&amp;Referentie_MKI_Totaal[[#Headers],[A5]],Database_Productkaarten[#All],14,FALSE),0)*Baseline!I19)),0)</f>
        <v>0</v>
      </c>
      <c r="J17" s="265"/>
      <c r="K17" s="265">
        <f>(IF(Baseline!C19="Nieuwe Situatie",(SUM(Referentie_MKI_Totaal[[#This Row],[A1]:[B1]],Referentie_MKI_Totaal[[#This Row],[C1]:[D2]])*Baseline!R19),0))</f>
        <v>0</v>
      </c>
      <c r="L17" s="265">
        <f>IF(Baseline!C19="Bestaande situatie",IF(_xlfn.IFNA((VLOOKUP(Baseline!Y19,Database_Asfalt_Verwijderset[#All],7,FALSE)*Baseline!I19),0)+_xlfn.IFNA(VLOOKUP(Baseline!Z19,Database_Brandstoffen[#All],7,FALSE)*((Baseline!I19/Baseline!AB19)*Baseline!AA19),0)&gt;0,_xlfn.IFNA((VLOOKUP(Baseline!Y19,Database_Asfalt_Verwijderset[#All],7,FALSE)*Baseline!I19),0)+_xlfn.IFNA(VLOOKUP(Baseline!Z19,Database_Brandstoffen[#All],7,FALSE)*((Baseline!I19/Baseline!AB19)*Baseline!AA19),0),(_xlfn.IFNA(VLOOKUP(Referentie_MKI_Totaal[[#This Row],[Product]]&amp;", "&amp;Referentie_MKI_Totaal[[#Headers],[C1]],Database_Productkaarten[#All],14,FALSE),0)*Baseline!I19)),0)</f>
        <v>1564.3874987999998</v>
      </c>
      <c r="M17" s="265">
        <f>IF(Baseline!AD19=0,(IF(Baseline!C19="Bestaande Situatie",(_xlfn.IFNA(VLOOKUP(Referentie_MKI_Totaal[[#This Row],[Product]]&amp;", "&amp;Referentie_MKI_Totaal[[#Headers],[C2]],Database_Productkaarten[#All],14,FALSE),0)*Baseline!I19),0)),(IF(Baseline!C19="Bestaande Situatie",_xlfn.IFNA(VLOOKUP(Baseline!AD19,Database_Transport[#All],7,FALSE)*(Baseline!Q19*Baseline!AC19),0))))</f>
        <v>1320.4052674312502</v>
      </c>
      <c r="N17" s="265">
        <f>(IF(Baseline!C19="Bestaande Situatie",(_xlfn.IFNA(VLOOKUP(Referentie_MKI_Totaal[[#This Row],[Product]]&amp;", "&amp;Referentie_MKI_Totaal[[#Headers],[C3]],Database_Productkaarten[#All],14,FALSE),0)*Baseline!I19),0))</f>
        <v>0</v>
      </c>
      <c r="O17" s="265">
        <f>(IF(Baseline!C19="Bestaande Situatie",(_xlfn.IFNA(VLOOKUP(Referentie_MKI_Totaal[[#This Row],[Product]]&amp;", "&amp;Referentie_MKI_Totaal[[#Headers],[C4]],Database_Productkaarten[#All],14,FALSE),0)*Baseline!I19),0))</f>
        <v>228.31200000000001</v>
      </c>
      <c r="P17" s="265">
        <f>(IF(Baseline!C19="Bestaande Situatie",(_xlfn.IFNA(VLOOKUP(Referentie_MKI_Totaal[[#This Row],[Product]]&amp;", "&amp;Referentie_MKI_Totaal[[#Headers],[D1]],Database_Productkaarten[#All],14,FALSE),0)*Baseline!I19),0))</f>
        <v>0</v>
      </c>
      <c r="Q17" s="265">
        <f>(IF(Baseline!C19="Bestaande Situatie",_xlfn.IFNA(VLOOKUP(Referentie_MKI_Totaal[[#This Row],[Product]]&amp;", "&amp;Referentie_MKI_Totaal[[#Headers],[D2]],Database_Productkaarten[#All],14,FALSE),0)*Baseline!I19,0))</f>
        <v>0</v>
      </c>
      <c r="R17" s="265">
        <f>(IF(Baseline!C19="Bestaande Situatie",(_xlfn.IFNA(VLOOKUP(Referentie_MKI_Totaal[[#This Row],[Product]]&amp;", "&amp;Referentie_MKI_Totaal[[#Headers],[D]],Database_Productkaarten[#All],14,FALSE),0)*Baseline!I19),0))</f>
        <v>0</v>
      </c>
      <c r="S17" s="266">
        <f>SUM(Referentie_MKI_Totaal[[#This Row],[A1-A3]:[C4]])+Referentie_MKI_Totaal[[#This Row],[D]]</f>
        <v>3113.1047662312499</v>
      </c>
      <c r="V17" s="331">
        <f>SUM(Referentie_MKI_Totaal[[#This Row],[A1-A3]]+Referentie_MKI_Totaal[[#This Row],[A4]]+Referentie_MKI_Totaal[[#This Row],[C2]]+Referentie_MKI_Totaal[[#This Row],[C3]]+Referentie_MKI_Totaal[[#This Row],[C4]]+Referentie_MKI_Totaal[[#This Row],[D]])*(VLOOKUP(Referentie_MKI_Totaal[[#This Row],[Product]]&amp;", "&amp;Referentie_MKI_Totaal[[#Headers],[A5]],Database_Productkaarten[#All],66,FALSE))</f>
        <v>77.435863371562505</v>
      </c>
    </row>
    <row r="18" spans="2:22">
      <c r="B18" s="263" t="str">
        <f>Baseline!B20</f>
        <v>210030 - Grond ontgraven uit plantvak</v>
      </c>
      <c r="C18" s="264" t="str">
        <f>Baseline!F20</f>
        <v>Ophoogmateriaal (Grond)</v>
      </c>
      <c r="D18" s="265">
        <f>(IF(Baseline!C20="Nieuwe Situatie",(_xlfn.IFNA(VLOOKUP(Referentie_MKI_Totaal[[#This Row],[Product]]&amp;", "&amp;Referentie_MKI_Totaal[[#Headers],[A1]],Database_Productkaarten[#All],14,FALSE),0)*Baseline!I20),0))</f>
        <v>0</v>
      </c>
      <c r="E18" s="265">
        <f>(IF(Baseline!C20="Nieuwe Situatie",(_xlfn.IFNA(VLOOKUP(Referentie_MKI_Totaal[[#This Row],[Product]]&amp;", "&amp;Referentie_MKI_Totaal[[#Headers],[A2]],Database_Productkaarten[#All],14,FALSE),0)*Baseline!I20),0))</f>
        <v>0</v>
      </c>
      <c r="F18" s="265">
        <f>(IF(Baseline!C20="Nieuwe Situatie",(_xlfn.IFNA(VLOOKUP(Referentie_MKI_Totaal[[#This Row],[Product]]&amp;", "&amp;Referentie_MKI_Totaal[[#Headers],[A3]],Database_Productkaarten[#All],14,FALSE),0)*Baseline!I20),0))</f>
        <v>0</v>
      </c>
      <c r="G18" s="265">
        <f>(IF(Baseline!C20="Nieuwe Situatie",(_xlfn.IFNA(VLOOKUP(Referentie_MKI_Totaal[[#This Row],[Product]]&amp;", "&amp;Referentie_MKI_Totaal[[#Headers],[A1-A3]],Database_Productkaarten[#All],14,FALSE),0)*Baseline!I20),0))</f>
        <v>0</v>
      </c>
      <c r="H18" s="265">
        <f>IF(Baseline!T20=0,(IF(Baseline!C20="Nieuwe Situatie",(_xlfn.IFNA(VLOOKUP(Referentie_MKI_Totaal[[#This Row],[Product]]&amp;", "&amp;Referentie_MKI_Totaal[[#Headers],[A4]],Database_Productkaarten[#All],14,FALSE),0)*Baseline!Q20),0)),(IF(Baseline!C20="Nieuwe Situatie",_xlfn.IFNA(VLOOKUP(Baseline!T20,Database_Transport[#All],7,FALSE)*(Baseline!Q20*Baseline!S20),0))))</f>
        <v>0</v>
      </c>
      <c r="I18" s="265">
        <f>IF(Baseline!C20="Nieuwe situatie",IF(_xlfn.IFNA((VLOOKUP(Baseline!U20,Database_Asfalt_Aanlegset[#All],7,FALSE)*Baseline!I20),0)+_xlfn.IFNA(VLOOKUP(Baseline!V20,Database_Brandstoffen[#All],7,FALSE)*((Baseline!I20/Baseline!X20)*Baseline!W20),0)&gt;0,_xlfn.IFNA((VLOOKUP(Baseline!U20,Database_Asfalt_Aanlegset[#All],7,FALSE)*Baseline!I20),0)+_xlfn.IFNA(VLOOKUP(Baseline!V20,Database_Brandstoffen[#All],7,FALSE)*((Baseline!I20/Baseline!X20)*Baseline!W20),0),(_xlfn.IFNA(VLOOKUP(Referentie_MKI_Totaal[[#This Row],[Product]]&amp;", "&amp;Referentie_MKI_Totaal[[#Headers],[A5]],Database_Productkaarten[#All],14,FALSE),0)*Baseline!I20)),0)</f>
        <v>0</v>
      </c>
      <c r="J18" s="265"/>
      <c r="K18" s="265">
        <f>(IF(Baseline!C20="Nieuwe Situatie",(SUM(Referentie_MKI_Totaal[[#This Row],[A1]:[B1]],Referentie_MKI_Totaal[[#This Row],[C1]:[D2]])*Baseline!R20),0))</f>
        <v>0</v>
      </c>
      <c r="L18" s="265">
        <f>IF(Baseline!C20="Bestaande situatie",IF(_xlfn.IFNA((VLOOKUP(Baseline!Y20,Database_Asfalt_Verwijderset[#All],7,FALSE)*Baseline!I20),0)+_xlfn.IFNA(VLOOKUP(Baseline!Z20,Database_Brandstoffen[#All],7,FALSE)*((Baseline!I20/Baseline!AB20)*Baseline!AA20),0)&gt;0,_xlfn.IFNA((VLOOKUP(Baseline!Y20,Database_Asfalt_Verwijderset[#All],7,FALSE)*Baseline!I20),0)+_xlfn.IFNA(VLOOKUP(Baseline!Z20,Database_Brandstoffen[#All],7,FALSE)*((Baseline!I20/Baseline!AB20)*Baseline!AA20),0),(_xlfn.IFNA(VLOOKUP(Referentie_MKI_Totaal[[#This Row],[Product]]&amp;", "&amp;Referentie_MKI_Totaal[[#Headers],[C1]],Database_Productkaarten[#All],14,FALSE),0)*Baseline!I20)),0)</f>
        <v>387.70322986133328</v>
      </c>
      <c r="M18" s="265">
        <f>IF(Baseline!AD20=0,(IF(Baseline!C20="Bestaande Situatie",(_xlfn.IFNA(VLOOKUP(Referentie_MKI_Totaal[[#This Row],[Product]]&amp;", "&amp;Referentie_MKI_Totaal[[#Headers],[C2]],Database_Productkaarten[#All],14,FALSE),0)*Baseline!I20),0)),(IF(Baseline!C20="Bestaande Situatie",_xlfn.IFNA(VLOOKUP(Baseline!AD20,Database_Transport[#All],7,FALSE)*(Baseline!Q20*Baseline!AC20),0))))</f>
        <v>1308.9477825710001</v>
      </c>
      <c r="N18" s="265">
        <f>(IF(Baseline!C20="Bestaande Situatie",(_xlfn.IFNA(VLOOKUP(Referentie_MKI_Totaal[[#This Row],[Product]]&amp;", "&amp;Referentie_MKI_Totaal[[#Headers],[C3]],Database_Productkaarten[#All],14,FALSE),0)*Baseline!I20),0))</f>
        <v>0</v>
      </c>
      <c r="O18" s="265">
        <f>(IF(Baseline!C20="Bestaande Situatie",(_xlfn.IFNA(VLOOKUP(Referentie_MKI_Totaal[[#This Row],[Product]]&amp;", "&amp;Referentie_MKI_Totaal[[#Headers],[C4]],Database_Productkaarten[#All],14,FALSE),0)*Baseline!I20),0))</f>
        <v>56.582720000000002</v>
      </c>
      <c r="P18" s="265">
        <f>(IF(Baseline!C20="Bestaande Situatie",(_xlfn.IFNA(VLOOKUP(Referentie_MKI_Totaal[[#This Row],[Product]]&amp;", "&amp;Referentie_MKI_Totaal[[#Headers],[D1]],Database_Productkaarten[#All],14,FALSE),0)*Baseline!I20),0))</f>
        <v>0</v>
      </c>
      <c r="Q18" s="265">
        <f>(IF(Baseline!C20="Bestaande Situatie",_xlfn.IFNA(VLOOKUP(Referentie_MKI_Totaal[[#This Row],[Product]]&amp;", "&amp;Referentie_MKI_Totaal[[#Headers],[D2]],Database_Productkaarten[#All],14,FALSE),0)*Baseline!I20,0))</f>
        <v>0</v>
      </c>
      <c r="R18" s="265">
        <f>(IF(Baseline!C20="Bestaande Situatie",(_xlfn.IFNA(VLOOKUP(Referentie_MKI_Totaal[[#This Row],[Product]]&amp;", "&amp;Referentie_MKI_Totaal[[#Headers],[D]],Database_Productkaarten[#All],14,FALSE),0)*Baseline!I20),0))</f>
        <v>0</v>
      </c>
      <c r="S18" s="266">
        <f>SUM(Referentie_MKI_Totaal[[#This Row],[A1-A3]:[C4]])+Referentie_MKI_Totaal[[#This Row],[D]]</f>
        <v>1753.2337324323335</v>
      </c>
      <c r="V18" s="331">
        <f>SUM(Referentie_MKI_Totaal[[#This Row],[A1-A3]]+Referentie_MKI_Totaal[[#This Row],[A4]]+Referentie_MKI_Totaal[[#This Row],[C2]]+Referentie_MKI_Totaal[[#This Row],[C3]]+Referentie_MKI_Totaal[[#This Row],[C4]]+Referentie_MKI_Totaal[[#This Row],[D]])*(VLOOKUP(Referentie_MKI_Totaal[[#This Row],[Product]]&amp;", "&amp;Referentie_MKI_Totaal[[#Headers],[A5]],Database_Productkaarten[#All],66,FALSE))</f>
        <v>68.276525128550006</v>
      </c>
    </row>
    <row r="19" spans="2:22">
      <c r="B19" s="263" t="str">
        <f>Baseline!B21</f>
        <v>220010 - Grond verwerken in sleuf riolering</v>
      </c>
      <c r="C19" s="264" t="str">
        <f>Baseline!F21</f>
        <v>Ophoogmateriaal (Grond)</v>
      </c>
      <c r="D19" s="265">
        <f>(IF(Baseline!C21="Nieuwe Situatie",(_xlfn.IFNA(VLOOKUP(Referentie_MKI_Totaal[[#This Row],[Product]]&amp;", "&amp;Referentie_MKI_Totaal[[#Headers],[A1]],Database_Productkaarten[#All],14,FALSE),0)*Baseline!I21),0))</f>
        <v>0</v>
      </c>
      <c r="E19" s="265">
        <f>(IF(Baseline!C21="Nieuwe Situatie",(_xlfn.IFNA(VLOOKUP(Referentie_MKI_Totaal[[#This Row],[Product]]&amp;", "&amp;Referentie_MKI_Totaal[[#Headers],[A2]],Database_Productkaarten[#All],14,FALSE),0)*Baseline!I21),0))</f>
        <v>0</v>
      </c>
      <c r="F19" s="265">
        <f>(IF(Baseline!C21="Nieuwe Situatie",(_xlfn.IFNA(VLOOKUP(Referentie_MKI_Totaal[[#This Row],[Product]]&amp;", "&amp;Referentie_MKI_Totaal[[#Headers],[A3]],Database_Productkaarten[#All],14,FALSE),0)*Baseline!I21),0))</f>
        <v>0</v>
      </c>
      <c r="G19" s="265">
        <f>(IF(Baseline!C21="Nieuwe Situatie",(_xlfn.IFNA(VLOOKUP(Referentie_MKI_Totaal[[#This Row],[Product]]&amp;", "&amp;Referentie_MKI_Totaal[[#Headers],[A1-A3]],Database_Productkaarten[#All],14,FALSE),0)*Baseline!I21),0))</f>
        <v>0</v>
      </c>
      <c r="H19" s="265">
        <f>IF(Baseline!T21=0,(IF(Baseline!C21="Nieuwe Situatie",(_xlfn.IFNA(VLOOKUP(Referentie_MKI_Totaal[[#This Row],[Product]]&amp;", "&amp;Referentie_MKI_Totaal[[#Headers],[A4]],Database_Productkaarten[#All],14,FALSE),0)*Baseline!Q21),0)),(IF(Baseline!C21="Nieuwe Situatie",_xlfn.IFNA(VLOOKUP(Baseline!T21,Database_Transport[#All],7,FALSE)*(Baseline!Q21*Baseline!S21),0))))</f>
        <v>1320.4052674312502</v>
      </c>
      <c r="I19" s="265">
        <f>IF(Baseline!C21="Nieuwe situatie",IF(_xlfn.IFNA((VLOOKUP(Baseline!U21,Database_Asfalt_Aanlegset[#All],7,FALSE)*Baseline!I21),0)+_xlfn.IFNA(VLOOKUP(Baseline!V21,Database_Brandstoffen[#All],7,FALSE)*((Baseline!I21/Baseline!X21)*Baseline!W21),0)&gt;0,_xlfn.IFNA((VLOOKUP(Baseline!U21,Database_Asfalt_Aanlegset[#All],7,FALSE)*Baseline!I21),0)+_xlfn.IFNA(VLOOKUP(Baseline!V21,Database_Brandstoffen[#All],7,FALSE)*((Baseline!I21/Baseline!X21)*Baseline!W21),0),(_xlfn.IFNA(VLOOKUP(Referentie_MKI_Totaal[[#This Row],[Product]]&amp;", "&amp;Referentie_MKI_Totaal[[#Headers],[A5]],Database_Productkaarten[#All],14,FALSE),0)*Baseline!I21)),0)</f>
        <v>3379.4929350000002</v>
      </c>
      <c r="J19" s="265"/>
      <c r="K19" s="265">
        <f>(IF(Baseline!C21="Nieuwe Situatie",(SUM(Referentie_MKI_Totaal[[#This Row],[A1]:[B1]],Referentie_MKI_Totaal[[#This Row],[C1]:[D2]])*Baseline!R21),0))</f>
        <v>0</v>
      </c>
      <c r="L19" s="265">
        <f>IF(Baseline!C21="Bestaande situatie",IF(_xlfn.IFNA((VLOOKUP(Baseline!Y21,Database_Asfalt_Verwijderset[#All],7,FALSE)*Baseline!I21),0)+_xlfn.IFNA(VLOOKUP(Baseline!Z21,Database_Brandstoffen[#All],7,FALSE)*((Baseline!I21/Baseline!AB21)*Baseline!AA21),0)&gt;0,_xlfn.IFNA((VLOOKUP(Baseline!Y21,Database_Asfalt_Verwijderset[#All],7,FALSE)*Baseline!I21),0)+_xlfn.IFNA(VLOOKUP(Baseline!Z21,Database_Brandstoffen[#All],7,FALSE)*((Baseline!I21/Baseline!AB21)*Baseline!AA21),0),(_xlfn.IFNA(VLOOKUP(Referentie_MKI_Totaal[[#This Row],[Product]]&amp;", "&amp;Referentie_MKI_Totaal[[#Headers],[C1]],Database_Productkaarten[#All],14,FALSE),0)*Baseline!I21)),0)</f>
        <v>0</v>
      </c>
      <c r="M19" s="265">
        <f>IF(Baseline!AD21=0,(IF(Baseline!C21="Bestaande Situatie",(_xlfn.IFNA(VLOOKUP(Referentie_MKI_Totaal[[#This Row],[Product]]&amp;", "&amp;Referentie_MKI_Totaal[[#Headers],[C2]],Database_Productkaarten[#All],14,FALSE),0)*Baseline!I21),0)),(IF(Baseline!C21="Bestaande Situatie",_xlfn.IFNA(VLOOKUP(Baseline!AD21,Database_Transport[#All],7,FALSE)*(Baseline!Q21*Baseline!AC21),0))))</f>
        <v>0</v>
      </c>
      <c r="N19" s="265">
        <f>(IF(Baseline!C21="Bestaande Situatie",(_xlfn.IFNA(VLOOKUP(Referentie_MKI_Totaal[[#This Row],[Product]]&amp;", "&amp;Referentie_MKI_Totaal[[#Headers],[C3]],Database_Productkaarten[#All],14,FALSE),0)*Baseline!I21),0))</f>
        <v>0</v>
      </c>
      <c r="O19" s="265">
        <f>(IF(Baseline!C21="Bestaande Situatie",(_xlfn.IFNA(VLOOKUP(Referentie_MKI_Totaal[[#This Row],[Product]]&amp;", "&amp;Referentie_MKI_Totaal[[#Headers],[C4]],Database_Productkaarten[#All],14,FALSE),0)*Baseline!I21),0))</f>
        <v>0</v>
      </c>
      <c r="P19" s="265">
        <f>(IF(Baseline!C21="Bestaande Situatie",(_xlfn.IFNA(VLOOKUP(Referentie_MKI_Totaal[[#This Row],[Product]]&amp;", "&amp;Referentie_MKI_Totaal[[#Headers],[D1]],Database_Productkaarten[#All],14,FALSE),0)*Baseline!I21),0))</f>
        <v>0</v>
      </c>
      <c r="Q19" s="265">
        <f>(IF(Baseline!C21="Bestaande Situatie",_xlfn.IFNA(VLOOKUP(Referentie_MKI_Totaal[[#This Row],[Product]]&amp;", "&amp;Referentie_MKI_Totaal[[#Headers],[D2]],Database_Productkaarten[#All],14,FALSE),0)*Baseline!I21,0))</f>
        <v>0</v>
      </c>
      <c r="R19" s="265">
        <f>(IF(Baseline!C21="Bestaande Situatie",(_xlfn.IFNA(VLOOKUP(Referentie_MKI_Totaal[[#This Row],[Product]]&amp;", "&amp;Referentie_MKI_Totaal[[#Headers],[D]],Database_Productkaarten[#All],14,FALSE),0)*Baseline!I21),0))</f>
        <v>0</v>
      </c>
      <c r="S19" s="266">
        <f>SUM(Referentie_MKI_Totaal[[#This Row],[A1-A3]:[C4]])+Referentie_MKI_Totaal[[#This Row],[D]]</f>
        <v>4699.89820243125</v>
      </c>
      <c r="V19" s="331">
        <f>SUM(Referentie_MKI_Totaal[[#This Row],[A1-A3]]+Referentie_MKI_Totaal[[#This Row],[A4]]+Referentie_MKI_Totaal[[#This Row],[C2]]+Referentie_MKI_Totaal[[#This Row],[C3]]+Referentie_MKI_Totaal[[#This Row],[C4]]+Referentie_MKI_Totaal[[#This Row],[D]])*(VLOOKUP(Referentie_MKI_Totaal[[#This Row],[Product]]&amp;", "&amp;Referentie_MKI_Totaal[[#Headers],[A5]],Database_Productkaarten[#All],66,FALSE))</f>
        <v>66.020263371562507</v>
      </c>
    </row>
    <row r="20" spans="2:22">
      <c r="B20" s="263" t="str">
        <f>Baseline!B22</f>
        <v>220020 - Leveren en aanbrengen zand voor zand (gemiddeld 100 mm)</v>
      </c>
      <c r="C20" s="264" t="str">
        <f>Baseline!F22</f>
        <v>Ophoogmateriaal (Zand)</v>
      </c>
      <c r="D20" s="265">
        <f>(IF(Baseline!C22="Nieuwe Situatie",(_xlfn.IFNA(VLOOKUP(Referentie_MKI_Totaal[[#This Row],[Product]]&amp;", "&amp;Referentie_MKI_Totaal[[#Headers],[A1]],Database_Productkaarten[#All],14,FALSE),0)*Baseline!I22),0))</f>
        <v>0</v>
      </c>
      <c r="E20" s="265">
        <f>(IF(Baseline!C22="Nieuwe Situatie",(_xlfn.IFNA(VLOOKUP(Referentie_MKI_Totaal[[#This Row],[Product]]&amp;", "&amp;Referentie_MKI_Totaal[[#Headers],[A2]],Database_Productkaarten[#All],14,FALSE),0)*Baseline!I22),0))</f>
        <v>0</v>
      </c>
      <c r="F20" s="265">
        <f>(IF(Baseline!C22="Nieuwe Situatie",(_xlfn.IFNA(VLOOKUP(Referentie_MKI_Totaal[[#This Row],[Product]]&amp;", "&amp;Referentie_MKI_Totaal[[#Headers],[A3]],Database_Productkaarten[#All],14,FALSE),0)*Baseline!I22),0))</f>
        <v>0</v>
      </c>
      <c r="G20" s="265">
        <f>(IF(Baseline!C22="Nieuwe Situatie",(_xlfn.IFNA(VLOOKUP(Referentie_MKI_Totaal[[#This Row],[Product]]&amp;", "&amp;Referentie_MKI_Totaal[[#Headers],[A1-A3]],Database_Productkaarten[#All],14,FALSE),0)*Baseline!I22),0))</f>
        <v>5493.9290000000001</v>
      </c>
      <c r="H20" s="265">
        <f>IF(Baseline!T22=0,(IF(Baseline!C22="Nieuwe Situatie",(_xlfn.IFNA(VLOOKUP(Referentie_MKI_Totaal[[#This Row],[Product]]&amp;", "&amp;Referentie_MKI_Totaal[[#Headers],[A4]],Database_Productkaarten[#All],14,FALSE),0)*Baseline!Q22),0)),(IF(Baseline!C22="Nieuwe Situatie",_xlfn.IFNA(VLOOKUP(Baseline!T22,Database_Transport[#All],7,FALSE)*(Baseline!Q22*Baseline!S22),0))))</f>
        <v>631.98884595000004</v>
      </c>
      <c r="I20" s="265">
        <f>IF(Baseline!C22="Nieuwe situatie",IF(_xlfn.IFNA((VLOOKUP(Baseline!U22,Database_Asfalt_Aanlegset[#All],7,FALSE)*Baseline!I22),0)+_xlfn.IFNA(VLOOKUP(Baseline!V22,Database_Brandstoffen[#All],7,FALSE)*((Baseline!I22/Baseline!X22)*Baseline!W22),0)&gt;0,_xlfn.IFNA((VLOOKUP(Baseline!U22,Database_Asfalt_Aanlegset[#All],7,FALSE)*Baseline!I22),0)+_xlfn.IFNA(VLOOKUP(Baseline!V22,Database_Brandstoffen[#All],7,FALSE)*((Baseline!I22/Baseline!X22)*Baseline!W22),0),(_xlfn.IFNA(VLOOKUP(Referentie_MKI_Totaal[[#This Row],[Product]]&amp;", "&amp;Referentie_MKI_Totaal[[#Headers],[A5]],Database_Productkaarten[#All],14,FALSE),0)*Baseline!I22)),0)</f>
        <v>521.71925120000003</v>
      </c>
      <c r="J20" s="265"/>
      <c r="K20" s="265">
        <f>(IF(Baseline!C22="Nieuwe Situatie",(SUM(Referentie_MKI_Totaal[[#This Row],[A1]:[B1]],Referentie_MKI_Totaal[[#This Row],[C1]:[D2]])*Baseline!R22),0))</f>
        <v>0</v>
      </c>
      <c r="L20" s="265">
        <f>IF(Baseline!C22="Bestaande situatie",IF(_xlfn.IFNA((VLOOKUP(Baseline!Y22,Database_Asfalt_Verwijderset[#All],7,FALSE)*Baseline!I22),0)+_xlfn.IFNA(VLOOKUP(Baseline!Z22,Database_Brandstoffen[#All],7,FALSE)*((Baseline!I22/Baseline!AB22)*Baseline!AA22),0)&gt;0,_xlfn.IFNA((VLOOKUP(Baseline!Y22,Database_Asfalt_Verwijderset[#All],7,FALSE)*Baseline!I22),0)+_xlfn.IFNA(VLOOKUP(Baseline!Z22,Database_Brandstoffen[#All],7,FALSE)*((Baseline!I22/Baseline!AB22)*Baseline!AA22),0),(_xlfn.IFNA(VLOOKUP(Referentie_MKI_Totaal[[#This Row],[Product]]&amp;", "&amp;Referentie_MKI_Totaal[[#Headers],[C1]],Database_Productkaarten[#All],14,FALSE),0)*Baseline!I22)),0)</f>
        <v>0</v>
      </c>
      <c r="M20" s="265">
        <f>IF(Baseline!AD22=0,(IF(Baseline!C22="Bestaande Situatie",(_xlfn.IFNA(VLOOKUP(Referentie_MKI_Totaal[[#This Row],[Product]]&amp;", "&amp;Referentie_MKI_Totaal[[#Headers],[C2]],Database_Productkaarten[#All],14,FALSE),0)*Baseline!I22),0)),(IF(Baseline!C22="Bestaande Situatie",_xlfn.IFNA(VLOOKUP(Baseline!AD22,Database_Transport[#All],7,FALSE)*(Baseline!Q22*Baseline!AC22),0))))</f>
        <v>0</v>
      </c>
      <c r="N20" s="265">
        <f>(IF(Baseline!C22="Bestaande Situatie",(_xlfn.IFNA(VLOOKUP(Referentie_MKI_Totaal[[#This Row],[Product]]&amp;", "&amp;Referentie_MKI_Totaal[[#Headers],[C3]],Database_Productkaarten[#All],14,FALSE),0)*Baseline!I22),0))</f>
        <v>0</v>
      </c>
      <c r="O20" s="265">
        <f>(IF(Baseline!C22="Bestaande Situatie",(_xlfn.IFNA(VLOOKUP(Referentie_MKI_Totaal[[#This Row],[Product]]&amp;", "&amp;Referentie_MKI_Totaal[[#Headers],[C4]],Database_Productkaarten[#All],14,FALSE),0)*Baseline!I22),0))</f>
        <v>0</v>
      </c>
      <c r="P20" s="265">
        <f>(IF(Baseline!C22="Bestaande Situatie",(_xlfn.IFNA(VLOOKUP(Referentie_MKI_Totaal[[#This Row],[Product]]&amp;", "&amp;Referentie_MKI_Totaal[[#Headers],[D1]],Database_Productkaarten[#All],14,FALSE),0)*Baseline!I22),0))</f>
        <v>0</v>
      </c>
      <c r="Q20" s="265">
        <f>(IF(Baseline!C22="Bestaande Situatie",_xlfn.IFNA(VLOOKUP(Referentie_MKI_Totaal[[#This Row],[Product]]&amp;", "&amp;Referentie_MKI_Totaal[[#Headers],[D2]],Database_Productkaarten[#All],14,FALSE),0)*Baseline!I22,0))</f>
        <v>0</v>
      </c>
      <c r="R20" s="265">
        <f>(IF(Baseline!C22="Bestaande Situatie",(_xlfn.IFNA(VLOOKUP(Referentie_MKI_Totaal[[#This Row],[Product]]&amp;", "&amp;Referentie_MKI_Totaal[[#Headers],[D]],Database_Productkaarten[#All],14,FALSE),0)*Baseline!I22),0))</f>
        <v>0</v>
      </c>
      <c r="S20" s="266">
        <f>SUM(Referentie_MKI_Totaal[[#This Row],[A1-A3]:[C4]])+Referentie_MKI_Totaal[[#This Row],[D]]</f>
        <v>6647.63709715</v>
      </c>
      <c r="V20" s="331">
        <f>SUM(Referentie_MKI_Totaal[[#This Row],[A1-A3]]+Referentie_MKI_Totaal[[#This Row],[A4]]+Referentie_MKI_Totaal[[#This Row],[C2]]+Referentie_MKI_Totaal[[#This Row],[C3]]+Referentie_MKI_Totaal[[#This Row],[C4]]+Referentie_MKI_Totaal[[#This Row],[D]])*(VLOOKUP(Referentie_MKI_Totaal[[#This Row],[Product]]&amp;", "&amp;Referentie_MKI_Totaal[[#Headers],[A5]],Database_Productkaarten[#All],66,FALSE))</f>
        <v>306.29589229750002</v>
      </c>
    </row>
    <row r="21" spans="2:22">
      <c r="B21" s="263" t="str">
        <f>Baseline!B23</f>
        <v>322020 - Leveren en aanbrengen rioolbuis van Beton Ø400mm</v>
      </c>
      <c r="C21" s="264" t="str">
        <f>Baseline!F23</f>
        <v>Betonbuis 500 mm</v>
      </c>
      <c r="D21" s="265">
        <f>(IF(Baseline!C23="Nieuwe Situatie",(_xlfn.IFNA(VLOOKUP(Referentie_MKI_Totaal[[#This Row],[Product]]&amp;", "&amp;Referentie_MKI_Totaal[[#Headers],[A1]],Database_Productkaarten[#All],14,FALSE),0)*Baseline!I23),0))</f>
        <v>648</v>
      </c>
      <c r="E21" s="265">
        <f>(IF(Baseline!C23="Nieuwe Situatie",(_xlfn.IFNA(VLOOKUP(Referentie_MKI_Totaal[[#This Row],[Product]]&amp;", "&amp;Referentie_MKI_Totaal[[#Headers],[A2]],Database_Productkaarten[#All],14,FALSE),0)*Baseline!I23),0))</f>
        <v>0</v>
      </c>
      <c r="F21" s="265">
        <f>(IF(Baseline!C23="Nieuwe Situatie",(_xlfn.IFNA(VLOOKUP(Referentie_MKI_Totaal[[#This Row],[Product]]&amp;", "&amp;Referentie_MKI_Totaal[[#Headers],[A3]],Database_Productkaarten[#All],14,FALSE),0)*Baseline!I23),0))</f>
        <v>0</v>
      </c>
      <c r="G21" s="265">
        <f>(IF(Baseline!C23="Nieuwe Situatie",(_xlfn.IFNA(VLOOKUP(Referentie_MKI_Totaal[[#This Row],[Product]]&amp;", "&amp;Referentie_MKI_Totaal[[#Headers],[A1-A3]],Database_Productkaarten[#All],14,FALSE),0)*Baseline!I23),0))</f>
        <v>648</v>
      </c>
      <c r="H21" s="265">
        <f>IF(Baseline!T23=0,(IF(Baseline!C23="Nieuwe Situatie",(_xlfn.IFNA(VLOOKUP(Referentie_MKI_Totaal[[#This Row],[Product]]&amp;", "&amp;Referentie_MKI_Totaal[[#Headers],[A4]],Database_Productkaarten[#All],14,FALSE),0)*Baseline!Q23),0)),(IF(Baseline!C23="Nieuwe Situatie",_xlfn.IFNA(VLOOKUP(Baseline!T23,Database_Transport[#All],7,FALSE)*(Baseline!Q23*Baseline!S23),0))))</f>
        <v>33.843647587199996</v>
      </c>
      <c r="I21" s="265">
        <f>IF(Baseline!C23="Nieuwe situatie",IF(_xlfn.IFNA((VLOOKUP(Baseline!U23,Database_Asfalt_Aanlegset[#All],7,FALSE)*Baseline!I23),0)+_xlfn.IFNA(VLOOKUP(Baseline!V23,Database_Brandstoffen[#All],7,FALSE)*((Baseline!I23/Baseline!X23)*Baseline!W23),0)&gt;0,_xlfn.IFNA((VLOOKUP(Baseline!U23,Database_Asfalt_Aanlegset[#All],7,FALSE)*Baseline!I23),0)+_xlfn.IFNA(VLOOKUP(Baseline!V23,Database_Brandstoffen[#All],7,FALSE)*((Baseline!I23/Baseline!X23)*Baseline!W23),0),(_xlfn.IFNA(VLOOKUP(Referentie_MKI_Totaal[[#This Row],[Product]]&amp;", "&amp;Referentie_MKI_Totaal[[#Headers],[A5]],Database_Productkaarten[#All],14,FALSE),0)*Baseline!I23)),0)</f>
        <v>179.36852724233987</v>
      </c>
      <c r="J21" s="265"/>
      <c r="K21" s="265">
        <f>(IF(Baseline!C23="Nieuwe Situatie",(SUM(Referentie_MKI_Totaal[[#This Row],[A1]:[B1]],Referentie_MKI_Totaal[[#This Row],[C1]:[D2]])*Baseline!R23),0))</f>
        <v>0</v>
      </c>
      <c r="L21" s="265">
        <f>IF(Baseline!C23="Bestaande situatie",IF(_xlfn.IFNA((VLOOKUP(Baseline!Y23,Database_Asfalt_Verwijderset[#All],7,FALSE)*Baseline!I23),0)+_xlfn.IFNA(VLOOKUP(Baseline!Z23,Database_Brandstoffen[#All],7,FALSE)*((Baseline!I23/Baseline!AB23)*Baseline!AA23),0)&gt;0,_xlfn.IFNA((VLOOKUP(Baseline!Y23,Database_Asfalt_Verwijderset[#All],7,FALSE)*Baseline!I23),0)+_xlfn.IFNA(VLOOKUP(Baseline!Z23,Database_Brandstoffen[#All],7,FALSE)*((Baseline!I23/Baseline!AB23)*Baseline!AA23),0),(_xlfn.IFNA(VLOOKUP(Referentie_MKI_Totaal[[#This Row],[Product]]&amp;", "&amp;Referentie_MKI_Totaal[[#Headers],[C1]],Database_Productkaarten[#All],14,FALSE),0)*Baseline!I23)),0)</f>
        <v>0</v>
      </c>
      <c r="M21" s="265">
        <f>IF(Baseline!AD23=0,(IF(Baseline!C23="Bestaande Situatie",(_xlfn.IFNA(VLOOKUP(Referentie_MKI_Totaal[[#This Row],[Product]]&amp;", "&amp;Referentie_MKI_Totaal[[#Headers],[C2]],Database_Productkaarten[#All],14,FALSE),0)*Baseline!I23),0)),(IF(Baseline!C23="Bestaande Situatie",_xlfn.IFNA(VLOOKUP(Baseline!AD23,Database_Transport[#All],7,FALSE)*(Baseline!Q23*Baseline!AC23),0))))</f>
        <v>0</v>
      </c>
      <c r="N21" s="265">
        <f>(IF(Baseline!C23="Bestaande Situatie",(_xlfn.IFNA(VLOOKUP(Referentie_MKI_Totaal[[#This Row],[Product]]&amp;", "&amp;Referentie_MKI_Totaal[[#Headers],[C3]],Database_Productkaarten[#All],14,FALSE),0)*Baseline!I23),0))</f>
        <v>0</v>
      </c>
      <c r="O21" s="265">
        <f>(IF(Baseline!C23="Bestaande Situatie",(_xlfn.IFNA(VLOOKUP(Referentie_MKI_Totaal[[#This Row],[Product]]&amp;", "&amp;Referentie_MKI_Totaal[[#Headers],[C4]],Database_Productkaarten[#All],14,FALSE),0)*Baseline!I23),0))</f>
        <v>0</v>
      </c>
      <c r="P21" s="265">
        <f>(IF(Baseline!C23="Bestaande Situatie",(_xlfn.IFNA(VLOOKUP(Referentie_MKI_Totaal[[#This Row],[Product]]&amp;", "&amp;Referentie_MKI_Totaal[[#Headers],[D1]],Database_Productkaarten[#All],14,FALSE),0)*Baseline!I23),0))</f>
        <v>0</v>
      </c>
      <c r="Q21" s="265">
        <f>(IF(Baseline!C23="Bestaande Situatie",_xlfn.IFNA(VLOOKUP(Referentie_MKI_Totaal[[#This Row],[Product]]&amp;", "&amp;Referentie_MKI_Totaal[[#Headers],[D2]],Database_Productkaarten[#All],14,FALSE),0)*Baseline!I23,0))</f>
        <v>0</v>
      </c>
      <c r="R21" s="265">
        <f>(IF(Baseline!C23="Bestaande Situatie",(_xlfn.IFNA(VLOOKUP(Referentie_MKI_Totaal[[#This Row],[Product]]&amp;", "&amp;Referentie_MKI_Totaal[[#Headers],[D]],Database_Productkaarten[#All],14,FALSE),0)*Baseline!I23),0))</f>
        <v>0</v>
      </c>
      <c r="S21" s="266">
        <f>SUM(Referentie_MKI_Totaal[[#This Row],[A1-A3]:[C4]])+Referentie_MKI_Totaal[[#This Row],[D]]</f>
        <v>861.21217482953978</v>
      </c>
      <c r="V21" s="331">
        <f>SUM(Referentie_MKI_Totaal[[#This Row],[A1-A3]]+Referentie_MKI_Totaal[[#This Row],[A4]]+Referentie_MKI_Totaal[[#This Row],[C2]]+Referentie_MKI_Totaal[[#This Row],[C3]]+Referentie_MKI_Totaal[[#This Row],[C4]]+Referentie_MKI_Totaal[[#This Row],[D]])*(VLOOKUP(Referentie_MKI_Totaal[[#This Row],[Product]]&amp;", "&amp;Referentie_MKI_Totaal[[#Headers],[A5]],Database_Productkaarten[#All],66,FALSE))</f>
        <v>20.455309427615997</v>
      </c>
    </row>
    <row r="22" spans="2:22">
      <c r="B22" s="263" t="str">
        <f>Baseline!B24</f>
        <v>322070 - Leveren en aanbrengen rioolbuis van Beton IT Ø400mm</v>
      </c>
      <c r="C22" s="264" t="str">
        <f>Baseline!F24</f>
        <v>Betonbuis 500 mm</v>
      </c>
      <c r="D22" s="265">
        <f>(IF(Baseline!C24="Nieuwe Situatie",(_xlfn.IFNA(VLOOKUP(Referentie_MKI_Totaal[[#This Row],[Product]]&amp;", "&amp;Referentie_MKI_Totaal[[#Headers],[A1]],Database_Productkaarten[#All],14,FALSE),0)*Baseline!I24),0))</f>
        <v>513</v>
      </c>
      <c r="E22" s="265">
        <f>(IF(Baseline!C24="Nieuwe Situatie",(_xlfn.IFNA(VLOOKUP(Referentie_MKI_Totaal[[#This Row],[Product]]&amp;", "&amp;Referentie_MKI_Totaal[[#Headers],[A2]],Database_Productkaarten[#All],14,FALSE),0)*Baseline!I24),0))</f>
        <v>0</v>
      </c>
      <c r="F22" s="265">
        <f>(IF(Baseline!C24="Nieuwe Situatie",(_xlfn.IFNA(VLOOKUP(Referentie_MKI_Totaal[[#This Row],[Product]]&amp;", "&amp;Referentie_MKI_Totaal[[#Headers],[A3]],Database_Productkaarten[#All],14,FALSE),0)*Baseline!I24),0))</f>
        <v>0</v>
      </c>
      <c r="G22" s="265">
        <f>(IF(Baseline!C24="Nieuwe Situatie",(_xlfn.IFNA(VLOOKUP(Referentie_MKI_Totaal[[#This Row],[Product]]&amp;", "&amp;Referentie_MKI_Totaal[[#Headers],[A1-A3]],Database_Productkaarten[#All],14,FALSE),0)*Baseline!I24),0))</f>
        <v>513</v>
      </c>
      <c r="H22" s="265">
        <f>IF(Baseline!T24=0,(IF(Baseline!C24="Nieuwe Situatie",(_xlfn.IFNA(VLOOKUP(Referentie_MKI_Totaal[[#This Row],[Product]]&amp;", "&amp;Referentie_MKI_Totaal[[#Headers],[A4]],Database_Productkaarten[#All],14,FALSE),0)*Baseline!Q24),0)),(IF(Baseline!C24="Nieuwe Situatie",_xlfn.IFNA(VLOOKUP(Baseline!T24,Database_Transport[#All],7,FALSE)*(Baseline!Q24*Baseline!S24),0))))</f>
        <v>26.792887673199999</v>
      </c>
      <c r="I22" s="265">
        <f>IF(Baseline!C24="Nieuwe situatie",IF(_xlfn.IFNA((VLOOKUP(Baseline!U24,Database_Asfalt_Aanlegset[#All],7,FALSE)*Baseline!I24),0)+_xlfn.IFNA(VLOOKUP(Baseline!V24,Database_Brandstoffen[#All],7,FALSE)*((Baseline!I24/Baseline!X24)*Baseline!W24),0)&gt;0,_xlfn.IFNA((VLOOKUP(Baseline!U24,Database_Asfalt_Aanlegset[#All],7,FALSE)*Baseline!I24),0)+_xlfn.IFNA(VLOOKUP(Baseline!V24,Database_Brandstoffen[#All],7,FALSE)*((Baseline!I24/Baseline!X24)*Baseline!W24),0),(_xlfn.IFNA(VLOOKUP(Referentie_MKI_Totaal[[#This Row],[Product]]&amp;", "&amp;Referentie_MKI_Totaal[[#Headers],[A5]],Database_Productkaarten[#All],14,FALSE),0)*Baseline!I24)),0)</f>
        <v>142.00008406685239</v>
      </c>
      <c r="J22" s="265"/>
      <c r="K22" s="265">
        <f>(IF(Baseline!C24="Nieuwe Situatie",(SUM(Referentie_MKI_Totaal[[#This Row],[A1]:[B1]],Referentie_MKI_Totaal[[#This Row],[C1]:[D2]])*Baseline!R24),0))</f>
        <v>0</v>
      </c>
      <c r="L22" s="265">
        <f>IF(Baseline!C24="Bestaande situatie",IF(_xlfn.IFNA((VLOOKUP(Baseline!Y24,Database_Asfalt_Verwijderset[#All],7,FALSE)*Baseline!I24),0)+_xlfn.IFNA(VLOOKUP(Baseline!Z24,Database_Brandstoffen[#All],7,FALSE)*((Baseline!I24/Baseline!AB24)*Baseline!AA24),0)&gt;0,_xlfn.IFNA((VLOOKUP(Baseline!Y24,Database_Asfalt_Verwijderset[#All],7,FALSE)*Baseline!I24),0)+_xlfn.IFNA(VLOOKUP(Baseline!Z24,Database_Brandstoffen[#All],7,FALSE)*((Baseline!I24/Baseline!AB24)*Baseline!AA24),0),(_xlfn.IFNA(VLOOKUP(Referentie_MKI_Totaal[[#This Row],[Product]]&amp;", "&amp;Referentie_MKI_Totaal[[#Headers],[C1]],Database_Productkaarten[#All],14,FALSE),0)*Baseline!I24)),0)</f>
        <v>0</v>
      </c>
      <c r="M22" s="265">
        <f>IF(Baseline!AD24=0,(IF(Baseline!C24="Bestaande Situatie",(_xlfn.IFNA(VLOOKUP(Referentie_MKI_Totaal[[#This Row],[Product]]&amp;", "&amp;Referentie_MKI_Totaal[[#Headers],[C2]],Database_Productkaarten[#All],14,FALSE),0)*Baseline!I24),0)),(IF(Baseline!C24="Bestaande Situatie",_xlfn.IFNA(VLOOKUP(Baseline!AD24,Database_Transport[#All],7,FALSE)*(Baseline!Q24*Baseline!AC24),0))))</f>
        <v>0</v>
      </c>
      <c r="N22" s="265">
        <f>(IF(Baseline!C24="Bestaande Situatie",(_xlfn.IFNA(VLOOKUP(Referentie_MKI_Totaal[[#This Row],[Product]]&amp;", "&amp;Referentie_MKI_Totaal[[#Headers],[C3]],Database_Productkaarten[#All],14,FALSE),0)*Baseline!I24),0))</f>
        <v>0</v>
      </c>
      <c r="O22" s="265">
        <f>(IF(Baseline!C24="Bestaande Situatie",(_xlfn.IFNA(VLOOKUP(Referentie_MKI_Totaal[[#This Row],[Product]]&amp;", "&amp;Referentie_MKI_Totaal[[#Headers],[C4]],Database_Productkaarten[#All],14,FALSE),0)*Baseline!I24),0))</f>
        <v>0</v>
      </c>
      <c r="P22" s="265">
        <f>(IF(Baseline!C24="Bestaande Situatie",(_xlfn.IFNA(VLOOKUP(Referentie_MKI_Totaal[[#This Row],[Product]]&amp;", "&amp;Referentie_MKI_Totaal[[#Headers],[D1]],Database_Productkaarten[#All],14,FALSE),0)*Baseline!I24),0))</f>
        <v>0</v>
      </c>
      <c r="Q22" s="265">
        <f>(IF(Baseline!C24="Bestaande Situatie",_xlfn.IFNA(VLOOKUP(Referentie_MKI_Totaal[[#This Row],[Product]]&amp;", "&amp;Referentie_MKI_Totaal[[#Headers],[D2]],Database_Productkaarten[#All],14,FALSE),0)*Baseline!I24,0))</f>
        <v>0</v>
      </c>
      <c r="R22" s="265">
        <f>(IF(Baseline!C24="Bestaande Situatie",(_xlfn.IFNA(VLOOKUP(Referentie_MKI_Totaal[[#This Row],[Product]]&amp;", "&amp;Referentie_MKI_Totaal[[#Headers],[D]],Database_Productkaarten[#All],14,FALSE),0)*Baseline!I24),0))</f>
        <v>0</v>
      </c>
      <c r="S22" s="266">
        <f>SUM(Referentie_MKI_Totaal[[#This Row],[A1-A3]:[C4]])+Referentie_MKI_Totaal[[#This Row],[D]]</f>
        <v>681.79297174005239</v>
      </c>
      <c r="V22" s="331">
        <f>SUM(Referentie_MKI_Totaal[[#This Row],[A1-A3]]+Referentie_MKI_Totaal[[#This Row],[A4]]+Referentie_MKI_Totaal[[#This Row],[C2]]+Referentie_MKI_Totaal[[#This Row],[C3]]+Referentie_MKI_Totaal[[#This Row],[C4]]+Referentie_MKI_Totaal[[#This Row],[D]])*(VLOOKUP(Referentie_MKI_Totaal[[#This Row],[Product]]&amp;", "&amp;Referentie_MKI_Totaal[[#Headers],[A5]],Database_Productkaarten[#All],66,FALSE))</f>
        <v>16.193786630195998</v>
      </c>
    </row>
    <row r="23" spans="2:22">
      <c r="B23" s="263" t="str">
        <f>Baseline!B25</f>
        <v>322100 - Leveren en aanbrengen rioolbuis van Beton IT Ø800mm</v>
      </c>
      <c r="C23" s="264" t="str">
        <f>Baseline!F25</f>
        <v>Betonbuis 800 mm</v>
      </c>
      <c r="D23" s="265">
        <f>(IF(Baseline!C25="Nieuwe Situatie",(_xlfn.IFNA(VLOOKUP(Referentie_MKI_Totaal[[#This Row],[Product]]&amp;", "&amp;Referentie_MKI_Totaal[[#Headers],[A1]],Database_Productkaarten[#All],14,FALSE),0)*Baseline!I25),0))</f>
        <v>5825.0324999999993</v>
      </c>
      <c r="E23" s="265">
        <f>(IF(Baseline!C25="Nieuwe Situatie",(_xlfn.IFNA(VLOOKUP(Referentie_MKI_Totaal[[#This Row],[Product]]&amp;", "&amp;Referentie_MKI_Totaal[[#Headers],[A2]],Database_Productkaarten[#All],14,FALSE),0)*Baseline!I25),0))</f>
        <v>0</v>
      </c>
      <c r="F23" s="265">
        <f>(IF(Baseline!C25="Nieuwe Situatie",(_xlfn.IFNA(VLOOKUP(Referentie_MKI_Totaal[[#This Row],[Product]]&amp;", "&amp;Referentie_MKI_Totaal[[#Headers],[A3]],Database_Productkaarten[#All],14,FALSE),0)*Baseline!I25),0))</f>
        <v>0</v>
      </c>
      <c r="G23" s="265">
        <f>(IF(Baseline!C25="Nieuwe Situatie",(_xlfn.IFNA(VLOOKUP(Referentie_MKI_Totaal[[#This Row],[Product]]&amp;", "&amp;Referentie_MKI_Totaal[[#Headers],[A1-A3]],Database_Productkaarten[#All],14,FALSE),0)*Baseline!I25),0))</f>
        <v>5825.0324999999993</v>
      </c>
      <c r="H23" s="265">
        <f>IF(Baseline!T25=0,(IF(Baseline!C25="Nieuwe Situatie",(_xlfn.IFNA(VLOOKUP(Referentie_MKI_Totaal[[#This Row],[Product]]&amp;", "&amp;Referentie_MKI_Totaal[[#Headers],[A4]],Database_Productkaarten[#All],14,FALSE),0)*Baseline!Q25),0)),(IF(Baseline!C25="Nieuwe Situatie",_xlfn.IFNA(VLOOKUP(Baseline!T25,Database_Transport[#All],7,FALSE)*(Baseline!Q25*Baseline!S25),0))))</f>
        <v>258.3501614342</v>
      </c>
      <c r="I23" s="265">
        <f>IF(Baseline!C25="Nieuwe situatie",IF(_xlfn.IFNA((VLOOKUP(Baseline!U25,Database_Asfalt_Aanlegset[#All],7,FALSE)*Baseline!I25),0)+_xlfn.IFNA(VLOOKUP(Baseline!V25,Database_Brandstoffen[#All],7,FALSE)*((Baseline!I25/Baseline!X25)*Baseline!W25),0)&gt;0,_xlfn.IFNA((VLOOKUP(Baseline!U25,Database_Asfalt_Aanlegset[#All],7,FALSE)*Baseline!I25),0)+_xlfn.IFNA(VLOOKUP(Baseline!V25,Database_Brandstoffen[#All],7,FALSE)*((Baseline!I25/Baseline!X25)*Baseline!W25),0),(_xlfn.IFNA(VLOOKUP(Referentie_MKI_Totaal[[#This Row],[Product]]&amp;", "&amp;Referentie_MKI_Totaal[[#Headers],[A5]],Database_Productkaarten[#All],14,FALSE),0)*Baseline!I25)),0)</f>
        <v>1062.865290891365</v>
      </c>
      <c r="J23" s="265"/>
      <c r="K23" s="265">
        <f>(IF(Baseline!C25="Nieuwe Situatie",(SUM(Referentie_MKI_Totaal[[#This Row],[A1]:[B1]],Referentie_MKI_Totaal[[#This Row],[C1]:[D2]])*Baseline!R25),0))</f>
        <v>0</v>
      </c>
      <c r="L23" s="265">
        <f>IF(Baseline!C25="Bestaande situatie",IF(_xlfn.IFNA((VLOOKUP(Baseline!Y25,Database_Asfalt_Verwijderset[#All],7,FALSE)*Baseline!I25),0)+_xlfn.IFNA(VLOOKUP(Baseline!Z25,Database_Brandstoffen[#All],7,FALSE)*((Baseline!I25/Baseline!AB25)*Baseline!AA25),0)&gt;0,_xlfn.IFNA((VLOOKUP(Baseline!Y25,Database_Asfalt_Verwijderset[#All],7,FALSE)*Baseline!I25),0)+_xlfn.IFNA(VLOOKUP(Baseline!Z25,Database_Brandstoffen[#All],7,FALSE)*((Baseline!I25/Baseline!AB25)*Baseline!AA25),0),(_xlfn.IFNA(VLOOKUP(Referentie_MKI_Totaal[[#This Row],[Product]]&amp;", "&amp;Referentie_MKI_Totaal[[#Headers],[C1]],Database_Productkaarten[#All],14,FALSE),0)*Baseline!I25)),0)</f>
        <v>0</v>
      </c>
      <c r="M23" s="265">
        <f>IF(Baseline!AD25=0,(IF(Baseline!C25="Bestaande Situatie",(_xlfn.IFNA(VLOOKUP(Referentie_MKI_Totaal[[#This Row],[Product]]&amp;", "&amp;Referentie_MKI_Totaal[[#Headers],[C2]],Database_Productkaarten[#All],14,FALSE),0)*Baseline!I25),0)),(IF(Baseline!C25="Bestaande Situatie",_xlfn.IFNA(VLOOKUP(Baseline!AD25,Database_Transport[#All],7,FALSE)*(Baseline!Q25*Baseline!AC25),0))))</f>
        <v>0</v>
      </c>
      <c r="N23" s="265">
        <f>(IF(Baseline!C25="Bestaande Situatie",(_xlfn.IFNA(VLOOKUP(Referentie_MKI_Totaal[[#This Row],[Product]]&amp;", "&amp;Referentie_MKI_Totaal[[#Headers],[C3]],Database_Productkaarten[#All],14,FALSE),0)*Baseline!I25),0))</f>
        <v>0</v>
      </c>
      <c r="O23" s="265">
        <f>(IF(Baseline!C25="Bestaande Situatie",(_xlfn.IFNA(VLOOKUP(Referentie_MKI_Totaal[[#This Row],[Product]]&amp;", "&amp;Referentie_MKI_Totaal[[#Headers],[C4]],Database_Productkaarten[#All],14,FALSE),0)*Baseline!I25),0))</f>
        <v>0</v>
      </c>
      <c r="P23" s="265">
        <f>(IF(Baseline!C25="Bestaande Situatie",(_xlfn.IFNA(VLOOKUP(Referentie_MKI_Totaal[[#This Row],[Product]]&amp;", "&amp;Referentie_MKI_Totaal[[#Headers],[D1]],Database_Productkaarten[#All],14,FALSE),0)*Baseline!I25),0))</f>
        <v>0</v>
      </c>
      <c r="Q23" s="265">
        <f>(IF(Baseline!C25="Bestaande Situatie",_xlfn.IFNA(VLOOKUP(Referentie_MKI_Totaal[[#This Row],[Product]]&amp;", "&amp;Referentie_MKI_Totaal[[#Headers],[D2]],Database_Productkaarten[#All],14,FALSE),0)*Baseline!I25,0))</f>
        <v>0</v>
      </c>
      <c r="R23" s="265">
        <f>(IF(Baseline!C25="Bestaande Situatie",(_xlfn.IFNA(VLOOKUP(Referentie_MKI_Totaal[[#This Row],[Product]]&amp;", "&amp;Referentie_MKI_Totaal[[#Headers],[D]],Database_Productkaarten[#All],14,FALSE),0)*Baseline!I25),0))</f>
        <v>0</v>
      </c>
      <c r="S23" s="266">
        <f>SUM(Referentie_MKI_Totaal[[#This Row],[A1-A3]:[C4]])+Referentie_MKI_Totaal[[#This Row],[D]]</f>
        <v>7146.2479523255643</v>
      </c>
      <c r="V23" s="331">
        <f>SUM(Referentie_MKI_Totaal[[#This Row],[A1-A3]]+Referentie_MKI_Totaal[[#This Row],[A4]]+Referentie_MKI_Totaal[[#This Row],[C2]]+Referentie_MKI_Totaal[[#This Row],[C3]]+Referentie_MKI_Totaal[[#This Row],[C4]]+Referentie_MKI_Totaal[[#This Row],[D]])*(VLOOKUP(Referentie_MKI_Totaal[[#This Row],[Product]]&amp;", "&amp;Referentie_MKI_Totaal[[#Headers],[A5]],Database_Productkaarten[#All],66,FALSE))</f>
        <v>182.50147984302598</v>
      </c>
    </row>
    <row r="24" spans="2:22">
      <c r="B24" s="263" t="str">
        <f>Baseline!B26</f>
        <v>330010 - Leveren en aanbrengen kolken</v>
      </c>
      <c r="C24" s="264" t="str">
        <f>Baseline!F26</f>
        <v>Kolk, Staal &amp; Beton</v>
      </c>
      <c r="D24" s="265">
        <f>(IF(Baseline!C26="Nieuwe Situatie",(_xlfn.IFNA(VLOOKUP(Referentie_MKI_Totaal[[#This Row],[Product]]&amp;", "&amp;Referentie_MKI_Totaal[[#Headers],[A1]],Database_Productkaarten[#All],14,FALSE),0)*Baseline!I26),0))</f>
        <v>1567.52</v>
      </c>
      <c r="E24" s="265">
        <f>(IF(Baseline!C26="Nieuwe Situatie",(_xlfn.IFNA(VLOOKUP(Referentie_MKI_Totaal[[#This Row],[Product]]&amp;", "&amp;Referentie_MKI_Totaal[[#Headers],[A2]],Database_Productkaarten[#All],14,FALSE),0)*Baseline!I26),0))</f>
        <v>0</v>
      </c>
      <c r="F24" s="265">
        <f>(IF(Baseline!C26="Nieuwe Situatie",(_xlfn.IFNA(VLOOKUP(Referentie_MKI_Totaal[[#This Row],[Product]]&amp;", "&amp;Referentie_MKI_Totaal[[#Headers],[A3]],Database_Productkaarten[#All],14,FALSE),0)*Baseline!I26),0))</f>
        <v>0</v>
      </c>
      <c r="G24" s="265">
        <f>(IF(Baseline!C26="Nieuwe Situatie",(_xlfn.IFNA(VLOOKUP(Referentie_MKI_Totaal[[#This Row],[Product]]&amp;", "&amp;Referentie_MKI_Totaal[[#Headers],[A1-A3]],Database_Productkaarten[#All],14,FALSE),0)*Baseline!I26),0))</f>
        <v>1567.52</v>
      </c>
      <c r="H24" s="265">
        <f>IF(Baseline!T26=0,(IF(Baseline!C26="Nieuwe Situatie",(_xlfn.IFNA(VLOOKUP(Referentie_MKI_Totaal[[#This Row],[Product]]&amp;", "&amp;Referentie_MKI_Totaal[[#Headers],[A4]],Database_Productkaarten[#All],14,FALSE),0)*Baseline!Q26),0)),(IF(Baseline!C26="Nieuwe Situatie",_xlfn.IFNA(VLOOKUP(Baseline!T26,Database_Transport[#All],7,FALSE)*(Baseline!Q26*Baseline!S26),0))))</f>
        <v>17.615584175186804</v>
      </c>
      <c r="I24" s="265">
        <f>IF(Baseline!C26="Nieuwe situatie",IF(_xlfn.IFNA((VLOOKUP(Baseline!U26,Database_Asfalt_Aanlegset[#All],7,FALSE)*Baseline!I26),0)+_xlfn.IFNA(VLOOKUP(Baseline!V26,Database_Brandstoffen[#All],7,FALSE)*((Baseline!I26/Baseline!X26)*Baseline!W26),0)&gt;0,_xlfn.IFNA((VLOOKUP(Baseline!U26,Database_Asfalt_Aanlegset[#All],7,FALSE)*Baseline!I26),0)+_xlfn.IFNA(VLOOKUP(Baseline!V26,Database_Brandstoffen[#All],7,FALSE)*((Baseline!I26/Baseline!X26)*Baseline!W26),0),(_xlfn.IFNA(VLOOKUP(Referentie_MKI_Totaal[[#This Row],[Product]]&amp;", "&amp;Referentie_MKI_Totaal[[#Headers],[A5]],Database_Productkaarten[#All],14,FALSE),0)*Baseline!I26)),0)</f>
        <v>590.25282272980508</v>
      </c>
      <c r="J24" s="265"/>
      <c r="K24" s="265">
        <f>(IF(Baseline!C26="Nieuwe Situatie",(SUM(Referentie_MKI_Totaal[[#This Row],[A1]:[B1]],Referentie_MKI_Totaal[[#This Row],[C1]:[D2]])*Baseline!R26),0))</f>
        <v>0</v>
      </c>
      <c r="L24" s="265">
        <f>IF(Baseline!C26="Bestaande situatie",IF(_xlfn.IFNA((VLOOKUP(Baseline!Y26,Database_Asfalt_Verwijderset[#All],7,FALSE)*Baseline!I26),0)+_xlfn.IFNA(VLOOKUP(Baseline!Z26,Database_Brandstoffen[#All],7,FALSE)*((Baseline!I26/Baseline!AB26)*Baseline!AA26),0)&gt;0,_xlfn.IFNA((VLOOKUP(Baseline!Y26,Database_Asfalt_Verwijderset[#All],7,FALSE)*Baseline!I26),0)+_xlfn.IFNA(VLOOKUP(Baseline!Z26,Database_Brandstoffen[#All],7,FALSE)*((Baseline!I26/Baseline!AB26)*Baseline!AA26),0),(_xlfn.IFNA(VLOOKUP(Referentie_MKI_Totaal[[#This Row],[Product]]&amp;", "&amp;Referentie_MKI_Totaal[[#Headers],[C1]],Database_Productkaarten[#All],14,FALSE),0)*Baseline!I26)),0)</f>
        <v>0</v>
      </c>
      <c r="M24" s="265">
        <f>IF(Baseline!AD26=0,(IF(Baseline!C26="Bestaande Situatie",(_xlfn.IFNA(VLOOKUP(Referentie_MKI_Totaal[[#This Row],[Product]]&amp;", "&amp;Referentie_MKI_Totaal[[#Headers],[C2]],Database_Productkaarten[#All],14,FALSE),0)*Baseline!I26),0)),(IF(Baseline!C26="Bestaande Situatie",_xlfn.IFNA(VLOOKUP(Baseline!AD26,Database_Transport[#All],7,FALSE)*(Baseline!Q26*Baseline!AC26),0))))</f>
        <v>0</v>
      </c>
      <c r="N24" s="265">
        <f>(IF(Baseline!C26="Bestaande Situatie",(_xlfn.IFNA(VLOOKUP(Referentie_MKI_Totaal[[#This Row],[Product]]&amp;", "&amp;Referentie_MKI_Totaal[[#Headers],[C3]],Database_Productkaarten[#All],14,FALSE),0)*Baseline!I26),0))</f>
        <v>0</v>
      </c>
      <c r="O24" s="265">
        <f>(IF(Baseline!C26="Bestaande Situatie",(_xlfn.IFNA(VLOOKUP(Referentie_MKI_Totaal[[#This Row],[Product]]&amp;", "&amp;Referentie_MKI_Totaal[[#Headers],[C4]],Database_Productkaarten[#All],14,FALSE),0)*Baseline!I26),0))</f>
        <v>0</v>
      </c>
      <c r="P24" s="265">
        <f>(IF(Baseline!C26="Bestaande Situatie",(_xlfn.IFNA(VLOOKUP(Referentie_MKI_Totaal[[#This Row],[Product]]&amp;", "&amp;Referentie_MKI_Totaal[[#Headers],[D1]],Database_Productkaarten[#All],14,FALSE),0)*Baseline!I26),0))</f>
        <v>0</v>
      </c>
      <c r="Q24" s="265">
        <f>(IF(Baseline!C26="Bestaande Situatie",_xlfn.IFNA(VLOOKUP(Referentie_MKI_Totaal[[#This Row],[Product]]&amp;", "&amp;Referentie_MKI_Totaal[[#Headers],[D2]],Database_Productkaarten[#All],14,FALSE),0)*Baseline!I26,0))</f>
        <v>0</v>
      </c>
      <c r="R24" s="265">
        <f>(IF(Baseline!C26="Bestaande Situatie",(_xlfn.IFNA(VLOOKUP(Referentie_MKI_Totaal[[#This Row],[Product]]&amp;", "&amp;Referentie_MKI_Totaal[[#Headers],[D]],Database_Productkaarten[#All],14,FALSE),0)*Baseline!I26),0))</f>
        <v>0</v>
      </c>
      <c r="S24" s="266">
        <f>SUM(Referentie_MKI_Totaal[[#This Row],[A1-A3]:[C4]])+Referentie_MKI_Totaal[[#This Row],[D]]</f>
        <v>2175.3884069049918</v>
      </c>
      <c r="V24" s="331">
        <f>SUM(Referentie_MKI_Totaal[[#This Row],[A1-A3]]+Referentie_MKI_Totaal[[#This Row],[A4]]+Referentie_MKI_Totaal[[#This Row],[C2]]+Referentie_MKI_Totaal[[#This Row],[C3]]+Referentie_MKI_Totaal[[#This Row],[C4]]+Referentie_MKI_Totaal[[#This Row],[D]])*(VLOOKUP(Referentie_MKI_Totaal[[#This Row],[Product]]&amp;", "&amp;Referentie_MKI_Totaal[[#Headers],[A5]],Database_Productkaarten[#All],66,FALSE))</f>
        <v>47.554067525255604</v>
      </c>
    </row>
    <row r="25" spans="2:22">
      <c r="B25" s="263" t="str">
        <f>Baseline!B27</f>
        <v>420010 - Leveren en aanbrengen fundering menggranulaat, (250mm dik)</v>
      </c>
      <c r="C25" s="264" t="str">
        <f>Baseline!F27</f>
        <v>Menggranulaat 250mm</v>
      </c>
      <c r="D25" s="265">
        <f>(IF(Baseline!C27="Nieuwe Situatie",(_xlfn.IFNA(VLOOKUP(Referentie_MKI_Totaal[[#This Row],[Product]]&amp;", "&amp;Referentie_MKI_Totaal[[#Headers],[A1]],Database_Productkaarten[#All],14,FALSE),0)*Baseline!I27),0))</f>
        <v>0</v>
      </c>
      <c r="E25" s="265">
        <f>(IF(Baseline!C27="Nieuwe Situatie",(_xlfn.IFNA(VLOOKUP(Referentie_MKI_Totaal[[#This Row],[Product]]&amp;", "&amp;Referentie_MKI_Totaal[[#Headers],[A2]],Database_Productkaarten[#All],14,FALSE),0)*Baseline!I27),0))</f>
        <v>0</v>
      </c>
      <c r="F25" s="265">
        <f>(IF(Baseline!C27="Nieuwe Situatie",(_xlfn.IFNA(VLOOKUP(Referentie_MKI_Totaal[[#This Row],[Product]]&amp;", "&amp;Referentie_MKI_Totaal[[#Headers],[A3]],Database_Productkaarten[#All],14,FALSE),0)*Baseline!I27),0))</f>
        <v>0</v>
      </c>
      <c r="G25" s="265">
        <f>(IF(Baseline!C27="Nieuwe Situatie",(_xlfn.IFNA(VLOOKUP(Referentie_MKI_Totaal[[#This Row],[Product]]&amp;", "&amp;Referentie_MKI_Totaal[[#Headers],[A1-A3]],Database_Productkaarten[#All],14,FALSE),0)*Baseline!I27),0))</f>
        <v>0</v>
      </c>
      <c r="H25" s="265">
        <f>IF(Baseline!T27=0,(IF(Baseline!C27="Nieuwe Situatie",(_xlfn.IFNA(VLOOKUP(Referentie_MKI_Totaal[[#This Row],[Product]]&amp;", "&amp;Referentie_MKI_Totaal[[#Headers],[A4]],Database_Productkaarten[#All],14,FALSE),0)*Baseline!Q27),0)),(IF(Baseline!C27="Nieuwe Situatie",_xlfn.IFNA(VLOOKUP(Baseline!T27,Database_Transport[#All],7,FALSE)*(Baseline!Q27*Baseline!S27),0))))</f>
        <v>2045.5802238300003</v>
      </c>
      <c r="I25" s="265">
        <f>IF(Baseline!C27="Nieuwe situatie",IF(_xlfn.IFNA((VLOOKUP(Baseline!U27,Database_Asfalt_Aanlegset[#All],7,FALSE)*Baseline!I27),0)+_xlfn.IFNA(VLOOKUP(Baseline!V27,Database_Brandstoffen[#All],7,FALSE)*((Baseline!I27/Baseline!X27)*Baseline!W27),0)&gt;0,_xlfn.IFNA((VLOOKUP(Baseline!U27,Database_Asfalt_Aanlegset[#All],7,FALSE)*Baseline!I27),0)+_xlfn.IFNA(VLOOKUP(Baseline!V27,Database_Brandstoffen[#All],7,FALSE)*((Baseline!I27/Baseline!X27)*Baseline!W27),0),(_xlfn.IFNA(VLOOKUP(Referentie_MKI_Totaal[[#This Row],[Product]]&amp;", "&amp;Referentie_MKI_Totaal[[#Headers],[A5]],Database_Productkaarten[#All],14,FALSE),0)*Baseline!I27)),0)</f>
        <v>3490.3546080000001</v>
      </c>
      <c r="J25" s="265"/>
      <c r="K25" s="265">
        <f>(IF(Baseline!C27="Nieuwe Situatie",(SUM(Referentie_MKI_Totaal[[#This Row],[A1]:[B1]],Referentie_MKI_Totaal[[#This Row],[C1]:[D2]])*Baseline!R27),0))</f>
        <v>0</v>
      </c>
      <c r="L25" s="265">
        <f>IF(Baseline!C27="Bestaande situatie",IF(_xlfn.IFNA((VLOOKUP(Baseline!Y27,Database_Asfalt_Verwijderset[#All],7,FALSE)*Baseline!I27),0)+_xlfn.IFNA(VLOOKUP(Baseline!Z27,Database_Brandstoffen[#All],7,FALSE)*((Baseline!I27/Baseline!AB27)*Baseline!AA27),0)&gt;0,_xlfn.IFNA((VLOOKUP(Baseline!Y27,Database_Asfalt_Verwijderset[#All],7,FALSE)*Baseline!I27),0)+_xlfn.IFNA(VLOOKUP(Baseline!Z27,Database_Brandstoffen[#All],7,FALSE)*((Baseline!I27/Baseline!AB27)*Baseline!AA27),0),(_xlfn.IFNA(VLOOKUP(Referentie_MKI_Totaal[[#This Row],[Product]]&amp;", "&amp;Referentie_MKI_Totaal[[#Headers],[C1]],Database_Productkaarten[#All],14,FALSE),0)*Baseline!I27)),0)</f>
        <v>0</v>
      </c>
      <c r="M25" s="265">
        <f>IF(Baseline!AD27=0,(IF(Baseline!C27="Bestaande Situatie",(_xlfn.IFNA(VLOOKUP(Referentie_MKI_Totaal[[#This Row],[Product]]&amp;", "&amp;Referentie_MKI_Totaal[[#Headers],[C2]],Database_Productkaarten[#All],14,FALSE),0)*Baseline!I27),0)),(IF(Baseline!C27="Bestaande Situatie",_xlfn.IFNA(VLOOKUP(Baseline!AD27,Database_Transport[#All],7,FALSE)*(Baseline!Q27*Baseline!AC27),0))))</f>
        <v>0</v>
      </c>
      <c r="N25" s="265">
        <f>(IF(Baseline!C27="Bestaande Situatie",(_xlfn.IFNA(VLOOKUP(Referentie_MKI_Totaal[[#This Row],[Product]]&amp;", "&amp;Referentie_MKI_Totaal[[#Headers],[C3]],Database_Productkaarten[#All],14,FALSE),0)*Baseline!I27),0))</f>
        <v>0</v>
      </c>
      <c r="O25" s="265">
        <f>(IF(Baseline!C27="Bestaande Situatie",(_xlfn.IFNA(VLOOKUP(Referentie_MKI_Totaal[[#This Row],[Product]]&amp;", "&amp;Referentie_MKI_Totaal[[#Headers],[C4]],Database_Productkaarten[#All],14,FALSE),0)*Baseline!I27),0))</f>
        <v>0</v>
      </c>
      <c r="P25" s="265">
        <f>(IF(Baseline!C27="Bestaande Situatie",(_xlfn.IFNA(VLOOKUP(Referentie_MKI_Totaal[[#This Row],[Product]]&amp;", "&amp;Referentie_MKI_Totaal[[#Headers],[D1]],Database_Productkaarten[#All],14,FALSE),0)*Baseline!I27),0))</f>
        <v>0</v>
      </c>
      <c r="Q25" s="265">
        <f>(IF(Baseline!C27="Bestaande Situatie",_xlfn.IFNA(VLOOKUP(Referentie_MKI_Totaal[[#This Row],[Product]]&amp;", "&amp;Referentie_MKI_Totaal[[#Headers],[D2]],Database_Productkaarten[#All],14,FALSE),0)*Baseline!I27,0))</f>
        <v>0</v>
      </c>
      <c r="R25" s="265">
        <f>(IF(Baseline!C27="Bestaande Situatie",(_xlfn.IFNA(VLOOKUP(Referentie_MKI_Totaal[[#This Row],[Product]]&amp;", "&amp;Referentie_MKI_Totaal[[#Headers],[D]],Database_Productkaarten[#All],14,FALSE),0)*Baseline!I27),0))</f>
        <v>0</v>
      </c>
      <c r="S25" s="266">
        <f>SUM(Referentie_MKI_Totaal[[#This Row],[A1-A3]:[C4]])+Referentie_MKI_Totaal[[#This Row],[D]]</f>
        <v>5535.9348318299999</v>
      </c>
      <c r="V25" s="331">
        <f>SUM(Referentie_MKI_Totaal[[#This Row],[A1-A3]]+Referentie_MKI_Totaal[[#This Row],[A4]]+Referentie_MKI_Totaal[[#This Row],[C2]]+Referentie_MKI_Totaal[[#This Row],[C3]]+Referentie_MKI_Totaal[[#This Row],[C4]]+Referentie_MKI_Totaal[[#This Row],[D]])*(VLOOKUP(Referentie_MKI_Totaal[[#This Row],[Product]]&amp;", "&amp;Referentie_MKI_Totaal[[#Headers],[A5]],Database_Productkaarten[#All],66,FALSE))</f>
        <v>0</v>
      </c>
    </row>
    <row r="26" spans="2:22">
      <c r="B26" s="263" t="str">
        <f>Baseline!B28</f>
        <v>430010 - Leveren en aanbrengen trottoirbanden 180/200x250</v>
      </c>
      <c r="C26" s="264" t="str">
        <f>Baseline!F28</f>
        <v>Trottoirband 180/200x250</v>
      </c>
      <c r="D26" s="265">
        <f>(IF(Baseline!C28="Nieuwe Situatie",(_xlfn.IFNA(VLOOKUP(Referentie_MKI_Totaal[[#This Row],[Product]]&amp;", "&amp;Referentie_MKI_Totaal[[#Headers],[A1]],Database_Productkaarten[#All],14,FALSE),0)*Baseline!I28),0))</f>
        <v>0</v>
      </c>
      <c r="E26" s="265">
        <f>(IF(Baseline!C28="Nieuwe Situatie",(_xlfn.IFNA(VLOOKUP(Referentie_MKI_Totaal[[#This Row],[Product]]&amp;", "&amp;Referentie_MKI_Totaal[[#Headers],[A2]],Database_Productkaarten[#All],14,FALSE),0)*Baseline!I28),0))</f>
        <v>0</v>
      </c>
      <c r="F26" s="265">
        <f>(IF(Baseline!C28="Nieuwe Situatie",(_xlfn.IFNA(VLOOKUP(Referentie_MKI_Totaal[[#This Row],[Product]]&amp;", "&amp;Referentie_MKI_Totaal[[#Headers],[A3]],Database_Productkaarten[#All],14,FALSE),0)*Baseline!I28),0))</f>
        <v>0</v>
      </c>
      <c r="G26" s="265">
        <f>(IF(Baseline!C28="Nieuwe Situatie",(_xlfn.IFNA(VLOOKUP(Referentie_MKI_Totaal[[#This Row],[Product]]&amp;", "&amp;Referentie_MKI_Totaal[[#Headers],[A1-A3]],Database_Productkaarten[#All],14,FALSE),0)*Baseline!I28),0))</f>
        <v>50.371849999999995</v>
      </c>
      <c r="H26" s="265">
        <f>IF(Baseline!T28=0,(IF(Baseline!C28="Nieuwe Situatie",(_xlfn.IFNA(VLOOKUP(Referentie_MKI_Totaal[[#This Row],[Product]]&amp;", "&amp;Referentie_MKI_Totaal[[#Headers],[A4]],Database_Productkaarten[#All],14,FALSE),0)*Baseline!Q28),0)),(IF(Baseline!C28="Nieuwe Situatie",_xlfn.IFNA(VLOOKUP(Baseline!T28,Database_Transport[#All],7,FALSE)*(Baseline!Q28*Baseline!S28),0))))</f>
        <v>3.6454040971823756</v>
      </c>
      <c r="I26" s="265">
        <f>IF(Baseline!C28="Nieuwe situatie",IF(_xlfn.IFNA((VLOOKUP(Baseline!U28,Database_Asfalt_Aanlegset[#All],7,FALSE)*Baseline!I28),0)+_xlfn.IFNA(VLOOKUP(Baseline!V28,Database_Brandstoffen[#All],7,FALSE)*((Baseline!I28/Baseline!X28)*Baseline!W28),0)&gt;0,_xlfn.IFNA((VLOOKUP(Baseline!U28,Database_Asfalt_Aanlegset[#All],7,FALSE)*Baseline!I28),0)+_xlfn.IFNA(VLOOKUP(Baseline!V28,Database_Brandstoffen[#All],7,FALSE)*((Baseline!I28/Baseline!X28)*Baseline!W28),0),(_xlfn.IFNA(VLOOKUP(Referentie_MKI_Totaal[[#This Row],[Product]]&amp;", "&amp;Referentie_MKI_Totaal[[#Headers],[A5]],Database_Productkaarten[#All],14,FALSE),0)*Baseline!I28)),0)</f>
        <v>25.673244324512535</v>
      </c>
      <c r="J26" s="265"/>
      <c r="K26" s="265">
        <f>(IF(Baseline!C28="Nieuwe Situatie",(SUM(Referentie_MKI_Totaal[[#This Row],[A1]:[B1]],Referentie_MKI_Totaal[[#This Row],[C1]:[D2]])*Baseline!R28),0))</f>
        <v>0</v>
      </c>
      <c r="L26" s="265">
        <f>IF(Baseline!C28="Bestaande situatie",IF(_xlfn.IFNA((VLOOKUP(Baseline!Y28,Database_Asfalt_Verwijderset[#All],7,FALSE)*Baseline!I28),0)+_xlfn.IFNA(VLOOKUP(Baseline!Z28,Database_Brandstoffen[#All],7,FALSE)*((Baseline!I28/Baseline!AB28)*Baseline!AA28),0)&gt;0,_xlfn.IFNA((VLOOKUP(Baseline!Y28,Database_Asfalt_Verwijderset[#All],7,FALSE)*Baseline!I28),0)+_xlfn.IFNA(VLOOKUP(Baseline!Z28,Database_Brandstoffen[#All],7,FALSE)*((Baseline!I28/Baseline!AB28)*Baseline!AA28),0),(_xlfn.IFNA(VLOOKUP(Referentie_MKI_Totaal[[#This Row],[Product]]&amp;", "&amp;Referentie_MKI_Totaal[[#Headers],[C1]],Database_Productkaarten[#All],14,FALSE),0)*Baseline!I28)),0)</f>
        <v>0</v>
      </c>
      <c r="M26" s="265">
        <f>IF(Baseline!AD28=0,(IF(Baseline!C28="Bestaande Situatie",(_xlfn.IFNA(VLOOKUP(Referentie_MKI_Totaal[[#This Row],[Product]]&amp;", "&amp;Referentie_MKI_Totaal[[#Headers],[C2]],Database_Productkaarten[#All],14,FALSE),0)*Baseline!I28),0)),(IF(Baseline!C28="Bestaande Situatie",_xlfn.IFNA(VLOOKUP(Baseline!AD28,Database_Transport[#All],7,FALSE)*(Baseline!Q28*Baseline!AC28),0))))</f>
        <v>0</v>
      </c>
      <c r="N26" s="265">
        <f>(IF(Baseline!C28="Bestaande Situatie",(_xlfn.IFNA(VLOOKUP(Referentie_MKI_Totaal[[#This Row],[Product]]&amp;", "&amp;Referentie_MKI_Totaal[[#Headers],[C3]],Database_Productkaarten[#All],14,FALSE),0)*Baseline!I28),0))</f>
        <v>0</v>
      </c>
      <c r="O26" s="265">
        <f>(IF(Baseline!C28="Bestaande Situatie",(_xlfn.IFNA(VLOOKUP(Referentie_MKI_Totaal[[#This Row],[Product]]&amp;", "&amp;Referentie_MKI_Totaal[[#Headers],[C4]],Database_Productkaarten[#All],14,FALSE),0)*Baseline!I28),0))</f>
        <v>0</v>
      </c>
      <c r="P26" s="265">
        <f>(IF(Baseline!C28="Bestaande Situatie",(_xlfn.IFNA(VLOOKUP(Referentie_MKI_Totaal[[#This Row],[Product]]&amp;", "&amp;Referentie_MKI_Totaal[[#Headers],[D1]],Database_Productkaarten[#All],14,FALSE),0)*Baseline!I28),0))</f>
        <v>0</v>
      </c>
      <c r="Q26" s="265">
        <f>(IF(Baseline!C28="Bestaande Situatie",_xlfn.IFNA(VLOOKUP(Referentie_MKI_Totaal[[#This Row],[Product]]&amp;", "&amp;Referentie_MKI_Totaal[[#Headers],[D2]],Database_Productkaarten[#All],14,FALSE),0)*Baseline!I28,0))</f>
        <v>0</v>
      </c>
      <c r="R26" s="265">
        <f>(IF(Baseline!C28="Bestaande Situatie",(_xlfn.IFNA(VLOOKUP(Referentie_MKI_Totaal[[#This Row],[Product]]&amp;", "&amp;Referentie_MKI_Totaal[[#Headers],[D]],Database_Productkaarten[#All],14,FALSE),0)*Baseline!I28),0))</f>
        <v>0</v>
      </c>
      <c r="S26" s="266">
        <f>SUM(Referentie_MKI_Totaal[[#This Row],[A1-A3]:[C4]])+Referentie_MKI_Totaal[[#This Row],[D]]</f>
        <v>79.690498421694912</v>
      </c>
      <c r="V26" s="331">
        <f>SUM(Referentie_MKI_Totaal[[#This Row],[A1-A3]]+Referentie_MKI_Totaal[[#This Row],[A4]]+Referentie_MKI_Totaal[[#This Row],[C2]]+Referentie_MKI_Totaal[[#This Row],[C3]]+Referentie_MKI_Totaal[[#This Row],[C4]]+Referentie_MKI_Totaal[[#This Row],[D]])*(VLOOKUP(Referentie_MKI_Totaal[[#This Row],[Product]]&amp;", "&amp;Referentie_MKI_Totaal[[#Headers],[A5]],Database_Productkaarten[#All],66,FALSE))</f>
        <v>1.6205176229154712</v>
      </c>
    </row>
    <row r="27" spans="2:22">
      <c r="B27" s="263" t="str">
        <f>Baseline!B29</f>
        <v>430020 - Leveren en aanbrengen trottoirbanden 130/150x250</v>
      </c>
      <c r="C27" s="264" t="str">
        <f>Baseline!F29</f>
        <v>Trottoirband 130/150x250</v>
      </c>
      <c r="D27" s="265">
        <f>(IF(Baseline!C29="Nieuwe Situatie",(_xlfn.IFNA(VLOOKUP(Referentie_MKI_Totaal[[#This Row],[Product]]&amp;", "&amp;Referentie_MKI_Totaal[[#Headers],[A1]],Database_Productkaarten[#All],14,FALSE),0)*Baseline!I29),0))</f>
        <v>0</v>
      </c>
      <c r="E27" s="265">
        <f>(IF(Baseline!C29="Nieuwe Situatie",(_xlfn.IFNA(VLOOKUP(Referentie_MKI_Totaal[[#This Row],[Product]]&amp;", "&amp;Referentie_MKI_Totaal[[#Headers],[A2]],Database_Productkaarten[#All],14,FALSE),0)*Baseline!I29),0))</f>
        <v>0</v>
      </c>
      <c r="F27" s="265">
        <f>(IF(Baseline!C29="Nieuwe Situatie",(_xlfn.IFNA(VLOOKUP(Referentie_MKI_Totaal[[#This Row],[Product]]&amp;", "&amp;Referentie_MKI_Totaal[[#Headers],[A3]],Database_Productkaarten[#All],14,FALSE),0)*Baseline!I29),0))</f>
        <v>0</v>
      </c>
      <c r="G27" s="265">
        <f>(IF(Baseline!C29="Nieuwe Situatie",(_xlfn.IFNA(VLOOKUP(Referentie_MKI_Totaal[[#This Row],[Product]]&amp;", "&amp;Referentie_MKI_Totaal[[#Headers],[A1-A3]],Database_Productkaarten[#All],14,FALSE),0)*Baseline!I29),0))</f>
        <v>185.47200000000001</v>
      </c>
      <c r="H27" s="265">
        <f>IF(Baseline!T29=0,(IF(Baseline!C29="Nieuwe Situatie",(_xlfn.IFNA(VLOOKUP(Referentie_MKI_Totaal[[#This Row],[Product]]&amp;", "&amp;Referentie_MKI_Totaal[[#Headers],[A4]],Database_Productkaarten[#All],14,FALSE),0)*Baseline!Q29),0)),(IF(Baseline!C29="Nieuwe Situatie",_xlfn.IFNA(VLOOKUP(Baseline!T29,Database_Transport[#All],7,FALSE)*(Baseline!Q29*Baseline!S29),0))))</f>
        <v>5.9184207695431503</v>
      </c>
      <c r="I27" s="265">
        <f>IF(Baseline!C29="Nieuwe situatie",IF(_xlfn.IFNA((VLOOKUP(Baseline!U29,Database_Asfalt_Aanlegset[#All],7,FALSE)*Baseline!I29),0)+_xlfn.IFNA(VLOOKUP(Baseline!V29,Database_Brandstoffen[#All],7,FALSE)*((Baseline!I29/Baseline!X29)*Baseline!W29),0)&gt;0,_xlfn.IFNA((VLOOKUP(Baseline!U29,Database_Asfalt_Aanlegset[#All],7,FALSE)*Baseline!I29),0)+_xlfn.IFNA(VLOOKUP(Baseline!V29,Database_Brandstoffen[#All],7,FALSE)*((Baseline!I29/Baseline!X29)*Baseline!W29),0),(_xlfn.IFNA(VLOOKUP(Referentie_MKI_Totaal[[#This Row],[Product]]&amp;", "&amp;Referentie_MKI_Totaal[[#Headers],[A5]],Database_Productkaarten[#All],14,FALSE),0)*Baseline!I29)),0)</f>
        <v>69.468778760445673</v>
      </c>
      <c r="J27" s="265"/>
      <c r="K27" s="265">
        <f>(IF(Baseline!C29="Nieuwe Situatie",(SUM(Referentie_MKI_Totaal[[#This Row],[A1]:[B1]],Referentie_MKI_Totaal[[#This Row],[C1]:[D2]])*Baseline!R29),0))</f>
        <v>0</v>
      </c>
      <c r="L27" s="265">
        <f>IF(Baseline!C29="Bestaande situatie",IF(_xlfn.IFNA((VLOOKUP(Baseline!Y29,Database_Asfalt_Verwijderset[#All],7,FALSE)*Baseline!I29),0)+_xlfn.IFNA(VLOOKUP(Baseline!Z29,Database_Brandstoffen[#All],7,FALSE)*((Baseline!I29/Baseline!AB29)*Baseline!AA29),0)&gt;0,_xlfn.IFNA((VLOOKUP(Baseline!Y29,Database_Asfalt_Verwijderset[#All],7,FALSE)*Baseline!I29),0)+_xlfn.IFNA(VLOOKUP(Baseline!Z29,Database_Brandstoffen[#All],7,FALSE)*((Baseline!I29/Baseline!AB29)*Baseline!AA29),0),(_xlfn.IFNA(VLOOKUP(Referentie_MKI_Totaal[[#This Row],[Product]]&amp;", "&amp;Referentie_MKI_Totaal[[#Headers],[C1]],Database_Productkaarten[#All],14,FALSE),0)*Baseline!I29)),0)</f>
        <v>0</v>
      </c>
      <c r="M27" s="265">
        <f>IF(Baseline!AD29=0,(IF(Baseline!C29="Bestaande Situatie",(_xlfn.IFNA(VLOOKUP(Referentie_MKI_Totaal[[#This Row],[Product]]&amp;", "&amp;Referentie_MKI_Totaal[[#Headers],[C2]],Database_Productkaarten[#All],14,FALSE),0)*Baseline!I29),0)),(IF(Baseline!C29="Bestaande Situatie",_xlfn.IFNA(VLOOKUP(Baseline!AD29,Database_Transport[#All],7,FALSE)*(Baseline!Q29*Baseline!AC29),0))))</f>
        <v>0</v>
      </c>
      <c r="N27" s="265">
        <f>(IF(Baseline!C29="Bestaande Situatie",(_xlfn.IFNA(VLOOKUP(Referentie_MKI_Totaal[[#This Row],[Product]]&amp;", "&amp;Referentie_MKI_Totaal[[#Headers],[C3]],Database_Productkaarten[#All],14,FALSE),0)*Baseline!I29),0))</f>
        <v>0</v>
      </c>
      <c r="O27" s="265">
        <f>(IF(Baseline!C29="Bestaande Situatie",(_xlfn.IFNA(VLOOKUP(Referentie_MKI_Totaal[[#This Row],[Product]]&amp;", "&amp;Referentie_MKI_Totaal[[#Headers],[C4]],Database_Productkaarten[#All],14,FALSE),0)*Baseline!I29),0))</f>
        <v>0</v>
      </c>
      <c r="P27" s="265">
        <f>(IF(Baseline!C29="Bestaande Situatie",(_xlfn.IFNA(VLOOKUP(Referentie_MKI_Totaal[[#This Row],[Product]]&amp;", "&amp;Referentie_MKI_Totaal[[#Headers],[D1]],Database_Productkaarten[#All],14,FALSE),0)*Baseline!I29),0))</f>
        <v>0</v>
      </c>
      <c r="Q27" s="265">
        <f>(IF(Baseline!C29="Bestaande Situatie",_xlfn.IFNA(VLOOKUP(Referentie_MKI_Totaal[[#This Row],[Product]]&amp;", "&amp;Referentie_MKI_Totaal[[#Headers],[D2]],Database_Productkaarten[#All],14,FALSE),0)*Baseline!I29,0))</f>
        <v>0</v>
      </c>
      <c r="R27" s="265">
        <f>(IF(Baseline!C29="Bestaande Situatie",(_xlfn.IFNA(VLOOKUP(Referentie_MKI_Totaal[[#This Row],[Product]]&amp;", "&amp;Referentie_MKI_Totaal[[#Headers],[D]],Database_Productkaarten[#All],14,FALSE),0)*Baseline!I29),0))</f>
        <v>0</v>
      </c>
      <c r="S27" s="266">
        <f>SUM(Referentie_MKI_Totaal[[#This Row],[A1-A3]:[C4]])+Referentie_MKI_Totaal[[#This Row],[D]]</f>
        <v>260.85919952998881</v>
      </c>
      <c r="V27" s="331">
        <f>SUM(Referentie_MKI_Totaal[[#This Row],[A1-A3]]+Referentie_MKI_Totaal[[#This Row],[A4]]+Referentie_MKI_Totaal[[#This Row],[C2]]+Referentie_MKI_Totaal[[#This Row],[C3]]+Referentie_MKI_Totaal[[#This Row],[C4]]+Referentie_MKI_Totaal[[#This Row],[D]])*(VLOOKUP(Referentie_MKI_Totaal[[#This Row],[Product]]&amp;", "&amp;Referentie_MKI_Totaal[[#Headers],[A5]],Database_Productkaarten[#All],66,FALSE))</f>
        <v>5.7417126230862952</v>
      </c>
    </row>
    <row r="28" spans="2:22">
      <c r="B28" s="263" t="str">
        <f>Baseline!B30</f>
        <v>430040 - Leveren en aanbrengen opsluitbanden 100x200</v>
      </c>
      <c r="C28" s="264" t="str">
        <f>Baseline!F30</f>
        <v>Opsluitband 100x200</v>
      </c>
      <c r="D28" s="265">
        <f>(IF(Baseline!C30="Nieuwe Situatie",(_xlfn.IFNA(VLOOKUP(Referentie_MKI_Totaal[[#This Row],[Product]]&amp;", "&amp;Referentie_MKI_Totaal[[#Headers],[A1]],Database_Productkaarten[#All],14,FALSE),0)*Baseline!I30),0))</f>
        <v>444.14954999999992</v>
      </c>
      <c r="E28" s="265">
        <f>(IF(Baseline!C30="Nieuwe Situatie",(_xlfn.IFNA(VLOOKUP(Referentie_MKI_Totaal[[#This Row],[Product]]&amp;", "&amp;Referentie_MKI_Totaal[[#Headers],[A2]],Database_Productkaarten[#All],14,FALSE),0)*Baseline!I30),0))</f>
        <v>0</v>
      </c>
      <c r="F28" s="265">
        <f>(IF(Baseline!C30="Nieuwe Situatie",(_xlfn.IFNA(VLOOKUP(Referentie_MKI_Totaal[[#This Row],[Product]]&amp;", "&amp;Referentie_MKI_Totaal[[#Headers],[A3]],Database_Productkaarten[#All],14,FALSE),0)*Baseline!I30),0))</f>
        <v>0</v>
      </c>
      <c r="G28" s="265">
        <f>(IF(Baseline!C30="Nieuwe Situatie",(_xlfn.IFNA(VLOOKUP(Referentie_MKI_Totaal[[#This Row],[Product]]&amp;", "&amp;Referentie_MKI_Totaal[[#Headers],[A1-A3]],Database_Productkaarten[#All],14,FALSE),0)*Baseline!I30),0))</f>
        <v>638.26035000000002</v>
      </c>
      <c r="H28" s="265">
        <f>IF(Baseline!T30=0,(IF(Baseline!C30="Nieuwe Situatie",(_xlfn.IFNA(VLOOKUP(Referentie_MKI_Totaal[[#This Row],[Product]]&amp;", "&amp;Referentie_MKI_Totaal[[#Headers],[A4]],Database_Productkaarten[#All],14,FALSE),0)*Baseline!Q30),0)),(IF(Baseline!C30="Nieuwe Situatie",_xlfn.IFNA(VLOOKUP(Baseline!T30,Database_Transport[#All],7,FALSE)*(Baseline!Q30*Baseline!S30),0))))</f>
        <v>20.763617349850378</v>
      </c>
      <c r="I28" s="265">
        <f>IF(Baseline!C30="Nieuwe situatie",IF(_xlfn.IFNA((VLOOKUP(Baseline!U30,Database_Asfalt_Aanlegset[#All],7,FALSE)*Baseline!I30),0)+_xlfn.IFNA(VLOOKUP(Baseline!V30,Database_Brandstoffen[#All],7,FALSE)*((Baseline!I30/Baseline!X30)*Baseline!W30),0)&gt;0,_xlfn.IFNA((VLOOKUP(Baseline!U30,Database_Asfalt_Aanlegset[#All],7,FALSE)*Baseline!I30),0)+_xlfn.IFNA(VLOOKUP(Baseline!V30,Database_Brandstoffen[#All],7,FALSE)*((Baseline!I30/Baseline!X30)*Baseline!W30),0),(_xlfn.IFNA(VLOOKUP(Referentie_MKI_Totaal[[#This Row],[Product]]&amp;", "&amp;Referentie_MKI_Totaal[[#Headers],[A5]],Database_Productkaarten[#All],14,FALSE),0)*Baseline!I30)),0)</f>
        <v>401.37516617146395</v>
      </c>
      <c r="J28" s="265"/>
      <c r="K28" s="265">
        <f>(IF(Baseline!C30="Nieuwe Situatie",(SUM(Referentie_MKI_Totaal[[#This Row],[A1]:[B1]],Referentie_MKI_Totaal[[#This Row],[C1]:[D2]])*Baseline!R30),0))</f>
        <v>0</v>
      </c>
      <c r="L28" s="265">
        <f>IF(Baseline!C30="Bestaande situatie",IF(_xlfn.IFNA((VLOOKUP(Baseline!Y30,Database_Asfalt_Verwijderset[#All],7,FALSE)*Baseline!I30),0)+_xlfn.IFNA(VLOOKUP(Baseline!Z30,Database_Brandstoffen[#All],7,FALSE)*((Baseline!I30/Baseline!AB30)*Baseline!AA30),0)&gt;0,_xlfn.IFNA((VLOOKUP(Baseline!Y30,Database_Asfalt_Verwijderset[#All],7,FALSE)*Baseline!I30),0)+_xlfn.IFNA(VLOOKUP(Baseline!Z30,Database_Brandstoffen[#All],7,FALSE)*((Baseline!I30/Baseline!AB30)*Baseline!AA30),0),(_xlfn.IFNA(VLOOKUP(Referentie_MKI_Totaal[[#This Row],[Product]]&amp;", "&amp;Referentie_MKI_Totaal[[#Headers],[C1]],Database_Productkaarten[#All],14,FALSE),0)*Baseline!I30)),0)</f>
        <v>0</v>
      </c>
      <c r="M28" s="265">
        <f>IF(Baseline!AD30=0,(IF(Baseline!C30="Bestaande Situatie",(_xlfn.IFNA(VLOOKUP(Referentie_MKI_Totaal[[#This Row],[Product]]&amp;", "&amp;Referentie_MKI_Totaal[[#Headers],[C2]],Database_Productkaarten[#All],14,FALSE),0)*Baseline!I30),0)),(IF(Baseline!C30="Bestaande Situatie",_xlfn.IFNA(VLOOKUP(Baseline!AD30,Database_Transport[#All],7,FALSE)*(Baseline!Q30*Baseline!AC30),0))))</f>
        <v>0</v>
      </c>
      <c r="N28" s="265">
        <f>(IF(Baseline!C30="Bestaande Situatie",(_xlfn.IFNA(VLOOKUP(Referentie_MKI_Totaal[[#This Row],[Product]]&amp;", "&amp;Referentie_MKI_Totaal[[#Headers],[C3]],Database_Productkaarten[#All],14,FALSE),0)*Baseline!I30),0))</f>
        <v>0</v>
      </c>
      <c r="O28" s="265">
        <f>(IF(Baseline!C30="Bestaande Situatie",(_xlfn.IFNA(VLOOKUP(Referentie_MKI_Totaal[[#This Row],[Product]]&amp;", "&amp;Referentie_MKI_Totaal[[#Headers],[C4]],Database_Productkaarten[#All],14,FALSE),0)*Baseline!I30),0))</f>
        <v>0</v>
      </c>
      <c r="P28" s="265">
        <f>(IF(Baseline!C30="Bestaande Situatie",(_xlfn.IFNA(VLOOKUP(Referentie_MKI_Totaal[[#This Row],[Product]]&amp;", "&amp;Referentie_MKI_Totaal[[#Headers],[D1]],Database_Productkaarten[#All],14,FALSE),0)*Baseline!I30),0))</f>
        <v>0</v>
      </c>
      <c r="Q28" s="265">
        <f>(IF(Baseline!C30="Bestaande Situatie",_xlfn.IFNA(VLOOKUP(Referentie_MKI_Totaal[[#This Row],[Product]]&amp;", "&amp;Referentie_MKI_Totaal[[#Headers],[D2]],Database_Productkaarten[#All],14,FALSE),0)*Baseline!I30,0))</f>
        <v>0</v>
      </c>
      <c r="R28" s="265">
        <f>(IF(Baseline!C30="Bestaande Situatie",(_xlfn.IFNA(VLOOKUP(Referentie_MKI_Totaal[[#This Row],[Product]]&amp;", "&amp;Referentie_MKI_Totaal[[#Headers],[D]],Database_Productkaarten[#All],14,FALSE),0)*Baseline!I30),0))</f>
        <v>0</v>
      </c>
      <c r="S28" s="266">
        <f>SUM(Referentie_MKI_Totaal[[#This Row],[A1-A3]:[C4]])+Referentie_MKI_Totaal[[#This Row],[D]]</f>
        <v>1060.3991335213143</v>
      </c>
      <c r="V28" s="331">
        <f>SUM(Referentie_MKI_Totaal[[#This Row],[A1-A3]]+Referentie_MKI_Totaal[[#This Row],[A4]]+Referentie_MKI_Totaal[[#This Row],[C2]]+Referentie_MKI_Totaal[[#This Row],[C3]]+Referentie_MKI_Totaal[[#This Row],[C4]]+Referentie_MKI_Totaal[[#This Row],[D]])*(VLOOKUP(Referentie_MKI_Totaal[[#This Row],[Product]]&amp;", "&amp;Referentie_MKI_Totaal[[#Headers],[A5]],Database_Productkaarten[#All],66,FALSE))</f>
        <v>19.770719020495513</v>
      </c>
    </row>
    <row r="29" spans="2:22">
      <c r="B29" s="263" t="str">
        <f>Baseline!B31</f>
        <v>430050 - Leveren en aanbrengen opsluitbanden 120x250</v>
      </c>
      <c r="C29" s="264" t="str">
        <f>Baseline!F31</f>
        <v>Opsluitband 150x250</v>
      </c>
      <c r="D29" s="265">
        <f>(IF(Baseline!C31="Nieuwe Situatie",(_xlfn.IFNA(VLOOKUP(Referentie_MKI_Totaal[[#This Row],[Product]]&amp;", "&amp;Referentie_MKI_Totaal[[#Headers],[A1]],Database_Productkaarten[#All],14,FALSE),0)*Baseline!I31),0))</f>
        <v>779.86124999999993</v>
      </c>
      <c r="E29" s="265">
        <f>(IF(Baseline!C31="Nieuwe Situatie",(_xlfn.IFNA(VLOOKUP(Referentie_MKI_Totaal[[#This Row],[Product]]&amp;", "&amp;Referentie_MKI_Totaal[[#Headers],[A2]],Database_Productkaarten[#All],14,FALSE),0)*Baseline!I31),0))</f>
        <v>0</v>
      </c>
      <c r="F29" s="265">
        <f>(IF(Baseline!C31="Nieuwe Situatie",(_xlfn.IFNA(VLOOKUP(Referentie_MKI_Totaal[[#This Row],[Product]]&amp;", "&amp;Referentie_MKI_Totaal[[#Headers],[A3]],Database_Productkaarten[#All],14,FALSE),0)*Baseline!I31),0))</f>
        <v>0</v>
      </c>
      <c r="G29" s="265">
        <f>(IF(Baseline!C31="Nieuwe Situatie",(_xlfn.IFNA(VLOOKUP(Referentie_MKI_Totaal[[#This Row],[Product]]&amp;", "&amp;Referentie_MKI_Totaal[[#Headers],[A1-A3]],Database_Productkaarten[#All],14,FALSE),0)*Baseline!I31),0))</f>
        <v>1120.6912499999999</v>
      </c>
      <c r="H29" s="265">
        <f>IF(Baseline!T31=0,(IF(Baseline!C31="Nieuwe Situatie",(_xlfn.IFNA(VLOOKUP(Referentie_MKI_Totaal[[#This Row],[Product]]&amp;", "&amp;Referentie_MKI_Totaal[[#Headers],[A4]],Database_Productkaarten[#All],14,FALSE),0)*Baseline!Q31),0)),(IF(Baseline!C31="Nieuwe Situatie",_xlfn.IFNA(VLOOKUP(Baseline!T31,Database_Transport[#All],7,FALSE)*(Baseline!Q31*Baseline!S31),0))))</f>
        <v>36.457856550740637</v>
      </c>
      <c r="I29" s="265">
        <f>IF(Baseline!C31="Nieuwe situatie",IF(_xlfn.IFNA((VLOOKUP(Baseline!U31,Database_Asfalt_Aanlegset[#All],7,FALSE)*Baseline!I31),0)+_xlfn.IFNA(VLOOKUP(Baseline!V31,Database_Brandstoffen[#All],7,FALSE)*((Baseline!I31/Baseline!X31)*Baseline!W31),0)&gt;0,_xlfn.IFNA((VLOOKUP(Baseline!U31,Database_Asfalt_Aanlegset[#All],7,FALSE)*Baseline!I31),0)+_xlfn.IFNA(VLOOKUP(Baseline!V31,Database_Brandstoffen[#All],7,FALSE)*((Baseline!I31/Baseline!X31)*Baseline!W31),0),(_xlfn.IFNA(VLOOKUP(Referentie_MKI_Totaal[[#This Row],[Product]]&amp;", "&amp;Referentie_MKI_Totaal[[#Headers],[A5]],Database_Productkaarten[#All],14,FALSE),0)*Baseline!I31)),0)</f>
        <v>422.85343593314758</v>
      </c>
      <c r="J29" s="265"/>
      <c r="K29" s="265">
        <f>(IF(Baseline!C31="Nieuwe Situatie",(SUM(Referentie_MKI_Totaal[[#This Row],[A1]:[B1]],Referentie_MKI_Totaal[[#This Row],[C1]:[D2]])*Baseline!R31),0))</f>
        <v>0</v>
      </c>
      <c r="L29" s="265">
        <f>IF(Baseline!C31="Bestaande situatie",IF(_xlfn.IFNA((VLOOKUP(Baseline!Y31,Database_Asfalt_Verwijderset[#All],7,FALSE)*Baseline!I31),0)+_xlfn.IFNA(VLOOKUP(Baseline!Z31,Database_Brandstoffen[#All],7,FALSE)*((Baseline!I31/Baseline!AB31)*Baseline!AA31),0)&gt;0,_xlfn.IFNA((VLOOKUP(Baseline!Y31,Database_Asfalt_Verwijderset[#All],7,FALSE)*Baseline!I31),0)+_xlfn.IFNA(VLOOKUP(Baseline!Z31,Database_Brandstoffen[#All],7,FALSE)*((Baseline!I31/Baseline!AB31)*Baseline!AA31),0),(_xlfn.IFNA(VLOOKUP(Referentie_MKI_Totaal[[#This Row],[Product]]&amp;", "&amp;Referentie_MKI_Totaal[[#Headers],[C1]],Database_Productkaarten[#All],14,FALSE),0)*Baseline!I31)),0)</f>
        <v>0</v>
      </c>
      <c r="M29" s="265">
        <f>IF(Baseline!AD31=0,(IF(Baseline!C31="Bestaande Situatie",(_xlfn.IFNA(VLOOKUP(Referentie_MKI_Totaal[[#This Row],[Product]]&amp;", "&amp;Referentie_MKI_Totaal[[#Headers],[C2]],Database_Productkaarten[#All],14,FALSE),0)*Baseline!I31),0)),(IF(Baseline!C31="Bestaande Situatie",_xlfn.IFNA(VLOOKUP(Baseline!AD31,Database_Transport[#All],7,FALSE)*(Baseline!Q31*Baseline!AC31),0))))</f>
        <v>0</v>
      </c>
      <c r="N29" s="265">
        <f>(IF(Baseline!C31="Bestaande Situatie",(_xlfn.IFNA(VLOOKUP(Referentie_MKI_Totaal[[#This Row],[Product]]&amp;", "&amp;Referentie_MKI_Totaal[[#Headers],[C3]],Database_Productkaarten[#All],14,FALSE),0)*Baseline!I31),0))</f>
        <v>0</v>
      </c>
      <c r="O29" s="265">
        <f>(IF(Baseline!C31="Bestaande Situatie",(_xlfn.IFNA(VLOOKUP(Referentie_MKI_Totaal[[#This Row],[Product]]&amp;", "&amp;Referentie_MKI_Totaal[[#Headers],[C4]],Database_Productkaarten[#All],14,FALSE),0)*Baseline!I31),0))</f>
        <v>0</v>
      </c>
      <c r="P29" s="265">
        <f>(IF(Baseline!C31="Bestaande Situatie",(_xlfn.IFNA(VLOOKUP(Referentie_MKI_Totaal[[#This Row],[Product]]&amp;", "&amp;Referentie_MKI_Totaal[[#Headers],[D1]],Database_Productkaarten[#All],14,FALSE),0)*Baseline!I31),0))</f>
        <v>0</v>
      </c>
      <c r="Q29" s="265">
        <f>(IF(Baseline!C31="Bestaande Situatie",_xlfn.IFNA(VLOOKUP(Referentie_MKI_Totaal[[#This Row],[Product]]&amp;", "&amp;Referentie_MKI_Totaal[[#Headers],[D2]],Database_Productkaarten[#All],14,FALSE),0)*Baseline!I31,0))</f>
        <v>0</v>
      </c>
      <c r="R29" s="265">
        <f>(IF(Baseline!C31="Bestaande Situatie",(_xlfn.IFNA(VLOOKUP(Referentie_MKI_Totaal[[#This Row],[Product]]&amp;", "&amp;Referentie_MKI_Totaal[[#Headers],[D]],Database_Productkaarten[#All],14,FALSE),0)*Baseline!I31),0))</f>
        <v>0</v>
      </c>
      <c r="S29" s="266">
        <f>SUM(Referentie_MKI_Totaal[[#This Row],[A1-A3]:[C4]])+Referentie_MKI_Totaal[[#This Row],[D]]</f>
        <v>1580.0025424838882</v>
      </c>
      <c r="V29" s="331">
        <f>SUM(Referentie_MKI_Totaal[[#This Row],[A1-A3]]+Referentie_MKI_Totaal[[#This Row],[A4]]+Referentie_MKI_Totaal[[#This Row],[C2]]+Referentie_MKI_Totaal[[#This Row],[C3]]+Referentie_MKI_Totaal[[#This Row],[C4]]+Referentie_MKI_Totaal[[#This Row],[D]])*(VLOOKUP(Referentie_MKI_Totaal[[#This Row],[Product]]&amp;", "&amp;Referentie_MKI_Totaal[[#Headers],[A5]],Database_Productkaarten[#All],66,FALSE))</f>
        <v>34.714473196522214</v>
      </c>
    </row>
    <row r="30" spans="2:22">
      <c r="B30" s="263" t="str">
        <f>Baseline!B32</f>
        <v>440010 - Aanbrengen straatbakstenen DF, Rood (rijweg)</v>
      </c>
      <c r="C30" s="264" t="str">
        <f>Baseline!F32</f>
        <v>Baksteen</v>
      </c>
      <c r="D30" s="265">
        <f>(IF(Baseline!C32="Nieuwe Situatie",(_xlfn.IFNA(VLOOKUP(Referentie_MKI_Totaal[[#This Row],[Product]]&amp;", "&amp;Referentie_MKI_Totaal[[#Headers],[A1]],Database_Productkaarten[#All],14,FALSE),0)*Baseline!I32),0))</f>
        <v>0</v>
      </c>
      <c r="E30" s="265">
        <f>(IF(Baseline!C32="Nieuwe Situatie",(_xlfn.IFNA(VLOOKUP(Referentie_MKI_Totaal[[#This Row],[Product]]&amp;", "&amp;Referentie_MKI_Totaal[[#Headers],[A2]],Database_Productkaarten[#All],14,FALSE),0)*Baseline!I32),0))</f>
        <v>0</v>
      </c>
      <c r="F30" s="265">
        <f>(IF(Baseline!C32="Nieuwe Situatie",(_xlfn.IFNA(VLOOKUP(Referentie_MKI_Totaal[[#This Row],[Product]]&amp;", "&amp;Referentie_MKI_Totaal[[#Headers],[A3]],Database_Productkaarten[#All],14,FALSE),0)*Baseline!I32),0))</f>
        <v>0</v>
      </c>
      <c r="G30" s="265">
        <f>(IF(Baseline!C32="Nieuwe Situatie",(_xlfn.IFNA(VLOOKUP(Referentie_MKI_Totaal[[#This Row],[Product]]&amp;", "&amp;Referentie_MKI_Totaal[[#Headers],[A1-A3]],Database_Productkaarten[#All],14,FALSE),0)*Baseline!I32),0))</f>
        <v>14671.189049999999</v>
      </c>
      <c r="H30" s="265">
        <f>IF(Baseline!T32=0,(IF(Baseline!C32="Nieuwe Situatie",(_xlfn.IFNA(VLOOKUP(Referentie_MKI_Totaal[[#This Row],[Product]]&amp;", "&amp;Referentie_MKI_Totaal[[#Headers],[A4]],Database_Productkaarten[#All],14,FALSE),0)*Baseline!Q32),0)),(IF(Baseline!C32="Nieuwe Situatie",_xlfn.IFNA(VLOOKUP(Baseline!T32,Database_Transport[#All],7,FALSE)*(Baseline!Q32*Baseline!S32),0))))</f>
        <v>312.44324755490004</v>
      </c>
      <c r="I30" s="265">
        <f>IF(Baseline!C32="Nieuwe situatie",IF(_xlfn.IFNA((VLOOKUP(Baseline!U32,Database_Asfalt_Aanlegset[#All],7,FALSE)*Baseline!I32),0)+_xlfn.IFNA(VLOOKUP(Baseline!V32,Database_Brandstoffen[#All],7,FALSE)*((Baseline!I32/Baseline!X32)*Baseline!W32),0)&gt;0,_xlfn.IFNA((VLOOKUP(Baseline!U32,Database_Asfalt_Aanlegset[#All],7,FALSE)*Baseline!I32),0)+_xlfn.IFNA(VLOOKUP(Baseline!V32,Database_Brandstoffen[#All],7,FALSE)*((Baseline!I32/Baseline!X32)*Baseline!W32),0),(_xlfn.IFNA(VLOOKUP(Referentie_MKI_Totaal[[#This Row],[Product]]&amp;", "&amp;Referentie_MKI_Totaal[[#Headers],[A5]],Database_Productkaarten[#All],14,FALSE),0)*Baseline!I32)),0)</f>
        <v>3732.6374300670004</v>
      </c>
      <c r="J30" s="265"/>
      <c r="K30" s="265">
        <f>(IF(Baseline!C32="Nieuwe Situatie",(SUM(Referentie_MKI_Totaal[[#This Row],[A1]:[B1]],Referentie_MKI_Totaal[[#This Row],[C1]:[D2]])*Baseline!R32),0))</f>
        <v>0</v>
      </c>
      <c r="L30" s="265">
        <f>IF(Baseline!C32="Bestaande situatie",IF(_xlfn.IFNA((VLOOKUP(Baseline!Y32,Database_Asfalt_Verwijderset[#All],7,FALSE)*Baseline!I32),0)+_xlfn.IFNA(VLOOKUP(Baseline!Z32,Database_Brandstoffen[#All],7,FALSE)*((Baseline!I32/Baseline!AB32)*Baseline!AA32),0)&gt;0,_xlfn.IFNA((VLOOKUP(Baseline!Y32,Database_Asfalt_Verwijderset[#All],7,FALSE)*Baseline!I32),0)+_xlfn.IFNA(VLOOKUP(Baseline!Z32,Database_Brandstoffen[#All],7,FALSE)*((Baseline!I32/Baseline!AB32)*Baseline!AA32),0),(_xlfn.IFNA(VLOOKUP(Referentie_MKI_Totaal[[#This Row],[Product]]&amp;", "&amp;Referentie_MKI_Totaal[[#Headers],[C1]],Database_Productkaarten[#All],14,FALSE),0)*Baseline!I32)),0)</f>
        <v>0</v>
      </c>
      <c r="M30" s="265">
        <f>IF(Baseline!AD32=0,(IF(Baseline!C32="Bestaande Situatie",(_xlfn.IFNA(VLOOKUP(Referentie_MKI_Totaal[[#This Row],[Product]]&amp;", "&amp;Referentie_MKI_Totaal[[#Headers],[C2]],Database_Productkaarten[#All],14,FALSE),0)*Baseline!I32),0)),(IF(Baseline!C32="Bestaande Situatie",_xlfn.IFNA(VLOOKUP(Baseline!AD32,Database_Transport[#All],7,FALSE)*(Baseline!Q32*Baseline!AC32),0))))</f>
        <v>0</v>
      </c>
      <c r="N30" s="265">
        <f>(IF(Baseline!C32="Bestaande Situatie",(_xlfn.IFNA(VLOOKUP(Referentie_MKI_Totaal[[#This Row],[Product]]&amp;", "&amp;Referentie_MKI_Totaal[[#Headers],[C3]],Database_Productkaarten[#All],14,FALSE),0)*Baseline!I32),0))</f>
        <v>0</v>
      </c>
      <c r="O30" s="265">
        <f>(IF(Baseline!C32="Bestaande Situatie",(_xlfn.IFNA(VLOOKUP(Referentie_MKI_Totaal[[#This Row],[Product]]&amp;", "&amp;Referentie_MKI_Totaal[[#Headers],[C4]],Database_Productkaarten[#All],14,FALSE),0)*Baseline!I32),0))</f>
        <v>0</v>
      </c>
      <c r="P30" s="265">
        <f>(IF(Baseline!C32="Bestaande Situatie",(_xlfn.IFNA(VLOOKUP(Referentie_MKI_Totaal[[#This Row],[Product]]&amp;", "&amp;Referentie_MKI_Totaal[[#Headers],[D1]],Database_Productkaarten[#All],14,FALSE),0)*Baseline!I32),0))</f>
        <v>0</v>
      </c>
      <c r="Q30" s="265">
        <f>(IF(Baseline!C32="Bestaande Situatie",_xlfn.IFNA(VLOOKUP(Referentie_MKI_Totaal[[#This Row],[Product]]&amp;", "&amp;Referentie_MKI_Totaal[[#Headers],[D2]],Database_Productkaarten[#All],14,FALSE),0)*Baseline!I32,0))</f>
        <v>0</v>
      </c>
      <c r="R30" s="265">
        <f>(IF(Baseline!C32="Bestaande Situatie",(_xlfn.IFNA(VLOOKUP(Referentie_MKI_Totaal[[#This Row],[Product]]&amp;", "&amp;Referentie_MKI_Totaal[[#Headers],[D]],Database_Productkaarten[#All],14,FALSE),0)*Baseline!I32),0))</f>
        <v>0</v>
      </c>
      <c r="S30" s="266">
        <f>SUM(Referentie_MKI_Totaal[[#This Row],[A1-A3]:[C4]])+Referentie_MKI_Totaal[[#This Row],[D]]</f>
        <v>18716.269727621901</v>
      </c>
      <c r="V30" s="331">
        <f>SUM(Referentie_MKI_Totaal[[#This Row],[A1-A3]]+Referentie_MKI_Totaal[[#This Row],[A4]]+Referentie_MKI_Totaal[[#This Row],[C2]]+Referentie_MKI_Totaal[[#This Row],[C3]]+Referentie_MKI_Totaal[[#This Row],[C4]]+Referentie_MKI_Totaal[[#This Row],[D]])*(VLOOKUP(Referentie_MKI_Totaal[[#This Row],[Product]]&amp;", "&amp;Referentie_MKI_Totaal[[#Headers],[A5]],Database_Productkaarten[#All],66,FALSE))</f>
        <v>449.50896892664696</v>
      </c>
    </row>
    <row r="31" spans="2:22">
      <c r="B31" s="263" t="str">
        <f>Baseline!B33</f>
        <v>440020 - Aanbrengen straatbakstenen DF, Geel (rijweg/ plein)</v>
      </c>
      <c r="C31" s="264" t="str">
        <f>Baseline!F33</f>
        <v>Baksteen</v>
      </c>
      <c r="D31" s="265">
        <f>(IF(Baseline!C33="Nieuwe Situatie",(_xlfn.IFNA(VLOOKUP(Referentie_MKI_Totaal[[#This Row],[Product]]&amp;", "&amp;Referentie_MKI_Totaal[[#Headers],[A1]],Database_Productkaarten[#All],14,FALSE),0)*Baseline!I33),0))</f>
        <v>0</v>
      </c>
      <c r="E31" s="265">
        <f>(IF(Baseline!C33="Nieuwe Situatie",(_xlfn.IFNA(VLOOKUP(Referentie_MKI_Totaal[[#This Row],[Product]]&amp;", "&amp;Referentie_MKI_Totaal[[#Headers],[A2]],Database_Productkaarten[#All],14,FALSE),0)*Baseline!I33),0))</f>
        <v>0</v>
      </c>
      <c r="F31" s="265">
        <f>(IF(Baseline!C33="Nieuwe Situatie",(_xlfn.IFNA(VLOOKUP(Referentie_MKI_Totaal[[#This Row],[Product]]&amp;", "&amp;Referentie_MKI_Totaal[[#Headers],[A3]],Database_Productkaarten[#All],14,FALSE),0)*Baseline!I33),0))</f>
        <v>0</v>
      </c>
      <c r="G31" s="265">
        <f>(IF(Baseline!C33="Nieuwe Situatie",(_xlfn.IFNA(VLOOKUP(Referentie_MKI_Totaal[[#This Row],[Product]]&amp;", "&amp;Referentie_MKI_Totaal[[#Headers],[A1-A3]],Database_Productkaarten[#All],14,FALSE),0)*Baseline!I33),0))</f>
        <v>21719.91675</v>
      </c>
      <c r="H31" s="265">
        <f>IF(Baseline!T33=0,(IF(Baseline!C33="Nieuwe Situatie",(_xlfn.IFNA(VLOOKUP(Referentie_MKI_Totaal[[#This Row],[Product]]&amp;", "&amp;Referentie_MKI_Totaal[[#Headers],[A4]],Database_Productkaarten[#All],14,FALSE),0)*Baseline!Q33),0)),(IF(Baseline!C33="Nieuwe Situatie",_xlfn.IFNA(VLOOKUP(Baseline!T33,Database_Transport[#All],7,FALSE)*(Baseline!Q33*Baseline!S33),0))))</f>
        <v>462.55564582150004</v>
      </c>
      <c r="I31" s="265">
        <f>IF(Baseline!C33="Nieuwe situatie",IF(_xlfn.IFNA((VLOOKUP(Baseline!U33,Database_Asfalt_Aanlegset[#All],7,FALSE)*Baseline!I33),0)+_xlfn.IFNA(VLOOKUP(Baseline!V33,Database_Brandstoffen[#All],7,FALSE)*((Baseline!I33/Baseline!X33)*Baseline!W33),0)&gt;0,_xlfn.IFNA((VLOOKUP(Baseline!U33,Database_Asfalt_Aanlegset[#All],7,FALSE)*Baseline!I33),0)+_xlfn.IFNA(VLOOKUP(Baseline!V33,Database_Brandstoffen[#All],7,FALSE)*((Baseline!I33/Baseline!X33)*Baseline!W33),0),(_xlfn.IFNA(VLOOKUP(Referentie_MKI_Totaal[[#This Row],[Product]]&amp;", "&amp;Referentie_MKI_Totaal[[#Headers],[A5]],Database_Productkaarten[#All],14,FALSE),0)*Baseline!I33)),0)</f>
        <v>5525.9716143449996</v>
      </c>
      <c r="J31" s="265"/>
      <c r="K31" s="265">
        <f>(IF(Baseline!C33="Nieuwe Situatie",(SUM(Referentie_MKI_Totaal[[#This Row],[A1]:[B1]],Referentie_MKI_Totaal[[#This Row],[C1]:[D2]])*Baseline!R33),0))</f>
        <v>0</v>
      </c>
      <c r="L31" s="265">
        <f>IF(Baseline!C33="Bestaande situatie",IF(_xlfn.IFNA((VLOOKUP(Baseline!Y33,Database_Asfalt_Verwijderset[#All],7,FALSE)*Baseline!I33),0)+_xlfn.IFNA(VLOOKUP(Baseline!Z33,Database_Brandstoffen[#All],7,FALSE)*((Baseline!I33/Baseline!AB33)*Baseline!AA33),0)&gt;0,_xlfn.IFNA((VLOOKUP(Baseline!Y33,Database_Asfalt_Verwijderset[#All],7,FALSE)*Baseline!I33),0)+_xlfn.IFNA(VLOOKUP(Baseline!Z33,Database_Brandstoffen[#All],7,FALSE)*((Baseline!I33/Baseline!AB33)*Baseline!AA33),0),(_xlfn.IFNA(VLOOKUP(Referentie_MKI_Totaal[[#This Row],[Product]]&amp;", "&amp;Referentie_MKI_Totaal[[#Headers],[C1]],Database_Productkaarten[#All],14,FALSE),0)*Baseline!I33)),0)</f>
        <v>0</v>
      </c>
      <c r="M31" s="265">
        <f>IF(Baseline!AD33=0,(IF(Baseline!C33="Bestaande Situatie",(_xlfn.IFNA(VLOOKUP(Referentie_MKI_Totaal[[#This Row],[Product]]&amp;", "&amp;Referentie_MKI_Totaal[[#Headers],[C2]],Database_Productkaarten[#All],14,FALSE),0)*Baseline!I33),0)),(IF(Baseline!C33="Bestaande Situatie",_xlfn.IFNA(VLOOKUP(Baseline!AD33,Database_Transport[#All],7,FALSE)*(Baseline!Q33*Baseline!AC33),0))))</f>
        <v>0</v>
      </c>
      <c r="N31" s="265">
        <f>(IF(Baseline!C33="Bestaande Situatie",(_xlfn.IFNA(VLOOKUP(Referentie_MKI_Totaal[[#This Row],[Product]]&amp;", "&amp;Referentie_MKI_Totaal[[#Headers],[C3]],Database_Productkaarten[#All],14,FALSE),0)*Baseline!I33),0))</f>
        <v>0</v>
      </c>
      <c r="O31" s="265">
        <f>(IF(Baseline!C33="Bestaande Situatie",(_xlfn.IFNA(VLOOKUP(Referentie_MKI_Totaal[[#This Row],[Product]]&amp;", "&amp;Referentie_MKI_Totaal[[#Headers],[C4]],Database_Productkaarten[#All],14,FALSE),0)*Baseline!I33),0))</f>
        <v>0</v>
      </c>
      <c r="P31" s="265">
        <f>(IF(Baseline!C33="Bestaande Situatie",(_xlfn.IFNA(VLOOKUP(Referentie_MKI_Totaal[[#This Row],[Product]]&amp;", "&amp;Referentie_MKI_Totaal[[#Headers],[D1]],Database_Productkaarten[#All],14,FALSE),0)*Baseline!I33),0))</f>
        <v>0</v>
      </c>
      <c r="Q31" s="265">
        <f>(IF(Baseline!C33="Bestaande Situatie",_xlfn.IFNA(VLOOKUP(Referentie_MKI_Totaal[[#This Row],[Product]]&amp;", "&amp;Referentie_MKI_Totaal[[#Headers],[D2]],Database_Productkaarten[#All],14,FALSE),0)*Baseline!I33,0))</f>
        <v>0</v>
      </c>
      <c r="R31" s="265">
        <f>(IF(Baseline!C33="Bestaande Situatie",(_xlfn.IFNA(VLOOKUP(Referentie_MKI_Totaal[[#This Row],[Product]]&amp;", "&amp;Referentie_MKI_Totaal[[#Headers],[D]],Database_Productkaarten[#All],14,FALSE),0)*Baseline!I33),0))</f>
        <v>0</v>
      </c>
      <c r="S31" s="266">
        <f>SUM(Referentie_MKI_Totaal[[#This Row],[A1-A3]:[C4]])+Referentie_MKI_Totaal[[#This Row],[D]]</f>
        <v>27708.444010166499</v>
      </c>
      <c r="V31" s="331">
        <f>SUM(Referentie_MKI_Totaal[[#This Row],[A1-A3]]+Referentie_MKI_Totaal[[#This Row],[A4]]+Referentie_MKI_Totaal[[#This Row],[C2]]+Referentie_MKI_Totaal[[#This Row],[C3]]+Referentie_MKI_Totaal[[#This Row],[C4]]+Referentie_MKI_Totaal[[#This Row],[D]])*(VLOOKUP(Referentie_MKI_Totaal[[#This Row],[Product]]&amp;", "&amp;Referentie_MKI_Totaal[[#Headers],[A5]],Database_Productkaarten[#All],66,FALSE))</f>
        <v>665.47417187464498</v>
      </c>
    </row>
    <row r="32" spans="2:22">
      <c r="B32" s="263" t="str">
        <f>Baseline!B34</f>
        <v>440030 - Aanbrengen straatbakstenen DF, Rood (parkeervakken)</v>
      </c>
      <c r="C32" s="264" t="str">
        <f>Baseline!F34</f>
        <v>Baksteen</v>
      </c>
      <c r="D32" s="265">
        <f>(IF(Baseline!C34="Nieuwe Situatie",(_xlfn.IFNA(VLOOKUP(Referentie_MKI_Totaal[[#This Row],[Product]]&amp;", "&amp;Referentie_MKI_Totaal[[#Headers],[A1]],Database_Productkaarten[#All],14,FALSE),0)*Baseline!I34),0))</f>
        <v>0</v>
      </c>
      <c r="E32" s="265">
        <f>(IF(Baseline!C34="Nieuwe Situatie",(_xlfn.IFNA(VLOOKUP(Referentie_MKI_Totaal[[#This Row],[Product]]&amp;", "&amp;Referentie_MKI_Totaal[[#Headers],[A2]],Database_Productkaarten[#All],14,FALSE),0)*Baseline!I34),0))</f>
        <v>0</v>
      </c>
      <c r="F32" s="265">
        <f>(IF(Baseline!C34="Nieuwe Situatie",(_xlfn.IFNA(VLOOKUP(Referentie_MKI_Totaal[[#This Row],[Product]]&amp;", "&amp;Referentie_MKI_Totaal[[#Headers],[A3]],Database_Productkaarten[#All],14,FALSE),0)*Baseline!I34),0))</f>
        <v>0</v>
      </c>
      <c r="G32" s="265">
        <f>(IF(Baseline!C34="Nieuwe Situatie",(_xlfn.IFNA(VLOOKUP(Referentie_MKI_Totaal[[#This Row],[Product]]&amp;", "&amp;Referentie_MKI_Totaal[[#Headers],[A1-A3]],Database_Productkaarten[#All],14,FALSE),0)*Baseline!I34),0))</f>
        <v>1463.60625</v>
      </c>
      <c r="H32" s="265">
        <f>IF(Baseline!T34=0,(IF(Baseline!C34="Nieuwe Situatie",(_xlfn.IFNA(VLOOKUP(Referentie_MKI_Totaal[[#This Row],[Product]]&amp;", "&amp;Referentie_MKI_Totaal[[#Headers],[A4]],Database_Productkaarten[#All],14,FALSE),0)*Baseline!Q34),0)),(IF(Baseline!C34="Nieuwe Situatie",_xlfn.IFNA(VLOOKUP(Baseline!T34,Database_Transport[#All],7,FALSE)*(Baseline!Q34*Baseline!S34),0))))</f>
        <v>31.169517912500002</v>
      </c>
      <c r="I32" s="265">
        <f>IF(Baseline!C34="Nieuwe situatie",IF(_xlfn.IFNA((VLOOKUP(Baseline!U34,Database_Asfalt_Aanlegset[#All],7,FALSE)*Baseline!I34),0)+_xlfn.IFNA(VLOOKUP(Baseline!V34,Database_Brandstoffen[#All],7,FALSE)*((Baseline!I34/Baseline!X34)*Baseline!W34),0)&gt;0,_xlfn.IFNA((VLOOKUP(Baseline!U34,Database_Asfalt_Aanlegset[#All],7,FALSE)*Baseline!I34),0)+_xlfn.IFNA(VLOOKUP(Baseline!V34,Database_Brandstoffen[#All],7,FALSE)*((Baseline!I34/Baseline!X34)*Baseline!W34),0),(_xlfn.IFNA(VLOOKUP(Referentie_MKI_Totaal[[#This Row],[Product]]&amp;", "&amp;Referentie_MKI_Totaal[[#Headers],[A5]],Database_Productkaarten[#All],14,FALSE),0)*Baseline!I34)),0)</f>
        <v>372.37005487499994</v>
      </c>
      <c r="J32" s="265"/>
      <c r="K32" s="265">
        <f>(IF(Baseline!C34="Nieuwe Situatie",(SUM(Referentie_MKI_Totaal[[#This Row],[A1]:[B1]],Referentie_MKI_Totaal[[#This Row],[C1]:[D2]])*Baseline!R34),0))</f>
        <v>0</v>
      </c>
      <c r="L32" s="265">
        <f>IF(Baseline!C34="Bestaande situatie",IF(_xlfn.IFNA((VLOOKUP(Baseline!Y34,Database_Asfalt_Verwijderset[#All],7,FALSE)*Baseline!I34),0)+_xlfn.IFNA(VLOOKUP(Baseline!Z34,Database_Brandstoffen[#All],7,FALSE)*((Baseline!I34/Baseline!AB34)*Baseline!AA34),0)&gt;0,_xlfn.IFNA((VLOOKUP(Baseline!Y34,Database_Asfalt_Verwijderset[#All],7,FALSE)*Baseline!I34),0)+_xlfn.IFNA(VLOOKUP(Baseline!Z34,Database_Brandstoffen[#All],7,FALSE)*((Baseline!I34/Baseline!AB34)*Baseline!AA34),0),(_xlfn.IFNA(VLOOKUP(Referentie_MKI_Totaal[[#This Row],[Product]]&amp;", "&amp;Referentie_MKI_Totaal[[#Headers],[C1]],Database_Productkaarten[#All],14,FALSE),0)*Baseline!I34)),0)</f>
        <v>0</v>
      </c>
      <c r="M32" s="265">
        <f>IF(Baseline!AD34=0,(IF(Baseline!C34="Bestaande Situatie",(_xlfn.IFNA(VLOOKUP(Referentie_MKI_Totaal[[#This Row],[Product]]&amp;", "&amp;Referentie_MKI_Totaal[[#Headers],[C2]],Database_Productkaarten[#All],14,FALSE),0)*Baseline!I34),0)),(IF(Baseline!C34="Bestaande Situatie",_xlfn.IFNA(VLOOKUP(Baseline!AD34,Database_Transport[#All],7,FALSE)*(Baseline!Q34*Baseline!AC34),0))))</f>
        <v>0</v>
      </c>
      <c r="N32" s="265">
        <f>(IF(Baseline!C34="Bestaande Situatie",(_xlfn.IFNA(VLOOKUP(Referentie_MKI_Totaal[[#This Row],[Product]]&amp;", "&amp;Referentie_MKI_Totaal[[#Headers],[C3]],Database_Productkaarten[#All],14,FALSE),0)*Baseline!I34),0))</f>
        <v>0</v>
      </c>
      <c r="O32" s="265">
        <f>(IF(Baseline!C34="Bestaande Situatie",(_xlfn.IFNA(VLOOKUP(Referentie_MKI_Totaal[[#This Row],[Product]]&amp;", "&amp;Referentie_MKI_Totaal[[#Headers],[C4]],Database_Productkaarten[#All],14,FALSE),0)*Baseline!I34),0))</f>
        <v>0</v>
      </c>
      <c r="P32" s="265">
        <f>(IF(Baseline!C34="Bestaande Situatie",(_xlfn.IFNA(VLOOKUP(Referentie_MKI_Totaal[[#This Row],[Product]]&amp;", "&amp;Referentie_MKI_Totaal[[#Headers],[D1]],Database_Productkaarten[#All],14,FALSE),0)*Baseline!I34),0))</f>
        <v>0</v>
      </c>
      <c r="Q32" s="265">
        <f>(IF(Baseline!C34="Bestaande Situatie",_xlfn.IFNA(VLOOKUP(Referentie_MKI_Totaal[[#This Row],[Product]]&amp;", "&amp;Referentie_MKI_Totaal[[#Headers],[D2]],Database_Productkaarten[#All],14,FALSE),0)*Baseline!I34,0))</f>
        <v>0</v>
      </c>
      <c r="R32" s="265">
        <f>(IF(Baseline!C34="Bestaande Situatie",(_xlfn.IFNA(VLOOKUP(Referentie_MKI_Totaal[[#This Row],[Product]]&amp;", "&amp;Referentie_MKI_Totaal[[#Headers],[D]],Database_Productkaarten[#All],14,FALSE),0)*Baseline!I34),0))</f>
        <v>0</v>
      </c>
      <c r="S32" s="266">
        <f>SUM(Referentie_MKI_Totaal[[#This Row],[A1-A3]:[C4]])+Referentie_MKI_Totaal[[#This Row],[D]]</f>
        <v>1867.1458227875</v>
      </c>
      <c r="V32" s="331">
        <f>SUM(Referentie_MKI_Totaal[[#This Row],[A1-A3]]+Referentie_MKI_Totaal[[#This Row],[A4]]+Referentie_MKI_Totaal[[#This Row],[C2]]+Referentie_MKI_Totaal[[#This Row],[C3]]+Referentie_MKI_Totaal[[#This Row],[C4]]+Referentie_MKI_Totaal[[#This Row],[D]])*(VLOOKUP(Referentie_MKI_Totaal[[#This Row],[Product]]&amp;", "&amp;Referentie_MKI_Totaal[[#Headers],[A5]],Database_Productkaarten[#All],66,FALSE))</f>
        <v>44.843273037374999</v>
      </c>
    </row>
    <row r="33" spans="2:22">
      <c r="B33" s="263" t="str">
        <f>Baseline!B35</f>
        <v>440040 - Aanbrengen straatbakstenen DF, Geel (parkeervakken)</v>
      </c>
      <c r="C33" s="264" t="str">
        <f>Baseline!F35</f>
        <v>Baksteen</v>
      </c>
      <c r="D33" s="265">
        <f>(IF(Baseline!C35="Nieuwe Situatie",(_xlfn.IFNA(VLOOKUP(Referentie_MKI_Totaal[[#This Row],[Product]]&amp;", "&amp;Referentie_MKI_Totaal[[#Headers],[A1]],Database_Productkaarten[#All],14,FALSE),0)*Baseline!I35),0))</f>
        <v>0</v>
      </c>
      <c r="E33" s="265">
        <f>(IF(Baseline!C35="Nieuwe Situatie",(_xlfn.IFNA(VLOOKUP(Referentie_MKI_Totaal[[#This Row],[Product]]&amp;", "&amp;Referentie_MKI_Totaal[[#Headers],[A2]],Database_Productkaarten[#All],14,FALSE),0)*Baseline!I35),0))</f>
        <v>0</v>
      </c>
      <c r="F33" s="265">
        <f>(IF(Baseline!C35="Nieuwe Situatie",(_xlfn.IFNA(VLOOKUP(Referentie_MKI_Totaal[[#This Row],[Product]]&amp;", "&amp;Referentie_MKI_Totaal[[#Headers],[A3]],Database_Productkaarten[#All],14,FALSE),0)*Baseline!I35),0))</f>
        <v>0</v>
      </c>
      <c r="G33" s="265">
        <f>(IF(Baseline!C35="Nieuwe Situatie",(_xlfn.IFNA(VLOOKUP(Referentie_MKI_Totaal[[#This Row],[Product]]&amp;", "&amp;Referentie_MKI_Totaal[[#Headers],[A1-A3]],Database_Productkaarten[#All],14,FALSE),0)*Baseline!I35),0))</f>
        <v>1662.6567</v>
      </c>
      <c r="H33" s="265">
        <f>IF(Baseline!T35=0,(IF(Baseline!C35="Nieuwe Situatie",(_xlfn.IFNA(VLOOKUP(Referentie_MKI_Totaal[[#This Row],[Product]]&amp;", "&amp;Referentie_MKI_Totaal[[#Headers],[A4]],Database_Productkaarten[#All],14,FALSE),0)*Baseline!Q35),0)),(IF(Baseline!C35="Nieuwe Situatie",_xlfn.IFNA(VLOOKUP(Baseline!T35,Database_Transport[#All],7,FALSE)*(Baseline!Q35*Baseline!S35),0))))</f>
        <v>35.408572348600003</v>
      </c>
      <c r="I33" s="265">
        <f>IF(Baseline!C35="Nieuwe situatie",IF(_xlfn.IFNA((VLOOKUP(Baseline!U35,Database_Asfalt_Aanlegset[#All],7,FALSE)*Baseline!I35),0)+_xlfn.IFNA(VLOOKUP(Baseline!V35,Database_Brandstoffen[#All],7,FALSE)*((Baseline!I35/Baseline!X35)*Baseline!W35),0)&gt;0,_xlfn.IFNA((VLOOKUP(Baseline!U35,Database_Asfalt_Aanlegset[#All],7,FALSE)*Baseline!I35),0)+_xlfn.IFNA(VLOOKUP(Baseline!V35,Database_Brandstoffen[#All],7,FALSE)*((Baseline!I35/Baseline!X35)*Baseline!W35),0),(_xlfn.IFNA(VLOOKUP(Referentie_MKI_Totaal[[#This Row],[Product]]&amp;", "&amp;Referentie_MKI_Totaal[[#Headers],[A5]],Database_Productkaarten[#All],14,FALSE),0)*Baseline!I35)),0)</f>
        <v>423.01238233799995</v>
      </c>
      <c r="J33" s="265"/>
      <c r="K33" s="265">
        <f>(IF(Baseline!C35="Nieuwe Situatie",(SUM(Referentie_MKI_Totaal[[#This Row],[A1]:[B1]],Referentie_MKI_Totaal[[#This Row],[C1]:[D2]])*Baseline!R35),0))</f>
        <v>0</v>
      </c>
      <c r="L33" s="265">
        <f>IF(Baseline!C35="Bestaande situatie",IF(_xlfn.IFNA((VLOOKUP(Baseline!Y35,Database_Asfalt_Verwijderset[#All],7,FALSE)*Baseline!I35),0)+_xlfn.IFNA(VLOOKUP(Baseline!Z35,Database_Brandstoffen[#All],7,FALSE)*((Baseline!I35/Baseline!AB35)*Baseline!AA35),0)&gt;0,_xlfn.IFNA((VLOOKUP(Baseline!Y35,Database_Asfalt_Verwijderset[#All],7,FALSE)*Baseline!I35),0)+_xlfn.IFNA(VLOOKUP(Baseline!Z35,Database_Brandstoffen[#All],7,FALSE)*((Baseline!I35/Baseline!AB35)*Baseline!AA35),0),(_xlfn.IFNA(VLOOKUP(Referentie_MKI_Totaal[[#This Row],[Product]]&amp;", "&amp;Referentie_MKI_Totaal[[#Headers],[C1]],Database_Productkaarten[#All],14,FALSE),0)*Baseline!I35)),0)</f>
        <v>0</v>
      </c>
      <c r="M33" s="265">
        <f>IF(Baseline!AD35=0,(IF(Baseline!C35="Bestaande Situatie",(_xlfn.IFNA(VLOOKUP(Referentie_MKI_Totaal[[#This Row],[Product]]&amp;", "&amp;Referentie_MKI_Totaal[[#Headers],[C2]],Database_Productkaarten[#All],14,FALSE),0)*Baseline!I35),0)),(IF(Baseline!C35="Bestaande Situatie",_xlfn.IFNA(VLOOKUP(Baseline!AD35,Database_Transport[#All],7,FALSE)*(Baseline!Q35*Baseline!AC35),0))))</f>
        <v>0</v>
      </c>
      <c r="N33" s="265">
        <f>(IF(Baseline!C35="Bestaande Situatie",(_xlfn.IFNA(VLOOKUP(Referentie_MKI_Totaal[[#This Row],[Product]]&amp;", "&amp;Referentie_MKI_Totaal[[#Headers],[C3]],Database_Productkaarten[#All],14,FALSE),0)*Baseline!I35),0))</f>
        <v>0</v>
      </c>
      <c r="O33" s="265">
        <f>(IF(Baseline!C35="Bestaande Situatie",(_xlfn.IFNA(VLOOKUP(Referentie_MKI_Totaal[[#This Row],[Product]]&amp;", "&amp;Referentie_MKI_Totaal[[#Headers],[C4]],Database_Productkaarten[#All],14,FALSE),0)*Baseline!I35),0))</f>
        <v>0</v>
      </c>
      <c r="P33" s="265">
        <f>(IF(Baseline!C35="Bestaande Situatie",(_xlfn.IFNA(VLOOKUP(Referentie_MKI_Totaal[[#This Row],[Product]]&amp;", "&amp;Referentie_MKI_Totaal[[#Headers],[D1]],Database_Productkaarten[#All],14,FALSE),0)*Baseline!I35),0))</f>
        <v>0</v>
      </c>
      <c r="Q33" s="265">
        <f>(IF(Baseline!C35="Bestaande Situatie",_xlfn.IFNA(VLOOKUP(Referentie_MKI_Totaal[[#This Row],[Product]]&amp;", "&amp;Referentie_MKI_Totaal[[#Headers],[D2]],Database_Productkaarten[#All],14,FALSE),0)*Baseline!I35,0))</f>
        <v>0</v>
      </c>
      <c r="R33" s="265">
        <f>(IF(Baseline!C35="Bestaande Situatie",(_xlfn.IFNA(VLOOKUP(Referentie_MKI_Totaal[[#This Row],[Product]]&amp;", "&amp;Referentie_MKI_Totaal[[#Headers],[D]],Database_Productkaarten[#All],14,FALSE),0)*Baseline!I35),0))</f>
        <v>0</v>
      </c>
      <c r="S33" s="266">
        <f>SUM(Referentie_MKI_Totaal[[#This Row],[A1-A3]:[C4]])+Referentie_MKI_Totaal[[#This Row],[D]]</f>
        <v>2121.0776546866</v>
      </c>
      <c r="V33" s="331">
        <f>SUM(Referentie_MKI_Totaal[[#This Row],[A1-A3]]+Referentie_MKI_Totaal[[#This Row],[A4]]+Referentie_MKI_Totaal[[#This Row],[C2]]+Referentie_MKI_Totaal[[#This Row],[C3]]+Referentie_MKI_Totaal[[#This Row],[C4]]+Referentie_MKI_Totaal[[#This Row],[D]])*(VLOOKUP(Referentie_MKI_Totaal[[#This Row],[Product]]&amp;", "&amp;Referentie_MKI_Totaal[[#Headers],[A5]],Database_Productkaarten[#All],66,FALSE))</f>
        <v>50.941958170458001</v>
      </c>
    </row>
    <row r="34" spans="2:22">
      <c r="B34" s="263" t="str">
        <f>Baseline!B36</f>
        <v>440050 - Leveren en aanbrengen open (grasbeton) verharding (parkeerplaats)</v>
      </c>
      <c r="C34" s="264" t="str">
        <f>Baseline!F36</f>
        <v>Grasbetontegel CEM I 120 mm</v>
      </c>
      <c r="D34" s="265">
        <f>(IF(Baseline!C36="Nieuwe Situatie",(_xlfn.IFNA(VLOOKUP(Referentie_MKI_Totaal[[#This Row],[Product]]&amp;", "&amp;Referentie_MKI_Totaal[[#Headers],[A1]],Database_Productkaarten[#All],14,FALSE),0)*Baseline!I36),0))</f>
        <v>2080</v>
      </c>
      <c r="E34" s="265">
        <f>(IF(Baseline!C36="Nieuwe Situatie",(_xlfn.IFNA(VLOOKUP(Referentie_MKI_Totaal[[#This Row],[Product]]&amp;", "&amp;Referentie_MKI_Totaal[[#Headers],[A2]],Database_Productkaarten[#All],14,FALSE),0)*Baseline!I36),0))</f>
        <v>0</v>
      </c>
      <c r="F34" s="265">
        <f>(IF(Baseline!C36="Nieuwe Situatie",(_xlfn.IFNA(VLOOKUP(Referentie_MKI_Totaal[[#This Row],[Product]]&amp;", "&amp;Referentie_MKI_Totaal[[#Headers],[A3]],Database_Productkaarten[#All],14,FALSE),0)*Baseline!I36),0))</f>
        <v>0</v>
      </c>
      <c r="G34" s="265">
        <f>(IF(Baseline!C36="Nieuwe Situatie",(_xlfn.IFNA(VLOOKUP(Referentie_MKI_Totaal[[#This Row],[Product]]&amp;", "&amp;Referentie_MKI_Totaal[[#Headers],[A1-A3]],Database_Productkaarten[#All],14,FALSE),0)*Baseline!I36),0))</f>
        <v>2080</v>
      </c>
      <c r="H34" s="265">
        <f>IF(Baseline!T36=0,(IF(Baseline!C36="Nieuwe Situatie",(_xlfn.IFNA(VLOOKUP(Referentie_MKI_Totaal[[#This Row],[Product]]&amp;", "&amp;Referentie_MKI_Totaal[[#Headers],[A4]],Database_Productkaarten[#All],14,FALSE),0)*Baseline!Q36),0)),(IF(Baseline!C36="Nieuwe Situatie",_xlfn.IFNA(VLOOKUP(Baseline!T36,Database_Transport[#All],7,FALSE)*(Baseline!Q36*Baseline!S36),0))))</f>
        <v>83.633405576242509</v>
      </c>
      <c r="I34" s="265">
        <f>IF(Baseline!C36="Nieuwe situatie",IF(_xlfn.IFNA((VLOOKUP(Baseline!U36,Database_Asfalt_Aanlegset[#All],7,FALSE)*Baseline!I36),0)+_xlfn.IFNA(VLOOKUP(Baseline!V36,Database_Brandstoffen[#All],7,FALSE)*((Baseline!I36/Baseline!X36)*Baseline!W36),0)&gt;0,_xlfn.IFNA((VLOOKUP(Baseline!U36,Database_Asfalt_Aanlegset[#All],7,FALSE)*Baseline!I36),0)+_xlfn.IFNA(VLOOKUP(Baseline!V36,Database_Brandstoffen[#All],7,FALSE)*((Baseline!I36/Baseline!X36)*Baseline!W36),0),(_xlfn.IFNA(VLOOKUP(Referentie_MKI_Totaal[[#This Row],[Product]]&amp;", "&amp;Referentie_MKI_Totaal[[#Headers],[A5]],Database_Productkaarten[#All],14,FALSE),0)*Baseline!I36)),0)</f>
        <v>595.79208779999999</v>
      </c>
      <c r="J34" s="265"/>
      <c r="K34" s="265">
        <f>(IF(Baseline!C36="Nieuwe Situatie",(SUM(Referentie_MKI_Totaal[[#This Row],[A1]:[B1]],Referentie_MKI_Totaal[[#This Row],[C1]:[D2]])*Baseline!R36),0))</f>
        <v>0</v>
      </c>
      <c r="L34" s="265">
        <f>IF(Baseline!C36="Bestaande situatie",IF(_xlfn.IFNA((VLOOKUP(Baseline!Y36,Database_Asfalt_Verwijderset[#All],7,FALSE)*Baseline!I36),0)+_xlfn.IFNA(VLOOKUP(Baseline!Z36,Database_Brandstoffen[#All],7,FALSE)*((Baseline!I36/Baseline!AB36)*Baseline!AA36),0)&gt;0,_xlfn.IFNA((VLOOKUP(Baseline!Y36,Database_Asfalt_Verwijderset[#All],7,FALSE)*Baseline!I36),0)+_xlfn.IFNA(VLOOKUP(Baseline!Z36,Database_Brandstoffen[#All],7,FALSE)*((Baseline!I36/Baseline!AB36)*Baseline!AA36),0),(_xlfn.IFNA(VLOOKUP(Referentie_MKI_Totaal[[#This Row],[Product]]&amp;", "&amp;Referentie_MKI_Totaal[[#Headers],[C1]],Database_Productkaarten[#All],14,FALSE),0)*Baseline!I36)),0)</f>
        <v>0</v>
      </c>
      <c r="M34" s="265">
        <f>IF(Baseline!AD36=0,(IF(Baseline!C36="Bestaande Situatie",(_xlfn.IFNA(VLOOKUP(Referentie_MKI_Totaal[[#This Row],[Product]]&amp;", "&amp;Referentie_MKI_Totaal[[#Headers],[C2]],Database_Productkaarten[#All],14,FALSE),0)*Baseline!I36),0)),(IF(Baseline!C36="Bestaande Situatie",_xlfn.IFNA(VLOOKUP(Baseline!AD36,Database_Transport[#All],7,FALSE)*(Baseline!Q36*Baseline!AC36),0))))</f>
        <v>0</v>
      </c>
      <c r="N34" s="265">
        <f>(IF(Baseline!C36="Bestaande Situatie",(_xlfn.IFNA(VLOOKUP(Referentie_MKI_Totaal[[#This Row],[Product]]&amp;", "&amp;Referentie_MKI_Totaal[[#Headers],[C3]],Database_Productkaarten[#All],14,FALSE),0)*Baseline!I36),0))</f>
        <v>0</v>
      </c>
      <c r="O34" s="265">
        <f>(IF(Baseline!C36="Bestaande Situatie",(_xlfn.IFNA(VLOOKUP(Referentie_MKI_Totaal[[#This Row],[Product]]&amp;", "&amp;Referentie_MKI_Totaal[[#Headers],[C4]],Database_Productkaarten[#All],14,FALSE),0)*Baseline!I36),0))</f>
        <v>0</v>
      </c>
      <c r="P34" s="265">
        <f>(IF(Baseline!C36="Bestaande Situatie",(_xlfn.IFNA(VLOOKUP(Referentie_MKI_Totaal[[#This Row],[Product]]&amp;", "&amp;Referentie_MKI_Totaal[[#Headers],[D1]],Database_Productkaarten[#All],14,FALSE),0)*Baseline!I36),0))</f>
        <v>0</v>
      </c>
      <c r="Q34" s="265">
        <f>(IF(Baseline!C36="Bestaande Situatie",_xlfn.IFNA(VLOOKUP(Referentie_MKI_Totaal[[#This Row],[Product]]&amp;", "&amp;Referentie_MKI_Totaal[[#Headers],[D2]],Database_Productkaarten[#All],14,FALSE),0)*Baseline!I36,0))</f>
        <v>0</v>
      </c>
      <c r="R34" s="265">
        <f>(IF(Baseline!C36="Bestaande Situatie",(_xlfn.IFNA(VLOOKUP(Referentie_MKI_Totaal[[#This Row],[Product]]&amp;", "&amp;Referentie_MKI_Totaal[[#Headers],[D]],Database_Productkaarten[#All],14,FALSE),0)*Baseline!I36),0))</f>
        <v>0</v>
      </c>
      <c r="S34" s="266">
        <f>SUM(Referentie_MKI_Totaal[[#This Row],[A1-A3]:[C4]])+Referentie_MKI_Totaal[[#This Row],[D]]</f>
        <v>2759.4254933762427</v>
      </c>
      <c r="V34" s="331">
        <f>SUM(Referentie_MKI_Totaal[[#This Row],[A1-A3]]+Referentie_MKI_Totaal[[#This Row],[A4]]+Referentie_MKI_Totaal[[#This Row],[C2]]+Referentie_MKI_Totaal[[#This Row],[C3]]+Referentie_MKI_Totaal[[#This Row],[C4]]+Referentie_MKI_Totaal[[#This Row],[D]])*(VLOOKUP(Referentie_MKI_Totaal[[#This Row],[Product]]&amp;", "&amp;Referentie_MKI_Totaal[[#Headers],[A5]],Database_Productkaarten[#All],66,FALSE))</f>
        <v>64.909002167287284</v>
      </c>
    </row>
    <row r="35" spans="2:22">
      <c r="B35" s="263" t="str">
        <f>Baseline!B37</f>
        <v>440060 - Aanbrengen straatbakstenen DF, Rood (trottoir)</v>
      </c>
      <c r="C35" s="264" t="str">
        <f>Baseline!F37</f>
        <v>Baksteen</v>
      </c>
      <c r="D35" s="265">
        <f>(IF(Baseline!C37="Nieuwe Situatie",(_xlfn.IFNA(VLOOKUP(Referentie_MKI_Totaal[[#This Row],[Product]]&amp;", "&amp;Referentie_MKI_Totaal[[#Headers],[A1]],Database_Productkaarten[#All],14,FALSE),0)*Baseline!I37),0))</f>
        <v>0</v>
      </c>
      <c r="E35" s="265">
        <f>(IF(Baseline!C37="Nieuwe Situatie",(_xlfn.IFNA(VLOOKUP(Referentie_MKI_Totaal[[#This Row],[Product]]&amp;", "&amp;Referentie_MKI_Totaal[[#Headers],[A2]],Database_Productkaarten[#All],14,FALSE),0)*Baseline!I37),0))</f>
        <v>0</v>
      </c>
      <c r="F35" s="265">
        <f>(IF(Baseline!C37="Nieuwe Situatie",(_xlfn.IFNA(VLOOKUP(Referentie_MKI_Totaal[[#This Row],[Product]]&amp;", "&amp;Referentie_MKI_Totaal[[#Headers],[A3]],Database_Productkaarten[#All],14,FALSE),0)*Baseline!I37),0))</f>
        <v>0</v>
      </c>
      <c r="G35" s="265">
        <f>(IF(Baseline!C37="Nieuwe Situatie",(_xlfn.IFNA(VLOOKUP(Referentie_MKI_Totaal[[#This Row],[Product]]&amp;", "&amp;Referentie_MKI_Totaal[[#Headers],[A1-A3]],Database_Productkaarten[#All],14,FALSE),0)*Baseline!I37),0))</f>
        <v>10280.3703</v>
      </c>
      <c r="H35" s="265">
        <f>IF(Baseline!T37=0,(IF(Baseline!C37="Nieuwe Situatie",(_xlfn.IFNA(VLOOKUP(Referentie_MKI_Totaal[[#This Row],[Product]]&amp;", "&amp;Referentie_MKI_Totaal[[#Headers],[A4]],Database_Productkaarten[#All],14,FALSE),0)*Baseline!Q37),0)),(IF(Baseline!C37="Nieuwe Situatie",_xlfn.IFNA(VLOOKUP(Baseline!T37,Database_Transport[#All],7,FALSE)*(Baseline!Q37*Baseline!S37),0))))</f>
        <v>218.93469381740002</v>
      </c>
      <c r="I35" s="265">
        <f>IF(Baseline!C37="Nieuwe situatie",IF(_xlfn.IFNA((VLOOKUP(Baseline!U37,Database_Asfalt_Aanlegset[#All],7,FALSE)*Baseline!I37),0)+_xlfn.IFNA(VLOOKUP(Baseline!V37,Database_Brandstoffen[#All],7,FALSE)*((Baseline!I37/Baseline!X37)*Baseline!W37),0)&gt;0,_xlfn.IFNA((VLOOKUP(Baseline!U37,Database_Asfalt_Aanlegset[#All],7,FALSE)*Baseline!I37),0)+_xlfn.IFNA(VLOOKUP(Baseline!V37,Database_Brandstoffen[#All],7,FALSE)*((Baseline!I37/Baseline!X37)*Baseline!W37),0),(_xlfn.IFNA(VLOOKUP(Referentie_MKI_Totaal[[#This Row],[Product]]&amp;", "&amp;Referentie_MKI_Totaal[[#Headers],[A5]],Database_Productkaarten[#All],14,FALSE),0)*Baseline!I37)),0)</f>
        <v>2615.5272654419996</v>
      </c>
      <c r="J35" s="265"/>
      <c r="K35" s="265">
        <f>(IF(Baseline!C37="Nieuwe Situatie",(SUM(Referentie_MKI_Totaal[[#This Row],[A1]:[B1]],Referentie_MKI_Totaal[[#This Row],[C1]:[D2]])*Baseline!R37),0))</f>
        <v>0</v>
      </c>
      <c r="L35" s="265">
        <f>IF(Baseline!C37="Bestaande situatie",IF(_xlfn.IFNA((VLOOKUP(Baseline!Y37,Database_Asfalt_Verwijderset[#All],7,FALSE)*Baseline!I37),0)+_xlfn.IFNA(VLOOKUP(Baseline!Z37,Database_Brandstoffen[#All],7,FALSE)*((Baseline!I37/Baseline!AB37)*Baseline!AA37),0)&gt;0,_xlfn.IFNA((VLOOKUP(Baseline!Y37,Database_Asfalt_Verwijderset[#All],7,FALSE)*Baseline!I37),0)+_xlfn.IFNA(VLOOKUP(Baseline!Z37,Database_Brandstoffen[#All],7,FALSE)*((Baseline!I37/Baseline!AB37)*Baseline!AA37),0),(_xlfn.IFNA(VLOOKUP(Referentie_MKI_Totaal[[#This Row],[Product]]&amp;", "&amp;Referentie_MKI_Totaal[[#Headers],[C1]],Database_Productkaarten[#All],14,FALSE),0)*Baseline!I37)),0)</f>
        <v>0</v>
      </c>
      <c r="M35" s="265">
        <f>IF(Baseline!AD37=0,(IF(Baseline!C37="Bestaande Situatie",(_xlfn.IFNA(VLOOKUP(Referentie_MKI_Totaal[[#This Row],[Product]]&amp;", "&amp;Referentie_MKI_Totaal[[#Headers],[C2]],Database_Productkaarten[#All],14,FALSE),0)*Baseline!I37),0)),(IF(Baseline!C37="Bestaande Situatie",_xlfn.IFNA(VLOOKUP(Baseline!AD37,Database_Transport[#All],7,FALSE)*(Baseline!Q37*Baseline!AC37),0))))</f>
        <v>0</v>
      </c>
      <c r="N35" s="265">
        <f>(IF(Baseline!C37="Bestaande Situatie",(_xlfn.IFNA(VLOOKUP(Referentie_MKI_Totaal[[#This Row],[Product]]&amp;", "&amp;Referentie_MKI_Totaal[[#Headers],[C3]],Database_Productkaarten[#All],14,FALSE),0)*Baseline!I37),0))</f>
        <v>0</v>
      </c>
      <c r="O35" s="265">
        <f>(IF(Baseline!C37="Bestaande Situatie",(_xlfn.IFNA(VLOOKUP(Referentie_MKI_Totaal[[#This Row],[Product]]&amp;", "&amp;Referentie_MKI_Totaal[[#Headers],[C4]],Database_Productkaarten[#All],14,FALSE),0)*Baseline!I37),0))</f>
        <v>0</v>
      </c>
      <c r="P35" s="265">
        <f>(IF(Baseline!C37="Bestaande Situatie",(_xlfn.IFNA(VLOOKUP(Referentie_MKI_Totaal[[#This Row],[Product]]&amp;", "&amp;Referentie_MKI_Totaal[[#Headers],[D1]],Database_Productkaarten[#All],14,FALSE),0)*Baseline!I37),0))</f>
        <v>0</v>
      </c>
      <c r="Q35" s="265">
        <f>(IF(Baseline!C37="Bestaande Situatie",_xlfn.IFNA(VLOOKUP(Referentie_MKI_Totaal[[#This Row],[Product]]&amp;", "&amp;Referentie_MKI_Totaal[[#Headers],[D2]],Database_Productkaarten[#All],14,FALSE),0)*Baseline!I37,0))</f>
        <v>0</v>
      </c>
      <c r="R35" s="265">
        <f>(IF(Baseline!C37="Bestaande Situatie",(_xlfn.IFNA(VLOOKUP(Referentie_MKI_Totaal[[#This Row],[Product]]&amp;", "&amp;Referentie_MKI_Totaal[[#Headers],[D]],Database_Productkaarten[#All],14,FALSE),0)*Baseline!I37),0))</f>
        <v>0</v>
      </c>
      <c r="S35" s="266">
        <f>SUM(Referentie_MKI_Totaal[[#This Row],[A1-A3]:[C4]])+Referentie_MKI_Totaal[[#This Row],[D]]</f>
        <v>13114.832259259401</v>
      </c>
      <c r="V35" s="331">
        <f>SUM(Referentie_MKI_Totaal[[#This Row],[A1-A3]]+Referentie_MKI_Totaal[[#This Row],[A4]]+Referentie_MKI_Totaal[[#This Row],[C2]]+Referentie_MKI_Totaal[[#This Row],[C3]]+Referentie_MKI_Totaal[[#This Row],[C4]]+Referentie_MKI_Totaal[[#This Row],[D]])*(VLOOKUP(Referentie_MKI_Totaal[[#This Row],[Product]]&amp;", "&amp;Referentie_MKI_Totaal[[#Headers],[A5]],Database_Productkaarten[#All],66,FALSE))</f>
        <v>314.97914981452203</v>
      </c>
    </row>
    <row r="36" spans="2:22">
      <c r="B36" s="263" t="str">
        <f>Baseline!B38</f>
        <v>440070 - Aanbrengen straatbakstenen DF, Geel (trottoir)</v>
      </c>
      <c r="C36" s="264" t="str">
        <f>Baseline!F38</f>
        <v>Baksteen</v>
      </c>
      <c r="D36" s="265">
        <f>(IF(Baseline!C38="Nieuwe Situatie",(_xlfn.IFNA(VLOOKUP(Referentie_MKI_Totaal[[#This Row],[Product]]&amp;", "&amp;Referentie_MKI_Totaal[[#Headers],[A1]],Database_Productkaarten[#All],14,FALSE),0)*Baseline!I38),0))</f>
        <v>0</v>
      </c>
      <c r="E36" s="265">
        <f>(IF(Baseline!C38="Nieuwe Situatie",(_xlfn.IFNA(VLOOKUP(Referentie_MKI_Totaal[[#This Row],[Product]]&amp;", "&amp;Referentie_MKI_Totaal[[#Headers],[A2]],Database_Productkaarten[#All],14,FALSE),0)*Baseline!I38),0))</f>
        <v>0</v>
      </c>
      <c r="F36" s="265">
        <f>(IF(Baseline!C38="Nieuwe Situatie",(_xlfn.IFNA(VLOOKUP(Referentie_MKI_Totaal[[#This Row],[Product]]&amp;", "&amp;Referentie_MKI_Totaal[[#Headers],[A3]],Database_Productkaarten[#All],14,FALSE),0)*Baseline!I38),0))</f>
        <v>0</v>
      </c>
      <c r="G36" s="265">
        <f>(IF(Baseline!C38="Nieuwe Situatie",(_xlfn.IFNA(VLOOKUP(Referentie_MKI_Totaal[[#This Row],[Product]]&amp;", "&amp;Referentie_MKI_Totaal[[#Headers],[A1-A3]],Database_Productkaarten[#All],14,FALSE),0)*Baseline!I38),0))</f>
        <v>2693.0355</v>
      </c>
      <c r="H36" s="265">
        <f>IF(Baseline!T38=0,(IF(Baseline!C38="Nieuwe Situatie",(_xlfn.IFNA(VLOOKUP(Referentie_MKI_Totaal[[#This Row],[Product]]&amp;", "&amp;Referentie_MKI_Totaal[[#Headers],[A4]],Database_Productkaarten[#All],14,FALSE),0)*Baseline!Q38),0)),(IF(Baseline!C38="Nieuwe Situatie",_xlfn.IFNA(VLOOKUP(Baseline!T38,Database_Transport[#All],7,FALSE)*(Baseline!Q38*Baseline!S38),0))))</f>
        <v>57.351912959000003</v>
      </c>
      <c r="I36" s="265">
        <f>IF(Baseline!C38="Nieuwe situatie",IF(_xlfn.IFNA((VLOOKUP(Baseline!U38,Database_Asfalt_Aanlegset[#All],7,FALSE)*Baseline!I38),0)+_xlfn.IFNA(VLOOKUP(Baseline!V38,Database_Brandstoffen[#All],7,FALSE)*((Baseline!I38/Baseline!X38)*Baseline!W38),0)&gt;0,_xlfn.IFNA((VLOOKUP(Baseline!U38,Database_Asfalt_Aanlegset[#All],7,FALSE)*Baseline!I38),0)+_xlfn.IFNA(VLOOKUP(Baseline!V38,Database_Brandstoffen[#All],7,FALSE)*((Baseline!I38/Baseline!X38)*Baseline!W38),0),(_xlfn.IFNA(VLOOKUP(Referentie_MKI_Totaal[[#This Row],[Product]]&amp;", "&amp;Referentie_MKI_Totaal[[#Headers],[A5]],Database_Productkaarten[#All],14,FALSE),0)*Baseline!I38)),0)</f>
        <v>685.16090096999994</v>
      </c>
      <c r="J36" s="265"/>
      <c r="K36" s="265">
        <f>(IF(Baseline!C38="Nieuwe Situatie",(SUM(Referentie_MKI_Totaal[[#This Row],[A1]:[B1]],Referentie_MKI_Totaal[[#This Row],[C1]:[D2]])*Baseline!R38),0))</f>
        <v>0</v>
      </c>
      <c r="L36" s="265">
        <f>IF(Baseline!C38="Bestaande situatie",IF(_xlfn.IFNA((VLOOKUP(Baseline!Y38,Database_Asfalt_Verwijderset[#All],7,FALSE)*Baseline!I38),0)+_xlfn.IFNA(VLOOKUP(Baseline!Z38,Database_Brandstoffen[#All],7,FALSE)*((Baseline!I38/Baseline!AB38)*Baseline!AA38),0)&gt;0,_xlfn.IFNA((VLOOKUP(Baseline!Y38,Database_Asfalt_Verwijderset[#All],7,FALSE)*Baseline!I38),0)+_xlfn.IFNA(VLOOKUP(Baseline!Z38,Database_Brandstoffen[#All],7,FALSE)*((Baseline!I38/Baseline!AB38)*Baseline!AA38),0),(_xlfn.IFNA(VLOOKUP(Referentie_MKI_Totaal[[#This Row],[Product]]&amp;", "&amp;Referentie_MKI_Totaal[[#Headers],[C1]],Database_Productkaarten[#All],14,FALSE),0)*Baseline!I38)),0)</f>
        <v>0</v>
      </c>
      <c r="M36" s="265">
        <f>IF(Baseline!AD38=0,(IF(Baseline!C38="Bestaande Situatie",(_xlfn.IFNA(VLOOKUP(Referentie_MKI_Totaal[[#This Row],[Product]]&amp;", "&amp;Referentie_MKI_Totaal[[#Headers],[C2]],Database_Productkaarten[#All],14,FALSE),0)*Baseline!I38),0)),(IF(Baseline!C38="Bestaande Situatie",_xlfn.IFNA(VLOOKUP(Baseline!AD38,Database_Transport[#All],7,FALSE)*(Baseline!Q38*Baseline!AC38),0))))</f>
        <v>0</v>
      </c>
      <c r="N36" s="265">
        <f>(IF(Baseline!C38="Bestaande Situatie",(_xlfn.IFNA(VLOOKUP(Referentie_MKI_Totaal[[#This Row],[Product]]&amp;", "&amp;Referentie_MKI_Totaal[[#Headers],[C3]],Database_Productkaarten[#All],14,FALSE),0)*Baseline!I38),0))</f>
        <v>0</v>
      </c>
      <c r="O36" s="265">
        <f>(IF(Baseline!C38="Bestaande Situatie",(_xlfn.IFNA(VLOOKUP(Referentie_MKI_Totaal[[#This Row],[Product]]&amp;", "&amp;Referentie_MKI_Totaal[[#Headers],[C4]],Database_Productkaarten[#All],14,FALSE),0)*Baseline!I38),0))</f>
        <v>0</v>
      </c>
      <c r="P36" s="265">
        <f>(IF(Baseline!C38="Bestaande Situatie",(_xlfn.IFNA(VLOOKUP(Referentie_MKI_Totaal[[#This Row],[Product]]&amp;", "&amp;Referentie_MKI_Totaal[[#Headers],[D1]],Database_Productkaarten[#All],14,FALSE),0)*Baseline!I38),0))</f>
        <v>0</v>
      </c>
      <c r="Q36" s="265">
        <f>(IF(Baseline!C38="Bestaande Situatie",_xlfn.IFNA(VLOOKUP(Referentie_MKI_Totaal[[#This Row],[Product]]&amp;", "&amp;Referentie_MKI_Totaal[[#Headers],[D2]],Database_Productkaarten[#All],14,FALSE),0)*Baseline!I38,0))</f>
        <v>0</v>
      </c>
      <c r="R36" s="265">
        <f>(IF(Baseline!C38="Bestaande Situatie",(_xlfn.IFNA(VLOOKUP(Referentie_MKI_Totaal[[#This Row],[Product]]&amp;", "&amp;Referentie_MKI_Totaal[[#Headers],[D]],Database_Productkaarten[#All],14,FALSE),0)*Baseline!I38),0))</f>
        <v>0</v>
      </c>
      <c r="S36" s="266">
        <f>SUM(Referentie_MKI_Totaal[[#This Row],[A1-A3]:[C4]])+Referentie_MKI_Totaal[[#This Row],[D]]</f>
        <v>3435.548313929</v>
      </c>
      <c r="V36" s="331">
        <f>SUM(Referentie_MKI_Totaal[[#This Row],[A1-A3]]+Referentie_MKI_Totaal[[#This Row],[A4]]+Referentie_MKI_Totaal[[#This Row],[C2]]+Referentie_MKI_Totaal[[#This Row],[C3]]+Referentie_MKI_Totaal[[#This Row],[C4]]+Referentie_MKI_Totaal[[#This Row],[D]])*(VLOOKUP(Referentie_MKI_Totaal[[#This Row],[Product]]&amp;", "&amp;Referentie_MKI_Totaal[[#Headers],[A5]],Database_Productkaarten[#All],66,FALSE))</f>
        <v>82.511622388769993</v>
      </c>
    </row>
    <row r="37" spans="2:22">
      <c r="B37" s="263" t="str">
        <f>Baseline!B39</f>
        <v>440090 - Aanbrengen straatbakstenen DF, Rood (drempelopgang)</v>
      </c>
      <c r="C37" s="264" t="str">
        <f>Baseline!F39</f>
        <v>Baksteen</v>
      </c>
      <c r="D37" s="265">
        <f>(IF(Baseline!C39="Nieuwe Situatie",(_xlfn.IFNA(VLOOKUP(Referentie_MKI_Totaal[[#This Row],[Product]]&amp;", "&amp;Referentie_MKI_Totaal[[#Headers],[A1]],Database_Productkaarten[#All],14,FALSE),0)*Baseline!I39),0))</f>
        <v>0</v>
      </c>
      <c r="E37" s="265">
        <f>(IF(Baseline!C39="Nieuwe Situatie",(_xlfn.IFNA(VLOOKUP(Referentie_MKI_Totaal[[#This Row],[Product]]&amp;", "&amp;Referentie_MKI_Totaal[[#Headers],[A2]],Database_Productkaarten[#All],14,FALSE),0)*Baseline!I39),0))</f>
        <v>0</v>
      </c>
      <c r="F37" s="265">
        <f>(IF(Baseline!C39="Nieuwe Situatie",(_xlfn.IFNA(VLOOKUP(Referentie_MKI_Totaal[[#This Row],[Product]]&amp;", "&amp;Referentie_MKI_Totaal[[#Headers],[A3]],Database_Productkaarten[#All],14,FALSE),0)*Baseline!I39),0))</f>
        <v>0</v>
      </c>
      <c r="G37" s="265">
        <f>(IF(Baseline!C39="Nieuwe Situatie",(_xlfn.IFNA(VLOOKUP(Referentie_MKI_Totaal[[#This Row],[Product]]&amp;", "&amp;Referentie_MKI_Totaal[[#Headers],[A1-A3]],Database_Productkaarten[#All],14,FALSE),0)*Baseline!I39),0))</f>
        <v>526.89824999999996</v>
      </c>
      <c r="H37" s="265">
        <f>IF(Baseline!T39=0,(IF(Baseline!C39="Nieuwe Situatie",(_xlfn.IFNA(VLOOKUP(Referentie_MKI_Totaal[[#This Row],[Product]]&amp;", "&amp;Referentie_MKI_Totaal[[#Headers],[A4]],Database_Productkaarten[#All],14,FALSE),0)*Baseline!Q39),0)),(IF(Baseline!C39="Nieuwe Situatie",_xlfn.IFNA(VLOOKUP(Baseline!T39,Database_Transport[#All],7,FALSE)*(Baseline!Q39*Baseline!S39),0))))</f>
        <v>11.221026448500002</v>
      </c>
      <c r="I37" s="265">
        <f>IF(Baseline!C39="Nieuwe situatie",IF(_xlfn.IFNA((VLOOKUP(Baseline!U39,Database_Asfalt_Aanlegset[#All],7,FALSE)*Baseline!I39),0)+_xlfn.IFNA(VLOOKUP(Baseline!V39,Database_Brandstoffen[#All],7,FALSE)*((Baseline!I39/Baseline!X39)*Baseline!W39),0)&gt;0,_xlfn.IFNA((VLOOKUP(Baseline!U39,Database_Asfalt_Aanlegset[#All],7,FALSE)*Baseline!I39),0)+_xlfn.IFNA(VLOOKUP(Baseline!V39,Database_Brandstoffen[#All],7,FALSE)*((Baseline!I39/Baseline!X39)*Baseline!W39),0),(_xlfn.IFNA(VLOOKUP(Referentie_MKI_Totaal[[#This Row],[Product]]&amp;", "&amp;Referentie_MKI_Totaal[[#Headers],[A5]],Database_Productkaarten[#All],14,FALSE),0)*Baseline!I39)),0)</f>
        <v>134.05321975499999</v>
      </c>
      <c r="J37" s="265"/>
      <c r="K37" s="265">
        <f>(IF(Baseline!C39="Nieuwe Situatie",(SUM(Referentie_MKI_Totaal[[#This Row],[A1]:[B1]],Referentie_MKI_Totaal[[#This Row],[C1]:[D2]])*Baseline!R39),0))</f>
        <v>0</v>
      </c>
      <c r="L37" s="265">
        <f>IF(Baseline!C39="Bestaande situatie",IF(_xlfn.IFNA((VLOOKUP(Baseline!Y39,Database_Asfalt_Verwijderset[#All],7,FALSE)*Baseline!I39),0)+_xlfn.IFNA(VLOOKUP(Baseline!Z39,Database_Brandstoffen[#All],7,FALSE)*((Baseline!I39/Baseline!AB39)*Baseline!AA39),0)&gt;0,_xlfn.IFNA((VLOOKUP(Baseline!Y39,Database_Asfalt_Verwijderset[#All],7,FALSE)*Baseline!I39),0)+_xlfn.IFNA(VLOOKUP(Baseline!Z39,Database_Brandstoffen[#All],7,FALSE)*((Baseline!I39/Baseline!AB39)*Baseline!AA39),0),(_xlfn.IFNA(VLOOKUP(Referentie_MKI_Totaal[[#This Row],[Product]]&amp;", "&amp;Referentie_MKI_Totaal[[#Headers],[C1]],Database_Productkaarten[#All],14,FALSE),0)*Baseline!I39)),0)</f>
        <v>0</v>
      </c>
      <c r="M37" s="265">
        <f>IF(Baseline!AD39=0,(IF(Baseline!C39="Bestaande Situatie",(_xlfn.IFNA(VLOOKUP(Referentie_MKI_Totaal[[#This Row],[Product]]&amp;", "&amp;Referentie_MKI_Totaal[[#Headers],[C2]],Database_Productkaarten[#All],14,FALSE),0)*Baseline!I39),0)),(IF(Baseline!C39="Bestaande Situatie",_xlfn.IFNA(VLOOKUP(Baseline!AD39,Database_Transport[#All],7,FALSE)*(Baseline!Q39*Baseline!AC39),0))))</f>
        <v>0</v>
      </c>
      <c r="N37" s="265">
        <f>(IF(Baseline!C39="Bestaande Situatie",(_xlfn.IFNA(VLOOKUP(Referentie_MKI_Totaal[[#This Row],[Product]]&amp;", "&amp;Referentie_MKI_Totaal[[#Headers],[C3]],Database_Productkaarten[#All],14,FALSE),0)*Baseline!I39),0))</f>
        <v>0</v>
      </c>
      <c r="O37" s="265">
        <f>(IF(Baseline!C39="Bestaande Situatie",(_xlfn.IFNA(VLOOKUP(Referentie_MKI_Totaal[[#This Row],[Product]]&amp;", "&amp;Referentie_MKI_Totaal[[#Headers],[C4]],Database_Productkaarten[#All],14,FALSE),0)*Baseline!I39),0))</f>
        <v>0</v>
      </c>
      <c r="P37" s="265">
        <f>(IF(Baseline!C39="Bestaande Situatie",(_xlfn.IFNA(VLOOKUP(Referentie_MKI_Totaal[[#This Row],[Product]]&amp;", "&amp;Referentie_MKI_Totaal[[#Headers],[D1]],Database_Productkaarten[#All],14,FALSE),0)*Baseline!I39),0))</f>
        <v>0</v>
      </c>
      <c r="Q37" s="265">
        <f>(IF(Baseline!C39="Bestaande Situatie",_xlfn.IFNA(VLOOKUP(Referentie_MKI_Totaal[[#This Row],[Product]]&amp;", "&amp;Referentie_MKI_Totaal[[#Headers],[D2]],Database_Productkaarten[#All],14,FALSE),0)*Baseline!I39,0))</f>
        <v>0</v>
      </c>
      <c r="R37" s="265">
        <f>(IF(Baseline!C39="Bestaande Situatie",(_xlfn.IFNA(VLOOKUP(Referentie_MKI_Totaal[[#This Row],[Product]]&amp;", "&amp;Referentie_MKI_Totaal[[#Headers],[D]],Database_Productkaarten[#All],14,FALSE),0)*Baseline!I39),0))</f>
        <v>0</v>
      </c>
      <c r="S37" s="266">
        <f>SUM(Referentie_MKI_Totaal[[#This Row],[A1-A3]:[C4]])+Referentie_MKI_Totaal[[#This Row],[D]]</f>
        <v>672.17249620349992</v>
      </c>
      <c r="V37" s="331">
        <f>SUM(Referentie_MKI_Totaal[[#This Row],[A1-A3]]+Referentie_MKI_Totaal[[#This Row],[A4]]+Referentie_MKI_Totaal[[#This Row],[C2]]+Referentie_MKI_Totaal[[#This Row],[C3]]+Referentie_MKI_Totaal[[#This Row],[C4]]+Referentie_MKI_Totaal[[#This Row],[D]])*(VLOOKUP(Referentie_MKI_Totaal[[#This Row],[Product]]&amp;", "&amp;Referentie_MKI_Totaal[[#Headers],[A5]],Database_Productkaarten[#All],66,FALSE))</f>
        <v>16.143578293454997</v>
      </c>
    </row>
    <row r="38" spans="2:22" hidden="1">
      <c r="B38" s="263">
        <f>Baseline!B40</f>
        <v>0</v>
      </c>
      <c r="C38" s="264">
        <f>Baseline!F40</f>
        <v>0</v>
      </c>
      <c r="D38" s="265">
        <f>(IF(Baseline!C40="Nieuwe Situatie",(_xlfn.IFNA(VLOOKUP(Referentie_MKI_Totaal[[#This Row],[Product]]&amp;", "&amp;Referentie_MKI_Totaal[[#Headers],[A1]],Database_Productkaarten[#All],14,FALSE),0)*Baseline!I40),0))</f>
        <v>0</v>
      </c>
      <c r="E38" s="265">
        <f>(IF(Baseline!C40="Nieuwe Situatie",(_xlfn.IFNA(VLOOKUP(Referentie_MKI_Totaal[[#This Row],[Product]]&amp;", "&amp;Referentie_MKI_Totaal[[#Headers],[A2]],Database_Productkaarten[#All],14,FALSE),0)*Baseline!I40),0))</f>
        <v>0</v>
      </c>
      <c r="F38" s="265">
        <f>(IF(Baseline!C40="Nieuwe Situatie",(_xlfn.IFNA(VLOOKUP(Referentie_MKI_Totaal[[#This Row],[Product]]&amp;", "&amp;Referentie_MKI_Totaal[[#Headers],[A3]],Database_Productkaarten[#All],14,FALSE),0)*Baseline!I40),0))</f>
        <v>0</v>
      </c>
      <c r="G38" s="265">
        <f>(IF(Baseline!C40="Nieuwe Situatie",(_xlfn.IFNA(VLOOKUP(Referentie_MKI_Totaal[[#This Row],[Product]]&amp;", "&amp;Referentie_MKI_Totaal[[#Headers],[A1-A3]],Database_Productkaarten[#All],14,FALSE),0)*Baseline!I40),0))</f>
        <v>0</v>
      </c>
      <c r="H38" s="265">
        <f>IF(Baseline!T40=0,(IF(Baseline!C40="Nieuwe Situatie",(_xlfn.IFNA(VLOOKUP(Referentie_MKI_Totaal[[#This Row],[Product]]&amp;", "&amp;Referentie_MKI_Totaal[[#Headers],[A4]],Database_Productkaarten[#All],14,FALSE),0)*Baseline!Q40),0)),(IF(Baseline!C40="Nieuwe Situatie",_xlfn.IFNA(VLOOKUP(Baseline!T40,Database_Transport[#All],7,FALSE)*(Baseline!Q40*Baseline!S40),0))))</f>
        <v>0</v>
      </c>
      <c r="I38" s="265">
        <f>IF(Baseline!C40="Nieuwe situatie",IF(_xlfn.IFNA((VLOOKUP(Baseline!U40,Database_Asfalt_Aanlegset[#All],7,FALSE)*Baseline!I40),0)+_xlfn.IFNA(VLOOKUP(Baseline!V40,Database_Brandstoffen[#All],7,FALSE)*((Baseline!I40/Baseline!X40)*Baseline!W40),0)&gt;0,_xlfn.IFNA((VLOOKUP(Baseline!U40,Database_Asfalt_Aanlegset[#All],7,FALSE)*Baseline!I40),0)+_xlfn.IFNA(VLOOKUP(Baseline!V40,Database_Brandstoffen[#All],7,FALSE)*((Baseline!I40/Baseline!X40)*Baseline!W40),0),(_xlfn.IFNA(VLOOKUP(Referentie_MKI_Totaal[[#This Row],[Product]]&amp;", "&amp;Referentie_MKI_Totaal[[#Headers],[A5]],Database_Productkaarten[#All],14,FALSE),0)*Baseline!I40)),0)</f>
        <v>0</v>
      </c>
      <c r="J38" s="265"/>
      <c r="K38" s="265">
        <f>(IF(Baseline!C40="Nieuwe Situatie",(SUM(Referentie_MKI_Totaal[[#This Row],[A1]:[B1]],Referentie_MKI_Totaal[[#This Row],[C1]:[D2]])*Baseline!R40),0))</f>
        <v>0</v>
      </c>
      <c r="L38" s="265">
        <f>IF(Baseline!C40="Bestaande situatie",IF(_xlfn.IFNA((VLOOKUP(Baseline!Y40,Database_Asfalt_Verwijderset[#All],7,FALSE)*Baseline!I40),0)+_xlfn.IFNA(VLOOKUP(Baseline!Z40,Database_Brandstoffen[#All],7,FALSE)*((Baseline!I40/Baseline!AB40)*Baseline!AA40),0)&gt;0,_xlfn.IFNA((VLOOKUP(Baseline!Y40,Database_Asfalt_Verwijderset[#All],7,FALSE)*Baseline!I40),0)+_xlfn.IFNA(VLOOKUP(Baseline!Z40,Database_Brandstoffen[#All],7,FALSE)*((Baseline!I40/Baseline!AB40)*Baseline!AA40),0),(_xlfn.IFNA(VLOOKUP(Referentie_MKI_Totaal[[#This Row],[Product]]&amp;", "&amp;Referentie_MKI_Totaal[[#Headers],[C1]],Database_Productkaarten[#All],14,FALSE),0)*Baseline!I40)),0)</f>
        <v>0</v>
      </c>
      <c r="M38" s="265">
        <f>IF(Baseline!AD40=0,(IF(Baseline!C40="Bestaande Situatie",(_xlfn.IFNA(VLOOKUP(Referentie_MKI_Totaal[[#This Row],[Product]]&amp;", "&amp;Referentie_MKI_Totaal[[#Headers],[C2]],Database_Productkaarten[#All],14,FALSE),0)*Baseline!I40),0)),(IF(Baseline!C40="Bestaande Situatie",_xlfn.IFNA(VLOOKUP(Baseline!AD40,Database_Transport[#All],7,FALSE)*(Baseline!Q40*Baseline!AC40),0))))</f>
        <v>0</v>
      </c>
      <c r="N38" s="265">
        <f>(IF(Baseline!C40="Bestaande Situatie",(_xlfn.IFNA(VLOOKUP(Referentie_MKI_Totaal[[#This Row],[Product]]&amp;", "&amp;Referentie_MKI_Totaal[[#Headers],[C3]],Database_Productkaarten[#All],14,FALSE),0)*Baseline!I40),0))</f>
        <v>0</v>
      </c>
      <c r="O38" s="265">
        <f>(IF(Baseline!C40="Bestaande Situatie",(_xlfn.IFNA(VLOOKUP(Referentie_MKI_Totaal[[#This Row],[Product]]&amp;", "&amp;Referentie_MKI_Totaal[[#Headers],[C4]],Database_Productkaarten[#All],14,FALSE),0)*Baseline!I40),0))</f>
        <v>0</v>
      </c>
      <c r="P38" s="265">
        <f>(IF(Baseline!C40="Bestaande Situatie",(_xlfn.IFNA(VLOOKUP(Referentie_MKI_Totaal[[#This Row],[Product]]&amp;", "&amp;Referentie_MKI_Totaal[[#Headers],[D1]],Database_Productkaarten[#All],14,FALSE),0)*Baseline!I40),0))</f>
        <v>0</v>
      </c>
      <c r="Q38" s="265">
        <f>(IF(Baseline!C40="Bestaande Situatie",_xlfn.IFNA(VLOOKUP(Referentie_MKI_Totaal[[#This Row],[Product]]&amp;", "&amp;Referentie_MKI_Totaal[[#Headers],[D2]],Database_Productkaarten[#All],14,FALSE),0)*Baseline!I40,0))</f>
        <v>0</v>
      </c>
      <c r="R38" s="265">
        <f>(IF(Baseline!C40="Bestaande Situatie",(_xlfn.IFNA(VLOOKUP(Referentie_MKI_Totaal[[#This Row],[Product]]&amp;", "&amp;Referentie_MKI_Totaal[[#Headers],[D]],Database_Productkaarten[#All],14,FALSE),0)*Baseline!I40),0))</f>
        <v>0</v>
      </c>
      <c r="S38" s="266">
        <f>SUM(Referentie_MKI_Totaal[[#This Row],[A1-A3]:[C4]])+Referentie_MKI_Totaal[[#This Row],[D]]</f>
        <v>0</v>
      </c>
      <c r="V38" s="331" t="e">
        <f>SUM(Referentie_MKI_Totaal[[#This Row],[A1-A3]]+Referentie_MKI_Totaal[[#This Row],[A4]]+Referentie_MKI_Totaal[[#This Row],[C2]]+Referentie_MKI_Totaal[[#This Row],[C3]]+Referentie_MKI_Totaal[[#This Row],[C4]]+Referentie_MKI_Totaal[[#This Row],[D]])*(VLOOKUP(Referentie_MKI_Totaal[[#This Row],[Product]]&amp;", "&amp;Referentie_MKI_Totaal[[#Headers],[A5]],Database_Productkaarten[#All],66,FALSE))</f>
        <v>#N/A</v>
      </c>
    </row>
    <row r="39" spans="2:22" hidden="1">
      <c r="B39" s="263">
        <f>Baseline!B41</f>
        <v>0</v>
      </c>
      <c r="C39" s="264">
        <f>Baseline!F41</f>
        <v>0</v>
      </c>
      <c r="D39" s="265">
        <f>(IF(Baseline!C41="Nieuwe Situatie",(_xlfn.IFNA(VLOOKUP(Referentie_MKI_Totaal[[#This Row],[Product]]&amp;", "&amp;Referentie_MKI_Totaal[[#Headers],[A1]],Database_Productkaarten[#All],14,FALSE),0)*Baseline!I41),0))</f>
        <v>0</v>
      </c>
      <c r="E39" s="265">
        <f>(IF(Baseline!C41="Nieuwe Situatie",(_xlfn.IFNA(VLOOKUP(Referentie_MKI_Totaal[[#This Row],[Product]]&amp;", "&amp;Referentie_MKI_Totaal[[#Headers],[A2]],Database_Productkaarten[#All],14,FALSE),0)*Baseline!I41),0))</f>
        <v>0</v>
      </c>
      <c r="F39" s="265">
        <f>(IF(Baseline!C41="Nieuwe Situatie",(_xlfn.IFNA(VLOOKUP(Referentie_MKI_Totaal[[#This Row],[Product]]&amp;", "&amp;Referentie_MKI_Totaal[[#Headers],[A3]],Database_Productkaarten[#All],14,FALSE),0)*Baseline!I41),0))</f>
        <v>0</v>
      </c>
      <c r="G39" s="265">
        <f>(IF(Baseline!C41="Nieuwe Situatie",(_xlfn.IFNA(VLOOKUP(Referentie_MKI_Totaal[[#This Row],[Product]]&amp;", "&amp;Referentie_MKI_Totaal[[#Headers],[A1-A3]],Database_Productkaarten[#All],14,FALSE),0)*Baseline!I41),0))</f>
        <v>0</v>
      </c>
      <c r="H39" s="265">
        <f>IF(Baseline!T41=0,(IF(Baseline!C41="Nieuwe Situatie",(_xlfn.IFNA(VLOOKUP(Referentie_MKI_Totaal[[#This Row],[Product]]&amp;", "&amp;Referentie_MKI_Totaal[[#Headers],[A4]],Database_Productkaarten[#All],14,FALSE),0)*Baseline!Q41),0)),(IF(Baseline!C41="Nieuwe Situatie",_xlfn.IFNA(VLOOKUP(Baseline!T41,Database_Transport[#All],7,FALSE)*(Baseline!Q41*Baseline!S41),0))))</f>
        <v>0</v>
      </c>
      <c r="I39" s="265">
        <f>IF(Baseline!C41="Nieuwe situatie",IF(_xlfn.IFNA((VLOOKUP(Baseline!U41,Database_Asfalt_Aanlegset[#All],7,FALSE)*Baseline!I41),0)+_xlfn.IFNA(VLOOKUP(Baseline!V41,Database_Brandstoffen[#All],7,FALSE)*((Baseline!I41/Baseline!X41)*Baseline!W41),0)&gt;0,_xlfn.IFNA((VLOOKUP(Baseline!U41,Database_Asfalt_Aanlegset[#All],7,FALSE)*Baseline!I41),0)+_xlfn.IFNA(VLOOKUP(Baseline!V41,Database_Brandstoffen[#All],7,FALSE)*((Baseline!I41/Baseline!X41)*Baseline!W41),0),(_xlfn.IFNA(VLOOKUP(Referentie_MKI_Totaal[[#This Row],[Product]]&amp;", "&amp;Referentie_MKI_Totaal[[#Headers],[A5]],Database_Productkaarten[#All],14,FALSE),0)*Baseline!I41)),0)</f>
        <v>0</v>
      </c>
      <c r="J39" s="265"/>
      <c r="K39" s="265">
        <f>(IF(Baseline!C41="Nieuwe Situatie",(SUM(Referentie_MKI_Totaal[[#This Row],[A1]:[B1]],Referentie_MKI_Totaal[[#This Row],[C1]:[D2]])*Baseline!R41),0))</f>
        <v>0</v>
      </c>
      <c r="L39" s="265">
        <f>IF(Baseline!C41="Bestaande situatie",IF(_xlfn.IFNA((VLOOKUP(Baseline!Y41,Database_Asfalt_Verwijderset[#All],7,FALSE)*Baseline!I41),0)+_xlfn.IFNA(VLOOKUP(Baseline!Z41,Database_Brandstoffen[#All],7,FALSE)*((Baseline!I41/Baseline!AB41)*Baseline!AA41),0)&gt;0,_xlfn.IFNA((VLOOKUP(Baseline!Y41,Database_Asfalt_Verwijderset[#All],7,FALSE)*Baseline!I41),0)+_xlfn.IFNA(VLOOKUP(Baseline!Z41,Database_Brandstoffen[#All],7,FALSE)*((Baseline!I41/Baseline!AB41)*Baseline!AA41),0),(_xlfn.IFNA(VLOOKUP(Referentie_MKI_Totaal[[#This Row],[Product]]&amp;", "&amp;Referentie_MKI_Totaal[[#Headers],[C1]],Database_Productkaarten[#All],14,FALSE),0)*Baseline!I41)),0)</f>
        <v>0</v>
      </c>
      <c r="M39" s="265">
        <f>IF(Baseline!AD41=0,(IF(Baseline!C41="Bestaande Situatie",(_xlfn.IFNA(VLOOKUP(Referentie_MKI_Totaal[[#This Row],[Product]]&amp;", "&amp;Referentie_MKI_Totaal[[#Headers],[C2]],Database_Productkaarten[#All],14,FALSE),0)*Baseline!I41),0)),(IF(Baseline!C41="Bestaande Situatie",_xlfn.IFNA(VLOOKUP(Baseline!AD41,Database_Transport[#All],7,FALSE)*(Baseline!Q41*Baseline!AC41),0))))</f>
        <v>0</v>
      </c>
      <c r="N39" s="265">
        <f>(IF(Baseline!C41="Bestaande Situatie",(_xlfn.IFNA(VLOOKUP(Referentie_MKI_Totaal[[#This Row],[Product]]&amp;", "&amp;Referentie_MKI_Totaal[[#Headers],[C3]],Database_Productkaarten[#All],14,FALSE),0)*Baseline!I41),0))</f>
        <v>0</v>
      </c>
      <c r="O39" s="265">
        <f>(IF(Baseline!C41="Bestaande Situatie",(_xlfn.IFNA(VLOOKUP(Referentie_MKI_Totaal[[#This Row],[Product]]&amp;", "&amp;Referentie_MKI_Totaal[[#Headers],[C4]],Database_Productkaarten[#All],14,FALSE),0)*Baseline!I41),0))</f>
        <v>0</v>
      </c>
      <c r="P39" s="265">
        <f>(IF(Baseline!C41="Bestaande Situatie",(_xlfn.IFNA(VLOOKUP(Referentie_MKI_Totaal[[#This Row],[Product]]&amp;", "&amp;Referentie_MKI_Totaal[[#Headers],[D1]],Database_Productkaarten[#All],14,FALSE),0)*Baseline!I41),0))</f>
        <v>0</v>
      </c>
      <c r="Q39" s="265">
        <f>(IF(Baseline!C41="Bestaande Situatie",_xlfn.IFNA(VLOOKUP(Referentie_MKI_Totaal[[#This Row],[Product]]&amp;", "&amp;Referentie_MKI_Totaal[[#Headers],[D2]],Database_Productkaarten[#All],14,FALSE),0)*Baseline!I41,0))</f>
        <v>0</v>
      </c>
      <c r="R39" s="265">
        <f>(IF(Baseline!C41="Bestaande Situatie",(_xlfn.IFNA(VLOOKUP(Referentie_MKI_Totaal[[#This Row],[Product]]&amp;", "&amp;Referentie_MKI_Totaal[[#Headers],[D]],Database_Productkaarten[#All],14,FALSE),0)*Baseline!I41),0))</f>
        <v>0</v>
      </c>
      <c r="S39" s="266">
        <f>SUM(Referentie_MKI_Totaal[[#This Row],[A1-A3]:[C4]])+Referentie_MKI_Totaal[[#This Row],[D]]</f>
        <v>0</v>
      </c>
      <c r="V39" s="331" t="e">
        <f>SUM(Referentie_MKI_Totaal[[#This Row],[A1-A3]]+Referentie_MKI_Totaal[[#This Row],[A4]]+Referentie_MKI_Totaal[[#This Row],[C2]]+Referentie_MKI_Totaal[[#This Row],[C3]]+Referentie_MKI_Totaal[[#This Row],[C4]]+Referentie_MKI_Totaal[[#This Row],[D]])*(VLOOKUP(Referentie_MKI_Totaal[[#This Row],[Product]]&amp;", "&amp;Referentie_MKI_Totaal[[#Headers],[A5]],Database_Productkaarten[#All],66,FALSE))</f>
        <v>#N/A</v>
      </c>
    </row>
    <row r="40" spans="2:22" hidden="1">
      <c r="B40" s="263">
        <f>Baseline!B42</f>
        <v>0</v>
      </c>
      <c r="C40" s="264">
        <f>Baseline!F42</f>
        <v>0</v>
      </c>
      <c r="D40" s="265">
        <f>(IF(Baseline!C42="Nieuwe Situatie",(_xlfn.IFNA(VLOOKUP(Referentie_MKI_Totaal[[#This Row],[Product]]&amp;", "&amp;Referentie_MKI_Totaal[[#Headers],[A1]],Database_Productkaarten[#All],14,FALSE),0)*Baseline!I42),0))</f>
        <v>0</v>
      </c>
      <c r="E40" s="265">
        <f>(IF(Baseline!C42="Nieuwe Situatie",(_xlfn.IFNA(VLOOKUP(Referentie_MKI_Totaal[[#This Row],[Product]]&amp;", "&amp;Referentie_MKI_Totaal[[#Headers],[A2]],Database_Productkaarten[#All],14,FALSE),0)*Baseline!I42),0))</f>
        <v>0</v>
      </c>
      <c r="F40" s="265">
        <f>(IF(Baseline!C42="Nieuwe Situatie",(_xlfn.IFNA(VLOOKUP(Referentie_MKI_Totaal[[#This Row],[Product]]&amp;", "&amp;Referentie_MKI_Totaal[[#Headers],[A3]],Database_Productkaarten[#All],14,FALSE),0)*Baseline!I42),0))</f>
        <v>0</v>
      </c>
      <c r="G40" s="265">
        <f>(IF(Baseline!C42="Nieuwe Situatie",(_xlfn.IFNA(VLOOKUP(Referentie_MKI_Totaal[[#This Row],[Product]]&amp;", "&amp;Referentie_MKI_Totaal[[#Headers],[A1-A3]],Database_Productkaarten[#All],14,FALSE),0)*Baseline!I42),0))</f>
        <v>0</v>
      </c>
      <c r="H40" s="265">
        <f>IF(Baseline!T42=0,(IF(Baseline!C42="Nieuwe Situatie",(_xlfn.IFNA(VLOOKUP(Referentie_MKI_Totaal[[#This Row],[Product]]&amp;", "&amp;Referentie_MKI_Totaal[[#Headers],[A4]],Database_Productkaarten[#All],14,FALSE),0)*Baseline!Q42),0)),(IF(Baseline!C42="Nieuwe Situatie",_xlfn.IFNA(VLOOKUP(Baseline!T42,Database_Transport[#All],7,FALSE)*(Baseline!Q42*Baseline!S42),0))))</f>
        <v>0</v>
      </c>
      <c r="I40" s="265">
        <f>IF(Baseline!C42="Nieuwe situatie",IF(_xlfn.IFNA((VLOOKUP(Baseline!U42,Database_Asfalt_Aanlegset[#All],7,FALSE)*Baseline!I42),0)+_xlfn.IFNA(VLOOKUP(Baseline!V42,Database_Brandstoffen[#All],7,FALSE)*((Baseline!I42/Baseline!X42)*Baseline!W42),0)&gt;0,_xlfn.IFNA((VLOOKUP(Baseline!U42,Database_Asfalt_Aanlegset[#All],7,FALSE)*Baseline!I42),0)+_xlfn.IFNA(VLOOKUP(Baseline!V42,Database_Brandstoffen[#All],7,FALSE)*((Baseline!I42/Baseline!X42)*Baseline!W42),0),(_xlfn.IFNA(VLOOKUP(Referentie_MKI_Totaal[[#This Row],[Product]]&amp;", "&amp;Referentie_MKI_Totaal[[#Headers],[A5]],Database_Productkaarten[#All],14,FALSE),0)*Baseline!I42)),0)</f>
        <v>0</v>
      </c>
      <c r="J40" s="265"/>
      <c r="K40" s="265">
        <f>(IF(Baseline!C42="Nieuwe Situatie",(SUM(Referentie_MKI_Totaal[[#This Row],[A1]:[B1]],Referentie_MKI_Totaal[[#This Row],[C1]:[D2]])*Baseline!R42),0))</f>
        <v>0</v>
      </c>
      <c r="L40" s="265">
        <f>IF(Baseline!C42="Bestaande situatie",IF(_xlfn.IFNA((VLOOKUP(Baseline!Y42,Database_Asfalt_Verwijderset[#All],7,FALSE)*Baseline!I42),0)+_xlfn.IFNA(VLOOKUP(Baseline!Z42,Database_Brandstoffen[#All],7,FALSE)*((Baseline!I42/Baseline!AB42)*Baseline!AA42),0)&gt;0,_xlfn.IFNA((VLOOKUP(Baseline!Y42,Database_Asfalt_Verwijderset[#All],7,FALSE)*Baseline!I42),0)+_xlfn.IFNA(VLOOKUP(Baseline!Z42,Database_Brandstoffen[#All],7,FALSE)*((Baseline!I42/Baseline!AB42)*Baseline!AA42),0),(_xlfn.IFNA(VLOOKUP(Referentie_MKI_Totaal[[#This Row],[Product]]&amp;", "&amp;Referentie_MKI_Totaal[[#Headers],[C1]],Database_Productkaarten[#All],14,FALSE),0)*Baseline!I42)),0)</f>
        <v>0</v>
      </c>
      <c r="M40" s="265">
        <f>IF(Baseline!AD42=0,(IF(Baseline!C42="Bestaande Situatie",(_xlfn.IFNA(VLOOKUP(Referentie_MKI_Totaal[[#This Row],[Product]]&amp;", "&amp;Referentie_MKI_Totaal[[#Headers],[C2]],Database_Productkaarten[#All],14,FALSE),0)*Baseline!I42),0)),(IF(Baseline!C42="Bestaande Situatie",_xlfn.IFNA(VLOOKUP(Baseline!AD42,Database_Transport[#All],7,FALSE)*(Baseline!Q42*Baseline!AC42),0))))</f>
        <v>0</v>
      </c>
      <c r="N40" s="265">
        <f>(IF(Baseline!C42="Bestaande Situatie",(_xlfn.IFNA(VLOOKUP(Referentie_MKI_Totaal[[#This Row],[Product]]&amp;", "&amp;Referentie_MKI_Totaal[[#Headers],[C3]],Database_Productkaarten[#All],14,FALSE),0)*Baseline!I42),0))</f>
        <v>0</v>
      </c>
      <c r="O40" s="265">
        <f>(IF(Baseline!C42="Bestaande Situatie",(_xlfn.IFNA(VLOOKUP(Referentie_MKI_Totaal[[#This Row],[Product]]&amp;", "&amp;Referentie_MKI_Totaal[[#Headers],[C4]],Database_Productkaarten[#All],14,FALSE),0)*Baseline!I42),0))</f>
        <v>0</v>
      </c>
      <c r="P40" s="265">
        <f>(IF(Baseline!C42="Bestaande Situatie",(_xlfn.IFNA(VLOOKUP(Referentie_MKI_Totaal[[#This Row],[Product]]&amp;", "&amp;Referentie_MKI_Totaal[[#Headers],[D1]],Database_Productkaarten[#All],14,FALSE),0)*Baseline!I42),0))</f>
        <v>0</v>
      </c>
      <c r="Q40" s="265">
        <f>(IF(Baseline!C42="Bestaande Situatie",_xlfn.IFNA(VLOOKUP(Referentie_MKI_Totaal[[#This Row],[Product]]&amp;", "&amp;Referentie_MKI_Totaal[[#Headers],[D2]],Database_Productkaarten[#All],14,FALSE),0)*Baseline!I42,0))</f>
        <v>0</v>
      </c>
      <c r="R40" s="265">
        <f>(IF(Baseline!C42="Bestaande Situatie",(_xlfn.IFNA(VLOOKUP(Referentie_MKI_Totaal[[#This Row],[Product]]&amp;", "&amp;Referentie_MKI_Totaal[[#Headers],[D]],Database_Productkaarten[#All],14,FALSE),0)*Baseline!I42),0))</f>
        <v>0</v>
      </c>
      <c r="S40" s="266">
        <f>SUM(Referentie_MKI_Totaal[[#This Row],[A1-A3]:[C4]])+Referentie_MKI_Totaal[[#This Row],[D]]</f>
        <v>0</v>
      </c>
      <c r="V40" s="331" t="e">
        <f>SUM(Referentie_MKI_Totaal[[#This Row],[A1-A3]]+Referentie_MKI_Totaal[[#This Row],[A4]]+Referentie_MKI_Totaal[[#This Row],[C2]]+Referentie_MKI_Totaal[[#This Row],[C3]]+Referentie_MKI_Totaal[[#This Row],[C4]]+Referentie_MKI_Totaal[[#This Row],[D]])*(VLOOKUP(Referentie_MKI_Totaal[[#This Row],[Product]]&amp;", "&amp;Referentie_MKI_Totaal[[#Headers],[A5]],Database_Productkaarten[#All],66,FALSE))</f>
        <v>#N/A</v>
      </c>
    </row>
    <row r="41" spans="2:22" hidden="1">
      <c r="B41" s="263">
        <f>Baseline!B43</f>
        <v>0</v>
      </c>
      <c r="C41" s="264">
        <f>Baseline!F43</f>
        <v>0</v>
      </c>
      <c r="D41" s="265">
        <f>(IF(Baseline!C43="Nieuwe Situatie",(_xlfn.IFNA(VLOOKUP(Referentie_MKI_Totaal[[#This Row],[Product]]&amp;", "&amp;Referentie_MKI_Totaal[[#Headers],[A1]],Database_Productkaarten[#All],14,FALSE),0)*Baseline!I43),0))</f>
        <v>0</v>
      </c>
      <c r="E41" s="265">
        <f>(IF(Baseline!C43="Nieuwe Situatie",(_xlfn.IFNA(VLOOKUP(Referentie_MKI_Totaal[[#This Row],[Product]]&amp;", "&amp;Referentie_MKI_Totaal[[#Headers],[A2]],Database_Productkaarten[#All],14,FALSE),0)*Baseline!I43),0))</f>
        <v>0</v>
      </c>
      <c r="F41" s="265">
        <f>(IF(Baseline!C43="Nieuwe Situatie",(_xlfn.IFNA(VLOOKUP(Referentie_MKI_Totaal[[#This Row],[Product]]&amp;", "&amp;Referentie_MKI_Totaal[[#Headers],[A3]],Database_Productkaarten[#All],14,FALSE),0)*Baseline!I43),0))</f>
        <v>0</v>
      </c>
      <c r="G41" s="265">
        <f>(IF(Baseline!C43="Nieuwe Situatie",(_xlfn.IFNA(VLOOKUP(Referentie_MKI_Totaal[[#This Row],[Product]]&amp;", "&amp;Referentie_MKI_Totaal[[#Headers],[A1-A3]],Database_Productkaarten[#All],14,FALSE),0)*Baseline!I43),0))</f>
        <v>0</v>
      </c>
      <c r="H41" s="265">
        <f>IF(Baseline!T43=0,(IF(Baseline!C43="Nieuwe Situatie",(_xlfn.IFNA(VLOOKUP(Referentie_MKI_Totaal[[#This Row],[Product]]&amp;", "&amp;Referentie_MKI_Totaal[[#Headers],[A4]],Database_Productkaarten[#All],14,FALSE),0)*Baseline!Q43),0)),(IF(Baseline!C43="Nieuwe Situatie",_xlfn.IFNA(VLOOKUP(Baseline!T43,Database_Transport[#All],7,FALSE)*(Baseline!Q43*Baseline!S43),0))))</f>
        <v>0</v>
      </c>
      <c r="I41" s="265">
        <f>IF(Baseline!C43="Nieuwe situatie",IF(_xlfn.IFNA((VLOOKUP(Baseline!U43,Database_Asfalt_Aanlegset[#All],7,FALSE)*Baseline!I43),0)+_xlfn.IFNA(VLOOKUP(Baseline!V43,Database_Brandstoffen[#All],7,FALSE)*((Baseline!I43/Baseline!X43)*Baseline!W43),0)&gt;0,_xlfn.IFNA((VLOOKUP(Baseline!U43,Database_Asfalt_Aanlegset[#All],7,FALSE)*Baseline!I43),0)+_xlfn.IFNA(VLOOKUP(Baseline!V43,Database_Brandstoffen[#All],7,FALSE)*((Baseline!I43/Baseline!X43)*Baseline!W43),0),(_xlfn.IFNA(VLOOKUP(Referentie_MKI_Totaal[[#This Row],[Product]]&amp;", "&amp;Referentie_MKI_Totaal[[#Headers],[A5]],Database_Productkaarten[#All],14,FALSE),0)*Baseline!I43)),0)</f>
        <v>0</v>
      </c>
      <c r="J41" s="265"/>
      <c r="K41" s="265">
        <f>(IF(Baseline!C43="Nieuwe Situatie",(SUM(Referentie_MKI_Totaal[[#This Row],[A1]:[B1]],Referentie_MKI_Totaal[[#This Row],[C1]:[D2]])*Baseline!R43),0))</f>
        <v>0</v>
      </c>
      <c r="L41" s="265">
        <f>IF(Baseline!C43="Bestaande situatie",IF(_xlfn.IFNA((VLOOKUP(Baseline!Y43,Database_Asfalt_Verwijderset[#All],7,FALSE)*Baseline!I43),0)+_xlfn.IFNA(VLOOKUP(Baseline!Z43,Database_Brandstoffen[#All],7,FALSE)*((Baseline!I43/Baseline!AB43)*Baseline!AA43),0)&gt;0,_xlfn.IFNA((VLOOKUP(Baseline!Y43,Database_Asfalt_Verwijderset[#All],7,FALSE)*Baseline!I43),0)+_xlfn.IFNA(VLOOKUP(Baseline!Z43,Database_Brandstoffen[#All],7,FALSE)*((Baseline!I43/Baseline!AB43)*Baseline!AA43),0),(_xlfn.IFNA(VLOOKUP(Referentie_MKI_Totaal[[#This Row],[Product]]&amp;", "&amp;Referentie_MKI_Totaal[[#Headers],[C1]],Database_Productkaarten[#All],14,FALSE),0)*Baseline!I43)),0)</f>
        <v>0</v>
      </c>
      <c r="M41" s="265">
        <f>IF(Baseline!AD43=0,(IF(Baseline!C43="Bestaande Situatie",(_xlfn.IFNA(VLOOKUP(Referentie_MKI_Totaal[[#This Row],[Product]]&amp;", "&amp;Referentie_MKI_Totaal[[#Headers],[C2]],Database_Productkaarten[#All],14,FALSE),0)*Baseline!I43),0)),(IF(Baseline!C43="Bestaande Situatie",_xlfn.IFNA(VLOOKUP(Baseline!AD43,Database_Transport[#All],7,FALSE)*(Baseline!Q43*Baseline!AC43),0))))</f>
        <v>0</v>
      </c>
      <c r="N41" s="265">
        <f>(IF(Baseline!C43="Bestaande Situatie",(_xlfn.IFNA(VLOOKUP(Referentie_MKI_Totaal[[#This Row],[Product]]&amp;", "&amp;Referentie_MKI_Totaal[[#Headers],[C3]],Database_Productkaarten[#All],14,FALSE),0)*Baseline!I43),0))</f>
        <v>0</v>
      </c>
      <c r="O41" s="265">
        <f>(IF(Baseline!C43="Bestaande Situatie",(_xlfn.IFNA(VLOOKUP(Referentie_MKI_Totaal[[#This Row],[Product]]&amp;", "&amp;Referentie_MKI_Totaal[[#Headers],[C4]],Database_Productkaarten[#All],14,FALSE),0)*Baseline!I43),0))</f>
        <v>0</v>
      </c>
      <c r="P41" s="265">
        <f>(IF(Baseline!C43="Bestaande Situatie",(_xlfn.IFNA(VLOOKUP(Referentie_MKI_Totaal[[#This Row],[Product]]&amp;", "&amp;Referentie_MKI_Totaal[[#Headers],[D1]],Database_Productkaarten[#All],14,FALSE),0)*Baseline!I43),0))</f>
        <v>0</v>
      </c>
      <c r="Q41" s="265">
        <f>(IF(Baseline!C43="Bestaande Situatie",_xlfn.IFNA(VLOOKUP(Referentie_MKI_Totaal[[#This Row],[Product]]&amp;", "&amp;Referentie_MKI_Totaal[[#Headers],[D2]],Database_Productkaarten[#All],14,FALSE),0)*Baseline!I43,0))</f>
        <v>0</v>
      </c>
      <c r="R41" s="265">
        <f>(IF(Baseline!C43="Bestaande Situatie",(_xlfn.IFNA(VLOOKUP(Referentie_MKI_Totaal[[#This Row],[Product]]&amp;", "&amp;Referentie_MKI_Totaal[[#Headers],[D]],Database_Productkaarten[#All],14,FALSE),0)*Baseline!I43),0))</f>
        <v>0</v>
      </c>
      <c r="S41" s="266">
        <f>SUM(Referentie_MKI_Totaal[[#This Row],[A1-A3]:[C4]])+Referentie_MKI_Totaal[[#This Row],[D]]</f>
        <v>0</v>
      </c>
      <c r="V41" s="331" t="e">
        <f>SUM(Referentie_MKI_Totaal[[#This Row],[A1-A3]]+Referentie_MKI_Totaal[[#This Row],[A4]]+Referentie_MKI_Totaal[[#This Row],[C2]]+Referentie_MKI_Totaal[[#This Row],[C3]]+Referentie_MKI_Totaal[[#This Row],[C4]]+Referentie_MKI_Totaal[[#This Row],[D]])*(VLOOKUP(Referentie_MKI_Totaal[[#This Row],[Product]]&amp;", "&amp;Referentie_MKI_Totaal[[#Headers],[A5]],Database_Productkaarten[#All],66,FALSE))</f>
        <v>#N/A</v>
      </c>
    </row>
    <row r="42" spans="2:22" hidden="1">
      <c r="B42" s="263">
        <f>Baseline!B44</f>
        <v>0</v>
      </c>
      <c r="C42" s="264">
        <f>Baseline!F44</f>
        <v>0</v>
      </c>
      <c r="D42" s="265">
        <f>(IF(Baseline!C44="Nieuwe Situatie",(_xlfn.IFNA(VLOOKUP(Referentie_MKI_Totaal[[#This Row],[Product]]&amp;", "&amp;Referentie_MKI_Totaal[[#Headers],[A1]],Database_Productkaarten[#All],14,FALSE),0)*Baseline!I44),0))</f>
        <v>0</v>
      </c>
      <c r="E42" s="265">
        <f>(IF(Baseline!C44="Nieuwe Situatie",(_xlfn.IFNA(VLOOKUP(Referentie_MKI_Totaal[[#This Row],[Product]]&amp;", "&amp;Referentie_MKI_Totaal[[#Headers],[A2]],Database_Productkaarten[#All],14,FALSE),0)*Baseline!I44),0))</f>
        <v>0</v>
      </c>
      <c r="F42" s="265">
        <f>(IF(Baseline!C44="Nieuwe Situatie",(_xlfn.IFNA(VLOOKUP(Referentie_MKI_Totaal[[#This Row],[Product]]&amp;", "&amp;Referentie_MKI_Totaal[[#Headers],[A3]],Database_Productkaarten[#All],14,FALSE),0)*Baseline!I44),0))</f>
        <v>0</v>
      </c>
      <c r="G42" s="265">
        <f>(IF(Baseline!C44="Nieuwe Situatie",(_xlfn.IFNA(VLOOKUP(Referentie_MKI_Totaal[[#This Row],[Product]]&amp;", "&amp;Referentie_MKI_Totaal[[#Headers],[A1-A3]],Database_Productkaarten[#All],14,FALSE),0)*Baseline!I44),0))</f>
        <v>0</v>
      </c>
      <c r="H42" s="265">
        <f>IF(Baseline!T44=0,(IF(Baseline!C44="Nieuwe Situatie",(_xlfn.IFNA(VLOOKUP(Referentie_MKI_Totaal[[#This Row],[Product]]&amp;", "&amp;Referentie_MKI_Totaal[[#Headers],[A4]],Database_Productkaarten[#All],14,FALSE),0)*Baseline!Q44),0)),(IF(Baseline!C44="Nieuwe Situatie",_xlfn.IFNA(VLOOKUP(Baseline!T44,Database_Transport[#All],7,FALSE)*(Baseline!Q44*Baseline!S44),0))))</f>
        <v>0</v>
      </c>
      <c r="I42" s="265">
        <f>IF(Baseline!C44="Nieuwe situatie",IF(_xlfn.IFNA((VLOOKUP(Baseline!U44,Database_Asfalt_Aanlegset[#All],7,FALSE)*Baseline!I44),0)+_xlfn.IFNA(VLOOKUP(Baseline!V44,Database_Brandstoffen[#All],7,FALSE)*((Baseline!I44/Baseline!X44)*Baseline!W44),0)&gt;0,_xlfn.IFNA((VLOOKUP(Baseline!U44,Database_Asfalt_Aanlegset[#All],7,FALSE)*Baseline!I44),0)+_xlfn.IFNA(VLOOKUP(Baseline!V44,Database_Brandstoffen[#All],7,FALSE)*((Baseline!I44/Baseline!X44)*Baseline!W44),0),(_xlfn.IFNA(VLOOKUP(Referentie_MKI_Totaal[[#This Row],[Product]]&amp;", "&amp;Referentie_MKI_Totaal[[#Headers],[A5]],Database_Productkaarten[#All],14,FALSE),0)*Baseline!I44)),0)</f>
        <v>0</v>
      </c>
      <c r="J42" s="265"/>
      <c r="K42" s="265">
        <f>(IF(Baseline!C44="Nieuwe Situatie",(SUM(Referentie_MKI_Totaal[[#This Row],[A1]:[B1]],Referentie_MKI_Totaal[[#This Row],[C1]:[D2]])*Baseline!R44),0))</f>
        <v>0</v>
      </c>
      <c r="L42" s="265">
        <f>IF(Baseline!C44="Bestaande situatie",IF(_xlfn.IFNA((VLOOKUP(Baseline!Y44,Database_Asfalt_Verwijderset[#All],7,FALSE)*Baseline!I44),0)+_xlfn.IFNA(VLOOKUP(Baseline!Z44,Database_Brandstoffen[#All],7,FALSE)*((Baseline!I44/Baseline!AB44)*Baseline!AA44),0)&gt;0,_xlfn.IFNA((VLOOKUP(Baseline!Y44,Database_Asfalt_Verwijderset[#All],7,FALSE)*Baseline!I44),0)+_xlfn.IFNA(VLOOKUP(Baseline!Z44,Database_Brandstoffen[#All],7,FALSE)*((Baseline!I44/Baseline!AB44)*Baseline!AA44),0),(_xlfn.IFNA(VLOOKUP(Referentie_MKI_Totaal[[#This Row],[Product]]&amp;", "&amp;Referentie_MKI_Totaal[[#Headers],[C1]],Database_Productkaarten[#All],14,FALSE),0)*Baseline!I44)),0)</f>
        <v>0</v>
      </c>
      <c r="M42" s="265">
        <f>IF(Baseline!AD44=0,(IF(Baseline!C44="Bestaande Situatie",(_xlfn.IFNA(VLOOKUP(Referentie_MKI_Totaal[[#This Row],[Product]]&amp;", "&amp;Referentie_MKI_Totaal[[#Headers],[C2]],Database_Productkaarten[#All],14,FALSE),0)*Baseline!I44),0)),(IF(Baseline!C44="Bestaande Situatie",_xlfn.IFNA(VLOOKUP(Baseline!AD44,Database_Transport[#All],7,FALSE)*(Baseline!Q44*Baseline!AC44),0))))</f>
        <v>0</v>
      </c>
      <c r="N42" s="265">
        <f>(IF(Baseline!C44="Bestaande Situatie",(_xlfn.IFNA(VLOOKUP(Referentie_MKI_Totaal[[#This Row],[Product]]&amp;", "&amp;Referentie_MKI_Totaal[[#Headers],[C3]],Database_Productkaarten[#All],14,FALSE),0)*Baseline!I44),0))</f>
        <v>0</v>
      </c>
      <c r="O42" s="265">
        <f>(IF(Baseline!C44="Bestaande Situatie",(_xlfn.IFNA(VLOOKUP(Referentie_MKI_Totaal[[#This Row],[Product]]&amp;", "&amp;Referentie_MKI_Totaal[[#Headers],[C4]],Database_Productkaarten[#All],14,FALSE),0)*Baseline!I44),0))</f>
        <v>0</v>
      </c>
      <c r="P42" s="265">
        <f>(IF(Baseline!C44="Bestaande Situatie",(_xlfn.IFNA(VLOOKUP(Referentie_MKI_Totaal[[#This Row],[Product]]&amp;", "&amp;Referentie_MKI_Totaal[[#Headers],[D1]],Database_Productkaarten[#All],14,FALSE),0)*Baseline!I44),0))</f>
        <v>0</v>
      </c>
      <c r="Q42" s="265">
        <f>(IF(Baseline!C44="Bestaande Situatie",_xlfn.IFNA(VLOOKUP(Referentie_MKI_Totaal[[#This Row],[Product]]&amp;", "&amp;Referentie_MKI_Totaal[[#Headers],[D2]],Database_Productkaarten[#All],14,FALSE),0)*Baseline!I44,0))</f>
        <v>0</v>
      </c>
      <c r="R42" s="265">
        <f>(IF(Baseline!C44="Bestaande Situatie",(_xlfn.IFNA(VLOOKUP(Referentie_MKI_Totaal[[#This Row],[Product]]&amp;", "&amp;Referentie_MKI_Totaal[[#Headers],[D]],Database_Productkaarten[#All],14,FALSE),0)*Baseline!I44),0))</f>
        <v>0</v>
      </c>
      <c r="S42" s="266">
        <f>SUM(Referentie_MKI_Totaal[[#This Row],[A1-A3]:[C4]])+Referentie_MKI_Totaal[[#This Row],[D]]</f>
        <v>0</v>
      </c>
      <c r="V42" s="331" t="e">
        <f>SUM(Referentie_MKI_Totaal[[#This Row],[A1-A3]]+Referentie_MKI_Totaal[[#This Row],[A4]]+Referentie_MKI_Totaal[[#This Row],[C2]]+Referentie_MKI_Totaal[[#This Row],[C3]]+Referentie_MKI_Totaal[[#This Row],[C4]]+Referentie_MKI_Totaal[[#This Row],[D]])*(VLOOKUP(Referentie_MKI_Totaal[[#This Row],[Product]]&amp;", "&amp;Referentie_MKI_Totaal[[#Headers],[A5]],Database_Productkaarten[#All],66,FALSE))</f>
        <v>#N/A</v>
      </c>
    </row>
    <row r="43" spans="2:22" hidden="1">
      <c r="B43" s="263">
        <f>Baseline!B45</f>
        <v>0</v>
      </c>
      <c r="C43" s="264">
        <f>Baseline!F45</f>
        <v>0</v>
      </c>
      <c r="D43" s="265">
        <f>(IF(Baseline!C45="Nieuwe Situatie",(_xlfn.IFNA(VLOOKUP(Referentie_MKI_Totaal[[#This Row],[Product]]&amp;", "&amp;Referentie_MKI_Totaal[[#Headers],[A1]],Database_Productkaarten[#All],14,FALSE),0)*Baseline!I45),0))</f>
        <v>0</v>
      </c>
      <c r="E43" s="265">
        <f>(IF(Baseline!C45="Nieuwe Situatie",(_xlfn.IFNA(VLOOKUP(Referentie_MKI_Totaal[[#This Row],[Product]]&amp;", "&amp;Referentie_MKI_Totaal[[#Headers],[A2]],Database_Productkaarten[#All],14,FALSE),0)*Baseline!I45),0))</f>
        <v>0</v>
      </c>
      <c r="F43" s="265">
        <f>(IF(Baseline!C45="Nieuwe Situatie",(_xlfn.IFNA(VLOOKUP(Referentie_MKI_Totaal[[#This Row],[Product]]&amp;", "&amp;Referentie_MKI_Totaal[[#Headers],[A3]],Database_Productkaarten[#All],14,FALSE),0)*Baseline!I45),0))</f>
        <v>0</v>
      </c>
      <c r="G43" s="265">
        <f>(IF(Baseline!C45="Nieuwe Situatie",(_xlfn.IFNA(VLOOKUP(Referentie_MKI_Totaal[[#This Row],[Product]]&amp;", "&amp;Referentie_MKI_Totaal[[#Headers],[A1-A3]],Database_Productkaarten[#All],14,FALSE),0)*Baseline!I45),0))</f>
        <v>0</v>
      </c>
      <c r="H43" s="265">
        <f>IF(Baseline!T45=0,(IF(Baseline!C45="Nieuwe Situatie",(_xlfn.IFNA(VLOOKUP(Referentie_MKI_Totaal[[#This Row],[Product]]&amp;", "&amp;Referentie_MKI_Totaal[[#Headers],[A4]],Database_Productkaarten[#All],14,FALSE),0)*Baseline!Q45),0)),(IF(Baseline!C45="Nieuwe Situatie",_xlfn.IFNA(VLOOKUP(Baseline!T45,Database_Transport[#All],7,FALSE)*(Baseline!Q45*Baseline!S45),0))))</f>
        <v>0</v>
      </c>
      <c r="I43" s="265">
        <f>IF(Baseline!C45="Nieuwe situatie",IF(_xlfn.IFNA((VLOOKUP(Baseline!U45,Database_Asfalt_Aanlegset[#All],7,FALSE)*Baseline!I45),0)+_xlfn.IFNA(VLOOKUP(Baseline!V45,Database_Brandstoffen[#All],7,FALSE)*((Baseline!I45/Baseline!X45)*Baseline!W45),0)&gt;0,_xlfn.IFNA((VLOOKUP(Baseline!U45,Database_Asfalt_Aanlegset[#All],7,FALSE)*Baseline!I45),0)+_xlfn.IFNA(VLOOKUP(Baseline!V45,Database_Brandstoffen[#All],7,FALSE)*((Baseline!I45/Baseline!X45)*Baseline!W45),0),(_xlfn.IFNA(VLOOKUP(Referentie_MKI_Totaal[[#This Row],[Product]]&amp;", "&amp;Referentie_MKI_Totaal[[#Headers],[A5]],Database_Productkaarten[#All],14,FALSE),0)*Baseline!I45)),0)</f>
        <v>0</v>
      </c>
      <c r="J43" s="265"/>
      <c r="K43" s="265">
        <f>(IF(Baseline!C45="Nieuwe Situatie",(SUM(Referentie_MKI_Totaal[[#This Row],[A1]:[B1]],Referentie_MKI_Totaal[[#This Row],[C1]:[D2]])*Baseline!R45),0))</f>
        <v>0</v>
      </c>
      <c r="L43" s="265">
        <f>IF(Baseline!C45="Bestaande situatie",IF(_xlfn.IFNA((VLOOKUP(Baseline!Y45,Database_Asfalt_Verwijderset[#All],7,FALSE)*Baseline!I45),0)+_xlfn.IFNA(VLOOKUP(Baseline!Z45,Database_Brandstoffen[#All],7,FALSE)*((Baseline!I45/Baseline!AB45)*Baseline!AA45),0)&gt;0,_xlfn.IFNA((VLOOKUP(Baseline!Y45,Database_Asfalt_Verwijderset[#All],7,FALSE)*Baseline!I45),0)+_xlfn.IFNA(VLOOKUP(Baseline!Z45,Database_Brandstoffen[#All],7,FALSE)*((Baseline!I45/Baseline!AB45)*Baseline!AA45),0),(_xlfn.IFNA(VLOOKUP(Referentie_MKI_Totaal[[#This Row],[Product]]&amp;", "&amp;Referentie_MKI_Totaal[[#Headers],[C1]],Database_Productkaarten[#All],14,FALSE),0)*Baseline!I45)),0)</f>
        <v>0</v>
      </c>
      <c r="M43" s="265">
        <f>IF(Baseline!AD45=0,(IF(Baseline!C45="Bestaande Situatie",(_xlfn.IFNA(VLOOKUP(Referentie_MKI_Totaal[[#This Row],[Product]]&amp;", "&amp;Referentie_MKI_Totaal[[#Headers],[C2]],Database_Productkaarten[#All],14,FALSE),0)*Baseline!I45),0)),(IF(Baseline!C45="Bestaande Situatie",_xlfn.IFNA(VLOOKUP(Baseline!AD45,Database_Transport[#All],7,FALSE)*(Baseline!Q45*Baseline!AC45),0))))</f>
        <v>0</v>
      </c>
      <c r="N43" s="265">
        <f>(IF(Baseline!C45="Bestaande Situatie",(_xlfn.IFNA(VLOOKUP(Referentie_MKI_Totaal[[#This Row],[Product]]&amp;", "&amp;Referentie_MKI_Totaal[[#Headers],[C3]],Database_Productkaarten[#All],14,FALSE),0)*Baseline!I45),0))</f>
        <v>0</v>
      </c>
      <c r="O43" s="265">
        <f>(IF(Baseline!C45="Bestaande Situatie",(_xlfn.IFNA(VLOOKUP(Referentie_MKI_Totaal[[#This Row],[Product]]&amp;", "&amp;Referentie_MKI_Totaal[[#Headers],[C4]],Database_Productkaarten[#All],14,FALSE),0)*Baseline!I45),0))</f>
        <v>0</v>
      </c>
      <c r="P43" s="265">
        <f>(IF(Baseline!C45="Bestaande Situatie",(_xlfn.IFNA(VLOOKUP(Referentie_MKI_Totaal[[#This Row],[Product]]&amp;", "&amp;Referentie_MKI_Totaal[[#Headers],[D1]],Database_Productkaarten[#All],14,FALSE),0)*Baseline!I45),0))</f>
        <v>0</v>
      </c>
      <c r="Q43" s="265">
        <f>(IF(Baseline!C45="Bestaande Situatie",_xlfn.IFNA(VLOOKUP(Referentie_MKI_Totaal[[#This Row],[Product]]&amp;", "&amp;Referentie_MKI_Totaal[[#Headers],[D2]],Database_Productkaarten[#All],14,FALSE),0)*Baseline!I45,0))</f>
        <v>0</v>
      </c>
      <c r="R43" s="265">
        <f>(IF(Baseline!C45="Bestaande Situatie",(_xlfn.IFNA(VLOOKUP(Referentie_MKI_Totaal[[#This Row],[Product]]&amp;", "&amp;Referentie_MKI_Totaal[[#Headers],[D]],Database_Productkaarten[#All],14,FALSE),0)*Baseline!I45),0))</f>
        <v>0</v>
      </c>
      <c r="S43" s="266">
        <f>SUM(Referentie_MKI_Totaal[[#This Row],[A1-A3]:[C4]])+Referentie_MKI_Totaal[[#This Row],[D]]</f>
        <v>0</v>
      </c>
      <c r="V43" s="331" t="e">
        <f>SUM(Referentie_MKI_Totaal[[#This Row],[A1-A3]]+Referentie_MKI_Totaal[[#This Row],[A4]]+Referentie_MKI_Totaal[[#This Row],[C2]]+Referentie_MKI_Totaal[[#This Row],[C3]]+Referentie_MKI_Totaal[[#This Row],[C4]]+Referentie_MKI_Totaal[[#This Row],[D]])*(VLOOKUP(Referentie_MKI_Totaal[[#This Row],[Product]]&amp;", "&amp;Referentie_MKI_Totaal[[#Headers],[A5]],Database_Productkaarten[#All],66,FALSE))</f>
        <v>#N/A</v>
      </c>
    </row>
    <row r="44" spans="2:22" hidden="1">
      <c r="B44" s="263">
        <f>Baseline!B46</f>
        <v>0</v>
      </c>
      <c r="C44" s="264">
        <f>Baseline!F46</f>
        <v>0</v>
      </c>
      <c r="D44" s="265">
        <f>(IF(Baseline!C46="Nieuwe Situatie",(_xlfn.IFNA(VLOOKUP(Referentie_MKI_Totaal[[#This Row],[Product]]&amp;", "&amp;Referentie_MKI_Totaal[[#Headers],[A1]],Database_Productkaarten[#All],14,FALSE),0)*Baseline!I46),0))</f>
        <v>0</v>
      </c>
      <c r="E44" s="265">
        <f>(IF(Baseline!C46="Nieuwe Situatie",(_xlfn.IFNA(VLOOKUP(Referentie_MKI_Totaal[[#This Row],[Product]]&amp;", "&amp;Referentie_MKI_Totaal[[#Headers],[A2]],Database_Productkaarten[#All],14,FALSE),0)*Baseline!I46),0))</f>
        <v>0</v>
      </c>
      <c r="F44" s="265">
        <f>(IF(Baseline!C46="Nieuwe Situatie",(_xlfn.IFNA(VLOOKUP(Referentie_MKI_Totaal[[#This Row],[Product]]&amp;", "&amp;Referentie_MKI_Totaal[[#Headers],[A3]],Database_Productkaarten[#All],14,FALSE),0)*Baseline!I46),0))</f>
        <v>0</v>
      </c>
      <c r="G44" s="265">
        <f>(IF(Baseline!C46="Nieuwe Situatie",(_xlfn.IFNA(VLOOKUP(Referentie_MKI_Totaal[[#This Row],[Product]]&amp;", "&amp;Referentie_MKI_Totaal[[#Headers],[A1-A3]],Database_Productkaarten[#All],14,FALSE),0)*Baseline!I46),0))</f>
        <v>0</v>
      </c>
      <c r="H44" s="265">
        <f>IF(Baseline!T46=0,(IF(Baseline!C46="Nieuwe Situatie",(_xlfn.IFNA(VLOOKUP(Referentie_MKI_Totaal[[#This Row],[Product]]&amp;", "&amp;Referentie_MKI_Totaal[[#Headers],[A4]],Database_Productkaarten[#All],14,FALSE),0)*Baseline!Q46),0)),(IF(Baseline!C46="Nieuwe Situatie",_xlfn.IFNA(VLOOKUP(Baseline!T46,Database_Transport[#All],7,FALSE)*(Baseline!Q46*Baseline!S46),0))))</f>
        <v>0</v>
      </c>
      <c r="I44" s="265">
        <f>IF(Baseline!C46="Nieuwe situatie",IF(_xlfn.IFNA((VLOOKUP(Baseline!U46,Database_Asfalt_Aanlegset[#All],7,FALSE)*Baseline!I46),0)+_xlfn.IFNA(VLOOKUP(Baseline!V46,Database_Brandstoffen[#All],7,FALSE)*((Baseline!I46/Baseline!X46)*Baseline!W46),0)&gt;0,_xlfn.IFNA((VLOOKUP(Baseline!U46,Database_Asfalt_Aanlegset[#All],7,FALSE)*Baseline!I46),0)+_xlfn.IFNA(VLOOKUP(Baseline!V46,Database_Brandstoffen[#All],7,FALSE)*((Baseline!I46/Baseline!X46)*Baseline!W46),0),(_xlfn.IFNA(VLOOKUP(Referentie_MKI_Totaal[[#This Row],[Product]]&amp;", "&amp;Referentie_MKI_Totaal[[#Headers],[A5]],Database_Productkaarten[#All],14,FALSE),0)*Baseline!I46)),0)</f>
        <v>0</v>
      </c>
      <c r="J44" s="265"/>
      <c r="K44" s="265">
        <f>(IF(Baseline!C46="Nieuwe Situatie",(SUM(Referentie_MKI_Totaal[[#This Row],[A1]:[B1]],Referentie_MKI_Totaal[[#This Row],[C1]:[D2]])*Baseline!R46),0))</f>
        <v>0</v>
      </c>
      <c r="L44" s="265">
        <f>IF(Baseline!C46="Bestaande situatie",IF(_xlfn.IFNA((VLOOKUP(Baseline!Y46,Database_Asfalt_Verwijderset[#All],7,FALSE)*Baseline!I46),0)+_xlfn.IFNA(VLOOKUP(Baseline!Z46,Database_Brandstoffen[#All],7,FALSE)*((Baseline!I46/Baseline!AB46)*Baseline!AA46),0)&gt;0,_xlfn.IFNA((VLOOKUP(Baseline!Y46,Database_Asfalt_Verwijderset[#All],7,FALSE)*Baseline!I46),0)+_xlfn.IFNA(VLOOKUP(Baseline!Z46,Database_Brandstoffen[#All],7,FALSE)*((Baseline!I46/Baseline!AB46)*Baseline!AA46),0),(_xlfn.IFNA(VLOOKUP(Referentie_MKI_Totaal[[#This Row],[Product]]&amp;", "&amp;Referentie_MKI_Totaal[[#Headers],[C1]],Database_Productkaarten[#All],14,FALSE),0)*Baseline!I46)),0)</f>
        <v>0</v>
      </c>
      <c r="M44" s="265">
        <f>IF(Baseline!AD46=0,(IF(Baseline!C46="Bestaande Situatie",(_xlfn.IFNA(VLOOKUP(Referentie_MKI_Totaal[[#This Row],[Product]]&amp;", "&amp;Referentie_MKI_Totaal[[#Headers],[C2]],Database_Productkaarten[#All],14,FALSE),0)*Baseline!I46),0)),(IF(Baseline!C46="Bestaande Situatie",_xlfn.IFNA(VLOOKUP(Baseline!AD46,Database_Transport[#All],7,FALSE)*(Baseline!Q46*Baseline!AC46),0))))</f>
        <v>0</v>
      </c>
      <c r="N44" s="265">
        <f>(IF(Baseline!C46="Bestaande Situatie",(_xlfn.IFNA(VLOOKUP(Referentie_MKI_Totaal[[#This Row],[Product]]&amp;", "&amp;Referentie_MKI_Totaal[[#Headers],[C3]],Database_Productkaarten[#All],14,FALSE),0)*Baseline!I46),0))</f>
        <v>0</v>
      </c>
      <c r="O44" s="265">
        <f>(IF(Baseline!C46="Bestaande Situatie",(_xlfn.IFNA(VLOOKUP(Referentie_MKI_Totaal[[#This Row],[Product]]&amp;", "&amp;Referentie_MKI_Totaal[[#Headers],[C4]],Database_Productkaarten[#All],14,FALSE),0)*Baseline!I46),0))</f>
        <v>0</v>
      </c>
      <c r="P44" s="265">
        <f>(IF(Baseline!C46="Bestaande Situatie",(_xlfn.IFNA(VLOOKUP(Referentie_MKI_Totaal[[#This Row],[Product]]&amp;", "&amp;Referentie_MKI_Totaal[[#Headers],[D1]],Database_Productkaarten[#All],14,FALSE),0)*Baseline!I46),0))</f>
        <v>0</v>
      </c>
      <c r="Q44" s="265">
        <f>(IF(Baseline!C46="Bestaande Situatie",_xlfn.IFNA(VLOOKUP(Referentie_MKI_Totaal[[#This Row],[Product]]&amp;", "&amp;Referentie_MKI_Totaal[[#Headers],[D2]],Database_Productkaarten[#All],14,FALSE),0)*Baseline!I46,0))</f>
        <v>0</v>
      </c>
      <c r="R44" s="265">
        <f>(IF(Baseline!C46="Bestaande Situatie",(_xlfn.IFNA(VLOOKUP(Referentie_MKI_Totaal[[#This Row],[Product]]&amp;", "&amp;Referentie_MKI_Totaal[[#Headers],[D]],Database_Productkaarten[#All],14,FALSE),0)*Baseline!I46),0))</f>
        <v>0</v>
      </c>
      <c r="S44" s="266">
        <f>SUM(Referentie_MKI_Totaal[[#This Row],[A1-A3]:[C4]])+Referentie_MKI_Totaal[[#This Row],[D]]</f>
        <v>0</v>
      </c>
      <c r="V44" s="331" t="e">
        <f>SUM(Referentie_MKI_Totaal[[#This Row],[A1-A3]]+Referentie_MKI_Totaal[[#This Row],[A4]]+Referentie_MKI_Totaal[[#This Row],[C2]]+Referentie_MKI_Totaal[[#This Row],[C3]]+Referentie_MKI_Totaal[[#This Row],[C4]]+Referentie_MKI_Totaal[[#This Row],[D]])*(VLOOKUP(Referentie_MKI_Totaal[[#This Row],[Product]]&amp;", "&amp;Referentie_MKI_Totaal[[#Headers],[A5]],Database_Productkaarten[#All],66,FALSE))</f>
        <v>#N/A</v>
      </c>
    </row>
    <row r="45" spans="2:22" hidden="1">
      <c r="B45" s="263">
        <f>Baseline!B47</f>
        <v>0</v>
      </c>
      <c r="C45" s="264">
        <f>Baseline!F47</f>
        <v>0</v>
      </c>
      <c r="D45" s="265">
        <f>(IF(Baseline!C47="Nieuwe Situatie",(_xlfn.IFNA(VLOOKUP(Referentie_MKI_Totaal[[#This Row],[Product]]&amp;", "&amp;Referentie_MKI_Totaal[[#Headers],[A1]],Database_Productkaarten[#All],14,FALSE),0)*Baseline!I47),0))</f>
        <v>0</v>
      </c>
      <c r="E45" s="265">
        <f>(IF(Baseline!C47="Nieuwe Situatie",(_xlfn.IFNA(VLOOKUP(Referentie_MKI_Totaal[[#This Row],[Product]]&amp;", "&amp;Referentie_MKI_Totaal[[#Headers],[A2]],Database_Productkaarten[#All],14,FALSE),0)*Baseline!I47),0))</f>
        <v>0</v>
      </c>
      <c r="F45" s="265">
        <f>(IF(Baseline!C47="Nieuwe Situatie",(_xlfn.IFNA(VLOOKUP(Referentie_MKI_Totaal[[#This Row],[Product]]&amp;", "&amp;Referentie_MKI_Totaal[[#Headers],[A3]],Database_Productkaarten[#All],14,FALSE),0)*Baseline!I47),0))</f>
        <v>0</v>
      </c>
      <c r="G45" s="265">
        <f>(IF(Baseline!C47="Nieuwe Situatie",(_xlfn.IFNA(VLOOKUP(Referentie_MKI_Totaal[[#This Row],[Product]]&amp;", "&amp;Referentie_MKI_Totaal[[#Headers],[A1-A3]],Database_Productkaarten[#All],14,FALSE),0)*Baseline!I47),0))</f>
        <v>0</v>
      </c>
      <c r="H45" s="265">
        <f>IF(Baseline!T47=0,(IF(Baseline!C47="Nieuwe Situatie",(_xlfn.IFNA(VLOOKUP(Referentie_MKI_Totaal[[#This Row],[Product]]&amp;", "&amp;Referentie_MKI_Totaal[[#Headers],[A4]],Database_Productkaarten[#All],14,FALSE),0)*Baseline!Q47),0)),(IF(Baseline!C47="Nieuwe Situatie",_xlfn.IFNA(VLOOKUP(Baseline!T47,Database_Transport[#All],7,FALSE)*(Baseline!Q47*Baseline!S47),0))))</f>
        <v>0</v>
      </c>
      <c r="I45" s="265">
        <f>IF(Baseline!C47="Nieuwe situatie",IF(_xlfn.IFNA((VLOOKUP(Baseline!U47,Database_Asfalt_Aanlegset[#All],7,FALSE)*Baseline!I47),0)+_xlfn.IFNA(VLOOKUP(Baseline!V47,Database_Brandstoffen[#All],7,FALSE)*((Baseline!I47/Baseline!X47)*Baseline!W47),0)&gt;0,_xlfn.IFNA((VLOOKUP(Baseline!U47,Database_Asfalt_Aanlegset[#All],7,FALSE)*Baseline!I47),0)+_xlfn.IFNA(VLOOKUP(Baseline!V47,Database_Brandstoffen[#All],7,FALSE)*((Baseline!I47/Baseline!X47)*Baseline!W47),0),(_xlfn.IFNA(VLOOKUP(Referentie_MKI_Totaal[[#This Row],[Product]]&amp;", "&amp;Referentie_MKI_Totaal[[#Headers],[A5]],Database_Productkaarten[#All],14,FALSE),0)*Baseline!I47)),0)</f>
        <v>0</v>
      </c>
      <c r="J45" s="265"/>
      <c r="K45" s="265">
        <f>(IF(Baseline!C47="Nieuwe Situatie",(SUM(Referentie_MKI_Totaal[[#This Row],[A1]:[B1]],Referentie_MKI_Totaal[[#This Row],[C1]:[D2]])*Baseline!R47),0))</f>
        <v>0</v>
      </c>
      <c r="L45" s="265">
        <f>IF(Baseline!C47="Bestaande situatie",IF(_xlfn.IFNA((VLOOKUP(Baseline!Y47,Database_Asfalt_Verwijderset[#All],7,FALSE)*Baseline!I47),0)+_xlfn.IFNA(VLOOKUP(Baseline!Z47,Database_Brandstoffen[#All],7,FALSE)*((Baseline!I47/Baseline!AB47)*Baseline!AA47),0)&gt;0,_xlfn.IFNA((VLOOKUP(Baseline!Y47,Database_Asfalt_Verwijderset[#All],7,FALSE)*Baseline!I47),0)+_xlfn.IFNA(VLOOKUP(Baseline!Z47,Database_Brandstoffen[#All],7,FALSE)*((Baseline!I47/Baseline!AB47)*Baseline!AA47),0),(_xlfn.IFNA(VLOOKUP(Referentie_MKI_Totaal[[#This Row],[Product]]&amp;", "&amp;Referentie_MKI_Totaal[[#Headers],[C1]],Database_Productkaarten[#All],14,FALSE),0)*Baseline!I47)),0)</f>
        <v>0</v>
      </c>
      <c r="M45" s="265">
        <f>IF(Baseline!AD47=0,(IF(Baseline!C47="Bestaande Situatie",(_xlfn.IFNA(VLOOKUP(Referentie_MKI_Totaal[[#This Row],[Product]]&amp;", "&amp;Referentie_MKI_Totaal[[#Headers],[C2]],Database_Productkaarten[#All],14,FALSE),0)*Baseline!I47),0)),(IF(Baseline!C47="Bestaande Situatie",_xlfn.IFNA(VLOOKUP(Baseline!AD47,Database_Transport[#All],7,FALSE)*(Baseline!Q47*Baseline!AC47),0))))</f>
        <v>0</v>
      </c>
      <c r="N45" s="265">
        <f>(IF(Baseline!C47="Bestaande Situatie",(_xlfn.IFNA(VLOOKUP(Referentie_MKI_Totaal[[#This Row],[Product]]&amp;", "&amp;Referentie_MKI_Totaal[[#Headers],[C3]],Database_Productkaarten[#All],14,FALSE),0)*Baseline!I47),0))</f>
        <v>0</v>
      </c>
      <c r="O45" s="265">
        <f>(IF(Baseline!C47="Bestaande Situatie",(_xlfn.IFNA(VLOOKUP(Referentie_MKI_Totaal[[#This Row],[Product]]&amp;", "&amp;Referentie_MKI_Totaal[[#Headers],[C4]],Database_Productkaarten[#All],14,FALSE),0)*Baseline!I47),0))</f>
        <v>0</v>
      </c>
      <c r="P45" s="265">
        <f>(IF(Baseline!C47="Bestaande Situatie",(_xlfn.IFNA(VLOOKUP(Referentie_MKI_Totaal[[#This Row],[Product]]&amp;", "&amp;Referentie_MKI_Totaal[[#Headers],[D1]],Database_Productkaarten[#All],14,FALSE),0)*Baseline!I47),0))</f>
        <v>0</v>
      </c>
      <c r="Q45" s="265">
        <f>(IF(Baseline!C47="Bestaande Situatie",_xlfn.IFNA(VLOOKUP(Referentie_MKI_Totaal[[#This Row],[Product]]&amp;", "&amp;Referentie_MKI_Totaal[[#Headers],[D2]],Database_Productkaarten[#All],14,FALSE),0)*Baseline!I47,0))</f>
        <v>0</v>
      </c>
      <c r="R45" s="265">
        <f>(IF(Baseline!C47="Bestaande Situatie",(_xlfn.IFNA(VLOOKUP(Referentie_MKI_Totaal[[#This Row],[Product]]&amp;", "&amp;Referentie_MKI_Totaal[[#Headers],[D]],Database_Productkaarten[#All],14,FALSE),0)*Baseline!I47),0))</f>
        <v>0</v>
      </c>
      <c r="S45" s="266">
        <f>SUM(Referentie_MKI_Totaal[[#This Row],[A1-A3]:[C4]])+Referentie_MKI_Totaal[[#This Row],[D]]</f>
        <v>0</v>
      </c>
      <c r="V45" s="331" t="e">
        <f>SUM(Referentie_MKI_Totaal[[#This Row],[A1-A3]]+Referentie_MKI_Totaal[[#This Row],[A4]]+Referentie_MKI_Totaal[[#This Row],[C2]]+Referentie_MKI_Totaal[[#This Row],[C3]]+Referentie_MKI_Totaal[[#This Row],[C4]]+Referentie_MKI_Totaal[[#This Row],[D]])*(VLOOKUP(Referentie_MKI_Totaal[[#This Row],[Product]]&amp;", "&amp;Referentie_MKI_Totaal[[#Headers],[A5]],Database_Productkaarten[#All],66,FALSE))</f>
        <v>#N/A</v>
      </c>
    </row>
    <row r="46" spans="2:22" hidden="1">
      <c r="B46" s="263">
        <f>Baseline!B48</f>
        <v>0</v>
      </c>
      <c r="C46" s="264">
        <f>Baseline!F48</f>
        <v>0</v>
      </c>
      <c r="D46" s="265">
        <f>(IF(Baseline!C48="Nieuwe Situatie",(_xlfn.IFNA(VLOOKUP(Referentie_MKI_Totaal[[#This Row],[Product]]&amp;", "&amp;Referentie_MKI_Totaal[[#Headers],[A1]],Database_Productkaarten[#All],14,FALSE),0)*Baseline!I48),0))</f>
        <v>0</v>
      </c>
      <c r="E46" s="265">
        <f>(IF(Baseline!C48="Nieuwe Situatie",(_xlfn.IFNA(VLOOKUP(Referentie_MKI_Totaal[[#This Row],[Product]]&amp;", "&amp;Referentie_MKI_Totaal[[#Headers],[A2]],Database_Productkaarten[#All],14,FALSE),0)*Baseline!I48),0))</f>
        <v>0</v>
      </c>
      <c r="F46" s="265">
        <f>(IF(Baseline!C48="Nieuwe Situatie",(_xlfn.IFNA(VLOOKUP(Referentie_MKI_Totaal[[#This Row],[Product]]&amp;", "&amp;Referentie_MKI_Totaal[[#Headers],[A3]],Database_Productkaarten[#All],14,FALSE),0)*Baseline!I48),0))</f>
        <v>0</v>
      </c>
      <c r="G46" s="265">
        <f>(IF(Baseline!C48="Nieuwe Situatie",(_xlfn.IFNA(VLOOKUP(Referentie_MKI_Totaal[[#This Row],[Product]]&amp;", "&amp;Referentie_MKI_Totaal[[#Headers],[A1-A3]],Database_Productkaarten[#All],14,FALSE),0)*Baseline!I48),0))</f>
        <v>0</v>
      </c>
      <c r="H46" s="265">
        <f>IF(Baseline!T48=0,(IF(Baseline!C48="Nieuwe Situatie",(_xlfn.IFNA(VLOOKUP(Referentie_MKI_Totaal[[#This Row],[Product]]&amp;", "&amp;Referentie_MKI_Totaal[[#Headers],[A4]],Database_Productkaarten[#All],14,FALSE),0)*Baseline!Q48),0)),(IF(Baseline!C48="Nieuwe Situatie",_xlfn.IFNA(VLOOKUP(Baseline!T48,Database_Transport[#All],7,FALSE)*(Baseline!Q48*Baseline!S48),0))))</f>
        <v>0</v>
      </c>
      <c r="I46" s="265">
        <f>IF(Baseline!C48="Nieuwe situatie",IF(_xlfn.IFNA((VLOOKUP(Baseline!U48,Database_Asfalt_Aanlegset[#All],7,FALSE)*Baseline!I48),0)+_xlfn.IFNA(VLOOKUP(Baseline!V48,Database_Brandstoffen[#All],7,FALSE)*((Baseline!I48/Baseline!X48)*Baseline!W48),0)&gt;0,_xlfn.IFNA((VLOOKUP(Baseline!U48,Database_Asfalt_Aanlegset[#All],7,FALSE)*Baseline!I48),0)+_xlfn.IFNA(VLOOKUP(Baseline!V48,Database_Brandstoffen[#All],7,FALSE)*((Baseline!I48/Baseline!X48)*Baseline!W48),0),(_xlfn.IFNA(VLOOKUP(Referentie_MKI_Totaal[[#This Row],[Product]]&amp;", "&amp;Referentie_MKI_Totaal[[#Headers],[A5]],Database_Productkaarten[#All],14,FALSE),0)*Baseline!I48)),0)</f>
        <v>0</v>
      </c>
      <c r="J46" s="265"/>
      <c r="K46" s="265">
        <f>(IF(Baseline!C48="Nieuwe Situatie",(SUM(Referentie_MKI_Totaal[[#This Row],[A1]:[B1]],Referentie_MKI_Totaal[[#This Row],[C1]:[D2]])*Baseline!R48),0))</f>
        <v>0</v>
      </c>
      <c r="L46" s="265">
        <f>IF(Baseline!C48="Bestaande situatie",IF(_xlfn.IFNA((VLOOKUP(Baseline!Y48,Database_Asfalt_Verwijderset[#All],7,FALSE)*Baseline!I48),0)+_xlfn.IFNA(VLOOKUP(Baseline!Z48,Database_Brandstoffen[#All],7,FALSE)*((Baseline!I48/Baseline!AB48)*Baseline!AA48),0)&gt;0,_xlfn.IFNA((VLOOKUP(Baseline!Y48,Database_Asfalt_Verwijderset[#All],7,FALSE)*Baseline!I48),0)+_xlfn.IFNA(VLOOKUP(Baseline!Z48,Database_Brandstoffen[#All],7,FALSE)*((Baseline!I48/Baseline!AB48)*Baseline!AA48),0),(_xlfn.IFNA(VLOOKUP(Referentie_MKI_Totaal[[#This Row],[Product]]&amp;", "&amp;Referentie_MKI_Totaal[[#Headers],[C1]],Database_Productkaarten[#All],14,FALSE),0)*Baseline!I48)),0)</f>
        <v>0</v>
      </c>
      <c r="M46" s="265">
        <f>IF(Baseline!AD48=0,(IF(Baseline!C48="Bestaande Situatie",(_xlfn.IFNA(VLOOKUP(Referentie_MKI_Totaal[[#This Row],[Product]]&amp;", "&amp;Referentie_MKI_Totaal[[#Headers],[C2]],Database_Productkaarten[#All],14,FALSE),0)*Baseline!I48),0)),(IF(Baseline!C48="Bestaande Situatie",_xlfn.IFNA(VLOOKUP(Baseline!AD48,Database_Transport[#All],7,FALSE)*(Baseline!Q48*Baseline!AC48),0))))</f>
        <v>0</v>
      </c>
      <c r="N46" s="265">
        <f>(IF(Baseline!C48="Bestaande Situatie",(_xlfn.IFNA(VLOOKUP(Referentie_MKI_Totaal[[#This Row],[Product]]&amp;", "&amp;Referentie_MKI_Totaal[[#Headers],[C3]],Database_Productkaarten[#All],14,FALSE),0)*Baseline!I48),0))</f>
        <v>0</v>
      </c>
      <c r="O46" s="265">
        <f>(IF(Baseline!C48="Bestaande Situatie",(_xlfn.IFNA(VLOOKUP(Referentie_MKI_Totaal[[#This Row],[Product]]&amp;", "&amp;Referentie_MKI_Totaal[[#Headers],[C4]],Database_Productkaarten[#All],14,FALSE),0)*Baseline!I48),0))</f>
        <v>0</v>
      </c>
      <c r="P46" s="265">
        <f>(IF(Baseline!C48="Bestaande Situatie",(_xlfn.IFNA(VLOOKUP(Referentie_MKI_Totaal[[#This Row],[Product]]&amp;", "&amp;Referentie_MKI_Totaal[[#Headers],[D1]],Database_Productkaarten[#All],14,FALSE),0)*Baseline!I48),0))</f>
        <v>0</v>
      </c>
      <c r="Q46" s="265">
        <f>(IF(Baseline!C48="Bestaande Situatie",_xlfn.IFNA(VLOOKUP(Referentie_MKI_Totaal[[#This Row],[Product]]&amp;", "&amp;Referentie_MKI_Totaal[[#Headers],[D2]],Database_Productkaarten[#All],14,FALSE),0)*Baseline!I48,0))</f>
        <v>0</v>
      </c>
      <c r="R46" s="265">
        <f>(IF(Baseline!C48="Bestaande Situatie",(_xlfn.IFNA(VLOOKUP(Referentie_MKI_Totaal[[#This Row],[Product]]&amp;", "&amp;Referentie_MKI_Totaal[[#Headers],[D]],Database_Productkaarten[#All],14,FALSE),0)*Baseline!I48),0))</f>
        <v>0</v>
      </c>
      <c r="S46" s="266">
        <f>SUM(Referentie_MKI_Totaal[[#This Row],[A1-A3]:[C4]])+Referentie_MKI_Totaal[[#This Row],[D]]</f>
        <v>0</v>
      </c>
      <c r="V46" s="331" t="e">
        <f>SUM(Referentie_MKI_Totaal[[#This Row],[A1-A3]]+Referentie_MKI_Totaal[[#This Row],[A4]]+Referentie_MKI_Totaal[[#This Row],[C2]]+Referentie_MKI_Totaal[[#This Row],[C3]]+Referentie_MKI_Totaal[[#This Row],[C4]]+Referentie_MKI_Totaal[[#This Row],[D]])*(VLOOKUP(Referentie_MKI_Totaal[[#This Row],[Product]]&amp;", "&amp;Referentie_MKI_Totaal[[#Headers],[A5]],Database_Productkaarten[#All],66,FALSE))</f>
        <v>#N/A</v>
      </c>
    </row>
    <row r="47" spans="2:22" hidden="1">
      <c r="B47" s="263">
        <f>Baseline!B49</f>
        <v>0</v>
      </c>
      <c r="C47" s="264">
        <f>Baseline!F49</f>
        <v>0</v>
      </c>
      <c r="D47" s="265">
        <f>(IF(Baseline!C49="Nieuwe Situatie",(_xlfn.IFNA(VLOOKUP(Referentie_MKI_Totaal[[#This Row],[Product]]&amp;", "&amp;Referentie_MKI_Totaal[[#Headers],[A1]],Database_Productkaarten[#All],14,FALSE),0)*Baseline!I49),0))</f>
        <v>0</v>
      </c>
      <c r="E47" s="265">
        <f>(IF(Baseline!C49="Nieuwe Situatie",(_xlfn.IFNA(VLOOKUP(Referentie_MKI_Totaal[[#This Row],[Product]]&amp;", "&amp;Referentie_MKI_Totaal[[#Headers],[A2]],Database_Productkaarten[#All],14,FALSE),0)*Baseline!I49),0))</f>
        <v>0</v>
      </c>
      <c r="F47" s="265">
        <f>(IF(Baseline!C49="Nieuwe Situatie",(_xlfn.IFNA(VLOOKUP(Referentie_MKI_Totaal[[#This Row],[Product]]&amp;", "&amp;Referentie_MKI_Totaal[[#Headers],[A3]],Database_Productkaarten[#All],14,FALSE),0)*Baseline!I49),0))</f>
        <v>0</v>
      </c>
      <c r="G47" s="265">
        <f>(IF(Baseline!C49="Nieuwe Situatie",(_xlfn.IFNA(VLOOKUP(Referentie_MKI_Totaal[[#This Row],[Product]]&amp;", "&amp;Referentie_MKI_Totaal[[#Headers],[A1-A3]],Database_Productkaarten[#All],14,FALSE),0)*Baseline!I49),0))</f>
        <v>0</v>
      </c>
      <c r="H47" s="265">
        <f>IF(Baseline!T49=0,(IF(Baseline!C49="Nieuwe Situatie",(_xlfn.IFNA(VLOOKUP(Referentie_MKI_Totaal[[#This Row],[Product]]&amp;", "&amp;Referentie_MKI_Totaal[[#Headers],[A4]],Database_Productkaarten[#All],14,FALSE),0)*Baseline!Q49),0)),(IF(Baseline!C49="Nieuwe Situatie",_xlfn.IFNA(VLOOKUP(Baseline!T49,Database_Transport[#All],7,FALSE)*(Baseline!Q49*Baseline!S49),0))))</f>
        <v>0</v>
      </c>
      <c r="I47" s="265">
        <f>IF(Baseline!C49="Nieuwe situatie",IF(_xlfn.IFNA((VLOOKUP(Baseline!U49,Database_Asfalt_Aanlegset[#All],7,FALSE)*Baseline!I49),0)+_xlfn.IFNA(VLOOKUP(Baseline!V49,Database_Brandstoffen[#All],7,FALSE)*((Baseline!I49/Baseline!X49)*Baseline!W49),0)&gt;0,_xlfn.IFNA((VLOOKUP(Baseline!U49,Database_Asfalt_Aanlegset[#All],7,FALSE)*Baseline!I49),0)+_xlfn.IFNA(VLOOKUP(Baseline!V49,Database_Brandstoffen[#All],7,FALSE)*((Baseline!I49/Baseline!X49)*Baseline!W49),0),(_xlfn.IFNA(VLOOKUP(Referentie_MKI_Totaal[[#This Row],[Product]]&amp;", "&amp;Referentie_MKI_Totaal[[#Headers],[A5]],Database_Productkaarten[#All],14,FALSE),0)*Baseline!I49)),0)</f>
        <v>0</v>
      </c>
      <c r="J47" s="265"/>
      <c r="K47" s="265">
        <f>(IF(Baseline!C49="Nieuwe Situatie",(SUM(Referentie_MKI_Totaal[[#This Row],[A1]:[B1]],Referentie_MKI_Totaal[[#This Row],[C1]:[D2]])*Baseline!R49),0))</f>
        <v>0</v>
      </c>
      <c r="L47" s="265">
        <f>IF(Baseline!C49="Bestaande situatie",IF(_xlfn.IFNA((VLOOKUP(Baseline!Y49,Database_Asfalt_Verwijderset[#All],7,FALSE)*Baseline!I49),0)+_xlfn.IFNA(VLOOKUP(Baseline!Z49,Database_Brandstoffen[#All],7,FALSE)*((Baseline!I49/Baseline!AB49)*Baseline!AA49),0)&gt;0,_xlfn.IFNA((VLOOKUP(Baseline!Y49,Database_Asfalt_Verwijderset[#All],7,FALSE)*Baseline!I49),0)+_xlfn.IFNA(VLOOKUP(Baseline!Z49,Database_Brandstoffen[#All],7,FALSE)*((Baseline!I49/Baseline!AB49)*Baseline!AA49),0),(_xlfn.IFNA(VLOOKUP(Referentie_MKI_Totaal[[#This Row],[Product]]&amp;", "&amp;Referentie_MKI_Totaal[[#Headers],[C1]],Database_Productkaarten[#All],14,FALSE),0)*Baseline!I49)),0)</f>
        <v>0</v>
      </c>
      <c r="M47" s="265">
        <f>IF(Baseline!AD49=0,(IF(Baseline!C49="Bestaande Situatie",(_xlfn.IFNA(VLOOKUP(Referentie_MKI_Totaal[[#This Row],[Product]]&amp;", "&amp;Referentie_MKI_Totaal[[#Headers],[C2]],Database_Productkaarten[#All],14,FALSE),0)*Baseline!I49),0)),(IF(Baseline!C49="Bestaande Situatie",_xlfn.IFNA(VLOOKUP(Baseline!AD49,Database_Transport[#All],7,FALSE)*(Baseline!Q49*Baseline!AC49),0))))</f>
        <v>0</v>
      </c>
      <c r="N47" s="265">
        <f>(IF(Baseline!C49="Bestaande Situatie",(_xlfn.IFNA(VLOOKUP(Referentie_MKI_Totaal[[#This Row],[Product]]&amp;", "&amp;Referentie_MKI_Totaal[[#Headers],[C3]],Database_Productkaarten[#All],14,FALSE),0)*Baseline!I49),0))</f>
        <v>0</v>
      </c>
      <c r="O47" s="265">
        <f>(IF(Baseline!C49="Bestaande Situatie",(_xlfn.IFNA(VLOOKUP(Referentie_MKI_Totaal[[#This Row],[Product]]&amp;", "&amp;Referentie_MKI_Totaal[[#Headers],[C4]],Database_Productkaarten[#All],14,FALSE),0)*Baseline!I49),0))</f>
        <v>0</v>
      </c>
      <c r="P47" s="265">
        <f>(IF(Baseline!C49="Bestaande Situatie",(_xlfn.IFNA(VLOOKUP(Referentie_MKI_Totaal[[#This Row],[Product]]&amp;", "&amp;Referentie_MKI_Totaal[[#Headers],[D1]],Database_Productkaarten[#All],14,FALSE),0)*Baseline!I49),0))</f>
        <v>0</v>
      </c>
      <c r="Q47" s="265">
        <f>(IF(Baseline!C49="Bestaande Situatie",_xlfn.IFNA(VLOOKUP(Referentie_MKI_Totaal[[#This Row],[Product]]&amp;", "&amp;Referentie_MKI_Totaal[[#Headers],[D2]],Database_Productkaarten[#All],14,FALSE),0)*Baseline!I49,0))</f>
        <v>0</v>
      </c>
      <c r="R47" s="265">
        <f>(IF(Baseline!C49="Bestaande Situatie",(_xlfn.IFNA(VLOOKUP(Referentie_MKI_Totaal[[#This Row],[Product]]&amp;", "&amp;Referentie_MKI_Totaal[[#Headers],[D]],Database_Productkaarten[#All],14,FALSE),0)*Baseline!I49),0))</f>
        <v>0</v>
      </c>
      <c r="S47" s="266">
        <f>SUM(Referentie_MKI_Totaal[[#This Row],[A1-A3]:[C4]])+Referentie_MKI_Totaal[[#This Row],[D]]</f>
        <v>0</v>
      </c>
      <c r="V47" s="331" t="e">
        <f>SUM(Referentie_MKI_Totaal[[#This Row],[A1-A3]]+Referentie_MKI_Totaal[[#This Row],[A4]]+Referentie_MKI_Totaal[[#This Row],[C2]]+Referentie_MKI_Totaal[[#This Row],[C3]]+Referentie_MKI_Totaal[[#This Row],[C4]]+Referentie_MKI_Totaal[[#This Row],[D]])*(VLOOKUP(Referentie_MKI_Totaal[[#This Row],[Product]]&amp;", "&amp;Referentie_MKI_Totaal[[#Headers],[A5]],Database_Productkaarten[#All],66,FALSE))</f>
        <v>#N/A</v>
      </c>
    </row>
    <row r="48" spans="2:22" hidden="1">
      <c r="B48" s="263">
        <f>Baseline!B50</f>
        <v>0</v>
      </c>
      <c r="C48" s="264">
        <f>Baseline!F50</f>
        <v>0</v>
      </c>
      <c r="D48" s="265">
        <f>(IF(Baseline!C50="Nieuwe Situatie",(_xlfn.IFNA(VLOOKUP(Referentie_MKI_Totaal[[#This Row],[Product]]&amp;", "&amp;Referentie_MKI_Totaal[[#Headers],[A1]],Database_Productkaarten[#All],14,FALSE),0)*Baseline!I50),0))</f>
        <v>0</v>
      </c>
      <c r="E48" s="265">
        <f>(IF(Baseline!C50="Nieuwe Situatie",(_xlfn.IFNA(VLOOKUP(Referentie_MKI_Totaal[[#This Row],[Product]]&amp;", "&amp;Referentie_MKI_Totaal[[#Headers],[A2]],Database_Productkaarten[#All],14,FALSE),0)*Baseline!I50),0))</f>
        <v>0</v>
      </c>
      <c r="F48" s="265">
        <f>(IF(Baseline!C50="Nieuwe Situatie",(_xlfn.IFNA(VLOOKUP(Referentie_MKI_Totaal[[#This Row],[Product]]&amp;", "&amp;Referentie_MKI_Totaal[[#Headers],[A3]],Database_Productkaarten[#All],14,FALSE),0)*Baseline!I50),0))</f>
        <v>0</v>
      </c>
      <c r="G48" s="265">
        <f>(IF(Baseline!C50="Nieuwe Situatie",(_xlfn.IFNA(VLOOKUP(Referentie_MKI_Totaal[[#This Row],[Product]]&amp;", "&amp;Referentie_MKI_Totaal[[#Headers],[A1-A3]],Database_Productkaarten[#All],14,FALSE),0)*Baseline!I50),0))</f>
        <v>0</v>
      </c>
      <c r="H48" s="265">
        <f>IF(Baseline!T50=0,(IF(Baseline!C50="Nieuwe Situatie",(_xlfn.IFNA(VLOOKUP(Referentie_MKI_Totaal[[#This Row],[Product]]&amp;", "&amp;Referentie_MKI_Totaal[[#Headers],[A4]],Database_Productkaarten[#All],14,FALSE),0)*Baseline!Q50),0)),(IF(Baseline!C50="Nieuwe Situatie",_xlfn.IFNA(VLOOKUP(Baseline!T50,Database_Transport[#All],7,FALSE)*(Baseline!Q50*Baseline!S50),0))))</f>
        <v>0</v>
      </c>
      <c r="I48" s="265">
        <f>IF(Baseline!C50="Nieuwe situatie",IF(_xlfn.IFNA((VLOOKUP(Baseline!U50,Database_Asfalt_Aanlegset[#All],7,FALSE)*Baseline!I50),0)+_xlfn.IFNA(VLOOKUP(Baseline!V50,Database_Brandstoffen[#All],7,FALSE)*((Baseline!I50/Baseline!X50)*Baseline!W50),0)&gt;0,_xlfn.IFNA((VLOOKUP(Baseline!U50,Database_Asfalt_Aanlegset[#All],7,FALSE)*Baseline!I50),0)+_xlfn.IFNA(VLOOKUP(Baseline!V50,Database_Brandstoffen[#All],7,FALSE)*((Baseline!I50/Baseline!X50)*Baseline!W50),0),(_xlfn.IFNA(VLOOKUP(Referentie_MKI_Totaal[[#This Row],[Product]]&amp;", "&amp;Referentie_MKI_Totaal[[#Headers],[A5]],Database_Productkaarten[#All],14,FALSE),0)*Baseline!I50)),0)</f>
        <v>0</v>
      </c>
      <c r="J48" s="265"/>
      <c r="K48" s="265">
        <f>(IF(Baseline!C50="Nieuwe Situatie",(SUM(Referentie_MKI_Totaal[[#This Row],[A1]:[B1]],Referentie_MKI_Totaal[[#This Row],[C1]:[D2]])*Baseline!R50),0))</f>
        <v>0</v>
      </c>
      <c r="L48" s="265">
        <f>IF(Baseline!C50="Bestaande situatie",IF(_xlfn.IFNA((VLOOKUP(Baseline!Y50,Database_Asfalt_Verwijderset[#All],7,FALSE)*Baseline!I50),0)+_xlfn.IFNA(VLOOKUP(Baseline!Z50,Database_Brandstoffen[#All],7,FALSE)*((Baseline!I50/Baseline!AB50)*Baseline!AA50),0)&gt;0,_xlfn.IFNA((VLOOKUP(Baseline!Y50,Database_Asfalt_Verwijderset[#All],7,FALSE)*Baseline!I50),0)+_xlfn.IFNA(VLOOKUP(Baseline!Z50,Database_Brandstoffen[#All],7,FALSE)*((Baseline!I50/Baseline!AB50)*Baseline!AA50),0),(_xlfn.IFNA(VLOOKUP(Referentie_MKI_Totaal[[#This Row],[Product]]&amp;", "&amp;Referentie_MKI_Totaal[[#Headers],[C1]],Database_Productkaarten[#All],14,FALSE),0)*Baseline!I50)),0)</f>
        <v>0</v>
      </c>
      <c r="M48" s="265">
        <f>IF(Baseline!AD50=0,(IF(Baseline!C50="Bestaande Situatie",(_xlfn.IFNA(VLOOKUP(Referentie_MKI_Totaal[[#This Row],[Product]]&amp;", "&amp;Referentie_MKI_Totaal[[#Headers],[C2]],Database_Productkaarten[#All],14,FALSE),0)*Baseline!I50),0)),(IF(Baseline!C50="Bestaande Situatie",_xlfn.IFNA(VLOOKUP(Baseline!AD50,Database_Transport[#All],7,FALSE)*(Baseline!Q50*Baseline!AC50),0))))</f>
        <v>0</v>
      </c>
      <c r="N48" s="265">
        <f>(IF(Baseline!C50="Bestaande Situatie",(_xlfn.IFNA(VLOOKUP(Referentie_MKI_Totaal[[#This Row],[Product]]&amp;", "&amp;Referentie_MKI_Totaal[[#Headers],[C3]],Database_Productkaarten[#All],14,FALSE),0)*Baseline!I50),0))</f>
        <v>0</v>
      </c>
      <c r="O48" s="265">
        <f>(IF(Baseline!C50="Bestaande Situatie",(_xlfn.IFNA(VLOOKUP(Referentie_MKI_Totaal[[#This Row],[Product]]&amp;", "&amp;Referentie_MKI_Totaal[[#Headers],[C4]],Database_Productkaarten[#All],14,FALSE),0)*Baseline!I50),0))</f>
        <v>0</v>
      </c>
      <c r="P48" s="265">
        <f>(IF(Baseline!C50="Bestaande Situatie",(_xlfn.IFNA(VLOOKUP(Referentie_MKI_Totaal[[#This Row],[Product]]&amp;", "&amp;Referentie_MKI_Totaal[[#Headers],[D1]],Database_Productkaarten[#All],14,FALSE),0)*Baseline!I50),0))</f>
        <v>0</v>
      </c>
      <c r="Q48" s="265">
        <f>(IF(Baseline!C50="Bestaande Situatie",_xlfn.IFNA(VLOOKUP(Referentie_MKI_Totaal[[#This Row],[Product]]&amp;", "&amp;Referentie_MKI_Totaal[[#Headers],[D2]],Database_Productkaarten[#All],14,FALSE),0)*Baseline!I50,0))</f>
        <v>0</v>
      </c>
      <c r="R48" s="265">
        <f>(IF(Baseline!C50="Bestaande Situatie",(_xlfn.IFNA(VLOOKUP(Referentie_MKI_Totaal[[#This Row],[Product]]&amp;", "&amp;Referentie_MKI_Totaal[[#Headers],[D]],Database_Productkaarten[#All],14,FALSE),0)*Baseline!I50),0))</f>
        <v>0</v>
      </c>
      <c r="S48" s="266">
        <f>SUM(Referentie_MKI_Totaal[[#This Row],[A1-A3]:[C4]])+Referentie_MKI_Totaal[[#This Row],[D]]</f>
        <v>0</v>
      </c>
      <c r="V48" s="331" t="e">
        <f>SUM(Referentie_MKI_Totaal[[#This Row],[A1-A3]]+Referentie_MKI_Totaal[[#This Row],[A4]]+Referentie_MKI_Totaal[[#This Row],[C2]]+Referentie_MKI_Totaal[[#This Row],[C3]]+Referentie_MKI_Totaal[[#This Row],[C4]]+Referentie_MKI_Totaal[[#This Row],[D]])*(VLOOKUP(Referentie_MKI_Totaal[[#This Row],[Product]]&amp;", "&amp;Referentie_MKI_Totaal[[#Headers],[A5]],Database_Productkaarten[#All],66,FALSE))</f>
        <v>#N/A</v>
      </c>
    </row>
    <row r="49" spans="2:22" hidden="1">
      <c r="B49" s="263">
        <f>Baseline!B51</f>
        <v>0</v>
      </c>
      <c r="C49" s="264">
        <f>Baseline!F51</f>
        <v>0</v>
      </c>
      <c r="D49" s="265">
        <f>(IF(Baseline!C51="Nieuwe Situatie",(_xlfn.IFNA(VLOOKUP(Referentie_MKI_Totaal[[#This Row],[Product]]&amp;", "&amp;Referentie_MKI_Totaal[[#Headers],[A1]],Database_Productkaarten[#All],14,FALSE),0)*Baseline!I51),0))</f>
        <v>0</v>
      </c>
      <c r="E49" s="265">
        <f>(IF(Baseline!C51="Nieuwe Situatie",(_xlfn.IFNA(VLOOKUP(Referentie_MKI_Totaal[[#This Row],[Product]]&amp;", "&amp;Referentie_MKI_Totaal[[#Headers],[A2]],Database_Productkaarten[#All],14,FALSE),0)*Baseline!I51),0))</f>
        <v>0</v>
      </c>
      <c r="F49" s="265">
        <f>(IF(Baseline!C51="Nieuwe Situatie",(_xlfn.IFNA(VLOOKUP(Referentie_MKI_Totaal[[#This Row],[Product]]&amp;", "&amp;Referentie_MKI_Totaal[[#Headers],[A3]],Database_Productkaarten[#All],14,FALSE),0)*Baseline!I51),0))</f>
        <v>0</v>
      </c>
      <c r="G49" s="265">
        <f>(IF(Baseline!C51="Nieuwe Situatie",(_xlfn.IFNA(VLOOKUP(Referentie_MKI_Totaal[[#This Row],[Product]]&amp;", "&amp;Referentie_MKI_Totaal[[#Headers],[A1-A3]],Database_Productkaarten[#All],14,FALSE),0)*Baseline!I51),0))</f>
        <v>0</v>
      </c>
      <c r="H49" s="265">
        <f>IF(Baseline!T51=0,(IF(Baseline!C51="Nieuwe Situatie",(_xlfn.IFNA(VLOOKUP(Referentie_MKI_Totaal[[#This Row],[Product]]&amp;", "&amp;Referentie_MKI_Totaal[[#Headers],[A4]],Database_Productkaarten[#All],14,FALSE),0)*Baseline!Q51),0)),(IF(Baseline!C51="Nieuwe Situatie",_xlfn.IFNA(VLOOKUP(Baseline!T51,Database_Transport[#All],7,FALSE)*(Baseline!Q51*Baseline!S51),0))))</f>
        <v>0</v>
      </c>
      <c r="I49" s="265">
        <f>IF(Baseline!C51="Nieuwe situatie",IF(_xlfn.IFNA((VLOOKUP(Baseline!U51,Database_Asfalt_Aanlegset[#All],7,FALSE)*Baseline!I51),0)+_xlfn.IFNA(VLOOKUP(Baseline!V51,Database_Brandstoffen[#All],7,FALSE)*((Baseline!I51/Baseline!X51)*Baseline!W51),0)&gt;0,_xlfn.IFNA((VLOOKUP(Baseline!U51,Database_Asfalt_Aanlegset[#All],7,FALSE)*Baseline!I51),0)+_xlfn.IFNA(VLOOKUP(Baseline!V51,Database_Brandstoffen[#All],7,FALSE)*((Baseline!I51/Baseline!X51)*Baseline!W51),0),(_xlfn.IFNA(VLOOKUP(Referentie_MKI_Totaal[[#This Row],[Product]]&amp;", "&amp;Referentie_MKI_Totaal[[#Headers],[A5]],Database_Productkaarten[#All],14,FALSE),0)*Baseline!I51)),0)</f>
        <v>0</v>
      </c>
      <c r="J49" s="265"/>
      <c r="K49" s="265">
        <f>(IF(Baseline!C51="Nieuwe Situatie",(SUM(Referentie_MKI_Totaal[[#This Row],[A1]:[B1]],Referentie_MKI_Totaal[[#This Row],[C1]:[D2]])*Baseline!R51),0))</f>
        <v>0</v>
      </c>
      <c r="L49" s="265">
        <f>IF(Baseline!C51="Bestaande situatie",IF(_xlfn.IFNA((VLOOKUP(Baseline!Y51,Database_Asfalt_Verwijderset[#All],7,FALSE)*Baseline!I51),0)+_xlfn.IFNA(VLOOKUP(Baseline!Z51,Database_Brandstoffen[#All],7,FALSE)*((Baseline!I51/Baseline!AB51)*Baseline!AA51),0)&gt;0,_xlfn.IFNA((VLOOKUP(Baseline!Y51,Database_Asfalt_Verwijderset[#All],7,FALSE)*Baseline!I51),0)+_xlfn.IFNA(VLOOKUP(Baseline!Z51,Database_Brandstoffen[#All],7,FALSE)*((Baseline!I51/Baseline!AB51)*Baseline!AA51),0),(_xlfn.IFNA(VLOOKUP(Referentie_MKI_Totaal[[#This Row],[Product]]&amp;", "&amp;Referentie_MKI_Totaal[[#Headers],[C1]],Database_Productkaarten[#All],14,FALSE),0)*Baseline!I51)),0)</f>
        <v>0</v>
      </c>
      <c r="M49" s="265">
        <f>IF(Baseline!AD51=0,(IF(Baseline!C51="Bestaande Situatie",(_xlfn.IFNA(VLOOKUP(Referentie_MKI_Totaal[[#This Row],[Product]]&amp;", "&amp;Referentie_MKI_Totaal[[#Headers],[C2]],Database_Productkaarten[#All],14,FALSE),0)*Baseline!I51),0)),(IF(Baseline!C51="Bestaande Situatie",_xlfn.IFNA(VLOOKUP(Baseline!AD51,Database_Transport[#All],7,FALSE)*(Baseline!Q51*Baseline!AC51),0))))</f>
        <v>0</v>
      </c>
      <c r="N49" s="265">
        <f>(IF(Baseline!C51="Bestaande Situatie",(_xlfn.IFNA(VLOOKUP(Referentie_MKI_Totaal[[#This Row],[Product]]&amp;", "&amp;Referentie_MKI_Totaal[[#Headers],[C3]],Database_Productkaarten[#All],14,FALSE),0)*Baseline!I51),0))</f>
        <v>0</v>
      </c>
      <c r="O49" s="265">
        <f>(IF(Baseline!C51="Bestaande Situatie",(_xlfn.IFNA(VLOOKUP(Referentie_MKI_Totaal[[#This Row],[Product]]&amp;", "&amp;Referentie_MKI_Totaal[[#Headers],[C4]],Database_Productkaarten[#All],14,FALSE),0)*Baseline!I51),0))</f>
        <v>0</v>
      </c>
      <c r="P49" s="265">
        <f>(IF(Baseline!C51="Bestaande Situatie",(_xlfn.IFNA(VLOOKUP(Referentie_MKI_Totaal[[#This Row],[Product]]&amp;", "&amp;Referentie_MKI_Totaal[[#Headers],[D1]],Database_Productkaarten[#All],14,FALSE),0)*Baseline!I51),0))</f>
        <v>0</v>
      </c>
      <c r="Q49" s="265">
        <f>(IF(Baseline!C51="Bestaande Situatie",_xlfn.IFNA(VLOOKUP(Referentie_MKI_Totaal[[#This Row],[Product]]&amp;", "&amp;Referentie_MKI_Totaal[[#Headers],[D2]],Database_Productkaarten[#All],14,FALSE),0)*Baseline!I51,0))</f>
        <v>0</v>
      </c>
      <c r="R49" s="265">
        <f>(IF(Baseline!C51="Bestaande Situatie",(_xlfn.IFNA(VLOOKUP(Referentie_MKI_Totaal[[#This Row],[Product]]&amp;", "&amp;Referentie_MKI_Totaal[[#Headers],[D]],Database_Productkaarten[#All],14,FALSE),0)*Baseline!I51),0))</f>
        <v>0</v>
      </c>
      <c r="S49" s="266">
        <f>SUM(Referentie_MKI_Totaal[[#This Row],[A1-A3]:[C4]])+Referentie_MKI_Totaal[[#This Row],[D]]</f>
        <v>0</v>
      </c>
      <c r="V49" s="331" t="e">
        <f>SUM(Referentie_MKI_Totaal[[#This Row],[A1-A3]]+Referentie_MKI_Totaal[[#This Row],[A4]]+Referentie_MKI_Totaal[[#This Row],[C2]]+Referentie_MKI_Totaal[[#This Row],[C3]]+Referentie_MKI_Totaal[[#This Row],[C4]]+Referentie_MKI_Totaal[[#This Row],[D]])*(VLOOKUP(Referentie_MKI_Totaal[[#This Row],[Product]]&amp;", "&amp;Referentie_MKI_Totaal[[#Headers],[A5]],Database_Productkaarten[#All],66,FALSE))</f>
        <v>#N/A</v>
      </c>
    </row>
    <row r="50" spans="2:22" hidden="1">
      <c r="B50" s="263">
        <f>Baseline!B52</f>
        <v>0</v>
      </c>
      <c r="C50" s="264">
        <f>Baseline!F52</f>
        <v>0</v>
      </c>
      <c r="D50" s="265">
        <f>(IF(Baseline!C52="Nieuwe Situatie",(_xlfn.IFNA(VLOOKUP(Referentie_MKI_Totaal[[#This Row],[Product]]&amp;", "&amp;Referentie_MKI_Totaal[[#Headers],[A1]],Database_Productkaarten[#All],14,FALSE),0)*Baseline!I52),0))</f>
        <v>0</v>
      </c>
      <c r="E50" s="265">
        <f>(IF(Baseline!C52="Nieuwe Situatie",(_xlfn.IFNA(VLOOKUP(Referentie_MKI_Totaal[[#This Row],[Product]]&amp;", "&amp;Referentie_MKI_Totaal[[#Headers],[A2]],Database_Productkaarten[#All],14,FALSE),0)*Baseline!I52),0))</f>
        <v>0</v>
      </c>
      <c r="F50" s="265">
        <f>(IF(Baseline!C52="Nieuwe Situatie",(_xlfn.IFNA(VLOOKUP(Referentie_MKI_Totaal[[#This Row],[Product]]&amp;", "&amp;Referentie_MKI_Totaal[[#Headers],[A3]],Database_Productkaarten[#All],14,FALSE),0)*Baseline!I52),0))</f>
        <v>0</v>
      </c>
      <c r="G50" s="265">
        <f>(IF(Baseline!C52="Nieuwe Situatie",(_xlfn.IFNA(VLOOKUP(Referentie_MKI_Totaal[[#This Row],[Product]]&amp;", "&amp;Referentie_MKI_Totaal[[#Headers],[A1-A3]],Database_Productkaarten[#All],14,FALSE),0)*Baseline!I52),0))</f>
        <v>0</v>
      </c>
      <c r="H50" s="265">
        <f>IF(Baseline!T52=0,(IF(Baseline!C52="Nieuwe Situatie",(_xlfn.IFNA(VLOOKUP(Referentie_MKI_Totaal[[#This Row],[Product]]&amp;", "&amp;Referentie_MKI_Totaal[[#Headers],[A4]],Database_Productkaarten[#All],14,FALSE),0)*Baseline!Q52),0)),(IF(Baseline!C52="Nieuwe Situatie",_xlfn.IFNA(VLOOKUP(Baseline!T52,Database_Transport[#All],7,FALSE)*(Baseline!Q52*Baseline!S52),0))))</f>
        <v>0</v>
      </c>
      <c r="I50" s="265">
        <f>IF(Baseline!C52="Nieuwe situatie",IF(_xlfn.IFNA((VLOOKUP(Baseline!U52,Database_Asfalt_Aanlegset[#All],7,FALSE)*Baseline!I52),0)+_xlfn.IFNA(VLOOKUP(Baseline!V52,Database_Brandstoffen[#All],7,FALSE)*((Baseline!I52/Baseline!X52)*Baseline!W52),0)&gt;0,_xlfn.IFNA((VLOOKUP(Baseline!U52,Database_Asfalt_Aanlegset[#All],7,FALSE)*Baseline!I52),0)+_xlfn.IFNA(VLOOKUP(Baseline!V52,Database_Brandstoffen[#All],7,FALSE)*((Baseline!I52/Baseline!X52)*Baseline!W52),0),(_xlfn.IFNA(VLOOKUP(Referentie_MKI_Totaal[[#This Row],[Product]]&amp;", "&amp;Referentie_MKI_Totaal[[#Headers],[A5]],Database_Productkaarten[#All],14,FALSE),0)*Baseline!I52)),0)</f>
        <v>0</v>
      </c>
      <c r="J50" s="265"/>
      <c r="K50" s="265">
        <f>(IF(Baseline!C52="Nieuwe Situatie",(SUM(Referentie_MKI_Totaal[[#This Row],[A1]:[B1]],Referentie_MKI_Totaal[[#This Row],[C1]:[D2]])*Baseline!R52),0))</f>
        <v>0</v>
      </c>
      <c r="L50" s="265">
        <f>IF(Baseline!C52="Bestaande situatie",IF(_xlfn.IFNA((VLOOKUP(Baseline!Y52,Database_Asfalt_Verwijderset[#All],7,FALSE)*Baseline!I52),0)+_xlfn.IFNA(VLOOKUP(Baseline!Z52,Database_Brandstoffen[#All],7,FALSE)*((Baseline!I52/Baseline!AB52)*Baseline!AA52),0)&gt;0,_xlfn.IFNA((VLOOKUP(Baseline!Y52,Database_Asfalt_Verwijderset[#All],7,FALSE)*Baseline!I52),0)+_xlfn.IFNA(VLOOKUP(Baseline!Z52,Database_Brandstoffen[#All],7,FALSE)*((Baseline!I52/Baseline!AB52)*Baseline!AA52),0),(_xlfn.IFNA(VLOOKUP(Referentie_MKI_Totaal[[#This Row],[Product]]&amp;", "&amp;Referentie_MKI_Totaal[[#Headers],[C1]],Database_Productkaarten[#All],14,FALSE),0)*Baseline!I52)),0)</f>
        <v>0</v>
      </c>
      <c r="M50" s="265">
        <f>IF(Baseline!AD52=0,(IF(Baseline!C52="Bestaande Situatie",(_xlfn.IFNA(VLOOKUP(Referentie_MKI_Totaal[[#This Row],[Product]]&amp;", "&amp;Referentie_MKI_Totaal[[#Headers],[C2]],Database_Productkaarten[#All],14,FALSE),0)*Baseline!I52),0)),(IF(Baseline!C52="Bestaande Situatie",_xlfn.IFNA(VLOOKUP(Baseline!AD52,Database_Transport[#All],7,FALSE)*(Baseline!Q52*Baseline!AC52),0))))</f>
        <v>0</v>
      </c>
      <c r="N50" s="265">
        <f>(IF(Baseline!C52="Bestaande Situatie",(_xlfn.IFNA(VLOOKUP(Referentie_MKI_Totaal[[#This Row],[Product]]&amp;", "&amp;Referentie_MKI_Totaal[[#Headers],[C3]],Database_Productkaarten[#All],14,FALSE),0)*Baseline!I52),0))</f>
        <v>0</v>
      </c>
      <c r="O50" s="265">
        <f>(IF(Baseline!C52="Bestaande Situatie",(_xlfn.IFNA(VLOOKUP(Referentie_MKI_Totaal[[#This Row],[Product]]&amp;", "&amp;Referentie_MKI_Totaal[[#Headers],[C4]],Database_Productkaarten[#All],14,FALSE),0)*Baseline!I52),0))</f>
        <v>0</v>
      </c>
      <c r="P50" s="265">
        <f>(IF(Baseline!C52="Bestaande Situatie",(_xlfn.IFNA(VLOOKUP(Referentie_MKI_Totaal[[#This Row],[Product]]&amp;", "&amp;Referentie_MKI_Totaal[[#Headers],[D1]],Database_Productkaarten[#All],14,FALSE),0)*Baseline!I52),0))</f>
        <v>0</v>
      </c>
      <c r="Q50" s="265">
        <f>(IF(Baseline!C52="Bestaande Situatie",_xlfn.IFNA(VLOOKUP(Referentie_MKI_Totaal[[#This Row],[Product]]&amp;", "&amp;Referentie_MKI_Totaal[[#Headers],[D2]],Database_Productkaarten[#All],14,FALSE),0)*Baseline!I52,0))</f>
        <v>0</v>
      </c>
      <c r="R50" s="265">
        <f>(IF(Baseline!C52="Bestaande Situatie",(_xlfn.IFNA(VLOOKUP(Referentie_MKI_Totaal[[#This Row],[Product]]&amp;", "&amp;Referentie_MKI_Totaal[[#Headers],[D]],Database_Productkaarten[#All],14,FALSE),0)*Baseline!I52),0))</f>
        <v>0</v>
      </c>
      <c r="S50" s="266">
        <f>SUM(Referentie_MKI_Totaal[[#This Row],[A1-A3]:[C4]])+Referentie_MKI_Totaal[[#This Row],[D]]</f>
        <v>0</v>
      </c>
      <c r="V50" s="331" t="e">
        <f>SUM(Referentie_MKI_Totaal[[#This Row],[A1-A3]]+Referentie_MKI_Totaal[[#This Row],[A4]]+Referentie_MKI_Totaal[[#This Row],[C2]]+Referentie_MKI_Totaal[[#This Row],[C3]]+Referentie_MKI_Totaal[[#This Row],[C4]]+Referentie_MKI_Totaal[[#This Row],[D]])*(VLOOKUP(Referentie_MKI_Totaal[[#This Row],[Product]]&amp;", "&amp;Referentie_MKI_Totaal[[#Headers],[A5]],Database_Productkaarten[#All],66,FALSE))</f>
        <v>#N/A</v>
      </c>
    </row>
    <row r="51" spans="2:22" hidden="1">
      <c r="B51" s="263">
        <f>Baseline!B53</f>
        <v>0</v>
      </c>
      <c r="C51" s="264">
        <f>Baseline!F53</f>
        <v>0</v>
      </c>
      <c r="D51" s="265">
        <f>(IF(Baseline!C53="Nieuwe Situatie",(_xlfn.IFNA(VLOOKUP(Referentie_MKI_Totaal[[#This Row],[Product]]&amp;", "&amp;Referentie_MKI_Totaal[[#Headers],[A1]],Database_Productkaarten[#All],14,FALSE),0)*Baseline!I53),0))</f>
        <v>0</v>
      </c>
      <c r="E51" s="265">
        <f>(IF(Baseline!C53="Nieuwe Situatie",(_xlfn.IFNA(VLOOKUP(Referentie_MKI_Totaal[[#This Row],[Product]]&amp;", "&amp;Referentie_MKI_Totaal[[#Headers],[A2]],Database_Productkaarten[#All],14,FALSE),0)*Baseline!I53),0))</f>
        <v>0</v>
      </c>
      <c r="F51" s="265">
        <f>(IF(Baseline!C53="Nieuwe Situatie",(_xlfn.IFNA(VLOOKUP(Referentie_MKI_Totaal[[#This Row],[Product]]&amp;", "&amp;Referentie_MKI_Totaal[[#Headers],[A3]],Database_Productkaarten[#All],14,FALSE),0)*Baseline!I53),0))</f>
        <v>0</v>
      </c>
      <c r="G51" s="265">
        <f>(IF(Baseline!C53="Nieuwe Situatie",(_xlfn.IFNA(VLOOKUP(Referentie_MKI_Totaal[[#This Row],[Product]]&amp;", "&amp;Referentie_MKI_Totaal[[#Headers],[A1-A3]],Database_Productkaarten[#All],14,FALSE),0)*Baseline!I53),0))</f>
        <v>0</v>
      </c>
      <c r="H51" s="265">
        <f>IF(Baseline!T53=0,(IF(Baseline!C53="Nieuwe Situatie",(_xlfn.IFNA(VLOOKUP(Referentie_MKI_Totaal[[#This Row],[Product]]&amp;", "&amp;Referentie_MKI_Totaal[[#Headers],[A4]],Database_Productkaarten[#All],14,FALSE),0)*Baseline!Q53),0)),(IF(Baseline!C53="Nieuwe Situatie",_xlfn.IFNA(VLOOKUP(Baseline!T53,Database_Transport[#All],7,FALSE)*(Baseline!Q53*Baseline!S53),0))))</f>
        <v>0</v>
      </c>
      <c r="I51" s="265">
        <f>IF(Baseline!C53="Nieuwe situatie",IF(_xlfn.IFNA((VLOOKUP(Baseline!U53,Database_Asfalt_Aanlegset[#All],7,FALSE)*Baseline!I53),0)+_xlfn.IFNA(VLOOKUP(Baseline!V53,Database_Brandstoffen[#All],7,FALSE)*((Baseline!I53/Baseline!X53)*Baseline!W53),0)&gt;0,_xlfn.IFNA((VLOOKUP(Baseline!U53,Database_Asfalt_Aanlegset[#All],7,FALSE)*Baseline!I53),0)+_xlfn.IFNA(VLOOKUP(Baseline!V53,Database_Brandstoffen[#All],7,FALSE)*((Baseline!I53/Baseline!X53)*Baseline!W53),0),(_xlfn.IFNA(VLOOKUP(Referentie_MKI_Totaal[[#This Row],[Product]]&amp;", "&amp;Referentie_MKI_Totaal[[#Headers],[A5]],Database_Productkaarten[#All],14,FALSE),0)*Baseline!I53)),0)</f>
        <v>0</v>
      </c>
      <c r="J51" s="265"/>
      <c r="K51" s="265">
        <f>(IF(Baseline!C53="Nieuwe Situatie",(SUM(Referentie_MKI_Totaal[[#This Row],[A1]:[B1]],Referentie_MKI_Totaal[[#This Row],[C1]:[D2]])*Baseline!R53),0))</f>
        <v>0</v>
      </c>
      <c r="L51" s="265">
        <f>IF(Baseline!C53="Bestaande situatie",IF(_xlfn.IFNA((VLOOKUP(Baseline!Y53,Database_Asfalt_Verwijderset[#All],7,FALSE)*Baseline!I53),0)+_xlfn.IFNA(VLOOKUP(Baseline!Z53,Database_Brandstoffen[#All],7,FALSE)*((Baseline!I53/Baseline!AB53)*Baseline!AA53),0)&gt;0,_xlfn.IFNA((VLOOKUP(Baseline!Y53,Database_Asfalt_Verwijderset[#All],7,FALSE)*Baseline!I53),0)+_xlfn.IFNA(VLOOKUP(Baseline!Z53,Database_Brandstoffen[#All],7,FALSE)*((Baseline!I53/Baseline!AB53)*Baseline!AA53),0),(_xlfn.IFNA(VLOOKUP(Referentie_MKI_Totaal[[#This Row],[Product]]&amp;", "&amp;Referentie_MKI_Totaal[[#Headers],[C1]],Database_Productkaarten[#All],14,FALSE),0)*Baseline!I53)),0)</f>
        <v>0</v>
      </c>
      <c r="M51" s="265">
        <f>IF(Baseline!AD53=0,(IF(Baseline!C53="Bestaande Situatie",(_xlfn.IFNA(VLOOKUP(Referentie_MKI_Totaal[[#This Row],[Product]]&amp;", "&amp;Referentie_MKI_Totaal[[#Headers],[C2]],Database_Productkaarten[#All],14,FALSE),0)*Baseline!I53),0)),(IF(Baseline!C53="Bestaande Situatie",_xlfn.IFNA(VLOOKUP(Baseline!AD53,Database_Transport[#All],7,FALSE)*(Baseline!Q53*Baseline!AC53),0))))</f>
        <v>0</v>
      </c>
      <c r="N51" s="265">
        <f>(IF(Baseline!C53="Bestaande Situatie",(_xlfn.IFNA(VLOOKUP(Referentie_MKI_Totaal[[#This Row],[Product]]&amp;", "&amp;Referentie_MKI_Totaal[[#Headers],[C3]],Database_Productkaarten[#All],14,FALSE),0)*Baseline!I53),0))</f>
        <v>0</v>
      </c>
      <c r="O51" s="265">
        <f>(IF(Baseline!C53="Bestaande Situatie",(_xlfn.IFNA(VLOOKUP(Referentie_MKI_Totaal[[#This Row],[Product]]&amp;", "&amp;Referentie_MKI_Totaal[[#Headers],[C4]],Database_Productkaarten[#All],14,FALSE),0)*Baseline!I53),0))</f>
        <v>0</v>
      </c>
      <c r="P51" s="265">
        <f>(IF(Baseline!C53="Bestaande Situatie",(_xlfn.IFNA(VLOOKUP(Referentie_MKI_Totaal[[#This Row],[Product]]&amp;", "&amp;Referentie_MKI_Totaal[[#Headers],[D1]],Database_Productkaarten[#All],14,FALSE),0)*Baseline!I53),0))</f>
        <v>0</v>
      </c>
      <c r="Q51" s="265">
        <f>(IF(Baseline!C53="Bestaande Situatie",_xlfn.IFNA(VLOOKUP(Referentie_MKI_Totaal[[#This Row],[Product]]&amp;", "&amp;Referentie_MKI_Totaal[[#Headers],[D2]],Database_Productkaarten[#All],14,FALSE),0)*Baseline!I53,0))</f>
        <v>0</v>
      </c>
      <c r="R51" s="265">
        <f>(IF(Baseline!C53="Bestaande Situatie",(_xlfn.IFNA(VLOOKUP(Referentie_MKI_Totaal[[#This Row],[Product]]&amp;", "&amp;Referentie_MKI_Totaal[[#Headers],[D]],Database_Productkaarten[#All],14,FALSE),0)*Baseline!I53),0))</f>
        <v>0</v>
      </c>
      <c r="S51" s="266">
        <f>SUM(Referentie_MKI_Totaal[[#This Row],[A1-A3]:[C4]])+Referentie_MKI_Totaal[[#This Row],[D]]</f>
        <v>0</v>
      </c>
      <c r="V51" s="331" t="e">
        <f>SUM(Referentie_MKI_Totaal[[#This Row],[A1-A3]]+Referentie_MKI_Totaal[[#This Row],[A4]]+Referentie_MKI_Totaal[[#This Row],[C2]]+Referentie_MKI_Totaal[[#This Row],[C3]]+Referentie_MKI_Totaal[[#This Row],[C4]]+Referentie_MKI_Totaal[[#This Row],[D]])*(VLOOKUP(Referentie_MKI_Totaal[[#This Row],[Product]]&amp;", "&amp;Referentie_MKI_Totaal[[#Headers],[A5]],Database_Productkaarten[#All],66,FALSE))</f>
        <v>#N/A</v>
      </c>
    </row>
    <row r="52" spans="2:22" hidden="1">
      <c r="B52" s="263">
        <f>Baseline!B54</f>
        <v>0</v>
      </c>
      <c r="C52" s="264">
        <f>Baseline!F54</f>
        <v>0</v>
      </c>
      <c r="D52" s="265">
        <f>(IF(Baseline!C54="Nieuwe Situatie",(_xlfn.IFNA(VLOOKUP(Referentie_MKI_Totaal[[#This Row],[Product]]&amp;", "&amp;Referentie_MKI_Totaal[[#Headers],[A1]],Database_Productkaarten[#All],14,FALSE),0)*Baseline!I54),0))</f>
        <v>0</v>
      </c>
      <c r="E52" s="265">
        <f>(IF(Baseline!C54="Nieuwe Situatie",(_xlfn.IFNA(VLOOKUP(Referentie_MKI_Totaal[[#This Row],[Product]]&amp;", "&amp;Referentie_MKI_Totaal[[#Headers],[A2]],Database_Productkaarten[#All],14,FALSE),0)*Baseline!I54),0))</f>
        <v>0</v>
      </c>
      <c r="F52" s="265">
        <f>(IF(Baseline!C54="Nieuwe Situatie",(_xlfn.IFNA(VLOOKUP(Referentie_MKI_Totaal[[#This Row],[Product]]&amp;", "&amp;Referentie_MKI_Totaal[[#Headers],[A3]],Database_Productkaarten[#All],14,FALSE),0)*Baseline!I54),0))</f>
        <v>0</v>
      </c>
      <c r="G52" s="265">
        <f>(IF(Baseline!C54="Nieuwe Situatie",(_xlfn.IFNA(VLOOKUP(Referentie_MKI_Totaal[[#This Row],[Product]]&amp;", "&amp;Referentie_MKI_Totaal[[#Headers],[A1-A3]],Database_Productkaarten[#All],14,FALSE),0)*Baseline!I54),0))</f>
        <v>0</v>
      </c>
      <c r="H52" s="265">
        <f>IF(Baseline!T54=0,(IF(Baseline!C54="Nieuwe Situatie",(_xlfn.IFNA(VLOOKUP(Referentie_MKI_Totaal[[#This Row],[Product]]&amp;", "&amp;Referentie_MKI_Totaal[[#Headers],[A4]],Database_Productkaarten[#All],14,FALSE),0)*Baseline!Q54),0)),(IF(Baseline!C54="Nieuwe Situatie",_xlfn.IFNA(VLOOKUP(Baseline!T54,Database_Transport[#All],7,FALSE)*(Baseline!Q54*Baseline!S54),0))))</f>
        <v>0</v>
      </c>
      <c r="I52" s="265">
        <f>IF(Baseline!C54="Nieuwe situatie",IF(_xlfn.IFNA((VLOOKUP(Baseline!U54,Database_Asfalt_Aanlegset[#All],7,FALSE)*Baseline!I54),0)+_xlfn.IFNA(VLOOKUP(Baseline!V54,Database_Brandstoffen[#All],7,FALSE)*((Baseline!I54/Baseline!X54)*Baseline!W54),0)&gt;0,_xlfn.IFNA((VLOOKUP(Baseline!U54,Database_Asfalt_Aanlegset[#All],7,FALSE)*Baseline!I54),0)+_xlfn.IFNA(VLOOKUP(Baseline!V54,Database_Brandstoffen[#All],7,FALSE)*((Baseline!I54/Baseline!X54)*Baseline!W54),0),(_xlfn.IFNA(VLOOKUP(Referentie_MKI_Totaal[[#This Row],[Product]]&amp;", "&amp;Referentie_MKI_Totaal[[#Headers],[A5]],Database_Productkaarten[#All],14,FALSE),0)*Baseline!I54)),0)</f>
        <v>0</v>
      </c>
      <c r="J52" s="265"/>
      <c r="K52" s="265">
        <f>(IF(Baseline!C54="Nieuwe Situatie",(SUM(Referentie_MKI_Totaal[[#This Row],[A1]:[B1]],Referentie_MKI_Totaal[[#This Row],[C1]:[D2]])*Baseline!R54),0))</f>
        <v>0</v>
      </c>
      <c r="L52" s="265">
        <f>IF(Baseline!C54="Bestaande situatie",IF(_xlfn.IFNA((VLOOKUP(Baseline!Y54,Database_Asfalt_Verwijderset[#All],7,FALSE)*Baseline!I54),0)+_xlfn.IFNA(VLOOKUP(Baseline!Z54,Database_Brandstoffen[#All],7,FALSE)*((Baseline!I54/Baseline!AB54)*Baseline!AA54),0)&gt;0,_xlfn.IFNA((VLOOKUP(Baseline!Y54,Database_Asfalt_Verwijderset[#All],7,FALSE)*Baseline!I54),0)+_xlfn.IFNA(VLOOKUP(Baseline!Z54,Database_Brandstoffen[#All],7,FALSE)*((Baseline!I54/Baseline!AB54)*Baseline!AA54),0),(_xlfn.IFNA(VLOOKUP(Referentie_MKI_Totaal[[#This Row],[Product]]&amp;", "&amp;Referentie_MKI_Totaal[[#Headers],[C1]],Database_Productkaarten[#All],14,FALSE),0)*Baseline!I54)),0)</f>
        <v>0</v>
      </c>
      <c r="M52" s="265">
        <f>IF(Baseline!AD54=0,(IF(Baseline!C54="Bestaande Situatie",(_xlfn.IFNA(VLOOKUP(Referentie_MKI_Totaal[[#This Row],[Product]]&amp;", "&amp;Referentie_MKI_Totaal[[#Headers],[C2]],Database_Productkaarten[#All],14,FALSE),0)*Baseline!I54),0)),(IF(Baseline!C54="Bestaande Situatie",_xlfn.IFNA(VLOOKUP(Baseline!AD54,Database_Transport[#All],7,FALSE)*(Baseline!Q54*Baseline!AC54),0))))</f>
        <v>0</v>
      </c>
      <c r="N52" s="265">
        <f>(IF(Baseline!C54="Bestaande Situatie",(_xlfn.IFNA(VLOOKUP(Referentie_MKI_Totaal[[#This Row],[Product]]&amp;", "&amp;Referentie_MKI_Totaal[[#Headers],[C3]],Database_Productkaarten[#All],14,FALSE),0)*Baseline!I54),0))</f>
        <v>0</v>
      </c>
      <c r="O52" s="265">
        <f>(IF(Baseline!C54="Bestaande Situatie",(_xlfn.IFNA(VLOOKUP(Referentie_MKI_Totaal[[#This Row],[Product]]&amp;", "&amp;Referentie_MKI_Totaal[[#Headers],[C4]],Database_Productkaarten[#All],14,FALSE),0)*Baseline!I54),0))</f>
        <v>0</v>
      </c>
      <c r="P52" s="265">
        <f>(IF(Baseline!C54="Bestaande Situatie",(_xlfn.IFNA(VLOOKUP(Referentie_MKI_Totaal[[#This Row],[Product]]&amp;", "&amp;Referentie_MKI_Totaal[[#Headers],[D1]],Database_Productkaarten[#All],14,FALSE),0)*Baseline!I54),0))</f>
        <v>0</v>
      </c>
      <c r="Q52" s="265">
        <f>(IF(Baseline!C54="Bestaande Situatie",_xlfn.IFNA(VLOOKUP(Referentie_MKI_Totaal[[#This Row],[Product]]&amp;", "&amp;Referentie_MKI_Totaal[[#Headers],[D2]],Database_Productkaarten[#All],14,FALSE),0)*Baseline!I54,0))</f>
        <v>0</v>
      </c>
      <c r="R52" s="265">
        <f>(IF(Baseline!C54="Bestaande Situatie",(_xlfn.IFNA(VLOOKUP(Referentie_MKI_Totaal[[#This Row],[Product]]&amp;", "&amp;Referentie_MKI_Totaal[[#Headers],[D]],Database_Productkaarten[#All],14,FALSE),0)*Baseline!I54),0))</f>
        <v>0</v>
      </c>
      <c r="S52" s="266">
        <f>SUM(Referentie_MKI_Totaal[[#This Row],[A1-A3]:[C4]])+Referentie_MKI_Totaal[[#This Row],[D]]</f>
        <v>0</v>
      </c>
      <c r="V52" s="331" t="e">
        <f>SUM(Referentie_MKI_Totaal[[#This Row],[A1-A3]]+Referentie_MKI_Totaal[[#This Row],[A4]]+Referentie_MKI_Totaal[[#This Row],[C2]]+Referentie_MKI_Totaal[[#This Row],[C3]]+Referentie_MKI_Totaal[[#This Row],[C4]]+Referentie_MKI_Totaal[[#This Row],[D]])*(VLOOKUP(Referentie_MKI_Totaal[[#This Row],[Product]]&amp;", "&amp;Referentie_MKI_Totaal[[#Headers],[A5]],Database_Productkaarten[#All],66,FALSE))</f>
        <v>#N/A</v>
      </c>
    </row>
    <row r="53" spans="2:22" hidden="1">
      <c r="B53" s="263">
        <f>Baseline!B55</f>
        <v>0</v>
      </c>
      <c r="C53" s="264">
        <f>Baseline!F55</f>
        <v>0</v>
      </c>
      <c r="D53" s="265">
        <f>(IF(Baseline!C55="Nieuwe Situatie",(_xlfn.IFNA(VLOOKUP(Referentie_MKI_Totaal[[#This Row],[Product]]&amp;", "&amp;Referentie_MKI_Totaal[[#Headers],[A1]],Database_Productkaarten[#All],14,FALSE),0)*Baseline!I55),0))</f>
        <v>0</v>
      </c>
      <c r="E53" s="265">
        <f>(IF(Baseline!C55="Nieuwe Situatie",(_xlfn.IFNA(VLOOKUP(Referentie_MKI_Totaal[[#This Row],[Product]]&amp;", "&amp;Referentie_MKI_Totaal[[#Headers],[A2]],Database_Productkaarten[#All],14,FALSE),0)*Baseline!I55),0))</f>
        <v>0</v>
      </c>
      <c r="F53" s="265">
        <f>(IF(Baseline!C55="Nieuwe Situatie",(_xlfn.IFNA(VLOOKUP(Referentie_MKI_Totaal[[#This Row],[Product]]&amp;", "&amp;Referentie_MKI_Totaal[[#Headers],[A3]],Database_Productkaarten[#All],14,FALSE),0)*Baseline!I55),0))</f>
        <v>0</v>
      </c>
      <c r="G53" s="265">
        <f>(IF(Baseline!C55="Nieuwe Situatie",(_xlfn.IFNA(VLOOKUP(Referentie_MKI_Totaal[[#This Row],[Product]]&amp;", "&amp;Referentie_MKI_Totaal[[#Headers],[A1-A3]],Database_Productkaarten[#All],14,FALSE),0)*Baseline!I55),0))</f>
        <v>0</v>
      </c>
      <c r="H53" s="265">
        <f>IF(Baseline!T55=0,(IF(Baseline!C55="Nieuwe Situatie",(_xlfn.IFNA(VLOOKUP(Referentie_MKI_Totaal[[#This Row],[Product]]&amp;", "&amp;Referentie_MKI_Totaal[[#Headers],[A4]],Database_Productkaarten[#All],14,FALSE),0)*Baseline!Q55),0)),(IF(Baseline!C55="Nieuwe Situatie",_xlfn.IFNA(VLOOKUP(Baseline!T55,Database_Transport[#All],7,FALSE)*(Baseline!Q55*Baseline!S55),0))))</f>
        <v>0</v>
      </c>
      <c r="I53" s="265">
        <f>IF(Baseline!C55="Nieuwe situatie",IF(_xlfn.IFNA((VLOOKUP(Baseline!U55,Database_Asfalt_Aanlegset[#All],7,FALSE)*Baseline!I55),0)+_xlfn.IFNA(VLOOKUP(Baseline!V55,Database_Brandstoffen[#All],7,FALSE)*((Baseline!I55/Baseline!X55)*Baseline!W55),0)&gt;0,_xlfn.IFNA((VLOOKUP(Baseline!U55,Database_Asfalt_Aanlegset[#All],7,FALSE)*Baseline!I55),0)+_xlfn.IFNA(VLOOKUP(Baseline!V55,Database_Brandstoffen[#All],7,FALSE)*((Baseline!I55/Baseline!X55)*Baseline!W55),0),(_xlfn.IFNA(VLOOKUP(Referentie_MKI_Totaal[[#This Row],[Product]]&amp;", "&amp;Referentie_MKI_Totaal[[#Headers],[A5]],Database_Productkaarten[#All],14,FALSE),0)*Baseline!I55)),0)</f>
        <v>0</v>
      </c>
      <c r="J53" s="265"/>
      <c r="K53" s="265">
        <f>(IF(Baseline!C55="Nieuwe Situatie",(SUM(Referentie_MKI_Totaal[[#This Row],[A1]:[B1]],Referentie_MKI_Totaal[[#This Row],[C1]:[D2]])*Baseline!R55),0))</f>
        <v>0</v>
      </c>
      <c r="L53" s="265">
        <f>IF(Baseline!C55="Bestaande situatie",IF(_xlfn.IFNA((VLOOKUP(Baseline!Y55,Database_Asfalt_Verwijderset[#All],7,FALSE)*Baseline!I55),0)+_xlfn.IFNA(VLOOKUP(Baseline!Z55,Database_Brandstoffen[#All],7,FALSE)*((Baseline!I55/Baseline!AB55)*Baseline!AA55),0)&gt;0,_xlfn.IFNA((VLOOKUP(Baseline!Y55,Database_Asfalt_Verwijderset[#All],7,FALSE)*Baseline!I55),0)+_xlfn.IFNA(VLOOKUP(Baseline!Z55,Database_Brandstoffen[#All],7,FALSE)*((Baseline!I55/Baseline!AB55)*Baseline!AA55),0),(_xlfn.IFNA(VLOOKUP(Referentie_MKI_Totaal[[#This Row],[Product]]&amp;", "&amp;Referentie_MKI_Totaal[[#Headers],[C1]],Database_Productkaarten[#All],14,FALSE),0)*Baseline!I55)),0)</f>
        <v>0</v>
      </c>
      <c r="M53" s="265">
        <f>IF(Baseline!AD55=0,(IF(Baseline!C55="Bestaande Situatie",(_xlfn.IFNA(VLOOKUP(Referentie_MKI_Totaal[[#This Row],[Product]]&amp;", "&amp;Referentie_MKI_Totaal[[#Headers],[C2]],Database_Productkaarten[#All],14,FALSE),0)*Baseline!I55),0)),(IF(Baseline!C55="Bestaande Situatie",_xlfn.IFNA(VLOOKUP(Baseline!AD55,Database_Transport[#All],7,FALSE)*(Baseline!Q55*Baseline!AC55),0))))</f>
        <v>0</v>
      </c>
      <c r="N53" s="265">
        <f>(IF(Baseline!C55="Bestaande Situatie",(_xlfn.IFNA(VLOOKUP(Referentie_MKI_Totaal[[#This Row],[Product]]&amp;", "&amp;Referentie_MKI_Totaal[[#Headers],[C3]],Database_Productkaarten[#All],14,FALSE),0)*Baseline!I55),0))</f>
        <v>0</v>
      </c>
      <c r="O53" s="265">
        <f>(IF(Baseline!C55="Bestaande Situatie",(_xlfn.IFNA(VLOOKUP(Referentie_MKI_Totaal[[#This Row],[Product]]&amp;", "&amp;Referentie_MKI_Totaal[[#Headers],[C4]],Database_Productkaarten[#All],14,FALSE),0)*Baseline!I55),0))</f>
        <v>0</v>
      </c>
      <c r="P53" s="265">
        <f>(IF(Baseline!C55="Bestaande Situatie",(_xlfn.IFNA(VLOOKUP(Referentie_MKI_Totaal[[#This Row],[Product]]&amp;", "&amp;Referentie_MKI_Totaal[[#Headers],[D1]],Database_Productkaarten[#All],14,FALSE),0)*Baseline!I55),0))</f>
        <v>0</v>
      </c>
      <c r="Q53" s="265">
        <f>(IF(Baseline!C55="Bestaande Situatie",_xlfn.IFNA(VLOOKUP(Referentie_MKI_Totaal[[#This Row],[Product]]&amp;", "&amp;Referentie_MKI_Totaal[[#Headers],[D2]],Database_Productkaarten[#All],14,FALSE),0)*Baseline!I55,0))</f>
        <v>0</v>
      </c>
      <c r="R53" s="265">
        <f>(IF(Baseline!C55="Bestaande Situatie",(_xlfn.IFNA(VLOOKUP(Referentie_MKI_Totaal[[#This Row],[Product]]&amp;", "&amp;Referentie_MKI_Totaal[[#Headers],[D]],Database_Productkaarten[#All],14,FALSE),0)*Baseline!I55),0))</f>
        <v>0</v>
      </c>
      <c r="S53" s="266">
        <f>SUM(Referentie_MKI_Totaal[[#This Row],[A1-A3]:[C4]])+Referentie_MKI_Totaal[[#This Row],[D]]</f>
        <v>0</v>
      </c>
      <c r="V53" s="331" t="e">
        <f>SUM(Referentie_MKI_Totaal[[#This Row],[A1-A3]]+Referentie_MKI_Totaal[[#This Row],[A4]]+Referentie_MKI_Totaal[[#This Row],[C2]]+Referentie_MKI_Totaal[[#This Row],[C3]]+Referentie_MKI_Totaal[[#This Row],[C4]]+Referentie_MKI_Totaal[[#This Row],[D]])*(VLOOKUP(Referentie_MKI_Totaal[[#This Row],[Product]]&amp;", "&amp;Referentie_MKI_Totaal[[#Headers],[A5]],Database_Productkaarten[#All],66,FALSE))</f>
        <v>#N/A</v>
      </c>
    </row>
    <row r="54" spans="2:22" hidden="1">
      <c r="B54" s="263">
        <f>Baseline!B56</f>
        <v>0</v>
      </c>
      <c r="C54" s="264">
        <f>Baseline!F56</f>
        <v>0</v>
      </c>
      <c r="D54" s="265">
        <f>(IF(Baseline!C56="Nieuwe Situatie",(_xlfn.IFNA(VLOOKUP(Referentie_MKI_Totaal[[#This Row],[Product]]&amp;", "&amp;Referentie_MKI_Totaal[[#Headers],[A1]],Database_Productkaarten[#All],14,FALSE),0)*Baseline!I56),0))</f>
        <v>0</v>
      </c>
      <c r="E54" s="265">
        <f>(IF(Baseline!C56="Nieuwe Situatie",(_xlfn.IFNA(VLOOKUP(Referentie_MKI_Totaal[[#This Row],[Product]]&amp;", "&amp;Referentie_MKI_Totaal[[#Headers],[A2]],Database_Productkaarten[#All],14,FALSE),0)*Baseline!I56),0))</f>
        <v>0</v>
      </c>
      <c r="F54" s="265">
        <f>(IF(Baseline!C56="Nieuwe Situatie",(_xlfn.IFNA(VLOOKUP(Referentie_MKI_Totaal[[#This Row],[Product]]&amp;", "&amp;Referentie_MKI_Totaal[[#Headers],[A3]],Database_Productkaarten[#All],14,FALSE),0)*Baseline!I56),0))</f>
        <v>0</v>
      </c>
      <c r="G54" s="265">
        <f>(IF(Baseline!C56="Nieuwe Situatie",(_xlfn.IFNA(VLOOKUP(Referentie_MKI_Totaal[[#This Row],[Product]]&amp;", "&amp;Referentie_MKI_Totaal[[#Headers],[A1-A3]],Database_Productkaarten[#All],14,FALSE),0)*Baseline!I56),0))</f>
        <v>0</v>
      </c>
      <c r="H54" s="265">
        <f>IF(Baseline!T56=0,(IF(Baseline!C56="Nieuwe Situatie",(_xlfn.IFNA(VLOOKUP(Referentie_MKI_Totaal[[#This Row],[Product]]&amp;", "&amp;Referentie_MKI_Totaal[[#Headers],[A4]],Database_Productkaarten[#All],14,FALSE),0)*Baseline!Q56),0)),(IF(Baseline!C56="Nieuwe Situatie",_xlfn.IFNA(VLOOKUP(Baseline!T56,Database_Transport[#All],7,FALSE)*(Baseline!Q56*Baseline!S56),0))))</f>
        <v>0</v>
      </c>
      <c r="I54" s="265">
        <f>IF(Baseline!C56="Nieuwe situatie",IF(_xlfn.IFNA((VLOOKUP(Baseline!U56,Database_Asfalt_Aanlegset[#All],7,FALSE)*Baseline!I56),0)+_xlfn.IFNA(VLOOKUP(Baseline!V56,Database_Brandstoffen[#All],7,FALSE)*((Baseline!I56/Baseline!X56)*Baseline!W56),0)&gt;0,_xlfn.IFNA((VLOOKUP(Baseline!U56,Database_Asfalt_Aanlegset[#All],7,FALSE)*Baseline!I56),0)+_xlfn.IFNA(VLOOKUP(Baseline!V56,Database_Brandstoffen[#All],7,FALSE)*((Baseline!I56/Baseline!X56)*Baseline!W56),0),(_xlfn.IFNA(VLOOKUP(Referentie_MKI_Totaal[[#This Row],[Product]]&amp;", "&amp;Referentie_MKI_Totaal[[#Headers],[A5]],Database_Productkaarten[#All],14,FALSE),0)*Baseline!I56)),0)</f>
        <v>0</v>
      </c>
      <c r="J54" s="265"/>
      <c r="K54" s="265">
        <f>(IF(Baseline!C56="Nieuwe Situatie",(SUM(Referentie_MKI_Totaal[[#This Row],[A1]:[B1]],Referentie_MKI_Totaal[[#This Row],[C1]:[D2]])*Baseline!R56),0))</f>
        <v>0</v>
      </c>
      <c r="L54" s="265">
        <f>IF(Baseline!C56="Bestaande situatie",IF(_xlfn.IFNA((VLOOKUP(Baseline!Y56,Database_Asfalt_Verwijderset[#All],7,FALSE)*Baseline!I56),0)+_xlfn.IFNA(VLOOKUP(Baseline!Z56,Database_Brandstoffen[#All],7,FALSE)*((Baseline!I56/Baseline!AB56)*Baseline!AA56),0)&gt;0,_xlfn.IFNA((VLOOKUP(Baseline!Y56,Database_Asfalt_Verwijderset[#All],7,FALSE)*Baseline!I56),0)+_xlfn.IFNA(VLOOKUP(Baseline!Z56,Database_Brandstoffen[#All],7,FALSE)*((Baseline!I56/Baseline!AB56)*Baseline!AA56),0),(_xlfn.IFNA(VLOOKUP(Referentie_MKI_Totaal[[#This Row],[Product]]&amp;", "&amp;Referentie_MKI_Totaal[[#Headers],[C1]],Database_Productkaarten[#All],14,FALSE),0)*Baseline!I56)),0)</f>
        <v>0</v>
      </c>
      <c r="M54" s="265">
        <f>IF(Baseline!AD56=0,(IF(Baseline!C56="Bestaande Situatie",(_xlfn.IFNA(VLOOKUP(Referentie_MKI_Totaal[[#This Row],[Product]]&amp;", "&amp;Referentie_MKI_Totaal[[#Headers],[C2]],Database_Productkaarten[#All],14,FALSE),0)*Baseline!I56),0)),(IF(Baseline!C56="Bestaande Situatie",_xlfn.IFNA(VLOOKUP(Baseline!AD56,Database_Transport[#All],7,FALSE)*(Baseline!Q56*Baseline!AC56),0))))</f>
        <v>0</v>
      </c>
      <c r="N54" s="265">
        <f>(IF(Baseline!C56="Bestaande Situatie",(_xlfn.IFNA(VLOOKUP(Referentie_MKI_Totaal[[#This Row],[Product]]&amp;", "&amp;Referentie_MKI_Totaal[[#Headers],[C3]],Database_Productkaarten[#All],14,FALSE),0)*Baseline!I56),0))</f>
        <v>0</v>
      </c>
      <c r="O54" s="265">
        <f>(IF(Baseline!C56="Bestaande Situatie",(_xlfn.IFNA(VLOOKUP(Referentie_MKI_Totaal[[#This Row],[Product]]&amp;", "&amp;Referentie_MKI_Totaal[[#Headers],[C4]],Database_Productkaarten[#All],14,FALSE),0)*Baseline!I56),0))</f>
        <v>0</v>
      </c>
      <c r="P54" s="265">
        <f>(IF(Baseline!C56="Bestaande Situatie",(_xlfn.IFNA(VLOOKUP(Referentie_MKI_Totaal[[#This Row],[Product]]&amp;", "&amp;Referentie_MKI_Totaal[[#Headers],[D1]],Database_Productkaarten[#All],14,FALSE),0)*Baseline!I56),0))</f>
        <v>0</v>
      </c>
      <c r="Q54" s="265">
        <f>(IF(Baseline!C56="Bestaande Situatie",_xlfn.IFNA(VLOOKUP(Referentie_MKI_Totaal[[#This Row],[Product]]&amp;", "&amp;Referentie_MKI_Totaal[[#Headers],[D2]],Database_Productkaarten[#All],14,FALSE),0)*Baseline!I56,0))</f>
        <v>0</v>
      </c>
      <c r="R54" s="265">
        <f>(IF(Baseline!C56="Bestaande Situatie",(_xlfn.IFNA(VLOOKUP(Referentie_MKI_Totaal[[#This Row],[Product]]&amp;", "&amp;Referentie_MKI_Totaal[[#Headers],[D]],Database_Productkaarten[#All],14,FALSE),0)*Baseline!I56),0))</f>
        <v>0</v>
      </c>
      <c r="S54" s="266">
        <f>SUM(Referentie_MKI_Totaal[[#This Row],[A1-A3]:[C4]])+Referentie_MKI_Totaal[[#This Row],[D]]</f>
        <v>0</v>
      </c>
      <c r="V54" s="331" t="e">
        <f>SUM(Referentie_MKI_Totaal[[#This Row],[A1-A3]]+Referentie_MKI_Totaal[[#This Row],[A4]]+Referentie_MKI_Totaal[[#This Row],[C2]]+Referentie_MKI_Totaal[[#This Row],[C3]]+Referentie_MKI_Totaal[[#This Row],[C4]]+Referentie_MKI_Totaal[[#This Row],[D]])*(VLOOKUP(Referentie_MKI_Totaal[[#This Row],[Product]]&amp;", "&amp;Referentie_MKI_Totaal[[#Headers],[A5]],Database_Productkaarten[#All],66,FALSE))</f>
        <v>#N/A</v>
      </c>
    </row>
    <row r="55" spans="2:22" hidden="1">
      <c r="B55" s="263">
        <f>Baseline!B57</f>
        <v>0</v>
      </c>
      <c r="C55" s="264">
        <f>Baseline!F57</f>
        <v>0</v>
      </c>
      <c r="D55" s="265">
        <f>(IF(Baseline!C57="Nieuwe Situatie",(_xlfn.IFNA(VLOOKUP(Referentie_MKI_Totaal[[#This Row],[Product]]&amp;", "&amp;Referentie_MKI_Totaal[[#Headers],[A1]],Database_Productkaarten[#All],14,FALSE),0)*Baseline!I57),0))</f>
        <v>0</v>
      </c>
      <c r="E55" s="265">
        <f>(IF(Baseline!C57="Nieuwe Situatie",(_xlfn.IFNA(VLOOKUP(Referentie_MKI_Totaal[[#This Row],[Product]]&amp;", "&amp;Referentie_MKI_Totaal[[#Headers],[A2]],Database_Productkaarten[#All],14,FALSE),0)*Baseline!I57),0))</f>
        <v>0</v>
      </c>
      <c r="F55" s="265">
        <f>(IF(Baseline!C57="Nieuwe Situatie",(_xlfn.IFNA(VLOOKUP(Referentie_MKI_Totaal[[#This Row],[Product]]&amp;", "&amp;Referentie_MKI_Totaal[[#Headers],[A3]],Database_Productkaarten[#All],14,FALSE),0)*Baseline!I57),0))</f>
        <v>0</v>
      </c>
      <c r="G55" s="265">
        <f>(IF(Baseline!C57="Nieuwe Situatie",(_xlfn.IFNA(VLOOKUP(Referentie_MKI_Totaal[[#This Row],[Product]]&amp;", "&amp;Referentie_MKI_Totaal[[#Headers],[A1-A3]],Database_Productkaarten[#All],14,FALSE),0)*Baseline!I57),0))</f>
        <v>0</v>
      </c>
      <c r="H55" s="265">
        <f>IF(Baseline!T57=0,(IF(Baseline!C57="Nieuwe Situatie",(_xlfn.IFNA(VLOOKUP(Referentie_MKI_Totaal[[#This Row],[Product]]&amp;", "&amp;Referentie_MKI_Totaal[[#Headers],[A4]],Database_Productkaarten[#All],14,FALSE),0)*Baseline!Q57),0)),(IF(Baseline!C57="Nieuwe Situatie",_xlfn.IFNA(VLOOKUP(Baseline!T57,Database_Transport[#All],7,FALSE)*(Baseline!Q57*Baseline!S57),0))))</f>
        <v>0</v>
      </c>
      <c r="I55" s="265">
        <f>IF(Baseline!C57="Nieuwe situatie",IF(_xlfn.IFNA((VLOOKUP(Baseline!U57,Database_Asfalt_Aanlegset[#All],7,FALSE)*Baseline!I57),0)+_xlfn.IFNA(VLOOKUP(Baseline!V57,Database_Brandstoffen[#All],7,FALSE)*((Baseline!I57/Baseline!X57)*Baseline!W57),0)&gt;0,_xlfn.IFNA((VLOOKUP(Baseline!U57,Database_Asfalt_Aanlegset[#All],7,FALSE)*Baseline!I57),0)+_xlfn.IFNA(VLOOKUP(Baseline!V57,Database_Brandstoffen[#All],7,FALSE)*((Baseline!I57/Baseline!X57)*Baseline!W57),0),(_xlfn.IFNA(VLOOKUP(Referentie_MKI_Totaal[[#This Row],[Product]]&amp;", "&amp;Referentie_MKI_Totaal[[#Headers],[A5]],Database_Productkaarten[#All],14,FALSE),0)*Baseline!I57)),0)</f>
        <v>0</v>
      </c>
      <c r="J55" s="265"/>
      <c r="K55" s="265">
        <f>(IF(Baseline!C57="Nieuwe Situatie",(SUM(Referentie_MKI_Totaal[[#This Row],[A1]:[B1]],Referentie_MKI_Totaal[[#This Row],[C1]:[D2]])*Baseline!R57),0))</f>
        <v>0</v>
      </c>
      <c r="L55" s="265">
        <f>IF(Baseline!C57="Bestaande situatie",IF(_xlfn.IFNA((VLOOKUP(Baseline!Y57,Database_Asfalt_Verwijderset[#All],7,FALSE)*Baseline!I57),0)+_xlfn.IFNA(VLOOKUP(Baseline!Z57,Database_Brandstoffen[#All],7,FALSE)*((Baseline!I57/Baseline!AB57)*Baseline!AA57),0)&gt;0,_xlfn.IFNA((VLOOKUP(Baseline!Y57,Database_Asfalt_Verwijderset[#All],7,FALSE)*Baseline!I57),0)+_xlfn.IFNA(VLOOKUP(Baseline!Z57,Database_Brandstoffen[#All],7,FALSE)*((Baseline!I57/Baseline!AB57)*Baseline!AA57),0),(_xlfn.IFNA(VLOOKUP(Referentie_MKI_Totaal[[#This Row],[Product]]&amp;", "&amp;Referentie_MKI_Totaal[[#Headers],[C1]],Database_Productkaarten[#All],14,FALSE),0)*Baseline!I57)),0)</f>
        <v>0</v>
      </c>
      <c r="M55" s="265">
        <f>IF(Baseline!AD57=0,(IF(Baseline!C57="Bestaande Situatie",(_xlfn.IFNA(VLOOKUP(Referentie_MKI_Totaal[[#This Row],[Product]]&amp;", "&amp;Referentie_MKI_Totaal[[#Headers],[C2]],Database_Productkaarten[#All],14,FALSE),0)*Baseline!I57),0)),(IF(Baseline!C57="Bestaande Situatie",_xlfn.IFNA(VLOOKUP(Baseline!AD57,Database_Transport[#All],7,FALSE)*(Baseline!Q57*Baseline!AC57),0))))</f>
        <v>0</v>
      </c>
      <c r="N55" s="265">
        <f>(IF(Baseline!C57="Bestaande Situatie",(_xlfn.IFNA(VLOOKUP(Referentie_MKI_Totaal[[#This Row],[Product]]&amp;", "&amp;Referentie_MKI_Totaal[[#Headers],[C3]],Database_Productkaarten[#All],14,FALSE),0)*Baseline!I57),0))</f>
        <v>0</v>
      </c>
      <c r="O55" s="265">
        <f>(IF(Baseline!C57="Bestaande Situatie",(_xlfn.IFNA(VLOOKUP(Referentie_MKI_Totaal[[#This Row],[Product]]&amp;", "&amp;Referentie_MKI_Totaal[[#Headers],[C4]],Database_Productkaarten[#All],14,FALSE),0)*Baseline!I57),0))</f>
        <v>0</v>
      </c>
      <c r="P55" s="265">
        <f>(IF(Baseline!C57="Bestaande Situatie",(_xlfn.IFNA(VLOOKUP(Referentie_MKI_Totaal[[#This Row],[Product]]&amp;", "&amp;Referentie_MKI_Totaal[[#Headers],[D1]],Database_Productkaarten[#All],14,FALSE),0)*Baseline!I57),0))</f>
        <v>0</v>
      </c>
      <c r="Q55" s="265">
        <f>(IF(Baseline!C57="Bestaande Situatie",_xlfn.IFNA(VLOOKUP(Referentie_MKI_Totaal[[#This Row],[Product]]&amp;", "&amp;Referentie_MKI_Totaal[[#Headers],[D2]],Database_Productkaarten[#All],14,FALSE),0)*Baseline!I57,0))</f>
        <v>0</v>
      </c>
      <c r="R55" s="265">
        <f>(IF(Baseline!C57="Bestaande Situatie",(_xlfn.IFNA(VLOOKUP(Referentie_MKI_Totaal[[#This Row],[Product]]&amp;", "&amp;Referentie_MKI_Totaal[[#Headers],[D]],Database_Productkaarten[#All],14,FALSE),0)*Baseline!I57),0))</f>
        <v>0</v>
      </c>
      <c r="S55" s="266">
        <f>SUM(Referentie_MKI_Totaal[[#This Row],[A1-A3]:[C4]])+Referentie_MKI_Totaal[[#This Row],[D]]</f>
        <v>0</v>
      </c>
      <c r="V55" s="331" t="e">
        <f>SUM(Referentie_MKI_Totaal[[#This Row],[A1-A3]]+Referentie_MKI_Totaal[[#This Row],[A4]]+Referentie_MKI_Totaal[[#This Row],[C2]]+Referentie_MKI_Totaal[[#This Row],[C3]]+Referentie_MKI_Totaal[[#This Row],[C4]]+Referentie_MKI_Totaal[[#This Row],[D]])*(VLOOKUP(Referentie_MKI_Totaal[[#This Row],[Product]]&amp;", "&amp;Referentie_MKI_Totaal[[#Headers],[A5]],Database_Productkaarten[#All],66,FALSE))</f>
        <v>#N/A</v>
      </c>
    </row>
    <row r="56" spans="2:22" hidden="1">
      <c r="B56" s="263">
        <f>Baseline!B58</f>
        <v>0</v>
      </c>
      <c r="C56" s="264">
        <f>Baseline!F58</f>
        <v>0</v>
      </c>
      <c r="D56" s="265">
        <f>(IF(Baseline!C58="Nieuwe Situatie",(_xlfn.IFNA(VLOOKUP(Referentie_MKI_Totaal[[#This Row],[Product]]&amp;", "&amp;Referentie_MKI_Totaal[[#Headers],[A1]],Database_Productkaarten[#All],14,FALSE),0)*Baseline!I58),0))</f>
        <v>0</v>
      </c>
      <c r="E56" s="265">
        <f>(IF(Baseline!C58="Nieuwe Situatie",(_xlfn.IFNA(VLOOKUP(Referentie_MKI_Totaal[[#This Row],[Product]]&amp;", "&amp;Referentie_MKI_Totaal[[#Headers],[A2]],Database_Productkaarten[#All],14,FALSE),0)*Baseline!I58),0))</f>
        <v>0</v>
      </c>
      <c r="F56" s="265">
        <f>(IF(Baseline!C58="Nieuwe Situatie",(_xlfn.IFNA(VLOOKUP(Referentie_MKI_Totaal[[#This Row],[Product]]&amp;", "&amp;Referentie_MKI_Totaal[[#Headers],[A3]],Database_Productkaarten[#All],14,FALSE),0)*Baseline!I58),0))</f>
        <v>0</v>
      </c>
      <c r="G56" s="265">
        <f>(IF(Baseline!C58="Nieuwe Situatie",(_xlfn.IFNA(VLOOKUP(Referentie_MKI_Totaal[[#This Row],[Product]]&amp;", "&amp;Referentie_MKI_Totaal[[#Headers],[A1-A3]],Database_Productkaarten[#All],14,FALSE),0)*Baseline!I58),0))</f>
        <v>0</v>
      </c>
      <c r="H56" s="265">
        <f>IF(Baseline!T58=0,(IF(Baseline!C58="Nieuwe Situatie",(_xlfn.IFNA(VLOOKUP(Referentie_MKI_Totaal[[#This Row],[Product]]&amp;", "&amp;Referentie_MKI_Totaal[[#Headers],[A4]],Database_Productkaarten[#All],14,FALSE),0)*Baseline!Q58),0)),(IF(Baseline!C58="Nieuwe Situatie",_xlfn.IFNA(VLOOKUP(Baseline!T58,Database_Transport[#All],7,FALSE)*(Baseline!Q58*Baseline!S58),0))))</f>
        <v>0</v>
      </c>
      <c r="I56" s="265">
        <f>IF(Baseline!C58="Nieuwe situatie",IF(_xlfn.IFNA((VLOOKUP(Baseline!U58,Database_Asfalt_Aanlegset[#All],7,FALSE)*Baseline!I58),0)+_xlfn.IFNA(VLOOKUP(Baseline!V58,Database_Brandstoffen[#All],7,FALSE)*((Baseline!I58/Baseline!X58)*Baseline!W58),0)&gt;0,_xlfn.IFNA((VLOOKUP(Baseline!U58,Database_Asfalt_Aanlegset[#All],7,FALSE)*Baseline!I58),0)+_xlfn.IFNA(VLOOKUP(Baseline!V58,Database_Brandstoffen[#All],7,FALSE)*((Baseline!I58/Baseline!X58)*Baseline!W58),0),(_xlfn.IFNA(VLOOKUP(Referentie_MKI_Totaal[[#This Row],[Product]]&amp;", "&amp;Referentie_MKI_Totaal[[#Headers],[A5]],Database_Productkaarten[#All],14,FALSE),0)*Baseline!I58)),0)</f>
        <v>0</v>
      </c>
      <c r="J56" s="265"/>
      <c r="K56" s="265">
        <f>(IF(Baseline!C58="Nieuwe Situatie",(SUM(Referentie_MKI_Totaal[[#This Row],[A1]:[B1]],Referentie_MKI_Totaal[[#This Row],[C1]:[D2]])*Baseline!R58),0))</f>
        <v>0</v>
      </c>
      <c r="L56" s="265">
        <f>IF(Baseline!C58="Bestaande situatie",IF(_xlfn.IFNA((VLOOKUP(Baseline!Y58,Database_Asfalt_Verwijderset[#All],7,FALSE)*Baseline!I58),0)+_xlfn.IFNA(VLOOKUP(Baseline!Z58,Database_Brandstoffen[#All],7,FALSE)*((Baseline!I58/Baseline!AB58)*Baseline!AA58),0)&gt;0,_xlfn.IFNA((VLOOKUP(Baseline!Y58,Database_Asfalt_Verwijderset[#All],7,FALSE)*Baseline!I58),0)+_xlfn.IFNA(VLOOKUP(Baseline!Z58,Database_Brandstoffen[#All],7,FALSE)*((Baseline!I58/Baseline!AB58)*Baseline!AA58),0),(_xlfn.IFNA(VLOOKUP(Referentie_MKI_Totaal[[#This Row],[Product]]&amp;", "&amp;Referentie_MKI_Totaal[[#Headers],[C1]],Database_Productkaarten[#All],14,FALSE),0)*Baseline!I58)),0)</f>
        <v>0</v>
      </c>
      <c r="M56" s="265">
        <f>IF(Baseline!AD58=0,(IF(Baseline!C58="Bestaande Situatie",(_xlfn.IFNA(VLOOKUP(Referentie_MKI_Totaal[[#This Row],[Product]]&amp;", "&amp;Referentie_MKI_Totaal[[#Headers],[C2]],Database_Productkaarten[#All],14,FALSE),0)*Baseline!I58),0)),(IF(Baseline!C58="Bestaande Situatie",_xlfn.IFNA(VLOOKUP(Baseline!AD58,Database_Transport[#All],7,FALSE)*(Baseline!Q58*Baseline!AC58),0))))</f>
        <v>0</v>
      </c>
      <c r="N56" s="265">
        <f>(IF(Baseline!C58="Bestaande Situatie",(_xlfn.IFNA(VLOOKUP(Referentie_MKI_Totaal[[#This Row],[Product]]&amp;", "&amp;Referentie_MKI_Totaal[[#Headers],[C3]],Database_Productkaarten[#All],14,FALSE),0)*Baseline!I58),0))</f>
        <v>0</v>
      </c>
      <c r="O56" s="265">
        <f>(IF(Baseline!C58="Bestaande Situatie",(_xlfn.IFNA(VLOOKUP(Referentie_MKI_Totaal[[#This Row],[Product]]&amp;", "&amp;Referentie_MKI_Totaal[[#Headers],[C4]],Database_Productkaarten[#All],14,FALSE),0)*Baseline!I58),0))</f>
        <v>0</v>
      </c>
      <c r="P56" s="265">
        <f>(IF(Baseline!C58="Bestaande Situatie",(_xlfn.IFNA(VLOOKUP(Referentie_MKI_Totaal[[#This Row],[Product]]&amp;", "&amp;Referentie_MKI_Totaal[[#Headers],[D1]],Database_Productkaarten[#All],14,FALSE),0)*Baseline!I58),0))</f>
        <v>0</v>
      </c>
      <c r="Q56" s="265">
        <f>(IF(Baseline!C58="Bestaande Situatie",_xlfn.IFNA(VLOOKUP(Referentie_MKI_Totaal[[#This Row],[Product]]&amp;", "&amp;Referentie_MKI_Totaal[[#Headers],[D2]],Database_Productkaarten[#All],14,FALSE),0)*Baseline!I58,0))</f>
        <v>0</v>
      </c>
      <c r="R56" s="265">
        <f>(IF(Baseline!C58="Bestaande Situatie",(_xlfn.IFNA(VLOOKUP(Referentie_MKI_Totaal[[#This Row],[Product]]&amp;", "&amp;Referentie_MKI_Totaal[[#Headers],[D]],Database_Productkaarten[#All],14,FALSE),0)*Baseline!I58),0))</f>
        <v>0</v>
      </c>
      <c r="S56" s="266">
        <f>SUM(Referentie_MKI_Totaal[[#This Row],[A1-A3]:[C4]])+Referentie_MKI_Totaal[[#This Row],[D]]</f>
        <v>0</v>
      </c>
      <c r="V56" s="331" t="e">
        <f>SUM(Referentie_MKI_Totaal[[#This Row],[A1-A3]]+Referentie_MKI_Totaal[[#This Row],[A4]]+Referentie_MKI_Totaal[[#This Row],[C2]]+Referentie_MKI_Totaal[[#This Row],[C3]]+Referentie_MKI_Totaal[[#This Row],[C4]]+Referentie_MKI_Totaal[[#This Row],[D]])*(VLOOKUP(Referentie_MKI_Totaal[[#This Row],[Product]]&amp;", "&amp;Referentie_MKI_Totaal[[#Headers],[A5]],Database_Productkaarten[#All],66,FALSE))</f>
        <v>#N/A</v>
      </c>
    </row>
    <row r="57" spans="2:22" hidden="1">
      <c r="B57" s="263">
        <f>Baseline!B59</f>
        <v>0</v>
      </c>
      <c r="C57" s="264">
        <f>Baseline!F59</f>
        <v>0</v>
      </c>
      <c r="D57" s="265">
        <f>(IF(Baseline!C59="Nieuwe Situatie",(_xlfn.IFNA(VLOOKUP(Referentie_MKI_Totaal[[#This Row],[Product]]&amp;", "&amp;Referentie_MKI_Totaal[[#Headers],[A1]],Database_Productkaarten[#All],14,FALSE),0)*Baseline!I59),0))</f>
        <v>0</v>
      </c>
      <c r="E57" s="265">
        <f>(IF(Baseline!C59="Nieuwe Situatie",(_xlfn.IFNA(VLOOKUP(Referentie_MKI_Totaal[[#This Row],[Product]]&amp;", "&amp;Referentie_MKI_Totaal[[#Headers],[A2]],Database_Productkaarten[#All],14,FALSE),0)*Baseline!I59),0))</f>
        <v>0</v>
      </c>
      <c r="F57" s="265">
        <f>(IF(Baseline!C59="Nieuwe Situatie",(_xlfn.IFNA(VLOOKUP(Referentie_MKI_Totaal[[#This Row],[Product]]&amp;", "&amp;Referentie_MKI_Totaal[[#Headers],[A3]],Database_Productkaarten[#All],14,FALSE),0)*Baseline!I59),0))</f>
        <v>0</v>
      </c>
      <c r="G57" s="265">
        <f>(IF(Baseline!C59="Nieuwe Situatie",(_xlfn.IFNA(VLOOKUP(Referentie_MKI_Totaal[[#This Row],[Product]]&amp;", "&amp;Referentie_MKI_Totaal[[#Headers],[A1-A3]],Database_Productkaarten[#All],14,FALSE),0)*Baseline!I59),0))</f>
        <v>0</v>
      </c>
      <c r="H57" s="265">
        <f>IF(Baseline!T59=0,(IF(Baseline!C59="Nieuwe Situatie",(_xlfn.IFNA(VLOOKUP(Referentie_MKI_Totaal[[#This Row],[Product]]&amp;", "&amp;Referentie_MKI_Totaal[[#Headers],[A4]],Database_Productkaarten[#All],14,FALSE),0)*Baseline!Q59),0)),(IF(Baseline!C59="Nieuwe Situatie",_xlfn.IFNA(VLOOKUP(Baseline!T59,Database_Transport[#All],7,FALSE)*(Baseline!Q59*Baseline!S59),0))))</f>
        <v>0</v>
      </c>
      <c r="I57" s="265">
        <f>IF(Baseline!C59="Nieuwe situatie",IF(_xlfn.IFNA((VLOOKUP(Baseline!U59,Database_Asfalt_Aanlegset[#All],7,FALSE)*Baseline!I59),0)+_xlfn.IFNA(VLOOKUP(Baseline!V59,Database_Brandstoffen[#All],7,FALSE)*((Baseline!I59/Baseline!X59)*Baseline!W59),0)&gt;0,_xlfn.IFNA((VLOOKUP(Baseline!U59,Database_Asfalt_Aanlegset[#All],7,FALSE)*Baseline!I59),0)+_xlfn.IFNA(VLOOKUP(Baseline!V59,Database_Brandstoffen[#All],7,FALSE)*((Baseline!I59/Baseline!X59)*Baseline!W59),0),(_xlfn.IFNA(VLOOKUP(Referentie_MKI_Totaal[[#This Row],[Product]]&amp;", "&amp;Referentie_MKI_Totaal[[#Headers],[A5]],Database_Productkaarten[#All],14,FALSE),0)*Baseline!I59)),0)</f>
        <v>0</v>
      </c>
      <c r="J57" s="265"/>
      <c r="K57" s="265">
        <f>(IF(Baseline!C59="Nieuwe Situatie",(SUM(Referentie_MKI_Totaal[[#This Row],[A1]:[B1]],Referentie_MKI_Totaal[[#This Row],[C1]:[D2]])*Baseline!R59),0))</f>
        <v>0</v>
      </c>
      <c r="L57" s="265">
        <f>IF(Baseline!C59="Bestaande situatie",IF(_xlfn.IFNA((VLOOKUP(Baseline!Y59,Database_Asfalt_Verwijderset[#All],7,FALSE)*Baseline!I59),0)+_xlfn.IFNA(VLOOKUP(Baseline!Z59,Database_Brandstoffen[#All],7,FALSE)*((Baseline!I59/Baseline!AB59)*Baseline!AA59),0)&gt;0,_xlfn.IFNA((VLOOKUP(Baseline!Y59,Database_Asfalt_Verwijderset[#All],7,FALSE)*Baseline!I59),0)+_xlfn.IFNA(VLOOKUP(Baseline!Z59,Database_Brandstoffen[#All],7,FALSE)*((Baseline!I59/Baseline!AB59)*Baseline!AA59),0),(_xlfn.IFNA(VLOOKUP(Referentie_MKI_Totaal[[#This Row],[Product]]&amp;", "&amp;Referentie_MKI_Totaal[[#Headers],[C1]],Database_Productkaarten[#All],14,FALSE),0)*Baseline!I59)),0)</f>
        <v>0</v>
      </c>
      <c r="M57" s="265">
        <f>IF(Baseline!AD59=0,(IF(Baseline!C59="Bestaande Situatie",(_xlfn.IFNA(VLOOKUP(Referentie_MKI_Totaal[[#This Row],[Product]]&amp;", "&amp;Referentie_MKI_Totaal[[#Headers],[C2]],Database_Productkaarten[#All],14,FALSE),0)*Baseline!I59),0)),(IF(Baseline!C59="Bestaande Situatie",_xlfn.IFNA(VLOOKUP(Baseline!AD59,Database_Transport[#All],7,FALSE)*(Baseline!Q59*Baseline!AC59),0))))</f>
        <v>0</v>
      </c>
      <c r="N57" s="265">
        <f>(IF(Baseline!C59="Bestaande Situatie",(_xlfn.IFNA(VLOOKUP(Referentie_MKI_Totaal[[#This Row],[Product]]&amp;", "&amp;Referentie_MKI_Totaal[[#Headers],[C3]],Database_Productkaarten[#All],14,FALSE),0)*Baseline!I59),0))</f>
        <v>0</v>
      </c>
      <c r="O57" s="265">
        <f>(IF(Baseline!C59="Bestaande Situatie",(_xlfn.IFNA(VLOOKUP(Referentie_MKI_Totaal[[#This Row],[Product]]&amp;", "&amp;Referentie_MKI_Totaal[[#Headers],[C4]],Database_Productkaarten[#All],14,FALSE),0)*Baseline!I59),0))</f>
        <v>0</v>
      </c>
      <c r="P57" s="265">
        <f>(IF(Baseline!C59="Bestaande Situatie",(_xlfn.IFNA(VLOOKUP(Referentie_MKI_Totaal[[#This Row],[Product]]&amp;", "&amp;Referentie_MKI_Totaal[[#Headers],[D1]],Database_Productkaarten[#All],14,FALSE),0)*Baseline!I59),0))</f>
        <v>0</v>
      </c>
      <c r="Q57" s="265">
        <f>(IF(Baseline!C59="Bestaande Situatie",_xlfn.IFNA(VLOOKUP(Referentie_MKI_Totaal[[#This Row],[Product]]&amp;", "&amp;Referentie_MKI_Totaal[[#Headers],[D2]],Database_Productkaarten[#All],14,FALSE),0)*Baseline!I59,0))</f>
        <v>0</v>
      </c>
      <c r="R57" s="265">
        <f>(IF(Baseline!C59="Bestaande Situatie",(_xlfn.IFNA(VLOOKUP(Referentie_MKI_Totaal[[#This Row],[Product]]&amp;", "&amp;Referentie_MKI_Totaal[[#Headers],[D]],Database_Productkaarten[#All],14,FALSE),0)*Baseline!I59),0))</f>
        <v>0</v>
      </c>
      <c r="S57" s="266">
        <f>SUM(Referentie_MKI_Totaal[[#This Row],[A1-A3]:[C4]])+Referentie_MKI_Totaal[[#This Row],[D]]</f>
        <v>0</v>
      </c>
      <c r="V57" s="331" t="e">
        <f>SUM(Referentie_MKI_Totaal[[#This Row],[A1-A3]]+Referentie_MKI_Totaal[[#This Row],[A4]]+Referentie_MKI_Totaal[[#This Row],[C2]]+Referentie_MKI_Totaal[[#This Row],[C3]]+Referentie_MKI_Totaal[[#This Row],[C4]]+Referentie_MKI_Totaal[[#This Row],[D]])*(VLOOKUP(Referentie_MKI_Totaal[[#This Row],[Product]]&amp;", "&amp;Referentie_MKI_Totaal[[#Headers],[A5]],Database_Productkaarten[#All],66,FALSE))</f>
        <v>#N/A</v>
      </c>
    </row>
    <row r="58" spans="2:22" hidden="1">
      <c r="B58" s="263">
        <f>Baseline!B60</f>
        <v>0</v>
      </c>
      <c r="C58" s="264">
        <f>Baseline!F60</f>
        <v>0</v>
      </c>
      <c r="D58" s="265">
        <f>(IF(Baseline!C60="Nieuwe Situatie",(_xlfn.IFNA(VLOOKUP(Referentie_MKI_Totaal[[#This Row],[Product]]&amp;", "&amp;Referentie_MKI_Totaal[[#Headers],[A1]],Database_Productkaarten[#All],14,FALSE),0)*Baseline!I60),0))</f>
        <v>0</v>
      </c>
      <c r="E58" s="265">
        <f>(IF(Baseline!C60="Nieuwe Situatie",(_xlfn.IFNA(VLOOKUP(Referentie_MKI_Totaal[[#This Row],[Product]]&amp;", "&amp;Referentie_MKI_Totaal[[#Headers],[A2]],Database_Productkaarten[#All],14,FALSE),0)*Baseline!I60),0))</f>
        <v>0</v>
      </c>
      <c r="F58" s="265">
        <f>(IF(Baseline!C60="Nieuwe Situatie",(_xlfn.IFNA(VLOOKUP(Referentie_MKI_Totaal[[#This Row],[Product]]&amp;", "&amp;Referentie_MKI_Totaal[[#Headers],[A3]],Database_Productkaarten[#All],14,FALSE),0)*Baseline!I60),0))</f>
        <v>0</v>
      </c>
      <c r="G58" s="265">
        <f>(IF(Baseline!C60="Nieuwe Situatie",(_xlfn.IFNA(VLOOKUP(Referentie_MKI_Totaal[[#This Row],[Product]]&amp;", "&amp;Referentie_MKI_Totaal[[#Headers],[A1-A3]],Database_Productkaarten[#All],14,FALSE),0)*Baseline!I60),0))</f>
        <v>0</v>
      </c>
      <c r="H58" s="265">
        <f>IF(Baseline!T60=0,(IF(Baseline!C60="Nieuwe Situatie",(_xlfn.IFNA(VLOOKUP(Referentie_MKI_Totaal[[#This Row],[Product]]&amp;", "&amp;Referentie_MKI_Totaal[[#Headers],[A4]],Database_Productkaarten[#All],14,FALSE),0)*Baseline!Q60),0)),(IF(Baseline!C60="Nieuwe Situatie",_xlfn.IFNA(VLOOKUP(Baseline!T60,Database_Transport[#All],7,FALSE)*(Baseline!Q60*Baseline!S60),0))))</f>
        <v>0</v>
      </c>
      <c r="I58" s="265">
        <f>IF(Baseline!C60="Nieuwe situatie",IF(_xlfn.IFNA((VLOOKUP(Baseline!U60,Database_Asfalt_Aanlegset[#All],7,FALSE)*Baseline!I60),0)+_xlfn.IFNA(VLOOKUP(Baseline!V60,Database_Brandstoffen[#All],7,FALSE)*((Baseline!I60/Baseline!X60)*Baseline!W60),0)&gt;0,_xlfn.IFNA((VLOOKUP(Baseline!U60,Database_Asfalt_Aanlegset[#All],7,FALSE)*Baseline!I60),0)+_xlfn.IFNA(VLOOKUP(Baseline!V60,Database_Brandstoffen[#All],7,FALSE)*((Baseline!I60/Baseline!X60)*Baseline!W60),0),(_xlfn.IFNA(VLOOKUP(Referentie_MKI_Totaal[[#This Row],[Product]]&amp;", "&amp;Referentie_MKI_Totaal[[#Headers],[A5]],Database_Productkaarten[#All],14,FALSE),0)*Baseline!I60)),0)</f>
        <v>0</v>
      </c>
      <c r="J58" s="265"/>
      <c r="K58" s="265">
        <f>(IF(Baseline!C60="Nieuwe Situatie",(SUM(Referentie_MKI_Totaal[[#This Row],[A1]:[B1]],Referentie_MKI_Totaal[[#This Row],[C1]:[D2]])*Baseline!R60),0))</f>
        <v>0</v>
      </c>
      <c r="L58" s="265">
        <f>IF(Baseline!C60="Bestaande situatie",IF(_xlfn.IFNA((VLOOKUP(Baseline!Y60,Database_Asfalt_Verwijderset[#All],7,FALSE)*Baseline!I60),0)+_xlfn.IFNA(VLOOKUP(Baseline!Z60,Database_Brandstoffen[#All],7,FALSE)*((Baseline!I60/Baseline!AB60)*Baseline!AA60),0)&gt;0,_xlfn.IFNA((VLOOKUP(Baseline!Y60,Database_Asfalt_Verwijderset[#All],7,FALSE)*Baseline!I60),0)+_xlfn.IFNA(VLOOKUP(Baseline!Z60,Database_Brandstoffen[#All],7,FALSE)*((Baseline!I60/Baseline!AB60)*Baseline!AA60),0),(_xlfn.IFNA(VLOOKUP(Referentie_MKI_Totaal[[#This Row],[Product]]&amp;", "&amp;Referentie_MKI_Totaal[[#Headers],[C1]],Database_Productkaarten[#All],14,FALSE),0)*Baseline!I60)),0)</f>
        <v>0</v>
      </c>
      <c r="M58" s="265">
        <f>IF(Baseline!AD60=0,(IF(Baseline!C60="Bestaande Situatie",(_xlfn.IFNA(VLOOKUP(Referentie_MKI_Totaal[[#This Row],[Product]]&amp;", "&amp;Referentie_MKI_Totaal[[#Headers],[C2]],Database_Productkaarten[#All],14,FALSE),0)*Baseline!I60),0)),(IF(Baseline!C60="Bestaande Situatie",_xlfn.IFNA(VLOOKUP(Baseline!AD60,Database_Transport[#All],7,FALSE)*(Baseline!Q60*Baseline!AC60),0))))</f>
        <v>0</v>
      </c>
      <c r="N58" s="265">
        <f>(IF(Baseline!C60="Bestaande Situatie",(_xlfn.IFNA(VLOOKUP(Referentie_MKI_Totaal[[#This Row],[Product]]&amp;", "&amp;Referentie_MKI_Totaal[[#Headers],[C3]],Database_Productkaarten[#All],14,FALSE),0)*Baseline!I60),0))</f>
        <v>0</v>
      </c>
      <c r="O58" s="265">
        <f>(IF(Baseline!C60="Bestaande Situatie",(_xlfn.IFNA(VLOOKUP(Referentie_MKI_Totaal[[#This Row],[Product]]&amp;", "&amp;Referentie_MKI_Totaal[[#Headers],[C4]],Database_Productkaarten[#All],14,FALSE),0)*Baseline!I60),0))</f>
        <v>0</v>
      </c>
      <c r="P58" s="265">
        <f>(IF(Baseline!C60="Bestaande Situatie",(_xlfn.IFNA(VLOOKUP(Referentie_MKI_Totaal[[#This Row],[Product]]&amp;", "&amp;Referentie_MKI_Totaal[[#Headers],[D1]],Database_Productkaarten[#All],14,FALSE),0)*Baseline!I60),0))</f>
        <v>0</v>
      </c>
      <c r="Q58" s="265">
        <f>(IF(Baseline!C60="Bestaande Situatie",_xlfn.IFNA(VLOOKUP(Referentie_MKI_Totaal[[#This Row],[Product]]&amp;", "&amp;Referentie_MKI_Totaal[[#Headers],[D2]],Database_Productkaarten[#All],14,FALSE),0)*Baseline!I60,0))</f>
        <v>0</v>
      </c>
      <c r="R58" s="265">
        <f>(IF(Baseline!C60="Bestaande Situatie",(_xlfn.IFNA(VLOOKUP(Referentie_MKI_Totaal[[#This Row],[Product]]&amp;", "&amp;Referentie_MKI_Totaal[[#Headers],[D]],Database_Productkaarten[#All],14,FALSE),0)*Baseline!I60),0))</f>
        <v>0</v>
      </c>
      <c r="S58" s="266">
        <f>SUM(Referentie_MKI_Totaal[[#This Row],[A1-A3]:[C4]])+Referentie_MKI_Totaal[[#This Row],[D]]</f>
        <v>0</v>
      </c>
      <c r="V58" s="331" t="e">
        <f>SUM(Referentie_MKI_Totaal[[#This Row],[A1-A3]]+Referentie_MKI_Totaal[[#This Row],[A4]]+Referentie_MKI_Totaal[[#This Row],[C2]]+Referentie_MKI_Totaal[[#This Row],[C3]]+Referentie_MKI_Totaal[[#This Row],[C4]]+Referentie_MKI_Totaal[[#This Row],[D]])*(VLOOKUP(Referentie_MKI_Totaal[[#This Row],[Product]]&amp;", "&amp;Referentie_MKI_Totaal[[#Headers],[A5]],Database_Productkaarten[#All],66,FALSE))</f>
        <v>#N/A</v>
      </c>
    </row>
    <row r="59" spans="2:22" hidden="1">
      <c r="B59" s="263">
        <f>Baseline!B61</f>
        <v>0</v>
      </c>
      <c r="C59" s="264">
        <f>Baseline!F61</f>
        <v>0</v>
      </c>
      <c r="D59" s="265">
        <f>(IF(Baseline!C61="Nieuwe Situatie",(_xlfn.IFNA(VLOOKUP(Referentie_MKI_Totaal[[#This Row],[Product]]&amp;", "&amp;Referentie_MKI_Totaal[[#Headers],[A1]],Database_Productkaarten[#All],14,FALSE),0)*Baseline!I61),0))</f>
        <v>0</v>
      </c>
      <c r="E59" s="265">
        <f>(IF(Baseline!C61="Nieuwe Situatie",(_xlfn.IFNA(VLOOKUP(Referentie_MKI_Totaal[[#This Row],[Product]]&amp;", "&amp;Referentie_MKI_Totaal[[#Headers],[A2]],Database_Productkaarten[#All],14,FALSE),0)*Baseline!I61),0))</f>
        <v>0</v>
      </c>
      <c r="F59" s="265">
        <f>(IF(Baseline!C61="Nieuwe Situatie",(_xlfn.IFNA(VLOOKUP(Referentie_MKI_Totaal[[#This Row],[Product]]&amp;", "&amp;Referentie_MKI_Totaal[[#Headers],[A3]],Database_Productkaarten[#All],14,FALSE),0)*Baseline!I61),0))</f>
        <v>0</v>
      </c>
      <c r="G59" s="265">
        <f>(IF(Baseline!C61="Nieuwe Situatie",(_xlfn.IFNA(VLOOKUP(Referentie_MKI_Totaal[[#This Row],[Product]]&amp;", "&amp;Referentie_MKI_Totaal[[#Headers],[A1-A3]],Database_Productkaarten[#All],14,FALSE),0)*Baseline!I61),0))</f>
        <v>0</v>
      </c>
      <c r="H59" s="265">
        <f>IF(Baseline!T61=0,(IF(Baseline!C61="Nieuwe Situatie",(_xlfn.IFNA(VLOOKUP(Referentie_MKI_Totaal[[#This Row],[Product]]&amp;", "&amp;Referentie_MKI_Totaal[[#Headers],[A4]],Database_Productkaarten[#All],14,FALSE),0)*Baseline!Q61),0)),(IF(Baseline!C61="Nieuwe Situatie",_xlfn.IFNA(VLOOKUP(Baseline!T61,Database_Transport[#All],7,FALSE)*(Baseline!Q61*Baseline!S61),0))))</f>
        <v>0</v>
      </c>
      <c r="I59" s="265">
        <f>IF(Baseline!C61="Nieuwe situatie",IF(_xlfn.IFNA((VLOOKUP(Baseline!U61,Database_Asfalt_Aanlegset[#All],7,FALSE)*Baseline!I61),0)+_xlfn.IFNA(VLOOKUP(Baseline!V61,Database_Brandstoffen[#All],7,FALSE)*((Baseline!I61/Baseline!X61)*Baseline!W61),0)&gt;0,_xlfn.IFNA((VLOOKUP(Baseline!U61,Database_Asfalt_Aanlegset[#All],7,FALSE)*Baseline!I61),0)+_xlfn.IFNA(VLOOKUP(Baseline!V61,Database_Brandstoffen[#All],7,FALSE)*((Baseline!I61/Baseline!X61)*Baseline!W61),0),(_xlfn.IFNA(VLOOKUP(Referentie_MKI_Totaal[[#This Row],[Product]]&amp;", "&amp;Referentie_MKI_Totaal[[#Headers],[A5]],Database_Productkaarten[#All],14,FALSE),0)*Baseline!I61)),0)</f>
        <v>0</v>
      </c>
      <c r="J59" s="265"/>
      <c r="K59" s="265">
        <f>(IF(Baseline!C61="Nieuwe Situatie",(SUM(Referentie_MKI_Totaal[[#This Row],[A1]:[B1]],Referentie_MKI_Totaal[[#This Row],[C1]:[D2]])*Baseline!R61),0))</f>
        <v>0</v>
      </c>
      <c r="L59" s="265">
        <f>IF(Baseline!C61="Bestaande situatie",IF(_xlfn.IFNA((VLOOKUP(Baseline!Y61,Database_Asfalt_Verwijderset[#All],7,FALSE)*Baseline!I61),0)+_xlfn.IFNA(VLOOKUP(Baseline!Z61,Database_Brandstoffen[#All],7,FALSE)*((Baseline!I61/Baseline!AB61)*Baseline!AA61),0)&gt;0,_xlfn.IFNA((VLOOKUP(Baseline!Y61,Database_Asfalt_Verwijderset[#All],7,FALSE)*Baseline!I61),0)+_xlfn.IFNA(VLOOKUP(Baseline!Z61,Database_Brandstoffen[#All],7,FALSE)*((Baseline!I61/Baseline!AB61)*Baseline!AA61),0),(_xlfn.IFNA(VLOOKUP(Referentie_MKI_Totaal[[#This Row],[Product]]&amp;", "&amp;Referentie_MKI_Totaal[[#Headers],[C1]],Database_Productkaarten[#All],14,FALSE),0)*Baseline!I61)),0)</f>
        <v>0</v>
      </c>
      <c r="M59" s="265">
        <f>IF(Baseline!AD61=0,(IF(Baseline!C61="Bestaande Situatie",(_xlfn.IFNA(VLOOKUP(Referentie_MKI_Totaal[[#This Row],[Product]]&amp;", "&amp;Referentie_MKI_Totaal[[#Headers],[C2]],Database_Productkaarten[#All],14,FALSE),0)*Baseline!I61),0)),(IF(Baseline!C61="Bestaande Situatie",_xlfn.IFNA(VLOOKUP(Baseline!AD61,Database_Transport[#All],7,FALSE)*(Baseline!Q61*Baseline!AC61),0))))</f>
        <v>0</v>
      </c>
      <c r="N59" s="265">
        <f>(IF(Baseline!C61="Bestaande Situatie",(_xlfn.IFNA(VLOOKUP(Referentie_MKI_Totaal[[#This Row],[Product]]&amp;", "&amp;Referentie_MKI_Totaal[[#Headers],[C3]],Database_Productkaarten[#All],14,FALSE),0)*Baseline!I61),0))</f>
        <v>0</v>
      </c>
      <c r="O59" s="265">
        <f>(IF(Baseline!C61="Bestaande Situatie",(_xlfn.IFNA(VLOOKUP(Referentie_MKI_Totaal[[#This Row],[Product]]&amp;", "&amp;Referentie_MKI_Totaal[[#Headers],[C4]],Database_Productkaarten[#All],14,FALSE),0)*Baseline!I61),0))</f>
        <v>0</v>
      </c>
      <c r="P59" s="265">
        <f>(IF(Baseline!C61="Bestaande Situatie",(_xlfn.IFNA(VLOOKUP(Referentie_MKI_Totaal[[#This Row],[Product]]&amp;", "&amp;Referentie_MKI_Totaal[[#Headers],[D1]],Database_Productkaarten[#All],14,FALSE),0)*Baseline!I61),0))</f>
        <v>0</v>
      </c>
      <c r="Q59" s="265">
        <f>(IF(Baseline!C61="Bestaande Situatie",_xlfn.IFNA(VLOOKUP(Referentie_MKI_Totaal[[#This Row],[Product]]&amp;", "&amp;Referentie_MKI_Totaal[[#Headers],[D2]],Database_Productkaarten[#All],14,FALSE),0)*Baseline!I61,0))</f>
        <v>0</v>
      </c>
      <c r="R59" s="265">
        <f>(IF(Baseline!C61="Bestaande Situatie",(_xlfn.IFNA(VLOOKUP(Referentie_MKI_Totaal[[#This Row],[Product]]&amp;", "&amp;Referentie_MKI_Totaal[[#Headers],[D]],Database_Productkaarten[#All],14,FALSE),0)*Baseline!I61),0))</f>
        <v>0</v>
      </c>
      <c r="S59" s="266">
        <f>SUM(Referentie_MKI_Totaal[[#This Row],[A1-A3]:[C4]])+Referentie_MKI_Totaal[[#This Row],[D]]</f>
        <v>0</v>
      </c>
      <c r="V59" s="331" t="e">
        <f>SUM(Referentie_MKI_Totaal[[#This Row],[A1-A3]]+Referentie_MKI_Totaal[[#This Row],[A4]]+Referentie_MKI_Totaal[[#This Row],[C2]]+Referentie_MKI_Totaal[[#This Row],[C3]]+Referentie_MKI_Totaal[[#This Row],[C4]]+Referentie_MKI_Totaal[[#This Row],[D]])*(VLOOKUP(Referentie_MKI_Totaal[[#This Row],[Product]]&amp;", "&amp;Referentie_MKI_Totaal[[#Headers],[A5]],Database_Productkaarten[#All],66,FALSE))</f>
        <v>#N/A</v>
      </c>
    </row>
    <row r="60" spans="2:22" hidden="1">
      <c r="B60" s="263">
        <f>Baseline!B62</f>
        <v>0</v>
      </c>
      <c r="C60" s="264">
        <f>Baseline!F62</f>
        <v>0</v>
      </c>
      <c r="D60" s="265">
        <f>(IF(Baseline!C62="Nieuwe Situatie",(_xlfn.IFNA(VLOOKUP(Referentie_MKI_Totaal[[#This Row],[Product]]&amp;", "&amp;Referentie_MKI_Totaal[[#Headers],[A1]],Database_Productkaarten[#All],14,FALSE),0)*Baseline!I62),0))</f>
        <v>0</v>
      </c>
      <c r="E60" s="265">
        <f>(IF(Baseline!C62="Nieuwe Situatie",(_xlfn.IFNA(VLOOKUP(Referentie_MKI_Totaal[[#This Row],[Product]]&amp;", "&amp;Referentie_MKI_Totaal[[#Headers],[A2]],Database_Productkaarten[#All],14,FALSE),0)*Baseline!I62),0))</f>
        <v>0</v>
      </c>
      <c r="F60" s="265">
        <f>(IF(Baseline!C62="Nieuwe Situatie",(_xlfn.IFNA(VLOOKUP(Referentie_MKI_Totaal[[#This Row],[Product]]&amp;", "&amp;Referentie_MKI_Totaal[[#Headers],[A3]],Database_Productkaarten[#All],14,FALSE),0)*Baseline!I62),0))</f>
        <v>0</v>
      </c>
      <c r="G60" s="265">
        <f>(IF(Baseline!C62="Nieuwe Situatie",(_xlfn.IFNA(VLOOKUP(Referentie_MKI_Totaal[[#This Row],[Product]]&amp;", "&amp;Referentie_MKI_Totaal[[#Headers],[A1-A3]],Database_Productkaarten[#All],14,FALSE),0)*Baseline!I62),0))</f>
        <v>0</v>
      </c>
      <c r="H60" s="265">
        <f>IF(Baseline!T62=0,(IF(Baseline!C62="Nieuwe Situatie",(_xlfn.IFNA(VLOOKUP(Referentie_MKI_Totaal[[#This Row],[Product]]&amp;", "&amp;Referentie_MKI_Totaal[[#Headers],[A4]],Database_Productkaarten[#All],14,FALSE),0)*Baseline!Q62),0)),(IF(Baseline!C62="Nieuwe Situatie",_xlfn.IFNA(VLOOKUP(Baseline!T62,Database_Transport[#All],7,FALSE)*(Baseline!Q62*Baseline!S62),0))))</f>
        <v>0</v>
      </c>
      <c r="I60" s="265">
        <f>IF(Baseline!C62="Nieuwe situatie",IF(_xlfn.IFNA((VLOOKUP(Baseline!U62,Database_Asfalt_Aanlegset[#All],7,FALSE)*Baseline!I62),0)+_xlfn.IFNA(VLOOKUP(Baseline!V62,Database_Brandstoffen[#All],7,FALSE)*((Baseline!I62/Baseline!X62)*Baseline!W62),0)&gt;0,_xlfn.IFNA((VLOOKUP(Baseline!U62,Database_Asfalt_Aanlegset[#All],7,FALSE)*Baseline!I62),0)+_xlfn.IFNA(VLOOKUP(Baseline!V62,Database_Brandstoffen[#All],7,FALSE)*((Baseline!I62/Baseline!X62)*Baseline!W62),0),(_xlfn.IFNA(VLOOKUP(Referentie_MKI_Totaal[[#This Row],[Product]]&amp;", "&amp;Referentie_MKI_Totaal[[#Headers],[A5]],Database_Productkaarten[#All],14,FALSE),0)*Baseline!I62)),0)</f>
        <v>0</v>
      </c>
      <c r="J60" s="265"/>
      <c r="K60" s="265">
        <f>(IF(Baseline!C62="Nieuwe Situatie",(SUM(Referentie_MKI_Totaal[[#This Row],[A1]:[B1]],Referentie_MKI_Totaal[[#This Row],[C1]:[D2]])*Baseline!R62),0))</f>
        <v>0</v>
      </c>
      <c r="L60" s="265">
        <f>IF(Baseline!C62="Bestaande situatie",IF(_xlfn.IFNA((VLOOKUP(Baseline!Y62,Database_Asfalt_Verwijderset[#All],7,FALSE)*Baseline!I62),0)+_xlfn.IFNA(VLOOKUP(Baseline!Z62,Database_Brandstoffen[#All],7,FALSE)*((Baseline!I62/Baseline!AB62)*Baseline!AA62),0)&gt;0,_xlfn.IFNA((VLOOKUP(Baseline!Y62,Database_Asfalt_Verwijderset[#All],7,FALSE)*Baseline!I62),0)+_xlfn.IFNA(VLOOKUP(Baseline!Z62,Database_Brandstoffen[#All],7,FALSE)*((Baseline!I62/Baseline!AB62)*Baseline!AA62),0),(_xlfn.IFNA(VLOOKUP(Referentie_MKI_Totaal[[#This Row],[Product]]&amp;", "&amp;Referentie_MKI_Totaal[[#Headers],[C1]],Database_Productkaarten[#All],14,FALSE),0)*Baseline!I62)),0)</f>
        <v>0</v>
      </c>
      <c r="M60" s="265">
        <f>IF(Baseline!AD62=0,(IF(Baseline!C62="Bestaande Situatie",(_xlfn.IFNA(VLOOKUP(Referentie_MKI_Totaal[[#This Row],[Product]]&amp;", "&amp;Referentie_MKI_Totaal[[#Headers],[C2]],Database_Productkaarten[#All],14,FALSE),0)*Baseline!I62),0)),(IF(Baseline!C62="Bestaande Situatie",_xlfn.IFNA(VLOOKUP(Baseline!AD62,Database_Transport[#All],7,FALSE)*(Baseline!Q62*Baseline!AC62),0))))</f>
        <v>0</v>
      </c>
      <c r="N60" s="265">
        <f>(IF(Baseline!C62="Bestaande Situatie",(_xlfn.IFNA(VLOOKUP(Referentie_MKI_Totaal[[#This Row],[Product]]&amp;", "&amp;Referentie_MKI_Totaal[[#Headers],[C3]],Database_Productkaarten[#All],14,FALSE),0)*Baseline!I62),0))</f>
        <v>0</v>
      </c>
      <c r="O60" s="265">
        <f>(IF(Baseline!C62="Bestaande Situatie",(_xlfn.IFNA(VLOOKUP(Referentie_MKI_Totaal[[#This Row],[Product]]&amp;", "&amp;Referentie_MKI_Totaal[[#Headers],[C4]],Database_Productkaarten[#All],14,FALSE),0)*Baseline!I62),0))</f>
        <v>0</v>
      </c>
      <c r="P60" s="265">
        <f>(IF(Baseline!C62="Bestaande Situatie",(_xlfn.IFNA(VLOOKUP(Referentie_MKI_Totaal[[#This Row],[Product]]&amp;", "&amp;Referentie_MKI_Totaal[[#Headers],[D1]],Database_Productkaarten[#All],14,FALSE),0)*Baseline!I62),0))</f>
        <v>0</v>
      </c>
      <c r="Q60" s="265">
        <f>(IF(Baseline!C62="Bestaande Situatie",_xlfn.IFNA(VLOOKUP(Referentie_MKI_Totaal[[#This Row],[Product]]&amp;", "&amp;Referentie_MKI_Totaal[[#Headers],[D2]],Database_Productkaarten[#All],14,FALSE),0)*Baseline!I62,0))</f>
        <v>0</v>
      </c>
      <c r="R60" s="265">
        <f>(IF(Baseline!C62="Bestaande Situatie",(_xlfn.IFNA(VLOOKUP(Referentie_MKI_Totaal[[#This Row],[Product]]&amp;", "&amp;Referentie_MKI_Totaal[[#Headers],[D]],Database_Productkaarten[#All],14,FALSE),0)*Baseline!I62),0))</f>
        <v>0</v>
      </c>
      <c r="S60" s="266">
        <f>SUM(Referentie_MKI_Totaal[[#This Row],[A1-A3]:[C4]])+Referentie_MKI_Totaal[[#This Row],[D]]</f>
        <v>0</v>
      </c>
      <c r="V60" s="331" t="e">
        <f>SUM(Referentie_MKI_Totaal[[#This Row],[A1-A3]]+Referentie_MKI_Totaal[[#This Row],[A4]]+Referentie_MKI_Totaal[[#This Row],[C2]]+Referentie_MKI_Totaal[[#This Row],[C3]]+Referentie_MKI_Totaal[[#This Row],[C4]]+Referentie_MKI_Totaal[[#This Row],[D]])*(VLOOKUP(Referentie_MKI_Totaal[[#This Row],[Product]]&amp;", "&amp;Referentie_MKI_Totaal[[#Headers],[A5]],Database_Productkaarten[#All],66,FALSE))</f>
        <v>#N/A</v>
      </c>
    </row>
    <row r="61" spans="2:22" hidden="1">
      <c r="B61" s="263">
        <f>Baseline!B63</f>
        <v>0</v>
      </c>
      <c r="C61" s="264">
        <f>Baseline!F63</f>
        <v>0</v>
      </c>
      <c r="D61" s="265">
        <f>(IF(Baseline!C63="Nieuwe Situatie",(_xlfn.IFNA(VLOOKUP(Referentie_MKI_Totaal[[#This Row],[Product]]&amp;", "&amp;Referentie_MKI_Totaal[[#Headers],[A1]],Database_Productkaarten[#All],14,FALSE),0)*Baseline!I63),0))</f>
        <v>0</v>
      </c>
      <c r="E61" s="265">
        <f>(IF(Baseline!C63="Nieuwe Situatie",(_xlfn.IFNA(VLOOKUP(Referentie_MKI_Totaal[[#This Row],[Product]]&amp;", "&amp;Referentie_MKI_Totaal[[#Headers],[A2]],Database_Productkaarten[#All],14,FALSE),0)*Baseline!I63),0))</f>
        <v>0</v>
      </c>
      <c r="F61" s="265">
        <f>(IF(Baseline!C63="Nieuwe Situatie",(_xlfn.IFNA(VLOOKUP(Referentie_MKI_Totaal[[#This Row],[Product]]&amp;", "&amp;Referentie_MKI_Totaal[[#Headers],[A3]],Database_Productkaarten[#All],14,FALSE),0)*Baseline!I63),0))</f>
        <v>0</v>
      </c>
      <c r="G61" s="265">
        <f>(IF(Baseline!C63="Nieuwe Situatie",(_xlfn.IFNA(VLOOKUP(Referentie_MKI_Totaal[[#This Row],[Product]]&amp;", "&amp;Referentie_MKI_Totaal[[#Headers],[A1-A3]],Database_Productkaarten[#All],14,FALSE),0)*Baseline!I63),0))</f>
        <v>0</v>
      </c>
      <c r="H61" s="265">
        <f>IF(Baseline!T63=0,(IF(Baseline!C63="Nieuwe Situatie",(_xlfn.IFNA(VLOOKUP(Referentie_MKI_Totaal[[#This Row],[Product]]&amp;", "&amp;Referentie_MKI_Totaal[[#Headers],[A4]],Database_Productkaarten[#All],14,FALSE),0)*Baseline!Q63),0)),(IF(Baseline!C63="Nieuwe Situatie",_xlfn.IFNA(VLOOKUP(Baseline!T63,Database_Transport[#All],7,FALSE)*(Baseline!Q63*Baseline!S63),0))))</f>
        <v>0</v>
      </c>
      <c r="I61" s="265">
        <f>IF(Baseline!C63="Nieuwe situatie",IF(_xlfn.IFNA((VLOOKUP(Baseline!U63,Database_Asfalt_Aanlegset[#All],7,FALSE)*Baseline!I63),0)+_xlfn.IFNA(VLOOKUP(Baseline!V63,Database_Brandstoffen[#All],7,FALSE)*((Baseline!I63/Baseline!X63)*Baseline!W63),0)&gt;0,_xlfn.IFNA((VLOOKUP(Baseline!U63,Database_Asfalt_Aanlegset[#All],7,FALSE)*Baseline!I63),0)+_xlfn.IFNA(VLOOKUP(Baseline!V63,Database_Brandstoffen[#All],7,FALSE)*((Baseline!I63/Baseline!X63)*Baseline!W63),0),(_xlfn.IFNA(VLOOKUP(Referentie_MKI_Totaal[[#This Row],[Product]]&amp;", "&amp;Referentie_MKI_Totaal[[#Headers],[A5]],Database_Productkaarten[#All],14,FALSE),0)*Baseline!I63)),0)</f>
        <v>0</v>
      </c>
      <c r="J61" s="265"/>
      <c r="K61" s="265">
        <f>(IF(Baseline!C63="Nieuwe Situatie",(SUM(Referentie_MKI_Totaal[[#This Row],[A1]:[B1]],Referentie_MKI_Totaal[[#This Row],[C1]:[D2]])*Baseline!R63),0))</f>
        <v>0</v>
      </c>
      <c r="L61" s="265">
        <f>IF(Baseline!C63="Bestaande situatie",IF(_xlfn.IFNA((VLOOKUP(Baseline!Y63,Database_Asfalt_Verwijderset[#All],7,FALSE)*Baseline!I63),0)+_xlfn.IFNA(VLOOKUP(Baseline!Z63,Database_Brandstoffen[#All],7,FALSE)*((Baseline!I63/Baseline!AB63)*Baseline!AA63),0)&gt;0,_xlfn.IFNA((VLOOKUP(Baseline!Y63,Database_Asfalt_Verwijderset[#All],7,FALSE)*Baseline!I63),0)+_xlfn.IFNA(VLOOKUP(Baseline!Z63,Database_Brandstoffen[#All],7,FALSE)*((Baseline!I63/Baseline!AB63)*Baseline!AA63),0),(_xlfn.IFNA(VLOOKUP(Referentie_MKI_Totaal[[#This Row],[Product]]&amp;", "&amp;Referentie_MKI_Totaal[[#Headers],[C1]],Database_Productkaarten[#All],14,FALSE),0)*Baseline!I63)),0)</f>
        <v>0</v>
      </c>
      <c r="M61" s="265">
        <f>IF(Baseline!AD63=0,(IF(Baseline!C63="Bestaande Situatie",(_xlfn.IFNA(VLOOKUP(Referentie_MKI_Totaal[[#This Row],[Product]]&amp;", "&amp;Referentie_MKI_Totaal[[#Headers],[C2]],Database_Productkaarten[#All],14,FALSE),0)*Baseline!I63),0)),(IF(Baseline!C63="Bestaande Situatie",_xlfn.IFNA(VLOOKUP(Baseline!AD63,Database_Transport[#All],7,FALSE)*(Baseline!Q63*Baseline!AC63),0))))</f>
        <v>0</v>
      </c>
      <c r="N61" s="265">
        <f>(IF(Baseline!C63="Bestaande Situatie",(_xlfn.IFNA(VLOOKUP(Referentie_MKI_Totaal[[#This Row],[Product]]&amp;", "&amp;Referentie_MKI_Totaal[[#Headers],[C3]],Database_Productkaarten[#All],14,FALSE),0)*Baseline!I63),0))</f>
        <v>0</v>
      </c>
      <c r="O61" s="265">
        <f>(IF(Baseline!C63="Bestaande Situatie",(_xlfn.IFNA(VLOOKUP(Referentie_MKI_Totaal[[#This Row],[Product]]&amp;", "&amp;Referentie_MKI_Totaal[[#Headers],[C4]],Database_Productkaarten[#All],14,FALSE),0)*Baseline!I63),0))</f>
        <v>0</v>
      </c>
      <c r="P61" s="265">
        <f>(IF(Baseline!C63="Bestaande Situatie",(_xlfn.IFNA(VLOOKUP(Referentie_MKI_Totaal[[#This Row],[Product]]&amp;", "&amp;Referentie_MKI_Totaal[[#Headers],[D1]],Database_Productkaarten[#All],14,FALSE),0)*Baseline!I63),0))</f>
        <v>0</v>
      </c>
      <c r="Q61" s="265">
        <f>(IF(Baseline!C63="Bestaande Situatie",_xlfn.IFNA(VLOOKUP(Referentie_MKI_Totaal[[#This Row],[Product]]&amp;", "&amp;Referentie_MKI_Totaal[[#Headers],[D2]],Database_Productkaarten[#All],14,FALSE),0)*Baseline!I63,0))</f>
        <v>0</v>
      </c>
      <c r="R61" s="265">
        <f>(IF(Baseline!C63="Bestaande Situatie",(_xlfn.IFNA(VLOOKUP(Referentie_MKI_Totaal[[#This Row],[Product]]&amp;", "&amp;Referentie_MKI_Totaal[[#Headers],[D]],Database_Productkaarten[#All],14,FALSE),0)*Baseline!I63),0))</f>
        <v>0</v>
      </c>
      <c r="S61" s="266">
        <f>SUM(Referentie_MKI_Totaal[[#This Row],[A1-A3]:[C4]])+Referentie_MKI_Totaal[[#This Row],[D]]</f>
        <v>0</v>
      </c>
      <c r="V61" s="331" t="e">
        <f>SUM(Referentie_MKI_Totaal[[#This Row],[A1-A3]]+Referentie_MKI_Totaal[[#This Row],[A4]]+Referentie_MKI_Totaal[[#This Row],[C2]]+Referentie_MKI_Totaal[[#This Row],[C3]]+Referentie_MKI_Totaal[[#This Row],[C4]]+Referentie_MKI_Totaal[[#This Row],[D]])*(VLOOKUP(Referentie_MKI_Totaal[[#This Row],[Product]]&amp;", "&amp;Referentie_MKI_Totaal[[#Headers],[A5]],Database_Productkaarten[#All],66,FALSE))</f>
        <v>#N/A</v>
      </c>
    </row>
    <row r="62" spans="2:22" hidden="1">
      <c r="B62" s="263">
        <f>Baseline!B64</f>
        <v>0</v>
      </c>
      <c r="C62" s="264">
        <f>Baseline!F64</f>
        <v>0</v>
      </c>
      <c r="D62" s="265">
        <f>(IF(Baseline!C64="Nieuwe Situatie",(_xlfn.IFNA(VLOOKUP(Referentie_MKI_Totaal[[#This Row],[Product]]&amp;", "&amp;Referentie_MKI_Totaal[[#Headers],[A1]],Database_Productkaarten[#All],14,FALSE),0)*Baseline!I64),0))</f>
        <v>0</v>
      </c>
      <c r="E62" s="265">
        <f>(IF(Baseline!C64="Nieuwe Situatie",(_xlfn.IFNA(VLOOKUP(Referentie_MKI_Totaal[[#This Row],[Product]]&amp;", "&amp;Referentie_MKI_Totaal[[#Headers],[A2]],Database_Productkaarten[#All],14,FALSE),0)*Baseline!I64),0))</f>
        <v>0</v>
      </c>
      <c r="F62" s="265">
        <f>(IF(Baseline!C64="Nieuwe Situatie",(_xlfn.IFNA(VLOOKUP(Referentie_MKI_Totaal[[#This Row],[Product]]&amp;", "&amp;Referentie_MKI_Totaal[[#Headers],[A3]],Database_Productkaarten[#All],14,FALSE),0)*Baseline!I64),0))</f>
        <v>0</v>
      </c>
      <c r="G62" s="265">
        <f>(IF(Baseline!C64="Nieuwe Situatie",(_xlfn.IFNA(VLOOKUP(Referentie_MKI_Totaal[[#This Row],[Product]]&amp;", "&amp;Referentie_MKI_Totaal[[#Headers],[A1-A3]],Database_Productkaarten[#All],14,FALSE),0)*Baseline!I64),0))</f>
        <v>0</v>
      </c>
      <c r="H62" s="265">
        <f>IF(Baseline!T64=0,(IF(Baseline!C64="Nieuwe Situatie",(_xlfn.IFNA(VLOOKUP(Referentie_MKI_Totaal[[#This Row],[Product]]&amp;", "&amp;Referentie_MKI_Totaal[[#Headers],[A4]],Database_Productkaarten[#All],14,FALSE),0)*Baseline!Q64),0)),(IF(Baseline!C64="Nieuwe Situatie",_xlfn.IFNA(VLOOKUP(Baseline!T64,Database_Transport[#All],7,FALSE)*(Baseline!Q64*Baseline!S64),0))))</f>
        <v>0</v>
      </c>
      <c r="I62" s="265">
        <f>IF(Baseline!C64="Nieuwe situatie",IF(_xlfn.IFNA((VLOOKUP(Baseline!U64,Database_Asfalt_Aanlegset[#All],7,FALSE)*Baseline!I64),0)+_xlfn.IFNA(VLOOKUP(Baseline!V64,Database_Brandstoffen[#All],7,FALSE)*((Baseline!I64/Baseline!X64)*Baseline!W64),0)&gt;0,_xlfn.IFNA((VLOOKUP(Baseline!U64,Database_Asfalt_Aanlegset[#All],7,FALSE)*Baseline!I64),0)+_xlfn.IFNA(VLOOKUP(Baseline!V64,Database_Brandstoffen[#All],7,FALSE)*((Baseline!I64/Baseline!X64)*Baseline!W64),0),(_xlfn.IFNA(VLOOKUP(Referentie_MKI_Totaal[[#This Row],[Product]]&amp;", "&amp;Referentie_MKI_Totaal[[#Headers],[A5]],Database_Productkaarten[#All],14,FALSE),0)*Baseline!I64)),0)</f>
        <v>0</v>
      </c>
      <c r="J62" s="265"/>
      <c r="K62" s="265">
        <f>(IF(Baseline!C64="Nieuwe Situatie",(SUM(Referentie_MKI_Totaal[[#This Row],[A1]:[B1]],Referentie_MKI_Totaal[[#This Row],[C1]:[D2]])*Baseline!R64),0))</f>
        <v>0</v>
      </c>
      <c r="L62" s="265">
        <f>IF(Baseline!C64="Bestaande situatie",IF(_xlfn.IFNA((VLOOKUP(Baseline!Y64,Database_Asfalt_Verwijderset[#All],7,FALSE)*Baseline!I64),0)+_xlfn.IFNA(VLOOKUP(Baseline!Z64,Database_Brandstoffen[#All],7,FALSE)*((Baseline!I64/Baseline!AB64)*Baseline!AA64),0)&gt;0,_xlfn.IFNA((VLOOKUP(Baseline!Y64,Database_Asfalt_Verwijderset[#All],7,FALSE)*Baseline!I64),0)+_xlfn.IFNA(VLOOKUP(Baseline!Z64,Database_Brandstoffen[#All],7,FALSE)*((Baseline!I64/Baseline!AB64)*Baseline!AA64),0),(_xlfn.IFNA(VLOOKUP(Referentie_MKI_Totaal[[#This Row],[Product]]&amp;", "&amp;Referentie_MKI_Totaal[[#Headers],[C1]],Database_Productkaarten[#All],14,FALSE),0)*Baseline!I64)),0)</f>
        <v>0</v>
      </c>
      <c r="M62" s="265">
        <f>IF(Baseline!AD64=0,(IF(Baseline!C64="Bestaande Situatie",(_xlfn.IFNA(VLOOKUP(Referentie_MKI_Totaal[[#This Row],[Product]]&amp;", "&amp;Referentie_MKI_Totaal[[#Headers],[C2]],Database_Productkaarten[#All],14,FALSE),0)*Baseline!I64),0)),(IF(Baseline!C64="Bestaande Situatie",_xlfn.IFNA(VLOOKUP(Baseline!AD64,Database_Transport[#All],7,FALSE)*(Baseline!Q64*Baseline!AC64),0))))</f>
        <v>0</v>
      </c>
      <c r="N62" s="265">
        <f>(IF(Baseline!C64="Bestaande Situatie",(_xlfn.IFNA(VLOOKUP(Referentie_MKI_Totaal[[#This Row],[Product]]&amp;", "&amp;Referentie_MKI_Totaal[[#Headers],[C3]],Database_Productkaarten[#All],14,FALSE),0)*Baseline!I64),0))</f>
        <v>0</v>
      </c>
      <c r="O62" s="265">
        <f>(IF(Baseline!C64="Bestaande Situatie",(_xlfn.IFNA(VLOOKUP(Referentie_MKI_Totaal[[#This Row],[Product]]&amp;", "&amp;Referentie_MKI_Totaal[[#Headers],[C4]],Database_Productkaarten[#All],14,FALSE),0)*Baseline!I64),0))</f>
        <v>0</v>
      </c>
      <c r="P62" s="265">
        <f>(IF(Baseline!C64="Bestaande Situatie",(_xlfn.IFNA(VLOOKUP(Referentie_MKI_Totaal[[#This Row],[Product]]&amp;", "&amp;Referentie_MKI_Totaal[[#Headers],[D1]],Database_Productkaarten[#All],14,FALSE),0)*Baseline!I64),0))</f>
        <v>0</v>
      </c>
      <c r="Q62" s="265">
        <f>(IF(Baseline!C64="Bestaande Situatie",_xlfn.IFNA(VLOOKUP(Referentie_MKI_Totaal[[#This Row],[Product]]&amp;", "&amp;Referentie_MKI_Totaal[[#Headers],[D2]],Database_Productkaarten[#All],14,FALSE),0)*Baseline!I64,0))</f>
        <v>0</v>
      </c>
      <c r="R62" s="265">
        <f>(IF(Baseline!C64="Bestaande Situatie",(_xlfn.IFNA(VLOOKUP(Referentie_MKI_Totaal[[#This Row],[Product]]&amp;", "&amp;Referentie_MKI_Totaal[[#Headers],[D]],Database_Productkaarten[#All],14,FALSE),0)*Baseline!I64),0))</f>
        <v>0</v>
      </c>
      <c r="S62" s="266">
        <f>SUM(Referentie_MKI_Totaal[[#This Row],[A1-A3]:[C4]])+Referentie_MKI_Totaal[[#This Row],[D]]</f>
        <v>0</v>
      </c>
      <c r="V62" s="331" t="e">
        <f>SUM(Referentie_MKI_Totaal[[#This Row],[A1-A3]]+Referentie_MKI_Totaal[[#This Row],[A4]]+Referentie_MKI_Totaal[[#This Row],[C2]]+Referentie_MKI_Totaal[[#This Row],[C3]]+Referentie_MKI_Totaal[[#This Row],[C4]]+Referentie_MKI_Totaal[[#This Row],[D]])*(VLOOKUP(Referentie_MKI_Totaal[[#This Row],[Product]]&amp;", "&amp;Referentie_MKI_Totaal[[#Headers],[A5]],Database_Productkaarten[#All],66,FALSE))</f>
        <v>#N/A</v>
      </c>
    </row>
    <row r="63" spans="2:22" hidden="1">
      <c r="B63" s="263">
        <f>Baseline!B65</f>
        <v>0</v>
      </c>
      <c r="C63" s="264">
        <f>Baseline!F65</f>
        <v>0</v>
      </c>
      <c r="D63" s="265">
        <f>(IF(Baseline!C65="Nieuwe Situatie",(_xlfn.IFNA(VLOOKUP(Referentie_MKI_Totaal[[#This Row],[Product]]&amp;", "&amp;Referentie_MKI_Totaal[[#Headers],[A1]],Database_Productkaarten[#All],14,FALSE),0)*Baseline!I65),0))</f>
        <v>0</v>
      </c>
      <c r="E63" s="265">
        <f>(IF(Baseline!C65="Nieuwe Situatie",(_xlfn.IFNA(VLOOKUP(Referentie_MKI_Totaal[[#This Row],[Product]]&amp;", "&amp;Referentie_MKI_Totaal[[#Headers],[A2]],Database_Productkaarten[#All],14,FALSE),0)*Baseline!I65),0))</f>
        <v>0</v>
      </c>
      <c r="F63" s="265">
        <f>(IF(Baseline!C65="Nieuwe Situatie",(_xlfn.IFNA(VLOOKUP(Referentie_MKI_Totaal[[#This Row],[Product]]&amp;", "&amp;Referentie_MKI_Totaal[[#Headers],[A3]],Database_Productkaarten[#All],14,FALSE),0)*Baseline!I65),0))</f>
        <v>0</v>
      </c>
      <c r="G63" s="265">
        <f>(IF(Baseline!C65="Nieuwe Situatie",(_xlfn.IFNA(VLOOKUP(Referentie_MKI_Totaal[[#This Row],[Product]]&amp;", "&amp;Referentie_MKI_Totaal[[#Headers],[A1-A3]],Database_Productkaarten[#All],14,FALSE),0)*Baseline!I65),0))</f>
        <v>0</v>
      </c>
      <c r="H63" s="265">
        <f>IF(Baseline!T65=0,(IF(Baseline!C65="Nieuwe Situatie",(_xlfn.IFNA(VLOOKUP(Referentie_MKI_Totaal[[#This Row],[Product]]&amp;", "&amp;Referentie_MKI_Totaal[[#Headers],[A4]],Database_Productkaarten[#All],14,FALSE),0)*Baseline!Q65),0)),(IF(Baseline!C65="Nieuwe Situatie",_xlfn.IFNA(VLOOKUP(Baseline!T65,Database_Transport[#All],7,FALSE)*(Baseline!Q65*Baseline!S65),0))))</f>
        <v>0</v>
      </c>
      <c r="I63" s="265">
        <f>IF(Baseline!C65="Nieuwe situatie",IF(_xlfn.IFNA((VLOOKUP(Baseline!U65,Database_Asfalt_Aanlegset[#All],7,FALSE)*Baseline!I65),0)+_xlfn.IFNA(VLOOKUP(Baseline!V65,Database_Brandstoffen[#All],7,FALSE)*((Baseline!I65/Baseline!X65)*Baseline!W65),0)&gt;0,_xlfn.IFNA((VLOOKUP(Baseline!U65,Database_Asfalt_Aanlegset[#All],7,FALSE)*Baseline!I65),0)+_xlfn.IFNA(VLOOKUP(Baseline!V65,Database_Brandstoffen[#All],7,FALSE)*((Baseline!I65/Baseline!X65)*Baseline!W65),0),(_xlfn.IFNA(VLOOKUP(Referentie_MKI_Totaal[[#This Row],[Product]]&amp;", "&amp;Referentie_MKI_Totaal[[#Headers],[A5]],Database_Productkaarten[#All],14,FALSE),0)*Baseline!I65)),0)</f>
        <v>0</v>
      </c>
      <c r="J63" s="265"/>
      <c r="K63" s="265">
        <f>(IF(Baseline!C65="Nieuwe Situatie",(SUM(Referentie_MKI_Totaal[[#This Row],[A1]:[B1]],Referentie_MKI_Totaal[[#This Row],[C1]:[D2]])*Baseline!R65),0))</f>
        <v>0</v>
      </c>
      <c r="L63" s="265">
        <f>IF(Baseline!C65="Bestaande situatie",IF(_xlfn.IFNA((VLOOKUP(Baseline!Y65,Database_Asfalt_Verwijderset[#All],7,FALSE)*Baseline!I65),0)+_xlfn.IFNA(VLOOKUP(Baseline!Z65,Database_Brandstoffen[#All],7,FALSE)*((Baseline!I65/Baseline!AB65)*Baseline!AA65),0)&gt;0,_xlfn.IFNA((VLOOKUP(Baseline!Y65,Database_Asfalt_Verwijderset[#All],7,FALSE)*Baseline!I65),0)+_xlfn.IFNA(VLOOKUP(Baseline!Z65,Database_Brandstoffen[#All],7,FALSE)*((Baseline!I65/Baseline!AB65)*Baseline!AA65),0),(_xlfn.IFNA(VLOOKUP(Referentie_MKI_Totaal[[#This Row],[Product]]&amp;", "&amp;Referentie_MKI_Totaal[[#Headers],[C1]],Database_Productkaarten[#All],14,FALSE),0)*Baseline!I65)),0)</f>
        <v>0</v>
      </c>
      <c r="M63" s="265">
        <f>IF(Baseline!AD65=0,(IF(Baseline!C65="Bestaande Situatie",(_xlfn.IFNA(VLOOKUP(Referentie_MKI_Totaal[[#This Row],[Product]]&amp;", "&amp;Referentie_MKI_Totaal[[#Headers],[C2]],Database_Productkaarten[#All],14,FALSE),0)*Baseline!I65),0)),(IF(Baseline!C65="Bestaande Situatie",_xlfn.IFNA(VLOOKUP(Baseline!AD65,Database_Transport[#All],7,FALSE)*(Baseline!Q65*Baseline!AC65),0))))</f>
        <v>0</v>
      </c>
      <c r="N63" s="265">
        <f>(IF(Baseline!C65="Bestaande Situatie",(_xlfn.IFNA(VLOOKUP(Referentie_MKI_Totaal[[#This Row],[Product]]&amp;", "&amp;Referentie_MKI_Totaal[[#Headers],[C3]],Database_Productkaarten[#All],14,FALSE),0)*Baseline!I65),0))</f>
        <v>0</v>
      </c>
      <c r="O63" s="265">
        <f>(IF(Baseline!C65="Bestaande Situatie",(_xlfn.IFNA(VLOOKUP(Referentie_MKI_Totaal[[#This Row],[Product]]&amp;", "&amp;Referentie_MKI_Totaal[[#Headers],[C4]],Database_Productkaarten[#All],14,FALSE),0)*Baseline!I65),0))</f>
        <v>0</v>
      </c>
      <c r="P63" s="265">
        <f>(IF(Baseline!C65="Bestaande Situatie",(_xlfn.IFNA(VLOOKUP(Referentie_MKI_Totaal[[#This Row],[Product]]&amp;", "&amp;Referentie_MKI_Totaal[[#Headers],[D1]],Database_Productkaarten[#All],14,FALSE),0)*Baseline!I65),0))</f>
        <v>0</v>
      </c>
      <c r="Q63" s="265">
        <f>(IF(Baseline!C65="Bestaande Situatie",_xlfn.IFNA(VLOOKUP(Referentie_MKI_Totaal[[#This Row],[Product]]&amp;", "&amp;Referentie_MKI_Totaal[[#Headers],[D2]],Database_Productkaarten[#All],14,FALSE),0)*Baseline!I65,0))</f>
        <v>0</v>
      </c>
      <c r="R63" s="265">
        <f>(IF(Baseline!C65="Bestaande Situatie",(_xlfn.IFNA(VLOOKUP(Referentie_MKI_Totaal[[#This Row],[Product]]&amp;", "&amp;Referentie_MKI_Totaal[[#Headers],[D]],Database_Productkaarten[#All],14,FALSE),0)*Baseline!I65),0))</f>
        <v>0</v>
      </c>
      <c r="S63" s="266">
        <f>SUM(Referentie_MKI_Totaal[[#This Row],[A1-A3]:[C4]])+Referentie_MKI_Totaal[[#This Row],[D]]</f>
        <v>0</v>
      </c>
      <c r="V63" s="331" t="e">
        <f>SUM(Referentie_MKI_Totaal[[#This Row],[A1-A3]]+Referentie_MKI_Totaal[[#This Row],[A4]]+Referentie_MKI_Totaal[[#This Row],[C2]]+Referentie_MKI_Totaal[[#This Row],[C3]]+Referentie_MKI_Totaal[[#This Row],[C4]]+Referentie_MKI_Totaal[[#This Row],[D]])*(VLOOKUP(Referentie_MKI_Totaal[[#This Row],[Product]]&amp;", "&amp;Referentie_MKI_Totaal[[#Headers],[A5]],Database_Productkaarten[#All],66,FALSE))</f>
        <v>#N/A</v>
      </c>
    </row>
    <row r="64" spans="2:22" hidden="1">
      <c r="B64" s="263">
        <f>Baseline!B66</f>
        <v>0</v>
      </c>
      <c r="C64" s="264">
        <f>Baseline!F66</f>
        <v>0</v>
      </c>
      <c r="D64" s="265">
        <f>(IF(Baseline!C66="Nieuwe Situatie",(_xlfn.IFNA(VLOOKUP(Referentie_MKI_Totaal[[#This Row],[Product]]&amp;", "&amp;Referentie_MKI_Totaal[[#Headers],[A1]],Database_Productkaarten[#All],14,FALSE),0)*Baseline!I66),0))</f>
        <v>0</v>
      </c>
      <c r="E64" s="265">
        <f>(IF(Baseline!C66="Nieuwe Situatie",(_xlfn.IFNA(VLOOKUP(Referentie_MKI_Totaal[[#This Row],[Product]]&amp;", "&amp;Referentie_MKI_Totaal[[#Headers],[A2]],Database_Productkaarten[#All],14,FALSE),0)*Baseline!I66),0))</f>
        <v>0</v>
      </c>
      <c r="F64" s="265">
        <f>(IF(Baseline!C66="Nieuwe Situatie",(_xlfn.IFNA(VLOOKUP(Referentie_MKI_Totaal[[#This Row],[Product]]&amp;", "&amp;Referentie_MKI_Totaal[[#Headers],[A3]],Database_Productkaarten[#All],14,FALSE),0)*Baseline!I66),0))</f>
        <v>0</v>
      </c>
      <c r="G64" s="265">
        <f>(IF(Baseline!C66="Nieuwe Situatie",(_xlfn.IFNA(VLOOKUP(Referentie_MKI_Totaal[[#This Row],[Product]]&amp;", "&amp;Referentie_MKI_Totaal[[#Headers],[A1-A3]],Database_Productkaarten[#All],14,FALSE),0)*Baseline!I66),0))</f>
        <v>0</v>
      </c>
      <c r="H64" s="265">
        <f>IF(Baseline!T66=0,(IF(Baseline!C66="Nieuwe Situatie",(_xlfn.IFNA(VLOOKUP(Referentie_MKI_Totaal[[#This Row],[Product]]&amp;", "&amp;Referentie_MKI_Totaal[[#Headers],[A4]],Database_Productkaarten[#All],14,FALSE),0)*Baseline!Q66),0)),(IF(Baseline!C66="Nieuwe Situatie",_xlfn.IFNA(VLOOKUP(Baseline!T66,Database_Transport[#All],7,FALSE)*(Baseline!Q66*Baseline!S66),0))))</f>
        <v>0</v>
      </c>
      <c r="I64" s="265">
        <f>IF(Baseline!C66="Nieuwe situatie",IF(_xlfn.IFNA((VLOOKUP(Baseline!U66,Database_Asfalt_Aanlegset[#All],7,FALSE)*Baseline!I66),0)+_xlfn.IFNA(VLOOKUP(Baseline!V66,Database_Brandstoffen[#All],7,FALSE)*((Baseline!I66/Baseline!X66)*Baseline!W66),0)&gt;0,_xlfn.IFNA((VLOOKUP(Baseline!U66,Database_Asfalt_Aanlegset[#All],7,FALSE)*Baseline!I66),0)+_xlfn.IFNA(VLOOKUP(Baseline!V66,Database_Brandstoffen[#All],7,FALSE)*((Baseline!I66/Baseline!X66)*Baseline!W66),0),(_xlfn.IFNA(VLOOKUP(Referentie_MKI_Totaal[[#This Row],[Product]]&amp;", "&amp;Referentie_MKI_Totaal[[#Headers],[A5]],Database_Productkaarten[#All],14,FALSE),0)*Baseline!I66)),0)</f>
        <v>0</v>
      </c>
      <c r="J64" s="265"/>
      <c r="K64" s="265">
        <f>(IF(Baseline!C66="Nieuwe Situatie",(SUM(Referentie_MKI_Totaal[[#This Row],[A1]:[B1]],Referentie_MKI_Totaal[[#This Row],[C1]:[D2]])*Baseline!R66),0))</f>
        <v>0</v>
      </c>
      <c r="L64" s="265">
        <f>IF(Baseline!C66="Bestaande situatie",IF(_xlfn.IFNA((VLOOKUP(Baseline!Y66,Database_Asfalt_Verwijderset[#All],7,FALSE)*Baseline!I66),0)+_xlfn.IFNA(VLOOKUP(Baseline!Z66,Database_Brandstoffen[#All],7,FALSE)*((Baseline!I66/Baseline!AB66)*Baseline!AA66),0)&gt;0,_xlfn.IFNA((VLOOKUP(Baseline!Y66,Database_Asfalt_Verwijderset[#All],7,FALSE)*Baseline!I66),0)+_xlfn.IFNA(VLOOKUP(Baseline!Z66,Database_Brandstoffen[#All],7,FALSE)*((Baseline!I66/Baseline!AB66)*Baseline!AA66),0),(_xlfn.IFNA(VLOOKUP(Referentie_MKI_Totaal[[#This Row],[Product]]&amp;", "&amp;Referentie_MKI_Totaal[[#Headers],[C1]],Database_Productkaarten[#All],14,FALSE),0)*Baseline!I66)),0)</f>
        <v>0</v>
      </c>
      <c r="M64" s="265">
        <f>IF(Baseline!AD66=0,(IF(Baseline!C66="Bestaande Situatie",(_xlfn.IFNA(VLOOKUP(Referentie_MKI_Totaal[[#This Row],[Product]]&amp;", "&amp;Referentie_MKI_Totaal[[#Headers],[C2]],Database_Productkaarten[#All],14,FALSE),0)*Baseline!I66),0)),(IF(Baseline!C66="Bestaande Situatie",_xlfn.IFNA(VLOOKUP(Baseline!AD66,Database_Transport[#All],7,FALSE)*(Baseline!Q66*Baseline!AC66),0))))</f>
        <v>0</v>
      </c>
      <c r="N64" s="265">
        <f>(IF(Baseline!C66="Bestaande Situatie",(_xlfn.IFNA(VLOOKUP(Referentie_MKI_Totaal[[#This Row],[Product]]&amp;", "&amp;Referentie_MKI_Totaal[[#Headers],[C3]],Database_Productkaarten[#All],14,FALSE),0)*Baseline!I66),0))</f>
        <v>0</v>
      </c>
      <c r="O64" s="265">
        <f>(IF(Baseline!C66="Bestaande Situatie",(_xlfn.IFNA(VLOOKUP(Referentie_MKI_Totaal[[#This Row],[Product]]&amp;", "&amp;Referentie_MKI_Totaal[[#Headers],[C4]],Database_Productkaarten[#All],14,FALSE),0)*Baseline!I66),0))</f>
        <v>0</v>
      </c>
      <c r="P64" s="265">
        <f>(IF(Baseline!C66="Bestaande Situatie",(_xlfn.IFNA(VLOOKUP(Referentie_MKI_Totaal[[#This Row],[Product]]&amp;", "&amp;Referentie_MKI_Totaal[[#Headers],[D1]],Database_Productkaarten[#All],14,FALSE),0)*Baseline!I66),0))</f>
        <v>0</v>
      </c>
      <c r="Q64" s="265">
        <f>(IF(Baseline!C66="Bestaande Situatie",_xlfn.IFNA(VLOOKUP(Referentie_MKI_Totaal[[#This Row],[Product]]&amp;", "&amp;Referentie_MKI_Totaal[[#Headers],[D2]],Database_Productkaarten[#All],14,FALSE),0)*Baseline!I66,0))</f>
        <v>0</v>
      </c>
      <c r="R64" s="265">
        <f>(IF(Baseline!C66="Bestaande Situatie",(_xlfn.IFNA(VLOOKUP(Referentie_MKI_Totaal[[#This Row],[Product]]&amp;", "&amp;Referentie_MKI_Totaal[[#Headers],[D]],Database_Productkaarten[#All],14,FALSE),0)*Baseline!I66),0))</f>
        <v>0</v>
      </c>
      <c r="S64" s="266">
        <f>SUM(Referentie_MKI_Totaal[[#This Row],[A1-A3]:[C4]])+Referentie_MKI_Totaal[[#This Row],[D]]</f>
        <v>0</v>
      </c>
      <c r="V64" s="331" t="e">
        <f>SUM(Referentie_MKI_Totaal[[#This Row],[A1-A3]]+Referentie_MKI_Totaal[[#This Row],[A4]]+Referentie_MKI_Totaal[[#This Row],[C2]]+Referentie_MKI_Totaal[[#This Row],[C3]]+Referentie_MKI_Totaal[[#This Row],[C4]]+Referentie_MKI_Totaal[[#This Row],[D]])*(VLOOKUP(Referentie_MKI_Totaal[[#This Row],[Product]]&amp;", "&amp;Referentie_MKI_Totaal[[#Headers],[A5]],Database_Productkaarten[#All],66,FALSE))</f>
        <v>#N/A</v>
      </c>
    </row>
    <row r="65" spans="2:22" hidden="1">
      <c r="B65" s="263">
        <f>Baseline!B67</f>
        <v>0</v>
      </c>
      <c r="C65" s="264">
        <f>Baseline!F67</f>
        <v>0</v>
      </c>
      <c r="D65" s="265">
        <f>(IF(Baseline!C67="Nieuwe Situatie",(_xlfn.IFNA(VLOOKUP(Referentie_MKI_Totaal[[#This Row],[Product]]&amp;", "&amp;Referentie_MKI_Totaal[[#Headers],[A1]],Database_Productkaarten[#All],14,FALSE),0)*Baseline!I67),0))</f>
        <v>0</v>
      </c>
      <c r="E65" s="265">
        <f>(IF(Baseline!C67="Nieuwe Situatie",(_xlfn.IFNA(VLOOKUP(Referentie_MKI_Totaal[[#This Row],[Product]]&amp;", "&amp;Referentie_MKI_Totaal[[#Headers],[A2]],Database_Productkaarten[#All],14,FALSE),0)*Baseline!I67),0))</f>
        <v>0</v>
      </c>
      <c r="F65" s="265">
        <f>(IF(Baseline!C67="Nieuwe Situatie",(_xlfn.IFNA(VLOOKUP(Referentie_MKI_Totaal[[#This Row],[Product]]&amp;", "&amp;Referentie_MKI_Totaal[[#Headers],[A3]],Database_Productkaarten[#All],14,FALSE),0)*Baseline!I67),0))</f>
        <v>0</v>
      </c>
      <c r="G65" s="265">
        <f>(IF(Baseline!C67="Nieuwe Situatie",(_xlfn.IFNA(VLOOKUP(Referentie_MKI_Totaal[[#This Row],[Product]]&amp;", "&amp;Referentie_MKI_Totaal[[#Headers],[A1-A3]],Database_Productkaarten[#All],14,FALSE),0)*Baseline!I67),0))</f>
        <v>0</v>
      </c>
      <c r="H65" s="265">
        <f>IF(Baseline!T67=0,(IF(Baseline!C67="Nieuwe Situatie",(_xlfn.IFNA(VLOOKUP(Referentie_MKI_Totaal[[#This Row],[Product]]&amp;", "&amp;Referentie_MKI_Totaal[[#Headers],[A4]],Database_Productkaarten[#All],14,FALSE),0)*Baseline!Q67),0)),(IF(Baseline!C67="Nieuwe Situatie",_xlfn.IFNA(VLOOKUP(Baseline!T67,Database_Transport[#All],7,FALSE)*(Baseline!Q67*Baseline!S67),0))))</f>
        <v>0</v>
      </c>
      <c r="I65" s="265">
        <f>IF(Baseline!C67="Nieuwe situatie",IF(_xlfn.IFNA((VLOOKUP(Baseline!U67,Database_Asfalt_Aanlegset[#All],7,FALSE)*Baseline!I67),0)+_xlfn.IFNA(VLOOKUP(Baseline!V67,Database_Brandstoffen[#All],7,FALSE)*((Baseline!I67/Baseline!X67)*Baseline!W67),0)&gt;0,_xlfn.IFNA((VLOOKUP(Baseline!U67,Database_Asfalt_Aanlegset[#All],7,FALSE)*Baseline!I67),0)+_xlfn.IFNA(VLOOKUP(Baseline!V67,Database_Brandstoffen[#All],7,FALSE)*((Baseline!I67/Baseline!X67)*Baseline!W67),0),(_xlfn.IFNA(VLOOKUP(Referentie_MKI_Totaal[[#This Row],[Product]]&amp;", "&amp;Referentie_MKI_Totaal[[#Headers],[A5]],Database_Productkaarten[#All],14,FALSE),0)*Baseline!I67)),0)</f>
        <v>0</v>
      </c>
      <c r="J65" s="265"/>
      <c r="K65" s="265">
        <f>(IF(Baseline!C67="Nieuwe Situatie",(SUM(Referentie_MKI_Totaal[[#This Row],[A1]:[B1]],Referentie_MKI_Totaal[[#This Row],[C1]:[D2]])*Baseline!R67),0))</f>
        <v>0</v>
      </c>
      <c r="L65" s="265">
        <f>IF(Baseline!C67="Bestaande situatie",IF(_xlfn.IFNA((VLOOKUP(Baseline!Y67,Database_Asfalt_Verwijderset[#All],7,FALSE)*Baseline!I67),0)+_xlfn.IFNA(VLOOKUP(Baseline!Z67,Database_Brandstoffen[#All],7,FALSE)*((Baseline!I67/Baseline!AB67)*Baseline!AA67),0)&gt;0,_xlfn.IFNA((VLOOKUP(Baseline!Y67,Database_Asfalt_Verwijderset[#All],7,FALSE)*Baseline!I67),0)+_xlfn.IFNA(VLOOKUP(Baseline!Z67,Database_Brandstoffen[#All],7,FALSE)*((Baseline!I67/Baseline!AB67)*Baseline!AA67),0),(_xlfn.IFNA(VLOOKUP(Referentie_MKI_Totaal[[#This Row],[Product]]&amp;", "&amp;Referentie_MKI_Totaal[[#Headers],[C1]],Database_Productkaarten[#All],14,FALSE),0)*Baseline!I67)),0)</f>
        <v>0</v>
      </c>
      <c r="M65" s="265">
        <f>IF(Baseline!AD67=0,(IF(Baseline!C67="Bestaande Situatie",(_xlfn.IFNA(VLOOKUP(Referentie_MKI_Totaal[[#This Row],[Product]]&amp;", "&amp;Referentie_MKI_Totaal[[#Headers],[C2]],Database_Productkaarten[#All],14,FALSE),0)*Baseline!I67),0)),(IF(Baseline!C67="Bestaande Situatie",_xlfn.IFNA(VLOOKUP(Baseline!AD67,Database_Transport[#All],7,FALSE)*(Baseline!Q67*Baseline!AC67),0))))</f>
        <v>0</v>
      </c>
      <c r="N65" s="265">
        <f>(IF(Baseline!C67="Bestaande Situatie",(_xlfn.IFNA(VLOOKUP(Referentie_MKI_Totaal[[#This Row],[Product]]&amp;", "&amp;Referentie_MKI_Totaal[[#Headers],[C3]],Database_Productkaarten[#All],14,FALSE),0)*Baseline!I67),0))</f>
        <v>0</v>
      </c>
      <c r="O65" s="265">
        <f>(IF(Baseline!C67="Bestaande Situatie",(_xlfn.IFNA(VLOOKUP(Referentie_MKI_Totaal[[#This Row],[Product]]&amp;", "&amp;Referentie_MKI_Totaal[[#Headers],[C4]],Database_Productkaarten[#All],14,FALSE),0)*Baseline!I67),0))</f>
        <v>0</v>
      </c>
      <c r="P65" s="265">
        <f>(IF(Baseline!C67="Bestaande Situatie",(_xlfn.IFNA(VLOOKUP(Referentie_MKI_Totaal[[#This Row],[Product]]&amp;", "&amp;Referentie_MKI_Totaal[[#Headers],[D1]],Database_Productkaarten[#All],14,FALSE),0)*Baseline!I67),0))</f>
        <v>0</v>
      </c>
      <c r="Q65" s="265">
        <f>(IF(Baseline!C67="Bestaande Situatie",_xlfn.IFNA(VLOOKUP(Referentie_MKI_Totaal[[#This Row],[Product]]&amp;", "&amp;Referentie_MKI_Totaal[[#Headers],[D2]],Database_Productkaarten[#All],14,FALSE),0)*Baseline!I67,0))</f>
        <v>0</v>
      </c>
      <c r="R65" s="265">
        <f>(IF(Baseline!C67="Bestaande Situatie",(_xlfn.IFNA(VLOOKUP(Referentie_MKI_Totaal[[#This Row],[Product]]&amp;", "&amp;Referentie_MKI_Totaal[[#Headers],[D]],Database_Productkaarten[#All],14,FALSE),0)*Baseline!I67),0))</f>
        <v>0</v>
      </c>
      <c r="S65" s="266">
        <f>SUM(Referentie_MKI_Totaal[[#This Row],[A1-A3]:[C4]])+Referentie_MKI_Totaal[[#This Row],[D]]</f>
        <v>0</v>
      </c>
      <c r="V65" s="331" t="e">
        <f>SUM(Referentie_MKI_Totaal[[#This Row],[A1-A3]]+Referentie_MKI_Totaal[[#This Row],[A4]]+Referentie_MKI_Totaal[[#This Row],[C2]]+Referentie_MKI_Totaal[[#This Row],[C3]]+Referentie_MKI_Totaal[[#This Row],[C4]]+Referentie_MKI_Totaal[[#This Row],[D]])*(VLOOKUP(Referentie_MKI_Totaal[[#This Row],[Product]]&amp;", "&amp;Referentie_MKI_Totaal[[#Headers],[A5]],Database_Productkaarten[#All],66,FALSE))</f>
        <v>#N/A</v>
      </c>
    </row>
    <row r="66" spans="2:22" hidden="1">
      <c r="B66" s="263">
        <f>Baseline!B68</f>
        <v>0</v>
      </c>
      <c r="C66" s="264">
        <f>Baseline!F68</f>
        <v>0</v>
      </c>
      <c r="D66" s="265">
        <f>(IF(Baseline!C68="Nieuwe Situatie",(_xlfn.IFNA(VLOOKUP(Referentie_MKI_Totaal[[#This Row],[Product]]&amp;", "&amp;Referentie_MKI_Totaal[[#Headers],[A1]],Database_Productkaarten[#All],14,FALSE),0)*Baseline!I68),0))</f>
        <v>0</v>
      </c>
      <c r="E66" s="265">
        <f>(IF(Baseline!C68="Nieuwe Situatie",(_xlfn.IFNA(VLOOKUP(Referentie_MKI_Totaal[[#This Row],[Product]]&amp;", "&amp;Referentie_MKI_Totaal[[#Headers],[A2]],Database_Productkaarten[#All],14,FALSE),0)*Baseline!I68),0))</f>
        <v>0</v>
      </c>
      <c r="F66" s="265">
        <f>(IF(Baseline!C68="Nieuwe Situatie",(_xlfn.IFNA(VLOOKUP(Referentie_MKI_Totaal[[#This Row],[Product]]&amp;", "&amp;Referentie_MKI_Totaal[[#Headers],[A3]],Database_Productkaarten[#All],14,FALSE),0)*Baseline!I68),0))</f>
        <v>0</v>
      </c>
      <c r="G66" s="265">
        <f>(IF(Baseline!C68="Nieuwe Situatie",(_xlfn.IFNA(VLOOKUP(Referentie_MKI_Totaal[[#This Row],[Product]]&amp;", "&amp;Referentie_MKI_Totaal[[#Headers],[A1-A3]],Database_Productkaarten[#All],14,FALSE),0)*Baseline!I68),0))</f>
        <v>0</v>
      </c>
      <c r="H66" s="265">
        <f>IF(Baseline!T68=0,(IF(Baseline!C68="Nieuwe Situatie",(_xlfn.IFNA(VLOOKUP(Referentie_MKI_Totaal[[#This Row],[Product]]&amp;", "&amp;Referentie_MKI_Totaal[[#Headers],[A4]],Database_Productkaarten[#All],14,FALSE),0)*Baseline!Q68),0)),(IF(Baseline!C68="Nieuwe Situatie",_xlfn.IFNA(VLOOKUP(Baseline!T68,Database_Transport[#All],7,FALSE)*(Baseline!Q68*Baseline!S68),0))))</f>
        <v>0</v>
      </c>
      <c r="I66" s="265">
        <f>IF(Baseline!C68="Nieuwe situatie",IF(_xlfn.IFNA((VLOOKUP(Baseline!U68,Database_Asfalt_Aanlegset[#All],7,FALSE)*Baseline!I68),0)+_xlfn.IFNA(VLOOKUP(Baseline!V68,Database_Brandstoffen[#All],7,FALSE)*((Baseline!I68/Baseline!X68)*Baseline!W68),0)&gt;0,_xlfn.IFNA((VLOOKUP(Baseline!U68,Database_Asfalt_Aanlegset[#All],7,FALSE)*Baseline!I68),0)+_xlfn.IFNA(VLOOKUP(Baseline!V68,Database_Brandstoffen[#All],7,FALSE)*((Baseline!I68/Baseline!X68)*Baseline!W68),0),(_xlfn.IFNA(VLOOKUP(Referentie_MKI_Totaal[[#This Row],[Product]]&amp;", "&amp;Referentie_MKI_Totaal[[#Headers],[A5]],Database_Productkaarten[#All],14,FALSE),0)*Baseline!I68)),0)</f>
        <v>0</v>
      </c>
      <c r="J66" s="265"/>
      <c r="K66" s="265">
        <f>(IF(Baseline!C68="Nieuwe Situatie",(SUM(Referentie_MKI_Totaal[[#This Row],[A1]:[B1]],Referentie_MKI_Totaal[[#This Row],[C1]:[D2]])*Baseline!R68),0))</f>
        <v>0</v>
      </c>
      <c r="L66" s="265">
        <f>IF(Baseline!C68="Bestaande situatie",IF(_xlfn.IFNA((VLOOKUP(Baseline!Y68,Database_Asfalt_Verwijderset[#All],7,FALSE)*Baseline!I68),0)+_xlfn.IFNA(VLOOKUP(Baseline!Z68,Database_Brandstoffen[#All],7,FALSE)*((Baseline!I68/Baseline!AB68)*Baseline!AA68),0)&gt;0,_xlfn.IFNA((VLOOKUP(Baseline!Y68,Database_Asfalt_Verwijderset[#All],7,FALSE)*Baseline!I68),0)+_xlfn.IFNA(VLOOKUP(Baseline!Z68,Database_Brandstoffen[#All],7,FALSE)*((Baseline!I68/Baseline!AB68)*Baseline!AA68),0),(_xlfn.IFNA(VLOOKUP(Referentie_MKI_Totaal[[#This Row],[Product]]&amp;", "&amp;Referentie_MKI_Totaal[[#Headers],[C1]],Database_Productkaarten[#All],14,FALSE),0)*Baseline!I68)),0)</f>
        <v>0</v>
      </c>
      <c r="M66" s="265">
        <f>IF(Baseline!AD68=0,(IF(Baseline!C68="Bestaande Situatie",(_xlfn.IFNA(VLOOKUP(Referentie_MKI_Totaal[[#This Row],[Product]]&amp;", "&amp;Referentie_MKI_Totaal[[#Headers],[C2]],Database_Productkaarten[#All],14,FALSE),0)*Baseline!I68),0)),(IF(Baseline!C68="Bestaande Situatie",_xlfn.IFNA(VLOOKUP(Baseline!AD68,Database_Transport[#All],7,FALSE)*(Baseline!Q68*Baseline!AC68),0))))</f>
        <v>0</v>
      </c>
      <c r="N66" s="265">
        <f>(IF(Baseline!C68="Bestaande Situatie",(_xlfn.IFNA(VLOOKUP(Referentie_MKI_Totaal[[#This Row],[Product]]&amp;", "&amp;Referentie_MKI_Totaal[[#Headers],[C3]],Database_Productkaarten[#All],14,FALSE),0)*Baseline!I68),0))</f>
        <v>0</v>
      </c>
      <c r="O66" s="265">
        <f>(IF(Baseline!C68="Bestaande Situatie",(_xlfn.IFNA(VLOOKUP(Referentie_MKI_Totaal[[#This Row],[Product]]&amp;", "&amp;Referentie_MKI_Totaal[[#Headers],[C4]],Database_Productkaarten[#All],14,FALSE),0)*Baseline!I68),0))</f>
        <v>0</v>
      </c>
      <c r="P66" s="265">
        <f>(IF(Baseline!C68="Bestaande Situatie",(_xlfn.IFNA(VLOOKUP(Referentie_MKI_Totaal[[#This Row],[Product]]&amp;", "&amp;Referentie_MKI_Totaal[[#Headers],[D1]],Database_Productkaarten[#All],14,FALSE),0)*Baseline!I68),0))</f>
        <v>0</v>
      </c>
      <c r="Q66" s="265">
        <f>(IF(Baseline!C68="Bestaande Situatie",_xlfn.IFNA(VLOOKUP(Referentie_MKI_Totaal[[#This Row],[Product]]&amp;", "&amp;Referentie_MKI_Totaal[[#Headers],[D2]],Database_Productkaarten[#All],14,FALSE),0)*Baseline!I68,0))</f>
        <v>0</v>
      </c>
      <c r="R66" s="265">
        <f>(IF(Baseline!C68="Bestaande Situatie",(_xlfn.IFNA(VLOOKUP(Referentie_MKI_Totaal[[#This Row],[Product]]&amp;", "&amp;Referentie_MKI_Totaal[[#Headers],[D]],Database_Productkaarten[#All],14,FALSE),0)*Baseline!I68),0))</f>
        <v>0</v>
      </c>
      <c r="S66" s="266">
        <f>SUM(Referentie_MKI_Totaal[[#This Row],[A1-A3]:[C4]])+Referentie_MKI_Totaal[[#This Row],[D]]</f>
        <v>0</v>
      </c>
      <c r="V66" s="331" t="e">
        <f>SUM(Referentie_MKI_Totaal[[#This Row],[A1-A3]]+Referentie_MKI_Totaal[[#This Row],[A4]]+Referentie_MKI_Totaal[[#This Row],[C2]]+Referentie_MKI_Totaal[[#This Row],[C3]]+Referentie_MKI_Totaal[[#This Row],[C4]]+Referentie_MKI_Totaal[[#This Row],[D]])*(VLOOKUP(Referentie_MKI_Totaal[[#This Row],[Product]]&amp;", "&amp;Referentie_MKI_Totaal[[#Headers],[A5]],Database_Productkaarten[#All],66,FALSE))</f>
        <v>#N/A</v>
      </c>
    </row>
    <row r="67" spans="2:22" hidden="1">
      <c r="B67" s="263">
        <f>Baseline!B69</f>
        <v>0</v>
      </c>
      <c r="C67" s="264">
        <f>Baseline!F69</f>
        <v>0</v>
      </c>
      <c r="D67" s="265">
        <f>(IF(Baseline!C69="Nieuwe Situatie",(_xlfn.IFNA(VLOOKUP(Referentie_MKI_Totaal[[#This Row],[Product]]&amp;", "&amp;Referentie_MKI_Totaal[[#Headers],[A1]],Database_Productkaarten[#All],14,FALSE),0)*Baseline!I69),0))</f>
        <v>0</v>
      </c>
      <c r="E67" s="265">
        <f>(IF(Baseline!C69="Nieuwe Situatie",(_xlfn.IFNA(VLOOKUP(Referentie_MKI_Totaal[[#This Row],[Product]]&amp;", "&amp;Referentie_MKI_Totaal[[#Headers],[A2]],Database_Productkaarten[#All],14,FALSE),0)*Baseline!I69),0))</f>
        <v>0</v>
      </c>
      <c r="F67" s="265">
        <f>(IF(Baseline!C69="Nieuwe Situatie",(_xlfn.IFNA(VLOOKUP(Referentie_MKI_Totaal[[#This Row],[Product]]&amp;", "&amp;Referentie_MKI_Totaal[[#Headers],[A3]],Database_Productkaarten[#All],14,FALSE),0)*Baseline!I69),0))</f>
        <v>0</v>
      </c>
      <c r="G67" s="265">
        <f>(IF(Baseline!C69="Nieuwe Situatie",(_xlfn.IFNA(VLOOKUP(Referentie_MKI_Totaal[[#This Row],[Product]]&amp;", "&amp;Referentie_MKI_Totaal[[#Headers],[A1-A3]],Database_Productkaarten[#All],14,FALSE),0)*Baseline!I69),0))</f>
        <v>0</v>
      </c>
      <c r="H67" s="265">
        <f>IF(Baseline!T69=0,(IF(Baseline!C69="Nieuwe Situatie",(_xlfn.IFNA(VLOOKUP(Referentie_MKI_Totaal[[#This Row],[Product]]&amp;", "&amp;Referentie_MKI_Totaal[[#Headers],[A4]],Database_Productkaarten[#All],14,FALSE),0)*Baseline!Q69),0)),(IF(Baseline!C69="Nieuwe Situatie",_xlfn.IFNA(VLOOKUP(Baseline!T69,Database_Transport[#All],7,FALSE)*(Baseline!Q69*Baseline!S69),0))))</f>
        <v>0</v>
      </c>
      <c r="I67" s="265">
        <f>IF(Baseline!C69="Nieuwe situatie",IF(_xlfn.IFNA((VLOOKUP(Baseline!U69,Database_Asfalt_Aanlegset[#All],7,FALSE)*Baseline!I69),0)+_xlfn.IFNA(VLOOKUP(Baseline!V69,Database_Brandstoffen[#All],7,FALSE)*((Baseline!I69/Baseline!X69)*Baseline!W69),0)&gt;0,_xlfn.IFNA((VLOOKUP(Baseline!U69,Database_Asfalt_Aanlegset[#All],7,FALSE)*Baseline!I69),0)+_xlfn.IFNA(VLOOKUP(Baseline!V69,Database_Brandstoffen[#All],7,FALSE)*((Baseline!I69/Baseline!X69)*Baseline!W69),0),(_xlfn.IFNA(VLOOKUP(Referentie_MKI_Totaal[[#This Row],[Product]]&amp;", "&amp;Referentie_MKI_Totaal[[#Headers],[A5]],Database_Productkaarten[#All],14,FALSE),0)*Baseline!I69)),0)</f>
        <v>0</v>
      </c>
      <c r="J67" s="265"/>
      <c r="K67" s="265">
        <f>(IF(Baseline!C69="Nieuwe Situatie",(SUM(Referentie_MKI_Totaal[[#This Row],[A1]:[B1]],Referentie_MKI_Totaal[[#This Row],[C1]:[D2]])*Baseline!R69),0))</f>
        <v>0</v>
      </c>
      <c r="L67" s="265">
        <f>IF(Baseline!C69="Bestaande situatie",IF(_xlfn.IFNA((VLOOKUP(Baseline!Y69,Database_Asfalt_Verwijderset[#All],7,FALSE)*Baseline!I69),0)+_xlfn.IFNA(VLOOKUP(Baseline!Z69,Database_Brandstoffen[#All],7,FALSE)*((Baseline!I69/Baseline!AB69)*Baseline!AA69),0)&gt;0,_xlfn.IFNA((VLOOKUP(Baseline!Y69,Database_Asfalt_Verwijderset[#All],7,FALSE)*Baseline!I69),0)+_xlfn.IFNA(VLOOKUP(Baseline!Z69,Database_Brandstoffen[#All],7,FALSE)*((Baseline!I69/Baseline!AB69)*Baseline!AA69),0),(_xlfn.IFNA(VLOOKUP(Referentie_MKI_Totaal[[#This Row],[Product]]&amp;", "&amp;Referentie_MKI_Totaal[[#Headers],[C1]],Database_Productkaarten[#All],14,FALSE),0)*Baseline!I69)),0)</f>
        <v>0</v>
      </c>
      <c r="M67" s="265">
        <f>IF(Baseline!AD69=0,(IF(Baseline!C69="Bestaande Situatie",(_xlfn.IFNA(VLOOKUP(Referentie_MKI_Totaal[[#This Row],[Product]]&amp;", "&amp;Referentie_MKI_Totaal[[#Headers],[C2]],Database_Productkaarten[#All],14,FALSE),0)*Baseline!I69),0)),(IF(Baseline!C69="Bestaande Situatie",_xlfn.IFNA(VLOOKUP(Baseline!AD69,Database_Transport[#All],7,FALSE)*(Baseline!Q69*Baseline!AC69),0))))</f>
        <v>0</v>
      </c>
      <c r="N67" s="265">
        <f>(IF(Baseline!C69="Bestaande Situatie",(_xlfn.IFNA(VLOOKUP(Referentie_MKI_Totaal[[#This Row],[Product]]&amp;", "&amp;Referentie_MKI_Totaal[[#Headers],[C3]],Database_Productkaarten[#All],14,FALSE),0)*Baseline!I69),0))</f>
        <v>0</v>
      </c>
      <c r="O67" s="265">
        <f>(IF(Baseline!C69="Bestaande Situatie",(_xlfn.IFNA(VLOOKUP(Referentie_MKI_Totaal[[#This Row],[Product]]&amp;", "&amp;Referentie_MKI_Totaal[[#Headers],[C4]],Database_Productkaarten[#All],14,FALSE),0)*Baseline!I69),0))</f>
        <v>0</v>
      </c>
      <c r="P67" s="265">
        <f>(IF(Baseline!C69="Bestaande Situatie",(_xlfn.IFNA(VLOOKUP(Referentie_MKI_Totaal[[#This Row],[Product]]&amp;", "&amp;Referentie_MKI_Totaal[[#Headers],[D1]],Database_Productkaarten[#All],14,FALSE),0)*Baseline!I69),0))</f>
        <v>0</v>
      </c>
      <c r="Q67" s="265">
        <f>(IF(Baseline!C69="Bestaande Situatie",_xlfn.IFNA(VLOOKUP(Referentie_MKI_Totaal[[#This Row],[Product]]&amp;", "&amp;Referentie_MKI_Totaal[[#Headers],[D2]],Database_Productkaarten[#All],14,FALSE),0)*Baseline!I69,0))</f>
        <v>0</v>
      </c>
      <c r="R67" s="265">
        <f>(IF(Baseline!C69="Bestaande Situatie",(_xlfn.IFNA(VLOOKUP(Referentie_MKI_Totaal[[#This Row],[Product]]&amp;", "&amp;Referentie_MKI_Totaal[[#Headers],[D]],Database_Productkaarten[#All],14,FALSE),0)*Baseline!I69),0))</f>
        <v>0</v>
      </c>
      <c r="S67" s="266">
        <f>SUM(Referentie_MKI_Totaal[[#This Row],[A1-A3]:[C4]])+Referentie_MKI_Totaal[[#This Row],[D]]</f>
        <v>0</v>
      </c>
      <c r="V67" s="331" t="e">
        <f>SUM(Referentie_MKI_Totaal[[#This Row],[A1-A3]]+Referentie_MKI_Totaal[[#This Row],[A4]]+Referentie_MKI_Totaal[[#This Row],[C2]]+Referentie_MKI_Totaal[[#This Row],[C3]]+Referentie_MKI_Totaal[[#This Row],[C4]]+Referentie_MKI_Totaal[[#This Row],[D]])*(VLOOKUP(Referentie_MKI_Totaal[[#This Row],[Product]]&amp;", "&amp;Referentie_MKI_Totaal[[#Headers],[A5]],Database_Productkaarten[#All],66,FALSE))</f>
        <v>#N/A</v>
      </c>
    </row>
    <row r="68" spans="2:22" hidden="1">
      <c r="B68" s="263">
        <f>Baseline!B70</f>
        <v>0</v>
      </c>
      <c r="C68" s="264">
        <f>Baseline!F70</f>
        <v>0</v>
      </c>
      <c r="D68" s="265">
        <f>(IF(Baseline!C70="Nieuwe Situatie",(_xlfn.IFNA(VLOOKUP(Referentie_MKI_Totaal[[#This Row],[Product]]&amp;", "&amp;Referentie_MKI_Totaal[[#Headers],[A1]],Database_Productkaarten[#All],14,FALSE),0)*Baseline!I70),0))</f>
        <v>0</v>
      </c>
      <c r="E68" s="265">
        <f>(IF(Baseline!C70="Nieuwe Situatie",(_xlfn.IFNA(VLOOKUP(Referentie_MKI_Totaal[[#This Row],[Product]]&amp;", "&amp;Referentie_MKI_Totaal[[#Headers],[A2]],Database_Productkaarten[#All],14,FALSE),0)*Baseline!I70),0))</f>
        <v>0</v>
      </c>
      <c r="F68" s="265">
        <f>(IF(Baseline!C70="Nieuwe Situatie",(_xlfn.IFNA(VLOOKUP(Referentie_MKI_Totaal[[#This Row],[Product]]&amp;", "&amp;Referentie_MKI_Totaal[[#Headers],[A3]],Database_Productkaarten[#All],14,FALSE),0)*Baseline!I70),0))</f>
        <v>0</v>
      </c>
      <c r="G68" s="265">
        <f>(IF(Baseline!C70="Nieuwe Situatie",(_xlfn.IFNA(VLOOKUP(Referentie_MKI_Totaal[[#This Row],[Product]]&amp;", "&amp;Referentie_MKI_Totaal[[#Headers],[A1-A3]],Database_Productkaarten[#All],14,FALSE),0)*Baseline!I70),0))</f>
        <v>0</v>
      </c>
      <c r="H68" s="265">
        <f>IF(Baseline!T70=0,(IF(Baseline!C70="Nieuwe Situatie",(_xlfn.IFNA(VLOOKUP(Referentie_MKI_Totaal[[#This Row],[Product]]&amp;", "&amp;Referentie_MKI_Totaal[[#Headers],[A4]],Database_Productkaarten[#All],14,FALSE),0)*Baseline!Q70),0)),(IF(Baseline!C70="Nieuwe Situatie",_xlfn.IFNA(VLOOKUP(Baseline!T70,Database_Transport[#All],7,FALSE)*(Baseline!Q70*Baseline!S70),0))))</f>
        <v>0</v>
      </c>
      <c r="I68" s="265">
        <f>IF(Baseline!C70="Nieuwe situatie",IF(_xlfn.IFNA((VLOOKUP(Baseline!U70,Database_Asfalt_Aanlegset[#All],7,FALSE)*Baseline!I70),0)+_xlfn.IFNA(VLOOKUP(Baseline!V70,Database_Brandstoffen[#All],7,FALSE)*((Baseline!I70/Baseline!X70)*Baseline!W70),0)&gt;0,_xlfn.IFNA((VLOOKUP(Baseline!U70,Database_Asfalt_Aanlegset[#All],7,FALSE)*Baseline!I70),0)+_xlfn.IFNA(VLOOKUP(Baseline!V70,Database_Brandstoffen[#All],7,FALSE)*((Baseline!I70/Baseline!X70)*Baseline!W70),0),(_xlfn.IFNA(VLOOKUP(Referentie_MKI_Totaal[[#This Row],[Product]]&amp;", "&amp;Referentie_MKI_Totaal[[#Headers],[A5]],Database_Productkaarten[#All],14,FALSE),0)*Baseline!I70)),0)</f>
        <v>0</v>
      </c>
      <c r="J68" s="265"/>
      <c r="K68" s="265">
        <f>(IF(Baseline!C70="Nieuwe Situatie",(SUM(Referentie_MKI_Totaal[[#This Row],[A1]:[B1]],Referentie_MKI_Totaal[[#This Row],[C1]:[D2]])*Baseline!R70),0))</f>
        <v>0</v>
      </c>
      <c r="L68" s="265">
        <f>IF(Baseline!C70="Bestaande situatie",IF(_xlfn.IFNA((VLOOKUP(Baseline!Y70,Database_Asfalt_Verwijderset[#All],7,FALSE)*Baseline!I70),0)+_xlfn.IFNA(VLOOKUP(Baseline!Z70,Database_Brandstoffen[#All],7,FALSE)*((Baseline!I70/Baseline!AB70)*Baseline!AA70),0)&gt;0,_xlfn.IFNA((VLOOKUP(Baseline!Y70,Database_Asfalt_Verwijderset[#All],7,FALSE)*Baseline!I70),0)+_xlfn.IFNA(VLOOKUP(Baseline!Z70,Database_Brandstoffen[#All],7,FALSE)*((Baseline!I70/Baseline!AB70)*Baseline!AA70),0),(_xlfn.IFNA(VLOOKUP(Referentie_MKI_Totaal[[#This Row],[Product]]&amp;", "&amp;Referentie_MKI_Totaal[[#Headers],[C1]],Database_Productkaarten[#All],14,FALSE),0)*Baseline!I70)),0)</f>
        <v>0</v>
      </c>
      <c r="M68" s="265">
        <f>IF(Baseline!AD70=0,(IF(Baseline!C70="Bestaande Situatie",(_xlfn.IFNA(VLOOKUP(Referentie_MKI_Totaal[[#This Row],[Product]]&amp;", "&amp;Referentie_MKI_Totaal[[#Headers],[C2]],Database_Productkaarten[#All],14,FALSE),0)*Baseline!I70),0)),(IF(Baseline!C70="Bestaande Situatie",_xlfn.IFNA(VLOOKUP(Baseline!AD70,Database_Transport[#All],7,FALSE)*(Baseline!Q70*Baseline!AC70),0))))</f>
        <v>0</v>
      </c>
      <c r="N68" s="265">
        <f>(IF(Baseline!C70="Bestaande Situatie",(_xlfn.IFNA(VLOOKUP(Referentie_MKI_Totaal[[#This Row],[Product]]&amp;", "&amp;Referentie_MKI_Totaal[[#Headers],[C3]],Database_Productkaarten[#All],14,FALSE),0)*Baseline!I70),0))</f>
        <v>0</v>
      </c>
      <c r="O68" s="265">
        <f>(IF(Baseline!C70="Bestaande Situatie",(_xlfn.IFNA(VLOOKUP(Referentie_MKI_Totaal[[#This Row],[Product]]&amp;", "&amp;Referentie_MKI_Totaal[[#Headers],[C4]],Database_Productkaarten[#All],14,FALSE),0)*Baseline!I70),0))</f>
        <v>0</v>
      </c>
      <c r="P68" s="265">
        <f>(IF(Baseline!C70="Bestaande Situatie",(_xlfn.IFNA(VLOOKUP(Referentie_MKI_Totaal[[#This Row],[Product]]&amp;", "&amp;Referentie_MKI_Totaal[[#Headers],[D1]],Database_Productkaarten[#All],14,FALSE),0)*Baseline!I70),0))</f>
        <v>0</v>
      </c>
      <c r="Q68" s="265">
        <f>(IF(Baseline!C70="Bestaande Situatie",_xlfn.IFNA(VLOOKUP(Referentie_MKI_Totaal[[#This Row],[Product]]&amp;", "&amp;Referentie_MKI_Totaal[[#Headers],[D2]],Database_Productkaarten[#All],14,FALSE),0)*Baseline!I70,0))</f>
        <v>0</v>
      </c>
      <c r="R68" s="265">
        <f>(IF(Baseline!C70="Bestaande Situatie",(_xlfn.IFNA(VLOOKUP(Referentie_MKI_Totaal[[#This Row],[Product]]&amp;", "&amp;Referentie_MKI_Totaal[[#Headers],[D]],Database_Productkaarten[#All],14,FALSE),0)*Baseline!I70),0))</f>
        <v>0</v>
      </c>
      <c r="S68" s="266">
        <f>SUM(Referentie_MKI_Totaal[[#This Row],[A1-A3]:[C4]])+Referentie_MKI_Totaal[[#This Row],[D]]</f>
        <v>0</v>
      </c>
      <c r="V68" s="331" t="e">
        <f>SUM(Referentie_MKI_Totaal[[#This Row],[A1-A3]]+Referentie_MKI_Totaal[[#This Row],[A4]]+Referentie_MKI_Totaal[[#This Row],[C2]]+Referentie_MKI_Totaal[[#This Row],[C3]]+Referentie_MKI_Totaal[[#This Row],[C4]]+Referentie_MKI_Totaal[[#This Row],[D]])*(VLOOKUP(Referentie_MKI_Totaal[[#This Row],[Product]]&amp;", "&amp;Referentie_MKI_Totaal[[#Headers],[A5]],Database_Productkaarten[#All],66,FALSE))</f>
        <v>#N/A</v>
      </c>
    </row>
    <row r="69" spans="2:22" hidden="1">
      <c r="B69" s="263">
        <f>Baseline!B71</f>
        <v>0</v>
      </c>
      <c r="C69" s="264">
        <f>Baseline!F71</f>
        <v>0</v>
      </c>
      <c r="D69" s="265">
        <f>(IF(Baseline!C71="Nieuwe Situatie",(_xlfn.IFNA(VLOOKUP(Referentie_MKI_Totaal[[#This Row],[Product]]&amp;", "&amp;Referentie_MKI_Totaal[[#Headers],[A1]],Database_Productkaarten[#All],14,FALSE),0)*Baseline!I71),0))</f>
        <v>0</v>
      </c>
      <c r="E69" s="265">
        <f>(IF(Baseline!C71="Nieuwe Situatie",(_xlfn.IFNA(VLOOKUP(Referentie_MKI_Totaal[[#This Row],[Product]]&amp;", "&amp;Referentie_MKI_Totaal[[#Headers],[A2]],Database_Productkaarten[#All],14,FALSE),0)*Baseline!I71),0))</f>
        <v>0</v>
      </c>
      <c r="F69" s="265">
        <f>(IF(Baseline!C71="Nieuwe Situatie",(_xlfn.IFNA(VLOOKUP(Referentie_MKI_Totaal[[#This Row],[Product]]&amp;", "&amp;Referentie_MKI_Totaal[[#Headers],[A3]],Database_Productkaarten[#All],14,FALSE),0)*Baseline!I71),0))</f>
        <v>0</v>
      </c>
      <c r="G69" s="265">
        <f>(IF(Baseline!C71="Nieuwe Situatie",(_xlfn.IFNA(VLOOKUP(Referentie_MKI_Totaal[[#This Row],[Product]]&amp;", "&amp;Referentie_MKI_Totaal[[#Headers],[A1-A3]],Database_Productkaarten[#All],14,FALSE),0)*Baseline!I71),0))</f>
        <v>0</v>
      </c>
      <c r="H69" s="265">
        <f>IF(Baseline!T71=0,(IF(Baseline!C71="Nieuwe Situatie",(_xlfn.IFNA(VLOOKUP(Referentie_MKI_Totaal[[#This Row],[Product]]&amp;", "&amp;Referentie_MKI_Totaal[[#Headers],[A4]],Database_Productkaarten[#All],14,FALSE),0)*Baseline!Q71),0)),(IF(Baseline!C71="Nieuwe Situatie",_xlfn.IFNA(VLOOKUP(Baseline!T71,Database_Transport[#All],7,FALSE)*(Baseline!Q71*Baseline!S71),0))))</f>
        <v>0</v>
      </c>
      <c r="I69" s="265">
        <f>IF(Baseline!C71="Nieuwe situatie",IF(_xlfn.IFNA((VLOOKUP(Baseline!U71,Database_Asfalt_Aanlegset[#All],7,FALSE)*Baseline!I71),0)+_xlfn.IFNA(VLOOKUP(Baseline!V71,Database_Brandstoffen[#All],7,FALSE)*((Baseline!I71/Baseline!X71)*Baseline!W71),0)&gt;0,_xlfn.IFNA((VLOOKUP(Baseline!U71,Database_Asfalt_Aanlegset[#All],7,FALSE)*Baseline!I71),0)+_xlfn.IFNA(VLOOKUP(Baseline!V71,Database_Brandstoffen[#All],7,FALSE)*((Baseline!I71/Baseline!X71)*Baseline!W71),0),(_xlfn.IFNA(VLOOKUP(Referentie_MKI_Totaal[[#This Row],[Product]]&amp;", "&amp;Referentie_MKI_Totaal[[#Headers],[A5]],Database_Productkaarten[#All],14,FALSE),0)*Baseline!I71)),0)</f>
        <v>0</v>
      </c>
      <c r="J69" s="265"/>
      <c r="K69" s="265">
        <f>(IF(Baseline!C71="Nieuwe Situatie",(SUM(Referentie_MKI_Totaal[[#This Row],[A1]:[B1]],Referentie_MKI_Totaal[[#This Row],[C1]:[D2]])*Baseline!R71),0))</f>
        <v>0</v>
      </c>
      <c r="L69" s="265">
        <f>IF(Baseline!C71="Bestaande situatie",IF(_xlfn.IFNA((VLOOKUP(Baseline!Y71,Database_Asfalt_Verwijderset[#All],7,FALSE)*Baseline!I71),0)+_xlfn.IFNA(VLOOKUP(Baseline!Z71,Database_Brandstoffen[#All],7,FALSE)*((Baseline!I71/Baseline!AB71)*Baseline!AA71),0)&gt;0,_xlfn.IFNA((VLOOKUP(Baseline!Y71,Database_Asfalt_Verwijderset[#All],7,FALSE)*Baseline!I71),0)+_xlfn.IFNA(VLOOKUP(Baseline!Z71,Database_Brandstoffen[#All],7,FALSE)*((Baseline!I71/Baseline!AB71)*Baseline!AA71),0),(_xlfn.IFNA(VLOOKUP(Referentie_MKI_Totaal[[#This Row],[Product]]&amp;", "&amp;Referentie_MKI_Totaal[[#Headers],[C1]],Database_Productkaarten[#All],14,FALSE),0)*Baseline!I71)),0)</f>
        <v>0</v>
      </c>
      <c r="M69" s="265">
        <f>IF(Baseline!AD71=0,(IF(Baseline!C71="Bestaande Situatie",(_xlfn.IFNA(VLOOKUP(Referentie_MKI_Totaal[[#This Row],[Product]]&amp;", "&amp;Referentie_MKI_Totaal[[#Headers],[C2]],Database_Productkaarten[#All],14,FALSE),0)*Baseline!I71),0)),(IF(Baseline!C71="Bestaande Situatie",_xlfn.IFNA(VLOOKUP(Baseline!AD71,Database_Transport[#All],7,FALSE)*(Baseline!Q71*Baseline!AC71),0))))</f>
        <v>0</v>
      </c>
      <c r="N69" s="265">
        <f>(IF(Baseline!C71="Bestaande Situatie",(_xlfn.IFNA(VLOOKUP(Referentie_MKI_Totaal[[#This Row],[Product]]&amp;", "&amp;Referentie_MKI_Totaal[[#Headers],[C3]],Database_Productkaarten[#All],14,FALSE),0)*Baseline!I71),0))</f>
        <v>0</v>
      </c>
      <c r="O69" s="265">
        <f>(IF(Baseline!C71="Bestaande Situatie",(_xlfn.IFNA(VLOOKUP(Referentie_MKI_Totaal[[#This Row],[Product]]&amp;", "&amp;Referentie_MKI_Totaal[[#Headers],[C4]],Database_Productkaarten[#All],14,FALSE),0)*Baseline!I71),0))</f>
        <v>0</v>
      </c>
      <c r="P69" s="265">
        <f>(IF(Baseline!C71="Bestaande Situatie",(_xlfn.IFNA(VLOOKUP(Referentie_MKI_Totaal[[#This Row],[Product]]&amp;", "&amp;Referentie_MKI_Totaal[[#Headers],[D1]],Database_Productkaarten[#All],14,FALSE),0)*Baseline!I71),0))</f>
        <v>0</v>
      </c>
      <c r="Q69" s="265">
        <f>(IF(Baseline!C71="Bestaande Situatie",_xlfn.IFNA(VLOOKUP(Referentie_MKI_Totaal[[#This Row],[Product]]&amp;", "&amp;Referentie_MKI_Totaal[[#Headers],[D2]],Database_Productkaarten[#All],14,FALSE),0)*Baseline!I71,0))</f>
        <v>0</v>
      </c>
      <c r="R69" s="265">
        <f>(IF(Baseline!C71="Bestaande Situatie",(_xlfn.IFNA(VLOOKUP(Referentie_MKI_Totaal[[#This Row],[Product]]&amp;", "&amp;Referentie_MKI_Totaal[[#Headers],[D]],Database_Productkaarten[#All],14,FALSE),0)*Baseline!I71),0))</f>
        <v>0</v>
      </c>
      <c r="S69" s="266">
        <f>SUM(Referentie_MKI_Totaal[[#This Row],[A1-A3]:[C4]])+Referentie_MKI_Totaal[[#This Row],[D]]</f>
        <v>0</v>
      </c>
      <c r="V69" s="331" t="e">
        <f>SUM(Referentie_MKI_Totaal[[#This Row],[A1-A3]]+Referentie_MKI_Totaal[[#This Row],[A4]]+Referentie_MKI_Totaal[[#This Row],[C2]]+Referentie_MKI_Totaal[[#This Row],[C3]]+Referentie_MKI_Totaal[[#This Row],[C4]]+Referentie_MKI_Totaal[[#This Row],[D]])*(VLOOKUP(Referentie_MKI_Totaal[[#This Row],[Product]]&amp;", "&amp;Referentie_MKI_Totaal[[#Headers],[A5]],Database_Productkaarten[#All],66,FALSE))</f>
        <v>#N/A</v>
      </c>
    </row>
    <row r="70" spans="2:22" hidden="1">
      <c r="B70" s="263">
        <f>Baseline!B72</f>
        <v>0</v>
      </c>
      <c r="C70" s="264">
        <f>Baseline!F72</f>
        <v>0</v>
      </c>
      <c r="D70" s="265">
        <f>(IF(Baseline!C72="Nieuwe Situatie",(_xlfn.IFNA(VLOOKUP(Referentie_MKI_Totaal[[#This Row],[Product]]&amp;", "&amp;Referentie_MKI_Totaal[[#Headers],[A1]],Database_Productkaarten[#All],14,FALSE),0)*Baseline!I72),0))</f>
        <v>0</v>
      </c>
      <c r="E70" s="265">
        <f>(IF(Baseline!C72="Nieuwe Situatie",(_xlfn.IFNA(VLOOKUP(Referentie_MKI_Totaal[[#This Row],[Product]]&amp;", "&amp;Referentie_MKI_Totaal[[#Headers],[A2]],Database_Productkaarten[#All],14,FALSE),0)*Baseline!I72),0))</f>
        <v>0</v>
      </c>
      <c r="F70" s="265">
        <f>(IF(Baseline!C72="Nieuwe Situatie",(_xlfn.IFNA(VLOOKUP(Referentie_MKI_Totaal[[#This Row],[Product]]&amp;", "&amp;Referentie_MKI_Totaal[[#Headers],[A3]],Database_Productkaarten[#All],14,FALSE),0)*Baseline!I72),0))</f>
        <v>0</v>
      </c>
      <c r="G70" s="265">
        <f>(IF(Baseline!C72="Nieuwe Situatie",(_xlfn.IFNA(VLOOKUP(Referentie_MKI_Totaal[[#This Row],[Product]]&amp;", "&amp;Referentie_MKI_Totaal[[#Headers],[A1-A3]],Database_Productkaarten[#All],14,FALSE),0)*Baseline!I72),0))</f>
        <v>0</v>
      </c>
      <c r="H70" s="265">
        <f>IF(Baseline!T72=0,(IF(Baseline!C72="Nieuwe Situatie",(_xlfn.IFNA(VLOOKUP(Referentie_MKI_Totaal[[#This Row],[Product]]&amp;", "&amp;Referentie_MKI_Totaal[[#Headers],[A4]],Database_Productkaarten[#All],14,FALSE),0)*Baseline!Q72),0)),(IF(Baseline!C72="Nieuwe Situatie",_xlfn.IFNA(VLOOKUP(Baseline!T72,Database_Transport[#All],7,FALSE)*(Baseline!Q72*Baseline!S72),0))))</f>
        <v>0</v>
      </c>
      <c r="I70" s="265">
        <f>IF(Baseline!C72="Nieuwe situatie",IF(_xlfn.IFNA((VLOOKUP(Baseline!U72,Database_Asfalt_Aanlegset[#All],7,FALSE)*Baseline!I72),0)+_xlfn.IFNA(VLOOKUP(Baseline!V72,Database_Brandstoffen[#All],7,FALSE)*((Baseline!I72/Baseline!X72)*Baseline!W72),0)&gt;0,_xlfn.IFNA((VLOOKUP(Baseline!U72,Database_Asfalt_Aanlegset[#All],7,FALSE)*Baseline!I72),0)+_xlfn.IFNA(VLOOKUP(Baseline!V72,Database_Brandstoffen[#All],7,FALSE)*((Baseline!I72/Baseline!X72)*Baseline!W72),0),(_xlfn.IFNA(VLOOKUP(Referentie_MKI_Totaal[[#This Row],[Product]]&amp;", "&amp;Referentie_MKI_Totaal[[#Headers],[A5]],Database_Productkaarten[#All],14,FALSE),0)*Baseline!I72)),0)</f>
        <v>0</v>
      </c>
      <c r="J70" s="265"/>
      <c r="K70" s="265">
        <f>(IF(Baseline!C72="Nieuwe Situatie",(SUM(Referentie_MKI_Totaal[[#This Row],[A1]:[B1]],Referentie_MKI_Totaal[[#This Row],[C1]:[D2]])*Baseline!R72),0))</f>
        <v>0</v>
      </c>
      <c r="L70" s="265">
        <f>IF(Baseline!C72="Bestaande situatie",IF(_xlfn.IFNA((VLOOKUP(Baseline!Y72,Database_Asfalt_Verwijderset[#All],7,FALSE)*Baseline!I72),0)+_xlfn.IFNA(VLOOKUP(Baseline!Z72,Database_Brandstoffen[#All],7,FALSE)*((Baseline!I72/Baseline!AB72)*Baseline!AA72),0)&gt;0,_xlfn.IFNA((VLOOKUP(Baseline!Y72,Database_Asfalt_Verwijderset[#All],7,FALSE)*Baseline!I72),0)+_xlfn.IFNA(VLOOKUP(Baseline!Z72,Database_Brandstoffen[#All],7,FALSE)*((Baseline!I72/Baseline!AB72)*Baseline!AA72),0),(_xlfn.IFNA(VLOOKUP(Referentie_MKI_Totaal[[#This Row],[Product]]&amp;", "&amp;Referentie_MKI_Totaal[[#Headers],[C1]],Database_Productkaarten[#All],14,FALSE),0)*Baseline!I72)),0)</f>
        <v>0</v>
      </c>
      <c r="M70" s="265">
        <f>IF(Baseline!AD72=0,(IF(Baseline!C72="Bestaande Situatie",(_xlfn.IFNA(VLOOKUP(Referentie_MKI_Totaal[[#This Row],[Product]]&amp;", "&amp;Referentie_MKI_Totaal[[#Headers],[C2]],Database_Productkaarten[#All],14,FALSE),0)*Baseline!I72),0)),(IF(Baseline!C72="Bestaande Situatie",_xlfn.IFNA(VLOOKUP(Baseline!AD72,Database_Transport[#All],7,FALSE)*(Baseline!Q72*Baseline!AC72),0))))</f>
        <v>0</v>
      </c>
      <c r="N70" s="265">
        <f>(IF(Baseline!C72="Bestaande Situatie",(_xlfn.IFNA(VLOOKUP(Referentie_MKI_Totaal[[#This Row],[Product]]&amp;", "&amp;Referentie_MKI_Totaal[[#Headers],[C3]],Database_Productkaarten[#All],14,FALSE),0)*Baseline!I72),0))</f>
        <v>0</v>
      </c>
      <c r="O70" s="265">
        <f>(IF(Baseline!C72="Bestaande Situatie",(_xlfn.IFNA(VLOOKUP(Referentie_MKI_Totaal[[#This Row],[Product]]&amp;", "&amp;Referentie_MKI_Totaal[[#Headers],[C4]],Database_Productkaarten[#All],14,FALSE),0)*Baseline!I72),0))</f>
        <v>0</v>
      </c>
      <c r="P70" s="265">
        <f>(IF(Baseline!C72="Bestaande Situatie",(_xlfn.IFNA(VLOOKUP(Referentie_MKI_Totaal[[#This Row],[Product]]&amp;", "&amp;Referentie_MKI_Totaal[[#Headers],[D1]],Database_Productkaarten[#All],14,FALSE),0)*Baseline!I72),0))</f>
        <v>0</v>
      </c>
      <c r="Q70" s="265">
        <f>(IF(Baseline!C72="Bestaande Situatie",_xlfn.IFNA(VLOOKUP(Referentie_MKI_Totaal[[#This Row],[Product]]&amp;", "&amp;Referentie_MKI_Totaal[[#Headers],[D2]],Database_Productkaarten[#All],14,FALSE),0)*Baseline!I72,0))</f>
        <v>0</v>
      </c>
      <c r="R70" s="265">
        <f>(IF(Baseline!C72="Bestaande Situatie",(_xlfn.IFNA(VLOOKUP(Referentie_MKI_Totaal[[#This Row],[Product]]&amp;", "&amp;Referentie_MKI_Totaal[[#Headers],[D]],Database_Productkaarten[#All],14,FALSE),0)*Baseline!I72),0))</f>
        <v>0</v>
      </c>
      <c r="S70" s="266">
        <f>SUM(Referentie_MKI_Totaal[[#This Row],[A1-A3]:[C4]])+Referentie_MKI_Totaal[[#This Row],[D]]</f>
        <v>0</v>
      </c>
      <c r="V70" s="331" t="e">
        <f>SUM(Referentie_MKI_Totaal[[#This Row],[A1-A3]]+Referentie_MKI_Totaal[[#This Row],[A4]]+Referentie_MKI_Totaal[[#This Row],[C2]]+Referentie_MKI_Totaal[[#This Row],[C3]]+Referentie_MKI_Totaal[[#This Row],[C4]]+Referentie_MKI_Totaal[[#This Row],[D]])*(VLOOKUP(Referentie_MKI_Totaal[[#This Row],[Product]]&amp;", "&amp;Referentie_MKI_Totaal[[#Headers],[A5]],Database_Productkaarten[#All],66,FALSE))</f>
        <v>#N/A</v>
      </c>
    </row>
    <row r="71" spans="2:22" hidden="1">
      <c r="B71" s="263">
        <f>Baseline!B73</f>
        <v>0</v>
      </c>
      <c r="C71" s="264">
        <f>Baseline!F73</f>
        <v>0</v>
      </c>
      <c r="D71" s="265">
        <f>(IF(Baseline!C73="Nieuwe Situatie",(_xlfn.IFNA(VLOOKUP(Referentie_MKI_Totaal[[#This Row],[Product]]&amp;", "&amp;Referentie_MKI_Totaal[[#Headers],[A1]],Database_Productkaarten[#All],14,FALSE),0)*Baseline!I73),0))</f>
        <v>0</v>
      </c>
      <c r="E71" s="265">
        <f>(IF(Baseline!C73="Nieuwe Situatie",(_xlfn.IFNA(VLOOKUP(Referentie_MKI_Totaal[[#This Row],[Product]]&amp;", "&amp;Referentie_MKI_Totaal[[#Headers],[A2]],Database_Productkaarten[#All],14,FALSE),0)*Baseline!I73),0))</f>
        <v>0</v>
      </c>
      <c r="F71" s="265">
        <f>(IF(Baseline!C73="Nieuwe Situatie",(_xlfn.IFNA(VLOOKUP(Referentie_MKI_Totaal[[#This Row],[Product]]&amp;", "&amp;Referentie_MKI_Totaal[[#Headers],[A3]],Database_Productkaarten[#All],14,FALSE),0)*Baseline!I73),0))</f>
        <v>0</v>
      </c>
      <c r="G71" s="265">
        <f>(IF(Baseline!C73="Nieuwe Situatie",(_xlfn.IFNA(VLOOKUP(Referentie_MKI_Totaal[[#This Row],[Product]]&amp;", "&amp;Referentie_MKI_Totaal[[#Headers],[A1-A3]],Database_Productkaarten[#All],14,FALSE),0)*Baseline!I73),0))</f>
        <v>0</v>
      </c>
      <c r="H71" s="265">
        <f>IF(Baseline!T73=0,(IF(Baseline!C73="Nieuwe Situatie",(_xlfn.IFNA(VLOOKUP(Referentie_MKI_Totaal[[#This Row],[Product]]&amp;", "&amp;Referentie_MKI_Totaal[[#Headers],[A4]],Database_Productkaarten[#All],14,FALSE),0)*Baseline!Q73),0)),(IF(Baseline!C73="Nieuwe Situatie",_xlfn.IFNA(VLOOKUP(Baseline!T73,Database_Transport[#All],7,FALSE)*(Baseline!Q73*Baseline!S73),0))))</f>
        <v>0</v>
      </c>
      <c r="I71" s="265">
        <f>IF(Baseline!C73="Nieuwe situatie",IF(_xlfn.IFNA((VLOOKUP(Baseline!U73,Database_Asfalt_Aanlegset[#All],7,FALSE)*Baseline!I73),0)+_xlfn.IFNA(VLOOKUP(Baseline!V73,Database_Brandstoffen[#All],7,FALSE)*((Baseline!I73/Baseline!X73)*Baseline!W73),0)&gt;0,_xlfn.IFNA((VLOOKUP(Baseline!U73,Database_Asfalt_Aanlegset[#All],7,FALSE)*Baseline!I73),0)+_xlfn.IFNA(VLOOKUP(Baseline!V73,Database_Brandstoffen[#All],7,FALSE)*((Baseline!I73/Baseline!X73)*Baseline!W73),0),(_xlfn.IFNA(VLOOKUP(Referentie_MKI_Totaal[[#This Row],[Product]]&amp;", "&amp;Referentie_MKI_Totaal[[#Headers],[A5]],Database_Productkaarten[#All],14,FALSE),0)*Baseline!I73)),0)</f>
        <v>0</v>
      </c>
      <c r="J71" s="265"/>
      <c r="K71" s="265">
        <f>(IF(Baseline!C73="Nieuwe Situatie",(SUM(Referentie_MKI_Totaal[[#This Row],[A1]:[B1]],Referentie_MKI_Totaal[[#This Row],[C1]:[D2]])*Baseline!R73),0))</f>
        <v>0</v>
      </c>
      <c r="L71" s="265">
        <f>IF(Baseline!C73="Bestaande situatie",IF(_xlfn.IFNA((VLOOKUP(Baseline!Y73,Database_Asfalt_Verwijderset[#All],7,FALSE)*Baseline!I73),0)+_xlfn.IFNA(VLOOKUP(Baseline!Z73,Database_Brandstoffen[#All],7,FALSE)*((Baseline!I73/Baseline!AB73)*Baseline!AA73),0)&gt;0,_xlfn.IFNA((VLOOKUP(Baseline!Y73,Database_Asfalt_Verwijderset[#All],7,FALSE)*Baseline!I73),0)+_xlfn.IFNA(VLOOKUP(Baseline!Z73,Database_Brandstoffen[#All],7,FALSE)*((Baseline!I73/Baseline!AB73)*Baseline!AA73),0),(_xlfn.IFNA(VLOOKUP(Referentie_MKI_Totaal[[#This Row],[Product]]&amp;", "&amp;Referentie_MKI_Totaal[[#Headers],[C1]],Database_Productkaarten[#All],14,FALSE),0)*Baseline!I73)),0)</f>
        <v>0</v>
      </c>
      <c r="M71" s="265">
        <f>IF(Baseline!AD73=0,(IF(Baseline!C73="Bestaande Situatie",(_xlfn.IFNA(VLOOKUP(Referentie_MKI_Totaal[[#This Row],[Product]]&amp;", "&amp;Referentie_MKI_Totaal[[#Headers],[C2]],Database_Productkaarten[#All],14,FALSE),0)*Baseline!I73),0)),(IF(Baseline!C73="Bestaande Situatie",_xlfn.IFNA(VLOOKUP(Baseline!AD73,Database_Transport[#All],7,FALSE)*(Baseline!Q73*Baseline!AC73),0))))</f>
        <v>0</v>
      </c>
      <c r="N71" s="265">
        <f>(IF(Baseline!C73="Bestaande Situatie",(_xlfn.IFNA(VLOOKUP(Referentie_MKI_Totaal[[#This Row],[Product]]&amp;", "&amp;Referentie_MKI_Totaal[[#Headers],[C3]],Database_Productkaarten[#All],14,FALSE),0)*Baseline!I73),0))</f>
        <v>0</v>
      </c>
      <c r="O71" s="265">
        <f>(IF(Baseline!C73="Bestaande Situatie",(_xlfn.IFNA(VLOOKUP(Referentie_MKI_Totaal[[#This Row],[Product]]&amp;", "&amp;Referentie_MKI_Totaal[[#Headers],[C4]],Database_Productkaarten[#All],14,FALSE),0)*Baseline!I73),0))</f>
        <v>0</v>
      </c>
      <c r="P71" s="265">
        <f>(IF(Baseline!C73="Bestaande Situatie",(_xlfn.IFNA(VLOOKUP(Referentie_MKI_Totaal[[#This Row],[Product]]&amp;", "&amp;Referentie_MKI_Totaal[[#Headers],[D1]],Database_Productkaarten[#All],14,FALSE),0)*Baseline!I73),0))</f>
        <v>0</v>
      </c>
      <c r="Q71" s="265">
        <f>(IF(Baseline!C73="Bestaande Situatie",_xlfn.IFNA(VLOOKUP(Referentie_MKI_Totaal[[#This Row],[Product]]&amp;", "&amp;Referentie_MKI_Totaal[[#Headers],[D2]],Database_Productkaarten[#All],14,FALSE),0)*Baseline!I73,0))</f>
        <v>0</v>
      </c>
      <c r="R71" s="265">
        <f>(IF(Baseline!C73="Bestaande Situatie",(_xlfn.IFNA(VLOOKUP(Referentie_MKI_Totaal[[#This Row],[Product]]&amp;", "&amp;Referentie_MKI_Totaal[[#Headers],[D]],Database_Productkaarten[#All],14,FALSE),0)*Baseline!I73),0))</f>
        <v>0</v>
      </c>
      <c r="S71" s="266">
        <f>SUM(Referentie_MKI_Totaal[[#This Row],[A1-A3]:[C4]])+Referentie_MKI_Totaal[[#This Row],[D]]</f>
        <v>0</v>
      </c>
      <c r="V71" s="331" t="e">
        <f>SUM(Referentie_MKI_Totaal[[#This Row],[A1-A3]]+Referentie_MKI_Totaal[[#This Row],[A4]]+Referentie_MKI_Totaal[[#This Row],[C2]]+Referentie_MKI_Totaal[[#This Row],[C3]]+Referentie_MKI_Totaal[[#This Row],[C4]]+Referentie_MKI_Totaal[[#This Row],[D]])*(VLOOKUP(Referentie_MKI_Totaal[[#This Row],[Product]]&amp;", "&amp;Referentie_MKI_Totaal[[#Headers],[A5]],Database_Productkaarten[#All],66,FALSE))</f>
        <v>#N/A</v>
      </c>
    </row>
    <row r="72" spans="2:22" hidden="1">
      <c r="B72" s="263">
        <f>Baseline!B74</f>
        <v>0</v>
      </c>
      <c r="C72" s="264">
        <f>Baseline!F74</f>
        <v>0</v>
      </c>
      <c r="D72" s="265">
        <f>(IF(Baseline!C74="Nieuwe Situatie",(_xlfn.IFNA(VLOOKUP(Referentie_MKI_Totaal[[#This Row],[Product]]&amp;", "&amp;Referentie_MKI_Totaal[[#Headers],[A1]],Database_Productkaarten[#All],14,FALSE),0)*Baseline!I74),0))</f>
        <v>0</v>
      </c>
      <c r="E72" s="265">
        <f>(IF(Baseline!C74="Nieuwe Situatie",(_xlfn.IFNA(VLOOKUP(Referentie_MKI_Totaal[[#This Row],[Product]]&amp;", "&amp;Referentie_MKI_Totaal[[#Headers],[A2]],Database_Productkaarten[#All],14,FALSE),0)*Baseline!I74),0))</f>
        <v>0</v>
      </c>
      <c r="F72" s="265">
        <f>(IF(Baseline!C74="Nieuwe Situatie",(_xlfn.IFNA(VLOOKUP(Referentie_MKI_Totaal[[#This Row],[Product]]&amp;", "&amp;Referentie_MKI_Totaal[[#Headers],[A3]],Database_Productkaarten[#All],14,FALSE),0)*Baseline!I74),0))</f>
        <v>0</v>
      </c>
      <c r="G72" s="265">
        <f>(IF(Baseline!C74="Nieuwe Situatie",(_xlfn.IFNA(VLOOKUP(Referentie_MKI_Totaal[[#This Row],[Product]]&amp;", "&amp;Referentie_MKI_Totaal[[#Headers],[A1-A3]],Database_Productkaarten[#All],14,FALSE),0)*Baseline!I74),0))</f>
        <v>0</v>
      </c>
      <c r="H72" s="265">
        <f>IF(Baseline!T74=0,(IF(Baseline!C74="Nieuwe Situatie",(_xlfn.IFNA(VLOOKUP(Referentie_MKI_Totaal[[#This Row],[Product]]&amp;", "&amp;Referentie_MKI_Totaal[[#Headers],[A4]],Database_Productkaarten[#All],14,FALSE),0)*Baseline!Q74),0)),(IF(Baseline!C74="Nieuwe Situatie",_xlfn.IFNA(VLOOKUP(Baseline!T74,Database_Transport[#All],7,FALSE)*(Baseline!Q74*Baseline!S74),0))))</f>
        <v>0</v>
      </c>
      <c r="I72" s="265">
        <f>IF(Baseline!C74="Nieuwe situatie",IF(_xlfn.IFNA((VLOOKUP(Baseline!U74,Database_Asfalt_Aanlegset[#All],7,FALSE)*Baseline!I74),0)+_xlfn.IFNA(VLOOKUP(Baseline!V74,Database_Brandstoffen[#All],7,FALSE)*((Baseline!I74/Baseline!X74)*Baseline!W74),0)&gt;0,_xlfn.IFNA((VLOOKUP(Baseline!U74,Database_Asfalt_Aanlegset[#All],7,FALSE)*Baseline!I74),0)+_xlfn.IFNA(VLOOKUP(Baseline!V74,Database_Brandstoffen[#All],7,FALSE)*((Baseline!I74/Baseline!X74)*Baseline!W74),0),(_xlfn.IFNA(VLOOKUP(Referentie_MKI_Totaal[[#This Row],[Product]]&amp;", "&amp;Referentie_MKI_Totaal[[#Headers],[A5]],Database_Productkaarten[#All],14,FALSE),0)*Baseline!I74)),0)</f>
        <v>0</v>
      </c>
      <c r="J72" s="265"/>
      <c r="K72" s="265">
        <f>(IF(Baseline!C74="Nieuwe Situatie",(SUM(Referentie_MKI_Totaal[[#This Row],[A1]:[B1]],Referentie_MKI_Totaal[[#This Row],[C1]:[D2]])*Baseline!R74),0))</f>
        <v>0</v>
      </c>
      <c r="L72" s="265">
        <f>IF(Baseline!C74="Bestaande situatie",IF(_xlfn.IFNA((VLOOKUP(Baseline!Y74,Database_Asfalt_Verwijderset[#All],7,FALSE)*Baseline!I74),0)+_xlfn.IFNA(VLOOKUP(Baseline!Z74,Database_Brandstoffen[#All],7,FALSE)*((Baseline!I74/Baseline!AB74)*Baseline!AA74),0)&gt;0,_xlfn.IFNA((VLOOKUP(Baseline!Y74,Database_Asfalt_Verwijderset[#All],7,FALSE)*Baseline!I74),0)+_xlfn.IFNA(VLOOKUP(Baseline!Z74,Database_Brandstoffen[#All],7,FALSE)*((Baseline!I74/Baseline!AB74)*Baseline!AA74),0),(_xlfn.IFNA(VLOOKUP(Referentie_MKI_Totaal[[#This Row],[Product]]&amp;", "&amp;Referentie_MKI_Totaal[[#Headers],[C1]],Database_Productkaarten[#All],14,FALSE),0)*Baseline!I74)),0)</f>
        <v>0</v>
      </c>
      <c r="M72" s="265">
        <f>IF(Baseline!AD74=0,(IF(Baseline!C74="Bestaande Situatie",(_xlfn.IFNA(VLOOKUP(Referentie_MKI_Totaal[[#This Row],[Product]]&amp;", "&amp;Referentie_MKI_Totaal[[#Headers],[C2]],Database_Productkaarten[#All],14,FALSE),0)*Baseline!I74),0)),(IF(Baseline!C74="Bestaande Situatie",_xlfn.IFNA(VLOOKUP(Baseline!AD74,Database_Transport[#All],7,FALSE)*(Baseline!Q74*Baseline!AC74),0))))</f>
        <v>0</v>
      </c>
      <c r="N72" s="265">
        <f>(IF(Baseline!C74="Bestaande Situatie",(_xlfn.IFNA(VLOOKUP(Referentie_MKI_Totaal[[#This Row],[Product]]&amp;", "&amp;Referentie_MKI_Totaal[[#Headers],[C3]],Database_Productkaarten[#All],14,FALSE),0)*Baseline!I74),0))</f>
        <v>0</v>
      </c>
      <c r="O72" s="265">
        <f>(IF(Baseline!C74="Bestaande Situatie",(_xlfn.IFNA(VLOOKUP(Referentie_MKI_Totaal[[#This Row],[Product]]&amp;", "&amp;Referentie_MKI_Totaal[[#Headers],[C4]],Database_Productkaarten[#All],14,FALSE),0)*Baseline!I74),0))</f>
        <v>0</v>
      </c>
      <c r="P72" s="265">
        <f>(IF(Baseline!C74="Bestaande Situatie",(_xlfn.IFNA(VLOOKUP(Referentie_MKI_Totaal[[#This Row],[Product]]&amp;", "&amp;Referentie_MKI_Totaal[[#Headers],[D1]],Database_Productkaarten[#All],14,FALSE),0)*Baseline!I74),0))</f>
        <v>0</v>
      </c>
      <c r="Q72" s="265">
        <f>(IF(Baseline!C74="Bestaande Situatie",_xlfn.IFNA(VLOOKUP(Referentie_MKI_Totaal[[#This Row],[Product]]&amp;", "&amp;Referentie_MKI_Totaal[[#Headers],[D2]],Database_Productkaarten[#All],14,FALSE),0)*Baseline!I74,0))</f>
        <v>0</v>
      </c>
      <c r="R72" s="265">
        <f>(IF(Baseline!C74="Bestaande Situatie",(_xlfn.IFNA(VLOOKUP(Referentie_MKI_Totaal[[#This Row],[Product]]&amp;", "&amp;Referentie_MKI_Totaal[[#Headers],[D]],Database_Productkaarten[#All],14,FALSE),0)*Baseline!I74),0))</f>
        <v>0</v>
      </c>
      <c r="S72" s="266">
        <f>SUM(Referentie_MKI_Totaal[[#This Row],[A1-A3]:[C4]])+Referentie_MKI_Totaal[[#This Row],[D]]</f>
        <v>0</v>
      </c>
      <c r="V72" s="331" t="e">
        <f>SUM(Referentie_MKI_Totaal[[#This Row],[A1-A3]]+Referentie_MKI_Totaal[[#This Row],[A4]]+Referentie_MKI_Totaal[[#This Row],[C2]]+Referentie_MKI_Totaal[[#This Row],[C3]]+Referentie_MKI_Totaal[[#This Row],[C4]]+Referentie_MKI_Totaal[[#This Row],[D]])*(VLOOKUP(Referentie_MKI_Totaal[[#This Row],[Product]]&amp;", "&amp;Referentie_MKI_Totaal[[#Headers],[A5]],Database_Productkaarten[#All],66,FALSE))</f>
        <v>#N/A</v>
      </c>
    </row>
    <row r="73" spans="2:22" hidden="1">
      <c r="B73" s="263">
        <f>Baseline!B75</f>
        <v>0</v>
      </c>
      <c r="C73" s="264">
        <f>Baseline!F75</f>
        <v>0</v>
      </c>
      <c r="D73" s="265">
        <f>(IF(Baseline!C75="Nieuwe Situatie",(_xlfn.IFNA(VLOOKUP(Referentie_MKI_Totaal[[#This Row],[Product]]&amp;", "&amp;Referentie_MKI_Totaal[[#Headers],[A1]],Database_Productkaarten[#All],14,FALSE),0)*Baseline!I75),0))</f>
        <v>0</v>
      </c>
      <c r="E73" s="265">
        <f>(IF(Baseline!C75="Nieuwe Situatie",(_xlfn.IFNA(VLOOKUP(Referentie_MKI_Totaal[[#This Row],[Product]]&amp;", "&amp;Referentie_MKI_Totaal[[#Headers],[A2]],Database_Productkaarten[#All],14,FALSE),0)*Baseline!I75),0))</f>
        <v>0</v>
      </c>
      <c r="F73" s="265">
        <f>(IF(Baseline!C75="Nieuwe Situatie",(_xlfn.IFNA(VLOOKUP(Referentie_MKI_Totaal[[#This Row],[Product]]&amp;", "&amp;Referentie_MKI_Totaal[[#Headers],[A3]],Database_Productkaarten[#All],14,FALSE),0)*Baseline!I75),0))</f>
        <v>0</v>
      </c>
      <c r="G73" s="265">
        <f>(IF(Baseline!C75="Nieuwe Situatie",(_xlfn.IFNA(VLOOKUP(Referentie_MKI_Totaal[[#This Row],[Product]]&amp;", "&amp;Referentie_MKI_Totaal[[#Headers],[A1-A3]],Database_Productkaarten[#All],14,FALSE),0)*Baseline!I75),0))</f>
        <v>0</v>
      </c>
      <c r="H73" s="265">
        <f>IF(Baseline!T75=0,(IF(Baseline!C75="Nieuwe Situatie",(_xlfn.IFNA(VLOOKUP(Referentie_MKI_Totaal[[#This Row],[Product]]&amp;", "&amp;Referentie_MKI_Totaal[[#Headers],[A4]],Database_Productkaarten[#All],14,FALSE),0)*Baseline!Q75),0)),(IF(Baseline!C75="Nieuwe Situatie",_xlfn.IFNA(VLOOKUP(Baseline!T75,Database_Transport[#All],7,FALSE)*(Baseline!Q75*Baseline!S75),0))))</f>
        <v>0</v>
      </c>
      <c r="I73" s="265">
        <f>IF(Baseline!C75="Nieuwe situatie",IF(_xlfn.IFNA((VLOOKUP(Baseline!U75,Database_Asfalt_Aanlegset[#All],7,FALSE)*Baseline!I75),0)+_xlfn.IFNA(VLOOKUP(Baseline!V75,Database_Brandstoffen[#All],7,FALSE)*((Baseline!I75/Baseline!X75)*Baseline!W75),0)&gt;0,_xlfn.IFNA((VLOOKUP(Baseline!U75,Database_Asfalt_Aanlegset[#All],7,FALSE)*Baseline!I75),0)+_xlfn.IFNA(VLOOKUP(Baseline!V75,Database_Brandstoffen[#All],7,FALSE)*((Baseline!I75/Baseline!X75)*Baseline!W75),0),(_xlfn.IFNA(VLOOKUP(Referentie_MKI_Totaal[[#This Row],[Product]]&amp;", "&amp;Referentie_MKI_Totaal[[#Headers],[A5]],Database_Productkaarten[#All],14,FALSE),0)*Baseline!I75)),0)</f>
        <v>0</v>
      </c>
      <c r="J73" s="265"/>
      <c r="K73" s="265">
        <f>(IF(Baseline!C75="Nieuwe Situatie",(SUM(Referentie_MKI_Totaal[[#This Row],[A1]:[B1]],Referentie_MKI_Totaal[[#This Row],[C1]:[D2]])*Baseline!R75),0))</f>
        <v>0</v>
      </c>
      <c r="L73" s="265">
        <f>IF(Baseline!C75="Bestaande situatie",IF(_xlfn.IFNA((VLOOKUP(Baseline!Y75,Database_Asfalt_Verwijderset[#All],7,FALSE)*Baseline!I75),0)+_xlfn.IFNA(VLOOKUP(Baseline!Z75,Database_Brandstoffen[#All],7,FALSE)*((Baseline!I75/Baseline!AB75)*Baseline!AA75),0)&gt;0,_xlfn.IFNA((VLOOKUP(Baseline!Y75,Database_Asfalt_Verwijderset[#All],7,FALSE)*Baseline!I75),0)+_xlfn.IFNA(VLOOKUP(Baseline!Z75,Database_Brandstoffen[#All],7,FALSE)*((Baseline!I75/Baseline!AB75)*Baseline!AA75),0),(_xlfn.IFNA(VLOOKUP(Referentie_MKI_Totaal[[#This Row],[Product]]&amp;", "&amp;Referentie_MKI_Totaal[[#Headers],[C1]],Database_Productkaarten[#All],14,FALSE),0)*Baseline!I75)),0)</f>
        <v>0</v>
      </c>
      <c r="M73" s="265">
        <f>IF(Baseline!AD75=0,(IF(Baseline!C75="Bestaande Situatie",(_xlfn.IFNA(VLOOKUP(Referentie_MKI_Totaal[[#This Row],[Product]]&amp;", "&amp;Referentie_MKI_Totaal[[#Headers],[C2]],Database_Productkaarten[#All],14,FALSE),0)*Baseline!I75),0)),(IF(Baseline!C75="Bestaande Situatie",_xlfn.IFNA(VLOOKUP(Baseline!AD75,Database_Transport[#All],7,FALSE)*(Baseline!Q75*Baseline!AC75),0))))</f>
        <v>0</v>
      </c>
      <c r="N73" s="265">
        <f>(IF(Baseline!C75="Bestaande Situatie",(_xlfn.IFNA(VLOOKUP(Referentie_MKI_Totaal[[#This Row],[Product]]&amp;", "&amp;Referentie_MKI_Totaal[[#Headers],[C3]],Database_Productkaarten[#All],14,FALSE),0)*Baseline!I75),0))</f>
        <v>0</v>
      </c>
      <c r="O73" s="265">
        <f>(IF(Baseline!C75="Bestaande Situatie",(_xlfn.IFNA(VLOOKUP(Referentie_MKI_Totaal[[#This Row],[Product]]&amp;", "&amp;Referentie_MKI_Totaal[[#Headers],[C4]],Database_Productkaarten[#All],14,FALSE),0)*Baseline!I75),0))</f>
        <v>0</v>
      </c>
      <c r="P73" s="265">
        <f>(IF(Baseline!C75="Bestaande Situatie",(_xlfn.IFNA(VLOOKUP(Referentie_MKI_Totaal[[#This Row],[Product]]&amp;", "&amp;Referentie_MKI_Totaal[[#Headers],[D1]],Database_Productkaarten[#All],14,FALSE),0)*Baseline!I75),0))</f>
        <v>0</v>
      </c>
      <c r="Q73" s="265">
        <f>(IF(Baseline!C75="Bestaande Situatie",_xlfn.IFNA(VLOOKUP(Referentie_MKI_Totaal[[#This Row],[Product]]&amp;", "&amp;Referentie_MKI_Totaal[[#Headers],[D2]],Database_Productkaarten[#All],14,FALSE),0)*Baseline!I75,0))</f>
        <v>0</v>
      </c>
      <c r="R73" s="265">
        <f>(IF(Baseline!C75="Bestaande Situatie",(_xlfn.IFNA(VLOOKUP(Referentie_MKI_Totaal[[#This Row],[Product]]&amp;", "&amp;Referentie_MKI_Totaal[[#Headers],[D]],Database_Productkaarten[#All],14,FALSE),0)*Baseline!I75),0))</f>
        <v>0</v>
      </c>
      <c r="S73" s="266">
        <f>SUM(Referentie_MKI_Totaal[[#This Row],[A1-A3]:[C4]])+Referentie_MKI_Totaal[[#This Row],[D]]</f>
        <v>0</v>
      </c>
      <c r="V73" s="331" t="e">
        <f>SUM(Referentie_MKI_Totaal[[#This Row],[A1-A3]]+Referentie_MKI_Totaal[[#This Row],[A4]]+Referentie_MKI_Totaal[[#This Row],[C2]]+Referentie_MKI_Totaal[[#This Row],[C3]]+Referentie_MKI_Totaal[[#This Row],[C4]]+Referentie_MKI_Totaal[[#This Row],[D]])*(VLOOKUP(Referentie_MKI_Totaal[[#This Row],[Product]]&amp;", "&amp;Referentie_MKI_Totaal[[#Headers],[A5]],Database_Productkaarten[#All],66,FALSE))</f>
        <v>#N/A</v>
      </c>
    </row>
    <row r="74" spans="2:22" hidden="1">
      <c r="B74" s="263">
        <f>Baseline!B76</f>
        <v>0</v>
      </c>
      <c r="C74" s="264">
        <f>Baseline!F76</f>
        <v>0</v>
      </c>
      <c r="D74" s="265">
        <f>(IF(Baseline!C76="Nieuwe Situatie",(_xlfn.IFNA(VLOOKUP(Referentie_MKI_Totaal[[#This Row],[Product]]&amp;", "&amp;Referentie_MKI_Totaal[[#Headers],[A1]],Database_Productkaarten[#All],14,FALSE),0)*Baseline!I76),0))</f>
        <v>0</v>
      </c>
      <c r="E74" s="265">
        <f>(IF(Baseline!C76="Nieuwe Situatie",(_xlfn.IFNA(VLOOKUP(Referentie_MKI_Totaal[[#This Row],[Product]]&amp;", "&amp;Referentie_MKI_Totaal[[#Headers],[A2]],Database_Productkaarten[#All],14,FALSE),0)*Baseline!I76),0))</f>
        <v>0</v>
      </c>
      <c r="F74" s="265">
        <f>(IF(Baseline!C76="Nieuwe Situatie",(_xlfn.IFNA(VLOOKUP(Referentie_MKI_Totaal[[#This Row],[Product]]&amp;", "&amp;Referentie_MKI_Totaal[[#Headers],[A3]],Database_Productkaarten[#All],14,FALSE),0)*Baseline!I76),0))</f>
        <v>0</v>
      </c>
      <c r="G74" s="265">
        <f>(IF(Baseline!C76="Nieuwe Situatie",(_xlfn.IFNA(VLOOKUP(Referentie_MKI_Totaal[[#This Row],[Product]]&amp;", "&amp;Referentie_MKI_Totaal[[#Headers],[A1-A3]],Database_Productkaarten[#All],14,FALSE),0)*Baseline!I76),0))</f>
        <v>0</v>
      </c>
      <c r="H74" s="265">
        <f>IF(Baseline!T76=0,(IF(Baseline!C76="Nieuwe Situatie",(_xlfn.IFNA(VLOOKUP(Referentie_MKI_Totaal[[#This Row],[Product]]&amp;", "&amp;Referentie_MKI_Totaal[[#Headers],[A4]],Database_Productkaarten[#All],14,FALSE),0)*Baseline!Q76),0)),(IF(Baseline!C76="Nieuwe Situatie",_xlfn.IFNA(VLOOKUP(Baseline!T76,Database_Transport[#All],7,FALSE)*(Baseline!Q76*Baseline!S76),0))))</f>
        <v>0</v>
      </c>
      <c r="I74" s="265">
        <f>IF(Baseline!C76="Nieuwe situatie",IF(_xlfn.IFNA((VLOOKUP(Baseline!U76,Database_Asfalt_Aanlegset[#All],7,FALSE)*Baseline!I76),0)+_xlfn.IFNA(VLOOKUP(Baseline!V76,Database_Brandstoffen[#All],7,FALSE)*((Baseline!I76/Baseline!X76)*Baseline!W76),0)&gt;0,_xlfn.IFNA((VLOOKUP(Baseline!U76,Database_Asfalt_Aanlegset[#All],7,FALSE)*Baseline!I76),0)+_xlfn.IFNA(VLOOKUP(Baseline!V76,Database_Brandstoffen[#All],7,FALSE)*((Baseline!I76/Baseline!X76)*Baseline!W76),0),(_xlfn.IFNA(VLOOKUP(Referentie_MKI_Totaal[[#This Row],[Product]]&amp;", "&amp;Referentie_MKI_Totaal[[#Headers],[A5]],Database_Productkaarten[#All],14,FALSE),0)*Baseline!I76)),0)</f>
        <v>0</v>
      </c>
      <c r="J74" s="265"/>
      <c r="K74" s="265">
        <f>(IF(Baseline!C76="Nieuwe Situatie",(SUM(Referentie_MKI_Totaal[[#This Row],[A1]:[B1]],Referentie_MKI_Totaal[[#This Row],[C1]:[D2]])*Baseline!R76),0))</f>
        <v>0</v>
      </c>
      <c r="L74" s="265">
        <f>IF(Baseline!C76="Bestaande situatie",IF(_xlfn.IFNA((VLOOKUP(Baseline!Y76,Database_Asfalt_Verwijderset[#All],7,FALSE)*Baseline!I76),0)+_xlfn.IFNA(VLOOKUP(Baseline!Z76,Database_Brandstoffen[#All],7,FALSE)*((Baseline!I76/Baseline!AB76)*Baseline!AA76),0)&gt;0,_xlfn.IFNA((VLOOKUP(Baseline!Y76,Database_Asfalt_Verwijderset[#All],7,FALSE)*Baseline!I76),0)+_xlfn.IFNA(VLOOKUP(Baseline!Z76,Database_Brandstoffen[#All],7,FALSE)*((Baseline!I76/Baseline!AB76)*Baseline!AA76),0),(_xlfn.IFNA(VLOOKUP(Referentie_MKI_Totaal[[#This Row],[Product]]&amp;", "&amp;Referentie_MKI_Totaal[[#Headers],[C1]],Database_Productkaarten[#All],14,FALSE),0)*Baseline!I76)),0)</f>
        <v>0</v>
      </c>
      <c r="M74" s="265">
        <f>IF(Baseline!AD76=0,(IF(Baseline!C76="Bestaande Situatie",(_xlfn.IFNA(VLOOKUP(Referentie_MKI_Totaal[[#This Row],[Product]]&amp;", "&amp;Referentie_MKI_Totaal[[#Headers],[C2]],Database_Productkaarten[#All],14,FALSE),0)*Baseline!I76),0)),(IF(Baseline!C76="Bestaande Situatie",_xlfn.IFNA(VLOOKUP(Baseline!AD76,Database_Transport[#All],7,FALSE)*(Baseline!Q76*Baseline!AC76),0))))</f>
        <v>0</v>
      </c>
      <c r="N74" s="265">
        <f>(IF(Baseline!C76="Bestaande Situatie",(_xlfn.IFNA(VLOOKUP(Referentie_MKI_Totaal[[#This Row],[Product]]&amp;", "&amp;Referentie_MKI_Totaal[[#Headers],[C3]],Database_Productkaarten[#All],14,FALSE),0)*Baseline!I76),0))</f>
        <v>0</v>
      </c>
      <c r="O74" s="265">
        <f>(IF(Baseline!C76="Bestaande Situatie",(_xlfn.IFNA(VLOOKUP(Referentie_MKI_Totaal[[#This Row],[Product]]&amp;", "&amp;Referentie_MKI_Totaal[[#Headers],[C4]],Database_Productkaarten[#All],14,FALSE),0)*Baseline!I76),0))</f>
        <v>0</v>
      </c>
      <c r="P74" s="265">
        <f>(IF(Baseline!C76="Bestaande Situatie",(_xlfn.IFNA(VLOOKUP(Referentie_MKI_Totaal[[#This Row],[Product]]&amp;", "&amp;Referentie_MKI_Totaal[[#Headers],[D1]],Database_Productkaarten[#All],14,FALSE),0)*Baseline!I76),0))</f>
        <v>0</v>
      </c>
      <c r="Q74" s="265">
        <f>(IF(Baseline!C76="Bestaande Situatie",_xlfn.IFNA(VLOOKUP(Referentie_MKI_Totaal[[#This Row],[Product]]&amp;", "&amp;Referentie_MKI_Totaal[[#Headers],[D2]],Database_Productkaarten[#All],14,FALSE),0)*Baseline!I76,0))</f>
        <v>0</v>
      </c>
      <c r="R74" s="265">
        <f>(IF(Baseline!C76="Bestaande Situatie",(_xlfn.IFNA(VLOOKUP(Referentie_MKI_Totaal[[#This Row],[Product]]&amp;", "&amp;Referentie_MKI_Totaal[[#Headers],[D]],Database_Productkaarten[#All],14,FALSE),0)*Baseline!I76),0))</f>
        <v>0</v>
      </c>
      <c r="S74" s="266">
        <f>SUM(Referentie_MKI_Totaal[[#This Row],[A1-A3]:[C4]])+Referentie_MKI_Totaal[[#This Row],[D]]</f>
        <v>0</v>
      </c>
      <c r="V74" s="331" t="e">
        <f>SUM(Referentie_MKI_Totaal[[#This Row],[A1-A3]]+Referentie_MKI_Totaal[[#This Row],[A4]]+Referentie_MKI_Totaal[[#This Row],[C2]]+Referentie_MKI_Totaal[[#This Row],[C3]]+Referentie_MKI_Totaal[[#This Row],[C4]]+Referentie_MKI_Totaal[[#This Row],[D]])*(VLOOKUP(Referentie_MKI_Totaal[[#This Row],[Product]]&amp;", "&amp;Referentie_MKI_Totaal[[#Headers],[A5]],Database_Productkaarten[#All],66,FALSE))</f>
        <v>#N/A</v>
      </c>
    </row>
    <row r="75" spans="2:22" hidden="1">
      <c r="B75" s="263">
        <f>Baseline!B77</f>
        <v>0</v>
      </c>
      <c r="C75" s="264">
        <f>Baseline!F77</f>
        <v>0</v>
      </c>
      <c r="D75" s="265">
        <f>(IF(Baseline!C77="Nieuwe Situatie",(_xlfn.IFNA(VLOOKUP(Referentie_MKI_Totaal[[#This Row],[Product]]&amp;", "&amp;Referentie_MKI_Totaal[[#Headers],[A1]],Database_Productkaarten[#All],14,FALSE),0)*Baseline!I77),0))</f>
        <v>0</v>
      </c>
      <c r="E75" s="265">
        <f>(IF(Baseline!C77="Nieuwe Situatie",(_xlfn.IFNA(VLOOKUP(Referentie_MKI_Totaal[[#This Row],[Product]]&amp;", "&amp;Referentie_MKI_Totaal[[#Headers],[A2]],Database_Productkaarten[#All],14,FALSE),0)*Baseline!I77),0))</f>
        <v>0</v>
      </c>
      <c r="F75" s="265">
        <f>(IF(Baseline!C77="Nieuwe Situatie",(_xlfn.IFNA(VLOOKUP(Referentie_MKI_Totaal[[#This Row],[Product]]&amp;", "&amp;Referentie_MKI_Totaal[[#Headers],[A3]],Database_Productkaarten[#All],14,FALSE),0)*Baseline!I77),0))</f>
        <v>0</v>
      </c>
      <c r="G75" s="265">
        <f>(IF(Baseline!C77="Nieuwe Situatie",(_xlfn.IFNA(VLOOKUP(Referentie_MKI_Totaal[[#This Row],[Product]]&amp;", "&amp;Referentie_MKI_Totaal[[#Headers],[A1-A3]],Database_Productkaarten[#All],14,FALSE),0)*Baseline!I77),0))</f>
        <v>0</v>
      </c>
      <c r="H75" s="265">
        <f>IF(Baseline!T77=0,(IF(Baseline!C77="Nieuwe Situatie",(_xlfn.IFNA(VLOOKUP(Referentie_MKI_Totaal[[#This Row],[Product]]&amp;", "&amp;Referentie_MKI_Totaal[[#Headers],[A4]],Database_Productkaarten[#All],14,FALSE),0)*Baseline!Q77),0)),(IF(Baseline!C77="Nieuwe Situatie",_xlfn.IFNA(VLOOKUP(Baseline!T77,Database_Transport[#All],7,FALSE)*(Baseline!Q77*Baseline!S77),0))))</f>
        <v>0</v>
      </c>
      <c r="I75" s="265">
        <f>IF(Baseline!C77="Nieuwe situatie",IF(_xlfn.IFNA((VLOOKUP(Baseline!U77,Database_Asfalt_Aanlegset[#All],7,FALSE)*Baseline!I77),0)+_xlfn.IFNA(VLOOKUP(Baseline!V77,Database_Brandstoffen[#All],7,FALSE)*((Baseline!I77/Baseline!X77)*Baseline!W77),0)&gt;0,_xlfn.IFNA((VLOOKUP(Baseline!U77,Database_Asfalt_Aanlegset[#All],7,FALSE)*Baseline!I77),0)+_xlfn.IFNA(VLOOKUP(Baseline!V77,Database_Brandstoffen[#All],7,FALSE)*((Baseline!I77/Baseline!X77)*Baseline!W77),0),(_xlfn.IFNA(VLOOKUP(Referentie_MKI_Totaal[[#This Row],[Product]]&amp;", "&amp;Referentie_MKI_Totaal[[#Headers],[A5]],Database_Productkaarten[#All],14,FALSE),0)*Baseline!I77)),0)</f>
        <v>0</v>
      </c>
      <c r="J75" s="265"/>
      <c r="K75" s="265">
        <f>(IF(Baseline!C77="Nieuwe Situatie",(SUM(Referentie_MKI_Totaal[[#This Row],[A1]:[B1]],Referentie_MKI_Totaal[[#This Row],[C1]:[D2]])*Baseline!R77),0))</f>
        <v>0</v>
      </c>
      <c r="L75" s="265">
        <f>IF(Baseline!C77="Bestaande situatie",IF(_xlfn.IFNA((VLOOKUP(Baseline!Y77,Database_Asfalt_Verwijderset[#All],7,FALSE)*Baseline!I77),0)+_xlfn.IFNA(VLOOKUP(Baseline!Z77,Database_Brandstoffen[#All],7,FALSE)*((Baseline!I77/Baseline!AB77)*Baseline!AA77),0)&gt;0,_xlfn.IFNA((VLOOKUP(Baseline!Y77,Database_Asfalt_Verwijderset[#All],7,FALSE)*Baseline!I77),0)+_xlfn.IFNA(VLOOKUP(Baseline!Z77,Database_Brandstoffen[#All],7,FALSE)*((Baseline!I77/Baseline!AB77)*Baseline!AA77),0),(_xlfn.IFNA(VLOOKUP(Referentie_MKI_Totaal[[#This Row],[Product]]&amp;", "&amp;Referentie_MKI_Totaal[[#Headers],[C1]],Database_Productkaarten[#All],14,FALSE),0)*Baseline!I77)),0)</f>
        <v>0</v>
      </c>
      <c r="M75" s="265">
        <f>IF(Baseline!AD77=0,(IF(Baseline!C77="Bestaande Situatie",(_xlfn.IFNA(VLOOKUP(Referentie_MKI_Totaal[[#This Row],[Product]]&amp;", "&amp;Referentie_MKI_Totaal[[#Headers],[C2]],Database_Productkaarten[#All],14,FALSE),0)*Baseline!I77),0)),(IF(Baseline!C77="Bestaande Situatie",_xlfn.IFNA(VLOOKUP(Baseline!AD77,Database_Transport[#All],7,FALSE)*(Baseline!Q77*Baseline!AC77),0))))</f>
        <v>0</v>
      </c>
      <c r="N75" s="265">
        <f>(IF(Baseline!C77="Bestaande Situatie",(_xlfn.IFNA(VLOOKUP(Referentie_MKI_Totaal[[#This Row],[Product]]&amp;", "&amp;Referentie_MKI_Totaal[[#Headers],[C3]],Database_Productkaarten[#All],14,FALSE),0)*Baseline!I77),0))</f>
        <v>0</v>
      </c>
      <c r="O75" s="265">
        <f>(IF(Baseline!C77="Bestaande Situatie",(_xlfn.IFNA(VLOOKUP(Referentie_MKI_Totaal[[#This Row],[Product]]&amp;", "&amp;Referentie_MKI_Totaal[[#Headers],[C4]],Database_Productkaarten[#All],14,FALSE),0)*Baseline!I77),0))</f>
        <v>0</v>
      </c>
      <c r="P75" s="265">
        <f>(IF(Baseline!C77="Bestaande Situatie",(_xlfn.IFNA(VLOOKUP(Referentie_MKI_Totaal[[#This Row],[Product]]&amp;", "&amp;Referentie_MKI_Totaal[[#Headers],[D1]],Database_Productkaarten[#All],14,FALSE),0)*Baseline!I77),0))</f>
        <v>0</v>
      </c>
      <c r="Q75" s="265">
        <f>(IF(Baseline!C77="Bestaande Situatie",_xlfn.IFNA(VLOOKUP(Referentie_MKI_Totaal[[#This Row],[Product]]&amp;", "&amp;Referentie_MKI_Totaal[[#Headers],[D2]],Database_Productkaarten[#All],14,FALSE),0)*Baseline!I77,0))</f>
        <v>0</v>
      </c>
      <c r="R75" s="265">
        <f>(IF(Baseline!C77="Bestaande Situatie",(_xlfn.IFNA(VLOOKUP(Referentie_MKI_Totaal[[#This Row],[Product]]&amp;", "&amp;Referentie_MKI_Totaal[[#Headers],[D]],Database_Productkaarten[#All],14,FALSE),0)*Baseline!I77),0))</f>
        <v>0</v>
      </c>
      <c r="S75" s="266">
        <f>SUM(Referentie_MKI_Totaal[[#This Row],[A1-A3]:[C4]])+Referentie_MKI_Totaal[[#This Row],[D]]</f>
        <v>0</v>
      </c>
      <c r="V75" s="331" t="e">
        <f>SUM(Referentie_MKI_Totaal[[#This Row],[A1-A3]]+Referentie_MKI_Totaal[[#This Row],[A4]]+Referentie_MKI_Totaal[[#This Row],[C2]]+Referentie_MKI_Totaal[[#This Row],[C3]]+Referentie_MKI_Totaal[[#This Row],[C4]]+Referentie_MKI_Totaal[[#This Row],[D]])*(VLOOKUP(Referentie_MKI_Totaal[[#This Row],[Product]]&amp;", "&amp;Referentie_MKI_Totaal[[#Headers],[A5]],Database_Productkaarten[#All],66,FALSE))</f>
        <v>#N/A</v>
      </c>
    </row>
    <row r="76" spans="2:22" hidden="1">
      <c r="B76" s="263">
        <f>Baseline!B78</f>
        <v>0</v>
      </c>
      <c r="C76" s="264">
        <f>Baseline!F78</f>
        <v>0</v>
      </c>
      <c r="D76" s="265">
        <f>(IF(Baseline!C78="Nieuwe Situatie",(_xlfn.IFNA(VLOOKUP(Referentie_MKI_Totaal[[#This Row],[Product]]&amp;", "&amp;Referentie_MKI_Totaal[[#Headers],[A1]],Database_Productkaarten[#All],14,FALSE),0)*Baseline!I78),0))</f>
        <v>0</v>
      </c>
      <c r="E76" s="265">
        <f>(IF(Baseline!C78="Nieuwe Situatie",(_xlfn.IFNA(VLOOKUP(Referentie_MKI_Totaal[[#This Row],[Product]]&amp;", "&amp;Referentie_MKI_Totaal[[#Headers],[A2]],Database_Productkaarten[#All],14,FALSE),0)*Baseline!I78),0))</f>
        <v>0</v>
      </c>
      <c r="F76" s="265">
        <f>(IF(Baseline!C78="Nieuwe Situatie",(_xlfn.IFNA(VLOOKUP(Referentie_MKI_Totaal[[#This Row],[Product]]&amp;", "&amp;Referentie_MKI_Totaal[[#Headers],[A3]],Database_Productkaarten[#All],14,FALSE),0)*Baseline!I78),0))</f>
        <v>0</v>
      </c>
      <c r="G76" s="265">
        <f>(IF(Baseline!C78="Nieuwe Situatie",(_xlfn.IFNA(VLOOKUP(Referentie_MKI_Totaal[[#This Row],[Product]]&amp;", "&amp;Referentie_MKI_Totaal[[#Headers],[A1-A3]],Database_Productkaarten[#All],14,FALSE),0)*Baseline!I78),0))</f>
        <v>0</v>
      </c>
      <c r="H76" s="265">
        <f>IF(Baseline!T78=0,(IF(Baseline!C78="Nieuwe Situatie",(_xlfn.IFNA(VLOOKUP(Referentie_MKI_Totaal[[#This Row],[Product]]&amp;", "&amp;Referentie_MKI_Totaal[[#Headers],[A4]],Database_Productkaarten[#All],14,FALSE),0)*Baseline!Q78),0)),(IF(Baseline!C78="Nieuwe Situatie",_xlfn.IFNA(VLOOKUP(Baseline!T78,Database_Transport[#All],7,FALSE)*(Baseline!Q78*Baseline!S78),0))))</f>
        <v>0</v>
      </c>
      <c r="I76" s="265">
        <f>IF(Baseline!C78="Nieuwe situatie",IF(_xlfn.IFNA((VLOOKUP(Baseline!U78,Database_Asfalt_Aanlegset[#All],7,FALSE)*Baseline!I78),0)+_xlfn.IFNA(VLOOKUP(Baseline!V78,Database_Brandstoffen[#All],7,FALSE)*((Baseline!I78/Baseline!X78)*Baseline!W78),0)&gt;0,_xlfn.IFNA((VLOOKUP(Baseline!U78,Database_Asfalt_Aanlegset[#All],7,FALSE)*Baseline!I78),0)+_xlfn.IFNA(VLOOKUP(Baseline!V78,Database_Brandstoffen[#All],7,FALSE)*((Baseline!I78/Baseline!X78)*Baseline!W78),0),(_xlfn.IFNA(VLOOKUP(Referentie_MKI_Totaal[[#This Row],[Product]]&amp;", "&amp;Referentie_MKI_Totaal[[#Headers],[A5]],Database_Productkaarten[#All],14,FALSE),0)*Baseline!I78)),0)</f>
        <v>0</v>
      </c>
      <c r="J76" s="265"/>
      <c r="K76" s="265">
        <f>(IF(Baseline!C78="Nieuwe Situatie",(SUM(Referentie_MKI_Totaal[[#This Row],[A1]:[B1]],Referentie_MKI_Totaal[[#This Row],[C1]:[D2]])*Baseline!R78),0))</f>
        <v>0</v>
      </c>
      <c r="L76" s="265">
        <f>IF(Baseline!C78="Bestaande situatie",IF(_xlfn.IFNA((VLOOKUP(Baseline!Y78,Database_Asfalt_Verwijderset[#All],7,FALSE)*Baseline!I78),0)+_xlfn.IFNA(VLOOKUP(Baseline!Z78,Database_Brandstoffen[#All],7,FALSE)*((Baseline!I78/Baseline!AB78)*Baseline!AA78),0)&gt;0,_xlfn.IFNA((VLOOKUP(Baseline!Y78,Database_Asfalt_Verwijderset[#All],7,FALSE)*Baseline!I78),0)+_xlfn.IFNA(VLOOKUP(Baseline!Z78,Database_Brandstoffen[#All],7,FALSE)*((Baseline!I78/Baseline!AB78)*Baseline!AA78),0),(_xlfn.IFNA(VLOOKUP(Referentie_MKI_Totaal[[#This Row],[Product]]&amp;", "&amp;Referentie_MKI_Totaal[[#Headers],[C1]],Database_Productkaarten[#All],14,FALSE),0)*Baseline!I78)),0)</f>
        <v>0</v>
      </c>
      <c r="M76" s="265">
        <f>IF(Baseline!AD78=0,(IF(Baseline!C78="Bestaande Situatie",(_xlfn.IFNA(VLOOKUP(Referentie_MKI_Totaal[[#This Row],[Product]]&amp;", "&amp;Referentie_MKI_Totaal[[#Headers],[C2]],Database_Productkaarten[#All],14,FALSE),0)*Baseline!I78),0)),(IF(Baseline!C78="Bestaande Situatie",_xlfn.IFNA(VLOOKUP(Baseline!AD78,Database_Transport[#All],7,FALSE)*(Baseline!Q78*Baseline!AC78),0))))</f>
        <v>0</v>
      </c>
      <c r="N76" s="265">
        <f>(IF(Baseline!C78="Bestaande Situatie",(_xlfn.IFNA(VLOOKUP(Referentie_MKI_Totaal[[#This Row],[Product]]&amp;", "&amp;Referentie_MKI_Totaal[[#Headers],[C3]],Database_Productkaarten[#All],14,FALSE),0)*Baseline!I78),0))</f>
        <v>0</v>
      </c>
      <c r="O76" s="265">
        <f>(IF(Baseline!C78="Bestaande Situatie",(_xlfn.IFNA(VLOOKUP(Referentie_MKI_Totaal[[#This Row],[Product]]&amp;", "&amp;Referentie_MKI_Totaal[[#Headers],[C4]],Database_Productkaarten[#All],14,FALSE),0)*Baseline!I78),0))</f>
        <v>0</v>
      </c>
      <c r="P76" s="265">
        <f>(IF(Baseline!C78="Bestaande Situatie",(_xlfn.IFNA(VLOOKUP(Referentie_MKI_Totaal[[#This Row],[Product]]&amp;", "&amp;Referentie_MKI_Totaal[[#Headers],[D1]],Database_Productkaarten[#All],14,FALSE),0)*Baseline!I78),0))</f>
        <v>0</v>
      </c>
      <c r="Q76" s="265">
        <f>(IF(Baseline!C78="Bestaande Situatie",_xlfn.IFNA(VLOOKUP(Referentie_MKI_Totaal[[#This Row],[Product]]&amp;", "&amp;Referentie_MKI_Totaal[[#Headers],[D2]],Database_Productkaarten[#All],14,FALSE),0)*Baseline!I78,0))</f>
        <v>0</v>
      </c>
      <c r="R76" s="265">
        <f>(IF(Baseline!C78="Bestaande Situatie",(_xlfn.IFNA(VLOOKUP(Referentie_MKI_Totaal[[#This Row],[Product]]&amp;", "&amp;Referentie_MKI_Totaal[[#Headers],[D]],Database_Productkaarten[#All],14,FALSE),0)*Baseline!I78),0))</f>
        <v>0</v>
      </c>
      <c r="S76" s="266">
        <f>SUM(Referentie_MKI_Totaal[[#This Row],[A1-A3]:[C4]])+Referentie_MKI_Totaal[[#This Row],[D]]</f>
        <v>0</v>
      </c>
      <c r="V76" s="331" t="e">
        <f>SUM(Referentie_MKI_Totaal[[#This Row],[A1-A3]]+Referentie_MKI_Totaal[[#This Row],[A4]]+Referentie_MKI_Totaal[[#This Row],[C2]]+Referentie_MKI_Totaal[[#This Row],[C3]]+Referentie_MKI_Totaal[[#This Row],[C4]]+Referentie_MKI_Totaal[[#This Row],[D]])*(VLOOKUP(Referentie_MKI_Totaal[[#This Row],[Product]]&amp;", "&amp;Referentie_MKI_Totaal[[#Headers],[A5]],Database_Productkaarten[#All],66,FALSE))</f>
        <v>#N/A</v>
      </c>
    </row>
    <row r="77" spans="2:22" hidden="1">
      <c r="B77" s="263">
        <f>Baseline!B79</f>
        <v>0</v>
      </c>
      <c r="C77" s="264">
        <f>Baseline!F79</f>
        <v>0</v>
      </c>
      <c r="D77" s="265">
        <f>(IF(Baseline!C79="Nieuwe Situatie",(_xlfn.IFNA(VLOOKUP(Referentie_MKI_Totaal[[#This Row],[Product]]&amp;", "&amp;Referentie_MKI_Totaal[[#Headers],[A1]],Database_Productkaarten[#All],14,FALSE),0)*Baseline!I79),0))</f>
        <v>0</v>
      </c>
      <c r="E77" s="265">
        <f>(IF(Baseline!C79="Nieuwe Situatie",(_xlfn.IFNA(VLOOKUP(Referentie_MKI_Totaal[[#This Row],[Product]]&amp;", "&amp;Referentie_MKI_Totaal[[#Headers],[A2]],Database_Productkaarten[#All],14,FALSE),0)*Baseline!I79),0))</f>
        <v>0</v>
      </c>
      <c r="F77" s="265">
        <f>(IF(Baseline!C79="Nieuwe Situatie",(_xlfn.IFNA(VLOOKUP(Referentie_MKI_Totaal[[#This Row],[Product]]&amp;", "&amp;Referentie_MKI_Totaal[[#Headers],[A3]],Database_Productkaarten[#All],14,FALSE),0)*Baseline!I79),0))</f>
        <v>0</v>
      </c>
      <c r="G77" s="265">
        <f>(IF(Baseline!C79="Nieuwe Situatie",(_xlfn.IFNA(VLOOKUP(Referentie_MKI_Totaal[[#This Row],[Product]]&amp;", "&amp;Referentie_MKI_Totaal[[#Headers],[A1-A3]],Database_Productkaarten[#All],14,FALSE),0)*Baseline!I79),0))</f>
        <v>0</v>
      </c>
      <c r="H77" s="265">
        <f>IF(Baseline!T79=0,(IF(Baseline!C79="Nieuwe Situatie",(_xlfn.IFNA(VLOOKUP(Referentie_MKI_Totaal[[#This Row],[Product]]&amp;", "&amp;Referentie_MKI_Totaal[[#Headers],[A4]],Database_Productkaarten[#All],14,FALSE),0)*Baseline!Q79),0)),(IF(Baseline!C79="Nieuwe Situatie",_xlfn.IFNA(VLOOKUP(Baseline!T79,Database_Transport[#All],7,FALSE)*(Baseline!Q79*Baseline!S79),0))))</f>
        <v>0</v>
      </c>
      <c r="I77" s="265">
        <f>IF(Baseline!C79="Nieuwe situatie",IF(_xlfn.IFNA((VLOOKUP(Baseline!U79,Database_Asfalt_Aanlegset[#All],7,FALSE)*Baseline!I79),0)+_xlfn.IFNA(VLOOKUP(Baseline!V79,Database_Brandstoffen[#All],7,FALSE)*((Baseline!I79/Baseline!X79)*Baseline!W79),0)&gt;0,_xlfn.IFNA((VLOOKUP(Baseline!U79,Database_Asfalt_Aanlegset[#All],7,FALSE)*Baseline!I79),0)+_xlfn.IFNA(VLOOKUP(Baseline!V79,Database_Brandstoffen[#All],7,FALSE)*((Baseline!I79/Baseline!X79)*Baseline!W79),0),(_xlfn.IFNA(VLOOKUP(Referentie_MKI_Totaal[[#This Row],[Product]]&amp;", "&amp;Referentie_MKI_Totaal[[#Headers],[A5]],Database_Productkaarten[#All],14,FALSE),0)*Baseline!I79)),0)</f>
        <v>0</v>
      </c>
      <c r="J77" s="265"/>
      <c r="K77" s="265">
        <f>(IF(Baseline!C79="Nieuwe Situatie",(SUM(Referentie_MKI_Totaal[[#This Row],[A1]:[B1]],Referentie_MKI_Totaal[[#This Row],[C1]:[D2]])*Baseline!R79),0))</f>
        <v>0</v>
      </c>
      <c r="L77" s="265">
        <f>IF(Baseline!C79="Bestaande situatie",IF(_xlfn.IFNA((VLOOKUP(Baseline!Y79,Database_Asfalt_Verwijderset[#All],7,FALSE)*Baseline!I79),0)+_xlfn.IFNA(VLOOKUP(Baseline!Z79,Database_Brandstoffen[#All],7,FALSE)*((Baseline!I79/Baseline!AB79)*Baseline!AA79),0)&gt;0,_xlfn.IFNA((VLOOKUP(Baseline!Y79,Database_Asfalt_Verwijderset[#All],7,FALSE)*Baseline!I79),0)+_xlfn.IFNA(VLOOKUP(Baseline!Z79,Database_Brandstoffen[#All],7,FALSE)*((Baseline!I79/Baseline!AB79)*Baseline!AA79),0),(_xlfn.IFNA(VLOOKUP(Referentie_MKI_Totaal[[#This Row],[Product]]&amp;", "&amp;Referentie_MKI_Totaal[[#Headers],[C1]],Database_Productkaarten[#All],14,FALSE),0)*Baseline!I79)),0)</f>
        <v>0</v>
      </c>
      <c r="M77" s="265">
        <f>IF(Baseline!AD79=0,(IF(Baseline!C79="Bestaande Situatie",(_xlfn.IFNA(VLOOKUP(Referentie_MKI_Totaal[[#This Row],[Product]]&amp;", "&amp;Referentie_MKI_Totaal[[#Headers],[C2]],Database_Productkaarten[#All],14,FALSE),0)*Baseline!I79),0)),(IF(Baseline!C79="Bestaande Situatie",_xlfn.IFNA(VLOOKUP(Baseline!AD79,Database_Transport[#All],7,FALSE)*(Baseline!Q79*Baseline!AC79),0))))</f>
        <v>0</v>
      </c>
      <c r="N77" s="265">
        <f>(IF(Baseline!C79="Bestaande Situatie",(_xlfn.IFNA(VLOOKUP(Referentie_MKI_Totaal[[#This Row],[Product]]&amp;", "&amp;Referentie_MKI_Totaal[[#Headers],[C3]],Database_Productkaarten[#All],14,FALSE),0)*Baseline!I79),0))</f>
        <v>0</v>
      </c>
      <c r="O77" s="265">
        <f>(IF(Baseline!C79="Bestaande Situatie",(_xlfn.IFNA(VLOOKUP(Referentie_MKI_Totaal[[#This Row],[Product]]&amp;", "&amp;Referentie_MKI_Totaal[[#Headers],[C4]],Database_Productkaarten[#All],14,FALSE),0)*Baseline!I79),0))</f>
        <v>0</v>
      </c>
      <c r="P77" s="265">
        <f>(IF(Baseline!C79="Bestaande Situatie",(_xlfn.IFNA(VLOOKUP(Referentie_MKI_Totaal[[#This Row],[Product]]&amp;", "&amp;Referentie_MKI_Totaal[[#Headers],[D1]],Database_Productkaarten[#All],14,FALSE),0)*Baseline!I79),0))</f>
        <v>0</v>
      </c>
      <c r="Q77" s="265">
        <f>(IF(Baseline!C79="Bestaande Situatie",_xlfn.IFNA(VLOOKUP(Referentie_MKI_Totaal[[#This Row],[Product]]&amp;", "&amp;Referentie_MKI_Totaal[[#Headers],[D2]],Database_Productkaarten[#All],14,FALSE),0)*Baseline!I79,0))</f>
        <v>0</v>
      </c>
      <c r="R77" s="265">
        <f>(IF(Baseline!C79="Bestaande Situatie",(_xlfn.IFNA(VLOOKUP(Referentie_MKI_Totaal[[#This Row],[Product]]&amp;", "&amp;Referentie_MKI_Totaal[[#Headers],[D]],Database_Productkaarten[#All],14,FALSE),0)*Baseline!I79),0))</f>
        <v>0</v>
      </c>
      <c r="S77" s="266">
        <f>SUM(Referentie_MKI_Totaal[[#This Row],[A1-A3]:[C4]])+Referentie_MKI_Totaal[[#This Row],[D]]</f>
        <v>0</v>
      </c>
      <c r="V77" s="331" t="e">
        <f>SUM(Referentie_MKI_Totaal[[#This Row],[A1-A3]]+Referentie_MKI_Totaal[[#This Row],[A4]]+Referentie_MKI_Totaal[[#This Row],[C2]]+Referentie_MKI_Totaal[[#This Row],[C3]]+Referentie_MKI_Totaal[[#This Row],[C4]]+Referentie_MKI_Totaal[[#This Row],[D]])*(VLOOKUP(Referentie_MKI_Totaal[[#This Row],[Product]]&amp;", "&amp;Referentie_MKI_Totaal[[#Headers],[A5]],Database_Productkaarten[#All],66,FALSE))</f>
        <v>#N/A</v>
      </c>
    </row>
    <row r="78" spans="2:22" hidden="1">
      <c r="B78" s="263">
        <f>Baseline!B80</f>
        <v>0</v>
      </c>
      <c r="C78" s="264">
        <f>Baseline!F80</f>
        <v>0</v>
      </c>
      <c r="D78" s="265">
        <f>(IF(Baseline!C80="Nieuwe Situatie",(_xlfn.IFNA(VLOOKUP(Referentie_MKI_Totaal[[#This Row],[Product]]&amp;", "&amp;Referentie_MKI_Totaal[[#Headers],[A1]],Database_Productkaarten[#All],14,FALSE),0)*Baseline!I80),0))</f>
        <v>0</v>
      </c>
      <c r="E78" s="265">
        <f>(IF(Baseline!C80="Nieuwe Situatie",(_xlfn.IFNA(VLOOKUP(Referentie_MKI_Totaal[[#This Row],[Product]]&amp;", "&amp;Referentie_MKI_Totaal[[#Headers],[A2]],Database_Productkaarten[#All],14,FALSE),0)*Baseline!I80),0))</f>
        <v>0</v>
      </c>
      <c r="F78" s="265">
        <f>(IF(Baseline!C80="Nieuwe Situatie",(_xlfn.IFNA(VLOOKUP(Referentie_MKI_Totaal[[#This Row],[Product]]&amp;", "&amp;Referentie_MKI_Totaal[[#Headers],[A3]],Database_Productkaarten[#All],14,FALSE),0)*Baseline!I80),0))</f>
        <v>0</v>
      </c>
      <c r="G78" s="265">
        <f>(IF(Baseline!C80="Nieuwe Situatie",(_xlfn.IFNA(VLOOKUP(Referentie_MKI_Totaal[[#This Row],[Product]]&amp;", "&amp;Referentie_MKI_Totaal[[#Headers],[A1-A3]],Database_Productkaarten[#All],14,FALSE),0)*Baseline!I80),0))</f>
        <v>0</v>
      </c>
      <c r="H78" s="265">
        <f>IF(Baseline!T80=0,(IF(Baseline!C80="Nieuwe Situatie",(_xlfn.IFNA(VLOOKUP(Referentie_MKI_Totaal[[#This Row],[Product]]&amp;", "&amp;Referentie_MKI_Totaal[[#Headers],[A4]],Database_Productkaarten[#All],14,FALSE),0)*Baseline!Q80),0)),(IF(Baseline!C80="Nieuwe Situatie",_xlfn.IFNA(VLOOKUP(Baseline!T80,Database_Transport[#All],7,FALSE)*(Baseline!Q80*Baseline!S80),0))))</f>
        <v>0</v>
      </c>
      <c r="I78" s="265">
        <f>IF(Baseline!C80="Nieuwe situatie",IF(_xlfn.IFNA((VLOOKUP(Baseline!U80,Database_Asfalt_Aanlegset[#All],7,FALSE)*Baseline!I80),0)+_xlfn.IFNA(VLOOKUP(Baseline!V80,Database_Brandstoffen[#All],7,FALSE)*((Baseline!I80/Baseline!X80)*Baseline!W80),0)&gt;0,_xlfn.IFNA((VLOOKUP(Baseline!U80,Database_Asfalt_Aanlegset[#All],7,FALSE)*Baseline!I80),0)+_xlfn.IFNA(VLOOKUP(Baseline!V80,Database_Brandstoffen[#All],7,FALSE)*((Baseline!I80/Baseline!X80)*Baseline!W80),0),(_xlfn.IFNA(VLOOKUP(Referentie_MKI_Totaal[[#This Row],[Product]]&amp;", "&amp;Referentie_MKI_Totaal[[#Headers],[A5]],Database_Productkaarten[#All],14,FALSE),0)*Baseline!I80)),0)</f>
        <v>0</v>
      </c>
      <c r="J78" s="265"/>
      <c r="K78" s="265">
        <f>(IF(Baseline!C80="Nieuwe Situatie",(SUM(Referentie_MKI_Totaal[[#This Row],[A1]:[B1]],Referentie_MKI_Totaal[[#This Row],[C1]:[D2]])*Baseline!R80),0))</f>
        <v>0</v>
      </c>
      <c r="L78" s="265">
        <f>IF(Baseline!C80="Bestaande situatie",IF(_xlfn.IFNA((VLOOKUP(Baseline!Y80,Database_Asfalt_Verwijderset[#All],7,FALSE)*Baseline!I80),0)+_xlfn.IFNA(VLOOKUP(Baseline!Z80,Database_Brandstoffen[#All],7,FALSE)*((Baseline!I80/Baseline!AB80)*Baseline!AA80),0)&gt;0,_xlfn.IFNA((VLOOKUP(Baseline!Y80,Database_Asfalt_Verwijderset[#All],7,FALSE)*Baseline!I80),0)+_xlfn.IFNA(VLOOKUP(Baseline!Z80,Database_Brandstoffen[#All],7,FALSE)*((Baseline!I80/Baseline!AB80)*Baseline!AA80),0),(_xlfn.IFNA(VLOOKUP(Referentie_MKI_Totaal[[#This Row],[Product]]&amp;", "&amp;Referentie_MKI_Totaal[[#Headers],[C1]],Database_Productkaarten[#All],14,FALSE),0)*Baseline!I80)),0)</f>
        <v>0</v>
      </c>
      <c r="M78" s="265">
        <f>IF(Baseline!AD80=0,(IF(Baseline!C80="Bestaande Situatie",(_xlfn.IFNA(VLOOKUP(Referentie_MKI_Totaal[[#This Row],[Product]]&amp;", "&amp;Referentie_MKI_Totaal[[#Headers],[C2]],Database_Productkaarten[#All],14,FALSE),0)*Baseline!I80),0)),(IF(Baseline!C80="Bestaande Situatie",_xlfn.IFNA(VLOOKUP(Baseline!AD80,Database_Transport[#All],7,FALSE)*(Baseline!Q80*Baseline!AC80),0))))</f>
        <v>0</v>
      </c>
      <c r="N78" s="265">
        <f>(IF(Baseline!C80="Bestaande Situatie",(_xlfn.IFNA(VLOOKUP(Referentie_MKI_Totaal[[#This Row],[Product]]&amp;", "&amp;Referentie_MKI_Totaal[[#Headers],[C3]],Database_Productkaarten[#All],14,FALSE),0)*Baseline!I80),0))</f>
        <v>0</v>
      </c>
      <c r="O78" s="265">
        <f>(IF(Baseline!C80="Bestaande Situatie",(_xlfn.IFNA(VLOOKUP(Referentie_MKI_Totaal[[#This Row],[Product]]&amp;", "&amp;Referentie_MKI_Totaal[[#Headers],[C4]],Database_Productkaarten[#All],14,FALSE),0)*Baseline!I80),0))</f>
        <v>0</v>
      </c>
      <c r="P78" s="265">
        <f>(IF(Baseline!C80="Bestaande Situatie",(_xlfn.IFNA(VLOOKUP(Referentie_MKI_Totaal[[#This Row],[Product]]&amp;", "&amp;Referentie_MKI_Totaal[[#Headers],[D1]],Database_Productkaarten[#All],14,FALSE),0)*Baseline!I80),0))</f>
        <v>0</v>
      </c>
      <c r="Q78" s="265">
        <f>(IF(Baseline!C80="Bestaande Situatie",_xlfn.IFNA(VLOOKUP(Referentie_MKI_Totaal[[#This Row],[Product]]&amp;", "&amp;Referentie_MKI_Totaal[[#Headers],[D2]],Database_Productkaarten[#All],14,FALSE),0)*Baseline!I80,0))</f>
        <v>0</v>
      </c>
      <c r="R78" s="265">
        <f>(IF(Baseline!C80="Bestaande Situatie",(_xlfn.IFNA(VLOOKUP(Referentie_MKI_Totaal[[#This Row],[Product]]&amp;", "&amp;Referentie_MKI_Totaal[[#Headers],[D]],Database_Productkaarten[#All],14,FALSE),0)*Baseline!I80),0))</f>
        <v>0</v>
      </c>
      <c r="S78" s="266">
        <f>SUM(Referentie_MKI_Totaal[[#This Row],[A1-A3]:[C4]])+Referentie_MKI_Totaal[[#This Row],[D]]</f>
        <v>0</v>
      </c>
      <c r="V78" s="331" t="e">
        <f>SUM(Referentie_MKI_Totaal[[#This Row],[A1-A3]]+Referentie_MKI_Totaal[[#This Row],[A4]]+Referentie_MKI_Totaal[[#This Row],[C2]]+Referentie_MKI_Totaal[[#This Row],[C3]]+Referentie_MKI_Totaal[[#This Row],[C4]]+Referentie_MKI_Totaal[[#This Row],[D]])*(VLOOKUP(Referentie_MKI_Totaal[[#This Row],[Product]]&amp;", "&amp;Referentie_MKI_Totaal[[#Headers],[A5]],Database_Productkaarten[#All],66,FALSE))</f>
        <v>#N/A</v>
      </c>
    </row>
    <row r="79" spans="2:22" hidden="1">
      <c r="B79" s="263">
        <f>Baseline!B81</f>
        <v>0</v>
      </c>
      <c r="C79" s="264">
        <f>Baseline!F81</f>
        <v>0</v>
      </c>
      <c r="D79" s="265">
        <f>(IF(Baseline!C81="Nieuwe Situatie",(_xlfn.IFNA(VLOOKUP(Referentie_MKI_Totaal[[#This Row],[Product]]&amp;", "&amp;Referentie_MKI_Totaal[[#Headers],[A1]],Database_Productkaarten[#All],14,FALSE),0)*Baseline!I81),0))</f>
        <v>0</v>
      </c>
      <c r="E79" s="265">
        <f>(IF(Baseline!C81="Nieuwe Situatie",(_xlfn.IFNA(VLOOKUP(Referentie_MKI_Totaal[[#This Row],[Product]]&amp;", "&amp;Referentie_MKI_Totaal[[#Headers],[A2]],Database_Productkaarten[#All],14,FALSE),0)*Baseline!I81),0))</f>
        <v>0</v>
      </c>
      <c r="F79" s="265">
        <f>(IF(Baseline!C81="Nieuwe Situatie",(_xlfn.IFNA(VLOOKUP(Referentie_MKI_Totaal[[#This Row],[Product]]&amp;", "&amp;Referentie_MKI_Totaal[[#Headers],[A3]],Database_Productkaarten[#All],14,FALSE),0)*Baseline!I81),0))</f>
        <v>0</v>
      </c>
      <c r="G79" s="265">
        <f>(IF(Baseline!C81="Nieuwe Situatie",(_xlfn.IFNA(VLOOKUP(Referentie_MKI_Totaal[[#This Row],[Product]]&amp;", "&amp;Referentie_MKI_Totaal[[#Headers],[A1-A3]],Database_Productkaarten[#All],14,FALSE),0)*Baseline!I81),0))</f>
        <v>0</v>
      </c>
      <c r="H79" s="265">
        <f>IF(Baseline!T81=0,(IF(Baseline!C81="Nieuwe Situatie",(_xlfn.IFNA(VLOOKUP(Referentie_MKI_Totaal[[#This Row],[Product]]&amp;", "&amp;Referentie_MKI_Totaal[[#Headers],[A4]],Database_Productkaarten[#All],14,FALSE),0)*Baseline!Q81),0)),(IF(Baseline!C81="Nieuwe Situatie",_xlfn.IFNA(VLOOKUP(Baseline!T81,Database_Transport[#All],7,FALSE)*(Baseline!Q81*Baseline!S81),0))))</f>
        <v>0</v>
      </c>
      <c r="I79" s="265">
        <f>IF(Baseline!C81="Nieuwe situatie",IF(_xlfn.IFNA((VLOOKUP(Baseline!U81,Database_Asfalt_Aanlegset[#All],7,FALSE)*Baseline!I81),0)+_xlfn.IFNA(VLOOKUP(Baseline!V81,Database_Brandstoffen[#All],7,FALSE)*((Baseline!I81/Baseline!X81)*Baseline!W81),0)&gt;0,_xlfn.IFNA((VLOOKUP(Baseline!U81,Database_Asfalt_Aanlegset[#All],7,FALSE)*Baseline!I81),0)+_xlfn.IFNA(VLOOKUP(Baseline!V81,Database_Brandstoffen[#All],7,FALSE)*((Baseline!I81/Baseline!X81)*Baseline!W81),0),(_xlfn.IFNA(VLOOKUP(Referentie_MKI_Totaal[[#This Row],[Product]]&amp;", "&amp;Referentie_MKI_Totaal[[#Headers],[A5]],Database_Productkaarten[#All],14,FALSE),0)*Baseline!I81)),0)</f>
        <v>0</v>
      </c>
      <c r="J79" s="265"/>
      <c r="K79" s="265">
        <f>(IF(Baseline!C81="Nieuwe Situatie",(SUM(Referentie_MKI_Totaal[[#This Row],[A1]:[B1]],Referentie_MKI_Totaal[[#This Row],[C1]:[D2]])*Baseline!R81),0))</f>
        <v>0</v>
      </c>
      <c r="L79" s="265">
        <f>IF(Baseline!C81="Bestaande situatie",IF(_xlfn.IFNA((VLOOKUP(Baseline!Y81,Database_Asfalt_Verwijderset[#All],7,FALSE)*Baseline!I81),0)+_xlfn.IFNA(VLOOKUP(Baseline!Z81,Database_Brandstoffen[#All],7,FALSE)*((Baseline!I81/Baseline!AB81)*Baseline!AA81),0)&gt;0,_xlfn.IFNA((VLOOKUP(Baseline!Y81,Database_Asfalt_Verwijderset[#All],7,FALSE)*Baseline!I81),0)+_xlfn.IFNA(VLOOKUP(Baseline!Z81,Database_Brandstoffen[#All],7,FALSE)*((Baseline!I81/Baseline!AB81)*Baseline!AA81),0),(_xlfn.IFNA(VLOOKUP(Referentie_MKI_Totaal[[#This Row],[Product]]&amp;", "&amp;Referentie_MKI_Totaal[[#Headers],[C1]],Database_Productkaarten[#All],14,FALSE),0)*Baseline!I81)),0)</f>
        <v>0</v>
      </c>
      <c r="M79" s="265">
        <f>IF(Baseline!AD81=0,(IF(Baseline!C81="Bestaande Situatie",(_xlfn.IFNA(VLOOKUP(Referentie_MKI_Totaal[[#This Row],[Product]]&amp;", "&amp;Referentie_MKI_Totaal[[#Headers],[C2]],Database_Productkaarten[#All],14,FALSE),0)*Baseline!I81),0)),(IF(Baseline!C81="Bestaande Situatie",_xlfn.IFNA(VLOOKUP(Baseline!AD81,Database_Transport[#All],7,FALSE)*(Baseline!Q81*Baseline!AC81),0))))</f>
        <v>0</v>
      </c>
      <c r="N79" s="265">
        <f>(IF(Baseline!C81="Bestaande Situatie",(_xlfn.IFNA(VLOOKUP(Referentie_MKI_Totaal[[#This Row],[Product]]&amp;", "&amp;Referentie_MKI_Totaal[[#Headers],[C3]],Database_Productkaarten[#All],14,FALSE),0)*Baseline!I81),0))</f>
        <v>0</v>
      </c>
      <c r="O79" s="265">
        <f>(IF(Baseline!C81="Bestaande Situatie",(_xlfn.IFNA(VLOOKUP(Referentie_MKI_Totaal[[#This Row],[Product]]&amp;", "&amp;Referentie_MKI_Totaal[[#Headers],[C4]],Database_Productkaarten[#All],14,FALSE),0)*Baseline!I81),0))</f>
        <v>0</v>
      </c>
      <c r="P79" s="265">
        <f>(IF(Baseline!C81="Bestaande Situatie",(_xlfn.IFNA(VLOOKUP(Referentie_MKI_Totaal[[#This Row],[Product]]&amp;", "&amp;Referentie_MKI_Totaal[[#Headers],[D1]],Database_Productkaarten[#All],14,FALSE),0)*Baseline!I81),0))</f>
        <v>0</v>
      </c>
      <c r="Q79" s="265">
        <f>(IF(Baseline!C81="Bestaande Situatie",_xlfn.IFNA(VLOOKUP(Referentie_MKI_Totaal[[#This Row],[Product]]&amp;", "&amp;Referentie_MKI_Totaal[[#Headers],[D2]],Database_Productkaarten[#All],14,FALSE),0)*Baseline!I81,0))</f>
        <v>0</v>
      </c>
      <c r="R79" s="265">
        <f>(IF(Baseline!C81="Bestaande Situatie",(_xlfn.IFNA(VLOOKUP(Referentie_MKI_Totaal[[#This Row],[Product]]&amp;", "&amp;Referentie_MKI_Totaal[[#Headers],[D]],Database_Productkaarten[#All],14,FALSE),0)*Baseline!I81),0))</f>
        <v>0</v>
      </c>
      <c r="S79" s="266">
        <f>SUM(Referentie_MKI_Totaal[[#This Row],[A1-A3]:[C4]])+Referentie_MKI_Totaal[[#This Row],[D]]</f>
        <v>0</v>
      </c>
      <c r="V79" s="331" t="e">
        <f>SUM(Referentie_MKI_Totaal[[#This Row],[A1-A3]]+Referentie_MKI_Totaal[[#This Row],[A4]]+Referentie_MKI_Totaal[[#This Row],[C2]]+Referentie_MKI_Totaal[[#This Row],[C3]]+Referentie_MKI_Totaal[[#This Row],[C4]]+Referentie_MKI_Totaal[[#This Row],[D]])*(VLOOKUP(Referentie_MKI_Totaal[[#This Row],[Product]]&amp;", "&amp;Referentie_MKI_Totaal[[#Headers],[A5]],Database_Productkaarten[#All],66,FALSE))</f>
        <v>#N/A</v>
      </c>
    </row>
    <row r="80" spans="2:22" hidden="1">
      <c r="B80" s="263">
        <f>Baseline!B82</f>
        <v>0</v>
      </c>
      <c r="C80" s="264">
        <f>Baseline!F82</f>
        <v>0</v>
      </c>
      <c r="D80" s="265">
        <f>(IF(Baseline!C82="Nieuwe Situatie",(_xlfn.IFNA(VLOOKUP(Referentie_MKI_Totaal[[#This Row],[Product]]&amp;", "&amp;Referentie_MKI_Totaal[[#Headers],[A1]],Database_Productkaarten[#All],14,FALSE),0)*Baseline!I82),0))</f>
        <v>0</v>
      </c>
      <c r="E80" s="265">
        <f>(IF(Baseline!C82="Nieuwe Situatie",(_xlfn.IFNA(VLOOKUP(Referentie_MKI_Totaal[[#This Row],[Product]]&amp;", "&amp;Referentie_MKI_Totaal[[#Headers],[A2]],Database_Productkaarten[#All],14,FALSE),0)*Baseline!I82),0))</f>
        <v>0</v>
      </c>
      <c r="F80" s="265">
        <f>(IF(Baseline!C82="Nieuwe Situatie",(_xlfn.IFNA(VLOOKUP(Referentie_MKI_Totaal[[#This Row],[Product]]&amp;", "&amp;Referentie_MKI_Totaal[[#Headers],[A3]],Database_Productkaarten[#All],14,FALSE),0)*Baseline!I82),0))</f>
        <v>0</v>
      </c>
      <c r="G80" s="265">
        <f>(IF(Baseline!C82="Nieuwe Situatie",(_xlfn.IFNA(VLOOKUP(Referentie_MKI_Totaal[[#This Row],[Product]]&amp;", "&amp;Referentie_MKI_Totaal[[#Headers],[A1-A3]],Database_Productkaarten[#All],14,FALSE),0)*Baseline!I82),0))</f>
        <v>0</v>
      </c>
      <c r="H80" s="265">
        <f>IF(Baseline!T82=0,(IF(Baseline!C82="Nieuwe Situatie",(_xlfn.IFNA(VLOOKUP(Referentie_MKI_Totaal[[#This Row],[Product]]&amp;", "&amp;Referentie_MKI_Totaal[[#Headers],[A4]],Database_Productkaarten[#All],14,FALSE),0)*Baseline!Q82),0)),(IF(Baseline!C82="Nieuwe Situatie",_xlfn.IFNA(VLOOKUP(Baseline!T82,Database_Transport[#All],7,FALSE)*(Baseline!Q82*Baseline!S82),0))))</f>
        <v>0</v>
      </c>
      <c r="I80" s="265">
        <f>IF(Baseline!C82="Nieuwe situatie",IF(_xlfn.IFNA((VLOOKUP(Baseline!U82,Database_Asfalt_Aanlegset[#All],7,FALSE)*Baseline!I82),0)+_xlfn.IFNA(VLOOKUP(Baseline!V82,Database_Brandstoffen[#All],7,FALSE)*((Baseline!I82/Baseline!X82)*Baseline!W82),0)&gt;0,_xlfn.IFNA((VLOOKUP(Baseline!U82,Database_Asfalt_Aanlegset[#All],7,FALSE)*Baseline!I82),0)+_xlfn.IFNA(VLOOKUP(Baseline!V82,Database_Brandstoffen[#All],7,FALSE)*((Baseline!I82/Baseline!X82)*Baseline!W82),0),(_xlfn.IFNA(VLOOKUP(Referentie_MKI_Totaal[[#This Row],[Product]]&amp;", "&amp;Referentie_MKI_Totaal[[#Headers],[A5]],Database_Productkaarten[#All],14,FALSE),0)*Baseline!I82)),0)</f>
        <v>0</v>
      </c>
      <c r="J80" s="265"/>
      <c r="K80" s="265">
        <f>(IF(Baseline!C82="Nieuwe Situatie",(SUM(Referentie_MKI_Totaal[[#This Row],[A1]:[B1]],Referentie_MKI_Totaal[[#This Row],[C1]:[D2]])*Baseline!R82),0))</f>
        <v>0</v>
      </c>
      <c r="L80" s="265">
        <f>IF(Baseline!C82="Bestaande situatie",IF(_xlfn.IFNA((VLOOKUP(Baseline!Y82,Database_Asfalt_Verwijderset[#All],7,FALSE)*Baseline!I82),0)+_xlfn.IFNA(VLOOKUP(Baseline!Z82,Database_Brandstoffen[#All],7,FALSE)*((Baseline!I82/Baseline!AB82)*Baseline!AA82),0)&gt;0,_xlfn.IFNA((VLOOKUP(Baseline!Y82,Database_Asfalt_Verwijderset[#All],7,FALSE)*Baseline!I82),0)+_xlfn.IFNA(VLOOKUP(Baseline!Z82,Database_Brandstoffen[#All],7,FALSE)*((Baseline!I82/Baseline!AB82)*Baseline!AA82),0),(_xlfn.IFNA(VLOOKUP(Referentie_MKI_Totaal[[#This Row],[Product]]&amp;", "&amp;Referentie_MKI_Totaal[[#Headers],[C1]],Database_Productkaarten[#All],14,FALSE),0)*Baseline!I82)),0)</f>
        <v>0</v>
      </c>
      <c r="M80" s="265">
        <f>IF(Baseline!AD82=0,(IF(Baseline!C82="Bestaande Situatie",(_xlfn.IFNA(VLOOKUP(Referentie_MKI_Totaal[[#This Row],[Product]]&amp;", "&amp;Referentie_MKI_Totaal[[#Headers],[C2]],Database_Productkaarten[#All],14,FALSE),0)*Baseline!I82),0)),(IF(Baseline!C82="Bestaande Situatie",_xlfn.IFNA(VLOOKUP(Baseline!AD82,Database_Transport[#All],7,FALSE)*(Baseline!Q82*Baseline!AC82),0))))</f>
        <v>0</v>
      </c>
      <c r="N80" s="265">
        <f>(IF(Baseline!C82="Bestaande Situatie",(_xlfn.IFNA(VLOOKUP(Referentie_MKI_Totaal[[#This Row],[Product]]&amp;", "&amp;Referentie_MKI_Totaal[[#Headers],[C3]],Database_Productkaarten[#All],14,FALSE),0)*Baseline!I82),0))</f>
        <v>0</v>
      </c>
      <c r="O80" s="265">
        <f>(IF(Baseline!C82="Bestaande Situatie",(_xlfn.IFNA(VLOOKUP(Referentie_MKI_Totaal[[#This Row],[Product]]&amp;", "&amp;Referentie_MKI_Totaal[[#Headers],[C4]],Database_Productkaarten[#All],14,FALSE),0)*Baseline!I82),0))</f>
        <v>0</v>
      </c>
      <c r="P80" s="265">
        <f>(IF(Baseline!C82="Bestaande Situatie",(_xlfn.IFNA(VLOOKUP(Referentie_MKI_Totaal[[#This Row],[Product]]&amp;", "&amp;Referentie_MKI_Totaal[[#Headers],[D1]],Database_Productkaarten[#All],14,FALSE),0)*Baseline!I82),0))</f>
        <v>0</v>
      </c>
      <c r="Q80" s="265">
        <f>(IF(Baseline!C82="Bestaande Situatie",_xlfn.IFNA(VLOOKUP(Referentie_MKI_Totaal[[#This Row],[Product]]&amp;", "&amp;Referentie_MKI_Totaal[[#Headers],[D2]],Database_Productkaarten[#All],14,FALSE),0)*Baseline!I82,0))</f>
        <v>0</v>
      </c>
      <c r="R80" s="265">
        <f>(IF(Baseline!C82="Bestaande Situatie",(_xlfn.IFNA(VLOOKUP(Referentie_MKI_Totaal[[#This Row],[Product]]&amp;", "&amp;Referentie_MKI_Totaal[[#Headers],[D]],Database_Productkaarten[#All],14,FALSE),0)*Baseline!I82),0))</f>
        <v>0</v>
      </c>
      <c r="S80" s="266">
        <f>SUM(Referentie_MKI_Totaal[[#This Row],[A1-A3]:[C4]])+Referentie_MKI_Totaal[[#This Row],[D]]</f>
        <v>0</v>
      </c>
      <c r="V80" s="331" t="e">
        <f>SUM(Referentie_MKI_Totaal[[#This Row],[A1-A3]]+Referentie_MKI_Totaal[[#This Row],[A4]]+Referentie_MKI_Totaal[[#This Row],[C2]]+Referentie_MKI_Totaal[[#This Row],[C3]]+Referentie_MKI_Totaal[[#This Row],[C4]]+Referentie_MKI_Totaal[[#This Row],[D]])*(VLOOKUP(Referentie_MKI_Totaal[[#This Row],[Product]]&amp;", "&amp;Referentie_MKI_Totaal[[#Headers],[A5]],Database_Productkaarten[#All],66,FALSE))</f>
        <v>#N/A</v>
      </c>
    </row>
    <row r="81" spans="2:22" hidden="1">
      <c r="B81" s="263">
        <f>Baseline!B83</f>
        <v>0</v>
      </c>
      <c r="C81" s="264">
        <f>Baseline!F83</f>
        <v>0</v>
      </c>
      <c r="D81" s="265">
        <f>(IF(Baseline!C83="Nieuwe Situatie",(_xlfn.IFNA(VLOOKUP(Referentie_MKI_Totaal[[#This Row],[Product]]&amp;", "&amp;Referentie_MKI_Totaal[[#Headers],[A1]],Database_Productkaarten[#All],14,FALSE),0)*Baseline!I83),0))</f>
        <v>0</v>
      </c>
      <c r="E81" s="265">
        <f>(IF(Baseline!C83="Nieuwe Situatie",(_xlfn.IFNA(VLOOKUP(Referentie_MKI_Totaal[[#This Row],[Product]]&amp;", "&amp;Referentie_MKI_Totaal[[#Headers],[A2]],Database_Productkaarten[#All],14,FALSE),0)*Baseline!I83),0))</f>
        <v>0</v>
      </c>
      <c r="F81" s="265">
        <f>(IF(Baseline!C83="Nieuwe Situatie",(_xlfn.IFNA(VLOOKUP(Referentie_MKI_Totaal[[#This Row],[Product]]&amp;", "&amp;Referentie_MKI_Totaal[[#Headers],[A3]],Database_Productkaarten[#All],14,FALSE),0)*Baseline!I83),0))</f>
        <v>0</v>
      </c>
      <c r="G81" s="265">
        <f>(IF(Baseline!C83="Nieuwe Situatie",(_xlfn.IFNA(VLOOKUP(Referentie_MKI_Totaal[[#This Row],[Product]]&amp;", "&amp;Referentie_MKI_Totaal[[#Headers],[A1-A3]],Database_Productkaarten[#All],14,FALSE),0)*Baseline!I83),0))</f>
        <v>0</v>
      </c>
      <c r="H81" s="265">
        <f>IF(Baseline!T83=0,(IF(Baseline!C83="Nieuwe Situatie",(_xlfn.IFNA(VLOOKUP(Referentie_MKI_Totaal[[#This Row],[Product]]&amp;", "&amp;Referentie_MKI_Totaal[[#Headers],[A4]],Database_Productkaarten[#All],14,FALSE),0)*Baseline!Q83),0)),(IF(Baseline!C83="Nieuwe Situatie",_xlfn.IFNA(VLOOKUP(Baseline!T83,Database_Transport[#All],7,FALSE)*(Baseline!Q83*Baseline!S83),0))))</f>
        <v>0</v>
      </c>
      <c r="I81" s="265">
        <f>IF(Baseline!C83="Nieuwe situatie",IF(_xlfn.IFNA((VLOOKUP(Baseline!U83,Database_Asfalt_Aanlegset[#All],7,FALSE)*Baseline!I83),0)+_xlfn.IFNA(VLOOKUP(Baseline!V83,Database_Brandstoffen[#All],7,FALSE)*((Baseline!I83/Baseline!X83)*Baseline!W83),0)&gt;0,_xlfn.IFNA((VLOOKUP(Baseline!U83,Database_Asfalt_Aanlegset[#All],7,FALSE)*Baseline!I83),0)+_xlfn.IFNA(VLOOKUP(Baseline!V83,Database_Brandstoffen[#All],7,FALSE)*((Baseline!I83/Baseline!X83)*Baseline!W83),0),(_xlfn.IFNA(VLOOKUP(Referentie_MKI_Totaal[[#This Row],[Product]]&amp;", "&amp;Referentie_MKI_Totaal[[#Headers],[A5]],Database_Productkaarten[#All],14,FALSE),0)*Baseline!I83)),0)</f>
        <v>0</v>
      </c>
      <c r="J81" s="265"/>
      <c r="K81" s="265">
        <f>(IF(Baseline!C83="Nieuwe Situatie",(SUM(Referentie_MKI_Totaal[[#This Row],[A1]:[B1]],Referentie_MKI_Totaal[[#This Row],[C1]:[D2]])*Baseline!R83),0))</f>
        <v>0</v>
      </c>
      <c r="L81" s="265">
        <f>IF(Baseline!C83="Bestaande situatie",IF(_xlfn.IFNA((VLOOKUP(Baseline!Y83,Database_Asfalt_Verwijderset[#All],7,FALSE)*Baseline!I83),0)+_xlfn.IFNA(VLOOKUP(Baseline!Z83,Database_Brandstoffen[#All],7,FALSE)*((Baseline!I83/Baseline!AB83)*Baseline!AA83),0)&gt;0,_xlfn.IFNA((VLOOKUP(Baseline!Y83,Database_Asfalt_Verwijderset[#All],7,FALSE)*Baseline!I83),0)+_xlfn.IFNA(VLOOKUP(Baseline!Z83,Database_Brandstoffen[#All],7,FALSE)*((Baseline!I83/Baseline!AB83)*Baseline!AA83),0),(_xlfn.IFNA(VLOOKUP(Referentie_MKI_Totaal[[#This Row],[Product]]&amp;", "&amp;Referentie_MKI_Totaal[[#Headers],[C1]],Database_Productkaarten[#All],14,FALSE),0)*Baseline!I83)),0)</f>
        <v>0</v>
      </c>
      <c r="M81" s="265">
        <f>IF(Baseline!AD83=0,(IF(Baseline!C83="Bestaande Situatie",(_xlfn.IFNA(VLOOKUP(Referentie_MKI_Totaal[[#This Row],[Product]]&amp;", "&amp;Referentie_MKI_Totaal[[#Headers],[C2]],Database_Productkaarten[#All],14,FALSE),0)*Baseline!I83),0)),(IF(Baseline!C83="Bestaande Situatie",_xlfn.IFNA(VLOOKUP(Baseline!AD83,Database_Transport[#All],7,FALSE)*(Baseline!Q83*Baseline!AC83),0))))</f>
        <v>0</v>
      </c>
      <c r="N81" s="265">
        <f>(IF(Baseline!C83="Bestaande Situatie",(_xlfn.IFNA(VLOOKUP(Referentie_MKI_Totaal[[#This Row],[Product]]&amp;", "&amp;Referentie_MKI_Totaal[[#Headers],[C3]],Database_Productkaarten[#All],14,FALSE),0)*Baseline!I83),0))</f>
        <v>0</v>
      </c>
      <c r="O81" s="265">
        <f>(IF(Baseline!C83="Bestaande Situatie",(_xlfn.IFNA(VLOOKUP(Referentie_MKI_Totaal[[#This Row],[Product]]&amp;", "&amp;Referentie_MKI_Totaal[[#Headers],[C4]],Database_Productkaarten[#All],14,FALSE),0)*Baseline!I83),0))</f>
        <v>0</v>
      </c>
      <c r="P81" s="265">
        <f>(IF(Baseline!C83="Bestaande Situatie",(_xlfn.IFNA(VLOOKUP(Referentie_MKI_Totaal[[#This Row],[Product]]&amp;", "&amp;Referentie_MKI_Totaal[[#Headers],[D1]],Database_Productkaarten[#All],14,FALSE),0)*Baseline!I83),0))</f>
        <v>0</v>
      </c>
      <c r="Q81" s="265">
        <f>(IF(Baseline!C83="Bestaande Situatie",_xlfn.IFNA(VLOOKUP(Referentie_MKI_Totaal[[#This Row],[Product]]&amp;", "&amp;Referentie_MKI_Totaal[[#Headers],[D2]],Database_Productkaarten[#All],14,FALSE),0)*Baseline!I83,0))</f>
        <v>0</v>
      </c>
      <c r="R81" s="265">
        <f>(IF(Baseline!C83="Bestaande Situatie",(_xlfn.IFNA(VLOOKUP(Referentie_MKI_Totaal[[#This Row],[Product]]&amp;", "&amp;Referentie_MKI_Totaal[[#Headers],[D]],Database_Productkaarten[#All],14,FALSE),0)*Baseline!I83),0))</f>
        <v>0</v>
      </c>
      <c r="S81" s="266">
        <f>SUM(Referentie_MKI_Totaal[[#This Row],[A1-A3]:[C4]])+Referentie_MKI_Totaal[[#This Row],[D]]</f>
        <v>0</v>
      </c>
      <c r="V81" s="331" t="e">
        <f>SUM(Referentie_MKI_Totaal[[#This Row],[A1-A3]]+Referentie_MKI_Totaal[[#This Row],[A4]]+Referentie_MKI_Totaal[[#This Row],[C2]]+Referentie_MKI_Totaal[[#This Row],[C3]]+Referentie_MKI_Totaal[[#This Row],[C4]]+Referentie_MKI_Totaal[[#This Row],[D]])*(VLOOKUP(Referentie_MKI_Totaal[[#This Row],[Product]]&amp;", "&amp;Referentie_MKI_Totaal[[#Headers],[A5]],Database_Productkaarten[#All],66,FALSE))</f>
        <v>#N/A</v>
      </c>
    </row>
    <row r="82" spans="2:22" hidden="1">
      <c r="B82" s="263">
        <f>Baseline!B84</f>
        <v>0</v>
      </c>
      <c r="C82" s="264">
        <f>Baseline!F84</f>
        <v>0</v>
      </c>
      <c r="D82" s="265">
        <f>(IF(Baseline!C84="Nieuwe Situatie",(_xlfn.IFNA(VLOOKUP(Referentie_MKI_Totaal[[#This Row],[Product]]&amp;", "&amp;Referentie_MKI_Totaal[[#Headers],[A1]],Database_Productkaarten[#All],14,FALSE),0)*Baseline!I84),0))</f>
        <v>0</v>
      </c>
      <c r="E82" s="265">
        <f>(IF(Baseline!C84="Nieuwe Situatie",(_xlfn.IFNA(VLOOKUP(Referentie_MKI_Totaal[[#This Row],[Product]]&amp;", "&amp;Referentie_MKI_Totaal[[#Headers],[A2]],Database_Productkaarten[#All],14,FALSE),0)*Baseline!I84),0))</f>
        <v>0</v>
      </c>
      <c r="F82" s="265">
        <f>(IF(Baseline!C84="Nieuwe Situatie",(_xlfn.IFNA(VLOOKUP(Referentie_MKI_Totaal[[#This Row],[Product]]&amp;", "&amp;Referentie_MKI_Totaal[[#Headers],[A3]],Database_Productkaarten[#All],14,FALSE),0)*Baseline!I84),0))</f>
        <v>0</v>
      </c>
      <c r="G82" s="265">
        <f>(IF(Baseline!C84="Nieuwe Situatie",(_xlfn.IFNA(VLOOKUP(Referentie_MKI_Totaal[[#This Row],[Product]]&amp;", "&amp;Referentie_MKI_Totaal[[#Headers],[A1-A3]],Database_Productkaarten[#All],14,FALSE),0)*Baseline!I84),0))</f>
        <v>0</v>
      </c>
      <c r="H82" s="265">
        <f>IF(Baseline!T84=0,(IF(Baseline!C84="Nieuwe Situatie",(_xlfn.IFNA(VLOOKUP(Referentie_MKI_Totaal[[#This Row],[Product]]&amp;", "&amp;Referentie_MKI_Totaal[[#Headers],[A4]],Database_Productkaarten[#All],14,FALSE),0)*Baseline!Q84),0)),(IF(Baseline!C84="Nieuwe Situatie",_xlfn.IFNA(VLOOKUP(Baseline!T84,Database_Transport[#All],7,FALSE)*(Baseline!Q84*Baseline!S84),0))))</f>
        <v>0</v>
      </c>
      <c r="I82" s="265">
        <f>IF(Baseline!C84="Nieuwe situatie",IF(_xlfn.IFNA((VLOOKUP(Baseline!U84,Database_Asfalt_Aanlegset[#All],7,FALSE)*Baseline!I84),0)+_xlfn.IFNA(VLOOKUP(Baseline!V84,Database_Brandstoffen[#All],7,FALSE)*((Baseline!I84/Baseline!X84)*Baseline!W84),0)&gt;0,_xlfn.IFNA((VLOOKUP(Baseline!U84,Database_Asfalt_Aanlegset[#All],7,FALSE)*Baseline!I84),0)+_xlfn.IFNA(VLOOKUP(Baseline!V84,Database_Brandstoffen[#All],7,FALSE)*((Baseline!I84/Baseline!X84)*Baseline!W84),0),(_xlfn.IFNA(VLOOKUP(Referentie_MKI_Totaal[[#This Row],[Product]]&amp;", "&amp;Referentie_MKI_Totaal[[#Headers],[A5]],Database_Productkaarten[#All],14,FALSE),0)*Baseline!I84)),0)</f>
        <v>0</v>
      </c>
      <c r="J82" s="265"/>
      <c r="K82" s="265">
        <f>(IF(Baseline!C84="Nieuwe Situatie",(SUM(Referentie_MKI_Totaal[[#This Row],[A1]:[B1]],Referentie_MKI_Totaal[[#This Row],[C1]:[D2]])*Baseline!R84),0))</f>
        <v>0</v>
      </c>
      <c r="L82" s="265">
        <f>IF(Baseline!C84="Bestaande situatie",IF(_xlfn.IFNA((VLOOKUP(Baseline!Y84,Database_Asfalt_Verwijderset[#All],7,FALSE)*Baseline!I84),0)+_xlfn.IFNA(VLOOKUP(Baseline!Z84,Database_Brandstoffen[#All],7,FALSE)*((Baseline!I84/Baseline!AB84)*Baseline!AA84),0)&gt;0,_xlfn.IFNA((VLOOKUP(Baseline!Y84,Database_Asfalt_Verwijderset[#All],7,FALSE)*Baseline!I84),0)+_xlfn.IFNA(VLOOKUP(Baseline!Z84,Database_Brandstoffen[#All],7,FALSE)*((Baseline!I84/Baseline!AB84)*Baseline!AA84),0),(_xlfn.IFNA(VLOOKUP(Referentie_MKI_Totaal[[#This Row],[Product]]&amp;", "&amp;Referentie_MKI_Totaal[[#Headers],[C1]],Database_Productkaarten[#All],14,FALSE),0)*Baseline!I84)),0)</f>
        <v>0</v>
      </c>
      <c r="M82" s="265">
        <f>IF(Baseline!AD84=0,(IF(Baseline!C84="Bestaande Situatie",(_xlfn.IFNA(VLOOKUP(Referentie_MKI_Totaal[[#This Row],[Product]]&amp;", "&amp;Referentie_MKI_Totaal[[#Headers],[C2]],Database_Productkaarten[#All],14,FALSE),0)*Baseline!I84),0)),(IF(Baseline!C84="Bestaande Situatie",_xlfn.IFNA(VLOOKUP(Baseline!AD84,Database_Transport[#All],7,FALSE)*(Baseline!Q84*Baseline!AC84),0))))</f>
        <v>0</v>
      </c>
      <c r="N82" s="265">
        <f>(IF(Baseline!C84="Bestaande Situatie",(_xlfn.IFNA(VLOOKUP(Referentie_MKI_Totaal[[#This Row],[Product]]&amp;", "&amp;Referentie_MKI_Totaal[[#Headers],[C3]],Database_Productkaarten[#All],14,FALSE),0)*Baseline!I84),0))</f>
        <v>0</v>
      </c>
      <c r="O82" s="265">
        <f>(IF(Baseline!C84="Bestaande Situatie",(_xlfn.IFNA(VLOOKUP(Referentie_MKI_Totaal[[#This Row],[Product]]&amp;", "&amp;Referentie_MKI_Totaal[[#Headers],[C4]],Database_Productkaarten[#All],14,FALSE),0)*Baseline!I84),0))</f>
        <v>0</v>
      </c>
      <c r="P82" s="265">
        <f>(IF(Baseline!C84="Bestaande Situatie",(_xlfn.IFNA(VLOOKUP(Referentie_MKI_Totaal[[#This Row],[Product]]&amp;", "&amp;Referentie_MKI_Totaal[[#Headers],[D1]],Database_Productkaarten[#All],14,FALSE),0)*Baseline!I84),0))</f>
        <v>0</v>
      </c>
      <c r="Q82" s="265">
        <f>(IF(Baseline!C84="Bestaande Situatie",_xlfn.IFNA(VLOOKUP(Referentie_MKI_Totaal[[#This Row],[Product]]&amp;", "&amp;Referentie_MKI_Totaal[[#Headers],[D2]],Database_Productkaarten[#All],14,FALSE),0)*Baseline!I84,0))</f>
        <v>0</v>
      </c>
      <c r="R82" s="265">
        <f>(IF(Baseline!C84="Bestaande Situatie",(_xlfn.IFNA(VLOOKUP(Referentie_MKI_Totaal[[#This Row],[Product]]&amp;", "&amp;Referentie_MKI_Totaal[[#Headers],[D]],Database_Productkaarten[#All],14,FALSE),0)*Baseline!I84),0))</f>
        <v>0</v>
      </c>
      <c r="S82" s="266">
        <f>SUM(Referentie_MKI_Totaal[[#This Row],[A1-A3]:[C4]])+Referentie_MKI_Totaal[[#This Row],[D]]</f>
        <v>0</v>
      </c>
      <c r="V82" s="331" t="e">
        <f>SUM(Referentie_MKI_Totaal[[#This Row],[A1-A3]]+Referentie_MKI_Totaal[[#This Row],[A4]]+Referentie_MKI_Totaal[[#This Row],[C2]]+Referentie_MKI_Totaal[[#This Row],[C3]]+Referentie_MKI_Totaal[[#This Row],[C4]]+Referentie_MKI_Totaal[[#This Row],[D]])*(VLOOKUP(Referentie_MKI_Totaal[[#This Row],[Product]]&amp;", "&amp;Referentie_MKI_Totaal[[#Headers],[A5]],Database_Productkaarten[#All],66,FALSE))</f>
        <v>#N/A</v>
      </c>
    </row>
    <row r="83" spans="2:22" hidden="1">
      <c r="B83" s="263">
        <f>Baseline!B85</f>
        <v>0</v>
      </c>
      <c r="C83" s="264">
        <f>Baseline!F85</f>
        <v>0</v>
      </c>
      <c r="D83" s="265">
        <f>(IF(Baseline!C85="Nieuwe Situatie",(_xlfn.IFNA(VLOOKUP(Referentie_MKI_Totaal[[#This Row],[Product]]&amp;", "&amp;Referentie_MKI_Totaal[[#Headers],[A1]],Database_Productkaarten[#All],14,FALSE),0)*Baseline!I85),0))</f>
        <v>0</v>
      </c>
      <c r="E83" s="265">
        <f>(IF(Baseline!C85="Nieuwe Situatie",(_xlfn.IFNA(VLOOKUP(Referentie_MKI_Totaal[[#This Row],[Product]]&amp;", "&amp;Referentie_MKI_Totaal[[#Headers],[A2]],Database_Productkaarten[#All],14,FALSE),0)*Baseline!I85),0))</f>
        <v>0</v>
      </c>
      <c r="F83" s="265">
        <f>(IF(Baseline!C85="Nieuwe Situatie",(_xlfn.IFNA(VLOOKUP(Referentie_MKI_Totaal[[#This Row],[Product]]&amp;", "&amp;Referentie_MKI_Totaal[[#Headers],[A3]],Database_Productkaarten[#All],14,FALSE),0)*Baseline!I85),0))</f>
        <v>0</v>
      </c>
      <c r="G83" s="265">
        <f>(IF(Baseline!C85="Nieuwe Situatie",(_xlfn.IFNA(VLOOKUP(Referentie_MKI_Totaal[[#This Row],[Product]]&amp;", "&amp;Referentie_MKI_Totaal[[#Headers],[A1-A3]],Database_Productkaarten[#All],14,FALSE),0)*Baseline!I85),0))</f>
        <v>0</v>
      </c>
      <c r="H83" s="265">
        <f>IF(Baseline!T85=0,(IF(Baseline!C85="Nieuwe Situatie",(_xlfn.IFNA(VLOOKUP(Referentie_MKI_Totaal[[#This Row],[Product]]&amp;", "&amp;Referentie_MKI_Totaal[[#Headers],[A4]],Database_Productkaarten[#All],14,FALSE),0)*Baseline!Q85),0)),(IF(Baseline!C85="Nieuwe Situatie",_xlfn.IFNA(VLOOKUP(Baseline!T85,Database_Transport[#All],7,FALSE)*(Baseline!Q85*Baseline!S85),0))))</f>
        <v>0</v>
      </c>
      <c r="I83" s="265">
        <f>IF(Baseline!C85="Nieuwe situatie",IF(_xlfn.IFNA((VLOOKUP(Baseline!U85,Database_Asfalt_Aanlegset[#All],7,FALSE)*Baseline!I85),0)+_xlfn.IFNA(VLOOKUP(Baseline!V85,Database_Brandstoffen[#All],7,FALSE)*((Baseline!I85/Baseline!X85)*Baseline!W85),0)&gt;0,_xlfn.IFNA((VLOOKUP(Baseline!U85,Database_Asfalt_Aanlegset[#All],7,FALSE)*Baseline!I85),0)+_xlfn.IFNA(VLOOKUP(Baseline!V85,Database_Brandstoffen[#All],7,FALSE)*((Baseline!I85/Baseline!X85)*Baseline!W85),0),(_xlfn.IFNA(VLOOKUP(Referentie_MKI_Totaal[[#This Row],[Product]]&amp;", "&amp;Referentie_MKI_Totaal[[#Headers],[A5]],Database_Productkaarten[#All],14,FALSE),0)*Baseline!I85)),0)</f>
        <v>0</v>
      </c>
      <c r="J83" s="265"/>
      <c r="K83" s="265">
        <f>(IF(Baseline!C85="Nieuwe Situatie",(SUM(Referentie_MKI_Totaal[[#This Row],[A1]:[B1]],Referentie_MKI_Totaal[[#This Row],[C1]:[D2]])*Baseline!R85),0))</f>
        <v>0</v>
      </c>
      <c r="L83" s="265">
        <f>IF(Baseline!C85="Bestaande situatie",IF(_xlfn.IFNA((VLOOKUP(Baseline!Y85,Database_Asfalt_Verwijderset[#All],7,FALSE)*Baseline!I85),0)+_xlfn.IFNA(VLOOKUP(Baseline!Z85,Database_Brandstoffen[#All],7,FALSE)*((Baseline!I85/Baseline!AB85)*Baseline!AA85),0)&gt;0,_xlfn.IFNA((VLOOKUP(Baseline!Y85,Database_Asfalt_Verwijderset[#All],7,FALSE)*Baseline!I85),0)+_xlfn.IFNA(VLOOKUP(Baseline!Z85,Database_Brandstoffen[#All],7,FALSE)*((Baseline!I85/Baseline!AB85)*Baseline!AA85),0),(_xlfn.IFNA(VLOOKUP(Referentie_MKI_Totaal[[#This Row],[Product]]&amp;", "&amp;Referentie_MKI_Totaal[[#Headers],[C1]],Database_Productkaarten[#All],14,FALSE),0)*Baseline!I85)),0)</f>
        <v>0</v>
      </c>
      <c r="M83" s="265">
        <f>IF(Baseline!AD85=0,(IF(Baseline!C85="Bestaande Situatie",(_xlfn.IFNA(VLOOKUP(Referentie_MKI_Totaal[[#This Row],[Product]]&amp;", "&amp;Referentie_MKI_Totaal[[#Headers],[C2]],Database_Productkaarten[#All],14,FALSE),0)*Baseline!I85),0)),(IF(Baseline!C85="Bestaande Situatie",_xlfn.IFNA(VLOOKUP(Baseline!AD85,Database_Transport[#All],7,FALSE)*(Baseline!Q85*Baseline!AC85),0))))</f>
        <v>0</v>
      </c>
      <c r="N83" s="265">
        <f>(IF(Baseline!C85="Bestaande Situatie",(_xlfn.IFNA(VLOOKUP(Referentie_MKI_Totaal[[#This Row],[Product]]&amp;", "&amp;Referentie_MKI_Totaal[[#Headers],[C3]],Database_Productkaarten[#All],14,FALSE),0)*Baseline!I85),0))</f>
        <v>0</v>
      </c>
      <c r="O83" s="265">
        <f>(IF(Baseline!C85="Bestaande Situatie",(_xlfn.IFNA(VLOOKUP(Referentie_MKI_Totaal[[#This Row],[Product]]&amp;", "&amp;Referentie_MKI_Totaal[[#Headers],[C4]],Database_Productkaarten[#All],14,FALSE),0)*Baseline!I85),0))</f>
        <v>0</v>
      </c>
      <c r="P83" s="265">
        <f>(IF(Baseline!C85="Bestaande Situatie",(_xlfn.IFNA(VLOOKUP(Referentie_MKI_Totaal[[#This Row],[Product]]&amp;", "&amp;Referentie_MKI_Totaal[[#Headers],[D1]],Database_Productkaarten[#All],14,FALSE),0)*Baseline!I85),0))</f>
        <v>0</v>
      </c>
      <c r="Q83" s="265">
        <f>(IF(Baseline!C85="Bestaande Situatie",_xlfn.IFNA(VLOOKUP(Referentie_MKI_Totaal[[#This Row],[Product]]&amp;", "&amp;Referentie_MKI_Totaal[[#Headers],[D2]],Database_Productkaarten[#All],14,FALSE),0)*Baseline!I85,0))</f>
        <v>0</v>
      </c>
      <c r="R83" s="265">
        <f>(IF(Baseline!C85="Bestaande Situatie",(_xlfn.IFNA(VLOOKUP(Referentie_MKI_Totaal[[#This Row],[Product]]&amp;", "&amp;Referentie_MKI_Totaal[[#Headers],[D]],Database_Productkaarten[#All],14,FALSE),0)*Baseline!I85),0))</f>
        <v>0</v>
      </c>
      <c r="S83" s="266">
        <f>SUM(Referentie_MKI_Totaal[[#This Row],[A1-A3]:[C4]])+Referentie_MKI_Totaal[[#This Row],[D]]</f>
        <v>0</v>
      </c>
      <c r="V83" s="331" t="e">
        <f>SUM(Referentie_MKI_Totaal[[#This Row],[A1-A3]]+Referentie_MKI_Totaal[[#This Row],[A4]]+Referentie_MKI_Totaal[[#This Row],[C2]]+Referentie_MKI_Totaal[[#This Row],[C3]]+Referentie_MKI_Totaal[[#This Row],[C4]]+Referentie_MKI_Totaal[[#This Row],[D]])*(VLOOKUP(Referentie_MKI_Totaal[[#This Row],[Product]]&amp;", "&amp;Referentie_MKI_Totaal[[#Headers],[A5]],Database_Productkaarten[#All],66,FALSE))</f>
        <v>#N/A</v>
      </c>
    </row>
    <row r="84" spans="2:22" hidden="1">
      <c r="B84" s="263">
        <f>Baseline!B86</f>
        <v>0</v>
      </c>
      <c r="C84" s="264">
        <f>Baseline!F86</f>
        <v>0</v>
      </c>
      <c r="D84" s="265">
        <f>(IF(Baseline!C86="Nieuwe Situatie",(_xlfn.IFNA(VLOOKUP(Referentie_MKI_Totaal[[#This Row],[Product]]&amp;", "&amp;Referentie_MKI_Totaal[[#Headers],[A1]],Database_Productkaarten[#All],14,FALSE),0)*Baseline!I86),0))</f>
        <v>0</v>
      </c>
      <c r="E84" s="265">
        <f>(IF(Baseline!C86="Nieuwe Situatie",(_xlfn.IFNA(VLOOKUP(Referentie_MKI_Totaal[[#This Row],[Product]]&amp;", "&amp;Referentie_MKI_Totaal[[#Headers],[A2]],Database_Productkaarten[#All],14,FALSE),0)*Baseline!I86),0))</f>
        <v>0</v>
      </c>
      <c r="F84" s="265">
        <f>(IF(Baseline!C86="Nieuwe Situatie",(_xlfn.IFNA(VLOOKUP(Referentie_MKI_Totaal[[#This Row],[Product]]&amp;", "&amp;Referentie_MKI_Totaal[[#Headers],[A3]],Database_Productkaarten[#All],14,FALSE),0)*Baseline!I86),0))</f>
        <v>0</v>
      </c>
      <c r="G84" s="265">
        <f>(IF(Baseline!C86="Nieuwe Situatie",(_xlfn.IFNA(VLOOKUP(Referentie_MKI_Totaal[[#This Row],[Product]]&amp;", "&amp;Referentie_MKI_Totaal[[#Headers],[A1-A3]],Database_Productkaarten[#All],14,FALSE),0)*Baseline!I86),0))</f>
        <v>0</v>
      </c>
      <c r="H84" s="265">
        <f>IF(Baseline!T86=0,(IF(Baseline!C86="Nieuwe Situatie",(_xlfn.IFNA(VLOOKUP(Referentie_MKI_Totaal[[#This Row],[Product]]&amp;", "&amp;Referentie_MKI_Totaal[[#Headers],[A4]],Database_Productkaarten[#All],14,FALSE),0)*Baseline!Q86),0)),(IF(Baseline!C86="Nieuwe Situatie",_xlfn.IFNA(VLOOKUP(Baseline!T86,Database_Transport[#All],7,FALSE)*(Baseline!Q86*Baseline!S86),0))))</f>
        <v>0</v>
      </c>
      <c r="I84" s="265">
        <f>IF(Baseline!C86="Nieuwe situatie",IF(_xlfn.IFNA((VLOOKUP(Baseline!U86,Database_Asfalt_Aanlegset[#All],7,FALSE)*Baseline!I86),0)+_xlfn.IFNA(VLOOKUP(Baseline!V86,Database_Brandstoffen[#All],7,FALSE)*((Baseline!I86/Baseline!X86)*Baseline!W86),0)&gt;0,_xlfn.IFNA((VLOOKUP(Baseline!U86,Database_Asfalt_Aanlegset[#All],7,FALSE)*Baseline!I86),0)+_xlfn.IFNA(VLOOKUP(Baseline!V86,Database_Brandstoffen[#All],7,FALSE)*((Baseline!I86/Baseline!X86)*Baseline!W86),0),(_xlfn.IFNA(VLOOKUP(Referentie_MKI_Totaal[[#This Row],[Product]]&amp;", "&amp;Referentie_MKI_Totaal[[#Headers],[A5]],Database_Productkaarten[#All],14,FALSE),0)*Baseline!I86)),0)</f>
        <v>0</v>
      </c>
      <c r="J84" s="265"/>
      <c r="K84" s="265">
        <f>(IF(Baseline!C86="Nieuwe Situatie",(SUM(Referentie_MKI_Totaal[[#This Row],[A1]:[B1]],Referentie_MKI_Totaal[[#This Row],[C1]:[D2]])*Baseline!R86),0))</f>
        <v>0</v>
      </c>
      <c r="L84" s="265">
        <f>IF(Baseline!C86="Bestaande situatie",IF(_xlfn.IFNA((VLOOKUP(Baseline!Y86,Database_Asfalt_Verwijderset[#All],7,FALSE)*Baseline!I86),0)+_xlfn.IFNA(VLOOKUP(Baseline!Z86,Database_Brandstoffen[#All],7,FALSE)*((Baseline!I86/Baseline!AB86)*Baseline!AA86),0)&gt;0,_xlfn.IFNA((VLOOKUP(Baseline!Y86,Database_Asfalt_Verwijderset[#All],7,FALSE)*Baseline!I86),0)+_xlfn.IFNA(VLOOKUP(Baseline!Z86,Database_Brandstoffen[#All],7,FALSE)*((Baseline!I86/Baseline!AB86)*Baseline!AA86),0),(_xlfn.IFNA(VLOOKUP(Referentie_MKI_Totaal[[#This Row],[Product]]&amp;", "&amp;Referentie_MKI_Totaal[[#Headers],[C1]],Database_Productkaarten[#All],14,FALSE),0)*Baseline!I86)),0)</f>
        <v>0</v>
      </c>
      <c r="M84" s="265">
        <f>IF(Baseline!AD86=0,(IF(Baseline!C86="Bestaande Situatie",(_xlfn.IFNA(VLOOKUP(Referentie_MKI_Totaal[[#This Row],[Product]]&amp;", "&amp;Referentie_MKI_Totaal[[#Headers],[C2]],Database_Productkaarten[#All],14,FALSE),0)*Baseline!I86),0)),(IF(Baseline!C86="Bestaande Situatie",_xlfn.IFNA(VLOOKUP(Baseline!AD86,Database_Transport[#All],7,FALSE)*(Baseline!Q86*Baseline!AC86),0))))</f>
        <v>0</v>
      </c>
      <c r="N84" s="265">
        <f>(IF(Baseline!C86="Bestaande Situatie",(_xlfn.IFNA(VLOOKUP(Referentie_MKI_Totaal[[#This Row],[Product]]&amp;", "&amp;Referentie_MKI_Totaal[[#Headers],[C3]],Database_Productkaarten[#All],14,FALSE),0)*Baseline!I86),0))</f>
        <v>0</v>
      </c>
      <c r="O84" s="265">
        <f>(IF(Baseline!C86="Bestaande Situatie",(_xlfn.IFNA(VLOOKUP(Referentie_MKI_Totaal[[#This Row],[Product]]&amp;", "&amp;Referentie_MKI_Totaal[[#Headers],[C4]],Database_Productkaarten[#All],14,FALSE),0)*Baseline!I86),0))</f>
        <v>0</v>
      </c>
      <c r="P84" s="265">
        <f>(IF(Baseline!C86="Bestaande Situatie",(_xlfn.IFNA(VLOOKUP(Referentie_MKI_Totaal[[#This Row],[Product]]&amp;", "&amp;Referentie_MKI_Totaal[[#Headers],[D1]],Database_Productkaarten[#All],14,FALSE),0)*Baseline!I86),0))</f>
        <v>0</v>
      </c>
      <c r="Q84" s="265">
        <f>(IF(Baseline!C86="Bestaande Situatie",_xlfn.IFNA(VLOOKUP(Referentie_MKI_Totaal[[#This Row],[Product]]&amp;", "&amp;Referentie_MKI_Totaal[[#Headers],[D2]],Database_Productkaarten[#All],14,FALSE),0)*Baseline!I86,0))</f>
        <v>0</v>
      </c>
      <c r="R84" s="265">
        <f>(IF(Baseline!C86="Bestaande Situatie",(_xlfn.IFNA(VLOOKUP(Referentie_MKI_Totaal[[#This Row],[Product]]&amp;", "&amp;Referentie_MKI_Totaal[[#Headers],[D]],Database_Productkaarten[#All],14,FALSE),0)*Baseline!I86),0))</f>
        <v>0</v>
      </c>
      <c r="S84" s="266">
        <f>SUM(Referentie_MKI_Totaal[[#This Row],[A1-A3]:[C4]])+Referentie_MKI_Totaal[[#This Row],[D]]</f>
        <v>0</v>
      </c>
      <c r="V84" s="331" t="e">
        <f>SUM(Referentie_MKI_Totaal[[#This Row],[A1-A3]]+Referentie_MKI_Totaal[[#This Row],[A4]]+Referentie_MKI_Totaal[[#This Row],[C2]]+Referentie_MKI_Totaal[[#This Row],[C3]]+Referentie_MKI_Totaal[[#This Row],[C4]]+Referentie_MKI_Totaal[[#This Row],[D]])*(VLOOKUP(Referentie_MKI_Totaal[[#This Row],[Product]]&amp;", "&amp;Referentie_MKI_Totaal[[#Headers],[A5]],Database_Productkaarten[#All],66,FALSE))</f>
        <v>#N/A</v>
      </c>
    </row>
    <row r="85" spans="2:22" hidden="1">
      <c r="B85" s="263">
        <f>Baseline!B87</f>
        <v>0</v>
      </c>
      <c r="C85" s="264">
        <f>Baseline!F87</f>
        <v>0</v>
      </c>
      <c r="D85" s="265">
        <f>(IF(Baseline!C87="Nieuwe Situatie",(_xlfn.IFNA(VLOOKUP(Referentie_MKI_Totaal[[#This Row],[Product]]&amp;", "&amp;Referentie_MKI_Totaal[[#Headers],[A1]],Database_Productkaarten[#All],14,FALSE),0)*Baseline!I87),0))</f>
        <v>0</v>
      </c>
      <c r="E85" s="265">
        <f>(IF(Baseline!C87="Nieuwe Situatie",(_xlfn.IFNA(VLOOKUP(Referentie_MKI_Totaal[[#This Row],[Product]]&amp;", "&amp;Referentie_MKI_Totaal[[#Headers],[A2]],Database_Productkaarten[#All],14,FALSE),0)*Baseline!I87),0))</f>
        <v>0</v>
      </c>
      <c r="F85" s="265">
        <f>(IF(Baseline!C87="Nieuwe Situatie",(_xlfn.IFNA(VLOOKUP(Referentie_MKI_Totaal[[#This Row],[Product]]&amp;", "&amp;Referentie_MKI_Totaal[[#Headers],[A3]],Database_Productkaarten[#All],14,FALSE),0)*Baseline!I87),0))</f>
        <v>0</v>
      </c>
      <c r="G85" s="265">
        <f>(IF(Baseline!C87="Nieuwe Situatie",(_xlfn.IFNA(VLOOKUP(Referentie_MKI_Totaal[[#This Row],[Product]]&amp;", "&amp;Referentie_MKI_Totaal[[#Headers],[A1-A3]],Database_Productkaarten[#All],14,FALSE),0)*Baseline!I87),0))</f>
        <v>0</v>
      </c>
      <c r="H85" s="265">
        <f>IF(Baseline!T87=0,(IF(Baseline!C87="Nieuwe Situatie",(_xlfn.IFNA(VLOOKUP(Referentie_MKI_Totaal[[#This Row],[Product]]&amp;", "&amp;Referentie_MKI_Totaal[[#Headers],[A4]],Database_Productkaarten[#All],14,FALSE),0)*Baseline!Q87),0)),(IF(Baseline!C87="Nieuwe Situatie",_xlfn.IFNA(VLOOKUP(Baseline!T87,Database_Transport[#All],7,FALSE)*(Baseline!Q87*Baseline!S87),0))))</f>
        <v>0</v>
      </c>
      <c r="I85" s="265">
        <f>IF(Baseline!C87="Nieuwe situatie",IF(_xlfn.IFNA((VLOOKUP(Baseline!U87,Database_Asfalt_Aanlegset[#All],7,FALSE)*Baseline!I87),0)+_xlfn.IFNA(VLOOKUP(Baseline!V87,Database_Brandstoffen[#All],7,FALSE)*((Baseline!I87/Baseline!X87)*Baseline!W87),0)&gt;0,_xlfn.IFNA((VLOOKUP(Baseline!U87,Database_Asfalt_Aanlegset[#All],7,FALSE)*Baseline!I87),0)+_xlfn.IFNA(VLOOKUP(Baseline!V87,Database_Brandstoffen[#All],7,FALSE)*((Baseline!I87/Baseline!X87)*Baseline!W87),0),(_xlfn.IFNA(VLOOKUP(Referentie_MKI_Totaal[[#This Row],[Product]]&amp;", "&amp;Referentie_MKI_Totaal[[#Headers],[A5]],Database_Productkaarten[#All],14,FALSE),0)*Baseline!I87)),0)</f>
        <v>0</v>
      </c>
      <c r="J85" s="265"/>
      <c r="K85" s="265">
        <f>(IF(Baseline!C87="Nieuwe Situatie",(SUM(Referentie_MKI_Totaal[[#This Row],[A1]:[B1]],Referentie_MKI_Totaal[[#This Row],[C1]:[D2]])*Baseline!R87),0))</f>
        <v>0</v>
      </c>
      <c r="L85" s="265">
        <f>IF(Baseline!C87="Bestaande situatie",IF(_xlfn.IFNA((VLOOKUP(Baseline!Y87,Database_Asfalt_Verwijderset[#All],7,FALSE)*Baseline!I87),0)+_xlfn.IFNA(VLOOKUP(Baseline!Z87,Database_Brandstoffen[#All],7,FALSE)*((Baseline!I87/Baseline!AB87)*Baseline!AA87),0)&gt;0,_xlfn.IFNA((VLOOKUP(Baseline!Y87,Database_Asfalt_Verwijderset[#All],7,FALSE)*Baseline!I87),0)+_xlfn.IFNA(VLOOKUP(Baseline!Z87,Database_Brandstoffen[#All],7,FALSE)*((Baseline!I87/Baseline!AB87)*Baseline!AA87),0),(_xlfn.IFNA(VLOOKUP(Referentie_MKI_Totaal[[#This Row],[Product]]&amp;", "&amp;Referentie_MKI_Totaal[[#Headers],[C1]],Database_Productkaarten[#All],14,FALSE),0)*Baseline!I87)),0)</f>
        <v>0</v>
      </c>
      <c r="M85" s="265">
        <f>IF(Baseline!AD87=0,(IF(Baseline!C87="Bestaande Situatie",(_xlfn.IFNA(VLOOKUP(Referentie_MKI_Totaal[[#This Row],[Product]]&amp;", "&amp;Referentie_MKI_Totaal[[#Headers],[C2]],Database_Productkaarten[#All],14,FALSE),0)*Baseline!I87),0)),(IF(Baseline!C87="Bestaande Situatie",_xlfn.IFNA(VLOOKUP(Baseline!AD87,Database_Transport[#All],7,FALSE)*(Baseline!Q87*Baseline!AC87),0))))</f>
        <v>0</v>
      </c>
      <c r="N85" s="265">
        <f>(IF(Baseline!C87="Bestaande Situatie",(_xlfn.IFNA(VLOOKUP(Referentie_MKI_Totaal[[#This Row],[Product]]&amp;", "&amp;Referentie_MKI_Totaal[[#Headers],[C3]],Database_Productkaarten[#All],14,FALSE),0)*Baseline!I87),0))</f>
        <v>0</v>
      </c>
      <c r="O85" s="265">
        <f>(IF(Baseline!C87="Bestaande Situatie",(_xlfn.IFNA(VLOOKUP(Referentie_MKI_Totaal[[#This Row],[Product]]&amp;", "&amp;Referentie_MKI_Totaal[[#Headers],[C4]],Database_Productkaarten[#All],14,FALSE),0)*Baseline!I87),0))</f>
        <v>0</v>
      </c>
      <c r="P85" s="265">
        <f>(IF(Baseline!C87="Bestaande Situatie",(_xlfn.IFNA(VLOOKUP(Referentie_MKI_Totaal[[#This Row],[Product]]&amp;", "&amp;Referentie_MKI_Totaal[[#Headers],[D1]],Database_Productkaarten[#All],14,FALSE),0)*Baseline!I87),0))</f>
        <v>0</v>
      </c>
      <c r="Q85" s="265">
        <f>(IF(Baseline!C87="Bestaande Situatie",_xlfn.IFNA(VLOOKUP(Referentie_MKI_Totaal[[#This Row],[Product]]&amp;", "&amp;Referentie_MKI_Totaal[[#Headers],[D2]],Database_Productkaarten[#All],14,FALSE),0)*Baseline!I87,0))</f>
        <v>0</v>
      </c>
      <c r="R85" s="265">
        <f>(IF(Baseline!C87="Bestaande Situatie",(_xlfn.IFNA(VLOOKUP(Referentie_MKI_Totaal[[#This Row],[Product]]&amp;", "&amp;Referentie_MKI_Totaal[[#Headers],[D]],Database_Productkaarten[#All],14,FALSE),0)*Baseline!I87),0))</f>
        <v>0</v>
      </c>
      <c r="S85" s="266">
        <f>SUM(Referentie_MKI_Totaal[[#This Row],[A1-A3]:[C4]])+Referentie_MKI_Totaal[[#This Row],[D]]</f>
        <v>0</v>
      </c>
      <c r="V85" s="331" t="e">
        <f>SUM(Referentie_MKI_Totaal[[#This Row],[A1-A3]]+Referentie_MKI_Totaal[[#This Row],[A4]]+Referentie_MKI_Totaal[[#This Row],[C2]]+Referentie_MKI_Totaal[[#This Row],[C3]]+Referentie_MKI_Totaal[[#This Row],[C4]]+Referentie_MKI_Totaal[[#This Row],[D]])*(VLOOKUP(Referentie_MKI_Totaal[[#This Row],[Product]]&amp;", "&amp;Referentie_MKI_Totaal[[#Headers],[A5]],Database_Productkaarten[#All],66,FALSE))</f>
        <v>#N/A</v>
      </c>
    </row>
    <row r="86" spans="2:22" hidden="1">
      <c r="B86" s="263">
        <f>Baseline!B88</f>
        <v>0</v>
      </c>
      <c r="C86" s="264">
        <f>Baseline!F88</f>
        <v>0</v>
      </c>
      <c r="D86" s="265">
        <f>(IF(Baseline!C88="Nieuwe Situatie",(_xlfn.IFNA(VLOOKUP(Referentie_MKI_Totaal[[#This Row],[Product]]&amp;", "&amp;Referentie_MKI_Totaal[[#Headers],[A1]],Database_Productkaarten[#All],14,FALSE),0)*Baseline!I88),0))</f>
        <v>0</v>
      </c>
      <c r="E86" s="265">
        <f>(IF(Baseline!C88="Nieuwe Situatie",(_xlfn.IFNA(VLOOKUP(Referentie_MKI_Totaal[[#This Row],[Product]]&amp;", "&amp;Referentie_MKI_Totaal[[#Headers],[A2]],Database_Productkaarten[#All],14,FALSE),0)*Baseline!I88),0))</f>
        <v>0</v>
      </c>
      <c r="F86" s="265">
        <f>(IF(Baseline!C88="Nieuwe Situatie",(_xlfn.IFNA(VLOOKUP(Referentie_MKI_Totaal[[#This Row],[Product]]&amp;", "&amp;Referentie_MKI_Totaal[[#Headers],[A3]],Database_Productkaarten[#All],14,FALSE),0)*Baseline!I88),0))</f>
        <v>0</v>
      </c>
      <c r="G86" s="265">
        <f>(IF(Baseline!C88="Nieuwe Situatie",(_xlfn.IFNA(VLOOKUP(Referentie_MKI_Totaal[[#This Row],[Product]]&amp;", "&amp;Referentie_MKI_Totaal[[#Headers],[A1-A3]],Database_Productkaarten[#All],14,FALSE),0)*Baseline!I88),0))</f>
        <v>0</v>
      </c>
      <c r="H86" s="265">
        <f>IF(Baseline!T88=0,(IF(Baseline!C88="Nieuwe Situatie",(_xlfn.IFNA(VLOOKUP(Referentie_MKI_Totaal[[#This Row],[Product]]&amp;", "&amp;Referentie_MKI_Totaal[[#Headers],[A4]],Database_Productkaarten[#All],14,FALSE),0)*Baseline!Q88),0)),(IF(Baseline!C88="Nieuwe Situatie",_xlfn.IFNA(VLOOKUP(Baseline!T88,Database_Transport[#All],7,FALSE)*(Baseline!Q88*Baseline!S88),0))))</f>
        <v>0</v>
      </c>
      <c r="I86" s="265">
        <f>IF(Baseline!C88="Nieuwe situatie",IF(_xlfn.IFNA((VLOOKUP(Baseline!U88,Database_Asfalt_Aanlegset[#All],7,FALSE)*Baseline!I88),0)+_xlfn.IFNA(VLOOKUP(Baseline!V88,Database_Brandstoffen[#All],7,FALSE)*((Baseline!I88/Baseline!X88)*Baseline!W88),0)&gt;0,_xlfn.IFNA((VLOOKUP(Baseline!U88,Database_Asfalt_Aanlegset[#All],7,FALSE)*Baseline!I88),0)+_xlfn.IFNA(VLOOKUP(Baseline!V88,Database_Brandstoffen[#All],7,FALSE)*((Baseline!I88/Baseline!X88)*Baseline!W88),0),(_xlfn.IFNA(VLOOKUP(Referentie_MKI_Totaal[[#This Row],[Product]]&amp;", "&amp;Referentie_MKI_Totaal[[#Headers],[A5]],Database_Productkaarten[#All],14,FALSE),0)*Baseline!I88)),0)</f>
        <v>0</v>
      </c>
      <c r="J86" s="265"/>
      <c r="K86" s="265">
        <f>(IF(Baseline!C88="Nieuwe Situatie",(SUM(Referentie_MKI_Totaal[[#This Row],[A1]:[B1]],Referentie_MKI_Totaal[[#This Row],[C1]:[D2]])*Baseline!R88),0))</f>
        <v>0</v>
      </c>
      <c r="L86" s="265">
        <f>IF(Baseline!C88="Bestaande situatie",IF(_xlfn.IFNA((VLOOKUP(Baseline!Y88,Database_Asfalt_Verwijderset[#All],7,FALSE)*Baseline!I88),0)+_xlfn.IFNA(VLOOKUP(Baseline!Z88,Database_Brandstoffen[#All],7,FALSE)*((Baseline!I88/Baseline!AB88)*Baseline!AA88),0)&gt;0,_xlfn.IFNA((VLOOKUP(Baseline!Y88,Database_Asfalt_Verwijderset[#All],7,FALSE)*Baseline!I88),0)+_xlfn.IFNA(VLOOKUP(Baseline!Z88,Database_Brandstoffen[#All],7,FALSE)*((Baseline!I88/Baseline!AB88)*Baseline!AA88),0),(_xlfn.IFNA(VLOOKUP(Referentie_MKI_Totaal[[#This Row],[Product]]&amp;", "&amp;Referentie_MKI_Totaal[[#Headers],[C1]],Database_Productkaarten[#All],14,FALSE),0)*Baseline!I88)),0)</f>
        <v>0</v>
      </c>
      <c r="M86" s="265">
        <f>IF(Baseline!AD88=0,(IF(Baseline!C88="Bestaande Situatie",(_xlfn.IFNA(VLOOKUP(Referentie_MKI_Totaal[[#This Row],[Product]]&amp;", "&amp;Referentie_MKI_Totaal[[#Headers],[C2]],Database_Productkaarten[#All],14,FALSE),0)*Baseline!I88),0)),(IF(Baseline!C88="Bestaande Situatie",_xlfn.IFNA(VLOOKUP(Baseline!AD88,Database_Transport[#All],7,FALSE)*(Baseline!Q88*Baseline!AC88),0))))</f>
        <v>0</v>
      </c>
      <c r="N86" s="265">
        <f>(IF(Baseline!C88="Bestaande Situatie",(_xlfn.IFNA(VLOOKUP(Referentie_MKI_Totaal[[#This Row],[Product]]&amp;", "&amp;Referentie_MKI_Totaal[[#Headers],[C3]],Database_Productkaarten[#All],14,FALSE),0)*Baseline!I88),0))</f>
        <v>0</v>
      </c>
      <c r="O86" s="265">
        <f>(IF(Baseline!C88="Bestaande Situatie",(_xlfn.IFNA(VLOOKUP(Referentie_MKI_Totaal[[#This Row],[Product]]&amp;", "&amp;Referentie_MKI_Totaal[[#Headers],[C4]],Database_Productkaarten[#All],14,FALSE),0)*Baseline!I88),0))</f>
        <v>0</v>
      </c>
      <c r="P86" s="265">
        <f>(IF(Baseline!C88="Bestaande Situatie",(_xlfn.IFNA(VLOOKUP(Referentie_MKI_Totaal[[#This Row],[Product]]&amp;", "&amp;Referentie_MKI_Totaal[[#Headers],[D1]],Database_Productkaarten[#All],14,FALSE),0)*Baseline!I88),0))</f>
        <v>0</v>
      </c>
      <c r="Q86" s="265">
        <f>(IF(Baseline!C88="Bestaande Situatie",_xlfn.IFNA(VLOOKUP(Referentie_MKI_Totaal[[#This Row],[Product]]&amp;", "&amp;Referentie_MKI_Totaal[[#Headers],[D2]],Database_Productkaarten[#All],14,FALSE),0)*Baseline!I88,0))</f>
        <v>0</v>
      </c>
      <c r="R86" s="265">
        <f>(IF(Baseline!C88="Bestaande Situatie",(_xlfn.IFNA(VLOOKUP(Referentie_MKI_Totaal[[#This Row],[Product]]&amp;", "&amp;Referentie_MKI_Totaal[[#Headers],[D]],Database_Productkaarten[#All],14,FALSE),0)*Baseline!I88),0))</f>
        <v>0</v>
      </c>
      <c r="S86" s="266">
        <f>SUM(Referentie_MKI_Totaal[[#This Row],[A1-A3]:[C4]])+Referentie_MKI_Totaal[[#This Row],[D]]</f>
        <v>0</v>
      </c>
      <c r="V86" s="331" t="e">
        <f>SUM(Referentie_MKI_Totaal[[#This Row],[A1-A3]]+Referentie_MKI_Totaal[[#This Row],[A4]]+Referentie_MKI_Totaal[[#This Row],[C2]]+Referentie_MKI_Totaal[[#This Row],[C3]]+Referentie_MKI_Totaal[[#This Row],[C4]]+Referentie_MKI_Totaal[[#This Row],[D]])*(VLOOKUP(Referentie_MKI_Totaal[[#This Row],[Product]]&amp;", "&amp;Referentie_MKI_Totaal[[#Headers],[A5]],Database_Productkaarten[#All],66,FALSE))</f>
        <v>#N/A</v>
      </c>
    </row>
    <row r="87" spans="2:22" hidden="1">
      <c r="B87" s="263">
        <f>Baseline!B89</f>
        <v>0</v>
      </c>
      <c r="C87" s="264">
        <f>Baseline!F89</f>
        <v>0</v>
      </c>
      <c r="D87" s="265">
        <f>(IF(Baseline!C89="Nieuwe Situatie",(_xlfn.IFNA(VLOOKUP(Referentie_MKI_Totaal[[#This Row],[Product]]&amp;", "&amp;Referentie_MKI_Totaal[[#Headers],[A1]],Database_Productkaarten[#All],14,FALSE),0)*Baseline!I89),0))</f>
        <v>0</v>
      </c>
      <c r="E87" s="265">
        <f>(IF(Baseline!C89="Nieuwe Situatie",(_xlfn.IFNA(VLOOKUP(Referentie_MKI_Totaal[[#This Row],[Product]]&amp;", "&amp;Referentie_MKI_Totaal[[#Headers],[A2]],Database_Productkaarten[#All],14,FALSE),0)*Baseline!I89),0))</f>
        <v>0</v>
      </c>
      <c r="F87" s="265">
        <f>(IF(Baseline!C89="Nieuwe Situatie",(_xlfn.IFNA(VLOOKUP(Referentie_MKI_Totaal[[#This Row],[Product]]&amp;", "&amp;Referentie_MKI_Totaal[[#Headers],[A3]],Database_Productkaarten[#All],14,FALSE),0)*Baseline!I89),0))</f>
        <v>0</v>
      </c>
      <c r="G87" s="265">
        <f>(IF(Baseline!C89="Nieuwe Situatie",(_xlfn.IFNA(VLOOKUP(Referentie_MKI_Totaal[[#This Row],[Product]]&amp;", "&amp;Referentie_MKI_Totaal[[#Headers],[A1-A3]],Database_Productkaarten[#All],14,FALSE),0)*Baseline!I89),0))</f>
        <v>0</v>
      </c>
      <c r="H87" s="265">
        <f>IF(Baseline!T89=0,(IF(Baseline!C89="Nieuwe Situatie",(_xlfn.IFNA(VLOOKUP(Referentie_MKI_Totaal[[#This Row],[Product]]&amp;", "&amp;Referentie_MKI_Totaal[[#Headers],[A4]],Database_Productkaarten[#All],14,FALSE),0)*Baseline!Q89),0)),(IF(Baseline!C89="Nieuwe Situatie",_xlfn.IFNA(VLOOKUP(Baseline!T89,Database_Transport[#All],7,FALSE)*(Baseline!Q89*Baseline!S89),0))))</f>
        <v>0</v>
      </c>
      <c r="I87" s="265">
        <f>IF(Baseline!C89="Nieuwe situatie",IF(_xlfn.IFNA((VLOOKUP(Baseline!U89,Database_Asfalt_Aanlegset[#All],7,FALSE)*Baseline!I89),0)+_xlfn.IFNA(VLOOKUP(Baseline!V89,Database_Brandstoffen[#All],7,FALSE)*((Baseline!I89/Baseline!X89)*Baseline!W89),0)&gt;0,_xlfn.IFNA((VLOOKUP(Baseline!U89,Database_Asfalt_Aanlegset[#All],7,FALSE)*Baseline!I89),0)+_xlfn.IFNA(VLOOKUP(Baseline!V89,Database_Brandstoffen[#All],7,FALSE)*((Baseline!I89/Baseline!X89)*Baseline!W89),0),(_xlfn.IFNA(VLOOKUP(Referentie_MKI_Totaal[[#This Row],[Product]]&amp;", "&amp;Referentie_MKI_Totaal[[#Headers],[A5]],Database_Productkaarten[#All],14,FALSE),0)*Baseline!I89)),0)</f>
        <v>0</v>
      </c>
      <c r="J87" s="265"/>
      <c r="K87" s="265">
        <f>(IF(Baseline!C89="Nieuwe Situatie",(SUM(Referentie_MKI_Totaal[[#This Row],[A1]:[B1]],Referentie_MKI_Totaal[[#This Row],[C1]:[D2]])*Baseline!R89),0))</f>
        <v>0</v>
      </c>
      <c r="L87" s="265">
        <f>IF(Baseline!C89="Bestaande situatie",IF(_xlfn.IFNA((VLOOKUP(Baseline!Y89,Database_Asfalt_Verwijderset[#All],7,FALSE)*Baseline!I89),0)+_xlfn.IFNA(VLOOKUP(Baseline!Z89,Database_Brandstoffen[#All],7,FALSE)*((Baseline!I89/Baseline!AB89)*Baseline!AA89),0)&gt;0,_xlfn.IFNA((VLOOKUP(Baseline!Y89,Database_Asfalt_Verwijderset[#All],7,FALSE)*Baseline!I89),0)+_xlfn.IFNA(VLOOKUP(Baseline!Z89,Database_Brandstoffen[#All],7,FALSE)*((Baseline!I89/Baseline!AB89)*Baseline!AA89),0),(_xlfn.IFNA(VLOOKUP(Referentie_MKI_Totaal[[#This Row],[Product]]&amp;", "&amp;Referentie_MKI_Totaal[[#Headers],[C1]],Database_Productkaarten[#All],14,FALSE),0)*Baseline!I89)),0)</f>
        <v>0</v>
      </c>
      <c r="M87" s="265">
        <f>IF(Baseline!AD89=0,(IF(Baseline!C89="Bestaande Situatie",(_xlfn.IFNA(VLOOKUP(Referentie_MKI_Totaal[[#This Row],[Product]]&amp;", "&amp;Referentie_MKI_Totaal[[#Headers],[C2]],Database_Productkaarten[#All],14,FALSE),0)*Baseline!I89),0)),(IF(Baseline!C89="Bestaande Situatie",_xlfn.IFNA(VLOOKUP(Baseline!AD89,Database_Transport[#All],7,FALSE)*(Baseline!Q89*Baseline!AC89),0))))</f>
        <v>0</v>
      </c>
      <c r="N87" s="265">
        <f>(IF(Baseline!C89="Bestaande Situatie",(_xlfn.IFNA(VLOOKUP(Referentie_MKI_Totaal[[#This Row],[Product]]&amp;", "&amp;Referentie_MKI_Totaal[[#Headers],[C3]],Database_Productkaarten[#All],14,FALSE),0)*Baseline!I89),0))</f>
        <v>0</v>
      </c>
      <c r="O87" s="265">
        <f>(IF(Baseline!C89="Bestaande Situatie",(_xlfn.IFNA(VLOOKUP(Referentie_MKI_Totaal[[#This Row],[Product]]&amp;", "&amp;Referentie_MKI_Totaal[[#Headers],[C4]],Database_Productkaarten[#All],14,FALSE),0)*Baseline!I89),0))</f>
        <v>0</v>
      </c>
      <c r="P87" s="265">
        <f>(IF(Baseline!C89="Bestaande Situatie",(_xlfn.IFNA(VLOOKUP(Referentie_MKI_Totaal[[#This Row],[Product]]&amp;", "&amp;Referentie_MKI_Totaal[[#Headers],[D1]],Database_Productkaarten[#All],14,FALSE),0)*Baseline!I89),0))</f>
        <v>0</v>
      </c>
      <c r="Q87" s="265">
        <f>(IF(Baseline!C89="Bestaande Situatie",_xlfn.IFNA(VLOOKUP(Referentie_MKI_Totaal[[#This Row],[Product]]&amp;", "&amp;Referentie_MKI_Totaal[[#Headers],[D2]],Database_Productkaarten[#All],14,FALSE),0)*Baseline!I89,0))</f>
        <v>0</v>
      </c>
      <c r="R87" s="265">
        <f>(IF(Baseline!C89="Bestaande Situatie",(_xlfn.IFNA(VLOOKUP(Referentie_MKI_Totaal[[#This Row],[Product]]&amp;", "&amp;Referentie_MKI_Totaal[[#Headers],[D]],Database_Productkaarten[#All],14,FALSE),0)*Baseline!I89),0))</f>
        <v>0</v>
      </c>
      <c r="S87" s="266">
        <f>SUM(Referentie_MKI_Totaal[[#This Row],[A1-A3]:[C4]])+Referentie_MKI_Totaal[[#This Row],[D]]</f>
        <v>0</v>
      </c>
      <c r="V87" s="331" t="e">
        <f>SUM(Referentie_MKI_Totaal[[#This Row],[A1-A3]]+Referentie_MKI_Totaal[[#This Row],[A4]]+Referentie_MKI_Totaal[[#This Row],[C2]]+Referentie_MKI_Totaal[[#This Row],[C3]]+Referentie_MKI_Totaal[[#This Row],[C4]]+Referentie_MKI_Totaal[[#This Row],[D]])*(VLOOKUP(Referentie_MKI_Totaal[[#This Row],[Product]]&amp;", "&amp;Referentie_MKI_Totaal[[#Headers],[A5]],Database_Productkaarten[#All],66,FALSE))</f>
        <v>#N/A</v>
      </c>
    </row>
    <row r="88" spans="2:22" hidden="1">
      <c r="B88" s="263">
        <f>Baseline!B90</f>
        <v>0</v>
      </c>
      <c r="C88" s="264">
        <f>Baseline!F90</f>
        <v>0</v>
      </c>
      <c r="D88" s="265">
        <f>(IF(Baseline!C90="Nieuwe Situatie",(_xlfn.IFNA(VLOOKUP(Referentie_MKI_Totaal[[#This Row],[Product]]&amp;", "&amp;Referentie_MKI_Totaal[[#Headers],[A1]],Database_Productkaarten[#All],14,FALSE),0)*Baseline!I90),0))</f>
        <v>0</v>
      </c>
      <c r="E88" s="265">
        <f>(IF(Baseline!C90="Nieuwe Situatie",(_xlfn.IFNA(VLOOKUP(Referentie_MKI_Totaal[[#This Row],[Product]]&amp;", "&amp;Referentie_MKI_Totaal[[#Headers],[A2]],Database_Productkaarten[#All],14,FALSE),0)*Baseline!I90),0))</f>
        <v>0</v>
      </c>
      <c r="F88" s="265">
        <f>(IF(Baseline!C90="Nieuwe Situatie",(_xlfn.IFNA(VLOOKUP(Referentie_MKI_Totaal[[#This Row],[Product]]&amp;", "&amp;Referentie_MKI_Totaal[[#Headers],[A3]],Database_Productkaarten[#All],14,FALSE),0)*Baseline!I90),0))</f>
        <v>0</v>
      </c>
      <c r="G88" s="265">
        <f>(IF(Baseline!C90="Nieuwe Situatie",(_xlfn.IFNA(VLOOKUP(Referentie_MKI_Totaal[[#This Row],[Product]]&amp;", "&amp;Referentie_MKI_Totaal[[#Headers],[A1-A3]],Database_Productkaarten[#All],14,FALSE),0)*Baseline!I90),0))</f>
        <v>0</v>
      </c>
      <c r="H88" s="265">
        <f>IF(Baseline!T90=0,(IF(Baseline!C90="Nieuwe Situatie",(_xlfn.IFNA(VLOOKUP(Referentie_MKI_Totaal[[#This Row],[Product]]&amp;", "&amp;Referentie_MKI_Totaal[[#Headers],[A4]],Database_Productkaarten[#All],14,FALSE),0)*Baseline!Q90),0)),(IF(Baseline!C90="Nieuwe Situatie",_xlfn.IFNA(VLOOKUP(Baseline!T90,Database_Transport[#All],7,FALSE)*(Baseline!Q90*Baseline!S90),0))))</f>
        <v>0</v>
      </c>
      <c r="I88" s="265">
        <f>IF(Baseline!C90="Nieuwe situatie",IF(_xlfn.IFNA((VLOOKUP(Baseline!U90,Database_Asfalt_Aanlegset[#All],7,FALSE)*Baseline!I90),0)+_xlfn.IFNA(VLOOKUP(Baseline!V90,Database_Brandstoffen[#All],7,FALSE)*((Baseline!I90/Baseline!X90)*Baseline!W90),0)&gt;0,_xlfn.IFNA((VLOOKUP(Baseline!U90,Database_Asfalt_Aanlegset[#All],7,FALSE)*Baseline!I90),0)+_xlfn.IFNA(VLOOKUP(Baseline!V90,Database_Brandstoffen[#All],7,FALSE)*((Baseline!I90/Baseline!X90)*Baseline!W90),0),(_xlfn.IFNA(VLOOKUP(Referentie_MKI_Totaal[[#This Row],[Product]]&amp;", "&amp;Referentie_MKI_Totaal[[#Headers],[A5]],Database_Productkaarten[#All],14,FALSE),0)*Baseline!I90)),0)</f>
        <v>0</v>
      </c>
      <c r="J88" s="265"/>
      <c r="K88" s="265">
        <f>(IF(Baseline!C90="Nieuwe Situatie",(SUM(Referentie_MKI_Totaal[[#This Row],[A1]:[B1]],Referentie_MKI_Totaal[[#This Row],[C1]:[D2]])*Baseline!R90),0))</f>
        <v>0</v>
      </c>
      <c r="L88" s="265">
        <f>IF(Baseline!C90="Bestaande situatie",IF(_xlfn.IFNA((VLOOKUP(Baseline!Y90,Database_Asfalt_Verwijderset[#All],7,FALSE)*Baseline!I90),0)+_xlfn.IFNA(VLOOKUP(Baseline!Z90,Database_Brandstoffen[#All],7,FALSE)*((Baseline!I90/Baseline!AB90)*Baseline!AA90),0)&gt;0,_xlfn.IFNA((VLOOKUP(Baseline!Y90,Database_Asfalt_Verwijderset[#All],7,FALSE)*Baseline!I90),0)+_xlfn.IFNA(VLOOKUP(Baseline!Z90,Database_Brandstoffen[#All],7,FALSE)*((Baseline!I90/Baseline!AB90)*Baseline!AA90),0),(_xlfn.IFNA(VLOOKUP(Referentie_MKI_Totaal[[#This Row],[Product]]&amp;", "&amp;Referentie_MKI_Totaal[[#Headers],[C1]],Database_Productkaarten[#All],14,FALSE),0)*Baseline!I90)),0)</f>
        <v>0</v>
      </c>
      <c r="M88" s="265">
        <f>IF(Baseline!AD90=0,(IF(Baseline!C90="Bestaande Situatie",(_xlfn.IFNA(VLOOKUP(Referentie_MKI_Totaal[[#This Row],[Product]]&amp;", "&amp;Referentie_MKI_Totaal[[#Headers],[C2]],Database_Productkaarten[#All],14,FALSE),0)*Baseline!I90),0)),(IF(Baseline!C90="Bestaande Situatie",_xlfn.IFNA(VLOOKUP(Baseline!AD90,Database_Transport[#All],7,FALSE)*(Baseline!Q90*Baseline!AC90),0))))</f>
        <v>0</v>
      </c>
      <c r="N88" s="265">
        <f>(IF(Baseline!C90="Bestaande Situatie",(_xlfn.IFNA(VLOOKUP(Referentie_MKI_Totaal[[#This Row],[Product]]&amp;", "&amp;Referentie_MKI_Totaal[[#Headers],[C3]],Database_Productkaarten[#All],14,FALSE),0)*Baseline!I90),0))</f>
        <v>0</v>
      </c>
      <c r="O88" s="265">
        <f>(IF(Baseline!C90="Bestaande Situatie",(_xlfn.IFNA(VLOOKUP(Referentie_MKI_Totaal[[#This Row],[Product]]&amp;", "&amp;Referentie_MKI_Totaal[[#Headers],[C4]],Database_Productkaarten[#All],14,FALSE),0)*Baseline!I90),0))</f>
        <v>0</v>
      </c>
      <c r="P88" s="265">
        <f>(IF(Baseline!C90="Bestaande Situatie",(_xlfn.IFNA(VLOOKUP(Referentie_MKI_Totaal[[#This Row],[Product]]&amp;", "&amp;Referentie_MKI_Totaal[[#Headers],[D1]],Database_Productkaarten[#All],14,FALSE),0)*Baseline!I90),0))</f>
        <v>0</v>
      </c>
      <c r="Q88" s="265">
        <f>(IF(Baseline!C90="Bestaande Situatie",_xlfn.IFNA(VLOOKUP(Referentie_MKI_Totaal[[#This Row],[Product]]&amp;", "&amp;Referentie_MKI_Totaal[[#Headers],[D2]],Database_Productkaarten[#All],14,FALSE),0)*Baseline!I90,0))</f>
        <v>0</v>
      </c>
      <c r="R88" s="265">
        <f>(IF(Baseline!C90="Bestaande Situatie",(_xlfn.IFNA(VLOOKUP(Referentie_MKI_Totaal[[#This Row],[Product]]&amp;", "&amp;Referentie_MKI_Totaal[[#Headers],[D]],Database_Productkaarten[#All],14,FALSE),0)*Baseline!I90),0))</f>
        <v>0</v>
      </c>
      <c r="S88" s="266">
        <f>SUM(Referentie_MKI_Totaal[[#This Row],[A1-A3]:[C4]])+Referentie_MKI_Totaal[[#This Row],[D]]</f>
        <v>0</v>
      </c>
      <c r="V88" s="331" t="e">
        <f>SUM(Referentie_MKI_Totaal[[#This Row],[A1-A3]]+Referentie_MKI_Totaal[[#This Row],[A4]]+Referentie_MKI_Totaal[[#This Row],[C2]]+Referentie_MKI_Totaal[[#This Row],[C3]]+Referentie_MKI_Totaal[[#This Row],[C4]]+Referentie_MKI_Totaal[[#This Row],[D]])*(VLOOKUP(Referentie_MKI_Totaal[[#This Row],[Product]]&amp;", "&amp;Referentie_MKI_Totaal[[#Headers],[A5]],Database_Productkaarten[#All],66,FALSE))</f>
        <v>#N/A</v>
      </c>
    </row>
    <row r="89" spans="2:22" hidden="1">
      <c r="B89" s="263">
        <f>Baseline!B91</f>
        <v>0</v>
      </c>
      <c r="C89" s="264">
        <f>Baseline!F91</f>
        <v>0</v>
      </c>
      <c r="D89" s="265">
        <f>(IF(Baseline!C91="Nieuwe Situatie",(_xlfn.IFNA(VLOOKUP(Referentie_MKI_Totaal[[#This Row],[Product]]&amp;", "&amp;Referentie_MKI_Totaal[[#Headers],[A1]],Database_Productkaarten[#All],14,FALSE),0)*Baseline!I91),0))</f>
        <v>0</v>
      </c>
      <c r="E89" s="265">
        <f>(IF(Baseline!C91="Nieuwe Situatie",(_xlfn.IFNA(VLOOKUP(Referentie_MKI_Totaal[[#This Row],[Product]]&amp;", "&amp;Referentie_MKI_Totaal[[#Headers],[A2]],Database_Productkaarten[#All],14,FALSE),0)*Baseline!I91),0))</f>
        <v>0</v>
      </c>
      <c r="F89" s="265">
        <f>(IF(Baseline!C91="Nieuwe Situatie",(_xlfn.IFNA(VLOOKUP(Referentie_MKI_Totaal[[#This Row],[Product]]&amp;", "&amp;Referentie_MKI_Totaal[[#Headers],[A3]],Database_Productkaarten[#All],14,FALSE),0)*Baseline!I91),0))</f>
        <v>0</v>
      </c>
      <c r="G89" s="265">
        <f>(IF(Baseline!C91="Nieuwe Situatie",(_xlfn.IFNA(VLOOKUP(Referentie_MKI_Totaal[[#This Row],[Product]]&amp;", "&amp;Referentie_MKI_Totaal[[#Headers],[A1-A3]],Database_Productkaarten[#All],14,FALSE),0)*Baseline!I91),0))</f>
        <v>0</v>
      </c>
      <c r="H89" s="265">
        <f>IF(Baseline!T91=0,(IF(Baseline!C91="Nieuwe Situatie",(_xlfn.IFNA(VLOOKUP(Referentie_MKI_Totaal[[#This Row],[Product]]&amp;", "&amp;Referentie_MKI_Totaal[[#Headers],[A4]],Database_Productkaarten[#All],14,FALSE),0)*Baseline!Q91),0)),(IF(Baseline!C91="Nieuwe Situatie",_xlfn.IFNA(VLOOKUP(Baseline!T91,Database_Transport[#All],7,FALSE)*(Baseline!Q91*Baseline!S91),0))))</f>
        <v>0</v>
      </c>
      <c r="I89" s="265">
        <f>IF(Baseline!C91="Nieuwe situatie",IF(_xlfn.IFNA((VLOOKUP(Baseline!U91,Database_Asfalt_Aanlegset[#All],7,FALSE)*Baseline!I91),0)+_xlfn.IFNA(VLOOKUP(Baseline!V91,Database_Brandstoffen[#All],7,FALSE)*((Baseline!I91/Baseline!X91)*Baseline!W91),0)&gt;0,_xlfn.IFNA((VLOOKUP(Baseline!U91,Database_Asfalt_Aanlegset[#All],7,FALSE)*Baseline!I91),0)+_xlfn.IFNA(VLOOKUP(Baseline!V91,Database_Brandstoffen[#All],7,FALSE)*((Baseline!I91/Baseline!X91)*Baseline!W91),0),(_xlfn.IFNA(VLOOKUP(Referentie_MKI_Totaal[[#This Row],[Product]]&amp;", "&amp;Referentie_MKI_Totaal[[#Headers],[A5]],Database_Productkaarten[#All],14,FALSE),0)*Baseline!I91)),0)</f>
        <v>0</v>
      </c>
      <c r="J89" s="265"/>
      <c r="K89" s="265">
        <f>(IF(Baseline!C91="Nieuwe Situatie",(SUM(Referentie_MKI_Totaal[[#This Row],[A1]:[B1]],Referentie_MKI_Totaal[[#This Row],[C1]:[D2]])*Baseline!R91),0))</f>
        <v>0</v>
      </c>
      <c r="L89" s="265">
        <f>IF(Baseline!C91="Bestaande situatie",IF(_xlfn.IFNA((VLOOKUP(Baseline!Y91,Database_Asfalt_Verwijderset[#All],7,FALSE)*Baseline!I91),0)+_xlfn.IFNA(VLOOKUP(Baseline!Z91,Database_Brandstoffen[#All],7,FALSE)*((Baseline!I91/Baseline!AB91)*Baseline!AA91),0)&gt;0,_xlfn.IFNA((VLOOKUP(Baseline!Y91,Database_Asfalt_Verwijderset[#All],7,FALSE)*Baseline!I91),0)+_xlfn.IFNA(VLOOKUP(Baseline!Z91,Database_Brandstoffen[#All],7,FALSE)*((Baseline!I91/Baseline!AB91)*Baseline!AA91),0),(_xlfn.IFNA(VLOOKUP(Referentie_MKI_Totaal[[#This Row],[Product]]&amp;", "&amp;Referentie_MKI_Totaal[[#Headers],[C1]],Database_Productkaarten[#All],14,FALSE),0)*Baseline!I91)),0)</f>
        <v>0</v>
      </c>
      <c r="M89" s="265">
        <f>IF(Baseline!AD91=0,(IF(Baseline!C91="Bestaande Situatie",(_xlfn.IFNA(VLOOKUP(Referentie_MKI_Totaal[[#This Row],[Product]]&amp;", "&amp;Referentie_MKI_Totaal[[#Headers],[C2]],Database_Productkaarten[#All],14,FALSE),0)*Baseline!I91),0)),(IF(Baseline!C91="Bestaande Situatie",_xlfn.IFNA(VLOOKUP(Baseline!AD91,Database_Transport[#All],7,FALSE)*(Baseline!Q91*Baseline!AC91),0))))</f>
        <v>0</v>
      </c>
      <c r="N89" s="265">
        <f>(IF(Baseline!C91="Bestaande Situatie",(_xlfn.IFNA(VLOOKUP(Referentie_MKI_Totaal[[#This Row],[Product]]&amp;", "&amp;Referentie_MKI_Totaal[[#Headers],[C3]],Database_Productkaarten[#All],14,FALSE),0)*Baseline!I91),0))</f>
        <v>0</v>
      </c>
      <c r="O89" s="265">
        <f>(IF(Baseline!C91="Bestaande Situatie",(_xlfn.IFNA(VLOOKUP(Referentie_MKI_Totaal[[#This Row],[Product]]&amp;", "&amp;Referentie_MKI_Totaal[[#Headers],[C4]],Database_Productkaarten[#All],14,FALSE),0)*Baseline!I91),0))</f>
        <v>0</v>
      </c>
      <c r="P89" s="265">
        <f>(IF(Baseline!C91="Bestaande Situatie",(_xlfn.IFNA(VLOOKUP(Referentie_MKI_Totaal[[#This Row],[Product]]&amp;", "&amp;Referentie_MKI_Totaal[[#Headers],[D1]],Database_Productkaarten[#All],14,FALSE),0)*Baseline!I91),0))</f>
        <v>0</v>
      </c>
      <c r="Q89" s="265">
        <f>(IF(Baseline!C91="Bestaande Situatie",_xlfn.IFNA(VLOOKUP(Referentie_MKI_Totaal[[#This Row],[Product]]&amp;", "&amp;Referentie_MKI_Totaal[[#Headers],[D2]],Database_Productkaarten[#All],14,FALSE),0)*Baseline!I91,0))</f>
        <v>0</v>
      </c>
      <c r="R89" s="265">
        <f>(IF(Baseline!C91="Bestaande Situatie",(_xlfn.IFNA(VLOOKUP(Referentie_MKI_Totaal[[#This Row],[Product]]&amp;", "&amp;Referentie_MKI_Totaal[[#Headers],[D]],Database_Productkaarten[#All],14,FALSE),0)*Baseline!I91),0))</f>
        <v>0</v>
      </c>
      <c r="S89" s="266">
        <f>SUM(Referentie_MKI_Totaal[[#This Row],[A1-A3]:[C4]])+Referentie_MKI_Totaal[[#This Row],[D]]</f>
        <v>0</v>
      </c>
      <c r="V89" s="331" t="e">
        <f>SUM(Referentie_MKI_Totaal[[#This Row],[A1-A3]]+Referentie_MKI_Totaal[[#This Row],[A4]]+Referentie_MKI_Totaal[[#This Row],[C2]]+Referentie_MKI_Totaal[[#This Row],[C3]]+Referentie_MKI_Totaal[[#This Row],[C4]]+Referentie_MKI_Totaal[[#This Row],[D]])*(VLOOKUP(Referentie_MKI_Totaal[[#This Row],[Product]]&amp;", "&amp;Referentie_MKI_Totaal[[#Headers],[A5]],Database_Productkaarten[#All],66,FALSE))</f>
        <v>#N/A</v>
      </c>
    </row>
    <row r="90" spans="2:22" hidden="1">
      <c r="B90" s="263">
        <f>Baseline!B92</f>
        <v>0</v>
      </c>
      <c r="C90" s="264">
        <f>Baseline!F92</f>
        <v>0</v>
      </c>
      <c r="D90" s="265">
        <f>(IF(Baseline!C92="Nieuwe Situatie",(_xlfn.IFNA(VLOOKUP(Referentie_MKI_Totaal[[#This Row],[Product]]&amp;", "&amp;Referentie_MKI_Totaal[[#Headers],[A1]],Database_Productkaarten[#All],14,FALSE),0)*Baseline!I92),0))</f>
        <v>0</v>
      </c>
      <c r="E90" s="265">
        <f>(IF(Baseline!C92="Nieuwe Situatie",(_xlfn.IFNA(VLOOKUP(Referentie_MKI_Totaal[[#This Row],[Product]]&amp;", "&amp;Referentie_MKI_Totaal[[#Headers],[A2]],Database_Productkaarten[#All],14,FALSE),0)*Baseline!I92),0))</f>
        <v>0</v>
      </c>
      <c r="F90" s="265">
        <f>(IF(Baseline!C92="Nieuwe Situatie",(_xlfn.IFNA(VLOOKUP(Referentie_MKI_Totaal[[#This Row],[Product]]&amp;", "&amp;Referentie_MKI_Totaal[[#Headers],[A3]],Database_Productkaarten[#All],14,FALSE),0)*Baseline!I92),0))</f>
        <v>0</v>
      </c>
      <c r="G90" s="265">
        <f>(IF(Baseline!C92="Nieuwe Situatie",(_xlfn.IFNA(VLOOKUP(Referentie_MKI_Totaal[[#This Row],[Product]]&amp;", "&amp;Referentie_MKI_Totaal[[#Headers],[A1-A3]],Database_Productkaarten[#All],14,FALSE),0)*Baseline!I92),0))</f>
        <v>0</v>
      </c>
      <c r="H90" s="265">
        <f>IF(Baseline!T92=0,(IF(Baseline!C92="Nieuwe Situatie",(_xlfn.IFNA(VLOOKUP(Referentie_MKI_Totaal[[#This Row],[Product]]&amp;", "&amp;Referentie_MKI_Totaal[[#Headers],[A4]],Database_Productkaarten[#All],14,FALSE),0)*Baseline!Q92),0)),(IF(Baseline!C92="Nieuwe Situatie",_xlfn.IFNA(VLOOKUP(Baseline!T92,Database_Transport[#All],7,FALSE)*(Baseline!Q92*Baseline!S92),0))))</f>
        <v>0</v>
      </c>
      <c r="I90" s="265">
        <f>IF(Baseline!C92="Nieuwe situatie",IF(_xlfn.IFNA((VLOOKUP(Baseline!U92,Database_Asfalt_Aanlegset[#All],7,FALSE)*Baseline!I92),0)+_xlfn.IFNA(VLOOKUP(Baseline!V92,Database_Brandstoffen[#All],7,FALSE)*((Baseline!I92/Baseline!X92)*Baseline!W92),0)&gt;0,_xlfn.IFNA((VLOOKUP(Baseline!U92,Database_Asfalt_Aanlegset[#All],7,FALSE)*Baseline!I92),0)+_xlfn.IFNA(VLOOKUP(Baseline!V92,Database_Brandstoffen[#All],7,FALSE)*((Baseline!I92/Baseline!X92)*Baseline!W92),0),(_xlfn.IFNA(VLOOKUP(Referentie_MKI_Totaal[[#This Row],[Product]]&amp;", "&amp;Referentie_MKI_Totaal[[#Headers],[A5]],Database_Productkaarten[#All],14,FALSE),0)*Baseline!I92)),0)</f>
        <v>0</v>
      </c>
      <c r="J90" s="265"/>
      <c r="K90" s="265">
        <f>(IF(Baseline!C92="Nieuwe Situatie",(SUM(Referentie_MKI_Totaal[[#This Row],[A1]:[B1]],Referentie_MKI_Totaal[[#This Row],[C1]:[D2]])*Baseline!R92),0))</f>
        <v>0</v>
      </c>
      <c r="L90" s="265">
        <f>IF(Baseline!C92="Bestaande situatie",IF(_xlfn.IFNA((VLOOKUP(Baseline!Y92,Database_Asfalt_Verwijderset[#All],7,FALSE)*Baseline!I92),0)+_xlfn.IFNA(VLOOKUP(Baseline!Z92,Database_Brandstoffen[#All],7,FALSE)*((Baseline!I92/Baseline!AB92)*Baseline!AA92),0)&gt;0,_xlfn.IFNA((VLOOKUP(Baseline!Y92,Database_Asfalt_Verwijderset[#All],7,FALSE)*Baseline!I92),0)+_xlfn.IFNA(VLOOKUP(Baseline!Z92,Database_Brandstoffen[#All],7,FALSE)*((Baseline!I92/Baseline!AB92)*Baseline!AA92),0),(_xlfn.IFNA(VLOOKUP(Referentie_MKI_Totaal[[#This Row],[Product]]&amp;", "&amp;Referentie_MKI_Totaal[[#Headers],[C1]],Database_Productkaarten[#All],14,FALSE),0)*Baseline!I92)),0)</f>
        <v>0</v>
      </c>
      <c r="M90" s="265">
        <f>IF(Baseline!AD92=0,(IF(Baseline!C92="Bestaande Situatie",(_xlfn.IFNA(VLOOKUP(Referentie_MKI_Totaal[[#This Row],[Product]]&amp;", "&amp;Referentie_MKI_Totaal[[#Headers],[C2]],Database_Productkaarten[#All],14,FALSE),0)*Baseline!I92),0)),(IF(Baseline!C92="Bestaande Situatie",_xlfn.IFNA(VLOOKUP(Baseline!AD92,Database_Transport[#All],7,FALSE)*(Baseline!Q92*Baseline!AC92),0))))</f>
        <v>0</v>
      </c>
      <c r="N90" s="265">
        <f>(IF(Baseline!C92="Bestaande Situatie",(_xlfn.IFNA(VLOOKUP(Referentie_MKI_Totaal[[#This Row],[Product]]&amp;", "&amp;Referentie_MKI_Totaal[[#Headers],[C3]],Database_Productkaarten[#All],14,FALSE),0)*Baseline!I92),0))</f>
        <v>0</v>
      </c>
      <c r="O90" s="265">
        <f>(IF(Baseline!C92="Bestaande Situatie",(_xlfn.IFNA(VLOOKUP(Referentie_MKI_Totaal[[#This Row],[Product]]&amp;", "&amp;Referentie_MKI_Totaal[[#Headers],[C4]],Database_Productkaarten[#All],14,FALSE),0)*Baseline!I92),0))</f>
        <v>0</v>
      </c>
      <c r="P90" s="265">
        <f>(IF(Baseline!C92="Bestaande Situatie",(_xlfn.IFNA(VLOOKUP(Referentie_MKI_Totaal[[#This Row],[Product]]&amp;", "&amp;Referentie_MKI_Totaal[[#Headers],[D1]],Database_Productkaarten[#All],14,FALSE),0)*Baseline!I92),0))</f>
        <v>0</v>
      </c>
      <c r="Q90" s="265">
        <f>(IF(Baseline!C92="Bestaande Situatie",_xlfn.IFNA(VLOOKUP(Referentie_MKI_Totaal[[#This Row],[Product]]&amp;", "&amp;Referentie_MKI_Totaal[[#Headers],[D2]],Database_Productkaarten[#All],14,FALSE),0)*Baseline!I92,0))</f>
        <v>0</v>
      </c>
      <c r="R90" s="265">
        <f>(IF(Baseline!C92="Bestaande Situatie",(_xlfn.IFNA(VLOOKUP(Referentie_MKI_Totaal[[#This Row],[Product]]&amp;", "&amp;Referentie_MKI_Totaal[[#Headers],[D]],Database_Productkaarten[#All],14,FALSE),0)*Baseline!I92),0))</f>
        <v>0</v>
      </c>
      <c r="S90" s="266">
        <f>SUM(Referentie_MKI_Totaal[[#This Row],[A1-A3]:[C4]])+Referentie_MKI_Totaal[[#This Row],[D]]</f>
        <v>0</v>
      </c>
      <c r="V90" s="331" t="e">
        <f>SUM(Referentie_MKI_Totaal[[#This Row],[A1-A3]]+Referentie_MKI_Totaal[[#This Row],[A4]]+Referentie_MKI_Totaal[[#This Row],[C2]]+Referentie_MKI_Totaal[[#This Row],[C3]]+Referentie_MKI_Totaal[[#This Row],[C4]]+Referentie_MKI_Totaal[[#This Row],[D]])*(VLOOKUP(Referentie_MKI_Totaal[[#This Row],[Product]]&amp;", "&amp;Referentie_MKI_Totaal[[#Headers],[A5]],Database_Productkaarten[#All],66,FALSE))</f>
        <v>#N/A</v>
      </c>
    </row>
    <row r="91" spans="2:22" hidden="1">
      <c r="B91" s="263">
        <f>Baseline!B93</f>
        <v>0</v>
      </c>
      <c r="C91" s="264">
        <f>Baseline!F93</f>
        <v>0</v>
      </c>
      <c r="D91" s="265">
        <f>(IF(Baseline!C93="Nieuwe Situatie",(_xlfn.IFNA(VLOOKUP(Referentie_MKI_Totaal[[#This Row],[Product]]&amp;", "&amp;Referentie_MKI_Totaal[[#Headers],[A1]],Database_Productkaarten[#All],14,FALSE),0)*Baseline!I93),0))</f>
        <v>0</v>
      </c>
      <c r="E91" s="265">
        <f>(IF(Baseline!C93="Nieuwe Situatie",(_xlfn.IFNA(VLOOKUP(Referentie_MKI_Totaal[[#This Row],[Product]]&amp;", "&amp;Referentie_MKI_Totaal[[#Headers],[A2]],Database_Productkaarten[#All],14,FALSE),0)*Baseline!I93),0))</f>
        <v>0</v>
      </c>
      <c r="F91" s="265">
        <f>(IF(Baseline!C93="Nieuwe Situatie",(_xlfn.IFNA(VLOOKUP(Referentie_MKI_Totaal[[#This Row],[Product]]&amp;", "&amp;Referentie_MKI_Totaal[[#Headers],[A3]],Database_Productkaarten[#All],14,FALSE),0)*Baseline!I93),0))</f>
        <v>0</v>
      </c>
      <c r="G91" s="265">
        <f>(IF(Baseline!C93="Nieuwe Situatie",(_xlfn.IFNA(VLOOKUP(Referentie_MKI_Totaal[[#This Row],[Product]]&amp;", "&amp;Referentie_MKI_Totaal[[#Headers],[A1-A3]],Database_Productkaarten[#All],14,FALSE),0)*Baseline!I93),0))</f>
        <v>0</v>
      </c>
      <c r="H91" s="265">
        <f>IF(Baseline!T93=0,(IF(Baseline!C93="Nieuwe Situatie",(_xlfn.IFNA(VLOOKUP(Referentie_MKI_Totaal[[#This Row],[Product]]&amp;", "&amp;Referentie_MKI_Totaal[[#Headers],[A4]],Database_Productkaarten[#All],14,FALSE),0)*Baseline!Q93),0)),(IF(Baseline!C93="Nieuwe Situatie",_xlfn.IFNA(VLOOKUP(Baseline!T93,Database_Transport[#All],7,FALSE)*(Baseline!Q93*Baseline!S93),0))))</f>
        <v>0</v>
      </c>
      <c r="I91" s="265">
        <f>IF(Baseline!C93="Nieuwe situatie",IF(_xlfn.IFNA((VLOOKUP(Baseline!U93,Database_Asfalt_Aanlegset[#All],7,FALSE)*Baseline!I93),0)+_xlfn.IFNA(VLOOKUP(Baseline!V93,Database_Brandstoffen[#All],7,FALSE)*((Baseline!I93/Baseline!X93)*Baseline!W93),0)&gt;0,_xlfn.IFNA((VLOOKUP(Baseline!U93,Database_Asfalt_Aanlegset[#All],7,FALSE)*Baseline!I93),0)+_xlfn.IFNA(VLOOKUP(Baseline!V93,Database_Brandstoffen[#All],7,FALSE)*((Baseline!I93/Baseline!X93)*Baseline!W93),0),(_xlfn.IFNA(VLOOKUP(Referentie_MKI_Totaal[[#This Row],[Product]]&amp;", "&amp;Referentie_MKI_Totaal[[#Headers],[A5]],Database_Productkaarten[#All],14,FALSE),0)*Baseline!I93)),0)</f>
        <v>0</v>
      </c>
      <c r="J91" s="265"/>
      <c r="K91" s="265">
        <f>(IF(Baseline!C93="Nieuwe Situatie",(SUM(Referentie_MKI_Totaal[[#This Row],[A1]:[B1]],Referentie_MKI_Totaal[[#This Row],[C1]:[D2]])*Baseline!R93),0))</f>
        <v>0</v>
      </c>
      <c r="L91" s="265">
        <f>IF(Baseline!C93="Bestaande situatie",IF(_xlfn.IFNA((VLOOKUP(Baseline!Y93,Database_Asfalt_Verwijderset[#All],7,FALSE)*Baseline!I93),0)+_xlfn.IFNA(VLOOKUP(Baseline!Z93,Database_Brandstoffen[#All],7,FALSE)*((Baseline!I93/Baseline!AB93)*Baseline!AA93),0)&gt;0,_xlfn.IFNA((VLOOKUP(Baseline!Y93,Database_Asfalt_Verwijderset[#All],7,FALSE)*Baseline!I93),0)+_xlfn.IFNA(VLOOKUP(Baseline!Z93,Database_Brandstoffen[#All],7,FALSE)*((Baseline!I93/Baseline!AB93)*Baseline!AA93),0),(_xlfn.IFNA(VLOOKUP(Referentie_MKI_Totaal[[#This Row],[Product]]&amp;", "&amp;Referentie_MKI_Totaal[[#Headers],[C1]],Database_Productkaarten[#All],14,FALSE),0)*Baseline!I93)),0)</f>
        <v>0</v>
      </c>
      <c r="M91" s="265">
        <f>IF(Baseline!AD93=0,(IF(Baseline!C93="Bestaande Situatie",(_xlfn.IFNA(VLOOKUP(Referentie_MKI_Totaal[[#This Row],[Product]]&amp;", "&amp;Referentie_MKI_Totaal[[#Headers],[C2]],Database_Productkaarten[#All],14,FALSE),0)*Baseline!I93),0)),(IF(Baseline!C93="Bestaande Situatie",_xlfn.IFNA(VLOOKUP(Baseline!AD93,Database_Transport[#All],7,FALSE)*(Baseline!Q93*Baseline!AC93),0))))</f>
        <v>0</v>
      </c>
      <c r="N91" s="265">
        <f>(IF(Baseline!C93="Bestaande Situatie",(_xlfn.IFNA(VLOOKUP(Referentie_MKI_Totaal[[#This Row],[Product]]&amp;", "&amp;Referentie_MKI_Totaal[[#Headers],[C3]],Database_Productkaarten[#All],14,FALSE),0)*Baseline!I93),0))</f>
        <v>0</v>
      </c>
      <c r="O91" s="265">
        <f>(IF(Baseline!C93="Bestaande Situatie",(_xlfn.IFNA(VLOOKUP(Referentie_MKI_Totaal[[#This Row],[Product]]&amp;", "&amp;Referentie_MKI_Totaal[[#Headers],[C4]],Database_Productkaarten[#All],14,FALSE),0)*Baseline!I93),0))</f>
        <v>0</v>
      </c>
      <c r="P91" s="265">
        <f>(IF(Baseline!C93="Bestaande Situatie",(_xlfn.IFNA(VLOOKUP(Referentie_MKI_Totaal[[#This Row],[Product]]&amp;", "&amp;Referentie_MKI_Totaal[[#Headers],[D1]],Database_Productkaarten[#All],14,FALSE),0)*Baseline!I93),0))</f>
        <v>0</v>
      </c>
      <c r="Q91" s="265">
        <f>(IF(Baseline!C93="Bestaande Situatie",_xlfn.IFNA(VLOOKUP(Referentie_MKI_Totaal[[#This Row],[Product]]&amp;", "&amp;Referentie_MKI_Totaal[[#Headers],[D2]],Database_Productkaarten[#All],14,FALSE),0)*Baseline!I93,0))</f>
        <v>0</v>
      </c>
      <c r="R91" s="265">
        <f>(IF(Baseline!C93="Bestaande Situatie",(_xlfn.IFNA(VLOOKUP(Referentie_MKI_Totaal[[#This Row],[Product]]&amp;", "&amp;Referentie_MKI_Totaal[[#Headers],[D]],Database_Productkaarten[#All],14,FALSE),0)*Baseline!I93),0))</f>
        <v>0</v>
      </c>
      <c r="S91" s="266">
        <f>SUM(Referentie_MKI_Totaal[[#This Row],[A1-A3]:[C4]])+Referentie_MKI_Totaal[[#This Row],[D]]</f>
        <v>0</v>
      </c>
      <c r="V91" s="331" t="e">
        <f>SUM(Referentie_MKI_Totaal[[#This Row],[A1-A3]]+Referentie_MKI_Totaal[[#This Row],[A4]]+Referentie_MKI_Totaal[[#This Row],[C2]]+Referentie_MKI_Totaal[[#This Row],[C3]]+Referentie_MKI_Totaal[[#This Row],[C4]]+Referentie_MKI_Totaal[[#This Row],[D]])*(VLOOKUP(Referentie_MKI_Totaal[[#This Row],[Product]]&amp;", "&amp;Referentie_MKI_Totaal[[#Headers],[A5]],Database_Productkaarten[#All],66,FALSE))</f>
        <v>#N/A</v>
      </c>
    </row>
    <row r="92" spans="2:22" hidden="1">
      <c r="B92" s="263">
        <f>Baseline!B94</f>
        <v>0</v>
      </c>
      <c r="C92" s="264">
        <f>Baseline!F94</f>
        <v>0</v>
      </c>
      <c r="D92" s="265">
        <f>(IF(Baseline!C94="Nieuwe Situatie",(_xlfn.IFNA(VLOOKUP(Referentie_MKI_Totaal[[#This Row],[Product]]&amp;", "&amp;Referentie_MKI_Totaal[[#Headers],[A1]],Database_Productkaarten[#All],14,FALSE),0)*Baseline!I94),0))</f>
        <v>0</v>
      </c>
      <c r="E92" s="265">
        <f>(IF(Baseline!C94="Nieuwe Situatie",(_xlfn.IFNA(VLOOKUP(Referentie_MKI_Totaal[[#This Row],[Product]]&amp;", "&amp;Referentie_MKI_Totaal[[#Headers],[A2]],Database_Productkaarten[#All],14,FALSE),0)*Baseline!I94),0))</f>
        <v>0</v>
      </c>
      <c r="F92" s="265">
        <f>(IF(Baseline!C94="Nieuwe Situatie",(_xlfn.IFNA(VLOOKUP(Referentie_MKI_Totaal[[#This Row],[Product]]&amp;", "&amp;Referentie_MKI_Totaal[[#Headers],[A3]],Database_Productkaarten[#All],14,FALSE),0)*Baseline!I94),0))</f>
        <v>0</v>
      </c>
      <c r="G92" s="265">
        <f>(IF(Baseline!C94="Nieuwe Situatie",(_xlfn.IFNA(VLOOKUP(Referentie_MKI_Totaal[[#This Row],[Product]]&amp;", "&amp;Referentie_MKI_Totaal[[#Headers],[A1-A3]],Database_Productkaarten[#All],14,FALSE),0)*Baseline!I94),0))</f>
        <v>0</v>
      </c>
      <c r="H92" s="265">
        <f>IF(Baseline!T94=0,(IF(Baseline!C94="Nieuwe Situatie",(_xlfn.IFNA(VLOOKUP(Referentie_MKI_Totaal[[#This Row],[Product]]&amp;", "&amp;Referentie_MKI_Totaal[[#Headers],[A4]],Database_Productkaarten[#All],14,FALSE),0)*Baseline!Q94),0)),(IF(Baseline!C94="Nieuwe Situatie",_xlfn.IFNA(VLOOKUP(Baseline!T94,Database_Transport[#All],7,FALSE)*(Baseline!Q94*Baseline!S94),0))))</f>
        <v>0</v>
      </c>
      <c r="I92" s="265">
        <f>IF(Baseline!C94="Nieuwe situatie",IF(_xlfn.IFNA((VLOOKUP(Baseline!U94,Database_Asfalt_Aanlegset[#All],7,FALSE)*Baseline!I94),0)+_xlfn.IFNA(VLOOKUP(Baseline!V94,Database_Brandstoffen[#All],7,FALSE)*((Baseline!I94/Baseline!X94)*Baseline!W94),0)&gt;0,_xlfn.IFNA((VLOOKUP(Baseline!U94,Database_Asfalt_Aanlegset[#All],7,FALSE)*Baseline!I94),0)+_xlfn.IFNA(VLOOKUP(Baseline!V94,Database_Brandstoffen[#All],7,FALSE)*((Baseline!I94/Baseline!X94)*Baseline!W94),0),(_xlfn.IFNA(VLOOKUP(Referentie_MKI_Totaal[[#This Row],[Product]]&amp;", "&amp;Referentie_MKI_Totaal[[#Headers],[A5]],Database_Productkaarten[#All],14,FALSE),0)*Baseline!I94)),0)</f>
        <v>0</v>
      </c>
      <c r="J92" s="265"/>
      <c r="K92" s="265">
        <f>(IF(Baseline!C94="Nieuwe Situatie",(SUM(Referentie_MKI_Totaal[[#This Row],[A1]:[B1]],Referentie_MKI_Totaal[[#This Row],[C1]:[D2]])*Baseline!R94),0))</f>
        <v>0</v>
      </c>
      <c r="L92" s="265">
        <f>IF(Baseline!C94="Bestaande situatie",IF(_xlfn.IFNA((VLOOKUP(Baseline!Y94,Database_Asfalt_Verwijderset[#All],7,FALSE)*Baseline!I94),0)+_xlfn.IFNA(VLOOKUP(Baseline!Z94,Database_Brandstoffen[#All],7,FALSE)*((Baseline!I94/Baseline!AB94)*Baseline!AA94),0)&gt;0,_xlfn.IFNA((VLOOKUP(Baseline!Y94,Database_Asfalt_Verwijderset[#All],7,FALSE)*Baseline!I94),0)+_xlfn.IFNA(VLOOKUP(Baseline!Z94,Database_Brandstoffen[#All],7,FALSE)*((Baseline!I94/Baseline!AB94)*Baseline!AA94),0),(_xlfn.IFNA(VLOOKUP(Referentie_MKI_Totaal[[#This Row],[Product]]&amp;", "&amp;Referentie_MKI_Totaal[[#Headers],[C1]],Database_Productkaarten[#All],14,FALSE),0)*Baseline!I94)),0)</f>
        <v>0</v>
      </c>
      <c r="M92" s="265">
        <f>IF(Baseline!AD94=0,(IF(Baseline!C94="Bestaande Situatie",(_xlfn.IFNA(VLOOKUP(Referentie_MKI_Totaal[[#This Row],[Product]]&amp;", "&amp;Referentie_MKI_Totaal[[#Headers],[C2]],Database_Productkaarten[#All],14,FALSE),0)*Baseline!I94),0)),(IF(Baseline!C94="Bestaande Situatie",_xlfn.IFNA(VLOOKUP(Baseline!AD94,Database_Transport[#All],7,FALSE)*(Baseline!Q94*Baseline!AC94),0))))</f>
        <v>0</v>
      </c>
      <c r="N92" s="265">
        <f>(IF(Baseline!C94="Bestaande Situatie",(_xlfn.IFNA(VLOOKUP(Referentie_MKI_Totaal[[#This Row],[Product]]&amp;", "&amp;Referentie_MKI_Totaal[[#Headers],[C3]],Database_Productkaarten[#All],14,FALSE),0)*Baseline!I94),0))</f>
        <v>0</v>
      </c>
      <c r="O92" s="265">
        <f>(IF(Baseline!C94="Bestaande Situatie",(_xlfn.IFNA(VLOOKUP(Referentie_MKI_Totaal[[#This Row],[Product]]&amp;", "&amp;Referentie_MKI_Totaal[[#Headers],[C4]],Database_Productkaarten[#All],14,FALSE),0)*Baseline!I94),0))</f>
        <v>0</v>
      </c>
      <c r="P92" s="265">
        <f>(IF(Baseline!C94="Bestaande Situatie",(_xlfn.IFNA(VLOOKUP(Referentie_MKI_Totaal[[#This Row],[Product]]&amp;", "&amp;Referentie_MKI_Totaal[[#Headers],[D1]],Database_Productkaarten[#All],14,FALSE),0)*Baseline!I94),0))</f>
        <v>0</v>
      </c>
      <c r="Q92" s="265">
        <f>(IF(Baseline!C94="Bestaande Situatie",_xlfn.IFNA(VLOOKUP(Referentie_MKI_Totaal[[#This Row],[Product]]&amp;", "&amp;Referentie_MKI_Totaal[[#Headers],[D2]],Database_Productkaarten[#All],14,FALSE),0)*Baseline!I94,0))</f>
        <v>0</v>
      </c>
      <c r="R92" s="265">
        <f>(IF(Baseline!C94="Bestaande Situatie",(_xlfn.IFNA(VLOOKUP(Referentie_MKI_Totaal[[#This Row],[Product]]&amp;", "&amp;Referentie_MKI_Totaal[[#Headers],[D]],Database_Productkaarten[#All],14,FALSE),0)*Baseline!I94),0))</f>
        <v>0</v>
      </c>
      <c r="S92" s="266">
        <f>SUM(Referentie_MKI_Totaal[[#This Row],[A1-A3]:[C4]])+Referentie_MKI_Totaal[[#This Row],[D]]</f>
        <v>0</v>
      </c>
      <c r="V92" s="331" t="e">
        <f>SUM(Referentie_MKI_Totaal[[#This Row],[A1-A3]]+Referentie_MKI_Totaal[[#This Row],[A4]]+Referentie_MKI_Totaal[[#This Row],[C2]]+Referentie_MKI_Totaal[[#This Row],[C3]]+Referentie_MKI_Totaal[[#This Row],[C4]]+Referentie_MKI_Totaal[[#This Row],[D]])*(VLOOKUP(Referentie_MKI_Totaal[[#This Row],[Product]]&amp;", "&amp;Referentie_MKI_Totaal[[#Headers],[A5]],Database_Productkaarten[#All],66,FALSE))</f>
        <v>#N/A</v>
      </c>
    </row>
    <row r="93" spans="2:22" hidden="1">
      <c r="B93" s="263">
        <f>Baseline!B95</f>
        <v>0</v>
      </c>
      <c r="C93" s="264">
        <f>Baseline!F95</f>
        <v>0</v>
      </c>
      <c r="D93" s="265">
        <f>(IF(Baseline!C95="Nieuwe Situatie",(_xlfn.IFNA(VLOOKUP(Referentie_MKI_Totaal[[#This Row],[Product]]&amp;", "&amp;Referentie_MKI_Totaal[[#Headers],[A1]],Database_Productkaarten[#All],14,FALSE),0)*Baseline!I95),0))</f>
        <v>0</v>
      </c>
      <c r="E93" s="265">
        <f>(IF(Baseline!C95="Nieuwe Situatie",(_xlfn.IFNA(VLOOKUP(Referentie_MKI_Totaal[[#This Row],[Product]]&amp;", "&amp;Referentie_MKI_Totaal[[#Headers],[A2]],Database_Productkaarten[#All],14,FALSE),0)*Baseline!I95),0))</f>
        <v>0</v>
      </c>
      <c r="F93" s="265">
        <f>(IF(Baseline!C95="Nieuwe Situatie",(_xlfn.IFNA(VLOOKUP(Referentie_MKI_Totaal[[#This Row],[Product]]&amp;", "&amp;Referentie_MKI_Totaal[[#Headers],[A3]],Database_Productkaarten[#All],14,FALSE),0)*Baseline!I95),0))</f>
        <v>0</v>
      </c>
      <c r="G93" s="265">
        <f>(IF(Baseline!C95="Nieuwe Situatie",(_xlfn.IFNA(VLOOKUP(Referentie_MKI_Totaal[[#This Row],[Product]]&amp;", "&amp;Referentie_MKI_Totaal[[#Headers],[A1-A3]],Database_Productkaarten[#All],14,FALSE),0)*Baseline!I95),0))</f>
        <v>0</v>
      </c>
      <c r="H93" s="265">
        <f>IF(Baseline!T95=0,(IF(Baseline!C95="Nieuwe Situatie",(_xlfn.IFNA(VLOOKUP(Referentie_MKI_Totaal[[#This Row],[Product]]&amp;", "&amp;Referentie_MKI_Totaal[[#Headers],[A4]],Database_Productkaarten[#All],14,FALSE),0)*Baseline!Q95),0)),(IF(Baseline!C95="Nieuwe Situatie",_xlfn.IFNA(VLOOKUP(Baseline!T95,Database_Transport[#All],7,FALSE)*(Baseline!Q95*Baseline!S95),0))))</f>
        <v>0</v>
      </c>
      <c r="I93" s="265">
        <f>IF(Baseline!C95="Nieuwe situatie",IF(_xlfn.IFNA((VLOOKUP(Baseline!U95,Database_Asfalt_Aanlegset[#All],7,FALSE)*Baseline!I95),0)+_xlfn.IFNA(VLOOKUP(Baseline!V95,Database_Brandstoffen[#All],7,FALSE)*((Baseline!I95/Baseline!X95)*Baseline!W95),0)&gt;0,_xlfn.IFNA((VLOOKUP(Baseline!U95,Database_Asfalt_Aanlegset[#All],7,FALSE)*Baseline!I95),0)+_xlfn.IFNA(VLOOKUP(Baseline!V95,Database_Brandstoffen[#All],7,FALSE)*((Baseline!I95/Baseline!X95)*Baseline!W95),0),(_xlfn.IFNA(VLOOKUP(Referentie_MKI_Totaal[[#This Row],[Product]]&amp;", "&amp;Referentie_MKI_Totaal[[#Headers],[A5]],Database_Productkaarten[#All],14,FALSE),0)*Baseline!I95)),0)</f>
        <v>0</v>
      </c>
      <c r="J93" s="265"/>
      <c r="K93" s="265">
        <f>(IF(Baseline!C95="Nieuwe Situatie",(SUM(Referentie_MKI_Totaal[[#This Row],[A1]:[B1]],Referentie_MKI_Totaal[[#This Row],[C1]:[D2]])*Baseline!R95),0))</f>
        <v>0</v>
      </c>
      <c r="L93" s="265">
        <f>IF(Baseline!C95="Bestaande situatie",IF(_xlfn.IFNA((VLOOKUP(Baseline!Y95,Database_Asfalt_Verwijderset[#All],7,FALSE)*Baseline!I95),0)+_xlfn.IFNA(VLOOKUP(Baseline!Z95,Database_Brandstoffen[#All],7,FALSE)*((Baseline!I95/Baseline!AB95)*Baseline!AA95),0)&gt;0,_xlfn.IFNA((VLOOKUP(Baseline!Y95,Database_Asfalt_Verwijderset[#All],7,FALSE)*Baseline!I95),0)+_xlfn.IFNA(VLOOKUP(Baseline!Z95,Database_Brandstoffen[#All],7,FALSE)*((Baseline!I95/Baseline!AB95)*Baseline!AA95),0),(_xlfn.IFNA(VLOOKUP(Referentie_MKI_Totaal[[#This Row],[Product]]&amp;", "&amp;Referentie_MKI_Totaal[[#Headers],[C1]],Database_Productkaarten[#All],14,FALSE),0)*Baseline!I95)),0)</f>
        <v>0</v>
      </c>
      <c r="M93" s="265">
        <f>IF(Baseline!AD95=0,(IF(Baseline!C95="Bestaande Situatie",(_xlfn.IFNA(VLOOKUP(Referentie_MKI_Totaal[[#This Row],[Product]]&amp;", "&amp;Referentie_MKI_Totaal[[#Headers],[C2]],Database_Productkaarten[#All],14,FALSE),0)*Baseline!I95),0)),(IF(Baseline!C95="Bestaande Situatie",_xlfn.IFNA(VLOOKUP(Baseline!AD95,Database_Transport[#All],7,FALSE)*(Baseline!Q95*Baseline!AC95),0))))</f>
        <v>0</v>
      </c>
      <c r="N93" s="265">
        <f>(IF(Baseline!C95="Bestaande Situatie",(_xlfn.IFNA(VLOOKUP(Referentie_MKI_Totaal[[#This Row],[Product]]&amp;", "&amp;Referentie_MKI_Totaal[[#Headers],[C3]],Database_Productkaarten[#All],14,FALSE),0)*Baseline!I95),0))</f>
        <v>0</v>
      </c>
      <c r="O93" s="265">
        <f>(IF(Baseline!C95="Bestaande Situatie",(_xlfn.IFNA(VLOOKUP(Referentie_MKI_Totaal[[#This Row],[Product]]&amp;", "&amp;Referentie_MKI_Totaal[[#Headers],[C4]],Database_Productkaarten[#All],14,FALSE),0)*Baseline!I95),0))</f>
        <v>0</v>
      </c>
      <c r="P93" s="265">
        <f>(IF(Baseline!C95="Bestaande Situatie",(_xlfn.IFNA(VLOOKUP(Referentie_MKI_Totaal[[#This Row],[Product]]&amp;", "&amp;Referentie_MKI_Totaal[[#Headers],[D1]],Database_Productkaarten[#All],14,FALSE),0)*Baseline!I95),0))</f>
        <v>0</v>
      </c>
      <c r="Q93" s="265">
        <f>(IF(Baseline!C95="Bestaande Situatie",_xlfn.IFNA(VLOOKUP(Referentie_MKI_Totaal[[#This Row],[Product]]&amp;", "&amp;Referentie_MKI_Totaal[[#Headers],[D2]],Database_Productkaarten[#All],14,FALSE),0)*Baseline!I95,0))</f>
        <v>0</v>
      </c>
      <c r="R93" s="265">
        <f>(IF(Baseline!C95="Bestaande Situatie",(_xlfn.IFNA(VLOOKUP(Referentie_MKI_Totaal[[#This Row],[Product]]&amp;", "&amp;Referentie_MKI_Totaal[[#Headers],[D]],Database_Productkaarten[#All],14,FALSE),0)*Baseline!I95),0))</f>
        <v>0</v>
      </c>
      <c r="S93" s="266">
        <f>SUM(Referentie_MKI_Totaal[[#This Row],[A1-A3]:[C4]])+Referentie_MKI_Totaal[[#This Row],[D]]</f>
        <v>0</v>
      </c>
      <c r="V93" s="331" t="e">
        <f>SUM(Referentie_MKI_Totaal[[#This Row],[A1-A3]]+Referentie_MKI_Totaal[[#This Row],[A4]]+Referentie_MKI_Totaal[[#This Row],[C2]]+Referentie_MKI_Totaal[[#This Row],[C3]]+Referentie_MKI_Totaal[[#This Row],[C4]]+Referentie_MKI_Totaal[[#This Row],[D]])*(VLOOKUP(Referentie_MKI_Totaal[[#This Row],[Product]]&amp;", "&amp;Referentie_MKI_Totaal[[#Headers],[A5]],Database_Productkaarten[#All],66,FALSE))</f>
        <v>#N/A</v>
      </c>
    </row>
    <row r="94" spans="2:22" hidden="1">
      <c r="B94" s="263">
        <f>Baseline!B96</f>
        <v>0</v>
      </c>
      <c r="C94" s="264">
        <f>Baseline!F96</f>
        <v>0</v>
      </c>
      <c r="D94" s="265">
        <f>(IF(Baseline!C96="Nieuwe Situatie",(_xlfn.IFNA(VLOOKUP(Referentie_MKI_Totaal[[#This Row],[Product]]&amp;", "&amp;Referentie_MKI_Totaal[[#Headers],[A1]],Database_Productkaarten[#All],14,FALSE),0)*Baseline!I96),0))</f>
        <v>0</v>
      </c>
      <c r="E94" s="265">
        <f>(IF(Baseline!C96="Nieuwe Situatie",(_xlfn.IFNA(VLOOKUP(Referentie_MKI_Totaal[[#This Row],[Product]]&amp;", "&amp;Referentie_MKI_Totaal[[#Headers],[A2]],Database_Productkaarten[#All],14,FALSE),0)*Baseline!I96),0))</f>
        <v>0</v>
      </c>
      <c r="F94" s="265">
        <f>(IF(Baseline!C96="Nieuwe Situatie",(_xlfn.IFNA(VLOOKUP(Referentie_MKI_Totaal[[#This Row],[Product]]&amp;", "&amp;Referentie_MKI_Totaal[[#Headers],[A3]],Database_Productkaarten[#All],14,FALSE),0)*Baseline!I96),0))</f>
        <v>0</v>
      </c>
      <c r="G94" s="265">
        <f>(IF(Baseline!C96="Nieuwe Situatie",(_xlfn.IFNA(VLOOKUP(Referentie_MKI_Totaal[[#This Row],[Product]]&amp;", "&amp;Referentie_MKI_Totaal[[#Headers],[A1-A3]],Database_Productkaarten[#All],14,FALSE),0)*Baseline!I96),0))</f>
        <v>0</v>
      </c>
      <c r="H94" s="265">
        <f>IF(Baseline!T96=0,(IF(Baseline!C96="Nieuwe Situatie",(_xlfn.IFNA(VLOOKUP(Referentie_MKI_Totaal[[#This Row],[Product]]&amp;", "&amp;Referentie_MKI_Totaal[[#Headers],[A4]],Database_Productkaarten[#All],14,FALSE),0)*Baseline!Q96),0)),(IF(Baseline!C96="Nieuwe Situatie",_xlfn.IFNA(VLOOKUP(Baseline!T96,Database_Transport[#All],7,FALSE)*(Baseline!Q96*Baseline!S96),0))))</f>
        <v>0</v>
      </c>
      <c r="I94" s="265">
        <f>IF(Baseline!C96="Nieuwe situatie",IF(_xlfn.IFNA((VLOOKUP(Baseline!U96,Database_Asfalt_Aanlegset[#All],7,FALSE)*Baseline!I96),0)+_xlfn.IFNA(VLOOKUP(Baseline!V96,Database_Brandstoffen[#All],7,FALSE)*((Baseline!I96/Baseline!X96)*Baseline!W96),0)&gt;0,_xlfn.IFNA((VLOOKUP(Baseline!U96,Database_Asfalt_Aanlegset[#All],7,FALSE)*Baseline!I96),0)+_xlfn.IFNA(VLOOKUP(Baseline!V96,Database_Brandstoffen[#All],7,FALSE)*((Baseline!I96/Baseline!X96)*Baseline!W96),0),(_xlfn.IFNA(VLOOKUP(Referentie_MKI_Totaal[[#This Row],[Product]]&amp;", "&amp;Referentie_MKI_Totaal[[#Headers],[A5]],Database_Productkaarten[#All],14,FALSE),0)*Baseline!I96)),0)</f>
        <v>0</v>
      </c>
      <c r="J94" s="265"/>
      <c r="K94" s="265">
        <f>(IF(Baseline!C96="Nieuwe Situatie",(SUM(Referentie_MKI_Totaal[[#This Row],[A1]:[B1]],Referentie_MKI_Totaal[[#This Row],[C1]:[D2]])*Baseline!R96),0))</f>
        <v>0</v>
      </c>
      <c r="L94" s="265">
        <f>IF(Baseline!C96="Bestaande situatie",IF(_xlfn.IFNA((VLOOKUP(Baseline!Y96,Database_Asfalt_Verwijderset[#All],7,FALSE)*Baseline!I96),0)+_xlfn.IFNA(VLOOKUP(Baseline!Z96,Database_Brandstoffen[#All],7,FALSE)*((Baseline!I96/Baseline!AB96)*Baseline!AA96),0)&gt;0,_xlfn.IFNA((VLOOKUP(Baseline!Y96,Database_Asfalt_Verwijderset[#All],7,FALSE)*Baseline!I96),0)+_xlfn.IFNA(VLOOKUP(Baseline!Z96,Database_Brandstoffen[#All],7,FALSE)*((Baseline!I96/Baseline!AB96)*Baseline!AA96),0),(_xlfn.IFNA(VLOOKUP(Referentie_MKI_Totaal[[#This Row],[Product]]&amp;", "&amp;Referentie_MKI_Totaal[[#Headers],[C1]],Database_Productkaarten[#All],14,FALSE),0)*Baseline!I96)),0)</f>
        <v>0</v>
      </c>
      <c r="M94" s="265">
        <f>IF(Baseline!AD96=0,(IF(Baseline!C96="Bestaande Situatie",(_xlfn.IFNA(VLOOKUP(Referentie_MKI_Totaal[[#This Row],[Product]]&amp;", "&amp;Referentie_MKI_Totaal[[#Headers],[C2]],Database_Productkaarten[#All],14,FALSE),0)*Baseline!I96),0)),(IF(Baseline!C96="Bestaande Situatie",_xlfn.IFNA(VLOOKUP(Baseline!AD96,Database_Transport[#All],7,FALSE)*(Baseline!Q96*Baseline!AC96),0))))</f>
        <v>0</v>
      </c>
      <c r="N94" s="265">
        <f>(IF(Baseline!C96="Bestaande Situatie",(_xlfn.IFNA(VLOOKUP(Referentie_MKI_Totaal[[#This Row],[Product]]&amp;", "&amp;Referentie_MKI_Totaal[[#Headers],[C3]],Database_Productkaarten[#All],14,FALSE),0)*Baseline!I96),0))</f>
        <v>0</v>
      </c>
      <c r="O94" s="265">
        <f>(IF(Baseline!C96="Bestaande Situatie",(_xlfn.IFNA(VLOOKUP(Referentie_MKI_Totaal[[#This Row],[Product]]&amp;", "&amp;Referentie_MKI_Totaal[[#Headers],[C4]],Database_Productkaarten[#All],14,FALSE),0)*Baseline!I96),0))</f>
        <v>0</v>
      </c>
      <c r="P94" s="265">
        <f>(IF(Baseline!C96="Bestaande Situatie",(_xlfn.IFNA(VLOOKUP(Referentie_MKI_Totaal[[#This Row],[Product]]&amp;", "&amp;Referentie_MKI_Totaal[[#Headers],[D1]],Database_Productkaarten[#All],14,FALSE),0)*Baseline!I96),0))</f>
        <v>0</v>
      </c>
      <c r="Q94" s="265">
        <f>(IF(Baseline!C96="Bestaande Situatie",_xlfn.IFNA(VLOOKUP(Referentie_MKI_Totaal[[#This Row],[Product]]&amp;", "&amp;Referentie_MKI_Totaal[[#Headers],[D2]],Database_Productkaarten[#All],14,FALSE),0)*Baseline!I96,0))</f>
        <v>0</v>
      </c>
      <c r="R94" s="265">
        <f>(IF(Baseline!C96="Bestaande Situatie",(_xlfn.IFNA(VLOOKUP(Referentie_MKI_Totaal[[#This Row],[Product]]&amp;", "&amp;Referentie_MKI_Totaal[[#Headers],[D]],Database_Productkaarten[#All],14,FALSE),0)*Baseline!I96),0))</f>
        <v>0</v>
      </c>
      <c r="S94" s="266">
        <f>SUM(Referentie_MKI_Totaal[[#This Row],[A1-A3]:[C4]])+Referentie_MKI_Totaal[[#This Row],[D]]</f>
        <v>0</v>
      </c>
      <c r="V94" s="331" t="e">
        <f>SUM(Referentie_MKI_Totaal[[#This Row],[A1-A3]]+Referentie_MKI_Totaal[[#This Row],[A4]]+Referentie_MKI_Totaal[[#This Row],[C2]]+Referentie_MKI_Totaal[[#This Row],[C3]]+Referentie_MKI_Totaal[[#This Row],[C4]]+Referentie_MKI_Totaal[[#This Row],[D]])*(VLOOKUP(Referentie_MKI_Totaal[[#This Row],[Product]]&amp;", "&amp;Referentie_MKI_Totaal[[#Headers],[A5]],Database_Productkaarten[#All],66,FALSE))</f>
        <v>#N/A</v>
      </c>
    </row>
    <row r="95" spans="2:22" hidden="1">
      <c r="B95" s="263">
        <f>Baseline!B97</f>
        <v>0</v>
      </c>
      <c r="C95" s="264">
        <f>Baseline!F97</f>
        <v>0</v>
      </c>
      <c r="D95" s="265">
        <f>(IF(Baseline!C97="Nieuwe Situatie",(_xlfn.IFNA(VLOOKUP(Referentie_MKI_Totaal[[#This Row],[Product]]&amp;", "&amp;Referentie_MKI_Totaal[[#Headers],[A1]],Database_Productkaarten[#All],14,FALSE),0)*Baseline!I97),0))</f>
        <v>0</v>
      </c>
      <c r="E95" s="265">
        <f>(IF(Baseline!C97="Nieuwe Situatie",(_xlfn.IFNA(VLOOKUP(Referentie_MKI_Totaal[[#This Row],[Product]]&amp;", "&amp;Referentie_MKI_Totaal[[#Headers],[A2]],Database_Productkaarten[#All],14,FALSE),0)*Baseline!I97),0))</f>
        <v>0</v>
      </c>
      <c r="F95" s="265">
        <f>(IF(Baseline!C97="Nieuwe Situatie",(_xlfn.IFNA(VLOOKUP(Referentie_MKI_Totaal[[#This Row],[Product]]&amp;", "&amp;Referentie_MKI_Totaal[[#Headers],[A3]],Database_Productkaarten[#All],14,FALSE),0)*Baseline!I97),0))</f>
        <v>0</v>
      </c>
      <c r="G95" s="265">
        <f>(IF(Baseline!C97="Nieuwe Situatie",(_xlfn.IFNA(VLOOKUP(Referentie_MKI_Totaal[[#This Row],[Product]]&amp;", "&amp;Referentie_MKI_Totaal[[#Headers],[A1-A3]],Database_Productkaarten[#All],14,FALSE),0)*Baseline!I97),0))</f>
        <v>0</v>
      </c>
      <c r="H95" s="265">
        <f>IF(Baseline!T97=0,(IF(Baseline!C97="Nieuwe Situatie",(_xlfn.IFNA(VLOOKUP(Referentie_MKI_Totaal[[#This Row],[Product]]&amp;", "&amp;Referentie_MKI_Totaal[[#Headers],[A4]],Database_Productkaarten[#All],14,FALSE),0)*Baseline!Q97),0)),(IF(Baseline!C97="Nieuwe Situatie",_xlfn.IFNA(VLOOKUP(Baseline!T97,Database_Transport[#All],7,FALSE)*(Baseline!Q97*Baseline!S97),0))))</f>
        <v>0</v>
      </c>
      <c r="I95" s="265">
        <f>IF(Baseline!C97="Nieuwe situatie",IF(_xlfn.IFNA((VLOOKUP(Baseline!U97,Database_Asfalt_Aanlegset[#All],7,FALSE)*Baseline!I97),0)+_xlfn.IFNA(VLOOKUP(Baseline!V97,Database_Brandstoffen[#All],7,FALSE)*((Baseline!I97/Baseline!X97)*Baseline!W97),0)&gt;0,_xlfn.IFNA((VLOOKUP(Baseline!U97,Database_Asfalt_Aanlegset[#All],7,FALSE)*Baseline!I97),0)+_xlfn.IFNA(VLOOKUP(Baseline!V97,Database_Brandstoffen[#All],7,FALSE)*((Baseline!I97/Baseline!X97)*Baseline!W97),0),(_xlfn.IFNA(VLOOKUP(Referentie_MKI_Totaal[[#This Row],[Product]]&amp;", "&amp;Referentie_MKI_Totaal[[#Headers],[A5]],Database_Productkaarten[#All],14,FALSE),0)*Baseline!I97)),0)</f>
        <v>0</v>
      </c>
      <c r="J95" s="265"/>
      <c r="K95" s="265">
        <f>(IF(Baseline!C97="Nieuwe Situatie",(SUM(Referentie_MKI_Totaal[[#This Row],[A1]:[B1]],Referentie_MKI_Totaal[[#This Row],[C1]:[D2]])*Baseline!R97),0))</f>
        <v>0</v>
      </c>
      <c r="L95" s="265">
        <f>IF(Baseline!C97="Bestaande situatie",IF(_xlfn.IFNA((VLOOKUP(Baseline!Y97,Database_Asfalt_Verwijderset[#All],7,FALSE)*Baseline!I97),0)+_xlfn.IFNA(VLOOKUP(Baseline!Z97,Database_Brandstoffen[#All],7,FALSE)*((Baseline!I97/Baseline!AB97)*Baseline!AA97),0)&gt;0,_xlfn.IFNA((VLOOKUP(Baseline!Y97,Database_Asfalt_Verwijderset[#All],7,FALSE)*Baseline!I97),0)+_xlfn.IFNA(VLOOKUP(Baseline!Z97,Database_Brandstoffen[#All],7,FALSE)*((Baseline!I97/Baseline!AB97)*Baseline!AA97),0),(_xlfn.IFNA(VLOOKUP(Referentie_MKI_Totaal[[#This Row],[Product]]&amp;", "&amp;Referentie_MKI_Totaal[[#Headers],[C1]],Database_Productkaarten[#All],14,FALSE),0)*Baseline!I97)),0)</f>
        <v>0</v>
      </c>
      <c r="M95" s="265">
        <f>IF(Baseline!AD97=0,(IF(Baseline!C97="Bestaande Situatie",(_xlfn.IFNA(VLOOKUP(Referentie_MKI_Totaal[[#This Row],[Product]]&amp;", "&amp;Referentie_MKI_Totaal[[#Headers],[C2]],Database_Productkaarten[#All],14,FALSE),0)*Baseline!I97),0)),(IF(Baseline!C97="Bestaande Situatie",_xlfn.IFNA(VLOOKUP(Baseline!AD97,Database_Transport[#All],7,FALSE)*(Baseline!Q97*Baseline!AC97),0))))</f>
        <v>0</v>
      </c>
      <c r="N95" s="265">
        <f>(IF(Baseline!C97="Bestaande Situatie",(_xlfn.IFNA(VLOOKUP(Referentie_MKI_Totaal[[#This Row],[Product]]&amp;", "&amp;Referentie_MKI_Totaal[[#Headers],[C3]],Database_Productkaarten[#All],14,FALSE),0)*Baseline!I97),0))</f>
        <v>0</v>
      </c>
      <c r="O95" s="265">
        <f>(IF(Baseline!C97="Bestaande Situatie",(_xlfn.IFNA(VLOOKUP(Referentie_MKI_Totaal[[#This Row],[Product]]&amp;", "&amp;Referentie_MKI_Totaal[[#Headers],[C4]],Database_Productkaarten[#All],14,FALSE),0)*Baseline!I97),0))</f>
        <v>0</v>
      </c>
      <c r="P95" s="265">
        <f>(IF(Baseline!C97="Bestaande Situatie",(_xlfn.IFNA(VLOOKUP(Referentie_MKI_Totaal[[#This Row],[Product]]&amp;", "&amp;Referentie_MKI_Totaal[[#Headers],[D1]],Database_Productkaarten[#All],14,FALSE),0)*Baseline!I97),0))</f>
        <v>0</v>
      </c>
      <c r="Q95" s="265">
        <f>(IF(Baseline!C97="Bestaande Situatie",_xlfn.IFNA(VLOOKUP(Referentie_MKI_Totaal[[#This Row],[Product]]&amp;", "&amp;Referentie_MKI_Totaal[[#Headers],[D2]],Database_Productkaarten[#All],14,FALSE),0)*Baseline!I97,0))</f>
        <v>0</v>
      </c>
      <c r="R95" s="265">
        <f>(IF(Baseline!C97="Bestaande Situatie",(_xlfn.IFNA(VLOOKUP(Referentie_MKI_Totaal[[#This Row],[Product]]&amp;", "&amp;Referentie_MKI_Totaal[[#Headers],[D]],Database_Productkaarten[#All],14,FALSE),0)*Baseline!I97),0))</f>
        <v>0</v>
      </c>
      <c r="S95" s="266">
        <f>SUM(Referentie_MKI_Totaal[[#This Row],[A1-A3]:[C4]])+Referentie_MKI_Totaal[[#This Row],[D]]</f>
        <v>0</v>
      </c>
      <c r="V95" s="331" t="e">
        <f>SUM(Referentie_MKI_Totaal[[#This Row],[A1-A3]]+Referentie_MKI_Totaal[[#This Row],[A4]]+Referentie_MKI_Totaal[[#This Row],[C2]]+Referentie_MKI_Totaal[[#This Row],[C3]]+Referentie_MKI_Totaal[[#This Row],[C4]]+Referentie_MKI_Totaal[[#This Row],[D]])*(VLOOKUP(Referentie_MKI_Totaal[[#This Row],[Product]]&amp;", "&amp;Referentie_MKI_Totaal[[#Headers],[A5]],Database_Productkaarten[#All],66,FALSE))</f>
        <v>#N/A</v>
      </c>
    </row>
    <row r="96" spans="2:22" hidden="1">
      <c r="B96" s="263">
        <f>Baseline!B98</f>
        <v>0</v>
      </c>
      <c r="C96" s="264">
        <f>Baseline!F98</f>
        <v>0</v>
      </c>
      <c r="D96" s="265">
        <f>(IF(Baseline!C98="Nieuwe Situatie",(_xlfn.IFNA(VLOOKUP(Referentie_MKI_Totaal[[#This Row],[Product]]&amp;", "&amp;Referentie_MKI_Totaal[[#Headers],[A1]],Database_Productkaarten[#All],14,FALSE),0)*Baseline!I98),0))</f>
        <v>0</v>
      </c>
      <c r="E96" s="265">
        <f>(IF(Baseline!C98="Nieuwe Situatie",(_xlfn.IFNA(VLOOKUP(Referentie_MKI_Totaal[[#This Row],[Product]]&amp;", "&amp;Referentie_MKI_Totaal[[#Headers],[A2]],Database_Productkaarten[#All],14,FALSE),0)*Baseline!I98),0))</f>
        <v>0</v>
      </c>
      <c r="F96" s="265">
        <f>(IF(Baseline!C98="Nieuwe Situatie",(_xlfn.IFNA(VLOOKUP(Referentie_MKI_Totaal[[#This Row],[Product]]&amp;", "&amp;Referentie_MKI_Totaal[[#Headers],[A3]],Database_Productkaarten[#All],14,FALSE),0)*Baseline!I98),0))</f>
        <v>0</v>
      </c>
      <c r="G96" s="265">
        <f>(IF(Baseline!C98="Nieuwe Situatie",(_xlfn.IFNA(VLOOKUP(Referentie_MKI_Totaal[[#This Row],[Product]]&amp;", "&amp;Referentie_MKI_Totaal[[#Headers],[A1-A3]],Database_Productkaarten[#All],14,FALSE),0)*Baseline!I98),0))</f>
        <v>0</v>
      </c>
      <c r="H96" s="265">
        <f>IF(Baseline!T98=0,(IF(Baseline!C98="Nieuwe Situatie",(_xlfn.IFNA(VLOOKUP(Referentie_MKI_Totaal[[#This Row],[Product]]&amp;", "&amp;Referentie_MKI_Totaal[[#Headers],[A4]],Database_Productkaarten[#All],14,FALSE),0)*Baseline!Q98),0)),(IF(Baseline!C98="Nieuwe Situatie",_xlfn.IFNA(VLOOKUP(Baseline!T98,Database_Transport[#All],7,FALSE)*(Baseline!Q98*Baseline!S98),0))))</f>
        <v>0</v>
      </c>
      <c r="I96" s="265">
        <f>IF(Baseline!C98="Nieuwe situatie",IF(_xlfn.IFNA((VLOOKUP(Baseline!U98,Database_Asfalt_Aanlegset[#All],7,FALSE)*Baseline!I98),0)+_xlfn.IFNA(VLOOKUP(Baseline!V98,Database_Brandstoffen[#All],7,FALSE)*((Baseline!I98/Baseline!X98)*Baseline!W98),0)&gt;0,_xlfn.IFNA((VLOOKUP(Baseline!U98,Database_Asfalt_Aanlegset[#All],7,FALSE)*Baseline!I98),0)+_xlfn.IFNA(VLOOKUP(Baseline!V98,Database_Brandstoffen[#All],7,FALSE)*((Baseline!I98/Baseline!X98)*Baseline!W98),0),(_xlfn.IFNA(VLOOKUP(Referentie_MKI_Totaal[[#This Row],[Product]]&amp;", "&amp;Referentie_MKI_Totaal[[#Headers],[A5]],Database_Productkaarten[#All],14,FALSE),0)*Baseline!I98)),0)</f>
        <v>0</v>
      </c>
      <c r="J96" s="265"/>
      <c r="K96" s="265">
        <f>(IF(Baseline!C98="Nieuwe Situatie",(SUM(Referentie_MKI_Totaal[[#This Row],[A1]:[B1]],Referentie_MKI_Totaal[[#This Row],[C1]:[D2]])*Baseline!R98),0))</f>
        <v>0</v>
      </c>
      <c r="L96" s="265">
        <f>IF(Baseline!C98="Bestaande situatie",IF(_xlfn.IFNA((VLOOKUP(Baseline!Y98,Database_Asfalt_Verwijderset[#All],7,FALSE)*Baseline!I98),0)+_xlfn.IFNA(VLOOKUP(Baseline!Z98,Database_Brandstoffen[#All],7,FALSE)*((Baseline!I98/Baseline!AB98)*Baseline!AA98),0)&gt;0,_xlfn.IFNA((VLOOKUP(Baseline!Y98,Database_Asfalt_Verwijderset[#All],7,FALSE)*Baseline!I98),0)+_xlfn.IFNA(VLOOKUP(Baseline!Z98,Database_Brandstoffen[#All],7,FALSE)*((Baseline!I98/Baseline!AB98)*Baseline!AA98),0),(_xlfn.IFNA(VLOOKUP(Referentie_MKI_Totaal[[#This Row],[Product]]&amp;", "&amp;Referentie_MKI_Totaal[[#Headers],[C1]],Database_Productkaarten[#All],14,FALSE),0)*Baseline!I98)),0)</f>
        <v>0</v>
      </c>
      <c r="M96" s="265">
        <f>IF(Baseline!AD98=0,(IF(Baseline!C98="Bestaande Situatie",(_xlfn.IFNA(VLOOKUP(Referentie_MKI_Totaal[[#This Row],[Product]]&amp;", "&amp;Referentie_MKI_Totaal[[#Headers],[C2]],Database_Productkaarten[#All],14,FALSE),0)*Baseline!I98),0)),(IF(Baseline!C98="Bestaande Situatie",_xlfn.IFNA(VLOOKUP(Baseline!AD98,Database_Transport[#All],7,FALSE)*(Baseline!Q98*Baseline!AC98),0))))</f>
        <v>0</v>
      </c>
      <c r="N96" s="265">
        <f>(IF(Baseline!C98="Bestaande Situatie",(_xlfn.IFNA(VLOOKUP(Referentie_MKI_Totaal[[#This Row],[Product]]&amp;", "&amp;Referentie_MKI_Totaal[[#Headers],[C3]],Database_Productkaarten[#All],14,FALSE),0)*Baseline!I98),0))</f>
        <v>0</v>
      </c>
      <c r="O96" s="265">
        <f>(IF(Baseline!C98="Bestaande Situatie",(_xlfn.IFNA(VLOOKUP(Referentie_MKI_Totaal[[#This Row],[Product]]&amp;", "&amp;Referentie_MKI_Totaal[[#Headers],[C4]],Database_Productkaarten[#All],14,FALSE),0)*Baseline!I98),0))</f>
        <v>0</v>
      </c>
      <c r="P96" s="265">
        <f>(IF(Baseline!C98="Bestaande Situatie",(_xlfn.IFNA(VLOOKUP(Referentie_MKI_Totaal[[#This Row],[Product]]&amp;", "&amp;Referentie_MKI_Totaal[[#Headers],[D1]],Database_Productkaarten[#All],14,FALSE),0)*Baseline!I98),0))</f>
        <v>0</v>
      </c>
      <c r="Q96" s="265">
        <f>(IF(Baseline!C98="Bestaande Situatie",_xlfn.IFNA(VLOOKUP(Referentie_MKI_Totaal[[#This Row],[Product]]&amp;", "&amp;Referentie_MKI_Totaal[[#Headers],[D2]],Database_Productkaarten[#All],14,FALSE),0)*Baseline!I98,0))</f>
        <v>0</v>
      </c>
      <c r="R96" s="265">
        <f>(IF(Baseline!C98="Bestaande Situatie",(_xlfn.IFNA(VLOOKUP(Referentie_MKI_Totaal[[#This Row],[Product]]&amp;", "&amp;Referentie_MKI_Totaal[[#Headers],[D]],Database_Productkaarten[#All],14,FALSE),0)*Baseline!I98),0))</f>
        <v>0</v>
      </c>
      <c r="S96" s="266">
        <f>SUM(Referentie_MKI_Totaal[[#This Row],[A1-A3]:[C4]])+Referentie_MKI_Totaal[[#This Row],[D]]</f>
        <v>0</v>
      </c>
      <c r="V96" s="331" t="e">
        <f>SUM(Referentie_MKI_Totaal[[#This Row],[A1-A3]]+Referentie_MKI_Totaal[[#This Row],[A4]]+Referentie_MKI_Totaal[[#This Row],[C2]]+Referentie_MKI_Totaal[[#This Row],[C3]]+Referentie_MKI_Totaal[[#This Row],[C4]]+Referentie_MKI_Totaal[[#This Row],[D]])*(VLOOKUP(Referentie_MKI_Totaal[[#This Row],[Product]]&amp;", "&amp;Referentie_MKI_Totaal[[#Headers],[A5]],Database_Productkaarten[#All],66,FALSE))</f>
        <v>#N/A</v>
      </c>
    </row>
    <row r="97" spans="2:22" hidden="1">
      <c r="B97" s="263">
        <f>Baseline!B99</f>
        <v>0</v>
      </c>
      <c r="C97" s="264">
        <f>Baseline!F99</f>
        <v>0</v>
      </c>
      <c r="D97" s="265">
        <f>(IF(Baseline!C99="Nieuwe Situatie",(_xlfn.IFNA(VLOOKUP(Referentie_MKI_Totaal[[#This Row],[Product]]&amp;", "&amp;Referentie_MKI_Totaal[[#Headers],[A1]],Database_Productkaarten[#All],14,FALSE),0)*Baseline!I99),0))</f>
        <v>0</v>
      </c>
      <c r="E97" s="265">
        <f>(IF(Baseline!C99="Nieuwe Situatie",(_xlfn.IFNA(VLOOKUP(Referentie_MKI_Totaal[[#This Row],[Product]]&amp;", "&amp;Referentie_MKI_Totaal[[#Headers],[A2]],Database_Productkaarten[#All],14,FALSE),0)*Baseline!I99),0))</f>
        <v>0</v>
      </c>
      <c r="F97" s="265">
        <f>(IF(Baseline!C99="Nieuwe Situatie",(_xlfn.IFNA(VLOOKUP(Referentie_MKI_Totaal[[#This Row],[Product]]&amp;", "&amp;Referentie_MKI_Totaal[[#Headers],[A3]],Database_Productkaarten[#All],14,FALSE),0)*Baseline!I99),0))</f>
        <v>0</v>
      </c>
      <c r="G97" s="265">
        <f>(IF(Baseline!C99="Nieuwe Situatie",(_xlfn.IFNA(VLOOKUP(Referentie_MKI_Totaal[[#This Row],[Product]]&amp;", "&amp;Referentie_MKI_Totaal[[#Headers],[A1-A3]],Database_Productkaarten[#All],14,FALSE),0)*Baseline!I99),0))</f>
        <v>0</v>
      </c>
      <c r="H97" s="265">
        <f>IF(Baseline!T99=0,(IF(Baseline!C99="Nieuwe Situatie",(_xlfn.IFNA(VLOOKUP(Referentie_MKI_Totaal[[#This Row],[Product]]&amp;", "&amp;Referentie_MKI_Totaal[[#Headers],[A4]],Database_Productkaarten[#All],14,FALSE),0)*Baseline!Q99),0)),(IF(Baseline!C99="Nieuwe Situatie",_xlfn.IFNA(VLOOKUP(Baseline!T99,Database_Transport[#All],7,FALSE)*(Baseline!Q99*Baseline!S99),0))))</f>
        <v>0</v>
      </c>
      <c r="I97" s="265">
        <f>IF(Baseline!C99="Nieuwe situatie",IF(_xlfn.IFNA((VLOOKUP(Baseline!U99,Database_Asfalt_Aanlegset[#All],7,FALSE)*Baseline!I99),0)+_xlfn.IFNA(VLOOKUP(Baseline!V99,Database_Brandstoffen[#All],7,FALSE)*((Baseline!I99/Baseline!X99)*Baseline!W99),0)&gt;0,_xlfn.IFNA((VLOOKUP(Baseline!U99,Database_Asfalt_Aanlegset[#All],7,FALSE)*Baseline!I99),0)+_xlfn.IFNA(VLOOKUP(Baseline!V99,Database_Brandstoffen[#All],7,FALSE)*((Baseline!I99/Baseline!X99)*Baseline!W99),0),(_xlfn.IFNA(VLOOKUP(Referentie_MKI_Totaal[[#This Row],[Product]]&amp;", "&amp;Referentie_MKI_Totaal[[#Headers],[A5]],Database_Productkaarten[#All],14,FALSE),0)*Baseline!I99)),0)</f>
        <v>0</v>
      </c>
      <c r="J97" s="265"/>
      <c r="K97" s="265">
        <f>(IF(Baseline!C99="Nieuwe Situatie",(SUM(Referentie_MKI_Totaal[[#This Row],[A1]:[B1]],Referentie_MKI_Totaal[[#This Row],[C1]:[D2]])*Baseline!R99),0))</f>
        <v>0</v>
      </c>
      <c r="L97" s="265">
        <f>IF(Baseline!C99="Bestaande situatie",IF(_xlfn.IFNA((VLOOKUP(Baseline!Y99,Database_Asfalt_Verwijderset[#All],7,FALSE)*Baseline!I99),0)+_xlfn.IFNA(VLOOKUP(Baseline!Z99,Database_Brandstoffen[#All],7,FALSE)*((Baseline!I99/Baseline!AB99)*Baseline!AA99),0)&gt;0,_xlfn.IFNA((VLOOKUP(Baseline!Y99,Database_Asfalt_Verwijderset[#All],7,FALSE)*Baseline!I99),0)+_xlfn.IFNA(VLOOKUP(Baseline!Z99,Database_Brandstoffen[#All],7,FALSE)*((Baseline!I99/Baseline!AB99)*Baseline!AA99),0),(_xlfn.IFNA(VLOOKUP(Referentie_MKI_Totaal[[#This Row],[Product]]&amp;", "&amp;Referentie_MKI_Totaal[[#Headers],[C1]],Database_Productkaarten[#All],14,FALSE),0)*Baseline!I99)),0)</f>
        <v>0</v>
      </c>
      <c r="M97" s="265">
        <f>IF(Baseline!AD99=0,(IF(Baseline!C99="Bestaande Situatie",(_xlfn.IFNA(VLOOKUP(Referentie_MKI_Totaal[[#This Row],[Product]]&amp;", "&amp;Referentie_MKI_Totaal[[#Headers],[C2]],Database_Productkaarten[#All],14,FALSE),0)*Baseline!I99),0)),(IF(Baseline!C99="Bestaande Situatie",_xlfn.IFNA(VLOOKUP(Baseline!AD99,Database_Transport[#All],7,FALSE)*(Baseline!Q99*Baseline!AC99),0))))</f>
        <v>0</v>
      </c>
      <c r="N97" s="265">
        <f>(IF(Baseline!C99="Bestaande Situatie",(_xlfn.IFNA(VLOOKUP(Referentie_MKI_Totaal[[#This Row],[Product]]&amp;", "&amp;Referentie_MKI_Totaal[[#Headers],[C3]],Database_Productkaarten[#All],14,FALSE),0)*Baseline!I99),0))</f>
        <v>0</v>
      </c>
      <c r="O97" s="265">
        <f>(IF(Baseline!C99="Bestaande Situatie",(_xlfn.IFNA(VLOOKUP(Referentie_MKI_Totaal[[#This Row],[Product]]&amp;", "&amp;Referentie_MKI_Totaal[[#Headers],[C4]],Database_Productkaarten[#All],14,FALSE),0)*Baseline!I99),0))</f>
        <v>0</v>
      </c>
      <c r="P97" s="265">
        <f>(IF(Baseline!C99="Bestaande Situatie",(_xlfn.IFNA(VLOOKUP(Referentie_MKI_Totaal[[#This Row],[Product]]&amp;", "&amp;Referentie_MKI_Totaal[[#Headers],[D1]],Database_Productkaarten[#All],14,FALSE),0)*Baseline!I99),0))</f>
        <v>0</v>
      </c>
      <c r="Q97" s="265">
        <f>(IF(Baseline!C99="Bestaande Situatie",_xlfn.IFNA(VLOOKUP(Referentie_MKI_Totaal[[#This Row],[Product]]&amp;", "&amp;Referentie_MKI_Totaal[[#Headers],[D2]],Database_Productkaarten[#All],14,FALSE),0)*Baseline!I99,0))</f>
        <v>0</v>
      </c>
      <c r="R97" s="265">
        <f>(IF(Baseline!C99="Bestaande Situatie",(_xlfn.IFNA(VLOOKUP(Referentie_MKI_Totaal[[#This Row],[Product]]&amp;", "&amp;Referentie_MKI_Totaal[[#Headers],[D]],Database_Productkaarten[#All],14,FALSE),0)*Baseline!I99),0))</f>
        <v>0</v>
      </c>
      <c r="S97" s="266">
        <f>SUM(Referentie_MKI_Totaal[[#This Row],[A1-A3]:[C4]])+Referentie_MKI_Totaal[[#This Row],[D]]</f>
        <v>0</v>
      </c>
      <c r="V97" s="331" t="e">
        <f>SUM(Referentie_MKI_Totaal[[#This Row],[A1-A3]]+Referentie_MKI_Totaal[[#This Row],[A4]]+Referentie_MKI_Totaal[[#This Row],[C2]]+Referentie_MKI_Totaal[[#This Row],[C3]]+Referentie_MKI_Totaal[[#This Row],[C4]]+Referentie_MKI_Totaal[[#This Row],[D]])*(VLOOKUP(Referentie_MKI_Totaal[[#This Row],[Product]]&amp;", "&amp;Referentie_MKI_Totaal[[#Headers],[A5]],Database_Productkaarten[#All],66,FALSE))</f>
        <v>#N/A</v>
      </c>
    </row>
    <row r="98" spans="2:22" hidden="1">
      <c r="B98" s="263">
        <f>Baseline!B100</f>
        <v>0</v>
      </c>
      <c r="C98" s="264">
        <f>Baseline!F100</f>
        <v>0</v>
      </c>
      <c r="D98" s="265">
        <f>(IF(Baseline!C100="Nieuwe Situatie",(_xlfn.IFNA(VLOOKUP(Referentie_MKI_Totaal[[#This Row],[Product]]&amp;", "&amp;Referentie_MKI_Totaal[[#Headers],[A1]],Database_Productkaarten[#All],14,FALSE),0)*Baseline!I100),0))</f>
        <v>0</v>
      </c>
      <c r="E98" s="265">
        <f>(IF(Baseline!C100="Nieuwe Situatie",(_xlfn.IFNA(VLOOKUP(Referentie_MKI_Totaal[[#This Row],[Product]]&amp;", "&amp;Referentie_MKI_Totaal[[#Headers],[A2]],Database_Productkaarten[#All],14,FALSE),0)*Baseline!I100),0))</f>
        <v>0</v>
      </c>
      <c r="F98" s="265">
        <f>(IF(Baseline!C100="Nieuwe Situatie",(_xlfn.IFNA(VLOOKUP(Referentie_MKI_Totaal[[#This Row],[Product]]&amp;", "&amp;Referentie_MKI_Totaal[[#Headers],[A3]],Database_Productkaarten[#All],14,FALSE),0)*Baseline!I100),0))</f>
        <v>0</v>
      </c>
      <c r="G98" s="265">
        <f>(IF(Baseline!C100="Nieuwe Situatie",(_xlfn.IFNA(VLOOKUP(Referentie_MKI_Totaal[[#This Row],[Product]]&amp;", "&amp;Referentie_MKI_Totaal[[#Headers],[A1-A3]],Database_Productkaarten[#All],14,FALSE),0)*Baseline!I100),0))</f>
        <v>0</v>
      </c>
      <c r="H98" s="265">
        <f>IF(Baseline!T100=0,(IF(Baseline!C100="Nieuwe Situatie",(_xlfn.IFNA(VLOOKUP(Referentie_MKI_Totaal[[#This Row],[Product]]&amp;", "&amp;Referentie_MKI_Totaal[[#Headers],[A4]],Database_Productkaarten[#All],14,FALSE),0)*Baseline!Q100),0)),(IF(Baseline!C100="Nieuwe Situatie",_xlfn.IFNA(VLOOKUP(Baseline!T100,Database_Transport[#All],7,FALSE)*(Baseline!Q100*Baseline!S100),0))))</f>
        <v>0</v>
      </c>
      <c r="I98" s="265">
        <f>IF(Baseline!C100="Nieuwe situatie",IF(_xlfn.IFNA((VLOOKUP(Baseline!U100,Database_Asfalt_Aanlegset[#All],7,FALSE)*Baseline!I100),0)+_xlfn.IFNA(VLOOKUP(Baseline!V100,Database_Brandstoffen[#All],7,FALSE)*((Baseline!I100/Baseline!X100)*Baseline!W100),0)&gt;0,_xlfn.IFNA((VLOOKUP(Baseline!U100,Database_Asfalt_Aanlegset[#All],7,FALSE)*Baseline!I100),0)+_xlfn.IFNA(VLOOKUP(Baseline!V100,Database_Brandstoffen[#All],7,FALSE)*((Baseline!I100/Baseline!X100)*Baseline!W100),0),(_xlfn.IFNA(VLOOKUP(Referentie_MKI_Totaal[[#This Row],[Product]]&amp;", "&amp;Referentie_MKI_Totaal[[#Headers],[A5]],Database_Productkaarten[#All],14,FALSE),0)*Baseline!I100)),0)</f>
        <v>0</v>
      </c>
      <c r="J98" s="265"/>
      <c r="K98" s="265">
        <f>(IF(Baseline!C100="Nieuwe Situatie",(SUM(Referentie_MKI_Totaal[[#This Row],[A1]:[B1]],Referentie_MKI_Totaal[[#This Row],[C1]:[D2]])*Baseline!R100),0))</f>
        <v>0</v>
      </c>
      <c r="L98" s="265">
        <f>IF(Baseline!C100="Bestaande situatie",IF(_xlfn.IFNA((VLOOKUP(Baseline!Y100,Database_Asfalt_Verwijderset[#All],7,FALSE)*Baseline!I100),0)+_xlfn.IFNA(VLOOKUP(Baseline!Z100,Database_Brandstoffen[#All],7,FALSE)*((Baseline!I100/Baseline!AB100)*Baseline!AA100),0)&gt;0,_xlfn.IFNA((VLOOKUP(Baseline!Y100,Database_Asfalt_Verwijderset[#All],7,FALSE)*Baseline!I100),0)+_xlfn.IFNA(VLOOKUP(Baseline!Z100,Database_Brandstoffen[#All],7,FALSE)*((Baseline!I100/Baseline!AB100)*Baseline!AA100),0),(_xlfn.IFNA(VLOOKUP(Referentie_MKI_Totaal[[#This Row],[Product]]&amp;", "&amp;Referentie_MKI_Totaal[[#Headers],[C1]],Database_Productkaarten[#All],14,FALSE),0)*Baseline!I100)),0)</f>
        <v>0</v>
      </c>
      <c r="M98" s="265">
        <f>IF(Baseline!AD100=0,(IF(Baseline!C100="Bestaande Situatie",(_xlfn.IFNA(VLOOKUP(Referentie_MKI_Totaal[[#This Row],[Product]]&amp;", "&amp;Referentie_MKI_Totaal[[#Headers],[C2]],Database_Productkaarten[#All],14,FALSE),0)*Baseline!I100),0)),(IF(Baseline!C100="Bestaande Situatie",_xlfn.IFNA(VLOOKUP(Baseline!AD100,Database_Transport[#All],7,FALSE)*(Baseline!Q100*Baseline!AC100),0))))</f>
        <v>0</v>
      </c>
      <c r="N98" s="265">
        <f>(IF(Baseline!C100="Bestaande Situatie",(_xlfn.IFNA(VLOOKUP(Referentie_MKI_Totaal[[#This Row],[Product]]&amp;", "&amp;Referentie_MKI_Totaal[[#Headers],[C3]],Database_Productkaarten[#All],14,FALSE),0)*Baseline!I100),0))</f>
        <v>0</v>
      </c>
      <c r="O98" s="265">
        <f>(IF(Baseline!C100="Bestaande Situatie",(_xlfn.IFNA(VLOOKUP(Referentie_MKI_Totaal[[#This Row],[Product]]&amp;", "&amp;Referentie_MKI_Totaal[[#Headers],[C4]],Database_Productkaarten[#All],14,FALSE),0)*Baseline!I100),0))</f>
        <v>0</v>
      </c>
      <c r="P98" s="265">
        <f>(IF(Baseline!C100="Bestaande Situatie",(_xlfn.IFNA(VLOOKUP(Referentie_MKI_Totaal[[#This Row],[Product]]&amp;", "&amp;Referentie_MKI_Totaal[[#Headers],[D1]],Database_Productkaarten[#All],14,FALSE),0)*Baseline!I100),0))</f>
        <v>0</v>
      </c>
      <c r="Q98" s="265">
        <f>(IF(Baseline!C100="Bestaande Situatie",_xlfn.IFNA(VLOOKUP(Referentie_MKI_Totaal[[#This Row],[Product]]&amp;", "&amp;Referentie_MKI_Totaal[[#Headers],[D2]],Database_Productkaarten[#All],14,FALSE),0)*Baseline!I100,0))</f>
        <v>0</v>
      </c>
      <c r="R98" s="265">
        <f>(IF(Baseline!C100="Bestaande Situatie",(_xlfn.IFNA(VLOOKUP(Referentie_MKI_Totaal[[#This Row],[Product]]&amp;", "&amp;Referentie_MKI_Totaal[[#Headers],[D]],Database_Productkaarten[#All],14,FALSE),0)*Baseline!I100),0))</f>
        <v>0</v>
      </c>
      <c r="S98" s="266">
        <f>SUM(Referentie_MKI_Totaal[[#This Row],[A1-A3]:[C4]])+Referentie_MKI_Totaal[[#This Row],[D]]</f>
        <v>0</v>
      </c>
      <c r="V98" s="331" t="e">
        <f>SUM(Referentie_MKI_Totaal[[#This Row],[A1-A3]]+Referentie_MKI_Totaal[[#This Row],[A4]]+Referentie_MKI_Totaal[[#This Row],[C2]]+Referentie_MKI_Totaal[[#This Row],[C3]]+Referentie_MKI_Totaal[[#This Row],[C4]]+Referentie_MKI_Totaal[[#This Row],[D]])*(VLOOKUP(Referentie_MKI_Totaal[[#This Row],[Product]]&amp;", "&amp;Referentie_MKI_Totaal[[#Headers],[A5]],Database_Productkaarten[#All],66,FALSE))</f>
        <v>#N/A</v>
      </c>
    </row>
    <row r="99" spans="2:22" hidden="1">
      <c r="B99" s="263">
        <f>Baseline!B101</f>
        <v>0</v>
      </c>
      <c r="C99" s="264">
        <f>Baseline!F101</f>
        <v>0</v>
      </c>
      <c r="D99" s="265">
        <f>(IF(Baseline!C101="Nieuwe Situatie",(_xlfn.IFNA(VLOOKUP(Referentie_MKI_Totaal[[#This Row],[Product]]&amp;", "&amp;Referentie_MKI_Totaal[[#Headers],[A1]],Database_Productkaarten[#All],14,FALSE),0)*Baseline!I101),0))</f>
        <v>0</v>
      </c>
      <c r="E99" s="265">
        <f>(IF(Baseline!C101="Nieuwe Situatie",(_xlfn.IFNA(VLOOKUP(Referentie_MKI_Totaal[[#This Row],[Product]]&amp;", "&amp;Referentie_MKI_Totaal[[#Headers],[A2]],Database_Productkaarten[#All],14,FALSE),0)*Baseline!I101),0))</f>
        <v>0</v>
      </c>
      <c r="F99" s="265">
        <f>(IF(Baseline!C101="Nieuwe Situatie",(_xlfn.IFNA(VLOOKUP(Referentie_MKI_Totaal[[#This Row],[Product]]&amp;", "&amp;Referentie_MKI_Totaal[[#Headers],[A3]],Database_Productkaarten[#All],14,FALSE),0)*Baseline!I101),0))</f>
        <v>0</v>
      </c>
      <c r="G99" s="265">
        <f>(IF(Baseline!C101="Nieuwe Situatie",(_xlfn.IFNA(VLOOKUP(Referentie_MKI_Totaal[[#This Row],[Product]]&amp;", "&amp;Referentie_MKI_Totaal[[#Headers],[A1-A3]],Database_Productkaarten[#All],14,FALSE),0)*Baseline!I101),0))</f>
        <v>0</v>
      </c>
      <c r="H99" s="265">
        <f>IF(Baseline!T101=0,(IF(Baseline!C101="Nieuwe Situatie",(_xlfn.IFNA(VLOOKUP(Referentie_MKI_Totaal[[#This Row],[Product]]&amp;", "&amp;Referentie_MKI_Totaal[[#Headers],[A4]],Database_Productkaarten[#All],14,FALSE),0)*Baseline!Q101),0)),(IF(Baseline!C101="Nieuwe Situatie",_xlfn.IFNA(VLOOKUP(Baseline!T101,Database_Transport[#All],7,FALSE)*(Baseline!Q101*Baseline!S101),0))))</f>
        <v>0</v>
      </c>
      <c r="I99" s="265">
        <f>IF(Baseline!C101="Nieuwe situatie",IF(_xlfn.IFNA((VLOOKUP(Baseline!U101,Database_Asfalt_Aanlegset[#All],7,FALSE)*Baseline!I101),0)+_xlfn.IFNA(VLOOKUP(Baseline!V101,Database_Brandstoffen[#All],7,FALSE)*((Baseline!I101/Baseline!X101)*Baseline!W101),0)&gt;0,_xlfn.IFNA((VLOOKUP(Baseline!U101,Database_Asfalt_Aanlegset[#All],7,FALSE)*Baseline!I101),0)+_xlfn.IFNA(VLOOKUP(Baseline!V101,Database_Brandstoffen[#All],7,FALSE)*((Baseline!I101/Baseline!X101)*Baseline!W101),0),(_xlfn.IFNA(VLOOKUP(Referentie_MKI_Totaal[[#This Row],[Product]]&amp;", "&amp;Referentie_MKI_Totaal[[#Headers],[A5]],Database_Productkaarten[#All],14,FALSE),0)*Baseline!I101)),0)</f>
        <v>0</v>
      </c>
      <c r="J99" s="265"/>
      <c r="K99" s="265">
        <f>(IF(Baseline!C101="Nieuwe Situatie",(SUM(Referentie_MKI_Totaal[[#This Row],[A1]:[B1]],Referentie_MKI_Totaal[[#This Row],[C1]:[D2]])*Baseline!R101),0))</f>
        <v>0</v>
      </c>
      <c r="L99" s="265">
        <f>IF(Baseline!C101="Bestaande situatie",IF(_xlfn.IFNA((VLOOKUP(Baseline!Y101,Database_Asfalt_Verwijderset[#All],7,FALSE)*Baseline!I101),0)+_xlfn.IFNA(VLOOKUP(Baseline!Z101,Database_Brandstoffen[#All],7,FALSE)*((Baseline!I101/Baseline!AB101)*Baseline!AA101),0)&gt;0,_xlfn.IFNA((VLOOKUP(Baseline!Y101,Database_Asfalt_Verwijderset[#All],7,FALSE)*Baseline!I101),0)+_xlfn.IFNA(VLOOKUP(Baseline!Z101,Database_Brandstoffen[#All],7,FALSE)*((Baseline!I101/Baseline!AB101)*Baseline!AA101),0),(_xlfn.IFNA(VLOOKUP(Referentie_MKI_Totaal[[#This Row],[Product]]&amp;", "&amp;Referentie_MKI_Totaal[[#Headers],[C1]],Database_Productkaarten[#All],14,FALSE),0)*Baseline!I101)),0)</f>
        <v>0</v>
      </c>
      <c r="M99" s="265">
        <f>IF(Baseline!AD101=0,(IF(Baseline!C101="Bestaande Situatie",(_xlfn.IFNA(VLOOKUP(Referentie_MKI_Totaal[[#This Row],[Product]]&amp;", "&amp;Referentie_MKI_Totaal[[#Headers],[C2]],Database_Productkaarten[#All],14,FALSE),0)*Baseline!I101),0)),(IF(Baseline!C101="Bestaande Situatie",_xlfn.IFNA(VLOOKUP(Baseline!AD101,Database_Transport[#All],7,FALSE)*(Baseline!Q101*Baseline!AC101),0))))</f>
        <v>0</v>
      </c>
      <c r="N99" s="265">
        <f>(IF(Baseline!C101="Bestaande Situatie",(_xlfn.IFNA(VLOOKUP(Referentie_MKI_Totaal[[#This Row],[Product]]&amp;", "&amp;Referentie_MKI_Totaal[[#Headers],[C3]],Database_Productkaarten[#All],14,FALSE),0)*Baseline!I101),0))</f>
        <v>0</v>
      </c>
      <c r="O99" s="265">
        <f>(IF(Baseline!C101="Bestaande Situatie",(_xlfn.IFNA(VLOOKUP(Referentie_MKI_Totaal[[#This Row],[Product]]&amp;", "&amp;Referentie_MKI_Totaal[[#Headers],[C4]],Database_Productkaarten[#All],14,FALSE),0)*Baseline!I101),0))</f>
        <v>0</v>
      </c>
      <c r="P99" s="265">
        <f>(IF(Baseline!C101="Bestaande Situatie",(_xlfn.IFNA(VLOOKUP(Referentie_MKI_Totaal[[#This Row],[Product]]&amp;", "&amp;Referentie_MKI_Totaal[[#Headers],[D1]],Database_Productkaarten[#All],14,FALSE),0)*Baseline!I101),0))</f>
        <v>0</v>
      </c>
      <c r="Q99" s="265">
        <f>(IF(Baseline!C101="Bestaande Situatie",_xlfn.IFNA(VLOOKUP(Referentie_MKI_Totaal[[#This Row],[Product]]&amp;", "&amp;Referentie_MKI_Totaal[[#Headers],[D2]],Database_Productkaarten[#All],14,FALSE),0)*Baseline!I101,0))</f>
        <v>0</v>
      </c>
      <c r="R99" s="265">
        <f>(IF(Baseline!C101="Bestaande Situatie",(_xlfn.IFNA(VLOOKUP(Referentie_MKI_Totaal[[#This Row],[Product]]&amp;", "&amp;Referentie_MKI_Totaal[[#Headers],[D]],Database_Productkaarten[#All],14,FALSE),0)*Baseline!I101),0))</f>
        <v>0</v>
      </c>
      <c r="S99" s="266">
        <f>SUM(Referentie_MKI_Totaal[[#This Row],[A1-A3]:[C4]])+Referentie_MKI_Totaal[[#This Row],[D]]</f>
        <v>0</v>
      </c>
      <c r="V99" s="331" t="e">
        <f>SUM(Referentie_MKI_Totaal[[#This Row],[A1-A3]]+Referentie_MKI_Totaal[[#This Row],[A4]]+Referentie_MKI_Totaal[[#This Row],[C2]]+Referentie_MKI_Totaal[[#This Row],[C3]]+Referentie_MKI_Totaal[[#This Row],[C4]]+Referentie_MKI_Totaal[[#This Row],[D]])*(VLOOKUP(Referentie_MKI_Totaal[[#This Row],[Product]]&amp;", "&amp;Referentie_MKI_Totaal[[#Headers],[A5]],Database_Productkaarten[#All],66,FALSE))</f>
        <v>#N/A</v>
      </c>
    </row>
    <row r="100" spans="2:22" hidden="1">
      <c r="B100" s="263">
        <f>Baseline!B102</f>
        <v>0</v>
      </c>
      <c r="C100" s="264">
        <f>Baseline!F102</f>
        <v>0</v>
      </c>
      <c r="D100" s="265">
        <f>(IF(Baseline!C102="Nieuwe Situatie",(_xlfn.IFNA(VLOOKUP(Referentie_MKI_Totaal[[#This Row],[Product]]&amp;", "&amp;Referentie_MKI_Totaal[[#Headers],[A1]],Database_Productkaarten[#All],14,FALSE),0)*Baseline!I102),0))</f>
        <v>0</v>
      </c>
      <c r="E100" s="265">
        <f>(IF(Baseline!C102="Nieuwe Situatie",(_xlfn.IFNA(VLOOKUP(Referentie_MKI_Totaal[[#This Row],[Product]]&amp;", "&amp;Referentie_MKI_Totaal[[#Headers],[A2]],Database_Productkaarten[#All],14,FALSE),0)*Baseline!I102),0))</f>
        <v>0</v>
      </c>
      <c r="F100" s="265">
        <f>(IF(Baseline!C102="Nieuwe Situatie",(_xlfn.IFNA(VLOOKUP(Referentie_MKI_Totaal[[#This Row],[Product]]&amp;", "&amp;Referentie_MKI_Totaal[[#Headers],[A3]],Database_Productkaarten[#All],14,FALSE),0)*Baseline!I102),0))</f>
        <v>0</v>
      </c>
      <c r="G100" s="265">
        <f>(IF(Baseline!C102="Nieuwe Situatie",(_xlfn.IFNA(VLOOKUP(Referentie_MKI_Totaal[[#This Row],[Product]]&amp;", "&amp;Referentie_MKI_Totaal[[#Headers],[A1-A3]],Database_Productkaarten[#All],14,FALSE),0)*Baseline!I102),0))</f>
        <v>0</v>
      </c>
      <c r="H100" s="265">
        <f>IF(Baseline!T102=0,(IF(Baseline!C102="Nieuwe Situatie",(_xlfn.IFNA(VLOOKUP(Referentie_MKI_Totaal[[#This Row],[Product]]&amp;", "&amp;Referentie_MKI_Totaal[[#Headers],[A4]],Database_Productkaarten[#All],14,FALSE),0)*Baseline!Q102),0)),(IF(Baseline!C102="Nieuwe Situatie",_xlfn.IFNA(VLOOKUP(Baseline!T102,Database_Transport[#All],7,FALSE)*(Baseline!Q102*Baseline!S102),0))))</f>
        <v>0</v>
      </c>
      <c r="I100" s="265">
        <f>IF(Baseline!C102="Nieuwe situatie",IF(_xlfn.IFNA((VLOOKUP(Baseline!U102,Database_Asfalt_Aanlegset[#All],7,FALSE)*Baseline!I102),0)+_xlfn.IFNA(VLOOKUP(Baseline!V102,Database_Brandstoffen[#All],7,FALSE)*((Baseline!I102/Baseline!X102)*Baseline!W102),0)&gt;0,_xlfn.IFNA((VLOOKUP(Baseline!U102,Database_Asfalt_Aanlegset[#All],7,FALSE)*Baseline!I102),0)+_xlfn.IFNA(VLOOKUP(Baseline!V102,Database_Brandstoffen[#All],7,FALSE)*((Baseline!I102/Baseline!X102)*Baseline!W102),0),(_xlfn.IFNA(VLOOKUP(Referentie_MKI_Totaal[[#This Row],[Product]]&amp;", "&amp;Referentie_MKI_Totaal[[#Headers],[A5]],Database_Productkaarten[#All],14,FALSE),0)*Baseline!I102)),0)</f>
        <v>0</v>
      </c>
      <c r="J100" s="265"/>
      <c r="K100" s="265">
        <f>(IF(Baseline!C102="Nieuwe Situatie",(SUM(Referentie_MKI_Totaal[[#This Row],[A1]:[B1]],Referentie_MKI_Totaal[[#This Row],[C1]:[D2]])*Baseline!R102),0))</f>
        <v>0</v>
      </c>
      <c r="L100" s="265">
        <f>IF(Baseline!C102="Bestaande situatie",IF(_xlfn.IFNA((VLOOKUP(Baseline!Y102,Database_Asfalt_Verwijderset[#All],7,FALSE)*Baseline!I102),0)+_xlfn.IFNA(VLOOKUP(Baseline!Z102,Database_Brandstoffen[#All],7,FALSE)*((Baseline!I102/Baseline!AB102)*Baseline!AA102),0)&gt;0,_xlfn.IFNA((VLOOKUP(Baseline!Y102,Database_Asfalt_Verwijderset[#All],7,FALSE)*Baseline!I102),0)+_xlfn.IFNA(VLOOKUP(Baseline!Z102,Database_Brandstoffen[#All],7,FALSE)*((Baseline!I102/Baseline!AB102)*Baseline!AA102),0),(_xlfn.IFNA(VLOOKUP(Referentie_MKI_Totaal[[#This Row],[Product]]&amp;", "&amp;Referentie_MKI_Totaal[[#Headers],[C1]],Database_Productkaarten[#All],14,FALSE),0)*Baseline!I102)),0)</f>
        <v>0</v>
      </c>
      <c r="M100" s="265">
        <f>IF(Baseline!AD102=0,(IF(Baseline!C102="Bestaande Situatie",(_xlfn.IFNA(VLOOKUP(Referentie_MKI_Totaal[[#This Row],[Product]]&amp;", "&amp;Referentie_MKI_Totaal[[#Headers],[C2]],Database_Productkaarten[#All],14,FALSE),0)*Baseline!I102),0)),(IF(Baseline!C102="Bestaande Situatie",_xlfn.IFNA(VLOOKUP(Baseline!AD102,Database_Transport[#All],7,FALSE)*(Baseline!Q102*Baseline!AC102),0))))</f>
        <v>0</v>
      </c>
      <c r="N100" s="265">
        <f>(IF(Baseline!C102="Bestaande Situatie",(_xlfn.IFNA(VLOOKUP(Referentie_MKI_Totaal[[#This Row],[Product]]&amp;", "&amp;Referentie_MKI_Totaal[[#Headers],[C3]],Database_Productkaarten[#All],14,FALSE),0)*Baseline!I102),0))</f>
        <v>0</v>
      </c>
      <c r="O100" s="265">
        <f>(IF(Baseline!C102="Bestaande Situatie",(_xlfn.IFNA(VLOOKUP(Referentie_MKI_Totaal[[#This Row],[Product]]&amp;", "&amp;Referentie_MKI_Totaal[[#Headers],[C4]],Database_Productkaarten[#All],14,FALSE),0)*Baseline!I102),0))</f>
        <v>0</v>
      </c>
      <c r="P100" s="265">
        <f>(IF(Baseline!C102="Bestaande Situatie",(_xlfn.IFNA(VLOOKUP(Referentie_MKI_Totaal[[#This Row],[Product]]&amp;", "&amp;Referentie_MKI_Totaal[[#Headers],[D1]],Database_Productkaarten[#All],14,FALSE),0)*Baseline!I102),0))</f>
        <v>0</v>
      </c>
      <c r="Q100" s="265">
        <f>(IF(Baseline!C102="Bestaande Situatie",_xlfn.IFNA(VLOOKUP(Referentie_MKI_Totaal[[#This Row],[Product]]&amp;", "&amp;Referentie_MKI_Totaal[[#Headers],[D2]],Database_Productkaarten[#All],14,FALSE),0)*Baseline!I102,0))</f>
        <v>0</v>
      </c>
      <c r="R100" s="265">
        <f>(IF(Baseline!C102="Bestaande Situatie",(_xlfn.IFNA(VLOOKUP(Referentie_MKI_Totaal[[#This Row],[Product]]&amp;", "&amp;Referentie_MKI_Totaal[[#Headers],[D]],Database_Productkaarten[#All],14,FALSE),0)*Baseline!I102),0))</f>
        <v>0</v>
      </c>
      <c r="S100" s="266">
        <f>SUM(Referentie_MKI_Totaal[[#This Row],[A1-A3]:[C4]])+Referentie_MKI_Totaal[[#This Row],[D]]</f>
        <v>0</v>
      </c>
      <c r="V100" s="331" t="e">
        <f>SUM(Referentie_MKI_Totaal[[#This Row],[A1-A3]]+Referentie_MKI_Totaal[[#This Row],[A4]]+Referentie_MKI_Totaal[[#This Row],[C2]]+Referentie_MKI_Totaal[[#This Row],[C3]]+Referentie_MKI_Totaal[[#This Row],[C4]]+Referentie_MKI_Totaal[[#This Row],[D]])*(VLOOKUP(Referentie_MKI_Totaal[[#This Row],[Product]]&amp;", "&amp;Referentie_MKI_Totaal[[#Headers],[A5]],Database_Productkaarten[#All],66,FALSE))</f>
        <v>#N/A</v>
      </c>
    </row>
    <row r="101" spans="2:22" hidden="1">
      <c r="B101" s="263">
        <f>Baseline!B103</f>
        <v>0</v>
      </c>
      <c r="C101" s="264">
        <f>Baseline!F103</f>
        <v>0</v>
      </c>
      <c r="D101" s="265">
        <f>(IF(Baseline!C103="Nieuwe Situatie",(_xlfn.IFNA(VLOOKUP(Referentie_MKI_Totaal[[#This Row],[Product]]&amp;", "&amp;Referentie_MKI_Totaal[[#Headers],[A1]],Database_Productkaarten[#All],14,FALSE),0)*Baseline!I103),0))</f>
        <v>0</v>
      </c>
      <c r="E101" s="265">
        <f>(IF(Baseline!C103="Nieuwe Situatie",(_xlfn.IFNA(VLOOKUP(Referentie_MKI_Totaal[[#This Row],[Product]]&amp;", "&amp;Referentie_MKI_Totaal[[#Headers],[A2]],Database_Productkaarten[#All],14,FALSE),0)*Baseline!I103),0))</f>
        <v>0</v>
      </c>
      <c r="F101" s="265">
        <f>(IF(Baseline!C103="Nieuwe Situatie",(_xlfn.IFNA(VLOOKUP(Referentie_MKI_Totaal[[#This Row],[Product]]&amp;", "&amp;Referentie_MKI_Totaal[[#Headers],[A3]],Database_Productkaarten[#All],14,FALSE),0)*Baseline!I103),0))</f>
        <v>0</v>
      </c>
      <c r="G101" s="265">
        <f>(IF(Baseline!C103="Nieuwe Situatie",(_xlfn.IFNA(VLOOKUP(Referentie_MKI_Totaal[[#This Row],[Product]]&amp;", "&amp;Referentie_MKI_Totaal[[#Headers],[A1-A3]],Database_Productkaarten[#All],14,FALSE),0)*Baseline!I103),0))</f>
        <v>0</v>
      </c>
      <c r="H101" s="265">
        <f>IF(Baseline!T103=0,(IF(Baseline!C103="Nieuwe Situatie",(_xlfn.IFNA(VLOOKUP(Referentie_MKI_Totaal[[#This Row],[Product]]&amp;", "&amp;Referentie_MKI_Totaal[[#Headers],[A4]],Database_Productkaarten[#All],14,FALSE),0)*Baseline!Q103),0)),(IF(Baseline!C103="Nieuwe Situatie",_xlfn.IFNA(VLOOKUP(Baseline!T103,Database_Transport[#All],7,FALSE)*(Baseline!Q103*Baseline!S103),0))))</f>
        <v>0</v>
      </c>
      <c r="I101" s="265">
        <f>IF(Baseline!C103="Nieuwe situatie",IF(_xlfn.IFNA((VLOOKUP(Baseline!U103,Database_Asfalt_Aanlegset[#All],7,FALSE)*Baseline!I103),0)+_xlfn.IFNA(VLOOKUP(Baseline!V103,Database_Brandstoffen[#All],7,FALSE)*((Baseline!I103/Baseline!X103)*Baseline!W103),0)&gt;0,_xlfn.IFNA((VLOOKUP(Baseline!U103,Database_Asfalt_Aanlegset[#All],7,FALSE)*Baseline!I103),0)+_xlfn.IFNA(VLOOKUP(Baseline!V103,Database_Brandstoffen[#All],7,FALSE)*((Baseline!I103/Baseline!X103)*Baseline!W103),0),(_xlfn.IFNA(VLOOKUP(Referentie_MKI_Totaal[[#This Row],[Product]]&amp;", "&amp;Referentie_MKI_Totaal[[#Headers],[A5]],Database_Productkaarten[#All],14,FALSE),0)*Baseline!I103)),0)</f>
        <v>0</v>
      </c>
      <c r="J101" s="265"/>
      <c r="K101" s="265">
        <f>(IF(Baseline!C103="Nieuwe Situatie",(SUM(Referentie_MKI_Totaal[[#This Row],[A1]:[B1]],Referentie_MKI_Totaal[[#This Row],[C1]:[D2]])*Baseline!R103),0))</f>
        <v>0</v>
      </c>
      <c r="L101" s="265">
        <f>IF(Baseline!C103="Bestaande situatie",IF(_xlfn.IFNA((VLOOKUP(Baseline!Y103,Database_Asfalt_Verwijderset[#All],7,FALSE)*Baseline!I103),0)+_xlfn.IFNA(VLOOKUP(Baseline!Z103,Database_Brandstoffen[#All],7,FALSE)*((Baseline!I103/Baseline!AB103)*Baseline!AA103),0)&gt;0,_xlfn.IFNA((VLOOKUP(Baseline!Y103,Database_Asfalt_Verwijderset[#All],7,FALSE)*Baseline!I103),0)+_xlfn.IFNA(VLOOKUP(Baseline!Z103,Database_Brandstoffen[#All],7,FALSE)*((Baseline!I103/Baseline!AB103)*Baseline!AA103),0),(_xlfn.IFNA(VLOOKUP(Referentie_MKI_Totaal[[#This Row],[Product]]&amp;", "&amp;Referentie_MKI_Totaal[[#Headers],[C1]],Database_Productkaarten[#All],14,FALSE),0)*Baseline!I103)),0)</f>
        <v>0</v>
      </c>
      <c r="M101" s="265">
        <f>IF(Baseline!AD103=0,(IF(Baseline!C103="Bestaande Situatie",(_xlfn.IFNA(VLOOKUP(Referentie_MKI_Totaal[[#This Row],[Product]]&amp;", "&amp;Referentie_MKI_Totaal[[#Headers],[C2]],Database_Productkaarten[#All],14,FALSE),0)*Baseline!I103),0)),(IF(Baseline!C103="Bestaande Situatie",_xlfn.IFNA(VLOOKUP(Baseline!AD103,Database_Transport[#All],7,FALSE)*(Baseline!Q103*Baseline!AC103),0))))</f>
        <v>0</v>
      </c>
      <c r="N101" s="265">
        <f>(IF(Baseline!C103="Bestaande Situatie",(_xlfn.IFNA(VLOOKUP(Referentie_MKI_Totaal[[#This Row],[Product]]&amp;", "&amp;Referentie_MKI_Totaal[[#Headers],[C3]],Database_Productkaarten[#All],14,FALSE),0)*Baseline!I103),0))</f>
        <v>0</v>
      </c>
      <c r="O101" s="265">
        <f>(IF(Baseline!C103="Bestaande Situatie",(_xlfn.IFNA(VLOOKUP(Referentie_MKI_Totaal[[#This Row],[Product]]&amp;", "&amp;Referentie_MKI_Totaal[[#Headers],[C4]],Database_Productkaarten[#All],14,FALSE),0)*Baseline!I103),0))</f>
        <v>0</v>
      </c>
      <c r="P101" s="265">
        <f>(IF(Baseline!C103="Bestaande Situatie",(_xlfn.IFNA(VLOOKUP(Referentie_MKI_Totaal[[#This Row],[Product]]&amp;", "&amp;Referentie_MKI_Totaal[[#Headers],[D1]],Database_Productkaarten[#All],14,FALSE),0)*Baseline!I103),0))</f>
        <v>0</v>
      </c>
      <c r="Q101" s="265">
        <f>(IF(Baseline!C103="Bestaande Situatie",_xlfn.IFNA(VLOOKUP(Referentie_MKI_Totaal[[#This Row],[Product]]&amp;", "&amp;Referentie_MKI_Totaal[[#Headers],[D2]],Database_Productkaarten[#All],14,FALSE),0)*Baseline!I103,0))</f>
        <v>0</v>
      </c>
      <c r="R101" s="265">
        <f>(IF(Baseline!C103="Bestaande Situatie",(_xlfn.IFNA(VLOOKUP(Referentie_MKI_Totaal[[#This Row],[Product]]&amp;", "&amp;Referentie_MKI_Totaal[[#Headers],[D]],Database_Productkaarten[#All],14,FALSE),0)*Baseline!I103),0))</f>
        <v>0</v>
      </c>
      <c r="S101" s="266">
        <f>SUM(Referentie_MKI_Totaal[[#This Row],[A1-A3]:[C4]])+Referentie_MKI_Totaal[[#This Row],[D]]</f>
        <v>0</v>
      </c>
      <c r="V101" s="331" t="e">
        <f>SUM(Referentie_MKI_Totaal[[#This Row],[A1-A3]]+Referentie_MKI_Totaal[[#This Row],[A4]]+Referentie_MKI_Totaal[[#This Row],[C2]]+Referentie_MKI_Totaal[[#This Row],[C3]]+Referentie_MKI_Totaal[[#This Row],[C4]]+Referentie_MKI_Totaal[[#This Row],[D]])*(VLOOKUP(Referentie_MKI_Totaal[[#This Row],[Product]]&amp;", "&amp;Referentie_MKI_Totaal[[#Headers],[A5]],Database_Productkaarten[#All],66,FALSE))</f>
        <v>#N/A</v>
      </c>
    </row>
    <row r="102" spans="2:22" hidden="1">
      <c r="B102" s="263">
        <f>Baseline!B104</f>
        <v>0</v>
      </c>
      <c r="C102" s="264">
        <f>Baseline!F104</f>
        <v>0</v>
      </c>
      <c r="D102" s="265">
        <f>(IF(Baseline!C104="Nieuwe Situatie",(_xlfn.IFNA(VLOOKUP(Referentie_MKI_Totaal[[#This Row],[Product]]&amp;", "&amp;Referentie_MKI_Totaal[[#Headers],[A1]],Database_Productkaarten[#All],14,FALSE),0)*Baseline!I104),0))</f>
        <v>0</v>
      </c>
      <c r="E102" s="265">
        <f>(IF(Baseline!C104="Nieuwe Situatie",(_xlfn.IFNA(VLOOKUP(Referentie_MKI_Totaal[[#This Row],[Product]]&amp;", "&amp;Referentie_MKI_Totaal[[#Headers],[A2]],Database_Productkaarten[#All],14,FALSE),0)*Baseline!I104),0))</f>
        <v>0</v>
      </c>
      <c r="F102" s="265">
        <f>(IF(Baseline!C104="Nieuwe Situatie",(_xlfn.IFNA(VLOOKUP(Referentie_MKI_Totaal[[#This Row],[Product]]&amp;", "&amp;Referentie_MKI_Totaal[[#Headers],[A3]],Database_Productkaarten[#All],14,FALSE),0)*Baseline!I104),0))</f>
        <v>0</v>
      </c>
      <c r="G102" s="265">
        <f>(IF(Baseline!C104="Nieuwe Situatie",(_xlfn.IFNA(VLOOKUP(Referentie_MKI_Totaal[[#This Row],[Product]]&amp;", "&amp;Referentie_MKI_Totaal[[#Headers],[A1-A3]],Database_Productkaarten[#All],14,FALSE),0)*Baseline!I104),0))</f>
        <v>0</v>
      </c>
      <c r="H102" s="265">
        <f>IF(Baseline!T104=0,(IF(Baseline!C104="Nieuwe Situatie",(_xlfn.IFNA(VLOOKUP(Referentie_MKI_Totaal[[#This Row],[Product]]&amp;", "&amp;Referentie_MKI_Totaal[[#Headers],[A4]],Database_Productkaarten[#All],14,FALSE),0)*Baseline!Q104),0)),(IF(Baseline!C104="Nieuwe Situatie",_xlfn.IFNA(VLOOKUP(Baseline!T104,Database_Transport[#All],7,FALSE)*(Baseline!Q104*Baseline!S104),0))))</f>
        <v>0</v>
      </c>
      <c r="I102" s="265">
        <f>IF(Baseline!C104="Nieuwe situatie",IF(_xlfn.IFNA((VLOOKUP(Baseline!U104,Database_Asfalt_Aanlegset[#All],7,FALSE)*Baseline!I104),0)+_xlfn.IFNA(VLOOKUP(Baseline!V104,Database_Brandstoffen[#All],7,FALSE)*((Baseline!I104/Baseline!X104)*Baseline!W104),0)&gt;0,_xlfn.IFNA((VLOOKUP(Baseline!U104,Database_Asfalt_Aanlegset[#All],7,FALSE)*Baseline!I104),0)+_xlfn.IFNA(VLOOKUP(Baseline!V104,Database_Brandstoffen[#All],7,FALSE)*((Baseline!I104/Baseline!X104)*Baseline!W104),0),(_xlfn.IFNA(VLOOKUP(Referentie_MKI_Totaal[[#This Row],[Product]]&amp;", "&amp;Referentie_MKI_Totaal[[#Headers],[A5]],Database_Productkaarten[#All],14,FALSE),0)*Baseline!I104)),0)</f>
        <v>0</v>
      </c>
      <c r="J102" s="265"/>
      <c r="K102" s="265">
        <f>(IF(Baseline!C104="Nieuwe Situatie",(SUM(Referentie_MKI_Totaal[[#This Row],[A1]:[B1]],Referentie_MKI_Totaal[[#This Row],[C1]:[D2]])*Baseline!R104),0))</f>
        <v>0</v>
      </c>
      <c r="L102" s="265">
        <f>IF(Baseline!C104="Bestaande situatie",IF(_xlfn.IFNA((VLOOKUP(Baseline!Y104,Database_Asfalt_Verwijderset[#All],7,FALSE)*Baseline!I104),0)+_xlfn.IFNA(VLOOKUP(Baseline!Z104,Database_Brandstoffen[#All],7,FALSE)*((Baseline!I104/Baseline!AB104)*Baseline!AA104),0)&gt;0,_xlfn.IFNA((VLOOKUP(Baseline!Y104,Database_Asfalt_Verwijderset[#All],7,FALSE)*Baseline!I104),0)+_xlfn.IFNA(VLOOKUP(Baseline!Z104,Database_Brandstoffen[#All],7,FALSE)*((Baseline!I104/Baseline!AB104)*Baseline!AA104),0),(_xlfn.IFNA(VLOOKUP(Referentie_MKI_Totaal[[#This Row],[Product]]&amp;", "&amp;Referentie_MKI_Totaal[[#Headers],[C1]],Database_Productkaarten[#All],14,FALSE),0)*Baseline!I104)),0)</f>
        <v>0</v>
      </c>
      <c r="M102" s="265">
        <f>IF(Baseline!AD104=0,(IF(Baseline!C104="Bestaande Situatie",(_xlfn.IFNA(VLOOKUP(Referentie_MKI_Totaal[[#This Row],[Product]]&amp;", "&amp;Referentie_MKI_Totaal[[#Headers],[C2]],Database_Productkaarten[#All],14,FALSE),0)*Baseline!I104),0)),(IF(Baseline!C104="Bestaande Situatie",_xlfn.IFNA(VLOOKUP(Baseline!AD104,Database_Transport[#All],7,FALSE)*(Baseline!Q104*Baseline!AC104),0))))</f>
        <v>0</v>
      </c>
      <c r="N102" s="265">
        <f>(IF(Baseline!C104="Bestaande Situatie",(_xlfn.IFNA(VLOOKUP(Referentie_MKI_Totaal[[#This Row],[Product]]&amp;", "&amp;Referentie_MKI_Totaal[[#Headers],[C3]],Database_Productkaarten[#All],14,FALSE),0)*Baseline!I104),0))</f>
        <v>0</v>
      </c>
      <c r="O102" s="265">
        <f>(IF(Baseline!C104="Bestaande Situatie",(_xlfn.IFNA(VLOOKUP(Referentie_MKI_Totaal[[#This Row],[Product]]&amp;", "&amp;Referentie_MKI_Totaal[[#Headers],[C4]],Database_Productkaarten[#All],14,FALSE),0)*Baseline!I104),0))</f>
        <v>0</v>
      </c>
      <c r="P102" s="265">
        <f>(IF(Baseline!C104="Bestaande Situatie",(_xlfn.IFNA(VLOOKUP(Referentie_MKI_Totaal[[#This Row],[Product]]&amp;", "&amp;Referentie_MKI_Totaal[[#Headers],[D1]],Database_Productkaarten[#All],14,FALSE),0)*Baseline!I104),0))</f>
        <v>0</v>
      </c>
      <c r="Q102" s="265">
        <f>(IF(Baseline!C104="Bestaande Situatie",_xlfn.IFNA(VLOOKUP(Referentie_MKI_Totaal[[#This Row],[Product]]&amp;", "&amp;Referentie_MKI_Totaal[[#Headers],[D2]],Database_Productkaarten[#All],14,FALSE),0)*Baseline!I104,0))</f>
        <v>0</v>
      </c>
      <c r="R102" s="265">
        <f>(IF(Baseline!C104="Bestaande Situatie",(_xlfn.IFNA(VLOOKUP(Referentie_MKI_Totaal[[#This Row],[Product]]&amp;", "&amp;Referentie_MKI_Totaal[[#Headers],[D]],Database_Productkaarten[#All],14,FALSE),0)*Baseline!I104),0))</f>
        <v>0</v>
      </c>
      <c r="S102" s="266">
        <f>SUM(Referentie_MKI_Totaal[[#This Row],[A1-A3]:[C4]])+Referentie_MKI_Totaal[[#This Row],[D]]</f>
        <v>0</v>
      </c>
      <c r="V102" s="331" t="e">
        <f>SUM(Referentie_MKI_Totaal[[#This Row],[A1-A3]]+Referentie_MKI_Totaal[[#This Row],[A4]]+Referentie_MKI_Totaal[[#This Row],[C2]]+Referentie_MKI_Totaal[[#This Row],[C3]]+Referentie_MKI_Totaal[[#This Row],[C4]]+Referentie_MKI_Totaal[[#This Row],[D]])*(VLOOKUP(Referentie_MKI_Totaal[[#This Row],[Product]]&amp;", "&amp;Referentie_MKI_Totaal[[#Headers],[A5]],Database_Productkaarten[#All],66,FALSE))</f>
        <v>#N/A</v>
      </c>
    </row>
    <row r="103" spans="2:22" hidden="1">
      <c r="B103" s="263">
        <f>Baseline!B105</f>
        <v>0</v>
      </c>
      <c r="C103" s="264">
        <f>Baseline!F105</f>
        <v>0</v>
      </c>
      <c r="D103" s="265">
        <f>(IF(Baseline!C105="Nieuwe Situatie",(_xlfn.IFNA(VLOOKUP(Referentie_MKI_Totaal[[#This Row],[Product]]&amp;", "&amp;Referentie_MKI_Totaal[[#Headers],[A1]],Database_Productkaarten[#All],14,FALSE),0)*Baseline!I105),0))</f>
        <v>0</v>
      </c>
      <c r="E103" s="265">
        <f>(IF(Baseline!C105="Nieuwe Situatie",(_xlfn.IFNA(VLOOKUP(Referentie_MKI_Totaal[[#This Row],[Product]]&amp;", "&amp;Referentie_MKI_Totaal[[#Headers],[A2]],Database_Productkaarten[#All],14,FALSE),0)*Baseline!I105),0))</f>
        <v>0</v>
      </c>
      <c r="F103" s="265">
        <f>(IF(Baseline!C105="Nieuwe Situatie",(_xlfn.IFNA(VLOOKUP(Referentie_MKI_Totaal[[#This Row],[Product]]&amp;", "&amp;Referentie_MKI_Totaal[[#Headers],[A3]],Database_Productkaarten[#All],14,FALSE),0)*Baseline!I105),0))</f>
        <v>0</v>
      </c>
      <c r="G103" s="265">
        <f>(IF(Baseline!C105="Nieuwe Situatie",(_xlfn.IFNA(VLOOKUP(Referentie_MKI_Totaal[[#This Row],[Product]]&amp;", "&amp;Referentie_MKI_Totaal[[#Headers],[A1-A3]],Database_Productkaarten[#All],14,FALSE),0)*Baseline!I105),0))</f>
        <v>0</v>
      </c>
      <c r="H103" s="265">
        <f>IF(Baseline!T105=0,(IF(Baseline!C105="Nieuwe Situatie",(_xlfn.IFNA(VLOOKUP(Referentie_MKI_Totaal[[#This Row],[Product]]&amp;", "&amp;Referentie_MKI_Totaal[[#Headers],[A4]],Database_Productkaarten[#All],14,FALSE),0)*Baseline!Q105),0)),(IF(Baseline!C105="Nieuwe Situatie",_xlfn.IFNA(VLOOKUP(Baseline!T105,Database_Transport[#All],7,FALSE)*(Baseline!Q105*Baseline!S105),0))))</f>
        <v>0</v>
      </c>
      <c r="I103" s="265">
        <f>IF(Baseline!C105="Nieuwe situatie",IF(_xlfn.IFNA((VLOOKUP(Baseline!U105,Database_Asfalt_Aanlegset[#All],7,FALSE)*Baseline!I105),0)+_xlfn.IFNA(VLOOKUP(Baseline!V105,Database_Brandstoffen[#All],7,FALSE)*((Baseline!I105/Baseline!X105)*Baseline!W105),0)&gt;0,_xlfn.IFNA((VLOOKUP(Baseline!U105,Database_Asfalt_Aanlegset[#All],7,FALSE)*Baseline!I105),0)+_xlfn.IFNA(VLOOKUP(Baseline!V105,Database_Brandstoffen[#All],7,FALSE)*((Baseline!I105/Baseline!X105)*Baseline!W105),0),(_xlfn.IFNA(VLOOKUP(Referentie_MKI_Totaal[[#This Row],[Product]]&amp;", "&amp;Referentie_MKI_Totaal[[#Headers],[A5]],Database_Productkaarten[#All],14,FALSE),0)*Baseline!I105)),0)</f>
        <v>0</v>
      </c>
      <c r="J103" s="265"/>
      <c r="K103" s="265">
        <f>(IF(Baseline!C105="Nieuwe Situatie",(SUM(Referentie_MKI_Totaal[[#This Row],[A1]:[B1]],Referentie_MKI_Totaal[[#This Row],[C1]:[D2]])*Baseline!R105),0))</f>
        <v>0</v>
      </c>
      <c r="L103" s="265">
        <f>IF(Baseline!C105="Bestaande situatie",IF(_xlfn.IFNA((VLOOKUP(Baseline!Y105,Database_Asfalt_Verwijderset[#All],7,FALSE)*Baseline!I105),0)+_xlfn.IFNA(VLOOKUP(Baseline!Z105,Database_Brandstoffen[#All],7,FALSE)*((Baseline!I105/Baseline!AB105)*Baseline!AA105),0)&gt;0,_xlfn.IFNA((VLOOKUP(Baseline!Y105,Database_Asfalt_Verwijderset[#All],7,FALSE)*Baseline!I105),0)+_xlfn.IFNA(VLOOKUP(Baseline!Z105,Database_Brandstoffen[#All],7,FALSE)*((Baseline!I105/Baseline!AB105)*Baseline!AA105),0),(_xlfn.IFNA(VLOOKUP(Referentie_MKI_Totaal[[#This Row],[Product]]&amp;", "&amp;Referentie_MKI_Totaal[[#Headers],[C1]],Database_Productkaarten[#All],14,FALSE),0)*Baseline!I105)),0)</f>
        <v>0</v>
      </c>
      <c r="M103" s="265">
        <f>IF(Baseline!AD105=0,(IF(Baseline!C105="Bestaande Situatie",(_xlfn.IFNA(VLOOKUP(Referentie_MKI_Totaal[[#This Row],[Product]]&amp;", "&amp;Referentie_MKI_Totaal[[#Headers],[C2]],Database_Productkaarten[#All],14,FALSE),0)*Baseline!I105),0)),(IF(Baseline!C105="Bestaande Situatie",_xlfn.IFNA(VLOOKUP(Baseline!AD105,Database_Transport[#All],7,FALSE)*(Baseline!Q105*Baseline!AC105),0))))</f>
        <v>0</v>
      </c>
      <c r="N103" s="265">
        <f>(IF(Baseline!C105="Bestaande Situatie",(_xlfn.IFNA(VLOOKUP(Referentie_MKI_Totaal[[#This Row],[Product]]&amp;", "&amp;Referentie_MKI_Totaal[[#Headers],[C3]],Database_Productkaarten[#All],14,FALSE),0)*Baseline!I105),0))</f>
        <v>0</v>
      </c>
      <c r="O103" s="265">
        <f>(IF(Baseline!C105="Bestaande Situatie",(_xlfn.IFNA(VLOOKUP(Referentie_MKI_Totaal[[#This Row],[Product]]&amp;", "&amp;Referentie_MKI_Totaal[[#Headers],[C4]],Database_Productkaarten[#All],14,FALSE),0)*Baseline!I105),0))</f>
        <v>0</v>
      </c>
      <c r="P103" s="265">
        <f>(IF(Baseline!C105="Bestaande Situatie",(_xlfn.IFNA(VLOOKUP(Referentie_MKI_Totaal[[#This Row],[Product]]&amp;", "&amp;Referentie_MKI_Totaal[[#Headers],[D1]],Database_Productkaarten[#All],14,FALSE),0)*Baseline!I105),0))</f>
        <v>0</v>
      </c>
      <c r="Q103" s="265">
        <f>(IF(Baseline!C105="Bestaande Situatie",_xlfn.IFNA(VLOOKUP(Referentie_MKI_Totaal[[#This Row],[Product]]&amp;", "&amp;Referentie_MKI_Totaal[[#Headers],[D2]],Database_Productkaarten[#All],14,FALSE),0)*Baseline!I105,0))</f>
        <v>0</v>
      </c>
      <c r="R103" s="265">
        <f>(IF(Baseline!C105="Bestaande Situatie",(_xlfn.IFNA(VLOOKUP(Referentie_MKI_Totaal[[#This Row],[Product]]&amp;", "&amp;Referentie_MKI_Totaal[[#Headers],[D]],Database_Productkaarten[#All],14,FALSE),0)*Baseline!I105),0))</f>
        <v>0</v>
      </c>
      <c r="S103" s="266">
        <f>SUM(Referentie_MKI_Totaal[[#This Row],[A1-A3]:[C4]])+Referentie_MKI_Totaal[[#This Row],[D]]</f>
        <v>0</v>
      </c>
      <c r="V103" s="331" t="e">
        <f>SUM(Referentie_MKI_Totaal[[#This Row],[A1-A3]]+Referentie_MKI_Totaal[[#This Row],[A4]]+Referentie_MKI_Totaal[[#This Row],[C2]]+Referentie_MKI_Totaal[[#This Row],[C3]]+Referentie_MKI_Totaal[[#This Row],[C4]]+Referentie_MKI_Totaal[[#This Row],[D]])*(VLOOKUP(Referentie_MKI_Totaal[[#This Row],[Product]]&amp;", "&amp;Referentie_MKI_Totaal[[#Headers],[A5]],Database_Productkaarten[#All],66,FALSE))</f>
        <v>#N/A</v>
      </c>
    </row>
    <row r="104" spans="2:22">
      <c r="B104" s="1" t="s">
        <v>90</v>
      </c>
      <c r="C104" s="1"/>
      <c r="D104" s="90">
        <f>SUBTOTAL(109,Referentie_MKI_Totaal[A1])</f>
        <v>11857.5633</v>
      </c>
      <c r="E104" s="90">
        <f>SUBTOTAL(109,Referentie_MKI_Totaal[A2])</f>
        <v>0</v>
      </c>
      <c r="F104" s="90">
        <f>SUBTOTAL(109,Referentie_MKI_Totaal[A3])</f>
        <v>0</v>
      </c>
      <c r="G104" s="90">
        <f>SUBTOTAL(109,Referentie_MKI_Totaal[A1-A3])</f>
        <v>71139.94975</v>
      </c>
      <c r="H104" s="90">
        <f>SUBTOTAL(109,Referentie_MKI_Totaal[A4])</f>
        <v>5614.0799392869967</v>
      </c>
      <c r="I104" s="90">
        <f>SUBTOTAL(109,Referentie_MKI_Totaal[A5])</f>
        <v>24369.94909991193</v>
      </c>
      <c r="J104" s="90">
        <f>SUBTOTAL(109,Referentie_MKI_Totaal[B1])</f>
        <v>0</v>
      </c>
      <c r="K104" s="90">
        <f>SUBTOTAL(109,Referentie_MKI_Totaal[B4])</f>
        <v>0</v>
      </c>
      <c r="L104" s="90">
        <f>SUBTOTAL(109,Referentie_MKI_Totaal[C1])</f>
        <v>6661.7814402061194</v>
      </c>
      <c r="M104" s="90">
        <f>SUBTOTAL(109,Referentie_MKI_Totaal[C2])</f>
        <v>5961.5821132961337</v>
      </c>
      <c r="N104" s="90">
        <f>SUBTOTAL(109,Referentie_MKI_Totaal[C3])</f>
        <v>1809.0630398004366</v>
      </c>
      <c r="O104" s="90">
        <f>SUBTOTAL(109,Referentie_MKI_Totaal[C4])</f>
        <v>1127.5805425600001</v>
      </c>
      <c r="P104" s="90">
        <f>SUBTOTAL(109,Referentie_MKI_Totaal[D1])</f>
        <v>-21780.565500000001</v>
      </c>
      <c r="Q104" s="90">
        <f>SUBTOTAL(109,Referentie_MKI_Totaal[D2])</f>
        <v>0</v>
      </c>
      <c r="R104" s="90">
        <f>SUBTOTAL(109,Referentie_MKI_Totaal[D])</f>
        <v>-34937.049543125657</v>
      </c>
      <c r="S104" s="146">
        <f>SUBTOTAL(109,Referentie_MKI_Totaal[Totaal])</f>
        <v>81746.936381935957</v>
      </c>
    </row>
    <row r="105" spans="2:22">
      <c r="B105" s="13"/>
      <c r="C105" s="13"/>
      <c r="D105" s="125"/>
      <c r="E105" s="125"/>
      <c r="F105" s="125"/>
      <c r="G105" s="125"/>
      <c r="H105" s="125"/>
      <c r="I105" s="125"/>
      <c r="J105" s="125"/>
      <c r="K105" s="125"/>
      <c r="L105" s="125"/>
      <c r="M105" s="125"/>
      <c r="N105" s="125"/>
      <c r="O105" s="125"/>
      <c r="P105" s="125"/>
    </row>
    <row r="107" spans="2:22" ht="18">
      <c r="B107" s="110" t="s">
        <v>106</v>
      </c>
      <c r="C107" s="110"/>
      <c r="D107" s="110"/>
      <c r="E107" s="13"/>
      <c r="F107" s="13"/>
      <c r="G107" s="13"/>
      <c r="H107" s="13"/>
      <c r="I107" s="13"/>
      <c r="J107" s="13"/>
      <c r="K107" s="13"/>
      <c r="L107" s="13"/>
      <c r="M107" s="13"/>
      <c r="N107" s="13"/>
      <c r="O107" s="13"/>
      <c r="P107" s="13"/>
    </row>
    <row r="108" spans="2:22">
      <c r="B108" s="1" t="s">
        <v>214</v>
      </c>
      <c r="C108" s="1" t="s">
        <v>7</v>
      </c>
      <c r="D108" s="18" t="s">
        <v>74</v>
      </c>
      <c r="E108" s="19" t="s">
        <v>75</v>
      </c>
      <c r="F108" s="20" t="s">
        <v>76</v>
      </c>
      <c r="G108" s="18" t="s">
        <v>77</v>
      </c>
      <c r="H108" s="21" t="s">
        <v>78</v>
      </c>
      <c r="I108" s="22" t="s">
        <v>79</v>
      </c>
      <c r="J108" s="23" t="s">
        <v>80</v>
      </c>
      <c r="K108" s="24" t="s">
        <v>82</v>
      </c>
      <c r="L108" s="25" t="s">
        <v>83</v>
      </c>
      <c r="M108" s="26" t="s">
        <v>84</v>
      </c>
      <c r="N108" s="27" t="s">
        <v>85</v>
      </c>
      <c r="O108" s="28" t="s">
        <v>86</v>
      </c>
      <c r="P108" s="29" t="s">
        <v>87</v>
      </c>
      <c r="Q108" s="30" t="s">
        <v>88</v>
      </c>
      <c r="R108" s="29" t="s">
        <v>89</v>
      </c>
      <c r="S108" s="143" t="s">
        <v>90</v>
      </c>
    </row>
    <row r="109" spans="2:22">
      <c r="B109" s="208" t="str">
        <f>Baseline!B6</f>
        <v xml:space="preserve">121110 - Opbreken trottoirband </v>
      </c>
      <c r="C109" s="1" t="str">
        <f>Baseline!F6</f>
        <v>Trottoirband 130/150x250</v>
      </c>
      <c r="D109" s="56">
        <f>(IF(Baseline!C6="Nieuwe Situatie",(_xlfn.IFNA(VLOOKUP(Referentie_CO2_Totaal[[#This Row],[Product]]&amp;", "&amp;Referentie_CO2_Totaal[[#Headers],[A1]],Database_Productkaarten[#All],18,FALSE),0)*Baseline!I6),0))</f>
        <v>0</v>
      </c>
      <c r="E109" s="56">
        <f>(IF(Baseline!C6="Nieuwe Situatie",(_xlfn.IFNA(VLOOKUP(Referentie_CO2_Totaal[[#This Row],[Product]]&amp;", "&amp;Referentie_CO2_Totaal[[#Headers],[A2]],Database_Productkaarten[#All],18,FALSE),0)*Baseline!I6),0))</f>
        <v>0</v>
      </c>
      <c r="F109" s="56">
        <f>(IF(Baseline!C6="Nieuwe Situatie",(_xlfn.IFNA(VLOOKUP(Referentie_CO2_Totaal[[#This Row],[Product]]&amp;", "&amp;Referentie_CO2_Totaal[[#Headers],[A3]],Database_Productkaarten[#All],18,FALSE),0)*Baseline!I6),0))</f>
        <v>0</v>
      </c>
      <c r="G109" s="56">
        <f>(IF(Baseline!C6="Nieuwe Situatie",(_xlfn.IFNA(VLOOKUP(Referentie_CO2_Totaal[[#This Row],[Product]]&amp;", "&amp;Referentie_CO2_Totaal[[#Headers],[A1-A3]],Database_Productkaarten[#All],18,FALSE),0)*Baseline!I6),0))</f>
        <v>0</v>
      </c>
      <c r="H109" s="56">
        <f>IF(Baseline!T6=0,(IF(Baseline!C6="Nieuwe Situatie",(_xlfn.IFNA(VLOOKUP(Referentie_CO2_Totaal[[#This Row],[Product]]&amp;", "&amp;Referentie_CO2_Totaal[[#Headers],[A4]],Database_Productkaarten[#All],18,FALSE),0)*Baseline!I6),0)),IF(Baseline!C6="Nieuwe Situatie",_xlfn.IFNA(VLOOKUP(Baseline!T6,Database_Transport[#All],12,FALSE)*(Baseline!Q6*Baseline!S6),Baseline_Backlog!H109),0))</f>
        <v>0</v>
      </c>
      <c r="I109" s="56">
        <f>IF(Baseline!C6="Nieuwe situatie",IF(_xlfn.IFNA((VLOOKUP(Baseline!U6,Database_Asfalt_Aanlegset[#All],12,FALSE)*Baseline!I6),0)+_xlfn.IFNA(VLOOKUP(Baseline!V6,Database_Brandstoffen[#All],12,FALSE)*((Baseline!I6/Baseline!X6)*Baseline!W6),0)&gt;0,_xlfn.IFNA((VLOOKUP(Baseline!U6,Database_Asfalt_Aanlegset[#All],12,FALSE)*Baseline!I6),0)+_xlfn.IFNA(VLOOKUP(Baseline!V6,Database_Brandstoffen[#All],12,FALSE)*((Baseline!I6/Baseline!X6)*Baseline!W6),0),(_xlfn.IFNA(VLOOKUP(Referentie_CO2_Totaal[[#This Row],[Product]]&amp;", "&amp;Referentie_MKI_Totaal[[#Headers],[A5]],Database_Productkaarten[#All],18,FALSE),0)*Baseline!I6)),0)</f>
        <v>0</v>
      </c>
      <c r="J109" s="56">
        <f>(IF(Baseline!C6="Nieuwe Situatie",(_xlfn.IFNA(VLOOKUP(Referentie_CO2_Totaal[[#This Row],[Product]]&amp;", "&amp;Referentie_CO2_Totaal[[#Headers],[B1]],Database_Productkaarten[#All],18,FALSE),0)*Baseline!I6),0))</f>
        <v>0</v>
      </c>
      <c r="K109" s="56">
        <f>(IF(Baseline!C6="Nieuwe Situatie",(SUM(Referentie_CO2_Totaal[[#This Row],[A1]:[B1]],Referentie_CO2_Totaal[[#This Row],[C1]:[D2]])*Baseline!R6),0))</f>
        <v>0</v>
      </c>
      <c r="L109" s="56">
        <f>IF(Baseline!C6="Bestaande situatie",IF(_xlfn.IFNA((VLOOKUP(Baseline!Y6,Database_Asfalt_Verwijderset[#All],12,FALSE)*Baseline!I6),0)+_xlfn.IFNA(VLOOKUP(Baseline!Z6,Database_Brandstoffen[#All],12,FALSE)*((Baseline!I6/Baseline!AB6)*Baseline!AA6),0)&gt;0,_xlfn.IFNA((VLOOKUP(Baseline!Y6,Database_Asfalt_Verwijderset[#All],12,FALSE)*Baseline!I6),0)+_xlfn.IFNA(VLOOKUP(Baseline!Z6,Database_Brandstoffen[#All],12,FALSE)*((Baseline!I6/Baseline!AB6)*Baseline!AA6),0),(_xlfn.IFNA(VLOOKUP(Referentie_CO2_Totaal[[#This Row],[Product]]&amp;", "&amp;Referentie_MKI_Totaal[[#Headers],[C1]],Database_Productkaarten[#All],18,FALSE),0)*Baseline!I6)),0)</f>
        <v>3514.075206424513</v>
      </c>
      <c r="M109" s="56">
        <f>IF(Baseline!AD6=0,(IF(Baseline!C6="Bestaande Situatie",(_xlfn.IFNA(VLOOKUP(Referentie_CO2_Totaal[[#This Row],[Product]]&amp;", "&amp;Referentie_MKI_Totaal[[#Headers],[C2]],Database_Productkaarten[#All],18,FALSE),0)*Baseline!I6),0)),(IF(Baseline!C6="Bestaande Situatie",_xlfn.IFNA(VLOOKUP(Baseline!AD6,Database_Transport[#All],12,FALSE)*(Baseline!Q6*Baseline!AC6),0))))</f>
        <v>481.49156249375994</v>
      </c>
      <c r="N109" s="56">
        <f>(IF(Baseline!C6="Bestaande Situatie",(_xlfn.IFNA(VLOOKUP(Referentie_CO2_Totaal[[#This Row],[Product]]&amp;", "&amp;Referentie_CO2_Totaal[[#Headers],[C3]],Database_Productkaarten[#All],18,FALSE),0)*Baseline!I6),0))</f>
        <v>429.57209750000004</v>
      </c>
      <c r="O109" s="56">
        <f>(IF(Baseline!C6="Bestaande Situatie",(_xlfn.IFNA(VLOOKUP(Referentie_CO2_Totaal[[#This Row],[Product]]&amp;", "&amp;Referentie_CO2_Totaal[[#Headers],[C4]],Database_Productkaarten[#All],18,FALSE),0)*Baseline!I6),0))</f>
        <v>14.530564321000002</v>
      </c>
      <c r="P109" s="56">
        <f>(IF(Baseline!C6="Bestaande Situatie",(_xlfn.IFNA(VLOOKUP(Referentie_CO2_Totaal[[#This Row],[Product]]&amp;", "&amp;Referentie_CO2_Totaal[[#Headers],[D1]],Database_Productkaarten[#All],18,FALSE),0)*Baseline!I6),0))</f>
        <v>0</v>
      </c>
      <c r="Q109" s="57">
        <f>(IF(Baseline!C6="Bestaande Situatie",_xlfn.IFNA(VLOOKUP(Referentie_CO2_Totaal[[#This Row],[Product]]&amp;", "&amp;Referentie_CO2_Totaal[[#Headers],[D2]],Database_Productkaarten[#All],18,FALSE),0)*Baseline!I6,0))</f>
        <v>0</v>
      </c>
      <c r="R109" s="57">
        <f>(IF(Baseline!C6="Bestaande Situatie",(_xlfn.IFNA(VLOOKUP(Referentie_CO2_Totaal[[#This Row],[Product]]&amp;", "&amp;Referentie_CO2_Totaal[[#Headers],[D]],Database_Productkaarten[#All],18,FALSE),0)*Baseline!I6),0))</f>
        <v>-1081.07050415</v>
      </c>
      <c r="S109" s="56">
        <f>SUM(Referentie_CO2_Totaal[[#This Row],[A1-A3]:[C4]])+Referentie_CO2_Totaal[[#This Row],[D]]</f>
        <v>3358.5989265892736</v>
      </c>
      <c r="V109" s="331"/>
    </row>
    <row r="110" spans="2:22">
      <c r="B110" s="208" t="str">
        <f>Baseline!B7</f>
        <v>121120 - Opbreken RWS band</v>
      </c>
      <c r="C110" s="1" t="str">
        <f>Baseline!F7</f>
        <v>RWSband 115/225x250</v>
      </c>
      <c r="D110" s="56">
        <f>(IF(Baseline!C7="Nieuwe Situatie",(_xlfn.IFNA(VLOOKUP(Referentie_CO2_Totaal[[#This Row],[Product]]&amp;", "&amp;Referentie_CO2_Totaal[[#Headers],[A1]],Database_Productkaarten[#All],18,FALSE),0)*Baseline!I7),0))</f>
        <v>0</v>
      </c>
      <c r="E110" s="56">
        <f>(IF(Baseline!C7="Nieuwe Situatie",(_xlfn.IFNA(VLOOKUP(Referentie_CO2_Totaal[[#This Row],[Product]]&amp;", "&amp;Referentie_CO2_Totaal[[#Headers],[A2]],Database_Productkaarten[#All],18,FALSE),0)*Baseline!I7),0))</f>
        <v>0</v>
      </c>
      <c r="F110" s="56">
        <f>(IF(Baseline!C7="Nieuwe Situatie",(_xlfn.IFNA(VLOOKUP(Referentie_CO2_Totaal[[#This Row],[Product]]&amp;", "&amp;Referentie_CO2_Totaal[[#Headers],[A3]],Database_Productkaarten[#All],18,FALSE),0)*Baseline!I7),0))</f>
        <v>0</v>
      </c>
      <c r="G110" s="56">
        <f>(IF(Baseline!C7="Nieuwe Situatie",(_xlfn.IFNA(VLOOKUP(Referentie_CO2_Totaal[[#This Row],[Product]]&amp;", "&amp;Referentie_CO2_Totaal[[#Headers],[A1-A3]],Database_Productkaarten[#All],18,FALSE),0)*Baseline!I7),0))</f>
        <v>0</v>
      </c>
      <c r="H110" s="56">
        <f>IF(Baseline!T7=0,(IF(Baseline!C7="Nieuwe Situatie",(_xlfn.IFNA(VLOOKUP(Referentie_CO2_Totaal[[#This Row],[Product]]&amp;", "&amp;Referentie_CO2_Totaal[[#Headers],[A4]],Database_Productkaarten[#All],18,FALSE),0)*Baseline!I7),0)),IF(Baseline!C7="Nieuwe Situatie",_xlfn.IFNA(VLOOKUP(Baseline!T7,Database_Transport[#All],12,FALSE)*(Baseline!Q7*Baseline!S7),Baseline_Backlog!H110),0))</f>
        <v>0</v>
      </c>
      <c r="I110" s="56">
        <f>IF(Baseline!C7="Nieuwe situatie",IF(_xlfn.IFNA((VLOOKUP(Baseline!U7,Database_Asfalt_Aanlegset[#All],12,FALSE)*Baseline!I7),0)+_xlfn.IFNA(VLOOKUP(Baseline!V7,Database_Brandstoffen[#All],12,FALSE)*((Baseline!I7/Baseline!X7)*Baseline!W7),0)&gt;0,_xlfn.IFNA((VLOOKUP(Baseline!U7,Database_Asfalt_Aanlegset[#All],12,FALSE)*Baseline!I7),0)+_xlfn.IFNA(VLOOKUP(Baseline!V7,Database_Brandstoffen[#All],12,FALSE)*((Baseline!I7/Baseline!X7)*Baseline!W7),0),(_xlfn.IFNA(VLOOKUP(Referentie_CO2_Totaal[[#This Row],[Product]]&amp;", "&amp;Referentie_MKI_Totaal[[#Headers],[A5]],Database_Productkaarten[#All],18,FALSE),0)*Baseline!I7)),0)</f>
        <v>0</v>
      </c>
      <c r="J110" s="56">
        <f>(IF(Baseline!C7="Nieuwe Situatie",(_xlfn.IFNA(VLOOKUP(Referentie_CO2_Totaal[[#This Row],[Product]]&amp;", "&amp;Referentie_CO2_Totaal[[#Headers],[B1]],Database_Productkaarten[#All],18,FALSE),0)*Baseline!I7),0))</f>
        <v>0</v>
      </c>
      <c r="K110" s="56">
        <f>(IF(Baseline!C7="Nieuwe Situatie",(SUM(Referentie_CO2_Totaal[[#This Row],[A1]:[B1]],Referentie_CO2_Totaal[[#This Row],[C1]:[D2]])*Baseline!R7),0))</f>
        <v>0</v>
      </c>
      <c r="L110" s="56">
        <f>IF(Baseline!C7="Bestaande situatie",IF(_xlfn.IFNA((VLOOKUP(Baseline!Y7,Database_Asfalt_Verwijderset[#All],12,FALSE)*Baseline!I7),0)+_xlfn.IFNA(VLOOKUP(Baseline!Z7,Database_Brandstoffen[#All],12,FALSE)*((Baseline!I7/Baseline!AB7)*Baseline!AA7),0)&gt;0,_xlfn.IFNA((VLOOKUP(Baseline!Y7,Database_Asfalt_Verwijderset[#All],12,FALSE)*Baseline!I7),0)+_xlfn.IFNA(VLOOKUP(Baseline!Z7,Database_Brandstoffen[#All],12,FALSE)*((Baseline!I7/Baseline!AB7)*Baseline!AA7),0),(_xlfn.IFNA(VLOOKUP(Referentie_CO2_Totaal[[#This Row],[Product]]&amp;", "&amp;Referentie_MKI_Totaal[[#Headers],[C1]],Database_Productkaarten[#All],18,FALSE),0)*Baseline!I7)),0)</f>
        <v>369.61230585626743</v>
      </c>
      <c r="M110" s="56">
        <f>IF(Baseline!AD7=0,(IF(Baseline!C7="Bestaande Situatie",(_xlfn.IFNA(VLOOKUP(Referentie_CO2_Totaal[[#This Row],[Product]]&amp;", "&amp;Referentie_MKI_Totaal[[#Headers],[C2]],Database_Productkaarten[#All],18,FALSE),0)*Baseline!I7),0)),(IF(Baseline!C7="Bestaande Situatie",_xlfn.IFNA(VLOOKUP(Baseline!AD7,Database_Transport[#All],12,FALSE)*(Baseline!Q7*Baseline!AC7),0))))</f>
        <v>75.875196250559995</v>
      </c>
      <c r="N110" s="56">
        <f>(IF(Baseline!C7="Bestaande Situatie",(_xlfn.IFNA(VLOOKUP(Referentie_CO2_Totaal[[#This Row],[Product]]&amp;", "&amp;Referentie_CO2_Totaal[[#Headers],[C3]],Database_Productkaarten[#All],18,FALSE),0)*Baseline!I7),0))</f>
        <v>66.345440150000002</v>
      </c>
      <c r="O110" s="56">
        <f>(IF(Baseline!C7="Bestaande Situatie",(_xlfn.IFNA(VLOOKUP(Referentie_CO2_Totaal[[#This Row],[Product]]&amp;", "&amp;Referentie_CO2_Totaal[[#Headers],[C4]],Database_Productkaarten[#All],18,FALSE),0)*Baseline!I7),0))</f>
        <v>2.2441791369999997</v>
      </c>
      <c r="P110" s="56">
        <f>(IF(Baseline!C7="Bestaande Situatie",(_xlfn.IFNA(VLOOKUP(Referentie_CO2_Totaal[[#This Row],[Product]]&amp;", "&amp;Referentie_CO2_Totaal[[#Headers],[D1]],Database_Productkaarten[#All],18,FALSE),0)*Baseline!I7),0))</f>
        <v>0</v>
      </c>
      <c r="Q110" s="57">
        <f>(IF(Baseline!C7="Bestaande Situatie",_xlfn.IFNA(VLOOKUP(Referentie_CO2_Totaal[[#This Row],[Product]]&amp;", "&amp;Referentie_CO2_Totaal[[#Headers],[D2]],Database_Productkaarten[#All],18,FALSE),0)*Baseline!I7,0))</f>
        <v>0</v>
      </c>
      <c r="R110" s="57">
        <f>(IF(Baseline!C7="Bestaande Situatie",(_xlfn.IFNA(VLOOKUP(Referentie_CO2_Totaal[[#This Row],[Product]]&amp;", "&amp;Referentie_CO2_Totaal[[#Headers],[D]],Database_Productkaarten[#All],18,FALSE),0)*Baseline!I7),0))</f>
        <v>-166.54264705</v>
      </c>
      <c r="S110" s="56">
        <f>SUM(Referentie_CO2_Totaal[[#This Row],[A1-A3]:[C4]])+Referentie_CO2_Totaal[[#This Row],[D]]</f>
        <v>347.53447434382736</v>
      </c>
    </row>
    <row r="111" spans="2:22">
      <c r="B111" s="208" t="str">
        <f>Baseline!B8</f>
        <v>121140 - Opbreken Opsluitband</v>
      </c>
      <c r="C111" s="1" t="str">
        <f>Baseline!F8</f>
        <v>Opsluitband 100x200</v>
      </c>
      <c r="D111" s="56">
        <f>(IF(Baseline!C8="Nieuwe Situatie",(_xlfn.IFNA(VLOOKUP(Referentie_CO2_Totaal[[#This Row],[Product]]&amp;", "&amp;Referentie_CO2_Totaal[[#Headers],[A1]],Database_Productkaarten[#All],18,FALSE),0)*Baseline!I8),0))</f>
        <v>0</v>
      </c>
      <c r="E111" s="56">
        <f>(IF(Baseline!C8="Nieuwe Situatie",(_xlfn.IFNA(VLOOKUP(Referentie_CO2_Totaal[[#This Row],[Product]]&amp;", "&amp;Referentie_CO2_Totaal[[#Headers],[A2]],Database_Productkaarten[#All],18,FALSE),0)*Baseline!I8),0))</f>
        <v>0</v>
      </c>
      <c r="F111" s="56">
        <f>(IF(Baseline!C8="Nieuwe Situatie",(_xlfn.IFNA(VLOOKUP(Referentie_CO2_Totaal[[#This Row],[Product]]&amp;", "&amp;Referentie_CO2_Totaal[[#Headers],[A3]],Database_Productkaarten[#All],18,FALSE),0)*Baseline!I8),0))</f>
        <v>0</v>
      </c>
      <c r="G111" s="56">
        <f>(IF(Baseline!C8="Nieuwe Situatie",(_xlfn.IFNA(VLOOKUP(Referentie_CO2_Totaal[[#This Row],[Product]]&amp;", "&amp;Referentie_CO2_Totaal[[#Headers],[A1-A3]],Database_Productkaarten[#All],18,FALSE),0)*Baseline!I8),0))</f>
        <v>0</v>
      </c>
      <c r="H111" s="56">
        <f>IF(Baseline!T8=0,(IF(Baseline!C8="Nieuwe Situatie",(_xlfn.IFNA(VLOOKUP(Referentie_CO2_Totaal[[#This Row],[Product]]&amp;", "&amp;Referentie_CO2_Totaal[[#Headers],[A4]],Database_Productkaarten[#All],18,FALSE),0)*Baseline!I8),0)),IF(Baseline!C8="Nieuwe Situatie",_xlfn.IFNA(VLOOKUP(Baseline!T8,Database_Transport[#All],12,FALSE)*(Baseline!Q8*Baseline!S8),Baseline_Backlog!H111),0))</f>
        <v>0</v>
      </c>
      <c r="I111" s="56">
        <f>IF(Baseline!C8="Nieuwe situatie",IF(_xlfn.IFNA((VLOOKUP(Baseline!U8,Database_Asfalt_Aanlegset[#All],12,FALSE)*Baseline!I8),0)+_xlfn.IFNA(VLOOKUP(Baseline!V8,Database_Brandstoffen[#All],12,FALSE)*((Baseline!I8/Baseline!X8)*Baseline!W8),0)&gt;0,_xlfn.IFNA((VLOOKUP(Baseline!U8,Database_Asfalt_Aanlegset[#All],12,FALSE)*Baseline!I8),0)+_xlfn.IFNA(VLOOKUP(Baseline!V8,Database_Brandstoffen[#All],12,FALSE)*((Baseline!I8/Baseline!X8)*Baseline!W8),0),(_xlfn.IFNA(VLOOKUP(Referentie_CO2_Totaal[[#This Row],[Product]]&amp;", "&amp;Referentie_MKI_Totaal[[#Headers],[A5]],Database_Productkaarten[#All],18,FALSE),0)*Baseline!I8)),0)</f>
        <v>0</v>
      </c>
      <c r="J111" s="56">
        <f>(IF(Baseline!C8="Nieuwe Situatie",(_xlfn.IFNA(VLOOKUP(Referentie_CO2_Totaal[[#This Row],[Product]]&amp;", "&amp;Referentie_CO2_Totaal[[#Headers],[B1]],Database_Productkaarten[#All],18,FALSE),0)*Baseline!I8),0))</f>
        <v>0</v>
      </c>
      <c r="K111" s="56">
        <f>(IF(Baseline!C8="Nieuwe Situatie",(SUM(Referentie_CO2_Totaal[[#This Row],[A1]:[B1]],Referentie_CO2_Totaal[[#This Row],[C1]:[D2]])*Baseline!R8),0))</f>
        <v>0</v>
      </c>
      <c r="L111" s="56">
        <f>IF(Baseline!C8="Bestaande situatie",IF(_xlfn.IFNA((VLOOKUP(Baseline!Y8,Database_Asfalt_Verwijderset[#All],12,FALSE)*Baseline!I8),0)+_xlfn.IFNA(VLOOKUP(Baseline!Z8,Database_Brandstoffen[#All],12,FALSE)*((Baseline!I8/Baseline!AB8)*Baseline!AA8),0)&gt;0,_xlfn.IFNA((VLOOKUP(Baseline!Y8,Database_Asfalt_Verwijderset[#All],12,FALSE)*Baseline!I8),0)+_xlfn.IFNA(VLOOKUP(Baseline!Z8,Database_Brandstoffen[#All],12,FALSE)*((Baseline!I8/Baseline!AB8)*Baseline!AA8),0),(_xlfn.IFNA(VLOOKUP(Referentie_CO2_Totaal[[#This Row],[Product]]&amp;", "&amp;Referentie_MKI_Totaal[[#Headers],[C1]],Database_Productkaarten[#All],18,FALSE),0)*Baseline!I8)),0)</f>
        <v>1279.8515665470752</v>
      </c>
      <c r="M111" s="56">
        <f>IF(Baseline!AD8=0,(IF(Baseline!C8="Bestaande Situatie",(_xlfn.IFNA(VLOOKUP(Referentie_CO2_Totaal[[#This Row],[Product]]&amp;", "&amp;Referentie_MKI_Totaal[[#Headers],[C2]],Database_Productkaarten[#All],18,FALSE),0)*Baseline!I8),0)),(IF(Baseline!C8="Bestaande Situatie",_xlfn.IFNA(VLOOKUP(Baseline!AD8,Database_Transport[#All],12,FALSE)*(Baseline!Q8*Baseline!AC8),0))))</f>
        <v>94.650095321599991</v>
      </c>
      <c r="N111" s="56">
        <f>(IF(Baseline!C8="Bestaande Situatie",(_xlfn.IFNA(VLOOKUP(Referentie_CO2_Totaal[[#This Row],[Product]]&amp;", "&amp;Referentie_CO2_Totaal[[#Headers],[C3]],Database_Productkaarten[#All],18,FALSE),0)*Baseline!I8),0))</f>
        <v>82.257039559999996</v>
      </c>
      <c r="O111" s="56">
        <f>(IF(Baseline!C8="Bestaande Situatie",(_xlfn.IFNA(VLOOKUP(Referentie_CO2_Totaal[[#This Row],[Product]]&amp;", "&amp;Referentie_CO2_Totaal[[#Headers],[C4]],Database_Productkaarten[#All],18,FALSE),0)*Baseline!I8),0))</f>
        <v>2.7823996639999997</v>
      </c>
      <c r="P111" s="56">
        <f>(IF(Baseline!C8="Bestaande Situatie",(_xlfn.IFNA(VLOOKUP(Referentie_CO2_Totaal[[#This Row],[Product]]&amp;", "&amp;Referentie_CO2_Totaal[[#Headers],[D1]],Database_Productkaarten[#All],18,FALSE),0)*Baseline!I8),0))</f>
        <v>0</v>
      </c>
      <c r="Q111" s="57">
        <f>(IF(Baseline!C8="Bestaande Situatie",_xlfn.IFNA(VLOOKUP(Referentie_CO2_Totaal[[#This Row],[Product]]&amp;", "&amp;Referentie_CO2_Totaal[[#Headers],[D2]],Database_Productkaarten[#All],18,FALSE),0)*Baseline!I8,0))</f>
        <v>0</v>
      </c>
      <c r="R111" s="57">
        <f>(IF(Baseline!C8="Bestaande Situatie",(_xlfn.IFNA(VLOOKUP(Referentie_CO2_Totaal[[#This Row],[Product]]&amp;", "&amp;Referentie_CO2_Totaal[[#Headers],[D]],Database_Productkaarten[#All],18,FALSE),0)*Baseline!I8),0))</f>
        <v>-206.7196328</v>
      </c>
      <c r="S111" s="56">
        <f>SUM(Referentie_CO2_Totaal[[#This Row],[A1-A3]:[C4]])+Referentie_CO2_Totaal[[#This Row],[D]]</f>
        <v>1252.8214682926753</v>
      </c>
    </row>
    <row r="112" spans="2:22">
      <c r="B112" s="208" t="str">
        <f>Baseline!B9</f>
        <v>121310 - Opbreken betonstraatstenen</v>
      </c>
      <c r="C112" s="1" t="str">
        <f>Baseline!F9</f>
        <v>Betonstraatsteen 210x105x80</v>
      </c>
      <c r="D112" s="56">
        <f>(IF(Baseline!C9="Nieuwe Situatie",(_xlfn.IFNA(VLOOKUP(Referentie_CO2_Totaal[[#This Row],[Product]]&amp;", "&amp;Referentie_CO2_Totaal[[#Headers],[A1]],Database_Productkaarten[#All],18,FALSE),0)*Baseline!I9),0))</f>
        <v>0</v>
      </c>
      <c r="E112" s="56">
        <f>(IF(Baseline!C9="Nieuwe Situatie",(_xlfn.IFNA(VLOOKUP(Referentie_CO2_Totaal[[#This Row],[Product]]&amp;", "&amp;Referentie_CO2_Totaal[[#Headers],[A2]],Database_Productkaarten[#All],18,FALSE),0)*Baseline!I9),0))</f>
        <v>0</v>
      </c>
      <c r="F112" s="56">
        <f>(IF(Baseline!C9="Nieuwe Situatie",(_xlfn.IFNA(VLOOKUP(Referentie_CO2_Totaal[[#This Row],[Product]]&amp;", "&amp;Referentie_CO2_Totaal[[#Headers],[A3]],Database_Productkaarten[#All],18,FALSE),0)*Baseline!I9),0))</f>
        <v>0</v>
      </c>
      <c r="G112" s="56">
        <f>(IF(Baseline!C9="Nieuwe Situatie",(_xlfn.IFNA(VLOOKUP(Referentie_CO2_Totaal[[#This Row],[Product]]&amp;", "&amp;Referentie_CO2_Totaal[[#Headers],[A1-A3]],Database_Productkaarten[#All],18,FALSE),0)*Baseline!I9),0))</f>
        <v>0</v>
      </c>
      <c r="H112" s="56">
        <f>IF(Baseline!T9=0,(IF(Baseline!C9="Nieuwe Situatie",(_xlfn.IFNA(VLOOKUP(Referentie_CO2_Totaal[[#This Row],[Product]]&amp;", "&amp;Referentie_CO2_Totaal[[#Headers],[A4]],Database_Productkaarten[#All],18,FALSE),0)*Baseline!I9),0)),IF(Baseline!C9="Nieuwe Situatie",_xlfn.IFNA(VLOOKUP(Baseline!T9,Database_Transport[#All],12,FALSE)*(Baseline!Q9*Baseline!S9),Baseline_Backlog!H112),0))</f>
        <v>0</v>
      </c>
      <c r="I112" s="56">
        <f>IF(Baseline!C9="Nieuwe situatie",IF(_xlfn.IFNA((VLOOKUP(Baseline!U9,Database_Asfalt_Aanlegset[#All],12,FALSE)*Baseline!I9),0)+_xlfn.IFNA(VLOOKUP(Baseline!V9,Database_Brandstoffen[#All],12,FALSE)*((Baseline!I9/Baseline!X9)*Baseline!W9),0)&gt;0,_xlfn.IFNA((VLOOKUP(Baseline!U9,Database_Asfalt_Aanlegset[#All],12,FALSE)*Baseline!I9),0)+_xlfn.IFNA(VLOOKUP(Baseline!V9,Database_Brandstoffen[#All],12,FALSE)*((Baseline!I9/Baseline!X9)*Baseline!W9),0),(_xlfn.IFNA(VLOOKUP(Referentie_CO2_Totaal[[#This Row],[Product]]&amp;", "&amp;Referentie_MKI_Totaal[[#Headers],[A5]],Database_Productkaarten[#All],18,FALSE),0)*Baseline!I9)),0)</f>
        <v>0</v>
      </c>
      <c r="J112" s="56">
        <f>(IF(Baseline!C9="Nieuwe Situatie",(_xlfn.IFNA(VLOOKUP(Referentie_CO2_Totaal[[#This Row],[Product]]&amp;", "&amp;Referentie_CO2_Totaal[[#Headers],[B1]],Database_Productkaarten[#All],18,FALSE),0)*Baseline!I9),0))</f>
        <v>0</v>
      </c>
      <c r="K112" s="56">
        <f>(IF(Baseline!C9="Nieuwe Situatie",(SUM(Referentie_CO2_Totaal[[#This Row],[A1]:[B1]],Referentie_CO2_Totaal[[#This Row],[C1]:[D2]])*Baseline!R9),0))</f>
        <v>0</v>
      </c>
      <c r="L112" s="56">
        <f>IF(Baseline!C9="Bestaande situatie",IF(_xlfn.IFNA((VLOOKUP(Baseline!Y9,Database_Asfalt_Verwijderset[#All],12,FALSE)*Baseline!I9),0)+_xlfn.IFNA(VLOOKUP(Baseline!Z9,Database_Brandstoffen[#All],12,FALSE)*((Baseline!I9/Baseline!AB9)*Baseline!AA9),0)&gt;0,_xlfn.IFNA((VLOOKUP(Baseline!Y9,Database_Asfalt_Verwijderset[#All],12,FALSE)*Baseline!I9),0)+_xlfn.IFNA(VLOOKUP(Baseline!Z9,Database_Brandstoffen[#All],12,FALSE)*((Baseline!I9/Baseline!AB9)*Baseline!AA9),0),(_xlfn.IFNA(VLOOKUP(Referentie_CO2_Totaal[[#This Row],[Product]]&amp;", "&amp;Referentie_MKI_Totaal[[#Headers],[C1]],Database_Productkaarten[#All],18,FALSE),0)*Baseline!I9)),0)</f>
        <v>1765.3125055821729</v>
      </c>
      <c r="M112" s="56">
        <f>IF(Baseline!AD9=0,(IF(Baseline!C9="Bestaande Situatie",(_xlfn.IFNA(VLOOKUP(Referentie_CO2_Totaal[[#This Row],[Product]]&amp;", "&amp;Referentie_MKI_Totaal[[#Headers],[C2]],Database_Productkaarten[#All],18,FALSE),0)*Baseline!I9),0)),(IF(Baseline!C9="Bestaande Situatie",_xlfn.IFNA(VLOOKUP(Baseline!AD9,Database_Transport[#All],12,FALSE)*(Baseline!Q9*Baseline!AC9),0))))</f>
        <v>515.32117073920006</v>
      </c>
      <c r="N112" s="56">
        <f>(IF(Baseline!C9="Bestaande Situatie",(_xlfn.IFNA(VLOOKUP(Referentie_CO2_Totaal[[#This Row],[Product]]&amp;", "&amp;Referentie_CO2_Totaal[[#Headers],[C3]],Database_Productkaarten[#All],18,FALSE),0)*Baseline!I9),0))</f>
        <v>453.83193599999998</v>
      </c>
      <c r="O112" s="56">
        <f>(IF(Baseline!C9="Bestaande Situatie",(_xlfn.IFNA(VLOOKUP(Referentie_CO2_Totaal[[#This Row],[Product]]&amp;", "&amp;Referentie_CO2_Totaal[[#Headers],[C4]],Database_Productkaarten[#All],18,FALSE),0)*Baseline!I9),0))</f>
        <v>15.35117056</v>
      </c>
      <c r="P112" s="56">
        <f>(IF(Baseline!C9="Bestaande Situatie",(_xlfn.IFNA(VLOOKUP(Referentie_CO2_Totaal[[#This Row],[Product]]&amp;", "&amp;Referentie_CO2_Totaal[[#Headers],[D1]],Database_Productkaarten[#All],18,FALSE),0)*Baseline!I9),0))</f>
        <v>0</v>
      </c>
      <c r="Q112" s="57">
        <f>(IF(Baseline!C9="Bestaande Situatie",_xlfn.IFNA(VLOOKUP(Referentie_CO2_Totaal[[#This Row],[Product]]&amp;", "&amp;Referentie_CO2_Totaal[[#Headers],[D2]],Database_Productkaarten[#All],18,FALSE),0)*Baseline!I9,0))</f>
        <v>0</v>
      </c>
      <c r="R112" s="57">
        <f>(IF(Baseline!C9="Bestaande Situatie",(_xlfn.IFNA(VLOOKUP(Referentie_CO2_Totaal[[#This Row],[Product]]&amp;", "&amp;Referentie_CO2_Totaal[[#Headers],[D]],Database_Productkaarten[#All],18,FALSE),0)*Baseline!I9),0))</f>
        <v>-1244.928784</v>
      </c>
      <c r="S112" s="56">
        <f>SUM(Referentie_CO2_Totaal[[#This Row],[A1-A3]:[C4]])+Referentie_CO2_Totaal[[#This Row],[D]]</f>
        <v>1504.8879988813731</v>
      </c>
    </row>
    <row r="113" spans="2:19">
      <c r="B113" s="208" t="str">
        <f>Baseline!B10</f>
        <v>121320 - Opbreken straatbakstenen en geschikt maken voor hergebruik</v>
      </c>
      <c r="C113" s="1" t="str">
        <f>Baseline!F10</f>
        <v>Gebakken klinker keiformaat</v>
      </c>
      <c r="D113" s="56">
        <f>(IF(Baseline!C10="Nieuwe Situatie",(_xlfn.IFNA(VLOOKUP(Referentie_CO2_Totaal[[#This Row],[Product]]&amp;", "&amp;Referentie_CO2_Totaal[[#Headers],[A1]],Database_Productkaarten[#All],18,FALSE),0)*Baseline!I10),0))</f>
        <v>0</v>
      </c>
      <c r="E113" s="56">
        <f>(IF(Baseline!C10="Nieuwe Situatie",(_xlfn.IFNA(VLOOKUP(Referentie_CO2_Totaal[[#This Row],[Product]]&amp;", "&amp;Referentie_CO2_Totaal[[#Headers],[A2]],Database_Productkaarten[#All],18,FALSE),0)*Baseline!I10),0))</f>
        <v>0</v>
      </c>
      <c r="F113" s="56">
        <f>(IF(Baseline!C10="Nieuwe Situatie",(_xlfn.IFNA(VLOOKUP(Referentie_CO2_Totaal[[#This Row],[Product]]&amp;", "&amp;Referentie_CO2_Totaal[[#Headers],[A3]],Database_Productkaarten[#All],18,FALSE),0)*Baseline!I10),0))</f>
        <v>0</v>
      </c>
      <c r="G113" s="56">
        <f>(IF(Baseline!C10="Nieuwe Situatie",(_xlfn.IFNA(VLOOKUP(Referentie_CO2_Totaal[[#This Row],[Product]]&amp;", "&amp;Referentie_CO2_Totaal[[#Headers],[A1-A3]],Database_Productkaarten[#All],18,FALSE),0)*Baseline!I10),0))</f>
        <v>0</v>
      </c>
      <c r="H113" s="56">
        <f>IF(Baseline!T10=0,(IF(Baseline!C10="Nieuwe Situatie",(_xlfn.IFNA(VLOOKUP(Referentie_CO2_Totaal[[#This Row],[Product]]&amp;", "&amp;Referentie_CO2_Totaal[[#Headers],[A4]],Database_Productkaarten[#All],18,FALSE),0)*Baseline!I10),0)),IF(Baseline!C10="Nieuwe Situatie",_xlfn.IFNA(VLOOKUP(Baseline!T10,Database_Transport[#All],12,FALSE)*(Baseline!Q10*Baseline!S10),Baseline_Backlog!H113),0))</f>
        <v>0</v>
      </c>
      <c r="I113" s="56">
        <f>IF(Baseline!C10="Nieuwe situatie",IF(_xlfn.IFNA((VLOOKUP(Baseline!U10,Database_Asfalt_Aanlegset[#All],12,FALSE)*Baseline!I10),0)+_xlfn.IFNA(VLOOKUP(Baseline!V10,Database_Brandstoffen[#All],12,FALSE)*((Baseline!I10/Baseline!X10)*Baseline!W10),0)&gt;0,_xlfn.IFNA((VLOOKUP(Baseline!U10,Database_Asfalt_Aanlegset[#All],12,FALSE)*Baseline!I10),0)+_xlfn.IFNA(VLOOKUP(Baseline!V10,Database_Brandstoffen[#All],12,FALSE)*((Baseline!I10/Baseline!X10)*Baseline!W10),0),(_xlfn.IFNA(VLOOKUP(Referentie_CO2_Totaal[[#This Row],[Product]]&amp;", "&amp;Referentie_MKI_Totaal[[#Headers],[A5]],Database_Productkaarten[#All],18,FALSE),0)*Baseline!I10)),0)</f>
        <v>0</v>
      </c>
      <c r="J113" s="56">
        <f>(IF(Baseline!C10="Nieuwe Situatie",(_xlfn.IFNA(VLOOKUP(Referentie_CO2_Totaal[[#This Row],[Product]]&amp;", "&amp;Referentie_CO2_Totaal[[#Headers],[B1]],Database_Productkaarten[#All],18,FALSE),0)*Baseline!I10),0))</f>
        <v>0</v>
      </c>
      <c r="K113" s="56">
        <f>(IF(Baseline!C10="Nieuwe Situatie",(SUM(Referentie_CO2_Totaal[[#This Row],[A1]:[B1]],Referentie_CO2_Totaal[[#This Row],[C1]:[D2]])*Baseline!R10),0))</f>
        <v>0</v>
      </c>
      <c r="L113" s="56">
        <f>IF(Baseline!C10="Bestaande situatie",IF(_xlfn.IFNA((VLOOKUP(Baseline!Y10,Database_Asfalt_Verwijderset[#All],12,FALSE)*Baseline!I10),0)+_xlfn.IFNA(VLOOKUP(Baseline!Z10,Database_Brandstoffen[#All],12,FALSE)*((Baseline!I10/Baseline!AB10)*Baseline!AA10),0)&gt;0,_xlfn.IFNA((VLOOKUP(Baseline!Y10,Database_Asfalt_Verwijderset[#All],12,FALSE)*Baseline!I10),0)+_xlfn.IFNA(VLOOKUP(Baseline!Z10,Database_Brandstoffen[#All],12,FALSE)*((Baseline!I10/Baseline!AB10)*Baseline!AA10),0),(_xlfn.IFNA(VLOOKUP(Referentie_CO2_Totaal[[#This Row],[Product]]&amp;", "&amp;Referentie_MKI_Totaal[[#Headers],[C1]],Database_Productkaarten[#All],18,FALSE),0)*Baseline!I10)),0)</f>
        <v>5009.6635079400003</v>
      </c>
      <c r="M113" s="56">
        <f>IF(Baseline!AD10=0,(IF(Baseline!C10="Bestaande Situatie",(_xlfn.IFNA(VLOOKUP(Referentie_CO2_Totaal[[#This Row],[Product]]&amp;", "&amp;Referentie_MKI_Totaal[[#Headers],[C2]],Database_Productkaarten[#All],18,FALSE),0)*Baseline!I10),0)),(IF(Baseline!C10="Bestaande Situatie",_xlfn.IFNA(VLOOKUP(Baseline!AD10,Database_Transport[#All],12,FALSE)*(Baseline!Q10*Baseline!AC10),0))))</f>
        <v>2178.8979171679998</v>
      </c>
      <c r="N113" s="56">
        <f>(IF(Baseline!C10="Bestaande Situatie",(_xlfn.IFNA(VLOOKUP(Referentie_CO2_Totaal[[#This Row],[Product]]&amp;", "&amp;Referentie_CO2_Totaal[[#Headers],[C3]],Database_Productkaarten[#All],18,FALSE),0)*Baseline!I10),0))</f>
        <v>53.794999999999995</v>
      </c>
      <c r="O113" s="56">
        <f>(IF(Baseline!C10="Bestaande Situatie",(_xlfn.IFNA(VLOOKUP(Referentie_CO2_Totaal[[#This Row],[Product]]&amp;", "&amp;Referentie_CO2_Totaal[[#Headers],[C4]],Database_Productkaarten[#All],18,FALSE),0)*Baseline!I10),0))</f>
        <v>35.244999999999997</v>
      </c>
      <c r="P113" s="56">
        <f>(IF(Baseline!C10="Bestaande Situatie",(_xlfn.IFNA(VLOOKUP(Referentie_CO2_Totaal[[#This Row],[Product]]&amp;", "&amp;Referentie_CO2_Totaal[[#Headers],[D1]],Database_Productkaarten[#All],18,FALSE),0)*Baseline!I10),0))</f>
        <v>-200480.05250000002</v>
      </c>
      <c r="Q113" s="57">
        <f>(IF(Baseline!C10="Bestaande Situatie",_xlfn.IFNA(VLOOKUP(Referentie_CO2_Totaal[[#This Row],[Product]]&amp;", "&amp;Referentie_CO2_Totaal[[#Headers],[D2]],Database_Productkaarten[#All],18,FALSE),0)*Baseline!I10,0))</f>
        <v>0</v>
      </c>
      <c r="R113" s="57">
        <f>(IF(Baseline!C10="Bestaande Situatie",(_xlfn.IFNA(VLOOKUP(Referentie_CO2_Totaal[[#This Row],[Product]]&amp;", "&amp;Referentie_CO2_Totaal[[#Headers],[D]],Database_Productkaarten[#All],18,FALSE),0)*Baseline!I10),0))</f>
        <v>-200480.05250000002</v>
      </c>
      <c r="S113" s="56">
        <f>SUM(Referentie_CO2_Totaal[[#This Row],[A1-A3]:[C4]])+Referentie_CO2_Totaal[[#This Row],[D]]</f>
        <v>-193202.45107489201</v>
      </c>
    </row>
    <row r="114" spans="2:19">
      <c r="B114" s="208" t="str">
        <f>Baseline!B11</f>
        <v>121330 - Opbreken en afvoeren straatbakstenen</v>
      </c>
      <c r="C114" s="1" t="str">
        <f>Baseline!F11</f>
        <v>Gebakken klinker keiformaat (hergebruik)</v>
      </c>
      <c r="D114" s="56">
        <f>(IF(Baseline!C11="Nieuwe Situatie",(_xlfn.IFNA(VLOOKUP(Referentie_CO2_Totaal[[#This Row],[Product]]&amp;", "&amp;Referentie_CO2_Totaal[[#Headers],[A1]],Database_Productkaarten[#All],18,FALSE),0)*Baseline!I11),0))</f>
        <v>0</v>
      </c>
      <c r="E114" s="56">
        <f>(IF(Baseline!C11="Nieuwe Situatie",(_xlfn.IFNA(VLOOKUP(Referentie_CO2_Totaal[[#This Row],[Product]]&amp;", "&amp;Referentie_CO2_Totaal[[#Headers],[A2]],Database_Productkaarten[#All],18,FALSE),0)*Baseline!I11),0))</f>
        <v>0</v>
      </c>
      <c r="F114" s="56">
        <f>(IF(Baseline!C11="Nieuwe Situatie",(_xlfn.IFNA(VLOOKUP(Referentie_CO2_Totaal[[#This Row],[Product]]&amp;", "&amp;Referentie_CO2_Totaal[[#Headers],[A3]],Database_Productkaarten[#All],18,FALSE),0)*Baseline!I11),0))</f>
        <v>0</v>
      </c>
      <c r="G114" s="56">
        <f>(IF(Baseline!C11="Nieuwe Situatie",(_xlfn.IFNA(VLOOKUP(Referentie_CO2_Totaal[[#This Row],[Product]]&amp;", "&amp;Referentie_CO2_Totaal[[#Headers],[A1-A3]],Database_Productkaarten[#All],18,FALSE),0)*Baseline!I11),0))</f>
        <v>0</v>
      </c>
      <c r="H114" s="56">
        <f>IF(Baseline!T11=0,(IF(Baseline!C11="Nieuwe Situatie",(_xlfn.IFNA(VLOOKUP(Referentie_CO2_Totaal[[#This Row],[Product]]&amp;", "&amp;Referentie_CO2_Totaal[[#Headers],[A4]],Database_Productkaarten[#All],18,FALSE),0)*Baseline!I11),0)),IF(Baseline!C11="Nieuwe Situatie",_xlfn.IFNA(VLOOKUP(Baseline!T11,Database_Transport[#All],12,FALSE)*(Baseline!Q11*Baseline!S11),Baseline_Backlog!H114),0))</f>
        <v>0</v>
      </c>
      <c r="I114" s="56">
        <f>IF(Baseline!C11="Nieuwe situatie",IF(_xlfn.IFNA((VLOOKUP(Baseline!U11,Database_Asfalt_Aanlegset[#All],12,FALSE)*Baseline!I11),0)+_xlfn.IFNA(VLOOKUP(Baseline!V11,Database_Brandstoffen[#All],12,FALSE)*((Baseline!I11/Baseline!X11)*Baseline!W11),0)&gt;0,_xlfn.IFNA((VLOOKUP(Baseline!U11,Database_Asfalt_Aanlegset[#All],12,FALSE)*Baseline!I11),0)+_xlfn.IFNA(VLOOKUP(Baseline!V11,Database_Brandstoffen[#All],12,FALSE)*((Baseline!I11/Baseline!X11)*Baseline!W11),0),(_xlfn.IFNA(VLOOKUP(Referentie_CO2_Totaal[[#This Row],[Product]]&amp;", "&amp;Referentie_MKI_Totaal[[#Headers],[A5]],Database_Productkaarten[#All],18,FALSE),0)*Baseline!I11)),0)</f>
        <v>0</v>
      </c>
      <c r="J114" s="56">
        <f>(IF(Baseline!C11="Nieuwe Situatie",(_xlfn.IFNA(VLOOKUP(Referentie_CO2_Totaal[[#This Row],[Product]]&amp;", "&amp;Referentie_CO2_Totaal[[#Headers],[B1]],Database_Productkaarten[#All],18,FALSE),0)*Baseline!I11),0))</f>
        <v>0</v>
      </c>
      <c r="K114" s="56">
        <f>(IF(Baseline!C11="Nieuwe Situatie",(SUM(Referentie_CO2_Totaal[[#This Row],[A1]:[B1]],Referentie_CO2_Totaal[[#This Row],[C1]:[D2]])*Baseline!R11),0))</f>
        <v>0</v>
      </c>
      <c r="L114" s="56">
        <f>IF(Baseline!C11="Bestaande situatie",IF(_xlfn.IFNA((VLOOKUP(Baseline!Y11,Database_Asfalt_Verwijderset[#All],12,FALSE)*Baseline!I11),0)+_xlfn.IFNA(VLOOKUP(Baseline!Z11,Database_Brandstoffen[#All],12,FALSE)*((Baseline!I11/Baseline!AB11)*Baseline!AA11),0)&gt;0,_xlfn.IFNA((VLOOKUP(Baseline!Y11,Database_Asfalt_Verwijderset[#All],12,FALSE)*Baseline!I11),0)+_xlfn.IFNA(VLOOKUP(Baseline!Z11,Database_Brandstoffen[#All],12,FALSE)*((Baseline!I11/Baseline!AB11)*Baseline!AA11),0),(_xlfn.IFNA(VLOOKUP(Referentie_CO2_Totaal[[#This Row],[Product]]&amp;", "&amp;Referentie_MKI_Totaal[[#Headers],[C1]],Database_Productkaarten[#All],18,FALSE),0)*Baseline!I11)),0)</f>
        <v>2549.392103232</v>
      </c>
      <c r="M114" s="56">
        <f>IF(Baseline!AD11=0,(IF(Baseline!C11="Bestaande Situatie",(_xlfn.IFNA(VLOOKUP(Referentie_CO2_Totaal[[#This Row],[Product]]&amp;", "&amp;Referentie_MKI_Totaal[[#Headers],[C2]],Database_Productkaarten[#All],18,FALSE),0)*Baseline!I11),0)),(IF(Baseline!C11="Bestaande Situatie",_xlfn.IFNA(VLOOKUP(Baseline!AD11,Database_Transport[#All],12,FALSE)*(Baseline!Q11*Baseline!AC11),0))))</f>
        <v>1108.8299912704001</v>
      </c>
      <c r="N114" s="56">
        <f>(IF(Baseline!C11="Bestaande Situatie",(_xlfn.IFNA(VLOOKUP(Referentie_CO2_Totaal[[#This Row],[Product]]&amp;", "&amp;Referentie_CO2_Totaal[[#Headers],[C3]],Database_Productkaarten[#All],18,FALSE),0)*Baseline!I11),0))</f>
        <v>27.375999999999998</v>
      </c>
      <c r="O114" s="56">
        <f>(IF(Baseline!C11="Bestaande Situatie",(_xlfn.IFNA(VLOOKUP(Referentie_CO2_Totaal[[#This Row],[Product]]&amp;", "&amp;Referentie_CO2_Totaal[[#Headers],[C4]],Database_Productkaarten[#All],18,FALSE),0)*Baseline!I11),0))</f>
        <v>17.936</v>
      </c>
      <c r="P114" s="56">
        <f>(IF(Baseline!C11="Bestaande Situatie",(_xlfn.IFNA(VLOOKUP(Referentie_CO2_Totaal[[#This Row],[Product]]&amp;", "&amp;Referentie_CO2_Totaal[[#Headers],[D1]],Database_Productkaarten[#All],18,FALSE),0)*Baseline!I11),0))</f>
        <v>0</v>
      </c>
      <c r="Q114" s="57">
        <f>(IF(Baseline!C11="Bestaande Situatie",_xlfn.IFNA(VLOOKUP(Referentie_CO2_Totaal[[#This Row],[Product]]&amp;", "&amp;Referentie_CO2_Totaal[[#Headers],[D2]],Database_Productkaarten[#All],18,FALSE),0)*Baseline!I11,0))</f>
        <v>0</v>
      </c>
      <c r="R114" s="57">
        <f>(IF(Baseline!C11="Bestaande Situatie",(_xlfn.IFNA(VLOOKUP(Referentie_CO2_Totaal[[#This Row],[Product]]&amp;", "&amp;Referentie_CO2_Totaal[[#Headers],[D]],Database_Productkaarten[#All],18,FALSE),0)*Baseline!I11),0))</f>
        <v>10824.376</v>
      </c>
      <c r="S114" s="56">
        <f>SUM(Referentie_CO2_Totaal[[#This Row],[A1-A3]:[C4]])+Referentie_CO2_Totaal[[#This Row],[D]]</f>
        <v>14527.9100945024</v>
      </c>
    </row>
    <row r="115" spans="2:19">
      <c r="B115" s="208" t="str">
        <f>Baseline!B12</f>
        <v>121340 - Opbreken betontegels 300x300x45mm</v>
      </c>
      <c r="C115" s="1" t="str">
        <f>Baseline!F12</f>
        <v>Betontegel 300x300x45</v>
      </c>
      <c r="D115" s="56">
        <f>(IF(Baseline!C12="Nieuwe Situatie",(_xlfn.IFNA(VLOOKUP(Referentie_CO2_Totaal[[#This Row],[Product]]&amp;", "&amp;Referentie_CO2_Totaal[[#Headers],[A1]],Database_Productkaarten[#All],18,FALSE),0)*Baseline!I12),0))</f>
        <v>0</v>
      </c>
      <c r="E115" s="56">
        <f>(IF(Baseline!C12="Nieuwe Situatie",(_xlfn.IFNA(VLOOKUP(Referentie_CO2_Totaal[[#This Row],[Product]]&amp;", "&amp;Referentie_CO2_Totaal[[#Headers],[A2]],Database_Productkaarten[#All],18,FALSE),0)*Baseline!I12),0))</f>
        <v>0</v>
      </c>
      <c r="F115" s="56">
        <f>(IF(Baseline!C12="Nieuwe Situatie",(_xlfn.IFNA(VLOOKUP(Referentie_CO2_Totaal[[#This Row],[Product]]&amp;", "&amp;Referentie_CO2_Totaal[[#Headers],[A3]],Database_Productkaarten[#All],18,FALSE),0)*Baseline!I12),0))</f>
        <v>0</v>
      </c>
      <c r="G115" s="56">
        <f>(IF(Baseline!C12="Nieuwe Situatie",(_xlfn.IFNA(VLOOKUP(Referentie_CO2_Totaal[[#This Row],[Product]]&amp;", "&amp;Referentie_CO2_Totaal[[#Headers],[A1-A3]],Database_Productkaarten[#All],18,FALSE),0)*Baseline!I12),0))</f>
        <v>0</v>
      </c>
      <c r="H115" s="56">
        <f>IF(Baseline!T12=0,(IF(Baseline!C12="Nieuwe Situatie",(_xlfn.IFNA(VLOOKUP(Referentie_CO2_Totaal[[#This Row],[Product]]&amp;", "&amp;Referentie_CO2_Totaal[[#Headers],[A4]],Database_Productkaarten[#All],18,FALSE),0)*Baseline!I12),0)),IF(Baseline!C12="Nieuwe Situatie",_xlfn.IFNA(VLOOKUP(Baseline!T12,Database_Transport[#All],12,FALSE)*(Baseline!Q12*Baseline!S12),Baseline_Backlog!H115),0))</f>
        <v>0</v>
      </c>
      <c r="I115" s="56">
        <f>IF(Baseline!C12="Nieuwe situatie",IF(_xlfn.IFNA((VLOOKUP(Baseline!U12,Database_Asfalt_Aanlegset[#All],12,FALSE)*Baseline!I12),0)+_xlfn.IFNA(VLOOKUP(Baseline!V12,Database_Brandstoffen[#All],12,FALSE)*((Baseline!I12/Baseline!X12)*Baseline!W12),0)&gt;0,_xlfn.IFNA((VLOOKUP(Baseline!U12,Database_Asfalt_Aanlegset[#All],12,FALSE)*Baseline!I12),0)+_xlfn.IFNA(VLOOKUP(Baseline!V12,Database_Brandstoffen[#All],12,FALSE)*((Baseline!I12/Baseline!X12)*Baseline!W12),0),(_xlfn.IFNA(VLOOKUP(Referentie_CO2_Totaal[[#This Row],[Product]]&amp;", "&amp;Referentie_MKI_Totaal[[#Headers],[A5]],Database_Productkaarten[#All],18,FALSE),0)*Baseline!I12)),0)</f>
        <v>0</v>
      </c>
      <c r="J115" s="56">
        <f>(IF(Baseline!C12="Nieuwe Situatie",(_xlfn.IFNA(VLOOKUP(Referentie_CO2_Totaal[[#This Row],[Product]]&amp;", "&amp;Referentie_CO2_Totaal[[#Headers],[B1]],Database_Productkaarten[#All],18,FALSE),0)*Baseline!I12),0))</f>
        <v>0</v>
      </c>
      <c r="K115" s="56">
        <f>(IF(Baseline!C12="Nieuwe Situatie",(SUM(Referentie_CO2_Totaal[[#This Row],[A1]:[B1]],Referentie_CO2_Totaal[[#This Row],[C1]:[D2]])*Baseline!R12),0))</f>
        <v>0</v>
      </c>
      <c r="L115" s="56">
        <f>IF(Baseline!C12="Bestaande situatie",IF(_xlfn.IFNA((VLOOKUP(Baseline!Y12,Database_Asfalt_Verwijderset[#All],12,FALSE)*Baseline!I12),0)+_xlfn.IFNA(VLOOKUP(Baseline!Z12,Database_Brandstoffen[#All],12,FALSE)*((Baseline!I12/Baseline!AB12)*Baseline!AA12),0)&gt;0,_xlfn.IFNA((VLOOKUP(Baseline!Y12,Database_Asfalt_Verwijderset[#All],12,FALSE)*Baseline!I12),0)+_xlfn.IFNA(VLOOKUP(Baseline!Z12,Database_Brandstoffen[#All],12,FALSE)*((Baseline!I12/Baseline!AB12)*Baseline!AA12),0),(_xlfn.IFNA(VLOOKUP(Referentie_CO2_Totaal[[#This Row],[Product]]&amp;", "&amp;Referentie_MKI_Totaal[[#Headers],[C1]],Database_Productkaarten[#All],18,FALSE),0)*Baseline!I12)),0)</f>
        <v>11049.752964628413</v>
      </c>
      <c r="M115" s="56">
        <f>IF(Baseline!AD12=0,(IF(Baseline!C12="Bestaande Situatie",(_xlfn.IFNA(VLOOKUP(Referentie_CO2_Totaal[[#This Row],[Product]]&amp;", "&amp;Referentie_MKI_Totaal[[#Headers],[C2]],Database_Productkaarten[#All],18,FALSE),0)*Baseline!I12),0)),(IF(Baseline!C12="Bestaande Situatie",_xlfn.IFNA(VLOOKUP(Baseline!AD12,Database_Transport[#All],12,FALSE)*(Baseline!Q12*Baseline!AC12),0))))</f>
        <v>1876.8039718735997</v>
      </c>
      <c r="N115" s="56">
        <f>(IF(Baseline!C12="Bestaande Situatie",(_xlfn.IFNA(VLOOKUP(Referentie_CO2_Totaal[[#This Row],[Product]]&amp;", "&amp;Referentie_CO2_Totaal[[#Headers],[C3]],Database_Productkaarten[#All],18,FALSE),0)*Baseline!I12),0))</f>
        <v>1578.52053445</v>
      </c>
      <c r="O115" s="56">
        <f>(IF(Baseline!C12="Bestaande Situatie",(_xlfn.IFNA(VLOOKUP(Referentie_CO2_Totaal[[#This Row],[Product]]&amp;", "&amp;Referentie_CO2_Totaal[[#Headers],[C4]],Database_Productkaarten[#All],18,FALSE),0)*Baseline!I12),0))</f>
        <v>53.394517819000008</v>
      </c>
      <c r="P115" s="56">
        <f>(IF(Baseline!C12="Bestaande Situatie",(_xlfn.IFNA(VLOOKUP(Referentie_CO2_Totaal[[#This Row],[Product]]&amp;", "&amp;Referentie_CO2_Totaal[[#Headers],[D1]],Database_Productkaarten[#All],18,FALSE),0)*Baseline!I12),0))</f>
        <v>0</v>
      </c>
      <c r="Q115" s="57">
        <f>(IF(Baseline!C12="Bestaande Situatie",_xlfn.IFNA(VLOOKUP(Referentie_CO2_Totaal[[#This Row],[Product]]&amp;", "&amp;Referentie_CO2_Totaal[[#Headers],[D2]],Database_Productkaarten[#All],18,FALSE),0)*Baseline!I12,0))</f>
        <v>0</v>
      </c>
      <c r="R115" s="57">
        <f>(IF(Baseline!C12="Bestaande Situatie",(_xlfn.IFNA(VLOOKUP(Referentie_CO2_Totaal[[#This Row],[Product]]&amp;", "&amp;Referentie_CO2_Totaal[[#Headers],[D]],Database_Productkaarten[#All],18,FALSE),0)*Baseline!I12),0))</f>
        <v>-3962.1548307500002</v>
      </c>
      <c r="S115" s="56">
        <f>SUM(Referentie_CO2_Totaal[[#This Row],[A1-A3]:[C4]])+Referentie_CO2_Totaal[[#This Row],[D]]</f>
        <v>10596.317158021013</v>
      </c>
    </row>
    <row r="116" spans="2:19">
      <c r="B116" s="208" t="str">
        <f>Baseline!B13</f>
        <v>121410 - Opbreken en afvoeren asfaltverharding zwart teervrij</v>
      </c>
      <c r="C116" s="1" t="str">
        <f>Baseline!F13</f>
        <v>AC bin/base 50% PR - PCR 2.0</v>
      </c>
      <c r="D116" s="56">
        <f>(IF(Baseline!C13="Nieuwe Situatie",(_xlfn.IFNA(VLOOKUP(Referentie_CO2_Totaal[[#This Row],[Product]]&amp;", "&amp;Referentie_CO2_Totaal[[#Headers],[A1]],Database_Productkaarten[#All],18,FALSE),0)*Baseline!I13),0))</f>
        <v>0</v>
      </c>
      <c r="E116" s="56">
        <f>(IF(Baseline!C13="Nieuwe Situatie",(_xlfn.IFNA(VLOOKUP(Referentie_CO2_Totaal[[#This Row],[Product]]&amp;", "&amp;Referentie_CO2_Totaal[[#Headers],[A2]],Database_Productkaarten[#All],18,FALSE),0)*Baseline!I13),0))</f>
        <v>0</v>
      </c>
      <c r="F116" s="56">
        <f>(IF(Baseline!C13="Nieuwe Situatie",(_xlfn.IFNA(VLOOKUP(Referentie_CO2_Totaal[[#This Row],[Product]]&amp;", "&amp;Referentie_CO2_Totaal[[#Headers],[A3]],Database_Productkaarten[#All],18,FALSE),0)*Baseline!I13),0))</f>
        <v>0</v>
      </c>
      <c r="G116" s="56">
        <f>(IF(Baseline!C13="Nieuwe Situatie",(_xlfn.IFNA(VLOOKUP(Referentie_CO2_Totaal[[#This Row],[Product]]&amp;", "&amp;Referentie_CO2_Totaal[[#Headers],[A1-A3]],Database_Productkaarten[#All],18,FALSE),0)*Baseline!I13),0))</f>
        <v>0</v>
      </c>
      <c r="H116" s="56">
        <f>IF(Baseline!T13=0,(IF(Baseline!C13="Nieuwe Situatie",(_xlfn.IFNA(VLOOKUP(Referentie_CO2_Totaal[[#This Row],[Product]]&amp;", "&amp;Referentie_CO2_Totaal[[#Headers],[A4]],Database_Productkaarten[#All],18,FALSE),0)*Baseline!I13),0)),IF(Baseline!C13="Nieuwe Situatie",_xlfn.IFNA(VLOOKUP(Baseline!T13,Database_Transport[#All],12,FALSE)*(Baseline!Q13*Baseline!S13),Baseline_Backlog!H116),0))</f>
        <v>0</v>
      </c>
      <c r="I116" s="56">
        <f>IF(Baseline!C13="Nieuwe situatie",IF(_xlfn.IFNA((VLOOKUP(Baseline!U13,Database_Asfalt_Aanlegset[#All],12,FALSE)*Baseline!I13),0)+_xlfn.IFNA(VLOOKUP(Baseline!V13,Database_Brandstoffen[#All],12,FALSE)*((Baseline!I13/Baseline!X13)*Baseline!W13),0)&gt;0,_xlfn.IFNA((VLOOKUP(Baseline!U13,Database_Asfalt_Aanlegset[#All],12,FALSE)*Baseline!I13),0)+_xlfn.IFNA(VLOOKUP(Baseline!V13,Database_Brandstoffen[#All],12,FALSE)*((Baseline!I13/Baseline!X13)*Baseline!W13),0),(_xlfn.IFNA(VLOOKUP(Referentie_CO2_Totaal[[#This Row],[Product]]&amp;", "&amp;Referentie_MKI_Totaal[[#Headers],[A5]],Database_Productkaarten[#All],18,FALSE),0)*Baseline!I13)),0)</f>
        <v>0</v>
      </c>
      <c r="J116" s="56">
        <f>(IF(Baseline!C13="Nieuwe Situatie",(_xlfn.IFNA(VLOOKUP(Referentie_CO2_Totaal[[#This Row],[Product]]&amp;", "&amp;Referentie_CO2_Totaal[[#Headers],[B1]],Database_Productkaarten[#All],18,FALSE),0)*Baseline!I13),0))</f>
        <v>0</v>
      </c>
      <c r="K116" s="56">
        <f>(IF(Baseline!C13="Nieuwe Situatie",(SUM(Referentie_CO2_Totaal[[#This Row],[A1]:[B1]],Referentie_CO2_Totaal[[#This Row],[C1]:[D2]])*Baseline!R13),0))</f>
        <v>0</v>
      </c>
      <c r="L116" s="56">
        <f>IF(Baseline!C13="Bestaande situatie",IF(_xlfn.IFNA((VLOOKUP(Baseline!Y13,Database_Asfalt_Verwijderset[#All],12,FALSE)*Baseline!I13),0)+_xlfn.IFNA(VLOOKUP(Baseline!Z13,Database_Brandstoffen[#All],12,FALSE)*((Baseline!I13/Baseline!AB13)*Baseline!AA13),0)&gt;0,_xlfn.IFNA((VLOOKUP(Baseline!Y13,Database_Asfalt_Verwijderset[#All],12,FALSE)*Baseline!I13),0)+_xlfn.IFNA(VLOOKUP(Baseline!Z13,Database_Brandstoffen[#All],12,FALSE)*((Baseline!I13/Baseline!AB13)*Baseline!AA13),0),(_xlfn.IFNA(VLOOKUP(Referentie_CO2_Totaal[[#This Row],[Product]]&amp;", "&amp;Referentie_MKI_Totaal[[#Headers],[C1]],Database_Productkaarten[#All],18,FALSE),0)*Baseline!I13)),0)</f>
        <v>3777.9391125000002</v>
      </c>
      <c r="M116" s="56">
        <f>IF(Baseline!AD13=0,(IF(Baseline!C13="Bestaande Situatie",(_xlfn.IFNA(VLOOKUP(Referentie_CO2_Totaal[[#This Row],[Product]]&amp;", "&amp;Referentie_MKI_Totaal[[#Headers],[C2]],Database_Productkaarten[#All],18,FALSE),0)*Baseline!I13),0)),(IF(Baseline!C13="Bestaande Situatie",_xlfn.IFNA(VLOOKUP(Baseline!AD13,Database_Transport[#All],12,FALSE)*(Baseline!Q13*Baseline!AC13),0))))</f>
        <v>4707.3986399999994</v>
      </c>
      <c r="N116" s="56">
        <f>(IF(Baseline!C13="Bestaande Situatie",(_xlfn.IFNA(VLOOKUP(Referentie_CO2_Totaal[[#This Row],[Product]]&amp;", "&amp;Referentie_CO2_Totaal[[#Headers],[C3]],Database_Productkaarten[#All],18,FALSE),0)*Baseline!I13),0))</f>
        <v>4235.8711247428273</v>
      </c>
      <c r="O116" s="56">
        <f>(IF(Baseline!C13="Bestaande Situatie",(_xlfn.IFNA(VLOOKUP(Referentie_CO2_Totaal[[#This Row],[Product]]&amp;", "&amp;Referentie_CO2_Totaal[[#Headers],[C4]],Database_Productkaarten[#All],18,FALSE),0)*Baseline!I13),0))</f>
        <v>0</v>
      </c>
      <c r="P116" s="56">
        <f>(IF(Baseline!C13="Bestaande Situatie",(_xlfn.IFNA(VLOOKUP(Referentie_CO2_Totaal[[#This Row],[Product]]&amp;", "&amp;Referentie_CO2_Totaal[[#Headers],[D1]],Database_Productkaarten[#All],18,FALSE),0)*Baseline!I13),0))</f>
        <v>0</v>
      </c>
      <c r="Q116" s="57">
        <f>(IF(Baseline!C13="Bestaande Situatie",_xlfn.IFNA(VLOOKUP(Referentie_CO2_Totaal[[#This Row],[Product]]&amp;", "&amp;Referentie_CO2_Totaal[[#Headers],[D2]],Database_Productkaarten[#All],18,FALSE),0)*Baseline!I13,0))</f>
        <v>0</v>
      </c>
      <c r="R116" s="57">
        <f>(IF(Baseline!C13="Bestaande Situatie",(_xlfn.IFNA(VLOOKUP(Referentie_CO2_Totaal[[#This Row],[Product]]&amp;", "&amp;Referentie_CO2_Totaal[[#Headers],[D]],Database_Productkaarten[#All],18,FALSE),0)*Baseline!I13),0))</f>
        <v>-45426.748472472675</v>
      </c>
      <c r="S116" s="56">
        <f>SUM(Referentie_CO2_Totaal[[#This Row],[A1-A3]:[C4]])+Referentie_CO2_Totaal[[#This Row],[D]]</f>
        <v>-32705.53959522985</v>
      </c>
    </row>
    <row r="117" spans="2:19">
      <c r="B117" s="208" t="str">
        <f>Baseline!B14</f>
        <v>121420 - Opbreken en afvoeren asfaltverharding rood teervrij</v>
      </c>
      <c r="C117" s="1" t="str">
        <f>Baseline!F14</f>
        <v>AC surf rood, met penbitumen - PCR 2.0</v>
      </c>
      <c r="D117" s="56">
        <f>(IF(Baseline!C14="Nieuwe Situatie",(_xlfn.IFNA(VLOOKUP(Referentie_CO2_Totaal[[#This Row],[Product]]&amp;", "&amp;Referentie_CO2_Totaal[[#Headers],[A1]],Database_Productkaarten[#All],18,FALSE),0)*Baseline!I14),0))</f>
        <v>0</v>
      </c>
      <c r="E117" s="56">
        <f>(IF(Baseline!C14="Nieuwe Situatie",(_xlfn.IFNA(VLOOKUP(Referentie_CO2_Totaal[[#This Row],[Product]]&amp;", "&amp;Referentie_CO2_Totaal[[#Headers],[A2]],Database_Productkaarten[#All],18,FALSE),0)*Baseline!I14),0))</f>
        <v>0</v>
      </c>
      <c r="F117" s="56">
        <f>(IF(Baseline!C14="Nieuwe Situatie",(_xlfn.IFNA(VLOOKUP(Referentie_CO2_Totaal[[#This Row],[Product]]&amp;", "&amp;Referentie_CO2_Totaal[[#Headers],[A3]],Database_Productkaarten[#All],18,FALSE),0)*Baseline!I14),0))</f>
        <v>0</v>
      </c>
      <c r="G117" s="56">
        <f>(IF(Baseline!C14="Nieuwe Situatie",(_xlfn.IFNA(VLOOKUP(Referentie_CO2_Totaal[[#This Row],[Product]]&amp;", "&amp;Referentie_CO2_Totaal[[#Headers],[A1-A3]],Database_Productkaarten[#All],18,FALSE),0)*Baseline!I14),0))</f>
        <v>0</v>
      </c>
      <c r="H117" s="56">
        <f>IF(Baseline!T14=0,(IF(Baseline!C14="Nieuwe Situatie",(_xlfn.IFNA(VLOOKUP(Referentie_CO2_Totaal[[#This Row],[Product]]&amp;", "&amp;Referentie_CO2_Totaal[[#Headers],[A4]],Database_Productkaarten[#All],18,FALSE),0)*Baseline!I14),0)),IF(Baseline!C14="Nieuwe Situatie",_xlfn.IFNA(VLOOKUP(Baseline!T14,Database_Transport[#All],12,FALSE)*(Baseline!Q14*Baseline!S14),Baseline_Backlog!H117),0))</f>
        <v>0</v>
      </c>
      <c r="I117" s="56">
        <f>IF(Baseline!C14="Nieuwe situatie",IF(_xlfn.IFNA((VLOOKUP(Baseline!U14,Database_Asfalt_Aanlegset[#All],12,FALSE)*Baseline!I14),0)+_xlfn.IFNA(VLOOKUP(Baseline!V14,Database_Brandstoffen[#All],12,FALSE)*((Baseline!I14/Baseline!X14)*Baseline!W14),0)&gt;0,_xlfn.IFNA((VLOOKUP(Baseline!U14,Database_Asfalt_Aanlegset[#All],12,FALSE)*Baseline!I14),0)+_xlfn.IFNA(VLOOKUP(Baseline!V14,Database_Brandstoffen[#All],12,FALSE)*((Baseline!I14/Baseline!X14)*Baseline!W14),0),(_xlfn.IFNA(VLOOKUP(Referentie_CO2_Totaal[[#This Row],[Product]]&amp;", "&amp;Referentie_MKI_Totaal[[#Headers],[A5]],Database_Productkaarten[#All],18,FALSE),0)*Baseline!I14)),0)</f>
        <v>0</v>
      </c>
      <c r="J117" s="56">
        <f>(IF(Baseline!C14="Nieuwe Situatie",(_xlfn.IFNA(VLOOKUP(Referentie_CO2_Totaal[[#This Row],[Product]]&amp;", "&amp;Referentie_CO2_Totaal[[#Headers],[B1]],Database_Productkaarten[#All],18,FALSE),0)*Baseline!I14),0))</f>
        <v>0</v>
      </c>
      <c r="K117" s="56">
        <f>(IF(Baseline!C14="Nieuwe Situatie",(SUM(Referentie_CO2_Totaal[[#This Row],[A1]:[B1]],Referentie_CO2_Totaal[[#This Row],[C1]:[D2]])*Baseline!R14),0))</f>
        <v>0</v>
      </c>
      <c r="L117" s="56">
        <f>IF(Baseline!C14="Bestaande situatie",IF(_xlfn.IFNA((VLOOKUP(Baseline!Y14,Database_Asfalt_Verwijderset[#All],12,FALSE)*Baseline!I14),0)+_xlfn.IFNA(VLOOKUP(Baseline!Z14,Database_Brandstoffen[#All],12,FALSE)*((Baseline!I14/Baseline!AB14)*Baseline!AA14),0)&gt;0,_xlfn.IFNA((VLOOKUP(Baseline!Y14,Database_Asfalt_Verwijderset[#All],12,FALSE)*Baseline!I14),0)+_xlfn.IFNA(VLOOKUP(Baseline!Z14,Database_Brandstoffen[#All],12,FALSE)*((Baseline!I14/Baseline!AB14)*Baseline!AA14),0),(_xlfn.IFNA(VLOOKUP(Referentie_CO2_Totaal[[#This Row],[Product]]&amp;", "&amp;Referentie_MKI_Totaal[[#Headers],[C1]],Database_Productkaarten[#All],18,FALSE),0)*Baseline!I14)),0)</f>
        <v>2590.58682</v>
      </c>
      <c r="M117" s="56">
        <f>IF(Baseline!AD14=0,(IF(Baseline!C14="Bestaande Situatie",(_xlfn.IFNA(VLOOKUP(Referentie_CO2_Totaal[[#This Row],[Product]]&amp;", "&amp;Referentie_MKI_Totaal[[#Headers],[C2]],Database_Productkaarten[#All],18,FALSE),0)*Baseline!I14),0)),(IF(Baseline!C14="Bestaande Situatie",_xlfn.IFNA(VLOOKUP(Baseline!AD14,Database_Transport[#All],12,FALSE)*(Baseline!Q14*Baseline!AC14),0))))</f>
        <v>3227.9304959999999</v>
      </c>
      <c r="N117" s="56">
        <f>(IF(Baseline!C14="Bestaande Situatie",(_xlfn.IFNA(VLOOKUP(Referentie_CO2_Totaal[[#This Row],[Product]]&amp;", "&amp;Referentie_CO2_Totaal[[#Headers],[C3]],Database_Productkaarten[#All],18,FALSE),0)*Baseline!I14),0))</f>
        <v>2904.5973426422579</v>
      </c>
      <c r="O117" s="56">
        <f>(IF(Baseline!C14="Bestaande Situatie",(_xlfn.IFNA(VLOOKUP(Referentie_CO2_Totaal[[#This Row],[Product]]&amp;", "&amp;Referentie_CO2_Totaal[[#Headers],[C4]],Database_Productkaarten[#All],18,FALSE),0)*Baseline!I14),0))</f>
        <v>0</v>
      </c>
      <c r="P117" s="56">
        <f>(IF(Baseline!C14="Bestaande Situatie",(_xlfn.IFNA(VLOOKUP(Referentie_CO2_Totaal[[#This Row],[Product]]&amp;", "&amp;Referentie_CO2_Totaal[[#Headers],[D1]],Database_Productkaarten[#All],18,FALSE),0)*Baseline!I14),0))</f>
        <v>0</v>
      </c>
      <c r="Q117" s="57">
        <f>(IF(Baseline!C14="Bestaande Situatie",_xlfn.IFNA(VLOOKUP(Referentie_CO2_Totaal[[#This Row],[Product]]&amp;", "&amp;Referentie_CO2_Totaal[[#Headers],[D2]],Database_Productkaarten[#All],18,FALSE),0)*Baseline!I14,0))</f>
        <v>0</v>
      </c>
      <c r="R117" s="57">
        <f>(IF(Baseline!C14="Bestaande Situatie",(_xlfn.IFNA(VLOOKUP(Referentie_CO2_Totaal[[#This Row],[Product]]&amp;", "&amp;Referentie_CO2_Totaal[[#Headers],[D]],Database_Productkaarten[#All],18,FALSE),0)*Baseline!I14),0))</f>
        <v>-58458.21544991358</v>
      </c>
      <c r="S117" s="56">
        <f>SUM(Referentie_CO2_Totaal[[#This Row],[A1-A3]:[C4]])+Referentie_CO2_Totaal[[#This Row],[D]]</f>
        <v>-49735.100791271325</v>
      </c>
    </row>
    <row r="118" spans="2:19">
      <c r="B118" s="208" t="str">
        <f>Baseline!B15</f>
        <v>121510 - Opbreken fundering van menggranulaat, 400-200 mm dik</v>
      </c>
      <c r="C118" s="1" t="str">
        <f>Baseline!F15</f>
        <v>Menggranulaat 300mm</v>
      </c>
      <c r="D118" s="56">
        <f>(IF(Baseline!C15="Nieuwe Situatie",(_xlfn.IFNA(VLOOKUP(Referentie_CO2_Totaal[[#This Row],[Product]]&amp;", "&amp;Referentie_CO2_Totaal[[#Headers],[A1]],Database_Productkaarten[#All],18,FALSE),0)*Baseline!I15),0))</f>
        <v>0</v>
      </c>
      <c r="E118" s="56">
        <f>(IF(Baseline!C15="Nieuwe Situatie",(_xlfn.IFNA(VLOOKUP(Referentie_CO2_Totaal[[#This Row],[Product]]&amp;", "&amp;Referentie_CO2_Totaal[[#Headers],[A2]],Database_Productkaarten[#All],18,FALSE),0)*Baseline!I15),0))</f>
        <v>0</v>
      </c>
      <c r="F118" s="56">
        <f>(IF(Baseline!C15="Nieuwe Situatie",(_xlfn.IFNA(VLOOKUP(Referentie_CO2_Totaal[[#This Row],[Product]]&amp;", "&amp;Referentie_CO2_Totaal[[#Headers],[A3]],Database_Productkaarten[#All],18,FALSE),0)*Baseline!I15),0))</f>
        <v>0</v>
      </c>
      <c r="G118" s="56">
        <f>(IF(Baseline!C15="Nieuwe Situatie",(_xlfn.IFNA(VLOOKUP(Referentie_CO2_Totaal[[#This Row],[Product]]&amp;", "&amp;Referentie_CO2_Totaal[[#Headers],[A1-A3]],Database_Productkaarten[#All],18,FALSE),0)*Baseline!I15),0))</f>
        <v>0</v>
      </c>
      <c r="H118" s="56">
        <f>IF(Baseline!T15=0,(IF(Baseline!C15="Nieuwe Situatie",(_xlfn.IFNA(VLOOKUP(Referentie_CO2_Totaal[[#This Row],[Product]]&amp;", "&amp;Referentie_CO2_Totaal[[#Headers],[A4]],Database_Productkaarten[#All],18,FALSE),0)*Baseline!I15),0)),IF(Baseline!C15="Nieuwe Situatie",_xlfn.IFNA(VLOOKUP(Baseline!T15,Database_Transport[#All],12,FALSE)*(Baseline!Q15*Baseline!S15),Baseline_Backlog!H118),0))</f>
        <v>0</v>
      </c>
      <c r="I118" s="56">
        <f>IF(Baseline!C15="Nieuwe situatie",IF(_xlfn.IFNA((VLOOKUP(Baseline!U15,Database_Asfalt_Aanlegset[#All],12,FALSE)*Baseline!I15),0)+_xlfn.IFNA(VLOOKUP(Baseline!V15,Database_Brandstoffen[#All],12,FALSE)*((Baseline!I15/Baseline!X15)*Baseline!W15),0)&gt;0,_xlfn.IFNA((VLOOKUP(Baseline!U15,Database_Asfalt_Aanlegset[#All],12,FALSE)*Baseline!I15),0)+_xlfn.IFNA(VLOOKUP(Baseline!V15,Database_Brandstoffen[#All],12,FALSE)*((Baseline!I15/Baseline!X15)*Baseline!W15),0),(_xlfn.IFNA(VLOOKUP(Referentie_CO2_Totaal[[#This Row],[Product]]&amp;", "&amp;Referentie_MKI_Totaal[[#Headers],[A5]],Database_Productkaarten[#All],18,FALSE),0)*Baseline!I15)),0)</f>
        <v>0</v>
      </c>
      <c r="J118" s="56">
        <f>(IF(Baseline!C15="Nieuwe Situatie",(_xlfn.IFNA(VLOOKUP(Referentie_CO2_Totaal[[#This Row],[Product]]&amp;", "&amp;Referentie_CO2_Totaal[[#Headers],[B1]],Database_Productkaarten[#All],18,FALSE),0)*Baseline!I15),0))</f>
        <v>0</v>
      </c>
      <c r="K118" s="56">
        <f>(IF(Baseline!C15="Nieuwe Situatie",(SUM(Referentie_CO2_Totaal[[#This Row],[A1]:[B1]],Referentie_CO2_Totaal[[#This Row],[C1]:[D2]])*Baseline!R15),0))</f>
        <v>0</v>
      </c>
      <c r="L118" s="56">
        <f>IF(Baseline!C15="Bestaande situatie",IF(_xlfn.IFNA((VLOOKUP(Baseline!Y15,Database_Asfalt_Verwijderset[#All],12,FALSE)*Baseline!I15),0)+_xlfn.IFNA(VLOOKUP(Baseline!Z15,Database_Brandstoffen[#All],12,FALSE)*((Baseline!I15/Baseline!AB15)*Baseline!AA15),0)&gt;0,_xlfn.IFNA((VLOOKUP(Baseline!Y15,Database_Asfalt_Verwijderset[#All],12,FALSE)*Baseline!I15),0)+_xlfn.IFNA(VLOOKUP(Baseline!Z15,Database_Brandstoffen[#All],12,FALSE)*((Baseline!I15/Baseline!AB15)*Baseline!AA15),0),(_xlfn.IFNA(VLOOKUP(Referentie_CO2_Totaal[[#This Row],[Product]]&amp;", "&amp;Referentie_MKI_Totaal[[#Headers],[C1]],Database_Productkaarten[#All],18,FALSE),0)*Baseline!I15)),0)</f>
        <v>2588.1010934999999</v>
      </c>
      <c r="M118" s="56">
        <f>IF(Baseline!AD15=0,(IF(Baseline!C15="Bestaande Situatie",(_xlfn.IFNA(VLOOKUP(Referentie_CO2_Totaal[[#This Row],[Product]]&amp;", "&amp;Referentie_MKI_Totaal[[#Headers],[C2]],Database_Productkaarten[#All],18,FALSE),0)*Baseline!I15),0)),(IF(Baseline!C15="Bestaande Situatie",_xlfn.IFNA(VLOOKUP(Baseline!AD15,Database_Transport[#All],12,FALSE)*(Baseline!Q15*Baseline!AC15),0))))</f>
        <v>4021.4634096</v>
      </c>
      <c r="N118" s="56">
        <f>(IF(Baseline!C15="Bestaande Situatie",(_xlfn.IFNA(VLOOKUP(Referentie_CO2_Totaal[[#This Row],[Product]]&amp;", "&amp;Referentie_CO2_Totaal[[#Headers],[C3]],Database_Productkaarten[#All],18,FALSE),0)*Baseline!I15),0))</f>
        <v>0</v>
      </c>
      <c r="O118" s="56">
        <f>(IF(Baseline!C15="Bestaande Situatie",(_xlfn.IFNA(VLOOKUP(Referentie_CO2_Totaal[[#This Row],[Product]]&amp;", "&amp;Referentie_CO2_Totaal[[#Headers],[C4]],Database_Productkaarten[#All],18,FALSE),0)*Baseline!I15),0))</f>
        <v>118.45</v>
      </c>
      <c r="P118" s="56">
        <f>(IF(Baseline!C15="Bestaande Situatie",(_xlfn.IFNA(VLOOKUP(Referentie_CO2_Totaal[[#This Row],[Product]]&amp;", "&amp;Referentie_CO2_Totaal[[#Headers],[D1]],Database_Productkaarten[#All],18,FALSE),0)*Baseline!I15),0))</f>
        <v>0</v>
      </c>
      <c r="Q118" s="57">
        <f>(IF(Baseline!C15="Bestaande Situatie",_xlfn.IFNA(VLOOKUP(Referentie_CO2_Totaal[[#This Row],[Product]]&amp;", "&amp;Referentie_CO2_Totaal[[#Headers],[D2]],Database_Productkaarten[#All],18,FALSE),0)*Baseline!I15,0))</f>
        <v>0</v>
      </c>
      <c r="R118" s="57">
        <f>(IF(Baseline!C15="Bestaande Situatie",(_xlfn.IFNA(VLOOKUP(Referentie_CO2_Totaal[[#This Row],[Product]]&amp;", "&amp;Referentie_CO2_Totaal[[#Headers],[D]],Database_Productkaarten[#All],18,FALSE),0)*Baseline!I15),0))</f>
        <v>94.300000000000011</v>
      </c>
      <c r="S118" s="56">
        <f>SUM(Referentie_CO2_Totaal[[#This Row],[A1-A3]:[C4]])+Referentie_CO2_Totaal[[#This Row],[D]]</f>
        <v>6822.3145031000004</v>
      </c>
    </row>
    <row r="119" spans="2:19">
      <c r="B119" s="208" t="str">
        <f>Baseline!B16</f>
        <v>121520 - Opbreken fundering van slakken 200-400 mm dik</v>
      </c>
      <c r="C119" s="1" t="str">
        <f>Baseline!F16</f>
        <v>Fosforslakmengsel 200mm</v>
      </c>
      <c r="D119" s="56">
        <f>(IF(Baseline!C16="Nieuwe Situatie",(_xlfn.IFNA(VLOOKUP(Referentie_CO2_Totaal[[#This Row],[Product]]&amp;", "&amp;Referentie_CO2_Totaal[[#Headers],[A1]],Database_Productkaarten[#All],18,FALSE),0)*Baseline!I16),0))</f>
        <v>0</v>
      </c>
      <c r="E119" s="56">
        <f>(IF(Baseline!C16="Nieuwe Situatie",(_xlfn.IFNA(VLOOKUP(Referentie_CO2_Totaal[[#This Row],[Product]]&amp;", "&amp;Referentie_CO2_Totaal[[#Headers],[A2]],Database_Productkaarten[#All],18,FALSE),0)*Baseline!I16),0))</f>
        <v>0</v>
      </c>
      <c r="F119" s="56">
        <f>(IF(Baseline!C16="Nieuwe Situatie",(_xlfn.IFNA(VLOOKUP(Referentie_CO2_Totaal[[#This Row],[Product]]&amp;", "&amp;Referentie_CO2_Totaal[[#Headers],[A3]],Database_Productkaarten[#All],18,FALSE),0)*Baseline!I16),0))</f>
        <v>0</v>
      </c>
      <c r="G119" s="56">
        <f>(IF(Baseline!C16="Nieuwe Situatie",(_xlfn.IFNA(VLOOKUP(Referentie_CO2_Totaal[[#This Row],[Product]]&amp;", "&amp;Referentie_CO2_Totaal[[#Headers],[A1-A3]],Database_Productkaarten[#All],18,FALSE),0)*Baseline!I16),0))</f>
        <v>0</v>
      </c>
      <c r="H119" s="56">
        <f>IF(Baseline!T16=0,(IF(Baseline!C16="Nieuwe Situatie",(_xlfn.IFNA(VLOOKUP(Referentie_CO2_Totaal[[#This Row],[Product]]&amp;", "&amp;Referentie_CO2_Totaal[[#Headers],[A4]],Database_Productkaarten[#All],18,FALSE),0)*Baseline!I16),0)),IF(Baseline!C16="Nieuwe Situatie",_xlfn.IFNA(VLOOKUP(Baseline!T16,Database_Transport[#All],12,FALSE)*(Baseline!Q16*Baseline!S16),Baseline_Backlog!H119),0))</f>
        <v>0</v>
      </c>
      <c r="I119" s="56">
        <f>IF(Baseline!C16="Nieuwe situatie",IF(_xlfn.IFNA((VLOOKUP(Baseline!U16,Database_Asfalt_Aanlegset[#All],12,FALSE)*Baseline!I16),0)+_xlfn.IFNA(VLOOKUP(Baseline!V16,Database_Brandstoffen[#All],12,FALSE)*((Baseline!I16/Baseline!X16)*Baseline!W16),0)&gt;0,_xlfn.IFNA((VLOOKUP(Baseline!U16,Database_Asfalt_Aanlegset[#All],12,FALSE)*Baseline!I16),0)+_xlfn.IFNA(VLOOKUP(Baseline!V16,Database_Brandstoffen[#All],12,FALSE)*((Baseline!I16/Baseline!X16)*Baseline!W16),0),(_xlfn.IFNA(VLOOKUP(Referentie_CO2_Totaal[[#This Row],[Product]]&amp;", "&amp;Referentie_MKI_Totaal[[#Headers],[A5]],Database_Productkaarten[#All],18,FALSE),0)*Baseline!I16)),0)</f>
        <v>0</v>
      </c>
      <c r="J119" s="56">
        <f>(IF(Baseline!C16="Nieuwe Situatie",(_xlfn.IFNA(VLOOKUP(Referentie_CO2_Totaal[[#This Row],[Product]]&amp;", "&amp;Referentie_CO2_Totaal[[#Headers],[B1]],Database_Productkaarten[#All],18,FALSE),0)*Baseline!I16),0))</f>
        <v>0</v>
      </c>
      <c r="K119" s="56">
        <f>(IF(Baseline!C16="Nieuwe Situatie",(SUM(Referentie_CO2_Totaal[[#This Row],[A1]:[B1]],Referentie_CO2_Totaal[[#This Row],[C1]:[D2]])*Baseline!R16),0))</f>
        <v>0</v>
      </c>
      <c r="L119" s="56">
        <f>IF(Baseline!C16="Bestaande situatie",IF(_xlfn.IFNA((VLOOKUP(Baseline!Y16,Database_Asfalt_Verwijderset[#All],12,FALSE)*Baseline!I16),0)+_xlfn.IFNA(VLOOKUP(Baseline!Z16,Database_Brandstoffen[#All],12,FALSE)*((Baseline!I16/Baseline!AB16)*Baseline!AA16),0)&gt;0,_xlfn.IFNA((VLOOKUP(Baseline!Y16,Database_Asfalt_Verwijderset[#All],12,FALSE)*Baseline!I16),0)+_xlfn.IFNA(VLOOKUP(Baseline!Z16,Database_Brandstoffen[#All],12,FALSE)*((Baseline!I16/Baseline!AB16)*Baseline!AA16),0),(_xlfn.IFNA(VLOOKUP(Referentie_CO2_Totaal[[#This Row],[Product]]&amp;", "&amp;Referentie_MKI_Totaal[[#Headers],[C1]],Database_Productkaarten[#All],18,FALSE),0)*Baseline!I16)),0)</f>
        <v>1181.5244122500001</v>
      </c>
      <c r="M119" s="56">
        <f>IF(Baseline!AD16=0,(IF(Baseline!C16="Bestaande Situatie",(_xlfn.IFNA(VLOOKUP(Referentie_CO2_Totaal[[#This Row],[Product]]&amp;", "&amp;Referentie_MKI_Totaal[[#Headers],[C2]],Database_Productkaarten[#All],18,FALSE),0)*Baseline!I16),0)),(IF(Baseline!C16="Bestaande Situatie",_xlfn.IFNA(VLOOKUP(Baseline!AD16,Database_Transport[#All],12,FALSE)*(Baseline!Q16*Baseline!AC16),0))))</f>
        <v>1757.4288256000002</v>
      </c>
      <c r="N119" s="56">
        <f>(IF(Baseline!C16="Bestaande Situatie",(_xlfn.IFNA(VLOOKUP(Referentie_CO2_Totaal[[#This Row],[Product]]&amp;", "&amp;Referentie_CO2_Totaal[[#Headers],[C3]],Database_Productkaarten[#All],18,FALSE),0)*Baseline!I16),0))</f>
        <v>0</v>
      </c>
      <c r="O119" s="56">
        <f>(IF(Baseline!C16="Bestaande Situatie",(_xlfn.IFNA(VLOOKUP(Referentie_CO2_Totaal[[#This Row],[Product]]&amp;", "&amp;Referentie_CO2_Totaal[[#Headers],[C4]],Database_Productkaarten[#All],18,FALSE),0)*Baseline!I16),0))</f>
        <v>51.800000000000004</v>
      </c>
      <c r="P119" s="56">
        <f>(IF(Baseline!C16="Bestaande Situatie",(_xlfn.IFNA(VLOOKUP(Referentie_CO2_Totaal[[#This Row],[Product]]&amp;", "&amp;Referentie_CO2_Totaal[[#Headers],[D1]],Database_Productkaarten[#All],18,FALSE),0)*Baseline!I16),0))</f>
        <v>0</v>
      </c>
      <c r="Q119" s="57">
        <f>(IF(Baseline!C16="Bestaande Situatie",_xlfn.IFNA(VLOOKUP(Referentie_CO2_Totaal[[#This Row],[Product]]&amp;", "&amp;Referentie_CO2_Totaal[[#Headers],[D2]],Database_Productkaarten[#All],18,FALSE),0)*Baseline!I16,0))</f>
        <v>0</v>
      </c>
      <c r="R119" s="57">
        <f>(IF(Baseline!C16="Bestaande Situatie",(_xlfn.IFNA(VLOOKUP(Referentie_CO2_Totaal[[#This Row],[Product]]&amp;", "&amp;Referentie_CO2_Totaal[[#Headers],[D]],Database_Productkaarten[#All],18,FALSE),0)*Baseline!I16),0))</f>
        <v>41.125</v>
      </c>
      <c r="S119" s="56">
        <f>SUM(Referentie_CO2_Totaal[[#This Row],[A1-A3]:[C4]])+Referentie_CO2_Totaal[[#This Row],[D]]</f>
        <v>3031.8782378500005</v>
      </c>
    </row>
    <row r="120" spans="2:19">
      <c r="B120" s="208" t="str">
        <f>Baseline!B17</f>
        <v>121310 - Verwijderen en afvoeren kolken, incl aansluitingen</v>
      </c>
      <c r="C120" s="1" t="str">
        <f>Baseline!F17</f>
        <v>Kolk, Staal &amp; Beton</v>
      </c>
      <c r="D120" s="56">
        <f>(IF(Baseline!C17="Nieuwe Situatie",(_xlfn.IFNA(VLOOKUP(Referentie_CO2_Totaal[[#This Row],[Product]]&amp;", "&amp;Referentie_CO2_Totaal[[#Headers],[A1]],Database_Productkaarten[#All],18,FALSE),0)*Baseline!I17),0))</f>
        <v>0</v>
      </c>
      <c r="E120" s="56">
        <f>(IF(Baseline!C17="Nieuwe Situatie",(_xlfn.IFNA(VLOOKUP(Referentie_CO2_Totaal[[#This Row],[Product]]&amp;", "&amp;Referentie_CO2_Totaal[[#Headers],[A2]],Database_Productkaarten[#All],18,FALSE),0)*Baseline!I17),0))</f>
        <v>0</v>
      </c>
      <c r="F120" s="56">
        <f>(IF(Baseline!C17="Nieuwe Situatie",(_xlfn.IFNA(VLOOKUP(Referentie_CO2_Totaal[[#This Row],[Product]]&amp;", "&amp;Referentie_CO2_Totaal[[#Headers],[A3]],Database_Productkaarten[#All],18,FALSE),0)*Baseline!I17),0))</f>
        <v>0</v>
      </c>
      <c r="G120" s="56">
        <f>(IF(Baseline!C17="Nieuwe Situatie",(_xlfn.IFNA(VLOOKUP(Referentie_CO2_Totaal[[#This Row],[Product]]&amp;", "&amp;Referentie_CO2_Totaal[[#Headers],[A1-A3]],Database_Productkaarten[#All],18,FALSE),0)*Baseline!I17),0))</f>
        <v>0</v>
      </c>
      <c r="H120" s="56">
        <f>IF(Baseline!T17=0,(IF(Baseline!C17="Nieuwe Situatie",(_xlfn.IFNA(VLOOKUP(Referentie_CO2_Totaal[[#This Row],[Product]]&amp;", "&amp;Referentie_CO2_Totaal[[#Headers],[A4]],Database_Productkaarten[#All],18,FALSE),0)*Baseline!I17),0)),IF(Baseline!C17="Nieuwe Situatie",_xlfn.IFNA(VLOOKUP(Baseline!T17,Database_Transport[#All],12,FALSE)*(Baseline!Q17*Baseline!S17),Baseline_Backlog!H120),0))</f>
        <v>0</v>
      </c>
      <c r="I120" s="56">
        <f>IF(Baseline!C17="Nieuwe situatie",IF(_xlfn.IFNA((VLOOKUP(Baseline!U17,Database_Asfalt_Aanlegset[#All],12,FALSE)*Baseline!I17),0)+_xlfn.IFNA(VLOOKUP(Baseline!V17,Database_Brandstoffen[#All],12,FALSE)*((Baseline!I17/Baseline!X17)*Baseline!W17),0)&gt;0,_xlfn.IFNA((VLOOKUP(Baseline!U17,Database_Asfalt_Aanlegset[#All],12,FALSE)*Baseline!I17),0)+_xlfn.IFNA(VLOOKUP(Baseline!V17,Database_Brandstoffen[#All],12,FALSE)*((Baseline!I17/Baseline!X17)*Baseline!W17),0),(_xlfn.IFNA(VLOOKUP(Referentie_CO2_Totaal[[#This Row],[Product]]&amp;", "&amp;Referentie_MKI_Totaal[[#Headers],[A5]],Database_Productkaarten[#All],18,FALSE),0)*Baseline!I17)),0)</f>
        <v>0</v>
      </c>
      <c r="J120" s="56">
        <f>(IF(Baseline!C17="Nieuwe Situatie",(_xlfn.IFNA(VLOOKUP(Referentie_CO2_Totaal[[#This Row],[Product]]&amp;", "&amp;Referentie_CO2_Totaal[[#Headers],[B1]],Database_Productkaarten[#All],18,FALSE),0)*Baseline!I17),0))</f>
        <v>0</v>
      </c>
      <c r="K120" s="56">
        <f>(IF(Baseline!C17="Nieuwe Situatie",(SUM(Referentie_CO2_Totaal[[#This Row],[A1]:[B1]],Referentie_CO2_Totaal[[#This Row],[C1]:[D2]])*Baseline!R17),0))</f>
        <v>0</v>
      </c>
      <c r="L120" s="56">
        <f>IF(Baseline!C17="Bestaande situatie",IF(_xlfn.IFNA((VLOOKUP(Baseline!Y17,Database_Asfalt_Verwijderset[#All],12,FALSE)*Baseline!I17),0)+_xlfn.IFNA(VLOOKUP(Baseline!Z17,Database_Brandstoffen[#All],12,FALSE)*((Baseline!I17/Baseline!AB17)*Baseline!AA17),0)&gt;0,_xlfn.IFNA((VLOOKUP(Baseline!Y17,Database_Asfalt_Verwijderset[#All],12,FALSE)*Baseline!I17),0)+_xlfn.IFNA(VLOOKUP(Baseline!Z17,Database_Brandstoffen[#All],12,FALSE)*((Baseline!I17/Baseline!AB17)*Baseline!AA17),0),(_xlfn.IFNA(VLOOKUP(Referentie_CO2_Totaal[[#This Row],[Product]]&amp;", "&amp;Referentie_MKI_Totaal[[#Headers],[C1]],Database_Productkaarten[#All],18,FALSE),0)*Baseline!I17)),0)</f>
        <v>5571.7675957437323</v>
      </c>
      <c r="M120" s="56">
        <f>IF(Baseline!AD17=0,(IF(Baseline!C17="Bestaande Situatie",(_xlfn.IFNA(VLOOKUP(Referentie_CO2_Totaal[[#This Row],[Product]]&amp;", "&amp;Referentie_MKI_Totaal[[#Headers],[C2]],Database_Productkaarten[#All],18,FALSE),0)*Baseline!I17),0)),(IF(Baseline!C17="Bestaande Situatie",_xlfn.IFNA(VLOOKUP(Baseline!AD17,Database_Transport[#All],12,FALSE)*(Baseline!Q17*Baseline!AC17),0))))</f>
        <v>73.477884002969603</v>
      </c>
      <c r="N120" s="56">
        <f>(IF(Baseline!C17="Bestaande Situatie",(_xlfn.IFNA(VLOOKUP(Referentie_CO2_Totaal[[#This Row],[Product]]&amp;", "&amp;Referentie_CO2_Totaal[[#Headers],[C3]],Database_Productkaarten[#All],18,FALSE),0)*Baseline!I17),0))</f>
        <v>1678.5072234000002</v>
      </c>
      <c r="O120" s="56">
        <f>(IF(Baseline!C17="Bestaande Situatie",(_xlfn.IFNA(VLOOKUP(Referentie_CO2_Totaal[[#This Row],[Product]]&amp;", "&amp;Referentie_CO2_Totaal[[#Headers],[C4]],Database_Productkaarten[#All],18,FALSE),0)*Baseline!I17),0))</f>
        <v>3.3020828900000003</v>
      </c>
      <c r="P120" s="56">
        <f>(IF(Baseline!C17="Bestaande Situatie",(_xlfn.IFNA(VLOOKUP(Referentie_CO2_Totaal[[#This Row],[Product]]&amp;", "&amp;Referentie_CO2_Totaal[[#Headers],[D1]],Database_Productkaarten[#All],18,FALSE),0)*Baseline!I17),0))</f>
        <v>-6387.24</v>
      </c>
      <c r="Q120" s="57">
        <f>(IF(Baseline!C17="Bestaande Situatie",_xlfn.IFNA(VLOOKUP(Referentie_CO2_Totaal[[#This Row],[Product]]&amp;", "&amp;Referentie_CO2_Totaal[[#Headers],[D2]],Database_Productkaarten[#All],18,FALSE),0)*Baseline!I17,0))</f>
        <v>0</v>
      </c>
      <c r="R120" s="57">
        <f>(IF(Baseline!C17="Bestaande Situatie",(_xlfn.IFNA(VLOOKUP(Referentie_CO2_Totaal[[#This Row],[Product]]&amp;", "&amp;Referentie_CO2_Totaal[[#Headers],[D]],Database_Productkaarten[#All],18,FALSE),0)*Baseline!I17),0))</f>
        <v>-8698.96234</v>
      </c>
      <c r="S120" s="56">
        <f>SUM(Referentie_CO2_Totaal[[#This Row],[A1-A3]:[C4]])+Referentie_CO2_Totaal[[#This Row],[D]]</f>
        <v>-1371.9075539632986</v>
      </c>
    </row>
    <row r="121" spans="2:19">
      <c r="B121" s="208" t="str">
        <f>Baseline!B18</f>
        <v>210010 - Grond ontgraven uit cunet wegen en parkeervakken 0,25 m</v>
      </c>
      <c r="C121" s="1" t="str">
        <f>Baseline!F18</f>
        <v>Ophoogmateriaal (Grond)</v>
      </c>
      <c r="D121" s="56">
        <f>(IF(Baseline!C18="Nieuwe Situatie",(_xlfn.IFNA(VLOOKUP(Referentie_CO2_Totaal[[#This Row],[Product]]&amp;", "&amp;Referentie_CO2_Totaal[[#Headers],[A1]],Database_Productkaarten[#All],18,FALSE),0)*Baseline!I18),0))</f>
        <v>0</v>
      </c>
      <c r="E121" s="56">
        <f>(IF(Baseline!C18="Nieuwe Situatie",(_xlfn.IFNA(VLOOKUP(Referentie_CO2_Totaal[[#This Row],[Product]]&amp;", "&amp;Referentie_CO2_Totaal[[#Headers],[A2]],Database_Productkaarten[#All],18,FALSE),0)*Baseline!I18),0))</f>
        <v>0</v>
      </c>
      <c r="F121" s="56">
        <f>(IF(Baseline!C18="Nieuwe Situatie",(_xlfn.IFNA(VLOOKUP(Referentie_CO2_Totaal[[#This Row],[Product]]&amp;", "&amp;Referentie_CO2_Totaal[[#Headers],[A3]],Database_Productkaarten[#All],18,FALSE),0)*Baseline!I18),0))</f>
        <v>0</v>
      </c>
      <c r="G121" s="56">
        <f>(IF(Baseline!C18="Nieuwe Situatie",(_xlfn.IFNA(VLOOKUP(Referentie_CO2_Totaal[[#This Row],[Product]]&amp;", "&amp;Referentie_CO2_Totaal[[#Headers],[A1-A3]],Database_Productkaarten[#All],18,FALSE),0)*Baseline!I18),0))</f>
        <v>0</v>
      </c>
      <c r="H121" s="56">
        <f>IF(Baseline!T18=0,(IF(Baseline!C18="Nieuwe Situatie",(_xlfn.IFNA(VLOOKUP(Referentie_CO2_Totaal[[#This Row],[Product]]&amp;", "&amp;Referentie_CO2_Totaal[[#Headers],[A4]],Database_Productkaarten[#All],18,FALSE),0)*Baseline!I18),0)),IF(Baseline!C18="Nieuwe Situatie",_xlfn.IFNA(VLOOKUP(Baseline!T18,Database_Transport[#All],12,FALSE)*(Baseline!Q18*Baseline!S18),Baseline_Backlog!H121),0))</f>
        <v>0</v>
      </c>
      <c r="I121" s="56">
        <f>IF(Baseline!C18="Nieuwe situatie",IF(_xlfn.IFNA((VLOOKUP(Baseline!U18,Database_Asfalt_Aanlegset[#All],12,FALSE)*Baseline!I18),0)+_xlfn.IFNA(VLOOKUP(Baseline!V18,Database_Brandstoffen[#All],12,FALSE)*((Baseline!I18/Baseline!X18)*Baseline!W18),0)&gt;0,_xlfn.IFNA((VLOOKUP(Baseline!U18,Database_Asfalt_Aanlegset[#All],12,FALSE)*Baseline!I18),0)+_xlfn.IFNA(VLOOKUP(Baseline!V18,Database_Brandstoffen[#All],12,FALSE)*((Baseline!I18/Baseline!X18)*Baseline!W18),0),(_xlfn.IFNA(VLOOKUP(Referentie_CO2_Totaal[[#This Row],[Product]]&amp;", "&amp;Referentie_MKI_Totaal[[#Headers],[A5]],Database_Productkaarten[#All],18,FALSE),0)*Baseline!I18)),0)</f>
        <v>0</v>
      </c>
      <c r="J121" s="56">
        <f>(IF(Baseline!C18="Nieuwe Situatie",(_xlfn.IFNA(VLOOKUP(Referentie_CO2_Totaal[[#This Row],[Product]]&amp;", "&amp;Referentie_CO2_Totaal[[#Headers],[B1]],Database_Productkaarten[#All],18,FALSE),0)*Baseline!I18),0))</f>
        <v>0</v>
      </c>
      <c r="K121" s="56">
        <f>(IF(Baseline!C18="Nieuwe Situatie",(SUM(Referentie_CO2_Totaal[[#This Row],[A1]:[B1]],Referentie_CO2_Totaal[[#This Row],[C1]:[D2]])*Baseline!R18),0))</f>
        <v>0</v>
      </c>
      <c r="L121" s="56">
        <f>IF(Baseline!C18="Bestaande situatie",IF(_xlfn.IFNA((VLOOKUP(Baseline!Y18,Database_Asfalt_Verwijderset[#All],12,FALSE)*Baseline!I18),0)+_xlfn.IFNA(VLOOKUP(Baseline!Z18,Database_Brandstoffen[#All],12,FALSE)*((Baseline!I18/Baseline!AB18)*Baseline!AA18),0)&gt;0,_xlfn.IFNA((VLOOKUP(Baseline!Y18,Database_Asfalt_Verwijderset[#All],12,FALSE)*Baseline!I18),0)+_xlfn.IFNA(VLOOKUP(Baseline!Z18,Database_Brandstoffen[#All],12,FALSE)*((Baseline!I18/Baseline!AB18)*Baseline!AA18),0),(_xlfn.IFNA(VLOOKUP(Referentie_CO2_Totaal[[#This Row],[Product]]&amp;", "&amp;Referentie_MKI_Totaal[[#Headers],[C1]],Database_Productkaarten[#All],18,FALSE),0)*Baseline!I18)),0)</f>
        <v>3922.3032732679994</v>
      </c>
      <c r="M121" s="56">
        <f>IF(Baseline!AD18=0,(IF(Baseline!C18="Bestaande Situatie",(_xlfn.IFNA(VLOOKUP(Referentie_CO2_Totaal[[#This Row],[Product]]&amp;", "&amp;Referentie_MKI_Totaal[[#Headers],[C2]],Database_Productkaarten[#All],18,FALSE),0)*Baseline!I18),0)),(IF(Baseline!C18="Bestaande Situatie",_xlfn.IFNA(VLOOKUP(Baseline!AD18,Database_Transport[#All],12,FALSE)*(Baseline!Q18*Baseline!AC18),0))))</f>
        <v>14628.801678399999</v>
      </c>
      <c r="N121" s="56">
        <f>(IF(Baseline!C18="Bestaande Situatie",(_xlfn.IFNA(VLOOKUP(Referentie_CO2_Totaal[[#This Row],[Product]]&amp;", "&amp;Referentie_CO2_Totaal[[#Headers],[C3]],Database_Productkaarten[#All],18,FALSE),0)*Baseline!I18),0))</f>
        <v>0</v>
      </c>
      <c r="O121" s="56">
        <f>(IF(Baseline!C18="Bestaande Situatie",(_xlfn.IFNA(VLOOKUP(Referentie_CO2_Totaal[[#This Row],[Product]]&amp;", "&amp;Referentie_CO2_Totaal[[#Headers],[C4]],Database_Productkaarten[#All],18,FALSE),0)*Baseline!I18),0))</f>
        <v>451.8</v>
      </c>
      <c r="P121" s="56">
        <f>(IF(Baseline!C18="Bestaande Situatie",(_xlfn.IFNA(VLOOKUP(Referentie_CO2_Totaal[[#This Row],[Product]]&amp;", "&amp;Referentie_CO2_Totaal[[#Headers],[D1]],Database_Productkaarten[#All],18,FALSE),0)*Baseline!I18),0))</f>
        <v>0</v>
      </c>
      <c r="Q121" s="57">
        <f>(IF(Baseline!C18="Bestaande Situatie",_xlfn.IFNA(VLOOKUP(Referentie_CO2_Totaal[[#This Row],[Product]]&amp;", "&amp;Referentie_CO2_Totaal[[#Headers],[D2]],Database_Productkaarten[#All],18,FALSE),0)*Baseline!I18,0))</f>
        <v>0</v>
      </c>
      <c r="R121" s="57">
        <f>(IF(Baseline!C18="Bestaande Situatie",(_xlfn.IFNA(VLOOKUP(Referentie_CO2_Totaal[[#This Row],[Product]]&amp;", "&amp;Referentie_CO2_Totaal[[#Headers],[D]],Database_Productkaarten[#All],18,FALSE),0)*Baseline!I18),0))</f>
        <v>0</v>
      </c>
      <c r="S121" s="56">
        <f>SUM(Referentie_CO2_Totaal[[#This Row],[A1-A3]:[C4]])+Referentie_CO2_Totaal[[#This Row],[D]]</f>
        <v>19002.904951667999</v>
      </c>
    </row>
    <row r="122" spans="2:19">
      <c r="B122" s="208" t="str">
        <f>Baseline!B19</f>
        <v>210020 - Grond ontgraven uit sleuf riolering (gerekend met 11,5m3/m1 riool)</v>
      </c>
      <c r="C122" s="1" t="str">
        <f>Baseline!F19</f>
        <v>Ophoogmateriaal (Grond)</v>
      </c>
      <c r="D122" s="56">
        <f>(IF(Baseline!C19="Nieuwe Situatie",(_xlfn.IFNA(VLOOKUP(Referentie_CO2_Totaal[[#This Row],[Product]]&amp;", "&amp;Referentie_CO2_Totaal[[#Headers],[A1]],Database_Productkaarten[#All],18,FALSE),0)*Baseline!I19),0))</f>
        <v>0</v>
      </c>
      <c r="E122" s="56">
        <f>(IF(Baseline!C19="Nieuwe Situatie",(_xlfn.IFNA(VLOOKUP(Referentie_CO2_Totaal[[#This Row],[Product]]&amp;", "&amp;Referentie_CO2_Totaal[[#Headers],[A2]],Database_Productkaarten[#All],18,FALSE),0)*Baseline!I19),0))</f>
        <v>0</v>
      </c>
      <c r="F122" s="56">
        <f>(IF(Baseline!C19="Nieuwe Situatie",(_xlfn.IFNA(VLOOKUP(Referentie_CO2_Totaal[[#This Row],[Product]]&amp;", "&amp;Referentie_CO2_Totaal[[#Headers],[A3]],Database_Productkaarten[#All],18,FALSE),0)*Baseline!I19),0))</f>
        <v>0</v>
      </c>
      <c r="G122" s="56">
        <f>(IF(Baseline!C19="Nieuwe Situatie",(_xlfn.IFNA(VLOOKUP(Referentie_CO2_Totaal[[#This Row],[Product]]&amp;", "&amp;Referentie_CO2_Totaal[[#Headers],[A1-A3]],Database_Productkaarten[#All],18,FALSE),0)*Baseline!I19),0))</f>
        <v>0</v>
      </c>
      <c r="H122" s="56">
        <f>IF(Baseline!T19=0,(IF(Baseline!C19="Nieuwe Situatie",(_xlfn.IFNA(VLOOKUP(Referentie_CO2_Totaal[[#This Row],[Product]]&amp;", "&amp;Referentie_CO2_Totaal[[#Headers],[A4]],Database_Productkaarten[#All],18,FALSE),0)*Baseline!I19),0)),IF(Baseline!C19="Nieuwe Situatie",_xlfn.IFNA(VLOOKUP(Baseline!T19,Database_Transport[#All],12,FALSE)*(Baseline!Q19*Baseline!S19),Baseline_Backlog!H122),0))</f>
        <v>0</v>
      </c>
      <c r="I122" s="56">
        <f>IF(Baseline!C19="Nieuwe situatie",IF(_xlfn.IFNA((VLOOKUP(Baseline!U19,Database_Asfalt_Aanlegset[#All],12,FALSE)*Baseline!I19),0)+_xlfn.IFNA(VLOOKUP(Baseline!V19,Database_Brandstoffen[#All],12,FALSE)*((Baseline!I19/Baseline!X19)*Baseline!W19),0)&gt;0,_xlfn.IFNA((VLOOKUP(Baseline!U19,Database_Asfalt_Aanlegset[#All],12,FALSE)*Baseline!I19),0)+_xlfn.IFNA(VLOOKUP(Baseline!V19,Database_Brandstoffen[#All],12,FALSE)*((Baseline!I19/Baseline!X19)*Baseline!W19),0),(_xlfn.IFNA(VLOOKUP(Referentie_CO2_Totaal[[#This Row],[Product]]&amp;", "&amp;Referentie_MKI_Totaal[[#Headers],[A5]],Database_Productkaarten[#All],18,FALSE),0)*Baseline!I19)),0)</f>
        <v>0</v>
      </c>
      <c r="J122" s="56">
        <f>(IF(Baseline!C19="Nieuwe Situatie",(_xlfn.IFNA(VLOOKUP(Referentie_CO2_Totaal[[#This Row],[Product]]&amp;", "&amp;Referentie_CO2_Totaal[[#Headers],[B1]],Database_Productkaarten[#All],18,FALSE),0)*Baseline!I19),0))</f>
        <v>0</v>
      </c>
      <c r="K122" s="56">
        <f>(IF(Baseline!C19="Nieuwe Situatie",(SUM(Referentie_CO2_Totaal[[#This Row],[A1]:[B1]],Referentie_CO2_Totaal[[#This Row],[C1]:[D2]])*Baseline!R19),0))</f>
        <v>0</v>
      </c>
      <c r="L122" s="56">
        <f>IF(Baseline!C19="Bestaande situatie",IF(_xlfn.IFNA((VLOOKUP(Baseline!Y19,Database_Asfalt_Verwijderset[#All],12,FALSE)*Baseline!I19),0)+_xlfn.IFNA(VLOOKUP(Baseline!Z19,Database_Brandstoffen[#All],12,FALSE)*((Baseline!I19/Baseline!AB19)*Baseline!AA19),0)&gt;0,_xlfn.IFNA((VLOOKUP(Baseline!Y19,Database_Asfalt_Verwijderset[#All],12,FALSE)*Baseline!I19),0)+_xlfn.IFNA(VLOOKUP(Baseline!Z19,Database_Brandstoffen[#All],12,FALSE)*((Baseline!I19/Baseline!AB19)*Baseline!AA19),0),(_xlfn.IFNA(VLOOKUP(Referentie_CO2_Totaal[[#This Row],[Product]]&amp;", "&amp;Referentie_MKI_Totaal[[#Headers],[C1]],Database_Productkaarten[#All],18,FALSE),0)*Baseline!I19)),0)</f>
        <v>14767.237423259998</v>
      </c>
      <c r="M122" s="56">
        <f>IF(Baseline!AD19=0,(IF(Baseline!C19="Bestaande Situatie",(_xlfn.IFNA(VLOOKUP(Referentie_CO2_Totaal[[#This Row],[Product]]&amp;", "&amp;Referentie_MKI_Totaal[[#Headers],[C2]],Database_Productkaarten[#All],18,FALSE),0)*Baseline!I19),0)),(IF(Baseline!C19="Bestaande Situatie",_xlfn.IFNA(VLOOKUP(Baseline!AD19,Database_Transport[#All],12,FALSE)*(Baseline!Q19*Baseline!AC19),0))))</f>
        <v>13769.141022</v>
      </c>
      <c r="N122" s="56">
        <f>(IF(Baseline!C19="Bestaande Situatie",(_xlfn.IFNA(VLOOKUP(Referentie_CO2_Totaal[[#This Row],[Product]]&amp;", "&amp;Referentie_CO2_Totaal[[#Headers],[C3]],Database_Productkaarten[#All],18,FALSE),0)*Baseline!I19),0))</f>
        <v>0</v>
      </c>
      <c r="O122" s="56">
        <f>(IF(Baseline!C19="Bestaande Situatie",(_xlfn.IFNA(VLOOKUP(Referentie_CO2_Totaal[[#This Row],[Product]]&amp;", "&amp;Referentie_CO2_Totaal[[#Headers],[C4]],Database_Productkaarten[#All],18,FALSE),0)*Baseline!I19),0))</f>
        <v>1701</v>
      </c>
      <c r="P122" s="56">
        <f>(IF(Baseline!C19="Bestaande Situatie",(_xlfn.IFNA(VLOOKUP(Referentie_CO2_Totaal[[#This Row],[Product]]&amp;", "&amp;Referentie_CO2_Totaal[[#Headers],[D1]],Database_Productkaarten[#All],18,FALSE),0)*Baseline!I19),0))</f>
        <v>0</v>
      </c>
      <c r="Q122" s="57">
        <f>(IF(Baseline!C19="Bestaande Situatie",_xlfn.IFNA(VLOOKUP(Referentie_CO2_Totaal[[#This Row],[Product]]&amp;", "&amp;Referentie_CO2_Totaal[[#Headers],[D2]],Database_Productkaarten[#All],18,FALSE),0)*Baseline!I19,0))</f>
        <v>0</v>
      </c>
      <c r="R122" s="57">
        <f>(IF(Baseline!C19="Bestaande Situatie",(_xlfn.IFNA(VLOOKUP(Referentie_CO2_Totaal[[#This Row],[Product]]&amp;", "&amp;Referentie_CO2_Totaal[[#Headers],[D]],Database_Productkaarten[#All],18,FALSE),0)*Baseline!I19),0))</f>
        <v>0</v>
      </c>
      <c r="S122" s="56">
        <f>SUM(Referentie_CO2_Totaal[[#This Row],[A1-A3]:[C4]])+Referentie_CO2_Totaal[[#This Row],[D]]</f>
        <v>30237.378445259998</v>
      </c>
    </row>
    <row r="123" spans="2:19">
      <c r="B123" s="208" t="str">
        <f>Baseline!B20</f>
        <v>210030 - Grond ontgraven uit plantvak</v>
      </c>
      <c r="C123" s="1" t="str">
        <f>Baseline!F20</f>
        <v>Ophoogmateriaal (Grond)</v>
      </c>
      <c r="D123" s="56">
        <f>(IF(Baseline!C20="Nieuwe Situatie",(_xlfn.IFNA(VLOOKUP(Referentie_CO2_Totaal[[#This Row],[Product]]&amp;", "&amp;Referentie_CO2_Totaal[[#Headers],[A1]],Database_Productkaarten[#All],18,FALSE),0)*Baseline!I20),0))</f>
        <v>0</v>
      </c>
      <c r="E123" s="56">
        <f>(IF(Baseline!C20="Nieuwe Situatie",(_xlfn.IFNA(VLOOKUP(Referentie_CO2_Totaal[[#This Row],[Product]]&amp;", "&amp;Referentie_CO2_Totaal[[#Headers],[A2]],Database_Productkaarten[#All],18,FALSE),0)*Baseline!I20),0))</f>
        <v>0</v>
      </c>
      <c r="F123" s="56">
        <f>(IF(Baseline!C20="Nieuwe Situatie",(_xlfn.IFNA(VLOOKUP(Referentie_CO2_Totaal[[#This Row],[Product]]&amp;", "&amp;Referentie_CO2_Totaal[[#Headers],[A3]],Database_Productkaarten[#All],18,FALSE),0)*Baseline!I20),0))</f>
        <v>0</v>
      </c>
      <c r="G123" s="56">
        <f>(IF(Baseline!C20="Nieuwe Situatie",(_xlfn.IFNA(VLOOKUP(Referentie_CO2_Totaal[[#This Row],[Product]]&amp;", "&amp;Referentie_CO2_Totaal[[#Headers],[A1-A3]],Database_Productkaarten[#All],18,FALSE),0)*Baseline!I20),0))</f>
        <v>0</v>
      </c>
      <c r="H123" s="56">
        <f>IF(Baseline!T20=0,(IF(Baseline!C20="Nieuwe Situatie",(_xlfn.IFNA(VLOOKUP(Referentie_CO2_Totaal[[#This Row],[Product]]&amp;", "&amp;Referentie_CO2_Totaal[[#Headers],[A4]],Database_Productkaarten[#All],18,FALSE),0)*Baseline!I20),0)),IF(Baseline!C20="Nieuwe Situatie",_xlfn.IFNA(VLOOKUP(Baseline!T20,Database_Transport[#All],12,FALSE)*(Baseline!Q20*Baseline!S20),Baseline_Backlog!H123),0))</f>
        <v>0</v>
      </c>
      <c r="I123" s="56">
        <f>IF(Baseline!C20="Nieuwe situatie",IF(_xlfn.IFNA((VLOOKUP(Baseline!U20,Database_Asfalt_Aanlegset[#All],12,FALSE)*Baseline!I20),0)+_xlfn.IFNA(VLOOKUP(Baseline!V20,Database_Brandstoffen[#All],12,FALSE)*((Baseline!I20/Baseline!X20)*Baseline!W20),0)&gt;0,_xlfn.IFNA((VLOOKUP(Baseline!U20,Database_Asfalt_Aanlegset[#All],12,FALSE)*Baseline!I20),0)+_xlfn.IFNA(VLOOKUP(Baseline!V20,Database_Brandstoffen[#All],12,FALSE)*((Baseline!I20/Baseline!X20)*Baseline!W20),0),(_xlfn.IFNA(VLOOKUP(Referentie_CO2_Totaal[[#This Row],[Product]]&amp;", "&amp;Referentie_MKI_Totaal[[#Headers],[A5]],Database_Productkaarten[#All],18,FALSE),0)*Baseline!I20)),0)</f>
        <v>0</v>
      </c>
      <c r="J123" s="56">
        <f>(IF(Baseline!C20="Nieuwe Situatie",(_xlfn.IFNA(VLOOKUP(Referentie_CO2_Totaal[[#This Row],[Product]]&amp;", "&amp;Referentie_CO2_Totaal[[#Headers],[B1]],Database_Productkaarten[#All],18,FALSE),0)*Baseline!I20),0))</f>
        <v>0</v>
      </c>
      <c r="K123" s="56">
        <f>(IF(Baseline!C20="Nieuwe Situatie",(SUM(Referentie_CO2_Totaal[[#This Row],[A1]:[B1]],Referentie_CO2_Totaal[[#This Row],[C1]:[D2]])*Baseline!R20),0))</f>
        <v>0</v>
      </c>
      <c r="L123" s="56">
        <f>IF(Baseline!C20="Bestaande situatie",IF(_xlfn.IFNA((VLOOKUP(Baseline!Y20,Database_Asfalt_Verwijderset[#All],12,FALSE)*Baseline!I20),0)+_xlfn.IFNA(VLOOKUP(Baseline!Z20,Database_Brandstoffen[#All],12,FALSE)*((Baseline!I20/Baseline!AB20)*Baseline!AA20),0)&gt;0,_xlfn.IFNA((VLOOKUP(Baseline!Y20,Database_Asfalt_Verwijderset[#All],12,FALSE)*Baseline!I20),0)+_xlfn.IFNA(VLOOKUP(Baseline!Z20,Database_Brandstoffen[#All],12,FALSE)*((Baseline!I20/Baseline!AB20)*Baseline!AA20),0),(_xlfn.IFNA(VLOOKUP(Referentie_CO2_Totaal[[#This Row],[Product]]&amp;", "&amp;Referentie_MKI_Totaal[[#Headers],[C1]],Database_Productkaarten[#All],18,FALSE),0)*Baseline!I20)),0)</f>
        <v>3659.7746079655994</v>
      </c>
      <c r="M123" s="56">
        <f>IF(Baseline!AD20=0,(IF(Baseline!C20="Bestaande Situatie",(_xlfn.IFNA(VLOOKUP(Referentie_CO2_Totaal[[#This Row],[Product]]&amp;", "&amp;Referentie_MKI_Totaal[[#Headers],[C2]],Database_Productkaarten[#All],18,FALSE),0)*Baseline!I20),0)),(IF(Baseline!C20="Bestaande Situatie",_xlfn.IFNA(VLOOKUP(Baseline!AD20,Database_Transport[#All],12,FALSE)*(Baseline!Q20*Baseline!AC20),0))))</f>
        <v>13649.662761279998</v>
      </c>
      <c r="N123" s="56">
        <f>(IF(Baseline!C20="Bestaande Situatie",(_xlfn.IFNA(VLOOKUP(Referentie_CO2_Totaal[[#This Row],[Product]]&amp;", "&amp;Referentie_CO2_Totaal[[#Headers],[C3]],Database_Productkaarten[#All],18,FALSE),0)*Baseline!I20),0))</f>
        <v>0</v>
      </c>
      <c r="O123" s="56">
        <f>(IF(Baseline!C20="Bestaande Situatie",(_xlfn.IFNA(VLOOKUP(Referentie_CO2_Totaal[[#This Row],[Product]]&amp;", "&amp;Referentie_CO2_Totaal[[#Headers],[C4]],Database_Productkaarten[#All],18,FALSE),0)*Baseline!I20),0))</f>
        <v>421.56</v>
      </c>
      <c r="P123" s="56">
        <f>(IF(Baseline!C20="Bestaande Situatie",(_xlfn.IFNA(VLOOKUP(Referentie_CO2_Totaal[[#This Row],[Product]]&amp;", "&amp;Referentie_CO2_Totaal[[#Headers],[D1]],Database_Productkaarten[#All],18,FALSE),0)*Baseline!I20),0))</f>
        <v>0</v>
      </c>
      <c r="Q123" s="57">
        <f>(IF(Baseline!C20="Bestaande Situatie",_xlfn.IFNA(VLOOKUP(Referentie_CO2_Totaal[[#This Row],[Product]]&amp;", "&amp;Referentie_CO2_Totaal[[#Headers],[D2]],Database_Productkaarten[#All],18,FALSE),0)*Baseline!I20,0))</f>
        <v>0</v>
      </c>
      <c r="R123" s="57">
        <f>(IF(Baseline!C20="Bestaande Situatie",(_xlfn.IFNA(VLOOKUP(Referentie_CO2_Totaal[[#This Row],[Product]]&amp;", "&amp;Referentie_CO2_Totaal[[#Headers],[D]],Database_Productkaarten[#All],18,FALSE),0)*Baseline!I20),0))</f>
        <v>0</v>
      </c>
      <c r="S123" s="56">
        <f>SUM(Referentie_CO2_Totaal[[#This Row],[A1-A3]:[C4]])+Referentie_CO2_Totaal[[#This Row],[D]]</f>
        <v>17730.997369245601</v>
      </c>
    </row>
    <row r="124" spans="2:19">
      <c r="B124" s="208" t="str">
        <f>Baseline!B21</f>
        <v>220010 - Grond verwerken in sleuf riolering</v>
      </c>
      <c r="C124" s="1" t="str">
        <f>Baseline!F21</f>
        <v>Ophoogmateriaal (Grond)</v>
      </c>
      <c r="D124" s="56">
        <f>(IF(Baseline!C21="Nieuwe Situatie",(_xlfn.IFNA(VLOOKUP(Referentie_CO2_Totaal[[#This Row],[Product]]&amp;", "&amp;Referentie_CO2_Totaal[[#Headers],[A1]],Database_Productkaarten[#All],18,FALSE),0)*Baseline!I21),0))</f>
        <v>0</v>
      </c>
      <c r="E124" s="56">
        <f>(IF(Baseline!C21="Nieuwe Situatie",(_xlfn.IFNA(VLOOKUP(Referentie_CO2_Totaal[[#This Row],[Product]]&amp;", "&amp;Referentie_CO2_Totaal[[#Headers],[A2]],Database_Productkaarten[#All],18,FALSE),0)*Baseline!I21),0))</f>
        <v>0</v>
      </c>
      <c r="F124" s="56">
        <f>(IF(Baseline!C21="Nieuwe Situatie",(_xlfn.IFNA(VLOOKUP(Referentie_CO2_Totaal[[#This Row],[Product]]&amp;", "&amp;Referentie_CO2_Totaal[[#Headers],[A3]],Database_Productkaarten[#All],18,FALSE),0)*Baseline!I21),0))</f>
        <v>0</v>
      </c>
      <c r="G124" s="56">
        <f>(IF(Baseline!C21="Nieuwe Situatie",(_xlfn.IFNA(VLOOKUP(Referentie_CO2_Totaal[[#This Row],[Product]]&amp;", "&amp;Referentie_CO2_Totaal[[#Headers],[A1-A3]],Database_Productkaarten[#All],18,FALSE),0)*Baseline!I21),0))</f>
        <v>0</v>
      </c>
      <c r="H124" s="56">
        <f>IF(Baseline!T21=0,(IF(Baseline!C21="Nieuwe Situatie",(_xlfn.IFNA(VLOOKUP(Referentie_CO2_Totaal[[#This Row],[Product]]&amp;", "&amp;Referentie_CO2_Totaal[[#Headers],[A4]],Database_Productkaarten[#All],18,FALSE),0)*Baseline!I21),0)),IF(Baseline!C21="Nieuwe Situatie",_xlfn.IFNA(VLOOKUP(Baseline!T21,Database_Transport[#All],12,FALSE)*(Baseline!Q21*Baseline!S21),Baseline_Backlog!H124),0))</f>
        <v>13769.141022</v>
      </c>
      <c r="I124" s="56">
        <f>IF(Baseline!C21="Nieuwe situatie",IF(_xlfn.IFNA((VLOOKUP(Baseline!U21,Database_Asfalt_Aanlegset[#All],12,FALSE)*Baseline!I21),0)+_xlfn.IFNA(VLOOKUP(Baseline!V21,Database_Brandstoffen[#All],12,FALSE)*((Baseline!I21/Baseline!X21)*Baseline!W21),0)&gt;0,_xlfn.IFNA((VLOOKUP(Baseline!U21,Database_Asfalt_Aanlegset[#All],12,FALSE)*Baseline!I21),0)+_xlfn.IFNA(VLOOKUP(Baseline!V21,Database_Brandstoffen[#All],12,FALSE)*((Baseline!I21/Baseline!X21)*Baseline!W21),0),(_xlfn.IFNA(VLOOKUP(Referentie_CO2_Totaal[[#This Row],[Product]]&amp;", "&amp;Referentie_MKI_Totaal[[#Headers],[A5]],Database_Productkaarten[#All],18,FALSE),0)*Baseline!I21)),0)</f>
        <v>31901.159130749998</v>
      </c>
      <c r="J124" s="56">
        <f>(IF(Baseline!C21="Nieuwe Situatie",(_xlfn.IFNA(VLOOKUP(Referentie_CO2_Totaal[[#This Row],[Product]]&amp;", "&amp;Referentie_CO2_Totaal[[#Headers],[B1]],Database_Productkaarten[#All],18,FALSE),0)*Baseline!I21),0))</f>
        <v>0</v>
      </c>
      <c r="K124" s="56">
        <f>(IF(Baseline!C21="Nieuwe Situatie",(SUM(Referentie_CO2_Totaal[[#This Row],[A1]:[B1]],Referentie_CO2_Totaal[[#This Row],[C1]:[D2]])*Baseline!R21),0))</f>
        <v>0</v>
      </c>
      <c r="L124" s="56">
        <f>IF(Baseline!C21="Bestaande situatie",IF(_xlfn.IFNA((VLOOKUP(Baseline!Y21,Database_Asfalt_Verwijderset[#All],12,FALSE)*Baseline!I21),0)+_xlfn.IFNA(VLOOKUP(Baseline!Z21,Database_Brandstoffen[#All],12,FALSE)*((Baseline!I21/Baseline!AB21)*Baseline!AA21),0)&gt;0,_xlfn.IFNA((VLOOKUP(Baseline!Y21,Database_Asfalt_Verwijderset[#All],12,FALSE)*Baseline!I21),0)+_xlfn.IFNA(VLOOKUP(Baseline!Z21,Database_Brandstoffen[#All],12,FALSE)*((Baseline!I21/Baseline!AB21)*Baseline!AA21),0),(_xlfn.IFNA(VLOOKUP(Referentie_CO2_Totaal[[#This Row],[Product]]&amp;", "&amp;Referentie_MKI_Totaal[[#Headers],[C1]],Database_Productkaarten[#All],18,FALSE),0)*Baseline!I21)),0)</f>
        <v>0</v>
      </c>
      <c r="M124" s="56">
        <f>IF(Baseline!AD21=0,(IF(Baseline!C21="Bestaande Situatie",(_xlfn.IFNA(VLOOKUP(Referentie_CO2_Totaal[[#This Row],[Product]]&amp;", "&amp;Referentie_MKI_Totaal[[#Headers],[C2]],Database_Productkaarten[#All],18,FALSE),0)*Baseline!I21),0)),(IF(Baseline!C21="Bestaande Situatie",_xlfn.IFNA(VLOOKUP(Baseline!AD21,Database_Transport[#All],12,FALSE)*(Baseline!Q21*Baseline!AC21),0))))</f>
        <v>0</v>
      </c>
      <c r="N124" s="56">
        <f>(IF(Baseline!C21="Bestaande Situatie",(_xlfn.IFNA(VLOOKUP(Referentie_CO2_Totaal[[#This Row],[Product]]&amp;", "&amp;Referentie_CO2_Totaal[[#Headers],[C3]],Database_Productkaarten[#All],18,FALSE),0)*Baseline!I21),0))</f>
        <v>0</v>
      </c>
      <c r="O124" s="56">
        <f>(IF(Baseline!C21="Bestaande Situatie",(_xlfn.IFNA(VLOOKUP(Referentie_CO2_Totaal[[#This Row],[Product]]&amp;", "&amp;Referentie_CO2_Totaal[[#Headers],[C4]],Database_Productkaarten[#All],18,FALSE),0)*Baseline!I21),0))</f>
        <v>0</v>
      </c>
      <c r="P124" s="56">
        <f>(IF(Baseline!C21="Bestaande Situatie",(_xlfn.IFNA(VLOOKUP(Referentie_CO2_Totaal[[#This Row],[Product]]&amp;", "&amp;Referentie_CO2_Totaal[[#Headers],[D1]],Database_Productkaarten[#All],18,FALSE),0)*Baseline!I21),0))</f>
        <v>0</v>
      </c>
      <c r="Q124" s="57">
        <f>(IF(Baseline!C21="Bestaande Situatie",_xlfn.IFNA(VLOOKUP(Referentie_CO2_Totaal[[#This Row],[Product]]&amp;", "&amp;Referentie_CO2_Totaal[[#Headers],[D2]],Database_Productkaarten[#All],18,FALSE),0)*Baseline!I21,0))</f>
        <v>0</v>
      </c>
      <c r="R124" s="57">
        <f>(IF(Baseline!C21="Bestaande Situatie",(_xlfn.IFNA(VLOOKUP(Referentie_CO2_Totaal[[#This Row],[Product]]&amp;", "&amp;Referentie_CO2_Totaal[[#Headers],[D]],Database_Productkaarten[#All],18,FALSE),0)*Baseline!I21),0))</f>
        <v>0</v>
      </c>
      <c r="S124" s="56">
        <f>SUM(Referentie_CO2_Totaal[[#This Row],[A1-A3]:[C4]])+Referentie_CO2_Totaal[[#This Row],[D]]</f>
        <v>45670.300152750002</v>
      </c>
    </row>
    <row r="125" spans="2:19">
      <c r="B125" s="208" t="str">
        <f>Baseline!B22</f>
        <v>220020 - Leveren en aanbrengen zand voor zand (gemiddeld 100 mm)</v>
      </c>
      <c r="C125" s="1" t="str">
        <f>Baseline!F22</f>
        <v>Ophoogmateriaal (Zand)</v>
      </c>
      <c r="D125" s="56">
        <f>(IF(Baseline!C22="Nieuwe Situatie",(_xlfn.IFNA(VLOOKUP(Referentie_CO2_Totaal[[#This Row],[Product]]&amp;", "&amp;Referentie_CO2_Totaal[[#Headers],[A1]],Database_Productkaarten[#All],18,FALSE),0)*Baseline!I22),0))</f>
        <v>0</v>
      </c>
      <c r="E125" s="56">
        <f>(IF(Baseline!C22="Nieuwe Situatie",(_xlfn.IFNA(VLOOKUP(Referentie_CO2_Totaal[[#This Row],[Product]]&amp;", "&amp;Referentie_CO2_Totaal[[#Headers],[A2]],Database_Productkaarten[#All],18,FALSE),0)*Baseline!I22),0))</f>
        <v>0</v>
      </c>
      <c r="F125" s="56">
        <f>(IF(Baseline!C22="Nieuwe Situatie",(_xlfn.IFNA(VLOOKUP(Referentie_CO2_Totaal[[#This Row],[Product]]&amp;", "&amp;Referentie_CO2_Totaal[[#Headers],[A3]],Database_Productkaarten[#All],18,FALSE),0)*Baseline!I22),0))</f>
        <v>0</v>
      </c>
      <c r="G125" s="56">
        <f>(IF(Baseline!C22="Nieuwe Situatie",(_xlfn.IFNA(VLOOKUP(Referentie_CO2_Totaal[[#This Row],[Product]]&amp;", "&amp;Referentie_CO2_Totaal[[#Headers],[A1-A3]],Database_Productkaarten[#All],18,FALSE),0)*Baseline!I22),0))</f>
        <v>43120</v>
      </c>
      <c r="H125" s="56">
        <f>IF(Baseline!T22=0,(IF(Baseline!C22="Nieuwe Situatie",(_xlfn.IFNA(VLOOKUP(Referentie_CO2_Totaal[[#This Row],[Product]]&amp;", "&amp;Referentie_CO2_Totaal[[#Headers],[A4]],Database_Productkaarten[#All],18,FALSE),0)*Baseline!I22),0)),IF(Baseline!C22="Nieuwe Situatie",_xlfn.IFNA(VLOOKUP(Baseline!T22,Database_Transport[#All],12,FALSE)*(Baseline!Q22*Baseline!S22),Baseline_Backlog!H125),0))</f>
        <v>6590.3580959999999</v>
      </c>
      <c r="I125" s="56">
        <f>IF(Baseline!C22="Nieuwe situatie",IF(_xlfn.IFNA((VLOOKUP(Baseline!U22,Database_Asfalt_Aanlegset[#All],12,FALSE)*Baseline!I22),0)+_xlfn.IFNA(VLOOKUP(Baseline!V22,Database_Brandstoffen[#All],12,FALSE)*((Baseline!I22/Baseline!X22)*Baseline!W22),0)&gt;0,_xlfn.IFNA((VLOOKUP(Baseline!U22,Database_Asfalt_Aanlegset[#All],12,FALSE)*Baseline!I22),0)+_xlfn.IFNA(VLOOKUP(Baseline!V22,Database_Brandstoffen[#All],12,FALSE)*((Baseline!I22/Baseline!X22)*Baseline!W22),0),(_xlfn.IFNA(VLOOKUP(Referentie_CO2_Totaal[[#This Row],[Product]]&amp;", "&amp;Referentie_MKI_Totaal[[#Headers],[A5]],Database_Productkaarten[#All],18,FALSE),0)*Baseline!I22)),0)</f>
        <v>4924.8361142399999</v>
      </c>
      <c r="J125" s="56">
        <f>(IF(Baseline!C22="Nieuwe Situatie",(_xlfn.IFNA(VLOOKUP(Referentie_CO2_Totaal[[#This Row],[Product]]&amp;", "&amp;Referentie_CO2_Totaal[[#Headers],[B1]],Database_Productkaarten[#All],18,FALSE),0)*Baseline!I22),0))</f>
        <v>0</v>
      </c>
      <c r="K125" s="56">
        <f>(IF(Baseline!C22="Nieuwe Situatie",(SUM(Referentie_CO2_Totaal[[#This Row],[A1]:[B1]],Referentie_CO2_Totaal[[#This Row],[C1]:[D2]])*Baseline!R22),0))</f>
        <v>0</v>
      </c>
      <c r="L125" s="56">
        <f>IF(Baseline!C22="Bestaande situatie",IF(_xlfn.IFNA((VLOOKUP(Baseline!Y22,Database_Asfalt_Verwijderset[#All],12,FALSE)*Baseline!I22),0)+_xlfn.IFNA(VLOOKUP(Baseline!Z22,Database_Brandstoffen[#All],12,FALSE)*((Baseline!I22/Baseline!AB22)*Baseline!AA22),0)&gt;0,_xlfn.IFNA((VLOOKUP(Baseline!Y22,Database_Asfalt_Verwijderset[#All],12,FALSE)*Baseline!I22),0)+_xlfn.IFNA(VLOOKUP(Baseline!Z22,Database_Brandstoffen[#All],12,FALSE)*((Baseline!I22/Baseline!AB22)*Baseline!AA22),0),(_xlfn.IFNA(VLOOKUP(Referentie_CO2_Totaal[[#This Row],[Product]]&amp;", "&amp;Referentie_MKI_Totaal[[#Headers],[C1]],Database_Productkaarten[#All],18,FALSE),0)*Baseline!I22)),0)</f>
        <v>0</v>
      </c>
      <c r="M125" s="56">
        <f>IF(Baseline!AD22=0,(IF(Baseline!C22="Bestaande Situatie",(_xlfn.IFNA(VLOOKUP(Referentie_CO2_Totaal[[#This Row],[Product]]&amp;", "&amp;Referentie_MKI_Totaal[[#Headers],[C2]],Database_Productkaarten[#All],18,FALSE),0)*Baseline!I22),0)),(IF(Baseline!C22="Bestaande Situatie",_xlfn.IFNA(VLOOKUP(Baseline!AD22,Database_Transport[#All],12,FALSE)*(Baseline!Q22*Baseline!AC22),0))))</f>
        <v>0</v>
      </c>
      <c r="N125" s="56">
        <f>(IF(Baseline!C22="Bestaande Situatie",(_xlfn.IFNA(VLOOKUP(Referentie_CO2_Totaal[[#This Row],[Product]]&amp;", "&amp;Referentie_CO2_Totaal[[#Headers],[C3]],Database_Productkaarten[#All],18,FALSE),0)*Baseline!I22),0))</f>
        <v>0</v>
      </c>
      <c r="O125" s="56">
        <f>(IF(Baseline!C22="Bestaande Situatie",(_xlfn.IFNA(VLOOKUP(Referentie_CO2_Totaal[[#This Row],[Product]]&amp;", "&amp;Referentie_CO2_Totaal[[#Headers],[C4]],Database_Productkaarten[#All],18,FALSE),0)*Baseline!I22),0))</f>
        <v>0</v>
      </c>
      <c r="P125" s="56">
        <f>(IF(Baseline!C22="Bestaande Situatie",(_xlfn.IFNA(VLOOKUP(Referentie_CO2_Totaal[[#This Row],[Product]]&amp;", "&amp;Referentie_CO2_Totaal[[#Headers],[D1]],Database_Productkaarten[#All],18,FALSE),0)*Baseline!I22),0))</f>
        <v>0</v>
      </c>
      <c r="Q125" s="57">
        <f>(IF(Baseline!C22="Bestaande Situatie",_xlfn.IFNA(VLOOKUP(Referentie_CO2_Totaal[[#This Row],[Product]]&amp;", "&amp;Referentie_CO2_Totaal[[#Headers],[D2]],Database_Productkaarten[#All],18,FALSE),0)*Baseline!I22,0))</f>
        <v>0</v>
      </c>
      <c r="R125" s="57">
        <f>(IF(Baseline!C22="Bestaande Situatie",(_xlfn.IFNA(VLOOKUP(Referentie_CO2_Totaal[[#This Row],[Product]]&amp;", "&amp;Referentie_CO2_Totaal[[#Headers],[D]],Database_Productkaarten[#All],18,FALSE),0)*Baseline!I22),0))</f>
        <v>0</v>
      </c>
      <c r="S125" s="56">
        <f>SUM(Referentie_CO2_Totaal[[#This Row],[A1-A3]:[C4]])+Referentie_CO2_Totaal[[#This Row],[D]]</f>
        <v>54635.194210239999</v>
      </c>
    </row>
    <row r="126" spans="2:19">
      <c r="B126" s="208" t="str">
        <f>Baseline!B23</f>
        <v>322020 - Leveren en aanbrengen rioolbuis van Beton Ø400mm</v>
      </c>
      <c r="C126" s="1" t="str">
        <f>Baseline!F23</f>
        <v>Betonbuis 500 mm</v>
      </c>
      <c r="D126" s="56">
        <f>(IF(Baseline!C23="Nieuwe Situatie",(_xlfn.IFNA(VLOOKUP(Referentie_CO2_Totaal[[#This Row],[Product]]&amp;", "&amp;Referentie_CO2_Totaal[[#Headers],[A1]],Database_Productkaarten[#All],18,FALSE),0)*Baseline!I23),0))</f>
        <v>7724.5000799999998</v>
      </c>
      <c r="E126" s="56">
        <f>(IF(Baseline!C23="Nieuwe Situatie",(_xlfn.IFNA(VLOOKUP(Referentie_CO2_Totaal[[#This Row],[Product]]&amp;", "&amp;Referentie_CO2_Totaal[[#Headers],[A2]],Database_Productkaarten[#All],18,FALSE),0)*Baseline!I23),0))</f>
        <v>549.109824</v>
      </c>
      <c r="F126" s="56">
        <f>(IF(Baseline!C23="Nieuwe Situatie",(_xlfn.IFNA(VLOOKUP(Referentie_CO2_Totaal[[#This Row],[Product]]&amp;", "&amp;Referentie_CO2_Totaal[[#Headers],[A3]],Database_Productkaarten[#All],18,FALSE),0)*Baseline!I23),0))</f>
        <v>487.04236800000001</v>
      </c>
      <c r="G126" s="56">
        <f>(IF(Baseline!C23="Nieuwe Situatie",(_xlfn.IFNA(VLOOKUP(Referentie_CO2_Totaal[[#This Row],[Product]]&amp;", "&amp;Referentie_CO2_Totaal[[#Headers],[A1-A3]],Database_Productkaarten[#All],18,FALSE),0)*Baseline!I23),0))</f>
        <v>8760.6522719999994</v>
      </c>
      <c r="H126" s="56">
        <f>IF(Baseline!T23=0,(IF(Baseline!C23="Nieuwe Situatie",(_xlfn.IFNA(VLOOKUP(Referentie_CO2_Totaal[[#This Row],[Product]]&amp;", "&amp;Referentie_CO2_Totaal[[#Headers],[A4]],Database_Productkaarten[#All],18,FALSE),0)*Baseline!I23),0)),IF(Baseline!C23="Nieuwe Situatie",_xlfn.IFNA(VLOOKUP(Baseline!T23,Database_Transport[#All],12,FALSE)*(Baseline!Q23*Baseline!S23),Baseline_Backlog!H126),0))</f>
        <v>352.92040089599988</v>
      </c>
      <c r="I126" s="56">
        <f>IF(Baseline!C23="Nieuwe situatie",IF(_xlfn.IFNA((VLOOKUP(Baseline!U23,Database_Asfalt_Aanlegset[#All],12,FALSE)*Baseline!I23),0)+_xlfn.IFNA(VLOOKUP(Baseline!V23,Database_Brandstoffen[#All],12,FALSE)*((Baseline!I23/Baseline!X23)*Baseline!W23),0)&gt;0,_xlfn.IFNA((VLOOKUP(Baseline!U23,Database_Asfalt_Aanlegset[#All],12,FALSE)*Baseline!I23),0)+_xlfn.IFNA(VLOOKUP(Baseline!V23,Database_Brandstoffen[#All],12,FALSE)*((Baseline!I23/Baseline!X23)*Baseline!W23),0),(_xlfn.IFNA(VLOOKUP(Referentie_CO2_Totaal[[#This Row],[Product]]&amp;", "&amp;Referentie_MKI_Totaal[[#Headers],[A5]],Database_Productkaarten[#All],18,FALSE),0)*Baseline!I23)),0)</f>
        <v>1693.1723310752091</v>
      </c>
      <c r="J126" s="56">
        <f>(IF(Baseline!C23="Nieuwe Situatie",(_xlfn.IFNA(VLOOKUP(Referentie_CO2_Totaal[[#This Row],[Product]]&amp;", "&amp;Referentie_CO2_Totaal[[#Headers],[B1]],Database_Productkaarten[#All],18,FALSE),0)*Baseline!I23),0))</f>
        <v>0</v>
      </c>
      <c r="K126" s="56">
        <f>(IF(Baseline!C23="Nieuwe Situatie",(SUM(Referentie_CO2_Totaal[[#This Row],[A1]:[B1]],Referentie_CO2_Totaal[[#This Row],[C1]:[D2]])*Baseline!R23),0))</f>
        <v>0</v>
      </c>
      <c r="L126" s="56">
        <f>IF(Baseline!C23="Bestaande situatie",IF(_xlfn.IFNA((VLOOKUP(Baseline!Y23,Database_Asfalt_Verwijderset[#All],12,FALSE)*Baseline!I23),0)+_xlfn.IFNA(VLOOKUP(Baseline!Z23,Database_Brandstoffen[#All],12,FALSE)*((Baseline!I23/Baseline!AB23)*Baseline!AA23),0)&gt;0,_xlfn.IFNA((VLOOKUP(Baseline!Y23,Database_Asfalt_Verwijderset[#All],12,FALSE)*Baseline!I23),0)+_xlfn.IFNA(VLOOKUP(Baseline!Z23,Database_Brandstoffen[#All],12,FALSE)*((Baseline!I23/Baseline!AB23)*Baseline!AA23),0),(_xlfn.IFNA(VLOOKUP(Referentie_CO2_Totaal[[#This Row],[Product]]&amp;", "&amp;Referentie_MKI_Totaal[[#Headers],[C1]],Database_Productkaarten[#All],18,FALSE),0)*Baseline!I23)),0)</f>
        <v>0</v>
      </c>
      <c r="M126" s="56">
        <f>IF(Baseline!AD23=0,(IF(Baseline!C23="Bestaande Situatie",(_xlfn.IFNA(VLOOKUP(Referentie_CO2_Totaal[[#This Row],[Product]]&amp;", "&amp;Referentie_MKI_Totaal[[#Headers],[C2]],Database_Productkaarten[#All],18,FALSE),0)*Baseline!I23),0)),(IF(Baseline!C23="Bestaande Situatie",_xlfn.IFNA(VLOOKUP(Baseline!AD23,Database_Transport[#All],12,FALSE)*(Baseline!Q23*Baseline!AC23),0))))</f>
        <v>0</v>
      </c>
      <c r="N126" s="56">
        <f>(IF(Baseline!C23="Bestaande Situatie",(_xlfn.IFNA(VLOOKUP(Referentie_CO2_Totaal[[#This Row],[Product]]&amp;", "&amp;Referentie_CO2_Totaal[[#Headers],[C3]],Database_Productkaarten[#All],18,FALSE),0)*Baseline!I23),0))</f>
        <v>0</v>
      </c>
      <c r="O126" s="56">
        <f>(IF(Baseline!C23="Bestaande Situatie",(_xlfn.IFNA(VLOOKUP(Referentie_CO2_Totaal[[#This Row],[Product]]&amp;", "&amp;Referentie_CO2_Totaal[[#Headers],[C4]],Database_Productkaarten[#All],18,FALSE),0)*Baseline!I23),0))</f>
        <v>0</v>
      </c>
      <c r="P126" s="56">
        <f>(IF(Baseline!C23="Bestaande Situatie",(_xlfn.IFNA(VLOOKUP(Referentie_CO2_Totaal[[#This Row],[Product]]&amp;", "&amp;Referentie_CO2_Totaal[[#Headers],[D1]],Database_Productkaarten[#All],18,FALSE),0)*Baseline!I23),0))</f>
        <v>0</v>
      </c>
      <c r="Q126" s="57">
        <f>(IF(Baseline!C23="Bestaande Situatie",_xlfn.IFNA(VLOOKUP(Referentie_CO2_Totaal[[#This Row],[Product]]&amp;", "&amp;Referentie_CO2_Totaal[[#Headers],[D2]],Database_Productkaarten[#All],18,FALSE),0)*Baseline!I23,0))</f>
        <v>0</v>
      </c>
      <c r="R126" s="57">
        <f>(IF(Baseline!C23="Bestaande Situatie",(_xlfn.IFNA(VLOOKUP(Referentie_CO2_Totaal[[#This Row],[Product]]&amp;", "&amp;Referentie_CO2_Totaal[[#Headers],[D]],Database_Productkaarten[#All],18,FALSE),0)*Baseline!I23),0))</f>
        <v>0</v>
      </c>
      <c r="S126" s="56">
        <f>SUM(Referentie_CO2_Totaal[[#This Row],[A1-A3]:[C4]])+Referentie_CO2_Totaal[[#This Row],[D]]</f>
        <v>10806.745003971209</v>
      </c>
    </row>
    <row r="127" spans="2:19">
      <c r="B127" s="208" t="str">
        <f>Baseline!B24</f>
        <v>322070 - Leveren en aanbrengen rioolbuis van Beton IT Ø400mm</v>
      </c>
      <c r="C127" s="1" t="str">
        <f>Baseline!F24</f>
        <v>Betonbuis 500 mm</v>
      </c>
      <c r="D127" s="56">
        <f>(IF(Baseline!C24="Nieuwe Situatie",(_xlfn.IFNA(VLOOKUP(Referentie_CO2_Totaal[[#This Row],[Product]]&amp;", "&amp;Referentie_CO2_Totaal[[#Headers],[A1]],Database_Productkaarten[#All],18,FALSE),0)*Baseline!I24),0))</f>
        <v>6115.2292299999999</v>
      </c>
      <c r="E127" s="56">
        <f>(IF(Baseline!C24="Nieuwe Situatie",(_xlfn.IFNA(VLOOKUP(Referentie_CO2_Totaal[[#This Row],[Product]]&amp;", "&amp;Referentie_CO2_Totaal[[#Headers],[A2]],Database_Productkaarten[#All],18,FALSE),0)*Baseline!I24),0))</f>
        <v>434.71194399999996</v>
      </c>
      <c r="F127" s="56">
        <f>(IF(Baseline!C24="Nieuwe Situatie",(_xlfn.IFNA(VLOOKUP(Referentie_CO2_Totaal[[#This Row],[Product]]&amp;", "&amp;Referentie_CO2_Totaal[[#Headers],[A3]],Database_Productkaarten[#All],18,FALSE),0)*Baseline!I24),0))</f>
        <v>385.57520799999998</v>
      </c>
      <c r="G127" s="56">
        <f>(IF(Baseline!C24="Nieuwe Situatie",(_xlfn.IFNA(VLOOKUP(Referentie_CO2_Totaal[[#This Row],[Product]]&amp;", "&amp;Referentie_CO2_Totaal[[#Headers],[A1-A3]],Database_Productkaarten[#All],18,FALSE),0)*Baseline!I24),0))</f>
        <v>6935.5163819999998</v>
      </c>
      <c r="H127" s="56">
        <f>IF(Baseline!T24=0,(IF(Baseline!C24="Nieuwe Situatie",(_xlfn.IFNA(VLOOKUP(Referentie_CO2_Totaal[[#This Row],[Product]]&amp;", "&amp;Referentie_CO2_Totaal[[#Headers],[A4]],Database_Productkaarten[#All],18,FALSE),0)*Baseline!I24),0)),IF(Baseline!C24="Nieuwe Situatie",_xlfn.IFNA(VLOOKUP(Baseline!T24,Database_Transport[#All],12,FALSE)*(Baseline!Q24*Baseline!S24),Baseline_Backlog!H127),0))</f>
        <v>279.39531737599992</v>
      </c>
      <c r="I127" s="56">
        <f>IF(Baseline!C24="Nieuwe situatie",IF(_xlfn.IFNA((VLOOKUP(Baseline!U24,Database_Asfalt_Aanlegset[#All],12,FALSE)*Baseline!I24),0)+_xlfn.IFNA(VLOOKUP(Baseline!V24,Database_Brandstoffen[#All],12,FALSE)*((Baseline!I24/Baseline!X24)*Baseline!W24),0)&gt;0,_xlfn.IFNA((VLOOKUP(Baseline!U24,Database_Asfalt_Aanlegset[#All],12,FALSE)*Baseline!I24),0)+_xlfn.IFNA(VLOOKUP(Baseline!V24,Database_Brandstoffen[#All],12,FALSE)*((Baseline!I24/Baseline!X24)*Baseline!W24),0),(_xlfn.IFNA(VLOOKUP(Referentie_CO2_Totaal[[#This Row],[Product]]&amp;", "&amp;Referentie_MKI_Totaal[[#Headers],[A5]],Database_Productkaarten[#All],18,FALSE),0)*Baseline!I24)),0)</f>
        <v>1340.4280954345404</v>
      </c>
      <c r="J127" s="56">
        <f>(IF(Baseline!C24="Nieuwe Situatie",(_xlfn.IFNA(VLOOKUP(Referentie_CO2_Totaal[[#This Row],[Product]]&amp;", "&amp;Referentie_CO2_Totaal[[#Headers],[B1]],Database_Productkaarten[#All],18,FALSE),0)*Baseline!I24),0))</f>
        <v>0</v>
      </c>
      <c r="K127" s="56">
        <f>(IF(Baseline!C24="Nieuwe Situatie",(SUM(Referentie_CO2_Totaal[[#This Row],[A1]:[B1]],Referentie_CO2_Totaal[[#This Row],[C1]:[D2]])*Baseline!R24),0))</f>
        <v>0</v>
      </c>
      <c r="L127" s="56">
        <f>IF(Baseline!C24="Bestaande situatie",IF(_xlfn.IFNA((VLOOKUP(Baseline!Y24,Database_Asfalt_Verwijderset[#All],12,FALSE)*Baseline!I24),0)+_xlfn.IFNA(VLOOKUP(Baseline!Z24,Database_Brandstoffen[#All],12,FALSE)*((Baseline!I24/Baseline!AB24)*Baseline!AA24),0)&gt;0,_xlfn.IFNA((VLOOKUP(Baseline!Y24,Database_Asfalt_Verwijderset[#All],12,FALSE)*Baseline!I24),0)+_xlfn.IFNA(VLOOKUP(Baseline!Z24,Database_Brandstoffen[#All],12,FALSE)*((Baseline!I24/Baseline!AB24)*Baseline!AA24),0),(_xlfn.IFNA(VLOOKUP(Referentie_CO2_Totaal[[#This Row],[Product]]&amp;", "&amp;Referentie_MKI_Totaal[[#Headers],[C1]],Database_Productkaarten[#All],18,FALSE),0)*Baseline!I24)),0)</f>
        <v>0</v>
      </c>
      <c r="M127" s="56">
        <f>IF(Baseline!AD24=0,(IF(Baseline!C24="Bestaande Situatie",(_xlfn.IFNA(VLOOKUP(Referentie_CO2_Totaal[[#This Row],[Product]]&amp;", "&amp;Referentie_MKI_Totaal[[#Headers],[C2]],Database_Productkaarten[#All],18,FALSE),0)*Baseline!I24),0)),(IF(Baseline!C24="Bestaande Situatie",_xlfn.IFNA(VLOOKUP(Baseline!AD24,Database_Transport[#All],12,FALSE)*(Baseline!Q24*Baseline!AC24),0))))</f>
        <v>0</v>
      </c>
      <c r="N127" s="56">
        <f>(IF(Baseline!C24="Bestaande Situatie",(_xlfn.IFNA(VLOOKUP(Referentie_CO2_Totaal[[#This Row],[Product]]&amp;", "&amp;Referentie_CO2_Totaal[[#Headers],[C3]],Database_Productkaarten[#All],18,FALSE),0)*Baseline!I24),0))</f>
        <v>0</v>
      </c>
      <c r="O127" s="56">
        <f>(IF(Baseline!C24="Bestaande Situatie",(_xlfn.IFNA(VLOOKUP(Referentie_CO2_Totaal[[#This Row],[Product]]&amp;", "&amp;Referentie_CO2_Totaal[[#Headers],[C4]],Database_Productkaarten[#All],18,FALSE),0)*Baseline!I24),0))</f>
        <v>0</v>
      </c>
      <c r="P127" s="56">
        <f>(IF(Baseline!C24="Bestaande Situatie",(_xlfn.IFNA(VLOOKUP(Referentie_CO2_Totaal[[#This Row],[Product]]&amp;", "&amp;Referentie_CO2_Totaal[[#Headers],[D1]],Database_Productkaarten[#All],18,FALSE),0)*Baseline!I24),0))</f>
        <v>0</v>
      </c>
      <c r="Q127" s="57">
        <f>(IF(Baseline!C24="Bestaande Situatie",_xlfn.IFNA(VLOOKUP(Referentie_CO2_Totaal[[#This Row],[Product]]&amp;", "&amp;Referentie_CO2_Totaal[[#Headers],[D2]],Database_Productkaarten[#All],18,FALSE),0)*Baseline!I24,0))</f>
        <v>0</v>
      </c>
      <c r="R127" s="57">
        <f>(IF(Baseline!C24="Bestaande Situatie",(_xlfn.IFNA(VLOOKUP(Referentie_CO2_Totaal[[#This Row],[Product]]&amp;", "&amp;Referentie_CO2_Totaal[[#Headers],[D]],Database_Productkaarten[#All],18,FALSE),0)*Baseline!I24),0))</f>
        <v>0</v>
      </c>
      <c r="S127" s="56">
        <f>SUM(Referentie_CO2_Totaal[[#This Row],[A1-A3]:[C4]])+Referentie_CO2_Totaal[[#This Row],[D]]</f>
        <v>8555.3397948105412</v>
      </c>
    </row>
    <row r="128" spans="2:19">
      <c r="B128" s="208" t="str">
        <f>Baseline!B25</f>
        <v>322100 - Leveren en aanbrengen rioolbuis van Beton IT Ø800mm</v>
      </c>
      <c r="C128" s="1" t="str">
        <f>Baseline!F25</f>
        <v>Betonbuis 800 mm</v>
      </c>
      <c r="D128" s="56">
        <f>(IF(Baseline!C25="Nieuwe Situatie",(_xlfn.IFNA(VLOOKUP(Referentie_CO2_Totaal[[#This Row],[Product]]&amp;", "&amp;Referentie_CO2_Totaal[[#Headers],[A1]],Database_Productkaarten[#All],18,FALSE),0)*Baseline!I25),0))</f>
        <v>70330.370884999997</v>
      </c>
      <c r="E128" s="56">
        <f>(IF(Baseline!C25="Nieuwe Situatie",(_xlfn.IFNA(VLOOKUP(Referentie_CO2_Totaal[[#This Row],[Product]]&amp;", "&amp;Referentie_CO2_Totaal[[#Headers],[A2]],Database_Productkaarten[#All],18,FALSE),0)*Baseline!I25),0))</f>
        <v>4991.0973534999994</v>
      </c>
      <c r="F128" s="56">
        <f>(IF(Baseline!C25="Nieuwe Situatie",(_xlfn.IFNA(VLOOKUP(Referentie_CO2_Totaal[[#This Row],[Product]]&amp;", "&amp;Referentie_CO2_Totaal[[#Headers],[A3]],Database_Productkaarten[#All],18,FALSE),0)*Baseline!I25),0))</f>
        <v>4426.2311055</v>
      </c>
      <c r="G128" s="56">
        <f>(IF(Baseline!C25="Nieuwe Situatie",(_xlfn.IFNA(VLOOKUP(Referentie_CO2_Totaal[[#This Row],[Product]]&amp;", "&amp;Referentie_CO2_Totaal[[#Headers],[A1-A3]],Database_Productkaarten[#All],18,FALSE),0)*Baseline!I25),0))</f>
        <v>79747.699343999993</v>
      </c>
      <c r="H128" s="56">
        <f>IF(Baseline!T25=0,(IF(Baseline!C25="Nieuwe Situatie",(_xlfn.IFNA(VLOOKUP(Referentie_CO2_Totaal[[#This Row],[Product]]&amp;", "&amp;Referentie_CO2_Totaal[[#Headers],[A4]],Database_Productkaarten[#All],18,FALSE),0)*Baseline!I25),0)),IF(Baseline!C25="Nieuwe Situatie",_xlfn.IFNA(VLOOKUP(Baseline!T25,Database_Transport[#All],12,FALSE)*(Baseline!Q25*Baseline!S25),Baseline_Backlog!H128),0))</f>
        <v>2694.0666578559994</v>
      </c>
      <c r="I128" s="56">
        <f>IF(Baseline!C25="Nieuwe situatie",IF(_xlfn.IFNA((VLOOKUP(Baseline!U25,Database_Asfalt_Aanlegset[#All],12,FALSE)*Baseline!I25),0)+_xlfn.IFNA(VLOOKUP(Baseline!V25,Database_Brandstoffen[#All],12,FALSE)*((Baseline!I25/Baseline!X25)*Baseline!W25),0)&gt;0,_xlfn.IFNA((VLOOKUP(Baseline!U25,Database_Asfalt_Aanlegset[#All],12,FALSE)*Baseline!I25),0)+_xlfn.IFNA(VLOOKUP(Baseline!V25,Database_Brandstoffen[#All],12,FALSE)*((Baseline!I25/Baseline!X25)*Baseline!W25),0),(_xlfn.IFNA(VLOOKUP(Referentie_CO2_Totaal[[#This Row],[Product]]&amp;", "&amp;Referentie_MKI_Totaal[[#Headers],[A5]],Database_Productkaarten[#All],18,FALSE),0)*Baseline!I25)),0)</f>
        <v>10033.053902293872</v>
      </c>
      <c r="J128" s="56">
        <f>(IF(Baseline!C25="Nieuwe Situatie",(_xlfn.IFNA(VLOOKUP(Referentie_CO2_Totaal[[#This Row],[Product]]&amp;", "&amp;Referentie_CO2_Totaal[[#Headers],[B1]],Database_Productkaarten[#All],18,FALSE),0)*Baseline!I25),0))</f>
        <v>0</v>
      </c>
      <c r="K128" s="56">
        <f>(IF(Baseline!C25="Nieuwe Situatie",(SUM(Referentie_CO2_Totaal[[#This Row],[A1]:[B1]],Referentie_CO2_Totaal[[#This Row],[C1]:[D2]])*Baseline!R25),0))</f>
        <v>0</v>
      </c>
      <c r="L128" s="56">
        <f>IF(Baseline!C25="Bestaande situatie",IF(_xlfn.IFNA((VLOOKUP(Baseline!Y25,Database_Asfalt_Verwijderset[#All],12,FALSE)*Baseline!I25),0)+_xlfn.IFNA(VLOOKUP(Baseline!Z25,Database_Brandstoffen[#All],12,FALSE)*((Baseline!I25/Baseline!AB25)*Baseline!AA25),0)&gt;0,_xlfn.IFNA((VLOOKUP(Baseline!Y25,Database_Asfalt_Verwijderset[#All],12,FALSE)*Baseline!I25),0)+_xlfn.IFNA(VLOOKUP(Baseline!Z25,Database_Brandstoffen[#All],12,FALSE)*((Baseline!I25/Baseline!AB25)*Baseline!AA25),0),(_xlfn.IFNA(VLOOKUP(Referentie_CO2_Totaal[[#This Row],[Product]]&amp;", "&amp;Referentie_MKI_Totaal[[#Headers],[C1]],Database_Productkaarten[#All],18,FALSE),0)*Baseline!I25)),0)</f>
        <v>0</v>
      </c>
      <c r="M128" s="56">
        <f>IF(Baseline!AD25=0,(IF(Baseline!C25="Bestaande Situatie",(_xlfn.IFNA(VLOOKUP(Referentie_CO2_Totaal[[#This Row],[Product]]&amp;", "&amp;Referentie_MKI_Totaal[[#Headers],[C2]],Database_Productkaarten[#All],18,FALSE),0)*Baseline!I25),0)),(IF(Baseline!C25="Bestaande Situatie",_xlfn.IFNA(VLOOKUP(Baseline!AD25,Database_Transport[#All],12,FALSE)*(Baseline!Q25*Baseline!AC25),0))))</f>
        <v>0</v>
      </c>
      <c r="N128" s="56">
        <f>(IF(Baseline!C25="Bestaande Situatie",(_xlfn.IFNA(VLOOKUP(Referentie_CO2_Totaal[[#This Row],[Product]]&amp;", "&amp;Referentie_CO2_Totaal[[#Headers],[C3]],Database_Productkaarten[#All],18,FALSE),0)*Baseline!I25),0))</f>
        <v>0</v>
      </c>
      <c r="O128" s="56">
        <f>(IF(Baseline!C25="Bestaande Situatie",(_xlfn.IFNA(VLOOKUP(Referentie_CO2_Totaal[[#This Row],[Product]]&amp;", "&amp;Referentie_CO2_Totaal[[#Headers],[C4]],Database_Productkaarten[#All],18,FALSE),0)*Baseline!I25),0))</f>
        <v>0</v>
      </c>
      <c r="P128" s="56">
        <f>(IF(Baseline!C25="Bestaande Situatie",(_xlfn.IFNA(VLOOKUP(Referentie_CO2_Totaal[[#This Row],[Product]]&amp;", "&amp;Referentie_CO2_Totaal[[#Headers],[D1]],Database_Productkaarten[#All],18,FALSE),0)*Baseline!I25),0))</f>
        <v>0</v>
      </c>
      <c r="Q128" s="57">
        <f>(IF(Baseline!C25="Bestaande Situatie",_xlfn.IFNA(VLOOKUP(Referentie_CO2_Totaal[[#This Row],[Product]]&amp;", "&amp;Referentie_CO2_Totaal[[#Headers],[D2]],Database_Productkaarten[#All],18,FALSE),0)*Baseline!I25,0))</f>
        <v>0</v>
      </c>
      <c r="R128" s="57">
        <f>(IF(Baseline!C25="Bestaande Situatie",(_xlfn.IFNA(VLOOKUP(Referentie_CO2_Totaal[[#This Row],[Product]]&amp;", "&amp;Referentie_CO2_Totaal[[#Headers],[D]],Database_Productkaarten[#All],18,FALSE),0)*Baseline!I25),0))</f>
        <v>0</v>
      </c>
      <c r="S128" s="56">
        <f>SUM(Referentie_CO2_Totaal[[#This Row],[A1-A3]:[C4]])+Referentie_CO2_Totaal[[#This Row],[D]]</f>
        <v>92474.819904149874</v>
      </c>
    </row>
    <row r="129" spans="2:19">
      <c r="B129" s="208" t="str">
        <f>Baseline!B26</f>
        <v>330010 - Leveren en aanbrengen kolken</v>
      </c>
      <c r="C129" s="1" t="str">
        <f>Baseline!F26</f>
        <v>Kolk, Staal &amp; Beton</v>
      </c>
      <c r="D129" s="56">
        <f>(IF(Baseline!C26="Nieuwe Situatie",(_xlfn.IFNA(VLOOKUP(Referentie_CO2_Totaal[[#This Row],[Product]]&amp;", "&amp;Referentie_CO2_Totaal[[#Headers],[A1]],Database_Productkaarten[#All],18,FALSE),0)*Baseline!I26),0))</f>
        <v>13196.442041999999</v>
      </c>
      <c r="E129" s="56">
        <f>(IF(Baseline!C26="Nieuwe Situatie",(_xlfn.IFNA(VLOOKUP(Referentie_CO2_Totaal[[#This Row],[Product]]&amp;", "&amp;Referentie_CO2_Totaal[[#Headers],[A2]],Database_Productkaarten[#All],18,FALSE),0)*Baseline!I26),0))</f>
        <v>353.24804540000002</v>
      </c>
      <c r="F129" s="56">
        <f>(IF(Baseline!C26="Nieuwe Situatie",(_xlfn.IFNA(VLOOKUP(Referentie_CO2_Totaal[[#This Row],[Product]]&amp;", "&amp;Referentie_CO2_Totaal[[#Headers],[A3]],Database_Productkaarten[#All],18,FALSE),0)*Baseline!I26),0))</f>
        <v>223.99927460000001</v>
      </c>
      <c r="G129" s="56">
        <f>(IF(Baseline!C26="Nieuwe Situatie",(_xlfn.IFNA(VLOOKUP(Referentie_CO2_Totaal[[#This Row],[Product]]&amp;", "&amp;Referentie_CO2_Totaal[[#Headers],[A1-A3]],Database_Productkaarten[#All],18,FALSE),0)*Baseline!I26),0))</f>
        <v>13773.689361999997</v>
      </c>
      <c r="H129" s="56">
        <f>IF(Baseline!T26=0,(IF(Baseline!C26="Nieuwe Situatie",(_xlfn.IFNA(VLOOKUP(Referentie_CO2_Totaal[[#This Row],[Product]]&amp;", "&amp;Referentie_CO2_Totaal[[#Headers],[A4]],Database_Productkaarten[#All],18,FALSE),0)*Baseline!I26),0)),IF(Baseline!C26="Nieuwe Situatie",_xlfn.IFNA(VLOOKUP(Baseline!T26,Database_Transport[#All],12,FALSE)*(Baseline!Q26*Baseline!S26),Baseline_Backlog!H129),0))</f>
        <v>183.69471000742402</v>
      </c>
      <c r="I129" s="56">
        <f>IF(Baseline!C26="Nieuwe situatie",IF(_xlfn.IFNA((VLOOKUP(Baseline!U26,Database_Asfalt_Aanlegset[#All],12,FALSE)*Baseline!I26),0)+_xlfn.IFNA(VLOOKUP(Baseline!V26,Database_Brandstoffen[#All],12,FALSE)*((Baseline!I26/Baseline!X26)*Baseline!W26),0)&gt;0,_xlfn.IFNA((VLOOKUP(Baseline!U26,Database_Asfalt_Aanlegset[#All],12,FALSE)*Baseline!I26),0)+_xlfn.IFNA(VLOOKUP(Baseline!V26,Database_Brandstoffen[#All],12,FALSE)*((Baseline!I26/Baseline!X26)*Baseline!W26),0),(_xlfn.IFNA(VLOOKUP(Referentie_CO2_Totaal[[#This Row],[Product]]&amp;", "&amp;Referentie_MKI_Totaal[[#Headers],[A5]],Database_Productkaarten[#All],18,FALSE),0)*Baseline!I26)),0)</f>
        <v>5571.7675957437323</v>
      </c>
      <c r="J129" s="56">
        <f>(IF(Baseline!C26="Nieuwe Situatie",(_xlfn.IFNA(VLOOKUP(Referentie_CO2_Totaal[[#This Row],[Product]]&amp;", "&amp;Referentie_CO2_Totaal[[#Headers],[B1]],Database_Productkaarten[#All],18,FALSE),0)*Baseline!I26),0))</f>
        <v>0</v>
      </c>
      <c r="K129" s="56">
        <f>(IF(Baseline!C26="Nieuwe Situatie",(SUM(Referentie_CO2_Totaal[[#This Row],[A1]:[B1]],Referentie_CO2_Totaal[[#This Row],[C1]:[D2]])*Baseline!R26),0))</f>
        <v>0</v>
      </c>
      <c r="L129" s="56">
        <f>IF(Baseline!C26="Bestaande situatie",IF(_xlfn.IFNA((VLOOKUP(Baseline!Y26,Database_Asfalt_Verwijderset[#All],12,FALSE)*Baseline!I26),0)+_xlfn.IFNA(VLOOKUP(Baseline!Z26,Database_Brandstoffen[#All],12,FALSE)*((Baseline!I26/Baseline!AB26)*Baseline!AA26),0)&gt;0,_xlfn.IFNA((VLOOKUP(Baseline!Y26,Database_Asfalt_Verwijderset[#All],12,FALSE)*Baseline!I26),0)+_xlfn.IFNA(VLOOKUP(Baseline!Z26,Database_Brandstoffen[#All],12,FALSE)*((Baseline!I26/Baseline!AB26)*Baseline!AA26),0),(_xlfn.IFNA(VLOOKUP(Referentie_CO2_Totaal[[#This Row],[Product]]&amp;", "&amp;Referentie_MKI_Totaal[[#Headers],[C1]],Database_Productkaarten[#All],18,FALSE),0)*Baseline!I26)),0)</f>
        <v>0</v>
      </c>
      <c r="M129" s="56">
        <f>IF(Baseline!AD26=0,(IF(Baseline!C26="Bestaande Situatie",(_xlfn.IFNA(VLOOKUP(Referentie_CO2_Totaal[[#This Row],[Product]]&amp;", "&amp;Referentie_MKI_Totaal[[#Headers],[C2]],Database_Productkaarten[#All],18,FALSE),0)*Baseline!I26),0)),(IF(Baseline!C26="Bestaande Situatie",_xlfn.IFNA(VLOOKUP(Baseline!AD26,Database_Transport[#All],12,FALSE)*(Baseline!Q26*Baseline!AC26),0))))</f>
        <v>0</v>
      </c>
      <c r="N129" s="56">
        <f>(IF(Baseline!C26="Bestaande Situatie",(_xlfn.IFNA(VLOOKUP(Referentie_CO2_Totaal[[#This Row],[Product]]&amp;", "&amp;Referentie_CO2_Totaal[[#Headers],[C3]],Database_Productkaarten[#All],18,FALSE),0)*Baseline!I26),0))</f>
        <v>0</v>
      </c>
      <c r="O129" s="56">
        <f>(IF(Baseline!C26="Bestaande Situatie",(_xlfn.IFNA(VLOOKUP(Referentie_CO2_Totaal[[#This Row],[Product]]&amp;", "&amp;Referentie_CO2_Totaal[[#Headers],[C4]],Database_Productkaarten[#All],18,FALSE),0)*Baseline!I26),0))</f>
        <v>0</v>
      </c>
      <c r="P129" s="56">
        <f>(IF(Baseline!C26="Bestaande Situatie",(_xlfn.IFNA(VLOOKUP(Referentie_CO2_Totaal[[#This Row],[Product]]&amp;", "&amp;Referentie_CO2_Totaal[[#Headers],[D1]],Database_Productkaarten[#All],18,FALSE),0)*Baseline!I26),0))</f>
        <v>0</v>
      </c>
      <c r="Q129" s="57">
        <f>(IF(Baseline!C26="Bestaande Situatie",_xlfn.IFNA(VLOOKUP(Referentie_CO2_Totaal[[#This Row],[Product]]&amp;", "&amp;Referentie_CO2_Totaal[[#Headers],[D2]],Database_Productkaarten[#All],18,FALSE),0)*Baseline!I26,0))</f>
        <v>0</v>
      </c>
      <c r="R129" s="57">
        <f>(IF(Baseline!C26="Bestaande Situatie",(_xlfn.IFNA(VLOOKUP(Referentie_CO2_Totaal[[#This Row],[Product]]&amp;", "&amp;Referentie_CO2_Totaal[[#Headers],[D]],Database_Productkaarten[#All],18,FALSE),0)*Baseline!I26),0))</f>
        <v>0</v>
      </c>
      <c r="S129" s="56">
        <f>SUM(Referentie_CO2_Totaal[[#This Row],[A1-A3]:[C4]])+Referentie_CO2_Totaal[[#This Row],[D]]</f>
        <v>19529.151667751154</v>
      </c>
    </row>
    <row r="130" spans="2:19">
      <c r="B130" s="208" t="str">
        <f>Baseline!B27</f>
        <v>420010 - Leveren en aanbrengen fundering menggranulaat, (250mm dik)</v>
      </c>
      <c r="C130" s="1" t="str">
        <f>Baseline!F27</f>
        <v>Menggranulaat 250mm</v>
      </c>
      <c r="D130" s="56">
        <f>(IF(Baseline!C27="Nieuwe Situatie",(_xlfn.IFNA(VLOOKUP(Referentie_CO2_Totaal[[#This Row],[Product]]&amp;", "&amp;Referentie_CO2_Totaal[[#Headers],[A1]],Database_Productkaarten[#All],18,FALSE),0)*Baseline!I27),0))</f>
        <v>0</v>
      </c>
      <c r="E130" s="56">
        <f>(IF(Baseline!C27="Nieuwe Situatie",(_xlfn.IFNA(VLOOKUP(Referentie_CO2_Totaal[[#This Row],[Product]]&amp;", "&amp;Referentie_CO2_Totaal[[#Headers],[A2]],Database_Productkaarten[#All],18,FALSE),0)*Baseline!I27),0))</f>
        <v>0</v>
      </c>
      <c r="F130" s="56">
        <f>(IF(Baseline!C27="Nieuwe Situatie",(_xlfn.IFNA(VLOOKUP(Referentie_CO2_Totaal[[#This Row],[Product]]&amp;", "&amp;Referentie_CO2_Totaal[[#Headers],[A3]],Database_Productkaarten[#All],18,FALSE),0)*Baseline!I27),0))</f>
        <v>0</v>
      </c>
      <c r="G130" s="56">
        <f>(IF(Baseline!C27="Nieuwe Situatie",(_xlfn.IFNA(VLOOKUP(Referentie_CO2_Totaal[[#This Row],[Product]]&amp;", "&amp;Referentie_CO2_Totaal[[#Headers],[A1-A3]],Database_Productkaarten[#All],18,FALSE),0)*Baseline!I27),0))</f>
        <v>0</v>
      </c>
      <c r="H130" s="56">
        <f>IF(Baseline!T27=0,(IF(Baseline!C27="Nieuwe Situatie",(_xlfn.IFNA(VLOOKUP(Referentie_CO2_Totaal[[#This Row],[Product]]&amp;", "&amp;Referentie_CO2_Totaal[[#Headers],[A4]],Database_Productkaarten[#All],18,FALSE),0)*Baseline!I27),0)),IF(Baseline!C27="Nieuwe Situatie",_xlfn.IFNA(VLOOKUP(Baseline!T27,Database_Transport[#All],12,FALSE)*(Baseline!Q27*Baseline!S27),Baseline_Backlog!H130),0))</f>
        <v>21331.240694399999</v>
      </c>
      <c r="I130" s="56">
        <f>IF(Baseline!C27="Nieuwe situatie",IF(_xlfn.IFNA((VLOOKUP(Baseline!U27,Database_Asfalt_Aanlegset[#All],12,FALSE)*Baseline!I27),0)+_xlfn.IFNA(VLOOKUP(Baseline!V27,Database_Brandstoffen[#All],12,FALSE)*((Baseline!I27/Baseline!X27)*Baseline!W27),0)&gt;0,_xlfn.IFNA((VLOOKUP(Baseline!U27,Database_Asfalt_Aanlegset[#All],12,FALSE)*Baseline!I27),0)+_xlfn.IFNA(VLOOKUP(Baseline!V27,Database_Brandstoffen[#All],12,FALSE)*((Baseline!I27/Baseline!X27)*Baseline!W27),0),(_xlfn.IFNA(VLOOKUP(Referentie_CO2_Totaal[[#This Row],[Product]]&amp;", "&amp;Referentie_MKI_Totaal[[#Headers],[A5]],Database_Productkaarten[#All],18,FALSE),0)*Baseline!I27)),0)</f>
        <v>32947.652181600002</v>
      </c>
      <c r="J130" s="56">
        <f>(IF(Baseline!C27="Nieuwe Situatie",(_xlfn.IFNA(VLOOKUP(Referentie_CO2_Totaal[[#This Row],[Product]]&amp;", "&amp;Referentie_CO2_Totaal[[#Headers],[B1]],Database_Productkaarten[#All],18,FALSE),0)*Baseline!I27),0))</f>
        <v>0</v>
      </c>
      <c r="K130" s="56">
        <f>(IF(Baseline!C27="Nieuwe Situatie",(SUM(Referentie_CO2_Totaal[[#This Row],[A1]:[B1]],Referentie_CO2_Totaal[[#This Row],[C1]:[D2]])*Baseline!R27),0))</f>
        <v>0</v>
      </c>
      <c r="L130" s="56">
        <f>IF(Baseline!C27="Bestaande situatie",IF(_xlfn.IFNA((VLOOKUP(Baseline!Y27,Database_Asfalt_Verwijderset[#All],12,FALSE)*Baseline!I27),0)+_xlfn.IFNA(VLOOKUP(Baseline!Z27,Database_Brandstoffen[#All],12,FALSE)*((Baseline!I27/Baseline!AB27)*Baseline!AA27),0)&gt;0,_xlfn.IFNA((VLOOKUP(Baseline!Y27,Database_Asfalt_Verwijderset[#All],12,FALSE)*Baseline!I27),0)+_xlfn.IFNA(VLOOKUP(Baseline!Z27,Database_Brandstoffen[#All],12,FALSE)*((Baseline!I27/Baseline!AB27)*Baseline!AA27),0),(_xlfn.IFNA(VLOOKUP(Referentie_CO2_Totaal[[#This Row],[Product]]&amp;", "&amp;Referentie_MKI_Totaal[[#Headers],[C1]],Database_Productkaarten[#All],18,FALSE),0)*Baseline!I27)),0)</f>
        <v>0</v>
      </c>
      <c r="M130" s="56">
        <f>IF(Baseline!AD27=0,(IF(Baseline!C27="Bestaande Situatie",(_xlfn.IFNA(VLOOKUP(Referentie_CO2_Totaal[[#This Row],[Product]]&amp;", "&amp;Referentie_MKI_Totaal[[#Headers],[C2]],Database_Productkaarten[#All],18,FALSE),0)*Baseline!I27),0)),(IF(Baseline!C27="Bestaande Situatie",_xlfn.IFNA(VLOOKUP(Baseline!AD27,Database_Transport[#All],12,FALSE)*(Baseline!Q27*Baseline!AC27),0))))</f>
        <v>0</v>
      </c>
      <c r="N130" s="56">
        <f>(IF(Baseline!C27="Bestaande Situatie",(_xlfn.IFNA(VLOOKUP(Referentie_CO2_Totaal[[#This Row],[Product]]&amp;", "&amp;Referentie_CO2_Totaal[[#Headers],[C3]],Database_Productkaarten[#All],18,FALSE),0)*Baseline!I27),0))</f>
        <v>0</v>
      </c>
      <c r="O130" s="56">
        <f>(IF(Baseline!C27="Bestaande Situatie",(_xlfn.IFNA(VLOOKUP(Referentie_CO2_Totaal[[#This Row],[Product]]&amp;", "&amp;Referentie_CO2_Totaal[[#Headers],[C4]],Database_Productkaarten[#All],18,FALSE),0)*Baseline!I27),0))</f>
        <v>0</v>
      </c>
      <c r="P130" s="56">
        <f>(IF(Baseline!C27="Bestaande Situatie",(_xlfn.IFNA(VLOOKUP(Referentie_CO2_Totaal[[#This Row],[Product]]&amp;", "&amp;Referentie_CO2_Totaal[[#Headers],[D1]],Database_Productkaarten[#All],18,FALSE),0)*Baseline!I27),0))</f>
        <v>0</v>
      </c>
      <c r="Q130" s="57">
        <f>(IF(Baseline!C27="Bestaande Situatie",_xlfn.IFNA(VLOOKUP(Referentie_CO2_Totaal[[#This Row],[Product]]&amp;", "&amp;Referentie_CO2_Totaal[[#Headers],[D2]],Database_Productkaarten[#All],18,FALSE),0)*Baseline!I27,0))</f>
        <v>0</v>
      </c>
      <c r="R130" s="57">
        <f>(IF(Baseline!C27="Bestaande Situatie",(_xlfn.IFNA(VLOOKUP(Referentie_CO2_Totaal[[#This Row],[Product]]&amp;", "&amp;Referentie_CO2_Totaal[[#Headers],[D]],Database_Productkaarten[#All],18,FALSE),0)*Baseline!I27),0))</f>
        <v>0</v>
      </c>
      <c r="S130" s="56">
        <f>SUM(Referentie_CO2_Totaal[[#This Row],[A1-A3]:[C4]])+Referentie_CO2_Totaal[[#This Row],[D]]</f>
        <v>54278.892875999998</v>
      </c>
    </row>
    <row r="131" spans="2:19">
      <c r="B131" s="208" t="str">
        <f>Baseline!B28</f>
        <v>430010 - Leveren en aanbrengen trottoirbanden 180/200x250</v>
      </c>
      <c r="C131" s="1" t="str">
        <f>Baseline!F28</f>
        <v>Trottoirband 180/200x250</v>
      </c>
      <c r="D131" s="56">
        <f>(IF(Baseline!C28="Nieuwe Situatie",(_xlfn.IFNA(VLOOKUP(Referentie_CO2_Totaal[[#This Row],[Product]]&amp;", "&amp;Referentie_CO2_Totaal[[#Headers],[A1]],Database_Productkaarten[#All],18,FALSE),0)*Baseline!I28),0))</f>
        <v>1173.73236</v>
      </c>
      <c r="E131" s="56">
        <f>(IF(Baseline!C28="Nieuwe Situatie",(_xlfn.IFNA(VLOOKUP(Referentie_CO2_Totaal[[#This Row],[Product]]&amp;", "&amp;Referentie_CO2_Totaal[[#Headers],[A2]],Database_Productkaarten[#All],18,FALSE),0)*Baseline!I28),0))</f>
        <v>68.908917466666665</v>
      </c>
      <c r="F131" s="56">
        <f>(IF(Baseline!C28="Nieuwe Situatie",(_xlfn.IFNA(VLOOKUP(Referentie_CO2_Totaal[[#This Row],[Product]]&amp;", "&amp;Referentie_CO2_Totaal[[#Headers],[A3]],Database_Productkaarten[#All],18,FALSE),0)*Baseline!I28),0))</f>
        <v>62.875574400000005</v>
      </c>
      <c r="G131" s="56">
        <f>(IF(Baseline!C28="Nieuwe Situatie",(_xlfn.IFNA(VLOOKUP(Referentie_CO2_Totaal[[#This Row],[Product]]&amp;", "&amp;Referentie_CO2_Totaal[[#Headers],[A1-A3]],Database_Productkaarten[#All],18,FALSE),0)*Baseline!I28),0))</f>
        <v>1305.5168518666667</v>
      </c>
      <c r="H131" s="56">
        <f>IF(Baseline!T28=0,(IF(Baseline!C28="Nieuwe Situatie",(_xlfn.IFNA(VLOOKUP(Referentie_CO2_Totaal[[#This Row],[Product]]&amp;", "&amp;Referentie_CO2_Totaal[[#Headers],[A4]],Database_Productkaarten[#All],18,FALSE),0)*Baseline!I28),0)),IF(Baseline!C28="Nieuwe Situatie",_xlfn.IFNA(VLOOKUP(Baseline!T28,Database_Transport[#All],12,FALSE)*(Baseline!Q28*Baseline!S28),Baseline_Backlog!H131),0))</f>
        <v>38.014149393639997</v>
      </c>
      <c r="I131" s="56">
        <f>IF(Baseline!C28="Nieuwe situatie",IF(_xlfn.IFNA((VLOOKUP(Baseline!U28,Database_Asfalt_Aanlegset[#All],12,FALSE)*Baseline!I28),0)+_xlfn.IFNA(VLOOKUP(Baseline!V28,Database_Brandstoffen[#All],12,FALSE)*((Baseline!I28/Baseline!X28)*Baseline!W28),0)&gt;0,_xlfn.IFNA((VLOOKUP(Baseline!U28,Database_Asfalt_Aanlegset[#All],12,FALSE)*Baseline!I28),0)+_xlfn.IFNA(VLOOKUP(Baseline!V28,Database_Brandstoffen[#All],12,FALSE)*((Baseline!I28/Baseline!X28)*Baseline!W28),0),(_xlfn.IFNA(VLOOKUP(Referentie_CO2_Totaal[[#This Row],[Product]]&amp;", "&amp;Referentie_MKI_Totaal[[#Headers],[A5]],Database_Productkaarten[#All],18,FALSE),0)*Baseline!I28)),0)</f>
        <v>242.34589873433146</v>
      </c>
      <c r="J131" s="56">
        <f>(IF(Baseline!C28="Nieuwe Situatie",(_xlfn.IFNA(VLOOKUP(Referentie_CO2_Totaal[[#This Row],[Product]]&amp;", "&amp;Referentie_CO2_Totaal[[#Headers],[B1]],Database_Productkaarten[#All],18,FALSE),0)*Baseline!I28),0))</f>
        <v>0</v>
      </c>
      <c r="K131" s="56">
        <f>(IF(Baseline!C28="Nieuwe Situatie",(SUM(Referentie_CO2_Totaal[[#This Row],[A1]:[B1]],Referentie_CO2_Totaal[[#This Row],[C1]:[D2]])*Baseline!R28),0))</f>
        <v>0</v>
      </c>
      <c r="L131" s="56">
        <f>IF(Baseline!C28="Bestaande situatie",IF(_xlfn.IFNA((VLOOKUP(Baseline!Y28,Database_Asfalt_Verwijderset[#All],12,FALSE)*Baseline!I28),0)+_xlfn.IFNA(VLOOKUP(Baseline!Z28,Database_Brandstoffen[#All],12,FALSE)*((Baseline!I28/Baseline!AB28)*Baseline!AA28),0)&gt;0,_xlfn.IFNA((VLOOKUP(Baseline!Y28,Database_Asfalt_Verwijderset[#All],12,FALSE)*Baseline!I28),0)+_xlfn.IFNA(VLOOKUP(Baseline!Z28,Database_Brandstoffen[#All],12,FALSE)*((Baseline!I28/Baseline!AB28)*Baseline!AA28),0),(_xlfn.IFNA(VLOOKUP(Referentie_CO2_Totaal[[#This Row],[Product]]&amp;", "&amp;Referentie_MKI_Totaal[[#Headers],[C1]],Database_Productkaarten[#All],18,FALSE),0)*Baseline!I28)),0)</f>
        <v>0</v>
      </c>
      <c r="M131" s="56">
        <f>IF(Baseline!AD28=0,(IF(Baseline!C28="Bestaande Situatie",(_xlfn.IFNA(VLOOKUP(Referentie_CO2_Totaal[[#This Row],[Product]]&amp;", "&amp;Referentie_MKI_Totaal[[#Headers],[C2]],Database_Productkaarten[#All],18,FALSE),0)*Baseline!I28),0)),(IF(Baseline!C28="Bestaande Situatie",_xlfn.IFNA(VLOOKUP(Baseline!AD28,Database_Transport[#All],12,FALSE)*(Baseline!Q28*Baseline!AC28),0))))</f>
        <v>0</v>
      </c>
      <c r="N131" s="56">
        <f>(IF(Baseline!C28="Bestaande Situatie",(_xlfn.IFNA(VLOOKUP(Referentie_CO2_Totaal[[#This Row],[Product]]&amp;", "&amp;Referentie_CO2_Totaal[[#Headers],[C3]],Database_Productkaarten[#All],18,FALSE),0)*Baseline!I28),0))</f>
        <v>0</v>
      </c>
      <c r="O131" s="56">
        <f>(IF(Baseline!C28="Bestaande Situatie",(_xlfn.IFNA(VLOOKUP(Referentie_CO2_Totaal[[#This Row],[Product]]&amp;", "&amp;Referentie_CO2_Totaal[[#Headers],[C4]],Database_Productkaarten[#All],18,FALSE),0)*Baseline!I28),0))</f>
        <v>0</v>
      </c>
      <c r="P131" s="56">
        <f>(IF(Baseline!C28="Bestaande Situatie",(_xlfn.IFNA(VLOOKUP(Referentie_CO2_Totaal[[#This Row],[Product]]&amp;", "&amp;Referentie_CO2_Totaal[[#Headers],[D1]],Database_Productkaarten[#All],18,FALSE),0)*Baseline!I28),0))</f>
        <v>0</v>
      </c>
      <c r="Q131" s="57">
        <f>(IF(Baseline!C28="Bestaande Situatie",_xlfn.IFNA(VLOOKUP(Referentie_CO2_Totaal[[#This Row],[Product]]&amp;", "&amp;Referentie_CO2_Totaal[[#Headers],[D2]],Database_Productkaarten[#All],18,FALSE),0)*Baseline!I28,0))</f>
        <v>0</v>
      </c>
      <c r="R131" s="57">
        <f>(IF(Baseline!C28="Bestaande Situatie",(_xlfn.IFNA(VLOOKUP(Referentie_CO2_Totaal[[#This Row],[Product]]&amp;", "&amp;Referentie_CO2_Totaal[[#Headers],[D]],Database_Productkaarten[#All],18,FALSE),0)*Baseline!I28),0))</f>
        <v>0</v>
      </c>
      <c r="S131" s="56">
        <f>SUM(Referentie_CO2_Totaal[[#This Row],[A1-A3]:[C4]])+Referentie_CO2_Totaal[[#This Row],[D]]</f>
        <v>1585.8768999946383</v>
      </c>
    </row>
    <row r="132" spans="2:19">
      <c r="B132" s="208" t="str">
        <f>Baseline!B29</f>
        <v>430020 - Leveren en aanbrengen trottoirbanden 130/150x250</v>
      </c>
      <c r="C132" s="1" t="str">
        <f>Baseline!F29</f>
        <v>Trottoirband 130/150x250</v>
      </c>
      <c r="D132" s="56">
        <f>(IF(Baseline!C29="Nieuwe Situatie",(_xlfn.IFNA(VLOOKUP(Referentie_CO2_Totaal[[#This Row],[Product]]&amp;", "&amp;Referentie_CO2_Totaal[[#Headers],[A1]],Database_Productkaarten[#All],18,FALSE),0)*Baseline!I29),0))</f>
        <v>2381.9862600000001</v>
      </c>
      <c r="E132" s="56">
        <f>(IF(Baseline!C29="Nieuwe Situatie",(_xlfn.IFNA(VLOOKUP(Referentie_CO2_Totaal[[#This Row],[Product]]&amp;", "&amp;Referentie_CO2_Totaal[[#Headers],[A2]],Database_Productkaarten[#All],18,FALSE),0)*Baseline!I29),0))</f>
        <v>139.84456779999999</v>
      </c>
      <c r="F132" s="56">
        <f>(IF(Baseline!C29="Nieuwe Situatie",(_xlfn.IFNA(VLOOKUP(Referentie_CO2_Totaal[[#This Row],[Product]]&amp;", "&amp;Referentie_CO2_Totaal[[#Headers],[A3]],Database_Productkaarten[#All],18,FALSE),0)*Baseline!I29),0))</f>
        <v>127.60043040000001</v>
      </c>
      <c r="G132" s="56">
        <f>(IF(Baseline!C29="Nieuwe Situatie",(_xlfn.IFNA(VLOOKUP(Referentie_CO2_Totaal[[#This Row],[Product]]&amp;", "&amp;Referentie_CO2_Totaal[[#Headers],[A1-A3]],Database_Productkaarten[#All],18,FALSE),0)*Baseline!I29),0))</f>
        <v>2649.4312582000002</v>
      </c>
      <c r="H132" s="56">
        <f>IF(Baseline!T29=0,(IF(Baseline!C29="Nieuwe Situatie",(_xlfn.IFNA(VLOOKUP(Referentie_CO2_Totaal[[#This Row],[Product]]&amp;", "&amp;Referentie_CO2_Totaal[[#Headers],[A4]],Database_Productkaarten[#All],18,FALSE),0)*Baseline!I29),0)),IF(Baseline!C29="Nieuwe Situatie",_xlfn.IFNA(VLOOKUP(Baseline!T29,Database_Transport[#All],12,FALSE)*(Baseline!Q29*Baseline!S29),Baseline_Backlog!H132),0))</f>
        <v>61.71708960379199</v>
      </c>
      <c r="I132" s="56">
        <f>IF(Baseline!C29="Nieuwe situatie",IF(_xlfn.IFNA((VLOOKUP(Baseline!U29,Database_Asfalt_Aanlegset[#All],12,FALSE)*Baseline!I29),0)+_xlfn.IFNA(VLOOKUP(Baseline!V29,Database_Brandstoffen[#All],12,FALSE)*((Baseline!I29/Baseline!X29)*Baseline!W29),0)&gt;0,_xlfn.IFNA((VLOOKUP(Baseline!U29,Database_Asfalt_Aanlegset[#All],12,FALSE)*Baseline!I29),0)+_xlfn.IFNA(VLOOKUP(Baseline!V29,Database_Brandstoffen[#All],12,FALSE)*((Baseline!I29/Baseline!X29)*Baseline!W29),0),(_xlfn.IFNA(VLOOKUP(Referentie_CO2_Totaal[[#This Row],[Product]]&amp;", "&amp;Referentie_MKI_Totaal[[#Headers],[A5]],Database_Productkaarten[#All],18,FALSE),0)*Baseline!I29)),0)</f>
        <v>655.75949069289686</v>
      </c>
      <c r="J132" s="56">
        <f>(IF(Baseline!C29="Nieuwe Situatie",(_xlfn.IFNA(VLOOKUP(Referentie_CO2_Totaal[[#This Row],[Product]]&amp;", "&amp;Referentie_CO2_Totaal[[#Headers],[B1]],Database_Productkaarten[#All],18,FALSE),0)*Baseline!I29),0))</f>
        <v>0</v>
      </c>
      <c r="K132" s="56">
        <f>(IF(Baseline!C29="Nieuwe Situatie",(SUM(Referentie_CO2_Totaal[[#This Row],[A1]:[B1]],Referentie_CO2_Totaal[[#This Row],[C1]:[D2]])*Baseline!R29),0))</f>
        <v>0</v>
      </c>
      <c r="L132" s="56">
        <f>IF(Baseline!C29="Bestaande situatie",IF(_xlfn.IFNA((VLOOKUP(Baseline!Y29,Database_Asfalt_Verwijderset[#All],12,FALSE)*Baseline!I29),0)+_xlfn.IFNA(VLOOKUP(Baseline!Z29,Database_Brandstoffen[#All],12,FALSE)*((Baseline!I29/Baseline!AB29)*Baseline!AA29),0)&gt;0,_xlfn.IFNA((VLOOKUP(Baseline!Y29,Database_Asfalt_Verwijderset[#All],12,FALSE)*Baseline!I29),0)+_xlfn.IFNA(VLOOKUP(Baseline!Z29,Database_Brandstoffen[#All],12,FALSE)*((Baseline!I29/Baseline!AB29)*Baseline!AA29),0),(_xlfn.IFNA(VLOOKUP(Referentie_CO2_Totaal[[#This Row],[Product]]&amp;", "&amp;Referentie_MKI_Totaal[[#Headers],[C1]],Database_Productkaarten[#All],18,FALSE),0)*Baseline!I29)),0)</f>
        <v>0</v>
      </c>
      <c r="M132" s="56">
        <f>IF(Baseline!AD29=0,(IF(Baseline!C29="Bestaande Situatie",(_xlfn.IFNA(VLOOKUP(Referentie_CO2_Totaal[[#This Row],[Product]]&amp;", "&amp;Referentie_MKI_Totaal[[#Headers],[C2]],Database_Productkaarten[#All],18,FALSE),0)*Baseline!I29),0)),(IF(Baseline!C29="Bestaande Situatie",_xlfn.IFNA(VLOOKUP(Baseline!AD29,Database_Transport[#All],12,FALSE)*(Baseline!Q29*Baseline!AC29),0))))</f>
        <v>0</v>
      </c>
      <c r="N132" s="56">
        <f>(IF(Baseline!C29="Bestaande Situatie",(_xlfn.IFNA(VLOOKUP(Referentie_CO2_Totaal[[#This Row],[Product]]&amp;", "&amp;Referentie_CO2_Totaal[[#Headers],[C3]],Database_Productkaarten[#All],18,FALSE),0)*Baseline!I29),0))</f>
        <v>0</v>
      </c>
      <c r="O132" s="56">
        <f>(IF(Baseline!C29="Bestaande Situatie",(_xlfn.IFNA(VLOOKUP(Referentie_CO2_Totaal[[#This Row],[Product]]&amp;", "&amp;Referentie_CO2_Totaal[[#Headers],[C4]],Database_Productkaarten[#All],18,FALSE),0)*Baseline!I29),0))</f>
        <v>0</v>
      </c>
      <c r="P132" s="56">
        <f>(IF(Baseline!C29="Bestaande Situatie",(_xlfn.IFNA(VLOOKUP(Referentie_CO2_Totaal[[#This Row],[Product]]&amp;", "&amp;Referentie_CO2_Totaal[[#Headers],[D1]],Database_Productkaarten[#All],18,FALSE),0)*Baseline!I29),0))</f>
        <v>0</v>
      </c>
      <c r="Q132" s="57">
        <f>(IF(Baseline!C29="Bestaande Situatie",_xlfn.IFNA(VLOOKUP(Referentie_CO2_Totaal[[#This Row],[Product]]&amp;", "&amp;Referentie_CO2_Totaal[[#Headers],[D2]],Database_Productkaarten[#All],18,FALSE),0)*Baseline!I29,0))</f>
        <v>0</v>
      </c>
      <c r="R132" s="57">
        <f>(IF(Baseline!C29="Bestaande Situatie",(_xlfn.IFNA(VLOOKUP(Referentie_CO2_Totaal[[#This Row],[Product]]&amp;", "&amp;Referentie_CO2_Totaal[[#Headers],[D]],Database_Productkaarten[#All],18,FALSE),0)*Baseline!I29),0))</f>
        <v>0</v>
      </c>
      <c r="S132" s="56">
        <f>SUM(Referentie_CO2_Totaal[[#This Row],[A1-A3]:[C4]])+Referentie_CO2_Totaal[[#This Row],[D]]</f>
        <v>3366.9078384966888</v>
      </c>
    </row>
    <row r="133" spans="2:19">
      <c r="B133" s="208" t="str">
        <f>Baseline!B30</f>
        <v>430040 - Leveren en aanbrengen opsluitbanden 100x200</v>
      </c>
      <c r="C133" s="1" t="str">
        <f>Baseline!F30</f>
        <v>Opsluitband 100x200</v>
      </c>
      <c r="D133" s="56">
        <f>(IF(Baseline!C30="Nieuwe Situatie",(_xlfn.IFNA(VLOOKUP(Referentie_CO2_Totaal[[#This Row],[Product]]&amp;", "&amp;Referentie_CO2_Totaal[[#Headers],[A1]],Database_Productkaarten[#All],18,FALSE),0)*Baseline!I30),0))</f>
        <v>8148.9004024999995</v>
      </c>
      <c r="E133" s="56">
        <f>(IF(Baseline!C30="Nieuwe Situatie",(_xlfn.IFNA(VLOOKUP(Referentie_CO2_Totaal[[#This Row],[Product]]&amp;", "&amp;Referentie_CO2_Totaal[[#Headers],[A2]],Database_Productkaarten[#All],18,FALSE),0)*Baseline!I30),0))</f>
        <v>478.41562275000001</v>
      </c>
      <c r="F133" s="56">
        <f>(IF(Baseline!C30="Nieuwe Situatie",(_xlfn.IFNA(VLOOKUP(Referentie_CO2_Totaal[[#This Row],[Product]]&amp;", "&amp;Referentie_CO2_Totaal[[#Headers],[A3]],Database_Productkaarten[#All],18,FALSE),0)*Baseline!I30),0))</f>
        <v>436.52778584999999</v>
      </c>
      <c r="G133" s="56">
        <f>(IF(Baseline!C30="Nieuwe Situatie",(_xlfn.IFNA(VLOOKUP(Referentie_CO2_Totaal[[#This Row],[Product]]&amp;", "&amp;Referentie_CO2_Totaal[[#Headers],[A1-A3]],Database_Productkaarten[#All],18,FALSE),0)*Baseline!I30),0))</f>
        <v>9063.8438110999996</v>
      </c>
      <c r="H133" s="56">
        <f>IF(Baseline!T30=0,(IF(Baseline!C30="Nieuwe Situatie",(_xlfn.IFNA(VLOOKUP(Referentie_CO2_Totaal[[#This Row],[Product]]&amp;", "&amp;Referentie_CO2_Totaal[[#Headers],[A4]],Database_Productkaarten[#All],18,FALSE),0)*Baseline!I30),0)),IF(Baseline!C30="Nieuwe Situatie",_xlfn.IFNA(VLOOKUP(Baseline!T30,Database_Transport[#All],12,FALSE)*(Baseline!Q30*Baseline!S30),Baseline_Backlog!H133),0))</f>
        <v>216.52229241187999</v>
      </c>
      <c r="I133" s="56">
        <f>IF(Baseline!C30="Nieuwe situatie",IF(_xlfn.IFNA((VLOOKUP(Baseline!U30,Database_Asfalt_Aanlegset[#All],12,FALSE)*Baseline!I30),0)+_xlfn.IFNA(VLOOKUP(Baseline!V30,Database_Brandstoffen[#All],12,FALSE)*((Baseline!I30/Baseline!X30)*Baseline!W30),0)&gt;0,_xlfn.IFNA((VLOOKUP(Baseline!U30,Database_Asfalt_Aanlegset[#All],12,FALSE)*Baseline!I30),0)+_xlfn.IFNA(VLOOKUP(Baseline!V30,Database_Brandstoffen[#All],12,FALSE)*((Baseline!I30/Baseline!X30)*Baseline!W30),0),(_xlfn.IFNA(VLOOKUP(Referentie_CO2_Totaal[[#This Row],[Product]]&amp;", "&amp;Referentie_MKI_Totaal[[#Headers],[A5]],Database_Productkaarten[#All],18,FALSE),0)*Baseline!I30)),0)</f>
        <v>3788.8326128922931</v>
      </c>
      <c r="J133" s="56">
        <f>(IF(Baseline!C30="Nieuwe Situatie",(_xlfn.IFNA(VLOOKUP(Referentie_CO2_Totaal[[#This Row],[Product]]&amp;", "&amp;Referentie_CO2_Totaal[[#Headers],[B1]],Database_Productkaarten[#All],18,FALSE),0)*Baseline!I30),0))</f>
        <v>0</v>
      </c>
      <c r="K133" s="56">
        <f>(IF(Baseline!C30="Nieuwe Situatie",(SUM(Referentie_CO2_Totaal[[#This Row],[A1]:[B1]],Referentie_CO2_Totaal[[#This Row],[C1]:[D2]])*Baseline!R30),0))</f>
        <v>0</v>
      </c>
      <c r="L133" s="56">
        <f>IF(Baseline!C30="Bestaande situatie",IF(_xlfn.IFNA((VLOOKUP(Baseline!Y30,Database_Asfalt_Verwijderset[#All],12,FALSE)*Baseline!I30),0)+_xlfn.IFNA(VLOOKUP(Baseline!Z30,Database_Brandstoffen[#All],12,FALSE)*((Baseline!I30/Baseline!AB30)*Baseline!AA30),0)&gt;0,_xlfn.IFNA((VLOOKUP(Baseline!Y30,Database_Asfalt_Verwijderset[#All],12,FALSE)*Baseline!I30),0)+_xlfn.IFNA(VLOOKUP(Baseline!Z30,Database_Brandstoffen[#All],12,FALSE)*((Baseline!I30/Baseline!AB30)*Baseline!AA30),0),(_xlfn.IFNA(VLOOKUP(Referentie_CO2_Totaal[[#This Row],[Product]]&amp;", "&amp;Referentie_MKI_Totaal[[#Headers],[C1]],Database_Productkaarten[#All],18,FALSE),0)*Baseline!I30)),0)</f>
        <v>0</v>
      </c>
      <c r="M133" s="56">
        <f>IF(Baseline!AD30=0,(IF(Baseline!C30="Bestaande Situatie",(_xlfn.IFNA(VLOOKUP(Referentie_CO2_Totaal[[#This Row],[Product]]&amp;", "&amp;Referentie_MKI_Totaal[[#Headers],[C2]],Database_Productkaarten[#All],18,FALSE),0)*Baseline!I30),0)),(IF(Baseline!C30="Bestaande Situatie",_xlfn.IFNA(VLOOKUP(Baseline!AD30,Database_Transport[#All],12,FALSE)*(Baseline!Q30*Baseline!AC30),0))))</f>
        <v>0</v>
      </c>
      <c r="N133" s="56">
        <f>(IF(Baseline!C30="Bestaande Situatie",(_xlfn.IFNA(VLOOKUP(Referentie_CO2_Totaal[[#This Row],[Product]]&amp;", "&amp;Referentie_CO2_Totaal[[#Headers],[C3]],Database_Productkaarten[#All],18,FALSE),0)*Baseline!I30),0))</f>
        <v>0</v>
      </c>
      <c r="O133" s="56">
        <f>(IF(Baseline!C30="Bestaande Situatie",(_xlfn.IFNA(VLOOKUP(Referentie_CO2_Totaal[[#This Row],[Product]]&amp;", "&amp;Referentie_CO2_Totaal[[#Headers],[C4]],Database_Productkaarten[#All],18,FALSE),0)*Baseline!I30),0))</f>
        <v>0</v>
      </c>
      <c r="P133" s="56">
        <f>(IF(Baseline!C30="Bestaande Situatie",(_xlfn.IFNA(VLOOKUP(Referentie_CO2_Totaal[[#This Row],[Product]]&amp;", "&amp;Referentie_CO2_Totaal[[#Headers],[D1]],Database_Productkaarten[#All],18,FALSE),0)*Baseline!I30),0))</f>
        <v>0</v>
      </c>
      <c r="Q133" s="57">
        <f>(IF(Baseline!C30="Bestaande Situatie",_xlfn.IFNA(VLOOKUP(Referentie_CO2_Totaal[[#This Row],[Product]]&amp;", "&amp;Referentie_CO2_Totaal[[#Headers],[D2]],Database_Productkaarten[#All],18,FALSE),0)*Baseline!I30,0))</f>
        <v>0</v>
      </c>
      <c r="R133" s="57">
        <f>(IF(Baseline!C30="Bestaande Situatie",(_xlfn.IFNA(VLOOKUP(Referentie_CO2_Totaal[[#This Row],[Product]]&amp;", "&amp;Referentie_CO2_Totaal[[#Headers],[D]],Database_Productkaarten[#All],18,FALSE),0)*Baseline!I30),0))</f>
        <v>0</v>
      </c>
      <c r="S133" s="56">
        <f>SUM(Referentie_CO2_Totaal[[#This Row],[A1-A3]:[C4]])+Referentie_CO2_Totaal[[#This Row],[D]]</f>
        <v>13069.198716404173</v>
      </c>
    </row>
    <row r="134" spans="2:19">
      <c r="B134" s="208" t="str">
        <f>Baseline!B31</f>
        <v>430050 - Leveren en aanbrengen opsluitbanden 120x250</v>
      </c>
      <c r="C134" s="1" t="str">
        <f>Baseline!F31</f>
        <v>Opsluitband 150x250</v>
      </c>
      <c r="D134" s="56">
        <f>(IF(Baseline!C31="Nieuwe Situatie",(_xlfn.IFNA(VLOOKUP(Referentie_CO2_Totaal[[#This Row],[Product]]&amp;", "&amp;Referentie_CO2_Totaal[[#Headers],[A1]],Database_Productkaarten[#All],18,FALSE),0)*Baseline!I31),0))</f>
        <v>0</v>
      </c>
      <c r="E134" s="56">
        <f>(IF(Baseline!C31="Nieuwe Situatie",(_xlfn.IFNA(VLOOKUP(Referentie_CO2_Totaal[[#This Row],[Product]]&amp;", "&amp;Referentie_CO2_Totaal[[#Headers],[A2]],Database_Productkaarten[#All],18,FALSE),0)*Baseline!I31),0))</f>
        <v>14308.269937499997</v>
      </c>
      <c r="F134" s="56">
        <f>(IF(Baseline!C31="Nieuwe Situatie",(_xlfn.IFNA(VLOOKUP(Referentie_CO2_Totaal[[#This Row],[Product]]&amp;", "&amp;Referentie_CO2_Totaal[[#Headers],[A3]],Database_Productkaarten[#All],18,FALSE),0)*Baseline!I31),0))</f>
        <v>840.02743124999984</v>
      </c>
      <c r="G134" s="56">
        <f>(IF(Baseline!C31="Nieuwe Situatie",(_xlfn.IFNA(VLOOKUP(Referentie_CO2_Totaal[[#This Row],[Product]]&amp;", "&amp;Referentie_CO2_Totaal[[#Headers],[A1-A3]],Database_Productkaarten[#All],18,FALSE),0)*Baseline!I31),0))</f>
        <v>15148.297368749998</v>
      </c>
      <c r="H134" s="56">
        <f>IF(Baseline!T31=0,(IF(Baseline!C31="Nieuwe Situatie",(_xlfn.IFNA(VLOOKUP(Referentie_CO2_Totaal[[#This Row],[Product]]&amp;", "&amp;Referentie_CO2_Totaal[[#Headers],[A4]],Database_Productkaarten[#All],18,FALSE),0)*Baseline!I31),0)),IF(Baseline!C31="Nieuwe Situatie",_xlfn.IFNA(VLOOKUP(Baseline!T31,Database_Transport[#All],12,FALSE)*(Baseline!Q31*Baseline!S31),Baseline_Backlog!H134),0))</f>
        <v>380.18128266300005</v>
      </c>
      <c r="I134" s="56">
        <f>IF(Baseline!C31="Nieuwe situatie",IF(_xlfn.IFNA((VLOOKUP(Baseline!U31,Database_Asfalt_Aanlegset[#All],12,FALSE)*Baseline!I31),0)+_xlfn.IFNA(VLOOKUP(Baseline!V31,Database_Brandstoffen[#All],12,FALSE)*((Baseline!I31/Baseline!X31)*Baseline!W31),0)&gt;0,_xlfn.IFNA((VLOOKUP(Baseline!U31,Database_Asfalt_Aanlegset[#All],12,FALSE)*Baseline!I31),0)+_xlfn.IFNA(VLOOKUP(Baseline!V31,Database_Brandstoffen[#All],12,FALSE)*((Baseline!I31/Baseline!X31)*Baseline!W31),0),(_xlfn.IFNA(VLOOKUP(Referentie_CO2_Totaal[[#This Row],[Product]]&amp;", "&amp;Referentie_MKI_Totaal[[#Headers],[A5]],Database_Productkaarten[#All],18,FALSE),0)*Baseline!I31)),0)</f>
        <v>3991.579508565459</v>
      </c>
      <c r="J134" s="56">
        <f>(IF(Baseline!C31="Nieuwe Situatie",(_xlfn.IFNA(VLOOKUP(Referentie_CO2_Totaal[[#This Row],[Product]]&amp;", "&amp;Referentie_CO2_Totaal[[#Headers],[B1]],Database_Productkaarten[#All],18,FALSE),0)*Baseline!I31),0))</f>
        <v>2124.3480299999997</v>
      </c>
      <c r="K134" s="56">
        <f>(IF(Baseline!C31="Nieuwe Situatie",(SUM(Referentie_CO2_Totaal[[#This Row],[A1]:[B1]],Referentie_CO2_Totaal[[#This Row],[C1]:[D2]])*Baseline!R31),0))</f>
        <v>0</v>
      </c>
      <c r="L134" s="56">
        <f>IF(Baseline!C31="Bestaande situatie",IF(_xlfn.IFNA((VLOOKUP(Baseline!Y31,Database_Asfalt_Verwijderset[#All],12,FALSE)*Baseline!I31),0)+_xlfn.IFNA(VLOOKUP(Baseline!Z31,Database_Brandstoffen[#All],12,FALSE)*((Baseline!I31/Baseline!AB31)*Baseline!AA31),0)&gt;0,_xlfn.IFNA((VLOOKUP(Baseline!Y31,Database_Asfalt_Verwijderset[#All],12,FALSE)*Baseline!I31),0)+_xlfn.IFNA(VLOOKUP(Baseline!Z31,Database_Brandstoffen[#All],12,FALSE)*((Baseline!I31/Baseline!AB31)*Baseline!AA31),0),(_xlfn.IFNA(VLOOKUP(Referentie_CO2_Totaal[[#This Row],[Product]]&amp;", "&amp;Referentie_MKI_Totaal[[#Headers],[C1]],Database_Productkaarten[#All],18,FALSE),0)*Baseline!I31)),0)</f>
        <v>0</v>
      </c>
      <c r="M134" s="56">
        <f>IF(Baseline!AD31=0,(IF(Baseline!C31="Bestaande Situatie",(_xlfn.IFNA(VLOOKUP(Referentie_CO2_Totaal[[#This Row],[Product]]&amp;", "&amp;Referentie_MKI_Totaal[[#Headers],[C2]],Database_Productkaarten[#All],18,FALSE),0)*Baseline!I31),0)),(IF(Baseline!C31="Bestaande Situatie",_xlfn.IFNA(VLOOKUP(Baseline!AD31,Database_Transport[#All],12,FALSE)*(Baseline!Q31*Baseline!AC31),0))))</f>
        <v>0</v>
      </c>
      <c r="N134" s="56">
        <f>(IF(Baseline!C31="Bestaande Situatie",(_xlfn.IFNA(VLOOKUP(Referentie_CO2_Totaal[[#This Row],[Product]]&amp;", "&amp;Referentie_CO2_Totaal[[#Headers],[C3]],Database_Productkaarten[#All],18,FALSE),0)*Baseline!I31),0))</f>
        <v>0</v>
      </c>
      <c r="O134" s="56">
        <f>(IF(Baseline!C31="Bestaande Situatie",(_xlfn.IFNA(VLOOKUP(Referentie_CO2_Totaal[[#This Row],[Product]]&amp;", "&amp;Referentie_CO2_Totaal[[#Headers],[C4]],Database_Productkaarten[#All],18,FALSE),0)*Baseline!I31),0))</f>
        <v>0</v>
      </c>
      <c r="P134" s="56">
        <f>(IF(Baseline!C31="Bestaande Situatie",(_xlfn.IFNA(VLOOKUP(Referentie_CO2_Totaal[[#This Row],[Product]]&amp;", "&amp;Referentie_CO2_Totaal[[#Headers],[D1]],Database_Productkaarten[#All],18,FALSE),0)*Baseline!I31),0))</f>
        <v>0</v>
      </c>
      <c r="Q134" s="57">
        <f>(IF(Baseline!C31="Bestaande Situatie",_xlfn.IFNA(VLOOKUP(Referentie_CO2_Totaal[[#This Row],[Product]]&amp;", "&amp;Referentie_CO2_Totaal[[#Headers],[D2]],Database_Productkaarten[#All],18,FALSE),0)*Baseline!I31,0))</f>
        <v>0</v>
      </c>
      <c r="R134" s="57">
        <f>(IF(Baseline!C31="Bestaande Situatie",(_xlfn.IFNA(VLOOKUP(Referentie_CO2_Totaal[[#This Row],[Product]]&amp;", "&amp;Referentie_CO2_Totaal[[#Headers],[D]],Database_Productkaarten[#All],18,FALSE),0)*Baseline!I31),0))</f>
        <v>0</v>
      </c>
      <c r="S134" s="56">
        <f>SUM(Referentie_CO2_Totaal[[#This Row],[A1-A3]:[C4]])+Referentie_CO2_Totaal[[#This Row],[D]]</f>
        <v>21644.406189978457</v>
      </c>
    </row>
    <row r="135" spans="2:19">
      <c r="B135" s="208" t="str">
        <f>Baseline!B32</f>
        <v>440010 - Aanbrengen straatbakstenen DF, Rood (rijweg)</v>
      </c>
      <c r="C135" s="1" t="str">
        <f>Baseline!F32</f>
        <v>Baksteen</v>
      </c>
      <c r="D135" s="56">
        <f>(IF(Baseline!C32="Nieuwe Situatie",(_xlfn.IFNA(VLOOKUP(Referentie_CO2_Totaal[[#This Row],[Product]]&amp;", "&amp;Referentie_CO2_Totaal[[#Headers],[A1]],Database_Productkaarten[#All],18,FALSE),0)*Baseline!I32),0))</f>
        <v>0</v>
      </c>
      <c r="E135" s="56">
        <f>(IF(Baseline!C32="Nieuwe Situatie",(_xlfn.IFNA(VLOOKUP(Referentie_CO2_Totaal[[#This Row],[Product]]&amp;", "&amp;Referentie_CO2_Totaal[[#Headers],[A2]],Database_Productkaarten[#All],18,FALSE),0)*Baseline!I32),0))</f>
        <v>0</v>
      </c>
      <c r="F135" s="56">
        <f>(IF(Baseline!C32="Nieuwe Situatie",(_xlfn.IFNA(VLOOKUP(Referentie_CO2_Totaal[[#This Row],[Product]]&amp;", "&amp;Referentie_CO2_Totaal[[#Headers],[A3]],Database_Productkaarten[#All],18,FALSE),0)*Baseline!I32),0))</f>
        <v>0</v>
      </c>
      <c r="G135" s="56">
        <f>(IF(Baseline!C32="Nieuwe Situatie",(_xlfn.IFNA(VLOOKUP(Referentie_CO2_Totaal[[#This Row],[Product]]&amp;", "&amp;Referentie_CO2_Totaal[[#Headers],[A1-A3]],Database_Productkaarten[#All],18,FALSE),0)*Baseline!I32),0))</f>
        <v>78312.5</v>
      </c>
      <c r="H135" s="56">
        <f>IF(Baseline!T32=0,(IF(Baseline!C32="Nieuwe Situatie",(_xlfn.IFNA(VLOOKUP(Referentie_CO2_Totaal[[#This Row],[Product]]&amp;", "&amp;Referentie_CO2_Totaal[[#Headers],[A4]],Database_Productkaarten[#All],18,FALSE),0)*Baseline!I32),0)),IF(Baseline!C32="Nieuwe Situatie",_xlfn.IFNA(VLOOKUP(Baseline!T32,Database_Transport[#All],12,FALSE)*(Baseline!Q32*Baseline!S32),Baseline_Backlog!H135),0))</f>
        <v>3258.1475120319997</v>
      </c>
      <c r="I135" s="56">
        <f>IF(Baseline!C32="Nieuwe situatie",IF(_xlfn.IFNA((VLOOKUP(Baseline!U32,Database_Asfalt_Aanlegset[#All],12,FALSE)*Baseline!I32),0)+_xlfn.IFNA(VLOOKUP(Baseline!V32,Database_Brandstoffen[#All],12,FALSE)*((Baseline!I32/Baseline!X32)*Baseline!W32),0)&gt;0,_xlfn.IFNA((VLOOKUP(Baseline!U32,Database_Asfalt_Aanlegset[#All],12,FALSE)*Baseline!I32),0)+_xlfn.IFNA(VLOOKUP(Baseline!V32,Database_Brandstoffen[#All],12,FALSE)*((Baseline!I32/Baseline!X32)*Baseline!W32),0),(_xlfn.IFNA(VLOOKUP(Referentie_CO2_Totaal[[#This Row],[Product]]&amp;", "&amp;Referentie_MKI_Totaal[[#Headers],[A5]],Database_Productkaarten[#All],18,FALSE),0)*Baseline!I32)),0)</f>
        <v>35234.712107472151</v>
      </c>
      <c r="J135" s="56">
        <f>(IF(Baseline!C32="Nieuwe Situatie",(_xlfn.IFNA(VLOOKUP(Referentie_CO2_Totaal[[#This Row],[Product]]&amp;", "&amp;Referentie_CO2_Totaal[[#Headers],[B1]],Database_Productkaarten[#All],18,FALSE),0)*Baseline!I32),0))</f>
        <v>0</v>
      </c>
      <c r="K135" s="56">
        <f>(IF(Baseline!C32="Nieuwe Situatie",(SUM(Referentie_CO2_Totaal[[#This Row],[A1]:[B1]],Referentie_CO2_Totaal[[#This Row],[C1]:[D2]])*Baseline!R32),0))</f>
        <v>0</v>
      </c>
      <c r="L135" s="56">
        <f>IF(Baseline!C32="Bestaande situatie",IF(_xlfn.IFNA((VLOOKUP(Baseline!Y32,Database_Asfalt_Verwijderset[#All],12,FALSE)*Baseline!I32),0)+_xlfn.IFNA(VLOOKUP(Baseline!Z32,Database_Brandstoffen[#All],12,FALSE)*((Baseline!I32/Baseline!AB32)*Baseline!AA32),0)&gt;0,_xlfn.IFNA((VLOOKUP(Baseline!Y32,Database_Asfalt_Verwijderset[#All],12,FALSE)*Baseline!I32),0)+_xlfn.IFNA(VLOOKUP(Baseline!Z32,Database_Brandstoffen[#All],12,FALSE)*((Baseline!I32/Baseline!AB32)*Baseline!AA32),0),(_xlfn.IFNA(VLOOKUP(Referentie_CO2_Totaal[[#This Row],[Product]]&amp;", "&amp;Referentie_MKI_Totaal[[#Headers],[C1]],Database_Productkaarten[#All],18,FALSE),0)*Baseline!I32)),0)</f>
        <v>0</v>
      </c>
      <c r="M135" s="56">
        <f>IF(Baseline!AD32=0,(IF(Baseline!C32="Bestaande Situatie",(_xlfn.IFNA(VLOOKUP(Referentie_CO2_Totaal[[#This Row],[Product]]&amp;", "&amp;Referentie_MKI_Totaal[[#Headers],[C2]],Database_Productkaarten[#All],18,FALSE),0)*Baseline!I32),0)),(IF(Baseline!C32="Bestaande Situatie",_xlfn.IFNA(VLOOKUP(Baseline!AD32,Database_Transport[#All],12,FALSE)*(Baseline!Q32*Baseline!AC32),0))))</f>
        <v>0</v>
      </c>
      <c r="N135" s="56">
        <f>(IF(Baseline!C32="Bestaande Situatie",(_xlfn.IFNA(VLOOKUP(Referentie_CO2_Totaal[[#This Row],[Product]]&amp;", "&amp;Referentie_CO2_Totaal[[#Headers],[C3]],Database_Productkaarten[#All],18,FALSE),0)*Baseline!I32),0))</f>
        <v>0</v>
      </c>
      <c r="O135" s="56">
        <f>(IF(Baseline!C32="Bestaande Situatie",(_xlfn.IFNA(VLOOKUP(Referentie_CO2_Totaal[[#This Row],[Product]]&amp;", "&amp;Referentie_CO2_Totaal[[#Headers],[C4]],Database_Productkaarten[#All],18,FALSE),0)*Baseline!I32),0))</f>
        <v>0</v>
      </c>
      <c r="P135" s="56">
        <f>(IF(Baseline!C32="Bestaande Situatie",(_xlfn.IFNA(VLOOKUP(Referentie_CO2_Totaal[[#This Row],[Product]]&amp;", "&amp;Referentie_CO2_Totaal[[#Headers],[D1]],Database_Productkaarten[#All],18,FALSE),0)*Baseline!I32),0))</f>
        <v>0</v>
      </c>
      <c r="Q135" s="57">
        <f>(IF(Baseline!C32="Bestaande Situatie",_xlfn.IFNA(VLOOKUP(Referentie_CO2_Totaal[[#This Row],[Product]]&amp;", "&amp;Referentie_CO2_Totaal[[#Headers],[D2]],Database_Productkaarten[#All],18,FALSE),0)*Baseline!I32,0))</f>
        <v>0</v>
      </c>
      <c r="R135" s="57">
        <f>(IF(Baseline!C32="Bestaande Situatie",(_xlfn.IFNA(VLOOKUP(Referentie_CO2_Totaal[[#This Row],[Product]]&amp;", "&amp;Referentie_CO2_Totaal[[#Headers],[D]],Database_Productkaarten[#All],18,FALSE),0)*Baseline!I32),0))</f>
        <v>0</v>
      </c>
      <c r="S135" s="56">
        <f>SUM(Referentie_CO2_Totaal[[#This Row],[A1-A3]:[C4]])+Referentie_CO2_Totaal[[#This Row],[D]]</f>
        <v>116805.35961950415</v>
      </c>
    </row>
    <row r="136" spans="2:19">
      <c r="B136" s="208" t="str">
        <f>Baseline!B33</f>
        <v>440020 - Aanbrengen straatbakstenen DF, Geel (rijweg/ plein)</v>
      </c>
      <c r="C136" s="1" t="str">
        <f>Baseline!F33</f>
        <v>Baksteen</v>
      </c>
      <c r="D136" s="56">
        <f>(IF(Baseline!C33="Nieuwe Situatie",(_xlfn.IFNA(VLOOKUP(Referentie_CO2_Totaal[[#This Row],[Product]]&amp;", "&amp;Referentie_CO2_Totaal[[#Headers],[A1]],Database_Productkaarten[#All],18,FALSE),0)*Baseline!I33),0))</f>
        <v>0</v>
      </c>
      <c r="E136" s="56">
        <f>(IF(Baseline!C33="Nieuwe Situatie",(_xlfn.IFNA(VLOOKUP(Referentie_CO2_Totaal[[#This Row],[Product]]&amp;", "&amp;Referentie_CO2_Totaal[[#Headers],[A2]],Database_Productkaarten[#All],18,FALSE),0)*Baseline!I33),0))</f>
        <v>0</v>
      </c>
      <c r="F136" s="56">
        <f>(IF(Baseline!C33="Nieuwe Situatie",(_xlfn.IFNA(VLOOKUP(Referentie_CO2_Totaal[[#This Row],[Product]]&amp;", "&amp;Referentie_CO2_Totaal[[#Headers],[A3]],Database_Productkaarten[#All],18,FALSE),0)*Baseline!I33),0))</f>
        <v>0</v>
      </c>
      <c r="G136" s="56">
        <f>(IF(Baseline!C33="Nieuwe Situatie",(_xlfn.IFNA(VLOOKUP(Referentie_CO2_Totaal[[#This Row],[Product]]&amp;", "&amp;Referentie_CO2_Totaal[[#Headers],[A1-A3]],Database_Productkaarten[#All],18,FALSE),0)*Baseline!I33),0))</f>
        <v>115937.5</v>
      </c>
      <c r="H136" s="56">
        <f>IF(Baseline!T33=0,(IF(Baseline!C33="Nieuwe Situatie",(_xlfn.IFNA(VLOOKUP(Referentie_CO2_Totaal[[#This Row],[Product]]&amp;", "&amp;Referentie_CO2_Totaal[[#Headers],[A4]],Database_Productkaarten[#All],18,FALSE),0)*Baseline!I33),0)),IF(Baseline!C33="Nieuwe Situatie",_xlfn.IFNA(VLOOKUP(Baseline!T33,Database_Transport[#All],12,FALSE)*(Baseline!Q33*Baseline!S33),Baseline_Backlog!H136),0))</f>
        <v>4823.5144731199998</v>
      </c>
      <c r="I136" s="56">
        <f>IF(Baseline!C33="Nieuwe situatie",IF(_xlfn.IFNA((VLOOKUP(Baseline!U33,Database_Asfalt_Aanlegset[#All],12,FALSE)*Baseline!I33),0)+_xlfn.IFNA(VLOOKUP(Baseline!V33,Database_Brandstoffen[#All],12,FALSE)*((Baseline!I33/Baseline!X33)*Baseline!W33),0)&gt;0,_xlfn.IFNA((VLOOKUP(Baseline!U33,Database_Asfalt_Aanlegset[#All],12,FALSE)*Baseline!I33),0)+_xlfn.IFNA(VLOOKUP(Baseline!V33,Database_Brandstoffen[#All],12,FALSE)*((Baseline!I33/Baseline!X33)*Baseline!W33),0),(_xlfn.IFNA(VLOOKUP(Referentie_CO2_Totaal[[#This Row],[Product]]&amp;", "&amp;Referentie_MKI_Totaal[[#Headers],[A5]],Database_Productkaarten[#All],18,FALSE),0)*Baseline!I33)),0)</f>
        <v>52163.121276425241</v>
      </c>
      <c r="J136" s="56">
        <f>(IF(Baseline!C33="Nieuwe Situatie",(_xlfn.IFNA(VLOOKUP(Referentie_CO2_Totaal[[#This Row],[Product]]&amp;", "&amp;Referentie_CO2_Totaal[[#Headers],[B1]],Database_Productkaarten[#All],18,FALSE),0)*Baseline!I33),0))</f>
        <v>0</v>
      </c>
      <c r="K136" s="56">
        <f>(IF(Baseline!C33="Nieuwe Situatie",(SUM(Referentie_CO2_Totaal[[#This Row],[A1]:[B1]],Referentie_CO2_Totaal[[#This Row],[C1]:[D2]])*Baseline!R33),0))</f>
        <v>0</v>
      </c>
      <c r="L136" s="56">
        <f>IF(Baseline!C33="Bestaande situatie",IF(_xlfn.IFNA((VLOOKUP(Baseline!Y33,Database_Asfalt_Verwijderset[#All],12,FALSE)*Baseline!I33),0)+_xlfn.IFNA(VLOOKUP(Baseline!Z33,Database_Brandstoffen[#All],12,FALSE)*((Baseline!I33/Baseline!AB33)*Baseline!AA33),0)&gt;0,_xlfn.IFNA((VLOOKUP(Baseline!Y33,Database_Asfalt_Verwijderset[#All],12,FALSE)*Baseline!I33),0)+_xlfn.IFNA(VLOOKUP(Baseline!Z33,Database_Brandstoffen[#All],12,FALSE)*((Baseline!I33/Baseline!AB33)*Baseline!AA33),0),(_xlfn.IFNA(VLOOKUP(Referentie_CO2_Totaal[[#This Row],[Product]]&amp;", "&amp;Referentie_MKI_Totaal[[#Headers],[C1]],Database_Productkaarten[#All],18,FALSE),0)*Baseline!I33)),0)</f>
        <v>0</v>
      </c>
      <c r="M136" s="56">
        <f>IF(Baseline!AD33=0,(IF(Baseline!C33="Bestaande Situatie",(_xlfn.IFNA(VLOOKUP(Referentie_CO2_Totaal[[#This Row],[Product]]&amp;", "&amp;Referentie_MKI_Totaal[[#Headers],[C2]],Database_Productkaarten[#All],18,FALSE),0)*Baseline!I33),0)),(IF(Baseline!C33="Bestaande Situatie",_xlfn.IFNA(VLOOKUP(Baseline!AD33,Database_Transport[#All],12,FALSE)*(Baseline!Q33*Baseline!AC33),0))))</f>
        <v>0</v>
      </c>
      <c r="N136" s="56">
        <f>(IF(Baseline!C33="Bestaande Situatie",(_xlfn.IFNA(VLOOKUP(Referentie_CO2_Totaal[[#This Row],[Product]]&amp;", "&amp;Referentie_CO2_Totaal[[#Headers],[C3]],Database_Productkaarten[#All],18,FALSE),0)*Baseline!I33),0))</f>
        <v>0</v>
      </c>
      <c r="O136" s="56">
        <f>(IF(Baseline!C33="Bestaande Situatie",(_xlfn.IFNA(VLOOKUP(Referentie_CO2_Totaal[[#This Row],[Product]]&amp;", "&amp;Referentie_CO2_Totaal[[#Headers],[C4]],Database_Productkaarten[#All],18,FALSE),0)*Baseline!I33),0))</f>
        <v>0</v>
      </c>
      <c r="P136" s="56">
        <f>(IF(Baseline!C33="Bestaande Situatie",(_xlfn.IFNA(VLOOKUP(Referentie_CO2_Totaal[[#This Row],[Product]]&amp;", "&amp;Referentie_CO2_Totaal[[#Headers],[D1]],Database_Productkaarten[#All],18,FALSE),0)*Baseline!I33),0))</f>
        <v>0</v>
      </c>
      <c r="Q136" s="57">
        <f>(IF(Baseline!C33="Bestaande Situatie",_xlfn.IFNA(VLOOKUP(Referentie_CO2_Totaal[[#This Row],[Product]]&amp;", "&amp;Referentie_CO2_Totaal[[#Headers],[D2]],Database_Productkaarten[#All],18,FALSE),0)*Baseline!I33,0))</f>
        <v>0</v>
      </c>
      <c r="R136" s="57">
        <f>(IF(Baseline!C33="Bestaande Situatie",(_xlfn.IFNA(VLOOKUP(Referentie_CO2_Totaal[[#This Row],[Product]]&amp;", "&amp;Referentie_CO2_Totaal[[#Headers],[D]],Database_Productkaarten[#All],18,FALSE),0)*Baseline!I33),0))</f>
        <v>0</v>
      </c>
      <c r="S136" s="56">
        <f>SUM(Referentie_CO2_Totaal[[#This Row],[A1-A3]:[C4]])+Referentie_CO2_Totaal[[#This Row],[D]]</f>
        <v>172924.13574954524</v>
      </c>
    </row>
    <row r="137" spans="2:19">
      <c r="B137" s="208" t="str">
        <f>Baseline!B34</f>
        <v>440030 - Aanbrengen straatbakstenen DF, Rood (parkeervakken)</v>
      </c>
      <c r="C137" s="1" t="str">
        <f>Baseline!F34</f>
        <v>Baksteen</v>
      </c>
      <c r="D137" s="56">
        <f>(IF(Baseline!C34="Nieuwe Situatie",(_xlfn.IFNA(VLOOKUP(Referentie_CO2_Totaal[[#This Row],[Product]]&amp;", "&amp;Referentie_CO2_Totaal[[#Headers],[A1]],Database_Productkaarten[#All],18,FALSE),0)*Baseline!I34),0))</f>
        <v>0</v>
      </c>
      <c r="E137" s="56">
        <f>(IF(Baseline!C34="Nieuwe Situatie",(_xlfn.IFNA(VLOOKUP(Referentie_CO2_Totaal[[#This Row],[Product]]&amp;", "&amp;Referentie_CO2_Totaal[[#Headers],[A2]],Database_Productkaarten[#All],18,FALSE),0)*Baseline!I34),0))</f>
        <v>0</v>
      </c>
      <c r="F137" s="56">
        <f>(IF(Baseline!C34="Nieuwe Situatie",(_xlfn.IFNA(VLOOKUP(Referentie_CO2_Totaal[[#This Row],[Product]]&amp;", "&amp;Referentie_CO2_Totaal[[#Headers],[A3]],Database_Productkaarten[#All],18,FALSE),0)*Baseline!I34),0))</f>
        <v>0</v>
      </c>
      <c r="G137" s="56">
        <f>(IF(Baseline!C34="Nieuwe Situatie",(_xlfn.IFNA(VLOOKUP(Referentie_CO2_Totaal[[#This Row],[Product]]&amp;", "&amp;Referentie_CO2_Totaal[[#Headers],[A1-A3]],Database_Productkaarten[#All],18,FALSE),0)*Baseline!I34),0))</f>
        <v>7812.5</v>
      </c>
      <c r="H137" s="56">
        <f>IF(Baseline!T34=0,(IF(Baseline!C34="Nieuwe Situatie",(_xlfn.IFNA(VLOOKUP(Referentie_CO2_Totaal[[#This Row],[Product]]&amp;", "&amp;Referentie_CO2_Totaal[[#Headers],[A4]],Database_Productkaarten[#All],18,FALSE),0)*Baseline!I34),0)),IF(Baseline!C34="Nieuwe Situatie",_xlfn.IFNA(VLOOKUP(Baseline!T34,Database_Transport[#All],12,FALSE)*(Baseline!Q34*Baseline!S34),Baseline_Backlog!H137),0))</f>
        <v>325.03466799999995</v>
      </c>
      <c r="I137" s="56">
        <f>IF(Baseline!C34="Nieuwe situatie",IF(_xlfn.IFNA((VLOOKUP(Baseline!U34,Database_Asfalt_Aanlegset[#All],12,FALSE)*Baseline!I34),0)+_xlfn.IFNA(VLOOKUP(Baseline!V34,Database_Brandstoffen[#All],12,FALSE)*((Baseline!I34/Baseline!X34)*Baseline!W34),0)&gt;0,_xlfn.IFNA((VLOOKUP(Baseline!U34,Database_Asfalt_Aanlegset[#All],12,FALSE)*Baseline!I34),0)+_xlfn.IFNA(VLOOKUP(Baseline!V34,Database_Brandstoffen[#All],12,FALSE)*((Baseline!I34/Baseline!X34)*Baseline!W34),0),(_xlfn.IFNA(VLOOKUP(Referentie_CO2_Totaal[[#This Row],[Product]]&amp;", "&amp;Referentie_MKI_Totaal[[#Headers],[A5]],Database_Productkaarten[#All],18,FALSE),0)*Baseline!I34)),0)</f>
        <v>3515.0351264437495</v>
      </c>
      <c r="J137" s="56">
        <f>(IF(Baseline!C34="Nieuwe Situatie",(_xlfn.IFNA(VLOOKUP(Referentie_CO2_Totaal[[#This Row],[Product]]&amp;", "&amp;Referentie_CO2_Totaal[[#Headers],[B1]],Database_Productkaarten[#All],18,FALSE),0)*Baseline!I34),0))</f>
        <v>0</v>
      </c>
      <c r="K137" s="56">
        <f>(IF(Baseline!C34="Nieuwe Situatie",(SUM(Referentie_CO2_Totaal[[#This Row],[A1]:[B1]],Referentie_CO2_Totaal[[#This Row],[C1]:[D2]])*Baseline!R34),0))</f>
        <v>0</v>
      </c>
      <c r="L137" s="56">
        <f>IF(Baseline!C34="Bestaande situatie",IF(_xlfn.IFNA((VLOOKUP(Baseline!Y34,Database_Asfalt_Verwijderset[#All],12,FALSE)*Baseline!I34),0)+_xlfn.IFNA(VLOOKUP(Baseline!Z34,Database_Brandstoffen[#All],12,FALSE)*((Baseline!I34/Baseline!AB34)*Baseline!AA34),0)&gt;0,_xlfn.IFNA((VLOOKUP(Baseline!Y34,Database_Asfalt_Verwijderset[#All],12,FALSE)*Baseline!I34),0)+_xlfn.IFNA(VLOOKUP(Baseline!Z34,Database_Brandstoffen[#All],12,FALSE)*((Baseline!I34/Baseline!AB34)*Baseline!AA34),0),(_xlfn.IFNA(VLOOKUP(Referentie_CO2_Totaal[[#This Row],[Product]]&amp;", "&amp;Referentie_MKI_Totaal[[#Headers],[C1]],Database_Productkaarten[#All],18,FALSE),0)*Baseline!I34)),0)</f>
        <v>0</v>
      </c>
      <c r="M137" s="56">
        <f>IF(Baseline!AD34=0,(IF(Baseline!C34="Bestaande Situatie",(_xlfn.IFNA(VLOOKUP(Referentie_CO2_Totaal[[#This Row],[Product]]&amp;", "&amp;Referentie_MKI_Totaal[[#Headers],[C2]],Database_Productkaarten[#All],18,FALSE),0)*Baseline!I34),0)),(IF(Baseline!C34="Bestaande Situatie",_xlfn.IFNA(VLOOKUP(Baseline!AD34,Database_Transport[#All],12,FALSE)*(Baseline!Q34*Baseline!AC34),0))))</f>
        <v>0</v>
      </c>
      <c r="N137" s="56">
        <f>(IF(Baseline!C34="Bestaande Situatie",(_xlfn.IFNA(VLOOKUP(Referentie_CO2_Totaal[[#This Row],[Product]]&amp;", "&amp;Referentie_CO2_Totaal[[#Headers],[C3]],Database_Productkaarten[#All],18,FALSE),0)*Baseline!I34),0))</f>
        <v>0</v>
      </c>
      <c r="O137" s="56">
        <f>(IF(Baseline!C34="Bestaande Situatie",(_xlfn.IFNA(VLOOKUP(Referentie_CO2_Totaal[[#This Row],[Product]]&amp;", "&amp;Referentie_CO2_Totaal[[#Headers],[C4]],Database_Productkaarten[#All],18,FALSE),0)*Baseline!I34),0))</f>
        <v>0</v>
      </c>
      <c r="P137" s="56">
        <f>(IF(Baseline!C34="Bestaande Situatie",(_xlfn.IFNA(VLOOKUP(Referentie_CO2_Totaal[[#This Row],[Product]]&amp;", "&amp;Referentie_CO2_Totaal[[#Headers],[D1]],Database_Productkaarten[#All],18,FALSE),0)*Baseline!I34),0))</f>
        <v>0</v>
      </c>
      <c r="Q137" s="57">
        <f>(IF(Baseline!C34="Bestaande Situatie",_xlfn.IFNA(VLOOKUP(Referentie_CO2_Totaal[[#This Row],[Product]]&amp;", "&amp;Referentie_CO2_Totaal[[#Headers],[D2]],Database_Productkaarten[#All],18,FALSE),0)*Baseline!I34,0))</f>
        <v>0</v>
      </c>
      <c r="R137" s="57">
        <f>(IF(Baseline!C34="Bestaande Situatie",(_xlfn.IFNA(VLOOKUP(Referentie_CO2_Totaal[[#This Row],[Product]]&amp;", "&amp;Referentie_CO2_Totaal[[#Headers],[D]],Database_Productkaarten[#All],18,FALSE),0)*Baseline!I34),0))</f>
        <v>0</v>
      </c>
      <c r="S137" s="56">
        <f>SUM(Referentie_CO2_Totaal[[#This Row],[A1-A3]:[C4]])+Referentie_CO2_Totaal[[#This Row],[D]]</f>
        <v>11652.569794443749</v>
      </c>
    </row>
    <row r="138" spans="2:19">
      <c r="B138" s="208" t="str">
        <f>Baseline!B35</f>
        <v>440040 - Aanbrengen straatbakstenen DF, Geel (parkeervakken)</v>
      </c>
      <c r="C138" s="1" t="str">
        <f>Baseline!F35</f>
        <v>Baksteen</v>
      </c>
      <c r="D138" s="56">
        <f>(IF(Baseline!C35="Nieuwe Situatie",(_xlfn.IFNA(VLOOKUP(Referentie_CO2_Totaal[[#This Row],[Product]]&amp;", "&amp;Referentie_CO2_Totaal[[#Headers],[A1]],Database_Productkaarten[#All],18,FALSE),0)*Baseline!I35),0))</f>
        <v>0</v>
      </c>
      <c r="E138" s="56">
        <f>(IF(Baseline!C35="Nieuwe Situatie",(_xlfn.IFNA(VLOOKUP(Referentie_CO2_Totaal[[#This Row],[Product]]&amp;", "&amp;Referentie_CO2_Totaal[[#Headers],[A2]],Database_Productkaarten[#All],18,FALSE),0)*Baseline!I35),0))</f>
        <v>0</v>
      </c>
      <c r="F138" s="56">
        <f>(IF(Baseline!C35="Nieuwe Situatie",(_xlfn.IFNA(VLOOKUP(Referentie_CO2_Totaal[[#This Row],[Product]]&amp;", "&amp;Referentie_CO2_Totaal[[#Headers],[A3]],Database_Productkaarten[#All],18,FALSE),0)*Baseline!I35),0))</f>
        <v>0</v>
      </c>
      <c r="G138" s="56">
        <f>(IF(Baseline!C35="Nieuwe Situatie",(_xlfn.IFNA(VLOOKUP(Referentie_CO2_Totaal[[#This Row],[Product]]&amp;", "&amp;Referentie_CO2_Totaal[[#Headers],[A1-A3]],Database_Productkaarten[#All],18,FALSE),0)*Baseline!I35),0))</f>
        <v>8875</v>
      </c>
      <c r="H138" s="56">
        <f>IF(Baseline!T35=0,(IF(Baseline!C35="Nieuwe Situatie",(_xlfn.IFNA(VLOOKUP(Referentie_CO2_Totaal[[#This Row],[Product]]&amp;", "&amp;Referentie_CO2_Totaal[[#Headers],[A4]],Database_Productkaarten[#All],18,FALSE),0)*Baseline!I35),0)),IF(Baseline!C35="Nieuwe Situatie",_xlfn.IFNA(VLOOKUP(Baseline!T35,Database_Transport[#All],12,FALSE)*(Baseline!Q35*Baseline!S35),Baseline_Backlog!H138),0))</f>
        <v>369.23938284799999</v>
      </c>
      <c r="I138" s="56">
        <f>IF(Baseline!C35="Nieuwe situatie",IF(_xlfn.IFNA((VLOOKUP(Baseline!U35,Database_Asfalt_Aanlegset[#All],12,FALSE)*Baseline!I35),0)+_xlfn.IFNA(VLOOKUP(Baseline!V35,Database_Brandstoffen[#All],12,FALSE)*((Baseline!I35/Baseline!X35)*Baseline!W35),0)&gt;0,_xlfn.IFNA((VLOOKUP(Baseline!U35,Database_Asfalt_Aanlegset[#All],12,FALSE)*Baseline!I35),0)+_xlfn.IFNA(VLOOKUP(Baseline!V35,Database_Brandstoffen[#All],12,FALSE)*((Baseline!I35/Baseline!X35)*Baseline!W35),0),(_xlfn.IFNA(VLOOKUP(Referentie_CO2_Totaal[[#This Row],[Product]]&amp;", "&amp;Referentie_MKI_Totaal[[#Headers],[A5]],Database_Productkaarten[#All],18,FALSE),0)*Baseline!I35)),0)</f>
        <v>3993.0799036400995</v>
      </c>
      <c r="J138" s="56">
        <f>(IF(Baseline!C35="Nieuwe Situatie",(_xlfn.IFNA(VLOOKUP(Referentie_CO2_Totaal[[#This Row],[Product]]&amp;", "&amp;Referentie_CO2_Totaal[[#Headers],[B1]],Database_Productkaarten[#All],18,FALSE),0)*Baseline!I35),0))</f>
        <v>0</v>
      </c>
      <c r="K138" s="56">
        <f>(IF(Baseline!C35="Nieuwe Situatie",(SUM(Referentie_CO2_Totaal[[#This Row],[A1]:[B1]],Referentie_CO2_Totaal[[#This Row],[C1]:[D2]])*Baseline!R35),0))</f>
        <v>0</v>
      </c>
      <c r="L138" s="56">
        <f>IF(Baseline!C35="Bestaande situatie",IF(_xlfn.IFNA((VLOOKUP(Baseline!Y35,Database_Asfalt_Verwijderset[#All],12,FALSE)*Baseline!I35),0)+_xlfn.IFNA(VLOOKUP(Baseline!Z35,Database_Brandstoffen[#All],12,FALSE)*((Baseline!I35/Baseline!AB35)*Baseline!AA35),0)&gt;0,_xlfn.IFNA((VLOOKUP(Baseline!Y35,Database_Asfalt_Verwijderset[#All],12,FALSE)*Baseline!I35),0)+_xlfn.IFNA(VLOOKUP(Baseline!Z35,Database_Brandstoffen[#All],12,FALSE)*((Baseline!I35/Baseline!AB35)*Baseline!AA35),0),(_xlfn.IFNA(VLOOKUP(Referentie_CO2_Totaal[[#This Row],[Product]]&amp;", "&amp;Referentie_MKI_Totaal[[#Headers],[C1]],Database_Productkaarten[#All],18,FALSE),0)*Baseline!I35)),0)</f>
        <v>0</v>
      </c>
      <c r="M138" s="56">
        <f>IF(Baseline!AD35=0,(IF(Baseline!C35="Bestaande Situatie",(_xlfn.IFNA(VLOOKUP(Referentie_CO2_Totaal[[#This Row],[Product]]&amp;", "&amp;Referentie_MKI_Totaal[[#Headers],[C2]],Database_Productkaarten[#All],18,FALSE),0)*Baseline!I35),0)),(IF(Baseline!C35="Bestaande Situatie",_xlfn.IFNA(VLOOKUP(Baseline!AD35,Database_Transport[#All],12,FALSE)*(Baseline!Q35*Baseline!AC35),0))))</f>
        <v>0</v>
      </c>
      <c r="N138" s="56">
        <f>(IF(Baseline!C35="Bestaande Situatie",(_xlfn.IFNA(VLOOKUP(Referentie_CO2_Totaal[[#This Row],[Product]]&amp;", "&amp;Referentie_CO2_Totaal[[#Headers],[C3]],Database_Productkaarten[#All],18,FALSE),0)*Baseline!I35),0))</f>
        <v>0</v>
      </c>
      <c r="O138" s="56">
        <f>(IF(Baseline!C35="Bestaande Situatie",(_xlfn.IFNA(VLOOKUP(Referentie_CO2_Totaal[[#This Row],[Product]]&amp;", "&amp;Referentie_CO2_Totaal[[#Headers],[C4]],Database_Productkaarten[#All],18,FALSE),0)*Baseline!I35),0))</f>
        <v>0</v>
      </c>
      <c r="P138" s="56">
        <f>(IF(Baseline!C35="Bestaande Situatie",(_xlfn.IFNA(VLOOKUP(Referentie_CO2_Totaal[[#This Row],[Product]]&amp;", "&amp;Referentie_CO2_Totaal[[#Headers],[D1]],Database_Productkaarten[#All],18,FALSE),0)*Baseline!I35),0))</f>
        <v>0</v>
      </c>
      <c r="Q138" s="57">
        <f>(IF(Baseline!C35="Bestaande Situatie",_xlfn.IFNA(VLOOKUP(Referentie_CO2_Totaal[[#This Row],[Product]]&amp;", "&amp;Referentie_CO2_Totaal[[#Headers],[D2]],Database_Productkaarten[#All],18,FALSE),0)*Baseline!I35,0))</f>
        <v>0</v>
      </c>
      <c r="R138" s="57">
        <f>(IF(Baseline!C35="Bestaande Situatie",(_xlfn.IFNA(VLOOKUP(Referentie_CO2_Totaal[[#This Row],[Product]]&amp;", "&amp;Referentie_CO2_Totaal[[#Headers],[D]],Database_Productkaarten[#All],18,FALSE),0)*Baseline!I35),0))</f>
        <v>0</v>
      </c>
      <c r="S138" s="56">
        <f>SUM(Referentie_CO2_Totaal[[#This Row],[A1-A3]:[C4]])+Referentie_CO2_Totaal[[#This Row],[D]]</f>
        <v>13237.319286488098</v>
      </c>
    </row>
    <row r="139" spans="2:19">
      <c r="B139" s="208" t="str">
        <f>Baseline!B36</f>
        <v>440050 - Leveren en aanbrengen open (grasbeton) verharding (parkeerplaats)</v>
      </c>
      <c r="C139" s="1" t="str">
        <f>Baseline!F36</f>
        <v>Grasbetontegel CEM I 120 mm</v>
      </c>
      <c r="D139" s="56">
        <f>(IF(Baseline!C36="Nieuwe Situatie",(_xlfn.IFNA(VLOOKUP(Referentie_CO2_Totaal[[#This Row],[Product]]&amp;", "&amp;Referentie_CO2_Totaal[[#Headers],[A1]],Database_Productkaarten[#All],18,FALSE),0)*Baseline!I36),0))</f>
        <v>29600</v>
      </c>
      <c r="E139" s="56">
        <f>(IF(Baseline!C36="Nieuwe Situatie",(_xlfn.IFNA(VLOOKUP(Referentie_CO2_Totaal[[#This Row],[Product]]&amp;", "&amp;Referentie_CO2_Totaal[[#Headers],[A2]],Database_Productkaarten[#All],18,FALSE),0)*Baseline!I36),0))</f>
        <v>0</v>
      </c>
      <c r="F139" s="56">
        <f>(IF(Baseline!C36="Nieuwe Situatie",(_xlfn.IFNA(VLOOKUP(Referentie_CO2_Totaal[[#This Row],[Product]]&amp;", "&amp;Referentie_CO2_Totaal[[#Headers],[A3]],Database_Productkaarten[#All],18,FALSE),0)*Baseline!I36),0))</f>
        <v>0</v>
      </c>
      <c r="G139" s="56">
        <f>(IF(Baseline!C36="Nieuwe Situatie",(_xlfn.IFNA(VLOOKUP(Referentie_CO2_Totaal[[#This Row],[Product]]&amp;", "&amp;Referentie_CO2_Totaal[[#Headers],[A1-A3]],Database_Productkaarten[#All],18,FALSE),0)*Baseline!I36),0))</f>
        <v>29600</v>
      </c>
      <c r="H139" s="56">
        <f>IF(Baseline!T36=0,(IF(Baseline!C36="Nieuwe Situatie",(_xlfn.IFNA(VLOOKUP(Referentie_CO2_Totaal[[#This Row],[Product]]&amp;", "&amp;Referentie_CO2_Totaal[[#Headers],[A4]],Database_Productkaarten[#All],18,FALSE),0)*Baseline!I36),0)),IF(Baseline!C36="Nieuwe Situatie",_xlfn.IFNA(VLOOKUP(Baseline!T36,Database_Transport[#All],12,FALSE)*(Baseline!Q36*Baseline!S36),Baseline_Backlog!H139),0))</f>
        <v>872.12629632239987</v>
      </c>
      <c r="I139" s="56">
        <f>IF(Baseline!C36="Nieuwe situatie",IF(_xlfn.IFNA((VLOOKUP(Baseline!U36,Database_Asfalt_Aanlegset[#All],12,FALSE)*Baseline!I36),0)+_xlfn.IFNA(VLOOKUP(Baseline!V36,Database_Brandstoffen[#All],12,FALSE)*((Baseline!I36/Baseline!X36)*Baseline!W36),0)&gt;0,_xlfn.IFNA((VLOOKUP(Baseline!U36,Database_Asfalt_Aanlegset[#All],12,FALSE)*Baseline!I36),0)+_xlfn.IFNA(VLOOKUP(Baseline!V36,Database_Brandstoffen[#All],12,FALSE)*((Baseline!I36/Baseline!X36)*Baseline!W36),0),(_xlfn.IFNA(VLOOKUP(Referentie_CO2_Totaal[[#This Row],[Product]]&amp;", "&amp;Referentie_MKI_Totaal[[#Headers],[A5]],Database_Productkaarten[#All],18,FALSE),0)*Baseline!I36)),0)</f>
        <v>5624.0562023099992</v>
      </c>
      <c r="J139" s="56">
        <f>(IF(Baseline!C36="Nieuwe Situatie",(_xlfn.IFNA(VLOOKUP(Referentie_CO2_Totaal[[#This Row],[Product]]&amp;", "&amp;Referentie_CO2_Totaal[[#Headers],[B1]],Database_Productkaarten[#All],18,FALSE),0)*Baseline!I36),0))</f>
        <v>0</v>
      </c>
      <c r="K139" s="56">
        <f>(IF(Baseline!C36="Nieuwe Situatie",(SUM(Referentie_CO2_Totaal[[#This Row],[A1]:[B1]],Referentie_CO2_Totaal[[#This Row],[C1]:[D2]])*Baseline!R36),0))</f>
        <v>0</v>
      </c>
      <c r="L139" s="56">
        <f>IF(Baseline!C36="Bestaande situatie",IF(_xlfn.IFNA((VLOOKUP(Baseline!Y36,Database_Asfalt_Verwijderset[#All],12,FALSE)*Baseline!I36),0)+_xlfn.IFNA(VLOOKUP(Baseline!Z36,Database_Brandstoffen[#All],12,FALSE)*((Baseline!I36/Baseline!AB36)*Baseline!AA36),0)&gt;0,_xlfn.IFNA((VLOOKUP(Baseline!Y36,Database_Asfalt_Verwijderset[#All],12,FALSE)*Baseline!I36),0)+_xlfn.IFNA(VLOOKUP(Baseline!Z36,Database_Brandstoffen[#All],12,FALSE)*((Baseline!I36/Baseline!AB36)*Baseline!AA36),0),(_xlfn.IFNA(VLOOKUP(Referentie_CO2_Totaal[[#This Row],[Product]]&amp;", "&amp;Referentie_MKI_Totaal[[#Headers],[C1]],Database_Productkaarten[#All],18,FALSE),0)*Baseline!I36)),0)</f>
        <v>0</v>
      </c>
      <c r="M139" s="56">
        <f>IF(Baseline!AD36=0,(IF(Baseline!C36="Bestaande Situatie",(_xlfn.IFNA(VLOOKUP(Referentie_CO2_Totaal[[#This Row],[Product]]&amp;", "&amp;Referentie_MKI_Totaal[[#Headers],[C2]],Database_Productkaarten[#All],18,FALSE),0)*Baseline!I36),0)),(IF(Baseline!C36="Bestaande Situatie",_xlfn.IFNA(VLOOKUP(Baseline!AD36,Database_Transport[#All],12,FALSE)*(Baseline!Q36*Baseline!AC36),0))))</f>
        <v>0</v>
      </c>
      <c r="N139" s="56">
        <f>(IF(Baseline!C36="Bestaande Situatie",(_xlfn.IFNA(VLOOKUP(Referentie_CO2_Totaal[[#This Row],[Product]]&amp;", "&amp;Referentie_CO2_Totaal[[#Headers],[C3]],Database_Productkaarten[#All],18,FALSE),0)*Baseline!I36),0))</f>
        <v>0</v>
      </c>
      <c r="O139" s="56">
        <f>(IF(Baseline!C36="Bestaande Situatie",(_xlfn.IFNA(VLOOKUP(Referentie_CO2_Totaal[[#This Row],[Product]]&amp;", "&amp;Referentie_CO2_Totaal[[#Headers],[C4]],Database_Productkaarten[#All],18,FALSE),0)*Baseline!I36),0))</f>
        <v>0</v>
      </c>
      <c r="P139" s="56">
        <f>(IF(Baseline!C36="Bestaande Situatie",(_xlfn.IFNA(VLOOKUP(Referentie_CO2_Totaal[[#This Row],[Product]]&amp;", "&amp;Referentie_CO2_Totaal[[#Headers],[D1]],Database_Productkaarten[#All],18,FALSE),0)*Baseline!I36),0))</f>
        <v>0</v>
      </c>
      <c r="Q139" s="57">
        <f>(IF(Baseline!C36="Bestaande Situatie",_xlfn.IFNA(VLOOKUP(Referentie_CO2_Totaal[[#This Row],[Product]]&amp;", "&amp;Referentie_CO2_Totaal[[#Headers],[D2]],Database_Productkaarten[#All],18,FALSE),0)*Baseline!I36,0))</f>
        <v>0</v>
      </c>
      <c r="R139" s="57">
        <f>(IF(Baseline!C36="Bestaande Situatie",(_xlfn.IFNA(VLOOKUP(Referentie_CO2_Totaal[[#This Row],[Product]]&amp;", "&amp;Referentie_CO2_Totaal[[#Headers],[D]],Database_Productkaarten[#All],18,FALSE),0)*Baseline!I36),0))</f>
        <v>0</v>
      </c>
      <c r="S139" s="56">
        <f>SUM(Referentie_CO2_Totaal[[#This Row],[A1-A3]:[C4]])+Referentie_CO2_Totaal[[#This Row],[D]]</f>
        <v>36096.182498632399</v>
      </c>
    </row>
    <row r="140" spans="2:19">
      <c r="B140" s="208" t="str">
        <f>Baseline!B37</f>
        <v>440060 - Aanbrengen straatbakstenen DF, Rood (trottoir)</v>
      </c>
      <c r="C140" s="1" t="str">
        <f>Baseline!F37</f>
        <v>Baksteen</v>
      </c>
      <c r="D140" s="56">
        <f>(IF(Baseline!C37="Nieuwe Situatie",(_xlfn.IFNA(VLOOKUP(Referentie_CO2_Totaal[[#This Row],[Product]]&amp;", "&amp;Referentie_CO2_Totaal[[#Headers],[A1]],Database_Productkaarten[#All],18,FALSE),0)*Baseline!I37),0))</f>
        <v>0</v>
      </c>
      <c r="E140" s="56">
        <f>(IF(Baseline!C37="Nieuwe Situatie",(_xlfn.IFNA(VLOOKUP(Referentie_CO2_Totaal[[#This Row],[Product]]&amp;", "&amp;Referentie_CO2_Totaal[[#Headers],[A2]],Database_Productkaarten[#All],18,FALSE),0)*Baseline!I37),0))</f>
        <v>0</v>
      </c>
      <c r="F140" s="56">
        <f>(IF(Baseline!C37="Nieuwe Situatie",(_xlfn.IFNA(VLOOKUP(Referentie_CO2_Totaal[[#This Row],[Product]]&amp;", "&amp;Referentie_CO2_Totaal[[#Headers],[A3]],Database_Productkaarten[#All],18,FALSE),0)*Baseline!I37),0))</f>
        <v>0</v>
      </c>
      <c r="G140" s="56">
        <f>(IF(Baseline!C37="Nieuwe Situatie",(_xlfn.IFNA(VLOOKUP(Referentie_CO2_Totaal[[#This Row],[Product]]&amp;", "&amp;Referentie_CO2_Totaal[[#Headers],[A1-A3]],Database_Productkaarten[#All],18,FALSE),0)*Baseline!I37),0))</f>
        <v>54875</v>
      </c>
      <c r="H140" s="56">
        <f>IF(Baseline!T37=0,(IF(Baseline!C37="Nieuwe Situatie",(_xlfn.IFNA(VLOOKUP(Referentie_CO2_Totaal[[#This Row],[Product]]&amp;", "&amp;Referentie_CO2_Totaal[[#Headers],[A4]],Database_Productkaarten[#All],18,FALSE),0)*Baseline!I37),0)),IF(Baseline!C37="Nieuwe Situatie",_xlfn.IFNA(VLOOKUP(Baseline!T37,Database_Transport[#All],12,FALSE)*(Baseline!Q37*Baseline!S37),Baseline_Backlog!H140),0))</f>
        <v>2283.0435080319999</v>
      </c>
      <c r="I140" s="56">
        <f>IF(Baseline!C37="Nieuwe situatie",IF(_xlfn.IFNA((VLOOKUP(Baseline!U37,Database_Asfalt_Aanlegset[#All],12,FALSE)*Baseline!I37),0)+_xlfn.IFNA(VLOOKUP(Baseline!V37,Database_Brandstoffen[#All],12,FALSE)*((Baseline!I37/Baseline!X37)*Baseline!W37),0)&gt;0,_xlfn.IFNA((VLOOKUP(Baseline!U37,Database_Asfalt_Aanlegset[#All],12,FALSE)*Baseline!I37),0)+_xlfn.IFNA(VLOOKUP(Baseline!V37,Database_Brandstoffen[#All],12,FALSE)*((Baseline!I37/Baseline!X37)*Baseline!W37),0),(_xlfn.IFNA(VLOOKUP(Referentie_CO2_Totaal[[#This Row],[Product]]&amp;", "&amp;Referentie_MKI_Totaal[[#Headers],[A5]],Database_Productkaarten[#All],18,FALSE),0)*Baseline!I37)),0)</f>
        <v>24689.606728140894</v>
      </c>
      <c r="J140" s="56">
        <f>(IF(Baseline!C37="Nieuwe Situatie",(_xlfn.IFNA(VLOOKUP(Referentie_CO2_Totaal[[#This Row],[Product]]&amp;", "&amp;Referentie_CO2_Totaal[[#Headers],[B1]],Database_Productkaarten[#All],18,FALSE),0)*Baseline!I37),0))</f>
        <v>0</v>
      </c>
      <c r="K140" s="56">
        <f>(IF(Baseline!C37="Nieuwe Situatie",(SUM(Referentie_CO2_Totaal[[#This Row],[A1]:[B1]],Referentie_CO2_Totaal[[#This Row],[C1]:[D2]])*Baseline!R37),0))</f>
        <v>0</v>
      </c>
      <c r="L140" s="56">
        <f>IF(Baseline!C37="Bestaande situatie",IF(_xlfn.IFNA((VLOOKUP(Baseline!Y37,Database_Asfalt_Verwijderset[#All],12,FALSE)*Baseline!I37),0)+_xlfn.IFNA(VLOOKUP(Baseline!Z37,Database_Brandstoffen[#All],12,FALSE)*((Baseline!I37/Baseline!AB37)*Baseline!AA37),0)&gt;0,_xlfn.IFNA((VLOOKUP(Baseline!Y37,Database_Asfalt_Verwijderset[#All],12,FALSE)*Baseline!I37),0)+_xlfn.IFNA(VLOOKUP(Baseline!Z37,Database_Brandstoffen[#All],12,FALSE)*((Baseline!I37/Baseline!AB37)*Baseline!AA37),0),(_xlfn.IFNA(VLOOKUP(Referentie_CO2_Totaal[[#This Row],[Product]]&amp;", "&amp;Referentie_MKI_Totaal[[#Headers],[C1]],Database_Productkaarten[#All],18,FALSE),0)*Baseline!I37)),0)</f>
        <v>0</v>
      </c>
      <c r="M140" s="56">
        <f>IF(Baseline!AD37=0,(IF(Baseline!C37="Bestaande Situatie",(_xlfn.IFNA(VLOOKUP(Referentie_CO2_Totaal[[#This Row],[Product]]&amp;", "&amp;Referentie_MKI_Totaal[[#Headers],[C2]],Database_Productkaarten[#All],18,FALSE),0)*Baseline!I37),0)),(IF(Baseline!C37="Bestaande Situatie",_xlfn.IFNA(VLOOKUP(Baseline!AD37,Database_Transport[#All],12,FALSE)*(Baseline!Q37*Baseline!AC37),0))))</f>
        <v>0</v>
      </c>
      <c r="N140" s="56">
        <f>(IF(Baseline!C37="Bestaande Situatie",(_xlfn.IFNA(VLOOKUP(Referentie_CO2_Totaal[[#This Row],[Product]]&amp;", "&amp;Referentie_CO2_Totaal[[#Headers],[C3]],Database_Productkaarten[#All],18,FALSE),0)*Baseline!I37),0))</f>
        <v>0</v>
      </c>
      <c r="O140" s="56">
        <f>(IF(Baseline!C37="Bestaande Situatie",(_xlfn.IFNA(VLOOKUP(Referentie_CO2_Totaal[[#This Row],[Product]]&amp;", "&amp;Referentie_CO2_Totaal[[#Headers],[C4]],Database_Productkaarten[#All],18,FALSE),0)*Baseline!I37),0))</f>
        <v>0</v>
      </c>
      <c r="P140" s="56">
        <f>(IF(Baseline!C37="Bestaande Situatie",(_xlfn.IFNA(VLOOKUP(Referentie_CO2_Totaal[[#This Row],[Product]]&amp;", "&amp;Referentie_CO2_Totaal[[#Headers],[D1]],Database_Productkaarten[#All],18,FALSE),0)*Baseline!I37),0))</f>
        <v>0</v>
      </c>
      <c r="Q140" s="57">
        <f>(IF(Baseline!C37="Bestaande Situatie",_xlfn.IFNA(VLOOKUP(Referentie_CO2_Totaal[[#This Row],[Product]]&amp;", "&amp;Referentie_CO2_Totaal[[#Headers],[D2]],Database_Productkaarten[#All],18,FALSE),0)*Baseline!I37,0))</f>
        <v>0</v>
      </c>
      <c r="R140" s="57">
        <f>(IF(Baseline!C37="Bestaande Situatie",(_xlfn.IFNA(VLOOKUP(Referentie_CO2_Totaal[[#This Row],[Product]]&amp;", "&amp;Referentie_CO2_Totaal[[#Headers],[D]],Database_Productkaarten[#All],18,FALSE),0)*Baseline!I37),0))</f>
        <v>0</v>
      </c>
      <c r="S140" s="56">
        <f>SUM(Referentie_CO2_Totaal[[#This Row],[A1-A3]:[C4]])+Referentie_CO2_Totaal[[#This Row],[D]]</f>
        <v>81847.650236172893</v>
      </c>
    </row>
    <row r="141" spans="2:19">
      <c r="B141" s="208" t="str">
        <f>Baseline!B38</f>
        <v>440070 - Aanbrengen straatbakstenen DF, Geel (trottoir)</v>
      </c>
      <c r="C141" s="1" t="str">
        <f>Baseline!F38</f>
        <v>Baksteen</v>
      </c>
      <c r="D141" s="56">
        <f>(IF(Baseline!C38="Nieuwe Situatie",(_xlfn.IFNA(VLOOKUP(Referentie_CO2_Totaal[[#This Row],[Product]]&amp;", "&amp;Referentie_CO2_Totaal[[#Headers],[A1]],Database_Productkaarten[#All],18,FALSE),0)*Baseline!I38),0))</f>
        <v>0</v>
      </c>
      <c r="E141" s="56">
        <f>(IF(Baseline!C38="Nieuwe Situatie",(_xlfn.IFNA(VLOOKUP(Referentie_CO2_Totaal[[#This Row],[Product]]&amp;", "&amp;Referentie_CO2_Totaal[[#Headers],[A2]],Database_Productkaarten[#All],18,FALSE),0)*Baseline!I38),0))</f>
        <v>0</v>
      </c>
      <c r="F141" s="56">
        <f>(IF(Baseline!C38="Nieuwe Situatie",(_xlfn.IFNA(VLOOKUP(Referentie_CO2_Totaal[[#This Row],[Product]]&amp;", "&amp;Referentie_CO2_Totaal[[#Headers],[A3]],Database_Productkaarten[#All],18,FALSE),0)*Baseline!I38),0))</f>
        <v>0</v>
      </c>
      <c r="G141" s="56">
        <f>(IF(Baseline!C38="Nieuwe Situatie",(_xlfn.IFNA(VLOOKUP(Referentie_CO2_Totaal[[#This Row],[Product]]&amp;", "&amp;Referentie_CO2_Totaal[[#Headers],[A1-A3]],Database_Productkaarten[#All],18,FALSE),0)*Baseline!I38),0))</f>
        <v>14375</v>
      </c>
      <c r="H141" s="56">
        <f>IF(Baseline!T38=0,(IF(Baseline!C38="Nieuwe Situatie",(_xlfn.IFNA(VLOOKUP(Referentie_CO2_Totaal[[#This Row],[Product]]&amp;", "&amp;Referentie_CO2_Totaal[[#Headers],[A4]],Database_Productkaarten[#All],18,FALSE),0)*Baseline!I38),0)),IF(Baseline!C38="Nieuwe Situatie",_xlfn.IFNA(VLOOKUP(Baseline!T38,Database_Transport[#All],12,FALSE)*(Baseline!Q38*Baseline!S38),Baseline_Backlog!H141),0))</f>
        <v>598.06378911999991</v>
      </c>
      <c r="I141" s="56">
        <f>IF(Baseline!C38="Nieuwe situatie",IF(_xlfn.IFNA((VLOOKUP(Baseline!U38,Database_Asfalt_Aanlegset[#All],12,FALSE)*Baseline!I38),0)+_xlfn.IFNA(VLOOKUP(Baseline!V38,Database_Brandstoffen[#All],12,FALSE)*((Baseline!I38/Baseline!X38)*Baseline!W38),0)&gt;0,_xlfn.IFNA((VLOOKUP(Baseline!U38,Database_Asfalt_Aanlegset[#All],12,FALSE)*Baseline!I38),0)+_xlfn.IFNA(VLOOKUP(Baseline!V38,Database_Brandstoffen[#All],12,FALSE)*((Baseline!I38/Baseline!X38)*Baseline!W38),0),(_xlfn.IFNA(VLOOKUP(Referentie_CO2_Totaal[[#This Row],[Product]]&amp;", "&amp;Referentie_MKI_Totaal[[#Headers],[A5]],Database_Productkaarten[#All],18,FALSE),0)*Baseline!I38)),0)</f>
        <v>6467.6646326564996</v>
      </c>
      <c r="J141" s="56">
        <f>(IF(Baseline!C38="Nieuwe Situatie",(_xlfn.IFNA(VLOOKUP(Referentie_CO2_Totaal[[#This Row],[Product]]&amp;", "&amp;Referentie_CO2_Totaal[[#Headers],[B1]],Database_Productkaarten[#All],18,FALSE),0)*Baseline!I38),0))</f>
        <v>0</v>
      </c>
      <c r="K141" s="56">
        <f>(IF(Baseline!C38="Nieuwe Situatie",(SUM(Referentie_CO2_Totaal[[#This Row],[A1]:[B1]],Referentie_CO2_Totaal[[#This Row],[C1]:[D2]])*Baseline!R38),0))</f>
        <v>0</v>
      </c>
      <c r="L141" s="56">
        <f>IF(Baseline!C38="Bestaande situatie",IF(_xlfn.IFNA((VLOOKUP(Baseline!Y38,Database_Asfalt_Verwijderset[#All],12,FALSE)*Baseline!I38),0)+_xlfn.IFNA(VLOOKUP(Baseline!Z38,Database_Brandstoffen[#All],12,FALSE)*((Baseline!I38/Baseline!AB38)*Baseline!AA38),0)&gt;0,_xlfn.IFNA((VLOOKUP(Baseline!Y38,Database_Asfalt_Verwijderset[#All],12,FALSE)*Baseline!I38),0)+_xlfn.IFNA(VLOOKUP(Baseline!Z38,Database_Brandstoffen[#All],12,FALSE)*((Baseline!I38/Baseline!AB38)*Baseline!AA38),0),(_xlfn.IFNA(VLOOKUP(Referentie_CO2_Totaal[[#This Row],[Product]]&amp;", "&amp;Referentie_MKI_Totaal[[#Headers],[C1]],Database_Productkaarten[#All],18,FALSE),0)*Baseline!I38)),0)</f>
        <v>0</v>
      </c>
      <c r="M141" s="56">
        <f>IF(Baseline!AD38=0,(IF(Baseline!C38="Bestaande Situatie",(_xlfn.IFNA(VLOOKUP(Referentie_CO2_Totaal[[#This Row],[Product]]&amp;", "&amp;Referentie_MKI_Totaal[[#Headers],[C2]],Database_Productkaarten[#All],18,FALSE),0)*Baseline!I38),0)),(IF(Baseline!C38="Bestaande Situatie",_xlfn.IFNA(VLOOKUP(Baseline!AD38,Database_Transport[#All],12,FALSE)*(Baseline!Q38*Baseline!AC38),0))))</f>
        <v>0</v>
      </c>
      <c r="N141" s="56">
        <f>(IF(Baseline!C38="Bestaande Situatie",(_xlfn.IFNA(VLOOKUP(Referentie_CO2_Totaal[[#This Row],[Product]]&amp;", "&amp;Referentie_CO2_Totaal[[#Headers],[C3]],Database_Productkaarten[#All],18,FALSE),0)*Baseline!I38),0))</f>
        <v>0</v>
      </c>
      <c r="O141" s="56">
        <f>(IF(Baseline!C38="Bestaande Situatie",(_xlfn.IFNA(VLOOKUP(Referentie_CO2_Totaal[[#This Row],[Product]]&amp;", "&amp;Referentie_CO2_Totaal[[#Headers],[C4]],Database_Productkaarten[#All],18,FALSE),0)*Baseline!I38),0))</f>
        <v>0</v>
      </c>
      <c r="P141" s="56">
        <f>(IF(Baseline!C38="Bestaande Situatie",(_xlfn.IFNA(VLOOKUP(Referentie_CO2_Totaal[[#This Row],[Product]]&amp;", "&amp;Referentie_CO2_Totaal[[#Headers],[D1]],Database_Productkaarten[#All],18,FALSE),0)*Baseline!I38),0))</f>
        <v>0</v>
      </c>
      <c r="Q141" s="57">
        <f>(IF(Baseline!C38="Bestaande Situatie",_xlfn.IFNA(VLOOKUP(Referentie_CO2_Totaal[[#This Row],[Product]]&amp;", "&amp;Referentie_CO2_Totaal[[#Headers],[D2]],Database_Productkaarten[#All],18,FALSE),0)*Baseline!I38,0))</f>
        <v>0</v>
      </c>
      <c r="R141" s="57">
        <f>(IF(Baseline!C38="Bestaande Situatie",(_xlfn.IFNA(VLOOKUP(Referentie_CO2_Totaal[[#This Row],[Product]]&amp;", "&amp;Referentie_CO2_Totaal[[#Headers],[D]],Database_Productkaarten[#All],18,FALSE),0)*Baseline!I38),0))</f>
        <v>0</v>
      </c>
      <c r="S141" s="56">
        <f>SUM(Referentie_CO2_Totaal[[#This Row],[A1-A3]:[C4]])+Referentie_CO2_Totaal[[#This Row],[D]]</f>
        <v>21440.728421776501</v>
      </c>
    </row>
    <row r="142" spans="2:19">
      <c r="B142" s="208" t="str">
        <f>Baseline!B39</f>
        <v>440090 - Aanbrengen straatbakstenen DF, Rood (drempelopgang)</v>
      </c>
      <c r="C142" s="1" t="str">
        <f>Baseline!F39</f>
        <v>Baksteen</v>
      </c>
      <c r="D142" s="56">
        <f>(IF(Baseline!C39="Nieuwe Situatie",(_xlfn.IFNA(VLOOKUP(Referentie_CO2_Totaal[[#This Row],[Product]]&amp;", "&amp;Referentie_CO2_Totaal[[#Headers],[A1]],Database_Productkaarten[#All],18,FALSE),0)*Baseline!I39),0))</f>
        <v>0</v>
      </c>
      <c r="E142" s="56">
        <f>(IF(Baseline!C39="Nieuwe Situatie",(_xlfn.IFNA(VLOOKUP(Referentie_CO2_Totaal[[#This Row],[Product]]&amp;", "&amp;Referentie_CO2_Totaal[[#Headers],[A2]],Database_Productkaarten[#All],18,FALSE),0)*Baseline!I39),0))</f>
        <v>0</v>
      </c>
      <c r="F142" s="56">
        <f>(IF(Baseline!C39="Nieuwe Situatie",(_xlfn.IFNA(VLOOKUP(Referentie_CO2_Totaal[[#This Row],[Product]]&amp;", "&amp;Referentie_CO2_Totaal[[#Headers],[A3]],Database_Productkaarten[#All],18,FALSE),0)*Baseline!I39),0))</f>
        <v>0</v>
      </c>
      <c r="G142" s="56">
        <f>(IF(Baseline!C39="Nieuwe Situatie",(_xlfn.IFNA(VLOOKUP(Referentie_CO2_Totaal[[#This Row],[Product]]&amp;", "&amp;Referentie_CO2_Totaal[[#Headers],[A1-A3]],Database_Productkaarten[#All],18,FALSE),0)*Baseline!I39),0))</f>
        <v>2812.5</v>
      </c>
      <c r="H142" s="56">
        <f>IF(Baseline!T39=0,(IF(Baseline!C39="Nieuwe Situatie",(_xlfn.IFNA(VLOOKUP(Referentie_CO2_Totaal[[#This Row],[Product]]&amp;", "&amp;Referentie_CO2_Totaal[[#Headers],[A4]],Database_Productkaarten[#All],18,FALSE),0)*Baseline!I39),0)),IF(Baseline!C39="Nieuwe Situatie",_xlfn.IFNA(VLOOKUP(Baseline!T39,Database_Transport[#All],12,FALSE)*(Baseline!Q39*Baseline!S39),Baseline_Backlog!H142),0))</f>
        <v>117.01248047999999</v>
      </c>
      <c r="I142" s="56">
        <f>IF(Baseline!C39="Nieuwe situatie",IF(_xlfn.IFNA((VLOOKUP(Baseline!U39,Database_Asfalt_Aanlegset[#All],12,FALSE)*Baseline!I39),0)+_xlfn.IFNA(VLOOKUP(Baseline!V39,Database_Brandstoffen[#All],12,FALSE)*((Baseline!I39/Baseline!X39)*Baseline!W39),0)&gt;0,_xlfn.IFNA((VLOOKUP(Baseline!U39,Database_Asfalt_Aanlegset[#All],12,FALSE)*Baseline!I39),0)+_xlfn.IFNA(VLOOKUP(Baseline!V39,Database_Brandstoffen[#All],12,FALSE)*((Baseline!I39/Baseline!X39)*Baseline!W39),0),(_xlfn.IFNA(VLOOKUP(Referentie_CO2_Totaal[[#This Row],[Product]]&amp;", "&amp;Referentie_MKI_Totaal[[#Headers],[A5]],Database_Productkaarten[#All],18,FALSE),0)*Baseline!I39)),0)</f>
        <v>1265.41264551975</v>
      </c>
      <c r="J142" s="56">
        <f>(IF(Baseline!C39="Nieuwe Situatie",(_xlfn.IFNA(VLOOKUP(Referentie_CO2_Totaal[[#This Row],[Product]]&amp;", "&amp;Referentie_CO2_Totaal[[#Headers],[B1]],Database_Productkaarten[#All],18,FALSE),0)*Baseline!I39),0))</f>
        <v>0</v>
      </c>
      <c r="K142" s="56">
        <f>(IF(Baseline!C39="Nieuwe Situatie",(SUM(Referentie_CO2_Totaal[[#This Row],[A1]:[B1]],Referentie_CO2_Totaal[[#This Row],[C1]:[D2]])*Baseline!R39),0))</f>
        <v>0</v>
      </c>
      <c r="L142" s="56">
        <f>IF(Baseline!C39="Bestaande situatie",IF(_xlfn.IFNA((VLOOKUP(Baseline!Y39,Database_Asfalt_Verwijderset[#All],12,FALSE)*Baseline!I39),0)+_xlfn.IFNA(VLOOKUP(Baseline!Z39,Database_Brandstoffen[#All],12,FALSE)*((Baseline!I39/Baseline!AB39)*Baseline!AA39),0)&gt;0,_xlfn.IFNA((VLOOKUP(Baseline!Y39,Database_Asfalt_Verwijderset[#All],12,FALSE)*Baseline!I39),0)+_xlfn.IFNA(VLOOKUP(Baseline!Z39,Database_Brandstoffen[#All],12,FALSE)*((Baseline!I39/Baseline!AB39)*Baseline!AA39),0),(_xlfn.IFNA(VLOOKUP(Referentie_CO2_Totaal[[#This Row],[Product]]&amp;", "&amp;Referentie_MKI_Totaal[[#Headers],[C1]],Database_Productkaarten[#All],18,FALSE),0)*Baseline!I39)),0)</f>
        <v>0</v>
      </c>
      <c r="M142" s="56">
        <f>IF(Baseline!AD39=0,(IF(Baseline!C39="Bestaande Situatie",(_xlfn.IFNA(VLOOKUP(Referentie_CO2_Totaal[[#This Row],[Product]]&amp;", "&amp;Referentie_MKI_Totaal[[#Headers],[C2]],Database_Productkaarten[#All],18,FALSE),0)*Baseline!I39),0)),(IF(Baseline!C39="Bestaande Situatie",_xlfn.IFNA(VLOOKUP(Baseline!AD39,Database_Transport[#All],12,FALSE)*(Baseline!Q39*Baseline!AC39),0))))</f>
        <v>0</v>
      </c>
      <c r="N142" s="56">
        <f>(IF(Baseline!C39="Bestaande Situatie",(_xlfn.IFNA(VLOOKUP(Referentie_CO2_Totaal[[#This Row],[Product]]&amp;", "&amp;Referentie_CO2_Totaal[[#Headers],[C3]],Database_Productkaarten[#All],18,FALSE),0)*Baseline!I39),0))</f>
        <v>0</v>
      </c>
      <c r="O142" s="56">
        <f>(IF(Baseline!C39="Bestaande Situatie",(_xlfn.IFNA(VLOOKUP(Referentie_CO2_Totaal[[#This Row],[Product]]&amp;", "&amp;Referentie_CO2_Totaal[[#Headers],[C4]],Database_Productkaarten[#All],18,FALSE),0)*Baseline!I39),0))</f>
        <v>0</v>
      </c>
      <c r="P142" s="56">
        <f>(IF(Baseline!C39="Bestaande Situatie",(_xlfn.IFNA(VLOOKUP(Referentie_CO2_Totaal[[#This Row],[Product]]&amp;", "&amp;Referentie_CO2_Totaal[[#Headers],[D1]],Database_Productkaarten[#All],18,FALSE),0)*Baseline!I39),0))</f>
        <v>0</v>
      </c>
      <c r="Q142" s="57">
        <f>(IF(Baseline!C39="Bestaande Situatie",_xlfn.IFNA(VLOOKUP(Referentie_CO2_Totaal[[#This Row],[Product]]&amp;", "&amp;Referentie_CO2_Totaal[[#Headers],[D2]],Database_Productkaarten[#All],18,FALSE),0)*Baseline!I39,0))</f>
        <v>0</v>
      </c>
      <c r="R142" s="57">
        <f>(IF(Baseline!C39="Bestaande Situatie",(_xlfn.IFNA(VLOOKUP(Referentie_CO2_Totaal[[#This Row],[Product]]&amp;", "&amp;Referentie_CO2_Totaal[[#Headers],[D]],Database_Productkaarten[#All],18,FALSE),0)*Baseline!I39),0))</f>
        <v>0</v>
      </c>
      <c r="S142" s="56">
        <f>SUM(Referentie_CO2_Totaal[[#This Row],[A1-A3]:[C4]])+Referentie_CO2_Totaal[[#This Row],[D]]</f>
        <v>4194.92512599975</v>
      </c>
    </row>
    <row r="143" spans="2:19">
      <c r="B143" s="208">
        <f>Baseline!B40</f>
        <v>0</v>
      </c>
      <c r="C143" s="1">
        <f>Baseline!F40</f>
        <v>0</v>
      </c>
      <c r="D143" s="56">
        <f>(IF(Baseline!C40="Nieuwe Situatie",(_xlfn.IFNA(VLOOKUP(Referentie_CO2_Totaal[[#This Row],[Product]]&amp;", "&amp;Referentie_CO2_Totaal[[#Headers],[A1]],Database_Productkaarten[#All],18,FALSE),0)*Baseline!I40),0))</f>
        <v>0</v>
      </c>
      <c r="E143" s="56">
        <f>(IF(Baseline!C40="Nieuwe Situatie",(_xlfn.IFNA(VLOOKUP(Referentie_CO2_Totaal[[#This Row],[Product]]&amp;", "&amp;Referentie_CO2_Totaal[[#Headers],[A2]],Database_Productkaarten[#All],18,FALSE),0)*Baseline!I40),0))</f>
        <v>0</v>
      </c>
      <c r="F143" s="56">
        <f>(IF(Baseline!C40="Nieuwe Situatie",(_xlfn.IFNA(VLOOKUP(Referentie_CO2_Totaal[[#This Row],[Product]]&amp;", "&amp;Referentie_CO2_Totaal[[#Headers],[A3]],Database_Productkaarten[#All],18,FALSE),0)*Baseline!I40),0))</f>
        <v>0</v>
      </c>
      <c r="G143" s="56">
        <f>(IF(Baseline!C40="Nieuwe Situatie",(_xlfn.IFNA(VLOOKUP(Referentie_CO2_Totaal[[#This Row],[Product]]&amp;", "&amp;Referentie_CO2_Totaal[[#Headers],[A1-A3]],Database_Productkaarten[#All],18,FALSE),0)*Baseline!I40),0))</f>
        <v>0</v>
      </c>
      <c r="H143" s="56">
        <f>IF(Baseline!T40=0,(IF(Baseline!C40="Nieuwe Situatie",(_xlfn.IFNA(VLOOKUP(Referentie_CO2_Totaal[[#This Row],[Product]]&amp;", "&amp;Referentie_CO2_Totaal[[#Headers],[A4]],Database_Productkaarten[#All],18,FALSE),0)*Baseline!I40),0)),IF(Baseline!C40="Nieuwe Situatie",_xlfn.IFNA(VLOOKUP(Baseline!T40,Database_Transport[#All],12,FALSE)*(Baseline!Q40*Baseline!S40),Baseline_Backlog!H143),0))</f>
        <v>0</v>
      </c>
      <c r="I143" s="56">
        <f>IF(Baseline!C40="Nieuwe situatie",IF(_xlfn.IFNA((VLOOKUP(Baseline!U40,Database_Asfalt_Aanlegset[#All],12,FALSE)*Baseline!I40),0)+_xlfn.IFNA(VLOOKUP(Baseline!V40,Database_Brandstoffen[#All],12,FALSE)*((Baseline!I40/Baseline!X40)*Baseline!W40),0)&gt;0,_xlfn.IFNA((VLOOKUP(Baseline!U40,Database_Asfalt_Aanlegset[#All],12,FALSE)*Baseline!I40),0)+_xlfn.IFNA(VLOOKUP(Baseline!V40,Database_Brandstoffen[#All],12,FALSE)*((Baseline!I40/Baseline!X40)*Baseline!W40),0),(_xlfn.IFNA(VLOOKUP(Referentie_CO2_Totaal[[#This Row],[Product]]&amp;", "&amp;Referentie_MKI_Totaal[[#Headers],[A5]],Database_Productkaarten[#All],18,FALSE),0)*Baseline!I40)),0)</f>
        <v>0</v>
      </c>
      <c r="J143" s="56">
        <f>(IF(Baseline!C40="Nieuwe Situatie",(_xlfn.IFNA(VLOOKUP(Referentie_CO2_Totaal[[#This Row],[Product]]&amp;", "&amp;Referentie_CO2_Totaal[[#Headers],[B1]],Database_Productkaarten[#All],18,FALSE),0)*Baseline!I40),0))</f>
        <v>0</v>
      </c>
      <c r="K143" s="56">
        <f>(IF(Baseline!C40="Nieuwe Situatie",(SUM(Referentie_CO2_Totaal[[#This Row],[A1]:[B1]],Referentie_CO2_Totaal[[#This Row],[C1]:[D2]])*Baseline!R40),0))</f>
        <v>0</v>
      </c>
      <c r="L143" s="56">
        <f>IF(Baseline!C40="Bestaande situatie",IF(_xlfn.IFNA((VLOOKUP(Baseline!Y40,Database_Asfalt_Verwijderset[#All],12,FALSE)*Baseline!I40),0)+_xlfn.IFNA(VLOOKUP(Baseline!Z40,Database_Brandstoffen[#All],12,FALSE)*((Baseline!I40/Baseline!AB40)*Baseline!AA40),0)&gt;0,_xlfn.IFNA((VLOOKUP(Baseline!Y40,Database_Asfalt_Verwijderset[#All],12,FALSE)*Baseline!I40),0)+_xlfn.IFNA(VLOOKUP(Baseline!Z40,Database_Brandstoffen[#All],12,FALSE)*((Baseline!I40/Baseline!AB40)*Baseline!AA40),0),(_xlfn.IFNA(VLOOKUP(Referentie_CO2_Totaal[[#This Row],[Product]]&amp;", "&amp;Referentie_MKI_Totaal[[#Headers],[C1]],Database_Productkaarten[#All],18,FALSE),0)*Baseline!I40)),0)</f>
        <v>0</v>
      </c>
      <c r="M143" s="56">
        <f>IF(Baseline!AD40=0,(IF(Baseline!C40="Bestaande Situatie",(_xlfn.IFNA(VLOOKUP(Referentie_CO2_Totaal[[#This Row],[Product]]&amp;", "&amp;Referentie_MKI_Totaal[[#Headers],[C2]],Database_Productkaarten[#All],18,FALSE),0)*Baseline!I40),0)),(IF(Baseline!C40="Bestaande Situatie",_xlfn.IFNA(VLOOKUP(Baseline!AD40,Database_Transport[#All],12,FALSE)*(Baseline!Q40*Baseline!AC40),0))))</f>
        <v>0</v>
      </c>
      <c r="N143" s="56">
        <f>(IF(Baseline!C40="Bestaande Situatie",(_xlfn.IFNA(VLOOKUP(Referentie_CO2_Totaal[[#This Row],[Product]]&amp;", "&amp;Referentie_CO2_Totaal[[#Headers],[C3]],Database_Productkaarten[#All],18,FALSE),0)*Baseline!I40),0))</f>
        <v>0</v>
      </c>
      <c r="O143" s="56">
        <f>(IF(Baseline!C40="Bestaande Situatie",(_xlfn.IFNA(VLOOKUP(Referentie_CO2_Totaal[[#This Row],[Product]]&amp;", "&amp;Referentie_CO2_Totaal[[#Headers],[C4]],Database_Productkaarten[#All],18,FALSE),0)*Baseline!I40),0))</f>
        <v>0</v>
      </c>
      <c r="P143" s="56">
        <f>(IF(Baseline!C40="Bestaande Situatie",(_xlfn.IFNA(VLOOKUP(Referentie_CO2_Totaal[[#This Row],[Product]]&amp;", "&amp;Referentie_CO2_Totaal[[#Headers],[D1]],Database_Productkaarten[#All],18,FALSE),0)*Baseline!I40),0))</f>
        <v>0</v>
      </c>
      <c r="Q143" s="57">
        <f>(IF(Baseline!C40="Bestaande Situatie",_xlfn.IFNA(VLOOKUP(Referentie_CO2_Totaal[[#This Row],[Product]]&amp;", "&amp;Referentie_CO2_Totaal[[#Headers],[D2]],Database_Productkaarten[#All],18,FALSE),0)*Baseline!I40,0))</f>
        <v>0</v>
      </c>
      <c r="R143" s="57">
        <f>(IF(Baseline!C40="Bestaande Situatie",(_xlfn.IFNA(VLOOKUP(Referentie_CO2_Totaal[[#This Row],[Product]]&amp;", "&amp;Referentie_CO2_Totaal[[#Headers],[D]],Database_Productkaarten[#All],18,FALSE),0)*Baseline!I40),0))</f>
        <v>0</v>
      </c>
      <c r="S143" s="56">
        <f>SUM(Referentie_CO2_Totaal[[#This Row],[A1-A3]:[C4]])+Referentie_CO2_Totaal[[#This Row],[D]]</f>
        <v>0</v>
      </c>
    </row>
    <row r="144" spans="2:19">
      <c r="B144" s="208">
        <f>Baseline!B41</f>
        <v>0</v>
      </c>
      <c r="C144" s="1">
        <f>Baseline!F41</f>
        <v>0</v>
      </c>
      <c r="D144" s="56">
        <f>(IF(Baseline!C41="Nieuwe Situatie",(_xlfn.IFNA(VLOOKUP(Referentie_CO2_Totaal[[#This Row],[Product]]&amp;", "&amp;Referentie_CO2_Totaal[[#Headers],[A1]],Database_Productkaarten[#All],18,FALSE),0)*Baseline!I41),0))</f>
        <v>0</v>
      </c>
      <c r="E144" s="56">
        <f>(IF(Baseline!C41="Nieuwe Situatie",(_xlfn.IFNA(VLOOKUP(Referentie_CO2_Totaal[[#This Row],[Product]]&amp;", "&amp;Referentie_CO2_Totaal[[#Headers],[A2]],Database_Productkaarten[#All],18,FALSE),0)*Baseline!I41),0))</f>
        <v>0</v>
      </c>
      <c r="F144" s="56">
        <f>(IF(Baseline!C41="Nieuwe Situatie",(_xlfn.IFNA(VLOOKUP(Referentie_CO2_Totaal[[#This Row],[Product]]&amp;", "&amp;Referentie_CO2_Totaal[[#Headers],[A3]],Database_Productkaarten[#All],18,FALSE),0)*Baseline!I41),0))</f>
        <v>0</v>
      </c>
      <c r="G144" s="56">
        <f>(IF(Baseline!C41="Nieuwe Situatie",(_xlfn.IFNA(VLOOKUP(Referentie_CO2_Totaal[[#This Row],[Product]]&amp;", "&amp;Referentie_CO2_Totaal[[#Headers],[A1-A3]],Database_Productkaarten[#All],18,FALSE),0)*Baseline!I41),0))</f>
        <v>0</v>
      </c>
      <c r="H144" s="56">
        <f>IF(Baseline!T41=0,(IF(Baseline!C41="Nieuwe Situatie",(_xlfn.IFNA(VLOOKUP(Referentie_CO2_Totaal[[#This Row],[Product]]&amp;", "&amp;Referentie_CO2_Totaal[[#Headers],[A4]],Database_Productkaarten[#All],18,FALSE),0)*Baseline!I41),0)),IF(Baseline!C41="Nieuwe Situatie",_xlfn.IFNA(VLOOKUP(Baseline!T41,Database_Transport[#All],12,FALSE)*(Baseline!Q41*Baseline!S41),Baseline_Backlog!H144),0))</f>
        <v>0</v>
      </c>
      <c r="I144" s="56">
        <f>IF(Baseline!C41="Nieuwe situatie",IF(_xlfn.IFNA((VLOOKUP(Baseline!U41,Database_Asfalt_Aanlegset[#All],12,FALSE)*Baseline!I41),0)+_xlfn.IFNA(VLOOKUP(Baseline!V41,Database_Brandstoffen[#All],12,FALSE)*((Baseline!I41/Baseline!X41)*Baseline!W41),0)&gt;0,_xlfn.IFNA((VLOOKUP(Baseline!U41,Database_Asfalt_Aanlegset[#All],12,FALSE)*Baseline!I41),0)+_xlfn.IFNA(VLOOKUP(Baseline!V41,Database_Brandstoffen[#All],12,FALSE)*((Baseline!I41/Baseline!X41)*Baseline!W41),0),(_xlfn.IFNA(VLOOKUP(Referentie_CO2_Totaal[[#This Row],[Product]]&amp;", "&amp;Referentie_MKI_Totaal[[#Headers],[A5]],Database_Productkaarten[#All],18,FALSE),0)*Baseline!I41)),0)</f>
        <v>0</v>
      </c>
      <c r="J144" s="56">
        <f>(IF(Baseline!C41="Nieuwe Situatie",(_xlfn.IFNA(VLOOKUP(Referentie_CO2_Totaal[[#This Row],[Product]]&amp;", "&amp;Referentie_CO2_Totaal[[#Headers],[B1]],Database_Productkaarten[#All],18,FALSE),0)*Baseline!I41),0))</f>
        <v>0</v>
      </c>
      <c r="K144" s="56">
        <f>(IF(Baseline!C41="Nieuwe Situatie",(SUM(Referentie_CO2_Totaal[[#This Row],[A1]:[B1]],Referentie_CO2_Totaal[[#This Row],[C1]:[D2]])*Baseline!R41),0))</f>
        <v>0</v>
      </c>
      <c r="L144" s="56">
        <f>IF(Baseline!C41="Bestaande situatie",IF(_xlfn.IFNA((VLOOKUP(Baseline!Y41,Database_Asfalt_Verwijderset[#All],12,FALSE)*Baseline!I41),0)+_xlfn.IFNA(VLOOKUP(Baseline!Z41,Database_Brandstoffen[#All],12,FALSE)*((Baseline!I41/Baseline!AB41)*Baseline!AA41),0)&gt;0,_xlfn.IFNA((VLOOKUP(Baseline!Y41,Database_Asfalt_Verwijderset[#All],12,FALSE)*Baseline!I41),0)+_xlfn.IFNA(VLOOKUP(Baseline!Z41,Database_Brandstoffen[#All],12,FALSE)*((Baseline!I41/Baseline!AB41)*Baseline!AA41),0),(_xlfn.IFNA(VLOOKUP(Referentie_CO2_Totaal[[#This Row],[Product]]&amp;", "&amp;Referentie_MKI_Totaal[[#Headers],[C1]],Database_Productkaarten[#All],18,FALSE),0)*Baseline!I41)),0)</f>
        <v>0</v>
      </c>
      <c r="M144" s="56">
        <f>IF(Baseline!AD41=0,(IF(Baseline!C41="Bestaande Situatie",(_xlfn.IFNA(VLOOKUP(Referentie_CO2_Totaal[[#This Row],[Product]]&amp;", "&amp;Referentie_MKI_Totaal[[#Headers],[C2]],Database_Productkaarten[#All],18,FALSE),0)*Baseline!I41),0)),(IF(Baseline!C41="Bestaande Situatie",_xlfn.IFNA(VLOOKUP(Baseline!AD41,Database_Transport[#All],12,FALSE)*(Baseline!Q41*Baseline!AC41),0))))</f>
        <v>0</v>
      </c>
      <c r="N144" s="56">
        <f>(IF(Baseline!C41="Bestaande Situatie",(_xlfn.IFNA(VLOOKUP(Referentie_CO2_Totaal[[#This Row],[Product]]&amp;", "&amp;Referentie_CO2_Totaal[[#Headers],[C3]],Database_Productkaarten[#All],18,FALSE),0)*Baseline!I41),0))</f>
        <v>0</v>
      </c>
      <c r="O144" s="56">
        <f>(IF(Baseline!C41="Bestaande Situatie",(_xlfn.IFNA(VLOOKUP(Referentie_CO2_Totaal[[#This Row],[Product]]&amp;", "&amp;Referentie_CO2_Totaal[[#Headers],[C4]],Database_Productkaarten[#All],18,FALSE),0)*Baseline!I41),0))</f>
        <v>0</v>
      </c>
      <c r="P144" s="56">
        <f>(IF(Baseline!C41="Bestaande Situatie",(_xlfn.IFNA(VLOOKUP(Referentie_CO2_Totaal[[#This Row],[Product]]&amp;", "&amp;Referentie_CO2_Totaal[[#Headers],[D1]],Database_Productkaarten[#All],18,FALSE),0)*Baseline!I41),0))</f>
        <v>0</v>
      </c>
      <c r="Q144" s="57">
        <f>(IF(Baseline!C41="Bestaande Situatie",_xlfn.IFNA(VLOOKUP(Referentie_CO2_Totaal[[#This Row],[Product]]&amp;", "&amp;Referentie_CO2_Totaal[[#Headers],[D2]],Database_Productkaarten[#All],18,FALSE),0)*Baseline!I41,0))</f>
        <v>0</v>
      </c>
      <c r="R144" s="57">
        <f>(IF(Baseline!C41="Bestaande Situatie",(_xlfn.IFNA(VLOOKUP(Referentie_CO2_Totaal[[#This Row],[Product]]&amp;", "&amp;Referentie_CO2_Totaal[[#Headers],[D]],Database_Productkaarten[#All],18,FALSE),0)*Baseline!I41),0))</f>
        <v>0</v>
      </c>
      <c r="S144" s="56">
        <f>SUM(Referentie_CO2_Totaal[[#This Row],[A1-A3]:[C4]])+Referentie_CO2_Totaal[[#This Row],[D]]</f>
        <v>0</v>
      </c>
    </row>
    <row r="145" spans="2:19">
      <c r="B145" s="208">
        <f>Baseline!B42</f>
        <v>0</v>
      </c>
      <c r="C145" s="1">
        <f>Baseline!F42</f>
        <v>0</v>
      </c>
      <c r="D145" s="56">
        <f>(IF(Baseline!C42="Nieuwe Situatie",(_xlfn.IFNA(VLOOKUP(Referentie_CO2_Totaal[[#This Row],[Product]]&amp;", "&amp;Referentie_CO2_Totaal[[#Headers],[A1]],Database_Productkaarten[#All],18,FALSE),0)*Baseline!I42),0))</f>
        <v>0</v>
      </c>
      <c r="E145" s="56">
        <f>(IF(Baseline!C42="Nieuwe Situatie",(_xlfn.IFNA(VLOOKUP(Referentie_CO2_Totaal[[#This Row],[Product]]&amp;", "&amp;Referentie_CO2_Totaal[[#Headers],[A2]],Database_Productkaarten[#All],18,FALSE),0)*Baseline!I42),0))</f>
        <v>0</v>
      </c>
      <c r="F145" s="56">
        <f>(IF(Baseline!C42="Nieuwe Situatie",(_xlfn.IFNA(VLOOKUP(Referentie_CO2_Totaal[[#This Row],[Product]]&amp;", "&amp;Referentie_CO2_Totaal[[#Headers],[A3]],Database_Productkaarten[#All],18,FALSE),0)*Baseline!I42),0))</f>
        <v>0</v>
      </c>
      <c r="G145" s="56">
        <f>(IF(Baseline!C42="Nieuwe Situatie",(_xlfn.IFNA(VLOOKUP(Referentie_CO2_Totaal[[#This Row],[Product]]&amp;", "&amp;Referentie_CO2_Totaal[[#Headers],[A1-A3]],Database_Productkaarten[#All],18,FALSE),0)*Baseline!I42),0))</f>
        <v>0</v>
      </c>
      <c r="H145" s="56">
        <f>IF(Baseline!T42=0,(IF(Baseline!C42="Nieuwe Situatie",(_xlfn.IFNA(VLOOKUP(Referentie_CO2_Totaal[[#This Row],[Product]]&amp;", "&amp;Referentie_CO2_Totaal[[#Headers],[A4]],Database_Productkaarten[#All],18,FALSE),0)*Baseline!I42),0)),IF(Baseline!C42="Nieuwe Situatie",_xlfn.IFNA(VLOOKUP(Baseline!T42,Database_Transport[#All],12,FALSE)*(Baseline!Q42*Baseline!S42),Baseline_Backlog!H145),0))</f>
        <v>0</v>
      </c>
      <c r="I145" s="56">
        <f>IF(Baseline!C42="Nieuwe situatie",IF(_xlfn.IFNA((VLOOKUP(Baseline!U42,Database_Asfalt_Aanlegset[#All],12,FALSE)*Baseline!I42),0)+_xlfn.IFNA(VLOOKUP(Baseline!V42,Database_Brandstoffen[#All],12,FALSE)*((Baseline!I42/Baseline!X42)*Baseline!W42),0)&gt;0,_xlfn.IFNA((VLOOKUP(Baseline!U42,Database_Asfalt_Aanlegset[#All],12,FALSE)*Baseline!I42),0)+_xlfn.IFNA(VLOOKUP(Baseline!V42,Database_Brandstoffen[#All],12,FALSE)*((Baseline!I42/Baseline!X42)*Baseline!W42),0),(_xlfn.IFNA(VLOOKUP(Referentie_CO2_Totaal[[#This Row],[Product]]&amp;", "&amp;Referentie_MKI_Totaal[[#Headers],[A5]],Database_Productkaarten[#All],18,FALSE),0)*Baseline!I42)),0)</f>
        <v>0</v>
      </c>
      <c r="J145" s="56">
        <f>(IF(Baseline!C42="Nieuwe Situatie",(_xlfn.IFNA(VLOOKUP(Referentie_CO2_Totaal[[#This Row],[Product]]&amp;", "&amp;Referentie_CO2_Totaal[[#Headers],[B1]],Database_Productkaarten[#All],18,FALSE),0)*Baseline!I42),0))</f>
        <v>0</v>
      </c>
      <c r="K145" s="56">
        <f>(IF(Baseline!C42="Nieuwe Situatie",(SUM(Referentie_CO2_Totaal[[#This Row],[A1]:[B1]],Referentie_CO2_Totaal[[#This Row],[C1]:[D2]])*Baseline!R42),0))</f>
        <v>0</v>
      </c>
      <c r="L145" s="56">
        <f>IF(Baseline!C42="Bestaande situatie",IF(_xlfn.IFNA((VLOOKUP(Baseline!Y42,Database_Asfalt_Verwijderset[#All],12,FALSE)*Baseline!I42),0)+_xlfn.IFNA(VLOOKUP(Baseline!Z42,Database_Brandstoffen[#All],12,FALSE)*((Baseline!I42/Baseline!AB42)*Baseline!AA42),0)&gt;0,_xlfn.IFNA((VLOOKUP(Baseline!Y42,Database_Asfalt_Verwijderset[#All],12,FALSE)*Baseline!I42),0)+_xlfn.IFNA(VLOOKUP(Baseline!Z42,Database_Brandstoffen[#All],12,FALSE)*((Baseline!I42/Baseline!AB42)*Baseline!AA42),0),(_xlfn.IFNA(VLOOKUP(Referentie_CO2_Totaal[[#This Row],[Product]]&amp;", "&amp;Referentie_MKI_Totaal[[#Headers],[C1]],Database_Productkaarten[#All],18,FALSE),0)*Baseline!I42)),0)</f>
        <v>0</v>
      </c>
      <c r="M145" s="56">
        <f>IF(Baseline!AD42=0,(IF(Baseline!C42="Bestaande Situatie",(_xlfn.IFNA(VLOOKUP(Referentie_CO2_Totaal[[#This Row],[Product]]&amp;", "&amp;Referentie_MKI_Totaal[[#Headers],[C2]],Database_Productkaarten[#All],18,FALSE),0)*Baseline!I42),0)),(IF(Baseline!C42="Bestaande Situatie",_xlfn.IFNA(VLOOKUP(Baseline!AD42,Database_Transport[#All],12,FALSE)*(Baseline!Q42*Baseline!AC42),0))))</f>
        <v>0</v>
      </c>
      <c r="N145" s="56">
        <f>(IF(Baseline!C42="Bestaande Situatie",(_xlfn.IFNA(VLOOKUP(Referentie_CO2_Totaal[[#This Row],[Product]]&amp;", "&amp;Referentie_CO2_Totaal[[#Headers],[C3]],Database_Productkaarten[#All],18,FALSE),0)*Baseline!I42),0))</f>
        <v>0</v>
      </c>
      <c r="O145" s="56">
        <f>(IF(Baseline!C42="Bestaande Situatie",(_xlfn.IFNA(VLOOKUP(Referentie_CO2_Totaal[[#This Row],[Product]]&amp;", "&amp;Referentie_CO2_Totaal[[#Headers],[C4]],Database_Productkaarten[#All],18,FALSE),0)*Baseline!I42),0))</f>
        <v>0</v>
      </c>
      <c r="P145" s="56">
        <f>(IF(Baseline!C42="Bestaande Situatie",(_xlfn.IFNA(VLOOKUP(Referentie_CO2_Totaal[[#This Row],[Product]]&amp;", "&amp;Referentie_CO2_Totaal[[#Headers],[D1]],Database_Productkaarten[#All],18,FALSE),0)*Baseline!I42),0))</f>
        <v>0</v>
      </c>
      <c r="Q145" s="57">
        <f>(IF(Baseline!C42="Bestaande Situatie",_xlfn.IFNA(VLOOKUP(Referentie_CO2_Totaal[[#This Row],[Product]]&amp;", "&amp;Referentie_CO2_Totaal[[#Headers],[D2]],Database_Productkaarten[#All],18,FALSE),0)*Baseline!I42,0))</f>
        <v>0</v>
      </c>
      <c r="R145" s="57">
        <f>(IF(Baseline!C42="Bestaande Situatie",(_xlfn.IFNA(VLOOKUP(Referentie_CO2_Totaal[[#This Row],[Product]]&amp;", "&amp;Referentie_CO2_Totaal[[#Headers],[D]],Database_Productkaarten[#All],18,FALSE),0)*Baseline!I42),0))</f>
        <v>0</v>
      </c>
      <c r="S145" s="56">
        <f>SUM(Referentie_CO2_Totaal[[#This Row],[A1-A3]:[C4]])+Referentie_CO2_Totaal[[#This Row],[D]]</f>
        <v>0</v>
      </c>
    </row>
    <row r="146" spans="2:19">
      <c r="B146" s="208">
        <f>Baseline!B43</f>
        <v>0</v>
      </c>
      <c r="C146" s="1">
        <f>Baseline!F43</f>
        <v>0</v>
      </c>
      <c r="D146" s="56">
        <f>(IF(Baseline!C43="Nieuwe Situatie",(_xlfn.IFNA(VLOOKUP(Referentie_CO2_Totaal[[#This Row],[Product]]&amp;", "&amp;Referentie_CO2_Totaal[[#Headers],[A1]],Database_Productkaarten[#All],18,FALSE),0)*Baseline!I43),0))</f>
        <v>0</v>
      </c>
      <c r="E146" s="56">
        <f>(IF(Baseline!C43="Nieuwe Situatie",(_xlfn.IFNA(VLOOKUP(Referentie_CO2_Totaal[[#This Row],[Product]]&amp;", "&amp;Referentie_CO2_Totaal[[#Headers],[A2]],Database_Productkaarten[#All],18,FALSE),0)*Baseline!I43),0))</f>
        <v>0</v>
      </c>
      <c r="F146" s="56">
        <f>(IF(Baseline!C43="Nieuwe Situatie",(_xlfn.IFNA(VLOOKUP(Referentie_CO2_Totaal[[#This Row],[Product]]&amp;", "&amp;Referentie_CO2_Totaal[[#Headers],[A3]],Database_Productkaarten[#All],18,FALSE),0)*Baseline!I43),0))</f>
        <v>0</v>
      </c>
      <c r="G146" s="56">
        <f>(IF(Baseline!C43="Nieuwe Situatie",(_xlfn.IFNA(VLOOKUP(Referentie_CO2_Totaal[[#This Row],[Product]]&amp;", "&amp;Referentie_CO2_Totaal[[#Headers],[A1-A3]],Database_Productkaarten[#All],18,FALSE),0)*Baseline!I43),0))</f>
        <v>0</v>
      </c>
      <c r="H146" s="56">
        <f>IF(Baseline!T43=0,(IF(Baseline!C43="Nieuwe Situatie",(_xlfn.IFNA(VLOOKUP(Referentie_CO2_Totaal[[#This Row],[Product]]&amp;", "&amp;Referentie_CO2_Totaal[[#Headers],[A4]],Database_Productkaarten[#All],18,FALSE),0)*Baseline!I43),0)),IF(Baseline!C43="Nieuwe Situatie",_xlfn.IFNA(VLOOKUP(Baseline!T43,Database_Transport[#All],12,FALSE)*(Baseline!Q43*Baseline!S43),Baseline_Backlog!H146),0))</f>
        <v>0</v>
      </c>
      <c r="I146" s="56">
        <f>IF(Baseline!C43="Nieuwe situatie",IF(_xlfn.IFNA((VLOOKUP(Baseline!U43,Database_Asfalt_Aanlegset[#All],12,FALSE)*Baseline!I43),0)+_xlfn.IFNA(VLOOKUP(Baseline!V43,Database_Brandstoffen[#All],12,FALSE)*((Baseline!I43/Baseline!X43)*Baseline!W43),0)&gt;0,_xlfn.IFNA((VLOOKUP(Baseline!U43,Database_Asfalt_Aanlegset[#All],12,FALSE)*Baseline!I43),0)+_xlfn.IFNA(VLOOKUP(Baseline!V43,Database_Brandstoffen[#All],12,FALSE)*((Baseline!I43/Baseline!X43)*Baseline!W43),0),(_xlfn.IFNA(VLOOKUP(Referentie_CO2_Totaal[[#This Row],[Product]]&amp;", "&amp;Referentie_MKI_Totaal[[#Headers],[A5]],Database_Productkaarten[#All],18,FALSE),0)*Baseline!I43)),0)</f>
        <v>0</v>
      </c>
      <c r="J146" s="56">
        <f>(IF(Baseline!C43="Nieuwe Situatie",(_xlfn.IFNA(VLOOKUP(Referentie_CO2_Totaal[[#This Row],[Product]]&amp;", "&amp;Referentie_CO2_Totaal[[#Headers],[B1]],Database_Productkaarten[#All],18,FALSE),0)*Baseline!I43),0))</f>
        <v>0</v>
      </c>
      <c r="K146" s="56">
        <f>(IF(Baseline!C43="Nieuwe Situatie",(SUM(Referentie_CO2_Totaal[[#This Row],[A1]:[B1]],Referentie_CO2_Totaal[[#This Row],[C1]:[D2]])*Baseline!R43),0))</f>
        <v>0</v>
      </c>
      <c r="L146" s="56">
        <f>IF(Baseline!C43="Bestaande situatie",IF(_xlfn.IFNA((VLOOKUP(Baseline!Y43,Database_Asfalt_Verwijderset[#All],12,FALSE)*Baseline!I43),0)+_xlfn.IFNA(VLOOKUP(Baseline!Z43,Database_Brandstoffen[#All],12,FALSE)*((Baseline!I43/Baseline!AB43)*Baseline!AA43),0)&gt;0,_xlfn.IFNA((VLOOKUP(Baseline!Y43,Database_Asfalt_Verwijderset[#All],12,FALSE)*Baseline!I43),0)+_xlfn.IFNA(VLOOKUP(Baseline!Z43,Database_Brandstoffen[#All],12,FALSE)*((Baseline!I43/Baseline!AB43)*Baseline!AA43),0),(_xlfn.IFNA(VLOOKUP(Referentie_CO2_Totaal[[#This Row],[Product]]&amp;", "&amp;Referentie_MKI_Totaal[[#Headers],[C1]],Database_Productkaarten[#All],18,FALSE),0)*Baseline!I43)),0)</f>
        <v>0</v>
      </c>
      <c r="M146" s="56">
        <f>IF(Baseline!AD43=0,(IF(Baseline!C43="Bestaande Situatie",(_xlfn.IFNA(VLOOKUP(Referentie_CO2_Totaal[[#This Row],[Product]]&amp;", "&amp;Referentie_MKI_Totaal[[#Headers],[C2]],Database_Productkaarten[#All],18,FALSE),0)*Baseline!I43),0)),(IF(Baseline!C43="Bestaande Situatie",_xlfn.IFNA(VLOOKUP(Baseline!AD43,Database_Transport[#All],12,FALSE)*(Baseline!Q43*Baseline!AC43),0))))</f>
        <v>0</v>
      </c>
      <c r="N146" s="56">
        <f>(IF(Baseline!C43="Bestaande Situatie",(_xlfn.IFNA(VLOOKUP(Referentie_CO2_Totaal[[#This Row],[Product]]&amp;", "&amp;Referentie_CO2_Totaal[[#Headers],[C3]],Database_Productkaarten[#All],18,FALSE),0)*Baseline!I43),0))</f>
        <v>0</v>
      </c>
      <c r="O146" s="56">
        <f>(IF(Baseline!C43="Bestaande Situatie",(_xlfn.IFNA(VLOOKUP(Referentie_CO2_Totaal[[#This Row],[Product]]&amp;", "&amp;Referentie_CO2_Totaal[[#Headers],[C4]],Database_Productkaarten[#All],18,FALSE),0)*Baseline!I43),0))</f>
        <v>0</v>
      </c>
      <c r="P146" s="56">
        <f>(IF(Baseline!C43="Bestaande Situatie",(_xlfn.IFNA(VLOOKUP(Referentie_CO2_Totaal[[#This Row],[Product]]&amp;", "&amp;Referentie_CO2_Totaal[[#Headers],[D1]],Database_Productkaarten[#All],18,FALSE),0)*Baseline!I43),0))</f>
        <v>0</v>
      </c>
      <c r="Q146" s="57">
        <f>(IF(Baseline!C43="Bestaande Situatie",_xlfn.IFNA(VLOOKUP(Referentie_CO2_Totaal[[#This Row],[Product]]&amp;", "&amp;Referentie_CO2_Totaal[[#Headers],[D2]],Database_Productkaarten[#All],18,FALSE),0)*Baseline!I43,0))</f>
        <v>0</v>
      </c>
      <c r="R146" s="57">
        <f>(IF(Baseline!C43="Bestaande Situatie",(_xlfn.IFNA(VLOOKUP(Referentie_CO2_Totaal[[#This Row],[Product]]&amp;", "&amp;Referentie_CO2_Totaal[[#Headers],[D]],Database_Productkaarten[#All],18,FALSE),0)*Baseline!I43),0))</f>
        <v>0</v>
      </c>
      <c r="S146" s="56">
        <f>SUM(Referentie_CO2_Totaal[[#This Row],[A1-A3]:[C4]])+Referentie_CO2_Totaal[[#This Row],[D]]</f>
        <v>0</v>
      </c>
    </row>
    <row r="147" spans="2:19">
      <c r="B147" s="208">
        <f>Baseline!B44</f>
        <v>0</v>
      </c>
      <c r="C147" s="1">
        <f>Baseline!F44</f>
        <v>0</v>
      </c>
      <c r="D147" s="56">
        <f>(IF(Baseline!C44="Nieuwe Situatie",(_xlfn.IFNA(VLOOKUP(Referentie_CO2_Totaal[[#This Row],[Product]]&amp;", "&amp;Referentie_CO2_Totaal[[#Headers],[A1]],Database_Productkaarten[#All],18,FALSE),0)*Baseline!I44),0))</f>
        <v>0</v>
      </c>
      <c r="E147" s="56">
        <f>(IF(Baseline!C44="Nieuwe Situatie",(_xlfn.IFNA(VLOOKUP(Referentie_CO2_Totaal[[#This Row],[Product]]&amp;", "&amp;Referentie_CO2_Totaal[[#Headers],[A2]],Database_Productkaarten[#All],18,FALSE),0)*Baseline!I44),0))</f>
        <v>0</v>
      </c>
      <c r="F147" s="56">
        <f>(IF(Baseline!C44="Nieuwe Situatie",(_xlfn.IFNA(VLOOKUP(Referentie_CO2_Totaal[[#This Row],[Product]]&amp;", "&amp;Referentie_CO2_Totaal[[#Headers],[A3]],Database_Productkaarten[#All],18,FALSE),0)*Baseline!I44),0))</f>
        <v>0</v>
      </c>
      <c r="G147" s="56">
        <f>(IF(Baseline!C44="Nieuwe Situatie",(_xlfn.IFNA(VLOOKUP(Referentie_CO2_Totaal[[#This Row],[Product]]&amp;", "&amp;Referentie_CO2_Totaal[[#Headers],[A1-A3]],Database_Productkaarten[#All],18,FALSE),0)*Baseline!I44),0))</f>
        <v>0</v>
      </c>
      <c r="H147" s="56">
        <f>IF(Baseline!T44=0,(IF(Baseline!C44="Nieuwe Situatie",(_xlfn.IFNA(VLOOKUP(Referentie_CO2_Totaal[[#This Row],[Product]]&amp;", "&amp;Referentie_CO2_Totaal[[#Headers],[A4]],Database_Productkaarten[#All],18,FALSE),0)*Baseline!I44),0)),IF(Baseline!C44="Nieuwe Situatie",_xlfn.IFNA(VLOOKUP(Baseline!T44,Database_Transport[#All],12,FALSE)*(Baseline!Q44*Baseline!S44),Baseline_Backlog!H147),0))</f>
        <v>0</v>
      </c>
      <c r="I147" s="56">
        <f>IF(Baseline!C44="Nieuwe situatie",IF(_xlfn.IFNA((VLOOKUP(Baseline!U44,Database_Asfalt_Aanlegset[#All],12,FALSE)*Baseline!I44),0)+_xlfn.IFNA(VLOOKUP(Baseline!V44,Database_Brandstoffen[#All],12,FALSE)*((Baseline!I44/Baseline!X44)*Baseline!W44),0)&gt;0,_xlfn.IFNA((VLOOKUP(Baseline!U44,Database_Asfalt_Aanlegset[#All],12,FALSE)*Baseline!I44),0)+_xlfn.IFNA(VLOOKUP(Baseline!V44,Database_Brandstoffen[#All],12,FALSE)*((Baseline!I44/Baseline!X44)*Baseline!W44),0),(_xlfn.IFNA(VLOOKUP(Referentie_CO2_Totaal[[#This Row],[Product]]&amp;", "&amp;Referentie_MKI_Totaal[[#Headers],[A5]],Database_Productkaarten[#All],18,FALSE),0)*Baseline!I44)),0)</f>
        <v>0</v>
      </c>
      <c r="J147" s="56">
        <f>(IF(Baseline!C44="Nieuwe Situatie",(_xlfn.IFNA(VLOOKUP(Referentie_CO2_Totaal[[#This Row],[Product]]&amp;", "&amp;Referentie_CO2_Totaal[[#Headers],[B1]],Database_Productkaarten[#All],18,FALSE),0)*Baseline!I44),0))</f>
        <v>0</v>
      </c>
      <c r="K147" s="56">
        <f>(IF(Baseline!C44="Nieuwe Situatie",(SUM(Referentie_CO2_Totaal[[#This Row],[A1]:[B1]],Referentie_CO2_Totaal[[#This Row],[C1]:[D2]])*Baseline!R44),0))</f>
        <v>0</v>
      </c>
      <c r="L147" s="56">
        <f>IF(Baseline!C44="Bestaande situatie",IF(_xlfn.IFNA((VLOOKUP(Baseline!Y44,Database_Asfalt_Verwijderset[#All],12,FALSE)*Baseline!I44),0)+_xlfn.IFNA(VLOOKUP(Baseline!Z44,Database_Brandstoffen[#All],12,FALSE)*((Baseline!I44/Baseline!AB44)*Baseline!AA44),0)&gt;0,_xlfn.IFNA((VLOOKUP(Baseline!Y44,Database_Asfalt_Verwijderset[#All],12,FALSE)*Baseline!I44),0)+_xlfn.IFNA(VLOOKUP(Baseline!Z44,Database_Brandstoffen[#All],12,FALSE)*((Baseline!I44/Baseline!AB44)*Baseline!AA44),0),(_xlfn.IFNA(VLOOKUP(Referentie_CO2_Totaal[[#This Row],[Product]]&amp;", "&amp;Referentie_MKI_Totaal[[#Headers],[C1]],Database_Productkaarten[#All],18,FALSE),0)*Baseline!I44)),0)</f>
        <v>0</v>
      </c>
      <c r="M147" s="56">
        <f>IF(Baseline!AD44=0,(IF(Baseline!C44="Bestaande Situatie",(_xlfn.IFNA(VLOOKUP(Referentie_CO2_Totaal[[#This Row],[Product]]&amp;", "&amp;Referentie_MKI_Totaal[[#Headers],[C2]],Database_Productkaarten[#All],18,FALSE),0)*Baseline!I44),0)),(IF(Baseline!C44="Bestaande Situatie",_xlfn.IFNA(VLOOKUP(Baseline!AD44,Database_Transport[#All],12,FALSE)*(Baseline!Q44*Baseline!AC44),0))))</f>
        <v>0</v>
      </c>
      <c r="N147" s="56">
        <f>(IF(Baseline!C44="Bestaande Situatie",(_xlfn.IFNA(VLOOKUP(Referentie_CO2_Totaal[[#This Row],[Product]]&amp;", "&amp;Referentie_CO2_Totaal[[#Headers],[C3]],Database_Productkaarten[#All],18,FALSE),0)*Baseline!I44),0))</f>
        <v>0</v>
      </c>
      <c r="O147" s="56">
        <f>(IF(Baseline!C44="Bestaande Situatie",(_xlfn.IFNA(VLOOKUP(Referentie_CO2_Totaal[[#This Row],[Product]]&amp;", "&amp;Referentie_CO2_Totaal[[#Headers],[C4]],Database_Productkaarten[#All],18,FALSE),0)*Baseline!I44),0))</f>
        <v>0</v>
      </c>
      <c r="P147" s="56">
        <f>(IF(Baseline!C44="Bestaande Situatie",(_xlfn.IFNA(VLOOKUP(Referentie_CO2_Totaal[[#This Row],[Product]]&amp;", "&amp;Referentie_CO2_Totaal[[#Headers],[D1]],Database_Productkaarten[#All],18,FALSE),0)*Baseline!I44),0))</f>
        <v>0</v>
      </c>
      <c r="Q147" s="57">
        <f>(IF(Baseline!C44="Bestaande Situatie",_xlfn.IFNA(VLOOKUP(Referentie_CO2_Totaal[[#This Row],[Product]]&amp;", "&amp;Referentie_CO2_Totaal[[#Headers],[D2]],Database_Productkaarten[#All],18,FALSE),0)*Baseline!I44,0))</f>
        <v>0</v>
      </c>
      <c r="R147" s="57">
        <f>(IF(Baseline!C44="Bestaande Situatie",(_xlfn.IFNA(VLOOKUP(Referentie_CO2_Totaal[[#This Row],[Product]]&amp;", "&amp;Referentie_CO2_Totaal[[#Headers],[D]],Database_Productkaarten[#All],18,FALSE),0)*Baseline!I44),0))</f>
        <v>0</v>
      </c>
      <c r="S147" s="56">
        <f>SUM(Referentie_CO2_Totaal[[#This Row],[A1-A3]:[C4]])+Referentie_CO2_Totaal[[#This Row],[D]]</f>
        <v>0</v>
      </c>
    </row>
    <row r="148" spans="2:19">
      <c r="B148" s="208">
        <f>Baseline!B45</f>
        <v>0</v>
      </c>
      <c r="C148" s="1">
        <f>Baseline!F45</f>
        <v>0</v>
      </c>
      <c r="D148" s="56">
        <f>(IF(Baseline!C45="Nieuwe Situatie",(_xlfn.IFNA(VLOOKUP(Referentie_CO2_Totaal[[#This Row],[Product]]&amp;", "&amp;Referentie_CO2_Totaal[[#Headers],[A1]],Database_Productkaarten[#All],18,FALSE),0)*Baseline!I45),0))</f>
        <v>0</v>
      </c>
      <c r="E148" s="56">
        <f>(IF(Baseline!C45="Nieuwe Situatie",(_xlfn.IFNA(VLOOKUP(Referentie_CO2_Totaal[[#This Row],[Product]]&amp;", "&amp;Referentie_CO2_Totaal[[#Headers],[A2]],Database_Productkaarten[#All],18,FALSE),0)*Baseline!I45),0))</f>
        <v>0</v>
      </c>
      <c r="F148" s="56">
        <f>(IF(Baseline!C45="Nieuwe Situatie",(_xlfn.IFNA(VLOOKUP(Referentie_CO2_Totaal[[#This Row],[Product]]&amp;", "&amp;Referentie_CO2_Totaal[[#Headers],[A3]],Database_Productkaarten[#All],18,FALSE),0)*Baseline!I45),0))</f>
        <v>0</v>
      </c>
      <c r="G148" s="56">
        <f>(IF(Baseline!C45="Nieuwe Situatie",(_xlfn.IFNA(VLOOKUP(Referentie_CO2_Totaal[[#This Row],[Product]]&amp;", "&amp;Referentie_CO2_Totaal[[#Headers],[A1-A3]],Database_Productkaarten[#All],18,FALSE),0)*Baseline!I45),0))</f>
        <v>0</v>
      </c>
      <c r="H148" s="56">
        <f>IF(Baseline!T45=0,(IF(Baseline!C45="Nieuwe Situatie",(_xlfn.IFNA(VLOOKUP(Referentie_CO2_Totaal[[#This Row],[Product]]&amp;", "&amp;Referentie_CO2_Totaal[[#Headers],[A4]],Database_Productkaarten[#All],18,FALSE),0)*Baseline!I45),0)),IF(Baseline!C45="Nieuwe Situatie",_xlfn.IFNA(VLOOKUP(Baseline!T45,Database_Transport[#All],12,FALSE)*(Baseline!Q45*Baseline!S45),Baseline_Backlog!H148),0))</f>
        <v>0</v>
      </c>
      <c r="I148" s="56">
        <f>IF(Baseline!C45="Nieuwe situatie",IF(_xlfn.IFNA((VLOOKUP(Baseline!U45,Database_Asfalt_Aanlegset[#All],12,FALSE)*Baseline!I45),0)+_xlfn.IFNA(VLOOKUP(Baseline!V45,Database_Brandstoffen[#All],12,FALSE)*((Baseline!I45/Baseline!X45)*Baseline!W45),0)&gt;0,_xlfn.IFNA((VLOOKUP(Baseline!U45,Database_Asfalt_Aanlegset[#All],12,FALSE)*Baseline!I45),0)+_xlfn.IFNA(VLOOKUP(Baseline!V45,Database_Brandstoffen[#All],12,FALSE)*((Baseline!I45/Baseline!X45)*Baseline!W45),0),(_xlfn.IFNA(VLOOKUP(Referentie_CO2_Totaal[[#This Row],[Product]]&amp;", "&amp;Referentie_MKI_Totaal[[#Headers],[A5]],Database_Productkaarten[#All],18,FALSE),0)*Baseline!I45)),0)</f>
        <v>0</v>
      </c>
      <c r="J148" s="56">
        <f>(IF(Baseline!C45="Nieuwe Situatie",(_xlfn.IFNA(VLOOKUP(Referentie_CO2_Totaal[[#This Row],[Product]]&amp;", "&amp;Referentie_CO2_Totaal[[#Headers],[B1]],Database_Productkaarten[#All],18,FALSE),0)*Baseline!I45),0))</f>
        <v>0</v>
      </c>
      <c r="K148" s="56">
        <f>(IF(Baseline!C45="Nieuwe Situatie",(SUM(Referentie_CO2_Totaal[[#This Row],[A1]:[B1]],Referentie_CO2_Totaal[[#This Row],[C1]:[D2]])*Baseline!R45),0))</f>
        <v>0</v>
      </c>
      <c r="L148" s="56">
        <f>IF(Baseline!C45="Bestaande situatie",IF(_xlfn.IFNA((VLOOKUP(Baseline!Y45,Database_Asfalt_Verwijderset[#All],12,FALSE)*Baseline!I45),0)+_xlfn.IFNA(VLOOKUP(Baseline!Z45,Database_Brandstoffen[#All],12,FALSE)*((Baseline!I45/Baseline!AB45)*Baseline!AA45),0)&gt;0,_xlfn.IFNA((VLOOKUP(Baseline!Y45,Database_Asfalt_Verwijderset[#All],12,FALSE)*Baseline!I45),0)+_xlfn.IFNA(VLOOKUP(Baseline!Z45,Database_Brandstoffen[#All],12,FALSE)*((Baseline!I45/Baseline!AB45)*Baseline!AA45),0),(_xlfn.IFNA(VLOOKUP(Referentie_CO2_Totaal[[#This Row],[Product]]&amp;", "&amp;Referentie_MKI_Totaal[[#Headers],[C1]],Database_Productkaarten[#All],18,FALSE),0)*Baseline!I45)),0)</f>
        <v>0</v>
      </c>
      <c r="M148" s="56">
        <f>IF(Baseline!AD45=0,(IF(Baseline!C45="Bestaande Situatie",(_xlfn.IFNA(VLOOKUP(Referentie_CO2_Totaal[[#This Row],[Product]]&amp;", "&amp;Referentie_MKI_Totaal[[#Headers],[C2]],Database_Productkaarten[#All],18,FALSE),0)*Baseline!I45),0)),(IF(Baseline!C45="Bestaande Situatie",_xlfn.IFNA(VLOOKUP(Baseline!AD45,Database_Transport[#All],12,FALSE)*(Baseline!Q45*Baseline!AC45),0))))</f>
        <v>0</v>
      </c>
      <c r="N148" s="56">
        <f>(IF(Baseline!C45="Bestaande Situatie",(_xlfn.IFNA(VLOOKUP(Referentie_CO2_Totaal[[#This Row],[Product]]&amp;", "&amp;Referentie_CO2_Totaal[[#Headers],[C3]],Database_Productkaarten[#All],18,FALSE),0)*Baseline!I45),0))</f>
        <v>0</v>
      </c>
      <c r="O148" s="56">
        <f>(IF(Baseline!C45="Bestaande Situatie",(_xlfn.IFNA(VLOOKUP(Referentie_CO2_Totaal[[#This Row],[Product]]&amp;", "&amp;Referentie_CO2_Totaal[[#Headers],[C4]],Database_Productkaarten[#All],18,FALSE),0)*Baseline!I45),0))</f>
        <v>0</v>
      </c>
      <c r="P148" s="56">
        <f>(IF(Baseline!C45="Bestaande Situatie",(_xlfn.IFNA(VLOOKUP(Referentie_CO2_Totaal[[#This Row],[Product]]&amp;", "&amp;Referentie_CO2_Totaal[[#Headers],[D1]],Database_Productkaarten[#All],18,FALSE),0)*Baseline!I45),0))</f>
        <v>0</v>
      </c>
      <c r="Q148" s="57">
        <f>(IF(Baseline!C45="Bestaande Situatie",_xlfn.IFNA(VLOOKUP(Referentie_CO2_Totaal[[#This Row],[Product]]&amp;", "&amp;Referentie_CO2_Totaal[[#Headers],[D2]],Database_Productkaarten[#All],18,FALSE),0)*Baseline!I45,0))</f>
        <v>0</v>
      </c>
      <c r="R148" s="57">
        <f>(IF(Baseline!C45="Bestaande Situatie",(_xlfn.IFNA(VLOOKUP(Referentie_CO2_Totaal[[#This Row],[Product]]&amp;", "&amp;Referentie_CO2_Totaal[[#Headers],[D]],Database_Productkaarten[#All],18,FALSE),0)*Baseline!I45),0))</f>
        <v>0</v>
      </c>
      <c r="S148" s="56">
        <f>SUM(Referentie_CO2_Totaal[[#This Row],[A1-A3]:[C4]])+Referentie_CO2_Totaal[[#This Row],[D]]</f>
        <v>0</v>
      </c>
    </row>
    <row r="149" spans="2:19">
      <c r="B149" s="208">
        <f>Baseline!B46</f>
        <v>0</v>
      </c>
      <c r="C149" s="1">
        <f>Baseline!F46</f>
        <v>0</v>
      </c>
      <c r="D149" s="56">
        <f>(IF(Baseline!C46="Nieuwe Situatie",(_xlfn.IFNA(VLOOKUP(Referentie_CO2_Totaal[[#This Row],[Product]]&amp;", "&amp;Referentie_CO2_Totaal[[#Headers],[A1]],Database_Productkaarten[#All],18,FALSE),0)*Baseline!I46),0))</f>
        <v>0</v>
      </c>
      <c r="E149" s="56">
        <f>(IF(Baseline!C46="Nieuwe Situatie",(_xlfn.IFNA(VLOOKUP(Referentie_CO2_Totaal[[#This Row],[Product]]&amp;", "&amp;Referentie_CO2_Totaal[[#Headers],[A2]],Database_Productkaarten[#All],18,FALSE),0)*Baseline!I46),0))</f>
        <v>0</v>
      </c>
      <c r="F149" s="56">
        <f>(IF(Baseline!C46="Nieuwe Situatie",(_xlfn.IFNA(VLOOKUP(Referentie_CO2_Totaal[[#This Row],[Product]]&amp;", "&amp;Referentie_CO2_Totaal[[#Headers],[A3]],Database_Productkaarten[#All],18,FALSE),0)*Baseline!I46),0))</f>
        <v>0</v>
      </c>
      <c r="G149" s="56">
        <f>(IF(Baseline!C46="Nieuwe Situatie",(_xlfn.IFNA(VLOOKUP(Referentie_CO2_Totaal[[#This Row],[Product]]&amp;", "&amp;Referentie_CO2_Totaal[[#Headers],[A1-A3]],Database_Productkaarten[#All],18,FALSE),0)*Baseline!I46),0))</f>
        <v>0</v>
      </c>
      <c r="H149" s="56">
        <f>IF(Baseline!T46=0,(IF(Baseline!C46="Nieuwe Situatie",(_xlfn.IFNA(VLOOKUP(Referentie_CO2_Totaal[[#This Row],[Product]]&amp;", "&amp;Referentie_CO2_Totaal[[#Headers],[A4]],Database_Productkaarten[#All],18,FALSE),0)*Baseline!I46),0)),IF(Baseline!C46="Nieuwe Situatie",_xlfn.IFNA(VLOOKUP(Baseline!T46,Database_Transport[#All],12,FALSE)*(Baseline!Q46*Baseline!S46),Baseline_Backlog!H149),0))</f>
        <v>0</v>
      </c>
      <c r="I149" s="56">
        <f>IF(Baseline!C46="Nieuwe situatie",IF(_xlfn.IFNA((VLOOKUP(Baseline!U46,Database_Asfalt_Aanlegset[#All],12,FALSE)*Baseline!I46),0)+_xlfn.IFNA(VLOOKUP(Baseline!V46,Database_Brandstoffen[#All],12,FALSE)*((Baseline!I46/Baseline!X46)*Baseline!W46),0)&gt;0,_xlfn.IFNA((VLOOKUP(Baseline!U46,Database_Asfalt_Aanlegset[#All],12,FALSE)*Baseline!I46),0)+_xlfn.IFNA(VLOOKUP(Baseline!V46,Database_Brandstoffen[#All],12,FALSE)*((Baseline!I46/Baseline!X46)*Baseline!W46),0),(_xlfn.IFNA(VLOOKUP(Referentie_CO2_Totaal[[#This Row],[Product]]&amp;", "&amp;Referentie_MKI_Totaal[[#Headers],[A5]],Database_Productkaarten[#All],18,FALSE),0)*Baseline!I46)),0)</f>
        <v>0</v>
      </c>
      <c r="J149" s="56">
        <f>(IF(Baseline!C46="Nieuwe Situatie",(_xlfn.IFNA(VLOOKUP(Referentie_CO2_Totaal[[#This Row],[Product]]&amp;", "&amp;Referentie_CO2_Totaal[[#Headers],[B1]],Database_Productkaarten[#All],18,FALSE),0)*Baseline!I46),0))</f>
        <v>0</v>
      </c>
      <c r="K149" s="56">
        <f>(IF(Baseline!C46="Nieuwe Situatie",(SUM(Referentie_CO2_Totaal[[#This Row],[A1]:[B1]],Referentie_CO2_Totaal[[#This Row],[C1]:[D2]])*Baseline!R46),0))</f>
        <v>0</v>
      </c>
      <c r="L149" s="56">
        <f>IF(Baseline!C46="Bestaande situatie",IF(_xlfn.IFNA((VLOOKUP(Baseline!Y46,Database_Asfalt_Verwijderset[#All],12,FALSE)*Baseline!I46),0)+_xlfn.IFNA(VLOOKUP(Baseline!Z46,Database_Brandstoffen[#All],12,FALSE)*((Baseline!I46/Baseline!AB46)*Baseline!AA46),0)&gt;0,_xlfn.IFNA((VLOOKUP(Baseline!Y46,Database_Asfalt_Verwijderset[#All],12,FALSE)*Baseline!I46),0)+_xlfn.IFNA(VLOOKUP(Baseline!Z46,Database_Brandstoffen[#All],12,FALSE)*((Baseline!I46/Baseline!AB46)*Baseline!AA46),0),(_xlfn.IFNA(VLOOKUP(Referentie_CO2_Totaal[[#This Row],[Product]]&amp;", "&amp;Referentie_MKI_Totaal[[#Headers],[C1]],Database_Productkaarten[#All],18,FALSE),0)*Baseline!I46)),0)</f>
        <v>0</v>
      </c>
      <c r="M149" s="56">
        <f>IF(Baseline!AD46=0,(IF(Baseline!C46="Bestaande Situatie",(_xlfn.IFNA(VLOOKUP(Referentie_CO2_Totaal[[#This Row],[Product]]&amp;", "&amp;Referentie_MKI_Totaal[[#Headers],[C2]],Database_Productkaarten[#All],18,FALSE),0)*Baseline!I46),0)),(IF(Baseline!C46="Bestaande Situatie",_xlfn.IFNA(VLOOKUP(Baseline!AD46,Database_Transport[#All],12,FALSE)*(Baseline!Q46*Baseline!AC46),0))))</f>
        <v>0</v>
      </c>
      <c r="N149" s="56">
        <f>(IF(Baseline!C46="Bestaande Situatie",(_xlfn.IFNA(VLOOKUP(Referentie_CO2_Totaal[[#This Row],[Product]]&amp;", "&amp;Referentie_CO2_Totaal[[#Headers],[C3]],Database_Productkaarten[#All],18,FALSE),0)*Baseline!I46),0))</f>
        <v>0</v>
      </c>
      <c r="O149" s="56">
        <f>(IF(Baseline!C46="Bestaande Situatie",(_xlfn.IFNA(VLOOKUP(Referentie_CO2_Totaal[[#This Row],[Product]]&amp;", "&amp;Referentie_CO2_Totaal[[#Headers],[C4]],Database_Productkaarten[#All],18,FALSE),0)*Baseline!I46),0))</f>
        <v>0</v>
      </c>
      <c r="P149" s="56">
        <f>(IF(Baseline!C46="Bestaande Situatie",(_xlfn.IFNA(VLOOKUP(Referentie_CO2_Totaal[[#This Row],[Product]]&amp;", "&amp;Referentie_CO2_Totaal[[#Headers],[D1]],Database_Productkaarten[#All],18,FALSE),0)*Baseline!I46),0))</f>
        <v>0</v>
      </c>
      <c r="Q149" s="57">
        <f>(IF(Baseline!C46="Bestaande Situatie",_xlfn.IFNA(VLOOKUP(Referentie_CO2_Totaal[[#This Row],[Product]]&amp;", "&amp;Referentie_CO2_Totaal[[#Headers],[D2]],Database_Productkaarten[#All],18,FALSE),0)*Baseline!I46,0))</f>
        <v>0</v>
      </c>
      <c r="R149" s="57">
        <f>(IF(Baseline!C46="Bestaande Situatie",(_xlfn.IFNA(VLOOKUP(Referentie_CO2_Totaal[[#This Row],[Product]]&amp;", "&amp;Referentie_CO2_Totaal[[#Headers],[D]],Database_Productkaarten[#All],18,FALSE),0)*Baseline!I46),0))</f>
        <v>0</v>
      </c>
      <c r="S149" s="56">
        <f>SUM(Referentie_CO2_Totaal[[#This Row],[A1-A3]:[C4]])+Referentie_CO2_Totaal[[#This Row],[D]]</f>
        <v>0</v>
      </c>
    </row>
    <row r="150" spans="2:19">
      <c r="B150" s="208">
        <f>Baseline!B47</f>
        <v>0</v>
      </c>
      <c r="C150" s="1">
        <f>Baseline!F47</f>
        <v>0</v>
      </c>
      <c r="D150" s="56">
        <f>(IF(Baseline!C47="Nieuwe Situatie",(_xlfn.IFNA(VLOOKUP(Referentie_CO2_Totaal[[#This Row],[Product]]&amp;", "&amp;Referentie_CO2_Totaal[[#Headers],[A1]],Database_Productkaarten[#All],18,FALSE),0)*Baseline!I47),0))</f>
        <v>0</v>
      </c>
      <c r="E150" s="56">
        <f>(IF(Baseline!C47="Nieuwe Situatie",(_xlfn.IFNA(VLOOKUP(Referentie_CO2_Totaal[[#This Row],[Product]]&amp;", "&amp;Referentie_CO2_Totaal[[#Headers],[A2]],Database_Productkaarten[#All],18,FALSE),0)*Baseline!I47),0))</f>
        <v>0</v>
      </c>
      <c r="F150" s="56">
        <f>(IF(Baseline!C47="Nieuwe Situatie",(_xlfn.IFNA(VLOOKUP(Referentie_CO2_Totaal[[#This Row],[Product]]&amp;", "&amp;Referentie_CO2_Totaal[[#Headers],[A3]],Database_Productkaarten[#All],18,FALSE),0)*Baseline!I47),0))</f>
        <v>0</v>
      </c>
      <c r="G150" s="56">
        <f>(IF(Baseline!C47="Nieuwe Situatie",(_xlfn.IFNA(VLOOKUP(Referentie_CO2_Totaal[[#This Row],[Product]]&amp;", "&amp;Referentie_CO2_Totaal[[#Headers],[A1-A3]],Database_Productkaarten[#All],18,FALSE),0)*Baseline!I47),0))</f>
        <v>0</v>
      </c>
      <c r="H150" s="56">
        <f>IF(Baseline!T47=0,(IF(Baseline!C47="Nieuwe Situatie",(_xlfn.IFNA(VLOOKUP(Referentie_CO2_Totaal[[#This Row],[Product]]&amp;", "&amp;Referentie_CO2_Totaal[[#Headers],[A4]],Database_Productkaarten[#All],18,FALSE),0)*Baseline!I47),0)),IF(Baseline!C47="Nieuwe Situatie",_xlfn.IFNA(VLOOKUP(Baseline!T47,Database_Transport[#All],12,FALSE)*(Baseline!Q47*Baseline!S47),Baseline_Backlog!H150),0))</f>
        <v>0</v>
      </c>
      <c r="I150" s="56">
        <f>IF(Baseline!C47="Nieuwe situatie",IF(_xlfn.IFNA((VLOOKUP(Baseline!U47,Database_Asfalt_Aanlegset[#All],12,FALSE)*Baseline!I47),0)+_xlfn.IFNA(VLOOKUP(Baseline!V47,Database_Brandstoffen[#All],12,FALSE)*((Baseline!I47/Baseline!X47)*Baseline!W47),0)&gt;0,_xlfn.IFNA((VLOOKUP(Baseline!U47,Database_Asfalt_Aanlegset[#All],12,FALSE)*Baseline!I47),0)+_xlfn.IFNA(VLOOKUP(Baseline!V47,Database_Brandstoffen[#All],12,FALSE)*((Baseline!I47/Baseline!X47)*Baseline!W47),0),(_xlfn.IFNA(VLOOKUP(Referentie_CO2_Totaal[[#This Row],[Product]]&amp;", "&amp;Referentie_MKI_Totaal[[#Headers],[A5]],Database_Productkaarten[#All],18,FALSE),0)*Baseline!I47)),0)</f>
        <v>0</v>
      </c>
      <c r="J150" s="56">
        <f>(IF(Baseline!C47="Nieuwe Situatie",(_xlfn.IFNA(VLOOKUP(Referentie_CO2_Totaal[[#This Row],[Product]]&amp;", "&amp;Referentie_CO2_Totaal[[#Headers],[B1]],Database_Productkaarten[#All],18,FALSE),0)*Baseline!I47),0))</f>
        <v>0</v>
      </c>
      <c r="K150" s="56">
        <f>(IF(Baseline!C47="Nieuwe Situatie",(SUM(Referentie_CO2_Totaal[[#This Row],[A1]:[B1]],Referentie_CO2_Totaal[[#This Row],[C1]:[D2]])*Baseline!R47),0))</f>
        <v>0</v>
      </c>
      <c r="L150" s="56">
        <f>IF(Baseline!C47="Bestaande situatie",IF(_xlfn.IFNA((VLOOKUP(Baseline!Y47,Database_Asfalt_Verwijderset[#All],12,FALSE)*Baseline!I47),0)+_xlfn.IFNA(VLOOKUP(Baseline!Z47,Database_Brandstoffen[#All],12,FALSE)*((Baseline!I47/Baseline!AB47)*Baseline!AA47),0)&gt;0,_xlfn.IFNA((VLOOKUP(Baseline!Y47,Database_Asfalt_Verwijderset[#All],12,FALSE)*Baseline!I47),0)+_xlfn.IFNA(VLOOKUP(Baseline!Z47,Database_Brandstoffen[#All],12,FALSE)*((Baseline!I47/Baseline!AB47)*Baseline!AA47),0),(_xlfn.IFNA(VLOOKUP(Referentie_CO2_Totaal[[#This Row],[Product]]&amp;", "&amp;Referentie_MKI_Totaal[[#Headers],[C1]],Database_Productkaarten[#All],18,FALSE),0)*Baseline!I47)),0)</f>
        <v>0</v>
      </c>
      <c r="M150" s="56">
        <f>IF(Baseline!AD47=0,(IF(Baseline!C47="Bestaande Situatie",(_xlfn.IFNA(VLOOKUP(Referentie_CO2_Totaal[[#This Row],[Product]]&amp;", "&amp;Referentie_MKI_Totaal[[#Headers],[C2]],Database_Productkaarten[#All],18,FALSE),0)*Baseline!I47),0)),(IF(Baseline!C47="Bestaande Situatie",_xlfn.IFNA(VLOOKUP(Baseline!AD47,Database_Transport[#All],12,FALSE)*(Baseline!Q47*Baseline!AC47),0))))</f>
        <v>0</v>
      </c>
      <c r="N150" s="56">
        <f>(IF(Baseline!C47="Bestaande Situatie",(_xlfn.IFNA(VLOOKUP(Referentie_CO2_Totaal[[#This Row],[Product]]&amp;", "&amp;Referentie_CO2_Totaal[[#Headers],[C3]],Database_Productkaarten[#All],18,FALSE),0)*Baseline!I47),0))</f>
        <v>0</v>
      </c>
      <c r="O150" s="56">
        <f>(IF(Baseline!C47="Bestaande Situatie",(_xlfn.IFNA(VLOOKUP(Referentie_CO2_Totaal[[#This Row],[Product]]&amp;", "&amp;Referentie_CO2_Totaal[[#Headers],[C4]],Database_Productkaarten[#All],18,FALSE),0)*Baseline!I47),0))</f>
        <v>0</v>
      </c>
      <c r="P150" s="56">
        <f>(IF(Baseline!C47="Bestaande Situatie",(_xlfn.IFNA(VLOOKUP(Referentie_CO2_Totaal[[#This Row],[Product]]&amp;", "&amp;Referentie_CO2_Totaal[[#Headers],[D1]],Database_Productkaarten[#All],18,FALSE),0)*Baseline!I47),0))</f>
        <v>0</v>
      </c>
      <c r="Q150" s="57">
        <f>(IF(Baseline!C47="Bestaande Situatie",_xlfn.IFNA(VLOOKUP(Referentie_CO2_Totaal[[#This Row],[Product]]&amp;", "&amp;Referentie_CO2_Totaal[[#Headers],[D2]],Database_Productkaarten[#All],18,FALSE),0)*Baseline!I47,0))</f>
        <v>0</v>
      </c>
      <c r="R150" s="57">
        <f>(IF(Baseline!C47="Bestaande Situatie",(_xlfn.IFNA(VLOOKUP(Referentie_CO2_Totaal[[#This Row],[Product]]&amp;", "&amp;Referentie_CO2_Totaal[[#Headers],[D]],Database_Productkaarten[#All],18,FALSE),0)*Baseline!I47),0))</f>
        <v>0</v>
      </c>
      <c r="S150" s="56">
        <f>SUM(Referentie_CO2_Totaal[[#This Row],[A1-A3]:[C4]])+Referentie_CO2_Totaal[[#This Row],[D]]</f>
        <v>0</v>
      </c>
    </row>
    <row r="151" spans="2:19">
      <c r="B151" s="208">
        <f>Baseline!B48</f>
        <v>0</v>
      </c>
      <c r="C151" s="1">
        <f>Baseline!F48</f>
        <v>0</v>
      </c>
      <c r="D151" s="56">
        <f>(IF(Baseline!C48="Nieuwe Situatie",(_xlfn.IFNA(VLOOKUP(Referentie_CO2_Totaal[[#This Row],[Product]]&amp;", "&amp;Referentie_CO2_Totaal[[#Headers],[A1]],Database_Productkaarten[#All],18,FALSE),0)*Baseline!I48),0))</f>
        <v>0</v>
      </c>
      <c r="E151" s="56">
        <f>(IF(Baseline!C48="Nieuwe Situatie",(_xlfn.IFNA(VLOOKUP(Referentie_CO2_Totaal[[#This Row],[Product]]&amp;", "&amp;Referentie_CO2_Totaal[[#Headers],[A2]],Database_Productkaarten[#All],18,FALSE),0)*Baseline!I48),0))</f>
        <v>0</v>
      </c>
      <c r="F151" s="56">
        <f>(IF(Baseline!C48="Nieuwe Situatie",(_xlfn.IFNA(VLOOKUP(Referentie_CO2_Totaal[[#This Row],[Product]]&amp;", "&amp;Referentie_CO2_Totaal[[#Headers],[A3]],Database_Productkaarten[#All],18,FALSE),0)*Baseline!I48),0))</f>
        <v>0</v>
      </c>
      <c r="G151" s="56">
        <f>(IF(Baseline!C48="Nieuwe Situatie",(_xlfn.IFNA(VLOOKUP(Referentie_CO2_Totaal[[#This Row],[Product]]&amp;", "&amp;Referentie_CO2_Totaal[[#Headers],[A1-A3]],Database_Productkaarten[#All],18,FALSE),0)*Baseline!I48),0))</f>
        <v>0</v>
      </c>
      <c r="H151" s="56">
        <f>IF(Baseline!T48=0,(IF(Baseline!C48="Nieuwe Situatie",(_xlfn.IFNA(VLOOKUP(Referentie_CO2_Totaal[[#This Row],[Product]]&amp;", "&amp;Referentie_CO2_Totaal[[#Headers],[A4]],Database_Productkaarten[#All],18,FALSE),0)*Baseline!I48),0)),IF(Baseline!C48="Nieuwe Situatie",_xlfn.IFNA(VLOOKUP(Baseline!T48,Database_Transport[#All],12,FALSE)*(Baseline!Q48*Baseline!S48),Baseline_Backlog!H151),0))</f>
        <v>0</v>
      </c>
      <c r="I151" s="56">
        <f>IF(Baseline!C48="Nieuwe situatie",IF(_xlfn.IFNA((VLOOKUP(Baseline!U48,Database_Asfalt_Aanlegset[#All],12,FALSE)*Baseline!I48),0)+_xlfn.IFNA(VLOOKUP(Baseline!V48,Database_Brandstoffen[#All],12,FALSE)*((Baseline!I48/Baseline!X48)*Baseline!W48),0)&gt;0,_xlfn.IFNA((VLOOKUP(Baseline!U48,Database_Asfalt_Aanlegset[#All],12,FALSE)*Baseline!I48),0)+_xlfn.IFNA(VLOOKUP(Baseline!V48,Database_Brandstoffen[#All],12,FALSE)*((Baseline!I48/Baseline!X48)*Baseline!W48),0),(_xlfn.IFNA(VLOOKUP(Referentie_CO2_Totaal[[#This Row],[Product]]&amp;", "&amp;Referentie_MKI_Totaal[[#Headers],[A5]],Database_Productkaarten[#All],18,FALSE),0)*Baseline!I48)),0)</f>
        <v>0</v>
      </c>
      <c r="J151" s="56">
        <f>(IF(Baseline!C48="Nieuwe Situatie",(_xlfn.IFNA(VLOOKUP(Referentie_CO2_Totaal[[#This Row],[Product]]&amp;", "&amp;Referentie_CO2_Totaal[[#Headers],[B1]],Database_Productkaarten[#All],18,FALSE),0)*Baseline!I48),0))</f>
        <v>0</v>
      </c>
      <c r="K151" s="56">
        <f>(IF(Baseline!C48="Nieuwe Situatie",(SUM(Referentie_CO2_Totaal[[#This Row],[A1]:[B1]],Referentie_CO2_Totaal[[#This Row],[C1]:[D2]])*Baseline!R48),0))</f>
        <v>0</v>
      </c>
      <c r="L151" s="56">
        <f>IF(Baseline!C48="Bestaande situatie",IF(_xlfn.IFNA((VLOOKUP(Baseline!Y48,Database_Asfalt_Verwijderset[#All],12,FALSE)*Baseline!I48),0)+_xlfn.IFNA(VLOOKUP(Baseline!Z48,Database_Brandstoffen[#All],12,FALSE)*((Baseline!I48/Baseline!AB48)*Baseline!AA48),0)&gt;0,_xlfn.IFNA((VLOOKUP(Baseline!Y48,Database_Asfalt_Verwijderset[#All],12,FALSE)*Baseline!I48),0)+_xlfn.IFNA(VLOOKUP(Baseline!Z48,Database_Brandstoffen[#All],12,FALSE)*((Baseline!I48/Baseline!AB48)*Baseline!AA48),0),(_xlfn.IFNA(VLOOKUP(Referentie_CO2_Totaal[[#This Row],[Product]]&amp;", "&amp;Referentie_MKI_Totaal[[#Headers],[C1]],Database_Productkaarten[#All],18,FALSE),0)*Baseline!I48)),0)</f>
        <v>0</v>
      </c>
      <c r="M151" s="56">
        <f>IF(Baseline!AD48=0,(IF(Baseline!C48="Bestaande Situatie",(_xlfn.IFNA(VLOOKUP(Referentie_CO2_Totaal[[#This Row],[Product]]&amp;", "&amp;Referentie_MKI_Totaal[[#Headers],[C2]],Database_Productkaarten[#All],18,FALSE),0)*Baseline!I48),0)),(IF(Baseline!C48="Bestaande Situatie",_xlfn.IFNA(VLOOKUP(Baseline!AD48,Database_Transport[#All],12,FALSE)*(Baseline!Q48*Baseline!AC48),0))))</f>
        <v>0</v>
      </c>
      <c r="N151" s="56">
        <f>(IF(Baseline!C48="Bestaande Situatie",(_xlfn.IFNA(VLOOKUP(Referentie_CO2_Totaal[[#This Row],[Product]]&amp;", "&amp;Referentie_CO2_Totaal[[#Headers],[C3]],Database_Productkaarten[#All],18,FALSE),0)*Baseline!I48),0))</f>
        <v>0</v>
      </c>
      <c r="O151" s="56">
        <f>(IF(Baseline!C48="Bestaande Situatie",(_xlfn.IFNA(VLOOKUP(Referentie_CO2_Totaal[[#This Row],[Product]]&amp;", "&amp;Referentie_CO2_Totaal[[#Headers],[C4]],Database_Productkaarten[#All],18,FALSE),0)*Baseline!I48),0))</f>
        <v>0</v>
      </c>
      <c r="P151" s="56">
        <f>(IF(Baseline!C48="Bestaande Situatie",(_xlfn.IFNA(VLOOKUP(Referentie_CO2_Totaal[[#This Row],[Product]]&amp;", "&amp;Referentie_CO2_Totaal[[#Headers],[D1]],Database_Productkaarten[#All],18,FALSE),0)*Baseline!I48),0))</f>
        <v>0</v>
      </c>
      <c r="Q151" s="57">
        <f>(IF(Baseline!C48="Bestaande Situatie",_xlfn.IFNA(VLOOKUP(Referentie_CO2_Totaal[[#This Row],[Product]]&amp;", "&amp;Referentie_CO2_Totaal[[#Headers],[D2]],Database_Productkaarten[#All],18,FALSE),0)*Baseline!I48,0))</f>
        <v>0</v>
      </c>
      <c r="R151" s="57">
        <f>(IF(Baseline!C48="Bestaande Situatie",(_xlfn.IFNA(VLOOKUP(Referentie_CO2_Totaal[[#This Row],[Product]]&amp;", "&amp;Referentie_CO2_Totaal[[#Headers],[D]],Database_Productkaarten[#All],18,FALSE),0)*Baseline!I48),0))</f>
        <v>0</v>
      </c>
      <c r="S151" s="56">
        <f>SUM(Referentie_CO2_Totaal[[#This Row],[A1-A3]:[C4]])+Referentie_CO2_Totaal[[#This Row],[D]]</f>
        <v>0</v>
      </c>
    </row>
    <row r="152" spans="2:19">
      <c r="B152" s="208">
        <f>Baseline!B49</f>
        <v>0</v>
      </c>
      <c r="C152" s="1">
        <f>Baseline!F49</f>
        <v>0</v>
      </c>
      <c r="D152" s="56">
        <f>(IF(Baseline!C49="Nieuwe Situatie",(_xlfn.IFNA(VLOOKUP(Referentie_CO2_Totaal[[#This Row],[Product]]&amp;", "&amp;Referentie_CO2_Totaal[[#Headers],[A1]],Database_Productkaarten[#All],18,FALSE),0)*Baseline!I49),0))</f>
        <v>0</v>
      </c>
      <c r="E152" s="56">
        <f>(IF(Baseline!C49="Nieuwe Situatie",(_xlfn.IFNA(VLOOKUP(Referentie_CO2_Totaal[[#This Row],[Product]]&amp;", "&amp;Referentie_CO2_Totaal[[#Headers],[A2]],Database_Productkaarten[#All],18,FALSE),0)*Baseline!I49),0))</f>
        <v>0</v>
      </c>
      <c r="F152" s="56">
        <f>(IF(Baseline!C49="Nieuwe Situatie",(_xlfn.IFNA(VLOOKUP(Referentie_CO2_Totaal[[#This Row],[Product]]&amp;", "&amp;Referentie_CO2_Totaal[[#Headers],[A3]],Database_Productkaarten[#All],18,FALSE),0)*Baseline!I49),0))</f>
        <v>0</v>
      </c>
      <c r="G152" s="56">
        <f>(IF(Baseline!C49="Nieuwe Situatie",(_xlfn.IFNA(VLOOKUP(Referentie_CO2_Totaal[[#This Row],[Product]]&amp;", "&amp;Referentie_CO2_Totaal[[#Headers],[A1-A3]],Database_Productkaarten[#All],18,FALSE),0)*Baseline!I49),0))</f>
        <v>0</v>
      </c>
      <c r="H152" s="56">
        <f>IF(Baseline!T49=0,(IF(Baseline!C49="Nieuwe Situatie",(_xlfn.IFNA(VLOOKUP(Referentie_CO2_Totaal[[#This Row],[Product]]&amp;", "&amp;Referentie_CO2_Totaal[[#Headers],[A4]],Database_Productkaarten[#All],18,FALSE),0)*Baseline!I49),0)),IF(Baseline!C49="Nieuwe Situatie",_xlfn.IFNA(VLOOKUP(Baseline!T49,Database_Transport[#All],12,FALSE)*(Baseline!Q49*Baseline!S49),Baseline_Backlog!H152),0))</f>
        <v>0</v>
      </c>
      <c r="I152" s="56">
        <f>IF(Baseline!C49="Nieuwe situatie",IF(_xlfn.IFNA((VLOOKUP(Baseline!U49,Database_Asfalt_Aanlegset[#All],12,FALSE)*Baseline!I49),0)+_xlfn.IFNA(VLOOKUP(Baseline!V49,Database_Brandstoffen[#All],12,FALSE)*((Baseline!I49/Baseline!X49)*Baseline!W49),0)&gt;0,_xlfn.IFNA((VLOOKUP(Baseline!U49,Database_Asfalt_Aanlegset[#All],12,FALSE)*Baseline!I49),0)+_xlfn.IFNA(VLOOKUP(Baseline!V49,Database_Brandstoffen[#All],12,FALSE)*((Baseline!I49/Baseline!X49)*Baseline!W49),0),(_xlfn.IFNA(VLOOKUP(Referentie_CO2_Totaal[[#This Row],[Product]]&amp;", "&amp;Referentie_MKI_Totaal[[#Headers],[A5]],Database_Productkaarten[#All],18,FALSE),0)*Baseline!I49)),0)</f>
        <v>0</v>
      </c>
      <c r="J152" s="56">
        <f>(IF(Baseline!C49="Nieuwe Situatie",(_xlfn.IFNA(VLOOKUP(Referentie_CO2_Totaal[[#This Row],[Product]]&amp;", "&amp;Referentie_CO2_Totaal[[#Headers],[B1]],Database_Productkaarten[#All],18,FALSE),0)*Baseline!I49),0))</f>
        <v>0</v>
      </c>
      <c r="K152" s="56">
        <f>(IF(Baseline!C49="Nieuwe Situatie",(SUM(Referentie_CO2_Totaal[[#This Row],[A1]:[B1]],Referentie_CO2_Totaal[[#This Row],[C1]:[D2]])*Baseline!R49),0))</f>
        <v>0</v>
      </c>
      <c r="L152" s="56">
        <f>IF(Baseline!C49="Bestaande situatie",IF(_xlfn.IFNA((VLOOKUP(Baseline!Y49,Database_Asfalt_Verwijderset[#All],12,FALSE)*Baseline!I49),0)+_xlfn.IFNA(VLOOKUP(Baseline!Z49,Database_Brandstoffen[#All],12,FALSE)*((Baseline!I49/Baseline!AB49)*Baseline!AA49),0)&gt;0,_xlfn.IFNA((VLOOKUP(Baseline!Y49,Database_Asfalt_Verwijderset[#All],12,FALSE)*Baseline!I49),0)+_xlfn.IFNA(VLOOKUP(Baseline!Z49,Database_Brandstoffen[#All],12,FALSE)*((Baseline!I49/Baseline!AB49)*Baseline!AA49),0),(_xlfn.IFNA(VLOOKUP(Referentie_CO2_Totaal[[#This Row],[Product]]&amp;", "&amp;Referentie_MKI_Totaal[[#Headers],[C1]],Database_Productkaarten[#All],18,FALSE),0)*Baseline!I49)),0)</f>
        <v>0</v>
      </c>
      <c r="M152" s="56">
        <f>IF(Baseline!AD49=0,(IF(Baseline!C49="Bestaande Situatie",(_xlfn.IFNA(VLOOKUP(Referentie_CO2_Totaal[[#This Row],[Product]]&amp;", "&amp;Referentie_MKI_Totaal[[#Headers],[C2]],Database_Productkaarten[#All],18,FALSE),0)*Baseline!I49),0)),(IF(Baseline!C49="Bestaande Situatie",_xlfn.IFNA(VLOOKUP(Baseline!AD49,Database_Transport[#All],12,FALSE)*(Baseline!Q49*Baseline!AC49),0))))</f>
        <v>0</v>
      </c>
      <c r="N152" s="56">
        <f>(IF(Baseline!C49="Bestaande Situatie",(_xlfn.IFNA(VLOOKUP(Referentie_CO2_Totaal[[#This Row],[Product]]&amp;", "&amp;Referentie_CO2_Totaal[[#Headers],[C3]],Database_Productkaarten[#All],18,FALSE),0)*Baseline!I49),0))</f>
        <v>0</v>
      </c>
      <c r="O152" s="56">
        <f>(IF(Baseline!C49="Bestaande Situatie",(_xlfn.IFNA(VLOOKUP(Referentie_CO2_Totaal[[#This Row],[Product]]&amp;", "&amp;Referentie_CO2_Totaal[[#Headers],[C4]],Database_Productkaarten[#All],18,FALSE),0)*Baseline!I49),0))</f>
        <v>0</v>
      </c>
      <c r="P152" s="56">
        <f>(IF(Baseline!C49="Bestaande Situatie",(_xlfn.IFNA(VLOOKUP(Referentie_CO2_Totaal[[#This Row],[Product]]&amp;", "&amp;Referentie_CO2_Totaal[[#Headers],[D1]],Database_Productkaarten[#All],18,FALSE),0)*Baseline!I49),0))</f>
        <v>0</v>
      </c>
      <c r="Q152" s="57">
        <f>(IF(Baseline!C49="Bestaande Situatie",_xlfn.IFNA(VLOOKUP(Referentie_CO2_Totaal[[#This Row],[Product]]&amp;", "&amp;Referentie_CO2_Totaal[[#Headers],[D2]],Database_Productkaarten[#All],18,FALSE),0)*Baseline!I49,0))</f>
        <v>0</v>
      </c>
      <c r="R152" s="57">
        <f>(IF(Baseline!C49="Bestaande Situatie",(_xlfn.IFNA(VLOOKUP(Referentie_CO2_Totaal[[#This Row],[Product]]&amp;", "&amp;Referentie_CO2_Totaal[[#Headers],[D]],Database_Productkaarten[#All],18,FALSE),0)*Baseline!I49),0))</f>
        <v>0</v>
      </c>
      <c r="S152" s="56">
        <f>SUM(Referentie_CO2_Totaal[[#This Row],[A1-A3]:[C4]])+Referentie_CO2_Totaal[[#This Row],[D]]</f>
        <v>0</v>
      </c>
    </row>
    <row r="153" spans="2:19">
      <c r="B153" s="208">
        <f>Baseline!B50</f>
        <v>0</v>
      </c>
      <c r="C153" s="1">
        <f>Baseline!F50</f>
        <v>0</v>
      </c>
      <c r="D153" s="56">
        <f>(IF(Baseline!C50="Nieuwe Situatie",(_xlfn.IFNA(VLOOKUP(Referentie_CO2_Totaal[[#This Row],[Product]]&amp;", "&amp;Referentie_CO2_Totaal[[#Headers],[A1]],Database_Productkaarten[#All],18,FALSE),0)*Baseline!I50),0))</f>
        <v>0</v>
      </c>
      <c r="E153" s="56">
        <f>(IF(Baseline!C50="Nieuwe Situatie",(_xlfn.IFNA(VLOOKUP(Referentie_CO2_Totaal[[#This Row],[Product]]&amp;", "&amp;Referentie_CO2_Totaal[[#Headers],[A2]],Database_Productkaarten[#All],18,FALSE),0)*Baseline!I50),0))</f>
        <v>0</v>
      </c>
      <c r="F153" s="56">
        <f>(IF(Baseline!C50="Nieuwe Situatie",(_xlfn.IFNA(VLOOKUP(Referentie_CO2_Totaal[[#This Row],[Product]]&amp;", "&amp;Referentie_CO2_Totaal[[#Headers],[A3]],Database_Productkaarten[#All],18,FALSE),0)*Baseline!I50),0))</f>
        <v>0</v>
      </c>
      <c r="G153" s="56">
        <f>(IF(Baseline!C50="Nieuwe Situatie",(_xlfn.IFNA(VLOOKUP(Referentie_CO2_Totaal[[#This Row],[Product]]&amp;", "&amp;Referentie_CO2_Totaal[[#Headers],[A1-A3]],Database_Productkaarten[#All],18,FALSE),0)*Baseline!I50),0))</f>
        <v>0</v>
      </c>
      <c r="H153" s="56">
        <f>IF(Baseline!T50=0,(IF(Baseline!C50="Nieuwe Situatie",(_xlfn.IFNA(VLOOKUP(Referentie_CO2_Totaal[[#This Row],[Product]]&amp;", "&amp;Referentie_CO2_Totaal[[#Headers],[A4]],Database_Productkaarten[#All],18,FALSE),0)*Baseline!I50),0)),IF(Baseline!C50="Nieuwe Situatie",_xlfn.IFNA(VLOOKUP(Baseline!T50,Database_Transport[#All],12,FALSE)*(Baseline!Q50*Baseline!S50),Baseline_Backlog!H153),0))</f>
        <v>0</v>
      </c>
      <c r="I153" s="56">
        <f>IF(Baseline!C50="Nieuwe situatie",IF(_xlfn.IFNA((VLOOKUP(Baseline!U50,Database_Asfalt_Aanlegset[#All],12,FALSE)*Baseline!I50),0)+_xlfn.IFNA(VLOOKUP(Baseline!V50,Database_Brandstoffen[#All],12,FALSE)*((Baseline!I50/Baseline!X50)*Baseline!W50),0)&gt;0,_xlfn.IFNA((VLOOKUP(Baseline!U50,Database_Asfalt_Aanlegset[#All],12,FALSE)*Baseline!I50),0)+_xlfn.IFNA(VLOOKUP(Baseline!V50,Database_Brandstoffen[#All],12,FALSE)*((Baseline!I50/Baseline!X50)*Baseline!W50),0),(_xlfn.IFNA(VLOOKUP(Referentie_CO2_Totaal[[#This Row],[Product]]&amp;", "&amp;Referentie_MKI_Totaal[[#Headers],[A5]],Database_Productkaarten[#All],18,FALSE),0)*Baseline!I50)),0)</f>
        <v>0</v>
      </c>
      <c r="J153" s="56">
        <f>(IF(Baseline!C50="Nieuwe Situatie",(_xlfn.IFNA(VLOOKUP(Referentie_CO2_Totaal[[#This Row],[Product]]&amp;", "&amp;Referentie_CO2_Totaal[[#Headers],[B1]],Database_Productkaarten[#All],18,FALSE),0)*Baseline!I50),0))</f>
        <v>0</v>
      </c>
      <c r="K153" s="56">
        <f>(IF(Baseline!C50="Nieuwe Situatie",(SUM(Referentie_CO2_Totaal[[#This Row],[A1]:[B1]],Referentie_CO2_Totaal[[#This Row],[C1]:[D2]])*Baseline!R50),0))</f>
        <v>0</v>
      </c>
      <c r="L153" s="56">
        <f>IF(Baseline!C50="Bestaande situatie",IF(_xlfn.IFNA((VLOOKUP(Baseline!Y50,Database_Asfalt_Verwijderset[#All],12,FALSE)*Baseline!I50),0)+_xlfn.IFNA(VLOOKUP(Baseline!Z50,Database_Brandstoffen[#All],12,FALSE)*((Baseline!I50/Baseline!AB50)*Baseline!AA50),0)&gt;0,_xlfn.IFNA((VLOOKUP(Baseline!Y50,Database_Asfalt_Verwijderset[#All],12,FALSE)*Baseline!I50),0)+_xlfn.IFNA(VLOOKUP(Baseline!Z50,Database_Brandstoffen[#All],12,FALSE)*((Baseline!I50/Baseline!AB50)*Baseline!AA50),0),(_xlfn.IFNA(VLOOKUP(Referentie_CO2_Totaal[[#This Row],[Product]]&amp;", "&amp;Referentie_MKI_Totaal[[#Headers],[C1]],Database_Productkaarten[#All],18,FALSE),0)*Baseline!I50)),0)</f>
        <v>0</v>
      </c>
      <c r="M153" s="56">
        <f>IF(Baseline!AD50=0,(IF(Baseline!C50="Bestaande Situatie",(_xlfn.IFNA(VLOOKUP(Referentie_CO2_Totaal[[#This Row],[Product]]&amp;", "&amp;Referentie_MKI_Totaal[[#Headers],[C2]],Database_Productkaarten[#All],18,FALSE),0)*Baseline!I50),0)),(IF(Baseline!C50="Bestaande Situatie",_xlfn.IFNA(VLOOKUP(Baseline!AD50,Database_Transport[#All],12,FALSE)*(Baseline!Q50*Baseline!AC50),0))))</f>
        <v>0</v>
      </c>
      <c r="N153" s="56">
        <f>(IF(Baseline!C50="Bestaande Situatie",(_xlfn.IFNA(VLOOKUP(Referentie_CO2_Totaal[[#This Row],[Product]]&amp;", "&amp;Referentie_CO2_Totaal[[#Headers],[C3]],Database_Productkaarten[#All],18,FALSE),0)*Baseline!I50),0))</f>
        <v>0</v>
      </c>
      <c r="O153" s="56">
        <f>(IF(Baseline!C50="Bestaande Situatie",(_xlfn.IFNA(VLOOKUP(Referentie_CO2_Totaal[[#This Row],[Product]]&amp;", "&amp;Referentie_CO2_Totaal[[#Headers],[C4]],Database_Productkaarten[#All],18,FALSE),0)*Baseline!I50),0))</f>
        <v>0</v>
      </c>
      <c r="P153" s="56">
        <f>(IF(Baseline!C50="Bestaande Situatie",(_xlfn.IFNA(VLOOKUP(Referentie_CO2_Totaal[[#This Row],[Product]]&amp;", "&amp;Referentie_CO2_Totaal[[#Headers],[D1]],Database_Productkaarten[#All],18,FALSE),0)*Baseline!I50),0))</f>
        <v>0</v>
      </c>
      <c r="Q153" s="57">
        <f>(IF(Baseline!C50="Bestaande Situatie",_xlfn.IFNA(VLOOKUP(Referentie_CO2_Totaal[[#This Row],[Product]]&amp;", "&amp;Referentie_CO2_Totaal[[#Headers],[D2]],Database_Productkaarten[#All],18,FALSE),0)*Baseline!I50,0))</f>
        <v>0</v>
      </c>
      <c r="R153" s="57">
        <f>(IF(Baseline!C50="Bestaande Situatie",(_xlfn.IFNA(VLOOKUP(Referentie_CO2_Totaal[[#This Row],[Product]]&amp;", "&amp;Referentie_CO2_Totaal[[#Headers],[D]],Database_Productkaarten[#All],18,FALSE),0)*Baseline!I50),0))</f>
        <v>0</v>
      </c>
      <c r="S153" s="56">
        <f>SUM(Referentie_CO2_Totaal[[#This Row],[A1-A3]:[C4]])+Referentie_CO2_Totaal[[#This Row],[D]]</f>
        <v>0</v>
      </c>
    </row>
    <row r="154" spans="2:19">
      <c r="B154" s="208">
        <f>Baseline!B51</f>
        <v>0</v>
      </c>
      <c r="C154" s="1">
        <f>Baseline!F51</f>
        <v>0</v>
      </c>
      <c r="D154" s="56">
        <f>(IF(Baseline!C51="Nieuwe Situatie",(_xlfn.IFNA(VLOOKUP(Referentie_CO2_Totaal[[#This Row],[Product]]&amp;", "&amp;Referentie_CO2_Totaal[[#Headers],[A1]],Database_Productkaarten[#All],18,FALSE),0)*Baseline!I51),0))</f>
        <v>0</v>
      </c>
      <c r="E154" s="56">
        <f>(IF(Baseline!C51="Nieuwe Situatie",(_xlfn.IFNA(VLOOKUP(Referentie_CO2_Totaal[[#This Row],[Product]]&amp;", "&amp;Referentie_CO2_Totaal[[#Headers],[A2]],Database_Productkaarten[#All],18,FALSE),0)*Baseline!I51),0))</f>
        <v>0</v>
      </c>
      <c r="F154" s="56">
        <f>(IF(Baseline!C51="Nieuwe Situatie",(_xlfn.IFNA(VLOOKUP(Referentie_CO2_Totaal[[#This Row],[Product]]&amp;", "&amp;Referentie_CO2_Totaal[[#Headers],[A3]],Database_Productkaarten[#All],18,FALSE),0)*Baseline!I51),0))</f>
        <v>0</v>
      </c>
      <c r="G154" s="56">
        <f>(IF(Baseline!C51="Nieuwe Situatie",(_xlfn.IFNA(VLOOKUP(Referentie_CO2_Totaal[[#This Row],[Product]]&amp;", "&amp;Referentie_CO2_Totaal[[#Headers],[A1-A3]],Database_Productkaarten[#All],18,FALSE),0)*Baseline!I51),0))</f>
        <v>0</v>
      </c>
      <c r="H154" s="56">
        <f>IF(Baseline!T51=0,(IF(Baseline!C51="Nieuwe Situatie",(_xlfn.IFNA(VLOOKUP(Referentie_CO2_Totaal[[#This Row],[Product]]&amp;", "&amp;Referentie_CO2_Totaal[[#Headers],[A4]],Database_Productkaarten[#All],18,FALSE),0)*Baseline!I51),0)),IF(Baseline!C51="Nieuwe Situatie",_xlfn.IFNA(VLOOKUP(Baseline!T51,Database_Transport[#All],12,FALSE)*(Baseline!Q51*Baseline!S51),Baseline_Backlog!H154),0))</f>
        <v>0</v>
      </c>
      <c r="I154" s="56">
        <f>IF(Baseline!C51="Nieuwe situatie",IF(_xlfn.IFNA((VLOOKUP(Baseline!U51,Database_Asfalt_Aanlegset[#All],12,FALSE)*Baseline!I51),0)+_xlfn.IFNA(VLOOKUP(Baseline!V51,Database_Brandstoffen[#All],12,FALSE)*((Baseline!I51/Baseline!X51)*Baseline!W51),0)&gt;0,_xlfn.IFNA((VLOOKUP(Baseline!U51,Database_Asfalt_Aanlegset[#All],12,FALSE)*Baseline!I51),0)+_xlfn.IFNA(VLOOKUP(Baseline!V51,Database_Brandstoffen[#All],12,FALSE)*((Baseline!I51/Baseline!X51)*Baseline!W51),0),(_xlfn.IFNA(VLOOKUP(Referentie_CO2_Totaal[[#This Row],[Product]]&amp;", "&amp;Referentie_MKI_Totaal[[#Headers],[A5]],Database_Productkaarten[#All],18,FALSE),0)*Baseline!I51)),0)</f>
        <v>0</v>
      </c>
      <c r="J154" s="56">
        <f>(IF(Baseline!C51="Nieuwe Situatie",(_xlfn.IFNA(VLOOKUP(Referentie_CO2_Totaal[[#This Row],[Product]]&amp;", "&amp;Referentie_CO2_Totaal[[#Headers],[B1]],Database_Productkaarten[#All],18,FALSE),0)*Baseline!I51),0))</f>
        <v>0</v>
      </c>
      <c r="K154" s="56">
        <f>(IF(Baseline!C51="Nieuwe Situatie",(SUM(Referentie_CO2_Totaal[[#This Row],[A1]:[B1]],Referentie_CO2_Totaal[[#This Row],[C1]:[D2]])*Baseline!R51),0))</f>
        <v>0</v>
      </c>
      <c r="L154" s="56">
        <f>IF(Baseline!C51="Bestaande situatie",IF(_xlfn.IFNA((VLOOKUP(Baseline!Y51,Database_Asfalt_Verwijderset[#All],12,FALSE)*Baseline!I51),0)+_xlfn.IFNA(VLOOKUP(Baseline!Z51,Database_Brandstoffen[#All],12,FALSE)*((Baseline!I51/Baseline!AB51)*Baseline!AA51),0)&gt;0,_xlfn.IFNA((VLOOKUP(Baseline!Y51,Database_Asfalt_Verwijderset[#All],12,FALSE)*Baseline!I51),0)+_xlfn.IFNA(VLOOKUP(Baseline!Z51,Database_Brandstoffen[#All],12,FALSE)*((Baseline!I51/Baseline!AB51)*Baseline!AA51),0),(_xlfn.IFNA(VLOOKUP(Referentie_CO2_Totaal[[#This Row],[Product]]&amp;", "&amp;Referentie_MKI_Totaal[[#Headers],[C1]],Database_Productkaarten[#All],18,FALSE),0)*Baseline!I51)),0)</f>
        <v>0</v>
      </c>
      <c r="M154" s="56">
        <f>IF(Baseline!AD51=0,(IF(Baseline!C51="Bestaande Situatie",(_xlfn.IFNA(VLOOKUP(Referentie_CO2_Totaal[[#This Row],[Product]]&amp;", "&amp;Referentie_MKI_Totaal[[#Headers],[C2]],Database_Productkaarten[#All],18,FALSE),0)*Baseline!I51),0)),(IF(Baseline!C51="Bestaande Situatie",_xlfn.IFNA(VLOOKUP(Baseline!AD51,Database_Transport[#All],12,FALSE)*(Baseline!Q51*Baseline!AC51),0))))</f>
        <v>0</v>
      </c>
      <c r="N154" s="56">
        <f>(IF(Baseline!C51="Bestaande Situatie",(_xlfn.IFNA(VLOOKUP(Referentie_CO2_Totaal[[#This Row],[Product]]&amp;", "&amp;Referentie_CO2_Totaal[[#Headers],[C3]],Database_Productkaarten[#All],18,FALSE),0)*Baseline!I51),0))</f>
        <v>0</v>
      </c>
      <c r="O154" s="56">
        <f>(IF(Baseline!C51="Bestaande Situatie",(_xlfn.IFNA(VLOOKUP(Referentie_CO2_Totaal[[#This Row],[Product]]&amp;", "&amp;Referentie_CO2_Totaal[[#Headers],[C4]],Database_Productkaarten[#All],18,FALSE),0)*Baseline!I51),0))</f>
        <v>0</v>
      </c>
      <c r="P154" s="56">
        <f>(IF(Baseline!C51="Bestaande Situatie",(_xlfn.IFNA(VLOOKUP(Referentie_CO2_Totaal[[#This Row],[Product]]&amp;", "&amp;Referentie_CO2_Totaal[[#Headers],[D1]],Database_Productkaarten[#All],18,FALSE),0)*Baseline!I51),0))</f>
        <v>0</v>
      </c>
      <c r="Q154" s="57">
        <f>(IF(Baseline!C51="Bestaande Situatie",_xlfn.IFNA(VLOOKUP(Referentie_CO2_Totaal[[#This Row],[Product]]&amp;", "&amp;Referentie_CO2_Totaal[[#Headers],[D2]],Database_Productkaarten[#All],18,FALSE),0)*Baseline!I51,0))</f>
        <v>0</v>
      </c>
      <c r="R154" s="57">
        <f>(IF(Baseline!C51="Bestaande Situatie",(_xlfn.IFNA(VLOOKUP(Referentie_CO2_Totaal[[#This Row],[Product]]&amp;", "&amp;Referentie_CO2_Totaal[[#Headers],[D]],Database_Productkaarten[#All],18,FALSE),0)*Baseline!I51),0))</f>
        <v>0</v>
      </c>
      <c r="S154" s="56">
        <f>SUM(Referentie_CO2_Totaal[[#This Row],[A1-A3]:[C4]])+Referentie_CO2_Totaal[[#This Row],[D]]</f>
        <v>0</v>
      </c>
    </row>
    <row r="155" spans="2:19">
      <c r="B155" s="208">
        <f>Baseline!B52</f>
        <v>0</v>
      </c>
      <c r="C155" s="1">
        <f>Baseline!F52</f>
        <v>0</v>
      </c>
      <c r="D155" s="56">
        <f>(IF(Baseline!C52="Nieuwe Situatie",(_xlfn.IFNA(VLOOKUP(Referentie_CO2_Totaal[[#This Row],[Product]]&amp;", "&amp;Referentie_CO2_Totaal[[#Headers],[A1]],Database_Productkaarten[#All],18,FALSE),0)*Baseline!I52),0))</f>
        <v>0</v>
      </c>
      <c r="E155" s="56">
        <f>(IF(Baseline!C52="Nieuwe Situatie",(_xlfn.IFNA(VLOOKUP(Referentie_CO2_Totaal[[#This Row],[Product]]&amp;", "&amp;Referentie_CO2_Totaal[[#Headers],[A2]],Database_Productkaarten[#All],18,FALSE),0)*Baseline!I52),0))</f>
        <v>0</v>
      </c>
      <c r="F155" s="56">
        <f>(IF(Baseline!C52="Nieuwe Situatie",(_xlfn.IFNA(VLOOKUP(Referentie_CO2_Totaal[[#This Row],[Product]]&amp;", "&amp;Referentie_CO2_Totaal[[#Headers],[A3]],Database_Productkaarten[#All],18,FALSE),0)*Baseline!I52),0))</f>
        <v>0</v>
      </c>
      <c r="G155" s="56">
        <f>(IF(Baseline!C52="Nieuwe Situatie",(_xlfn.IFNA(VLOOKUP(Referentie_CO2_Totaal[[#This Row],[Product]]&amp;", "&amp;Referentie_CO2_Totaal[[#Headers],[A1-A3]],Database_Productkaarten[#All],18,FALSE),0)*Baseline!I52),0))</f>
        <v>0</v>
      </c>
      <c r="H155" s="56">
        <f>IF(Baseline!T52=0,(IF(Baseline!C52="Nieuwe Situatie",(_xlfn.IFNA(VLOOKUP(Referentie_CO2_Totaal[[#This Row],[Product]]&amp;", "&amp;Referentie_CO2_Totaal[[#Headers],[A4]],Database_Productkaarten[#All],18,FALSE),0)*Baseline!I52),0)),IF(Baseline!C52="Nieuwe Situatie",_xlfn.IFNA(VLOOKUP(Baseline!T52,Database_Transport[#All],12,FALSE)*(Baseline!Q52*Baseline!S52),Baseline_Backlog!H155),0))</f>
        <v>0</v>
      </c>
      <c r="I155" s="56">
        <f>IF(Baseline!C52="Nieuwe situatie",IF(_xlfn.IFNA((VLOOKUP(Baseline!U52,Database_Asfalt_Aanlegset[#All],12,FALSE)*Baseline!I52),0)+_xlfn.IFNA(VLOOKUP(Baseline!V52,Database_Brandstoffen[#All],12,FALSE)*((Baseline!I52/Baseline!X52)*Baseline!W52),0)&gt;0,_xlfn.IFNA((VLOOKUP(Baseline!U52,Database_Asfalt_Aanlegset[#All],12,FALSE)*Baseline!I52),0)+_xlfn.IFNA(VLOOKUP(Baseline!V52,Database_Brandstoffen[#All],12,FALSE)*((Baseline!I52/Baseline!X52)*Baseline!W52),0),(_xlfn.IFNA(VLOOKUP(Referentie_CO2_Totaal[[#This Row],[Product]]&amp;", "&amp;Referentie_MKI_Totaal[[#Headers],[A5]],Database_Productkaarten[#All],18,FALSE),0)*Baseline!I52)),0)</f>
        <v>0</v>
      </c>
      <c r="J155" s="56">
        <f>(IF(Baseline!C52="Nieuwe Situatie",(_xlfn.IFNA(VLOOKUP(Referentie_CO2_Totaal[[#This Row],[Product]]&amp;", "&amp;Referentie_CO2_Totaal[[#Headers],[B1]],Database_Productkaarten[#All],18,FALSE),0)*Baseline!I52),0))</f>
        <v>0</v>
      </c>
      <c r="K155" s="56">
        <f>(IF(Baseline!C52="Nieuwe Situatie",(SUM(Referentie_CO2_Totaal[[#This Row],[A1]:[B1]],Referentie_CO2_Totaal[[#This Row],[C1]:[D2]])*Baseline!R52),0))</f>
        <v>0</v>
      </c>
      <c r="L155" s="56">
        <f>IF(Baseline!C52="Bestaande situatie",IF(_xlfn.IFNA((VLOOKUP(Baseline!Y52,Database_Asfalt_Verwijderset[#All],12,FALSE)*Baseline!I52),0)+_xlfn.IFNA(VLOOKUP(Baseline!Z52,Database_Brandstoffen[#All],12,FALSE)*((Baseline!I52/Baseline!AB52)*Baseline!AA52),0)&gt;0,_xlfn.IFNA((VLOOKUP(Baseline!Y52,Database_Asfalt_Verwijderset[#All],12,FALSE)*Baseline!I52),0)+_xlfn.IFNA(VLOOKUP(Baseline!Z52,Database_Brandstoffen[#All],12,FALSE)*((Baseline!I52/Baseline!AB52)*Baseline!AA52),0),(_xlfn.IFNA(VLOOKUP(Referentie_CO2_Totaal[[#This Row],[Product]]&amp;", "&amp;Referentie_MKI_Totaal[[#Headers],[C1]],Database_Productkaarten[#All],18,FALSE),0)*Baseline!I52)),0)</f>
        <v>0</v>
      </c>
      <c r="M155" s="56">
        <f>IF(Baseline!AD52=0,(IF(Baseline!C52="Bestaande Situatie",(_xlfn.IFNA(VLOOKUP(Referentie_CO2_Totaal[[#This Row],[Product]]&amp;", "&amp;Referentie_MKI_Totaal[[#Headers],[C2]],Database_Productkaarten[#All],18,FALSE),0)*Baseline!I52),0)),(IF(Baseline!C52="Bestaande Situatie",_xlfn.IFNA(VLOOKUP(Baseline!AD52,Database_Transport[#All],12,FALSE)*(Baseline!Q52*Baseline!AC52),0))))</f>
        <v>0</v>
      </c>
      <c r="N155" s="56">
        <f>(IF(Baseline!C52="Bestaande Situatie",(_xlfn.IFNA(VLOOKUP(Referentie_CO2_Totaal[[#This Row],[Product]]&amp;", "&amp;Referentie_CO2_Totaal[[#Headers],[C3]],Database_Productkaarten[#All],18,FALSE),0)*Baseline!I52),0))</f>
        <v>0</v>
      </c>
      <c r="O155" s="56">
        <f>(IF(Baseline!C52="Bestaande Situatie",(_xlfn.IFNA(VLOOKUP(Referentie_CO2_Totaal[[#This Row],[Product]]&amp;", "&amp;Referentie_CO2_Totaal[[#Headers],[C4]],Database_Productkaarten[#All],18,FALSE),0)*Baseline!I52),0))</f>
        <v>0</v>
      </c>
      <c r="P155" s="56">
        <f>(IF(Baseline!C52="Bestaande Situatie",(_xlfn.IFNA(VLOOKUP(Referentie_CO2_Totaal[[#This Row],[Product]]&amp;", "&amp;Referentie_CO2_Totaal[[#Headers],[D1]],Database_Productkaarten[#All],18,FALSE),0)*Baseline!I52),0))</f>
        <v>0</v>
      </c>
      <c r="Q155" s="57">
        <f>(IF(Baseline!C52="Bestaande Situatie",_xlfn.IFNA(VLOOKUP(Referentie_CO2_Totaal[[#This Row],[Product]]&amp;", "&amp;Referentie_CO2_Totaal[[#Headers],[D2]],Database_Productkaarten[#All],18,FALSE),0)*Baseline!I52,0))</f>
        <v>0</v>
      </c>
      <c r="R155" s="57">
        <f>(IF(Baseline!C52="Bestaande Situatie",(_xlfn.IFNA(VLOOKUP(Referentie_CO2_Totaal[[#This Row],[Product]]&amp;", "&amp;Referentie_CO2_Totaal[[#Headers],[D]],Database_Productkaarten[#All],18,FALSE),0)*Baseline!I52),0))</f>
        <v>0</v>
      </c>
      <c r="S155" s="56">
        <f>SUM(Referentie_CO2_Totaal[[#This Row],[A1-A3]:[C4]])+Referentie_CO2_Totaal[[#This Row],[D]]</f>
        <v>0</v>
      </c>
    </row>
    <row r="156" spans="2:19">
      <c r="B156" s="208">
        <f>Baseline!B53</f>
        <v>0</v>
      </c>
      <c r="C156" s="1">
        <f>Baseline!F53</f>
        <v>0</v>
      </c>
      <c r="D156" s="56">
        <f>(IF(Baseline!C53="Nieuwe Situatie",(_xlfn.IFNA(VLOOKUP(Referentie_CO2_Totaal[[#This Row],[Product]]&amp;", "&amp;Referentie_CO2_Totaal[[#Headers],[A1]],Database_Productkaarten[#All],18,FALSE),0)*Baseline!I53),0))</f>
        <v>0</v>
      </c>
      <c r="E156" s="56">
        <f>(IF(Baseline!C53="Nieuwe Situatie",(_xlfn.IFNA(VLOOKUP(Referentie_CO2_Totaal[[#This Row],[Product]]&amp;", "&amp;Referentie_CO2_Totaal[[#Headers],[A2]],Database_Productkaarten[#All],18,FALSE),0)*Baseline!I53),0))</f>
        <v>0</v>
      </c>
      <c r="F156" s="56">
        <f>(IF(Baseline!C53="Nieuwe Situatie",(_xlfn.IFNA(VLOOKUP(Referentie_CO2_Totaal[[#This Row],[Product]]&amp;", "&amp;Referentie_CO2_Totaal[[#Headers],[A3]],Database_Productkaarten[#All],18,FALSE),0)*Baseline!I53),0))</f>
        <v>0</v>
      </c>
      <c r="G156" s="56">
        <f>(IF(Baseline!C53="Nieuwe Situatie",(_xlfn.IFNA(VLOOKUP(Referentie_CO2_Totaal[[#This Row],[Product]]&amp;", "&amp;Referentie_CO2_Totaal[[#Headers],[A1-A3]],Database_Productkaarten[#All],18,FALSE),0)*Baseline!I53),0))</f>
        <v>0</v>
      </c>
      <c r="H156" s="56">
        <f>IF(Baseline!T53=0,(IF(Baseline!C53="Nieuwe Situatie",(_xlfn.IFNA(VLOOKUP(Referentie_CO2_Totaal[[#This Row],[Product]]&amp;", "&amp;Referentie_CO2_Totaal[[#Headers],[A4]],Database_Productkaarten[#All],18,FALSE),0)*Baseline!I53),0)),IF(Baseline!C53="Nieuwe Situatie",_xlfn.IFNA(VLOOKUP(Baseline!T53,Database_Transport[#All],12,FALSE)*(Baseline!Q53*Baseline!S53),Baseline_Backlog!H156),0))</f>
        <v>0</v>
      </c>
      <c r="I156" s="56">
        <f>IF(Baseline!C53="Nieuwe situatie",IF(_xlfn.IFNA((VLOOKUP(Baseline!U53,Database_Asfalt_Aanlegset[#All],12,FALSE)*Baseline!I53),0)+_xlfn.IFNA(VLOOKUP(Baseline!V53,Database_Brandstoffen[#All],12,FALSE)*((Baseline!I53/Baseline!X53)*Baseline!W53),0)&gt;0,_xlfn.IFNA((VLOOKUP(Baseline!U53,Database_Asfalt_Aanlegset[#All],12,FALSE)*Baseline!I53),0)+_xlfn.IFNA(VLOOKUP(Baseline!V53,Database_Brandstoffen[#All],12,FALSE)*((Baseline!I53/Baseline!X53)*Baseline!W53),0),(_xlfn.IFNA(VLOOKUP(Referentie_CO2_Totaal[[#This Row],[Product]]&amp;", "&amp;Referentie_MKI_Totaal[[#Headers],[A5]],Database_Productkaarten[#All],18,FALSE),0)*Baseline!I53)),0)</f>
        <v>0</v>
      </c>
      <c r="J156" s="56">
        <f>(IF(Baseline!C53="Nieuwe Situatie",(_xlfn.IFNA(VLOOKUP(Referentie_CO2_Totaal[[#This Row],[Product]]&amp;", "&amp;Referentie_CO2_Totaal[[#Headers],[B1]],Database_Productkaarten[#All],18,FALSE),0)*Baseline!I53),0))</f>
        <v>0</v>
      </c>
      <c r="K156" s="56">
        <f>(IF(Baseline!C53="Nieuwe Situatie",(SUM(Referentie_CO2_Totaal[[#This Row],[A1]:[B1]],Referentie_CO2_Totaal[[#This Row],[C1]:[D2]])*Baseline!R53),0))</f>
        <v>0</v>
      </c>
      <c r="L156" s="56">
        <f>IF(Baseline!C53="Bestaande situatie",IF(_xlfn.IFNA((VLOOKUP(Baseline!Y53,Database_Asfalt_Verwijderset[#All],12,FALSE)*Baseline!I53),0)+_xlfn.IFNA(VLOOKUP(Baseline!Z53,Database_Brandstoffen[#All],12,FALSE)*((Baseline!I53/Baseline!AB53)*Baseline!AA53),0)&gt;0,_xlfn.IFNA((VLOOKUP(Baseline!Y53,Database_Asfalt_Verwijderset[#All],12,FALSE)*Baseline!I53),0)+_xlfn.IFNA(VLOOKUP(Baseline!Z53,Database_Brandstoffen[#All],12,FALSE)*((Baseline!I53/Baseline!AB53)*Baseline!AA53),0),(_xlfn.IFNA(VLOOKUP(Referentie_CO2_Totaal[[#This Row],[Product]]&amp;", "&amp;Referentie_MKI_Totaal[[#Headers],[C1]],Database_Productkaarten[#All],18,FALSE),0)*Baseline!I53)),0)</f>
        <v>0</v>
      </c>
      <c r="M156" s="56">
        <f>IF(Baseline!AD53=0,(IF(Baseline!C53="Bestaande Situatie",(_xlfn.IFNA(VLOOKUP(Referentie_CO2_Totaal[[#This Row],[Product]]&amp;", "&amp;Referentie_MKI_Totaal[[#Headers],[C2]],Database_Productkaarten[#All],18,FALSE),0)*Baseline!I53),0)),(IF(Baseline!C53="Bestaande Situatie",_xlfn.IFNA(VLOOKUP(Baseline!AD53,Database_Transport[#All],12,FALSE)*(Baseline!Q53*Baseline!AC53),0))))</f>
        <v>0</v>
      </c>
      <c r="N156" s="56">
        <f>(IF(Baseline!C53="Bestaande Situatie",(_xlfn.IFNA(VLOOKUP(Referentie_CO2_Totaal[[#This Row],[Product]]&amp;", "&amp;Referentie_CO2_Totaal[[#Headers],[C3]],Database_Productkaarten[#All],18,FALSE),0)*Baseline!I53),0))</f>
        <v>0</v>
      </c>
      <c r="O156" s="56">
        <f>(IF(Baseline!C53="Bestaande Situatie",(_xlfn.IFNA(VLOOKUP(Referentie_CO2_Totaal[[#This Row],[Product]]&amp;", "&amp;Referentie_CO2_Totaal[[#Headers],[C4]],Database_Productkaarten[#All],18,FALSE),0)*Baseline!I53),0))</f>
        <v>0</v>
      </c>
      <c r="P156" s="56">
        <f>(IF(Baseline!C53="Bestaande Situatie",(_xlfn.IFNA(VLOOKUP(Referentie_CO2_Totaal[[#This Row],[Product]]&amp;", "&amp;Referentie_CO2_Totaal[[#Headers],[D1]],Database_Productkaarten[#All],18,FALSE),0)*Baseline!I53),0))</f>
        <v>0</v>
      </c>
      <c r="Q156" s="57">
        <f>(IF(Baseline!C53="Bestaande Situatie",_xlfn.IFNA(VLOOKUP(Referentie_CO2_Totaal[[#This Row],[Product]]&amp;", "&amp;Referentie_CO2_Totaal[[#Headers],[D2]],Database_Productkaarten[#All],18,FALSE),0)*Baseline!I53,0))</f>
        <v>0</v>
      </c>
      <c r="R156" s="57">
        <f>(IF(Baseline!C53="Bestaande Situatie",(_xlfn.IFNA(VLOOKUP(Referentie_CO2_Totaal[[#This Row],[Product]]&amp;", "&amp;Referentie_CO2_Totaal[[#Headers],[D]],Database_Productkaarten[#All],18,FALSE),0)*Baseline!I53),0))</f>
        <v>0</v>
      </c>
      <c r="S156" s="56">
        <f>SUM(Referentie_CO2_Totaal[[#This Row],[A1-A3]:[C4]])+Referentie_CO2_Totaal[[#This Row],[D]]</f>
        <v>0</v>
      </c>
    </row>
    <row r="157" spans="2:19">
      <c r="B157" s="208">
        <f>Baseline!B54</f>
        <v>0</v>
      </c>
      <c r="C157" s="1">
        <f>Baseline!F54</f>
        <v>0</v>
      </c>
      <c r="D157" s="56">
        <f>(IF(Baseline!C54="Nieuwe Situatie",(_xlfn.IFNA(VLOOKUP(Referentie_CO2_Totaal[[#This Row],[Product]]&amp;", "&amp;Referentie_CO2_Totaal[[#Headers],[A1]],Database_Productkaarten[#All],18,FALSE),0)*Baseline!I54),0))</f>
        <v>0</v>
      </c>
      <c r="E157" s="56">
        <f>(IF(Baseline!C54="Nieuwe Situatie",(_xlfn.IFNA(VLOOKUP(Referentie_CO2_Totaal[[#This Row],[Product]]&amp;", "&amp;Referentie_CO2_Totaal[[#Headers],[A2]],Database_Productkaarten[#All],18,FALSE),0)*Baseline!I54),0))</f>
        <v>0</v>
      </c>
      <c r="F157" s="56">
        <f>(IF(Baseline!C54="Nieuwe Situatie",(_xlfn.IFNA(VLOOKUP(Referentie_CO2_Totaal[[#This Row],[Product]]&amp;", "&amp;Referentie_CO2_Totaal[[#Headers],[A3]],Database_Productkaarten[#All],18,FALSE),0)*Baseline!I54),0))</f>
        <v>0</v>
      </c>
      <c r="G157" s="56">
        <f>(IF(Baseline!C54="Nieuwe Situatie",(_xlfn.IFNA(VLOOKUP(Referentie_CO2_Totaal[[#This Row],[Product]]&amp;", "&amp;Referentie_CO2_Totaal[[#Headers],[A1-A3]],Database_Productkaarten[#All],18,FALSE),0)*Baseline!I54),0))</f>
        <v>0</v>
      </c>
      <c r="H157" s="56">
        <f>IF(Baseline!T54=0,(IF(Baseline!C54="Nieuwe Situatie",(_xlfn.IFNA(VLOOKUP(Referentie_CO2_Totaal[[#This Row],[Product]]&amp;", "&amp;Referentie_CO2_Totaal[[#Headers],[A4]],Database_Productkaarten[#All],18,FALSE),0)*Baseline!I54),0)),IF(Baseline!C54="Nieuwe Situatie",_xlfn.IFNA(VLOOKUP(Baseline!T54,Database_Transport[#All],12,FALSE)*(Baseline!Q54*Baseline!S54),Baseline_Backlog!H157),0))</f>
        <v>0</v>
      </c>
      <c r="I157" s="56">
        <f>IF(Baseline!C54="Nieuwe situatie",IF(_xlfn.IFNA((VLOOKUP(Baseline!U54,Database_Asfalt_Aanlegset[#All],12,FALSE)*Baseline!I54),0)+_xlfn.IFNA(VLOOKUP(Baseline!V54,Database_Brandstoffen[#All],12,FALSE)*((Baseline!I54/Baseline!X54)*Baseline!W54),0)&gt;0,_xlfn.IFNA((VLOOKUP(Baseline!U54,Database_Asfalt_Aanlegset[#All],12,FALSE)*Baseline!I54),0)+_xlfn.IFNA(VLOOKUP(Baseline!V54,Database_Brandstoffen[#All],12,FALSE)*((Baseline!I54/Baseline!X54)*Baseline!W54),0),(_xlfn.IFNA(VLOOKUP(Referentie_CO2_Totaal[[#This Row],[Product]]&amp;", "&amp;Referentie_MKI_Totaal[[#Headers],[A5]],Database_Productkaarten[#All],18,FALSE),0)*Baseline!I54)),0)</f>
        <v>0</v>
      </c>
      <c r="J157" s="56">
        <f>(IF(Baseline!C54="Nieuwe Situatie",(_xlfn.IFNA(VLOOKUP(Referentie_CO2_Totaal[[#This Row],[Product]]&amp;", "&amp;Referentie_CO2_Totaal[[#Headers],[B1]],Database_Productkaarten[#All],18,FALSE),0)*Baseline!I54),0))</f>
        <v>0</v>
      </c>
      <c r="K157" s="56">
        <f>(IF(Baseline!C54="Nieuwe Situatie",(SUM(Referentie_CO2_Totaal[[#This Row],[A1]:[B1]],Referentie_CO2_Totaal[[#This Row],[C1]:[D2]])*Baseline!R54),0))</f>
        <v>0</v>
      </c>
      <c r="L157" s="56">
        <f>IF(Baseline!C54="Bestaande situatie",IF(_xlfn.IFNA((VLOOKUP(Baseline!Y54,Database_Asfalt_Verwijderset[#All],12,FALSE)*Baseline!I54),0)+_xlfn.IFNA(VLOOKUP(Baseline!Z54,Database_Brandstoffen[#All],12,FALSE)*((Baseline!I54/Baseline!AB54)*Baseline!AA54),0)&gt;0,_xlfn.IFNA((VLOOKUP(Baseline!Y54,Database_Asfalt_Verwijderset[#All],12,FALSE)*Baseline!I54),0)+_xlfn.IFNA(VLOOKUP(Baseline!Z54,Database_Brandstoffen[#All],12,FALSE)*((Baseline!I54/Baseline!AB54)*Baseline!AA54),0),(_xlfn.IFNA(VLOOKUP(Referentie_CO2_Totaal[[#This Row],[Product]]&amp;", "&amp;Referentie_MKI_Totaal[[#Headers],[C1]],Database_Productkaarten[#All],18,FALSE),0)*Baseline!I54)),0)</f>
        <v>0</v>
      </c>
      <c r="M157" s="56">
        <f>IF(Baseline!AD54=0,(IF(Baseline!C54="Bestaande Situatie",(_xlfn.IFNA(VLOOKUP(Referentie_CO2_Totaal[[#This Row],[Product]]&amp;", "&amp;Referentie_MKI_Totaal[[#Headers],[C2]],Database_Productkaarten[#All],18,FALSE),0)*Baseline!I54),0)),(IF(Baseline!C54="Bestaande Situatie",_xlfn.IFNA(VLOOKUP(Baseline!AD54,Database_Transport[#All],12,FALSE)*(Baseline!Q54*Baseline!AC54),0))))</f>
        <v>0</v>
      </c>
      <c r="N157" s="56">
        <f>(IF(Baseline!C54="Bestaande Situatie",(_xlfn.IFNA(VLOOKUP(Referentie_CO2_Totaal[[#This Row],[Product]]&amp;", "&amp;Referentie_CO2_Totaal[[#Headers],[C3]],Database_Productkaarten[#All],18,FALSE),0)*Baseline!I54),0))</f>
        <v>0</v>
      </c>
      <c r="O157" s="56">
        <f>(IF(Baseline!C54="Bestaande Situatie",(_xlfn.IFNA(VLOOKUP(Referentie_CO2_Totaal[[#This Row],[Product]]&amp;", "&amp;Referentie_CO2_Totaal[[#Headers],[C4]],Database_Productkaarten[#All],18,FALSE),0)*Baseline!I54),0))</f>
        <v>0</v>
      </c>
      <c r="P157" s="56">
        <f>(IF(Baseline!C54="Bestaande Situatie",(_xlfn.IFNA(VLOOKUP(Referentie_CO2_Totaal[[#This Row],[Product]]&amp;", "&amp;Referentie_CO2_Totaal[[#Headers],[D1]],Database_Productkaarten[#All],18,FALSE),0)*Baseline!I54),0))</f>
        <v>0</v>
      </c>
      <c r="Q157" s="57">
        <f>(IF(Baseline!C54="Bestaande Situatie",_xlfn.IFNA(VLOOKUP(Referentie_CO2_Totaal[[#This Row],[Product]]&amp;", "&amp;Referentie_CO2_Totaal[[#Headers],[D2]],Database_Productkaarten[#All],18,FALSE),0)*Baseline!I54,0))</f>
        <v>0</v>
      </c>
      <c r="R157" s="57">
        <f>(IF(Baseline!C54="Bestaande Situatie",(_xlfn.IFNA(VLOOKUP(Referentie_CO2_Totaal[[#This Row],[Product]]&amp;", "&amp;Referentie_CO2_Totaal[[#Headers],[D]],Database_Productkaarten[#All],18,FALSE),0)*Baseline!I54),0))</f>
        <v>0</v>
      </c>
      <c r="S157" s="56">
        <f>SUM(Referentie_CO2_Totaal[[#This Row],[A1-A3]:[C4]])+Referentie_CO2_Totaal[[#This Row],[D]]</f>
        <v>0</v>
      </c>
    </row>
    <row r="158" spans="2:19">
      <c r="B158" s="208">
        <f>Baseline!B55</f>
        <v>0</v>
      </c>
      <c r="C158" s="1">
        <f>Baseline!F55</f>
        <v>0</v>
      </c>
      <c r="D158" s="56">
        <f>(IF(Baseline!C55="Nieuwe Situatie",(_xlfn.IFNA(VLOOKUP(Referentie_CO2_Totaal[[#This Row],[Product]]&amp;", "&amp;Referentie_CO2_Totaal[[#Headers],[A1]],Database_Productkaarten[#All],18,FALSE),0)*Baseline!I55),0))</f>
        <v>0</v>
      </c>
      <c r="E158" s="56">
        <f>(IF(Baseline!C55="Nieuwe Situatie",(_xlfn.IFNA(VLOOKUP(Referentie_CO2_Totaal[[#This Row],[Product]]&amp;", "&amp;Referentie_CO2_Totaal[[#Headers],[A2]],Database_Productkaarten[#All],18,FALSE),0)*Baseline!I55),0))</f>
        <v>0</v>
      </c>
      <c r="F158" s="56">
        <f>(IF(Baseline!C55="Nieuwe Situatie",(_xlfn.IFNA(VLOOKUP(Referentie_CO2_Totaal[[#This Row],[Product]]&amp;", "&amp;Referentie_CO2_Totaal[[#Headers],[A3]],Database_Productkaarten[#All],18,FALSE),0)*Baseline!I55),0))</f>
        <v>0</v>
      </c>
      <c r="G158" s="56">
        <f>(IF(Baseline!C55="Nieuwe Situatie",(_xlfn.IFNA(VLOOKUP(Referentie_CO2_Totaal[[#This Row],[Product]]&amp;", "&amp;Referentie_CO2_Totaal[[#Headers],[A1-A3]],Database_Productkaarten[#All],18,FALSE),0)*Baseline!I55),0))</f>
        <v>0</v>
      </c>
      <c r="H158" s="56">
        <f>IF(Baseline!T55=0,(IF(Baseline!C55="Nieuwe Situatie",(_xlfn.IFNA(VLOOKUP(Referentie_CO2_Totaal[[#This Row],[Product]]&amp;", "&amp;Referentie_CO2_Totaal[[#Headers],[A4]],Database_Productkaarten[#All],18,FALSE),0)*Baseline!I55),0)),IF(Baseline!C55="Nieuwe Situatie",_xlfn.IFNA(VLOOKUP(Baseline!T55,Database_Transport[#All],12,FALSE)*(Baseline!Q55*Baseline!S55),Baseline_Backlog!H158),0))</f>
        <v>0</v>
      </c>
      <c r="I158" s="56">
        <f>IF(Baseline!C55="Nieuwe situatie",IF(_xlfn.IFNA((VLOOKUP(Baseline!U55,Database_Asfalt_Aanlegset[#All],12,FALSE)*Baseline!I55),0)+_xlfn.IFNA(VLOOKUP(Baseline!V55,Database_Brandstoffen[#All],12,FALSE)*((Baseline!I55/Baseline!X55)*Baseline!W55),0)&gt;0,_xlfn.IFNA((VLOOKUP(Baseline!U55,Database_Asfalt_Aanlegset[#All],12,FALSE)*Baseline!I55),0)+_xlfn.IFNA(VLOOKUP(Baseline!V55,Database_Brandstoffen[#All],12,FALSE)*((Baseline!I55/Baseline!X55)*Baseline!W55),0),(_xlfn.IFNA(VLOOKUP(Referentie_CO2_Totaal[[#This Row],[Product]]&amp;", "&amp;Referentie_MKI_Totaal[[#Headers],[A5]],Database_Productkaarten[#All],18,FALSE),0)*Baseline!I55)),0)</f>
        <v>0</v>
      </c>
      <c r="J158" s="56">
        <f>(IF(Baseline!C55="Nieuwe Situatie",(_xlfn.IFNA(VLOOKUP(Referentie_CO2_Totaal[[#This Row],[Product]]&amp;", "&amp;Referentie_CO2_Totaal[[#Headers],[B1]],Database_Productkaarten[#All],18,FALSE),0)*Baseline!I55),0))</f>
        <v>0</v>
      </c>
      <c r="K158" s="56">
        <f>(IF(Baseline!C55="Nieuwe Situatie",(SUM(Referentie_CO2_Totaal[[#This Row],[A1]:[B1]],Referentie_CO2_Totaal[[#This Row],[C1]:[D2]])*Baseline!R55),0))</f>
        <v>0</v>
      </c>
      <c r="L158" s="56">
        <f>IF(Baseline!C55="Bestaande situatie",IF(_xlfn.IFNA((VLOOKUP(Baseline!Y55,Database_Asfalt_Verwijderset[#All],12,FALSE)*Baseline!I55),0)+_xlfn.IFNA(VLOOKUP(Baseline!Z55,Database_Brandstoffen[#All],12,FALSE)*((Baseline!I55/Baseline!AB55)*Baseline!AA55),0)&gt;0,_xlfn.IFNA((VLOOKUP(Baseline!Y55,Database_Asfalt_Verwijderset[#All],12,FALSE)*Baseline!I55),0)+_xlfn.IFNA(VLOOKUP(Baseline!Z55,Database_Brandstoffen[#All],12,FALSE)*((Baseline!I55/Baseline!AB55)*Baseline!AA55),0),(_xlfn.IFNA(VLOOKUP(Referentie_CO2_Totaal[[#This Row],[Product]]&amp;", "&amp;Referentie_MKI_Totaal[[#Headers],[C1]],Database_Productkaarten[#All],18,FALSE),0)*Baseline!I55)),0)</f>
        <v>0</v>
      </c>
      <c r="M158" s="56">
        <f>IF(Baseline!AD55=0,(IF(Baseline!C55="Bestaande Situatie",(_xlfn.IFNA(VLOOKUP(Referentie_CO2_Totaal[[#This Row],[Product]]&amp;", "&amp;Referentie_MKI_Totaal[[#Headers],[C2]],Database_Productkaarten[#All],18,FALSE),0)*Baseline!I55),0)),(IF(Baseline!C55="Bestaande Situatie",_xlfn.IFNA(VLOOKUP(Baseline!AD55,Database_Transport[#All],12,FALSE)*(Baseline!Q55*Baseline!AC55),0))))</f>
        <v>0</v>
      </c>
      <c r="N158" s="56">
        <f>(IF(Baseline!C55="Bestaande Situatie",(_xlfn.IFNA(VLOOKUP(Referentie_CO2_Totaal[[#This Row],[Product]]&amp;", "&amp;Referentie_CO2_Totaal[[#Headers],[C3]],Database_Productkaarten[#All],18,FALSE),0)*Baseline!I55),0))</f>
        <v>0</v>
      </c>
      <c r="O158" s="56">
        <f>(IF(Baseline!C55="Bestaande Situatie",(_xlfn.IFNA(VLOOKUP(Referentie_CO2_Totaal[[#This Row],[Product]]&amp;", "&amp;Referentie_CO2_Totaal[[#Headers],[C4]],Database_Productkaarten[#All],18,FALSE),0)*Baseline!I55),0))</f>
        <v>0</v>
      </c>
      <c r="P158" s="56">
        <f>(IF(Baseline!C55="Bestaande Situatie",(_xlfn.IFNA(VLOOKUP(Referentie_CO2_Totaal[[#This Row],[Product]]&amp;", "&amp;Referentie_CO2_Totaal[[#Headers],[D1]],Database_Productkaarten[#All],18,FALSE),0)*Baseline!I55),0))</f>
        <v>0</v>
      </c>
      <c r="Q158" s="57">
        <f>(IF(Baseline!C55="Bestaande Situatie",_xlfn.IFNA(VLOOKUP(Referentie_CO2_Totaal[[#This Row],[Product]]&amp;", "&amp;Referentie_CO2_Totaal[[#Headers],[D2]],Database_Productkaarten[#All],18,FALSE),0)*Baseline!I55,0))</f>
        <v>0</v>
      </c>
      <c r="R158" s="57">
        <f>(IF(Baseline!C55="Bestaande Situatie",(_xlfn.IFNA(VLOOKUP(Referentie_CO2_Totaal[[#This Row],[Product]]&amp;", "&amp;Referentie_CO2_Totaal[[#Headers],[D]],Database_Productkaarten[#All],18,FALSE),0)*Baseline!I55),0))</f>
        <v>0</v>
      </c>
      <c r="S158" s="56">
        <f>SUM(Referentie_CO2_Totaal[[#This Row],[A1-A3]:[C4]])+Referentie_CO2_Totaal[[#This Row],[D]]</f>
        <v>0</v>
      </c>
    </row>
    <row r="159" spans="2:19">
      <c r="B159" s="208">
        <f>Baseline!B56</f>
        <v>0</v>
      </c>
      <c r="C159" s="1">
        <f>Baseline!F56</f>
        <v>0</v>
      </c>
      <c r="D159" s="56">
        <f>(IF(Baseline!C56="Nieuwe Situatie",(_xlfn.IFNA(VLOOKUP(Referentie_CO2_Totaal[[#This Row],[Product]]&amp;", "&amp;Referentie_CO2_Totaal[[#Headers],[A1]],Database_Productkaarten[#All],18,FALSE),0)*Baseline!I56),0))</f>
        <v>0</v>
      </c>
      <c r="E159" s="56">
        <f>(IF(Baseline!C56="Nieuwe Situatie",(_xlfn.IFNA(VLOOKUP(Referentie_CO2_Totaal[[#This Row],[Product]]&amp;", "&amp;Referentie_CO2_Totaal[[#Headers],[A2]],Database_Productkaarten[#All],18,FALSE),0)*Baseline!I56),0))</f>
        <v>0</v>
      </c>
      <c r="F159" s="56">
        <f>(IF(Baseline!C56="Nieuwe Situatie",(_xlfn.IFNA(VLOOKUP(Referentie_CO2_Totaal[[#This Row],[Product]]&amp;", "&amp;Referentie_CO2_Totaal[[#Headers],[A3]],Database_Productkaarten[#All],18,FALSE),0)*Baseline!I56),0))</f>
        <v>0</v>
      </c>
      <c r="G159" s="56">
        <f>(IF(Baseline!C56="Nieuwe Situatie",(_xlfn.IFNA(VLOOKUP(Referentie_CO2_Totaal[[#This Row],[Product]]&amp;", "&amp;Referentie_CO2_Totaal[[#Headers],[A1-A3]],Database_Productkaarten[#All],18,FALSE),0)*Baseline!I56),0))</f>
        <v>0</v>
      </c>
      <c r="H159" s="56">
        <f>IF(Baseline!T56=0,(IF(Baseline!C56="Nieuwe Situatie",(_xlfn.IFNA(VLOOKUP(Referentie_CO2_Totaal[[#This Row],[Product]]&amp;", "&amp;Referentie_CO2_Totaal[[#Headers],[A4]],Database_Productkaarten[#All],18,FALSE),0)*Baseline!I56),0)),IF(Baseline!C56="Nieuwe Situatie",_xlfn.IFNA(VLOOKUP(Baseline!T56,Database_Transport[#All],12,FALSE)*(Baseline!Q56*Baseline!S56),Baseline_Backlog!H159),0))</f>
        <v>0</v>
      </c>
      <c r="I159" s="56">
        <f>IF(Baseline!C56="Nieuwe situatie",IF(_xlfn.IFNA((VLOOKUP(Baseline!U56,Database_Asfalt_Aanlegset[#All],12,FALSE)*Baseline!I56),0)+_xlfn.IFNA(VLOOKUP(Baseline!V56,Database_Brandstoffen[#All],12,FALSE)*((Baseline!I56/Baseline!X56)*Baseline!W56),0)&gt;0,_xlfn.IFNA((VLOOKUP(Baseline!U56,Database_Asfalt_Aanlegset[#All],12,FALSE)*Baseline!I56),0)+_xlfn.IFNA(VLOOKUP(Baseline!V56,Database_Brandstoffen[#All],12,FALSE)*((Baseline!I56/Baseline!X56)*Baseline!W56),0),(_xlfn.IFNA(VLOOKUP(Referentie_CO2_Totaal[[#This Row],[Product]]&amp;", "&amp;Referentie_MKI_Totaal[[#Headers],[A5]],Database_Productkaarten[#All],18,FALSE),0)*Baseline!I56)),0)</f>
        <v>0</v>
      </c>
      <c r="J159" s="56">
        <f>(IF(Baseline!C56="Nieuwe Situatie",(_xlfn.IFNA(VLOOKUP(Referentie_CO2_Totaal[[#This Row],[Product]]&amp;", "&amp;Referentie_CO2_Totaal[[#Headers],[B1]],Database_Productkaarten[#All],18,FALSE),0)*Baseline!I56),0))</f>
        <v>0</v>
      </c>
      <c r="K159" s="56">
        <f>(IF(Baseline!C56="Nieuwe Situatie",(SUM(Referentie_CO2_Totaal[[#This Row],[A1]:[B1]],Referentie_CO2_Totaal[[#This Row],[C1]:[D2]])*Baseline!R56),0))</f>
        <v>0</v>
      </c>
      <c r="L159" s="56">
        <f>IF(Baseline!C56="Bestaande situatie",IF(_xlfn.IFNA((VLOOKUP(Baseline!Y56,Database_Asfalt_Verwijderset[#All],12,FALSE)*Baseline!I56),0)+_xlfn.IFNA(VLOOKUP(Baseline!Z56,Database_Brandstoffen[#All],12,FALSE)*((Baseline!I56/Baseline!AB56)*Baseline!AA56),0)&gt;0,_xlfn.IFNA((VLOOKUP(Baseline!Y56,Database_Asfalt_Verwijderset[#All],12,FALSE)*Baseline!I56),0)+_xlfn.IFNA(VLOOKUP(Baseline!Z56,Database_Brandstoffen[#All],12,FALSE)*((Baseline!I56/Baseline!AB56)*Baseline!AA56),0),(_xlfn.IFNA(VLOOKUP(Referentie_CO2_Totaal[[#This Row],[Product]]&amp;", "&amp;Referentie_MKI_Totaal[[#Headers],[C1]],Database_Productkaarten[#All],18,FALSE),0)*Baseline!I56)),0)</f>
        <v>0</v>
      </c>
      <c r="M159" s="56">
        <f>IF(Baseline!AD56=0,(IF(Baseline!C56="Bestaande Situatie",(_xlfn.IFNA(VLOOKUP(Referentie_CO2_Totaal[[#This Row],[Product]]&amp;", "&amp;Referentie_MKI_Totaal[[#Headers],[C2]],Database_Productkaarten[#All],18,FALSE),0)*Baseline!I56),0)),(IF(Baseline!C56="Bestaande Situatie",_xlfn.IFNA(VLOOKUP(Baseline!AD56,Database_Transport[#All],12,FALSE)*(Baseline!Q56*Baseline!AC56),0))))</f>
        <v>0</v>
      </c>
      <c r="N159" s="56">
        <f>(IF(Baseline!C56="Bestaande Situatie",(_xlfn.IFNA(VLOOKUP(Referentie_CO2_Totaal[[#This Row],[Product]]&amp;", "&amp;Referentie_CO2_Totaal[[#Headers],[C3]],Database_Productkaarten[#All],18,FALSE),0)*Baseline!I56),0))</f>
        <v>0</v>
      </c>
      <c r="O159" s="56">
        <f>(IF(Baseline!C56="Bestaande Situatie",(_xlfn.IFNA(VLOOKUP(Referentie_CO2_Totaal[[#This Row],[Product]]&amp;", "&amp;Referentie_CO2_Totaal[[#Headers],[C4]],Database_Productkaarten[#All],18,FALSE),0)*Baseline!I56),0))</f>
        <v>0</v>
      </c>
      <c r="P159" s="56">
        <f>(IF(Baseline!C56="Bestaande Situatie",(_xlfn.IFNA(VLOOKUP(Referentie_CO2_Totaal[[#This Row],[Product]]&amp;", "&amp;Referentie_CO2_Totaal[[#Headers],[D1]],Database_Productkaarten[#All],18,FALSE),0)*Baseline!I56),0))</f>
        <v>0</v>
      </c>
      <c r="Q159" s="57">
        <f>(IF(Baseline!C56="Bestaande Situatie",_xlfn.IFNA(VLOOKUP(Referentie_CO2_Totaal[[#This Row],[Product]]&amp;", "&amp;Referentie_CO2_Totaal[[#Headers],[D2]],Database_Productkaarten[#All],18,FALSE),0)*Baseline!I56,0))</f>
        <v>0</v>
      </c>
      <c r="R159" s="57">
        <f>(IF(Baseline!C56="Bestaande Situatie",(_xlfn.IFNA(VLOOKUP(Referentie_CO2_Totaal[[#This Row],[Product]]&amp;", "&amp;Referentie_CO2_Totaal[[#Headers],[D]],Database_Productkaarten[#All],18,FALSE),0)*Baseline!I56),0))</f>
        <v>0</v>
      </c>
      <c r="S159" s="56">
        <f>SUM(Referentie_CO2_Totaal[[#This Row],[A1-A3]:[C4]])+Referentie_CO2_Totaal[[#This Row],[D]]</f>
        <v>0</v>
      </c>
    </row>
    <row r="160" spans="2:19">
      <c r="B160" s="208">
        <f>Baseline!B57</f>
        <v>0</v>
      </c>
      <c r="C160" s="1">
        <f>Baseline!F57</f>
        <v>0</v>
      </c>
      <c r="D160" s="56">
        <f>(IF(Baseline!C57="Nieuwe Situatie",(_xlfn.IFNA(VLOOKUP(Referentie_CO2_Totaal[[#This Row],[Product]]&amp;", "&amp;Referentie_CO2_Totaal[[#Headers],[A1]],Database_Productkaarten[#All],18,FALSE),0)*Baseline!I57),0))</f>
        <v>0</v>
      </c>
      <c r="E160" s="56">
        <f>(IF(Baseline!C57="Nieuwe Situatie",(_xlfn.IFNA(VLOOKUP(Referentie_CO2_Totaal[[#This Row],[Product]]&amp;", "&amp;Referentie_CO2_Totaal[[#Headers],[A2]],Database_Productkaarten[#All],18,FALSE),0)*Baseline!I57),0))</f>
        <v>0</v>
      </c>
      <c r="F160" s="56">
        <f>(IF(Baseline!C57="Nieuwe Situatie",(_xlfn.IFNA(VLOOKUP(Referentie_CO2_Totaal[[#This Row],[Product]]&amp;", "&amp;Referentie_CO2_Totaal[[#Headers],[A3]],Database_Productkaarten[#All],18,FALSE),0)*Baseline!I57),0))</f>
        <v>0</v>
      </c>
      <c r="G160" s="56">
        <f>(IF(Baseline!C57="Nieuwe Situatie",(_xlfn.IFNA(VLOOKUP(Referentie_CO2_Totaal[[#This Row],[Product]]&amp;", "&amp;Referentie_CO2_Totaal[[#Headers],[A1-A3]],Database_Productkaarten[#All],18,FALSE),0)*Baseline!I57),0))</f>
        <v>0</v>
      </c>
      <c r="H160" s="56">
        <f>IF(Baseline!T57=0,(IF(Baseline!C57="Nieuwe Situatie",(_xlfn.IFNA(VLOOKUP(Referentie_CO2_Totaal[[#This Row],[Product]]&amp;", "&amp;Referentie_CO2_Totaal[[#Headers],[A4]],Database_Productkaarten[#All],18,FALSE),0)*Baseline!I57),0)),IF(Baseline!C57="Nieuwe Situatie",_xlfn.IFNA(VLOOKUP(Baseline!T57,Database_Transport[#All],12,FALSE)*(Baseline!Q57*Baseline!S57),Baseline_Backlog!H160),0))</f>
        <v>0</v>
      </c>
      <c r="I160" s="56">
        <f>IF(Baseline!C57="Nieuwe situatie",IF(_xlfn.IFNA((VLOOKUP(Baseline!U57,Database_Asfalt_Aanlegset[#All],12,FALSE)*Baseline!I57),0)+_xlfn.IFNA(VLOOKUP(Baseline!V57,Database_Brandstoffen[#All],12,FALSE)*((Baseline!I57/Baseline!X57)*Baseline!W57),0)&gt;0,_xlfn.IFNA((VLOOKUP(Baseline!U57,Database_Asfalt_Aanlegset[#All],12,FALSE)*Baseline!I57),0)+_xlfn.IFNA(VLOOKUP(Baseline!V57,Database_Brandstoffen[#All],12,FALSE)*((Baseline!I57/Baseline!X57)*Baseline!W57),0),(_xlfn.IFNA(VLOOKUP(Referentie_CO2_Totaal[[#This Row],[Product]]&amp;", "&amp;Referentie_MKI_Totaal[[#Headers],[A5]],Database_Productkaarten[#All],18,FALSE),0)*Baseline!I57)),0)</f>
        <v>0</v>
      </c>
      <c r="J160" s="56">
        <f>(IF(Baseline!C57="Nieuwe Situatie",(_xlfn.IFNA(VLOOKUP(Referentie_CO2_Totaal[[#This Row],[Product]]&amp;", "&amp;Referentie_CO2_Totaal[[#Headers],[B1]],Database_Productkaarten[#All],18,FALSE),0)*Baseline!I57),0))</f>
        <v>0</v>
      </c>
      <c r="K160" s="56">
        <f>(IF(Baseline!C57="Nieuwe Situatie",(SUM(Referentie_CO2_Totaal[[#This Row],[A1]:[B1]],Referentie_CO2_Totaal[[#This Row],[C1]:[D2]])*Baseline!R57),0))</f>
        <v>0</v>
      </c>
      <c r="L160" s="56">
        <f>IF(Baseline!C57="Bestaande situatie",IF(_xlfn.IFNA((VLOOKUP(Baseline!Y57,Database_Asfalt_Verwijderset[#All],12,FALSE)*Baseline!I57),0)+_xlfn.IFNA(VLOOKUP(Baseline!Z57,Database_Brandstoffen[#All],12,FALSE)*((Baseline!I57/Baseline!AB57)*Baseline!AA57),0)&gt;0,_xlfn.IFNA((VLOOKUP(Baseline!Y57,Database_Asfalt_Verwijderset[#All],12,FALSE)*Baseline!I57),0)+_xlfn.IFNA(VLOOKUP(Baseline!Z57,Database_Brandstoffen[#All],12,FALSE)*((Baseline!I57/Baseline!AB57)*Baseline!AA57),0),(_xlfn.IFNA(VLOOKUP(Referentie_CO2_Totaal[[#This Row],[Product]]&amp;", "&amp;Referentie_MKI_Totaal[[#Headers],[C1]],Database_Productkaarten[#All],18,FALSE),0)*Baseline!I57)),0)</f>
        <v>0</v>
      </c>
      <c r="M160" s="56">
        <f>IF(Baseline!AD57=0,(IF(Baseline!C57="Bestaande Situatie",(_xlfn.IFNA(VLOOKUP(Referentie_CO2_Totaal[[#This Row],[Product]]&amp;", "&amp;Referentie_MKI_Totaal[[#Headers],[C2]],Database_Productkaarten[#All],18,FALSE),0)*Baseline!I57),0)),(IF(Baseline!C57="Bestaande Situatie",_xlfn.IFNA(VLOOKUP(Baseline!AD57,Database_Transport[#All],12,FALSE)*(Baseline!Q57*Baseline!AC57),0))))</f>
        <v>0</v>
      </c>
      <c r="N160" s="56">
        <f>(IF(Baseline!C57="Bestaande Situatie",(_xlfn.IFNA(VLOOKUP(Referentie_CO2_Totaal[[#This Row],[Product]]&amp;", "&amp;Referentie_CO2_Totaal[[#Headers],[C3]],Database_Productkaarten[#All],18,FALSE),0)*Baseline!I57),0))</f>
        <v>0</v>
      </c>
      <c r="O160" s="56">
        <f>(IF(Baseline!C57="Bestaande Situatie",(_xlfn.IFNA(VLOOKUP(Referentie_CO2_Totaal[[#This Row],[Product]]&amp;", "&amp;Referentie_CO2_Totaal[[#Headers],[C4]],Database_Productkaarten[#All],18,FALSE),0)*Baseline!I57),0))</f>
        <v>0</v>
      </c>
      <c r="P160" s="56">
        <f>(IF(Baseline!C57="Bestaande Situatie",(_xlfn.IFNA(VLOOKUP(Referentie_CO2_Totaal[[#This Row],[Product]]&amp;", "&amp;Referentie_CO2_Totaal[[#Headers],[D1]],Database_Productkaarten[#All],18,FALSE),0)*Baseline!I57),0))</f>
        <v>0</v>
      </c>
      <c r="Q160" s="57">
        <f>(IF(Baseline!C57="Bestaande Situatie",_xlfn.IFNA(VLOOKUP(Referentie_CO2_Totaal[[#This Row],[Product]]&amp;", "&amp;Referentie_CO2_Totaal[[#Headers],[D2]],Database_Productkaarten[#All],18,FALSE),0)*Baseline!I57,0))</f>
        <v>0</v>
      </c>
      <c r="R160" s="57">
        <f>(IF(Baseline!C57="Bestaande Situatie",(_xlfn.IFNA(VLOOKUP(Referentie_CO2_Totaal[[#This Row],[Product]]&amp;", "&amp;Referentie_CO2_Totaal[[#Headers],[D]],Database_Productkaarten[#All],18,FALSE),0)*Baseline!I57),0))</f>
        <v>0</v>
      </c>
      <c r="S160" s="56">
        <f>SUM(Referentie_CO2_Totaal[[#This Row],[A1-A3]:[C4]])+Referentie_CO2_Totaal[[#This Row],[D]]</f>
        <v>0</v>
      </c>
    </row>
    <row r="161" spans="2:19">
      <c r="B161" s="208">
        <f>Baseline!B58</f>
        <v>0</v>
      </c>
      <c r="C161" s="1">
        <f>Baseline!F58</f>
        <v>0</v>
      </c>
      <c r="D161" s="56">
        <f>(IF(Baseline!C58="Nieuwe Situatie",(_xlfn.IFNA(VLOOKUP(Referentie_CO2_Totaal[[#This Row],[Product]]&amp;", "&amp;Referentie_CO2_Totaal[[#Headers],[A1]],Database_Productkaarten[#All],18,FALSE),0)*Baseline!I58),0))</f>
        <v>0</v>
      </c>
      <c r="E161" s="56">
        <f>(IF(Baseline!C58="Nieuwe Situatie",(_xlfn.IFNA(VLOOKUP(Referentie_CO2_Totaal[[#This Row],[Product]]&amp;", "&amp;Referentie_CO2_Totaal[[#Headers],[A2]],Database_Productkaarten[#All],18,FALSE),0)*Baseline!I58),0))</f>
        <v>0</v>
      </c>
      <c r="F161" s="56">
        <f>(IF(Baseline!C58="Nieuwe Situatie",(_xlfn.IFNA(VLOOKUP(Referentie_CO2_Totaal[[#This Row],[Product]]&amp;", "&amp;Referentie_CO2_Totaal[[#Headers],[A3]],Database_Productkaarten[#All],18,FALSE),0)*Baseline!I58),0))</f>
        <v>0</v>
      </c>
      <c r="G161" s="56">
        <f>(IF(Baseline!C58="Nieuwe Situatie",(_xlfn.IFNA(VLOOKUP(Referentie_CO2_Totaal[[#This Row],[Product]]&amp;", "&amp;Referentie_CO2_Totaal[[#Headers],[A1-A3]],Database_Productkaarten[#All],18,FALSE),0)*Baseline!I58),0))</f>
        <v>0</v>
      </c>
      <c r="H161" s="56">
        <f>IF(Baseline!T58=0,(IF(Baseline!C58="Nieuwe Situatie",(_xlfn.IFNA(VLOOKUP(Referentie_CO2_Totaal[[#This Row],[Product]]&amp;", "&amp;Referentie_CO2_Totaal[[#Headers],[A4]],Database_Productkaarten[#All],18,FALSE),0)*Baseline!I58),0)),IF(Baseline!C58="Nieuwe Situatie",_xlfn.IFNA(VLOOKUP(Baseline!T58,Database_Transport[#All],12,FALSE)*(Baseline!Q58*Baseline!S58),Baseline_Backlog!H161),0))</f>
        <v>0</v>
      </c>
      <c r="I161" s="56">
        <f>IF(Baseline!C58="Nieuwe situatie",IF(_xlfn.IFNA((VLOOKUP(Baseline!U58,Database_Asfalt_Aanlegset[#All],12,FALSE)*Baseline!I58),0)+_xlfn.IFNA(VLOOKUP(Baseline!V58,Database_Brandstoffen[#All],12,FALSE)*((Baseline!I58/Baseline!X58)*Baseline!W58),0)&gt;0,_xlfn.IFNA((VLOOKUP(Baseline!U58,Database_Asfalt_Aanlegset[#All],12,FALSE)*Baseline!I58),0)+_xlfn.IFNA(VLOOKUP(Baseline!V58,Database_Brandstoffen[#All],12,FALSE)*((Baseline!I58/Baseline!X58)*Baseline!W58),0),(_xlfn.IFNA(VLOOKUP(Referentie_CO2_Totaal[[#This Row],[Product]]&amp;", "&amp;Referentie_MKI_Totaal[[#Headers],[A5]],Database_Productkaarten[#All],18,FALSE),0)*Baseline!I58)),0)</f>
        <v>0</v>
      </c>
      <c r="J161" s="56">
        <f>(IF(Baseline!C58="Nieuwe Situatie",(_xlfn.IFNA(VLOOKUP(Referentie_CO2_Totaal[[#This Row],[Product]]&amp;", "&amp;Referentie_CO2_Totaal[[#Headers],[B1]],Database_Productkaarten[#All],18,FALSE),0)*Baseline!I58),0))</f>
        <v>0</v>
      </c>
      <c r="K161" s="56">
        <f>(IF(Baseline!C58="Nieuwe Situatie",(SUM(Referentie_CO2_Totaal[[#This Row],[A1]:[B1]],Referentie_CO2_Totaal[[#This Row],[C1]:[D2]])*Baseline!R58),0))</f>
        <v>0</v>
      </c>
      <c r="L161" s="56">
        <f>IF(Baseline!C58="Bestaande situatie",IF(_xlfn.IFNA((VLOOKUP(Baseline!Y58,Database_Asfalt_Verwijderset[#All],12,FALSE)*Baseline!I58),0)+_xlfn.IFNA(VLOOKUP(Baseline!Z58,Database_Brandstoffen[#All],12,FALSE)*((Baseline!I58/Baseline!AB58)*Baseline!AA58),0)&gt;0,_xlfn.IFNA((VLOOKUP(Baseline!Y58,Database_Asfalt_Verwijderset[#All],12,FALSE)*Baseline!I58),0)+_xlfn.IFNA(VLOOKUP(Baseline!Z58,Database_Brandstoffen[#All],12,FALSE)*((Baseline!I58/Baseline!AB58)*Baseline!AA58),0),(_xlfn.IFNA(VLOOKUP(Referentie_CO2_Totaal[[#This Row],[Product]]&amp;", "&amp;Referentie_MKI_Totaal[[#Headers],[C1]],Database_Productkaarten[#All],18,FALSE),0)*Baseline!I58)),0)</f>
        <v>0</v>
      </c>
      <c r="M161" s="56">
        <f>IF(Baseline!AD58=0,(IF(Baseline!C58="Bestaande Situatie",(_xlfn.IFNA(VLOOKUP(Referentie_CO2_Totaal[[#This Row],[Product]]&amp;", "&amp;Referentie_MKI_Totaal[[#Headers],[C2]],Database_Productkaarten[#All],18,FALSE),0)*Baseline!I58),0)),(IF(Baseline!C58="Bestaande Situatie",_xlfn.IFNA(VLOOKUP(Baseline!AD58,Database_Transport[#All],12,FALSE)*(Baseline!Q58*Baseline!AC58),0))))</f>
        <v>0</v>
      </c>
      <c r="N161" s="56">
        <f>(IF(Baseline!C58="Bestaande Situatie",(_xlfn.IFNA(VLOOKUP(Referentie_CO2_Totaal[[#This Row],[Product]]&amp;", "&amp;Referentie_CO2_Totaal[[#Headers],[C3]],Database_Productkaarten[#All],18,FALSE),0)*Baseline!I58),0))</f>
        <v>0</v>
      </c>
      <c r="O161" s="56">
        <f>(IF(Baseline!C58="Bestaande Situatie",(_xlfn.IFNA(VLOOKUP(Referentie_CO2_Totaal[[#This Row],[Product]]&amp;", "&amp;Referentie_CO2_Totaal[[#Headers],[C4]],Database_Productkaarten[#All],18,FALSE),0)*Baseline!I58),0))</f>
        <v>0</v>
      </c>
      <c r="P161" s="56">
        <f>(IF(Baseline!C58="Bestaande Situatie",(_xlfn.IFNA(VLOOKUP(Referentie_CO2_Totaal[[#This Row],[Product]]&amp;", "&amp;Referentie_CO2_Totaal[[#Headers],[D1]],Database_Productkaarten[#All],18,FALSE),0)*Baseline!I58),0))</f>
        <v>0</v>
      </c>
      <c r="Q161" s="57">
        <f>(IF(Baseline!C58="Bestaande Situatie",_xlfn.IFNA(VLOOKUP(Referentie_CO2_Totaal[[#This Row],[Product]]&amp;", "&amp;Referentie_CO2_Totaal[[#Headers],[D2]],Database_Productkaarten[#All],18,FALSE),0)*Baseline!I58,0))</f>
        <v>0</v>
      </c>
      <c r="R161" s="57">
        <f>(IF(Baseline!C58="Bestaande Situatie",(_xlfn.IFNA(VLOOKUP(Referentie_CO2_Totaal[[#This Row],[Product]]&amp;", "&amp;Referentie_CO2_Totaal[[#Headers],[D]],Database_Productkaarten[#All],18,FALSE),0)*Baseline!I58),0))</f>
        <v>0</v>
      </c>
      <c r="S161" s="56">
        <f>SUM(Referentie_CO2_Totaal[[#This Row],[A1-A3]:[C4]])+Referentie_CO2_Totaal[[#This Row],[D]]</f>
        <v>0</v>
      </c>
    </row>
    <row r="162" spans="2:19">
      <c r="B162" s="208">
        <f>Baseline!B59</f>
        <v>0</v>
      </c>
      <c r="C162" s="1">
        <f>Baseline!F59</f>
        <v>0</v>
      </c>
      <c r="D162" s="56">
        <f>(IF(Baseline!C59="Nieuwe Situatie",(_xlfn.IFNA(VLOOKUP(Referentie_CO2_Totaal[[#This Row],[Product]]&amp;", "&amp;Referentie_CO2_Totaal[[#Headers],[A1]],Database_Productkaarten[#All],18,FALSE),0)*Baseline!I59),0))</f>
        <v>0</v>
      </c>
      <c r="E162" s="56">
        <f>(IF(Baseline!C59="Nieuwe Situatie",(_xlfn.IFNA(VLOOKUP(Referentie_CO2_Totaal[[#This Row],[Product]]&amp;", "&amp;Referentie_CO2_Totaal[[#Headers],[A2]],Database_Productkaarten[#All],18,FALSE),0)*Baseline!I59),0))</f>
        <v>0</v>
      </c>
      <c r="F162" s="56">
        <f>(IF(Baseline!C59="Nieuwe Situatie",(_xlfn.IFNA(VLOOKUP(Referentie_CO2_Totaal[[#This Row],[Product]]&amp;", "&amp;Referentie_CO2_Totaal[[#Headers],[A3]],Database_Productkaarten[#All],18,FALSE),0)*Baseline!I59),0))</f>
        <v>0</v>
      </c>
      <c r="G162" s="56">
        <f>(IF(Baseline!C59="Nieuwe Situatie",(_xlfn.IFNA(VLOOKUP(Referentie_CO2_Totaal[[#This Row],[Product]]&amp;", "&amp;Referentie_CO2_Totaal[[#Headers],[A1-A3]],Database_Productkaarten[#All],18,FALSE),0)*Baseline!I59),0))</f>
        <v>0</v>
      </c>
      <c r="H162" s="56">
        <f>IF(Baseline!T59=0,(IF(Baseline!C59="Nieuwe Situatie",(_xlfn.IFNA(VLOOKUP(Referentie_CO2_Totaal[[#This Row],[Product]]&amp;", "&amp;Referentie_CO2_Totaal[[#Headers],[A4]],Database_Productkaarten[#All],18,FALSE),0)*Baseline!I59),0)),IF(Baseline!C59="Nieuwe Situatie",_xlfn.IFNA(VLOOKUP(Baseline!T59,Database_Transport[#All],12,FALSE)*(Baseline!Q59*Baseline!S59),Baseline_Backlog!H162),0))</f>
        <v>0</v>
      </c>
      <c r="I162" s="56">
        <f>IF(Baseline!C59="Nieuwe situatie",IF(_xlfn.IFNA((VLOOKUP(Baseline!U59,Database_Asfalt_Aanlegset[#All],12,FALSE)*Baseline!I59),0)+_xlfn.IFNA(VLOOKUP(Baseline!V59,Database_Brandstoffen[#All],12,FALSE)*((Baseline!I59/Baseline!X59)*Baseline!W59),0)&gt;0,_xlfn.IFNA((VLOOKUP(Baseline!U59,Database_Asfalt_Aanlegset[#All],12,FALSE)*Baseline!I59),0)+_xlfn.IFNA(VLOOKUP(Baseline!V59,Database_Brandstoffen[#All],12,FALSE)*((Baseline!I59/Baseline!X59)*Baseline!W59),0),(_xlfn.IFNA(VLOOKUP(Referentie_CO2_Totaal[[#This Row],[Product]]&amp;", "&amp;Referentie_MKI_Totaal[[#Headers],[A5]],Database_Productkaarten[#All],18,FALSE),0)*Baseline!I59)),0)</f>
        <v>0</v>
      </c>
      <c r="J162" s="56">
        <f>(IF(Baseline!C59="Nieuwe Situatie",(_xlfn.IFNA(VLOOKUP(Referentie_CO2_Totaal[[#This Row],[Product]]&amp;", "&amp;Referentie_CO2_Totaal[[#Headers],[B1]],Database_Productkaarten[#All],18,FALSE),0)*Baseline!I59),0))</f>
        <v>0</v>
      </c>
      <c r="K162" s="56">
        <f>(IF(Baseline!C59="Nieuwe Situatie",(SUM(Referentie_CO2_Totaal[[#This Row],[A1]:[B1]],Referentie_CO2_Totaal[[#This Row],[C1]:[D2]])*Baseline!R59),0))</f>
        <v>0</v>
      </c>
      <c r="L162" s="56">
        <f>IF(Baseline!C59="Bestaande situatie",IF(_xlfn.IFNA((VLOOKUP(Baseline!Y59,Database_Asfalt_Verwijderset[#All],12,FALSE)*Baseline!I59),0)+_xlfn.IFNA(VLOOKUP(Baseline!Z59,Database_Brandstoffen[#All],12,FALSE)*((Baseline!I59/Baseline!AB59)*Baseline!AA59),0)&gt;0,_xlfn.IFNA((VLOOKUP(Baseline!Y59,Database_Asfalt_Verwijderset[#All],12,FALSE)*Baseline!I59),0)+_xlfn.IFNA(VLOOKUP(Baseline!Z59,Database_Brandstoffen[#All],12,FALSE)*((Baseline!I59/Baseline!AB59)*Baseline!AA59),0),(_xlfn.IFNA(VLOOKUP(Referentie_CO2_Totaal[[#This Row],[Product]]&amp;", "&amp;Referentie_MKI_Totaal[[#Headers],[C1]],Database_Productkaarten[#All],18,FALSE),0)*Baseline!I59)),0)</f>
        <v>0</v>
      </c>
      <c r="M162" s="56">
        <f>IF(Baseline!AD59=0,(IF(Baseline!C59="Bestaande Situatie",(_xlfn.IFNA(VLOOKUP(Referentie_CO2_Totaal[[#This Row],[Product]]&amp;", "&amp;Referentie_MKI_Totaal[[#Headers],[C2]],Database_Productkaarten[#All],18,FALSE),0)*Baseline!I59),0)),(IF(Baseline!C59="Bestaande Situatie",_xlfn.IFNA(VLOOKUP(Baseline!AD59,Database_Transport[#All],12,FALSE)*(Baseline!Q59*Baseline!AC59),0))))</f>
        <v>0</v>
      </c>
      <c r="N162" s="56">
        <f>(IF(Baseline!C59="Bestaande Situatie",(_xlfn.IFNA(VLOOKUP(Referentie_CO2_Totaal[[#This Row],[Product]]&amp;", "&amp;Referentie_CO2_Totaal[[#Headers],[C3]],Database_Productkaarten[#All],18,FALSE),0)*Baseline!I59),0))</f>
        <v>0</v>
      </c>
      <c r="O162" s="56">
        <f>(IF(Baseline!C59="Bestaande Situatie",(_xlfn.IFNA(VLOOKUP(Referentie_CO2_Totaal[[#This Row],[Product]]&amp;", "&amp;Referentie_CO2_Totaal[[#Headers],[C4]],Database_Productkaarten[#All],18,FALSE),0)*Baseline!I59),0))</f>
        <v>0</v>
      </c>
      <c r="P162" s="56">
        <f>(IF(Baseline!C59="Bestaande Situatie",(_xlfn.IFNA(VLOOKUP(Referentie_CO2_Totaal[[#This Row],[Product]]&amp;", "&amp;Referentie_CO2_Totaal[[#Headers],[D1]],Database_Productkaarten[#All],18,FALSE),0)*Baseline!I59),0))</f>
        <v>0</v>
      </c>
      <c r="Q162" s="57">
        <f>(IF(Baseline!C59="Bestaande Situatie",_xlfn.IFNA(VLOOKUP(Referentie_CO2_Totaal[[#This Row],[Product]]&amp;", "&amp;Referentie_CO2_Totaal[[#Headers],[D2]],Database_Productkaarten[#All],18,FALSE),0)*Baseline!I59,0))</f>
        <v>0</v>
      </c>
      <c r="R162" s="57">
        <f>(IF(Baseline!C59="Bestaande Situatie",(_xlfn.IFNA(VLOOKUP(Referentie_CO2_Totaal[[#This Row],[Product]]&amp;", "&amp;Referentie_CO2_Totaal[[#Headers],[D]],Database_Productkaarten[#All],18,FALSE),0)*Baseline!I59),0))</f>
        <v>0</v>
      </c>
      <c r="S162" s="56">
        <f>SUM(Referentie_CO2_Totaal[[#This Row],[A1-A3]:[C4]])+Referentie_CO2_Totaal[[#This Row],[D]]</f>
        <v>0</v>
      </c>
    </row>
    <row r="163" spans="2:19">
      <c r="B163" s="208">
        <f>Baseline!B60</f>
        <v>0</v>
      </c>
      <c r="C163" s="1">
        <f>Baseline!F60</f>
        <v>0</v>
      </c>
      <c r="D163" s="56">
        <f>(IF(Baseline!C60="Nieuwe Situatie",(_xlfn.IFNA(VLOOKUP(Referentie_CO2_Totaal[[#This Row],[Product]]&amp;", "&amp;Referentie_CO2_Totaal[[#Headers],[A1]],Database_Productkaarten[#All],18,FALSE),0)*Baseline!I60),0))</f>
        <v>0</v>
      </c>
      <c r="E163" s="56">
        <f>(IF(Baseline!C60="Nieuwe Situatie",(_xlfn.IFNA(VLOOKUP(Referentie_CO2_Totaal[[#This Row],[Product]]&amp;", "&amp;Referentie_CO2_Totaal[[#Headers],[A2]],Database_Productkaarten[#All],18,FALSE),0)*Baseline!I60),0))</f>
        <v>0</v>
      </c>
      <c r="F163" s="56">
        <f>(IF(Baseline!C60="Nieuwe Situatie",(_xlfn.IFNA(VLOOKUP(Referentie_CO2_Totaal[[#This Row],[Product]]&amp;", "&amp;Referentie_CO2_Totaal[[#Headers],[A3]],Database_Productkaarten[#All],18,FALSE),0)*Baseline!I60),0))</f>
        <v>0</v>
      </c>
      <c r="G163" s="56">
        <f>(IF(Baseline!C60="Nieuwe Situatie",(_xlfn.IFNA(VLOOKUP(Referentie_CO2_Totaal[[#This Row],[Product]]&amp;", "&amp;Referentie_CO2_Totaal[[#Headers],[A1-A3]],Database_Productkaarten[#All],18,FALSE),0)*Baseline!I60),0))</f>
        <v>0</v>
      </c>
      <c r="H163" s="56">
        <f>IF(Baseline!T60=0,(IF(Baseline!C60="Nieuwe Situatie",(_xlfn.IFNA(VLOOKUP(Referentie_CO2_Totaal[[#This Row],[Product]]&amp;", "&amp;Referentie_CO2_Totaal[[#Headers],[A4]],Database_Productkaarten[#All],18,FALSE),0)*Baseline!I60),0)),IF(Baseline!C60="Nieuwe Situatie",_xlfn.IFNA(VLOOKUP(Baseline!T60,Database_Transport[#All],12,FALSE)*(Baseline!Q60*Baseline!S60),Baseline_Backlog!H163),0))</f>
        <v>0</v>
      </c>
      <c r="I163" s="56">
        <f>IF(Baseline!C60="Nieuwe situatie",IF(_xlfn.IFNA((VLOOKUP(Baseline!U60,Database_Asfalt_Aanlegset[#All],12,FALSE)*Baseline!I60),0)+_xlfn.IFNA(VLOOKUP(Baseline!V60,Database_Brandstoffen[#All],12,FALSE)*((Baseline!I60/Baseline!X60)*Baseline!W60),0)&gt;0,_xlfn.IFNA((VLOOKUP(Baseline!U60,Database_Asfalt_Aanlegset[#All],12,FALSE)*Baseline!I60),0)+_xlfn.IFNA(VLOOKUP(Baseline!V60,Database_Brandstoffen[#All],12,FALSE)*((Baseline!I60/Baseline!X60)*Baseline!W60),0),(_xlfn.IFNA(VLOOKUP(Referentie_CO2_Totaal[[#This Row],[Product]]&amp;", "&amp;Referentie_MKI_Totaal[[#Headers],[A5]],Database_Productkaarten[#All],18,FALSE),0)*Baseline!I60)),0)</f>
        <v>0</v>
      </c>
      <c r="J163" s="56">
        <f>(IF(Baseline!C60="Nieuwe Situatie",(_xlfn.IFNA(VLOOKUP(Referentie_CO2_Totaal[[#This Row],[Product]]&amp;", "&amp;Referentie_CO2_Totaal[[#Headers],[B1]],Database_Productkaarten[#All],18,FALSE),0)*Baseline!I60),0))</f>
        <v>0</v>
      </c>
      <c r="K163" s="56">
        <f>(IF(Baseline!C60="Nieuwe Situatie",(SUM(Referentie_CO2_Totaal[[#This Row],[A1]:[B1]],Referentie_CO2_Totaal[[#This Row],[C1]:[D2]])*Baseline!R60),0))</f>
        <v>0</v>
      </c>
      <c r="L163" s="56">
        <f>IF(Baseline!C60="Bestaande situatie",IF(_xlfn.IFNA((VLOOKUP(Baseline!Y60,Database_Asfalt_Verwijderset[#All],12,FALSE)*Baseline!I60),0)+_xlfn.IFNA(VLOOKUP(Baseline!Z60,Database_Brandstoffen[#All],12,FALSE)*((Baseline!I60/Baseline!AB60)*Baseline!AA60),0)&gt;0,_xlfn.IFNA((VLOOKUP(Baseline!Y60,Database_Asfalt_Verwijderset[#All],12,FALSE)*Baseline!I60),0)+_xlfn.IFNA(VLOOKUP(Baseline!Z60,Database_Brandstoffen[#All],12,FALSE)*((Baseline!I60/Baseline!AB60)*Baseline!AA60),0),(_xlfn.IFNA(VLOOKUP(Referentie_CO2_Totaal[[#This Row],[Product]]&amp;", "&amp;Referentie_MKI_Totaal[[#Headers],[C1]],Database_Productkaarten[#All],18,FALSE),0)*Baseline!I60)),0)</f>
        <v>0</v>
      </c>
      <c r="M163" s="56">
        <f>IF(Baseline!AD60=0,(IF(Baseline!C60="Bestaande Situatie",(_xlfn.IFNA(VLOOKUP(Referentie_CO2_Totaal[[#This Row],[Product]]&amp;", "&amp;Referentie_MKI_Totaal[[#Headers],[C2]],Database_Productkaarten[#All],18,FALSE),0)*Baseline!I60),0)),(IF(Baseline!C60="Bestaande Situatie",_xlfn.IFNA(VLOOKUP(Baseline!AD60,Database_Transport[#All],12,FALSE)*(Baseline!Q60*Baseline!AC60),0))))</f>
        <v>0</v>
      </c>
      <c r="N163" s="56">
        <f>(IF(Baseline!C60="Bestaande Situatie",(_xlfn.IFNA(VLOOKUP(Referentie_CO2_Totaal[[#This Row],[Product]]&amp;", "&amp;Referentie_CO2_Totaal[[#Headers],[C3]],Database_Productkaarten[#All],18,FALSE),0)*Baseline!I60),0))</f>
        <v>0</v>
      </c>
      <c r="O163" s="56">
        <f>(IF(Baseline!C60="Bestaande Situatie",(_xlfn.IFNA(VLOOKUP(Referentie_CO2_Totaal[[#This Row],[Product]]&amp;", "&amp;Referentie_CO2_Totaal[[#Headers],[C4]],Database_Productkaarten[#All],18,FALSE),0)*Baseline!I60),0))</f>
        <v>0</v>
      </c>
      <c r="P163" s="56">
        <f>(IF(Baseline!C60="Bestaande Situatie",(_xlfn.IFNA(VLOOKUP(Referentie_CO2_Totaal[[#This Row],[Product]]&amp;", "&amp;Referentie_CO2_Totaal[[#Headers],[D1]],Database_Productkaarten[#All],18,FALSE),0)*Baseline!I60),0))</f>
        <v>0</v>
      </c>
      <c r="Q163" s="57">
        <f>(IF(Baseline!C60="Bestaande Situatie",_xlfn.IFNA(VLOOKUP(Referentie_CO2_Totaal[[#This Row],[Product]]&amp;", "&amp;Referentie_CO2_Totaal[[#Headers],[D2]],Database_Productkaarten[#All],18,FALSE),0)*Baseline!I60,0))</f>
        <v>0</v>
      </c>
      <c r="R163" s="57">
        <f>(IF(Baseline!C60="Bestaande Situatie",(_xlfn.IFNA(VLOOKUP(Referentie_CO2_Totaal[[#This Row],[Product]]&amp;", "&amp;Referentie_CO2_Totaal[[#Headers],[D]],Database_Productkaarten[#All],18,FALSE),0)*Baseline!I60),0))</f>
        <v>0</v>
      </c>
      <c r="S163" s="56">
        <f>SUM(Referentie_CO2_Totaal[[#This Row],[A1-A3]:[C4]])+Referentie_CO2_Totaal[[#This Row],[D]]</f>
        <v>0</v>
      </c>
    </row>
    <row r="164" spans="2:19">
      <c r="B164" s="208">
        <f>Baseline!B61</f>
        <v>0</v>
      </c>
      <c r="C164" s="1">
        <f>Baseline!F61</f>
        <v>0</v>
      </c>
      <c r="D164" s="56">
        <f>(IF(Baseline!C61="Nieuwe Situatie",(_xlfn.IFNA(VLOOKUP(Referentie_CO2_Totaal[[#This Row],[Product]]&amp;", "&amp;Referentie_CO2_Totaal[[#Headers],[A1]],Database_Productkaarten[#All],18,FALSE),0)*Baseline!I61),0))</f>
        <v>0</v>
      </c>
      <c r="E164" s="56">
        <f>(IF(Baseline!C61="Nieuwe Situatie",(_xlfn.IFNA(VLOOKUP(Referentie_CO2_Totaal[[#This Row],[Product]]&amp;", "&amp;Referentie_CO2_Totaal[[#Headers],[A2]],Database_Productkaarten[#All],18,FALSE),0)*Baseline!I61),0))</f>
        <v>0</v>
      </c>
      <c r="F164" s="56">
        <f>(IF(Baseline!C61="Nieuwe Situatie",(_xlfn.IFNA(VLOOKUP(Referentie_CO2_Totaal[[#This Row],[Product]]&amp;", "&amp;Referentie_CO2_Totaal[[#Headers],[A3]],Database_Productkaarten[#All],18,FALSE),0)*Baseline!I61),0))</f>
        <v>0</v>
      </c>
      <c r="G164" s="56">
        <f>(IF(Baseline!C61="Nieuwe Situatie",(_xlfn.IFNA(VLOOKUP(Referentie_CO2_Totaal[[#This Row],[Product]]&amp;", "&amp;Referentie_CO2_Totaal[[#Headers],[A1-A3]],Database_Productkaarten[#All],18,FALSE),0)*Baseline!I61),0))</f>
        <v>0</v>
      </c>
      <c r="H164" s="56">
        <f>IF(Baseline!T61=0,(IF(Baseline!C61="Nieuwe Situatie",(_xlfn.IFNA(VLOOKUP(Referentie_CO2_Totaal[[#This Row],[Product]]&amp;", "&amp;Referentie_CO2_Totaal[[#Headers],[A4]],Database_Productkaarten[#All],18,FALSE),0)*Baseline!I61),0)),IF(Baseline!C61="Nieuwe Situatie",_xlfn.IFNA(VLOOKUP(Baseline!T61,Database_Transport[#All],12,FALSE)*(Baseline!Q61*Baseline!S61),Baseline_Backlog!H164),0))</f>
        <v>0</v>
      </c>
      <c r="I164" s="56">
        <f>IF(Baseline!C61="Nieuwe situatie",IF(_xlfn.IFNA((VLOOKUP(Baseline!U61,Database_Asfalt_Aanlegset[#All],12,FALSE)*Baseline!I61),0)+_xlfn.IFNA(VLOOKUP(Baseline!V61,Database_Brandstoffen[#All],12,FALSE)*((Baseline!I61/Baseline!X61)*Baseline!W61),0)&gt;0,_xlfn.IFNA((VLOOKUP(Baseline!U61,Database_Asfalt_Aanlegset[#All],12,FALSE)*Baseline!I61),0)+_xlfn.IFNA(VLOOKUP(Baseline!V61,Database_Brandstoffen[#All],12,FALSE)*((Baseline!I61/Baseline!X61)*Baseline!W61),0),(_xlfn.IFNA(VLOOKUP(Referentie_CO2_Totaal[[#This Row],[Product]]&amp;", "&amp;Referentie_MKI_Totaal[[#Headers],[A5]],Database_Productkaarten[#All],18,FALSE),0)*Baseline!I61)),0)</f>
        <v>0</v>
      </c>
      <c r="J164" s="56">
        <f>(IF(Baseline!C61="Nieuwe Situatie",(_xlfn.IFNA(VLOOKUP(Referentie_CO2_Totaal[[#This Row],[Product]]&amp;", "&amp;Referentie_CO2_Totaal[[#Headers],[B1]],Database_Productkaarten[#All],18,FALSE),0)*Baseline!I61),0))</f>
        <v>0</v>
      </c>
      <c r="K164" s="56">
        <f>(IF(Baseline!C61="Nieuwe Situatie",(SUM(Referentie_CO2_Totaal[[#This Row],[A1]:[B1]],Referentie_CO2_Totaal[[#This Row],[C1]:[D2]])*Baseline!R61),0))</f>
        <v>0</v>
      </c>
      <c r="L164" s="56">
        <f>IF(Baseline!C61="Bestaande situatie",IF(_xlfn.IFNA((VLOOKUP(Baseline!Y61,Database_Asfalt_Verwijderset[#All],12,FALSE)*Baseline!I61),0)+_xlfn.IFNA(VLOOKUP(Baseline!Z61,Database_Brandstoffen[#All],12,FALSE)*((Baseline!I61/Baseline!AB61)*Baseline!AA61),0)&gt;0,_xlfn.IFNA((VLOOKUP(Baseline!Y61,Database_Asfalt_Verwijderset[#All],12,FALSE)*Baseline!I61),0)+_xlfn.IFNA(VLOOKUP(Baseline!Z61,Database_Brandstoffen[#All],12,FALSE)*((Baseline!I61/Baseline!AB61)*Baseline!AA61),0),(_xlfn.IFNA(VLOOKUP(Referentie_CO2_Totaal[[#This Row],[Product]]&amp;", "&amp;Referentie_MKI_Totaal[[#Headers],[C1]],Database_Productkaarten[#All],18,FALSE),0)*Baseline!I61)),0)</f>
        <v>0</v>
      </c>
      <c r="M164" s="56">
        <f>IF(Baseline!AD61=0,(IF(Baseline!C61="Bestaande Situatie",(_xlfn.IFNA(VLOOKUP(Referentie_CO2_Totaal[[#This Row],[Product]]&amp;", "&amp;Referentie_MKI_Totaal[[#Headers],[C2]],Database_Productkaarten[#All],18,FALSE),0)*Baseline!I61),0)),(IF(Baseline!C61="Bestaande Situatie",_xlfn.IFNA(VLOOKUP(Baseline!AD61,Database_Transport[#All],12,FALSE)*(Baseline!Q61*Baseline!AC61),0))))</f>
        <v>0</v>
      </c>
      <c r="N164" s="56">
        <f>(IF(Baseline!C61="Bestaande Situatie",(_xlfn.IFNA(VLOOKUP(Referentie_CO2_Totaal[[#This Row],[Product]]&amp;", "&amp;Referentie_CO2_Totaal[[#Headers],[C3]],Database_Productkaarten[#All],18,FALSE),0)*Baseline!I61),0))</f>
        <v>0</v>
      </c>
      <c r="O164" s="56">
        <f>(IF(Baseline!C61="Bestaande Situatie",(_xlfn.IFNA(VLOOKUP(Referentie_CO2_Totaal[[#This Row],[Product]]&amp;", "&amp;Referentie_CO2_Totaal[[#Headers],[C4]],Database_Productkaarten[#All],18,FALSE),0)*Baseline!I61),0))</f>
        <v>0</v>
      </c>
      <c r="P164" s="56">
        <f>(IF(Baseline!C61="Bestaande Situatie",(_xlfn.IFNA(VLOOKUP(Referentie_CO2_Totaal[[#This Row],[Product]]&amp;", "&amp;Referentie_CO2_Totaal[[#Headers],[D1]],Database_Productkaarten[#All],18,FALSE),0)*Baseline!I61),0))</f>
        <v>0</v>
      </c>
      <c r="Q164" s="57">
        <f>(IF(Baseline!C61="Bestaande Situatie",_xlfn.IFNA(VLOOKUP(Referentie_CO2_Totaal[[#This Row],[Product]]&amp;", "&amp;Referentie_CO2_Totaal[[#Headers],[D2]],Database_Productkaarten[#All],18,FALSE),0)*Baseline!I61,0))</f>
        <v>0</v>
      </c>
      <c r="R164" s="57">
        <f>(IF(Baseline!C61="Bestaande Situatie",(_xlfn.IFNA(VLOOKUP(Referentie_CO2_Totaal[[#This Row],[Product]]&amp;", "&amp;Referentie_CO2_Totaal[[#Headers],[D]],Database_Productkaarten[#All],18,FALSE),0)*Baseline!I61),0))</f>
        <v>0</v>
      </c>
      <c r="S164" s="56">
        <f>SUM(Referentie_CO2_Totaal[[#This Row],[A1-A3]:[C4]])+Referentie_CO2_Totaal[[#This Row],[D]]</f>
        <v>0</v>
      </c>
    </row>
    <row r="165" spans="2:19">
      <c r="B165" s="208">
        <f>Baseline!B62</f>
        <v>0</v>
      </c>
      <c r="C165" s="1">
        <f>Baseline!F62</f>
        <v>0</v>
      </c>
      <c r="D165" s="56">
        <f>(IF(Baseline!C62="Nieuwe Situatie",(_xlfn.IFNA(VLOOKUP(Referentie_CO2_Totaal[[#This Row],[Product]]&amp;", "&amp;Referentie_CO2_Totaal[[#Headers],[A1]],Database_Productkaarten[#All],18,FALSE),0)*Baseline!I62),0))</f>
        <v>0</v>
      </c>
      <c r="E165" s="56">
        <f>(IF(Baseline!C62="Nieuwe Situatie",(_xlfn.IFNA(VLOOKUP(Referentie_CO2_Totaal[[#This Row],[Product]]&amp;", "&amp;Referentie_CO2_Totaal[[#Headers],[A2]],Database_Productkaarten[#All],18,FALSE),0)*Baseline!I62),0))</f>
        <v>0</v>
      </c>
      <c r="F165" s="56">
        <f>(IF(Baseline!C62="Nieuwe Situatie",(_xlfn.IFNA(VLOOKUP(Referentie_CO2_Totaal[[#This Row],[Product]]&amp;", "&amp;Referentie_CO2_Totaal[[#Headers],[A3]],Database_Productkaarten[#All],18,FALSE),0)*Baseline!I62),0))</f>
        <v>0</v>
      </c>
      <c r="G165" s="56">
        <f>(IF(Baseline!C62="Nieuwe Situatie",(_xlfn.IFNA(VLOOKUP(Referentie_CO2_Totaal[[#This Row],[Product]]&amp;", "&amp;Referentie_CO2_Totaal[[#Headers],[A1-A3]],Database_Productkaarten[#All],18,FALSE),0)*Baseline!I62),0))</f>
        <v>0</v>
      </c>
      <c r="H165" s="56">
        <f>IF(Baseline!T62=0,(IF(Baseline!C62="Nieuwe Situatie",(_xlfn.IFNA(VLOOKUP(Referentie_CO2_Totaal[[#This Row],[Product]]&amp;", "&amp;Referentie_CO2_Totaal[[#Headers],[A4]],Database_Productkaarten[#All],18,FALSE),0)*Baseline!I62),0)),IF(Baseline!C62="Nieuwe Situatie",_xlfn.IFNA(VLOOKUP(Baseline!T62,Database_Transport[#All],12,FALSE)*(Baseline!Q62*Baseline!S62),Baseline_Backlog!H165),0))</f>
        <v>0</v>
      </c>
      <c r="I165" s="56">
        <f>IF(Baseline!C62="Nieuwe situatie",IF(_xlfn.IFNA((VLOOKUP(Baseline!U62,Database_Asfalt_Aanlegset[#All],12,FALSE)*Baseline!I62),0)+_xlfn.IFNA(VLOOKUP(Baseline!V62,Database_Brandstoffen[#All],12,FALSE)*((Baseline!I62/Baseline!X62)*Baseline!W62),0)&gt;0,_xlfn.IFNA((VLOOKUP(Baseline!U62,Database_Asfalt_Aanlegset[#All],12,FALSE)*Baseline!I62),0)+_xlfn.IFNA(VLOOKUP(Baseline!V62,Database_Brandstoffen[#All],12,FALSE)*((Baseline!I62/Baseline!X62)*Baseline!W62),0),(_xlfn.IFNA(VLOOKUP(Referentie_CO2_Totaal[[#This Row],[Product]]&amp;", "&amp;Referentie_MKI_Totaal[[#Headers],[A5]],Database_Productkaarten[#All],18,FALSE),0)*Baseline!I62)),0)</f>
        <v>0</v>
      </c>
      <c r="J165" s="56">
        <f>(IF(Baseline!C62="Nieuwe Situatie",(_xlfn.IFNA(VLOOKUP(Referentie_CO2_Totaal[[#This Row],[Product]]&amp;", "&amp;Referentie_CO2_Totaal[[#Headers],[B1]],Database_Productkaarten[#All],18,FALSE),0)*Baseline!I62),0))</f>
        <v>0</v>
      </c>
      <c r="K165" s="56">
        <f>(IF(Baseline!C62="Nieuwe Situatie",(SUM(Referentie_CO2_Totaal[[#This Row],[A1]:[B1]],Referentie_CO2_Totaal[[#This Row],[C1]:[D2]])*Baseline!R62),0))</f>
        <v>0</v>
      </c>
      <c r="L165" s="56">
        <f>IF(Baseline!C62="Bestaande situatie",IF(_xlfn.IFNA((VLOOKUP(Baseline!Y62,Database_Asfalt_Verwijderset[#All],12,FALSE)*Baseline!I62),0)+_xlfn.IFNA(VLOOKUP(Baseline!Z62,Database_Brandstoffen[#All],12,FALSE)*((Baseline!I62/Baseline!AB62)*Baseline!AA62),0)&gt;0,_xlfn.IFNA((VLOOKUP(Baseline!Y62,Database_Asfalt_Verwijderset[#All],12,FALSE)*Baseline!I62),0)+_xlfn.IFNA(VLOOKUP(Baseline!Z62,Database_Brandstoffen[#All],12,FALSE)*((Baseline!I62/Baseline!AB62)*Baseline!AA62),0),(_xlfn.IFNA(VLOOKUP(Referentie_CO2_Totaal[[#This Row],[Product]]&amp;", "&amp;Referentie_MKI_Totaal[[#Headers],[C1]],Database_Productkaarten[#All],18,FALSE),0)*Baseline!I62)),0)</f>
        <v>0</v>
      </c>
      <c r="M165" s="56">
        <f>IF(Baseline!AD62=0,(IF(Baseline!C62="Bestaande Situatie",(_xlfn.IFNA(VLOOKUP(Referentie_CO2_Totaal[[#This Row],[Product]]&amp;", "&amp;Referentie_MKI_Totaal[[#Headers],[C2]],Database_Productkaarten[#All],18,FALSE),0)*Baseline!I62),0)),(IF(Baseline!C62="Bestaande Situatie",_xlfn.IFNA(VLOOKUP(Baseline!AD62,Database_Transport[#All],12,FALSE)*(Baseline!Q62*Baseline!AC62),0))))</f>
        <v>0</v>
      </c>
      <c r="N165" s="56">
        <f>(IF(Baseline!C62="Bestaande Situatie",(_xlfn.IFNA(VLOOKUP(Referentie_CO2_Totaal[[#This Row],[Product]]&amp;", "&amp;Referentie_CO2_Totaal[[#Headers],[C3]],Database_Productkaarten[#All],18,FALSE),0)*Baseline!I62),0))</f>
        <v>0</v>
      </c>
      <c r="O165" s="56">
        <f>(IF(Baseline!C62="Bestaande Situatie",(_xlfn.IFNA(VLOOKUP(Referentie_CO2_Totaal[[#This Row],[Product]]&amp;", "&amp;Referentie_CO2_Totaal[[#Headers],[C4]],Database_Productkaarten[#All],18,FALSE),0)*Baseline!I62),0))</f>
        <v>0</v>
      </c>
      <c r="P165" s="56">
        <f>(IF(Baseline!C62="Bestaande Situatie",(_xlfn.IFNA(VLOOKUP(Referentie_CO2_Totaal[[#This Row],[Product]]&amp;", "&amp;Referentie_CO2_Totaal[[#Headers],[D1]],Database_Productkaarten[#All],18,FALSE),0)*Baseline!I62),0))</f>
        <v>0</v>
      </c>
      <c r="Q165" s="57">
        <f>(IF(Baseline!C62="Bestaande Situatie",_xlfn.IFNA(VLOOKUP(Referentie_CO2_Totaal[[#This Row],[Product]]&amp;", "&amp;Referentie_CO2_Totaal[[#Headers],[D2]],Database_Productkaarten[#All],18,FALSE),0)*Baseline!I62,0))</f>
        <v>0</v>
      </c>
      <c r="R165" s="57">
        <f>(IF(Baseline!C62="Bestaande Situatie",(_xlfn.IFNA(VLOOKUP(Referentie_CO2_Totaal[[#This Row],[Product]]&amp;", "&amp;Referentie_CO2_Totaal[[#Headers],[D]],Database_Productkaarten[#All],18,FALSE),0)*Baseline!I62),0))</f>
        <v>0</v>
      </c>
      <c r="S165" s="56">
        <f>SUM(Referentie_CO2_Totaal[[#This Row],[A1-A3]:[C4]])+Referentie_CO2_Totaal[[#This Row],[D]]</f>
        <v>0</v>
      </c>
    </row>
    <row r="166" spans="2:19">
      <c r="B166" s="208">
        <f>Baseline!B63</f>
        <v>0</v>
      </c>
      <c r="C166" s="1">
        <f>Baseline!F63</f>
        <v>0</v>
      </c>
      <c r="D166" s="56">
        <f>(IF(Baseline!C63="Nieuwe Situatie",(_xlfn.IFNA(VLOOKUP(Referentie_CO2_Totaal[[#This Row],[Product]]&amp;", "&amp;Referentie_CO2_Totaal[[#Headers],[A1]],Database_Productkaarten[#All],18,FALSE),0)*Baseline!I63),0))</f>
        <v>0</v>
      </c>
      <c r="E166" s="56">
        <f>(IF(Baseline!C63="Nieuwe Situatie",(_xlfn.IFNA(VLOOKUP(Referentie_CO2_Totaal[[#This Row],[Product]]&amp;", "&amp;Referentie_CO2_Totaal[[#Headers],[A2]],Database_Productkaarten[#All],18,FALSE),0)*Baseline!I63),0))</f>
        <v>0</v>
      </c>
      <c r="F166" s="56">
        <f>(IF(Baseline!C63="Nieuwe Situatie",(_xlfn.IFNA(VLOOKUP(Referentie_CO2_Totaal[[#This Row],[Product]]&amp;", "&amp;Referentie_CO2_Totaal[[#Headers],[A3]],Database_Productkaarten[#All],18,FALSE),0)*Baseline!I63),0))</f>
        <v>0</v>
      </c>
      <c r="G166" s="56">
        <f>(IF(Baseline!C63="Nieuwe Situatie",(_xlfn.IFNA(VLOOKUP(Referentie_CO2_Totaal[[#This Row],[Product]]&amp;", "&amp;Referentie_CO2_Totaal[[#Headers],[A1-A3]],Database_Productkaarten[#All],18,FALSE),0)*Baseline!I63),0))</f>
        <v>0</v>
      </c>
      <c r="H166" s="56">
        <f>IF(Baseline!T63=0,(IF(Baseline!C63="Nieuwe Situatie",(_xlfn.IFNA(VLOOKUP(Referentie_CO2_Totaal[[#This Row],[Product]]&amp;", "&amp;Referentie_CO2_Totaal[[#Headers],[A4]],Database_Productkaarten[#All],18,FALSE),0)*Baseline!I63),0)),IF(Baseline!C63="Nieuwe Situatie",_xlfn.IFNA(VLOOKUP(Baseline!T63,Database_Transport[#All],12,FALSE)*(Baseline!Q63*Baseline!S63),Baseline_Backlog!H166),0))</f>
        <v>0</v>
      </c>
      <c r="I166" s="56">
        <f>IF(Baseline!C63="Nieuwe situatie",IF(_xlfn.IFNA((VLOOKUP(Baseline!U63,Database_Asfalt_Aanlegset[#All],12,FALSE)*Baseline!I63),0)+_xlfn.IFNA(VLOOKUP(Baseline!V63,Database_Brandstoffen[#All],12,FALSE)*((Baseline!I63/Baseline!X63)*Baseline!W63),0)&gt;0,_xlfn.IFNA((VLOOKUP(Baseline!U63,Database_Asfalt_Aanlegset[#All],12,FALSE)*Baseline!I63),0)+_xlfn.IFNA(VLOOKUP(Baseline!V63,Database_Brandstoffen[#All],12,FALSE)*((Baseline!I63/Baseline!X63)*Baseline!W63),0),(_xlfn.IFNA(VLOOKUP(Referentie_CO2_Totaal[[#This Row],[Product]]&amp;", "&amp;Referentie_MKI_Totaal[[#Headers],[A5]],Database_Productkaarten[#All],18,FALSE),0)*Baseline!I63)),0)</f>
        <v>0</v>
      </c>
      <c r="J166" s="56">
        <f>(IF(Baseline!C63="Nieuwe Situatie",(_xlfn.IFNA(VLOOKUP(Referentie_CO2_Totaal[[#This Row],[Product]]&amp;", "&amp;Referentie_CO2_Totaal[[#Headers],[B1]],Database_Productkaarten[#All],18,FALSE),0)*Baseline!I63),0))</f>
        <v>0</v>
      </c>
      <c r="K166" s="56">
        <f>(IF(Baseline!C63="Nieuwe Situatie",(SUM(Referentie_CO2_Totaal[[#This Row],[A1]:[B1]],Referentie_CO2_Totaal[[#This Row],[C1]:[D2]])*Baseline!R63),0))</f>
        <v>0</v>
      </c>
      <c r="L166" s="56">
        <f>IF(Baseline!C63="Bestaande situatie",IF(_xlfn.IFNA((VLOOKUP(Baseline!Y63,Database_Asfalt_Verwijderset[#All],12,FALSE)*Baseline!I63),0)+_xlfn.IFNA(VLOOKUP(Baseline!Z63,Database_Brandstoffen[#All],12,FALSE)*((Baseline!I63/Baseline!AB63)*Baseline!AA63),0)&gt;0,_xlfn.IFNA((VLOOKUP(Baseline!Y63,Database_Asfalt_Verwijderset[#All],12,FALSE)*Baseline!I63),0)+_xlfn.IFNA(VLOOKUP(Baseline!Z63,Database_Brandstoffen[#All],12,FALSE)*((Baseline!I63/Baseline!AB63)*Baseline!AA63),0),(_xlfn.IFNA(VLOOKUP(Referentie_CO2_Totaal[[#This Row],[Product]]&amp;", "&amp;Referentie_MKI_Totaal[[#Headers],[C1]],Database_Productkaarten[#All],18,FALSE),0)*Baseline!I63)),0)</f>
        <v>0</v>
      </c>
      <c r="M166" s="56">
        <f>IF(Baseline!AD63=0,(IF(Baseline!C63="Bestaande Situatie",(_xlfn.IFNA(VLOOKUP(Referentie_CO2_Totaal[[#This Row],[Product]]&amp;", "&amp;Referentie_MKI_Totaal[[#Headers],[C2]],Database_Productkaarten[#All],18,FALSE),0)*Baseline!I63),0)),(IF(Baseline!C63="Bestaande Situatie",_xlfn.IFNA(VLOOKUP(Baseline!AD63,Database_Transport[#All],12,FALSE)*(Baseline!Q63*Baseline!AC63),0))))</f>
        <v>0</v>
      </c>
      <c r="N166" s="56">
        <f>(IF(Baseline!C63="Bestaande Situatie",(_xlfn.IFNA(VLOOKUP(Referentie_CO2_Totaal[[#This Row],[Product]]&amp;", "&amp;Referentie_CO2_Totaal[[#Headers],[C3]],Database_Productkaarten[#All],18,FALSE),0)*Baseline!I63),0))</f>
        <v>0</v>
      </c>
      <c r="O166" s="56">
        <f>(IF(Baseline!C63="Bestaande Situatie",(_xlfn.IFNA(VLOOKUP(Referentie_CO2_Totaal[[#This Row],[Product]]&amp;", "&amp;Referentie_CO2_Totaal[[#Headers],[C4]],Database_Productkaarten[#All],18,FALSE),0)*Baseline!I63),0))</f>
        <v>0</v>
      </c>
      <c r="P166" s="56">
        <f>(IF(Baseline!C63="Bestaande Situatie",(_xlfn.IFNA(VLOOKUP(Referentie_CO2_Totaal[[#This Row],[Product]]&amp;", "&amp;Referentie_CO2_Totaal[[#Headers],[D1]],Database_Productkaarten[#All],18,FALSE),0)*Baseline!I63),0))</f>
        <v>0</v>
      </c>
      <c r="Q166" s="57">
        <f>(IF(Baseline!C63="Bestaande Situatie",_xlfn.IFNA(VLOOKUP(Referentie_CO2_Totaal[[#This Row],[Product]]&amp;", "&amp;Referentie_CO2_Totaal[[#Headers],[D2]],Database_Productkaarten[#All],18,FALSE),0)*Baseline!I63,0))</f>
        <v>0</v>
      </c>
      <c r="R166" s="57">
        <f>(IF(Baseline!C63="Bestaande Situatie",(_xlfn.IFNA(VLOOKUP(Referentie_CO2_Totaal[[#This Row],[Product]]&amp;", "&amp;Referentie_CO2_Totaal[[#Headers],[D]],Database_Productkaarten[#All],18,FALSE),0)*Baseline!I63),0))</f>
        <v>0</v>
      </c>
      <c r="S166" s="56">
        <f>SUM(Referentie_CO2_Totaal[[#This Row],[A1-A3]:[C4]])+Referentie_CO2_Totaal[[#This Row],[D]]</f>
        <v>0</v>
      </c>
    </row>
    <row r="167" spans="2:19">
      <c r="B167" s="208">
        <f>Baseline!B64</f>
        <v>0</v>
      </c>
      <c r="C167" s="1">
        <f>Baseline!F64</f>
        <v>0</v>
      </c>
      <c r="D167" s="56">
        <f>(IF(Baseline!C64="Nieuwe Situatie",(_xlfn.IFNA(VLOOKUP(Referentie_CO2_Totaal[[#This Row],[Product]]&amp;", "&amp;Referentie_CO2_Totaal[[#Headers],[A1]],Database_Productkaarten[#All],18,FALSE),0)*Baseline!I64),0))</f>
        <v>0</v>
      </c>
      <c r="E167" s="56">
        <f>(IF(Baseline!C64="Nieuwe Situatie",(_xlfn.IFNA(VLOOKUP(Referentie_CO2_Totaal[[#This Row],[Product]]&amp;", "&amp;Referentie_CO2_Totaal[[#Headers],[A2]],Database_Productkaarten[#All],18,FALSE),0)*Baseline!I64),0))</f>
        <v>0</v>
      </c>
      <c r="F167" s="56">
        <f>(IF(Baseline!C64="Nieuwe Situatie",(_xlfn.IFNA(VLOOKUP(Referentie_CO2_Totaal[[#This Row],[Product]]&amp;", "&amp;Referentie_CO2_Totaal[[#Headers],[A3]],Database_Productkaarten[#All],18,FALSE),0)*Baseline!I64),0))</f>
        <v>0</v>
      </c>
      <c r="G167" s="56">
        <f>(IF(Baseline!C64="Nieuwe Situatie",(_xlfn.IFNA(VLOOKUP(Referentie_CO2_Totaal[[#This Row],[Product]]&amp;", "&amp;Referentie_CO2_Totaal[[#Headers],[A1-A3]],Database_Productkaarten[#All],18,FALSE),0)*Baseline!I64),0))</f>
        <v>0</v>
      </c>
      <c r="H167" s="56">
        <f>IF(Baseline!T64=0,(IF(Baseline!C64="Nieuwe Situatie",(_xlfn.IFNA(VLOOKUP(Referentie_CO2_Totaal[[#This Row],[Product]]&amp;", "&amp;Referentie_CO2_Totaal[[#Headers],[A4]],Database_Productkaarten[#All],18,FALSE),0)*Baseline!I64),0)),IF(Baseline!C64="Nieuwe Situatie",_xlfn.IFNA(VLOOKUP(Baseline!T64,Database_Transport[#All],12,FALSE)*(Baseline!Q64*Baseline!S64),Baseline_Backlog!H167),0))</f>
        <v>0</v>
      </c>
      <c r="I167" s="56">
        <f>IF(Baseline!C64="Nieuwe situatie",IF(_xlfn.IFNA((VLOOKUP(Baseline!U64,Database_Asfalt_Aanlegset[#All],12,FALSE)*Baseline!I64),0)+_xlfn.IFNA(VLOOKUP(Baseline!V64,Database_Brandstoffen[#All],12,FALSE)*((Baseline!I64/Baseline!X64)*Baseline!W64),0)&gt;0,_xlfn.IFNA((VLOOKUP(Baseline!U64,Database_Asfalt_Aanlegset[#All],12,FALSE)*Baseline!I64),0)+_xlfn.IFNA(VLOOKUP(Baseline!V64,Database_Brandstoffen[#All],12,FALSE)*((Baseline!I64/Baseline!X64)*Baseline!W64),0),(_xlfn.IFNA(VLOOKUP(Referentie_CO2_Totaal[[#This Row],[Product]]&amp;", "&amp;Referentie_MKI_Totaal[[#Headers],[A5]],Database_Productkaarten[#All],18,FALSE),0)*Baseline!I64)),0)</f>
        <v>0</v>
      </c>
      <c r="J167" s="56">
        <f>(IF(Baseline!C64="Nieuwe Situatie",(_xlfn.IFNA(VLOOKUP(Referentie_CO2_Totaal[[#This Row],[Product]]&amp;", "&amp;Referentie_CO2_Totaal[[#Headers],[B1]],Database_Productkaarten[#All],18,FALSE),0)*Baseline!I64),0))</f>
        <v>0</v>
      </c>
      <c r="K167" s="56">
        <f>(IF(Baseline!C64="Nieuwe Situatie",(SUM(Referentie_CO2_Totaal[[#This Row],[A1]:[B1]],Referentie_CO2_Totaal[[#This Row],[C1]:[D2]])*Baseline!R64),0))</f>
        <v>0</v>
      </c>
      <c r="L167" s="56">
        <f>IF(Baseline!C64="Bestaande situatie",IF(_xlfn.IFNA((VLOOKUP(Baseline!Y64,Database_Asfalt_Verwijderset[#All],12,FALSE)*Baseline!I64),0)+_xlfn.IFNA(VLOOKUP(Baseline!Z64,Database_Brandstoffen[#All],12,FALSE)*((Baseline!I64/Baseline!AB64)*Baseline!AA64),0)&gt;0,_xlfn.IFNA((VLOOKUP(Baseline!Y64,Database_Asfalt_Verwijderset[#All],12,FALSE)*Baseline!I64),0)+_xlfn.IFNA(VLOOKUP(Baseline!Z64,Database_Brandstoffen[#All],12,FALSE)*((Baseline!I64/Baseline!AB64)*Baseline!AA64),0),(_xlfn.IFNA(VLOOKUP(Referentie_CO2_Totaal[[#This Row],[Product]]&amp;", "&amp;Referentie_MKI_Totaal[[#Headers],[C1]],Database_Productkaarten[#All],18,FALSE),0)*Baseline!I64)),0)</f>
        <v>0</v>
      </c>
      <c r="M167" s="56">
        <f>IF(Baseline!AD64=0,(IF(Baseline!C64="Bestaande Situatie",(_xlfn.IFNA(VLOOKUP(Referentie_CO2_Totaal[[#This Row],[Product]]&amp;", "&amp;Referentie_MKI_Totaal[[#Headers],[C2]],Database_Productkaarten[#All],18,FALSE),0)*Baseline!I64),0)),(IF(Baseline!C64="Bestaande Situatie",_xlfn.IFNA(VLOOKUP(Baseline!AD64,Database_Transport[#All],12,FALSE)*(Baseline!Q64*Baseline!AC64),0))))</f>
        <v>0</v>
      </c>
      <c r="N167" s="56">
        <f>(IF(Baseline!C64="Bestaande Situatie",(_xlfn.IFNA(VLOOKUP(Referentie_CO2_Totaal[[#This Row],[Product]]&amp;", "&amp;Referentie_CO2_Totaal[[#Headers],[C3]],Database_Productkaarten[#All],18,FALSE),0)*Baseline!I64),0))</f>
        <v>0</v>
      </c>
      <c r="O167" s="56">
        <f>(IF(Baseline!C64="Bestaande Situatie",(_xlfn.IFNA(VLOOKUP(Referentie_CO2_Totaal[[#This Row],[Product]]&amp;", "&amp;Referentie_CO2_Totaal[[#Headers],[C4]],Database_Productkaarten[#All],18,FALSE),0)*Baseline!I64),0))</f>
        <v>0</v>
      </c>
      <c r="P167" s="56">
        <f>(IF(Baseline!C64="Bestaande Situatie",(_xlfn.IFNA(VLOOKUP(Referentie_CO2_Totaal[[#This Row],[Product]]&amp;", "&amp;Referentie_CO2_Totaal[[#Headers],[D1]],Database_Productkaarten[#All],18,FALSE),0)*Baseline!I64),0))</f>
        <v>0</v>
      </c>
      <c r="Q167" s="57">
        <f>(IF(Baseline!C64="Bestaande Situatie",_xlfn.IFNA(VLOOKUP(Referentie_CO2_Totaal[[#This Row],[Product]]&amp;", "&amp;Referentie_CO2_Totaal[[#Headers],[D2]],Database_Productkaarten[#All],18,FALSE),0)*Baseline!I64,0))</f>
        <v>0</v>
      </c>
      <c r="R167" s="57">
        <f>(IF(Baseline!C64="Bestaande Situatie",(_xlfn.IFNA(VLOOKUP(Referentie_CO2_Totaal[[#This Row],[Product]]&amp;", "&amp;Referentie_CO2_Totaal[[#Headers],[D]],Database_Productkaarten[#All],18,FALSE),0)*Baseline!I64),0))</f>
        <v>0</v>
      </c>
      <c r="S167" s="56">
        <f>SUM(Referentie_CO2_Totaal[[#This Row],[A1-A3]:[C4]])+Referentie_CO2_Totaal[[#This Row],[D]]</f>
        <v>0</v>
      </c>
    </row>
    <row r="168" spans="2:19">
      <c r="B168" s="208">
        <f>Baseline!B65</f>
        <v>0</v>
      </c>
      <c r="C168" s="1">
        <f>Baseline!F65</f>
        <v>0</v>
      </c>
      <c r="D168" s="56">
        <f>(IF(Baseline!C65="Nieuwe Situatie",(_xlfn.IFNA(VLOOKUP(Referentie_CO2_Totaal[[#This Row],[Product]]&amp;", "&amp;Referentie_CO2_Totaal[[#Headers],[A1]],Database_Productkaarten[#All],18,FALSE),0)*Baseline!I65),0))</f>
        <v>0</v>
      </c>
      <c r="E168" s="56">
        <f>(IF(Baseline!C65="Nieuwe Situatie",(_xlfn.IFNA(VLOOKUP(Referentie_CO2_Totaal[[#This Row],[Product]]&amp;", "&amp;Referentie_CO2_Totaal[[#Headers],[A2]],Database_Productkaarten[#All],18,FALSE),0)*Baseline!I65),0))</f>
        <v>0</v>
      </c>
      <c r="F168" s="56">
        <f>(IF(Baseline!C65="Nieuwe Situatie",(_xlfn.IFNA(VLOOKUP(Referentie_CO2_Totaal[[#This Row],[Product]]&amp;", "&amp;Referentie_CO2_Totaal[[#Headers],[A3]],Database_Productkaarten[#All],18,FALSE),0)*Baseline!I65),0))</f>
        <v>0</v>
      </c>
      <c r="G168" s="56">
        <f>(IF(Baseline!C65="Nieuwe Situatie",(_xlfn.IFNA(VLOOKUP(Referentie_CO2_Totaal[[#This Row],[Product]]&amp;", "&amp;Referentie_CO2_Totaal[[#Headers],[A1-A3]],Database_Productkaarten[#All],18,FALSE),0)*Baseline!I65),0))</f>
        <v>0</v>
      </c>
      <c r="H168" s="56">
        <f>IF(Baseline!T65=0,(IF(Baseline!C65="Nieuwe Situatie",(_xlfn.IFNA(VLOOKUP(Referentie_CO2_Totaal[[#This Row],[Product]]&amp;", "&amp;Referentie_CO2_Totaal[[#Headers],[A4]],Database_Productkaarten[#All],18,FALSE),0)*Baseline!I65),0)),IF(Baseline!C65="Nieuwe Situatie",_xlfn.IFNA(VLOOKUP(Baseline!T65,Database_Transport[#All],12,FALSE)*(Baseline!Q65*Baseline!S65),Baseline_Backlog!H168),0))</f>
        <v>0</v>
      </c>
      <c r="I168" s="56">
        <f>IF(Baseline!C65="Nieuwe situatie",IF(_xlfn.IFNA((VLOOKUP(Baseline!U65,Database_Asfalt_Aanlegset[#All],12,FALSE)*Baseline!I65),0)+_xlfn.IFNA(VLOOKUP(Baseline!V65,Database_Brandstoffen[#All],12,FALSE)*((Baseline!I65/Baseline!X65)*Baseline!W65),0)&gt;0,_xlfn.IFNA((VLOOKUP(Baseline!U65,Database_Asfalt_Aanlegset[#All],12,FALSE)*Baseline!I65),0)+_xlfn.IFNA(VLOOKUP(Baseline!V65,Database_Brandstoffen[#All],12,FALSE)*((Baseline!I65/Baseline!X65)*Baseline!W65),0),(_xlfn.IFNA(VLOOKUP(Referentie_CO2_Totaal[[#This Row],[Product]]&amp;", "&amp;Referentie_MKI_Totaal[[#Headers],[A5]],Database_Productkaarten[#All],18,FALSE),0)*Baseline!I65)),0)</f>
        <v>0</v>
      </c>
      <c r="J168" s="56">
        <f>(IF(Baseline!C65="Nieuwe Situatie",(_xlfn.IFNA(VLOOKUP(Referentie_CO2_Totaal[[#This Row],[Product]]&amp;", "&amp;Referentie_CO2_Totaal[[#Headers],[B1]],Database_Productkaarten[#All],18,FALSE),0)*Baseline!I65),0))</f>
        <v>0</v>
      </c>
      <c r="K168" s="56">
        <f>(IF(Baseline!C65="Nieuwe Situatie",(SUM(Referentie_CO2_Totaal[[#This Row],[A1]:[B1]],Referentie_CO2_Totaal[[#This Row],[C1]:[D2]])*Baseline!R65),0))</f>
        <v>0</v>
      </c>
      <c r="L168" s="56">
        <f>IF(Baseline!C65="Bestaande situatie",IF(_xlfn.IFNA((VLOOKUP(Baseline!Y65,Database_Asfalt_Verwijderset[#All],12,FALSE)*Baseline!I65),0)+_xlfn.IFNA(VLOOKUP(Baseline!Z65,Database_Brandstoffen[#All],12,FALSE)*((Baseline!I65/Baseline!AB65)*Baseline!AA65),0)&gt;0,_xlfn.IFNA((VLOOKUP(Baseline!Y65,Database_Asfalt_Verwijderset[#All],12,FALSE)*Baseline!I65),0)+_xlfn.IFNA(VLOOKUP(Baseline!Z65,Database_Brandstoffen[#All],12,FALSE)*((Baseline!I65/Baseline!AB65)*Baseline!AA65),0),(_xlfn.IFNA(VLOOKUP(Referentie_CO2_Totaal[[#This Row],[Product]]&amp;", "&amp;Referentie_MKI_Totaal[[#Headers],[C1]],Database_Productkaarten[#All],18,FALSE),0)*Baseline!I65)),0)</f>
        <v>0</v>
      </c>
      <c r="M168" s="56">
        <f>IF(Baseline!AD65=0,(IF(Baseline!C65="Bestaande Situatie",(_xlfn.IFNA(VLOOKUP(Referentie_CO2_Totaal[[#This Row],[Product]]&amp;", "&amp;Referentie_MKI_Totaal[[#Headers],[C2]],Database_Productkaarten[#All],18,FALSE),0)*Baseline!I65),0)),(IF(Baseline!C65="Bestaande Situatie",_xlfn.IFNA(VLOOKUP(Baseline!AD65,Database_Transport[#All],12,FALSE)*(Baseline!Q65*Baseline!AC65),0))))</f>
        <v>0</v>
      </c>
      <c r="N168" s="56">
        <f>(IF(Baseline!C65="Bestaande Situatie",(_xlfn.IFNA(VLOOKUP(Referentie_CO2_Totaal[[#This Row],[Product]]&amp;", "&amp;Referentie_CO2_Totaal[[#Headers],[C3]],Database_Productkaarten[#All],18,FALSE),0)*Baseline!I65),0))</f>
        <v>0</v>
      </c>
      <c r="O168" s="56">
        <f>(IF(Baseline!C65="Bestaande Situatie",(_xlfn.IFNA(VLOOKUP(Referentie_CO2_Totaal[[#This Row],[Product]]&amp;", "&amp;Referentie_CO2_Totaal[[#Headers],[C4]],Database_Productkaarten[#All],18,FALSE),0)*Baseline!I65),0))</f>
        <v>0</v>
      </c>
      <c r="P168" s="56">
        <f>(IF(Baseline!C65="Bestaande Situatie",(_xlfn.IFNA(VLOOKUP(Referentie_CO2_Totaal[[#This Row],[Product]]&amp;", "&amp;Referentie_CO2_Totaal[[#Headers],[D1]],Database_Productkaarten[#All],18,FALSE),0)*Baseline!I65),0))</f>
        <v>0</v>
      </c>
      <c r="Q168" s="57">
        <f>(IF(Baseline!C65="Bestaande Situatie",_xlfn.IFNA(VLOOKUP(Referentie_CO2_Totaal[[#This Row],[Product]]&amp;", "&amp;Referentie_CO2_Totaal[[#Headers],[D2]],Database_Productkaarten[#All],18,FALSE),0)*Baseline!I65,0))</f>
        <v>0</v>
      </c>
      <c r="R168" s="57">
        <f>(IF(Baseline!C65="Bestaande Situatie",(_xlfn.IFNA(VLOOKUP(Referentie_CO2_Totaal[[#This Row],[Product]]&amp;", "&amp;Referentie_CO2_Totaal[[#Headers],[D]],Database_Productkaarten[#All],18,FALSE),0)*Baseline!I65),0))</f>
        <v>0</v>
      </c>
      <c r="S168" s="56">
        <f>SUM(Referentie_CO2_Totaal[[#This Row],[A1-A3]:[C4]])+Referentie_CO2_Totaal[[#This Row],[D]]</f>
        <v>0</v>
      </c>
    </row>
    <row r="169" spans="2:19">
      <c r="B169" s="208">
        <f>Baseline!B66</f>
        <v>0</v>
      </c>
      <c r="C169" s="1">
        <f>Baseline!F66</f>
        <v>0</v>
      </c>
      <c r="D169" s="56">
        <f>(IF(Baseline!C66="Nieuwe Situatie",(_xlfn.IFNA(VLOOKUP(Referentie_CO2_Totaal[[#This Row],[Product]]&amp;", "&amp;Referentie_CO2_Totaal[[#Headers],[A1]],Database_Productkaarten[#All],18,FALSE),0)*Baseline!I66),0))</f>
        <v>0</v>
      </c>
      <c r="E169" s="56">
        <f>(IF(Baseline!C66="Nieuwe Situatie",(_xlfn.IFNA(VLOOKUP(Referentie_CO2_Totaal[[#This Row],[Product]]&amp;", "&amp;Referentie_CO2_Totaal[[#Headers],[A2]],Database_Productkaarten[#All],18,FALSE),0)*Baseline!I66),0))</f>
        <v>0</v>
      </c>
      <c r="F169" s="56">
        <f>(IF(Baseline!C66="Nieuwe Situatie",(_xlfn.IFNA(VLOOKUP(Referentie_CO2_Totaal[[#This Row],[Product]]&amp;", "&amp;Referentie_CO2_Totaal[[#Headers],[A3]],Database_Productkaarten[#All],18,FALSE),0)*Baseline!I66),0))</f>
        <v>0</v>
      </c>
      <c r="G169" s="56">
        <f>(IF(Baseline!C66="Nieuwe Situatie",(_xlfn.IFNA(VLOOKUP(Referentie_CO2_Totaal[[#This Row],[Product]]&amp;", "&amp;Referentie_CO2_Totaal[[#Headers],[A1-A3]],Database_Productkaarten[#All],18,FALSE),0)*Baseline!I66),0))</f>
        <v>0</v>
      </c>
      <c r="H169" s="56">
        <f>IF(Baseline!T66=0,(IF(Baseline!C66="Nieuwe Situatie",(_xlfn.IFNA(VLOOKUP(Referentie_CO2_Totaal[[#This Row],[Product]]&amp;", "&amp;Referentie_CO2_Totaal[[#Headers],[A4]],Database_Productkaarten[#All],18,FALSE),0)*Baseline!I66),0)),IF(Baseline!C66="Nieuwe Situatie",_xlfn.IFNA(VLOOKUP(Baseline!T66,Database_Transport[#All],12,FALSE)*(Baseline!Q66*Baseline!S66),Baseline_Backlog!H169),0))</f>
        <v>0</v>
      </c>
      <c r="I169" s="56">
        <f>IF(Baseline!C66="Nieuwe situatie",IF(_xlfn.IFNA((VLOOKUP(Baseline!U66,Database_Asfalt_Aanlegset[#All],12,FALSE)*Baseline!I66),0)+_xlfn.IFNA(VLOOKUP(Baseline!V66,Database_Brandstoffen[#All],12,FALSE)*((Baseline!I66/Baseline!X66)*Baseline!W66),0)&gt;0,_xlfn.IFNA((VLOOKUP(Baseline!U66,Database_Asfalt_Aanlegset[#All],12,FALSE)*Baseline!I66),0)+_xlfn.IFNA(VLOOKUP(Baseline!V66,Database_Brandstoffen[#All],12,FALSE)*((Baseline!I66/Baseline!X66)*Baseline!W66),0),(_xlfn.IFNA(VLOOKUP(Referentie_CO2_Totaal[[#This Row],[Product]]&amp;", "&amp;Referentie_MKI_Totaal[[#Headers],[A5]],Database_Productkaarten[#All],18,FALSE),0)*Baseline!I66)),0)</f>
        <v>0</v>
      </c>
      <c r="J169" s="56">
        <f>(IF(Baseline!C66="Nieuwe Situatie",(_xlfn.IFNA(VLOOKUP(Referentie_CO2_Totaal[[#This Row],[Product]]&amp;", "&amp;Referentie_CO2_Totaal[[#Headers],[B1]],Database_Productkaarten[#All],18,FALSE),0)*Baseline!I66),0))</f>
        <v>0</v>
      </c>
      <c r="K169" s="56">
        <f>(IF(Baseline!C66="Nieuwe Situatie",(SUM(Referentie_CO2_Totaal[[#This Row],[A1]:[B1]],Referentie_CO2_Totaal[[#This Row],[C1]:[D2]])*Baseline!R66),0))</f>
        <v>0</v>
      </c>
      <c r="L169" s="56">
        <f>IF(Baseline!C66="Bestaande situatie",IF(_xlfn.IFNA((VLOOKUP(Baseline!Y66,Database_Asfalt_Verwijderset[#All],12,FALSE)*Baseline!I66),0)+_xlfn.IFNA(VLOOKUP(Baseline!Z66,Database_Brandstoffen[#All],12,FALSE)*((Baseline!I66/Baseline!AB66)*Baseline!AA66),0)&gt;0,_xlfn.IFNA((VLOOKUP(Baseline!Y66,Database_Asfalt_Verwijderset[#All],12,FALSE)*Baseline!I66),0)+_xlfn.IFNA(VLOOKUP(Baseline!Z66,Database_Brandstoffen[#All],12,FALSE)*((Baseline!I66/Baseline!AB66)*Baseline!AA66),0),(_xlfn.IFNA(VLOOKUP(Referentie_CO2_Totaal[[#This Row],[Product]]&amp;", "&amp;Referentie_MKI_Totaal[[#Headers],[C1]],Database_Productkaarten[#All],18,FALSE),0)*Baseline!I66)),0)</f>
        <v>0</v>
      </c>
      <c r="M169" s="56">
        <f>IF(Baseline!AD66=0,(IF(Baseline!C66="Bestaande Situatie",(_xlfn.IFNA(VLOOKUP(Referentie_CO2_Totaal[[#This Row],[Product]]&amp;", "&amp;Referentie_MKI_Totaal[[#Headers],[C2]],Database_Productkaarten[#All],18,FALSE),0)*Baseline!I66),0)),(IF(Baseline!C66="Bestaande Situatie",_xlfn.IFNA(VLOOKUP(Baseline!AD66,Database_Transport[#All],12,FALSE)*(Baseline!Q66*Baseline!AC66),0))))</f>
        <v>0</v>
      </c>
      <c r="N169" s="56">
        <f>(IF(Baseline!C66="Bestaande Situatie",(_xlfn.IFNA(VLOOKUP(Referentie_CO2_Totaal[[#This Row],[Product]]&amp;", "&amp;Referentie_CO2_Totaal[[#Headers],[C3]],Database_Productkaarten[#All],18,FALSE),0)*Baseline!I66),0))</f>
        <v>0</v>
      </c>
      <c r="O169" s="56">
        <f>(IF(Baseline!C66="Bestaande Situatie",(_xlfn.IFNA(VLOOKUP(Referentie_CO2_Totaal[[#This Row],[Product]]&amp;", "&amp;Referentie_CO2_Totaal[[#Headers],[C4]],Database_Productkaarten[#All],18,FALSE),0)*Baseline!I66),0))</f>
        <v>0</v>
      </c>
      <c r="P169" s="56">
        <f>(IF(Baseline!C66="Bestaande Situatie",(_xlfn.IFNA(VLOOKUP(Referentie_CO2_Totaal[[#This Row],[Product]]&amp;", "&amp;Referentie_CO2_Totaal[[#Headers],[D1]],Database_Productkaarten[#All],18,FALSE),0)*Baseline!I66),0))</f>
        <v>0</v>
      </c>
      <c r="Q169" s="57">
        <f>(IF(Baseline!C66="Bestaande Situatie",_xlfn.IFNA(VLOOKUP(Referentie_CO2_Totaal[[#This Row],[Product]]&amp;", "&amp;Referentie_CO2_Totaal[[#Headers],[D2]],Database_Productkaarten[#All],18,FALSE),0)*Baseline!I66,0))</f>
        <v>0</v>
      </c>
      <c r="R169" s="57">
        <f>(IF(Baseline!C66="Bestaande Situatie",(_xlfn.IFNA(VLOOKUP(Referentie_CO2_Totaal[[#This Row],[Product]]&amp;", "&amp;Referentie_CO2_Totaal[[#Headers],[D]],Database_Productkaarten[#All],18,FALSE),0)*Baseline!I66),0))</f>
        <v>0</v>
      </c>
      <c r="S169" s="56">
        <f>SUM(Referentie_CO2_Totaal[[#This Row],[A1-A3]:[C4]])+Referentie_CO2_Totaal[[#This Row],[D]]</f>
        <v>0</v>
      </c>
    </row>
    <row r="170" spans="2:19">
      <c r="B170" s="208">
        <f>Baseline!B67</f>
        <v>0</v>
      </c>
      <c r="C170" s="1">
        <f>Baseline!F67</f>
        <v>0</v>
      </c>
      <c r="D170" s="56">
        <f>(IF(Baseline!C67="Nieuwe Situatie",(_xlfn.IFNA(VLOOKUP(Referentie_CO2_Totaal[[#This Row],[Product]]&amp;", "&amp;Referentie_CO2_Totaal[[#Headers],[A1]],Database_Productkaarten[#All],18,FALSE),0)*Baseline!I67),0))</f>
        <v>0</v>
      </c>
      <c r="E170" s="56">
        <f>(IF(Baseline!C67="Nieuwe Situatie",(_xlfn.IFNA(VLOOKUP(Referentie_CO2_Totaal[[#This Row],[Product]]&amp;", "&amp;Referentie_CO2_Totaal[[#Headers],[A2]],Database_Productkaarten[#All],18,FALSE),0)*Baseline!I67),0))</f>
        <v>0</v>
      </c>
      <c r="F170" s="56">
        <f>(IF(Baseline!C67="Nieuwe Situatie",(_xlfn.IFNA(VLOOKUP(Referentie_CO2_Totaal[[#This Row],[Product]]&amp;", "&amp;Referentie_CO2_Totaal[[#Headers],[A3]],Database_Productkaarten[#All],18,FALSE),0)*Baseline!I67),0))</f>
        <v>0</v>
      </c>
      <c r="G170" s="56">
        <f>(IF(Baseline!C67="Nieuwe Situatie",(_xlfn.IFNA(VLOOKUP(Referentie_CO2_Totaal[[#This Row],[Product]]&amp;", "&amp;Referentie_CO2_Totaal[[#Headers],[A1-A3]],Database_Productkaarten[#All],18,FALSE),0)*Baseline!I67),0))</f>
        <v>0</v>
      </c>
      <c r="H170" s="56">
        <f>IF(Baseline!T67=0,(IF(Baseline!C67="Nieuwe Situatie",(_xlfn.IFNA(VLOOKUP(Referentie_CO2_Totaal[[#This Row],[Product]]&amp;", "&amp;Referentie_CO2_Totaal[[#Headers],[A4]],Database_Productkaarten[#All],18,FALSE),0)*Baseline!I67),0)),IF(Baseline!C67="Nieuwe Situatie",_xlfn.IFNA(VLOOKUP(Baseline!T67,Database_Transport[#All],12,FALSE)*(Baseline!Q67*Baseline!S67),Baseline_Backlog!H170),0))</f>
        <v>0</v>
      </c>
      <c r="I170" s="56">
        <f>IF(Baseline!C67="Nieuwe situatie",IF(_xlfn.IFNA((VLOOKUP(Baseline!U67,Database_Asfalt_Aanlegset[#All],12,FALSE)*Baseline!I67),0)+_xlfn.IFNA(VLOOKUP(Baseline!V67,Database_Brandstoffen[#All],12,FALSE)*((Baseline!I67/Baseline!X67)*Baseline!W67),0)&gt;0,_xlfn.IFNA((VLOOKUP(Baseline!U67,Database_Asfalt_Aanlegset[#All],12,FALSE)*Baseline!I67),0)+_xlfn.IFNA(VLOOKUP(Baseline!V67,Database_Brandstoffen[#All],12,FALSE)*((Baseline!I67/Baseline!X67)*Baseline!W67),0),(_xlfn.IFNA(VLOOKUP(Referentie_CO2_Totaal[[#This Row],[Product]]&amp;", "&amp;Referentie_MKI_Totaal[[#Headers],[A5]],Database_Productkaarten[#All],18,FALSE),0)*Baseline!I67)),0)</f>
        <v>0</v>
      </c>
      <c r="J170" s="56">
        <f>(IF(Baseline!C67="Nieuwe Situatie",(_xlfn.IFNA(VLOOKUP(Referentie_CO2_Totaal[[#This Row],[Product]]&amp;", "&amp;Referentie_CO2_Totaal[[#Headers],[B1]],Database_Productkaarten[#All],18,FALSE),0)*Baseline!I67),0))</f>
        <v>0</v>
      </c>
      <c r="K170" s="56">
        <f>(IF(Baseline!C67="Nieuwe Situatie",(SUM(Referentie_CO2_Totaal[[#This Row],[A1]:[B1]],Referentie_CO2_Totaal[[#This Row],[C1]:[D2]])*Baseline!R67),0))</f>
        <v>0</v>
      </c>
      <c r="L170" s="56">
        <f>IF(Baseline!C67="Bestaande situatie",IF(_xlfn.IFNA((VLOOKUP(Baseline!Y67,Database_Asfalt_Verwijderset[#All],12,FALSE)*Baseline!I67),0)+_xlfn.IFNA(VLOOKUP(Baseline!Z67,Database_Brandstoffen[#All],12,FALSE)*((Baseline!I67/Baseline!AB67)*Baseline!AA67),0)&gt;0,_xlfn.IFNA((VLOOKUP(Baseline!Y67,Database_Asfalt_Verwijderset[#All],12,FALSE)*Baseline!I67),0)+_xlfn.IFNA(VLOOKUP(Baseline!Z67,Database_Brandstoffen[#All],12,FALSE)*((Baseline!I67/Baseline!AB67)*Baseline!AA67),0),(_xlfn.IFNA(VLOOKUP(Referentie_CO2_Totaal[[#This Row],[Product]]&amp;", "&amp;Referentie_MKI_Totaal[[#Headers],[C1]],Database_Productkaarten[#All],18,FALSE),0)*Baseline!I67)),0)</f>
        <v>0</v>
      </c>
      <c r="M170" s="56">
        <f>IF(Baseline!AD67=0,(IF(Baseline!C67="Bestaande Situatie",(_xlfn.IFNA(VLOOKUP(Referentie_CO2_Totaal[[#This Row],[Product]]&amp;", "&amp;Referentie_MKI_Totaal[[#Headers],[C2]],Database_Productkaarten[#All],18,FALSE),0)*Baseline!I67),0)),(IF(Baseline!C67="Bestaande Situatie",_xlfn.IFNA(VLOOKUP(Baseline!AD67,Database_Transport[#All],12,FALSE)*(Baseline!Q67*Baseline!AC67),0))))</f>
        <v>0</v>
      </c>
      <c r="N170" s="56">
        <f>(IF(Baseline!C67="Bestaande Situatie",(_xlfn.IFNA(VLOOKUP(Referentie_CO2_Totaal[[#This Row],[Product]]&amp;", "&amp;Referentie_CO2_Totaal[[#Headers],[C3]],Database_Productkaarten[#All],18,FALSE),0)*Baseline!I67),0))</f>
        <v>0</v>
      </c>
      <c r="O170" s="56">
        <f>(IF(Baseline!C67="Bestaande Situatie",(_xlfn.IFNA(VLOOKUP(Referentie_CO2_Totaal[[#This Row],[Product]]&amp;", "&amp;Referentie_CO2_Totaal[[#Headers],[C4]],Database_Productkaarten[#All],18,FALSE),0)*Baseline!I67),0))</f>
        <v>0</v>
      </c>
      <c r="P170" s="56">
        <f>(IF(Baseline!C67="Bestaande Situatie",(_xlfn.IFNA(VLOOKUP(Referentie_CO2_Totaal[[#This Row],[Product]]&amp;", "&amp;Referentie_CO2_Totaal[[#Headers],[D1]],Database_Productkaarten[#All],18,FALSE),0)*Baseline!I67),0))</f>
        <v>0</v>
      </c>
      <c r="Q170" s="57">
        <f>(IF(Baseline!C67="Bestaande Situatie",_xlfn.IFNA(VLOOKUP(Referentie_CO2_Totaal[[#This Row],[Product]]&amp;", "&amp;Referentie_CO2_Totaal[[#Headers],[D2]],Database_Productkaarten[#All],18,FALSE),0)*Baseline!I67,0))</f>
        <v>0</v>
      </c>
      <c r="R170" s="57">
        <f>(IF(Baseline!C67="Bestaande Situatie",(_xlfn.IFNA(VLOOKUP(Referentie_CO2_Totaal[[#This Row],[Product]]&amp;", "&amp;Referentie_CO2_Totaal[[#Headers],[D]],Database_Productkaarten[#All],18,FALSE),0)*Baseline!I67),0))</f>
        <v>0</v>
      </c>
      <c r="S170" s="56">
        <f>SUM(Referentie_CO2_Totaal[[#This Row],[A1-A3]:[C4]])+Referentie_CO2_Totaal[[#This Row],[D]]</f>
        <v>0</v>
      </c>
    </row>
    <row r="171" spans="2:19">
      <c r="B171" s="208">
        <f>Baseline!B68</f>
        <v>0</v>
      </c>
      <c r="C171" s="1">
        <f>Baseline!F68</f>
        <v>0</v>
      </c>
      <c r="D171" s="56">
        <f>(IF(Baseline!C68="Nieuwe Situatie",(_xlfn.IFNA(VLOOKUP(Referentie_CO2_Totaal[[#This Row],[Product]]&amp;", "&amp;Referentie_CO2_Totaal[[#Headers],[A1]],Database_Productkaarten[#All],18,FALSE),0)*Baseline!I68),0))</f>
        <v>0</v>
      </c>
      <c r="E171" s="56">
        <f>(IF(Baseline!C68="Nieuwe Situatie",(_xlfn.IFNA(VLOOKUP(Referentie_CO2_Totaal[[#This Row],[Product]]&amp;", "&amp;Referentie_CO2_Totaal[[#Headers],[A2]],Database_Productkaarten[#All],18,FALSE),0)*Baseline!I68),0))</f>
        <v>0</v>
      </c>
      <c r="F171" s="56">
        <f>(IF(Baseline!C68="Nieuwe Situatie",(_xlfn.IFNA(VLOOKUP(Referentie_CO2_Totaal[[#This Row],[Product]]&amp;", "&amp;Referentie_CO2_Totaal[[#Headers],[A3]],Database_Productkaarten[#All],18,FALSE),0)*Baseline!I68),0))</f>
        <v>0</v>
      </c>
      <c r="G171" s="56">
        <f>(IF(Baseline!C68="Nieuwe Situatie",(_xlfn.IFNA(VLOOKUP(Referentie_CO2_Totaal[[#This Row],[Product]]&amp;", "&amp;Referentie_CO2_Totaal[[#Headers],[A1-A3]],Database_Productkaarten[#All],18,FALSE),0)*Baseline!I68),0))</f>
        <v>0</v>
      </c>
      <c r="H171" s="56">
        <f>IF(Baseline!T68=0,(IF(Baseline!C68="Nieuwe Situatie",(_xlfn.IFNA(VLOOKUP(Referentie_CO2_Totaal[[#This Row],[Product]]&amp;", "&amp;Referentie_CO2_Totaal[[#Headers],[A4]],Database_Productkaarten[#All],18,FALSE),0)*Baseline!I68),0)),IF(Baseline!C68="Nieuwe Situatie",_xlfn.IFNA(VLOOKUP(Baseline!T68,Database_Transport[#All],12,FALSE)*(Baseline!Q68*Baseline!S68),Baseline_Backlog!H171),0))</f>
        <v>0</v>
      </c>
      <c r="I171" s="56">
        <f>IF(Baseline!C68="Nieuwe situatie",IF(_xlfn.IFNA((VLOOKUP(Baseline!U68,Database_Asfalt_Aanlegset[#All],12,FALSE)*Baseline!I68),0)+_xlfn.IFNA(VLOOKUP(Baseline!V68,Database_Brandstoffen[#All],12,FALSE)*((Baseline!I68/Baseline!X68)*Baseline!W68),0)&gt;0,_xlfn.IFNA((VLOOKUP(Baseline!U68,Database_Asfalt_Aanlegset[#All],12,FALSE)*Baseline!I68),0)+_xlfn.IFNA(VLOOKUP(Baseline!V68,Database_Brandstoffen[#All],12,FALSE)*((Baseline!I68/Baseline!X68)*Baseline!W68),0),(_xlfn.IFNA(VLOOKUP(Referentie_CO2_Totaal[[#This Row],[Product]]&amp;", "&amp;Referentie_MKI_Totaal[[#Headers],[A5]],Database_Productkaarten[#All],18,FALSE),0)*Baseline!I68)),0)</f>
        <v>0</v>
      </c>
      <c r="J171" s="56">
        <f>(IF(Baseline!C68="Nieuwe Situatie",(_xlfn.IFNA(VLOOKUP(Referentie_CO2_Totaal[[#This Row],[Product]]&amp;", "&amp;Referentie_CO2_Totaal[[#Headers],[B1]],Database_Productkaarten[#All],18,FALSE),0)*Baseline!I68),0))</f>
        <v>0</v>
      </c>
      <c r="K171" s="56">
        <f>(IF(Baseline!C68="Nieuwe Situatie",(SUM(Referentie_CO2_Totaal[[#This Row],[A1]:[B1]],Referentie_CO2_Totaal[[#This Row],[C1]:[D2]])*Baseline!R68),0))</f>
        <v>0</v>
      </c>
      <c r="L171" s="56">
        <f>IF(Baseline!C68="Bestaande situatie",IF(_xlfn.IFNA((VLOOKUP(Baseline!Y68,Database_Asfalt_Verwijderset[#All],12,FALSE)*Baseline!I68),0)+_xlfn.IFNA(VLOOKUP(Baseline!Z68,Database_Brandstoffen[#All],12,FALSE)*((Baseline!I68/Baseline!AB68)*Baseline!AA68),0)&gt;0,_xlfn.IFNA((VLOOKUP(Baseline!Y68,Database_Asfalt_Verwijderset[#All],12,FALSE)*Baseline!I68),0)+_xlfn.IFNA(VLOOKUP(Baseline!Z68,Database_Brandstoffen[#All],12,FALSE)*((Baseline!I68/Baseline!AB68)*Baseline!AA68),0),(_xlfn.IFNA(VLOOKUP(Referentie_CO2_Totaal[[#This Row],[Product]]&amp;", "&amp;Referentie_MKI_Totaal[[#Headers],[C1]],Database_Productkaarten[#All],18,FALSE),0)*Baseline!I68)),0)</f>
        <v>0</v>
      </c>
      <c r="M171" s="56">
        <f>IF(Baseline!AD68=0,(IF(Baseline!C68="Bestaande Situatie",(_xlfn.IFNA(VLOOKUP(Referentie_CO2_Totaal[[#This Row],[Product]]&amp;", "&amp;Referentie_MKI_Totaal[[#Headers],[C2]],Database_Productkaarten[#All],18,FALSE),0)*Baseline!I68),0)),(IF(Baseline!C68="Bestaande Situatie",_xlfn.IFNA(VLOOKUP(Baseline!AD68,Database_Transport[#All],12,FALSE)*(Baseline!Q68*Baseline!AC68),0))))</f>
        <v>0</v>
      </c>
      <c r="N171" s="56">
        <f>(IF(Baseline!C68="Bestaande Situatie",(_xlfn.IFNA(VLOOKUP(Referentie_CO2_Totaal[[#This Row],[Product]]&amp;", "&amp;Referentie_CO2_Totaal[[#Headers],[C3]],Database_Productkaarten[#All],18,FALSE),0)*Baseline!I68),0))</f>
        <v>0</v>
      </c>
      <c r="O171" s="56">
        <f>(IF(Baseline!C68="Bestaande Situatie",(_xlfn.IFNA(VLOOKUP(Referentie_CO2_Totaal[[#This Row],[Product]]&amp;", "&amp;Referentie_CO2_Totaal[[#Headers],[C4]],Database_Productkaarten[#All],18,FALSE),0)*Baseline!I68),0))</f>
        <v>0</v>
      </c>
      <c r="P171" s="56">
        <f>(IF(Baseline!C68="Bestaande Situatie",(_xlfn.IFNA(VLOOKUP(Referentie_CO2_Totaal[[#This Row],[Product]]&amp;", "&amp;Referentie_CO2_Totaal[[#Headers],[D1]],Database_Productkaarten[#All],18,FALSE),0)*Baseline!I68),0))</f>
        <v>0</v>
      </c>
      <c r="Q171" s="57">
        <f>(IF(Baseline!C68="Bestaande Situatie",_xlfn.IFNA(VLOOKUP(Referentie_CO2_Totaal[[#This Row],[Product]]&amp;", "&amp;Referentie_CO2_Totaal[[#Headers],[D2]],Database_Productkaarten[#All],18,FALSE),0)*Baseline!I68,0))</f>
        <v>0</v>
      </c>
      <c r="R171" s="57">
        <f>(IF(Baseline!C68="Bestaande Situatie",(_xlfn.IFNA(VLOOKUP(Referentie_CO2_Totaal[[#This Row],[Product]]&amp;", "&amp;Referentie_CO2_Totaal[[#Headers],[D]],Database_Productkaarten[#All],18,FALSE),0)*Baseline!I68),0))</f>
        <v>0</v>
      </c>
      <c r="S171" s="56">
        <f>SUM(Referentie_CO2_Totaal[[#This Row],[A1-A3]:[C4]])+Referentie_CO2_Totaal[[#This Row],[D]]</f>
        <v>0</v>
      </c>
    </row>
    <row r="172" spans="2:19">
      <c r="B172" s="208">
        <f>Baseline!B69</f>
        <v>0</v>
      </c>
      <c r="C172" s="1">
        <f>Baseline!F69</f>
        <v>0</v>
      </c>
      <c r="D172" s="56">
        <f>(IF(Baseline!C69="Nieuwe Situatie",(_xlfn.IFNA(VLOOKUP(Referentie_CO2_Totaal[[#This Row],[Product]]&amp;", "&amp;Referentie_CO2_Totaal[[#Headers],[A1]],Database_Productkaarten[#All],18,FALSE),0)*Baseline!I69),0))</f>
        <v>0</v>
      </c>
      <c r="E172" s="56">
        <f>(IF(Baseline!C69="Nieuwe Situatie",(_xlfn.IFNA(VLOOKUP(Referentie_CO2_Totaal[[#This Row],[Product]]&amp;", "&amp;Referentie_CO2_Totaal[[#Headers],[A2]],Database_Productkaarten[#All],18,FALSE),0)*Baseline!I69),0))</f>
        <v>0</v>
      </c>
      <c r="F172" s="56">
        <f>(IF(Baseline!C69="Nieuwe Situatie",(_xlfn.IFNA(VLOOKUP(Referentie_CO2_Totaal[[#This Row],[Product]]&amp;", "&amp;Referentie_CO2_Totaal[[#Headers],[A3]],Database_Productkaarten[#All],18,FALSE),0)*Baseline!I69),0))</f>
        <v>0</v>
      </c>
      <c r="G172" s="56">
        <f>(IF(Baseline!C69="Nieuwe Situatie",(_xlfn.IFNA(VLOOKUP(Referentie_CO2_Totaal[[#This Row],[Product]]&amp;", "&amp;Referentie_CO2_Totaal[[#Headers],[A1-A3]],Database_Productkaarten[#All],18,FALSE),0)*Baseline!I69),0))</f>
        <v>0</v>
      </c>
      <c r="H172" s="56">
        <f>IF(Baseline!T69=0,(IF(Baseline!C69="Nieuwe Situatie",(_xlfn.IFNA(VLOOKUP(Referentie_CO2_Totaal[[#This Row],[Product]]&amp;", "&amp;Referentie_CO2_Totaal[[#Headers],[A4]],Database_Productkaarten[#All],18,FALSE),0)*Baseline!I69),0)),IF(Baseline!C69="Nieuwe Situatie",_xlfn.IFNA(VLOOKUP(Baseline!T69,Database_Transport[#All],12,FALSE)*(Baseline!Q69*Baseline!S69),Baseline_Backlog!H172),0))</f>
        <v>0</v>
      </c>
      <c r="I172" s="56">
        <f>IF(Baseline!C69="Nieuwe situatie",IF(_xlfn.IFNA((VLOOKUP(Baseline!U69,Database_Asfalt_Aanlegset[#All],12,FALSE)*Baseline!I69),0)+_xlfn.IFNA(VLOOKUP(Baseline!V69,Database_Brandstoffen[#All],12,FALSE)*((Baseline!I69/Baseline!X69)*Baseline!W69),0)&gt;0,_xlfn.IFNA((VLOOKUP(Baseline!U69,Database_Asfalt_Aanlegset[#All],12,FALSE)*Baseline!I69),0)+_xlfn.IFNA(VLOOKUP(Baseline!V69,Database_Brandstoffen[#All],12,FALSE)*((Baseline!I69/Baseline!X69)*Baseline!W69),0),(_xlfn.IFNA(VLOOKUP(Referentie_CO2_Totaal[[#This Row],[Product]]&amp;", "&amp;Referentie_MKI_Totaal[[#Headers],[A5]],Database_Productkaarten[#All],18,FALSE),0)*Baseline!I69)),0)</f>
        <v>0</v>
      </c>
      <c r="J172" s="56">
        <f>(IF(Baseline!C69="Nieuwe Situatie",(_xlfn.IFNA(VLOOKUP(Referentie_CO2_Totaal[[#This Row],[Product]]&amp;", "&amp;Referentie_CO2_Totaal[[#Headers],[B1]],Database_Productkaarten[#All],18,FALSE),0)*Baseline!I69),0))</f>
        <v>0</v>
      </c>
      <c r="K172" s="56">
        <f>(IF(Baseline!C69="Nieuwe Situatie",(SUM(Referentie_CO2_Totaal[[#This Row],[A1]:[B1]],Referentie_CO2_Totaal[[#This Row],[C1]:[D2]])*Baseline!R69),0))</f>
        <v>0</v>
      </c>
      <c r="L172" s="56">
        <f>IF(Baseline!C69="Bestaande situatie",IF(_xlfn.IFNA((VLOOKUP(Baseline!Y69,Database_Asfalt_Verwijderset[#All],12,FALSE)*Baseline!I69),0)+_xlfn.IFNA(VLOOKUP(Baseline!Z69,Database_Brandstoffen[#All],12,FALSE)*((Baseline!I69/Baseline!AB69)*Baseline!AA69),0)&gt;0,_xlfn.IFNA((VLOOKUP(Baseline!Y69,Database_Asfalt_Verwijderset[#All],12,FALSE)*Baseline!I69),0)+_xlfn.IFNA(VLOOKUP(Baseline!Z69,Database_Brandstoffen[#All],12,FALSE)*((Baseline!I69/Baseline!AB69)*Baseline!AA69),0),(_xlfn.IFNA(VLOOKUP(Referentie_CO2_Totaal[[#This Row],[Product]]&amp;", "&amp;Referentie_MKI_Totaal[[#Headers],[C1]],Database_Productkaarten[#All],18,FALSE),0)*Baseline!I69)),0)</f>
        <v>0</v>
      </c>
      <c r="M172" s="56">
        <f>IF(Baseline!AD69=0,(IF(Baseline!C69="Bestaande Situatie",(_xlfn.IFNA(VLOOKUP(Referentie_CO2_Totaal[[#This Row],[Product]]&amp;", "&amp;Referentie_MKI_Totaal[[#Headers],[C2]],Database_Productkaarten[#All],18,FALSE),0)*Baseline!I69),0)),(IF(Baseline!C69="Bestaande Situatie",_xlfn.IFNA(VLOOKUP(Baseline!AD69,Database_Transport[#All],12,FALSE)*(Baseline!Q69*Baseline!AC69),0))))</f>
        <v>0</v>
      </c>
      <c r="N172" s="56">
        <f>(IF(Baseline!C69="Bestaande Situatie",(_xlfn.IFNA(VLOOKUP(Referentie_CO2_Totaal[[#This Row],[Product]]&amp;", "&amp;Referentie_CO2_Totaal[[#Headers],[C3]],Database_Productkaarten[#All],18,FALSE),0)*Baseline!I69),0))</f>
        <v>0</v>
      </c>
      <c r="O172" s="56">
        <f>(IF(Baseline!C69="Bestaande Situatie",(_xlfn.IFNA(VLOOKUP(Referentie_CO2_Totaal[[#This Row],[Product]]&amp;", "&amp;Referentie_CO2_Totaal[[#Headers],[C4]],Database_Productkaarten[#All],18,FALSE),0)*Baseline!I69),0))</f>
        <v>0</v>
      </c>
      <c r="P172" s="56">
        <f>(IF(Baseline!C69="Bestaande Situatie",(_xlfn.IFNA(VLOOKUP(Referentie_CO2_Totaal[[#This Row],[Product]]&amp;", "&amp;Referentie_CO2_Totaal[[#Headers],[D1]],Database_Productkaarten[#All],18,FALSE),0)*Baseline!I69),0))</f>
        <v>0</v>
      </c>
      <c r="Q172" s="57">
        <f>(IF(Baseline!C69="Bestaande Situatie",_xlfn.IFNA(VLOOKUP(Referentie_CO2_Totaal[[#This Row],[Product]]&amp;", "&amp;Referentie_CO2_Totaal[[#Headers],[D2]],Database_Productkaarten[#All],18,FALSE),0)*Baseline!I69,0))</f>
        <v>0</v>
      </c>
      <c r="R172" s="57">
        <f>(IF(Baseline!C69="Bestaande Situatie",(_xlfn.IFNA(VLOOKUP(Referentie_CO2_Totaal[[#This Row],[Product]]&amp;", "&amp;Referentie_CO2_Totaal[[#Headers],[D]],Database_Productkaarten[#All],18,FALSE),0)*Baseline!I69),0))</f>
        <v>0</v>
      </c>
      <c r="S172" s="56">
        <f>SUM(Referentie_CO2_Totaal[[#This Row],[A1-A3]:[C4]])+Referentie_CO2_Totaal[[#This Row],[D]]</f>
        <v>0</v>
      </c>
    </row>
    <row r="173" spans="2:19">
      <c r="B173" s="208">
        <f>Baseline!B70</f>
        <v>0</v>
      </c>
      <c r="C173" s="1">
        <f>Baseline!F70</f>
        <v>0</v>
      </c>
      <c r="D173" s="56">
        <f>(IF(Baseline!C70="Nieuwe Situatie",(_xlfn.IFNA(VLOOKUP(Referentie_CO2_Totaal[[#This Row],[Product]]&amp;", "&amp;Referentie_CO2_Totaal[[#Headers],[A1]],Database_Productkaarten[#All],18,FALSE),0)*Baseline!I70),0))</f>
        <v>0</v>
      </c>
      <c r="E173" s="56">
        <f>(IF(Baseline!C70="Nieuwe Situatie",(_xlfn.IFNA(VLOOKUP(Referentie_CO2_Totaal[[#This Row],[Product]]&amp;", "&amp;Referentie_CO2_Totaal[[#Headers],[A2]],Database_Productkaarten[#All],18,FALSE),0)*Baseline!I70),0))</f>
        <v>0</v>
      </c>
      <c r="F173" s="56">
        <f>(IF(Baseline!C70="Nieuwe Situatie",(_xlfn.IFNA(VLOOKUP(Referentie_CO2_Totaal[[#This Row],[Product]]&amp;", "&amp;Referentie_CO2_Totaal[[#Headers],[A3]],Database_Productkaarten[#All],18,FALSE),0)*Baseline!I70),0))</f>
        <v>0</v>
      </c>
      <c r="G173" s="56">
        <f>(IF(Baseline!C70="Nieuwe Situatie",(_xlfn.IFNA(VLOOKUP(Referentie_CO2_Totaal[[#This Row],[Product]]&amp;", "&amp;Referentie_CO2_Totaal[[#Headers],[A1-A3]],Database_Productkaarten[#All],18,FALSE),0)*Baseline!I70),0))</f>
        <v>0</v>
      </c>
      <c r="H173" s="56">
        <f>IF(Baseline!T70=0,(IF(Baseline!C70="Nieuwe Situatie",(_xlfn.IFNA(VLOOKUP(Referentie_CO2_Totaal[[#This Row],[Product]]&amp;", "&amp;Referentie_CO2_Totaal[[#Headers],[A4]],Database_Productkaarten[#All],18,FALSE),0)*Baseline!I70),0)),IF(Baseline!C70="Nieuwe Situatie",_xlfn.IFNA(VLOOKUP(Baseline!T70,Database_Transport[#All],12,FALSE)*(Baseline!Q70*Baseline!S70),Baseline_Backlog!H173),0))</f>
        <v>0</v>
      </c>
      <c r="I173" s="56">
        <f>IF(Baseline!C70="Nieuwe situatie",IF(_xlfn.IFNA((VLOOKUP(Baseline!U70,Database_Asfalt_Aanlegset[#All],12,FALSE)*Baseline!I70),0)+_xlfn.IFNA(VLOOKUP(Baseline!V70,Database_Brandstoffen[#All],12,FALSE)*((Baseline!I70/Baseline!X70)*Baseline!W70),0)&gt;0,_xlfn.IFNA((VLOOKUP(Baseline!U70,Database_Asfalt_Aanlegset[#All],12,FALSE)*Baseline!I70),0)+_xlfn.IFNA(VLOOKUP(Baseline!V70,Database_Brandstoffen[#All],12,FALSE)*((Baseline!I70/Baseline!X70)*Baseline!W70),0),(_xlfn.IFNA(VLOOKUP(Referentie_CO2_Totaal[[#This Row],[Product]]&amp;", "&amp;Referentie_MKI_Totaal[[#Headers],[A5]],Database_Productkaarten[#All],18,FALSE),0)*Baseline!I70)),0)</f>
        <v>0</v>
      </c>
      <c r="J173" s="56">
        <f>(IF(Baseline!C70="Nieuwe Situatie",(_xlfn.IFNA(VLOOKUP(Referentie_CO2_Totaal[[#This Row],[Product]]&amp;", "&amp;Referentie_CO2_Totaal[[#Headers],[B1]],Database_Productkaarten[#All],18,FALSE),0)*Baseline!I70),0))</f>
        <v>0</v>
      </c>
      <c r="K173" s="56">
        <f>(IF(Baseline!C70="Nieuwe Situatie",(SUM(Referentie_CO2_Totaal[[#This Row],[A1]:[B1]],Referentie_CO2_Totaal[[#This Row],[C1]:[D2]])*Baseline!R70),0))</f>
        <v>0</v>
      </c>
      <c r="L173" s="56">
        <f>IF(Baseline!C70="Bestaande situatie",IF(_xlfn.IFNA((VLOOKUP(Baseline!Y70,Database_Asfalt_Verwijderset[#All],12,FALSE)*Baseline!I70),0)+_xlfn.IFNA(VLOOKUP(Baseline!Z70,Database_Brandstoffen[#All],12,FALSE)*((Baseline!I70/Baseline!AB70)*Baseline!AA70),0)&gt;0,_xlfn.IFNA((VLOOKUP(Baseline!Y70,Database_Asfalt_Verwijderset[#All],12,FALSE)*Baseline!I70),0)+_xlfn.IFNA(VLOOKUP(Baseline!Z70,Database_Brandstoffen[#All],12,FALSE)*((Baseline!I70/Baseline!AB70)*Baseline!AA70),0),(_xlfn.IFNA(VLOOKUP(Referentie_CO2_Totaal[[#This Row],[Product]]&amp;", "&amp;Referentie_MKI_Totaal[[#Headers],[C1]],Database_Productkaarten[#All],18,FALSE),0)*Baseline!I70)),0)</f>
        <v>0</v>
      </c>
      <c r="M173" s="56">
        <f>IF(Baseline!AD70=0,(IF(Baseline!C70="Bestaande Situatie",(_xlfn.IFNA(VLOOKUP(Referentie_CO2_Totaal[[#This Row],[Product]]&amp;", "&amp;Referentie_MKI_Totaal[[#Headers],[C2]],Database_Productkaarten[#All],18,FALSE),0)*Baseline!I70),0)),(IF(Baseline!C70="Bestaande Situatie",_xlfn.IFNA(VLOOKUP(Baseline!AD70,Database_Transport[#All],12,FALSE)*(Baseline!Q70*Baseline!AC70),0))))</f>
        <v>0</v>
      </c>
      <c r="N173" s="56">
        <f>(IF(Baseline!C70="Bestaande Situatie",(_xlfn.IFNA(VLOOKUP(Referentie_CO2_Totaal[[#This Row],[Product]]&amp;", "&amp;Referentie_CO2_Totaal[[#Headers],[C3]],Database_Productkaarten[#All],18,FALSE),0)*Baseline!I70),0))</f>
        <v>0</v>
      </c>
      <c r="O173" s="56">
        <f>(IF(Baseline!C70="Bestaande Situatie",(_xlfn.IFNA(VLOOKUP(Referentie_CO2_Totaal[[#This Row],[Product]]&amp;", "&amp;Referentie_CO2_Totaal[[#Headers],[C4]],Database_Productkaarten[#All],18,FALSE),0)*Baseline!I70),0))</f>
        <v>0</v>
      </c>
      <c r="P173" s="56">
        <f>(IF(Baseline!C70="Bestaande Situatie",(_xlfn.IFNA(VLOOKUP(Referentie_CO2_Totaal[[#This Row],[Product]]&amp;", "&amp;Referentie_CO2_Totaal[[#Headers],[D1]],Database_Productkaarten[#All],18,FALSE),0)*Baseline!I70),0))</f>
        <v>0</v>
      </c>
      <c r="Q173" s="57">
        <f>(IF(Baseline!C70="Bestaande Situatie",_xlfn.IFNA(VLOOKUP(Referentie_CO2_Totaal[[#This Row],[Product]]&amp;", "&amp;Referentie_CO2_Totaal[[#Headers],[D2]],Database_Productkaarten[#All],18,FALSE),0)*Baseline!I70,0))</f>
        <v>0</v>
      </c>
      <c r="R173" s="57">
        <f>(IF(Baseline!C70="Bestaande Situatie",(_xlfn.IFNA(VLOOKUP(Referentie_CO2_Totaal[[#This Row],[Product]]&amp;", "&amp;Referentie_CO2_Totaal[[#Headers],[D]],Database_Productkaarten[#All],18,FALSE),0)*Baseline!I70),0))</f>
        <v>0</v>
      </c>
      <c r="S173" s="56">
        <f>SUM(Referentie_CO2_Totaal[[#This Row],[A1-A3]:[C4]])+Referentie_CO2_Totaal[[#This Row],[D]]</f>
        <v>0</v>
      </c>
    </row>
    <row r="174" spans="2:19">
      <c r="B174" s="208">
        <f>Baseline!B71</f>
        <v>0</v>
      </c>
      <c r="C174" s="1">
        <f>Baseline!F71</f>
        <v>0</v>
      </c>
      <c r="D174" s="56">
        <f>(IF(Baseline!C71="Nieuwe Situatie",(_xlfn.IFNA(VLOOKUP(Referentie_CO2_Totaal[[#This Row],[Product]]&amp;", "&amp;Referentie_CO2_Totaal[[#Headers],[A1]],Database_Productkaarten[#All],18,FALSE),0)*Baseline!I71),0))</f>
        <v>0</v>
      </c>
      <c r="E174" s="56">
        <f>(IF(Baseline!C71="Nieuwe Situatie",(_xlfn.IFNA(VLOOKUP(Referentie_CO2_Totaal[[#This Row],[Product]]&amp;", "&amp;Referentie_CO2_Totaal[[#Headers],[A2]],Database_Productkaarten[#All],18,FALSE),0)*Baseline!I71),0))</f>
        <v>0</v>
      </c>
      <c r="F174" s="56">
        <f>(IF(Baseline!C71="Nieuwe Situatie",(_xlfn.IFNA(VLOOKUP(Referentie_CO2_Totaal[[#This Row],[Product]]&amp;", "&amp;Referentie_CO2_Totaal[[#Headers],[A3]],Database_Productkaarten[#All],18,FALSE),0)*Baseline!I71),0))</f>
        <v>0</v>
      </c>
      <c r="G174" s="56">
        <f>(IF(Baseline!C71="Nieuwe Situatie",(_xlfn.IFNA(VLOOKUP(Referentie_CO2_Totaal[[#This Row],[Product]]&amp;", "&amp;Referentie_CO2_Totaal[[#Headers],[A1-A3]],Database_Productkaarten[#All],18,FALSE),0)*Baseline!I71),0))</f>
        <v>0</v>
      </c>
      <c r="H174" s="56">
        <f>IF(Baseline!T71=0,(IF(Baseline!C71="Nieuwe Situatie",(_xlfn.IFNA(VLOOKUP(Referentie_CO2_Totaal[[#This Row],[Product]]&amp;", "&amp;Referentie_CO2_Totaal[[#Headers],[A4]],Database_Productkaarten[#All],18,FALSE),0)*Baseline!I71),0)),IF(Baseline!C71="Nieuwe Situatie",_xlfn.IFNA(VLOOKUP(Baseline!T71,Database_Transport[#All],12,FALSE)*(Baseline!Q71*Baseline!S71),Baseline_Backlog!H174),0))</f>
        <v>0</v>
      </c>
      <c r="I174" s="56">
        <f>IF(Baseline!C71="Nieuwe situatie",IF(_xlfn.IFNA((VLOOKUP(Baseline!U71,Database_Asfalt_Aanlegset[#All],12,FALSE)*Baseline!I71),0)+_xlfn.IFNA(VLOOKUP(Baseline!V71,Database_Brandstoffen[#All],12,FALSE)*((Baseline!I71/Baseline!X71)*Baseline!W71),0)&gt;0,_xlfn.IFNA((VLOOKUP(Baseline!U71,Database_Asfalt_Aanlegset[#All],12,FALSE)*Baseline!I71),0)+_xlfn.IFNA(VLOOKUP(Baseline!V71,Database_Brandstoffen[#All],12,FALSE)*((Baseline!I71/Baseline!X71)*Baseline!W71),0),(_xlfn.IFNA(VLOOKUP(Referentie_CO2_Totaal[[#This Row],[Product]]&amp;", "&amp;Referentie_MKI_Totaal[[#Headers],[A5]],Database_Productkaarten[#All],18,FALSE),0)*Baseline!I71)),0)</f>
        <v>0</v>
      </c>
      <c r="J174" s="56">
        <f>(IF(Baseline!C71="Nieuwe Situatie",(_xlfn.IFNA(VLOOKUP(Referentie_CO2_Totaal[[#This Row],[Product]]&amp;", "&amp;Referentie_CO2_Totaal[[#Headers],[B1]],Database_Productkaarten[#All],18,FALSE),0)*Baseline!I71),0))</f>
        <v>0</v>
      </c>
      <c r="K174" s="56">
        <f>(IF(Baseline!C71="Nieuwe Situatie",(SUM(Referentie_CO2_Totaal[[#This Row],[A1]:[B1]],Referentie_CO2_Totaal[[#This Row],[C1]:[D2]])*Baseline!R71),0))</f>
        <v>0</v>
      </c>
      <c r="L174" s="56">
        <f>IF(Baseline!C71="Bestaande situatie",IF(_xlfn.IFNA((VLOOKUP(Baseline!Y71,Database_Asfalt_Verwijderset[#All],12,FALSE)*Baseline!I71),0)+_xlfn.IFNA(VLOOKUP(Baseline!Z71,Database_Brandstoffen[#All],12,FALSE)*((Baseline!I71/Baseline!AB71)*Baseline!AA71),0)&gt;0,_xlfn.IFNA((VLOOKUP(Baseline!Y71,Database_Asfalt_Verwijderset[#All],12,FALSE)*Baseline!I71),0)+_xlfn.IFNA(VLOOKUP(Baseline!Z71,Database_Brandstoffen[#All],12,FALSE)*((Baseline!I71/Baseline!AB71)*Baseline!AA71),0),(_xlfn.IFNA(VLOOKUP(Referentie_CO2_Totaal[[#This Row],[Product]]&amp;", "&amp;Referentie_MKI_Totaal[[#Headers],[C1]],Database_Productkaarten[#All],18,FALSE),0)*Baseline!I71)),0)</f>
        <v>0</v>
      </c>
      <c r="M174" s="56">
        <f>IF(Baseline!AD71=0,(IF(Baseline!C71="Bestaande Situatie",(_xlfn.IFNA(VLOOKUP(Referentie_CO2_Totaal[[#This Row],[Product]]&amp;", "&amp;Referentie_MKI_Totaal[[#Headers],[C2]],Database_Productkaarten[#All],18,FALSE),0)*Baseline!I71),0)),(IF(Baseline!C71="Bestaande Situatie",_xlfn.IFNA(VLOOKUP(Baseline!AD71,Database_Transport[#All],12,FALSE)*(Baseline!Q71*Baseline!AC71),0))))</f>
        <v>0</v>
      </c>
      <c r="N174" s="56">
        <f>(IF(Baseline!C71="Bestaande Situatie",(_xlfn.IFNA(VLOOKUP(Referentie_CO2_Totaal[[#This Row],[Product]]&amp;", "&amp;Referentie_CO2_Totaal[[#Headers],[C3]],Database_Productkaarten[#All],18,FALSE),0)*Baseline!I71),0))</f>
        <v>0</v>
      </c>
      <c r="O174" s="56">
        <f>(IF(Baseline!C71="Bestaande Situatie",(_xlfn.IFNA(VLOOKUP(Referentie_CO2_Totaal[[#This Row],[Product]]&amp;", "&amp;Referentie_CO2_Totaal[[#Headers],[C4]],Database_Productkaarten[#All],18,FALSE),0)*Baseline!I71),0))</f>
        <v>0</v>
      </c>
      <c r="P174" s="56">
        <f>(IF(Baseline!C71="Bestaande Situatie",(_xlfn.IFNA(VLOOKUP(Referentie_CO2_Totaal[[#This Row],[Product]]&amp;", "&amp;Referentie_CO2_Totaal[[#Headers],[D1]],Database_Productkaarten[#All],18,FALSE),0)*Baseline!I71),0))</f>
        <v>0</v>
      </c>
      <c r="Q174" s="57">
        <f>(IF(Baseline!C71="Bestaande Situatie",_xlfn.IFNA(VLOOKUP(Referentie_CO2_Totaal[[#This Row],[Product]]&amp;", "&amp;Referentie_CO2_Totaal[[#Headers],[D2]],Database_Productkaarten[#All],18,FALSE),0)*Baseline!I71,0))</f>
        <v>0</v>
      </c>
      <c r="R174" s="57">
        <f>(IF(Baseline!C71="Bestaande Situatie",(_xlfn.IFNA(VLOOKUP(Referentie_CO2_Totaal[[#This Row],[Product]]&amp;", "&amp;Referentie_CO2_Totaal[[#Headers],[D]],Database_Productkaarten[#All],18,FALSE),0)*Baseline!I71),0))</f>
        <v>0</v>
      </c>
      <c r="S174" s="56">
        <f>SUM(Referentie_CO2_Totaal[[#This Row],[A1-A3]:[C4]])+Referentie_CO2_Totaal[[#This Row],[D]]</f>
        <v>0</v>
      </c>
    </row>
    <row r="175" spans="2:19">
      <c r="B175" s="208">
        <f>Baseline!B72</f>
        <v>0</v>
      </c>
      <c r="C175" s="1">
        <f>Baseline!F72</f>
        <v>0</v>
      </c>
      <c r="D175" s="56">
        <f>(IF(Baseline!C72="Nieuwe Situatie",(_xlfn.IFNA(VLOOKUP(Referentie_CO2_Totaal[[#This Row],[Product]]&amp;", "&amp;Referentie_CO2_Totaal[[#Headers],[A1]],Database_Productkaarten[#All],18,FALSE),0)*Baseline!I72),0))</f>
        <v>0</v>
      </c>
      <c r="E175" s="56">
        <f>(IF(Baseline!C72="Nieuwe Situatie",(_xlfn.IFNA(VLOOKUP(Referentie_CO2_Totaal[[#This Row],[Product]]&amp;", "&amp;Referentie_CO2_Totaal[[#Headers],[A2]],Database_Productkaarten[#All],18,FALSE),0)*Baseline!I72),0))</f>
        <v>0</v>
      </c>
      <c r="F175" s="56">
        <f>(IF(Baseline!C72="Nieuwe Situatie",(_xlfn.IFNA(VLOOKUP(Referentie_CO2_Totaal[[#This Row],[Product]]&amp;", "&amp;Referentie_CO2_Totaal[[#Headers],[A3]],Database_Productkaarten[#All],18,FALSE),0)*Baseline!I72),0))</f>
        <v>0</v>
      </c>
      <c r="G175" s="56">
        <f>(IF(Baseline!C72="Nieuwe Situatie",(_xlfn.IFNA(VLOOKUP(Referentie_CO2_Totaal[[#This Row],[Product]]&amp;", "&amp;Referentie_CO2_Totaal[[#Headers],[A1-A3]],Database_Productkaarten[#All],18,FALSE),0)*Baseline!I72),0))</f>
        <v>0</v>
      </c>
      <c r="H175" s="56">
        <f>IF(Baseline!T72=0,(IF(Baseline!C72="Nieuwe Situatie",(_xlfn.IFNA(VLOOKUP(Referentie_CO2_Totaal[[#This Row],[Product]]&amp;", "&amp;Referentie_CO2_Totaal[[#Headers],[A4]],Database_Productkaarten[#All],18,FALSE),0)*Baseline!I72),0)),IF(Baseline!C72="Nieuwe Situatie",_xlfn.IFNA(VLOOKUP(Baseline!T72,Database_Transport[#All],12,FALSE)*(Baseline!Q72*Baseline!S72),Baseline_Backlog!H175),0))</f>
        <v>0</v>
      </c>
      <c r="I175" s="56">
        <f>IF(Baseline!C72="Nieuwe situatie",IF(_xlfn.IFNA((VLOOKUP(Baseline!U72,Database_Asfalt_Aanlegset[#All],12,FALSE)*Baseline!I72),0)+_xlfn.IFNA(VLOOKUP(Baseline!V72,Database_Brandstoffen[#All],12,FALSE)*((Baseline!I72/Baseline!X72)*Baseline!W72),0)&gt;0,_xlfn.IFNA((VLOOKUP(Baseline!U72,Database_Asfalt_Aanlegset[#All],12,FALSE)*Baseline!I72),0)+_xlfn.IFNA(VLOOKUP(Baseline!V72,Database_Brandstoffen[#All],12,FALSE)*((Baseline!I72/Baseline!X72)*Baseline!W72),0),(_xlfn.IFNA(VLOOKUP(Referentie_CO2_Totaal[[#This Row],[Product]]&amp;", "&amp;Referentie_MKI_Totaal[[#Headers],[A5]],Database_Productkaarten[#All],18,FALSE),0)*Baseline!I72)),0)</f>
        <v>0</v>
      </c>
      <c r="J175" s="56">
        <f>(IF(Baseline!C72="Nieuwe Situatie",(_xlfn.IFNA(VLOOKUP(Referentie_CO2_Totaal[[#This Row],[Product]]&amp;", "&amp;Referentie_CO2_Totaal[[#Headers],[B1]],Database_Productkaarten[#All],18,FALSE),0)*Baseline!I72),0))</f>
        <v>0</v>
      </c>
      <c r="K175" s="56">
        <f>(IF(Baseline!C72="Nieuwe Situatie",(SUM(Referentie_CO2_Totaal[[#This Row],[A1]:[B1]],Referentie_CO2_Totaal[[#This Row],[C1]:[D2]])*Baseline!R72),0))</f>
        <v>0</v>
      </c>
      <c r="L175" s="56">
        <f>IF(Baseline!C72="Bestaande situatie",IF(_xlfn.IFNA((VLOOKUP(Baseline!Y72,Database_Asfalt_Verwijderset[#All],12,FALSE)*Baseline!I72),0)+_xlfn.IFNA(VLOOKUP(Baseline!Z72,Database_Brandstoffen[#All],12,FALSE)*((Baseline!I72/Baseline!AB72)*Baseline!AA72),0)&gt;0,_xlfn.IFNA((VLOOKUP(Baseline!Y72,Database_Asfalt_Verwijderset[#All],12,FALSE)*Baseline!I72),0)+_xlfn.IFNA(VLOOKUP(Baseline!Z72,Database_Brandstoffen[#All],12,FALSE)*((Baseline!I72/Baseline!AB72)*Baseline!AA72),0),(_xlfn.IFNA(VLOOKUP(Referentie_CO2_Totaal[[#This Row],[Product]]&amp;", "&amp;Referentie_MKI_Totaal[[#Headers],[C1]],Database_Productkaarten[#All],18,FALSE),0)*Baseline!I72)),0)</f>
        <v>0</v>
      </c>
      <c r="M175" s="56">
        <f>IF(Baseline!AD72=0,(IF(Baseline!C72="Bestaande Situatie",(_xlfn.IFNA(VLOOKUP(Referentie_CO2_Totaal[[#This Row],[Product]]&amp;", "&amp;Referentie_MKI_Totaal[[#Headers],[C2]],Database_Productkaarten[#All],18,FALSE),0)*Baseline!I72),0)),(IF(Baseline!C72="Bestaande Situatie",_xlfn.IFNA(VLOOKUP(Baseline!AD72,Database_Transport[#All],12,FALSE)*(Baseline!Q72*Baseline!AC72),0))))</f>
        <v>0</v>
      </c>
      <c r="N175" s="56">
        <f>(IF(Baseline!C72="Bestaande Situatie",(_xlfn.IFNA(VLOOKUP(Referentie_CO2_Totaal[[#This Row],[Product]]&amp;", "&amp;Referentie_CO2_Totaal[[#Headers],[C3]],Database_Productkaarten[#All],18,FALSE),0)*Baseline!I72),0))</f>
        <v>0</v>
      </c>
      <c r="O175" s="56">
        <f>(IF(Baseline!C72="Bestaande Situatie",(_xlfn.IFNA(VLOOKUP(Referentie_CO2_Totaal[[#This Row],[Product]]&amp;", "&amp;Referentie_CO2_Totaal[[#Headers],[C4]],Database_Productkaarten[#All],18,FALSE),0)*Baseline!I72),0))</f>
        <v>0</v>
      </c>
      <c r="P175" s="56">
        <f>(IF(Baseline!C72="Bestaande Situatie",(_xlfn.IFNA(VLOOKUP(Referentie_CO2_Totaal[[#This Row],[Product]]&amp;", "&amp;Referentie_CO2_Totaal[[#Headers],[D1]],Database_Productkaarten[#All],18,FALSE),0)*Baseline!I72),0))</f>
        <v>0</v>
      </c>
      <c r="Q175" s="57">
        <f>(IF(Baseline!C72="Bestaande Situatie",_xlfn.IFNA(VLOOKUP(Referentie_CO2_Totaal[[#This Row],[Product]]&amp;", "&amp;Referentie_CO2_Totaal[[#Headers],[D2]],Database_Productkaarten[#All],18,FALSE),0)*Baseline!I72,0))</f>
        <v>0</v>
      </c>
      <c r="R175" s="57">
        <f>(IF(Baseline!C72="Bestaande Situatie",(_xlfn.IFNA(VLOOKUP(Referentie_CO2_Totaal[[#This Row],[Product]]&amp;", "&amp;Referentie_CO2_Totaal[[#Headers],[D]],Database_Productkaarten[#All],18,FALSE),0)*Baseline!I72),0))</f>
        <v>0</v>
      </c>
      <c r="S175" s="56">
        <f>SUM(Referentie_CO2_Totaal[[#This Row],[A1-A3]:[C4]])+Referentie_CO2_Totaal[[#This Row],[D]]</f>
        <v>0</v>
      </c>
    </row>
    <row r="176" spans="2:19">
      <c r="B176" s="208">
        <f>Baseline!B73</f>
        <v>0</v>
      </c>
      <c r="C176" s="1">
        <f>Baseline!F73</f>
        <v>0</v>
      </c>
      <c r="D176" s="56">
        <f>(IF(Baseline!C73="Nieuwe Situatie",(_xlfn.IFNA(VLOOKUP(Referentie_CO2_Totaal[[#This Row],[Product]]&amp;", "&amp;Referentie_CO2_Totaal[[#Headers],[A1]],Database_Productkaarten[#All],18,FALSE),0)*Baseline!I73),0))</f>
        <v>0</v>
      </c>
      <c r="E176" s="56">
        <f>(IF(Baseline!C73="Nieuwe Situatie",(_xlfn.IFNA(VLOOKUP(Referentie_CO2_Totaal[[#This Row],[Product]]&amp;", "&amp;Referentie_CO2_Totaal[[#Headers],[A2]],Database_Productkaarten[#All],18,FALSE),0)*Baseline!I73),0))</f>
        <v>0</v>
      </c>
      <c r="F176" s="56">
        <f>(IF(Baseline!C73="Nieuwe Situatie",(_xlfn.IFNA(VLOOKUP(Referentie_CO2_Totaal[[#This Row],[Product]]&amp;", "&amp;Referentie_CO2_Totaal[[#Headers],[A3]],Database_Productkaarten[#All],18,FALSE),0)*Baseline!I73),0))</f>
        <v>0</v>
      </c>
      <c r="G176" s="56">
        <f>(IF(Baseline!C73="Nieuwe Situatie",(_xlfn.IFNA(VLOOKUP(Referentie_CO2_Totaal[[#This Row],[Product]]&amp;", "&amp;Referentie_CO2_Totaal[[#Headers],[A1-A3]],Database_Productkaarten[#All],18,FALSE),0)*Baseline!I73),0))</f>
        <v>0</v>
      </c>
      <c r="H176" s="56">
        <f>IF(Baseline!T73=0,(IF(Baseline!C73="Nieuwe Situatie",(_xlfn.IFNA(VLOOKUP(Referentie_CO2_Totaal[[#This Row],[Product]]&amp;", "&amp;Referentie_CO2_Totaal[[#Headers],[A4]],Database_Productkaarten[#All],18,FALSE),0)*Baseline!I73),0)),IF(Baseline!C73="Nieuwe Situatie",_xlfn.IFNA(VLOOKUP(Baseline!T73,Database_Transport[#All],12,FALSE)*(Baseline!Q73*Baseline!S73),Baseline_Backlog!H176),0))</f>
        <v>0</v>
      </c>
      <c r="I176" s="56">
        <f>IF(Baseline!C73="Nieuwe situatie",IF(_xlfn.IFNA((VLOOKUP(Baseline!U73,Database_Asfalt_Aanlegset[#All],12,FALSE)*Baseline!I73),0)+_xlfn.IFNA(VLOOKUP(Baseline!V73,Database_Brandstoffen[#All],12,FALSE)*((Baseline!I73/Baseline!X73)*Baseline!W73),0)&gt;0,_xlfn.IFNA((VLOOKUP(Baseline!U73,Database_Asfalt_Aanlegset[#All],12,FALSE)*Baseline!I73),0)+_xlfn.IFNA(VLOOKUP(Baseline!V73,Database_Brandstoffen[#All],12,FALSE)*((Baseline!I73/Baseline!X73)*Baseline!W73),0),(_xlfn.IFNA(VLOOKUP(Referentie_CO2_Totaal[[#This Row],[Product]]&amp;", "&amp;Referentie_MKI_Totaal[[#Headers],[A5]],Database_Productkaarten[#All],18,FALSE),0)*Baseline!I73)),0)</f>
        <v>0</v>
      </c>
      <c r="J176" s="56">
        <f>(IF(Baseline!C73="Nieuwe Situatie",(_xlfn.IFNA(VLOOKUP(Referentie_CO2_Totaal[[#This Row],[Product]]&amp;", "&amp;Referentie_CO2_Totaal[[#Headers],[B1]],Database_Productkaarten[#All],18,FALSE),0)*Baseline!I73),0))</f>
        <v>0</v>
      </c>
      <c r="K176" s="56">
        <f>(IF(Baseline!C73="Nieuwe Situatie",(SUM(Referentie_CO2_Totaal[[#This Row],[A1]:[B1]],Referentie_CO2_Totaal[[#This Row],[C1]:[D2]])*Baseline!R73),0))</f>
        <v>0</v>
      </c>
      <c r="L176" s="56">
        <f>IF(Baseline!C73="Bestaande situatie",IF(_xlfn.IFNA((VLOOKUP(Baseline!Y73,Database_Asfalt_Verwijderset[#All],12,FALSE)*Baseline!I73),0)+_xlfn.IFNA(VLOOKUP(Baseline!Z73,Database_Brandstoffen[#All],12,FALSE)*((Baseline!I73/Baseline!AB73)*Baseline!AA73),0)&gt;0,_xlfn.IFNA((VLOOKUP(Baseline!Y73,Database_Asfalt_Verwijderset[#All],12,FALSE)*Baseline!I73),0)+_xlfn.IFNA(VLOOKUP(Baseline!Z73,Database_Brandstoffen[#All],12,FALSE)*((Baseline!I73/Baseline!AB73)*Baseline!AA73),0),(_xlfn.IFNA(VLOOKUP(Referentie_CO2_Totaal[[#This Row],[Product]]&amp;", "&amp;Referentie_MKI_Totaal[[#Headers],[C1]],Database_Productkaarten[#All],18,FALSE),0)*Baseline!I73)),0)</f>
        <v>0</v>
      </c>
      <c r="M176" s="56">
        <f>IF(Baseline!AD73=0,(IF(Baseline!C73="Bestaande Situatie",(_xlfn.IFNA(VLOOKUP(Referentie_CO2_Totaal[[#This Row],[Product]]&amp;", "&amp;Referentie_MKI_Totaal[[#Headers],[C2]],Database_Productkaarten[#All],18,FALSE),0)*Baseline!I73),0)),(IF(Baseline!C73="Bestaande Situatie",_xlfn.IFNA(VLOOKUP(Baseline!AD73,Database_Transport[#All],12,FALSE)*(Baseline!Q73*Baseline!AC73),0))))</f>
        <v>0</v>
      </c>
      <c r="N176" s="56">
        <f>(IF(Baseline!C73="Bestaande Situatie",(_xlfn.IFNA(VLOOKUP(Referentie_CO2_Totaal[[#This Row],[Product]]&amp;", "&amp;Referentie_CO2_Totaal[[#Headers],[C3]],Database_Productkaarten[#All],18,FALSE),0)*Baseline!I73),0))</f>
        <v>0</v>
      </c>
      <c r="O176" s="56">
        <f>(IF(Baseline!C73="Bestaande Situatie",(_xlfn.IFNA(VLOOKUP(Referentie_CO2_Totaal[[#This Row],[Product]]&amp;", "&amp;Referentie_CO2_Totaal[[#Headers],[C4]],Database_Productkaarten[#All],18,FALSE),0)*Baseline!I73),0))</f>
        <v>0</v>
      </c>
      <c r="P176" s="56">
        <f>(IF(Baseline!C73="Bestaande Situatie",(_xlfn.IFNA(VLOOKUP(Referentie_CO2_Totaal[[#This Row],[Product]]&amp;", "&amp;Referentie_CO2_Totaal[[#Headers],[D1]],Database_Productkaarten[#All],18,FALSE),0)*Baseline!I73),0))</f>
        <v>0</v>
      </c>
      <c r="Q176" s="57">
        <f>(IF(Baseline!C73="Bestaande Situatie",_xlfn.IFNA(VLOOKUP(Referentie_CO2_Totaal[[#This Row],[Product]]&amp;", "&amp;Referentie_CO2_Totaal[[#Headers],[D2]],Database_Productkaarten[#All],18,FALSE),0)*Baseline!I73,0))</f>
        <v>0</v>
      </c>
      <c r="R176" s="57">
        <f>(IF(Baseline!C73="Bestaande Situatie",(_xlfn.IFNA(VLOOKUP(Referentie_CO2_Totaal[[#This Row],[Product]]&amp;", "&amp;Referentie_CO2_Totaal[[#Headers],[D]],Database_Productkaarten[#All],18,FALSE),0)*Baseline!I73),0))</f>
        <v>0</v>
      </c>
      <c r="S176" s="56">
        <f>SUM(Referentie_CO2_Totaal[[#This Row],[A1-A3]:[C4]])+Referentie_CO2_Totaal[[#This Row],[D]]</f>
        <v>0</v>
      </c>
    </row>
    <row r="177" spans="2:19">
      <c r="B177" s="208">
        <f>Baseline!B74</f>
        <v>0</v>
      </c>
      <c r="C177" s="1">
        <f>Baseline!F74</f>
        <v>0</v>
      </c>
      <c r="D177" s="56">
        <f>(IF(Baseline!C74="Nieuwe Situatie",(_xlfn.IFNA(VLOOKUP(Referentie_CO2_Totaal[[#This Row],[Product]]&amp;", "&amp;Referentie_CO2_Totaal[[#Headers],[A1]],Database_Productkaarten[#All],18,FALSE),0)*Baseline!I74),0))</f>
        <v>0</v>
      </c>
      <c r="E177" s="56">
        <f>(IF(Baseline!C74="Nieuwe Situatie",(_xlfn.IFNA(VLOOKUP(Referentie_CO2_Totaal[[#This Row],[Product]]&amp;", "&amp;Referentie_CO2_Totaal[[#Headers],[A2]],Database_Productkaarten[#All],18,FALSE),0)*Baseline!I74),0))</f>
        <v>0</v>
      </c>
      <c r="F177" s="56">
        <f>(IF(Baseline!C74="Nieuwe Situatie",(_xlfn.IFNA(VLOOKUP(Referentie_CO2_Totaal[[#This Row],[Product]]&amp;", "&amp;Referentie_CO2_Totaal[[#Headers],[A3]],Database_Productkaarten[#All],18,FALSE),0)*Baseline!I74),0))</f>
        <v>0</v>
      </c>
      <c r="G177" s="56">
        <f>(IF(Baseline!C74="Nieuwe Situatie",(_xlfn.IFNA(VLOOKUP(Referentie_CO2_Totaal[[#This Row],[Product]]&amp;", "&amp;Referentie_CO2_Totaal[[#Headers],[A1-A3]],Database_Productkaarten[#All],18,FALSE),0)*Baseline!I74),0))</f>
        <v>0</v>
      </c>
      <c r="H177" s="56">
        <f>IF(Baseline!T74=0,(IF(Baseline!C74="Nieuwe Situatie",(_xlfn.IFNA(VLOOKUP(Referentie_CO2_Totaal[[#This Row],[Product]]&amp;", "&amp;Referentie_CO2_Totaal[[#Headers],[A4]],Database_Productkaarten[#All],18,FALSE),0)*Baseline!I74),0)),IF(Baseline!C74="Nieuwe Situatie",_xlfn.IFNA(VLOOKUP(Baseline!T74,Database_Transport[#All],12,FALSE)*(Baseline!Q74*Baseline!S74),Baseline_Backlog!H177),0))</f>
        <v>0</v>
      </c>
      <c r="I177" s="56">
        <f>IF(Baseline!C74="Nieuwe situatie",IF(_xlfn.IFNA((VLOOKUP(Baseline!U74,Database_Asfalt_Aanlegset[#All],12,FALSE)*Baseline!I74),0)+_xlfn.IFNA(VLOOKUP(Baseline!V74,Database_Brandstoffen[#All],12,FALSE)*((Baseline!I74/Baseline!X74)*Baseline!W74),0)&gt;0,_xlfn.IFNA((VLOOKUP(Baseline!U74,Database_Asfalt_Aanlegset[#All],12,FALSE)*Baseline!I74),0)+_xlfn.IFNA(VLOOKUP(Baseline!V74,Database_Brandstoffen[#All],12,FALSE)*((Baseline!I74/Baseline!X74)*Baseline!W74),0),(_xlfn.IFNA(VLOOKUP(Referentie_CO2_Totaal[[#This Row],[Product]]&amp;", "&amp;Referentie_MKI_Totaal[[#Headers],[A5]],Database_Productkaarten[#All],18,FALSE),0)*Baseline!I74)),0)</f>
        <v>0</v>
      </c>
      <c r="J177" s="56">
        <f>(IF(Baseline!C74="Nieuwe Situatie",(_xlfn.IFNA(VLOOKUP(Referentie_CO2_Totaal[[#This Row],[Product]]&amp;", "&amp;Referentie_CO2_Totaal[[#Headers],[B1]],Database_Productkaarten[#All],18,FALSE),0)*Baseline!I74),0))</f>
        <v>0</v>
      </c>
      <c r="K177" s="56">
        <f>(IF(Baseline!C74="Nieuwe Situatie",(SUM(Referentie_CO2_Totaal[[#This Row],[A1]:[B1]],Referentie_CO2_Totaal[[#This Row],[C1]:[D2]])*Baseline!R74),0))</f>
        <v>0</v>
      </c>
      <c r="L177" s="56">
        <f>IF(Baseline!C74="Bestaande situatie",IF(_xlfn.IFNA((VLOOKUP(Baseline!Y74,Database_Asfalt_Verwijderset[#All],12,FALSE)*Baseline!I74),0)+_xlfn.IFNA(VLOOKUP(Baseline!Z74,Database_Brandstoffen[#All],12,FALSE)*((Baseline!I74/Baseline!AB74)*Baseline!AA74),0)&gt;0,_xlfn.IFNA((VLOOKUP(Baseline!Y74,Database_Asfalt_Verwijderset[#All],12,FALSE)*Baseline!I74),0)+_xlfn.IFNA(VLOOKUP(Baseline!Z74,Database_Brandstoffen[#All],12,FALSE)*((Baseline!I74/Baseline!AB74)*Baseline!AA74),0),(_xlfn.IFNA(VLOOKUP(Referentie_CO2_Totaal[[#This Row],[Product]]&amp;", "&amp;Referentie_MKI_Totaal[[#Headers],[C1]],Database_Productkaarten[#All],18,FALSE),0)*Baseline!I74)),0)</f>
        <v>0</v>
      </c>
      <c r="M177" s="56">
        <f>IF(Baseline!AD74=0,(IF(Baseline!C74="Bestaande Situatie",(_xlfn.IFNA(VLOOKUP(Referentie_CO2_Totaal[[#This Row],[Product]]&amp;", "&amp;Referentie_MKI_Totaal[[#Headers],[C2]],Database_Productkaarten[#All],18,FALSE),0)*Baseline!I74),0)),(IF(Baseline!C74="Bestaande Situatie",_xlfn.IFNA(VLOOKUP(Baseline!AD74,Database_Transport[#All],12,FALSE)*(Baseline!Q74*Baseline!AC74),0))))</f>
        <v>0</v>
      </c>
      <c r="N177" s="56">
        <f>(IF(Baseline!C74="Bestaande Situatie",(_xlfn.IFNA(VLOOKUP(Referentie_CO2_Totaal[[#This Row],[Product]]&amp;", "&amp;Referentie_CO2_Totaal[[#Headers],[C3]],Database_Productkaarten[#All],18,FALSE),0)*Baseline!I74),0))</f>
        <v>0</v>
      </c>
      <c r="O177" s="56">
        <f>(IF(Baseline!C74="Bestaande Situatie",(_xlfn.IFNA(VLOOKUP(Referentie_CO2_Totaal[[#This Row],[Product]]&amp;", "&amp;Referentie_CO2_Totaal[[#Headers],[C4]],Database_Productkaarten[#All],18,FALSE),0)*Baseline!I74),0))</f>
        <v>0</v>
      </c>
      <c r="P177" s="56">
        <f>(IF(Baseline!C74="Bestaande Situatie",(_xlfn.IFNA(VLOOKUP(Referentie_CO2_Totaal[[#This Row],[Product]]&amp;", "&amp;Referentie_CO2_Totaal[[#Headers],[D1]],Database_Productkaarten[#All],18,FALSE),0)*Baseline!I74),0))</f>
        <v>0</v>
      </c>
      <c r="Q177" s="57">
        <f>(IF(Baseline!C74="Bestaande Situatie",_xlfn.IFNA(VLOOKUP(Referentie_CO2_Totaal[[#This Row],[Product]]&amp;", "&amp;Referentie_CO2_Totaal[[#Headers],[D2]],Database_Productkaarten[#All],18,FALSE),0)*Baseline!I74,0))</f>
        <v>0</v>
      </c>
      <c r="R177" s="57">
        <f>(IF(Baseline!C74="Bestaande Situatie",(_xlfn.IFNA(VLOOKUP(Referentie_CO2_Totaal[[#This Row],[Product]]&amp;", "&amp;Referentie_CO2_Totaal[[#Headers],[D]],Database_Productkaarten[#All],18,FALSE),0)*Baseline!I74),0))</f>
        <v>0</v>
      </c>
      <c r="S177" s="56">
        <f>SUM(Referentie_CO2_Totaal[[#This Row],[A1-A3]:[C4]])+Referentie_CO2_Totaal[[#This Row],[D]]</f>
        <v>0</v>
      </c>
    </row>
    <row r="178" spans="2:19">
      <c r="B178" s="208">
        <f>Baseline!B75</f>
        <v>0</v>
      </c>
      <c r="C178" s="1">
        <f>Baseline!F75</f>
        <v>0</v>
      </c>
      <c r="D178" s="56">
        <f>(IF(Baseline!C75="Nieuwe Situatie",(_xlfn.IFNA(VLOOKUP(Referentie_CO2_Totaal[[#This Row],[Product]]&amp;", "&amp;Referentie_CO2_Totaal[[#Headers],[A1]],Database_Productkaarten[#All],18,FALSE),0)*Baseline!I75),0))</f>
        <v>0</v>
      </c>
      <c r="E178" s="56">
        <f>(IF(Baseline!C75="Nieuwe Situatie",(_xlfn.IFNA(VLOOKUP(Referentie_CO2_Totaal[[#This Row],[Product]]&amp;", "&amp;Referentie_CO2_Totaal[[#Headers],[A2]],Database_Productkaarten[#All],18,FALSE),0)*Baseline!I75),0))</f>
        <v>0</v>
      </c>
      <c r="F178" s="56">
        <f>(IF(Baseline!C75="Nieuwe Situatie",(_xlfn.IFNA(VLOOKUP(Referentie_CO2_Totaal[[#This Row],[Product]]&amp;", "&amp;Referentie_CO2_Totaal[[#Headers],[A3]],Database_Productkaarten[#All],18,FALSE),0)*Baseline!I75),0))</f>
        <v>0</v>
      </c>
      <c r="G178" s="56">
        <f>(IF(Baseline!C75="Nieuwe Situatie",(_xlfn.IFNA(VLOOKUP(Referentie_CO2_Totaal[[#This Row],[Product]]&amp;", "&amp;Referentie_CO2_Totaal[[#Headers],[A1-A3]],Database_Productkaarten[#All],18,FALSE),0)*Baseline!I75),0))</f>
        <v>0</v>
      </c>
      <c r="H178" s="56">
        <f>IF(Baseline!T75=0,(IF(Baseline!C75="Nieuwe Situatie",(_xlfn.IFNA(VLOOKUP(Referentie_CO2_Totaal[[#This Row],[Product]]&amp;", "&amp;Referentie_CO2_Totaal[[#Headers],[A4]],Database_Productkaarten[#All],18,FALSE),0)*Baseline!I75),0)),IF(Baseline!C75="Nieuwe Situatie",_xlfn.IFNA(VLOOKUP(Baseline!T75,Database_Transport[#All],12,FALSE)*(Baseline!Q75*Baseline!S75),Baseline_Backlog!H178),0))</f>
        <v>0</v>
      </c>
      <c r="I178" s="56">
        <f>IF(Baseline!C75="Nieuwe situatie",IF(_xlfn.IFNA((VLOOKUP(Baseline!U75,Database_Asfalt_Aanlegset[#All],12,FALSE)*Baseline!I75),0)+_xlfn.IFNA(VLOOKUP(Baseline!V75,Database_Brandstoffen[#All],12,FALSE)*((Baseline!I75/Baseline!X75)*Baseline!W75),0)&gt;0,_xlfn.IFNA((VLOOKUP(Baseline!U75,Database_Asfalt_Aanlegset[#All],12,FALSE)*Baseline!I75),0)+_xlfn.IFNA(VLOOKUP(Baseline!V75,Database_Brandstoffen[#All],12,FALSE)*((Baseline!I75/Baseline!X75)*Baseline!W75),0),(_xlfn.IFNA(VLOOKUP(Referentie_CO2_Totaal[[#This Row],[Product]]&amp;", "&amp;Referentie_MKI_Totaal[[#Headers],[A5]],Database_Productkaarten[#All],18,FALSE),0)*Baseline!I75)),0)</f>
        <v>0</v>
      </c>
      <c r="J178" s="56">
        <f>(IF(Baseline!C75="Nieuwe Situatie",(_xlfn.IFNA(VLOOKUP(Referentie_CO2_Totaal[[#This Row],[Product]]&amp;", "&amp;Referentie_CO2_Totaal[[#Headers],[B1]],Database_Productkaarten[#All],18,FALSE),0)*Baseline!I75),0))</f>
        <v>0</v>
      </c>
      <c r="K178" s="56">
        <f>(IF(Baseline!C75="Nieuwe Situatie",(SUM(Referentie_CO2_Totaal[[#This Row],[A1]:[B1]],Referentie_CO2_Totaal[[#This Row],[C1]:[D2]])*Baseline!R75),0))</f>
        <v>0</v>
      </c>
      <c r="L178" s="56">
        <f>IF(Baseline!C75="Bestaande situatie",IF(_xlfn.IFNA((VLOOKUP(Baseline!Y75,Database_Asfalt_Verwijderset[#All],12,FALSE)*Baseline!I75),0)+_xlfn.IFNA(VLOOKUP(Baseline!Z75,Database_Brandstoffen[#All],12,FALSE)*((Baseline!I75/Baseline!AB75)*Baseline!AA75),0)&gt;0,_xlfn.IFNA((VLOOKUP(Baseline!Y75,Database_Asfalt_Verwijderset[#All],12,FALSE)*Baseline!I75),0)+_xlfn.IFNA(VLOOKUP(Baseline!Z75,Database_Brandstoffen[#All],12,FALSE)*((Baseline!I75/Baseline!AB75)*Baseline!AA75),0),(_xlfn.IFNA(VLOOKUP(Referentie_CO2_Totaal[[#This Row],[Product]]&amp;", "&amp;Referentie_MKI_Totaal[[#Headers],[C1]],Database_Productkaarten[#All],18,FALSE),0)*Baseline!I75)),0)</f>
        <v>0</v>
      </c>
      <c r="M178" s="56">
        <f>IF(Baseline!AD75=0,(IF(Baseline!C75="Bestaande Situatie",(_xlfn.IFNA(VLOOKUP(Referentie_CO2_Totaal[[#This Row],[Product]]&amp;", "&amp;Referentie_MKI_Totaal[[#Headers],[C2]],Database_Productkaarten[#All],18,FALSE),0)*Baseline!I75),0)),(IF(Baseline!C75="Bestaande Situatie",_xlfn.IFNA(VLOOKUP(Baseline!AD75,Database_Transport[#All],12,FALSE)*(Baseline!Q75*Baseline!AC75),0))))</f>
        <v>0</v>
      </c>
      <c r="N178" s="56">
        <f>(IF(Baseline!C75="Bestaande Situatie",(_xlfn.IFNA(VLOOKUP(Referentie_CO2_Totaal[[#This Row],[Product]]&amp;", "&amp;Referentie_CO2_Totaal[[#Headers],[C3]],Database_Productkaarten[#All],18,FALSE),0)*Baseline!I75),0))</f>
        <v>0</v>
      </c>
      <c r="O178" s="56">
        <f>(IF(Baseline!C75="Bestaande Situatie",(_xlfn.IFNA(VLOOKUP(Referentie_CO2_Totaal[[#This Row],[Product]]&amp;", "&amp;Referentie_CO2_Totaal[[#Headers],[C4]],Database_Productkaarten[#All],18,FALSE),0)*Baseline!I75),0))</f>
        <v>0</v>
      </c>
      <c r="P178" s="56">
        <f>(IF(Baseline!C75="Bestaande Situatie",(_xlfn.IFNA(VLOOKUP(Referentie_CO2_Totaal[[#This Row],[Product]]&amp;", "&amp;Referentie_CO2_Totaal[[#Headers],[D1]],Database_Productkaarten[#All],18,FALSE),0)*Baseline!I75),0))</f>
        <v>0</v>
      </c>
      <c r="Q178" s="57">
        <f>(IF(Baseline!C75="Bestaande Situatie",_xlfn.IFNA(VLOOKUP(Referentie_CO2_Totaal[[#This Row],[Product]]&amp;", "&amp;Referentie_CO2_Totaal[[#Headers],[D2]],Database_Productkaarten[#All],18,FALSE),0)*Baseline!I75,0))</f>
        <v>0</v>
      </c>
      <c r="R178" s="57">
        <f>(IF(Baseline!C75="Bestaande Situatie",(_xlfn.IFNA(VLOOKUP(Referentie_CO2_Totaal[[#This Row],[Product]]&amp;", "&amp;Referentie_CO2_Totaal[[#Headers],[D]],Database_Productkaarten[#All],18,FALSE),0)*Baseline!I75),0))</f>
        <v>0</v>
      </c>
      <c r="S178" s="56">
        <f>SUM(Referentie_CO2_Totaal[[#This Row],[A1-A3]:[C4]])+Referentie_CO2_Totaal[[#This Row],[D]]</f>
        <v>0</v>
      </c>
    </row>
    <row r="179" spans="2:19">
      <c r="B179" s="208">
        <f>Baseline!B76</f>
        <v>0</v>
      </c>
      <c r="C179" s="1">
        <f>Baseline!F76</f>
        <v>0</v>
      </c>
      <c r="D179" s="56">
        <f>(IF(Baseline!C76="Nieuwe Situatie",(_xlfn.IFNA(VLOOKUP(Referentie_CO2_Totaal[[#This Row],[Product]]&amp;", "&amp;Referentie_CO2_Totaal[[#Headers],[A1]],Database_Productkaarten[#All],18,FALSE),0)*Baseline!I76),0))</f>
        <v>0</v>
      </c>
      <c r="E179" s="56">
        <f>(IF(Baseline!C76="Nieuwe Situatie",(_xlfn.IFNA(VLOOKUP(Referentie_CO2_Totaal[[#This Row],[Product]]&amp;", "&amp;Referentie_CO2_Totaal[[#Headers],[A2]],Database_Productkaarten[#All],18,FALSE),0)*Baseline!I76),0))</f>
        <v>0</v>
      </c>
      <c r="F179" s="56">
        <f>(IF(Baseline!C76="Nieuwe Situatie",(_xlfn.IFNA(VLOOKUP(Referentie_CO2_Totaal[[#This Row],[Product]]&amp;", "&amp;Referentie_CO2_Totaal[[#Headers],[A3]],Database_Productkaarten[#All],18,FALSE),0)*Baseline!I76),0))</f>
        <v>0</v>
      </c>
      <c r="G179" s="56">
        <f>(IF(Baseline!C76="Nieuwe Situatie",(_xlfn.IFNA(VLOOKUP(Referentie_CO2_Totaal[[#This Row],[Product]]&amp;", "&amp;Referentie_CO2_Totaal[[#Headers],[A1-A3]],Database_Productkaarten[#All],18,FALSE),0)*Baseline!I76),0))</f>
        <v>0</v>
      </c>
      <c r="H179" s="56">
        <f>IF(Baseline!T76=0,(IF(Baseline!C76="Nieuwe Situatie",(_xlfn.IFNA(VLOOKUP(Referentie_CO2_Totaal[[#This Row],[Product]]&amp;", "&amp;Referentie_CO2_Totaal[[#Headers],[A4]],Database_Productkaarten[#All],18,FALSE),0)*Baseline!I76),0)),IF(Baseline!C76="Nieuwe Situatie",_xlfn.IFNA(VLOOKUP(Baseline!T76,Database_Transport[#All],12,FALSE)*(Baseline!Q76*Baseline!S76),Baseline_Backlog!H179),0))</f>
        <v>0</v>
      </c>
      <c r="I179" s="56">
        <f>IF(Baseline!C76="Nieuwe situatie",IF(_xlfn.IFNA((VLOOKUP(Baseline!U76,Database_Asfalt_Aanlegset[#All],12,FALSE)*Baseline!I76),0)+_xlfn.IFNA(VLOOKUP(Baseline!V76,Database_Brandstoffen[#All],12,FALSE)*((Baseline!I76/Baseline!X76)*Baseline!W76),0)&gt;0,_xlfn.IFNA((VLOOKUP(Baseline!U76,Database_Asfalt_Aanlegset[#All],12,FALSE)*Baseline!I76),0)+_xlfn.IFNA(VLOOKUP(Baseline!V76,Database_Brandstoffen[#All],12,FALSE)*((Baseline!I76/Baseline!X76)*Baseline!W76),0),(_xlfn.IFNA(VLOOKUP(Referentie_CO2_Totaal[[#This Row],[Product]]&amp;", "&amp;Referentie_MKI_Totaal[[#Headers],[A5]],Database_Productkaarten[#All],18,FALSE),0)*Baseline!I76)),0)</f>
        <v>0</v>
      </c>
      <c r="J179" s="56">
        <f>(IF(Baseline!C76="Nieuwe Situatie",(_xlfn.IFNA(VLOOKUP(Referentie_CO2_Totaal[[#This Row],[Product]]&amp;", "&amp;Referentie_CO2_Totaal[[#Headers],[B1]],Database_Productkaarten[#All],18,FALSE),0)*Baseline!I76),0))</f>
        <v>0</v>
      </c>
      <c r="K179" s="56">
        <f>(IF(Baseline!C76="Nieuwe Situatie",(SUM(Referentie_CO2_Totaal[[#This Row],[A1]:[B1]],Referentie_CO2_Totaal[[#This Row],[C1]:[D2]])*Baseline!R76),0))</f>
        <v>0</v>
      </c>
      <c r="L179" s="56">
        <f>IF(Baseline!C76="Bestaande situatie",IF(_xlfn.IFNA((VLOOKUP(Baseline!Y76,Database_Asfalt_Verwijderset[#All],12,FALSE)*Baseline!I76),0)+_xlfn.IFNA(VLOOKUP(Baseline!Z76,Database_Brandstoffen[#All],12,FALSE)*((Baseline!I76/Baseline!AB76)*Baseline!AA76),0)&gt;0,_xlfn.IFNA((VLOOKUP(Baseline!Y76,Database_Asfalt_Verwijderset[#All],12,FALSE)*Baseline!I76),0)+_xlfn.IFNA(VLOOKUP(Baseline!Z76,Database_Brandstoffen[#All],12,FALSE)*((Baseline!I76/Baseline!AB76)*Baseline!AA76),0),(_xlfn.IFNA(VLOOKUP(Referentie_CO2_Totaal[[#This Row],[Product]]&amp;", "&amp;Referentie_MKI_Totaal[[#Headers],[C1]],Database_Productkaarten[#All],18,FALSE),0)*Baseline!I76)),0)</f>
        <v>0</v>
      </c>
      <c r="M179" s="56">
        <f>IF(Baseline!AD76=0,(IF(Baseline!C76="Bestaande Situatie",(_xlfn.IFNA(VLOOKUP(Referentie_CO2_Totaal[[#This Row],[Product]]&amp;", "&amp;Referentie_MKI_Totaal[[#Headers],[C2]],Database_Productkaarten[#All],18,FALSE),0)*Baseline!I76),0)),(IF(Baseline!C76="Bestaande Situatie",_xlfn.IFNA(VLOOKUP(Baseline!AD76,Database_Transport[#All],12,FALSE)*(Baseline!Q76*Baseline!AC76),0))))</f>
        <v>0</v>
      </c>
      <c r="N179" s="56">
        <f>(IF(Baseline!C76="Bestaande Situatie",(_xlfn.IFNA(VLOOKUP(Referentie_CO2_Totaal[[#This Row],[Product]]&amp;", "&amp;Referentie_CO2_Totaal[[#Headers],[C3]],Database_Productkaarten[#All],18,FALSE),0)*Baseline!I76),0))</f>
        <v>0</v>
      </c>
      <c r="O179" s="56">
        <f>(IF(Baseline!C76="Bestaande Situatie",(_xlfn.IFNA(VLOOKUP(Referentie_CO2_Totaal[[#This Row],[Product]]&amp;", "&amp;Referentie_CO2_Totaal[[#Headers],[C4]],Database_Productkaarten[#All],18,FALSE),0)*Baseline!I76),0))</f>
        <v>0</v>
      </c>
      <c r="P179" s="56">
        <f>(IF(Baseline!C76="Bestaande Situatie",(_xlfn.IFNA(VLOOKUP(Referentie_CO2_Totaal[[#This Row],[Product]]&amp;", "&amp;Referentie_CO2_Totaal[[#Headers],[D1]],Database_Productkaarten[#All],18,FALSE),0)*Baseline!I76),0))</f>
        <v>0</v>
      </c>
      <c r="Q179" s="57">
        <f>(IF(Baseline!C76="Bestaande Situatie",_xlfn.IFNA(VLOOKUP(Referentie_CO2_Totaal[[#This Row],[Product]]&amp;", "&amp;Referentie_CO2_Totaal[[#Headers],[D2]],Database_Productkaarten[#All],18,FALSE),0)*Baseline!I76,0))</f>
        <v>0</v>
      </c>
      <c r="R179" s="57">
        <f>(IF(Baseline!C76="Bestaande Situatie",(_xlfn.IFNA(VLOOKUP(Referentie_CO2_Totaal[[#This Row],[Product]]&amp;", "&amp;Referentie_CO2_Totaal[[#Headers],[D]],Database_Productkaarten[#All],18,FALSE),0)*Baseline!I76),0))</f>
        <v>0</v>
      </c>
      <c r="S179" s="56">
        <f>SUM(Referentie_CO2_Totaal[[#This Row],[A1-A3]:[C4]])+Referentie_CO2_Totaal[[#This Row],[D]]</f>
        <v>0</v>
      </c>
    </row>
    <row r="180" spans="2:19">
      <c r="B180" s="208">
        <f>Baseline!B77</f>
        <v>0</v>
      </c>
      <c r="C180" s="1">
        <f>Baseline!F77</f>
        <v>0</v>
      </c>
      <c r="D180" s="56">
        <f>(IF(Baseline!C77="Nieuwe Situatie",(_xlfn.IFNA(VLOOKUP(Referentie_CO2_Totaal[[#This Row],[Product]]&amp;", "&amp;Referentie_CO2_Totaal[[#Headers],[A1]],Database_Productkaarten[#All],18,FALSE),0)*Baseline!I77),0))</f>
        <v>0</v>
      </c>
      <c r="E180" s="56">
        <f>(IF(Baseline!C77="Nieuwe Situatie",(_xlfn.IFNA(VLOOKUP(Referentie_CO2_Totaal[[#This Row],[Product]]&amp;", "&amp;Referentie_CO2_Totaal[[#Headers],[A2]],Database_Productkaarten[#All],18,FALSE),0)*Baseline!I77),0))</f>
        <v>0</v>
      </c>
      <c r="F180" s="56">
        <f>(IF(Baseline!C77="Nieuwe Situatie",(_xlfn.IFNA(VLOOKUP(Referentie_CO2_Totaal[[#This Row],[Product]]&amp;", "&amp;Referentie_CO2_Totaal[[#Headers],[A3]],Database_Productkaarten[#All],18,FALSE),0)*Baseline!I77),0))</f>
        <v>0</v>
      </c>
      <c r="G180" s="56">
        <f>(IF(Baseline!C77="Nieuwe Situatie",(_xlfn.IFNA(VLOOKUP(Referentie_CO2_Totaal[[#This Row],[Product]]&amp;", "&amp;Referentie_CO2_Totaal[[#Headers],[A1-A3]],Database_Productkaarten[#All],18,FALSE),0)*Baseline!I77),0))</f>
        <v>0</v>
      </c>
      <c r="H180" s="56">
        <f>IF(Baseline!T77=0,(IF(Baseline!C77="Nieuwe Situatie",(_xlfn.IFNA(VLOOKUP(Referentie_CO2_Totaal[[#This Row],[Product]]&amp;", "&amp;Referentie_CO2_Totaal[[#Headers],[A4]],Database_Productkaarten[#All],18,FALSE),0)*Baseline!I77),0)),IF(Baseline!C77="Nieuwe Situatie",_xlfn.IFNA(VLOOKUP(Baseline!T77,Database_Transport[#All],12,FALSE)*(Baseline!Q77*Baseline!S77),Baseline_Backlog!H180),0))</f>
        <v>0</v>
      </c>
      <c r="I180" s="56">
        <f>IF(Baseline!C77="Nieuwe situatie",IF(_xlfn.IFNA((VLOOKUP(Baseline!U77,Database_Asfalt_Aanlegset[#All],12,FALSE)*Baseline!I77),0)+_xlfn.IFNA(VLOOKUP(Baseline!V77,Database_Brandstoffen[#All],12,FALSE)*((Baseline!I77/Baseline!X77)*Baseline!W77),0)&gt;0,_xlfn.IFNA((VLOOKUP(Baseline!U77,Database_Asfalt_Aanlegset[#All],12,FALSE)*Baseline!I77),0)+_xlfn.IFNA(VLOOKUP(Baseline!V77,Database_Brandstoffen[#All],12,FALSE)*((Baseline!I77/Baseline!X77)*Baseline!W77),0),(_xlfn.IFNA(VLOOKUP(Referentie_CO2_Totaal[[#This Row],[Product]]&amp;", "&amp;Referentie_MKI_Totaal[[#Headers],[A5]],Database_Productkaarten[#All],18,FALSE),0)*Baseline!I77)),0)</f>
        <v>0</v>
      </c>
      <c r="J180" s="56">
        <f>(IF(Baseline!C77="Nieuwe Situatie",(_xlfn.IFNA(VLOOKUP(Referentie_CO2_Totaal[[#This Row],[Product]]&amp;", "&amp;Referentie_CO2_Totaal[[#Headers],[B1]],Database_Productkaarten[#All],18,FALSE),0)*Baseline!I77),0))</f>
        <v>0</v>
      </c>
      <c r="K180" s="56">
        <f>(IF(Baseline!C77="Nieuwe Situatie",(SUM(Referentie_CO2_Totaal[[#This Row],[A1]:[B1]],Referentie_CO2_Totaal[[#This Row],[C1]:[D2]])*Baseline!R77),0))</f>
        <v>0</v>
      </c>
      <c r="L180" s="56">
        <f>IF(Baseline!C77="Bestaande situatie",IF(_xlfn.IFNA((VLOOKUP(Baseline!Y77,Database_Asfalt_Verwijderset[#All],12,FALSE)*Baseline!I77),0)+_xlfn.IFNA(VLOOKUP(Baseline!Z77,Database_Brandstoffen[#All],12,FALSE)*((Baseline!I77/Baseline!AB77)*Baseline!AA77),0)&gt;0,_xlfn.IFNA((VLOOKUP(Baseline!Y77,Database_Asfalt_Verwijderset[#All],12,FALSE)*Baseline!I77),0)+_xlfn.IFNA(VLOOKUP(Baseline!Z77,Database_Brandstoffen[#All],12,FALSE)*((Baseline!I77/Baseline!AB77)*Baseline!AA77),0),(_xlfn.IFNA(VLOOKUP(Referentie_CO2_Totaal[[#This Row],[Product]]&amp;", "&amp;Referentie_MKI_Totaal[[#Headers],[C1]],Database_Productkaarten[#All],18,FALSE),0)*Baseline!I77)),0)</f>
        <v>0</v>
      </c>
      <c r="M180" s="56">
        <f>IF(Baseline!AD77=0,(IF(Baseline!C77="Bestaande Situatie",(_xlfn.IFNA(VLOOKUP(Referentie_CO2_Totaal[[#This Row],[Product]]&amp;", "&amp;Referentie_MKI_Totaal[[#Headers],[C2]],Database_Productkaarten[#All],18,FALSE),0)*Baseline!I77),0)),(IF(Baseline!C77="Bestaande Situatie",_xlfn.IFNA(VLOOKUP(Baseline!AD77,Database_Transport[#All],12,FALSE)*(Baseline!Q77*Baseline!AC77),0))))</f>
        <v>0</v>
      </c>
      <c r="N180" s="56">
        <f>(IF(Baseline!C77="Bestaande Situatie",(_xlfn.IFNA(VLOOKUP(Referentie_CO2_Totaal[[#This Row],[Product]]&amp;", "&amp;Referentie_CO2_Totaal[[#Headers],[C3]],Database_Productkaarten[#All],18,FALSE),0)*Baseline!I77),0))</f>
        <v>0</v>
      </c>
      <c r="O180" s="56">
        <f>(IF(Baseline!C77="Bestaande Situatie",(_xlfn.IFNA(VLOOKUP(Referentie_CO2_Totaal[[#This Row],[Product]]&amp;", "&amp;Referentie_CO2_Totaal[[#Headers],[C4]],Database_Productkaarten[#All],18,FALSE),0)*Baseline!I77),0))</f>
        <v>0</v>
      </c>
      <c r="P180" s="56">
        <f>(IF(Baseline!C77="Bestaande Situatie",(_xlfn.IFNA(VLOOKUP(Referentie_CO2_Totaal[[#This Row],[Product]]&amp;", "&amp;Referentie_CO2_Totaal[[#Headers],[D1]],Database_Productkaarten[#All],18,FALSE),0)*Baseline!I77),0))</f>
        <v>0</v>
      </c>
      <c r="Q180" s="57">
        <f>(IF(Baseline!C77="Bestaande Situatie",_xlfn.IFNA(VLOOKUP(Referentie_CO2_Totaal[[#This Row],[Product]]&amp;", "&amp;Referentie_CO2_Totaal[[#Headers],[D2]],Database_Productkaarten[#All],18,FALSE),0)*Baseline!I77,0))</f>
        <v>0</v>
      </c>
      <c r="R180" s="57">
        <f>(IF(Baseline!C77="Bestaande Situatie",(_xlfn.IFNA(VLOOKUP(Referentie_CO2_Totaal[[#This Row],[Product]]&amp;", "&amp;Referentie_CO2_Totaal[[#Headers],[D]],Database_Productkaarten[#All],18,FALSE),0)*Baseline!I77),0))</f>
        <v>0</v>
      </c>
      <c r="S180" s="56">
        <f>SUM(Referentie_CO2_Totaal[[#This Row],[A1-A3]:[C4]])+Referentie_CO2_Totaal[[#This Row],[D]]</f>
        <v>0</v>
      </c>
    </row>
    <row r="181" spans="2:19">
      <c r="B181" s="208">
        <f>Baseline!B78</f>
        <v>0</v>
      </c>
      <c r="C181" s="1">
        <f>Baseline!F78</f>
        <v>0</v>
      </c>
      <c r="D181" s="56">
        <f>(IF(Baseline!C78="Nieuwe Situatie",(_xlfn.IFNA(VLOOKUP(Referentie_CO2_Totaal[[#This Row],[Product]]&amp;", "&amp;Referentie_CO2_Totaal[[#Headers],[A1]],Database_Productkaarten[#All],18,FALSE),0)*Baseline!I78),0))</f>
        <v>0</v>
      </c>
      <c r="E181" s="56">
        <f>(IF(Baseline!C78="Nieuwe Situatie",(_xlfn.IFNA(VLOOKUP(Referentie_CO2_Totaal[[#This Row],[Product]]&amp;", "&amp;Referentie_CO2_Totaal[[#Headers],[A2]],Database_Productkaarten[#All],18,FALSE),0)*Baseline!I78),0))</f>
        <v>0</v>
      </c>
      <c r="F181" s="56">
        <f>(IF(Baseline!C78="Nieuwe Situatie",(_xlfn.IFNA(VLOOKUP(Referentie_CO2_Totaal[[#This Row],[Product]]&amp;", "&amp;Referentie_CO2_Totaal[[#Headers],[A3]],Database_Productkaarten[#All],18,FALSE),0)*Baseline!I78),0))</f>
        <v>0</v>
      </c>
      <c r="G181" s="56">
        <f>(IF(Baseline!C78="Nieuwe Situatie",(_xlfn.IFNA(VLOOKUP(Referentie_CO2_Totaal[[#This Row],[Product]]&amp;", "&amp;Referentie_CO2_Totaal[[#Headers],[A1-A3]],Database_Productkaarten[#All],18,FALSE),0)*Baseline!I78),0))</f>
        <v>0</v>
      </c>
      <c r="H181" s="56">
        <f>IF(Baseline!T78=0,(IF(Baseline!C78="Nieuwe Situatie",(_xlfn.IFNA(VLOOKUP(Referentie_CO2_Totaal[[#This Row],[Product]]&amp;", "&amp;Referentie_CO2_Totaal[[#Headers],[A4]],Database_Productkaarten[#All],18,FALSE),0)*Baseline!I78),0)),IF(Baseline!C78="Nieuwe Situatie",_xlfn.IFNA(VLOOKUP(Baseline!T78,Database_Transport[#All],12,FALSE)*(Baseline!Q78*Baseline!S78),Baseline_Backlog!H181),0))</f>
        <v>0</v>
      </c>
      <c r="I181" s="56">
        <f>IF(Baseline!C78="Nieuwe situatie",IF(_xlfn.IFNA((VLOOKUP(Baseline!U78,Database_Asfalt_Aanlegset[#All],12,FALSE)*Baseline!I78),0)+_xlfn.IFNA(VLOOKUP(Baseline!V78,Database_Brandstoffen[#All],12,FALSE)*((Baseline!I78/Baseline!X78)*Baseline!W78),0)&gt;0,_xlfn.IFNA((VLOOKUP(Baseline!U78,Database_Asfalt_Aanlegset[#All],12,FALSE)*Baseline!I78),0)+_xlfn.IFNA(VLOOKUP(Baseline!V78,Database_Brandstoffen[#All],12,FALSE)*((Baseline!I78/Baseline!X78)*Baseline!W78),0),(_xlfn.IFNA(VLOOKUP(Referentie_CO2_Totaal[[#This Row],[Product]]&amp;", "&amp;Referentie_MKI_Totaal[[#Headers],[A5]],Database_Productkaarten[#All],18,FALSE),0)*Baseline!I78)),0)</f>
        <v>0</v>
      </c>
      <c r="J181" s="56">
        <f>(IF(Baseline!C78="Nieuwe Situatie",(_xlfn.IFNA(VLOOKUP(Referentie_CO2_Totaal[[#This Row],[Product]]&amp;", "&amp;Referentie_CO2_Totaal[[#Headers],[B1]],Database_Productkaarten[#All],18,FALSE),0)*Baseline!I78),0))</f>
        <v>0</v>
      </c>
      <c r="K181" s="56">
        <f>(IF(Baseline!C78="Nieuwe Situatie",(SUM(Referentie_CO2_Totaal[[#This Row],[A1]:[B1]],Referentie_CO2_Totaal[[#This Row],[C1]:[D2]])*Baseline!R78),0))</f>
        <v>0</v>
      </c>
      <c r="L181" s="56">
        <f>IF(Baseline!C78="Bestaande situatie",IF(_xlfn.IFNA((VLOOKUP(Baseline!Y78,Database_Asfalt_Verwijderset[#All],12,FALSE)*Baseline!I78),0)+_xlfn.IFNA(VLOOKUP(Baseline!Z78,Database_Brandstoffen[#All],12,FALSE)*((Baseline!I78/Baseline!AB78)*Baseline!AA78),0)&gt;0,_xlfn.IFNA((VLOOKUP(Baseline!Y78,Database_Asfalt_Verwijderset[#All],12,FALSE)*Baseline!I78),0)+_xlfn.IFNA(VLOOKUP(Baseline!Z78,Database_Brandstoffen[#All],12,FALSE)*((Baseline!I78/Baseline!AB78)*Baseline!AA78),0),(_xlfn.IFNA(VLOOKUP(Referentie_CO2_Totaal[[#This Row],[Product]]&amp;", "&amp;Referentie_MKI_Totaal[[#Headers],[C1]],Database_Productkaarten[#All],18,FALSE),0)*Baseline!I78)),0)</f>
        <v>0</v>
      </c>
      <c r="M181" s="56">
        <f>IF(Baseline!AD78=0,(IF(Baseline!C78="Bestaande Situatie",(_xlfn.IFNA(VLOOKUP(Referentie_CO2_Totaal[[#This Row],[Product]]&amp;", "&amp;Referentie_MKI_Totaal[[#Headers],[C2]],Database_Productkaarten[#All],18,FALSE),0)*Baseline!I78),0)),(IF(Baseline!C78="Bestaande Situatie",_xlfn.IFNA(VLOOKUP(Baseline!AD78,Database_Transport[#All],12,FALSE)*(Baseline!Q78*Baseline!AC78),0))))</f>
        <v>0</v>
      </c>
      <c r="N181" s="56">
        <f>(IF(Baseline!C78="Bestaande Situatie",(_xlfn.IFNA(VLOOKUP(Referentie_CO2_Totaal[[#This Row],[Product]]&amp;", "&amp;Referentie_CO2_Totaal[[#Headers],[C3]],Database_Productkaarten[#All],18,FALSE),0)*Baseline!I78),0))</f>
        <v>0</v>
      </c>
      <c r="O181" s="56">
        <f>(IF(Baseline!C78="Bestaande Situatie",(_xlfn.IFNA(VLOOKUP(Referentie_CO2_Totaal[[#This Row],[Product]]&amp;", "&amp;Referentie_CO2_Totaal[[#Headers],[C4]],Database_Productkaarten[#All],18,FALSE),0)*Baseline!I78),0))</f>
        <v>0</v>
      </c>
      <c r="P181" s="56">
        <f>(IF(Baseline!C78="Bestaande Situatie",(_xlfn.IFNA(VLOOKUP(Referentie_CO2_Totaal[[#This Row],[Product]]&amp;", "&amp;Referentie_CO2_Totaal[[#Headers],[D1]],Database_Productkaarten[#All],18,FALSE),0)*Baseline!I78),0))</f>
        <v>0</v>
      </c>
      <c r="Q181" s="57">
        <f>(IF(Baseline!C78="Bestaande Situatie",_xlfn.IFNA(VLOOKUP(Referentie_CO2_Totaal[[#This Row],[Product]]&amp;", "&amp;Referentie_CO2_Totaal[[#Headers],[D2]],Database_Productkaarten[#All],18,FALSE),0)*Baseline!I78,0))</f>
        <v>0</v>
      </c>
      <c r="R181" s="57">
        <f>(IF(Baseline!C78="Bestaande Situatie",(_xlfn.IFNA(VLOOKUP(Referentie_CO2_Totaal[[#This Row],[Product]]&amp;", "&amp;Referentie_CO2_Totaal[[#Headers],[D]],Database_Productkaarten[#All],18,FALSE),0)*Baseline!I78),0))</f>
        <v>0</v>
      </c>
      <c r="S181" s="56">
        <f>SUM(Referentie_CO2_Totaal[[#This Row],[A1-A3]:[C4]])+Referentie_CO2_Totaal[[#This Row],[D]]</f>
        <v>0</v>
      </c>
    </row>
    <row r="182" spans="2:19">
      <c r="B182" s="208">
        <f>Baseline!B79</f>
        <v>0</v>
      </c>
      <c r="C182" s="1">
        <f>Baseline!F79</f>
        <v>0</v>
      </c>
      <c r="D182" s="56">
        <f>(IF(Baseline!C79="Nieuwe Situatie",(_xlfn.IFNA(VLOOKUP(Referentie_CO2_Totaal[[#This Row],[Product]]&amp;", "&amp;Referentie_CO2_Totaal[[#Headers],[A1]],Database_Productkaarten[#All],18,FALSE),0)*Baseline!I79),0))</f>
        <v>0</v>
      </c>
      <c r="E182" s="56">
        <f>(IF(Baseline!C79="Nieuwe Situatie",(_xlfn.IFNA(VLOOKUP(Referentie_CO2_Totaal[[#This Row],[Product]]&amp;", "&amp;Referentie_CO2_Totaal[[#Headers],[A2]],Database_Productkaarten[#All],18,FALSE),0)*Baseline!I79),0))</f>
        <v>0</v>
      </c>
      <c r="F182" s="56">
        <f>(IF(Baseline!C79="Nieuwe Situatie",(_xlfn.IFNA(VLOOKUP(Referentie_CO2_Totaal[[#This Row],[Product]]&amp;", "&amp;Referentie_CO2_Totaal[[#Headers],[A3]],Database_Productkaarten[#All],18,FALSE),0)*Baseline!I79),0))</f>
        <v>0</v>
      </c>
      <c r="G182" s="56">
        <f>(IF(Baseline!C79="Nieuwe Situatie",(_xlfn.IFNA(VLOOKUP(Referentie_CO2_Totaal[[#This Row],[Product]]&amp;", "&amp;Referentie_CO2_Totaal[[#Headers],[A1-A3]],Database_Productkaarten[#All],18,FALSE),0)*Baseline!I79),0))</f>
        <v>0</v>
      </c>
      <c r="H182" s="56">
        <f>IF(Baseline!T79=0,(IF(Baseline!C79="Nieuwe Situatie",(_xlfn.IFNA(VLOOKUP(Referentie_CO2_Totaal[[#This Row],[Product]]&amp;", "&amp;Referentie_CO2_Totaal[[#Headers],[A4]],Database_Productkaarten[#All],18,FALSE),0)*Baseline!I79),0)),IF(Baseline!C79="Nieuwe Situatie",_xlfn.IFNA(VLOOKUP(Baseline!T79,Database_Transport[#All],12,FALSE)*(Baseline!Q79*Baseline!S79),Baseline_Backlog!H182),0))</f>
        <v>0</v>
      </c>
      <c r="I182" s="56">
        <f>IF(Baseline!C79="Nieuwe situatie",IF(_xlfn.IFNA((VLOOKUP(Baseline!U79,Database_Asfalt_Aanlegset[#All],12,FALSE)*Baseline!I79),0)+_xlfn.IFNA(VLOOKUP(Baseline!V79,Database_Brandstoffen[#All],12,FALSE)*((Baseline!I79/Baseline!X79)*Baseline!W79),0)&gt;0,_xlfn.IFNA((VLOOKUP(Baseline!U79,Database_Asfalt_Aanlegset[#All],12,FALSE)*Baseline!I79),0)+_xlfn.IFNA(VLOOKUP(Baseline!V79,Database_Brandstoffen[#All],12,FALSE)*((Baseline!I79/Baseline!X79)*Baseline!W79),0),(_xlfn.IFNA(VLOOKUP(Referentie_CO2_Totaal[[#This Row],[Product]]&amp;", "&amp;Referentie_MKI_Totaal[[#Headers],[A5]],Database_Productkaarten[#All],18,FALSE),0)*Baseline!I79)),0)</f>
        <v>0</v>
      </c>
      <c r="J182" s="56">
        <f>(IF(Baseline!C79="Nieuwe Situatie",(_xlfn.IFNA(VLOOKUP(Referentie_CO2_Totaal[[#This Row],[Product]]&amp;", "&amp;Referentie_CO2_Totaal[[#Headers],[B1]],Database_Productkaarten[#All],18,FALSE),0)*Baseline!I79),0))</f>
        <v>0</v>
      </c>
      <c r="K182" s="56">
        <f>(IF(Baseline!C79="Nieuwe Situatie",(SUM(Referentie_CO2_Totaal[[#This Row],[A1]:[B1]],Referentie_CO2_Totaal[[#This Row],[C1]:[D2]])*Baseline!R79),0))</f>
        <v>0</v>
      </c>
      <c r="L182" s="56">
        <f>IF(Baseline!C79="Bestaande situatie",IF(_xlfn.IFNA((VLOOKUP(Baseline!Y79,Database_Asfalt_Verwijderset[#All],12,FALSE)*Baseline!I79),0)+_xlfn.IFNA(VLOOKUP(Baseline!Z79,Database_Brandstoffen[#All],12,FALSE)*((Baseline!I79/Baseline!AB79)*Baseline!AA79),0)&gt;0,_xlfn.IFNA((VLOOKUP(Baseline!Y79,Database_Asfalt_Verwijderset[#All],12,FALSE)*Baseline!I79),0)+_xlfn.IFNA(VLOOKUP(Baseline!Z79,Database_Brandstoffen[#All],12,FALSE)*((Baseline!I79/Baseline!AB79)*Baseline!AA79),0),(_xlfn.IFNA(VLOOKUP(Referentie_CO2_Totaal[[#This Row],[Product]]&amp;", "&amp;Referentie_MKI_Totaal[[#Headers],[C1]],Database_Productkaarten[#All],18,FALSE),0)*Baseline!I79)),0)</f>
        <v>0</v>
      </c>
      <c r="M182" s="56">
        <f>IF(Baseline!AD79=0,(IF(Baseline!C79="Bestaande Situatie",(_xlfn.IFNA(VLOOKUP(Referentie_CO2_Totaal[[#This Row],[Product]]&amp;", "&amp;Referentie_MKI_Totaal[[#Headers],[C2]],Database_Productkaarten[#All],18,FALSE),0)*Baseline!I79),0)),(IF(Baseline!C79="Bestaande Situatie",_xlfn.IFNA(VLOOKUP(Baseline!AD79,Database_Transport[#All],12,FALSE)*(Baseline!Q79*Baseline!AC79),0))))</f>
        <v>0</v>
      </c>
      <c r="N182" s="56">
        <f>(IF(Baseline!C79="Bestaande Situatie",(_xlfn.IFNA(VLOOKUP(Referentie_CO2_Totaal[[#This Row],[Product]]&amp;", "&amp;Referentie_CO2_Totaal[[#Headers],[C3]],Database_Productkaarten[#All],18,FALSE),0)*Baseline!I79),0))</f>
        <v>0</v>
      </c>
      <c r="O182" s="56">
        <f>(IF(Baseline!C79="Bestaande Situatie",(_xlfn.IFNA(VLOOKUP(Referentie_CO2_Totaal[[#This Row],[Product]]&amp;", "&amp;Referentie_CO2_Totaal[[#Headers],[C4]],Database_Productkaarten[#All],18,FALSE),0)*Baseline!I79),0))</f>
        <v>0</v>
      </c>
      <c r="P182" s="56">
        <f>(IF(Baseline!C79="Bestaande Situatie",(_xlfn.IFNA(VLOOKUP(Referentie_CO2_Totaal[[#This Row],[Product]]&amp;", "&amp;Referentie_CO2_Totaal[[#Headers],[D1]],Database_Productkaarten[#All],18,FALSE),0)*Baseline!I79),0))</f>
        <v>0</v>
      </c>
      <c r="Q182" s="57">
        <f>(IF(Baseline!C79="Bestaande Situatie",_xlfn.IFNA(VLOOKUP(Referentie_CO2_Totaal[[#This Row],[Product]]&amp;", "&amp;Referentie_CO2_Totaal[[#Headers],[D2]],Database_Productkaarten[#All],18,FALSE),0)*Baseline!I79,0))</f>
        <v>0</v>
      </c>
      <c r="R182" s="57">
        <f>(IF(Baseline!C79="Bestaande Situatie",(_xlfn.IFNA(VLOOKUP(Referentie_CO2_Totaal[[#This Row],[Product]]&amp;", "&amp;Referentie_CO2_Totaal[[#Headers],[D]],Database_Productkaarten[#All],18,FALSE),0)*Baseline!I79),0))</f>
        <v>0</v>
      </c>
      <c r="S182" s="56">
        <f>SUM(Referentie_CO2_Totaal[[#This Row],[A1-A3]:[C4]])+Referentie_CO2_Totaal[[#This Row],[D]]</f>
        <v>0</v>
      </c>
    </row>
    <row r="183" spans="2:19">
      <c r="B183" s="208">
        <f>Baseline!B80</f>
        <v>0</v>
      </c>
      <c r="C183" s="1">
        <f>Baseline!F80</f>
        <v>0</v>
      </c>
      <c r="D183" s="56">
        <f>(IF(Baseline!C80="Nieuwe Situatie",(_xlfn.IFNA(VLOOKUP(Referentie_CO2_Totaal[[#This Row],[Product]]&amp;", "&amp;Referentie_CO2_Totaal[[#Headers],[A1]],Database_Productkaarten[#All],18,FALSE),0)*Baseline!I80),0))</f>
        <v>0</v>
      </c>
      <c r="E183" s="56">
        <f>(IF(Baseline!C80="Nieuwe Situatie",(_xlfn.IFNA(VLOOKUP(Referentie_CO2_Totaal[[#This Row],[Product]]&amp;", "&amp;Referentie_CO2_Totaal[[#Headers],[A2]],Database_Productkaarten[#All],18,FALSE),0)*Baseline!I80),0))</f>
        <v>0</v>
      </c>
      <c r="F183" s="56">
        <f>(IF(Baseline!C80="Nieuwe Situatie",(_xlfn.IFNA(VLOOKUP(Referentie_CO2_Totaal[[#This Row],[Product]]&amp;", "&amp;Referentie_CO2_Totaal[[#Headers],[A3]],Database_Productkaarten[#All],18,FALSE),0)*Baseline!I80),0))</f>
        <v>0</v>
      </c>
      <c r="G183" s="56">
        <f>(IF(Baseline!C80="Nieuwe Situatie",(_xlfn.IFNA(VLOOKUP(Referentie_CO2_Totaal[[#This Row],[Product]]&amp;", "&amp;Referentie_CO2_Totaal[[#Headers],[A1-A3]],Database_Productkaarten[#All],18,FALSE),0)*Baseline!I80),0))</f>
        <v>0</v>
      </c>
      <c r="H183" s="56">
        <f>IF(Baseline!T80=0,(IF(Baseline!C80="Nieuwe Situatie",(_xlfn.IFNA(VLOOKUP(Referentie_CO2_Totaal[[#This Row],[Product]]&amp;", "&amp;Referentie_CO2_Totaal[[#Headers],[A4]],Database_Productkaarten[#All],18,FALSE),0)*Baseline!I80),0)),IF(Baseline!C80="Nieuwe Situatie",_xlfn.IFNA(VLOOKUP(Baseline!T80,Database_Transport[#All],12,FALSE)*(Baseline!Q80*Baseline!S80),Baseline_Backlog!H183),0))</f>
        <v>0</v>
      </c>
      <c r="I183" s="56">
        <f>IF(Baseline!C80="Nieuwe situatie",IF(_xlfn.IFNA((VLOOKUP(Baseline!U80,Database_Asfalt_Aanlegset[#All],12,FALSE)*Baseline!I80),0)+_xlfn.IFNA(VLOOKUP(Baseline!V80,Database_Brandstoffen[#All],12,FALSE)*((Baseline!I80/Baseline!X80)*Baseline!W80),0)&gt;0,_xlfn.IFNA((VLOOKUP(Baseline!U80,Database_Asfalt_Aanlegset[#All],12,FALSE)*Baseline!I80),0)+_xlfn.IFNA(VLOOKUP(Baseline!V80,Database_Brandstoffen[#All],12,FALSE)*((Baseline!I80/Baseline!X80)*Baseline!W80),0),(_xlfn.IFNA(VLOOKUP(Referentie_CO2_Totaal[[#This Row],[Product]]&amp;", "&amp;Referentie_MKI_Totaal[[#Headers],[A5]],Database_Productkaarten[#All],18,FALSE),0)*Baseline!I80)),0)</f>
        <v>0</v>
      </c>
      <c r="J183" s="56">
        <f>(IF(Baseline!C80="Nieuwe Situatie",(_xlfn.IFNA(VLOOKUP(Referentie_CO2_Totaal[[#This Row],[Product]]&amp;", "&amp;Referentie_CO2_Totaal[[#Headers],[B1]],Database_Productkaarten[#All],18,FALSE),0)*Baseline!I80),0))</f>
        <v>0</v>
      </c>
      <c r="K183" s="56">
        <f>(IF(Baseline!C80="Nieuwe Situatie",(SUM(Referentie_CO2_Totaal[[#This Row],[A1]:[B1]],Referentie_CO2_Totaal[[#This Row],[C1]:[D2]])*Baseline!R80),0))</f>
        <v>0</v>
      </c>
      <c r="L183" s="56">
        <f>IF(Baseline!C80="Bestaande situatie",IF(_xlfn.IFNA((VLOOKUP(Baseline!Y80,Database_Asfalt_Verwijderset[#All],12,FALSE)*Baseline!I80),0)+_xlfn.IFNA(VLOOKUP(Baseline!Z80,Database_Brandstoffen[#All],12,FALSE)*((Baseline!I80/Baseline!AB80)*Baseline!AA80),0)&gt;0,_xlfn.IFNA((VLOOKUP(Baseline!Y80,Database_Asfalt_Verwijderset[#All],12,FALSE)*Baseline!I80),0)+_xlfn.IFNA(VLOOKUP(Baseline!Z80,Database_Brandstoffen[#All],12,FALSE)*((Baseline!I80/Baseline!AB80)*Baseline!AA80),0),(_xlfn.IFNA(VLOOKUP(Referentie_CO2_Totaal[[#This Row],[Product]]&amp;", "&amp;Referentie_MKI_Totaal[[#Headers],[C1]],Database_Productkaarten[#All],18,FALSE),0)*Baseline!I80)),0)</f>
        <v>0</v>
      </c>
      <c r="M183" s="56">
        <f>IF(Baseline!AD80=0,(IF(Baseline!C80="Bestaande Situatie",(_xlfn.IFNA(VLOOKUP(Referentie_CO2_Totaal[[#This Row],[Product]]&amp;", "&amp;Referentie_MKI_Totaal[[#Headers],[C2]],Database_Productkaarten[#All],18,FALSE),0)*Baseline!I80),0)),(IF(Baseline!C80="Bestaande Situatie",_xlfn.IFNA(VLOOKUP(Baseline!AD80,Database_Transport[#All],12,FALSE)*(Baseline!Q80*Baseline!AC80),0))))</f>
        <v>0</v>
      </c>
      <c r="N183" s="56">
        <f>(IF(Baseline!C80="Bestaande Situatie",(_xlfn.IFNA(VLOOKUP(Referentie_CO2_Totaal[[#This Row],[Product]]&amp;", "&amp;Referentie_CO2_Totaal[[#Headers],[C3]],Database_Productkaarten[#All],18,FALSE),0)*Baseline!I80),0))</f>
        <v>0</v>
      </c>
      <c r="O183" s="56">
        <f>(IF(Baseline!C80="Bestaande Situatie",(_xlfn.IFNA(VLOOKUP(Referentie_CO2_Totaal[[#This Row],[Product]]&amp;", "&amp;Referentie_CO2_Totaal[[#Headers],[C4]],Database_Productkaarten[#All],18,FALSE),0)*Baseline!I80),0))</f>
        <v>0</v>
      </c>
      <c r="P183" s="56">
        <f>(IF(Baseline!C80="Bestaande Situatie",(_xlfn.IFNA(VLOOKUP(Referentie_CO2_Totaal[[#This Row],[Product]]&amp;", "&amp;Referentie_CO2_Totaal[[#Headers],[D1]],Database_Productkaarten[#All],18,FALSE),0)*Baseline!I80),0))</f>
        <v>0</v>
      </c>
      <c r="Q183" s="57">
        <f>(IF(Baseline!C80="Bestaande Situatie",_xlfn.IFNA(VLOOKUP(Referentie_CO2_Totaal[[#This Row],[Product]]&amp;", "&amp;Referentie_CO2_Totaal[[#Headers],[D2]],Database_Productkaarten[#All],18,FALSE),0)*Baseline!I80,0))</f>
        <v>0</v>
      </c>
      <c r="R183" s="57">
        <f>(IF(Baseline!C80="Bestaande Situatie",(_xlfn.IFNA(VLOOKUP(Referentie_CO2_Totaal[[#This Row],[Product]]&amp;", "&amp;Referentie_CO2_Totaal[[#Headers],[D]],Database_Productkaarten[#All],18,FALSE),0)*Baseline!I80),0))</f>
        <v>0</v>
      </c>
      <c r="S183" s="56">
        <f>SUM(Referentie_CO2_Totaal[[#This Row],[A1-A3]:[C4]])+Referentie_CO2_Totaal[[#This Row],[D]]</f>
        <v>0</v>
      </c>
    </row>
    <row r="184" spans="2:19">
      <c r="B184" s="208">
        <f>Baseline!B81</f>
        <v>0</v>
      </c>
      <c r="C184" s="1">
        <f>Baseline!F81</f>
        <v>0</v>
      </c>
      <c r="D184" s="56">
        <f>(IF(Baseline!C81="Nieuwe Situatie",(_xlfn.IFNA(VLOOKUP(Referentie_CO2_Totaal[[#This Row],[Product]]&amp;", "&amp;Referentie_CO2_Totaal[[#Headers],[A1]],Database_Productkaarten[#All],18,FALSE),0)*Baseline!I81),0))</f>
        <v>0</v>
      </c>
      <c r="E184" s="56">
        <f>(IF(Baseline!C81="Nieuwe Situatie",(_xlfn.IFNA(VLOOKUP(Referentie_CO2_Totaal[[#This Row],[Product]]&amp;", "&amp;Referentie_CO2_Totaal[[#Headers],[A2]],Database_Productkaarten[#All],18,FALSE),0)*Baseline!I81),0))</f>
        <v>0</v>
      </c>
      <c r="F184" s="56">
        <f>(IF(Baseline!C81="Nieuwe Situatie",(_xlfn.IFNA(VLOOKUP(Referentie_CO2_Totaal[[#This Row],[Product]]&amp;", "&amp;Referentie_CO2_Totaal[[#Headers],[A3]],Database_Productkaarten[#All],18,FALSE),0)*Baseline!I81),0))</f>
        <v>0</v>
      </c>
      <c r="G184" s="56">
        <f>(IF(Baseline!C81="Nieuwe Situatie",(_xlfn.IFNA(VLOOKUP(Referentie_CO2_Totaal[[#This Row],[Product]]&amp;", "&amp;Referentie_CO2_Totaal[[#Headers],[A1-A3]],Database_Productkaarten[#All],18,FALSE),0)*Baseline!I81),0))</f>
        <v>0</v>
      </c>
      <c r="H184" s="56">
        <f>IF(Baseline!T81=0,(IF(Baseline!C81="Nieuwe Situatie",(_xlfn.IFNA(VLOOKUP(Referentie_CO2_Totaal[[#This Row],[Product]]&amp;", "&amp;Referentie_CO2_Totaal[[#Headers],[A4]],Database_Productkaarten[#All],18,FALSE),0)*Baseline!I81),0)),IF(Baseline!C81="Nieuwe Situatie",_xlfn.IFNA(VLOOKUP(Baseline!T81,Database_Transport[#All],12,FALSE)*(Baseline!Q81*Baseline!S81),Baseline_Backlog!H184),0))</f>
        <v>0</v>
      </c>
      <c r="I184" s="56">
        <f>IF(Baseline!C81="Nieuwe situatie",IF(_xlfn.IFNA((VLOOKUP(Baseline!U81,Database_Asfalt_Aanlegset[#All],12,FALSE)*Baseline!I81),0)+_xlfn.IFNA(VLOOKUP(Baseline!V81,Database_Brandstoffen[#All],12,FALSE)*((Baseline!I81/Baseline!X81)*Baseline!W81),0)&gt;0,_xlfn.IFNA((VLOOKUP(Baseline!U81,Database_Asfalt_Aanlegset[#All],12,FALSE)*Baseline!I81),0)+_xlfn.IFNA(VLOOKUP(Baseline!V81,Database_Brandstoffen[#All],12,FALSE)*((Baseline!I81/Baseline!X81)*Baseline!W81),0),(_xlfn.IFNA(VLOOKUP(Referentie_CO2_Totaal[[#This Row],[Product]]&amp;", "&amp;Referentie_MKI_Totaal[[#Headers],[A5]],Database_Productkaarten[#All],18,FALSE),0)*Baseline!I81)),0)</f>
        <v>0</v>
      </c>
      <c r="J184" s="56">
        <f>(IF(Baseline!C81="Nieuwe Situatie",(_xlfn.IFNA(VLOOKUP(Referentie_CO2_Totaal[[#This Row],[Product]]&amp;", "&amp;Referentie_CO2_Totaal[[#Headers],[B1]],Database_Productkaarten[#All],18,FALSE),0)*Baseline!I81),0))</f>
        <v>0</v>
      </c>
      <c r="K184" s="56">
        <f>(IF(Baseline!C81="Nieuwe Situatie",(SUM(Referentie_CO2_Totaal[[#This Row],[A1]:[B1]],Referentie_CO2_Totaal[[#This Row],[C1]:[D2]])*Baseline!R81),0))</f>
        <v>0</v>
      </c>
      <c r="L184" s="56">
        <f>IF(Baseline!C81="Bestaande situatie",IF(_xlfn.IFNA((VLOOKUP(Baseline!Y81,Database_Asfalt_Verwijderset[#All],12,FALSE)*Baseline!I81),0)+_xlfn.IFNA(VLOOKUP(Baseline!Z81,Database_Brandstoffen[#All],12,FALSE)*((Baseline!I81/Baseline!AB81)*Baseline!AA81),0)&gt;0,_xlfn.IFNA((VLOOKUP(Baseline!Y81,Database_Asfalt_Verwijderset[#All],12,FALSE)*Baseline!I81),0)+_xlfn.IFNA(VLOOKUP(Baseline!Z81,Database_Brandstoffen[#All],12,FALSE)*((Baseline!I81/Baseline!AB81)*Baseline!AA81),0),(_xlfn.IFNA(VLOOKUP(Referentie_CO2_Totaal[[#This Row],[Product]]&amp;", "&amp;Referentie_MKI_Totaal[[#Headers],[C1]],Database_Productkaarten[#All],18,FALSE),0)*Baseline!I81)),0)</f>
        <v>0</v>
      </c>
      <c r="M184" s="56">
        <f>IF(Baseline!AD81=0,(IF(Baseline!C81="Bestaande Situatie",(_xlfn.IFNA(VLOOKUP(Referentie_CO2_Totaal[[#This Row],[Product]]&amp;", "&amp;Referentie_MKI_Totaal[[#Headers],[C2]],Database_Productkaarten[#All],18,FALSE),0)*Baseline!I81),0)),(IF(Baseline!C81="Bestaande Situatie",_xlfn.IFNA(VLOOKUP(Baseline!AD81,Database_Transport[#All],12,FALSE)*(Baseline!Q81*Baseline!AC81),0))))</f>
        <v>0</v>
      </c>
      <c r="N184" s="56">
        <f>(IF(Baseline!C81="Bestaande Situatie",(_xlfn.IFNA(VLOOKUP(Referentie_CO2_Totaal[[#This Row],[Product]]&amp;", "&amp;Referentie_CO2_Totaal[[#Headers],[C3]],Database_Productkaarten[#All],18,FALSE),0)*Baseline!I81),0))</f>
        <v>0</v>
      </c>
      <c r="O184" s="56">
        <f>(IF(Baseline!C81="Bestaande Situatie",(_xlfn.IFNA(VLOOKUP(Referentie_CO2_Totaal[[#This Row],[Product]]&amp;", "&amp;Referentie_CO2_Totaal[[#Headers],[C4]],Database_Productkaarten[#All],18,FALSE),0)*Baseline!I81),0))</f>
        <v>0</v>
      </c>
      <c r="P184" s="56">
        <f>(IF(Baseline!C81="Bestaande Situatie",(_xlfn.IFNA(VLOOKUP(Referentie_CO2_Totaal[[#This Row],[Product]]&amp;", "&amp;Referentie_CO2_Totaal[[#Headers],[D1]],Database_Productkaarten[#All],18,FALSE),0)*Baseline!I81),0))</f>
        <v>0</v>
      </c>
      <c r="Q184" s="57">
        <f>(IF(Baseline!C81="Bestaande Situatie",_xlfn.IFNA(VLOOKUP(Referentie_CO2_Totaal[[#This Row],[Product]]&amp;", "&amp;Referentie_CO2_Totaal[[#Headers],[D2]],Database_Productkaarten[#All],18,FALSE),0)*Baseline!I81,0))</f>
        <v>0</v>
      </c>
      <c r="R184" s="57">
        <f>(IF(Baseline!C81="Bestaande Situatie",(_xlfn.IFNA(VLOOKUP(Referentie_CO2_Totaal[[#This Row],[Product]]&amp;", "&amp;Referentie_CO2_Totaal[[#Headers],[D]],Database_Productkaarten[#All],18,FALSE),0)*Baseline!I81),0))</f>
        <v>0</v>
      </c>
      <c r="S184" s="56">
        <f>SUM(Referentie_CO2_Totaal[[#This Row],[A1-A3]:[C4]])+Referentie_CO2_Totaal[[#This Row],[D]]</f>
        <v>0</v>
      </c>
    </row>
    <row r="185" spans="2:19">
      <c r="B185" s="208">
        <f>Baseline!B82</f>
        <v>0</v>
      </c>
      <c r="C185" s="1">
        <f>Baseline!F82</f>
        <v>0</v>
      </c>
      <c r="D185" s="56">
        <f>(IF(Baseline!C82="Nieuwe Situatie",(_xlfn.IFNA(VLOOKUP(Referentie_CO2_Totaal[[#This Row],[Product]]&amp;", "&amp;Referentie_CO2_Totaal[[#Headers],[A1]],Database_Productkaarten[#All],18,FALSE),0)*Baseline!I82),0))</f>
        <v>0</v>
      </c>
      <c r="E185" s="56">
        <f>(IF(Baseline!C82="Nieuwe Situatie",(_xlfn.IFNA(VLOOKUP(Referentie_CO2_Totaal[[#This Row],[Product]]&amp;", "&amp;Referentie_CO2_Totaal[[#Headers],[A2]],Database_Productkaarten[#All],18,FALSE),0)*Baseline!I82),0))</f>
        <v>0</v>
      </c>
      <c r="F185" s="56">
        <f>(IF(Baseline!C82="Nieuwe Situatie",(_xlfn.IFNA(VLOOKUP(Referentie_CO2_Totaal[[#This Row],[Product]]&amp;", "&amp;Referentie_CO2_Totaal[[#Headers],[A3]],Database_Productkaarten[#All],18,FALSE),0)*Baseline!I82),0))</f>
        <v>0</v>
      </c>
      <c r="G185" s="56">
        <f>(IF(Baseline!C82="Nieuwe Situatie",(_xlfn.IFNA(VLOOKUP(Referentie_CO2_Totaal[[#This Row],[Product]]&amp;", "&amp;Referentie_CO2_Totaal[[#Headers],[A1-A3]],Database_Productkaarten[#All],18,FALSE),0)*Baseline!I82),0))</f>
        <v>0</v>
      </c>
      <c r="H185" s="56">
        <f>IF(Baseline!T82=0,(IF(Baseline!C82="Nieuwe Situatie",(_xlfn.IFNA(VLOOKUP(Referentie_CO2_Totaal[[#This Row],[Product]]&amp;", "&amp;Referentie_CO2_Totaal[[#Headers],[A4]],Database_Productkaarten[#All],18,FALSE),0)*Baseline!I82),0)),IF(Baseline!C82="Nieuwe Situatie",_xlfn.IFNA(VLOOKUP(Baseline!T82,Database_Transport[#All],12,FALSE)*(Baseline!Q82*Baseline!S82),Baseline_Backlog!H185),0))</f>
        <v>0</v>
      </c>
      <c r="I185" s="56">
        <f>IF(Baseline!C82="Nieuwe situatie",IF(_xlfn.IFNA((VLOOKUP(Baseline!U82,Database_Asfalt_Aanlegset[#All],12,FALSE)*Baseline!I82),0)+_xlfn.IFNA(VLOOKUP(Baseline!V82,Database_Brandstoffen[#All],12,FALSE)*((Baseline!I82/Baseline!X82)*Baseline!W82),0)&gt;0,_xlfn.IFNA((VLOOKUP(Baseline!U82,Database_Asfalt_Aanlegset[#All],12,FALSE)*Baseline!I82),0)+_xlfn.IFNA(VLOOKUP(Baseline!V82,Database_Brandstoffen[#All],12,FALSE)*((Baseline!I82/Baseline!X82)*Baseline!W82),0),(_xlfn.IFNA(VLOOKUP(Referentie_CO2_Totaal[[#This Row],[Product]]&amp;", "&amp;Referentie_MKI_Totaal[[#Headers],[A5]],Database_Productkaarten[#All],18,FALSE),0)*Baseline!I82)),0)</f>
        <v>0</v>
      </c>
      <c r="J185" s="56">
        <f>(IF(Baseline!C82="Nieuwe Situatie",(_xlfn.IFNA(VLOOKUP(Referentie_CO2_Totaal[[#This Row],[Product]]&amp;", "&amp;Referentie_CO2_Totaal[[#Headers],[B1]],Database_Productkaarten[#All],18,FALSE),0)*Baseline!I82),0))</f>
        <v>0</v>
      </c>
      <c r="K185" s="56">
        <f>(IF(Baseline!C82="Nieuwe Situatie",(SUM(Referentie_CO2_Totaal[[#This Row],[A1]:[B1]],Referentie_CO2_Totaal[[#This Row],[C1]:[D2]])*Baseline!R82),0))</f>
        <v>0</v>
      </c>
      <c r="L185" s="56">
        <f>IF(Baseline!C82="Bestaande situatie",IF(_xlfn.IFNA((VLOOKUP(Baseline!Y82,Database_Asfalt_Verwijderset[#All],12,FALSE)*Baseline!I82),0)+_xlfn.IFNA(VLOOKUP(Baseline!Z82,Database_Brandstoffen[#All],12,FALSE)*((Baseline!I82/Baseline!AB82)*Baseline!AA82),0)&gt;0,_xlfn.IFNA((VLOOKUP(Baseline!Y82,Database_Asfalt_Verwijderset[#All],12,FALSE)*Baseline!I82),0)+_xlfn.IFNA(VLOOKUP(Baseline!Z82,Database_Brandstoffen[#All],12,FALSE)*((Baseline!I82/Baseline!AB82)*Baseline!AA82),0),(_xlfn.IFNA(VLOOKUP(Referentie_CO2_Totaal[[#This Row],[Product]]&amp;", "&amp;Referentie_MKI_Totaal[[#Headers],[C1]],Database_Productkaarten[#All],18,FALSE),0)*Baseline!I82)),0)</f>
        <v>0</v>
      </c>
      <c r="M185" s="56">
        <f>IF(Baseline!AD82=0,(IF(Baseline!C82="Bestaande Situatie",(_xlfn.IFNA(VLOOKUP(Referentie_CO2_Totaal[[#This Row],[Product]]&amp;", "&amp;Referentie_MKI_Totaal[[#Headers],[C2]],Database_Productkaarten[#All],18,FALSE),0)*Baseline!I82),0)),(IF(Baseline!C82="Bestaande Situatie",_xlfn.IFNA(VLOOKUP(Baseline!AD82,Database_Transport[#All],12,FALSE)*(Baseline!Q82*Baseline!AC82),0))))</f>
        <v>0</v>
      </c>
      <c r="N185" s="56">
        <f>(IF(Baseline!C82="Bestaande Situatie",(_xlfn.IFNA(VLOOKUP(Referentie_CO2_Totaal[[#This Row],[Product]]&amp;", "&amp;Referentie_CO2_Totaal[[#Headers],[C3]],Database_Productkaarten[#All],18,FALSE),0)*Baseline!I82),0))</f>
        <v>0</v>
      </c>
      <c r="O185" s="56">
        <f>(IF(Baseline!C82="Bestaande Situatie",(_xlfn.IFNA(VLOOKUP(Referentie_CO2_Totaal[[#This Row],[Product]]&amp;", "&amp;Referentie_CO2_Totaal[[#Headers],[C4]],Database_Productkaarten[#All],18,FALSE),0)*Baseline!I82),0))</f>
        <v>0</v>
      </c>
      <c r="P185" s="56">
        <f>(IF(Baseline!C82="Bestaande Situatie",(_xlfn.IFNA(VLOOKUP(Referentie_CO2_Totaal[[#This Row],[Product]]&amp;", "&amp;Referentie_CO2_Totaal[[#Headers],[D1]],Database_Productkaarten[#All],18,FALSE),0)*Baseline!I82),0))</f>
        <v>0</v>
      </c>
      <c r="Q185" s="57">
        <f>(IF(Baseline!C82="Bestaande Situatie",_xlfn.IFNA(VLOOKUP(Referentie_CO2_Totaal[[#This Row],[Product]]&amp;", "&amp;Referentie_CO2_Totaal[[#Headers],[D2]],Database_Productkaarten[#All],18,FALSE),0)*Baseline!I82,0))</f>
        <v>0</v>
      </c>
      <c r="R185" s="57">
        <f>(IF(Baseline!C82="Bestaande Situatie",(_xlfn.IFNA(VLOOKUP(Referentie_CO2_Totaal[[#This Row],[Product]]&amp;", "&amp;Referentie_CO2_Totaal[[#Headers],[D]],Database_Productkaarten[#All],18,FALSE),0)*Baseline!I82),0))</f>
        <v>0</v>
      </c>
      <c r="S185" s="56">
        <f>SUM(Referentie_CO2_Totaal[[#This Row],[A1-A3]:[C4]])+Referentie_CO2_Totaal[[#This Row],[D]]</f>
        <v>0</v>
      </c>
    </row>
    <row r="186" spans="2:19">
      <c r="B186" s="208">
        <f>Baseline!B83</f>
        <v>0</v>
      </c>
      <c r="C186" s="1">
        <f>Baseline!F83</f>
        <v>0</v>
      </c>
      <c r="D186" s="56">
        <f>(IF(Baseline!C83="Nieuwe Situatie",(_xlfn.IFNA(VLOOKUP(Referentie_CO2_Totaal[[#This Row],[Product]]&amp;", "&amp;Referentie_CO2_Totaal[[#Headers],[A1]],Database_Productkaarten[#All],18,FALSE),0)*Baseline!I83),0))</f>
        <v>0</v>
      </c>
      <c r="E186" s="56">
        <f>(IF(Baseline!C83="Nieuwe Situatie",(_xlfn.IFNA(VLOOKUP(Referentie_CO2_Totaal[[#This Row],[Product]]&amp;", "&amp;Referentie_CO2_Totaal[[#Headers],[A2]],Database_Productkaarten[#All],18,FALSE),0)*Baseline!I83),0))</f>
        <v>0</v>
      </c>
      <c r="F186" s="56">
        <f>(IF(Baseline!C83="Nieuwe Situatie",(_xlfn.IFNA(VLOOKUP(Referentie_CO2_Totaal[[#This Row],[Product]]&amp;", "&amp;Referentie_CO2_Totaal[[#Headers],[A3]],Database_Productkaarten[#All],18,FALSE),0)*Baseline!I83),0))</f>
        <v>0</v>
      </c>
      <c r="G186" s="56">
        <f>(IF(Baseline!C83="Nieuwe Situatie",(_xlfn.IFNA(VLOOKUP(Referentie_CO2_Totaal[[#This Row],[Product]]&amp;", "&amp;Referentie_CO2_Totaal[[#Headers],[A1-A3]],Database_Productkaarten[#All],18,FALSE),0)*Baseline!I83),0))</f>
        <v>0</v>
      </c>
      <c r="H186" s="56">
        <f>IF(Baseline!T83=0,(IF(Baseline!C83="Nieuwe Situatie",(_xlfn.IFNA(VLOOKUP(Referentie_CO2_Totaal[[#This Row],[Product]]&amp;", "&amp;Referentie_CO2_Totaal[[#Headers],[A4]],Database_Productkaarten[#All],18,FALSE),0)*Baseline!I83),0)),IF(Baseline!C83="Nieuwe Situatie",_xlfn.IFNA(VLOOKUP(Baseline!T83,Database_Transport[#All],12,FALSE)*(Baseline!Q83*Baseline!S83),Baseline_Backlog!H186),0))</f>
        <v>0</v>
      </c>
      <c r="I186" s="56">
        <f>IF(Baseline!C83="Nieuwe situatie",IF(_xlfn.IFNA((VLOOKUP(Baseline!U83,Database_Asfalt_Aanlegset[#All],12,FALSE)*Baseline!I83),0)+_xlfn.IFNA(VLOOKUP(Baseline!V83,Database_Brandstoffen[#All],12,FALSE)*((Baseline!I83/Baseline!X83)*Baseline!W83),0)&gt;0,_xlfn.IFNA((VLOOKUP(Baseline!U83,Database_Asfalt_Aanlegset[#All],12,FALSE)*Baseline!I83),0)+_xlfn.IFNA(VLOOKUP(Baseline!V83,Database_Brandstoffen[#All],12,FALSE)*((Baseline!I83/Baseline!X83)*Baseline!W83),0),(_xlfn.IFNA(VLOOKUP(Referentie_CO2_Totaal[[#This Row],[Product]]&amp;", "&amp;Referentie_MKI_Totaal[[#Headers],[A5]],Database_Productkaarten[#All],18,FALSE),0)*Baseline!I83)),0)</f>
        <v>0</v>
      </c>
      <c r="J186" s="56">
        <f>(IF(Baseline!C83="Nieuwe Situatie",(_xlfn.IFNA(VLOOKUP(Referentie_CO2_Totaal[[#This Row],[Product]]&amp;", "&amp;Referentie_CO2_Totaal[[#Headers],[B1]],Database_Productkaarten[#All],18,FALSE),0)*Baseline!I83),0))</f>
        <v>0</v>
      </c>
      <c r="K186" s="56">
        <f>(IF(Baseline!C83="Nieuwe Situatie",(SUM(Referentie_CO2_Totaal[[#This Row],[A1]:[B1]],Referentie_CO2_Totaal[[#This Row],[C1]:[D2]])*Baseline!R83),0))</f>
        <v>0</v>
      </c>
      <c r="L186" s="56">
        <f>IF(Baseline!C83="Bestaande situatie",IF(_xlfn.IFNA((VLOOKUP(Baseline!Y83,Database_Asfalt_Verwijderset[#All],12,FALSE)*Baseline!I83),0)+_xlfn.IFNA(VLOOKUP(Baseline!Z83,Database_Brandstoffen[#All],12,FALSE)*((Baseline!I83/Baseline!AB83)*Baseline!AA83),0)&gt;0,_xlfn.IFNA((VLOOKUP(Baseline!Y83,Database_Asfalt_Verwijderset[#All],12,FALSE)*Baseline!I83),0)+_xlfn.IFNA(VLOOKUP(Baseline!Z83,Database_Brandstoffen[#All],12,FALSE)*((Baseline!I83/Baseline!AB83)*Baseline!AA83),0),(_xlfn.IFNA(VLOOKUP(Referentie_CO2_Totaal[[#This Row],[Product]]&amp;", "&amp;Referentie_MKI_Totaal[[#Headers],[C1]],Database_Productkaarten[#All],18,FALSE),0)*Baseline!I83)),0)</f>
        <v>0</v>
      </c>
      <c r="M186" s="56">
        <f>IF(Baseline!AD83=0,(IF(Baseline!C83="Bestaande Situatie",(_xlfn.IFNA(VLOOKUP(Referentie_CO2_Totaal[[#This Row],[Product]]&amp;", "&amp;Referentie_MKI_Totaal[[#Headers],[C2]],Database_Productkaarten[#All],18,FALSE),0)*Baseline!I83),0)),(IF(Baseline!C83="Bestaande Situatie",_xlfn.IFNA(VLOOKUP(Baseline!AD83,Database_Transport[#All],12,FALSE)*(Baseline!Q83*Baseline!AC83),0))))</f>
        <v>0</v>
      </c>
      <c r="N186" s="56">
        <f>(IF(Baseline!C83="Bestaande Situatie",(_xlfn.IFNA(VLOOKUP(Referentie_CO2_Totaal[[#This Row],[Product]]&amp;", "&amp;Referentie_CO2_Totaal[[#Headers],[C3]],Database_Productkaarten[#All],18,FALSE),0)*Baseline!I83),0))</f>
        <v>0</v>
      </c>
      <c r="O186" s="56">
        <f>(IF(Baseline!C83="Bestaande Situatie",(_xlfn.IFNA(VLOOKUP(Referentie_CO2_Totaal[[#This Row],[Product]]&amp;", "&amp;Referentie_CO2_Totaal[[#Headers],[C4]],Database_Productkaarten[#All],18,FALSE),0)*Baseline!I83),0))</f>
        <v>0</v>
      </c>
      <c r="P186" s="56">
        <f>(IF(Baseline!C83="Bestaande Situatie",(_xlfn.IFNA(VLOOKUP(Referentie_CO2_Totaal[[#This Row],[Product]]&amp;", "&amp;Referentie_CO2_Totaal[[#Headers],[D1]],Database_Productkaarten[#All],18,FALSE),0)*Baseline!I83),0))</f>
        <v>0</v>
      </c>
      <c r="Q186" s="57">
        <f>(IF(Baseline!C83="Bestaande Situatie",_xlfn.IFNA(VLOOKUP(Referentie_CO2_Totaal[[#This Row],[Product]]&amp;", "&amp;Referentie_CO2_Totaal[[#Headers],[D2]],Database_Productkaarten[#All],18,FALSE),0)*Baseline!I83,0))</f>
        <v>0</v>
      </c>
      <c r="R186" s="57">
        <f>(IF(Baseline!C83="Bestaande Situatie",(_xlfn.IFNA(VLOOKUP(Referentie_CO2_Totaal[[#This Row],[Product]]&amp;", "&amp;Referentie_CO2_Totaal[[#Headers],[D]],Database_Productkaarten[#All],18,FALSE),0)*Baseline!I83),0))</f>
        <v>0</v>
      </c>
      <c r="S186" s="56">
        <f>SUM(Referentie_CO2_Totaal[[#This Row],[A1-A3]:[C4]])+Referentie_CO2_Totaal[[#This Row],[D]]</f>
        <v>0</v>
      </c>
    </row>
    <row r="187" spans="2:19">
      <c r="B187" s="208">
        <f>Baseline!B84</f>
        <v>0</v>
      </c>
      <c r="C187" s="1">
        <f>Baseline!F84</f>
        <v>0</v>
      </c>
      <c r="D187" s="56">
        <f>(IF(Baseline!C84="Nieuwe Situatie",(_xlfn.IFNA(VLOOKUP(Referentie_CO2_Totaal[[#This Row],[Product]]&amp;", "&amp;Referentie_CO2_Totaal[[#Headers],[A1]],Database_Productkaarten[#All],18,FALSE),0)*Baseline!I84),0))</f>
        <v>0</v>
      </c>
      <c r="E187" s="56">
        <f>(IF(Baseline!C84="Nieuwe Situatie",(_xlfn.IFNA(VLOOKUP(Referentie_CO2_Totaal[[#This Row],[Product]]&amp;", "&amp;Referentie_CO2_Totaal[[#Headers],[A2]],Database_Productkaarten[#All],18,FALSE),0)*Baseline!I84),0))</f>
        <v>0</v>
      </c>
      <c r="F187" s="56">
        <f>(IF(Baseline!C84="Nieuwe Situatie",(_xlfn.IFNA(VLOOKUP(Referentie_CO2_Totaal[[#This Row],[Product]]&amp;", "&amp;Referentie_CO2_Totaal[[#Headers],[A3]],Database_Productkaarten[#All],18,FALSE),0)*Baseline!I84),0))</f>
        <v>0</v>
      </c>
      <c r="G187" s="56">
        <f>(IF(Baseline!C84="Nieuwe Situatie",(_xlfn.IFNA(VLOOKUP(Referentie_CO2_Totaal[[#This Row],[Product]]&amp;", "&amp;Referentie_CO2_Totaal[[#Headers],[A1-A3]],Database_Productkaarten[#All],18,FALSE),0)*Baseline!I84),0))</f>
        <v>0</v>
      </c>
      <c r="H187" s="56">
        <f>IF(Baseline!T84=0,(IF(Baseline!C84="Nieuwe Situatie",(_xlfn.IFNA(VLOOKUP(Referentie_CO2_Totaal[[#This Row],[Product]]&amp;", "&amp;Referentie_CO2_Totaal[[#Headers],[A4]],Database_Productkaarten[#All],18,FALSE),0)*Baseline!I84),0)),IF(Baseline!C84="Nieuwe Situatie",_xlfn.IFNA(VLOOKUP(Baseline!T84,Database_Transport[#All],12,FALSE)*(Baseline!Q84*Baseline!S84),Baseline_Backlog!H187),0))</f>
        <v>0</v>
      </c>
      <c r="I187" s="56">
        <f>IF(Baseline!C84="Nieuwe situatie",IF(_xlfn.IFNA((VLOOKUP(Baseline!U84,Database_Asfalt_Aanlegset[#All],12,FALSE)*Baseline!I84),0)+_xlfn.IFNA(VLOOKUP(Baseline!V84,Database_Brandstoffen[#All],12,FALSE)*((Baseline!I84/Baseline!X84)*Baseline!W84),0)&gt;0,_xlfn.IFNA((VLOOKUP(Baseline!U84,Database_Asfalt_Aanlegset[#All],12,FALSE)*Baseline!I84),0)+_xlfn.IFNA(VLOOKUP(Baseline!V84,Database_Brandstoffen[#All],12,FALSE)*((Baseline!I84/Baseline!X84)*Baseline!W84),0),(_xlfn.IFNA(VLOOKUP(Referentie_CO2_Totaal[[#This Row],[Product]]&amp;", "&amp;Referentie_MKI_Totaal[[#Headers],[A5]],Database_Productkaarten[#All],18,FALSE),0)*Baseline!I84)),0)</f>
        <v>0</v>
      </c>
      <c r="J187" s="56">
        <f>(IF(Baseline!C84="Nieuwe Situatie",(_xlfn.IFNA(VLOOKUP(Referentie_CO2_Totaal[[#This Row],[Product]]&amp;", "&amp;Referentie_CO2_Totaal[[#Headers],[B1]],Database_Productkaarten[#All],18,FALSE),0)*Baseline!I84),0))</f>
        <v>0</v>
      </c>
      <c r="K187" s="56">
        <f>(IF(Baseline!C84="Nieuwe Situatie",(SUM(Referentie_CO2_Totaal[[#This Row],[A1]:[B1]],Referentie_CO2_Totaal[[#This Row],[C1]:[D2]])*Baseline!R84),0))</f>
        <v>0</v>
      </c>
      <c r="L187" s="56">
        <f>IF(Baseline!C84="Bestaande situatie",IF(_xlfn.IFNA((VLOOKUP(Baseline!Y84,Database_Asfalt_Verwijderset[#All],12,FALSE)*Baseline!I84),0)+_xlfn.IFNA(VLOOKUP(Baseline!Z84,Database_Brandstoffen[#All],12,FALSE)*((Baseline!I84/Baseline!AB84)*Baseline!AA84),0)&gt;0,_xlfn.IFNA((VLOOKUP(Baseline!Y84,Database_Asfalt_Verwijderset[#All],12,FALSE)*Baseline!I84),0)+_xlfn.IFNA(VLOOKUP(Baseline!Z84,Database_Brandstoffen[#All],12,FALSE)*((Baseline!I84/Baseline!AB84)*Baseline!AA84),0),(_xlfn.IFNA(VLOOKUP(Referentie_CO2_Totaal[[#This Row],[Product]]&amp;", "&amp;Referentie_MKI_Totaal[[#Headers],[C1]],Database_Productkaarten[#All],18,FALSE),0)*Baseline!I84)),0)</f>
        <v>0</v>
      </c>
      <c r="M187" s="56">
        <f>IF(Baseline!AD84=0,(IF(Baseline!C84="Bestaande Situatie",(_xlfn.IFNA(VLOOKUP(Referentie_CO2_Totaal[[#This Row],[Product]]&amp;", "&amp;Referentie_MKI_Totaal[[#Headers],[C2]],Database_Productkaarten[#All],18,FALSE),0)*Baseline!I84),0)),(IF(Baseline!C84="Bestaande Situatie",_xlfn.IFNA(VLOOKUP(Baseline!AD84,Database_Transport[#All],12,FALSE)*(Baseline!Q84*Baseline!AC84),0))))</f>
        <v>0</v>
      </c>
      <c r="N187" s="56">
        <f>(IF(Baseline!C84="Bestaande Situatie",(_xlfn.IFNA(VLOOKUP(Referentie_CO2_Totaal[[#This Row],[Product]]&amp;", "&amp;Referentie_CO2_Totaal[[#Headers],[C3]],Database_Productkaarten[#All],18,FALSE),0)*Baseline!I84),0))</f>
        <v>0</v>
      </c>
      <c r="O187" s="56">
        <f>(IF(Baseline!C84="Bestaande Situatie",(_xlfn.IFNA(VLOOKUP(Referentie_CO2_Totaal[[#This Row],[Product]]&amp;", "&amp;Referentie_CO2_Totaal[[#Headers],[C4]],Database_Productkaarten[#All],18,FALSE),0)*Baseline!I84),0))</f>
        <v>0</v>
      </c>
      <c r="P187" s="56">
        <f>(IF(Baseline!C84="Bestaande Situatie",(_xlfn.IFNA(VLOOKUP(Referentie_CO2_Totaal[[#This Row],[Product]]&amp;", "&amp;Referentie_CO2_Totaal[[#Headers],[D1]],Database_Productkaarten[#All],18,FALSE),0)*Baseline!I84),0))</f>
        <v>0</v>
      </c>
      <c r="Q187" s="57">
        <f>(IF(Baseline!C84="Bestaande Situatie",_xlfn.IFNA(VLOOKUP(Referentie_CO2_Totaal[[#This Row],[Product]]&amp;", "&amp;Referentie_CO2_Totaal[[#Headers],[D2]],Database_Productkaarten[#All],18,FALSE),0)*Baseline!I84,0))</f>
        <v>0</v>
      </c>
      <c r="R187" s="57">
        <f>(IF(Baseline!C84="Bestaande Situatie",(_xlfn.IFNA(VLOOKUP(Referentie_CO2_Totaal[[#This Row],[Product]]&amp;", "&amp;Referentie_CO2_Totaal[[#Headers],[D]],Database_Productkaarten[#All],18,FALSE),0)*Baseline!I84),0))</f>
        <v>0</v>
      </c>
      <c r="S187" s="56">
        <f>SUM(Referentie_CO2_Totaal[[#This Row],[A1-A3]:[C4]])+Referentie_CO2_Totaal[[#This Row],[D]]</f>
        <v>0</v>
      </c>
    </row>
    <row r="188" spans="2:19">
      <c r="B188" s="208">
        <f>Baseline!B85</f>
        <v>0</v>
      </c>
      <c r="C188" s="1">
        <f>Baseline!F85</f>
        <v>0</v>
      </c>
      <c r="D188" s="56">
        <f>(IF(Baseline!C85="Nieuwe Situatie",(_xlfn.IFNA(VLOOKUP(Referentie_CO2_Totaal[[#This Row],[Product]]&amp;", "&amp;Referentie_CO2_Totaal[[#Headers],[A1]],Database_Productkaarten[#All],18,FALSE),0)*Baseline!I85),0))</f>
        <v>0</v>
      </c>
      <c r="E188" s="56">
        <f>(IF(Baseline!C85="Nieuwe Situatie",(_xlfn.IFNA(VLOOKUP(Referentie_CO2_Totaal[[#This Row],[Product]]&amp;", "&amp;Referentie_CO2_Totaal[[#Headers],[A2]],Database_Productkaarten[#All],18,FALSE),0)*Baseline!I85),0))</f>
        <v>0</v>
      </c>
      <c r="F188" s="56">
        <f>(IF(Baseline!C85="Nieuwe Situatie",(_xlfn.IFNA(VLOOKUP(Referentie_CO2_Totaal[[#This Row],[Product]]&amp;", "&amp;Referentie_CO2_Totaal[[#Headers],[A3]],Database_Productkaarten[#All],18,FALSE),0)*Baseline!I85),0))</f>
        <v>0</v>
      </c>
      <c r="G188" s="56">
        <f>(IF(Baseline!C85="Nieuwe Situatie",(_xlfn.IFNA(VLOOKUP(Referentie_CO2_Totaal[[#This Row],[Product]]&amp;", "&amp;Referentie_CO2_Totaal[[#Headers],[A1-A3]],Database_Productkaarten[#All],18,FALSE),0)*Baseline!I85),0))</f>
        <v>0</v>
      </c>
      <c r="H188" s="56">
        <f>IF(Baseline!T85=0,(IF(Baseline!C85="Nieuwe Situatie",(_xlfn.IFNA(VLOOKUP(Referentie_CO2_Totaal[[#This Row],[Product]]&amp;", "&amp;Referentie_CO2_Totaal[[#Headers],[A4]],Database_Productkaarten[#All],18,FALSE),0)*Baseline!I85),0)),IF(Baseline!C85="Nieuwe Situatie",_xlfn.IFNA(VLOOKUP(Baseline!T85,Database_Transport[#All],12,FALSE)*(Baseline!Q85*Baseline!S85),Baseline_Backlog!H188),0))</f>
        <v>0</v>
      </c>
      <c r="I188" s="56">
        <f>IF(Baseline!C85="Nieuwe situatie",IF(_xlfn.IFNA((VLOOKUP(Baseline!U85,Database_Asfalt_Aanlegset[#All],12,FALSE)*Baseline!I85),0)+_xlfn.IFNA(VLOOKUP(Baseline!V85,Database_Brandstoffen[#All],12,FALSE)*((Baseline!I85/Baseline!X85)*Baseline!W85),0)&gt;0,_xlfn.IFNA((VLOOKUP(Baseline!U85,Database_Asfalt_Aanlegset[#All],12,FALSE)*Baseline!I85),0)+_xlfn.IFNA(VLOOKUP(Baseline!V85,Database_Brandstoffen[#All],12,FALSE)*((Baseline!I85/Baseline!X85)*Baseline!W85),0),(_xlfn.IFNA(VLOOKUP(Referentie_CO2_Totaal[[#This Row],[Product]]&amp;", "&amp;Referentie_MKI_Totaal[[#Headers],[A5]],Database_Productkaarten[#All],18,FALSE),0)*Baseline!I85)),0)</f>
        <v>0</v>
      </c>
      <c r="J188" s="56">
        <f>(IF(Baseline!C85="Nieuwe Situatie",(_xlfn.IFNA(VLOOKUP(Referentie_CO2_Totaal[[#This Row],[Product]]&amp;", "&amp;Referentie_CO2_Totaal[[#Headers],[B1]],Database_Productkaarten[#All],18,FALSE),0)*Baseline!I85),0))</f>
        <v>0</v>
      </c>
      <c r="K188" s="56">
        <f>(IF(Baseline!C85="Nieuwe Situatie",(SUM(Referentie_CO2_Totaal[[#This Row],[A1]:[B1]],Referentie_CO2_Totaal[[#This Row],[C1]:[D2]])*Baseline!R85),0))</f>
        <v>0</v>
      </c>
      <c r="L188" s="56">
        <f>IF(Baseline!C85="Bestaande situatie",IF(_xlfn.IFNA((VLOOKUP(Baseline!Y85,Database_Asfalt_Verwijderset[#All],12,FALSE)*Baseline!I85),0)+_xlfn.IFNA(VLOOKUP(Baseline!Z85,Database_Brandstoffen[#All],12,FALSE)*((Baseline!I85/Baseline!AB85)*Baseline!AA85),0)&gt;0,_xlfn.IFNA((VLOOKUP(Baseline!Y85,Database_Asfalt_Verwijderset[#All],12,FALSE)*Baseline!I85),0)+_xlfn.IFNA(VLOOKUP(Baseline!Z85,Database_Brandstoffen[#All],12,FALSE)*((Baseline!I85/Baseline!AB85)*Baseline!AA85),0),(_xlfn.IFNA(VLOOKUP(Referentie_CO2_Totaal[[#This Row],[Product]]&amp;", "&amp;Referentie_MKI_Totaal[[#Headers],[C1]],Database_Productkaarten[#All],18,FALSE),0)*Baseline!I85)),0)</f>
        <v>0</v>
      </c>
      <c r="M188" s="56">
        <f>IF(Baseline!AD85=0,(IF(Baseline!C85="Bestaande Situatie",(_xlfn.IFNA(VLOOKUP(Referentie_CO2_Totaal[[#This Row],[Product]]&amp;", "&amp;Referentie_MKI_Totaal[[#Headers],[C2]],Database_Productkaarten[#All],18,FALSE),0)*Baseline!I85),0)),(IF(Baseline!C85="Bestaande Situatie",_xlfn.IFNA(VLOOKUP(Baseline!AD85,Database_Transport[#All],12,FALSE)*(Baseline!Q85*Baseline!AC85),0))))</f>
        <v>0</v>
      </c>
      <c r="N188" s="56">
        <f>(IF(Baseline!C85="Bestaande Situatie",(_xlfn.IFNA(VLOOKUP(Referentie_CO2_Totaal[[#This Row],[Product]]&amp;", "&amp;Referentie_CO2_Totaal[[#Headers],[C3]],Database_Productkaarten[#All],18,FALSE),0)*Baseline!I85),0))</f>
        <v>0</v>
      </c>
      <c r="O188" s="56">
        <f>(IF(Baseline!C85="Bestaande Situatie",(_xlfn.IFNA(VLOOKUP(Referentie_CO2_Totaal[[#This Row],[Product]]&amp;", "&amp;Referentie_CO2_Totaal[[#Headers],[C4]],Database_Productkaarten[#All],18,FALSE),0)*Baseline!I85),0))</f>
        <v>0</v>
      </c>
      <c r="P188" s="56">
        <f>(IF(Baseline!C85="Bestaande Situatie",(_xlfn.IFNA(VLOOKUP(Referentie_CO2_Totaal[[#This Row],[Product]]&amp;", "&amp;Referentie_CO2_Totaal[[#Headers],[D1]],Database_Productkaarten[#All],18,FALSE),0)*Baseline!I85),0))</f>
        <v>0</v>
      </c>
      <c r="Q188" s="57">
        <f>(IF(Baseline!C85="Bestaande Situatie",_xlfn.IFNA(VLOOKUP(Referentie_CO2_Totaal[[#This Row],[Product]]&amp;", "&amp;Referentie_CO2_Totaal[[#Headers],[D2]],Database_Productkaarten[#All],18,FALSE),0)*Baseline!I85,0))</f>
        <v>0</v>
      </c>
      <c r="R188" s="57">
        <f>(IF(Baseline!C85="Bestaande Situatie",(_xlfn.IFNA(VLOOKUP(Referentie_CO2_Totaal[[#This Row],[Product]]&amp;", "&amp;Referentie_CO2_Totaal[[#Headers],[D]],Database_Productkaarten[#All],18,FALSE),0)*Baseline!I85),0))</f>
        <v>0</v>
      </c>
      <c r="S188" s="56">
        <f>SUM(Referentie_CO2_Totaal[[#This Row],[A1-A3]:[C4]])+Referentie_CO2_Totaal[[#This Row],[D]]</f>
        <v>0</v>
      </c>
    </row>
    <row r="189" spans="2:19">
      <c r="B189" s="208">
        <f>Baseline!B86</f>
        <v>0</v>
      </c>
      <c r="C189" s="1">
        <f>Baseline!F86</f>
        <v>0</v>
      </c>
      <c r="D189" s="56">
        <f>(IF(Baseline!C86="Nieuwe Situatie",(_xlfn.IFNA(VLOOKUP(Referentie_CO2_Totaal[[#This Row],[Product]]&amp;", "&amp;Referentie_CO2_Totaal[[#Headers],[A1]],Database_Productkaarten[#All],18,FALSE),0)*Baseline!I86),0))</f>
        <v>0</v>
      </c>
      <c r="E189" s="56">
        <f>(IF(Baseline!C86="Nieuwe Situatie",(_xlfn.IFNA(VLOOKUP(Referentie_CO2_Totaal[[#This Row],[Product]]&amp;", "&amp;Referentie_CO2_Totaal[[#Headers],[A2]],Database_Productkaarten[#All],18,FALSE),0)*Baseline!I86),0))</f>
        <v>0</v>
      </c>
      <c r="F189" s="56">
        <f>(IF(Baseline!C86="Nieuwe Situatie",(_xlfn.IFNA(VLOOKUP(Referentie_CO2_Totaal[[#This Row],[Product]]&amp;", "&amp;Referentie_CO2_Totaal[[#Headers],[A3]],Database_Productkaarten[#All],18,FALSE),0)*Baseline!I86),0))</f>
        <v>0</v>
      </c>
      <c r="G189" s="56">
        <f>(IF(Baseline!C86="Nieuwe Situatie",(_xlfn.IFNA(VLOOKUP(Referentie_CO2_Totaal[[#This Row],[Product]]&amp;", "&amp;Referentie_CO2_Totaal[[#Headers],[A1-A3]],Database_Productkaarten[#All],18,FALSE),0)*Baseline!I86),0))</f>
        <v>0</v>
      </c>
      <c r="H189" s="56">
        <f>IF(Baseline!T86=0,(IF(Baseline!C86="Nieuwe Situatie",(_xlfn.IFNA(VLOOKUP(Referentie_CO2_Totaal[[#This Row],[Product]]&amp;", "&amp;Referentie_CO2_Totaal[[#Headers],[A4]],Database_Productkaarten[#All],18,FALSE),0)*Baseline!I86),0)),IF(Baseline!C86="Nieuwe Situatie",_xlfn.IFNA(VLOOKUP(Baseline!T86,Database_Transport[#All],12,FALSE)*(Baseline!Q86*Baseline!S86),Baseline_Backlog!H189),0))</f>
        <v>0</v>
      </c>
      <c r="I189" s="56">
        <f>IF(Baseline!C86="Nieuwe situatie",IF(_xlfn.IFNA((VLOOKUP(Baseline!U86,Database_Asfalt_Aanlegset[#All],12,FALSE)*Baseline!I86),0)+_xlfn.IFNA(VLOOKUP(Baseline!V86,Database_Brandstoffen[#All],12,FALSE)*((Baseline!I86/Baseline!X86)*Baseline!W86),0)&gt;0,_xlfn.IFNA((VLOOKUP(Baseline!U86,Database_Asfalt_Aanlegset[#All],12,FALSE)*Baseline!I86),0)+_xlfn.IFNA(VLOOKUP(Baseline!V86,Database_Brandstoffen[#All],12,FALSE)*((Baseline!I86/Baseline!X86)*Baseline!W86),0),(_xlfn.IFNA(VLOOKUP(Referentie_CO2_Totaal[[#This Row],[Product]]&amp;", "&amp;Referentie_MKI_Totaal[[#Headers],[A5]],Database_Productkaarten[#All],18,FALSE),0)*Baseline!I86)),0)</f>
        <v>0</v>
      </c>
      <c r="J189" s="56">
        <f>(IF(Baseline!C86="Nieuwe Situatie",(_xlfn.IFNA(VLOOKUP(Referentie_CO2_Totaal[[#This Row],[Product]]&amp;", "&amp;Referentie_CO2_Totaal[[#Headers],[B1]],Database_Productkaarten[#All],18,FALSE),0)*Baseline!I86),0))</f>
        <v>0</v>
      </c>
      <c r="K189" s="56">
        <f>(IF(Baseline!C86="Nieuwe Situatie",(SUM(Referentie_CO2_Totaal[[#This Row],[A1]:[B1]],Referentie_CO2_Totaal[[#This Row],[C1]:[D2]])*Baseline!R86),0))</f>
        <v>0</v>
      </c>
      <c r="L189" s="56">
        <f>IF(Baseline!C86="Bestaande situatie",IF(_xlfn.IFNA((VLOOKUP(Baseline!Y86,Database_Asfalt_Verwijderset[#All],12,FALSE)*Baseline!I86),0)+_xlfn.IFNA(VLOOKUP(Baseline!Z86,Database_Brandstoffen[#All],12,FALSE)*((Baseline!I86/Baseline!AB86)*Baseline!AA86),0)&gt;0,_xlfn.IFNA((VLOOKUP(Baseline!Y86,Database_Asfalt_Verwijderset[#All],12,FALSE)*Baseline!I86),0)+_xlfn.IFNA(VLOOKUP(Baseline!Z86,Database_Brandstoffen[#All],12,FALSE)*((Baseline!I86/Baseline!AB86)*Baseline!AA86),0),(_xlfn.IFNA(VLOOKUP(Referentie_CO2_Totaal[[#This Row],[Product]]&amp;", "&amp;Referentie_MKI_Totaal[[#Headers],[C1]],Database_Productkaarten[#All],18,FALSE),0)*Baseline!I86)),0)</f>
        <v>0</v>
      </c>
      <c r="M189" s="56">
        <f>IF(Baseline!AD86=0,(IF(Baseline!C86="Bestaande Situatie",(_xlfn.IFNA(VLOOKUP(Referentie_CO2_Totaal[[#This Row],[Product]]&amp;", "&amp;Referentie_MKI_Totaal[[#Headers],[C2]],Database_Productkaarten[#All],18,FALSE),0)*Baseline!I86),0)),(IF(Baseline!C86="Bestaande Situatie",_xlfn.IFNA(VLOOKUP(Baseline!AD86,Database_Transport[#All],12,FALSE)*(Baseline!Q86*Baseline!AC86),0))))</f>
        <v>0</v>
      </c>
      <c r="N189" s="56">
        <f>(IF(Baseline!C86="Bestaande Situatie",(_xlfn.IFNA(VLOOKUP(Referentie_CO2_Totaal[[#This Row],[Product]]&amp;", "&amp;Referentie_CO2_Totaal[[#Headers],[C3]],Database_Productkaarten[#All],18,FALSE),0)*Baseline!I86),0))</f>
        <v>0</v>
      </c>
      <c r="O189" s="56">
        <f>(IF(Baseline!C86="Bestaande Situatie",(_xlfn.IFNA(VLOOKUP(Referentie_CO2_Totaal[[#This Row],[Product]]&amp;", "&amp;Referentie_CO2_Totaal[[#Headers],[C4]],Database_Productkaarten[#All],18,FALSE),0)*Baseline!I86),0))</f>
        <v>0</v>
      </c>
      <c r="P189" s="56">
        <f>(IF(Baseline!C86="Bestaande Situatie",(_xlfn.IFNA(VLOOKUP(Referentie_CO2_Totaal[[#This Row],[Product]]&amp;", "&amp;Referentie_CO2_Totaal[[#Headers],[D1]],Database_Productkaarten[#All],18,FALSE),0)*Baseline!I86),0))</f>
        <v>0</v>
      </c>
      <c r="Q189" s="57">
        <f>(IF(Baseline!C86="Bestaande Situatie",_xlfn.IFNA(VLOOKUP(Referentie_CO2_Totaal[[#This Row],[Product]]&amp;", "&amp;Referentie_CO2_Totaal[[#Headers],[D2]],Database_Productkaarten[#All],18,FALSE),0)*Baseline!I86,0))</f>
        <v>0</v>
      </c>
      <c r="R189" s="57">
        <f>(IF(Baseline!C86="Bestaande Situatie",(_xlfn.IFNA(VLOOKUP(Referentie_CO2_Totaal[[#This Row],[Product]]&amp;", "&amp;Referentie_CO2_Totaal[[#Headers],[D]],Database_Productkaarten[#All],18,FALSE),0)*Baseline!I86),0))</f>
        <v>0</v>
      </c>
      <c r="S189" s="56">
        <f>SUM(Referentie_CO2_Totaal[[#This Row],[A1-A3]:[C4]])+Referentie_CO2_Totaal[[#This Row],[D]]</f>
        <v>0</v>
      </c>
    </row>
    <row r="190" spans="2:19">
      <c r="B190" s="208">
        <f>Baseline!B87</f>
        <v>0</v>
      </c>
      <c r="C190" s="1">
        <f>Baseline!F87</f>
        <v>0</v>
      </c>
      <c r="D190" s="56">
        <f>(IF(Baseline!C87="Nieuwe Situatie",(_xlfn.IFNA(VLOOKUP(Referentie_CO2_Totaal[[#This Row],[Product]]&amp;", "&amp;Referentie_CO2_Totaal[[#Headers],[A1]],Database_Productkaarten[#All],18,FALSE),0)*Baseline!I87),0))</f>
        <v>0</v>
      </c>
      <c r="E190" s="56">
        <f>(IF(Baseline!C87="Nieuwe Situatie",(_xlfn.IFNA(VLOOKUP(Referentie_CO2_Totaal[[#This Row],[Product]]&amp;", "&amp;Referentie_CO2_Totaal[[#Headers],[A2]],Database_Productkaarten[#All],18,FALSE),0)*Baseline!I87),0))</f>
        <v>0</v>
      </c>
      <c r="F190" s="56">
        <f>(IF(Baseline!C87="Nieuwe Situatie",(_xlfn.IFNA(VLOOKUP(Referentie_CO2_Totaal[[#This Row],[Product]]&amp;", "&amp;Referentie_CO2_Totaal[[#Headers],[A3]],Database_Productkaarten[#All],18,FALSE),0)*Baseline!I87),0))</f>
        <v>0</v>
      </c>
      <c r="G190" s="56">
        <f>(IF(Baseline!C87="Nieuwe Situatie",(_xlfn.IFNA(VLOOKUP(Referentie_CO2_Totaal[[#This Row],[Product]]&amp;", "&amp;Referentie_CO2_Totaal[[#Headers],[A1-A3]],Database_Productkaarten[#All],18,FALSE),0)*Baseline!I87),0))</f>
        <v>0</v>
      </c>
      <c r="H190" s="56">
        <f>IF(Baseline!T87=0,(IF(Baseline!C87="Nieuwe Situatie",(_xlfn.IFNA(VLOOKUP(Referentie_CO2_Totaal[[#This Row],[Product]]&amp;", "&amp;Referentie_CO2_Totaal[[#Headers],[A4]],Database_Productkaarten[#All],18,FALSE),0)*Baseline!I87),0)),IF(Baseline!C87="Nieuwe Situatie",_xlfn.IFNA(VLOOKUP(Baseline!T87,Database_Transport[#All],12,FALSE)*(Baseline!Q87*Baseline!S87),Baseline_Backlog!H190),0))</f>
        <v>0</v>
      </c>
      <c r="I190" s="56">
        <f>IF(Baseline!C87="Nieuwe situatie",IF(_xlfn.IFNA((VLOOKUP(Baseline!U87,Database_Asfalt_Aanlegset[#All],12,FALSE)*Baseline!I87),0)+_xlfn.IFNA(VLOOKUP(Baseline!V87,Database_Brandstoffen[#All],12,FALSE)*((Baseline!I87/Baseline!X87)*Baseline!W87),0)&gt;0,_xlfn.IFNA((VLOOKUP(Baseline!U87,Database_Asfalt_Aanlegset[#All],12,FALSE)*Baseline!I87),0)+_xlfn.IFNA(VLOOKUP(Baseline!V87,Database_Brandstoffen[#All],12,FALSE)*((Baseline!I87/Baseline!X87)*Baseline!W87),0),(_xlfn.IFNA(VLOOKUP(Referentie_CO2_Totaal[[#This Row],[Product]]&amp;", "&amp;Referentie_MKI_Totaal[[#Headers],[A5]],Database_Productkaarten[#All],18,FALSE),0)*Baseline!I87)),0)</f>
        <v>0</v>
      </c>
      <c r="J190" s="56">
        <f>(IF(Baseline!C87="Nieuwe Situatie",(_xlfn.IFNA(VLOOKUP(Referentie_CO2_Totaal[[#This Row],[Product]]&amp;", "&amp;Referentie_CO2_Totaal[[#Headers],[B1]],Database_Productkaarten[#All],18,FALSE),0)*Baseline!I87),0))</f>
        <v>0</v>
      </c>
      <c r="K190" s="56">
        <f>(IF(Baseline!C87="Nieuwe Situatie",(SUM(Referentie_CO2_Totaal[[#This Row],[A1]:[B1]],Referentie_CO2_Totaal[[#This Row],[C1]:[D2]])*Baseline!R87),0))</f>
        <v>0</v>
      </c>
      <c r="L190" s="56">
        <f>IF(Baseline!C87="Bestaande situatie",IF(_xlfn.IFNA((VLOOKUP(Baseline!Y87,Database_Asfalt_Verwijderset[#All],12,FALSE)*Baseline!I87),0)+_xlfn.IFNA(VLOOKUP(Baseline!Z87,Database_Brandstoffen[#All],12,FALSE)*((Baseline!I87/Baseline!AB87)*Baseline!AA87),0)&gt;0,_xlfn.IFNA((VLOOKUP(Baseline!Y87,Database_Asfalt_Verwijderset[#All],12,FALSE)*Baseline!I87),0)+_xlfn.IFNA(VLOOKUP(Baseline!Z87,Database_Brandstoffen[#All],12,FALSE)*((Baseline!I87/Baseline!AB87)*Baseline!AA87),0),(_xlfn.IFNA(VLOOKUP(Referentie_CO2_Totaal[[#This Row],[Product]]&amp;", "&amp;Referentie_MKI_Totaal[[#Headers],[C1]],Database_Productkaarten[#All],18,FALSE),0)*Baseline!I87)),0)</f>
        <v>0</v>
      </c>
      <c r="M190" s="56">
        <f>IF(Baseline!AD87=0,(IF(Baseline!C87="Bestaande Situatie",(_xlfn.IFNA(VLOOKUP(Referentie_CO2_Totaal[[#This Row],[Product]]&amp;", "&amp;Referentie_MKI_Totaal[[#Headers],[C2]],Database_Productkaarten[#All],18,FALSE),0)*Baseline!I87),0)),(IF(Baseline!C87="Bestaande Situatie",_xlfn.IFNA(VLOOKUP(Baseline!AD87,Database_Transport[#All],12,FALSE)*(Baseline!Q87*Baseline!AC87),0))))</f>
        <v>0</v>
      </c>
      <c r="N190" s="56">
        <f>(IF(Baseline!C87="Bestaande Situatie",(_xlfn.IFNA(VLOOKUP(Referentie_CO2_Totaal[[#This Row],[Product]]&amp;", "&amp;Referentie_CO2_Totaal[[#Headers],[C3]],Database_Productkaarten[#All],18,FALSE),0)*Baseline!I87),0))</f>
        <v>0</v>
      </c>
      <c r="O190" s="56">
        <f>(IF(Baseline!C87="Bestaande Situatie",(_xlfn.IFNA(VLOOKUP(Referentie_CO2_Totaal[[#This Row],[Product]]&amp;", "&amp;Referentie_CO2_Totaal[[#Headers],[C4]],Database_Productkaarten[#All],18,FALSE),0)*Baseline!I87),0))</f>
        <v>0</v>
      </c>
      <c r="P190" s="56">
        <f>(IF(Baseline!C87="Bestaande Situatie",(_xlfn.IFNA(VLOOKUP(Referentie_CO2_Totaal[[#This Row],[Product]]&amp;", "&amp;Referentie_CO2_Totaal[[#Headers],[D1]],Database_Productkaarten[#All],18,FALSE),0)*Baseline!I87),0))</f>
        <v>0</v>
      </c>
      <c r="Q190" s="57">
        <f>(IF(Baseline!C87="Bestaande Situatie",_xlfn.IFNA(VLOOKUP(Referentie_CO2_Totaal[[#This Row],[Product]]&amp;", "&amp;Referentie_CO2_Totaal[[#Headers],[D2]],Database_Productkaarten[#All],18,FALSE),0)*Baseline!I87,0))</f>
        <v>0</v>
      </c>
      <c r="R190" s="57">
        <f>(IF(Baseline!C87="Bestaande Situatie",(_xlfn.IFNA(VLOOKUP(Referentie_CO2_Totaal[[#This Row],[Product]]&amp;", "&amp;Referentie_CO2_Totaal[[#Headers],[D]],Database_Productkaarten[#All],18,FALSE),0)*Baseline!I87),0))</f>
        <v>0</v>
      </c>
      <c r="S190" s="56">
        <f>SUM(Referentie_CO2_Totaal[[#This Row],[A1-A3]:[C4]])+Referentie_CO2_Totaal[[#This Row],[D]]</f>
        <v>0</v>
      </c>
    </row>
    <row r="191" spans="2:19">
      <c r="B191" s="208">
        <f>Baseline!B88</f>
        <v>0</v>
      </c>
      <c r="C191" s="1">
        <f>Baseline!F88</f>
        <v>0</v>
      </c>
      <c r="D191" s="56">
        <f>(IF(Baseline!C88="Nieuwe Situatie",(_xlfn.IFNA(VLOOKUP(Referentie_CO2_Totaal[[#This Row],[Product]]&amp;", "&amp;Referentie_CO2_Totaal[[#Headers],[A1]],Database_Productkaarten[#All],18,FALSE),0)*Baseline!I88),0))</f>
        <v>0</v>
      </c>
      <c r="E191" s="56">
        <f>(IF(Baseline!C88="Nieuwe Situatie",(_xlfn.IFNA(VLOOKUP(Referentie_CO2_Totaal[[#This Row],[Product]]&amp;", "&amp;Referentie_CO2_Totaal[[#Headers],[A2]],Database_Productkaarten[#All],18,FALSE),0)*Baseline!I88),0))</f>
        <v>0</v>
      </c>
      <c r="F191" s="56">
        <f>(IF(Baseline!C88="Nieuwe Situatie",(_xlfn.IFNA(VLOOKUP(Referentie_CO2_Totaal[[#This Row],[Product]]&amp;", "&amp;Referentie_CO2_Totaal[[#Headers],[A3]],Database_Productkaarten[#All],18,FALSE),0)*Baseline!I88),0))</f>
        <v>0</v>
      </c>
      <c r="G191" s="56">
        <f>(IF(Baseline!C88="Nieuwe Situatie",(_xlfn.IFNA(VLOOKUP(Referentie_CO2_Totaal[[#This Row],[Product]]&amp;", "&amp;Referentie_CO2_Totaal[[#Headers],[A1-A3]],Database_Productkaarten[#All],18,FALSE),0)*Baseline!I88),0))</f>
        <v>0</v>
      </c>
      <c r="H191" s="56">
        <f>IF(Baseline!T88=0,(IF(Baseline!C88="Nieuwe Situatie",(_xlfn.IFNA(VLOOKUP(Referentie_CO2_Totaal[[#This Row],[Product]]&amp;", "&amp;Referentie_CO2_Totaal[[#Headers],[A4]],Database_Productkaarten[#All],18,FALSE),0)*Baseline!I88),0)),IF(Baseline!C88="Nieuwe Situatie",_xlfn.IFNA(VLOOKUP(Baseline!T88,Database_Transport[#All],12,FALSE)*(Baseline!Q88*Baseline!S88),Baseline_Backlog!H191),0))</f>
        <v>0</v>
      </c>
      <c r="I191" s="56">
        <f>IF(Baseline!C88="Nieuwe situatie",IF(_xlfn.IFNA((VLOOKUP(Baseline!U88,Database_Asfalt_Aanlegset[#All],12,FALSE)*Baseline!I88),0)+_xlfn.IFNA(VLOOKUP(Baseline!V88,Database_Brandstoffen[#All],12,FALSE)*((Baseline!I88/Baseline!X88)*Baseline!W88),0)&gt;0,_xlfn.IFNA((VLOOKUP(Baseline!U88,Database_Asfalt_Aanlegset[#All],12,FALSE)*Baseline!I88),0)+_xlfn.IFNA(VLOOKUP(Baseline!V88,Database_Brandstoffen[#All],12,FALSE)*((Baseline!I88/Baseline!X88)*Baseline!W88),0),(_xlfn.IFNA(VLOOKUP(Referentie_CO2_Totaal[[#This Row],[Product]]&amp;", "&amp;Referentie_MKI_Totaal[[#Headers],[A5]],Database_Productkaarten[#All],18,FALSE),0)*Baseline!I88)),0)</f>
        <v>0</v>
      </c>
      <c r="J191" s="56">
        <f>(IF(Baseline!C88="Nieuwe Situatie",(_xlfn.IFNA(VLOOKUP(Referentie_CO2_Totaal[[#This Row],[Product]]&amp;", "&amp;Referentie_CO2_Totaal[[#Headers],[B1]],Database_Productkaarten[#All],18,FALSE),0)*Baseline!I88),0))</f>
        <v>0</v>
      </c>
      <c r="K191" s="56">
        <f>(IF(Baseline!C88="Nieuwe Situatie",(SUM(Referentie_CO2_Totaal[[#This Row],[A1]:[B1]],Referentie_CO2_Totaal[[#This Row],[C1]:[D2]])*Baseline!R88),0))</f>
        <v>0</v>
      </c>
      <c r="L191" s="56">
        <f>IF(Baseline!C88="Bestaande situatie",IF(_xlfn.IFNA((VLOOKUP(Baseline!Y88,Database_Asfalt_Verwijderset[#All],12,FALSE)*Baseline!I88),0)+_xlfn.IFNA(VLOOKUP(Baseline!Z88,Database_Brandstoffen[#All],12,FALSE)*((Baseline!I88/Baseline!AB88)*Baseline!AA88),0)&gt;0,_xlfn.IFNA((VLOOKUP(Baseline!Y88,Database_Asfalt_Verwijderset[#All],12,FALSE)*Baseline!I88),0)+_xlfn.IFNA(VLOOKUP(Baseline!Z88,Database_Brandstoffen[#All],12,FALSE)*((Baseline!I88/Baseline!AB88)*Baseline!AA88),0),(_xlfn.IFNA(VLOOKUP(Referentie_CO2_Totaal[[#This Row],[Product]]&amp;", "&amp;Referentie_MKI_Totaal[[#Headers],[C1]],Database_Productkaarten[#All],18,FALSE),0)*Baseline!I88)),0)</f>
        <v>0</v>
      </c>
      <c r="M191" s="56">
        <f>IF(Baseline!AD88=0,(IF(Baseline!C88="Bestaande Situatie",(_xlfn.IFNA(VLOOKUP(Referentie_CO2_Totaal[[#This Row],[Product]]&amp;", "&amp;Referentie_MKI_Totaal[[#Headers],[C2]],Database_Productkaarten[#All],18,FALSE),0)*Baseline!I88),0)),(IF(Baseline!C88="Bestaande Situatie",_xlfn.IFNA(VLOOKUP(Baseline!AD88,Database_Transport[#All],12,FALSE)*(Baseline!Q88*Baseline!AC88),0))))</f>
        <v>0</v>
      </c>
      <c r="N191" s="56">
        <f>(IF(Baseline!C88="Bestaande Situatie",(_xlfn.IFNA(VLOOKUP(Referentie_CO2_Totaal[[#This Row],[Product]]&amp;", "&amp;Referentie_CO2_Totaal[[#Headers],[C3]],Database_Productkaarten[#All],18,FALSE),0)*Baseline!I88),0))</f>
        <v>0</v>
      </c>
      <c r="O191" s="56">
        <f>(IF(Baseline!C88="Bestaande Situatie",(_xlfn.IFNA(VLOOKUP(Referentie_CO2_Totaal[[#This Row],[Product]]&amp;", "&amp;Referentie_CO2_Totaal[[#Headers],[C4]],Database_Productkaarten[#All],18,FALSE),0)*Baseline!I88),0))</f>
        <v>0</v>
      </c>
      <c r="P191" s="56">
        <f>(IF(Baseline!C88="Bestaande Situatie",(_xlfn.IFNA(VLOOKUP(Referentie_CO2_Totaal[[#This Row],[Product]]&amp;", "&amp;Referentie_CO2_Totaal[[#Headers],[D1]],Database_Productkaarten[#All],18,FALSE),0)*Baseline!I88),0))</f>
        <v>0</v>
      </c>
      <c r="Q191" s="57">
        <f>(IF(Baseline!C88="Bestaande Situatie",_xlfn.IFNA(VLOOKUP(Referentie_CO2_Totaal[[#This Row],[Product]]&amp;", "&amp;Referentie_CO2_Totaal[[#Headers],[D2]],Database_Productkaarten[#All],18,FALSE),0)*Baseline!I88,0))</f>
        <v>0</v>
      </c>
      <c r="R191" s="57">
        <f>(IF(Baseline!C88="Bestaande Situatie",(_xlfn.IFNA(VLOOKUP(Referentie_CO2_Totaal[[#This Row],[Product]]&amp;", "&amp;Referentie_CO2_Totaal[[#Headers],[D]],Database_Productkaarten[#All],18,FALSE),0)*Baseline!I88),0))</f>
        <v>0</v>
      </c>
      <c r="S191" s="56">
        <f>SUM(Referentie_CO2_Totaal[[#This Row],[A1-A3]:[C4]])+Referentie_CO2_Totaal[[#This Row],[D]]</f>
        <v>0</v>
      </c>
    </row>
    <row r="192" spans="2:19">
      <c r="B192" s="208">
        <f>Baseline!B89</f>
        <v>0</v>
      </c>
      <c r="C192" s="1">
        <f>Baseline!F89</f>
        <v>0</v>
      </c>
      <c r="D192" s="56">
        <f>(IF(Baseline!C89="Nieuwe Situatie",(_xlfn.IFNA(VLOOKUP(Referentie_CO2_Totaal[[#This Row],[Product]]&amp;", "&amp;Referentie_CO2_Totaal[[#Headers],[A1]],Database_Productkaarten[#All],18,FALSE),0)*Baseline!I89),0))</f>
        <v>0</v>
      </c>
      <c r="E192" s="56">
        <f>(IF(Baseline!C89="Nieuwe Situatie",(_xlfn.IFNA(VLOOKUP(Referentie_CO2_Totaal[[#This Row],[Product]]&amp;", "&amp;Referentie_CO2_Totaal[[#Headers],[A2]],Database_Productkaarten[#All],18,FALSE),0)*Baseline!I89),0))</f>
        <v>0</v>
      </c>
      <c r="F192" s="56">
        <f>(IF(Baseline!C89="Nieuwe Situatie",(_xlfn.IFNA(VLOOKUP(Referentie_CO2_Totaal[[#This Row],[Product]]&amp;", "&amp;Referentie_CO2_Totaal[[#Headers],[A3]],Database_Productkaarten[#All],18,FALSE),0)*Baseline!I89),0))</f>
        <v>0</v>
      </c>
      <c r="G192" s="56">
        <f>(IF(Baseline!C89="Nieuwe Situatie",(_xlfn.IFNA(VLOOKUP(Referentie_CO2_Totaal[[#This Row],[Product]]&amp;", "&amp;Referentie_CO2_Totaal[[#Headers],[A1-A3]],Database_Productkaarten[#All],18,FALSE),0)*Baseline!I89),0))</f>
        <v>0</v>
      </c>
      <c r="H192" s="56">
        <f>IF(Baseline!T89=0,(IF(Baseline!C89="Nieuwe Situatie",(_xlfn.IFNA(VLOOKUP(Referentie_CO2_Totaal[[#This Row],[Product]]&amp;", "&amp;Referentie_CO2_Totaal[[#Headers],[A4]],Database_Productkaarten[#All],18,FALSE),0)*Baseline!I89),0)),IF(Baseline!C89="Nieuwe Situatie",_xlfn.IFNA(VLOOKUP(Baseline!T89,Database_Transport[#All],12,FALSE)*(Baseline!Q89*Baseline!S89),Baseline_Backlog!H192),0))</f>
        <v>0</v>
      </c>
      <c r="I192" s="56">
        <f>IF(Baseline!C89="Nieuwe situatie",IF(_xlfn.IFNA((VLOOKUP(Baseline!U89,Database_Asfalt_Aanlegset[#All],12,FALSE)*Baseline!I89),0)+_xlfn.IFNA(VLOOKUP(Baseline!V89,Database_Brandstoffen[#All],12,FALSE)*((Baseline!I89/Baseline!X89)*Baseline!W89),0)&gt;0,_xlfn.IFNA((VLOOKUP(Baseline!U89,Database_Asfalt_Aanlegset[#All],12,FALSE)*Baseline!I89),0)+_xlfn.IFNA(VLOOKUP(Baseline!V89,Database_Brandstoffen[#All],12,FALSE)*((Baseline!I89/Baseline!X89)*Baseline!W89),0),(_xlfn.IFNA(VLOOKUP(Referentie_CO2_Totaal[[#This Row],[Product]]&amp;", "&amp;Referentie_MKI_Totaal[[#Headers],[A5]],Database_Productkaarten[#All],18,FALSE),0)*Baseline!I89)),0)</f>
        <v>0</v>
      </c>
      <c r="J192" s="56">
        <f>(IF(Baseline!C89="Nieuwe Situatie",(_xlfn.IFNA(VLOOKUP(Referentie_CO2_Totaal[[#This Row],[Product]]&amp;", "&amp;Referentie_CO2_Totaal[[#Headers],[B1]],Database_Productkaarten[#All],18,FALSE),0)*Baseline!I89),0))</f>
        <v>0</v>
      </c>
      <c r="K192" s="56">
        <f>(IF(Baseline!C89="Nieuwe Situatie",(SUM(Referentie_CO2_Totaal[[#This Row],[A1]:[B1]],Referentie_CO2_Totaal[[#This Row],[C1]:[D2]])*Baseline!R89),0))</f>
        <v>0</v>
      </c>
      <c r="L192" s="56">
        <f>IF(Baseline!C89="Bestaande situatie",IF(_xlfn.IFNA((VLOOKUP(Baseline!Y89,Database_Asfalt_Verwijderset[#All],12,FALSE)*Baseline!I89),0)+_xlfn.IFNA(VLOOKUP(Baseline!Z89,Database_Brandstoffen[#All],12,FALSE)*((Baseline!I89/Baseline!AB89)*Baseline!AA89),0)&gt;0,_xlfn.IFNA((VLOOKUP(Baseline!Y89,Database_Asfalt_Verwijderset[#All],12,FALSE)*Baseline!I89),0)+_xlfn.IFNA(VLOOKUP(Baseline!Z89,Database_Brandstoffen[#All],12,FALSE)*((Baseline!I89/Baseline!AB89)*Baseline!AA89),0),(_xlfn.IFNA(VLOOKUP(Referentie_CO2_Totaal[[#This Row],[Product]]&amp;", "&amp;Referentie_MKI_Totaal[[#Headers],[C1]],Database_Productkaarten[#All],18,FALSE),0)*Baseline!I89)),0)</f>
        <v>0</v>
      </c>
      <c r="M192" s="56">
        <f>IF(Baseline!AD89=0,(IF(Baseline!C89="Bestaande Situatie",(_xlfn.IFNA(VLOOKUP(Referentie_CO2_Totaal[[#This Row],[Product]]&amp;", "&amp;Referentie_MKI_Totaal[[#Headers],[C2]],Database_Productkaarten[#All],18,FALSE),0)*Baseline!I89),0)),(IF(Baseline!C89="Bestaande Situatie",_xlfn.IFNA(VLOOKUP(Baseline!AD89,Database_Transport[#All],12,FALSE)*(Baseline!Q89*Baseline!AC89),0))))</f>
        <v>0</v>
      </c>
      <c r="N192" s="56">
        <f>(IF(Baseline!C89="Bestaande Situatie",(_xlfn.IFNA(VLOOKUP(Referentie_CO2_Totaal[[#This Row],[Product]]&amp;", "&amp;Referentie_CO2_Totaal[[#Headers],[C3]],Database_Productkaarten[#All],18,FALSE),0)*Baseline!I89),0))</f>
        <v>0</v>
      </c>
      <c r="O192" s="56">
        <f>(IF(Baseline!C89="Bestaande Situatie",(_xlfn.IFNA(VLOOKUP(Referentie_CO2_Totaal[[#This Row],[Product]]&amp;", "&amp;Referentie_CO2_Totaal[[#Headers],[C4]],Database_Productkaarten[#All],18,FALSE),0)*Baseline!I89),0))</f>
        <v>0</v>
      </c>
      <c r="P192" s="56">
        <f>(IF(Baseline!C89="Bestaande Situatie",(_xlfn.IFNA(VLOOKUP(Referentie_CO2_Totaal[[#This Row],[Product]]&amp;", "&amp;Referentie_CO2_Totaal[[#Headers],[D1]],Database_Productkaarten[#All],18,FALSE),0)*Baseline!I89),0))</f>
        <v>0</v>
      </c>
      <c r="Q192" s="57">
        <f>(IF(Baseline!C89="Bestaande Situatie",_xlfn.IFNA(VLOOKUP(Referentie_CO2_Totaal[[#This Row],[Product]]&amp;", "&amp;Referentie_CO2_Totaal[[#Headers],[D2]],Database_Productkaarten[#All],18,FALSE),0)*Baseline!I89,0))</f>
        <v>0</v>
      </c>
      <c r="R192" s="57">
        <f>(IF(Baseline!C89="Bestaande Situatie",(_xlfn.IFNA(VLOOKUP(Referentie_CO2_Totaal[[#This Row],[Product]]&amp;", "&amp;Referentie_CO2_Totaal[[#Headers],[D]],Database_Productkaarten[#All],18,FALSE),0)*Baseline!I89),0))</f>
        <v>0</v>
      </c>
      <c r="S192" s="56">
        <f>SUM(Referentie_CO2_Totaal[[#This Row],[A1-A3]:[C4]])+Referentie_CO2_Totaal[[#This Row],[D]]</f>
        <v>0</v>
      </c>
    </row>
    <row r="193" spans="2:19">
      <c r="B193" s="208">
        <f>Baseline!B90</f>
        <v>0</v>
      </c>
      <c r="C193" s="1">
        <f>Baseline!F90</f>
        <v>0</v>
      </c>
      <c r="D193" s="56">
        <f>(IF(Baseline!C90="Nieuwe Situatie",(_xlfn.IFNA(VLOOKUP(Referentie_CO2_Totaal[[#This Row],[Product]]&amp;", "&amp;Referentie_CO2_Totaal[[#Headers],[A1]],Database_Productkaarten[#All],18,FALSE),0)*Baseline!I90),0))</f>
        <v>0</v>
      </c>
      <c r="E193" s="56">
        <f>(IF(Baseline!C90="Nieuwe Situatie",(_xlfn.IFNA(VLOOKUP(Referentie_CO2_Totaal[[#This Row],[Product]]&amp;", "&amp;Referentie_CO2_Totaal[[#Headers],[A2]],Database_Productkaarten[#All],18,FALSE),0)*Baseline!I90),0))</f>
        <v>0</v>
      </c>
      <c r="F193" s="56">
        <f>(IF(Baseline!C90="Nieuwe Situatie",(_xlfn.IFNA(VLOOKUP(Referentie_CO2_Totaal[[#This Row],[Product]]&amp;", "&amp;Referentie_CO2_Totaal[[#Headers],[A3]],Database_Productkaarten[#All],18,FALSE),0)*Baseline!I90),0))</f>
        <v>0</v>
      </c>
      <c r="G193" s="56">
        <f>(IF(Baseline!C90="Nieuwe Situatie",(_xlfn.IFNA(VLOOKUP(Referentie_CO2_Totaal[[#This Row],[Product]]&amp;", "&amp;Referentie_CO2_Totaal[[#Headers],[A1-A3]],Database_Productkaarten[#All],18,FALSE),0)*Baseline!I90),0))</f>
        <v>0</v>
      </c>
      <c r="H193" s="56">
        <f>IF(Baseline!T90=0,(IF(Baseline!C90="Nieuwe Situatie",(_xlfn.IFNA(VLOOKUP(Referentie_CO2_Totaal[[#This Row],[Product]]&amp;", "&amp;Referentie_CO2_Totaal[[#Headers],[A4]],Database_Productkaarten[#All],18,FALSE),0)*Baseline!I90),0)),IF(Baseline!C90="Nieuwe Situatie",_xlfn.IFNA(VLOOKUP(Baseline!T90,Database_Transport[#All],12,FALSE)*(Baseline!Q90*Baseline!S90),Baseline_Backlog!H193),0))</f>
        <v>0</v>
      </c>
      <c r="I193" s="56">
        <f>IF(Baseline!C90="Nieuwe situatie",IF(_xlfn.IFNA((VLOOKUP(Baseline!U90,Database_Asfalt_Aanlegset[#All],12,FALSE)*Baseline!I90),0)+_xlfn.IFNA(VLOOKUP(Baseline!V90,Database_Brandstoffen[#All],12,FALSE)*((Baseline!I90/Baseline!X90)*Baseline!W90),0)&gt;0,_xlfn.IFNA((VLOOKUP(Baseline!U90,Database_Asfalt_Aanlegset[#All],12,FALSE)*Baseline!I90),0)+_xlfn.IFNA(VLOOKUP(Baseline!V90,Database_Brandstoffen[#All],12,FALSE)*((Baseline!I90/Baseline!X90)*Baseline!W90),0),(_xlfn.IFNA(VLOOKUP(Referentie_CO2_Totaal[[#This Row],[Product]]&amp;", "&amp;Referentie_MKI_Totaal[[#Headers],[A5]],Database_Productkaarten[#All],18,FALSE),0)*Baseline!I90)),0)</f>
        <v>0</v>
      </c>
      <c r="J193" s="56">
        <f>(IF(Baseline!C90="Nieuwe Situatie",(_xlfn.IFNA(VLOOKUP(Referentie_CO2_Totaal[[#This Row],[Product]]&amp;", "&amp;Referentie_CO2_Totaal[[#Headers],[B1]],Database_Productkaarten[#All],18,FALSE),0)*Baseline!I90),0))</f>
        <v>0</v>
      </c>
      <c r="K193" s="56">
        <f>(IF(Baseline!C90="Nieuwe Situatie",(SUM(Referentie_CO2_Totaal[[#This Row],[A1]:[B1]],Referentie_CO2_Totaal[[#This Row],[C1]:[D2]])*Baseline!R90),0))</f>
        <v>0</v>
      </c>
      <c r="L193" s="56">
        <f>IF(Baseline!C90="Bestaande situatie",IF(_xlfn.IFNA((VLOOKUP(Baseline!Y90,Database_Asfalt_Verwijderset[#All],12,FALSE)*Baseline!I90),0)+_xlfn.IFNA(VLOOKUP(Baseline!Z90,Database_Brandstoffen[#All],12,FALSE)*((Baseline!I90/Baseline!AB90)*Baseline!AA90),0)&gt;0,_xlfn.IFNA((VLOOKUP(Baseline!Y90,Database_Asfalt_Verwijderset[#All],12,FALSE)*Baseline!I90),0)+_xlfn.IFNA(VLOOKUP(Baseline!Z90,Database_Brandstoffen[#All],12,FALSE)*((Baseline!I90/Baseline!AB90)*Baseline!AA90),0),(_xlfn.IFNA(VLOOKUP(Referentie_CO2_Totaal[[#This Row],[Product]]&amp;", "&amp;Referentie_MKI_Totaal[[#Headers],[C1]],Database_Productkaarten[#All],18,FALSE),0)*Baseline!I90)),0)</f>
        <v>0</v>
      </c>
      <c r="M193" s="56">
        <f>IF(Baseline!AD90=0,(IF(Baseline!C90="Bestaande Situatie",(_xlfn.IFNA(VLOOKUP(Referentie_CO2_Totaal[[#This Row],[Product]]&amp;", "&amp;Referentie_MKI_Totaal[[#Headers],[C2]],Database_Productkaarten[#All],18,FALSE),0)*Baseline!I90),0)),(IF(Baseline!C90="Bestaande Situatie",_xlfn.IFNA(VLOOKUP(Baseline!AD90,Database_Transport[#All],12,FALSE)*(Baseline!Q90*Baseline!AC90),0))))</f>
        <v>0</v>
      </c>
      <c r="N193" s="56">
        <f>(IF(Baseline!C90="Bestaande Situatie",(_xlfn.IFNA(VLOOKUP(Referentie_CO2_Totaal[[#This Row],[Product]]&amp;", "&amp;Referentie_CO2_Totaal[[#Headers],[C3]],Database_Productkaarten[#All],18,FALSE),0)*Baseline!I90),0))</f>
        <v>0</v>
      </c>
      <c r="O193" s="56">
        <f>(IF(Baseline!C90="Bestaande Situatie",(_xlfn.IFNA(VLOOKUP(Referentie_CO2_Totaal[[#This Row],[Product]]&amp;", "&amp;Referentie_CO2_Totaal[[#Headers],[C4]],Database_Productkaarten[#All],18,FALSE),0)*Baseline!I90),0))</f>
        <v>0</v>
      </c>
      <c r="P193" s="56">
        <f>(IF(Baseline!C90="Bestaande Situatie",(_xlfn.IFNA(VLOOKUP(Referentie_CO2_Totaal[[#This Row],[Product]]&amp;", "&amp;Referentie_CO2_Totaal[[#Headers],[D1]],Database_Productkaarten[#All],18,FALSE),0)*Baseline!I90),0))</f>
        <v>0</v>
      </c>
      <c r="Q193" s="57">
        <f>(IF(Baseline!C90="Bestaande Situatie",_xlfn.IFNA(VLOOKUP(Referentie_CO2_Totaal[[#This Row],[Product]]&amp;", "&amp;Referentie_CO2_Totaal[[#Headers],[D2]],Database_Productkaarten[#All],18,FALSE),0)*Baseline!I90,0))</f>
        <v>0</v>
      </c>
      <c r="R193" s="57">
        <f>(IF(Baseline!C90="Bestaande Situatie",(_xlfn.IFNA(VLOOKUP(Referentie_CO2_Totaal[[#This Row],[Product]]&amp;", "&amp;Referentie_CO2_Totaal[[#Headers],[D]],Database_Productkaarten[#All],18,FALSE),0)*Baseline!I90),0))</f>
        <v>0</v>
      </c>
      <c r="S193" s="56">
        <f>SUM(Referentie_CO2_Totaal[[#This Row],[A1-A3]:[C4]])+Referentie_CO2_Totaal[[#This Row],[D]]</f>
        <v>0</v>
      </c>
    </row>
    <row r="194" spans="2:19">
      <c r="B194" s="208">
        <f>Baseline!B91</f>
        <v>0</v>
      </c>
      <c r="C194" s="1">
        <f>Baseline!F91</f>
        <v>0</v>
      </c>
      <c r="D194" s="56">
        <f>(IF(Baseline!C91="Nieuwe Situatie",(_xlfn.IFNA(VLOOKUP(Referentie_CO2_Totaal[[#This Row],[Product]]&amp;", "&amp;Referentie_CO2_Totaal[[#Headers],[A1]],Database_Productkaarten[#All],18,FALSE),0)*Baseline!I91),0))</f>
        <v>0</v>
      </c>
      <c r="E194" s="56">
        <f>(IF(Baseline!C91="Nieuwe Situatie",(_xlfn.IFNA(VLOOKUP(Referentie_CO2_Totaal[[#This Row],[Product]]&amp;", "&amp;Referentie_CO2_Totaal[[#Headers],[A2]],Database_Productkaarten[#All],18,FALSE),0)*Baseline!I91),0))</f>
        <v>0</v>
      </c>
      <c r="F194" s="56">
        <f>(IF(Baseline!C91="Nieuwe Situatie",(_xlfn.IFNA(VLOOKUP(Referentie_CO2_Totaal[[#This Row],[Product]]&amp;", "&amp;Referentie_CO2_Totaal[[#Headers],[A3]],Database_Productkaarten[#All],18,FALSE),0)*Baseline!I91),0))</f>
        <v>0</v>
      </c>
      <c r="G194" s="56">
        <f>(IF(Baseline!C91="Nieuwe Situatie",(_xlfn.IFNA(VLOOKUP(Referentie_CO2_Totaal[[#This Row],[Product]]&amp;", "&amp;Referentie_CO2_Totaal[[#Headers],[A1-A3]],Database_Productkaarten[#All],18,FALSE),0)*Baseline!I91),0))</f>
        <v>0</v>
      </c>
      <c r="H194" s="56">
        <f>IF(Baseline!T91=0,(IF(Baseline!C91="Nieuwe Situatie",(_xlfn.IFNA(VLOOKUP(Referentie_CO2_Totaal[[#This Row],[Product]]&amp;", "&amp;Referentie_CO2_Totaal[[#Headers],[A4]],Database_Productkaarten[#All],18,FALSE),0)*Baseline!I91),0)),IF(Baseline!C91="Nieuwe Situatie",_xlfn.IFNA(VLOOKUP(Baseline!T91,Database_Transport[#All],12,FALSE)*(Baseline!Q91*Baseline!S91),Baseline_Backlog!H194),0))</f>
        <v>0</v>
      </c>
      <c r="I194" s="56">
        <f>IF(Baseline!C91="Nieuwe situatie",IF(_xlfn.IFNA((VLOOKUP(Baseline!U91,Database_Asfalt_Aanlegset[#All],12,FALSE)*Baseline!I91),0)+_xlfn.IFNA(VLOOKUP(Baseline!V91,Database_Brandstoffen[#All],12,FALSE)*((Baseline!I91/Baseline!X91)*Baseline!W91),0)&gt;0,_xlfn.IFNA((VLOOKUP(Baseline!U91,Database_Asfalt_Aanlegset[#All],12,FALSE)*Baseline!I91),0)+_xlfn.IFNA(VLOOKUP(Baseline!V91,Database_Brandstoffen[#All],12,FALSE)*((Baseline!I91/Baseline!X91)*Baseline!W91),0),(_xlfn.IFNA(VLOOKUP(Referentie_CO2_Totaal[[#This Row],[Product]]&amp;", "&amp;Referentie_MKI_Totaal[[#Headers],[A5]],Database_Productkaarten[#All],18,FALSE),0)*Baseline!I91)),0)</f>
        <v>0</v>
      </c>
      <c r="J194" s="56">
        <f>(IF(Baseline!C91="Nieuwe Situatie",(_xlfn.IFNA(VLOOKUP(Referentie_CO2_Totaal[[#This Row],[Product]]&amp;", "&amp;Referentie_CO2_Totaal[[#Headers],[B1]],Database_Productkaarten[#All],18,FALSE),0)*Baseline!I91),0))</f>
        <v>0</v>
      </c>
      <c r="K194" s="56">
        <f>(IF(Baseline!C91="Nieuwe Situatie",(SUM(Referentie_CO2_Totaal[[#This Row],[A1]:[B1]],Referentie_CO2_Totaal[[#This Row],[C1]:[D2]])*Baseline!R91),0))</f>
        <v>0</v>
      </c>
      <c r="L194" s="56">
        <f>IF(Baseline!C91="Bestaande situatie",IF(_xlfn.IFNA((VLOOKUP(Baseline!Y91,Database_Asfalt_Verwijderset[#All],12,FALSE)*Baseline!I91),0)+_xlfn.IFNA(VLOOKUP(Baseline!Z91,Database_Brandstoffen[#All],12,FALSE)*((Baseline!I91/Baseline!AB91)*Baseline!AA91),0)&gt;0,_xlfn.IFNA((VLOOKUP(Baseline!Y91,Database_Asfalt_Verwijderset[#All],12,FALSE)*Baseline!I91),0)+_xlfn.IFNA(VLOOKUP(Baseline!Z91,Database_Brandstoffen[#All],12,FALSE)*((Baseline!I91/Baseline!AB91)*Baseline!AA91),0),(_xlfn.IFNA(VLOOKUP(Referentie_CO2_Totaal[[#This Row],[Product]]&amp;", "&amp;Referentie_MKI_Totaal[[#Headers],[C1]],Database_Productkaarten[#All],18,FALSE),0)*Baseline!I91)),0)</f>
        <v>0</v>
      </c>
      <c r="M194" s="56">
        <f>IF(Baseline!AD91=0,(IF(Baseline!C91="Bestaande Situatie",(_xlfn.IFNA(VLOOKUP(Referentie_CO2_Totaal[[#This Row],[Product]]&amp;", "&amp;Referentie_MKI_Totaal[[#Headers],[C2]],Database_Productkaarten[#All],18,FALSE),0)*Baseline!I91),0)),(IF(Baseline!C91="Bestaande Situatie",_xlfn.IFNA(VLOOKUP(Baseline!AD91,Database_Transport[#All],12,FALSE)*(Baseline!Q91*Baseline!AC91),0))))</f>
        <v>0</v>
      </c>
      <c r="N194" s="56">
        <f>(IF(Baseline!C91="Bestaande Situatie",(_xlfn.IFNA(VLOOKUP(Referentie_CO2_Totaal[[#This Row],[Product]]&amp;", "&amp;Referentie_CO2_Totaal[[#Headers],[C3]],Database_Productkaarten[#All],18,FALSE),0)*Baseline!I91),0))</f>
        <v>0</v>
      </c>
      <c r="O194" s="56">
        <f>(IF(Baseline!C91="Bestaande Situatie",(_xlfn.IFNA(VLOOKUP(Referentie_CO2_Totaal[[#This Row],[Product]]&amp;", "&amp;Referentie_CO2_Totaal[[#Headers],[C4]],Database_Productkaarten[#All],18,FALSE),0)*Baseline!I91),0))</f>
        <v>0</v>
      </c>
      <c r="P194" s="56">
        <f>(IF(Baseline!C91="Bestaande Situatie",(_xlfn.IFNA(VLOOKUP(Referentie_CO2_Totaal[[#This Row],[Product]]&amp;", "&amp;Referentie_CO2_Totaal[[#Headers],[D1]],Database_Productkaarten[#All],18,FALSE),0)*Baseline!I91),0))</f>
        <v>0</v>
      </c>
      <c r="Q194" s="57">
        <f>(IF(Baseline!C91="Bestaande Situatie",_xlfn.IFNA(VLOOKUP(Referentie_CO2_Totaal[[#This Row],[Product]]&amp;", "&amp;Referentie_CO2_Totaal[[#Headers],[D2]],Database_Productkaarten[#All],18,FALSE),0)*Baseline!I91,0))</f>
        <v>0</v>
      </c>
      <c r="R194" s="57">
        <f>(IF(Baseline!C91="Bestaande Situatie",(_xlfn.IFNA(VLOOKUP(Referentie_CO2_Totaal[[#This Row],[Product]]&amp;", "&amp;Referentie_CO2_Totaal[[#Headers],[D]],Database_Productkaarten[#All],18,FALSE),0)*Baseline!I91),0))</f>
        <v>0</v>
      </c>
      <c r="S194" s="56">
        <f>SUM(Referentie_CO2_Totaal[[#This Row],[A1-A3]:[C4]])+Referentie_CO2_Totaal[[#This Row],[D]]</f>
        <v>0</v>
      </c>
    </row>
    <row r="195" spans="2:19">
      <c r="B195" s="208">
        <f>Baseline!B92</f>
        <v>0</v>
      </c>
      <c r="C195" s="1">
        <f>Baseline!F92</f>
        <v>0</v>
      </c>
      <c r="D195" s="56">
        <f>(IF(Baseline!C92="Nieuwe Situatie",(_xlfn.IFNA(VLOOKUP(Referentie_CO2_Totaal[[#This Row],[Product]]&amp;", "&amp;Referentie_CO2_Totaal[[#Headers],[A1]],Database_Productkaarten[#All],18,FALSE),0)*Baseline!I92),0))</f>
        <v>0</v>
      </c>
      <c r="E195" s="56">
        <f>(IF(Baseline!C92="Nieuwe Situatie",(_xlfn.IFNA(VLOOKUP(Referentie_CO2_Totaal[[#This Row],[Product]]&amp;", "&amp;Referentie_CO2_Totaal[[#Headers],[A2]],Database_Productkaarten[#All],18,FALSE),0)*Baseline!I92),0))</f>
        <v>0</v>
      </c>
      <c r="F195" s="56">
        <f>(IF(Baseline!C92="Nieuwe Situatie",(_xlfn.IFNA(VLOOKUP(Referentie_CO2_Totaal[[#This Row],[Product]]&amp;", "&amp;Referentie_CO2_Totaal[[#Headers],[A3]],Database_Productkaarten[#All],18,FALSE),0)*Baseline!I92),0))</f>
        <v>0</v>
      </c>
      <c r="G195" s="56">
        <f>(IF(Baseline!C92="Nieuwe Situatie",(_xlfn.IFNA(VLOOKUP(Referentie_CO2_Totaal[[#This Row],[Product]]&amp;", "&amp;Referentie_CO2_Totaal[[#Headers],[A1-A3]],Database_Productkaarten[#All],18,FALSE),0)*Baseline!I92),0))</f>
        <v>0</v>
      </c>
      <c r="H195" s="56">
        <f>IF(Baseline!T92=0,(IF(Baseline!C92="Nieuwe Situatie",(_xlfn.IFNA(VLOOKUP(Referentie_CO2_Totaal[[#This Row],[Product]]&amp;", "&amp;Referentie_CO2_Totaal[[#Headers],[A4]],Database_Productkaarten[#All],18,FALSE),0)*Baseline!I92),0)),IF(Baseline!C92="Nieuwe Situatie",_xlfn.IFNA(VLOOKUP(Baseline!T92,Database_Transport[#All],12,FALSE)*(Baseline!Q92*Baseline!S92),Baseline_Backlog!H195),0))</f>
        <v>0</v>
      </c>
      <c r="I195" s="56">
        <f>IF(Baseline!C92="Nieuwe situatie",IF(_xlfn.IFNA((VLOOKUP(Baseline!U92,Database_Asfalt_Aanlegset[#All],12,FALSE)*Baseline!I92),0)+_xlfn.IFNA(VLOOKUP(Baseline!V92,Database_Brandstoffen[#All],12,FALSE)*((Baseline!I92/Baseline!X92)*Baseline!W92),0)&gt;0,_xlfn.IFNA((VLOOKUP(Baseline!U92,Database_Asfalt_Aanlegset[#All],12,FALSE)*Baseline!I92),0)+_xlfn.IFNA(VLOOKUP(Baseline!V92,Database_Brandstoffen[#All],12,FALSE)*((Baseline!I92/Baseline!X92)*Baseline!W92),0),(_xlfn.IFNA(VLOOKUP(Referentie_CO2_Totaal[[#This Row],[Product]]&amp;", "&amp;Referentie_MKI_Totaal[[#Headers],[A5]],Database_Productkaarten[#All],18,FALSE),0)*Baseline!I92)),0)</f>
        <v>0</v>
      </c>
      <c r="J195" s="56">
        <f>(IF(Baseline!C92="Nieuwe Situatie",(_xlfn.IFNA(VLOOKUP(Referentie_CO2_Totaal[[#This Row],[Product]]&amp;", "&amp;Referentie_CO2_Totaal[[#Headers],[B1]],Database_Productkaarten[#All],18,FALSE),0)*Baseline!I92),0))</f>
        <v>0</v>
      </c>
      <c r="K195" s="56">
        <f>(IF(Baseline!C92="Nieuwe Situatie",(SUM(Referentie_CO2_Totaal[[#This Row],[A1]:[B1]],Referentie_CO2_Totaal[[#This Row],[C1]:[D2]])*Baseline!R92),0))</f>
        <v>0</v>
      </c>
      <c r="L195" s="56">
        <f>IF(Baseline!C92="Bestaande situatie",IF(_xlfn.IFNA((VLOOKUP(Baseline!Y92,Database_Asfalt_Verwijderset[#All],12,FALSE)*Baseline!I92),0)+_xlfn.IFNA(VLOOKUP(Baseline!Z92,Database_Brandstoffen[#All],12,FALSE)*((Baseline!I92/Baseline!AB92)*Baseline!AA92),0)&gt;0,_xlfn.IFNA((VLOOKUP(Baseline!Y92,Database_Asfalt_Verwijderset[#All],12,FALSE)*Baseline!I92),0)+_xlfn.IFNA(VLOOKUP(Baseline!Z92,Database_Brandstoffen[#All],12,FALSE)*((Baseline!I92/Baseline!AB92)*Baseline!AA92),0),(_xlfn.IFNA(VLOOKUP(Referentie_CO2_Totaal[[#This Row],[Product]]&amp;", "&amp;Referentie_MKI_Totaal[[#Headers],[C1]],Database_Productkaarten[#All],18,FALSE),0)*Baseline!I92)),0)</f>
        <v>0</v>
      </c>
      <c r="M195" s="56">
        <f>IF(Baseline!AD92=0,(IF(Baseline!C92="Bestaande Situatie",(_xlfn.IFNA(VLOOKUP(Referentie_CO2_Totaal[[#This Row],[Product]]&amp;", "&amp;Referentie_MKI_Totaal[[#Headers],[C2]],Database_Productkaarten[#All],18,FALSE),0)*Baseline!I92),0)),(IF(Baseline!C92="Bestaande Situatie",_xlfn.IFNA(VLOOKUP(Baseline!AD92,Database_Transport[#All],12,FALSE)*(Baseline!Q92*Baseline!AC92),0))))</f>
        <v>0</v>
      </c>
      <c r="N195" s="56">
        <f>(IF(Baseline!C92="Bestaande Situatie",(_xlfn.IFNA(VLOOKUP(Referentie_CO2_Totaal[[#This Row],[Product]]&amp;", "&amp;Referentie_CO2_Totaal[[#Headers],[C3]],Database_Productkaarten[#All],18,FALSE),0)*Baseline!I92),0))</f>
        <v>0</v>
      </c>
      <c r="O195" s="56">
        <f>(IF(Baseline!C92="Bestaande Situatie",(_xlfn.IFNA(VLOOKUP(Referentie_CO2_Totaal[[#This Row],[Product]]&amp;", "&amp;Referentie_CO2_Totaal[[#Headers],[C4]],Database_Productkaarten[#All],18,FALSE),0)*Baseline!I92),0))</f>
        <v>0</v>
      </c>
      <c r="P195" s="56">
        <f>(IF(Baseline!C92="Bestaande Situatie",(_xlfn.IFNA(VLOOKUP(Referentie_CO2_Totaal[[#This Row],[Product]]&amp;", "&amp;Referentie_CO2_Totaal[[#Headers],[D1]],Database_Productkaarten[#All],18,FALSE),0)*Baseline!I92),0))</f>
        <v>0</v>
      </c>
      <c r="Q195" s="57">
        <f>(IF(Baseline!C92="Bestaande Situatie",_xlfn.IFNA(VLOOKUP(Referentie_CO2_Totaal[[#This Row],[Product]]&amp;", "&amp;Referentie_CO2_Totaal[[#Headers],[D2]],Database_Productkaarten[#All],18,FALSE),0)*Baseline!I92,0))</f>
        <v>0</v>
      </c>
      <c r="R195" s="57">
        <f>(IF(Baseline!C92="Bestaande Situatie",(_xlfn.IFNA(VLOOKUP(Referentie_CO2_Totaal[[#This Row],[Product]]&amp;", "&amp;Referentie_CO2_Totaal[[#Headers],[D]],Database_Productkaarten[#All],18,FALSE),0)*Baseline!I92),0))</f>
        <v>0</v>
      </c>
      <c r="S195" s="56">
        <f>SUM(Referentie_CO2_Totaal[[#This Row],[A1-A3]:[C4]])+Referentie_CO2_Totaal[[#This Row],[D]]</f>
        <v>0</v>
      </c>
    </row>
    <row r="196" spans="2:19">
      <c r="B196" s="208">
        <f>Baseline!B93</f>
        <v>0</v>
      </c>
      <c r="C196" s="1">
        <f>Baseline!F93</f>
        <v>0</v>
      </c>
      <c r="D196" s="56">
        <f>(IF(Baseline!C93="Nieuwe Situatie",(_xlfn.IFNA(VLOOKUP(Referentie_CO2_Totaal[[#This Row],[Product]]&amp;", "&amp;Referentie_CO2_Totaal[[#Headers],[A1]],Database_Productkaarten[#All],18,FALSE),0)*Baseline!I93),0))</f>
        <v>0</v>
      </c>
      <c r="E196" s="56">
        <f>(IF(Baseline!C93="Nieuwe Situatie",(_xlfn.IFNA(VLOOKUP(Referentie_CO2_Totaal[[#This Row],[Product]]&amp;", "&amp;Referentie_CO2_Totaal[[#Headers],[A2]],Database_Productkaarten[#All],18,FALSE),0)*Baseline!I93),0))</f>
        <v>0</v>
      </c>
      <c r="F196" s="56">
        <f>(IF(Baseline!C93="Nieuwe Situatie",(_xlfn.IFNA(VLOOKUP(Referentie_CO2_Totaal[[#This Row],[Product]]&amp;", "&amp;Referentie_CO2_Totaal[[#Headers],[A3]],Database_Productkaarten[#All],18,FALSE),0)*Baseline!I93),0))</f>
        <v>0</v>
      </c>
      <c r="G196" s="56">
        <f>(IF(Baseline!C93="Nieuwe Situatie",(_xlfn.IFNA(VLOOKUP(Referentie_CO2_Totaal[[#This Row],[Product]]&amp;", "&amp;Referentie_CO2_Totaal[[#Headers],[A1-A3]],Database_Productkaarten[#All],18,FALSE),0)*Baseline!I93),0))</f>
        <v>0</v>
      </c>
      <c r="H196" s="56">
        <f>IF(Baseline!T93=0,(IF(Baseline!C93="Nieuwe Situatie",(_xlfn.IFNA(VLOOKUP(Referentie_CO2_Totaal[[#This Row],[Product]]&amp;", "&amp;Referentie_CO2_Totaal[[#Headers],[A4]],Database_Productkaarten[#All],18,FALSE),0)*Baseline!I93),0)),IF(Baseline!C93="Nieuwe Situatie",_xlfn.IFNA(VLOOKUP(Baseline!T93,Database_Transport[#All],12,FALSE)*(Baseline!Q93*Baseline!S93),Baseline_Backlog!H196),0))</f>
        <v>0</v>
      </c>
      <c r="I196" s="56">
        <f>IF(Baseline!C93="Nieuwe situatie",IF(_xlfn.IFNA((VLOOKUP(Baseline!U93,Database_Asfalt_Aanlegset[#All],12,FALSE)*Baseline!I93),0)+_xlfn.IFNA(VLOOKUP(Baseline!V93,Database_Brandstoffen[#All],12,FALSE)*((Baseline!I93/Baseline!X93)*Baseline!W93),0)&gt;0,_xlfn.IFNA((VLOOKUP(Baseline!U93,Database_Asfalt_Aanlegset[#All],12,FALSE)*Baseline!I93),0)+_xlfn.IFNA(VLOOKUP(Baseline!V93,Database_Brandstoffen[#All],12,FALSE)*((Baseline!I93/Baseline!X93)*Baseline!W93),0),(_xlfn.IFNA(VLOOKUP(Referentie_CO2_Totaal[[#This Row],[Product]]&amp;", "&amp;Referentie_MKI_Totaal[[#Headers],[A5]],Database_Productkaarten[#All],18,FALSE),0)*Baseline!I93)),0)</f>
        <v>0</v>
      </c>
      <c r="J196" s="56">
        <f>(IF(Baseline!C93="Nieuwe Situatie",(_xlfn.IFNA(VLOOKUP(Referentie_CO2_Totaal[[#This Row],[Product]]&amp;", "&amp;Referentie_CO2_Totaal[[#Headers],[B1]],Database_Productkaarten[#All],18,FALSE),0)*Baseline!I93),0))</f>
        <v>0</v>
      </c>
      <c r="K196" s="56">
        <f>(IF(Baseline!C93="Nieuwe Situatie",(SUM(Referentie_CO2_Totaal[[#This Row],[A1]:[B1]],Referentie_CO2_Totaal[[#This Row],[C1]:[D2]])*Baseline!R93),0))</f>
        <v>0</v>
      </c>
      <c r="L196" s="56">
        <f>IF(Baseline!C93="Bestaande situatie",IF(_xlfn.IFNA((VLOOKUP(Baseline!Y93,Database_Asfalt_Verwijderset[#All],12,FALSE)*Baseline!I93),0)+_xlfn.IFNA(VLOOKUP(Baseline!Z93,Database_Brandstoffen[#All],12,FALSE)*((Baseline!I93/Baseline!AB93)*Baseline!AA93),0)&gt;0,_xlfn.IFNA((VLOOKUP(Baseline!Y93,Database_Asfalt_Verwijderset[#All],12,FALSE)*Baseline!I93),0)+_xlfn.IFNA(VLOOKUP(Baseline!Z93,Database_Brandstoffen[#All],12,FALSE)*((Baseline!I93/Baseline!AB93)*Baseline!AA93),0),(_xlfn.IFNA(VLOOKUP(Referentie_CO2_Totaal[[#This Row],[Product]]&amp;", "&amp;Referentie_MKI_Totaal[[#Headers],[C1]],Database_Productkaarten[#All],18,FALSE),0)*Baseline!I93)),0)</f>
        <v>0</v>
      </c>
      <c r="M196" s="56">
        <f>IF(Baseline!AD93=0,(IF(Baseline!C93="Bestaande Situatie",(_xlfn.IFNA(VLOOKUP(Referentie_CO2_Totaal[[#This Row],[Product]]&amp;", "&amp;Referentie_MKI_Totaal[[#Headers],[C2]],Database_Productkaarten[#All],18,FALSE),0)*Baseline!I93),0)),(IF(Baseline!C93="Bestaande Situatie",_xlfn.IFNA(VLOOKUP(Baseline!AD93,Database_Transport[#All],12,FALSE)*(Baseline!Q93*Baseline!AC93),0))))</f>
        <v>0</v>
      </c>
      <c r="N196" s="56">
        <f>(IF(Baseline!C93="Bestaande Situatie",(_xlfn.IFNA(VLOOKUP(Referentie_CO2_Totaal[[#This Row],[Product]]&amp;", "&amp;Referentie_CO2_Totaal[[#Headers],[C3]],Database_Productkaarten[#All],18,FALSE),0)*Baseline!I93),0))</f>
        <v>0</v>
      </c>
      <c r="O196" s="56">
        <f>(IF(Baseline!C93="Bestaande Situatie",(_xlfn.IFNA(VLOOKUP(Referentie_CO2_Totaal[[#This Row],[Product]]&amp;", "&amp;Referentie_CO2_Totaal[[#Headers],[C4]],Database_Productkaarten[#All],18,FALSE),0)*Baseline!I93),0))</f>
        <v>0</v>
      </c>
      <c r="P196" s="56">
        <f>(IF(Baseline!C93="Bestaande Situatie",(_xlfn.IFNA(VLOOKUP(Referentie_CO2_Totaal[[#This Row],[Product]]&amp;", "&amp;Referentie_CO2_Totaal[[#Headers],[D1]],Database_Productkaarten[#All],18,FALSE),0)*Baseline!I93),0))</f>
        <v>0</v>
      </c>
      <c r="Q196" s="57">
        <f>(IF(Baseline!C93="Bestaande Situatie",_xlfn.IFNA(VLOOKUP(Referentie_CO2_Totaal[[#This Row],[Product]]&amp;", "&amp;Referentie_CO2_Totaal[[#Headers],[D2]],Database_Productkaarten[#All],18,FALSE),0)*Baseline!I93,0))</f>
        <v>0</v>
      </c>
      <c r="R196" s="57">
        <f>(IF(Baseline!C93="Bestaande Situatie",(_xlfn.IFNA(VLOOKUP(Referentie_CO2_Totaal[[#This Row],[Product]]&amp;", "&amp;Referentie_CO2_Totaal[[#Headers],[D]],Database_Productkaarten[#All],18,FALSE),0)*Baseline!I93),0))</f>
        <v>0</v>
      </c>
      <c r="S196" s="56">
        <f>SUM(Referentie_CO2_Totaal[[#This Row],[A1-A3]:[C4]])+Referentie_CO2_Totaal[[#This Row],[D]]</f>
        <v>0</v>
      </c>
    </row>
    <row r="197" spans="2:19">
      <c r="B197" s="208">
        <f>Baseline!B94</f>
        <v>0</v>
      </c>
      <c r="C197" s="1">
        <f>Baseline!F94</f>
        <v>0</v>
      </c>
      <c r="D197" s="56">
        <f>(IF(Baseline!C94="Nieuwe Situatie",(_xlfn.IFNA(VLOOKUP(Referentie_CO2_Totaal[[#This Row],[Product]]&amp;", "&amp;Referentie_CO2_Totaal[[#Headers],[A1]],Database_Productkaarten[#All],18,FALSE),0)*Baseline!I94),0))</f>
        <v>0</v>
      </c>
      <c r="E197" s="56">
        <f>(IF(Baseline!C94="Nieuwe Situatie",(_xlfn.IFNA(VLOOKUP(Referentie_CO2_Totaal[[#This Row],[Product]]&amp;", "&amp;Referentie_CO2_Totaal[[#Headers],[A2]],Database_Productkaarten[#All],18,FALSE),0)*Baseline!I94),0))</f>
        <v>0</v>
      </c>
      <c r="F197" s="56">
        <f>(IF(Baseline!C94="Nieuwe Situatie",(_xlfn.IFNA(VLOOKUP(Referentie_CO2_Totaal[[#This Row],[Product]]&amp;", "&amp;Referentie_CO2_Totaal[[#Headers],[A3]],Database_Productkaarten[#All],18,FALSE),0)*Baseline!I94),0))</f>
        <v>0</v>
      </c>
      <c r="G197" s="56">
        <f>(IF(Baseline!C94="Nieuwe Situatie",(_xlfn.IFNA(VLOOKUP(Referentie_CO2_Totaal[[#This Row],[Product]]&amp;", "&amp;Referentie_CO2_Totaal[[#Headers],[A1-A3]],Database_Productkaarten[#All],18,FALSE),0)*Baseline!I94),0))</f>
        <v>0</v>
      </c>
      <c r="H197" s="56">
        <f>IF(Baseline!T94=0,(IF(Baseline!C94="Nieuwe Situatie",(_xlfn.IFNA(VLOOKUP(Referentie_CO2_Totaal[[#This Row],[Product]]&amp;", "&amp;Referentie_CO2_Totaal[[#Headers],[A4]],Database_Productkaarten[#All],18,FALSE),0)*Baseline!I94),0)),IF(Baseline!C94="Nieuwe Situatie",_xlfn.IFNA(VLOOKUP(Baseline!T94,Database_Transport[#All],12,FALSE)*(Baseline!Q94*Baseline!S94),Baseline_Backlog!H197),0))</f>
        <v>0</v>
      </c>
      <c r="I197" s="56">
        <f>IF(Baseline!C94="Nieuwe situatie",IF(_xlfn.IFNA((VLOOKUP(Baseline!U94,Database_Asfalt_Aanlegset[#All],12,FALSE)*Baseline!I94),0)+_xlfn.IFNA(VLOOKUP(Baseline!V94,Database_Brandstoffen[#All],12,FALSE)*((Baseline!I94/Baseline!X94)*Baseline!W94),0)&gt;0,_xlfn.IFNA((VLOOKUP(Baseline!U94,Database_Asfalt_Aanlegset[#All],12,FALSE)*Baseline!I94),0)+_xlfn.IFNA(VLOOKUP(Baseline!V94,Database_Brandstoffen[#All],12,FALSE)*((Baseline!I94/Baseline!X94)*Baseline!W94),0),(_xlfn.IFNA(VLOOKUP(Referentie_CO2_Totaal[[#This Row],[Product]]&amp;", "&amp;Referentie_MKI_Totaal[[#Headers],[A5]],Database_Productkaarten[#All],18,FALSE),0)*Baseline!I94)),0)</f>
        <v>0</v>
      </c>
      <c r="J197" s="56">
        <f>(IF(Baseline!C94="Nieuwe Situatie",(_xlfn.IFNA(VLOOKUP(Referentie_CO2_Totaal[[#This Row],[Product]]&amp;", "&amp;Referentie_CO2_Totaal[[#Headers],[B1]],Database_Productkaarten[#All],18,FALSE),0)*Baseline!I94),0))</f>
        <v>0</v>
      </c>
      <c r="K197" s="56">
        <f>(IF(Baseline!C94="Nieuwe Situatie",(SUM(Referentie_CO2_Totaal[[#This Row],[A1]:[B1]],Referentie_CO2_Totaal[[#This Row],[C1]:[D2]])*Baseline!R94),0))</f>
        <v>0</v>
      </c>
      <c r="L197" s="56">
        <f>IF(Baseline!C94="Bestaande situatie",IF(_xlfn.IFNA((VLOOKUP(Baseline!Y94,Database_Asfalt_Verwijderset[#All],12,FALSE)*Baseline!I94),0)+_xlfn.IFNA(VLOOKUP(Baseline!Z94,Database_Brandstoffen[#All],12,FALSE)*((Baseline!I94/Baseline!AB94)*Baseline!AA94),0)&gt;0,_xlfn.IFNA((VLOOKUP(Baseline!Y94,Database_Asfalt_Verwijderset[#All],12,FALSE)*Baseline!I94),0)+_xlfn.IFNA(VLOOKUP(Baseline!Z94,Database_Brandstoffen[#All],12,FALSE)*((Baseline!I94/Baseline!AB94)*Baseline!AA94),0),(_xlfn.IFNA(VLOOKUP(Referentie_CO2_Totaal[[#This Row],[Product]]&amp;", "&amp;Referentie_MKI_Totaal[[#Headers],[C1]],Database_Productkaarten[#All],18,FALSE),0)*Baseline!I94)),0)</f>
        <v>0</v>
      </c>
      <c r="M197" s="56">
        <f>IF(Baseline!AD94=0,(IF(Baseline!C94="Bestaande Situatie",(_xlfn.IFNA(VLOOKUP(Referentie_CO2_Totaal[[#This Row],[Product]]&amp;", "&amp;Referentie_MKI_Totaal[[#Headers],[C2]],Database_Productkaarten[#All],18,FALSE),0)*Baseline!I94),0)),(IF(Baseline!C94="Bestaande Situatie",_xlfn.IFNA(VLOOKUP(Baseline!AD94,Database_Transport[#All],12,FALSE)*(Baseline!Q94*Baseline!AC94),0))))</f>
        <v>0</v>
      </c>
      <c r="N197" s="56">
        <f>(IF(Baseline!C94="Bestaande Situatie",(_xlfn.IFNA(VLOOKUP(Referentie_CO2_Totaal[[#This Row],[Product]]&amp;", "&amp;Referentie_CO2_Totaal[[#Headers],[C3]],Database_Productkaarten[#All],18,FALSE),0)*Baseline!I94),0))</f>
        <v>0</v>
      </c>
      <c r="O197" s="56">
        <f>(IF(Baseline!C94="Bestaande Situatie",(_xlfn.IFNA(VLOOKUP(Referentie_CO2_Totaal[[#This Row],[Product]]&amp;", "&amp;Referentie_CO2_Totaal[[#Headers],[C4]],Database_Productkaarten[#All],18,FALSE),0)*Baseline!I94),0))</f>
        <v>0</v>
      </c>
      <c r="P197" s="56">
        <f>(IF(Baseline!C94="Bestaande Situatie",(_xlfn.IFNA(VLOOKUP(Referentie_CO2_Totaal[[#This Row],[Product]]&amp;", "&amp;Referentie_CO2_Totaal[[#Headers],[D1]],Database_Productkaarten[#All],18,FALSE),0)*Baseline!I94),0))</f>
        <v>0</v>
      </c>
      <c r="Q197" s="57">
        <f>(IF(Baseline!C94="Bestaande Situatie",_xlfn.IFNA(VLOOKUP(Referentie_CO2_Totaal[[#This Row],[Product]]&amp;", "&amp;Referentie_CO2_Totaal[[#Headers],[D2]],Database_Productkaarten[#All],18,FALSE),0)*Baseline!I94,0))</f>
        <v>0</v>
      </c>
      <c r="R197" s="57">
        <f>(IF(Baseline!C94="Bestaande Situatie",(_xlfn.IFNA(VLOOKUP(Referentie_CO2_Totaal[[#This Row],[Product]]&amp;", "&amp;Referentie_CO2_Totaal[[#Headers],[D]],Database_Productkaarten[#All],18,FALSE),0)*Baseline!I94),0))</f>
        <v>0</v>
      </c>
      <c r="S197" s="56">
        <f>SUM(Referentie_CO2_Totaal[[#This Row],[A1-A3]:[C4]])+Referentie_CO2_Totaal[[#This Row],[D]]</f>
        <v>0</v>
      </c>
    </row>
    <row r="198" spans="2:19">
      <c r="B198" s="208">
        <f>Baseline!B95</f>
        <v>0</v>
      </c>
      <c r="C198" s="1">
        <f>Baseline!F95</f>
        <v>0</v>
      </c>
      <c r="D198" s="56">
        <f>(IF(Baseline!C95="Nieuwe Situatie",(_xlfn.IFNA(VLOOKUP(Referentie_CO2_Totaal[[#This Row],[Product]]&amp;", "&amp;Referentie_CO2_Totaal[[#Headers],[A1]],Database_Productkaarten[#All],18,FALSE),0)*Baseline!I95),0))</f>
        <v>0</v>
      </c>
      <c r="E198" s="56">
        <f>(IF(Baseline!C95="Nieuwe Situatie",(_xlfn.IFNA(VLOOKUP(Referentie_CO2_Totaal[[#This Row],[Product]]&amp;", "&amp;Referentie_CO2_Totaal[[#Headers],[A2]],Database_Productkaarten[#All],18,FALSE),0)*Baseline!I95),0))</f>
        <v>0</v>
      </c>
      <c r="F198" s="56">
        <f>(IF(Baseline!C95="Nieuwe Situatie",(_xlfn.IFNA(VLOOKUP(Referentie_CO2_Totaal[[#This Row],[Product]]&amp;", "&amp;Referentie_CO2_Totaal[[#Headers],[A3]],Database_Productkaarten[#All],18,FALSE),0)*Baseline!I95),0))</f>
        <v>0</v>
      </c>
      <c r="G198" s="56">
        <f>(IF(Baseline!C95="Nieuwe Situatie",(_xlfn.IFNA(VLOOKUP(Referentie_CO2_Totaal[[#This Row],[Product]]&amp;", "&amp;Referentie_CO2_Totaal[[#Headers],[A1-A3]],Database_Productkaarten[#All],18,FALSE),0)*Baseline!I95),0))</f>
        <v>0</v>
      </c>
      <c r="H198" s="56">
        <f>IF(Baseline!T95=0,(IF(Baseline!C95="Nieuwe Situatie",(_xlfn.IFNA(VLOOKUP(Referentie_CO2_Totaal[[#This Row],[Product]]&amp;", "&amp;Referentie_CO2_Totaal[[#Headers],[A4]],Database_Productkaarten[#All],18,FALSE),0)*Baseline!I95),0)),IF(Baseline!C95="Nieuwe Situatie",_xlfn.IFNA(VLOOKUP(Baseline!T95,Database_Transport[#All],12,FALSE)*(Baseline!Q95*Baseline!S95),Baseline_Backlog!H198),0))</f>
        <v>0</v>
      </c>
      <c r="I198" s="56">
        <f>IF(Baseline!C95="Nieuwe situatie",IF(_xlfn.IFNA((VLOOKUP(Baseline!U95,Database_Asfalt_Aanlegset[#All],12,FALSE)*Baseline!I95),0)+_xlfn.IFNA(VLOOKUP(Baseline!V95,Database_Brandstoffen[#All],12,FALSE)*((Baseline!I95/Baseline!X95)*Baseline!W95),0)&gt;0,_xlfn.IFNA((VLOOKUP(Baseline!U95,Database_Asfalt_Aanlegset[#All],12,FALSE)*Baseline!I95),0)+_xlfn.IFNA(VLOOKUP(Baseline!V95,Database_Brandstoffen[#All],12,FALSE)*((Baseline!I95/Baseline!X95)*Baseline!W95),0),(_xlfn.IFNA(VLOOKUP(Referentie_CO2_Totaal[[#This Row],[Product]]&amp;", "&amp;Referentie_MKI_Totaal[[#Headers],[A5]],Database_Productkaarten[#All],18,FALSE),0)*Baseline!I95)),0)</f>
        <v>0</v>
      </c>
      <c r="J198" s="56">
        <f>(IF(Baseline!C95="Nieuwe Situatie",(_xlfn.IFNA(VLOOKUP(Referentie_CO2_Totaal[[#This Row],[Product]]&amp;", "&amp;Referentie_CO2_Totaal[[#Headers],[B1]],Database_Productkaarten[#All],18,FALSE),0)*Baseline!I95),0))</f>
        <v>0</v>
      </c>
      <c r="K198" s="56">
        <f>(IF(Baseline!C95="Nieuwe Situatie",(SUM(Referentie_CO2_Totaal[[#This Row],[A1]:[B1]],Referentie_CO2_Totaal[[#This Row],[C1]:[D2]])*Baseline!R95),0))</f>
        <v>0</v>
      </c>
      <c r="L198" s="56">
        <f>IF(Baseline!C95="Bestaande situatie",IF(_xlfn.IFNA((VLOOKUP(Baseline!Y95,Database_Asfalt_Verwijderset[#All],12,FALSE)*Baseline!I95),0)+_xlfn.IFNA(VLOOKUP(Baseline!Z95,Database_Brandstoffen[#All],12,FALSE)*((Baseline!I95/Baseline!AB95)*Baseline!AA95),0)&gt;0,_xlfn.IFNA((VLOOKUP(Baseline!Y95,Database_Asfalt_Verwijderset[#All],12,FALSE)*Baseline!I95),0)+_xlfn.IFNA(VLOOKUP(Baseline!Z95,Database_Brandstoffen[#All],12,FALSE)*((Baseline!I95/Baseline!AB95)*Baseline!AA95),0),(_xlfn.IFNA(VLOOKUP(Referentie_CO2_Totaal[[#This Row],[Product]]&amp;", "&amp;Referentie_MKI_Totaal[[#Headers],[C1]],Database_Productkaarten[#All],18,FALSE),0)*Baseline!I95)),0)</f>
        <v>0</v>
      </c>
      <c r="M198" s="56">
        <f>IF(Baseline!AD95=0,(IF(Baseline!C95="Bestaande Situatie",(_xlfn.IFNA(VLOOKUP(Referentie_CO2_Totaal[[#This Row],[Product]]&amp;", "&amp;Referentie_MKI_Totaal[[#Headers],[C2]],Database_Productkaarten[#All],18,FALSE),0)*Baseline!I95),0)),(IF(Baseline!C95="Bestaande Situatie",_xlfn.IFNA(VLOOKUP(Baseline!AD95,Database_Transport[#All],12,FALSE)*(Baseline!Q95*Baseline!AC95),0))))</f>
        <v>0</v>
      </c>
      <c r="N198" s="56">
        <f>(IF(Baseline!C95="Bestaande Situatie",(_xlfn.IFNA(VLOOKUP(Referentie_CO2_Totaal[[#This Row],[Product]]&amp;", "&amp;Referentie_CO2_Totaal[[#Headers],[C3]],Database_Productkaarten[#All],18,FALSE),0)*Baseline!I95),0))</f>
        <v>0</v>
      </c>
      <c r="O198" s="56">
        <f>(IF(Baseline!C95="Bestaande Situatie",(_xlfn.IFNA(VLOOKUP(Referentie_CO2_Totaal[[#This Row],[Product]]&amp;", "&amp;Referentie_CO2_Totaal[[#Headers],[C4]],Database_Productkaarten[#All],18,FALSE),0)*Baseline!I95),0))</f>
        <v>0</v>
      </c>
      <c r="P198" s="56">
        <f>(IF(Baseline!C95="Bestaande Situatie",(_xlfn.IFNA(VLOOKUP(Referentie_CO2_Totaal[[#This Row],[Product]]&amp;", "&amp;Referentie_CO2_Totaal[[#Headers],[D1]],Database_Productkaarten[#All],18,FALSE),0)*Baseline!I95),0))</f>
        <v>0</v>
      </c>
      <c r="Q198" s="57">
        <f>(IF(Baseline!C95="Bestaande Situatie",_xlfn.IFNA(VLOOKUP(Referentie_CO2_Totaal[[#This Row],[Product]]&amp;", "&amp;Referentie_CO2_Totaal[[#Headers],[D2]],Database_Productkaarten[#All],18,FALSE),0)*Baseline!I95,0))</f>
        <v>0</v>
      </c>
      <c r="R198" s="57">
        <f>(IF(Baseline!C95="Bestaande Situatie",(_xlfn.IFNA(VLOOKUP(Referentie_CO2_Totaal[[#This Row],[Product]]&amp;", "&amp;Referentie_CO2_Totaal[[#Headers],[D]],Database_Productkaarten[#All],18,FALSE),0)*Baseline!I95),0))</f>
        <v>0</v>
      </c>
      <c r="S198" s="56">
        <f>SUM(Referentie_CO2_Totaal[[#This Row],[A1-A3]:[C4]])+Referentie_CO2_Totaal[[#This Row],[D]]</f>
        <v>0</v>
      </c>
    </row>
    <row r="199" spans="2:19">
      <c r="B199" s="208">
        <f>Baseline!B96</f>
        <v>0</v>
      </c>
      <c r="C199" s="1">
        <f>Baseline!F96</f>
        <v>0</v>
      </c>
      <c r="D199" s="56">
        <f>(IF(Baseline!C96="Nieuwe Situatie",(_xlfn.IFNA(VLOOKUP(Referentie_CO2_Totaal[[#This Row],[Product]]&amp;", "&amp;Referentie_CO2_Totaal[[#Headers],[A1]],Database_Productkaarten[#All],18,FALSE),0)*Baseline!I96),0))</f>
        <v>0</v>
      </c>
      <c r="E199" s="56">
        <f>(IF(Baseline!C96="Nieuwe Situatie",(_xlfn.IFNA(VLOOKUP(Referentie_CO2_Totaal[[#This Row],[Product]]&amp;", "&amp;Referentie_CO2_Totaal[[#Headers],[A2]],Database_Productkaarten[#All],18,FALSE),0)*Baseline!I96),0))</f>
        <v>0</v>
      </c>
      <c r="F199" s="56">
        <f>(IF(Baseline!C96="Nieuwe Situatie",(_xlfn.IFNA(VLOOKUP(Referentie_CO2_Totaal[[#This Row],[Product]]&amp;", "&amp;Referentie_CO2_Totaal[[#Headers],[A3]],Database_Productkaarten[#All],18,FALSE),0)*Baseline!I96),0))</f>
        <v>0</v>
      </c>
      <c r="G199" s="56">
        <f>(IF(Baseline!C96="Nieuwe Situatie",(_xlfn.IFNA(VLOOKUP(Referentie_CO2_Totaal[[#This Row],[Product]]&amp;", "&amp;Referentie_CO2_Totaal[[#Headers],[A1-A3]],Database_Productkaarten[#All],18,FALSE),0)*Baseline!I96),0))</f>
        <v>0</v>
      </c>
      <c r="H199" s="56">
        <f>IF(Baseline!T96=0,(IF(Baseline!C96="Nieuwe Situatie",(_xlfn.IFNA(VLOOKUP(Referentie_CO2_Totaal[[#This Row],[Product]]&amp;", "&amp;Referentie_CO2_Totaal[[#Headers],[A4]],Database_Productkaarten[#All],18,FALSE),0)*Baseline!I96),0)),IF(Baseline!C96="Nieuwe Situatie",_xlfn.IFNA(VLOOKUP(Baseline!T96,Database_Transport[#All],12,FALSE)*(Baseline!Q96*Baseline!S96),Baseline_Backlog!H199),0))</f>
        <v>0</v>
      </c>
      <c r="I199" s="56">
        <f>IF(Baseline!C96="Nieuwe situatie",IF(_xlfn.IFNA((VLOOKUP(Baseline!U96,Database_Asfalt_Aanlegset[#All],12,FALSE)*Baseline!I96),0)+_xlfn.IFNA(VLOOKUP(Baseline!V96,Database_Brandstoffen[#All],12,FALSE)*((Baseline!I96/Baseline!X96)*Baseline!W96),0)&gt;0,_xlfn.IFNA((VLOOKUP(Baseline!U96,Database_Asfalt_Aanlegset[#All],12,FALSE)*Baseline!I96),0)+_xlfn.IFNA(VLOOKUP(Baseline!V96,Database_Brandstoffen[#All],12,FALSE)*((Baseline!I96/Baseline!X96)*Baseline!W96),0),(_xlfn.IFNA(VLOOKUP(Referentie_CO2_Totaal[[#This Row],[Product]]&amp;", "&amp;Referentie_MKI_Totaal[[#Headers],[A5]],Database_Productkaarten[#All],18,FALSE),0)*Baseline!I96)),0)</f>
        <v>0</v>
      </c>
      <c r="J199" s="56">
        <f>(IF(Baseline!C96="Nieuwe Situatie",(_xlfn.IFNA(VLOOKUP(Referentie_CO2_Totaal[[#This Row],[Product]]&amp;", "&amp;Referentie_CO2_Totaal[[#Headers],[B1]],Database_Productkaarten[#All],18,FALSE),0)*Baseline!I96),0))</f>
        <v>0</v>
      </c>
      <c r="K199" s="56">
        <f>(IF(Baseline!C96="Nieuwe Situatie",(SUM(Referentie_CO2_Totaal[[#This Row],[A1]:[B1]],Referentie_CO2_Totaal[[#This Row],[C1]:[D2]])*Baseline!R96),0))</f>
        <v>0</v>
      </c>
      <c r="L199" s="56">
        <f>IF(Baseline!C96="Bestaande situatie",IF(_xlfn.IFNA((VLOOKUP(Baseline!Y96,Database_Asfalt_Verwijderset[#All],12,FALSE)*Baseline!I96),0)+_xlfn.IFNA(VLOOKUP(Baseline!Z96,Database_Brandstoffen[#All],12,FALSE)*((Baseline!I96/Baseline!AB96)*Baseline!AA96),0)&gt;0,_xlfn.IFNA((VLOOKUP(Baseline!Y96,Database_Asfalt_Verwijderset[#All],12,FALSE)*Baseline!I96),0)+_xlfn.IFNA(VLOOKUP(Baseline!Z96,Database_Brandstoffen[#All],12,FALSE)*((Baseline!I96/Baseline!AB96)*Baseline!AA96),0),(_xlfn.IFNA(VLOOKUP(Referentie_CO2_Totaal[[#This Row],[Product]]&amp;", "&amp;Referentie_MKI_Totaal[[#Headers],[C1]],Database_Productkaarten[#All],18,FALSE),0)*Baseline!I96)),0)</f>
        <v>0</v>
      </c>
      <c r="M199" s="56">
        <f>IF(Baseline!AD96=0,(IF(Baseline!C96="Bestaande Situatie",(_xlfn.IFNA(VLOOKUP(Referentie_CO2_Totaal[[#This Row],[Product]]&amp;", "&amp;Referentie_MKI_Totaal[[#Headers],[C2]],Database_Productkaarten[#All],18,FALSE),0)*Baseline!I96),0)),(IF(Baseline!C96="Bestaande Situatie",_xlfn.IFNA(VLOOKUP(Baseline!AD96,Database_Transport[#All],12,FALSE)*(Baseline!Q96*Baseline!AC96),0))))</f>
        <v>0</v>
      </c>
      <c r="N199" s="56">
        <f>(IF(Baseline!C96="Bestaande Situatie",(_xlfn.IFNA(VLOOKUP(Referentie_CO2_Totaal[[#This Row],[Product]]&amp;", "&amp;Referentie_CO2_Totaal[[#Headers],[C3]],Database_Productkaarten[#All],18,FALSE),0)*Baseline!I96),0))</f>
        <v>0</v>
      </c>
      <c r="O199" s="56">
        <f>(IF(Baseline!C96="Bestaande Situatie",(_xlfn.IFNA(VLOOKUP(Referentie_CO2_Totaal[[#This Row],[Product]]&amp;", "&amp;Referentie_CO2_Totaal[[#Headers],[C4]],Database_Productkaarten[#All],18,FALSE),0)*Baseline!I96),0))</f>
        <v>0</v>
      </c>
      <c r="P199" s="56">
        <f>(IF(Baseline!C96="Bestaande Situatie",(_xlfn.IFNA(VLOOKUP(Referentie_CO2_Totaal[[#This Row],[Product]]&amp;", "&amp;Referentie_CO2_Totaal[[#Headers],[D1]],Database_Productkaarten[#All],18,FALSE),0)*Baseline!I96),0))</f>
        <v>0</v>
      </c>
      <c r="Q199" s="57">
        <f>(IF(Baseline!C96="Bestaande Situatie",_xlfn.IFNA(VLOOKUP(Referentie_CO2_Totaal[[#This Row],[Product]]&amp;", "&amp;Referentie_CO2_Totaal[[#Headers],[D2]],Database_Productkaarten[#All],18,FALSE),0)*Baseline!I96,0))</f>
        <v>0</v>
      </c>
      <c r="R199" s="57">
        <f>(IF(Baseline!C96="Bestaande Situatie",(_xlfn.IFNA(VLOOKUP(Referentie_CO2_Totaal[[#This Row],[Product]]&amp;", "&amp;Referentie_CO2_Totaal[[#Headers],[D]],Database_Productkaarten[#All],18,FALSE),0)*Baseline!I96),0))</f>
        <v>0</v>
      </c>
      <c r="S199" s="56">
        <f>SUM(Referentie_CO2_Totaal[[#This Row],[A1-A3]:[C4]])+Referentie_CO2_Totaal[[#This Row],[D]]</f>
        <v>0</v>
      </c>
    </row>
    <row r="200" spans="2:19">
      <c r="B200" s="208">
        <f>Baseline!B97</f>
        <v>0</v>
      </c>
      <c r="C200" s="1">
        <f>Baseline!F97</f>
        <v>0</v>
      </c>
      <c r="D200" s="56">
        <f>(IF(Baseline!C97="Nieuwe Situatie",(_xlfn.IFNA(VLOOKUP(Referentie_CO2_Totaal[[#This Row],[Product]]&amp;", "&amp;Referentie_CO2_Totaal[[#Headers],[A1]],Database_Productkaarten[#All],18,FALSE),0)*Baseline!I97),0))</f>
        <v>0</v>
      </c>
      <c r="E200" s="56">
        <f>(IF(Baseline!C97="Nieuwe Situatie",(_xlfn.IFNA(VLOOKUP(Referentie_CO2_Totaal[[#This Row],[Product]]&amp;", "&amp;Referentie_CO2_Totaal[[#Headers],[A2]],Database_Productkaarten[#All],18,FALSE),0)*Baseline!I97),0))</f>
        <v>0</v>
      </c>
      <c r="F200" s="56">
        <f>(IF(Baseline!C97="Nieuwe Situatie",(_xlfn.IFNA(VLOOKUP(Referentie_CO2_Totaal[[#This Row],[Product]]&amp;", "&amp;Referentie_CO2_Totaal[[#Headers],[A3]],Database_Productkaarten[#All],18,FALSE),0)*Baseline!I97),0))</f>
        <v>0</v>
      </c>
      <c r="G200" s="56">
        <f>(IF(Baseline!C97="Nieuwe Situatie",(_xlfn.IFNA(VLOOKUP(Referentie_CO2_Totaal[[#This Row],[Product]]&amp;", "&amp;Referentie_CO2_Totaal[[#Headers],[A1-A3]],Database_Productkaarten[#All],18,FALSE),0)*Baseline!I97),0))</f>
        <v>0</v>
      </c>
      <c r="H200" s="56">
        <f>IF(Baseline!T97=0,(IF(Baseline!C97="Nieuwe Situatie",(_xlfn.IFNA(VLOOKUP(Referentie_CO2_Totaal[[#This Row],[Product]]&amp;", "&amp;Referentie_CO2_Totaal[[#Headers],[A4]],Database_Productkaarten[#All],18,FALSE),0)*Baseline!I97),0)),IF(Baseline!C97="Nieuwe Situatie",_xlfn.IFNA(VLOOKUP(Baseline!T97,Database_Transport[#All],12,FALSE)*(Baseline!Q97*Baseline!S97),Baseline_Backlog!H200),0))</f>
        <v>0</v>
      </c>
      <c r="I200" s="56">
        <f>IF(Baseline!C97="Nieuwe situatie",IF(_xlfn.IFNA((VLOOKUP(Baseline!U97,Database_Asfalt_Aanlegset[#All],12,FALSE)*Baseline!I97),0)+_xlfn.IFNA(VLOOKUP(Baseline!V97,Database_Brandstoffen[#All],12,FALSE)*((Baseline!I97/Baseline!X97)*Baseline!W97),0)&gt;0,_xlfn.IFNA((VLOOKUP(Baseline!U97,Database_Asfalt_Aanlegset[#All],12,FALSE)*Baseline!I97),0)+_xlfn.IFNA(VLOOKUP(Baseline!V97,Database_Brandstoffen[#All],12,FALSE)*((Baseline!I97/Baseline!X97)*Baseline!W97),0),(_xlfn.IFNA(VLOOKUP(Referentie_CO2_Totaal[[#This Row],[Product]]&amp;", "&amp;Referentie_MKI_Totaal[[#Headers],[A5]],Database_Productkaarten[#All],18,FALSE),0)*Baseline!I97)),0)</f>
        <v>0</v>
      </c>
      <c r="J200" s="56">
        <f>(IF(Baseline!C97="Nieuwe Situatie",(_xlfn.IFNA(VLOOKUP(Referentie_CO2_Totaal[[#This Row],[Product]]&amp;", "&amp;Referentie_CO2_Totaal[[#Headers],[B1]],Database_Productkaarten[#All],18,FALSE),0)*Baseline!I97),0))</f>
        <v>0</v>
      </c>
      <c r="K200" s="56">
        <f>(IF(Baseline!C97="Nieuwe Situatie",(SUM(Referentie_CO2_Totaal[[#This Row],[A1]:[B1]],Referentie_CO2_Totaal[[#This Row],[C1]:[D2]])*Baseline!R97),0))</f>
        <v>0</v>
      </c>
      <c r="L200" s="56">
        <f>IF(Baseline!C97="Bestaande situatie",IF(_xlfn.IFNA((VLOOKUP(Baseline!Y97,Database_Asfalt_Verwijderset[#All],12,FALSE)*Baseline!I97),0)+_xlfn.IFNA(VLOOKUP(Baseline!Z97,Database_Brandstoffen[#All],12,FALSE)*((Baseline!I97/Baseline!AB97)*Baseline!AA97),0)&gt;0,_xlfn.IFNA((VLOOKUP(Baseline!Y97,Database_Asfalt_Verwijderset[#All],12,FALSE)*Baseline!I97),0)+_xlfn.IFNA(VLOOKUP(Baseline!Z97,Database_Brandstoffen[#All],12,FALSE)*((Baseline!I97/Baseline!AB97)*Baseline!AA97),0),(_xlfn.IFNA(VLOOKUP(Referentie_CO2_Totaal[[#This Row],[Product]]&amp;", "&amp;Referentie_MKI_Totaal[[#Headers],[C1]],Database_Productkaarten[#All],18,FALSE),0)*Baseline!I97)),0)</f>
        <v>0</v>
      </c>
      <c r="M200" s="56">
        <f>IF(Baseline!AD97=0,(IF(Baseline!C97="Bestaande Situatie",(_xlfn.IFNA(VLOOKUP(Referentie_CO2_Totaal[[#This Row],[Product]]&amp;", "&amp;Referentie_MKI_Totaal[[#Headers],[C2]],Database_Productkaarten[#All],18,FALSE),0)*Baseline!I97),0)),(IF(Baseline!C97="Bestaande Situatie",_xlfn.IFNA(VLOOKUP(Baseline!AD97,Database_Transport[#All],12,FALSE)*(Baseline!Q97*Baseline!AC97),0))))</f>
        <v>0</v>
      </c>
      <c r="N200" s="56">
        <f>(IF(Baseline!C97="Bestaande Situatie",(_xlfn.IFNA(VLOOKUP(Referentie_CO2_Totaal[[#This Row],[Product]]&amp;", "&amp;Referentie_CO2_Totaal[[#Headers],[C3]],Database_Productkaarten[#All],18,FALSE),0)*Baseline!I97),0))</f>
        <v>0</v>
      </c>
      <c r="O200" s="56">
        <f>(IF(Baseline!C97="Bestaande Situatie",(_xlfn.IFNA(VLOOKUP(Referentie_CO2_Totaal[[#This Row],[Product]]&amp;", "&amp;Referentie_CO2_Totaal[[#Headers],[C4]],Database_Productkaarten[#All],18,FALSE),0)*Baseline!I97),0))</f>
        <v>0</v>
      </c>
      <c r="P200" s="56">
        <f>(IF(Baseline!C97="Bestaande Situatie",(_xlfn.IFNA(VLOOKUP(Referentie_CO2_Totaal[[#This Row],[Product]]&amp;", "&amp;Referentie_CO2_Totaal[[#Headers],[D1]],Database_Productkaarten[#All],18,FALSE),0)*Baseline!I97),0))</f>
        <v>0</v>
      </c>
      <c r="Q200" s="57">
        <f>(IF(Baseline!C97="Bestaande Situatie",_xlfn.IFNA(VLOOKUP(Referentie_CO2_Totaal[[#This Row],[Product]]&amp;", "&amp;Referentie_CO2_Totaal[[#Headers],[D2]],Database_Productkaarten[#All],18,FALSE),0)*Baseline!I97,0))</f>
        <v>0</v>
      </c>
      <c r="R200" s="57">
        <f>(IF(Baseline!C97="Bestaande Situatie",(_xlfn.IFNA(VLOOKUP(Referentie_CO2_Totaal[[#This Row],[Product]]&amp;", "&amp;Referentie_CO2_Totaal[[#Headers],[D]],Database_Productkaarten[#All],18,FALSE),0)*Baseline!I97),0))</f>
        <v>0</v>
      </c>
      <c r="S200" s="56">
        <f>SUM(Referentie_CO2_Totaal[[#This Row],[A1-A3]:[C4]])+Referentie_CO2_Totaal[[#This Row],[D]]</f>
        <v>0</v>
      </c>
    </row>
    <row r="201" spans="2:19">
      <c r="B201" s="208">
        <f>Baseline!B98</f>
        <v>0</v>
      </c>
      <c r="C201" s="1">
        <f>Baseline!F98</f>
        <v>0</v>
      </c>
      <c r="D201" s="56">
        <f>(IF(Baseline!C98="Nieuwe Situatie",(_xlfn.IFNA(VLOOKUP(Referentie_CO2_Totaal[[#This Row],[Product]]&amp;", "&amp;Referentie_CO2_Totaal[[#Headers],[A1]],Database_Productkaarten[#All],18,FALSE),0)*Baseline!I98),0))</f>
        <v>0</v>
      </c>
      <c r="E201" s="56">
        <f>(IF(Baseline!C98="Nieuwe Situatie",(_xlfn.IFNA(VLOOKUP(Referentie_CO2_Totaal[[#This Row],[Product]]&amp;", "&amp;Referentie_CO2_Totaal[[#Headers],[A2]],Database_Productkaarten[#All],18,FALSE),0)*Baseline!I98),0))</f>
        <v>0</v>
      </c>
      <c r="F201" s="56">
        <f>(IF(Baseline!C98="Nieuwe Situatie",(_xlfn.IFNA(VLOOKUP(Referentie_CO2_Totaal[[#This Row],[Product]]&amp;", "&amp;Referentie_CO2_Totaal[[#Headers],[A3]],Database_Productkaarten[#All],18,FALSE),0)*Baseline!I98),0))</f>
        <v>0</v>
      </c>
      <c r="G201" s="56">
        <f>(IF(Baseline!C98="Nieuwe Situatie",(_xlfn.IFNA(VLOOKUP(Referentie_CO2_Totaal[[#This Row],[Product]]&amp;", "&amp;Referentie_CO2_Totaal[[#Headers],[A1-A3]],Database_Productkaarten[#All],18,FALSE),0)*Baseline!I98),0))</f>
        <v>0</v>
      </c>
      <c r="H201" s="56">
        <f>IF(Baseline!T98=0,(IF(Baseline!C98="Nieuwe Situatie",(_xlfn.IFNA(VLOOKUP(Referentie_CO2_Totaal[[#This Row],[Product]]&amp;", "&amp;Referentie_CO2_Totaal[[#Headers],[A4]],Database_Productkaarten[#All],18,FALSE),0)*Baseline!I98),0)),IF(Baseline!C98="Nieuwe Situatie",_xlfn.IFNA(VLOOKUP(Baseline!T98,Database_Transport[#All],12,FALSE)*(Baseline!Q98*Baseline!S98),Baseline_Backlog!H201),0))</f>
        <v>0</v>
      </c>
      <c r="I201" s="56">
        <f>IF(Baseline!C98="Nieuwe situatie",IF(_xlfn.IFNA((VLOOKUP(Baseline!U98,Database_Asfalt_Aanlegset[#All],12,FALSE)*Baseline!I98),0)+_xlfn.IFNA(VLOOKUP(Baseline!V98,Database_Brandstoffen[#All],12,FALSE)*((Baseline!I98/Baseline!X98)*Baseline!W98),0)&gt;0,_xlfn.IFNA((VLOOKUP(Baseline!U98,Database_Asfalt_Aanlegset[#All],12,FALSE)*Baseline!I98),0)+_xlfn.IFNA(VLOOKUP(Baseline!V98,Database_Brandstoffen[#All],12,FALSE)*((Baseline!I98/Baseline!X98)*Baseline!W98),0),(_xlfn.IFNA(VLOOKUP(Referentie_CO2_Totaal[[#This Row],[Product]]&amp;", "&amp;Referentie_MKI_Totaal[[#Headers],[A5]],Database_Productkaarten[#All],18,FALSE),0)*Baseline!I98)),0)</f>
        <v>0</v>
      </c>
      <c r="J201" s="56">
        <f>(IF(Baseline!C98="Nieuwe Situatie",(_xlfn.IFNA(VLOOKUP(Referentie_CO2_Totaal[[#This Row],[Product]]&amp;", "&amp;Referentie_CO2_Totaal[[#Headers],[B1]],Database_Productkaarten[#All],18,FALSE),0)*Baseline!I98),0))</f>
        <v>0</v>
      </c>
      <c r="K201" s="56">
        <f>(IF(Baseline!C98="Nieuwe Situatie",(SUM(Referentie_CO2_Totaal[[#This Row],[A1]:[B1]],Referentie_CO2_Totaal[[#This Row],[C1]:[D2]])*Baseline!R98),0))</f>
        <v>0</v>
      </c>
      <c r="L201" s="56">
        <f>IF(Baseline!C98="Bestaande situatie",IF(_xlfn.IFNA((VLOOKUP(Baseline!Y98,Database_Asfalt_Verwijderset[#All],12,FALSE)*Baseline!I98),0)+_xlfn.IFNA(VLOOKUP(Baseline!Z98,Database_Brandstoffen[#All],12,FALSE)*((Baseline!I98/Baseline!AB98)*Baseline!AA98),0)&gt;0,_xlfn.IFNA((VLOOKUP(Baseline!Y98,Database_Asfalt_Verwijderset[#All],12,FALSE)*Baseline!I98),0)+_xlfn.IFNA(VLOOKUP(Baseline!Z98,Database_Brandstoffen[#All],12,FALSE)*((Baseline!I98/Baseline!AB98)*Baseline!AA98),0),(_xlfn.IFNA(VLOOKUP(Referentie_CO2_Totaal[[#This Row],[Product]]&amp;", "&amp;Referentie_MKI_Totaal[[#Headers],[C1]],Database_Productkaarten[#All],18,FALSE),0)*Baseline!I98)),0)</f>
        <v>0</v>
      </c>
      <c r="M201" s="56">
        <f>IF(Baseline!AD98=0,(IF(Baseline!C98="Bestaande Situatie",(_xlfn.IFNA(VLOOKUP(Referentie_CO2_Totaal[[#This Row],[Product]]&amp;", "&amp;Referentie_MKI_Totaal[[#Headers],[C2]],Database_Productkaarten[#All],18,FALSE),0)*Baseline!I98),0)),(IF(Baseline!C98="Bestaande Situatie",_xlfn.IFNA(VLOOKUP(Baseline!AD98,Database_Transport[#All],12,FALSE)*(Baseline!Q98*Baseline!AC98),0))))</f>
        <v>0</v>
      </c>
      <c r="N201" s="56">
        <f>(IF(Baseline!C98="Bestaande Situatie",(_xlfn.IFNA(VLOOKUP(Referentie_CO2_Totaal[[#This Row],[Product]]&amp;", "&amp;Referentie_CO2_Totaal[[#Headers],[C3]],Database_Productkaarten[#All],18,FALSE),0)*Baseline!I98),0))</f>
        <v>0</v>
      </c>
      <c r="O201" s="56">
        <f>(IF(Baseline!C98="Bestaande Situatie",(_xlfn.IFNA(VLOOKUP(Referentie_CO2_Totaal[[#This Row],[Product]]&amp;", "&amp;Referentie_CO2_Totaal[[#Headers],[C4]],Database_Productkaarten[#All],18,FALSE),0)*Baseline!I98),0))</f>
        <v>0</v>
      </c>
      <c r="P201" s="56">
        <f>(IF(Baseline!C98="Bestaande Situatie",(_xlfn.IFNA(VLOOKUP(Referentie_CO2_Totaal[[#This Row],[Product]]&amp;", "&amp;Referentie_CO2_Totaal[[#Headers],[D1]],Database_Productkaarten[#All],18,FALSE),0)*Baseline!I98),0))</f>
        <v>0</v>
      </c>
      <c r="Q201" s="57">
        <f>(IF(Baseline!C98="Bestaande Situatie",_xlfn.IFNA(VLOOKUP(Referentie_CO2_Totaal[[#This Row],[Product]]&amp;", "&amp;Referentie_CO2_Totaal[[#Headers],[D2]],Database_Productkaarten[#All],18,FALSE),0)*Baseline!I98,0))</f>
        <v>0</v>
      </c>
      <c r="R201" s="57">
        <f>(IF(Baseline!C98="Bestaande Situatie",(_xlfn.IFNA(VLOOKUP(Referentie_CO2_Totaal[[#This Row],[Product]]&amp;", "&amp;Referentie_CO2_Totaal[[#Headers],[D]],Database_Productkaarten[#All],18,FALSE),0)*Baseline!I98),0))</f>
        <v>0</v>
      </c>
      <c r="S201" s="56">
        <f>SUM(Referentie_CO2_Totaal[[#This Row],[A1-A3]:[C4]])+Referentie_CO2_Totaal[[#This Row],[D]]</f>
        <v>0</v>
      </c>
    </row>
    <row r="202" spans="2:19">
      <c r="B202" s="208">
        <f>Baseline!B99</f>
        <v>0</v>
      </c>
      <c r="C202" s="1">
        <f>Baseline!F99</f>
        <v>0</v>
      </c>
      <c r="D202" s="56">
        <f>(IF(Baseline!C99="Nieuwe Situatie",(_xlfn.IFNA(VLOOKUP(Referentie_CO2_Totaal[[#This Row],[Product]]&amp;", "&amp;Referentie_CO2_Totaal[[#Headers],[A1]],Database_Productkaarten[#All],18,FALSE),0)*Baseline!I99),0))</f>
        <v>0</v>
      </c>
      <c r="E202" s="56">
        <f>(IF(Baseline!C99="Nieuwe Situatie",(_xlfn.IFNA(VLOOKUP(Referentie_CO2_Totaal[[#This Row],[Product]]&amp;", "&amp;Referentie_CO2_Totaal[[#Headers],[A2]],Database_Productkaarten[#All],18,FALSE),0)*Baseline!I99),0))</f>
        <v>0</v>
      </c>
      <c r="F202" s="56">
        <f>(IF(Baseline!C99="Nieuwe Situatie",(_xlfn.IFNA(VLOOKUP(Referentie_CO2_Totaal[[#This Row],[Product]]&amp;", "&amp;Referentie_CO2_Totaal[[#Headers],[A3]],Database_Productkaarten[#All],18,FALSE),0)*Baseline!I99),0))</f>
        <v>0</v>
      </c>
      <c r="G202" s="56">
        <f>(IF(Baseline!C99="Nieuwe Situatie",(_xlfn.IFNA(VLOOKUP(Referentie_CO2_Totaal[[#This Row],[Product]]&amp;", "&amp;Referentie_CO2_Totaal[[#Headers],[A1-A3]],Database_Productkaarten[#All],18,FALSE),0)*Baseline!I99),0))</f>
        <v>0</v>
      </c>
      <c r="H202" s="56">
        <f>IF(Baseline!T99=0,(IF(Baseline!C99="Nieuwe Situatie",(_xlfn.IFNA(VLOOKUP(Referentie_CO2_Totaal[[#This Row],[Product]]&amp;", "&amp;Referentie_CO2_Totaal[[#Headers],[A4]],Database_Productkaarten[#All],18,FALSE),0)*Baseline!I99),0)),IF(Baseline!C99="Nieuwe Situatie",_xlfn.IFNA(VLOOKUP(Baseline!T99,Database_Transport[#All],12,FALSE)*(Baseline!Q99*Baseline!S99),Baseline_Backlog!H202),0))</f>
        <v>0</v>
      </c>
      <c r="I202" s="56">
        <f>IF(Baseline!C99="Nieuwe situatie",IF(_xlfn.IFNA((VLOOKUP(Baseline!U99,Database_Asfalt_Aanlegset[#All],12,FALSE)*Baseline!I99),0)+_xlfn.IFNA(VLOOKUP(Baseline!V99,Database_Brandstoffen[#All],12,FALSE)*((Baseline!I99/Baseline!X99)*Baseline!W99),0)&gt;0,_xlfn.IFNA((VLOOKUP(Baseline!U99,Database_Asfalt_Aanlegset[#All],12,FALSE)*Baseline!I99),0)+_xlfn.IFNA(VLOOKUP(Baseline!V99,Database_Brandstoffen[#All],12,FALSE)*((Baseline!I99/Baseline!X99)*Baseline!W99),0),(_xlfn.IFNA(VLOOKUP(Referentie_CO2_Totaal[[#This Row],[Product]]&amp;", "&amp;Referentie_MKI_Totaal[[#Headers],[A5]],Database_Productkaarten[#All],18,FALSE),0)*Baseline!I99)),0)</f>
        <v>0</v>
      </c>
      <c r="J202" s="56">
        <f>(IF(Baseline!C99="Nieuwe Situatie",(_xlfn.IFNA(VLOOKUP(Referentie_CO2_Totaal[[#This Row],[Product]]&amp;", "&amp;Referentie_CO2_Totaal[[#Headers],[B1]],Database_Productkaarten[#All],18,FALSE),0)*Baseline!I99),0))</f>
        <v>0</v>
      </c>
      <c r="K202" s="56">
        <f>(IF(Baseline!C99="Nieuwe Situatie",(SUM(Referentie_CO2_Totaal[[#This Row],[A1]:[B1]],Referentie_CO2_Totaal[[#This Row],[C1]:[D2]])*Baseline!R99),0))</f>
        <v>0</v>
      </c>
      <c r="L202" s="56">
        <f>IF(Baseline!C99="Bestaande situatie",IF(_xlfn.IFNA((VLOOKUP(Baseline!Y99,Database_Asfalt_Verwijderset[#All],12,FALSE)*Baseline!I99),0)+_xlfn.IFNA(VLOOKUP(Baseline!Z99,Database_Brandstoffen[#All],12,FALSE)*((Baseline!I99/Baseline!AB99)*Baseline!AA99),0)&gt;0,_xlfn.IFNA((VLOOKUP(Baseline!Y99,Database_Asfalt_Verwijderset[#All],12,FALSE)*Baseline!I99),0)+_xlfn.IFNA(VLOOKUP(Baseline!Z99,Database_Brandstoffen[#All],12,FALSE)*((Baseline!I99/Baseline!AB99)*Baseline!AA99),0),(_xlfn.IFNA(VLOOKUP(Referentie_CO2_Totaal[[#This Row],[Product]]&amp;", "&amp;Referentie_MKI_Totaal[[#Headers],[C1]],Database_Productkaarten[#All],18,FALSE),0)*Baseline!I99)),0)</f>
        <v>0</v>
      </c>
      <c r="M202" s="56">
        <f>IF(Baseline!AD99=0,(IF(Baseline!C99="Bestaande Situatie",(_xlfn.IFNA(VLOOKUP(Referentie_CO2_Totaal[[#This Row],[Product]]&amp;", "&amp;Referentie_MKI_Totaal[[#Headers],[C2]],Database_Productkaarten[#All],18,FALSE),0)*Baseline!I99),0)),(IF(Baseline!C99="Bestaande Situatie",_xlfn.IFNA(VLOOKUP(Baseline!AD99,Database_Transport[#All],12,FALSE)*(Baseline!Q99*Baseline!AC99),0))))</f>
        <v>0</v>
      </c>
      <c r="N202" s="56">
        <f>(IF(Baseline!C99="Bestaande Situatie",(_xlfn.IFNA(VLOOKUP(Referentie_CO2_Totaal[[#This Row],[Product]]&amp;", "&amp;Referentie_CO2_Totaal[[#Headers],[C3]],Database_Productkaarten[#All],18,FALSE),0)*Baseline!I99),0))</f>
        <v>0</v>
      </c>
      <c r="O202" s="56">
        <f>(IF(Baseline!C99="Bestaande Situatie",(_xlfn.IFNA(VLOOKUP(Referentie_CO2_Totaal[[#This Row],[Product]]&amp;", "&amp;Referentie_CO2_Totaal[[#Headers],[C4]],Database_Productkaarten[#All],18,FALSE),0)*Baseline!I99),0))</f>
        <v>0</v>
      </c>
      <c r="P202" s="56">
        <f>(IF(Baseline!C99="Bestaande Situatie",(_xlfn.IFNA(VLOOKUP(Referentie_CO2_Totaal[[#This Row],[Product]]&amp;", "&amp;Referentie_CO2_Totaal[[#Headers],[D1]],Database_Productkaarten[#All],18,FALSE),0)*Baseline!I99),0))</f>
        <v>0</v>
      </c>
      <c r="Q202" s="57">
        <f>(IF(Baseline!C99="Bestaande Situatie",_xlfn.IFNA(VLOOKUP(Referentie_CO2_Totaal[[#This Row],[Product]]&amp;", "&amp;Referentie_CO2_Totaal[[#Headers],[D2]],Database_Productkaarten[#All],18,FALSE),0)*Baseline!I99,0))</f>
        <v>0</v>
      </c>
      <c r="R202" s="57">
        <f>(IF(Baseline!C99="Bestaande Situatie",(_xlfn.IFNA(VLOOKUP(Referentie_CO2_Totaal[[#This Row],[Product]]&amp;", "&amp;Referentie_CO2_Totaal[[#Headers],[D]],Database_Productkaarten[#All],18,FALSE),0)*Baseline!I99),0))</f>
        <v>0</v>
      </c>
      <c r="S202" s="56">
        <f>SUM(Referentie_CO2_Totaal[[#This Row],[A1-A3]:[C4]])+Referentie_CO2_Totaal[[#This Row],[D]]</f>
        <v>0</v>
      </c>
    </row>
    <row r="203" spans="2:19">
      <c r="B203" s="208">
        <f>Baseline!B100</f>
        <v>0</v>
      </c>
      <c r="C203" s="1">
        <f>Baseline!F100</f>
        <v>0</v>
      </c>
      <c r="D203" s="56">
        <f>(IF(Baseline!C100="Nieuwe Situatie",(_xlfn.IFNA(VLOOKUP(Referentie_CO2_Totaal[[#This Row],[Product]]&amp;", "&amp;Referentie_CO2_Totaal[[#Headers],[A1]],Database_Productkaarten[#All],18,FALSE),0)*Baseline!I100),0))</f>
        <v>0</v>
      </c>
      <c r="E203" s="56">
        <f>(IF(Baseline!C100="Nieuwe Situatie",(_xlfn.IFNA(VLOOKUP(Referentie_CO2_Totaal[[#This Row],[Product]]&amp;", "&amp;Referentie_CO2_Totaal[[#Headers],[A2]],Database_Productkaarten[#All],18,FALSE),0)*Baseline!I100),0))</f>
        <v>0</v>
      </c>
      <c r="F203" s="56">
        <f>(IF(Baseline!C100="Nieuwe Situatie",(_xlfn.IFNA(VLOOKUP(Referentie_CO2_Totaal[[#This Row],[Product]]&amp;", "&amp;Referentie_CO2_Totaal[[#Headers],[A3]],Database_Productkaarten[#All],18,FALSE),0)*Baseline!I100),0))</f>
        <v>0</v>
      </c>
      <c r="G203" s="56">
        <f>(IF(Baseline!C100="Nieuwe Situatie",(_xlfn.IFNA(VLOOKUP(Referentie_CO2_Totaal[[#This Row],[Product]]&amp;", "&amp;Referentie_CO2_Totaal[[#Headers],[A1-A3]],Database_Productkaarten[#All],18,FALSE),0)*Baseline!I100),0))</f>
        <v>0</v>
      </c>
      <c r="H203" s="56">
        <f>IF(Baseline!T100=0,(IF(Baseline!C100="Nieuwe Situatie",(_xlfn.IFNA(VLOOKUP(Referentie_CO2_Totaal[[#This Row],[Product]]&amp;", "&amp;Referentie_CO2_Totaal[[#Headers],[A4]],Database_Productkaarten[#All],18,FALSE),0)*Baseline!I100),0)),IF(Baseline!C100="Nieuwe Situatie",_xlfn.IFNA(VLOOKUP(Baseline!T100,Database_Transport[#All],12,FALSE)*(Baseline!Q100*Baseline!S100),Baseline_Backlog!H203),0))</f>
        <v>0</v>
      </c>
      <c r="I203" s="56">
        <f>IF(Baseline!C100="Nieuwe situatie",IF(_xlfn.IFNA((VLOOKUP(Baseline!U100,Database_Asfalt_Aanlegset[#All],12,FALSE)*Baseline!I100),0)+_xlfn.IFNA(VLOOKUP(Baseline!V100,Database_Brandstoffen[#All],12,FALSE)*((Baseline!I100/Baseline!X100)*Baseline!W100),0)&gt;0,_xlfn.IFNA((VLOOKUP(Baseline!U100,Database_Asfalt_Aanlegset[#All],12,FALSE)*Baseline!I100),0)+_xlfn.IFNA(VLOOKUP(Baseline!V100,Database_Brandstoffen[#All],12,FALSE)*((Baseline!I100/Baseline!X100)*Baseline!W100),0),(_xlfn.IFNA(VLOOKUP(Referentie_CO2_Totaal[[#This Row],[Product]]&amp;", "&amp;Referentie_MKI_Totaal[[#Headers],[A5]],Database_Productkaarten[#All],18,FALSE),0)*Baseline!I100)),0)</f>
        <v>0</v>
      </c>
      <c r="J203" s="56">
        <f>(IF(Baseline!C100="Nieuwe Situatie",(_xlfn.IFNA(VLOOKUP(Referentie_CO2_Totaal[[#This Row],[Product]]&amp;", "&amp;Referentie_CO2_Totaal[[#Headers],[B1]],Database_Productkaarten[#All],18,FALSE),0)*Baseline!I100),0))</f>
        <v>0</v>
      </c>
      <c r="K203" s="56">
        <f>(IF(Baseline!C100="Nieuwe Situatie",(SUM(Referentie_CO2_Totaal[[#This Row],[A1]:[B1]],Referentie_CO2_Totaal[[#This Row],[C1]:[D2]])*Baseline!R100),0))</f>
        <v>0</v>
      </c>
      <c r="L203" s="56">
        <f>IF(Baseline!C100="Bestaande situatie",IF(_xlfn.IFNA((VLOOKUP(Baseline!Y100,Database_Asfalt_Verwijderset[#All],12,FALSE)*Baseline!I100),0)+_xlfn.IFNA(VLOOKUP(Baseline!Z100,Database_Brandstoffen[#All],12,FALSE)*((Baseline!I100/Baseline!AB100)*Baseline!AA100),0)&gt;0,_xlfn.IFNA((VLOOKUP(Baseline!Y100,Database_Asfalt_Verwijderset[#All],12,FALSE)*Baseline!I100),0)+_xlfn.IFNA(VLOOKUP(Baseline!Z100,Database_Brandstoffen[#All],12,FALSE)*((Baseline!I100/Baseline!AB100)*Baseline!AA100),0),(_xlfn.IFNA(VLOOKUP(Referentie_CO2_Totaal[[#This Row],[Product]]&amp;", "&amp;Referentie_MKI_Totaal[[#Headers],[C1]],Database_Productkaarten[#All],18,FALSE),0)*Baseline!I100)),0)</f>
        <v>0</v>
      </c>
      <c r="M203" s="56">
        <f>IF(Baseline!AD100=0,(IF(Baseline!C100="Bestaande Situatie",(_xlfn.IFNA(VLOOKUP(Referentie_CO2_Totaal[[#This Row],[Product]]&amp;", "&amp;Referentie_MKI_Totaal[[#Headers],[C2]],Database_Productkaarten[#All],18,FALSE),0)*Baseline!I100),0)),(IF(Baseline!C100="Bestaande Situatie",_xlfn.IFNA(VLOOKUP(Baseline!AD100,Database_Transport[#All],12,FALSE)*(Baseline!Q100*Baseline!AC100),0))))</f>
        <v>0</v>
      </c>
      <c r="N203" s="56">
        <f>(IF(Baseline!C100="Bestaande Situatie",(_xlfn.IFNA(VLOOKUP(Referentie_CO2_Totaal[[#This Row],[Product]]&amp;", "&amp;Referentie_CO2_Totaal[[#Headers],[C3]],Database_Productkaarten[#All],18,FALSE),0)*Baseline!I100),0))</f>
        <v>0</v>
      </c>
      <c r="O203" s="56">
        <f>(IF(Baseline!C100="Bestaande Situatie",(_xlfn.IFNA(VLOOKUP(Referentie_CO2_Totaal[[#This Row],[Product]]&amp;", "&amp;Referentie_CO2_Totaal[[#Headers],[C4]],Database_Productkaarten[#All],18,FALSE),0)*Baseline!I100),0))</f>
        <v>0</v>
      </c>
      <c r="P203" s="56">
        <f>(IF(Baseline!C100="Bestaande Situatie",(_xlfn.IFNA(VLOOKUP(Referentie_CO2_Totaal[[#This Row],[Product]]&amp;", "&amp;Referentie_CO2_Totaal[[#Headers],[D1]],Database_Productkaarten[#All],18,FALSE),0)*Baseline!I100),0))</f>
        <v>0</v>
      </c>
      <c r="Q203" s="57">
        <f>(IF(Baseline!C100="Bestaande Situatie",_xlfn.IFNA(VLOOKUP(Referentie_CO2_Totaal[[#This Row],[Product]]&amp;", "&amp;Referentie_CO2_Totaal[[#Headers],[D2]],Database_Productkaarten[#All],18,FALSE),0)*Baseline!I100,0))</f>
        <v>0</v>
      </c>
      <c r="R203" s="57">
        <f>(IF(Baseline!C100="Bestaande Situatie",(_xlfn.IFNA(VLOOKUP(Referentie_CO2_Totaal[[#This Row],[Product]]&amp;", "&amp;Referentie_CO2_Totaal[[#Headers],[D]],Database_Productkaarten[#All],18,FALSE),0)*Baseline!I100),0))</f>
        <v>0</v>
      </c>
      <c r="S203" s="56">
        <f>SUM(Referentie_CO2_Totaal[[#This Row],[A1-A3]:[C4]])+Referentie_CO2_Totaal[[#This Row],[D]]</f>
        <v>0</v>
      </c>
    </row>
    <row r="204" spans="2:19">
      <c r="B204" s="208">
        <f>Baseline!B101</f>
        <v>0</v>
      </c>
      <c r="C204" s="1">
        <f>Baseline!F101</f>
        <v>0</v>
      </c>
      <c r="D204" s="56">
        <f>(IF(Baseline!C101="Nieuwe Situatie",(_xlfn.IFNA(VLOOKUP(Referentie_CO2_Totaal[[#This Row],[Product]]&amp;", "&amp;Referentie_CO2_Totaal[[#Headers],[A1]],Database_Productkaarten[#All],18,FALSE),0)*Baseline!I101),0))</f>
        <v>0</v>
      </c>
      <c r="E204" s="56">
        <f>(IF(Baseline!C101="Nieuwe Situatie",(_xlfn.IFNA(VLOOKUP(Referentie_CO2_Totaal[[#This Row],[Product]]&amp;", "&amp;Referentie_CO2_Totaal[[#Headers],[A2]],Database_Productkaarten[#All],18,FALSE),0)*Baseline!I101),0))</f>
        <v>0</v>
      </c>
      <c r="F204" s="56">
        <f>(IF(Baseline!C101="Nieuwe Situatie",(_xlfn.IFNA(VLOOKUP(Referentie_CO2_Totaal[[#This Row],[Product]]&amp;", "&amp;Referentie_CO2_Totaal[[#Headers],[A3]],Database_Productkaarten[#All],18,FALSE),0)*Baseline!I101),0))</f>
        <v>0</v>
      </c>
      <c r="G204" s="56">
        <f>(IF(Baseline!C101="Nieuwe Situatie",(_xlfn.IFNA(VLOOKUP(Referentie_CO2_Totaal[[#This Row],[Product]]&amp;", "&amp;Referentie_CO2_Totaal[[#Headers],[A1-A3]],Database_Productkaarten[#All],18,FALSE),0)*Baseline!I101),0))</f>
        <v>0</v>
      </c>
      <c r="H204" s="56">
        <f>IF(Baseline!T101=0,(IF(Baseline!C101="Nieuwe Situatie",(_xlfn.IFNA(VLOOKUP(Referentie_CO2_Totaal[[#This Row],[Product]]&amp;", "&amp;Referentie_CO2_Totaal[[#Headers],[A4]],Database_Productkaarten[#All],18,FALSE),0)*Baseline!I101),0)),IF(Baseline!C101="Nieuwe Situatie",_xlfn.IFNA(VLOOKUP(Baseline!T101,Database_Transport[#All],12,FALSE)*(Baseline!Q101*Baseline!S101),Baseline_Backlog!H204),0))</f>
        <v>0</v>
      </c>
      <c r="I204" s="56">
        <f>IF(Baseline!C101="Nieuwe situatie",IF(_xlfn.IFNA((VLOOKUP(Baseline!U101,Database_Asfalt_Aanlegset[#All],12,FALSE)*Baseline!I101),0)+_xlfn.IFNA(VLOOKUP(Baseline!V101,Database_Brandstoffen[#All],12,FALSE)*((Baseline!I101/Baseline!X101)*Baseline!W101),0)&gt;0,_xlfn.IFNA((VLOOKUP(Baseline!U101,Database_Asfalt_Aanlegset[#All],12,FALSE)*Baseline!I101),0)+_xlfn.IFNA(VLOOKUP(Baseline!V101,Database_Brandstoffen[#All],12,FALSE)*((Baseline!I101/Baseline!X101)*Baseline!W101),0),(_xlfn.IFNA(VLOOKUP(Referentie_CO2_Totaal[[#This Row],[Product]]&amp;", "&amp;Referentie_MKI_Totaal[[#Headers],[A5]],Database_Productkaarten[#All],18,FALSE),0)*Baseline!I101)),0)</f>
        <v>0</v>
      </c>
      <c r="J204" s="56">
        <f>(IF(Baseline!C101="Nieuwe Situatie",(_xlfn.IFNA(VLOOKUP(Referentie_CO2_Totaal[[#This Row],[Product]]&amp;", "&amp;Referentie_CO2_Totaal[[#Headers],[B1]],Database_Productkaarten[#All],18,FALSE),0)*Baseline!I101),0))</f>
        <v>0</v>
      </c>
      <c r="K204" s="56">
        <f>(IF(Baseline!C101="Nieuwe Situatie",(SUM(Referentie_CO2_Totaal[[#This Row],[A1]:[B1]],Referentie_CO2_Totaal[[#This Row],[C1]:[D2]])*Baseline!R101),0))</f>
        <v>0</v>
      </c>
      <c r="L204" s="56">
        <f>IF(Baseline!C101="Bestaande situatie",IF(_xlfn.IFNA((VLOOKUP(Baseline!Y101,Database_Asfalt_Verwijderset[#All],12,FALSE)*Baseline!I101),0)+_xlfn.IFNA(VLOOKUP(Baseline!Z101,Database_Brandstoffen[#All],12,FALSE)*((Baseline!I101/Baseline!AB101)*Baseline!AA101),0)&gt;0,_xlfn.IFNA((VLOOKUP(Baseline!Y101,Database_Asfalt_Verwijderset[#All],12,FALSE)*Baseline!I101),0)+_xlfn.IFNA(VLOOKUP(Baseline!Z101,Database_Brandstoffen[#All],12,FALSE)*((Baseline!I101/Baseline!AB101)*Baseline!AA101),0),(_xlfn.IFNA(VLOOKUP(Referentie_CO2_Totaal[[#This Row],[Product]]&amp;", "&amp;Referentie_MKI_Totaal[[#Headers],[C1]],Database_Productkaarten[#All],18,FALSE),0)*Baseline!I101)),0)</f>
        <v>0</v>
      </c>
      <c r="M204" s="56">
        <f>IF(Baseline!AD101=0,(IF(Baseline!C101="Bestaande Situatie",(_xlfn.IFNA(VLOOKUP(Referentie_CO2_Totaal[[#This Row],[Product]]&amp;", "&amp;Referentie_MKI_Totaal[[#Headers],[C2]],Database_Productkaarten[#All],18,FALSE),0)*Baseline!I101),0)),(IF(Baseline!C101="Bestaande Situatie",_xlfn.IFNA(VLOOKUP(Baseline!AD101,Database_Transport[#All],12,FALSE)*(Baseline!Q101*Baseline!AC101),0))))</f>
        <v>0</v>
      </c>
      <c r="N204" s="56">
        <f>(IF(Baseline!C101="Bestaande Situatie",(_xlfn.IFNA(VLOOKUP(Referentie_CO2_Totaal[[#This Row],[Product]]&amp;", "&amp;Referentie_CO2_Totaal[[#Headers],[C3]],Database_Productkaarten[#All],18,FALSE),0)*Baseline!I101),0))</f>
        <v>0</v>
      </c>
      <c r="O204" s="56">
        <f>(IF(Baseline!C101="Bestaande Situatie",(_xlfn.IFNA(VLOOKUP(Referentie_CO2_Totaal[[#This Row],[Product]]&amp;", "&amp;Referentie_CO2_Totaal[[#Headers],[C4]],Database_Productkaarten[#All],18,FALSE),0)*Baseline!I101),0))</f>
        <v>0</v>
      </c>
      <c r="P204" s="56">
        <f>(IF(Baseline!C101="Bestaande Situatie",(_xlfn.IFNA(VLOOKUP(Referentie_CO2_Totaal[[#This Row],[Product]]&amp;", "&amp;Referentie_CO2_Totaal[[#Headers],[D1]],Database_Productkaarten[#All],18,FALSE),0)*Baseline!I101),0))</f>
        <v>0</v>
      </c>
      <c r="Q204" s="57">
        <f>(IF(Baseline!C101="Bestaande Situatie",_xlfn.IFNA(VLOOKUP(Referentie_CO2_Totaal[[#This Row],[Product]]&amp;", "&amp;Referentie_CO2_Totaal[[#Headers],[D2]],Database_Productkaarten[#All],18,FALSE),0)*Baseline!I101,0))</f>
        <v>0</v>
      </c>
      <c r="R204" s="57">
        <f>(IF(Baseline!C101="Bestaande Situatie",(_xlfn.IFNA(VLOOKUP(Referentie_CO2_Totaal[[#This Row],[Product]]&amp;", "&amp;Referentie_CO2_Totaal[[#Headers],[D]],Database_Productkaarten[#All],18,FALSE),0)*Baseline!I101),0))</f>
        <v>0</v>
      </c>
      <c r="S204" s="56">
        <f>SUM(Referentie_CO2_Totaal[[#This Row],[A1-A3]:[C4]])+Referentie_CO2_Totaal[[#This Row],[D]]</f>
        <v>0</v>
      </c>
    </row>
    <row r="205" spans="2:19">
      <c r="B205" s="208">
        <f>Baseline!B102</f>
        <v>0</v>
      </c>
      <c r="C205" s="1">
        <f>Baseline!F102</f>
        <v>0</v>
      </c>
      <c r="D205" s="56">
        <f>(IF(Baseline!C102="Nieuwe Situatie",(_xlfn.IFNA(VLOOKUP(Referentie_CO2_Totaal[[#This Row],[Product]]&amp;", "&amp;Referentie_CO2_Totaal[[#Headers],[A1]],Database_Productkaarten[#All],18,FALSE),0)*Baseline!I102),0))</f>
        <v>0</v>
      </c>
      <c r="E205" s="56">
        <f>(IF(Baseline!C102="Nieuwe Situatie",(_xlfn.IFNA(VLOOKUP(Referentie_CO2_Totaal[[#This Row],[Product]]&amp;", "&amp;Referentie_CO2_Totaal[[#Headers],[A2]],Database_Productkaarten[#All],18,FALSE),0)*Baseline!I102),0))</f>
        <v>0</v>
      </c>
      <c r="F205" s="56">
        <f>(IF(Baseline!C102="Nieuwe Situatie",(_xlfn.IFNA(VLOOKUP(Referentie_CO2_Totaal[[#This Row],[Product]]&amp;", "&amp;Referentie_CO2_Totaal[[#Headers],[A3]],Database_Productkaarten[#All],18,FALSE),0)*Baseline!I102),0))</f>
        <v>0</v>
      </c>
      <c r="G205" s="56">
        <f>(IF(Baseline!C102="Nieuwe Situatie",(_xlfn.IFNA(VLOOKUP(Referentie_CO2_Totaal[[#This Row],[Product]]&amp;", "&amp;Referentie_CO2_Totaal[[#Headers],[A1-A3]],Database_Productkaarten[#All],18,FALSE),0)*Baseline!I102),0))</f>
        <v>0</v>
      </c>
      <c r="H205" s="56">
        <f>IF(Baseline!T102=0,(IF(Baseline!C102="Nieuwe Situatie",(_xlfn.IFNA(VLOOKUP(Referentie_CO2_Totaal[[#This Row],[Product]]&amp;", "&amp;Referentie_CO2_Totaal[[#Headers],[A4]],Database_Productkaarten[#All],18,FALSE),0)*Baseline!I102),0)),IF(Baseline!C102="Nieuwe Situatie",_xlfn.IFNA(VLOOKUP(Baseline!T102,Database_Transport[#All],12,FALSE)*(Baseline!Q102*Baseline!S102),Baseline_Backlog!H205),0))</f>
        <v>0</v>
      </c>
      <c r="I205" s="56">
        <f>IF(Baseline!C102="Nieuwe situatie",IF(_xlfn.IFNA((VLOOKUP(Baseline!U102,Database_Asfalt_Aanlegset[#All],12,FALSE)*Baseline!I102),0)+_xlfn.IFNA(VLOOKUP(Baseline!V102,Database_Brandstoffen[#All],12,FALSE)*((Baseline!I102/Baseline!X102)*Baseline!W102),0)&gt;0,_xlfn.IFNA((VLOOKUP(Baseline!U102,Database_Asfalt_Aanlegset[#All],12,FALSE)*Baseline!I102),0)+_xlfn.IFNA(VLOOKUP(Baseline!V102,Database_Brandstoffen[#All],12,FALSE)*((Baseline!I102/Baseline!X102)*Baseline!W102),0),(_xlfn.IFNA(VLOOKUP(Referentie_CO2_Totaal[[#This Row],[Product]]&amp;", "&amp;Referentie_MKI_Totaal[[#Headers],[A5]],Database_Productkaarten[#All],18,FALSE),0)*Baseline!I102)),0)</f>
        <v>0</v>
      </c>
      <c r="J205" s="56">
        <f>(IF(Baseline!C102="Nieuwe Situatie",(_xlfn.IFNA(VLOOKUP(Referentie_CO2_Totaal[[#This Row],[Product]]&amp;", "&amp;Referentie_CO2_Totaal[[#Headers],[B1]],Database_Productkaarten[#All],18,FALSE),0)*Baseline!I102),0))</f>
        <v>0</v>
      </c>
      <c r="K205" s="56">
        <f>(IF(Baseline!C102="Nieuwe Situatie",(SUM(Referentie_CO2_Totaal[[#This Row],[A1]:[B1]],Referentie_CO2_Totaal[[#This Row],[C1]:[D2]])*Baseline!R102),0))</f>
        <v>0</v>
      </c>
      <c r="L205" s="56">
        <f>IF(Baseline!C102="Bestaande situatie",IF(_xlfn.IFNA((VLOOKUP(Baseline!Y102,Database_Asfalt_Verwijderset[#All],12,FALSE)*Baseline!I102),0)+_xlfn.IFNA(VLOOKUP(Baseline!Z102,Database_Brandstoffen[#All],12,FALSE)*((Baseline!I102/Baseline!AB102)*Baseline!AA102),0)&gt;0,_xlfn.IFNA((VLOOKUP(Baseline!Y102,Database_Asfalt_Verwijderset[#All],12,FALSE)*Baseline!I102),0)+_xlfn.IFNA(VLOOKUP(Baseline!Z102,Database_Brandstoffen[#All],12,FALSE)*((Baseline!I102/Baseline!AB102)*Baseline!AA102),0),(_xlfn.IFNA(VLOOKUP(Referentie_CO2_Totaal[[#This Row],[Product]]&amp;", "&amp;Referentie_MKI_Totaal[[#Headers],[C1]],Database_Productkaarten[#All],18,FALSE),0)*Baseline!I102)),0)</f>
        <v>0</v>
      </c>
      <c r="M205" s="56">
        <f>IF(Baseline!AD102=0,(IF(Baseline!C102="Bestaande Situatie",(_xlfn.IFNA(VLOOKUP(Referentie_CO2_Totaal[[#This Row],[Product]]&amp;", "&amp;Referentie_MKI_Totaal[[#Headers],[C2]],Database_Productkaarten[#All],18,FALSE),0)*Baseline!I102),0)),(IF(Baseline!C102="Bestaande Situatie",_xlfn.IFNA(VLOOKUP(Baseline!AD102,Database_Transport[#All],12,FALSE)*(Baseline!Q102*Baseline!AC102),0))))</f>
        <v>0</v>
      </c>
      <c r="N205" s="56">
        <f>(IF(Baseline!C102="Bestaande Situatie",(_xlfn.IFNA(VLOOKUP(Referentie_CO2_Totaal[[#This Row],[Product]]&amp;", "&amp;Referentie_CO2_Totaal[[#Headers],[C3]],Database_Productkaarten[#All],18,FALSE),0)*Baseline!I102),0))</f>
        <v>0</v>
      </c>
      <c r="O205" s="56">
        <f>(IF(Baseline!C102="Bestaande Situatie",(_xlfn.IFNA(VLOOKUP(Referentie_CO2_Totaal[[#This Row],[Product]]&amp;", "&amp;Referentie_CO2_Totaal[[#Headers],[C4]],Database_Productkaarten[#All],18,FALSE),0)*Baseline!I102),0))</f>
        <v>0</v>
      </c>
      <c r="P205" s="56">
        <f>(IF(Baseline!C102="Bestaande Situatie",(_xlfn.IFNA(VLOOKUP(Referentie_CO2_Totaal[[#This Row],[Product]]&amp;", "&amp;Referentie_CO2_Totaal[[#Headers],[D1]],Database_Productkaarten[#All],18,FALSE),0)*Baseline!I102),0))</f>
        <v>0</v>
      </c>
      <c r="Q205" s="57">
        <f>(IF(Baseline!C102="Bestaande Situatie",_xlfn.IFNA(VLOOKUP(Referentie_CO2_Totaal[[#This Row],[Product]]&amp;", "&amp;Referentie_CO2_Totaal[[#Headers],[D2]],Database_Productkaarten[#All],18,FALSE),0)*Baseline!I102,0))</f>
        <v>0</v>
      </c>
      <c r="R205" s="57">
        <f>(IF(Baseline!C102="Bestaande Situatie",(_xlfn.IFNA(VLOOKUP(Referentie_CO2_Totaal[[#This Row],[Product]]&amp;", "&amp;Referentie_CO2_Totaal[[#Headers],[D]],Database_Productkaarten[#All],18,FALSE),0)*Baseline!I102),0))</f>
        <v>0</v>
      </c>
      <c r="S205" s="56">
        <f>SUM(Referentie_CO2_Totaal[[#This Row],[A1-A3]:[C4]])+Referentie_CO2_Totaal[[#This Row],[D]]</f>
        <v>0</v>
      </c>
    </row>
    <row r="206" spans="2:19">
      <c r="B206" s="208">
        <f>Baseline!B103</f>
        <v>0</v>
      </c>
      <c r="C206" s="1">
        <f>Baseline!F103</f>
        <v>0</v>
      </c>
      <c r="D206" s="56">
        <f>(IF(Baseline!C103="Nieuwe Situatie",(_xlfn.IFNA(VLOOKUP(Referentie_CO2_Totaal[[#This Row],[Product]]&amp;", "&amp;Referentie_CO2_Totaal[[#Headers],[A1]],Database_Productkaarten[#All],18,FALSE),0)*Baseline!I103),0))</f>
        <v>0</v>
      </c>
      <c r="E206" s="56">
        <f>(IF(Baseline!C103="Nieuwe Situatie",(_xlfn.IFNA(VLOOKUP(Referentie_CO2_Totaal[[#This Row],[Product]]&amp;", "&amp;Referentie_CO2_Totaal[[#Headers],[A2]],Database_Productkaarten[#All],18,FALSE),0)*Baseline!I103),0))</f>
        <v>0</v>
      </c>
      <c r="F206" s="56">
        <f>(IF(Baseline!C103="Nieuwe Situatie",(_xlfn.IFNA(VLOOKUP(Referentie_CO2_Totaal[[#This Row],[Product]]&amp;", "&amp;Referentie_CO2_Totaal[[#Headers],[A3]],Database_Productkaarten[#All],18,FALSE),0)*Baseline!I103),0))</f>
        <v>0</v>
      </c>
      <c r="G206" s="56">
        <f>(IF(Baseline!C103="Nieuwe Situatie",(_xlfn.IFNA(VLOOKUP(Referentie_CO2_Totaal[[#This Row],[Product]]&amp;", "&amp;Referentie_CO2_Totaal[[#Headers],[A1-A3]],Database_Productkaarten[#All],18,FALSE),0)*Baseline!I103),0))</f>
        <v>0</v>
      </c>
      <c r="H206" s="56">
        <f>IF(Baseline!T103=0,(IF(Baseline!C103="Nieuwe Situatie",(_xlfn.IFNA(VLOOKUP(Referentie_CO2_Totaal[[#This Row],[Product]]&amp;", "&amp;Referentie_CO2_Totaal[[#Headers],[A4]],Database_Productkaarten[#All],18,FALSE),0)*Baseline!I103),0)),IF(Baseline!C103="Nieuwe Situatie",_xlfn.IFNA(VLOOKUP(Baseline!T103,Database_Transport[#All],12,FALSE)*(Baseline!Q103*Baseline!S103),Baseline_Backlog!H206),0))</f>
        <v>0</v>
      </c>
      <c r="I206" s="56">
        <f>IF(Baseline!C103="Nieuwe situatie",IF(_xlfn.IFNA((VLOOKUP(Baseline!U103,Database_Asfalt_Aanlegset[#All],12,FALSE)*Baseline!I103),0)+_xlfn.IFNA(VLOOKUP(Baseline!V103,Database_Brandstoffen[#All],12,FALSE)*((Baseline!I103/Baseline!X103)*Baseline!W103),0)&gt;0,_xlfn.IFNA((VLOOKUP(Baseline!U103,Database_Asfalt_Aanlegset[#All],12,FALSE)*Baseline!I103),0)+_xlfn.IFNA(VLOOKUP(Baseline!V103,Database_Brandstoffen[#All],12,FALSE)*((Baseline!I103/Baseline!X103)*Baseline!W103),0),(_xlfn.IFNA(VLOOKUP(Referentie_CO2_Totaal[[#This Row],[Product]]&amp;", "&amp;Referentie_MKI_Totaal[[#Headers],[A5]],Database_Productkaarten[#All],18,FALSE),0)*Baseline!I103)),0)</f>
        <v>0</v>
      </c>
      <c r="J206" s="56">
        <f>(IF(Baseline!C103="Nieuwe Situatie",(_xlfn.IFNA(VLOOKUP(Referentie_CO2_Totaal[[#This Row],[Product]]&amp;", "&amp;Referentie_CO2_Totaal[[#Headers],[B1]],Database_Productkaarten[#All],18,FALSE),0)*Baseline!I103),0))</f>
        <v>0</v>
      </c>
      <c r="K206" s="56">
        <f>(IF(Baseline!C103="Nieuwe Situatie",(SUM(Referentie_CO2_Totaal[[#This Row],[A1]:[B1]],Referentie_CO2_Totaal[[#This Row],[C1]:[D2]])*Baseline!R103),0))</f>
        <v>0</v>
      </c>
      <c r="L206" s="56">
        <f>IF(Baseline!C103="Bestaande situatie",IF(_xlfn.IFNA((VLOOKUP(Baseline!Y103,Database_Asfalt_Verwijderset[#All],12,FALSE)*Baseline!I103),0)+_xlfn.IFNA(VLOOKUP(Baseline!Z103,Database_Brandstoffen[#All],12,FALSE)*((Baseline!I103/Baseline!AB103)*Baseline!AA103),0)&gt;0,_xlfn.IFNA((VLOOKUP(Baseline!Y103,Database_Asfalt_Verwijderset[#All],12,FALSE)*Baseline!I103),0)+_xlfn.IFNA(VLOOKUP(Baseline!Z103,Database_Brandstoffen[#All],12,FALSE)*((Baseline!I103/Baseline!AB103)*Baseline!AA103),0),(_xlfn.IFNA(VLOOKUP(Referentie_CO2_Totaal[[#This Row],[Product]]&amp;", "&amp;Referentie_MKI_Totaal[[#Headers],[C1]],Database_Productkaarten[#All],18,FALSE),0)*Baseline!I103)),0)</f>
        <v>0</v>
      </c>
      <c r="M206" s="56">
        <f>IF(Baseline!AD103=0,(IF(Baseline!C103="Bestaande Situatie",(_xlfn.IFNA(VLOOKUP(Referentie_CO2_Totaal[[#This Row],[Product]]&amp;", "&amp;Referentie_MKI_Totaal[[#Headers],[C2]],Database_Productkaarten[#All],18,FALSE),0)*Baseline!I103),0)),(IF(Baseline!C103="Bestaande Situatie",_xlfn.IFNA(VLOOKUP(Baseline!AD103,Database_Transport[#All],12,FALSE)*(Baseline!Q103*Baseline!AC103),0))))</f>
        <v>0</v>
      </c>
      <c r="N206" s="56">
        <f>(IF(Baseline!C103="Bestaande Situatie",(_xlfn.IFNA(VLOOKUP(Referentie_CO2_Totaal[[#This Row],[Product]]&amp;", "&amp;Referentie_CO2_Totaal[[#Headers],[C3]],Database_Productkaarten[#All],18,FALSE),0)*Baseline!I103),0))</f>
        <v>0</v>
      </c>
      <c r="O206" s="56">
        <f>(IF(Baseline!C103="Bestaande Situatie",(_xlfn.IFNA(VLOOKUP(Referentie_CO2_Totaal[[#This Row],[Product]]&amp;", "&amp;Referentie_CO2_Totaal[[#Headers],[C4]],Database_Productkaarten[#All],18,FALSE),0)*Baseline!I103),0))</f>
        <v>0</v>
      </c>
      <c r="P206" s="56">
        <f>(IF(Baseline!C103="Bestaande Situatie",(_xlfn.IFNA(VLOOKUP(Referentie_CO2_Totaal[[#This Row],[Product]]&amp;", "&amp;Referentie_CO2_Totaal[[#Headers],[D1]],Database_Productkaarten[#All],18,FALSE),0)*Baseline!I103),0))</f>
        <v>0</v>
      </c>
      <c r="Q206" s="57">
        <f>(IF(Baseline!C103="Bestaande Situatie",_xlfn.IFNA(VLOOKUP(Referentie_CO2_Totaal[[#This Row],[Product]]&amp;", "&amp;Referentie_CO2_Totaal[[#Headers],[D2]],Database_Productkaarten[#All],18,FALSE),0)*Baseline!I103,0))</f>
        <v>0</v>
      </c>
      <c r="R206" s="57">
        <f>(IF(Baseline!C103="Bestaande Situatie",(_xlfn.IFNA(VLOOKUP(Referentie_CO2_Totaal[[#This Row],[Product]]&amp;", "&amp;Referentie_CO2_Totaal[[#Headers],[D]],Database_Productkaarten[#All],18,FALSE),0)*Baseline!I103),0))</f>
        <v>0</v>
      </c>
      <c r="S206" s="56">
        <f>SUM(Referentie_CO2_Totaal[[#This Row],[A1-A3]:[C4]])+Referentie_CO2_Totaal[[#This Row],[D]]</f>
        <v>0</v>
      </c>
    </row>
    <row r="207" spans="2:19">
      <c r="B207" s="208">
        <f>Baseline!B104</f>
        <v>0</v>
      </c>
      <c r="C207" s="1">
        <f>Baseline!F104</f>
        <v>0</v>
      </c>
      <c r="D207" s="56">
        <f>(IF(Baseline!C104="Nieuwe Situatie",(_xlfn.IFNA(VLOOKUP(Referentie_CO2_Totaal[[#This Row],[Product]]&amp;", "&amp;Referentie_CO2_Totaal[[#Headers],[A1]],Database_Productkaarten[#All],18,FALSE),0)*Baseline!I104),0))</f>
        <v>0</v>
      </c>
      <c r="E207" s="56">
        <f>(IF(Baseline!C104="Nieuwe Situatie",(_xlfn.IFNA(VLOOKUP(Referentie_CO2_Totaal[[#This Row],[Product]]&amp;", "&amp;Referentie_CO2_Totaal[[#Headers],[A2]],Database_Productkaarten[#All],18,FALSE),0)*Baseline!I104),0))</f>
        <v>0</v>
      </c>
      <c r="F207" s="56">
        <f>(IF(Baseline!C104="Nieuwe Situatie",(_xlfn.IFNA(VLOOKUP(Referentie_CO2_Totaal[[#This Row],[Product]]&amp;", "&amp;Referentie_CO2_Totaal[[#Headers],[A3]],Database_Productkaarten[#All],18,FALSE),0)*Baseline!I104),0))</f>
        <v>0</v>
      </c>
      <c r="G207" s="56">
        <f>(IF(Baseline!C104="Nieuwe Situatie",(_xlfn.IFNA(VLOOKUP(Referentie_CO2_Totaal[[#This Row],[Product]]&amp;", "&amp;Referentie_CO2_Totaal[[#Headers],[A1-A3]],Database_Productkaarten[#All],18,FALSE),0)*Baseline!I104),0))</f>
        <v>0</v>
      </c>
      <c r="H207" s="56">
        <f>IF(Baseline!T104=0,(IF(Baseline!C104="Nieuwe Situatie",(_xlfn.IFNA(VLOOKUP(Referentie_CO2_Totaal[[#This Row],[Product]]&amp;", "&amp;Referentie_CO2_Totaal[[#Headers],[A4]],Database_Productkaarten[#All],18,FALSE),0)*Baseline!I104),0)),IF(Baseline!C104="Nieuwe Situatie",_xlfn.IFNA(VLOOKUP(Baseline!T104,Database_Transport[#All],12,FALSE)*(Baseline!Q104*Baseline!S104),Baseline_Backlog!H207),0))</f>
        <v>0</v>
      </c>
      <c r="I207" s="56">
        <f>IF(Baseline!C104="Nieuwe situatie",IF(_xlfn.IFNA((VLOOKUP(Baseline!U104,Database_Asfalt_Aanlegset[#All],12,FALSE)*Baseline!I104),0)+_xlfn.IFNA(VLOOKUP(Baseline!V104,Database_Brandstoffen[#All],12,FALSE)*((Baseline!I104/Baseline!X104)*Baseline!W104),0)&gt;0,_xlfn.IFNA((VLOOKUP(Baseline!U104,Database_Asfalt_Aanlegset[#All],12,FALSE)*Baseline!I104),0)+_xlfn.IFNA(VLOOKUP(Baseline!V104,Database_Brandstoffen[#All],12,FALSE)*((Baseline!I104/Baseline!X104)*Baseline!W104),0),(_xlfn.IFNA(VLOOKUP(Referentie_CO2_Totaal[[#This Row],[Product]]&amp;", "&amp;Referentie_MKI_Totaal[[#Headers],[A5]],Database_Productkaarten[#All],18,FALSE),0)*Baseline!I104)),0)</f>
        <v>0</v>
      </c>
      <c r="J207" s="56">
        <f>(IF(Baseline!C104="Nieuwe Situatie",(_xlfn.IFNA(VLOOKUP(Referentie_CO2_Totaal[[#This Row],[Product]]&amp;", "&amp;Referentie_CO2_Totaal[[#Headers],[B1]],Database_Productkaarten[#All],18,FALSE),0)*Baseline!I104),0))</f>
        <v>0</v>
      </c>
      <c r="K207" s="56">
        <f>(IF(Baseline!C104="Nieuwe Situatie",(SUM(Referentie_CO2_Totaal[[#This Row],[A1]:[B1]],Referentie_CO2_Totaal[[#This Row],[C1]:[D2]])*Baseline!R104),0))</f>
        <v>0</v>
      </c>
      <c r="L207" s="56">
        <f>IF(Baseline!C104="Bestaande situatie",IF(_xlfn.IFNA((VLOOKUP(Baseline!Y104,Database_Asfalt_Verwijderset[#All],12,FALSE)*Baseline!I104),0)+_xlfn.IFNA(VLOOKUP(Baseline!Z104,Database_Brandstoffen[#All],12,FALSE)*((Baseline!I104/Baseline!AB104)*Baseline!AA104),0)&gt;0,_xlfn.IFNA((VLOOKUP(Baseline!Y104,Database_Asfalt_Verwijderset[#All],12,FALSE)*Baseline!I104),0)+_xlfn.IFNA(VLOOKUP(Baseline!Z104,Database_Brandstoffen[#All],12,FALSE)*((Baseline!I104/Baseline!AB104)*Baseline!AA104),0),(_xlfn.IFNA(VLOOKUP(Referentie_CO2_Totaal[[#This Row],[Product]]&amp;", "&amp;Referentie_MKI_Totaal[[#Headers],[C1]],Database_Productkaarten[#All],18,FALSE),0)*Baseline!I104)),0)</f>
        <v>0</v>
      </c>
      <c r="M207" s="56">
        <f>IF(Baseline!AD104=0,(IF(Baseline!C104="Bestaande Situatie",(_xlfn.IFNA(VLOOKUP(Referentie_CO2_Totaal[[#This Row],[Product]]&amp;", "&amp;Referentie_MKI_Totaal[[#Headers],[C2]],Database_Productkaarten[#All],18,FALSE),0)*Baseline!I104),0)),(IF(Baseline!C104="Bestaande Situatie",_xlfn.IFNA(VLOOKUP(Baseline!AD104,Database_Transport[#All],12,FALSE)*(Baseline!Q104*Baseline!AC104),0))))</f>
        <v>0</v>
      </c>
      <c r="N207" s="56">
        <f>(IF(Baseline!C104="Bestaande Situatie",(_xlfn.IFNA(VLOOKUP(Referentie_CO2_Totaal[[#This Row],[Product]]&amp;", "&amp;Referentie_CO2_Totaal[[#Headers],[C3]],Database_Productkaarten[#All],18,FALSE),0)*Baseline!I104),0))</f>
        <v>0</v>
      </c>
      <c r="O207" s="56">
        <f>(IF(Baseline!C104="Bestaande Situatie",(_xlfn.IFNA(VLOOKUP(Referentie_CO2_Totaal[[#This Row],[Product]]&amp;", "&amp;Referentie_CO2_Totaal[[#Headers],[C4]],Database_Productkaarten[#All],18,FALSE),0)*Baseline!I104),0))</f>
        <v>0</v>
      </c>
      <c r="P207" s="56">
        <f>(IF(Baseline!C104="Bestaande Situatie",(_xlfn.IFNA(VLOOKUP(Referentie_CO2_Totaal[[#This Row],[Product]]&amp;", "&amp;Referentie_CO2_Totaal[[#Headers],[D1]],Database_Productkaarten[#All],18,FALSE),0)*Baseline!I104),0))</f>
        <v>0</v>
      </c>
      <c r="Q207" s="57">
        <f>(IF(Baseline!C104="Bestaande Situatie",_xlfn.IFNA(VLOOKUP(Referentie_CO2_Totaal[[#This Row],[Product]]&amp;", "&amp;Referentie_CO2_Totaal[[#Headers],[D2]],Database_Productkaarten[#All],18,FALSE),0)*Baseline!I104,0))</f>
        <v>0</v>
      </c>
      <c r="R207" s="57">
        <f>(IF(Baseline!C104="Bestaande Situatie",(_xlfn.IFNA(VLOOKUP(Referentie_CO2_Totaal[[#This Row],[Product]]&amp;", "&amp;Referentie_CO2_Totaal[[#Headers],[D]],Database_Productkaarten[#All],18,FALSE),0)*Baseline!I104),0))</f>
        <v>0</v>
      </c>
      <c r="S207" s="56">
        <f>SUM(Referentie_CO2_Totaal[[#This Row],[A1-A3]:[C4]])+Referentie_CO2_Totaal[[#This Row],[D]]</f>
        <v>0</v>
      </c>
    </row>
    <row r="208" spans="2:19">
      <c r="B208" s="208">
        <f>Baseline!B105</f>
        <v>0</v>
      </c>
      <c r="C208" s="1">
        <f>Baseline!F105</f>
        <v>0</v>
      </c>
      <c r="D208" s="56">
        <f>(IF(Baseline!C105="Nieuwe Situatie",(_xlfn.IFNA(VLOOKUP(Referentie_CO2_Totaal[[#This Row],[Product]]&amp;", "&amp;Referentie_CO2_Totaal[[#Headers],[A1]],Database_Productkaarten[#All],18,FALSE),0)*Baseline!I105),0))</f>
        <v>0</v>
      </c>
      <c r="E208" s="56">
        <f>(IF(Baseline!C105="Nieuwe Situatie",(_xlfn.IFNA(VLOOKUP(Referentie_CO2_Totaal[[#This Row],[Product]]&amp;", "&amp;Referentie_CO2_Totaal[[#Headers],[A2]],Database_Productkaarten[#All],18,FALSE),0)*Baseline!I105),0))</f>
        <v>0</v>
      </c>
      <c r="F208" s="56">
        <f>(IF(Baseline!C105="Nieuwe Situatie",(_xlfn.IFNA(VLOOKUP(Referentie_CO2_Totaal[[#This Row],[Product]]&amp;", "&amp;Referentie_CO2_Totaal[[#Headers],[A3]],Database_Productkaarten[#All],18,FALSE),0)*Baseline!I105),0))</f>
        <v>0</v>
      </c>
      <c r="G208" s="56">
        <f>(IF(Baseline!C105="Nieuwe Situatie",(_xlfn.IFNA(VLOOKUP(Referentie_CO2_Totaal[[#This Row],[Product]]&amp;", "&amp;Referentie_CO2_Totaal[[#Headers],[A1-A3]],Database_Productkaarten[#All],18,FALSE),0)*Baseline!I105),0))</f>
        <v>0</v>
      </c>
      <c r="H208" s="56">
        <f>IF(Baseline!T105=0,(IF(Baseline!C105="Nieuwe Situatie",(_xlfn.IFNA(VLOOKUP(Referentie_CO2_Totaal[[#This Row],[Product]]&amp;", "&amp;Referentie_CO2_Totaal[[#Headers],[A4]],Database_Productkaarten[#All],18,FALSE),0)*Baseline!I105),0)),IF(Baseline!C105="Nieuwe Situatie",_xlfn.IFNA(VLOOKUP(Baseline!T105,Database_Transport[#All],12,FALSE)*(Baseline!Q105*Baseline!S105),Baseline_Backlog!H208),0))</f>
        <v>0</v>
      </c>
      <c r="I208" s="56">
        <f>IF(Baseline!C105="Nieuwe situatie",IF(_xlfn.IFNA((VLOOKUP(Baseline!U105,Database_Asfalt_Aanlegset[#All],12,FALSE)*Baseline!I105),0)+_xlfn.IFNA(VLOOKUP(Baseline!V105,Database_Brandstoffen[#All],12,FALSE)*((Baseline!I105/Baseline!X105)*Baseline!W105),0)&gt;0,_xlfn.IFNA((VLOOKUP(Baseline!U105,Database_Asfalt_Aanlegset[#All],12,FALSE)*Baseline!I105),0)+_xlfn.IFNA(VLOOKUP(Baseline!V105,Database_Brandstoffen[#All],12,FALSE)*((Baseline!I105/Baseline!X105)*Baseline!W105),0),(_xlfn.IFNA(VLOOKUP(Referentie_CO2_Totaal[[#This Row],[Product]]&amp;", "&amp;Referentie_MKI_Totaal[[#Headers],[A5]],Database_Productkaarten[#All],18,FALSE),0)*Baseline!I105)),0)</f>
        <v>0</v>
      </c>
      <c r="J208" s="56">
        <f>(IF(Baseline!C105="Nieuwe Situatie",(_xlfn.IFNA(VLOOKUP(Referentie_CO2_Totaal[[#This Row],[Product]]&amp;", "&amp;Referentie_CO2_Totaal[[#Headers],[B1]],Database_Productkaarten[#All],18,FALSE),0)*Baseline!I105),0))</f>
        <v>0</v>
      </c>
      <c r="K208" s="56">
        <f>(IF(Baseline!C105="Nieuwe Situatie",(SUM(Referentie_CO2_Totaal[[#This Row],[A1]:[B1]],Referentie_CO2_Totaal[[#This Row],[C1]:[D2]])*Baseline!R105),0))</f>
        <v>0</v>
      </c>
      <c r="L208" s="56">
        <f>IF(Baseline!C105="Bestaande situatie",IF(_xlfn.IFNA((VLOOKUP(Baseline!Y105,Database_Asfalt_Verwijderset[#All],12,FALSE)*Baseline!I105),0)+_xlfn.IFNA(VLOOKUP(Baseline!Z105,Database_Brandstoffen[#All],12,FALSE)*((Baseline!I105/Baseline!AB105)*Baseline!AA105),0)&gt;0,_xlfn.IFNA((VLOOKUP(Baseline!Y105,Database_Asfalt_Verwijderset[#All],12,FALSE)*Baseline!I105),0)+_xlfn.IFNA(VLOOKUP(Baseline!Z105,Database_Brandstoffen[#All],12,FALSE)*((Baseline!I105/Baseline!AB105)*Baseline!AA105),0),(_xlfn.IFNA(VLOOKUP(Referentie_CO2_Totaal[[#This Row],[Product]]&amp;", "&amp;Referentie_MKI_Totaal[[#Headers],[C1]],Database_Productkaarten[#All],18,FALSE),0)*Baseline!I105)),0)</f>
        <v>0</v>
      </c>
      <c r="M208" s="56">
        <f>IF(Baseline!AD105=0,(IF(Baseline!C105="Bestaande Situatie",(_xlfn.IFNA(VLOOKUP(Referentie_CO2_Totaal[[#This Row],[Product]]&amp;", "&amp;Referentie_MKI_Totaal[[#Headers],[C2]],Database_Productkaarten[#All],18,FALSE),0)*Baseline!I105),0)),(IF(Baseline!C105="Bestaande Situatie",_xlfn.IFNA(VLOOKUP(Baseline!AD105,Database_Transport[#All],12,FALSE)*(Baseline!Q105*Baseline!AC105),0))))</f>
        <v>0</v>
      </c>
      <c r="N208" s="56">
        <f>(IF(Baseline!C105="Bestaande Situatie",(_xlfn.IFNA(VLOOKUP(Referentie_CO2_Totaal[[#This Row],[Product]]&amp;", "&amp;Referentie_CO2_Totaal[[#Headers],[C3]],Database_Productkaarten[#All],18,FALSE),0)*Baseline!I105),0))</f>
        <v>0</v>
      </c>
      <c r="O208" s="56">
        <f>(IF(Baseline!C105="Bestaande Situatie",(_xlfn.IFNA(VLOOKUP(Referentie_CO2_Totaal[[#This Row],[Product]]&amp;", "&amp;Referentie_CO2_Totaal[[#Headers],[C4]],Database_Productkaarten[#All],18,FALSE),0)*Baseline!I105),0))</f>
        <v>0</v>
      </c>
      <c r="P208" s="56">
        <f>(IF(Baseline!C105="Bestaande Situatie",(_xlfn.IFNA(VLOOKUP(Referentie_CO2_Totaal[[#This Row],[Product]]&amp;", "&amp;Referentie_CO2_Totaal[[#Headers],[D1]],Database_Productkaarten[#All],18,FALSE),0)*Baseline!I105),0))</f>
        <v>0</v>
      </c>
      <c r="Q208" s="57">
        <f>(IF(Baseline!C105="Bestaande Situatie",_xlfn.IFNA(VLOOKUP(Referentie_CO2_Totaal[[#This Row],[Product]]&amp;", "&amp;Referentie_CO2_Totaal[[#Headers],[D2]],Database_Productkaarten[#All],18,FALSE),0)*Baseline!I105,0))</f>
        <v>0</v>
      </c>
      <c r="R208" s="57">
        <f>(IF(Baseline!C105="Bestaande Situatie",(_xlfn.IFNA(VLOOKUP(Referentie_CO2_Totaal[[#This Row],[Product]]&amp;", "&amp;Referentie_CO2_Totaal[[#Headers],[D]],Database_Productkaarten[#All],18,FALSE),0)*Baseline!I105),0))</f>
        <v>0</v>
      </c>
      <c r="S208" s="56">
        <f>SUM(Referentie_CO2_Totaal[[#This Row],[A1-A3]:[C4]])+Referentie_CO2_Totaal[[#This Row],[D]]</f>
        <v>0</v>
      </c>
    </row>
    <row r="209" spans="2:19">
      <c r="B209" s="1" t="s">
        <v>90</v>
      </c>
      <c r="C209" s="1"/>
      <c r="D209" s="61">
        <f>SUBTOTAL(109,Referentie_CO2_Totaal[A1])</f>
        <v>138671.16125949999</v>
      </c>
      <c r="E209" s="61">
        <f>SUBTOTAL(109,Referentie_CO2_Totaal[A2])</f>
        <v>21323.606212416664</v>
      </c>
      <c r="F209" s="61">
        <f>SUBTOTAL(109,Referentie_CO2_Totaal[A3])</f>
        <v>6989.8791779999992</v>
      </c>
      <c r="G209" s="61">
        <f>SUBTOTAL(109,Referentie_CO2_Totaal[A1-A3])</f>
        <v>493104.64664991666</v>
      </c>
      <c r="H209" s="61">
        <f>SUBTOTAL(109,Referentie_CO2_Totaal[A4])</f>
        <v>58543.43382256214</v>
      </c>
      <c r="I209" s="61">
        <f>SUBTOTAL(109,Referentie_CO2_Totaal[A5])</f>
        <v>230043.27548463069</v>
      </c>
      <c r="J209" s="61">
        <f>SUBTOTAL(109,Referentie_CO2_Totaal[B1])</f>
        <v>2124.3480299999997</v>
      </c>
      <c r="K209" s="61">
        <f>SUBTOTAL(109,Referentie_CO2_Totaal[B4])</f>
        <v>0</v>
      </c>
      <c r="L209" s="61">
        <f>SUBTOTAL(109,Referentie_CO2_Totaal[C1])</f>
        <v>63596.894498697773</v>
      </c>
      <c r="M209" s="61">
        <f>SUBTOTAL(109,Referentie_CO2_Totaal[C2])</f>
        <v>62167.174622000086</v>
      </c>
      <c r="N209" s="61">
        <f>SUBTOTAL(109,Referentie_CO2_Totaal[C3])</f>
        <v>11510.673738445086</v>
      </c>
      <c r="O209" s="61">
        <f>SUBTOTAL(109,Referentie_CO2_Totaal[C4])</f>
        <v>2889.3959143910001</v>
      </c>
      <c r="P209" s="61">
        <f>SUBTOTAL(109,Referentie_CO2_Totaal[D1])</f>
        <v>-206867.29250000001</v>
      </c>
      <c r="Q209" s="61">
        <f>SUBTOTAL(109,Referentie_CO2_Totaal[D2])</f>
        <v>0</v>
      </c>
      <c r="R209" s="61">
        <f>SUBTOTAL(109,Referentie_CO2_Totaal[D])</f>
        <v>-308765.59416113631</v>
      </c>
      <c r="S209" s="141">
        <f>SUBTOTAL(109,Referentie_CO2_Totaal[Totaal])</f>
        <v>615214.24859950726</v>
      </c>
    </row>
    <row r="210" spans="2:19">
      <c r="B210" s="13"/>
      <c r="C210" s="13"/>
      <c r="D210" s="13"/>
      <c r="E210" s="13"/>
      <c r="F210" s="13"/>
      <c r="G210" s="13"/>
      <c r="H210" s="13"/>
      <c r="I210" s="13"/>
      <c r="J210" s="13"/>
      <c r="K210" s="13"/>
      <c r="L210" s="13"/>
      <c r="M210" s="13"/>
      <c r="N210" s="13"/>
      <c r="O210" s="13"/>
      <c r="P210" s="13"/>
    </row>
    <row r="211" spans="2:19">
      <c r="B211" s="13"/>
      <c r="C211" s="13"/>
      <c r="D211" s="13"/>
      <c r="E211" s="13"/>
      <c r="F211" s="13"/>
      <c r="G211" s="13"/>
      <c r="H211" s="13"/>
      <c r="I211" s="13"/>
      <c r="J211" s="13"/>
      <c r="K211" s="13"/>
      <c r="L211" s="13"/>
      <c r="M211" s="13"/>
      <c r="N211" s="13"/>
      <c r="O211" s="13"/>
      <c r="P211" s="13"/>
    </row>
    <row r="212" spans="2:19" ht="18">
      <c r="B212" s="110" t="s">
        <v>108</v>
      </c>
      <c r="C212" s="110"/>
      <c r="D212" s="110"/>
      <c r="E212" s="13"/>
      <c r="F212" s="13"/>
      <c r="G212" s="13"/>
      <c r="H212" s="13"/>
      <c r="I212" s="13"/>
      <c r="J212" s="13"/>
      <c r="K212" s="13"/>
      <c r="L212" s="13"/>
      <c r="M212" s="13"/>
      <c r="N212" s="13"/>
      <c r="O212" s="13"/>
      <c r="P212" s="13"/>
    </row>
    <row r="213" spans="2:19" ht="15.75" thickBot="1">
      <c r="B213" s="49" t="s">
        <v>214</v>
      </c>
      <c r="C213" s="50" t="s">
        <v>7</v>
      </c>
      <c r="D213" s="58" t="s">
        <v>109</v>
      </c>
      <c r="E213" s="59" t="s">
        <v>110</v>
      </c>
      <c r="F213" s="59" t="s">
        <v>111</v>
      </c>
      <c r="G213" s="59" t="s">
        <v>112</v>
      </c>
      <c r="H213" s="129" t="s">
        <v>113</v>
      </c>
      <c r="I213" s="59" t="s">
        <v>114</v>
      </c>
      <c r="J213" s="59" t="s">
        <v>115</v>
      </c>
      <c r="K213" s="145" t="s">
        <v>116</v>
      </c>
      <c r="L213" s="145" t="s">
        <v>117</v>
      </c>
      <c r="M213" s="145" t="s">
        <v>118</v>
      </c>
      <c r="N213" s="13"/>
      <c r="O213" s="13"/>
      <c r="P213" s="13"/>
      <c r="Q213" s="13"/>
      <c r="R213" s="13"/>
      <c r="S213" s="13"/>
    </row>
    <row r="214" spans="2:19" ht="15.75" thickTop="1">
      <c r="B214" s="209" t="str">
        <f>Baseline!B6</f>
        <v xml:space="preserve">121110 - Opbreken trottoirband </v>
      </c>
      <c r="C214" s="51" t="str">
        <f>Baseline!F6</f>
        <v>Trottoirband 130/150x250</v>
      </c>
      <c r="D214" s="93">
        <f>Baseline!Q6</f>
        <v>268.49549999999999</v>
      </c>
      <c r="E214" s="60">
        <f>_xlfn.IFNA(VLOOKUP(Referentie_Materiaal_Totaal[[#This Row],[Product]]&amp;", "&amp;"Totaal",Database_Productkaarten[#All],64,FALSE),0)</f>
        <v>0.11150652431791222</v>
      </c>
      <c r="F214" s="94">
        <f>Referentie_Materiaal_Totaal[[#This Row],[Hoeveelheid '[ton']]]*(1-Referentie_Materiaal_Totaal[[#This Row],[% Secundair]])</f>
        <v>238.5565</v>
      </c>
      <c r="G214" s="94">
        <f>Referentie_Materiaal_Totaal[[#This Row],[Hoeveelheid '[ton']]]*Referentie_Materiaal_Totaal[[#This Row],[% Secundair]]</f>
        <v>29.939</v>
      </c>
      <c r="H214" s="128">
        <f>Baseline!Q6*Baseline!R6</f>
        <v>0</v>
      </c>
      <c r="I214" s="128">
        <f>Referentie_Materiaal_Totaal[[#This Row],[Hoeveelheid Vervaningen '[ton']]]*(1-Referentie_Materiaal_Totaal[[#This Row],[% Secundair]])</f>
        <v>0</v>
      </c>
      <c r="J214" s="128">
        <f>Referentie_Materiaal_Totaal[[#This Row],[Hoeveelheid Vervaningen '[ton']]]*Referentie_Materiaal_Totaal[[#This Row],[% Secundair]]</f>
        <v>0</v>
      </c>
      <c r="K214" s="128">
        <f>Referentie_Materiaal_Totaal[[#This Row],[Primair materiaalverbruik '[ton']]]+Referentie_Materiaal_Totaal[[#This Row],[Primair materiaalverbruik Vervangingen '[ton']]]</f>
        <v>238.5565</v>
      </c>
      <c r="L214" s="128">
        <f>Referentie_Materiaal_Totaal[[#This Row],[Secundair materiaalverbruik '[ton']]]+Referentie_Materiaal_Totaal[[#This Row],[Secundair materiaalverbruik Vervangingen '[ton']]]</f>
        <v>29.939</v>
      </c>
      <c r="M214" s="128">
        <f>Referentie_Materiaal_Totaal[[#This Row],[Totaal Primair Materieelgebruik]]+Referentie_Materiaal_Totaal[[#This Row],[Totaal Secundair Materieelgebruik]]</f>
        <v>268.49549999999999</v>
      </c>
      <c r="N214" s="13"/>
      <c r="O214" s="13"/>
      <c r="P214" s="13"/>
      <c r="Q214" s="13"/>
      <c r="R214" s="13"/>
      <c r="S214" s="13"/>
    </row>
    <row r="215" spans="2:19">
      <c r="B215" s="209" t="str">
        <f>Baseline!B7</f>
        <v>121120 - Opbreken RWS band</v>
      </c>
      <c r="C215" s="51" t="str">
        <f>Baseline!F7</f>
        <v>RWSband 115/225x250</v>
      </c>
      <c r="D215" s="93">
        <f>Baseline!Q7</f>
        <v>42.310499999999998</v>
      </c>
      <c r="E215" s="60">
        <f>_xlfn.IFNA(VLOOKUP(Referentie_Materiaal_Totaal[[#This Row],[Product]]&amp;", "&amp;"Totaal",Database_Productkaarten[#All],64,FALSE),0)</f>
        <v>0.11163895486935867</v>
      </c>
      <c r="F215" s="94">
        <f>Referentie_Materiaal_Totaal[[#This Row],[Hoeveelheid '[ton']]]*(1-Referentie_Materiaal_Totaal[[#This Row],[% Secundair]])</f>
        <v>37.586999999999996</v>
      </c>
      <c r="G215" s="94">
        <f>Referentie_Materiaal_Totaal[[#This Row],[Hoeveelheid '[ton']]]*Referentie_Materiaal_Totaal[[#This Row],[% Secundair]]</f>
        <v>4.7234999999999996</v>
      </c>
      <c r="H215" s="128">
        <f>Baseline!Q7*Baseline!R7</f>
        <v>0</v>
      </c>
      <c r="I215" s="128">
        <f>Referentie_Materiaal_Totaal[[#This Row],[Hoeveelheid Vervaningen '[ton']]]*(1-Referentie_Materiaal_Totaal[[#This Row],[% Secundair]])</f>
        <v>0</v>
      </c>
      <c r="J215" s="128">
        <f>Referentie_Materiaal_Totaal[[#This Row],[Hoeveelheid Vervaningen '[ton']]]*Referentie_Materiaal_Totaal[[#This Row],[% Secundair]]</f>
        <v>0</v>
      </c>
      <c r="K215" s="128">
        <f>Referentie_Materiaal_Totaal[[#This Row],[Primair materiaalverbruik '[ton']]]+Referentie_Materiaal_Totaal[[#This Row],[Primair materiaalverbruik Vervangingen '[ton']]]</f>
        <v>37.586999999999996</v>
      </c>
      <c r="L215" s="128">
        <f>Referentie_Materiaal_Totaal[[#This Row],[Secundair materiaalverbruik '[ton']]]+Referentie_Materiaal_Totaal[[#This Row],[Secundair materiaalverbruik Vervangingen '[ton']]]</f>
        <v>4.7234999999999996</v>
      </c>
      <c r="M215" s="128">
        <f>Referentie_Materiaal_Totaal[[#This Row],[Totaal Primair Materieelgebruik]]+Referentie_Materiaal_Totaal[[#This Row],[Totaal Secundair Materieelgebruik]]</f>
        <v>42.310499999999998</v>
      </c>
      <c r="N215" s="13"/>
      <c r="O215" s="13"/>
      <c r="P215" s="13"/>
      <c r="Q215" s="13"/>
      <c r="R215" s="13"/>
      <c r="S215" s="13"/>
    </row>
    <row r="216" spans="2:19">
      <c r="B216" s="209" t="str">
        <f>Baseline!B8</f>
        <v>121140 - Opbreken Opsluitband</v>
      </c>
      <c r="C216" s="51" t="str">
        <f>Baseline!F8</f>
        <v>Opsluitband 100x200</v>
      </c>
      <c r="D216" s="93">
        <f>Baseline!Q8</f>
        <v>52.78</v>
      </c>
      <c r="E216" s="60">
        <f>_xlfn.IFNA(VLOOKUP(Referentie_Materiaal_Totaal[[#This Row],[Product]]&amp;", "&amp;"Totaal",Database_Productkaarten[#All],64,FALSE),0)</f>
        <v>0</v>
      </c>
      <c r="F216" s="94">
        <f>Referentie_Materiaal_Totaal[[#This Row],[Hoeveelheid '[ton']]]*(1-Referentie_Materiaal_Totaal[[#This Row],[% Secundair]])</f>
        <v>52.78</v>
      </c>
      <c r="G216" s="94">
        <f>Referentie_Materiaal_Totaal[[#This Row],[Hoeveelheid '[ton']]]*Referentie_Materiaal_Totaal[[#This Row],[% Secundair]]</f>
        <v>0</v>
      </c>
      <c r="H216" s="128">
        <f>Baseline!Q8*Baseline!R8</f>
        <v>0</v>
      </c>
      <c r="I216" s="128">
        <f>Referentie_Materiaal_Totaal[[#This Row],[Hoeveelheid Vervaningen '[ton']]]*(1-Referentie_Materiaal_Totaal[[#This Row],[% Secundair]])</f>
        <v>0</v>
      </c>
      <c r="J216" s="128">
        <f>Referentie_Materiaal_Totaal[[#This Row],[Hoeveelheid Vervaningen '[ton']]]*Referentie_Materiaal_Totaal[[#This Row],[% Secundair]]</f>
        <v>0</v>
      </c>
      <c r="K216" s="128">
        <f>Referentie_Materiaal_Totaal[[#This Row],[Primair materiaalverbruik '[ton']]]+Referentie_Materiaal_Totaal[[#This Row],[Primair materiaalverbruik Vervangingen '[ton']]]</f>
        <v>52.78</v>
      </c>
      <c r="L216" s="128">
        <f>Referentie_Materiaal_Totaal[[#This Row],[Secundair materiaalverbruik '[ton']]]+Referentie_Materiaal_Totaal[[#This Row],[Secundair materiaalverbruik Vervangingen '[ton']]]</f>
        <v>0</v>
      </c>
      <c r="M216" s="128">
        <f>Referentie_Materiaal_Totaal[[#This Row],[Totaal Primair Materieelgebruik]]+Referentie_Materiaal_Totaal[[#This Row],[Totaal Secundair Materieelgebruik]]</f>
        <v>52.78</v>
      </c>
      <c r="N216" s="13"/>
      <c r="O216" s="13"/>
      <c r="P216" s="13"/>
      <c r="Q216" s="13"/>
      <c r="R216" s="13"/>
      <c r="S216" s="13"/>
    </row>
    <row r="217" spans="2:19">
      <c r="B217" s="209" t="str">
        <f>Baseline!B9</f>
        <v>121310 - Opbreken betonstraatstenen</v>
      </c>
      <c r="C217" s="51" t="str">
        <f>Baseline!F9</f>
        <v>Betonstraatsteen 210x105x80</v>
      </c>
      <c r="D217" s="93">
        <f>Baseline!Q9</f>
        <v>287.36</v>
      </c>
      <c r="E217" s="60">
        <f>_xlfn.IFNA(VLOOKUP(Referentie_Materiaal_Totaal[[#This Row],[Product]]&amp;", "&amp;"Totaal",Database_Productkaarten[#All],64,FALSE),0)</f>
        <v>5.7906458797327399E-2</v>
      </c>
      <c r="F217" s="94">
        <f>Referentie_Materiaal_Totaal[[#This Row],[Hoeveelheid '[ton']]]*(1-Referentie_Materiaal_Totaal[[#This Row],[% Secundair]])</f>
        <v>270.72000000000003</v>
      </c>
      <c r="G217" s="94">
        <f>Referentie_Materiaal_Totaal[[#This Row],[Hoeveelheid '[ton']]]*Referentie_Materiaal_Totaal[[#This Row],[% Secundair]]</f>
        <v>16.64</v>
      </c>
      <c r="H217" s="128">
        <f>Baseline!Q9*Baseline!R9</f>
        <v>0</v>
      </c>
      <c r="I217" s="128">
        <f>Referentie_Materiaal_Totaal[[#This Row],[Hoeveelheid Vervaningen '[ton']]]*(1-Referentie_Materiaal_Totaal[[#This Row],[% Secundair]])</f>
        <v>0</v>
      </c>
      <c r="J217" s="128">
        <f>Referentie_Materiaal_Totaal[[#This Row],[Hoeveelheid Vervaningen '[ton']]]*Referentie_Materiaal_Totaal[[#This Row],[% Secundair]]</f>
        <v>0</v>
      </c>
      <c r="K217" s="128">
        <f>Referentie_Materiaal_Totaal[[#This Row],[Primair materiaalverbruik '[ton']]]+Referentie_Materiaal_Totaal[[#This Row],[Primair materiaalverbruik Vervangingen '[ton']]]</f>
        <v>270.72000000000003</v>
      </c>
      <c r="L217" s="128">
        <f>Referentie_Materiaal_Totaal[[#This Row],[Secundair materiaalverbruik '[ton']]]+Referentie_Materiaal_Totaal[[#This Row],[Secundair materiaalverbruik Vervangingen '[ton']]]</f>
        <v>16.64</v>
      </c>
      <c r="M217" s="128">
        <f>Referentie_Materiaal_Totaal[[#This Row],[Totaal Primair Materieelgebruik]]+Referentie_Materiaal_Totaal[[#This Row],[Totaal Secundair Materieelgebruik]]</f>
        <v>287.36</v>
      </c>
      <c r="N217" s="13"/>
      <c r="O217" s="13"/>
      <c r="P217" s="13"/>
      <c r="Q217" s="13"/>
      <c r="R217" s="13"/>
      <c r="S217" s="13"/>
    </row>
    <row r="218" spans="2:19">
      <c r="B218" s="209" t="str">
        <f>Baseline!B10</f>
        <v>121320 - Opbreken straatbakstenen en geschikt maken voor hergebruik</v>
      </c>
      <c r="C218" s="51" t="str">
        <f>Baseline!F10</f>
        <v>Gebakken klinker keiformaat</v>
      </c>
      <c r="D218" s="93">
        <f>Baseline!Q10</f>
        <v>1215.0250000000001</v>
      </c>
      <c r="E218" s="60">
        <f>_xlfn.IFNA(VLOOKUP(Referentie_Materiaal_Totaal[[#This Row],[Product]]&amp;", "&amp;"Totaal",Database_Productkaarten[#All],64,FALSE),0)</f>
        <v>0</v>
      </c>
      <c r="F218" s="94">
        <f>Referentie_Materiaal_Totaal[[#This Row],[Hoeveelheid '[ton']]]*(1-Referentie_Materiaal_Totaal[[#This Row],[% Secundair]])</f>
        <v>1215.0250000000001</v>
      </c>
      <c r="G218" s="94">
        <f>Referentie_Materiaal_Totaal[[#This Row],[Hoeveelheid '[ton']]]*Referentie_Materiaal_Totaal[[#This Row],[% Secundair]]</f>
        <v>0</v>
      </c>
      <c r="H218" s="128">
        <f>Baseline!Q10*Baseline!R10</f>
        <v>0</v>
      </c>
      <c r="I218" s="128">
        <f>Referentie_Materiaal_Totaal[[#This Row],[Hoeveelheid Vervaningen '[ton']]]*(1-Referentie_Materiaal_Totaal[[#This Row],[% Secundair]])</f>
        <v>0</v>
      </c>
      <c r="J218" s="128">
        <f>Referentie_Materiaal_Totaal[[#This Row],[Hoeveelheid Vervaningen '[ton']]]*Referentie_Materiaal_Totaal[[#This Row],[% Secundair]]</f>
        <v>0</v>
      </c>
      <c r="K218" s="128">
        <f>Referentie_Materiaal_Totaal[[#This Row],[Primair materiaalverbruik '[ton']]]+Referentie_Materiaal_Totaal[[#This Row],[Primair materiaalverbruik Vervangingen '[ton']]]</f>
        <v>1215.0250000000001</v>
      </c>
      <c r="L218" s="128">
        <f>Referentie_Materiaal_Totaal[[#This Row],[Secundair materiaalverbruik '[ton']]]+Referentie_Materiaal_Totaal[[#This Row],[Secundair materiaalverbruik Vervangingen '[ton']]]</f>
        <v>0</v>
      </c>
      <c r="M218" s="128">
        <f>Referentie_Materiaal_Totaal[[#This Row],[Totaal Primair Materieelgebruik]]+Referentie_Materiaal_Totaal[[#This Row],[Totaal Secundair Materieelgebruik]]</f>
        <v>1215.0250000000001</v>
      </c>
      <c r="N218" s="13"/>
      <c r="O218" s="13"/>
      <c r="P218" s="13"/>
      <c r="Q218" s="13"/>
      <c r="R218" s="13"/>
      <c r="S218" s="13"/>
    </row>
    <row r="219" spans="2:19">
      <c r="B219" s="209" t="str">
        <f>Baseline!B11</f>
        <v>121330 - Opbreken en afvoeren straatbakstenen</v>
      </c>
      <c r="C219" s="51" t="str">
        <f>Baseline!F11</f>
        <v>Gebakken klinker keiformaat (hergebruik)</v>
      </c>
      <c r="D219" s="93">
        <f>Baseline!Q11</f>
        <v>618.32000000000005</v>
      </c>
      <c r="E219" s="60">
        <f>_xlfn.IFNA(VLOOKUP(Referentie_Materiaal_Totaal[[#This Row],[Product]]&amp;", "&amp;"Totaal",Database_Productkaarten[#All],64,FALSE),0)</f>
        <v>1</v>
      </c>
      <c r="F219" s="94">
        <f>Referentie_Materiaal_Totaal[[#This Row],[Hoeveelheid '[ton']]]*(1-Referentie_Materiaal_Totaal[[#This Row],[% Secundair]])</f>
        <v>0</v>
      </c>
      <c r="G219" s="94">
        <f>Referentie_Materiaal_Totaal[[#This Row],[Hoeveelheid '[ton']]]*Referentie_Materiaal_Totaal[[#This Row],[% Secundair]]</f>
        <v>618.32000000000005</v>
      </c>
      <c r="H219" s="128">
        <f>Baseline!Q11*Baseline!R11</f>
        <v>0</v>
      </c>
      <c r="I219" s="128">
        <f>Referentie_Materiaal_Totaal[[#This Row],[Hoeveelheid Vervaningen '[ton']]]*(1-Referentie_Materiaal_Totaal[[#This Row],[% Secundair]])</f>
        <v>0</v>
      </c>
      <c r="J219" s="128">
        <f>Referentie_Materiaal_Totaal[[#This Row],[Hoeveelheid Vervaningen '[ton']]]*Referentie_Materiaal_Totaal[[#This Row],[% Secundair]]</f>
        <v>0</v>
      </c>
      <c r="K219" s="128">
        <f>Referentie_Materiaal_Totaal[[#This Row],[Primair materiaalverbruik '[ton']]]+Referentie_Materiaal_Totaal[[#This Row],[Primair materiaalverbruik Vervangingen '[ton']]]</f>
        <v>0</v>
      </c>
      <c r="L219" s="128">
        <f>Referentie_Materiaal_Totaal[[#This Row],[Secundair materiaalverbruik '[ton']]]+Referentie_Materiaal_Totaal[[#This Row],[Secundair materiaalverbruik Vervangingen '[ton']]]</f>
        <v>618.32000000000005</v>
      </c>
      <c r="M219" s="128">
        <f>Referentie_Materiaal_Totaal[[#This Row],[Totaal Primair Materieelgebruik]]+Referentie_Materiaal_Totaal[[#This Row],[Totaal Secundair Materieelgebruik]]</f>
        <v>618.32000000000005</v>
      </c>
      <c r="N219" s="13"/>
      <c r="O219" s="13"/>
      <c r="P219" s="13"/>
      <c r="Q219" s="13"/>
      <c r="R219" s="13"/>
      <c r="S219" s="13"/>
    </row>
    <row r="220" spans="2:19">
      <c r="B220" s="209" t="str">
        <f>Baseline!B12</f>
        <v>121340 - Opbreken betontegels 300x300x45mm</v>
      </c>
      <c r="C220" s="51" t="str">
        <f>Baseline!F12</f>
        <v>Betontegel 300x300x45</v>
      </c>
      <c r="D220" s="93">
        <f>Baseline!Q12</f>
        <v>1046.5674999999999</v>
      </c>
      <c r="E220" s="60">
        <f>_xlfn.IFNA(VLOOKUP(Referentie_Materiaal_Totaal[[#This Row],[Product]]&amp;", "&amp;"Totaal",Database_Productkaarten[#All],64,FALSE),0)</f>
        <v>0.11177052423343224</v>
      </c>
      <c r="F220" s="94">
        <f>Referentie_Materiaal_Totaal[[#This Row],[Hoeveelheid '[ton']]]*(1-Referentie_Materiaal_Totaal[[#This Row],[% Secundair]])</f>
        <v>929.59210187932729</v>
      </c>
      <c r="G220" s="94">
        <f>Referentie_Materiaal_Totaal[[#This Row],[Hoeveelheid '[ton']]]*Referentie_Materiaal_Totaal[[#This Row],[% Secundair]]</f>
        <v>116.97539812067258</v>
      </c>
      <c r="H220" s="128">
        <f>Baseline!Q12*Baseline!R12</f>
        <v>0</v>
      </c>
      <c r="I220" s="128">
        <f>Referentie_Materiaal_Totaal[[#This Row],[Hoeveelheid Vervaningen '[ton']]]*(1-Referentie_Materiaal_Totaal[[#This Row],[% Secundair]])</f>
        <v>0</v>
      </c>
      <c r="J220" s="128">
        <f>Referentie_Materiaal_Totaal[[#This Row],[Hoeveelheid Vervaningen '[ton']]]*Referentie_Materiaal_Totaal[[#This Row],[% Secundair]]</f>
        <v>0</v>
      </c>
      <c r="K220" s="128">
        <f>Referentie_Materiaal_Totaal[[#This Row],[Primair materiaalverbruik '[ton']]]+Referentie_Materiaal_Totaal[[#This Row],[Primair materiaalverbruik Vervangingen '[ton']]]</f>
        <v>929.59210187932729</v>
      </c>
      <c r="L220" s="128">
        <f>Referentie_Materiaal_Totaal[[#This Row],[Secundair materiaalverbruik '[ton']]]+Referentie_Materiaal_Totaal[[#This Row],[Secundair materiaalverbruik Vervangingen '[ton']]]</f>
        <v>116.97539812067258</v>
      </c>
      <c r="M220" s="128">
        <f>Referentie_Materiaal_Totaal[[#This Row],[Totaal Primair Materieelgebruik]]+Referentie_Materiaal_Totaal[[#This Row],[Totaal Secundair Materieelgebruik]]</f>
        <v>1046.5674999999999</v>
      </c>
      <c r="N220" s="13"/>
      <c r="O220" s="13"/>
      <c r="P220" s="13"/>
      <c r="Q220" s="13"/>
      <c r="R220" s="13"/>
      <c r="S220" s="13"/>
    </row>
    <row r="221" spans="2:19">
      <c r="B221" s="209" t="str">
        <f>Baseline!B13</f>
        <v>121410 - Opbreken en afvoeren asfaltverharding zwart teervrij</v>
      </c>
      <c r="C221" s="51" t="str">
        <f>Baseline!F13</f>
        <v>AC bin/base 50% PR - PCR 2.0</v>
      </c>
      <c r="D221" s="93">
        <f>Baseline!Q13</f>
        <v>2625</v>
      </c>
      <c r="E221" s="60">
        <f>_xlfn.IFNA(VLOOKUP(Referentie_Materiaal_Totaal[[#This Row],[Product]]&amp;", "&amp;"Totaal",Database_Productkaarten[#All],64,FALSE),0)</f>
        <v>0.5</v>
      </c>
      <c r="F221" s="94">
        <f>Referentie_Materiaal_Totaal[[#This Row],[Hoeveelheid '[ton']]]*(1-Referentie_Materiaal_Totaal[[#This Row],[% Secundair]])</f>
        <v>1312.5</v>
      </c>
      <c r="G221" s="94">
        <f>Referentie_Materiaal_Totaal[[#This Row],[Hoeveelheid '[ton']]]*Referentie_Materiaal_Totaal[[#This Row],[% Secundair]]</f>
        <v>1312.5</v>
      </c>
      <c r="H221" s="128">
        <f>Baseline!Q13*Baseline!R13</f>
        <v>0</v>
      </c>
      <c r="I221" s="128">
        <f>Referentie_Materiaal_Totaal[[#This Row],[Hoeveelheid Vervaningen '[ton']]]*(1-Referentie_Materiaal_Totaal[[#This Row],[% Secundair]])</f>
        <v>0</v>
      </c>
      <c r="J221" s="128">
        <f>Referentie_Materiaal_Totaal[[#This Row],[Hoeveelheid Vervaningen '[ton']]]*Referentie_Materiaal_Totaal[[#This Row],[% Secundair]]</f>
        <v>0</v>
      </c>
      <c r="K221" s="128">
        <f>Referentie_Materiaal_Totaal[[#This Row],[Primair materiaalverbruik '[ton']]]+Referentie_Materiaal_Totaal[[#This Row],[Primair materiaalverbruik Vervangingen '[ton']]]</f>
        <v>1312.5</v>
      </c>
      <c r="L221" s="128">
        <f>Referentie_Materiaal_Totaal[[#This Row],[Secundair materiaalverbruik '[ton']]]+Referentie_Materiaal_Totaal[[#This Row],[Secundair materiaalverbruik Vervangingen '[ton']]]</f>
        <v>1312.5</v>
      </c>
      <c r="M221" s="128">
        <f>Referentie_Materiaal_Totaal[[#This Row],[Totaal Primair Materieelgebruik]]+Referentie_Materiaal_Totaal[[#This Row],[Totaal Secundair Materieelgebruik]]</f>
        <v>2625</v>
      </c>
      <c r="N221" s="13"/>
      <c r="O221" s="13"/>
      <c r="P221" s="13"/>
      <c r="Q221" s="13"/>
      <c r="R221" s="13"/>
      <c r="S221" s="13"/>
    </row>
    <row r="222" spans="2:19">
      <c r="B222" s="209" t="str">
        <f>Baseline!B14</f>
        <v>121420 - Opbreken en afvoeren asfaltverharding rood teervrij</v>
      </c>
      <c r="C222" s="51" t="str">
        <f>Baseline!F14</f>
        <v>AC surf rood, met penbitumen - PCR 2.0</v>
      </c>
      <c r="D222" s="93">
        <f>Baseline!Q14</f>
        <v>1800</v>
      </c>
      <c r="E222" s="60">
        <f>_xlfn.IFNA(VLOOKUP(Referentie_Materiaal_Totaal[[#This Row],[Product]]&amp;", "&amp;"Totaal",Database_Productkaarten[#All],64,FALSE),0)</f>
        <v>0</v>
      </c>
      <c r="F222" s="94">
        <f>Referentie_Materiaal_Totaal[[#This Row],[Hoeveelheid '[ton']]]*(1-Referentie_Materiaal_Totaal[[#This Row],[% Secundair]])</f>
        <v>1800</v>
      </c>
      <c r="G222" s="94">
        <f>Referentie_Materiaal_Totaal[[#This Row],[Hoeveelheid '[ton']]]*Referentie_Materiaal_Totaal[[#This Row],[% Secundair]]</f>
        <v>0</v>
      </c>
      <c r="H222" s="128">
        <f>Baseline!Q14*Baseline!R14</f>
        <v>0</v>
      </c>
      <c r="I222" s="128">
        <f>Referentie_Materiaal_Totaal[[#This Row],[Hoeveelheid Vervaningen '[ton']]]*(1-Referentie_Materiaal_Totaal[[#This Row],[% Secundair]])</f>
        <v>0</v>
      </c>
      <c r="J222" s="128">
        <f>Referentie_Materiaal_Totaal[[#This Row],[Hoeveelheid Vervaningen '[ton']]]*Referentie_Materiaal_Totaal[[#This Row],[% Secundair]]</f>
        <v>0</v>
      </c>
      <c r="K222" s="128">
        <f>Referentie_Materiaal_Totaal[[#This Row],[Primair materiaalverbruik '[ton']]]+Referentie_Materiaal_Totaal[[#This Row],[Primair materiaalverbruik Vervangingen '[ton']]]</f>
        <v>1800</v>
      </c>
      <c r="L222" s="128">
        <f>Referentie_Materiaal_Totaal[[#This Row],[Secundair materiaalverbruik '[ton']]]+Referentie_Materiaal_Totaal[[#This Row],[Secundair materiaalverbruik Vervangingen '[ton']]]</f>
        <v>0</v>
      </c>
      <c r="M222" s="128">
        <f>Referentie_Materiaal_Totaal[[#This Row],[Totaal Primair Materieelgebruik]]+Referentie_Materiaal_Totaal[[#This Row],[Totaal Secundair Materieelgebruik]]</f>
        <v>1800</v>
      </c>
      <c r="N222" s="13"/>
      <c r="O222" s="13"/>
      <c r="P222" s="13"/>
      <c r="Q222" s="13"/>
      <c r="R222" s="13"/>
      <c r="S222" s="13"/>
    </row>
    <row r="223" spans="2:19">
      <c r="B223" s="209" t="str">
        <f>Baseline!B15</f>
        <v>121510 - Opbreken fundering van menggranulaat, 400-200 mm dik</v>
      </c>
      <c r="C223" s="51" t="str">
        <f>Baseline!F15</f>
        <v>Menggranulaat 300mm</v>
      </c>
      <c r="D223" s="93">
        <f>Baseline!Q15</f>
        <v>2242.5</v>
      </c>
      <c r="E223" s="60">
        <f>_xlfn.IFNA(VLOOKUP(Referentie_Materiaal_Totaal[[#This Row],[Product]]&amp;", "&amp;"Totaal",Database_Productkaarten[#All],64,FALSE),0)</f>
        <v>1</v>
      </c>
      <c r="F223" s="94">
        <f>Referentie_Materiaal_Totaal[[#This Row],[Hoeveelheid '[ton']]]*(1-Referentie_Materiaal_Totaal[[#This Row],[% Secundair]])</f>
        <v>0</v>
      </c>
      <c r="G223" s="94">
        <f>Referentie_Materiaal_Totaal[[#This Row],[Hoeveelheid '[ton']]]*Referentie_Materiaal_Totaal[[#This Row],[% Secundair]]</f>
        <v>2242.5</v>
      </c>
      <c r="H223" s="128">
        <f>Baseline!Q15*Baseline!R15</f>
        <v>0</v>
      </c>
      <c r="I223" s="128">
        <f>Referentie_Materiaal_Totaal[[#This Row],[Hoeveelheid Vervaningen '[ton']]]*(1-Referentie_Materiaal_Totaal[[#This Row],[% Secundair]])</f>
        <v>0</v>
      </c>
      <c r="J223" s="128">
        <f>Referentie_Materiaal_Totaal[[#This Row],[Hoeveelheid Vervaningen '[ton']]]*Referentie_Materiaal_Totaal[[#This Row],[% Secundair]]</f>
        <v>0</v>
      </c>
      <c r="K223" s="128">
        <f>Referentie_Materiaal_Totaal[[#This Row],[Primair materiaalverbruik '[ton']]]+Referentie_Materiaal_Totaal[[#This Row],[Primair materiaalverbruik Vervangingen '[ton']]]</f>
        <v>0</v>
      </c>
      <c r="L223" s="128">
        <f>Referentie_Materiaal_Totaal[[#This Row],[Secundair materiaalverbruik '[ton']]]+Referentie_Materiaal_Totaal[[#This Row],[Secundair materiaalverbruik Vervangingen '[ton']]]</f>
        <v>2242.5</v>
      </c>
      <c r="M223" s="128">
        <f>Referentie_Materiaal_Totaal[[#This Row],[Totaal Primair Materieelgebruik]]+Referentie_Materiaal_Totaal[[#This Row],[Totaal Secundair Materieelgebruik]]</f>
        <v>2242.5</v>
      </c>
      <c r="N223" s="13"/>
      <c r="O223" s="13"/>
      <c r="P223" s="13"/>
      <c r="Q223" s="13"/>
      <c r="R223" s="13"/>
      <c r="S223" s="13"/>
    </row>
    <row r="224" spans="2:19">
      <c r="B224" s="209" t="str">
        <f>Baseline!B16</f>
        <v>121520 - Opbreken fundering van slakken 200-400 mm dik</v>
      </c>
      <c r="C224" s="51" t="str">
        <f>Baseline!F16</f>
        <v>Fosforslakmengsel 200mm</v>
      </c>
      <c r="D224" s="93">
        <f>Baseline!Q16</f>
        <v>980.00000000000011</v>
      </c>
      <c r="E224" s="60">
        <f>_xlfn.IFNA(VLOOKUP(Referentie_Materiaal_Totaal[[#This Row],[Product]]&amp;", "&amp;"Totaal",Database_Productkaarten[#All],64,FALSE),0)</f>
        <v>1</v>
      </c>
      <c r="F224" s="94">
        <f>Referentie_Materiaal_Totaal[[#This Row],[Hoeveelheid '[ton']]]*(1-Referentie_Materiaal_Totaal[[#This Row],[% Secundair]])</f>
        <v>0</v>
      </c>
      <c r="G224" s="94">
        <f>Referentie_Materiaal_Totaal[[#This Row],[Hoeveelheid '[ton']]]*Referentie_Materiaal_Totaal[[#This Row],[% Secundair]]</f>
        <v>980.00000000000011</v>
      </c>
      <c r="H224" s="128">
        <f>Baseline!Q16*Baseline!R16</f>
        <v>0</v>
      </c>
      <c r="I224" s="128">
        <f>Referentie_Materiaal_Totaal[[#This Row],[Hoeveelheid Vervaningen '[ton']]]*(1-Referentie_Materiaal_Totaal[[#This Row],[% Secundair]])</f>
        <v>0</v>
      </c>
      <c r="J224" s="128">
        <f>Referentie_Materiaal_Totaal[[#This Row],[Hoeveelheid Vervaningen '[ton']]]*Referentie_Materiaal_Totaal[[#This Row],[% Secundair]]</f>
        <v>0</v>
      </c>
      <c r="K224" s="128">
        <f>Referentie_Materiaal_Totaal[[#This Row],[Primair materiaalverbruik '[ton']]]+Referentie_Materiaal_Totaal[[#This Row],[Primair materiaalverbruik Vervangingen '[ton']]]</f>
        <v>0</v>
      </c>
      <c r="L224" s="128">
        <f>Referentie_Materiaal_Totaal[[#This Row],[Secundair materiaalverbruik '[ton']]]+Referentie_Materiaal_Totaal[[#This Row],[Secundair materiaalverbruik Vervangingen '[ton']]]</f>
        <v>980.00000000000011</v>
      </c>
      <c r="M224" s="128">
        <f>Referentie_Materiaal_Totaal[[#This Row],[Totaal Primair Materieelgebruik]]+Referentie_Materiaal_Totaal[[#This Row],[Totaal Secundair Materieelgebruik]]</f>
        <v>980.00000000000011</v>
      </c>
      <c r="N224" s="13"/>
      <c r="O224" s="13"/>
      <c r="P224" s="13"/>
      <c r="Q224" s="13"/>
      <c r="R224" s="13"/>
      <c r="S224" s="13"/>
    </row>
    <row r="225" spans="2:19">
      <c r="B225" s="209" t="str">
        <f>Baseline!B17</f>
        <v>121310 - Verwijderen en afvoeren kolken, incl aansluitingen</v>
      </c>
      <c r="C225" s="51" t="str">
        <f>Baseline!F17</f>
        <v>Kolk, Staal &amp; Beton</v>
      </c>
      <c r="D225" s="93">
        <f>Baseline!Q17</f>
        <v>40.973680000000002</v>
      </c>
      <c r="E225" s="60">
        <f>_xlfn.IFNA(VLOOKUP(Referentie_Materiaal_Totaal[[#This Row],[Product]]&amp;", "&amp;"Totaal",Database_Productkaarten[#All],64,FALSE),0)</f>
        <v>0</v>
      </c>
      <c r="F225" s="94">
        <f>Referentie_Materiaal_Totaal[[#This Row],[Hoeveelheid '[ton']]]*(1-Referentie_Materiaal_Totaal[[#This Row],[% Secundair]])</f>
        <v>40.973680000000002</v>
      </c>
      <c r="G225" s="94">
        <f>Referentie_Materiaal_Totaal[[#This Row],[Hoeveelheid '[ton']]]*Referentie_Materiaal_Totaal[[#This Row],[% Secundair]]</f>
        <v>0</v>
      </c>
      <c r="H225" s="128">
        <f>Baseline!Q17*Baseline!R17</f>
        <v>0</v>
      </c>
      <c r="I225" s="128">
        <f>Referentie_Materiaal_Totaal[[#This Row],[Hoeveelheid Vervaningen '[ton']]]*(1-Referentie_Materiaal_Totaal[[#This Row],[% Secundair]])</f>
        <v>0</v>
      </c>
      <c r="J225" s="128">
        <f>Referentie_Materiaal_Totaal[[#This Row],[Hoeveelheid Vervaningen '[ton']]]*Referentie_Materiaal_Totaal[[#This Row],[% Secundair]]</f>
        <v>0</v>
      </c>
      <c r="K225" s="128">
        <f>Referentie_Materiaal_Totaal[[#This Row],[Primair materiaalverbruik '[ton']]]+Referentie_Materiaal_Totaal[[#This Row],[Primair materiaalverbruik Vervangingen '[ton']]]</f>
        <v>40.973680000000002</v>
      </c>
      <c r="L225" s="128">
        <f>Referentie_Materiaal_Totaal[[#This Row],[Secundair materiaalverbruik '[ton']]]+Referentie_Materiaal_Totaal[[#This Row],[Secundair materiaalverbruik Vervangingen '[ton']]]</f>
        <v>0</v>
      </c>
      <c r="M225" s="128">
        <f>Referentie_Materiaal_Totaal[[#This Row],[Totaal Primair Materieelgebruik]]+Referentie_Materiaal_Totaal[[#This Row],[Totaal Secundair Materieelgebruik]]</f>
        <v>40.973680000000002</v>
      </c>
      <c r="N225" s="13"/>
      <c r="O225" s="13"/>
      <c r="P225" s="13"/>
      <c r="Q225" s="13"/>
      <c r="R225" s="13"/>
      <c r="S225" s="13"/>
    </row>
    <row r="226" spans="2:19">
      <c r="B226" s="209" t="str">
        <f>Baseline!B18</f>
        <v>210010 - Grond ontgraven uit cunet wegen en parkeervakken 0,25 m</v>
      </c>
      <c r="C226" s="51" t="str">
        <f>Baseline!F18</f>
        <v>Ophoogmateriaal (Grond)</v>
      </c>
      <c r="D226" s="93">
        <f>Baseline!Q18</f>
        <v>8157.5</v>
      </c>
      <c r="E226" s="60">
        <f>_xlfn.IFNA(VLOOKUP(Referentie_Materiaal_Totaal[[#This Row],[Product]]&amp;", "&amp;"Totaal",Database_Productkaarten[#All],64,FALSE),0)</f>
        <v>1</v>
      </c>
      <c r="F226" s="94">
        <f>Referentie_Materiaal_Totaal[[#This Row],[Hoeveelheid '[ton']]]*(1-Referentie_Materiaal_Totaal[[#This Row],[% Secundair]])</f>
        <v>0</v>
      </c>
      <c r="G226" s="94">
        <f>Referentie_Materiaal_Totaal[[#This Row],[Hoeveelheid '[ton']]]*Referentie_Materiaal_Totaal[[#This Row],[% Secundair]]</f>
        <v>8157.5</v>
      </c>
      <c r="H226" s="128">
        <f>Baseline!Q18*Baseline!R18</f>
        <v>0</v>
      </c>
      <c r="I226" s="128">
        <f>Referentie_Materiaal_Totaal[[#This Row],[Hoeveelheid Vervaningen '[ton']]]*(1-Referentie_Materiaal_Totaal[[#This Row],[% Secundair]])</f>
        <v>0</v>
      </c>
      <c r="J226" s="128">
        <f>Referentie_Materiaal_Totaal[[#This Row],[Hoeveelheid Vervaningen '[ton']]]*Referentie_Materiaal_Totaal[[#This Row],[% Secundair]]</f>
        <v>0</v>
      </c>
      <c r="K226" s="128">
        <f>Referentie_Materiaal_Totaal[[#This Row],[Primair materiaalverbruik '[ton']]]+Referentie_Materiaal_Totaal[[#This Row],[Primair materiaalverbruik Vervangingen '[ton']]]</f>
        <v>0</v>
      </c>
      <c r="L226" s="128">
        <f>Referentie_Materiaal_Totaal[[#This Row],[Secundair materiaalverbruik '[ton']]]+Referentie_Materiaal_Totaal[[#This Row],[Secundair materiaalverbruik Vervangingen '[ton']]]</f>
        <v>8157.5</v>
      </c>
      <c r="M226" s="128">
        <f>Referentie_Materiaal_Totaal[[#This Row],[Totaal Primair Materieelgebruik]]+Referentie_Materiaal_Totaal[[#This Row],[Totaal Secundair Materieelgebruik]]</f>
        <v>8157.5</v>
      </c>
      <c r="N226" s="13"/>
      <c r="O226" s="13"/>
      <c r="P226" s="13"/>
      <c r="Q226" s="13"/>
      <c r="R226" s="13"/>
      <c r="S226" s="13"/>
    </row>
    <row r="227" spans="2:19">
      <c r="B227" s="209" t="str">
        <f>Baseline!B19</f>
        <v>210020 - Grond ontgraven uit sleuf riolering (gerekend met 11,5m3/m1 riool)</v>
      </c>
      <c r="C227" s="51" t="str">
        <f>Baseline!F19</f>
        <v>Ophoogmateriaal (Grond)</v>
      </c>
      <c r="D227" s="93">
        <f>Baseline!Q19</f>
        <v>30712.5</v>
      </c>
      <c r="E227" s="60">
        <f>_xlfn.IFNA(VLOOKUP(Referentie_Materiaal_Totaal[[#This Row],[Product]]&amp;", "&amp;"Totaal",Database_Productkaarten[#All],64,FALSE),0)</f>
        <v>1</v>
      </c>
      <c r="F227" s="94">
        <f>Referentie_Materiaal_Totaal[[#This Row],[Hoeveelheid '[ton']]]*(1-Referentie_Materiaal_Totaal[[#This Row],[% Secundair]])</f>
        <v>0</v>
      </c>
      <c r="G227" s="94">
        <f>Referentie_Materiaal_Totaal[[#This Row],[Hoeveelheid '[ton']]]*Referentie_Materiaal_Totaal[[#This Row],[% Secundair]]</f>
        <v>30712.5</v>
      </c>
      <c r="H227" s="128">
        <f>Baseline!Q19*Baseline!R19</f>
        <v>0</v>
      </c>
      <c r="I227" s="128">
        <f>Referentie_Materiaal_Totaal[[#This Row],[Hoeveelheid Vervaningen '[ton']]]*(1-Referentie_Materiaal_Totaal[[#This Row],[% Secundair]])</f>
        <v>0</v>
      </c>
      <c r="J227" s="128">
        <f>Referentie_Materiaal_Totaal[[#This Row],[Hoeveelheid Vervaningen '[ton']]]*Referentie_Materiaal_Totaal[[#This Row],[% Secundair]]</f>
        <v>0</v>
      </c>
      <c r="K227" s="128">
        <f>Referentie_Materiaal_Totaal[[#This Row],[Primair materiaalverbruik '[ton']]]+Referentie_Materiaal_Totaal[[#This Row],[Primair materiaalverbruik Vervangingen '[ton']]]</f>
        <v>0</v>
      </c>
      <c r="L227" s="128">
        <f>Referentie_Materiaal_Totaal[[#This Row],[Secundair materiaalverbruik '[ton']]]+Referentie_Materiaal_Totaal[[#This Row],[Secundair materiaalverbruik Vervangingen '[ton']]]</f>
        <v>30712.5</v>
      </c>
      <c r="M227" s="128">
        <f>Referentie_Materiaal_Totaal[[#This Row],[Totaal Primair Materieelgebruik]]+Referentie_Materiaal_Totaal[[#This Row],[Totaal Secundair Materieelgebruik]]</f>
        <v>30712.5</v>
      </c>
      <c r="N227" s="13"/>
      <c r="O227" s="13"/>
      <c r="P227" s="13"/>
      <c r="Q227" s="13"/>
      <c r="R227" s="13"/>
      <c r="S227" s="13"/>
    </row>
    <row r="228" spans="2:19">
      <c r="B228" s="209" t="str">
        <f>Baseline!B20</f>
        <v>210030 - Grond ontgraven uit plantvak</v>
      </c>
      <c r="C228" s="51" t="str">
        <f>Baseline!F20</f>
        <v>Ophoogmateriaal (Grond)</v>
      </c>
      <c r="D228" s="93">
        <f>Baseline!Q20</f>
        <v>7611.5</v>
      </c>
      <c r="E228" s="60">
        <f>_xlfn.IFNA(VLOOKUP(Referentie_Materiaal_Totaal[[#This Row],[Product]]&amp;", "&amp;"Totaal",Database_Productkaarten[#All],64,FALSE),0)</f>
        <v>1</v>
      </c>
      <c r="F228" s="94">
        <f>Referentie_Materiaal_Totaal[[#This Row],[Hoeveelheid '[ton']]]*(1-Referentie_Materiaal_Totaal[[#This Row],[% Secundair]])</f>
        <v>0</v>
      </c>
      <c r="G228" s="94">
        <f>Referentie_Materiaal_Totaal[[#This Row],[Hoeveelheid '[ton']]]*Referentie_Materiaal_Totaal[[#This Row],[% Secundair]]</f>
        <v>7611.5</v>
      </c>
      <c r="H228" s="128">
        <f>Baseline!Q20*Baseline!R20</f>
        <v>0</v>
      </c>
      <c r="I228" s="128">
        <f>Referentie_Materiaal_Totaal[[#This Row],[Hoeveelheid Vervaningen '[ton']]]*(1-Referentie_Materiaal_Totaal[[#This Row],[% Secundair]])</f>
        <v>0</v>
      </c>
      <c r="J228" s="128">
        <f>Referentie_Materiaal_Totaal[[#This Row],[Hoeveelheid Vervaningen '[ton']]]*Referentie_Materiaal_Totaal[[#This Row],[% Secundair]]</f>
        <v>0</v>
      </c>
      <c r="K228" s="128">
        <f>Referentie_Materiaal_Totaal[[#This Row],[Primair materiaalverbruik '[ton']]]+Referentie_Materiaal_Totaal[[#This Row],[Primair materiaalverbruik Vervangingen '[ton']]]</f>
        <v>0</v>
      </c>
      <c r="L228" s="128">
        <f>Referentie_Materiaal_Totaal[[#This Row],[Secundair materiaalverbruik '[ton']]]+Referentie_Materiaal_Totaal[[#This Row],[Secundair materiaalverbruik Vervangingen '[ton']]]</f>
        <v>7611.5</v>
      </c>
      <c r="M228" s="128">
        <f>Referentie_Materiaal_Totaal[[#This Row],[Totaal Primair Materieelgebruik]]+Referentie_Materiaal_Totaal[[#This Row],[Totaal Secundair Materieelgebruik]]</f>
        <v>7611.5</v>
      </c>
      <c r="N228" s="13"/>
      <c r="O228" s="13"/>
      <c r="P228" s="13"/>
      <c r="Q228" s="13"/>
      <c r="R228" s="13"/>
      <c r="S228" s="13"/>
    </row>
    <row r="229" spans="2:19">
      <c r="B229" s="209" t="str">
        <f>Baseline!B21</f>
        <v>220010 - Grond verwerken in sleuf riolering</v>
      </c>
      <c r="C229" s="51" t="str">
        <f>Baseline!F21</f>
        <v>Ophoogmateriaal (Grond)</v>
      </c>
      <c r="D229" s="93">
        <f>Baseline!Q21</f>
        <v>30712.5</v>
      </c>
      <c r="E229" s="60">
        <f>_xlfn.IFNA(VLOOKUP(Referentie_Materiaal_Totaal[[#This Row],[Product]]&amp;", "&amp;"Totaal",Database_Productkaarten[#All],64,FALSE),0)</f>
        <v>1</v>
      </c>
      <c r="F229" s="94">
        <f>Referentie_Materiaal_Totaal[[#This Row],[Hoeveelheid '[ton']]]*(1-Referentie_Materiaal_Totaal[[#This Row],[% Secundair]])</f>
        <v>0</v>
      </c>
      <c r="G229" s="94">
        <f>Referentie_Materiaal_Totaal[[#This Row],[Hoeveelheid '[ton']]]*Referentie_Materiaal_Totaal[[#This Row],[% Secundair]]</f>
        <v>30712.5</v>
      </c>
      <c r="H229" s="128">
        <f>Baseline!Q21*Baseline!R21</f>
        <v>0</v>
      </c>
      <c r="I229" s="128">
        <f>Referentie_Materiaal_Totaal[[#This Row],[Hoeveelheid Vervaningen '[ton']]]*(1-Referentie_Materiaal_Totaal[[#This Row],[% Secundair]])</f>
        <v>0</v>
      </c>
      <c r="J229" s="128">
        <f>Referentie_Materiaal_Totaal[[#This Row],[Hoeveelheid Vervaningen '[ton']]]*Referentie_Materiaal_Totaal[[#This Row],[% Secundair]]</f>
        <v>0</v>
      </c>
      <c r="K229" s="128">
        <f>Referentie_Materiaal_Totaal[[#This Row],[Primair materiaalverbruik '[ton']]]+Referentie_Materiaal_Totaal[[#This Row],[Primair materiaalverbruik Vervangingen '[ton']]]</f>
        <v>0</v>
      </c>
      <c r="L229" s="128">
        <f>Referentie_Materiaal_Totaal[[#This Row],[Secundair materiaalverbruik '[ton']]]+Referentie_Materiaal_Totaal[[#This Row],[Secundair materiaalverbruik Vervangingen '[ton']]]</f>
        <v>30712.5</v>
      </c>
      <c r="M229" s="128">
        <f>Referentie_Materiaal_Totaal[[#This Row],[Totaal Primair Materieelgebruik]]+Referentie_Materiaal_Totaal[[#This Row],[Totaal Secundair Materieelgebruik]]</f>
        <v>30712.5</v>
      </c>
      <c r="N229" s="13"/>
      <c r="O229" s="13"/>
      <c r="P229" s="13"/>
      <c r="Q229" s="13"/>
      <c r="R229" s="13"/>
      <c r="S229" s="13"/>
    </row>
    <row r="230" spans="2:19">
      <c r="B230" s="209" t="str">
        <f>Baseline!B22</f>
        <v>220020 - Leveren en aanbrengen zand voor zand (gemiddeld 100 mm)</v>
      </c>
      <c r="C230" s="51" t="str">
        <f>Baseline!F22</f>
        <v>Ophoogmateriaal (Zand)</v>
      </c>
      <c r="D230" s="93">
        <f>Baseline!Q22</f>
        <v>3675</v>
      </c>
      <c r="E230" s="60">
        <f>_xlfn.IFNA(VLOOKUP(Referentie_Materiaal_Totaal[[#This Row],[Product]]&amp;", "&amp;"Totaal",Database_Productkaarten[#All],64,FALSE),0)</f>
        <v>0</v>
      </c>
      <c r="F230" s="94">
        <f>Referentie_Materiaal_Totaal[[#This Row],[Hoeveelheid '[ton']]]*(1-Referentie_Materiaal_Totaal[[#This Row],[% Secundair]])</f>
        <v>3675</v>
      </c>
      <c r="G230" s="94">
        <f>Referentie_Materiaal_Totaal[[#This Row],[Hoeveelheid '[ton']]]*Referentie_Materiaal_Totaal[[#This Row],[% Secundair]]</f>
        <v>0</v>
      </c>
      <c r="H230" s="128">
        <f>Baseline!Q22*Baseline!R22</f>
        <v>0</v>
      </c>
      <c r="I230" s="128">
        <f>Referentie_Materiaal_Totaal[[#This Row],[Hoeveelheid Vervaningen '[ton']]]*(1-Referentie_Materiaal_Totaal[[#This Row],[% Secundair]])</f>
        <v>0</v>
      </c>
      <c r="J230" s="128">
        <f>Referentie_Materiaal_Totaal[[#This Row],[Hoeveelheid Vervaningen '[ton']]]*Referentie_Materiaal_Totaal[[#This Row],[% Secundair]]</f>
        <v>0</v>
      </c>
      <c r="K230" s="128">
        <f>Referentie_Materiaal_Totaal[[#This Row],[Primair materiaalverbruik '[ton']]]+Referentie_Materiaal_Totaal[[#This Row],[Primair materiaalverbruik Vervangingen '[ton']]]</f>
        <v>3675</v>
      </c>
      <c r="L230" s="128">
        <f>Referentie_Materiaal_Totaal[[#This Row],[Secundair materiaalverbruik '[ton']]]+Referentie_Materiaal_Totaal[[#This Row],[Secundair materiaalverbruik Vervangingen '[ton']]]</f>
        <v>0</v>
      </c>
      <c r="M230" s="128">
        <f>Referentie_Materiaal_Totaal[[#This Row],[Totaal Primair Materieelgebruik]]+Referentie_Materiaal_Totaal[[#This Row],[Totaal Secundair Materieelgebruik]]</f>
        <v>3675</v>
      </c>
      <c r="N230" s="13"/>
      <c r="O230" s="13"/>
      <c r="P230" s="13"/>
      <c r="Q230" s="13"/>
      <c r="R230" s="13"/>
      <c r="S230" s="13"/>
    </row>
    <row r="231" spans="2:19">
      <c r="B231" s="209" t="str">
        <f>Baseline!B23</f>
        <v>322020 - Leveren en aanbrengen rioolbuis van Beton Ø400mm</v>
      </c>
      <c r="C231" s="51" t="str">
        <f>Baseline!F23</f>
        <v>Betonbuis 500 mm</v>
      </c>
      <c r="D231" s="93">
        <f>Baseline!Q23</f>
        <v>78.719999999999985</v>
      </c>
      <c r="E231" s="60">
        <f>_xlfn.IFNA(VLOOKUP(Referentie_Materiaal_Totaal[[#This Row],[Product]]&amp;", "&amp;"Totaal",Database_Productkaarten[#All],64,FALSE),0)</f>
        <v>0</v>
      </c>
      <c r="F231" s="94">
        <f>Referentie_Materiaal_Totaal[[#This Row],[Hoeveelheid '[ton']]]*(1-Referentie_Materiaal_Totaal[[#This Row],[% Secundair]])</f>
        <v>78.719999999999985</v>
      </c>
      <c r="G231" s="94">
        <f>Referentie_Materiaal_Totaal[[#This Row],[Hoeveelheid '[ton']]]*Referentie_Materiaal_Totaal[[#This Row],[% Secundair]]</f>
        <v>0</v>
      </c>
      <c r="H231" s="128">
        <f>Baseline!Q23*Baseline!R23</f>
        <v>0</v>
      </c>
      <c r="I231" s="128">
        <f>Referentie_Materiaal_Totaal[[#This Row],[Hoeveelheid Vervaningen '[ton']]]*(1-Referentie_Materiaal_Totaal[[#This Row],[% Secundair]])</f>
        <v>0</v>
      </c>
      <c r="J231" s="128">
        <f>Referentie_Materiaal_Totaal[[#This Row],[Hoeveelheid Vervaningen '[ton']]]*Referentie_Materiaal_Totaal[[#This Row],[% Secundair]]</f>
        <v>0</v>
      </c>
      <c r="K231" s="128">
        <f>Referentie_Materiaal_Totaal[[#This Row],[Primair materiaalverbruik '[ton']]]+Referentie_Materiaal_Totaal[[#This Row],[Primair materiaalverbruik Vervangingen '[ton']]]</f>
        <v>78.719999999999985</v>
      </c>
      <c r="L231" s="128">
        <f>Referentie_Materiaal_Totaal[[#This Row],[Secundair materiaalverbruik '[ton']]]+Referentie_Materiaal_Totaal[[#This Row],[Secundair materiaalverbruik Vervangingen '[ton']]]</f>
        <v>0</v>
      </c>
      <c r="M231" s="128">
        <f>Referentie_Materiaal_Totaal[[#This Row],[Totaal Primair Materieelgebruik]]+Referentie_Materiaal_Totaal[[#This Row],[Totaal Secundair Materieelgebruik]]</f>
        <v>78.719999999999985</v>
      </c>
      <c r="N231" s="13"/>
      <c r="O231" s="13"/>
      <c r="P231" s="13"/>
      <c r="Q231" s="13"/>
      <c r="R231" s="13"/>
      <c r="S231" s="13"/>
    </row>
    <row r="232" spans="2:19">
      <c r="B232" s="209" t="str">
        <f>Baseline!B24</f>
        <v>322070 - Leveren en aanbrengen rioolbuis van Beton IT Ø400mm</v>
      </c>
      <c r="C232" s="51" t="str">
        <f>Baseline!F24</f>
        <v>Betonbuis 500 mm</v>
      </c>
      <c r="D232" s="93">
        <f>Baseline!Q24</f>
        <v>62.319999999999993</v>
      </c>
      <c r="E232" s="60">
        <f>_xlfn.IFNA(VLOOKUP(Referentie_Materiaal_Totaal[[#This Row],[Product]]&amp;", "&amp;"Totaal",Database_Productkaarten[#All],64,FALSE),0)</f>
        <v>0</v>
      </c>
      <c r="F232" s="94">
        <f>Referentie_Materiaal_Totaal[[#This Row],[Hoeveelheid '[ton']]]*(1-Referentie_Materiaal_Totaal[[#This Row],[% Secundair]])</f>
        <v>62.319999999999993</v>
      </c>
      <c r="G232" s="94">
        <f>Referentie_Materiaal_Totaal[[#This Row],[Hoeveelheid '[ton']]]*Referentie_Materiaal_Totaal[[#This Row],[% Secundair]]</f>
        <v>0</v>
      </c>
      <c r="H232" s="128">
        <f>Baseline!Q24*Baseline!R24</f>
        <v>0</v>
      </c>
      <c r="I232" s="128">
        <f>Referentie_Materiaal_Totaal[[#This Row],[Hoeveelheid Vervaningen '[ton']]]*(1-Referentie_Materiaal_Totaal[[#This Row],[% Secundair]])</f>
        <v>0</v>
      </c>
      <c r="J232" s="128">
        <f>Referentie_Materiaal_Totaal[[#This Row],[Hoeveelheid Vervaningen '[ton']]]*Referentie_Materiaal_Totaal[[#This Row],[% Secundair]]</f>
        <v>0</v>
      </c>
      <c r="K232" s="128">
        <f>Referentie_Materiaal_Totaal[[#This Row],[Primair materiaalverbruik '[ton']]]+Referentie_Materiaal_Totaal[[#This Row],[Primair materiaalverbruik Vervangingen '[ton']]]</f>
        <v>62.319999999999993</v>
      </c>
      <c r="L232" s="128">
        <f>Referentie_Materiaal_Totaal[[#This Row],[Secundair materiaalverbruik '[ton']]]+Referentie_Materiaal_Totaal[[#This Row],[Secundair materiaalverbruik Vervangingen '[ton']]]</f>
        <v>0</v>
      </c>
      <c r="M232" s="128">
        <f>Referentie_Materiaal_Totaal[[#This Row],[Totaal Primair Materieelgebruik]]+Referentie_Materiaal_Totaal[[#This Row],[Totaal Secundair Materieelgebruik]]</f>
        <v>62.319999999999993</v>
      </c>
      <c r="N232" s="13"/>
      <c r="O232" s="13"/>
      <c r="P232" s="13"/>
      <c r="Q232" s="13"/>
      <c r="R232" s="13"/>
      <c r="S232" s="13"/>
    </row>
    <row r="233" spans="2:19">
      <c r="B233" s="209" t="str">
        <f>Baseline!B25</f>
        <v>322100 - Leveren en aanbrengen rioolbuis van Beton IT Ø800mm</v>
      </c>
      <c r="C233" s="51" t="str">
        <f>Baseline!F25</f>
        <v>Betonbuis 800 mm</v>
      </c>
      <c r="D233" s="93">
        <f>Baseline!Q25</f>
        <v>600.91999999999996</v>
      </c>
      <c r="E233" s="60">
        <f>_xlfn.IFNA(VLOOKUP(Referentie_Materiaal_Totaal[[#This Row],[Product]]&amp;", "&amp;"Totaal",Database_Productkaarten[#All],64,FALSE),0)</f>
        <v>0</v>
      </c>
      <c r="F233" s="94">
        <f>Referentie_Materiaal_Totaal[[#This Row],[Hoeveelheid '[ton']]]*(1-Referentie_Materiaal_Totaal[[#This Row],[% Secundair]])</f>
        <v>600.91999999999996</v>
      </c>
      <c r="G233" s="94">
        <f>Referentie_Materiaal_Totaal[[#This Row],[Hoeveelheid '[ton']]]*Referentie_Materiaal_Totaal[[#This Row],[% Secundair]]</f>
        <v>0</v>
      </c>
      <c r="H233" s="128">
        <f>Baseline!Q25*Baseline!R25</f>
        <v>0</v>
      </c>
      <c r="I233" s="128">
        <f>Referentie_Materiaal_Totaal[[#This Row],[Hoeveelheid Vervaningen '[ton']]]*(1-Referentie_Materiaal_Totaal[[#This Row],[% Secundair]])</f>
        <v>0</v>
      </c>
      <c r="J233" s="128">
        <f>Referentie_Materiaal_Totaal[[#This Row],[Hoeveelheid Vervaningen '[ton']]]*Referentie_Materiaal_Totaal[[#This Row],[% Secundair]]</f>
        <v>0</v>
      </c>
      <c r="K233" s="128">
        <f>Referentie_Materiaal_Totaal[[#This Row],[Primair materiaalverbruik '[ton']]]+Referentie_Materiaal_Totaal[[#This Row],[Primair materiaalverbruik Vervangingen '[ton']]]</f>
        <v>600.91999999999996</v>
      </c>
      <c r="L233" s="128">
        <f>Referentie_Materiaal_Totaal[[#This Row],[Secundair materiaalverbruik '[ton']]]+Referentie_Materiaal_Totaal[[#This Row],[Secundair materiaalverbruik Vervangingen '[ton']]]</f>
        <v>0</v>
      </c>
      <c r="M233" s="128">
        <f>Referentie_Materiaal_Totaal[[#This Row],[Totaal Primair Materieelgebruik]]+Referentie_Materiaal_Totaal[[#This Row],[Totaal Secundair Materieelgebruik]]</f>
        <v>600.91999999999996</v>
      </c>
      <c r="N233" s="13"/>
      <c r="O233" s="13"/>
      <c r="P233" s="13"/>
      <c r="Q233" s="13"/>
      <c r="R233" s="13"/>
      <c r="S233" s="13"/>
    </row>
    <row r="234" spans="2:19">
      <c r="B234" s="209" t="str">
        <f>Baseline!B26</f>
        <v>330010 - Leveren en aanbrengen kolken</v>
      </c>
      <c r="C234" s="51" t="str">
        <f>Baseline!F26</f>
        <v>Kolk, Staal &amp; Beton</v>
      </c>
      <c r="D234" s="93">
        <f>Baseline!Q26</f>
        <v>40.973680000000002</v>
      </c>
      <c r="E234" s="60">
        <f>_xlfn.IFNA(VLOOKUP(Referentie_Materiaal_Totaal[[#This Row],[Product]]&amp;", "&amp;"Totaal",Database_Productkaarten[#All],64,FALSE),0)</f>
        <v>0</v>
      </c>
      <c r="F234" s="94">
        <f>Referentie_Materiaal_Totaal[[#This Row],[Hoeveelheid '[ton']]]*(1-Referentie_Materiaal_Totaal[[#This Row],[% Secundair]])</f>
        <v>40.973680000000002</v>
      </c>
      <c r="G234" s="94">
        <f>Referentie_Materiaal_Totaal[[#This Row],[Hoeveelheid '[ton']]]*Referentie_Materiaal_Totaal[[#This Row],[% Secundair]]</f>
        <v>0</v>
      </c>
      <c r="H234" s="128">
        <f>Baseline!Q26*Baseline!R26</f>
        <v>0</v>
      </c>
      <c r="I234" s="128">
        <f>Referentie_Materiaal_Totaal[[#This Row],[Hoeveelheid Vervaningen '[ton']]]*(1-Referentie_Materiaal_Totaal[[#This Row],[% Secundair]])</f>
        <v>0</v>
      </c>
      <c r="J234" s="128">
        <f>Referentie_Materiaal_Totaal[[#This Row],[Hoeveelheid Vervaningen '[ton']]]*Referentie_Materiaal_Totaal[[#This Row],[% Secundair]]</f>
        <v>0</v>
      </c>
      <c r="K234" s="128">
        <f>Referentie_Materiaal_Totaal[[#This Row],[Primair materiaalverbruik '[ton']]]+Referentie_Materiaal_Totaal[[#This Row],[Primair materiaalverbruik Vervangingen '[ton']]]</f>
        <v>40.973680000000002</v>
      </c>
      <c r="L234" s="128">
        <f>Referentie_Materiaal_Totaal[[#This Row],[Secundair materiaalverbruik '[ton']]]+Referentie_Materiaal_Totaal[[#This Row],[Secundair materiaalverbruik Vervangingen '[ton']]]</f>
        <v>0</v>
      </c>
      <c r="M234" s="128">
        <f>Referentie_Materiaal_Totaal[[#This Row],[Totaal Primair Materieelgebruik]]+Referentie_Materiaal_Totaal[[#This Row],[Totaal Secundair Materieelgebruik]]</f>
        <v>40.973680000000002</v>
      </c>
      <c r="N234" s="13"/>
      <c r="O234" s="13"/>
      <c r="P234" s="13"/>
      <c r="Q234" s="13"/>
      <c r="R234" s="13"/>
      <c r="S234" s="13"/>
    </row>
    <row r="235" spans="2:19">
      <c r="B235" s="209" t="str">
        <f>Baseline!B27</f>
        <v>420010 - Leveren en aanbrengen fundering menggranulaat, (250mm dik)</v>
      </c>
      <c r="C235" s="51" t="str">
        <f>Baseline!F27</f>
        <v>Menggranulaat 250mm</v>
      </c>
      <c r="D235" s="93">
        <f>Baseline!Q27</f>
        <v>11895</v>
      </c>
      <c r="E235" s="60">
        <f>_xlfn.IFNA(VLOOKUP(Referentie_Materiaal_Totaal[[#This Row],[Product]]&amp;", "&amp;"Totaal",Database_Productkaarten[#All],64,FALSE),0)</f>
        <v>1</v>
      </c>
      <c r="F235" s="94">
        <f>Referentie_Materiaal_Totaal[[#This Row],[Hoeveelheid '[ton']]]*(1-Referentie_Materiaal_Totaal[[#This Row],[% Secundair]])</f>
        <v>0</v>
      </c>
      <c r="G235" s="94">
        <f>Referentie_Materiaal_Totaal[[#This Row],[Hoeveelheid '[ton']]]*Referentie_Materiaal_Totaal[[#This Row],[% Secundair]]</f>
        <v>11895</v>
      </c>
      <c r="H235" s="128">
        <f>Baseline!Q27*Baseline!R27</f>
        <v>0</v>
      </c>
      <c r="I235" s="128">
        <f>Referentie_Materiaal_Totaal[[#This Row],[Hoeveelheid Vervaningen '[ton']]]*(1-Referentie_Materiaal_Totaal[[#This Row],[% Secundair]])</f>
        <v>0</v>
      </c>
      <c r="J235" s="128">
        <f>Referentie_Materiaal_Totaal[[#This Row],[Hoeveelheid Vervaningen '[ton']]]*Referentie_Materiaal_Totaal[[#This Row],[% Secundair]]</f>
        <v>0</v>
      </c>
      <c r="K235" s="128">
        <f>Referentie_Materiaal_Totaal[[#This Row],[Primair materiaalverbruik '[ton']]]+Referentie_Materiaal_Totaal[[#This Row],[Primair materiaalverbruik Vervangingen '[ton']]]</f>
        <v>0</v>
      </c>
      <c r="L235" s="128">
        <f>Referentie_Materiaal_Totaal[[#This Row],[Secundair materiaalverbruik '[ton']]]+Referentie_Materiaal_Totaal[[#This Row],[Secundair materiaalverbruik Vervangingen '[ton']]]</f>
        <v>11895</v>
      </c>
      <c r="M235" s="128">
        <f>Referentie_Materiaal_Totaal[[#This Row],[Totaal Primair Materieelgebruik]]+Referentie_Materiaal_Totaal[[#This Row],[Totaal Secundair Materieelgebruik]]</f>
        <v>11895</v>
      </c>
      <c r="N235" s="13"/>
      <c r="O235" s="13"/>
      <c r="P235" s="13"/>
      <c r="Q235" s="13"/>
      <c r="R235" s="13"/>
      <c r="S235" s="13"/>
    </row>
    <row r="236" spans="2:19">
      <c r="B236" s="209" t="str">
        <f>Baseline!B28</f>
        <v>430010 - Leveren en aanbrengen trottoirbanden 180/200x250</v>
      </c>
      <c r="C236" s="51" t="str">
        <f>Baseline!F28</f>
        <v>Trottoirband 180/200x250</v>
      </c>
      <c r="D236" s="93">
        <f>Baseline!Q28</f>
        <v>11.942500000000001</v>
      </c>
      <c r="E236" s="60">
        <f>_xlfn.IFNA(VLOOKUP(Referentie_Materiaal_Totaal[[#This Row],[Product]]&amp;", "&amp;"Totaal",Database_Productkaarten[#All],64,FALSE),0)</f>
        <v>0.11150652431791222</v>
      </c>
      <c r="F236" s="94">
        <f>Referentie_Materiaal_Totaal[[#This Row],[Hoeveelheid '[ton']]]*(1-Referentie_Materiaal_Totaal[[#This Row],[% Secundair]])</f>
        <v>10.610833333333334</v>
      </c>
      <c r="G236" s="94">
        <f>Referentie_Materiaal_Totaal[[#This Row],[Hoeveelheid '[ton']]]*Referentie_Materiaal_Totaal[[#This Row],[% Secundair]]</f>
        <v>1.3316666666666668</v>
      </c>
      <c r="H236" s="128">
        <f>Baseline!Q28*Baseline!R28</f>
        <v>0</v>
      </c>
      <c r="I236" s="128">
        <f>Referentie_Materiaal_Totaal[[#This Row],[Hoeveelheid Vervaningen '[ton']]]*(1-Referentie_Materiaal_Totaal[[#This Row],[% Secundair]])</f>
        <v>0</v>
      </c>
      <c r="J236" s="128">
        <f>Referentie_Materiaal_Totaal[[#This Row],[Hoeveelheid Vervaningen '[ton']]]*Referentie_Materiaal_Totaal[[#This Row],[% Secundair]]</f>
        <v>0</v>
      </c>
      <c r="K236" s="128">
        <f>Referentie_Materiaal_Totaal[[#This Row],[Primair materiaalverbruik '[ton']]]+Referentie_Materiaal_Totaal[[#This Row],[Primair materiaalverbruik Vervangingen '[ton']]]</f>
        <v>10.610833333333334</v>
      </c>
      <c r="L236" s="128">
        <f>Referentie_Materiaal_Totaal[[#This Row],[Secundair materiaalverbruik '[ton']]]+Referentie_Materiaal_Totaal[[#This Row],[Secundair materiaalverbruik Vervangingen '[ton']]]</f>
        <v>1.3316666666666668</v>
      </c>
      <c r="M236" s="128">
        <f>Referentie_Materiaal_Totaal[[#This Row],[Totaal Primair Materieelgebruik]]+Referentie_Materiaal_Totaal[[#This Row],[Totaal Secundair Materieelgebruik]]</f>
        <v>11.942500000000001</v>
      </c>
      <c r="N236" s="13"/>
      <c r="O236" s="13"/>
      <c r="P236" s="13"/>
      <c r="Q236" s="13"/>
      <c r="R236" s="13"/>
      <c r="S236" s="13"/>
    </row>
    <row r="237" spans="2:19">
      <c r="B237" s="209" t="str">
        <f>Baseline!B29</f>
        <v>430020 - Leveren en aanbrengen trottoirbanden 130/150x250</v>
      </c>
      <c r="C237" s="51" t="str">
        <f>Baseline!F29</f>
        <v>Trottoirband 130/150x250</v>
      </c>
      <c r="D237" s="93">
        <f>Baseline!Q29</f>
        <v>19.388999999999999</v>
      </c>
      <c r="E237" s="60">
        <f>_xlfn.IFNA(VLOOKUP(Referentie_Materiaal_Totaal[[#This Row],[Product]]&amp;", "&amp;"Totaal",Database_Productkaarten[#All],64,FALSE),0)</f>
        <v>0.11150652431791222</v>
      </c>
      <c r="F237" s="94">
        <f>Referentie_Materiaal_Totaal[[#This Row],[Hoeveelheid '[ton']]]*(1-Referentie_Materiaal_Totaal[[#This Row],[% Secundair]])</f>
        <v>17.227</v>
      </c>
      <c r="G237" s="94">
        <f>Referentie_Materiaal_Totaal[[#This Row],[Hoeveelheid '[ton']]]*Referentie_Materiaal_Totaal[[#This Row],[% Secundair]]</f>
        <v>2.1619999999999999</v>
      </c>
      <c r="H237" s="128">
        <f>Baseline!Q29*Baseline!R29</f>
        <v>0</v>
      </c>
      <c r="I237" s="128">
        <f>Referentie_Materiaal_Totaal[[#This Row],[Hoeveelheid Vervaningen '[ton']]]*(1-Referentie_Materiaal_Totaal[[#This Row],[% Secundair]])</f>
        <v>0</v>
      </c>
      <c r="J237" s="128">
        <f>Referentie_Materiaal_Totaal[[#This Row],[Hoeveelheid Vervaningen '[ton']]]*Referentie_Materiaal_Totaal[[#This Row],[% Secundair]]</f>
        <v>0</v>
      </c>
      <c r="K237" s="128">
        <f>Referentie_Materiaal_Totaal[[#This Row],[Primair materiaalverbruik '[ton']]]+Referentie_Materiaal_Totaal[[#This Row],[Primair materiaalverbruik Vervangingen '[ton']]]</f>
        <v>17.227</v>
      </c>
      <c r="L237" s="128">
        <f>Referentie_Materiaal_Totaal[[#This Row],[Secundair materiaalverbruik '[ton']]]+Referentie_Materiaal_Totaal[[#This Row],[Secundair materiaalverbruik Vervangingen '[ton']]]</f>
        <v>2.1619999999999999</v>
      </c>
      <c r="M237" s="128">
        <f>Referentie_Materiaal_Totaal[[#This Row],[Totaal Primair Materieelgebruik]]+Referentie_Materiaal_Totaal[[#This Row],[Totaal Secundair Materieelgebruik]]</f>
        <v>19.388999999999999</v>
      </c>
      <c r="N237" s="13"/>
      <c r="O237" s="13"/>
      <c r="P237" s="13"/>
      <c r="Q237" s="13"/>
      <c r="R237" s="13"/>
      <c r="S237" s="13"/>
    </row>
    <row r="238" spans="2:19">
      <c r="B238" s="209" t="str">
        <f>Baseline!B30</f>
        <v>430040 - Leveren en aanbrengen opsluitbanden 100x200</v>
      </c>
      <c r="C238" s="51" t="str">
        <f>Baseline!F30</f>
        <v>Opsluitband 100x200</v>
      </c>
      <c r="D238" s="93">
        <f>Baseline!Q30</f>
        <v>68.022499999999994</v>
      </c>
      <c r="E238" s="60">
        <f>_xlfn.IFNA(VLOOKUP(Referentie_Materiaal_Totaal[[#This Row],[Product]]&amp;", "&amp;"Totaal",Database_Productkaarten[#All],64,FALSE),0)</f>
        <v>0</v>
      </c>
      <c r="F238" s="94">
        <f>Referentie_Materiaal_Totaal[[#This Row],[Hoeveelheid '[ton']]]*(1-Referentie_Materiaal_Totaal[[#This Row],[% Secundair]])</f>
        <v>68.022499999999994</v>
      </c>
      <c r="G238" s="94">
        <f>Referentie_Materiaal_Totaal[[#This Row],[Hoeveelheid '[ton']]]*Referentie_Materiaal_Totaal[[#This Row],[% Secundair]]</f>
        <v>0</v>
      </c>
      <c r="H238" s="128">
        <f>Baseline!Q30*Baseline!R30</f>
        <v>0</v>
      </c>
      <c r="I238" s="128">
        <f>Referentie_Materiaal_Totaal[[#This Row],[Hoeveelheid Vervaningen '[ton']]]*(1-Referentie_Materiaal_Totaal[[#This Row],[% Secundair]])</f>
        <v>0</v>
      </c>
      <c r="J238" s="128">
        <f>Referentie_Materiaal_Totaal[[#This Row],[Hoeveelheid Vervaningen '[ton']]]*Referentie_Materiaal_Totaal[[#This Row],[% Secundair]]</f>
        <v>0</v>
      </c>
      <c r="K238" s="128">
        <f>Referentie_Materiaal_Totaal[[#This Row],[Primair materiaalverbruik '[ton']]]+Referentie_Materiaal_Totaal[[#This Row],[Primair materiaalverbruik Vervangingen '[ton']]]</f>
        <v>68.022499999999994</v>
      </c>
      <c r="L238" s="128">
        <f>Referentie_Materiaal_Totaal[[#This Row],[Secundair materiaalverbruik '[ton']]]+Referentie_Materiaal_Totaal[[#This Row],[Secundair materiaalverbruik Vervangingen '[ton']]]</f>
        <v>0</v>
      </c>
      <c r="M238" s="128">
        <f>Referentie_Materiaal_Totaal[[#This Row],[Totaal Primair Materieelgebruik]]+Referentie_Materiaal_Totaal[[#This Row],[Totaal Secundair Materieelgebruik]]</f>
        <v>68.022499999999994</v>
      </c>
      <c r="N238" s="13"/>
      <c r="O238" s="13"/>
      <c r="P238" s="13"/>
      <c r="Q238" s="13"/>
      <c r="R238" s="13"/>
      <c r="S238" s="13"/>
    </row>
    <row r="239" spans="2:19">
      <c r="B239" s="209" t="str">
        <f>Baseline!B31</f>
        <v>430050 - Leveren en aanbrengen opsluitbanden 120x250</v>
      </c>
      <c r="C239" s="51" t="str">
        <f>Baseline!F31</f>
        <v>Opsluitband 150x250</v>
      </c>
      <c r="D239" s="93">
        <f>Baseline!Q31</f>
        <v>119.43750000000001</v>
      </c>
      <c r="E239" s="60">
        <f>_xlfn.IFNA(VLOOKUP(Referentie_Materiaal_Totaal[[#This Row],[Product]]&amp;", "&amp;"Totaal",Database_Productkaarten[#All],64,FALSE),0)</f>
        <v>0</v>
      </c>
      <c r="F239" s="94">
        <f>Referentie_Materiaal_Totaal[[#This Row],[Hoeveelheid '[ton']]]*(1-Referentie_Materiaal_Totaal[[#This Row],[% Secundair]])</f>
        <v>119.43750000000001</v>
      </c>
      <c r="G239" s="94">
        <f>Referentie_Materiaal_Totaal[[#This Row],[Hoeveelheid '[ton']]]*Referentie_Materiaal_Totaal[[#This Row],[% Secundair]]</f>
        <v>0</v>
      </c>
      <c r="H239" s="128">
        <f>Baseline!Q31*Baseline!R31</f>
        <v>0</v>
      </c>
      <c r="I239" s="128">
        <f>Referentie_Materiaal_Totaal[[#This Row],[Hoeveelheid Vervaningen '[ton']]]*(1-Referentie_Materiaal_Totaal[[#This Row],[% Secundair]])</f>
        <v>0</v>
      </c>
      <c r="J239" s="128">
        <f>Referentie_Materiaal_Totaal[[#This Row],[Hoeveelheid Vervaningen '[ton']]]*Referentie_Materiaal_Totaal[[#This Row],[% Secundair]]</f>
        <v>0</v>
      </c>
      <c r="K239" s="128">
        <f>Referentie_Materiaal_Totaal[[#This Row],[Primair materiaalverbruik '[ton']]]+Referentie_Materiaal_Totaal[[#This Row],[Primair materiaalverbruik Vervangingen '[ton']]]</f>
        <v>119.43750000000001</v>
      </c>
      <c r="L239" s="128">
        <f>Referentie_Materiaal_Totaal[[#This Row],[Secundair materiaalverbruik '[ton']]]+Referentie_Materiaal_Totaal[[#This Row],[Secundair materiaalverbruik Vervangingen '[ton']]]</f>
        <v>0</v>
      </c>
      <c r="M239" s="128">
        <f>Referentie_Materiaal_Totaal[[#This Row],[Totaal Primair Materieelgebruik]]+Referentie_Materiaal_Totaal[[#This Row],[Totaal Secundair Materieelgebruik]]</f>
        <v>119.43750000000001</v>
      </c>
      <c r="N239" s="13"/>
      <c r="O239" s="13"/>
      <c r="P239" s="13"/>
      <c r="Q239" s="13"/>
      <c r="R239" s="13"/>
      <c r="S239" s="13"/>
    </row>
    <row r="240" spans="2:19">
      <c r="B240" s="209" t="str">
        <f>Baseline!B32</f>
        <v>440010 - Aanbrengen straatbakstenen DF, Rood (rijweg)</v>
      </c>
      <c r="C240" s="51" t="str">
        <f>Baseline!F32</f>
        <v>Baksteen</v>
      </c>
      <c r="D240" s="93">
        <f>Baseline!Q32</f>
        <v>454.21249999999998</v>
      </c>
      <c r="E240" s="60">
        <f>_xlfn.IFNA(VLOOKUP(Referentie_Materiaal_Totaal[[#This Row],[Product]]&amp;", "&amp;"Totaal",Database_Productkaarten[#All],64,FALSE),0)</f>
        <v>0</v>
      </c>
      <c r="F240" s="94">
        <f>Referentie_Materiaal_Totaal[[#This Row],[Hoeveelheid '[ton']]]*(1-Referentie_Materiaal_Totaal[[#This Row],[% Secundair]])</f>
        <v>454.21249999999998</v>
      </c>
      <c r="G240" s="94">
        <f>Referentie_Materiaal_Totaal[[#This Row],[Hoeveelheid '[ton']]]*Referentie_Materiaal_Totaal[[#This Row],[% Secundair]]</f>
        <v>0</v>
      </c>
      <c r="H240" s="128">
        <f>Baseline!Q32*Baseline!R32</f>
        <v>0</v>
      </c>
      <c r="I240" s="128">
        <f>Referentie_Materiaal_Totaal[[#This Row],[Hoeveelheid Vervaningen '[ton']]]*(1-Referentie_Materiaal_Totaal[[#This Row],[% Secundair]])</f>
        <v>0</v>
      </c>
      <c r="J240" s="128">
        <f>Referentie_Materiaal_Totaal[[#This Row],[Hoeveelheid Vervaningen '[ton']]]*Referentie_Materiaal_Totaal[[#This Row],[% Secundair]]</f>
        <v>0</v>
      </c>
      <c r="K240" s="128">
        <f>Referentie_Materiaal_Totaal[[#This Row],[Primair materiaalverbruik '[ton']]]+Referentie_Materiaal_Totaal[[#This Row],[Primair materiaalverbruik Vervangingen '[ton']]]</f>
        <v>454.21249999999998</v>
      </c>
      <c r="L240" s="128">
        <f>Referentie_Materiaal_Totaal[[#This Row],[Secundair materiaalverbruik '[ton']]]+Referentie_Materiaal_Totaal[[#This Row],[Secundair materiaalverbruik Vervangingen '[ton']]]</f>
        <v>0</v>
      </c>
      <c r="M240" s="128">
        <f>Referentie_Materiaal_Totaal[[#This Row],[Totaal Primair Materieelgebruik]]+Referentie_Materiaal_Totaal[[#This Row],[Totaal Secundair Materieelgebruik]]</f>
        <v>454.21249999999998</v>
      </c>
      <c r="N240" s="13"/>
      <c r="O240" s="13"/>
      <c r="P240" s="13"/>
      <c r="Q240" s="13"/>
      <c r="R240" s="13"/>
      <c r="S240" s="13"/>
    </row>
    <row r="241" spans="2:19">
      <c r="B241" s="209" t="str">
        <f>Baseline!B33</f>
        <v>440020 - Aanbrengen straatbakstenen DF, Geel (rijweg/ plein)</v>
      </c>
      <c r="C241" s="51" t="str">
        <f>Baseline!F33</f>
        <v>Baksteen</v>
      </c>
      <c r="D241" s="93">
        <f>Baseline!Q33</f>
        <v>672.4375</v>
      </c>
      <c r="E241" s="60">
        <f>_xlfn.IFNA(VLOOKUP(Referentie_Materiaal_Totaal[[#This Row],[Product]]&amp;", "&amp;"Totaal",Database_Productkaarten[#All],64,FALSE),0)</f>
        <v>0</v>
      </c>
      <c r="F241" s="94">
        <f>Referentie_Materiaal_Totaal[[#This Row],[Hoeveelheid '[ton']]]*(1-Referentie_Materiaal_Totaal[[#This Row],[% Secundair]])</f>
        <v>672.4375</v>
      </c>
      <c r="G241" s="94">
        <f>Referentie_Materiaal_Totaal[[#This Row],[Hoeveelheid '[ton']]]*Referentie_Materiaal_Totaal[[#This Row],[% Secundair]]</f>
        <v>0</v>
      </c>
      <c r="H241" s="128">
        <f>Baseline!Q33*Baseline!R33</f>
        <v>0</v>
      </c>
      <c r="I241" s="128">
        <f>Referentie_Materiaal_Totaal[[#This Row],[Hoeveelheid Vervaningen '[ton']]]*(1-Referentie_Materiaal_Totaal[[#This Row],[% Secundair]])</f>
        <v>0</v>
      </c>
      <c r="J241" s="128">
        <f>Referentie_Materiaal_Totaal[[#This Row],[Hoeveelheid Vervaningen '[ton']]]*Referentie_Materiaal_Totaal[[#This Row],[% Secundair]]</f>
        <v>0</v>
      </c>
      <c r="K241" s="128">
        <f>Referentie_Materiaal_Totaal[[#This Row],[Primair materiaalverbruik '[ton']]]+Referentie_Materiaal_Totaal[[#This Row],[Primair materiaalverbruik Vervangingen '[ton']]]</f>
        <v>672.4375</v>
      </c>
      <c r="L241" s="128">
        <f>Referentie_Materiaal_Totaal[[#This Row],[Secundair materiaalverbruik '[ton']]]+Referentie_Materiaal_Totaal[[#This Row],[Secundair materiaalverbruik Vervangingen '[ton']]]</f>
        <v>0</v>
      </c>
      <c r="M241" s="128">
        <f>Referentie_Materiaal_Totaal[[#This Row],[Totaal Primair Materieelgebruik]]+Referentie_Materiaal_Totaal[[#This Row],[Totaal Secundair Materieelgebruik]]</f>
        <v>672.4375</v>
      </c>
      <c r="N241" s="13"/>
      <c r="O241" s="13"/>
      <c r="P241" s="13"/>
      <c r="Q241" s="13"/>
      <c r="R241" s="13"/>
      <c r="S241" s="13"/>
    </row>
    <row r="242" spans="2:19">
      <c r="B242" s="209" t="str">
        <f>Baseline!B34</f>
        <v>440030 - Aanbrengen straatbakstenen DF, Rood (parkeervakken)</v>
      </c>
      <c r="C242" s="51" t="str">
        <f>Baseline!F34</f>
        <v>Baksteen</v>
      </c>
      <c r="D242" s="93">
        <f>Baseline!Q34</f>
        <v>45.3125</v>
      </c>
      <c r="E242" s="60">
        <f>_xlfn.IFNA(VLOOKUP(Referentie_Materiaal_Totaal[[#This Row],[Product]]&amp;", "&amp;"Totaal",Database_Productkaarten[#All],64,FALSE),0)</f>
        <v>0</v>
      </c>
      <c r="F242" s="94">
        <f>Referentie_Materiaal_Totaal[[#This Row],[Hoeveelheid '[ton']]]*(1-Referentie_Materiaal_Totaal[[#This Row],[% Secundair]])</f>
        <v>45.3125</v>
      </c>
      <c r="G242" s="94">
        <f>Referentie_Materiaal_Totaal[[#This Row],[Hoeveelheid '[ton']]]*Referentie_Materiaal_Totaal[[#This Row],[% Secundair]]</f>
        <v>0</v>
      </c>
      <c r="H242" s="128">
        <f>Baseline!Q34*Baseline!R34</f>
        <v>0</v>
      </c>
      <c r="I242" s="128">
        <f>Referentie_Materiaal_Totaal[[#This Row],[Hoeveelheid Vervaningen '[ton']]]*(1-Referentie_Materiaal_Totaal[[#This Row],[% Secundair]])</f>
        <v>0</v>
      </c>
      <c r="J242" s="128">
        <f>Referentie_Materiaal_Totaal[[#This Row],[Hoeveelheid Vervaningen '[ton']]]*Referentie_Materiaal_Totaal[[#This Row],[% Secundair]]</f>
        <v>0</v>
      </c>
      <c r="K242" s="128">
        <f>Referentie_Materiaal_Totaal[[#This Row],[Primair materiaalverbruik '[ton']]]+Referentie_Materiaal_Totaal[[#This Row],[Primair materiaalverbruik Vervangingen '[ton']]]</f>
        <v>45.3125</v>
      </c>
      <c r="L242" s="128">
        <f>Referentie_Materiaal_Totaal[[#This Row],[Secundair materiaalverbruik '[ton']]]+Referentie_Materiaal_Totaal[[#This Row],[Secundair materiaalverbruik Vervangingen '[ton']]]</f>
        <v>0</v>
      </c>
      <c r="M242" s="128">
        <f>Referentie_Materiaal_Totaal[[#This Row],[Totaal Primair Materieelgebruik]]+Referentie_Materiaal_Totaal[[#This Row],[Totaal Secundair Materieelgebruik]]</f>
        <v>45.3125</v>
      </c>
      <c r="N242" s="13"/>
      <c r="O242" s="13"/>
      <c r="P242" s="13"/>
      <c r="Q242" s="13"/>
      <c r="R242" s="13"/>
      <c r="S242" s="13"/>
    </row>
    <row r="243" spans="2:19">
      <c r="B243" s="209" t="str">
        <f>Baseline!B35</f>
        <v>440040 - Aanbrengen straatbakstenen DF, Geel (parkeervakken)</v>
      </c>
      <c r="C243" s="51" t="str">
        <f>Baseline!F35</f>
        <v>Baksteen</v>
      </c>
      <c r="D243" s="93">
        <f>Baseline!Q35</f>
        <v>51.474999999999994</v>
      </c>
      <c r="E243" s="60">
        <f>_xlfn.IFNA(VLOOKUP(Referentie_Materiaal_Totaal[[#This Row],[Product]]&amp;", "&amp;"Totaal",Database_Productkaarten[#All],64,FALSE),0)</f>
        <v>0</v>
      </c>
      <c r="F243" s="94">
        <f>Referentie_Materiaal_Totaal[[#This Row],[Hoeveelheid '[ton']]]*(1-Referentie_Materiaal_Totaal[[#This Row],[% Secundair]])</f>
        <v>51.474999999999994</v>
      </c>
      <c r="G243" s="94">
        <f>Referentie_Materiaal_Totaal[[#This Row],[Hoeveelheid '[ton']]]*Referentie_Materiaal_Totaal[[#This Row],[% Secundair]]</f>
        <v>0</v>
      </c>
      <c r="H243" s="128">
        <f>Baseline!Q35*Baseline!R35</f>
        <v>0</v>
      </c>
      <c r="I243" s="128">
        <f>Referentie_Materiaal_Totaal[[#This Row],[Hoeveelheid Vervaningen '[ton']]]*(1-Referentie_Materiaal_Totaal[[#This Row],[% Secundair]])</f>
        <v>0</v>
      </c>
      <c r="J243" s="128">
        <f>Referentie_Materiaal_Totaal[[#This Row],[Hoeveelheid Vervaningen '[ton']]]*Referentie_Materiaal_Totaal[[#This Row],[% Secundair]]</f>
        <v>0</v>
      </c>
      <c r="K243" s="128">
        <f>Referentie_Materiaal_Totaal[[#This Row],[Primair materiaalverbruik '[ton']]]+Referentie_Materiaal_Totaal[[#This Row],[Primair materiaalverbruik Vervangingen '[ton']]]</f>
        <v>51.474999999999994</v>
      </c>
      <c r="L243" s="128">
        <f>Referentie_Materiaal_Totaal[[#This Row],[Secundair materiaalverbruik '[ton']]]+Referentie_Materiaal_Totaal[[#This Row],[Secundair materiaalverbruik Vervangingen '[ton']]]</f>
        <v>0</v>
      </c>
      <c r="M243" s="128">
        <f>Referentie_Materiaal_Totaal[[#This Row],[Totaal Primair Materieelgebruik]]+Referentie_Materiaal_Totaal[[#This Row],[Totaal Secundair Materieelgebruik]]</f>
        <v>51.474999999999994</v>
      </c>
      <c r="N243" s="13"/>
      <c r="O243" s="13"/>
      <c r="P243" s="13"/>
      <c r="Q243" s="13"/>
      <c r="R243" s="13"/>
      <c r="S243" s="13"/>
    </row>
    <row r="244" spans="2:19">
      <c r="B244" s="209" t="str">
        <f>Baseline!B36</f>
        <v>440050 - Leveren en aanbrengen open (grasbeton) verharding (parkeerplaats)</v>
      </c>
      <c r="C244" s="51" t="str">
        <f>Baseline!F36</f>
        <v>Grasbetontegel CEM I 120 mm</v>
      </c>
      <c r="D244" s="93">
        <f>Baseline!Q36</f>
        <v>194.53049999999999</v>
      </c>
      <c r="E244" s="60">
        <f>_xlfn.IFNA(VLOOKUP(Referentie_Materiaal_Totaal[[#This Row],[Product]]&amp;", "&amp;"Totaal",Database_Productkaarten[#All],64,FALSE),0)</f>
        <v>0</v>
      </c>
      <c r="F244" s="94">
        <f>Referentie_Materiaal_Totaal[[#This Row],[Hoeveelheid '[ton']]]*(1-Referentie_Materiaal_Totaal[[#This Row],[% Secundair]])</f>
        <v>194.53049999999999</v>
      </c>
      <c r="G244" s="94">
        <f>Referentie_Materiaal_Totaal[[#This Row],[Hoeveelheid '[ton']]]*Referentie_Materiaal_Totaal[[#This Row],[% Secundair]]</f>
        <v>0</v>
      </c>
      <c r="H244" s="128">
        <f>Baseline!Q36*Baseline!R36</f>
        <v>0</v>
      </c>
      <c r="I244" s="128">
        <f>Referentie_Materiaal_Totaal[[#This Row],[Hoeveelheid Vervaningen '[ton']]]*(1-Referentie_Materiaal_Totaal[[#This Row],[% Secundair]])</f>
        <v>0</v>
      </c>
      <c r="J244" s="128">
        <f>Referentie_Materiaal_Totaal[[#This Row],[Hoeveelheid Vervaningen '[ton']]]*Referentie_Materiaal_Totaal[[#This Row],[% Secundair]]</f>
        <v>0</v>
      </c>
      <c r="K244" s="128">
        <f>Referentie_Materiaal_Totaal[[#This Row],[Primair materiaalverbruik '[ton']]]+Referentie_Materiaal_Totaal[[#This Row],[Primair materiaalverbruik Vervangingen '[ton']]]</f>
        <v>194.53049999999999</v>
      </c>
      <c r="L244" s="128">
        <f>Referentie_Materiaal_Totaal[[#This Row],[Secundair materiaalverbruik '[ton']]]+Referentie_Materiaal_Totaal[[#This Row],[Secundair materiaalverbruik Vervangingen '[ton']]]</f>
        <v>0</v>
      </c>
      <c r="M244" s="128">
        <f>Referentie_Materiaal_Totaal[[#This Row],[Totaal Primair Materieelgebruik]]+Referentie_Materiaal_Totaal[[#This Row],[Totaal Secundair Materieelgebruik]]</f>
        <v>194.53049999999999</v>
      </c>
      <c r="N244" s="13"/>
      <c r="O244" s="13"/>
      <c r="P244" s="13"/>
      <c r="Q244" s="13"/>
      <c r="R244" s="13"/>
      <c r="S244" s="13"/>
    </row>
    <row r="245" spans="2:19">
      <c r="B245" s="209" t="str">
        <f>Baseline!B37</f>
        <v>440060 - Aanbrengen straatbakstenen DF, Rood (trottoir)</v>
      </c>
      <c r="C245" s="51" t="str">
        <f>Baseline!F37</f>
        <v>Baksteen</v>
      </c>
      <c r="D245" s="93">
        <f>Baseline!Q37</f>
        <v>318.27499999999998</v>
      </c>
      <c r="E245" s="60">
        <f>_xlfn.IFNA(VLOOKUP(Referentie_Materiaal_Totaal[[#This Row],[Product]]&amp;", "&amp;"Totaal",Database_Productkaarten[#All],64,FALSE),0)</f>
        <v>0</v>
      </c>
      <c r="F245" s="94">
        <f>Referentie_Materiaal_Totaal[[#This Row],[Hoeveelheid '[ton']]]*(1-Referentie_Materiaal_Totaal[[#This Row],[% Secundair]])</f>
        <v>318.27499999999998</v>
      </c>
      <c r="G245" s="94">
        <f>Referentie_Materiaal_Totaal[[#This Row],[Hoeveelheid '[ton']]]*Referentie_Materiaal_Totaal[[#This Row],[% Secundair]]</f>
        <v>0</v>
      </c>
      <c r="H245" s="128">
        <f>Baseline!Q37*Baseline!R37</f>
        <v>0</v>
      </c>
      <c r="I245" s="128">
        <f>Referentie_Materiaal_Totaal[[#This Row],[Hoeveelheid Vervaningen '[ton']]]*(1-Referentie_Materiaal_Totaal[[#This Row],[% Secundair]])</f>
        <v>0</v>
      </c>
      <c r="J245" s="128">
        <f>Referentie_Materiaal_Totaal[[#This Row],[Hoeveelheid Vervaningen '[ton']]]*Referentie_Materiaal_Totaal[[#This Row],[% Secundair]]</f>
        <v>0</v>
      </c>
      <c r="K245" s="128">
        <f>Referentie_Materiaal_Totaal[[#This Row],[Primair materiaalverbruik '[ton']]]+Referentie_Materiaal_Totaal[[#This Row],[Primair materiaalverbruik Vervangingen '[ton']]]</f>
        <v>318.27499999999998</v>
      </c>
      <c r="L245" s="128">
        <f>Referentie_Materiaal_Totaal[[#This Row],[Secundair materiaalverbruik '[ton']]]+Referentie_Materiaal_Totaal[[#This Row],[Secundair materiaalverbruik Vervangingen '[ton']]]</f>
        <v>0</v>
      </c>
      <c r="M245" s="128">
        <f>Referentie_Materiaal_Totaal[[#This Row],[Totaal Primair Materieelgebruik]]+Referentie_Materiaal_Totaal[[#This Row],[Totaal Secundair Materieelgebruik]]</f>
        <v>318.27499999999998</v>
      </c>
      <c r="N245" s="13"/>
      <c r="O245" s="13"/>
      <c r="P245" s="13"/>
      <c r="Q245" s="13"/>
      <c r="R245" s="13"/>
      <c r="S245" s="13"/>
    </row>
    <row r="246" spans="2:19">
      <c r="B246" s="209" t="str">
        <f>Baseline!B38</f>
        <v>440070 - Aanbrengen straatbakstenen DF, Geel (trottoir)</v>
      </c>
      <c r="C246" s="51" t="str">
        <f>Baseline!F38</f>
        <v>Baksteen</v>
      </c>
      <c r="D246" s="93">
        <f>Baseline!Q38</f>
        <v>83.375</v>
      </c>
      <c r="E246" s="60">
        <f>_xlfn.IFNA(VLOOKUP(Referentie_Materiaal_Totaal[[#This Row],[Product]]&amp;", "&amp;"Totaal",Database_Productkaarten[#All],64,FALSE),0)</f>
        <v>0</v>
      </c>
      <c r="F246" s="94">
        <f>Referentie_Materiaal_Totaal[[#This Row],[Hoeveelheid '[ton']]]*(1-Referentie_Materiaal_Totaal[[#This Row],[% Secundair]])</f>
        <v>83.375</v>
      </c>
      <c r="G246" s="94">
        <f>Referentie_Materiaal_Totaal[[#This Row],[Hoeveelheid '[ton']]]*Referentie_Materiaal_Totaal[[#This Row],[% Secundair]]</f>
        <v>0</v>
      </c>
      <c r="H246" s="128">
        <f>Baseline!Q38*Baseline!R38</f>
        <v>0</v>
      </c>
      <c r="I246" s="128">
        <f>Referentie_Materiaal_Totaal[[#This Row],[Hoeveelheid Vervaningen '[ton']]]*(1-Referentie_Materiaal_Totaal[[#This Row],[% Secundair]])</f>
        <v>0</v>
      </c>
      <c r="J246" s="128">
        <f>Referentie_Materiaal_Totaal[[#This Row],[Hoeveelheid Vervaningen '[ton']]]*Referentie_Materiaal_Totaal[[#This Row],[% Secundair]]</f>
        <v>0</v>
      </c>
      <c r="K246" s="128">
        <f>Referentie_Materiaal_Totaal[[#This Row],[Primair materiaalverbruik '[ton']]]+Referentie_Materiaal_Totaal[[#This Row],[Primair materiaalverbruik Vervangingen '[ton']]]</f>
        <v>83.375</v>
      </c>
      <c r="L246" s="128">
        <f>Referentie_Materiaal_Totaal[[#This Row],[Secundair materiaalverbruik '[ton']]]+Referentie_Materiaal_Totaal[[#This Row],[Secundair materiaalverbruik Vervangingen '[ton']]]</f>
        <v>0</v>
      </c>
      <c r="M246" s="128">
        <f>Referentie_Materiaal_Totaal[[#This Row],[Totaal Primair Materieelgebruik]]+Referentie_Materiaal_Totaal[[#This Row],[Totaal Secundair Materieelgebruik]]</f>
        <v>83.375</v>
      </c>
      <c r="N246" s="13"/>
      <c r="O246" s="13"/>
      <c r="P246" s="13"/>
      <c r="Q246" s="13"/>
      <c r="R246" s="13"/>
      <c r="S246" s="13"/>
    </row>
    <row r="247" spans="2:19">
      <c r="B247" s="209" t="str">
        <f>Baseline!B39</f>
        <v>440090 - Aanbrengen straatbakstenen DF, Rood (drempelopgang)</v>
      </c>
      <c r="C247" s="51" t="str">
        <f>Baseline!F39</f>
        <v>Baksteen</v>
      </c>
      <c r="D247" s="93">
        <f>Baseline!Q39</f>
        <v>16.3125</v>
      </c>
      <c r="E247" s="60">
        <f>_xlfn.IFNA(VLOOKUP(Referentie_Materiaal_Totaal[[#This Row],[Product]]&amp;", "&amp;"Totaal",Database_Productkaarten[#All],64,FALSE),0)</f>
        <v>0</v>
      </c>
      <c r="F247" s="94">
        <f>Referentie_Materiaal_Totaal[[#This Row],[Hoeveelheid '[ton']]]*(1-Referentie_Materiaal_Totaal[[#This Row],[% Secundair]])</f>
        <v>16.3125</v>
      </c>
      <c r="G247" s="94">
        <f>Referentie_Materiaal_Totaal[[#This Row],[Hoeveelheid '[ton']]]*Referentie_Materiaal_Totaal[[#This Row],[% Secundair]]</f>
        <v>0</v>
      </c>
      <c r="H247" s="128">
        <f>Baseline!Q39*Baseline!R39</f>
        <v>0</v>
      </c>
      <c r="I247" s="128">
        <f>Referentie_Materiaal_Totaal[[#This Row],[Hoeveelheid Vervaningen '[ton']]]*(1-Referentie_Materiaal_Totaal[[#This Row],[% Secundair]])</f>
        <v>0</v>
      </c>
      <c r="J247" s="128">
        <f>Referentie_Materiaal_Totaal[[#This Row],[Hoeveelheid Vervaningen '[ton']]]*Referentie_Materiaal_Totaal[[#This Row],[% Secundair]]</f>
        <v>0</v>
      </c>
      <c r="K247" s="128">
        <f>Referentie_Materiaal_Totaal[[#This Row],[Primair materiaalverbruik '[ton']]]+Referentie_Materiaal_Totaal[[#This Row],[Primair materiaalverbruik Vervangingen '[ton']]]</f>
        <v>16.3125</v>
      </c>
      <c r="L247" s="128">
        <f>Referentie_Materiaal_Totaal[[#This Row],[Secundair materiaalverbruik '[ton']]]+Referentie_Materiaal_Totaal[[#This Row],[Secundair materiaalverbruik Vervangingen '[ton']]]</f>
        <v>0</v>
      </c>
      <c r="M247" s="128">
        <f>Referentie_Materiaal_Totaal[[#This Row],[Totaal Primair Materieelgebruik]]+Referentie_Materiaal_Totaal[[#This Row],[Totaal Secundair Materieelgebruik]]</f>
        <v>16.3125</v>
      </c>
      <c r="N247" s="13"/>
      <c r="O247" s="13"/>
      <c r="P247" s="13"/>
      <c r="Q247" s="13"/>
      <c r="R247" s="13"/>
      <c r="S247" s="13"/>
    </row>
    <row r="248" spans="2:19">
      <c r="B248" s="209">
        <f>Baseline!B40</f>
        <v>0</v>
      </c>
      <c r="C248" s="51">
        <f>Baseline!F40</f>
        <v>0</v>
      </c>
      <c r="D248" s="93">
        <f>Baseline!Q40</f>
        <v>0</v>
      </c>
      <c r="E248" s="60">
        <f>_xlfn.IFNA(VLOOKUP(Referentie_Materiaal_Totaal[[#This Row],[Product]]&amp;", "&amp;"Totaal",Database_Productkaarten[#All],64,FALSE),0)</f>
        <v>0</v>
      </c>
      <c r="F248" s="94">
        <f>Referentie_Materiaal_Totaal[[#This Row],[Hoeveelheid '[ton']]]*(1-Referentie_Materiaal_Totaal[[#This Row],[% Secundair]])</f>
        <v>0</v>
      </c>
      <c r="G248" s="94">
        <f>Referentie_Materiaal_Totaal[[#This Row],[Hoeveelheid '[ton']]]*Referentie_Materiaal_Totaal[[#This Row],[% Secundair]]</f>
        <v>0</v>
      </c>
      <c r="H248" s="128">
        <f>Baseline!Q40*Baseline!R40</f>
        <v>0</v>
      </c>
      <c r="I248" s="128">
        <f>Referentie_Materiaal_Totaal[[#This Row],[Hoeveelheid Vervaningen '[ton']]]*(1-Referentie_Materiaal_Totaal[[#This Row],[% Secundair]])</f>
        <v>0</v>
      </c>
      <c r="J248" s="128">
        <f>Referentie_Materiaal_Totaal[[#This Row],[Hoeveelheid Vervaningen '[ton']]]*Referentie_Materiaal_Totaal[[#This Row],[% Secundair]]</f>
        <v>0</v>
      </c>
      <c r="K248" s="128">
        <f>Referentie_Materiaal_Totaal[[#This Row],[Primair materiaalverbruik '[ton']]]+Referentie_Materiaal_Totaal[[#This Row],[Primair materiaalverbruik Vervangingen '[ton']]]</f>
        <v>0</v>
      </c>
      <c r="L248" s="128">
        <f>Referentie_Materiaal_Totaal[[#This Row],[Secundair materiaalverbruik '[ton']]]+Referentie_Materiaal_Totaal[[#This Row],[Secundair materiaalverbruik Vervangingen '[ton']]]</f>
        <v>0</v>
      </c>
      <c r="M248" s="128">
        <f>Referentie_Materiaal_Totaal[[#This Row],[Totaal Primair Materieelgebruik]]+Referentie_Materiaal_Totaal[[#This Row],[Totaal Secundair Materieelgebruik]]</f>
        <v>0</v>
      </c>
      <c r="N248" s="13"/>
      <c r="O248" s="13"/>
      <c r="P248" s="13"/>
      <c r="Q248" s="13"/>
      <c r="R248" s="13"/>
      <c r="S248" s="13"/>
    </row>
    <row r="249" spans="2:19">
      <c r="B249" s="209">
        <f>Baseline!B41</f>
        <v>0</v>
      </c>
      <c r="C249" s="51">
        <f>Baseline!F41</f>
        <v>0</v>
      </c>
      <c r="D249" s="93">
        <f>Baseline!Q41</f>
        <v>0</v>
      </c>
      <c r="E249" s="60">
        <f>_xlfn.IFNA(VLOOKUP(Referentie_Materiaal_Totaal[[#This Row],[Product]]&amp;", "&amp;"Totaal",Database_Productkaarten[#All],64,FALSE),0)</f>
        <v>0</v>
      </c>
      <c r="F249" s="94">
        <f>Referentie_Materiaal_Totaal[[#This Row],[Hoeveelheid '[ton']]]*(1-Referentie_Materiaal_Totaal[[#This Row],[% Secundair]])</f>
        <v>0</v>
      </c>
      <c r="G249" s="94">
        <f>Referentie_Materiaal_Totaal[[#This Row],[Hoeveelheid '[ton']]]*Referentie_Materiaal_Totaal[[#This Row],[% Secundair]]</f>
        <v>0</v>
      </c>
      <c r="H249" s="128">
        <f>Baseline!Q41*Baseline!R41</f>
        <v>0</v>
      </c>
      <c r="I249" s="128">
        <f>Referentie_Materiaal_Totaal[[#This Row],[Hoeveelheid Vervaningen '[ton']]]*(1-Referentie_Materiaal_Totaal[[#This Row],[% Secundair]])</f>
        <v>0</v>
      </c>
      <c r="J249" s="128">
        <f>Referentie_Materiaal_Totaal[[#This Row],[Hoeveelheid Vervaningen '[ton']]]*Referentie_Materiaal_Totaal[[#This Row],[% Secundair]]</f>
        <v>0</v>
      </c>
      <c r="K249" s="128">
        <f>Referentie_Materiaal_Totaal[[#This Row],[Primair materiaalverbruik '[ton']]]+Referentie_Materiaal_Totaal[[#This Row],[Primair materiaalverbruik Vervangingen '[ton']]]</f>
        <v>0</v>
      </c>
      <c r="L249" s="128">
        <f>Referentie_Materiaal_Totaal[[#This Row],[Secundair materiaalverbruik '[ton']]]+Referentie_Materiaal_Totaal[[#This Row],[Secundair materiaalverbruik Vervangingen '[ton']]]</f>
        <v>0</v>
      </c>
      <c r="M249" s="128">
        <f>Referentie_Materiaal_Totaal[[#This Row],[Totaal Primair Materieelgebruik]]+Referentie_Materiaal_Totaal[[#This Row],[Totaal Secundair Materieelgebruik]]</f>
        <v>0</v>
      </c>
      <c r="N249" s="13"/>
      <c r="O249" s="13"/>
      <c r="P249" s="13"/>
      <c r="Q249" s="13"/>
      <c r="R249" s="13"/>
      <c r="S249" s="13"/>
    </row>
    <row r="250" spans="2:19">
      <c r="B250" s="209">
        <f>Baseline!B42</f>
        <v>0</v>
      </c>
      <c r="C250" s="51">
        <f>Baseline!F42</f>
        <v>0</v>
      </c>
      <c r="D250" s="93">
        <f>Baseline!Q42</f>
        <v>0</v>
      </c>
      <c r="E250" s="60">
        <f>_xlfn.IFNA(VLOOKUP(Referentie_Materiaal_Totaal[[#This Row],[Product]]&amp;", "&amp;"Totaal",Database_Productkaarten[#All],64,FALSE),0)</f>
        <v>0</v>
      </c>
      <c r="F250" s="94">
        <f>Referentie_Materiaal_Totaal[[#This Row],[Hoeveelheid '[ton']]]*(1-Referentie_Materiaal_Totaal[[#This Row],[% Secundair]])</f>
        <v>0</v>
      </c>
      <c r="G250" s="94">
        <f>Referentie_Materiaal_Totaal[[#This Row],[Hoeveelheid '[ton']]]*Referentie_Materiaal_Totaal[[#This Row],[% Secundair]]</f>
        <v>0</v>
      </c>
      <c r="H250" s="128">
        <f>Baseline!Q42*Baseline!R42</f>
        <v>0</v>
      </c>
      <c r="I250" s="128">
        <f>Referentie_Materiaal_Totaal[[#This Row],[Hoeveelheid Vervaningen '[ton']]]*(1-Referentie_Materiaal_Totaal[[#This Row],[% Secundair]])</f>
        <v>0</v>
      </c>
      <c r="J250" s="128">
        <f>Referentie_Materiaal_Totaal[[#This Row],[Hoeveelheid Vervaningen '[ton']]]*Referentie_Materiaal_Totaal[[#This Row],[% Secundair]]</f>
        <v>0</v>
      </c>
      <c r="K250" s="128">
        <f>Referentie_Materiaal_Totaal[[#This Row],[Primair materiaalverbruik '[ton']]]+Referentie_Materiaal_Totaal[[#This Row],[Primair materiaalverbruik Vervangingen '[ton']]]</f>
        <v>0</v>
      </c>
      <c r="L250" s="128">
        <f>Referentie_Materiaal_Totaal[[#This Row],[Secundair materiaalverbruik '[ton']]]+Referentie_Materiaal_Totaal[[#This Row],[Secundair materiaalverbruik Vervangingen '[ton']]]</f>
        <v>0</v>
      </c>
      <c r="M250" s="128">
        <f>Referentie_Materiaal_Totaal[[#This Row],[Totaal Primair Materieelgebruik]]+Referentie_Materiaal_Totaal[[#This Row],[Totaal Secundair Materieelgebruik]]</f>
        <v>0</v>
      </c>
      <c r="N250" s="13"/>
      <c r="O250" s="13"/>
      <c r="P250" s="13"/>
      <c r="Q250" s="13"/>
      <c r="R250" s="13"/>
      <c r="S250" s="13"/>
    </row>
    <row r="251" spans="2:19">
      <c r="B251" s="209">
        <f>Baseline!B43</f>
        <v>0</v>
      </c>
      <c r="C251" s="51">
        <f>Baseline!F43</f>
        <v>0</v>
      </c>
      <c r="D251" s="93">
        <f>Baseline!Q43</f>
        <v>0</v>
      </c>
      <c r="E251" s="60">
        <f>_xlfn.IFNA(VLOOKUP(Referentie_Materiaal_Totaal[[#This Row],[Product]]&amp;", "&amp;"Totaal",Database_Productkaarten[#All],64,FALSE),0)</f>
        <v>0</v>
      </c>
      <c r="F251" s="94">
        <f>Referentie_Materiaal_Totaal[[#This Row],[Hoeveelheid '[ton']]]*(1-Referentie_Materiaal_Totaal[[#This Row],[% Secundair]])</f>
        <v>0</v>
      </c>
      <c r="G251" s="94">
        <f>Referentie_Materiaal_Totaal[[#This Row],[Hoeveelheid '[ton']]]*Referentie_Materiaal_Totaal[[#This Row],[% Secundair]]</f>
        <v>0</v>
      </c>
      <c r="H251" s="128">
        <f>Baseline!Q43*Baseline!R43</f>
        <v>0</v>
      </c>
      <c r="I251" s="128">
        <f>Referentie_Materiaal_Totaal[[#This Row],[Hoeveelheid Vervaningen '[ton']]]*(1-Referentie_Materiaal_Totaal[[#This Row],[% Secundair]])</f>
        <v>0</v>
      </c>
      <c r="J251" s="128">
        <f>Referentie_Materiaal_Totaal[[#This Row],[Hoeveelheid Vervaningen '[ton']]]*Referentie_Materiaal_Totaal[[#This Row],[% Secundair]]</f>
        <v>0</v>
      </c>
      <c r="K251" s="128">
        <f>Referentie_Materiaal_Totaal[[#This Row],[Primair materiaalverbruik '[ton']]]+Referentie_Materiaal_Totaal[[#This Row],[Primair materiaalverbruik Vervangingen '[ton']]]</f>
        <v>0</v>
      </c>
      <c r="L251" s="128">
        <f>Referentie_Materiaal_Totaal[[#This Row],[Secundair materiaalverbruik '[ton']]]+Referentie_Materiaal_Totaal[[#This Row],[Secundair materiaalverbruik Vervangingen '[ton']]]</f>
        <v>0</v>
      </c>
      <c r="M251" s="128">
        <f>Referentie_Materiaal_Totaal[[#This Row],[Totaal Primair Materieelgebruik]]+Referentie_Materiaal_Totaal[[#This Row],[Totaal Secundair Materieelgebruik]]</f>
        <v>0</v>
      </c>
      <c r="N251" s="13"/>
      <c r="O251" s="13"/>
      <c r="P251" s="13"/>
      <c r="Q251" s="13"/>
      <c r="R251" s="13"/>
      <c r="S251" s="13"/>
    </row>
    <row r="252" spans="2:19">
      <c r="B252" s="209">
        <f>Baseline!B44</f>
        <v>0</v>
      </c>
      <c r="C252" s="51">
        <f>Baseline!F44</f>
        <v>0</v>
      </c>
      <c r="D252" s="93">
        <f>Baseline!Q44</f>
        <v>0</v>
      </c>
      <c r="E252" s="60">
        <f>_xlfn.IFNA(VLOOKUP(Referentie_Materiaal_Totaal[[#This Row],[Product]]&amp;", "&amp;"Totaal",Database_Productkaarten[#All],64,FALSE),0)</f>
        <v>0</v>
      </c>
      <c r="F252" s="94">
        <f>Referentie_Materiaal_Totaal[[#This Row],[Hoeveelheid '[ton']]]*(1-Referentie_Materiaal_Totaal[[#This Row],[% Secundair]])</f>
        <v>0</v>
      </c>
      <c r="G252" s="94">
        <f>Referentie_Materiaal_Totaal[[#This Row],[Hoeveelheid '[ton']]]*Referentie_Materiaal_Totaal[[#This Row],[% Secundair]]</f>
        <v>0</v>
      </c>
      <c r="H252" s="128">
        <f>Baseline!Q44*Baseline!R44</f>
        <v>0</v>
      </c>
      <c r="I252" s="128">
        <f>Referentie_Materiaal_Totaal[[#This Row],[Hoeveelheid Vervaningen '[ton']]]*(1-Referentie_Materiaal_Totaal[[#This Row],[% Secundair]])</f>
        <v>0</v>
      </c>
      <c r="J252" s="128">
        <f>Referentie_Materiaal_Totaal[[#This Row],[Hoeveelheid Vervaningen '[ton']]]*Referentie_Materiaal_Totaal[[#This Row],[% Secundair]]</f>
        <v>0</v>
      </c>
      <c r="K252" s="128">
        <f>Referentie_Materiaal_Totaal[[#This Row],[Primair materiaalverbruik '[ton']]]+Referentie_Materiaal_Totaal[[#This Row],[Primair materiaalverbruik Vervangingen '[ton']]]</f>
        <v>0</v>
      </c>
      <c r="L252" s="128">
        <f>Referentie_Materiaal_Totaal[[#This Row],[Secundair materiaalverbruik '[ton']]]+Referentie_Materiaal_Totaal[[#This Row],[Secundair materiaalverbruik Vervangingen '[ton']]]</f>
        <v>0</v>
      </c>
      <c r="M252" s="128">
        <f>Referentie_Materiaal_Totaal[[#This Row],[Totaal Primair Materieelgebruik]]+Referentie_Materiaal_Totaal[[#This Row],[Totaal Secundair Materieelgebruik]]</f>
        <v>0</v>
      </c>
      <c r="N252" s="13"/>
      <c r="O252" s="13"/>
      <c r="P252" s="13"/>
      <c r="Q252" s="13"/>
      <c r="R252" s="13"/>
      <c r="S252" s="13"/>
    </row>
    <row r="253" spans="2:19">
      <c r="B253" s="209">
        <f>Baseline!B45</f>
        <v>0</v>
      </c>
      <c r="C253" s="51">
        <f>Baseline!F45</f>
        <v>0</v>
      </c>
      <c r="D253" s="93">
        <f>Baseline!Q45</f>
        <v>0</v>
      </c>
      <c r="E253" s="60">
        <f>_xlfn.IFNA(VLOOKUP(Referentie_Materiaal_Totaal[[#This Row],[Product]]&amp;", "&amp;"Totaal",Database_Productkaarten[#All],64,FALSE),0)</f>
        <v>0</v>
      </c>
      <c r="F253" s="94">
        <f>Referentie_Materiaal_Totaal[[#This Row],[Hoeveelheid '[ton']]]*(1-Referentie_Materiaal_Totaal[[#This Row],[% Secundair]])</f>
        <v>0</v>
      </c>
      <c r="G253" s="94">
        <f>Referentie_Materiaal_Totaal[[#This Row],[Hoeveelheid '[ton']]]*Referentie_Materiaal_Totaal[[#This Row],[% Secundair]]</f>
        <v>0</v>
      </c>
      <c r="H253" s="128">
        <f>Baseline!Q45*Baseline!R45</f>
        <v>0</v>
      </c>
      <c r="I253" s="128">
        <f>Referentie_Materiaal_Totaal[[#This Row],[Hoeveelheid Vervaningen '[ton']]]*(1-Referentie_Materiaal_Totaal[[#This Row],[% Secundair]])</f>
        <v>0</v>
      </c>
      <c r="J253" s="128">
        <f>Referentie_Materiaal_Totaal[[#This Row],[Hoeveelheid Vervaningen '[ton']]]*Referentie_Materiaal_Totaal[[#This Row],[% Secundair]]</f>
        <v>0</v>
      </c>
      <c r="K253" s="128">
        <f>Referentie_Materiaal_Totaal[[#This Row],[Primair materiaalverbruik '[ton']]]+Referentie_Materiaal_Totaal[[#This Row],[Primair materiaalverbruik Vervangingen '[ton']]]</f>
        <v>0</v>
      </c>
      <c r="L253" s="128">
        <f>Referentie_Materiaal_Totaal[[#This Row],[Secundair materiaalverbruik '[ton']]]+Referentie_Materiaal_Totaal[[#This Row],[Secundair materiaalverbruik Vervangingen '[ton']]]</f>
        <v>0</v>
      </c>
      <c r="M253" s="128">
        <f>Referentie_Materiaal_Totaal[[#This Row],[Totaal Primair Materieelgebruik]]+Referentie_Materiaal_Totaal[[#This Row],[Totaal Secundair Materieelgebruik]]</f>
        <v>0</v>
      </c>
      <c r="N253" s="13"/>
      <c r="O253" s="13"/>
      <c r="P253" s="13"/>
      <c r="Q253" s="13"/>
      <c r="R253" s="13"/>
      <c r="S253" s="13"/>
    </row>
    <row r="254" spans="2:19">
      <c r="B254" s="209">
        <f>Baseline!B46</f>
        <v>0</v>
      </c>
      <c r="C254" s="51">
        <f>Baseline!F46</f>
        <v>0</v>
      </c>
      <c r="D254" s="93">
        <f>Baseline!Q46</f>
        <v>0</v>
      </c>
      <c r="E254" s="60">
        <f>_xlfn.IFNA(VLOOKUP(Referentie_Materiaal_Totaal[[#This Row],[Product]]&amp;", "&amp;"Totaal",Database_Productkaarten[#All],64,FALSE),0)</f>
        <v>0</v>
      </c>
      <c r="F254" s="94">
        <f>Referentie_Materiaal_Totaal[[#This Row],[Hoeveelheid '[ton']]]*(1-Referentie_Materiaal_Totaal[[#This Row],[% Secundair]])</f>
        <v>0</v>
      </c>
      <c r="G254" s="94">
        <f>Referentie_Materiaal_Totaal[[#This Row],[Hoeveelheid '[ton']]]*Referentie_Materiaal_Totaal[[#This Row],[% Secundair]]</f>
        <v>0</v>
      </c>
      <c r="H254" s="128">
        <f>Baseline!Q46*Baseline!R46</f>
        <v>0</v>
      </c>
      <c r="I254" s="128">
        <f>Referentie_Materiaal_Totaal[[#This Row],[Hoeveelheid Vervaningen '[ton']]]*(1-Referentie_Materiaal_Totaal[[#This Row],[% Secundair]])</f>
        <v>0</v>
      </c>
      <c r="J254" s="128">
        <f>Referentie_Materiaal_Totaal[[#This Row],[Hoeveelheid Vervaningen '[ton']]]*Referentie_Materiaal_Totaal[[#This Row],[% Secundair]]</f>
        <v>0</v>
      </c>
      <c r="K254" s="128">
        <f>Referentie_Materiaal_Totaal[[#This Row],[Primair materiaalverbruik '[ton']]]+Referentie_Materiaal_Totaal[[#This Row],[Primair materiaalverbruik Vervangingen '[ton']]]</f>
        <v>0</v>
      </c>
      <c r="L254" s="128">
        <f>Referentie_Materiaal_Totaal[[#This Row],[Secundair materiaalverbruik '[ton']]]+Referentie_Materiaal_Totaal[[#This Row],[Secundair materiaalverbruik Vervangingen '[ton']]]</f>
        <v>0</v>
      </c>
      <c r="M254" s="128">
        <f>Referentie_Materiaal_Totaal[[#This Row],[Totaal Primair Materieelgebruik]]+Referentie_Materiaal_Totaal[[#This Row],[Totaal Secundair Materieelgebruik]]</f>
        <v>0</v>
      </c>
      <c r="N254" s="13"/>
      <c r="O254" s="13"/>
      <c r="P254" s="13"/>
      <c r="Q254" s="13"/>
      <c r="R254" s="13"/>
      <c r="S254" s="13"/>
    </row>
    <row r="255" spans="2:19">
      <c r="B255" s="209">
        <f>Baseline!B47</f>
        <v>0</v>
      </c>
      <c r="C255" s="51">
        <f>Baseline!F47</f>
        <v>0</v>
      </c>
      <c r="D255" s="93">
        <f>Baseline!Q47</f>
        <v>0</v>
      </c>
      <c r="E255" s="60">
        <f>_xlfn.IFNA(VLOOKUP(Referentie_Materiaal_Totaal[[#This Row],[Product]]&amp;", "&amp;"Totaal",Database_Productkaarten[#All],64,FALSE),0)</f>
        <v>0</v>
      </c>
      <c r="F255" s="94">
        <f>Referentie_Materiaal_Totaal[[#This Row],[Hoeveelheid '[ton']]]*(1-Referentie_Materiaal_Totaal[[#This Row],[% Secundair]])</f>
        <v>0</v>
      </c>
      <c r="G255" s="94">
        <f>Referentie_Materiaal_Totaal[[#This Row],[Hoeveelheid '[ton']]]*Referentie_Materiaal_Totaal[[#This Row],[% Secundair]]</f>
        <v>0</v>
      </c>
      <c r="H255" s="128">
        <f>Baseline!Q47*Baseline!R47</f>
        <v>0</v>
      </c>
      <c r="I255" s="128">
        <f>Referentie_Materiaal_Totaal[[#This Row],[Hoeveelheid Vervaningen '[ton']]]*(1-Referentie_Materiaal_Totaal[[#This Row],[% Secundair]])</f>
        <v>0</v>
      </c>
      <c r="J255" s="128">
        <f>Referentie_Materiaal_Totaal[[#This Row],[Hoeveelheid Vervaningen '[ton']]]*Referentie_Materiaal_Totaal[[#This Row],[% Secundair]]</f>
        <v>0</v>
      </c>
      <c r="K255" s="128">
        <f>Referentie_Materiaal_Totaal[[#This Row],[Primair materiaalverbruik '[ton']]]+Referentie_Materiaal_Totaal[[#This Row],[Primair materiaalverbruik Vervangingen '[ton']]]</f>
        <v>0</v>
      </c>
      <c r="L255" s="128">
        <f>Referentie_Materiaal_Totaal[[#This Row],[Secundair materiaalverbruik '[ton']]]+Referentie_Materiaal_Totaal[[#This Row],[Secundair materiaalverbruik Vervangingen '[ton']]]</f>
        <v>0</v>
      </c>
      <c r="M255" s="128">
        <f>Referentie_Materiaal_Totaal[[#This Row],[Totaal Primair Materieelgebruik]]+Referentie_Materiaal_Totaal[[#This Row],[Totaal Secundair Materieelgebruik]]</f>
        <v>0</v>
      </c>
      <c r="N255" s="13"/>
      <c r="O255" s="13"/>
      <c r="P255" s="13"/>
      <c r="Q255" s="13"/>
      <c r="R255" s="13"/>
      <c r="S255" s="13"/>
    </row>
    <row r="256" spans="2:19">
      <c r="B256" s="209">
        <f>Baseline!B48</f>
        <v>0</v>
      </c>
      <c r="C256" s="51">
        <f>Baseline!F48</f>
        <v>0</v>
      </c>
      <c r="D256" s="93">
        <f>Baseline!Q48</f>
        <v>0</v>
      </c>
      <c r="E256" s="60">
        <f>_xlfn.IFNA(VLOOKUP(Referentie_Materiaal_Totaal[[#This Row],[Product]]&amp;", "&amp;"Totaal",Database_Productkaarten[#All],64,FALSE),0)</f>
        <v>0</v>
      </c>
      <c r="F256" s="94">
        <f>Referentie_Materiaal_Totaal[[#This Row],[Hoeveelheid '[ton']]]*(1-Referentie_Materiaal_Totaal[[#This Row],[% Secundair]])</f>
        <v>0</v>
      </c>
      <c r="G256" s="94">
        <f>Referentie_Materiaal_Totaal[[#This Row],[Hoeveelheid '[ton']]]*Referentie_Materiaal_Totaal[[#This Row],[% Secundair]]</f>
        <v>0</v>
      </c>
      <c r="H256" s="128">
        <f>Baseline!Q48*Baseline!R48</f>
        <v>0</v>
      </c>
      <c r="I256" s="128">
        <f>Referentie_Materiaal_Totaal[[#This Row],[Hoeveelheid Vervaningen '[ton']]]*(1-Referentie_Materiaal_Totaal[[#This Row],[% Secundair]])</f>
        <v>0</v>
      </c>
      <c r="J256" s="128">
        <f>Referentie_Materiaal_Totaal[[#This Row],[Hoeveelheid Vervaningen '[ton']]]*Referentie_Materiaal_Totaal[[#This Row],[% Secundair]]</f>
        <v>0</v>
      </c>
      <c r="K256" s="128">
        <f>Referentie_Materiaal_Totaal[[#This Row],[Primair materiaalverbruik '[ton']]]+Referentie_Materiaal_Totaal[[#This Row],[Primair materiaalverbruik Vervangingen '[ton']]]</f>
        <v>0</v>
      </c>
      <c r="L256" s="128">
        <f>Referentie_Materiaal_Totaal[[#This Row],[Secundair materiaalverbruik '[ton']]]+Referentie_Materiaal_Totaal[[#This Row],[Secundair materiaalverbruik Vervangingen '[ton']]]</f>
        <v>0</v>
      </c>
      <c r="M256" s="128">
        <f>Referentie_Materiaal_Totaal[[#This Row],[Totaal Primair Materieelgebruik]]+Referentie_Materiaal_Totaal[[#This Row],[Totaal Secundair Materieelgebruik]]</f>
        <v>0</v>
      </c>
      <c r="N256" s="13"/>
      <c r="O256" s="13"/>
      <c r="P256" s="13"/>
      <c r="Q256" s="13"/>
      <c r="R256" s="13"/>
      <c r="S256" s="13"/>
    </row>
    <row r="257" spans="2:19">
      <c r="B257" s="209">
        <f>Baseline!B49</f>
        <v>0</v>
      </c>
      <c r="C257" s="51">
        <f>Baseline!F49</f>
        <v>0</v>
      </c>
      <c r="D257" s="93">
        <f>Baseline!Q49</f>
        <v>0</v>
      </c>
      <c r="E257" s="60">
        <f>_xlfn.IFNA(VLOOKUP(Referentie_Materiaal_Totaal[[#This Row],[Product]]&amp;", "&amp;"Totaal",Database_Productkaarten[#All],64,FALSE),0)</f>
        <v>0</v>
      </c>
      <c r="F257" s="94">
        <f>Referentie_Materiaal_Totaal[[#This Row],[Hoeveelheid '[ton']]]*(1-Referentie_Materiaal_Totaal[[#This Row],[% Secundair]])</f>
        <v>0</v>
      </c>
      <c r="G257" s="94">
        <f>Referentie_Materiaal_Totaal[[#This Row],[Hoeveelheid '[ton']]]*Referentie_Materiaal_Totaal[[#This Row],[% Secundair]]</f>
        <v>0</v>
      </c>
      <c r="H257" s="128">
        <f>Baseline!Q49*Baseline!R49</f>
        <v>0</v>
      </c>
      <c r="I257" s="128">
        <f>Referentie_Materiaal_Totaal[[#This Row],[Hoeveelheid Vervaningen '[ton']]]*(1-Referentie_Materiaal_Totaal[[#This Row],[% Secundair]])</f>
        <v>0</v>
      </c>
      <c r="J257" s="128">
        <f>Referentie_Materiaal_Totaal[[#This Row],[Hoeveelheid Vervaningen '[ton']]]*Referentie_Materiaal_Totaal[[#This Row],[% Secundair]]</f>
        <v>0</v>
      </c>
      <c r="K257" s="128">
        <f>Referentie_Materiaal_Totaal[[#This Row],[Primair materiaalverbruik '[ton']]]+Referentie_Materiaal_Totaal[[#This Row],[Primair materiaalverbruik Vervangingen '[ton']]]</f>
        <v>0</v>
      </c>
      <c r="L257" s="128">
        <f>Referentie_Materiaal_Totaal[[#This Row],[Secundair materiaalverbruik '[ton']]]+Referentie_Materiaal_Totaal[[#This Row],[Secundair materiaalverbruik Vervangingen '[ton']]]</f>
        <v>0</v>
      </c>
      <c r="M257" s="128">
        <f>Referentie_Materiaal_Totaal[[#This Row],[Totaal Primair Materieelgebruik]]+Referentie_Materiaal_Totaal[[#This Row],[Totaal Secundair Materieelgebruik]]</f>
        <v>0</v>
      </c>
      <c r="N257" s="13"/>
      <c r="O257" s="13"/>
      <c r="P257" s="13"/>
      <c r="Q257" s="13"/>
      <c r="R257" s="13"/>
      <c r="S257" s="13"/>
    </row>
    <row r="258" spans="2:19">
      <c r="B258" s="209">
        <f>Baseline!B50</f>
        <v>0</v>
      </c>
      <c r="C258" s="51">
        <f>Baseline!F50</f>
        <v>0</v>
      </c>
      <c r="D258" s="93">
        <f>Baseline!Q50</f>
        <v>0</v>
      </c>
      <c r="E258" s="60">
        <f>_xlfn.IFNA(VLOOKUP(Referentie_Materiaal_Totaal[[#This Row],[Product]]&amp;", "&amp;"Totaal",Database_Productkaarten[#All],64,FALSE),0)</f>
        <v>0</v>
      </c>
      <c r="F258" s="94">
        <f>Referentie_Materiaal_Totaal[[#This Row],[Hoeveelheid '[ton']]]*(1-Referentie_Materiaal_Totaal[[#This Row],[% Secundair]])</f>
        <v>0</v>
      </c>
      <c r="G258" s="94">
        <f>Referentie_Materiaal_Totaal[[#This Row],[Hoeveelheid '[ton']]]*Referentie_Materiaal_Totaal[[#This Row],[% Secundair]]</f>
        <v>0</v>
      </c>
      <c r="H258" s="128">
        <f>Baseline!Q50*Baseline!R50</f>
        <v>0</v>
      </c>
      <c r="I258" s="128">
        <f>Referentie_Materiaal_Totaal[[#This Row],[Hoeveelheid Vervaningen '[ton']]]*(1-Referentie_Materiaal_Totaal[[#This Row],[% Secundair]])</f>
        <v>0</v>
      </c>
      <c r="J258" s="128">
        <f>Referentie_Materiaal_Totaal[[#This Row],[Hoeveelheid Vervaningen '[ton']]]*Referentie_Materiaal_Totaal[[#This Row],[% Secundair]]</f>
        <v>0</v>
      </c>
      <c r="K258" s="128">
        <f>Referentie_Materiaal_Totaal[[#This Row],[Primair materiaalverbruik '[ton']]]+Referentie_Materiaal_Totaal[[#This Row],[Primair materiaalverbruik Vervangingen '[ton']]]</f>
        <v>0</v>
      </c>
      <c r="L258" s="128">
        <f>Referentie_Materiaal_Totaal[[#This Row],[Secundair materiaalverbruik '[ton']]]+Referentie_Materiaal_Totaal[[#This Row],[Secundair materiaalverbruik Vervangingen '[ton']]]</f>
        <v>0</v>
      </c>
      <c r="M258" s="128">
        <f>Referentie_Materiaal_Totaal[[#This Row],[Totaal Primair Materieelgebruik]]+Referentie_Materiaal_Totaal[[#This Row],[Totaal Secundair Materieelgebruik]]</f>
        <v>0</v>
      </c>
      <c r="N258" s="13"/>
      <c r="O258" s="13"/>
      <c r="P258" s="13"/>
      <c r="Q258" s="13"/>
      <c r="R258" s="13"/>
      <c r="S258" s="13"/>
    </row>
    <row r="259" spans="2:19">
      <c r="B259" s="209">
        <f>Baseline!B51</f>
        <v>0</v>
      </c>
      <c r="C259" s="51">
        <f>Baseline!F51</f>
        <v>0</v>
      </c>
      <c r="D259" s="93">
        <f>Baseline!Q51</f>
        <v>0</v>
      </c>
      <c r="E259" s="60">
        <f>_xlfn.IFNA(VLOOKUP(Referentie_Materiaal_Totaal[[#This Row],[Product]]&amp;", "&amp;"Totaal",Database_Productkaarten[#All],64,FALSE),0)</f>
        <v>0</v>
      </c>
      <c r="F259" s="94">
        <f>Referentie_Materiaal_Totaal[[#This Row],[Hoeveelheid '[ton']]]*(1-Referentie_Materiaal_Totaal[[#This Row],[% Secundair]])</f>
        <v>0</v>
      </c>
      <c r="G259" s="94">
        <f>Referentie_Materiaal_Totaal[[#This Row],[Hoeveelheid '[ton']]]*Referentie_Materiaal_Totaal[[#This Row],[% Secundair]]</f>
        <v>0</v>
      </c>
      <c r="H259" s="128">
        <f>Baseline!Q51*Baseline!R51</f>
        <v>0</v>
      </c>
      <c r="I259" s="128">
        <f>Referentie_Materiaal_Totaal[[#This Row],[Hoeveelheid Vervaningen '[ton']]]*(1-Referentie_Materiaal_Totaal[[#This Row],[% Secundair]])</f>
        <v>0</v>
      </c>
      <c r="J259" s="128">
        <f>Referentie_Materiaal_Totaal[[#This Row],[Hoeveelheid Vervaningen '[ton']]]*Referentie_Materiaal_Totaal[[#This Row],[% Secundair]]</f>
        <v>0</v>
      </c>
      <c r="K259" s="128">
        <f>Referentie_Materiaal_Totaal[[#This Row],[Primair materiaalverbruik '[ton']]]+Referentie_Materiaal_Totaal[[#This Row],[Primair materiaalverbruik Vervangingen '[ton']]]</f>
        <v>0</v>
      </c>
      <c r="L259" s="128">
        <f>Referentie_Materiaal_Totaal[[#This Row],[Secundair materiaalverbruik '[ton']]]+Referentie_Materiaal_Totaal[[#This Row],[Secundair materiaalverbruik Vervangingen '[ton']]]</f>
        <v>0</v>
      </c>
      <c r="M259" s="128">
        <f>Referentie_Materiaal_Totaal[[#This Row],[Totaal Primair Materieelgebruik]]+Referentie_Materiaal_Totaal[[#This Row],[Totaal Secundair Materieelgebruik]]</f>
        <v>0</v>
      </c>
      <c r="N259" s="13"/>
      <c r="O259" s="13"/>
      <c r="P259" s="13"/>
      <c r="Q259" s="13"/>
      <c r="R259" s="13"/>
      <c r="S259" s="13"/>
    </row>
    <row r="260" spans="2:19">
      <c r="B260" s="209">
        <f>Baseline!B52</f>
        <v>0</v>
      </c>
      <c r="C260" s="51">
        <f>Baseline!F52</f>
        <v>0</v>
      </c>
      <c r="D260" s="93">
        <f>Baseline!Q52</f>
        <v>0</v>
      </c>
      <c r="E260" s="60">
        <f>_xlfn.IFNA(VLOOKUP(Referentie_Materiaal_Totaal[[#This Row],[Product]]&amp;", "&amp;"Totaal",Database_Productkaarten[#All],64,FALSE),0)</f>
        <v>0</v>
      </c>
      <c r="F260" s="94">
        <f>Referentie_Materiaal_Totaal[[#This Row],[Hoeveelheid '[ton']]]*(1-Referentie_Materiaal_Totaal[[#This Row],[% Secundair]])</f>
        <v>0</v>
      </c>
      <c r="G260" s="94">
        <f>Referentie_Materiaal_Totaal[[#This Row],[Hoeveelheid '[ton']]]*Referentie_Materiaal_Totaal[[#This Row],[% Secundair]]</f>
        <v>0</v>
      </c>
      <c r="H260" s="128">
        <f>Baseline!Q52*Baseline!R52</f>
        <v>0</v>
      </c>
      <c r="I260" s="128">
        <f>Referentie_Materiaal_Totaal[[#This Row],[Hoeveelheid Vervaningen '[ton']]]*(1-Referentie_Materiaal_Totaal[[#This Row],[% Secundair]])</f>
        <v>0</v>
      </c>
      <c r="J260" s="128">
        <f>Referentie_Materiaal_Totaal[[#This Row],[Hoeveelheid Vervaningen '[ton']]]*Referentie_Materiaal_Totaal[[#This Row],[% Secundair]]</f>
        <v>0</v>
      </c>
      <c r="K260" s="128">
        <f>Referentie_Materiaal_Totaal[[#This Row],[Primair materiaalverbruik '[ton']]]+Referentie_Materiaal_Totaal[[#This Row],[Primair materiaalverbruik Vervangingen '[ton']]]</f>
        <v>0</v>
      </c>
      <c r="L260" s="128">
        <f>Referentie_Materiaal_Totaal[[#This Row],[Secundair materiaalverbruik '[ton']]]+Referentie_Materiaal_Totaal[[#This Row],[Secundair materiaalverbruik Vervangingen '[ton']]]</f>
        <v>0</v>
      </c>
      <c r="M260" s="128">
        <f>Referentie_Materiaal_Totaal[[#This Row],[Totaal Primair Materieelgebruik]]+Referentie_Materiaal_Totaal[[#This Row],[Totaal Secundair Materieelgebruik]]</f>
        <v>0</v>
      </c>
      <c r="N260" s="13"/>
      <c r="O260" s="13"/>
      <c r="P260" s="13"/>
      <c r="Q260" s="13"/>
      <c r="R260" s="13"/>
      <c r="S260" s="13"/>
    </row>
    <row r="261" spans="2:19">
      <c r="B261" s="209">
        <f>Baseline!B53</f>
        <v>0</v>
      </c>
      <c r="C261" s="51">
        <f>Baseline!F53</f>
        <v>0</v>
      </c>
      <c r="D261" s="93">
        <f>Baseline!Q53</f>
        <v>0</v>
      </c>
      <c r="E261" s="60">
        <f>_xlfn.IFNA(VLOOKUP(Referentie_Materiaal_Totaal[[#This Row],[Product]]&amp;", "&amp;"Totaal",Database_Productkaarten[#All],64,FALSE),0)</f>
        <v>0</v>
      </c>
      <c r="F261" s="94">
        <f>Referentie_Materiaal_Totaal[[#This Row],[Hoeveelheid '[ton']]]*(1-Referentie_Materiaal_Totaal[[#This Row],[% Secundair]])</f>
        <v>0</v>
      </c>
      <c r="G261" s="94">
        <f>Referentie_Materiaal_Totaal[[#This Row],[Hoeveelheid '[ton']]]*Referentie_Materiaal_Totaal[[#This Row],[% Secundair]]</f>
        <v>0</v>
      </c>
      <c r="H261" s="128">
        <f>Baseline!Q53*Baseline!R53</f>
        <v>0</v>
      </c>
      <c r="I261" s="128">
        <f>Referentie_Materiaal_Totaal[[#This Row],[Hoeveelheid Vervaningen '[ton']]]*(1-Referentie_Materiaal_Totaal[[#This Row],[% Secundair]])</f>
        <v>0</v>
      </c>
      <c r="J261" s="128">
        <f>Referentie_Materiaal_Totaal[[#This Row],[Hoeveelheid Vervaningen '[ton']]]*Referentie_Materiaal_Totaal[[#This Row],[% Secundair]]</f>
        <v>0</v>
      </c>
      <c r="K261" s="128">
        <f>Referentie_Materiaal_Totaal[[#This Row],[Primair materiaalverbruik '[ton']]]+Referentie_Materiaal_Totaal[[#This Row],[Primair materiaalverbruik Vervangingen '[ton']]]</f>
        <v>0</v>
      </c>
      <c r="L261" s="128">
        <f>Referentie_Materiaal_Totaal[[#This Row],[Secundair materiaalverbruik '[ton']]]+Referentie_Materiaal_Totaal[[#This Row],[Secundair materiaalverbruik Vervangingen '[ton']]]</f>
        <v>0</v>
      </c>
      <c r="M261" s="128">
        <f>Referentie_Materiaal_Totaal[[#This Row],[Totaal Primair Materieelgebruik]]+Referentie_Materiaal_Totaal[[#This Row],[Totaal Secundair Materieelgebruik]]</f>
        <v>0</v>
      </c>
      <c r="N261" s="13"/>
      <c r="O261" s="13"/>
      <c r="P261" s="13"/>
      <c r="Q261" s="13"/>
      <c r="R261" s="13"/>
      <c r="S261" s="13"/>
    </row>
    <row r="262" spans="2:19">
      <c r="B262" s="209">
        <f>Baseline!B54</f>
        <v>0</v>
      </c>
      <c r="C262" s="51">
        <f>Baseline!F54</f>
        <v>0</v>
      </c>
      <c r="D262" s="93">
        <f>Baseline!Q54</f>
        <v>0</v>
      </c>
      <c r="E262" s="60">
        <f>_xlfn.IFNA(VLOOKUP(Referentie_Materiaal_Totaal[[#This Row],[Product]]&amp;", "&amp;"Totaal",Database_Productkaarten[#All],64,FALSE),0)</f>
        <v>0</v>
      </c>
      <c r="F262" s="94">
        <f>Referentie_Materiaal_Totaal[[#This Row],[Hoeveelheid '[ton']]]*(1-Referentie_Materiaal_Totaal[[#This Row],[% Secundair]])</f>
        <v>0</v>
      </c>
      <c r="G262" s="94">
        <f>Referentie_Materiaal_Totaal[[#This Row],[Hoeveelheid '[ton']]]*Referentie_Materiaal_Totaal[[#This Row],[% Secundair]]</f>
        <v>0</v>
      </c>
      <c r="H262" s="128">
        <f>Baseline!Q54*Baseline!R54</f>
        <v>0</v>
      </c>
      <c r="I262" s="128">
        <f>Referentie_Materiaal_Totaal[[#This Row],[Hoeveelheid Vervaningen '[ton']]]*(1-Referentie_Materiaal_Totaal[[#This Row],[% Secundair]])</f>
        <v>0</v>
      </c>
      <c r="J262" s="128">
        <f>Referentie_Materiaal_Totaal[[#This Row],[Hoeveelheid Vervaningen '[ton']]]*Referentie_Materiaal_Totaal[[#This Row],[% Secundair]]</f>
        <v>0</v>
      </c>
      <c r="K262" s="128">
        <f>Referentie_Materiaal_Totaal[[#This Row],[Primair materiaalverbruik '[ton']]]+Referentie_Materiaal_Totaal[[#This Row],[Primair materiaalverbruik Vervangingen '[ton']]]</f>
        <v>0</v>
      </c>
      <c r="L262" s="128">
        <f>Referentie_Materiaal_Totaal[[#This Row],[Secundair materiaalverbruik '[ton']]]+Referentie_Materiaal_Totaal[[#This Row],[Secundair materiaalverbruik Vervangingen '[ton']]]</f>
        <v>0</v>
      </c>
      <c r="M262" s="128">
        <f>Referentie_Materiaal_Totaal[[#This Row],[Totaal Primair Materieelgebruik]]+Referentie_Materiaal_Totaal[[#This Row],[Totaal Secundair Materieelgebruik]]</f>
        <v>0</v>
      </c>
      <c r="N262" s="13"/>
      <c r="O262" s="13"/>
      <c r="P262" s="13"/>
      <c r="Q262" s="13"/>
      <c r="R262" s="13"/>
      <c r="S262" s="13"/>
    </row>
    <row r="263" spans="2:19">
      <c r="B263" s="209">
        <f>Baseline!B55</f>
        <v>0</v>
      </c>
      <c r="C263" s="51">
        <f>Baseline!F55</f>
        <v>0</v>
      </c>
      <c r="D263" s="93">
        <f>Baseline!Q55</f>
        <v>0</v>
      </c>
      <c r="E263" s="60">
        <f>_xlfn.IFNA(VLOOKUP(Referentie_Materiaal_Totaal[[#This Row],[Product]]&amp;", "&amp;"Totaal",Database_Productkaarten[#All],64,FALSE),0)</f>
        <v>0</v>
      </c>
      <c r="F263" s="94">
        <f>Referentie_Materiaal_Totaal[[#This Row],[Hoeveelheid '[ton']]]*(1-Referentie_Materiaal_Totaal[[#This Row],[% Secundair]])</f>
        <v>0</v>
      </c>
      <c r="G263" s="94">
        <f>Referentie_Materiaal_Totaal[[#This Row],[Hoeveelheid '[ton']]]*Referentie_Materiaal_Totaal[[#This Row],[% Secundair]]</f>
        <v>0</v>
      </c>
      <c r="H263" s="128">
        <f>Baseline!Q55*Baseline!R55</f>
        <v>0</v>
      </c>
      <c r="I263" s="128">
        <f>Referentie_Materiaal_Totaal[[#This Row],[Hoeveelheid Vervaningen '[ton']]]*(1-Referentie_Materiaal_Totaal[[#This Row],[% Secundair]])</f>
        <v>0</v>
      </c>
      <c r="J263" s="128">
        <f>Referentie_Materiaal_Totaal[[#This Row],[Hoeveelheid Vervaningen '[ton']]]*Referentie_Materiaal_Totaal[[#This Row],[% Secundair]]</f>
        <v>0</v>
      </c>
      <c r="K263" s="128">
        <f>Referentie_Materiaal_Totaal[[#This Row],[Primair materiaalverbruik '[ton']]]+Referentie_Materiaal_Totaal[[#This Row],[Primair materiaalverbruik Vervangingen '[ton']]]</f>
        <v>0</v>
      </c>
      <c r="L263" s="128">
        <f>Referentie_Materiaal_Totaal[[#This Row],[Secundair materiaalverbruik '[ton']]]+Referentie_Materiaal_Totaal[[#This Row],[Secundair materiaalverbruik Vervangingen '[ton']]]</f>
        <v>0</v>
      </c>
      <c r="M263" s="128">
        <f>Referentie_Materiaal_Totaal[[#This Row],[Totaal Primair Materieelgebruik]]+Referentie_Materiaal_Totaal[[#This Row],[Totaal Secundair Materieelgebruik]]</f>
        <v>0</v>
      </c>
      <c r="N263" s="13"/>
      <c r="O263" s="13"/>
      <c r="P263" s="13"/>
      <c r="Q263" s="13"/>
      <c r="R263" s="13"/>
      <c r="S263" s="13"/>
    </row>
    <row r="264" spans="2:19">
      <c r="B264" s="209">
        <f>Baseline!B56</f>
        <v>0</v>
      </c>
      <c r="C264" s="51">
        <f>Baseline!F56</f>
        <v>0</v>
      </c>
      <c r="D264" s="93">
        <f>Baseline!Q56</f>
        <v>0</v>
      </c>
      <c r="E264" s="60">
        <f>_xlfn.IFNA(VLOOKUP(Referentie_Materiaal_Totaal[[#This Row],[Product]]&amp;", "&amp;"Totaal",Database_Productkaarten[#All],64,FALSE),0)</f>
        <v>0</v>
      </c>
      <c r="F264" s="94">
        <f>Referentie_Materiaal_Totaal[[#This Row],[Hoeveelheid '[ton']]]*(1-Referentie_Materiaal_Totaal[[#This Row],[% Secundair]])</f>
        <v>0</v>
      </c>
      <c r="G264" s="94">
        <f>Referentie_Materiaal_Totaal[[#This Row],[Hoeveelheid '[ton']]]*Referentie_Materiaal_Totaal[[#This Row],[% Secundair]]</f>
        <v>0</v>
      </c>
      <c r="H264" s="128">
        <f>Baseline!Q56*Baseline!R56</f>
        <v>0</v>
      </c>
      <c r="I264" s="128">
        <f>Referentie_Materiaal_Totaal[[#This Row],[Hoeveelheid Vervaningen '[ton']]]*(1-Referentie_Materiaal_Totaal[[#This Row],[% Secundair]])</f>
        <v>0</v>
      </c>
      <c r="J264" s="128">
        <f>Referentie_Materiaal_Totaal[[#This Row],[Hoeveelheid Vervaningen '[ton']]]*Referentie_Materiaal_Totaal[[#This Row],[% Secundair]]</f>
        <v>0</v>
      </c>
      <c r="K264" s="128">
        <f>Referentie_Materiaal_Totaal[[#This Row],[Primair materiaalverbruik '[ton']]]+Referentie_Materiaal_Totaal[[#This Row],[Primair materiaalverbruik Vervangingen '[ton']]]</f>
        <v>0</v>
      </c>
      <c r="L264" s="128">
        <f>Referentie_Materiaal_Totaal[[#This Row],[Secundair materiaalverbruik '[ton']]]+Referentie_Materiaal_Totaal[[#This Row],[Secundair materiaalverbruik Vervangingen '[ton']]]</f>
        <v>0</v>
      </c>
      <c r="M264" s="128">
        <f>Referentie_Materiaal_Totaal[[#This Row],[Totaal Primair Materieelgebruik]]+Referentie_Materiaal_Totaal[[#This Row],[Totaal Secundair Materieelgebruik]]</f>
        <v>0</v>
      </c>
      <c r="N264" s="13"/>
      <c r="O264" s="13"/>
      <c r="P264" s="13"/>
      <c r="Q264" s="13"/>
      <c r="R264" s="13"/>
      <c r="S264" s="13"/>
    </row>
    <row r="265" spans="2:19">
      <c r="B265" s="209">
        <f>Baseline!B57</f>
        <v>0</v>
      </c>
      <c r="C265" s="51">
        <f>Baseline!F57</f>
        <v>0</v>
      </c>
      <c r="D265" s="93">
        <f>Baseline!Q57</f>
        <v>0</v>
      </c>
      <c r="E265" s="60">
        <f>_xlfn.IFNA(VLOOKUP(Referentie_Materiaal_Totaal[[#This Row],[Product]]&amp;", "&amp;"Totaal",Database_Productkaarten[#All],64,FALSE),0)</f>
        <v>0</v>
      </c>
      <c r="F265" s="94">
        <f>Referentie_Materiaal_Totaal[[#This Row],[Hoeveelheid '[ton']]]*(1-Referentie_Materiaal_Totaal[[#This Row],[% Secundair]])</f>
        <v>0</v>
      </c>
      <c r="G265" s="94">
        <f>Referentie_Materiaal_Totaal[[#This Row],[Hoeveelheid '[ton']]]*Referentie_Materiaal_Totaal[[#This Row],[% Secundair]]</f>
        <v>0</v>
      </c>
      <c r="H265" s="128">
        <f>Baseline!Q57*Baseline!R57</f>
        <v>0</v>
      </c>
      <c r="I265" s="128">
        <f>Referentie_Materiaal_Totaal[[#This Row],[Hoeveelheid Vervaningen '[ton']]]*(1-Referentie_Materiaal_Totaal[[#This Row],[% Secundair]])</f>
        <v>0</v>
      </c>
      <c r="J265" s="128">
        <f>Referentie_Materiaal_Totaal[[#This Row],[Hoeveelheid Vervaningen '[ton']]]*Referentie_Materiaal_Totaal[[#This Row],[% Secundair]]</f>
        <v>0</v>
      </c>
      <c r="K265" s="128">
        <f>Referentie_Materiaal_Totaal[[#This Row],[Primair materiaalverbruik '[ton']]]+Referentie_Materiaal_Totaal[[#This Row],[Primair materiaalverbruik Vervangingen '[ton']]]</f>
        <v>0</v>
      </c>
      <c r="L265" s="128">
        <f>Referentie_Materiaal_Totaal[[#This Row],[Secundair materiaalverbruik '[ton']]]+Referentie_Materiaal_Totaal[[#This Row],[Secundair materiaalverbruik Vervangingen '[ton']]]</f>
        <v>0</v>
      </c>
      <c r="M265" s="128">
        <f>Referentie_Materiaal_Totaal[[#This Row],[Totaal Primair Materieelgebruik]]+Referentie_Materiaal_Totaal[[#This Row],[Totaal Secundair Materieelgebruik]]</f>
        <v>0</v>
      </c>
      <c r="N265" s="13"/>
      <c r="O265" s="13"/>
      <c r="P265" s="13"/>
      <c r="Q265" s="13"/>
      <c r="R265" s="13"/>
      <c r="S265" s="13"/>
    </row>
    <row r="266" spans="2:19">
      <c r="B266" s="209">
        <f>Baseline!B58</f>
        <v>0</v>
      </c>
      <c r="C266" s="51">
        <f>Baseline!F58</f>
        <v>0</v>
      </c>
      <c r="D266" s="93">
        <f>Baseline!Q58</f>
        <v>0</v>
      </c>
      <c r="E266" s="60">
        <f>_xlfn.IFNA(VLOOKUP(Referentie_Materiaal_Totaal[[#This Row],[Product]]&amp;", "&amp;"Totaal",Database_Productkaarten[#All],64,FALSE),0)</f>
        <v>0</v>
      </c>
      <c r="F266" s="94">
        <f>Referentie_Materiaal_Totaal[[#This Row],[Hoeveelheid '[ton']]]*(1-Referentie_Materiaal_Totaal[[#This Row],[% Secundair]])</f>
        <v>0</v>
      </c>
      <c r="G266" s="94">
        <f>Referentie_Materiaal_Totaal[[#This Row],[Hoeveelheid '[ton']]]*Referentie_Materiaal_Totaal[[#This Row],[% Secundair]]</f>
        <v>0</v>
      </c>
      <c r="H266" s="128">
        <f>Baseline!Q58*Baseline!R58</f>
        <v>0</v>
      </c>
      <c r="I266" s="128">
        <f>Referentie_Materiaal_Totaal[[#This Row],[Hoeveelheid Vervaningen '[ton']]]*(1-Referentie_Materiaal_Totaal[[#This Row],[% Secundair]])</f>
        <v>0</v>
      </c>
      <c r="J266" s="128">
        <f>Referentie_Materiaal_Totaal[[#This Row],[Hoeveelheid Vervaningen '[ton']]]*Referentie_Materiaal_Totaal[[#This Row],[% Secundair]]</f>
        <v>0</v>
      </c>
      <c r="K266" s="128">
        <f>Referentie_Materiaal_Totaal[[#This Row],[Primair materiaalverbruik '[ton']]]+Referentie_Materiaal_Totaal[[#This Row],[Primair materiaalverbruik Vervangingen '[ton']]]</f>
        <v>0</v>
      </c>
      <c r="L266" s="128">
        <f>Referentie_Materiaal_Totaal[[#This Row],[Secundair materiaalverbruik '[ton']]]+Referentie_Materiaal_Totaal[[#This Row],[Secundair materiaalverbruik Vervangingen '[ton']]]</f>
        <v>0</v>
      </c>
      <c r="M266" s="128">
        <f>Referentie_Materiaal_Totaal[[#This Row],[Totaal Primair Materieelgebruik]]+Referentie_Materiaal_Totaal[[#This Row],[Totaal Secundair Materieelgebruik]]</f>
        <v>0</v>
      </c>
      <c r="N266" s="13"/>
      <c r="O266" s="13"/>
      <c r="P266" s="13"/>
      <c r="Q266" s="13"/>
      <c r="R266" s="13"/>
      <c r="S266" s="13"/>
    </row>
    <row r="267" spans="2:19">
      <c r="B267" s="209">
        <f>Baseline!B59</f>
        <v>0</v>
      </c>
      <c r="C267" s="51">
        <f>Baseline!F59</f>
        <v>0</v>
      </c>
      <c r="D267" s="93">
        <f>Baseline!Q59</f>
        <v>0</v>
      </c>
      <c r="E267" s="60">
        <f>_xlfn.IFNA(VLOOKUP(Referentie_Materiaal_Totaal[[#This Row],[Product]]&amp;", "&amp;"Totaal",Database_Productkaarten[#All],64,FALSE),0)</f>
        <v>0</v>
      </c>
      <c r="F267" s="94">
        <f>Referentie_Materiaal_Totaal[[#This Row],[Hoeveelheid '[ton']]]*(1-Referentie_Materiaal_Totaal[[#This Row],[% Secundair]])</f>
        <v>0</v>
      </c>
      <c r="G267" s="94">
        <f>Referentie_Materiaal_Totaal[[#This Row],[Hoeveelheid '[ton']]]*Referentie_Materiaal_Totaal[[#This Row],[% Secundair]]</f>
        <v>0</v>
      </c>
      <c r="H267" s="128">
        <f>Baseline!Q59*Baseline!R59</f>
        <v>0</v>
      </c>
      <c r="I267" s="128">
        <f>Referentie_Materiaal_Totaal[[#This Row],[Hoeveelheid Vervaningen '[ton']]]*(1-Referentie_Materiaal_Totaal[[#This Row],[% Secundair]])</f>
        <v>0</v>
      </c>
      <c r="J267" s="128">
        <f>Referentie_Materiaal_Totaal[[#This Row],[Hoeveelheid Vervaningen '[ton']]]*Referentie_Materiaal_Totaal[[#This Row],[% Secundair]]</f>
        <v>0</v>
      </c>
      <c r="K267" s="128">
        <f>Referentie_Materiaal_Totaal[[#This Row],[Primair materiaalverbruik '[ton']]]+Referentie_Materiaal_Totaal[[#This Row],[Primair materiaalverbruik Vervangingen '[ton']]]</f>
        <v>0</v>
      </c>
      <c r="L267" s="128">
        <f>Referentie_Materiaal_Totaal[[#This Row],[Secundair materiaalverbruik '[ton']]]+Referentie_Materiaal_Totaal[[#This Row],[Secundair materiaalverbruik Vervangingen '[ton']]]</f>
        <v>0</v>
      </c>
      <c r="M267" s="128">
        <f>Referentie_Materiaal_Totaal[[#This Row],[Totaal Primair Materieelgebruik]]+Referentie_Materiaal_Totaal[[#This Row],[Totaal Secundair Materieelgebruik]]</f>
        <v>0</v>
      </c>
      <c r="N267" s="13"/>
      <c r="O267" s="13"/>
      <c r="P267" s="13"/>
      <c r="Q267" s="13"/>
      <c r="R267" s="13"/>
      <c r="S267" s="13"/>
    </row>
    <row r="268" spans="2:19">
      <c r="B268" s="209">
        <f>Baseline!B60</f>
        <v>0</v>
      </c>
      <c r="C268" s="51">
        <f>Baseline!F60</f>
        <v>0</v>
      </c>
      <c r="D268" s="93">
        <f>Baseline!Q60</f>
        <v>0</v>
      </c>
      <c r="E268" s="60">
        <f>_xlfn.IFNA(VLOOKUP(Referentie_Materiaal_Totaal[[#This Row],[Product]]&amp;", "&amp;"Totaal",Database_Productkaarten[#All],64,FALSE),0)</f>
        <v>0</v>
      </c>
      <c r="F268" s="94">
        <f>Referentie_Materiaal_Totaal[[#This Row],[Hoeveelheid '[ton']]]*(1-Referentie_Materiaal_Totaal[[#This Row],[% Secundair]])</f>
        <v>0</v>
      </c>
      <c r="G268" s="94">
        <f>Referentie_Materiaal_Totaal[[#This Row],[Hoeveelheid '[ton']]]*Referentie_Materiaal_Totaal[[#This Row],[% Secundair]]</f>
        <v>0</v>
      </c>
      <c r="H268" s="128">
        <f>Baseline!Q60*Baseline!R60</f>
        <v>0</v>
      </c>
      <c r="I268" s="128">
        <f>Referentie_Materiaal_Totaal[[#This Row],[Hoeveelheid Vervaningen '[ton']]]*(1-Referentie_Materiaal_Totaal[[#This Row],[% Secundair]])</f>
        <v>0</v>
      </c>
      <c r="J268" s="128">
        <f>Referentie_Materiaal_Totaal[[#This Row],[Hoeveelheid Vervaningen '[ton']]]*Referentie_Materiaal_Totaal[[#This Row],[% Secundair]]</f>
        <v>0</v>
      </c>
      <c r="K268" s="128">
        <f>Referentie_Materiaal_Totaal[[#This Row],[Primair materiaalverbruik '[ton']]]+Referentie_Materiaal_Totaal[[#This Row],[Primair materiaalverbruik Vervangingen '[ton']]]</f>
        <v>0</v>
      </c>
      <c r="L268" s="128">
        <f>Referentie_Materiaal_Totaal[[#This Row],[Secundair materiaalverbruik '[ton']]]+Referentie_Materiaal_Totaal[[#This Row],[Secundair materiaalverbruik Vervangingen '[ton']]]</f>
        <v>0</v>
      </c>
      <c r="M268" s="128">
        <f>Referentie_Materiaal_Totaal[[#This Row],[Totaal Primair Materieelgebruik]]+Referentie_Materiaal_Totaal[[#This Row],[Totaal Secundair Materieelgebruik]]</f>
        <v>0</v>
      </c>
      <c r="N268" s="13"/>
      <c r="O268" s="13"/>
      <c r="P268" s="13"/>
      <c r="Q268" s="13"/>
      <c r="R268" s="13"/>
      <c r="S268" s="13"/>
    </row>
    <row r="269" spans="2:19">
      <c r="B269" s="209">
        <f>Baseline!B61</f>
        <v>0</v>
      </c>
      <c r="C269" s="51">
        <f>Baseline!F61</f>
        <v>0</v>
      </c>
      <c r="D269" s="93">
        <f>Baseline!Q61</f>
        <v>0</v>
      </c>
      <c r="E269" s="60">
        <f>_xlfn.IFNA(VLOOKUP(Referentie_Materiaal_Totaal[[#This Row],[Product]]&amp;", "&amp;"Totaal",Database_Productkaarten[#All],64,FALSE),0)</f>
        <v>0</v>
      </c>
      <c r="F269" s="94">
        <f>Referentie_Materiaal_Totaal[[#This Row],[Hoeveelheid '[ton']]]*(1-Referentie_Materiaal_Totaal[[#This Row],[% Secundair]])</f>
        <v>0</v>
      </c>
      <c r="G269" s="94">
        <f>Referentie_Materiaal_Totaal[[#This Row],[Hoeveelheid '[ton']]]*Referentie_Materiaal_Totaal[[#This Row],[% Secundair]]</f>
        <v>0</v>
      </c>
      <c r="H269" s="128">
        <f>Baseline!Q61*Baseline!R61</f>
        <v>0</v>
      </c>
      <c r="I269" s="128">
        <f>Referentie_Materiaal_Totaal[[#This Row],[Hoeveelheid Vervaningen '[ton']]]*(1-Referentie_Materiaal_Totaal[[#This Row],[% Secundair]])</f>
        <v>0</v>
      </c>
      <c r="J269" s="128">
        <f>Referentie_Materiaal_Totaal[[#This Row],[Hoeveelheid Vervaningen '[ton']]]*Referentie_Materiaal_Totaal[[#This Row],[% Secundair]]</f>
        <v>0</v>
      </c>
      <c r="K269" s="128">
        <f>Referentie_Materiaal_Totaal[[#This Row],[Primair materiaalverbruik '[ton']]]+Referentie_Materiaal_Totaal[[#This Row],[Primair materiaalverbruik Vervangingen '[ton']]]</f>
        <v>0</v>
      </c>
      <c r="L269" s="128">
        <f>Referentie_Materiaal_Totaal[[#This Row],[Secundair materiaalverbruik '[ton']]]+Referentie_Materiaal_Totaal[[#This Row],[Secundair materiaalverbruik Vervangingen '[ton']]]</f>
        <v>0</v>
      </c>
      <c r="M269" s="128">
        <f>Referentie_Materiaal_Totaal[[#This Row],[Totaal Primair Materieelgebruik]]+Referentie_Materiaal_Totaal[[#This Row],[Totaal Secundair Materieelgebruik]]</f>
        <v>0</v>
      </c>
      <c r="N269" s="13"/>
      <c r="O269" s="13"/>
      <c r="P269" s="13"/>
      <c r="Q269" s="13"/>
      <c r="R269" s="13"/>
      <c r="S269" s="13"/>
    </row>
    <row r="270" spans="2:19">
      <c r="B270" s="209">
        <f>Baseline!B62</f>
        <v>0</v>
      </c>
      <c r="C270" s="51">
        <f>Baseline!F62</f>
        <v>0</v>
      </c>
      <c r="D270" s="93">
        <f>Baseline!Q62</f>
        <v>0</v>
      </c>
      <c r="E270" s="60">
        <f>_xlfn.IFNA(VLOOKUP(Referentie_Materiaal_Totaal[[#This Row],[Product]]&amp;", "&amp;"Totaal",Database_Productkaarten[#All],64,FALSE),0)</f>
        <v>0</v>
      </c>
      <c r="F270" s="94">
        <f>Referentie_Materiaal_Totaal[[#This Row],[Hoeveelheid '[ton']]]*(1-Referentie_Materiaal_Totaal[[#This Row],[% Secundair]])</f>
        <v>0</v>
      </c>
      <c r="G270" s="94">
        <f>Referentie_Materiaal_Totaal[[#This Row],[Hoeveelheid '[ton']]]*Referentie_Materiaal_Totaal[[#This Row],[% Secundair]]</f>
        <v>0</v>
      </c>
      <c r="H270" s="128">
        <f>Baseline!Q62*Baseline!R62</f>
        <v>0</v>
      </c>
      <c r="I270" s="128">
        <f>Referentie_Materiaal_Totaal[[#This Row],[Hoeveelheid Vervaningen '[ton']]]*(1-Referentie_Materiaal_Totaal[[#This Row],[% Secundair]])</f>
        <v>0</v>
      </c>
      <c r="J270" s="128">
        <f>Referentie_Materiaal_Totaal[[#This Row],[Hoeveelheid Vervaningen '[ton']]]*Referentie_Materiaal_Totaal[[#This Row],[% Secundair]]</f>
        <v>0</v>
      </c>
      <c r="K270" s="128">
        <f>Referentie_Materiaal_Totaal[[#This Row],[Primair materiaalverbruik '[ton']]]+Referentie_Materiaal_Totaal[[#This Row],[Primair materiaalverbruik Vervangingen '[ton']]]</f>
        <v>0</v>
      </c>
      <c r="L270" s="128">
        <f>Referentie_Materiaal_Totaal[[#This Row],[Secundair materiaalverbruik '[ton']]]+Referentie_Materiaal_Totaal[[#This Row],[Secundair materiaalverbruik Vervangingen '[ton']]]</f>
        <v>0</v>
      </c>
      <c r="M270" s="128">
        <f>Referentie_Materiaal_Totaal[[#This Row],[Totaal Primair Materieelgebruik]]+Referentie_Materiaal_Totaal[[#This Row],[Totaal Secundair Materieelgebruik]]</f>
        <v>0</v>
      </c>
      <c r="N270" s="13"/>
      <c r="O270" s="13"/>
      <c r="P270" s="13"/>
      <c r="Q270" s="13"/>
      <c r="R270" s="13"/>
      <c r="S270" s="13"/>
    </row>
    <row r="271" spans="2:19">
      <c r="B271" s="209">
        <f>Baseline!B63</f>
        <v>0</v>
      </c>
      <c r="C271" s="51">
        <f>Baseline!F63</f>
        <v>0</v>
      </c>
      <c r="D271" s="93">
        <f>Baseline!Q63</f>
        <v>0</v>
      </c>
      <c r="E271" s="60">
        <f>_xlfn.IFNA(VLOOKUP(Referentie_Materiaal_Totaal[[#This Row],[Product]]&amp;", "&amp;"Totaal",Database_Productkaarten[#All],64,FALSE),0)</f>
        <v>0</v>
      </c>
      <c r="F271" s="94">
        <f>Referentie_Materiaal_Totaal[[#This Row],[Hoeveelheid '[ton']]]*(1-Referentie_Materiaal_Totaal[[#This Row],[% Secundair]])</f>
        <v>0</v>
      </c>
      <c r="G271" s="94">
        <f>Referentie_Materiaal_Totaal[[#This Row],[Hoeveelheid '[ton']]]*Referentie_Materiaal_Totaal[[#This Row],[% Secundair]]</f>
        <v>0</v>
      </c>
      <c r="H271" s="128">
        <f>Baseline!Q63*Baseline!R63</f>
        <v>0</v>
      </c>
      <c r="I271" s="128">
        <f>Referentie_Materiaal_Totaal[[#This Row],[Hoeveelheid Vervaningen '[ton']]]*(1-Referentie_Materiaal_Totaal[[#This Row],[% Secundair]])</f>
        <v>0</v>
      </c>
      <c r="J271" s="128">
        <f>Referentie_Materiaal_Totaal[[#This Row],[Hoeveelheid Vervaningen '[ton']]]*Referentie_Materiaal_Totaal[[#This Row],[% Secundair]]</f>
        <v>0</v>
      </c>
      <c r="K271" s="128">
        <f>Referentie_Materiaal_Totaal[[#This Row],[Primair materiaalverbruik '[ton']]]+Referentie_Materiaal_Totaal[[#This Row],[Primair materiaalverbruik Vervangingen '[ton']]]</f>
        <v>0</v>
      </c>
      <c r="L271" s="128">
        <f>Referentie_Materiaal_Totaal[[#This Row],[Secundair materiaalverbruik '[ton']]]+Referentie_Materiaal_Totaal[[#This Row],[Secundair materiaalverbruik Vervangingen '[ton']]]</f>
        <v>0</v>
      </c>
      <c r="M271" s="128">
        <f>Referentie_Materiaal_Totaal[[#This Row],[Totaal Primair Materieelgebruik]]+Referentie_Materiaal_Totaal[[#This Row],[Totaal Secundair Materieelgebruik]]</f>
        <v>0</v>
      </c>
      <c r="N271" s="13"/>
      <c r="O271" s="13"/>
      <c r="P271" s="13"/>
      <c r="Q271" s="13"/>
      <c r="R271" s="13"/>
      <c r="S271" s="13"/>
    </row>
    <row r="272" spans="2:19">
      <c r="B272" s="209">
        <f>Baseline!B64</f>
        <v>0</v>
      </c>
      <c r="C272" s="51">
        <f>Baseline!F64</f>
        <v>0</v>
      </c>
      <c r="D272" s="93">
        <f>Baseline!Q64</f>
        <v>0</v>
      </c>
      <c r="E272" s="60">
        <f>_xlfn.IFNA(VLOOKUP(Referentie_Materiaal_Totaal[[#This Row],[Product]]&amp;", "&amp;"Totaal",Database_Productkaarten[#All],64,FALSE),0)</f>
        <v>0</v>
      </c>
      <c r="F272" s="94">
        <f>Referentie_Materiaal_Totaal[[#This Row],[Hoeveelheid '[ton']]]*(1-Referentie_Materiaal_Totaal[[#This Row],[% Secundair]])</f>
        <v>0</v>
      </c>
      <c r="G272" s="94">
        <f>Referentie_Materiaal_Totaal[[#This Row],[Hoeveelheid '[ton']]]*Referentie_Materiaal_Totaal[[#This Row],[% Secundair]]</f>
        <v>0</v>
      </c>
      <c r="H272" s="128">
        <f>Baseline!Q64*Baseline!R64</f>
        <v>0</v>
      </c>
      <c r="I272" s="128">
        <f>Referentie_Materiaal_Totaal[[#This Row],[Hoeveelheid Vervaningen '[ton']]]*(1-Referentie_Materiaal_Totaal[[#This Row],[% Secundair]])</f>
        <v>0</v>
      </c>
      <c r="J272" s="128">
        <f>Referentie_Materiaal_Totaal[[#This Row],[Hoeveelheid Vervaningen '[ton']]]*Referentie_Materiaal_Totaal[[#This Row],[% Secundair]]</f>
        <v>0</v>
      </c>
      <c r="K272" s="128">
        <f>Referentie_Materiaal_Totaal[[#This Row],[Primair materiaalverbruik '[ton']]]+Referentie_Materiaal_Totaal[[#This Row],[Primair materiaalverbruik Vervangingen '[ton']]]</f>
        <v>0</v>
      </c>
      <c r="L272" s="128">
        <f>Referentie_Materiaal_Totaal[[#This Row],[Secundair materiaalverbruik '[ton']]]+Referentie_Materiaal_Totaal[[#This Row],[Secundair materiaalverbruik Vervangingen '[ton']]]</f>
        <v>0</v>
      </c>
      <c r="M272" s="128">
        <f>Referentie_Materiaal_Totaal[[#This Row],[Totaal Primair Materieelgebruik]]+Referentie_Materiaal_Totaal[[#This Row],[Totaal Secundair Materieelgebruik]]</f>
        <v>0</v>
      </c>
      <c r="N272" s="13"/>
      <c r="O272" s="13"/>
      <c r="P272" s="13"/>
      <c r="Q272" s="13"/>
      <c r="R272" s="13"/>
      <c r="S272" s="13"/>
    </row>
    <row r="273" spans="2:19">
      <c r="B273" s="209">
        <f>Baseline!B65</f>
        <v>0</v>
      </c>
      <c r="C273" s="51">
        <f>Baseline!F65</f>
        <v>0</v>
      </c>
      <c r="D273" s="93">
        <f>Baseline!Q65</f>
        <v>0</v>
      </c>
      <c r="E273" s="60">
        <f>_xlfn.IFNA(VLOOKUP(Referentie_Materiaal_Totaal[[#This Row],[Product]]&amp;", "&amp;"Totaal",Database_Productkaarten[#All],64,FALSE),0)</f>
        <v>0</v>
      </c>
      <c r="F273" s="94">
        <f>Referentie_Materiaal_Totaal[[#This Row],[Hoeveelheid '[ton']]]*(1-Referentie_Materiaal_Totaal[[#This Row],[% Secundair]])</f>
        <v>0</v>
      </c>
      <c r="G273" s="94">
        <f>Referentie_Materiaal_Totaal[[#This Row],[Hoeveelheid '[ton']]]*Referentie_Materiaal_Totaal[[#This Row],[% Secundair]]</f>
        <v>0</v>
      </c>
      <c r="H273" s="128">
        <f>Baseline!Q65*Baseline!R65</f>
        <v>0</v>
      </c>
      <c r="I273" s="128">
        <f>Referentie_Materiaal_Totaal[[#This Row],[Hoeveelheid Vervaningen '[ton']]]*(1-Referentie_Materiaal_Totaal[[#This Row],[% Secundair]])</f>
        <v>0</v>
      </c>
      <c r="J273" s="128">
        <f>Referentie_Materiaal_Totaal[[#This Row],[Hoeveelheid Vervaningen '[ton']]]*Referentie_Materiaal_Totaal[[#This Row],[% Secundair]]</f>
        <v>0</v>
      </c>
      <c r="K273" s="128">
        <f>Referentie_Materiaal_Totaal[[#This Row],[Primair materiaalverbruik '[ton']]]+Referentie_Materiaal_Totaal[[#This Row],[Primair materiaalverbruik Vervangingen '[ton']]]</f>
        <v>0</v>
      </c>
      <c r="L273" s="128">
        <f>Referentie_Materiaal_Totaal[[#This Row],[Secundair materiaalverbruik '[ton']]]+Referentie_Materiaal_Totaal[[#This Row],[Secundair materiaalverbruik Vervangingen '[ton']]]</f>
        <v>0</v>
      </c>
      <c r="M273" s="128">
        <f>Referentie_Materiaal_Totaal[[#This Row],[Totaal Primair Materieelgebruik]]+Referentie_Materiaal_Totaal[[#This Row],[Totaal Secundair Materieelgebruik]]</f>
        <v>0</v>
      </c>
      <c r="N273" s="13"/>
      <c r="O273" s="13"/>
      <c r="P273" s="13"/>
      <c r="Q273" s="13"/>
      <c r="R273" s="13"/>
      <c r="S273" s="13"/>
    </row>
    <row r="274" spans="2:19">
      <c r="B274" s="209">
        <f>Baseline!B66</f>
        <v>0</v>
      </c>
      <c r="C274" s="51">
        <f>Baseline!F66</f>
        <v>0</v>
      </c>
      <c r="D274" s="93">
        <f>Baseline!Q66</f>
        <v>0</v>
      </c>
      <c r="E274" s="60">
        <f>_xlfn.IFNA(VLOOKUP(Referentie_Materiaal_Totaal[[#This Row],[Product]]&amp;", "&amp;"Totaal",Database_Productkaarten[#All],64,FALSE),0)</f>
        <v>0</v>
      </c>
      <c r="F274" s="94">
        <f>Referentie_Materiaal_Totaal[[#This Row],[Hoeveelheid '[ton']]]*(1-Referentie_Materiaal_Totaal[[#This Row],[% Secundair]])</f>
        <v>0</v>
      </c>
      <c r="G274" s="94">
        <f>Referentie_Materiaal_Totaal[[#This Row],[Hoeveelheid '[ton']]]*Referentie_Materiaal_Totaal[[#This Row],[% Secundair]]</f>
        <v>0</v>
      </c>
      <c r="H274" s="128">
        <f>Baseline!Q66*Baseline!R66</f>
        <v>0</v>
      </c>
      <c r="I274" s="128">
        <f>Referentie_Materiaal_Totaal[[#This Row],[Hoeveelheid Vervaningen '[ton']]]*(1-Referentie_Materiaal_Totaal[[#This Row],[% Secundair]])</f>
        <v>0</v>
      </c>
      <c r="J274" s="128">
        <f>Referentie_Materiaal_Totaal[[#This Row],[Hoeveelheid Vervaningen '[ton']]]*Referentie_Materiaal_Totaal[[#This Row],[% Secundair]]</f>
        <v>0</v>
      </c>
      <c r="K274" s="128">
        <f>Referentie_Materiaal_Totaal[[#This Row],[Primair materiaalverbruik '[ton']]]+Referentie_Materiaal_Totaal[[#This Row],[Primair materiaalverbruik Vervangingen '[ton']]]</f>
        <v>0</v>
      </c>
      <c r="L274" s="128">
        <f>Referentie_Materiaal_Totaal[[#This Row],[Secundair materiaalverbruik '[ton']]]+Referentie_Materiaal_Totaal[[#This Row],[Secundair materiaalverbruik Vervangingen '[ton']]]</f>
        <v>0</v>
      </c>
      <c r="M274" s="128">
        <f>Referentie_Materiaal_Totaal[[#This Row],[Totaal Primair Materieelgebruik]]+Referentie_Materiaal_Totaal[[#This Row],[Totaal Secundair Materieelgebruik]]</f>
        <v>0</v>
      </c>
      <c r="N274" s="13"/>
      <c r="O274" s="13"/>
      <c r="P274" s="13"/>
      <c r="Q274" s="13"/>
      <c r="R274" s="13"/>
      <c r="S274" s="13"/>
    </row>
    <row r="275" spans="2:19">
      <c r="B275" s="209">
        <f>Baseline!B67</f>
        <v>0</v>
      </c>
      <c r="C275" s="51">
        <f>Baseline!F67</f>
        <v>0</v>
      </c>
      <c r="D275" s="93">
        <f>Baseline!Q67</f>
        <v>0</v>
      </c>
      <c r="E275" s="60">
        <f>_xlfn.IFNA(VLOOKUP(Referentie_Materiaal_Totaal[[#This Row],[Product]]&amp;", "&amp;"Totaal",Database_Productkaarten[#All],64,FALSE),0)</f>
        <v>0</v>
      </c>
      <c r="F275" s="94">
        <f>Referentie_Materiaal_Totaal[[#This Row],[Hoeveelheid '[ton']]]*(1-Referentie_Materiaal_Totaal[[#This Row],[% Secundair]])</f>
        <v>0</v>
      </c>
      <c r="G275" s="94">
        <f>Referentie_Materiaal_Totaal[[#This Row],[Hoeveelheid '[ton']]]*Referentie_Materiaal_Totaal[[#This Row],[% Secundair]]</f>
        <v>0</v>
      </c>
      <c r="H275" s="128">
        <f>Baseline!Q67*Baseline!R67</f>
        <v>0</v>
      </c>
      <c r="I275" s="128">
        <f>Referentie_Materiaal_Totaal[[#This Row],[Hoeveelheid Vervaningen '[ton']]]*(1-Referentie_Materiaal_Totaal[[#This Row],[% Secundair]])</f>
        <v>0</v>
      </c>
      <c r="J275" s="128">
        <f>Referentie_Materiaal_Totaal[[#This Row],[Hoeveelheid Vervaningen '[ton']]]*Referentie_Materiaal_Totaal[[#This Row],[% Secundair]]</f>
        <v>0</v>
      </c>
      <c r="K275" s="128">
        <f>Referentie_Materiaal_Totaal[[#This Row],[Primair materiaalverbruik '[ton']]]+Referentie_Materiaal_Totaal[[#This Row],[Primair materiaalverbruik Vervangingen '[ton']]]</f>
        <v>0</v>
      </c>
      <c r="L275" s="128">
        <f>Referentie_Materiaal_Totaal[[#This Row],[Secundair materiaalverbruik '[ton']]]+Referentie_Materiaal_Totaal[[#This Row],[Secundair materiaalverbruik Vervangingen '[ton']]]</f>
        <v>0</v>
      </c>
      <c r="M275" s="128">
        <f>Referentie_Materiaal_Totaal[[#This Row],[Totaal Primair Materieelgebruik]]+Referentie_Materiaal_Totaal[[#This Row],[Totaal Secundair Materieelgebruik]]</f>
        <v>0</v>
      </c>
      <c r="N275" s="13"/>
      <c r="O275" s="13"/>
      <c r="P275" s="13"/>
      <c r="Q275" s="13"/>
      <c r="R275" s="13"/>
      <c r="S275" s="13"/>
    </row>
    <row r="276" spans="2:19">
      <c r="B276" s="209">
        <f>Baseline!B68</f>
        <v>0</v>
      </c>
      <c r="C276" s="51">
        <f>Baseline!F68</f>
        <v>0</v>
      </c>
      <c r="D276" s="93">
        <f>Baseline!Q68</f>
        <v>0</v>
      </c>
      <c r="E276" s="60">
        <f>_xlfn.IFNA(VLOOKUP(Referentie_Materiaal_Totaal[[#This Row],[Product]]&amp;", "&amp;"Totaal",Database_Productkaarten[#All],64,FALSE),0)</f>
        <v>0</v>
      </c>
      <c r="F276" s="94">
        <f>Referentie_Materiaal_Totaal[[#This Row],[Hoeveelheid '[ton']]]*(1-Referentie_Materiaal_Totaal[[#This Row],[% Secundair]])</f>
        <v>0</v>
      </c>
      <c r="G276" s="94">
        <f>Referentie_Materiaal_Totaal[[#This Row],[Hoeveelheid '[ton']]]*Referentie_Materiaal_Totaal[[#This Row],[% Secundair]]</f>
        <v>0</v>
      </c>
      <c r="H276" s="128">
        <f>Baseline!Q68*Baseline!R68</f>
        <v>0</v>
      </c>
      <c r="I276" s="128">
        <f>Referentie_Materiaal_Totaal[[#This Row],[Hoeveelheid Vervaningen '[ton']]]*(1-Referentie_Materiaal_Totaal[[#This Row],[% Secundair]])</f>
        <v>0</v>
      </c>
      <c r="J276" s="128">
        <f>Referentie_Materiaal_Totaal[[#This Row],[Hoeveelheid Vervaningen '[ton']]]*Referentie_Materiaal_Totaal[[#This Row],[% Secundair]]</f>
        <v>0</v>
      </c>
      <c r="K276" s="128">
        <f>Referentie_Materiaal_Totaal[[#This Row],[Primair materiaalverbruik '[ton']]]+Referentie_Materiaal_Totaal[[#This Row],[Primair materiaalverbruik Vervangingen '[ton']]]</f>
        <v>0</v>
      </c>
      <c r="L276" s="128">
        <f>Referentie_Materiaal_Totaal[[#This Row],[Secundair materiaalverbruik '[ton']]]+Referentie_Materiaal_Totaal[[#This Row],[Secundair materiaalverbruik Vervangingen '[ton']]]</f>
        <v>0</v>
      </c>
      <c r="M276" s="128">
        <f>Referentie_Materiaal_Totaal[[#This Row],[Totaal Primair Materieelgebruik]]+Referentie_Materiaal_Totaal[[#This Row],[Totaal Secundair Materieelgebruik]]</f>
        <v>0</v>
      </c>
      <c r="N276" s="13"/>
      <c r="O276" s="13"/>
      <c r="P276" s="13"/>
      <c r="Q276" s="13"/>
      <c r="R276" s="13"/>
      <c r="S276" s="13"/>
    </row>
    <row r="277" spans="2:19">
      <c r="B277" s="209">
        <f>Baseline!B69</f>
        <v>0</v>
      </c>
      <c r="C277" s="51">
        <f>Baseline!F69</f>
        <v>0</v>
      </c>
      <c r="D277" s="93">
        <f>Baseline!Q69</f>
        <v>0</v>
      </c>
      <c r="E277" s="60">
        <f>_xlfn.IFNA(VLOOKUP(Referentie_Materiaal_Totaal[[#This Row],[Product]]&amp;", "&amp;"Totaal",Database_Productkaarten[#All],64,FALSE),0)</f>
        <v>0</v>
      </c>
      <c r="F277" s="94">
        <f>Referentie_Materiaal_Totaal[[#This Row],[Hoeveelheid '[ton']]]*(1-Referentie_Materiaal_Totaal[[#This Row],[% Secundair]])</f>
        <v>0</v>
      </c>
      <c r="G277" s="94">
        <f>Referentie_Materiaal_Totaal[[#This Row],[Hoeveelheid '[ton']]]*Referentie_Materiaal_Totaal[[#This Row],[% Secundair]]</f>
        <v>0</v>
      </c>
      <c r="H277" s="128">
        <f>Baseline!Q69*Baseline!R69</f>
        <v>0</v>
      </c>
      <c r="I277" s="128">
        <f>Referentie_Materiaal_Totaal[[#This Row],[Hoeveelheid Vervaningen '[ton']]]*(1-Referentie_Materiaal_Totaal[[#This Row],[% Secundair]])</f>
        <v>0</v>
      </c>
      <c r="J277" s="128">
        <f>Referentie_Materiaal_Totaal[[#This Row],[Hoeveelheid Vervaningen '[ton']]]*Referentie_Materiaal_Totaal[[#This Row],[% Secundair]]</f>
        <v>0</v>
      </c>
      <c r="K277" s="128">
        <f>Referentie_Materiaal_Totaal[[#This Row],[Primair materiaalverbruik '[ton']]]+Referentie_Materiaal_Totaal[[#This Row],[Primair materiaalverbruik Vervangingen '[ton']]]</f>
        <v>0</v>
      </c>
      <c r="L277" s="128">
        <f>Referentie_Materiaal_Totaal[[#This Row],[Secundair materiaalverbruik '[ton']]]+Referentie_Materiaal_Totaal[[#This Row],[Secundair materiaalverbruik Vervangingen '[ton']]]</f>
        <v>0</v>
      </c>
      <c r="M277" s="128">
        <f>Referentie_Materiaal_Totaal[[#This Row],[Totaal Primair Materieelgebruik]]+Referentie_Materiaal_Totaal[[#This Row],[Totaal Secundair Materieelgebruik]]</f>
        <v>0</v>
      </c>
      <c r="N277" s="13"/>
      <c r="O277" s="13"/>
      <c r="P277" s="13"/>
      <c r="Q277" s="13"/>
      <c r="R277" s="13"/>
      <c r="S277" s="13"/>
    </row>
    <row r="278" spans="2:19">
      <c r="B278" s="209">
        <f>Baseline!B70</f>
        <v>0</v>
      </c>
      <c r="C278" s="51">
        <f>Baseline!F70</f>
        <v>0</v>
      </c>
      <c r="D278" s="93">
        <f>Baseline!Q70</f>
        <v>0</v>
      </c>
      <c r="E278" s="60">
        <f>_xlfn.IFNA(VLOOKUP(Referentie_Materiaal_Totaal[[#This Row],[Product]]&amp;", "&amp;"Totaal",Database_Productkaarten[#All],64,FALSE),0)</f>
        <v>0</v>
      </c>
      <c r="F278" s="94">
        <f>Referentie_Materiaal_Totaal[[#This Row],[Hoeveelheid '[ton']]]*(1-Referentie_Materiaal_Totaal[[#This Row],[% Secundair]])</f>
        <v>0</v>
      </c>
      <c r="G278" s="94">
        <f>Referentie_Materiaal_Totaal[[#This Row],[Hoeveelheid '[ton']]]*Referentie_Materiaal_Totaal[[#This Row],[% Secundair]]</f>
        <v>0</v>
      </c>
      <c r="H278" s="128">
        <f>Baseline!Q70*Baseline!R70</f>
        <v>0</v>
      </c>
      <c r="I278" s="128">
        <f>Referentie_Materiaal_Totaal[[#This Row],[Hoeveelheid Vervaningen '[ton']]]*(1-Referentie_Materiaal_Totaal[[#This Row],[% Secundair]])</f>
        <v>0</v>
      </c>
      <c r="J278" s="128">
        <f>Referentie_Materiaal_Totaal[[#This Row],[Hoeveelheid Vervaningen '[ton']]]*Referentie_Materiaal_Totaal[[#This Row],[% Secundair]]</f>
        <v>0</v>
      </c>
      <c r="K278" s="128">
        <f>Referentie_Materiaal_Totaal[[#This Row],[Primair materiaalverbruik '[ton']]]+Referentie_Materiaal_Totaal[[#This Row],[Primair materiaalverbruik Vervangingen '[ton']]]</f>
        <v>0</v>
      </c>
      <c r="L278" s="128">
        <f>Referentie_Materiaal_Totaal[[#This Row],[Secundair materiaalverbruik '[ton']]]+Referentie_Materiaal_Totaal[[#This Row],[Secundair materiaalverbruik Vervangingen '[ton']]]</f>
        <v>0</v>
      </c>
      <c r="M278" s="128">
        <f>Referentie_Materiaal_Totaal[[#This Row],[Totaal Primair Materieelgebruik]]+Referentie_Materiaal_Totaal[[#This Row],[Totaal Secundair Materieelgebruik]]</f>
        <v>0</v>
      </c>
      <c r="N278" s="13"/>
      <c r="O278" s="13"/>
      <c r="P278" s="13"/>
      <c r="Q278" s="13"/>
      <c r="R278" s="13"/>
      <c r="S278" s="13"/>
    </row>
    <row r="279" spans="2:19">
      <c r="B279" s="209">
        <f>Baseline!B71</f>
        <v>0</v>
      </c>
      <c r="C279" s="51">
        <f>Baseline!F71</f>
        <v>0</v>
      </c>
      <c r="D279" s="93">
        <f>Baseline!Q71</f>
        <v>0</v>
      </c>
      <c r="E279" s="60">
        <f>_xlfn.IFNA(VLOOKUP(Referentie_Materiaal_Totaal[[#This Row],[Product]]&amp;", "&amp;"Totaal",Database_Productkaarten[#All],64,FALSE),0)</f>
        <v>0</v>
      </c>
      <c r="F279" s="94">
        <f>Referentie_Materiaal_Totaal[[#This Row],[Hoeveelheid '[ton']]]*(1-Referentie_Materiaal_Totaal[[#This Row],[% Secundair]])</f>
        <v>0</v>
      </c>
      <c r="G279" s="94">
        <f>Referentie_Materiaal_Totaal[[#This Row],[Hoeveelheid '[ton']]]*Referentie_Materiaal_Totaal[[#This Row],[% Secundair]]</f>
        <v>0</v>
      </c>
      <c r="H279" s="128">
        <f>Baseline!Q71*Baseline!R71</f>
        <v>0</v>
      </c>
      <c r="I279" s="128">
        <f>Referentie_Materiaal_Totaal[[#This Row],[Hoeveelheid Vervaningen '[ton']]]*(1-Referentie_Materiaal_Totaal[[#This Row],[% Secundair]])</f>
        <v>0</v>
      </c>
      <c r="J279" s="128">
        <f>Referentie_Materiaal_Totaal[[#This Row],[Hoeveelheid Vervaningen '[ton']]]*Referentie_Materiaal_Totaal[[#This Row],[% Secundair]]</f>
        <v>0</v>
      </c>
      <c r="K279" s="128">
        <f>Referentie_Materiaal_Totaal[[#This Row],[Primair materiaalverbruik '[ton']]]+Referentie_Materiaal_Totaal[[#This Row],[Primair materiaalverbruik Vervangingen '[ton']]]</f>
        <v>0</v>
      </c>
      <c r="L279" s="128">
        <f>Referentie_Materiaal_Totaal[[#This Row],[Secundair materiaalverbruik '[ton']]]+Referentie_Materiaal_Totaal[[#This Row],[Secundair materiaalverbruik Vervangingen '[ton']]]</f>
        <v>0</v>
      </c>
      <c r="M279" s="128">
        <f>Referentie_Materiaal_Totaal[[#This Row],[Totaal Primair Materieelgebruik]]+Referentie_Materiaal_Totaal[[#This Row],[Totaal Secundair Materieelgebruik]]</f>
        <v>0</v>
      </c>
      <c r="N279" s="13"/>
      <c r="O279" s="13"/>
      <c r="P279" s="13"/>
      <c r="Q279" s="13"/>
      <c r="R279" s="13"/>
      <c r="S279" s="13"/>
    </row>
    <row r="280" spans="2:19">
      <c r="B280" s="209">
        <f>Baseline!B72</f>
        <v>0</v>
      </c>
      <c r="C280" s="51">
        <f>Baseline!F72</f>
        <v>0</v>
      </c>
      <c r="D280" s="93">
        <f>Baseline!Q72</f>
        <v>0</v>
      </c>
      <c r="E280" s="60">
        <f>_xlfn.IFNA(VLOOKUP(Referentie_Materiaal_Totaal[[#This Row],[Product]]&amp;", "&amp;"Totaal",Database_Productkaarten[#All],64,FALSE),0)</f>
        <v>0</v>
      </c>
      <c r="F280" s="94">
        <f>Referentie_Materiaal_Totaal[[#This Row],[Hoeveelheid '[ton']]]*(1-Referentie_Materiaal_Totaal[[#This Row],[% Secundair]])</f>
        <v>0</v>
      </c>
      <c r="G280" s="94">
        <f>Referentie_Materiaal_Totaal[[#This Row],[Hoeveelheid '[ton']]]*Referentie_Materiaal_Totaal[[#This Row],[% Secundair]]</f>
        <v>0</v>
      </c>
      <c r="H280" s="128">
        <f>Baseline!Q72*Baseline!R72</f>
        <v>0</v>
      </c>
      <c r="I280" s="128">
        <f>Referentie_Materiaal_Totaal[[#This Row],[Hoeveelheid Vervaningen '[ton']]]*(1-Referentie_Materiaal_Totaal[[#This Row],[% Secundair]])</f>
        <v>0</v>
      </c>
      <c r="J280" s="128">
        <f>Referentie_Materiaal_Totaal[[#This Row],[Hoeveelheid Vervaningen '[ton']]]*Referentie_Materiaal_Totaal[[#This Row],[% Secundair]]</f>
        <v>0</v>
      </c>
      <c r="K280" s="128">
        <f>Referentie_Materiaal_Totaal[[#This Row],[Primair materiaalverbruik '[ton']]]+Referentie_Materiaal_Totaal[[#This Row],[Primair materiaalverbruik Vervangingen '[ton']]]</f>
        <v>0</v>
      </c>
      <c r="L280" s="128">
        <f>Referentie_Materiaal_Totaal[[#This Row],[Secundair materiaalverbruik '[ton']]]+Referentie_Materiaal_Totaal[[#This Row],[Secundair materiaalverbruik Vervangingen '[ton']]]</f>
        <v>0</v>
      </c>
      <c r="M280" s="128">
        <f>Referentie_Materiaal_Totaal[[#This Row],[Totaal Primair Materieelgebruik]]+Referentie_Materiaal_Totaal[[#This Row],[Totaal Secundair Materieelgebruik]]</f>
        <v>0</v>
      </c>
      <c r="N280" s="13"/>
      <c r="O280" s="13"/>
      <c r="P280" s="13"/>
      <c r="Q280" s="13"/>
      <c r="R280" s="13"/>
      <c r="S280" s="13"/>
    </row>
    <row r="281" spans="2:19">
      <c r="B281" s="209">
        <f>Baseline!B73</f>
        <v>0</v>
      </c>
      <c r="C281" s="51">
        <f>Baseline!F73</f>
        <v>0</v>
      </c>
      <c r="D281" s="93">
        <f>Baseline!Q73</f>
        <v>0</v>
      </c>
      <c r="E281" s="60">
        <f>_xlfn.IFNA(VLOOKUP(Referentie_Materiaal_Totaal[[#This Row],[Product]]&amp;", "&amp;"Totaal",Database_Productkaarten[#All],64,FALSE),0)</f>
        <v>0</v>
      </c>
      <c r="F281" s="94">
        <f>Referentie_Materiaal_Totaal[[#This Row],[Hoeveelheid '[ton']]]*(1-Referentie_Materiaal_Totaal[[#This Row],[% Secundair]])</f>
        <v>0</v>
      </c>
      <c r="G281" s="94">
        <f>Referentie_Materiaal_Totaal[[#This Row],[Hoeveelheid '[ton']]]*Referentie_Materiaal_Totaal[[#This Row],[% Secundair]]</f>
        <v>0</v>
      </c>
      <c r="H281" s="128">
        <f>Baseline!Q73*Baseline!R73</f>
        <v>0</v>
      </c>
      <c r="I281" s="128">
        <f>Referentie_Materiaal_Totaal[[#This Row],[Hoeveelheid Vervaningen '[ton']]]*(1-Referentie_Materiaal_Totaal[[#This Row],[% Secundair]])</f>
        <v>0</v>
      </c>
      <c r="J281" s="128">
        <f>Referentie_Materiaal_Totaal[[#This Row],[Hoeveelheid Vervaningen '[ton']]]*Referentie_Materiaal_Totaal[[#This Row],[% Secundair]]</f>
        <v>0</v>
      </c>
      <c r="K281" s="128">
        <f>Referentie_Materiaal_Totaal[[#This Row],[Primair materiaalverbruik '[ton']]]+Referentie_Materiaal_Totaal[[#This Row],[Primair materiaalverbruik Vervangingen '[ton']]]</f>
        <v>0</v>
      </c>
      <c r="L281" s="128">
        <f>Referentie_Materiaal_Totaal[[#This Row],[Secundair materiaalverbruik '[ton']]]+Referentie_Materiaal_Totaal[[#This Row],[Secundair materiaalverbruik Vervangingen '[ton']]]</f>
        <v>0</v>
      </c>
      <c r="M281" s="128">
        <f>Referentie_Materiaal_Totaal[[#This Row],[Totaal Primair Materieelgebruik]]+Referentie_Materiaal_Totaal[[#This Row],[Totaal Secundair Materieelgebruik]]</f>
        <v>0</v>
      </c>
      <c r="N281" s="13"/>
      <c r="O281" s="13"/>
      <c r="P281" s="13"/>
      <c r="Q281" s="13"/>
      <c r="R281" s="13"/>
      <c r="S281" s="13"/>
    </row>
    <row r="282" spans="2:19">
      <c r="B282" s="209">
        <f>Baseline!B74</f>
        <v>0</v>
      </c>
      <c r="C282" s="51">
        <f>Baseline!F74</f>
        <v>0</v>
      </c>
      <c r="D282" s="93">
        <f>Baseline!Q74</f>
        <v>0</v>
      </c>
      <c r="E282" s="60">
        <f>_xlfn.IFNA(VLOOKUP(Referentie_Materiaal_Totaal[[#This Row],[Product]]&amp;", "&amp;"Totaal",Database_Productkaarten[#All],64,FALSE),0)</f>
        <v>0</v>
      </c>
      <c r="F282" s="94">
        <f>Referentie_Materiaal_Totaal[[#This Row],[Hoeveelheid '[ton']]]*(1-Referentie_Materiaal_Totaal[[#This Row],[% Secundair]])</f>
        <v>0</v>
      </c>
      <c r="G282" s="94">
        <f>Referentie_Materiaal_Totaal[[#This Row],[Hoeveelheid '[ton']]]*Referentie_Materiaal_Totaal[[#This Row],[% Secundair]]</f>
        <v>0</v>
      </c>
      <c r="H282" s="128">
        <f>Baseline!Q74*Baseline!R74</f>
        <v>0</v>
      </c>
      <c r="I282" s="128">
        <f>Referentie_Materiaal_Totaal[[#This Row],[Hoeveelheid Vervaningen '[ton']]]*(1-Referentie_Materiaal_Totaal[[#This Row],[% Secundair]])</f>
        <v>0</v>
      </c>
      <c r="J282" s="128">
        <f>Referentie_Materiaal_Totaal[[#This Row],[Hoeveelheid Vervaningen '[ton']]]*Referentie_Materiaal_Totaal[[#This Row],[% Secundair]]</f>
        <v>0</v>
      </c>
      <c r="K282" s="128">
        <f>Referentie_Materiaal_Totaal[[#This Row],[Primair materiaalverbruik '[ton']]]+Referentie_Materiaal_Totaal[[#This Row],[Primair materiaalverbruik Vervangingen '[ton']]]</f>
        <v>0</v>
      </c>
      <c r="L282" s="128">
        <f>Referentie_Materiaal_Totaal[[#This Row],[Secundair materiaalverbruik '[ton']]]+Referentie_Materiaal_Totaal[[#This Row],[Secundair materiaalverbruik Vervangingen '[ton']]]</f>
        <v>0</v>
      </c>
      <c r="M282" s="128">
        <f>Referentie_Materiaal_Totaal[[#This Row],[Totaal Primair Materieelgebruik]]+Referentie_Materiaal_Totaal[[#This Row],[Totaal Secundair Materieelgebruik]]</f>
        <v>0</v>
      </c>
      <c r="N282" s="13"/>
      <c r="O282" s="13"/>
      <c r="P282" s="13"/>
      <c r="Q282" s="13"/>
      <c r="R282" s="13"/>
      <c r="S282" s="13"/>
    </row>
    <row r="283" spans="2:19">
      <c r="B283" s="209">
        <f>Baseline!B75</f>
        <v>0</v>
      </c>
      <c r="C283" s="51">
        <f>Baseline!F75</f>
        <v>0</v>
      </c>
      <c r="D283" s="93">
        <f>Baseline!Q75</f>
        <v>0</v>
      </c>
      <c r="E283" s="60">
        <f>_xlfn.IFNA(VLOOKUP(Referentie_Materiaal_Totaal[[#This Row],[Product]]&amp;", "&amp;"Totaal",Database_Productkaarten[#All],64,FALSE),0)</f>
        <v>0</v>
      </c>
      <c r="F283" s="94">
        <f>Referentie_Materiaal_Totaal[[#This Row],[Hoeveelheid '[ton']]]*(1-Referentie_Materiaal_Totaal[[#This Row],[% Secundair]])</f>
        <v>0</v>
      </c>
      <c r="G283" s="94">
        <f>Referentie_Materiaal_Totaal[[#This Row],[Hoeveelheid '[ton']]]*Referentie_Materiaal_Totaal[[#This Row],[% Secundair]]</f>
        <v>0</v>
      </c>
      <c r="H283" s="128">
        <f>Baseline!Q75*Baseline!R75</f>
        <v>0</v>
      </c>
      <c r="I283" s="128">
        <f>Referentie_Materiaal_Totaal[[#This Row],[Hoeveelheid Vervaningen '[ton']]]*(1-Referentie_Materiaal_Totaal[[#This Row],[% Secundair]])</f>
        <v>0</v>
      </c>
      <c r="J283" s="128">
        <f>Referentie_Materiaal_Totaal[[#This Row],[Hoeveelheid Vervaningen '[ton']]]*Referentie_Materiaal_Totaal[[#This Row],[% Secundair]]</f>
        <v>0</v>
      </c>
      <c r="K283" s="128">
        <f>Referentie_Materiaal_Totaal[[#This Row],[Primair materiaalverbruik '[ton']]]+Referentie_Materiaal_Totaal[[#This Row],[Primair materiaalverbruik Vervangingen '[ton']]]</f>
        <v>0</v>
      </c>
      <c r="L283" s="128">
        <f>Referentie_Materiaal_Totaal[[#This Row],[Secundair materiaalverbruik '[ton']]]+Referentie_Materiaal_Totaal[[#This Row],[Secundair materiaalverbruik Vervangingen '[ton']]]</f>
        <v>0</v>
      </c>
      <c r="M283" s="128">
        <f>Referentie_Materiaal_Totaal[[#This Row],[Totaal Primair Materieelgebruik]]+Referentie_Materiaal_Totaal[[#This Row],[Totaal Secundair Materieelgebruik]]</f>
        <v>0</v>
      </c>
      <c r="N283" s="13"/>
      <c r="O283" s="13"/>
      <c r="P283" s="13"/>
      <c r="Q283" s="13"/>
      <c r="R283" s="13"/>
      <c r="S283" s="13"/>
    </row>
    <row r="284" spans="2:19">
      <c r="B284" s="209">
        <f>Baseline!B76</f>
        <v>0</v>
      </c>
      <c r="C284" s="51">
        <f>Baseline!F76</f>
        <v>0</v>
      </c>
      <c r="D284" s="93">
        <f>Baseline!Q76</f>
        <v>0</v>
      </c>
      <c r="E284" s="60">
        <f>_xlfn.IFNA(VLOOKUP(Referentie_Materiaal_Totaal[[#This Row],[Product]]&amp;", "&amp;"Totaal",Database_Productkaarten[#All],64,FALSE),0)</f>
        <v>0</v>
      </c>
      <c r="F284" s="94">
        <f>Referentie_Materiaal_Totaal[[#This Row],[Hoeveelheid '[ton']]]*(1-Referentie_Materiaal_Totaal[[#This Row],[% Secundair]])</f>
        <v>0</v>
      </c>
      <c r="G284" s="94">
        <f>Referentie_Materiaal_Totaal[[#This Row],[Hoeveelheid '[ton']]]*Referentie_Materiaal_Totaal[[#This Row],[% Secundair]]</f>
        <v>0</v>
      </c>
      <c r="H284" s="128">
        <f>Baseline!Q76*Baseline!R76</f>
        <v>0</v>
      </c>
      <c r="I284" s="128">
        <f>Referentie_Materiaal_Totaal[[#This Row],[Hoeveelheid Vervaningen '[ton']]]*(1-Referentie_Materiaal_Totaal[[#This Row],[% Secundair]])</f>
        <v>0</v>
      </c>
      <c r="J284" s="128">
        <f>Referentie_Materiaal_Totaal[[#This Row],[Hoeveelheid Vervaningen '[ton']]]*Referentie_Materiaal_Totaal[[#This Row],[% Secundair]]</f>
        <v>0</v>
      </c>
      <c r="K284" s="128">
        <f>Referentie_Materiaal_Totaal[[#This Row],[Primair materiaalverbruik '[ton']]]+Referentie_Materiaal_Totaal[[#This Row],[Primair materiaalverbruik Vervangingen '[ton']]]</f>
        <v>0</v>
      </c>
      <c r="L284" s="128">
        <f>Referentie_Materiaal_Totaal[[#This Row],[Secundair materiaalverbruik '[ton']]]+Referentie_Materiaal_Totaal[[#This Row],[Secundair materiaalverbruik Vervangingen '[ton']]]</f>
        <v>0</v>
      </c>
      <c r="M284" s="128">
        <f>Referentie_Materiaal_Totaal[[#This Row],[Totaal Primair Materieelgebruik]]+Referentie_Materiaal_Totaal[[#This Row],[Totaal Secundair Materieelgebruik]]</f>
        <v>0</v>
      </c>
      <c r="N284" s="13"/>
      <c r="O284" s="13"/>
      <c r="P284" s="13"/>
      <c r="Q284" s="13"/>
      <c r="R284" s="13"/>
      <c r="S284" s="13"/>
    </row>
    <row r="285" spans="2:19">
      <c r="B285" s="209">
        <f>Baseline!B77</f>
        <v>0</v>
      </c>
      <c r="C285" s="51">
        <f>Baseline!F77</f>
        <v>0</v>
      </c>
      <c r="D285" s="93">
        <f>Baseline!Q77</f>
        <v>0</v>
      </c>
      <c r="E285" s="60">
        <f>_xlfn.IFNA(VLOOKUP(Referentie_Materiaal_Totaal[[#This Row],[Product]]&amp;", "&amp;"Totaal",Database_Productkaarten[#All],64,FALSE),0)</f>
        <v>0</v>
      </c>
      <c r="F285" s="94">
        <f>Referentie_Materiaal_Totaal[[#This Row],[Hoeveelheid '[ton']]]*(1-Referentie_Materiaal_Totaal[[#This Row],[% Secundair]])</f>
        <v>0</v>
      </c>
      <c r="G285" s="94">
        <f>Referentie_Materiaal_Totaal[[#This Row],[Hoeveelheid '[ton']]]*Referentie_Materiaal_Totaal[[#This Row],[% Secundair]]</f>
        <v>0</v>
      </c>
      <c r="H285" s="128">
        <f>Baseline!Q77*Baseline!R77</f>
        <v>0</v>
      </c>
      <c r="I285" s="128">
        <f>Referentie_Materiaal_Totaal[[#This Row],[Hoeveelheid Vervaningen '[ton']]]*(1-Referentie_Materiaal_Totaal[[#This Row],[% Secundair]])</f>
        <v>0</v>
      </c>
      <c r="J285" s="128">
        <f>Referentie_Materiaal_Totaal[[#This Row],[Hoeveelheid Vervaningen '[ton']]]*Referentie_Materiaal_Totaal[[#This Row],[% Secundair]]</f>
        <v>0</v>
      </c>
      <c r="K285" s="128">
        <f>Referentie_Materiaal_Totaal[[#This Row],[Primair materiaalverbruik '[ton']]]+Referentie_Materiaal_Totaal[[#This Row],[Primair materiaalverbruik Vervangingen '[ton']]]</f>
        <v>0</v>
      </c>
      <c r="L285" s="128">
        <f>Referentie_Materiaal_Totaal[[#This Row],[Secundair materiaalverbruik '[ton']]]+Referentie_Materiaal_Totaal[[#This Row],[Secundair materiaalverbruik Vervangingen '[ton']]]</f>
        <v>0</v>
      </c>
      <c r="M285" s="128">
        <f>Referentie_Materiaal_Totaal[[#This Row],[Totaal Primair Materieelgebruik]]+Referentie_Materiaal_Totaal[[#This Row],[Totaal Secundair Materieelgebruik]]</f>
        <v>0</v>
      </c>
      <c r="N285" s="13"/>
      <c r="O285" s="13"/>
      <c r="P285" s="13"/>
      <c r="Q285" s="13"/>
      <c r="R285" s="13"/>
      <c r="S285" s="13"/>
    </row>
    <row r="286" spans="2:19">
      <c r="B286" s="209">
        <f>Baseline!B78</f>
        <v>0</v>
      </c>
      <c r="C286" s="51">
        <f>Baseline!F78</f>
        <v>0</v>
      </c>
      <c r="D286" s="93">
        <f>Baseline!Q78</f>
        <v>0</v>
      </c>
      <c r="E286" s="60">
        <f>_xlfn.IFNA(VLOOKUP(Referentie_Materiaal_Totaal[[#This Row],[Product]]&amp;", "&amp;"Totaal",Database_Productkaarten[#All],64,FALSE),0)</f>
        <v>0</v>
      </c>
      <c r="F286" s="94">
        <f>Referentie_Materiaal_Totaal[[#This Row],[Hoeveelheid '[ton']]]*(1-Referentie_Materiaal_Totaal[[#This Row],[% Secundair]])</f>
        <v>0</v>
      </c>
      <c r="G286" s="94">
        <f>Referentie_Materiaal_Totaal[[#This Row],[Hoeveelheid '[ton']]]*Referentie_Materiaal_Totaal[[#This Row],[% Secundair]]</f>
        <v>0</v>
      </c>
      <c r="H286" s="128">
        <f>Baseline!Q78*Baseline!R78</f>
        <v>0</v>
      </c>
      <c r="I286" s="128">
        <f>Referentie_Materiaal_Totaal[[#This Row],[Hoeveelheid Vervaningen '[ton']]]*(1-Referentie_Materiaal_Totaal[[#This Row],[% Secundair]])</f>
        <v>0</v>
      </c>
      <c r="J286" s="128">
        <f>Referentie_Materiaal_Totaal[[#This Row],[Hoeveelheid Vervaningen '[ton']]]*Referentie_Materiaal_Totaal[[#This Row],[% Secundair]]</f>
        <v>0</v>
      </c>
      <c r="K286" s="128">
        <f>Referentie_Materiaal_Totaal[[#This Row],[Primair materiaalverbruik '[ton']]]+Referentie_Materiaal_Totaal[[#This Row],[Primair materiaalverbruik Vervangingen '[ton']]]</f>
        <v>0</v>
      </c>
      <c r="L286" s="128">
        <f>Referentie_Materiaal_Totaal[[#This Row],[Secundair materiaalverbruik '[ton']]]+Referentie_Materiaal_Totaal[[#This Row],[Secundair materiaalverbruik Vervangingen '[ton']]]</f>
        <v>0</v>
      </c>
      <c r="M286" s="128">
        <f>Referentie_Materiaal_Totaal[[#This Row],[Totaal Primair Materieelgebruik]]+Referentie_Materiaal_Totaal[[#This Row],[Totaal Secundair Materieelgebruik]]</f>
        <v>0</v>
      </c>
      <c r="N286" s="13"/>
      <c r="O286" s="13"/>
      <c r="P286" s="13"/>
      <c r="Q286" s="13"/>
      <c r="R286" s="13"/>
      <c r="S286" s="13"/>
    </row>
    <row r="287" spans="2:19">
      <c r="B287" s="209">
        <f>Baseline!B79</f>
        <v>0</v>
      </c>
      <c r="C287" s="51">
        <f>Baseline!F79</f>
        <v>0</v>
      </c>
      <c r="D287" s="93">
        <f>Baseline!Q79</f>
        <v>0</v>
      </c>
      <c r="E287" s="60">
        <f>_xlfn.IFNA(VLOOKUP(Referentie_Materiaal_Totaal[[#This Row],[Product]]&amp;", "&amp;"Totaal",Database_Productkaarten[#All],64,FALSE),0)</f>
        <v>0</v>
      </c>
      <c r="F287" s="94">
        <f>Referentie_Materiaal_Totaal[[#This Row],[Hoeveelheid '[ton']]]*(1-Referentie_Materiaal_Totaal[[#This Row],[% Secundair]])</f>
        <v>0</v>
      </c>
      <c r="G287" s="94">
        <f>Referentie_Materiaal_Totaal[[#This Row],[Hoeveelheid '[ton']]]*Referentie_Materiaal_Totaal[[#This Row],[% Secundair]]</f>
        <v>0</v>
      </c>
      <c r="H287" s="128">
        <f>Baseline!Q79*Baseline!R79</f>
        <v>0</v>
      </c>
      <c r="I287" s="128">
        <f>Referentie_Materiaal_Totaal[[#This Row],[Hoeveelheid Vervaningen '[ton']]]*(1-Referentie_Materiaal_Totaal[[#This Row],[% Secundair]])</f>
        <v>0</v>
      </c>
      <c r="J287" s="128">
        <f>Referentie_Materiaal_Totaal[[#This Row],[Hoeveelheid Vervaningen '[ton']]]*Referentie_Materiaal_Totaal[[#This Row],[% Secundair]]</f>
        <v>0</v>
      </c>
      <c r="K287" s="128">
        <f>Referentie_Materiaal_Totaal[[#This Row],[Primair materiaalverbruik '[ton']]]+Referentie_Materiaal_Totaal[[#This Row],[Primair materiaalverbruik Vervangingen '[ton']]]</f>
        <v>0</v>
      </c>
      <c r="L287" s="128">
        <f>Referentie_Materiaal_Totaal[[#This Row],[Secundair materiaalverbruik '[ton']]]+Referentie_Materiaal_Totaal[[#This Row],[Secundair materiaalverbruik Vervangingen '[ton']]]</f>
        <v>0</v>
      </c>
      <c r="M287" s="128">
        <f>Referentie_Materiaal_Totaal[[#This Row],[Totaal Primair Materieelgebruik]]+Referentie_Materiaal_Totaal[[#This Row],[Totaal Secundair Materieelgebruik]]</f>
        <v>0</v>
      </c>
      <c r="N287" s="13"/>
      <c r="O287" s="13"/>
      <c r="P287" s="13"/>
      <c r="Q287" s="13"/>
      <c r="R287" s="13"/>
      <c r="S287" s="13"/>
    </row>
    <row r="288" spans="2:19">
      <c r="B288" s="209">
        <f>Baseline!B80</f>
        <v>0</v>
      </c>
      <c r="C288" s="51">
        <f>Baseline!F80</f>
        <v>0</v>
      </c>
      <c r="D288" s="93">
        <f>Baseline!Q80</f>
        <v>0</v>
      </c>
      <c r="E288" s="60">
        <f>_xlfn.IFNA(VLOOKUP(Referentie_Materiaal_Totaal[[#This Row],[Product]]&amp;", "&amp;"Totaal",Database_Productkaarten[#All],64,FALSE),0)</f>
        <v>0</v>
      </c>
      <c r="F288" s="94">
        <f>Referentie_Materiaal_Totaal[[#This Row],[Hoeveelheid '[ton']]]*(1-Referentie_Materiaal_Totaal[[#This Row],[% Secundair]])</f>
        <v>0</v>
      </c>
      <c r="G288" s="94">
        <f>Referentie_Materiaal_Totaal[[#This Row],[Hoeveelheid '[ton']]]*Referentie_Materiaal_Totaal[[#This Row],[% Secundair]]</f>
        <v>0</v>
      </c>
      <c r="H288" s="128">
        <f>Baseline!Q80*Baseline!R80</f>
        <v>0</v>
      </c>
      <c r="I288" s="128">
        <f>Referentie_Materiaal_Totaal[[#This Row],[Hoeveelheid Vervaningen '[ton']]]*(1-Referentie_Materiaal_Totaal[[#This Row],[% Secundair]])</f>
        <v>0</v>
      </c>
      <c r="J288" s="128">
        <f>Referentie_Materiaal_Totaal[[#This Row],[Hoeveelheid Vervaningen '[ton']]]*Referentie_Materiaal_Totaal[[#This Row],[% Secundair]]</f>
        <v>0</v>
      </c>
      <c r="K288" s="128">
        <f>Referentie_Materiaal_Totaal[[#This Row],[Primair materiaalverbruik '[ton']]]+Referentie_Materiaal_Totaal[[#This Row],[Primair materiaalverbruik Vervangingen '[ton']]]</f>
        <v>0</v>
      </c>
      <c r="L288" s="128">
        <f>Referentie_Materiaal_Totaal[[#This Row],[Secundair materiaalverbruik '[ton']]]+Referentie_Materiaal_Totaal[[#This Row],[Secundair materiaalverbruik Vervangingen '[ton']]]</f>
        <v>0</v>
      </c>
      <c r="M288" s="128">
        <f>Referentie_Materiaal_Totaal[[#This Row],[Totaal Primair Materieelgebruik]]+Referentie_Materiaal_Totaal[[#This Row],[Totaal Secundair Materieelgebruik]]</f>
        <v>0</v>
      </c>
      <c r="N288" s="13"/>
      <c r="O288" s="13"/>
      <c r="P288" s="13"/>
      <c r="Q288" s="13"/>
      <c r="R288" s="13"/>
      <c r="S288" s="13"/>
    </row>
    <row r="289" spans="2:19">
      <c r="B289" s="209">
        <f>Baseline!B81</f>
        <v>0</v>
      </c>
      <c r="C289" s="51">
        <f>Baseline!F81</f>
        <v>0</v>
      </c>
      <c r="D289" s="93">
        <f>Baseline!Q81</f>
        <v>0</v>
      </c>
      <c r="E289" s="60">
        <f>_xlfn.IFNA(VLOOKUP(Referentie_Materiaal_Totaal[[#This Row],[Product]]&amp;", "&amp;"Totaal",Database_Productkaarten[#All],64,FALSE),0)</f>
        <v>0</v>
      </c>
      <c r="F289" s="94">
        <f>Referentie_Materiaal_Totaal[[#This Row],[Hoeveelheid '[ton']]]*(1-Referentie_Materiaal_Totaal[[#This Row],[% Secundair]])</f>
        <v>0</v>
      </c>
      <c r="G289" s="94">
        <f>Referentie_Materiaal_Totaal[[#This Row],[Hoeveelheid '[ton']]]*Referentie_Materiaal_Totaal[[#This Row],[% Secundair]]</f>
        <v>0</v>
      </c>
      <c r="H289" s="128">
        <f>Baseline!Q81*Baseline!R81</f>
        <v>0</v>
      </c>
      <c r="I289" s="128">
        <f>Referentie_Materiaal_Totaal[[#This Row],[Hoeveelheid Vervaningen '[ton']]]*(1-Referentie_Materiaal_Totaal[[#This Row],[% Secundair]])</f>
        <v>0</v>
      </c>
      <c r="J289" s="128">
        <f>Referentie_Materiaal_Totaal[[#This Row],[Hoeveelheid Vervaningen '[ton']]]*Referentie_Materiaal_Totaal[[#This Row],[% Secundair]]</f>
        <v>0</v>
      </c>
      <c r="K289" s="128">
        <f>Referentie_Materiaal_Totaal[[#This Row],[Primair materiaalverbruik '[ton']]]+Referentie_Materiaal_Totaal[[#This Row],[Primair materiaalverbruik Vervangingen '[ton']]]</f>
        <v>0</v>
      </c>
      <c r="L289" s="128">
        <f>Referentie_Materiaal_Totaal[[#This Row],[Secundair materiaalverbruik '[ton']]]+Referentie_Materiaal_Totaal[[#This Row],[Secundair materiaalverbruik Vervangingen '[ton']]]</f>
        <v>0</v>
      </c>
      <c r="M289" s="128">
        <f>Referentie_Materiaal_Totaal[[#This Row],[Totaal Primair Materieelgebruik]]+Referentie_Materiaal_Totaal[[#This Row],[Totaal Secundair Materieelgebruik]]</f>
        <v>0</v>
      </c>
      <c r="N289" s="13"/>
      <c r="O289" s="13"/>
      <c r="P289" s="13"/>
      <c r="Q289" s="13"/>
      <c r="R289" s="13"/>
      <c r="S289" s="13"/>
    </row>
    <row r="290" spans="2:19">
      <c r="B290" s="209">
        <f>Baseline!B82</f>
        <v>0</v>
      </c>
      <c r="C290" s="51">
        <f>Baseline!F82</f>
        <v>0</v>
      </c>
      <c r="D290" s="93">
        <f>Baseline!Q82</f>
        <v>0</v>
      </c>
      <c r="E290" s="60">
        <f>_xlfn.IFNA(VLOOKUP(Referentie_Materiaal_Totaal[[#This Row],[Product]]&amp;", "&amp;"Totaal",Database_Productkaarten[#All],64,FALSE),0)</f>
        <v>0</v>
      </c>
      <c r="F290" s="94">
        <f>Referentie_Materiaal_Totaal[[#This Row],[Hoeveelheid '[ton']]]*(1-Referentie_Materiaal_Totaal[[#This Row],[% Secundair]])</f>
        <v>0</v>
      </c>
      <c r="G290" s="94">
        <f>Referentie_Materiaal_Totaal[[#This Row],[Hoeveelheid '[ton']]]*Referentie_Materiaal_Totaal[[#This Row],[% Secundair]]</f>
        <v>0</v>
      </c>
      <c r="H290" s="128">
        <f>Baseline!Q82*Baseline!R82</f>
        <v>0</v>
      </c>
      <c r="I290" s="128">
        <f>Referentie_Materiaal_Totaal[[#This Row],[Hoeveelheid Vervaningen '[ton']]]*(1-Referentie_Materiaal_Totaal[[#This Row],[% Secundair]])</f>
        <v>0</v>
      </c>
      <c r="J290" s="128">
        <f>Referentie_Materiaal_Totaal[[#This Row],[Hoeveelheid Vervaningen '[ton']]]*Referentie_Materiaal_Totaal[[#This Row],[% Secundair]]</f>
        <v>0</v>
      </c>
      <c r="K290" s="128">
        <f>Referentie_Materiaal_Totaal[[#This Row],[Primair materiaalverbruik '[ton']]]+Referentie_Materiaal_Totaal[[#This Row],[Primair materiaalverbruik Vervangingen '[ton']]]</f>
        <v>0</v>
      </c>
      <c r="L290" s="128">
        <f>Referentie_Materiaal_Totaal[[#This Row],[Secundair materiaalverbruik '[ton']]]+Referentie_Materiaal_Totaal[[#This Row],[Secundair materiaalverbruik Vervangingen '[ton']]]</f>
        <v>0</v>
      </c>
      <c r="M290" s="128">
        <f>Referentie_Materiaal_Totaal[[#This Row],[Totaal Primair Materieelgebruik]]+Referentie_Materiaal_Totaal[[#This Row],[Totaal Secundair Materieelgebruik]]</f>
        <v>0</v>
      </c>
      <c r="N290" s="13"/>
      <c r="O290" s="13"/>
      <c r="P290" s="13"/>
      <c r="Q290" s="13"/>
      <c r="R290" s="13"/>
      <c r="S290" s="13"/>
    </row>
    <row r="291" spans="2:19">
      <c r="B291" s="209">
        <f>Baseline!B83</f>
        <v>0</v>
      </c>
      <c r="C291" s="51">
        <f>Baseline!F83</f>
        <v>0</v>
      </c>
      <c r="D291" s="93">
        <f>Baseline!Q83</f>
        <v>0</v>
      </c>
      <c r="E291" s="60">
        <f>_xlfn.IFNA(VLOOKUP(Referentie_Materiaal_Totaal[[#This Row],[Product]]&amp;", "&amp;"Totaal",Database_Productkaarten[#All],64,FALSE),0)</f>
        <v>0</v>
      </c>
      <c r="F291" s="94">
        <f>Referentie_Materiaal_Totaal[[#This Row],[Hoeveelheid '[ton']]]*(1-Referentie_Materiaal_Totaal[[#This Row],[% Secundair]])</f>
        <v>0</v>
      </c>
      <c r="G291" s="94">
        <f>Referentie_Materiaal_Totaal[[#This Row],[Hoeveelheid '[ton']]]*Referentie_Materiaal_Totaal[[#This Row],[% Secundair]]</f>
        <v>0</v>
      </c>
      <c r="H291" s="128">
        <f>Baseline!Q83*Baseline!R83</f>
        <v>0</v>
      </c>
      <c r="I291" s="128">
        <f>Referentie_Materiaal_Totaal[[#This Row],[Hoeveelheid Vervaningen '[ton']]]*(1-Referentie_Materiaal_Totaal[[#This Row],[% Secundair]])</f>
        <v>0</v>
      </c>
      <c r="J291" s="128">
        <f>Referentie_Materiaal_Totaal[[#This Row],[Hoeveelheid Vervaningen '[ton']]]*Referentie_Materiaal_Totaal[[#This Row],[% Secundair]]</f>
        <v>0</v>
      </c>
      <c r="K291" s="128">
        <f>Referentie_Materiaal_Totaal[[#This Row],[Primair materiaalverbruik '[ton']]]+Referentie_Materiaal_Totaal[[#This Row],[Primair materiaalverbruik Vervangingen '[ton']]]</f>
        <v>0</v>
      </c>
      <c r="L291" s="128">
        <f>Referentie_Materiaal_Totaal[[#This Row],[Secundair materiaalverbruik '[ton']]]+Referentie_Materiaal_Totaal[[#This Row],[Secundair materiaalverbruik Vervangingen '[ton']]]</f>
        <v>0</v>
      </c>
      <c r="M291" s="128">
        <f>Referentie_Materiaal_Totaal[[#This Row],[Totaal Primair Materieelgebruik]]+Referentie_Materiaal_Totaal[[#This Row],[Totaal Secundair Materieelgebruik]]</f>
        <v>0</v>
      </c>
      <c r="N291" s="13"/>
      <c r="O291" s="13"/>
      <c r="P291" s="13"/>
      <c r="Q291" s="13"/>
      <c r="R291" s="13"/>
      <c r="S291" s="13"/>
    </row>
    <row r="292" spans="2:19">
      <c r="B292" s="209">
        <f>Baseline!B84</f>
        <v>0</v>
      </c>
      <c r="C292" s="51">
        <f>Baseline!F84</f>
        <v>0</v>
      </c>
      <c r="D292" s="93">
        <f>Baseline!Q84</f>
        <v>0</v>
      </c>
      <c r="E292" s="60">
        <f>_xlfn.IFNA(VLOOKUP(Referentie_Materiaal_Totaal[[#This Row],[Product]]&amp;", "&amp;"Totaal",Database_Productkaarten[#All],64,FALSE),0)</f>
        <v>0</v>
      </c>
      <c r="F292" s="94">
        <f>Referentie_Materiaal_Totaal[[#This Row],[Hoeveelheid '[ton']]]*(1-Referentie_Materiaal_Totaal[[#This Row],[% Secundair]])</f>
        <v>0</v>
      </c>
      <c r="G292" s="94">
        <f>Referentie_Materiaal_Totaal[[#This Row],[Hoeveelheid '[ton']]]*Referentie_Materiaal_Totaal[[#This Row],[% Secundair]]</f>
        <v>0</v>
      </c>
      <c r="H292" s="128">
        <f>Baseline!Q84*Baseline!R84</f>
        <v>0</v>
      </c>
      <c r="I292" s="128">
        <f>Referentie_Materiaal_Totaal[[#This Row],[Hoeveelheid Vervaningen '[ton']]]*(1-Referentie_Materiaal_Totaal[[#This Row],[% Secundair]])</f>
        <v>0</v>
      </c>
      <c r="J292" s="128">
        <f>Referentie_Materiaal_Totaal[[#This Row],[Hoeveelheid Vervaningen '[ton']]]*Referentie_Materiaal_Totaal[[#This Row],[% Secundair]]</f>
        <v>0</v>
      </c>
      <c r="K292" s="128">
        <f>Referentie_Materiaal_Totaal[[#This Row],[Primair materiaalverbruik '[ton']]]+Referentie_Materiaal_Totaal[[#This Row],[Primair materiaalverbruik Vervangingen '[ton']]]</f>
        <v>0</v>
      </c>
      <c r="L292" s="128">
        <f>Referentie_Materiaal_Totaal[[#This Row],[Secundair materiaalverbruik '[ton']]]+Referentie_Materiaal_Totaal[[#This Row],[Secundair materiaalverbruik Vervangingen '[ton']]]</f>
        <v>0</v>
      </c>
      <c r="M292" s="128">
        <f>Referentie_Materiaal_Totaal[[#This Row],[Totaal Primair Materieelgebruik]]+Referentie_Materiaal_Totaal[[#This Row],[Totaal Secundair Materieelgebruik]]</f>
        <v>0</v>
      </c>
      <c r="N292" s="13"/>
      <c r="O292" s="13"/>
      <c r="P292" s="13"/>
      <c r="Q292" s="13"/>
      <c r="R292" s="13"/>
      <c r="S292" s="13"/>
    </row>
    <row r="293" spans="2:19">
      <c r="B293" s="209">
        <f>Baseline!B85</f>
        <v>0</v>
      </c>
      <c r="C293" s="51">
        <f>Baseline!F85</f>
        <v>0</v>
      </c>
      <c r="D293" s="93">
        <f>Baseline!Q85</f>
        <v>0</v>
      </c>
      <c r="E293" s="60">
        <f>_xlfn.IFNA(VLOOKUP(Referentie_Materiaal_Totaal[[#This Row],[Product]]&amp;", "&amp;"Totaal",Database_Productkaarten[#All],64,FALSE),0)</f>
        <v>0</v>
      </c>
      <c r="F293" s="94">
        <f>Referentie_Materiaal_Totaal[[#This Row],[Hoeveelheid '[ton']]]*(1-Referentie_Materiaal_Totaal[[#This Row],[% Secundair]])</f>
        <v>0</v>
      </c>
      <c r="G293" s="94">
        <f>Referentie_Materiaal_Totaal[[#This Row],[Hoeveelheid '[ton']]]*Referentie_Materiaal_Totaal[[#This Row],[% Secundair]]</f>
        <v>0</v>
      </c>
      <c r="H293" s="128">
        <f>Baseline!Q85*Baseline!R85</f>
        <v>0</v>
      </c>
      <c r="I293" s="128">
        <f>Referentie_Materiaal_Totaal[[#This Row],[Hoeveelheid Vervaningen '[ton']]]*(1-Referentie_Materiaal_Totaal[[#This Row],[% Secundair]])</f>
        <v>0</v>
      </c>
      <c r="J293" s="128">
        <f>Referentie_Materiaal_Totaal[[#This Row],[Hoeveelheid Vervaningen '[ton']]]*Referentie_Materiaal_Totaal[[#This Row],[% Secundair]]</f>
        <v>0</v>
      </c>
      <c r="K293" s="128">
        <f>Referentie_Materiaal_Totaal[[#This Row],[Primair materiaalverbruik '[ton']]]+Referentie_Materiaal_Totaal[[#This Row],[Primair materiaalverbruik Vervangingen '[ton']]]</f>
        <v>0</v>
      </c>
      <c r="L293" s="128">
        <f>Referentie_Materiaal_Totaal[[#This Row],[Secundair materiaalverbruik '[ton']]]+Referentie_Materiaal_Totaal[[#This Row],[Secundair materiaalverbruik Vervangingen '[ton']]]</f>
        <v>0</v>
      </c>
      <c r="M293" s="128">
        <f>Referentie_Materiaal_Totaal[[#This Row],[Totaal Primair Materieelgebruik]]+Referentie_Materiaal_Totaal[[#This Row],[Totaal Secundair Materieelgebruik]]</f>
        <v>0</v>
      </c>
      <c r="N293" s="13"/>
      <c r="O293" s="13"/>
      <c r="P293" s="13"/>
      <c r="Q293" s="13"/>
      <c r="R293" s="13"/>
      <c r="S293" s="13"/>
    </row>
    <row r="294" spans="2:19">
      <c r="B294" s="209">
        <f>Baseline!B86</f>
        <v>0</v>
      </c>
      <c r="C294" s="51">
        <f>Baseline!F86</f>
        <v>0</v>
      </c>
      <c r="D294" s="93">
        <f>Baseline!Q86</f>
        <v>0</v>
      </c>
      <c r="E294" s="60">
        <f>_xlfn.IFNA(VLOOKUP(Referentie_Materiaal_Totaal[[#This Row],[Product]]&amp;", "&amp;"Totaal",Database_Productkaarten[#All],64,FALSE),0)</f>
        <v>0</v>
      </c>
      <c r="F294" s="94">
        <f>Referentie_Materiaal_Totaal[[#This Row],[Hoeveelheid '[ton']]]*(1-Referentie_Materiaal_Totaal[[#This Row],[% Secundair]])</f>
        <v>0</v>
      </c>
      <c r="G294" s="94">
        <f>Referentie_Materiaal_Totaal[[#This Row],[Hoeveelheid '[ton']]]*Referentie_Materiaal_Totaal[[#This Row],[% Secundair]]</f>
        <v>0</v>
      </c>
      <c r="H294" s="128">
        <f>Baseline!Q86*Baseline!R86</f>
        <v>0</v>
      </c>
      <c r="I294" s="128">
        <f>Referentie_Materiaal_Totaal[[#This Row],[Hoeveelheid Vervaningen '[ton']]]*(1-Referentie_Materiaal_Totaal[[#This Row],[% Secundair]])</f>
        <v>0</v>
      </c>
      <c r="J294" s="128">
        <f>Referentie_Materiaal_Totaal[[#This Row],[Hoeveelheid Vervaningen '[ton']]]*Referentie_Materiaal_Totaal[[#This Row],[% Secundair]]</f>
        <v>0</v>
      </c>
      <c r="K294" s="128">
        <f>Referentie_Materiaal_Totaal[[#This Row],[Primair materiaalverbruik '[ton']]]+Referentie_Materiaal_Totaal[[#This Row],[Primair materiaalverbruik Vervangingen '[ton']]]</f>
        <v>0</v>
      </c>
      <c r="L294" s="128">
        <f>Referentie_Materiaal_Totaal[[#This Row],[Secundair materiaalverbruik '[ton']]]+Referentie_Materiaal_Totaal[[#This Row],[Secundair materiaalverbruik Vervangingen '[ton']]]</f>
        <v>0</v>
      </c>
      <c r="M294" s="128">
        <f>Referentie_Materiaal_Totaal[[#This Row],[Totaal Primair Materieelgebruik]]+Referentie_Materiaal_Totaal[[#This Row],[Totaal Secundair Materieelgebruik]]</f>
        <v>0</v>
      </c>
      <c r="N294" s="13"/>
      <c r="O294" s="13"/>
      <c r="P294" s="13"/>
      <c r="Q294" s="13"/>
      <c r="R294" s="13"/>
      <c r="S294" s="13"/>
    </row>
    <row r="295" spans="2:19">
      <c r="B295" s="209">
        <f>Baseline!B87</f>
        <v>0</v>
      </c>
      <c r="C295" s="51">
        <f>Baseline!F87</f>
        <v>0</v>
      </c>
      <c r="D295" s="93">
        <f>Baseline!Q87</f>
        <v>0</v>
      </c>
      <c r="E295" s="60">
        <f>_xlfn.IFNA(VLOOKUP(Referentie_Materiaal_Totaal[[#This Row],[Product]]&amp;", "&amp;"Totaal",Database_Productkaarten[#All],64,FALSE),0)</f>
        <v>0</v>
      </c>
      <c r="F295" s="94">
        <f>Referentie_Materiaal_Totaal[[#This Row],[Hoeveelheid '[ton']]]*(1-Referentie_Materiaal_Totaal[[#This Row],[% Secundair]])</f>
        <v>0</v>
      </c>
      <c r="G295" s="94">
        <f>Referentie_Materiaal_Totaal[[#This Row],[Hoeveelheid '[ton']]]*Referentie_Materiaal_Totaal[[#This Row],[% Secundair]]</f>
        <v>0</v>
      </c>
      <c r="H295" s="128">
        <f>Baseline!Q87*Baseline!R87</f>
        <v>0</v>
      </c>
      <c r="I295" s="128">
        <f>Referentie_Materiaal_Totaal[[#This Row],[Hoeveelheid Vervaningen '[ton']]]*(1-Referentie_Materiaal_Totaal[[#This Row],[% Secundair]])</f>
        <v>0</v>
      </c>
      <c r="J295" s="128">
        <f>Referentie_Materiaal_Totaal[[#This Row],[Hoeveelheid Vervaningen '[ton']]]*Referentie_Materiaal_Totaal[[#This Row],[% Secundair]]</f>
        <v>0</v>
      </c>
      <c r="K295" s="128">
        <f>Referentie_Materiaal_Totaal[[#This Row],[Primair materiaalverbruik '[ton']]]+Referentie_Materiaal_Totaal[[#This Row],[Primair materiaalverbruik Vervangingen '[ton']]]</f>
        <v>0</v>
      </c>
      <c r="L295" s="128">
        <f>Referentie_Materiaal_Totaal[[#This Row],[Secundair materiaalverbruik '[ton']]]+Referentie_Materiaal_Totaal[[#This Row],[Secundair materiaalverbruik Vervangingen '[ton']]]</f>
        <v>0</v>
      </c>
      <c r="M295" s="128">
        <f>Referentie_Materiaal_Totaal[[#This Row],[Totaal Primair Materieelgebruik]]+Referentie_Materiaal_Totaal[[#This Row],[Totaal Secundair Materieelgebruik]]</f>
        <v>0</v>
      </c>
      <c r="N295" s="13"/>
      <c r="O295" s="13"/>
      <c r="P295" s="13"/>
      <c r="Q295" s="13"/>
      <c r="R295" s="13"/>
      <c r="S295" s="13"/>
    </row>
    <row r="296" spans="2:19">
      <c r="B296" s="209">
        <f>Baseline!B88</f>
        <v>0</v>
      </c>
      <c r="C296" s="51">
        <f>Baseline!F88</f>
        <v>0</v>
      </c>
      <c r="D296" s="93">
        <f>Baseline!Q88</f>
        <v>0</v>
      </c>
      <c r="E296" s="60">
        <f>_xlfn.IFNA(VLOOKUP(Referentie_Materiaal_Totaal[[#This Row],[Product]]&amp;", "&amp;"Totaal",Database_Productkaarten[#All],64,FALSE),0)</f>
        <v>0</v>
      </c>
      <c r="F296" s="94">
        <f>Referentie_Materiaal_Totaal[[#This Row],[Hoeveelheid '[ton']]]*(1-Referentie_Materiaal_Totaal[[#This Row],[% Secundair]])</f>
        <v>0</v>
      </c>
      <c r="G296" s="94">
        <f>Referentie_Materiaal_Totaal[[#This Row],[Hoeveelheid '[ton']]]*Referentie_Materiaal_Totaal[[#This Row],[% Secundair]]</f>
        <v>0</v>
      </c>
      <c r="H296" s="128">
        <f>Baseline!Q88*Baseline!R88</f>
        <v>0</v>
      </c>
      <c r="I296" s="128">
        <f>Referentie_Materiaal_Totaal[[#This Row],[Hoeveelheid Vervaningen '[ton']]]*(1-Referentie_Materiaal_Totaal[[#This Row],[% Secundair]])</f>
        <v>0</v>
      </c>
      <c r="J296" s="128">
        <f>Referentie_Materiaal_Totaal[[#This Row],[Hoeveelheid Vervaningen '[ton']]]*Referentie_Materiaal_Totaal[[#This Row],[% Secundair]]</f>
        <v>0</v>
      </c>
      <c r="K296" s="128">
        <f>Referentie_Materiaal_Totaal[[#This Row],[Primair materiaalverbruik '[ton']]]+Referentie_Materiaal_Totaal[[#This Row],[Primair materiaalverbruik Vervangingen '[ton']]]</f>
        <v>0</v>
      </c>
      <c r="L296" s="128">
        <f>Referentie_Materiaal_Totaal[[#This Row],[Secundair materiaalverbruik '[ton']]]+Referentie_Materiaal_Totaal[[#This Row],[Secundair materiaalverbruik Vervangingen '[ton']]]</f>
        <v>0</v>
      </c>
      <c r="M296" s="128">
        <f>Referentie_Materiaal_Totaal[[#This Row],[Totaal Primair Materieelgebruik]]+Referentie_Materiaal_Totaal[[#This Row],[Totaal Secundair Materieelgebruik]]</f>
        <v>0</v>
      </c>
      <c r="N296" s="13"/>
      <c r="O296" s="13"/>
      <c r="P296" s="13"/>
      <c r="Q296" s="13"/>
      <c r="R296" s="13"/>
      <c r="S296" s="13"/>
    </row>
    <row r="297" spans="2:19">
      <c r="B297" s="209">
        <f>Baseline!B89</f>
        <v>0</v>
      </c>
      <c r="C297" s="51">
        <f>Baseline!F89</f>
        <v>0</v>
      </c>
      <c r="D297" s="93">
        <f>Baseline!Q89</f>
        <v>0</v>
      </c>
      <c r="E297" s="60">
        <f>_xlfn.IFNA(VLOOKUP(Referentie_Materiaal_Totaal[[#This Row],[Product]]&amp;", "&amp;"Totaal",Database_Productkaarten[#All],64,FALSE),0)</f>
        <v>0</v>
      </c>
      <c r="F297" s="94">
        <f>Referentie_Materiaal_Totaal[[#This Row],[Hoeveelheid '[ton']]]*(1-Referentie_Materiaal_Totaal[[#This Row],[% Secundair]])</f>
        <v>0</v>
      </c>
      <c r="G297" s="94">
        <f>Referentie_Materiaal_Totaal[[#This Row],[Hoeveelheid '[ton']]]*Referentie_Materiaal_Totaal[[#This Row],[% Secundair]]</f>
        <v>0</v>
      </c>
      <c r="H297" s="128">
        <f>Baseline!Q89*Baseline!R89</f>
        <v>0</v>
      </c>
      <c r="I297" s="128">
        <f>Referentie_Materiaal_Totaal[[#This Row],[Hoeveelheid Vervaningen '[ton']]]*(1-Referentie_Materiaal_Totaal[[#This Row],[% Secundair]])</f>
        <v>0</v>
      </c>
      <c r="J297" s="128">
        <f>Referentie_Materiaal_Totaal[[#This Row],[Hoeveelheid Vervaningen '[ton']]]*Referentie_Materiaal_Totaal[[#This Row],[% Secundair]]</f>
        <v>0</v>
      </c>
      <c r="K297" s="128">
        <f>Referentie_Materiaal_Totaal[[#This Row],[Primair materiaalverbruik '[ton']]]+Referentie_Materiaal_Totaal[[#This Row],[Primair materiaalverbruik Vervangingen '[ton']]]</f>
        <v>0</v>
      </c>
      <c r="L297" s="128">
        <f>Referentie_Materiaal_Totaal[[#This Row],[Secundair materiaalverbruik '[ton']]]+Referentie_Materiaal_Totaal[[#This Row],[Secundair materiaalverbruik Vervangingen '[ton']]]</f>
        <v>0</v>
      </c>
      <c r="M297" s="128">
        <f>Referentie_Materiaal_Totaal[[#This Row],[Totaal Primair Materieelgebruik]]+Referentie_Materiaal_Totaal[[#This Row],[Totaal Secundair Materieelgebruik]]</f>
        <v>0</v>
      </c>
      <c r="N297" s="13"/>
      <c r="O297" s="13"/>
      <c r="P297" s="13"/>
      <c r="Q297" s="13"/>
      <c r="R297" s="13"/>
      <c r="S297" s="13"/>
    </row>
    <row r="298" spans="2:19">
      <c r="B298" s="209">
        <f>Baseline!B90</f>
        <v>0</v>
      </c>
      <c r="C298" s="51">
        <f>Baseline!F90</f>
        <v>0</v>
      </c>
      <c r="D298" s="93">
        <f>Baseline!Q90</f>
        <v>0</v>
      </c>
      <c r="E298" s="60">
        <f>_xlfn.IFNA(VLOOKUP(Referentie_Materiaal_Totaal[[#This Row],[Product]]&amp;", "&amp;"Totaal",Database_Productkaarten[#All],64,FALSE),0)</f>
        <v>0</v>
      </c>
      <c r="F298" s="94">
        <f>Referentie_Materiaal_Totaal[[#This Row],[Hoeveelheid '[ton']]]*(1-Referentie_Materiaal_Totaal[[#This Row],[% Secundair]])</f>
        <v>0</v>
      </c>
      <c r="G298" s="94">
        <f>Referentie_Materiaal_Totaal[[#This Row],[Hoeveelheid '[ton']]]*Referentie_Materiaal_Totaal[[#This Row],[% Secundair]]</f>
        <v>0</v>
      </c>
      <c r="H298" s="128">
        <f>Baseline!Q90*Baseline!R90</f>
        <v>0</v>
      </c>
      <c r="I298" s="128">
        <f>Referentie_Materiaal_Totaal[[#This Row],[Hoeveelheid Vervaningen '[ton']]]*(1-Referentie_Materiaal_Totaal[[#This Row],[% Secundair]])</f>
        <v>0</v>
      </c>
      <c r="J298" s="128">
        <f>Referentie_Materiaal_Totaal[[#This Row],[Hoeveelheid Vervaningen '[ton']]]*Referentie_Materiaal_Totaal[[#This Row],[% Secundair]]</f>
        <v>0</v>
      </c>
      <c r="K298" s="128">
        <f>Referentie_Materiaal_Totaal[[#This Row],[Primair materiaalverbruik '[ton']]]+Referentie_Materiaal_Totaal[[#This Row],[Primair materiaalverbruik Vervangingen '[ton']]]</f>
        <v>0</v>
      </c>
      <c r="L298" s="128">
        <f>Referentie_Materiaal_Totaal[[#This Row],[Secundair materiaalverbruik '[ton']]]+Referentie_Materiaal_Totaal[[#This Row],[Secundair materiaalverbruik Vervangingen '[ton']]]</f>
        <v>0</v>
      </c>
      <c r="M298" s="128">
        <f>Referentie_Materiaal_Totaal[[#This Row],[Totaal Primair Materieelgebruik]]+Referentie_Materiaal_Totaal[[#This Row],[Totaal Secundair Materieelgebruik]]</f>
        <v>0</v>
      </c>
      <c r="N298" s="13"/>
      <c r="O298" s="13"/>
      <c r="P298" s="13"/>
      <c r="Q298" s="13"/>
      <c r="R298" s="13"/>
      <c r="S298" s="13"/>
    </row>
    <row r="299" spans="2:19">
      <c r="B299" s="209">
        <f>Baseline!B91</f>
        <v>0</v>
      </c>
      <c r="C299" s="51">
        <f>Baseline!F91</f>
        <v>0</v>
      </c>
      <c r="D299" s="93">
        <f>Baseline!Q91</f>
        <v>0</v>
      </c>
      <c r="E299" s="60">
        <f>_xlfn.IFNA(VLOOKUP(Referentie_Materiaal_Totaal[[#This Row],[Product]]&amp;", "&amp;"Totaal",Database_Productkaarten[#All],64,FALSE),0)</f>
        <v>0</v>
      </c>
      <c r="F299" s="94">
        <f>Referentie_Materiaal_Totaal[[#This Row],[Hoeveelheid '[ton']]]*(1-Referentie_Materiaal_Totaal[[#This Row],[% Secundair]])</f>
        <v>0</v>
      </c>
      <c r="G299" s="94">
        <f>Referentie_Materiaal_Totaal[[#This Row],[Hoeveelheid '[ton']]]*Referentie_Materiaal_Totaal[[#This Row],[% Secundair]]</f>
        <v>0</v>
      </c>
      <c r="H299" s="128">
        <f>Baseline!Q91*Baseline!R91</f>
        <v>0</v>
      </c>
      <c r="I299" s="128">
        <f>Referentie_Materiaal_Totaal[[#This Row],[Hoeveelheid Vervaningen '[ton']]]*(1-Referentie_Materiaal_Totaal[[#This Row],[% Secundair]])</f>
        <v>0</v>
      </c>
      <c r="J299" s="128">
        <f>Referentie_Materiaal_Totaal[[#This Row],[Hoeveelheid Vervaningen '[ton']]]*Referentie_Materiaal_Totaal[[#This Row],[% Secundair]]</f>
        <v>0</v>
      </c>
      <c r="K299" s="128">
        <f>Referentie_Materiaal_Totaal[[#This Row],[Primair materiaalverbruik '[ton']]]+Referentie_Materiaal_Totaal[[#This Row],[Primair materiaalverbruik Vervangingen '[ton']]]</f>
        <v>0</v>
      </c>
      <c r="L299" s="128">
        <f>Referentie_Materiaal_Totaal[[#This Row],[Secundair materiaalverbruik '[ton']]]+Referentie_Materiaal_Totaal[[#This Row],[Secundair materiaalverbruik Vervangingen '[ton']]]</f>
        <v>0</v>
      </c>
      <c r="M299" s="128">
        <f>Referentie_Materiaal_Totaal[[#This Row],[Totaal Primair Materieelgebruik]]+Referentie_Materiaal_Totaal[[#This Row],[Totaal Secundair Materieelgebruik]]</f>
        <v>0</v>
      </c>
      <c r="N299" s="13"/>
      <c r="O299" s="13"/>
      <c r="P299" s="13"/>
      <c r="Q299" s="13"/>
      <c r="R299" s="13"/>
      <c r="S299" s="13"/>
    </row>
    <row r="300" spans="2:19">
      <c r="B300" s="209">
        <f>Baseline!B92</f>
        <v>0</v>
      </c>
      <c r="C300" s="51">
        <f>Baseline!F92</f>
        <v>0</v>
      </c>
      <c r="D300" s="93">
        <f>Baseline!Q92</f>
        <v>0</v>
      </c>
      <c r="E300" s="60">
        <f>_xlfn.IFNA(VLOOKUP(Referentie_Materiaal_Totaal[[#This Row],[Product]]&amp;", "&amp;"Totaal",Database_Productkaarten[#All],64,FALSE),0)</f>
        <v>0</v>
      </c>
      <c r="F300" s="94">
        <f>Referentie_Materiaal_Totaal[[#This Row],[Hoeveelheid '[ton']]]*(1-Referentie_Materiaal_Totaal[[#This Row],[% Secundair]])</f>
        <v>0</v>
      </c>
      <c r="G300" s="94">
        <f>Referentie_Materiaal_Totaal[[#This Row],[Hoeveelheid '[ton']]]*Referentie_Materiaal_Totaal[[#This Row],[% Secundair]]</f>
        <v>0</v>
      </c>
      <c r="H300" s="128">
        <f>Baseline!Q92*Baseline!R92</f>
        <v>0</v>
      </c>
      <c r="I300" s="128">
        <f>Referentie_Materiaal_Totaal[[#This Row],[Hoeveelheid Vervaningen '[ton']]]*(1-Referentie_Materiaal_Totaal[[#This Row],[% Secundair]])</f>
        <v>0</v>
      </c>
      <c r="J300" s="128">
        <f>Referentie_Materiaal_Totaal[[#This Row],[Hoeveelheid Vervaningen '[ton']]]*Referentie_Materiaal_Totaal[[#This Row],[% Secundair]]</f>
        <v>0</v>
      </c>
      <c r="K300" s="128">
        <f>Referentie_Materiaal_Totaal[[#This Row],[Primair materiaalverbruik '[ton']]]+Referentie_Materiaal_Totaal[[#This Row],[Primair materiaalverbruik Vervangingen '[ton']]]</f>
        <v>0</v>
      </c>
      <c r="L300" s="128">
        <f>Referentie_Materiaal_Totaal[[#This Row],[Secundair materiaalverbruik '[ton']]]+Referentie_Materiaal_Totaal[[#This Row],[Secundair materiaalverbruik Vervangingen '[ton']]]</f>
        <v>0</v>
      </c>
      <c r="M300" s="128">
        <f>Referentie_Materiaal_Totaal[[#This Row],[Totaal Primair Materieelgebruik]]+Referentie_Materiaal_Totaal[[#This Row],[Totaal Secundair Materieelgebruik]]</f>
        <v>0</v>
      </c>
      <c r="N300" s="13"/>
      <c r="O300" s="13"/>
      <c r="P300" s="13"/>
      <c r="Q300" s="13"/>
      <c r="R300" s="13"/>
      <c r="S300" s="13"/>
    </row>
    <row r="301" spans="2:19">
      <c r="B301" s="209">
        <f>Baseline!B93</f>
        <v>0</v>
      </c>
      <c r="C301" s="51">
        <f>Baseline!F93</f>
        <v>0</v>
      </c>
      <c r="D301" s="93">
        <f>Baseline!Q93</f>
        <v>0</v>
      </c>
      <c r="E301" s="60">
        <f>_xlfn.IFNA(VLOOKUP(Referentie_Materiaal_Totaal[[#This Row],[Product]]&amp;", "&amp;"Totaal",Database_Productkaarten[#All],64,FALSE),0)</f>
        <v>0</v>
      </c>
      <c r="F301" s="94">
        <f>Referentie_Materiaal_Totaal[[#This Row],[Hoeveelheid '[ton']]]*(1-Referentie_Materiaal_Totaal[[#This Row],[% Secundair]])</f>
        <v>0</v>
      </c>
      <c r="G301" s="94">
        <f>Referentie_Materiaal_Totaal[[#This Row],[Hoeveelheid '[ton']]]*Referentie_Materiaal_Totaal[[#This Row],[% Secundair]]</f>
        <v>0</v>
      </c>
      <c r="H301" s="128">
        <f>Baseline!Q93*Baseline!R93</f>
        <v>0</v>
      </c>
      <c r="I301" s="128">
        <f>Referentie_Materiaal_Totaal[[#This Row],[Hoeveelheid Vervaningen '[ton']]]*(1-Referentie_Materiaal_Totaal[[#This Row],[% Secundair]])</f>
        <v>0</v>
      </c>
      <c r="J301" s="128">
        <f>Referentie_Materiaal_Totaal[[#This Row],[Hoeveelheid Vervaningen '[ton']]]*Referentie_Materiaal_Totaal[[#This Row],[% Secundair]]</f>
        <v>0</v>
      </c>
      <c r="K301" s="128">
        <f>Referentie_Materiaal_Totaal[[#This Row],[Primair materiaalverbruik '[ton']]]+Referentie_Materiaal_Totaal[[#This Row],[Primair materiaalverbruik Vervangingen '[ton']]]</f>
        <v>0</v>
      </c>
      <c r="L301" s="128">
        <f>Referentie_Materiaal_Totaal[[#This Row],[Secundair materiaalverbruik '[ton']]]+Referentie_Materiaal_Totaal[[#This Row],[Secundair materiaalverbruik Vervangingen '[ton']]]</f>
        <v>0</v>
      </c>
      <c r="M301" s="128">
        <f>Referentie_Materiaal_Totaal[[#This Row],[Totaal Primair Materieelgebruik]]+Referentie_Materiaal_Totaal[[#This Row],[Totaal Secundair Materieelgebruik]]</f>
        <v>0</v>
      </c>
      <c r="N301" s="13"/>
      <c r="O301" s="13"/>
      <c r="P301" s="13"/>
      <c r="Q301" s="13"/>
      <c r="R301" s="13"/>
      <c r="S301" s="13"/>
    </row>
    <row r="302" spans="2:19">
      <c r="B302" s="209">
        <f>Baseline!B94</f>
        <v>0</v>
      </c>
      <c r="C302" s="51">
        <f>Baseline!F94</f>
        <v>0</v>
      </c>
      <c r="D302" s="93">
        <f>Baseline!Q94</f>
        <v>0</v>
      </c>
      <c r="E302" s="60">
        <f>_xlfn.IFNA(VLOOKUP(Referentie_Materiaal_Totaal[[#This Row],[Product]]&amp;", "&amp;"Totaal",Database_Productkaarten[#All],64,FALSE),0)</f>
        <v>0</v>
      </c>
      <c r="F302" s="94">
        <f>Referentie_Materiaal_Totaal[[#This Row],[Hoeveelheid '[ton']]]*(1-Referentie_Materiaal_Totaal[[#This Row],[% Secundair]])</f>
        <v>0</v>
      </c>
      <c r="G302" s="94">
        <f>Referentie_Materiaal_Totaal[[#This Row],[Hoeveelheid '[ton']]]*Referentie_Materiaal_Totaal[[#This Row],[% Secundair]]</f>
        <v>0</v>
      </c>
      <c r="H302" s="128">
        <f>Baseline!Q94*Baseline!R94</f>
        <v>0</v>
      </c>
      <c r="I302" s="128">
        <f>Referentie_Materiaal_Totaal[[#This Row],[Hoeveelheid Vervaningen '[ton']]]*(1-Referentie_Materiaal_Totaal[[#This Row],[% Secundair]])</f>
        <v>0</v>
      </c>
      <c r="J302" s="128">
        <f>Referentie_Materiaal_Totaal[[#This Row],[Hoeveelheid Vervaningen '[ton']]]*Referentie_Materiaal_Totaal[[#This Row],[% Secundair]]</f>
        <v>0</v>
      </c>
      <c r="K302" s="128">
        <f>Referentie_Materiaal_Totaal[[#This Row],[Primair materiaalverbruik '[ton']]]+Referentie_Materiaal_Totaal[[#This Row],[Primair materiaalverbruik Vervangingen '[ton']]]</f>
        <v>0</v>
      </c>
      <c r="L302" s="128">
        <f>Referentie_Materiaal_Totaal[[#This Row],[Secundair materiaalverbruik '[ton']]]+Referentie_Materiaal_Totaal[[#This Row],[Secundair materiaalverbruik Vervangingen '[ton']]]</f>
        <v>0</v>
      </c>
      <c r="M302" s="128">
        <f>Referentie_Materiaal_Totaal[[#This Row],[Totaal Primair Materieelgebruik]]+Referentie_Materiaal_Totaal[[#This Row],[Totaal Secundair Materieelgebruik]]</f>
        <v>0</v>
      </c>
      <c r="N302" s="13"/>
      <c r="O302" s="13"/>
      <c r="P302" s="13"/>
      <c r="Q302" s="13"/>
      <c r="R302" s="13"/>
      <c r="S302" s="13"/>
    </row>
    <row r="303" spans="2:19">
      <c r="B303" s="209">
        <f>Baseline!B95</f>
        <v>0</v>
      </c>
      <c r="C303" s="51">
        <f>Baseline!F95</f>
        <v>0</v>
      </c>
      <c r="D303" s="93">
        <f>Baseline!Q95</f>
        <v>0</v>
      </c>
      <c r="E303" s="60">
        <f>_xlfn.IFNA(VLOOKUP(Referentie_Materiaal_Totaal[[#This Row],[Product]]&amp;", "&amp;"Totaal",Database_Productkaarten[#All],64,FALSE),0)</f>
        <v>0</v>
      </c>
      <c r="F303" s="94">
        <f>Referentie_Materiaal_Totaal[[#This Row],[Hoeveelheid '[ton']]]*(1-Referentie_Materiaal_Totaal[[#This Row],[% Secundair]])</f>
        <v>0</v>
      </c>
      <c r="G303" s="94">
        <f>Referentie_Materiaal_Totaal[[#This Row],[Hoeveelheid '[ton']]]*Referentie_Materiaal_Totaal[[#This Row],[% Secundair]]</f>
        <v>0</v>
      </c>
      <c r="H303" s="128">
        <f>Baseline!Q95*Baseline!R95</f>
        <v>0</v>
      </c>
      <c r="I303" s="128">
        <f>Referentie_Materiaal_Totaal[[#This Row],[Hoeveelheid Vervaningen '[ton']]]*(1-Referentie_Materiaal_Totaal[[#This Row],[% Secundair]])</f>
        <v>0</v>
      </c>
      <c r="J303" s="128">
        <f>Referentie_Materiaal_Totaal[[#This Row],[Hoeveelheid Vervaningen '[ton']]]*Referentie_Materiaal_Totaal[[#This Row],[% Secundair]]</f>
        <v>0</v>
      </c>
      <c r="K303" s="128">
        <f>Referentie_Materiaal_Totaal[[#This Row],[Primair materiaalverbruik '[ton']]]+Referentie_Materiaal_Totaal[[#This Row],[Primair materiaalverbruik Vervangingen '[ton']]]</f>
        <v>0</v>
      </c>
      <c r="L303" s="128">
        <f>Referentie_Materiaal_Totaal[[#This Row],[Secundair materiaalverbruik '[ton']]]+Referentie_Materiaal_Totaal[[#This Row],[Secundair materiaalverbruik Vervangingen '[ton']]]</f>
        <v>0</v>
      </c>
      <c r="M303" s="128">
        <f>Referentie_Materiaal_Totaal[[#This Row],[Totaal Primair Materieelgebruik]]+Referentie_Materiaal_Totaal[[#This Row],[Totaal Secundair Materieelgebruik]]</f>
        <v>0</v>
      </c>
      <c r="N303" s="13"/>
      <c r="O303" s="13"/>
      <c r="P303" s="13"/>
      <c r="Q303" s="13"/>
      <c r="R303" s="13"/>
      <c r="S303" s="13"/>
    </row>
    <row r="304" spans="2:19">
      <c r="B304" s="209">
        <f>Baseline!B96</f>
        <v>0</v>
      </c>
      <c r="C304" s="51">
        <f>Baseline!F96</f>
        <v>0</v>
      </c>
      <c r="D304" s="93">
        <f>Baseline!Q96</f>
        <v>0</v>
      </c>
      <c r="E304" s="60">
        <f>_xlfn.IFNA(VLOOKUP(Referentie_Materiaal_Totaal[[#This Row],[Product]]&amp;", "&amp;"Totaal",Database_Productkaarten[#All],64,FALSE),0)</f>
        <v>0</v>
      </c>
      <c r="F304" s="94">
        <f>Referentie_Materiaal_Totaal[[#This Row],[Hoeveelheid '[ton']]]*(1-Referentie_Materiaal_Totaal[[#This Row],[% Secundair]])</f>
        <v>0</v>
      </c>
      <c r="G304" s="94">
        <f>Referentie_Materiaal_Totaal[[#This Row],[Hoeveelheid '[ton']]]*Referentie_Materiaal_Totaal[[#This Row],[% Secundair]]</f>
        <v>0</v>
      </c>
      <c r="H304" s="128">
        <f>Baseline!Q96*Baseline!R96</f>
        <v>0</v>
      </c>
      <c r="I304" s="128">
        <f>Referentie_Materiaal_Totaal[[#This Row],[Hoeveelheid Vervaningen '[ton']]]*(1-Referentie_Materiaal_Totaal[[#This Row],[% Secundair]])</f>
        <v>0</v>
      </c>
      <c r="J304" s="128">
        <f>Referentie_Materiaal_Totaal[[#This Row],[Hoeveelheid Vervaningen '[ton']]]*Referentie_Materiaal_Totaal[[#This Row],[% Secundair]]</f>
        <v>0</v>
      </c>
      <c r="K304" s="128">
        <f>Referentie_Materiaal_Totaal[[#This Row],[Primair materiaalverbruik '[ton']]]+Referentie_Materiaal_Totaal[[#This Row],[Primair materiaalverbruik Vervangingen '[ton']]]</f>
        <v>0</v>
      </c>
      <c r="L304" s="128">
        <f>Referentie_Materiaal_Totaal[[#This Row],[Secundair materiaalverbruik '[ton']]]+Referentie_Materiaal_Totaal[[#This Row],[Secundair materiaalverbruik Vervangingen '[ton']]]</f>
        <v>0</v>
      </c>
      <c r="M304" s="128">
        <f>Referentie_Materiaal_Totaal[[#This Row],[Totaal Primair Materieelgebruik]]+Referentie_Materiaal_Totaal[[#This Row],[Totaal Secundair Materieelgebruik]]</f>
        <v>0</v>
      </c>
      <c r="N304" s="13"/>
      <c r="O304" s="13"/>
      <c r="P304" s="13"/>
      <c r="Q304" s="13"/>
      <c r="R304" s="13"/>
      <c r="S304" s="13"/>
    </row>
    <row r="305" spans="2:19">
      <c r="B305" s="209">
        <f>Baseline!B97</f>
        <v>0</v>
      </c>
      <c r="C305" s="51">
        <f>Baseline!F97</f>
        <v>0</v>
      </c>
      <c r="D305" s="93">
        <f>Baseline!Q97</f>
        <v>0</v>
      </c>
      <c r="E305" s="60">
        <f>_xlfn.IFNA(VLOOKUP(Referentie_Materiaal_Totaal[[#This Row],[Product]]&amp;", "&amp;"Totaal",Database_Productkaarten[#All],64,FALSE),0)</f>
        <v>0</v>
      </c>
      <c r="F305" s="94">
        <f>Referentie_Materiaal_Totaal[[#This Row],[Hoeveelheid '[ton']]]*(1-Referentie_Materiaal_Totaal[[#This Row],[% Secundair]])</f>
        <v>0</v>
      </c>
      <c r="G305" s="94">
        <f>Referentie_Materiaal_Totaal[[#This Row],[Hoeveelheid '[ton']]]*Referentie_Materiaal_Totaal[[#This Row],[% Secundair]]</f>
        <v>0</v>
      </c>
      <c r="H305" s="128">
        <f>Baseline!Q97*Baseline!R97</f>
        <v>0</v>
      </c>
      <c r="I305" s="128">
        <f>Referentie_Materiaal_Totaal[[#This Row],[Hoeveelheid Vervaningen '[ton']]]*(1-Referentie_Materiaal_Totaal[[#This Row],[% Secundair]])</f>
        <v>0</v>
      </c>
      <c r="J305" s="128">
        <f>Referentie_Materiaal_Totaal[[#This Row],[Hoeveelheid Vervaningen '[ton']]]*Referentie_Materiaal_Totaal[[#This Row],[% Secundair]]</f>
        <v>0</v>
      </c>
      <c r="K305" s="128">
        <f>Referentie_Materiaal_Totaal[[#This Row],[Primair materiaalverbruik '[ton']]]+Referentie_Materiaal_Totaal[[#This Row],[Primair materiaalverbruik Vervangingen '[ton']]]</f>
        <v>0</v>
      </c>
      <c r="L305" s="128">
        <f>Referentie_Materiaal_Totaal[[#This Row],[Secundair materiaalverbruik '[ton']]]+Referentie_Materiaal_Totaal[[#This Row],[Secundair materiaalverbruik Vervangingen '[ton']]]</f>
        <v>0</v>
      </c>
      <c r="M305" s="128">
        <f>Referentie_Materiaal_Totaal[[#This Row],[Totaal Primair Materieelgebruik]]+Referentie_Materiaal_Totaal[[#This Row],[Totaal Secundair Materieelgebruik]]</f>
        <v>0</v>
      </c>
      <c r="N305" s="13"/>
      <c r="O305" s="13"/>
      <c r="P305" s="13"/>
      <c r="Q305" s="13"/>
      <c r="R305" s="13"/>
      <c r="S305" s="13"/>
    </row>
    <row r="306" spans="2:19">
      <c r="B306" s="209">
        <f>Baseline!B98</f>
        <v>0</v>
      </c>
      <c r="C306" s="51">
        <f>Baseline!F98</f>
        <v>0</v>
      </c>
      <c r="D306" s="93">
        <f>Baseline!Q98</f>
        <v>0</v>
      </c>
      <c r="E306" s="60">
        <f>_xlfn.IFNA(VLOOKUP(Referentie_Materiaal_Totaal[[#This Row],[Product]]&amp;", "&amp;"Totaal",Database_Productkaarten[#All],64,FALSE),0)</f>
        <v>0</v>
      </c>
      <c r="F306" s="94">
        <f>Referentie_Materiaal_Totaal[[#This Row],[Hoeveelheid '[ton']]]*(1-Referentie_Materiaal_Totaal[[#This Row],[% Secundair]])</f>
        <v>0</v>
      </c>
      <c r="G306" s="94">
        <f>Referentie_Materiaal_Totaal[[#This Row],[Hoeveelheid '[ton']]]*Referentie_Materiaal_Totaal[[#This Row],[% Secundair]]</f>
        <v>0</v>
      </c>
      <c r="H306" s="128">
        <f>Baseline!Q98*Baseline!R98</f>
        <v>0</v>
      </c>
      <c r="I306" s="128">
        <f>Referentie_Materiaal_Totaal[[#This Row],[Hoeveelheid Vervaningen '[ton']]]*(1-Referentie_Materiaal_Totaal[[#This Row],[% Secundair]])</f>
        <v>0</v>
      </c>
      <c r="J306" s="128">
        <f>Referentie_Materiaal_Totaal[[#This Row],[Hoeveelheid Vervaningen '[ton']]]*Referentie_Materiaal_Totaal[[#This Row],[% Secundair]]</f>
        <v>0</v>
      </c>
      <c r="K306" s="128">
        <f>Referentie_Materiaal_Totaal[[#This Row],[Primair materiaalverbruik '[ton']]]+Referentie_Materiaal_Totaal[[#This Row],[Primair materiaalverbruik Vervangingen '[ton']]]</f>
        <v>0</v>
      </c>
      <c r="L306" s="128">
        <f>Referentie_Materiaal_Totaal[[#This Row],[Secundair materiaalverbruik '[ton']]]+Referentie_Materiaal_Totaal[[#This Row],[Secundair materiaalverbruik Vervangingen '[ton']]]</f>
        <v>0</v>
      </c>
      <c r="M306" s="128">
        <f>Referentie_Materiaal_Totaal[[#This Row],[Totaal Primair Materieelgebruik]]+Referentie_Materiaal_Totaal[[#This Row],[Totaal Secundair Materieelgebruik]]</f>
        <v>0</v>
      </c>
      <c r="N306" s="13"/>
      <c r="O306" s="13"/>
      <c r="P306" s="13"/>
      <c r="Q306" s="13"/>
      <c r="R306" s="13"/>
      <c r="S306" s="13"/>
    </row>
    <row r="307" spans="2:19">
      <c r="B307" s="209">
        <f>Baseline!B99</f>
        <v>0</v>
      </c>
      <c r="C307" s="51">
        <f>Baseline!F99</f>
        <v>0</v>
      </c>
      <c r="D307" s="93">
        <f>Baseline!Q99</f>
        <v>0</v>
      </c>
      <c r="E307" s="60">
        <f>_xlfn.IFNA(VLOOKUP(Referentie_Materiaal_Totaal[[#This Row],[Product]]&amp;", "&amp;"Totaal",Database_Productkaarten[#All],64,FALSE),0)</f>
        <v>0</v>
      </c>
      <c r="F307" s="94">
        <f>Referentie_Materiaal_Totaal[[#This Row],[Hoeveelheid '[ton']]]*(1-Referentie_Materiaal_Totaal[[#This Row],[% Secundair]])</f>
        <v>0</v>
      </c>
      <c r="G307" s="94">
        <f>Referentie_Materiaal_Totaal[[#This Row],[Hoeveelheid '[ton']]]*Referentie_Materiaal_Totaal[[#This Row],[% Secundair]]</f>
        <v>0</v>
      </c>
      <c r="H307" s="128">
        <f>Baseline!Q99*Baseline!R99</f>
        <v>0</v>
      </c>
      <c r="I307" s="128">
        <f>Referentie_Materiaal_Totaal[[#This Row],[Hoeveelheid Vervaningen '[ton']]]*(1-Referentie_Materiaal_Totaal[[#This Row],[% Secundair]])</f>
        <v>0</v>
      </c>
      <c r="J307" s="128">
        <f>Referentie_Materiaal_Totaal[[#This Row],[Hoeveelheid Vervaningen '[ton']]]*Referentie_Materiaal_Totaal[[#This Row],[% Secundair]]</f>
        <v>0</v>
      </c>
      <c r="K307" s="128">
        <f>Referentie_Materiaal_Totaal[[#This Row],[Primair materiaalverbruik '[ton']]]+Referentie_Materiaal_Totaal[[#This Row],[Primair materiaalverbruik Vervangingen '[ton']]]</f>
        <v>0</v>
      </c>
      <c r="L307" s="128">
        <f>Referentie_Materiaal_Totaal[[#This Row],[Secundair materiaalverbruik '[ton']]]+Referentie_Materiaal_Totaal[[#This Row],[Secundair materiaalverbruik Vervangingen '[ton']]]</f>
        <v>0</v>
      </c>
      <c r="M307" s="128">
        <f>Referentie_Materiaal_Totaal[[#This Row],[Totaal Primair Materieelgebruik]]+Referentie_Materiaal_Totaal[[#This Row],[Totaal Secundair Materieelgebruik]]</f>
        <v>0</v>
      </c>
      <c r="N307" s="13"/>
      <c r="O307" s="13"/>
      <c r="P307" s="13"/>
      <c r="Q307" s="13"/>
      <c r="R307" s="13"/>
      <c r="S307" s="13"/>
    </row>
    <row r="308" spans="2:19">
      <c r="B308" s="209">
        <f>Baseline!B100</f>
        <v>0</v>
      </c>
      <c r="C308" s="51">
        <f>Baseline!F100</f>
        <v>0</v>
      </c>
      <c r="D308" s="93">
        <f>Baseline!Q100</f>
        <v>0</v>
      </c>
      <c r="E308" s="60">
        <f>_xlfn.IFNA(VLOOKUP(Referentie_Materiaal_Totaal[[#This Row],[Product]]&amp;", "&amp;"Totaal",Database_Productkaarten[#All],64,FALSE),0)</f>
        <v>0</v>
      </c>
      <c r="F308" s="94">
        <f>Referentie_Materiaal_Totaal[[#This Row],[Hoeveelheid '[ton']]]*(1-Referentie_Materiaal_Totaal[[#This Row],[% Secundair]])</f>
        <v>0</v>
      </c>
      <c r="G308" s="94">
        <f>Referentie_Materiaal_Totaal[[#This Row],[Hoeveelheid '[ton']]]*Referentie_Materiaal_Totaal[[#This Row],[% Secundair]]</f>
        <v>0</v>
      </c>
      <c r="H308" s="128">
        <f>Baseline!Q100*Baseline!R100</f>
        <v>0</v>
      </c>
      <c r="I308" s="128">
        <f>Referentie_Materiaal_Totaal[[#This Row],[Hoeveelheid Vervaningen '[ton']]]*(1-Referentie_Materiaal_Totaal[[#This Row],[% Secundair]])</f>
        <v>0</v>
      </c>
      <c r="J308" s="128">
        <f>Referentie_Materiaal_Totaal[[#This Row],[Hoeveelheid Vervaningen '[ton']]]*Referentie_Materiaal_Totaal[[#This Row],[% Secundair]]</f>
        <v>0</v>
      </c>
      <c r="K308" s="128">
        <f>Referentie_Materiaal_Totaal[[#This Row],[Primair materiaalverbruik '[ton']]]+Referentie_Materiaal_Totaal[[#This Row],[Primair materiaalverbruik Vervangingen '[ton']]]</f>
        <v>0</v>
      </c>
      <c r="L308" s="128">
        <f>Referentie_Materiaal_Totaal[[#This Row],[Secundair materiaalverbruik '[ton']]]+Referentie_Materiaal_Totaal[[#This Row],[Secundair materiaalverbruik Vervangingen '[ton']]]</f>
        <v>0</v>
      </c>
      <c r="M308" s="128">
        <f>Referentie_Materiaal_Totaal[[#This Row],[Totaal Primair Materieelgebruik]]+Referentie_Materiaal_Totaal[[#This Row],[Totaal Secundair Materieelgebruik]]</f>
        <v>0</v>
      </c>
      <c r="N308" s="13"/>
      <c r="O308" s="13"/>
      <c r="P308" s="13"/>
      <c r="Q308" s="13"/>
      <c r="R308" s="13"/>
      <c r="S308" s="13"/>
    </row>
    <row r="309" spans="2:19">
      <c r="B309" s="209">
        <f>Baseline!B101</f>
        <v>0</v>
      </c>
      <c r="C309" s="51">
        <f>Baseline!F101</f>
        <v>0</v>
      </c>
      <c r="D309" s="93">
        <f>Baseline!Q101</f>
        <v>0</v>
      </c>
      <c r="E309" s="60">
        <f>_xlfn.IFNA(VLOOKUP(Referentie_Materiaal_Totaal[[#This Row],[Product]]&amp;", "&amp;"Totaal",Database_Productkaarten[#All],64,FALSE),0)</f>
        <v>0</v>
      </c>
      <c r="F309" s="94">
        <f>Referentie_Materiaal_Totaal[[#This Row],[Hoeveelheid '[ton']]]*(1-Referentie_Materiaal_Totaal[[#This Row],[% Secundair]])</f>
        <v>0</v>
      </c>
      <c r="G309" s="94">
        <f>Referentie_Materiaal_Totaal[[#This Row],[Hoeveelheid '[ton']]]*Referentie_Materiaal_Totaal[[#This Row],[% Secundair]]</f>
        <v>0</v>
      </c>
      <c r="H309" s="128">
        <f>Baseline!Q101*Baseline!R101</f>
        <v>0</v>
      </c>
      <c r="I309" s="128">
        <f>Referentie_Materiaal_Totaal[[#This Row],[Hoeveelheid Vervaningen '[ton']]]*(1-Referentie_Materiaal_Totaal[[#This Row],[% Secundair]])</f>
        <v>0</v>
      </c>
      <c r="J309" s="128">
        <f>Referentie_Materiaal_Totaal[[#This Row],[Hoeveelheid Vervaningen '[ton']]]*Referentie_Materiaal_Totaal[[#This Row],[% Secundair]]</f>
        <v>0</v>
      </c>
      <c r="K309" s="128">
        <f>Referentie_Materiaal_Totaal[[#This Row],[Primair materiaalverbruik '[ton']]]+Referentie_Materiaal_Totaal[[#This Row],[Primair materiaalverbruik Vervangingen '[ton']]]</f>
        <v>0</v>
      </c>
      <c r="L309" s="128">
        <f>Referentie_Materiaal_Totaal[[#This Row],[Secundair materiaalverbruik '[ton']]]+Referentie_Materiaal_Totaal[[#This Row],[Secundair materiaalverbruik Vervangingen '[ton']]]</f>
        <v>0</v>
      </c>
      <c r="M309" s="128">
        <f>Referentie_Materiaal_Totaal[[#This Row],[Totaal Primair Materieelgebruik]]+Referentie_Materiaal_Totaal[[#This Row],[Totaal Secundair Materieelgebruik]]</f>
        <v>0</v>
      </c>
      <c r="N309" s="13"/>
      <c r="O309" s="13"/>
      <c r="P309" s="13"/>
      <c r="Q309" s="13"/>
      <c r="R309" s="13"/>
      <c r="S309" s="13"/>
    </row>
    <row r="310" spans="2:19">
      <c r="B310" s="209">
        <f>Baseline!B102</f>
        <v>0</v>
      </c>
      <c r="C310" s="51">
        <f>Baseline!F102</f>
        <v>0</v>
      </c>
      <c r="D310" s="93">
        <f>Baseline!Q102</f>
        <v>0</v>
      </c>
      <c r="E310" s="60">
        <f>_xlfn.IFNA(VLOOKUP(Referentie_Materiaal_Totaal[[#This Row],[Product]]&amp;", "&amp;"Totaal",Database_Productkaarten[#All],64,FALSE),0)</f>
        <v>0</v>
      </c>
      <c r="F310" s="94">
        <f>Referentie_Materiaal_Totaal[[#This Row],[Hoeveelheid '[ton']]]*(1-Referentie_Materiaal_Totaal[[#This Row],[% Secundair]])</f>
        <v>0</v>
      </c>
      <c r="G310" s="94">
        <f>Referentie_Materiaal_Totaal[[#This Row],[Hoeveelheid '[ton']]]*Referentie_Materiaal_Totaal[[#This Row],[% Secundair]]</f>
        <v>0</v>
      </c>
      <c r="H310" s="128">
        <f>Baseline!Q102*Baseline!R102</f>
        <v>0</v>
      </c>
      <c r="I310" s="128">
        <f>Referentie_Materiaal_Totaal[[#This Row],[Hoeveelheid Vervaningen '[ton']]]*(1-Referentie_Materiaal_Totaal[[#This Row],[% Secundair]])</f>
        <v>0</v>
      </c>
      <c r="J310" s="128">
        <f>Referentie_Materiaal_Totaal[[#This Row],[Hoeveelheid Vervaningen '[ton']]]*Referentie_Materiaal_Totaal[[#This Row],[% Secundair]]</f>
        <v>0</v>
      </c>
      <c r="K310" s="128">
        <f>Referentie_Materiaal_Totaal[[#This Row],[Primair materiaalverbruik '[ton']]]+Referentie_Materiaal_Totaal[[#This Row],[Primair materiaalverbruik Vervangingen '[ton']]]</f>
        <v>0</v>
      </c>
      <c r="L310" s="128">
        <f>Referentie_Materiaal_Totaal[[#This Row],[Secundair materiaalverbruik '[ton']]]+Referentie_Materiaal_Totaal[[#This Row],[Secundair materiaalverbruik Vervangingen '[ton']]]</f>
        <v>0</v>
      </c>
      <c r="M310" s="128">
        <f>Referentie_Materiaal_Totaal[[#This Row],[Totaal Primair Materieelgebruik]]+Referentie_Materiaal_Totaal[[#This Row],[Totaal Secundair Materieelgebruik]]</f>
        <v>0</v>
      </c>
      <c r="N310" s="13"/>
      <c r="O310" s="13"/>
      <c r="P310" s="13"/>
      <c r="Q310" s="13"/>
      <c r="R310" s="13"/>
      <c r="S310" s="13"/>
    </row>
    <row r="311" spans="2:19">
      <c r="B311" s="209">
        <f>Baseline!B103</f>
        <v>0</v>
      </c>
      <c r="C311" s="51">
        <f>Baseline!F103</f>
        <v>0</v>
      </c>
      <c r="D311" s="93">
        <f>Baseline!Q103</f>
        <v>0</v>
      </c>
      <c r="E311" s="60">
        <f>_xlfn.IFNA(VLOOKUP(Referentie_Materiaal_Totaal[[#This Row],[Product]]&amp;", "&amp;"Totaal",Database_Productkaarten[#All],64,FALSE),0)</f>
        <v>0</v>
      </c>
      <c r="F311" s="94">
        <f>Referentie_Materiaal_Totaal[[#This Row],[Hoeveelheid '[ton']]]*(1-Referentie_Materiaal_Totaal[[#This Row],[% Secundair]])</f>
        <v>0</v>
      </c>
      <c r="G311" s="94">
        <f>Referentie_Materiaal_Totaal[[#This Row],[Hoeveelheid '[ton']]]*Referentie_Materiaal_Totaal[[#This Row],[% Secundair]]</f>
        <v>0</v>
      </c>
      <c r="H311" s="128">
        <f>Baseline!Q103*Baseline!R103</f>
        <v>0</v>
      </c>
      <c r="I311" s="128">
        <f>Referentie_Materiaal_Totaal[[#This Row],[Hoeveelheid Vervaningen '[ton']]]*(1-Referentie_Materiaal_Totaal[[#This Row],[% Secundair]])</f>
        <v>0</v>
      </c>
      <c r="J311" s="128">
        <f>Referentie_Materiaal_Totaal[[#This Row],[Hoeveelheid Vervaningen '[ton']]]*Referentie_Materiaal_Totaal[[#This Row],[% Secundair]]</f>
        <v>0</v>
      </c>
      <c r="K311" s="128">
        <f>Referentie_Materiaal_Totaal[[#This Row],[Primair materiaalverbruik '[ton']]]+Referentie_Materiaal_Totaal[[#This Row],[Primair materiaalverbruik Vervangingen '[ton']]]</f>
        <v>0</v>
      </c>
      <c r="L311" s="128">
        <f>Referentie_Materiaal_Totaal[[#This Row],[Secundair materiaalverbruik '[ton']]]+Referentie_Materiaal_Totaal[[#This Row],[Secundair materiaalverbruik Vervangingen '[ton']]]</f>
        <v>0</v>
      </c>
      <c r="M311" s="128">
        <f>Referentie_Materiaal_Totaal[[#This Row],[Totaal Primair Materieelgebruik]]+Referentie_Materiaal_Totaal[[#This Row],[Totaal Secundair Materieelgebruik]]</f>
        <v>0</v>
      </c>
      <c r="N311" s="13"/>
      <c r="O311" s="13"/>
      <c r="P311" s="13"/>
      <c r="Q311" s="13"/>
      <c r="R311" s="13"/>
      <c r="S311" s="13"/>
    </row>
    <row r="312" spans="2:19">
      <c r="B312" s="209">
        <f>Baseline!B104</f>
        <v>0</v>
      </c>
      <c r="C312" s="51">
        <f>Baseline!F104</f>
        <v>0</v>
      </c>
      <c r="D312" s="93">
        <f>Baseline!Q104</f>
        <v>0</v>
      </c>
      <c r="E312" s="60">
        <f>_xlfn.IFNA(VLOOKUP(Referentie_Materiaal_Totaal[[#This Row],[Product]]&amp;", "&amp;"Totaal",Database_Productkaarten[#All],64,FALSE),0)</f>
        <v>0</v>
      </c>
      <c r="F312" s="94">
        <f>Referentie_Materiaal_Totaal[[#This Row],[Hoeveelheid '[ton']]]*(1-Referentie_Materiaal_Totaal[[#This Row],[% Secundair]])</f>
        <v>0</v>
      </c>
      <c r="G312" s="94">
        <f>Referentie_Materiaal_Totaal[[#This Row],[Hoeveelheid '[ton']]]*Referentie_Materiaal_Totaal[[#This Row],[% Secundair]]</f>
        <v>0</v>
      </c>
      <c r="H312" s="128">
        <f>Baseline!Q104*Baseline!R104</f>
        <v>0</v>
      </c>
      <c r="I312" s="128">
        <f>Referentie_Materiaal_Totaal[[#This Row],[Hoeveelheid Vervaningen '[ton']]]*(1-Referentie_Materiaal_Totaal[[#This Row],[% Secundair]])</f>
        <v>0</v>
      </c>
      <c r="J312" s="128">
        <f>Referentie_Materiaal_Totaal[[#This Row],[Hoeveelheid Vervaningen '[ton']]]*Referentie_Materiaal_Totaal[[#This Row],[% Secundair]]</f>
        <v>0</v>
      </c>
      <c r="K312" s="128">
        <f>Referentie_Materiaal_Totaal[[#This Row],[Primair materiaalverbruik '[ton']]]+Referentie_Materiaal_Totaal[[#This Row],[Primair materiaalverbruik Vervangingen '[ton']]]</f>
        <v>0</v>
      </c>
      <c r="L312" s="128">
        <f>Referentie_Materiaal_Totaal[[#This Row],[Secundair materiaalverbruik '[ton']]]+Referentie_Materiaal_Totaal[[#This Row],[Secundair materiaalverbruik Vervangingen '[ton']]]</f>
        <v>0</v>
      </c>
      <c r="M312" s="128">
        <f>Referentie_Materiaal_Totaal[[#This Row],[Totaal Primair Materieelgebruik]]+Referentie_Materiaal_Totaal[[#This Row],[Totaal Secundair Materieelgebruik]]</f>
        <v>0</v>
      </c>
      <c r="N312" s="13"/>
      <c r="O312" s="13"/>
      <c r="P312" s="13"/>
      <c r="Q312" s="13"/>
      <c r="R312" s="13"/>
      <c r="S312" s="13"/>
    </row>
    <row r="313" spans="2:19" ht="15.75" thickBot="1">
      <c r="B313" s="209">
        <f>Baseline!B105</f>
        <v>0</v>
      </c>
      <c r="C313" s="51">
        <f>Baseline!F105</f>
        <v>0</v>
      </c>
      <c r="D313" s="93">
        <f>Baseline!Q105</f>
        <v>0</v>
      </c>
      <c r="E313" s="60">
        <f>_xlfn.IFNA(VLOOKUP(Referentie_Materiaal_Totaal[[#This Row],[Product]]&amp;", "&amp;"Totaal",Database_Productkaarten[#All],64,FALSE),0)</f>
        <v>0</v>
      </c>
      <c r="F313" s="94">
        <f>Referentie_Materiaal_Totaal[[#This Row],[Hoeveelheid '[ton']]]*(1-Referentie_Materiaal_Totaal[[#This Row],[% Secundair]])</f>
        <v>0</v>
      </c>
      <c r="G313" s="94">
        <f>Referentie_Materiaal_Totaal[[#This Row],[Hoeveelheid '[ton']]]*Referentie_Materiaal_Totaal[[#This Row],[% Secundair]]</f>
        <v>0</v>
      </c>
      <c r="H313" s="128">
        <f>Baseline!Q105*Baseline!R105</f>
        <v>0</v>
      </c>
      <c r="I313" s="128">
        <f>Referentie_Materiaal_Totaal[[#This Row],[Hoeveelheid Vervaningen '[ton']]]*(1-Referentie_Materiaal_Totaal[[#This Row],[% Secundair]])</f>
        <v>0</v>
      </c>
      <c r="J313" s="128">
        <f>Referentie_Materiaal_Totaal[[#This Row],[Hoeveelheid Vervaningen '[ton']]]*Referentie_Materiaal_Totaal[[#This Row],[% Secundair]]</f>
        <v>0</v>
      </c>
      <c r="K313" s="128">
        <f>Referentie_Materiaal_Totaal[[#This Row],[Primair materiaalverbruik '[ton']]]+Referentie_Materiaal_Totaal[[#This Row],[Primair materiaalverbruik Vervangingen '[ton']]]</f>
        <v>0</v>
      </c>
      <c r="L313" s="128">
        <f>Referentie_Materiaal_Totaal[[#This Row],[Secundair materiaalverbruik '[ton']]]+Referentie_Materiaal_Totaal[[#This Row],[Secundair materiaalverbruik Vervangingen '[ton']]]</f>
        <v>0</v>
      </c>
      <c r="M313" s="128">
        <f>Referentie_Materiaal_Totaal[[#This Row],[Totaal Primair Materieelgebruik]]+Referentie_Materiaal_Totaal[[#This Row],[Totaal Secundair Materieelgebruik]]</f>
        <v>0</v>
      </c>
      <c r="N313" s="13"/>
      <c r="O313" s="13"/>
      <c r="P313" s="13"/>
      <c r="Q313" s="13"/>
      <c r="R313" s="13"/>
      <c r="S313" s="13"/>
    </row>
    <row r="314" spans="2:19" ht="15.75" thickTop="1">
      <c r="B314" s="52" t="s">
        <v>90</v>
      </c>
      <c r="C314" s="53"/>
      <c r="D314" s="80">
        <f>SUBTOTAL(109,Referentie_Materiaal_Totaal[Hoeveelheid '[ton']])</f>
        <v>106820.98785999999</v>
      </c>
      <c r="E314" s="53"/>
      <c r="F314" s="80">
        <f>SUBTOTAL(109,Referentie_Materiaal_Totaal[Primair materiaalverbruik '[ton']])</f>
        <v>12406.89629521266</v>
      </c>
      <c r="G314" s="80">
        <f>SUBTOTAL(109,Referentie_Materiaal_Totaal[Secundair materiaalverbruik '[ton']])</f>
        <v>94414.091564787333</v>
      </c>
      <c r="H314" s="131">
        <f>SUBTOTAL(109,Referentie_Materiaal_Totaal[Hoeveelheid Vervaningen '[ton']])</f>
        <v>0</v>
      </c>
      <c r="I314" s="131">
        <f>SUBTOTAL(109,Referentie_Materiaal_Totaal[Primair materiaalverbruik Vervangingen '[ton']])</f>
        <v>0</v>
      </c>
      <c r="J314" s="131">
        <f>SUBTOTAL(109,Referentie_Materiaal_Totaal[Secundair materiaalverbruik Vervangingen '[ton']])</f>
        <v>0</v>
      </c>
      <c r="K314" s="131">
        <f>SUBTOTAL(109,Referentie_Materiaal_Totaal[Totaal Primair Materieelgebruik])</f>
        <v>12406.89629521266</v>
      </c>
      <c r="L314" s="131">
        <f>SUBTOTAL(109,Referentie_Materiaal_Totaal[Totaal Secundair Materieelgebruik])</f>
        <v>94414.091564787333</v>
      </c>
      <c r="M314" s="131">
        <f>SUBTOTAL(109,Referentie_Materiaal_Totaal[Totaal Materieelgebruik])</f>
        <v>106820.98785999999</v>
      </c>
      <c r="N314" s="13"/>
      <c r="O314" s="13"/>
      <c r="P314" s="13"/>
      <c r="Q314" s="13"/>
      <c r="R314" s="13"/>
      <c r="S314" s="13"/>
    </row>
    <row r="315" spans="2:19">
      <c r="B315" s="13"/>
      <c r="C315" s="13"/>
      <c r="D315" s="13"/>
      <c r="E315" s="13"/>
      <c r="F315" s="13"/>
      <c r="G315" s="13"/>
      <c r="H315" s="13"/>
      <c r="I315" s="13"/>
      <c r="J315" s="13"/>
      <c r="K315" s="13"/>
      <c r="L315" s="13"/>
      <c r="M315" s="13"/>
      <c r="N315" s="13"/>
      <c r="O315" s="13"/>
      <c r="P315" s="13"/>
    </row>
    <row r="316" spans="2:19">
      <c r="B316" s="13"/>
      <c r="C316" s="13"/>
      <c r="D316" s="13"/>
      <c r="E316" s="13"/>
      <c r="F316" s="13"/>
      <c r="G316" s="13"/>
      <c r="H316" s="13"/>
      <c r="I316" s="13"/>
      <c r="J316" s="13"/>
      <c r="K316" s="13"/>
      <c r="L316" s="13"/>
      <c r="M316" s="13"/>
      <c r="N316" s="13"/>
      <c r="O316" s="13"/>
      <c r="P316" s="13"/>
    </row>
    <row r="317" spans="2:19" ht="20.100000000000001" customHeight="1">
      <c r="B317" s="110" t="s">
        <v>121</v>
      </c>
      <c r="C317" s="110"/>
      <c r="D317" s="110"/>
      <c r="E317" s="13"/>
      <c r="F317" s="13"/>
      <c r="G317" s="13"/>
      <c r="H317" s="13"/>
      <c r="I317" s="13"/>
      <c r="J317" s="13"/>
      <c r="K317" s="13"/>
      <c r="L317" s="13"/>
      <c r="M317" s="13"/>
      <c r="N317" s="13"/>
      <c r="O317" s="13"/>
      <c r="P317" s="13"/>
    </row>
    <row r="318" spans="2:19" ht="15.75" thickBot="1">
      <c r="B318" s="49" t="s">
        <v>214</v>
      </c>
      <c r="C318" s="50" t="s">
        <v>7</v>
      </c>
      <c r="D318" s="63" t="s">
        <v>74</v>
      </c>
      <c r="E318" s="64" t="s">
        <v>75</v>
      </c>
      <c r="F318" s="65" t="s">
        <v>76</v>
      </c>
      <c r="G318" s="18" t="s">
        <v>77</v>
      </c>
      <c r="H318" s="66" t="s">
        <v>78</v>
      </c>
      <c r="I318" s="67" t="s">
        <v>79</v>
      </c>
      <c r="J318" s="68" t="s">
        <v>80</v>
      </c>
      <c r="K318" s="69" t="s">
        <v>82</v>
      </c>
      <c r="L318" s="70" t="s">
        <v>83</v>
      </c>
      <c r="M318" s="71" t="s">
        <v>84</v>
      </c>
      <c r="N318" s="72" t="s">
        <v>85</v>
      </c>
      <c r="O318" s="73" t="s">
        <v>86</v>
      </c>
      <c r="P318" s="74" t="s">
        <v>87</v>
      </c>
      <c r="Q318" s="75" t="s">
        <v>88</v>
      </c>
      <c r="R318" s="29" t="s">
        <v>89</v>
      </c>
      <c r="S318" s="143" t="s">
        <v>90</v>
      </c>
    </row>
    <row r="319" spans="2:19" ht="15.75" thickTop="1">
      <c r="B319" s="209" t="str">
        <f>Baseline!B6</f>
        <v xml:space="preserve">121110 - Opbreken trottoirband </v>
      </c>
      <c r="C319" s="76" t="str">
        <f>Baseline!F6</f>
        <v>Trottoirband 130/150x250</v>
      </c>
      <c r="D319" s="77">
        <f>(IF(Baseline!C6="Nieuwe Situatie",(_xlfn.IFNA(VLOOKUP(Referentie_Hernieuwbare_Energie_Totaal[[#This Row],[Product]]&amp;", "&amp;Referentie_Hernieuwbare_Energie_Totaal[[#Headers],[A1]],Database_Productkaarten[#All],48,FALSE),0)*Baseline!I6),0))</f>
        <v>0</v>
      </c>
      <c r="E319" s="77">
        <f>(IF(Baseline!C6="Nieuwe Situatie",(_xlfn.IFNA(VLOOKUP(Referentie_Hernieuwbare_Energie_Totaal[[#This Row],[Product]]&amp;", "&amp;Referentie_Hernieuwbare_Energie_Totaal[[#Headers],[A2]],Database_Productkaarten[#All],48,FALSE),0)*Baseline!I6),0))</f>
        <v>0</v>
      </c>
      <c r="F319" s="77">
        <f>(IF(Baseline!C6="Nieuwe Situatie",(_xlfn.IFNA(VLOOKUP(Referentie_Hernieuwbare_Energie_Totaal[[#This Row],[Product]]&amp;", "&amp;Referentie_Hernieuwbare_Energie_Totaal[[#Headers],[A3]],Database_Productkaarten[#All],48,FALSE),0)*Baseline!I6),0))</f>
        <v>0</v>
      </c>
      <c r="G319" s="77">
        <f>(IF(Baseline!C6="Nieuwe Situatie",(_xlfn.IFNA(VLOOKUP(Referentie_Hernieuwbare_Energie_Totaal[[#This Row],[Product]]&amp;", "&amp;Referentie_Hernieuwbare_Energie_Totaal[[#Headers],[A1-A3]],Database_Productkaarten[#All],48,FALSE),0)*Baseline!I6),0))</f>
        <v>0</v>
      </c>
      <c r="H319" s="77">
        <f>IF(Baseline!T6=0,(IF(Baseline!C6="Nieuwe Situatie",(_xlfn.IFNA(VLOOKUP(Referentie_Hernieuwbare_Energie_Totaal[[#This Row],[Product]]&amp;", "&amp;Referentie_CO2_Totaal[[#Headers],[A4]],Database_Productkaarten[#All],48,FALSE),0)*Baseline!I6),0)),IF(Baseline!C6="Nieuwe Situatie",_xlfn.IFNA(VLOOKUP(Baseline!T6,Database_Transport[#All],42,FALSE)*(Baseline!Q6*Baseline!S6),Baseline_Backlog!H109),0))</f>
        <v>0</v>
      </c>
      <c r="I319" s="77">
        <f>IF(Baseline!C6="Nieuwe situatie",IF(_xlfn.IFNA((VLOOKUP(Baseline!U6,Database_Asfalt_Aanlegset[#All],42,FALSE)*Baseline!I6),0)+_xlfn.IFNA(VLOOKUP(Baseline!V6,Database_Brandstoffen[#All],42,FALSE)*((Baseline!I6/Baseline!X6)*Baseline!W6),0)&gt;0,_xlfn.IFNA((VLOOKUP(Baseline!U6,Database_Asfalt_Aanlegset[#All],42,FALSE)*Baseline!I6),0)+_xlfn.IFNA(VLOOKUP(Baseline!V6,Database_Brandstoffen[#All],42,FALSE)*((Baseline!I6/Baseline!X6)*Baseline!W6),0),(_xlfn.IFNA(VLOOKUP(Referentie_Hernieuwbare_Energie_Totaal[[#This Row],[Product]]&amp;", "&amp;Referentie_MKI_Totaal[[#Headers],[A5]],Database_Productkaarten[#All],48,FALSE),0)*Baseline!I6)),0)</f>
        <v>0</v>
      </c>
      <c r="J319" s="77">
        <f>(IF(Baseline!C6="Nieuwe Situatie",(_xlfn.IFNA(VLOOKUP(Referentie_Hernieuwbare_Energie_Totaal[[#This Row],[Product]]&amp;", "&amp;Referentie_Hernieuwbare_Energie_Totaal[[#Headers],[B1]],Database_Productkaarten[#All],48,FALSE),0)*Baseline!I6),0))</f>
        <v>0</v>
      </c>
      <c r="K319" s="77">
        <f>(IF(Baseline!C6="Nieuwe Situatie",(SUM(Referentie_Hernieuwbare_Energie_Totaal[[#This Row],[A1]:[B1]],Referentie_Hernieuwbare_Energie_Totaal[[#This Row],[C1]:[D2]])*Baseline!R6),0))</f>
        <v>0</v>
      </c>
      <c r="L319" s="77">
        <f>IF(Baseline!C6="Bestaande situatie",IF(_xlfn.IFNA((VLOOKUP(Baseline!Y6,Database_Asfalt_Verwijderset[#All],42,FALSE)*Baseline!I6),0)+_xlfn.IFNA(VLOOKUP(Baseline!Z6,Database_Brandstoffen[#All],42,FALSE)*((Baseline!I6/Baseline!AB6)*Baseline!AA6),0)&gt;0,_xlfn.IFNA((VLOOKUP(Baseline!Y6,Database_Asfalt_Verwijderset[#All],42,FALSE)*Baseline!I6),0)+_xlfn.IFNA(VLOOKUP(Baseline!Z6,Database_Brandstoffen[#All],42,FALSE)*((Baseline!I6/Baseline!AB6)*Baseline!AA6),0),(_xlfn.IFNA(VLOOKUP(Referentie_Hernieuwbare_Energie_Totaal[[#This Row],[Product]]&amp;", "&amp;Referentie_MKI_Totaal[[#Headers],[C1]],Database_Productkaarten[#All],48,FALSE),0)*Baseline!I6)),0)</f>
        <v>580.48464925704741</v>
      </c>
      <c r="M319" s="77">
        <f>IF(Baseline!AD6=0,(IF(Baseline!C6="Bestaande Situatie",(_xlfn.IFNA(VLOOKUP(Referentie_Hernieuwbare_Energie_Totaal[[#This Row],[Product]]&amp;", "&amp;Referentie_MKI_Totaal[[#Headers],[C2]],Database_Productkaarten[#All],48,FALSE),0)*Baseline!I6),0)),(IF(Baseline!C6="Bestaande Situatie",_xlfn.IFNA(VLOOKUP(Baseline!AD6,Database_Transport[#All],42,FALSE)*(Baseline!Q6*Baseline!AC6),0))))</f>
        <v>76.386201852870002</v>
      </c>
      <c r="N319" s="77">
        <f>(IF(Baseline!C6="Bestaande Situatie",(_xlfn.IFNA(VLOOKUP(Referentie_Hernieuwbare_Energie_Totaal[[#This Row],[Product]]&amp;", "&amp;Referentie_Hernieuwbare_Energie_Totaal[[#Headers],[C3]],Database_Productkaarten[#All],48,FALSE),0)*Baseline!I6),0))</f>
        <v>348.5573546</v>
      </c>
      <c r="O319" s="77">
        <f>(IF(Baseline!C6="Bestaande Situatie",(_xlfn.IFNA(VLOOKUP(Referentie_Hernieuwbare_Energie_Totaal[[#This Row],[Product]]&amp;", "&amp;Referentie_Hernieuwbare_Energie_Totaal[[#Headers],[C4]],Database_Productkaarten[#All],48,FALSE),0)*Baseline!I6),0))</f>
        <v>10.592053198999999</v>
      </c>
      <c r="P319" s="77">
        <f>(IF(Baseline!C6="Bestaande Situatie",(_xlfn.IFNA(VLOOKUP(Referentie_Hernieuwbare_Energie_Totaal[[#This Row],[Product]]&amp;", "&amp;Referentie_Hernieuwbare_Energie_Totaal[[#Headers],[D1]],Database_Productkaarten[#All],48,FALSE),0)*Baseline!I6),0))</f>
        <v>0</v>
      </c>
      <c r="Q319" s="78">
        <f>(IF(Baseline!C6="Bestaande Situatie",_xlfn.IFNA(VLOOKUP(Referentie_Hernieuwbare_Energie_Totaal[[#This Row],[Product]]&amp;", "&amp;Referentie_Hernieuwbare_Energie_Totaal[[#Headers],[D2]],Database_Productkaarten[#All],48,FALSE),0)*Baseline!I6,0))</f>
        <v>0</v>
      </c>
      <c r="R319" s="57">
        <f>(IF(Baseline!C6="Bestaande Situatie",_xlfn.IFNA(VLOOKUP(Referentie_Hernieuwbare_Energie_Totaal[[#This Row],[Product]]&amp;", "&amp;Referentie_Hernieuwbare_Energie_Totaal[[#Headers],[D]],Database_Productkaarten[#All],48,FALSE),0)*Baseline!I6,0))</f>
        <v>-879.67607455000007</v>
      </c>
      <c r="S319" s="56">
        <f>SUM(Referentie_Hernieuwbare_Energie_Totaal[[#This Row],[A1-A3]:[C4]])+Referentie_Hernieuwbare_Energie_Totaal[[#This Row],[D]]</f>
        <v>136.34418435891735</v>
      </c>
    </row>
    <row r="320" spans="2:19">
      <c r="B320" s="209" t="str">
        <f>Baseline!B7</f>
        <v>121120 - Opbreken RWS band</v>
      </c>
      <c r="C320" s="76" t="str">
        <f>Baseline!F7</f>
        <v>RWSband 115/225x250</v>
      </c>
      <c r="D320" s="77">
        <f>(IF(Baseline!C7="Nieuwe Situatie",(_xlfn.IFNA(VLOOKUP(Referentie_Hernieuwbare_Energie_Totaal[[#This Row],[Product]]&amp;", "&amp;Referentie_Hernieuwbare_Energie_Totaal[[#Headers],[A1]],Database_Productkaarten[#All],48,FALSE),0)*Baseline!I7),0))</f>
        <v>0</v>
      </c>
      <c r="E320" s="77">
        <f>(IF(Baseline!C7="Nieuwe Situatie",(_xlfn.IFNA(VLOOKUP(Referentie_Hernieuwbare_Energie_Totaal[[#This Row],[Product]]&amp;", "&amp;Referentie_Hernieuwbare_Energie_Totaal[[#Headers],[A2]],Database_Productkaarten[#All],48,FALSE),0)*Baseline!I7),0))</f>
        <v>0</v>
      </c>
      <c r="F320" s="77">
        <f>(IF(Baseline!C7="Nieuwe Situatie",(_xlfn.IFNA(VLOOKUP(Referentie_Hernieuwbare_Energie_Totaal[[#This Row],[Product]]&amp;", "&amp;Referentie_Hernieuwbare_Energie_Totaal[[#Headers],[A3]],Database_Productkaarten[#All],48,FALSE),0)*Baseline!I7),0))</f>
        <v>0</v>
      </c>
      <c r="G320" s="77">
        <f>(IF(Baseline!C7="Nieuwe Situatie",(_xlfn.IFNA(VLOOKUP(Referentie_Hernieuwbare_Energie_Totaal[[#This Row],[Product]]&amp;", "&amp;Referentie_Hernieuwbare_Energie_Totaal[[#Headers],[A1-A3]],Database_Productkaarten[#All],48,FALSE),0)*Baseline!I7),0))</f>
        <v>0</v>
      </c>
      <c r="H320" s="77">
        <f>IF(Baseline!T7=0,(IF(Baseline!C7="Nieuwe Situatie",(_xlfn.IFNA(VLOOKUP(Referentie_Hernieuwbare_Energie_Totaal[[#This Row],[Product]]&amp;", "&amp;Referentie_CO2_Totaal[[#Headers],[A4]],Database_Productkaarten[#All],48,FALSE),0)*Baseline!I7),0)),IF(Baseline!C7="Nieuwe Situatie",_xlfn.IFNA(VLOOKUP(Baseline!T7,Database_Transport[#All],42,FALSE)*(Baseline!Q7*Baseline!S7),Baseline_Backlog!H110),0))</f>
        <v>0</v>
      </c>
      <c r="I320" s="77">
        <f>IF(Baseline!C7="Nieuwe situatie",IF(_xlfn.IFNA((VLOOKUP(Baseline!U7,Database_Asfalt_Aanlegset[#All],42,FALSE)*Baseline!I7),0)+_xlfn.IFNA(VLOOKUP(Baseline!V7,Database_Brandstoffen[#All],42,FALSE)*((Baseline!I7/Baseline!X7)*Baseline!W7),0)&gt;0,_xlfn.IFNA((VLOOKUP(Baseline!U7,Database_Asfalt_Aanlegset[#All],42,FALSE)*Baseline!I7),0)+_xlfn.IFNA(VLOOKUP(Baseline!V7,Database_Brandstoffen[#All],42,FALSE)*((Baseline!I7/Baseline!X7)*Baseline!W7),0),(_xlfn.IFNA(VLOOKUP(Referentie_Hernieuwbare_Energie_Totaal[[#This Row],[Product]]&amp;", "&amp;Referentie_MKI_Totaal[[#Headers],[A5]],Database_Productkaarten[#All],48,FALSE),0)*Baseline!I7)),0)</f>
        <v>0</v>
      </c>
      <c r="J320" s="77">
        <f>(IF(Baseline!C7="Nieuwe Situatie",(_xlfn.IFNA(VLOOKUP(Referentie_Hernieuwbare_Energie_Totaal[[#This Row],[Product]]&amp;", "&amp;Referentie_Hernieuwbare_Energie_Totaal[[#Headers],[B1]],Database_Productkaarten[#All],48,FALSE),0)*Baseline!I7),0))</f>
        <v>0</v>
      </c>
      <c r="K320" s="77">
        <f>(IF(Baseline!C7="Nieuwe Situatie",(SUM(Referentie_Hernieuwbare_Energie_Totaal[[#This Row],[A1]:[B1]],Referentie_Hernieuwbare_Energie_Totaal[[#This Row],[C1]:[D2]])*Baseline!R7),0))</f>
        <v>0</v>
      </c>
      <c r="L320" s="77">
        <f>IF(Baseline!C7="Bestaande situatie",IF(_xlfn.IFNA((VLOOKUP(Baseline!Y7,Database_Asfalt_Verwijderset[#All],42,FALSE)*Baseline!I7),0)+_xlfn.IFNA(VLOOKUP(Baseline!Z7,Database_Brandstoffen[#All],42,FALSE)*((Baseline!I7/Baseline!AB7)*Baseline!AA7),0)&gt;0,_xlfn.IFNA((VLOOKUP(Baseline!Y7,Database_Asfalt_Verwijderset[#All],42,FALSE)*Baseline!I7),0)+_xlfn.IFNA(VLOOKUP(Baseline!Z7,Database_Brandstoffen[#All],42,FALSE)*((Baseline!I7/Baseline!AB7)*Baseline!AA7),0),(_xlfn.IFNA(VLOOKUP(Referentie_Hernieuwbare_Energie_Totaal[[#This Row],[Product]]&amp;", "&amp;Referentie_MKI_Totaal[[#Headers],[C1]],Database_Productkaarten[#All],48,FALSE),0)*Baseline!I7)),0)</f>
        <v>61.055685243676876</v>
      </c>
      <c r="M320" s="77">
        <f>IF(Baseline!AD7=0,(IF(Baseline!C7="Bestaande Situatie",(_xlfn.IFNA(VLOOKUP(Referentie_Hernieuwbare_Energie_Totaal[[#This Row],[Product]]&amp;", "&amp;Referentie_MKI_Totaal[[#Headers],[C2]],Database_Productkaarten[#All],48,FALSE),0)*Baseline!I7),0)),(IF(Baseline!C7="Bestaande Situatie",_xlfn.IFNA(VLOOKUP(Baseline!AD7,Database_Transport[#All],42,FALSE)*(Baseline!Q7*Baseline!AC7),0))))</f>
        <v>12.037216241969999</v>
      </c>
      <c r="N320" s="77">
        <f>(IF(Baseline!C7="Bestaande Situatie",(_xlfn.IFNA(VLOOKUP(Referentie_Hernieuwbare_Energie_Totaal[[#This Row],[Product]]&amp;", "&amp;Referentie_Hernieuwbare_Energie_Totaal[[#Headers],[C3]],Database_Productkaarten[#All],48,FALSE),0)*Baseline!I7),0))</f>
        <v>53.833089650000005</v>
      </c>
      <c r="O320" s="77">
        <f>(IF(Baseline!C7="Bestaande Situatie",(_xlfn.IFNA(VLOOKUP(Referentie_Hernieuwbare_Energie_Totaal[[#This Row],[Product]]&amp;", "&amp;Referentie_Hernieuwbare_Energie_Totaal[[#Headers],[C4]],Database_Productkaarten[#All],48,FALSE),0)*Baseline!I7),0))</f>
        <v>1.63589411</v>
      </c>
      <c r="P320" s="77">
        <f>(IF(Baseline!C7="Bestaande Situatie",(_xlfn.IFNA(VLOOKUP(Referentie_Hernieuwbare_Energie_Totaal[[#This Row],[Product]]&amp;", "&amp;Referentie_Hernieuwbare_Energie_Totaal[[#Headers],[D1]],Database_Productkaarten[#All],48,FALSE),0)*Baseline!I7),0))</f>
        <v>0</v>
      </c>
      <c r="Q320" s="78">
        <f>(IF(Baseline!C7="Bestaande Situatie",_xlfn.IFNA(VLOOKUP(Referentie_Hernieuwbare_Energie_Totaal[[#This Row],[Product]]&amp;", "&amp;Referentie_Hernieuwbare_Energie_Totaal[[#Headers],[D2]],Database_Productkaarten[#All],48,FALSE),0)*Baseline!I7,0))</f>
        <v>0</v>
      </c>
      <c r="R320" s="57">
        <f>(IF(Baseline!C7="Bestaande Situatie",_xlfn.IFNA(VLOOKUP(Referentie_Hernieuwbare_Energie_Totaal[[#This Row],[Product]]&amp;", "&amp;Referentie_Hernieuwbare_Energie_Totaal[[#Headers],[D]],Database_Productkaarten[#All],48,FALSE),0)*Baseline!I7,0))</f>
        <v>-135.51713795000001</v>
      </c>
      <c r="S320" s="56">
        <f>SUM(Referentie_Hernieuwbare_Energie_Totaal[[#This Row],[A1-A3]:[C4]])+Referentie_Hernieuwbare_Energie_Totaal[[#This Row],[D]]</f>
        <v>-6.9552527043531143</v>
      </c>
    </row>
    <row r="321" spans="2:19">
      <c r="B321" s="209" t="str">
        <f>Baseline!B8</f>
        <v>121140 - Opbreken Opsluitband</v>
      </c>
      <c r="C321" s="76" t="str">
        <f>Baseline!F8</f>
        <v>Opsluitband 100x200</v>
      </c>
      <c r="D321" s="77">
        <f>(IF(Baseline!C8="Nieuwe Situatie",(_xlfn.IFNA(VLOOKUP(Referentie_Hernieuwbare_Energie_Totaal[[#This Row],[Product]]&amp;", "&amp;Referentie_Hernieuwbare_Energie_Totaal[[#Headers],[A1]],Database_Productkaarten[#All],48,FALSE),0)*Baseline!I8),0))</f>
        <v>0</v>
      </c>
      <c r="E321" s="77">
        <f>(IF(Baseline!C8="Nieuwe Situatie",(_xlfn.IFNA(VLOOKUP(Referentie_Hernieuwbare_Energie_Totaal[[#This Row],[Product]]&amp;", "&amp;Referentie_Hernieuwbare_Energie_Totaal[[#Headers],[A2]],Database_Productkaarten[#All],48,FALSE),0)*Baseline!I8),0))</f>
        <v>0</v>
      </c>
      <c r="F321" s="77">
        <f>(IF(Baseline!C8="Nieuwe Situatie",(_xlfn.IFNA(VLOOKUP(Referentie_Hernieuwbare_Energie_Totaal[[#This Row],[Product]]&amp;", "&amp;Referentie_Hernieuwbare_Energie_Totaal[[#Headers],[A3]],Database_Productkaarten[#All],48,FALSE),0)*Baseline!I8),0))</f>
        <v>0</v>
      </c>
      <c r="G321" s="77">
        <f>(IF(Baseline!C8="Nieuwe Situatie",(_xlfn.IFNA(VLOOKUP(Referentie_Hernieuwbare_Energie_Totaal[[#This Row],[Product]]&amp;", "&amp;Referentie_Hernieuwbare_Energie_Totaal[[#Headers],[A1-A3]],Database_Productkaarten[#All],48,FALSE),0)*Baseline!I8),0))</f>
        <v>0</v>
      </c>
      <c r="H321" s="77">
        <f>IF(Baseline!T8=0,(IF(Baseline!C8="Nieuwe Situatie",(_xlfn.IFNA(VLOOKUP(Referentie_Hernieuwbare_Energie_Totaal[[#This Row],[Product]]&amp;", "&amp;Referentie_CO2_Totaal[[#Headers],[A4]],Database_Productkaarten[#All],48,FALSE),0)*Baseline!I8),0)),IF(Baseline!C8="Nieuwe Situatie",_xlfn.IFNA(VLOOKUP(Baseline!T8,Database_Transport[#All],42,FALSE)*(Baseline!Q8*Baseline!S8),Baseline_Backlog!H111),0))</f>
        <v>0</v>
      </c>
      <c r="I321" s="77">
        <f>IF(Baseline!C8="Nieuwe situatie",IF(_xlfn.IFNA((VLOOKUP(Baseline!U8,Database_Asfalt_Aanlegset[#All],42,FALSE)*Baseline!I8),0)+_xlfn.IFNA(VLOOKUP(Baseline!V8,Database_Brandstoffen[#All],42,FALSE)*((Baseline!I8/Baseline!X8)*Baseline!W8),0)&gt;0,_xlfn.IFNA((VLOOKUP(Baseline!U8,Database_Asfalt_Aanlegset[#All],42,FALSE)*Baseline!I8),0)+_xlfn.IFNA(VLOOKUP(Baseline!V8,Database_Brandstoffen[#All],42,FALSE)*((Baseline!I8/Baseline!X8)*Baseline!W8),0),(_xlfn.IFNA(VLOOKUP(Referentie_Hernieuwbare_Energie_Totaal[[#This Row],[Product]]&amp;", "&amp;Referentie_MKI_Totaal[[#Headers],[A5]],Database_Productkaarten[#All],48,FALSE),0)*Baseline!I8)),0)</f>
        <v>0</v>
      </c>
      <c r="J321" s="77">
        <f>(IF(Baseline!C8="Nieuwe Situatie",(_xlfn.IFNA(VLOOKUP(Referentie_Hernieuwbare_Energie_Totaal[[#This Row],[Product]]&amp;", "&amp;Referentie_Hernieuwbare_Energie_Totaal[[#Headers],[B1]],Database_Productkaarten[#All],48,FALSE),0)*Baseline!I8),0))</f>
        <v>0</v>
      </c>
      <c r="K321" s="77">
        <f>(IF(Baseline!C8="Nieuwe Situatie",(SUM(Referentie_Hernieuwbare_Energie_Totaal[[#This Row],[A1]:[B1]],Referentie_Hernieuwbare_Energie_Totaal[[#This Row],[C1]:[D2]])*Baseline!R8),0))</f>
        <v>0</v>
      </c>
      <c r="L321" s="77">
        <f>IF(Baseline!C8="Bestaande situatie",IF(_xlfn.IFNA((VLOOKUP(Baseline!Y8,Database_Asfalt_Verwijderset[#All],42,FALSE)*Baseline!I8),0)+_xlfn.IFNA(VLOOKUP(Baseline!Z8,Database_Brandstoffen[#All],42,FALSE)*((Baseline!I8/Baseline!AB8)*Baseline!AA8),0)&gt;0,_xlfn.IFNA((VLOOKUP(Baseline!Y8,Database_Asfalt_Verwijderset[#All],42,FALSE)*Baseline!I8),0)+_xlfn.IFNA(VLOOKUP(Baseline!Z8,Database_Brandstoffen[#All],42,FALSE)*((Baseline!I8/Baseline!AB8)*Baseline!AA8),0),(_xlfn.IFNA(VLOOKUP(Referentie_Hernieuwbare_Energie_Totaal[[#This Row],[Product]]&amp;", "&amp;Referentie_MKI_Totaal[[#Headers],[C1]],Database_Productkaarten[#All],48,FALSE),0)*Baseline!I8)),0)</f>
        <v>211.41670114228413</v>
      </c>
      <c r="M321" s="77">
        <f>IF(Baseline!AD8=0,(IF(Baseline!C8="Bestaande Situatie",(_xlfn.IFNA(VLOOKUP(Referentie_Hernieuwbare_Energie_Totaal[[#This Row],[Product]]&amp;", "&amp;Referentie_MKI_Totaal[[#Headers],[C2]],Database_Productkaarten[#All],48,FALSE),0)*Baseline!I8),0)),(IF(Baseline!C8="Bestaande Situatie",_xlfn.IFNA(VLOOKUP(Baseline!AD8,Database_Transport[#All],42,FALSE)*(Baseline!Q8*Baseline!AC8),0))))</f>
        <v>15.0157590492</v>
      </c>
      <c r="N321" s="77">
        <f>(IF(Baseline!C8="Bestaande Situatie",(_xlfn.IFNA(VLOOKUP(Referentie_Hernieuwbare_Energie_Totaal[[#This Row],[Product]]&amp;", "&amp;Referentie_Hernieuwbare_Energie_Totaal[[#Headers],[C3]],Database_Productkaarten[#All],48,FALSE),0)*Baseline!I8),0))</f>
        <v>66.743853799999997</v>
      </c>
      <c r="O321" s="77">
        <f>(IF(Baseline!C8="Bestaande Situatie",(_xlfn.IFNA(VLOOKUP(Referentie_Hernieuwbare_Energie_Totaal[[#This Row],[Product]]&amp;", "&amp;Referentie_Hernieuwbare_Energie_Totaal[[#Headers],[C4]],Database_Productkaarten[#All],48,FALSE),0)*Baseline!I8),0))</f>
        <v>2.0282298400000003</v>
      </c>
      <c r="P321" s="77">
        <f>(IF(Baseline!C8="Bestaande Situatie",(_xlfn.IFNA(VLOOKUP(Referentie_Hernieuwbare_Energie_Totaal[[#This Row],[Product]]&amp;", "&amp;Referentie_Hernieuwbare_Energie_Totaal[[#Headers],[D1]],Database_Productkaarten[#All],48,FALSE),0)*Baseline!I8),0))</f>
        <v>0</v>
      </c>
      <c r="Q321" s="78">
        <f>(IF(Baseline!C8="Bestaande Situatie",_xlfn.IFNA(VLOOKUP(Referentie_Hernieuwbare_Energie_Totaal[[#This Row],[Product]]&amp;", "&amp;Referentie_Hernieuwbare_Energie_Totaal[[#Headers],[D2]],Database_Productkaarten[#All],48,FALSE),0)*Baseline!I8,0))</f>
        <v>0</v>
      </c>
      <c r="R321" s="57">
        <f>(IF(Baseline!C8="Bestaande Situatie",_xlfn.IFNA(VLOOKUP(Referentie_Hernieuwbare_Energie_Totaal[[#This Row],[Product]]&amp;", "&amp;Referentie_Hernieuwbare_Energie_Totaal[[#Headers],[D]],Database_Productkaarten[#All],48,FALSE),0)*Baseline!I8,0))</f>
        <v>-168.20948879999997</v>
      </c>
      <c r="S321" s="56">
        <f>SUM(Referentie_Hernieuwbare_Energie_Totaal[[#This Row],[A1-A3]:[C4]])+Referentie_Hernieuwbare_Energie_Totaal[[#This Row],[D]]</f>
        <v>126.99505503148413</v>
      </c>
    </row>
    <row r="322" spans="2:19">
      <c r="B322" s="209" t="str">
        <f>Baseline!B9</f>
        <v>121310 - Opbreken betonstraatstenen</v>
      </c>
      <c r="C322" s="76" t="str">
        <f>Baseline!F9</f>
        <v>Betonstraatsteen 210x105x80</v>
      </c>
      <c r="D322" s="77">
        <f>(IF(Baseline!C9="Nieuwe Situatie",(_xlfn.IFNA(VLOOKUP(Referentie_Hernieuwbare_Energie_Totaal[[#This Row],[Product]]&amp;", "&amp;Referentie_Hernieuwbare_Energie_Totaal[[#Headers],[A1]],Database_Productkaarten[#All],48,FALSE),0)*Baseline!I9),0))</f>
        <v>0</v>
      </c>
      <c r="E322" s="77">
        <f>(IF(Baseline!C9="Nieuwe Situatie",(_xlfn.IFNA(VLOOKUP(Referentie_Hernieuwbare_Energie_Totaal[[#This Row],[Product]]&amp;", "&amp;Referentie_Hernieuwbare_Energie_Totaal[[#Headers],[A2]],Database_Productkaarten[#All],48,FALSE),0)*Baseline!I9),0))</f>
        <v>0</v>
      </c>
      <c r="F322" s="77">
        <f>(IF(Baseline!C9="Nieuwe Situatie",(_xlfn.IFNA(VLOOKUP(Referentie_Hernieuwbare_Energie_Totaal[[#This Row],[Product]]&amp;", "&amp;Referentie_Hernieuwbare_Energie_Totaal[[#Headers],[A3]],Database_Productkaarten[#All],48,FALSE),0)*Baseline!I9),0))</f>
        <v>0</v>
      </c>
      <c r="G322" s="77">
        <f>(IF(Baseline!C9="Nieuwe Situatie",(_xlfn.IFNA(VLOOKUP(Referentie_Hernieuwbare_Energie_Totaal[[#This Row],[Product]]&amp;", "&amp;Referentie_Hernieuwbare_Energie_Totaal[[#Headers],[A1-A3]],Database_Productkaarten[#All],48,FALSE),0)*Baseline!I9),0))</f>
        <v>0</v>
      </c>
      <c r="H322" s="77">
        <f>IF(Baseline!T9=0,(IF(Baseline!C9="Nieuwe Situatie",(_xlfn.IFNA(VLOOKUP(Referentie_Hernieuwbare_Energie_Totaal[[#This Row],[Product]]&amp;", "&amp;Referentie_CO2_Totaal[[#Headers],[A4]],Database_Productkaarten[#All],48,FALSE),0)*Baseline!I9),0)),IF(Baseline!C9="Nieuwe Situatie",_xlfn.IFNA(VLOOKUP(Baseline!T9,Database_Transport[#All],42,FALSE)*(Baseline!Q9*Baseline!S9),Baseline_Backlog!H112),0))</f>
        <v>0</v>
      </c>
      <c r="I322" s="77">
        <f>IF(Baseline!C9="Nieuwe situatie",IF(_xlfn.IFNA((VLOOKUP(Baseline!U9,Database_Asfalt_Aanlegset[#All],42,FALSE)*Baseline!I9),0)+_xlfn.IFNA(VLOOKUP(Baseline!V9,Database_Brandstoffen[#All],42,FALSE)*((Baseline!I9/Baseline!X9)*Baseline!W9),0)&gt;0,_xlfn.IFNA((VLOOKUP(Baseline!U9,Database_Asfalt_Aanlegset[#All],42,FALSE)*Baseline!I9),0)+_xlfn.IFNA(VLOOKUP(Baseline!V9,Database_Brandstoffen[#All],42,FALSE)*((Baseline!I9/Baseline!X9)*Baseline!W9),0),(_xlfn.IFNA(VLOOKUP(Referentie_Hernieuwbare_Energie_Totaal[[#This Row],[Product]]&amp;", "&amp;Referentie_MKI_Totaal[[#Headers],[A5]],Database_Productkaarten[#All],48,FALSE),0)*Baseline!I9)),0)</f>
        <v>0</v>
      </c>
      <c r="J322" s="77">
        <f>(IF(Baseline!C9="Nieuwe Situatie",(_xlfn.IFNA(VLOOKUP(Referentie_Hernieuwbare_Energie_Totaal[[#This Row],[Product]]&amp;", "&amp;Referentie_Hernieuwbare_Energie_Totaal[[#Headers],[B1]],Database_Productkaarten[#All],48,FALSE),0)*Baseline!I9),0))</f>
        <v>0</v>
      </c>
      <c r="K322" s="77">
        <f>(IF(Baseline!C9="Nieuwe Situatie",(SUM(Referentie_Hernieuwbare_Energie_Totaal[[#This Row],[A1]:[B1]],Referentie_Hernieuwbare_Energie_Totaal[[#This Row],[C1]:[D2]])*Baseline!R9),0))</f>
        <v>0</v>
      </c>
      <c r="L322" s="77">
        <f>IF(Baseline!C9="Bestaande situatie",IF(_xlfn.IFNA((VLOOKUP(Baseline!Y9,Database_Asfalt_Verwijderset[#All],42,FALSE)*Baseline!I9),0)+_xlfn.IFNA(VLOOKUP(Baseline!Z9,Database_Brandstoffen[#All],42,FALSE)*((Baseline!I9/Baseline!AB9)*Baseline!AA9),0)&gt;0,_xlfn.IFNA((VLOOKUP(Baseline!Y9,Database_Asfalt_Verwijderset[#All],42,FALSE)*Baseline!I9),0)+_xlfn.IFNA(VLOOKUP(Baseline!Z9,Database_Brandstoffen[#All],42,FALSE)*((Baseline!I9/Baseline!AB9)*Baseline!AA9),0),(_xlfn.IFNA(VLOOKUP(Referentie_Hernieuwbare_Energie_Totaal[[#This Row],[Product]]&amp;", "&amp;Referentie_MKI_Totaal[[#Headers],[C1]],Database_Productkaarten[#All],48,FALSE),0)*Baseline!I9)),0)</f>
        <v>291.60924295487467</v>
      </c>
      <c r="M322" s="77">
        <f>IF(Baseline!AD9=0,(IF(Baseline!C9="Bestaande Situatie",(_xlfn.IFNA(VLOOKUP(Referentie_Hernieuwbare_Energie_Totaal[[#This Row],[Product]]&amp;", "&amp;Referentie_MKI_Totaal[[#Headers],[C2]],Database_Productkaarten[#All],48,FALSE),0)*Baseline!I9),0)),(IF(Baseline!C9="Bestaande Situatie",_xlfn.IFNA(VLOOKUP(Baseline!AD9,Database_Transport[#All],42,FALSE)*(Baseline!Q9*Baseline!AC9),0))))</f>
        <v>81.753098150400007</v>
      </c>
      <c r="N322" s="77">
        <f>(IF(Baseline!C9="Bestaande Situatie",(_xlfn.IFNA(VLOOKUP(Referentie_Hernieuwbare_Energie_Totaal[[#This Row],[Product]]&amp;", "&amp;Referentie_Hernieuwbare_Energie_Totaal[[#Headers],[C3]],Database_Productkaarten[#All],48,FALSE),0)*Baseline!I9),0))</f>
        <v>368.24195199999997</v>
      </c>
      <c r="O322" s="77">
        <f>(IF(Baseline!C9="Bestaande Situatie",(_xlfn.IFNA(VLOOKUP(Referentie_Hernieuwbare_Energie_Totaal[[#This Row],[Product]]&amp;", "&amp;Referentie_Hernieuwbare_Energie_Totaal[[#Headers],[C4]],Database_Productkaarten[#All],48,FALSE),0)*Baseline!I9),0))</f>
        <v>11.19023408</v>
      </c>
      <c r="P322" s="77">
        <f>(IF(Baseline!C9="Bestaande Situatie",(_xlfn.IFNA(VLOOKUP(Referentie_Hernieuwbare_Energie_Totaal[[#This Row],[Product]]&amp;", "&amp;Referentie_Hernieuwbare_Energie_Totaal[[#Headers],[D1]],Database_Productkaarten[#All],48,FALSE),0)*Baseline!I9),0))</f>
        <v>0</v>
      </c>
      <c r="Q322" s="78">
        <f>(IF(Baseline!C9="Bestaande Situatie",_xlfn.IFNA(VLOOKUP(Referentie_Hernieuwbare_Energie_Totaal[[#This Row],[Product]]&amp;", "&amp;Referentie_Hernieuwbare_Energie_Totaal[[#Headers],[D2]],Database_Productkaarten[#All],48,FALSE),0)*Baseline!I9,0))</f>
        <v>0</v>
      </c>
      <c r="R322" s="57">
        <f>(IF(Baseline!C9="Bestaande Situatie",_xlfn.IFNA(VLOOKUP(Referentie_Hernieuwbare_Energie_Totaal[[#This Row],[Product]]&amp;", "&amp;Referentie_Hernieuwbare_Energie_Totaal[[#Headers],[D]],Database_Productkaarten[#All],48,FALSE),0)*Baseline!I9,0))</f>
        <v>-1013.008928</v>
      </c>
      <c r="S322" s="56">
        <f>SUM(Referentie_Hernieuwbare_Energie_Totaal[[#This Row],[A1-A3]:[C4]])+Referentie_Hernieuwbare_Energie_Totaal[[#This Row],[D]]</f>
        <v>-260.21440081472531</v>
      </c>
    </row>
    <row r="323" spans="2:19">
      <c r="B323" s="209" t="str">
        <f>Baseline!B10</f>
        <v>121320 - Opbreken straatbakstenen en geschikt maken voor hergebruik</v>
      </c>
      <c r="C323" s="76" t="str">
        <f>Baseline!F10</f>
        <v>Gebakken klinker keiformaat</v>
      </c>
      <c r="D323" s="77">
        <f>(IF(Baseline!C10="Nieuwe Situatie",(_xlfn.IFNA(VLOOKUP(Referentie_Hernieuwbare_Energie_Totaal[[#This Row],[Product]]&amp;", "&amp;Referentie_Hernieuwbare_Energie_Totaal[[#Headers],[A1]],Database_Productkaarten[#All],48,FALSE),0)*Baseline!I10),0))</f>
        <v>0</v>
      </c>
      <c r="E323" s="77">
        <f>(IF(Baseline!C10="Nieuwe Situatie",(_xlfn.IFNA(VLOOKUP(Referentie_Hernieuwbare_Energie_Totaal[[#This Row],[Product]]&amp;", "&amp;Referentie_Hernieuwbare_Energie_Totaal[[#Headers],[A2]],Database_Productkaarten[#All],48,FALSE),0)*Baseline!I10),0))</f>
        <v>0</v>
      </c>
      <c r="F323" s="77">
        <f>(IF(Baseline!C10="Nieuwe Situatie",(_xlfn.IFNA(VLOOKUP(Referentie_Hernieuwbare_Energie_Totaal[[#This Row],[Product]]&amp;", "&amp;Referentie_Hernieuwbare_Energie_Totaal[[#Headers],[A3]],Database_Productkaarten[#All],48,FALSE),0)*Baseline!I10),0))</f>
        <v>0</v>
      </c>
      <c r="G323" s="77">
        <f>(IF(Baseline!C10="Nieuwe Situatie",(_xlfn.IFNA(VLOOKUP(Referentie_Hernieuwbare_Energie_Totaal[[#This Row],[Product]]&amp;", "&amp;Referentie_Hernieuwbare_Energie_Totaal[[#Headers],[A1-A3]],Database_Productkaarten[#All],48,FALSE),0)*Baseline!I10),0))</f>
        <v>0</v>
      </c>
      <c r="H323" s="77">
        <f>IF(Baseline!T10=0,(IF(Baseline!C10="Nieuwe Situatie",(_xlfn.IFNA(VLOOKUP(Referentie_Hernieuwbare_Energie_Totaal[[#This Row],[Product]]&amp;", "&amp;Referentie_CO2_Totaal[[#Headers],[A4]],Database_Productkaarten[#All],48,FALSE),0)*Baseline!I10),0)),IF(Baseline!C10="Nieuwe Situatie",_xlfn.IFNA(VLOOKUP(Baseline!T10,Database_Transport[#All],42,FALSE)*(Baseline!Q10*Baseline!S10),Baseline_Backlog!H113),0))</f>
        <v>0</v>
      </c>
      <c r="I323" s="77">
        <f>IF(Baseline!C10="Nieuwe situatie",IF(_xlfn.IFNA((VLOOKUP(Baseline!U10,Database_Asfalt_Aanlegset[#All],42,FALSE)*Baseline!I10),0)+_xlfn.IFNA(VLOOKUP(Baseline!V10,Database_Brandstoffen[#All],42,FALSE)*((Baseline!I10/Baseline!X10)*Baseline!W10),0)&gt;0,_xlfn.IFNA((VLOOKUP(Baseline!U10,Database_Asfalt_Aanlegset[#All],42,FALSE)*Baseline!I10),0)+_xlfn.IFNA(VLOOKUP(Baseline!V10,Database_Brandstoffen[#All],42,FALSE)*((Baseline!I10/Baseline!X10)*Baseline!W10),0),(_xlfn.IFNA(VLOOKUP(Referentie_Hernieuwbare_Energie_Totaal[[#This Row],[Product]]&amp;", "&amp;Referentie_MKI_Totaal[[#Headers],[A5]],Database_Productkaarten[#All],48,FALSE),0)*Baseline!I10)),0)</f>
        <v>0</v>
      </c>
      <c r="J323" s="77">
        <f>(IF(Baseline!C10="Nieuwe Situatie",(_xlfn.IFNA(VLOOKUP(Referentie_Hernieuwbare_Energie_Totaal[[#This Row],[Product]]&amp;", "&amp;Referentie_Hernieuwbare_Energie_Totaal[[#Headers],[B1]],Database_Productkaarten[#All],48,FALSE),0)*Baseline!I10),0))</f>
        <v>0</v>
      </c>
      <c r="K323" s="77">
        <f>(IF(Baseline!C10="Nieuwe Situatie",(SUM(Referentie_Hernieuwbare_Energie_Totaal[[#This Row],[A1]:[B1]],Referentie_Hernieuwbare_Energie_Totaal[[#This Row],[C1]:[D2]])*Baseline!R10),0))</f>
        <v>0</v>
      </c>
      <c r="L323" s="77">
        <f>IF(Baseline!C10="Bestaande situatie",IF(_xlfn.IFNA((VLOOKUP(Baseline!Y10,Database_Asfalt_Verwijderset[#All],42,FALSE)*Baseline!I10),0)+_xlfn.IFNA(VLOOKUP(Baseline!Z10,Database_Brandstoffen[#All],42,FALSE)*((Baseline!I10/Baseline!AB10)*Baseline!AA10),0)&gt;0,_xlfn.IFNA((VLOOKUP(Baseline!Y10,Database_Asfalt_Verwijderset[#All],42,FALSE)*Baseline!I10),0)+_xlfn.IFNA(VLOOKUP(Baseline!Z10,Database_Brandstoffen[#All],42,FALSE)*((Baseline!I10/Baseline!AB10)*Baseline!AA10),0),(_xlfn.IFNA(VLOOKUP(Referentie_Hernieuwbare_Energie_Totaal[[#This Row],[Product]]&amp;", "&amp;Referentie_MKI_Totaal[[#Headers],[C1]],Database_Productkaarten[#All],48,FALSE),0)*Baseline!I10)),0)</f>
        <v>827.53856803799999</v>
      </c>
      <c r="M323" s="77">
        <f>IF(Baseline!AD10=0,(IF(Baseline!C10="Bestaande Situatie",(_xlfn.IFNA(VLOOKUP(Referentie_Hernieuwbare_Energie_Totaal[[#This Row],[Product]]&amp;", "&amp;Referentie_MKI_Totaal[[#Headers],[C2]],Database_Productkaarten[#All],48,FALSE),0)*Baseline!I10),0)),(IF(Baseline!C10="Bestaande Situatie",_xlfn.IFNA(VLOOKUP(Baseline!AD10,Database_Transport[#All],42,FALSE)*(Baseline!Q10*Baseline!AC10),0))))</f>
        <v>345.67113752850003</v>
      </c>
      <c r="N323" s="77">
        <f>(IF(Baseline!C10="Bestaande Situatie",(_xlfn.IFNA(VLOOKUP(Referentie_Hernieuwbare_Energie_Totaal[[#This Row],[Product]]&amp;", "&amp;Referentie_Hernieuwbare_Energie_Totaal[[#Headers],[C3]],Database_Productkaarten[#All],48,FALSE),0)*Baseline!I10),0))</f>
        <v>43.777999999999999</v>
      </c>
      <c r="O323" s="77">
        <f>(IF(Baseline!C10="Bestaande Situatie",(_xlfn.IFNA(VLOOKUP(Referentie_Hernieuwbare_Energie_Totaal[[#This Row],[Product]]&amp;", "&amp;Referentie_Hernieuwbare_Energie_Totaal[[#Headers],[C4]],Database_Productkaarten[#All],48,FALSE),0)*Baseline!I10),0))</f>
        <v>0.44241750000000002</v>
      </c>
      <c r="P323" s="77">
        <f>(IF(Baseline!C10="Bestaande Situatie",(_xlfn.IFNA(VLOOKUP(Referentie_Hernieuwbare_Energie_Totaal[[#This Row],[Product]]&amp;", "&amp;Referentie_Hernieuwbare_Energie_Totaal[[#Headers],[D1]],Database_Productkaarten[#All],48,FALSE),0)*Baseline!I10),0))</f>
        <v>-116865</v>
      </c>
      <c r="Q323" s="78">
        <f>(IF(Baseline!C10="Bestaande Situatie",_xlfn.IFNA(VLOOKUP(Referentie_Hernieuwbare_Energie_Totaal[[#This Row],[Product]]&amp;", "&amp;Referentie_Hernieuwbare_Energie_Totaal[[#Headers],[D2]],Database_Productkaarten[#All],48,FALSE),0)*Baseline!I10,0))</f>
        <v>0</v>
      </c>
      <c r="R323" s="57">
        <f>(IF(Baseline!C10="Bestaande Situatie",_xlfn.IFNA(VLOOKUP(Referentie_Hernieuwbare_Energie_Totaal[[#This Row],[Product]]&amp;", "&amp;Referentie_Hernieuwbare_Energie_Totaal[[#Headers],[D]],Database_Productkaarten[#All],48,FALSE),0)*Baseline!I10,0))</f>
        <v>-116865</v>
      </c>
      <c r="S323" s="56">
        <f>SUM(Referentie_Hernieuwbare_Energie_Totaal[[#This Row],[A1-A3]:[C4]])+Referentie_Hernieuwbare_Energie_Totaal[[#This Row],[D]]</f>
        <v>-115647.5698769335</v>
      </c>
    </row>
    <row r="324" spans="2:19">
      <c r="B324" s="209" t="str">
        <f>Baseline!B11</f>
        <v>121330 - Opbreken en afvoeren straatbakstenen</v>
      </c>
      <c r="C324" s="76" t="str">
        <f>Baseline!F11</f>
        <v>Gebakken klinker keiformaat (hergebruik)</v>
      </c>
      <c r="D324" s="77">
        <f>(IF(Baseline!C11="Nieuwe Situatie",(_xlfn.IFNA(VLOOKUP(Referentie_Hernieuwbare_Energie_Totaal[[#This Row],[Product]]&amp;", "&amp;Referentie_Hernieuwbare_Energie_Totaal[[#Headers],[A1]],Database_Productkaarten[#All],48,FALSE),0)*Baseline!I11),0))</f>
        <v>0</v>
      </c>
      <c r="E324" s="77">
        <f>(IF(Baseline!C11="Nieuwe Situatie",(_xlfn.IFNA(VLOOKUP(Referentie_Hernieuwbare_Energie_Totaal[[#This Row],[Product]]&amp;", "&amp;Referentie_Hernieuwbare_Energie_Totaal[[#Headers],[A2]],Database_Productkaarten[#All],48,FALSE),0)*Baseline!I11),0))</f>
        <v>0</v>
      </c>
      <c r="F324" s="77">
        <f>(IF(Baseline!C11="Nieuwe Situatie",(_xlfn.IFNA(VLOOKUP(Referentie_Hernieuwbare_Energie_Totaal[[#This Row],[Product]]&amp;", "&amp;Referentie_Hernieuwbare_Energie_Totaal[[#Headers],[A3]],Database_Productkaarten[#All],48,FALSE),0)*Baseline!I11),0))</f>
        <v>0</v>
      </c>
      <c r="G324" s="77">
        <f>(IF(Baseline!C11="Nieuwe Situatie",(_xlfn.IFNA(VLOOKUP(Referentie_Hernieuwbare_Energie_Totaal[[#This Row],[Product]]&amp;", "&amp;Referentie_Hernieuwbare_Energie_Totaal[[#Headers],[A1-A3]],Database_Productkaarten[#All],48,FALSE),0)*Baseline!I11),0))</f>
        <v>0</v>
      </c>
      <c r="H324" s="77">
        <f>IF(Baseline!T11=0,(IF(Baseline!C11="Nieuwe Situatie",(_xlfn.IFNA(VLOOKUP(Referentie_Hernieuwbare_Energie_Totaal[[#This Row],[Product]]&amp;", "&amp;Referentie_CO2_Totaal[[#Headers],[A4]],Database_Productkaarten[#All],48,FALSE),0)*Baseline!I11),0)),IF(Baseline!C11="Nieuwe Situatie",_xlfn.IFNA(VLOOKUP(Baseline!T11,Database_Transport[#All],42,FALSE)*(Baseline!Q11*Baseline!S11),Baseline_Backlog!H114),0))</f>
        <v>0</v>
      </c>
      <c r="I324" s="77">
        <f>IF(Baseline!C11="Nieuwe situatie",IF(_xlfn.IFNA((VLOOKUP(Baseline!U11,Database_Asfalt_Aanlegset[#All],42,FALSE)*Baseline!I11),0)+_xlfn.IFNA(VLOOKUP(Baseline!V11,Database_Brandstoffen[#All],42,FALSE)*((Baseline!I11/Baseline!X11)*Baseline!W11),0)&gt;0,_xlfn.IFNA((VLOOKUP(Baseline!U11,Database_Asfalt_Aanlegset[#All],42,FALSE)*Baseline!I11),0)+_xlfn.IFNA(VLOOKUP(Baseline!V11,Database_Brandstoffen[#All],42,FALSE)*((Baseline!I11/Baseline!X11)*Baseline!W11),0),(_xlfn.IFNA(VLOOKUP(Referentie_Hernieuwbare_Energie_Totaal[[#This Row],[Product]]&amp;", "&amp;Referentie_MKI_Totaal[[#Headers],[A5]],Database_Productkaarten[#All],48,FALSE),0)*Baseline!I11)),0)</f>
        <v>0</v>
      </c>
      <c r="J324" s="77">
        <f>(IF(Baseline!C11="Nieuwe Situatie",(_xlfn.IFNA(VLOOKUP(Referentie_Hernieuwbare_Energie_Totaal[[#This Row],[Product]]&amp;", "&amp;Referentie_Hernieuwbare_Energie_Totaal[[#Headers],[B1]],Database_Productkaarten[#All],48,FALSE),0)*Baseline!I11),0))</f>
        <v>0</v>
      </c>
      <c r="K324" s="77">
        <f>(IF(Baseline!C11="Nieuwe Situatie",(SUM(Referentie_Hernieuwbare_Energie_Totaal[[#This Row],[A1]:[B1]],Referentie_Hernieuwbare_Energie_Totaal[[#This Row],[C1]:[D2]])*Baseline!R11),0))</f>
        <v>0</v>
      </c>
      <c r="L324" s="77">
        <f>IF(Baseline!C11="Bestaande situatie",IF(_xlfn.IFNA((VLOOKUP(Baseline!Y11,Database_Asfalt_Verwijderset[#All],42,FALSE)*Baseline!I11),0)+_xlfn.IFNA(VLOOKUP(Baseline!Z11,Database_Brandstoffen[#All],42,FALSE)*((Baseline!I11/Baseline!AB11)*Baseline!AA11),0)&gt;0,_xlfn.IFNA((VLOOKUP(Baseline!Y11,Database_Asfalt_Verwijderset[#All],42,FALSE)*Baseline!I11),0)+_xlfn.IFNA(VLOOKUP(Baseline!Z11,Database_Brandstoffen[#All],42,FALSE)*((Baseline!I11/Baseline!AB11)*Baseline!AA11),0),(_xlfn.IFNA(VLOOKUP(Referentie_Hernieuwbare_Energie_Totaal[[#This Row],[Product]]&amp;", "&amp;Referentie_MKI_Totaal[[#Headers],[C1]],Database_Productkaarten[#All],48,FALSE),0)*Baseline!I11)),0)</f>
        <v>421.13013920639992</v>
      </c>
      <c r="M324" s="77">
        <f>IF(Baseline!AD11=0,(IF(Baseline!C11="Bestaande Situatie",(_xlfn.IFNA(VLOOKUP(Referentie_Hernieuwbare_Energie_Totaal[[#This Row],[Product]]&amp;", "&amp;Referentie_MKI_Totaal[[#Headers],[C2]],Database_Productkaarten[#All],48,FALSE),0)*Baseline!I11),0)),(IF(Baseline!C11="Bestaande Situatie",_xlfn.IFNA(VLOOKUP(Baseline!AD11,Database_Transport[#All],42,FALSE)*(Baseline!Q11*Baseline!AC11),0))))</f>
        <v>175.91027160480002</v>
      </c>
      <c r="N324" s="77">
        <f>(IF(Baseline!C11="Bestaande Situatie",(_xlfn.IFNA(VLOOKUP(Referentie_Hernieuwbare_Energie_Totaal[[#This Row],[Product]]&amp;", "&amp;Referentie_Hernieuwbare_Energie_Totaal[[#Headers],[C3]],Database_Productkaarten[#All],48,FALSE),0)*Baseline!I11),0))</f>
        <v>22.278400000000001</v>
      </c>
      <c r="O324" s="77">
        <f>(IF(Baseline!C11="Bestaande Situatie",(_xlfn.IFNA(VLOOKUP(Referentie_Hernieuwbare_Energie_Totaal[[#This Row],[Product]]&amp;", "&amp;Referentie_Hernieuwbare_Energie_Totaal[[#Headers],[C4]],Database_Productkaarten[#All],48,FALSE),0)*Baseline!I11),0))</f>
        <v>0.22514400000000001</v>
      </c>
      <c r="P324" s="77">
        <f>(IF(Baseline!C11="Bestaande Situatie",(_xlfn.IFNA(VLOOKUP(Referentie_Hernieuwbare_Energie_Totaal[[#This Row],[Product]]&amp;", "&amp;Referentie_Hernieuwbare_Energie_Totaal[[#Headers],[D1]],Database_Productkaarten[#All],48,FALSE),0)*Baseline!I11),0))</f>
        <v>0</v>
      </c>
      <c r="Q324" s="78">
        <f>(IF(Baseline!C11="Bestaande Situatie",_xlfn.IFNA(VLOOKUP(Referentie_Hernieuwbare_Energie_Totaal[[#This Row],[Product]]&amp;", "&amp;Referentie_Hernieuwbare_Energie_Totaal[[#Headers],[D2]],Database_Productkaarten[#All],48,FALSE),0)*Baseline!I11,0))</f>
        <v>0</v>
      </c>
      <c r="R324" s="57">
        <f>(IF(Baseline!C11="Bestaande Situatie",_xlfn.IFNA(VLOOKUP(Referentie_Hernieuwbare_Energie_Totaal[[#This Row],[Product]]&amp;", "&amp;Referentie_Hernieuwbare_Energie_Totaal[[#Headers],[D]],Database_Productkaarten[#All],48,FALSE),0)*Baseline!I11,0))</f>
        <v>6230.4000000000005</v>
      </c>
      <c r="S324" s="56">
        <f>SUM(Referentie_Hernieuwbare_Energie_Totaal[[#This Row],[A1-A3]:[C4]])+Referentie_Hernieuwbare_Energie_Totaal[[#This Row],[D]]</f>
        <v>6849.9439548112005</v>
      </c>
    </row>
    <row r="325" spans="2:19">
      <c r="B325" s="209" t="str">
        <f>Baseline!B12</f>
        <v>121340 - Opbreken betontegels 300x300x45mm</v>
      </c>
      <c r="C325" s="76" t="str">
        <f>Baseline!F12</f>
        <v>Betontegel 300x300x45</v>
      </c>
      <c r="D325" s="77">
        <f>(IF(Baseline!C12="Nieuwe Situatie",(_xlfn.IFNA(VLOOKUP(Referentie_Hernieuwbare_Energie_Totaal[[#This Row],[Product]]&amp;", "&amp;Referentie_Hernieuwbare_Energie_Totaal[[#Headers],[A1]],Database_Productkaarten[#All],48,FALSE),0)*Baseline!I12),0))</f>
        <v>0</v>
      </c>
      <c r="E325" s="77">
        <f>(IF(Baseline!C12="Nieuwe Situatie",(_xlfn.IFNA(VLOOKUP(Referentie_Hernieuwbare_Energie_Totaal[[#This Row],[Product]]&amp;", "&amp;Referentie_Hernieuwbare_Energie_Totaal[[#Headers],[A2]],Database_Productkaarten[#All],48,FALSE),0)*Baseline!I12),0))</f>
        <v>0</v>
      </c>
      <c r="F325" s="77">
        <f>(IF(Baseline!C12="Nieuwe Situatie",(_xlfn.IFNA(VLOOKUP(Referentie_Hernieuwbare_Energie_Totaal[[#This Row],[Product]]&amp;", "&amp;Referentie_Hernieuwbare_Energie_Totaal[[#Headers],[A3]],Database_Productkaarten[#All],48,FALSE),0)*Baseline!I12),0))</f>
        <v>0</v>
      </c>
      <c r="G325" s="77">
        <f>(IF(Baseline!C12="Nieuwe Situatie",(_xlfn.IFNA(VLOOKUP(Referentie_Hernieuwbare_Energie_Totaal[[#This Row],[Product]]&amp;", "&amp;Referentie_Hernieuwbare_Energie_Totaal[[#Headers],[A1-A3]],Database_Productkaarten[#All],48,FALSE),0)*Baseline!I12),0))</f>
        <v>0</v>
      </c>
      <c r="H325" s="77">
        <f>IF(Baseline!T12=0,(IF(Baseline!C12="Nieuwe Situatie",(_xlfn.IFNA(VLOOKUP(Referentie_Hernieuwbare_Energie_Totaal[[#This Row],[Product]]&amp;", "&amp;Referentie_CO2_Totaal[[#Headers],[A4]],Database_Productkaarten[#All],48,FALSE),0)*Baseline!I12),0)),IF(Baseline!C12="Nieuwe Situatie",_xlfn.IFNA(VLOOKUP(Baseline!T12,Database_Transport[#All],42,FALSE)*(Baseline!Q12*Baseline!S12),Baseline_Backlog!H115),0))</f>
        <v>0</v>
      </c>
      <c r="I325" s="77">
        <f>IF(Baseline!C12="Nieuwe situatie",IF(_xlfn.IFNA((VLOOKUP(Baseline!U12,Database_Asfalt_Aanlegset[#All],42,FALSE)*Baseline!I12),0)+_xlfn.IFNA(VLOOKUP(Baseline!V12,Database_Brandstoffen[#All],42,FALSE)*((Baseline!I12/Baseline!X12)*Baseline!W12),0)&gt;0,_xlfn.IFNA((VLOOKUP(Baseline!U12,Database_Asfalt_Aanlegset[#All],42,FALSE)*Baseline!I12),0)+_xlfn.IFNA(VLOOKUP(Baseline!V12,Database_Brandstoffen[#All],42,FALSE)*((Baseline!I12/Baseline!X12)*Baseline!W12),0),(_xlfn.IFNA(VLOOKUP(Referentie_Hernieuwbare_Energie_Totaal[[#This Row],[Product]]&amp;", "&amp;Referentie_MKI_Totaal[[#Headers],[A5]],Database_Productkaarten[#All],48,FALSE),0)*Baseline!I12)),0)</f>
        <v>0</v>
      </c>
      <c r="J325" s="77">
        <f>(IF(Baseline!C12="Nieuwe Situatie",(_xlfn.IFNA(VLOOKUP(Referentie_Hernieuwbare_Energie_Totaal[[#This Row],[Product]]&amp;", "&amp;Referentie_Hernieuwbare_Energie_Totaal[[#Headers],[B1]],Database_Productkaarten[#All],48,FALSE),0)*Baseline!I12),0))</f>
        <v>0</v>
      </c>
      <c r="K325" s="77">
        <f>(IF(Baseline!C12="Nieuwe Situatie",(SUM(Referentie_Hernieuwbare_Energie_Totaal[[#This Row],[A1]:[B1]],Referentie_Hernieuwbare_Energie_Totaal[[#This Row],[C1]:[D2]])*Baseline!R12),0))</f>
        <v>0</v>
      </c>
      <c r="L325" s="77">
        <f>IF(Baseline!C12="Bestaande situatie",IF(_xlfn.IFNA((VLOOKUP(Baseline!Y12,Database_Asfalt_Verwijderset[#All],42,FALSE)*Baseline!I12),0)+_xlfn.IFNA(VLOOKUP(Baseline!Z12,Database_Brandstoffen[#All],42,FALSE)*((Baseline!I12/Baseline!AB12)*Baseline!AA12),0)&gt;0,_xlfn.IFNA((VLOOKUP(Baseline!Y12,Database_Asfalt_Verwijderset[#All],42,FALSE)*Baseline!I12),0)+_xlfn.IFNA(VLOOKUP(Baseline!Z12,Database_Brandstoffen[#All],42,FALSE)*((Baseline!I12/Baseline!AB12)*Baseline!AA12),0),(_xlfn.IFNA(VLOOKUP(Referentie_Hernieuwbare_Energie_Totaal[[#This Row],[Product]]&amp;", "&amp;Referentie_MKI_Totaal[[#Headers],[C1]],Database_Productkaarten[#All],48,FALSE),0)*Baseline!I12)),0)</f>
        <v>1825.2916051206685</v>
      </c>
      <c r="M325" s="77">
        <f>IF(Baseline!AD12=0,(IF(Baseline!C12="Bestaande Situatie",(_xlfn.IFNA(VLOOKUP(Referentie_Hernieuwbare_Energie_Totaal[[#This Row],[Product]]&amp;", "&amp;Referentie_MKI_Totaal[[#Headers],[C2]],Database_Productkaarten[#All],48,FALSE),0)*Baseline!I12),0)),(IF(Baseline!C12="Bestaande Situatie",_xlfn.IFNA(VLOOKUP(Baseline!AD12,Database_Transport[#All],42,FALSE)*(Baseline!Q12*Baseline!AC12),0))))</f>
        <v>297.74546056694999</v>
      </c>
      <c r="N325" s="77">
        <f>(IF(Baseline!C12="Bestaande Situatie",(_xlfn.IFNA(VLOOKUP(Referentie_Hernieuwbare_Energie_Totaal[[#This Row],[Product]]&amp;", "&amp;Referentie_Hernieuwbare_Energie_Totaal[[#Headers],[C3]],Database_Productkaarten[#All],48,FALSE),0)*Baseline!I12),0))</f>
        <v>1280.8210540499999</v>
      </c>
      <c r="O325" s="77">
        <f>(IF(Baseline!C12="Bestaande Situatie",(_xlfn.IFNA(VLOOKUP(Referentie_Hernieuwbare_Energie_Totaal[[#This Row],[Product]]&amp;", "&amp;Referentie_Hernieuwbare_Energie_Totaal[[#Headers],[C4]],Database_Productkaarten[#All],48,FALSE),0)*Baseline!I12),0))</f>
        <v>38.921928449500001</v>
      </c>
      <c r="P325" s="77">
        <f>(IF(Baseline!C12="Bestaande Situatie",(_xlfn.IFNA(VLOOKUP(Referentie_Hernieuwbare_Energie_Totaal[[#This Row],[Product]]&amp;", "&amp;Referentie_Hernieuwbare_Energie_Totaal[[#Headers],[D1]],Database_Productkaarten[#All],48,FALSE),0)*Baseline!I12),0))</f>
        <v>0</v>
      </c>
      <c r="Q325" s="78">
        <f>(IF(Baseline!C12="Bestaande Situatie",_xlfn.IFNA(VLOOKUP(Referentie_Hernieuwbare_Energie_Totaal[[#This Row],[Product]]&amp;", "&amp;Referentie_Hernieuwbare_Energie_Totaal[[#Headers],[D2]],Database_Productkaarten[#All],48,FALSE),0)*Baseline!I12,0))</f>
        <v>0</v>
      </c>
      <c r="R325" s="57">
        <f>(IF(Baseline!C12="Bestaande Situatie",_xlfn.IFNA(VLOOKUP(Referentie_Hernieuwbare_Energie_Totaal[[#This Row],[Product]]&amp;", "&amp;Referentie_Hernieuwbare_Energie_Totaal[[#Headers],[D]],Database_Productkaarten[#All],48,FALSE),0)*Baseline!I12,0))</f>
        <v>-3224.0384144</v>
      </c>
      <c r="S325" s="56">
        <f>SUM(Referentie_Hernieuwbare_Energie_Totaal[[#This Row],[A1-A3]:[C4]])+Referentie_Hernieuwbare_Energie_Totaal[[#This Row],[D]]</f>
        <v>218.74163378711819</v>
      </c>
    </row>
    <row r="326" spans="2:19">
      <c r="B326" s="209" t="str">
        <f>Baseline!B13</f>
        <v>121410 - Opbreken en afvoeren asfaltverharding zwart teervrij</v>
      </c>
      <c r="C326" s="76" t="str">
        <f>Baseline!F13</f>
        <v>AC bin/base 50% PR - PCR 2.0</v>
      </c>
      <c r="D326" s="77">
        <f>(IF(Baseline!C13="Nieuwe Situatie",(_xlfn.IFNA(VLOOKUP(Referentie_Hernieuwbare_Energie_Totaal[[#This Row],[Product]]&amp;", "&amp;Referentie_Hernieuwbare_Energie_Totaal[[#Headers],[A1]],Database_Productkaarten[#All],48,FALSE),0)*Baseline!I13),0))</f>
        <v>0</v>
      </c>
      <c r="E326" s="77">
        <f>(IF(Baseline!C13="Nieuwe Situatie",(_xlfn.IFNA(VLOOKUP(Referentie_Hernieuwbare_Energie_Totaal[[#This Row],[Product]]&amp;", "&amp;Referentie_Hernieuwbare_Energie_Totaal[[#Headers],[A2]],Database_Productkaarten[#All],48,FALSE),0)*Baseline!I13),0))</f>
        <v>0</v>
      </c>
      <c r="F326" s="77">
        <f>(IF(Baseline!C13="Nieuwe Situatie",(_xlfn.IFNA(VLOOKUP(Referentie_Hernieuwbare_Energie_Totaal[[#This Row],[Product]]&amp;", "&amp;Referentie_Hernieuwbare_Energie_Totaal[[#Headers],[A3]],Database_Productkaarten[#All],48,FALSE),0)*Baseline!I13),0))</f>
        <v>0</v>
      </c>
      <c r="G326" s="77">
        <f>(IF(Baseline!C13="Nieuwe Situatie",(_xlfn.IFNA(VLOOKUP(Referentie_Hernieuwbare_Energie_Totaal[[#This Row],[Product]]&amp;", "&amp;Referentie_Hernieuwbare_Energie_Totaal[[#Headers],[A1-A3]],Database_Productkaarten[#All],48,FALSE),0)*Baseline!I13),0))</f>
        <v>0</v>
      </c>
      <c r="H326" s="77">
        <f>IF(Baseline!T13=0,(IF(Baseline!C13="Nieuwe Situatie",(_xlfn.IFNA(VLOOKUP(Referentie_Hernieuwbare_Energie_Totaal[[#This Row],[Product]]&amp;", "&amp;Referentie_CO2_Totaal[[#Headers],[A4]],Database_Productkaarten[#All],48,FALSE),0)*Baseline!I13),0)),IF(Baseline!C13="Nieuwe Situatie",_xlfn.IFNA(VLOOKUP(Baseline!T13,Database_Transport[#All],42,FALSE)*(Baseline!Q13*Baseline!S13),Baseline_Backlog!H116),0))</f>
        <v>0</v>
      </c>
      <c r="I326" s="77">
        <f>IF(Baseline!C13="Nieuwe situatie",IF(_xlfn.IFNA((VLOOKUP(Baseline!U13,Database_Asfalt_Aanlegset[#All],42,FALSE)*Baseline!I13),0)+_xlfn.IFNA(VLOOKUP(Baseline!V13,Database_Brandstoffen[#All],42,FALSE)*((Baseline!I13/Baseline!X13)*Baseline!W13),0)&gt;0,_xlfn.IFNA((VLOOKUP(Baseline!U13,Database_Asfalt_Aanlegset[#All],42,FALSE)*Baseline!I13),0)+_xlfn.IFNA(VLOOKUP(Baseline!V13,Database_Brandstoffen[#All],42,FALSE)*((Baseline!I13/Baseline!X13)*Baseline!W13),0),(_xlfn.IFNA(VLOOKUP(Referentie_Hernieuwbare_Energie_Totaal[[#This Row],[Product]]&amp;", "&amp;Referentie_MKI_Totaal[[#Headers],[A5]],Database_Productkaarten[#All],48,FALSE),0)*Baseline!I13)),0)</f>
        <v>0</v>
      </c>
      <c r="J326" s="77">
        <f>(IF(Baseline!C13="Nieuwe Situatie",(_xlfn.IFNA(VLOOKUP(Referentie_Hernieuwbare_Energie_Totaal[[#This Row],[Product]]&amp;", "&amp;Referentie_Hernieuwbare_Energie_Totaal[[#Headers],[B1]],Database_Productkaarten[#All],48,FALSE),0)*Baseline!I13),0))</f>
        <v>0</v>
      </c>
      <c r="K326" s="77">
        <f>(IF(Baseline!C13="Nieuwe Situatie",(SUM(Referentie_Hernieuwbare_Energie_Totaal[[#This Row],[A1]:[B1]],Referentie_Hernieuwbare_Energie_Totaal[[#This Row],[C1]:[D2]])*Baseline!R13),0))</f>
        <v>0</v>
      </c>
      <c r="L326" s="77">
        <f>IF(Baseline!C13="Bestaande situatie",IF(_xlfn.IFNA((VLOOKUP(Baseline!Y13,Database_Asfalt_Verwijderset[#All],42,FALSE)*Baseline!I13),0)+_xlfn.IFNA(VLOOKUP(Baseline!Z13,Database_Brandstoffen[#All],42,FALSE)*((Baseline!I13/Baseline!AB13)*Baseline!AA13),0)&gt;0,_xlfn.IFNA((VLOOKUP(Baseline!Y13,Database_Asfalt_Verwijderset[#All],42,FALSE)*Baseline!I13),0)+_xlfn.IFNA(VLOOKUP(Baseline!Z13,Database_Brandstoffen[#All],42,FALSE)*((Baseline!I13/Baseline!AB13)*Baseline!AA13),0),(_xlfn.IFNA(VLOOKUP(Referentie_Hernieuwbare_Energie_Totaal[[#This Row],[Product]]&amp;", "&amp;Referentie_MKI_Totaal[[#Headers],[C1]],Database_Productkaarten[#All],48,FALSE),0)*Baseline!I13)),0)</f>
        <v>215.436640125</v>
      </c>
      <c r="M326" s="77">
        <f>IF(Baseline!AD13=0,(IF(Baseline!C13="Bestaande Situatie",(_xlfn.IFNA(VLOOKUP(Referentie_Hernieuwbare_Energie_Totaal[[#This Row],[Product]]&amp;", "&amp;Referentie_MKI_Totaal[[#Headers],[C2]],Database_Productkaarten[#All],48,FALSE),0)*Baseline!I13),0)),(IF(Baseline!C13="Bestaande Situatie",_xlfn.IFNA(VLOOKUP(Baseline!AD13,Database_Transport[#All],42,FALSE)*(Baseline!Q13*Baseline!AC13),0))))</f>
        <v>746.80499250000003</v>
      </c>
      <c r="N326" s="77">
        <f>(IF(Baseline!C13="Bestaande Situatie",(_xlfn.IFNA(VLOOKUP(Referentie_Hernieuwbare_Energie_Totaal[[#This Row],[Product]]&amp;", "&amp;Referentie_Hernieuwbare_Energie_Totaal[[#Headers],[C3]],Database_Productkaarten[#All],48,FALSE),0)*Baseline!I13),0))</f>
        <v>241.54880321325678</v>
      </c>
      <c r="O326" s="77">
        <f>(IF(Baseline!C13="Bestaande Situatie",(_xlfn.IFNA(VLOOKUP(Referentie_Hernieuwbare_Energie_Totaal[[#This Row],[Product]]&amp;", "&amp;Referentie_Hernieuwbare_Energie_Totaal[[#Headers],[C4]],Database_Productkaarten[#All],48,FALSE),0)*Baseline!I13),0))</f>
        <v>0</v>
      </c>
      <c r="P326" s="77">
        <f>(IF(Baseline!C13="Bestaande Situatie",(_xlfn.IFNA(VLOOKUP(Referentie_Hernieuwbare_Energie_Totaal[[#This Row],[Product]]&amp;", "&amp;Referentie_Hernieuwbare_Energie_Totaal[[#Headers],[D1]],Database_Productkaarten[#All],48,FALSE),0)*Baseline!I13),0))</f>
        <v>0</v>
      </c>
      <c r="Q326" s="78">
        <f>(IF(Baseline!C13="Bestaande Situatie",_xlfn.IFNA(VLOOKUP(Referentie_Hernieuwbare_Energie_Totaal[[#This Row],[Product]]&amp;", "&amp;Referentie_Hernieuwbare_Energie_Totaal[[#Headers],[D2]],Database_Productkaarten[#All],48,FALSE),0)*Baseline!I13,0))</f>
        <v>0</v>
      </c>
      <c r="R326" s="57">
        <f>(IF(Baseline!C13="Bestaande Situatie",_xlfn.IFNA(VLOOKUP(Referentie_Hernieuwbare_Energie_Totaal[[#This Row],[Product]]&amp;", "&amp;Referentie_Hernieuwbare_Energie_Totaal[[#Headers],[D]],Database_Productkaarten[#All],48,FALSE),0)*Baseline!I13,0))</f>
        <v>-21578.60025649676</v>
      </c>
      <c r="S326" s="56">
        <f>SUM(Referentie_Hernieuwbare_Energie_Totaal[[#This Row],[A1-A3]:[C4]])+Referentie_Hernieuwbare_Energie_Totaal[[#This Row],[D]]</f>
        <v>-20374.809820658502</v>
      </c>
    </row>
    <row r="327" spans="2:19">
      <c r="B327" s="209" t="str">
        <f>Baseline!B14</f>
        <v>121420 - Opbreken en afvoeren asfaltverharding rood teervrij</v>
      </c>
      <c r="C327" s="76" t="str">
        <f>Baseline!F14</f>
        <v>AC surf rood, met penbitumen - PCR 2.0</v>
      </c>
      <c r="D327" s="77">
        <f>(IF(Baseline!C14="Nieuwe Situatie",(_xlfn.IFNA(VLOOKUP(Referentie_Hernieuwbare_Energie_Totaal[[#This Row],[Product]]&amp;", "&amp;Referentie_Hernieuwbare_Energie_Totaal[[#Headers],[A1]],Database_Productkaarten[#All],48,FALSE),0)*Baseline!I14),0))</f>
        <v>0</v>
      </c>
      <c r="E327" s="77">
        <f>(IF(Baseline!C14="Nieuwe Situatie",(_xlfn.IFNA(VLOOKUP(Referentie_Hernieuwbare_Energie_Totaal[[#This Row],[Product]]&amp;", "&amp;Referentie_Hernieuwbare_Energie_Totaal[[#Headers],[A2]],Database_Productkaarten[#All],48,FALSE),0)*Baseline!I14),0))</f>
        <v>0</v>
      </c>
      <c r="F327" s="77">
        <f>(IF(Baseline!C14="Nieuwe Situatie",(_xlfn.IFNA(VLOOKUP(Referentie_Hernieuwbare_Energie_Totaal[[#This Row],[Product]]&amp;", "&amp;Referentie_Hernieuwbare_Energie_Totaal[[#Headers],[A3]],Database_Productkaarten[#All],48,FALSE),0)*Baseline!I14),0))</f>
        <v>0</v>
      </c>
      <c r="G327" s="77">
        <f>(IF(Baseline!C14="Nieuwe Situatie",(_xlfn.IFNA(VLOOKUP(Referentie_Hernieuwbare_Energie_Totaal[[#This Row],[Product]]&amp;", "&amp;Referentie_Hernieuwbare_Energie_Totaal[[#Headers],[A1-A3]],Database_Productkaarten[#All],48,FALSE),0)*Baseline!I14),0))</f>
        <v>0</v>
      </c>
      <c r="H327" s="77">
        <f>IF(Baseline!T14=0,(IF(Baseline!C14="Nieuwe Situatie",(_xlfn.IFNA(VLOOKUP(Referentie_Hernieuwbare_Energie_Totaal[[#This Row],[Product]]&amp;", "&amp;Referentie_CO2_Totaal[[#Headers],[A4]],Database_Productkaarten[#All],48,FALSE),0)*Baseline!I14),0)),IF(Baseline!C14="Nieuwe Situatie",_xlfn.IFNA(VLOOKUP(Baseline!T14,Database_Transport[#All],42,FALSE)*(Baseline!Q14*Baseline!S14),Baseline_Backlog!H117),0))</f>
        <v>0</v>
      </c>
      <c r="I327" s="77">
        <f>IF(Baseline!C14="Nieuwe situatie",IF(_xlfn.IFNA((VLOOKUP(Baseline!U14,Database_Asfalt_Aanlegset[#All],42,FALSE)*Baseline!I14),0)+_xlfn.IFNA(VLOOKUP(Baseline!V14,Database_Brandstoffen[#All],42,FALSE)*((Baseline!I14/Baseline!X14)*Baseline!W14),0)&gt;0,_xlfn.IFNA((VLOOKUP(Baseline!U14,Database_Asfalt_Aanlegset[#All],42,FALSE)*Baseline!I14),0)+_xlfn.IFNA(VLOOKUP(Baseline!V14,Database_Brandstoffen[#All],42,FALSE)*((Baseline!I14/Baseline!X14)*Baseline!W14),0),(_xlfn.IFNA(VLOOKUP(Referentie_Hernieuwbare_Energie_Totaal[[#This Row],[Product]]&amp;", "&amp;Referentie_MKI_Totaal[[#Headers],[A5]],Database_Productkaarten[#All],48,FALSE),0)*Baseline!I14)),0)</f>
        <v>0</v>
      </c>
      <c r="J327" s="77">
        <f>(IF(Baseline!C14="Nieuwe Situatie",(_xlfn.IFNA(VLOOKUP(Referentie_Hernieuwbare_Energie_Totaal[[#This Row],[Product]]&amp;", "&amp;Referentie_Hernieuwbare_Energie_Totaal[[#Headers],[B1]],Database_Productkaarten[#All],48,FALSE),0)*Baseline!I14),0))</f>
        <v>0</v>
      </c>
      <c r="K327" s="77">
        <f>(IF(Baseline!C14="Nieuwe Situatie",(SUM(Referentie_Hernieuwbare_Energie_Totaal[[#This Row],[A1]:[B1]],Referentie_Hernieuwbare_Energie_Totaal[[#This Row],[C1]:[D2]])*Baseline!R14),0))</f>
        <v>0</v>
      </c>
      <c r="L327" s="77">
        <f>IF(Baseline!C14="Bestaande situatie",IF(_xlfn.IFNA((VLOOKUP(Baseline!Y14,Database_Asfalt_Verwijderset[#All],42,FALSE)*Baseline!I14),0)+_xlfn.IFNA(VLOOKUP(Baseline!Z14,Database_Brandstoffen[#All],42,FALSE)*((Baseline!I14/Baseline!AB14)*Baseline!AA14),0)&gt;0,_xlfn.IFNA((VLOOKUP(Baseline!Y14,Database_Asfalt_Verwijderset[#All],42,FALSE)*Baseline!I14),0)+_xlfn.IFNA(VLOOKUP(Baseline!Z14,Database_Brandstoffen[#All],42,FALSE)*((Baseline!I14/Baseline!AB14)*Baseline!AA14),0),(_xlfn.IFNA(VLOOKUP(Referentie_Hernieuwbare_Energie_Totaal[[#This Row],[Product]]&amp;", "&amp;Referentie_MKI_Totaal[[#Headers],[C1]],Database_Productkaarten[#All],48,FALSE),0)*Baseline!I14)),0)</f>
        <v>147.72798179999998</v>
      </c>
      <c r="M327" s="77">
        <f>IF(Baseline!AD14=0,(IF(Baseline!C14="Bestaande Situatie",(_xlfn.IFNA(VLOOKUP(Referentie_Hernieuwbare_Energie_Totaal[[#This Row],[Product]]&amp;", "&amp;Referentie_MKI_Totaal[[#Headers],[C2]],Database_Productkaarten[#All],48,FALSE),0)*Baseline!I14),0)),(IF(Baseline!C14="Bestaande Situatie",_xlfn.IFNA(VLOOKUP(Baseline!AD14,Database_Transport[#All],42,FALSE)*(Baseline!Q14*Baseline!AC14),0))))</f>
        <v>512.09485200000006</v>
      </c>
      <c r="N327" s="77">
        <f>(IF(Baseline!C14="Bestaande Situatie",(_xlfn.IFNA(VLOOKUP(Referentie_Hernieuwbare_Energie_Totaal[[#This Row],[Product]]&amp;", "&amp;Referentie_Hernieuwbare_Energie_Totaal[[#Headers],[C3]],Database_Productkaarten[#All],48,FALSE),0)*Baseline!I14),0))</f>
        <v>165.63346505507556</v>
      </c>
      <c r="O327" s="77">
        <f>(IF(Baseline!C14="Bestaande Situatie",(_xlfn.IFNA(VLOOKUP(Referentie_Hernieuwbare_Energie_Totaal[[#This Row],[Product]]&amp;", "&amp;Referentie_Hernieuwbare_Energie_Totaal[[#Headers],[C4]],Database_Productkaarten[#All],48,FALSE),0)*Baseline!I14),0))</f>
        <v>0</v>
      </c>
      <c r="P327" s="77">
        <f>(IF(Baseline!C14="Bestaande Situatie",(_xlfn.IFNA(VLOOKUP(Referentie_Hernieuwbare_Energie_Totaal[[#This Row],[Product]]&amp;", "&amp;Referentie_Hernieuwbare_Energie_Totaal[[#Headers],[D1]],Database_Productkaarten[#All],48,FALSE),0)*Baseline!I14),0))</f>
        <v>0</v>
      </c>
      <c r="Q327" s="78">
        <f>(IF(Baseline!C14="Bestaande Situatie",_xlfn.IFNA(VLOOKUP(Referentie_Hernieuwbare_Energie_Totaal[[#This Row],[Product]]&amp;", "&amp;Referentie_Hernieuwbare_Energie_Totaal[[#Headers],[D2]],Database_Productkaarten[#All],48,FALSE),0)*Baseline!I14,0))</f>
        <v>0</v>
      </c>
      <c r="R327" s="57">
        <f>(IF(Baseline!C14="Bestaande Situatie",_xlfn.IFNA(VLOOKUP(Referentie_Hernieuwbare_Energie_Totaal[[#This Row],[Product]]&amp;", "&amp;Referentie_Hernieuwbare_Energie_Totaal[[#Headers],[D]],Database_Productkaarten[#All],48,FALSE),0)*Baseline!I14,0))</f>
        <v>-29272.816887728222</v>
      </c>
      <c r="S327" s="56">
        <f>SUM(Referentie_Hernieuwbare_Energie_Totaal[[#This Row],[A1-A3]:[C4]])+Referentie_Hernieuwbare_Energie_Totaal[[#This Row],[D]]</f>
        <v>-28447.360588873147</v>
      </c>
    </row>
    <row r="328" spans="2:19">
      <c r="B328" s="209" t="str">
        <f>Baseline!B15</f>
        <v>121510 - Opbreken fundering van menggranulaat, 400-200 mm dik</v>
      </c>
      <c r="C328" s="76" t="str">
        <f>Baseline!F15</f>
        <v>Menggranulaat 300mm</v>
      </c>
      <c r="D328" s="77">
        <f>(IF(Baseline!C15="Nieuwe Situatie",(_xlfn.IFNA(VLOOKUP(Referentie_Hernieuwbare_Energie_Totaal[[#This Row],[Product]]&amp;", "&amp;Referentie_Hernieuwbare_Energie_Totaal[[#Headers],[A1]],Database_Productkaarten[#All],48,FALSE),0)*Baseline!I15),0))</f>
        <v>0</v>
      </c>
      <c r="E328" s="77">
        <f>(IF(Baseline!C15="Nieuwe Situatie",(_xlfn.IFNA(VLOOKUP(Referentie_Hernieuwbare_Energie_Totaal[[#This Row],[Product]]&amp;", "&amp;Referentie_Hernieuwbare_Energie_Totaal[[#Headers],[A2]],Database_Productkaarten[#All],48,FALSE),0)*Baseline!I15),0))</f>
        <v>0</v>
      </c>
      <c r="F328" s="77">
        <f>(IF(Baseline!C15="Nieuwe Situatie",(_xlfn.IFNA(VLOOKUP(Referentie_Hernieuwbare_Energie_Totaal[[#This Row],[Product]]&amp;", "&amp;Referentie_Hernieuwbare_Energie_Totaal[[#Headers],[A3]],Database_Productkaarten[#All],48,FALSE),0)*Baseline!I15),0))</f>
        <v>0</v>
      </c>
      <c r="G328" s="77">
        <f>(IF(Baseline!C15="Nieuwe Situatie",(_xlfn.IFNA(VLOOKUP(Referentie_Hernieuwbare_Energie_Totaal[[#This Row],[Product]]&amp;", "&amp;Referentie_Hernieuwbare_Energie_Totaal[[#Headers],[A1-A3]],Database_Productkaarten[#All],48,FALSE),0)*Baseline!I15),0))</f>
        <v>0</v>
      </c>
      <c r="H328" s="77">
        <f>IF(Baseline!T15=0,(IF(Baseline!C15="Nieuwe Situatie",(_xlfn.IFNA(VLOOKUP(Referentie_Hernieuwbare_Energie_Totaal[[#This Row],[Product]]&amp;", "&amp;Referentie_CO2_Totaal[[#Headers],[A4]],Database_Productkaarten[#All],48,FALSE),0)*Baseline!I15),0)),IF(Baseline!C15="Nieuwe Situatie",_xlfn.IFNA(VLOOKUP(Baseline!T15,Database_Transport[#All],42,FALSE)*(Baseline!Q15*Baseline!S15),Baseline_Backlog!H118),0))</f>
        <v>0</v>
      </c>
      <c r="I328" s="77">
        <f>IF(Baseline!C15="Nieuwe situatie",IF(_xlfn.IFNA((VLOOKUP(Baseline!U15,Database_Asfalt_Aanlegset[#All],42,FALSE)*Baseline!I15),0)+_xlfn.IFNA(VLOOKUP(Baseline!V15,Database_Brandstoffen[#All],42,FALSE)*((Baseline!I15/Baseline!X15)*Baseline!W15),0)&gt;0,_xlfn.IFNA((VLOOKUP(Baseline!U15,Database_Asfalt_Aanlegset[#All],42,FALSE)*Baseline!I15),0)+_xlfn.IFNA(VLOOKUP(Baseline!V15,Database_Brandstoffen[#All],42,FALSE)*((Baseline!I15/Baseline!X15)*Baseline!W15),0),(_xlfn.IFNA(VLOOKUP(Referentie_Hernieuwbare_Energie_Totaal[[#This Row],[Product]]&amp;", "&amp;Referentie_MKI_Totaal[[#Headers],[A5]],Database_Productkaarten[#All],48,FALSE),0)*Baseline!I15)),0)</f>
        <v>0</v>
      </c>
      <c r="J328" s="77">
        <f>(IF(Baseline!C15="Nieuwe Situatie",(_xlfn.IFNA(VLOOKUP(Referentie_Hernieuwbare_Energie_Totaal[[#This Row],[Product]]&amp;", "&amp;Referentie_Hernieuwbare_Energie_Totaal[[#Headers],[B1]],Database_Productkaarten[#All],48,FALSE),0)*Baseline!I15),0))</f>
        <v>0</v>
      </c>
      <c r="K328" s="77">
        <f>(IF(Baseline!C15="Nieuwe Situatie",(SUM(Referentie_Hernieuwbare_Energie_Totaal[[#This Row],[A1]:[B1]],Referentie_Hernieuwbare_Energie_Totaal[[#This Row],[C1]:[D2]])*Baseline!R15),0))</f>
        <v>0</v>
      </c>
      <c r="L328" s="77">
        <f>IF(Baseline!C15="Bestaande situatie",IF(_xlfn.IFNA((VLOOKUP(Baseline!Y15,Database_Asfalt_Verwijderset[#All],42,FALSE)*Baseline!I15),0)+_xlfn.IFNA(VLOOKUP(Baseline!Z15,Database_Brandstoffen[#All],42,FALSE)*((Baseline!I15/Baseline!AB15)*Baseline!AA15),0)&gt;0,_xlfn.IFNA((VLOOKUP(Baseline!Y15,Database_Asfalt_Verwijderset[#All],42,FALSE)*Baseline!I15),0)+_xlfn.IFNA(VLOOKUP(Baseline!Z15,Database_Brandstoffen[#All],42,FALSE)*((Baseline!I15/Baseline!AB15)*Baseline!AA15),0),(_xlfn.IFNA(VLOOKUP(Referentie_Hernieuwbare_Energie_Totaal[[#This Row],[Product]]&amp;", "&amp;Referentie_MKI_Totaal[[#Headers],[C1]],Database_Productkaarten[#All],48,FALSE),0)*Baseline!I15)),0)</f>
        <v>427.52441744999999</v>
      </c>
      <c r="M328" s="77">
        <f>IF(Baseline!AD15=0,(IF(Baseline!C15="Bestaande Situatie",(_xlfn.IFNA(VLOOKUP(Referentie_Hernieuwbare_Energie_Totaal[[#This Row],[Product]]&amp;", "&amp;Referentie_MKI_Totaal[[#Headers],[C2]],Database_Productkaarten[#All],48,FALSE),0)*Baseline!I15),0)),(IF(Baseline!C15="Bestaande Situatie",_xlfn.IFNA(VLOOKUP(Baseline!AD15,Database_Transport[#All],42,FALSE)*(Baseline!Q15*Baseline!AC15),0))))</f>
        <v>637.98483644999999</v>
      </c>
      <c r="N328" s="77">
        <f>(IF(Baseline!C15="Bestaande Situatie",(_xlfn.IFNA(VLOOKUP(Referentie_Hernieuwbare_Energie_Totaal[[#This Row],[Product]]&amp;", "&amp;Referentie_Hernieuwbare_Energie_Totaal[[#Headers],[C3]],Database_Productkaarten[#All],48,FALSE),0)*Baseline!I15),0))</f>
        <v>0</v>
      </c>
      <c r="O328" s="77">
        <f>(IF(Baseline!C15="Bestaande Situatie",(_xlfn.IFNA(VLOOKUP(Referentie_Hernieuwbare_Energie_Totaal[[#This Row],[Product]]&amp;", "&amp;Referentie_Hernieuwbare_Energie_Totaal[[#Headers],[C4]],Database_Productkaarten[#All],48,FALSE),0)*Baseline!I15),0))</f>
        <v>29.785</v>
      </c>
      <c r="P328" s="77">
        <f>(IF(Baseline!C15="Bestaande Situatie",(_xlfn.IFNA(VLOOKUP(Referentie_Hernieuwbare_Energie_Totaal[[#This Row],[Product]]&amp;", "&amp;Referentie_Hernieuwbare_Energie_Totaal[[#Headers],[D1]],Database_Productkaarten[#All],48,FALSE),0)*Baseline!I15),0))</f>
        <v>0</v>
      </c>
      <c r="Q328" s="78">
        <f>(IF(Baseline!C15="Bestaande Situatie",_xlfn.IFNA(VLOOKUP(Referentie_Hernieuwbare_Energie_Totaal[[#This Row],[Product]]&amp;", "&amp;Referentie_Hernieuwbare_Energie_Totaal[[#Headers],[D2]],Database_Productkaarten[#All],48,FALSE),0)*Baseline!I15,0))</f>
        <v>0</v>
      </c>
      <c r="R328" s="57">
        <f>(IF(Baseline!C15="Bestaande Situatie",_xlfn.IFNA(VLOOKUP(Referentie_Hernieuwbare_Energie_Totaal[[#This Row],[Product]]&amp;", "&amp;Referentie_Hernieuwbare_Energie_Totaal[[#Headers],[D]],Database_Productkaarten[#All],48,FALSE),0)*Baseline!I15,0))</f>
        <v>79.350000000000009</v>
      </c>
      <c r="S328" s="56">
        <f>SUM(Referentie_Hernieuwbare_Energie_Totaal[[#This Row],[A1-A3]:[C4]])+Referentie_Hernieuwbare_Energie_Totaal[[#This Row],[D]]</f>
        <v>1174.6442539</v>
      </c>
    </row>
    <row r="329" spans="2:19">
      <c r="B329" s="209" t="str">
        <f>Baseline!B16</f>
        <v>121520 - Opbreken fundering van slakken 200-400 mm dik</v>
      </c>
      <c r="C329" s="76" t="str">
        <f>Baseline!F16</f>
        <v>Fosforslakmengsel 200mm</v>
      </c>
      <c r="D329" s="77">
        <f>(IF(Baseline!C16="Nieuwe Situatie",(_xlfn.IFNA(VLOOKUP(Referentie_Hernieuwbare_Energie_Totaal[[#This Row],[Product]]&amp;", "&amp;Referentie_Hernieuwbare_Energie_Totaal[[#Headers],[A1]],Database_Productkaarten[#All],48,FALSE),0)*Baseline!I16),0))</f>
        <v>0</v>
      </c>
      <c r="E329" s="77">
        <f>(IF(Baseline!C16="Nieuwe Situatie",(_xlfn.IFNA(VLOOKUP(Referentie_Hernieuwbare_Energie_Totaal[[#This Row],[Product]]&amp;", "&amp;Referentie_Hernieuwbare_Energie_Totaal[[#Headers],[A2]],Database_Productkaarten[#All],48,FALSE),0)*Baseline!I16),0))</f>
        <v>0</v>
      </c>
      <c r="F329" s="77">
        <f>(IF(Baseline!C16="Nieuwe Situatie",(_xlfn.IFNA(VLOOKUP(Referentie_Hernieuwbare_Energie_Totaal[[#This Row],[Product]]&amp;", "&amp;Referentie_Hernieuwbare_Energie_Totaal[[#Headers],[A3]],Database_Productkaarten[#All],48,FALSE),0)*Baseline!I16),0))</f>
        <v>0</v>
      </c>
      <c r="G329" s="77">
        <f>(IF(Baseline!C16="Nieuwe Situatie",(_xlfn.IFNA(VLOOKUP(Referentie_Hernieuwbare_Energie_Totaal[[#This Row],[Product]]&amp;", "&amp;Referentie_Hernieuwbare_Energie_Totaal[[#Headers],[A1-A3]],Database_Productkaarten[#All],48,FALSE),0)*Baseline!I16),0))</f>
        <v>0</v>
      </c>
      <c r="H329" s="77">
        <f>IF(Baseline!T16=0,(IF(Baseline!C16="Nieuwe Situatie",(_xlfn.IFNA(VLOOKUP(Referentie_Hernieuwbare_Energie_Totaal[[#This Row],[Product]]&amp;", "&amp;Referentie_CO2_Totaal[[#Headers],[A4]],Database_Productkaarten[#All],48,FALSE),0)*Baseline!I16),0)),IF(Baseline!C16="Nieuwe Situatie",_xlfn.IFNA(VLOOKUP(Baseline!T16,Database_Transport[#All],42,FALSE)*(Baseline!Q16*Baseline!S16),Baseline_Backlog!H119),0))</f>
        <v>0</v>
      </c>
      <c r="I329" s="77">
        <f>IF(Baseline!C16="Nieuwe situatie",IF(_xlfn.IFNA((VLOOKUP(Baseline!U16,Database_Asfalt_Aanlegset[#All],42,FALSE)*Baseline!I16),0)+_xlfn.IFNA(VLOOKUP(Baseline!V16,Database_Brandstoffen[#All],42,FALSE)*((Baseline!I16/Baseline!X16)*Baseline!W16),0)&gt;0,_xlfn.IFNA((VLOOKUP(Baseline!U16,Database_Asfalt_Aanlegset[#All],42,FALSE)*Baseline!I16),0)+_xlfn.IFNA(VLOOKUP(Baseline!V16,Database_Brandstoffen[#All],42,FALSE)*((Baseline!I16/Baseline!X16)*Baseline!W16),0),(_xlfn.IFNA(VLOOKUP(Referentie_Hernieuwbare_Energie_Totaal[[#This Row],[Product]]&amp;", "&amp;Referentie_MKI_Totaal[[#Headers],[A5]],Database_Productkaarten[#All],48,FALSE),0)*Baseline!I16)),0)</f>
        <v>0</v>
      </c>
      <c r="J329" s="77">
        <f>(IF(Baseline!C16="Nieuwe Situatie",(_xlfn.IFNA(VLOOKUP(Referentie_Hernieuwbare_Energie_Totaal[[#This Row],[Product]]&amp;", "&amp;Referentie_Hernieuwbare_Energie_Totaal[[#Headers],[B1]],Database_Productkaarten[#All],48,FALSE),0)*Baseline!I16),0))</f>
        <v>0</v>
      </c>
      <c r="K329" s="77">
        <f>(IF(Baseline!C16="Nieuwe Situatie",(SUM(Referentie_Hernieuwbare_Energie_Totaal[[#This Row],[A1]:[B1]],Referentie_Hernieuwbare_Energie_Totaal[[#This Row],[C1]:[D2]])*Baseline!R16),0))</f>
        <v>0</v>
      </c>
      <c r="L329" s="77">
        <f>IF(Baseline!C16="Bestaande situatie",IF(_xlfn.IFNA((VLOOKUP(Baseline!Y16,Database_Asfalt_Verwijderset[#All],42,FALSE)*Baseline!I16),0)+_xlfn.IFNA(VLOOKUP(Baseline!Z16,Database_Brandstoffen[#All],42,FALSE)*((Baseline!I16/Baseline!AB16)*Baseline!AA16),0)&gt;0,_xlfn.IFNA((VLOOKUP(Baseline!Y16,Database_Asfalt_Verwijderset[#All],42,FALSE)*Baseline!I16),0)+_xlfn.IFNA(VLOOKUP(Baseline!Z16,Database_Brandstoffen[#All],42,FALSE)*((Baseline!I16/Baseline!AB16)*Baseline!AA16),0),(_xlfn.IFNA(VLOOKUP(Referentie_Hernieuwbare_Energie_Totaal[[#This Row],[Product]]&amp;", "&amp;Referentie_MKI_Totaal[[#Headers],[C1]],Database_Productkaarten[#All],48,FALSE),0)*Baseline!I16)),0)</f>
        <v>195.17419057499998</v>
      </c>
      <c r="M329" s="77">
        <f>IF(Baseline!AD16=0,(IF(Baseline!C16="Bestaande Situatie",(_xlfn.IFNA(VLOOKUP(Referentie_Hernieuwbare_Energie_Totaal[[#This Row],[Product]]&amp;", "&amp;Referentie_MKI_Totaal[[#Headers],[C2]],Database_Productkaarten[#All],48,FALSE),0)*Baseline!I16),0)),(IF(Baseline!C16="Bestaande Situatie",_xlfn.IFNA(VLOOKUP(Baseline!AD16,Database_Transport[#All],42,FALSE)*(Baseline!Q16*Baseline!AC16),0))))</f>
        <v>278.80719720000008</v>
      </c>
      <c r="N329" s="77">
        <f>(IF(Baseline!C16="Bestaande Situatie",(_xlfn.IFNA(VLOOKUP(Referentie_Hernieuwbare_Energie_Totaal[[#This Row],[Product]]&amp;", "&amp;Referentie_Hernieuwbare_Energie_Totaal[[#Headers],[C3]],Database_Productkaarten[#All],48,FALSE),0)*Baseline!I16),0))</f>
        <v>0</v>
      </c>
      <c r="O329" s="77">
        <f>(IF(Baseline!C16="Bestaande Situatie",(_xlfn.IFNA(VLOOKUP(Referentie_Hernieuwbare_Energie_Totaal[[#This Row],[Product]]&amp;", "&amp;Referentie_Hernieuwbare_Energie_Totaal[[#Headers],[C4]],Database_Productkaarten[#All],48,FALSE),0)*Baseline!I16),0))</f>
        <v>13.020000000000001</v>
      </c>
      <c r="P329" s="77">
        <f>(IF(Baseline!C16="Bestaande Situatie",(_xlfn.IFNA(VLOOKUP(Referentie_Hernieuwbare_Energie_Totaal[[#This Row],[Product]]&amp;", "&amp;Referentie_Hernieuwbare_Energie_Totaal[[#Headers],[D1]],Database_Productkaarten[#All],48,FALSE),0)*Baseline!I16),0))</f>
        <v>0</v>
      </c>
      <c r="Q329" s="78">
        <f>(IF(Baseline!C16="Bestaande Situatie",_xlfn.IFNA(VLOOKUP(Referentie_Hernieuwbare_Energie_Totaal[[#This Row],[Product]]&amp;", "&amp;Referentie_Hernieuwbare_Energie_Totaal[[#Headers],[D2]],Database_Productkaarten[#All],48,FALSE),0)*Baseline!I16,0))</f>
        <v>0</v>
      </c>
      <c r="R329" s="57">
        <f>(IF(Baseline!C16="Bestaande Situatie",_xlfn.IFNA(VLOOKUP(Referentie_Hernieuwbare_Energie_Totaal[[#This Row],[Product]]&amp;", "&amp;Referentie_Hernieuwbare_Energie_Totaal[[#Headers],[D]],Database_Productkaarten[#All],48,FALSE),0)*Baseline!I16,0))</f>
        <v>34.650000000000006</v>
      </c>
      <c r="S329" s="56">
        <f>SUM(Referentie_Hernieuwbare_Energie_Totaal[[#This Row],[A1-A3]:[C4]])+Referentie_Hernieuwbare_Energie_Totaal[[#This Row],[D]]</f>
        <v>521.65138777499999</v>
      </c>
    </row>
    <row r="330" spans="2:19">
      <c r="B330" s="209" t="str">
        <f>Baseline!B17</f>
        <v>121310 - Verwijderen en afvoeren kolken, incl aansluitingen</v>
      </c>
      <c r="C330" s="76" t="str">
        <f>Baseline!F17</f>
        <v>Kolk, Staal &amp; Beton</v>
      </c>
      <c r="D330" s="77">
        <f>(IF(Baseline!C17="Nieuwe Situatie",(_xlfn.IFNA(VLOOKUP(Referentie_Hernieuwbare_Energie_Totaal[[#This Row],[Product]]&amp;", "&amp;Referentie_Hernieuwbare_Energie_Totaal[[#Headers],[A1]],Database_Productkaarten[#All],48,FALSE),0)*Baseline!I17),0))</f>
        <v>0</v>
      </c>
      <c r="E330" s="77">
        <f>(IF(Baseline!C17="Nieuwe Situatie",(_xlfn.IFNA(VLOOKUP(Referentie_Hernieuwbare_Energie_Totaal[[#This Row],[Product]]&amp;", "&amp;Referentie_Hernieuwbare_Energie_Totaal[[#Headers],[A2]],Database_Productkaarten[#All],48,FALSE),0)*Baseline!I17),0))</f>
        <v>0</v>
      </c>
      <c r="F330" s="77">
        <f>(IF(Baseline!C17="Nieuwe Situatie",(_xlfn.IFNA(VLOOKUP(Referentie_Hernieuwbare_Energie_Totaal[[#This Row],[Product]]&amp;", "&amp;Referentie_Hernieuwbare_Energie_Totaal[[#Headers],[A3]],Database_Productkaarten[#All],48,FALSE),0)*Baseline!I17),0))</f>
        <v>0</v>
      </c>
      <c r="G330" s="77">
        <f>(IF(Baseline!C17="Nieuwe Situatie",(_xlfn.IFNA(VLOOKUP(Referentie_Hernieuwbare_Energie_Totaal[[#This Row],[Product]]&amp;", "&amp;Referentie_Hernieuwbare_Energie_Totaal[[#Headers],[A1-A3]],Database_Productkaarten[#All],48,FALSE),0)*Baseline!I17),0))</f>
        <v>0</v>
      </c>
      <c r="H330" s="77">
        <f>IF(Baseline!T17=0,(IF(Baseline!C17="Nieuwe Situatie",(_xlfn.IFNA(VLOOKUP(Referentie_Hernieuwbare_Energie_Totaal[[#This Row],[Product]]&amp;", "&amp;Referentie_CO2_Totaal[[#Headers],[A4]],Database_Productkaarten[#All],48,FALSE),0)*Baseline!I17),0)),IF(Baseline!C17="Nieuwe Situatie",_xlfn.IFNA(VLOOKUP(Baseline!T17,Database_Transport[#All],42,FALSE)*(Baseline!Q17*Baseline!S17),Baseline_Backlog!H120),0))</f>
        <v>0</v>
      </c>
      <c r="I330" s="77">
        <f>IF(Baseline!C17="Nieuwe situatie",IF(_xlfn.IFNA((VLOOKUP(Baseline!U17,Database_Asfalt_Aanlegset[#All],42,FALSE)*Baseline!I17),0)+_xlfn.IFNA(VLOOKUP(Baseline!V17,Database_Brandstoffen[#All],42,FALSE)*((Baseline!I17/Baseline!X17)*Baseline!W17),0)&gt;0,_xlfn.IFNA((VLOOKUP(Baseline!U17,Database_Asfalt_Aanlegset[#All],42,FALSE)*Baseline!I17),0)+_xlfn.IFNA(VLOOKUP(Baseline!V17,Database_Brandstoffen[#All],42,FALSE)*((Baseline!I17/Baseline!X17)*Baseline!W17),0),(_xlfn.IFNA(VLOOKUP(Referentie_Hernieuwbare_Energie_Totaal[[#This Row],[Product]]&amp;", "&amp;Referentie_MKI_Totaal[[#Headers],[A5]],Database_Productkaarten[#All],48,FALSE),0)*Baseline!I17)),0)</f>
        <v>0</v>
      </c>
      <c r="J330" s="77">
        <f>(IF(Baseline!C17="Nieuwe Situatie",(_xlfn.IFNA(VLOOKUP(Referentie_Hernieuwbare_Energie_Totaal[[#This Row],[Product]]&amp;", "&amp;Referentie_Hernieuwbare_Energie_Totaal[[#Headers],[B1]],Database_Productkaarten[#All],48,FALSE),0)*Baseline!I17),0))</f>
        <v>0</v>
      </c>
      <c r="K330" s="77">
        <f>(IF(Baseline!C17="Nieuwe Situatie",(SUM(Referentie_Hernieuwbare_Energie_Totaal[[#This Row],[A1]:[B1]],Referentie_Hernieuwbare_Energie_Totaal[[#This Row],[C1]:[D2]])*Baseline!R17),0))</f>
        <v>0</v>
      </c>
      <c r="L330" s="77">
        <f>IF(Baseline!C17="Bestaande situatie",IF(_xlfn.IFNA((VLOOKUP(Baseline!Y17,Database_Asfalt_Verwijderset[#All],42,FALSE)*Baseline!I17),0)+_xlfn.IFNA(VLOOKUP(Baseline!Z17,Database_Brandstoffen[#All],42,FALSE)*((Baseline!I17/Baseline!AB17)*Baseline!AA17),0)&gt;0,_xlfn.IFNA((VLOOKUP(Baseline!Y17,Database_Asfalt_Verwijderset[#All],42,FALSE)*Baseline!I17),0)+_xlfn.IFNA(VLOOKUP(Baseline!Z17,Database_Brandstoffen[#All],42,FALSE)*((Baseline!I17/Baseline!AB17)*Baseline!AA17),0),(_xlfn.IFNA(VLOOKUP(Referentie_Hernieuwbare_Energie_Totaal[[#This Row],[Product]]&amp;", "&amp;Referentie_MKI_Totaal[[#Headers],[C1]],Database_Productkaarten[#All],48,FALSE),0)*Baseline!I17)),0)</f>
        <v>920.39167307632306</v>
      </c>
      <c r="M330" s="77">
        <f>IF(Baseline!AD17=0,(IF(Baseline!C17="Bestaande Situatie",(_xlfn.IFNA(VLOOKUP(Referentie_Hernieuwbare_Energie_Totaal[[#This Row],[Product]]&amp;", "&amp;Referentie_MKI_Totaal[[#Headers],[C2]],Database_Productkaarten[#All],48,FALSE),0)*Baseline!I17),0)),(IF(Baseline!C17="Bestaande Situatie",_xlfn.IFNA(VLOOKUP(Baseline!AD17,Database_Transport[#All],42,FALSE)*(Baseline!Q17*Baseline!AC17),0))))</f>
        <v>11.656894775275202</v>
      </c>
      <c r="N330" s="77">
        <f>(IF(Baseline!C17="Bestaande Situatie",(_xlfn.IFNA(VLOOKUP(Referentie_Hernieuwbare_Energie_Totaal[[#This Row],[Product]]&amp;", "&amp;Referentie_Hernieuwbare_Energie_Totaal[[#Headers],[C3]],Database_Productkaarten[#All],48,FALSE),0)*Baseline!I17),0))</f>
        <v>57.410068519999996</v>
      </c>
      <c r="O330" s="77">
        <f>(IF(Baseline!C17="Bestaande Situatie",(_xlfn.IFNA(VLOOKUP(Referentie_Hernieuwbare_Energie_Totaal[[#This Row],[Product]]&amp;", "&amp;Referentie_Hernieuwbare_Energie_Totaal[[#Headers],[C4]],Database_Productkaarten[#All],48,FALSE),0)*Baseline!I17),0))</f>
        <v>2.4070530080000001</v>
      </c>
      <c r="P330" s="77">
        <f>(IF(Baseline!C17="Bestaande Situatie",(_xlfn.IFNA(VLOOKUP(Referentie_Hernieuwbare_Energie_Totaal[[#This Row],[Product]]&amp;", "&amp;Referentie_Hernieuwbare_Energie_Totaal[[#Headers],[D1]],Database_Productkaarten[#All],48,FALSE),0)*Baseline!I17),0))</f>
        <v>0</v>
      </c>
      <c r="Q330" s="78">
        <f>(IF(Baseline!C17="Bestaande Situatie",_xlfn.IFNA(VLOOKUP(Referentie_Hernieuwbare_Energie_Totaal[[#This Row],[Product]]&amp;", "&amp;Referentie_Hernieuwbare_Energie_Totaal[[#Headers],[D2]],Database_Productkaarten[#All],48,FALSE),0)*Baseline!I17,0))</f>
        <v>0</v>
      </c>
      <c r="R330" s="57">
        <f>(IF(Baseline!C17="Bestaande Situatie",_xlfn.IFNA(VLOOKUP(Referentie_Hernieuwbare_Energie_Totaal[[#This Row],[Product]]&amp;", "&amp;Referentie_Hernieuwbare_Energie_Totaal[[#Headers],[D]],Database_Productkaarten[#All],48,FALSE),0)*Baseline!I17,0))</f>
        <v>-1692.9861996000002</v>
      </c>
      <c r="S330" s="56">
        <f>SUM(Referentie_Hernieuwbare_Energie_Totaal[[#This Row],[A1-A3]:[C4]])+Referentie_Hernieuwbare_Energie_Totaal[[#This Row],[D]]</f>
        <v>-701.12051022040191</v>
      </c>
    </row>
    <row r="331" spans="2:19">
      <c r="B331" s="209" t="str">
        <f>Baseline!B18</f>
        <v>210010 - Grond ontgraven uit cunet wegen en parkeervakken 0,25 m</v>
      </c>
      <c r="C331" s="76" t="str">
        <f>Baseline!F18</f>
        <v>Ophoogmateriaal (Grond)</v>
      </c>
      <c r="D331" s="77">
        <f>(IF(Baseline!C18="Nieuwe Situatie",(_xlfn.IFNA(VLOOKUP(Referentie_Hernieuwbare_Energie_Totaal[[#This Row],[Product]]&amp;", "&amp;Referentie_Hernieuwbare_Energie_Totaal[[#Headers],[A1]],Database_Productkaarten[#All],48,FALSE),0)*Baseline!I18),0))</f>
        <v>0</v>
      </c>
      <c r="E331" s="77">
        <f>(IF(Baseline!C18="Nieuwe Situatie",(_xlfn.IFNA(VLOOKUP(Referentie_Hernieuwbare_Energie_Totaal[[#This Row],[Product]]&amp;", "&amp;Referentie_Hernieuwbare_Energie_Totaal[[#Headers],[A2]],Database_Productkaarten[#All],48,FALSE),0)*Baseline!I18),0))</f>
        <v>0</v>
      </c>
      <c r="F331" s="77">
        <f>(IF(Baseline!C18="Nieuwe Situatie",(_xlfn.IFNA(VLOOKUP(Referentie_Hernieuwbare_Energie_Totaal[[#This Row],[Product]]&amp;", "&amp;Referentie_Hernieuwbare_Energie_Totaal[[#Headers],[A3]],Database_Productkaarten[#All],48,FALSE),0)*Baseline!I18),0))</f>
        <v>0</v>
      </c>
      <c r="G331" s="77">
        <f>(IF(Baseline!C18="Nieuwe Situatie",(_xlfn.IFNA(VLOOKUP(Referentie_Hernieuwbare_Energie_Totaal[[#This Row],[Product]]&amp;", "&amp;Referentie_Hernieuwbare_Energie_Totaal[[#Headers],[A1-A3]],Database_Productkaarten[#All],48,FALSE),0)*Baseline!I18),0))</f>
        <v>0</v>
      </c>
      <c r="H331" s="77">
        <f>IF(Baseline!T18=0,(IF(Baseline!C18="Nieuwe Situatie",(_xlfn.IFNA(VLOOKUP(Referentie_Hernieuwbare_Energie_Totaal[[#This Row],[Product]]&amp;", "&amp;Referentie_CO2_Totaal[[#Headers],[A4]],Database_Productkaarten[#All],48,FALSE),0)*Baseline!I18),0)),IF(Baseline!C18="Nieuwe Situatie",_xlfn.IFNA(VLOOKUP(Baseline!T18,Database_Transport[#All],42,FALSE)*(Baseline!Q18*Baseline!S18),Baseline_Backlog!H121),0))</f>
        <v>0</v>
      </c>
      <c r="I331" s="77">
        <f>IF(Baseline!C18="Nieuwe situatie",IF(_xlfn.IFNA((VLOOKUP(Baseline!U18,Database_Asfalt_Aanlegset[#All],42,FALSE)*Baseline!I18),0)+_xlfn.IFNA(VLOOKUP(Baseline!V18,Database_Brandstoffen[#All],42,FALSE)*((Baseline!I18/Baseline!X18)*Baseline!W18),0)&gt;0,_xlfn.IFNA((VLOOKUP(Baseline!U18,Database_Asfalt_Aanlegset[#All],42,FALSE)*Baseline!I18),0)+_xlfn.IFNA(VLOOKUP(Baseline!V18,Database_Brandstoffen[#All],42,FALSE)*((Baseline!I18/Baseline!X18)*Baseline!W18),0),(_xlfn.IFNA(VLOOKUP(Referentie_Hernieuwbare_Energie_Totaal[[#This Row],[Product]]&amp;", "&amp;Referentie_MKI_Totaal[[#Headers],[A5]],Database_Productkaarten[#All],48,FALSE),0)*Baseline!I18)),0)</f>
        <v>0</v>
      </c>
      <c r="J331" s="77">
        <f>(IF(Baseline!C18="Nieuwe Situatie",(_xlfn.IFNA(VLOOKUP(Referentie_Hernieuwbare_Energie_Totaal[[#This Row],[Product]]&amp;", "&amp;Referentie_Hernieuwbare_Energie_Totaal[[#Headers],[B1]],Database_Productkaarten[#All],48,FALSE),0)*Baseline!I18),0))</f>
        <v>0</v>
      </c>
      <c r="K331" s="77">
        <f>(IF(Baseline!C18="Nieuwe Situatie",(SUM(Referentie_Hernieuwbare_Energie_Totaal[[#This Row],[A1]:[B1]],Referentie_Hernieuwbare_Energie_Totaal[[#This Row],[C1]:[D2]])*Baseline!R18),0))</f>
        <v>0</v>
      </c>
      <c r="L331" s="77">
        <f>IF(Baseline!C18="Bestaande situatie",IF(_xlfn.IFNA((VLOOKUP(Baseline!Y18,Database_Asfalt_Verwijderset[#All],42,FALSE)*Baseline!I18),0)+_xlfn.IFNA(VLOOKUP(Baseline!Z18,Database_Brandstoffen[#All],42,FALSE)*((Baseline!I18/Baseline!AB18)*Baseline!AA18),0)&gt;0,_xlfn.IFNA((VLOOKUP(Baseline!Y18,Database_Asfalt_Verwijderset[#All],42,FALSE)*Baseline!I18),0)+_xlfn.IFNA(VLOOKUP(Baseline!Z18,Database_Brandstoffen[#All],42,FALSE)*((Baseline!I18/Baseline!AB18)*Baseline!AA18),0),(_xlfn.IFNA(VLOOKUP(Referentie_Hernieuwbare_Energie_Totaal[[#This Row],[Product]]&amp;", "&amp;Referentie_MKI_Totaal[[#Headers],[C1]],Database_Productkaarten[#All],48,FALSE),0)*Baseline!I18)),0)</f>
        <v>647.91921234359995</v>
      </c>
      <c r="M331" s="77">
        <f>IF(Baseline!AD18=0,(IF(Baseline!C18="Bestaande Situatie",(_xlfn.IFNA(VLOOKUP(Referentie_Hernieuwbare_Energie_Totaal[[#This Row],[Product]]&amp;", "&amp;Referentie_MKI_Totaal[[#Headers],[C2]],Database_Productkaarten[#All],48,FALSE),0)*Baseline!I18),0)),(IF(Baseline!C18="Bestaande Situatie",_xlfn.IFNA(VLOOKUP(Baseline!AD18,Database_Transport[#All],42,FALSE)*(Baseline!Q18*Baseline!AC18),0))))</f>
        <v>2320.7854195499999</v>
      </c>
      <c r="N331" s="77">
        <f>(IF(Baseline!C18="Bestaande Situatie",(_xlfn.IFNA(VLOOKUP(Referentie_Hernieuwbare_Energie_Totaal[[#This Row],[Product]]&amp;", "&amp;Referentie_Hernieuwbare_Energie_Totaal[[#Headers],[C3]],Database_Productkaarten[#All],48,FALSE),0)*Baseline!I18),0))</f>
        <v>0</v>
      </c>
      <c r="O331" s="77">
        <f>(IF(Baseline!C18="Bestaande Situatie",(_xlfn.IFNA(VLOOKUP(Referentie_Hernieuwbare_Energie_Totaal[[#This Row],[Product]]&amp;", "&amp;Referentie_Hernieuwbare_Energie_Totaal[[#Headers],[C4]],Database_Productkaarten[#All],48,FALSE),0)*Baseline!I18),0))</f>
        <v>108.432</v>
      </c>
      <c r="P331" s="77">
        <f>(IF(Baseline!C18="Bestaande Situatie",(_xlfn.IFNA(VLOOKUP(Referentie_Hernieuwbare_Energie_Totaal[[#This Row],[Product]]&amp;", "&amp;Referentie_Hernieuwbare_Energie_Totaal[[#Headers],[D1]],Database_Productkaarten[#All],48,FALSE),0)*Baseline!I18),0))</f>
        <v>0</v>
      </c>
      <c r="Q331" s="78">
        <f>(IF(Baseline!C18="Bestaande Situatie",_xlfn.IFNA(VLOOKUP(Referentie_Hernieuwbare_Energie_Totaal[[#This Row],[Product]]&amp;", "&amp;Referentie_Hernieuwbare_Energie_Totaal[[#Headers],[D2]],Database_Productkaarten[#All],48,FALSE),0)*Baseline!I18,0))</f>
        <v>0</v>
      </c>
      <c r="R331" s="57">
        <f>(IF(Baseline!C18="Bestaande Situatie",_xlfn.IFNA(VLOOKUP(Referentie_Hernieuwbare_Energie_Totaal[[#This Row],[Product]]&amp;", "&amp;Referentie_Hernieuwbare_Energie_Totaal[[#Headers],[D]],Database_Productkaarten[#All],48,FALSE),0)*Baseline!I18,0))</f>
        <v>0</v>
      </c>
      <c r="S331" s="56">
        <f>SUM(Referentie_Hernieuwbare_Energie_Totaal[[#This Row],[A1-A3]:[C4]])+Referentie_Hernieuwbare_Energie_Totaal[[#This Row],[D]]</f>
        <v>3077.1366318935998</v>
      </c>
    </row>
    <row r="332" spans="2:19">
      <c r="B332" s="209" t="str">
        <f>Baseline!B19</f>
        <v>210020 - Grond ontgraven uit sleuf riolering (gerekend met 11,5m3/m1 riool)</v>
      </c>
      <c r="C332" s="76" t="str">
        <f>Baseline!F19</f>
        <v>Ophoogmateriaal (Grond)</v>
      </c>
      <c r="D332" s="77">
        <f>(IF(Baseline!C19="Nieuwe Situatie",(_xlfn.IFNA(VLOOKUP(Referentie_Hernieuwbare_Energie_Totaal[[#This Row],[Product]]&amp;", "&amp;Referentie_Hernieuwbare_Energie_Totaal[[#Headers],[A1]],Database_Productkaarten[#All],48,FALSE),0)*Baseline!I19),0))</f>
        <v>0</v>
      </c>
      <c r="E332" s="77">
        <f>(IF(Baseline!C19="Nieuwe Situatie",(_xlfn.IFNA(VLOOKUP(Referentie_Hernieuwbare_Energie_Totaal[[#This Row],[Product]]&amp;", "&amp;Referentie_Hernieuwbare_Energie_Totaal[[#Headers],[A2]],Database_Productkaarten[#All],48,FALSE),0)*Baseline!I19),0))</f>
        <v>0</v>
      </c>
      <c r="F332" s="77">
        <f>(IF(Baseline!C19="Nieuwe Situatie",(_xlfn.IFNA(VLOOKUP(Referentie_Hernieuwbare_Energie_Totaal[[#This Row],[Product]]&amp;", "&amp;Referentie_Hernieuwbare_Energie_Totaal[[#Headers],[A3]],Database_Productkaarten[#All],48,FALSE),0)*Baseline!I19),0))</f>
        <v>0</v>
      </c>
      <c r="G332" s="77">
        <f>(IF(Baseline!C19="Nieuwe Situatie",(_xlfn.IFNA(VLOOKUP(Referentie_Hernieuwbare_Energie_Totaal[[#This Row],[Product]]&amp;", "&amp;Referentie_Hernieuwbare_Energie_Totaal[[#Headers],[A1-A3]],Database_Productkaarten[#All],48,FALSE),0)*Baseline!I19),0))</f>
        <v>0</v>
      </c>
      <c r="H332" s="77">
        <f>IF(Baseline!T19=0,(IF(Baseline!C19="Nieuwe Situatie",(_xlfn.IFNA(VLOOKUP(Referentie_Hernieuwbare_Energie_Totaal[[#This Row],[Product]]&amp;", "&amp;Referentie_CO2_Totaal[[#Headers],[A4]],Database_Productkaarten[#All],48,FALSE),0)*Baseline!I19),0)),IF(Baseline!C19="Nieuwe Situatie",_xlfn.IFNA(VLOOKUP(Baseline!T19,Database_Transport[#All],42,FALSE)*(Baseline!Q19*Baseline!S19),Baseline_Backlog!H122),0))</f>
        <v>0</v>
      </c>
      <c r="I332" s="77">
        <f>IF(Baseline!C19="Nieuwe situatie",IF(_xlfn.IFNA((VLOOKUP(Baseline!U19,Database_Asfalt_Aanlegset[#All],42,FALSE)*Baseline!I19),0)+_xlfn.IFNA(VLOOKUP(Baseline!V19,Database_Brandstoffen[#All],42,FALSE)*((Baseline!I19/Baseline!X19)*Baseline!W19),0)&gt;0,_xlfn.IFNA((VLOOKUP(Baseline!U19,Database_Asfalt_Aanlegset[#All],42,FALSE)*Baseline!I19),0)+_xlfn.IFNA(VLOOKUP(Baseline!V19,Database_Brandstoffen[#All],42,FALSE)*((Baseline!I19/Baseline!X19)*Baseline!W19),0),(_xlfn.IFNA(VLOOKUP(Referentie_Hernieuwbare_Energie_Totaal[[#This Row],[Product]]&amp;", "&amp;Referentie_MKI_Totaal[[#Headers],[A5]],Database_Productkaarten[#All],48,FALSE),0)*Baseline!I19)),0)</f>
        <v>0</v>
      </c>
      <c r="J332" s="77">
        <f>(IF(Baseline!C19="Nieuwe Situatie",(_xlfn.IFNA(VLOOKUP(Referentie_Hernieuwbare_Energie_Totaal[[#This Row],[Product]]&amp;", "&amp;Referentie_Hernieuwbare_Energie_Totaal[[#Headers],[B1]],Database_Productkaarten[#All],48,FALSE),0)*Baseline!I19),0))</f>
        <v>0</v>
      </c>
      <c r="K332" s="77">
        <f>(IF(Baseline!C19="Nieuwe Situatie",(SUM(Referentie_Hernieuwbare_Energie_Totaal[[#This Row],[A1]:[B1]],Referentie_Hernieuwbare_Energie_Totaal[[#This Row],[C1]:[D2]])*Baseline!R19),0))</f>
        <v>0</v>
      </c>
      <c r="L332" s="77">
        <f>IF(Baseline!C19="Bestaande situatie",IF(_xlfn.IFNA((VLOOKUP(Baseline!Y19,Database_Asfalt_Verwijderset[#All],42,FALSE)*Baseline!I19),0)+_xlfn.IFNA(VLOOKUP(Baseline!Z19,Database_Brandstoffen[#All],42,FALSE)*((Baseline!I19/Baseline!AB19)*Baseline!AA19),0)&gt;0,_xlfn.IFNA((VLOOKUP(Baseline!Y19,Database_Asfalt_Verwijderset[#All],42,FALSE)*Baseline!I19),0)+_xlfn.IFNA(VLOOKUP(Baseline!Z19,Database_Brandstoffen[#All],42,FALSE)*((Baseline!I19/Baseline!AB19)*Baseline!AA19),0),(_xlfn.IFNA(VLOOKUP(Referentie_Hernieuwbare_Energie_Totaal[[#This Row],[Product]]&amp;", "&amp;Referentie_MKI_Totaal[[#Headers],[C1]],Database_Productkaarten[#All],48,FALSE),0)*Baseline!I19)),0)</f>
        <v>2439.3771142019996</v>
      </c>
      <c r="M332" s="77">
        <f>IF(Baseline!AD19=0,(IF(Baseline!C19="Bestaande Situatie",(_xlfn.IFNA(VLOOKUP(Referentie_Hernieuwbare_Energie_Totaal[[#This Row],[Product]]&amp;", "&amp;Referentie_MKI_Totaal[[#Headers],[C2]],Database_Productkaarten[#All],48,FALSE),0)*Baseline!I19),0)),(IF(Baseline!C19="Bestaande Situatie",_xlfn.IFNA(VLOOKUP(Baseline!AD19,Database_Transport[#All],42,FALSE)*(Baseline!Q19*Baseline!AC19),0))))</f>
        <v>2184.4046030625</v>
      </c>
      <c r="N332" s="77">
        <f>(IF(Baseline!C19="Bestaande Situatie",(_xlfn.IFNA(VLOOKUP(Referentie_Hernieuwbare_Energie_Totaal[[#This Row],[Product]]&amp;", "&amp;Referentie_Hernieuwbare_Energie_Totaal[[#Headers],[C3]],Database_Productkaarten[#All],48,FALSE),0)*Baseline!I19),0))</f>
        <v>0</v>
      </c>
      <c r="O332" s="77">
        <f>(IF(Baseline!C19="Bestaande Situatie",(_xlfn.IFNA(VLOOKUP(Referentie_Hernieuwbare_Energie_Totaal[[#This Row],[Product]]&amp;", "&amp;Referentie_Hernieuwbare_Energie_Totaal[[#Headers],[C4]],Database_Productkaarten[#All],48,FALSE),0)*Baseline!I19),0))</f>
        <v>408.24</v>
      </c>
      <c r="P332" s="77">
        <f>(IF(Baseline!C19="Bestaande Situatie",(_xlfn.IFNA(VLOOKUP(Referentie_Hernieuwbare_Energie_Totaal[[#This Row],[Product]]&amp;", "&amp;Referentie_Hernieuwbare_Energie_Totaal[[#Headers],[D1]],Database_Productkaarten[#All],48,FALSE),0)*Baseline!I19),0))</f>
        <v>0</v>
      </c>
      <c r="Q332" s="78">
        <f>(IF(Baseline!C19="Bestaande Situatie",_xlfn.IFNA(VLOOKUP(Referentie_Hernieuwbare_Energie_Totaal[[#This Row],[Product]]&amp;", "&amp;Referentie_Hernieuwbare_Energie_Totaal[[#Headers],[D2]],Database_Productkaarten[#All],48,FALSE),0)*Baseline!I19,0))</f>
        <v>0</v>
      </c>
      <c r="R332" s="57">
        <f>(IF(Baseline!C19="Bestaande Situatie",_xlfn.IFNA(VLOOKUP(Referentie_Hernieuwbare_Energie_Totaal[[#This Row],[Product]]&amp;", "&amp;Referentie_Hernieuwbare_Energie_Totaal[[#Headers],[D]],Database_Productkaarten[#All],48,FALSE),0)*Baseline!I19,0))</f>
        <v>0</v>
      </c>
      <c r="S332" s="56">
        <f>SUM(Referentie_Hernieuwbare_Energie_Totaal[[#This Row],[A1-A3]:[C4]])+Referentie_Hernieuwbare_Energie_Totaal[[#This Row],[D]]</f>
        <v>5032.0217172644989</v>
      </c>
    </row>
    <row r="333" spans="2:19">
      <c r="B333" s="209" t="str">
        <f>Baseline!B20</f>
        <v>210030 - Grond ontgraven uit plantvak</v>
      </c>
      <c r="C333" s="76" t="str">
        <f>Baseline!F20</f>
        <v>Ophoogmateriaal (Grond)</v>
      </c>
      <c r="D333" s="77">
        <f>(IF(Baseline!C20="Nieuwe Situatie",(_xlfn.IFNA(VLOOKUP(Referentie_Hernieuwbare_Energie_Totaal[[#This Row],[Product]]&amp;", "&amp;Referentie_Hernieuwbare_Energie_Totaal[[#Headers],[A1]],Database_Productkaarten[#All],48,FALSE),0)*Baseline!I20),0))</f>
        <v>0</v>
      </c>
      <c r="E333" s="77">
        <f>(IF(Baseline!C20="Nieuwe Situatie",(_xlfn.IFNA(VLOOKUP(Referentie_Hernieuwbare_Energie_Totaal[[#This Row],[Product]]&amp;", "&amp;Referentie_Hernieuwbare_Energie_Totaal[[#Headers],[A2]],Database_Productkaarten[#All],48,FALSE),0)*Baseline!I20),0))</f>
        <v>0</v>
      </c>
      <c r="F333" s="77">
        <f>(IF(Baseline!C20="Nieuwe Situatie",(_xlfn.IFNA(VLOOKUP(Referentie_Hernieuwbare_Energie_Totaal[[#This Row],[Product]]&amp;", "&amp;Referentie_Hernieuwbare_Energie_Totaal[[#Headers],[A3]],Database_Productkaarten[#All],48,FALSE),0)*Baseline!I20),0))</f>
        <v>0</v>
      </c>
      <c r="G333" s="77">
        <f>(IF(Baseline!C20="Nieuwe Situatie",(_xlfn.IFNA(VLOOKUP(Referentie_Hernieuwbare_Energie_Totaal[[#This Row],[Product]]&amp;", "&amp;Referentie_Hernieuwbare_Energie_Totaal[[#Headers],[A1-A3]],Database_Productkaarten[#All],48,FALSE),0)*Baseline!I20),0))</f>
        <v>0</v>
      </c>
      <c r="H333" s="77">
        <f>IF(Baseline!T20=0,(IF(Baseline!C20="Nieuwe Situatie",(_xlfn.IFNA(VLOOKUP(Referentie_Hernieuwbare_Energie_Totaal[[#This Row],[Product]]&amp;", "&amp;Referentie_CO2_Totaal[[#Headers],[A4]],Database_Productkaarten[#All],48,FALSE),0)*Baseline!I20),0)),IF(Baseline!C20="Nieuwe Situatie",_xlfn.IFNA(VLOOKUP(Baseline!T20,Database_Transport[#All],42,FALSE)*(Baseline!Q20*Baseline!S20),Baseline_Backlog!H123),0))</f>
        <v>0</v>
      </c>
      <c r="I333" s="77">
        <f>IF(Baseline!C20="Nieuwe situatie",IF(_xlfn.IFNA((VLOOKUP(Baseline!U20,Database_Asfalt_Aanlegset[#All],42,FALSE)*Baseline!I20),0)+_xlfn.IFNA(VLOOKUP(Baseline!V20,Database_Brandstoffen[#All],42,FALSE)*((Baseline!I20/Baseline!X20)*Baseline!W20),0)&gt;0,_xlfn.IFNA((VLOOKUP(Baseline!U20,Database_Asfalt_Aanlegset[#All],42,FALSE)*Baseline!I20),0)+_xlfn.IFNA(VLOOKUP(Baseline!V20,Database_Brandstoffen[#All],42,FALSE)*((Baseline!I20/Baseline!X20)*Baseline!W20),0),(_xlfn.IFNA(VLOOKUP(Referentie_Hernieuwbare_Energie_Totaal[[#This Row],[Product]]&amp;", "&amp;Referentie_MKI_Totaal[[#Headers],[A5]],Database_Productkaarten[#All],48,FALSE),0)*Baseline!I20)),0)</f>
        <v>0</v>
      </c>
      <c r="J333" s="77">
        <f>(IF(Baseline!C20="Nieuwe Situatie",(_xlfn.IFNA(VLOOKUP(Referentie_Hernieuwbare_Energie_Totaal[[#This Row],[Product]]&amp;", "&amp;Referentie_Hernieuwbare_Energie_Totaal[[#Headers],[B1]],Database_Productkaarten[#All],48,FALSE),0)*Baseline!I20),0))</f>
        <v>0</v>
      </c>
      <c r="K333" s="77">
        <f>(IF(Baseline!C20="Nieuwe Situatie",(SUM(Referentie_Hernieuwbare_Energie_Totaal[[#This Row],[A1]:[B1]],Referentie_Hernieuwbare_Energie_Totaal[[#This Row],[C1]:[D2]])*Baseline!R20),0))</f>
        <v>0</v>
      </c>
      <c r="L333" s="77">
        <f>IF(Baseline!C20="Bestaande situatie",IF(_xlfn.IFNA((VLOOKUP(Baseline!Y20,Database_Asfalt_Verwijderset[#All],42,FALSE)*Baseline!I20),0)+_xlfn.IFNA(VLOOKUP(Baseline!Z20,Database_Brandstoffen[#All],42,FALSE)*((Baseline!I20/Baseline!AB20)*Baseline!AA20),0)&gt;0,_xlfn.IFNA((VLOOKUP(Baseline!Y20,Database_Asfalt_Verwijderset[#All],42,FALSE)*Baseline!I20),0)+_xlfn.IFNA(VLOOKUP(Baseline!Z20,Database_Brandstoffen[#All],42,FALSE)*((Baseline!I20/Baseline!AB20)*Baseline!AA20),0),(_xlfn.IFNA(VLOOKUP(Referentie_Hernieuwbare_Energie_Totaal[[#This Row],[Product]]&amp;", "&amp;Referentie_MKI_Totaal[[#Headers],[C1]],Database_Productkaarten[#All],48,FALSE),0)*Baseline!I20)),0)</f>
        <v>604.55250809111988</v>
      </c>
      <c r="M333" s="77">
        <f>IF(Baseline!AD20=0,(IF(Baseline!C20="Bestaande Situatie",(_xlfn.IFNA(VLOOKUP(Referentie_Hernieuwbare_Energie_Totaal[[#This Row],[Product]]&amp;", "&amp;Referentie_MKI_Totaal[[#Headers],[C2]],Database_Productkaarten[#All],48,FALSE),0)*Baseline!I20),0)),(IF(Baseline!C20="Bestaande Situatie",_xlfn.IFNA(VLOOKUP(Baseline!AD20,Database_Transport[#All],42,FALSE)*(Baseline!Q20*Baseline!AC20),0))))</f>
        <v>2165.44998111</v>
      </c>
      <c r="N333" s="77">
        <f>(IF(Baseline!C20="Bestaande Situatie",(_xlfn.IFNA(VLOOKUP(Referentie_Hernieuwbare_Energie_Totaal[[#This Row],[Product]]&amp;", "&amp;Referentie_Hernieuwbare_Energie_Totaal[[#Headers],[C3]],Database_Productkaarten[#All],48,FALSE),0)*Baseline!I20),0))</f>
        <v>0</v>
      </c>
      <c r="O333" s="77">
        <f>(IF(Baseline!C20="Bestaande Situatie",(_xlfn.IFNA(VLOOKUP(Referentie_Hernieuwbare_Energie_Totaal[[#This Row],[Product]]&amp;", "&amp;Referentie_Hernieuwbare_Energie_Totaal[[#Headers],[C4]],Database_Productkaarten[#All],48,FALSE),0)*Baseline!I20),0))</f>
        <v>101.17440000000001</v>
      </c>
      <c r="P333" s="77">
        <f>(IF(Baseline!C20="Bestaande Situatie",(_xlfn.IFNA(VLOOKUP(Referentie_Hernieuwbare_Energie_Totaal[[#This Row],[Product]]&amp;", "&amp;Referentie_Hernieuwbare_Energie_Totaal[[#Headers],[D1]],Database_Productkaarten[#All],48,FALSE),0)*Baseline!I20),0))</f>
        <v>0</v>
      </c>
      <c r="Q333" s="78">
        <f>(IF(Baseline!C20="Bestaande Situatie",_xlfn.IFNA(VLOOKUP(Referentie_Hernieuwbare_Energie_Totaal[[#This Row],[Product]]&amp;", "&amp;Referentie_Hernieuwbare_Energie_Totaal[[#Headers],[D2]],Database_Productkaarten[#All],48,FALSE),0)*Baseline!I20,0))</f>
        <v>0</v>
      </c>
      <c r="R333" s="57">
        <f>(IF(Baseline!C20="Bestaande Situatie",_xlfn.IFNA(VLOOKUP(Referentie_Hernieuwbare_Energie_Totaal[[#This Row],[Product]]&amp;", "&amp;Referentie_Hernieuwbare_Energie_Totaal[[#Headers],[D]],Database_Productkaarten[#All],48,FALSE),0)*Baseline!I20,0))</f>
        <v>0</v>
      </c>
      <c r="S333" s="56">
        <f>SUM(Referentie_Hernieuwbare_Energie_Totaal[[#This Row],[A1-A3]:[C4]])+Referentie_Hernieuwbare_Energie_Totaal[[#This Row],[D]]</f>
        <v>2871.1768892011196</v>
      </c>
    </row>
    <row r="334" spans="2:19">
      <c r="B334" s="209" t="str">
        <f>Baseline!B21</f>
        <v>220010 - Grond verwerken in sleuf riolering</v>
      </c>
      <c r="C334" s="76" t="str">
        <f>Baseline!F21</f>
        <v>Ophoogmateriaal (Grond)</v>
      </c>
      <c r="D334" s="77">
        <f>(IF(Baseline!C21="Nieuwe Situatie",(_xlfn.IFNA(VLOOKUP(Referentie_Hernieuwbare_Energie_Totaal[[#This Row],[Product]]&amp;", "&amp;Referentie_Hernieuwbare_Energie_Totaal[[#Headers],[A1]],Database_Productkaarten[#All],48,FALSE),0)*Baseline!I21),0))</f>
        <v>0</v>
      </c>
      <c r="E334" s="77">
        <f>(IF(Baseline!C21="Nieuwe Situatie",(_xlfn.IFNA(VLOOKUP(Referentie_Hernieuwbare_Energie_Totaal[[#This Row],[Product]]&amp;", "&amp;Referentie_Hernieuwbare_Energie_Totaal[[#Headers],[A2]],Database_Productkaarten[#All],48,FALSE),0)*Baseline!I21),0))</f>
        <v>0</v>
      </c>
      <c r="F334" s="77">
        <f>(IF(Baseline!C21="Nieuwe Situatie",(_xlfn.IFNA(VLOOKUP(Referentie_Hernieuwbare_Energie_Totaal[[#This Row],[Product]]&amp;", "&amp;Referentie_Hernieuwbare_Energie_Totaal[[#Headers],[A3]],Database_Productkaarten[#All],48,FALSE),0)*Baseline!I21),0))</f>
        <v>0</v>
      </c>
      <c r="G334" s="77">
        <f>(IF(Baseline!C21="Nieuwe Situatie",(_xlfn.IFNA(VLOOKUP(Referentie_Hernieuwbare_Energie_Totaal[[#This Row],[Product]]&amp;", "&amp;Referentie_Hernieuwbare_Energie_Totaal[[#Headers],[A1-A3]],Database_Productkaarten[#All],48,FALSE),0)*Baseline!I21),0))</f>
        <v>0</v>
      </c>
      <c r="H334" s="77">
        <f>IF(Baseline!T21=0,(IF(Baseline!C21="Nieuwe Situatie",(_xlfn.IFNA(VLOOKUP(Referentie_Hernieuwbare_Energie_Totaal[[#This Row],[Product]]&amp;", "&amp;Referentie_CO2_Totaal[[#Headers],[A4]],Database_Productkaarten[#All],48,FALSE),0)*Baseline!I21),0)),IF(Baseline!C21="Nieuwe Situatie",_xlfn.IFNA(VLOOKUP(Baseline!T21,Database_Transport[#All],42,FALSE)*(Baseline!Q21*Baseline!S21),Baseline_Backlog!H124),0))</f>
        <v>2184.4046030625</v>
      </c>
      <c r="I334" s="77">
        <f>IF(Baseline!C21="Nieuwe situatie",IF(_xlfn.IFNA((VLOOKUP(Baseline!U21,Database_Asfalt_Aanlegset[#All],42,FALSE)*Baseline!I21),0)+_xlfn.IFNA(VLOOKUP(Baseline!V21,Database_Brandstoffen[#All],42,FALSE)*((Baseline!I21/Baseline!X21)*Baseline!W21),0)&gt;0,_xlfn.IFNA((VLOOKUP(Baseline!U21,Database_Asfalt_Aanlegset[#All],42,FALSE)*Baseline!I21),0)+_xlfn.IFNA(VLOOKUP(Baseline!V21,Database_Brandstoffen[#All],42,FALSE)*((Baseline!I21/Baseline!X21)*Baseline!W21),0),(_xlfn.IFNA(VLOOKUP(Referentie_Hernieuwbare_Energie_Totaal[[#This Row],[Product]]&amp;", "&amp;Referentie_MKI_Totaal[[#Headers],[A5]],Database_Productkaarten[#All],48,FALSE),0)*Baseline!I21)),0)</f>
        <v>5269.7031455249999</v>
      </c>
      <c r="J334" s="77">
        <f>(IF(Baseline!C21="Nieuwe Situatie",(_xlfn.IFNA(VLOOKUP(Referentie_Hernieuwbare_Energie_Totaal[[#This Row],[Product]]&amp;", "&amp;Referentie_Hernieuwbare_Energie_Totaal[[#Headers],[B1]],Database_Productkaarten[#All],48,FALSE),0)*Baseline!I21),0))</f>
        <v>0</v>
      </c>
      <c r="K334" s="77">
        <f>(IF(Baseline!C21="Nieuwe Situatie",(SUM(Referentie_Hernieuwbare_Energie_Totaal[[#This Row],[A1]:[B1]],Referentie_Hernieuwbare_Energie_Totaal[[#This Row],[C1]:[D2]])*Baseline!R21),0))</f>
        <v>0</v>
      </c>
      <c r="L334" s="77">
        <f>IF(Baseline!C21="Bestaande situatie",IF(_xlfn.IFNA((VLOOKUP(Baseline!Y21,Database_Asfalt_Verwijderset[#All],42,FALSE)*Baseline!I21),0)+_xlfn.IFNA(VLOOKUP(Baseline!Z21,Database_Brandstoffen[#All],42,FALSE)*((Baseline!I21/Baseline!AB21)*Baseline!AA21),0)&gt;0,_xlfn.IFNA((VLOOKUP(Baseline!Y21,Database_Asfalt_Verwijderset[#All],42,FALSE)*Baseline!I21),0)+_xlfn.IFNA(VLOOKUP(Baseline!Z21,Database_Brandstoffen[#All],42,FALSE)*((Baseline!I21/Baseline!AB21)*Baseline!AA21),0),(_xlfn.IFNA(VLOOKUP(Referentie_Hernieuwbare_Energie_Totaal[[#This Row],[Product]]&amp;", "&amp;Referentie_MKI_Totaal[[#Headers],[C1]],Database_Productkaarten[#All],48,FALSE),0)*Baseline!I21)),0)</f>
        <v>0</v>
      </c>
      <c r="M334" s="77">
        <f>IF(Baseline!AD21=0,(IF(Baseline!C21="Bestaande Situatie",(_xlfn.IFNA(VLOOKUP(Referentie_Hernieuwbare_Energie_Totaal[[#This Row],[Product]]&amp;", "&amp;Referentie_MKI_Totaal[[#Headers],[C2]],Database_Productkaarten[#All],48,FALSE),0)*Baseline!I21),0)),(IF(Baseline!C21="Bestaande Situatie",_xlfn.IFNA(VLOOKUP(Baseline!AD21,Database_Transport[#All],42,FALSE)*(Baseline!Q21*Baseline!AC21),0))))</f>
        <v>0</v>
      </c>
      <c r="N334" s="77">
        <f>(IF(Baseline!C21="Bestaande Situatie",(_xlfn.IFNA(VLOOKUP(Referentie_Hernieuwbare_Energie_Totaal[[#This Row],[Product]]&amp;", "&amp;Referentie_Hernieuwbare_Energie_Totaal[[#Headers],[C3]],Database_Productkaarten[#All],48,FALSE),0)*Baseline!I21),0))</f>
        <v>0</v>
      </c>
      <c r="O334" s="77">
        <f>(IF(Baseline!C21="Bestaande Situatie",(_xlfn.IFNA(VLOOKUP(Referentie_Hernieuwbare_Energie_Totaal[[#This Row],[Product]]&amp;", "&amp;Referentie_Hernieuwbare_Energie_Totaal[[#Headers],[C4]],Database_Productkaarten[#All],48,FALSE),0)*Baseline!I21),0))</f>
        <v>0</v>
      </c>
      <c r="P334" s="77">
        <f>(IF(Baseline!C21="Bestaande Situatie",(_xlfn.IFNA(VLOOKUP(Referentie_Hernieuwbare_Energie_Totaal[[#This Row],[Product]]&amp;", "&amp;Referentie_Hernieuwbare_Energie_Totaal[[#Headers],[D1]],Database_Productkaarten[#All],48,FALSE),0)*Baseline!I21),0))</f>
        <v>0</v>
      </c>
      <c r="Q334" s="78">
        <f>(IF(Baseline!C21="Bestaande Situatie",_xlfn.IFNA(VLOOKUP(Referentie_Hernieuwbare_Energie_Totaal[[#This Row],[Product]]&amp;", "&amp;Referentie_Hernieuwbare_Energie_Totaal[[#Headers],[D2]],Database_Productkaarten[#All],48,FALSE),0)*Baseline!I21,0))</f>
        <v>0</v>
      </c>
      <c r="R334" s="57">
        <f>(IF(Baseline!C21="Bestaande Situatie",_xlfn.IFNA(VLOOKUP(Referentie_Hernieuwbare_Energie_Totaal[[#This Row],[Product]]&amp;", "&amp;Referentie_Hernieuwbare_Energie_Totaal[[#Headers],[D]],Database_Productkaarten[#All],48,FALSE),0)*Baseline!I21,0))</f>
        <v>0</v>
      </c>
      <c r="S334" s="56">
        <f>SUM(Referentie_Hernieuwbare_Energie_Totaal[[#This Row],[A1-A3]:[C4]])+Referentie_Hernieuwbare_Energie_Totaal[[#This Row],[D]]</f>
        <v>7454.1077485874994</v>
      </c>
    </row>
    <row r="335" spans="2:19">
      <c r="B335" s="209" t="str">
        <f>Baseline!B22</f>
        <v>220020 - Leveren en aanbrengen zand voor zand (gemiddeld 100 mm)</v>
      </c>
      <c r="C335" s="76" t="str">
        <f>Baseline!F22</f>
        <v>Ophoogmateriaal (Zand)</v>
      </c>
      <c r="D335" s="77">
        <f>(IF(Baseline!C22="Nieuwe Situatie",(_xlfn.IFNA(VLOOKUP(Referentie_Hernieuwbare_Energie_Totaal[[#This Row],[Product]]&amp;", "&amp;Referentie_Hernieuwbare_Energie_Totaal[[#Headers],[A1]],Database_Productkaarten[#All],48,FALSE),0)*Baseline!I22),0))</f>
        <v>0</v>
      </c>
      <c r="E335" s="77">
        <f>(IF(Baseline!C22="Nieuwe Situatie",(_xlfn.IFNA(VLOOKUP(Referentie_Hernieuwbare_Energie_Totaal[[#This Row],[Product]]&amp;", "&amp;Referentie_Hernieuwbare_Energie_Totaal[[#Headers],[A2]],Database_Productkaarten[#All],48,FALSE),0)*Baseline!I22),0))</f>
        <v>0</v>
      </c>
      <c r="F335" s="77">
        <f>(IF(Baseline!C22="Nieuwe Situatie",(_xlfn.IFNA(VLOOKUP(Referentie_Hernieuwbare_Energie_Totaal[[#This Row],[Product]]&amp;", "&amp;Referentie_Hernieuwbare_Energie_Totaal[[#Headers],[A3]],Database_Productkaarten[#All],48,FALSE),0)*Baseline!I22),0))</f>
        <v>0</v>
      </c>
      <c r="G335" s="77">
        <f>(IF(Baseline!C22="Nieuwe Situatie",(_xlfn.IFNA(VLOOKUP(Referentie_Hernieuwbare_Energie_Totaal[[#This Row],[Product]]&amp;", "&amp;Referentie_Hernieuwbare_Energie_Totaal[[#Headers],[A1-A3]],Database_Productkaarten[#All],48,FALSE),0)*Baseline!I22),0))</f>
        <v>20800.5</v>
      </c>
      <c r="H335" s="77">
        <f>IF(Baseline!T22=0,(IF(Baseline!C22="Nieuwe Situatie",(_xlfn.IFNA(VLOOKUP(Referentie_Hernieuwbare_Energie_Totaal[[#This Row],[Product]]&amp;", "&amp;Referentie_CO2_Totaal[[#Headers],[A4]],Database_Productkaarten[#All],48,FALSE),0)*Baseline!I22),0)),IF(Baseline!C22="Nieuwe Situatie",_xlfn.IFNA(VLOOKUP(Baseline!T22,Database_Transport[#All],42,FALSE)*(Baseline!Q22*Baseline!S22),Baseline_Backlog!H125),0))</f>
        <v>1045.5269895000001</v>
      </c>
      <c r="I335" s="77">
        <f>IF(Baseline!C22="Nieuwe situatie",IF(_xlfn.IFNA((VLOOKUP(Baseline!U22,Database_Asfalt_Aanlegset[#All],42,FALSE)*Baseline!I22),0)+_xlfn.IFNA(VLOOKUP(Baseline!V22,Database_Brandstoffen[#All],42,FALSE)*((Baseline!I22/Baseline!X22)*Baseline!W22),0)&gt;0,_xlfn.IFNA((VLOOKUP(Baseline!U22,Database_Asfalt_Aanlegset[#All],42,FALSE)*Baseline!I22),0)+_xlfn.IFNA(VLOOKUP(Baseline!V22,Database_Brandstoffen[#All],42,FALSE)*((Baseline!I22/Baseline!X22)*Baseline!W22),0),(_xlfn.IFNA(VLOOKUP(Referentie_Hernieuwbare_Energie_Totaal[[#This Row],[Product]]&amp;", "&amp;Referentie_MKI_Totaal[[#Headers],[A5]],Database_Productkaarten[#All],48,FALSE),0)*Baseline!I22)),0)</f>
        <v>813.52606204799997</v>
      </c>
      <c r="J335" s="77">
        <f>(IF(Baseline!C22="Nieuwe Situatie",(_xlfn.IFNA(VLOOKUP(Referentie_Hernieuwbare_Energie_Totaal[[#This Row],[Product]]&amp;", "&amp;Referentie_Hernieuwbare_Energie_Totaal[[#Headers],[B1]],Database_Productkaarten[#All],48,FALSE),0)*Baseline!I22),0))</f>
        <v>0</v>
      </c>
      <c r="K335" s="77">
        <f>(IF(Baseline!C22="Nieuwe Situatie",(SUM(Referentie_Hernieuwbare_Energie_Totaal[[#This Row],[A1]:[B1]],Referentie_Hernieuwbare_Energie_Totaal[[#This Row],[C1]:[D2]])*Baseline!R22),0))</f>
        <v>0</v>
      </c>
      <c r="L335" s="77">
        <f>IF(Baseline!C22="Bestaande situatie",IF(_xlfn.IFNA((VLOOKUP(Baseline!Y22,Database_Asfalt_Verwijderset[#All],42,FALSE)*Baseline!I22),0)+_xlfn.IFNA(VLOOKUP(Baseline!Z22,Database_Brandstoffen[#All],42,FALSE)*((Baseline!I22/Baseline!AB22)*Baseline!AA22),0)&gt;0,_xlfn.IFNA((VLOOKUP(Baseline!Y22,Database_Asfalt_Verwijderset[#All],42,FALSE)*Baseline!I22),0)+_xlfn.IFNA(VLOOKUP(Baseline!Z22,Database_Brandstoffen[#All],42,FALSE)*((Baseline!I22/Baseline!AB22)*Baseline!AA22),0),(_xlfn.IFNA(VLOOKUP(Referentie_Hernieuwbare_Energie_Totaal[[#This Row],[Product]]&amp;", "&amp;Referentie_MKI_Totaal[[#Headers],[C1]],Database_Productkaarten[#All],48,FALSE),0)*Baseline!I22)),0)</f>
        <v>0</v>
      </c>
      <c r="M335" s="77">
        <f>IF(Baseline!AD22=0,(IF(Baseline!C22="Bestaande Situatie",(_xlfn.IFNA(VLOOKUP(Referentie_Hernieuwbare_Energie_Totaal[[#This Row],[Product]]&amp;", "&amp;Referentie_MKI_Totaal[[#Headers],[C2]],Database_Productkaarten[#All],48,FALSE),0)*Baseline!I22),0)),(IF(Baseline!C22="Bestaande Situatie",_xlfn.IFNA(VLOOKUP(Baseline!AD22,Database_Transport[#All],42,FALSE)*(Baseline!Q22*Baseline!AC22),0))))</f>
        <v>0</v>
      </c>
      <c r="N335" s="77">
        <f>(IF(Baseline!C22="Bestaande Situatie",(_xlfn.IFNA(VLOOKUP(Referentie_Hernieuwbare_Energie_Totaal[[#This Row],[Product]]&amp;", "&amp;Referentie_Hernieuwbare_Energie_Totaal[[#Headers],[C3]],Database_Productkaarten[#All],48,FALSE),0)*Baseline!I22),0))</f>
        <v>0</v>
      </c>
      <c r="O335" s="77">
        <f>(IF(Baseline!C22="Bestaande Situatie",(_xlfn.IFNA(VLOOKUP(Referentie_Hernieuwbare_Energie_Totaal[[#This Row],[Product]]&amp;", "&amp;Referentie_Hernieuwbare_Energie_Totaal[[#Headers],[C4]],Database_Productkaarten[#All],48,FALSE),0)*Baseline!I22),0))</f>
        <v>0</v>
      </c>
      <c r="P335" s="77">
        <f>(IF(Baseline!C22="Bestaande Situatie",(_xlfn.IFNA(VLOOKUP(Referentie_Hernieuwbare_Energie_Totaal[[#This Row],[Product]]&amp;", "&amp;Referentie_Hernieuwbare_Energie_Totaal[[#Headers],[D1]],Database_Productkaarten[#All],48,FALSE),0)*Baseline!I22),0))</f>
        <v>0</v>
      </c>
      <c r="Q335" s="78">
        <f>(IF(Baseline!C22="Bestaande Situatie",_xlfn.IFNA(VLOOKUP(Referentie_Hernieuwbare_Energie_Totaal[[#This Row],[Product]]&amp;", "&amp;Referentie_Hernieuwbare_Energie_Totaal[[#Headers],[D2]],Database_Productkaarten[#All],48,FALSE),0)*Baseline!I22,0))</f>
        <v>0</v>
      </c>
      <c r="R335" s="57">
        <f>(IF(Baseline!C22="Bestaande Situatie",_xlfn.IFNA(VLOOKUP(Referentie_Hernieuwbare_Energie_Totaal[[#This Row],[Product]]&amp;", "&amp;Referentie_Hernieuwbare_Energie_Totaal[[#Headers],[D]],Database_Productkaarten[#All],48,FALSE),0)*Baseline!I22,0))</f>
        <v>0</v>
      </c>
      <c r="S335" s="56">
        <f>SUM(Referentie_Hernieuwbare_Energie_Totaal[[#This Row],[A1-A3]:[C4]])+Referentie_Hernieuwbare_Energie_Totaal[[#This Row],[D]]</f>
        <v>22659.553051548002</v>
      </c>
    </row>
    <row r="336" spans="2:19">
      <c r="B336" s="209" t="str">
        <f>Baseline!B23</f>
        <v>322020 - Leveren en aanbrengen rioolbuis van Beton Ø400mm</v>
      </c>
      <c r="C336" s="76" t="str">
        <f>Baseline!F23</f>
        <v>Betonbuis 500 mm</v>
      </c>
      <c r="D336" s="77">
        <f>(IF(Baseline!C23="Nieuwe Situatie",(_xlfn.IFNA(VLOOKUP(Referentie_Hernieuwbare_Energie_Totaal[[#This Row],[Product]]&amp;", "&amp;Referentie_Hernieuwbare_Energie_Totaal[[#Headers],[A1]],Database_Productkaarten[#All],48,FALSE),0)*Baseline!I23),0))</f>
        <v>6241.5871200000001</v>
      </c>
      <c r="E336" s="77">
        <f>(IF(Baseline!C23="Nieuwe Situatie",(_xlfn.IFNA(VLOOKUP(Referentie_Hernieuwbare_Energie_Totaal[[#This Row],[Product]]&amp;", "&amp;Referentie_Hernieuwbare_Energie_Totaal[[#Headers],[A2]],Database_Productkaarten[#All],48,FALSE),0)*Baseline!I23),0))</f>
        <v>115.6346904</v>
      </c>
      <c r="F336" s="77">
        <f>(IF(Baseline!C23="Nieuwe Situatie",(_xlfn.IFNA(VLOOKUP(Referentie_Hernieuwbare_Energie_Totaal[[#This Row],[Product]]&amp;", "&amp;Referentie_Hernieuwbare_Energie_Totaal[[#Headers],[A3]],Database_Productkaarten[#All],48,FALSE),0)*Baseline!I23),0))</f>
        <v>616.73858399999995</v>
      </c>
      <c r="G336" s="77">
        <f>(IF(Baseline!C23="Nieuwe Situatie",(_xlfn.IFNA(VLOOKUP(Referentie_Hernieuwbare_Energie_Totaal[[#This Row],[Product]]&amp;", "&amp;Referentie_Hernieuwbare_Energie_Totaal[[#Headers],[A1-A3]],Database_Productkaarten[#All],48,FALSE),0)*Baseline!I23),0))</f>
        <v>6973.960394400001</v>
      </c>
      <c r="H336" s="77">
        <f>IF(Baseline!T23=0,(IF(Baseline!C23="Nieuwe Situatie",(_xlfn.IFNA(VLOOKUP(Referentie_Hernieuwbare_Energie_Totaal[[#This Row],[Product]]&amp;", "&amp;Referentie_CO2_Totaal[[#Headers],[A4]],Database_Productkaarten[#All],48,FALSE),0)*Baseline!I23),0)),IF(Baseline!C23="Nieuwe Situatie",_xlfn.IFNA(VLOOKUP(Baseline!T23,Database_Transport[#All],42,FALSE)*(Baseline!Q23*Baseline!S23),Baseline_Backlog!H126),0))</f>
        <v>55.989037151999987</v>
      </c>
      <c r="I336" s="77">
        <f>IF(Baseline!C23="Nieuwe situatie",IF(_xlfn.IFNA((VLOOKUP(Baseline!U23,Database_Asfalt_Aanlegset[#All],42,FALSE)*Baseline!I23),0)+_xlfn.IFNA(VLOOKUP(Baseline!V23,Database_Brandstoffen[#All],42,FALSE)*((Baseline!I23/Baseline!X23)*Baseline!W23),0)&gt;0,_xlfn.IFNA((VLOOKUP(Baseline!U23,Database_Asfalt_Aanlegset[#All],42,FALSE)*Baseline!I23),0)+_xlfn.IFNA(VLOOKUP(Baseline!V23,Database_Brandstoffen[#All],42,FALSE)*((Baseline!I23/Baseline!X23)*Baseline!W23),0),(_xlfn.IFNA(VLOOKUP(Referentie_Hernieuwbare_Energie_Totaal[[#This Row],[Product]]&amp;", "&amp;Referentie_MKI_Totaal[[#Headers],[A5]],Database_Productkaarten[#All],48,FALSE),0)*Baseline!I23)),0)</f>
        <v>279.69251908412258</v>
      </c>
      <c r="J336" s="77">
        <f>(IF(Baseline!C23="Nieuwe Situatie",(_xlfn.IFNA(VLOOKUP(Referentie_Hernieuwbare_Energie_Totaal[[#This Row],[Product]]&amp;", "&amp;Referentie_Hernieuwbare_Energie_Totaal[[#Headers],[B1]],Database_Productkaarten[#All],48,FALSE),0)*Baseline!I23),0))</f>
        <v>0</v>
      </c>
      <c r="K336" s="77">
        <f>(IF(Baseline!C23="Nieuwe Situatie",(SUM(Referentie_Hernieuwbare_Energie_Totaal[[#This Row],[A1]:[B1]],Referentie_Hernieuwbare_Energie_Totaal[[#This Row],[C1]:[D2]])*Baseline!R23),0))</f>
        <v>0</v>
      </c>
      <c r="L336" s="77">
        <f>IF(Baseline!C23="Bestaande situatie",IF(_xlfn.IFNA((VLOOKUP(Baseline!Y23,Database_Asfalt_Verwijderset[#All],42,FALSE)*Baseline!I23),0)+_xlfn.IFNA(VLOOKUP(Baseline!Z23,Database_Brandstoffen[#All],42,FALSE)*((Baseline!I23/Baseline!AB23)*Baseline!AA23),0)&gt;0,_xlfn.IFNA((VLOOKUP(Baseline!Y23,Database_Asfalt_Verwijderset[#All],42,FALSE)*Baseline!I23),0)+_xlfn.IFNA(VLOOKUP(Baseline!Z23,Database_Brandstoffen[#All],42,FALSE)*((Baseline!I23/Baseline!AB23)*Baseline!AA23),0),(_xlfn.IFNA(VLOOKUP(Referentie_Hernieuwbare_Energie_Totaal[[#This Row],[Product]]&amp;", "&amp;Referentie_MKI_Totaal[[#Headers],[C1]],Database_Productkaarten[#All],48,FALSE),0)*Baseline!I23)),0)</f>
        <v>0</v>
      </c>
      <c r="M336" s="77">
        <f>IF(Baseline!AD23=0,(IF(Baseline!C23="Bestaande Situatie",(_xlfn.IFNA(VLOOKUP(Referentie_Hernieuwbare_Energie_Totaal[[#This Row],[Product]]&amp;", "&amp;Referentie_MKI_Totaal[[#Headers],[C2]],Database_Productkaarten[#All],48,FALSE),0)*Baseline!I23),0)),(IF(Baseline!C23="Bestaande Situatie",_xlfn.IFNA(VLOOKUP(Baseline!AD23,Database_Transport[#All],42,FALSE)*(Baseline!Q23*Baseline!AC23),0))))</f>
        <v>0</v>
      </c>
      <c r="N336" s="77">
        <f>(IF(Baseline!C23="Bestaande Situatie",(_xlfn.IFNA(VLOOKUP(Referentie_Hernieuwbare_Energie_Totaal[[#This Row],[Product]]&amp;", "&amp;Referentie_Hernieuwbare_Energie_Totaal[[#Headers],[C3]],Database_Productkaarten[#All],48,FALSE),0)*Baseline!I23),0))</f>
        <v>0</v>
      </c>
      <c r="O336" s="77">
        <f>(IF(Baseline!C23="Bestaande Situatie",(_xlfn.IFNA(VLOOKUP(Referentie_Hernieuwbare_Energie_Totaal[[#This Row],[Product]]&amp;", "&amp;Referentie_Hernieuwbare_Energie_Totaal[[#Headers],[C4]],Database_Productkaarten[#All],48,FALSE),0)*Baseline!I23),0))</f>
        <v>0</v>
      </c>
      <c r="P336" s="77">
        <f>(IF(Baseline!C23="Bestaande Situatie",(_xlfn.IFNA(VLOOKUP(Referentie_Hernieuwbare_Energie_Totaal[[#This Row],[Product]]&amp;", "&amp;Referentie_Hernieuwbare_Energie_Totaal[[#Headers],[D1]],Database_Productkaarten[#All],48,FALSE),0)*Baseline!I23),0))</f>
        <v>0</v>
      </c>
      <c r="Q336" s="78">
        <f>(IF(Baseline!C23="Bestaande Situatie",_xlfn.IFNA(VLOOKUP(Referentie_Hernieuwbare_Energie_Totaal[[#This Row],[Product]]&amp;", "&amp;Referentie_Hernieuwbare_Energie_Totaal[[#Headers],[D2]],Database_Productkaarten[#All],48,FALSE),0)*Baseline!I23,0))</f>
        <v>0</v>
      </c>
      <c r="R336" s="57">
        <f>(IF(Baseline!C23="Bestaande Situatie",_xlfn.IFNA(VLOOKUP(Referentie_Hernieuwbare_Energie_Totaal[[#This Row],[Product]]&amp;", "&amp;Referentie_Hernieuwbare_Energie_Totaal[[#Headers],[D]],Database_Productkaarten[#All],48,FALSE),0)*Baseline!I23,0))</f>
        <v>0</v>
      </c>
      <c r="S336" s="56">
        <f>SUM(Referentie_Hernieuwbare_Energie_Totaal[[#This Row],[A1-A3]:[C4]])+Referentie_Hernieuwbare_Energie_Totaal[[#This Row],[D]]</f>
        <v>7309.6419506361235</v>
      </c>
    </row>
    <row r="337" spans="2:19">
      <c r="B337" s="209" t="str">
        <f>Baseline!B24</f>
        <v>322070 - Leveren en aanbrengen rioolbuis van Beton IT Ø400mm</v>
      </c>
      <c r="C337" s="76" t="str">
        <f>Baseline!F24</f>
        <v>Betonbuis 500 mm</v>
      </c>
      <c r="D337" s="77">
        <f>(IF(Baseline!C24="Nieuwe Situatie",(_xlfn.IFNA(VLOOKUP(Referentie_Hernieuwbare_Energie_Totaal[[#This Row],[Product]]&amp;", "&amp;Referentie_Hernieuwbare_Energie_Totaal[[#Headers],[A1]],Database_Productkaarten[#All],48,FALSE),0)*Baseline!I24),0))</f>
        <v>4941.2564700000003</v>
      </c>
      <c r="E337" s="77">
        <f>(IF(Baseline!C24="Nieuwe Situatie",(_xlfn.IFNA(VLOOKUP(Referentie_Hernieuwbare_Energie_Totaal[[#This Row],[Product]]&amp;", "&amp;Referentie_Hernieuwbare_Energie_Totaal[[#Headers],[A2]],Database_Productkaarten[#All],48,FALSE),0)*Baseline!I24),0))</f>
        <v>91.544129900000001</v>
      </c>
      <c r="F337" s="77">
        <f>(IF(Baseline!C24="Nieuwe Situatie",(_xlfn.IFNA(VLOOKUP(Referentie_Hernieuwbare_Energie_Totaal[[#This Row],[Product]]&amp;", "&amp;Referentie_Hernieuwbare_Energie_Totaal[[#Headers],[A3]],Database_Productkaarten[#All],48,FALSE),0)*Baseline!I24),0))</f>
        <v>488.25137899999999</v>
      </c>
      <c r="G337" s="77">
        <f>(IF(Baseline!C24="Nieuwe Situatie",(_xlfn.IFNA(VLOOKUP(Referentie_Hernieuwbare_Energie_Totaal[[#This Row],[Product]]&amp;", "&amp;Referentie_Hernieuwbare_Energie_Totaal[[#Headers],[A1-A3]],Database_Productkaarten[#All],48,FALSE),0)*Baseline!I24),0))</f>
        <v>5521.0519789000009</v>
      </c>
      <c r="H337" s="77">
        <f>IF(Baseline!T24=0,(IF(Baseline!C24="Nieuwe Situatie",(_xlfn.IFNA(VLOOKUP(Referentie_Hernieuwbare_Energie_Totaal[[#This Row],[Product]]&amp;", "&amp;Referentie_CO2_Totaal[[#Headers],[A4]],Database_Productkaarten[#All],48,FALSE),0)*Baseline!I24),0)),IF(Baseline!C24="Nieuwe Situatie",_xlfn.IFNA(VLOOKUP(Baseline!T24,Database_Transport[#All],42,FALSE)*(Baseline!Q24*Baseline!S24),Baseline_Backlog!H127),0))</f>
        <v>44.324654411999994</v>
      </c>
      <c r="I337" s="77">
        <f>IF(Baseline!C24="Nieuwe situatie",IF(_xlfn.IFNA((VLOOKUP(Baseline!U24,Database_Asfalt_Aanlegset[#All],42,FALSE)*Baseline!I24),0)+_xlfn.IFNA(VLOOKUP(Baseline!V24,Database_Brandstoffen[#All],42,FALSE)*((Baseline!I24/Baseline!X24)*Baseline!W24),0)&gt;0,_xlfn.IFNA((VLOOKUP(Baseline!U24,Database_Asfalt_Aanlegset[#All],42,FALSE)*Baseline!I24),0)+_xlfn.IFNA(VLOOKUP(Baseline!V24,Database_Brandstoffen[#All],42,FALSE)*((Baseline!I24/Baseline!X24)*Baseline!W24),0),(_xlfn.IFNA(VLOOKUP(Referentie_Hernieuwbare_Energie_Totaal[[#This Row],[Product]]&amp;", "&amp;Referentie_MKI_Totaal[[#Headers],[A5]],Database_Productkaarten[#All],48,FALSE),0)*Baseline!I24)),0)</f>
        <v>221.42324427493037</v>
      </c>
      <c r="J337" s="77">
        <f>(IF(Baseline!C24="Nieuwe Situatie",(_xlfn.IFNA(VLOOKUP(Referentie_Hernieuwbare_Energie_Totaal[[#This Row],[Product]]&amp;", "&amp;Referentie_Hernieuwbare_Energie_Totaal[[#Headers],[B1]],Database_Productkaarten[#All],48,FALSE),0)*Baseline!I24),0))</f>
        <v>0</v>
      </c>
      <c r="K337" s="77">
        <f>(IF(Baseline!C24="Nieuwe Situatie",(SUM(Referentie_Hernieuwbare_Energie_Totaal[[#This Row],[A1]:[B1]],Referentie_Hernieuwbare_Energie_Totaal[[#This Row],[C1]:[D2]])*Baseline!R24),0))</f>
        <v>0</v>
      </c>
      <c r="L337" s="77">
        <f>IF(Baseline!C24="Bestaande situatie",IF(_xlfn.IFNA((VLOOKUP(Baseline!Y24,Database_Asfalt_Verwijderset[#All],42,FALSE)*Baseline!I24),0)+_xlfn.IFNA(VLOOKUP(Baseline!Z24,Database_Brandstoffen[#All],42,FALSE)*((Baseline!I24/Baseline!AB24)*Baseline!AA24),0)&gt;0,_xlfn.IFNA((VLOOKUP(Baseline!Y24,Database_Asfalt_Verwijderset[#All],42,FALSE)*Baseline!I24),0)+_xlfn.IFNA(VLOOKUP(Baseline!Z24,Database_Brandstoffen[#All],42,FALSE)*((Baseline!I24/Baseline!AB24)*Baseline!AA24),0),(_xlfn.IFNA(VLOOKUP(Referentie_Hernieuwbare_Energie_Totaal[[#This Row],[Product]]&amp;", "&amp;Referentie_MKI_Totaal[[#Headers],[C1]],Database_Productkaarten[#All],48,FALSE),0)*Baseline!I24)),0)</f>
        <v>0</v>
      </c>
      <c r="M337" s="77">
        <f>IF(Baseline!AD24=0,(IF(Baseline!C24="Bestaande Situatie",(_xlfn.IFNA(VLOOKUP(Referentie_Hernieuwbare_Energie_Totaal[[#This Row],[Product]]&amp;", "&amp;Referentie_MKI_Totaal[[#Headers],[C2]],Database_Productkaarten[#All],48,FALSE),0)*Baseline!I24),0)),(IF(Baseline!C24="Bestaande Situatie",_xlfn.IFNA(VLOOKUP(Baseline!AD24,Database_Transport[#All],42,FALSE)*(Baseline!Q24*Baseline!AC24),0))))</f>
        <v>0</v>
      </c>
      <c r="N337" s="77">
        <f>(IF(Baseline!C24="Bestaande Situatie",(_xlfn.IFNA(VLOOKUP(Referentie_Hernieuwbare_Energie_Totaal[[#This Row],[Product]]&amp;", "&amp;Referentie_Hernieuwbare_Energie_Totaal[[#Headers],[C3]],Database_Productkaarten[#All],48,FALSE),0)*Baseline!I24),0))</f>
        <v>0</v>
      </c>
      <c r="O337" s="77">
        <f>(IF(Baseline!C24="Bestaande Situatie",(_xlfn.IFNA(VLOOKUP(Referentie_Hernieuwbare_Energie_Totaal[[#This Row],[Product]]&amp;", "&amp;Referentie_Hernieuwbare_Energie_Totaal[[#Headers],[C4]],Database_Productkaarten[#All],48,FALSE),0)*Baseline!I24),0))</f>
        <v>0</v>
      </c>
      <c r="P337" s="77">
        <f>(IF(Baseline!C24="Bestaande Situatie",(_xlfn.IFNA(VLOOKUP(Referentie_Hernieuwbare_Energie_Totaal[[#This Row],[Product]]&amp;", "&amp;Referentie_Hernieuwbare_Energie_Totaal[[#Headers],[D1]],Database_Productkaarten[#All],48,FALSE),0)*Baseline!I24),0))</f>
        <v>0</v>
      </c>
      <c r="Q337" s="78">
        <f>(IF(Baseline!C24="Bestaande Situatie",_xlfn.IFNA(VLOOKUP(Referentie_Hernieuwbare_Energie_Totaal[[#This Row],[Product]]&amp;", "&amp;Referentie_Hernieuwbare_Energie_Totaal[[#Headers],[D2]],Database_Productkaarten[#All],48,FALSE),0)*Baseline!I24,0))</f>
        <v>0</v>
      </c>
      <c r="R337" s="57">
        <f>(IF(Baseline!C24="Bestaande Situatie",_xlfn.IFNA(VLOOKUP(Referentie_Hernieuwbare_Energie_Totaal[[#This Row],[Product]]&amp;", "&amp;Referentie_Hernieuwbare_Energie_Totaal[[#Headers],[D]],Database_Productkaarten[#All],48,FALSE),0)*Baseline!I24,0))</f>
        <v>0</v>
      </c>
      <c r="S337" s="56">
        <f>SUM(Referentie_Hernieuwbare_Energie_Totaal[[#This Row],[A1-A3]:[C4]])+Referentie_Hernieuwbare_Energie_Totaal[[#This Row],[D]]</f>
        <v>5786.7998775869319</v>
      </c>
    </row>
    <row r="338" spans="2:19">
      <c r="B338" s="209" t="str">
        <f>Baseline!B25</f>
        <v>322100 - Leveren en aanbrengen rioolbuis van Beton IT Ø800mm</v>
      </c>
      <c r="C338" s="76" t="str">
        <f>Baseline!F25</f>
        <v>Betonbuis 800 mm</v>
      </c>
      <c r="D338" s="77">
        <f>(IF(Baseline!C25="Nieuwe Situatie",(_xlfn.IFNA(VLOOKUP(Referentie_Hernieuwbare_Energie_Totaal[[#This Row],[Product]]&amp;", "&amp;Referentie_Hernieuwbare_Energie_Totaal[[#Headers],[A1]],Database_Productkaarten[#All],48,FALSE),0)*Baseline!I25),0))</f>
        <v>56857.528189999997</v>
      </c>
      <c r="E338" s="77">
        <f>(IF(Baseline!C25="Nieuwe Situatie",(_xlfn.IFNA(VLOOKUP(Referentie_Hernieuwbare_Energie_Totaal[[#This Row],[Product]]&amp;", "&amp;Referentie_Hernieuwbare_Energie_Totaal[[#Headers],[A2]],Database_Productkaarten[#All],48,FALSE),0)*Baseline!I25),0))</f>
        <v>1051.0538775</v>
      </c>
      <c r="F338" s="77">
        <f>(IF(Baseline!C25="Nieuwe Situatie",(_xlfn.IFNA(VLOOKUP(Referentie_Hernieuwbare_Energie_Totaal[[#This Row],[Product]]&amp;", "&amp;Referentie_Hernieuwbare_Energie_Totaal[[#Headers],[A3]],Database_Productkaarten[#All],48,FALSE),0)*Baseline!I25),0))</f>
        <v>5604.9077210000005</v>
      </c>
      <c r="G338" s="77">
        <f>(IF(Baseline!C25="Nieuwe Situatie",(_xlfn.IFNA(VLOOKUP(Referentie_Hernieuwbare_Energie_Totaal[[#This Row],[Product]]&amp;", "&amp;Referentie_Hernieuwbare_Energie_Totaal[[#Headers],[A1-A3]],Database_Productkaarten[#All],48,FALSE),0)*Baseline!I25),0))</f>
        <v>63513.489788499995</v>
      </c>
      <c r="H338" s="77">
        <f>IF(Baseline!T25=0,(IF(Baseline!C25="Nieuwe Situatie",(_xlfn.IFNA(VLOOKUP(Referentie_Hernieuwbare_Energie_Totaal[[#This Row],[Product]]&amp;", "&amp;Referentie_CO2_Totaal[[#Headers],[A4]],Database_Productkaarten[#All],48,FALSE),0)*Baseline!I25),0)),IF(Baseline!C25="Nieuwe Situatie",_xlfn.IFNA(VLOOKUP(Baseline!T25,Database_Transport[#All],42,FALSE)*(Baseline!Q25*Baseline!S25),Baseline_Backlog!H128),0))</f>
        <v>427.40005342199998</v>
      </c>
      <c r="I338" s="77">
        <f>IF(Baseline!C25="Nieuwe situatie",IF(_xlfn.IFNA((VLOOKUP(Baseline!U25,Database_Asfalt_Aanlegset[#All],42,FALSE)*Baseline!I25),0)+_xlfn.IFNA(VLOOKUP(Baseline!V25,Database_Brandstoffen[#All],42,FALSE)*((Baseline!I25/Baseline!X25)*Baseline!W25),0)&gt;0,_xlfn.IFNA((VLOOKUP(Baseline!U25,Database_Asfalt_Aanlegset[#All],42,FALSE)*Baseline!I25),0)+_xlfn.IFNA(VLOOKUP(Baseline!V25,Database_Brandstoffen[#All],42,FALSE)*((Baseline!I25/Baseline!X25)*Baseline!W25),0),(_xlfn.IFNA(VLOOKUP(Referentie_Hernieuwbare_Energie_Totaal[[#This Row],[Product]]&amp;", "&amp;Referentie_MKI_Totaal[[#Headers],[A5]],Database_Productkaarten[#All],48,FALSE),0)*Baseline!I25)),0)</f>
        <v>1657.3446592157381</v>
      </c>
      <c r="J338" s="77">
        <f>(IF(Baseline!C25="Nieuwe Situatie",(_xlfn.IFNA(VLOOKUP(Referentie_Hernieuwbare_Energie_Totaal[[#This Row],[Product]]&amp;", "&amp;Referentie_Hernieuwbare_Energie_Totaal[[#Headers],[B1]],Database_Productkaarten[#All],48,FALSE),0)*Baseline!I25),0))</f>
        <v>0</v>
      </c>
      <c r="K338" s="77">
        <f>(IF(Baseline!C25="Nieuwe Situatie",(SUM(Referentie_Hernieuwbare_Energie_Totaal[[#This Row],[A1]:[B1]],Referentie_Hernieuwbare_Energie_Totaal[[#This Row],[C1]:[D2]])*Baseline!R25),0))</f>
        <v>0</v>
      </c>
      <c r="L338" s="77">
        <f>IF(Baseline!C25="Bestaande situatie",IF(_xlfn.IFNA((VLOOKUP(Baseline!Y25,Database_Asfalt_Verwijderset[#All],42,FALSE)*Baseline!I25),0)+_xlfn.IFNA(VLOOKUP(Baseline!Z25,Database_Brandstoffen[#All],42,FALSE)*((Baseline!I25/Baseline!AB25)*Baseline!AA25),0)&gt;0,_xlfn.IFNA((VLOOKUP(Baseline!Y25,Database_Asfalt_Verwijderset[#All],42,FALSE)*Baseline!I25),0)+_xlfn.IFNA(VLOOKUP(Baseline!Z25,Database_Brandstoffen[#All],42,FALSE)*((Baseline!I25/Baseline!AB25)*Baseline!AA25),0),(_xlfn.IFNA(VLOOKUP(Referentie_Hernieuwbare_Energie_Totaal[[#This Row],[Product]]&amp;", "&amp;Referentie_MKI_Totaal[[#Headers],[C1]],Database_Productkaarten[#All],48,FALSE),0)*Baseline!I25)),0)</f>
        <v>0</v>
      </c>
      <c r="M338" s="77">
        <f>IF(Baseline!AD25=0,(IF(Baseline!C25="Bestaande Situatie",(_xlfn.IFNA(VLOOKUP(Referentie_Hernieuwbare_Energie_Totaal[[#This Row],[Product]]&amp;", "&amp;Referentie_MKI_Totaal[[#Headers],[C2]],Database_Productkaarten[#All],48,FALSE),0)*Baseline!I25),0)),(IF(Baseline!C25="Bestaande Situatie",_xlfn.IFNA(VLOOKUP(Baseline!AD25,Database_Transport[#All],42,FALSE)*(Baseline!Q25*Baseline!AC25),0))))</f>
        <v>0</v>
      </c>
      <c r="N338" s="77">
        <f>(IF(Baseline!C25="Bestaande Situatie",(_xlfn.IFNA(VLOOKUP(Referentie_Hernieuwbare_Energie_Totaal[[#This Row],[Product]]&amp;", "&amp;Referentie_Hernieuwbare_Energie_Totaal[[#Headers],[C3]],Database_Productkaarten[#All],48,FALSE),0)*Baseline!I25),0))</f>
        <v>0</v>
      </c>
      <c r="O338" s="77">
        <f>(IF(Baseline!C25="Bestaande Situatie",(_xlfn.IFNA(VLOOKUP(Referentie_Hernieuwbare_Energie_Totaal[[#This Row],[Product]]&amp;", "&amp;Referentie_Hernieuwbare_Energie_Totaal[[#Headers],[C4]],Database_Productkaarten[#All],48,FALSE),0)*Baseline!I25),0))</f>
        <v>0</v>
      </c>
      <c r="P338" s="77">
        <f>(IF(Baseline!C25="Bestaande Situatie",(_xlfn.IFNA(VLOOKUP(Referentie_Hernieuwbare_Energie_Totaal[[#This Row],[Product]]&amp;", "&amp;Referentie_Hernieuwbare_Energie_Totaal[[#Headers],[D1]],Database_Productkaarten[#All],48,FALSE),0)*Baseline!I25),0))</f>
        <v>0</v>
      </c>
      <c r="Q338" s="78">
        <f>(IF(Baseline!C25="Bestaande Situatie",_xlfn.IFNA(VLOOKUP(Referentie_Hernieuwbare_Energie_Totaal[[#This Row],[Product]]&amp;", "&amp;Referentie_Hernieuwbare_Energie_Totaal[[#Headers],[D2]],Database_Productkaarten[#All],48,FALSE),0)*Baseline!I25,0))</f>
        <v>0</v>
      </c>
      <c r="R338" s="57">
        <f>(IF(Baseline!C25="Bestaande Situatie",_xlfn.IFNA(VLOOKUP(Referentie_Hernieuwbare_Energie_Totaal[[#This Row],[Product]]&amp;", "&amp;Referentie_Hernieuwbare_Energie_Totaal[[#Headers],[D]],Database_Productkaarten[#All],48,FALSE),0)*Baseline!I25,0))</f>
        <v>0</v>
      </c>
      <c r="S338" s="56">
        <f>SUM(Referentie_Hernieuwbare_Energie_Totaal[[#This Row],[A1-A3]:[C4]])+Referentie_Hernieuwbare_Energie_Totaal[[#This Row],[D]]</f>
        <v>65598.234501137733</v>
      </c>
    </row>
    <row r="339" spans="2:19">
      <c r="B339" s="209" t="str">
        <f>Baseline!B26</f>
        <v>330010 - Leveren en aanbrengen kolken</v>
      </c>
      <c r="C339" s="76" t="str">
        <f>Baseline!F26</f>
        <v>Kolk, Staal &amp; Beton</v>
      </c>
      <c r="D339" s="77">
        <f>(IF(Baseline!C26="Nieuwe Situatie",(_xlfn.IFNA(VLOOKUP(Referentie_Hernieuwbare_Energie_Totaal[[#This Row],[Product]]&amp;", "&amp;Referentie_Hernieuwbare_Energie_Totaal[[#Headers],[A1]],Database_Productkaarten[#All],48,FALSE),0)*Baseline!I26),0))</f>
        <v>7201.3525200000004</v>
      </c>
      <c r="E339" s="77">
        <f>(IF(Baseline!C26="Nieuwe Situatie",(_xlfn.IFNA(VLOOKUP(Referentie_Hernieuwbare_Energie_Totaal[[#This Row],[Product]]&amp;", "&amp;Referentie_Hernieuwbare_Energie_Totaal[[#Headers],[A2]],Database_Productkaarten[#All],48,FALSE),0)*Baseline!I26),0))</f>
        <v>74.388994699999998</v>
      </c>
      <c r="F339" s="77">
        <f>(IF(Baseline!C26="Nieuwe Situatie",(_xlfn.IFNA(VLOOKUP(Referentie_Hernieuwbare_Energie_Totaal[[#This Row],[Product]]&amp;", "&amp;Referentie_Hernieuwbare_Energie_Totaal[[#Headers],[A3]],Database_Productkaarten[#All],48,FALSE),0)*Baseline!I26),0))</f>
        <v>283.64882419999998</v>
      </c>
      <c r="G339" s="77">
        <f>(IF(Baseline!C26="Nieuwe Situatie",(_xlfn.IFNA(VLOOKUP(Referentie_Hernieuwbare_Energie_Totaal[[#This Row],[Product]]&amp;", "&amp;Referentie_Hernieuwbare_Energie_Totaal[[#Headers],[A1-A3]],Database_Productkaarten[#All],48,FALSE),0)*Baseline!I26),0))</f>
        <v>7559.3903389000006</v>
      </c>
      <c r="H339" s="77">
        <f>IF(Baseline!T26=0,(IF(Baseline!C26="Nieuwe Situatie",(_xlfn.IFNA(VLOOKUP(Referentie_Hernieuwbare_Energie_Totaal[[#This Row],[Product]]&amp;", "&amp;Referentie_CO2_Totaal[[#Headers],[A4]],Database_Productkaarten[#All],48,FALSE),0)*Baseline!I26),0)),IF(Baseline!C26="Nieuwe Situatie",_xlfn.IFNA(VLOOKUP(Baseline!T26,Database_Transport[#All],42,FALSE)*(Baseline!Q26*Baseline!S26),Baseline_Backlog!H129),0))</f>
        <v>29.142236938188002</v>
      </c>
      <c r="I339" s="77">
        <f>IF(Baseline!C26="Nieuwe situatie",IF(_xlfn.IFNA((VLOOKUP(Baseline!U26,Database_Asfalt_Aanlegset[#All],42,FALSE)*Baseline!I26),0)+_xlfn.IFNA(VLOOKUP(Baseline!V26,Database_Brandstoffen[#All],42,FALSE)*((Baseline!I26/Baseline!X26)*Baseline!W26),0)&gt;0,_xlfn.IFNA((VLOOKUP(Baseline!U26,Database_Asfalt_Aanlegset[#All],42,FALSE)*Baseline!I26),0)+_xlfn.IFNA(VLOOKUP(Baseline!V26,Database_Brandstoffen[#All],42,FALSE)*((Baseline!I26/Baseline!X26)*Baseline!W26),0),(_xlfn.IFNA(VLOOKUP(Referentie_Hernieuwbare_Energie_Totaal[[#This Row],[Product]]&amp;", "&amp;Referentie_MKI_Totaal[[#Headers],[A5]],Database_Productkaarten[#All],48,FALSE),0)*Baseline!I26)),0)</f>
        <v>920.39167307632306</v>
      </c>
      <c r="J339" s="77">
        <f>(IF(Baseline!C26="Nieuwe Situatie",(_xlfn.IFNA(VLOOKUP(Referentie_Hernieuwbare_Energie_Totaal[[#This Row],[Product]]&amp;", "&amp;Referentie_Hernieuwbare_Energie_Totaal[[#Headers],[B1]],Database_Productkaarten[#All],48,FALSE),0)*Baseline!I26),0))</f>
        <v>0</v>
      </c>
      <c r="K339" s="77">
        <f>(IF(Baseline!C26="Nieuwe Situatie",(SUM(Referentie_Hernieuwbare_Energie_Totaal[[#This Row],[A1]:[B1]],Referentie_Hernieuwbare_Energie_Totaal[[#This Row],[C1]:[D2]])*Baseline!R26),0))</f>
        <v>0</v>
      </c>
      <c r="L339" s="77">
        <f>IF(Baseline!C26="Bestaande situatie",IF(_xlfn.IFNA((VLOOKUP(Baseline!Y26,Database_Asfalt_Verwijderset[#All],42,FALSE)*Baseline!I26),0)+_xlfn.IFNA(VLOOKUP(Baseline!Z26,Database_Brandstoffen[#All],42,FALSE)*((Baseline!I26/Baseline!AB26)*Baseline!AA26),0)&gt;0,_xlfn.IFNA((VLOOKUP(Baseline!Y26,Database_Asfalt_Verwijderset[#All],42,FALSE)*Baseline!I26),0)+_xlfn.IFNA(VLOOKUP(Baseline!Z26,Database_Brandstoffen[#All],42,FALSE)*((Baseline!I26/Baseline!AB26)*Baseline!AA26),0),(_xlfn.IFNA(VLOOKUP(Referentie_Hernieuwbare_Energie_Totaal[[#This Row],[Product]]&amp;", "&amp;Referentie_MKI_Totaal[[#Headers],[C1]],Database_Productkaarten[#All],48,FALSE),0)*Baseline!I26)),0)</f>
        <v>0</v>
      </c>
      <c r="M339" s="77">
        <f>IF(Baseline!AD26=0,(IF(Baseline!C26="Bestaande Situatie",(_xlfn.IFNA(VLOOKUP(Referentie_Hernieuwbare_Energie_Totaal[[#This Row],[Product]]&amp;", "&amp;Referentie_MKI_Totaal[[#Headers],[C2]],Database_Productkaarten[#All],48,FALSE),0)*Baseline!I26),0)),(IF(Baseline!C26="Bestaande Situatie",_xlfn.IFNA(VLOOKUP(Baseline!AD26,Database_Transport[#All],42,FALSE)*(Baseline!Q26*Baseline!AC26),0))))</f>
        <v>0</v>
      </c>
      <c r="N339" s="77">
        <f>(IF(Baseline!C26="Bestaande Situatie",(_xlfn.IFNA(VLOOKUP(Referentie_Hernieuwbare_Energie_Totaal[[#This Row],[Product]]&amp;", "&amp;Referentie_Hernieuwbare_Energie_Totaal[[#Headers],[C3]],Database_Productkaarten[#All],48,FALSE),0)*Baseline!I26),0))</f>
        <v>0</v>
      </c>
      <c r="O339" s="77">
        <f>(IF(Baseline!C26="Bestaande Situatie",(_xlfn.IFNA(VLOOKUP(Referentie_Hernieuwbare_Energie_Totaal[[#This Row],[Product]]&amp;", "&amp;Referentie_Hernieuwbare_Energie_Totaal[[#Headers],[C4]],Database_Productkaarten[#All],48,FALSE),0)*Baseline!I26),0))</f>
        <v>0</v>
      </c>
      <c r="P339" s="77">
        <f>(IF(Baseline!C26="Bestaande Situatie",(_xlfn.IFNA(VLOOKUP(Referentie_Hernieuwbare_Energie_Totaal[[#This Row],[Product]]&amp;", "&amp;Referentie_Hernieuwbare_Energie_Totaal[[#Headers],[D1]],Database_Productkaarten[#All],48,FALSE),0)*Baseline!I26),0))</f>
        <v>0</v>
      </c>
      <c r="Q339" s="78">
        <f>(IF(Baseline!C26="Bestaande Situatie",_xlfn.IFNA(VLOOKUP(Referentie_Hernieuwbare_Energie_Totaal[[#This Row],[Product]]&amp;", "&amp;Referentie_Hernieuwbare_Energie_Totaal[[#Headers],[D2]],Database_Productkaarten[#All],48,FALSE),0)*Baseline!I26,0))</f>
        <v>0</v>
      </c>
      <c r="R339" s="57">
        <f>(IF(Baseline!C26="Bestaande Situatie",_xlfn.IFNA(VLOOKUP(Referentie_Hernieuwbare_Energie_Totaal[[#This Row],[Product]]&amp;", "&amp;Referentie_Hernieuwbare_Energie_Totaal[[#Headers],[D]],Database_Productkaarten[#All],48,FALSE),0)*Baseline!I26,0))</f>
        <v>0</v>
      </c>
      <c r="S339" s="56">
        <f>SUM(Referentie_Hernieuwbare_Energie_Totaal[[#This Row],[A1-A3]:[C4]])+Referentie_Hernieuwbare_Energie_Totaal[[#This Row],[D]]</f>
        <v>8508.9242489145108</v>
      </c>
    </row>
    <row r="340" spans="2:19">
      <c r="B340" s="209" t="str">
        <f>Baseline!B27</f>
        <v>420010 - Leveren en aanbrengen fundering menggranulaat, (250mm dik)</v>
      </c>
      <c r="C340" s="76" t="str">
        <f>Baseline!F27</f>
        <v>Menggranulaat 250mm</v>
      </c>
      <c r="D340" s="77">
        <f>(IF(Baseline!C27="Nieuwe Situatie",(_xlfn.IFNA(VLOOKUP(Referentie_Hernieuwbare_Energie_Totaal[[#This Row],[Product]]&amp;", "&amp;Referentie_Hernieuwbare_Energie_Totaal[[#Headers],[A1]],Database_Productkaarten[#All],48,FALSE),0)*Baseline!I27),0))</f>
        <v>0</v>
      </c>
      <c r="E340" s="77">
        <f>(IF(Baseline!C27="Nieuwe Situatie",(_xlfn.IFNA(VLOOKUP(Referentie_Hernieuwbare_Energie_Totaal[[#This Row],[Product]]&amp;", "&amp;Referentie_Hernieuwbare_Energie_Totaal[[#Headers],[A2]],Database_Productkaarten[#All],48,FALSE),0)*Baseline!I27),0))</f>
        <v>0</v>
      </c>
      <c r="F340" s="77">
        <f>(IF(Baseline!C27="Nieuwe Situatie",(_xlfn.IFNA(VLOOKUP(Referentie_Hernieuwbare_Energie_Totaal[[#This Row],[Product]]&amp;", "&amp;Referentie_Hernieuwbare_Energie_Totaal[[#Headers],[A3]],Database_Productkaarten[#All],48,FALSE),0)*Baseline!I27),0))</f>
        <v>0</v>
      </c>
      <c r="G340" s="77">
        <f>(IF(Baseline!C27="Nieuwe Situatie",(_xlfn.IFNA(VLOOKUP(Referentie_Hernieuwbare_Energie_Totaal[[#This Row],[Product]]&amp;", "&amp;Referentie_Hernieuwbare_Energie_Totaal[[#Headers],[A1-A3]],Database_Productkaarten[#All],48,FALSE),0)*Baseline!I27),0))</f>
        <v>0</v>
      </c>
      <c r="H340" s="77">
        <f>IF(Baseline!T27=0,(IF(Baseline!C27="Nieuwe Situatie",(_xlfn.IFNA(VLOOKUP(Referentie_Hernieuwbare_Energie_Totaal[[#This Row],[Product]]&amp;", "&amp;Referentie_CO2_Totaal[[#Headers],[A4]],Database_Productkaarten[#All],48,FALSE),0)*Baseline!I27),0)),IF(Baseline!C27="Nieuwe Situatie",_xlfn.IFNA(VLOOKUP(Baseline!T27,Database_Transport[#All],42,FALSE)*(Baseline!Q27*Baseline!S27),Baseline_Backlog!H130),0))</f>
        <v>3384.0934803</v>
      </c>
      <c r="I340" s="77">
        <f>IF(Baseline!C27="Nieuwe situatie",IF(_xlfn.IFNA((VLOOKUP(Baseline!U27,Database_Asfalt_Aanlegset[#All],42,FALSE)*Baseline!I27),0)+_xlfn.IFNA(VLOOKUP(Baseline!V27,Database_Brandstoffen[#All],42,FALSE)*((Baseline!I27/Baseline!X27)*Baseline!W27),0)&gt;0,_xlfn.IFNA((VLOOKUP(Baseline!U27,Database_Asfalt_Aanlegset[#All],42,FALSE)*Baseline!I27),0)+_xlfn.IFNA(VLOOKUP(Baseline!V27,Database_Brandstoffen[#All],42,FALSE)*((Baseline!I27/Baseline!X27)*Baseline!W27),0),(_xlfn.IFNA(VLOOKUP(Referentie_Hernieuwbare_Energie_Totaal[[#This Row],[Product]]&amp;", "&amp;Referentie_MKI_Totaal[[#Headers],[A5]],Database_Productkaarten[#All],48,FALSE),0)*Baseline!I27)),0)</f>
        <v>5442.57171432</v>
      </c>
      <c r="J340" s="77">
        <f>(IF(Baseline!C27="Nieuwe Situatie",(_xlfn.IFNA(VLOOKUP(Referentie_Hernieuwbare_Energie_Totaal[[#This Row],[Product]]&amp;", "&amp;Referentie_Hernieuwbare_Energie_Totaal[[#Headers],[B1]],Database_Productkaarten[#All],48,FALSE),0)*Baseline!I27),0))</f>
        <v>0</v>
      </c>
      <c r="K340" s="77">
        <f>(IF(Baseline!C27="Nieuwe Situatie",(SUM(Referentie_Hernieuwbare_Energie_Totaal[[#This Row],[A1]:[B1]],Referentie_Hernieuwbare_Energie_Totaal[[#This Row],[C1]:[D2]])*Baseline!R27),0))</f>
        <v>0</v>
      </c>
      <c r="L340" s="77">
        <f>IF(Baseline!C27="Bestaande situatie",IF(_xlfn.IFNA((VLOOKUP(Baseline!Y27,Database_Asfalt_Verwijderset[#All],42,FALSE)*Baseline!I27),0)+_xlfn.IFNA(VLOOKUP(Baseline!Z27,Database_Brandstoffen[#All],42,FALSE)*((Baseline!I27/Baseline!AB27)*Baseline!AA27),0)&gt;0,_xlfn.IFNA((VLOOKUP(Baseline!Y27,Database_Asfalt_Verwijderset[#All],42,FALSE)*Baseline!I27),0)+_xlfn.IFNA(VLOOKUP(Baseline!Z27,Database_Brandstoffen[#All],42,FALSE)*((Baseline!I27/Baseline!AB27)*Baseline!AA27),0),(_xlfn.IFNA(VLOOKUP(Referentie_Hernieuwbare_Energie_Totaal[[#This Row],[Product]]&amp;", "&amp;Referentie_MKI_Totaal[[#Headers],[C1]],Database_Productkaarten[#All],48,FALSE),0)*Baseline!I27)),0)</f>
        <v>0</v>
      </c>
      <c r="M340" s="77">
        <f>IF(Baseline!AD27=0,(IF(Baseline!C27="Bestaande Situatie",(_xlfn.IFNA(VLOOKUP(Referentie_Hernieuwbare_Energie_Totaal[[#This Row],[Product]]&amp;", "&amp;Referentie_MKI_Totaal[[#Headers],[C2]],Database_Productkaarten[#All],48,FALSE),0)*Baseline!I27),0)),(IF(Baseline!C27="Bestaande Situatie",_xlfn.IFNA(VLOOKUP(Baseline!AD27,Database_Transport[#All],42,FALSE)*(Baseline!Q27*Baseline!AC27),0))))</f>
        <v>0</v>
      </c>
      <c r="N340" s="77">
        <f>(IF(Baseline!C27="Bestaande Situatie",(_xlfn.IFNA(VLOOKUP(Referentie_Hernieuwbare_Energie_Totaal[[#This Row],[Product]]&amp;", "&amp;Referentie_Hernieuwbare_Energie_Totaal[[#Headers],[C3]],Database_Productkaarten[#All],48,FALSE),0)*Baseline!I27),0))</f>
        <v>0</v>
      </c>
      <c r="O340" s="77">
        <f>(IF(Baseline!C27="Bestaande Situatie",(_xlfn.IFNA(VLOOKUP(Referentie_Hernieuwbare_Energie_Totaal[[#This Row],[Product]]&amp;", "&amp;Referentie_Hernieuwbare_Energie_Totaal[[#Headers],[C4]],Database_Productkaarten[#All],48,FALSE),0)*Baseline!I27),0))</f>
        <v>0</v>
      </c>
      <c r="P340" s="77">
        <f>(IF(Baseline!C27="Bestaande Situatie",(_xlfn.IFNA(VLOOKUP(Referentie_Hernieuwbare_Energie_Totaal[[#This Row],[Product]]&amp;", "&amp;Referentie_Hernieuwbare_Energie_Totaal[[#Headers],[D1]],Database_Productkaarten[#All],48,FALSE),0)*Baseline!I27),0))</f>
        <v>0</v>
      </c>
      <c r="Q340" s="78">
        <f>(IF(Baseline!C27="Bestaande Situatie",_xlfn.IFNA(VLOOKUP(Referentie_Hernieuwbare_Energie_Totaal[[#This Row],[Product]]&amp;", "&amp;Referentie_Hernieuwbare_Energie_Totaal[[#Headers],[D2]],Database_Productkaarten[#All],48,FALSE),0)*Baseline!I27,0))</f>
        <v>0</v>
      </c>
      <c r="R340" s="57">
        <f>(IF(Baseline!C27="Bestaande Situatie",_xlfn.IFNA(VLOOKUP(Referentie_Hernieuwbare_Energie_Totaal[[#This Row],[Product]]&amp;", "&amp;Referentie_Hernieuwbare_Energie_Totaal[[#Headers],[D]],Database_Productkaarten[#All],48,FALSE),0)*Baseline!I27,0))</f>
        <v>0</v>
      </c>
      <c r="S340" s="56">
        <f>SUM(Referentie_Hernieuwbare_Energie_Totaal[[#This Row],[A1-A3]:[C4]])+Referentie_Hernieuwbare_Energie_Totaal[[#This Row],[D]]</f>
        <v>8826.66519462</v>
      </c>
    </row>
    <row r="341" spans="2:19">
      <c r="B341" s="209" t="str">
        <f>Baseline!B28</f>
        <v>430010 - Leveren en aanbrengen trottoirbanden 180/200x250</v>
      </c>
      <c r="C341" s="76" t="str">
        <f>Baseline!F28</f>
        <v>Trottoirband 180/200x250</v>
      </c>
      <c r="D341" s="77">
        <f>(IF(Baseline!C28="Nieuwe Situatie",(_xlfn.IFNA(VLOOKUP(Referentie_Hernieuwbare_Energie_Totaal[[#This Row],[Product]]&amp;", "&amp;Referentie_Hernieuwbare_Energie_Totaal[[#Headers],[A1]],Database_Productkaarten[#All],48,FALSE),0)*Baseline!I28),0))</f>
        <v>1336.1643294230771</v>
      </c>
      <c r="E341" s="77">
        <f>(IF(Baseline!C28="Nieuwe Situatie",(_xlfn.IFNA(VLOOKUP(Referentie_Hernieuwbare_Energie_Totaal[[#This Row],[Product]]&amp;", "&amp;Referentie_Hernieuwbare_Energie_Totaal[[#Headers],[A2]],Database_Productkaarten[#All],48,FALSE),0)*Baseline!I28),0))</f>
        <v>18.83669798076923</v>
      </c>
      <c r="F341" s="77">
        <f>(IF(Baseline!C28="Nieuwe Situatie",(_xlfn.IFNA(VLOOKUP(Referentie_Hernieuwbare_Energie_Totaal[[#This Row],[Product]]&amp;", "&amp;Referentie_Hernieuwbare_Energie_Totaal[[#Headers],[A3]],Database_Productkaarten[#All],48,FALSE),0)*Baseline!I28),0))</f>
        <v>103.35149705769231</v>
      </c>
      <c r="G341" s="77">
        <f>(IF(Baseline!C28="Nieuwe Situatie",(_xlfn.IFNA(VLOOKUP(Referentie_Hernieuwbare_Energie_Totaal[[#This Row],[Product]]&amp;", "&amp;Referentie_Hernieuwbare_Energie_Totaal[[#Headers],[A1-A3]],Database_Productkaarten[#All],48,FALSE),0)*Baseline!I28),0))</f>
        <v>1458.3525244615387</v>
      </c>
      <c r="H341" s="77">
        <f>IF(Baseline!T28=0,(IF(Baseline!C28="Nieuwe Situatie",(_xlfn.IFNA(VLOOKUP(Referentie_Hernieuwbare_Energie_Totaal[[#This Row],[Product]]&amp;", "&amp;Referentie_CO2_Totaal[[#Headers],[A4]],Database_Productkaarten[#All],48,FALSE),0)*Baseline!I28),0)),IF(Baseline!C28="Nieuwe Situatie",_xlfn.IFNA(VLOOKUP(Baseline!T28,Database_Transport[#All],42,FALSE)*(Baseline!Q28*Baseline!S28),Baseline_Backlog!H131),0))</f>
        <v>6.0307525926487502</v>
      </c>
      <c r="I341" s="77">
        <f>IF(Baseline!C28="Nieuwe situatie",IF(_xlfn.IFNA((VLOOKUP(Baseline!U28,Database_Asfalt_Aanlegset[#All],42,FALSE)*Baseline!I28),0)+_xlfn.IFNA(VLOOKUP(Baseline!V28,Database_Brandstoffen[#All],42,FALSE)*((Baseline!I28/Baseline!X28)*Baseline!W28),0)&gt;0,_xlfn.IFNA((VLOOKUP(Baseline!U28,Database_Asfalt_Aanlegset[#All],42,FALSE)*Baseline!I28),0)+_xlfn.IFNA(VLOOKUP(Baseline!V28,Database_Brandstoffen[#All],42,FALSE)*((Baseline!I28/Baseline!X28)*Baseline!W28),0),(_xlfn.IFNA(VLOOKUP(Referentie_Hernieuwbare_Energie_Totaal[[#This Row],[Product]]&amp;", "&amp;Referentie_MKI_Totaal[[#Headers],[A5]],Database_Productkaarten[#All],48,FALSE),0)*Baseline!I28)),0)</f>
        <v>40.032744253307797</v>
      </c>
      <c r="J341" s="77">
        <f>(IF(Baseline!C28="Nieuwe Situatie",(_xlfn.IFNA(VLOOKUP(Referentie_Hernieuwbare_Energie_Totaal[[#This Row],[Product]]&amp;", "&amp;Referentie_Hernieuwbare_Energie_Totaal[[#Headers],[B1]],Database_Productkaarten[#All],48,FALSE),0)*Baseline!I28),0))</f>
        <v>0</v>
      </c>
      <c r="K341" s="77">
        <f>(IF(Baseline!C28="Nieuwe Situatie",(SUM(Referentie_Hernieuwbare_Energie_Totaal[[#This Row],[A1]:[B1]],Referentie_Hernieuwbare_Energie_Totaal[[#This Row],[C1]:[D2]])*Baseline!R28),0))</f>
        <v>0</v>
      </c>
      <c r="L341" s="77">
        <f>IF(Baseline!C28="Bestaande situatie",IF(_xlfn.IFNA((VLOOKUP(Baseline!Y28,Database_Asfalt_Verwijderset[#All],42,FALSE)*Baseline!I28),0)+_xlfn.IFNA(VLOOKUP(Baseline!Z28,Database_Brandstoffen[#All],42,FALSE)*((Baseline!I28/Baseline!AB28)*Baseline!AA28),0)&gt;0,_xlfn.IFNA((VLOOKUP(Baseline!Y28,Database_Asfalt_Verwijderset[#All],42,FALSE)*Baseline!I28),0)+_xlfn.IFNA(VLOOKUP(Baseline!Z28,Database_Brandstoffen[#All],42,FALSE)*((Baseline!I28/Baseline!AB28)*Baseline!AA28),0),(_xlfn.IFNA(VLOOKUP(Referentie_Hernieuwbare_Energie_Totaal[[#This Row],[Product]]&amp;", "&amp;Referentie_MKI_Totaal[[#Headers],[C1]],Database_Productkaarten[#All],48,FALSE),0)*Baseline!I28)),0)</f>
        <v>0</v>
      </c>
      <c r="M341" s="77">
        <f>IF(Baseline!AD28=0,(IF(Baseline!C28="Bestaande Situatie",(_xlfn.IFNA(VLOOKUP(Referentie_Hernieuwbare_Energie_Totaal[[#This Row],[Product]]&amp;", "&amp;Referentie_MKI_Totaal[[#Headers],[C2]],Database_Productkaarten[#All],48,FALSE),0)*Baseline!I28),0)),(IF(Baseline!C28="Bestaande Situatie",_xlfn.IFNA(VLOOKUP(Baseline!AD28,Database_Transport[#All],42,FALSE)*(Baseline!Q28*Baseline!AC28),0))))</f>
        <v>0</v>
      </c>
      <c r="N341" s="77">
        <f>(IF(Baseline!C28="Bestaande Situatie",(_xlfn.IFNA(VLOOKUP(Referentie_Hernieuwbare_Energie_Totaal[[#This Row],[Product]]&amp;", "&amp;Referentie_Hernieuwbare_Energie_Totaal[[#Headers],[C3]],Database_Productkaarten[#All],48,FALSE),0)*Baseline!I28),0))</f>
        <v>0</v>
      </c>
      <c r="O341" s="77">
        <f>(IF(Baseline!C28="Bestaande Situatie",(_xlfn.IFNA(VLOOKUP(Referentie_Hernieuwbare_Energie_Totaal[[#This Row],[Product]]&amp;", "&amp;Referentie_Hernieuwbare_Energie_Totaal[[#Headers],[C4]],Database_Productkaarten[#All],48,FALSE),0)*Baseline!I28),0))</f>
        <v>0</v>
      </c>
      <c r="P341" s="77">
        <f>(IF(Baseline!C28="Bestaande Situatie",(_xlfn.IFNA(VLOOKUP(Referentie_Hernieuwbare_Energie_Totaal[[#This Row],[Product]]&amp;", "&amp;Referentie_Hernieuwbare_Energie_Totaal[[#Headers],[D1]],Database_Productkaarten[#All],48,FALSE),0)*Baseline!I28),0))</f>
        <v>0</v>
      </c>
      <c r="Q341" s="78">
        <f>(IF(Baseline!C28="Bestaande Situatie",_xlfn.IFNA(VLOOKUP(Referentie_Hernieuwbare_Energie_Totaal[[#This Row],[Product]]&amp;", "&amp;Referentie_Hernieuwbare_Energie_Totaal[[#Headers],[D2]],Database_Productkaarten[#All],48,FALSE),0)*Baseline!I28,0))</f>
        <v>0</v>
      </c>
      <c r="R341" s="57">
        <f>(IF(Baseline!C28="Bestaande Situatie",_xlfn.IFNA(VLOOKUP(Referentie_Hernieuwbare_Energie_Totaal[[#This Row],[Product]]&amp;", "&amp;Referentie_Hernieuwbare_Energie_Totaal[[#Headers],[D]],Database_Productkaarten[#All],48,FALSE),0)*Baseline!I28,0))</f>
        <v>0</v>
      </c>
      <c r="S341" s="56">
        <f>SUM(Referentie_Hernieuwbare_Energie_Totaal[[#This Row],[A1-A3]:[C4]])+Referentie_Hernieuwbare_Energie_Totaal[[#This Row],[D]]</f>
        <v>1504.4160213074952</v>
      </c>
    </row>
    <row r="342" spans="2:19">
      <c r="B342" s="209" t="str">
        <f>Baseline!B29</f>
        <v>430020 - Leveren en aanbrengen trottoirbanden 130/150x250</v>
      </c>
      <c r="C342" s="76" t="str">
        <f>Baseline!F29</f>
        <v>Trottoirband 130/150x250</v>
      </c>
      <c r="D342" s="77">
        <f>(IF(Baseline!C29="Nieuwe Situatie",(_xlfn.IFNA(VLOOKUP(Referentie_Hernieuwbare_Energie_Totaal[[#This Row],[Product]]&amp;", "&amp;Referentie_Hernieuwbare_Energie_Totaal[[#Headers],[A1]],Database_Productkaarten[#All],48,FALSE),0)*Baseline!I29),0))</f>
        <v>2088.957566</v>
      </c>
      <c r="E342" s="77">
        <f>(IF(Baseline!C29="Nieuwe Situatie",(_xlfn.IFNA(VLOOKUP(Referentie_Hernieuwbare_Energie_Totaal[[#This Row],[Product]]&amp;", "&amp;Referentie_Hernieuwbare_Energie_Totaal[[#Headers],[A2]],Database_Productkaarten[#All],48,FALSE),0)*Baseline!I29),0))</f>
        <v>29.449268999999997</v>
      </c>
      <c r="F342" s="77">
        <f>(IF(Baseline!C29="Nieuwe Situatie",(_xlfn.IFNA(VLOOKUP(Referentie_Hernieuwbare_Energie_Totaal[[#This Row],[Product]]&amp;", "&amp;Referentie_Hernieuwbare_Energie_Totaal[[#Headers],[A3]],Database_Productkaarten[#All],48,FALSE),0)*Baseline!I29),0))</f>
        <v>161.57959540000002</v>
      </c>
      <c r="G342" s="77">
        <f>(IF(Baseline!C29="Nieuwe Situatie",(_xlfn.IFNA(VLOOKUP(Referentie_Hernieuwbare_Energie_Totaal[[#This Row],[Product]]&amp;", "&amp;Referentie_Hernieuwbare_Energie_Totaal[[#Headers],[A1-A3]],Database_Productkaarten[#All],48,FALSE),0)*Baseline!I29),0))</f>
        <v>2279.9864304000002</v>
      </c>
      <c r="H342" s="77">
        <f>IF(Baseline!T29=0,(IF(Baseline!C29="Nieuwe Situatie",(_xlfn.IFNA(VLOOKUP(Referentie_Hernieuwbare_Energie_Totaal[[#This Row],[Product]]&amp;", "&amp;Referentie_CO2_Totaal[[#Headers],[A4]],Database_Productkaarten[#All],48,FALSE),0)*Baseline!I29),0)),IF(Baseline!C29="Nieuwe Situatie",_xlfn.IFNA(VLOOKUP(Baseline!T29,Database_Transport[#All],42,FALSE)*(Baseline!Q29*Baseline!S29),Baseline_Backlog!H132),0))</f>
        <v>9.7911042092414995</v>
      </c>
      <c r="I342" s="77">
        <f>IF(Baseline!C29="Nieuwe situatie",IF(_xlfn.IFNA((VLOOKUP(Baseline!U29,Database_Asfalt_Aanlegset[#All],42,FALSE)*Baseline!I29),0)+_xlfn.IFNA(VLOOKUP(Baseline!V29,Database_Brandstoffen[#All],42,FALSE)*((Baseline!I29/Baseline!X29)*Baseline!W29),0)&gt;0,_xlfn.IFNA((VLOOKUP(Baseline!U29,Database_Asfalt_Aanlegset[#All],42,FALSE)*Baseline!I29),0)+_xlfn.IFNA(VLOOKUP(Baseline!V29,Database_Brandstoffen[#All],42,FALSE)*((Baseline!I29/Baseline!X29)*Baseline!W29),0),(_xlfn.IFNA(VLOOKUP(Referentie_Hernieuwbare_Energie_Totaal[[#This Row],[Product]]&amp;", "&amp;Referentie_MKI_Totaal[[#Headers],[A5]],Database_Productkaarten[#All],48,FALSE),0)*Baseline!I29)),0)</f>
        <v>108.32389621483286</v>
      </c>
      <c r="J342" s="77">
        <f>(IF(Baseline!C29="Nieuwe Situatie",(_xlfn.IFNA(VLOOKUP(Referentie_Hernieuwbare_Energie_Totaal[[#This Row],[Product]]&amp;", "&amp;Referentie_Hernieuwbare_Energie_Totaal[[#Headers],[B1]],Database_Productkaarten[#All],48,FALSE),0)*Baseline!I29),0))</f>
        <v>0</v>
      </c>
      <c r="K342" s="77">
        <f>(IF(Baseline!C29="Nieuwe Situatie",(SUM(Referentie_Hernieuwbare_Energie_Totaal[[#This Row],[A1]:[B1]],Referentie_Hernieuwbare_Energie_Totaal[[#This Row],[C1]:[D2]])*Baseline!R29),0))</f>
        <v>0</v>
      </c>
      <c r="L342" s="77">
        <f>IF(Baseline!C29="Bestaande situatie",IF(_xlfn.IFNA((VLOOKUP(Baseline!Y29,Database_Asfalt_Verwijderset[#All],42,FALSE)*Baseline!I29),0)+_xlfn.IFNA(VLOOKUP(Baseline!Z29,Database_Brandstoffen[#All],42,FALSE)*((Baseline!I29/Baseline!AB29)*Baseline!AA29),0)&gt;0,_xlfn.IFNA((VLOOKUP(Baseline!Y29,Database_Asfalt_Verwijderset[#All],42,FALSE)*Baseline!I29),0)+_xlfn.IFNA(VLOOKUP(Baseline!Z29,Database_Brandstoffen[#All],42,FALSE)*((Baseline!I29/Baseline!AB29)*Baseline!AA29),0),(_xlfn.IFNA(VLOOKUP(Referentie_Hernieuwbare_Energie_Totaal[[#This Row],[Product]]&amp;", "&amp;Referentie_MKI_Totaal[[#Headers],[C1]],Database_Productkaarten[#All],48,FALSE),0)*Baseline!I29)),0)</f>
        <v>0</v>
      </c>
      <c r="M342" s="77">
        <f>IF(Baseline!AD29=0,(IF(Baseline!C29="Bestaande Situatie",(_xlfn.IFNA(VLOOKUP(Referentie_Hernieuwbare_Energie_Totaal[[#This Row],[Product]]&amp;", "&amp;Referentie_MKI_Totaal[[#Headers],[C2]],Database_Productkaarten[#All],48,FALSE),0)*Baseline!I29),0)),(IF(Baseline!C29="Bestaande Situatie",_xlfn.IFNA(VLOOKUP(Baseline!AD29,Database_Transport[#All],42,FALSE)*(Baseline!Q29*Baseline!AC29),0))))</f>
        <v>0</v>
      </c>
      <c r="N342" s="77">
        <f>(IF(Baseline!C29="Bestaande Situatie",(_xlfn.IFNA(VLOOKUP(Referentie_Hernieuwbare_Energie_Totaal[[#This Row],[Product]]&amp;", "&amp;Referentie_Hernieuwbare_Energie_Totaal[[#Headers],[C3]],Database_Productkaarten[#All],48,FALSE),0)*Baseline!I29),0))</f>
        <v>0</v>
      </c>
      <c r="O342" s="77">
        <f>(IF(Baseline!C29="Bestaande Situatie",(_xlfn.IFNA(VLOOKUP(Referentie_Hernieuwbare_Energie_Totaal[[#This Row],[Product]]&amp;", "&amp;Referentie_Hernieuwbare_Energie_Totaal[[#Headers],[C4]],Database_Productkaarten[#All],48,FALSE),0)*Baseline!I29),0))</f>
        <v>0</v>
      </c>
      <c r="P342" s="77">
        <f>(IF(Baseline!C29="Bestaande Situatie",(_xlfn.IFNA(VLOOKUP(Referentie_Hernieuwbare_Energie_Totaal[[#This Row],[Product]]&amp;", "&amp;Referentie_Hernieuwbare_Energie_Totaal[[#Headers],[D1]],Database_Productkaarten[#All],48,FALSE),0)*Baseline!I29),0))</f>
        <v>0</v>
      </c>
      <c r="Q342" s="78">
        <f>(IF(Baseline!C29="Bestaande Situatie",_xlfn.IFNA(VLOOKUP(Referentie_Hernieuwbare_Energie_Totaal[[#This Row],[Product]]&amp;", "&amp;Referentie_Hernieuwbare_Energie_Totaal[[#Headers],[D2]],Database_Productkaarten[#All],48,FALSE),0)*Baseline!I29,0))</f>
        <v>0</v>
      </c>
      <c r="R342" s="57">
        <f>(IF(Baseline!C29="Bestaande Situatie",_xlfn.IFNA(VLOOKUP(Referentie_Hernieuwbare_Energie_Totaal[[#This Row],[Product]]&amp;", "&amp;Referentie_Hernieuwbare_Energie_Totaal[[#Headers],[D]],Database_Productkaarten[#All],48,FALSE),0)*Baseline!I29,0))</f>
        <v>0</v>
      </c>
      <c r="S342" s="56">
        <f>SUM(Referentie_Hernieuwbare_Energie_Totaal[[#This Row],[A1-A3]:[C4]])+Referentie_Hernieuwbare_Energie_Totaal[[#This Row],[D]]</f>
        <v>2398.1014308240747</v>
      </c>
    </row>
    <row r="343" spans="2:19">
      <c r="B343" s="209" t="str">
        <f>Baseline!B30</f>
        <v>430040 - Leveren en aanbrengen opsluitbanden 100x200</v>
      </c>
      <c r="C343" s="76" t="str">
        <f>Baseline!F30</f>
        <v>Opsluitband 100x200</v>
      </c>
      <c r="D343" s="77">
        <f>(IF(Baseline!C30="Nieuwe Situatie",(_xlfn.IFNA(VLOOKUP(Referentie_Hernieuwbare_Energie_Totaal[[#This Row],[Product]]&amp;", "&amp;Referentie_Hernieuwbare_Energie_Totaal[[#Headers],[A1]],Database_Productkaarten[#All],48,FALSE),0)*Baseline!I30),0))</f>
        <v>7146.4338335000002</v>
      </c>
      <c r="E343" s="77">
        <f>(IF(Baseline!C30="Nieuwe Situatie",(_xlfn.IFNA(VLOOKUP(Referentie_Hernieuwbare_Energie_Totaal[[#This Row],[Product]]&amp;", "&amp;Referentie_Hernieuwbare_Energie_Totaal[[#Headers],[A2]],Database_Productkaarten[#All],48,FALSE),0)*Baseline!I30),0))</f>
        <v>100.74750283</v>
      </c>
      <c r="F343" s="77">
        <f>(IF(Baseline!C30="Nieuwe Situatie",(_xlfn.IFNA(VLOOKUP(Referentie_Hernieuwbare_Energie_Totaal[[#This Row],[Product]]&amp;", "&amp;Referentie_Hernieuwbare_Energie_Totaal[[#Headers],[A3]],Database_Productkaarten[#All],48,FALSE),0)*Baseline!I30),0))</f>
        <v>552.77230320000001</v>
      </c>
      <c r="G343" s="77">
        <f>(IF(Baseline!C30="Nieuwe Situatie",(_xlfn.IFNA(VLOOKUP(Referentie_Hernieuwbare_Energie_Totaal[[#This Row],[Product]]&amp;", "&amp;Referentie_Hernieuwbare_Energie_Totaal[[#Headers],[A1-A3]],Database_Productkaarten[#All],48,FALSE),0)*Baseline!I30),0))</f>
        <v>7799.9536395300011</v>
      </c>
      <c r="H343" s="77">
        <f>IF(Baseline!T30=0,(IF(Baseline!C30="Nieuwe Situatie",(_xlfn.IFNA(VLOOKUP(Referentie_Hernieuwbare_Energie_Totaal[[#This Row],[Product]]&amp;", "&amp;Referentie_CO2_Totaal[[#Headers],[A4]],Database_Productkaarten[#All],48,FALSE),0)*Baseline!I30),0)),IF(Baseline!C30="Nieuwe Situatie",_xlfn.IFNA(VLOOKUP(Baseline!T30,Database_Transport[#All],42,FALSE)*(Baseline!Q30*Baseline!S30),Baseline_Backlog!H133),0))</f>
        <v>34.350166902528748</v>
      </c>
      <c r="I343" s="77">
        <f>IF(Baseline!C30="Nieuwe situatie",IF(_xlfn.IFNA((VLOOKUP(Baseline!U30,Database_Asfalt_Aanlegset[#All],42,FALSE)*Baseline!I30),0)+_xlfn.IFNA(VLOOKUP(Baseline!V30,Database_Brandstoffen[#All],42,FALSE)*((Baseline!I30/Baseline!X30)*Baseline!W30),0)&gt;0,_xlfn.IFNA((VLOOKUP(Baseline!U30,Database_Asfalt_Aanlegset[#All],42,FALSE)*Baseline!I30),0)+_xlfn.IFNA(VLOOKUP(Baseline!V30,Database_Brandstoffen[#All],42,FALSE)*((Baseline!I30/Baseline!X30)*Baseline!W30),0),(_xlfn.IFNA(VLOOKUP(Referentie_Hernieuwbare_Energie_Totaal[[#This Row],[Product]]&amp;", "&amp;Referentie_MKI_Totaal[[#Headers],[A5]],Database_Productkaarten[#All],48,FALSE),0)*Baseline!I30)),0)</f>
        <v>625.87140035236757</v>
      </c>
      <c r="J343" s="77">
        <f>(IF(Baseline!C30="Nieuwe Situatie",(_xlfn.IFNA(VLOOKUP(Referentie_Hernieuwbare_Energie_Totaal[[#This Row],[Product]]&amp;", "&amp;Referentie_Hernieuwbare_Energie_Totaal[[#Headers],[B1]],Database_Productkaarten[#All],48,FALSE),0)*Baseline!I30),0))</f>
        <v>0</v>
      </c>
      <c r="K343" s="77">
        <f>(IF(Baseline!C30="Nieuwe Situatie",(SUM(Referentie_Hernieuwbare_Energie_Totaal[[#This Row],[A1]:[B1]],Referentie_Hernieuwbare_Energie_Totaal[[#This Row],[C1]:[D2]])*Baseline!R30),0))</f>
        <v>0</v>
      </c>
      <c r="L343" s="77">
        <f>IF(Baseline!C30="Bestaande situatie",IF(_xlfn.IFNA((VLOOKUP(Baseline!Y30,Database_Asfalt_Verwijderset[#All],42,FALSE)*Baseline!I30),0)+_xlfn.IFNA(VLOOKUP(Baseline!Z30,Database_Brandstoffen[#All],42,FALSE)*((Baseline!I30/Baseline!AB30)*Baseline!AA30),0)&gt;0,_xlfn.IFNA((VLOOKUP(Baseline!Y30,Database_Asfalt_Verwijderset[#All],42,FALSE)*Baseline!I30),0)+_xlfn.IFNA(VLOOKUP(Baseline!Z30,Database_Brandstoffen[#All],42,FALSE)*((Baseline!I30/Baseline!AB30)*Baseline!AA30),0),(_xlfn.IFNA(VLOOKUP(Referentie_Hernieuwbare_Energie_Totaal[[#This Row],[Product]]&amp;", "&amp;Referentie_MKI_Totaal[[#Headers],[C1]],Database_Productkaarten[#All],48,FALSE),0)*Baseline!I30)),0)</f>
        <v>0</v>
      </c>
      <c r="M343" s="77">
        <f>IF(Baseline!AD30=0,(IF(Baseline!C30="Bestaande Situatie",(_xlfn.IFNA(VLOOKUP(Referentie_Hernieuwbare_Energie_Totaal[[#This Row],[Product]]&amp;", "&amp;Referentie_MKI_Totaal[[#Headers],[C2]],Database_Productkaarten[#All],48,FALSE),0)*Baseline!I30),0)),(IF(Baseline!C30="Bestaande Situatie",_xlfn.IFNA(VLOOKUP(Baseline!AD30,Database_Transport[#All],42,FALSE)*(Baseline!Q30*Baseline!AC30),0))))</f>
        <v>0</v>
      </c>
      <c r="N343" s="77">
        <f>(IF(Baseline!C30="Bestaande Situatie",(_xlfn.IFNA(VLOOKUP(Referentie_Hernieuwbare_Energie_Totaal[[#This Row],[Product]]&amp;", "&amp;Referentie_Hernieuwbare_Energie_Totaal[[#Headers],[C3]],Database_Productkaarten[#All],48,FALSE),0)*Baseline!I30),0))</f>
        <v>0</v>
      </c>
      <c r="O343" s="77">
        <f>(IF(Baseline!C30="Bestaande Situatie",(_xlfn.IFNA(VLOOKUP(Referentie_Hernieuwbare_Energie_Totaal[[#This Row],[Product]]&amp;", "&amp;Referentie_Hernieuwbare_Energie_Totaal[[#Headers],[C4]],Database_Productkaarten[#All],48,FALSE),0)*Baseline!I30),0))</f>
        <v>0</v>
      </c>
      <c r="P343" s="77">
        <f>(IF(Baseline!C30="Bestaande Situatie",(_xlfn.IFNA(VLOOKUP(Referentie_Hernieuwbare_Energie_Totaal[[#This Row],[Product]]&amp;", "&amp;Referentie_Hernieuwbare_Energie_Totaal[[#Headers],[D1]],Database_Productkaarten[#All],48,FALSE),0)*Baseline!I30),0))</f>
        <v>0</v>
      </c>
      <c r="Q343" s="78">
        <f>(IF(Baseline!C30="Bestaande Situatie",_xlfn.IFNA(VLOOKUP(Referentie_Hernieuwbare_Energie_Totaal[[#This Row],[Product]]&amp;", "&amp;Referentie_Hernieuwbare_Energie_Totaal[[#Headers],[D2]],Database_Productkaarten[#All],48,FALSE),0)*Baseline!I30,0))</f>
        <v>0</v>
      </c>
      <c r="R343" s="57">
        <f>(IF(Baseline!C30="Bestaande Situatie",_xlfn.IFNA(VLOOKUP(Referentie_Hernieuwbare_Energie_Totaal[[#This Row],[Product]]&amp;", "&amp;Referentie_Hernieuwbare_Energie_Totaal[[#Headers],[D]],Database_Productkaarten[#All],48,FALSE),0)*Baseline!I30,0))</f>
        <v>0</v>
      </c>
      <c r="S343" s="56">
        <f>SUM(Referentie_Hernieuwbare_Energie_Totaal[[#This Row],[A1-A3]:[C4]])+Referentie_Hernieuwbare_Energie_Totaal[[#This Row],[D]]</f>
        <v>8460.1752067848975</v>
      </c>
    </row>
    <row r="344" spans="2:19">
      <c r="B344" s="209" t="str">
        <f>Baseline!B31</f>
        <v>430050 - Leveren en aanbrengen opsluitbanden 120x250</v>
      </c>
      <c r="C344" s="76" t="str">
        <f>Baseline!F31</f>
        <v>Opsluitband 150x250</v>
      </c>
      <c r="D344" s="77">
        <f>(IF(Baseline!C31="Nieuwe Situatie",(_xlfn.IFNA(VLOOKUP(Referentie_Hernieuwbare_Energie_Totaal[[#This Row],[Product]]&amp;", "&amp;Referentie_Hernieuwbare_Energie_Totaal[[#Headers],[A1]],Database_Productkaarten[#All],48,FALSE),0)*Baseline!I31),0))</f>
        <v>12548.0861625</v>
      </c>
      <c r="E344" s="77">
        <f>(IF(Baseline!C31="Nieuwe Situatie",(_xlfn.IFNA(VLOOKUP(Referentie_Hernieuwbare_Energie_Totaal[[#This Row],[Product]]&amp;", "&amp;Referentie_Hernieuwbare_Energie_Totaal[[#Headers],[A2]],Database_Productkaarten[#All],48,FALSE),0)*Baseline!I31),0))</f>
        <v>176.89778925000002</v>
      </c>
      <c r="F344" s="77">
        <f>(IF(Baseline!C31="Nieuwe Situatie",(_xlfn.IFNA(VLOOKUP(Referentie_Hernieuwbare_Energie_Totaal[[#This Row],[Product]]&amp;", "&amp;Referentie_Hernieuwbare_Energie_Totaal[[#Headers],[A3]],Database_Productkaarten[#All],48,FALSE),0)*Baseline!I31),0))</f>
        <v>970.58681999999999</v>
      </c>
      <c r="G344" s="77">
        <f>(IF(Baseline!C31="Nieuwe Situatie",(_xlfn.IFNA(VLOOKUP(Referentie_Hernieuwbare_Energie_Totaal[[#This Row],[Product]]&amp;", "&amp;Referentie_Hernieuwbare_Energie_Totaal[[#Headers],[A1-A3]],Database_Productkaarten[#All],48,FALSE),0)*Baseline!I31),0))</f>
        <v>13695.570771750001</v>
      </c>
      <c r="H344" s="77">
        <f>IF(Baseline!T31=0,(IF(Baseline!C31="Nieuwe Situatie",(_xlfn.IFNA(VLOOKUP(Referentie_Hernieuwbare_Energie_Totaal[[#This Row],[Product]]&amp;", "&amp;Referentie_CO2_Totaal[[#Headers],[A4]],Database_Productkaarten[#All],48,FALSE),0)*Baseline!I31),0)),IF(Baseline!C31="Nieuwe Situatie",_xlfn.IFNA(VLOOKUP(Baseline!T31,Database_Transport[#All],42,FALSE)*(Baseline!Q31*Baseline!S31),Baseline_Backlog!H134),0))</f>
        <v>60.313838206781263</v>
      </c>
      <c r="I344" s="77">
        <f>IF(Baseline!C31="Nieuwe situatie",IF(_xlfn.IFNA((VLOOKUP(Baseline!U31,Database_Asfalt_Aanlegset[#All],42,FALSE)*Baseline!I31),0)+_xlfn.IFNA(VLOOKUP(Baseline!V31,Database_Brandstoffen[#All],42,FALSE)*((Baseline!I31/Baseline!X31)*Baseline!W31),0)&gt;0,_xlfn.IFNA((VLOOKUP(Baseline!U31,Database_Asfalt_Aanlegset[#All],42,FALSE)*Baseline!I31),0)+_xlfn.IFNA(VLOOKUP(Baseline!V31,Database_Brandstoffen[#All],42,FALSE)*((Baseline!I31/Baseline!X31)*Baseline!W31),0),(_xlfn.IFNA(VLOOKUP(Referentie_Hernieuwbare_Energie_Totaal[[#This Row],[Product]]&amp;", "&amp;Referentie_MKI_Totaal[[#Headers],[A5]],Database_Productkaarten[#All],48,FALSE),0)*Baseline!I31)),0)</f>
        <v>659.36284652506959</v>
      </c>
      <c r="J344" s="77">
        <f>(IF(Baseline!C31="Nieuwe Situatie",(_xlfn.IFNA(VLOOKUP(Referentie_Hernieuwbare_Energie_Totaal[[#This Row],[Product]]&amp;", "&amp;Referentie_Hernieuwbare_Energie_Totaal[[#Headers],[B1]],Database_Productkaarten[#All],48,FALSE),0)*Baseline!I31),0))</f>
        <v>0</v>
      </c>
      <c r="K344" s="77">
        <f>(IF(Baseline!C31="Nieuwe Situatie",(SUM(Referentie_Hernieuwbare_Energie_Totaal[[#This Row],[A1]:[B1]],Referentie_Hernieuwbare_Energie_Totaal[[#This Row],[C1]:[D2]])*Baseline!R31),0))</f>
        <v>0</v>
      </c>
      <c r="L344" s="77">
        <f>IF(Baseline!C31="Bestaande situatie",IF(_xlfn.IFNA((VLOOKUP(Baseline!Y31,Database_Asfalt_Verwijderset[#All],42,FALSE)*Baseline!I31),0)+_xlfn.IFNA(VLOOKUP(Baseline!Z31,Database_Brandstoffen[#All],42,FALSE)*((Baseline!I31/Baseline!AB31)*Baseline!AA31),0)&gt;0,_xlfn.IFNA((VLOOKUP(Baseline!Y31,Database_Asfalt_Verwijderset[#All],42,FALSE)*Baseline!I31),0)+_xlfn.IFNA(VLOOKUP(Baseline!Z31,Database_Brandstoffen[#All],42,FALSE)*((Baseline!I31/Baseline!AB31)*Baseline!AA31),0),(_xlfn.IFNA(VLOOKUP(Referentie_Hernieuwbare_Energie_Totaal[[#This Row],[Product]]&amp;", "&amp;Referentie_MKI_Totaal[[#Headers],[C1]],Database_Productkaarten[#All],48,FALSE),0)*Baseline!I31)),0)</f>
        <v>0</v>
      </c>
      <c r="M344" s="77">
        <f>IF(Baseline!AD31=0,(IF(Baseline!C31="Bestaande Situatie",(_xlfn.IFNA(VLOOKUP(Referentie_Hernieuwbare_Energie_Totaal[[#This Row],[Product]]&amp;", "&amp;Referentie_MKI_Totaal[[#Headers],[C2]],Database_Productkaarten[#All],48,FALSE),0)*Baseline!I31),0)),(IF(Baseline!C31="Bestaande Situatie",_xlfn.IFNA(VLOOKUP(Baseline!AD31,Database_Transport[#All],42,FALSE)*(Baseline!Q31*Baseline!AC31),0))))</f>
        <v>0</v>
      </c>
      <c r="N344" s="77">
        <f>(IF(Baseline!C31="Bestaande Situatie",(_xlfn.IFNA(VLOOKUP(Referentie_Hernieuwbare_Energie_Totaal[[#This Row],[Product]]&amp;", "&amp;Referentie_Hernieuwbare_Energie_Totaal[[#Headers],[C3]],Database_Productkaarten[#All],48,FALSE),0)*Baseline!I31),0))</f>
        <v>0</v>
      </c>
      <c r="O344" s="77">
        <f>(IF(Baseline!C31="Bestaande Situatie",(_xlfn.IFNA(VLOOKUP(Referentie_Hernieuwbare_Energie_Totaal[[#This Row],[Product]]&amp;", "&amp;Referentie_Hernieuwbare_Energie_Totaal[[#Headers],[C4]],Database_Productkaarten[#All],48,FALSE),0)*Baseline!I31),0))</f>
        <v>0</v>
      </c>
      <c r="P344" s="77">
        <f>(IF(Baseline!C31="Bestaande Situatie",(_xlfn.IFNA(VLOOKUP(Referentie_Hernieuwbare_Energie_Totaal[[#This Row],[Product]]&amp;", "&amp;Referentie_Hernieuwbare_Energie_Totaal[[#Headers],[D1]],Database_Productkaarten[#All],48,FALSE),0)*Baseline!I31),0))</f>
        <v>0</v>
      </c>
      <c r="Q344" s="78">
        <f>(IF(Baseline!C31="Bestaande Situatie",_xlfn.IFNA(VLOOKUP(Referentie_Hernieuwbare_Energie_Totaal[[#This Row],[Product]]&amp;", "&amp;Referentie_Hernieuwbare_Energie_Totaal[[#Headers],[D2]],Database_Productkaarten[#All],48,FALSE),0)*Baseline!I31,0))</f>
        <v>0</v>
      </c>
      <c r="R344" s="57">
        <f>(IF(Baseline!C31="Bestaande Situatie",_xlfn.IFNA(VLOOKUP(Referentie_Hernieuwbare_Energie_Totaal[[#This Row],[Product]]&amp;", "&amp;Referentie_Hernieuwbare_Energie_Totaal[[#Headers],[D]],Database_Productkaarten[#All],48,FALSE),0)*Baseline!I31,0))</f>
        <v>0</v>
      </c>
      <c r="S344" s="56">
        <f>SUM(Referentie_Hernieuwbare_Energie_Totaal[[#This Row],[A1-A3]:[C4]])+Referentie_Hernieuwbare_Energie_Totaal[[#This Row],[D]]</f>
        <v>14415.247456481851</v>
      </c>
    </row>
    <row r="345" spans="2:19">
      <c r="B345" s="209" t="str">
        <f>Baseline!B32</f>
        <v>440010 - Aanbrengen straatbakstenen DF, Rood (rijweg)</v>
      </c>
      <c r="C345" s="76" t="str">
        <f>Baseline!F32</f>
        <v>Baksteen</v>
      </c>
      <c r="D345" s="77">
        <f>(IF(Baseline!C32="Nieuwe Situatie",(_xlfn.IFNA(VLOOKUP(Referentie_Hernieuwbare_Energie_Totaal[[#This Row],[Product]]&amp;", "&amp;Referentie_Hernieuwbare_Energie_Totaal[[#Headers],[A1]],Database_Productkaarten[#All],48,FALSE),0)*Baseline!I32),0))</f>
        <v>0</v>
      </c>
      <c r="E345" s="77">
        <f>(IF(Baseline!C32="Nieuwe Situatie",(_xlfn.IFNA(VLOOKUP(Referentie_Hernieuwbare_Energie_Totaal[[#This Row],[Product]]&amp;", "&amp;Referentie_Hernieuwbare_Energie_Totaal[[#Headers],[A2]],Database_Productkaarten[#All],48,FALSE),0)*Baseline!I32),0))</f>
        <v>0</v>
      </c>
      <c r="F345" s="77">
        <f>(IF(Baseline!C32="Nieuwe Situatie",(_xlfn.IFNA(VLOOKUP(Referentie_Hernieuwbare_Energie_Totaal[[#This Row],[Product]]&amp;", "&amp;Referentie_Hernieuwbare_Energie_Totaal[[#Headers],[A3]],Database_Productkaarten[#All],48,FALSE),0)*Baseline!I32),0))</f>
        <v>0</v>
      </c>
      <c r="G345" s="77">
        <f>(IF(Baseline!C32="Nieuwe Situatie",(_xlfn.IFNA(VLOOKUP(Referentie_Hernieuwbare_Energie_Totaal[[#This Row],[Product]]&amp;", "&amp;Referentie_Hernieuwbare_Energie_Totaal[[#Headers],[A1-A3]],Database_Productkaarten[#All],48,FALSE),0)*Baseline!I32),0))</f>
        <v>57575.35</v>
      </c>
      <c r="H345" s="77">
        <f>IF(Baseline!T32=0,(IF(Baseline!C32="Nieuwe Situatie",(_xlfn.IFNA(VLOOKUP(Referentie_Hernieuwbare_Energie_Totaal[[#This Row],[Product]]&amp;", "&amp;Referentie_CO2_Totaal[[#Headers],[A4]],Database_Productkaarten[#All],48,FALSE),0)*Baseline!I32),0)),IF(Baseline!C32="Nieuwe Situatie",_xlfn.IFNA(VLOOKUP(Baseline!T32,Database_Transport[#All],42,FALSE)*(Baseline!Q32*Baseline!S32),Baseline_Backlog!H135),0))</f>
        <v>516.88862880900001</v>
      </c>
      <c r="I345" s="77">
        <f>IF(Baseline!C32="Nieuwe situatie",IF(_xlfn.IFNA((VLOOKUP(Baseline!U32,Database_Asfalt_Aanlegset[#All],42,FALSE)*Baseline!I32),0)+_xlfn.IFNA(VLOOKUP(Baseline!V32,Database_Brandstoffen[#All],42,FALSE)*((Baseline!I32/Baseline!X32)*Baseline!W32),0)&gt;0,_xlfn.IFNA((VLOOKUP(Baseline!U32,Database_Asfalt_Aanlegset[#All],42,FALSE)*Baseline!I32),0)+_xlfn.IFNA(VLOOKUP(Baseline!V32,Database_Brandstoffen[#All],42,FALSE)*((Baseline!I32/Baseline!X32)*Baseline!W32),0),(_xlfn.IFNA(VLOOKUP(Referentie_Hernieuwbare_Energie_Totaal[[#This Row],[Product]]&amp;", "&amp;Referentie_MKI_Totaal[[#Headers],[A5]],Database_Productkaarten[#All],48,FALSE),0)*Baseline!I32)),0)</f>
        <v>5820.3676068133054</v>
      </c>
      <c r="J345" s="77">
        <f>(IF(Baseline!C32="Nieuwe Situatie",(_xlfn.IFNA(VLOOKUP(Referentie_Hernieuwbare_Energie_Totaal[[#This Row],[Product]]&amp;", "&amp;Referentie_Hernieuwbare_Energie_Totaal[[#Headers],[B1]],Database_Productkaarten[#All],48,FALSE),0)*Baseline!I32),0))</f>
        <v>0</v>
      </c>
      <c r="K345" s="77">
        <f>(IF(Baseline!C32="Nieuwe Situatie",(SUM(Referentie_Hernieuwbare_Energie_Totaal[[#This Row],[A1]:[B1]],Referentie_Hernieuwbare_Energie_Totaal[[#This Row],[C1]:[D2]])*Baseline!R32),0))</f>
        <v>0</v>
      </c>
      <c r="L345" s="77">
        <f>IF(Baseline!C32="Bestaande situatie",IF(_xlfn.IFNA((VLOOKUP(Baseline!Y32,Database_Asfalt_Verwijderset[#All],42,FALSE)*Baseline!I32),0)+_xlfn.IFNA(VLOOKUP(Baseline!Z32,Database_Brandstoffen[#All],42,FALSE)*((Baseline!I32/Baseline!AB32)*Baseline!AA32),0)&gt;0,_xlfn.IFNA((VLOOKUP(Baseline!Y32,Database_Asfalt_Verwijderset[#All],42,FALSE)*Baseline!I32),0)+_xlfn.IFNA(VLOOKUP(Baseline!Z32,Database_Brandstoffen[#All],42,FALSE)*((Baseline!I32/Baseline!AB32)*Baseline!AA32),0),(_xlfn.IFNA(VLOOKUP(Referentie_Hernieuwbare_Energie_Totaal[[#This Row],[Product]]&amp;", "&amp;Referentie_MKI_Totaal[[#Headers],[C1]],Database_Productkaarten[#All],48,FALSE),0)*Baseline!I32)),0)</f>
        <v>0</v>
      </c>
      <c r="M345" s="77">
        <f>IF(Baseline!AD32=0,(IF(Baseline!C32="Bestaande Situatie",(_xlfn.IFNA(VLOOKUP(Referentie_Hernieuwbare_Energie_Totaal[[#This Row],[Product]]&amp;", "&amp;Referentie_MKI_Totaal[[#Headers],[C2]],Database_Productkaarten[#All],48,FALSE),0)*Baseline!I32),0)),(IF(Baseline!C32="Bestaande Situatie",_xlfn.IFNA(VLOOKUP(Baseline!AD32,Database_Transport[#All],42,FALSE)*(Baseline!Q32*Baseline!AC32),0))))</f>
        <v>0</v>
      </c>
      <c r="N345" s="77">
        <f>(IF(Baseline!C32="Bestaande Situatie",(_xlfn.IFNA(VLOOKUP(Referentie_Hernieuwbare_Energie_Totaal[[#This Row],[Product]]&amp;", "&amp;Referentie_Hernieuwbare_Energie_Totaal[[#Headers],[C3]],Database_Productkaarten[#All],48,FALSE),0)*Baseline!I32),0))</f>
        <v>0</v>
      </c>
      <c r="O345" s="77">
        <f>(IF(Baseline!C32="Bestaande Situatie",(_xlfn.IFNA(VLOOKUP(Referentie_Hernieuwbare_Energie_Totaal[[#This Row],[Product]]&amp;", "&amp;Referentie_Hernieuwbare_Energie_Totaal[[#Headers],[C4]],Database_Productkaarten[#All],48,FALSE),0)*Baseline!I32),0))</f>
        <v>0</v>
      </c>
      <c r="P345" s="77">
        <f>(IF(Baseline!C32="Bestaande Situatie",(_xlfn.IFNA(VLOOKUP(Referentie_Hernieuwbare_Energie_Totaal[[#This Row],[Product]]&amp;", "&amp;Referentie_Hernieuwbare_Energie_Totaal[[#Headers],[D1]],Database_Productkaarten[#All],48,FALSE),0)*Baseline!I32),0))</f>
        <v>0</v>
      </c>
      <c r="Q345" s="78">
        <f>(IF(Baseline!C32="Bestaande Situatie",_xlfn.IFNA(VLOOKUP(Referentie_Hernieuwbare_Energie_Totaal[[#This Row],[Product]]&amp;", "&amp;Referentie_Hernieuwbare_Energie_Totaal[[#Headers],[D2]],Database_Productkaarten[#All],48,FALSE),0)*Baseline!I32,0))</f>
        <v>0</v>
      </c>
      <c r="R345" s="57">
        <f>(IF(Baseline!C32="Bestaande Situatie",_xlfn.IFNA(VLOOKUP(Referentie_Hernieuwbare_Energie_Totaal[[#This Row],[Product]]&amp;", "&amp;Referentie_Hernieuwbare_Energie_Totaal[[#Headers],[D]],Database_Productkaarten[#All],48,FALSE),0)*Baseline!I32,0))</f>
        <v>0</v>
      </c>
      <c r="S345" s="56">
        <f>SUM(Referentie_Hernieuwbare_Energie_Totaal[[#This Row],[A1-A3]:[C4]])+Referentie_Hernieuwbare_Energie_Totaal[[#This Row],[D]]</f>
        <v>63912.606235622305</v>
      </c>
    </row>
    <row r="346" spans="2:19">
      <c r="B346" s="209" t="str">
        <f>Baseline!B33</f>
        <v>440020 - Aanbrengen straatbakstenen DF, Geel (rijweg/ plein)</v>
      </c>
      <c r="C346" s="76" t="str">
        <f>Baseline!F33</f>
        <v>Baksteen</v>
      </c>
      <c r="D346" s="77">
        <f>(IF(Baseline!C33="Nieuwe Situatie",(_xlfn.IFNA(VLOOKUP(Referentie_Hernieuwbare_Energie_Totaal[[#This Row],[Product]]&amp;", "&amp;Referentie_Hernieuwbare_Energie_Totaal[[#Headers],[A1]],Database_Productkaarten[#All],48,FALSE),0)*Baseline!I33),0))</f>
        <v>0</v>
      </c>
      <c r="E346" s="77">
        <f>(IF(Baseline!C33="Nieuwe Situatie",(_xlfn.IFNA(VLOOKUP(Referentie_Hernieuwbare_Energie_Totaal[[#This Row],[Product]]&amp;", "&amp;Referentie_Hernieuwbare_Energie_Totaal[[#Headers],[A2]],Database_Productkaarten[#All],48,FALSE),0)*Baseline!I33),0))</f>
        <v>0</v>
      </c>
      <c r="F346" s="77">
        <f>(IF(Baseline!C33="Nieuwe Situatie",(_xlfn.IFNA(VLOOKUP(Referentie_Hernieuwbare_Energie_Totaal[[#This Row],[Product]]&amp;", "&amp;Referentie_Hernieuwbare_Energie_Totaal[[#Headers],[A3]],Database_Productkaarten[#All],48,FALSE),0)*Baseline!I33),0))</f>
        <v>0</v>
      </c>
      <c r="G346" s="77">
        <f>(IF(Baseline!C33="Nieuwe Situatie",(_xlfn.IFNA(VLOOKUP(Referentie_Hernieuwbare_Energie_Totaal[[#This Row],[Product]]&amp;", "&amp;Referentie_Hernieuwbare_Energie_Totaal[[#Headers],[A1-A3]],Database_Productkaarten[#All],48,FALSE),0)*Baseline!I33),0))</f>
        <v>85237.25</v>
      </c>
      <c r="H346" s="77">
        <f>IF(Baseline!T33=0,(IF(Baseline!C33="Nieuwe Situatie",(_xlfn.IFNA(VLOOKUP(Referentie_Hernieuwbare_Energie_Totaal[[#This Row],[Product]]&amp;", "&amp;Referentie_CO2_Totaal[[#Headers],[A4]],Database_Productkaarten[#All],48,FALSE),0)*Baseline!I33),0)),IF(Baseline!C33="Nieuwe Situatie",_xlfn.IFNA(VLOOKUP(Baseline!T33,Database_Transport[#All],42,FALSE)*(Baseline!Q33*Baseline!S33),Baseline_Backlog!H136),0))</f>
        <v>765.22618231500007</v>
      </c>
      <c r="I346" s="77">
        <f>IF(Baseline!C33="Nieuwe situatie",IF(_xlfn.IFNA((VLOOKUP(Baseline!U33,Database_Asfalt_Aanlegset[#All],42,FALSE)*Baseline!I33),0)+_xlfn.IFNA(VLOOKUP(Baseline!V33,Database_Brandstoffen[#All],42,FALSE)*((Baseline!I33/Baseline!X33)*Baseline!W33),0)&gt;0,_xlfn.IFNA((VLOOKUP(Baseline!U33,Database_Asfalt_Aanlegset[#All],42,FALSE)*Baseline!I33),0)+_xlfn.IFNA(VLOOKUP(Baseline!V33,Database_Brandstoffen[#All],42,FALSE)*((Baseline!I33/Baseline!X33)*Baseline!W33),0),(_xlfn.IFNA(VLOOKUP(Referentie_Hernieuwbare_Energie_Totaal[[#This Row],[Product]]&amp;", "&amp;Referentie_MKI_Totaal[[#Headers],[A5]],Database_Productkaarten[#All],48,FALSE),0)*Baseline!I33)),0)</f>
        <v>8616.7453396956735</v>
      </c>
      <c r="J346" s="77">
        <f>(IF(Baseline!C33="Nieuwe Situatie",(_xlfn.IFNA(VLOOKUP(Referentie_Hernieuwbare_Energie_Totaal[[#This Row],[Product]]&amp;", "&amp;Referentie_Hernieuwbare_Energie_Totaal[[#Headers],[B1]],Database_Productkaarten[#All],48,FALSE),0)*Baseline!I33),0))</f>
        <v>0</v>
      </c>
      <c r="K346" s="77">
        <f>(IF(Baseline!C33="Nieuwe Situatie",(SUM(Referentie_Hernieuwbare_Energie_Totaal[[#This Row],[A1]:[B1]],Referentie_Hernieuwbare_Energie_Totaal[[#This Row],[C1]:[D2]])*Baseline!R33),0))</f>
        <v>0</v>
      </c>
      <c r="L346" s="77">
        <f>IF(Baseline!C33="Bestaande situatie",IF(_xlfn.IFNA((VLOOKUP(Baseline!Y33,Database_Asfalt_Verwijderset[#All],42,FALSE)*Baseline!I33),0)+_xlfn.IFNA(VLOOKUP(Baseline!Z33,Database_Brandstoffen[#All],42,FALSE)*((Baseline!I33/Baseline!AB33)*Baseline!AA33),0)&gt;0,_xlfn.IFNA((VLOOKUP(Baseline!Y33,Database_Asfalt_Verwijderset[#All],42,FALSE)*Baseline!I33),0)+_xlfn.IFNA(VLOOKUP(Baseline!Z33,Database_Brandstoffen[#All],42,FALSE)*((Baseline!I33/Baseline!AB33)*Baseline!AA33),0),(_xlfn.IFNA(VLOOKUP(Referentie_Hernieuwbare_Energie_Totaal[[#This Row],[Product]]&amp;", "&amp;Referentie_MKI_Totaal[[#Headers],[C1]],Database_Productkaarten[#All],48,FALSE),0)*Baseline!I33)),0)</f>
        <v>0</v>
      </c>
      <c r="M346" s="77">
        <f>IF(Baseline!AD33=0,(IF(Baseline!C33="Bestaande Situatie",(_xlfn.IFNA(VLOOKUP(Referentie_Hernieuwbare_Energie_Totaal[[#This Row],[Product]]&amp;", "&amp;Referentie_MKI_Totaal[[#Headers],[C2]],Database_Productkaarten[#All],48,FALSE),0)*Baseline!I33),0)),(IF(Baseline!C33="Bestaande Situatie",_xlfn.IFNA(VLOOKUP(Baseline!AD33,Database_Transport[#All],42,FALSE)*(Baseline!Q33*Baseline!AC33),0))))</f>
        <v>0</v>
      </c>
      <c r="N346" s="77">
        <f>(IF(Baseline!C33="Bestaande Situatie",(_xlfn.IFNA(VLOOKUP(Referentie_Hernieuwbare_Energie_Totaal[[#This Row],[Product]]&amp;", "&amp;Referentie_Hernieuwbare_Energie_Totaal[[#Headers],[C3]],Database_Productkaarten[#All],48,FALSE),0)*Baseline!I33),0))</f>
        <v>0</v>
      </c>
      <c r="O346" s="77">
        <f>(IF(Baseline!C33="Bestaande Situatie",(_xlfn.IFNA(VLOOKUP(Referentie_Hernieuwbare_Energie_Totaal[[#This Row],[Product]]&amp;", "&amp;Referentie_Hernieuwbare_Energie_Totaal[[#Headers],[C4]],Database_Productkaarten[#All],48,FALSE),0)*Baseline!I33),0))</f>
        <v>0</v>
      </c>
      <c r="P346" s="77">
        <f>(IF(Baseline!C33="Bestaande Situatie",(_xlfn.IFNA(VLOOKUP(Referentie_Hernieuwbare_Energie_Totaal[[#This Row],[Product]]&amp;", "&amp;Referentie_Hernieuwbare_Energie_Totaal[[#Headers],[D1]],Database_Productkaarten[#All],48,FALSE),0)*Baseline!I33),0))</f>
        <v>0</v>
      </c>
      <c r="Q346" s="78">
        <f>(IF(Baseline!C33="Bestaande Situatie",_xlfn.IFNA(VLOOKUP(Referentie_Hernieuwbare_Energie_Totaal[[#This Row],[Product]]&amp;", "&amp;Referentie_Hernieuwbare_Energie_Totaal[[#Headers],[D2]],Database_Productkaarten[#All],48,FALSE),0)*Baseline!I33,0))</f>
        <v>0</v>
      </c>
      <c r="R346" s="57">
        <f>(IF(Baseline!C33="Bestaande Situatie",_xlfn.IFNA(VLOOKUP(Referentie_Hernieuwbare_Energie_Totaal[[#This Row],[Product]]&amp;", "&amp;Referentie_Hernieuwbare_Energie_Totaal[[#Headers],[D]],Database_Productkaarten[#All],48,FALSE),0)*Baseline!I33,0))</f>
        <v>0</v>
      </c>
      <c r="S346" s="56">
        <f>SUM(Referentie_Hernieuwbare_Energie_Totaal[[#This Row],[A1-A3]:[C4]])+Referentie_Hernieuwbare_Energie_Totaal[[#This Row],[D]]</f>
        <v>94619.221522010674</v>
      </c>
    </row>
    <row r="347" spans="2:19">
      <c r="B347" s="209" t="str">
        <f>Baseline!B34</f>
        <v>440030 - Aanbrengen straatbakstenen DF, Rood (parkeervakken)</v>
      </c>
      <c r="C347" s="76" t="str">
        <f>Baseline!F34</f>
        <v>Baksteen</v>
      </c>
      <c r="D347" s="77">
        <f>(IF(Baseline!C34="Nieuwe Situatie",(_xlfn.IFNA(VLOOKUP(Referentie_Hernieuwbare_Energie_Totaal[[#This Row],[Product]]&amp;", "&amp;Referentie_Hernieuwbare_Energie_Totaal[[#Headers],[A1]],Database_Productkaarten[#All],48,FALSE),0)*Baseline!I34),0))</f>
        <v>0</v>
      </c>
      <c r="E347" s="77">
        <f>(IF(Baseline!C34="Nieuwe Situatie",(_xlfn.IFNA(VLOOKUP(Referentie_Hernieuwbare_Energie_Totaal[[#This Row],[Product]]&amp;", "&amp;Referentie_Hernieuwbare_Energie_Totaal[[#Headers],[A2]],Database_Productkaarten[#All],48,FALSE),0)*Baseline!I34),0))</f>
        <v>0</v>
      </c>
      <c r="F347" s="77">
        <f>(IF(Baseline!C34="Nieuwe Situatie",(_xlfn.IFNA(VLOOKUP(Referentie_Hernieuwbare_Energie_Totaal[[#This Row],[Product]]&amp;", "&amp;Referentie_Hernieuwbare_Energie_Totaal[[#Headers],[A3]],Database_Productkaarten[#All],48,FALSE),0)*Baseline!I34),0))</f>
        <v>0</v>
      </c>
      <c r="G347" s="77">
        <f>(IF(Baseline!C34="Nieuwe Situatie",(_xlfn.IFNA(VLOOKUP(Referentie_Hernieuwbare_Energie_Totaal[[#This Row],[Product]]&amp;", "&amp;Referentie_Hernieuwbare_Energie_Totaal[[#Headers],[A1-A3]],Database_Productkaarten[#All],48,FALSE),0)*Baseline!I34),0))</f>
        <v>5743.75</v>
      </c>
      <c r="H347" s="77">
        <f>IF(Baseline!T34=0,(IF(Baseline!C34="Nieuwe Situatie",(_xlfn.IFNA(VLOOKUP(Referentie_Hernieuwbare_Energie_Totaal[[#This Row],[Product]]&amp;", "&amp;Referentie_CO2_Totaal[[#Headers],[A4]],Database_Productkaarten[#All],48,FALSE),0)*Baseline!I34),0)),IF(Baseline!C34="Nieuwe Situatie",_xlfn.IFNA(VLOOKUP(Baseline!T34,Database_Transport[#All],42,FALSE)*(Baseline!Q34*Baseline!S34),Baseline_Backlog!H137),0))</f>
        <v>51.565106624999999</v>
      </c>
      <c r="I347" s="77">
        <f>IF(Baseline!C34="Nieuwe situatie",IF(_xlfn.IFNA((VLOOKUP(Baseline!U34,Database_Asfalt_Aanlegset[#All],42,FALSE)*Baseline!I34),0)+_xlfn.IFNA(VLOOKUP(Baseline!V34,Database_Brandstoffen[#All],42,FALSE)*((Baseline!I34/Baseline!X34)*Baseline!W34),0)&gt;0,_xlfn.IFNA((VLOOKUP(Baseline!U34,Database_Asfalt_Aanlegset[#All],42,FALSE)*Baseline!I34),0)+_xlfn.IFNA(VLOOKUP(Baseline!V34,Database_Brandstoffen[#All],42,FALSE)*((Baseline!I34/Baseline!X34)*Baseline!W34),0),(_xlfn.IFNA(VLOOKUP(Referentie_Hernieuwbare_Energie_Totaal[[#This Row],[Product]]&amp;", "&amp;Referentie_MKI_Totaal[[#Headers],[A5]],Database_Productkaarten[#All],48,FALSE),0)*Baseline!I34)),0)</f>
        <v>580.64321696062495</v>
      </c>
      <c r="J347" s="77">
        <f>(IF(Baseline!C34="Nieuwe Situatie",(_xlfn.IFNA(VLOOKUP(Referentie_Hernieuwbare_Energie_Totaal[[#This Row],[Product]]&amp;", "&amp;Referentie_Hernieuwbare_Energie_Totaal[[#Headers],[B1]],Database_Productkaarten[#All],48,FALSE),0)*Baseline!I34),0))</f>
        <v>0</v>
      </c>
      <c r="K347" s="77">
        <f>(IF(Baseline!C34="Nieuwe Situatie",(SUM(Referentie_Hernieuwbare_Energie_Totaal[[#This Row],[A1]:[B1]],Referentie_Hernieuwbare_Energie_Totaal[[#This Row],[C1]:[D2]])*Baseline!R34),0))</f>
        <v>0</v>
      </c>
      <c r="L347" s="77">
        <f>IF(Baseline!C34="Bestaande situatie",IF(_xlfn.IFNA((VLOOKUP(Baseline!Y34,Database_Asfalt_Verwijderset[#All],42,FALSE)*Baseline!I34),0)+_xlfn.IFNA(VLOOKUP(Baseline!Z34,Database_Brandstoffen[#All],42,FALSE)*((Baseline!I34/Baseline!AB34)*Baseline!AA34),0)&gt;0,_xlfn.IFNA((VLOOKUP(Baseline!Y34,Database_Asfalt_Verwijderset[#All],42,FALSE)*Baseline!I34),0)+_xlfn.IFNA(VLOOKUP(Baseline!Z34,Database_Brandstoffen[#All],42,FALSE)*((Baseline!I34/Baseline!AB34)*Baseline!AA34),0),(_xlfn.IFNA(VLOOKUP(Referentie_Hernieuwbare_Energie_Totaal[[#This Row],[Product]]&amp;", "&amp;Referentie_MKI_Totaal[[#Headers],[C1]],Database_Productkaarten[#All],48,FALSE),0)*Baseline!I34)),0)</f>
        <v>0</v>
      </c>
      <c r="M347" s="77">
        <f>IF(Baseline!AD34=0,(IF(Baseline!C34="Bestaande Situatie",(_xlfn.IFNA(VLOOKUP(Referentie_Hernieuwbare_Energie_Totaal[[#This Row],[Product]]&amp;", "&amp;Referentie_MKI_Totaal[[#Headers],[C2]],Database_Productkaarten[#All],48,FALSE),0)*Baseline!I34),0)),(IF(Baseline!C34="Bestaande Situatie",_xlfn.IFNA(VLOOKUP(Baseline!AD34,Database_Transport[#All],42,FALSE)*(Baseline!Q34*Baseline!AC34),0))))</f>
        <v>0</v>
      </c>
      <c r="N347" s="77">
        <f>(IF(Baseline!C34="Bestaande Situatie",(_xlfn.IFNA(VLOOKUP(Referentie_Hernieuwbare_Energie_Totaal[[#This Row],[Product]]&amp;", "&amp;Referentie_Hernieuwbare_Energie_Totaal[[#Headers],[C3]],Database_Productkaarten[#All],48,FALSE),0)*Baseline!I34),0))</f>
        <v>0</v>
      </c>
      <c r="O347" s="77">
        <f>(IF(Baseline!C34="Bestaande Situatie",(_xlfn.IFNA(VLOOKUP(Referentie_Hernieuwbare_Energie_Totaal[[#This Row],[Product]]&amp;", "&amp;Referentie_Hernieuwbare_Energie_Totaal[[#Headers],[C4]],Database_Productkaarten[#All],48,FALSE),0)*Baseline!I34),0))</f>
        <v>0</v>
      </c>
      <c r="P347" s="77">
        <f>(IF(Baseline!C34="Bestaande Situatie",(_xlfn.IFNA(VLOOKUP(Referentie_Hernieuwbare_Energie_Totaal[[#This Row],[Product]]&amp;", "&amp;Referentie_Hernieuwbare_Energie_Totaal[[#Headers],[D1]],Database_Productkaarten[#All],48,FALSE),0)*Baseline!I34),0))</f>
        <v>0</v>
      </c>
      <c r="Q347" s="78">
        <f>(IF(Baseline!C34="Bestaande Situatie",_xlfn.IFNA(VLOOKUP(Referentie_Hernieuwbare_Energie_Totaal[[#This Row],[Product]]&amp;", "&amp;Referentie_Hernieuwbare_Energie_Totaal[[#Headers],[D2]],Database_Productkaarten[#All],48,FALSE),0)*Baseline!I34,0))</f>
        <v>0</v>
      </c>
      <c r="R347" s="57">
        <f>(IF(Baseline!C34="Bestaande Situatie",_xlfn.IFNA(VLOOKUP(Referentie_Hernieuwbare_Energie_Totaal[[#This Row],[Product]]&amp;", "&amp;Referentie_Hernieuwbare_Energie_Totaal[[#Headers],[D]],Database_Productkaarten[#All],48,FALSE),0)*Baseline!I34,0))</f>
        <v>0</v>
      </c>
      <c r="S347" s="56">
        <f>SUM(Referentie_Hernieuwbare_Energie_Totaal[[#This Row],[A1-A3]:[C4]])+Referentie_Hernieuwbare_Energie_Totaal[[#This Row],[D]]</f>
        <v>6375.9583235856253</v>
      </c>
    </row>
    <row r="348" spans="2:19">
      <c r="B348" s="209" t="str">
        <f>Baseline!B35</f>
        <v>440040 - Aanbrengen straatbakstenen DF, Geel (parkeervakken)</v>
      </c>
      <c r="C348" s="76" t="str">
        <f>Baseline!F35</f>
        <v>Baksteen</v>
      </c>
      <c r="D348" s="77">
        <f>(IF(Baseline!C35="Nieuwe Situatie",(_xlfn.IFNA(VLOOKUP(Referentie_Hernieuwbare_Energie_Totaal[[#This Row],[Product]]&amp;", "&amp;Referentie_Hernieuwbare_Energie_Totaal[[#Headers],[A1]],Database_Productkaarten[#All],48,FALSE),0)*Baseline!I35),0))</f>
        <v>0</v>
      </c>
      <c r="E348" s="77">
        <f>(IF(Baseline!C35="Nieuwe Situatie",(_xlfn.IFNA(VLOOKUP(Referentie_Hernieuwbare_Energie_Totaal[[#This Row],[Product]]&amp;", "&amp;Referentie_Hernieuwbare_Energie_Totaal[[#Headers],[A2]],Database_Productkaarten[#All],48,FALSE),0)*Baseline!I35),0))</f>
        <v>0</v>
      </c>
      <c r="F348" s="77">
        <f>(IF(Baseline!C35="Nieuwe Situatie",(_xlfn.IFNA(VLOOKUP(Referentie_Hernieuwbare_Energie_Totaal[[#This Row],[Product]]&amp;", "&amp;Referentie_Hernieuwbare_Energie_Totaal[[#Headers],[A3]],Database_Productkaarten[#All],48,FALSE),0)*Baseline!I35),0))</f>
        <v>0</v>
      </c>
      <c r="G348" s="77">
        <f>(IF(Baseline!C35="Nieuwe Situatie",(_xlfn.IFNA(VLOOKUP(Referentie_Hernieuwbare_Energie_Totaal[[#This Row],[Product]]&amp;", "&amp;Referentie_Hernieuwbare_Energie_Totaal[[#Headers],[A1-A3]],Database_Productkaarten[#All],48,FALSE),0)*Baseline!I35),0))</f>
        <v>6524.9</v>
      </c>
      <c r="H348" s="77">
        <f>IF(Baseline!T35=0,(IF(Baseline!C35="Nieuwe Situatie",(_xlfn.IFNA(VLOOKUP(Referentie_Hernieuwbare_Energie_Totaal[[#This Row],[Product]]&amp;", "&amp;Referentie_CO2_Totaal[[#Headers],[A4]],Database_Productkaarten[#All],48,FALSE),0)*Baseline!I35),0)),IF(Baseline!C35="Nieuwe Situatie",_xlfn.IFNA(VLOOKUP(Baseline!T35,Database_Transport[#All],42,FALSE)*(Baseline!Q35*Baseline!S35),Baseline_Backlog!H138),0))</f>
        <v>58.577961126000005</v>
      </c>
      <c r="I348" s="77">
        <f>IF(Baseline!C35="Nieuwe situatie",IF(_xlfn.IFNA((VLOOKUP(Baseline!U35,Database_Asfalt_Aanlegset[#All],42,FALSE)*Baseline!I35),0)+_xlfn.IFNA(VLOOKUP(Baseline!V35,Database_Brandstoffen[#All],42,FALSE)*((Baseline!I35/Baseline!X35)*Baseline!W35),0)&gt;0,_xlfn.IFNA((VLOOKUP(Baseline!U35,Database_Asfalt_Aanlegset[#All],42,FALSE)*Baseline!I35),0)+_xlfn.IFNA(VLOOKUP(Baseline!V35,Database_Brandstoffen[#All],42,FALSE)*((Baseline!I35/Baseline!X35)*Baseline!W35),0),(_xlfn.IFNA(VLOOKUP(Referentie_Hernieuwbare_Energie_Totaal[[#This Row],[Product]]&amp;", "&amp;Referentie_MKI_Totaal[[#Headers],[A5]],Database_Productkaarten[#All],48,FALSE),0)*Baseline!I35)),0)</f>
        <v>659.61069446726992</v>
      </c>
      <c r="J348" s="77">
        <f>(IF(Baseline!C35="Nieuwe Situatie",(_xlfn.IFNA(VLOOKUP(Referentie_Hernieuwbare_Energie_Totaal[[#This Row],[Product]]&amp;", "&amp;Referentie_Hernieuwbare_Energie_Totaal[[#Headers],[B1]],Database_Productkaarten[#All],48,FALSE),0)*Baseline!I35),0))</f>
        <v>0</v>
      </c>
      <c r="K348" s="77">
        <f>(IF(Baseline!C35="Nieuwe Situatie",(SUM(Referentie_Hernieuwbare_Energie_Totaal[[#This Row],[A1]:[B1]],Referentie_Hernieuwbare_Energie_Totaal[[#This Row],[C1]:[D2]])*Baseline!R35),0))</f>
        <v>0</v>
      </c>
      <c r="L348" s="77">
        <f>IF(Baseline!C35="Bestaande situatie",IF(_xlfn.IFNA((VLOOKUP(Baseline!Y35,Database_Asfalt_Verwijderset[#All],42,FALSE)*Baseline!I35),0)+_xlfn.IFNA(VLOOKUP(Baseline!Z35,Database_Brandstoffen[#All],42,FALSE)*((Baseline!I35/Baseline!AB35)*Baseline!AA35),0)&gt;0,_xlfn.IFNA((VLOOKUP(Baseline!Y35,Database_Asfalt_Verwijderset[#All],42,FALSE)*Baseline!I35),0)+_xlfn.IFNA(VLOOKUP(Baseline!Z35,Database_Brandstoffen[#All],42,FALSE)*((Baseline!I35/Baseline!AB35)*Baseline!AA35),0),(_xlfn.IFNA(VLOOKUP(Referentie_Hernieuwbare_Energie_Totaal[[#This Row],[Product]]&amp;", "&amp;Referentie_MKI_Totaal[[#Headers],[C1]],Database_Productkaarten[#All],48,FALSE),0)*Baseline!I35)),0)</f>
        <v>0</v>
      </c>
      <c r="M348" s="77">
        <f>IF(Baseline!AD35=0,(IF(Baseline!C35="Bestaande Situatie",(_xlfn.IFNA(VLOOKUP(Referentie_Hernieuwbare_Energie_Totaal[[#This Row],[Product]]&amp;", "&amp;Referentie_MKI_Totaal[[#Headers],[C2]],Database_Productkaarten[#All],48,FALSE),0)*Baseline!I35),0)),(IF(Baseline!C35="Bestaande Situatie",_xlfn.IFNA(VLOOKUP(Baseline!AD35,Database_Transport[#All],42,FALSE)*(Baseline!Q35*Baseline!AC35),0))))</f>
        <v>0</v>
      </c>
      <c r="N348" s="77">
        <f>(IF(Baseline!C35="Bestaande Situatie",(_xlfn.IFNA(VLOOKUP(Referentie_Hernieuwbare_Energie_Totaal[[#This Row],[Product]]&amp;", "&amp;Referentie_Hernieuwbare_Energie_Totaal[[#Headers],[C3]],Database_Productkaarten[#All],48,FALSE),0)*Baseline!I35),0))</f>
        <v>0</v>
      </c>
      <c r="O348" s="77">
        <f>(IF(Baseline!C35="Bestaande Situatie",(_xlfn.IFNA(VLOOKUP(Referentie_Hernieuwbare_Energie_Totaal[[#This Row],[Product]]&amp;", "&amp;Referentie_Hernieuwbare_Energie_Totaal[[#Headers],[C4]],Database_Productkaarten[#All],48,FALSE),0)*Baseline!I35),0))</f>
        <v>0</v>
      </c>
      <c r="P348" s="77">
        <f>(IF(Baseline!C35="Bestaande Situatie",(_xlfn.IFNA(VLOOKUP(Referentie_Hernieuwbare_Energie_Totaal[[#This Row],[Product]]&amp;", "&amp;Referentie_Hernieuwbare_Energie_Totaal[[#Headers],[D1]],Database_Productkaarten[#All],48,FALSE),0)*Baseline!I35),0))</f>
        <v>0</v>
      </c>
      <c r="Q348" s="78">
        <f>(IF(Baseline!C35="Bestaande Situatie",_xlfn.IFNA(VLOOKUP(Referentie_Hernieuwbare_Energie_Totaal[[#This Row],[Product]]&amp;", "&amp;Referentie_Hernieuwbare_Energie_Totaal[[#Headers],[D2]],Database_Productkaarten[#All],48,FALSE),0)*Baseline!I35,0))</f>
        <v>0</v>
      </c>
      <c r="R348" s="57">
        <f>(IF(Baseline!C35="Bestaande Situatie",_xlfn.IFNA(VLOOKUP(Referentie_Hernieuwbare_Energie_Totaal[[#This Row],[Product]]&amp;", "&amp;Referentie_Hernieuwbare_Energie_Totaal[[#Headers],[D]],Database_Productkaarten[#All],48,FALSE),0)*Baseline!I35,0))</f>
        <v>0</v>
      </c>
      <c r="S348" s="56">
        <f>SUM(Referentie_Hernieuwbare_Energie_Totaal[[#This Row],[A1-A3]:[C4]])+Referentie_Hernieuwbare_Energie_Totaal[[#This Row],[D]]</f>
        <v>7243.0886555932702</v>
      </c>
    </row>
    <row r="349" spans="2:19">
      <c r="B349" s="209" t="str">
        <f>Baseline!B36</f>
        <v>440050 - Leveren en aanbrengen open (grasbeton) verharding (parkeerplaats)</v>
      </c>
      <c r="C349" s="76" t="str">
        <f>Baseline!F36</f>
        <v>Grasbetontegel CEM I 120 mm</v>
      </c>
      <c r="D349" s="77">
        <f>(IF(Baseline!C36="Nieuwe Situatie",(_xlfn.IFNA(VLOOKUP(Referentie_Hernieuwbare_Energie_Totaal[[#This Row],[Product]]&amp;", "&amp;Referentie_Hernieuwbare_Energie_Totaal[[#Headers],[A1]],Database_Productkaarten[#All],48,FALSE),0)*Baseline!I36),0))</f>
        <v>5740</v>
      </c>
      <c r="E349" s="77">
        <f>(IF(Baseline!C36="Nieuwe Situatie",(_xlfn.IFNA(VLOOKUP(Referentie_Hernieuwbare_Energie_Totaal[[#This Row],[Product]]&amp;", "&amp;Referentie_Hernieuwbare_Energie_Totaal[[#Headers],[A2]],Database_Productkaarten[#All],48,FALSE),0)*Baseline!I36),0))</f>
        <v>0</v>
      </c>
      <c r="F349" s="77">
        <f>(IF(Baseline!C36="Nieuwe Situatie",(_xlfn.IFNA(VLOOKUP(Referentie_Hernieuwbare_Energie_Totaal[[#This Row],[Product]]&amp;", "&amp;Referentie_Hernieuwbare_Energie_Totaal[[#Headers],[A3]],Database_Productkaarten[#All],48,FALSE),0)*Baseline!I36),0))</f>
        <v>0</v>
      </c>
      <c r="G349" s="77">
        <f>(IF(Baseline!C36="Nieuwe Situatie",(_xlfn.IFNA(VLOOKUP(Referentie_Hernieuwbare_Energie_Totaal[[#This Row],[Product]]&amp;", "&amp;Referentie_Hernieuwbare_Energie_Totaal[[#Headers],[A1-A3]],Database_Productkaarten[#All],48,FALSE),0)*Baseline!I36),0))</f>
        <v>5740</v>
      </c>
      <c r="H349" s="77">
        <f>IF(Baseline!T36=0,(IF(Baseline!C36="Nieuwe Situatie",(_xlfn.IFNA(VLOOKUP(Referentie_Hernieuwbare_Energie_Totaal[[#This Row],[Product]]&amp;", "&amp;Referentie_CO2_Totaal[[#Headers],[A4]],Database_Productkaarten[#All],48,FALSE),0)*Baseline!I36),0)),IF(Baseline!C36="Nieuwe Situatie",_xlfn.IFNA(VLOOKUP(Baseline!T36,Database_Transport[#All],42,FALSE)*(Baseline!Q36*Baseline!S36),Baseline_Backlog!H139),0))</f>
        <v>138.35842723192499</v>
      </c>
      <c r="I349" s="77">
        <f>IF(Baseline!C36="Nieuwe situatie",IF(_xlfn.IFNA((VLOOKUP(Baseline!U36,Database_Asfalt_Aanlegset[#All],42,FALSE)*Baseline!I36),0)+_xlfn.IFNA(VLOOKUP(Baseline!V36,Database_Brandstoffen[#All],42,FALSE)*((Baseline!I36/Baseline!X36)*Baseline!W36),0)&gt;0,_xlfn.IFNA((VLOOKUP(Baseline!U36,Database_Asfalt_Aanlegset[#All],42,FALSE)*Baseline!I36),0)+_xlfn.IFNA(VLOOKUP(Baseline!V36,Database_Brandstoffen[#All],42,FALSE)*((Baseline!I36/Baseline!X36)*Baseline!W36),0),(_xlfn.IFNA(VLOOKUP(Referentie_Hernieuwbare_Energie_Totaal[[#This Row],[Product]]&amp;", "&amp;Referentie_MKI_Totaal[[#Headers],[A5]],Database_Productkaarten[#All],48,FALSE),0)*Baseline!I36)),0)</f>
        <v>929.02914713699988</v>
      </c>
      <c r="J349" s="77">
        <f>(IF(Baseline!C36="Nieuwe Situatie",(_xlfn.IFNA(VLOOKUP(Referentie_Hernieuwbare_Energie_Totaal[[#This Row],[Product]]&amp;", "&amp;Referentie_Hernieuwbare_Energie_Totaal[[#Headers],[B1]],Database_Productkaarten[#All],48,FALSE),0)*Baseline!I36),0))</f>
        <v>0</v>
      </c>
      <c r="K349" s="77">
        <f>(IF(Baseline!C36="Nieuwe Situatie",(SUM(Referentie_Hernieuwbare_Energie_Totaal[[#This Row],[A1]:[B1]],Referentie_Hernieuwbare_Energie_Totaal[[#This Row],[C1]:[D2]])*Baseline!R36),0))</f>
        <v>0</v>
      </c>
      <c r="L349" s="77">
        <f>IF(Baseline!C36="Bestaande situatie",IF(_xlfn.IFNA((VLOOKUP(Baseline!Y36,Database_Asfalt_Verwijderset[#All],42,FALSE)*Baseline!I36),0)+_xlfn.IFNA(VLOOKUP(Baseline!Z36,Database_Brandstoffen[#All],42,FALSE)*((Baseline!I36/Baseline!AB36)*Baseline!AA36),0)&gt;0,_xlfn.IFNA((VLOOKUP(Baseline!Y36,Database_Asfalt_Verwijderset[#All],42,FALSE)*Baseline!I36),0)+_xlfn.IFNA(VLOOKUP(Baseline!Z36,Database_Brandstoffen[#All],42,FALSE)*((Baseline!I36/Baseline!AB36)*Baseline!AA36),0),(_xlfn.IFNA(VLOOKUP(Referentie_Hernieuwbare_Energie_Totaal[[#This Row],[Product]]&amp;", "&amp;Referentie_MKI_Totaal[[#Headers],[C1]],Database_Productkaarten[#All],48,FALSE),0)*Baseline!I36)),0)</f>
        <v>0</v>
      </c>
      <c r="M349" s="77">
        <f>IF(Baseline!AD36=0,(IF(Baseline!C36="Bestaande Situatie",(_xlfn.IFNA(VLOOKUP(Referentie_Hernieuwbare_Energie_Totaal[[#This Row],[Product]]&amp;", "&amp;Referentie_MKI_Totaal[[#Headers],[C2]],Database_Productkaarten[#All],48,FALSE),0)*Baseline!I36),0)),(IF(Baseline!C36="Bestaande Situatie",_xlfn.IFNA(VLOOKUP(Baseline!AD36,Database_Transport[#All],42,FALSE)*(Baseline!Q36*Baseline!AC36),0))))</f>
        <v>0</v>
      </c>
      <c r="N349" s="77">
        <f>(IF(Baseline!C36="Bestaande Situatie",(_xlfn.IFNA(VLOOKUP(Referentie_Hernieuwbare_Energie_Totaal[[#This Row],[Product]]&amp;", "&amp;Referentie_Hernieuwbare_Energie_Totaal[[#Headers],[C3]],Database_Productkaarten[#All],48,FALSE),0)*Baseline!I36),0))</f>
        <v>0</v>
      </c>
      <c r="O349" s="77">
        <f>(IF(Baseline!C36="Bestaande Situatie",(_xlfn.IFNA(VLOOKUP(Referentie_Hernieuwbare_Energie_Totaal[[#This Row],[Product]]&amp;", "&amp;Referentie_Hernieuwbare_Energie_Totaal[[#Headers],[C4]],Database_Productkaarten[#All],48,FALSE),0)*Baseline!I36),0))</f>
        <v>0</v>
      </c>
      <c r="P349" s="77">
        <f>(IF(Baseline!C36="Bestaande Situatie",(_xlfn.IFNA(VLOOKUP(Referentie_Hernieuwbare_Energie_Totaal[[#This Row],[Product]]&amp;", "&amp;Referentie_Hernieuwbare_Energie_Totaal[[#Headers],[D1]],Database_Productkaarten[#All],48,FALSE),0)*Baseline!I36),0))</f>
        <v>0</v>
      </c>
      <c r="Q349" s="78">
        <f>(IF(Baseline!C36="Bestaande Situatie",_xlfn.IFNA(VLOOKUP(Referentie_Hernieuwbare_Energie_Totaal[[#This Row],[Product]]&amp;", "&amp;Referentie_Hernieuwbare_Energie_Totaal[[#Headers],[D2]],Database_Productkaarten[#All],48,FALSE),0)*Baseline!I36,0))</f>
        <v>0</v>
      </c>
      <c r="R349" s="57">
        <f>(IF(Baseline!C36="Bestaande Situatie",_xlfn.IFNA(VLOOKUP(Referentie_Hernieuwbare_Energie_Totaal[[#This Row],[Product]]&amp;", "&amp;Referentie_Hernieuwbare_Energie_Totaal[[#Headers],[D]],Database_Productkaarten[#All],48,FALSE),0)*Baseline!I36,0))</f>
        <v>0</v>
      </c>
      <c r="S349" s="56">
        <f>SUM(Referentie_Hernieuwbare_Energie_Totaal[[#This Row],[A1-A3]:[C4]])+Referentie_Hernieuwbare_Energie_Totaal[[#This Row],[D]]</f>
        <v>6807.387574368925</v>
      </c>
    </row>
    <row r="350" spans="2:19">
      <c r="B350" s="209" t="str">
        <f>Baseline!B37</f>
        <v>440060 - Aanbrengen straatbakstenen DF, Rood (trottoir)</v>
      </c>
      <c r="C350" s="76" t="str">
        <f>Baseline!F37</f>
        <v>Baksteen</v>
      </c>
      <c r="D350" s="77">
        <f>(IF(Baseline!C37="Nieuwe Situatie",(_xlfn.IFNA(VLOOKUP(Referentie_Hernieuwbare_Energie_Totaal[[#This Row],[Product]]&amp;", "&amp;Referentie_Hernieuwbare_Energie_Totaal[[#Headers],[A1]],Database_Productkaarten[#All],48,FALSE),0)*Baseline!I37),0))</f>
        <v>0</v>
      </c>
      <c r="E350" s="77">
        <f>(IF(Baseline!C37="Nieuwe Situatie",(_xlfn.IFNA(VLOOKUP(Referentie_Hernieuwbare_Energie_Totaal[[#This Row],[Product]]&amp;", "&amp;Referentie_Hernieuwbare_Energie_Totaal[[#Headers],[A2]],Database_Productkaarten[#All],48,FALSE),0)*Baseline!I37),0))</f>
        <v>0</v>
      </c>
      <c r="F350" s="77">
        <f>(IF(Baseline!C37="Nieuwe Situatie",(_xlfn.IFNA(VLOOKUP(Referentie_Hernieuwbare_Energie_Totaal[[#This Row],[Product]]&amp;", "&amp;Referentie_Hernieuwbare_Energie_Totaal[[#Headers],[A3]],Database_Productkaarten[#All],48,FALSE),0)*Baseline!I37),0))</f>
        <v>0</v>
      </c>
      <c r="G350" s="77">
        <f>(IF(Baseline!C37="Nieuwe Situatie",(_xlfn.IFNA(VLOOKUP(Referentie_Hernieuwbare_Energie_Totaal[[#This Row],[Product]]&amp;", "&amp;Referentie_Hernieuwbare_Energie_Totaal[[#Headers],[A1-A3]],Database_Productkaarten[#All],48,FALSE),0)*Baseline!I37),0))</f>
        <v>40344.1</v>
      </c>
      <c r="H350" s="77">
        <f>IF(Baseline!T37=0,(IF(Baseline!C37="Nieuwe Situatie",(_xlfn.IFNA(VLOOKUP(Referentie_Hernieuwbare_Energie_Totaal[[#This Row],[Product]]&amp;", "&amp;Referentie_CO2_Totaal[[#Headers],[A4]],Database_Productkaarten[#All],48,FALSE),0)*Baseline!I37),0)),IF(Baseline!C37="Nieuwe Situatie",_xlfn.IFNA(VLOOKUP(Baseline!T37,Database_Transport[#All],42,FALSE)*(Baseline!Q37*Baseline!S37),Baseline_Backlog!H140),0))</f>
        <v>362.19330893400002</v>
      </c>
      <c r="I350" s="77">
        <f>IF(Baseline!C37="Nieuwe situatie",IF(_xlfn.IFNA((VLOOKUP(Baseline!U37,Database_Asfalt_Aanlegset[#All],42,FALSE)*Baseline!I37),0)+_xlfn.IFNA(VLOOKUP(Baseline!V37,Database_Brandstoffen[#All],42,FALSE)*((Baseline!I37/Baseline!X37)*Baseline!W37),0)&gt;0,_xlfn.IFNA((VLOOKUP(Baseline!U37,Database_Asfalt_Aanlegset[#All],42,FALSE)*Baseline!I37),0)+_xlfn.IFNA(VLOOKUP(Baseline!V37,Database_Brandstoffen[#All],42,FALSE)*((Baseline!I37/Baseline!X37)*Baseline!W37),0),(_xlfn.IFNA(VLOOKUP(Referentie_Hernieuwbare_Energie_Totaal[[#This Row],[Product]]&amp;", "&amp;Referentie_MKI_Totaal[[#Headers],[A5]],Database_Productkaarten[#All],48,FALSE),0)*Baseline!I37)),0)</f>
        <v>4078.4379559314293</v>
      </c>
      <c r="J350" s="77">
        <f>(IF(Baseline!C37="Nieuwe Situatie",(_xlfn.IFNA(VLOOKUP(Referentie_Hernieuwbare_Energie_Totaal[[#This Row],[Product]]&amp;", "&amp;Referentie_Hernieuwbare_Energie_Totaal[[#Headers],[B1]],Database_Productkaarten[#All],48,FALSE),0)*Baseline!I37),0))</f>
        <v>0</v>
      </c>
      <c r="K350" s="77">
        <f>(IF(Baseline!C37="Nieuwe Situatie",(SUM(Referentie_Hernieuwbare_Energie_Totaal[[#This Row],[A1]:[B1]],Referentie_Hernieuwbare_Energie_Totaal[[#This Row],[C1]:[D2]])*Baseline!R37),0))</f>
        <v>0</v>
      </c>
      <c r="L350" s="77">
        <f>IF(Baseline!C37="Bestaande situatie",IF(_xlfn.IFNA((VLOOKUP(Baseline!Y37,Database_Asfalt_Verwijderset[#All],42,FALSE)*Baseline!I37),0)+_xlfn.IFNA(VLOOKUP(Baseline!Z37,Database_Brandstoffen[#All],42,FALSE)*((Baseline!I37/Baseline!AB37)*Baseline!AA37),0)&gt;0,_xlfn.IFNA((VLOOKUP(Baseline!Y37,Database_Asfalt_Verwijderset[#All],42,FALSE)*Baseline!I37),0)+_xlfn.IFNA(VLOOKUP(Baseline!Z37,Database_Brandstoffen[#All],42,FALSE)*((Baseline!I37/Baseline!AB37)*Baseline!AA37),0),(_xlfn.IFNA(VLOOKUP(Referentie_Hernieuwbare_Energie_Totaal[[#This Row],[Product]]&amp;", "&amp;Referentie_MKI_Totaal[[#Headers],[C1]],Database_Productkaarten[#All],48,FALSE),0)*Baseline!I37)),0)</f>
        <v>0</v>
      </c>
      <c r="M350" s="77">
        <f>IF(Baseline!AD37=0,(IF(Baseline!C37="Bestaande Situatie",(_xlfn.IFNA(VLOOKUP(Referentie_Hernieuwbare_Energie_Totaal[[#This Row],[Product]]&amp;", "&amp;Referentie_MKI_Totaal[[#Headers],[C2]],Database_Productkaarten[#All],48,FALSE),0)*Baseline!I37),0)),(IF(Baseline!C37="Bestaande Situatie",_xlfn.IFNA(VLOOKUP(Baseline!AD37,Database_Transport[#All],42,FALSE)*(Baseline!Q37*Baseline!AC37),0))))</f>
        <v>0</v>
      </c>
      <c r="N350" s="77">
        <f>(IF(Baseline!C37="Bestaande Situatie",(_xlfn.IFNA(VLOOKUP(Referentie_Hernieuwbare_Energie_Totaal[[#This Row],[Product]]&amp;", "&amp;Referentie_Hernieuwbare_Energie_Totaal[[#Headers],[C3]],Database_Productkaarten[#All],48,FALSE),0)*Baseline!I37),0))</f>
        <v>0</v>
      </c>
      <c r="O350" s="77">
        <f>(IF(Baseline!C37="Bestaande Situatie",(_xlfn.IFNA(VLOOKUP(Referentie_Hernieuwbare_Energie_Totaal[[#This Row],[Product]]&amp;", "&amp;Referentie_Hernieuwbare_Energie_Totaal[[#Headers],[C4]],Database_Productkaarten[#All],48,FALSE),0)*Baseline!I37),0))</f>
        <v>0</v>
      </c>
      <c r="P350" s="77">
        <f>(IF(Baseline!C37="Bestaande Situatie",(_xlfn.IFNA(VLOOKUP(Referentie_Hernieuwbare_Energie_Totaal[[#This Row],[Product]]&amp;", "&amp;Referentie_Hernieuwbare_Energie_Totaal[[#Headers],[D1]],Database_Productkaarten[#All],48,FALSE),0)*Baseline!I37),0))</f>
        <v>0</v>
      </c>
      <c r="Q350" s="78">
        <f>(IF(Baseline!C37="Bestaande Situatie",_xlfn.IFNA(VLOOKUP(Referentie_Hernieuwbare_Energie_Totaal[[#This Row],[Product]]&amp;", "&amp;Referentie_Hernieuwbare_Energie_Totaal[[#Headers],[D2]],Database_Productkaarten[#All],48,FALSE),0)*Baseline!I37,0))</f>
        <v>0</v>
      </c>
      <c r="R350" s="57">
        <f>(IF(Baseline!C37="Bestaande Situatie",_xlfn.IFNA(VLOOKUP(Referentie_Hernieuwbare_Energie_Totaal[[#This Row],[Product]]&amp;", "&amp;Referentie_Hernieuwbare_Energie_Totaal[[#Headers],[D]],Database_Productkaarten[#All],48,FALSE),0)*Baseline!I37,0))</f>
        <v>0</v>
      </c>
      <c r="S350" s="56">
        <f>SUM(Referentie_Hernieuwbare_Energie_Totaal[[#This Row],[A1-A3]:[C4]])+Referentie_Hernieuwbare_Energie_Totaal[[#This Row],[D]]</f>
        <v>44784.731264865433</v>
      </c>
    </row>
    <row r="351" spans="2:19">
      <c r="B351" s="209" t="str">
        <f>Baseline!B38</f>
        <v>440070 - Aanbrengen straatbakstenen DF, Geel (trottoir)</v>
      </c>
      <c r="C351" s="76" t="str">
        <f>Baseline!F38</f>
        <v>Baksteen</v>
      </c>
      <c r="D351" s="77">
        <f>(IF(Baseline!C38="Nieuwe Situatie",(_xlfn.IFNA(VLOOKUP(Referentie_Hernieuwbare_Energie_Totaal[[#This Row],[Product]]&amp;", "&amp;Referentie_Hernieuwbare_Energie_Totaal[[#Headers],[A1]],Database_Productkaarten[#All],48,FALSE),0)*Baseline!I38),0))</f>
        <v>0</v>
      </c>
      <c r="E351" s="77">
        <f>(IF(Baseline!C38="Nieuwe Situatie",(_xlfn.IFNA(VLOOKUP(Referentie_Hernieuwbare_Energie_Totaal[[#This Row],[Product]]&amp;", "&amp;Referentie_Hernieuwbare_Energie_Totaal[[#Headers],[A2]],Database_Productkaarten[#All],48,FALSE),0)*Baseline!I38),0))</f>
        <v>0</v>
      </c>
      <c r="F351" s="77">
        <f>(IF(Baseline!C38="Nieuwe Situatie",(_xlfn.IFNA(VLOOKUP(Referentie_Hernieuwbare_Energie_Totaal[[#This Row],[Product]]&amp;", "&amp;Referentie_Hernieuwbare_Energie_Totaal[[#Headers],[A3]],Database_Productkaarten[#All],48,FALSE),0)*Baseline!I38),0))</f>
        <v>0</v>
      </c>
      <c r="G351" s="77">
        <f>(IF(Baseline!C38="Nieuwe Situatie",(_xlfn.IFNA(VLOOKUP(Referentie_Hernieuwbare_Energie_Totaal[[#This Row],[Product]]&amp;", "&amp;Referentie_Hernieuwbare_Energie_Totaal[[#Headers],[A1-A3]],Database_Productkaarten[#All],48,FALSE),0)*Baseline!I38),0))</f>
        <v>10568.5</v>
      </c>
      <c r="H351" s="77">
        <f>IF(Baseline!T38=0,(IF(Baseline!C38="Nieuwe Situatie",(_xlfn.IFNA(VLOOKUP(Referentie_Hernieuwbare_Energie_Totaal[[#This Row],[Product]]&amp;", "&amp;Referentie_CO2_Totaal[[#Headers],[A4]],Database_Productkaarten[#All],48,FALSE),0)*Baseline!I38),0)),IF(Baseline!C38="Nieuwe Situatie",_xlfn.IFNA(VLOOKUP(Baseline!T38,Database_Transport[#All],42,FALSE)*(Baseline!Q38*Baseline!S38),Baseline_Backlog!H141),0))</f>
        <v>94.879796190000008</v>
      </c>
      <c r="I351" s="77">
        <f>IF(Baseline!C38="Nieuwe situatie",IF(_xlfn.IFNA((VLOOKUP(Baseline!U38,Database_Asfalt_Aanlegset[#All],42,FALSE)*Baseline!I38),0)+_xlfn.IFNA(VLOOKUP(Baseline!V38,Database_Brandstoffen[#All],42,FALSE)*((Baseline!I38/Baseline!X38)*Baseline!W38),0)&gt;0,_xlfn.IFNA((VLOOKUP(Baseline!U38,Database_Asfalt_Aanlegset[#All],42,FALSE)*Baseline!I38),0)+_xlfn.IFNA(VLOOKUP(Baseline!V38,Database_Brandstoffen[#All],42,FALSE)*((Baseline!I38/Baseline!X38)*Baseline!W38),0),(_xlfn.IFNA(VLOOKUP(Referentie_Hernieuwbare_Energie_Totaal[[#This Row],[Product]]&amp;", "&amp;Referentie_MKI_Totaal[[#Headers],[A5]],Database_Productkaarten[#All],48,FALSE),0)*Baseline!I38)),0)</f>
        <v>1068.3835192075499</v>
      </c>
      <c r="J351" s="77">
        <f>(IF(Baseline!C38="Nieuwe Situatie",(_xlfn.IFNA(VLOOKUP(Referentie_Hernieuwbare_Energie_Totaal[[#This Row],[Product]]&amp;", "&amp;Referentie_Hernieuwbare_Energie_Totaal[[#Headers],[B1]],Database_Productkaarten[#All],48,FALSE),0)*Baseline!I38),0))</f>
        <v>0</v>
      </c>
      <c r="K351" s="77">
        <f>(IF(Baseline!C38="Nieuwe Situatie",(SUM(Referentie_Hernieuwbare_Energie_Totaal[[#This Row],[A1]:[B1]],Referentie_Hernieuwbare_Energie_Totaal[[#This Row],[C1]:[D2]])*Baseline!R38),0))</f>
        <v>0</v>
      </c>
      <c r="L351" s="77">
        <f>IF(Baseline!C38="Bestaande situatie",IF(_xlfn.IFNA((VLOOKUP(Baseline!Y38,Database_Asfalt_Verwijderset[#All],42,FALSE)*Baseline!I38),0)+_xlfn.IFNA(VLOOKUP(Baseline!Z38,Database_Brandstoffen[#All],42,FALSE)*((Baseline!I38/Baseline!AB38)*Baseline!AA38),0)&gt;0,_xlfn.IFNA((VLOOKUP(Baseline!Y38,Database_Asfalt_Verwijderset[#All],42,FALSE)*Baseline!I38),0)+_xlfn.IFNA(VLOOKUP(Baseline!Z38,Database_Brandstoffen[#All],42,FALSE)*((Baseline!I38/Baseline!AB38)*Baseline!AA38),0),(_xlfn.IFNA(VLOOKUP(Referentie_Hernieuwbare_Energie_Totaal[[#This Row],[Product]]&amp;", "&amp;Referentie_MKI_Totaal[[#Headers],[C1]],Database_Productkaarten[#All],48,FALSE),0)*Baseline!I38)),0)</f>
        <v>0</v>
      </c>
      <c r="M351" s="77">
        <f>IF(Baseline!AD38=0,(IF(Baseline!C38="Bestaande Situatie",(_xlfn.IFNA(VLOOKUP(Referentie_Hernieuwbare_Energie_Totaal[[#This Row],[Product]]&amp;", "&amp;Referentie_MKI_Totaal[[#Headers],[C2]],Database_Productkaarten[#All],48,FALSE),0)*Baseline!I38),0)),(IF(Baseline!C38="Bestaande Situatie",_xlfn.IFNA(VLOOKUP(Baseline!AD38,Database_Transport[#All],42,FALSE)*(Baseline!Q38*Baseline!AC38),0))))</f>
        <v>0</v>
      </c>
      <c r="N351" s="77">
        <f>(IF(Baseline!C38="Bestaande Situatie",(_xlfn.IFNA(VLOOKUP(Referentie_Hernieuwbare_Energie_Totaal[[#This Row],[Product]]&amp;", "&amp;Referentie_Hernieuwbare_Energie_Totaal[[#Headers],[C3]],Database_Productkaarten[#All],48,FALSE),0)*Baseline!I38),0))</f>
        <v>0</v>
      </c>
      <c r="O351" s="77">
        <f>(IF(Baseline!C38="Bestaande Situatie",(_xlfn.IFNA(VLOOKUP(Referentie_Hernieuwbare_Energie_Totaal[[#This Row],[Product]]&amp;", "&amp;Referentie_Hernieuwbare_Energie_Totaal[[#Headers],[C4]],Database_Productkaarten[#All],48,FALSE),0)*Baseline!I38),0))</f>
        <v>0</v>
      </c>
      <c r="P351" s="77">
        <f>(IF(Baseline!C38="Bestaande Situatie",(_xlfn.IFNA(VLOOKUP(Referentie_Hernieuwbare_Energie_Totaal[[#This Row],[Product]]&amp;", "&amp;Referentie_Hernieuwbare_Energie_Totaal[[#Headers],[D1]],Database_Productkaarten[#All],48,FALSE),0)*Baseline!I38),0))</f>
        <v>0</v>
      </c>
      <c r="Q351" s="78">
        <f>(IF(Baseline!C38="Bestaande Situatie",_xlfn.IFNA(VLOOKUP(Referentie_Hernieuwbare_Energie_Totaal[[#This Row],[Product]]&amp;", "&amp;Referentie_Hernieuwbare_Energie_Totaal[[#Headers],[D2]],Database_Productkaarten[#All],48,FALSE),0)*Baseline!I38,0))</f>
        <v>0</v>
      </c>
      <c r="R351" s="57">
        <f>(IF(Baseline!C38="Bestaande Situatie",_xlfn.IFNA(VLOOKUP(Referentie_Hernieuwbare_Energie_Totaal[[#This Row],[Product]]&amp;", "&amp;Referentie_Hernieuwbare_Energie_Totaal[[#Headers],[D]],Database_Productkaarten[#All],48,FALSE),0)*Baseline!I38,0))</f>
        <v>0</v>
      </c>
      <c r="S351" s="56">
        <f>SUM(Referentie_Hernieuwbare_Energie_Totaal[[#This Row],[A1-A3]:[C4]])+Referentie_Hernieuwbare_Energie_Totaal[[#This Row],[D]]</f>
        <v>11731.763315397549</v>
      </c>
    </row>
    <row r="352" spans="2:19">
      <c r="B352" s="209" t="str">
        <f>Baseline!B39</f>
        <v>440090 - Aanbrengen straatbakstenen DF, Rood (drempelopgang)</v>
      </c>
      <c r="C352" s="76" t="str">
        <f>Baseline!F39</f>
        <v>Baksteen</v>
      </c>
      <c r="D352" s="77">
        <f>(IF(Baseline!C39="Nieuwe Situatie",(_xlfn.IFNA(VLOOKUP(Referentie_Hernieuwbare_Energie_Totaal[[#This Row],[Product]]&amp;", "&amp;Referentie_Hernieuwbare_Energie_Totaal[[#Headers],[A1]],Database_Productkaarten[#All],48,FALSE),0)*Baseline!I39),0))</f>
        <v>0</v>
      </c>
      <c r="E352" s="77">
        <f>(IF(Baseline!C39="Nieuwe Situatie",(_xlfn.IFNA(VLOOKUP(Referentie_Hernieuwbare_Energie_Totaal[[#This Row],[Product]]&amp;", "&amp;Referentie_Hernieuwbare_Energie_Totaal[[#Headers],[A2]],Database_Productkaarten[#All],48,FALSE),0)*Baseline!I39),0))</f>
        <v>0</v>
      </c>
      <c r="F352" s="77">
        <f>(IF(Baseline!C39="Nieuwe Situatie",(_xlfn.IFNA(VLOOKUP(Referentie_Hernieuwbare_Energie_Totaal[[#This Row],[Product]]&amp;", "&amp;Referentie_Hernieuwbare_Energie_Totaal[[#Headers],[A3]],Database_Productkaarten[#All],48,FALSE),0)*Baseline!I39),0))</f>
        <v>0</v>
      </c>
      <c r="G352" s="77">
        <f>(IF(Baseline!C39="Nieuwe Situatie",(_xlfn.IFNA(VLOOKUP(Referentie_Hernieuwbare_Energie_Totaal[[#This Row],[Product]]&amp;", "&amp;Referentie_Hernieuwbare_Energie_Totaal[[#Headers],[A1-A3]],Database_Productkaarten[#All],48,FALSE),0)*Baseline!I39),0))</f>
        <v>2067.75</v>
      </c>
      <c r="H352" s="77">
        <f>IF(Baseline!T39=0,(IF(Baseline!C39="Nieuwe Situatie",(_xlfn.IFNA(VLOOKUP(Referentie_Hernieuwbare_Energie_Totaal[[#This Row],[Product]]&amp;", "&amp;Referentie_CO2_Totaal[[#Headers],[A4]],Database_Productkaarten[#All],48,FALSE),0)*Baseline!I39),0)),IF(Baseline!C39="Nieuwe Situatie",_xlfn.IFNA(VLOOKUP(Baseline!T39,Database_Transport[#All],42,FALSE)*(Baseline!Q39*Baseline!S39),Baseline_Backlog!H142),0))</f>
        <v>18.563438385000001</v>
      </c>
      <c r="I352" s="77">
        <f>IF(Baseline!C39="Nieuwe situatie",IF(_xlfn.IFNA((VLOOKUP(Baseline!U39,Database_Asfalt_Aanlegset[#All],42,FALSE)*Baseline!I39),0)+_xlfn.IFNA(VLOOKUP(Baseline!V39,Database_Brandstoffen[#All],42,FALSE)*((Baseline!I39/Baseline!X39)*Baseline!W39),0)&gt;0,_xlfn.IFNA((VLOOKUP(Baseline!U39,Database_Asfalt_Aanlegset[#All],42,FALSE)*Baseline!I39),0)+_xlfn.IFNA(VLOOKUP(Baseline!V39,Database_Brandstoffen[#All],42,FALSE)*((Baseline!I39/Baseline!X39)*Baseline!W39),0),(_xlfn.IFNA(VLOOKUP(Referentie_Hernieuwbare_Energie_Totaal[[#This Row],[Product]]&amp;", "&amp;Referentie_MKI_Totaal[[#Headers],[A5]],Database_Productkaarten[#All],48,FALSE),0)*Baseline!I39)),0)</f>
        <v>209.03155810582498</v>
      </c>
      <c r="J352" s="77">
        <f>(IF(Baseline!C39="Nieuwe Situatie",(_xlfn.IFNA(VLOOKUP(Referentie_Hernieuwbare_Energie_Totaal[[#This Row],[Product]]&amp;", "&amp;Referentie_Hernieuwbare_Energie_Totaal[[#Headers],[B1]],Database_Productkaarten[#All],48,FALSE),0)*Baseline!I39),0))</f>
        <v>0</v>
      </c>
      <c r="K352" s="77">
        <f>(IF(Baseline!C39="Nieuwe Situatie",(SUM(Referentie_Hernieuwbare_Energie_Totaal[[#This Row],[A1]:[B1]],Referentie_Hernieuwbare_Energie_Totaal[[#This Row],[C1]:[D2]])*Baseline!R39),0))</f>
        <v>0</v>
      </c>
      <c r="L352" s="77">
        <f>IF(Baseline!C39="Bestaande situatie",IF(_xlfn.IFNA((VLOOKUP(Baseline!Y39,Database_Asfalt_Verwijderset[#All],42,FALSE)*Baseline!I39),0)+_xlfn.IFNA(VLOOKUP(Baseline!Z39,Database_Brandstoffen[#All],42,FALSE)*((Baseline!I39/Baseline!AB39)*Baseline!AA39),0)&gt;0,_xlfn.IFNA((VLOOKUP(Baseline!Y39,Database_Asfalt_Verwijderset[#All],42,FALSE)*Baseline!I39),0)+_xlfn.IFNA(VLOOKUP(Baseline!Z39,Database_Brandstoffen[#All],42,FALSE)*((Baseline!I39/Baseline!AB39)*Baseline!AA39),0),(_xlfn.IFNA(VLOOKUP(Referentie_Hernieuwbare_Energie_Totaal[[#This Row],[Product]]&amp;", "&amp;Referentie_MKI_Totaal[[#Headers],[C1]],Database_Productkaarten[#All],48,FALSE),0)*Baseline!I39)),0)</f>
        <v>0</v>
      </c>
      <c r="M352" s="77">
        <f>IF(Baseline!AD39=0,(IF(Baseline!C39="Bestaande Situatie",(_xlfn.IFNA(VLOOKUP(Referentie_Hernieuwbare_Energie_Totaal[[#This Row],[Product]]&amp;", "&amp;Referentie_MKI_Totaal[[#Headers],[C2]],Database_Productkaarten[#All],48,FALSE),0)*Baseline!I39),0)),(IF(Baseline!C39="Bestaande Situatie",_xlfn.IFNA(VLOOKUP(Baseline!AD39,Database_Transport[#All],42,FALSE)*(Baseline!Q39*Baseline!AC39),0))))</f>
        <v>0</v>
      </c>
      <c r="N352" s="77">
        <f>(IF(Baseline!C39="Bestaande Situatie",(_xlfn.IFNA(VLOOKUP(Referentie_Hernieuwbare_Energie_Totaal[[#This Row],[Product]]&amp;", "&amp;Referentie_Hernieuwbare_Energie_Totaal[[#Headers],[C3]],Database_Productkaarten[#All],48,FALSE),0)*Baseline!I39),0))</f>
        <v>0</v>
      </c>
      <c r="O352" s="77">
        <f>(IF(Baseline!C39="Bestaande Situatie",(_xlfn.IFNA(VLOOKUP(Referentie_Hernieuwbare_Energie_Totaal[[#This Row],[Product]]&amp;", "&amp;Referentie_Hernieuwbare_Energie_Totaal[[#Headers],[C4]],Database_Productkaarten[#All],48,FALSE),0)*Baseline!I39),0))</f>
        <v>0</v>
      </c>
      <c r="P352" s="77">
        <f>(IF(Baseline!C39="Bestaande Situatie",(_xlfn.IFNA(VLOOKUP(Referentie_Hernieuwbare_Energie_Totaal[[#This Row],[Product]]&amp;", "&amp;Referentie_Hernieuwbare_Energie_Totaal[[#Headers],[D1]],Database_Productkaarten[#All],48,FALSE),0)*Baseline!I39),0))</f>
        <v>0</v>
      </c>
      <c r="Q352" s="78">
        <f>(IF(Baseline!C39="Bestaande Situatie",_xlfn.IFNA(VLOOKUP(Referentie_Hernieuwbare_Energie_Totaal[[#This Row],[Product]]&amp;", "&amp;Referentie_Hernieuwbare_Energie_Totaal[[#Headers],[D2]],Database_Productkaarten[#All],48,FALSE),0)*Baseline!I39,0))</f>
        <v>0</v>
      </c>
      <c r="R352" s="57">
        <f>(IF(Baseline!C39="Bestaande Situatie",_xlfn.IFNA(VLOOKUP(Referentie_Hernieuwbare_Energie_Totaal[[#This Row],[Product]]&amp;", "&amp;Referentie_Hernieuwbare_Energie_Totaal[[#Headers],[D]],Database_Productkaarten[#All],48,FALSE),0)*Baseline!I39,0))</f>
        <v>0</v>
      </c>
      <c r="S352" s="56">
        <f>SUM(Referentie_Hernieuwbare_Energie_Totaal[[#This Row],[A1-A3]:[C4]])+Referentie_Hernieuwbare_Energie_Totaal[[#This Row],[D]]</f>
        <v>2295.344996490825</v>
      </c>
    </row>
    <row r="353" spans="2:19">
      <c r="B353" s="209">
        <f>Baseline!B40</f>
        <v>0</v>
      </c>
      <c r="C353" s="76">
        <f>Baseline!F40</f>
        <v>0</v>
      </c>
      <c r="D353" s="77">
        <f>(IF(Baseline!C40="Nieuwe Situatie",(_xlfn.IFNA(VLOOKUP(Referentie_Hernieuwbare_Energie_Totaal[[#This Row],[Product]]&amp;", "&amp;Referentie_Hernieuwbare_Energie_Totaal[[#Headers],[A1]],Database_Productkaarten[#All],48,FALSE),0)*Baseline!I40),0))</f>
        <v>0</v>
      </c>
      <c r="E353" s="77">
        <f>(IF(Baseline!C40="Nieuwe Situatie",(_xlfn.IFNA(VLOOKUP(Referentie_Hernieuwbare_Energie_Totaal[[#This Row],[Product]]&amp;", "&amp;Referentie_Hernieuwbare_Energie_Totaal[[#Headers],[A2]],Database_Productkaarten[#All],48,FALSE),0)*Baseline!I40),0))</f>
        <v>0</v>
      </c>
      <c r="F353" s="77">
        <f>(IF(Baseline!C40="Nieuwe Situatie",(_xlfn.IFNA(VLOOKUP(Referentie_Hernieuwbare_Energie_Totaal[[#This Row],[Product]]&amp;", "&amp;Referentie_Hernieuwbare_Energie_Totaal[[#Headers],[A3]],Database_Productkaarten[#All],48,FALSE),0)*Baseline!I40),0))</f>
        <v>0</v>
      </c>
      <c r="G353" s="77">
        <f>(IF(Baseline!C40="Nieuwe Situatie",(_xlfn.IFNA(VLOOKUP(Referentie_Hernieuwbare_Energie_Totaal[[#This Row],[Product]]&amp;", "&amp;Referentie_Hernieuwbare_Energie_Totaal[[#Headers],[A1-A3]],Database_Productkaarten[#All],48,FALSE),0)*Baseline!I40),0))</f>
        <v>0</v>
      </c>
      <c r="H353" s="77">
        <f>IF(Baseline!T40=0,(IF(Baseline!C40="Nieuwe Situatie",(_xlfn.IFNA(VLOOKUP(Referentie_Hernieuwbare_Energie_Totaal[[#This Row],[Product]]&amp;", "&amp;Referentie_CO2_Totaal[[#Headers],[A4]],Database_Productkaarten[#All],48,FALSE),0)*Baseline!I40),0)),IF(Baseline!C40="Nieuwe Situatie",_xlfn.IFNA(VLOOKUP(Baseline!T40,Database_Transport[#All],42,FALSE)*(Baseline!Q40*Baseline!S40),Baseline_Backlog!H143),0))</f>
        <v>0</v>
      </c>
      <c r="I353" s="77">
        <f>IF(Baseline!C40="Nieuwe situatie",IF(_xlfn.IFNA((VLOOKUP(Baseline!U40,Database_Asfalt_Aanlegset[#All],42,FALSE)*Baseline!I40),0)+_xlfn.IFNA(VLOOKUP(Baseline!V40,Database_Brandstoffen[#All],42,FALSE)*((Baseline!I40/Baseline!X40)*Baseline!W40),0)&gt;0,_xlfn.IFNA((VLOOKUP(Baseline!U40,Database_Asfalt_Aanlegset[#All],42,FALSE)*Baseline!I40),0)+_xlfn.IFNA(VLOOKUP(Baseline!V40,Database_Brandstoffen[#All],42,FALSE)*((Baseline!I40/Baseline!X40)*Baseline!W40),0),(_xlfn.IFNA(VLOOKUP(Referentie_Hernieuwbare_Energie_Totaal[[#This Row],[Product]]&amp;", "&amp;Referentie_MKI_Totaal[[#Headers],[A5]],Database_Productkaarten[#All],48,FALSE),0)*Baseline!I40)),0)</f>
        <v>0</v>
      </c>
      <c r="J353" s="77">
        <f>(IF(Baseline!C40="Nieuwe Situatie",(_xlfn.IFNA(VLOOKUP(Referentie_Hernieuwbare_Energie_Totaal[[#This Row],[Product]]&amp;", "&amp;Referentie_Hernieuwbare_Energie_Totaal[[#Headers],[B1]],Database_Productkaarten[#All],48,FALSE),0)*Baseline!I40),0))</f>
        <v>0</v>
      </c>
      <c r="K353" s="77">
        <f>(IF(Baseline!C40="Nieuwe Situatie",(SUM(Referentie_Hernieuwbare_Energie_Totaal[[#This Row],[A1]:[B1]],Referentie_Hernieuwbare_Energie_Totaal[[#This Row],[C1]:[D2]])*Baseline!R40),0))</f>
        <v>0</v>
      </c>
      <c r="L353" s="77">
        <f>IF(Baseline!C40="Bestaande situatie",IF(_xlfn.IFNA((VLOOKUP(Baseline!Y40,Database_Asfalt_Verwijderset[#All],42,FALSE)*Baseline!I40),0)+_xlfn.IFNA(VLOOKUP(Baseline!Z40,Database_Brandstoffen[#All],42,FALSE)*((Baseline!I40/Baseline!AB40)*Baseline!AA40),0)&gt;0,_xlfn.IFNA((VLOOKUP(Baseline!Y40,Database_Asfalt_Verwijderset[#All],42,FALSE)*Baseline!I40),0)+_xlfn.IFNA(VLOOKUP(Baseline!Z40,Database_Brandstoffen[#All],42,FALSE)*((Baseline!I40/Baseline!AB40)*Baseline!AA40),0),(_xlfn.IFNA(VLOOKUP(Referentie_Hernieuwbare_Energie_Totaal[[#This Row],[Product]]&amp;", "&amp;Referentie_MKI_Totaal[[#Headers],[C1]],Database_Productkaarten[#All],48,FALSE),0)*Baseline!I40)),0)</f>
        <v>0</v>
      </c>
      <c r="M353" s="77">
        <f>IF(Baseline!AD40=0,(IF(Baseline!C40="Bestaande Situatie",(_xlfn.IFNA(VLOOKUP(Referentie_Hernieuwbare_Energie_Totaal[[#This Row],[Product]]&amp;", "&amp;Referentie_MKI_Totaal[[#Headers],[C2]],Database_Productkaarten[#All],48,FALSE),0)*Baseline!I40),0)),(IF(Baseline!C40="Bestaande Situatie",_xlfn.IFNA(VLOOKUP(Baseline!AD40,Database_Transport[#All],42,FALSE)*(Baseline!Q40*Baseline!AC40),0))))</f>
        <v>0</v>
      </c>
      <c r="N353" s="77">
        <f>(IF(Baseline!C40="Bestaande Situatie",(_xlfn.IFNA(VLOOKUP(Referentie_Hernieuwbare_Energie_Totaal[[#This Row],[Product]]&amp;", "&amp;Referentie_Hernieuwbare_Energie_Totaal[[#Headers],[C3]],Database_Productkaarten[#All],48,FALSE),0)*Baseline!I40),0))</f>
        <v>0</v>
      </c>
      <c r="O353" s="77">
        <f>(IF(Baseline!C40="Bestaande Situatie",(_xlfn.IFNA(VLOOKUP(Referentie_Hernieuwbare_Energie_Totaal[[#This Row],[Product]]&amp;", "&amp;Referentie_Hernieuwbare_Energie_Totaal[[#Headers],[C4]],Database_Productkaarten[#All],48,FALSE),0)*Baseline!I40),0))</f>
        <v>0</v>
      </c>
      <c r="P353" s="77">
        <f>(IF(Baseline!C40="Bestaande Situatie",(_xlfn.IFNA(VLOOKUP(Referentie_Hernieuwbare_Energie_Totaal[[#This Row],[Product]]&amp;", "&amp;Referentie_Hernieuwbare_Energie_Totaal[[#Headers],[D1]],Database_Productkaarten[#All],48,FALSE),0)*Baseline!I40),0))</f>
        <v>0</v>
      </c>
      <c r="Q353" s="78">
        <f>(IF(Baseline!C40="Bestaande Situatie",_xlfn.IFNA(VLOOKUP(Referentie_Hernieuwbare_Energie_Totaal[[#This Row],[Product]]&amp;", "&amp;Referentie_Hernieuwbare_Energie_Totaal[[#Headers],[D2]],Database_Productkaarten[#All],48,FALSE),0)*Baseline!I40,0))</f>
        <v>0</v>
      </c>
      <c r="R353" s="57">
        <f>(IF(Baseline!C40="Bestaande Situatie",_xlfn.IFNA(VLOOKUP(Referentie_Hernieuwbare_Energie_Totaal[[#This Row],[Product]]&amp;", "&amp;Referentie_Hernieuwbare_Energie_Totaal[[#Headers],[D]],Database_Productkaarten[#All],48,FALSE),0)*Baseline!I40,0))</f>
        <v>0</v>
      </c>
      <c r="S353" s="56">
        <f>SUM(Referentie_Hernieuwbare_Energie_Totaal[[#This Row],[A1-A3]:[C4]])+Referentie_Hernieuwbare_Energie_Totaal[[#This Row],[D]]</f>
        <v>0</v>
      </c>
    </row>
    <row r="354" spans="2:19">
      <c r="B354" s="209">
        <f>Baseline!B41</f>
        <v>0</v>
      </c>
      <c r="C354" s="76">
        <f>Baseline!F41</f>
        <v>0</v>
      </c>
      <c r="D354" s="77">
        <f>(IF(Baseline!C41="Nieuwe Situatie",(_xlfn.IFNA(VLOOKUP(Referentie_Hernieuwbare_Energie_Totaal[[#This Row],[Product]]&amp;", "&amp;Referentie_Hernieuwbare_Energie_Totaal[[#Headers],[A1]],Database_Productkaarten[#All],48,FALSE),0)*Baseline!I41),0))</f>
        <v>0</v>
      </c>
      <c r="E354" s="77">
        <f>(IF(Baseline!C41="Nieuwe Situatie",(_xlfn.IFNA(VLOOKUP(Referentie_Hernieuwbare_Energie_Totaal[[#This Row],[Product]]&amp;", "&amp;Referentie_Hernieuwbare_Energie_Totaal[[#Headers],[A2]],Database_Productkaarten[#All],48,FALSE),0)*Baseline!I41),0))</f>
        <v>0</v>
      </c>
      <c r="F354" s="77">
        <f>(IF(Baseline!C41="Nieuwe Situatie",(_xlfn.IFNA(VLOOKUP(Referentie_Hernieuwbare_Energie_Totaal[[#This Row],[Product]]&amp;", "&amp;Referentie_Hernieuwbare_Energie_Totaal[[#Headers],[A3]],Database_Productkaarten[#All],48,FALSE),0)*Baseline!I41),0))</f>
        <v>0</v>
      </c>
      <c r="G354" s="77">
        <f>(IF(Baseline!C41="Nieuwe Situatie",(_xlfn.IFNA(VLOOKUP(Referentie_Hernieuwbare_Energie_Totaal[[#This Row],[Product]]&amp;", "&amp;Referentie_Hernieuwbare_Energie_Totaal[[#Headers],[A1-A3]],Database_Productkaarten[#All],48,FALSE),0)*Baseline!I41),0))</f>
        <v>0</v>
      </c>
      <c r="H354" s="77">
        <f>IF(Baseline!T41=0,(IF(Baseline!C41="Nieuwe Situatie",(_xlfn.IFNA(VLOOKUP(Referentie_Hernieuwbare_Energie_Totaal[[#This Row],[Product]]&amp;", "&amp;Referentie_CO2_Totaal[[#Headers],[A4]],Database_Productkaarten[#All],48,FALSE),0)*Baseline!I41),0)),IF(Baseline!C41="Nieuwe Situatie",_xlfn.IFNA(VLOOKUP(Baseline!T41,Database_Transport[#All],42,FALSE)*(Baseline!Q41*Baseline!S41),Baseline_Backlog!H144),0))</f>
        <v>0</v>
      </c>
      <c r="I354" s="77">
        <f>IF(Baseline!C41="Nieuwe situatie",IF(_xlfn.IFNA((VLOOKUP(Baseline!U41,Database_Asfalt_Aanlegset[#All],42,FALSE)*Baseline!I41),0)+_xlfn.IFNA(VLOOKUP(Baseline!V41,Database_Brandstoffen[#All],42,FALSE)*((Baseline!I41/Baseline!X41)*Baseline!W41),0)&gt;0,_xlfn.IFNA((VLOOKUP(Baseline!U41,Database_Asfalt_Aanlegset[#All],42,FALSE)*Baseline!I41),0)+_xlfn.IFNA(VLOOKUP(Baseline!V41,Database_Brandstoffen[#All],42,FALSE)*((Baseline!I41/Baseline!X41)*Baseline!W41),0),(_xlfn.IFNA(VLOOKUP(Referentie_Hernieuwbare_Energie_Totaal[[#This Row],[Product]]&amp;", "&amp;Referentie_MKI_Totaal[[#Headers],[A5]],Database_Productkaarten[#All],48,FALSE),0)*Baseline!I41)),0)</f>
        <v>0</v>
      </c>
      <c r="J354" s="77">
        <f>(IF(Baseline!C41="Nieuwe Situatie",(_xlfn.IFNA(VLOOKUP(Referentie_Hernieuwbare_Energie_Totaal[[#This Row],[Product]]&amp;", "&amp;Referentie_Hernieuwbare_Energie_Totaal[[#Headers],[B1]],Database_Productkaarten[#All],48,FALSE),0)*Baseline!I41),0))</f>
        <v>0</v>
      </c>
      <c r="K354" s="77">
        <f>(IF(Baseline!C41="Nieuwe Situatie",(SUM(Referentie_Hernieuwbare_Energie_Totaal[[#This Row],[A1]:[B1]],Referentie_Hernieuwbare_Energie_Totaal[[#This Row],[C1]:[D2]])*Baseline!R41),0))</f>
        <v>0</v>
      </c>
      <c r="L354" s="77">
        <f>IF(Baseline!C41="Bestaande situatie",IF(_xlfn.IFNA((VLOOKUP(Baseline!Y41,Database_Asfalt_Verwijderset[#All],42,FALSE)*Baseline!I41),0)+_xlfn.IFNA(VLOOKUP(Baseline!Z41,Database_Brandstoffen[#All],42,FALSE)*((Baseline!I41/Baseline!AB41)*Baseline!AA41),0)&gt;0,_xlfn.IFNA((VLOOKUP(Baseline!Y41,Database_Asfalt_Verwijderset[#All],42,FALSE)*Baseline!I41),0)+_xlfn.IFNA(VLOOKUP(Baseline!Z41,Database_Brandstoffen[#All],42,FALSE)*((Baseline!I41/Baseline!AB41)*Baseline!AA41),0),(_xlfn.IFNA(VLOOKUP(Referentie_Hernieuwbare_Energie_Totaal[[#This Row],[Product]]&amp;", "&amp;Referentie_MKI_Totaal[[#Headers],[C1]],Database_Productkaarten[#All],48,FALSE),0)*Baseline!I41)),0)</f>
        <v>0</v>
      </c>
      <c r="M354" s="77">
        <f>IF(Baseline!AD41=0,(IF(Baseline!C41="Bestaande Situatie",(_xlfn.IFNA(VLOOKUP(Referentie_Hernieuwbare_Energie_Totaal[[#This Row],[Product]]&amp;", "&amp;Referentie_MKI_Totaal[[#Headers],[C2]],Database_Productkaarten[#All],48,FALSE),0)*Baseline!I41),0)),(IF(Baseline!C41="Bestaande Situatie",_xlfn.IFNA(VLOOKUP(Baseline!AD41,Database_Transport[#All],42,FALSE)*(Baseline!Q41*Baseline!AC41),0))))</f>
        <v>0</v>
      </c>
      <c r="N354" s="77">
        <f>(IF(Baseline!C41="Bestaande Situatie",(_xlfn.IFNA(VLOOKUP(Referentie_Hernieuwbare_Energie_Totaal[[#This Row],[Product]]&amp;", "&amp;Referentie_Hernieuwbare_Energie_Totaal[[#Headers],[C3]],Database_Productkaarten[#All],48,FALSE),0)*Baseline!I41),0))</f>
        <v>0</v>
      </c>
      <c r="O354" s="77">
        <f>(IF(Baseline!C41="Bestaande Situatie",(_xlfn.IFNA(VLOOKUP(Referentie_Hernieuwbare_Energie_Totaal[[#This Row],[Product]]&amp;", "&amp;Referentie_Hernieuwbare_Energie_Totaal[[#Headers],[C4]],Database_Productkaarten[#All],48,FALSE),0)*Baseline!I41),0))</f>
        <v>0</v>
      </c>
      <c r="P354" s="77">
        <f>(IF(Baseline!C41="Bestaande Situatie",(_xlfn.IFNA(VLOOKUP(Referentie_Hernieuwbare_Energie_Totaal[[#This Row],[Product]]&amp;", "&amp;Referentie_Hernieuwbare_Energie_Totaal[[#Headers],[D1]],Database_Productkaarten[#All],48,FALSE),0)*Baseline!I41),0))</f>
        <v>0</v>
      </c>
      <c r="Q354" s="78">
        <f>(IF(Baseline!C41="Bestaande Situatie",_xlfn.IFNA(VLOOKUP(Referentie_Hernieuwbare_Energie_Totaal[[#This Row],[Product]]&amp;", "&amp;Referentie_Hernieuwbare_Energie_Totaal[[#Headers],[D2]],Database_Productkaarten[#All],48,FALSE),0)*Baseline!I41,0))</f>
        <v>0</v>
      </c>
      <c r="R354" s="57">
        <f>(IF(Baseline!C41="Bestaande Situatie",_xlfn.IFNA(VLOOKUP(Referentie_Hernieuwbare_Energie_Totaal[[#This Row],[Product]]&amp;", "&amp;Referentie_Hernieuwbare_Energie_Totaal[[#Headers],[D]],Database_Productkaarten[#All],48,FALSE),0)*Baseline!I41,0))</f>
        <v>0</v>
      </c>
      <c r="S354" s="56">
        <f>SUM(Referentie_Hernieuwbare_Energie_Totaal[[#This Row],[A1-A3]:[C4]])+Referentie_Hernieuwbare_Energie_Totaal[[#This Row],[D]]</f>
        <v>0</v>
      </c>
    </row>
    <row r="355" spans="2:19">
      <c r="B355" s="209">
        <f>Baseline!B42</f>
        <v>0</v>
      </c>
      <c r="C355" s="76">
        <f>Baseline!F42</f>
        <v>0</v>
      </c>
      <c r="D355" s="77">
        <f>(IF(Baseline!C42="Nieuwe Situatie",(_xlfn.IFNA(VLOOKUP(Referentie_Hernieuwbare_Energie_Totaal[[#This Row],[Product]]&amp;", "&amp;Referentie_Hernieuwbare_Energie_Totaal[[#Headers],[A1]],Database_Productkaarten[#All],48,FALSE),0)*Baseline!I42),0))</f>
        <v>0</v>
      </c>
      <c r="E355" s="77">
        <f>(IF(Baseline!C42="Nieuwe Situatie",(_xlfn.IFNA(VLOOKUP(Referentie_Hernieuwbare_Energie_Totaal[[#This Row],[Product]]&amp;", "&amp;Referentie_Hernieuwbare_Energie_Totaal[[#Headers],[A2]],Database_Productkaarten[#All],48,FALSE),0)*Baseline!I42),0))</f>
        <v>0</v>
      </c>
      <c r="F355" s="77">
        <f>(IF(Baseline!C42="Nieuwe Situatie",(_xlfn.IFNA(VLOOKUP(Referentie_Hernieuwbare_Energie_Totaal[[#This Row],[Product]]&amp;", "&amp;Referentie_Hernieuwbare_Energie_Totaal[[#Headers],[A3]],Database_Productkaarten[#All],48,FALSE),0)*Baseline!I42),0))</f>
        <v>0</v>
      </c>
      <c r="G355" s="77">
        <f>(IF(Baseline!C42="Nieuwe Situatie",(_xlfn.IFNA(VLOOKUP(Referentie_Hernieuwbare_Energie_Totaal[[#This Row],[Product]]&amp;", "&amp;Referentie_Hernieuwbare_Energie_Totaal[[#Headers],[A1-A3]],Database_Productkaarten[#All],48,FALSE),0)*Baseline!I42),0))</f>
        <v>0</v>
      </c>
      <c r="H355" s="77">
        <f>IF(Baseline!T42=0,(IF(Baseline!C42="Nieuwe Situatie",(_xlfn.IFNA(VLOOKUP(Referentie_Hernieuwbare_Energie_Totaal[[#This Row],[Product]]&amp;", "&amp;Referentie_CO2_Totaal[[#Headers],[A4]],Database_Productkaarten[#All],48,FALSE),0)*Baseline!I42),0)),IF(Baseline!C42="Nieuwe Situatie",_xlfn.IFNA(VLOOKUP(Baseline!T42,Database_Transport[#All],42,FALSE)*(Baseline!Q42*Baseline!S42),Baseline_Backlog!H145),0))</f>
        <v>0</v>
      </c>
      <c r="I355" s="77">
        <f>IF(Baseline!C42="Nieuwe situatie",IF(_xlfn.IFNA((VLOOKUP(Baseline!U42,Database_Asfalt_Aanlegset[#All],42,FALSE)*Baseline!I42),0)+_xlfn.IFNA(VLOOKUP(Baseline!V42,Database_Brandstoffen[#All],42,FALSE)*((Baseline!I42/Baseline!X42)*Baseline!W42),0)&gt;0,_xlfn.IFNA((VLOOKUP(Baseline!U42,Database_Asfalt_Aanlegset[#All],42,FALSE)*Baseline!I42),0)+_xlfn.IFNA(VLOOKUP(Baseline!V42,Database_Brandstoffen[#All],42,FALSE)*((Baseline!I42/Baseline!X42)*Baseline!W42),0),(_xlfn.IFNA(VLOOKUP(Referentie_Hernieuwbare_Energie_Totaal[[#This Row],[Product]]&amp;", "&amp;Referentie_MKI_Totaal[[#Headers],[A5]],Database_Productkaarten[#All],48,FALSE),0)*Baseline!I42)),0)</f>
        <v>0</v>
      </c>
      <c r="J355" s="77">
        <f>(IF(Baseline!C42="Nieuwe Situatie",(_xlfn.IFNA(VLOOKUP(Referentie_Hernieuwbare_Energie_Totaal[[#This Row],[Product]]&amp;", "&amp;Referentie_Hernieuwbare_Energie_Totaal[[#Headers],[B1]],Database_Productkaarten[#All],48,FALSE),0)*Baseline!I42),0))</f>
        <v>0</v>
      </c>
      <c r="K355" s="77">
        <f>(IF(Baseline!C42="Nieuwe Situatie",(SUM(Referentie_Hernieuwbare_Energie_Totaal[[#This Row],[A1]:[B1]],Referentie_Hernieuwbare_Energie_Totaal[[#This Row],[C1]:[D2]])*Baseline!R42),0))</f>
        <v>0</v>
      </c>
      <c r="L355" s="77">
        <f>IF(Baseline!C42="Bestaande situatie",IF(_xlfn.IFNA((VLOOKUP(Baseline!Y42,Database_Asfalt_Verwijderset[#All],42,FALSE)*Baseline!I42),0)+_xlfn.IFNA(VLOOKUP(Baseline!Z42,Database_Brandstoffen[#All],42,FALSE)*((Baseline!I42/Baseline!AB42)*Baseline!AA42),0)&gt;0,_xlfn.IFNA((VLOOKUP(Baseline!Y42,Database_Asfalt_Verwijderset[#All],42,FALSE)*Baseline!I42),0)+_xlfn.IFNA(VLOOKUP(Baseline!Z42,Database_Brandstoffen[#All],42,FALSE)*((Baseline!I42/Baseline!AB42)*Baseline!AA42),0),(_xlfn.IFNA(VLOOKUP(Referentie_Hernieuwbare_Energie_Totaal[[#This Row],[Product]]&amp;", "&amp;Referentie_MKI_Totaal[[#Headers],[C1]],Database_Productkaarten[#All],48,FALSE),0)*Baseline!I42)),0)</f>
        <v>0</v>
      </c>
      <c r="M355" s="77">
        <f>IF(Baseline!AD42=0,(IF(Baseline!C42="Bestaande Situatie",(_xlfn.IFNA(VLOOKUP(Referentie_Hernieuwbare_Energie_Totaal[[#This Row],[Product]]&amp;", "&amp;Referentie_MKI_Totaal[[#Headers],[C2]],Database_Productkaarten[#All],48,FALSE),0)*Baseline!I42),0)),(IF(Baseline!C42="Bestaande Situatie",_xlfn.IFNA(VLOOKUP(Baseline!AD42,Database_Transport[#All],42,FALSE)*(Baseline!Q42*Baseline!AC42),0))))</f>
        <v>0</v>
      </c>
      <c r="N355" s="77">
        <f>(IF(Baseline!C42="Bestaande Situatie",(_xlfn.IFNA(VLOOKUP(Referentie_Hernieuwbare_Energie_Totaal[[#This Row],[Product]]&amp;", "&amp;Referentie_Hernieuwbare_Energie_Totaal[[#Headers],[C3]],Database_Productkaarten[#All],48,FALSE),0)*Baseline!I42),0))</f>
        <v>0</v>
      </c>
      <c r="O355" s="77">
        <f>(IF(Baseline!C42="Bestaande Situatie",(_xlfn.IFNA(VLOOKUP(Referentie_Hernieuwbare_Energie_Totaal[[#This Row],[Product]]&amp;", "&amp;Referentie_Hernieuwbare_Energie_Totaal[[#Headers],[C4]],Database_Productkaarten[#All],48,FALSE),0)*Baseline!I42),0))</f>
        <v>0</v>
      </c>
      <c r="P355" s="77">
        <f>(IF(Baseline!C42="Bestaande Situatie",(_xlfn.IFNA(VLOOKUP(Referentie_Hernieuwbare_Energie_Totaal[[#This Row],[Product]]&amp;", "&amp;Referentie_Hernieuwbare_Energie_Totaal[[#Headers],[D1]],Database_Productkaarten[#All],48,FALSE),0)*Baseline!I42),0))</f>
        <v>0</v>
      </c>
      <c r="Q355" s="78">
        <f>(IF(Baseline!C42="Bestaande Situatie",_xlfn.IFNA(VLOOKUP(Referentie_Hernieuwbare_Energie_Totaal[[#This Row],[Product]]&amp;", "&amp;Referentie_Hernieuwbare_Energie_Totaal[[#Headers],[D2]],Database_Productkaarten[#All],48,FALSE),0)*Baseline!I42,0))</f>
        <v>0</v>
      </c>
      <c r="R355" s="57">
        <f>(IF(Baseline!C42="Bestaande Situatie",_xlfn.IFNA(VLOOKUP(Referentie_Hernieuwbare_Energie_Totaal[[#This Row],[Product]]&amp;", "&amp;Referentie_Hernieuwbare_Energie_Totaal[[#Headers],[D]],Database_Productkaarten[#All],48,FALSE),0)*Baseline!I42,0))</f>
        <v>0</v>
      </c>
      <c r="S355" s="56">
        <f>SUM(Referentie_Hernieuwbare_Energie_Totaal[[#This Row],[A1-A3]:[C4]])+Referentie_Hernieuwbare_Energie_Totaal[[#This Row],[D]]</f>
        <v>0</v>
      </c>
    </row>
    <row r="356" spans="2:19">
      <c r="B356" s="209">
        <f>Baseline!B43</f>
        <v>0</v>
      </c>
      <c r="C356" s="76">
        <f>Baseline!F43</f>
        <v>0</v>
      </c>
      <c r="D356" s="77">
        <f>(IF(Baseline!C43="Nieuwe Situatie",(_xlfn.IFNA(VLOOKUP(Referentie_Hernieuwbare_Energie_Totaal[[#This Row],[Product]]&amp;", "&amp;Referentie_Hernieuwbare_Energie_Totaal[[#Headers],[A1]],Database_Productkaarten[#All],48,FALSE),0)*Baseline!I43),0))</f>
        <v>0</v>
      </c>
      <c r="E356" s="77">
        <f>(IF(Baseline!C43="Nieuwe Situatie",(_xlfn.IFNA(VLOOKUP(Referentie_Hernieuwbare_Energie_Totaal[[#This Row],[Product]]&amp;", "&amp;Referentie_Hernieuwbare_Energie_Totaal[[#Headers],[A2]],Database_Productkaarten[#All],48,FALSE),0)*Baseline!I43),0))</f>
        <v>0</v>
      </c>
      <c r="F356" s="77">
        <f>(IF(Baseline!C43="Nieuwe Situatie",(_xlfn.IFNA(VLOOKUP(Referentie_Hernieuwbare_Energie_Totaal[[#This Row],[Product]]&amp;", "&amp;Referentie_Hernieuwbare_Energie_Totaal[[#Headers],[A3]],Database_Productkaarten[#All],48,FALSE),0)*Baseline!I43),0))</f>
        <v>0</v>
      </c>
      <c r="G356" s="77">
        <f>(IF(Baseline!C43="Nieuwe Situatie",(_xlfn.IFNA(VLOOKUP(Referentie_Hernieuwbare_Energie_Totaal[[#This Row],[Product]]&amp;", "&amp;Referentie_Hernieuwbare_Energie_Totaal[[#Headers],[A1-A3]],Database_Productkaarten[#All],48,FALSE),0)*Baseline!I43),0))</f>
        <v>0</v>
      </c>
      <c r="H356" s="77">
        <f>IF(Baseline!T43=0,(IF(Baseline!C43="Nieuwe Situatie",(_xlfn.IFNA(VLOOKUP(Referentie_Hernieuwbare_Energie_Totaal[[#This Row],[Product]]&amp;", "&amp;Referentie_CO2_Totaal[[#Headers],[A4]],Database_Productkaarten[#All],48,FALSE),0)*Baseline!I43),0)),IF(Baseline!C43="Nieuwe Situatie",_xlfn.IFNA(VLOOKUP(Baseline!T43,Database_Transport[#All],42,FALSE)*(Baseline!Q43*Baseline!S43),Baseline_Backlog!H146),0))</f>
        <v>0</v>
      </c>
      <c r="I356" s="77">
        <f>IF(Baseline!C43="Nieuwe situatie",IF(_xlfn.IFNA((VLOOKUP(Baseline!U43,Database_Asfalt_Aanlegset[#All],42,FALSE)*Baseline!I43),0)+_xlfn.IFNA(VLOOKUP(Baseline!V43,Database_Brandstoffen[#All],42,FALSE)*((Baseline!I43/Baseline!X43)*Baseline!W43),0)&gt;0,_xlfn.IFNA((VLOOKUP(Baseline!U43,Database_Asfalt_Aanlegset[#All],42,FALSE)*Baseline!I43),0)+_xlfn.IFNA(VLOOKUP(Baseline!V43,Database_Brandstoffen[#All],42,FALSE)*((Baseline!I43/Baseline!X43)*Baseline!W43),0),(_xlfn.IFNA(VLOOKUP(Referentie_Hernieuwbare_Energie_Totaal[[#This Row],[Product]]&amp;", "&amp;Referentie_MKI_Totaal[[#Headers],[A5]],Database_Productkaarten[#All],48,FALSE),0)*Baseline!I43)),0)</f>
        <v>0</v>
      </c>
      <c r="J356" s="77">
        <f>(IF(Baseline!C43="Nieuwe Situatie",(_xlfn.IFNA(VLOOKUP(Referentie_Hernieuwbare_Energie_Totaal[[#This Row],[Product]]&amp;", "&amp;Referentie_Hernieuwbare_Energie_Totaal[[#Headers],[B1]],Database_Productkaarten[#All],48,FALSE),0)*Baseline!I43),0))</f>
        <v>0</v>
      </c>
      <c r="K356" s="77">
        <f>(IF(Baseline!C43="Nieuwe Situatie",(SUM(Referentie_Hernieuwbare_Energie_Totaal[[#This Row],[A1]:[B1]],Referentie_Hernieuwbare_Energie_Totaal[[#This Row],[C1]:[D2]])*Baseline!R43),0))</f>
        <v>0</v>
      </c>
      <c r="L356" s="77">
        <f>IF(Baseline!C43="Bestaande situatie",IF(_xlfn.IFNA((VLOOKUP(Baseline!Y43,Database_Asfalt_Verwijderset[#All],42,FALSE)*Baseline!I43),0)+_xlfn.IFNA(VLOOKUP(Baseline!Z43,Database_Brandstoffen[#All],42,FALSE)*((Baseline!I43/Baseline!AB43)*Baseline!AA43),0)&gt;0,_xlfn.IFNA((VLOOKUP(Baseline!Y43,Database_Asfalt_Verwijderset[#All],42,FALSE)*Baseline!I43),0)+_xlfn.IFNA(VLOOKUP(Baseline!Z43,Database_Brandstoffen[#All],42,FALSE)*((Baseline!I43/Baseline!AB43)*Baseline!AA43),0),(_xlfn.IFNA(VLOOKUP(Referentie_Hernieuwbare_Energie_Totaal[[#This Row],[Product]]&amp;", "&amp;Referentie_MKI_Totaal[[#Headers],[C1]],Database_Productkaarten[#All],48,FALSE),0)*Baseline!I43)),0)</f>
        <v>0</v>
      </c>
      <c r="M356" s="77">
        <f>IF(Baseline!AD43=0,(IF(Baseline!C43="Bestaande Situatie",(_xlfn.IFNA(VLOOKUP(Referentie_Hernieuwbare_Energie_Totaal[[#This Row],[Product]]&amp;", "&amp;Referentie_MKI_Totaal[[#Headers],[C2]],Database_Productkaarten[#All],48,FALSE),0)*Baseline!I43),0)),(IF(Baseline!C43="Bestaande Situatie",_xlfn.IFNA(VLOOKUP(Baseline!AD43,Database_Transport[#All],42,FALSE)*(Baseline!Q43*Baseline!AC43),0))))</f>
        <v>0</v>
      </c>
      <c r="N356" s="77">
        <f>(IF(Baseline!C43="Bestaande Situatie",(_xlfn.IFNA(VLOOKUP(Referentie_Hernieuwbare_Energie_Totaal[[#This Row],[Product]]&amp;", "&amp;Referentie_Hernieuwbare_Energie_Totaal[[#Headers],[C3]],Database_Productkaarten[#All],48,FALSE),0)*Baseline!I43),0))</f>
        <v>0</v>
      </c>
      <c r="O356" s="77">
        <f>(IF(Baseline!C43="Bestaande Situatie",(_xlfn.IFNA(VLOOKUP(Referentie_Hernieuwbare_Energie_Totaal[[#This Row],[Product]]&amp;", "&amp;Referentie_Hernieuwbare_Energie_Totaal[[#Headers],[C4]],Database_Productkaarten[#All],48,FALSE),0)*Baseline!I43),0))</f>
        <v>0</v>
      </c>
      <c r="P356" s="77">
        <f>(IF(Baseline!C43="Bestaande Situatie",(_xlfn.IFNA(VLOOKUP(Referentie_Hernieuwbare_Energie_Totaal[[#This Row],[Product]]&amp;", "&amp;Referentie_Hernieuwbare_Energie_Totaal[[#Headers],[D1]],Database_Productkaarten[#All],48,FALSE),0)*Baseline!I43),0))</f>
        <v>0</v>
      </c>
      <c r="Q356" s="78">
        <f>(IF(Baseline!C43="Bestaande Situatie",_xlfn.IFNA(VLOOKUP(Referentie_Hernieuwbare_Energie_Totaal[[#This Row],[Product]]&amp;", "&amp;Referentie_Hernieuwbare_Energie_Totaal[[#Headers],[D2]],Database_Productkaarten[#All],48,FALSE),0)*Baseline!I43,0))</f>
        <v>0</v>
      </c>
      <c r="R356" s="57">
        <f>(IF(Baseline!C43="Bestaande Situatie",_xlfn.IFNA(VLOOKUP(Referentie_Hernieuwbare_Energie_Totaal[[#This Row],[Product]]&amp;", "&amp;Referentie_Hernieuwbare_Energie_Totaal[[#Headers],[D]],Database_Productkaarten[#All],48,FALSE),0)*Baseline!I43,0))</f>
        <v>0</v>
      </c>
      <c r="S356" s="56">
        <f>SUM(Referentie_Hernieuwbare_Energie_Totaal[[#This Row],[A1-A3]:[C4]])+Referentie_Hernieuwbare_Energie_Totaal[[#This Row],[D]]</f>
        <v>0</v>
      </c>
    </row>
    <row r="357" spans="2:19">
      <c r="B357" s="209">
        <f>Baseline!B44</f>
        <v>0</v>
      </c>
      <c r="C357" s="76">
        <f>Baseline!F44</f>
        <v>0</v>
      </c>
      <c r="D357" s="77">
        <f>(IF(Baseline!C44="Nieuwe Situatie",(_xlfn.IFNA(VLOOKUP(Referentie_Hernieuwbare_Energie_Totaal[[#This Row],[Product]]&amp;", "&amp;Referentie_Hernieuwbare_Energie_Totaal[[#Headers],[A1]],Database_Productkaarten[#All],48,FALSE),0)*Baseline!I44),0))</f>
        <v>0</v>
      </c>
      <c r="E357" s="77">
        <f>(IF(Baseline!C44="Nieuwe Situatie",(_xlfn.IFNA(VLOOKUP(Referentie_Hernieuwbare_Energie_Totaal[[#This Row],[Product]]&amp;", "&amp;Referentie_Hernieuwbare_Energie_Totaal[[#Headers],[A2]],Database_Productkaarten[#All],48,FALSE),0)*Baseline!I44),0))</f>
        <v>0</v>
      </c>
      <c r="F357" s="77">
        <f>(IF(Baseline!C44="Nieuwe Situatie",(_xlfn.IFNA(VLOOKUP(Referentie_Hernieuwbare_Energie_Totaal[[#This Row],[Product]]&amp;", "&amp;Referentie_Hernieuwbare_Energie_Totaal[[#Headers],[A3]],Database_Productkaarten[#All],48,FALSE),0)*Baseline!I44),0))</f>
        <v>0</v>
      </c>
      <c r="G357" s="77">
        <f>(IF(Baseline!C44="Nieuwe Situatie",(_xlfn.IFNA(VLOOKUP(Referentie_Hernieuwbare_Energie_Totaal[[#This Row],[Product]]&amp;", "&amp;Referentie_Hernieuwbare_Energie_Totaal[[#Headers],[A1-A3]],Database_Productkaarten[#All],48,FALSE),0)*Baseline!I44),0))</f>
        <v>0</v>
      </c>
      <c r="H357" s="77">
        <f>IF(Baseline!T44=0,(IF(Baseline!C44="Nieuwe Situatie",(_xlfn.IFNA(VLOOKUP(Referentie_Hernieuwbare_Energie_Totaal[[#This Row],[Product]]&amp;", "&amp;Referentie_CO2_Totaal[[#Headers],[A4]],Database_Productkaarten[#All],48,FALSE),0)*Baseline!I44),0)),IF(Baseline!C44="Nieuwe Situatie",_xlfn.IFNA(VLOOKUP(Baseline!T44,Database_Transport[#All],42,FALSE)*(Baseline!Q44*Baseline!S44),Baseline_Backlog!H147),0))</f>
        <v>0</v>
      </c>
      <c r="I357" s="77">
        <f>IF(Baseline!C44="Nieuwe situatie",IF(_xlfn.IFNA((VLOOKUP(Baseline!U44,Database_Asfalt_Aanlegset[#All],42,FALSE)*Baseline!I44),0)+_xlfn.IFNA(VLOOKUP(Baseline!V44,Database_Brandstoffen[#All],42,FALSE)*((Baseline!I44/Baseline!X44)*Baseline!W44),0)&gt;0,_xlfn.IFNA((VLOOKUP(Baseline!U44,Database_Asfalt_Aanlegset[#All],42,FALSE)*Baseline!I44),0)+_xlfn.IFNA(VLOOKUP(Baseline!V44,Database_Brandstoffen[#All],42,FALSE)*((Baseline!I44/Baseline!X44)*Baseline!W44),0),(_xlfn.IFNA(VLOOKUP(Referentie_Hernieuwbare_Energie_Totaal[[#This Row],[Product]]&amp;", "&amp;Referentie_MKI_Totaal[[#Headers],[A5]],Database_Productkaarten[#All],48,FALSE),0)*Baseline!I44)),0)</f>
        <v>0</v>
      </c>
      <c r="J357" s="77">
        <f>(IF(Baseline!C44="Nieuwe Situatie",(_xlfn.IFNA(VLOOKUP(Referentie_Hernieuwbare_Energie_Totaal[[#This Row],[Product]]&amp;", "&amp;Referentie_Hernieuwbare_Energie_Totaal[[#Headers],[B1]],Database_Productkaarten[#All],48,FALSE),0)*Baseline!I44),0))</f>
        <v>0</v>
      </c>
      <c r="K357" s="77">
        <f>(IF(Baseline!C44="Nieuwe Situatie",(SUM(Referentie_Hernieuwbare_Energie_Totaal[[#This Row],[A1]:[B1]],Referentie_Hernieuwbare_Energie_Totaal[[#This Row],[C1]:[D2]])*Baseline!R44),0))</f>
        <v>0</v>
      </c>
      <c r="L357" s="77">
        <f>IF(Baseline!C44="Bestaande situatie",IF(_xlfn.IFNA((VLOOKUP(Baseline!Y44,Database_Asfalt_Verwijderset[#All],42,FALSE)*Baseline!I44),0)+_xlfn.IFNA(VLOOKUP(Baseline!Z44,Database_Brandstoffen[#All],42,FALSE)*((Baseline!I44/Baseline!AB44)*Baseline!AA44),0)&gt;0,_xlfn.IFNA((VLOOKUP(Baseline!Y44,Database_Asfalt_Verwijderset[#All],42,FALSE)*Baseline!I44),0)+_xlfn.IFNA(VLOOKUP(Baseline!Z44,Database_Brandstoffen[#All],42,FALSE)*((Baseline!I44/Baseline!AB44)*Baseline!AA44),0),(_xlfn.IFNA(VLOOKUP(Referentie_Hernieuwbare_Energie_Totaal[[#This Row],[Product]]&amp;", "&amp;Referentie_MKI_Totaal[[#Headers],[C1]],Database_Productkaarten[#All],48,FALSE),0)*Baseline!I44)),0)</f>
        <v>0</v>
      </c>
      <c r="M357" s="77">
        <f>IF(Baseline!AD44=0,(IF(Baseline!C44="Bestaande Situatie",(_xlfn.IFNA(VLOOKUP(Referentie_Hernieuwbare_Energie_Totaal[[#This Row],[Product]]&amp;", "&amp;Referentie_MKI_Totaal[[#Headers],[C2]],Database_Productkaarten[#All],48,FALSE),0)*Baseline!I44),0)),(IF(Baseline!C44="Bestaande Situatie",_xlfn.IFNA(VLOOKUP(Baseline!AD44,Database_Transport[#All],42,FALSE)*(Baseline!Q44*Baseline!AC44),0))))</f>
        <v>0</v>
      </c>
      <c r="N357" s="77">
        <f>(IF(Baseline!C44="Bestaande Situatie",(_xlfn.IFNA(VLOOKUP(Referentie_Hernieuwbare_Energie_Totaal[[#This Row],[Product]]&amp;", "&amp;Referentie_Hernieuwbare_Energie_Totaal[[#Headers],[C3]],Database_Productkaarten[#All],48,FALSE),0)*Baseline!I44),0))</f>
        <v>0</v>
      </c>
      <c r="O357" s="77">
        <f>(IF(Baseline!C44="Bestaande Situatie",(_xlfn.IFNA(VLOOKUP(Referentie_Hernieuwbare_Energie_Totaal[[#This Row],[Product]]&amp;", "&amp;Referentie_Hernieuwbare_Energie_Totaal[[#Headers],[C4]],Database_Productkaarten[#All],48,FALSE),0)*Baseline!I44),0))</f>
        <v>0</v>
      </c>
      <c r="P357" s="77">
        <f>(IF(Baseline!C44="Bestaande Situatie",(_xlfn.IFNA(VLOOKUP(Referentie_Hernieuwbare_Energie_Totaal[[#This Row],[Product]]&amp;", "&amp;Referentie_Hernieuwbare_Energie_Totaal[[#Headers],[D1]],Database_Productkaarten[#All],48,FALSE),0)*Baseline!I44),0))</f>
        <v>0</v>
      </c>
      <c r="Q357" s="78">
        <f>(IF(Baseline!C44="Bestaande Situatie",_xlfn.IFNA(VLOOKUP(Referentie_Hernieuwbare_Energie_Totaal[[#This Row],[Product]]&amp;", "&amp;Referentie_Hernieuwbare_Energie_Totaal[[#Headers],[D2]],Database_Productkaarten[#All],48,FALSE),0)*Baseline!I44,0))</f>
        <v>0</v>
      </c>
      <c r="R357" s="57">
        <f>(IF(Baseline!C44="Bestaande Situatie",_xlfn.IFNA(VLOOKUP(Referentie_Hernieuwbare_Energie_Totaal[[#This Row],[Product]]&amp;", "&amp;Referentie_Hernieuwbare_Energie_Totaal[[#Headers],[D]],Database_Productkaarten[#All],48,FALSE),0)*Baseline!I44,0))</f>
        <v>0</v>
      </c>
      <c r="S357" s="56">
        <f>SUM(Referentie_Hernieuwbare_Energie_Totaal[[#This Row],[A1-A3]:[C4]])+Referentie_Hernieuwbare_Energie_Totaal[[#This Row],[D]]</f>
        <v>0</v>
      </c>
    </row>
    <row r="358" spans="2:19">
      <c r="B358" s="209">
        <f>Baseline!B45</f>
        <v>0</v>
      </c>
      <c r="C358" s="76">
        <f>Baseline!F45</f>
        <v>0</v>
      </c>
      <c r="D358" s="77">
        <f>(IF(Baseline!C45="Nieuwe Situatie",(_xlfn.IFNA(VLOOKUP(Referentie_Hernieuwbare_Energie_Totaal[[#This Row],[Product]]&amp;", "&amp;Referentie_Hernieuwbare_Energie_Totaal[[#Headers],[A1]],Database_Productkaarten[#All],48,FALSE),0)*Baseline!I45),0))</f>
        <v>0</v>
      </c>
      <c r="E358" s="77">
        <f>(IF(Baseline!C45="Nieuwe Situatie",(_xlfn.IFNA(VLOOKUP(Referentie_Hernieuwbare_Energie_Totaal[[#This Row],[Product]]&amp;", "&amp;Referentie_Hernieuwbare_Energie_Totaal[[#Headers],[A2]],Database_Productkaarten[#All],48,FALSE),0)*Baseline!I45),0))</f>
        <v>0</v>
      </c>
      <c r="F358" s="77">
        <f>(IF(Baseline!C45="Nieuwe Situatie",(_xlfn.IFNA(VLOOKUP(Referentie_Hernieuwbare_Energie_Totaal[[#This Row],[Product]]&amp;", "&amp;Referentie_Hernieuwbare_Energie_Totaal[[#Headers],[A3]],Database_Productkaarten[#All],48,FALSE),0)*Baseline!I45),0))</f>
        <v>0</v>
      </c>
      <c r="G358" s="77">
        <f>(IF(Baseline!C45="Nieuwe Situatie",(_xlfn.IFNA(VLOOKUP(Referentie_Hernieuwbare_Energie_Totaal[[#This Row],[Product]]&amp;", "&amp;Referentie_Hernieuwbare_Energie_Totaal[[#Headers],[A1-A3]],Database_Productkaarten[#All],48,FALSE),0)*Baseline!I45),0))</f>
        <v>0</v>
      </c>
      <c r="H358" s="77">
        <f>IF(Baseline!T45=0,(IF(Baseline!C45="Nieuwe Situatie",(_xlfn.IFNA(VLOOKUP(Referentie_Hernieuwbare_Energie_Totaal[[#This Row],[Product]]&amp;", "&amp;Referentie_CO2_Totaal[[#Headers],[A4]],Database_Productkaarten[#All],48,FALSE),0)*Baseline!I45),0)),IF(Baseline!C45="Nieuwe Situatie",_xlfn.IFNA(VLOOKUP(Baseline!T45,Database_Transport[#All],42,FALSE)*(Baseline!Q45*Baseline!S45),Baseline_Backlog!H148),0))</f>
        <v>0</v>
      </c>
      <c r="I358" s="77">
        <f>IF(Baseline!C45="Nieuwe situatie",IF(_xlfn.IFNA((VLOOKUP(Baseline!U45,Database_Asfalt_Aanlegset[#All],42,FALSE)*Baseline!I45),0)+_xlfn.IFNA(VLOOKUP(Baseline!V45,Database_Brandstoffen[#All],42,FALSE)*((Baseline!I45/Baseline!X45)*Baseline!W45),0)&gt;0,_xlfn.IFNA((VLOOKUP(Baseline!U45,Database_Asfalt_Aanlegset[#All],42,FALSE)*Baseline!I45),0)+_xlfn.IFNA(VLOOKUP(Baseline!V45,Database_Brandstoffen[#All],42,FALSE)*((Baseline!I45/Baseline!X45)*Baseline!W45),0),(_xlfn.IFNA(VLOOKUP(Referentie_Hernieuwbare_Energie_Totaal[[#This Row],[Product]]&amp;", "&amp;Referentie_MKI_Totaal[[#Headers],[A5]],Database_Productkaarten[#All],48,FALSE),0)*Baseline!I45)),0)</f>
        <v>0</v>
      </c>
      <c r="J358" s="77">
        <f>(IF(Baseline!C45="Nieuwe Situatie",(_xlfn.IFNA(VLOOKUP(Referentie_Hernieuwbare_Energie_Totaal[[#This Row],[Product]]&amp;", "&amp;Referentie_Hernieuwbare_Energie_Totaal[[#Headers],[B1]],Database_Productkaarten[#All],48,FALSE),0)*Baseline!I45),0))</f>
        <v>0</v>
      </c>
      <c r="K358" s="77">
        <f>(IF(Baseline!C45="Nieuwe Situatie",(SUM(Referentie_Hernieuwbare_Energie_Totaal[[#This Row],[A1]:[B1]],Referentie_Hernieuwbare_Energie_Totaal[[#This Row],[C1]:[D2]])*Baseline!R45),0))</f>
        <v>0</v>
      </c>
      <c r="L358" s="77">
        <f>IF(Baseline!C45="Bestaande situatie",IF(_xlfn.IFNA((VLOOKUP(Baseline!Y45,Database_Asfalt_Verwijderset[#All],42,FALSE)*Baseline!I45),0)+_xlfn.IFNA(VLOOKUP(Baseline!Z45,Database_Brandstoffen[#All],42,FALSE)*((Baseline!I45/Baseline!AB45)*Baseline!AA45),0)&gt;0,_xlfn.IFNA((VLOOKUP(Baseline!Y45,Database_Asfalt_Verwijderset[#All],42,FALSE)*Baseline!I45),0)+_xlfn.IFNA(VLOOKUP(Baseline!Z45,Database_Brandstoffen[#All],42,FALSE)*((Baseline!I45/Baseline!AB45)*Baseline!AA45),0),(_xlfn.IFNA(VLOOKUP(Referentie_Hernieuwbare_Energie_Totaal[[#This Row],[Product]]&amp;", "&amp;Referentie_MKI_Totaal[[#Headers],[C1]],Database_Productkaarten[#All],48,FALSE),0)*Baseline!I45)),0)</f>
        <v>0</v>
      </c>
      <c r="M358" s="77">
        <f>IF(Baseline!AD45=0,(IF(Baseline!C45="Bestaande Situatie",(_xlfn.IFNA(VLOOKUP(Referentie_Hernieuwbare_Energie_Totaal[[#This Row],[Product]]&amp;", "&amp;Referentie_MKI_Totaal[[#Headers],[C2]],Database_Productkaarten[#All],48,FALSE),0)*Baseline!I45),0)),(IF(Baseline!C45="Bestaande Situatie",_xlfn.IFNA(VLOOKUP(Baseline!AD45,Database_Transport[#All],42,FALSE)*(Baseline!Q45*Baseline!AC45),0))))</f>
        <v>0</v>
      </c>
      <c r="N358" s="77">
        <f>(IF(Baseline!C45="Bestaande Situatie",(_xlfn.IFNA(VLOOKUP(Referentie_Hernieuwbare_Energie_Totaal[[#This Row],[Product]]&amp;", "&amp;Referentie_Hernieuwbare_Energie_Totaal[[#Headers],[C3]],Database_Productkaarten[#All],48,FALSE),0)*Baseline!I45),0))</f>
        <v>0</v>
      </c>
      <c r="O358" s="77">
        <f>(IF(Baseline!C45="Bestaande Situatie",(_xlfn.IFNA(VLOOKUP(Referentie_Hernieuwbare_Energie_Totaal[[#This Row],[Product]]&amp;", "&amp;Referentie_Hernieuwbare_Energie_Totaal[[#Headers],[C4]],Database_Productkaarten[#All],48,FALSE),0)*Baseline!I45),0))</f>
        <v>0</v>
      </c>
      <c r="P358" s="77">
        <f>(IF(Baseline!C45="Bestaande Situatie",(_xlfn.IFNA(VLOOKUP(Referentie_Hernieuwbare_Energie_Totaal[[#This Row],[Product]]&amp;", "&amp;Referentie_Hernieuwbare_Energie_Totaal[[#Headers],[D1]],Database_Productkaarten[#All],48,FALSE),0)*Baseline!I45),0))</f>
        <v>0</v>
      </c>
      <c r="Q358" s="78">
        <f>(IF(Baseline!C45="Bestaande Situatie",_xlfn.IFNA(VLOOKUP(Referentie_Hernieuwbare_Energie_Totaal[[#This Row],[Product]]&amp;", "&amp;Referentie_Hernieuwbare_Energie_Totaal[[#Headers],[D2]],Database_Productkaarten[#All],48,FALSE),0)*Baseline!I45,0))</f>
        <v>0</v>
      </c>
      <c r="R358" s="57">
        <f>(IF(Baseline!C45="Bestaande Situatie",_xlfn.IFNA(VLOOKUP(Referentie_Hernieuwbare_Energie_Totaal[[#This Row],[Product]]&amp;", "&amp;Referentie_Hernieuwbare_Energie_Totaal[[#Headers],[D]],Database_Productkaarten[#All],48,FALSE),0)*Baseline!I45,0))</f>
        <v>0</v>
      </c>
      <c r="S358" s="56">
        <f>SUM(Referentie_Hernieuwbare_Energie_Totaal[[#This Row],[A1-A3]:[C4]])+Referentie_Hernieuwbare_Energie_Totaal[[#This Row],[D]]</f>
        <v>0</v>
      </c>
    </row>
    <row r="359" spans="2:19">
      <c r="B359" s="209">
        <f>Baseline!B46</f>
        <v>0</v>
      </c>
      <c r="C359" s="76">
        <f>Baseline!F46</f>
        <v>0</v>
      </c>
      <c r="D359" s="77">
        <f>(IF(Baseline!C46="Nieuwe Situatie",(_xlfn.IFNA(VLOOKUP(Referentie_Hernieuwbare_Energie_Totaal[[#This Row],[Product]]&amp;", "&amp;Referentie_Hernieuwbare_Energie_Totaal[[#Headers],[A1]],Database_Productkaarten[#All],48,FALSE),0)*Baseline!I46),0))</f>
        <v>0</v>
      </c>
      <c r="E359" s="77">
        <f>(IF(Baseline!C46="Nieuwe Situatie",(_xlfn.IFNA(VLOOKUP(Referentie_Hernieuwbare_Energie_Totaal[[#This Row],[Product]]&amp;", "&amp;Referentie_Hernieuwbare_Energie_Totaal[[#Headers],[A2]],Database_Productkaarten[#All],48,FALSE),0)*Baseline!I46),0))</f>
        <v>0</v>
      </c>
      <c r="F359" s="77">
        <f>(IF(Baseline!C46="Nieuwe Situatie",(_xlfn.IFNA(VLOOKUP(Referentie_Hernieuwbare_Energie_Totaal[[#This Row],[Product]]&amp;", "&amp;Referentie_Hernieuwbare_Energie_Totaal[[#Headers],[A3]],Database_Productkaarten[#All],48,FALSE),0)*Baseline!I46),0))</f>
        <v>0</v>
      </c>
      <c r="G359" s="77">
        <f>(IF(Baseline!C46="Nieuwe Situatie",(_xlfn.IFNA(VLOOKUP(Referentie_Hernieuwbare_Energie_Totaal[[#This Row],[Product]]&amp;", "&amp;Referentie_Hernieuwbare_Energie_Totaal[[#Headers],[A1-A3]],Database_Productkaarten[#All],48,FALSE),0)*Baseline!I46),0))</f>
        <v>0</v>
      </c>
      <c r="H359" s="77">
        <f>IF(Baseline!T46=0,(IF(Baseline!C46="Nieuwe Situatie",(_xlfn.IFNA(VLOOKUP(Referentie_Hernieuwbare_Energie_Totaal[[#This Row],[Product]]&amp;", "&amp;Referentie_CO2_Totaal[[#Headers],[A4]],Database_Productkaarten[#All],48,FALSE),0)*Baseline!I46),0)),IF(Baseline!C46="Nieuwe Situatie",_xlfn.IFNA(VLOOKUP(Baseline!T46,Database_Transport[#All],42,FALSE)*(Baseline!Q46*Baseline!S46),Baseline_Backlog!H149),0))</f>
        <v>0</v>
      </c>
      <c r="I359" s="77">
        <f>IF(Baseline!C46="Nieuwe situatie",IF(_xlfn.IFNA((VLOOKUP(Baseline!U46,Database_Asfalt_Aanlegset[#All],42,FALSE)*Baseline!I46),0)+_xlfn.IFNA(VLOOKUP(Baseline!V46,Database_Brandstoffen[#All],42,FALSE)*((Baseline!I46/Baseline!X46)*Baseline!W46),0)&gt;0,_xlfn.IFNA((VLOOKUP(Baseline!U46,Database_Asfalt_Aanlegset[#All],42,FALSE)*Baseline!I46),0)+_xlfn.IFNA(VLOOKUP(Baseline!V46,Database_Brandstoffen[#All],42,FALSE)*((Baseline!I46/Baseline!X46)*Baseline!W46),0),(_xlfn.IFNA(VLOOKUP(Referentie_Hernieuwbare_Energie_Totaal[[#This Row],[Product]]&amp;", "&amp;Referentie_MKI_Totaal[[#Headers],[A5]],Database_Productkaarten[#All],48,FALSE),0)*Baseline!I46)),0)</f>
        <v>0</v>
      </c>
      <c r="J359" s="77">
        <f>(IF(Baseline!C46="Nieuwe Situatie",(_xlfn.IFNA(VLOOKUP(Referentie_Hernieuwbare_Energie_Totaal[[#This Row],[Product]]&amp;", "&amp;Referentie_Hernieuwbare_Energie_Totaal[[#Headers],[B1]],Database_Productkaarten[#All],48,FALSE),0)*Baseline!I46),0))</f>
        <v>0</v>
      </c>
      <c r="K359" s="77">
        <f>(IF(Baseline!C46="Nieuwe Situatie",(SUM(Referentie_Hernieuwbare_Energie_Totaal[[#This Row],[A1]:[B1]],Referentie_Hernieuwbare_Energie_Totaal[[#This Row],[C1]:[D2]])*Baseline!R46),0))</f>
        <v>0</v>
      </c>
      <c r="L359" s="77">
        <f>IF(Baseline!C46="Bestaande situatie",IF(_xlfn.IFNA((VLOOKUP(Baseline!Y46,Database_Asfalt_Verwijderset[#All],42,FALSE)*Baseline!I46),0)+_xlfn.IFNA(VLOOKUP(Baseline!Z46,Database_Brandstoffen[#All],42,FALSE)*((Baseline!I46/Baseline!AB46)*Baseline!AA46),0)&gt;0,_xlfn.IFNA((VLOOKUP(Baseline!Y46,Database_Asfalt_Verwijderset[#All],42,FALSE)*Baseline!I46),0)+_xlfn.IFNA(VLOOKUP(Baseline!Z46,Database_Brandstoffen[#All],42,FALSE)*((Baseline!I46/Baseline!AB46)*Baseline!AA46),0),(_xlfn.IFNA(VLOOKUP(Referentie_Hernieuwbare_Energie_Totaal[[#This Row],[Product]]&amp;", "&amp;Referentie_MKI_Totaal[[#Headers],[C1]],Database_Productkaarten[#All],48,FALSE),0)*Baseline!I46)),0)</f>
        <v>0</v>
      </c>
      <c r="M359" s="77">
        <f>IF(Baseline!AD46=0,(IF(Baseline!C46="Bestaande Situatie",(_xlfn.IFNA(VLOOKUP(Referentie_Hernieuwbare_Energie_Totaal[[#This Row],[Product]]&amp;", "&amp;Referentie_MKI_Totaal[[#Headers],[C2]],Database_Productkaarten[#All],48,FALSE),0)*Baseline!I46),0)),(IF(Baseline!C46="Bestaande Situatie",_xlfn.IFNA(VLOOKUP(Baseline!AD46,Database_Transport[#All],42,FALSE)*(Baseline!Q46*Baseline!AC46),0))))</f>
        <v>0</v>
      </c>
      <c r="N359" s="77">
        <f>(IF(Baseline!C46="Bestaande Situatie",(_xlfn.IFNA(VLOOKUP(Referentie_Hernieuwbare_Energie_Totaal[[#This Row],[Product]]&amp;", "&amp;Referentie_Hernieuwbare_Energie_Totaal[[#Headers],[C3]],Database_Productkaarten[#All],48,FALSE),0)*Baseline!I46),0))</f>
        <v>0</v>
      </c>
      <c r="O359" s="77">
        <f>(IF(Baseline!C46="Bestaande Situatie",(_xlfn.IFNA(VLOOKUP(Referentie_Hernieuwbare_Energie_Totaal[[#This Row],[Product]]&amp;", "&amp;Referentie_Hernieuwbare_Energie_Totaal[[#Headers],[C4]],Database_Productkaarten[#All],48,FALSE),0)*Baseline!I46),0))</f>
        <v>0</v>
      </c>
      <c r="P359" s="77">
        <f>(IF(Baseline!C46="Bestaande Situatie",(_xlfn.IFNA(VLOOKUP(Referentie_Hernieuwbare_Energie_Totaal[[#This Row],[Product]]&amp;", "&amp;Referentie_Hernieuwbare_Energie_Totaal[[#Headers],[D1]],Database_Productkaarten[#All],48,FALSE),0)*Baseline!I46),0))</f>
        <v>0</v>
      </c>
      <c r="Q359" s="78">
        <f>(IF(Baseline!C46="Bestaande Situatie",_xlfn.IFNA(VLOOKUP(Referentie_Hernieuwbare_Energie_Totaal[[#This Row],[Product]]&amp;", "&amp;Referentie_Hernieuwbare_Energie_Totaal[[#Headers],[D2]],Database_Productkaarten[#All],48,FALSE),0)*Baseline!I46,0))</f>
        <v>0</v>
      </c>
      <c r="R359" s="57">
        <f>(IF(Baseline!C46="Bestaande Situatie",_xlfn.IFNA(VLOOKUP(Referentie_Hernieuwbare_Energie_Totaal[[#This Row],[Product]]&amp;", "&amp;Referentie_Hernieuwbare_Energie_Totaal[[#Headers],[D]],Database_Productkaarten[#All],48,FALSE),0)*Baseline!I46,0))</f>
        <v>0</v>
      </c>
      <c r="S359" s="56">
        <f>SUM(Referentie_Hernieuwbare_Energie_Totaal[[#This Row],[A1-A3]:[C4]])+Referentie_Hernieuwbare_Energie_Totaal[[#This Row],[D]]</f>
        <v>0</v>
      </c>
    </row>
    <row r="360" spans="2:19">
      <c r="B360" s="209">
        <f>Baseline!B47</f>
        <v>0</v>
      </c>
      <c r="C360" s="76">
        <f>Baseline!F47</f>
        <v>0</v>
      </c>
      <c r="D360" s="77">
        <f>(IF(Baseline!C47="Nieuwe Situatie",(_xlfn.IFNA(VLOOKUP(Referentie_Hernieuwbare_Energie_Totaal[[#This Row],[Product]]&amp;", "&amp;Referentie_Hernieuwbare_Energie_Totaal[[#Headers],[A1]],Database_Productkaarten[#All],48,FALSE),0)*Baseline!I47),0))</f>
        <v>0</v>
      </c>
      <c r="E360" s="77">
        <f>(IF(Baseline!C47="Nieuwe Situatie",(_xlfn.IFNA(VLOOKUP(Referentie_Hernieuwbare_Energie_Totaal[[#This Row],[Product]]&amp;", "&amp;Referentie_Hernieuwbare_Energie_Totaal[[#Headers],[A2]],Database_Productkaarten[#All],48,FALSE),0)*Baseline!I47),0))</f>
        <v>0</v>
      </c>
      <c r="F360" s="77">
        <f>(IF(Baseline!C47="Nieuwe Situatie",(_xlfn.IFNA(VLOOKUP(Referentie_Hernieuwbare_Energie_Totaal[[#This Row],[Product]]&amp;", "&amp;Referentie_Hernieuwbare_Energie_Totaal[[#Headers],[A3]],Database_Productkaarten[#All],48,FALSE),0)*Baseline!I47),0))</f>
        <v>0</v>
      </c>
      <c r="G360" s="77">
        <f>(IF(Baseline!C47="Nieuwe Situatie",(_xlfn.IFNA(VLOOKUP(Referentie_Hernieuwbare_Energie_Totaal[[#This Row],[Product]]&amp;", "&amp;Referentie_Hernieuwbare_Energie_Totaal[[#Headers],[A1-A3]],Database_Productkaarten[#All],48,FALSE),0)*Baseline!I47),0))</f>
        <v>0</v>
      </c>
      <c r="H360" s="77">
        <f>IF(Baseline!T47=0,(IF(Baseline!C47="Nieuwe Situatie",(_xlfn.IFNA(VLOOKUP(Referentie_Hernieuwbare_Energie_Totaal[[#This Row],[Product]]&amp;", "&amp;Referentie_CO2_Totaal[[#Headers],[A4]],Database_Productkaarten[#All],48,FALSE),0)*Baseline!I47),0)),IF(Baseline!C47="Nieuwe Situatie",_xlfn.IFNA(VLOOKUP(Baseline!T47,Database_Transport[#All],42,FALSE)*(Baseline!Q47*Baseline!S47),Baseline_Backlog!H150),0))</f>
        <v>0</v>
      </c>
      <c r="I360" s="77">
        <f>IF(Baseline!C47="Nieuwe situatie",IF(_xlfn.IFNA((VLOOKUP(Baseline!U47,Database_Asfalt_Aanlegset[#All],42,FALSE)*Baseline!I47),0)+_xlfn.IFNA(VLOOKUP(Baseline!V47,Database_Brandstoffen[#All],42,FALSE)*((Baseline!I47/Baseline!X47)*Baseline!W47),0)&gt;0,_xlfn.IFNA((VLOOKUP(Baseline!U47,Database_Asfalt_Aanlegset[#All],42,FALSE)*Baseline!I47),0)+_xlfn.IFNA(VLOOKUP(Baseline!V47,Database_Brandstoffen[#All],42,FALSE)*((Baseline!I47/Baseline!X47)*Baseline!W47),0),(_xlfn.IFNA(VLOOKUP(Referentie_Hernieuwbare_Energie_Totaal[[#This Row],[Product]]&amp;", "&amp;Referentie_MKI_Totaal[[#Headers],[A5]],Database_Productkaarten[#All],48,FALSE),0)*Baseline!I47)),0)</f>
        <v>0</v>
      </c>
      <c r="J360" s="77">
        <f>(IF(Baseline!C47="Nieuwe Situatie",(_xlfn.IFNA(VLOOKUP(Referentie_Hernieuwbare_Energie_Totaal[[#This Row],[Product]]&amp;", "&amp;Referentie_Hernieuwbare_Energie_Totaal[[#Headers],[B1]],Database_Productkaarten[#All],48,FALSE),0)*Baseline!I47),0))</f>
        <v>0</v>
      </c>
      <c r="K360" s="77">
        <f>(IF(Baseline!C47="Nieuwe Situatie",(SUM(Referentie_Hernieuwbare_Energie_Totaal[[#This Row],[A1]:[B1]],Referentie_Hernieuwbare_Energie_Totaal[[#This Row],[C1]:[D2]])*Baseline!R47),0))</f>
        <v>0</v>
      </c>
      <c r="L360" s="77">
        <f>IF(Baseline!C47="Bestaande situatie",IF(_xlfn.IFNA((VLOOKUP(Baseline!Y47,Database_Asfalt_Verwijderset[#All],42,FALSE)*Baseline!I47),0)+_xlfn.IFNA(VLOOKUP(Baseline!Z47,Database_Brandstoffen[#All],42,FALSE)*((Baseline!I47/Baseline!AB47)*Baseline!AA47),0)&gt;0,_xlfn.IFNA((VLOOKUP(Baseline!Y47,Database_Asfalt_Verwijderset[#All],42,FALSE)*Baseline!I47),0)+_xlfn.IFNA(VLOOKUP(Baseline!Z47,Database_Brandstoffen[#All],42,FALSE)*((Baseline!I47/Baseline!AB47)*Baseline!AA47),0),(_xlfn.IFNA(VLOOKUP(Referentie_Hernieuwbare_Energie_Totaal[[#This Row],[Product]]&amp;", "&amp;Referentie_MKI_Totaal[[#Headers],[C1]],Database_Productkaarten[#All],48,FALSE),0)*Baseline!I47)),0)</f>
        <v>0</v>
      </c>
      <c r="M360" s="77">
        <f>IF(Baseline!AD47=0,(IF(Baseline!C47="Bestaande Situatie",(_xlfn.IFNA(VLOOKUP(Referentie_Hernieuwbare_Energie_Totaal[[#This Row],[Product]]&amp;", "&amp;Referentie_MKI_Totaal[[#Headers],[C2]],Database_Productkaarten[#All],48,FALSE),0)*Baseline!I47),0)),(IF(Baseline!C47="Bestaande Situatie",_xlfn.IFNA(VLOOKUP(Baseline!AD47,Database_Transport[#All],42,FALSE)*(Baseline!Q47*Baseline!AC47),0))))</f>
        <v>0</v>
      </c>
      <c r="N360" s="77">
        <f>(IF(Baseline!C47="Bestaande Situatie",(_xlfn.IFNA(VLOOKUP(Referentie_Hernieuwbare_Energie_Totaal[[#This Row],[Product]]&amp;", "&amp;Referentie_Hernieuwbare_Energie_Totaal[[#Headers],[C3]],Database_Productkaarten[#All],48,FALSE),0)*Baseline!I47),0))</f>
        <v>0</v>
      </c>
      <c r="O360" s="77">
        <f>(IF(Baseline!C47="Bestaande Situatie",(_xlfn.IFNA(VLOOKUP(Referentie_Hernieuwbare_Energie_Totaal[[#This Row],[Product]]&amp;", "&amp;Referentie_Hernieuwbare_Energie_Totaal[[#Headers],[C4]],Database_Productkaarten[#All],48,FALSE),0)*Baseline!I47),0))</f>
        <v>0</v>
      </c>
      <c r="P360" s="77">
        <f>(IF(Baseline!C47="Bestaande Situatie",(_xlfn.IFNA(VLOOKUP(Referentie_Hernieuwbare_Energie_Totaal[[#This Row],[Product]]&amp;", "&amp;Referentie_Hernieuwbare_Energie_Totaal[[#Headers],[D1]],Database_Productkaarten[#All],48,FALSE),0)*Baseline!I47),0))</f>
        <v>0</v>
      </c>
      <c r="Q360" s="78">
        <f>(IF(Baseline!C47="Bestaande Situatie",_xlfn.IFNA(VLOOKUP(Referentie_Hernieuwbare_Energie_Totaal[[#This Row],[Product]]&amp;", "&amp;Referentie_Hernieuwbare_Energie_Totaal[[#Headers],[D2]],Database_Productkaarten[#All],48,FALSE),0)*Baseline!I47,0))</f>
        <v>0</v>
      </c>
      <c r="R360" s="57">
        <f>(IF(Baseline!C47="Bestaande Situatie",_xlfn.IFNA(VLOOKUP(Referentie_Hernieuwbare_Energie_Totaal[[#This Row],[Product]]&amp;", "&amp;Referentie_Hernieuwbare_Energie_Totaal[[#Headers],[D]],Database_Productkaarten[#All],48,FALSE),0)*Baseline!I47,0))</f>
        <v>0</v>
      </c>
      <c r="S360" s="56">
        <f>SUM(Referentie_Hernieuwbare_Energie_Totaal[[#This Row],[A1-A3]:[C4]])+Referentie_Hernieuwbare_Energie_Totaal[[#This Row],[D]]</f>
        <v>0</v>
      </c>
    </row>
    <row r="361" spans="2:19">
      <c r="B361" s="209">
        <f>Baseline!B48</f>
        <v>0</v>
      </c>
      <c r="C361" s="76">
        <f>Baseline!F48</f>
        <v>0</v>
      </c>
      <c r="D361" s="77">
        <f>(IF(Baseline!C48="Nieuwe Situatie",(_xlfn.IFNA(VLOOKUP(Referentie_Hernieuwbare_Energie_Totaal[[#This Row],[Product]]&amp;", "&amp;Referentie_Hernieuwbare_Energie_Totaal[[#Headers],[A1]],Database_Productkaarten[#All],48,FALSE),0)*Baseline!I48),0))</f>
        <v>0</v>
      </c>
      <c r="E361" s="77">
        <f>(IF(Baseline!C48="Nieuwe Situatie",(_xlfn.IFNA(VLOOKUP(Referentie_Hernieuwbare_Energie_Totaal[[#This Row],[Product]]&amp;", "&amp;Referentie_Hernieuwbare_Energie_Totaal[[#Headers],[A2]],Database_Productkaarten[#All],48,FALSE),0)*Baseline!I48),0))</f>
        <v>0</v>
      </c>
      <c r="F361" s="77">
        <f>(IF(Baseline!C48="Nieuwe Situatie",(_xlfn.IFNA(VLOOKUP(Referentie_Hernieuwbare_Energie_Totaal[[#This Row],[Product]]&amp;", "&amp;Referentie_Hernieuwbare_Energie_Totaal[[#Headers],[A3]],Database_Productkaarten[#All],48,FALSE),0)*Baseline!I48),0))</f>
        <v>0</v>
      </c>
      <c r="G361" s="77">
        <f>(IF(Baseline!C48="Nieuwe Situatie",(_xlfn.IFNA(VLOOKUP(Referentie_Hernieuwbare_Energie_Totaal[[#This Row],[Product]]&amp;", "&amp;Referentie_Hernieuwbare_Energie_Totaal[[#Headers],[A1-A3]],Database_Productkaarten[#All],48,FALSE),0)*Baseline!I48),0))</f>
        <v>0</v>
      </c>
      <c r="H361" s="77">
        <f>IF(Baseline!T48=0,(IF(Baseline!C48="Nieuwe Situatie",(_xlfn.IFNA(VLOOKUP(Referentie_Hernieuwbare_Energie_Totaal[[#This Row],[Product]]&amp;", "&amp;Referentie_CO2_Totaal[[#Headers],[A4]],Database_Productkaarten[#All],48,FALSE),0)*Baseline!I48),0)),IF(Baseline!C48="Nieuwe Situatie",_xlfn.IFNA(VLOOKUP(Baseline!T48,Database_Transport[#All],42,FALSE)*(Baseline!Q48*Baseline!S48),Baseline_Backlog!H151),0))</f>
        <v>0</v>
      </c>
      <c r="I361" s="77">
        <f>IF(Baseline!C48="Nieuwe situatie",IF(_xlfn.IFNA((VLOOKUP(Baseline!U48,Database_Asfalt_Aanlegset[#All],42,FALSE)*Baseline!I48),0)+_xlfn.IFNA(VLOOKUP(Baseline!V48,Database_Brandstoffen[#All],42,FALSE)*((Baseline!I48/Baseline!X48)*Baseline!W48),0)&gt;0,_xlfn.IFNA((VLOOKUP(Baseline!U48,Database_Asfalt_Aanlegset[#All],42,FALSE)*Baseline!I48),0)+_xlfn.IFNA(VLOOKUP(Baseline!V48,Database_Brandstoffen[#All],42,FALSE)*((Baseline!I48/Baseline!X48)*Baseline!W48),0),(_xlfn.IFNA(VLOOKUP(Referentie_Hernieuwbare_Energie_Totaal[[#This Row],[Product]]&amp;", "&amp;Referentie_MKI_Totaal[[#Headers],[A5]],Database_Productkaarten[#All],48,FALSE),0)*Baseline!I48)),0)</f>
        <v>0</v>
      </c>
      <c r="J361" s="77">
        <f>(IF(Baseline!C48="Nieuwe Situatie",(_xlfn.IFNA(VLOOKUP(Referentie_Hernieuwbare_Energie_Totaal[[#This Row],[Product]]&amp;", "&amp;Referentie_Hernieuwbare_Energie_Totaal[[#Headers],[B1]],Database_Productkaarten[#All],48,FALSE),0)*Baseline!I48),0))</f>
        <v>0</v>
      </c>
      <c r="K361" s="77">
        <f>(IF(Baseline!C48="Nieuwe Situatie",(SUM(Referentie_Hernieuwbare_Energie_Totaal[[#This Row],[A1]:[B1]],Referentie_Hernieuwbare_Energie_Totaal[[#This Row],[C1]:[D2]])*Baseline!R48),0))</f>
        <v>0</v>
      </c>
      <c r="L361" s="77">
        <f>IF(Baseline!C48="Bestaande situatie",IF(_xlfn.IFNA((VLOOKUP(Baseline!Y48,Database_Asfalt_Verwijderset[#All],42,FALSE)*Baseline!I48),0)+_xlfn.IFNA(VLOOKUP(Baseline!Z48,Database_Brandstoffen[#All],42,FALSE)*((Baseline!I48/Baseline!AB48)*Baseline!AA48),0)&gt;0,_xlfn.IFNA((VLOOKUP(Baseline!Y48,Database_Asfalt_Verwijderset[#All],42,FALSE)*Baseline!I48),0)+_xlfn.IFNA(VLOOKUP(Baseline!Z48,Database_Brandstoffen[#All],42,FALSE)*((Baseline!I48/Baseline!AB48)*Baseline!AA48),0),(_xlfn.IFNA(VLOOKUP(Referentie_Hernieuwbare_Energie_Totaal[[#This Row],[Product]]&amp;", "&amp;Referentie_MKI_Totaal[[#Headers],[C1]],Database_Productkaarten[#All],48,FALSE),0)*Baseline!I48)),0)</f>
        <v>0</v>
      </c>
      <c r="M361" s="77">
        <f>IF(Baseline!AD48=0,(IF(Baseline!C48="Bestaande Situatie",(_xlfn.IFNA(VLOOKUP(Referentie_Hernieuwbare_Energie_Totaal[[#This Row],[Product]]&amp;", "&amp;Referentie_MKI_Totaal[[#Headers],[C2]],Database_Productkaarten[#All],48,FALSE),0)*Baseline!I48),0)),(IF(Baseline!C48="Bestaande Situatie",_xlfn.IFNA(VLOOKUP(Baseline!AD48,Database_Transport[#All],42,FALSE)*(Baseline!Q48*Baseline!AC48),0))))</f>
        <v>0</v>
      </c>
      <c r="N361" s="77">
        <f>(IF(Baseline!C48="Bestaande Situatie",(_xlfn.IFNA(VLOOKUP(Referentie_Hernieuwbare_Energie_Totaal[[#This Row],[Product]]&amp;", "&amp;Referentie_Hernieuwbare_Energie_Totaal[[#Headers],[C3]],Database_Productkaarten[#All],48,FALSE),0)*Baseline!I48),0))</f>
        <v>0</v>
      </c>
      <c r="O361" s="77">
        <f>(IF(Baseline!C48="Bestaande Situatie",(_xlfn.IFNA(VLOOKUP(Referentie_Hernieuwbare_Energie_Totaal[[#This Row],[Product]]&amp;", "&amp;Referentie_Hernieuwbare_Energie_Totaal[[#Headers],[C4]],Database_Productkaarten[#All],48,FALSE),0)*Baseline!I48),0))</f>
        <v>0</v>
      </c>
      <c r="P361" s="77">
        <f>(IF(Baseline!C48="Bestaande Situatie",(_xlfn.IFNA(VLOOKUP(Referentie_Hernieuwbare_Energie_Totaal[[#This Row],[Product]]&amp;", "&amp;Referentie_Hernieuwbare_Energie_Totaal[[#Headers],[D1]],Database_Productkaarten[#All],48,FALSE),0)*Baseline!I48),0))</f>
        <v>0</v>
      </c>
      <c r="Q361" s="78">
        <f>(IF(Baseline!C48="Bestaande Situatie",_xlfn.IFNA(VLOOKUP(Referentie_Hernieuwbare_Energie_Totaal[[#This Row],[Product]]&amp;", "&amp;Referentie_Hernieuwbare_Energie_Totaal[[#Headers],[D2]],Database_Productkaarten[#All],48,FALSE),0)*Baseline!I48,0))</f>
        <v>0</v>
      </c>
      <c r="R361" s="57">
        <f>(IF(Baseline!C48="Bestaande Situatie",_xlfn.IFNA(VLOOKUP(Referentie_Hernieuwbare_Energie_Totaal[[#This Row],[Product]]&amp;", "&amp;Referentie_Hernieuwbare_Energie_Totaal[[#Headers],[D]],Database_Productkaarten[#All],48,FALSE),0)*Baseline!I48,0))</f>
        <v>0</v>
      </c>
      <c r="S361" s="56">
        <f>SUM(Referentie_Hernieuwbare_Energie_Totaal[[#This Row],[A1-A3]:[C4]])+Referentie_Hernieuwbare_Energie_Totaal[[#This Row],[D]]</f>
        <v>0</v>
      </c>
    </row>
    <row r="362" spans="2:19">
      <c r="B362" s="209">
        <f>Baseline!B49</f>
        <v>0</v>
      </c>
      <c r="C362" s="76">
        <f>Baseline!F49</f>
        <v>0</v>
      </c>
      <c r="D362" s="77">
        <f>(IF(Baseline!C49="Nieuwe Situatie",(_xlfn.IFNA(VLOOKUP(Referentie_Hernieuwbare_Energie_Totaal[[#This Row],[Product]]&amp;", "&amp;Referentie_Hernieuwbare_Energie_Totaal[[#Headers],[A1]],Database_Productkaarten[#All],48,FALSE),0)*Baseline!I49),0))</f>
        <v>0</v>
      </c>
      <c r="E362" s="77">
        <f>(IF(Baseline!C49="Nieuwe Situatie",(_xlfn.IFNA(VLOOKUP(Referentie_Hernieuwbare_Energie_Totaal[[#This Row],[Product]]&amp;", "&amp;Referentie_Hernieuwbare_Energie_Totaal[[#Headers],[A2]],Database_Productkaarten[#All],48,FALSE),0)*Baseline!I49),0))</f>
        <v>0</v>
      </c>
      <c r="F362" s="77">
        <f>(IF(Baseline!C49="Nieuwe Situatie",(_xlfn.IFNA(VLOOKUP(Referentie_Hernieuwbare_Energie_Totaal[[#This Row],[Product]]&amp;", "&amp;Referentie_Hernieuwbare_Energie_Totaal[[#Headers],[A3]],Database_Productkaarten[#All],48,FALSE),0)*Baseline!I49),0))</f>
        <v>0</v>
      </c>
      <c r="G362" s="77">
        <f>(IF(Baseline!C49="Nieuwe Situatie",(_xlfn.IFNA(VLOOKUP(Referentie_Hernieuwbare_Energie_Totaal[[#This Row],[Product]]&amp;", "&amp;Referentie_Hernieuwbare_Energie_Totaal[[#Headers],[A1-A3]],Database_Productkaarten[#All],48,FALSE),0)*Baseline!I49),0))</f>
        <v>0</v>
      </c>
      <c r="H362" s="77">
        <f>IF(Baseline!T49=0,(IF(Baseline!C49="Nieuwe Situatie",(_xlfn.IFNA(VLOOKUP(Referentie_Hernieuwbare_Energie_Totaal[[#This Row],[Product]]&amp;", "&amp;Referentie_CO2_Totaal[[#Headers],[A4]],Database_Productkaarten[#All],48,FALSE),0)*Baseline!I49),0)),IF(Baseline!C49="Nieuwe Situatie",_xlfn.IFNA(VLOOKUP(Baseline!T49,Database_Transport[#All],42,FALSE)*(Baseline!Q49*Baseline!S49),Baseline_Backlog!H152),0))</f>
        <v>0</v>
      </c>
      <c r="I362" s="77">
        <f>IF(Baseline!C49="Nieuwe situatie",IF(_xlfn.IFNA((VLOOKUP(Baseline!U49,Database_Asfalt_Aanlegset[#All],42,FALSE)*Baseline!I49),0)+_xlfn.IFNA(VLOOKUP(Baseline!V49,Database_Brandstoffen[#All],42,FALSE)*((Baseline!I49/Baseline!X49)*Baseline!W49),0)&gt;0,_xlfn.IFNA((VLOOKUP(Baseline!U49,Database_Asfalt_Aanlegset[#All],42,FALSE)*Baseline!I49),0)+_xlfn.IFNA(VLOOKUP(Baseline!V49,Database_Brandstoffen[#All],42,FALSE)*((Baseline!I49/Baseline!X49)*Baseline!W49),0),(_xlfn.IFNA(VLOOKUP(Referentie_Hernieuwbare_Energie_Totaal[[#This Row],[Product]]&amp;", "&amp;Referentie_MKI_Totaal[[#Headers],[A5]],Database_Productkaarten[#All],48,FALSE),0)*Baseline!I49)),0)</f>
        <v>0</v>
      </c>
      <c r="J362" s="77">
        <f>(IF(Baseline!C49="Nieuwe Situatie",(_xlfn.IFNA(VLOOKUP(Referentie_Hernieuwbare_Energie_Totaal[[#This Row],[Product]]&amp;", "&amp;Referentie_Hernieuwbare_Energie_Totaal[[#Headers],[B1]],Database_Productkaarten[#All],48,FALSE),0)*Baseline!I49),0))</f>
        <v>0</v>
      </c>
      <c r="K362" s="77">
        <f>(IF(Baseline!C49="Nieuwe Situatie",(SUM(Referentie_Hernieuwbare_Energie_Totaal[[#This Row],[A1]:[B1]],Referentie_Hernieuwbare_Energie_Totaal[[#This Row],[C1]:[D2]])*Baseline!R49),0))</f>
        <v>0</v>
      </c>
      <c r="L362" s="77">
        <f>IF(Baseline!C49="Bestaande situatie",IF(_xlfn.IFNA((VLOOKUP(Baseline!Y49,Database_Asfalt_Verwijderset[#All],42,FALSE)*Baseline!I49),0)+_xlfn.IFNA(VLOOKUP(Baseline!Z49,Database_Brandstoffen[#All],42,FALSE)*((Baseline!I49/Baseline!AB49)*Baseline!AA49),0)&gt;0,_xlfn.IFNA((VLOOKUP(Baseline!Y49,Database_Asfalt_Verwijderset[#All],42,FALSE)*Baseline!I49),0)+_xlfn.IFNA(VLOOKUP(Baseline!Z49,Database_Brandstoffen[#All],42,FALSE)*((Baseline!I49/Baseline!AB49)*Baseline!AA49),0),(_xlfn.IFNA(VLOOKUP(Referentie_Hernieuwbare_Energie_Totaal[[#This Row],[Product]]&amp;", "&amp;Referentie_MKI_Totaal[[#Headers],[C1]],Database_Productkaarten[#All],48,FALSE),0)*Baseline!I49)),0)</f>
        <v>0</v>
      </c>
      <c r="M362" s="77">
        <f>IF(Baseline!AD49=0,(IF(Baseline!C49="Bestaande Situatie",(_xlfn.IFNA(VLOOKUP(Referentie_Hernieuwbare_Energie_Totaal[[#This Row],[Product]]&amp;", "&amp;Referentie_MKI_Totaal[[#Headers],[C2]],Database_Productkaarten[#All],48,FALSE),0)*Baseline!I49),0)),(IF(Baseline!C49="Bestaande Situatie",_xlfn.IFNA(VLOOKUP(Baseline!AD49,Database_Transport[#All],42,FALSE)*(Baseline!Q49*Baseline!AC49),0))))</f>
        <v>0</v>
      </c>
      <c r="N362" s="77">
        <f>(IF(Baseline!C49="Bestaande Situatie",(_xlfn.IFNA(VLOOKUP(Referentie_Hernieuwbare_Energie_Totaal[[#This Row],[Product]]&amp;", "&amp;Referentie_Hernieuwbare_Energie_Totaal[[#Headers],[C3]],Database_Productkaarten[#All],48,FALSE),0)*Baseline!I49),0))</f>
        <v>0</v>
      </c>
      <c r="O362" s="77">
        <f>(IF(Baseline!C49="Bestaande Situatie",(_xlfn.IFNA(VLOOKUP(Referentie_Hernieuwbare_Energie_Totaal[[#This Row],[Product]]&amp;", "&amp;Referentie_Hernieuwbare_Energie_Totaal[[#Headers],[C4]],Database_Productkaarten[#All],48,FALSE),0)*Baseline!I49),0))</f>
        <v>0</v>
      </c>
      <c r="P362" s="77">
        <f>(IF(Baseline!C49="Bestaande Situatie",(_xlfn.IFNA(VLOOKUP(Referentie_Hernieuwbare_Energie_Totaal[[#This Row],[Product]]&amp;", "&amp;Referentie_Hernieuwbare_Energie_Totaal[[#Headers],[D1]],Database_Productkaarten[#All],48,FALSE),0)*Baseline!I49),0))</f>
        <v>0</v>
      </c>
      <c r="Q362" s="78">
        <f>(IF(Baseline!C49="Bestaande Situatie",_xlfn.IFNA(VLOOKUP(Referentie_Hernieuwbare_Energie_Totaal[[#This Row],[Product]]&amp;", "&amp;Referentie_Hernieuwbare_Energie_Totaal[[#Headers],[D2]],Database_Productkaarten[#All],48,FALSE),0)*Baseline!I49,0))</f>
        <v>0</v>
      </c>
      <c r="R362" s="57">
        <f>(IF(Baseline!C49="Bestaande Situatie",_xlfn.IFNA(VLOOKUP(Referentie_Hernieuwbare_Energie_Totaal[[#This Row],[Product]]&amp;", "&amp;Referentie_Hernieuwbare_Energie_Totaal[[#Headers],[D]],Database_Productkaarten[#All],48,FALSE),0)*Baseline!I49,0))</f>
        <v>0</v>
      </c>
      <c r="S362" s="56">
        <f>SUM(Referentie_Hernieuwbare_Energie_Totaal[[#This Row],[A1-A3]:[C4]])+Referentie_Hernieuwbare_Energie_Totaal[[#This Row],[D]]</f>
        <v>0</v>
      </c>
    </row>
    <row r="363" spans="2:19">
      <c r="B363" s="209">
        <f>Baseline!B50</f>
        <v>0</v>
      </c>
      <c r="C363" s="76">
        <f>Baseline!F50</f>
        <v>0</v>
      </c>
      <c r="D363" s="77">
        <f>(IF(Baseline!C50="Nieuwe Situatie",(_xlfn.IFNA(VLOOKUP(Referentie_Hernieuwbare_Energie_Totaal[[#This Row],[Product]]&amp;", "&amp;Referentie_Hernieuwbare_Energie_Totaal[[#Headers],[A1]],Database_Productkaarten[#All],48,FALSE),0)*Baseline!I50),0))</f>
        <v>0</v>
      </c>
      <c r="E363" s="77">
        <f>(IF(Baseline!C50="Nieuwe Situatie",(_xlfn.IFNA(VLOOKUP(Referentie_Hernieuwbare_Energie_Totaal[[#This Row],[Product]]&amp;", "&amp;Referentie_Hernieuwbare_Energie_Totaal[[#Headers],[A2]],Database_Productkaarten[#All],48,FALSE),0)*Baseline!I50),0))</f>
        <v>0</v>
      </c>
      <c r="F363" s="77">
        <f>(IF(Baseline!C50="Nieuwe Situatie",(_xlfn.IFNA(VLOOKUP(Referentie_Hernieuwbare_Energie_Totaal[[#This Row],[Product]]&amp;", "&amp;Referentie_Hernieuwbare_Energie_Totaal[[#Headers],[A3]],Database_Productkaarten[#All],48,FALSE),0)*Baseline!I50),0))</f>
        <v>0</v>
      </c>
      <c r="G363" s="77">
        <f>(IF(Baseline!C50="Nieuwe Situatie",(_xlfn.IFNA(VLOOKUP(Referentie_Hernieuwbare_Energie_Totaal[[#This Row],[Product]]&amp;", "&amp;Referentie_Hernieuwbare_Energie_Totaal[[#Headers],[A1-A3]],Database_Productkaarten[#All],48,FALSE),0)*Baseline!I50),0))</f>
        <v>0</v>
      </c>
      <c r="H363" s="77">
        <f>IF(Baseline!T50=0,(IF(Baseline!C50="Nieuwe Situatie",(_xlfn.IFNA(VLOOKUP(Referentie_Hernieuwbare_Energie_Totaal[[#This Row],[Product]]&amp;", "&amp;Referentie_CO2_Totaal[[#Headers],[A4]],Database_Productkaarten[#All],48,FALSE),0)*Baseline!I50),0)),IF(Baseline!C50="Nieuwe Situatie",_xlfn.IFNA(VLOOKUP(Baseline!T50,Database_Transport[#All],42,FALSE)*(Baseline!Q50*Baseline!S50),Baseline_Backlog!H153),0))</f>
        <v>0</v>
      </c>
      <c r="I363" s="77">
        <f>IF(Baseline!C50="Nieuwe situatie",IF(_xlfn.IFNA((VLOOKUP(Baseline!U50,Database_Asfalt_Aanlegset[#All],42,FALSE)*Baseline!I50),0)+_xlfn.IFNA(VLOOKUP(Baseline!V50,Database_Brandstoffen[#All],42,FALSE)*((Baseline!I50/Baseline!X50)*Baseline!W50),0)&gt;0,_xlfn.IFNA((VLOOKUP(Baseline!U50,Database_Asfalt_Aanlegset[#All],42,FALSE)*Baseline!I50),0)+_xlfn.IFNA(VLOOKUP(Baseline!V50,Database_Brandstoffen[#All],42,FALSE)*((Baseline!I50/Baseline!X50)*Baseline!W50),0),(_xlfn.IFNA(VLOOKUP(Referentie_Hernieuwbare_Energie_Totaal[[#This Row],[Product]]&amp;", "&amp;Referentie_MKI_Totaal[[#Headers],[A5]],Database_Productkaarten[#All],48,FALSE),0)*Baseline!I50)),0)</f>
        <v>0</v>
      </c>
      <c r="J363" s="77">
        <f>(IF(Baseline!C50="Nieuwe Situatie",(_xlfn.IFNA(VLOOKUP(Referentie_Hernieuwbare_Energie_Totaal[[#This Row],[Product]]&amp;", "&amp;Referentie_Hernieuwbare_Energie_Totaal[[#Headers],[B1]],Database_Productkaarten[#All],48,FALSE),0)*Baseline!I50),0))</f>
        <v>0</v>
      </c>
      <c r="K363" s="77">
        <f>(IF(Baseline!C50="Nieuwe Situatie",(SUM(Referentie_Hernieuwbare_Energie_Totaal[[#This Row],[A1]:[B1]],Referentie_Hernieuwbare_Energie_Totaal[[#This Row],[C1]:[D2]])*Baseline!R50),0))</f>
        <v>0</v>
      </c>
      <c r="L363" s="77">
        <f>IF(Baseline!C50="Bestaande situatie",IF(_xlfn.IFNA((VLOOKUP(Baseline!Y50,Database_Asfalt_Verwijderset[#All],42,FALSE)*Baseline!I50),0)+_xlfn.IFNA(VLOOKUP(Baseline!Z50,Database_Brandstoffen[#All],42,FALSE)*((Baseline!I50/Baseline!AB50)*Baseline!AA50),0)&gt;0,_xlfn.IFNA((VLOOKUP(Baseline!Y50,Database_Asfalt_Verwijderset[#All],42,FALSE)*Baseline!I50),0)+_xlfn.IFNA(VLOOKUP(Baseline!Z50,Database_Brandstoffen[#All],42,FALSE)*((Baseline!I50/Baseline!AB50)*Baseline!AA50),0),(_xlfn.IFNA(VLOOKUP(Referentie_Hernieuwbare_Energie_Totaal[[#This Row],[Product]]&amp;", "&amp;Referentie_MKI_Totaal[[#Headers],[C1]],Database_Productkaarten[#All],48,FALSE),0)*Baseline!I50)),0)</f>
        <v>0</v>
      </c>
      <c r="M363" s="77">
        <f>IF(Baseline!AD50=0,(IF(Baseline!C50="Bestaande Situatie",(_xlfn.IFNA(VLOOKUP(Referentie_Hernieuwbare_Energie_Totaal[[#This Row],[Product]]&amp;", "&amp;Referentie_MKI_Totaal[[#Headers],[C2]],Database_Productkaarten[#All],48,FALSE),0)*Baseline!I50),0)),(IF(Baseline!C50="Bestaande Situatie",_xlfn.IFNA(VLOOKUP(Baseline!AD50,Database_Transport[#All],42,FALSE)*(Baseline!Q50*Baseline!AC50),0))))</f>
        <v>0</v>
      </c>
      <c r="N363" s="77">
        <f>(IF(Baseline!C50="Bestaande Situatie",(_xlfn.IFNA(VLOOKUP(Referentie_Hernieuwbare_Energie_Totaal[[#This Row],[Product]]&amp;", "&amp;Referentie_Hernieuwbare_Energie_Totaal[[#Headers],[C3]],Database_Productkaarten[#All],48,FALSE),0)*Baseline!I50),0))</f>
        <v>0</v>
      </c>
      <c r="O363" s="77">
        <f>(IF(Baseline!C50="Bestaande Situatie",(_xlfn.IFNA(VLOOKUP(Referentie_Hernieuwbare_Energie_Totaal[[#This Row],[Product]]&amp;", "&amp;Referentie_Hernieuwbare_Energie_Totaal[[#Headers],[C4]],Database_Productkaarten[#All],48,FALSE),0)*Baseline!I50),0))</f>
        <v>0</v>
      </c>
      <c r="P363" s="77">
        <f>(IF(Baseline!C50="Bestaande Situatie",(_xlfn.IFNA(VLOOKUP(Referentie_Hernieuwbare_Energie_Totaal[[#This Row],[Product]]&amp;", "&amp;Referentie_Hernieuwbare_Energie_Totaal[[#Headers],[D1]],Database_Productkaarten[#All],48,FALSE),0)*Baseline!I50),0))</f>
        <v>0</v>
      </c>
      <c r="Q363" s="78">
        <f>(IF(Baseline!C50="Bestaande Situatie",_xlfn.IFNA(VLOOKUP(Referentie_Hernieuwbare_Energie_Totaal[[#This Row],[Product]]&amp;", "&amp;Referentie_Hernieuwbare_Energie_Totaal[[#Headers],[D2]],Database_Productkaarten[#All],48,FALSE),0)*Baseline!I50,0))</f>
        <v>0</v>
      </c>
      <c r="R363" s="57">
        <f>(IF(Baseline!C50="Bestaande Situatie",_xlfn.IFNA(VLOOKUP(Referentie_Hernieuwbare_Energie_Totaal[[#This Row],[Product]]&amp;", "&amp;Referentie_Hernieuwbare_Energie_Totaal[[#Headers],[D]],Database_Productkaarten[#All],48,FALSE),0)*Baseline!I50,0))</f>
        <v>0</v>
      </c>
      <c r="S363" s="56">
        <f>SUM(Referentie_Hernieuwbare_Energie_Totaal[[#This Row],[A1-A3]:[C4]])+Referentie_Hernieuwbare_Energie_Totaal[[#This Row],[D]]</f>
        <v>0</v>
      </c>
    </row>
    <row r="364" spans="2:19">
      <c r="B364" s="209">
        <f>Baseline!B51</f>
        <v>0</v>
      </c>
      <c r="C364" s="76">
        <f>Baseline!F51</f>
        <v>0</v>
      </c>
      <c r="D364" s="77">
        <f>(IF(Baseline!C51="Nieuwe Situatie",(_xlfn.IFNA(VLOOKUP(Referentie_Hernieuwbare_Energie_Totaal[[#This Row],[Product]]&amp;", "&amp;Referentie_Hernieuwbare_Energie_Totaal[[#Headers],[A1]],Database_Productkaarten[#All],48,FALSE),0)*Baseline!I51),0))</f>
        <v>0</v>
      </c>
      <c r="E364" s="77">
        <f>(IF(Baseline!C51="Nieuwe Situatie",(_xlfn.IFNA(VLOOKUP(Referentie_Hernieuwbare_Energie_Totaal[[#This Row],[Product]]&amp;", "&amp;Referentie_Hernieuwbare_Energie_Totaal[[#Headers],[A2]],Database_Productkaarten[#All],48,FALSE),0)*Baseline!I51),0))</f>
        <v>0</v>
      </c>
      <c r="F364" s="77">
        <f>(IF(Baseline!C51="Nieuwe Situatie",(_xlfn.IFNA(VLOOKUP(Referentie_Hernieuwbare_Energie_Totaal[[#This Row],[Product]]&amp;", "&amp;Referentie_Hernieuwbare_Energie_Totaal[[#Headers],[A3]],Database_Productkaarten[#All],48,FALSE),0)*Baseline!I51),0))</f>
        <v>0</v>
      </c>
      <c r="G364" s="77">
        <f>(IF(Baseline!C51="Nieuwe Situatie",(_xlfn.IFNA(VLOOKUP(Referentie_Hernieuwbare_Energie_Totaal[[#This Row],[Product]]&amp;", "&amp;Referentie_Hernieuwbare_Energie_Totaal[[#Headers],[A1-A3]],Database_Productkaarten[#All],48,FALSE),0)*Baseline!I51),0))</f>
        <v>0</v>
      </c>
      <c r="H364" s="77">
        <f>IF(Baseline!T51=0,(IF(Baseline!C51="Nieuwe Situatie",(_xlfn.IFNA(VLOOKUP(Referentie_Hernieuwbare_Energie_Totaal[[#This Row],[Product]]&amp;", "&amp;Referentie_CO2_Totaal[[#Headers],[A4]],Database_Productkaarten[#All],48,FALSE),0)*Baseline!I51),0)),IF(Baseline!C51="Nieuwe Situatie",_xlfn.IFNA(VLOOKUP(Baseline!T51,Database_Transport[#All],42,FALSE)*(Baseline!Q51*Baseline!S51),Baseline_Backlog!H154),0))</f>
        <v>0</v>
      </c>
      <c r="I364" s="77">
        <f>IF(Baseline!C51="Nieuwe situatie",IF(_xlfn.IFNA((VLOOKUP(Baseline!U51,Database_Asfalt_Aanlegset[#All],42,FALSE)*Baseline!I51),0)+_xlfn.IFNA(VLOOKUP(Baseline!V51,Database_Brandstoffen[#All],42,FALSE)*((Baseline!I51/Baseline!X51)*Baseline!W51),0)&gt;0,_xlfn.IFNA((VLOOKUP(Baseline!U51,Database_Asfalt_Aanlegset[#All],42,FALSE)*Baseline!I51),0)+_xlfn.IFNA(VLOOKUP(Baseline!V51,Database_Brandstoffen[#All],42,FALSE)*((Baseline!I51/Baseline!X51)*Baseline!W51),0),(_xlfn.IFNA(VLOOKUP(Referentie_Hernieuwbare_Energie_Totaal[[#This Row],[Product]]&amp;", "&amp;Referentie_MKI_Totaal[[#Headers],[A5]],Database_Productkaarten[#All],48,FALSE),0)*Baseline!I51)),0)</f>
        <v>0</v>
      </c>
      <c r="J364" s="77">
        <f>(IF(Baseline!C51="Nieuwe Situatie",(_xlfn.IFNA(VLOOKUP(Referentie_Hernieuwbare_Energie_Totaal[[#This Row],[Product]]&amp;", "&amp;Referentie_Hernieuwbare_Energie_Totaal[[#Headers],[B1]],Database_Productkaarten[#All],48,FALSE),0)*Baseline!I51),0))</f>
        <v>0</v>
      </c>
      <c r="K364" s="77">
        <f>(IF(Baseline!C51="Nieuwe Situatie",(SUM(Referentie_Hernieuwbare_Energie_Totaal[[#This Row],[A1]:[B1]],Referentie_Hernieuwbare_Energie_Totaal[[#This Row],[C1]:[D2]])*Baseline!R51),0))</f>
        <v>0</v>
      </c>
      <c r="L364" s="77">
        <f>IF(Baseline!C51="Bestaande situatie",IF(_xlfn.IFNA((VLOOKUP(Baseline!Y51,Database_Asfalt_Verwijderset[#All],42,FALSE)*Baseline!I51),0)+_xlfn.IFNA(VLOOKUP(Baseline!Z51,Database_Brandstoffen[#All],42,FALSE)*((Baseline!I51/Baseline!AB51)*Baseline!AA51),0)&gt;0,_xlfn.IFNA((VLOOKUP(Baseline!Y51,Database_Asfalt_Verwijderset[#All],42,FALSE)*Baseline!I51),0)+_xlfn.IFNA(VLOOKUP(Baseline!Z51,Database_Brandstoffen[#All],42,FALSE)*((Baseline!I51/Baseline!AB51)*Baseline!AA51),0),(_xlfn.IFNA(VLOOKUP(Referentie_Hernieuwbare_Energie_Totaal[[#This Row],[Product]]&amp;", "&amp;Referentie_MKI_Totaal[[#Headers],[C1]],Database_Productkaarten[#All],48,FALSE),0)*Baseline!I51)),0)</f>
        <v>0</v>
      </c>
      <c r="M364" s="77">
        <f>IF(Baseline!AD51=0,(IF(Baseline!C51="Bestaande Situatie",(_xlfn.IFNA(VLOOKUP(Referentie_Hernieuwbare_Energie_Totaal[[#This Row],[Product]]&amp;", "&amp;Referentie_MKI_Totaal[[#Headers],[C2]],Database_Productkaarten[#All],48,FALSE),0)*Baseline!I51),0)),(IF(Baseline!C51="Bestaande Situatie",_xlfn.IFNA(VLOOKUP(Baseline!AD51,Database_Transport[#All],42,FALSE)*(Baseline!Q51*Baseline!AC51),0))))</f>
        <v>0</v>
      </c>
      <c r="N364" s="77">
        <f>(IF(Baseline!C51="Bestaande Situatie",(_xlfn.IFNA(VLOOKUP(Referentie_Hernieuwbare_Energie_Totaal[[#This Row],[Product]]&amp;", "&amp;Referentie_Hernieuwbare_Energie_Totaal[[#Headers],[C3]],Database_Productkaarten[#All],48,FALSE),0)*Baseline!I51),0))</f>
        <v>0</v>
      </c>
      <c r="O364" s="77">
        <f>(IF(Baseline!C51="Bestaande Situatie",(_xlfn.IFNA(VLOOKUP(Referentie_Hernieuwbare_Energie_Totaal[[#This Row],[Product]]&amp;", "&amp;Referentie_Hernieuwbare_Energie_Totaal[[#Headers],[C4]],Database_Productkaarten[#All],48,FALSE),0)*Baseline!I51),0))</f>
        <v>0</v>
      </c>
      <c r="P364" s="77">
        <f>(IF(Baseline!C51="Bestaande Situatie",(_xlfn.IFNA(VLOOKUP(Referentie_Hernieuwbare_Energie_Totaal[[#This Row],[Product]]&amp;", "&amp;Referentie_Hernieuwbare_Energie_Totaal[[#Headers],[D1]],Database_Productkaarten[#All],48,FALSE),0)*Baseline!I51),0))</f>
        <v>0</v>
      </c>
      <c r="Q364" s="78">
        <f>(IF(Baseline!C51="Bestaande Situatie",_xlfn.IFNA(VLOOKUP(Referentie_Hernieuwbare_Energie_Totaal[[#This Row],[Product]]&amp;", "&amp;Referentie_Hernieuwbare_Energie_Totaal[[#Headers],[D2]],Database_Productkaarten[#All],48,FALSE),0)*Baseline!I51,0))</f>
        <v>0</v>
      </c>
      <c r="R364" s="57">
        <f>(IF(Baseline!C51="Bestaande Situatie",_xlfn.IFNA(VLOOKUP(Referentie_Hernieuwbare_Energie_Totaal[[#This Row],[Product]]&amp;", "&amp;Referentie_Hernieuwbare_Energie_Totaal[[#Headers],[D]],Database_Productkaarten[#All],48,FALSE),0)*Baseline!I51,0))</f>
        <v>0</v>
      </c>
      <c r="S364" s="56">
        <f>SUM(Referentie_Hernieuwbare_Energie_Totaal[[#This Row],[A1-A3]:[C4]])+Referentie_Hernieuwbare_Energie_Totaal[[#This Row],[D]]</f>
        <v>0</v>
      </c>
    </row>
    <row r="365" spans="2:19">
      <c r="B365" s="209">
        <f>Baseline!B52</f>
        <v>0</v>
      </c>
      <c r="C365" s="76">
        <f>Baseline!F52</f>
        <v>0</v>
      </c>
      <c r="D365" s="77">
        <f>(IF(Baseline!C52="Nieuwe Situatie",(_xlfn.IFNA(VLOOKUP(Referentie_Hernieuwbare_Energie_Totaal[[#This Row],[Product]]&amp;", "&amp;Referentie_Hernieuwbare_Energie_Totaal[[#Headers],[A1]],Database_Productkaarten[#All],48,FALSE),0)*Baseline!I52),0))</f>
        <v>0</v>
      </c>
      <c r="E365" s="77">
        <f>(IF(Baseline!C52="Nieuwe Situatie",(_xlfn.IFNA(VLOOKUP(Referentie_Hernieuwbare_Energie_Totaal[[#This Row],[Product]]&amp;", "&amp;Referentie_Hernieuwbare_Energie_Totaal[[#Headers],[A2]],Database_Productkaarten[#All],48,FALSE),0)*Baseline!I52),0))</f>
        <v>0</v>
      </c>
      <c r="F365" s="77">
        <f>(IF(Baseline!C52="Nieuwe Situatie",(_xlfn.IFNA(VLOOKUP(Referentie_Hernieuwbare_Energie_Totaal[[#This Row],[Product]]&amp;", "&amp;Referentie_Hernieuwbare_Energie_Totaal[[#Headers],[A3]],Database_Productkaarten[#All],48,FALSE),0)*Baseline!I52),0))</f>
        <v>0</v>
      </c>
      <c r="G365" s="77">
        <f>(IF(Baseline!C52="Nieuwe Situatie",(_xlfn.IFNA(VLOOKUP(Referentie_Hernieuwbare_Energie_Totaal[[#This Row],[Product]]&amp;", "&amp;Referentie_Hernieuwbare_Energie_Totaal[[#Headers],[A1-A3]],Database_Productkaarten[#All],48,FALSE),0)*Baseline!I52),0))</f>
        <v>0</v>
      </c>
      <c r="H365" s="77">
        <f>IF(Baseline!T52=0,(IF(Baseline!C52="Nieuwe Situatie",(_xlfn.IFNA(VLOOKUP(Referentie_Hernieuwbare_Energie_Totaal[[#This Row],[Product]]&amp;", "&amp;Referentie_CO2_Totaal[[#Headers],[A4]],Database_Productkaarten[#All],48,FALSE),0)*Baseline!I52),0)),IF(Baseline!C52="Nieuwe Situatie",_xlfn.IFNA(VLOOKUP(Baseline!T52,Database_Transport[#All],42,FALSE)*(Baseline!Q52*Baseline!S52),Baseline_Backlog!H155),0))</f>
        <v>0</v>
      </c>
      <c r="I365" s="77">
        <f>IF(Baseline!C52="Nieuwe situatie",IF(_xlfn.IFNA((VLOOKUP(Baseline!U52,Database_Asfalt_Aanlegset[#All],42,FALSE)*Baseline!I52),0)+_xlfn.IFNA(VLOOKUP(Baseline!V52,Database_Brandstoffen[#All],42,FALSE)*((Baseline!I52/Baseline!X52)*Baseline!W52),0)&gt;0,_xlfn.IFNA((VLOOKUP(Baseline!U52,Database_Asfalt_Aanlegset[#All],42,FALSE)*Baseline!I52),0)+_xlfn.IFNA(VLOOKUP(Baseline!V52,Database_Brandstoffen[#All],42,FALSE)*((Baseline!I52/Baseline!X52)*Baseline!W52),0),(_xlfn.IFNA(VLOOKUP(Referentie_Hernieuwbare_Energie_Totaal[[#This Row],[Product]]&amp;", "&amp;Referentie_MKI_Totaal[[#Headers],[A5]],Database_Productkaarten[#All],48,FALSE),0)*Baseline!I52)),0)</f>
        <v>0</v>
      </c>
      <c r="J365" s="77">
        <f>(IF(Baseline!C52="Nieuwe Situatie",(_xlfn.IFNA(VLOOKUP(Referentie_Hernieuwbare_Energie_Totaal[[#This Row],[Product]]&amp;", "&amp;Referentie_Hernieuwbare_Energie_Totaal[[#Headers],[B1]],Database_Productkaarten[#All],48,FALSE),0)*Baseline!I52),0))</f>
        <v>0</v>
      </c>
      <c r="K365" s="77">
        <f>(IF(Baseline!C52="Nieuwe Situatie",(SUM(Referentie_Hernieuwbare_Energie_Totaal[[#This Row],[A1]:[B1]],Referentie_Hernieuwbare_Energie_Totaal[[#This Row],[C1]:[D2]])*Baseline!R52),0))</f>
        <v>0</v>
      </c>
      <c r="L365" s="77">
        <f>IF(Baseline!C52="Bestaande situatie",IF(_xlfn.IFNA((VLOOKUP(Baseline!Y52,Database_Asfalt_Verwijderset[#All],42,FALSE)*Baseline!I52),0)+_xlfn.IFNA(VLOOKUP(Baseline!Z52,Database_Brandstoffen[#All],42,FALSE)*((Baseline!I52/Baseline!AB52)*Baseline!AA52),0)&gt;0,_xlfn.IFNA((VLOOKUP(Baseline!Y52,Database_Asfalt_Verwijderset[#All],42,FALSE)*Baseline!I52),0)+_xlfn.IFNA(VLOOKUP(Baseline!Z52,Database_Brandstoffen[#All],42,FALSE)*((Baseline!I52/Baseline!AB52)*Baseline!AA52),0),(_xlfn.IFNA(VLOOKUP(Referentie_Hernieuwbare_Energie_Totaal[[#This Row],[Product]]&amp;", "&amp;Referentie_MKI_Totaal[[#Headers],[C1]],Database_Productkaarten[#All],48,FALSE),0)*Baseline!I52)),0)</f>
        <v>0</v>
      </c>
      <c r="M365" s="77">
        <f>IF(Baseline!AD52=0,(IF(Baseline!C52="Bestaande Situatie",(_xlfn.IFNA(VLOOKUP(Referentie_Hernieuwbare_Energie_Totaal[[#This Row],[Product]]&amp;", "&amp;Referentie_MKI_Totaal[[#Headers],[C2]],Database_Productkaarten[#All],48,FALSE),0)*Baseline!I52),0)),(IF(Baseline!C52="Bestaande Situatie",_xlfn.IFNA(VLOOKUP(Baseline!AD52,Database_Transport[#All],42,FALSE)*(Baseline!Q52*Baseline!AC52),0))))</f>
        <v>0</v>
      </c>
      <c r="N365" s="77">
        <f>(IF(Baseline!C52="Bestaande Situatie",(_xlfn.IFNA(VLOOKUP(Referentie_Hernieuwbare_Energie_Totaal[[#This Row],[Product]]&amp;", "&amp;Referentie_Hernieuwbare_Energie_Totaal[[#Headers],[C3]],Database_Productkaarten[#All],48,FALSE),0)*Baseline!I52),0))</f>
        <v>0</v>
      </c>
      <c r="O365" s="77">
        <f>(IF(Baseline!C52="Bestaande Situatie",(_xlfn.IFNA(VLOOKUP(Referentie_Hernieuwbare_Energie_Totaal[[#This Row],[Product]]&amp;", "&amp;Referentie_Hernieuwbare_Energie_Totaal[[#Headers],[C4]],Database_Productkaarten[#All],48,FALSE),0)*Baseline!I52),0))</f>
        <v>0</v>
      </c>
      <c r="P365" s="77">
        <f>(IF(Baseline!C52="Bestaande Situatie",(_xlfn.IFNA(VLOOKUP(Referentie_Hernieuwbare_Energie_Totaal[[#This Row],[Product]]&amp;", "&amp;Referentie_Hernieuwbare_Energie_Totaal[[#Headers],[D1]],Database_Productkaarten[#All],48,FALSE),0)*Baseline!I52),0))</f>
        <v>0</v>
      </c>
      <c r="Q365" s="78">
        <f>(IF(Baseline!C52="Bestaande Situatie",_xlfn.IFNA(VLOOKUP(Referentie_Hernieuwbare_Energie_Totaal[[#This Row],[Product]]&amp;", "&amp;Referentie_Hernieuwbare_Energie_Totaal[[#Headers],[D2]],Database_Productkaarten[#All],48,FALSE),0)*Baseline!I52,0))</f>
        <v>0</v>
      </c>
      <c r="R365" s="57">
        <f>(IF(Baseline!C52="Bestaande Situatie",_xlfn.IFNA(VLOOKUP(Referentie_Hernieuwbare_Energie_Totaal[[#This Row],[Product]]&amp;", "&amp;Referentie_Hernieuwbare_Energie_Totaal[[#Headers],[D]],Database_Productkaarten[#All],48,FALSE),0)*Baseline!I52,0))</f>
        <v>0</v>
      </c>
      <c r="S365" s="56">
        <f>SUM(Referentie_Hernieuwbare_Energie_Totaal[[#This Row],[A1-A3]:[C4]])+Referentie_Hernieuwbare_Energie_Totaal[[#This Row],[D]]</f>
        <v>0</v>
      </c>
    </row>
    <row r="366" spans="2:19">
      <c r="B366" s="209">
        <f>Baseline!B53</f>
        <v>0</v>
      </c>
      <c r="C366" s="76">
        <f>Baseline!F53</f>
        <v>0</v>
      </c>
      <c r="D366" s="77">
        <f>(IF(Baseline!C53="Nieuwe Situatie",(_xlfn.IFNA(VLOOKUP(Referentie_Hernieuwbare_Energie_Totaal[[#This Row],[Product]]&amp;", "&amp;Referentie_Hernieuwbare_Energie_Totaal[[#Headers],[A1]],Database_Productkaarten[#All],48,FALSE),0)*Baseline!I53),0))</f>
        <v>0</v>
      </c>
      <c r="E366" s="77">
        <f>(IF(Baseline!C53="Nieuwe Situatie",(_xlfn.IFNA(VLOOKUP(Referentie_Hernieuwbare_Energie_Totaal[[#This Row],[Product]]&amp;", "&amp;Referentie_Hernieuwbare_Energie_Totaal[[#Headers],[A2]],Database_Productkaarten[#All],48,FALSE),0)*Baseline!I53),0))</f>
        <v>0</v>
      </c>
      <c r="F366" s="77">
        <f>(IF(Baseline!C53="Nieuwe Situatie",(_xlfn.IFNA(VLOOKUP(Referentie_Hernieuwbare_Energie_Totaal[[#This Row],[Product]]&amp;", "&amp;Referentie_Hernieuwbare_Energie_Totaal[[#Headers],[A3]],Database_Productkaarten[#All],48,FALSE),0)*Baseline!I53),0))</f>
        <v>0</v>
      </c>
      <c r="G366" s="77">
        <f>(IF(Baseline!C53="Nieuwe Situatie",(_xlfn.IFNA(VLOOKUP(Referentie_Hernieuwbare_Energie_Totaal[[#This Row],[Product]]&amp;", "&amp;Referentie_Hernieuwbare_Energie_Totaal[[#Headers],[A1-A3]],Database_Productkaarten[#All],48,FALSE),0)*Baseline!I53),0))</f>
        <v>0</v>
      </c>
      <c r="H366" s="77">
        <f>IF(Baseline!T53=0,(IF(Baseline!C53="Nieuwe Situatie",(_xlfn.IFNA(VLOOKUP(Referentie_Hernieuwbare_Energie_Totaal[[#This Row],[Product]]&amp;", "&amp;Referentie_CO2_Totaal[[#Headers],[A4]],Database_Productkaarten[#All],48,FALSE),0)*Baseline!I53),0)),IF(Baseline!C53="Nieuwe Situatie",_xlfn.IFNA(VLOOKUP(Baseline!T53,Database_Transport[#All],42,FALSE)*(Baseline!Q53*Baseline!S53),Baseline_Backlog!H156),0))</f>
        <v>0</v>
      </c>
      <c r="I366" s="77">
        <f>IF(Baseline!C53="Nieuwe situatie",IF(_xlfn.IFNA((VLOOKUP(Baseline!U53,Database_Asfalt_Aanlegset[#All],42,FALSE)*Baseline!I53),0)+_xlfn.IFNA(VLOOKUP(Baseline!V53,Database_Brandstoffen[#All],42,FALSE)*((Baseline!I53/Baseline!X53)*Baseline!W53),0)&gt;0,_xlfn.IFNA((VLOOKUP(Baseline!U53,Database_Asfalt_Aanlegset[#All],42,FALSE)*Baseline!I53),0)+_xlfn.IFNA(VLOOKUP(Baseline!V53,Database_Brandstoffen[#All],42,FALSE)*((Baseline!I53/Baseline!X53)*Baseline!W53),0),(_xlfn.IFNA(VLOOKUP(Referentie_Hernieuwbare_Energie_Totaal[[#This Row],[Product]]&amp;", "&amp;Referentie_MKI_Totaal[[#Headers],[A5]],Database_Productkaarten[#All],48,FALSE),0)*Baseline!I53)),0)</f>
        <v>0</v>
      </c>
      <c r="J366" s="77">
        <f>(IF(Baseline!C53="Nieuwe Situatie",(_xlfn.IFNA(VLOOKUP(Referentie_Hernieuwbare_Energie_Totaal[[#This Row],[Product]]&amp;", "&amp;Referentie_Hernieuwbare_Energie_Totaal[[#Headers],[B1]],Database_Productkaarten[#All],48,FALSE),0)*Baseline!I53),0))</f>
        <v>0</v>
      </c>
      <c r="K366" s="77">
        <f>(IF(Baseline!C53="Nieuwe Situatie",(SUM(Referentie_Hernieuwbare_Energie_Totaal[[#This Row],[A1]:[B1]],Referentie_Hernieuwbare_Energie_Totaal[[#This Row],[C1]:[D2]])*Baseline!R53),0))</f>
        <v>0</v>
      </c>
      <c r="L366" s="77">
        <f>IF(Baseline!C53="Bestaande situatie",IF(_xlfn.IFNA((VLOOKUP(Baseline!Y53,Database_Asfalt_Verwijderset[#All],42,FALSE)*Baseline!I53),0)+_xlfn.IFNA(VLOOKUP(Baseline!Z53,Database_Brandstoffen[#All],42,FALSE)*((Baseline!I53/Baseline!AB53)*Baseline!AA53),0)&gt;0,_xlfn.IFNA((VLOOKUP(Baseline!Y53,Database_Asfalt_Verwijderset[#All],42,FALSE)*Baseline!I53),0)+_xlfn.IFNA(VLOOKUP(Baseline!Z53,Database_Brandstoffen[#All],42,FALSE)*((Baseline!I53/Baseline!AB53)*Baseline!AA53),0),(_xlfn.IFNA(VLOOKUP(Referentie_Hernieuwbare_Energie_Totaal[[#This Row],[Product]]&amp;", "&amp;Referentie_MKI_Totaal[[#Headers],[C1]],Database_Productkaarten[#All],48,FALSE),0)*Baseline!I53)),0)</f>
        <v>0</v>
      </c>
      <c r="M366" s="77">
        <f>IF(Baseline!AD53=0,(IF(Baseline!C53="Bestaande Situatie",(_xlfn.IFNA(VLOOKUP(Referentie_Hernieuwbare_Energie_Totaal[[#This Row],[Product]]&amp;", "&amp;Referentie_MKI_Totaal[[#Headers],[C2]],Database_Productkaarten[#All],48,FALSE),0)*Baseline!I53),0)),(IF(Baseline!C53="Bestaande Situatie",_xlfn.IFNA(VLOOKUP(Baseline!AD53,Database_Transport[#All],42,FALSE)*(Baseline!Q53*Baseline!AC53),0))))</f>
        <v>0</v>
      </c>
      <c r="N366" s="77">
        <f>(IF(Baseline!C53="Bestaande Situatie",(_xlfn.IFNA(VLOOKUP(Referentie_Hernieuwbare_Energie_Totaal[[#This Row],[Product]]&amp;", "&amp;Referentie_Hernieuwbare_Energie_Totaal[[#Headers],[C3]],Database_Productkaarten[#All],48,FALSE),0)*Baseline!I53),0))</f>
        <v>0</v>
      </c>
      <c r="O366" s="77">
        <f>(IF(Baseline!C53="Bestaande Situatie",(_xlfn.IFNA(VLOOKUP(Referentie_Hernieuwbare_Energie_Totaal[[#This Row],[Product]]&amp;", "&amp;Referentie_Hernieuwbare_Energie_Totaal[[#Headers],[C4]],Database_Productkaarten[#All],48,FALSE),0)*Baseline!I53),0))</f>
        <v>0</v>
      </c>
      <c r="P366" s="77">
        <f>(IF(Baseline!C53="Bestaande Situatie",(_xlfn.IFNA(VLOOKUP(Referentie_Hernieuwbare_Energie_Totaal[[#This Row],[Product]]&amp;", "&amp;Referentie_Hernieuwbare_Energie_Totaal[[#Headers],[D1]],Database_Productkaarten[#All],48,FALSE),0)*Baseline!I53),0))</f>
        <v>0</v>
      </c>
      <c r="Q366" s="78">
        <f>(IF(Baseline!C53="Bestaande Situatie",_xlfn.IFNA(VLOOKUP(Referentie_Hernieuwbare_Energie_Totaal[[#This Row],[Product]]&amp;", "&amp;Referentie_Hernieuwbare_Energie_Totaal[[#Headers],[D2]],Database_Productkaarten[#All],48,FALSE),0)*Baseline!I53,0))</f>
        <v>0</v>
      </c>
      <c r="R366" s="57">
        <f>(IF(Baseline!C53="Bestaande Situatie",_xlfn.IFNA(VLOOKUP(Referentie_Hernieuwbare_Energie_Totaal[[#This Row],[Product]]&amp;", "&amp;Referentie_Hernieuwbare_Energie_Totaal[[#Headers],[D]],Database_Productkaarten[#All],48,FALSE),0)*Baseline!I53,0))</f>
        <v>0</v>
      </c>
      <c r="S366" s="56">
        <f>SUM(Referentie_Hernieuwbare_Energie_Totaal[[#This Row],[A1-A3]:[C4]])+Referentie_Hernieuwbare_Energie_Totaal[[#This Row],[D]]</f>
        <v>0</v>
      </c>
    </row>
    <row r="367" spans="2:19">
      <c r="B367" s="209">
        <f>Baseline!B54</f>
        <v>0</v>
      </c>
      <c r="C367" s="76">
        <f>Baseline!F54</f>
        <v>0</v>
      </c>
      <c r="D367" s="77">
        <f>(IF(Baseline!C54="Nieuwe Situatie",(_xlfn.IFNA(VLOOKUP(Referentie_Hernieuwbare_Energie_Totaal[[#This Row],[Product]]&amp;", "&amp;Referentie_Hernieuwbare_Energie_Totaal[[#Headers],[A1]],Database_Productkaarten[#All],48,FALSE),0)*Baseline!I54),0))</f>
        <v>0</v>
      </c>
      <c r="E367" s="77">
        <f>(IF(Baseline!C54="Nieuwe Situatie",(_xlfn.IFNA(VLOOKUP(Referentie_Hernieuwbare_Energie_Totaal[[#This Row],[Product]]&amp;", "&amp;Referentie_Hernieuwbare_Energie_Totaal[[#Headers],[A2]],Database_Productkaarten[#All],48,FALSE),0)*Baseline!I54),0))</f>
        <v>0</v>
      </c>
      <c r="F367" s="77">
        <f>(IF(Baseline!C54="Nieuwe Situatie",(_xlfn.IFNA(VLOOKUP(Referentie_Hernieuwbare_Energie_Totaal[[#This Row],[Product]]&amp;", "&amp;Referentie_Hernieuwbare_Energie_Totaal[[#Headers],[A3]],Database_Productkaarten[#All],48,FALSE),0)*Baseline!I54),0))</f>
        <v>0</v>
      </c>
      <c r="G367" s="77">
        <f>(IF(Baseline!C54="Nieuwe Situatie",(_xlfn.IFNA(VLOOKUP(Referentie_Hernieuwbare_Energie_Totaal[[#This Row],[Product]]&amp;", "&amp;Referentie_Hernieuwbare_Energie_Totaal[[#Headers],[A1-A3]],Database_Productkaarten[#All],48,FALSE),0)*Baseline!I54),0))</f>
        <v>0</v>
      </c>
      <c r="H367" s="77">
        <f>IF(Baseline!T54=0,(IF(Baseline!C54="Nieuwe Situatie",(_xlfn.IFNA(VLOOKUP(Referentie_Hernieuwbare_Energie_Totaal[[#This Row],[Product]]&amp;", "&amp;Referentie_CO2_Totaal[[#Headers],[A4]],Database_Productkaarten[#All],48,FALSE),0)*Baseline!I54),0)),IF(Baseline!C54="Nieuwe Situatie",_xlfn.IFNA(VLOOKUP(Baseline!T54,Database_Transport[#All],42,FALSE)*(Baseline!Q54*Baseline!S54),Baseline_Backlog!H157),0))</f>
        <v>0</v>
      </c>
      <c r="I367" s="77">
        <f>IF(Baseline!C54="Nieuwe situatie",IF(_xlfn.IFNA((VLOOKUP(Baseline!U54,Database_Asfalt_Aanlegset[#All],42,FALSE)*Baseline!I54),0)+_xlfn.IFNA(VLOOKUP(Baseline!V54,Database_Brandstoffen[#All],42,FALSE)*((Baseline!I54/Baseline!X54)*Baseline!W54),0)&gt;0,_xlfn.IFNA((VLOOKUP(Baseline!U54,Database_Asfalt_Aanlegset[#All],42,FALSE)*Baseline!I54),0)+_xlfn.IFNA(VLOOKUP(Baseline!V54,Database_Brandstoffen[#All],42,FALSE)*((Baseline!I54/Baseline!X54)*Baseline!W54),0),(_xlfn.IFNA(VLOOKUP(Referentie_Hernieuwbare_Energie_Totaal[[#This Row],[Product]]&amp;", "&amp;Referentie_MKI_Totaal[[#Headers],[A5]],Database_Productkaarten[#All],48,FALSE),0)*Baseline!I54)),0)</f>
        <v>0</v>
      </c>
      <c r="J367" s="77">
        <f>(IF(Baseline!C54="Nieuwe Situatie",(_xlfn.IFNA(VLOOKUP(Referentie_Hernieuwbare_Energie_Totaal[[#This Row],[Product]]&amp;", "&amp;Referentie_Hernieuwbare_Energie_Totaal[[#Headers],[B1]],Database_Productkaarten[#All],48,FALSE),0)*Baseline!I54),0))</f>
        <v>0</v>
      </c>
      <c r="K367" s="77">
        <f>(IF(Baseline!C54="Nieuwe Situatie",(SUM(Referentie_Hernieuwbare_Energie_Totaal[[#This Row],[A1]:[B1]],Referentie_Hernieuwbare_Energie_Totaal[[#This Row],[C1]:[D2]])*Baseline!R54),0))</f>
        <v>0</v>
      </c>
      <c r="L367" s="77">
        <f>IF(Baseline!C54="Bestaande situatie",IF(_xlfn.IFNA((VLOOKUP(Baseline!Y54,Database_Asfalt_Verwijderset[#All],42,FALSE)*Baseline!I54),0)+_xlfn.IFNA(VLOOKUP(Baseline!Z54,Database_Brandstoffen[#All],42,FALSE)*((Baseline!I54/Baseline!AB54)*Baseline!AA54),0)&gt;0,_xlfn.IFNA((VLOOKUP(Baseline!Y54,Database_Asfalt_Verwijderset[#All],42,FALSE)*Baseline!I54),0)+_xlfn.IFNA(VLOOKUP(Baseline!Z54,Database_Brandstoffen[#All],42,FALSE)*((Baseline!I54/Baseline!AB54)*Baseline!AA54),0),(_xlfn.IFNA(VLOOKUP(Referentie_Hernieuwbare_Energie_Totaal[[#This Row],[Product]]&amp;", "&amp;Referentie_MKI_Totaal[[#Headers],[C1]],Database_Productkaarten[#All],48,FALSE),0)*Baseline!I54)),0)</f>
        <v>0</v>
      </c>
      <c r="M367" s="77">
        <f>IF(Baseline!AD54=0,(IF(Baseline!C54="Bestaande Situatie",(_xlfn.IFNA(VLOOKUP(Referentie_Hernieuwbare_Energie_Totaal[[#This Row],[Product]]&amp;", "&amp;Referentie_MKI_Totaal[[#Headers],[C2]],Database_Productkaarten[#All],48,FALSE),0)*Baseline!I54),0)),(IF(Baseline!C54="Bestaande Situatie",_xlfn.IFNA(VLOOKUP(Baseline!AD54,Database_Transport[#All],42,FALSE)*(Baseline!Q54*Baseline!AC54),0))))</f>
        <v>0</v>
      </c>
      <c r="N367" s="77">
        <f>(IF(Baseline!C54="Bestaande Situatie",(_xlfn.IFNA(VLOOKUP(Referentie_Hernieuwbare_Energie_Totaal[[#This Row],[Product]]&amp;", "&amp;Referentie_Hernieuwbare_Energie_Totaal[[#Headers],[C3]],Database_Productkaarten[#All],48,FALSE),0)*Baseline!I54),0))</f>
        <v>0</v>
      </c>
      <c r="O367" s="77">
        <f>(IF(Baseline!C54="Bestaande Situatie",(_xlfn.IFNA(VLOOKUP(Referentie_Hernieuwbare_Energie_Totaal[[#This Row],[Product]]&amp;", "&amp;Referentie_Hernieuwbare_Energie_Totaal[[#Headers],[C4]],Database_Productkaarten[#All],48,FALSE),0)*Baseline!I54),0))</f>
        <v>0</v>
      </c>
      <c r="P367" s="77">
        <f>(IF(Baseline!C54="Bestaande Situatie",(_xlfn.IFNA(VLOOKUP(Referentie_Hernieuwbare_Energie_Totaal[[#This Row],[Product]]&amp;", "&amp;Referentie_Hernieuwbare_Energie_Totaal[[#Headers],[D1]],Database_Productkaarten[#All],48,FALSE),0)*Baseline!I54),0))</f>
        <v>0</v>
      </c>
      <c r="Q367" s="78">
        <f>(IF(Baseline!C54="Bestaande Situatie",_xlfn.IFNA(VLOOKUP(Referentie_Hernieuwbare_Energie_Totaal[[#This Row],[Product]]&amp;", "&amp;Referentie_Hernieuwbare_Energie_Totaal[[#Headers],[D2]],Database_Productkaarten[#All],48,FALSE),0)*Baseline!I54,0))</f>
        <v>0</v>
      </c>
      <c r="R367" s="57">
        <f>(IF(Baseline!C54="Bestaande Situatie",_xlfn.IFNA(VLOOKUP(Referentie_Hernieuwbare_Energie_Totaal[[#This Row],[Product]]&amp;", "&amp;Referentie_Hernieuwbare_Energie_Totaal[[#Headers],[D]],Database_Productkaarten[#All],48,FALSE),0)*Baseline!I54,0))</f>
        <v>0</v>
      </c>
      <c r="S367" s="56">
        <f>SUM(Referentie_Hernieuwbare_Energie_Totaal[[#This Row],[A1-A3]:[C4]])+Referentie_Hernieuwbare_Energie_Totaal[[#This Row],[D]]</f>
        <v>0</v>
      </c>
    </row>
    <row r="368" spans="2:19">
      <c r="B368" s="209">
        <f>Baseline!B55</f>
        <v>0</v>
      </c>
      <c r="C368" s="76">
        <f>Baseline!F55</f>
        <v>0</v>
      </c>
      <c r="D368" s="77">
        <f>(IF(Baseline!C55="Nieuwe Situatie",(_xlfn.IFNA(VLOOKUP(Referentie_Hernieuwbare_Energie_Totaal[[#This Row],[Product]]&amp;", "&amp;Referentie_Hernieuwbare_Energie_Totaal[[#Headers],[A1]],Database_Productkaarten[#All],48,FALSE),0)*Baseline!I55),0))</f>
        <v>0</v>
      </c>
      <c r="E368" s="77">
        <f>(IF(Baseline!C55="Nieuwe Situatie",(_xlfn.IFNA(VLOOKUP(Referentie_Hernieuwbare_Energie_Totaal[[#This Row],[Product]]&amp;", "&amp;Referentie_Hernieuwbare_Energie_Totaal[[#Headers],[A2]],Database_Productkaarten[#All],48,FALSE),0)*Baseline!I55),0))</f>
        <v>0</v>
      </c>
      <c r="F368" s="77">
        <f>(IF(Baseline!C55="Nieuwe Situatie",(_xlfn.IFNA(VLOOKUP(Referentie_Hernieuwbare_Energie_Totaal[[#This Row],[Product]]&amp;", "&amp;Referentie_Hernieuwbare_Energie_Totaal[[#Headers],[A3]],Database_Productkaarten[#All],48,FALSE),0)*Baseline!I55),0))</f>
        <v>0</v>
      </c>
      <c r="G368" s="77">
        <f>(IF(Baseline!C55="Nieuwe Situatie",(_xlfn.IFNA(VLOOKUP(Referentie_Hernieuwbare_Energie_Totaal[[#This Row],[Product]]&amp;", "&amp;Referentie_Hernieuwbare_Energie_Totaal[[#Headers],[A1-A3]],Database_Productkaarten[#All],48,FALSE),0)*Baseline!I55),0))</f>
        <v>0</v>
      </c>
      <c r="H368" s="77">
        <f>IF(Baseline!T55=0,(IF(Baseline!C55="Nieuwe Situatie",(_xlfn.IFNA(VLOOKUP(Referentie_Hernieuwbare_Energie_Totaal[[#This Row],[Product]]&amp;", "&amp;Referentie_CO2_Totaal[[#Headers],[A4]],Database_Productkaarten[#All],48,FALSE),0)*Baseline!I55),0)),IF(Baseline!C55="Nieuwe Situatie",_xlfn.IFNA(VLOOKUP(Baseline!T55,Database_Transport[#All],42,FALSE)*(Baseline!Q55*Baseline!S55),Baseline_Backlog!H158),0))</f>
        <v>0</v>
      </c>
      <c r="I368" s="77">
        <f>IF(Baseline!C55="Nieuwe situatie",IF(_xlfn.IFNA((VLOOKUP(Baseline!U55,Database_Asfalt_Aanlegset[#All],42,FALSE)*Baseline!I55),0)+_xlfn.IFNA(VLOOKUP(Baseline!V55,Database_Brandstoffen[#All],42,FALSE)*((Baseline!I55/Baseline!X55)*Baseline!W55),0)&gt;0,_xlfn.IFNA((VLOOKUP(Baseline!U55,Database_Asfalt_Aanlegset[#All],42,FALSE)*Baseline!I55),0)+_xlfn.IFNA(VLOOKUP(Baseline!V55,Database_Brandstoffen[#All],42,FALSE)*((Baseline!I55/Baseline!X55)*Baseline!W55),0),(_xlfn.IFNA(VLOOKUP(Referentie_Hernieuwbare_Energie_Totaal[[#This Row],[Product]]&amp;", "&amp;Referentie_MKI_Totaal[[#Headers],[A5]],Database_Productkaarten[#All],48,FALSE),0)*Baseline!I55)),0)</f>
        <v>0</v>
      </c>
      <c r="J368" s="77">
        <f>(IF(Baseline!C55="Nieuwe Situatie",(_xlfn.IFNA(VLOOKUP(Referentie_Hernieuwbare_Energie_Totaal[[#This Row],[Product]]&amp;", "&amp;Referentie_Hernieuwbare_Energie_Totaal[[#Headers],[B1]],Database_Productkaarten[#All],48,FALSE),0)*Baseline!I55),0))</f>
        <v>0</v>
      </c>
      <c r="K368" s="77">
        <f>(IF(Baseline!C55="Nieuwe Situatie",(SUM(Referentie_Hernieuwbare_Energie_Totaal[[#This Row],[A1]:[B1]],Referentie_Hernieuwbare_Energie_Totaal[[#This Row],[C1]:[D2]])*Baseline!R55),0))</f>
        <v>0</v>
      </c>
      <c r="L368" s="77">
        <f>IF(Baseline!C55="Bestaande situatie",IF(_xlfn.IFNA((VLOOKUP(Baseline!Y55,Database_Asfalt_Verwijderset[#All],42,FALSE)*Baseline!I55),0)+_xlfn.IFNA(VLOOKUP(Baseline!Z55,Database_Brandstoffen[#All],42,FALSE)*((Baseline!I55/Baseline!AB55)*Baseline!AA55),0)&gt;0,_xlfn.IFNA((VLOOKUP(Baseline!Y55,Database_Asfalt_Verwijderset[#All],42,FALSE)*Baseline!I55),0)+_xlfn.IFNA(VLOOKUP(Baseline!Z55,Database_Brandstoffen[#All],42,FALSE)*((Baseline!I55/Baseline!AB55)*Baseline!AA55),0),(_xlfn.IFNA(VLOOKUP(Referentie_Hernieuwbare_Energie_Totaal[[#This Row],[Product]]&amp;", "&amp;Referentie_MKI_Totaal[[#Headers],[C1]],Database_Productkaarten[#All],48,FALSE),0)*Baseline!I55)),0)</f>
        <v>0</v>
      </c>
      <c r="M368" s="77">
        <f>IF(Baseline!AD55=0,(IF(Baseline!C55="Bestaande Situatie",(_xlfn.IFNA(VLOOKUP(Referentie_Hernieuwbare_Energie_Totaal[[#This Row],[Product]]&amp;", "&amp;Referentie_MKI_Totaal[[#Headers],[C2]],Database_Productkaarten[#All],48,FALSE),0)*Baseline!I55),0)),(IF(Baseline!C55="Bestaande Situatie",_xlfn.IFNA(VLOOKUP(Baseline!AD55,Database_Transport[#All],42,FALSE)*(Baseline!Q55*Baseline!AC55),0))))</f>
        <v>0</v>
      </c>
      <c r="N368" s="77">
        <f>(IF(Baseline!C55="Bestaande Situatie",(_xlfn.IFNA(VLOOKUP(Referentie_Hernieuwbare_Energie_Totaal[[#This Row],[Product]]&amp;", "&amp;Referentie_Hernieuwbare_Energie_Totaal[[#Headers],[C3]],Database_Productkaarten[#All],48,FALSE),0)*Baseline!I55),0))</f>
        <v>0</v>
      </c>
      <c r="O368" s="77">
        <f>(IF(Baseline!C55="Bestaande Situatie",(_xlfn.IFNA(VLOOKUP(Referentie_Hernieuwbare_Energie_Totaal[[#This Row],[Product]]&amp;", "&amp;Referentie_Hernieuwbare_Energie_Totaal[[#Headers],[C4]],Database_Productkaarten[#All],48,FALSE),0)*Baseline!I55),0))</f>
        <v>0</v>
      </c>
      <c r="P368" s="77">
        <f>(IF(Baseline!C55="Bestaande Situatie",(_xlfn.IFNA(VLOOKUP(Referentie_Hernieuwbare_Energie_Totaal[[#This Row],[Product]]&amp;", "&amp;Referentie_Hernieuwbare_Energie_Totaal[[#Headers],[D1]],Database_Productkaarten[#All],48,FALSE),0)*Baseline!I55),0))</f>
        <v>0</v>
      </c>
      <c r="Q368" s="78">
        <f>(IF(Baseline!C55="Bestaande Situatie",_xlfn.IFNA(VLOOKUP(Referentie_Hernieuwbare_Energie_Totaal[[#This Row],[Product]]&amp;", "&amp;Referentie_Hernieuwbare_Energie_Totaal[[#Headers],[D2]],Database_Productkaarten[#All],48,FALSE),0)*Baseline!I55,0))</f>
        <v>0</v>
      </c>
      <c r="R368" s="57">
        <f>(IF(Baseline!C55="Bestaande Situatie",_xlfn.IFNA(VLOOKUP(Referentie_Hernieuwbare_Energie_Totaal[[#This Row],[Product]]&amp;", "&amp;Referentie_Hernieuwbare_Energie_Totaal[[#Headers],[D]],Database_Productkaarten[#All],48,FALSE),0)*Baseline!I55,0))</f>
        <v>0</v>
      </c>
      <c r="S368" s="56">
        <f>SUM(Referentie_Hernieuwbare_Energie_Totaal[[#This Row],[A1-A3]:[C4]])+Referentie_Hernieuwbare_Energie_Totaal[[#This Row],[D]]</f>
        <v>0</v>
      </c>
    </row>
    <row r="369" spans="2:19">
      <c r="B369" s="209">
        <f>Baseline!B56</f>
        <v>0</v>
      </c>
      <c r="C369" s="76">
        <f>Baseline!F56</f>
        <v>0</v>
      </c>
      <c r="D369" s="77">
        <f>(IF(Baseline!C56="Nieuwe Situatie",(_xlfn.IFNA(VLOOKUP(Referentie_Hernieuwbare_Energie_Totaal[[#This Row],[Product]]&amp;", "&amp;Referentie_Hernieuwbare_Energie_Totaal[[#Headers],[A1]],Database_Productkaarten[#All],48,FALSE),0)*Baseline!I56),0))</f>
        <v>0</v>
      </c>
      <c r="E369" s="77">
        <f>(IF(Baseline!C56="Nieuwe Situatie",(_xlfn.IFNA(VLOOKUP(Referentie_Hernieuwbare_Energie_Totaal[[#This Row],[Product]]&amp;", "&amp;Referentie_Hernieuwbare_Energie_Totaal[[#Headers],[A2]],Database_Productkaarten[#All],48,FALSE),0)*Baseline!I56),0))</f>
        <v>0</v>
      </c>
      <c r="F369" s="77">
        <f>(IF(Baseline!C56="Nieuwe Situatie",(_xlfn.IFNA(VLOOKUP(Referentie_Hernieuwbare_Energie_Totaal[[#This Row],[Product]]&amp;", "&amp;Referentie_Hernieuwbare_Energie_Totaal[[#Headers],[A3]],Database_Productkaarten[#All],48,FALSE),0)*Baseline!I56),0))</f>
        <v>0</v>
      </c>
      <c r="G369" s="77">
        <f>(IF(Baseline!C56="Nieuwe Situatie",(_xlfn.IFNA(VLOOKUP(Referentie_Hernieuwbare_Energie_Totaal[[#This Row],[Product]]&amp;", "&amp;Referentie_Hernieuwbare_Energie_Totaal[[#Headers],[A1-A3]],Database_Productkaarten[#All],48,FALSE),0)*Baseline!I56),0))</f>
        <v>0</v>
      </c>
      <c r="H369" s="77">
        <f>IF(Baseline!T56=0,(IF(Baseline!C56="Nieuwe Situatie",(_xlfn.IFNA(VLOOKUP(Referentie_Hernieuwbare_Energie_Totaal[[#This Row],[Product]]&amp;", "&amp;Referentie_CO2_Totaal[[#Headers],[A4]],Database_Productkaarten[#All],48,FALSE),0)*Baseline!I56),0)),IF(Baseline!C56="Nieuwe Situatie",_xlfn.IFNA(VLOOKUP(Baseline!T56,Database_Transport[#All],42,FALSE)*(Baseline!Q56*Baseline!S56),Baseline_Backlog!H159),0))</f>
        <v>0</v>
      </c>
      <c r="I369" s="77">
        <f>IF(Baseline!C56="Nieuwe situatie",IF(_xlfn.IFNA((VLOOKUP(Baseline!U56,Database_Asfalt_Aanlegset[#All],42,FALSE)*Baseline!I56),0)+_xlfn.IFNA(VLOOKUP(Baseline!V56,Database_Brandstoffen[#All],42,FALSE)*((Baseline!I56/Baseline!X56)*Baseline!W56),0)&gt;0,_xlfn.IFNA((VLOOKUP(Baseline!U56,Database_Asfalt_Aanlegset[#All],42,FALSE)*Baseline!I56),0)+_xlfn.IFNA(VLOOKUP(Baseline!V56,Database_Brandstoffen[#All],42,FALSE)*((Baseline!I56/Baseline!X56)*Baseline!W56),0),(_xlfn.IFNA(VLOOKUP(Referentie_Hernieuwbare_Energie_Totaal[[#This Row],[Product]]&amp;", "&amp;Referentie_MKI_Totaal[[#Headers],[A5]],Database_Productkaarten[#All],48,FALSE),0)*Baseline!I56)),0)</f>
        <v>0</v>
      </c>
      <c r="J369" s="77">
        <f>(IF(Baseline!C56="Nieuwe Situatie",(_xlfn.IFNA(VLOOKUP(Referentie_Hernieuwbare_Energie_Totaal[[#This Row],[Product]]&amp;", "&amp;Referentie_Hernieuwbare_Energie_Totaal[[#Headers],[B1]],Database_Productkaarten[#All],48,FALSE),0)*Baseline!I56),0))</f>
        <v>0</v>
      </c>
      <c r="K369" s="77">
        <f>(IF(Baseline!C56="Nieuwe Situatie",(SUM(Referentie_Hernieuwbare_Energie_Totaal[[#This Row],[A1]:[B1]],Referentie_Hernieuwbare_Energie_Totaal[[#This Row],[C1]:[D2]])*Baseline!R56),0))</f>
        <v>0</v>
      </c>
      <c r="L369" s="77">
        <f>IF(Baseline!C56="Bestaande situatie",IF(_xlfn.IFNA((VLOOKUP(Baseline!Y56,Database_Asfalt_Verwijderset[#All],42,FALSE)*Baseline!I56),0)+_xlfn.IFNA(VLOOKUP(Baseline!Z56,Database_Brandstoffen[#All],42,FALSE)*((Baseline!I56/Baseline!AB56)*Baseline!AA56),0)&gt;0,_xlfn.IFNA((VLOOKUP(Baseline!Y56,Database_Asfalt_Verwijderset[#All],42,FALSE)*Baseline!I56),0)+_xlfn.IFNA(VLOOKUP(Baseline!Z56,Database_Brandstoffen[#All],42,FALSE)*((Baseline!I56/Baseline!AB56)*Baseline!AA56),0),(_xlfn.IFNA(VLOOKUP(Referentie_Hernieuwbare_Energie_Totaal[[#This Row],[Product]]&amp;", "&amp;Referentie_MKI_Totaal[[#Headers],[C1]],Database_Productkaarten[#All],48,FALSE),0)*Baseline!I56)),0)</f>
        <v>0</v>
      </c>
      <c r="M369" s="77">
        <f>IF(Baseline!AD56=0,(IF(Baseline!C56="Bestaande Situatie",(_xlfn.IFNA(VLOOKUP(Referentie_Hernieuwbare_Energie_Totaal[[#This Row],[Product]]&amp;", "&amp;Referentie_MKI_Totaal[[#Headers],[C2]],Database_Productkaarten[#All],48,FALSE),0)*Baseline!I56),0)),(IF(Baseline!C56="Bestaande Situatie",_xlfn.IFNA(VLOOKUP(Baseline!AD56,Database_Transport[#All],42,FALSE)*(Baseline!Q56*Baseline!AC56),0))))</f>
        <v>0</v>
      </c>
      <c r="N369" s="77">
        <f>(IF(Baseline!C56="Bestaande Situatie",(_xlfn.IFNA(VLOOKUP(Referentie_Hernieuwbare_Energie_Totaal[[#This Row],[Product]]&amp;", "&amp;Referentie_Hernieuwbare_Energie_Totaal[[#Headers],[C3]],Database_Productkaarten[#All],48,FALSE),0)*Baseline!I56),0))</f>
        <v>0</v>
      </c>
      <c r="O369" s="77">
        <f>(IF(Baseline!C56="Bestaande Situatie",(_xlfn.IFNA(VLOOKUP(Referentie_Hernieuwbare_Energie_Totaal[[#This Row],[Product]]&amp;", "&amp;Referentie_Hernieuwbare_Energie_Totaal[[#Headers],[C4]],Database_Productkaarten[#All],48,FALSE),0)*Baseline!I56),0))</f>
        <v>0</v>
      </c>
      <c r="P369" s="77">
        <f>(IF(Baseline!C56="Bestaande Situatie",(_xlfn.IFNA(VLOOKUP(Referentie_Hernieuwbare_Energie_Totaal[[#This Row],[Product]]&amp;", "&amp;Referentie_Hernieuwbare_Energie_Totaal[[#Headers],[D1]],Database_Productkaarten[#All],48,FALSE),0)*Baseline!I56),0))</f>
        <v>0</v>
      </c>
      <c r="Q369" s="78">
        <f>(IF(Baseline!C56="Bestaande Situatie",_xlfn.IFNA(VLOOKUP(Referentie_Hernieuwbare_Energie_Totaal[[#This Row],[Product]]&amp;", "&amp;Referentie_Hernieuwbare_Energie_Totaal[[#Headers],[D2]],Database_Productkaarten[#All],48,FALSE),0)*Baseline!I56,0))</f>
        <v>0</v>
      </c>
      <c r="R369" s="57">
        <f>(IF(Baseline!C56="Bestaande Situatie",_xlfn.IFNA(VLOOKUP(Referentie_Hernieuwbare_Energie_Totaal[[#This Row],[Product]]&amp;", "&amp;Referentie_Hernieuwbare_Energie_Totaal[[#Headers],[D]],Database_Productkaarten[#All],48,FALSE),0)*Baseline!I56,0))</f>
        <v>0</v>
      </c>
      <c r="S369" s="56">
        <f>SUM(Referentie_Hernieuwbare_Energie_Totaal[[#This Row],[A1-A3]:[C4]])+Referentie_Hernieuwbare_Energie_Totaal[[#This Row],[D]]</f>
        <v>0</v>
      </c>
    </row>
    <row r="370" spans="2:19">
      <c r="B370" s="209">
        <f>Baseline!B57</f>
        <v>0</v>
      </c>
      <c r="C370" s="76">
        <f>Baseline!F57</f>
        <v>0</v>
      </c>
      <c r="D370" s="77">
        <f>(IF(Baseline!C57="Nieuwe Situatie",(_xlfn.IFNA(VLOOKUP(Referentie_Hernieuwbare_Energie_Totaal[[#This Row],[Product]]&amp;", "&amp;Referentie_Hernieuwbare_Energie_Totaal[[#Headers],[A1]],Database_Productkaarten[#All],48,FALSE),0)*Baseline!I57),0))</f>
        <v>0</v>
      </c>
      <c r="E370" s="77">
        <f>(IF(Baseline!C57="Nieuwe Situatie",(_xlfn.IFNA(VLOOKUP(Referentie_Hernieuwbare_Energie_Totaal[[#This Row],[Product]]&amp;", "&amp;Referentie_Hernieuwbare_Energie_Totaal[[#Headers],[A2]],Database_Productkaarten[#All],48,FALSE),0)*Baseline!I57),0))</f>
        <v>0</v>
      </c>
      <c r="F370" s="77">
        <f>(IF(Baseline!C57="Nieuwe Situatie",(_xlfn.IFNA(VLOOKUP(Referentie_Hernieuwbare_Energie_Totaal[[#This Row],[Product]]&amp;", "&amp;Referentie_Hernieuwbare_Energie_Totaal[[#Headers],[A3]],Database_Productkaarten[#All],48,FALSE),0)*Baseline!I57),0))</f>
        <v>0</v>
      </c>
      <c r="G370" s="77">
        <f>(IF(Baseline!C57="Nieuwe Situatie",(_xlfn.IFNA(VLOOKUP(Referentie_Hernieuwbare_Energie_Totaal[[#This Row],[Product]]&amp;", "&amp;Referentie_Hernieuwbare_Energie_Totaal[[#Headers],[A1-A3]],Database_Productkaarten[#All],48,FALSE),0)*Baseline!I57),0))</f>
        <v>0</v>
      </c>
      <c r="H370" s="77">
        <f>IF(Baseline!T57=0,(IF(Baseline!C57="Nieuwe Situatie",(_xlfn.IFNA(VLOOKUP(Referentie_Hernieuwbare_Energie_Totaal[[#This Row],[Product]]&amp;", "&amp;Referentie_CO2_Totaal[[#Headers],[A4]],Database_Productkaarten[#All],48,FALSE),0)*Baseline!I57),0)),IF(Baseline!C57="Nieuwe Situatie",_xlfn.IFNA(VLOOKUP(Baseline!T57,Database_Transport[#All],42,FALSE)*(Baseline!Q57*Baseline!S57),Baseline_Backlog!H160),0))</f>
        <v>0</v>
      </c>
      <c r="I370" s="77">
        <f>IF(Baseline!C57="Nieuwe situatie",IF(_xlfn.IFNA((VLOOKUP(Baseline!U57,Database_Asfalt_Aanlegset[#All],42,FALSE)*Baseline!I57),0)+_xlfn.IFNA(VLOOKUP(Baseline!V57,Database_Brandstoffen[#All],42,FALSE)*((Baseline!I57/Baseline!X57)*Baseline!W57),0)&gt;0,_xlfn.IFNA((VLOOKUP(Baseline!U57,Database_Asfalt_Aanlegset[#All],42,FALSE)*Baseline!I57),0)+_xlfn.IFNA(VLOOKUP(Baseline!V57,Database_Brandstoffen[#All],42,FALSE)*((Baseline!I57/Baseline!X57)*Baseline!W57),0),(_xlfn.IFNA(VLOOKUP(Referentie_Hernieuwbare_Energie_Totaal[[#This Row],[Product]]&amp;", "&amp;Referentie_MKI_Totaal[[#Headers],[A5]],Database_Productkaarten[#All],48,FALSE),0)*Baseline!I57)),0)</f>
        <v>0</v>
      </c>
      <c r="J370" s="77">
        <f>(IF(Baseline!C57="Nieuwe Situatie",(_xlfn.IFNA(VLOOKUP(Referentie_Hernieuwbare_Energie_Totaal[[#This Row],[Product]]&amp;", "&amp;Referentie_Hernieuwbare_Energie_Totaal[[#Headers],[B1]],Database_Productkaarten[#All],48,FALSE),0)*Baseline!I57),0))</f>
        <v>0</v>
      </c>
      <c r="K370" s="77">
        <f>(IF(Baseline!C57="Nieuwe Situatie",(SUM(Referentie_Hernieuwbare_Energie_Totaal[[#This Row],[A1]:[B1]],Referentie_Hernieuwbare_Energie_Totaal[[#This Row],[C1]:[D2]])*Baseline!R57),0))</f>
        <v>0</v>
      </c>
      <c r="L370" s="77">
        <f>IF(Baseline!C57="Bestaande situatie",IF(_xlfn.IFNA((VLOOKUP(Baseline!Y57,Database_Asfalt_Verwijderset[#All],42,FALSE)*Baseline!I57),0)+_xlfn.IFNA(VLOOKUP(Baseline!Z57,Database_Brandstoffen[#All],42,FALSE)*((Baseline!I57/Baseline!AB57)*Baseline!AA57),0)&gt;0,_xlfn.IFNA((VLOOKUP(Baseline!Y57,Database_Asfalt_Verwijderset[#All],42,FALSE)*Baseline!I57),0)+_xlfn.IFNA(VLOOKUP(Baseline!Z57,Database_Brandstoffen[#All],42,FALSE)*((Baseline!I57/Baseline!AB57)*Baseline!AA57),0),(_xlfn.IFNA(VLOOKUP(Referentie_Hernieuwbare_Energie_Totaal[[#This Row],[Product]]&amp;", "&amp;Referentie_MKI_Totaal[[#Headers],[C1]],Database_Productkaarten[#All],48,FALSE),0)*Baseline!I57)),0)</f>
        <v>0</v>
      </c>
      <c r="M370" s="77">
        <f>IF(Baseline!AD57=0,(IF(Baseline!C57="Bestaande Situatie",(_xlfn.IFNA(VLOOKUP(Referentie_Hernieuwbare_Energie_Totaal[[#This Row],[Product]]&amp;", "&amp;Referentie_MKI_Totaal[[#Headers],[C2]],Database_Productkaarten[#All],48,FALSE),0)*Baseline!I57),0)),(IF(Baseline!C57="Bestaande Situatie",_xlfn.IFNA(VLOOKUP(Baseline!AD57,Database_Transport[#All],42,FALSE)*(Baseline!Q57*Baseline!AC57),0))))</f>
        <v>0</v>
      </c>
      <c r="N370" s="77">
        <f>(IF(Baseline!C57="Bestaande Situatie",(_xlfn.IFNA(VLOOKUP(Referentie_Hernieuwbare_Energie_Totaal[[#This Row],[Product]]&amp;", "&amp;Referentie_Hernieuwbare_Energie_Totaal[[#Headers],[C3]],Database_Productkaarten[#All],48,FALSE),0)*Baseline!I57),0))</f>
        <v>0</v>
      </c>
      <c r="O370" s="77">
        <f>(IF(Baseline!C57="Bestaande Situatie",(_xlfn.IFNA(VLOOKUP(Referentie_Hernieuwbare_Energie_Totaal[[#This Row],[Product]]&amp;", "&amp;Referentie_Hernieuwbare_Energie_Totaal[[#Headers],[C4]],Database_Productkaarten[#All],48,FALSE),0)*Baseline!I57),0))</f>
        <v>0</v>
      </c>
      <c r="P370" s="77">
        <f>(IF(Baseline!C57="Bestaande Situatie",(_xlfn.IFNA(VLOOKUP(Referentie_Hernieuwbare_Energie_Totaal[[#This Row],[Product]]&amp;", "&amp;Referentie_Hernieuwbare_Energie_Totaal[[#Headers],[D1]],Database_Productkaarten[#All],48,FALSE),0)*Baseline!I57),0))</f>
        <v>0</v>
      </c>
      <c r="Q370" s="78">
        <f>(IF(Baseline!C57="Bestaande Situatie",_xlfn.IFNA(VLOOKUP(Referentie_Hernieuwbare_Energie_Totaal[[#This Row],[Product]]&amp;", "&amp;Referentie_Hernieuwbare_Energie_Totaal[[#Headers],[D2]],Database_Productkaarten[#All],48,FALSE),0)*Baseline!I57,0))</f>
        <v>0</v>
      </c>
      <c r="R370" s="57">
        <f>(IF(Baseline!C57="Bestaande Situatie",_xlfn.IFNA(VLOOKUP(Referentie_Hernieuwbare_Energie_Totaal[[#This Row],[Product]]&amp;", "&amp;Referentie_Hernieuwbare_Energie_Totaal[[#Headers],[D]],Database_Productkaarten[#All],48,FALSE),0)*Baseline!I57,0))</f>
        <v>0</v>
      </c>
      <c r="S370" s="56">
        <f>SUM(Referentie_Hernieuwbare_Energie_Totaal[[#This Row],[A1-A3]:[C4]])+Referentie_Hernieuwbare_Energie_Totaal[[#This Row],[D]]</f>
        <v>0</v>
      </c>
    </row>
    <row r="371" spans="2:19">
      <c r="B371" s="209">
        <f>Baseline!B58</f>
        <v>0</v>
      </c>
      <c r="C371" s="76">
        <f>Baseline!F58</f>
        <v>0</v>
      </c>
      <c r="D371" s="77">
        <f>(IF(Baseline!C58="Nieuwe Situatie",(_xlfn.IFNA(VLOOKUP(Referentie_Hernieuwbare_Energie_Totaal[[#This Row],[Product]]&amp;", "&amp;Referentie_Hernieuwbare_Energie_Totaal[[#Headers],[A1]],Database_Productkaarten[#All],48,FALSE),0)*Baseline!I58),0))</f>
        <v>0</v>
      </c>
      <c r="E371" s="77">
        <f>(IF(Baseline!C58="Nieuwe Situatie",(_xlfn.IFNA(VLOOKUP(Referentie_Hernieuwbare_Energie_Totaal[[#This Row],[Product]]&amp;", "&amp;Referentie_Hernieuwbare_Energie_Totaal[[#Headers],[A2]],Database_Productkaarten[#All],48,FALSE),0)*Baseline!I58),0))</f>
        <v>0</v>
      </c>
      <c r="F371" s="77">
        <f>(IF(Baseline!C58="Nieuwe Situatie",(_xlfn.IFNA(VLOOKUP(Referentie_Hernieuwbare_Energie_Totaal[[#This Row],[Product]]&amp;", "&amp;Referentie_Hernieuwbare_Energie_Totaal[[#Headers],[A3]],Database_Productkaarten[#All],48,FALSE),0)*Baseline!I58),0))</f>
        <v>0</v>
      </c>
      <c r="G371" s="77">
        <f>(IF(Baseline!C58="Nieuwe Situatie",(_xlfn.IFNA(VLOOKUP(Referentie_Hernieuwbare_Energie_Totaal[[#This Row],[Product]]&amp;", "&amp;Referentie_Hernieuwbare_Energie_Totaal[[#Headers],[A1-A3]],Database_Productkaarten[#All],48,FALSE),0)*Baseline!I58),0))</f>
        <v>0</v>
      </c>
      <c r="H371" s="77">
        <f>IF(Baseline!T58=0,(IF(Baseline!C58="Nieuwe Situatie",(_xlfn.IFNA(VLOOKUP(Referentie_Hernieuwbare_Energie_Totaal[[#This Row],[Product]]&amp;", "&amp;Referentie_CO2_Totaal[[#Headers],[A4]],Database_Productkaarten[#All],48,FALSE),0)*Baseline!I58),0)),IF(Baseline!C58="Nieuwe Situatie",_xlfn.IFNA(VLOOKUP(Baseline!T58,Database_Transport[#All],42,FALSE)*(Baseline!Q58*Baseline!S58),Baseline_Backlog!H161),0))</f>
        <v>0</v>
      </c>
      <c r="I371" s="77">
        <f>IF(Baseline!C58="Nieuwe situatie",IF(_xlfn.IFNA((VLOOKUP(Baseline!U58,Database_Asfalt_Aanlegset[#All],42,FALSE)*Baseline!I58),0)+_xlfn.IFNA(VLOOKUP(Baseline!V58,Database_Brandstoffen[#All],42,FALSE)*((Baseline!I58/Baseline!X58)*Baseline!W58),0)&gt;0,_xlfn.IFNA((VLOOKUP(Baseline!U58,Database_Asfalt_Aanlegset[#All],42,FALSE)*Baseline!I58),0)+_xlfn.IFNA(VLOOKUP(Baseline!V58,Database_Brandstoffen[#All],42,FALSE)*((Baseline!I58/Baseline!X58)*Baseline!W58),0),(_xlfn.IFNA(VLOOKUP(Referentie_Hernieuwbare_Energie_Totaal[[#This Row],[Product]]&amp;", "&amp;Referentie_MKI_Totaal[[#Headers],[A5]],Database_Productkaarten[#All],48,FALSE),0)*Baseline!I58)),0)</f>
        <v>0</v>
      </c>
      <c r="J371" s="77">
        <f>(IF(Baseline!C58="Nieuwe Situatie",(_xlfn.IFNA(VLOOKUP(Referentie_Hernieuwbare_Energie_Totaal[[#This Row],[Product]]&amp;", "&amp;Referentie_Hernieuwbare_Energie_Totaal[[#Headers],[B1]],Database_Productkaarten[#All],48,FALSE),0)*Baseline!I58),0))</f>
        <v>0</v>
      </c>
      <c r="K371" s="77">
        <f>(IF(Baseline!C58="Nieuwe Situatie",(SUM(Referentie_Hernieuwbare_Energie_Totaal[[#This Row],[A1]:[B1]],Referentie_Hernieuwbare_Energie_Totaal[[#This Row],[C1]:[D2]])*Baseline!R58),0))</f>
        <v>0</v>
      </c>
      <c r="L371" s="77">
        <f>IF(Baseline!C58="Bestaande situatie",IF(_xlfn.IFNA((VLOOKUP(Baseline!Y58,Database_Asfalt_Verwijderset[#All],42,FALSE)*Baseline!I58),0)+_xlfn.IFNA(VLOOKUP(Baseline!Z58,Database_Brandstoffen[#All],42,FALSE)*((Baseline!I58/Baseline!AB58)*Baseline!AA58),0)&gt;0,_xlfn.IFNA((VLOOKUP(Baseline!Y58,Database_Asfalt_Verwijderset[#All],42,FALSE)*Baseline!I58),0)+_xlfn.IFNA(VLOOKUP(Baseline!Z58,Database_Brandstoffen[#All],42,FALSE)*((Baseline!I58/Baseline!AB58)*Baseline!AA58),0),(_xlfn.IFNA(VLOOKUP(Referentie_Hernieuwbare_Energie_Totaal[[#This Row],[Product]]&amp;", "&amp;Referentie_MKI_Totaal[[#Headers],[C1]],Database_Productkaarten[#All],48,FALSE),0)*Baseline!I58)),0)</f>
        <v>0</v>
      </c>
      <c r="M371" s="77">
        <f>IF(Baseline!AD58=0,(IF(Baseline!C58="Bestaande Situatie",(_xlfn.IFNA(VLOOKUP(Referentie_Hernieuwbare_Energie_Totaal[[#This Row],[Product]]&amp;", "&amp;Referentie_MKI_Totaal[[#Headers],[C2]],Database_Productkaarten[#All],48,FALSE),0)*Baseline!I58),0)),(IF(Baseline!C58="Bestaande Situatie",_xlfn.IFNA(VLOOKUP(Baseline!AD58,Database_Transport[#All],42,FALSE)*(Baseline!Q58*Baseline!AC58),0))))</f>
        <v>0</v>
      </c>
      <c r="N371" s="77">
        <f>(IF(Baseline!C58="Bestaande Situatie",(_xlfn.IFNA(VLOOKUP(Referentie_Hernieuwbare_Energie_Totaal[[#This Row],[Product]]&amp;", "&amp;Referentie_Hernieuwbare_Energie_Totaal[[#Headers],[C3]],Database_Productkaarten[#All],48,FALSE),0)*Baseline!I58),0))</f>
        <v>0</v>
      </c>
      <c r="O371" s="77">
        <f>(IF(Baseline!C58="Bestaande Situatie",(_xlfn.IFNA(VLOOKUP(Referentie_Hernieuwbare_Energie_Totaal[[#This Row],[Product]]&amp;", "&amp;Referentie_Hernieuwbare_Energie_Totaal[[#Headers],[C4]],Database_Productkaarten[#All],48,FALSE),0)*Baseline!I58),0))</f>
        <v>0</v>
      </c>
      <c r="P371" s="77">
        <f>(IF(Baseline!C58="Bestaande Situatie",(_xlfn.IFNA(VLOOKUP(Referentie_Hernieuwbare_Energie_Totaal[[#This Row],[Product]]&amp;", "&amp;Referentie_Hernieuwbare_Energie_Totaal[[#Headers],[D1]],Database_Productkaarten[#All],48,FALSE),0)*Baseline!I58),0))</f>
        <v>0</v>
      </c>
      <c r="Q371" s="78">
        <f>(IF(Baseline!C58="Bestaande Situatie",_xlfn.IFNA(VLOOKUP(Referentie_Hernieuwbare_Energie_Totaal[[#This Row],[Product]]&amp;", "&amp;Referentie_Hernieuwbare_Energie_Totaal[[#Headers],[D2]],Database_Productkaarten[#All],48,FALSE),0)*Baseline!I58,0))</f>
        <v>0</v>
      </c>
      <c r="R371" s="57">
        <f>(IF(Baseline!C58="Bestaande Situatie",_xlfn.IFNA(VLOOKUP(Referentie_Hernieuwbare_Energie_Totaal[[#This Row],[Product]]&amp;", "&amp;Referentie_Hernieuwbare_Energie_Totaal[[#Headers],[D]],Database_Productkaarten[#All],48,FALSE),0)*Baseline!I58,0))</f>
        <v>0</v>
      </c>
      <c r="S371" s="56">
        <f>SUM(Referentie_Hernieuwbare_Energie_Totaal[[#This Row],[A1-A3]:[C4]])+Referentie_Hernieuwbare_Energie_Totaal[[#This Row],[D]]</f>
        <v>0</v>
      </c>
    </row>
    <row r="372" spans="2:19">
      <c r="B372" s="209">
        <f>Baseline!B59</f>
        <v>0</v>
      </c>
      <c r="C372" s="76">
        <f>Baseline!F59</f>
        <v>0</v>
      </c>
      <c r="D372" s="77">
        <f>(IF(Baseline!C59="Nieuwe Situatie",(_xlfn.IFNA(VLOOKUP(Referentie_Hernieuwbare_Energie_Totaal[[#This Row],[Product]]&amp;", "&amp;Referentie_Hernieuwbare_Energie_Totaal[[#Headers],[A1]],Database_Productkaarten[#All],48,FALSE),0)*Baseline!I59),0))</f>
        <v>0</v>
      </c>
      <c r="E372" s="77">
        <f>(IF(Baseline!C59="Nieuwe Situatie",(_xlfn.IFNA(VLOOKUP(Referentie_Hernieuwbare_Energie_Totaal[[#This Row],[Product]]&amp;", "&amp;Referentie_Hernieuwbare_Energie_Totaal[[#Headers],[A2]],Database_Productkaarten[#All],48,FALSE),0)*Baseline!I59),0))</f>
        <v>0</v>
      </c>
      <c r="F372" s="77">
        <f>(IF(Baseline!C59="Nieuwe Situatie",(_xlfn.IFNA(VLOOKUP(Referentie_Hernieuwbare_Energie_Totaal[[#This Row],[Product]]&amp;", "&amp;Referentie_Hernieuwbare_Energie_Totaal[[#Headers],[A3]],Database_Productkaarten[#All],48,FALSE),0)*Baseline!I59),0))</f>
        <v>0</v>
      </c>
      <c r="G372" s="77">
        <f>(IF(Baseline!C59="Nieuwe Situatie",(_xlfn.IFNA(VLOOKUP(Referentie_Hernieuwbare_Energie_Totaal[[#This Row],[Product]]&amp;", "&amp;Referentie_Hernieuwbare_Energie_Totaal[[#Headers],[A1-A3]],Database_Productkaarten[#All],48,FALSE),0)*Baseline!I59),0))</f>
        <v>0</v>
      </c>
      <c r="H372" s="77">
        <f>IF(Baseline!T59=0,(IF(Baseline!C59="Nieuwe Situatie",(_xlfn.IFNA(VLOOKUP(Referentie_Hernieuwbare_Energie_Totaal[[#This Row],[Product]]&amp;", "&amp;Referentie_CO2_Totaal[[#Headers],[A4]],Database_Productkaarten[#All],48,FALSE),0)*Baseline!I59),0)),IF(Baseline!C59="Nieuwe Situatie",_xlfn.IFNA(VLOOKUP(Baseline!T59,Database_Transport[#All],42,FALSE)*(Baseline!Q59*Baseline!S59),Baseline_Backlog!H162),0))</f>
        <v>0</v>
      </c>
      <c r="I372" s="77">
        <f>IF(Baseline!C59="Nieuwe situatie",IF(_xlfn.IFNA((VLOOKUP(Baseline!U59,Database_Asfalt_Aanlegset[#All],42,FALSE)*Baseline!I59),0)+_xlfn.IFNA(VLOOKUP(Baseline!V59,Database_Brandstoffen[#All],42,FALSE)*((Baseline!I59/Baseline!X59)*Baseline!W59),0)&gt;0,_xlfn.IFNA((VLOOKUP(Baseline!U59,Database_Asfalt_Aanlegset[#All],42,FALSE)*Baseline!I59),0)+_xlfn.IFNA(VLOOKUP(Baseline!V59,Database_Brandstoffen[#All],42,FALSE)*((Baseline!I59/Baseline!X59)*Baseline!W59),0),(_xlfn.IFNA(VLOOKUP(Referentie_Hernieuwbare_Energie_Totaal[[#This Row],[Product]]&amp;", "&amp;Referentie_MKI_Totaal[[#Headers],[A5]],Database_Productkaarten[#All],48,FALSE),0)*Baseline!I59)),0)</f>
        <v>0</v>
      </c>
      <c r="J372" s="77">
        <f>(IF(Baseline!C59="Nieuwe Situatie",(_xlfn.IFNA(VLOOKUP(Referentie_Hernieuwbare_Energie_Totaal[[#This Row],[Product]]&amp;", "&amp;Referentie_Hernieuwbare_Energie_Totaal[[#Headers],[B1]],Database_Productkaarten[#All],48,FALSE),0)*Baseline!I59),0))</f>
        <v>0</v>
      </c>
      <c r="K372" s="77">
        <f>(IF(Baseline!C59="Nieuwe Situatie",(SUM(Referentie_Hernieuwbare_Energie_Totaal[[#This Row],[A1]:[B1]],Referentie_Hernieuwbare_Energie_Totaal[[#This Row],[C1]:[D2]])*Baseline!R59),0))</f>
        <v>0</v>
      </c>
      <c r="L372" s="77">
        <f>IF(Baseline!C59="Bestaande situatie",IF(_xlfn.IFNA((VLOOKUP(Baseline!Y59,Database_Asfalt_Verwijderset[#All],42,FALSE)*Baseline!I59),0)+_xlfn.IFNA(VLOOKUP(Baseline!Z59,Database_Brandstoffen[#All],42,FALSE)*((Baseline!I59/Baseline!AB59)*Baseline!AA59),0)&gt;0,_xlfn.IFNA((VLOOKUP(Baseline!Y59,Database_Asfalt_Verwijderset[#All],42,FALSE)*Baseline!I59),0)+_xlfn.IFNA(VLOOKUP(Baseline!Z59,Database_Brandstoffen[#All],42,FALSE)*((Baseline!I59/Baseline!AB59)*Baseline!AA59),0),(_xlfn.IFNA(VLOOKUP(Referentie_Hernieuwbare_Energie_Totaal[[#This Row],[Product]]&amp;", "&amp;Referentie_MKI_Totaal[[#Headers],[C1]],Database_Productkaarten[#All],48,FALSE),0)*Baseline!I59)),0)</f>
        <v>0</v>
      </c>
      <c r="M372" s="77">
        <f>IF(Baseline!AD59=0,(IF(Baseline!C59="Bestaande Situatie",(_xlfn.IFNA(VLOOKUP(Referentie_Hernieuwbare_Energie_Totaal[[#This Row],[Product]]&amp;", "&amp;Referentie_MKI_Totaal[[#Headers],[C2]],Database_Productkaarten[#All],48,FALSE),0)*Baseline!I59),0)),(IF(Baseline!C59="Bestaande Situatie",_xlfn.IFNA(VLOOKUP(Baseline!AD59,Database_Transport[#All],42,FALSE)*(Baseline!Q59*Baseline!AC59),0))))</f>
        <v>0</v>
      </c>
      <c r="N372" s="77">
        <f>(IF(Baseline!C59="Bestaande Situatie",(_xlfn.IFNA(VLOOKUP(Referentie_Hernieuwbare_Energie_Totaal[[#This Row],[Product]]&amp;", "&amp;Referentie_Hernieuwbare_Energie_Totaal[[#Headers],[C3]],Database_Productkaarten[#All],48,FALSE),0)*Baseline!I59),0))</f>
        <v>0</v>
      </c>
      <c r="O372" s="77">
        <f>(IF(Baseline!C59="Bestaande Situatie",(_xlfn.IFNA(VLOOKUP(Referentie_Hernieuwbare_Energie_Totaal[[#This Row],[Product]]&amp;", "&amp;Referentie_Hernieuwbare_Energie_Totaal[[#Headers],[C4]],Database_Productkaarten[#All],48,FALSE),0)*Baseline!I59),0))</f>
        <v>0</v>
      </c>
      <c r="P372" s="77">
        <f>(IF(Baseline!C59="Bestaande Situatie",(_xlfn.IFNA(VLOOKUP(Referentie_Hernieuwbare_Energie_Totaal[[#This Row],[Product]]&amp;", "&amp;Referentie_Hernieuwbare_Energie_Totaal[[#Headers],[D1]],Database_Productkaarten[#All],48,FALSE),0)*Baseline!I59),0))</f>
        <v>0</v>
      </c>
      <c r="Q372" s="78">
        <f>(IF(Baseline!C59="Bestaande Situatie",_xlfn.IFNA(VLOOKUP(Referentie_Hernieuwbare_Energie_Totaal[[#This Row],[Product]]&amp;", "&amp;Referentie_Hernieuwbare_Energie_Totaal[[#Headers],[D2]],Database_Productkaarten[#All],48,FALSE),0)*Baseline!I59,0))</f>
        <v>0</v>
      </c>
      <c r="R372" s="57">
        <f>(IF(Baseline!C59="Bestaande Situatie",_xlfn.IFNA(VLOOKUP(Referentie_Hernieuwbare_Energie_Totaal[[#This Row],[Product]]&amp;", "&amp;Referentie_Hernieuwbare_Energie_Totaal[[#Headers],[D]],Database_Productkaarten[#All],48,FALSE),0)*Baseline!I59,0))</f>
        <v>0</v>
      </c>
      <c r="S372" s="56">
        <f>SUM(Referentie_Hernieuwbare_Energie_Totaal[[#This Row],[A1-A3]:[C4]])+Referentie_Hernieuwbare_Energie_Totaal[[#This Row],[D]]</f>
        <v>0</v>
      </c>
    </row>
    <row r="373" spans="2:19">
      <c r="B373" s="209">
        <f>Baseline!B60</f>
        <v>0</v>
      </c>
      <c r="C373" s="76">
        <f>Baseline!F60</f>
        <v>0</v>
      </c>
      <c r="D373" s="77">
        <f>(IF(Baseline!C60="Nieuwe Situatie",(_xlfn.IFNA(VLOOKUP(Referentie_Hernieuwbare_Energie_Totaal[[#This Row],[Product]]&amp;", "&amp;Referentie_Hernieuwbare_Energie_Totaal[[#Headers],[A1]],Database_Productkaarten[#All],48,FALSE),0)*Baseline!I60),0))</f>
        <v>0</v>
      </c>
      <c r="E373" s="77">
        <f>(IF(Baseline!C60="Nieuwe Situatie",(_xlfn.IFNA(VLOOKUP(Referentie_Hernieuwbare_Energie_Totaal[[#This Row],[Product]]&amp;", "&amp;Referentie_Hernieuwbare_Energie_Totaal[[#Headers],[A2]],Database_Productkaarten[#All],48,FALSE),0)*Baseline!I60),0))</f>
        <v>0</v>
      </c>
      <c r="F373" s="77">
        <f>(IF(Baseline!C60="Nieuwe Situatie",(_xlfn.IFNA(VLOOKUP(Referentie_Hernieuwbare_Energie_Totaal[[#This Row],[Product]]&amp;", "&amp;Referentie_Hernieuwbare_Energie_Totaal[[#Headers],[A3]],Database_Productkaarten[#All],48,FALSE),0)*Baseline!I60),0))</f>
        <v>0</v>
      </c>
      <c r="G373" s="77">
        <f>(IF(Baseline!C60="Nieuwe Situatie",(_xlfn.IFNA(VLOOKUP(Referentie_Hernieuwbare_Energie_Totaal[[#This Row],[Product]]&amp;", "&amp;Referentie_Hernieuwbare_Energie_Totaal[[#Headers],[A1-A3]],Database_Productkaarten[#All],48,FALSE),0)*Baseline!I60),0))</f>
        <v>0</v>
      </c>
      <c r="H373" s="77">
        <f>IF(Baseline!T60=0,(IF(Baseline!C60="Nieuwe Situatie",(_xlfn.IFNA(VLOOKUP(Referentie_Hernieuwbare_Energie_Totaal[[#This Row],[Product]]&amp;", "&amp;Referentie_CO2_Totaal[[#Headers],[A4]],Database_Productkaarten[#All],48,FALSE),0)*Baseline!I60),0)),IF(Baseline!C60="Nieuwe Situatie",_xlfn.IFNA(VLOOKUP(Baseline!T60,Database_Transport[#All],42,FALSE)*(Baseline!Q60*Baseline!S60),Baseline_Backlog!H163),0))</f>
        <v>0</v>
      </c>
      <c r="I373" s="77">
        <f>IF(Baseline!C60="Nieuwe situatie",IF(_xlfn.IFNA((VLOOKUP(Baseline!U60,Database_Asfalt_Aanlegset[#All],42,FALSE)*Baseline!I60),0)+_xlfn.IFNA(VLOOKUP(Baseline!V60,Database_Brandstoffen[#All],42,FALSE)*((Baseline!I60/Baseline!X60)*Baseline!W60),0)&gt;0,_xlfn.IFNA((VLOOKUP(Baseline!U60,Database_Asfalt_Aanlegset[#All],42,FALSE)*Baseline!I60),0)+_xlfn.IFNA(VLOOKUP(Baseline!V60,Database_Brandstoffen[#All],42,FALSE)*((Baseline!I60/Baseline!X60)*Baseline!W60),0),(_xlfn.IFNA(VLOOKUP(Referentie_Hernieuwbare_Energie_Totaal[[#This Row],[Product]]&amp;", "&amp;Referentie_MKI_Totaal[[#Headers],[A5]],Database_Productkaarten[#All],48,FALSE),0)*Baseline!I60)),0)</f>
        <v>0</v>
      </c>
      <c r="J373" s="77">
        <f>(IF(Baseline!C60="Nieuwe Situatie",(_xlfn.IFNA(VLOOKUP(Referentie_Hernieuwbare_Energie_Totaal[[#This Row],[Product]]&amp;", "&amp;Referentie_Hernieuwbare_Energie_Totaal[[#Headers],[B1]],Database_Productkaarten[#All],48,FALSE),0)*Baseline!I60),0))</f>
        <v>0</v>
      </c>
      <c r="K373" s="77">
        <f>(IF(Baseline!C60="Nieuwe Situatie",(SUM(Referentie_Hernieuwbare_Energie_Totaal[[#This Row],[A1]:[B1]],Referentie_Hernieuwbare_Energie_Totaal[[#This Row],[C1]:[D2]])*Baseline!R60),0))</f>
        <v>0</v>
      </c>
      <c r="L373" s="77">
        <f>IF(Baseline!C60="Bestaande situatie",IF(_xlfn.IFNA((VLOOKUP(Baseline!Y60,Database_Asfalt_Verwijderset[#All],42,FALSE)*Baseline!I60),0)+_xlfn.IFNA(VLOOKUP(Baseline!Z60,Database_Brandstoffen[#All],42,FALSE)*((Baseline!I60/Baseline!AB60)*Baseline!AA60),0)&gt;0,_xlfn.IFNA((VLOOKUP(Baseline!Y60,Database_Asfalt_Verwijderset[#All],42,FALSE)*Baseline!I60),0)+_xlfn.IFNA(VLOOKUP(Baseline!Z60,Database_Brandstoffen[#All],42,FALSE)*((Baseline!I60/Baseline!AB60)*Baseline!AA60),0),(_xlfn.IFNA(VLOOKUP(Referentie_Hernieuwbare_Energie_Totaal[[#This Row],[Product]]&amp;", "&amp;Referentie_MKI_Totaal[[#Headers],[C1]],Database_Productkaarten[#All],48,FALSE),0)*Baseline!I60)),0)</f>
        <v>0</v>
      </c>
      <c r="M373" s="77">
        <f>IF(Baseline!AD60=0,(IF(Baseline!C60="Bestaande Situatie",(_xlfn.IFNA(VLOOKUP(Referentie_Hernieuwbare_Energie_Totaal[[#This Row],[Product]]&amp;", "&amp;Referentie_MKI_Totaal[[#Headers],[C2]],Database_Productkaarten[#All],48,FALSE),0)*Baseline!I60),0)),(IF(Baseline!C60="Bestaande Situatie",_xlfn.IFNA(VLOOKUP(Baseline!AD60,Database_Transport[#All],42,FALSE)*(Baseline!Q60*Baseline!AC60),0))))</f>
        <v>0</v>
      </c>
      <c r="N373" s="77">
        <f>(IF(Baseline!C60="Bestaande Situatie",(_xlfn.IFNA(VLOOKUP(Referentie_Hernieuwbare_Energie_Totaal[[#This Row],[Product]]&amp;", "&amp;Referentie_Hernieuwbare_Energie_Totaal[[#Headers],[C3]],Database_Productkaarten[#All],48,FALSE),0)*Baseline!I60),0))</f>
        <v>0</v>
      </c>
      <c r="O373" s="77">
        <f>(IF(Baseline!C60="Bestaande Situatie",(_xlfn.IFNA(VLOOKUP(Referentie_Hernieuwbare_Energie_Totaal[[#This Row],[Product]]&amp;", "&amp;Referentie_Hernieuwbare_Energie_Totaal[[#Headers],[C4]],Database_Productkaarten[#All],48,FALSE),0)*Baseline!I60),0))</f>
        <v>0</v>
      </c>
      <c r="P373" s="77">
        <f>(IF(Baseline!C60="Bestaande Situatie",(_xlfn.IFNA(VLOOKUP(Referentie_Hernieuwbare_Energie_Totaal[[#This Row],[Product]]&amp;", "&amp;Referentie_Hernieuwbare_Energie_Totaal[[#Headers],[D1]],Database_Productkaarten[#All],48,FALSE),0)*Baseline!I60),0))</f>
        <v>0</v>
      </c>
      <c r="Q373" s="78">
        <f>(IF(Baseline!C60="Bestaande Situatie",_xlfn.IFNA(VLOOKUP(Referentie_Hernieuwbare_Energie_Totaal[[#This Row],[Product]]&amp;", "&amp;Referentie_Hernieuwbare_Energie_Totaal[[#Headers],[D2]],Database_Productkaarten[#All],48,FALSE),0)*Baseline!I60,0))</f>
        <v>0</v>
      </c>
      <c r="R373" s="57">
        <f>(IF(Baseline!C60="Bestaande Situatie",_xlfn.IFNA(VLOOKUP(Referentie_Hernieuwbare_Energie_Totaal[[#This Row],[Product]]&amp;", "&amp;Referentie_Hernieuwbare_Energie_Totaal[[#Headers],[D]],Database_Productkaarten[#All],48,FALSE),0)*Baseline!I60,0))</f>
        <v>0</v>
      </c>
      <c r="S373" s="56">
        <f>SUM(Referentie_Hernieuwbare_Energie_Totaal[[#This Row],[A1-A3]:[C4]])+Referentie_Hernieuwbare_Energie_Totaal[[#This Row],[D]]</f>
        <v>0</v>
      </c>
    </row>
    <row r="374" spans="2:19">
      <c r="B374" s="209">
        <f>Baseline!B61</f>
        <v>0</v>
      </c>
      <c r="C374" s="76">
        <f>Baseline!F61</f>
        <v>0</v>
      </c>
      <c r="D374" s="77">
        <f>(IF(Baseline!C61="Nieuwe Situatie",(_xlfn.IFNA(VLOOKUP(Referentie_Hernieuwbare_Energie_Totaal[[#This Row],[Product]]&amp;", "&amp;Referentie_Hernieuwbare_Energie_Totaal[[#Headers],[A1]],Database_Productkaarten[#All],48,FALSE),0)*Baseline!I61),0))</f>
        <v>0</v>
      </c>
      <c r="E374" s="77">
        <f>(IF(Baseline!C61="Nieuwe Situatie",(_xlfn.IFNA(VLOOKUP(Referentie_Hernieuwbare_Energie_Totaal[[#This Row],[Product]]&amp;", "&amp;Referentie_Hernieuwbare_Energie_Totaal[[#Headers],[A2]],Database_Productkaarten[#All],48,FALSE),0)*Baseline!I61),0))</f>
        <v>0</v>
      </c>
      <c r="F374" s="77">
        <f>(IF(Baseline!C61="Nieuwe Situatie",(_xlfn.IFNA(VLOOKUP(Referentie_Hernieuwbare_Energie_Totaal[[#This Row],[Product]]&amp;", "&amp;Referentie_Hernieuwbare_Energie_Totaal[[#Headers],[A3]],Database_Productkaarten[#All],48,FALSE),0)*Baseline!I61),0))</f>
        <v>0</v>
      </c>
      <c r="G374" s="77">
        <f>(IF(Baseline!C61="Nieuwe Situatie",(_xlfn.IFNA(VLOOKUP(Referentie_Hernieuwbare_Energie_Totaal[[#This Row],[Product]]&amp;", "&amp;Referentie_Hernieuwbare_Energie_Totaal[[#Headers],[A1-A3]],Database_Productkaarten[#All],48,FALSE),0)*Baseline!I61),0))</f>
        <v>0</v>
      </c>
      <c r="H374" s="77">
        <f>IF(Baseline!T61=0,(IF(Baseline!C61="Nieuwe Situatie",(_xlfn.IFNA(VLOOKUP(Referentie_Hernieuwbare_Energie_Totaal[[#This Row],[Product]]&amp;", "&amp;Referentie_CO2_Totaal[[#Headers],[A4]],Database_Productkaarten[#All],48,FALSE),0)*Baseline!I61),0)),IF(Baseline!C61="Nieuwe Situatie",_xlfn.IFNA(VLOOKUP(Baseline!T61,Database_Transport[#All],42,FALSE)*(Baseline!Q61*Baseline!S61),Baseline_Backlog!H164),0))</f>
        <v>0</v>
      </c>
      <c r="I374" s="77">
        <f>IF(Baseline!C61="Nieuwe situatie",IF(_xlfn.IFNA((VLOOKUP(Baseline!U61,Database_Asfalt_Aanlegset[#All],42,FALSE)*Baseline!I61),0)+_xlfn.IFNA(VLOOKUP(Baseline!V61,Database_Brandstoffen[#All],42,FALSE)*((Baseline!I61/Baseline!X61)*Baseline!W61),0)&gt;0,_xlfn.IFNA((VLOOKUP(Baseline!U61,Database_Asfalt_Aanlegset[#All],42,FALSE)*Baseline!I61),0)+_xlfn.IFNA(VLOOKUP(Baseline!V61,Database_Brandstoffen[#All],42,FALSE)*((Baseline!I61/Baseline!X61)*Baseline!W61),0),(_xlfn.IFNA(VLOOKUP(Referentie_Hernieuwbare_Energie_Totaal[[#This Row],[Product]]&amp;", "&amp;Referentie_MKI_Totaal[[#Headers],[A5]],Database_Productkaarten[#All],48,FALSE),0)*Baseline!I61)),0)</f>
        <v>0</v>
      </c>
      <c r="J374" s="77">
        <f>(IF(Baseline!C61="Nieuwe Situatie",(_xlfn.IFNA(VLOOKUP(Referentie_Hernieuwbare_Energie_Totaal[[#This Row],[Product]]&amp;", "&amp;Referentie_Hernieuwbare_Energie_Totaal[[#Headers],[B1]],Database_Productkaarten[#All],48,FALSE),0)*Baseline!I61),0))</f>
        <v>0</v>
      </c>
      <c r="K374" s="77">
        <f>(IF(Baseline!C61="Nieuwe Situatie",(SUM(Referentie_Hernieuwbare_Energie_Totaal[[#This Row],[A1]:[B1]],Referentie_Hernieuwbare_Energie_Totaal[[#This Row],[C1]:[D2]])*Baseline!R61),0))</f>
        <v>0</v>
      </c>
      <c r="L374" s="77">
        <f>IF(Baseline!C61="Bestaande situatie",IF(_xlfn.IFNA((VLOOKUP(Baseline!Y61,Database_Asfalt_Verwijderset[#All],42,FALSE)*Baseline!I61),0)+_xlfn.IFNA(VLOOKUP(Baseline!Z61,Database_Brandstoffen[#All],42,FALSE)*((Baseline!I61/Baseline!AB61)*Baseline!AA61),0)&gt;0,_xlfn.IFNA((VLOOKUP(Baseline!Y61,Database_Asfalt_Verwijderset[#All],42,FALSE)*Baseline!I61),0)+_xlfn.IFNA(VLOOKUP(Baseline!Z61,Database_Brandstoffen[#All],42,FALSE)*((Baseline!I61/Baseline!AB61)*Baseline!AA61),0),(_xlfn.IFNA(VLOOKUP(Referentie_Hernieuwbare_Energie_Totaal[[#This Row],[Product]]&amp;", "&amp;Referentie_MKI_Totaal[[#Headers],[C1]],Database_Productkaarten[#All],48,FALSE),0)*Baseline!I61)),0)</f>
        <v>0</v>
      </c>
      <c r="M374" s="77">
        <f>IF(Baseline!AD61=0,(IF(Baseline!C61="Bestaande Situatie",(_xlfn.IFNA(VLOOKUP(Referentie_Hernieuwbare_Energie_Totaal[[#This Row],[Product]]&amp;", "&amp;Referentie_MKI_Totaal[[#Headers],[C2]],Database_Productkaarten[#All],48,FALSE),0)*Baseline!I61),0)),(IF(Baseline!C61="Bestaande Situatie",_xlfn.IFNA(VLOOKUP(Baseline!AD61,Database_Transport[#All],42,FALSE)*(Baseline!Q61*Baseline!AC61),0))))</f>
        <v>0</v>
      </c>
      <c r="N374" s="77">
        <f>(IF(Baseline!C61="Bestaande Situatie",(_xlfn.IFNA(VLOOKUP(Referentie_Hernieuwbare_Energie_Totaal[[#This Row],[Product]]&amp;", "&amp;Referentie_Hernieuwbare_Energie_Totaal[[#Headers],[C3]],Database_Productkaarten[#All],48,FALSE),0)*Baseline!I61),0))</f>
        <v>0</v>
      </c>
      <c r="O374" s="77">
        <f>(IF(Baseline!C61="Bestaande Situatie",(_xlfn.IFNA(VLOOKUP(Referentie_Hernieuwbare_Energie_Totaal[[#This Row],[Product]]&amp;", "&amp;Referentie_Hernieuwbare_Energie_Totaal[[#Headers],[C4]],Database_Productkaarten[#All],48,FALSE),0)*Baseline!I61),0))</f>
        <v>0</v>
      </c>
      <c r="P374" s="77">
        <f>(IF(Baseline!C61="Bestaande Situatie",(_xlfn.IFNA(VLOOKUP(Referentie_Hernieuwbare_Energie_Totaal[[#This Row],[Product]]&amp;", "&amp;Referentie_Hernieuwbare_Energie_Totaal[[#Headers],[D1]],Database_Productkaarten[#All],48,FALSE),0)*Baseline!I61),0))</f>
        <v>0</v>
      </c>
      <c r="Q374" s="78">
        <f>(IF(Baseline!C61="Bestaande Situatie",_xlfn.IFNA(VLOOKUP(Referentie_Hernieuwbare_Energie_Totaal[[#This Row],[Product]]&amp;", "&amp;Referentie_Hernieuwbare_Energie_Totaal[[#Headers],[D2]],Database_Productkaarten[#All],48,FALSE),0)*Baseline!I61,0))</f>
        <v>0</v>
      </c>
      <c r="R374" s="57">
        <f>(IF(Baseline!C61="Bestaande Situatie",_xlfn.IFNA(VLOOKUP(Referentie_Hernieuwbare_Energie_Totaal[[#This Row],[Product]]&amp;", "&amp;Referentie_Hernieuwbare_Energie_Totaal[[#Headers],[D]],Database_Productkaarten[#All],48,FALSE),0)*Baseline!I61,0))</f>
        <v>0</v>
      </c>
      <c r="S374" s="56">
        <f>SUM(Referentie_Hernieuwbare_Energie_Totaal[[#This Row],[A1-A3]:[C4]])+Referentie_Hernieuwbare_Energie_Totaal[[#This Row],[D]]</f>
        <v>0</v>
      </c>
    </row>
    <row r="375" spans="2:19">
      <c r="B375" s="209">
        <f>Baseline!B62</f>
        <v>0</v>
      </c>
      <c r="C375" s="76">
        <f>Baseline!F62</f>
        <v>0</v>
      </c>
      <c r="D375" s="77">
        <f>(IF(Baseline!C62="Nieuwe Situatie",(_xlfn.IFNA(VLOOKUP(Referentie_Hernieuwbare_Energie_Totaal[[#This Row],[Product]]&amp;", "&amp;Referentie_Hernieuwbare_Energie_Totaal[[#Headers],[A1]],Database_Productkaarten[#All],48,FALSE),0)*Baseline!I62),0))</f>
        <v>0</v>
      </c>
      <c r="E375" s="77">
        <f>(IF(Baseline!C62="Nieuwe Situatie",(_xlfn.IFNA(VLOOKUP(Referentie_Hernieuwbare_Energie_Totaal[[#This Row],[Product]]&amp;", "&amp;Referentie_Hernieuwbare_Energie_Totaal[[#Headers],[A2]],Database_Productkaarten[#All],48,FALSE),0)*Baseline!I62),0))</f>
        <v>0</v>
      </c>
      <c r="F375" s="77">
        <f>(IF(Baseline!C62="Nieuwe Situatie",(_xlfn.IFNA(VLOOKUP(Referentie_Hernieuwbare_Energie_Totaal[[#This Row],[Product]]&amp;", "&amp;Referentie_Hernieuwbare_Energie_Totaal[[#Headers],[A3]],Database_Productkaarten[#All],48,FALSE),0)*Baseline!I62),0))</f>
        <v>0</v>
      </c>
      <c r="G375" s="77">
        <f>(IF(Baseline!C62="Nieuwe Situatie",(_xlfn.IFNA(VLOOKUP(Referentie_Hernieuwbare_Energie_Totaal[[#This Row],[Product]]&amp;", "&amp;Referentie_Hernieuwbare_Energie_Totaal[[#Headers],[A1-A3]],Database_Productkaarten[#All],48,FALSE),0)*Baseline!I62),0))</f>
        <v>0</v>
      </c>
      <c r="H375" s="77">
        <f>IF(Baseline!T62=0,(IF(Baseline!C62="Nieuwe Situatie",(_xlfn.IFNA(VLOOKUP(Referentie_Hernieuwbare_Energie_Totaal[[#This Row],[Product]]&amp;", "&amp;Referentie_CO2_Totaal[[#Headers],[A4]],Database_Productkaarten[#All],48,FALSE),0)*Baseline!I62),0)),IF(Baseline!C62="Nieuwe Situatie",_xlfn.IFNA(VLOOKUP(Baseline!T62,Database_Transport[#All],42,FALSE)*(Baseline!Q62*Baseline!S62),Baseline_Backlog!H165),0))</f>
        <v>0</v>
      </c>
      <c r="I375" s="77">
        <f>IF(Baseline!C62="Nieuwe situatie",IF(_xlfn.IFNA((VLOOKUP(Baseline!U62,Database_Asfalt_Aanlegset[#All],42,FALSE)*Baseline!I62),0)+_xlfn.IFNA(VLOOKUP(Baseline!V62,Database_Brandstoffen[#All],42,FALSE)*((Baseline!I62/Baseline!X62)*Baseline!W62),0)&gt;0,_xlfn.IFNA((VLOOKUP(Baseline!U62,Database_Asfalt_Aanlegset[#All],42,FALSE)*Baseline!I62),0)+_xlfn.IFNA(VLOOKUP(Baseline!V62,Database_Brandstoffen[#All],42,FALSE)*((Baseline!I62/Baseline!X62)*Baseline!W62),0),(_xlfn.IFNA(VLOOKUP(Referentie_Hernieuwbare_Energie_Totaal[[#This Row],[Product]]&amp;", "&amp;Referentie_MKI_Totaal[[#Headers],[A5]],Database_Productkaarten[#All],48,FALSE),0)*Baseline!I62)),0)</f>
        <v>0</v>
      </c>
      <c r="J375" s="77">
        <f>(IF(Baseline!C62="Nieuwe Situatie",(_xlfn.IFNA(VLOOKUP(Referentie_Hernieuwbare_Energie_Totaal[[#This Row],[Product]]&amp;", "&amp;Referentie_Hernieuwbare_Energie_Totaal[[#Headers],[B1]],Database_Productkaarten[#All],48,FALSE),0)*Baseline!I62),0))</f>
        <v>0</v>
      </c>
      <c r="K375" s="77">
        <f>(IF(Baseline!C62="Nieuwe Situatie",(SUM(Referentie_Hernieuwbare_Energie_Totaal[[#This Row],[A1]:[B1]],Referentie_Hernieuwbare_Energie_Totaal[[#This Row],[C1]:[D2]])*Baseline!R62),0))</f>
        <v>0</v>
      </c>
      <c r="L375" s="77">
        <f>IF(Baseline!C62="Bestaande situatie",IF(_xlfn.IFNA((VLOOKUP(Baseline!Y62,Database_Asfalt_Verwijderset[#All],42,FALSE)*Baseline!I62),0)+_xlfn.IFNA(VLOOKUP(Baseline!Z62,Database_Brandstoffen[#All],42,FALSE)*((Baseline!I62/Baseline!AB62)*Baseline!AA62),0)&gt;0,_xlfn.IFNA((VLOOKUP(Baseline!Y62,Database_Asfalt_Verwijderset[#All],42,FALSE)*Baseline!I62),0)+_xlfn.IFNA(VLOOKUP(Baseline!Z62,Database_Brandstoffen[#All],42,FALSE)*((Baseline!I62/Baseline!AB62)*Baseline!AA62),0),(_xlfn.IFNA(VLOOKUP(Referentie_Hernieuwbare_Energie_Totaal[[#This Row],[Product]]&amp;", "&amp;Referentie_MKI_Totaal[[#Headers],[C1]],Database_Productkaarten[#All],48,FALSE),0)*Baseline!I62)),0)</f>
        <v>0</v>
      </c>
      <c r="M375" s="77">
        <f>IF(Baseline!AD62=0,(IF(Baseline!C62="Bestaande Situatie",(_xlfn.IFNA(VLOOKUP(Referentie_Hernieuwbare_Energie_Totaal[[#This Row],[Product]]&amp;", "&amp;Referentie_MKI_Totaal[[#Headers],[C2]],Database_Productkaarten[#All],48,FALSE),0)*Baseline!I62),0)),(IF(Baseline!C62="Bestaande Situatie",_xlfn.IFNA(VLOOKUP(Baseline!AD62,Database_Transport[#All],42,FALSE)*(Baseline!Q62*Baseline!AC62),0))))</f>
        <v>0</v>
      </c>
      <c r="N375" s="77">
        <f>(IF(Baseline!C62="Bestaande Situatie",(_xlfn.IFNA(VLOOKUP(Referentie_Hernieuwbare_Energie_Totaal[[#This Row],[Product]]&amp;", "&amp;Referentie_Hernieuwbare_Energie_Totaal[[#Headers],[C3]],Database_Productkaarten[#All],48,FALSE),0)*Baseline!I62),0))</f>
        <v>0</v>
      </c>
      <c r="O375" s="77">
        <f>(IF(Baseline!C62="Bestaande Situatie",(_xlfn.IFNA(VLOOKUP(Referentie_Hernieuwbare_Energie_Totaal[[#This Row],[Product]]&amp;", "&amp;Referentie_Hernieuwbare_Energie_Totaal[[#Headers],[C4]],Database_Productkaarten[#All],48,FALSE),0)*Baseline!I62),0))</f>
        <v>0</v>
      </c>
      <c r="P375" s="77">
        <f>(IF(Baseline!C62="Bestaande Situatie",(_xlfn.IFNA(VLOOKUP(Referentie_Hernieuwbare_Energie_Totaal[[#This Row],[Product]]&amp;", "&amp;Referentie_Hernieuwbare_Energie_Totaal[[#Headers],[D1]],Database_Productkaarten[#All],48,FALSE),0)*Baseline!I62),0))</f>
        <v>0</v>
      </c>
      <c r="Q375" s="78">
        <f>(IF(Baseline!C62="Bestaande Situatie",_xlfn.IFNA(VLOOKUP(Referentie_Hernieuwbare_Energie_Totaal[[#This Row],[Product]]&amp;", "&amp;Referentie_Hernieuwbare_Energie_Totaal[[#Headers],[D2]],Database_Productkaarten[#All],48,FALSE),0)*Baseline!I62,0))</f>
        <v>0</v>
      </c>
      <c r="R375" s="57">
        <f>(IF(Baseline!C62="Bestaande Situatie",_xlfn.IFNA(VLOOKUP(Referentie_Hernieuwbare_Energie_Totaal[[#This Row],[Product]]&amp;", "&amp;Referentie_Hernieuwbare_Energie_Totaal[[#Headers],[D]],Database_Productkaarten[#All],48,FALSE),0)*Baseline!I62,0))</f>
        <v>0</v>
      </c>
      <c r="S375" s="56">
        <f>SUM(Referentie_Hernieuwbare_Energie_Totaal[[#This Row],[A1-A3]:[C4]])+Referentie_Hernieuwbare_Energie_Totaal[[#This Row],[D]]</f>
        <v>0</v>
      </c>
    </row>
    <row r="376" spans="2:19">
      <c r="B376" s="209">
        <f>Baseline!B63</f>
        <v>0</v>
      </c>
      <c r="C376" s="76">
        <f>Baseline!F63</f>
        <v>0</v>
      </c>
      <c r="D376" s="77">
        <f>(IF(Baseline!C63="Nieuwe Situatie",(_xlfn.IFNA(VLOOKUP(Referentie_Hernieuwbare_Energie_Totaal[[#This Row],[Product]]&amp;", "&amp;Referentie_Hernieuwbare_Energie_Totaal[[#Headers],[A1]],Database_Productkaarten[#All],48,FALSE),0)*Baseline!I63),0))</f>
        <v>0</v>
      </c>
      <c r="E376" s="77">
        <f>(IF(Baseline!C63="Nieuwe Situatie",(_xlfn.IFNA(VLOOKUP(Referentie_Hernieuwbare_Energie_Totaal[[#This Row],[Product]]&amp;", "&amp;Referentie_Hernieuwbare_Energie_Totaal[[#Headers],[A2]],Database_Productkaarten[#All],48,FALSE),0)*Baseline!I63),0))</f>
        <v>0</v>
      </c>
      <c r="F376" s="77">
        <f>(IF(Baseline!C63="Nieuwe Situatie",(_xlfn.IFNA(VLOOKUP(Referentie_Hernieuwbare_Energie_Totaal[[#This Row],[Product]]&amp;", "&amp;Referentie_Hernieuwbare_Energie_Totaal[[#Headers],[A3]],Database_Productkaarten[#All],48,FALSE),0)*Baseline!I63),0))</f>
        <v>0</v>
      </c>
      <c r="G376" s="77">
        <f>(IF(Baseline!C63="Nieuwe Situatie",(_xlfn.IFNA(VLOOKUP(Referentie_Hernieuwbare_Energie_Totaal[[#This Row],[Product]]&amp;", "&amp;Referentie_Hernieuwbare_Energie_Totaal[[#Headers],[A1-A3]],Database_Productkaarten[#All],48,FALSE),0)*Baseline!I63),0))</f>
        <v>0</v>
      </c>
      <c r="H376" s="77">
        <f>IF(Baseline!T63=0,(IF(Baseline!C63="Nieuwe Situatie",(_xlfn.IFNA(VLOOKUP(Referentie_Hernieuwbare_Energie_Totaal[[#This Row],[Product]]&amp;", "&amp;Referentie_CO2_Totaal[[#Headers],[A4]],Database_Productkaarten[#All],48,FALSE),0)*Baseline!I63),0)),IF(Baseline!C63="Nieuwe Situatie",_xlfn.IFNA(VLOOKUP(Baseline!T63,Database_Transport[#All],42,FALSE)*(Baseline!Q63*Baseline!S63),Baseline_Backlog!H166),0))</f>
        <v>0</v>
      </c>
      <c r="I376" s="77">
        <f>IF(Baseline!C63="Nieuwe situatie",IF(_xlfn.IFNA((VLOOKUP(Baseline!U63,Database_Asfalt_Aanlegset[#All],42,FALSE)*Baseline!I63),0)+_xlfn.IFNA(VLOOKUP(Baseline!V63,Database_Brandstoffen[#All],42,FALSE)*((Baseline!I63/Baseline!X63)*Baseline!W63),0)&gt;0,_xlfn.IFNA((VLOOKUP(Baseline!U63,Database_Asfalt_Aanlegset[#All],42,FALSE)*Baseline!I63),0)+_xlfn.IFNA(VLOOKUP(Baseline!V63,Database_Brandstoffen[#All],42,FALSE)*((Baseline!I63/Baseline!X63)*Baseline!W63),0),(_xlfn.IFNA(VLOOKUP(Referentie_Hernieuwbare_Energie_Totaal[[#This Row],[Product]]&amp;", "&amp;Referentie_MKI_Totaal[[#Headers],[A5]],Database_Productkaarten[#All],48,FALSE),0)*Baseline!I63)),0)</f>
        <v>0</v>
      </c>
      <c r="J376" s="77">
        <f>(IF(Baseline!C63="Nieuwe Situatie",(_xlfn.IFNA(VLOOKUP(Referentie_Hernieuwbare_Energie_Totaal[[#This Row],[Product]]&amp;", "&amp;Referentie_Hernieuwbare_Energie_Totaal[[#Headers],[B1]],Database_Productkaarten[#All],48,FALSE),0)*Baseline!I63),0))</f>
        <v>0</v>
      </c>
      <c r="K376" s="77">
        <f>(IF(Baseline!C63="Nieuwe Situatie",(SUM(Referentie_Hernieuwbare_Energie_Totaal[[#This Row],[A1]:[B1]],Referentie_Hernieuwbare_Energie_Totaal[[#This Row],[C1]:[D2]])*Baseline!R63),0))</f>
        <v>0</v>
      </c>
      <c r="L376" s="77">
        <f>IF(Baseline!C63="Bestaande situatie",IF(_xlfn.IFNA((VLOOKUP(Baseline!Y63,Database_Asfalt_Verwijderset[#All],42,FALSE)*Baseline!I63),0)+_xlfn.IFNA(VLOOKUP(Baseline!Z63,Database_Brandstoffen[#All],42,FALSE)*((Baseline!I63/Baseline!AB63)*Baseline!AA63),0)&gt;0,_xlfn.IFNA((VLOOKUP(Baseline!Y63,Database_Asfalt_Verwijderset[#All],42,FALSE)*Baseline!I63),0)+_xlfn.IFNA(VLOOKUP(Baseline!Z63,Database_Brandstoffen[#All],42,FALSE)*((Baseline!I63/Baseline!AB63)*Baseline!AA63),0),(_xlfn.IFNA(VLOOKUP(Referentie_Hernieuwbare_Energie_Totaal[[#This Row],[Product]]&amp;", "&amp;Referentie_MKI_Totaal[[#Headers],[C1]],Database_Productkaarten[#All],48,FALSE),0)*Baseline!I63)),0)</f>
        <v>0</v>
      </c>
      <c r="M376" s="77">
        <f>IF(Baseline!AD63=0,(IF(Baseline!C63="Bestaande Situatie",(_xlfn.IFNA(VLOOKUP(Referentie_Hernieuwbare_Energie_Totaal[[#This Row],[Product]]&amp;", "&amp;Referentie_MKI_Totaal[[#Headers],[C2]],Database_Productkaarten[#All],48,FALSE),0)*Baseline!I63),0)),(IF(Baseline!C63="Bestaande Situatie",_xlfn.IFNA(VLOOKUP(Baseline!AD63,Database_Transport[#All],42,FALSE)*(Baseline!Q63*Baseline!AC63),0))))</f>
        <v>0</v>
      </c>
      <c r="N376" s="77">
        <f>(IF(Baseline!C63="Bestaande Situatie",(_xlfn.IFNA(VLOOKUP(Referentie_Hernieuwbare_Energie_Totaal[[#This Row],[Product]]&amp;", "&amp;Referentie_Hernieuwbare_Energie_Totaal[[#Headers],[C3]],Database_Productkaarten[#All],48,FALSE),0)*Baseline!I63),0))</f>
        <v>0</v>
      </c>
      <c r="O376" s="77">
        <f>(IF(Baseline!C63="Bestaande Situatie",(_xlfn.IFNA(VLOOKUP(Referentie_Hernieuwbare_Energie_Totaal[[#This Row],[Product]]&amp;", "&amp;Referentie_Hernieuwbare_Energie_Totaal[[#Headers],[C4]],Database_Productkaarten[#All],48,FALSE),0)*Baseline!I63),0))</f>
        <v>0</v>
      </c>
      <c r="P376" s="77">
        <f>(IF(Baseline!C63="Bestaande Situatie",(_xlfn.IFNA(VLOOKUP(Referentie_Hernieuwbare_Energie_Totaal[[#This Row],[Product]]&amp;", "&amp;Referentie_Hernieuwbare_Energie_Totaal[[#Headers],[D1]],Database_Productkaarten[#All],48,FALSE),0)*Baseline!I63),0))</f>
        <v>0</v>
      </c>
      <c r="Q376" s="78">
        <f>(IF(Baseline!C63="Bestaande Situatie",_xlfn.IFNA(VLOOKUP(Referentie_Hernieuwbare_Energie_Totaal[[#This Row],[Product]]&amp;", "&amp;Referentie_Hernieuwbare_Energie_Totaal[[#Headers],[D2]],Database_Productkaarten[#All],48,FALSE),0)*Baseline!I63,0))</f>
        <v>0</v>
      </c>
      <c r="R376" s="57">
        <f>(IF(Baseline!C63="Bestaande Situatie",_xlfn.IFNA(VLOOKUP(Referentie_Hernieuwbare_Energie_Totaal[[#This Row],[Product]]&amp;", "&amp;Referentie_Hernieuwbare_Energie_Totaal[[#Headers],[D]],Database_Productkaarten[#All],48,FALSE),0)*Baseline!I63,0))</f>
        <v>0</v>
      </c>
      <c r="S376" s="56">
        <f>SUM(Referentie_Hernieuwbare_Energie_Totaal[[#This Row],[A1-A3]:[C4]])+Referentie_Hernieuwbare_Energie_Totaal[[#This Row],[D]]</f>
        <v>0</v>
      </c>
    </row>
    <row r="377" spans="2:19">
      <c r="B377" s="209">
        <f>Baseline!B64</f>
        <v>0</v>
      </c>
      <c r="C377" s="76">
        <f>Baseline!F64</f>
        <v>0</v>
      </c>
      <c r="D377" s="77">
        <f>(IF(Baseline!C64="Nieuwe Situatie",(_xlfn.IFNA(VLOOKUP(Referentie_Hernieuwbare_Energie_Totaal[[#This Row],[Product]]&amp;", "&amp;Referentie_Hernieuwbare_Energie_Totaal[[#Headers],[A1]],Database_Productkaarten[#All],48,FALSE),0)*Baseline!I64),0))</f>
        <v>0</v>
      </c>
      <c r="E377" s="77">
        <f>(IF(Baseline!C64="Nieuwe Situatie",(_xlfn.IFNA(VLOOKUP(Referentie_Hernieuwbare_Energie_Totaal[[#This Row],[Product]]&amp;", "&amp;Referentie_Hernieuwbare_Energie_Totaal[[#Headers],[A2]],Database_Productkaarten[#All],48,FALSE),0)*Baseline!I64),0))</f>
        <v>0</v>
      </c>
      <c r="F377" s="77">
        <f>(IF(Baseline!C64="Nieuwe Situatie",(_xlfn.IFNA(VLOOKUP(Referentie_Hernieuwbare_Energie_Totaal[[#This Row],[Product]]&amp;", "&amp;Referentie_Hernieuwbare_Energie_Totaal[[#Headers],[A3]],Database_Productkaarten[#All],48,FALSE),0)*Baseline!I64),0))</f>
        <v>0</v>
      </c>
      <c r="G377" s="77">
        <f>(IF(Baseline!C64="Nieuwe Situatie",(_xlfn.IFNA(VLOOKUP(Referentie_Hernieuwbare_Energie_Totaal[[#This Row],[Product]]&amp;", "&amp;Referentie_Hernieuwbare_Energie_Totaal[[#Headers],[A1-A3]],Database_Productkaarten[#All],48,FALSE),0)*Baseline!I64),0))</f>
        <v>0</v>
      </c>
      <c r="H377" s="77">
        <f>IF(Baseline!T64=0,(IF(Baseline!C64="Nieuwe Situatie",(_xlfn.IFNA(VLOOKUP(Referentie_Hernieuwbare_Energie_Totaal[[#This Row],[Product]]&amp;", "&amp;Referentie_CO2_Totaal[[#Headers],[A4]],Database_Productkaarten[#All],48,FALSE),0)*Baseline!I64),0)),IF(Baseline!C64="Nieuwe Situatie",_xlfn.IFNA(VLOOKUP(Baseline!T64,Database_Transport[#All],42,FALSE)*(Baseline!Q64*Baseline!S64),Baseline_Backlog!H167),0))</f>
        <v>0</v>
      </c>
      <c r="I377" s="77">
        <f>IF(Baseline!C64="Nieuwe situatie",IF(_xlfn.IFNA((VLOOKUP(Baseline!U64,Database_Asfalt_Aanlegset[#All],42,FALSE)*Baseline!I64),0)+_xlfn.IFNA(VLOOKUP(Baseline!V64,Database_Brandstoffen[#All],42,FALSE)*((Baseline!I64/Baseline!X64)*Baseline!W64),0)&gt;0,_xlfn.IFNA((VLOOKUP(Baseline!U64,Database_Asfalt_Aanlegset[#All],42,FALSE)*Baseline!I64),0)+_xlfn.IFNA(VLOOKUP(Baseline!V64,Database_Brandstoffen[#All],42,FALSE)*((Baseline!I64/Baseline!X64)*Baseline!W64),0),(_xlfn.IFNA(VLOOKUP(Referentie_Hernieuwbare_Energie_Totaal[[#This Row],[Product]]&amp;", "&amp;Referentie_MKI_Totaal[[#Headers],[A5]],Database_Productkaarten[#All],48,FALSE),0)*Baseline!I64)),0)</f>
        <v>0</v>
      </c>
      <c r="J377" s="77">
        <f>(IF(Baseline!C64="Nieuwe Situatie",(_xlfn.IFNA(VLOOKUP(Referentie_Hernieuwbare_Energie_Totaal[[#This Row],[Product]]&amp;", "&amp;Referentie_Hernieuwbare_Energie_Totaal[[#Headers],[B1]],Database_Productkaarten[#All],48,FALSE),0)*Baseline!I64),0))</f>
        <v>0</v>
      </c>
      <c r="K377" s="77">
        <f>(IF(Baseline!C64="Nieuwe Situatie",(SUM(Referentie_Hernieuwbare_Energie_Totaal[[#This Row],[A1]:[B1]],Referentie_Hernieuwbare_Energie_Totaal[[#This Row],[C1]:[D2]])*Baseline!R64),0))</f>
        <v>0</v>
      </c>
      <c r="L377" s="77">
        <f>IF(Baseline!C64="Bestaande situatie",IF(_xlfn.IFNA((VLOOKUP(Baseline!Y64,Database_Asfalt_Verwijderset[#All],42,FALSE)*Baseline!I64),0)+_xlfn.IFNA(VLOOKUP(Baseline!Z64,Database_Brandstoffen[#All],42,FALSE)*((Baseline!I64/Baseline!AB64)*Baseline!AA64),0)&gt;0,_xlfn.IFNA((VLOOKUP(Baseline!Y64,Database_Asfalt_Verwijderset[#All],42,FALSE)*Baseline!I64),0)+_xlfn.IFNA(VLOOKUP(Baseline!Z64,Database_Brandstoffen[#All],42,FALSE)*((Baseline!I64/Baseline!AB64)*Baseline!AA64),0),(_xlfn.IFNA(VLOOKUP(Referentie_Hernieuwbare_Energie_Totaal[[#This Row],[Product]]&amp;", "&amp;Referentie_MKI_Totaal[[#Headers],[C1]],Database_Productkaarten[#All],48,FALSE),0)*Baseline!I64)),0)</f>
        <v>0</v>
      </c>
      <c r="M377" s="77">
        <f>IF(Baseline!AD64=0,(IF(Baseline!C64="Bestaande Situatie",(_xlfn.IFNA(VLOOKUP(Referentie_Hernieuwbare_Energie_Totaal[[#This Row],[Product]]&amp;", "&amp;Referentie_MKI_Totaal[[#Headers],[C2]],Database_Productkaarten[#All],48,FALSE),0)*Baseline!I64),0)),(IF(Baseline!C64="Bestaande Situatie",_xlfn.IFNA(VLOOKUP(Baseline!AD64,Database_Transport[#All],42,FALSE)*(Baseline!Q64*Baseline!AC64),0))))</f>
        <v>0</v>
      </c>
      <c r="N377" s="77">
        <f>(IF(Baseline!C64="Bestaande Situatie",(_xlfn.IFNA(VLOOKUP(Referentie_Hernieuwbare_Energie_Totaal[[#This Row],[Product]]&amp;", "&amp;Referentie_Hernieuwbare_Energie_Totaal[[#Headers],[C3]],Database_Productkaarten[#All],48,FALSE),0)*Baseline!I64),0))</f>
        <v>0</v>
      </c>
      <c r="O377" s="77">
        <f>(IF(Baseline!C64="Bestaande Situatie",(_xlfn.IFNA(VLOOKUP(Referentie_Hernieuwbare_Energie_Totaal[[#This Row],[Product]]&amp;", "&amp;Referentie_Hernieuwbare_Energie_Totaal[[#Headers],[C4]],Database_Productkaarten[#All],48,FALSE),0)*Baseline!I64),0))</f>
        <v>0</v>
      </c>
      <c r="P377" s="77">
        <f>(IF(Baseline!C64="Bestaande Situatie",(_xlfn.IFNA(VLOOKUP(Referentie_Hernieuwbare_Energie_Totaal[[#This Row],[Product]]&amp;", "&amp;Referentie_Hernieuwbare_Energie_Totaal[[#Headers],[D1]],Database_Productkaarten[#All],48,FALSE),0)*Baseline!I64),0))</f>
        <v>0</v>
      </c>
      <c r="Q377" s="78">
        <f>(IF(Baseline!C64="Bestaande Situatie",_xlfn.IFNA(VLOOKUP(Referentie_Hernieuwbare_Energie_Totaal[[#This Row],[Product]]&amp;", "&amp;Referentie_Hernieuwbare_Energie_Totaal[[#Headers],[D2]],Database_Productkaarten[#All],48,FALSE),0)*Baseline!I64,0))</f>
        <v>0</v>
      </c>
      <c r="R377" s="57">
        <f>(IF(Baseline!C64="Bestaande Situatie",_xlfn.IFNA(VLOOKUP(Referentie_Hernieuwbare_Energie_Totaal[[#This Row],[Product]]&amp;", "&amp;Referentie_Hernieuwbare_Energie_Totaal[[#Headers],[D]],Database_Productkaarten[#All],48,FALSE),0)*Baseline!I64,0))</f>
        <v>0</v>
      </c>
      <c r="S377" s="56">
        <f>SUM(Referentie_Hernieuwbare_Energie_Totaal[[#This Row],[A1-A3]:[C4]])+Referentie_Hernieuwbare_Energie_Totaal[[#This Row],[D]]</f>
        <v>0</v>
      </c>
    </row>
    <row r="378" spans="2:19">
      <c r="B378" s="209">
        <f>Baseline!B65</f>
        <v>0</v>
      </c>
      <c r="C378" s="76">
        <f>Baseline!F65</f>
        <v>0</v>
      </c>
      <c r="D378" s="77">
        <f>(IF(Baseline!C65="Nieuwe Situatie",(_xlfn.IFNA(VLOOKUP(Referentie_Hernieuwbare_Energie_Totaal[[#This Row],[Product]]&amp;", "&amp;Referentie_Hernieuwbare_Energie_Totaal[[#Headers],[A1]],Database_Productkaarten[#All],48,FALSE),0)*Baseline!I65),0))</f>
        <v>0</v>
      </c>
      <c r="E378" s="77">
        <f>(IF(Baseline!C65="Nieuwe Situatie",(_xlfn.IFNA(VLOOKUP(Referentie_Hernieuwbare_Energie_Totaal[[#This Row],[Product]]&amp;", "&amp;Referentie_Hernieuwbare_Energie_Totaal[[#Headers],[A2]],Database_Productkaarten[#All],48,FALSE),0)*Baseline!I65),0))</f>
        <v>0</v>
      </c>
      <c r="F378" s="77">
        <f>(IF(Baseline!C65="Nieuwe Situatie",(_xlfn.IFNA(VLOOKUP(Referentie_Hernieuwbare_Energie_Totaal[[#This Row],[Product]]&amp;", "&amp;Referentie_Hernieuwbare_Energie_Totaal[[#Headers],[A3]],Database_Productkaarten[#All],48,FALSE),0)*Baseline!I65),0))</f>
        <v>0</v>
      </c>
      <c r="G378" s="77">
        <f>(IF(Baseline!C65="Nieuwe Situatie",(_xlfn.IFNA(VLOOKUP(Referentie_Hernieuwbare_Energie_Totaal[[#This Row],[Product]]&amp;", "&amp;Referentie_Hernieuwbare_Energie_Totaal[[#Headers],[A1-A3]],Database_Productkaarten[#All],48,FALSE),0)*Baseline!I65),0))</f>
        <v>0</v>
      </c>
      <c r="H378" s="77">
        <f>IF(Baseline!T65=0,(IF(Baseline!C65="Nieuwe Situatie",(_xlfn.IFNA(VLOOKUP(Referentie_Hernieuwbare_Energie_Totaal[[#This Row],[Product]]&amp;", "&amp;Referentie_CO2_Totaal[[#Headers],[A4]],Database_Productkaarten[#All],48,FALSE),0)*Baseline!I65),0)),IF(Baseline!C65="Nieuwe Situatie",_xlfn.IFNA(VLOOKUP(Baseline!T65,Database_Transport[#All],42,FALSE)*(Baseline!Q65*Baseline!S65),Baseline_Backlog!H168),0))</f>
        <v>0</v>
      </c>
      <c r="I378" s="77">
        <f>IF(Baseline!C65="Nieuwe situatie",IF(_xlfn.IFNA((VLOOKUP(Baseline!U65,Database_Asfalt_Aanlegset[#All],42,FALSE)*Baseline!I65),0)+_xlfn.IFNA(VLOOKUP(Baseline!V65,Database_Brandstoffen[#All],42,FALSE)*((Baseline!I65/Baseline!X65)*Baseline!W65),0)&gt;0,_xlfn.IFNA((VLOOKUP(Baseline!U65,Database_Asfalt_Aanlegset[#All],42,FALSE)*Baseline!I65),0)+_xlfn.IFNA(VLOOKUP(Baseline!V65,Database_Brandstoffen[#All],42,FALSE)*((Baseline!I65/Baseline!X65)*Baseline!W65),0),(_xlfn.IFNA(VLOOKUP(Referentie_Hernieuwbare_Energie_Totaal[[#This Row],[Product]]&amp;", "&amp;Referentie_MKI_Totaal[[#Headers],[A5]],Database_Productkaarten[#All],48,FALSE),0)*Baseline!I65)),0)</f>
        <v>0</v>
      </c>
      <c r="J378" s="77">
        <f>(IF(Baseline!C65="Nieuwe Situatie",(_xlfn.IFNA(VLOOKUP(Referentie_Hernieuwbare_Energie_Totaal[[#This Row],[Product]]&amp;", "&amp;Referentie_Hernieuwbare_Energie_Totaal[[#Headers],[B1]],Database_Productkaarten[#All],48,FALSE),0)*Baseline!I65),0))</f>
        <v>0</v>
      </c>
      <c r="K378" s="77">
        <f>(IF(Baseline!C65="Nieuwe Situatie",(SUM(Referentie_Hernieuwbare_Energie_Totaal[[#This Row],[A1]:[B1]],Referentie_Hernieuwbare_Energie_Totaal[[#This Row],[C1]:[D2]])*Baseline!R65),0))</f>
        <v>0</v>
      </c>
      <c r="L378" s="77">
        <f>IF(Baseline!C65="Bestaande situatie",IF(_xlfn.IFNA((VLOOKUP(Baseline!Y65,Database_Asfalt_Verwijderset[#All],42,FALSE)*Baseline!I65),0)+_xlfn.IFNA(VLOOKUP(Baseline!Z65,Database_Brandstoffen[#All],42,FALSE)*((Baseline!I65/Baseline!AB65)*Baseline!AA65),0)&gt;0,_xlfn.IFNA((VLOOKUP(Baseline!Y65,Database_Asfalt_Verwijderset[#All],42,FALSE)*Baseline!I65),0)+_xlfn.IFNA(VLOOKUP(Baseline!Z65,Database_Brandstoffen[#All],42,FALSE)*((Baseline!I65/Baseline!AB65)*Baseline!AA65),0),(_xlfn.IFNA(VLOOKUP(Referentie_Hernieuwbare_Energie_Totaal[[#This Row],[Product]]&amp;", "&amp;Referentie_MKI_Totaal[[#Headers],[C1]],Database_Productkaarten[#All],48,FALSE),0)*Baseline!I65)),0)</f>
        <v>0</v>
      </c>
      <c r="M378" s="77">
        <f>IF(Baseline!AD65=0,(IF(Baseline!C65="Bestaande Situatie",(_xlfn.IFNA(VLOOKUP(Referentie_Hernieuwbare_Energie_Totaal[[#This Row],[Product]]&amp;", "&amp;Referentie_MKI_Totaal[[#Headers],[C2]],Database_Productkaarten[#All],48,FALSE),0)*Baseline!I65),0)),(IF(Baseline!C65="Bestaande Situatie",_xlfn.IFNA(VLOOKUP(Baseline!AD65,Database_Transport[#All],42,FALSE)*(Baseline!Q65*Baseline!AC65),0))))</f>
        <v>0</v>
      </c>
      <c r="N378" s="77">
        <f>(IF(Baseline!C65="Bestaande Situatie",(_xlfn.IFNA(VLOOKUP(Referentie_Hernieuwbare_Energie_Totaal[[#This Row],[Product]]&amp;", "&amp;Referentie_Hernieuwbare_Energie_Totaal[[#Headers],[C3]],Database_Productkaarten[#All],48,FALSE),0)*Baseline!I65),0))</f>
        <v>0</v>
      </c>
      <c r="O378" s="77">
        <f>(IF(Baseline!C65="Bestaande Situatie",(_xlfn.IFNA(VLOOKUP(Referentie_Hernieuwbare_Energie_Totaal[[#This Row],[Product]]&amp;", "&amp;Referentie_Hernieuwbare_Energie_Totaal[[#Headers],[C4]],Database_Productkaarten[#All],48,FALSE),0)*Baseline!I65),0))</f>
        <v>0</v>
      </c>
      <c r="P378" s="77">
        <f>(IF(Baseline!C65="Bestaande Situatie",(_xlfn.IFNA(VLOOKUP(Referentie_Hernieuwbare_Energie_Totaal[[#This Row],[Product]]&amp;", "&amp;Referentie_Hernieuwbare_Energie_Totaal[[#Headers],[D1]],Database_Productkaarten[#All],48,FALSE),0)*Baseline!I65),0))</f>
        <v>0</v>
      </c>
      <c r="Q378" s="78">
        <f>(IF(Baseline!C65="Bestaande Situatie",_xlfn.IFNA(VLOOKUP(Referentie_Hernieuwbare_Energie_Totaal[[#This Row],[Product]]&amp;", "&amp;Referentie_Hernieuwbare_Energie_Totaal[[#Headers],[D2]],Database_Productkaarten[#All],48,FALSE),0)*Baseline!I65,0))</f>
        <v>0</v>
      </c>
      <c r="R378" s="57">
        <f>(IF(Baseline!C65="Bestaande Situatie",_xlfn.IFNA(VLOOKUP(Referentie_Hernieuwbare_Energie_Totaal[[#This Row],[Product]]&amp;", "&amp;Referentie_Hernieuwbare_Energie_Totaal[[#Headers],[D]],Database_Productkaarten[#All],48,FALSE),0)*Baseline!I65,0))</f>
        <v>0</v>
      </c>
      <c r="S378" s="56">
        <f>SUM(Referentie_Hernieuwbare_Energie_Totaal[[#This Row],[A1-A3]:[C4]])+Referentie_Hernieuwbare_Energie_Totaal[[#This Row],[D]]</f>
        <v>0</v>
      </c>
    </row>
    <row r="379" spans="2:19">
      <c r="B379" s="209">
        <f>Baseline!B66</f>
        <v>0</v>
      </c>
      <c r="C379" s="76">
        <f>Baseline!F66</f>
        <v>0</v>
      </c>
      <c r="D379" s="77">
        <f>(IF(Baseline!C66="Nieuwe Situatie",(_xlfn.IFNA(VLOOKUP(Referentie_Hernieuwbare_Energie_Totaal[[#This Row],[Product]]&amp;", "&amp;Referentie_Hernieuwbare_Energie_Totaal[[#Headers],[A1]],Database_Productkaarten[#All],48,FALSE),0)*Baseline!I66),0))</f>
        <v>0</v>
      </c>
      <c r="E379" s="77">
        <f>(IF(Baseline!C66="Nieuwe Situatie",(_xlfn.IFNA(VLOOKUP(Referentie_Hernieuwbare_Energie_Totaal[[#This Row],[Product]]&amp;", "&amp;Referentie_Hernieuwbare_Energie_Totaal[[#Headers],[A2]],Database_Productkaarten[#All],48,FALSE),0)*Baseline!I66),0))</f>
        <v>0</v>
      </c>
      <c r="F379" s="77">
        <f>(IF(Baseline!C66="Nieuwe Situatie",(_xlfn.IFNA(VLOOKUP(Referentie_Hernieuwbare_Energie_Totaal[[#This Row],[Product]]&amp;", "&amp;Referentie_Hernieuwbare_Energie_Totaal[[#Headers],[A3]],Database_Productkaarten[#All],48,FALSE),0)*Baseline!I66),0))</f>
        <v>0</v>
      </c>
      <c r="G379" s="77">
        <f>(IF(Baseline!C66="Nieuwe Situatie",(_xlfn.IFNA(VLOOKUP(Referentie_Hernieuwbare_Energie_Totaal[[#This Row],[Product]]&amp;", "&amp;Referentie_Hernieuwbare_Energie_Totaal[[#Headers],[A1-A3]],Database_Productkaarten[#All],48,FALSE),0)*Baseline!I66),0))</f>
        <v>0</v>
      </c>
      <c r="H379" s="77">
        <f>IF(Baseline!T66=0,(IF(Baseline!C66="Nieuwe Situatie",(_xlfn.IFNA(VLOOKUP(Referentie_Hernieuwbare_Energie_Totaal[[#This Row],[Product]]&amp;", "&amp;Referentie_CO2_Totaal[[#Headers],[A4]],Database_Productkaarten[#All],48,FALSE),0)*Baseline!I66),0)),IF(Baseline!C66="Nieuwe Situatie",_xlfn.IFNA(VLOOKUP(Baseline!T66,Database_Transport[#All],42,FALSE)*(Baseline!Q66*Baseline!S66),Baseline_Backlog!H169),0))</f>
        <v>0</v>
      </c>
      <c r="I379" s="77">
        <f>IF(Baseline!C66="Nieuwe situatie",IF(_xlfn.IFNA((VLOOKUP(Baseline!U66,Database_Asfalt_Aanlegset[#All],42,FALSE)*Baseline!I66),0)+_xlfn.IFNA(VLOOKUP(Baseline!V66,Database_Brandstoffen[#All],42,FALSE)*((Baseline!I66/Baseline!X66)*Baseline!W66),0)&gt;0,_xlfn.IFNA((VLOOKUP(Baseline!U66,Database_Asfalt_Aanlegset[#All],42,FALSE)*Baseline!I66),0)+_xlfn.IFNA(VLOOKUP(Baseline!V66,Database_Brandstoffen[#All],42,FALSE)*((Baseline!I66/Baseline!X66)*Baseline!W66),0),(_xlfn.IFNA(VLOOKUP(Referentie_Hernieuwbare_Energie_Totaal[[#This Row],[Product]]&amp;", "&amp;Referentie_MKI_Totaal[[#Headers],[A5]],Database_Productkaarten[#All],48,FALSE),0)*Baseline!I66)),0)</f>
        <v>0</v>
      </c>
      <c r="J379" s="77">
        <f>(IF(Baseline!C66="Nieuwe Situatie",(_xlfn.IFNA(VLOOKUP(Referentie_Hernieuwbare_Energie_Totaal[[#This Row],[Product]]&amp;", "&amp;Referentie_Hernieuwbare_Energie_Totaal[[#Headers],[B1]],Database_Productkaarten[#All],48,FALSE),0)*Baseline!I66),0))</f>
        <v>0</v>
      </c>
      <c r="K379" s="77">
        <f>(IF(Baseline!C66="Nieuwe Situatie",(SUM(Referentie_Hernieuwbare_Energie_Totaal[[#This Row],[A1]:[B1]],Referentie_Hernieuwbare_Energie_Totaal[[#This Row],[C1]:[D2]])*Baseline!R66),0))</f>
        <v>0</v>
      </c>
      <c r="L379" s="77">
        <f>IF(Baseline!C66="Bestaande situatie",IF(_xlfn.IFNA((VLOOKUP(Baseline!Y66,Database_Asfalt_Verwijderset[#All],42,FALSE)*Baseline!I66),0)+_xlfn.IFNA(VLOOKUP(Baseline!Z66,Database_Brandstoffen[#All],42,FALSE)*((Baseline!I66/Baseline!AB66)*Baseline!AA66),0)&gt;0,_xlfn.IFNA((VLOOKUP(Baseline!Y66,Database_Asfalt_Verwijderset[#All],42,FALSE)*Baseline!I66),0)+_xlfn.IFNA(VLOOKUP(Baseline!Z66,Database_Brandstoffen[#All],42,FALSE)*((Baseline!I66/Baseline!AB66)*Baseline!AA66),0),(_xlfn.IFNA(VLOOKUP(Referentie_Hernieuwbare_Energie_Totaal[[#This Row],[Product]]&amp;", "&amp;Referentie_MKI_Totaal[[#Headers],[C1]],Database_Productkaarten[#All],48,FALSE),0)*Baseline!I66)),0)</f>
        <v>0</v>
      </c>
      <c r="M379" s="77">
        <f>IF(Baseline!AD66=0,(IF(Baseline!C66="Bestaande Situatie",(_xlfn.IFNA(VLOOKUP(Referentie_Hernieuwbare_Energie_Totaal[[#This Row],[Product]]&amp;", "&amp;Referentie_MKI_Totaal[[#Headers],[C2]],Database_Productkaarten[#All],48,FALSE),0)*Baseline!I66),0)),(IF(Baseline!C66="Bestaande Situatie",_xlfn.IFNA(VLOOKUP(Baseline!AD66,Database_Transport[#All],42,FALSE)*(Baseline!Q66*Baseline!AC66),0))))</f>
        <v>0</v>
      </c>
      <c r="N379" s="77">
        <f>(IF(Baseline!C66="Bestaande Situatie",(_xlfn.IFNA(VLOOKUP(Referentie_Hernieuwbare_Energie_Totaal[[#This Row],[Product]]&amp;", "&amp;Referentie_Hernieuwbare_Energie_Totaal[[#Headers],[C3]],Database_Productkaarten[#All],48,FALSE),0)*Baseline!I66),0))</f>
        <v>0</v>
      </c>
      <c r="O379" s="77">
        <f>(IF(Baseline!C66="Bestaande Situatie",(_xlfn.IFNA(VLOOKUP(Referentie_Hernieuwbare_Energie_Totaal[[#This Row],[Product]]&amp;", "&amp;Referentie_Hernieuwbare_Energie_Totaal[[#Headers],[C4]],Database_Productkaarten[#All],48,FALSE),0)*Baseline!I66),0))</f>
        <v>0</v>
      </c>
      <c r="P379" s="77">
        <f>(IF(Baseline!C66="Bestaande Situatie",(_xlfn.IFNA(VLOOKUP(Referentie_Hernieuwbare_Energie_Totaal[[#This Row],[Product]]&amp;", "&amp;Referentie_Hernieuwbare_Energie_Totaal[[#Headers],[D1]],Database_Productkaarten[#All],48,FALSE),0)*Baseline!I66),0))</f>
        <v>0</v>
      </c>
      <c r="Q379" s="78">
        <f>(IF(Baseline!C66="Bestaande Situatie",_xlfn.IFNA(VLOOKUP(Referentie_Hernieuwbare_Energie_Totaal[[#This Row],[Product]]&amp;", "&amp;Referentie_Hernieuwbare_Energie_Totaal[[#Headers],[D2]],Database_Productkaarten[#All],48,FALSE),0)*Baseline!I66,0))</f>
        <v>0</v>
      </c>
      <c r="R379" s="57">
        <f>(IF(Baseline!C66="Bestaande Situatie",_xlfn.IFNA(VLOOKUP(Referentie_Hernieuwbare_Energie_Totaal[[#This Row],[Product]]&amp;", "&amp;Referentie_Hernieuwbare_Energie_Totaal[[#Headers],[D]],Database_Productkaarten[#All],48,FALSE),0)*Baseline!I66,0))</f>
        <v>0</v>
      </c>
      <c r="S379" s="56">
        <f>SUM(Referentie_Hernieuwbare_Energie_Totaal[[#This Row],[A1-A3]:[C4]])+Referentie_Hernieuwbare_Energie_Totaal[[#This Row],[D]]</f>
        <v>0</v>
      </c>
    </row>
    <row r="380" spans="2:19">
      <c r="B380" s="209">
        <f>Baseline!B67</f>
        <v>0</v>
      </c>
      <c r="C380" s="76">
        <f>Baseline!F67</f>
        <v>0</v>
      </c>
      <c r="D380" s="77">
        <f>(IF(Baseline!C67="Nieuwe Situatie",(_xlfn.IFNA(VLOOKUP(Referentie_Hernieuwbare_Energie_Totaal[[#This Row],[Product]]&amp;", "&amp;Referentie_Hernieuwbare_Energie_Totaal[[#Headers],[A1]],Database_Productkaarten[#All],48,FALSE),0)*Baseline!I67),0))</f>
        <v>0</v>
      </c>
      <c r="E380" s="77">
        <f>(IF(Baseline!C67="Nieuwe Situatie",(_xlfn.IFNA(VLOOKUP(Referentie_Hernieuwbare_Energie_Totaal[[#This Row],[Product]]&amp;", "&amp;Referentie_Hernieuwbare_Energie_Totaal[[#Headers],[A2]],Database_Productkaarten[#All],48,FALSE),0)*Baseline!I67),0))</f>
        <v>0</v>
      </c>
      <c r="F380" s="77">
        <f>(IF(Baseline!C67="Nieuwe Situatie",(_xlfn.IFNA(VLOOKUP(Referentie_Hernieuwbare_Energie_Totaal[[#This Row],[Product]]&amp;", "&amp;Referentie_Hernieuwbare_Energie_Totaal[[#Headers],[A3]],Database_Productkaarten[#All],48,FALSE),0)*Baseline!I67),0))</f>
        <v>0</v>
      </c>
      <c r="G380" s="77">
        <f>(IF(Baseline!C67="Nieuwe Situatie",(_xlfn.IFNA(VLOOKUP(Referentie_Hernieuwbare_Energie_Totaal[[#This Row],[Product]]&amp;", "&amp;Referentie_Hernieuwbare_Energie_Totaal[[#Headers],[A1-A3]],Database_Productkaarten[#All],48,FALSE),0)*Baseline!I67),0))</f>
        <v>0</v>
      </c>
      <c r="H380" s="77">
        <f>IF(Baseline!T67=0,(IF(Baseline!C67="Nieuwe Situatie",(_xlfn.IFNA(VLOOKUP(Referentie_Hernieuwbare_Energie_Totaal[[#This Row],[Product]]&amp;", "&amp;Referentie_CO2_Totaal[[#Headers],[A4]],Database_Productkaarten[#All],48,FALSE),0)*Baseline!I67),0)),IF(Baseline!C67="Nieuwe Situatie",_xlfn.IFNA(VLOOKUP(Baseline!T67,Database_Transport[#All],42,FALSE)*(Baseline!Q67*Baseline!S67),Baseline_Backlog!H170),0))</f>
        <v>0</v>
      </c>
      <c r="I380" s="77">
        <f>IF(Baseline!C67="Nieuwe situatie",IF(_xlfn.IFNA((VLOOKUP(Baseline!U67,Database_Asfalt_Aanlegset[#All],42,FALSE)*Baseline!I67),0)+_xlfn.IFNA(VLOOKUP(Baseline!V67,Database_Brandstoffen[#All],42,FALSE)*((Baseline!I67/Baseline!X67)*Baseline!W67),0)&gt;0,_xlfn.IFNA((VLOOKUP(Baseline!U67,Database_Asfalt_Aanlegset[#All],42,FALSE)*Baseline!I67),0)+_xlfn.IFNA(VLOOKUP(Baseline!V67,Database_Brandstoffen[#All],42,FALSE)*((Baseline!I67/Baseline!X67)*Baseline!W67),0),(_xlfn.IFNA(VLOOKUP(Referentie_Hernieuwbare_Energie_Totaal[[#This Row],[Product]]&amp;", "&amp;Referentie_MKI_Totaal[[#Headers],[A5]],Database_Productkaarten[#All],48,FALSE),0)*Baseline!I67)),0)</f>
        <v>0</v>
      </c>
      <c r="J380" s="77">
        <f>(IF(Baseline!C67="Nieuwe Situatie",(_xlfn.IFNA(VLOOKUP(Referentie_Hernieuwbare_Energie_Totaal[[#This Row],[Product]]&amp;", "&amp;Referentie_Hernieuwbare_Energie_Totaal[[#Headers],[B1]],Database_Productkaarten[#All],48,FALSE),0)*Baseline!I67),0))</f>
        <v>0</v>
      </c>
      <c r="K380" s="77">
        <f>(IF(Baseline!C67="Nieuwe Situatie",(SUM(Referentie_Hernieuwbare_Energie_Totaal[[#This Row],[A1]:[B1]],Referentie_Hernieuwbare_Energie_Totaal[[#This Row],[C1]:[D2]])*Baseline!R67),0))</f>
        <v>0</v>
      </c>
      <c r="L380" s="77">
        <f>IF(Baseline!C67="Bestaande situatie",IF(_xlfn.IFNA((VLOOKUP(Baseline!Y67,Database_Asfalt_Verwijderset[#All],42,FALSE)*Baseline!I67),0)+_xlfn.IFNA(VLOOKUP(Baseline!Z67,Database_Brandstoffen[#All],42,FALSE)*((Baseline!I67/Baseline!AB67)*Baseline!AA67),0)&gt;0,_xlfn.IFNA((VLOOKUP(Baseline!Y67,Database_Asfalt_Verwijderset[#All],42,FALSE)*Baseline!I67),0)+_xlfn.IFNA(VLOOKUP(Baseline!Z67,Database_Brandstoffen[#All],42,FALSE)*((Baseline!I67/Baseline!AB67)*Baseline!AA67),0),(_xlfn.IFNA(VLOOKUP(Referentie_Hernieuwbare_Energie_Totaal[[#This Row],[Product]]&amp;", "&amp;Referentie_MKI_Totaal[[#Headers],[C1]],Database_Productkaarten[#All],48,FALSE),0)*Baseline!I67)),0)</f>
        <v>0</v>
      </c>
      <c r="M380" s="77">
        <f>IF(Baseline!AD67=0,(IF(Baseline!C67="Bestaande Situatie",(_xlfn.IFNA(VLOOKUP(Referentie_Hernieuwbare_Energie_Totaal[[#This Row],[Product]]&amp;", "&amp;Referentie_MKI_Totaal[[#Headers],[C2]],Database_Productkaarten[#All],48,FALSE),0)*Baseline!I67),0)),(IF(Baseline!C67="Bestaande Situatie",_xlfn.IFNA(VLOOKUP(Baseline!AD67,Database_Transport[#All],42,FALSE)*(Baseline!Q67*Baseline!AC67),0))))</f>
        <v>0</v>
      </c>
      <c r="N380" s="77">
        <f>(IF(Baseline!C67="Bestaande Situatie",(_xlfn.IFNA(VLOOKUP(Referentie_Hernieuwbare_Energie_Totaal[[#This Row],[Product]]&amp;", "&amp;Referentie_Hernieuwbare_Energie_Totaal[[#Headers],[C3]],Database_Productkaarten[#All],48,FALSE),0)*Baseline!I67),0))</f>
        <v>0</v>
      </c>
      <c r="O380" s="77">
        <f>(IF(Baseline!C67="Bestaande Situatie",(_xlfn.IFNA(VLOOKUP(Referentie_Hernieuwbare_Energie_Totaal[[#This Row],[Product]]&amp;", "&amp;Referentie_Hernieuwbare_Energie_Totaal[[#Headers],[C4]],Database_Productkaarten[#All],48,FALSE),0)*Baseline!I67),0))</f>
        <v>0</v>
      </c>
      <c r="P380" s="77">
        <f>(IF(Baseline!C67="Bestaande Situatie",(_xlfn.IFNA(VLOOKUP(Referentie_Hernieuwbare_Energie_Totaal[[#This Row],[Product]]&amp;", "&amp;Referentie_Hernieuwbare_Energie_Totaal[[#Headers],[D1]],Database_Productkaarten[#All],48,FALSE),0)*Baseline!I67),0))</f>
        <v>0</v>
      </c>
      <c r="Q380" s="78">
        <f>(IF(Baseline!C67="Bestaande Situatie",_xlfn.IFNA(VLOOKUP(Referentie_Hernieuwbare_Energie_Totaal[[#This Row],[Product]]&amp;", "&amp;Referentie_Hernieuwbare_Energie_Totaal[[#Headers],[D2]],Database_Productkaarten[#All],48,FALSE),0)*Baseline!I67,0))</f>
        <v>0</v>
      </c>
      <c r="R380" s="57">
        <f>(IF(Baseline!C67="Bestaande Situatie",_xlfn.IFNA(VLOOKUP(Referentie_Hernieuwbare_Energie_Totaal[[#This Row],[Product]]&amp;", "&amp;Referentie_Hernieuwbare_Energie_Totaal[[#Headers],[D]],Database_Productkaarten[#All],48,FALSE),0)*Baseline!I67,0))</f>
        <v>0</v>
      </c>
      <c r="S380" s="56">
        <f>SUM(Referentie_Hernieuwbare_Energie_Totaal[[#This Row],[A1-A3]:[C4]])+Referentie_Hernieuwbare_Energie_Totaal[[#This Row],[D]]</f>
        <v>0</v>
      </c>
    </row>
    <row r="381" spans="2:19">
      <c r="B381" s="209">
        <f>Baseline!B68</f>
        <v>0</v>
      </c>
      <c r="C381" s="76">
        <f>Baseline!F68</f>
        <v>0</v>
      </c>
      <c r="D381" s="77">
        <f>(IF(Baseline!C68="Nieuwe Situatie",(_xlfn.IFNA(VLOOKUP(Referentie_Hernieuwbare_Energie_Totaal[[#This Row],[Product]]&amp;", "&amp;Referentie_Hernieuwbare_Energie_Totaal[[#Headers],[A1]],Database_Productkaarten[#All],48,FALSE),0)*Baseline!I68),0))</f>
        <v>0</v>
      </c>
      <c r="E381" s="77">
        <f>(IF(Baseline!C68="Nieuwe Situatie",(_xlfn.IFNA(VLOOKUP(Referentie_Hernieuwbare_Energie_Totaal[[#This Row],[Product]]&amp;", "&amp;Referentie_Hernieuwbare_Energie_Totaal[[#Headers],[A2]],Database_Productkaarten[#All],48,FALSE),0)*Baseline!I68),0))</f>
        <v>0</v>
      </c>
      <c r="F381" s="77">
        <f>(IF(Baseline!C68="Nieuwe Situatie",(_xlfn.IFNA(VLOOKUP(Referentie_Hernieuwbare_Energie_Totaal[[#This Row],[Product]]&amp;", "&amp;Referentie_Hernieuwbare_Energie_Totaal[[#Headers],[A3]],Database_Productkaarten[#All],48,FALSE),0)*Baseline!I68),0))</f>
        <v>0</v>
      </c>
      <c r="G381" s="77">
        <f>(IF(Baseline!C68="Nieuwe Situatie",(_xlfn.IFNA(VLOOKUP(Referentie_Hernieuwbare_Energie_Totaal[[#This Row],[Product]]&amp;", "&amp;Referentie_Hernieuwbare_Energie_Totaal[[#Headers],[A1-A3]],Database_Productkaarten[#All],48,FALSE),0)*Baseline!I68),0))</f>
        <v>0</v>
      </c>
      <c r="H381" s="77">
        <f>IF(Baseline!T68=0,(IF(Baseline!C68="Nieuwe Situatie",(_xlfn.IFNA(VLOOKUP(Referentie_Hernieuwbare_Energie_Totaal[[#This Row],[Product]]&amp;", "&amp;Referentie_CO2_Totaal[[#Headers],[A4]],Database_Productkaarten[#All],48,FALSE),0)*Baseline!I68),0)),IF(Baseline!C68="Nieuwe Situatie",_xlfn.IFNA(VLOOKUP(Baseline!T68,Database_Transport[#All],42,FALSE)*(Baseline!Q68*Baseline!S68),Baseline_Backlog!H171),0))</f>
        <v>0</v>
      </c>
      <c r="I381" s="77">
        <f>IF(Baseline!C68="Nieuwe situatie",IF(_xlfn.IFNA((VLOOKUP(Baseline!U68,Database_Asfalt_Aanlegset[#All],42,FALSE)*Baseline!I68),0)+_xlfn.IFNA(VLOOKUP(Baseline!V68,Database_Brandstoffen[#All],42,FALSE)*((Baseline!I68/Baseline!X68)*Baseline!W68),0)&gt;0,_xlfn.IFNA((VLOOKUP(Baseline!U68,Database_Asfalt_Aanlegset[#All],42,FALSE)*Baseline!I68),0)+_xlfn.IFNA(VLOOKUP(Baseline!V68,Database_Brandstoffen[#All],42,FALSE)*((Baseline!I68/Baseline!X68)*Baseline!W68),0),(_xlfn.IFNA(VLOOKUP(Referentie_Hernieuwbare_Energie_Totaal[[#This Row],[Product]]&amp;", "&amp;Referentie_MKI_Totaal[[#Headers],[A5]],Database_Productkaarten[#All],48,FALSE),0)*Baseline!I68)),0)</f>
        <v>0</v>
      </c>
      <c r="J381" s="77">
        <f>(IF(Baseline!C68="Nieuwe Situatie",(_xlfn.IFNA(VLOOKUP(Referentie_Hernieuwbare_Energie_Totaal[[#This Row],[Product]]&amp;", "&amp;Referentie_Hernieuwbare_Energie_Totaal[[#Headers],[B1]],Database_Productkaarten[#All],48,FALSE),0)*Baseline!I68),0))</f>
        <v>0</v>
      </c>
      <c r="K381" s="77">
        <f>(IF(Baseline!C68="Nieuwe Situatie",(SUM(Referentie_Hernieuwbare_Energie_Totaal[[#This Row],[A1]:[B1]],Referentie_Hernieuwbare_Energie_Totaal[[#This Row],[C1]:[D2]])*Baseline!R68),0))</f>
        <v>0</v>
      </c>
      <c r="L381" s="77">
        <f>IF(Baseline!C68="Bestaande situatie",IF(_xlfn.IFNA((VLOOKUP(Baseline!Y68,Database_Asfalt_Verwijderset[#All],42,FALSE)*Baseline!I68),0)+_xlfn.IFNA(VLOOKUP(Baseline!Z68,Database_Brandstoffen[#All],42,FALSE)*((Baseline!I68/Baseline!AB68)*Baseline!AA68),0)&gt;0,_xlfn.IFNA((VLOOKUP(Baseline!Y68,Database_Asfalt_Verwijderset[#All],42,FALSE)*Baseline!I68),0)+_xlfn.IFNA(VLOOKUP(Baseline!Z68,Database_Brandstoffen[#All],42,FALSE)*((Baseline!I68/Baseline!AB68)*Baseline!AA68),0),(_xlfn.IFNA(VLOOKUP(Referentie_Hernieuwbare_Energie_Totaal[[#This Row],[Product]]&amp;", "&amp;Referentie_MKI_Totaal[[#Headers],[C1]],Database_Productkaarten[#All],48,FALSE),0)*Baseline!I68)),0)</f>
        <v>0</v>
      </c>
      <c r="M381" s="77">
        <f>IF(Baseline!AD68=0,(IF(Baseline!C68="Bestaande Situatie",(_xlfn.IFNA(VLOOKUP(Referentie_Hernieuwbare_Energie_Totaal[[#This Row],[Product]]&amp;", "&amp;Referentie_MKI_Totaal[[#Headers],[C2]],Database_Productkaarten[#All],48,FALSE),0)*Baseline!I68),0)),(IF(Baseline!C68="Bestaande Situatie",_xlfn.IFNA(VLOOKUP(Baseline!AD68,Database_Transport[#All],42,FALSE)*(Baseline!Q68*Baseline!AC68),0))))</f>
        <v>0</v>
      </c>
      <c r="N381" s="77">
        <f>(IF(Baseline!C68="Bestaande Situatie",(_xlfn.IFNA(VLOOKUP(Referentie_Hernieuwbare_Energie_Totaal[[#This Row],[Product]]&amp;", "&amp;Referentie_Hernieuwbare_Energie_Totaal[[#Headers],[C3]],Database_Productkaarten[#All],48,FALSE),0)*Baseline!I68),0))</f>
        <v>0</v>
      </c>
      <c r="O381" s="77">
        <f>(IF(Baseline!C68="Bestaande Situatie",(_xlfn.IFNA(VLOOKUP(Referentie_Hernieuwbare_Energie_Totaal[[#This Row],[Product]]&amp;", "&amp;Referentie_Hernieuwbare_Energie_Totaal[[#Headers],[C4]],Database_Productkaarten[#All],48,FALSE),0)*Baseline!I68),0))</f>
        <v>0</v>
      </c>
      <c r="P381" s="77">
        <f>(IF(Baseline!C68="Bestaande Situatie",(_xlfn.IFNA(VLOOKUP(Referentie_Hernieuwbare_Energie_Totaal[[#This Row],[Product]]&amp;", "&amp;Referentie_Hernieuwbare_Energie_Totaal[[#Headers],[D1]],Database_Productkaarten[#All],48,FALSE),0)*Baseline!I68),0))</f>
        <v>0</v>
      </c>
      <c r="Q381" s="78">
        <f>(IF(Baseline!C68="Bestaande Situatie",_xlfn.IFNA(VLOOKUP(Referentie_Hernieuwbare_Energie_Totaal[[#This Row],[Product]]&amp;", "&amp;Referentie_Hernieuwbare_Energie_Totaal[[#Headers],[D2]],Database_Productkaarten[#All],48,FALSE),0)*Baseline!I68,0))</f>
        <v>0</v>
      </c>
      <c r="R381" s="57">
        <f>(IF(Baseline!C68="Bestaande Situatie",_xlfn.IFNA(VLOOKUP(Referentie_Hernieuwbare_Energie_Totaal[[#This Row],[Product]]&amp;", "&amp;Referentie_Hernieuwbare_Energie_Totaal[[#Headers],[D]],Database_Productkaarten[#All],48,FALSE),0)*Baseline!I68,0))</f>
        <v>0</v>
      </c>
      <c r="S381" s="56">
        <f>SUM(Referentie_Hernieuwbare_Energie_Totaal[[#This Row],[A1-A3]:[C4]])+Referentie_Hernieuwbare_Energie_Totaal[[#This Row],[D]]</f>
        <v>0</v>
      </c>
    </row>
    <row r="382" spans="2:19">
      <c r="B382" s="209">
        <f>Baseline!B69</f>
        <v>0</v>
      </c>
      <c r="C382" s="76">
        <f>Baseline!F69</f>
        <v>0</v>
      </c>
      <c r="D382" s="77">
        <f>(IF(Baseline!C69="Nieuwe Situatie",(_xlfn.IFNA(VLOOKUP(Referentie_Hernieuwbare_Energie_Totaal[[#This Row],[Product]]&amp;", "&amp;Referentie_Hernieuwbare_Energie_Totaal[[#Headers],[A1]],Database_Productkaarten[#All],48,FALSE),0)*Baseline!I69),0))</f>
        <v>0</v>
      </c>
      <c r="E382" s="77">
        <f>(IF(Baseline!C69="Nieuwe Situatie",(_xlfn.IFNA(VLOOKUP(Referentie_Hernieuwbare_Energie_Totaal[[#This Row],[Product]]&amp;", "&amp;Referentie_Hernieuwbare_Energie_Totaal[[#Headers],[A2]],Database_Productkaarten[#All],48,FALSE),0)*Baseline!I69),0))</f>
        <v>0</v>
      </c>
      <c r="F382" s="77">
        <f>(IF(Baseline!C69="Nieuwe Situatie",(_xlfn.IFNA(VLOOKUP(Referentie_Hernieuwbare_Energie_Totaal[[#This Row],[Product]]&amp;", "&amp;Referentie_Hernieuwbare_Energie_Totaal[[#Headers],[A3]],Database_Productkaarten[#All],48,FALSE),0)*Baseline!I69),0))</f>
        <v>0</v>
      </c>
      <c r="G382" s="77">
        <f>(IF(Baseline!C69="Nieuwe Situatie",(_xlfn.IFNA(VLOOKUP(Referentie_Hernieuwbare_Energie_Totaal[[#This Row],[Product]]&amp;", "&amp;Referentie_Hernieuwbare_Energie_Totaal[[#Headers],[A1-A3]],Database_Productkaarten[#All],48,FALSE),0)*Baseline!I69),0))</f>
        <v>0</v>
      </c>
      <c r="H382" s="77">
        <f>IF(Baseline!T69=0,(IF(Baseline!C69="Nieuwe Situatie",(_xlfn.IFNA(VLOOKUP(Referentie_Hernieuwbare_Energie_Totaal[[#This Row],[Product]]&amp;", "&amp;Referentie_CO2_Totaal[[#Headers],[A4]],Database_Productkaarten[#All],48,FALSE),0)*Baseline!I69),0)),IF(Baseline!C69="Nieuwe Situatie",_xlfn.IFNA(VLOOKUP(Baseline!T69,Database_Transport[#All],42,FALSE)*(Baseline!Q69*Baseline!S69),Baseline_Backlog!H172),0))</f>
        <v>0</v>
      </c>
      <c r="I382" s="77">
        <f>IF(Baseline!C69="Nieuwe situatie",IF(_xlfn.IFNA((VLOOKUP(Baseline!U69,Database_Asfalt_Aanlegset[#All],42,FALSE)*Baseline!I69),0)+_xlfn.IFNA(VLOOKUP(Baseline!V69,Database_Brandstoffen[#All],42,FALSE)*((Baseline!I69/Baseline!X69)*Baseline!W69),0)&gt;0,_xlfn.IFNA((VLOOKUP(Baseline!U69,Database_Asfalt_Aanlegset[#All],42,FALSE)*Baseline!I69),0)+_xlfn.IFNA(VLOOKUP(Baseline!V69,Database_Brandstoffen[#All],42,FALSE)*((Baseline!I69/Baseline!X69)*Baseline!W69),0),(_xlfn.IFNA(VLOOKUP(Referentie_Hernieuwbare_Energie_Totaal[[#This Row],[Product]]&amp;", "&amp;Referentie_MKI_Totaal[[#Headers],[A5]],Database_Productkaarten[#All],48,FALSE),0)*Baseline!I69)),0)</f>
        <v>0</v>
      </c>
      <c r="J382" s="77">
        <f>(IF(Baseline!C69="Nieuwe Situatie",(_xlfn.IFNA(VLOOKUP(Referentie_Hernieuwbare_Energie_Totaal[[#This Row],[Product]]&amp;", "&amp;Referentie_Hernieuwbare_Energie_Totaal[[#Headers],[B1]],Database_Productkaarten[#All],48,FALSE),0)*Baseline!I69),0))</f>
        <v>0</v>
      </c>
      <c r="K382" s="77">
        <f>(IF(Baseline!C69="Nieuwe Situatie",(SUM(Referentie_Hernieuwbare_Energie_Totaal[[#This Row],[A1]:[B1]],Referentie_Hernieuwbare_Energie_Totaal[[#This Row],[C1]:[D2]])*Baseline!R69),0))</f>
        <v>0</v>
      </c>
      <c r="L382" s="77">
        <f>IF(Baseline!C69="Bestaande situatie",IF(_xlfn.IFNA((VLOOKUP(Baseline!Y69,Database_Asfalt_Verwijderset[#All],42,FALSE)*Baseline!I69),0)+_xlfn.IFNA(VLOOKUP(Baseline!Z69,Database_Brandstoffen[#All],42,FALSE)*((Baseline!I69/Baseline!AB69)*Baseline!AA69),0)&gt;0,_xlfn.IFNA((VLOOKUP(Baseline!Y69,Database_Asfalt_Verwijderset[#All],42,FALSE)*Baseline!I69),0)+_xlfn.IFNA(VLOOKUP(Baseline!Z69,Database_Brandstoffen[#All],42,FALSE)*((Baseline!I69/Baseline!AB69)*Baseline!AA69),0),(_xlfn.IFNA(VLOOKUP(Referentie_Hernieuwbare_Energie_Totaal[[#This Row],[Product]]&amp;", "&amp;Referentie_MKI_Totaal[[#Headers],[C1]],Database_Productkaarten[#All],48,FALSE),0)*Baseline!I69)),0)</f>
        <v>0</v>
      </c>
      <c r="M382" s="77">
        <f>IF(Baseline!AD69=0,(IF(Baseline!C69="Bestaande Situatie",(_xlfn.IFNA(VLOOKUP(Referentie_Hernieuwbare_Energie_Totaal[[#This Row],[Product]]&amp;", "&amp;Referentie_MKI_Totaal[[#Headers],[C2]],Database_Productkaarten[#All],48,FALSE),0)*Baseline!I69),0)),(IF(Baseline!C69="Bestaande Situatie",_xlfn.IFNA(VLOOKUP(Baseline!AD69,Database_Transport[#All],42,FALSE)*(Baseline!Q69*Baseline!AC69),0))))</f>
        <v>0</v>
      </c>
      <c r="N382" s="77">
        <f>(IF(Baseline!C69="Bestaande Situatie",(_xlfn.IFNA(VLOOKUP(Referentie_Hernieuwbare_Energie_Totaal[[#This Row],[Product]]&amp;", "&amp;Referentie_Hernieuwbare_Energie_Totaal[[#Headers],[C3]],Database_Productkaarten[#All],48,FALSE),0)*Baseline!I69),0))</f>
        <v>0</v>
      </c>
      <c r="O382" s="77">
        <f>(IF(Baseline!C69="Bestaande Situatie",(_xlfn.IFNA(VLOOKUP(Referentie_Hernieuwbare_Energie_Totaal[[#This Row],[Product]]&amp;", "&amp;Referentie_Hernieuwbare_Energie_Totaal[[#Headers],[C4]],Database_Productkaarten[#All],48,FALSE),0)*Baseline!I69),0))</f>
        <v>0</v>
      </c>
      <c r="P382" s="77">
        <f>(IF(Baseline!C69="Bestaande Situatie",(_xlfn.IFNA(VLOOKUP(Referentie_Hernieuwbare_Energie_Totaal[[#This Row],[Product]]&amp;", "&amp;Referentie_Hernieuwbare_Energie_Totaal[[#Headers],[D1]],Database_Productkaarten[#All],48,FALSE),0)*Baseline!I69),0))</f>
        <v>0</v>
      </c>
      <c r="Q382" s="78">
        <f>(IF(Baseline!C69="Bestaande Situatie",_xlfn.IFNA(VLOOKUP(Referentie_Hernieuwbare_Energie_Totaal[[#This Row],[Product]]&amp;", "&amp;Referentie_Hernieuwbare_Energie_Totaal[[#Headers],[D2]],Database_Productkaarten[#All],48,FALSE),0)*Baseline!I69,0))</f>
        <v>0</v>
      </c>
      <c r="R382" s="57">
        <f>(IF(Baseline!C69="Bestaande Situatie",_xlfn.IFNA(VLOOKUP(Referentie_Hernieuwbare_Energie_Totaal[[#This Row],[Product]]&amp;", "&amp;Referentie_Hernieuwbare_Energie_Totaal[[#Headers],[D]],Database_Productkaarten[#All],48,FALSE),0)*Baseline!I69,0))</f>
        <v>0</v>
      </c>
      <c r="S382" s="56">
        <f>SUM(Referentie_Hernieuwbare_Energie_Totaal[[#This Row],[A1-A3]:[C4]])+Referentie_Hernieuwbare_Energie_Totaal[[#This Row],[D]]</f>
        <v>0</v>
      </c>
    </row>
    <row r="383" spans="2:19">
      <c r="B383" s="209">
        <f>Baseline!B70</f>
        <v>0</v>
      </c>
      <c r="C383" s="76">
        <f>Baseline!F70</f>
        <v>0</v>
      </c>
      <c r="D383" s="77">
        <f>(IF(Baseline!C70="Nieuwe Situatie",(_xlfn.IFNA(VLOOKUP(Referentie_Hernieuwbare_Energie_Totaal[[#This Row],[Product]]&amp;", "&amp;Referentie_Hernieuwbare_Energie_Totaal[[#Headers],[A1]],Database_Productkaarten[#All],48,FALSE),0)*Baseline!I70),0))</f>
        <v>0</v>
      </c>
      <c r="E383" s="77">
        <f>(IF(Baseline!C70="Nieuwe Situatie",(_xlfn.IFNA(VLOOKUP(Referentie_Hernieuwbare_Energie_Totaal[[#This Row],[Product]]&amp;", "&amp;Referentie_Hernieuwbare_Energie_Totaal[[#Headers],[A2]],Database_Productkaarten[#All],48,FALSE),0)*Baseline!I70),0))</f>
        <v>0</v>
      </c>
      <c r="F383" s="77">
        <f>(IF(Baseline!C70="Nieuwe Situatie",(_xlfn.IFNA(VLOOKUP(Referentie_Hernieuwbare_Energie_Totaal[[#This Row],[Product]]&amp;", "&amp;Referentie_Hernieuwbare_Energie_Totaal[[#Headers],[A3]],Database_Productkaarten[#All],48,FALSE),0)*Baseline!I70),0))</f>
        <v>0</v>
      </c>
      <c r="G383" s="77">
        <f>(IF(Baseline!C70="Nieuwe Situatie",(_xlfn.IFNA(VLOOKUP(Referentie_Hernieuwbare_Energie_Totaal[[#This Row],[Product]]&amp;", "&amp;Referentie_Hernieuwbare_Energie_Totaal[[#Headers],[A1-A3]],Database_Productkaarten[#All],48,FALSE),0)*Baseline!I70),0))</f>
        <v>0</v>
      </c>
      <c r="H383" s="77">
        <f>IF(Baseline!T70=0,(IF(Baseline!C70="Nieuwe Situatie",(_xlfn.IFNA(VLOOKUP(Referentie_Hernieuwbare_Energie_Totaal[[#This Row],[Product]]&amp;", "&amp;Referentie_CO2_Totaal[[#Headers],[A4]],Database_Productkaarten[#All],48,FALSE),0)*Baseline!I70),0)),IF(Baseline!C70="Nieuwe Situatie",_xlfn.IFNA(VLOOKUP(Baseline!T70,Database_Transport[#All],42,FALSE)*(Baseline!Q70*Baseline!S70),Baseline_Backlog!H173),0))</f>
        <v>0</v>
      </c>
      <c r="I383" s="77">
        <f>IF(Baseline!C70="Nieuwe situatie",IF(_xlfn.IFNA((VLOOKUP(Baseline!U70,Database_Asfalt_Aanlegset[#All],42,FALSE)*Baseline!I70),0)+_xlfn.IFNA(VLOOKUP(Baseline!V70,Database_Brandstoffen[#All],42,FALSE)*((Baseline!I70/Baseline!X70)*Baseline!W70),0)&gt;0,_xlfn.IFNA((VLOOKUP(Baseline!U70,Database_Asfalt_Aanlegset[#All],42,FALSE)*Baseline!I70),0)+_xlfn.IFNA(VLOOKUP(Baseline!V70,Database_Brandstoffen[#All],42,FALSE)*((Baseline!I70/Baseline!X70)*Baseline!W70),0),(_xlfn.IFNA(VLOOKUP(Referentie_Hernieuwbare_Energie_Totaal[[#This Row],[Product]]&amp;", "&amp;Referentie_MKI_Totaal[[#Headers],[A5]],Database_Productkaarten[#All],48,FALSE),0)*Baseline!I70)),0)</f>
        <v>0</v>
      </c>
      <c r="J383" s="77">
        <f>(IF(Baseline!C70="Nieuwe Situatie",(_xlfn.IFNA(VLOOKUP(Referentie_Hernieuwbare_Energie_Totaal[[#This Row],[Product]]&amp;", "&amp;Referentie_Hernieuwbare_Energie_Totaal[[#Headers],[B1]],Database_Productkaarten[#All],48,FALSE),0)*Baseline!I70),0))</f>
        <v>0</v>
      </c>
      <c r="K383" s="77">
        <f>(IF(Baseline!C70="Nieuwe Situatie",(SUM(Referentie_Hernieuwbare_Energie_Totaal[[#This Row],[A1]:[B1]],Referentie_Hernieuwbare_Energie_Totaal[[#This Row],[C1]:[D2]])*Baseline!R70),0))</f>
        <v>0</v>
      </c>
      <c r="L383" s="77">
        <f>IF(Baseline!C70="Bestaande situatie",IF(_xlfn.IFNA((VLOOKUP(Baseline!Y70,Database_Asfalt_Verwijderset[#All],42,FALSE)*Baseline!I70),0)+_xlfn.IFNA(VLOOKUP(Baseline!Z70,Database_Brandstoffen[#All],42,FALSE)*((Baseline!I70/Baseline!AB70)*Baseline!AA70),0)&gt;0,_xlfn.IFNA((VLOOKUP(Baseline!Y70,Database_Asfalt_Verwijderset[#All],42,FALSE)*Baseline!I70),0)+_xlfn.IFNA(VLOOKUP(Baseline!Z70,Database_Brandstoffen[#All],42,FALSE)*((Baseline!I70/Baseline!AB70)*Baseline!AA70),0),(_xlfn.IFNA(VLOOKUP(Referentie_Hernieuwbare_Energie_Totaal[[#This Row],[Product]]&amp;", "&amp;Referentie_MKI_Totaal[[#Headers],[C1]],Database_Productkaarten[#All],48,FALSE),0)*Baseline!I70)),0)</f>
        <v>0</v>
      </c>
      <c r="M383" s="77">
        <f>IF(Baseline!AD70=0,(IF(Baseline!C70="Bestaande Situatie",(_xlfn.IFNA(VLOOKUP(Referentie_Hernieuwbare_Energie_Totaal[[#This Row],[Product]]&amp;", "&amp;Referentie_MKI_Totaal[[#Headers],[C2]],Database_Productkaarten[#All],48,FALSE),0)*Baseline!I70),0)),(IF(Baseline!C70="Bestaande Situatie",_xlfn.IFNA(VLOOKUP(Baseline!AD70,Database_Transport[#All],42,FALSE)*(Baseline!Q70*Baseline!AC70),0))))</f>
        <v>0</v>
      </c>
      <c r="N383" s="77">
        <f>(IF(Baseline!C70="Bestaande Situatie",(_xlfn.IFNA(VLOOKUP(Referentie_Hernieuwbare_Energie_Totaal[[#This Row],[Product]]&amp;", "&amp;Referentie_Hernieuwbare_Energie_Totaal[[#Headers],[C3]],Database_Productkaarten[#All],48,FALSE),0)*Baseline!I70),0))</f>
        <v>0</v>
      </c>
      <c r="O383" s="77">
        <f>(IF(Baseline!C70="Bestaande Situatie",(_xlfn.IFNA(VLOOKUP(Referentie_Hernieuwbare_Energie_Totaal[[#This Row],[Product]]&amp;", "&amp;Referentie_Hernieuwbare_Energie_Totaal[[#Headers],[C4]],Database_Productkaarten[#All],48,FALSE),0)*Baseline!I70),0))</f>
        <v>0</v>
      </c>
      <c r="P383" s="77">
        <f>(IF(Baseline!C70="Bestaande Situatie",(_xlfn.IFNA(VLOOKUP(Referentie_Hernieuwbare_Energie_Totaal[[#This Row],[Product]]&amp;", "&amp;Referentie_Hernieuwbare_Energie_Totaal[[#Headers],[D1]],Database_Productkaarten[#All],48,FALSE),0)*Baseline!I70),0))</f>
        <v>0</v>
      </c>
      <c r="Q383" s="78">
        <f>(IF(Baseline!C70="Bestaande Situatie",_xlfn.IFNA(VLOOKUP(Referentie_Hernieuwbare_Energie_Totaal[[#This Row],[Product]]&amp;", "&amp;Referentie_Hernieuwbare_Energie_Totaal[[#Headers],[D2]],Database_Productkaarten[#All],48,FALSE),0)*Baseline!I70,0))</f>
        <v>0</v>
      </c>
      <c r="R383" s="57">
        <f>(IF(Baseline!C70="Bestaande Situatie",_xlfn.IFNA(VLOOKUP(Referentie_Hernieuwbare_Energie_Totaal[[#This Row],[Product]]&amp;", "&amp;Referentie_Hernieuwbare_Energie_Totaal[[#Headers],[D]],Database_Productkaarten[#All],48,FALSE),0)*Baseline!I70,0))</f>
        <v>0</v>
      </c>
      <c r="S383" s="56">
        <f>SUM(Referentie_Hernieuwbare_Energie_Totaal[[#This Row],[A1-A3]:[C4]])+Referentie_Hernieuwbare_Energie_Totaal[[#This Row],[D]]</f>
        <v>0</v>
      </c>
    </row>
    <row r="384" spans="2:19">
      <c r="B384" s="209">
        <f>Baseline!B71</f>
        <v>0</v>
      </c>
      <c r="C384" s="76">
        <f>Baseline!F71</f>
        <v>0</v>
      </c>
      <c r="D384" s="77">
        <f>(IF(Baseline!C71="Nieuwe Situatie",(_xlfn.IFNA(VLOOKUP(Referentie_Hernieuwbare_Energie_Totaal[[#This Row],[Product]]&amp;", "&amp;Referentie_Hernieuwbare_Energie_Totaal[[#Headers],[A1]],Database_Productkaarten[#All],48,FALSE),0)*Baseline!I71),0))</f>
        <v>0</v>
      </c>
      <c r="E384" s="77">
        <f>(IF(Baseline!C71="Nieuwe Situatie",(_xlfn.IFNA(VLOOKUP(Referentie_Hernieuwbare_Energie_Totaal[[#This Row],[Product]]&amp;", "&amp;Referentie_Hernieuwbare_Energie_Totaal[[#Headers],[A2]],Database_Productkaarten[#All],48,FALSE),0)*Baseline!I71),0))</f>
        <v>0</v>
      </c>
      <c r="F384" s="77">
        <f>(IF(Baseline!C71="Nieuwe Situatie",(_xlfn.IFNA(VLOOKUP(Referentie_Hernieuwbare_Energie_Totaal[[#This Row],[Product]]&amp;", "&amp;Referentie_Hernieuwbare_Energie_Totaal[[#Headers],[A3]],Database_Productkaarten[#All],48,FALSE),0)*Baseline!I71),0))</f>
        <v>0</v>
      </c>
      <c r="G384" s="77">
        <f>(IF(Baseline!C71="Nieuwe Situatie",(_xlfn.IFNA(VLOOKUP(Referentie_Hernieuwbare_Energie_Totaal[[#This Row],[Product]]&amp;", "&amp;Referentie_Hernieuwbare_Energie_Totaal[[#Headers],[A1-A3]],Database_Productkaarten[#All],48,FALSE),0)*Baseline!I71),0))</f>
        <v>0</v>
      </c>
      <c r="H384" s="77">
        <f>IF(Baseline!T71=0,(IF(Baseline!C71="Nieuwe Situatie",(_xlfn.IFNA(VLOOKUP(Referentie_Hernieuwbare_Energie_Totaal[[#This Row],[Product]]&amp;", "&amp;Referentie_CO2_Totaal[[#Headers],[A4]],Database_Productkaarten[#All],48,FALSE),0)*Baseline!I71),0)),IF(Baseline!C71="Nieuwe Situatie",_xlfn.IFNA(VLOOKUP(Baseline!T71,Database_Transport[#All],42,FALSE)*(Baseline!Q71*Baseline!S71),Baseline_Backlog!H174),0))</f>
        <v>0</v>
      </c>
      <c r="I384" s="77">
        <f>IF(Baseline!C71="Nieuwe situatie",IF(_xlfn.IFNA((VLOOKUP(Baseline!U71,Database_Asfalt_Aanlegset[#All],42,FALSE)*Baseline!I71),0)+_xlfn.IFNA(VLOOKUP(Baseline!V71,Database_Brandstoffen[#All],42,FALSE)*((Baseline!I71/Baseline!X71)*Baseline!W71),0)&gt;0,_xlfn.IFNA((VLOOKUP(Baseline!U71,Database_Asfalt_Aanlegset[#All],42,FALSE)*Baseline!I71),0)+_xlfn.IFNA(VLOOKUP(Baseline!V71,Database_Brandstoffen[#All],42,FALSE)*((Baseline!I71/Baseline!X71)*Baseline!W71),0),(_xlfn.IFNA(VLOOKUP(Referentie_Hernieuwbare_Energie_Totaal[[#This Row],[Product]]&amp;", "&amp;Referentie_MKI_Totaal[[#Headers],[A5]],Database_Productkaarten[#All],48,FALSE),0)*Baseline!I71)),0)</f>
        <v>0</v>
      </c>
      <c r="J384" s="77">
        <f>(IF(Baseline!C71="Nieuwe Situatie",(_xlfn.IFNA(VLOOKUP(Referentie_Hernieuwbare_Energie_Totaal[[#This Row],[Product]]&amp;", "&amp;Referentie_Hernieuwbare_Energie_Totaal[[#Headers],[B1]],Database_Productkaarten[#All],48,FALSE),0)*Baseline!I71),0))</f>
        <v>0</v>
      </c>
      <c r="K384" s="77">
        <f>(IF(Baseline!C71="Nieuwe Situatie",(SUM(Referentie_Hernieuwbare_Energie_Totaal[[#This Row],[A1]:[B1]],Referentie_Hernieuwbare_Energie_Totaal[[#This Row],[C1]:[D2]])*Baseline!R71),0))</f>
        <v>0</v>
      </c>
      <c r="L384" s="77">
        <f>IF(Baseline!C71="Bestaande situatie",IF(_xlfn.IFNA((VLOOKUP(Baseline!Y71,Database_Asfalt_Verwijderset[#All],42,FALSE)*Baseline!I71),0)+_xlfn.IFNA(VLOOKUP(Baseline!Z71,Database_Brandstoffen[#All],42,FALSE)*((Baseline!I71/Baseline!AB71)*Baseline!AA71),0)&gt;0,_xlfn.IFNA((VLOOKUP(Baseline!Y71,Database_Asfalt_Verwijderset[#All],42,FALSE)*Baseline!I71),0)+_xlfn.IFNA(VLOOKUP(Baseline!Z71,Database_Brandstoffen[#All],42,FALSE)*((Baseline!I71/Baseline!AB71)*Baseline!AA71),0),(_xlfn.IFNA(VLOOKUP(Referentie_Hernieuwbare_Energie_Totaal[[#This Row],[Product]]&amp;", "&amp;Referentie_MKI_Totaal[[#Headers],[C1]],Database_Productkaarten[#All],48,FALSE),0)*Baseline!I71)),0)</f>
        <v>0</v>
      </c>
      <c r="M384" s="77">
        <f>IF(Baseline!AD71=0,(IF(Baseline!C71="Bestaande Situatie",(_xlfn.IFNA(VLOOKUP(Referentie_Hernieuwbare_Energie_Totaal[[#This Row],[Product]]&amp;", "&amp;Referentie_MKI_Totaal[[#Headers],[C2]],Database_Productkaarten[#All],48,FALSE),0)*Baseline!I71),0)),(IF(Baseline!C71="Bestaande Situatie",_xlfn.IFNA(VLOOKUP(Baseline!AD71,Database_Transport[#All],42,FALSE)*(Baseline!Q71*Baseline!AC71),0))))</f>
        <v>0</v>
      </c>
      <c r="N384" s="77">
        <f>(IF(Baseline!C71="Bestaande Situatie",(_xlfn.IFNA(VLOOKUP(Referentie_Hernieuwbare_Energie_Totaal[[#This Row],[Product]]&amp;", "&amp;Referentie_Hernieuwbare_Energie_Totaal[[#Headers],[C3]],Database_Productkaarten[#All],48,FALSE),0)*Baseline!I71),0))</f>
        <v>0</v>
      </c>
      <c r="O384" s="77">
        <f>(IF(Baseline!C71="Bestaande Situatie",(_xlfn.IFNA(VLOOKUP(Referentie_Hernieuwbare_Energie_Totaal[[#This Row],[Product]]&amp;", "&amp;Referentie_Hernieuwbare_Energie_Totaal[[#Headers],[C4]],Database_Productkaarten[#All],48,FALSE),0)*Baseline!I71),0))</f>
        <v>0</v>
      </c>
      <c r="P384" s="77">
        <f>(IF(Baseline!C71="Bestaande Situatie",(_xlfn.IFNA(VLOOKUP(Referentie_Hernieuwbare_Energie_Totaal[[#This Row],[Product]]&amp;", "&amp;Referentie_Hernieuwbare_Energie_Totaal[[#Headers],[D1]],Database_Productkaarten[#All],48,FALSE),0)*Baseline!I71),0))</f>
        <v>0</v>
      </c>
      <c r="Q384" s="78">
        <f>(IF(Baseline!C71="Bestaande Situatie",_xlfn.IFNA(VLOOKUP(Referentie_Hernieuwbare_Energie_Totaal[[#This Row],[Product]]&amp;", "&amp;Referentie_Hernieuwbare_Energie_Totaal[[#Headers],[D2]],Database_Productkaarten[#All],48,FALSE),0)*Baseline!I71,0))</f>
        <v>0</v>
      </c>
      <c r="R384" s="57">
        <f>(IF(Baseline!C71="Bestaande Situatie",_xlfn.IFNA(VLOOKUP(Referentie_Hernieuwbare_Energie_Totaal[[#This Row],[Product]]&amp;", "&amp;Referentie_Hernieuwbare_Energie_Totaal[[#Headers],[D]],Database_Productkaarten[#All],48,FALSE),0)*Baseline!I71,0))</f>
        <v>0</v>
      </c>
      <c r="S384" s="56">
        <f>SUM(Referentie_Hernieuwbare_Energie_Totaal[[#This Row],[A1-A3]:[C4]])+Referentie_Hernieuwbare_Energie_Totaal[[#This Row],[D]]</f>
        <v>0</v>
      </c>
    </row>
    <row r="385" spans="2:19">
      <c r="B385" s="209">
        <f>Baseline!B72</f>
        <v>0</v>
      </c>
      <c r="C385" s="76">
        <f>Baseline!F72</f>
        <v>0</v>
      </c>
      <c r="D385" s="77">
        <f>(IF(Baseline!C72="Nieuwe Situatie",(_xlfn.IFNA(VLOOKUP(Referentie_Hernieuwbare_Energie_Totaal[[#This Row],[Product]]&amp;", "&amp;Referentie_Hernieuwbare_Energie_Totaal[[#Headers],[A1]],Database_Productkaarten[#All],48,FALSE),0)*Baseline!I72),0))</f>
        <v>0</v>
      </c>
      <c r="E385" s="77">
        <f>(IF(Baseline!C72="Nieuwe Situatie",(_xlfn.IFNA(VLOOKUP(Referentie_Hernieuwbare_Energie_Totaal[[#This Row],[Product]]&amp;", "&amp;Referentie_Hernieuwbare_Energie_Totaal[[#Headers],[A2]],Database_Productkaarten[#All],48,FALSE),0)*Baseline!I72),0))</f>
        <v>0</v>
      </c>
      <c r="F385" s="77">
        <f>(IF(Baseline!C72="Nieuwe Situatie",(_xlfn.IFNA(VLOOKUP(Referentie_Hernieuwbare_Energie_Totaal[[#This Row],[Product]]&amp;", "&amp;Referentie_Hernieuwbare_Energie_Totaal[[#Headers],[A3]],Database_Productkaarten[#All],48,FALSE),0)*Baseline!I72),0))</f>
        <v>0</v>
      </c>
      <c r="G385" s="77">
        <f>(IF(Baseline!C72="Nieuwe Situatie",(_xlfn.IFNA(VLOOKUP(Referentie_Hernieuwbare_Energie_Totaal[[#This Row],[Product]]&amp;", "&amp;Referentie_Hernieuwbare_Energie_Totaal[[#Headers],[A1-A3]],Database_Productkaarten[#All],48,FALSE),0)*Baseline!I72),0))</f>
        <v>0</v>
      </c>
      <c r="H385" s="77">
        <f>IF(Baseline!T72=0,(IF(Baseline!C72="Nieuwe Situatie",(_xlfn.IFNA(VLOOKUP(Referentie_Hernieuwbare_Energie_Totaal[[#This Row],[Product]]&amp;", "&amp;Referentie_CO2_Totaal[[#Headers],[A4]],Database_Productkaarten[#All],48,FALSE),0)*Baseline!I72),0)),IF(Baseline!C72="Nieuwe Situatie",_xlfn.IFNA(VLOOKUP(Baseline!T72,Database_Transport[#All],42,FALSE)*(Baseline!Q72*Baseline!S72),Baseline_Backlog!H175),0))</f>
        <v>0</v>
      </c>
      <c r="I385" s="77">
        <f>IF(Baseline!C72="Nieuwe situatie",IF(_xlfn.IFNA((VLOOKUP(Baseline!U72,Database_Asfalt_Aanlegset[#All],42,FALSE)*Baseline!I72),0)+_xlfn.IFNA(VLOOKUP(Baseline!V72,Database_Brandstoffen[#All],42,FALSE)*((Baseline!I72/Baseline!X72)*Baseline!W72),0)&gt;0,_xlfn.IFNA((VLOOKUP(Baseline!U72,Database_Asfalt_Aanlegset[#All],42,FALSE)*Baseline!I72),0)+_xlfn.IFNA(VLOOKUP(Baseline!V72,Database_Brandstoffen[#All],42,FALSE)*((Baseline!I72/Baseline!X72)*Baseline!W72),0),(_xlfn.IFNA(VLOOKUP(Referentie_Hernieuwbare_Energie_Totaal[[#This Row],[Product]]&amp;", "&amp;Referentie_MKI_Totaal[[#Headers],[A5]],Database_Productkaarten[#All],48,FALSE),0)*Baseline!I72)),0)</f>
        <v>0</v>
      </c>
      <c r="J385" s="77">
        <f>(IF(Baseline!C72="Nieuwe Situatie",(_xlfn.IFNA(VLOOKUP(Referentie_Hernieuwbare_Energie_Totaal[[#This Row],[Product]]&amp;", "&amp;Referentie_Hernieuwbare_Energie_Totaal[[#Headers],[B1]],Database_Productkaarten[#All],48,FALSE),0)*Baseline!I72),0))</f>
        <v>0</v>
      </c>
      <c r="K385" s="77">
        <f>(IF(Baseline!C72="Nieuwe Situatie",(SUM(Referentie_Hernieuwbare_Energie_Totaal[[#This Row],[A1]:[B1]],Referentie_Hernieuwbare_Energie_Totaal[[#This Row],[C1]:[D2]])*Baseline!R72),0))</f>
        <v>0</v>
      </c>
      <c r="L385" s="77">
        <f>IF(Baseline!C72="Bestaande situatie",IF(_xlfn.IFNA((VLOOKUP(Baseline!Y72,Database_Asfalt_Verwijderset[#All],42,FALSE)*Baseline!I72),0)+_xlfn.IFNA(VLOOKUP(Baseline!Z72,Database_Brandstoffen[#All],42,FALSE)*((Baseline!I72/Baseline!AB72)*Baseline!AA72),0)&gt;0,_xlfn.IFNA((VLOOKUP(Baseline!Y72,Database_Asfalt_Verwijderset[#All],42,FALSE)*Baseline!I72),0)+_xlfn.IFNA(VLOOKUP(Baseline!Z72,Database_Brandstoffen[#All],42,FALSE)*((Baseline!I72/Baseline!AB72)*Baseline!AA72),0),(_xlfn.IFNA(VLOOKUP(Referentie_Hernieuwbare_Energie_Totaal[[#This Row],[Product]]&amp;", "&amp;Referentie_MKI_Totaal[[#Headers],[C1]],Database_Productkaarten[#All],48,FALSE),0)*Baseline!I72)),0)</f>
        <v>0</v>
      </c>
      <c r="M385" s="77">
        <f>IF(Baseline!AD72=0,(IF(Baseline!C72="Bestaande Situatie",(_xlfn.IFNA(VLOOKUP(Referentie_Hernieuwbare_Energie_Totaal[[#This Row],[Product]]&amp;", "&amp;Referentie_MKI_Totaal[[#Headers],[C2]],Database_Productkaarten[#All],48,FALSE),0)*Baseline!I72),0)),(IF(Baseline!C72="Bestaande Situatie",_xlfn.IFNA(VLOOKUP(Baseline!AD72,Database_Transport[#All],42,FALSE)*(Baseline!Q72*Baseline!AC72),0))))</f>
        <v>0</v>
      </c>
      <c r="N385" s="77">
        <f>(IF(Baseline!C72="Bestaande Situatie",(_xlfn.IFNA(VLOOKUP(Referentie_Hernieuwbare_Energie_Totaal[[#This Row],[Product]]&amp;", "&amp;Referentie_Hernieuwbare_Energie_Totaal[[#Headers],[C3]],Database_Productkaarten[#All],48,FALSE),0)*Baseline!I72),0))</f>
        <v>0</v>
      </c>
      <c r="O385" s="77">
        <f>(IF(Baseline!C72="Bestaande Situatie",(_xlfn.IFNA(VLOOKUP(Referentie_Hernieuwbare_Energie_Totaal[[#This Row],[Product]]&amp;", "&amp;Referentie_Hernieuwbare_Energie_Totaal[[#Headers],[C4]],Database_Productkaarten[#All],48,FALSE),0)*Baseline!I72),0))</f>
        <v>0</v>
      </c>
      <c r="P385" s="77">
        <f>(IF(Baseline!C72="Bestaande Situatie",(_xlfn.IFNA(VLOOKUP(Referentie_Hernieuwbare_Energie_Totaal[[#This Row],[Product]]&amp;", "&amp;Referentie_Hernieuwbare_Energie_Totaal[[#Headers],[D1]],Database_Productkaarten[#All],48,FALSE),0)*Baseline!I72),0))</f>
        <v>0</v>
      </c>
      <c r="Q385" s="78">
        <f>(IF(Baseline!C72="Bestaande Situatie",_xlfn.IFNA(VLOOKUP(Referentie_Hernieuwbare_Energie_Totaal[[#This Row],[Product]]&amp;", "&amp;Referentie_Hernieuwbare_Energie_Totaal[[#Headers],[D2]],Database_Productkaarten[#All],48,FALSE),0)*Baseline!I72,0))</f>
        <v>0</v>
      </c>
      <c r="R385" s="57">
        <f>(IF(Baseline!C72="Bestaande Situatie",_xlfn.IFNA(VLOOKUP(Referentie_Hernieuwbare_Energie_Totaal[[#This Row],[Product]]&amp;", "&amp;Referentie_Hernieuwbare_Energie_Totaal[[#Headers],[D]],Database_Productkaarten[#All],48,FALSE),0)*Baseline!I72,0))</f>
        <v>0</v>
      </c>
      <c r="S385" s="56">
        <f>SUM(Referentie_Hernieuwbare_Energie_Totaal[[#This Row],[A1-A3]:[C4]])+Referentie_Hernieuwbare_Energie_Totaal[[#This Row],[D]]</f>
        <v>0</v>
      </c>
    </row>
    <row r="386" spans="2:19">
      <c r="B386" s="209">
        <f>Baseline!B73</f>
        <v>0</v>
      </c>
      <c r="C386" s="76">
        <f>Baseline!F73</f>
        <v>0</v>
      </c>
      <c r="D386" s="77">
        <f>(IF(Baseline!C73="Nieuwe Situatie",(_xlfn.IFNA(VLOOKUP(Referentie_Hernieuwbare_Energie_Totaal[[#This Row],[Product]]&amp;", "&amp;Referentie_Hernieuwbare_Energie_Totaal[[#Headers],[A1]],Database_Productkaarten[#All],48,FALSE),0)*Baseline!I73),0))</f>
        <v>0</v>
      </c>
      <c r="E386" s="77">
        <f>(IF(Baseline!C73="Nieuwe Situatie",(_xlfn.IFNA(VLOOKUP(Referentie_Hernieuwbare_Energie_Totaal[[#This Row],[Product]]&amp;", "&amp;Referentie_Hernieuwbare_Energie_Totaal[[#Headers],[A2]],Database_Productkaarten[#All],48,FALSE),0)*Baseline!I73),0))</f>
        <v>0</v>
      </c>
      <c r="F386" s="77">
        <f>(IF(Baseline!C73="Nieuwe Situatie",(_xlfn.IFNA(VLOOKUP(Referentie_Hernieuwbare_Energie_Totaal[[#This Row],[Product]]&amp;", "&amp;Referentie_Hernieuwbare_Energie_Totaal[[#Headers],[A3]],Database_Productkaarten[#All],48,FALSE),0)*Baseline!I73),0))</f>
        <v>0</v>
      </c>
      <c r="G386" s="77">
        <f>(IF(Baseline!C73="Nieuwe Situatie",(_xlfn.IFNA(VLOOKUP(Referentie_Hernieuwbare_Energie_Totaal[[#This Row],[Product]]&amp;", "&amp;Referentie_Hernieuwbare_Energie_Totaal[[#Headers],[A1-A3]],Database_Productkaarten[#All],48,FALSE),0)*Baseline!I73),0))</f>
        <v>0</v>
      </c>
      <c r="H386" s="77">
        <f>IF(Baseline!T73=0,(IF(Baseline!C73="Nieuwe Situatie",(_xlfn.IFNA(VLOOKUP(Referentie_Hernieuwbare_Energie_Totaal[[#This Row],[Product]]&amp;", "&amp;Referentie_CO2_Totaal[[#Headers],[A4]],Database_Productkaarten[#All],48,FALSE),0)*Baseline!I73),0)),IF(Baseline!C73="Nieuwe Situatie",_xlfn.IFNA(VLOOKUP(Baseline!T73,Database_Transport[#All],42,FALSE)*(Baseline!Q73*Baseline!S73),Baseline_Backlog!H176),0))</f>
        <v>0</v>
      </c>
      <c r="I386" s="77">
        <f>IF(Baseline!C73="Nieuwe situatie",IF(_xlfn.IFNA((VLOOKUP(Baseline!U73,Database_Asfalt_Aanlegset[#All],42,FALSE)*Baseline!I73),0)+_xlfn.IFNA(VLOOKUP(Baseline!V73,Database_Brandstoffen[#All],42,FALSE)*((Baseline!I73/Baseline!X73)*Baseline!W73),0)&gt;0,_xlfn.IFNA((VLOOKUP(Baseline!U73,Database_Asfalt_Aanlegset[#All],42,FALSE)*Baseline!I73),0)+_xlfn.IFNA(VLOOKUP(Baseline!V73,Database_Brandstoffen[#All],42,FALSE)*((Baseline!I73/Baseline!X73)*Baseline!W73),0),(_xlfn.IFNA(VLOOKUP(Referentie_Hernieuwbare_Energie_Totaal[[#This Row],[Product]]&amp;", "&amp;Referentie_MKI_Totaal[[#Headers],[A5]],Database_Productkaarten[#All],48,FALSE),0)*Baseline!I73)),0)</f>
        <v>0</v>
      </c>
      <c r="J386" s="77">
        <f>(IF(Baseline!C73="Nieuwe Situatie",(_xlfn.IFNA(VLOOKUP(Referentie_Hernieuwbare_Energie_Totaal[[#This Row],[Product]]&amp;", "&amp;Referentie_Hernieuwbare_Energie_Totaal[[#Headers],[B1]],Database_Productkaarten[#All],48,FALSE),0)*Baseline!I73),0))</f>
        <v>0</v>
      </c>
      <c r="K386" s="77">
        <f>(IF(Baseline!C73="Nieuwe Situatie",(SUM(Referentie_Hernieuwbare_Energie_Totaal[[#This Row],[A1]:[B1]],Referentie_Hernieuwbare_Energie_Totaal[[#This Row],[C1]:[D2]])*Baseline!R73),0))</f>
        <v>0</v>
      </c>
      <c r="L386" s="77">
        <f>IF(Baseline!C73="Bestaande situatie",IF(_xlfn.IFNA((VLOOKUP(Baseline!Y73,Database_Asfalt_Verwijderset[#All],42,FALSE)*Baseline!I73),0)+_xlfn.IFNA(VLOOKUP(Baseline!Z73,Database_Brandstoffen[#All],42,FALSE)*((Baseline!I73/Baseline!AB73)*Baseline!AA73),0)&gt;0,_xlfn.IFNA((VLOOKUP(Baseline!Y73,Database_Asfalt_Verwijderset[#All],42,FALSE)*Baseline!I73),0)+_xlfn.IFNA(VLOOKUP(Baseline!Z73,Database_Brandstoffen[#All],42,FALSE)*((Baseline!I73/Baseline!AB73)*Baseline!AA73),0),(_xlfn.IFNA(VLOOKUP(Referentie_Hernieuwbare_Energie_Totaal[[#This Row],[Product]]&amp;", "&amp;Referentie_MKI_Totaal[[#Headers],[C1]],Database_Productkaarten[#All],48,FALSE),0)*Baseline!I73)),0)</f>
        <v>0</v>
      </c>
      <c r="M386" s="77">
        <f>IF(Baseline!AD73=0,(IF(Baseline!C73="Bestaande Situatie",(_xlfn.IFNA(VLOOKUP(Referentie_Hernieuwbare_Energie_Totaal[[#This Row],[Product]]&amp;", "&amp;Referentie_MKI_Totaal[[#Headers],[C2]],Database_Productkaarten[#All],48,FALSE),0)*Baseline!I73),0)),(IF(Baseline!C73="Bestaande Situatie",_xlfn.IFNA(VLOOKUP(Baseline!AD73,Database_Transport[#All],42,FALSE)*(Baseline!Q73*Baseline!AC73),0))))</f>
        <v>0</v>
      </c>
      <c r="N386" s="77">
        <f>(IF(Baseline!C73="Bestaande Situatie",(_xlfn.IFNA(VLOOKUP(Referentie_Hernieuwbare_Energie_Totaal[[#This Row],[Product]]&amp;", "&amp;Referentie_Hernieuwbare_Energie_Totaal[[#Headers],[C3]],Database_Productkaarten[#All],48,FALSE),0)*Baseline!I73),0))</f>
        <v>0</v>
      </c>
      <c r="O386" s="77">
        <f>(IF(Baseline!C73="Bestaande Situatie",(_xlfn.IFNA(VLOOKUP(Referentie_Hernieuwbare_Energie_Totaal[[#This Row],[Product]]&amp;", "&amp;Referentie_Hernieuwbare_Energie_Totaal[[#Headers],[C4]],Database_Productkaarten[#All],48,FALSE),0)*Baseline!I73),0))</f>
        <v>0</v>
      </c>
      <c r="P386" s="77">
        <f>(IF(Baseline!C73="Bestaande Situatie",(_xlfn.IFNA(VLOOKUP(Referentie_Hernieuwbare_Energie_Totaal[[#This Row],[Product]]&amp;", "&amp;Referentie_Hernieuwbare_Energie_Totaal[[#Headers],[D1]],Database_Productkaarten[#All],48,FALSE),0)*Baseline!I73),0))</f>
        <v>0</v>
      </c>
      <c r="Q386" s="78">
        <f>(IF(Baseline!C73="Bestaande Situatie",_xlfn.IFNA(VLOOKUP(Referentie_Hernieuwbare_Energie_Totaal[[#This Row],[Product]]&amp;", "&amp;Referentie_Hernieuwbare_Energie_Totaal[[#Headers],[D2]],Database_Productkaarten[#All],48,FALSE),0)*Baseline!I73,0))</f>
        <v>0</v>
      </c>
      <c r="R386" s="57">
        <f>(IF(Baseline!C73="Bestaande Situatie",_xlfn.IFNA(VLOOKUP(Referentie_Hernieuwbare_Energie_Totaal[[#This Row],[Product]]&amp;", "&amp;Referentie_Hernieuwbare_Energie_Totaal[[#Headers],[D]],Database_Productkaarten[#All],48,FALSE),0)*Baseline!I73,0))</f>
        <v>0</v>
      </c>
      <c r="S386" s="56">
        <f>SUM(Referentie_Hernieuwbare_Energie_Totaal[[#This Row],[A1-A3]:[C4]])+Referentie_Hernieuwbare_Energie_Totaal[[#This Row],[D]]</f>
        <v>0</v>
      </c>
    </row>
    <row r="387" spans="2:19">
      <c r="B387" s="209">
        <f>Baseline!B74</f>
        <v>0</v>
      </c>
      <c r="C387" s="76">
        <f>Baseline!F74</f>
        <v>0</v>
      </c>
      <c r="D387" s="77">
        <f>(IF(Baseline!C74="Nieuwe Situatie",(_xlfn.IFNA(VLOOKUP(Referentie_Hernieuwbare_Energie_Totaal[[#This Row],[Product]]&amp;", "&amp;Referentie_Hernieuwbare_Energie_Totaal[[#Headers],[A1]],Database_Productkaarten[#All],48,FALSE),0)*Baseline!I74),0))</f>
        <v>0</v>
      </c>
      <c r="E387" s="77">
        <f>(IF(Baseline!C74="Nieuwe Situatie",(_xlfn.IFNA(VLOOKUP(Referentie_Hernieuwbare_Energie_Totaal[[#This Row],[Product]]&amp;", "&amp;Referentie_Hernieuwbare_Energie_Totaal[[#Headers],[A2]],Database_Productkaarten[#All],48,FALSE),0)*Baseline!I74),0))</f>
        <v>0</v>
      </c>
      <c r="F387" s="77">
        <f>(IF(Baseline!C74="Nieuwe Situatie",(_xlfn.IFNA(VLOOKUP(Referentie_Hernieuwbare_Energie_Totaal[[#This Row],[Product]]&amp;", "&amp;Referentie_Hernieuwbare_Energie_Totaal[[#Headers],[A3]],Database_Productkaarten[#All],48,FALSE),0)*Baseline!I74),0))</f>
        <v>0</v>
      </c>
      <c r="G387" s="77">
        <f>(IF(Baseline!C74="Nieuwe Situatie",(_xlfn.IFNA(VLOOKUP(Referentie_Hernieuwbare_Energie_Totaal[[#This Row],[Product]]&amp;", "&amp;Referentie_Hernieuwbare_Energie_Totaal[[#Headers],[A1-A3]],Database_Productkaarten[#All],48,FALSE),0)*Baseline!I74),0))</f>
        <v>0</v>
      </c>
      <c r="H387" s="77">
        <f>IF(Baseline!T74=0,(IF(Baseline!C74="Nieuwe Situatie",(_xlfn.IFNA(VLOOKUP(Referentie_Hernieuwbare_Energie_Totaal[[#This Row],[Product]]&amp;", "&amp;Referentie_CO2_Totaal[[#Headers],[A4]],Database_Productkaarten[#All],48,FALSE),0)*Baseline!I74),0)),IF(Baseline!C74="Nieuwe Situatie",_xlfn.IFNA(VLOOKUP(Baseline!T74,Database_Transport[#All],42,FALSE)*(Baseline!Q74*Baseline!S74),Baseline_Backlog!H177),0))</f>
        <v>0</v>
      </c>
      <c r="I387" s="77">
        <f>IF(Baseline!C74="Nieuwe situatie",IF(_xlfn.IFNA((VLOOKUP(Baseline!U74,Database_Asfalt_Aanlegset[#All],42,FALSE)*Baseline!I74),0)+_xlfn.IFNA(VLOOKUP(Baseline!V74,Database_Brandstoffen[#All],42,FALSE)*((Baseline!I74/Baseline!X74)*Baseline!W74),0)&gt;0,_xlfn.IFNA((VLOOKUP(Baseline!U74,Database_Asfalt_Aanlegset[#All],42,FALSE)*Baseline!I74),0)+_xlfn.IFNA(VLOOKUP(Baseline!V74,Database_Brandstoffen[#All],42,FALSE)*((Baseline!I74/Baseline!X74)*Baseline!W74),0),(_xlfn.IFNA(VLOOKUP(Referentie_Hernieuwbare_Energie_Totaal[[#This Row],[Product]]&amp;", "&amp;Referentie_MKI_Totaal[[#Headers],[A5]],Database_Productkaarten[#All],48,FALSE),0)*Baseline!I74)),0)</f>
        <v>0</v>
      </c>
      <c r="J387" s="77">
        <f>(IF(Baseline!C74="Nieuwe Situatie",(_xlfn.IFNA(VLOOKUP(Referentie_Hernieuwbare_Energie_Totaal[[#This Row],[Product]]&amp;", "&amp;Referentie_Hernieuwbare_Energie_Totaal[[#Headers],[B1]],Database_Productkaarten[#All],48,FALSE),0)*Baseline!I74),0))</f>
        <v>0</v>
      </c>
      <c r="K387" s="77">
        <f>(IF(Baseline!C74="Nieuwe Situatie",(SUM(Referentie_Hernieuwbare_Energie_Totaal[[#This Row],[A1]:[B1]],Referentie_Hernieuwbare_Energie_Totaal[[#This Row],[C1]:[D2]])*Baseline!R74),0))</f>
        <v>0</v>
      </c>
      <c r="L387" s="77">
        <f>IF(Baseline!C74="Bestaande situatie",IF(_xlfn.IFNA((VLOOKUP(Baseline!Y74,Database_Asfalt_Verwijderset[#All],42,FALSE)*Baseline!I74),0)+_xlfn.IFNA(VLOOKUP(Baseline!Z74,Database_Brandstoffen[#All],42,FALSE)*((Baseline!I74/Baseline!AB74)*Baseline!AA74),0)&gt;0,_xlfn.IFNA((VLOOKUP(Baseline!Y74,Database_Asfalt_Verwijderset[#All],42,FALSE)*Baseline!I74),0)+_xlfn.IFNA(VLOOKUP(Baseline!Z74,Database_Brandstoffen[#All],42,FALSE)*((Baseline!I74/Baseline!AB74)*Baseline!AA74),0),(_xlfn.IFNA(VLOOKUP(Referentie_Hernieuwbare_Energie_Totaal[[#This Row],[Product]]&amp;", "&amp;Referentie_MKI_Totaal[[#Headers],[C1]],Database_Productkaarten[#All],48,FALSE),0)*Baseline!I74)),0)</f>
        <v>0</v>
      </c>
      <c r="M387" s="77">
        <f>IF(Baseline!AD74=0,(IF(Baseline!C74="Bestaande Situatie",(_xlfn.IFNA(VLOOKUP(Referentie_Hernieuwbare_Energie_Totaal[[#This Row],[Product]]&amp;", "&amp;Referentie_MKI_Totaal[[#Headers],[C2]],Database_Productkaarten[#All],48,FALSE),0)*Baseline!I74),0)),(IF(Baseline!C74="Bestaande Situatie",_xlfn.IFNA(VLOOKUP(Baseline!AD74,Database_Transport[#All],42,FALSE)*(Baseline!Q74*Baseline!AC74),0))))</f>
        <v>0</v>
      </c>
      <c r="N387" s="77">
        <f>(IF(Baseline!C74="Bestaande Situatie",(_xlfn.IFNA(VLOOKUP(Referentie_Hernieuwbare_Energie_Totaal[[#This Row],[Product]]&amp;", "&amp;Referentie_Hernieuwbare_Energie_Totaal[[#Headers],[C3]],Database_Productkaarten[#All],48,FALSE),0)*Baseline!I74),0))</f>
        <v>0</v>
      </c>
      <c r="O387" s="77">
        <f>(IF(Baseline!C74="Bestaande Situatie",(_xlfn.IFNA(VLOOKUP(Referentie_Hernieuwbare_Energie_Totaal[[#This Row],[Product]]&amp;", "&amp;Referentie_Hernieuwbare_Energie_Totaal[[#Headers],[C4]],Database_Productkaarten[#All],48,FALSE),0)*Baseline!I74),0))</f>
        <v>0</v>
      </c>
      <c r="P387" s="77">
        <f>(IF(Baseline!C74="Bestaande Situatie",(_xlfn.IFNA(VLOOKUP(Referentie_Hernieuwbare_Energie_Totaal[[#This Row],[Product]]&amp;", "&amp;Referentie_Hernieuwbare_Energie_Totaal[[#Headers],[D1]],Database_Productkaarten[#All],48,FALSE),0)*Baseline!I74),0))</f>
        <v>0</v>
      </c>
      <c r="Q387" s="78">
        <f>(IF(Baseline!C74="Bestaande Situatie",_xlfn.IFNA(VLOOKUP(Referentie_Hernieuwbare_Energie_Totaal[[#This Row],[Product]]&amp;", "&amp;Referentie_Hernieuwbare_Energie_Totaal[[#Headers],[D2]],Database_Productkaarten[#All],48,FALSE),0)*Baseline!I74,0))</f>
        <v>0</v>
      </c>
      <c r="R387" s="57">
        <f>(IF(Baseline!C74="Bestaande Situatie",_xlfn.IFNA(VLOOKUP(Referentie_Hernieuwbare_Energie_Totaal[[#This Row],[Product]]&amp;", "&amp;Referentie_Hernieuwbare_Energie_Totaal[[#Headers],[D]],Database_Productkaarten[#All],48,FALSE),0)*Baseline!I74,0))</f>
        <v>0</v>
      </c>
      <c r="S387" s="56">
        <f>SUM(Referentie_Hernieuwbare_Energie_Totaal[[#This Row],[A1-A3]:[C4]])+Referentie_Hernieuwbare_Energie_Totaal[[#This Row],[D]]</f>
        <v>0</v>
      </c>
    </row>
    <row r="388" spans="2:19">
      <c r="B388" s="209">
        <f>Baseline!B75</f>
        <v>0</v>
      </c>
      <c r="C388" s="76">
        <f>Baseline!F75</f>
        <v>0</v>
      </c>
      <c r="D388" s="77">
        <f>(IF(Baseline!C75="Nieuwe Situatie",(_xlfn.IFNA(VLOOKUP(Referentie_Hernieuwbare_Energie_Totaal[[#This Row],[Product]]&amp;", "&amp;Referentie_Hernieuwbare_Energie_Totaal[[#Headers],[A1]],Database_Productkaarten[#All],48,FALSE),0)*Baseline!I75),0))</f>
        <v>0</v>
      </c>
      <c r="E388" s="77">
        <f>(IF(Baseline!C75="Nieuwe Situatie",(_xlfn.IFNA(VLOOKUP(Referentie_Hernieuwbare_Energie_Totaal[[#This Row],[Product]]&amp;", "&amp;Referentie_Hernieuwbare_Energie_Totaal[[#Headers],[A2]],Database_Productkaarten[#All],48,FALSE),0)*Baseline!I75),0))</f>
        <v>0</v>
      </c>
      <c r="F388" s="77">
        <f>(IF(Baseline!C75="Nieuwe Situatie",(_xlfn.IFNA(VLOOKUP(Referentie_Hernieuwbare_Energie_Totaal[[#This Row],[Product]]&amp;", "&amp;Referentie_Hernieuwbare_Energie_Totaal[[#Headers],[A3]],Database_Productkaarten[#All],48,FALSE),0)*Baseline!I75),0))</f>
        <v>0</v>
      </c>
      <c r="G388" s="77">
        <f>(IF(Baseline!C75="Nieuwe Situatie",(_xlfn.IFNA(VLOOKUP(Referentie_Hernieuwbare_Energie_Totaal[[#This Row],[Product]]&amp;", "&amp;Referentie_Hernieuwbare_Energie_Totaal[[#Headers],[A1-A3]],Database_Productkaarten[#All],48,FALSE),0)*Baseline!I75),0))</f>
        <v>0</v>
      </c>
      <c r="H388" s="77">
        <f>IF(Baseline!T75=0,(IF(Baseline!C75="Nieuwe Situatie",(_xlfn.IFNA(VLOOKUP(Referentie_Hernieuwbare_Energie_Totaal[[#This Row],[Product]]&amp;", "&amp;Referentie_CO2_Totaal[[#Headers],[A4]],Database_Productkaarten[#All],48,FALSE),0)*Baseline!I75),0)),IF(Baseline!C75="Nieuwe Situatie",_xlfn.IFNA(VLOOKUP(Baseline!T75,Database_Transport[#All],42,FALSE)*(Baseline!Q75*Baseline!S75),Baseline_Backlog!H178),0))</f>
        <v>0</v>
      </c>
      <c r="I388" s="77">
        <f>IF(Baseline!C75="Nieuwe situatie",IF(_xlfn.IFNA((VLOOKUP(Baseline!U75,Database_Asfalt_Aanlegset[#All],42,FALSE)*Baseline!I75),0)+_xlfn.IFNA(VLOOKUP(Baseline!V75,Database_Brandstoffen[#All],42,FALSE)*((Baseline!I75/Baseline!X75)*Baseline!W75),0)&gt;0,_xlfn.IFNA((VLOOKUP(Baseline!U75,Database_Asfalt_Aanlegset[#All],42,FALSE)*Baseline!I75),0)+_xlfn.IFNA(VLOOKUP(Baseline!V75,Database_Brandstoffen[#All],42,FALSE)*((Baseline!I75/Baseline!X75)*Baseline!W75),0),(_xlfn.IFNA(VLOOKUP(Referentie_Hernieuwbare_Energie_Totaal[[#This Row],[Product]]&amp;", "&amp;Referentie_MKI_Totaal[[#Headers],[A5]],Database_Productkaarten[#All],48,FALSE),0)*Baseline!I75)),0)</f>
        <v>0</v>
      </c>
      <c r="J388" s="77">
        <f>(IF(Baseline!C75="Nieuwe Situatie",(_xlfn.IFNA(VLOOKUP(Referentie_Hernieuwbare_Energie_Totaal[[#This Row],[Product]]&amp;", "&amp;Referentie_Hernieuwbare_Energie_Totaal[[#Headers],[B1]],Database_Productkaarten[#All],48,FALSE),0)*Baseline!I75),0))</f>
        <v>0</v>
      </c>
      <c r="K388" s="77">
        <f>(IF(Baseline!C75="Nieuwe Situatie",(SUM(Referentie_Hernieuwbare_Energie_Totaal[[#This Row],[A1]:[B1]],Referentie_Hernieuwbare_Energie_Totaal[[#This Row],[C1]:[D2]])*Baseline!R75),0))</f>
        <v>0</v>
      </c>
      <c r="L388" s="77">
        <f>IF(Baseline!C75="Bestaande situatie",IF(_xlfn.IFNA((VLOOKUP(Baseline!Y75,Database_Asfalt_Verwijderset[#All],42,FALSE)*Baseline!I75),0)+_xlfn.IFNA(VLOOKUP(Baseline!Z75,Database_Brandstoffen[#All],42,FALSE)*((Baseline!I75/Baseline!AB75)*Baseline!AA75),0)&gt;0,_xlfn.IFNA((VLOOKUP(Baseline!Y75,Database_Asfalt_Verwijderset[#All],42,FALSE)*Baseline!I75),0)+_xlfn.IFNA(VLOOKUP(Baseline!Z75,Database_Brandstoffen[#All],42,FALSE)*((Baseline!I75/Baseline!AB75)*Baseline!AA75),0),(_xlfn.IFNA(VLOOKUP(Referentie_Hernieuwbare_Energie_Totaal[[#This Row],[Product]]&amp;", "&amp;Referentie_MKI_Totaal[[#Headers],[C1]],Database_Productkaarten[#All],48,FALSE),0)*Baseline!I75)),0)</f>
        <v>0</v>
      </c>
      <c r="M388" s="77">
        <f>IF(Baseline!AD75=0,(IF(Baseline!C75="Bestaande Situatie",(_xlfn.IFNA(VLOOKUP(Referentie_Hernieuwbare_Energie_Totaal[[#This Row],[Product]]&amp;", "&amp;Referentie_MKI_Totaal[[#Headers],[C2]],Database_Productkaarten[#All],48,FALSE),0)*Baseline!I75),0)),(IF(Baseline!C75="Bestaande Situatie",_xlfn.IFNA(VLOOKUP(Baseline!AD75,Database_Transport[#All],42,FALSE)*(Baseline!Q75*Baseline!AC75),0))))</f>
        <v>0</v>
      </c>
      <c r="N388" s="77">
        <f>(IF(Baseline!C75="Bestaande Situatie",(_xlfn.IFNA(VLOOKUP(Referentie_Hernieuwbare_Energie_Totaal[[#This Row],[Product]]&amp;", "&amp;Referentie_Hernieuwbare_Energie_Totaal[[#Headers],[C3]],Database_Productkaarten[#All],48,FALSE),0)*Baseline!I75),0))</f>
        <v>0</v>
      </c>
      <c r="O388" s="77">
        <f>(IF(Baseline!C75="Bestaande Situatie",(_xlfn.IFNA(VLOOKUP(Referentie_Hernieuwbare_Energie_Totaal[[#This Row],[Product]]&amp;", "&amp;Referentie_Hernieuwbare_Energie_Totaal[[#Headers],[C4]],Database_Productkaarten[#All],48,FALSE),0)*Baseline!I75),0))</f>
        <v>0</v>
      </c>
      <c r="P388" s="77">
        <f>(IF(Baseline!C75="Bestaande Situatie",(_xlfn.IFNA(VLOOKUP(Referentie_Hernieuwbare_Energie_Totaal[[#This Row],[Product]]&amp;", "&amp;Referentie_Hernieuwbare_Energie_Totaal[[#Headers],[D1]],Database_Productkaarten[#All],48,FALSE),0)*Baseline!I75),0))</f>
        <v>0</v>
      </c>
      <c r="Q388" s="78">
        <f>(IF(Baseline!C75="Bestaande Situatie",_xlfn.IFNA(VLOOKUP(Referentie_Hernieuwbare_Energie_Totaal[[#This Row],[Product]]&amp;", "&amp;Referentie_Hernieuwbare_Energie_Totaal[[#Headers],[D2]],Database_Productkaarten[#All],48,FALSE),0)*Baseline!I75,0))</f>
        <v>0</v>
      </c>
      <c r="R388" s="57">
        <f>(IF(Baseline!C75="Bestaande Situatie",_xlfn.IFNA(VLOOKUP(Referentie_Hernieuwbare_Energie_Totaal[[#This Row],[Product]]&amp;", "&amp;Referentie_Hernieuwbare_Energie_Totaal[[#Headers],[D]],Database_Productkaarten[#All],48,FALSE),0)*Baseline!I75,0))</f>
        <v>0</v>
      </c>
      <c r="S388" s="56">
        <f>SUM(Referentie_Hernieuwbare_Energie_Totaal[[#This Row],[A1-A3]:[C4]])+Referentie_Hernieuwbare_Energie_Totaal[[#This Row],[D]]</f>
        <v>0</v>
      </c>
    </row>
    <row r="389" spans="2:19">
      <c r="B389" s="209">
        <f>Baseline!B76</f>
        <v>0</v>
      </c>
      <c r="C389" s="76">
        <f>Baseline!F76</f>
        <v>0</v>
      </c>
      <c r="D389" s="77">
        <f>(IF(Baseline!C76="Nieuwe Situatie",(_xlfn.IFNA(VLOOKUP(Referentie_Hernieuwbare_Energie_Totaal[[#This Row],[Product]]&amp;", "&amp;Referentie_Hernieuwbare_Energie_Totaal[[#Headers],[A1]],Database_Productkaarten[#All],48,FALSE),0)*Baseline!I76),0))</f>
        <v>0</v>
      </c>
      <c r="E389" s="77">
        <f>(IF(Baseline!C76="Nieuwe Situatie",(_xlfn.IFNA(VLOOKUP(Referentie_Hernieuwbare_Energie_Totaal[[#This Row],[Product]]&amp;", "&amp;Referentie_Hernieuwbare_Energie_Totaal[[#Headers],[A2]],Database_Productkaarten[#All],48,FALSE),0)*Baseline!I76),0))</f>
        <v>0</v>
      </c>
      <c r="F389" s="77">
        <f>(IF(Baseline!C76="Nieuwe Situatie",(_xlfn.IFNA(VLOOKUP(Referentie_Hernieuwbare_Energie_Totaal[[#This Row],[Product]]&amp;", "&amp;Referentie_Hernieuwbare_Energie_Totaal[[#Headers],[A3]],Database_Productkaarten[#All],48,FALSE),0)*Baseline!I76),0))</f>
        <v>0</v>
      </c>
      <c r="G389" s="77">
        <f>(IF(Baseline!C76="Nieuwe Situatie",(_xlfn.IFNA(VLOOKUP(Referentie_Hernieuwbare_Energie_Totaal[[#This Row],[Product]]&amp;", "&amp;Referentie_Hernieuwbare_Energie_Totaal[[#Headers],[A1-A3]],Database_Productkaarten[#All],48,FALSE),0)*Baseline!I76),0))</f>
        <v>0</v>
      </c>
      <c r="H389" s="77">
        <f>IF(Baseline!T76=0,(IF(Baseline!C76="Nieuwe Situatie",(_xlfn.IFNA(VLOOKUP(Referentie_Hernieuwbare_Energie_Totaal[[#This Row],[Product]]&amp;", "&amp;Referentie_CO2_Totaal[[#Headers],[A4]],Database_Productkaarten[#All],48,FALSE),0)*Baseline!I76),0)),IF(Baseline!C76="Nieuwe Situatie",_xlfn.IFNA(VLOOKUP(Baseline!T76,Database_Transport[#All],42,FALSE)*(Baseline!Q76*Baseline!S76),Baseline_Backlog!H179),0))</f>
        <v>0</v>
      </c>
      <c r="I389" s="77">
        <f>IF(Baseline!C76="Nieuwe situatie",IF(_xlfn.IFNA((VLOOKUP(Baseline!U76,Database_Asfalt_Aanlegset[#All],42,FALSE)*Baseline!I76),0)+_xlfn.IFNA(VLOOKUP(Baseline!V76,Database_Brandstoffen[#All],42,FALSE)*((Baseline!I76/Baseline!X76)*Baseline!W76),0)&gt;0,_xlfn.IFNA((VLOOKUP(Baseline!U76,Database_Asfalt_Aanlegset[#All],42,FALSE)*Baseline!I76),0)+_xlfn.IFNA(VLOOKUP(Baseline!V76,Database_Brandstoffen[#All],42,FALSE)*((Baseline!I76/Baseline!X76)*Baseline!W76),0),(_xlfn.IFNA(VLOOKUP(Referentie_Hernieuwbare_Energie_Totaal[[#This Row],[Product]]&amp;", "&amp;Referentie_MKI_Totaal[[#Headers],[A5]],Database_Productkaarten[#All],48,FALSE),0)*Baseline!I76)),0)</f>
        <v>0</v>
      </c>
      <c r="J389" s="77">
        <f>(IF(Baseline!C76="Nieuwe Situatie",(_xlfn.IFNA(VLOOKUP(Referentie_Hernieuwbare_Energie_Totaal[[#This Row],[Product]]&amp;", "&amp;Referentie_Hernieuwbare_Energie_Totaal[[#Headers],[B1]],Database_Productkaarten[#All],48,FALSE),0)*Baseline!I76),0))</f>
        <v>0</v>
      </c>
      <c r="K389" s="77">
        <f>(IF(Baseline!C76="Nieuwe Situatie",(SUM(Referentie_Hernieuwbare_Energie_Totaal[[#This Row],[A1]:[B1]],Referentie_Hernieuwbare_Energie_Totaal[[#This Row],[C1]:[D2]])*Baseline!R76),0))</f>
        <v>0</v>
      </c>
      <c r="L389" s="77">
        <f>IF(Baseline!C76="Bestaande situatie",IF(_xlfn.IFNA((VLOOKUP(Baseline!Y76,Database_Asfalt_Verwijderset[#All],42,FALSE)*Baseline!I76),0)+_xlfn.IFNA(VLOOKUP(Baseline!Z76,Database_Brandstoffen[#All],42,FALSE)*((Baseline!I76/Baseline!AB76)*Baseline!AA76),0)&gt;0,_xlfn.IFNA((VLOOKUP(Baseline!Y76,Database_Asfalt_Verwijderset[#All],42,FALSE)*Baseline!I76),0)+_xlfn.IFNA(VLOOKUP(Baseline!Z76,Database_Brandstoffen[#All],42,FALSE)*((Baseline!I76/Baseline!AB76)*Baseline!AA76),0),(_xlfn.IFNA(VLOOKUP(Referentie_Hernieuwbare_Energie_Totaal[[#This Row],[Product]]&amp;", "&amp;Referentie_MKI_Totaal[[#Headers],[C1]],Database_Productkaarten[#All],48,FALSE),0)*Baseline!I76)),0)</f>
        <v>0</v>
      </c>
      <c r="M389" s="77">
        <f>IF(Baseline!AD76=0,(IF(Baseline!C76="Bestaande Situatie",(_xlfn.IFNA(VLOOKUP(Referentie_Hernieuwbare_Energie_Totaal[[#This Row],[Product]]&amp;", "&amp;Referentie_MKI_Totaal[[#Headers],[C2]],Database_Productkaarten[#All],48,FALSE),0)*Baseline!I76),0)),(IF(Baseline!C76="Bestaande Situatie",_xlfn.IFNA(VLOOKUP(Baseline!AD76,Database_Transport[#All],42,FALSE)*(Baseline!Q76*Baseline!AC76),0))))</f>
        <v>0</v>
      </c>
      <c r="N389" s="77">
        <f>(IF(Baseline!C76="Bestaande Situatie",(_xlfn.IFNA(VLOOKUP(Referentie_Hernieuwbare_Energie_Totaal[[#This Row],[Product]]&amp;", "&amp;Referentie_Hernieuwbare_Energie_Totaal[[#Headers],[C3]],Database_Productkaarten[#All],48,FALSE),0)*Baseline!I76),0))</f>
        <v>0</v>
      </c>
      <c r="O389" s="77">
        <f>(IF(Baseline!C76="Bestaande Situatie",(_xlfn.IFNA(VLOOKUP(Referentie_Hernieuwbare_Energie_Totaal[[#This Row],[Product]]&amp;", "&amp;Referentie_Hernieuwbare_Energie_Totaal[[#Headers],[C4]],Database_Productkaarten[#All],48,FALSE),0)*Baseline!I76),0))</f>
        <v>0</v>
      </c>
      <c r="P389" s="77">
        <f>(IF(Baseline!C76="Bestaande Situatie",(_xlfn.IFNA(VLOOKUP(Referentie_Hernieuwbare_Energie_Totaal[[#This Row],[Product]]&amp;", "&amp;Referentie_Hernieuwbare_Energie_Totaal[[#Headers],[D1]],Database_Productkaarten[#All],48,FALSE),0)*Baseline!I76),0))</f>
        <v>0</v>
      </c>
      <c r="Q389" s="78">
        <f>(IF(Baseline!C76="Bestaande Situatie",_xlfn.IFNA(VLOOKUP(Referentie_Hernieuwbare_Energie_Totaal[[#This Row],[Product]]&amp;", "&amp;Referentie_Hernieuwbare_Energie_Totaal[[#Headers],[D2]],Database_Productkaarten[#All],48,FALSE),0)*Baseline!I76,0))</f>
        <v>0</v>
      </c>
      <c r="R389" s="57">
        <f>(IF(Baseline!C76="Bestaande Situatie",_xlfn.IFNA(VLOOKUP(Referentie_Hernieuwbare_Energie_Totaal[[#This Row],[Product]]&amp;", "&amp;Referentie_Hernieuwbare_Energie_Totaal[[#Headers],[D]],Database_Productkaarten[#All],48,FALSE),0)*Baseline!I76,0))</f>
        <v>0</v>
      </c>
      <c r="S389" s="56">
        <f>SUM(Referentie_Hernieuwbare_Energie_Totaal[[#This Row],[A1-A3]:[C4]])+Referentie_Hernieuwbare_Energie_Totaal[[#This Row],[D]]</f>
        <v>0</v>
      </c>
    </row>
    <row r="390" spans="2:19">
      <c r="B390" s="209">
        <f>Baseline!B77</f>
        <v>0</v>
      </c>
      <c r="C390" s="76">
        <f>Baseline!F77</f>
        <v>0</v>
      </c>
      <c r="D390" s="77">
        <f>(IF(Baseline!C77="Nieuwe Situatie",(_xlfn.IFNA(VLOOKUP(Referentie_Hernieuwbare_Energie_Totaal[[#This Row],[Product]]&amp;", "&amp;Referentie_Hernieuwbare_Energie_Totaal[[#Headers],[A1]],Database_Productkaarten[#All],48,FALSE),0)*Baseline!I77),0))</f>
        <v>0</v>
      </c>
      <c r="E390" s="77">
        <f>(IF(Baseline!C77="Nieuwe Situatie",(_xlfn.IFNA(VLOOKUP(Referentie_Hernieuwbare_Energie_Totaal[[#This Row],[Product]]&amp;", "&amp;Referentie_Hernieuwbare_Energie_Totaal[[#Headers],[A2]],Database_Productkaarten[#All],48,FALSE),0)*Baseline!I77),0))</f>
        <v>0</v>
      </c>
      <c r="F390" s="77">
        <f>(IF(Baseline!C77="Nieuwe Situatie",(_xlfn.IFNA(VLOOKUP(Referentie_Hernieuwbare_Energie_Totaal[[#This Row],[Product]]&amp;", "&amp;Referentie_Hernieuwbare_Energie_Totaal[[#Headers],[A3]],Database_Productkaarten[#All],48,FALSE),0)*Baseline!I77),0))</f>
        <v>0</v>
      </c>
      <c r="G390" s="77">
        <f>(IF(Baseline!C77="Nieuwe Situatie",(_xlfn.IFNA(VLOOKUP(Referentie_Hernieuwbare_Energie_Totaal[[#This Row],[Product]]&amp;", "&amp;Referentie_Hernieuwbare_Energie_Totaal[[#Headers],[A1-A3]],Database_Productkaarten[#All],48,FALSE),0)*Baseline!I77),0))</f>
        <v>0</v>
      </c>
      <c r="H390" s="77">
        <f>IF(Baseline!T77=0,(IF(Baseline!C77="Nieuwe Situatie",(_xlfn.IFNA(VLOOKUP(Referentie_Hernieuwbare_Energie_Totaal[[#This Row],[Product]]&amp;", "&amp;Referentie_CO2_Totaal[[#Headers],[A4]],Database_Productkaarten[#All],48,FALSE),0)*Baseline!I77),0)),IF(Baseline!C77="Nieuwe Situatie",_xlfn.IFNA(VLOOKUP(Baseline!T77,Database_Transport[#All],42,FALSE)*(Baseline!Q77*Baseline!S77),Baseline_Backlog!H180),0))</f>
        <v>0</v>
      </c>
      <c r="I390" s="77">
        <f>IF(Baseline!C77="Nieuwe situatie",IF(_xlfn.IFNA((VLOOKUP(Baseline!U77,Database_Asfalt_Aanlegset[#All],42,FALSE)*Baseline!I77),0)+_xlfn.IFNA(VLOOKUP(Baseline!V77,Database_Brandstoffen[#All],42,FALSE)*((Baseline!I77/Baseline!X77)*Baseline!W77),0)&gt;0,_xlfn.IFNA((VLOOKUP(Baseline!U77,Database_Asfalt_Aanlegset[#All],42,FALSE)*Baseline!I77),0)+_xlfn.IFNA(VLOOKUP(Baseline!V77,Database_Brandstoffen[#All],42,FALSE)*((Baseline!I77/Baseline!X77)*Baseline!W77),0),(_xlfn.IFNA(VLOOKUP(Referentie_Hernieuwbare_Energie_Totaal[[#This Row],[Product]]&amp;", "&amp;Referentie_MKI_Totaal[[#Headers],[A5]],Database_Productkaarten[#All],48,FALSE),0)*Baseline!I77)),0)</f>
        <v>0</v>
      </c>
      <c r="J390" s="77">
        <f>(IF(Baseline!C77="Nieuwe Situatie",(_xlfn.IFNA(VLOOKUP(Referentie_Hernieuwbare_Energie_Totaal[[#This Row],[Product]]&amp;", "&amp;Referentie_Hernieuwbare_Energie_Totaal[[#Headers],[B1]],Database_Productkaarten[#All],48,FALSE),0)*Baseline!I77),0))</f>
        <v>0</v>
      </c>
      <c r="K390" s="77">
        <f>(IF(Baseline!C77="Nieuwe Situatie",(SUM(Referentie_Hernieuwbare_Energie_Totaal[[#This Row],[A1]:[B1]],Referentie_Hernieuwbare_Energie_Totaal[[#This Row],[C1]:[D2]])*Baseline!R77),0))</f>
        <v>0</v>
      </c>
      <c r="L390" s="77">
        <f>IF(Baseline!C77="Bestaande situatie",IF(_xlfn.IFNA((VLOOKUP(Baseline!Y77,Database_Asfalt_Verwijderset[#All],42,FALSE)*Baseline!I77),0)+_xlfn.IFNA(VLOOKUP(Baseline!Z77,Database_Brandstoffen[#All],42,FALSE)*((Baseline!I77/Baseline!AB77)*Baseline!AA77),0)&gt;0,_xlfn.IFNA((VLOOKUP(Baseline!Y77,Database_Asfalt_Verwijderset[#All],42,FALSE)*Baseline!I77),0)+_xlfn.IFNA(VLOOKUP(Baseline!Z77,Database_Brandstoffen[#All],42,FALSE)*((Baseline!I77/Baseline!AB77)*Baseline!AA77),0),(_xlfn.IFNA(VLOOKUP(Referentie_Hernieuwbare_Energie_Totaal[[#This Row],[Product]]&amp;", "&amp;Referentie_MKI_Totaal[[#Headers],[C1]],Database_Productkaarten[#All],48,FALSE),0)*Baseline!I77)),0)</f>
        <v>0</v>
      </c>
      <c r="M390" s="77">
        <f>IF(Baseline!AD77=0,(IF(Baseline!C77="Bestaande Situatie",(_xlfn.IFNA(VLOOKUP(Referentie_Hernieuwbare_Energie_Totaal[[#This Row],[Product]]&amp;", "&amp;Referentie_MKI_Totaal[[#Headers],[C2]],Database_Productkaarten[#All],48,FALSE),0)*Baseline!I77),0)),(IF(Baseline!C77="Bestaande Situatie",_xlfn.IFNA(VLOOKUP(Baseline!AD77,Database_Transport[#All],42,FALSE)*(Baseline!Q77*Baseline!AC77),0))))</f>
        <v>0</v>
      </c>
      <c r="N390" s="77">
        <f>(IF(Baseline!C77="Bestaande Situatie",(_xlfn.IFNA(VLOOKUP(Referentie_Hernieuwbare_Energie_Totaal[[#This Row],[Product]]&amp;", "&amp;Referentie_Hernieuwbare_Energie_Totaal[[#Headers],[C3]],Database_Productkaarten[#All],48,FALSE),0)*Baseline!I77),0))</f>
        <v>0</v>
      </c>
      <c r="O390" s="77">
        <f>(IF(Baseline!C77="Bestaande Situatie",(_xlfn.IFNA(VLOOKUP(Referentie_Hernieuwbare_Energie_Totaal[[#This Row],[Product]]&amp;", "&amp;Referentie_Hernieuwbare_Energie_Totaal[[#Headers],[C4]],Database_Productkaarten[#All],48,FALSE),0)*Baseline!I77),0))</f>
        <v>0</v>
      </c>
      <c r="P390" s="77">
        <f>(IF(Baseline!C77="Bestaande Situatie",(_xlfn.IFNA(VLOOKUP(Referentie_Hernieuwbare_Energie_Totaal[[#This Row],[Product]]&amp;", "&amp;Referentie_Hernieuwbare_Energie_Totaal[[#Headers],[D1]],Database_Productkaarten[#All],48,FALSE),0)*Baseline!I77),0))</f>
        <v>0</v>
      </c>
      <c r="Q390" s="78">
        <f>(IF(Baseline!C77="Bestaande Situatie",_xlfn.IFNA(VLOOKUP(Referentie_Hernieuwbare_Energie_Totaal[[#This Row],[Product]]&amp;", "&amp;Referentie_Hernieuwbare_Energie_Totaal[[#Headers],[D2]],Database_Productkaarten[#All],48,FALSE),0)*Baseline!I77,0))</f>
        <v>0</v>
      </c>
      <c r="R390" s="57">
        <f>(IF(Baseline!C77="Bestaande Situatie",_xlfn.IFNA(VLOOKUP(Referentie_Hernieuwbare_Energie_Totaal[[#This Row],[Product]]&amp;", "&amp;Referentie_Hernieuwbare_Energie_Totaal[[#Headers],[D]],Database_Productkaarten[#All],48,FALSE),0)*Baseline!I77,0))</f>
        <v>0</v>
      </c>
      <c r="S390" s="56">
        <f>SUM(Referentie_Hernieuwbare_Energie_Totaal[[#This Row],[A1-A3]:[C4]])+Referentie_Hernieuwbare_Energie_Totaal[[#This Row],[D]]</f>
        <v>0</v>
      </c>
    </row>
    <row r="391" spans="2:19">
      <c r="B391" s="209">
        <f>Baseline!B78</f>
        <v>0</v>
      </c>
      <c r="C391" s="76">
        <f>Baseline!F78</f>
        <v>0</v>
      </c>
      <c r="D391" s="77">
        <f>(IF(Baseline!C78="Nieuwe Situatie",(_xlfn.IFNA(VLOOKUP(Referentie_Hernieuwbare_Energie_Totaal[[#This Row],[Product]]&amp;", "&amp;Referentie_Hernieuwbare_Energie_Totaal[[#Headers],[A1]],Database_Productkaarten[#All],48,FALSE),0)*Baseline!I78),0))</f>
        <v>0</v>
      </c>
      <c r="E391" s="77">
        <f>(IF(Baseline!C78="Nieuwe Situatie",(_xlfn.IFNA(VLOOKUP(Referentie_Hernieuwbare_Energie_Totaal[[#This Row],[Product]]&amp;", "&amp;Referentie_Hernieuwbare_Energie_Totaal[[#Headers],[A2]],Database_Productkaarten[#All],48,FALSE),0)*Baseline!I78),0))</f>
        <v>0</v>
      </c>
      <c r="F391" s="77">
        <f>(IF(Baseline!C78="Nieuwe Situatie",(_xlfn.IFNA(VLOOKUP(Referentie_Hernieuwbare_Energie_Totaal[[#This Row],[Product]]&amp;", "&amp;Referentie_Hernieuwbare_Energie_Totaal[[#Headers],[A3]],Database_Productkaarten[#All],48,FALSE),0)*Baseline!I78),0))</f>
        <v>0</v>
      </c>
      <c r="G391" s="77">
        <f>(IF(Baseline!C78="Nieuwe Situatie",(_xlfn.IFNA(VLOOKUP(Referentie_Hernieuwbare_Energie_Totaal[[#This Row],[Product]]&amp;", "&amp;Referentie_Hernieuwbare_Energie_Totaal[[#Headers],[A1-A3]],Database_Productkaarten[#All],48,FALSE),0)*Baseline!I78),0))</f>
        <v>0</v>
      </c>
      <c r="H391" s="77">
        <f>IF(Baseline!T78=0,(IF(Baseline!C78="Nieuwe Situatie",(_xlfn.IFNA(VLOOKUP(Referentie_Hernieuwbare_Energie_Totaal[[#This Row],[Product]]&amp;", "&amp;Referentie_CO2_Totaal[[#Headers],[A4]],Database_Productkaarten[#All],48,FALSE),0)*Baseline!I78),0)),IF(Baseline!C78="Nieuwe Situatie",_xlfn.IFNA(VLOOKUP(Baseline!T78,Database_Transport[#All],42,FALSE)*(Baseline!Q78*Baseline!S78),Baseline_Backlog!H181),0))</f>
        <v>0</v>
      </c>
      <c r="I391" s="77">
        <f>IF(Baseline!C78="Nieuwe situatie",IF(_xlfn.IFNA((VLOOKUP(Baseline!U78,Database_Asfalt_Aanlegset[#All],42,FALSE)*Baseline!I78),0)+_xlfn.IFNA(VLOOKUP(Baseline!V78,Database_Brandstoffen[#All],42,FALSE)*((Baseline!I78/Baseline!X78)*Baseline!W78),0)&gt;0,_xlfn.IFNA((VLOOKUP(Baseline!U78,Database_Asfalt_Aanlegset[#All],42,FALSE)*Baseline!I78),0)+_xlfn.IFNA(VLOOKUP(Baseline!V78,Database_Brandstoffen[#All],42,FALSE)*((Baseline!I78/Baseline!X78)*Baseline!W78),0),(_xlfn.IFNA(VLOOKUP(Referentie_Hernieuwbare_Energie_Totaal[[#This Row],[Product]]&amp;", "&amp;Referentie_MKI_Totaal[[#Headers],[A5]],Database_Productkaarten[#All],48,FALSE),0)*Baseline!I78)),0)</f>
        <v>0</v>
      </c>
      <c r="J391" s="77">
        <f>(IF(Baseline!C78="Nieuwe Situatie",(_xlfn.IFNA(VLOOKUP(Referentie_Hernieuwbare_Energie_Totaal[[#This Row],[Product]]&amp;", "&amp;Referentie_Hernieuwbare_Energie_Totaal[[#Headers],[B1]],Database_Productkaarten[#All],48,FALSE),0)*Baseline!I78),0))</f>
        <v>0</v>
      </c>
      <c r="K391" s="77">
        <f>(IF(Baseline!C78="Nieuwe Situatie",(SUM(Referentie_Hernieuwbare_Energie_Totaal[[#This Row],[A1]:[B1]],Referentie_Hernieuwbare_Energie_Totaal[[#This Row],[C1]:[D2]])*Baseline!R78),0))</f>
        <v>0</v>
      </c>
      <c r="L391" s="77">
        <f>IF(Baseline!C78="Bestaande situatie",IF(_xlfn.IFNA((VLOOKUP(Baseline!Y78,Database_Asfalt_Verwijderset[#All],42,FALSE)*Baseline!I78),0)+_xlfn.IFNA(VLOOKUP(Baseline!Z78,Database_Brandstoffen[#All],42,FALSE)*((Baseline!I78/Baseline!AB78)*Baseline!AA78),0)&gt;0,_xlfn.IFNA((VLOOKUP(Baseline!Y78,Database_Asfalt_Verwijderset[#All],42,FALSE)*Baseline!I78),0)+_xlfn.IFNA(VLOOKUP(Baseline!Z78,Database_Brandstoffen[#All],42,FALSE)*((Baseline!I78/Baseline!AB78)*Baseline!AA78),0),(_xlfn.IFNA(VLOOKUP(Referentie_Hernieuwbare_Energie_Totaal[[#This Row],[Product]]&amp;", "&amp;Referentie_MKI_Totaal[[#Headers],[C1]],Database_Productkaarten[#All],48,FALSE),0)*Baseline!I78)),0)</f>
        <v>0</v>
      </c>
      <c r="M391" s="77">
        <f>IF(Baseline!AD78=0,(IF(Baseline!C78="Bestaande Situatie",(_xlfn.IFNA(VLOOKUP(Referentie_Hernieuwbare_Energie_Totaal[[#This Row],[Product]]&amp;", "&amp;Referentie_MKI_Totaal[[#Headers],[C2]],Database_Productkaarten[#All],48,FALSE),0)*Baseline!I78),0)),(IF(Baseline!C78="Bestaande Situatie",_xlfn.IFNA(VLOOKUP(Baseline!AD78,Database_Transport[#All],42,FALSE)*(Baseline!Q78*Baseline!AC78),0))))</f>
        <v>0</v>
      </c>
      <c r="N391" s="77">
        <f>(IF(Baseline!C78="Bestaande Situatie",(_xlfn.IFNA(VLOOKUP(Referentie_Hernieuwbare_Energie_Totaal[[#This Row],[Product]]&amp;", "&amp;Referentie_Hernieuwbare_Energie_Totaal[[#Headers],[C3]],Database_Productkaarten[#All],48,FALSE),0)*Baseline!I78),0))</f>
        <v>0</v>
      </c>
      <c r="O391" s="77">
        <f>(IF(Baseline!C78="Bestaande Situatie",(_xlfn.IFNA(VLOOKUP(Referentie_Hernieuwbare_Energie_Totaal[[#This Row],[Product]]&amp;", "&amp;Referentie_Hernieuwbare_Energie_Totaal[[#Headers],[C4]],Database_Productkaarten[#All],48,FALSE),0)*Baseline!I78),0))</f>
        <v>0</v>
      </c>
      <c r="P391" s="77">
        <f>(IF(Baseline!C78="Bestaande Situatie",(_xlfn.IFNA(VLOOKUP(Referentie_Hernieuwbare_Energie_Totaal[[#This Row],[Product]]&amp;", "&amp;Referentie_Hernieuwbare_Energie_Totaal[[#Headers],[D1]],Database_Productkaarten[#All],48,FALSE),0)*Baseline!I78),0))</f>
        <v>0</v>
      </c>
      <c r="Q391" s="78">
        <f>(IF(Baseline!C78="Bestaande Situatie",_xlfn.IFNA(VLOOKUP(Referentie_Hernieuwbare_Energie_Totaal[[#This Row],[Product]]&amp;", "&amp;Referentie_Hernieuwbare_Energie_Totaal[[#Headers],[D2]],Database_Productkaarten[#All],48,FALSE),0)*Baseline!I78,0))</f>
        <v>0</v>
      </c>
      <c r="R391" s="57">
        <f>(IF(Baseline!C78="Bestaande Situatie",_xlfn.IFNA(VLOOKUP(Referentie_Hernieuwbare_Energie_Totaal[[#This Row],[Product]]&amp;", "&amp;Referentie_Hernieuwbare_Energie_Totaal[[#Headers],[D]],Database_Productkaarten[#All],48,FALSE),0)*Baseline!I78,0))</f>
        <v>0</v>
      </c>
      <c r="S391" s="56">
        <f>SUM(Referentie_Hernieuwbare_Energie_Totaal[[#This Row],[A1-A3]:[C4]])+Referentie_Hernieuwbare_Energie_Totaal[[#This Row],[D]]</f>
        <v>0</v>
      </c>
    </row>
    <row r="392" spans="2:19">
      <c r="B392" s="209">
        <f>Baseline!B79</f>
        <v>0</v>
      </c>
      <c r="C392" s="76">
        <f>Baseline!F79</f>
        <v>0</v>
      </c>
      <c r="D392" s="77">
        <f>(IF(Baseline!C79="Nieuwe Situatie",(_xlfn.IFNA(VLOOKUP(Referentie_Hernieuwbare_Energie_Totaal[[#This Row],[Product]]&amp;", "&amp;Referentie_Hernieuwbare_Energie_Totaal[[#Headers],[A1]],Database_Productkaarten[#All],48,FALSE),0)*Baseline!I79),0))</f>
        <v>0</v>
      </c>
      <c r="E392" s="77">
        <f>(IF(Baseline!C79="Nieuwe Situatie",(_xlfn.IFNA(VLOOKUP(Referentie_Hernieuwbare_Energie_Totaal[[#This Row],[Product]]&amp;", "&amp;Referentie_Hernieuwbare_Energie_Totaal[[#Headers],[A2]],Database_Productkaarten[#All],48,FALSE),0)*Baseline!I79),0))</f>
        <v>0</v>
      </c>
      <c r="F392" s="77">
        <f>(IF(Baseline!C79="Nieuwe Situatie",(_xlfn.IFNA(VLOOKUP(Referentie_Hernieuwbare_Energie_Totaal[[#This Row],[Product]]&amp;", "&amp;Referentie_Hernieuwbare_Energie_Totaal[[#Headers],[A3]],Database_Productkaarten[#All],48,FALSE),0)*Baseline!I79),0))</f>
        <v>0</v>
      </c>
      <c r="G392" s="77">
        <f>(IF(Baseline!C79="Nieuwe Situatie",(_xlfn.IFNA(VLOOKUP(Referentie_Hernieuwbare_Energie_Totaal[[#This Row],[Product]]&amp;", "&amp;Referentie_Hernieuwbare_Energie_Totaal[[#Headers],[A1-A3]],Database_Productkaarten[#All],48,FALSE),0)*Baseline!I79),0))</f>
        <v>0</v>
      </c>
      <c r="H392" s="77">
        <f>IF(Baseline!T79=0,(IF(Baseline!C79="Nieuwe Situatie",(_xlfn.IFNA(VLOOKUP(Referentie_Hernieuwbare_Energie_Totaal[[#This Row],[Product]]&amp;", "&amp;Referentie_CO2_Totaal[[#Headers],[A4]],Database_Productkaarten[#All],48,FALSE),0)*Baseline!I79),0)),IF(Baseline!C79="Nieuwe Situatie",_xlfn.IFNA(VLOOKUP(Baseline!T79,Database_Transport[#All],42,FALSE)*(Baseline!Q79*Baseline!S79),Baseline_Backlog!H182),0))</f>
        <v>0</v>
      </c>
      <c r="I392" s="77">
        <f>IF(Baseline!C79="Nieuwe situatie",IF(_xlfn.IFNA((VLOOKUP(Baseline!U79,Database_Asfalt_Aanlegset[#All],42,FALSE)*Baseline!I79),0)+_xlfn.IFNA(VLOOKUP(Baseline!V79,Database_Brandstoffen[#All],42,FALSE)*((Baseline!I79/Baseline!X79)*Baseline!W79),0)&gt;0,_xlfn.IFNA((VLOOKUP(Baseline!U79,Database_Asfalt_Aanlegset[#All],42,FALSE)*Baseline!I79),0)+_xlfn.IFNA(VLOOKUP(Baseline!V79,Database_Brandstoffen[#All],42,FALSE)*((Baseline!I79/Baseline!X79)*Baseline!W79),0),(_xlfn.IFNA(VLOOKUP(Referentie_Hernieuwbare_Energie_Totaal[[#This Row],[Product]]&amp;", "&amp;Referentie_MKI_Totaal[[#Headers],[A5]],Database_Productkaarten[#All],48,FALSE),0)*Baseline!I79)),0)</f>
        <v>0</v>
      </c>
      <c r="J392" s="77">
        <f>(IF(Baseline!C79="Nieuwe Situatie",(_xlfn.IFNA(VLOOKUP(Referentie_Hernieuwbare_Energie_Totaal[[#This Row],[Product]]&amp;", "&amp;Referentie_Hernieuwbare_Energie_Totaal[[#Headers],[B1]],Database_Productkaarten[#All],48,FALSE),0)*Baseline!I79),0))</f>
        <v>0</v>
      </c>
      <c r="K392" s="77">
        <f>(IF(Baseline!C79="Nieuwe Situatie",(SUM(Referentie_Hernieuwbare_Energie_Totaal[[#This Row],[A1]:[B1]],Referentie_Hernieuwbare_Energie_Totaal[[#This Row],[C1]:[D2]])*Baseline!R79),0))</f>
        <v>0</v>
      </c>
      <c r="L392" s="77">
        <f>IF(Baseline!C79="Bestaande situatie",IF(_xlfn.IFNA((VLOOKUP(Baseline!Y79,Database_Asfalt_Verwijderset[#All],42,FALSE)*Baseline!I79),0)+_xlfn.IFNA(VLOOKUP(Baseline!Z79,Database_Brandstoffen[#All],42,FALSE)*((Baseline!I79/Baseline!AB79)*Baseline!AA79),0)&gt;0,_xlfn.IFNA((VLOOKUP(Baseline!Y79,Database_Asfalt_Verwijderset[#All],42,FALSE)*Baseline!I79),0)+_xlfn.IFNA(VLOOKUP(Baseline!Z79,Database_Brandstoffen[#All],42,FALSE)*((Baseline!I79/Baseline!AB79)*Baseline!AA79),0),(_xlfn.IFNA(VLOOKUP(Referentie_Hernieuwbare_Energie_Totaal[[#This Row],[Product]]&amp;", "&amp;Referentie_MKI_Totaal[[#Headers],[C1]],Database_Productkaarten[#All],48,FALSE),0)*Baseline!I79)),0)</f>
        <v>0</v>
      </c>
      <c r="M392" s="77">
        <f>IF(Baseline!AD79=0,(IF(Baseline!C79="Bestaande Situatie",(_xlfn.IFNA(VLOOKUP(Referentie_Hernieuwbare_Energie_Totaal[[#This Row],[Product]]&amp;", "&amp;Referentie_MKI_Totaal[[#Headers],[C2]],Database_Productkaarten[#All],48,FALSE),0)*Baseline!I79),0)),(IF(Baseline!C79="Bestaande Situatie",_xlfn.IFNA(VLOOKUP(Baseline!AD79,Database_Transport[#All],42,FALSE)*(Baseline!Q79*Baseline!AC79),0))))</f>
        <v>0</v>
      </c>
      <c r="N392" s="77">
        <f>(IF(Baseline!C79="Bestaande Situatie",(_xlfn.IFNA(VLOOKUP(Referentie_Hernieuwbare_Energie_Totaal[[#This Row],[Product]]&amp;", "&amp;Referentie_Hernieuwbare_Energie_Totaal[[#Headers],[C3]],Database_Productkaarten[#All],48,FALSE),0)*Baseline!I79),0))</f>
        <v>0</v>
      </c>
      <c r="O392" s="77">
        <f>(IF(Baseline!C79="Bestaande Situatie",(_xlfn.IFNA(VLOOKUP(Referentie_Hernieuwbare_Energie_Totaal[[#This Row],[Product]]&amp;", "&amp;Referentie_Hernieuwbare_Energie_Totaal[[#Headers],[C4]],Database_Productkaarten[#All],48,FALSE),0)*Baseline!I79),0))</f>
        <v>0</v>
      </c>
      <c r="P392" s="77">
        <f>(IF(Baseline!C79="Bestaande Situatie",(_xlfn.IFNA(VLOOKUP(Referentie_Hernieuwbare_Energie_Totaal[[#This Row],[Product]]&amp;", "&amp;Referentie_Hernieuwbare_Energie_Totaal[[#Headers],[D1]],Database_Productkaarten[#All],48,FALSE),0)*Baseline!I79),0))</f>
        <v>0</v>
      </c>
      <c r="Q392" s="78">
        <f>(IF(Baseline!C79="Bestaande Situatie",_xlfn.IFNA(VLOOKUP(Referentie_Hernieuwbare_Energie_Totaal[[#This Row],[Product]]&amp;", "&amp;Referentie_Hernieuwbare_Energie_Totaal[[#Headers],[D2]],Database_Productkaarten[#All],48,FALSE),0)*Baseline!I79,0))</f>
        <v>0</v>
      </c>
      <c r="R392" s="57">
        <f>(IF(Baseline!C79="Bestaande Situatie",_xlfn.IFNA(VLOOKUP(Referentie_Hernieuwbare_Energie_Totaal[[#This Row],[Product]]&amp;", "&amp;Referentie_Hernieuwbare_Energie_Totaal[[#Headers],[D]],Database_Productkaarten[#All],48,FALSE),0)*Baseline!I79,0))</f>
        <v>0</v>
      </c>
      <c r="S392" s="56">
        <f>SUM(Referentie_Hernieuwbare_Energie_Totaal[[#This Row],[A1-A3]:[C4]])+Referentie_Hernieuwbare_Energie_Totaal[[#This Row],[D]]</f>
        <v>0</v>
      </c>
    </row>
    <row r="393" spans="2:19">
      <c r="B393" s="209">
        <f>Baseline!B80</f>
        <v>0</v>
      </c>
      <c r="C393" s="76">
        <f>Baseline!F80</f>
        <v>0</v>
      </c>
      <c r="D393" s="77">
        <f>(IF(Baseline!C80="Nieuwe Situatie",(_xlfn.IFNA(VLOOKUP(Referentie_Hernieuwbare_Energie_Totaal[[#This Row],[Product]]&amp;", "&amp;Referentie_Hernieuwbare_Energie_Totaal[[#Headers],[A1]],Database_Productkaarten[#All],48,FALSE),0)*Baseline!I80),0))</f>
        <v>0</v>
      </c>
      <c r="E393" s="77">
        <f>(IF(Baseline!C80="Nieuwe Situatie",(_xlfn.IFNA(VLOOKUP(Referentie_Hernieuwbare_Energie_Totaal[[#This Row],[Product]]&amp;", "&amp;Referentie_Hernieuwbare_Energie_Totaal[[#Headers],[A2]],Database_Productkaarten[#All],48,FALSE),0)*Baseline!I80),0))</f>
        <v>0</v>
      </c>
      <c r="F393" s="77">
        <f>(IF(Baseline!C80="Nieuwe Situatie",(_xlfn.IFNA(VLOOKUP(Referentie_Hernieuwbare_Energie_Totaal[[#This Row],[Product]]&amp;", "&amp;Referentie_Hernieuwbare_Energie_Totaal[[#Headers],[A3]],Database_Productkaarten[#All],48,FALSE),0)*Baseline!I80),0))</f>
        <v>0</v>
      </c>
      <c r="G393" s="77">
        <f>(IF(Baseline!C80="Nieuwe Situatie",(_xlfn.IFNA(VLOOKUP(Referentie_Hernieuwbare_Energie_Totaal[[#This Row],[Product]]&amp;", "&amp;Referentie_Hernieuwbare_Energie_Totaal[[#Headers],[A1-A3]],Database_Productkaarten[#All],48,FALSE),0)*Baseline!I80),0))</f>
        <v>0</v>
      </c>
      <c r="H393" s="77">
        <f>IF(Baseline!T80=0,(IF(Baseline!C80="Nieuwe Situatie",(_xlfn.IFNA(VLOOKUP(Referentie_Hernieuwbare_Energie_Totaal[[#This Row],[Product]]&amp;", "&amp;Referentie_CO2_Totaal[[#Headers],[A4]],Database_Productkaarten[#All],48,FALSE),0)*Baseline!I80),0)),IF(Baseline!C80="Nieuwe Situatie",_xlfn.IFNA(VLOOKUP(Baseline!T80,Database_Transport[#All],42,FALSE)*(Baseline!Q80*Baseline!S80),Baseline_Backlog!H183),0))</f>
        <v>0</v>
      </c>
      <c r="I393" s="77">
        <f>IF(Baseline!C80="Nieuwe situatie",IF(_xlfn.IFNA((VLOOKUP(Baseline!U80,Database_Asfalt_Aanlegset[#All],42,FALSE)*Baseline!I80),0)+_xlfn.IFNA(VLOOKUP(Baseline!V80,Database_Brandstoffen[#All],42,FALSE)*((Baseline!I80/Baseline!X80)*Baseline!W80),0)&gt;0,_xlfn.IFNA((VLOOKUP(Baseline!U80,Database_Asfalt_Aanlegset[#All],42,FALSE)*Baseline!I80),0)+_xlfn.IFNA(VLOOKUP(Baseline!V80,Database_Brandstoffen[#All],42,FALSE)*((Baseline!I80/Baseline!X80)*Baseline!W80),0),(_xlfn.IFNA(VLOOKUP(Referentie_Hernieuwbare_Energie_Totaal[[#This Row],[Product]]&amp;", "&amp;Referentie_MKI_Totaal[[#Headers],[A5]],Database_Productkaarten[#All],48,FALSE),0)*Baseline!I80)),0)</f>
        <v>0</v>
      </c>
      <c r="J393" s="77">
        <f>(IF(Baseline!C80="Nieuwe Situatie",(_xlfn.IFNA(VLOOKUP(Referentie_Hernieuwbare_Energie_Totaal[[#This Row],[Product]]&amp;", "&amp;Referentie_Hernieuwbare_Energie_Totaal[[#Headers],[B1]],Database_Productkaarten[#All],48,FALSE),0)*Baseline!I80),0))</f>
        <v>0</v>
      </c>
      <c r="K393" s="77">
        <f>(IF(Baseline!C80="Nieuwe Situatie",(SUM(Referentie_Hernieuwbare_Energie_Totaal[[#This Row],[A1]:[B1]],Referentie_Hernieuwbare_Energie_Totaal[[#This Row],[C1]:[D2]])*Baseline!R80),0))</f>
        <v>0</v>
      </c>
      <c r="L393" s="77">
        <f>IF(Baseline!C80="Bestaande situatie",IF(_xlfn.IFNA((VLOOKUP(Baseline!Y80,Database_Asfalt_Verwijderset[#All],42,FALSE)*Baseline!I80),0)+_xlfn.IFNA(VLOOKUP(Baseline!Z80,Database_Brandstoffen[#All],42,FALSE)*((Baseline!I80/Baseline!AB80)*Baseline!AA80),0)&gt;0,_xlfn.IFNA((VLOOKUP(Baseline!Y80,Database_Asfalt_Verwijderset[#All],42,FALSE)*Baseline!I80),0)+_xlfn.IFNA(VLOOKUP(Baseline!Z80,Database_Brandstoffen[#All],42,FALSE)*((Baseline!I80/Baseline!AB80)*Baseline!AA80),0),(_xlfn.IFNA(VLOOKUP(Referentie_Hernieuwbare_Energie_Totaal[[#This Row],[Product]]&amp;", "&amp;Referentie_MKI_Totaal[[#Headers],[C1]],Database_Productkaarten[#All],48,FALSE),0)*Baseline!I80)),0)</f>
        <v>0</v>
      </c>
      <c r="M393" s="77">
        <f>IF(Baseline!AD80=0,(IF(Baseline!C80="Bestaande Situatie",(_xlfn.IFNA(VLOOKUP(Referentie_Hernieuwbare_Energie_Totaal[[#This Row],[Product]]&amp;", "&amp;Referentie_MKI_Totaal[[#Headers],[C2]],Database_Productkaarten[#All],48,FALSE),0)*Baseline!I80),0)),(IF(Baseline!C80="Bestaande Situatie",_xlfn.IFNA(VLOOKUP(Baseline!AD80,Database_Transport[#All],42,FALSE)*(Baseline!Q80*Baseline!AC80),0))))</f>
        <v>0</v>
      </c>
      <c r="N393" s="77">
        <f>(IF(Baseline!C80="Bestaande Situatie",(_xlfn.IFNA(VLOOKUP(Referentie_Hernieuwbare_Energie_Totaal[[#This Row],[Product]]&amp;", "&amp;Referentie_Hernieuwbare_Energie_Totaal[[#Headers],[C3]],Database_Productkaarten[#All],48,FALSE),0)*Baseline!I80),0))</f>
        <v>0</v>
      </c>
      <c r="O393" s="77">
        <f>(IF(Baseline!C80="Bestaande Situatie",(_xlfn.IFNA(VLOOKUP(Referentie_Hernieuwbare_Energie_Totaal[[#This Row],[Product]]&amp;", "&amp;Referentie_Hernieuwbare_Energie_Totaal[[#Headers],[C4]],Database_Productkaarten[#All],48,FALSE),0)*Baseline!I80),0))</f>
        <v>0</v>
      </c>
      <c r="P393" s="77">
        <f>(IF(Baseline!C80="Bestaande Situatie",(_xlfn.IFNA(VLOOKUP(Referentie_Hernieuwbare_Energie_Totaal[[#This Row],[Product]]&amp;", "&amp;Referentie_Hernieuwbare_Energie_Totaal[[#Headers],[D1]],Database_Productkaarten[#All],48,FALSE),0)*Baseline!I80),0))</f>
        <v>0</v>
      </c>
      <c r="Q393" s="78">
        <f>(IF(Baseline!C80="Bestaande Situatie",_xlfn.IFNA(VLOOKUP(Referentie_Hernieuwbare_Energie_Totaal[[#This Row],[Product]]&amp;", "&amp;Referentie_Hernieuwbare_Energie_Totaal[[#Headers],[D2]],Database_Productkaarten[#All],48,FALSE),0)*Baseline!I80,0))</f>
        <v>0</v>
      </c>
      <c r="R393" s="57">
        <f>(IF(Baseline!C80="Bestaande Situatie",_xlfn.IFNA(VLOOKUP(Referentie_Hernieuwbare_Energie_Totaal[[#This Row],[Product]]&amp;", "&amp;Referentie_Hernieuwbare_Energie_Totaal[[#Headers],[D]],Database_Productkaarten[#All],48,FALSE),0)*Baseline!I80,0))</f>
        <v>0</v>
      </c>
      <c r="S393" s="56">
        <f>SUM(Referentie_Hernieuwbare_Energie_Totaal[[#This Row],[A1-A3]:[C4]])+Referentie_Hernieuwbare_Energie_Totaal[[#This Row],[D]]</f>
        <v>0</v>
      </c>
    </row>
    <row r="394" spans="2:19">
      <c r="B394" s="209">
        <f>Baseline!B81</f>
        <v>0</v>
      </c>
      <c r="C394" s="76">
        <f>Baseline!F81</f>
        <v>0</v>
      </c>
      <c r="D394" s="77">
        <f>(IF(Baseline!C81="Nieuwe Situatie",(_xlfn.IFNA(VLOOKUP(Referentie_Hernieuwbare_Energie_Totaal[[#This Row],[Product]]&amp;", "&amp;Referentie_Hernieuwbare_Energie_Totaal[[#Headers],[A1]],Database_Productkaarten[#All],48,FALSE),0)*Baseline!I81),0))</f>
        <v>0</v>
      </c>
      <c r="E394" s="77">
        <f>(IF(Baseline!C81="Nieuwe Situatie",(_xlfn.IFNA(VLOOKUP(Referentie_Hernieuwbare_Energie_Totaal[[#This Row],[Product]]&amp;", "&amp;Referentie_Hernieuwbare_Energie_Totaal[[#Headers],[A2]],Database_Productkaarten[#All],48,FALSE),0)*Baseline!I81),0))</f>
        <v>0</v>
      </c>
      <c r="F394" s="77">
        <f>(IF(Baseline!C81="Nieuwe Situatie",(_xlfn.IFNA(VLOOKUP(Referentie_Hernieuwbare_Energie_Totaal[[#This Row],[Product]]&amp;", "&amp;Referentie_Hernieuwbare_Energie_Totaal[[#Headers],[A3]],Database_Productkaarten[#All],48,FALSE),0)*Baseline!I81),0))</f>
        <v>0</v>
      </c>
      <c r="G394" s="77">
        <f>(IF(Baseline!C81="Nieuwe Situatie",(_xlfn.IFNA(VLOOKUP(Referentie_Hernieuwbare_Energie_Totaal[[#This Row],[Product]]&amp;", "&amp;Referentie_Hernieuwbare_Energie_Totaal[[#Headers],[A1-A3]],Database_Productkaarten[#All],48,FALSE),0)*Baseline!I81),0))</f>
        <v>0</v>
      </c>
      <c r="H394" s="77">
        <f>IF(Baseline!T81=0,(IF(Baseline!C81="Nieuwe Situatie",(_xlfn.IFNA(VLOOKUP(Referentie_Hernieuwbare_Energie_Totaal[[#This Row],[Product]]&amp;", "&amp;Referentie_CO2_Totaal[[#Headers],[A4]],Database_Productkaarten[#All],48,FALSE),0)*Baseline!I81),0)),IF(Baseline!C81="Nieuwe Situatie",_xlfn.IFNA(VLOOKUP(Baseline!T81,Database_Transport[#All],42,FALSE)*(Baseline!Q81*Baseline!S81),Baseline_Backlog!H184),0))</f>
        <v>0</v>
      </c>
      <c r="I394" s="77">
        <f>IF(Baseline!C81="Nieuwe situatie",IF(_xlfn.IFNA((VLOOKUP(Baseline!U81,Database_Asfalt_Aanlegset[#All],42,FALSE)*Baseline!I81),0)+_xlfn.IFNA(VLOOKUP(Baseline!V81,Database_Brandstoffen[#All],42,FALSE)*((Baseline!I81/Baseline!X81)*Baseline!W81),0)&gt;0,_xlfn.IFNA((VLOOKUP(Baseline!U81,Database_Asfalt_Aanlegset[#All],42,FALSE)*Baseline!I81),0)+_xlfn.IFNA(VLOOKUP(Baseline!V81,Database_Brandstoffen[#All],42,FALSE)*((Baseline!I81/Baseline!X81)*Baseline!W81),0),(_xlfn.IFNA(VLOOKUP(Referentie_Hernieuwbare_Energie_Totaal[[#This Row],[Product]]&amp;", "&amp;Referentie_MKI_Totaal[[#Headers],[A5]],Database_Productkaarten[#All],48,FALSE),0)*Baseline!I81)),0)</f>
        <v>0</v>
      </c>
      <c r="J394" s="77">
        <f>(IF(Baseline!C81="Nieuwe Situatie",(_xlfn.IFNA(VLOOKUP(Referentie_Hernieuwbare_Energie_Totaal[[#This Row],[Product]]&amp;", "&amp;Referentie_Hernieuwbare_Energie_Totaal[[#Headers],[B1]],Database_Productkaarten[#All],48,FALSE),0)*Baseline!I81),0))</f>
        <v>0</v>
      </c>
      <c r="K394" s="77">
        <f>(IF(Baseline!C81="Nieuwe Situatie",(SUM(Referentie_Hernieuwbare_Energie_Totaal[[#This Row],[A1]:[B1]],Referentie_Hernieuwbare_Energie_Totaal[[#This Row],[C1]:[D2]])*Baseline!R81),0))</f>
        <v>0</v>
      </c>
      <c r="L394" s="77">
        <f>IF(Baseline!C81="Bestaande situatie",IF(_xlfn.IFNA((VLOOKUP(Baseline!Y81,Database_Asfalt_Verwijderset[#All],42,FALSE)*Baseline!I81),0)+_xlfn.IFNA(VLOOKUP(Baseline!Z81,Database_Brandstoffen[#All],42,FALSE)*((Baseline!I81/Baseline!AB81)*Baseline!AA81),0)&gt;0,_xlfn.IFNA((VLOOKUP(Baseline!Y81,Database_Asfalt_Verwijderset[#All],42,FALSE)*Baseline!I81),0)+_xlfn.IFNA(VLOOKUP(Baseline!Z81,Database_Brandstoffen[#All],42,FALSE)*((Baseline!I81/Baseline!AB81)*Baseline!AA81),0),(_xlfn.IFNA(VLOOKUP(Referentie_Hernieuwbare_Energie_Totaal[[#This Row],[Product]]&amp;", "&amp;Referentie_MKI_Totaal[[#Headers],[C1]],Database_Productkaarten[#All],48,FALSE),0)*Baseline!I81)),0)</f>
        <v>0</v>
      </c>
      <c r="M394" s="77">
        <f>IF(Baseline!AD81=0,(IF(Baseline!C81="Bestaande Situatie",(_xlfn.IFNA(VLOOKUP(Referentie_Hernieuwbare_Energie_Totaal[[#This Row],[Product]]&amp;", "&amp;Referentie_MKI_Totaal[[#Headers],[C2]],Database_Productkaarten[#All],48,FALSE),0)*Baseline!I81),0)),(IF(Baseline!C81="Bestaande Situatie",_xlfn.IFNA(VLOOKUP(Baseline!AD81,Database_Transport[#All],42,FALSE)*(Baseline!Q81*Baseline!AC81),0))))</f>
        <v>0</v>
      </c>
      <c r="N394" s="77">
        <f>(IF(Baseline!C81="Bestaande Situatie",(_xlfn.IFNA(VLOOKUP(Referentie_Hernieuwbare_Energie_Totaal[[#This Row],[Product]]&amp;", "&amp;Referentie_Hernieuwbare_Energie_Totaal[[#Headers],[C3]],Database_Productkaarten[#All],48,FALSE),0)*Baseline!I81),0))</f>
        <v>0</v>
      </c>
      <c r="O394" s="77">
        <f>(IF(Baseline!C81="Bestaande Situatie",(_xlfn.IFNA(VLOOKUP(Referentie_Hernieuwbare_Energie_Totaal[[#This Row],[Product]]&amp;", "&amp;Referentie_Hernieuwbare_Energie_Totaal[[#Headers],[C4]],Database_Productkaarten[#All],48,FALSE),0)*Baseline!I81),0))</f>
        <v>0</v>
      </c>
      <c r="P394" s="77">
        <f>(IF(Baseline!C81="Bestaande Situatie",(_xlfn.IFNA(VLOOKUP(Referentie_Hernieuwbare_Energie_Totaal[[#This Row],[Product]]&amp;", "&amp;Referentie_Hernieuwbare_Energie_Totaal[[#Headers],[D1]],Database_Productkaarten[#All],48,FALSE),0)*Baseline!I81),0))</f>
        <v>0</v>
      </c>
      <c r="Q394" s="78">
        <f>(IF(Baseline!C81="Bestaande Situatie",_xlfn.IFNA(VLOOKUP(Referentie_Hernieuwbare_Energie_Totaal[[#This Row],[Product]]&amp;", "&amp;Referentie_Hernieuwbare_Energie_Totaal[[#Headers],[D2]],Database_Productkaarten[#All],48,FALSE),0)*Baseline!I81,0))</f>
        <v>0</v>
      </c>
      <c r="R394" s="57">
        <f>(IF(Baseline!C81="Bestaande Situatie",_xlfn.IFNA(VLOOKUP(Referentie_Hernieuwbare_Energie_Totaal[[#This Row],[Product]]&amp;", "&amp;Referentie_Hernieuwbare_Energie_Totaal[[#Headers],[D]],Database_Productkaarten[#All],48,FALSE),0)*Baseline!I81,0))</f>
        <v>0</v>
      </c>
      <c r="S394" s="56">
        <f>SUM(Referentie_Hernieuwbare_Energie_Totaal[[#This Row],[A1-A3]:[C4]])+Referentie_Hernieuwbare_Energie_Totaal[[#This Row],[D]]</f>
        <v>0</v>
      </c>
    </row>
    <row r="395" spans="2:19">
      <c r="B395" s="209">
        <f>Baseline!B82</f>
        <v>0</v>
      </c>
      <c r="C395" s="76">
        <f>Baseline!F82</f>
        <v>0</v>
      </c>
      <c r="D395" s="77">
        <f>(IF(Baseline!C82="Nieuwe Situatie",(_xlfn.IFNA(VLOOKUP(Referentie_Hernieuwbare_Energie_Totaal[[#This Row],[Product]]&amp;", "&amp;Referentie_Hernieuwbare_Energie_Totaal[[#Headers],[A1]],Database_Productkaarten[#All],48,FALSE),0)*Baseline!I82),0))</f>
        <v>0</v>
      </c>
      <c r="E395" s="77">
        <f>(IF(Baseline!C82="Nieuwe Situatie",(_xlfn.IFNA(VLOOKUP(Referentie_Hernieuwbare_Energie_Totaal[[#This Row],[Product]]&amp;", "&amp;Referentie_Hernieuwbare_Energie_Totaal[[#Headers],[A2]],Database_Productkaarten[#All],48,FALSE),0)*Baseline!I82),0))</f>
        <v>0</v>
      </c>
      <c r="F395" s="77">
        <f>(IF(Baseline!C82="Nieuwe Situatie",(_xlfn.IFNA(VLOOKUP(Referentie_Hernieuwbare_Energie_Totaal[[#This Row],[Product]]&amp;", "&amp;Referentie_Hernieuwbare_Energie_Totaal[[#Headers],[A3]],Database_Productkaarten[#All],48,FALSE),0)*Baseline!I82),0))</f>
        <v>0</v>
      </c>
      <c r="G395" s="77">
        <f>(IF(Baseline!C82="Nieuwe Situatie",(_xlfn.IFNA(VLOOKUP(Referentie_Hernieuwbare_Energie_Totaal[[#This Row],[Product]]&amp;", "&amp;Referentie_Hernieuwbare_Energie_Totaal[[#Headers],[A1-A3]],Database_Productkaarten[#All],48,FALSE),0)*Baseline!I82),0))</f>
        <v>0</v>
      </c>
      <c r="H395" s="77">
        <f>IF(Baseline!T82=0,(IF(Baseline!C82="Nieuwe Situatie",(_xlfn.IFNA(VLOOKUP(Referentie_Hernieuwbare_Energie_Totaal[[#This Row],[Product]]&amp;", "&amp;Referentie_CO2_Totaal[[#Headers],[A4]],Database_Productkaarten[#All],48,FALSE),0)*Baseline!I82),0)),IF(Baseline!C82="Nieuwe Situatie",_xlfn.IFNA(VLOOKUP(Baseline!T82,Database_Transport[#All],42,FALSE)*(Baseline!Q82*Baseline!S82),Baseline_Backlog!H185),0))</f>
        <v>0</v>
      </c>
      <c r="I395" s="77">
        <f>IF(Baseline!C82="Nieuwe situatie",IF(_xlfn.IFNA((VLOOKUP(Baseline!U82,Database_Asfalt_Aanlegset[#All],42,FALSE)*Baseline!I82),0)+_xlfn.IFNA(VLOOKUP(Baseline!V82,Database_Brandstoffen[#All],42,FALSE)*((Baseline!I82/Baseline!X82)*Baseline!W82),0)&gt;0,_xlfn.IFNA((VLOOKUP(Baseline!U82,Database_Asfalt_Aanlegset[#All],42,FALSE)*Baseline!I82),0)+_xlfn.IFNA(VLOOKUP(Baseline!V82,Database_Brandstoffen[#All],42,FALSE)*((Baseline!I82/Baseline!X82)*Baseline!W82),0),(_xlfn.IFNA(VLOOKUP(Referentie_Hernieuwbare_Energie_Totaal[[#This Row],[Product]]&amp;", "&amp;Referentie_MKI_Totaal[[#Headers],[A5]],Database_Productkaarten[#All],48,FALSE),0)*Baseline!I82)),0)</f>
        <v>0</v>
      </c>
      <c r="J395" s="77">
        <f>(IF(Baseline!C82="Nieuwe Situatie",(_xlfn.IFNA(VLOOKUP(Referentie_Hernieuwbare_Energie_Totaal[[#This Row],[Product]]&amp;", "&amp;Referentie_Hernieuwbare_Energie_Totaal[[#Headers],[B1]],Database_Productkaarten[#All],48,FALSE),0)*Baseline!I82),0))</f>
        <v>0</v>
      </c>
      <c r="K395" s="77">
        <f>(IF(Baseline!C82="Nieuwe Situatie",(SUM(Referentie_Hernieuwbare_Energie_Totaal[[#This Row],[A1]:[B1]],Referentie_Hernieuwbare_Energie_Totaal[[#This Row],[C1]:[D2]])*Baseline!R82),0))</f>
        <v>0</v>
      </c>
      <c r="L395" s="77">
        <f>IF(Baseline!C82="Bestaande situatie",IF(_xlfn.IFNA((VLOOKUP(Baseline!Y82,Database_Asfalt_Verwijderset[#All],42,FALSE)*Baseline!I82),0)+_xlfn.IFNA(VLOOKUP(Baseline!Z82,Database_Brandstoffen[#All],42,FALSE)*((Baseline!I82/Baseline!AB82)*Baseline!AA82),0)&gt;0,_xlfn.IFNA((VLOOKUP(Baseline!Y82,Database_Asfalt_Verwijderset[#All],42,FALSE)*Baseline!I82),0)+_xlfn.IFNA(VLOOKUP(Baseline!Z82,Database_Brandstoffen[#All],42,FALSE)*((Baseline!I82/Baseline!AB82)*Baseline!AA82),0),(_xlfn.IFNA(VLOOKUP(Referentie_Hernieuwbare_Energie_Totaal[[#This Row],[Product]]&amp;", "&amp;Referentie_MKI_Totaal[[#Headers],[C1]],Database_Productkaarten[#All],48,FALSE),0)*Baseline!I82)),0)</f>
        <v>0</v>
      </c>
      <c r="M395" s="77">
        <f>IF(Baseline!AD82=0,(IF(Baseline!C82="Bestaande Situatie",(_xlfn.IFNA(VLOOKUP(Referentie_Hernieuwbare_Energie_Totaal[[#This Row],[Product]]&amp;", "&amp;Referentie_MKI_Totaal[[#Headers],[C2]],Database_Productkaarten[#All],48,FALSE),0)*Baseline!I82),0)),(IF(Baseline!C82="Bestaande Situatie",_xlfn.IFNA(VLOOKUP(Baseline!AD82,Database_Transport[#All],42,FALSE)*(Baseline!Q82*Baseline!AC82),0))))</f>
        <v>0</v>
      </c>
      <c r="N395" s="77">
        <f>(IF(Baseline!C82="Bestaande Situatie",(_xlfn.IFNA(VLOOKUP(Referentie_Hernieuwbare_Energie_Totaal[[#This Row],[Product]]&amp;", "&amp;Referentie_Hernieuwbare_Energie_Totaal[[#Headers],[C3]],Database_Productkaarten[#All],48,FALSE),0)*Baseline!I82),0))</f>
        <v>0</v>
      </c>
      <c r="O395" s="77">
        <f>(IF(Baseline!C82="Bestaande Situatie",(_xlfn.IFNA(VLOOKUP(Referentie_Hernieuwbare_Energie_Totaal[[#This Row],[Product]]&amp;", "&amp;Referentie_Hernieuwbare_Energie_Totaal[[#Headers],[C4]],Database_Productkaarten[#All],48,FALSE),0)*Baseline!I82),0))</f>
        <v>0</v>
      </c>
      <c r="P395" s="77">
        <f>(IF(Baseline!C82="Bestaande Situatie",(_xlfn.IFNA(VLOOKUP(Referentie_Hernieuwbare_Energie_Totaal[[#This Row],[Product]]&amp;", "&amp;Referentie_Hernieuwbare_Energie_Totaal[[#Headers],[D1]],Database_Productkaarten[#All],48,FALSE),0)*Baseline!I82),0))</f>
        <v>0</v>
      </c>
      <c r="Q395" s="78">
        <f>(IF(Baseline!C82="Bestaande Situatie",_xlfn.IFNA(VLOOKUP(Referentie_Hernieuwbare_Energie_Totaal[[#This Row],[Product]]&amp;", "&amp;Referentie_Hernieuwbare_Energie_Totaal[[#Headers],[D2]],Database_Productkaarten[#All],48,FALSE),0)*Baseline!I82,0))</f>
        <v>0</v>
      </c>
      <c r="R395" s="57">
        <f>(IF(Baseline!C82="Bestaande Situatie",_xlfn.IFNA(VLOOKUP(Referentie_Hernieuwbare_Energie_Totaal[[#This Row],[Product]]&amp;", "&amp;Referentie_Hernieuwbare_Energie_Totaal[[#Headers],[D]],Database_Productkaarten[#All],48,FALSE),0)*Baseline!I82,0))</f>
        <v>0</v>
      </c>
      <c r="S395" s="56">
        <f>SUM(Referentie_Hernieuwbare_Energie_Totaal[[#This Row],[A1-A3]:[C4]])+Referentie_Hernieuwbare_Energie_Totaal[[#This Row],[D]]</f>
        <v>0</v>
      </c>
    </row>
    <row r="396" spans="2:19">
      <c r="B396" s="209">
        <f>Baseline!B83</f>
        <v>0</v>
      </c>
      <c r="C396" s="76">
        <f>Baseline!F83</f>
        <v>0</v>
      </c>
      <c r="D396" s="77">
        <f>(IF(Baseline!C83="Nieuwe Situatie",(_xlfn.IFNA(VLOOKUP(Referentie_Hernieuwbare_Energie_Totaal[[#This Row],[Product]]&amp;", "&amp;Referentie_Hernieuwbare_Energie_Totaal[[#Headers],[A1]],Database_Productkaarten[#All],48,FALSE),0)*Baseline!I83),0))</f>
        <v>0</v>
      </c>
      <c r="E396" s="77">
        <f>(IF(Baseline!C83="Nieuwe Situatie",(_xlfn.IFNA(VLOOKUP(Referentie_Hernieuwbare_Energie_Totaal[[#This Row],[Product]]&amp;", "&amp;Referentie_Hernieuwbare_Energie_Totaal[[#Headers],[A2]],Database_Productkaarten[#All],48,FALSE),0)*Baseline!I83),0))</f>
        <v>0</v>
      </c>
      <c r="F396" s="77">
        <f>(IF(Baseline!C83="Nieuwe Situatie",(_xlfn.IFNA(VLOOKUP(Referentie_Hernieuwbare_Energie_Totaal[[#This Row],[Product]]&amp;", "&amp;Referentie_Hernieuwbare_Energie_Totaal[[#Headers],[A3]],Database_Productkaarten[#All],48,FALSE),0)*Baseline!I83),0))</f>
        <v>0</v>
      </c>
      <c r="G396" s="77">
        <f>(IF(Baseline!C83="Nieuwe Situatie",(_xlfn.IFNA(VLOOKUP(Referentie_Hernieuwbare_Energie_Totaal[[#This Row],[Product]]&amp;", "&amp;Referentie_Hernieuwbare_Energie_Totaal[[#Headers],[A1-A3]],Database_Productkaarten[#All],48,FALSE),0)*Baseline!I83),0))</f>
        <v>0</v>
      </c>
      <c r="H396" s="77">
        <f>IF(Baseline!T83=0,(IF(Baseline!C83="Nieuwe Situatie",(_xlfn.IFNA(VLOOKUP(Referentie_Hernieuwbare_Energie_Totaal[[#This Row],[Product]]&amp;", "&amp;Referentie_CO2_Totaal[[#Headers],[A4]],Database_Productkaarten[#All],48,FALSE),0)*Baseline!I83),0)),IF(Baseline!C83="Nieuwe Situatie",_xlfn.IFNA(VLOOKUP(Baseline!T83,Database_Transport[#All],42,FALSE)*(Baseline!Q83*Baseline!S83),Baseline_Backlog!H186),0))</f>
        <v>0</v>
      </c>
      <c r="I396" s="77">
        <f>IF(Baseline!C83="Nieuwe situatie",IF(_xlfn.IFNA((VLOOKUP(Baseline!U83,Database_Asfalt_Aanlegset[#All],42,FALSE)*Baseline!I83),0)+_xlfn.IFNA(VLOOKUP(Baseline!V83,Database_Brandstoffen[#All],42,FALSE)*((Baseline!I83/Baseline!X83)*Baseline!W83),0)&gt;0,_xlfn.IFNA((VLOOKUP(Baseline!U83,Database_Asfalt_Aanlegset[#All],42,FALSE)*Baseline!I83),0)+_xlfn.IFNA(VLOOKUP(Baseline!V83,Database_Brandstoffen[#All],42,FALSE)*((Baseline!I83/Baseline!X83)*Baseline!W83),0),(_xlfn.IFNA(VLOOKUP(Referentie_Hernieuwbare_Energie_Totaal[[#This Row],[Product]]&amp;", "&amp;Referentie_MKI_Totaal[[#Headers],[A5]],Database_Productkaarten[#All],48,FALSE),0)*Baseline!I83)),0)</f>
        <v>0</v>
      </c>
      <c r="J396" s="77">
        <f>(IF(Baseline!C83="Nieuwe Situatie",(_xlfn.IFNA(VLOOKUP(Referentie_Hernieuwbare_Energie_Totaal[[#This Row],[Product]]&amp;", "&amp;Referentie_Hernieuwbare_Energie_Totaal[[#Headers],[B1]],Database_Productkaarten[#All],48,FALSE),0)*Baseline!I83),0))</f>
        <v>0</v>
      </c>
      <c r="K396" s="77">
        <f>(IF(Baseline!C83="Nieuwe Situatie",(SUM(Referentie_Hernieuwbare_Energie_Totaal[[#This Row],[A1]:[B1]],Referentie_Hernieuwbare_Energie_Totaal[[#This Row],[C1]:[D2]])*Baseline!R83),0))</f>
        <v>0</v>
      </c>
      <c r="L396" s="77">
        <f>IF(Baseline!C83="Bestaande situatie",IF(_xlfn.IFNA((VLOOKUP(Baseline!Y83,Database_Asfalt_Verwijderset[#All],42,FALSE)*Baseline!I83),0)+_xlfn.IFNA(VLOOKUP(Baseline!Z83,Database_Brandstoffen[#All],42,FALSE)*((Baseline!I83/Baseline!AB83)*Baseline!AA83),0)&gt;0,_xlfn.IFNA((VLOOKUP(Baseline!Y83,Database_Asfalt_Verwijderset[#All],42,FALSE)*Baseline!I83),0)+_xlfn.IFNA(VLOOKUP(Baseline!Z83,Database_Brandstoffen[#All],42,FALSE)*((Baseline!I83/Baseline!AB83)*Baseline!AA83),0),(_xlfn.IFNA(VLOOKUP(Referentie_Hernieuwbare_Energie_Totaal[[#This Row],[Product]]&amp;", "&amp;Referentie_MKI_Totaal[[#Headers],[C1]],Database_Productkaarten[#All],48,FALSE),0)*Baseline!I83)),0)</f>
        <v>0</v>
      </c>
      <c r="M396" s="77">
        <f>IF(Baseline!AD83=0,(IF(Baseline!C83="Bestaande Situatie",(_xlfn.IFNA(VLOOKUP(Referentie_Hernieuwbare_Energie_Totaal[[#This Row],[Product]]&amp;", "&amp;Referentie_MKI_Totaal[[#Headers],[C2]],Database_Productkaarten[#All],48,FALSE),0)*Baseline!I83),0)),(IF(Baseline!C83="Bestaande Situatie",_xlfn.IFNA(VLOOKUP(Baseline!AD83,Database_Transport[#All],42,FALSE)*(Baseline!Q83*Baseline!AC83),0))))</f>
        <v>0</v>
      </c>
      <c r="N396" s="77">
        <f>(IF(Baseline!C83="Bestaande Situatie",(_xlfn.IFNA(VLOOKUP(Referentie_Hernieuwbare_Energie_Totaal[[#This Row],[Product]]&amp;", "&amp;Referentie_Hernieuwbare_Energie_Totaal[[#Headers],[C3]],Database_Productkaarten[#All],48,FALSE),0)*Baseline!I83),0))</f>
        <v>0</v>
      </c>
      <c r="O396" s="77">
        <f>(IF(Baseline!C83="Bestaande Situatie",(_xlfn.IFNA(VLOOKUP(Referentie_Hernieuwbare_Energie_Totaal[[#This Row],[Product]]&amp;", "&amp;Referentie_Hernieuwbare_Energie_Totaal[[#Headers],[C4]],Database_Productkaarten[#All],48,FALSE),0)*Baseline!I83),0))</f>
        <v>0</v>
      </c>
      <c r="P396" s="77">
        <f>(IF(Baseline!C83="Bestaande Situatie",(_xlfn.IFNA(VLOOKUP(Referentie_Hernieuwbare_Energie_Totaal[[#This Row],[Product]]&amp;", "&amp;Referentie_Hernieuwbare_Energie_Totaal[[#Headers],[D1]],Database_Productkaarten[#All],48,FALSE),0)*Baseline!I83),0))</f>
        <v>0</v>
      </c>
      <c r="Q396" s="78">
        <f>(IF(Baseline!C83="Bestaande Situatie",_xlfn.IFNA(VLOOKUP(Referentie_Hernieuwbare_Energie_Totaal[[#This Row],[Product]]&amp;", "&amp;Referentie_Hernieuwbare_Energie_Totaal[[#Headers],[D2]],Database_Productkaarten[#All],48,FALSE),0)*Baseline!I83,0))</f>
        <v>0</v>
      </c>
      <c r="R396" s="57">
        <f>(IF(Baseline!C83="Bestaande Situatie",_xlfn.IFNA(VLOOKUP(Referentie_Hernieuwbare_Energie_Totaal[[#This Row],[Product]]&amp;", "&amp;Referentie_Hernieuwbare_Energie_Totaal[[#Headers],[D]],Database_Productkaarten[#All],48,FALSE),0)*Baseline!I83,0))</f>
        <v>0</v>
      </c>
      <c r="S396" s="56">
        <f>SUM(Referentie_Hernieuwbare_Energie_Totaal[[#This Row],[A1-A3]:[C4]])+Referentie_Hernieuwbare_Energie_Totaal[[#This Row],[D]]</f>
        <v>0</v>
      </c>
    </row>
    <row r="397" spans="2:19">
      <c r="B397" s="209">
        <f>Baseline!B84</f>
        <v>0</v>
      </c>
      <c r="C397" s="76">
        <f>Baseline!F84</f>
        <v>0</v>
      </c>
      <c r="D397" s="77">
        <f>(IF(Baseline!C84="Nieuwe Situatie",(_xlfn.IFNA(VLOOKUP(Referentie_Hernieuwbare_Energie_Totaal[[#This Row],[Product]]&amp;", "&amp;Referentie_Hernieuwbare_Energie_Totaal[[#Headers],[A1]],Database_Productkaarten[#All],48,FALSE),0)*Baseline!I84),0))</f>
        <v>0</v>
      </c>
      <c r="E397" s="77">
        <f>(IF(Baseline!C84="Nieuwe Situatie",(_xlfn.IFNA(VLOOKUP(Referentie_Hernieuwbare_Energie_Totaal[[#This Row],[Product]]&amp;", "&amp;Referentie_Hernieuwbare_Energie_Totaal[[#Headers],[A2]],Database_Productkaarten[#All],48,FALSE),0)*Baseline!I84),0))</f>
        <v>0</v>
      </c>
      <c r="F397" s="77">
        <f>(IF(Baseline!C84="Nieuwe Situatie",(_xlfn.IFNA(VLOOKUP(Referentie_Hernieuwbare_Energie_Totaal[[#This Row],[Product]]&amp;", "&amp;Referentie_Hernieuwbare_Energie_Totaal[[#Headers],[A3]],Database_Productkaarten[#All],48,FALSE),0)*Baseline!I84),0))</f>
        <v>0</v>
      </c>
      <c r="G397" s="77">
        <f>(IF(Baseline!C84="Nieuwe Situatie",(_xlfn.IFNA(VLOOKUP(Referentie_Hernieuwbare_Energie_Totaal[[#This Row],[Product]]&amp;", "&amp;Referentie_Hernieuwbare_Energie_Totaal[[#Headers],[A1-A3]],Database_Productkaarten[#All],48,FALSE),0)*Baseline!I84),0))</f>
        <v>0</v>
      </c>
      <c r="H397" s="77">
        <f>IF(Baseline!T84=0,(IF(Baseline!C84="Nieuwe Situatie",(_xlfn.IFNA(VLOOKUP(Referentie_Hernieuwbare_Energie_Totaal[[#This Row],[Product]]&amp;", "&amp;Referentie_CO2_Totaal[[#Headers],[A4]],Database_Productkaarten[#All],48,FALSE),0)*Baseline!I84),0)),IF(Baseline!C84="Nieuwe Situatie",_xlfn.IFNA(VLOOKUP(Baseline!T84,Database_Transport[#All],42,FALSE)*(Baseline!Q84*Baseline!S84),Baseline_Backlog!H187),0))</f>
        <v>0</v>
      </c>
      <c r="I397" s="77">
        <f>IF(Baseline!C84="Nieuwe situatie",IF(_xlfn.IFNA((VLOOKUP(Baseline!U84,Database_Asfalt_Aanlegset[#All],42,FALSE)*Baseline!I84),0)+_xlfn.IFNA(VLOOKUP(Baseline!V84,Database_Brandstoffen[#All],42,FALSE)*((Baseline!I84/Baseline!X84)*Baseline!W84),0)&gt;0,_xlfn.IFNA((VLOOKUP(Baseline!U84,Database_Asfalt_Aanlegset[#All],42,FALSE)*Baseline!I84),0)+_xlfn.IFNA(VLOOKUP(Baseline!V84,Database_Brandstoffen[#All],42,FALSE)*((Baseline!I84/Baseline!X84)*Baseline!W84),0),(_xlfn.IFNA(VLOOKUP(Referentie_Hernieuwbare_Energie_Totaal[[#This Row],[Product]]&amp;", "&amp;Referentie_MKI_Totaal[[#Headers],[A5]],Database_Productkaarten[#All],48,FALSE),0)*Baseline!I84)),0)</f>
        <v>0</v>
      </c>
      <c r="J397" s="77">
        <f>(IF(Baseline!C84="Nieuwe Situatie",(_xlfn.IFNA(VLOOKUP(Referentie_Hernieuwbare_Energie_Totaal[[#This Row],[Product]]&amp;", "&amp;Referentie_Hernieuwbare_Energie_Totaal[[#Headers],[B1]],Database_Productkaarten[#All],48,FALSE),0)*Baseline!I84),0))</f>
        <v>0</v>
      </c>
      <c r="K397" s="77">
        <f>(IF(Baseline!C84="Nieuwe Situatie",(SUM(Referentie_Hernieuwbare_Energie_Totaal[[#This Row],[A1]:[B1]],Referentie_Hernieuwbare_Energie_Totaal[[#This Row],[C1]:[D2]])*Baseline!R84),0))</f>
        <v>0</v>
      </c>
      <c r="L397" s="77">
        <f>IF(Baseline!C84="Bestaande situatie",IF(_xlfn.IFNA((VLOOKUP(Baseline!Y84,Database_Asfalt_Verwijderset[#All],42,FALSE)*Baseline!I84),0)+_xlfn.IFNA(VLOOKUP(Baseline!Z84,Database_Brandstoffen[#All],42,FALSE)*((Baseline!I84/Baseline!AB84)*Baseline!AA84),0)&gt;0,_xlfn.IFNA((VLOOKUP(Baseline!Y84,Database_Asfalt_Verwijderset[#All],42,FALSE)*Baseline!I84),0)+_xlfn.IFNA(VLOOKUP(Baseline!Z84,Database_Brandstoffen[#All],42,FALSE)*((Baseline!I84/Baseline!AB84)*Baseline!AA84),0),(_xlfn.IFNA(VLOOKUP(Referentie_Hernieuwbare_Energie_Totaal[[#This Row],[Product]]&amp;", "&amp;Referentie_MKI_Totaal[[#Headers],[C1]],Database_Productkaarten[#All],48,FALSE),0)*Baseline!I84)),0)</f>
        <v>0</v>
      </c>
      <c r="M397" s="77">
        <f>IF(Baseline!AD84=0,(IF(Baseline!C84="Bestaande Situatie",(_xlfn.IFNA(VLOOKUP(Referentie_Hernieuwbare_Energie_Totaal[[#This Row],[Product]]&amp;", "&amp;Referentie_MKI_Totaal[[#Headers],[C2]],Database_Productkaarten[#All],48,FALSE),0)*Baseline!I84),0)),(IF(Baseline!C84="Bestaande Situatie",_xlfn.IFNA(VLOOKUP(Baseline!AD84,Database_Transport[#All],42,FALSE)*(Baseline!Q84*Baseline!AC84),0))))</f>
        <v>0</v>
      </c>
      <c r="N397" s="77">
        <f>(IF(Baseline!C84="Bestaande Situatie",(_xlfn.IFNA(VLOOKUP(Referentie_Hernieuwbare_Energie_Totaal[[#This Row],[Product]]&amp;", "&amp;Referentie_Hernieuwbare_Energie_Totaal[[#Headers],[C3]],Database_Productkaarten[#All],48,FALSE),0)*Baseline!I84),0))</f>
        <v>0</v>
      </c>
      <c r="O397" s="77">
        <f>(IF(Baseline!C84="Bestaande Situatie",(_xlfn.IFNA(VLOOKUP(Referentie_Hernieuwbare_Energie_Totaal[[#This Row],[Product]]&amp;", "&amp;Referentie_Hernieuwbare_Energie_Totaal[[#Headers],[C4]],Database_Productkaarten[#All],48,FALSE),0)*Baseline!I84),0))</f>
        <v>0</v>
      </c>
      <c r="P397" s="77">
        <f>(IF(Baseline!C84="Bestaande Situatie",(_xlfn.IFNA(VLOOKUP(Referentie_Hernieuwbare_Energie_Totaal[[#This Row],[Product]]&amp;", "&amp;Referentie_Hernieuwbare_Energie_Totaal[[#Headers],[D1]],Database_Productkaarten[#All],48,FALSE),0)*Baseline!I84),0))</f>
        <v>0</v>
      </c>
      <c r="Q397" s="78">
        <f>(IF(Baseline!C84="Bestaande Situatie",_xlfn.IFNA(VLOOKUP(Referentie_Hernieuwbare_Energie_Totaal[[#This Row],[Product]]&amp;", "&amp;Referentie_Hernieuwbare_Energie_Totaal[[#Headers],[D2]],Database_Productkaarten[#All],48,FALSE),0)*Baseline!I84,0))</f>
        <v>0</v>
      </c>
      <c r="R397" s="57">
        <f>(IF(Baseline!C84="Bestaande Situatie",_xlfn.IFNA(VLOOKUP(Referentie_Hernieuwbare_Energie_Totaal[[#This Row],[Product]]&amp;", "&amp;Referentie_Hernieuwbare_Energie_Totaal[[#Headers],[D]],Database_Productkaarten[#All],48,FALSE),0)*Baseline!I84,0))</f>
        <v>0</v>
      </c>
      <c r="S397" s="56">
        <f>SUM(Referentie_Hernieuwbare_Energie_Totaal[[#This Row],[A1-A3]:[C4]])+Referentie_Hernieuwbare_Energie_Totaal[[#This Row],[D]]</f>
        <v>0</v>
      </c>
    </row>
    <row r="398" spans="2:19">
      <c r="B398" s="209">
        <f>Baseline!B85</f>
        <v>0</v>
      </c>
      <c r="C398" s="76">
        <f>Baseline!F85</f>
        <v>0</v>
      </c>
      <c r="D398" s="77">
        <f>(IF(Baseline!C85="Nieuwe Situatie",(_xlfn.IFNA(VLOOKUP(Referentie_Hernieuwbare_Energie_Totaal[[#This Row],[Product]]&amp;", "&amp;Referentie_Hernieuwbare_Energie_Totaal[[#Headers],[A1]],Database_Productkaarten[#All],48,FALSE),0)*Baseline!I85),0))</f>
        <v>0</v>
      </c>
      <c r="E398" s="77">
        <f>(IF(Baseline!C85="Nieuwe Situatie",(_xlfn.IFNA(VLOOKUP(Referentie_Hernieuwbare_Energie_Totaal[[#This Row],[Product]]&amp;", "&amp;Referentie_Hernieuwbare_Energie_Totaal[[#Headers],[A2]],Database_Productkaarten[#All],48,FALSE),0)*Baseline!I85),0))</f>
        <v>0</v>
      </c>
      <c r="F398" s="77">
        <f>(IF(Baseline!C85="Nieuwe Situatie",(_xlfn.IFNA(VLOOKUP(Referentie_Hernieuwbare_Energie_Totaal[[#This Row],[Product]]&amp;", "&amp;Referentie_Hernieuwbare_Energie_Totaal[[#Headers],[A3]],Database_Productkaarten[#All],48,FALSE),0)*Baseline!I85),0))</f>
        <v>0</v>
      </c>
      <c r="G398" s="77">
        <f>(IF(Baseline!C85="Nieuwe Situatie",(_xlfn.IFNA(VLOOKUP(Referentie_Hernieuwbare_Energie_Totaal[[#This Row],[Product]]&amp;", "&amp;Referentie_Hernieuwbare_Energie_Totaal[[#Headers],[A1-A3]],Database_Productkaarten[#All],48,FALSE),0)*Baseline!I85),0))</f>
        <v>0</v>
      </c>
      <c r="H398" s="77">
        <f>IF(Baseline!T85=0,(IF(Baseline!C85="Nieuwe Situatie",(_xlfn.IFNA(VLOOKUP(Referentie_Hernieuwbare_Energie_Totaal[[#This Row],[Product]]&amp;", "&amp;Referentie_CO2_Totaal[[#Headers],[A4]],Database_Productkaarten[#All],48,FALSE),0)*Baseline!I85),0)),IF(Baseline!C85="Nieuwe Situatie",_xlfn.IFNA(VLOOKUP(Baseline!T85,Database_Transport[#All],42,FALSE)*(Baseline!Q85*Baseline!S85),Baseline_Backlog!H188),0))</f>
        <v>0</v>
      </c>
      <c r="I398" s="77">
        <f>IF(Baseline!C85="Nieuwe situatie",IF(_xlfn.IFNA((VLOOKUP(Baseline!U85,Database_Asfalt_Aanlegset[#All],42,FALSE)*Baseline!I85),0)+_xlfn.IFNA(VLOOKUP(Baseline!V85,Database_Brandstoffen[#All],42,FALSE)*((Baseline!I85/Baseline!X85)*Baseline!W85),0)&gt;0,_xlfn.IFNA((VLOOKUP(Baseline!U85,Database_Asfalt_Aanlegset[#All],42,FALSE)*Baseline!I85),0)+_xlfn.IFNA(VLOOKUP(Baseline!V85,Database_Brandstoffen[#All],42,FALSE)*((Baseline!I85/Baseline!X85)*Baseline!W85),0),(_xlfn.IFNA(VLOOKUP(Referentie_Hernieuwbare_Energie_Totaal[[#This Row],[Product]]&amp;", "&amp;Referentie_MKI_Totaal[[#Headers],[A5]],Database_Productkaarten[#All],48,FALSE),0)*Baseline!I85)),0)</f>
        <v>0</v>
      </c>
      <c r="J398" s="77">
        <f>(IF(Baseline!C85="Nieuwe Situatie",(_xlfn.IFNA(VLOOKUP(Referentie_Hernieuwbare_Energie_Totaal[[#This Row],[Product]]&amp;", "&amp;Referentie_Hernieuwbare_Energie_Totaal[[#Headers],[B1]],Database_Productkaarten[#All],48,FALSE),0)*Baseline!I85),0))</f>
        <v>0</v>
      </c>
      <c r="K398" s="77">
        <f>(IF(Baseline!C85="Nieuwe Situatie",(SUM(Referentie_Hernieuwbare_Energie_Totaal[[#This Row],[A1]:[B1]],Referentie_Hernieuwbare_Energie_Totaal[[#This Row],[C1]:[D2]])*Baseline!R85),0))</f>
        <v>0</v>
      </c>
      <c r="L398" s="77">
        <f>IF(Baseline!C85="Bestaande situatie",IF(_xlfn.IFNA((VLOOKUP(Baseline!Y85,Database_Asfalt_Verwijderset[#All],42,FALSE)*Baseline!I85),0)+_xlfn.IFNA(VLOOKUP(Baseline!Z85,Database_Brandstoffen[#All],42,FALSE)*((Baseline!I85/Baseline!AB85)*Baseline!AA85),0)&gt;0,_xlfn.IFNA((VLOOKUP(Baseline!Y85,Database_Asfalt_Verwijderset[#All],42,FALSE)*Baseline!I85),0)+_xlfn.IFNA(VLOOKUP(Baseline!Z85,Database_Brandstoffen[#All],42,FALSE)*((Baseline!I85/Baseline!AB85)*Baseline!AA85),0),(_xlfn.IFNA(VLOOKUP(Referentie_Hernieuwbare_Energie_Totaal[[#This Row],[Product]]&amp;", "&amp;Referentie_MKI_Totaal[[#Headers],[C1]],Database_Productkaarten[#All],48,FALSE),0)*Baseline!I85)),0)</f>
        <v>0</v>
      </c>
      <c r="M398" s="77">
        <f>IF(Baseline!AD85=0,(IF(Baseline!C85="Bestaande Situatie",(_xlfn.IFNA(VLOOKUP(Referentie_Hernieuwbare_Energie_Totaal[[#This Row],[Product]]&amp;", "&amp;Referentie_MKI_Totaal[[#Headers],[C2]],Database_Productkaarten[#All],48,FALSE),0)*Baseline!I85),0)),(IF(Baseline!C85="Bestaande Situatie",_xlfn.IFNA(VLOOKUP(Baseline!AD85,Database_Transport[#All],42,FALSE)*(Baseline!Q85*Baseline!AC85),0))))</f>
        <v>0</v>
      </c>
      <c r="N398" s="77">
        <f>(IF(Baseline!C85="Bestaande Situatie",(_xlfn.IFNA(VLOOKUP(Referentie_Hernieuwbare_Energie_Totaal[[#This Row],[Product]]&amp;", "&amp;Referentie_Hernieuwbare_Energie_Totaal[[#Headers],[C3]],Database_Productkaarten[#All],48,FALSE),0)*Baseline!I85),0))</f>
        <v>0</v>
      </c>
      <c r="O398" s="77">
        <f>(IF(Baseline!C85="Bestaande Situatie",(_xlfn.IFNA(VLOOKUP(Referentie_Hernieuwbare_Energie_Totaal[[#This Row],[Product]]&amp;", "&amp;Referentie_Hernieuwbare_Energie_Totaal[[#Headers],[C4]],Database_Productkaarten[#All],48,FALSE),0)*Baseline!I85),0))</f>
        <v>0</v>
      </c>
      <c r="P398" s="77">
        <f>(IF(Baseline!C85="Bestaande Situatie",(_xlfn.IFNA(VLOOKUP(Referentie_Hernieuwbare_Energie_Totaal[[#This Row],[Product]]&amp;", "&amp;Referentie_Hernieuwbare_Energie_Totaal[[#Headers],[D1]],Database_Productkaarten[#All],48,FALSE),0)*Baseline!I85),0))</f>
        <v>0</v>
      </c>
      <c r="Q398" s="78">
        <f>(IF(Baseline!C85="Bestaande Situatie",_xlfn.IFNA(VLOOKUP(Referentie_Hernieuwbare_Energie_Totaal[[#This Row],[Product]]&amp;", "&amp;Referentie_Hernieuwbare_Energie_Totaal[[#Headers],[D2]],Database_Productkaarten[#All],48,FALSE),0)*Baseline!I85,0))</f>
        <v>0</v>
      </c>
      <c r="R398" s="57">
        <f>(IF(Baseline!C85="Bestaande Situatie",_xlfn.IFNA(VLOOKUP(Referentie_Hernieuwbare_Energie_Totaal[[#This Row],[Product]]&amp;", "&amp;Referentie_Hernieuwbare_Energie_Totaal[[#Headers],[D]],Database_Productkaarten[#All],48,FALSE),0)*Baseline!I85,0))</f>
        <v>0</v>
      </c>
      <c r="S398" s="56">
        <f>SUM(Referentie_Hernieuwbare_Energie_Totaal[[#This Row],[A1-A3]:[C4]])+Referentie_Hernieuwbare_Energie_Totaal[[#This Row],[D]]</f>
        <v>0</v>
      </c>
    </row>
    <row r="399" spans="2:19">
      <c r="B399" s="209">
        <f>Baseline!B86</f>
        <v>0</v>
      </c>
      <c r="C399" s="76">
        <f>Baseline!F86</f>
        <v>0</v>
      </c>
      <c r="D399" s="77">
        <f>(IF(Baseline!C86="Nieuwe Situatie",(_xlfn.IFNA(VLOOKUP(Referentie_Hernieuwbare_Energie_Totaal[[#This Row],[Product]]&amp;", "&amp;Referentie_Hernieuwbare_Energie_Totaal[[#Headers],[A1]],Database_Productkaarten[#All],48,FALSE),0)*Baseline!I86),0))</f>
        <v>0</v>
      </c>
      <c r="E399" s="77">
        <f>(IF(Baseline!C86="Nieuwe Situatie",(_xlfn.IFNA(VLOOKUP(Referentie_Hernieuwbare_Energie_Totaal[[#This Row],[Product]]&amp;", "&amp;Referentie_Hernieuwbare_Energie_Totaal[[#Headers],[A2]],Database_Productkaarten[#All],48,FALSE),0)*Baseline!I86),0))</f>
        <v>0</v>
      </c>
      <c r="F399" s="77">
        <f>(IF(Baseline!C86="Nieuwe Situatie",(_xlfn.IFNA(VLOOKUP(Referentie_Hernieuwbare_Energie_Totaal[[#This Row],[Product]]&amp;", "&amp;Referentie_Hernieuwbare_Energie_Totaal[[#Headers],[A3]],Database_Productkaarten[#All],48,FALSE),0)*Baseline!I86),0))</f>
        <v>0</v>
      </c>
      <c r="G399" s="77">
        <f>(IF(Baseline!C86="Nieuwe Situatie",(_xlfn.IFNA(VLOOKUP(Referentie_Hernieuwbare_Energie_Totaal[[#This Row],[Product]]&amp;", "&amp;Referentie_Hernieuwbare_Energie_Totaal[[#Headers],[A1-A3]],Database_Productkaarten[#All],48,FALSE),0)*Baseline!I86),0))</f>
        <v>0</v>
      </c>
      <c r="H399" s="77">
        <f>IF(Baseline!T86=0,(IF(Baseline!C86="Nieuwe Situatie",(_xlfn.IFNA(VLOOKUP(Referentie_Hernieuwbare_Energie_Totaal[[#This Row],[Product]]&amp;", "&amp;Referentie_CO2_Totaal[[#Headers],[A4]],Database_Productkaarten[#All],48,FALSE),0)*Baseline!I86),0)),IF(Baseline!C86="Nieuwe Situatie",_xlfn.IFNA(VLOOKUP(Baseline!T86,Database_Transport[#All],42,FALSE)*(Baseline!Q86*Baseline!S86),Baseline_Backlog!H189),0))</f>
        <v>0</v>
      </c>
      <c r="I399" s="77">
        <f>IF(Baseline!C86="Nieuwe situatie",IF(_xlfn.IFNA((VLOOKUP(Baseline!U86,Database_Asfalt_Aanlegset[#All],42,FALSE)*Baseline!I86),0)+_xlfn.IFNA(VLOOKUP(Baseline!V86,Database_Brandstoffen[#All],42,FALSE)*((Baseline!I86/Baseline!X86)*Baseline!W86),0)&gt;0,_xlfn.IFNA((VLOOKUP(Baseline!U86,Database_Asfalt_Aanlegset[#All],42,FALSE)*Baseline!I86),0)+_xlfn.IFNA(VLOOKUP(Baseline!V86,Database_Brandstoffen[#All],42,FALSE)*((Baseline!I86/Baseline!X86)*Baseline!W86),0),(_xlfn.IFNA(VLOOKUP(Referentie_Hernieuwbare_Energie_Totaal[[#This Row],[Product]]&amp;", "&amp;Referentie_MKI_Totaal[[#Headers],[A5]],Database_Productkaarten[#All],48,FALSE),0)*Baseline!I86)),0)</f>
        <v>0</v>
      </c>
      <c r="J399" s="77">
        <f>(IF(Baseline!C86="Nieuwe Situatie",(_xlfn.IFNA(VLOOKUP(Referentie_Hernieuwbare_Energie_Totaal[[#This Row],[Product]]&amp;", "&amp;Referentie_Hernieuwbare_Energie_Totaal[[#Headers],[B1]],Database_Productkaarten[#All],48,FALSE),0)*Baseline!I86),0))</f>
        <v>0</v>
      </c>
      <c r="K399" s="77">
        <f>(IF(Baseline!C86="Nieuwe Situatie",(SUM(Referentie_Hernieuwbare_Energie_Totaal[[#This Row],[A1]:[B1]],Referentie_Hernieuwbare_Energie_Totaal[[#This Row],[C1]:[D2]])*Baseline!R86),0))</f>
        <v>0</v>
      </c>
      <c r="L399" s="77">
        <f>IF(Baseline!C86="Bestaande situatie",IF(_xlfn.IFNA((VLOOKUP(Baseline!Y86,Database_Asfalt_Verwijderset[#All],42,FALSE)*Baseline!I86),0)+_xlfn.IFNA(VLOOKUP(Baseline!Z86,Database_Brandstoffen[#All],42,FALSE)*((Baseline!I86/Baseline!AB86)*Baseline!AA86),0)&gt;0,_xlfn.IFNA((VLOOKUP(Baseline!Y86,Database_Asfalt_Verwijderset[#All],42,FALSE)*Baseline!I86),0)+_xlfn.IFNA(VLOOKUP(Baseline!Z86,Database_Brandstoffen[#All],42,FALSE)*((Baseline!I86/Baseline!AB86)*Baseline!AA86),0),(_xlfn.IFNA(VLOOKUP(Referentie_Hernieuwbare_Energie_Totaal[[#This Row],[Product]]&amp;", "&amp;Referentie_MKI_Totaal[[#Headers],[C1]],Database_Productkaarten[#All],48,FALSE),0)*Baseline!I86)),0)</f>
        <v>0</v>
      </c>
      <c r="M399" s="77">
        <f>IF(Baseline!AD86=0,(IF(Baseline!C86="Bestaande Situatie",(_xlfn.IFNA(VLOOKUP(Referentie_Hernieuwbare_Energie_Totaal[[#This Row],[Product]]&amp;", "&amp;Referentie_MKI_Totaal[[#Headers],[C2]],Database_Productkaarten[#All],48,FALSE),0)*Baseline!I86),0)),(IF(Baseline!C86="Bestaande Situatie",_xlfn.IFNA(VLOOKUP(Baseline!AD86,Database_Transport[#All],42,FALSE)*(Baseline!Q86*Baseline!AC86),0))))</f>
        <v>0</v>
      </c>
      <c r="N399" s="77">
        <f>(IF(Baseline!C86="Bestaande Situatie",(_xlfn.IFNA(VLOOKUP(Referentie_Hernieuwbare_Energie_Totaal[[#This Row],[Product]]&amp;", "&amp;Referentie_Hernieuwbare_Energie_Totaal[[#Headers],[C3]],Database_Productkaarten[#All],48,FALSE),0)*Baseline!I86),0))</f>
        <v>0</v>
      </c>
      <c r="O399" s="77">
        <f>(IF(Baseline!C86="Bestaande Situatie",(_xlfn.IFNA(VLOOKUP(Referentie_Hernieuwbare_Energie_Totaal[[#This Row],[Product]]&amp;", "&amp;Referentie_Hernieuwbare_Energie_Totaal[[#Headers],[C4]],Database_Productkaarten[#All],48,FALSE),0)*Baseline!I86),0))</f>
        <v>0</v>
      </c>
      <c r="P399" s="77">
        <f>(IF(Baseline!C86="Bestaande Situatie",(_xlfn.IFNA(VLOOKUP(Referentie_Hernieuwbare_Energie_Totaal[[#This Row],[Product]]&amp;", "&amp;Referentie_Hernieuwbare_Energie_Totaal[[#Headers],[D1]],Database_Productkaarten[#All],48,FALSE),0)*Baseline!I86),0))</f>
        <v>0</v>
      </c>
      <c r="Q399" s="78">
        <f>(IF(Baseline!C86="Bestaande Situatie",_xlfn.IFNA(VLOOKUP(Referentie_Hernieuwbare_Energie_Totaal[[#This Row],[Product]]&amp;", "&amp;Referentie_Hernieuwbare_Energie_Totaal[[#Headers],[D2]],Database_Productkaarten[#All],48,FALSE),0)*Baseline!I86,0))</f>
        <v>0</v>
      </c>
      <c r="R399" s="57">
        <f>(IF(Baseline!C86="Bestaande Situatie",_xlfn.IFNA(VLOOKUP(Referentie_Hernieuwbare_Energie_Totaal[[#This Row],[Product]]&amp;", "&amp;Referentie_Hernieuwbare_Energie_Totaal[[#Headers],[D]],Database_Productkaarten[#All],48,FALSE),0)*Baseline!I86,0))</f>
        <v>0</v>
      </c>
      <c r="S399" s="56">
        <f>SUM(Referentie_Hernieuwbare_Energie_Totaal[[#This Row],[A1-A3]:[C4]])+Referentie_Hernieuwbare_Energie_Totaal[[#This Row],[D]]</f>
        <v>0</v>
      </c>
    </row>
    <row r="400" spans="2:19">
      <c r="B400" s="209">
        <f>Baseline!B87</f>
        <v>0</v>
      </c>
      <c r="C400" s="76">
        <f>Baseline!F87</f>
        <v>0</v>
      </c>
      <c r="D400" s="77">
        <f>(IF(Baseline!C87="Nieuwe Situatie",(_xlfn.IFNA(VLOOKUP(Referentie_Hernieuwbare_Energie_Totaal[[#This Row],[Product]]&amp;", "&amp;Referentie_Hernieuwbare_Energie_Totaal[[#Headers],[A1]],Database_Productkaarten[#All],48,FALSE),0)*Baseline!I87),0))</f>
        <v>0</v>
      </c>
      <c r="E400" s="77">
        <f>(IF(Baseline!C87="Nieuwe Situatie",(_xlfn.IFNA(VLOOKUP(Referentie_Hernieuwbare_Energie_Totaal[[#This Row],[Product]]&amp;", "&amp;Referentie_Hernieuwbare_Energie_Totaal[[#Headers],[A2]],Database_Productkaarten[#All],48,FALSE),0)*Baseline!I87),0))</f>
        <v>0</v>
      </c>
      <c r="F400" s="77">
        <f>(IF(Baseline!C87="Nieuwe Situatie",(_xlfn.IFNA(VLOOKUP(Referentie_Hernieuwbare_Energie_Totaal[[#This Row],[Product]]&amp;", "&amp;Referentie_Hernieuwbare_Energie_Totaal[[#Headers],[A3]],Database_Productkaarten[#All],48,FALSE),0)*Baseline!I87),0))</f>
        <v>0</v>
      </c>
      <c r="G400" s="77">
        <f>(IF(Baseline!C87="Nieuwe Situatie",(_xlfn.IFNA(VLOOKUP(Referentie_Hernieuwbare_Energie_Totaal[[#This Row],[Product]]&amp;", "&amp;Referentie_Hernieuwbare_Energie_Totaal[[#Headers],[A1-A3]],Database_Productkaarten[#All],48,FALSE),0)*Baseline!I87),0))</f>
        <v>0</v>
      </c>
      <c r="H400" s="77">
        <f>IF(Baseline!T87=0,(IF(Baseline!C87="Nieuwe Situatie",(_xlfn.IFNA(VLOOKUP(Referentie_Hernieuwbare_Energie_Totaal[[#This Row],[Product]]&amp;", "&amp;Referentie_CO2_Totaal[[#Headers],[A4]],Database_Productkaarten[#All],48,FALSE),0)*Baseline!I87),0)),IF(Baseline!C87="Nieuwe Situatie",_xlfn.IFNA(VLOOKUP(Baseline!T87,Database_Transport[#All],42,FALSE)*(Baseline!Q87*Baseline!S87),Baseline_Backlog!H190),0))</f>
        <v>0</v>
      </c>
      <c r="I400" s="77">
        <f>IF(Baseline!C87="Nieuwe situatie",IF(_xlfn.IFNA((VLOOKUP(Baseline!U87,Database_Asfalt_Aanlegset[#All],42,FALSE)*Baseline!I87),0)+_xlfn.IFNA(VLOOKUP(Baseline!V87,Database_Brandstoffen[#All],42,FALSE)*((Baseline!I87/Baseline!X87)*Baseline!W87),0)&gt;0,_xlfn.IFNA((VLOOKUP(Baseline!U87,Database_Asfalt_Aanlegset[#All],42,FALSE)*Baseline!I87),0)+_xlfn.IFNA(VLOOKUP(Baseline!V87,Database_Brandstoffen[#All],42,FALSE)*((Baseline!I87/Baseline!X87)*Baseline!W87),0),(_xlfn.IFNA(VLOOKUP(Referentie_Hernieuwbare_Energie_Totaal[[#This Row],[Product]]&amp;", "&amp;Referentie_MKI_Totaal[[#Headers],[A5]],Database_Productkaarten[#All],48,FALSE),0)*Baseline!I87)),0)</f>
        <v>0</v>
      </c>
      <c r="J400" s="77">
        <f>(IF(Baseline!C87="Nieuwe Situatie",(_xlfn.IFNA(VLOOKUP(Referentie_Hernieuwbare_Energie_Totaal[[#This Row],[Product]]&amp;", "&amp;Referentie_Hernieuwbare_Energie_Totaal[[#Headers],[B1]],Database_Productkaarten[#All],48,FALSE),0)*Baseline!I87),0))</f>
        <v>0</v>
      </c>
      <c r="K400" s="77">
        <f>(IF(Baseline!C87="Nieuwe Situatie",(SUM(Referentie_Hernieuwbare_Energie_Totaal[[#This Row],[A1]:[B1]],Referentie_Hernieuwbare_Energie_Totaal[[#This Row],[C1]:[D2]])*Baseline!R87),0))</f>
        <v>0</v>
      </c>
      <c r="L400" s="77">
        <f>IF(Baseline!C87="Bestaande situatie",IF(_xlfn.IFNA((VLOOKUP(Baseline!Y87,Database_Asfalt_Verwijderset[#All],42,FALSE)*Baseline!I87),0)+_xlfn.IFNA(VLOOKUP(Baseline!Z87,Database_Brandstoffen[#All],42,FALSE)*((Baseline!I87/Baseline!AB87)*Baseline!AA87),0)&gt;0,_xlfn.IFNA((VLOOKUP(Baseline!Y87,Database_Asfalt_Verwijderset[#All],42,FALSE)*Baseline!I87),0)+_xlfn.IFNA(VLOOKUP(Baseline!Z87,Database_Brandstoffen[#All],42,FALSE)*((Baseline!I87/Baseline!AB87)*Baseline!AA87),0),(_xlfn.IFNA(VLOOKUP(Referentie_Hernieuwbare_Energie_Totaal[[#This Row],[Product]]&amp;", "&amp;Referentie_MKI_Totaal[[#Headers],[C1]],Database_Productkaarten[#All],48,FALSE),0)*Baseline!I87)),0)</f>
        <v>0</v>
      </c>
      <c r="M400" s="77">
        <f>IF(Baseline!AD87=0,(IF(Baseline!C87="Bestaande Situatie",(_xlfn.IFNA(VLOOKUP(Referentie_Hernieuwbare_Energie_Totaal[[#This Row],[Product]]&amp;", "&amp;Referentie_MKI_Totaal[[#Headers],[C2]],Database_Productkaarten[#All],48,FALSE),0)*Baseline!I87),0)),(IF(Baseline!C87="Bestaande Situatie",_xlfn.IFNA(VLOOKUP(Baseline!AD87,Database_Transport[#All],42,FALSE)*(Baseline!Q87*Baseline!AC87),0))))</f>
        <v>0</v>
      </c>
      <c r="N400" s="77">
        <f>(IF(Baseline!C87="Bestaande Situatie",(_xlfn.IFNA(VLOOKUP(Referentie_Hernieuwbare_Energie_Totaal[[#This Row],[Product]]&amp;", "&amp;Referentie_Hernieuwbare_Energie_Totaal[[#Headers],[C3]],Database_Productkaarten[#All],48,FALSE),0)*Baseline!I87),0))</f>
        <v>0</v>
      </c>
      <c r="O400" s="77">
        <f>(IF(Baseline!C87="Bestaande Situatie",(_xlfn.IFNA(VLOOKUP(Referentie_Hernieuwbare_Energie_Totaal[[#This Row],[Product]]&amp;", "&amp;Referentie_Hernieuwbare_Energie_Totaal[[#Headers],[C4]],Database_Productkaarten[#All],48,FALSE),0)*Baseline!I87),0))</f>
        <v>0</v>
      </c>
      <c r="P400" s="77">
        <f>(IF(Baseline!C87="Bestaande Situatie",(_xlfn.IFNA(VLOOKUP(Referentie_Hernieuwbare_Energie_Totaal[[#This Row],[Product]]&amp;", "&amp;Referentie_Hernieuwbare_Energie_Totaal[[#Headers],[D1]],Database_Productkaarten[#All],48,FALSE),0)*Baseline!I87),0))</f>
        <v>0</v>
      </c>
      <c r="Q400" s="78">
        <f>(IF(Baseline!C87="Bestaande Situatie",_xlfn.IFNA(VLOOKUP(Referentie_Hernieuwbare_Energie_Totaal[[#This Row],[Product]]&amp;", "&amp;Referentie_Hernieuwbare_Energie_Totaal[[#Headers],[D2]],Database_Productkaarten[#All],48,FALSE),0)*Baseline!I87,0))</f>
        <v>0</v>
      </c>
      <c r="R400" s="57">
        <f>(IF(Baseline!C87="Bestaande Situatie",_xlfn.IFNA(VLOOKUP(Referentie_Hernieuwbare_Energie_Totaal[[#This Row],[Product]]&amp;", "&amp;Referentie_Hernieuwbare_Energie_Totaal[[#Headers],[D]],Database_Productkaarten[#All],48,FALSE),0)*Baseline!I87,0))</f>
        <v>0</v>
      </c>
      <c r="S400" s="56">
        <f>SUM(Referentie_Hernieuwbare_Energie_Totaal[[#This Row],[A1-A3]:[C4]])+Referentie_Hernieuwbare_Energie_Totaal[[#This Row],[D]]</f>
        <v>0</v>
      </c>
    </row>
    <row r="401" spans="2:19">
      <c r="B401" s="209">
        <f>Baseline!B88</f>
        <v>0</v>
      </c>
      <c r="C401" s="76">
        <f>Baseline!F88</f>
        <v>0</v>
      </c>
      <c r="D401" s="77">
        <f>(IF(Baseline!C88="Nieuwe Situatie",(_xlfn.IFNA(VLOOKUP(Referentie_Hernieuwbare_Energie_Totaal[[#This Row],[Product]]&amp;", "&amp;Referentie_Hernieuwbare_Energie_Totaal[[#Headers],[A1]],Database_Productkaarten[#All],48,FALSE),0)*Baseline!I88),0))</f>
        <v>0</v>
      </c>
      <c r="E401" s="77">
        <f>(IF(Baseline!C88="Nieuwe Situatie",(_xlfn.IFNA(VLOOKUP(Referentie_Hernieuwbare_Energie_Totaal[[#This Row],[Product]]&amp;", "&amp;Referentie_Hernieuwbare_Energie_Totaal[[#Headers],[A2]],Database_Productkaarten[#All],48,FALSE),0)*Baseline!I88),0))</f>
        <v>0</v>
      </c>
      <c r="F401" s="77">
        <f>(IF(Baseline!C88="Nieuwe Situatie",(_xlfn.IFNA(VLOOKUP(Referentie_Hernieuwbare_Energie_Totaal[[#This Row],[Product]]&amp;", "&amp;Referentie_Hernieuwbare_Energie_Totaal[[#Headers],[A3]],Database_Productkaarten[#All],48,FALSE),0)*Baseline!I88),0))</f>
        <v>0</v>
      </c>
      <c r="G401" s="77">
        <f>(IF(Baseline!C88="Nieuwe Situatie",(_xlfn.IFNA(VLOOKUP(Referentie_Hernieuwbare_Energie_Totaal[[#This Row],[Product]]&amp;", "&amp;Referentie_Hernieuwbare_Energie_Totaal[[#Headers],[A1-A3]],Database_Productkaarten[#All],48,FALSE),0)*Baseline!I88),0))</f>
        <v>0</v>
      </c>
      <c r="H401" s="77">
        <f>IF(Baseline!T88=0,(IF(Baseline!C88="Nieuwe Situatie",(_xlfn.IFNA(VLOOKUP(Referentie_Hernieuwbare_Energie_Totaal[[#This Row],[Product]]&amp;", "&amp;Referentie_CO2_Totaal[[#Headers],[A4]],Database_Productkaarten[#All],48,FALSE),0)*Baseline!I88),0)),IF(Baseline!C88="Nieuwe Situatie",_xlfn.IFNA(VLOOKUP(Baseline!T88,Database_Transport[#All],42,FALSE)*(Baseline!Q88*Baseline!S88),Baseline_Backlog!H191),0))</f>
        <v>0</v>
      </c>
      <c r="I401" s="77">
        <f>IF(Baseline!C88="Nieuwe situatie",IF(_xlfn.IFNA((VLOOKUP(Baseline!U88,Database_Asfalt_Aanlegset[#All],42,FALSE)*Baseline!I88),0)+_xlfn.IFNA(VLOOKUP(Baseline!V88,Database_Brandstoffen[#All],42,FALSE)*((Baseline!I88/Baseline!X88)*Baseline!W88),0)&gt;0,_xlfn.IFNA((VLOOKUP(Baseline!U88,Database_Asfalt_Aanlegset[#All],42,FALSE)*Baseline!I88),0)+_xlfn.IFNA(VLOOKUP(Baseline!V88,Database_Brandstoffen[#All],42,FALSE)*((Baseline!I88/Baseline!X88)*Baseline!W88),0),(_xlfn.IFNA(VLOOKUP(Referentie_Hernieuwbare_Energie_Totaal[[#This Row],[Product]]&amp;", "&amp;Referentie_MKI_Totaal[[#Headers],[A5]],Database_Productkaarten[#All],48,FALSE),0)*Baseline!I88)),0)</f>
        <v>0</v>
      </c>
      <c r="J401" s="77">
        <f>(IF(Baseline!C88="Nieuwe Situatie",(_xlfn.IFNA(VLOOKUP(Referentie_Hernieuwbare_Energie_Totaal[[#This Row],[Product]]&amp;", "&amp;Referentie_Hernieuwbare_Energie_Totaal[[#Headers],[B1]],Database_Productkaarten[#All],48,FALSE),0)*Baseline!I88),0))</f>
        <v>0</v>
      </c>
      <c r="K401" s="77">
        <f>(IF(Baseline!C88="Nieuwe Situatie",(SUM(Referentie_Hernieuwbare_Energie_Totaal[[#This Row],[A1]:[B1]],Referentie_Hernieuwbare_Energie_Totaal[[#This Row],[C1]:[D2]])*Baseline!R88),0))</f>
        <v>0</v>
      </c>
      <c r="L401" s="77">
        <f>IF(Baseline!C88="Bestaande situatie",IF(_xlfn.IFNA((VLOOKUP(Baseline!Y88,Database_Asfalt_Verwijderset[#All],42,FALSE)*Baseline!I88),0)+_xlfn.IFNA(VLOOKUP(Baseline!Z88,Database_Brandstoffen[#All],42,FALSE)*((Baseline!I88/Baseline!AB88)*Baseline!AA88),0)&gt;0,_xlfn.IFNA((VLOOKUP(Baseline!Y88,Database_Asfalt_Verwijderset[#All],42,FALSE)*Baseline!I88),0)+_xlfn.IFNA(VLOOKUP(Baseline!Z88,Database_Brandstoffen[#All],42,FALSE)*((Baseline!I88/Baseline!AB88)*Baseline!AA88),0),(_xlfn.IFNA(VLOOKUP(Referentie_Hernieuwbare_Energie_Totaal[[#This Row],[Product]]&amp;", "&amp;Referentie_MKI_Totaal[[#Headers],[C1]],Database_Productkaarten[#All],48,FALSE),0)*Baseline!I88)),0)</f>
        <v>0</v>
      </c>
      <c r="M401" s="77">
        <f>IF(Baseline!AD88=0,(IF(Baseline!C88="Bestaande Situatie",(_xlfn.IFNA(VLOOKUP(Referentie_Hernieuwbare_Energie_Totaal[[#This Row],[Product]]&amp;", "&amp;Referentie_MKI_Totaal[[#Headers],[C2]],Database_Productkaarten[#All],48,FALSE),0)*Baseline!I88),0)),(IF(Baseline!C88="Bestaande Situatie",_xlfn.IFNA(VLOOKUP(Baseline!AD88,Database_Transport[#All],42,FALSE)*(Baseline!Q88*Baseline!AC88),0))))</f>
        <v>0</v>
      </c>
      <c r="N401" s="77">
        <f>(IF(Baseline!C88="Bestaande Situatie",(_xlfn.IFNA(VLOOKUP(Referentie_Hernieuwbare_Energie_Totaal[[#This Row],[Product]]&amp;", "&amp;Referentie_Hernieuwbare_Energie_Totaal[[#Headers],[C3]],Database_Productkaarten[#All],48,FALSE),0)*Baseline!I88),0))</f>
        <v>0</v>
      </c>
      <c r="O401" s="77">
        <f>(IF(Baseline!C88="Bestaande Situatie",(_xlfn.IFNA(VLOOKUP(Referentie_Hernieuwbare_Energie_Totaal[[#This Row],[Product]]&amp;", "&amp;Referentie_Hernieuwbare_Energie_Totaal[[#Headers],[C4]],Database_Productkaarten[#All],48,FALSE),0)*Baseline!I88),0))</f>
        <v>0</v>
      </c>
      <c r="P401" s="77">
        <f>(IF(Baseline!C88="Bestaande Situatie",(_xlfn.IFNA(VLOOKUP(Referentie_Hernieuwbare_Energie_Totaal[[#This Row],[Product]]&amp;", "&amp;Referentie_Hernieuwbare_Energie_Totaal[[#Headers],[D1]],Database_Productkaarten[#All],48,FALSE),0)*Baseline!I88),0))</f>
        <v>0</v>
      </c>
      <c r="Q401" s="78">
        <f>(IF(Baseline!C88="Bestaande Situatie",_xlfn.IFNA(VLOOKUP(Referentie_Hernieuwbare_Energie_Totaal[[#This Row],[Product]]&amp;", "&amp;Referentie_Hernieuwbare_Energie_Totaal[[#Headers],[D2]],Database_Productkaarten[#All],48,FALSE),0)*Baseline!I88,0))</f>
        <v>0</v>
      </c>
      <c r="R401" s="57">
        <f>(IF(Baseline!C88="Bestaande Situatie",_xlfn.IFNA(VLOOKUP(Referentie_Hernieuwbare_Energie_Totaal[[#This Row],[Product]]&amp;", "&amp;Referentie_Hernieuwbare_Energie_Totaal[[#Headers],[D]],Database_Productkaarten[#All],48,FALSE),0)*Baseline!I88,0))</f>
        <v>0</v>
      </c>
      <c r="S401" s="56">
        <f>SUM(Referentie_Hernieuwbare_Energie_Totaal[[#This Row],[A1-A3]:[C4]])+Referentie_Hernieuwbare_Energie_Totaal[[#This Row],[D]]</f>
        <v>0</v>
      </c>
    </row>
    <row r="402" spans="2:19">
      <c r="B402" s="209">
        <f>Baseline!B89</f>
        <v>0</v>
      </c>
      <c r="C402" s="76">
        <f>Baseline!F89</f>
        <v>0</v>
      </c>
      <c r="D402" s="77">
        <f>(IF(Baseline!C89="Nieuwe Situatie",(_xlfn.IFNA(VLOOKUP(Referentie_Hernieuwbare_Energie_Totaal[[#This Row],[Product]]&amp;", "&amp;Referentie_Hernieuwbare_Energie_Totaal[[#Headers],[A1]],Database_Productkaarten[#All],48,FALSE),0)*Baseline!I89),0))</f>
        <v>0</v>
      </c>
      <c r="E402" s="77">
        <f>(IF(Baseline!C89="Nieuwe Situatie",(_xlfn.IFNA(VLOOKUP(Referentie_Hernieuwbare_Energie_Totaal[[#This Row],[Product]]&amp;", "&amp;Referentie_Hernieuwbare_Energie_Totaal[[#Headers],[A2]],Database_Productkaarten[#All],48,FALSE),0)*Baseline!I89),0))</f>
        <v>0</v>
      </c>
      <c r="F402" s="77">
        <f>(IF(Baseline!C89="Nieuwe Situatie",(_xlfn.IFNA(VLOOKUP(Referentie_Hernieuwbare_Energie_Totaal[[#This Row],[Product]]&amp;", "&amp;Referentie_Hernieuwbare_Energie_Totaal[[#Headers],[A3]],Database_Productkaarten[#All],48,FALSE),0)*Baseline!I89),0))</f>
        <v>0</v>
      </c>
      <c r="G402" s="77">
        <f>(IF(Baseline!C89="Nieuwe Situatie",(_xlfn.IFNA(VLOOKUP(Referentie_Hernieuwbare_Energie_Totaal[[#This Row],[Product]]&amp;", "&amp;Referentie_Hernieuwbare_Energie_Totaal[[#Headers],[A1-A3]],Database_Productkaarten[#All],48,FALSE),0)*Baseline!I89),0))</f>
        <v>0</v>
      </c>
      <c r="H402" s="77">
        <f>IF(Baseline!T89=0,(IF(Baseline!C89="Nieuwe Situatie",(_xlfn.IFNA(VLOOKUP(Referentie_Hernieuwbare_Energie_Totaal[[#This Row],[Product]]&amp;", "&amp;Referentie_CO2_Totaal[[#Headers],[A4]],Database_Productkaarten[#All],48,FALSE),0)*Baseline!I89),0)),IF(Baseline!C89="Nieuwe Situatie",_xlfn.IFNA(VLOOKUP(Baseline!T89,Database_Transport[#All],42,FALSE)*(Baseline!Q89*Baseline!S89),Baseline_Backlog!H192),0))</f>
        <v>0</v>
      </c>
      <c r="I402" s="77">
        <f>IF(Baseline!C89="Nieuwe situatie",IF(_xlfn.IFNA((VLOOKUP(Baseline!U89,Database_Asfalt_Aanlegset[#All],42,FALSE)*Baseline!I89),0)+_xlfn.IFNA(VLOOKUP(Baseline!V89,Database_Brandstoffen[#All],42,FALSE)*((Baseline!I89/Baseline!X89)*Baseline!W89),0)&gt;0,_xlfn.IFNA((VLOOKUP(Baseline!U89,Database_Asfalt_Aanlegset[#All],42,FALSE)*Baseline!I89),0)+_xlfn.IFNA(VLOOKUP(Baseline!V89,Database_Brandstoffen[#All],42,FALSE)*((Baseline!I89/Baseline!X89)*Baseline!W89),0),(_xlfn.IFNA(VLOOKUP(Referentie_Hernieuwbare_Energie_Totaal[[#This Row],[Product]]&amp;", "&amp;Referentie_MKI_Totaal[[#Headers],[A5]],Database_Productkaarten[#All],48,FALSE),0)*Baseline!I89)),0)</f>
        <v>0</v>
      </c>
      <c r="J402" s="77">
        <f>(IF(Baseline!C89="Nieuwe Situatie",(_xlfn.IFNA(VLOOKUP(Referentie_Hernieuwbare_Energie_Totaal[[#This Row],[Product]]&amp;", "&amp;Referentie_Hernieuwbare_Energie_Totaal[[#Headers],[B1]],Database_Productkaarten[#All],48,FALSE),0)*Baseline!I89),0))</f>
        <v>0</v>
      </c>
      <c r="K402" s="77">
        <f>(IF(Baseline!C89="Nieuwe Situatie",(SUM(Referentie_Hernieuwbare_Energie_Totaal[[#This Row],[A1]:[B1]],Referentie_Hernieuwbare_Energie_Totaal[[#This Row],[C1]:[D2]])*Baseline!R89),0))</f>
        <v>0</v>
      </c>
      <c r="L402" s="77">
        <f>IF(Baseline!C89="Bestaande situatie",IF(_xlfn.IFNA((VLOOKUP(Baseline!Y89,Database_Asfalt_Verwijderset[#All],42,FALSE)*Baseline!I89),0)+_xlfn.IFNA(VLOOKUP(Baseline!Z89,Database_Brandstoffen[#All],42,FALSE)*((Baseline!I89/Baseline!AB89)*Baseline!AA89),0)&gt;0,_xlfn.IFNA((VLOOKUP(Baseline!Y89,Database_Asfalt_Verwijderset[#All],42,FALSE)*Baseline!I89),0)+_xlfn.IFNA(VLOOKUP(Baseline!Z89,Database_Brandstoffen[#All],42,FALSE)*((Baseline!I89/Baseline!AB89)*Baseline!AA89),0),(_xlfn.IFNA(VLOOKUP(Referentie_Hernieuwbare_Energie_Totaal[[#This Row],[Product]]&amp;", "&amp;Referentie_MKI_Totaal[[#Headers],[C1]],Database_Productkaarten[#All],48,FALSE),0)*Baseline!I89)),0)</f>
        <v>0</v>
      </c>
      <c r="M402" s="77">
        <f>IF(Baseline!AD89=0,(IF(Baseline!C89="Bestaande Situatie",(_xlfn.IFNA(VLOOKUP(Referentie_Hernieuwbare_Energie_Totaal[[#This Row],[Product]]&amp;", "&amp;Referentie_MKI_Totaal[[#Headers],[C2]],Database_Productkaarten[#All],48,FALSE),0)*Baseline!I89),0)),(IF(Baseline!C89="Bestaande Situatie",_xlfn.IFNA(VLOOKUP(Baseline!AD89,Database_Transport[#All],42,FALSE)*(Baseline!Q89*Baseline!AC89),0))))</f>
        <v>0</v>
      </c>
      <c r="N402" s="77">
        <f>(IF(Baseline!C89="Bestaande Situatie",(_xlfn.IFNA(VLOOKUP(Referentie_Hernieuwbare_Energie_Totaal[[#This Row],[Product]]&amp;", "&amp;Referentie_Hernieuwbare_Energie_Totaal[[#Headers],[C3]],Database_Productkaarten[#All],48,FALSE),0)*Baseline!I89),0))</f>
        <v>0</v>
      </c>
      <c r="O402" s="77">
        <f>(IF(Baseline!C89="Bestaande Situatie",(_xlfn.IFNA(VLOOKUP(Referentie_Hernieuwbare_Energie_Totaal[[#This Row],[Product]]&amp;", "&amp;Referentie_Hernieuwbare_Energie_Totaal[[#Headers],[C4]],Database_Productkaarten[#All],48,FALSE),0)*Baseline!I89),0))</f>
        <v>0</v>
      </c>
      <c r="P402" s="77">
        <f>(IF(Baseline!C89="Bestaande Situatie",(_xlfn.IFNA(VLOOKUP(Referentie_Hernieuwbare_Energie_Totaal[[#This Row],[Product]]&amp;", "&amp;Referentie_Hernieuwbare_Energie_Totaal[[#Headers],[D1]],Database_Productkaarten[#All],48,FALSE),0)*Baseline!I89),0))</f>
        <v>0</v>
      </c>
      <c r="Q402" s="78">
        <f>(IF(Baseline!C89="Bestaande Situatie",_xlfn.IFNA(VLOOKUP(Referentie_Hernieuwbare_Energie_Totaal[[#This Row],[Product]]&amp;", "&amp;Referentie_Hernieuwbare_Energie_Totaal[[#Headers],[D2]],Database_Productkaarten[#All],48,FALSE),0)*Baseline!I89,0))</f>
        <v>0</v>
      </c>
      <c r="R402" s="57">
        <f>(IF(Baseline!C89="Bestaande Situatie",_xlfn.IFNA(VLOOKUP(Referentie_Hernieuwbare_Energie_Totaal[[#This Row],[Product]]&amp;", "&amp;Referentie_Hernieuwbare_Energie_Totaal[[#Headers],[D]],Database_Productkaarten[#All],48,FALSE),0)*Baseline!I89,0))</f>
        <v>0</v>
      </c>
      <c r="S402" s="56">
        <f>SUM(Referentie_Hernieuwbare_Energie_Totaal[[#This Row],[A1-A3]:[C4]])+Referentie_Hernieuwbare_Energie_Totaal[[#This Row],[D]]</f>
        <v>0</v>
      </c>
    </row>
    <row r="403" spans="2:19">
      <c r="B403" s="209">
        <f>Baseline!B90</f>
        <v>0</v>
      </c>
      <c r="C403" s="76">
        <f>Baseline!F90</f>
        <v>0</v>
      </c>
      <c r="D403" s="77">
        <f>(IF(Baseline!C90="Nieuwe Situatie",(_xlfn.IFNA(VLOOKUP(Referentie_Hernieuwbare_Energie_Totaal[[#This Row],[Product]]&amp;", "&amp;Referentie_Hernieuwbare_Energie_Totaal[[#Headers],[A1]],Database_Productkaarten[#All],48,FALSE),0)*Baseline!I90),0))</f>
        <v>0</v>
      </c>
      <c r="E403" s="77">
        <f>(IF(Baseline!C90="Nieuwe Situatie",(_xlfn.IFNA(VLOOKUP(Referentie_Hernieuwbare_Energie_Totaal[[#This Row],[Product]]&amp;", "&amp;Referentie_Hernieuwbare_Energie_Totaal[[#Headers],[A2]],Database_Productkaarten[#All],48,FALSE),0)*Baseline!I90),0))</f>
        <v>0</v>
      </c>
      <c r="F403" s="77">
        <f>(IF(Baseline!C90="Nieuwe Situatie",(_xlfn.IFNA(VLOOKUP(Referentie_Hernieuwbare_Energie_Totaal[[#This Row],[Product]]&amp;", "&amp;Referentie_Hernieuwbare_Energie_Totaal[[#Headers],[A3]],Database_Productkaarten[#All],48,FALSE),0)*Baseline!I90),0))</f>
        <v>0</v>
      </c>
      <c r="G403" s="77">
        <f>(IF(Baseline!C90="Nieuwe Situatie",(_xlfn.IFNA(VLOOKUP(Referentie_Hernieuwbare_Energie_Totaal[[#This Row],[Product]]&amp;", "&amp;Referentie_Hernieuwbare_Energie_Totaal[[#Headers],[A1-A3]],Database_Productkaarten[#All],48,FALSE),0)*Baseline!I90),0))</f>
        <v>0</v>
      </c>
      <c r="H403" s="77">
        <f>IF(Baseline!T90=0,(IF(Baseline!C90="Nieuwe Situatie",(_xlfn.IFNA(VLOOKUP(Referentie_Hernieuwbare_Energie_Totaal[[#This Row],[Product]]&amp;", "&amp;Referentie_CO2_Totaal[[#Headers],[A4]],Database_Productkaarten[#All],48,FALSE),0)*Baseline!I90),0)),IF(Baseline!C90="Nieuwe Situatie",_xlfn.IFNA(VLOOKUP(Baseline!T90,Database_Transport[#All],42,FALSE)*(Baseline!Q90*Baseline!S90),Baseline_Backlog!H193),0))</f>
        <v>0</v>
      </c>
      <c r="I403" s="77">
        <f>IF(Baseline!C90="Nieuwe situatie",IF(_xlfn.IFNA((VLOOKUP(Baseline!U90,Database_Asfalt_Aanlegset[#All],42,FALSE)*Baseline!I90),0)+_xlfn.IFNA(VLOOKUP(Baseline!V90,Database_Brandstoffen[#All],42,FALSE)*((Baseline!I90/Baseline!X90)*Baseline!W90),0)&gt;0,_xlfn.IFNA((VLOOKUP(Baseline!U90,Database_Asfalt_Aanlegset[#All],42,FALSE)*Baseline!I90),0)+_xlfn.IFNA(VLOOKUP(Baseline!V90,Database_Brandstoffen[#All],42,FALSE)*((Baseline!I90/Baseline!X90)*Baseline!W90),0),(_xlfn.IFNA(VLOOKUP(Referentie_Hernieuwbare_Energie_Totaal[[#This Row],[Product]]&amp;", "&amp;Referentie_MKI_Totaal[[#Headers],[A5]],Database_Productkaarten[#All],48,FALSE),0)*Baseline!I90)),0)</f>
        <v>0</v>
      </c>
      <c r="J403" s="77">
        <f>(IF(Baseline!C90="Nieuwe Situatie",(_xlfn.IFNA(VLOOKUP(Referentie_Hernieuwbare_Energie_Totaal[[#This Row],[Product]]&amp;", "&amp;Referentie_Hernieuwbare_Energie_Totaal[[#Headers],[B1]],Database_Productkaarten[#All],48,FALSE),0)*Baseline!I90),0))</f>
        <v>0</v>
      </c>
      <c r="K403" s="77">
        <f>(IF(Baseline!C90="Nieuwe Situatie",(SUM(Referentie_Hernieuwbare_Energie_Totaal[[#This Row],[A1]:[B1]],Referentie_Hernieuwbare_Energie_Totaal[[#This Row],[C1]:[D2]])*Baseline!R90),0))</f>
        <v>0</v>
      </c>
      <c r="L403" s="77">
        <f>IF(Baseline!C90="Bestaande situatie",IF(_xlfn.IFNA((VLOOKUP(Baseline!Y90,Database_Asfalt_Verwijderset[#All],42,FALSE)*Baseline!I90),0)+_xlfn.IFNA(VLOOKUP(Baseline!Z90,Database_Brandstoffen[#All],42,FALSE)*((Baseline!I90/Baseline!AB90)*Baseline!AA90),0)&gt;0,_xlfn.IFNA((VLOOKUP(Baseline!Y90,Database_Asfalt_Verwijderset[#All],42,FALSE)*Baseline!I90),0)+_xlfn.IFNA(VLOOKUP(Baseline!Z90,Database_Brandstoffen[#All],42,FALSE)*((Baseline!I90/Baseline!AB90)*Baseline!AA90),0),(_xlfn.IFNA(VLOOKUP(Referentie_Hernieuwbare_Energie_Totaal[[#This Row],[Product]]&amp;", "&amp;Referentie_MKI_Totaal[[#Headers],[C1]],Database_Productkaarten[#All],48,FALSE),0)*Baseline!I90)),0)</f>
        <v>0</v>
      </c>
      <c r="M403" s="77">
        <f>IF(Baseline!AD90=0,(IF(Baseline!C90="Bestaande Situatie",(_xlfn.IFNA(VLOOKUP(Referentie_Hernieuwbare_Energie_Totaal[[#This Row],[Product]]&amp;", "&amp;Referentie_MKI_Totaal[[#Headers],[C2]],Database_Productkaarten[#All],48,FALSE),0)*Baseline!I90),0)),(IF(Baseline!C90="Bestaande Situatie",_xlfn.IFNA(VLOOKUP(Baseline!AD90,Database_Transport[#All],42,FALSE)*(Baseline!Q90*Baseline!AC90),0))))</f>
        <v>0</v>
      </c>
      <c r="N403" s="77">
        <f>(IF(Baseline!C90="Bestaande Situatie",(_xlfn.IFNA(VLOOKUP(Referentie_Hernieuwbare_Energie_Totaal[[#This Row],[Product]]&amp;", "&amp;Referentie_Hernieuwbare_Energie_Totaal[[#Headers],[C3]],Database_Productkaarten[#All],48,FALSE),0)*Baseline!I90),0))</f>
        <v>0</v>
      </c>
      <c r="O403" s="77">
        <f>(IF(Baseline!C90="Bestaande Situatie",(_xlfn.IFNA(VLOOKUP(Referentie_Hernieuwbare_Energie_Totaal[[#This Row],[Product]]&amp;", "&amp;Referentie_Hernieuwbare_Energie_Totaal[[#Headers],[C4]],Database_Productkaarten[#All],48,FALSE),0)*Baseline!I90),0))</f>
        <v>0</v>
      </c>
      <c r="P403" s="77">
        <f>(IF(Baseline!C90="Bestaande Situatie",(_xlfn.IFNA(VLOOKUP(Referentie_Hernieuwbare_Energie_Totaal[[#This Row],[Product]]&amp;", "&amp;Referentie_Hernieuwbare_Energie_Totaal[[#Headers],[D1]],Database_Productkaarten[#All],48,FALSE),0)*Baseline!I90),0))</f>
        <v>0</v>
      </c>
      <c r="Q403" s="78">
        <f>(IF(Baseline!C90="Bestaande Situatie",_xlfn.IFNA(VLOOKUP(Referentie_Hernieuwbare_Energie_Totaal[[#This Row],[Product]]&amp;", "&amp;Referentie_Hernieuwbare_Energie_Totaal[[#Headers],[D2]],Database_Productkaarten[#All],48,FALSE),0)*Baseline!I90,0))</f>
        <v>0</v>
      </c>
      <c r="R403" s="57">
        <f>(IF(Baseline!C90="Bestaande Situatie",_xlfn.IFNA(VLOOKUP(Referentie_Hernieuwbare_Energie_Totaal[[#This Row],[Product]]&amp;", "&amp;Referentie_Hernieuwbare_Energie_Totaal[[#Headers],[D]],Database_Productkaarten[#All],48,FALSE),0)*Baseline!I90,0))</f>
        <v>0</v>
      </c>
      <c r="S403" s="56">
        <f>SUM(Referentie_Hernieuwbare_Energie_Totaal[[#This Row],[A1-A3]:[C4]])+Referentie_Hernieuwbare_Energie_Totaal[[#This Row],[D]]</f>
        <v>0</v>
      </c>
    </row>
    <row r="404" spans="2:19">
      <c r="B404" s="209">
        <f>Baseline!B91</f>
        <v>0</v>
      </c>
      <c r="C404" s="76">
        <f>Baseline!F91</f>
        <v>0</v>
      </c>
      <c r="D404" s="77">
        <f>(IF(Baseline!C91="Nieuwe Situatie",(_xlfn.IFNA(VLOOKUP(Referentie_Hernieuwbare_Energie_Totaal[[#This Row],[Product]]&amp;", "&amp;Referentie_Hernieuwbare_Energie_Totaal[[#Headers],[A1]],Database_Productkaarten[#All],48,FALSE),0)*Baseline!I91),0))</f>
        <v>0</v>
      </c>
      <c r="E404" s="77">
        <f>(IF(Baseline!C91="Nieuwe Situatie",(_xlfn.IFNA(VLOOKUP(Referentie_Hernieuwbare_Energie_Totaal[[#This Row],[Product]]&amp;", "&amp;Referentie_Hernieuwbare_Energie_Totaal[[#Headers],[A2]],Database_Productkaarten[#All],48,FALSE),0)*Baseline!I91),0))</f>
        <v>0</v>
      </c>
      <c r="F404" s="77">
        <f>(IF(Baseline!C91="Nieuwe Situatie",(_xlfn.IFNA(VLOOKUP(Referentie_Hernieuwbare_Energie_Totaal[[#This Row],[Product]]&amp;", "&amp;Referentie_Hernieuwbare_Energie_Totaal[[#Headers],[A3]],Database_Productkaarten[#All],48,FALSE),0)*Baseline!I91),0))</f>
        <v>0</v>
      </c>
      <c r="G404" s="77">
        <f>(IF(Baseline!C91="Nieuwe Situatie",(_xlfn.IFNA(VLOOKUP(Referentie_Hernieuwbare_Energie_Totaal[[#This Row],[Product]]&amp;", "&amp;Referentie_Hernieuwbare_Energie_Totaal[[#Headers],[A1-A3]],Database_Productkaarten[#All],48,FALSE),0)*Baseline!I91),0))</f>
        <v>0</v>
      </c>
      <c r="H404" s="77">
        <f>IF(Baseline!T91=0,(IF(Baseline!C91="Nieuwe Situatie",(_xlfn.IFNA(VLOOKUP(Referentie_Hernieuwbare_Energie_Totaal[[#This Row],[Product]]&amp;", "&amp;Referentie_CO2_Totaal[[#Headers],[A4]],Database_Productkaarten[#All],48,FALSE),0)*Baseline!I91),0)),IF(Baseline!C91="Nieuwe Situatie",_xlfn.IFNA(VLOOKUP(Baseline!T91,Database_Transport[#All],42,FALSE)*(Baseline!Q91*Baseline!S91),Baseline_Backlog!H194),0))</f>
        <v>0</v>
      </c>
      <c r="I404" s="77">
        <f>IF(Baseline!C91="Nieuwe situatie",IF(_xlfn.IFNA((VLOOKUP(Baseline!U91,Database_Asfalt_Aanlegset[#All],42,FALSE)*Baseline!I91),0)+_xlfn.IFNA(VLOOKUP(Baseline!V91,Database_Brandstoffen[#All],42,FALSE)*((Baseline!I91/Baseline!X91)*Baseline!W91),0)&gt;0,_xlfn.IFNA((VLOOKUP(Baseline!U91,Database_Asfalt_Aanlegset[#All],42,FALSE)*Baseline!I91),0)+_xlfn.IFNA(VLOOKUP(Baseline!V91,Database_Brandstoffen[#All],42,FALSE)*((Baseline!I91/Baseline!X91)*Baseline!W91),0),(_xlfn.IFNA(VLOOKUP(Referentie_Hernieuwbare_Energie_Totaal[[#This Row],[Product]]&amp;", "&amp;Referentie_MKI_Totaal[[#Headers],[A5]],Database_Productkaarten[#All],48,FALSE),0)*Baseline!I91)),0)</f>
        <v>0</v>
      </c>
      <c r="J404" s="77">
        <f>(IF(Baseline!C91="Nieuwe Situatie",(_xlfn.IFNA(VLOOKUP(Referentie_Hernieuwbare_Energie_Totaal[[#This Row],[Product]]&amp;", "&amp;Referentie_Hernieuwbare_Energie_Totaal[[#Headers],[B1]],Database_Productkaarten[#All],48,FALSE),0)*Baseline!I91),0))</f>
        <v>0</v>
      </c>
      <c r="K404" s="77">
        <f>(IF(Baseline!C91="Nieuwe Situatie",(SUM(Referentie_Hernieuwbare_Energie_Totaal[[#This Row],[A1]:[B1]],Referentie_Hernieuwbare_Energie_Totaal[[#This Row],[C1]:[D2]])*Baseline!R91),0))</f>
        <v>0</v>
      </c>
      <c r="L404" s="77">
        <f>IF(Baseline!C91="Bestaande situatie",IF(_xlfn.IFNA((VLOOKUP(Baseline!Y91,Database_Asfalt_Verwijderset[#All],42,FALSE)*Baseline!I91),0)+_xlfn.IFNA(VLOOKUP(Baseline!Z91,Database_Brandstoffen[#All],42,FALSE)*((Baseline!I91/Baseline!AB91)*Baseline!AA91),0)&gt;0,_xlfn.IFNA((VLOOKUP(Baseline!Y91,Database_Asfalt_Verwijderset[#All],42,FALSE)*Baseline!I91),0)+_xlfn.IFNA(VLOOKUP(Baseline!Z91,Database_Brandstoffen[#All],42,FALSE)*((Baseline!I91/Baseline!AB91)*Baseline!AA91),0),(_xlfn.IFNA(VLOOKUP(Referentie_Hernieuwbare_Energie_Totaal[[#This Row],[Product]]&amp;", "&amp;Referentie_MKI_Totaal[[#Headers],[C1]],Database_Productkaarten[#All],48,FALSE),0)*Baseline!I91)),0)</f>
        <v>0</v>
      </c>
      <c r="M404" s="77">
        <f>IF(Baseline!AD91=0,(IF(Baseline!C91="Bestaande Situatie",(_xlfn.IFNA(VLOOKUP(Referentie_Hernieuwbare_Energie_Totaal[[#This Row],[Product]]&amp;", "&amp;Referentie_MKI_Totaal[[#Headers],[C2]],Database_Productkaarten[#All],48,FALSE),0)*Baseline!I91),0)),(IF(Baseline!C91="Bestaande Situatie",_xlfn.IFNA(VLOOKUP(Baseline!AD91,Database_Transport[#All],42,FALSE)*(Baseline!Q91*Baseline!AC91),0))))</f>
        <v>0</v>
      </c>
      <c r="N404" s="77">
        <f>(IF(Baseline!C91="Bestaande Situatie",(_xlfn.IFNA(VLOOKUP(Referentie_Hernieuwbare_Energie_Totaal[[#This Row],[Product]]&amp;", "&amp;Referentie_Hernieuwbare_Energie_Totaal[[#Headers],[C3]],Database_Productkaarten[#All],48,FALSE),0)*Baseline!I91),0))</f>
        <v>0</v>
      </c>
      <c r="O404" s="77">
        <f>(IF(Baseline!C91="Bestaande Situatie",(_xlfn.IFNA(VLOOKUP(Referentie_Hernieuwbare_Energie_Totaal[[#This Row],[Product]]&amp;", "&amp;Referentie_Hernieuwbare_Energie_Totaal[[#Headers],[C4]],Database_Productkaarten[#All],48,FALSE),0)*Baseline!I91),0))</f>
        <v>0</v>
      </c>
      <c r="P404" s="77">
        <f>(IF(Baseline!C91="Bestaande Situatie",(_xlfn.IFNA(VLOOKUP(Referentie_Hernieuwbare_Energie_Totaal[[#This Row],[Product]]&amp;", "&amp;Referentie_Hernieuwbare_Energie_Totaal[[#Headers],[D1]],Database_Productkaarten[#All],48,FALSE),0)*Baseline!I91),0))</f>
        <v>0</v>
      </c>
      <c r="Q404" s="78">
        <f>(IF(Baseline!C91="Bestaande Situatie",_xlfn.IFNA(VLOOKUP(Referentie_Hernieuwbare_Energie_Totaal[[#This Row],[Product]]&amp;", "&amp;Referentie_Hernieuwbare_Energie_Totaal[[#Headers],[D2]],Database_Productkaarten[#All],48,FALSE),0)*Baseline!I91,0))</f>
        <v>0</v>
      </c>
      <c r="R404" s="57">
        <f>(IF(Baseline!C91="Bestaande Situatie",_xlfn.IFNA(VLOOKUP(Referentie_Hernieuwbare_Energie_Totaal[[#This Row],[Product]]&amp;", "&amp;Referentie_Hernieuwbare_Energie_Totaal[[#Headers],[D]],Database_Productkaarten[#All],48,FALSE),0)*Baseline!I91,0))</f>
        <v>0</v>
      </c>
      <c r="S404" s="56">
        <f>SUM(Referentie_Hernieuwbare_Energie_Totaal[[#This Row],[A1-A3]:[C4]])+Referentie_Hernieuwbare_Energie_Totaal[[#This Row],[D]]</f>
        <v>0</v>
      </c>
    </row>
    <row r="405" spans="2:19">
      <c r="B405" s="209">
        <f>Baseline!B92</f>
        <v>0</v>
      </c>
      <c r="C405" s="76">
        <f>Baseline!F92</f>
        <v>0</v>
      </c>
      <c r="D405" s="77">
        <f>(IF(Baseline!C92="Nieuwe Situatie",(_xlfn.IFNA(VLOOKUP(Referentie_Hernieuwbare_Energie_Totaal[[#This Row],[Product]]&amp;", "&amp;Referentie_Hernieuwbare_Energie_Totaal[[#Headers],[A1]],Database_Productkaarten[#All],48,FALSE),0)*Baseline!I92),0))</f>
        <v>0</v>
      </c>
      <c r="E405" s="77">
        <f>(IF(Baseline!C92="Nieuwe Situatie",(_xlfn.IFNA(VLOOKUP(Referentie_Hernieuwbare_Energie_Totaal[[#This Row],[Product]]&amp;", "&amp;Referentie_Hernieuwbare_Energie_Totaal[[#Headers],[A2]],Database_Productkaarten[#All],48,FALSE),0)*Baseline!I92),0))</f>
        <v>0</v>
      </c>
      <c r="F405" s="77">
        <f>(IF(Baseline!C92="Nieuwe Situatie",(_xlfn.IFNA(VLOOKUP(Referentie_Hernieuwbare_Energie_Totaal[[#This Row],[Product]]&amp;", "&amp;Referentie_Hernieuwbare_Energie_Totaal[[#Headers],[A3]],Database_Productkaarten[#All],48,FALSE),0)*Baseline!I92),0))</f>
        <v>0</v>
      </c>
      <c r="G405" s="77">
        <f>(IF(Baseline!C92="Nieuwe Situatie",(_xlfn.IFNA(VLOOKUP(Referentie_Hernieuwbare_Energie_Totaal[[#This Row],[Product]]&amp;", "&amp;Referentie_Hernieuwbare_Energie_Totaal[[#Headers],[A1-A3]],Database_Productkaarten[#All],48,FALSE),0)*Baseline!I92),0))</f>
        <v>0</v>
      </c>
      <c r="H405" s="77">
        <f>IF(Baseline!T92=0,(IF(Baseline!C92="Nieuwe Situatie",(_xlfn.IFNA(VLOOKUP(Referentie_Hernieuwbare_Energie_Totaal[[#This Row],[Product]]&amp;", "&amp;Referentie_CO2_Totaal[[#Headers],[A4]],Database_Productkaarten[#All],48,FALSE),0)*Baseline!I92),0)),IF(Baseline!C92="Nieuwe Situatie",_xlfn.IFNA(VLOOKUP(Baseline!T92,Database_Transport[#All],42,FALSE)*(Baseline!Q92*Baseline!S92),Baseline_Backlog!H195),0))</f>
        <v>0</v>
      </c>
      <c r="I405" s="77">
        <f>IF(Baseline!C92="Nieuwe situatie",IF(_xlfn.IFNA((VLOOKUP(Baseline!U92,Database_Asfalt_Aanlegset[#All],42,FALSE)*Baseline!I92),0)+_xlfn.IFNA(VLOOKUP(Baseline!V92,Database_Brandstoffen[#All],42,FALSE)*((Baseline!I92/Baseline!X92)*Baseline!W92),0)&gt;0,_xlfn.IFNA((VLOOKUP(Baseline!U92,Database_Asfalt_Aanlegset[#All],42,FALSE)*Baseline!I92),0)+_xlfn.IFNA(VLOOKUP(Baseline!V92,Database_Brandstoffen[#All],42,FALSE)*((Baseline!I92/Baseline!X92)*Baseline!W92),0),(_xlfn.IFNA(VLOOKUP(Referentie_Hernieuwbare_Energie_Totaal[[#This Row],[Product]]&amp;", "&amp;Referentie_MKI_Totaal[[#Headers],[A5]],Database_Productkaarten[#All],48,FALSE),0)*Baseline!I92)),0)</f>
        <v>0</v>
      </c>
      <c r="J405" s="77">
        <f>(IF(Baseline!C92="Nieuwe Situatie",(_xlfn.IFNA(VLOOKUP(Referentie_Hernieuwbare_Energie_Totaal[[#This Row],[Product]]&amp;", "&amp;Referentie_Hernieuwbare_Energie_Totaal[[#Headers],[B1]],Database_Productkaarten[#All],48,FALSE),0)*Baseline!I92),0))</f>
        <v>0</v>
      </c>
      <c r="K405" s="77">
        <f>(IF(Baseline!C92="Nieuwe Situatie",(SUM(Referentie_Hernieuwbare_Energie_Totaal[[#This Row],[A1]:[B1]],Referentie_Hernieuwbare_Energie_Totaal[[#This Row],[C1]:[D2]])*Baseline!R92),0))</f>
        <v>0</v>
      </c>
      <c r="L405" s="77">
        <f>IF(Baseline!C92="Bestaande situatie",IF(_xlfn.IFNA((VLOOKUP(Baseline!Y92,Database_Asfalt_Verwijderset[#All],42,FALSE)*Baseline!I92),0)+_xlfn.IFNA(VLOOKUP(Baseline!Z92,Database_Brandstoffen[#All],42,FALSE)*((Baseline!I92/Baseline!AB92)*Baseline!AA92),0)&gt;0,_xlfn.IFNA((VLOOKUP(Baseline!Y92,Database_Asfalt_Verwijderset[#All],42,FALSE)*Baseline!I92),0)+_xlfn.IFNA(VLOOKUP(Baseline!Z92,Database_Brandstoffen[#All],42,FALSE)*((Baseline!I92/Baseline!AB92)*Baseline!AA92),0),(_xlfn.IFNA(VLOOKUP(Referentie_Hernieuwbare_Energie_Totaal[[#This Row],[Product]]&amp;", "&amp;Referentie_MKI_Totaal[[#Headers],[C1]],Database_Productkaarten[#All],48,FALSE),0)*Baseline!I92)),0)</f>
        <v>0</v>
      </c>
      <c r="M405" s="77">
        <f>IF(Baseline!AD92=0,(IF(Baseline!C92="Bestaande Situatie",(_xlfn.IFNA(VLOOKUP(Referentie_Hernieuwbare_Energie_Totaal[[#This Row],[Product]]&amp;", "&amp;Referentie_MKI_Totaal[[#Headers],[C2]],Database_Productkaarten[#All],48,FALSE),0)*Baseline!I92),0)),(IF(Baseline!C92="Bestaande Situatie",_xlfn.IFNA(VLOOKUP(Baseline!AD92,Database_Transport[#All],42,FALSE)*(Baseline!Q92*Baseline!AC92),0))))</f>
        <v>0</v>
      </c>
      <c r="N405" s="77">
        <f>(IF(Baseline!C92="Bestaande Situatie",(_xlfn.IFNA(VLOOKUP(Referentie_Hernieuwbare_Energie_Totaal[[#This Row],[Product]]&amp;", "&amp;Referentie_Hernieuwbare_Energie_Totaal[[#Headers],[C3]],Database_Productkaarten[#All],48,FALSE),0)*Baseline!I92),0))</f>
        <v>0</v>
      </c>
      <c r="O405" s="77">
        <f>(IF(Baseline!C92="Bestaande Situatie",(_xlfn.IFNA(VLOOKUP(Referentie_Hernieuwbare_Energie_Totaal[[#This Row],[Product]]&amp;", "&amp;Referentie_Hernieuwbare_Energie_Totaal[[#Headers],[C4]],Database_Productkaarten[#All],48,FALSE),0)*Baseline!I92),0))</f>
        <v>0</v>
      </c>
      <c r="P405" s="77">
        <f>(IF(Baseline!C92="Bestaande Situatie",(_xlfn.IFNA(VLOOKUP(Referentie_Hernieuwbare_Energie_Totaal[[#This Row],[Product]]&amp;", "&amp;Referentie_Hernieuwbare_Energie_Totaal[[#Headers],[D1]],Database_Productkaarten[#All],48,FALSE),0)*Baseline!I92),0))</f>
        <v>0</v>
      </c>
      <c r="Q405" s="78">
        <f>(IF(Baseline!C92="Bestaande Situatie",_xlfn.IFNA(VLOOKUP(Referentie_Hernieuwbare_Energie_Totaal[[#This Row],[Product]]&amp;", "&amp;Referentie_Hernieuwbare_Energie_Totaal[[#Headers],[D2]],Database_Productkaarten[#All],48,FALSE),0)*Baseline!I92,0))</f>
        <v>0</v>
      </c>
      <c r="R405" s="57">
        <f>(IF(Baseline!C92="Bestaande Situatie",_xlfn.IFNA(VLOOKUP(Referentie_Hernieuwbare_Energie_Totaal[[#This Row],[Product]]&amp;", "&amp;Referentie_Hernieuwbare_Energie_Totaal[[#Headers],[D]],Database_Productkaarten[#All],48,FALSE),0)*Baseline!I92,0))</f>
        <v>0</v>
      </c>
      <c r="S405" s="56">
        <f>SUM(Referentie_Hernieuwbare_Energie_Totaal[[#This Row],[A1-A3]:[C4]])+Referentie_Hernieuwbare_Energie_Totaal[[#This Row],[D]]</f>
        <v>0</v>
      </c>
    </row>
    <row r="406" spans="2:19">
      <c r="B406" s="209">
        <f>Baseline!B93</f>
        <v>0</v>
      </c>
      <c r="C406" s="76">
        <f>Baseline!F93</f>
        <v>0</v>
      </c>
      <c r="D406" s="77">
        <f>(IF(Baseline!C93="Nieuwe Situatie",(_xlfn.IFNA(VLOOKUP(Referentie_Hernieuwbare_Energie_Totaal[[#This Row],[Product]]&amp;", "&amp;Referentie_Hernieuwbare_Energie_Totaal[[#Headers],[A1]],Database_Productkaarten[#All],48,FALSE),0)*Baseline!I93),0))</f>
        <v>0</v>
      </c>
      <c r="E406" s="77">
        <f>(IF(Baseline!C93="Nieuwe Situatie",(_xlfn.IFNA(VLOOKUP(Referentie_Hernieuwbare_Energie_Totaal[[#This Row],[Product]]&amp;", "&amp;Referentie_Hernieuwbare_Energie_Totaal[[#Headers],[A2]],Database_Productkaarten[#All],48,FALSE),0)*Baseline!I93),0))</f>
        <v>0</v>
      </c>
      <c r="F406" s="77">
        <f>(IF(Baseline!C93="Nieuwe Situatie",(_xlfn.IFNA(VLOOKUP(Referentie_Hernieuwbare_Energie_Totaal[[#This Row],[Product]]&amp;", "&amp;Referentie_Hernieuwbare_Energie_Totaal[[#Headers],[A3]],Database_Productkaarten[#All],48,FALSE),0)*Baseline!I93),0))</f>
        <v>0</v>
      </c>
      <c r="G406" s="77">
        <f>(IF(Baseline!C93="Nieuwe Situatie",(_xlfn.IFNA(VLOOKUP(Referentie_Hernieuwbare_Energie_Totaal[[#This Row],[Product]]&amp;", "&amp;Referentie_Hernieuwbare_Energie_Totaal[[#Headers],[A1-A3]],Database_Productkaarten[#All],48,FALSE),0)*Baseline!I93),0))</f>
        <v>0</v>
      </c>
      <c r="H406" s="77">
        <f>IF(Baseline!T93=0,(IF(Baseline!C93="Nieuwe Situatie",(_xlfn.IFNA(VLOOKUP(Referentie_Hernieuwbare_Energie_Totaal[[#This Row],[Product]]&amp;", "&amp;Referentie_CO2_Totaal[[#Headers],[A4]],Database_Productkaarten[#All],48,FALSE),0)*Baseline!I93),0)),IF(Baseline!C93="Nieuwe Situatie",_xlfn.IFNA(VLOOKUP(Baseline!T93,Database_Transport[#All],42,FALSE)*(Baseline!Q93*Baseline!S93),Baseline_Backlog!H196),0))</f>
        <v>0</v>
      </c>
      <c r="I406" s="77">
        <f>IF(Baseline!C93="Nieuwe situatie",IF(_xlfn.IFNA((VLOOKUP(Baseline!U93,Database_Asfalt_Aanlegset[#All],42,FALSE)*Baseline!I93),0)+_xlfn.IFNA(VLOOKUP(Baseline!V93,Database_Brandstoffen[#All],42,FALSE)*((Baseline!I93/Baseline!X93)*Baseline!W93),0)&gt;0,_xlfn.IFNA((VLOOKUP(Baseline!U93,Database_Asfalt_Aanlegset[#All],42,FALSE)*Baseline!I93),0)+_xlfn.IFNA(VLOOKUP(Baseline!V93,Database_Brandstoffen[#All],42,FALSE)*((Baseline!I93/Baseline!X93)*Baseline!W93),0),(_xlfn.IFNA(VLOOKUP(Referentie_Hernieuwbare_Energie_Totaal[[#This Row],[Product]]&amp;", "&amp;Referentie_MKI_Totaal[[#Headers],[A5]],Database_Productkaarten[#All],48,FALSE),0)*Baseline!I93)),0)</f>
        <v>0</v>
      </c>
      <c r="J406" s="77">
        <f>(IF(Baseline!C93="Nieuwe Situatie",(_xlfn.IFNA(VLOOKUP(Referentie_Hernieuwbare_Energie_Totaal[[#This Row],[Product]]&amp;", "&amp;Referentie_Hernieuwbare_Energie_Totaal[[#Headers],[B1]],Database_Productkaarten[#All],48,FALSE),0)*Baseline!I93),0))</f>
        <v>0</v>
      </c>
      <c r="K406" s="77">
        <f>(IF(Baseline!C93="Nieuwe Situatie",(SUM(Referentie_Hernieuwbare_Energie_Totaal[[#This Row],[A1]:[B1]],Referentie_Hernieuwbare_Energie_Totaal[[#This Row],[C1]:[D2]])*Baseline!R93),0))</f>
        <v>0</v>
      </c>
      <c r="L406" s="77">
        <f>IF(Baseline!C93="Bestaande situatie",IF(_xlfn.IFNA((VLOOKUP(Baseline!Y93,Database_Asfalt_Verwijderset[#All],42,FALSE)*Baseline!I93),0)+_xlfn.IFNA(VLOOKUP(Baseline!Z93,Database_Brandstoffen[#All],42,FALSE)*((Baseline!I93/Baseline!AB93)*Baseline!AA93),0)&gt;0,_xlfn.IFNA((VLOOKUP(Baseline!Y93,Database_Asfalt_Verwijderset[#All],42,FALSE)*Baseline!I93),0)+_xlfn.IFNA(VLOOKUP(Baseline!Z93,Database_Brandstoffen[#All],42,FALSE)*((Baseline!I93/Baseline!AB93)*Baseline!AA93),0),(_xlfn.IFNA(VLOOKUP(Referentie_Hernieuwbare_Energie_Totaal[[#This Row],[Product]]&amp;", "&amp;Referentie_MKI_Totaal[[#Headers],[C1]],Database_Productkaarten[#All],48,FALSE),0)*Baseline!I93)),0)</f>
        <v>0</v>
      </c>
      <c r="M406" s="77">
        <f>IF(Baseline!AD93=0,(IF(Baseline!C93="Bestaande Situatie",(_xlfn.IFNA(VLOOKUP(Referentie_Hernieuwbare_Energie_Totaal[[#This Row],[Product]]&amp;", "&amp;Referentie_MKI_Totaal[[#Headers],[C2]],Database_Productkaarten[#All],48,FALSE),0)*Baseline!I93),0)),(IF(Baseline!C93="Bestaande Situatie",_xlfn.IFNA(VLOOKUP(Baseline!AD93,Database_Transport[#All],42,FALSE)*(Baseline!Q93*Baseline!AC93),0))))</f>
        <v>0</v>
      </c>
      <c r="N406" s="77">
        <f>(IF(Baseline!C93="Bestaande Situatie",(_xlfn.IFNA(VLOOKUP(Referentie_Hernieuwbare_Energie_Totaal[[#This Row],[Product]]&amp;", "&amp;Referentie_Hernieuwbare_Energie_Totaal[[#Headers],[C3]],Database_Productkaarten[#All],48,FALSE),0)*Baseline!I93),0))</f>
        <v>0</v>
      </c>
      <c r="O406" s="77">
        <f>(IF(Baseline!C93="Bestaande Situatie",(_xlfn.IFNA(VLOOKUP(Referentie_Hernieuwbare_Energie_Totaal[[#This Row],[Product]]&amp;", "&amp;Referentie_Hernieuwbare_Energie_Totaal[[#Headers],[C4]],Database_Productkaarten[#All],48,FALSE),0)*Baseline!I93),0))</f>
        <v>0</v>
      </c>
      <c r="P406" s="77">
        <f>(IF(Baseline!C93="Bestaande Situatie",(_xlfn.IFNA(VLOOKUP(Referentie_Hernieuwbare_Energie_Totaal[[#This Row],[Product]]&amp;", "&amp;Referentie_Hernieuwbare_Energie_Totaal[[#Headers],[D1]],Database_Productkaarten[#All],48,FALSE),0)*Baseline!I93),0))</f>
        <v>0</v>
      </c>
      <c r="Q406" s="78">
        <f>(IF(Baseline!C93="Bestaande Situatie",_xlfn.IFNA(VLOOKUP(Referentie_Hernieuwbare_Energie_Totaal[[#This Row],[Product]]&amp;", "&amp;Referentie_Hernieuwbare_Energie_Totaal[[#Headers],[D2]],Database_Productkaarten[#All],48,FALSE),0)*Baseline!I93,0))</f>
        <v>0</v>
      </c>
      <c r="R406" s="57">
        <f>(IF(Baseline!C93="Bestaande Situatie",_xlfn.IFNA(VLOOKUP(Referentie_Hernieuwbare_Energie_Totaal[[#This Row],[Product]]&amp;", "&amp;Referentie_Hernieuwbare_Energie_Totaal[[#Headers],[D]],Database_Productkaarten[#All],48,FALSE),0)*Baseline!I93,0))</f>
        <v>0</v>
      </c>
      <c r="S406" s="56">
        <f>SUM(Referentie_Hernieuwbare_Energie_Totaal[[#This Row],[A1-A3]:[C4]])+Referentie_Hernieuwbare_Energie_Totaal[[#This Row],[D]]</f>
        <v>0</v>
      </c>
    </row>
    <row r="407" spans="2:19">
      <c r="B407" s="209">
        <f>Baseline!B94</f>
        <v>0</v>
      </c>
      <c r="C407" s="76">
        <f>Baseline!F94</f>
        <v>0</v>
      </c>
      <c r="D407" s="77">
        <f>(IF(Baseline!C94="Nieuwe Situatie",(_xlfn.IFNA(VLOOKUP(Referentie_Hernieuwbare_Energie_Totaal[[#This Row],[Product]]&amp;", "&amp;Referentie_Hernieuwbare_Energie_Totaal[[#Headers],[A1]],Database_Productkaarten[#All],48,FALSE),0)*Baseline!I94),0))</f>
        <v>0</v>
      </c>
      <c r="E407" s="77">
        <f>(IF(Baseline!C94="Nieuwe Situatie",(_xlfn.IFNA(VLOOKUP(Referentie_Hernieuwbare_Energie_Totaal[[#This Row],[Product]]&amp;", "&amp;Referentie_Hernieuwbare_Energie_Totaal[[#Headers],[A2]],Database_Productkaarten[#All],48,FALSE),0)*Baseline!I94),0))</f>
        <v>0</v>
      </c>
      <c r="F407" s="77">
        <f>(IF(Baseline!C94="Nieuwe Situatie",(_xlfn.IFNA(VLOOKUP(Referentie_Hernieuwbare_Energie_Totaal[[#This Row],[Product]]&amp;", "&amp;Referentie_Hernieuwbare_Energie_Totaal[[#Headers],[A3]],Database_Productkaarten[#All],48,FALSE),0)*Baseline!I94),0))</f>
        <v>0</v>
      </c>
      <c r="G407" s="77">
        <f>(IF(Baseline!C94="Nieuwe Situatie",(_xlfn.IFNA(VLOOKUP(Referentie_Hernieuwbare_Energie_Totaal[[#This Row],[Product]]&amp;", "&amp;Referentie_Hernieuwbare_Energie_Totaal[[#Headers],[A1-A3]],Database_Productkaarten[#All],48,FALSE),0)*Baseline!I94),0))</f>
        <v>0</v>
      </c>
      <c r="H407" s="77">
        <f>IF(Baseline!T94=0,(IF(Baseline!C94="Nieuwe Situatie",(_xlfn.IFNA(VLOOKUP(Referentie_Hernieuwbare_Energie_Totaal[[#This Row],[Product]]&amp;", "&amp;Referentie_CO2_Totaal[[#Headers],[A4]],Database_Productkaarten[#All],48,FALSE),0)*Baseline!I94),0)),IF(Baseline!C94="Nieuwe Situatie",_xlfn.IFNA(VLOOKUP(Baseline!T94,Database_Transport[#All],42,FALSE)*(Baseline!Q94*Baseline!S94),Baseline_Backlog!H197),0))</f>
        <v>0</v>
      </c>
      <c r="I407" s="77">
        <f>IF(Baseline!C94="Nieuwe situatie",IF(_xlfn.IFNA((VLOOKUP(Baseline!U94,Database_Asfalt_Aanlegset[#All],42,FALSE)*Baseline!I94),0)+_xlfn.IFNA(VLOOKUP(Baseline!V94,Database_Brandstoffen[#All],42,FALSE)*((Baseline!I94/Baseline!X94)*Baseline!W94),0)&gt;0,_xlfn.IFNA((VLOOKUP(Baseline!U94,Database_Asfalt_Aanlegset[#All],42,FALSE)*Baseline!I94),0)+_xlfn.IFNA(VLOOKUP(Baseline!V94,Database_Brandstoffen[#All],42,FALSE)*((Baseline!I94/Baseline!X94)*Baseline!W94),0),(_xlfn.IFNA(VLOOKUP(Referentie_Hernieuwbare_Energie_Totaal[[#This Row],[Product]]&amp;", "&amp;Referentie_MKI_Totaal[[#Headers],[A5]],Database_Productkaarten[#All],48,FALSE),0)*Baseline!I94)),0)</f>
        <v>0</v>
      </c>
      <c r="J407" s="77">
        <f>(IF(Baseline!C94="Nieuwe Situatie",(_xlfn.IFNA(VLOOKUP(Referentie_Hernieuwbare_Energie_Totaal[[#This Row],[Product]]&amp;", "&amp;Referentie_Hernieuwbare_Energie_Totaal[[#Headers],[B1]],Database_Productkaarten[#All],48,FALSE),0)*Baseline!I94),0))</f>
        <v>0</v>
      </c>
      <c r="K407" s="77">
        <f>(IF(Baseline!C94="Nieuwe Situatie",(SUM(Referentie_Hernieuwbare_Energie_Totaal[[#This Row],[A1]:[B1]],Referentie_Hernieuwbare_Energie_Totaal[[#This Row],[C1]:[D2]])*Baseline!R94),0))</f>
        <v>0</v>
      </c>
      <c r="L407" s="77">
        <f>IF(Baseline!C94="Bestaande situatie",IF(_xlfn.IFNA((VLOOKUP(Baseline!Y94,Database_Asfalt_Verwijderset[#All],42,FALSE)*Baseline!I94),0)+_xlfn.IFNA(VLOOKUP(Baseline!Z94,Database_Brandstoffen[#All],42,FALSE)*((Baseline!I94/Baseline!AB94)*Baseline!AA94),0)&gt;0,_xlfn.IFNA((VLOOKUP(Baseline!Y94,Database_Asfalt_Verwijderset[#All],42,FALSE)*Baseline!I94),0)+_xlfn.IFNA(VLOOKUP(Baseline!Z94,Database_Brandstoffen[#All],42,FALSE)*((Baseline!I94/Baseline!AB94)*Baseline!AA94),0),(_xlfn.IFNA(VLOOKUP(Referentie_Hernieuwbare_Energie_Totaal[[#This Row],[Product]]&amp;", "&amp;Referentie_MKI_Totaal[[#Headers],[C1]],Database_Productkaarten[#All],48,FALSE),0)*Baseline!I94)),0)</f>
        <v>0</v>
      </c>
      <c r="M407" s="77">
        <f>IF(Baseline!AD94=0,(IF(Baseline!C94="Bestaande Situatie",(_xlfn.IFNA(VLOOKUP(Referentie_Hernieuwbare_Energie_Totaal[[#This Row],[Product]]&amp;", "&amp;Referentie_MKI_Totaal[[#Headers],[C2]],Database_Productkaarten[#All],48,FALSE),0)*Baseline!I94),0)),(IF(Baseline!C94="Bestaande Situatie",_xlfn.IFNA(VLOOKUP(Baseline!AD94,Database_Transport[#All],42,FALSE)*(Baseline!Q94*Baseline!AC94),0))))</f>
        <v>0</v>
      </c>
      <c r="N407" s="77">
        <f>(IF(Baseline!C94="Bestaande Situatie",(_xlfn.IFNA(VLOOKUP(Referentie_Hernieuwbare_Energie_Totaal[[#This Row],[Product]]&amp;", "&amp;Referentie_Hernieuwbare_Energie_Totaal[[#Headers],[C3]],Database_Productkaarten[#All],48,FALSE),0)*Baseline!I94),0))</f>
        <v>0</v>
      </c>
      <c r="O407" s="77">
        <f>(IF(Baseline!C94="Bestaande Situatie",(_xlfn.IFNA(VLOOKUP(Referentie_Hernieuwbare_Energie_Totaal[[#This Row],[Product]]&amp;", "&amp;Referentie_Hernieuwbare_Energie_Totaal[[#Headers],[C4]],Database_Productkaarten[#All],48,FALSE),0)*Baseline!I94),0))</f>
        <v>0</v>
      </c>
      <c r="P407" s="77">
        <f>(IF(Baseline!C94="Bestaande Situatie",(_xlfn.IFNA(VLOOKUP(Referentie_Hernieuwbare_Energie_Totaal[[#This Row],[Product]]&amp;", "&amp;Referentie_Hernieuwbare_Energie_Totaal[[#Headers],[D1]],Database_Productkaarten[#All],48,FALSE),0)*Baseline!I94),0))</f>
        <v>0</v>
      </c>
      <c r="Q407" s="78">
        <f>(IF(Baseline!C94="Bestaande Situatie",_xlfn.IFNA(VLOOKUP(Referentie_Hernieuwbare_Energie_Totaal[[#This Row],[Product]]&amp;", "&amp;Referentie_Hernieuwbare_Energie_Totaal[[#Headers],[D2]],Database_Productkaarten[#All],48,FALSE),0)*Baseline!I94,0))</f>
        <v>0</v>
      </c>
      <c r="R407" s="57">
        <f>(IF(Baseline!C94="Bestaande Situatie",_xlfn.IFNA(VLOOKUP(Referentie_Hernieuwbare_Energie_Totaal[[#This Row],[Product]]&amp;", "&amp;Referentie_Hernieuwbare_Energie_Totaal[[#Headers],[D]],Database_Productkaarten[#All],48,FALSE),0)*Baseline!I94,0))</f>
        <v>0</v>
      </c>
      <c r="S407" s="56">
        <f>SUM(Referentie_Hernieuwbare_Energie_Totaal[[#This Row],[A1-A3]:[C4]])+Referentie_Hernieuwbare_Energie_Totaal[[#This Row],[D]]</f>
        <v>0</v>
      </c>
    </row>
    <row r="408" spans="2:19">
      <c r="B408" s="209">
        <f>Baseline!B95</f>
        <v>0</v>
      </c>
      <c r="C408" s="76">
        <f>Baseline!F95</f>
        <v>0</v>
      </c>
      <c r="D408" s="77">
        <f>(IF(Baseline!C95="Nieuwe Situatie",(_xlfn.IFNA(VLOOKUP(Referentie_Hernieuwbare_Energie_Totaal[[#This Row],[Product]]&amp;", "&amp;Referentie_Hernieuwbare_Energie_Totaal[[#Headers],[A1]],Database_Productkaarten[#All],48,FALSE),0)*Baseline!I95),0))</f>
        <v>0</v>
      </c>
      <c r="E408" s="77">
        <f>(IF(Baseline!C95="Nieuwe Situatie",(_xlfn.IFNA(VLOOKUP(Referentie_Hernieuwbare_Energie_Totaal[[#This Row],[Product]]&amp;", "&amp;Referentie_Hernieuwbare_Energie_Totaal[[#Headers],[A2]],Database_Productkaarten[#All],48,FALSE),0)*Baseline!I95),0))</f>
        <v>0</v>
      </c>
      <c r="F408" s="77">
        <f>(IF(Baseline!C95="Nieuwe Situatie",(_xlfn.IFNA(VLOOKUP(Referentie_Hernieuwbare_Energie_Totaal[[#This Row],[Product]]&amp;", "&amp;Referentie_Hernieuwbare_Energie_Totaal[[#Headers],[A3]],Database_Productkaarten[#All],48,FALSE),0)*Baseline!I95),0))</f>
        <v>0</v>
      </c>
      <c r="G408" s="77">
        <f>(IF(Baseline!C95="Nieuwe Situatie",(_xlfn.IFNA(VLOOKUP(Referentie_Hernieuwbare_Energie_Totaal[[#This Row],[Product]]&amp;", "&amp;Referentie_Hernieuwbare_Energie_Totaal[[#Headers],[A1-A3]],Database_Productkaarten[#All],48,FALSE),0)*Baseline!I95),0))</f>
        <v>0</v>
      </c>
      <c r="H408" s="77">
        <f>IF(Baseline!T95=0,(IF(Baseline!C95="Nieuwe Situatie",(_xlfn.IFNA(VLOOKUP(Referentie_Hernieuwbare_Energie_Totaal[[#This Row],[Product]]&amp;", "&amp;Referentie_CO2_Totaal[[#Headers],[A4]],Database_Productkaarten[#All],48,FALSE),0)*Baseline!I95),0)),IF(Baseline!C95="Nieuwe Situatie",_xlfn.IFNA(VLOOKUP(Baseline!T95,Database_Transport[#All],42,FALSE)*(Baseline!Q95*Baseline!S95),Baseline_Backlog!H198),0))</f>
        <v>0</v>
      </c>
      <c r="I408" s="77">
        <f>IF(Baseline!C95="Nieuwe situatie",IF(_xlfn.IFNA((VLOOKUP(Baseline!U95,Database_Asfalt_Aanlegset[#All],42,FALSE)*Baseline!I95),0)+_xlfn.IFNA(VLOOKUP(Baseline!V95,Database_Brandstoffen[#All],42,FALSE)*((Baseline!I95/Baseline!X95)*Baseline!W95),0)&gt;0,_xlfn.IFNA((VLOOKUP(Baseline!U95,Database_Asfalt_Aanlegset[#All],42,FALSE)*Baseline!I95),0)+_xlfn.IFNA(VLOOKUP(Baseline!V95,Database_Brandstoffen[#All],42,FALSE)*((Baseline!I95/Baseline!X95)*Baseline!W95),0),(_xlfn.IFNA(VLOOKUP(Referentie_Hernieuwbare_Energie_Totaal[[#This Row],[Product]]&amp;", "&amp;Referentie_MKI_Totaal[[#Headers],[A5]],Database_Productkaarten[#All],48,FALSE),0)*Baseline!I95)),0)</f>
        <v>0</v>
      </c>
      <c r="J408" s="77">
        <f>(IF(Baseline!C95="Nieuwe Situatie",(_xlfn.IFNA(VLOOKUP(Referentie_Hernieuwbare_Energie_Totaal[[#This Row],[Product]]&amp;", "&amp;Referentie_Hernieuwbare_Energie_Totaal[[#Headers],[B1]],Database_Productkaarten[#All],48,FALSE),0)*Baseline!I95),0))</f>
        <v>0</v>
      </c>
      <c r="K408" s="77">
        <f>(IF(Baseline!C95="Nieuwe Situatie",(SUM(Referentie_Hernieuwbare_Energie_Totaal[[#This Row],[A1]:[B1]],Referentie_Hernieuwbare_Energie_Totaal[[#This Row],[C1]:[D2]])*Baseline!R95),0))</f>
        <v>0</v>
      </c>
      <c r="L408" s="77">
        <f>IF(Baseline!C95="Bestaande situatie",IF(_xlfn.IFNA((VLOOKUP(Baseline!Y95,Database_Asfalt_Verwijderset[#All],42,FALSE)*Baseline!I95),0)+_xlfn.IFNA(VLOOKUP(Baseline!Z95,Database_Brandstoffen[#All],42,FALSE)*((Baseline!I95/Baseline!AB95)*Baseline!AA95),0)&gt;0,_xlfn.IFNA((VLOOKUP(Baseline!Y95,Database_Asfalt_Verwijderset[#All],42,FALSE)*Baseline!I95),0)+_xlfn.IFNA(VLOOKUP(Baseline!Z95,Database_Brandstoffen[#All],42,FALSE)*((Baseline!I95/Baseline!AB95)*Baseline!AA95),0),(_xlfn.IFNA(VLOOKUP(Referentie_Hernieuwbare_Energie_Totaal[[#This Row],[Product]]&amp;", "&amp;Referentie_MKI_Totaal[[#Headers],[C1]],Database_Productkaarten[#All],48,FALSE),0)*Baseline!I95)),0)</f>
        <v>0</v>
      </c>
      <c r="M408" s="77">
        <f>IF(Baseline!AD95=0,(IF(Baseline!C95="Bestaande Situatie",(_xlfn.IFNA(VLOOKUP(Referentie_Hernieuwbare_Energie_Totaal[[#This Row],[Product]]&amp;", "&amp;Referentie_MKI_Totaal[[#Headers],[C2]],Database_Productkaarten[#All],48,FALSE),0)*Baseline!I95),0)),(IF(Baseline!C95="Bestaande Situatie",_xlfn.IFNA(VLOOKUP(Baseline!AD95,Database_Transport[#All],42,FALSE)*(Baseline!Q95*Baseline!AC95),0))))</f>
        <v>0</v>
      </c>
      <c r="N408" s="77">
        <f>(IF(Baseline!C95="Bestaande Situatie",(_xlfn.IFNA(VLOOKUP(Referentie_Hernieuwbare_Energie_Totaal[[#This Row],[Product]]&amp;", "&amp;Referentie_Hernieuwbare_Energie_Totaal[[#Headers],[C3]],Database_Productkaarten[#All],48,FALSE),0)*Baseline!I95),0))</f>
        <v>0</v>
      </c>
      <c r="O408" s="77">
        <f>(IF(Baseline!C95="Bestaande Situatie",(_xlfn.IFNA(VLOOKUP(Referentie_Hernieuwbare_Energie_Totaal[[#This Row],[Product]]&amp;", "&amp;Referentie_Hernieuwbare_Energie_Totaal[[#Headers],[C4]],Database_Productkaarten[#All],48,FALSE),0)*Baseline!I95),0))</f>
        <v>0</v>
      </c>
      <c r="P408" s="77">
        <f>(IF(Baseline!C95="Bestaande Situatie",(_xlfn.IFNA(VLOOKUP(Referentie_Hernieuwbare_Energie_Totaal[[#This Row],[Product]]&amp;", "&amp;Referentie_Hernieuwbare_Energie_Totaal[[#Headers],[D1]],Database_Productkaarten[#All],48,FALSE),0)*Baseline!I95),0))</f>
        <v>0</v>
      </c>
      <c r="Q408" s="78">
        <f>(IF(Baseline!C95="Bestaande Situatie",_xlfn.IFNA(VLOOKUP(Referentie_Hernieuwbare_Energie_Totaal[[#This Row],[Product]]&amp;", "&amp;Referentie_Hernieuwbare_Energie_Totaal[[#Headers],[D2]],Database_Productkaarten[#All],48,FALSE),0)*Baseline!I95,0))</f>
        <v>0</v>
      </c>
      <c r="R408" s="57">
        <f>(IF(Baseline!C95="Bestaande Situatie",_xlfn.IFNA(VLOOKUP(Referentie_Hernieuwbare_Energie_Totaal[[#This Row],[Product]]&amp;", "&amp;Referentie_Hernieuwbare_Energie_Totaal[[#Headers],[D]],Database_Productkaarten[#All],48,FALSE),0)*Baseline!I95,0))</f>
        <v>0</v>
      </c>
      <c r="S408" s="56">
        <f>SUM(Referentie_Hernieuwbare_Energie_Totaal[[#This Row],[A1-A3]:[C4]])+Referentie_Hernieuwbare_Energie_Totaal[[#This Row],[D]]</f>
        <v>0</v>
      </c>
    </row>
    <row r="409" spans="2:19">
      <c r="B409" s="209">
        <f>Baseline!B96</f>
        <v>0</v>
      </c>
      <c r="C409" s="76">
        <f>Baseline!F96</f>
        <v>0</v>
      </c>
      <c r="D409" s="77">
        <f>(IF(Baseline!C96="Nieuwe Situatie",(_xlfn.IFNA(VLOOKUP(Referentie_Hernieuwbare_Energie_Totaal[[#This Row],[Product]]&amp;", "&amp;Referentie_Hernieuwbare_Energie_Totaal[[#Headers],[A1]],Database_Productkaarten[#All],48,FALSE),0)*Baseline!I96),0))</f>
        <v>0</v>
      </c>
      <c r="E409" s="77">
        <f>(IF(Baseline!C96="Nieuwe Situatie",(_xlfn.IFNA(VLOOKUP(Referentie_Hernieuwbare_Energie_Totaal[[#This Row],[Product]]&amp;", "&amp;Referentie_Hernieuwbare_Energie_Totaal[[#Headers],[A2]],Database_Productkaarten[#All],48,FALSE),0)*Baseline!I96),0))</f>
        <v>0</v>
      </c>
      <c r="F409" s="77">
        <f>(IF(Baseline!C96="Nieuwe Situatie",(_xlfn.IFNA(VLOOKUP(Referentie_Hernieuwbare_Energie_Totaal[[#This Row],[Product]]&amp;", "&amp;Referentie_Hernieuwbare_Energie_Totaal[[#Headers],[A3]],Database_Productkaarten[#All],48,FALSE),0)*Baseline!I96),0))</f>
        <v>0</v>
      </c>
      <c r="G409" s="77">
        <f>(IF(Baseline!C96="Nieuwe Situatie",(_xlfn.IFNA(VLOOKUP(Referentie_Hernieuwbare_Energie_Totaal[[#This Row],[Product]]&amp;", "&amp;Referentie_Hernieuwbare_Energie_Totaal[[#Headers],[A1-A3]],Database_Productkaarten[#All],48,FALSE),0)*Baseline!I96),0))</f>
        <v>0</v>
      </c>
      <c r="H409" s="77">
        <f>IF(Baseline!T96=0,(IF(Baseline!C96="Nieuwe Situatie",(_xlfn.IFNA(VLOOKUP(Referentie_Hernieuwbare_Energie_Totaal[[#This Row],[Product]]&amp;", "&amp;Referentie_CO2_Totaal[[#Headers],[A4]],Database_Productkaarten[#All],48,FALSE),0)*Baseline!I96),0)),IF(Baseline!C96="Nieuwe Situatie",_xlfn.IFNA(VLOOKUP(Baseline!T96,Database_Transport[#All],42,FALSE)*(Baseline!Q96*Baseline!S96),Baseline_Backlog!H199),0))</f>
        <v>0</v>
      </c>
      <c r="I409" s="77">
        <f>IF(Baseline!C96="Nieuwe situatie",IF(_xlfn.IFNA((VLOOKUP(Baseline!U96,Database_Asfalt_Aanlegset[#All],42,FALSE)*Baseline!I96),0)+_xlfn.IFNA(VLOOKUP(Baseline!V96,Database_Brandstoffen[#All],42,FALSE)*((Baseline!I96/Baseline!X96)*Baseline!W96),0)&gt;0,_xlfn.IFNA((VLOOKUP(Baseline!U96,Database_Asfalt_Aanlegset[#All],42,FALSE)*Baseline!I96),0)+_xlfn.IFNA(VLOOKUP(Baseline!V96,Database_Brandstoffen[#All],42,FALSE)*((Baseline!I96/Baseline!X96)*Baseline!W96),0),(_xlfn.IFNA(VLOOKUP(Referentie_Hernieuwbare_Energie_Totaal[[#This Row],[Product]]&amp;", "&amp;Referentie_MKI_Totaal[[#Headers],[A5]],Database_Productkaarten[#All],48,FALSE),0)*Baseline!I96)),0)</f>
        <v>0</v>
      </c>
      <c r="J409" s="77">
        <f>(IF(Baseline!C96="Nieuwe Situatie",(_xlfn.IFNA(VLOOKUP(Referentie_Hernieuwbare_Energie_Totaal[[#This Row],[Product]]&amp;", "&amp;Referentie_Hernieuwbare_Energie_Totaal[[#Headers],[B1]],Database_Productkaarten[#All],48,FALSE),0)*Baseline!I96),0))</f>
        <v>0</v>
      </c>
      <c r="K409" s="77">
        <f>(IF(Baseline!C96="Nieuwe Situatie",(SUM(Referentie_Hernieuwbare_Energie_Totaal[[#This Row],[A1]:[B1]],Referentie_Hernieuwbare_Energie_Totaal[[#This Row],[C1]:[D2]])*Baseline!R96),0))</f>
        <v>0</v>
      </c>
      <c r="L409" s="77">
        <f>IF(Baseline!C96="Bestaande situatie",IF(_xlfn.IFNA((VLOOKUP(Baseline!Y96,Database_Asfalt_Verwijderset[#All],42,FALSE)*Baseline!I96),0)+_xlfn.IFNA(VLOOKUP(Baseline!Z96,Database_Brandstoffen[#All],42,FALSE)*((Baseline!I96/Baseline!AB96)*Baseline!AA96),0)&gt;0,_xlfn.IFNA((VLOOKUP(Baseline!Y96,Database_Asfalt_Verwijderset[#All],42,FALSE)*Baseline!I96),0)+_xlfn.IFNA(VLOOKUP(Baseline!Z96,Database_Brandstoffen[#All],42,FALSE)*((Baseline!I96/Baseline!AB96)*Baseline!AA96),0),(_xlfn.IFNA(VLOOKUP(Referentie_Hernieuwbare_Energie_Totaal[[#This Row],[Product]]&amp;", "&amp;Referentie_MKI_Totaal[[#Headers],[C1]],Database_Productkaarten[#All],48,FALSE),0)*Baseline!I96)),0)</f>
        <v>0</v>
      </c>
      <c r="M409" s="77">
        <f>IF(Baseline!AD96=0,(IF(Baseline!C96="Bestaande Situatie",(_xlfn.IFNA(VLOOKUP(Referentie_Hernieuwbare_Energie_Totaal[[#This Row],[Product]]&amp;", "&amp;Referentie_MKI_Totaal[[#Headers],[C2]],Database_Productkaarten[#All],48,FALSE),0)*Baseline!I96),0)),(IF(Baseline!C96="Bestaande Situatie",_xlfn.IFNA(VLOOKUP(Baseline!AD96,Database_Transport[#All],42,FALSE)*(Baseline!Q96*Baseline!AC96),0))))</f>
        <v>0</v>
      </c>
      <c r="N409" s="77">
        <f>(IF(Baseline!C96="Bestaande Situatie",(_xlfn.IFNA(VLOOKUP(Referentie_Hernieuwbare_Energie_Totaal[[#This Row],[Product]]&amp;", "&amp;Referentie_Hernieuwbare_Energie_Totaal[[#Headers],[C3]],Database_Productkaarten[#All],48,FALSE),0)*Baseline!I96),0))</f>
        <v>0</v>
      </c>
      <c r="O409" s="77">
        <f>(IF(Baseline!C96="Bestaande Situatie",(_xlfn.IFNA(VLOOKUP(Referentie_Hernieuwbare_Energie_Totaal[[#This Row],[Product]]&amp;", "&amp;Referentie_Hernieuwbare_Energie_Totaal[[#Headers],[C4]],Database_Productkaarten[#All],48,FALSE),0)*Baseline!I96),0))</f>
        <v>0</v>
      </c>
      <c r="P409" s="77">
        <f>(IF(Baseline!C96="Bestaande Situatie",(_xlfn.IFNA(VLOOKUP(Referentie_Hernieuwbare_Energie_Totaal[[#This Row],[Product]]&amp;", "&amp;Referentie_Hernieuwbare_Energie_Totaal[[#Headers],[D1]],Database_Productkaarten[#All],48,FALSE),0)*Baseline!I96),0))</f>
        <v>0</v>
      </c>
      <c r="Q409" s="78">
        <f>(IF(Baseline!C96="Bestaande Situatie",_xlfn.IFNA(VLOOKUP(Referentie_Hernieuwbare_Energie_Totaal[[#This Row],[Product]]&amp;", "&amp;Referentie_Hernieuwbare_Energie_Totaal[[#Headers],[D2]],Database_Productkaarten[#All],48,FALSE),0)*Baseline!I96,0))</f>
        <v>0</v>
      </c>
      <c r="R409" s="57">
        <f>(IF(Baseline!C96="Bestaande Situatie",_xlfn.IFNA(VLOOKUP(Referentie_Hernieuwbare_Energie_Totaal[[#This Row],[Product]]&amp;", "&amp;Referentie_Hernieuwbare_Energie_Totaal[[#Headers],[D]],Database_Productkaarten[#All],48,FALSE),0)*Baseline!I96,0))</f>
        <v>0</v>
      </c>
      <c r="S409" s="56">
        <f>SUM(Referentie_Hernieuwbare_Energie_Totaal[[#This Row],[A1-A3]:[C4]])+Referentie_Hernieuwbare_Energie_Totaal[[#This Row],[D]]</f>
        <v>0</v>
      </c>
    </row>
    <row r="410" spans="2:19">
      <c r="B410" s="209">
        <f>Baseline!B97</f>
        <v>0</v>
      </c>
      <c r="C410" s="76">
        <f>Baseline!F97</f>
        <v>0</v>
      </c>
      <c r="D410" s="77">
        <f>(IF(Baseline!C97="Nieuwe Situatie",(_xlfn.IFNA(VLOOKUP(Referentie_Hernieuwbare_Energie_Totaal[[#This Row],[Product]]&amp;", "&amp;Referentie_Hernieuwbare_Energie_Totaal[[#Headers],[A1]],Database_Productkaarten[#All],48,FALSE),0)*Baseline!I97),0))</f>
        <v>0</v>
      </c>
      <c r="E410" s="77">
        <f>(IF(Baseline!C97="Nieuwe Situatie",(_xlfn.IFNA(VLOOKUP(Referentie_Hernieuwbare_Energie_Totaal[[#This Row],[Product]]&amp;", "&amp;Referentie_Hernieuwbare_Energie_Totaal[[#Headers],[A2]],Database_Productkaarten[#All],48,FALSE),0)*Baseline!I97),0))</f>
        <v>0</v>
      </c>
      <c r="F410" s="77">
        <f>(IF(Baseline!C97="Nieuwe Situatie",(_xlfn.IFNA(VLOOKUP(Referentie_Hernieuwbare_Energie_Totaal[[#This Row],[Product]]&amp;", "&amp;Referentie_Hernieuwbare_Energie_Totaal[[#Headers],[A3]],Database_Productkaarten[#All],48,FALSE),0)*Baseline!I97),0))</f>
        <v>0</v>
      </c>
      <c r="G410" s="77">
        <f>(IF(Baseline!C97="Nieuwe Situatie",(_xlfn.IFNA(VLOOKUP(Referentie_Hernieuwbare_Energie_Totaal[[#This Row],[Product]]&amp;", "&amp;Referentie_Hernieuwbare_Energie_Totaal[[#Headers],[A1-A3]],Database_Productkaarten[#All],48,FALSE),0)*Baseline!I97),0))</f>
        <v>0</v>
      </c>
      <c r="H410" s="77">
        <f>IF(Baseline!T97=0,(IF(Baseline!C97="Nieuwe Situatie",(_xlfn.IFNA(VLOOKUP(Referentie_Hernieuwbare_Energie_Totaal[[#This Row],[Product]]&amp;", "&amp;Referentie_CO2_Totaal[[#Headers],[A4]],Database_Productkaarten[#All],48,FALSE),0)*Baseline!I97),0)),IF(Baseline!C97="Nieuwe Situatie",_xlfn.IFNA(VLOOKUP(Baseline!T97,Database_Transport[#All],42,FALSE)*(Baseline!Q97*Baseline!S97),Baseline_Backlog!H200),0))</f>
        <v>0</v>
      </c>
      <c r="I410" s="77">
        <f>IF(Baseline!C97="Nieuwe situatie",IF(_xlfn.IFNA((VLOOKUP(Baseline!U97,Database_Asfalt_Aanlegset[#All],42,FALSE)*Baseline!I97),0)+_xlfn.IFNA(VLOOKUP(Baseline!V97,Database_Brandstoffen[#All],42,FALSE)*((Baseline!I97/Baseline!X97)*Baseline!W97),0)&gt;0,_xlfn.IFNA((VLOOKUP(Baseline!U97,Database_Asfalt_Aanlegset[#All],42,FALSE)*Baseline!I97),0)+_xlfn.IFNA(VLOOKUP(Baseline!V97,Database_Brandstoffen[#All],42,FALSE)*((Baseline!I97/Baseline!X97)*Baseline!W97),0),(_xlfn.IFNA(VLOOKUP(Referentie_Hernieuwbare_Energie_Totaal[[#This Row],[Product]]&amp;", "&amp;Referentie_MKI_Totaal[[#Headers],[A5]],Database_Productkaarten[#All],48,FALSE),0)*Baseline!I97)),0)</f>
        <v>0</v>
      </c>
      <c r="J410" s="77">
        <f>(IF(Baseline!C97="Nieuwe Situatie",(_xlfn.IFNA(VLOOKUP(Referentie_Hernieuwbare_Energie_Totaal[[#This Row],[Product]]&amp;", "&amp;Referentie_Hernieuwbare_Energie_Totaal[[#Headers],[B1]],Database_Productkaarten[#All],48,FALSE),0)*Baseline!I97),0))</f>
        <v>0</v>
      </c>
      <c r="K410" s="77">
        <f>(IF(Baseline!C97="Nieuwe Situatie",(SUM(Referentie_Hernieuwbare_Energie_Totaal[[#This Row],[A1]:[B1]],Referentie_Hernieuwbare_Energie_Totaal[[#This Row],[C1]:[D2]])*Baseline!R97),0))</f>
        <v>0</v>
      </c>
      <c r="L410" s="77">
        <f>IF(Baseline!C97="Bestaande situatie",IF(_xlfn.IFNA((VLOOKUP(Baseline!Y97,Database_Asfalt_Verwijderset[#All],42,FALSE)*Baseline!I97),0)+_xlfn.IFNA(VLOOKUP(Baseline!Z97,Database_Brandstoffen[#All],42,FALSE)*((Baseline!I97/Baseline!AB97)*Baseline!AA97),0)&gt;0,_xlfn.IFNA((VLOOKUP(Baseline!Y97,Database_Asfalt_Verwijderset[#All],42,FALSE)*Baseline!I97),0)+_xlfn.IFNA(VLOOKUP(Baseline!Z97,Database_Brandstoffen[#All],42,FALSE)*((Baseline!I97/Baseline!AB97)*Baseline!AA97),0),(_xlfn.IFNA(VLOOKUP(Referentie_Hernieuwbare_Energie_Totaal[[#This Row],[Product]]&amp;", "&amp;Referentie_MKI_Totaal[[#Headers],[C1]],Database_Productkaarten[#All],48,FALSE),0)*Baseline!I97)),0)</f>
        <v>0</v>
      </c>
      <c r="M410" s="77">
        <f>IF(Baseline!AD97=0,(IF(Baseline!C97="Bestaande Situatie",(_xlfn.IFNA(VLOOKUP(Referentie_Hernieuwbare_Energie_Totaal[[#This Row],[Product]]&amp;", "&amp;Referentie_MKI_Totaal[[#Headers],[C2]],Database_Productkaarten[#All],48,FALSE),0)*Baseline!I97),0)),(IF(Baseline!C97="Bestaande Situatie",_xlfn.IFNA(VLOOKUP(Baseline!AD97,Database_Transport[#All],42,FALSE)*(Baseline!Q97*Baseline!AC97),0))))</f>
        <v>0</v>
      </c>
      <c r="N410" s="77">
        <f>(IF(Baseline!C97="Bestaande Situatie",(_xlfn.IFNA(VLOOKUP(Referentie_Hernieuwbare_Energie_Totaal[[#This Row],[Product]]&amp;", "&amp;Referentie_Hernieuwbare_Energie_Totaal[[#Headers],[C3]],Database_Productkaarten[#All],48,FALSE),0)*Baseline!I97),0))</f>
        <v>0</v>
      </c>
      <c r="O410" s="77">
        <f>(IF(Baseline!C97="Bestaande Situatie",(_xlfn.IFNA(VLOOKUP(Referentie_Hernieuwbare_Energie_Totaal[[#This Row],[Product]]&amp;", "&amp;Referentie_Hernieuwbare_Energie_Totaal[[#Headers],[C4]],Database_Productkaarten[#All],48,FALSE),0)*Baseline!I97),0))</f>
        <v>0</v>
      </c>
      <c r="P410" s="77">
        <f>(IF(Baseline!C97="Bestaande Situatie",(_xlfn.IFNA(VLOOKUP(Referentie_Hernieuwbare_Energie_Totaal[[#This Row],[Product]]&amp;", "&amp;Referentie_Hernieuwbare_Energie_Totaal[[#Headers],[D1]],Database_Productkaarten[#All],48,FALSE),0)*Baseline!I97),0))</f>
        <v>0</v>
      </c>
      <c r="Q410" s="78">
        <f>(IF(Baseline!C97="Bestaande Situatie",_xlfn.IFNA(VLOOKUP(Referentie_Hernieuwbare_Energie_Totaal[[#This Row],[Product]]&amp;", "&amp;Referentie_Hernieuwbare_Energie_Totaal[[#Headers],[D2]],Database_Productkaarten[#All],48,FALSE),0)*Baseline!I97,0))</f>
        <v>0</v>
      </c>
      <c r="R410" s="57">
        <f>(IF(Baseline!C97="Bestaande Situatie",_xlfn.IFNA(VLOOKUP(Referentie_Hernieuwbare_Energie_Totaal[[#This Row],[Product]]&amp;", "&amp;Referentie_Hernieuwbare_Energie_Totaal[[#Headers],[D]],Database_Productkaarten[#All],48,FALSE),0)*Baseline!I97,0))</f>
        <v>0</v>
      </c>
      <c r="S410" s="56">
        <f>SUM(Referentie_Hernieuwbare_Energie_Totaal[[#This Row],[A1-A3]:[C4]])+Referentie_Hernieuwbare_Energie_Totaal[[#This Row],[D]]</f>
        <v>0</v>
      </c>
    </row>
    <row r="411" spans="2:19">
      <c r="B411" s="209">
        <f>Baseline!B98</f>
        <v>0</v>
      </c>
      <c r="C411" s="76">
        <f>Baseline!F98</f>
        <v>0</v>
      </c>
      <c r="D411" s="77">
        <f>(IF(Baseline!C98="Nieuwe Situatie",(_xlfn.IFNA(VLOOKUP(Referentie_Hernieuwbare_Energie_Totaal[[#This Row],[Product]]&amp;", "&amp;Referentie_Hernieuwbare_Energie_Totaal[[#Headers],[A1]],Database_Productkaarten[#All],48,FALSE),0)*Baseline!I98),0))</f>
        <v>0</v>
      </c>
      <c r="E411" s="77">
        <f>(IF(Baseline!C98="Nieuwe Situatie",(_xlfn.IFNA(VLOOKUP(Referentie_Hernieuwbare_Energie_Totaal[[#This Row],[Product]]&amp;", "&amp;Referentie_Hernieuwbare_Energie_Totaal[[#Headers],[A2]],Database_Productkaarten[#All],48,FALSE),0)*Baseline!I98),0))</f>
        <v>0</v>
      </c>
      <c r="F411" s="77">
        <f>(IF(Baseline!C98="Nieuwe Situatie",(_xlfn.IFNA(VLOOKUP(Referentie_Hernieuwbare_Energie_Totaal[[#This Row],[Product]]&amp;", "&amp;Referentie_Hernieuwbare_Energie_Totaal[[#Headers],[A3]],Database_Productkaarten[#All],48,FALSE),0)*Baseline!I98),0))</f>
        <v>0</v>
      </c>
      <c r="G411" s="77">
        <f>(IF(Baseline!C98="Nieuwe Situatie",(_xlfn.IFNA(VLOOKUP(Referentie_Hernieuwbare_Energie_Totaal[[#This Row],[Product]]&amp;", "&amp;Referentie_Hernieuwbare_Energie_Totaal[[#Headers],[A1-A3]],Database_Productkaarten[#All],48,FALSE),0)*Baseline!I98),0))</f>
        <v>0</v>
      </c>
      <c r="H411" s="77">
        <f>IF(Baseline!T98=0,(IF(Baseline!C98="Nieuwe Situatie",(_xlfn.IFNA(VLOOKUP(Referentie_Hernieuwbare_Energie_Totaal[[#This Row],[Product]]&amp;", "&amp;Referentie_CO2_Totaal[[#Headers],[A4]],Database_Productkaarten[#All],48,FALSE),0)*Baseline!I98),0)),IF(Baseline!C98="Nieuwe Situatie",_xlfn.IFNA(VLOOKUP(Baseline!T98,Database_Transport[#All],42,FALSE)*(Baseline!Q98*Baseline!S98),Baseline_Backlog!H201),0))</f>
        <v>0</v>
      </c>
      <c r="I411" s="77">
        <f>IF(Baseline!C98="Nieuwe situatie",IF(_xlfn.IFNA((VLOOKUP(Baseline!U98,Database_Asfalt_Aanlegset[#All],42,FALSE)*Baseline!I98),0)+_xlfn.IFNA(VLOOKUP(Baseline!V98,Database_Brandstoffen[#All],42,FALSE)*((Baseline!I98/Baseline!X98)*Baseline!W98),0)&gt;0,_xlfn.IFNA((VLOOKUP(Baseline!U98,Database_Asfalt_Aanlegset[#All],42,FALSE)*Baseline!I98),0)+_xlfn.IFNA(VLOOKUP(Baseline!V98,Database_Brandstoffen[#All],42,FALSE)*((Baseline!I98/Baseline!X98)*Baseline!W98),0),(_xlfn.IFNA(VLOOKUP(Referentie_Hernieuwbare_Energie_Totaal[[#This Row],[Product]]&amp;", "&amp;Referentie_MKI_Totaal[[#Headers],[A5]],Database_Productkaarten[#All],48,FALSE),0)*Baseline!I98)),0)</f>
        <v>0</v>
      </c>
      <c r="J411" s="77">
        <f>(IF(Baseline!C98="Nieuwe Situatie",(_xlfn.IFNA(VLOOKUP(Referentie_Hernieuwbare_Energie_Totaal[[#This Row],[Product]]&amp;", "&amp;Referentie_Hernieuwbare_Energie_Totaal[[#Headers],[B1]],Database_Productkaarten[#All],48,FALSE),0)*Baseline!I98),0))</f>
        <v>0</v>
      </c>
      <c r="K411" s="77">
        <f>(IF(Baseline!C98="Nieuwe Situatie",(SUM(Referentie_Hernieuwbare_Energie_Totaal[[#This Row],[A1]:[B1]],Referentie_Hernieuwbare_Energie_Totaal[[#This Row],[C1]:[D2]])*Baseline!R98),0))</f>
        <v>0</v>
      </c>
      <c r="L411" s="77">
        <f>IF(Baseline!C98="Bestaande situatie",IF(_xlfn.IFNA((VLOOKUP(Baseline!Y98,Database_Asfalt_Verwijderset[#All],42,FALSE)*Baseline!I98),0)+_xlfn.IFNA(VLOOKUP(Baseline!Z98,Database_Brandstoffen[#All],42,FALSE)*((Baseline!I98/Baseline!AB98)*Baseline!AA98),0)&gt;0,_xlfn.IFNA((VLOOKUP(Baseline!Y98,Database_Asfalt_Verwijderset[#All],42,FALSE)*Baseline!I98),0)+_xlfn.IFNA(VLOOKUP(Baseline!Z98,Database_Brandstoffen[#All],42,FALSE)*((Baseline!I98/Baseline!AB98)*Baseline!AA98),0),(_xlfn.IFNA(VLOOKUP(Referentie_Hernieuwbare_Energie_Totaal[[#This Row],[Product]]&amp;", "&amp;Referentie_MKI_Totaal[[#Headers],[C1]],Database_Productkaarten[#All],48,FALSE),0)*Baseline!I98)),0)</f>
        <v>0</v>
      </c>
      <c r="M411" s="77">
        <f>IF(Baseline!AD98=0,(IF(Baseline!C98="Bestaande Situatie",(_xlfn.IFNA(VLOOKUP(Referentie_Hernieuwbare_Energie_Totaal[[#This Row],[Product]]&amp;", "&amp;Referentie_MKI_Totaal[[#Headers],[C2]],Database_Productkaarten[#All],48,FALSE),0)*Baseline!I98),0)),(IF(Baseline!C98="Bestaande Situatie",_xlfn.IFNA(VLOOKUP(Baseline!AD98,Database_Transport[#All],42,FALSE)*(Baseline!Q98*Baseline!AC98),0))))</f>
        <v>0</v>
      </c>
      <c r="N411" s="77">
        <f>(IF(Baseline!C98="Bestaande Situatie",(_xlfn.IFNA(VLOOKUP(Referentie_Hernieuwbare_Energie_Totaal[[#This Row],[Product]]&amp;", "&amp;Referentie_Hernieuwbare_Energie_Totaal[[#Headers],[C3]],Database_Productkaarten[#All],48,FALSE),0)*Baseline!I98),0))</f>
        <v>0</v>
      </c>
      <c r="O411" s="77">
        <f>(IF(Baseline!C98="Bestaande Situatie",(_xlfn.IFNA(VLOOKUP(Referentie_Hernieuwbare_Energie_Totaal[[#This Row],[Product]]&amp;", "&amp;Referentie_Hernieuwbare_Energie_Totaal[[#Headers],[C4]],Database_Productkaarten[#All],48,FALSE),0)*Baseline!I98),0))</f>
        <v>0</v>
      </c>
      <c r="P411" s="77">
        <f>(IF(Baseline!C98="Bestaande Situatie",(_xlfn.IFNA(VLOOKUP(Referentie_Hernieuwbare_Energie_Totaal[[#This Row],[Product]]&amp;", "&amp;Referentie_Hernieuwbare_Energie_Totaal[[#Headers],[D1]],Database_Productkaarten[#All],48,FALSE),0)*Baseline!I98),0))</f>
        <v>0</v>
      </c>
      <c r="Q411" s="78">
        <f>(IF(Baseline!C98="Bestaande Situatie",_xlfn.IFNA(VLOOKUP(Referentie_Hernieuwbare_Energie_Totaal[[#This Row],[Product]]&amp;", "&amp;Referentie_Hernieuwbare_Energie_Totaal[[#Headers],[D2]],Database_Productkaarten[#All],48,FALSE),0)*Baseline!I98,0))</f>
        <v>0</v>
      </c>
      <c r="R411" s="57">
        <f>(IF(Baseline!C98="Bestaande Situatie",_xlfn.IFNA(VLOOKUP(Referentie_Hernieuwbare_Energie_Totaal[[#This Row],[Product]]&amp;", "&amp;Referentie_Hernieuwbare_Energie_Totaal[[#Headers],[D]],Database_Productkaarten[#All],48,FALSE),0)*Baseline!I98,0))</f>
        <v>0</v>
      </c>
      <c r="S411" s="56">
        <f>SUM(Referentie_Hernieuwbare_Energie_Totaal[[#This Row],[A1-A3]:[C4]])+Referentie_Hernieuwbare_Energie_Totaal[[#This Row],[D]]</f>
        <v>0</v>
      </c>
    </row>
    <row r="412" spans="2:19">
      <c r="B412" s="209">
        <f>Baseline!B99</f>
        <v>0</v>
      </c>
      <c r="C412" s="76">
        <f>Baseline!F99</f>
        <v>0</v>
      </c>
      <c r="D412" s="77">
        <f>(IF(Baseline!C99="Nieuwe Situatie",(_xlfn.IFNA(VLOOKUP(Referentie_Hernieuwbare_Energie_Totaal[[#This Row],[Product]]&amp;", "&amp;Referentie_Hernieuwbare_Energie_Totaal[[#Headers],[A1]],Database_Productkaarten[#All],48,FALSE),0)*Baseline!I99),0))</f>
        <v>0</v>
      </c>
      <c r="E412" s="77">
        <f>(IF(Baseline!C99="Nieuwe Situatie",(_xlfn.IFNA(VLOOKUP(Referentie_Hernieuwbare_Energie_Totaal[[#This Row],[Product]]&amp;", "&amp;Referentie_Hernieuwbare_Energie_Totaal[[#Headers],[A2]],Database_Productkaarten[#All],48,FALSE),0)*Baseline!I99),0))</f>
        <v>0</v>
      </c>
      <c r="F412" s="77">
        <f>(IF(Baseline!C99="Nieuwe Situatie",(_xlfn.IFNA(VLOOKUP(Referentie_Hernieuwbare_Energie_Totaal[[#This Row],[Product]]&amp;", "&amp;Referentie_Hernieuwbare_Energie_Totaal[[#Headers],[A3]],Database_Productkaarten[#All],48,FALSE),0)*Baseline!I99),0))</f>
        <v>0</v>
      </c>
      <c r="G412" s="77">
        <f>(IF(Baseline!C99="Nieuwe Situatie",(_xlfn.IFNA(VLOOKUP(Referentie_Hernieuwbare_Energie_Totaal[[#This Row],[Product]]&amp;", "&amp;Referentie_Hernieuwbare_Energie_Totaal[[#Headers],[A1-A3]],Database_Productkaarten[#All],48,FALSE),0)*Baseline!I99),0))</f>
        <v>0</v>
      </c>
      <c r="H412" s="77">
        <f>IF(Baseline!T99=0,(IF(Baseline!C99="Nieuwe Situatie",(_xlfn.IFNA(VLOOKUP(Referentie_Hernieuwbare_Energie_Totaal[[#This Row],[Product]]&amp;", "&amp;Referentie_CO2_Totaal[[#Headers],[A4]],Database_Productkaarten[#All],48,FALSE),0)*Baseline!I99),0)),IF(Baseline!C99="Nieuwe Situatie",_xlfn.IFNA(VLOOKUP(Baseline!T99,Database_Transport[#All],42,FALSE)*(Baseline!Q99*Baseline!S99),Baseline_Backlog!H202),0))</f>
        <v>0</v>
      </c>
      <c r="I412" s="77">
        <f>IF(Baseline!C99="Nieuwe situatie",IF(_xlfn.IFNA((VLOOKUP(Baseline!U99,Database_Asfalt_Aanlegset[#All],42,FALSE)*Baseline!I99),0)+_xlfn.IFNA(VLOOKUP(Baseline!V99,Database_Brandstoffen[#All],42,FALSE)*((Baseline!I99/Baseline!X99)*Baseline!W99),0)&gt;0,_xlfn.IFNA((VLOOKUP(Baseline!U99,Database_Asfalt_Aanlegset[#All],42,FALSE)*Baseline!I99),0)+_xlfn.IFNA(VLOOKUP(Baseline!V99,Database_Brandstoffen[#All],42,FALSE)*((Baseline!I99/Baseline!X99)*Baseline!W99),0),(_xlfn.IFNA(VLOOKUP(Referentie_Hernieuwbare_Energie_Totaal[[#This Row],[Product]]&amp;", "&amp;Referentie_MKI_Totaal[[#Headers],[A5]],Database_Productkaarten[#All],48,FALSE),0)*Baseline!I99)),0)</f>
        <v>0</v>
      </c>
      <c r="J412" s="77">
        <f>(IF(Baseline!C99="Nieuwe Situatie",(_xlfn.IFNA(VLOOKUP(Referentie_Hernieuwbare_Energie_Totaal[[#This Row],[Product]]&amp;", "&amp;Referentie_Hernieuwbare_Energie_Totaal[[#Headers],[B1]],Database_Productkaarten[#All],48,FALSE),0)*Baseline!I99),0))</f>
        <v>0</v>
      </c>
      <c r="K412" s="77">
        <f>(IF(Baseline!C99="Nieuwe Situatie",(SUM(Referentie_Hernieuwbare_Energie_Totaal[[#This Row],[A1]:[B1]],Referentie_Hernieuwbare_Energie_Totaal[[#This Row],[C1]:[D2]])*Baseline!R99),0))</f>
        <v>0</v>
      </c>
      <c r="L412" s="77">
        <f>IF(Baseline!C99="Bestaande situatie",IF(_xlfn.IFNA((VLOOKUP(Baseline!Y99,Database_Asfalt_Verwijderset[#All],42,FALSE)*Baseline!I99),0)+_xlfn.IFNA(VLOOKUP(Baseline!Z99,Database_Brandstoffen[#All],42,FALSE)*((Baseline!I99/Baseline!AB99)*Baseline!AA99),0)&gt;0,_xlfn.IFNA((VLOOKUP(Baseline!Y99,Database_Asfalt_Verwijderset[#All],42,FALSE)*Baseline!I99),0)+_xlfn.IFNA(VLOOKUP(Baseline!Z99,Database_Brandstoffen[#All],42,FALSE)*((Baseline!I99/Baseline!AB99)*Baseline!AA99),0),(_xlfn.IFNA(VLOOKUP(Referentie_Hernieuwbare_Energie_Totaal[[#This Row],[Product]]&amp;", "&amp;Referentie_MKI_Totaal[[#Headers],[C1]],Database_Productkaarten[#All],48,FALSE),0)*Baseline!I99)),0)</f>
        <v>0</v>
      </c>
      <c r="M412" s="77">
        <f>IF(Baseline!AD99=0,(IF(Baseline!C99="Bestaande Situatie",(_xlfn.IFNA(VLOOKUP(Referentie_Hernieuwbare_Energie_Totaal[[#This Row],[Product]]&amp;", "&amp;Referentie_MKI_Totaal[[#Headers],[C2]],Database_Productkaarten[#All],48,FALSE),0)*Baseline!I99),0)),(IF(Baseline!C99="Bestaande Situatie",_xlfn.IFNA(VLOOKUP(Baseline!AD99,Database_Transport[#All],42,FALSE)*(Baseline!Q99*Baseline!AC99),0))))</f>
        <v>0</v>
      </c>
      <c r="N412" s="77">
        <f>(IF(Baseline!C99="Bestaande Situatie",(_xlfn.IFNA(VLOOKUP(Referentie_Hernieuwbare_Energie_Totaal[[#This Row],[Product]]&amp;", "&amp;Referentie_Hernieuwbare_Energie_Totaal[[#Headers],[C3]],Database_Productkaarten[#All],48,FALSE),0)*Baseline!I99),0))</f>
        <v>0</v>
      </c>
      <c r="O412" s="77">
        <f>(IF(Baseline!C99="Bestaande Situatie",(_xlfn.IFNA(VLOOKUP(Referentie_Hernieuwbare_Energie_Totaal[[#This Row],[Product]]&amp;", "&amp;Referentie_Hernieuwbare_Energie_Totaal[[#Headers],[C4]],Database_Productkaarten[#All],48,FALSE),0)*Baseline!I99),0))</f>
        <v>0</v>
      </c>
      <c r="P412" s="77">
        <f>(IF(Baseline!C99="Bestaande Situatie",(_xlfn.IFNA(VLOOKUP(Referentie_Hernieuwbare_Energie_Totaal[[#This Row],[Product]]&amp;", "&amp;Referentie_Hernieuwbare_Energie_Totaal[[#Headers],[D1]],Database_Productkaarten[#All],48,FALSE),0)*Baseline!I99),0))</f>
        <v>0</v>
      </c>
      <c r="Q412" s="78">
        <f>(IF(Baseline!C99="Bestaande Situatie",_xlfn.IFNA(VLOOKUP(Referentie_Hernieuwbare_Energie_Totaal[[#This Row],[Product]]&amp;", "&amp;Referentie_Hernieuwbare_Energie_Totaal[[#Headers],[D2]],Database_Productkaarten[#All],48,FALSE),0)*Baseline!I99,0))</f>
        <v>0</v>
      </c>
      <c r="R412" s="57">
        <f>(IF(Baseline!C99="Bestaande Situatie",_xlfn.IFNA(VLOOKUP(Referentie_Hernieuwbare_Energie_Totaal[[#This Row],[Product]]&amp;", "&amp;Referentie_Hernieuwbare_Energie_Totaal[[#Headers],[D]],Database_Productkaarten[#All],48,FALSE),0)*Baseline!I99,0))</f>
        <v>0</v>
      </c>
      <c r="S412" s="56">
        <f>SUM(Referentie_Hernieuwbare_Energie_Totaal[[#This Row],[A1-A3]:[C4]])+Referentie_Hernieuwbare_Energie_Totaal[[#This Row],[D]]</f>
        <v>0</v>
      </c>
    </row>
    <row r="413" spans="2:19">
      <c r="B413" s="209">
        <f>Baseline!B100</f>
        <v>0</v>
      </c>
      <c r="C413" s="76">
        <f>Baseline!F100</f>
        <v>0</v>
      </c>
      <c r="D413" s="77">
        <f>(IF(Baseline!C100="Nieuwe Situatie",(_xlfn.IFNA(VLOOKUP(Referentie_Hernieuwbare_Energie_Totaal[[#This Row],[Product]]&amp;", "&amp;Referentie_Hernieuwbare_Energie_Totaal[[#Headers],[A1]],Database_Productkaarten[#All],48,FALSE),0)*Baseline!I100),0))</f>
        <v>0</v>
      </c>
      <c r="E413" s="77">
        <f>(IF(Baseline!C100="Nieuwe Situatie",(_xlfn.IFNA(VLOOKUP(Referentie_Hernieuwbare_Energie_Totaal[[#This Row],[Product]]&amp;", "&amp;Referentie_Hernieuwbare_Energie_Totaal[[#Headers],[A2]],Database_Productkaarten[#All],48,FALSE),0)*Baseline!I100),0))</f>
        <v>0</v>
      </c>
      <c r="F413" s="77">
        <f>(IF(Baseline!C100="Nieuwe Situatie",(_xlfn.IFNA(VLOOKUP(Referentie_Hernieuwbare_Energie_Totaal[[#This Row],[Product]]&amp;", "&amp;Referentie_Hernieuwbare_Energie_Totaal[[#Headers],[A3]],Database_Productkaarten[#All],48,FALSE),0)*Baseline!I100),0))</f>
        <v>0</v>
      </c>
      <c r="G413" s="77">
        <f>(IF(Baseline!C100="Nieuwe Situatie",(_xlfn.IFNA(VLOOKUP(Referentie_Hernieuwbare_Energie_Totaal[[#This Row],[Product]]&amp;", "&amp;Referentie_Hernieuwbare_Energie_Totaal[[#Headers],[A1-A3]],Database_Productkaarten[#All],48,FALSE),0)*Baseline!I100),0))</f>
        <v>0</v>
      </c>
      <c r="H413" s="77">
        <f>IF(Baseline!T100=0,(IF(Baseline!C100="Nieuwe Situatie",(_xlfn.IFNA(VLOOKUP(Referentie_Hernieuwbare_Energie_Totaal[[#This Row],[Product]]&amp;", "&amp;Referentie_CO2_Totaal[[#Headers],[A4]],Database_Productkaarten[#All],48,FALSE),0)*Baseline!I100),0)),IF(Baseline!C100="Nieuwe Situatie",_xlfn.IFNA(VLOOKUP(Baseline!T100,Database_Transport[#All],42,FALSE)*(Baseline!Q100*Baseline!S100),Baseline_Backlog!H203),0))</f>
        <v>0</v>
      </c>
      <c r="I413" s="77">
        <f>IF(Baseline!C100="Nieuwe situatie",IF(_xlfn.IFNA((VLOOKUP(Baseline!U100,Database_Asfalt_Aanlegset[#All],42,FALSE)*Baseline!I100),0)+_xlfn.IFNA(VLOOKUP(Baseline!V100,Database_Brandstoffen[#All],42,FALSE)*((Baseline!I100/Baseline!X100)*Baseline!W100),0)&gt;0,_xlfn.IFNA((VLOOKUP(Baseline!U100,Database_Asfalt_Aanlegset[#All],42,FALSE)*Baseline!I100),0)+_xlfn.IFNA(VLOOKUP(Baseline!V100,Database_Brandstoffen[#All],42,FALSE)*((Baseline!I100/Baseline!X100)*Baseline!W100),0),(_xlfn.IFNA(VLOOKUP(Referentie_Hernieuwbare_Energie_Totaal[[#This Row],[Product]]&amp;", "&amp;Referentie_MKI_Totaal[[#Headers],[A5]],Database_Productkaarten[#All],48,FALSE),0)*Baseline!I100)),0)</f>
        <v>0</v>
      </c>
      <c r="J413" s="77">
        <f>(IF(Baseline!C100="Nieuwe Situatie",(_xlfn.IFNA(VLOOKUP(Referentie_Hernieuwbare_Energie_Totaal[[#This Row],[Product]]&amp;", "&amp;Referentie_Hernieuwbare_Energie_Totaal[[#Headers],[B1]],Database_Productkaarten[#All],48,FALSE),0)*Baseline!I100),0))</f>
        <v>0</v>
      </c>
      <c r="K413" s="77">
        <f>(IF(Baseline!C100="Nieuwe Situatie",(SUM(Referentie_Hernieuwbare_Energie_Totaal[[#This Row],[A1]:[B1]],Referentie_Hernieuwbare_Energie_Totaal[[#This Row],[C1]:[D2]])*Baseline!R100),0))</f>
        <v>0</v>
      </c>
      <c r="L413" s="77">
        <f>IF(Baseline!C100="Bestaande situatie",IF(_xlfn.IFNA((VLOOKUP(Baseline!Y100,Database_Asfalt_Verwijderset[#All],42,FALSE)*Baseline!I100),0)+_xlfn.IFNA(VLOOKUP(Baseline!Z100,Database_Brandstoffen[#All],42,FALSE)*((Baseline!I100/Baseline!AB100)*Baseline!AA100),0)&gt;0,_xlfn.IFNA((VLOOKUP(Baseline!Y100,Database_Asfalt_Verwijderset[#All],42,FALSE)*Baseline!I100),0)+_xlfn.IFNA(VLOOKUP(Baseline!Z100,Database_Brandstoffen[#All],42,FALSE)*((Baseline!I100/Baseline!AB100)*Baseline!AA100),0),(_xlfn.IFNA(VLOOKUP(Referentie_Hernieuwbare_Energie_Totaal[[#This Row],[Product]]&amp;", "&amp;Referentie_MKI_Totaal[[#Headers],[C1]],Database_Productkaarten[#All],48,FALSE),0)*Baseline!I100)),0)</f>
        <v>0</v>
      </c>
      <c r="M413" s="77">
        <f>IF(Baseline!AD100=0,(IF(Baseline!C100="Bestaande Situatie",(_xlfn.IFNA(VLOOKUP(Referentie_Hernieuwbare_Energie_Totaal[[#This Row],[Product]]&amp;", "&amp;Referentie_MKI_Totaal[[#Headers],[C2]],Database_Productkaarten[#All],48,FALSE),0)*Baseline!I100),0)),(IF(Baseline!C100="Bestaande Situatie",_xlfn.IFNA(VLOOKUP(Baseline!AD100,Database_Transport[#All],42,FALSE)*(Baseline!Q100*Baseline!AC100),0))))</f>
        <v>0</v>
      </c>
      <c r="N413" s="77">
        <f>(IF(Baseline!C100="Bestaande Situatie",(_xlfn.IFNA(VLOOKUP(Referentie_Hernieuwbare_Energie_Totaal[[#This Row],[Product]]&amp;", "&amp;Referentie_Hernieuwbare_Energie_Totaal[[#Headers],[C3]],Database_Productkaarten[#All],48,FALSE),0)*Baseline!I100),0))</f>
        <v>0</v>
      </c>
      <c r="O413" s="77">
        <f>(IF(Baseline!C100="Bestaande Situatie",(_xlfn.IFNA(VLOOKUP(Referentie_Hernieuwbare_Energie_Totaal[[#This Row],[Product]]&amp;", "&amp;Referentie_Hernieuwbare_Energie_Totaal[[#Headers],[C4]],Database_Productkaarten[#All],48,FALSE),0)*Baseline!I100),0))</f>
        <v>0</v>
      </c>
      <c r="P413" s="77">
        <f>(IF(Baseline!C100="Bestaande Situatie",(_xlfn.IFNA(VLOOKUP(Referentie_Hernieuwbare_Energie_Totaal[[#This Row],[Product]]&amp;", "&amp;Referentie_Hernieuwbare_Energie_Totaal[[#Headers],[D1]],Database_Productkaarten[#All],48,FALSE),0)*Baseline!I100),0))</f>
        <v>0</v>
      </c>
      <c r="Q413" s="78">
        <f>(IF(Baseline!C100="Bestaande Situatie",_xlfn.IFNA(VLOOKUP(Referentie_Hernieuwbare_Energie_Totaal[[#This Row],[Product]]&amp;", "&amp;Referentie_Hernieuwbare_Energie_Totaal[[#Headers],[D2]],Database_Productkaarten[#All],48,FALSE),0)*Baseline!I100,0))</f>
        <v>0</v>
      </c>
      <c r="R413" s="57">
        <f>(IF(Baseline!C100="Bestaande Situatie",_xlfn.IFNA(VLOOKUP(Referentie_Hernieuwbare_Energie_Totaal[[#This Row],[Product]]&amp;", "&amp;Referentie_Hernieuwbare_Energie_Totaal[[#Headers],[D]],Database_Productkaarten[#All],48,FALSE),0)*Baseline!I100,0))</f>
        <v>0</v>
      </c>
      <c r="S413" s="56">
        <f>SUM(Referentie_Hernieuwbare_Energie_Totaal[[#This Row],[A1-A3]:[C4]])+Referentie_Hernieuwbare_Energie_Totaal[[#This Row],[D]]</f>
        <v>0</v>
      </c>
    </row>
    <row r="414" spans="2:19">
      <c r="B414" s="209">
        <f>Baseline!B101</f>
        <v>0</v>
      </c>
      <c r="C414" s="76">
        <f>Baseline!F101</f>
        <v>0</v>
      </c>
      <c r="D414" s="77">
        <f>(IF(Baseline!C101="Nieuwe Situatie",(_xlfn.IFNA(VLOOKUP(Referentie_Hernieuwbare_Energie_Totaal[[#This Row],[Product]]&amp;", "&amp;Referentie_Hernieuwbare_Energie_Totaal[[#Headers],[A1]],Database_Productkaarten[#All],48,FALSE),0)*Baseline!I101),0))</f>
        <v>0</v>
      </c>
      <c r="E414" s="77">
        <f>(IF(Baseline!C101="Nieuwe Situatie",(_xlfn.IFNA(VLOOKUP(Referentie_Hernieuwbare_Energie_Totaal[[#This Row],[Product]]&amp;", "&amp;Referentie_Hernieuwbare_Energie_Totaal[[#Headers],[A2]],Database_Productkaarten[#All],48,FALSE),0)*Baseline!I101),0))</f>
        <v>0</v>
      </c>
      <c r="F414" s="77">
        <f>(IF(Baseline!C101="Nieuwe Situatie",(_xlfn.IFNA(VLOOKUP(Referentie_Hernieuwbare_Energie_Totaal[[#This Row],[Product]]&amp;", "&amp;Referentie_Hernieuwbare_Energie_Totaal[[#Headers],[A3]],Database_Productkaarten[#All],48,FALSE),0)*Baseline!I101),0))</f>
        <v>0</v>
      </c>
      <c r="G414" s="77">
        <f>(IF(Baseline!C101="Nieuwe Situatie",(_xlfn.IFNA(VLOOKUP(Referentie_Hernieuwbare_Energie_Totaal[[#This Row],[Product]]&amp;", "&amp;Referentie_Hernieuwbare_Energie_Totaal[[#Headers],[A1-A3]],Database_Productkaarten[#All],48,FALSE),0)*Baseline!I101),0))</f>
        <v>0</v>
      </c>
      <c r="H414" s="77">
        <f>IF(Baseline!T101=0,(IF(Baseline!C101="Nieuwe Situatie",(_xlfn.IFNA(VLOOKUP(Referentie_Hernieuwbare_Energie_Totaal[[#This Row],[Product]]&amp;", "&amp;Referentie_CO2_Totaal[[#Headers],[A4]],Database_Productkaarten[#All],48,FALSE),0)*Baseline!I101),0)),IF(Baseline!C101="Nieuwe Situatie",_xlfn.IFNA(VLOOKUP(Baseline!T101,Database_Transport[#All],42,FALSE)*(Baseline!Q101*Baseline!S101),Baseline_Backlog!H204),0))</f>
        <v>0</v>
      </c>
      <c r="I414" s="77">
        <f>IF(Baseline!C101="Nieuwe situatie",IF(_xlfn.IFNA((VLOOKUP(Baseline!U101,Database_Asfalt_Aanlegset[#All],42,FALSE)*Baseline!I101),0)+_xlfn.IFNA(VLOOKUP(Baseline!V101,Database_Brandstoffen[#All],42,FALSE)*((Baseline!I101/Baseline!X101)*Baseline!W101),0)&gt;0,_xlfn.IFNA((VLOOKUP(Baseline!U101,Database_Asfalt_Aanlegset[#All],42,FALSE)*Baseline!I101),0)+_xlfn.IFNA(VLOOKUP(Baseline!V101,Database_Brandstoffen[#All],42,FALSE)*((Baseline!I101/Baseline!X101)*Baseline!W101),0),(_xlfn.IFNA(VLOOKUP(Referentie_Hernieuwbare_Energie_Totaal[[#This Row],[Product]]&amp;", "&amp;Referentie_MKI_Totaal[[#Headers],[A5]],Database_Productkaarten[#All],48,FALSE),0)*Baseline!I101)),0)</f>
        <v>0</v>
      </c>
      <c r="J414" s="77">
        <f>(IF(Baseline!C101="Nieuwe Situatie",(_xlfn.IFNA(VLOOKUP(Referentie_Hernieuwbare_Energie_Totaal[[#This Row],[Product]]&amp;", "&amp;Referentie_Hernieuwbare_Energie_Totaal[[#Headers],[B1]],Database_Productkaarten[#All],48,FALSE),0)*Baseline!I101),0))</f>
        <v>0</v>
      </c>
      <c r="K414" s="77">
        <f>(IF(Baseline!C101="Nieuwe Situatie",(SUM(Referentie_Hernieuwbare_Energie_Totaal[[#This Row],[A1]:[B1]],Referentie_Hernieuwbare_Energie_Totaal[[#This Row],[C1]:[D2]])*Baseline!R101),0))</f>
        <v>0</v>
      </c>
      <c r="L414" s="77">
        <f>IF(Baseline!C101="Bestaande situatie",IF(_xlfn.IFNA((VLOOKUP(Baseline!Y101,Database_Asfalt_Verwijderset[#All],42,FALSE)*Baseline!I101),0)+_xlfn.IFNA(VLOOKUP(Baseline!Z101,Database_Brandstoffen[#All],42,FALSE)*((Baseline!I101/Baseline!AB101)*Baseline!AA101),0)&gt;0,_xlfn.IFNA((VLOOKUP(Baseline!Y101,Database_Asfalt_Verwijderset[#All],42,FALSE)*Baseline!I101),0)+_xlfn.IFNA(VLOOKUP(Baseline!Z101,Database_Brandstoffen[#All],42,FALSE)*((Baseline!I101/Baseline!AB101)*Baseline!AA101),0),(_xlfn.IFNA(VLOOKUP(Referentie_Hernieuwbare_Energie_Totaal[[#This Row],[Product]]&amp;", "&amp;Referentie_MKI_Totaal[[#Headers],[C1]],Database_Productkaarten[#All],48,FALSE),0)*Baseline!I101)),0)</f>
        <v>0</v>
      </c>
      <c r="M414" s="77">
        <f>IF(Baseline!AD101=0,(IF(Baseline!C101="Bestaande Situatie",(_xlfn.IFNA(VLOOKUP(Referentie_Hernieuwbare_Energie_Totaal[[#This Row],[Product]]&amp;", "&amp;Referentie_MKI_Totaal[[#Headers],[C2]],Database_Productkaarten[#All],48,FALSE),0)*Baseline!I101),0)),(IF(Baseline!C101="Bestaande Situatie",_xlfn.IFNA(VLOOKUP(Baseline!AD101,Database_Transport[#All],42,FALSE)*(Baseline!Q101*Baseline!AC101),0))))</f>
        <v>0</v>
      </c>
      <c r="N414" s="77">
        <f>(IF(Baseline!C101="Bestaande Situatie",(_xlfn.IFNA(VLOOKUP(Referentie_Hernieuwbare_Energie_Totaal[[#This Row],[Product]]&amp;", "&amp;Referentie_Hernieuwbare_Energie_Totaal[[#Headers],[C3]],Database_Productkaarten[#All],48,FALSE),0)*Baseline!I101),0))</f>
        <v>0</v>
      </c>
      <c r="O414" s="77">
        <f>(IF(Baseline!C101="Bestaande Situatie",(_xlfn.IFNA(VLOOKUP(Referentie_Hernieuwbare_Energie_Totaal[[#This Row],[Product]]&amp;", "&amp;Referentie_Hernieuwbare_Energie_Totaal[[#Headers],[C4]],Database_Productkaarten[#All],48,FALSE),0)*Baseline!I101),0))</f>
        <v>0</v>
      </c>
      <c r="P414" s="77">
        <f>(IF(Baseline!C101="Bestaande Situatie",(_xlfn.IFNA(VLOOKUP(Referentie_Hernieuwbare_Energie_Totaal[[#This Row],[Product]]&amp;", "&amp;Referentie_Hernieuwbare_Energie_Totaal[[#Headers],[D1]],Database_Productkaarten[#All],48,FALSE),0)*Baseline!I101),0))</f>
        <v>0</v>
      </c>
      <c r="Q414" s="78">
        <f>(IF(Baseline!C101="Bestaande Situatie",_xlfn.IFNA(VLOOKUP(Referentie_Hernieuwbare_Energie_Totaal[[#This Row],[Product]]&amp;", "&amp;Referentie_Hernieuwbare_Energie_Totaal[[#Headers],[D2]],Database_Productkaarten[#All],48,FALSE),0)*Baseline!I101,0))</f>
        <v>0</v>
      </c>
      <c r="R414" s="57">
        <f>(IF(Baseline!C101="Bestaande Situatie",_xlfn.IFNA(VLOOKUP(Referentie_Hernieuwbare_Energie_Totaal[[#This Row],[Product]]&amp;", "&amp;Referentie_Hernieuwbare_Energie_Totaal[[#Headers],[D]],Database_Productkaarten[#All],48,FALSE),0)*Baseline!I101,0))</f>
        <v>0</v>
      </c>
      <c r="S414" s="56">
        <f>SUM(Referentie_Hernieuwbare_Energie_Totaal[[#This Row],[A1-A3]:[C4]])+Referentie_Hernieuwbare_Energie_Totaal[[#This Row],[D]]</f>
        <v>0</v>
      </c>
    </row>
    <row r="415" spans="2:19">
      <c r="B415" s="209">
        <f>Baseline!B102</f>
        <v>0</v>
      </c>
      <c r="C415" s="76">
        <f>Baseline!F102</f>
        <v>0</v>
      </c>
      <c r="D415" s="77">
        <f>(IF(Baseline!C102="Nieuwe Situatie",(_xlfn.IFNA(VLOOKUP(Referentie_Hernieuwbare_Energie_Totaal[[#This Row],[Product]]&amp;", "&amp;Referentie_Hernieuwbare_Energie_Totaal[[#Headers],[A1]],Database_Productkaarten[#All],48,FALSE),0)*Baseline!I102),0))</f>
        <v>0</v>
      </c>
      <c r="E415" s="77">
        <f>(IF(Baseline!C102="Nieuwe Situatie",(_xlfn.IFNA(VLOOKUP(Referentie_Hernieuwbare_Energie_Totaal[[#This Row],[Product]]&amp;", "&amp;Referentie_Hernieuwbare_Energie_Totaal[[#Headers],[A2]],Database_Productkaarten[#All],48,FALSE),0)*Baseline!I102),0))</f>
        <v>0</v>
      </c>
      <c r="F415" s="77">
        <f>(IF(Baseline!C102="Nieuwe Situatie",(_xlfn.IFNA(VLOOKUP(Referentie_Hernieuwbare_Energie_Totaal[[#This Row],[Product]]&amp;", "&amp;Referentie_Hernieuwbare_Energie_Totaal[[#Headers],[A3]],Database_Productkaarten[#All],48,FALSE),0)*Baseline!I102),0))</f>
        <v>0</v>
      </c>
      <c r="G415" s="77">
        <f>(IF(Baseline!C102="Nieuwe Situatie",(_xlfn.IFNA(VLOOKUP(Referentie_Hernieuwbare_Energie_Totaal[[#This Row],[Product]]&amp;", "&amp;Referentie_Hernieuwbare_Energie_Totaal[[#Headers],[A1-A3]],Database_Productkaarten[#All],48,FALSE),0)*Baseline!I102),0))</f>
        <v>0</v>
      </c>
      <c r="H415" s="77">
        <f>IF(Baseline!T102=0,(IF(Baseline!C102="Nieuwe Situatie",(_xlfn.IFNA(VLOOKUP(Referentie_Hernieuwbare_Energie_Totaal[[#This Row],[Product]]&amp;", "&amp;Referentie_CO2_Totaal[[#Headers],[A4]],Database_Productkaarten[#All],48,FALSE),0)*Baseline!I102),0)),IF(Baseline!C102="Nieuwe Situatie",_xlfn.IFNA(VLOOKUP(Baseline!T102,Database_Transport[#All],42,FALSE)*(Baseline!Q102*Baseline!S102),Baseline_Backlog!H205),0))</f>
        <v>0</v>
      </c>
      <c r="I415" s="77">
        <f>IF(Baseline!C102="Nieuwe situatie",IF(_xlfn.IFNA((VLOOKUP(Baseline!U102,Database_Asfalt_Aanlegset[#All],42,FALSE)*Baseline!I102),0)+_xlfn.IFNA(VLOOKUP(Baseline!V102,Database_Brandstoffen[#All],42,FALSE)*((Baseline!I102/Baseline!X102)*Baseline!W102),0)&gt;0,_xlfn.IFNA((VLOOKUP(Baseline!U102,Database_Asfalt_Aanlegset[#All],42,FALSE)*Baseline!I102),0)+_xlfn.IFNA(VLOOKUP(Baseline!V102,Database_Brandstoffen[#All],42,FALSE)*((Baseline!I102/Baseline!X102)*Baseline!W102),0),(_xlfn.IFNA(VLOOKUP(Referentie_Hernieuwbare_Energie_Totaal[[#This Row],[Product]]&amp;", "&amp;Referentie_MKI_Totaal[[#Headers],[A5]],Database_Productkaarten[#All],48,FALSE),0)*Baseline!I102)),0)</f>
        <v>0</v>
      </c>
      <c r="J415" s="77">
        <f>(IF(Baseline!C102="Nieuwe Situatie",(_xlfn.IFNA(VLOOKUP(Referentie_Hernieuwbare_Energie_Totaal[[#This Row],[Product]]&amp;", "&amp;Referentie_Hernieuwbare_Energie_Totaal[[#Headers],[B1]],Database_Productkaarten[#All],48,FALSE),0)*Baseline!I102),0))</f>
        <v>0</v>
      </c>
      <c r="K415" s="77">
        <f>(IF(Baseline!C102="Nieuwe Situatie",(SUM(Referentie_Hernieuwbare_Energie_Totaal[[#This Row],[A1]:[B1]],Referentie_Hernieuwbare_Energie_Totaal[[#This Row],[C1]:[D2]])*Baseline!R102),0))</f>
        <v>0</v>
      </c>
      <c r="L415" s="77">
        <f>IF(Baseline!C102="Bestaande situatie",IF(_xlfn.IFNA((VLOOKUP(Baseline!Y102,Database_Asfalt_Verwijderset[#All],42,FALSE)*Baseline!I102),0)+_xlfn.IFNA(VLOOKUP(Baseline!Z102,Database_Brandstoffen[#All],42,FALSE)*((Baseline!I102/Baseline!AB102)*Baseline!AA102),0)&gt;0,_xlfn.IFNA((VLOOKUP(Baseline!Y102,Database_Asfalt_Verwijderset[#All],42,FALSE)*Baseline!I102),0)+_xlfn.IFNA(VLOOKUP(Baseline!Z102,Database_Brandstoffen[#All],42,FALSE)*((Baseline!I102/Baseline!AB102)*Baseline!AA102),0),(_xlfn.IFNA(VLOOKUP(Referentie_Hernieuwbare_Energie_Totaal[[#This Row],[Product]]&amp;", "&amp;Referentie_MKI_Totaal[[#Headers],[C1]],Database_Productkaarten[#All],48,FALSE),0)*Baseline!I102)),0)</f>
        <v>0</v>
      </c>
      <c r="M415" s="77">
        <f>IF(Baseline!AD102=0,(IF(Baseline!C102="Bestaande Situatie",(_xlfn.IFNA(VLOOKUP(Referentie_Hernieuwbare_Energie_Totaal[[#This Row],[Product]]&amp;", "&amp;Referentie_MKI_Totaal[[#Headers],[C2]],Database_Productkaarten[#All],48,FALSE),0)*Baseline!I102),0)),(IF(Baseline!C102="Bestaande Situatie",_xlfn.IFNA(VLOOKUP(Baseline!AD102,Database_Transport[#All],42,FALSE)*(Baseline!Q102*Baseline!AC102),0))))</f>
        <v>0</v>
      </c>
      <c r="N415" s="77">
        <f>(IF(Baseline!C102="Bestaande Situatie",(_xlfn.IFNA(VLOOKUP(Referentie_Hernieuwbare_Energie_Totaal[[#This Row],[Product]]&amp;", "&amp;Referentie_Hernieuwbare_Energie_Totaal[[#Headers],[C3]],Database_Productkaarten[#All],48,FALSE),0)*Baseline!I102),0))</f>
        <v>0</v>
      </c>
      <c r="O415" s="77">
        <f>(IF(Baseline!C102="Bestaande Situatie",(_xlfn.IFNA(VLOOKUP(Referentie_Hernieuwbare_Energie_Totaal[[#This Row],[Product]]&amp;", "&amp;Referentie_Hernieuwbare_Energie_Totaal[[#Headers],[C4]],Database_Productkaarten[#All],48,FALSE),0)*Baseline!I102),0))</f>
        <v>0</v>
      </c>
      <c r="P415" s="77">
        <f>(IF(Baseline!C102="Bestaande Situatie",(_xlfn.IFNA(VLOOKUP(Referentie_Hernieuwbare_Energie_Totaal[[#This Row],[Product]]&amp;", "&amp;Referentie_Hernieuwbare_Energie_Totaal[[#Headers],[D1]],Database_Productkaarten[#All],48,FALSE),0)*Baseline!I102),0))</f>
        <v>0</v>
      </c>
      <c r="Q415" s="78">
        <f>(IF(Baseline!C102="Bestaande Situatie",_xlfn.IFNA(VLOOKUP(Referentie_Hernieuwbare_Energie_Totaal[[#This Row],[Product]]&amp;", "&amp;Referentie_Hernieuwbare_Energie_Totaal[[#Headers],[D2]],Database_Productkaarten[#All],48,FALSE),0)*Baseline!I102,0))</f>
        <v>0</v>
      </c>
      <c r="R415" s="57">
        <f>(IF(Baseline!C102="Bestaande Situatie",_xlfn.IFNA(VLOOKUP(Referentie_Hernieuwbare_Energie_Totaal[[#This Row],[Product]]&amp;", "&amp;Referentie_Hernieuwbare_Energie_Totaal[[#Headers],[D]],Database_Productkaarten[#All],48,FALSE),0)*Baseline!I102,0))</f>
        <v>0</v>
      </c>
      <c r="S415" s="56">
        <f>SUM(Referentie_Hernieuwbare_Energie_Totaal[[#This Row],[A1-A3]:[C4]])+Referentie_Hernieuwbare_Energie_Totaal[[#This Row],[D]]</f>
        <v>0</v>
      </c>
    </row>
    <row r="416" spans="2:19">
      <c r="B416" s="209">
        <f>Baseline!B103</f>
        <v>0</v>
      </c>
      <c r="C416" s="76">
        <f>Baseline!F103</f>
        <v>0</v>
      </c>
      <c r="D416" s="77">
        <f>(IF(Baseline!C103="Nieuwe Situatie",(_xlfn.IFNA(VLOOKUP(Referentie_Hernieuwbare_Energie_Totaal[[#This Row],[Product]]&amp;", "&amp;Referentie_Hernieuwbare_Energie_Totaal[[#Headers],[A1]],Database_Productkaarten[#All],48,FALSE),0)*Baseline!I103),0))</f>
        <v>0</v>
      </c>
      <c r="E416" s="77">
        <f>(IF(Baseline!C103="Nieuwe Situatie",(_xlfn.IFNA(VLOOKUP(Referentie_Hernieuwbare_Energie_Totaal[[#This Row],[Product]]&amp;", "&amp;Referentie_Hernieuwbare_Energie_Totaal[[#Headers],[A2]],Database_Productkaarten[#All],48,FALSE),0)*Baseline!I103),0))</f>
        <v>0</v>
      </c>
      <c r="F416" s="77">
        <f>(IF(Baseline!C103="Nieuwe Situatie",(_xlfn.IFNA(VLOOKUP(Referentie_Hernieuwbare_Energie_Totaal[[#This Row],[Product]]&amp;", "&amp;Referentie_Hernieuwbare_Energie_Totaal[[#Headers],[A3]],Database_Productkaarten[#All],48,FALSE),0)*Baseline!I103),0))</f>
        <v>0</v>
      </c>
      <c r="G416" s="77">
        <f>(IF(Baseline!C103="Nieuwe Situatie",(_xlfn.IFNA(VLOOKUP(Referentie_Hernieuwbare_Energie_Totaal[[#This Row],[Product]]&amp;", "&amp;Referentie_Hernieuwbare_Energie_Totaal[[#Headers],[A1-A3]],Database_Productkaarten[#All],48,FALSE),0)*Baseline!I103),0))</f>
        <v>0</v>
      </c>
      <c r="H416" s="77">
        <f>IF(Baseline!T103=0,(IF(Baseline!C103="Nieuwe Situatie",(_xlfn.IFNA(VLOOKUP(Referentie_Hernieuwbare_Energie_Totaal[[#This Row],[Product]]&amp;", "&amp;Referentie_CO2_Totaal[[#Headers],[A4]],Database_Productkaarten[#All],48,FALSE),0)*Baseline!I103),0)),IF(Baseline!C103="Nieuwe Situatie",_xlfn.IFNA(VLOOKUP(Baseline!T103,Database_Transport[#All],42,FALSE)*(Baseline!Q103*Baseline!S103),Baseline_Backlog!H206),0))</f>
        <v>0</v>
      </c>
      <c r="I416" s="77">
        <f>IF(Baseline!C103="Nieuwe situatie",IF(_xlfn.IFNA((VLOOKUP(Baseline!U103,Database_Asfalt_Aanlegset[#All],42,FALSE)*Baseline!I103),0)+_xlfn.IFNA(VLOOKUP(Baseline!V103,Database_Brandstoffen[#All],42,FALSE)*((Baseline!I103/Baseline!X103)*Baseline!W103),0)&gt;0,_xlfn.IFNA((VLOOKUP(Baseline!U103,Database_Asfalt_Aanlegset[#All],42,FALSE)*Baseline!I103),0)+_xlfn.IFNA(VLOOKUP(Baseline!V103,Database_Brandstoffen[#All],42,FALSE)*((Baseline!I103/Baseline!X103)*Baseline!W103),0),(_xlfn.IFNA(VLOOKUP(Referentie_Hernieuwbare_Energie_Totaal[[#This Row],[Product]]&amp;", "&amp;Referentie_MKI_Totaal[[#Headers],[A5]],Database_Productkaarten[#All],48,FALSE),0)*Baseline!I103)),0)</f>
        <v>0</v>
      </c>
      <c r="J416" s="77">
        <f>(IF(Baseline!C103="Nieuwe Situatie",(_xlfn.IFNA(VLOOKUP(Referentie_Hernieuwbare_Energie_Totaal[[#This Row],[Product]]&amp;", "&amp;Referentie_Hernieuwbare_Energie_Totaal[[#Headers],[B1]],Database_Productkaarten[#All],48,FALSE),0)*Baseline!I103),0))</f>
        <v>0</v>
      </c>
      <c r="K416" s="77">
        <f>(IF(Baseline!C103="Nieuwe Situatie",(SUM(Referentie_Hernieuwbare_Energie_Totaal[[#This Row],[A1]:[B1]],Referentie_Hernieuwbare_Energie_Totaal[[#This Row],[C1]:[D2]])*Baseline!R103),0))</f>
        <v>0</v>
      </c>
      <c r="L416" s="77">
        <f>IF(Baseline!C103="Bestaande situatie",IF(_xlfn.IFNA((VLOOKUP(Baseline!Y103,Database_Asfalt_Verwijderset[#All],42,FALSE)*Baseline!I103),0)+_xlfn.IFNA(VLOOKUP(Baseline!Z103,Database_Brandstoffen[#All],42,FALSE)*((Baseline!I103/Baseline!AB103)*Baseline!AA103),0)&gt;0,_xlfn.IFNA((VLOOKUP(Baseline!Y103,Database_Asfalt_Verwijderset[#All],42,FALSE)*Baseline!I103),0)+_xlfn.IFNA(VLOOKUP(Baseline!Z103,Database_Brandstoffen[#All],42,FALSE)*((Baseline!I103/Baseline!AB103)*Baseline!AA103),0),(_xlfn.IFNA(VLOOKUP(Referentie_Hernieuwbare_Energie_Totaal[[#This Row],[Product]]&amp;", "&amp;Referentie_MKI_Totaal[[#Headers],[C1]],Database_Productkaarten[#All],48,FALSE),0)*Baseline!I103)),0)</f>
        <v>0</v>
      </c>
      <c r="M416" s="77">
        <f>IF(Baseline!AD103=0,(IF(Baseline!C103="Bestaande Situatie",(_xlfn.IFNA(VLOOKUP(Referentie_Hernieuwbare_Energie_Totaal[[#This Row],[Product]]&amp;", "&amp;Referentie_MKI_Totaal[[#Headers],[C2]],Database_Productkaarten[#All],48,FALSE),0)*Baseline!I103),0)),(IF(Baseline!C103="Bestaande Situatie",_xlfn.IFNA(VLOOKUP(Baseline!AD103,Database_Transport[#All],42,FALSE)*(Baseline!Q103*Baseline!AC103),0))))</f>
        <v>0</v>
      </c>
      <c r="N416" s="77">
        <f>(IF(Baseline!C103="Bestaande Situatie",(_xlfn.IFNA(VLOOKUP(Referentie_Hernieuwbare_Energie_Totaal[[#This Row],[Product]]&amp;", "&amp;Referentie_Hernieuwbare_Energie_Totaal[[#Headers],[C3]],Database_Productkaarten[#All],48,FALSE),0)*Baseline!I103),0))</f>
        <v>0</v>
      </c>
      <c r="O416" s="77">
        <f>(IF(Baseline!C103="Bestaande Situatie",(_xlfn.IFNA(VLOOKUP(Referentie_Hernieuwbare_Energie_Totaal[[#This Row],[Product]]&amp;", "&amp;Referentie_Hernieuwbare_Energie_Totaal[[#Headers],[C4]],Database_Productkaarten[#All],48,FALSE),0)*Baseline!I103),0))</f>
        <v>0</v>
      </c>
      <c r="P416" s="77">
        <f>(IF(Baseline!C103="Bestaande Situatie",(_xlfn.IFNA(VLOOKUP(Referentie_Hernieuwbare_Energie_Totaal[[#This Row],[Product]]&amp;", "&amp;Referentie_Hernieuwbare_Energie_Totaal[[#Headers],[D1]],Database_Productkaarten[#All],48,FALSE),0)*Baseline!I103),0))</f>
        <v>0</v>
      </c>
      <c r="Q416" s="78">
        <f>(IF(Baseline!C103="Bestaande Situatie",_xlfn.IFNA(VLOOKUP(Referentie_Hernieuwbare_Energie_Totaal[[#This Row],[Product]]&amp;", "&amp;Referentie_Hernieuwbare_Energie_Totaal[[#Headers],[D2]],Database_Productkaarten[#All],48,FALSE),0)*Baseline!I103,0))</f>
        <v>0</v>
      </c>
      <c r="R416" s="57">
        <f>(IF(Baseline!C103="Bestaande Situatie",_xlfn.IFNA(VLOOKUP(Referentie_Hernieuwbare_Energie_Totaal[[#This Row],[Product]]&amp;", "&amp;Referentie_Hernieuwbare_Energie_Totaal[[#Headers],[D]],Database_Productkaarten[#All],48,FALSE),0)*Baseline!I103,0))</f>
        <v>0</v>
      </c>
      <c r="S416" s="56">
        <f>SUM(Referentie_Hernieuwbare_Energie_Totaal[[#This Row],[A1-A3]:[C4]])+Referentie_Hernieuwbare_Energie_Totaal[[#This Row],[D]]</f>
        <v>0</v>
      </c>
    </row>
    <row r="417" spans="2:19">
      <c r="B417" s="209">
        <f>Baseline!B104</f>
        <v>0</v>
      </c>
      <c r="C417" s="76">
        <f>Baseline!F104</f>
        <v>0</v>
      </c>
      <c r="D417" s="77">
        <f>(IF(Baseline!C104="Nieuwe Situatie",(_xlfn.IFNA(VLOOKUP(Referentie_Hernieuwbare_Energie_Totaal[[#This Row],[Product]]&amp;", "&amp;Referentie_Hernieuwbare_Energie_Totaal[[#Headers],[A1]],Database_Productkaarten[#All],48,FALSE),0)*Baseline!I104),0))</f>
        <v>0</v>
      </c>
      <c r="E417" s="77">
        <f>(IF(Baseline!C104="Nieuwe Situatie",(_xlfn.IFNA(VLOOKUP(Referentie_Hernieuwbare_Energie_Totaal[[#This Row],[Product]]&amp;", "&amp;Referentie_Hernieuwbare_Energie_Totaal[[#Headers],[A2]],Database_Productkaarten[#All],48,FALSE),0)*Baseline!I104),0))</f>
        <v>0</v>
      </c>
      <c r="F417" s="77">
        <f>(IF(Baseline!C104="Nieuwe Situatie",(_xlfn.IFNA(VLOOKUP(Referentie_Hernieuwbare_Energie_Totaal[[#This Row],[Product]]&amp;", "&amp;Referentie_Hernieuwbare_Energie_Totaal[[#Headers],[A3]],Database_Productkaarten[#All],48,FALSE),0)*Baseline!I104),0))</f>
        <v>0</v>
      </c>
      <c r="G417" s="77">
        <f>(IF(Baseline!C104="Nieuwe Situatie",(_xlfn.IFNA(VLOOKUP(Referentie_Hernieuwbare_Energie_Totaal[[#This Row],[Product]]&amp;", "&amp;Referentie_Hernieuwbare_Energie_Totaal[[#Headers],[A1-A3]],Database_Productkaarten[#All],48,FALSE),0)*Baseline!I104),0))</f>
        <v>0</v>
      </c>
      <c r="H417" s="77">
        <f>IF(Baseline!T104=0,(IF(Baseline!C104="Nieuwe Situatie",(_xlfn.IFNA(VLOOKUP(Referentie_Hernieuwbare_Energie_Totaal[[#This Row],[Product]]&amp;", "&amp;Referentie_CO2_Totaal[[#Headers],[A4]],Database_Productkaarten[#All],48,FALSE),0)*Baseline!I104),0)),IF(Baseline!C104="Nieuwe Situatie",_xlfn.IFNA(VLOOKUP(Baseline!T104,Database_Transport[#All],42,FALSE)*(Baseline!Q104*Baseline!S104),Baseline_Backlog!H207),0))</f>
        <v>0</v>
      </c>
      <c r="I417" s="77">
        <f>IF(Baseline!C104="Nieuwe situatie",IF(_xlfn.IFNA((VLOOKUP(Baseline!U104,Database_Asfalt_Aanlegset[#All],42,FALSE)*Baseline!I104),0)+_xlfn.IFNA(VLOOKUP(Baseline!V104,Database_Brandstoffen[#All],42,FALSE)*((Baseline!I104/Baseline!X104)*Baseline!W104),0)&gt;0,_xlfn.IFNA((VLOOKUP(Baseline!U104,Database_Asfalt_Aanlegset[#All],42,FALSE)*Baseline!I104),0)+_xlfn.IFNA(VLOOKUP(Baseline!V104,Database_Brandstoffen[#All],42,FALSE)*((Baseline!I104/Baseline!X104)*Baseline!W104),0),(_xlfn.IFNA(VLOOKUP(Referentie_Hernieuwbare_Energie_Totaal[[#This Row],[Product]]&amp;", "&amp;Referentie_MKI_Totaal[[#Headers],[A5]],Database_Productkaarten[#All],48,FALSE),0)*Baseline!I104)),0)</f>
        <v>0</v>
      </c>
      <c r="J417" s="77">
        <f>(IF(Baseline!C104="Nieuwe Situatie",(_xlfn.IFNA(VLOOKUP(Referentie_Hernieuwbare_Energie_Totaal[[#This Row],[Product]]&amp;", "&amp;Referentie_Hernieuwbare_Energie_Totaal[[#Headers],[B1]],Database_Productkaarten[#All],48,FALSE),0)*Baseline!I104),0))</f>
        <v>0</v>
      </c>
      <c r="K417" s="77">
        <f>(IF(Baseline!C104="Nieuwe Situatie",(SUM(Referentie_Hernieuwbare_Energie_Totaal[[#This Row],[A1]:[B1]],Referentie_Hernieuwbare_Energie_Totaal[[#This Row],[C1]:[D2]])*Baseline!R104),0))</f>
        <v>0</v>
      </c>
      <c r="L417" s="77">
        <f>IF(Baseline!C104="Bestaande situatie",IF(_xlfn.IFNA((VLOOKUP(Baseline!Y104,Database_Asfalt_Verwijderset[#All],42,FALSE)*Baseline!I104),0)+_xlfn.IFNA(VLOOKUP(Baseline!Z104,Database_Brandstoffen[#All],42,FALSE)*((Baseline!I104/Baseline!AB104)*Baseline!AA104),0)&gt;0,_xlfn.IFNA((VLOOKUP(Baseline!Y104,Database_Asfalt_Verwijderset[#All],42,FALSE)*Baseline!I104),0)+_xlfn.IFNA(VLOOKUP(Baseline!Z104,Database_Brandstoffen[#All],42,FALSE)*((Baseline!I104/Baseline!AB104)*Baseline!AA104),0),(_xlfn.IFNA(VLOOKUP(Referentie_Hernieuwbare_Energie_Totaal[[#This Row],[Product]]&amp;", "&amp;Referentie_MKI_Totaal[[#Headers],[C1]],Database_Productkaarten[#All],48,FALSE),0)*Baseline!I104)),0)</f>
        <v>0</v>
      </c>
      <c r="M417" s="77">
        <f>IF(Baseline!AD104=0,(IF(Baseline!C104="Bestaande Situatie",(_xlfn.IFNA(VLOOKUP(Referentie_Hernieuwbare_Energie_Totaal[[#This Row],[Product]]&amp;", "&amp;Referentie_MKI_Totaal[[#Headers],[C2]],Database_Productkaarten[#All],48,FALSE),0)*Baseline!I104),0)),(IF(Baseline!C104="Bestaande Situatie",_xlfn.IFNA(VLOOKUP(Baseline!AD104,Database_Transport[#All],42,FALSE)*(Baseline!Q104*Baseline!AC104),0))))</f>
        <v>0</v>
      </c>
      <c r="N417" s="77">
        <f>(IF(Baseline!C104="Bestaande Situatie",(_xlfn.IFNA(VLOOKUP(Referentie_Hernieuwbare_Energie_Totaal[[#This Row],[Product]]&amp;", "&amp;Referentie_Hernieuwbare_Energie_Totaal[[#Headers],[C3]],Database_Productkaarten[#All],48,FALSE),0)*Baseline!I104),0))</f>
        <v>0</v>
      </c>
      <c r="O417" s="77">
        <f>(IF(Baseline!C104="Bestaande Situatie",(_xlfn.IFNA(VLOOKUP(Referentie_Hernieuwbare_Energie_Totaal[[#This Row],[Product]]&amp;", "&amp;Referentie_Hernieuwbare_Energie_Totaal[[#Headers],[C4]],Database_Productkaarten[#All],48,FALSE),0)*Baseline!I104),0))</f>
        <v>0</v>
      </c>
      <c r="P417" s="77">
        <f>(IF(Baseline!C104="Bestaande Situatie",(_xlfn.IFNA(VLOOKUP(Referentie_Hernieuwbare_Energie_Totaal[[#This Row],[Product]]&amp;", "&amp;Referentie_Hernieuwbare_Energie_Totaal[[#Headers],[D1]],Database_Productkaarten[#All],48,FALSE),0)*Baseline!I104),0))</f>
        <v>0</v>
      </c>
      <c r="Q417" s="78">
        <f>(IF(Baseline!C104="Bestaande Situatie",_xlfn.IFNA(VLOOKUP(Referentie_Hernieuwbare_Energie_Totaal[[#This Row],[Product]]&amp;", "&amp;Referentie_Hernieuwbare_Energie_Totaal[[#Headers],[D2]],Database_Productkaarten[#All],48,FALSE),0)*Baseline!I104,0))</f>
        <v>0</v>
      </c>
      <c r="R417" s="57">
        <f>(IF(Baseline!C104="Bestaande Situatie",_xlfn.IFNA(VLOOKUP(Referentie_Hernieuwbare_Energie_Totaal[[#This Row],[Product]]&amp;", "&amp;Referentie_Hernieuwbare_Energie_Totaal[[#Headers],[D]],Database_Productkaarten[#All],48,FALSE),0)*Baseline!I104,0))</f>
        <v>0</v>
      </c>
      <c r="S417" s="56">
        <f>SUM(Referentie_Hernieuwbare_Energie_Totaal[[#This Row],[A1-A3]:[C4]])+Referentie_Hernieuwbare_Energie_Totaal[[#This Row],[D]]</f>
        <v>0</v>
      </c>
    </row>
    <row r="418" spans="2:19" ht="15.75" thickBot="1">
      <c r="B418" s="209">
        <f>Baseline!B105</f>
        <v>0</v>
      </c>
      <c r="C418" s="76">
        <f>Baseline!F105</f>
        <v>0</v>
      </c>
      <c r="D418" s="77">
        <f>(IF(Baseline!C105="Nieuwe Situatie",(_xlfn.IFNA(VLOOKUP(Referentie_Hernieuwbare_Energie_Totaal[[#This Row],[Product]]&amp;", "&amp;Referentie_Hernieuwbare_Energie_Totaal[[#Headers],[A1]],Database_Productkaarten[#All],48,FALSE),0)*Baseline!I105),0))</f>
        <v>0</v>
      </c>
      <c r="E418" s="77">
        <f>(IF(Baseline!C105="Nieuwe Situatie",(_xlfn.IFNA(VLOOKUP(Referentie_Hernieuwbare_Energie_Totaal[[#This Row],[Product]]&amp;", "&amp;Referentie_Hernieuwbare_Energie_Totaal[[#Headers],[A2]],Database_Productkaarten[#All],48,FALSE),0)*Baseline!I105),0))</f>
        <v>0</v>
      </c>
      <c r="F418" s="77">
        <f>(IF(Baseline!C105="Nieuwe Situatie",(_xlfn.IFNA(VLOOKUP(Referentie_Hernieuwbare_Energie_Totaal[[#This Row],[Product]]&amp;", "&amp;Referentie_Hernieuwbare_Energie_Totaal[[#Headers],[A3]],Database_Productkaarten[#All],48,FALSE),0)*Baseline!I105),0))</f>
        <v>0</v>
      </c>
      <c r="G418" s="77">
        <f>(IF(Baseline!C105="Nieuwe Situatie",(_xlfn.IFNA(VLOOKUP(Referentie_Hernieuwbare_Energie_Totaal[[#This Row],[Product]]&amp;", "&amp;Referentie_Hernieuwbare_Energie_Totaal[[#Headers],[A1-A3]],Database_Productkaarten[#All],48,FALSE),0)*Baseline!I105),0))</f>
        <v>0</v>
      </c>
      <c r="H418" s="77">
        <f>IF(Baseline!T105=0,(IF(Baseline!C105="Nieuwe Situatie",(_xlfn.IFNA(VLOOKUP(Referentie_Hernieuwbare_Energie_Totaal[[#This Row],[Product]]&amp;", "&amp;Referentie_CO2_Totaal[[#Headers],[A4]],Database_Productkaarten[#All],48,FALSE),0)*Baseline!I105),0)),IF(Baseline!C105="Nieuwe Situatie",_xlfn.IFNA(VLOOKUP(Baseline!T105,Database_Transport[#All],42,FALSE)*(Baseline!Q105*Baseline!S105),Baseline_Backlog!H208),0))</f>
        <v>0</v>
      </c>
      <c r="I418" s="77">
        <f>IF(Baseline!C105="Nieuwe situatie",IF(_xlfn.IFNA((VLOOKUP(Baseline!U105,Database_Asfalt_Aanlegset[#All],42,FALSE)*Baseline!I105),0)+_xlfn.IFNA(VLOOKUP(Baseline!V105,Database_Brandstoffen[#All],42,FALSE)*((Baseline!I105/Baseline!X105)*Baseline!W105),0)&gt;0,_xlfn.IFNA((VLOOKUP(Baseline!U105,Database_Asfalt_Aanlegset[#All],42,FALSE)*Baseline!I105),0)+_xlfn.IFNA(VLOOKUP(Baseline!V105,Database_Brandstoffen[#All],42,FALSE)*((Baseline!I105/Baseline!X105)*Baseline!W105),0),(_xlfn.IFNA(VLOOKUP(Referentie_Hernieuwbare_Energie_Totaal[[#This Row],[Product]]&amp;", "&amp;Referentie_MKI_Totaal[[#Headers],[A5]],Database_Productkaarten[#All],48,FALSE),0)*Baseline!I105)),0)</f>
        <v>0</v>
      </c>
      <c r="J418" s="77">
        <f>(IF(Baseline!C105="Nieuwe Situatie",(_xlfn.IFNA(VLOOKUP(Referentie_Hernieuwbare_Energie_Totaal[[#This Row],[Product]]&amp;", "&amp;Referentie_Hernieuwbare_Energie_Totaal[[#Headers],[B1]],Database_Productkaarten[#All],48,FALSE),0)*Baseline!I105),0))</f>
        <v>0</v>
      </c>
      <c r="K418" s="77">
        <f>(IF(Baseline!C105="Nieuwe Situatie",(SUM(Referentie_Hernieuwbare_Energie_Totaal[[#This Row],[A1]:[B1]],Referentie_Hernieuwbare_Energie_Totaal[[#This Row],[C1]:[D2]])*Baseline!R105),0))</f>
        <v>0</v>
      </c>
      <c r="L418" s="77">
        <f>IF(Baseline!C105="Bestaande situatie",IF(_xlfn.IFNA((VLOOKUP(Baseline!Y105,Database_Asfalt_Verwijderset[#All],42,FALSE)*Baseline!I105),0)+_xlfn.IFNA(VLOOKUP(Baseline!Z105,Database_Brandstoffen[#All],42,FALSE)*((Baseline!I105/Baseline!AB105)*Baseline!AA105),0)&gt;0,_xlfn.IFNA((VLOOKUP(Baseline!Y105,Database_Asfalt_Verwijderset[#All],42,FALSE)*Baseline!I105),0)+_xlfn.IFNA(VLOOKUP(Baseline!Z105,Database_Brandstoffen[#All],42,FALSE)*((Baseline!I105/Baseline!AB105)*Baseline!AA105),0),(_xlfn.IFNA(VLOOKUP(Referentie_Hernieuwbare_Energie_Totaal[[#This Row],[Product]]&amp;", "&amp;Referentie_MKI_Totaal[[#Headers],[C1]],Database_Productkaarten[#All],48,FALSE),0)*Baseline!I105)),0)</f>
        <v>0</v>
      </c>
      <c r="M418" s="77">
        <f>IF(Baseline!AD105=0,(IF(Baseline!C105="Bestaande Situatie",(_xlfn.IFNA(VLOOKUP(Referentie_Hernieuwbare_Energie_Totaal[[#This Row],[Product]]&amp;", "&amp;Referentie_MKI_Totaal[[#Headers],[C2]],Database_Productkaarten[#All],48,FALSE),0)*Baseline!I105),0)),(IF(Baseline!C105="Bestaande Situatie",_xlfn.IFNA(VLOOKUP(Baseline!AD105,Database_Transport[#All],42,FALSE)*(Baseline!Q105*Baseline!AC105),0))))</f>
        <v>0</v>
      </c>
      <c r="N418" s="77">
        <f>(IF(Baseline!C105="Bestaande Situatie",(_xlfn.IFNA(VLOOKUP(Referentie_Hernieuwbare_Energie_Totaal[[#This Row],[Product]]&amp;", "&amp;Referentie_Hernieuwbare_Energie_Totaal[[#Headers],[C3]],Database_Productkaarten[#All],48,FALSE),0)*Baseline!I105),0))</f>
        <v>0</v>
      </c>
      <c r="O418" s="77">
        <f>(IF(Baseline!C105="Bestaande Situatie",(_xlfn.IFNA(VLOOKUP(Referentie_Hernieuwbare_Energie_Totaal[[#This Row],[Product]]&amp;", "&amp;Referentie_Hernieuwbare_Energie_Totaal[[#Headers],[C4]],Database_Productkaarten[#All],48,FALSE),0)*Baseline!I105),0))</f>
        <v>0</v>
      </c>
      <c r="P418" s="77">
        <f>(IF(Baseline!C105="Bestaande Situatie",(_xlfn.IFNA(VLOOKUP(Referentie_Hernieuwbare_Energie_Totaal[[#This Row],[Product]]&amp;", "&amp;Referentie_Hernieuwbare_Energie_Totaal[[#Headers],[D1]],Database_Productkaarten[#All],48,FALSE),0)*Baseline!I105),0))</f>
        <v>0</v>
      </c>
      <c r="Q418" s="78">
        <f>(IF(Baseline!C105="Bestaande Situatie",_xlfn.IFNA(VLOOKUP(Referentie_Hernieuwbare_Energie_Totaal[[#This Row],[Product]]&amp;", "&amp;Referentie_Hernieuwbare_Energie_Totaal[[#Headers],[D2]],Database_Productkaarten[#All],48,FALSE),0)*Baseline!I105,0))</f>
        <v>0</v>
      </c>
      <c r="R418" s="57">
        <f>(IF(Baseline!C105="Bestaande Situatie",_xlfn.IFNA(VLOOKUP(Referentie_Hernieuwbare_Energie_Totaal[[#This Row],[Product]]&amp;", "&amp;Referentie_Hernieuwbare_Energie_Totaal[[#Headers],[D]],Database_Productkaarten[#All],48,FALSE),0)*Baseline!I105,0))</f>
        <v>0</v>
      </c>
      <c r="S418" s="56">
        <f>SUM(Referentie_Hernieuwbare_Energie_Totaal[[#This Row],[A1-A3]:[C4]])+Referentie_Hernieuwbare_Energie_Totaal[[#This Row],[D]]</f>
        <v>0</v>
      </c>
    </row>
    <row r="419" spans="2:19" ht="15.75" thickTop="1">
      <c r="B419" s="52" t="s">
        <v>90</v>
      </c>
      <c r="C419" s="53"/>
      <c r="D419" s="159">
        <f>SUBTOTAL(109,Referentie_Hernieuwbare_Energie_Totaal[A1])</f>
        <v>104101.36619142308</v>
      </c>
      <c r="E419" s="159">
        <f>SUBTOTAL(109,Referentie_Hernieuwbare_Energie_Totaal[A2])</f>
        <v>1658.5529515607693</v>
      </c>
      <c r="F419" s="159">
        <f>SUBTOTAL(109,Referentie_Hernieuwbare_Energie_Totaal[A3])</f>
        <v>8781.836723857692</v>
      </c>
      <c r="G419" s="159">
        <f>SUBTOTAL(109,Referentie_Hernieuwbare_Energie_Totaal[A1-A3])</f>
        <v>343403.85586684151</v>
      </c>
      <c r="H419" s="159">
        <f>SUBTOTAL(109,Referentie_Hernieuwbare_Energie_Totaal[A4])</f>
        <v>9287.6197663138137</v>
      </c>
      <c r="I419" s="159">
        <f>SUBTOTAL(109,Referentie_Hernieuwbare_Energie_Totaal[A5])</f>
        <v>38000.492943208366</v>
      </c>
      <c r="J419" s="159">
        <f>SUBTOTAL(109,Referentie_Hernieuwbare_Energie_Totaal[B1])</f>
        <v>0</v>
      </c>
      <c r="K419" s="159">
        <f>SUBTOTAL(109,Referentie_Hernieuwbare_Energie_Totaal[B4])</f>
        <v>0</v>
      </c>
      <c r="L419" s="159">
        <f>SUBTOTAL(109,Referentie_Hernieuwbare_Energie_Totaal[C1])</f>
        <v>9816.6303286259918</v>
      </c>
      <c r="M419" s="159">
        <f>SUBTOTAL(109,Referentie_Hernieuwbare_Energie_Totaal[C2])</f>
        <v>9862.5079216424656</v>
      </c>
      <c r="N419" s="159">
        <f>SUBTOTAL(109,Referentie_Hernieuwbare_Energie_Totaal[C3])</f>
        <v>2648.8460408883325</v>
      </c>
      <c r="O419" s="159">
        <f>SUBTOTAL(109,Referentie_Hernieuwbare_Energie_Totaal[C4])</f>
        <v>728.09435418650003</v>
      </c>
      <c r="P419" s="159">
        <f>SUBTOTAL(109,Referentie_Hernieuwbare_Energie_Totaal[D1])</f>
        <v>-116865</v>
      </c>
      <c r="Q419" s="160">
        <f>SUBTOTAL(109,Referentie_Hernieuwbare_Energie_Totaal[D2])</f>
        <v>0</v>
      </c>
      <c r="R419" s="160">
        <f>SUBTOTAL(109,Referentie_Hernieuwbare_Energie_Totaal[D])</f>
        <v>-168485.45338752499</v>
      </c>
      <c r="S419" s="161">
        <f>SUBTOTAL(109,Referentie_Hernieuwbare_Energie_Totaal[Totaal])</f>
        <v>245262.59383418204</v>
      </c>
    </row>
    <row r="420" spans="2:19">
      <c r="B420" s="13"/>
      <c r="C420" s="13"/>
      <c r="D420" s="13"/>
      <c r="E420" s="13"/>
      <c r="F420" s="13"/>
      <c r="G420" s="13"/>
      <c r="H420" s="13"/>
      <c r="I420" s="13"/>
      <c r="J420" s="13"/>
      <c r="K420" s="13"/>
      <c r="L420" s="13"/>
      <c r="M420" s="13"/>
      <c r="N420" s="13"/>
      <c r="O420" s="13"/>
      <c r="P420" s="13"/>
    </row>
    <row r="421" spans="2:19">
      <c r="B421" s="13"/>
      <c r="C421" s="13"/>
      <c r="D421" s="13"/>
      <c r="E421" s="13"/>
      <c r="F421" s="13"/>
      <c r="G421" s="13"/>
      <c r="H421" s="13"/>
      <c r="I421" s="13"/>
      <c r="J421" s="13"/>
      <c r="K421" s="13"/>
      <c r="L421" s="13"/>
      <c r="M421" s="13"/>
      <c r="N421" s="13"/>
      <c r="O421" s="13"/>
      <c r="P421" s="13"/>
    </row>
    <row r="422" spans="2:19" ht="18">
      <c r="B422" s="110" t="s">
        <v>122</v>
      </c>
      <c r="C422" s="110"/>
      <c r="D422" s="110"/>
      <c r="E422" s="13"/>
      <c r="F422" s="13"/>
      <c r="G422" s="13"/>
      <c r="H422" s="13"/>
      <c r="I422" s="13"/>
      <c r="J422" s="13"/>
      <c r="K422" s="13"/>
      <c r="L422" s="13"/>
      <c r="M422" s="13"/>
      <c r="N422" s="13"/>
      <c r="O422" s="13"/>
      <c r="P422" s="13"/>
    </row>
    <row r="423" spans="2:19" ht="15.75" thickBot="1">
      <c r="B423" s="49" t="s">
        <v>214</v>
      </c>
      <c r="C423" s="50" t="s">
        <v>7</v>
      </c>
      <c r="D423" s="63" t="s">
        <v>74</v>
      </c>
      <c r="E423" s="64" t="s">
        <v>75</v>
      </c>
      <c r="F423" s="65" t="s">
        <v>76</v>
      </c>
      <c r="G423" s="18" t="s">
        <v>77</v>
      </c>
      <c r="H423" s="66" t="s">
        <v>78</v>
      </c>
      <c r="I423" s="67" t="s">
        <v>79</v>
      </c>
      <c r="J423" s="68" t="s">
        <v>80</v>
      </c>
      <c r="K423" s="69" t="s">
        <v>82</v>
      </c>
      <c r="L423" s="70" t="s">
        <v>83</v>
      </c>
      <c r="M423" s="71" t="s">
        <v>84</v>
      </c>
      <c r="N423" s="72" t="s">
        <v>85</v>
      </c>
      <c r="O423" s="73" t="s">
        <v>86</v>
      </c>
      <c r="P423" s="74" t="s">
        <v>87</v>
      </c>
      <c r="Q423" s="75" t="s">
        <v>88</v>
      </c>
      <c r="R423" s="29" t="s">
        <v>89</v>
      </c>
      <c r="S423" s="143" t="s">
        <v>90</v>
      </c>
    </row>
    <row r="424" spans="2:19" ht="15.75" thickTop="1">
      <c r="B424" s="209" t="str">
        <f>Baseline!B6</f>
        <v xml:space="preserve">121110 - Opbreken trottoirband </v>
      </c>
      <c r="C424" s="76" t="str">
        <f>Baseline!F6</f>
        <v>Trottoirband 130/150x250</v>
      </c>
      <c r="D424" s="77">
        <f>(IF(Baseline!C6="Nieuwe Situatie",(_xlfn.IFNA(VLOOKUP(Referentie_Fossiele_Energie_Totaal[[#This Row],[Product]]&amp;", "&amp;Referentie_Fossiele_Energie_Totaal[[#Headers],[A1]],Database_Productkaarten[#All],51,FALSE),0)*Baseline!I6),0))</f>
        <v>0</v>
      </c>
      <c r="E424" s="77">
        <f>(IF(Baseline!C6="Nieuwe Situatie",(_xlfn.IFNA(VLOOKUP(Referentie_Fossiele_Energie_Totaal[[#This Row],[Product]]&amp;", "&amp;Referentie_Fossiele_Energie_Totaal[[#Headers],[A2]],Database_Productkaarten[#All],51,FALSE),0)*Baseline!I6),0))</f>
        <v>0</v>
      </c>
      <c r="F424" s="77">
        <f>(IF(Baseline!C6="Nieuwe Situatie",(_xlfn.IFNA(VLOOKUP(Referentie_Fossiele_Energie_Totaal[[#This Row],[Product]]&amp;", "&amp;Referentie_Fossiele_Energie_Totaal[[#Headers],[A3]],Database_Productkaarten[#All],51,FALSE),0)*Baseline!I6),0))</f>
        <v>0</v>
      </c>
      <c r="G424" s="77">
        <f>(IF(Baseline!C6="Nieuwe Situatie",(_xlfn.IFNA(VLOOKUP(Referentie_Fossiele_Energie_Totaal[[#This Row],[Product]]&amp;", "&amp;Referentie_Fossiele_Energie_Totaal[[#Headers],[A1-A3]],Database_Productkaarten[#All],51,FALSE),0)*Baseline!I6),0))</f>
        <v>0</v>
      </c>
      <c r="H424" s="77">
        <f>IF(Baseline!T6=0,(IF(Baseline!C6="Nieuwe Situatie",(_xlfn.IFNA(VLOOKUP(Referentie_Fossiele_Energie_Totaal[[#This Row],[Product]]&amp;", "&amp;Referentie_CO2_Totaal[[#Headers],[A4]],Database_Productkaarten[#All],51,FALSE),0)*Baseline!I6),0)),IF(Baseline!C6="Nieuwe Situatie",_xlfn.IFNA(VLOOKUP(Baseline!T6,Database_Transport[#All],45,FALSE)*(Baseline!Q6*Baseline!S6),Baseline_Backlog!H109),0))</f>
        <v>0</v>
      </c>
      <c r="I424" s="77">
        <f>IF(Baseline!C6="Nieuwe situatie",IF(_xlfn.IFNA((VLOOKUP(Baseline!U6,Database_Asfalt_Aanlegset[#All],45,FALSE)*Baseline!I6),0)+_xlfn.IFNA(VLOOKUP(Baseline!V6,Database_Brandstoffen[#All],45,FALSE)*((Baseline!I6/Baseline!X6)*Baseline!W6),0)&gt;0,_xlfn.IFNA((VLOOKUP(Baseline!U6,Database_Asfalt_Aanlegset[#All],45,FALSE)*Baseline!I6),0)+_xlfn.IFNA(VLOOKUP(Baseline!V6,Database_Brandstoffen[#All],45,FALSE)*((Baseline!I6/Baseline!X6)*Baseline!W6),0),(_xlfn.IFNA(VLOOKUP(Referentie_Fossiele_Energie_Totaal[[#This Row],[Product]]&amp;", "&amp;Referentie_MKI_Totaal[[#Headers],[A5]],Database_Productkaarten[#All],51,FALSE),0)*Baseline!I6)),0)</f>
        <v>0</v>
      </c>
      <c r="J424" s="77">
        <f>(IF(Baseline!C6="Nieuwe Situatie",(_xlfn.IFNA(VLOOKUP(Referentie_Fossiele_Energie_Totaal[[#This Row],[Product]]&amp;", "&amp;Referentie_Fossiele_Energie_Totaal[[#Headers],[B1]],Database_Productkaarten[#All],51,FALSE),0)*Baseline!I6),0))</f>
        <v>0</v>
      </c>
      <c r="K424" s="77">
        <f>(IF(Baseline!C6="Nieuwe Situatie",(SUM(Referentie_Fossiele_Energie_Totaal[[#This Row],[A1]:[B1]],Referentie_Fossiele_Energie_Totaal[[#This Row],[C1]:[D2]])*Baseline!R6),0))</f>
        <v>0</v>
      </c>
      <c r="L424" s="77">
        <f>IF(Baseline!C6="Bestaande situatie",IF(_xlfn.IFNA((VLOOKUP(Baseline!Y6,Database_Asfalt_Verwijderset[#All],45,FALSE)*Baseline!I6),0)+_xlfn.IFNA(VLOOKUP(Baseline!Z6,Database_Brandstoffen[#All],45,FALSE)*((Baseline!I6/Baseline!AB6)*Baseline!AA6),0)&gt;0,_xlfn.IFNA((VLOOKUP(Baseline!Y6,Database_Asfalt_Verwijderset[#All],45,FALSE)*Baseline!I6),0)+_xlfn.IFNA(VLOOKUP(Baseline!Z6,Database_Brandstoffen[#All],45,FALSE)*((Baseline!I6/Baseline!AB6)*Baseline!AA6),0),(_xlfn.IFNA(VLOOKUP(Referentie_Fossiele_Energie_Totaal[[#This Row],[Product]]&amp;", "&amp;Referentie_MKI_Totaal[[#Headers],[C1]],Database_Productkaarten[#All],51,FALSE),0)*Baseline!I6)),0)</f>
        <v>54014.141462618391</v>
      </c>
      <c r="M424" s="77">
        <f>IF(Baseline!AD6=0,(IF(Baseline!C6="Bestaande Situatie",(_xlfn.IFNA(VLOOKUP(Referentie_Fossiele_Energie_Totaal[[#This Row],[Product]]&amp;", "&amp;Referentie_MKI_Totaal[[#Headers],[C2]],Database_Productkaarten[#All],51,FALSE),0)*Baseline!I6),0)),(IF(Baseline!C6="Bestaande Situatie",_xlfn.IFNA(VLOOKUP(Baseline!AD6,Database_Transport[#All],45,FALSE)*(Baseline!Q6*Baseline!AC6),0))))</f>
        <v>7993.8424167419998</v>
      </c>
      <c r="N424" s="77">
        <f>(IF(Baseline!C6="Bestaande Situatie",(_xlfn.IFNA(VLOOKUP(Referentie_Fossiele_Energie_Totaal[[#This Row],[Product]]&amp;", "&amp;Referentie_Fossiele_Energie_Totaal[[#Headers],[C3]],Database_Productkaarten[#All],51,FALSE),0)*Baseline!I6),0))</f>
        <v>6776.3789274999999</v>
      </c>
      <c r="O424" s="77">
        <f>(IF(Baseline!C6="Bestaande Situatie",(_xlfn.IFNA(VLOOKUP(Referentie_Fossiele_Energie_Totaal[[#This Row],[Product]]&amp;", "&amp;Referentie_Fossiele_Energie_Totaal[[#Headers],[C4]],Database_Productkaarten[#All],51,FALSE),0)*Baseline!I6),0))</f>
        <v>441.72570715000001</v>
      </c>
      <c r="P424" s="77">
        <f>(IF(Baseline!C6="Bestaande Situatie",(_xlfn.IFNA(VLOOKUP(Referentie_Fossiele_Energie_Totaal[[#This Row],[Product]]&amp;", "&amp;Referentie_Fossiele_Energie_Totaal[[#Headers],[D1]],Database_Productkaarten[#All],51,FALSE),0)*Baseline!I6),0))</f>
        <v>0</v>
      </c>
      <c r="Q424" s="78">
        <f>(IF(Baseline!C6="Bestaande Situatie",_xlfn.IFNA(VLOOKUP(Referentie_Fossiele_Energie_Totaal[[#This Row],[Product]]&amp;", "&amp;Referentie_Fossiele_Energie_Totaal[[#Headers],[D2]],Database_Productkaarten[#All],51,FALSE),0)*Baseline!I6,0))</f>
        <v>0</v>
      </c>
      <c r="R424" s="57">
        <f>(IF(Baseline!C6="Bestaande Situatie",_xlfn.IFNA(VLOOKUP(Referentie_Fossiele_Energie_Totaal[[#This Row],[Product]]&amp;", "&amp;Referentie_Fossiele_Energie_Totaal[[#Headers],[D]],Database_Productkaarten[#All],51,FALSE),0)*Baseline!I6,0))</f>
        <v>-14394.507809500001</v>
      </c>
      <c r="S424" s="56">
        <f>SUM(Referentie_Fossiele_Energie_Totaal[[#This Row],[A1-A3]:[C4]])+Referentie_Fossiele_Energie_Totaal[[#This Row],[D]]</f>
        <v>54831.580704510394</v>
      </c>
    </row>
    <row r="425" spans="2:19">
      <c r="B425" s="209" t="str">
        <f>Baseline!B7</f>
        <v>121120 - Opbreken RWS band</v>
      </c>
      <c r="C425" s="76" t="str">
        <f>Baseline!F7</f>
        <v>RWSband 115/225x250</v>
      </c>
      <c r="D425" s="77">
        <f>(IF(Baseline!C7="Nieuwe Situatie",(_xlfn.IFNA(VLOOKUP(Referentie_Fossiele_Energie_Totaal[[#This Row],[Product]]&amp;", "&amp;Referentie_Fossiele_Energie_Totaal[[#Headers],[A1]],Database_Productkaarten[#All],51,FALSE),0)*Baseline!I7),0))</f>
        <v>0</v>
      </c>
      <c r="E425" s="77">
        <f>(IF(Baseline!C7="Nieuwe Situatie",(_xlfn.IFNA(VLOOKUP(Referentie_Fossiele_Energie_Totaal[[#This Row],[Product]]&amp;", "&amp;Referentie_Fossiele_Energie_Totaal[[#Headers],[A2]],Database_Productkaarten[#All],51,FALSE),0)*Baseline!I7),0))</f>
        <v>0</v>
      </c>
      <c r="F425" s="77">
        <f>(IF(Baseline!C7="Nieuwe Situatie",(_xlfn.IFNA(VLOOKUP(Referentie_Fossiele_Energie_Totaal[[#This Row],[Product]]&amp;", "&amp;Referentie_Fossiele_Energie_Totaal[[#Headers],[A3]],Database_Productkaarten[#All],51,FALSE),0)*Baseline!I7),0))</f>
        <v>0</v>
      </c>
      <c r="G425" s="77">
        <f>(IF(Baseline!C7="Nieuwe Situatie",(_xlfn.IFNA(VLOOKUP(Referentie_Fossiele_Energie_Totaal[[#This Row],[Product]]&amp;", "&amp;Referentie_Fossiele_Energie_Totaal[[#Headers],[A1-A3]],Database_Productkaarten[#All],51,FALSE),0)*Baseline!I7),0))</f>
        <v>0</v>
      </c>
      <c r="H425" s="77">
        <f>IF(Baseline!T7=0,(IF(Baseline!C7="Nieuwe Situatie",(_xlfn.IFNA(VLOOKUP(Referentie_Fossiele_Energie_Totaal[[#This Row],[Product]]&amp;", "&amp;Referentie_CO2_Totaal[[#Headers],[A4]],Database_Productkaarten[#All],51,FALSE),0)*Baseline!I7),0)),IF(Baseline!C7="Nieuwe Situatie",_xlfn.IFNA(VLOOKUP(Baseline!T7,Database_Transport[#All],45,FALSE)*(Baseline!Q7*Baseline!S7),Baseline_Backlog!H110),0))</f>
        <v>0</v>
      </c>
      <c r="I425" s="77">
        <f>IF(Baseline!C7="Nieuwe situatie",IF(_xlfn.IFNA((VLOOKUP(Baseline!U7,Database_Asfalt_Aanlegset[#All],45,FALSE)*Baseline!I7),0)+_xlfn.IFNA(VLOOKUP(Baseline!V7,Database_Brandstoffen[#All],45,FALSE)*((Baseline!I7/Baseline!X7)*Baseline!W7),0)&gt;0,_xlfn.IFNA((VLOOKUP(Baseline!U7,Database_Asfalt_Aanlegset[#All],45,FALSE)*Baseline!I7),0)+_xlfn.IFNA(VLOOKUP(Baseline!V7,Database_Brandstoffen[#All],45,FALSE)*((Baseline!I7/Baseline!X7)*Baseline!W7),0),(_xlfn.IFNA(VLOOKUP(Referentie_Fossiele_Energie_Totaal[[#This Row],[Product]]&amp;", "&amp;Referentie_MKI_Totaal[[#Headers],[A5]],Database_Productkaarten[#All],51,FALSE),0)*Baseline!I7)),0)</f>
        <v>0</v>
      </c>
      <c r="J425" s="77">
        <f>(IF(Baseline!C7="Nieuwe Situatie",(_xlfn.IFNA(VLOOKUP(Referentie_Fossiele_Energie_Totaal[[#This Row],[Product]]&amp;", "&amp;Referentie_Fossiele_Energie_Totaal[[#Headers],[B1]],Database_Productkaarten[#All],51,FALSE),0)*Baseline!I7),0))</f>
        <v>0</v>
      </c>
      <c r="K425" s="77">
        <f>(IF(Baseline!C7="Nieuwe Situatie",(SUM(Referentie_Fossiele_Energie_Totaal[[#This Row],[A1]:[B1]],Referentie_Fossiele_Energie_Totaal[[#This Row],[C1]:[D2]])*Baseline!R7),0))</f>
        <v>0</v>
      </c>
      <c r="L425" s="77">
        <f>IF(Baseline!C7="Bestaande situatie",IF(_xlfn.IFNA((VLOOKUP(Baseline!Y7,Database_Asfalt_Verwijderset[#All],45,FALSE)*Baseline!I7),0)+_xlfn.IFNA(VLOOKUP(Baseline!Z7,Database_Brandstoffen[#All],45,FALSE)*((Baseline!I7/Baseline!AB7)*Baseline!AA7),0)&gt;0,_xlfn.IFNA((VLOOKUP(Baseline!Y7,Database_Asfalt_Verwijderset[#All],45,FALSE)*Baseline!I7),0)+_xlfn.IFNA(VLOOKUP(Baseline!Z7,Database_Brandstoffen[#All],45,FALSE)*((Baseline!I7/Baseline!AB7)*Baseline!AA7),0),(_xlfn.IFNA(VLOOKUP(Referentie_Fossiele_Energie_Totaal[[#This Row],[Product]]&amp;", "&amp;Referentie_MKI_Totaal[[#Headers],[C1]],Database_Productkaarten[#All],51,FALSE),0)*Baseline!I7)),0)</f>
        <v>5681.2362291922009</v>
      </c>
      <c r="M425" s="77">
        <f>IF(Baseline!AD7=0,(IF(Baseline!C7="Bestaande Situatie",(_xlfn.IFNA(VLOOKUP(Referentie_Fossiele_Energie_Totaal[[#This Row],[Product]]&amp;", "&amp;Referentie_MKI_Totaal[[#Headers],[C2]],Database_Productkaarten[#All],51,FALSE),0)*Baseline!I7),0)),(IF(Baseline!C7="Bestaande Situatie",_xlfn.IFNA(VLOOKUP(Baseline!AD7,Database_Transport[#All],45,FALSE)*(Baseline!Q7*Baseline!AC7),0))))</f>
        <v>1259.698838802</v>
      </c>
      <c r="N425" s="77">
        <f>(IF(Baseline!C7="Bestaande Situatie",(_xlfn.IFNA(VLOOKUP(Referentie_Fossiele_Energie_Totaal[[#This Row],[Product]]&amp;", "&amp;Referentie_Fossiele_Energie_Totaal[[#Headers],[C3]],Database_Productkaarten[#All],51,FALSE),0)*Baseline!I7),0))</f>
        <v>1046.5807025000001</v>
      </c>
      <c r="O425" s="77">
        <f>(IF(Baseline!C7="Bestaande Situatie",(_xlfn.IFNA(VLOOKUP(Referentie_Fossiele_Energie_Totaal[[#This Row],[Product]]&amp;", "&amp;Referentie_Fossiele_Energie_Totaal[[#Headers],[C4]],Database_Productkaarten[#All],51,FALSE),0)*Baseline!I7),0))</f>
        <v>68.22251215</v>
      </c>
      <c r="P425" s="77">
        <f>(IF(Baseline!C7="Bestaande Situatie",(_xlfn.IFNA(VLOOKUP(Referentie_Fossiele_Energie_Totaal[[#This Row],[Product]]&amp;", "&amp;Referentie_Fossiele_Energie_Totaal[[#Headers],[D1]],Database_Productkaarten[#All],51,FALSE),0)*Baseline!I7),0))</f>
        <v>0</v>
      </c>
      <c r="Q425" s="78">
        <f>(IF(Baseline!C7="Bestaande Situatie",_xlfn.IFNA(VLOOKUP(Referentie_Fossiele_Energie_Totaal[[#This Row],[Product]]&amp;", "&amp;Referentie_Fossiele_Energie_Totaal[[#Headers],[D2]],Database_Productkaarten[#All],51,FALSE),0)*Baseline!I7,0))</f>
        <v>0</v>
      </c>
      <c r="R425" s="57">
        <f>(IF(Baseline!C7="Bestaande Situatie",_xlfn.IFNA(VLOOKUP(Referentie_Fossiele_Energie_Totaal[[#This Row],[Product]]&amp;", "&amp;Referentie_Fossiele_Energie_Totaal[[#Headers],[D]],Database_Productkaarten[#All],51,FALSE),0)*Baseline!I7,0))</f>
        <v>-2217.5236559999998</v>
      </c>
      <c r="S425" s="56">
        <f>SUM(Referentie_Fossiele_Energie_Totaal[[#This Row],[A1-A3]:[C4]])+Referentie_Fossiele_Energie_Totaal[[#This Row],[D]]</f>
        <v>5838.2146266442014</v>
      </c>
    </row>
    <row r="426" spans="2:19">
      <c r="B426" s="209" t="str">
        <f>Baseline!B8</f>
        <v>121140 - Opbreken Opsluitband</v>
      </c>
      <c r="C426" s="76" t="str">
        <f>Baseline!F8</f>
        <v>Opsluitband 100x200</v>
      </c>
      <c r="D426" s="77">
        <f>(IF(Baseline!C8="Nieuwe Situatie",(_xlfn.IFNA(VLOOKUP(Referentie_Fossiele_Energie_Totaal[[#This Row],[Product]]&amp;", "&amp;Referentie_Fossiele_Energie_Totaal[[#Headers],[A1]],Database_Productkaarten[#All],51,FALSE),0)*Baseline!I8),0))</f>
        <v>0</v>
      </c>
      <c r="E426" s="77">
        <f>(IF(Baseline!C8="Nieuwe Situatie",(_xlfn.IFNA(VLOOKUP(Referentie_Fossiele_Energie_Totaal[[#This Row],[Product]]&amp;", "&amp;Referentie_Fossiele_Energie_Totaal[[#Headers],[A2]],Database_Productkaarten[#All],51,FALSE),0)*Baseline!I8),0))</f>
        <v>0</v>
      </c>
      <c r="F426" s="77">
        <f>(IF(Baseline!C8="Nieuwe Situatie",(_xlfn.IFNA(VLOOKUP(Referentie_Fossiele_Energie_Totaal[[#This Row],[Product]]&amp;", "&amp;Referentie_Fossiele_Energie_Totaal[[#Headers],[A3]],Database_Productkaarten[#All],51,FALSE),0)*Baseline!I8),0))</f>
        <v>0</v>
      </c>
      <c r="G426" s="77">
        <f>(IF(Baseline!C8="Nieuwe Situatie",(_xlfn.IFNA(VLOOKUP(Referentie_Fossiele_Energie_Totaal[[#This Row],[Product]]&amp;", "&amp;Referentie_Fossiele_Energie_Totaal[[#Headers],[A1-A3]],Database_Productkaarten[#All],51,FALSE),0)*Baseline!I8),0))</f>
        <v>0</v>
      </c>
      <c r="H426" s="77">
        <f>IF(Baseline!T8=0,(IF(Baseline!C8="Nieuwe Situatie",(_xlfn.IFNA(VLOOKUP(Referentie_Fossiele_Energie_Totaal[[#This Row],[Product]]&amp;", "&amp;Referentie_CO2_Totaal[[#Headers],[A4]],Database_Productkaarten[#All],51,FALSE),0)*Baseline!I8),0)),IF(Baseline!C8="Nieuwe Situatie",_xlfn.IFNA(VLOOKUP(Baseline!T8,Database_Transport[#All],45,FALSE)*(Baseline!Q8*Baseline!S8),Baseline_Backlog!H111),0))</f>
        <v>0</v>
      </c>
      <c r="I426" s="77">
        <f>IF(Baseline!C8="Nieuwe situatie",IF(_xlfn.IFNA((VLOOKUP(Baseline!U8,Database_Asfalt_Aanlegset[#All],45,FALSE)*Baseline!I8),0)+_xlfn.IFNA(VLOOKUP(Baseline!V8,Database_Brandstoffen[#All],45,FALSE)*((Baseline!I8/Baseline!X8)*Baseline!W8),0)&gt;0,_xlfn.IFNA((VLOOKUP(Baseline!U8,Database_Asfalt_Aanlegset[#All],45,FALSE)*Baseline!I8),0)+_xlfn.IFNA(VLOOKUP(Baseline!V8,Database_Brandstoffen[#All],45,FALSE)*((Baseline!I8/Baseline!X8)*Baseline!W8),0),(_xlfn.IFNA(VLOOKUP(Referentie_Fossiele_Energie_Totaal[[#This Row],[Product]]&amp;", "&amp;Referentie_MKI_Totaal[[#Headers],[A5]],Database_Productkaarten[#All],51,FALSE),0)*Baseline!I8)),0)</f>
        <v>0</v>
      </c>
      <c r="J426" s="77">
        <f>(IF(Baseline!C8="Nieuwe Situatie",(_xlfn.IFNA(VLOOKUP(Referentie_Fossiele_Energie_Totaal[[#This Row],[Product]]&amp;", "&amp;Referentie_Fossiele_Energie_Totaal[[#Headers],[B1]],Database_Productkaarten[#All],51,FALSE),0)*Baseline!I8),0))</f>
        <v>0</v>
      </c>
      <c r="K426" s="77">
        <f>(IF(Baseline!C8="Nieuwe Situatie",(SUM(Referentie_Fossiele_Energie_Totaal[[#This Row],[A1]:[B1]],Referentie_Fossiele_Energie_Totaal[[#This Row],[C1]:[D2]])*Baseline!R8),0))</f>
        <v>0</v>
      </c>
      <c r="L426" s="77">
        <f>IF(Baseline!C8="Bestaande situatie",IF(_xlfn.IFNA((VLOOKUP(Baseline!Y8,Database_Asfalt_Verwijderset[#All],45,FALSE)*Baseline!I8),0)+_xlfn.IFNA(VLOOKUP(Baseline!Z8,Database_Brandstoffen[#All],45,FALSE)*((Baseline!I8/Baseline!AB8)*Baseline!AA8),0)&gt;0,_xlfn.IFNA((VLOOKUP(Baseline!Y8,Database_Asfalt_Verwijderset[#All],45,FALSE)*Baseline!I8),0)+_xlfn.IFNA(VLOOKUP(Baseline!Z8,Database_Brandstoffen[#All],45,FALSE)*((Baseline!I8/Baseline!AB8)*Baseline!AA8),0),(_xlfn.IFNA(VLOOKUP(Referentie_Fossiele_Energie_Totaal[[#This Row],[Product]]&amp;", "&amp;Referentie_MKI_Totaal[[#Headers],[C1]],Database_Productkaarten[#All],51,FALSE),0)*Baseline!I8)),0)</f>
        <v>19672.340375710308</v>
      </c>
      <c r="M426" s="77">
        <f>IF(Baseline!AD8=0,(IF(Baseline!C8="Bestaande Situatie",(_xlfn.IFNA(VLOOKUP(Referentie_Fossiele_Energie_Totaal[[#This Row],[Product]]&amp;", "&amp;Referentie_MKI_Totaal[[#Headers],[C2]],Database_Productkaarten[#All],51,FALSE),0)*Baseline!I8),0)),(IF(Baseline!C8="Bestaande Situatie",_xlfn.IFNA(VLOOKUP(Baseline!AD8,Database_Transport[#All],45,FALSE)*(Baseline!Q8*Baseline!AC8),0))))</f>
        <v>1571.4043727199999</v>
      </c>
      <c r="N426" s="77">
        <f>(IF(Baseline!C8="Bestaande Situatie",(_xlfn.IFNA(VLOOKUP(Referentie_Fossiele_Energie_Totaal[[#This Row],[Product]]&amp;", "&amp;Referentie_Fossiele_Energie_Totaal[[#Headers],[C3]],Database_Productkaarten[#All],51,FALSE),0)*Baseline!I8),0))</f>
        <v>1297.581684</v>
      </c>
      <c r="O426" s="77">
        <f>(IF(Baseline!C8="Bestaande Situatie",(_xlfn.IFNA(VLOOKUP(Referentie_Fossiele_Energie_Totaal[[#This Row],[Product]]&amp;", "&amp;Referentie_Fossiele_Energie_Totaal[[#Headers],[C4]],Database_Productkaarten[#All],51,FALSE),0)*Baseline!I8),0))</f>
        <v>84.584287240000009</v>
      </c>
      <c r="P426" s="77">
        <f>(IF(Baseline!C8="Bestaande Situatie",(_xlfn.IFNA(VLOOKUP(Referentie_Fossiele_Energie_Totaal[[#This Row],[Product]]&amp;", "&amp;Referentie_Fossiele_Energie_Totaal[[#Headers],[D1]],Database_Productkaarten[#All],51,FALSE),0)*Baseline!I8),0))</f>
        <v>0</v>
      </c>
      <c r="Q426" s="78">
        <f>(IF(Baseline!C8="Bestaande Situatie",_xlfn.IFNA(VLOOKUP(Referentie_Fossiele_Energie_Totaal[[#This Row],[Product]]&amp;", "&amp;Referentie_Fossiele_Energie_Totaal[[#Headers],[D2]],Database_Productkaarten[#All],51,FALSE),0)*Baseline!I8,0))</f>
        <v>0</v>
      </c>
      <c r="R426" s="57">
        <f>(IF(Baseline!C8="Bestaande Situatie",_xlfn.IFNA(VLOOKUP(Referentie_Fossiele_Energie_Totaal[[#This Row],[Product]]&amp;", "&amp;Referentie_Fossiele_Energie_Totaal[[#Headers],[D]],Database_Productkaarten[#All],51,FALSE),0)*Baseline!I8,0))</f>
        <v>-2752.482336</v>
      </c>
      <c r="S426" s="56">
        <f>SUM(Referentie_Fossiele_Energie_Totaal[[#This Row],[A1-A3]:[C4]])+Referentie_Fossiele_Energie_Totaal[[#This Row],[D]]</f>
        <v>19873.428383670307</v>
      </c>
    </row>
    <row r="427" spans="2:19">
      <c r="B427" s="209" t="str">
        <f>Baseline!B9</f>
        <v>121310 - Opbreken betonstraatstenen</v>
      </c>
      <c r="C427" s="76" t="str">
        <f>Baseline!F9</f>
        <v>Betonstraatsteen 210x105x80</v>
      </c>
      <c r="D427" s="77">
        <f>(IF(Baseline!C9="Nieuwe Situatie",(_xlfn.IFNA(VLOOKUP(Referentie_Fossiele_Energie_Totaal[[#This Row],[Product]]&amp;", "&amp;Referentie_Fossiele_Energie_Totaal[[#Headers],[A1]],Database_Productkaarten[#All],51,FALSE),0)*Baseline!I9),0))</f>
        <v>0</v>
      </c>
      <c r="E427" s="77">
        <f>(IF(Baseline!C9="Nieuwe Situatie",(_xlfn.IFNA(VLOOKUP(Referentie_Fossiele_Energie_Totaal[[#This Row],[Product]]&amp;", "&amp;Referentie_Fossiele_Energie_Totaal[[#Headers],[A2]],Database_Productkaarten[#All],51,FALSE),0)*Baseline!I9),0))</f>
        <v>0</v>
      </c>
      <c r="F427" s="77">
        <f>(IF(Baseline!C9="Nieuwe Situatie",(_xlfn.IFNA(VLOOKUP(Referentie_Fossiele_Energie_Totaal[[#This Row],[Product]]&amp;", "&amp;Referentie_Fossiele_Energie_Totaal[[#Headers],[A3]],Database_Productkaarten[#All],51,FALSE),0)*Baseline!I9),0))</f>
        <v>0</v>
      </c>
      <c r="G427" s="77">
        <f>(IF(Baseline!C9="Nieuwe Situatie",(_xlfn.IFNA(VLOOKUP(Referentie_Fossiele_Energie_Totaal[[#This Row],[Product]]&amp;", "&amp;Referentie_Fossiele_Energie_Totaal[[#Headers],[A1-A3]],Database_Productkaarten[#All],51,FALSE),0)*Baseline!I9),0))</f>
        <v>0</v>
      </c>
      <c r="H427" s="77">
        <f>IF(Baseline!T9=0,(IF(Baseline!C9="Nieuwe Situatie",(_xlfn.IFNA(VLOOKUP(Referentie_Fossiele_Energie_Totaal[[#This Row],[Product]]&amp;", "&amp;Referentie_CO2_Totaal[[#Headers],[A4]],Database_Productkaarten[#All],51,FALSE),0)*Baseline!I9),0)),IF(Baseline!C9="Nieuwe Situatie",_xlfn.IFNA(VLOOKUP(Baseline!T9,Database_Transport[#All],45,FALSE)*(Baseline!Q9*Baseline!S9),Baseline_Backlog!H112),0))</f>
        <v>0</v>
      </c>
      <c r="I427" s="77">
        <f>IF(Baseline!C9="Nieuwe situatie",IF(_xlfn.IFNA((VLOOKUP(Baseline!U9,Database_Asfalt_Aanlegset[#All],45,FALSE)*Baseline!I9),0)+_xlfn.IFNA(VLOOKUP(Baseline!V9,Database_Brandstoffen[#All],45,FALSE)*((Baseline!I9/Baseline!X9)*Baseline!W9),0)&gt;0,_xlfn.IFNA((VLOOKUP(Baseline!U9,Database_Asfalt_Aanlegset[#All],45,FALSE)*Baseline!I9),0)+_xlfn.IFNA(VLOOKUP(Baseline!V9,Database_Brandstoffen[#All],45,FALSE)*((Baseline!I9/Baseline!X9)*Baseline!W9),0),(_xlfn.IFNA(VLOOKUP(Referentie_Fossiele_Energie_Totaal[[#This Row],[Product]]&amp;", "&amp;Referentie_MKI_Totaal[[#Headers],[A5]],Database_Productkaarten[#All],51,FALSE),0)*Baseline!I9)),0)</f>
        <v>0</v>
      </c>
      <c r="J427" s="77">
        <f>(IF(Baseline!C9="Nieuwe Situatie",(_xlfn.IFNA(VLOOKUP(Referentie_Fossiele_Energie_Totaal[[#This Row],[Product]]&amp;", "&amp;Referentie_Fossiele_Energie_Totaal[[#Headers],[B1]],Database_Productkaarten[#All],51,FALSE),0)*Baseline!I9),0))</f>
        <v>0</v>
      </c>
      <c r="K427" s="77">
        <f>(IF(Baseline!C9="Nieuwe Situatie",(SUM(Referentie_Fossiele_Energie_Totaal[[#This Row],[A1]:[B1]],Referentie_Fossiele_Energie_Totaal[[#This Row],[C1]:[D2]])*Baseline!R9),0))</f>
        <v>0</v>
      </c>
      <c r="L427" s="77">
        <f>IF(Baseline!C9="Bestaande situatie",IF(_xlfn.IFNA((VLOOKUP(Baseline!Y9,Database_Asfalt_Verwijderset[#All],45,FALSE)*Baseline!I9),0)+_xlfn.IFNA(VLOOKUP(Baseline!Z9,Database_Brandstoffen[#All],45,FALSE)*((Baseline!I9/Baseline!AB9)*Baseline!AA9),0)&gt;0,_xlfn.IFNA((VLOOKUP(Baseline!Y9,Database_Asfalt_Verwijderset[#All],45,FALSE)*Baseline!I9),0)+_xlfn.IFNA(VLOOKUP(Baseline!Z9,Database_Brandstoffen[#All],45,FALSE)*((Baseline!I9/Baseline!AB9)*Baseline!AA9),0),(_xlfn.IFNA(VLOOKUP(Referentie_Fossiele_Energie_Totaal[[#This Row],[Product]]&amp;", "&amp;Referentie_MKI_Totaal[[#Headers],[C1]],Database_Productkaarten[#All],51,FALSE),0)*Baseline!I9)),0)</f>
        <v>27134.262587186629</v>
      </c>
      <c r="M427" s="77">
        <f>IF(Baseline!AD9=0,(IF(Baseline!C9="Bestaande Situatie",(_xlfn.IFNA(VLOOKUP(Referentie_Fossiele_Energie_Totaal[[#This Row],[Product]]&amp;", "&amp;Referentie_MKI_Totaal[[#Headers],[C2]],Database_Productkaarten[#All],51,FALSE),0)*Baseline!I9),0)),(IF(Baseline!C9="Bestaande Situatie",_xlfn.IFNA(VLOOKUP(Baseline!AD9,Database_Transport[#All],45,FALSE)*(Baseline!Q9*Baseline!AC9),0))))</f>
        <v>8555.4899686400004</v>
      </c>
      <c r="N427" s="77">
        <f>(IF(Baseline!C9="Bestaande Situatie",(_xlfn.IFNA(VLOOKUP(Referentie_Fossiele_Energie_Totaal[[#This Row],[Product]]&amp;", "&amp;Referentie_Fossiele_Energie_Totaal[[#Headers],[C3]],Database_Productkaarten[#All],51,FALSE),0)*Baseline!I9),0))</f>
        <v>7159.0713599999999</v>
      </c>
      <c r="O427" s="77">
        <f>(IF(Baseline!C9="Bestaande Situatie",(_xlfn.IFNA(VLOOKUP(Referentie_Fossiele_Energie_Totaal[[#This Row],[Product]]&amp;", "&amp;Referentie_Fossiele_Energie_Totaal[[#Headers],[C4]],Database_Productkaarten[#All],51,FALSE),0)*Baseline!I9),0))</f>
        <v>466.67193600000002</v>
      </c>
      <c r="P427" s="77">
        <f>(IF(Baseline!C9="Bestaande Situatie",(_xlfn.IFNA(VLOOKUP(Referentie_Fossiele_Energie_Totaal[[#This Row],[Product]]&amp;", "&amp;Referentie_Fossiele_Energie_Totaal[[#Headers],[D1]],Database_Productkaarten[#All],51,FALSE),0)*Baseline!I9),0))</f>
        <v>0</v>
      </c>
      <c r="Q427" s="78">
        <f>(IF(Baseline!C9="Bestaande Situatie",_xlfn.IFNA(VLOOKUP(Referentie_Fossiele_Energie_Totaal[[#This Row],[Product]]&amp;", "&amp;Referentie_Fossiele_Energie_Totaal[[#Headers],[D2]],Database_Productkaarten[#All],51,FALSE),0)*Baseline!I9,0))</f>
        <v>0</v>
      </c>
      <c r="R427" s="57">
        <f>(IF(Baseline!C9="Bestaande Situatie",_xlfn.IFNA(VLOOKUP(Referentie_Fossiele_Energie_Totaal[[#This Row],[Product]]&amp;", "&amp;Referentie_Fossiele_Energie_Totaal[[#Headers],[D]],Database_Productkaarten[#All],51,FALSE),0)*Baseline!I9,0))</f>
        <v>-16576.2896</v>
      </c>
      <c r="S427" s="56">
        <f>SUM(Referentie_Fossiele_Energie_Totaal[[#This Row],[A1-A3]:[C4]])+Referentie_Fossiele_Energie_Totaal[[#This Row],[D]]</f>
        <v>26739.206251826628</v>
      </c>
    </row>
    <row r="428" spans="2:19">
      <c r="B428" s="209" t="str">
        <f>Baseline!B10</f>
        <v>121320 - Opbreken straatbakstenen en geschikt maken voor hergebruik</v>
      </c>
      <c r="C428" s="76" t="str">
        <f>Baseline!F10</f>
        <v>Gebakken klinker keiformaat</v>
      </c>
      <c r="D428" s="77">
        <f>(IF(Baseline!C10="Nieuwe Situatie",(_xlfn.IFNA(VLOOKUP(Referentie_Fossiele_Energie_Totaal[[#This Row],[Product]]&amp;", "&amp;Referentie_Fossiele_Energie_Totaal[[#Headers],[A1]],Database_Productkaarten[#All],51,FALSE),0)*Baseline!I10),0))</f>
        <v>0</v>
      </c>
      <c r="E428" s="77">
        <f>(IF(Baseline!C10="Nieuwe Situatie",(_xlfn.IFNA(VLOOKUP(Referentie_Fossiele_Energie_Totaal[[#This Row],[Product]]&amp;", "&amp;Referentie_Fossiele_Energie_Totaal[[#Headers],[A2]],Database_Productkaarten[#All],51,FALSE),0)*Baseline!I10),0))</f>
        <v>0</v>
      </c>
      <c r="F428" s="77">
        <f>(IF(Baseline!C10="Nieuwe Situatie",(_xlfn.IFNA(VLOOKUP(Referentie_Fossiele_Energie_Totaal[[#This Row],[Product]]&amp;", "&amp;Referentie_Fossiele_Energie_Totaal[[#Headers],[A3]],Database_Productkaarten[#All],51,FALSE),0)*Baseline!I10),0))</f>
        <v>0</v>
      </c>
      <c r="G428" s="77">
        <f>(IF(Baseline!C10="Nieuwe Situatie",(_xlfn.IFNA(VLOOKUP(Referentie_Fossiele_Energie_Totaal[[#This Row],[Product]]&amp;", "&amp;Referentie_Fossiele_Energie_Totaal[[#Headers],[A1-A3]],Database_Productkaarten[#All],51,FALSE),0)*Baseline!I10),0))</f>
        <v>0</v>
      </c>
      <c r="H428" s="77">
        <f>IF(Baseline!T10=0,(IF(Baseline!C10="Nieuwe Situatie",(_xlfn.IFNA(VLOOKUP(Referentie_Fossiele_Energie_Totaal[[#This Row],[Product]]&amp;", "&amp;Referentie_CO2_Totaal[[#Headers],[A4]],Database_Productkaarten[#All],51,FALSE),0)*Baseline!I10),0)),IF(Baseline!C10="Nieuwe Situatie",_xlfn.IFNA(VLOOKUP(Baseline!T10,Database_Transport[#All],45,FALSE)*(Baseline!Q10*Baseline!S10),Baseline_Backlog!H113),0))</f>
        <v>0</v>
      </c>
      <c r="I428" s="77">
        <f>IF(Baseline!C10="Nieuwe situatie",IF(_xlfn.IFNA((VLOOKUP(Baseline!U10,Database_Asfalt_Aanlegset[#All],45,FALSE)*Baseline!I10),0)+_xlfn.IFNA(VLOOKUP(Baseline!V10,Database_Brandstoffen[#All],45,FALSE)*((Baseline!I10/Baseline!X10)*Baseline!W10),0)&gt;0,_xlfn.IFNA((VLOOKUP(Baseline!U10,Database_Asfalt_Aanlegset[#All],45,FALSE)*Baseline!I10),0)+_xlfn.IFNA(VLOOKUP(Baseline!V10,Database_Brandstoffen[#All],45,FALSE)*((Baseline!I10/Baseline!X10)*Baseline!W10),0),(_xlfn.IFNA(VLOOKUP(Referentie_Fossiele_Energie_Totaal[[#This Row],[Product]]&amp;", "&amp;Referentie_MKI_Totaal[[#Headers],[A5]],Database_Productkaarten[#All],51,FALSE),0)*Baseline!I10)),0)</f>
        <v>0</v>
      </c>
      <c r="J428" s="77">
        <f>(IF(Baseline!C10="Nieuwe Situatie",(_xlfn.IFNA(VLOOKUP(Referentie_Fossiele_Energie_Totaal[[#This Row],[Product]]&amp;", "&amp;Referentie_Fossiele_Energie_Totaal[[#Headers],[B1]],Database_Productkaarten[#All],51,FALSE),0)*Baseline!I10),0))</f>
        <v>0</v>
      </c>
      <c r="K428" s="77">
        <f>(IF(Baseline!C10="Nieuwe Situatie",(SUM(Referentie_Fossiele_Energie_Totaal[[#This Row],[A1]:[B1]],Referentie_Fossiele_Energie_Totaal[[#This Row],[C1]:[D2]])*Baseline!R10),0))</f>
        <v>0</v>
      </c>
      <c r="L428" s="77">
        <f>IF(Baseline!C10="Bestaande situatie",IF(_xlfn.IFNA((VLOOKUP(Baseline!Y10,Database_Asfalt_Verwijderset[#All],45,FALSE)*Baseline!I10),0)+_xlfn.IFNA(VLOOKUP(Baseline!Z10,Database_Brandstoffen[#All],45,FALSE)*((Baseline!I10/Baseline!AB10)*Baseline!AA10),0)&gt;0,_xlfn.IFNA((VLOOKUP(Baseline!Y10,Database_Asfalt_Verwijderset[#All],45,FALSE)*Baseline!I10),0)+_xlfn.IFNA(VLOOKUP(Baseline!Z10,Database_Brandstoffen[#All],45,FALSE)*((Baseline!I10/Baseline!AB10)*Baseline!AA10),0),(_xlfn.IFNA(VLOOKUP(Referentie_Fossiele_Energie_Totaal[[#This Row],[Product]]&amp;", "&amp;Referentie_MKI_Totaal[[#Headers],[C1]],Database_Productkaarten[#All],51,FALSE),0)*Baseline!I10)),0)</f>
        <v>77002.527692999996</v>
      </c>
      <c r="M428" s="77">
        <f>IF(Baseline!AD10=0,(IF(Baseline!C10="Bestaande Situatie",(_xlfn.IFNA(VLOOKUP(Referentie_Fossiele_Energie_Totaal[[#This Row],[Product]]&amp;", "&amp;Referentie_MKI_Totaal[[#Headers],[C2]],Database_Productkaarten[#All],51,FALSE),0)*Baseline!I10),0)),(IF(Baseline!C10="Bestaande Situatie",_xlfn.IFNA(VLOOKUP(Baseline!AD10,Database_Transport[#All],45,FALSE)*(Baseline!Q10*Baseline!AC10),0))))</f>
        <v>36174.6039781</v>
      </c>
      <c r="N428" s="77">
        <f>(IF(Baseline!C10="Bestaande Situatie",(_xlfn.IFNA(VLOOKUP(Referentie_Fossiele_Energie_Totaal[[#This Row],[Product]]&amp;", "&amp;Referentie_Fossiele_Energie_Totaal[[#Headers],[C3]],Database_Productkaarten[#All],51,FALSE),0)*Baseline!I10),0))</f>
        <v>825.47499999999991</v>
      </c>
      <c r="O428" s="77">
        <f>(IF(Baseline!C10="Bestaande Situatie",(_xlfn.IFNA(VLOOKUP(Referentie_Fossiele_Energie_Totaal[[#This Row],[Product]]&amp;", "&amp;Referentie_Fossiele_Energie_Totaal[[#Headers],[C4]],Database_Productkaarten[#All],51,FALSE),0)*Baseline!I10),0))</f>
        <v>58.154250000000005</v>
      </c>
      <c r="P428" s="77">
        <f>(IF(Baseline!C10="Bestaande Situatie",(_xlfn.IFNA(VLOOKUP(Referentie_Fossiele_Energie_Totaal[[#This Row],[Product]]&amp;", "&amp;Referentie_Fossiele_Energie_Totaal[[#Headers],[D1]],Database_Productkaarten[#All],51,FALSE),0)*Baseline!I10),0))</f>
        <v>-2383675</v>
      </c>
      <c r="Q428" s="78">
        <f>(IF(Baseline!C10="Bestaande Situatie",_xlfn.IFNA(VLOOKUP(Referentie_Fossiele_Energie_Totaal[[#This Row],[Product]]&amp;", "&amp;Referentie_Fossiele_Energie_Totaal[[#Headers],[D2]],Database_Productkaarten[#All],51,FALSE),0)*Baseline!I10,0))</f>
        <v>0</v>
      </c>
      <c r="R428" s="57">
        <f>(IF(Baseline!C10="Bestaande Situatie",_xlfn.IFNA(VLOOKUP(Referentie_Fossiele_Energie_Totaal[[#This Row],[Product]]&amp;", "&amp;Referentie_Fossiele_Energie_Totaal[[#Headers],[D]],Database_Productkaarten[#All],51,FALSE),0)*Baseline!I10,0))</f>
        <v>-2383675</v>
      </c>
      <c r="S428" s="56">
        <f>SUM(Referentie_Fossiele_Energie_Totaal[[#This Row],[A1-A3]:[C4]])+Referentie_Fossiele_Energie_Totaal[[#This Row],[D]]</f>
        <v>-2269614.2390788998</v>
      </c>
    </row>
    <row r="429" spans="2:19">
      <c r="B429" s="209" t="str">
        <f>Baseline!B11</f>
        <v>121330 - Opbreken en afvoeren straatbakstenen</v>
      </c>
      <c r="C429" s="76" t="str">
        <f>Baseline!F11</f>
        <v>Gebakken klinker keiformaat (hergebruik)</v>
      </c>
      <c r="D429" s="77">
        <f>(IF(Baseline!C11="Nieuwe Situatie",(_xlfn.IFNA(VLOOKUP(Referentie_Fossiele_Energie_Totaal[[#This Row],[Product]]&amp;", "&amp;Referentie_Fossiele_Energie_Totaal[[#Headers],[A1]],Database_Productkaarten[#All],51,FALSE),0)*Baseline!I11),0))</f>
        <v>0</v>
      </c>
      <c r="E429" s="77">
        <f>(IF(Baseline!C11="Nieuwe Situatie",(_xlfn.IFNA(VLOOKUP(Referentie_Fossiele_Energie_Totaal[[#This Row],[Product]]&amp;", "&amp;Referentie_Fossiele_Energie_Totaal[[#Headers],[A2]],Database_Productkaarten[#All],51,FALSE),0)*Baseline!I11),0))</f>
        <v>0</v>
      </c>
      <c r="F429" s="77">
        <f>(IF(Baseline!C11="Nieuwe Situatie",(_xlfn.IFNA(VLOOKUP(Referentie_Fossiele_Energie_Totaal[[#This Row],[Product]]&amp;", "&amp;Referentie_Fossiele_Energie_Totaal[[#Headers],[A3]],Database_Productkaarten[#All],51,FALSE),0)*Baseline!I11),0))</f>
        <v>0</v>
      </c>
      <c r="G429" s="77">
        <f>(IF(Baseline!C11="Nieuwe Situatie",(_xlfn.IFNA(VLOOKUP(Referentie_Fossiele_Energie_Totaal[[#This Row],[Product]]&amp;", "&amp;Referentie_Fossiele_Energie_Totaal[[#Headers],[A1-A3]],Database_Productkaarten[#All],51,FALSE),0)*Baseline!I11),0))</f>
        <v>0</v>
      </c>
      <c r="H429" s="77">
        <f>IF(Baseline!T11=0,(IF(Baseline!C11="Nieuwe Situatie",(_xlfn.IFNA(VLOOKUP(Referentie_Fossiele_Energie_Totaal[[#This Row],[Product]]&amp;", "&amp;Referentie_CO2_Totaal[[#Headers],[A4]],Database_Productkaarten[#All],51,FALSE),0)*Baseline!I11),0)),IF(Baseline!C11="Nieuwe Situatie",_xlfn.IFNA(VLOOKUP(Baseline!T11,Database_Transport[#All],45,FALSE)*(Baseline!Q11*Baseline!S11),Baseline_Backlog!H114),0))</f>
        <v>0</v>
      </c>
      <c r="I429" s="77">
        <f>IF(Baseline!C11="Nieuwe situatie",IF(_xlfn.IFNA((VLOOKUP(Baseline!U11,Database_Asfalt_Aanlegset[#All],45,FALSE)*Baseline!I11),0)+_xlfn.IFNA(VLOOKUP(Baseline!V11,Database_Brandstoffen[#All],45,FALSE)*((Baseline!I11/Baseline!X11)*Baseline!W11),0)&gt;0,_xlfn.IFNA((VLOOKUP(Baseline!U11,Database_Asfalt_Aanlegset[#All],45,FALSE)*Baseline!I11),0)+_xlfn.IFNA(VLOOKUP(Baseline!V11,Database_Brandstoffen[#All],45,FALSE)*((Baseline!I11/Baseline!X11)*Baseline!W11),0),(_xlfn.IFNA(VLOOKUP(Referentie_Fossiele_Energie_Totaal[[#This Row],[Product]]&amp;", "&amp;Referentie_MKI_Totaal[[#Headers],[A5]],Database_Productkaarten[#All],51,FALSE),0)*Baseline!I11)),0)</f>
        <v>0</v>
      </c>
      <c r="J429" s="77">
        <f>(IF(Baseline!C11="Nieuwe Situatie",(_xlfn.IFNA(VLOOKUP(Referentie_Fossiele_Energie_Totaal[[#This Row],[Product]]&amp;", "&amp;Referentie_Fossiele_Energie_Totaal[[#Headers],[B1]],Database_Productkaarten[#All],51,FALSE),0)*Baseline!I11),0))</f>
        <v>0</v>
      </c>
      <c r="K429" s="77">
        <f>(IF(Baseline!C11="Nieuwe Situatie",(SUM(Referentie_Fossiele_Energie_Totaal[[#This Row],[A1]:[B1]],Referentie_Fossiele_Energie_Totaal[[#This Row],[C1]:[D2]])*Baseline!R11),0))</f>
        <v>0</v>
      </c>
      <c r="L429" s="77">
        <f>IF(Baseline!C11="Bestaande situatie",IF(_xlfn.IFNA((VLOOKUP(Baseline!Y11,Database_Asfalt_Verwijderset[#All],45,FALSE)*Baseline!I11),0)+_xlfn.IFNA(VLOOKUP(Baseline!Z11,Database_Brandstoffen[#All],45,FALSE)*((Baseline!I11/Baseline!AB11)*Baseline!AA11),0)&gt;0,_xlfn.IFNA((VLOOKUP(Baseline!Y11,Database_Asfalt_Verwijderset[#All],45,FALSE)*Baseline!I11),0)+_xlfn.IFNA(VLOOKUP(Baseline!Z11,Database_Brandstoffen[#All],45,FALSE)*((Baseline!I11/Baseline!AB11)*Baseline!AA11),0),(_xlfn.IFNA(VLOOKUP(Referentie_Fossiele_Energie_Totaal[[#This Row],[Product]]&amp;", "&amp;Referentie_MKI_Totaal[[#Headers],[C1]],Database_Productkaarten[#All],51,FALSE),0)*Baseline!I11)),0)</f>
        <v>39186.191990399995</v>
      </c>
      <c r="M429" s="77">
        <f>IF(Baseline!AD11=0,(IF(Baseline!C11="Bestaande Situatie",(_xlfn.IFNA(VLOOKUP(Referentie_Fossiele_Energie_Totaal[[#This Row],[Product]]&amp;", "&amp;Referentie_MKI_Totaal[[#Headers],[C2]],Database_Productkaarten[#All],51,FALSE),0)*Baseline!I11),0)),(IF(Baseline!C11="Bestaande Situatie",_xlfn.IFNA(VLOOKUP(Baseline!AD11,Database_Transport[#All],45,FALSE)*(Baseline!Q11*Baseline!AC11),0))))</f>
        <v>18409.070703680001</v>
      </c>
      <c r="N429" s="77">
        <f>(IF(Baseline!C11="Bestaande Situatie",(_xlfn.IFNA(VLOOKUP(Referentie_Fossiele_Energie_Totaal[[#This Row],[Product]]&amp;", "&amp;Referentie_Fossiele_Energie_Totaal[[#Headers],[C3]],Database_Productkaarten[#All],51,FALSE),0)*Baseline!I11),0))</f>
        <v>420.08</v>
      </c>
      <c r="O429" s="77">
        <f>(IF(Baseline!C11="Bestaande Situatie",(_xlfn.IFNA(VLOOKUP(Referentie_Fossiele_Energie_Totaal[[#This Row],[Product]]&amp;", "&amp;Referentie_Fossiele_Energie_Totaal[[#Headers],[C4]],Database_Productkaarten[#All],51,FALSE),0)*Baseline!I11),0))</f>
        <v>29.5944</v>
      </c>
      <c r="P429" s="77">
        <f>(IF(Baseline!C11="Bestaande Situatie",(_xlfn.IFNA(VLOOKUP(Referentie_Fossiele_Energie_Totaal[[#This Row],[Product]]&amp;", "&amp;Referentie_Fossiele_Energie_Totaal[[#Headers],[D1]],Database_Productkaarten[#All],51,FALSE),0)*Baseline!I11),0))</f>
        <v>0</v>
      </c>
      <c r="Q429" s="78">
        <f>(IF(Baseline!C11="Bestaande Situatie",_xlfn.IFNA(VLOOKUP(Referentie_Fossiele_Energie_Totaal[[#This Row],[Product]]&amp;", "&amp;Referentie_Fossiele_Energie_Totaal[[#Headers],[D2]],Database_Productkaarten[#All],51,FALSE),0)*Baseline!I11,0))</f>
        <v>0</v>
      </c>
      <c r="R429" s="57">
        <f>(IF(Baseline!C11="Bestaande Situatie",_xlfn.IFNA(VLOOKUP(Referentie_Fossiele_Energie_Totaal[[#This Row],[Product]]&amp;", "&amp;Referentie_Fossiele_Energie_Totaal[[#Headers],[D]],Database_Productkaarten[#All],51,FALSE),0)*Baseline!I11,0))</f>
        <v>127440</v>
      </c>
      <c r="S429" s="56">
        <f>SUM(Referentie_Fossiele_Energie_Totaal[[#This Row],[A1-A3]:[C4]])+Referentie_Fossiele_Energie_Totaal[[#This Row],[D]]</f>
        <v>185484.93709408</v>
      </c>
    </row>
    <row r="430" spans="2:19">
      <c r="B430" s="209" t="str">
        <f>Baseline!B12</f>
        <v>121340 - Opbreken betontegels 300x300x45mm</v>
      </c>
      <c r="C430" s="76" t="str">
        <f>Baseline!F12</f>
        <v>Betontegel 300x300x45</v>
      </c>
      <c r="D430" s="77">
        <f>(IF(Baseline!C12="Nieuwe Situatie",(_xlfn.IFNA(VLOOKUP(Referentie_Fossiele_Energie_Totaal[[#This Row],[Product]]&amp;", "&amp;Referentie_Fossiele_Energie_Totaal[[#Headers],[A1]],Database_Productkaarten[#All],51,FALSE),0)*Baseline!I12),0))</f>
        <v>0</v>
      </c>
      <c r="E430" s="77">
        <f>(IF(Baseline!C12="Nieuwe Situatie",(_xlfn.IFNA(VLOOKUP(Referentie_Fossiele_Energie_Totaal[[#This Row],[Product]]&amp;", "&amp;Referentie_Fossiele_Energie_Totaal[[#Headers],[A2]],Database_Productkaarten[#All],51,FALSE),0)*Baseline!I12),0))</f>
        <v>0</v>
      </c>
      <c r="F430" s="77">
        <f>(IF(Baseline!C12="Nieuwe Situatie",(_xlfn.IFNA(VLOOKUP(Referentie_Fossiele_Energie_Totaal[[#This Row],[Product]]&amp;", "&amp;Referentie_Fossiele_Energie_Totaal[[#Headers],[A3]],Database_Productkaarten[#All],51,FALSE),0)*Baseline!I12),0))</f>
        <v>0</v>
      </c>
      <c r="G430" s="77">
        <f>(IF(Baseline!C12="Nieuwe Situatie",(_xlfn.IFNA(VLOOKUP(Referentie_Fossiele_Energie_Totaal[[#This Row],[Product]]&amp;", "&amp;Referentie_Fossiele_Energie_Totaal[[#Headers],[A1-A3]],Database_Productkaarten[#All],51,FALSE),0)*Baseline!I12),0))</f>
        <v>0</v>
      </c>
      <c r="H430" s="77">
        <f>IF(Baseline!T12=0,(IF(Baseline!C12="Nieuwe Situatie",(_xlfn.IFNA(VLOOKUP(Referentie_Fossiele_Energie_Totaal[[#This Row],[Product]]&amp;", "&amp;Referentie_CO2_Totaal[[#Headers],[A4]],Database_Productkaarten[#All],51,FALSE),0)*Baseline!I12),0)),IF(Baseline!C12="Nieuwe Situatie",_xlfn.IFNA(VLOOKUP(Baseline!T12,Database_Transport[#All],45,FALSE)*(Baseline!Q12*Baseline!S12),Baseline_Backlog!H115),0))</f>
        <v>0</v>
      </c>
      <c r="I430" s="77">
        <f>IF(Baseline!C12="Nieuwe situatie",IF(_xlfn.IFNA((VLOOKUP(Baseline!U12,Database_Asfalt_Aanlegset[#All],45,FALSE)*Baseline!I12),0)+_xlfn.IFNA(VLOOKUP(Baseline!V12,Database_Brandstoffen[#All],45,FALSE)*((Baseline!I12/Baseline!X12)*Baseline!W12),0)&gt;0,_xlfn.IFNA((VLOOKUP(Baseline!U12,Database_Asfalt_Aanlegset[#All],45,FALSE)*Baseline!I12),0)+_xlfn.IFNA(VLOOKUP(Baseline!V12,Database_Brandstoffen[#All],45,FALSE)*((Baseline!I12/Baseline!X12)*Baseline!W12),0),(_xlfn.IFNA(VLOOKUP(Referentie_Fossiele_Energie_Totaal[[#This Row],[Product]]&amp;", "&amp;Referentie_MKI_Totaal[[#Headers],[A5]],Database_Productkaarten[#All],51,FALSE),0)*Baseline!I12)),0)</f>
        <v>0</v>
      </c>
      <c r="J430" s="77">
        <f>(IF(Baseline!C12="Nieuwe Situatie",(_xlfn.IFNA(VLOOKUP(Referentie_Fossiele_Energie_Totaal[[#This Row],[Product]]&amp;", "&amp;Referentie_Fossiele_Energie_Totaal[[#Headers],[B1]],Database_Productkaarten[#All],51,FALSE),0)*Baseline!I12),0))</f>
        <v>0</v>
      </c>
      <c r="K430" s="77">
        <f>(IF(Baseline!C12="Nieuwe Situatie",(SUM(Referentie_Fossiele_Energie_Totaal[[#This Row],[A1]:[B1]],Referentie_Fossiele_Energie_Totaal[[#This Row],[C1]:[D2]])*Baseline!R12),0))</f>
        <v>0</v>
      </c>
      <c r="L430" s="77">
        <f>IF(Baseline!C12="Bestaande situatie",IF(_xlfn.IFNA((VLOOKUP(Baseline!Y12,Database_Asfalt_Verwijderset[#All],45,FALSE)*Baseline!I12),0)+_xlfn.IFNA(VLOOKUP(Baseline!Z12,Database_Brandstoffen[#All],45,FALSE)*((Baseline!I12/Baseline!AB12)*Baseline!AA12),0)&gt;0,_xlfn.IFNA((VLOOKUP(Baseline!Y12,Database_Asfalt_Verwijderset[#All],45,FALSE)*Baseline!I12),0)+_xlfn.IFNA(VLOOKUP(Baseline!Z12,Database_Brandstoffen[#All],45,FALSE)*((Baseline!I12/Baseline!AB12)*Baseline!AA12),0),(_xlfn.IFNA(VLOOKUP(Referentie_Fossiele_Energie_Totaal[[#This Row],[Product]]&amp;", "&amp;Referentie_MKI_Totaal[[#Headers],[C1]],Database_Productkaarten[#All],51,FALSE),0)*Baseline!I12)),0)</f>
        <v>169843.52488167133</v>
      </c>
      <c r="M430" s="77">
        <f>IF(Baseline!AD12=0,(IF(Baseline!C12="Bestaande Situatie",(_xlfn.IFNA(VLOOKUP(Referentie_Fossiele_Energie_Totaal[[#This Row],[Product]]&amp;", "&amp;Referentie_MKI_Totaal[[#Headers],[C2]],Database_Productkaarten[#All],51,FALSE),0)*Baseline!I12),0)),(IF(Baseline!C12="Bestaande Situatie",_xlfn.IFNA(VLOOKUP(Baseline!AD12,Database_Transport[#All],45,FALSE)*(Baseline!Q12*Baseline!AC12),0))))</f>
        <v>31159.165324869999</v>
      </c>
      <c r="N430" s="77">
        <f>(IF(Baseline!C12="Bestaande Situatie",(_xlfn.IFNA(VLOOKUP(Referentie_Fossiele_Energie_Totaal[[#This Row],[Product]]&amp;", "&amp;Referentie_Fossiele_Energie_Totaal[[#Headers],[C3]],Database_Productkaarten[#All],51,FALSE),0)*Baseline!I12),0))</f>
        <v>24900.718134499999</v>
      </c>
      <c r="O430" s="77">
        <f>(IF(Baseline!C12="Bestaande Situatie",(_xlfn.IFNA(VLOOKUP(Referentie_Fossiele_Energie_Totaal[[#This Row],[Product]]&amp;", "&amp;Referentie_Fossiele_Energie_Totaal[[#Headers],[C4]],Database_Productkaarten[#All],51,FALSE),0)*Baseline!I12),0))</f>
        <v>1623.1806242499999</v>
      </c>
      <c r="P430" s="77">
        <f>(IF(Baseline!C12="Bestaande Situatie",(_xlfn.IFNA(VLOOKUP(Referentie_Fossiele_Energie_Totaal[[#This Row],[Product]]&amp;", "&amp;Referentie_Fossiele_Energie_Totaal[[#Headers],[D1]],Database_Productkaarten[#All],51,FALSE),0)*Baseline!I12),0))</f>
        <v>0</v>
      </c>
      <c r="Q430" s="78">
        <f>(IF(Baseline!C12="Bestaande Situatie",_xlfn.IFNA(VLOOKUP(Referentie_Fossiele_Energie_Totaal[[#This Row],[Product]]&amp;", "&amp;Referentie_Fossiele_Energie_Totaal[[#Headers],[D2]],Database_Productkaarten[#All],51,FALSE),0)*Baseline!I12,0))</f>
        <v>0</v>
      </c>
      <c r="R430" s="57">
        <f>(IF(Baseline!C12="Bestaande Situatie",_xlfn.IFNA(VLOOKUP(Referentie_Fossiele_Energie_Totaal[[#This Row],[Product]]&amp;", "&amp;Referentie_Fossiele_Energie_Totaal[[#Headers],[D]],Database_Productkaarten[#All],51,FALSE),0)*Baseline!I12,0))</f>
        <v>-52756.290912500001</v>
      </c>
      <c r="S430" s="56">
        <f>SUM(Referentie_Fossiele_Energie_Totaal[[#This Row],[A1-A3]:[C4]])+Referentie_Fossiele_Energie_Totaal[[#This Row],[D]]</f>
        <v>174770.29805279133</v>
      </c>
    </row>
    <row r="431" spans="2:19">
      <c r="B431" s="209" t="str">
        <f>Baseline!B13</f>
        <v>121410 - Opbreken en afvoeren asfaltverharding zwart teervrij</v>
      </c>
      <c r="C431" s="76" t="str">
        <f>Baseline!F13</f>
        <v>AC bin/base 50% PR - PCR 2.0</v>
      </c>
      <c r="D431" s="77">
        <f>(IF(Baseline!C13="Nieuwe Situatie",(_xlfn.IFNA(VLOOKUP(Referentie_Fossiele_Energie_Totaal[[#This Row],[Product]]&amp;", "&amp;Referentie_Fossiele_Energie_Totaal[[#Headers],[A1]],Database_Productkaarten[#All],51,FALSE),0)*Baseline!I13),0))</f>
        <v>0</v>
      </c>
      <c r="E431" s="77">
        <f>(IF(Baseline!C13="Nieuwe Situatie",(_xlfn.IFNA(VLOOKUP(Referentie_Fossiele_Energie_Totaal[[#This Row],[Product]]&amp;", "&amp;Referentie_Fossiele_Energie_Totaal[[#Headers],[A2]],Database_Productkaarten[#All],51,FALSE),0)*Baseline!I13),0))</f>
        <v>0</v>
      </c>
      <c r="F431" s="77">
        <f>(IF(Baseline!C13="Nieuwe Situatie",(_xlfn.IFNA(VLOOKUP(Referentie_Fossiele_Energie_Totaal[[#This Row],[Product]]&amp;", "&amp;Referentie_Fossiele_Energie_Totaal[[#Headers],[A3]],Database_Productkaarten[#All],51,FALSE),0)*Baseline!I13),0))</f>
        <v>0</v>
      </c>
      <c r="G431" s="77">
        <f>(IF(Baseline!C13="Nieuwe Situatie",(_xlfn.IFNA(VLOOKUP(Referentie_Fossiele_Energie_Totaal[[#This Row],[Product]]&amp;", "&amp;Referentie_Fossiele_Energie_Totaal[[#Headers],[A1-A3]],Database_Productkaarten[#All],51,FALSE),0)*Baseline!I13),0))</f>
        <v>0</v>
      </c>
      <c r="H431" s="77">
        <f>IF(Baseline!T13=0,(IF(Baseline!C13="Nieuwe Situatie",(_xlfn.IFNA(VLOOKUP(Referentie_Fossiele_Energie_Totaal[[#This Row],[Product]]&amp;", "&amp;Referentie_CO2_Totaal[[#Headers],[A4]],Database_Productkaarten[#All],51,FALSE),0)*Baseline!I13),0)),IF(Baseline!C13="Nieuwe Situatie",_xlfn.IFNA(VLOOKUP(Baseline!T13,Database_Transport[#All],45,FALSE)*(Baseline!Q13*Baseline!S13),Baseline_Backlog!H116),0))</f>
        <v>0</v>
      </c>
      <c r="I431" s="77">
        <f>IF(Baseline!C13="Nieuwe situatie",IF(_xlfn.IFNA((VLOOKUP(Baseline!U13,Database_Asfalt_Aanlegset[#All],45,FALSE)*Baseline!I13),0)+_xlfn.IFNA(VLOOKUP(Baseline!V13,Database_Brandstoffen[#All],45,FALSE)*((Baseline!I13/Baseline!X13)*Baseline!W13),0)&gt;0,_xlfn.IFNA((VLOOKUP(Baseline!U13,Database_Asfalt_Aanlegset[#All],45,FALSE)*Baseline!I13),0)+_xlfn.IFNA(VLOOKUP(Baseline!V13,Database_Brandstoffen[#All],45,FALSE)*((Baseline!I13/Baseline!X13)*Baseline!W13),0),(_xlfn.IFNA(VLOOKUP(Referentie_Fossiele_Energie_Totaal[[#This Row],[Product]]&amp;", "&amp;Referentie_MKI_Totaal[[#Headers],[A5]],Database_Productkaarten[#All],51,FALSE),0)*Baseline!I13)),0)</f>
        <v>0</v>
      </c>
      <c r="J431" s="77">
        <f>(IF(Baseline!C13="Nieuwe Situatie",(_xlfn.IFNA(VLOOKUP(Referentie_Fossiele_Energie_Totaal[[#This Row],[Product]]&amp;", "&amp;Referentie_Fossiele_Energie_Totaal[[#Headers],[B1]],Database_Productkaarten[#All],51,FALSE),0)*Baseline!I13),0))</f>
        <v>0</v>
      </c>
      <c r="K431" s="77">
        <f>(IF(Baseline!C13="Nieuwe Situatie",(SUM(Referentie_Fossiele_Energie_Totaal[[#This Row],[A1]:[B1]],Referentie_Fossiele_Energie_Totaal[[#This Row],[C1]:[D2]])*Baseline!R13),0))</f>
        <v>0</v>
      </c>
      <c r="L431" s="77">
        <f>IF(Baseline!C13="Bestaande situatie",IF(_xlfn.IFNA((VLOOKUP(Baseline!Y13,Database_Asfalt_Verwijderset[#All],45,FALSE)*Baseline!I13),0)+_xlfn.IFNA(VLOOKUP(Baseline!Z13,Database_Brandstoffen[#All],45,FALSE)*((Baseline!I13/Baseline!AB13)*Baseline!AA13),0)&gt;0,_xlfn.IFNA((VLOOKUP(Baseline!Y13,Database_Asfalt_Verwijderset[#All],45,FALSE)*Baseline!I13),0)+_xlfn.IFNA(VLOOKUP(Baseline!Z13,Database_Brandstoffen[#All],45,FALSE)*((Baseline!I13/Baseline!AB13)*Baseline!AA13),0),(_xlfn.IFNA(VLOOKUP(Referentie_Fossiele_Energie_Totaal[[#This Row],[Product]]&amp;", "&amp;Referentie_MKI_Totaal[[#Headers],[C1]],Database_Productkaarten[#All],51,FALSE),0)*Baseline!I13)),0)</f>
        <v>41623.711499999998</v>
      </c>
      <c r="M431" s="77">
        <f>IF(Baseline!AD13=0,(IF(Baseline!C13="Bestaande Situatie",(_xlfn.IFNA(VLOOKUP(Referentie_Fossiele_Energie_Totaal[[#This Row],[Product]]&amp;", "&amp;Referentie_MKI_Totaal[[#Headers],[C2]],Database_Productkaarten[#All],51,FALSE),0)*Baseline!I13),0)),(IF(Baseline!C13="Bestaande Situatie",_xlfn.IFNA(VLOOKUP(Baseline!AD13,Database_Transport[#All],45,FALSE)*(Baseline!Q13*Baseline!AC13),0))))</f>
        <v>78153.400500000003</v>
      </c>
      <c r="N431" s="77">
        <f>(IF(Baseline!C13="Bestaande Situatie",(_xlfn.IFNA(VLOOKUP(Referentie_Fossiele_Energie_Totaal[[#This Row],[Product]]&amp;", "&amp;Referentie_Fossiele_Energie_Totaal[[#Headers],[C3]],Database_Productkaarten[#All],51,FALSE),0)*Baseline!I13),0))</f>
        <v>46669.214845093309</v>
      </c>
      <c r="O431" s="77">
        <f>(IF(Baseline!C13="Bestaande Situatie",(_xlfn.IFNA(VLOOKUP(Referentie_Fossiele_Energie_Totaal[[#This Row],[Product]]&amp;", "&amp;Referentie_Fossiele_Energie_Totaal[[#Headers],[C4]],Database_Productkaarten[#All],51,FALSE),0)*Baseline!I13),0))</f>
        <v>0</v>
      </c>
      <c r="P431" s="77">
        <f>(IF(Baseline!C13="Bestaande Situatie",(_xlfn.IFNA(VLOOKUP(Referentie_Fossiele_Energie_Totaal[[#This Row],[Product]]&amp;", "&amp;Referentie_Fossiele_Energie_Totaal[[#Headers],[D1]],Database_Productkaarten[#All],51,FALSE),0)*Baseline!I13),0))</f>
        <v>0</v>
      </c>
      <c r="Q431" s="78">
        <f>(IF(Baseline!C13="Bestaande Situatie",_xlfn.IFNA(VLOOKUP(Referentie_Fossiele_Energie_Totaal[[#This Row],[Product]]&amp;", "&amp;Referentie_Fossiele_Energie_Totaal[[#Headers],[D2]],Database_Productkaarten[#All],51,FALSE),0)*Baseline!I13,0))</f>
        <v>0</v>
      </c>
      <c r="R431" s="57">
        <f>(IF(Baseline!C13="Bestaande Situatie",_xlfn.IFNA(VLOOKUP(Referentie_Fossiele_Energie_Totaal[[#This Row],[Product]]&amp;", "&amp;Referentie_Fossiele_Energie_Totaal[[#Headers],[D]],Database_Productkaarten[#All],51,FALSE),0)*Baseline!I13,0))</f>
        <v>-2385653.143947192</v>
      </c>
      <c r="S431" s="56">
        <f>SUM(Referentie_Fossiele_Energie_Totaal[[#This Row],[A1-A3]:[C4]])+Referentie_Fossiele_Energie_Totaal[[#This Row],[D]]</f>
        <v>-2219206.8171020988</v>
      </c>
    </row>
    <row r="432" spans="2:19">
      <c r="B432" s="209" t="str">
        <f>Baseline!B14</f>
        <v>121420 - Opbreken en afvoeren asfaltverharding rood teervrij</v>
      </c>
      <c r="C432" s="76" t="str">
        <f>Baseline!F14</f>
        <v>AC surf rood, met penbitumen - PCR 2.0</v>
      </c>
      <c r="D432" s="77">
        <f>(IF(Baseline!C14="Nieuwe Situatie",(_xlfn.IFNA(VLOOKUP(Referentie_Fossiele_Energie_Totaal[[#This Row],[Product]]&amp;", "&amp;Referentie_Fossiele_Energie_Totaal[[#Headers],[A1]],Database_Productkaarten[#All],51,FALSE),0)*Baseline!I14),0))</f>
        <v>0</v>
      </c>
      <c r="E432" s="77">
        <f>(IF(Baseline!C14="Nieuwe Situatie",(_xlfn.IFNA(VLOOKUP(Referentie_Fossiele_Energie_Totaal[[#This Row],[Product]]&amp;", "&amp;Referentie_Fossiele_Energie_Totaal[[#Headers],[A2]],Database_Productkaarten[#All],51,FALSE),0)*Baseline!I14),0))</f>
        <v>0</v>
      </c>
      <c r="F432" s="77">
        <f>(IF(Baseline!C14="Nieuwe Situatie",(_xlfn.IFNA(VLOOKUP(Referentie_Fossiele_Energie_Totaal[[#This Row],[Product]]&amp;", "&amp;Referentie_Fossiele_Energie_Totaal[[#Headers],[A3]],Database_Productkaarten[#All],51,FALSE),0)*Baseline!I14),0))</f>
        <v>0</v>
      </c>
      <c r="G432" s="77">
        <f>(IF(Baseline!C14="Nieuwe Situatie",(_xlfn.IFNA(VLOOKUP(Referentie_Fossiele_Energie_Totaal[[#This Row],[Product]]&amp;", "&amp;Referentie_Fossiele_Energie_Totaal[[#Headers],[A1-A3]],Database_Productkaarten[#All],51,FALSE),0)*Baseline!I14),0))</f>
        <v>0</v>
      </c>
      <c r="H432" s="77">
        <f>IF(Baseline!T14=0,(IF(Baseline!C14="Nieuwe Situatie",(_xlfn.IFNA(VLOOKUP(Referentie_Fossiele_Energie_Totaal[[#This Row],[Product]]&amp;", "&amp;Referentie_CO2_Totaal[[#Headers],[A4]],Database_Productkaarten[#All],51,FALSE),0)*Baseline!I14),0)),IF(Baseline!C14="Nieuwe Situatie",_xlfn.IFNA(VLOOKUP(Baseline!T14,Database_Transport[#All],45,FALSE)*(Baseline!Q14*Baseline!S14),Baseline_Backlog!H117),0))</f>
        <v>0</v>
      </c>
      <c r="I432" s="77">
        <f>IF(Baseline!C14="Nieuwe situatie",IF(_xlfn.IFNA((VLOOKUP(Baseline!U14,Database_Asfalt_Aanlegset[#All],45,FALSE)*Baseline!I14),0)+_xlfn.IFNA(VLOOKUP(Baseline!V14,Database_Brandstoffen[#All],45,FALSE)*((Baseline!I14/Baseline!X14)*Baseline!W14),0)&gt;0,_xlfn.IFNA((VLOOKUP(Baseline!U14,Database_Asfalt_Aanlegset[#All],45,FALSE)*Baseline!I14),0)+_xlfn.IFNA(VLOOKUP(Baseline!V14,Database_Brandstoffen[#All],45,FALSE)*((Baseline!I14/Baseline!X14)*Baseline!W14),0),(_xlfn.IFNA(VLOOKUP(Referentie_Fossiele_Energie_Totaal[[#This Row],[Product]]&amp;", "&amp;Referentie_MKI_Totaal[[#Headers],[A5]],Database_Productkaarten[#All],51,FALSE),0)*Baseline!I14)),0)</f>
        <v>0</v>
      </c>
      <c r="J432" s="77">
        <f>(IF(Baseline!C14="Nieuwe Situatie",(_xlfn.IFNA(VLOOKUP(Referentie_Fossiele_Energie_Totaal[[#This Row],[Product]]&amp;", "&amp;Referentie_Fossiele_Energie_Totaal[[#Headers],[B1]],Database_Productkaarten[#All],51,FALSE),0)*Baseline!I14),0))</f>
        <v>0</v>
      </c>
      <c r="K432" s="77">
        <f>(IF(Baseline!C14="Nieuwe Situatie",(SUM(Referentie_Fossiele_Energie_Totaal[[#This Row],[A1]:[B1]],Referentie_Fossiele_Energie_Totaal[[#This Row],[C1]:[D2]])*Baseline!R14),0))</f>
        <v>0</v>
      </c>
      <c r="L432" s="77">
        <f>IF(Baseline!C14="Bestaande situatie",IF(_xlfn.IFNA((VLOOKUP(Baseline!Y14,Database_Asfalt_Verwijderset[#All],45,FALSE)*Baseline!I14),0)+_xlfn.IFNA(VLOOKUP(Baseline!Z14,Database_Brandstoffen[#All],45,FALSE)*((Baseline!I14/Baseline!AB14)*Baseline!AA14),0)&gt;0,_xlfn.IFNA((VLOOKUP(Baseline!Y14,Database_Asfalt_Verwijderset[#All],45,FALSE)*Baseline!I14),0)+_xlfn.IFNA(VLOOKUP(Baseline!Z14,Database_Brandstoffen[#All],45,FALSE)*((Baseline!I14/Baseline!AB14)*Baseline!AA14),0),(_xlfn.IFNA(VLOOKUP(Referentie_Fossiele_Energie_Totaal[[#This Row],[Product]]&amp;", "&amp;Referentie_MKI_Totaal[[#Headers],[C1]],Database_Productkaarten[#All],51,FALSE),0)*Baseline!I14)),0)</f>
        <v>28541.973600000001</v>
      </c>
      <c r="M432" s="77">
        <f>IF(Baseline!AD14=0,(IF(Baseline!C14="Bestaande Situatie",(_xlfn.IFNA(VLOOKUP(Referentie_Fossiele_Energie_Totaal[[#This Row],[Product]]&amp;", "&amp;Referentie_MKI_Totaal[[#Headers],[C2]],Database_Productkaarten[#All],51,FALSE),0)*Baseline!I14),0)),(IF(Baseline!C14="Bestaande Situatie",_xlfn.IFNA(VLOOKUP(Baseline!AD14,Database_Transport[#All],45,FALSE)*(Baseline!Q14*Baseline!AC14),0))))</f>
        <v>53590.903200000001</v>
      </c>
      <c r="N432" s="77">
        <f>(IF(Baseline!C14="Bestaande Situatie",(_xlfn.IFNA(VLOOKUP(Referentie_Fossiele_Energie_Totaal[[#This Row],[Product]]&amp;", "&amp;Referentie_Fossiele_Energie_Totaal[[#Headers],[C3]],Database_Productkaarten[#All],51,FALSE),0)*Baseline!I14),0))</f>
        <v>32001.74734629384</v>
      </c>
      <c r="O432" s="77">
        <f>(IF(Baseline!C14="Bestaande Situatie",(_xlfn.IFNA(VLOOKUP(Referentie_Fossiele_Energie_Totaal[[#This Row],[Product]]&amp;", "&amp;Referentie_Fossiele_Energie_Totaal[[#Headers],[C4]],Database_Productkaarten[#All],51,FALSE),0)*Baseline!I14),0))</f>
        <v>0</v>
      </c>
      <c r="P432" s="77">
        <f>(IF(Baseline!C14="Bestaande Situatie",(_xlfn.IFNA(VLOOKUP(Referentie_Fossiele_Energie_Totaal[[#This Row],[Product]]&amp;", "&amp;Referentie_Fossiele_Energie_Totaal[[#Headers],[D1]],Database_Productkaarten[#All],51,FALSE),0)*Baseline!I14),0))</f>
        <v>0</v>
      </c>
      <c r="Q432" s="78">
        <f>(IF(Baseline!C14="Bestaande Situatie",_xlfn.IFNA(VLOOKUP(Referentie_Fossiele_Energie_Totaal[[#This Row],[Product]]&amp;", "&amp;Referentie_Fossiele_Energie_Totaal[[#Headers],[D2]],Database_Productkaarten[#All],51,FALSE),0)*Baseline!I14,0))</f>
        <v>0</v>
      </c>
      <c r="R432" s="57">
        <f>(IF(Baseline!C14="Bestaande Situatie",_xlfn.IFNA(VLOOKUP(Referentie_Fossiele_Energie_Totaal[[#This Row],[Product]]&amp;", "&amp;Referentie_Fossiele_Energie_Totaal[[#Headers],[D]],Database_Productkaarten[#All],51,FALSE),0)*Baseline!I14,0))</f>
        <v>-3030970.0567423501</v>
      </c>
      <c r="S432" s="56">
        <f>SUM(Referentie_Fossiele_Energie_Totaal[[#This Row],[A1-A3]:[C4]])+Referentie_Fossiele_Energie_Totaal[[#This Row],[D]]</f>
        <v>-2916835.4325960563</v>
      </c>
    </row>
    <row r="433" spans="2:19">
      <c r="B433" s="209" t="str">
        <f>Baseline!B15</f>
        <v>121510 - Opbreken fundering van menggranulaat, 400-200 mm dik</v>
      </c>
      <c r="C433" s="76" t="str">
        <f>Baseline!F15</f>
        <v>Menggranulaat 300mm</v>
      </c>
      <c r="D433" s="77">
        <f>(IF(Baseline!C15="Nieuwe Situatie",(_xlfn.IFNA(VLOOKUP(Referentie_Fossiele_Energie_Totaal[[#This Row],[Product]]&amp;", "&amp;Referentie_Fossiele_Energie_Totaal[[#Headers],[A1]],Database_Productkaarten[#All],51,FALSE),0)*Baseline!I15),0))</f>
        <v>0</v>
      </c>
      <c r="E433" s="77">
        <f>(IF(Baseline!C15="Nieuwe Situatie",(_xlfn.IFNA(VLOOKUP(Referentie_Fossiele_Energie_Totaal[[#This Row],[Product]]&amp;", "&amp;Referentie_Fossiele_Energie_Totaal[[#Headers],[A2]],Database_Productkaarten[#All],51,FALSE),0)*Baseline!I15),0))</f>
        <v>0</v>
      </c>
      <c r="F433" s="77">
        <f>(IF(Baseline!C15="Nieuwe Situatie",(_xlfn.IFNA(VLOOKUP(Referentie_Fossiele_Energie_Totaal[[#This Row],[Product]]&amp;", "&amp;Referentie_Fossiele_Energie_Totaal[[#Headers],[A3]],Database_Productkaarten[#All],51,FALSE),0)*Baseline!I15),0))</f>
        <v>0</v>
      </c>
      <c r="G433" s="77">
        <f>(IF(Baseline!C15="Nieuwe Situatie",(_xlfn.IFNA(VLOOKUP(Referentie_Fossiele_Energie_Totaal[[#This Row],[Product]]&amp;", "&amp;Referentie_Fossiele_Energie_Totaal[[#Headers],[A1-A3]],Database_Productkaarten[#All],51,FALSE),0)*Baseline!I15),0))</f>
        <v>0</v>
      </c>
      <c r="H433" s="77">
        <f>IF(Baseline!T15=0,(IF(Baseline!C15="Nieuwe Situatie",(_xlfn.IFNA(VLOOKUP(Referentie_Fossiele_Energie_Totaal[[#This Row],[Product]]&amp;", "&amp;Referentie_CO2_Totaal[[#Headers],[A4]],Database_Productkaarten[#All],51,FALSE),0)*Baseline!I15),0)),IF(Baseline!C15="Nieuwe Situatie",_xlfn.IFNA(VLOOKUP(Baseline!T15,Database_Transport[#All],45,FALSE)*(Baseline!Q15*Baseline!S15),Baseline_Backlog!H118),0))</f>
        <v>0</v>
      </c>
      <c r="I433" s="77">
        <f>IF(Baseline!C15="Nieuwe situatie",IF(_xlfn.IFNA((VLOOKUP(Baseline!U15,Database_Asfalt_Aanlegset[#All],45,FALSE)*Baseline!I15),0)+_xlfn.IFNA(VLOOKUP(Baseline!V15,Database_Brandstoffen[#All],45,FALSE)*((Baseline!I15/Baseline!X15)*Baseline!W15),0)&gt;0,_xlfn.IFNA((VLOOKUP(Baseline!U15,Database_Asfalt_Aanlegset[#All],45,FALSE)*Baseline!I15),0)+_xlfn.IFNA(VLOOKUP(Baseline!V15,Database_Brandstoffen[#All],45,FALSE)*((Baseline!I15/Baseline!X15)*Baseline!W15),0),(_xlfn.IFNA(VLOOKUP(Referentie_Fossiele_Energie_Totaal[[#This Row],[Product]]&amp;", "&amp;Referentie_MKI_Totaal[[#Headers],[A5]],Database_Productkaarten[#All],51,FALSE),0)*Baseline!I15)),0)</f>
        <v>0</v>
      </c>
      <c r="J433" s="77">
        <f>(IF(Baseline!C15="Nieuwe Situatie",(_xlfn.IFNA(VLOOKUP(Referentie_Fossiele_Energie_Totaal[[#This Row],[Product]]&amp;", "&amp;Referentie_Fossiele_Energie_Totaal[[#Headers],[B1]],Database_Productkaarten[#All],51,FALSE),0)*Baseline!I15),0))</f>
        <v>0</v>
      </c>
      <c r="K433" s="77">
        <f>(IF(Baseline!C15="Nieuwe Situatie",(SUM(Referentie_Fossiele_Energie_Totaal[[#This Row],[A1]:[B1]],Referentie_Fossiele_Energie_Totaal[[#This Row],[C1]:[D2]])*Baseline!R15),0))</f>
        <v>0</v>
      </c>
      <c r="L433" s="77">
        <f>IF(Baseline!C15="Bestaande situatie",IF(_xlfn.IFNA((VLOOKUP(Baseline!Y15,Database_Asfalt_Verwijderset[#All],45,FALSE)*Baseline!I15),0)+_xlfn.IFNA(VLOOKUP(Baseline!Z15,Database_Brandstoffen[#All],45,FALSE)*((Baseline!I15/Baseline!AB15)*Baseline!AA15),0)&gt;0,_xlfn.IFNA((VLOOKUP(Baseline!Y15,Database_Asfalt_Verwijderset[#All],45,FALSE)*Baseline!I15),0)+_xlfn.IFNA(VLOOKUP(Baseline!Z15,Database_Brandstoffen[#All],45,FALSE)*((Baseline!I15/Baseline!AB15)*Baseline!AA15),0),(_xlfn.IFNA(VLOOKUP(Referentie_Fossiele_Energie_Totaal[[#This Row],[Product]]&amp;", "&amp;Referentie_MKI_Totaal[[#Headers],[C1]],Database_Productkaarten[#All],51,FALSE),0)*Baseline!I15)),0)</f>
        <v>39781.180074999997</v>
      </c>
      <c r="M433" s="77">
        <f>IF(Baseline!AD15=0,(IF(Baseline!C15="Bestaande Situatie",(_xlfn.IFNA(VLOOKUP(Referentie_Fossiele_Energie_Totaal[[#This Row],[Product]]&amp;", "&amp;Referentie_MKI_Totaal[[#Headers],[C2]],Database_Productkaarten[#All],51,FALSE),0)*Baseline!I15),0)),(IF(Baseline!C15="Bestaande Situatie",_xlfn.IFNA(VLOOKUP(Baseline!AD15,Database_Transport[#All],45,FALSE)*(Baseline!Q15*Baseline!AC15),0))))</f>
        <v>66765.333570000003</v>
      </c>
      <c r="N433" s="77">
        <f>(IF(Baseline!C15="Bestaande Situatie",(_xlfn.IFNA(VLOOKUP(Referentie_Fossiele_Energie_Totaal[[#This Row],[Product]]&amp;", "&amp;Referentie_Fossiele_Energie_Totaal[[#Headers],[C3]],Database_Productkaarten[#All],51,FALSE),0)*Baseline!I15),0))</f>
        <v>0</v>
      </c>
      <c r="O433" s="77">
        <f>(IF(Baseline!C15="Bestaande Situatie",(_xlfn.IFNA(VLOOKUP(Referentie_Fossiele_Energie_Totaal[[#This Row],[Product]]&amp;", "&amp;Referentie_Fossiele_Energie_Totaal[[#Headers],[C4]],Database_Productkaarten[#All],51,FALSE),0)*Baseline!I15),0))</f>
        <v>3871.666666666667</v>
      </c>
      <c r="P433" s="77">
        <f>(IF(Baseline!C15="Bestaande Situatie",(_xlfn.IFNA(VLOOKUP(Referentie_Fossiele_Energie_Totaal[[#This Row],[Product]]&amp;", "&amp;Referentie_Fossiele_Energie_Totaal[[#Headers],[D1]],Database_Productkaarten[#All],51,FALSE),0)*Baseline!I15),0))</f>
        <v>0</v>
      </c>
      <c r="Q433" s="78">
        <f>(IF(Baseline!C15="Bestaande Situatie",_xlfn.IFNA(VLOOKUP(Referentie_Fossiele_Energie_Totaal[[#This Row],[Product]]&amp;", "&amp;Referentie_Fossiele_Energie_Totaal[[#Headers],[D2]],Database_Productkaarten[#All],51,FALSE),0)*Baseline!I15,0))</f>
        <v>0</v>
      </c>
      <c r="R433" s="57">
        <f>(IF(Baseline!C15="Bestaande Situatie",_xlfn.IFNA(VLOOKUP(Referentie_Fossiele_Energie_Totaal[[#This Row],[Product]]&amp;", "&amp;Referentie_Fossiele_Energie_Totaal[[#Headers],[D]],Database_Productkaarten[#All],51,FALSE),0)*Baseline!I15,0))</f>
        <v>1299.5000000000002</v>
      </c>
      <c r="S433" s="56">
        <f>SUM(Referentie_Fossiele_Energie_Totaal[[#This Row],[A1-A3]:[C4]])+Referentie_Fossiele_Energie_Totaal[[#This Row],[D]]</f>
        <v>111717.68031166667</v>
      </c>
    </row>
    <row r="434" spans="2:19">
      <c r="B434" s="209" t="str">
        <f>Baseline!B16</f>
        <v>121520 - Opbreken fundering van slakken 200-400 mm dik</v>
      </c>
      <c r="C434" s="76" t="str">
        <f>Baseline!F16</f>
        <v>Fosforslakmengsel 200mm</v>
      </c>
      <c r="D434" s="77">
        <f>(IF(Baseline!C16="Nieuwe Situatie",(_xlfn.IFNA(VLOOKUP(Referentie_Fossiele_Energie_Totaal[[#This Row],[Product]]&amp;", "&amp;Referentie_Fossiele_Energie_Totaal[[#Headers],[A1]],Database_Productkaarten[#All],51,FALSE),0)*Baseline!I16),0))</f>
        <v>0</v>
      </c>
      <c r="E434" s="77">
        <f>(IF(Baseline!C16="Nieuwe Situatie",(_xlfn.IFNA(VLOOKUP(Referentie_Fossiele_Energie_Totaal[[#This Row],[Product]]&amp;", "&amp;Referentie_Fossiele_Energie_Totaal[[#Headers],[A2]],Database_Productkaarten[#All],51,FALSE),0)*Baseline!I16),0))</f>
        <v>0</v>
      </c>
      <c r="F434" s="77">
        <f>(IF(Baseline!C16="Nieuwe Situatie",(_xlfn.IFNA(VLOOKUP(Referentie_Fossiele_Energie_Totaal[[#This Row],[Product]]&amp;", "&amp;Referentie_Fossiele_Energie_Totaal[[#Headers],[A3]],Database_Productkaarten[#All],51,FALSE),0)*Baseline!I16),0))</f>
        <v>0</v>
      </c>
      <c r="G434" s="77">
        <f>(IF(Baseline!C16="Nieuwe Situatie",(_xlfn.IFNA(VLOOKUP(Referentie_Fossiele_Energie_Totaal[[#This Row],[Product]]&amp;", "&amp;Referentie_Fossiele_Energie_Totaal[[#Headers],[A1-A3]],Database_Productkaarten[#All],51,FALSE),0)*Baseline!I16),0))</f>
        <v>0</v>
      </c>
      <c r="H434" s="77">
        <f>IF(Baseline!T16=0,(IF(Baseline!C16="Nieuwe Situatie",(_xlfn.IFNA(VLOOKUP(Referentie_Fossiele_Energie_Totaal[[#This Row],[Product]]&amp;", "&amp;Referentie_CO2_Totaal[[#Headers],[A4]],Database_Productkaarten[#All],51,FALSE),0)*Baseline!I16),0)),IF(Baseline!C16="Nieuwe Situatie",_xlfn.IFNA(VLOOKUP(Baseline!T16,Database_Transport[#All],45,FALSE)*(Baseline!Q16*Baseline!S16),Baseline_Backlog!H119),0))</f>
        <v>0</v>
      </c>
      <c r="I434" s="77">
        <f>IF(Baseline!C16="Nieuwe situatie",IF(_xlfn.IFNA((VLOOKUP(Baseline!U16,Database_Asfalt_Aanlegset[#All],45,FALSE)*Baseline!I16),0)+_xlfn.IFNA(VLOOKUP(Baseline!V16,Database_Brandstoffen[#All],45,FALSE)*((Baseline!I16/Baseline!X16)*Baseline!W16),0)&gt;0,_xlfn.IFNA((VLOOKUP(Baseline!U16,Database_Asfalt_Aanlegset[#All],45,FALSE)*Baseline!I16),0)+_xlfn.IFNA(VLOOKUP(Baseline!V16,Database_Brandstoffen[#All],45,FALSE)*((Baseline!I16/Baseline!X16)*Baseline!W16),0),(_xlfn.IFNA(VLOOKUP(Referentie_Fossiele_Energie_Totaal[[#This Row],[Product]]&amp;", "&amp;Referentie_MKI_Totaal[[#Headers],[A5]],Database_Productkaarten[#All],51,FALSE),0)*Baseline!I16)),0)</f>
        <v>0</v>
      </c>
      <c r="J434" s="77">
        <f>(IF(Baseline!C16="Nieuwe Situatie",(_xlfn.IFNA(VLOOKUP(Referentie_Fossiele_Energie_Totaal[[#This Row],[Product]]&amp;", "&amp;Referentie_Fossiele_Energie_Totaal[[#Headers],[B1]],Database_Productkaarten[#All],51,FALSE),0)*Baseline!I16),0))</f>
        <v>0</v>
      </c>
      <c r="K434" s="77">
        <f>(IF(Baseline!C16="Nieuwe Situatie",(SUM(Referentie_Fossiele_Energie_Totaal[[#This Row],[A1]:[B1]],Referentie_Fossiele_Energie_Totaal[[#This Row],[C1]:[D2]])*Baseline!R16),0))</f>
        <v>0</v>
      </c>
      <c r="L434" s="77">
        <f>IF(Baseline!C16="Bestaande situatie",IF(_xlfn.IFNA((VLOOKUP(Baseline!Y16,Database_Asfalt_Verwijderset[#All],45,FALSE)*Baseline!I16),0)+_xlfn.IFNA(VLOOKUP(Baseline!Z16,Database_Brandstoffen[#All],45,FALSE)*((Baseline!I16/Baseline!AB16)*Baseline!AA16),0)&gt;0,_xlfn.IFNA((VLOOKUP(Baseline!Y16,Database_Asfalt_Verwijderset[#All],45,FALSE)*Baseline!I16),0)+_xlfn.IFNA(VLOOKUP(Baseline!Z16,Database_Brandstoffen[#All],45,FALSE)*((Baseline!I16/Baseline!AB16)*Baseline!AA16),0),(_xlfn.IFNA(VLOOKUP(Referentie_Fossiele_Energie_Totaal[[#This Row],[Product]]&amp;", "&amp;Referentie_MKI_Totaal[[#Headers],[C1]],Database_Productkaarten[#All],51,FALSE),0)*Baseline!I16)),0)</f>
        <v>18160.973512500001</v>
      </c>
      <c r="M434" s="77">
        <f>IF(Baseline!AD16=0,(IF(Baseline!C16="Bestaande Situatie",(_xlfn.IFNA(VLOOKUP(Referentie_Fossiele_Energie_Totaal[[#This Row],[Product]]&amp;", "&amp;Referentie_MKI_Totaal[[#Headers],[C2]],Database_Productkaarten[#All],51,FALSE),0)*Baseline!I16),0)),(IF(Baseline!C16="Bestaande Situatie",_xlfn.IFNA(VLOOKUP(Baseline!AD16,Database_Transport[#All],45,FALSE)*(Baseline!Q16*Baseline!AC16),0))))</f>
        <v>29177.269520000005</v>
      </c>
      <c r="N434" s="77">
        <f>(IF(Baseline!C16="Bestaande Situatie",(_xlfn.IFNA(VLOOKUP(Referentie_Fossiele_Energie_Totaal[[#This Row],[Product]]&amp;", "&amp;Referentie_Fossiele_Energie_Totaal[[#Headers],[C3]],Database_Productkaarten[#All],51,FALSE),0)*Baseline!I16),0))</f>
        <v>0</v>
      </c>
      <c r="O434" s="77">
        <f>(IF(Baseline!C16="Bestaande Situatie",(_xlfn.IFNA(VLOOKUP(Referentie_Fossiele_Energie_Totaal[[#This Row],[Product]]&amp;", "&amp;Referentie_Fossiele_Energie_Totaal[[#Headers],[C4]],Database_Productkaarten[#All],51,FALSE),0)*Baseline!I16),0))</f>
        <v>1690.5</v>
      </c>
      <c r="P434" s="77">
        <f>(IF(Baseline!C16="Bestaande Situatie",(_xlfn.IFNA(VLOOKUP(Referentie_Fossiele_Energie_Totaal[[#This Row],[Product]]&amp;", "&amp;Referentie_Fossiele_Energie_Totaal[[#Headers],[D1]],Database_Productkaarten[#All],51,FALSE),0)*Baseline!I16),0))</f>
        <v>0</v>
      </c>
      <c r="Q434" s="78">
        <f>(IF(Baseline!C16="Bestaande Situatie",_xlfn.IFNA(VLOOKUP(Referentie_Fossiele_Energie_Totaal[[#This Row],[Product]]&amp;", "&amp;Referentie_Fossiele_Energie_Totaal[[#Headers],[D2]],Database_Productkaarten[#All],51,FALSE),0)*Baseline!I16,0))</f>
        <v>0</v>
      </c>
      <c r="R434" s="57">
        <f>(IF(Baseline!C16="Bestaande Situatie",_xlfn.IFNA(VLOOKUP(Referentie_Fossiele_Energie_Totaal[[#This Row],[Product]]&amp;", "&amp;Referentie_Fossiele_Energie_Totaal[[#Headers],[D]],Database_Productkaarten[#All],51,FALSE),0)*Baseline!I16,0))</f>
        <v>568.75</v>
      </c>
      <c r="S434" s="56">
        <f>SUM(Referentie_Fossiele_Energie_Totaal[[#This Row],[A1-A3]:[C4]])+Referentie_Fossiele_Energie_Totaal[[#This Row],[D]]</f>
        <v>49597.493032500002</v>
      </c>
    </row>
    <row r="435" spans="2:19">
      <c r="B435" s="209" t="str">
        <f>Baseline!B17</f>
        <v>121310 - Verwijderen en afvoeren kolken, incl aansluitingen</v>
      </c>
      <c r="C435" s="76" t="str">
        <f>Baseline!F17</f>
        <v>Kolk, Staal &amp; Beton</v>
      </c>
      <c r="D435" s="77">
        <f>(IF(Baseline!C17="Nieuwe Situatie",(_xlfn.IFNA(VLOOKUP(Referentie_Fossiele_Energie_Totaal[[#This Row],[Product]]&amp;", "&amp;Referentie_Fossiele_Energie_Totaal[[#Headers],[A1]],Database_Productkaarten[#All],51,FALSE),0)*Baseline!I17),0))</f>
        <v>0</v>
      </c>
      <c r="E435" s="77">
        <f>(IF(Baseline!C17="Nieuwe Situatie",(_xlfn.IFNA(VLOOKUP(Referentie_Fossiele_Energie_Totaal[[#This Row],[Product]]&amp;", "&amp;Referentie_Fossiele_Energie_Totaal[[#Headers],[A2]],Database_Productkaarten[#All],51,FALSE),0)*Baseline!I17),0))</f>
        <v>0</v>
      </c>
      <c r="F435" s="77">
        <f>(IF(Baseline!C17="Nieuwe Situatie",(_xlfn.IFNA(VLOOKUP(Referentie_Fossiele_Energie_Totaal[[#This Row],[Product]]&amp;", "&amp;Referentie_Fossiele_Energie_Totaal[[#Headers],[A3]],Database_Productkaarten[#All],51,FALSE),0)*Baseline!I17),0))</f>
        <v>0</v>
      </c>
      <c r="G435" s="77">
        <f>(IF(Baseline!C17="Nieuwe Situatie",(_xlfn.IFNA(VLOOKUP(Referentie_Fossiele_Energie_Totaal[[#This Row],[Product]]&amp;", "&amp;Referentie_Fossiele_Energie_Totaal[[#Headers],[A1-A3]],Database_Productkaarten[#All],51,FALSE),0)*Baseline!I17),0))</f>
        <v>0</v>
      </c>
      <c r="H435" s="77">
        <f>IF(Baseline!T17=0,(IF(Baseline!C17="Nieuwe Situatie",(_xlfn.IFNA(VLOOKUP(Referentie_Fossiele_Energie_Totaal[[#This Row],[Product]]&amp;", "&amp;Referentie_CO2_Totaal[[#Headers],[A4]],Database_Productkaarten[#All],51,FALSE),0)*Baseline!I17),0)),IF(Baseline!C17="Nieuwe Situatie",_xlfn.IFNA(VLOOKUP(Baseline!T17,Database_Transport[#All],45,FALSE)*(Baseline!Q17*Baseline!S17),Baseline_Backlog!H120),0))</f>
        <v>0</v>
      </c>
      <c r="I435" s="77">
        <f>IF(Baseline!C17="Nieuwe situatie",IF(_xlfn.IFNA((VLOOKUP(Baseline!U17,Database_Asfalt_Aanlegset[#All],45,FALSE)*Baseline!I17),0)+_xlfn.IFNA(VLOOKUP(Baseline!V17,Database_Brandstoffen[#All],45,FALSE)*((Baseline!I17/Baseline!X17)*Baseline!W17),0)&gt;0,_xlfn.IFNA((VLOOKUP(Baseline!U17,Database_Asfalt_Aanlegset[#All],45,FALSE)*Baseline!I17),0)+_xlfn.IFNA(VLOOKUP(Baseline!V17,Database_Brandstoffen[#All],45,FALSE)*((Baseline!I17/Baseline!X17)*Baseline!W17),0),(_xlfn.IFNA(VLOOKUP(Referentie_Fossiele_Energie_Totaal[[#This Row],[Product]]&amp;", "&amp;Referentie_MKI_Totaal[[#Headers],[A5]],Database_Productkaarten[#All],51,FALSE),0)*Baseline!I17)),0)</f>
        <v>0</v>
      </c>
      <c r="J435" s="77">
        <f>(IF(Baseline!C17="Nieuwe Situatie",(_xlfn.IFNA(VLOOKUP(Referentie_Fossiele_Energie_Totaal[[#This Row],[Product]]&amp;", "&amp;Referentie_Fossiele_Energie_Totaal[[#Headers],[B1]],Database_Productkaarten[#All],51,FALSE),0)*Baseline!I17),0))</f>
        <v>0</v>
      </c>
      <c r="K435" s="77">
        <f>(IF(Baseline!C17="Nieuwe Situatie",(SUM(Referentie_Fossiele_Energie_Totaal[[#This Row],[A1]:[B1]],Referentie_Fossiele_Energie_Totaal[[#This Row],[C1]:[D2]])*Baseline!R17),0))</f>
        <v>0</v>
      </c>
      <c r="L435" s="77">
        <f>IF(Baseline!C17="Bestaande situatie",IF(_xlfn.IFNA((VLOOKUP(Baseline!Y17,Database_Asfalt_Verwijderset[#All],45,FALSE)*Baseline!I17),0)+_xlfn.IFNA(VLOOKUP(Baseline!Z17,Database_Brandstoffen[#All],45,FALSE)*((Baseline!I17/Baseline!AB17)*Baseline!AA17),0)&gt;0,_xlfn.IFNA((VLOOKUP(Baseline!Y17,Database_Asfalt_Verwijderset[#All],45,FALSE)*Baseline!I17),0)+_xlfn.IFNA(VLOOKUP(Baseline!Z17,Database_Brandstoffen[#All],45,FALSE)*((Baseline!I17/Baseline!AB17)*Baseline!AA17),0),(_xlfn.IFNA(VLOOKUP(Referentie_Fossiele_Energie_Totaal[[#This Row],[Product]]&amp;", "&amp;Referentie_MKI_Totaal[[#Headers],[C1]],Database_Productkaarten[#All],51,FALSE),0)*Baseline!I17)),0)</f>
        <v>85642.516290807805</v>
      </c>
      <c r="M435" s="77">
        <f>IF(Baseline!AD17=0,(IF(Baseline!C17="Bestaande Situatie",(_xlfn.IFNA(VLOOKUP(Referentie_Fossiele_Energie_Totaal[[#This Row],[Product]]&amp;", "&amp;Referentie_MKI_Totaal[[#Headers],[C2]],Database_Productkaarten[#All],51,FALSE),0)*Baseline!I17),0)),(IF(Baseline!C17="Bestaande Situatie",_xlfn.IFNA(VLOOKUP(Baseline!AD17,Database_Transport[#All],45,FALSE)*(Baseline!Q17*Baseline!AC17),0))))</f>
        <v>1219.89806590432</v>
      </c>
      <c r="N435" s="77">
        <f>(IF(Baseline!C17="Bestaande Situatie",(_xlfn.IFNA(VLOOKUP(Referentie_Fossiele_Energie_Totaal[[#This Row],[Product]]&amp;", "&amp;Referentie_Fossiele_Energie_Totaal[[#Headers],[C3]],Database_Productkaarten[#All],51,FALSE),0)*Baseline!I17),0))</f>
        <v>1183.2245546000001</v>
      </c>
      <c r="O435" s="77">
        <f>(IF(Baseline!C17="Bestaande Situatie",(_xlfn.IFNA(VLOOKUP(Referentie_Fossiele_Energie_Totaal[[#This Row],[Product]]&amp;", "&amp;Referentie_Fossiele_Energie_Totaal[[#Headers],[C4]],Database_Productkaarten[#All],51,FALSE),0)*Baseline!I17),0))</f>
        <v>100.3825365</v>
      </c>
      <c r="P435" s="77">
        <f>(IF(Baseline!C17="Bestaande Situatie",(_xlfn.IFNA(VLOOKUP(Referentie_Fossiele_Energie_Totaal[[#This Row],[Product]]&amp;", "&amp;Referentie_Fossiele_Energie_Totaal[[#Headers],[D1]],Database_Productkaarten[#All],51,FALSE),0)*Baseline!I17),0))</f>
        <v>0</v>
      </c>
      <c r="Q435" s="78">
        <f>(IF(Baseline!C17="Bestaande Situatie",_xlfn.IFNA(VLOOKUP(Referentie_Fossiele_Energie_Totaal[[#This Row],[Product]]&amp;", "&amp;Referentie_Fossiele_Energie_Totaal[[#Headers],[D2]],Database_Productkaarten[#All],51,FALSE),0)*Baseline!I17,0))</f>
        <v>0</v>
      </c>
      <c r="R435" s="57">
        <f>(IF(Baseline!C17="Bestaande Situatie",_xlfn.IFNA(VLOOKUP(Referentie_Fossiele_Energie_Totaal[[#This Row],[Product]]&amp;", "&amp;Referentie_Fossiele_Energie_Totaal[[#Headers],[D]],Database_Productkaarten[#All],51,FALSE),0)*Baseline!I17,0))</f>
        <v>-92817.579939999996</v>
      </c>
      <c r="S435" s="56">
        <f>SUM(Referentie_Fossiele_Energie_Totaal[[#This Row],[A1-A3]:[C4]])+Referentie_Fossiele_Energie_Totaal[[#This Row],[D]]</f>
        <v>-4671.5584921878763</v>
      </c>
    </row>
    <row r="436" spans="2:19">
      <c r="B436" s="209" t="str">
        <f>Baseline!B18</f>
        <v>210010 - Grond ontgraven uit cunet wegen en parkeervakken 0,25 m</v>
      </c>
      <c r="C436" s="76" t="str">
        <f>Baseline!F18</f>
        <v>Ophoogmateriaal (Grond)</v>
      </c>
      <c r="D436" s="77">
        <f>(IF(Baseline!C18="Nieuwe Situatie",(_xlfn.IFNA(VLOOKUP(Referentie_Fossiele_Energie_Totaal[[#This Row],[Product]]&amp;", "&amp;Referentie_Fossiele_Energie_Totaal[[#Headers],[A1]],Database_Productkaarten[#All],51,FALSE),0)*Baseline!I18),0))</f>
        <v>0</v>
      </c>
      <c r="E436" s="77">
        <f>(IF(Baseline!C18="Nieuwe Situatie",(_xlfn.IFNA(VLOOKUP(Referentie_Fossiele_Energie_Totaal[[#This Row],[Product]]&amp;", "&amp;Referentie_Fossiele_Energie_Totaal[[#Headers],[A2]],Database_Productkaarten[#All],51,FALSE),0)*Baseline!I18),0))</f>
        <v>0</v>
      </c>
      <c r="F436" s="77">
        <f>(IF(Baseline!C18="Nieuwe Situatie",(_xlfn.IFNA(VLOOKUP(Referentie_Fossiele_Energie_Totaal[[#This Row],[Product]]&amp;", "&amp;Referentie_Fossiele_Energie_Totaal[[#Headers],[A3]],Database_Productkaarten[#All],51,FALSE),0)*Baseline!I18),0))</f>
        <v>0</v>
      </c>
      <c r="G436" s="77">
        <f>(IF(Baseline!C18="Nieuwe Situatie",(_xlfn.IFNA(VLOOKUP(Referentie_Fossiele_Energie_Totaal[[#This Row],[Product]]&amp;", "&amp;Referentie_Fossiele_Energie_Totaal[[#Headers],[A1-A3]],Database_Productkaarten[#All],51,FALSE),0)*Baseline!I18),0))</f>
        <v>0</v>
      </c>
      <c r="H436" s="77">
        <f>IF(Baseline!T18=0,(IF(Baseline!C18="Nieuwe Situatie",(_xlfn.IFNA(VLOOKUP(Referentie_Fossiele_Energie_Totaal[[#This Row],[Product]]&amp;", "&amp;Referentie_CO2_Totaal[[#Headers],[A4]],Database_Productkaarten[#All],51,FALSE),0)*Baseline!I18),0)),IF(Baseline!C18="Nieuwe Situatie",_xlfn.IFNA(VLOOKUP(Baseline!T18,Database_Transport[#All],45,FALSE)*(Baseline!Q18*Baseline!S18),Baseline_Backlog!H121),0))</f>
        <v>0</v>
      </c>
      <c r="I436" s="77">
        <f>IF(Baseline!C18="Nieuwe situatie",IF(_xlfn.IFNA((VLOOKUP(Baseline!U18,Database_Asfalt_Aanlegset[#All],45,FALSE)*Baseline!I18),0)+_xlfn.IFNA(VLOOKUP(Baseline!V18,Database_Brandstoffen[#All],45,FALSE)*((Baseline!I18/Baseline!X18)*Baseline!W18),0)&gt;0,_xlfn.IFNA((VLOOKUP(Baseline!U18,Database_Asfalt_Aanlegset[#All],45,FALSE)*Baseline!I18),0)+_xlfn.IFNA(VLOOKUP(Baseline!V18,Database_Brandstoffen[#All],45,FALSE)*((Baseline!I18/Baseline!X18)*Baseline!W18),0),(_xlfn.IFNA(VLOOKUP(Referentie_Fossiele_Energie_Totaal[[#This Row],[Product]]&amp;", "&amp;Referentie_MKI_Totaal[[#Headers],[A5]],Database_Productkaarten[#All],51,FALSE),0)*Baseline!I18)),0)</f>
        <v>0</v>
      </c>
      <c r="J436" s="77">
        <f>(IF(Baseline!C18="Nieuwe Situatie",(_xlfn.IFNA(VLOOKUP(Referentie_Fossiele_Energie_Totaal[[#This Row],[Product]]&amp;", "&amp;Referentie_Fossiele_Energie_Totaal[[#Headers],[B1]],Database_Productkaarten[#All],51,FALSE),0)*Baseline!I18),0))</f>
        <v>0</v>
      </c>
      <c r="K436" s="77">
        <f>(IF(Baseline!C18="Nieuwe Situatie",(SUM(Referentie_Fossiele_Energie_Totaal[[#This Row],[A1]:[B1]],Referentie_Fossiele_Energie_Totaal[[#This Row],[C1]:[D2]])*Baseline!R18),0))</f>
        <v>0</v>
      </c>
      <c r="L436" s="77">
        <f>IF(Baseline!C18="Bestaande situatie",IF(_xlfn.IFNA((VLOOKUP(Baseline!Y18,Database_Asfalt_Verwijderset[#All],45,FALSE)*Baseline!I18),0)+_xlfn.IFNA(VLOOKUP(Baseline!Z18,Database_Brandstoffen[#All],45,FALSE)*((Baseline!I18/Baseline!AB18)*Baseline!AA18),0)&gt;0,_xlfn.IFNA((VLOOKUP(Baseline!Y18,Database_Asfalt_Verwijderset[#All],45,FALSE)*Baseline!I18),0)+_xlfn.IFNA(VLOOKUP(Baseline!Z18,Database_Brandstoffen[#All],45,FALSE)*((Baseline!I18/Baseline!AB18)*Baseline!AA18),0),(_xlfn.IFNA(VLOOKUP(Referentie_Fossiele_Energie_Totaal[[#This Row],[Product]]&amp;", "&amp;Referentie_MKI_Totaal[[#Headers],[C1]],Database_Productkaarten[#All],51,FALSE),0)*Baseline!I18)),0)</f>
        <v>60288.932767933329</v>
      </c>
      <c r="M436" s="77">
        <f>IF(Baseline!AD18=0,(IF(Baseline!C18="Bestaande Situatie",(_xlfn.IFNA(VLOOKUP(Referentie_Fossiele_Energie_Totaal[[#This Row],[Product]]&amp;", "&amp;Referentie_MKI_Totaal[[#Headers],[C2]],Database_Productkaarten[#All],51,FALSE),0)*Baseline!I18),0)),(IF(Baseline!C18="Bestaande Situatie",_xlfn.IFNA(VLOOKUP(Baseline!AD18,Database_Transport[#All],45,FALSE)*(Baseline!Q18*Baseline!AC18),0))))</f>
        <v>242870.99602999998</v>
      </c>
      <c r="N436" s="77">
        <f>(IF(Baseline!C18="Bestaande Situatie",(_xlfn.IFNA(VLOOKUP(Referentie_Fossiele_Energie_Totaal[[#This Row],[Product]]&amp;", "&amp;Referentie_Fossiele_Energie_Totaal[[#Headers],[C3]],Database_Productkaarten[#All],51,FALSE),0)*Baseline!I18),0))</f>
        <v>0</v>
      </c>
      <c r="O436" s="77">
        <f>(IF(Baseline!C18="Bestaande Situatie",(_xlfn.IFNA(VLOOKUP(Referentie_Fossiele_Energie_Totaal[[#This Row],[Product]]&amp;", "&amp;Referentie_Fossiele_Energie_Totaal[[#Headers],[C4]],Database_Productkaarten[#All],51,FALSE),0)*Baseline!I18),0))</f>
        <v>14056</v>
      </c>
      <c r="P436" s="77">
        <f>(IF(Baseline!C18="Bestaande Situatie",(_xlfn.IFNA(VLOOKUP(Referentie_Fossiele_Energie_Totaal[[#This Row],[Product]]&amp;", "&amp;Referentie_Fossiele_Energie_Totaal[[#Headers],[D1]],Database_Productkaarten[#All],51,FALSE),0)*Baseline!I18),0))</f>
        <v>0</v>
      </c>
      <c r="Q436" s="78">
        <f>(IF(Baseline!C18="Bestaande Situatie",_xlfn.IFNA(VLOOKUP(Referentie_Fossiele_Energie_Totaal[[#This Row],[Product]]&amp;", "&amp;Referentie_Fossiele_Energie_Totaal[[#Headers],[D2]],Database_Productkaarten[#All],51,FALSE),0)*Baseline!I18,0))</f>
        <v>0</v>
      </c>
      <c r="R436" s="57">
        <f>(IF(Baseline!C18="Bestaande Situatie",_xlfn.IFNA(VLOOKUP(Referentie_Fossiele_Energie_Totaal[[#This Row],[Product]]&amp;", "&amp;Referentie_Fossiele_Energie_Totaal[[#Headers],[D]],Database_Productkaarten[#All],51,FALSE),0)*Baseline!I18,0))</f>
        <v>0</v>
      </c>
      <c r="S436" s="56">
        <f>SUM(Referentie_Fossiele_Energie_Totaal[[#This Row],[A1-A3]:[C4]])+Referentie_Fossiele_Energie_Totaal[[#This Row],[D]]</f>
        <v>317215.92879793333</v>
      </c>
    </row>
    <row r="437" spans="2:19">
      <c r="B437" s="209" t="str">
        <f>Baseline!B19</f>
        <v>210020 - Grond ontgraven uit sleuf riolering (gerekend met 11,5m3/m1 riool)</v>
      </c>
      <c r="C437" s="76" t="str">
        <f>Baseline!F19</f>
        <v>Ophoogmateriaal (Grond)</v>
      </c>
      <c r="D437" s="77">
        <f>(IF(Baseline!C19="Nieuwe Situatie",(_xlfn.IFNA(VLOOKUP(Referentie_Fossiele_Energie_Totaal[[#This Row],[Product]]&amp;", "&amp;Referentie_Fossiele_Energie_Totaal[[#Headers],[A1]],Database_Productkaarten[#All],51,FALSE),0)*Baseline!I19),0))</f>
        <v>0</v>
      </c>
      <c r="E437" s="77">
        <f>(IF(Baseline!C19="Nieuwe Situatie",(_xlfn.IFNA(VLOOKUP(Referentie_Fossiele_Energie_Totaal[[#This Row],[Product]]&amp;", "&amp;Referentie_Fossiele_Energie_Totaal[[#Headers],[A2]],Database_Productkaarten[#All],51,FALSE),0)*Baseline!I19),0))</f>
        <v>0</v>
      </c>
      <c r="F437" s="77">
        <f>(IF(Baseline!C19="Nieuwe Situatie",(_xlfn.IFNA(VLOOKUP(Referentie_Fossiele_Energie_Totaal[[#This Row],[Product]]&amp;", "&amp;Referentie_Fossiele_Energie_Totaal[[#Headers],[A3]],Database_Productkaarten[#All],51,FALSE),0)*Baseline!I19),0))</f>
        <v>0</v>
      </c>
      <c r="G437" s="77">
        <f>(IF(Baseline!C19="Nieuwe Situatie",(_xlfn.IFNA(VLOOKUP(Referentie_Fossiele_Energie_Totaal[[#This Row],[Product]]&amp;", "&amp;Referentie_Fossiele_Energie_Totaal[[#Headers],[A1-A3]],Database_Productkaarten[#All],51,FALSE),0)*Baseline!I19),0))</f>
        <v>0</v>
      </c>
      <c r="H437" s="77">
        <f>IF(Baseline!T19=0,(IF(Baseline!C19="Nieuwe Situatie",(_xlfn.IFNA(VLOOKUP(Referentie_Fossiele_Energie_Totaal[[#This Row],[Product]]&amp;", "&amp;Referentie_CO2_Totaal[[#Headers],[A4]],Database_Productkaarten[#All],51,FALSE),0)*Baseline!I19),0)),IF(Baseline!C19="Nieuwe Situatie",_xlfn.IFNA(VLOOKUP(Baseline!T19,Database_Transport[#All],45,FALSE)*(Baseline!Q19*Baseline!S19),Baseline_Backlog!H122),0))</f>
        <v>0</v>
      </c>
      <c r="I437" s="77">
        <f>IF(Baseline!C19="Nieuwe situatie",IF(_xlfn.IFNA((VLOOKUP(Baseline!U19,Database_Asfalt_Aanlegset[#All],45,FALSE)*Baseline!I19),0)+_xlfn.IFNA(VLOOKUP(Baseline!V19,Database_Brandstoffen[#All],45,FALSE)*((Baseline!I19/Baseline!X19)*Baseline!W19),0)&gt;0,_xlfn.IFNA((VLOOKUP(Baseline!U19,Database_Asfalt_Aanlegset[#All],45,FALSE)*Baseline!I19),0)+_xlfn.IFNA(VLOOKUP(Baseline!V19,Database_Brandstoffen[#All],45,FALSE)*((Baseline!I19/Baseline!X19)*Baseline!W19),0),(_xlfn.IFNA(VLOOKUP(Referentie_Fossiele_Energie_Totaal[[#This Row],[Product]]&amp;", "&amp;Referentie_MKI_Totaal[[#Headers],[A5]],Database_Productkaarten[#All],51,FALSE),0)*Baseline!I19)),0)</f>
        <v>0</v>
      </c>
      <c r="J437" s="77">
        <f>(IF(Baseline!C19="Nieuwe Situatie",(_xlfn.IFNA(VLOOKUP(Referentie_Fossiele_Energie_Totaal[[#This Row],[Product]]&amp;", "&amp;Referentie_Fossiele_Energie_Totaal[[#Headers],[B1]],Database_Productkaarten[#All],51,FALSE),0)*Baseline!I19),0))</f>
        <v>0</v>
      </c>
      <c r="K437" s="77">
        <f>(IF(Baseline!C19="Nieuwe Situatie",(SUM(Referentie_Fossiele_Energie_Totaal[[#This Row],[A1]:[B1]],Referentie_Fossiele_Energie_Totaal[[#This Row],[C1]:[D2]])*Baseline!R19),0))</f>
        <v>0</v>
      </c>
      <c r="L437" s="77">
        <f>IF(Baseline!C19="Bestaande situatie",IF(_xlfn.IFNA((VLOOKUP(Baseline!Y19,Database_Asfalt_Verwijderset[#All],45,FALSE)*Baseline!I19),0)+_xlfn.IFNA(VLOOKUP(Baseline!Z19,Database_Brandstoffen[#All],45,FALSE)*((Baseline!I19/Baseline!AB19)*Baseline!AA19),0)&gt;0,_xlfn.IFNA((VLOOKUP(Baseline!Y19,Database_Asfalt_Verwijderset[#All],45,FALSE)*Baseline!I19),0)+_xlfn.IFNA(VLOOKUP(Baseline!Z19,Database_Brandstoffen[#All],45,FALSE)*((Baseline!I19/Baseline!AB19)*Baseline!AA19),0),(_xlfn.IFNA(VLOOKUP(Referentie_Fossiele_Energie_Totaal[[#This Row],[Product]]&amp;", "&amp;Referentie_MKI_Totaal[[#Headers],[C1]],Database_Productkaarten[#All],51,FALSE),0)*Baseline!I19)),0)</f>
        <v>226984.22894699997</v>
      </c>
      <c r="M437" s="77">
        <f>IF(Baseline!AD19=0,(IF(Baseline!C19="Bestaande Situatie",(_xlfn.IFNA(VLOOKUP(Referentie_Fossiele_Energie_Totaal[[#This Row],[Product]]&amp;", "&amp;Referentie_MKI_Totaal[[#Headers],[C2]],Database_Productkaarten[#All],51,FALSE),0)*Baseline!I19),0)),(IF(Baseline!C19="Bestaande Situatie",_xlfn.IFNA(VLOOKUP(Baseline!AD19,Database_Transport[#All],45,FALSE)*(Baseline!Q19*Baseline!AC19),0))))</f>
        <v>228598.6964625</v>
      </c>
      <c r="N437" s="77">
        <f>(IF(Baseline!C19="Bestaande Situatie",(_xlfn.IFNA(VLOOKUP(Referentie_Fossiele_Energie_Totaal[[#This Row],[Product]]&amp;", "&amp;Referentie_Fossiele_Energie_Totaal[[#Headers],[C3]],Database_Productkaarten[#All],51,FALSE),0)*Baseline!I19),0))</f>
        <v>0</v>
      </c>
      <c r="O437" s="77">
        <f>(IF(Baseline!C19="Bestaande Situatie",(_xlfn.IFNA(VLOOKUP(Referentie_Fossiele_Energie_Totaal[[#This Row],[Product]]&amp;", "&amp;Referentie_Fossiele_Energie_Totaal[[#Headers],[C4]],Database_Productkaarten[#All],51,FALSE),0)*Baseline!I19),0))</f>
        <v>52920</v>
      </c>
      <c r="P437" s="77">
        <f>(IF(Baseline!C19="Bestaande Situatie",(_xlfn.IFNA(VLOOKUP(Referentie_Fossiele_Energie_Totaal[[#This Row],[Product]]&amp;", "&amp;Referentie_Fossiele_Energie_Totaal[[#Headers],[D1]],Database_Productkaarten[#All],51,FALSE),0)*Baseline!I19),0))</f>
        <v>0</v>
      </c>
      <c r="Q437" s="78">
        <f>(IF(Baseline!C19="Bestaande Situatie",_xlfn.IFNA(VLOOKUP(Referentie_Fossiele_Energie_Totaal[[#This Row],[Product]]&amp;", "&amp;Referentie_Fossiele_Energie_Totaal[[#Headers],[D2]],Database_Productkaarten[#All],51,FALSE),0)*Baseline!I19,0))</f>
        <v>0</v>
      </c>
      <c r="R437" s="57">
        <f>(IF(Baseline!C19="Bestaande Situatie",_xlfn.IFNA(VLOOKUP(Referentie_Fossiele_Energie_Totaal[[#This Row],[Product]]&amp;", "&amp;Referentie_Fossiele_Energie_Totaal[[#Headers],[D]],Database_Productkaarten[#All],51,FALSE),0)*Baseline!I19,0))</f>
        <v>0</v>
      </c>
      <c r="S437" s="56">
        <f>SUM(Referentie_Fossiele_Energie_Totaal[[#This Row],[A1-A3]:[C4]])+Referentie_Fossiele_Energie_Totaal[[#This Row],[D]]</f>
        <v>508502.92540949996</v>
      </c>
    </row>
    <row r="438" spans="2:19">
      <c r="B438" s="209" t="str">
        <f>Baseline!B20</f>
        <v>210030 - Grond ontgraven uit plantvak</v>
      </c>
      <c r="C438" s="76" t="str">
        <f>Baseline!F20</f>
        <v>Ophoogmateriaal (Grond)</v>
      </c>
      <c r="D438" s="77">
        <f>(IF(Baseline!C20="Nieuwe Situatie",(_xlfn.IFNA(VLOOKUP(Referentie_Fossiele_Energie_Totaal[[#This Row],[Product]]&amp;", "&amp;Referentie_Fossiele_Energie_Totaal[[#Headers],[A1]],Database_Productkaarten[#All],51,FALSE),0)*Baseline!I20),0))</f>
        <v>0</v>
      </c>
      <c r="E438" s="77">
        <f>(IF(Baseline!C20="Nieuwe Situatie",(_xlfn.IFNA(VLOOKUP(Referentie_Fossiele_Energie_Totaal[[#This Row],[Product]]&amp;", "&amp;Referentie_Fossiele_Energie_Totaal[[#Headers],[A2]],Database_Productkaarten[#All],51,FALSE),0)*Baseline!I20),0))</f>
        <v>0</v>
      </c>
      <c r="F438" s="77">
        <f>(IF(Baseline!C20="Nieuwe Situatie",(_xlfn.IFNA(VLOOKUP(Referentie_Fossiele_Energie_Totaal[[#This Row],[Product]]&amp;", "&amp;Referentie_Fossiele_Energie_Totaal[[#Headers],[A3]],Database_Productkaarten[#All],51,FALSE),0)*Baseline!I20),0))</f>
        <v>0</v>
      </c>
      <c r="G438" s="77">
        <f>(IF(Baseline!C20="Nieuwe Situatie",(_xlfn.IFNA(VLOOKUP(Referentie_Fossiele_Energie_Totaal[[#This Row],[Product]]&amp;", "&amp;Referentie_Fossiele_Energie_Totaal[[#Headers],[A1-A3]],Database_Productkaarten[#All],51,FALSE),0)*Baseline!I20),0))</f>
        <v>0</v>
      </c>
      <c r="H438" s="77">
        <f>IF(Baseline!T20=0,(IF(Baseline!C20="Nieuwe Situatie",(_xlfn.IFNA(VLOOKUP(Referentie_Fossiele_Energie_Totaal[[#This Row],[Product]]&amp;", "&amp;Referentie_CO2_Totaal[[#Headers],[A4]],Database_Productkaarten[#All],51,FALSE),0)*Baseline!I20),0)),IF(Baseline!C20="Nieuwe Situatie",_xlfn.IFNA(VLOOKUP(Baseline!T20,Database_Transport[#All],45,FALSE)*(Baseline!Q20*Baseline!S20),Baseline_Backlog!H123),0))</f>
        <v>0</v>
      </c>
      <c r="I438" s="77">
        <f>IF(Baseline!C20="Nieuwe situatie",IF(_xlfn.IFNA((VLOOKUP(Baseline!U20,Database_Asfalt_Aanlegset[#All],45,FALSE)*Baseline!I20),0)+_xlfn.IFNA(VLOOKUP(Baseline!V20,Database_Brandstoffen[#All],45,FALSE)*((Baseline!I20/Baseline!X20)*Baseline!W20),0)&gt;0,_xlfn.IFNA((VLOOKUP(Baseline!U20,Database_Asfalt_Aanlegset[#All],45,FALSE)*Baseline!I20),0)+_xlfn.IFNA(VLOOKUP(Baseline!V20,Database_Brandstoffen[#All],45,FALSE)*((Baseline!I20/Baseline!X20)*Baseline!W20),0),(_xlfn.IFNA(VLOOKUP(Referentie_Fossiele_Energie_Totaal[[#This Row],[Product]]&amp;", "&amp;Referentie_MKI_Totaal[[#Headers],[A5]],Database_Productkaarten[#All],51,FALSE),0)*Baseline!I20)),0)</f>
        <v>0</v>
      </c>
      <c r="J438" s="77">
        <f>(IF(Baseline!C20="Nieuwe Situatie",(_xlfn.IFNA(VLOOKUP(Referentie_Fossiele_Energie_Totaal[[#This Row],[Product]]&amp;", "&amp;Referentie_Fossiele_Energie_Totaal[[#Headers],[B1]],Database_Productkaarten[#All],51,FALSE),0)*Baseline!I20),0))</f>
        <v>0</v>
      </c>
      <c r="K438" s="77">
        <f>(IF(Baseline!C20="Nieuwe Situatie",(SUM(Referentie_Fossiele_Energie_Totaal[[#This Row],[A1]:[B1]],Referentie_Fossiele_Energie_Totaal[[#This Row],[C1]:[D2]])*Baseline!R20),0))</f>
        <v>0</v>
      </c>
      <c r="L438" s="77">
        <f>IF(Baseline!C20="Bestaande situatie",IF(_xlfn.IFNA((VLOOKUP(Baseline!Y20,Database_Asfalt_Verwijderset[#All],45,FALSE)*Baseline!I20),0)+_xlfn.IFNA(VLOOKUP(Baseline!Z20,Database_Brandstoffen[#All],45,FALSE)*((Baseline!I20/Baseline!AB20)*Baseline!AA20),0)&gt;0,_xlfn.IFNA((VLOOKUP(Baseline!Y20,Database_Asfalt_Verwijderset[#All],45,FALSE)*Baseline!I20),0)+_xlfn.IFNA(VLOOKUP(Baseline!Z20,Database_Brandstoffen[#All],45,FALSE)*((Baseline!I20/Baseline!AB20)*Baseline!AA20),0),(_xlfn.IFNA(VLOOKUP(Referentie_Fossiele_Energie_Totaal[[#This Row],[Product]]&amp;", "&amp;Referentie_MKI_Totaal[[#Headers],[C1]],Database_Productkaarten[#All],51,FALSE),0)*Baseline!I20)),0)</f>
        <v>56253.657586653324</v>
      </c>
      <c r="M438" s="77">
        <f>IF(Baseline!AD20=0,(IF(Baseline!C20="Bestaande Situatie",(_xlfn.IFNA(VLOOKUP(Referentie_Fossiele_Energie_Totaal[[#This Row],[Product]]&amp;", "&amp;Referentie_MKI_Totaal[[#Headers],[C2]],Database_Productkaarten[#All],51,FALSE),0)*Baseline!I20),0)),(IF(Baseline!C20="Bestaande Situatie",_xlfn.IFNA(VLOOKUP(Baseline!AD20,Database_Transport[#All],45,FALSE)*(Baseline!Q20*Baseline!AC20),0))))</f>
        <v>226615.08872599999</v>
      </c>
      <c r="N438" s="77">
        <f>(IF(Baseline!C20="Bestaande Situatie",(_xlfn.IFNA(VLOOKUP(Referentie_Fossiele_Energie_Totaal[[#This Row],[Product]]&amp;", "&amp;Referentie_Fossiele_Energie_Totaal[[#Headers],[C3]],Database_Productkaarten[#All],51,FALSE),0)*Baseline!I20),0))</f>
        <v>0</v>
      </c>
      <c r="O438" s="77">
        <f>(IF(Baseline!C20="Bestaande Situatie",(_xlfn.IFNA(VLOOKUP(Referentie_Fossiele_Energie_Totaal[[#This Row],[Product]]&amp;", "&amp;Referentie_Fossiele_Energie_Totaal[[#Headers],[C4]],Database_Productkaarten[#All],51,FALSE),0)*Baseline!I20),0))</f>
        <v>13115.199999999999</v>
      </c>
      <c r="P438" s="77">
        <f>(IF(Baseline!C20="Bestaande Situatie",(_xlfn.IFNA(VLOOKUP(Referentie_Fossiele_Energie_Totaal[[#This Row],[Product]]&amp;", "&amp;Referentie_Fossiele_Energie_Totaal[[#Headers],[D1]],Database_Productkaarten[#All],51,FALSE),0)*Baseline!I20),0))</f>
        <v>0</v>
      </c>
      <c r="Q438" s="78">
        <f>(IF(Baseline!C20="Bestaande Situatie",_xlfn.IFNA(VLOOKUP(Referentie_Fossiele_Energie_Totaal[[#This Row],[Product]]&amp;", "&amp;Referentie_Fossiele_Energie_Totaal[[#Headers],[D2]],Database_Productkaarten[#All],51,FALSE),0)*Baseline!I20,0))</f>
        <v>0</v>
      </c>
      <c r="R438" s="57">
        <f>(IF(Baseline!C20="Bestaande Situatie",_xlfn.IFNA(VLOOKUP(Referentie_Fossiele_Energie_Totaal[[#This Row],[Product]]&amp;", "&amp;Referentie_Fossiele_Energie_Totaal[[#Headers],[D]],Database_Productkaarten[#All],51,FALSE),0)*Baseline!I20,0))</f>
        <v>0</v>
      </c>
      <c r="S438" s="56">
        <f>SUM(Referentie_Fossiele_Energie_Totaal[[#This Row],[A1-A3]:[C4]])+Referentie_Fossiele_Energie_Totaal[[#This Row],[D]]</f>
        <v>295983.94631265331</v>
      </c>
    </row>
    <row r="439" spans="2:19">
      <c r="B439" s="209" t="str">
        <f>Baseline!B21</f>
        <v>220010 - Grond verwerken in sleuf riolering</v>
      </c>
      <c r="C439" s="76" t="str">
        <f>Baseline!F21</f>
        <v>Ophoogmateriaal (Grond)</v>
      </c>
      <c r="D439" s="77">
        <f>(IF(Baseline!C21="Nieuwe Situatie",(_xlfn.IFNA(VLOOKUP(Referentie_Fossiele_Energie_Totaal[[#This Row],[Product]]&amp;", "&amp;Referentie_Fossiele_Energie_Totaal[[#Headers],[A1]],Database_Productkaarten[#All],51,FALSE),0)*Baseline!I21),0))</f>
        <v>0</v>
      </c>
      <c r="E439" s="77">
        <f>(IF(Baseline!C21="Nieuwe Situatie",(_xlfn.IFNA(VLOOKUP(Referentie_Fossiele_Energie_Totaal[[#This Row],[Product]]&amp;", "&amp;Referentie_Fossiele_Energie_Totaal[[#Headers],[A2]],Database_Productkaarten[#All],51,FALSE),0)*Baseline!I21),0))</f>
        <v>0</v>
      </c>
      <c r="F439" s="77">
        <f>(IF(Baseline!C21="Nieuwe Situatie",(_xlfn.IFNA(VLOOKUP(Referentie_Fossiele_Energie_Totaal[[#This Row],[Product]]&amp;", "&amp;Referentie_Fossiele_Energie_Totaal[[#Headers],[A3]],Database_Productkaarten[#All],51,FALSE),0)*Baseline!I21),0))</f>
        <v>0</v>
      </c>
      <c r="G439" s="77">
        <f>(IF(Baseline!C21="Nieuwe Situatie",(_xlfn.IFNA(VLOOKUP(Referentie_Fossiele_Energie_Totaal[[#This Row],[Product]]&amp;", "&amp;Referentie_Fossiele_Energie_Totaal[[#Headers],[A1-A3]],Database_Productkaarten[#All],51,FALSE),0)*Baseline!I21),0))</f>
        <v>0</v>
      </c>
      <c r="H439" s="77">
        <f>IF(Baseline!T21=0,(IF(Baseline!C21="Nieuwe Situatie",(_xlfn.IFNA(VLOOKUP(Referentie_Fossiele_Energie_Totaal[[#This Row],[Product]]&amp;", "&amp;Referentie_CO2_Totaal[[#Headers],[A4]],Database_Productkaarten[#All],51,FALSE),0)*Baseline!I21),0)),IF(Baseline!C21="Nieuwe Situatie",_xlfn.IFNA(VLOOKUP(Baseline!T21,Database_Transport[#All],45,FALSE)*(Baseline!Q21*Baseline!S21),Baseline_Backlog!H124),0))</f>
        <v>228598.6964625</v>
      </c>
      <c r="I439" s="77">
        <f>IF(Baseline!C21="Nieuwe situatie",IF(_xlfn.IFNA((VLOOKUP(Baseline!U21,Database_Asfalt_Aanlegset[#All],45,FALSE)*Baseline!I21),0)+_xlfn.IFNA(VLOOKUP(Baseline!V21,Database_Brandstoffen[#All],45,FALSE)*((Baseline!I21/Baseline!X21)*Baseline!W21),0)&gt;0,_xlfn.IFNA((VLOOKUP(Baseline!U21,Database_Asfalt_Aanlegset[#All],45,FALSE)*Baseline!I21),0)+_xlfn.IFNA(VLOOKUP(Baseline!V21,Database_Brandstoffen[#All],45,FALSE)*((Baseline!I21/Baseline!X21)*Baseline!W21),0),(_xlfn.IFNA(VLOOKUP(Referentie_Fossiele_Energie_Totaal[[#This Row],[Product]]&amp;", "&amp;Referentie_MKI_Totaal[[#Headers],[A5]],Database_Productkaarten[#All],51,FALSE),0)*Baseline!I21)),0)</f>
        <v>490346.28483750002</v>
      </c>
      <c r="J439" s="77">
        <f>(IF(Baseline!C21="Nieuwe Situatie",(_xlfn.IFNA(VLOOKUP(Referentie_Fossiele_Energie_Totaal[[#This Row],[Product]]&amp;", "&amp;Referentie_Fossiele_Energie_Totaal[[#Headers],[B1]],Database_Productkaarten[#All],51,FALSE),0)*Baseline!I21),0))</f>
        <v>0</v>
      </c>
      <c r="K439" s="77">
        <f>(IF(Baseline!C21="Nieuwe Situatie",(SUM(Referentie_Fossiele_Energie_Totaal[[#This Row],[A1]:[B1]],Referentie_Fossiele_Energie_Totaal[[#This Row],[C1]:[D2]])*Baseline!R21),0))</f>
        <v>0</v>
      </c>
      <c r="L439" s="77">
        <f>IF(Baseline!C21="Bestaande situatie",IF(_xlfn.IFNA((VLOOKUP(Baseline!Y21,Database_Asfalt_Verwijderset[#All],45,FALSE)*Baseline!I21),0)+_xlfn.IFNA(VLOOKUP(Baseline!Z21,Database_Brandstoffen[#All],45,FALSE)*((Baseline!I21/Baseline!AB21)*Baseline!AA21),0)&gt;0,_xlfn.IFNA((VLOOKUP(Baseline!Y21,Database_Asfalt_Verwijderset[#All],45,FALSE)*Baseline!I21),0)+_xlfn.IFNA(VLOOKUP(Baseline!Z21,Database_Brandstoffen[#All],45,FALSE)*((Baseline!I21/Baseline!AB21)*Baseline!AA21),0),(_xlfn.IFNA(VLOOKUP(Referentie_Fossiele_Energie_Totaal[[#This Row],[Product]]&amp;", "&amp;Referentie_MKI_Totaal[[#Headers],[C1]],Database_Productkaarten[#All],51,FALSE),0)*Baseline!I21)),0)</f>
        <v>0</v>
      </c>
      <c r="M439" s="77">
        <f>IF(Baseline!AD21=0,(IF(Baseline!C21="Bestaande Situatie",(_xlfn.IFNA(VLOOKUP(Referentie_Fossiele_Energie_Totaal[[#This Row],[Product]]&amp;", "&amp;Referentie_MKI_Totaal[[#Headers],[C2]],Database_Productkaarten[#All],51,FALSE),0)*Baseline!I21),0)),(IF(Baseline!C21="Bestaande Situatie",_xlfn.IFNA(VLOOKUP(Baseline!AD21,Database_Transport[#All],45,FALSE)*(Baseline!Q21*Baseline!AC21),0))))</f>
        <v>0</v>
      </c>
      <c r="N439" s="77">
        <f>(IF(Baseline!C21="Bestaande Situatie",(_xlfn.IFNA(VLOOKUP(Referentie_Fossiele_Energie_Totaal[[#This Row],[Product]]&amp;", "&amp;Referentie_Fossiele_Energie_Totaal[[#Headers],[C3]],Database_Productkaarten[#All],51,FALSE),0)*Baseline!I21),0))</f>
        <v>0</v>
      </c>
      <c r="O439" s="77">
        <f>(IF(Baseline!C21="Bestaande Situatie",(_xlfn.IFNA(VLOOKUP(Referentie_Fossiele_Energie_Totaal[[#This Row],[Product]]&amp;", "&amp;Referentie_Fossiele_Energie_Totaal[[#Headers],[C4]],Database_Productkaarten[#All],51,FALSE),0)*Baseline!I21),0))</f>
        <v>0</v>
      </c>
      <c r="P439" s="77">
        <f>(IF(Baseline!C21="Bestaande Situatie",(_xlfn.IFNA(VLOOKUP(Referentie_Fossiele_Energie_Totaal[[#This Row],[Product]]&amp;", "&amp;Referentie_Fossiele_Energie_Totaal[[#Headers],[D1]],Database_Productkaarten[#All],51,FALSE),0)*Baseline!I21),0))</f>
        <v>0</v>
      </c>
      <c r="Q439" s="78">
        <f>(IF(Baseline!C21="Bestaande Situatie",_xlfn.IFNA(VLOOKUP(Referentie_Fossiele_Energie_Totaal[[#This Row],[Product]]&amp;", "&amp;Referentie_Fossiele_Energie_Totaal[[#Headers],[D2]],Database_Productkaarten[#All],51,FALSE),0)*Baseline!I21,0))</f>
        <v>0</v>
      </c>
      <c r="R439" s="57">
        <f>(IF(Baseline!C21="Bestaande Situatie",_xlfn.IFNA(VLOOKUP(Referentie_Fossiele_Energie_Totaal[[#This Row],[Product]]&amp;", "&amp;Referentie_Fossiele_Energie_Totaal[[#Headers],[D]],Database_Productkaarten[#All],51,FALSE),0)*Baseline!I21,0))</f>
        <v>0</v>
      </c>
      <c r="S439" s="56">
        <f>SUM(Referentie_Fossiele_Energie_Totaal[[#This Row],[A1-A3]:[C4]])+Referentie_Fossiele_Energie_Totaal[[#This Row],[D]]</f>
        <v>718944.98129999998</v>
      </c>
    </row>
    <row r="440" spans="2:19">
      <c r="B440" s="209" t="str">
        <f>Baseline!B22</f>
        <v>220020 - Leveren en aanbrengen zand voor zand (gemiddeld 100 mm)</v>
      </c>
      <c r="C440" s="76" t="str">
        <f>Baseline!F22</f>
        <v>Ophoogmateriaal (Zand)</v>
      </c>
      <c r="D440" s="77">
        <f>(IF(Baseline!C22="Nieuwe Situatie",(_xlfn.IFNA(VLOOKUP(Referentie_Fossiele_Energie_Totaal[[#This Row],[Product]]&amp;", "&amp;Referentie_Fossiele_Energie_Totaal[[#Headers],[A1]],Database_Productkaarten[#All],51,FALSE),0)*Baseline!I22),0))</f>
        <v>0</v>
      </c>
      <c r="E440" s="77">
        <f>(IF(Baseline!C22="Nieuwe Situatie",(_xlfn.IFNA(VLOOKUP(Referentie_Fossiele_Energie_Totaal[[#This Row],[Product]]&amp;", "&amp;Referentie_Fossiele_Energie_Totaal[[#Headers],[A2]],Database_Productkaarten[#All],51,FALSE),0)*Baseline!I22),0))</f>
        <v>0</v>
      </c>
      <c r="F440" s="77">
        <f>(IF(Baseline!C22="Nieuwe Situatie",(_xlfn.IFNA(VLOOKUP(Referentie_Fossiele_Energie_Totaal[[#This Row],[Product]]&amp;", "&amp;Referentie_Fossiele_Energie_Totaal[[#Headers],[A3]],Database_Productkaarten[#All],51,FALSE),0)*Baseline!I22),0))</f>
        <v>0</v>
      </c>
      <c r="G440" s="77">
        <f>(IF(Baseline!C22="Nieuwe Situatie",(_xlfn.IFNA(VLOOKUP(Referentie_Fossiele_Energie_Totaal[[#This Row],[Product]]&amp;", "&amp;Referentie_Fossiele_Energie_Totaal[[#Headers],[A1-A3]],Database_Productkaarten[#All],51,FALSE),0)*Baseline!I22),0))</f>
        <v>659050</v>
      </c>
      <c r="H440" s="77">
        <f>IF(Baseline!T22=0,(IF(Baseline!C22="Nieuwe Situatie",(_xlfn.IFNA(VLOOKUP(Referentie_Fossiele_Energie_Totaal[[#This Row],[Product]]&amp;", "&amp;Referentie_CO2_Totaal[[#Headers],[A4]],Database_Productkaarten[#All],51,FALSE),0)*Baseline!I22),0)),IF(Baseline!C22="Nieuwe Situatie",_xlfn.IFNA(VLOOKUP(Baseline!T22,Database_Transport[#All],45,FALSE)*(Baseline!Q22*Baseline!S22),Baseline_Backlog!H125),0))</f>
        <v>109414.7607</v>
      </c>
      <c r="I440" s="77">
        <f>IF(Baseline!C22="Nieuwe situatie",IF(_xlfn.IFNA((VLOOKUP(Baseline!U22,Database_Asfalt_Aanlegset[#All],45,FALSE)*Baseline!I22),0)+_xlfn.IFNA(VLOOKUP(Baseline!V22,Database_Brandstoffen[#All],45,FALSE)*((Baseline!I22/Baseline!X22)*Baseline!W22),0)&gt;0,_xlfn.IFNA((VLOOKUP(Baseline!U22,Database_Asfalt_Aanlegset[#All],45,FALSE)*Baseline!I22),0)+_xlfn.IFNA(VLOOKUP(Baseline!V22,Database_Brandstoffen[#All],45,FALSE)*((Baseline!I22/Baseline!X22)*Baseline!W22),0),(_xlfn.IFNA(VLOOKUP(Referentie_Fossiele_Energie_Totaal[[#This Row],[Product]]&amp;", "&amp;Referentie_MKI_Totaal[[#Headers],[A5]],Database_Productkaarten[#All],51,FALSE),0)*Baseline!I22)),0)</f>
        <v>75698.662928000005</v>
      </c>
      <c r="J440" s="77">
        <f>(IF(Baseline!C22="Nieuwe Situatie",(_xlfn.IFNA(VLOOKUP(Referentie_Fossiele_Energie_Totaal[[#This Row],[Product]]&amp;", "&amp;Referentie_Fossiele_Energie_Totaal[[#Headers],[B1]],Database_Productkaarten[#All],51,FALSE),0)*Baseline!I22),0))</f>
        <v>0</v>
      </c>
      <c r="K440" s="77">
        <f>(IF(Baseline!C22="Nieuwe Situatie",(SUM(Referentie_Fossiele_Energie_Totaal[[#This Row],[A1]:[B1]],Referentie_Fossiele_Energie_Totaal[[#This Row],[C1]:[D2]])*Baseline!R22),0))</f>
        <v>0</v>
      </c>
      <c r="L440" s="77">
        <f>IF(Baseline!C22="Bestaande situatie",IF(_xlfn.IFNA((VLOOKUP(Baseline!Y22,Database_Asfalt_Verwijderset[#All],45,FALSE)*Baseline!I22),0)+_xlfn.IFNA(VLOOKUP(Baseline!Z22,Database_Brandstoffen[#All],45,FALSE)*((Baseline!I22/Baseline!AB22)*Baseline!AA22),0)&gt;0,_xlfn.IFNA((VLOOKUP(Baseline!Y22,Database_Asfalt_Verwijderset[#All],45,FALSE)*Baseline!I22),0)+_xlfn.IFNA(VLOOKUP(Baseline!Z22,Database_Brandstoffen[#All],45,FALSE)*((Baseline!I22/Baseline!AB22)*Baseline!AA22),0),(_xlfn.IFNA(VLOOKUP(Referentie_Fossiele_Energie_Totaal[[#This Row],[Product]]&amp;", "&amp;Referentie_MKI_Totaal[[#Headers],[C1]],Database_Productkaarten[#All],51,FALSE),0)*Baseline!I22)),0)</f>
        <v>0</v>
      </c>
      <c r="M440" s="77">
        <f>IF(Baseline!AD22=0,(IF(Baseline!C22="Bestaande Situatie",(_xlfn.IFNA(VLOOKUP(Referentie_Fossiele_Energie_Totaal[[#This Row],[Product]]&amp;", "&amp;Referentie_MKI_Totaal[[#Headers],[C2]],Database_Productkaarten[#All],51,FALSE),0)*Baseline!I22),0)),(IF(Baseline!C22="Bestaande Situatie",_xlfn.IFNA(VLOOKUP(Baseline!AD22,Database_Transport[#All],45,FALSE)*(Baseline!Q22*Baseline!AC22),0))))</f>
        <v>0</v>
      </c>
      <c r="N440" s="77">
        <f>(IF(Baseline!C22="Bestaande Situatie",(_xlfn.IFNA(VLOOKUP(Referentie_Fossiele_Energie_Totaal[[#This Row],[Product]]&amp;", "&amp;Referentie_Fossiele_Energie_Totaal[[#Headers],[C3]],Database_Productkaarten[#All],51,FALSE),0)*Baseline!I22),0))</f>
        <v>0</v>
      </c>
      <c r="O440" s="77">
        <f>(IF(Baseline!C22="Bestaande Situatie",(_xlfn.IFNA(VLOOKUP(Referentie_Fossiele_Energie_Totaal[[#This Row],[Product]]&amp;", "&amp;Referentie_Fossiele_Energie_Totaal[[#Headers],[C4]],Database_Productkaarten[#All],51,FALSE),0)*Baseline!I22),0))</f>
        <v>0</v>
      </c>
      <c r="P440" s="77">
        <f>(IF(Baseline!C22="Bestaande Situatie",(_xlfn.IFNA(VLOOKUP(Referentie_Fossiele_Energie_Totaal[[#This Row],[Product]]&amp;", "&amp;Referentie_Fossiele_Energie_Totaal[[#Headers],[D1]],Database_Productkaarten[#All],51,FALSE),0)*Baseline!I22),0))</f>
        <v>0</v>
      </c>
      <c r="Q440" s="78">
        <f>(IF(Baseline!C22="Bestaande Situatie",_xlfn.IFNA(VLOOKUP(Referentie_Fossiele_Energie_Totaal[[#This Row],[Product]]&amp;", "&amp;Referentie_Fossiele_Energie_Totaal[[#Headers],[D2]],Database_Productkaarten[#All],51,FALSE),0)*Baseline!I22,0))</f>
        <v>0</v>
      </c>
      <c r="R440" s="57">
        <f>(IF(Baseline!C22="Bestaande Situatie",_xlfn.IFNA(VLOOKUP(Referentie_Fossiele_Energie_Totaal[[#This Row],[Product]]&amp;", "&amp;Referentie_Fossiele_Energie_Totaal[[#Headers],[D]],Database_Productkaarten[#All],51,FALSE),0)*Baseline!I22,0))</f>
        <v>0</v>
      </c>
      <c r="S440" s="56">
        <f>SUM(Referentie_Fossiele_Energie_Totaal[[#This Row],[A1-A3]:[C4]])+Referentie_Fossiele_Energie_Totaal[[#This Row],[D]]</f>
        <v>844163.42362799996</v>
      </c>
    </row>
    <row r="441" spans="2:19">
      <c r="B441" s="209" t="str">
        <f>Baseline!B23</f>
        <v>322020 - Leveren en aanbrengen rioolbuis van Beton Ø400mm</v>
      </c>
      <c r="C441" s="76" t="str">
        <f>Baseline!F23</f>
        <v>Betonbuis 500 mm</v>
      </c>
      <c r="D441" s="77">
        <f>(IF(Baseline!C23="Nieuwe Situatie",(_xlfn.IFNA(VLOOKUP(Referentie_Fossiele_Energie_Totaal[[#This Row],[Product]]&amp;", "&amp;Referentie_Fossiele_Energie_Totaal[[#Headers],[A1]],Database_Productkaarten[#All],51,FALSE),0)*Baseline!I23),0))</f>
        <v>50821.6368</v>
      </c>
      <c r="E441" s="77">
        <f>(IF(Baseline!C23="Nieuwe Situatie",(_xlfn.IFNA(VLOOKUP(Referentie_Fossiele_Energie_Totaal[[#This Row],[Product]]&amp;", "&amp;Referentie_Fossiele_Energie_Totaal[[#Headers],[A2]],Database_Productkaarten[#All],51,FALSE),0)*Baseline!I23),0))</f>
        <v>9035.6743200000001</v>
      </c>
      <c r="F441" s="77">
        <f>(IF(Baseline!C23="Nieuwe Situatie",(_xlfn.IFNA(VLOOKUP(Referentie_Fossiele_Energie_Totaal[[#This Row],[Product]]&amp;", "&amp;Referentie_Fossiele_Energie_Totaal[[#Headers],[A3]],Database_Productkaarten[#All],51,FALSE),0)*Baseline!I23),0))</f>
        <v>7986.3590400000003</v>
      </c>
      <c r="G441" s="77">
        <f>(IF(Baseline!C23="Nieuwe Situatie",(_xlfn.IFNA(VLOOKUP(Referentie_Fossiele_Energie_Totaal[[#This Row],[Product]]&amp;", "&amp;Referentie_Fossiele_Energie_Totaal[[#Headers],[A1-A3]],Database_Productkaarten[#All],51,FALSE),0)*Baseline!I23),0))</f>
        <v>67843.670160000009</v>
      </c>
      <c r="H441" s="77">
        <f>IF(Baseline!T23=0,(IF(Baseline!C23="Nieuwe Situatie",(_xlfn.IFNA(VLOOKUP(Referentie_Fossiele_Energie_Totaal[[#This Row],[Product]]&amp;", "&amp;Referentie_CO2_Totaal[[#Headers],[A4]],Database_Productkaarten[#All],51,FALSE),0)*Baseline!I23),0)),IF(Baseline!C23="Nieuwe Situatie",_xlfn.IFNA(VLOOKUP(Baseline!T23,Database_Transport[#All],45,FALSE)*(Baseline!Q23*Baseline!S23),Baseline_Backlog!H126),0))</f>
        <v>5859.2720831999986</v>
      </c>
      <c r="I441" s="77">
        <f>IF(Baseline!C23="Nieuwe situatie",IF(_xlfn.IFNA((VLOOKUP(Baseline!U23,Database_Asfalt_Aanlegset[#All],45,FALSE)*Baseline!I23),0)+_xlfn.IFNA(VLOOKUP(Baseline!V23,Database_Brandstoffen[#All],45,FALSE)*((Baseline!I23/Baseline!X23)*Baseline!W23),0)&gt;0,_xlfn.IFNA((VLOOKUP(Baseline!U23,Database_Asfalt_Aanlegset[#All],45,FALSE)*Baseline!I23),0)+_xlfn.IFNA(VLOOKUP(Baseline!V23,Database_Brandstoffen[#All],45,FALSE)*((Baseline!I23/Baseline!X23)*Baseline!W23),0),(_xlfn.IFNA(VLOOKUP(Referentie_Fossiele_Energie_Totaal[[#This Row],[Product]]&amp;", "&amp;Referentie_MKI_Totaal[[#Headers],[A5]],Database_Productkaarten[#All],51,FALSE),0)*Baseline!I23)),0)</f>
        <v>26025.41051030641</v>
      </c>
      <c r="J441" s="77">
        <f>(IF(Baseline!C23="Nieuwe Situatie",(_xlfn.IFNA(VLOOKUP(Referentie_Fossiele_Energie_Totaal[[#This Row],[Product]]&amp;", "&amp;Referentie_Fossiele_Energie_Totaal[[#Headers],[B1]],Database_Productkaarten[#All],51,FALSE),0)*Baseline!I23),0))</f>
        <v>0</v>
      </c>
      <c r="K441" s="77">
        <f>(IF(Baseline!C23="Nieuwe Situatie",(SUM(Referentie_Fossiele_Energie_Totaal[[#This Row],[A1]:[B1]],Referentie_Fossiele_Energie_Totaal[[#This Row],[C1]:[D2]])*Baseline!R23),0))</f>
        <v>0</v>
      </c>
      <c r="L441" s="77">
        <f>IF(Baseline!C23="Bestaande situatie",IF(_xlfn.IFNA((VLOOKUP(Baseline!Y23,Database_Asfalt_Verwijderset[#All],45,FALSE)*Baseline!I23),0)+_xlfn.IFNA(VLOOKUP(Baseline!Z23,Database_Brandstoffen[#All],45,FALSE)*((Baseline!I23/Baseline!AB23)*Baseline!AA23),0)&gt;0,_xlfn.IFNA((VLOOKUP(Baseline!Y23,Database_Asfalt_Verwijderset[#All],45,FALSE)*Baseline!I23),0)+_xlfn.IFNA(VLOOKUP(Baseline!Z23,Database_Brandstoffen[#All],45,FALSE)*((Baseline!I23/Baseline!AB23)*Baseline!AA23),0),(_xlfn.IFNA(VLOOKUP(Referentie_Fossiele_Energie_Totaal[[#This Row],[Product]]&amp;", "&amp;Referentie_MKI_Totaal[[#Headers],[C1]],Database_Productkaarten[#All],51,FALSE),0)*Baseline!I23)),0)</f>
        <v>0</v>
      </c>
      <c r="M441" s="77">
        <f>IF(Baseline!AD23=0,(IF(Baseline!C23="Bestaande Situatie",(_xlfn.IFNA(VLOOKUP(Referentie_Fossiele_Energie_Totaal[[#This Row],[Product]]&amp;", "&amp;Referentie_MKI_Totaal[[#Headers],[C2]],Database_Productkaarten[#All],51,FALSE),0)*Baseline!I23),0)),(IF(Baseline!C23="Bestaande Situatie",_xlfn.IFNA(VLOOKUP(Baseline!AD23,Database_Transport[#All],45,FALSE)*(Baseline!Q23*Baseline!AC23),0))))</f>
        <v>0</v>
      </c>
      <c r="N441" s="77">
        <f>(IF(Baseline!C23="Bestaande Situatie",(_xlfn.IFNA(VLOOKUP(Referentie_Fossiele_Energie_Totaal[[#This Row],[Product]]&amp;", "&amp;Referentie_Fossiele_Energie_Totaal[[#Headers],[C3]],Database_Productkaarten[#All],51,FALSE),0)*Baseline!I23),0))</f>
        <v>0</v>
      </c>
      <c r="O441" s="77">
        <f>(IF(Baseline!C23="Bestaande Situatie",(_xlfn.IFNA(VLOOKUP(Referentie_Fossiele_Energie_Totaal[[#This Row],[Product]]&amp;", "&amp;Referentie_Fossiele_Energie_Totaal[[#Headers],[C4]],Database_Productkaarten[#All],51,FALSE),0)*Baseline!I23),0))</f>
        <v>0</v>
      </c>
      <c r="P441" s="77">
        <f>(IF(Baseline!C23="Bestaande Situatie",(_xlfn.IFNA(VLOOKUP(Referentie_Fossiele_Energie_Totaal[[#This Row],[Product]]&amp;", "&amp;Referentie_Fossiele_Energie_Totaal[[#Headers],[D1]],Database_Productkaarten[#All],51,FALSE),0)*Baseline!I23),0))</f>
        <v>0</v>
      </c>
      <c r="Q441" s="78">
        <f>(IF(Baseline!C23="Bestaande Situatie",_xlfn.IFNA(VLOOKUP(Referentie_Fossiele_Energie_Totaal[[#This Row],[Product]]&amp;", "&amp;Referentie_Fossiele_Energie_Totaal[[#Headers],[D2]],Database_Productkaarten[#All],51,FALSE),0)*Baseline!I23,0))</f>
        <v>0</v>
      </c>
      <c r="R441" s="57">
        <f>(IF(Baseline!C23="Bestaande Situatie",_xlfn.IFNA(VLOOKUP(Referentie_Fossiele_Energie_Totaal[[#This Row],[Product]]&amp;", "&amp;Referentie_Fossiele_Energie_Totaal[[#Headers],[D]],Database_Productkaarten[#All],51,FALSE),0)*Baseline!I23,0))</f>
        <v>0</v>
      </c>
      <c r="S441" s="56">
        <f>SUM(Referentie_Fossiele_Energie_Totaal[[#This Row],[A1-A3]:[C4]])+Referentie_Fossiele_Energie_Totaal[[#This Row],[D]]</f>
        <v>99728.35275350642</v>
      </c>
    </row>
    <row r="442" spans="2:19">
      <c r="B442" s="209" t="str">
        <f>Baseline!B24</f>
        <v>322070 - Leveren en aanbrengen rioolbuis van Beton IT Ø400mm</v>
      </c>
      <c r="C442" s="76" t="str">
        <f>Baseline!F24</f>
        <v>Betonbuis 500 mm</v>
      </c>
      <c r="D442" s="77">
        <f>(IF(Baseline!C24="Nieuwe Situatie",(_xlfn.IFNA(VLOOKUP(Referentie_Fossiele_Energie_Totaal[[#This Row],[Product]]&amp;", "&amp;Referentie_Fossiele_Energie_Totaal[[#Headers],[A1]],Database_Productkaarten[#All],51,FALSE),0)*Baseline!I24),0))</f>
        <v>40233.7958</v>
      </c>
      <c r="E442" s="77">
        <f>(IF(Baseline!C24="Nieuwe Situatie",(_xlfn.IFNA(VLOOKUP(Referentie_Fossiele_Energie_Totaal[[#This Row],[Product]]&amp;", "&amp;Referentie_Fossiele_Energie_Totaal[[#Headers],[A2]],Database_Productkaarten[#All],51,FALSE),0)*Baseline!I24),0))</f>
        <v>7153.2421699999995</v>
      </c>
      <c r="F442" s="77">
        <f>(IF(Baseline!C24="Nieuwe Situatie",(_xlfn.IFNA(VLOOKUP(Referentie_Fossiele_Energie_Totaal[[#This Row],[Product]]&amp;", "&amp;Referentie_Fossiele_Energie_Totaal[[#Headers],[A3]],Database_Productkaarten[#All],51,FALSE),0)*Baseline!I24),0))</f>
        <v>6322.53424</v>
      </c>
      <c r="G442" s="77">
        <f>(IF(Baseline!C24="Nieuwe Situatie",(_xlfn.IFNA(VLOOKUP(Referentie_Fossiele_Energie_Totaal[[#This Row],[Product]]&amp;", "&amp;Referentie_Fossiele_Energie_Totaal[[#Headers],[A1-A3]],Database_Productkaarten[#All],51,FALSE),0)*Baseline!I24),0))</f>
        <v>53709.572209999998</v>
      </c>
      <c r="H442" s="77">
        <f>IF(Baseline!T24=0,(IF(Baseline!C24="Nieuwe Situatie",(_xlfn.IFNA(VLOOKUP(Referentie_Fossiele_Energie_Totaal[[#This Row],[Product]]&amp;", "&amp;Referentie_CO2_Totaal[[#Headers],[A4]],Database_Productkaarten[#All],51,FALSE),0)*Baseline!I24),0)),IF(Baseline!C24="Nieuwe Situatie",_xlfn.IFNA(VLOOKUP(Baseline!T24,Database_Transport[#All],45,FALSE)*(Baseline!Q24*Baseline!S24),Baseline_Backlog!H127),0))</f>
        <v>4638.5903991999994</v>
      </c>
      <c r="I442" s="77">
        <f>IF(Baseline!C24="Nieuwe situatie",IF(_xlfn.IFNA((VLOOKUP(Baseline!U24,Database_Asfalt_Aanlegset[#All],45,FALSE)*Baseline!I24),0)+_xlfn.IFNA(VLOOKUP(Baseline!V24,Database_Brandstoffen[#All],45,FALSE)*((Baseline!I24/Baseline!X24)*Baseline!W24),0)&gt;0,_xlfn.IFNA((VLOOKUP(Baseline!U24,Database_Asfalt_Aanlegset[#All],45,FALSE)*Baseline!I24),0)+_xlfn.IFNA(VLOOKUP(Baseline!V24,Database_Brandstoffen[#All],45,FALSE)*((Baseline!I24/Baseline!X24)*Baseline!W24),0),(_xlfn.IFNA(VLOOKUP(Referentie_Fossiele_Energie_Totaal[[#This Row],[Product]]&amp;", "&amp;Referentie_MKI_Totaal[[#Headers],[A5]],Database_Productkaarten[#All],51,FALSE),0)*Baseline!I24)),0)</f>
        <v>20603.449987325908</v>
      </c>
      <c r="J442" s="77">
        <f>(IF(Baseline!C24="Nieuwe Situatie",(_xlfn.IFNA(VLOOKUP(Referentie_Fossiele_Energie_Totaal[[#This Row],[Product]]&amp;", "&amp;Referentie_Fossiele_Energie_Totaal[[#Headers],[B1]],Database_Productkaarten[#All],51,FALSE),0)*Baseline!I24),0))</f>
        <v>0</v>
      </c>
      <c r="K442" s="77">
        <f>(IF(Baseline!C24="Nieuwe Situatie",(SUM(Referentie_Fossiele_Energie_Totaal[[#This Row],[A1]:[B1]],Referentie_Fossiele_Energie_Totaal[[#This Row],[C1]:[D2]])*Baseline!R24),0))</f>
        <v>0</v>
      </c>
      <c r="L442" s="77">
        <f>IF(Baseline!C24="Bestaande situatie",IF(_xlfn.IFNA((VLOOKUP(Baseline!Y24,Database_Asfalt_Verwijderset[#All],45,FALSE)*Baseline!I24),0)+_xlfn.IFNA(VLOOKUP(Baseline!Z24,Database_Brandstoffen[#All],45,FALSE)*((Baseline!I24/Baseline!AB24)*Baseline!AA24),0)&gt;0,_xlfn.IFNA((VLOOKUP(Baseline!Y24,Database_Asfalt_Verwijderset[#All],45,FALSE)*Baseline!I24),0)+_xlfn.IFNA(VLOOKUP(Baseline!Z24,Database_Brandstoffen[#All],45,FALSE)*((Baseline!I24/Baseline!AB24)*Baseline!AA24),0),(_xlfn.IFNA(VLOOKUP(Referentie_Fossiele_Energie_Totaal[[#This Row],[Product]]&amp;", "&amp;Referentie_MKI_Totaal[[#Headers],[C1]],Database_Productkaarten[#All],51,FALSE),0)*Baseline!I24)),0)</f>
        <v>0</v>
      </c>
      <c r="M442" s="77">
        <f>IF(Baseline!AD24=0,(IF(Baseline!C24="Bestaande Situatie",(_xlfn.IFNA(VLOOKUP(Referentie_Fossiele_Energie_Totaal[[#This Row],[Product]]&amp;", "&amp;Referentie_MKI_Totaal[[#Headers],[C2]],Database_Productkaarten[#All],51,FALSE),0)*Baseline!I24),0)),(IF(Baseline!C24="Bestaande Situatie",_xlfn.IFNA(VLOOKUP(Baseline!AD24,Database_Transport[#All],45,FALSE)*(Baseline!Q24*Baseline!AC24),0))))</f>
        <v>0</v>
      </c>
      <c r="N442" s="77">
        <f>(IF(Baseline!C24="Bestaande Situatie",(_xlfn.IFNA(VLOOKUP(Referentie_Fossiele_Energie_Totaal[[#This Row],[Product]]&amp;", "&amp;Referentie_Fossiele_Energie_Totaal[[#Headers],[C3]],Database_Productkaarten[#All],51,FALSE),0)*Baseline!I24),0))</f>
        <v>0</v>
      </c>
      <c r="O442" s="77">
        <f>(IF(Baseline!C24="Bestaande Situatie",(_xlfn.IFNA(VLOOKUP(Referentie_Fossiele_Energie_Totaal[[#This Row],[Product]]&amp;", "&amp;Referentie_Fossiele_Energie_Totaal[[#Headers],[C4]],Database_Productkaarten[#All],51,FALSE),0)*Baseline!I24),0))</f>
        <v>0</v>
      </c>
      <c r="P442" s="77">
        <f>(IF(Baseline!C24="Bestaande Situatie",(_xlfn.IFNA(VLOOKUP(Referentie_Fossiele_Energie_Totaal[[#This Row],[Product]]&amp;", "&amp;Referentie_Fossiele_Energie_Totaal[[#Headers],[D1]],Database_Productkaarten[#All],51,FALSE),0)*Baseline!I24),0))</f>
        <v>0</v>
      </c>
      <c r="Q442" s="78">
        <f>(IF(Baseline!C24="Bestaande Situatie",_xlfn.IFNA(VLOOKUP(Referentie_Fossiele_Energie_Totaal[[#This Row],[Product]]&amp;", "&amp;Referentie_Fossiele_Energie_Totaal[[#Headers],[D2]],Database_Productkaarten[#All],51,FALSE),0)*Baseline!I24,0))</f>
        <v>0</v>
      </c>
      <c r="R442" s="57">
        <f>(IF(Baseline!C24="Bestaande Situatie",_xlfn.IFNA(VLOOKUP(Referentie_Fossiele_Energie_Totaal[[#This Row],[Product]]&amp;", "&amp;Referentie_Fossiele_Energie_Totaal[[#Headers],[D]],Database_Productkaarten[#All],51,FALSE),0)*Baseline!I24,0))</f>
        <v>0</v>
      </c>
      <c r="S442" s="56">
        <f>SUM(Referentie_Fossiele_Energie_Totaal[[#This Row],[A1-A3]:[C4]])+Referentie_Fossiele_Energie_Totaal[[#This Row],[D]]</f>
        <v>78951.612596525913</v>
      </c>
    </row>
    <row r="443" spans="2:19">
      <c r="B443" s="209" t="str">
        <f>Baseline!B25</f>
        <v>322100 - Leveren en aanbrengen rioolbuis van Beton IT Ø800mm</v>
      </c>
      <c r="C443" s="76" t="str">
        <f>Baseline!F25</f>
        <v>Betonbuis 800 mm</v>
      </c>
      <c r="D443" s="77">
        <f>(IF(Baseline!C25="Nieuwe Situatie",(_xlfn.IFNA(VLOOKUP(Referentie_Fossiele_Energie_Totaal[[#This Row],[Product]]&amp;", "&amp;Referentie_Fossiele_Energie_Totaal[[#Headers],[A1]],Database_Productkaarten[#All],51,FALSE),0)*Baseline!I25),0))</f>
        <v>465751.37199999997</v>
      </c>
      <c r="E443" s="77">
        <f>(IF(Baseline!C25="Nieuwe Situatie",(_xlfn.IFNA(VLOOKUP(Referentie_Fossiele_Energie_Totaal[[#This Row],[Product]]&amp;", "&amp;Referentie_Fossiele_Energie_Totaal[[#Headers],[A2]],Database_Productkaarten[#All],51,FALSE),0)*Baseline!I25),0))</f>
        <v>82129.164489999996</v>
      </c>
      <c r="F443" s="77">
        <f>(IF(Baseline!C25="Nieuwe Situatie",(_xlfn.IFNA(VLOOKUP(Referentie_Fossiele_Energie_Totaal[[#This Row],[Product]]&amp;", "&amp;Referentie_Fossiele_Energie_Totaal[[#Headers],[A3]],Database_Productkaarten[#All],51,FALSE),0)*Baseline!I25),0))</f>
        <v>72579.867845000001</v>
      </c>
      <c r="G443" s="77">
        <f>(IF(Baseline!C25="Nieuwe Situatie",(_xlfn.IFNA(VLOOKUP(Referentie_Fossiele_Energie_Totaal[[#This Row],[Product]]&amp;", "&amp;Referentie_Fossiele_Energie_Totaal[[#Headers],[A1-A3]],Database_Productkaarten[#All],51,FALSE),0)*Baseline!I25),0))</f>
        <v>620460.40433499997</v>
      </c>
      <c r="H443" s="77">
        <f>IF(Baseline!T25=0,(IF(Baseline!C25="Nieuwe Situatie",(_xlfn.IFNA(VLOOKUP(Referentie_Fossiele_Energie_Totaal[[#This Row],[Product]]&amp;", "&amp;Referentie_CO2_Totaal[[#Headers],[A4]],Database_Productkaarten[#All],51,FALSE),0)*Baseline!I25),0)),IF(Baseline!C25="Nieuwe Situatie",_xlfn.IFNA(VLOOKUP(Baseline!T25,Database_Transport[#All],45,FALSE)*(Baseline!Q25*Baseline!S25),Baseline_Backlog!H128),0))</f>
        <v>44727.563265199991</v>
      </c>
      <c r="I443" s="77">
        <f>IF(Baseline!C25="Nieuwe situatie",IF(_xlfn.IFNA((VLOOKUP(Baseline!U25,Database_Asfalt_Aanlegset[#All],45,FALSE)*Baseline!I25),0)+_xlfn.IFNA(VLOOKUP(Baseline!V25,Database_Brandstoffen[#All],45,FALSE)*((Baseline!I25/Baseline!X25)*Baseline!W25),0)&gt;0,_xlfn.IFNA((VLOOKUP(Baseline!U25,Database_Asfalt_Aanlegset[#All],45,FALSE)*Baseline!I25),0)+_xlfn.IFNA(VLOOKUP(Baseline!V25,Database_Brandstoffen[#All],45,FALSE)*((Baseline!I25/Baseline!X25)*Baseline!W25),0),(_xlfn.IFNA(VLOOKUP(Referentie_Fossiele_Energie_Totaal[[#This Row],[Product]]&amp;", "&amp;Referentie_MKI_Totaal[[#Headers],[A5]],Database_Productkaarten[#All],51,FALSE),0)*Baseline!I25)),0)</f>
        <v>154216.04858934542</v>
      </c>
      <c r="J443" s="77">
        <f>(IF(Baseline!C25="Nieuwe Situatie",(_xlfn.IFNA(VLOOKUP(Referentie_Fossiele_Energie_Totaal[[#This Row],[Product]]&amp;", "&amp;Referentie_Fossiele_Energie_Totaal[[#Headers],[B1]],Database_Productkaarten[#All],51,FALSE),0)*Baseline!I25),0))</f>
        <v>0</v>
      </c>
      <c r="K443" s="77">
        <f>(IF(Baseline!C25="Nieuwe Situatie",(SUM(Referentie_Fossiele_Energie_Totaal[[#This Row],[A1]:[B1]],Referentie_Fossiele_Energie_Totaal[[#This Row],[C1]:[D2]])*Baseline!R25),0))</f>
        <v>0</v>
      </c>
      <c r="L443" s="77">
        <f>IF(Baseline!C25="Bestaande situatie",IF(_xlfn.IFNA((VLOOKUP(Baseline!Y25,Database_Asfalt_Verwijderset[#All],45,FALSE)*Baseline!I25),0)+_xlfn.IFNA(VLOOKUP(Baseline!Z25,Database_Brandstoffen[#All],45,FALSE)*((Baseline!I25/Baseline!AB25)*Baseline!AA25),0)&gt;0,_xlfn.IFNA((VLOOKUP(Baseline!Y25,Database_Asfalt_Verwijderset[#All],45,FALSE)*Baseline!I25),0)+_xlfn.IFNA(VLOOKUP(Baseline!Z25,Database_Brandstoffen[#All],45,FALSE)*((Baseline!I25/Baseline!AB25)*Baseline!AA25),0),(_xlfn.IFNA(VLOOKUP(Referentie_Fossiele_Energie_Totaal[[#This Row],[Product]]&amp;", "&amp;Referentie_MKI_Totaal[[#Headers],[C1]],Database_Productkaarten[#All],51,FALSE),0)*Baseline!I25)),0)</f>
        <v>0</v>
      </c>
      <c r="M443" s="77">
        <f>IF(Baseline!AD25=0,(IF(Baseline!C25="Bestaande Situatie",(_xlfn.IFNA(VLOOKUP(Referentie_Fossiele_Energie_Totaal[[#This Row],[Product]]&amp;", "&amp;Referentie_MKI_Totaal[[#Headers],[C2]],Database_Productkaarten[#All],51,FALSE),0)*Baseline!I25),0)),(IF(Baseline!C25="Bestaande Situatie",_xlfn.IFNA(VLOOKUP(Baseline!AD25,Database_Transport[#All],45,FALSE)*(Baseline!Q25*Baseline!AC25),0))))</f>
        <v>0</v>
      </c>
      <c r="N443" s="77">
        <f>(IF(Baseline!C25="Bestaande Situatie",(_xlfn.IFNA(VLOOKUP(Referentie_Fossiele_Energie_Totaal[[#This Row],[Product]]&amp;", "&amp;Referentie_Fossiele_Energie_Totaal[[#Headers],[C3]],Database_Productkaarten[#All],51,FALSE),0)*Baseline!I25),0))</f>
        <v>0</v>
      </c>
      <c r="O443" s="77">
        <f>(IF(Baseline!C25="Bestaande Situatie",(_xlfn.IFNA(VLOOKUP(Referentie_Fossiele_Energie_Totaal[[#This Row],[Product]]&amp;", "&amp;Referentie_Fossiele_Energie_Totaal[[#Headers],[C4]],Database_Productkaarten[#All],51,FALSE),0)*Baseline!I25),0))</f>
        <v>0</v>
      </c>
      <c r="P443" s="77">
        <f>(IF(Baseline!C25="Bestaande Situatie",(_xlfn.IFNA(VLOOKUP(Referentie_Fossiele_Energie_Totaal[[#This Row],[Product]]&amp;", "&amp;Referentie_Fossiele_Energie_Totaal[[#Headers],[D1]],Database_Productkaarten[#All],51,FALSE),0)*Baseline!I25),0))</f>
        <v>0</v>
      </c>
      <c r="Q443" s="78">
        <f>(IF(Baseline!C25="Bestaande Situatie",_xlfn.IFNA(VLOOKUP(Referentie_Fossiele_Energie_Totaal[[#This Row],[Product]]&amp;", "&amp;Referentie_Fossiele_Energie_Totaal[[#Headers],[D2]],Database_Productkaarten[#All],51,FALSE),0)*Baseline!I25,0))</f>
        <v>0</v>
      </c>
      <c r="R443" s="57">
        <f>(IF(Baseline!C25="Bestaande Situatie",_xlfn.IFNA(VLOOKUP(Referentie_Fossiele_Energie_Totaal[[#This Row],[Product]]&amp;", "&amp;Referentie_Fossiele_Energie_Totaal[[#Headers],[D]],Database_Productkaarten[#All],51,FALSE),0)*Baseline!I25,0))</f>
        <v>0</v>
      </c>
      <c r="S443" s="56">
        <f>SUM(Referentie_Fossiele_Energie_Totaal[[#This Row],[A1-A3]:[C4]])+Referentie_Fossiele_Energie_Totaal[[#This Row],[D]]</f>
        <v>819404.01618954539</v>
      </c>
    </row>
    <row r="444" spans="2:19">
      <c r="B444" s="209" t="str">
        <f>Baseline!B26</f>
        <v>330010 - Leveren en aanbrengen kolken</v>
      </c>
      <c r="C444" s="76" t="str">
        <f>Baseline!F26</f>
        <v>Kolk, Staal &amp; Beton</v>
      </c>
      <c r="D444" s="77">
        <f>(IF(Baseline!C26="Nieuwe Situatie",(_xlfn.IFNA(VLOOKUP(Referentie_Fossiele_Energie_Totaal[[#This Row],[Product]]&amp;", "&amp;Referentie_Fossiele_Energie_Totaal[[#Headers],[A1]],Database_Productkaarten[#All],51,FALSE),0)*Baseline!I26),0))</f>
        <v>141161.56122</v>
      </c>
      <c r="E444" s="77">
        <f>(IF(Baseline!C26="Nieuwe Situatie",(_xlfn.IFNA(VLOOKUP(Referentie_Fossiele_Energie_Totaal[[#This Row],[Product]]&amp;", "&amp;Referentie_Fossiele_Energie_Totaal[[#Headers],[A2]],Database_Productkaarten[#All],51,FALSE),0)*Baseline!I26),0))</f>
        <v>5812.7429099999999</v>
      </c>
      <c r="F444" s="77">
        <f>(IF(Baseline!C26="Nieuwe Situatie",(_xlfn.IFNA(VLOOKUP(Referentie_Fossiele_Energie_Totaal[[#This Row],[Product]]&amp;", "&amp;Referentie_Fossiele_Energie_Totaal[[#Headers],[A3]],Database_Productkaarten[#All],51,FALSE),0)*Baseline!I26),0))</f>
        <v>3673.0655859999997</v>
      </c>
      <c r="G444" s="77">
        <f>(IF(Baseline!C26="Nieuwe Situatie",(_xlfn.IFNA(VLOOKUP(Referentie_Fossiele_Energie_Totaal[[#This Row],[Product]]&amp;", "&amp;Referentie_Fossiele_Energie_Totaal[[#Headers],[A1-A3]],Database_Productkaarten[#All],51,FALSE),0)*Baseline!I26),0))</f>
        <v>150647.36971599999</v>
      </c>
      <c r="H444" s="77">
        <f>IF(Baseline!T26=0,(IF(Baseline!C26="Nieuwe Situatie",(_xlfn.IFNA(VLOOKUP(Referentie_Fossiele_Energie_Totaal[[#This Row],[Product]]&amp;", "&amp;Referentie_CO2_Totaal[[#Headers],[A4]],Database_Productkaarten[#All],51,FALSE),0)*Baseline!I26),0)),IF(Baseline!C26="Nieuwe Situatie",_xlfn.IFNA(VLOOKUP(Baseline!T26,Database_Transport[#All],45,FALSE)*(Baseline!Q26*Baseline!S26),Baseline_Backlog!H129),0))</f>
        <v>3049.7451647608004</v>
      </c>
      <c r="I444" s="77">
        <f>IF(Baseline!C26="Nieuwe situatie",IF(_xlfn.IFNA((VLOOKUP(Baseline!U26,Database_Asfalt_Aanlegset[#All],45,FALSE)*Baseline!I26),0)+_xlfn.IFNA(VLOOKUP(Baseline!V26,Database_Brandstoffen[#All],45,FALSE)*((Baseline!I26/Baseline!X26)*Baseline!W26),0)&gt;0,_xlfn.IFNA((VLOOKUP(Baseline!U26,Database_Asfalt_Aanlegset[#All],45,FALSE)*Baseline!I26),0)+_xlfn.IFNA(VLOOKUP(Baseline!V26,Database_Brandstoffen[#All],45,FALSE)*((Baseline!I26/Baseline!X26)*Baseline!W26),0),(_xlfn.IFNA(VLOOKUP(Referentie_Fossiele_Energie_Totaal[[#This Row],[Product]]&amp;", "&amp;Referentie_MKI_Totaal[[#Headers],[A5]],Database_Productkaarten[#All],51,FALSE),0)*Baseline!I26)),0)</f>
        <v>85642.516290807805</v>
      </c>
      <c r="J444" s="77">
        <f>(IF(Baseline!C26="Nieuwe Situatie",(_xlfn.IFNA(VLOOKUP(Referentie_Fossiele_Energie_Totaal[[#This Row],[Product]]&amp;", "&amp;Referentie_Fossiele_Energie_Totaal[[#Headers],[B1]],Database_Productkaarten[#All],51,FALSE),0)*Baseline!I26),0))</f>
        <v>0</v>
      </c>
      <c r="K444" s="77">
        <f>(IF(Baseline!C26="Nieuwe Situatie",(SUM(Referentie_Fossiele_Energie_Totaal[[#This Row],[A1]:[B1]],Referentie_Fossiele_Energie_Totaal[[#This Row],[C1]:[D2]])*Baseline!R26),0))</f>
        <v>0</v>
      </c>
      <c r="L444" s="77">
        <f>IF(Baseline!C26="Bestaande situatie",IF(_xlfn.IFNA((VLOOKUP(Baseline!Y26,Database_Asfalt_Verwijderset[#All],45,FALSE)*Baseline!I26),0)+_xlfn.IFNA(VLOOKUP(Baseline!Z26,Database_Brandstoffen[#All],45,FALSE)*((Baseline!I26/Baseline!AB26)*Baseline!AA26),0)&gt;0,_xlfn.IFNA((VLOOKUP(Baseline!Y26,Database_Asfalt_Verwijderset[#All],45,FALSE)*Baseline!I26),0)+_xlfn.IFNA(VLOOKUP(Baseline!Z26,Database_Brandstoffen[#All],45,FALSE)*((Baseline!I26/Baseline!AB26)*Baseline!AA26),0),(_xlfn.IFNA(VLOOKUP(Referentie_Fossiele_Energie_Totaal[[#This Row],[Product]]&amp;", "&amp;Referentie_MKI_Totaal[[#Headers],[C1]],Database_Productkaarten[#All],51,FALSE),0)*Baseline!I26)),0)</f>
        <v>0</v>
      </c>
      <c r="M444" s="77">
        <f>IF(Baseline!AD26=0,(IF(Baseline!C26="Bestaande Situatie",(_xlfn.IFNA(VLOOKUP(Referentie_Fossiele_Energie_Totaal[[#This Row],[Product]]&amp;", "&amp;Referentie_MKI_Totaal[[#Headers],[C2]],Database_Productkaarten[#All],51,FALSE),0)*Baseline!I26),0)),(IF(Baseline!C26="Bestaande Situatie",_xlfn.IFNA(VLOOKUP(Baseline!AD26,Database_Transport[#All],45,FALSE)*(Baseline!Q26*Baseline!AC26),0))))</f>
        <v>0</v>
      </c>
      <c r="N444" s="77">
        <f>(IF(Baseline!C26="Bestaande Situatie",(_xlfn.IFNA(VLOOKUP(Referentie_Fossiele_Energie_Totaal[[#This Row],[Product]]&amp;", "&amp;Referentie_Fossiele_Energie_Totaal[[#Headers],[C3]],Database_Productkaarten[#All],51,FALSE),0)*Baseline!I26),0))</f>
        <v>0</v>
      </c>
      <c r="O444" s="77">
        <f>(IF(Baseline!C26="Bestaande Situatie",(_xlfn.IFNA(VLOOKUP(Referentie_Fossiele_Energie_Totaal[[#This Row],[Product]]&amp;", "&amp;Referentie_Fossiele_Energie_Totaal[[#Headers],[C4]],Database_Productkaarten[#All],51,FALSE),0)*Baseline!I26),0))</f>
        <v>0</v>
      </c>
      <c r="P444" s="77">
        <f>(IF(Baseline!C26="Bestaande Situatie",(_xlfn.IFNA(VLOOKUP(Referentie_Fossiele_Energie_Totaal[[#This Row],[Product]]&amp;", "&amp;Referentie_Fossiele_Energie_Totaal[[#Headers],[D1]],Database_Productkaarten[#All],51,FALSE),0)*Baseline!I26),0))</f>
        <v>0</v>
      </c>
      <c r="Q444" s="78">
        <f>(IF(Baseline!C26="Bestaande Situatie",_xlfn.IFNA(VLOOKUP(Referentie_Fossiele_Energie_Totaal[[#This Row],[Product]]&amp;", "&amp;Referentie_Fossiele_Energie_Totaal[[#Headers],[D2]],Database_Productkaarten[#All],51,FALSE),0)*Baseline!I26,0))</f>
        <v>0</v>
      </c>
      <c r="R444" s="57">
        <f>(IF(Baseline!C26="Bestaande Situatie",_xlfn.IFNA(VLOOKUP(Referentie_Fossiele_Energie_Totaal[[#This Row],[Product]]&amp;", "&amp;Referentie_Fossiele_Energie_Totaal[[#Headers],[D]],Database_Productkaarten[#All],51,FALSE),0)*Baseline!I26,0))</f>
        <v>0</v>
      </c>
      <c r="S444" s="56">
        <f>SUM(Referentie_Fossiele_Energie_Totaal[[#This Row],[A1-A3]:[C4]])+Referentie_Fossiele_Energie_Totaal[[#This Row],[D]]</f>
        <v>239339.63117156859</v>
      </c>
    </row>
    <row r="445" spans="2:19">
      <c r="B445" s="209" t="str">
        <f>Baseline!B27</f>
        <v>420010 - Leveren en aanbrengen fundering menggranulaat, (250mm dik)</v>
      </c>
      <c r="C445" s="76" t="str">
        <f>Baseline!F27</f>
        <v>Menggranulaat 250mm</v>
      </c>
      <c r="D445" s="77">
        <f>(IF(Baseline!C27="Nieuwe Situatie",(_xlfn.IFNA(VLOOKUP(Referentie_Fossiele_Energie_Totaal[[#This Row],[Product]]&amp;", "&amp;Referentie_Fossiele_Energie_Totaal[[#Headers],[A1]],Database_Productkaarten[#All],51,FALSE),0)*Baseline!I27),0))</f>
        <v>0</v>
      </c>
      <c r="E445" s="77">
        <f>(IF(Baseline!C27="Nieuwe Situatie",(_xlfn.IFNA(VLOOKUP(Referentie_Fossiele_Energie_Totaal[[#This Row],[Product]]&amp;", "&amp;Referentie_Fossiele_Energie_Totaal[[#Headers],[A2]],Database_Productkaarten[#All],51,FALSE),0)*Baseline!I27),0))</f>
        <v>0</v>
      </c>
      <c r="F445" s="77">
        <f>(IF(Baseline!C27="Nieuwe Situatie",(_xlfn.IFNA(VLOOKUP(Referentie_Fossiele_Energie_Totaal[[#This Row],[Product]]&amp;", "&amp;Referentie_Fossiele_Energie_Totaal[[#Headers],[A3]],Database_Productkaarten[#All],51,FALSE),0)*Baseline!I27),0))</f>
        <v>0</v>
      </c>
      <c r="G445" s="77">
        <f>(IF(Baseline!C27="Nieuwe Situatie",(_xlfn.IFNA(VLOOKUP(Referentie_Fossiele_Energie_Totaal[[#This Row],[Product]]&amp;", "&amp;Referentie_Fossiele_Energie_Totaal[[#Headers],[A1-A3]],Database_Productkaarten[#All],51,FALSE),0)*Baseline!I27),0))</f>
        <v>0</v>
      </c>
      <c r="H445" s="77">
        <f>IF(Baseline!T27=0,(IF(Baseline!C27="Nieuwe Situatie",(_xlfn.IFNA(VLOOKUP(Referentie_Fossiele_Energie_Totaal[[#This Row],[Product]]&amp;", "&amp;Referentie_CO2_Totaal[[#Headers],[A4]],Database_Productkaarten[#All],51,FALSE),0)*Baseline!I27),0)),IF(Baseline!C27="Nieuwe Situatie",_xlfn.IFNA(VLOOKUP(Baseline!T27,Database_Transport[#All],45,FALSE)*(Baseline!Q27*Baseline!S27),Baseline_Backlog!H130),0))</f>
        <v>354146.55197999999</v>
      </c>
      <c r="I445" s="77">
        <f>IF(Baseline!C27="Nieuwe situatie",IF(_xlfn.IFNA((VLOOKUP(Baseline!U27,Database_Asfalt_Aanlegset[#All],45,FALSE)*Baseline!I27),0)+_xlfn.IFNA(VLOOKUP(Baseline!V27,Database_Brandstoffen[#All],45,FALSE)*((Baseline!I27/Baseline!X27)*Baseline!W27),0)&gt;0,_xlfn.IFNA((VLOOKUP(Baseline!U27,Database_Asfalt_Aanlegset[#All],45,FALSE)*Baseline!I27),0)+_xlfn.IFNA(VLOOKUP(Baseline!V27,Database_Brandstoffen[#All],45,FALSE)*((Baseline!I27/Baseline!X27)*Baseline!W27),0),(_xlfn.IFNA(VLOOKUP(Referentie_Fossiele_Energie_Totaal[[#This Row],[Product]]&amp;", "&amp;Referentie_MKI_Totaal[[#Headers],[A5]],Database_Productkaarten[#All],51,FALSE),0)*Baseline!I27)),0)</f>
        <v>506431.71851999999</v>
      </c>
      <c r="J445" s="77">
        <f>(IF(Baseline!C27="Nieuwe Situatie",(_xlfn.IFNA(VLOOKUP(Referentie_Fossiele_Energie_Totaal[[#This Row],[Product]]&amp;", "&amp;Referentie_Fossiele_Energie_Totaal[[#Headers],[B1]],Database_Productkaarten[#All],51,FALSE),0)*Baseline!I27),0))</f>
        <v>0</v>
      </c>
      <c r="K445" s="77">
        <f>(IF(Baseline!C27="Nieuwe Situatie",(SUM(Referentie_Fossiele_Energie_Totaal[[#This Row],[A1]:[B1]],Referentie_Fossiele_Energie_Totaal[[#This Row],[C1]:[D2]])*Baseline!R27),0))</f>
        <v>0</v>
      </c>
      <c r="L445" s="77">
        <f>IF(Baseline!C27="Bestaande situatie",IF(_xlfn.IFNA((VLOOKUP(Baseline!Y27,Database_Asfalt_Verwijderset[#All],45,FALSE)*Baseline!I27),0)+_xlfn.IFNA(VLOOKUP(Baseline!Z27,Database_Brandstoffen[#All],45,FALSE)*((Baseline!I27/Baseline!AB27)*Baseline!AA27),0)&gt;0,_xlfn.IFNA((VLOOKUP(Baseline!Y27,Database_Asfalt_Verwijderset[#All],45,FALSE)*Baseline!I27),0)+_xlfn.IFNA(VLOOKUP(Baseline!Z27,Database_Brandstoffen[#All],45,FALSE)*((Baseline!I27/Baseline!AB27)*Baseline!AA27),0),(_xlfn.IFNA(VLOOKUP(Referentie_Fossiele_Energie_Totaal[[#This Row],[Product]]&amp;", "&amp;Referentie_MKI_Totaal[[#Headers],[C1]],Database_Productkaarten[#All],51,FALSE),0)*Baseline!I27)),0)</f>
        <v>0</v>
      </c>
      <c r="M445" s="77">
        <f>IF(Baseline!AD27=0,(IF(Baseline!C27="Bestaande Situatie",(_xlfn.IFNA(VLOOKUP(Referentie_Fossiele_Energie_Totaal[[#This Row],[Product]]&amp;", "&amp;Referentie_MKI_Totaal[[#Headers],[C2]],Database_Productkaarten[#All],51,FALSE),0)*Baseline!I27),0)),(IF(Baseline!C27="Bestaande Situatie",_xlfn.IFNA(VLOOKUP(Baseline!AD27,Database_Transport[#All],45,FALSE)*(Baseline!Q27*Baseline!AC27),0))))</f>
        <v>0</v>
      </c>
      <c r="N445" s="77">
        <f>(IF(Baseline!C27="Bestaande Situatie",(_xlfn.IFNA(VLOOKUP(Referentie_Fossiele_Energie_Totaal[[#This Row],[Product]]&amp;", "&amp;Referentie_Fossiele_Energie_Totaal[[#Headers],[C3]],Database_Productkaarten[#All],51,FALSE),0)*Baseline!I27),0))</f>
        <v>0</v>
      </c>
      <c r="O445" s="77">
        <f>(IF(Baseline!C27="Bestaande Situatie",(_xlfn.IFNA(VLOOKUP(Referentie_Fossiele_Energie_Totaal[[#This Row],[Product]]&amp;", "&amp;Referentie_Fossiele_Energie_Totaal[[#Headers],[C4]],Database_Productkaarten[#All],51,FALSE),0)*Baseline!I27),0))</f>
        <v>0</v>
      </c>
      <c r="P445" s="77">
        <f>(IF(Baseline!C27="Bestaande Situatie",(_xlfn.IFNA(VLOOKUP(Referentie_Fossiele_Energie_Totaal[[#This Row],[Product]]&amp;", "&amp;Referentie_Fossiele_Energie_Totaal[[#Headers],[D1]],Database_Productkaarten[#All],51,FALSE),0)*Baseline!I27),0))</f>
        <v>0</v>
      </c>
      <c r="Q445" s="78">
        <f>(IF(Baseline!C27="Bestaande Situatie",_xlfn.IFNA(VLOOKUP(Referentie_Fossiele_Energie_Totaal[[#This Row],[Product]]&amp;", "&amp;Referentie_Fossiele_Energie_Totaal[[#Headers],[D2]],Database_Productkaarten[#All],51,FALSE),0)*Baseline!I27,0))</f>
        <v>0</v>
      </c>
      <c r="R445" s="57">
        <f>(IF(Baseline!C27="Bestaande Situatie",_xlfn.IFNA(VLOOKUP(Referentie_Fossiele_Energie_Totaal[[#This Row],[Product]]&amp;", "&amp;Referentie_Fossiele_Energie_Totaal[[#Headers],[D]],Database_Productkaarten[#All],51,FALSE),0)*Baseline!I27,0))</f>
        <v>0</v>
      </c>
      <c r="S445" s="56">
        <f>SUM(Referentie_Fossiele_Energie_Totaal[[#This Row],[A1-A3]:[C4]])+Referentie_Fossiele_Energie_Totaal[[#This Row],[D]]</f>
        <v>860578.27049999998</v>
      </c>
    </row>
    <row r="446" spans="2:19">
      <c r="B446" s="209" t="str">
        <f>Baseline!B28</f>
        <v>430010 - Leveren en aanbrengen trottoirbanden 180/200x250</v>
      </c>
      <c r="C446" s="76" t="str">
        <f>Baseline!F28</f>
        <v>Trottoirband 180/200x250</v>
      </c>
      <c r="D446" s="77">
        <f>(IF(Baseline!C28="Nieuwe Situatie",(_xlfn.IFNA(VLOOKUP(Referentie_Fossiele_Energie_Totaal[[#This Row],[Product]]&amp;", "&amp;Referentie_Fossiele_Energie_Totaal[[#Headers],[A1]],Database_Productkaarten[#All],51,FALSE),0)*Baseline!I28),0))</f>
        <v>8451.0053134615373</v>
      </c>
      <c r="E446" s="77">
        <f>(IF(Baseline!C28="Nieuwe Situatie",(_xlfn.IFNA(VLOOKUP(Referentie_Fossiele_Energie_Totaal[[#This Row],[Product]]&amp;", "&amp;Referentie_Fossiele_Energie_Totaal[[#Headers],[A2]],Database_Productkaarten[#All],51,FALSE),0)*Baseline!I28),0))</f>
        <v>1471.8963375000001</v>
      </c>
      <c r="F446" s="77">
        <f>(IF(Baseline!C28="Nieuwe Situatie",(_xlfn.IFNA(VLOOKUP(Referentie_Fossiele_Energie_Totaal[[#This Row],[Product]]&amp;", "&amp;Referentie_Fossiele_Energie_Totaal[[#Headers],[A3]],Database_Productkaarten[#All],51,FALSE),0)*Baseline!I28),0))</f>
        <v>1338.3338988461537</v>
      </c>
      <c r="G446" s="77">
        <f>(IF(Baseline!C28="Nieuwe Situatie",(_xlfn.IFNA(VLOOKUP(Referentie_Fossiele_Energie_Totaal[[#This Row],[Product]]&amp;", "&amp;Referentie_Fossiele_Energie_Totaal[[#Headers],[A1-A3]],Database_Productkaarten[#All],51,FALSE),0)*Baseline!I28),0))</f>
        <v>11261.23554980769</v>
      </c>
      <c r="H446" s="77">
        <f>IF(Baseline!T28=0,(IF(Baseline!C28="Nieuwe Situatie",(_xlfn.IFNA(VLOOKUP(Referentie_Fossiele_Energie_Totaal[[#This Row],[Product]]&amp;", "&amp;Referentie_CO2_Totaal[[#Headers],[A4]],Database_Productkaarten[#All],51,FALSE),0)*Baseline!I28),0)),IF(Baseline!C28="Nieuwe Situatie",_xlfn.IFNA(VLOOKUP(Baseline!T28,Database_Transport[#All],45,FALSE)*(Baseline!Q28*Baseline!S28),Baseline_Backlog!H131),0))</f>
        <v>631.12034255674996</v>
      </c>
      <c r="I446" s="77">
        <f>IF(Baseline!C28="Nieuwe situatie",IF(_xlfn.IFNA((VLOOKUP(Baseline!U28,Database_Asfalt_Aanlegset[#All],45,FALSE)*Baseline!I28),0)+_xlfn.IFNA(VLOOKUP(Baseline!V28,Database_Brandstoffen[#All],45,FALSE)*((Baseline!I28/Baseline!X28)*Baseline!W28),0)&gt;0,_xlfn.IFNA((VLOOKUP(Baseline!U28,Database_Asfalt_Aanlegset[#All],45,FALSE)*Baseline!I28),0)+_xlfn.IFNA(VLOOKUP(Baseline!V28,Database_Brandstoffen[#All],45,FALSE)*((Baseline!I28/Baseline!X28)*Baseline!W28),0),(_xlfn.IFNA(VLOOKUP(Referentie_Fossiele_Energie_Totaal[[#This Row],[Product]]&amp;", "&amp;Referentie_MKI_Totaal[[#Headers],[A5]],Database_Productkaarten[#All],51,FALSE),0)*Baseline!I28)),0)</f>
        <v>3725.0499457694982</v>
      </c>
      <c r="J446" s="77">
        <f>(IF(Baseline!C28="Nieuwe Situatie",(_xlfn.IFNA(VLOOKUP(Referentie_Fossiele_Energie_Totaal[[#This Row],[Product]]&amp;", "&amp;Referentie_Fossiele_Energie_Totaal[[#Headers],[B1]],Database_Productkaarten[#All],51,FALSE),0)*Baseline!I28),0))</f>
        <v>0</v>
      </c>
      <c r="K446" s="77">
        <f>(IF(Baseline!C28="Nieuwe Situatie",(SUM(Referentie_Fossiele_Energie_Totaal[[#This Row],[A1]:[B1]],Referentie_Fossiele_Energie_Totaal[[#This Row],[C1]:[D2]])*Baseline!R28),0))</f>
        <v>0</v>
      </c>
      <c r="L446" s="77">
        <f>IF(Baseline!C28="Bestaande situatie",IF(_xlfn.IFNA((VLOOKUP(Baseline!Y28,Database_Asfalt_Verwijderset[#All],45,FALSE)*Baseline!I28),0)+_xlfn.IFNA(VLOOKUP(Baseline!Z28,Database_Brandstoffen[#All],45,FALSE)*((Baseline!I28/Baseline!AB28)*Baseline!AA28),0)&gt;0,_xlfn.IFNA((VLOOKUP(Baseline!Y28,Database_Asfalt_Verwijderset[#All],45,FALSE)*Baseline!I28),0)+_xlfn.IFNA(VLOOKUP(Baseline!Z28,Database_Brandstoffen[#All],45,FALSE)*((Baseline!I28/Baseline!AB28)*Baseline!AA28),0),(_xlfn.IFNA(VLOOKUP(Referentie_Fossiele_Energie_Totaal[[#This Row],[Product]]&amp;", "&amp;Referentie_MKI_Totaal[[#Headers],[C1]],Database_Productkaarten[#All],51,FALSE),0)*Baseline!I28)),0)</f>
        <v>0</v>
      </c>
      <c r="M446" s="77">
        <f>IF(Baseline!AD28=0,(IF(Baseline!C28="Bestaande Situatie",(_xlfn.IFNA(VLOOKUP(Referentie_Fossiele_Energie_Totaal[[#This Row],[Product]]&amp;", "&amp;Referentie_MKI_Totaal[[#Headers],[C2]],Database_Productkaarten[#All],51,FALSE),0)*Baseline!I28),0)),(IF(Baseline!C28="Bestaande Situatie",_xlfn.IFNA(VLOOKUP(Baseline!AD28,Database_Transport[#All],45,FALSE)*(Baseline!Q28*Baseline!AC28),0))))</f>
        <v>0</v>
      </c>
      <c r="N446" s="77">
        <f>(IF(Baseline!C28="Bestaande Situatie",(_xlfn.IFNA(VLOOKUP(Referentie_Fossiele_Energie_Totaal[[#This Row],[Product]]&amp;", "&amp;Referentie_Fossiele_Energie_Totaal[[#Headers],[C3]],Database_Productkaarten[#All],51,FALSE),0)*Baseline!I28),0))</f>
        <v>0</v>
      </c>
      <c r="O446" s="77">
        <f>(IF(Baseline!C28="Bestaande Situatie",(_xlfn.IFNA(VLOOKUP(Referentie_Fossiele_Energie_Totaal[[#This Row],[Product]]&amp;", "&amp;Referentie_Fossiele_Energie_Totaal[[#Headers],[C4]],Database_Productkaarten[#All],51,FALSE),0)*Baseline!I28),0))</f>
        <v>0</v>
      </c>
      <c r="P446" s="77">
        <f>(IF(Baseline!C28="Bestaande Situatie",(_xlfn.IFNA(VLOOKUP(Referentie_Fossiele_Energie_Totaal[[#This Row],[Product]]&amp;", "&amp;Referentie_Fossiele_Energie_Totaal[[#Headers],[D1]],Database_Productkaarten[#All],51,FALSE),0)*Baseline!I28),0))</f>
        <v>0</v>
      </c>
      <c r="Q446" s="78">
        <f>(IF(Baseline!C28="Bestaande Situatie",_xlfn.IFNA(VLOOKUP(Referentie_Fossiele_Energie_Totaal[[#This Row],[Product]]&amp;", "&amp;Referentie_Fossiele_Energie_Totaal[[#Headers],[D2]],Database_Productkaarten[#All],51,FALSE),0)*Baseline!I28,0))</f>
        <v>0</v>
      </c>
      <c r="R446" s="57">
        <f>(IF(Baseline!C28="Bestaande Situatie",_xlfn.IFNA(VLOOKUP(Referentie_Fossiele_Energie_Totaal[[#This Row],[Product]]&amp;", "&amp;Referentie_Fossiele_Energie_Totaal[[#Headers],[D]],Database_Productkaarten[#All],51,FALSE),0)*Baseline!I28,0))</f>
        <v>0</v>
      </c>
      <c r="S446" s="56">
        <f>SUM(Referentie_Fossiele_Energie_Totaal[[#This Row],[A1-A3]:[C4]])+Referentie_Fossiele_Energie_Totaal[[#This Row],[D]]</f>
        <v>15617.405838133938</v>
      </c>
    </row>
    <row r="447" spans="2:19">
      <c r="B447" s="209" t="str">
        <f>Baseline!B29</f>
        <v>430020 - Leveren en aanbrengen trottoirbanden 130/150x250</v>
      </c>
      <c r="C447" s="76" t="str">
        <f>Baseline!F29</f>
        <v>Trottoirband 130/150x250</v>
      </c>
      <c r="D447" s="77">
        <f>(IF(Baseline!C29="Nieuwe Situatie",(_xlfn.IFNA(VLOOKUP(Referentie_Fossiele_Energie_Totaal[[#This Row],[Product]]&amp;", "&amp;Referentie_Fossiele_Energie_Totaal[[#Headers],[A1]],Database_Productkaarten[#All],51,FALSE),0)*Baseline!I29),0))</f>
        <v>13212.290659999999</v>
      </c>
      <c r="E447" s="77">
        <f>(IF(Baseline!C29="Nieuwe Situatie",(_xlfn.IFNA(VLOOKUP(Referentie_Fossiele_Energie_Totaal[[#This Row],[Product]]&amp;", "&amp;Referentie_Fossiele_Energie_Totaal[[#Headers],[A2]],Database_Productkaarten[#All],51,FALSE),0)*Baseline!I29),0))</f>
        <v>2301.1608099999999</v>
      </c>
      <c r="F447" s="77">
        <f>(IF(Baseline!C29="Nieuwe Situatie",(_xlfn.IFNA(VLOOKUP(Referentie_Fossiele_Energie_Totaal[[#This Row],[Product]]&amp;", "&amp;Referentie_Fossiele_Energie_Totaal[[#Headers],[A3]],Database_Productkaarten[#All],51,FALSE),0)*Baseline!I29),0))</f>
        <v>2092.3494679999999</v>
      </c>
      <c r="G447" s="77">
        <f>(IF(Baseline!C29="Nieuwe Situatie",(_xlfn.IFNA(VLOOKUP(Referentie_Fossiele_Energie_Totaal[[#This Row],[Product]]&amp;", "&amp;Referentie_Fossiele_Energie_Totaal[[#Headers],[A1-A3]],Database_Productkaarten[#All],51,FALSE),0)*Baseline!I29),0))</f>
        <v>17605.800937999997</v>
      </c>
      <c r="H447" s="77">
        <f>IF(Baseline!T29=0,(IF(Baseline!C29="Nieuwe Situatie",(_xlfn.IFNA(VLOOKUP(Referentie_Fossiele_Energie_Totaal[[#This Row],[Product]]&amp;", "&amp;Referentie_CO2_Totaal[[#Headers],[A4]],Database_Productkaarten[#All],51,FALSE),0)*Baseline!I29),0)),IF(Baseline!C29="Nieuwe Situatie",_xlfn.IFNA(VLOOKUP(Baseline!T29,Database_Transport[#All],45,FALSE)*(Baseline!Q29*Baseline!S29),Baseline_Backlog!H132),0))</f>
        <v>1024.6424385038999</v>
      </c>
      <c r="I447" s="77">
        <f>IF(Baseline!C29="Nieuwe situatie",IF(_xlfn.IFNA((VLOOKUP(Baseline!U29,Database_Asfalt_Aanlegset[#All],45,FALSE)*Baseline!I29),0)+_xlfn.IFNA(VLOOKUP(Baseline!V29,Database_Brandstoffen[#All],45,FALSE)*((Baseline!I29/Baseline!X29)*Baseline!W29),0)&gt;0,_xlfn.IFNA((VLOOKUP(Baseline!U29,Database_Asfalt_Aanlegset[#All],45,FALSE)*Baseline!I29),0)+_xlfn.IFNA(VLOOKUP(Baseline!V29,Database_Brandstoffen[#All],45,FALSE)*((Baseline!I29/Baseline!X29)*Baseline!W29),0),(_xlfn.IFNA(VLOOKUP(Referentie_Fossiele_Energie_Totaal[[#This Row],[Product]]&amp;", "&amp;Referentie_MKI_Totaal[[#Headers],[A5]],Database_Productkaarten[#All],51,FALSE),0)*Baseline!I29)),0)</f>
        <v>10079.546912082173</v>
      </c>
      <c r="J447" s="77">
        <f>(IF(Baseline!C29="Nieuwe Situatie",(_xlfn.IFNA(VLOOKUP(Referentie_Fossiele_Energie_Totaal[[#This Row],[Product]]&amp;", "&amp;Referentie_Fossiele_Energie_Totaal[[#Headers],[B1]],Database_Productkaarten[#All],51,FALSE),0)*Baseline!I29),0))</f>
        <v>0</v>
      </c>
      <c r="K447" s="77">
        <f>(IF(Baseline!C29="Nieuwe Situatie",(SUM(Referentie_Fossiele_Energie_Totaal[[#This Row],[A1]:[B1]],Referentie_Fossiele_Energie_Totaal[[#This Row],[C1]:[D2]])*Baseline!R29),0))</f>
        <v>0</v>
      </c>
      <c r="L447" s="77">
        <f>IF(Baseline!C29="Bestaande situatie",IF(_xlfn.IFNA((VLOOKUP(Baseline!Y29,Database_Asfalt_Verwijderset[#All],45,FALSE)*Baseline!I29),0)+_xlfn.IFNA(VLOOKUP(Baseline!Z29,Database_Brandstoffen[#All],45,FALSE)*((Baseline!I29/Baseline!AB29)*Baseline!AA29),0)&gt;0,_xlfn.IFNA((VLOOKUP(Baseline!Y29,Database_Asfalt_Verwijderset[#All],45,FALSE)*Baseline!I29),0)+_xlfn.IFNA(VLOOKUP(Baseline!Z29,Database_Brandstoffen[#All],45,FALSE)*((Baseline!I29/Baseline!AB29)*Baseline!AA29),0),(_xlfn.IFNA(VLOOKUP(Referentie_Fossiele_Energie_Totaal[[#This Row],[Product]]&amp;", "&amp;Referentie_MKI_Totaal[[#Headers],[C1]],Database_Productkaarten[#All],51,FALSE),0)*Baseline!I29)),0)</f>
        <v>0</v>
      </c>
      <c r="M447" s="77">
        <f>IF(Baseline!AD29=0,(IF(Baseline!C29="Bestaande Situatie",(_xlfn.IFNA(VLOOKUP(Referentie_Fossiele_Energie_Totaal[[#This Row],[Product]]&amp;", "&amp;Referentie_MKI_Totaal[[#Headers],[C2]],Database_Productkaarten[#All],51,FALSE),0)*Baseline!I29),0)),(IF(Baseline!C29="Bestaande Situatie",_xlfn.IFNA(VLOOKUP(Baseline!AD29,Database_Transport[#All],45,FALSE)*(Baseline!Q29*Baseline!AC29),0))))</f>
        <v>0</v>
      </c>
      <c r="N447" s="77">
        <f>(IF(Baseline!C29="Bestaande Situatie",(_xlfn.IFNA(VLOOKUP(Referentie_Fossiele_Energie_Totaal[[#This Row],[Product]]&amp;", "&amp;Referentie_Fossiele_Energie_Totaal[[#Headers],[C3]],Database_Productkaarten[#All],51,FALSE),0)*Baseline!I29),0))</f>
        <v>0</v>
      </c>
      <c r="O447" s="77">
        <f>(IF(Baseline!C29="Bestaande Situatie",(_xlfn.IFNA(VLOOKUP(Referentie_Fossiele_Energie_Totaal[[#This Row],[Product]]&amp;", "&amp;Referentie_Fossiele_Energie_Totaal[[#Headers],[C4]],Database_Productkaarten[#All],51,FALSE),0)*Baseline!I29),0))</f>
        <v>0</v>
      </c>
      <c r="P447" s="77">
        <f>(IF(Baseline!C29="Bestaande Situatie",(_xlfn.IFNA(VLOOKUP(Referentie_Fossiele_Energie_Totaal[[#This Row],[Product]]&amp;", "&amp;Referentie_Fossiele_Energie_Totaal[[#Headers],[D1]],Database_Productkaarten[#All],51,FALSE),0)*Baseline!I29),0))</f>
        <v>0</v>
      </c>
      <c r="Q447" s="78">
        <f>(IF(Baseline!C29="Bestaande Situatie",_xlfn.IFNA(VLOOKUP(Referentie_Fossiele_Energie_Totaal[[#This Row],[Product]]&amp;", "&amp;Referentie_Fossiele_Energie_Totaal[[#Headers],[D2]],Database_Productkaarten[#All],51,FALSE),0)*Baseline!I29,0))</f>
        <v>0</v>
      </c>
      <c r="R447" s="57">
        <f>(IF(Baseline!C29="Bestaande Situatie",_xlfn.IFNA(VLOOKUP(Referentie_Fossiele_Energie_Totaal[[#This Row],[Product]]&amp;", "&amp;Referentie_Fossiele_Energie_Totaal[[#Headers],[D]],Database_Productkaarten[#All],51,FALSE),0)*Baseline!I29,0))</f>
        <v>0</v>
      </c>
      <c r="S447" s="56">
        <f>SUM(Referentie_Fossiele_Energie_Totaal[[#This Row],[A1-A3]:[C4]])+Referentie_Fossiele_Energie_Totaal[[#This Row],[D]]</f>
        <v>28709.990288586068</v>
      </c>
    </row>
    <row r="448" spans="2:19">
      <c r="B448" s="209" t="str">
        <f>Baseline!B30</f>
        <v>430040 - Leveren en aanbrengen opsluitbanden 100x200</v>
      </c>
      <c r="C448" s="76" t="str">
        <f>Baseline!F30</f>
        <v>Opsluitband 100x200</v>
      </c>
      <c r="D448" s="77">
        <f>(IF(Baseline!C30="Nieuwe Situatie",(_xlfn.IFNA(VLOOKUP(Referentie_Fossiele_Energie_Totaal[[#This Row],[Product]]&amp;", "&amp;Referentie_Fossiele_Energie_Totaal[[#Headers],[A1]],Database_Productkaarten[#All],51,FALSE),0)*Baseline!I30),0))</f>
        <v>45199.942125000001</v>
      </c>
      <c r="E448" s="77">
        <f>(IF(Baseline!C30="Nieuwe Situatie",(_xlfn.IFNA(VLOOKUP(Referentie_Fossiele_Energie_Totaal[[#This Row],[Product]]&amp;", "&amp;Referentie_Fossiele_Energie_Totaal[[#Headers],[A2]],Database_Productkaarten[#All],51,FALSE),0)*Baseline!I30),0))</f>
        <v>7872.392229000001</v>
      </c>
      <c r="F448" s="77">
        <f>(IF(Baseline!C30="Nieuwe Situatie",(_xlfn.IFNA(VLOOKUP(Referentie_Fossiele_Energie_Totaal[[#This Row],[Product]]&amp;", "&amp;Referentie_Fossiele_Energie_Totaal[[#Headers],[A3]],Database_Productkaarten[#All],51,FALSE),0)*Baseline!I30),0))</f>
        <v>7158.0375750000003</v>
      </c>
      <c r="G448" s="77">
        <f>(IF(Baseline!C30="Nieuwe Situatie",(_xlfn.IFNA(VLOOKUP(Referentie_Fossiele_Energie_Totaal[[#This Row],[Product]]&amp;", "&amp;Referentie_Fossiele_Energie_Totaal[[#Headers],[A1-A3]],Database_Productkaarten[#All],51,FALSE),0)*Baseline!I30),0))</f>
        <v>60230.371928999994</v>
      </c>
      <c r="H448" s="77">
        <f>IF(Baseline!T30=0,(IF(Baseline!C30="Nieuwe Situatie",(_xlfn.IFNA(VLOOKUP(Referentie_Fossiele_Energie_Totaal[[#This Row],[Product]]&amp;", "&amp;Referentie_CO2_Totaal[[#Headers],[A4]],Database_Productkaarten[#All],51,FALSE),0)*Baseline!I30),0)),IF(Baseline!C30="Nieuwe Situatie",_xlfn.IFNA(VLOOKUP(Baseline!T30,Database_Transport[#All],45,FALSE)*(Baseline!Q30*Baseline!S30),Baseline_Backlog!H133),0))</f>
        <v>3594.7568349647499</v>
      </c>
      <c r="I448" s="77">
        <f>IF(Baseline!C30="Nieuwe situatie",IF(_xlfn.IFNA((VLOOKUP(Baseline!U30,Database_Asfalt_Aanlegset[#All],45,FALSE)*Baseline!I30),0)+_xlfn.IFNA(VLOOKUP(Baseline!V30,Database_Brandstoffen[#All],45,FALSE)*((Baseline!I30/Baseline!X30)*Baseline!W30),0)&gt;0,_xlfn.IFNA((VLOOKUP(Baseline!U30,Database_Asfalt_Aanlegset[#All],45,FALSE)*Baseline!I30),0)+_xlfn.IFNA(VLOOKUP(Baseline!V30,Database_Brandstoffen[#All],45,FALSE)*((Baseline!I30/Baseline!X30)*Baseline!W30),0),(_xlfn.IFNA(VLOOKUP(Referentie_Fossiele_Energie_Totaal[[#This Row],[Product]]&amp;", "&amp;Referentie_MKI_Totaal[[#Headers],[A5]],Database_Productkaarten[#All],51,FALSE),0)*Baseline!I30)),0)</f>
        <v>58237.382158696993</v>
      </c>
      <c r="J448" s="77">
        <f>(IF(Baseline!C30="Nieuwe Situatie",(_xlfn.IFNA(VLOOKUP(Referentie_Fossiele_Energie_Totaal[[#This Row],[Product]]&amp;", "&amp;Referentie_Fossiele_Energie_Totaal[[#Headers],[B1]],Database_Productkaarten[#All],51,FALSE),0)*Baseline!I30),0))</f>
        <v>0</v>
      </c>
      <c r="K448" s="77">
        <f>(IF(Baseline!C30="Nieuwe Situatie",(SUM(Referentie_Fossiele_Energie_Totaal[[#This Row],[A1]:[B1]],Referentie_Fossiele_Energie_Totaal[[#This Row],[C1]:[D2]])*Baseline!R30),0))</f>
        <v>0</v>
      </c>
      <c r="L448" s="77">
        <f>IF(Baseline!C30="Bestaande situatie",IF(_xlfn.IFNA((VLOOKUP(Baseline!Y30,Database_Asfalt_Verwijderset[#All],45,FALSE)*Baseline!I30),0)+_xlfn.IFNA(VLOOKUP(Baseline!Z30,Database_Brandstoffen[#All],45,FALSE)*((Baseline!I30/Baseline!AB30)*Baseline!AA30),0)&gt;0,_xlfn.IFNA((VLOOKUP(Baseline!Y30,Database_Asfalt_Verwijderset[#All],45,FALSE)*Baseline!I30),0)+_xlfn.IFNA(VLOOKUP(Baseline!Z30,Database_Brandstoffen[#All],45,FALSE)*((Baseline!I30/Baseline!AB30)*Baseline!AA30),0),(_xlfn.IFNA(VLOOKUP(Referentie_Fossiele_Energie_Totaal[[#This Row],[Product]]&amp;", "&amp;Referentie_MKI_Totaal[[#Headers],[C1]],Database_Productkaarten[#All],51,FALSE),0)*Baseline!I30)),0)</f>
        <v>0</v>
      </c>
      <c r="M448" s="77">
        <f>IF(Baseline!AD30=0,(IF(Baseline!C30="Bestaande Situatie",(_xlfn.IFNA(VLOOKUP(Referentie_Fossiele_Energie_Totaal[[#This Row],[Product]]&amp;", "&amp;Referentie_MKI_Totaal[[#Headers],[C2]],Database_Productkaarten[#All],51,FALSE),0)*Baseline!I30),0)),(IF(Baseline!C30="Bestaande Situatie",_xlfn.IFNA(VLOOKUP(Baseline!AD30,Database_Transport[#All],45,FALSE)*(Baseline!Q30*Baseline!AC30),0))))</f>
        <v>0</v>
      </c>
      <c r="N448" s="77">
        <f>(IF(Baseline!C30="Bestaande Situatie",(_xlfn.IFNA(VLOOKUP(Referentie_Fossiele_Energie_Totaal[[#This Row],[Product]]&amp;", "&amp;Referentie_Fossiele_Energie_Totaal[[#Headers],[C3]],Database_Productkaarten[#All],51,FALSE),0)*Baseline!I30),0))</f>
        <v>0</v>
      </c>
      <c r="O448" s="77">
        <f>(IF(Baseline!C30="Bestaande Situatie",(_xlfn.IFNA(VLOOKUP(Referentie_Fossiele_Energie_Totaal[[#This Row],[Product]]&amp;", "&amp;Referentie_Fossiele_Energie_Totaal[[#Headers],[C4]],Database_Productkaarten[#All],51,FALSE),0)*Baseline!I30),0))</f>
        <v>0</v>
      </c>
      <c r="P448" s="77">
        <f>(IF(Baseline!C30="Bestaande Situatie",(_xlfn.IFNA(VLOOKUP(Referentie_Fossiele_Energie_Totaal[[#This Row],[Product]]&amp;", "&amp;Referentie_Fossiele_Energie_Totaal[[#Headers],[D1]],Database_Productkaarten[#All],51,FALSE),0)*Baseline!I30),0))</f>
        <v>0</v>
      </c>
      <c r="Q448" s="78">
        <f>(IF(Baseline!C30="Bestaande Situatie",_xlfn.IFNA(VLOOKUP(Referentie_Fossiele_Energie_Totaal[[#This Row],[Product]]&amp;", "&amp;Referentie_Fossiele_Energie_Totaal[[#Headers],[D2]],Database_Productkaarten[#All],51,FALSE),0)*Baseline!I30,0))</f>
        <v>0</v>
      </c>
      <c r="R448" s="57">
        <f>(IF(Baseline!C30="Bestaande Situatie",_xlfn.IFNA(VLOOKUP(Referentie_Fossiele_Energie_Totaal[[#This Row],[Product]]&amp;", "&amp;Referentie_Fossiele_Energie_Totaal[[#Headers],[D]],Database_Productkaarten[#All],51,FALSE),0)*Baseline!I30,0))</f>
        <v>0</v>
      </c>
      <c r="S448" s="56">
        <f>SUM(Referentie_Fossiele_Energie_Totaal[[#This Row],[A1-A3]:[C4]])+Referentie_Fossiele_Energie_Totaal[[#This Row],[D]]</f>
        <v>122062.51092266174</v>
      </c>
    </row>
    <row r="449" spans="2:19">
      <c r="B449" s="209" t="str">
        <f>Baseline!B31</f>
        <v>430050 - Leveren en aanbrengen opsluitbanden 120x250</v>
      </c>
      <c r="C449" s="76" t="str">
        <f>Baseline!F31</f>
        <v>Opsluitband 150x250</v>
      </c>
      <c r="D449" s="77">
        <f>(IF(Baseline!C31="Nieuwe Situatie",(_xlfn.IFNA(VLOOKUP(Referentie_Fossiele_Energie_Totaal[[#This Row],[Product]]&amp;", "&amp;Referentie_Fossiele_Energie_Totaal[[#Headers],[A1]],Database_Productkaarten[#All],51,FALSE),0)*Baseline!I31),0))</f>
        <v>79364.446874999994</v>
      </c>
      <c r="E449" s="77">
        <f>(IF(Baseline!C31="Nieuwe Situatie",(_xlfn.IFNA(VLOOKUP(Referentie_Fossiele_Energie_Totaal[[#This Row],[Product]]&amp;", "&amp;Referentie_Fossiele_Energie_Totaal[[#Headers],[A2]],Database_Productkaarten[#All],51,FALSE),0)*Baseline!I31),0))</f>
        <v>13822.762274999999</v>
      </c>
      <c r="F449" s="77">
        <f>(IF(Baseline!C31="Nieuwe Situatie",(_xlfn.IFNA(VLOOKUP(Referentie_Fossiele_Energie_Totaal[[#This Row],[Product]]&amp;", "&amp;Referentie_Fossiele_Energie_Totaal[[#Headers],[A3]],Database_Productkaarten[#All],51,FALSE),0)*Baseline!I31),0))</f>
        <v>12568.460625000002</v>
      </c>
      <c r="G449" s="77">
        <f>(IF(Baseline!C31="Nieuwe Situatie",(_xlfn.IFNA(VLOOKUP(Referentie_Fossiele_Energie_Totaal[[#This Row],[Product]]&amp;", "&amp;Referentie_Fossiele_Energie_Totaal[[#Headers],[A1-A3]],Database_Productkaarten[#All],51,FALSE),0)*Baseline!I31),0))</f>
        <v>105755.66977499999</v>
      </c>
      <c r="H449" s="77">
        <f>IF(Baseline!T31=0,(IF(Baseline!C31="Nieuwe Situatie",(_xlfn.IFNA(VLOOKUP(Referentie_Fossiele_Energie_Totaal[[#This Row],[Product]]&amp;", "&amp;Referentie_CO2_Totaal[[#Headers],[A4]],Database_Productkaarten[#All],51,FALSE),0)*Baseline!I31),0)),IF(Baseline!C31="Nieuwe Situatie",_xlfn.IFNA(VLOOKUP(Baseline!T31,Database_Transport[#All],45,FALSE)*(Baseline!Q31*Baseline!S31),Baseline_Backlog!H134),0))</f>
        <v>6311.8640078812514</v>
      </c>
      <c r="I449" s="77">
        <f>IF(Baseline!C31="Nieuwe situatie",IF(_xlfn.IFNA((VLOOKUP(Baseline!U31,Database_Asfalt_Aanlegset[#All],45,FALSE)*Baseline!I31),0)+_xlfn.IFNA(VLOOKUP(Baseline!V31,Database_Brandstoffen[#All],45,FALSE)*((Baseline!I31/Baseline!X31)*Baseline!W31),0)&gt;0,_xlfn.IFNA((VLOOKUP(Baseline!U31,Database_Asfalt_Aanlegset[#All],45,FALSE)*Baseline!I31),0)+_xlfn.IFNA(VLOOKUP(Baseline!V31,Database_Brandstoffen[#All],45,FALSE)*((Baseline!I31/Baseline!X31)*Baseline!W31),0),(_xlfn.IFNA(VLOOKUP(Referentie_Fossiele_Energie_Totaal[[#This Row],[Product]]&amp;", "&amp;Referentie_MKI_Totaal[[#Headers],[A5]],Database_Productkaarten[#All],51,FALSE),0)*Baseline!I31)),0)</f>
        <v>61353.763812674086</v>
      </c>
      <c r="J449" s="77">
        <f>(IF(Baseline!C31="Nieuwe Situatie",(_xlfn.IFNA(VLOOKUP(Referentie_Fossiele_Energie_Totaal[[#This Row],[Product]]&amp;", "&amp;Referentie_Fossiele_Energie_Totaal[[#Headers],[B1]],Database_Productkaarten[#All],51,FALSE),0)*Baseline!I31),0))</f>
        <v>0</v>
      </c>
      <c r="K449" s="77">
        <f>(IF(Baseline!C31="Nieuwe Situatie",(SUM(Referentie_Fossiele_Energie_Totaal[[#This Row],[A1]:[B1]],Referentie_Fossiele_Energie_Totaal[[#This Row],[C1]:[D2]])*Baseline!R31),0))</f>
        <v>0</v>
      </c>
      <c r="L449" s="77">
        <f>IF(Baseline!C31="Bestaande situatie",IF(_xlfn.IFNA((VLOOKUP(Baseline!Y31,Database_Asfalt_Verwijderset[#All],45,FALSE)*Baseline!I31),0)+_xlfn.IFNA(VLOOKUP(Baseline!Z31,Database_Brandstoffen[#All],45,FALSE)*((Baseline!I31/Baseline!AB31)*Baseline!AA31),0)&gt;0,_xlfn.IFNA((VLOOKUP(Baseline!Y31,Database_Asfalt_Verwijderset[#All],45,FALSE)*Baseline!I31),0)+_xlfn.IFNA(VLOOKUP(Baseline!Z31,Database_Brandstoffen[#All],45,FALSE)*((Baseline!I31/Baseline!AB31)*Baseline!AA31),0),(_xlfn.IFNA(VLOOKUP(Referentie_Fossiele_Energie_Totaal[[#This Row],[Product]]&amp;", "&amp;Referentie_MKI_Totaal[[#Headers],[C1]],Database_Productkaarten[#All],51,FALSE),0)*Baseline!I31)),0)</f>
        <v>0</v>
      </c>
      <c r="M449" s="77">
        <f>IF(Baseline!AD31=0,(IF(Baseline!C31="Bestaande Situatie",(_xlfn.IFNA(VLOOKUP(Referentie_Fossiele_Energie_Totaal[[#This Row],[Product]]&amp;", "&amp;Referentie_MKI_Totaal[[#Headers],[C2]],Database_Productkaarten[#All],51,FALSE),0)*Baseline!I31),0)),(IF(Baseline!C31="Bestaande Situatie",_xlfn.IFNA(VLOOKUP(Baseline!AD31,Database_Transport[#All],45,FALSE)*(Baseline!Q31*Baseline!AC31),0))))</f>
        <v>0</v>
      </c>
      <c r="N449" s="77">
        <f>(IF(Baseline!C31="Bestaande Situatie",(_xlfn.IFNA(VLOOKUP(Referentie_Fossiele_Energie_Totaal[[#This Row],[Product]]&amp;", "&amp;Referentie_Fossiele_Energie_Totaal[[#Headers],[C3]],Database_Productkaarten[#All],51,FALSE),0)*Baseline!I31),0))</f>
        <v>0</v>
      </c>
      <c r="O449" s="77">
        <f>(IF(Baseline!C31="Bestaande Situatie",(_xlfn.IFNA(VLOOKUP(Referentie_Fossiele_Energie_Totaal[[#This Row],[Product]]&amp;", "&amp;Referentie_Fossiele_Energie_Totaal[[#Headers],[C4]],Database_Productkaarten[#All],51,FALSE),0)*Baseline!I31),0))</f>
        <v>0</v>
      </c>
      <c r="P449" s="77">
        <f>(IF(Baseline!C31="Bestaande Situatie",(_xlfn.IFNA(VLOOKUP(Referentie_Fossiele_Energie_Totaal[[#This Row],[Product]]&amp;", "&amp;Referentie_Fossiele_Energie_Totaal[[#Headers],[D1]],Database_Productkaarten[#All],51,FALSE),0)*Baseline!I31),0))</f>
        <v>0</v>
      </c>
      <c r="Q449" s="78">
        <f>(IF(Baseline!C31="Bestaande Situatie",_xlfn.IFNA(VLOOKUP(Referentie_Fossiele_Energie_Totaal[[#This Row],[Product]]&amp;", "&amp;Referentie_Fossiele_Energie_Totaal[[#Headers],[D2]],Database_Productkaarten[#All],51,FALSE),0)*Baseline!I31,0))</f>
        <v>0</v>
      </c>
      <c r="R449" s="57">
        <f>(IF(Baseline!C31="Bestaande Situatie",_xlfn.IFNA(VLOOKUP(Referentie_Fossiele_Energie_Totaal[[#This Row],[Product]]&amp;", "&amp;Referentie_Fossiele_Energie_Totaal[[#Headers],[D]],Database_Productkaarten[#All],51,FALSE),0)*Baseline!I31,0))</f>
        <v>0</v>
      </c>
      <c r="S449" s="56">
        <f>SUM(Referentie_Fossiele_Energie_Totaal[[#This Row],[A1-A3]:[C4]])+Referentie_Fossiele_Energie_Totaal[[#This Row],[D]]</f>
        <v>173421.29759555531</v>
      </c>
    </row>
    <row r="450" spans="2:19">
      <c r="B450" s="209" t="str">
        <f>Baseline!B32</f>
        <v>440010 - Aanbrengen straatbakstenen DF, Rood (rijweg)</v>
      </c>
      <c r="C450" s="76" t="str">
        <f>Baseline!F32</f>
        <v>Baksteen</v>
      </c>
      <c r="D450" s="77">
        <f>(IF(Baseline!C32="Nieuwe Situatie",(_xlfn.IFNA(VLOOKUP(Referentie_Fossiele_Energie_Totaal[[#This Row],[Product]]&amp;", "&amp;Referentie_Fossiele_Energie_Totaal[[#Headers],[A1]],Database_Productkaarten[#All],51,FALSE),0)*Baseline!I32),0))</f>
        <v>0</v>
      </c>
      <c r="E450" s="77">
        <f>(IF(Baseline!C32="Nieuwe Situatie",(_xlfn.IFNA(VLOOKUP(Referentie_Fossiele_Energie_Totaal[[#This Row],[Product]]&amp;", "&amp;Referentie_Fossiele_Energie_Totaal[[#Headers],[A2]],Database_Productkaarten[#All],51,FALSE),0)*Baseline!I32),0))</f>
        <v>0</v>
      </c>
      <c r="F450" s="77">
        <f>(IF(Baseline!C32="Nieuwe Situatie",(_xlfn.IFNA(VLOOKUP(Referentie_Fossiele_Energie_Totaal[[#This Row],[Product]]&amp;", "&amp;Referentie_Fossiele_Energie_Totaal[[#Headers],[A3]],Database_Productkaarten[#All],51,FALSE),0)*Baseline!I32),0))</f>
        <v>0</v>
      </c>
      <c r="G450" s="77">
        <f>(IF(Baseline!C32="Nieuwe Situatie",(_xlfn.IFNA(VLOOKUP(Referentie_Fossiele_Energie_Totaal[[#This Row],[Product]]&amp;", "&amp;Referentie_Fossiele_Energie_Totaal[[#Headers],[A1-A3]],Database_Productkaarten[#All],51,FALSE),0)*Baseline!I32),0))</f>
        <v>612090.5</v>
      </c>
      <c r="H450" s="77">
        <f>IF(Baseline!T32=0,(IF(Baseline!C32="Nieuwe Situatie",(_xlfn.IFNA(VLOOKUP(Referentie_Fossiele_Energie_Totaal[[#This Row],[Product]]&amp;", "&amp;Referentie_CO2_Totaal[[#Headers],[A4]],Database_Productkaarten[#All],51,FALSE),0)*Baseline!I32),0)),IF(Baseline!C32="Nieuwe Situatie",_xlfn.IFNA(VLOOKUP(Baseline!T32,Database_Transport[#All],45,FALSE)*(Baseline!Q32*Baseline!S32),Baseline_Backlog!H135),0))</f>
        <v>54092.573599399999</v>
      </c>
      <c r="I450" s="77">
        <f>IF(Baseline!C32="Nieuwe situatie",IF(_xlfn.IFNA((VLOOKUP(Baseline!U32,Database_Asfalt_Aanlegset[#All],45,FALSE)*Baseline!I32),0)+_xlfn.IFNA(VLOOKUP(Baseline!V32,Database_Brandstoffen[#All],45,FALSE)*((Baseline!I32/Baseline!X32)*Baseline!W32),0)&gt;0,_xlfn.IFNA((VLOOKUP(Baseline!U32,Database_Asfalt_Aanlegset[#All],45,FALSE)*Baseline!I32),0)+_xlfn.IFNA(VLOOKUP(Baseline!V32,Database_Brandstoffen[#All],45,FALSE)*((Baseline!I32/Baseline!X32)*Baseline!W32),0),(_xlfn.IFNA(VLOOKUP(Referentie_Fossiele_Energie_Totaal[[#This Row],[Product]]&amp;", "&amp;Referentie_MKI_Totaal[[#Headers],[A5]],Database_Productkaarten[#All],51,FALSE),0)*Baseline!I32)),0)</f>
        <v>541585.65550566756</v>
      </c>
      <c r="J450" s="77">
        <f>(IF(Baseline!C32="Nieuwe Situatie",(_xlfn.IFNA(VLOOKUP(Referentie_Fossiele_Energie_Totaal[[#This Row],[Product]]&amp;", "&amp;Referentie_Fossiele_Energie_Totaal[[#Headers],[B1]],Database_Productkaarten[#All],51,FALSE),0)*Baseline!I32),0))</f>
        <v>0</v>
      </c>
      <c r="K450" s="77">
        <f>(IF(Baseline!C32="Nieuwe Situatie",(SUM(Referentie_Fossiele_Energie_Totaal[[#This Row],[A1]:[B1]],Referentie_Fossiele_Energie_Totaal[[#This Row],[C1]:[D2]])*Baseline!R32),0))</f>
        <v>0</v>
      </c>
      <c r="L450" s="77">
        <f>IF(Baseline!C32="Bestaande situatie",IF(_xlfn.IFNA((VLOOKUP(Baseline!Y32,Database_Asfalt_Verwijderset[#All],45,FALSE)*Baseline!I32),0)+_xlfn.IFNA(VLOOKUP(Baseline!Z32,Database_Brandstoffen[#All],45,FALSE)*((Baseline!I32/Baseline!AB32)*Baseline!AA32),0)&gt;0,_xlfn.IFNA((VLOOKUP(Baseline!Y32,Database_Asfalt_Verwijderset[#All],45,FALSE)*Baseline!I32),0)+_xlfn.IFNA(VLOOKUP(Baseline!Z32,Database_Brandstoffen[#All],45,FALSE)*((Baseline!I32/Baseline!AB32)*Baseline!AA32),0),(_xlfn.IFNA(VLOOKUP(Referentie_Fossiele_Energie_Totaal[[#This Row],[Product]]&amp;", "&amp;Referentie_MKI_Totaal[[#Headers],[C1]],Database_Productkaarten[#All],51,FALSE),0)*Baseline!I32)),0)</f>
        <v>0</v>
      </c>
      <c r="M450" s="77">
        <f>IF(Baseline!AD32=0,(IF(Baseline!C32="Bestaande Situatie",(_xlfn.IFNA(VLOOKUP(Referentie_Fossiele_Energie_Totaal[[#This Row],[Product]]&amp;", "&amp;Referentie_MKI_Totaal[[#Headers],[C2]],Database_Productkaarten[#All],51,FALSE),0)*Baseline!I32),0)),(IF(Baseline!C32="Bestaande Situatie",_xlfn.IFNA(VLOOKUP(Baseline!AD32,Database_Transport[#All],45,FALSE)*(Baseline!Q32*Baseline!AC32),0))))</f>
        <v>0</v>
      </c>
      <c r="N450" s="77">
        <f>(IF(Baseline!C32="Bestaande Situatie",(_xlfn.IFNA(VLOOKUP(Referentie_Fossiele_Energie_Totaal[[#This Row],[Product]]&amp;", "&amp;Referentie_Fossiele_Energie_Totaal[[#Headers],[C3]],Database_Productkaarten[#All],51,FALSE),0)*Baseline!I32),0))</f>
        <v>0</v>
      </c>
      <c r="O450" s="77">
        <f>(IF(Baseline!C32="Bestaande Situatie",(_xlfn.IFNA(VLOOKUP(Referentie_Fossiele_Energie_Totaal[[#This Row],[Product]]&amp;", "&amp;Referentie_Fossiele_Energie_Totaal[[#Headers],[C4]],Database_Productkaarten[#All],51,FALSE),0)*Baseline!I32),0))</f>
        <v>0</v>
      </c>
      <c r="P450" s="77">
        <f>(IF(Baseline!C32="Bestaande Situatie",(_xlfn.IFNA(VLOOKUP(Referentie_Fossiele_Energie_Totaal[[#This Row],[Product]]&amp;", "&amp;Referentie_Fossiele_Energie_Totaal[[#Headers],[D1]],Database_Productkaarten[#All],51,FALSE),0)*Baseline!I32),0))</f>
        <v>0</v>
      </c>
      <c r="Q450" s="78">
        <f>(IF(Baseline!C32="Bestaande Situatie",_xlfn.IFNA(VLOOKUP(Referentie_Fossiele_Energie_Totaal[[#This Row],[Product]]&amp;", "&amp;Referentie_Fossiele_Energie_Totaal[[#Headers],[D2]],Database_Productkaarten[#All],51,FALSE),0)*Baseline!I32,0))</f>
        <v>0</v>
      </c>
      <c r="R450" s="57">
        <f>(IF(Baseline!C32="Bestaande Situatie",_xlfn.IFNA(VLOOKUP(Referentie_Fossiele_Energie_Totaal[[#This Row],[Product]]&amp;", "&amp;Referentie_Fossiele_Energie_Totaal[[#Headers],[D]],Database_Productkaarten[#All],51,FALSE),0)*Baseline!I32,0))</f>
        <v>0</v>
      </c>
      <c r="S450" s="56">
        <f>SUM(Referentie_Fossiele_Energie_Totaal[[#This Row],[A1-A3]:[C4]])+Referentie_Fossiele_Energie_Totaal[[#This Row],[D]]</f>
        <v>1207768.7291050674</v>
      </c>
    </row>
    <row r="451" spans="2:19">
      <c r="B451" s="209" t="str">
        <f>Baseline!B33</f>
        <v>440020 - Aanbrengen straatbakstenen DF, Geel (rijweg/ plein)</v>
      </c>
      <c r="C451" s="76" t="str">
        <f>Baseline!F33</f>
        <v>Baksteen</v>
      </c>
      <c r="D451" s="77">
        <f>(IF(Baseline!C33="Nieuwe Situatie",(_xlfn.IFNA(VLOOKUP(Referentie_Fossiele_Energie_Totaal[[#This Row],[Product]]&amp;", "&amp;Referentie_Fossiele_Energie_Totaal[[#Headers],[A1]],Database_Productkaarten[#All],51,FALSE),0)*Baseline!I33),0))</f>
        <v>0</v>
      </c>
      <c r="E451" s="77">
        <f>(IF(Baseline!C33="Nieuwe Situatie",(_xlfn.IFNA(VLOOKUP(Referentie_Fossiele_Energie_Totaal[[#This Row],[Product]]&amp;", "&amp;Referentie_Fossiele_Energie_Totaal[[#Headers],[A2]],Database_Productkaarten[#All],51,FALSE),0)*Baseline!I33),0))</f>
        <v>0</v>
      </c>
      <c r="F451" s="77">
        <f>(IF(Baseline!C33="Nieuwe Situatie",(_xlfn.IFNA(VLOOKUP(Referentie_Fossiele_Energie_Totaal[[#This Row],[Product]]&amp;", "&amp;Referentie_Fossiele_Energie_Totaal[[#Headers],[A3]],Database_Productkaarten[#All],51,FALSE),0)*Baseline!I33),0))</f>
        <v>0</v>
      </c>
      <c r="G451" s="77">
        <f>(IF(Baseline!C33="Nieuwe Situatie",(_xlfn.IFNA(VLOOKUP(Referentie_Fossiele_Energie_Totaal[[#This Row],[Product]]&amp;", "&amp;Referentie_Fossiele_Energie_Totaal[[#Headers],[A1-A3]],Database_Productkaarten[#All],51,FALSE),0)*Baseline!I33),0))</f>
        <v>906167.5</v>
      </c>
      <c r="H451" s="77">
        <f>IF(Baseline!T33=0,(IF(Baseline!C33="Nieuwe Situatie",(_xlfn.IFNA(VLOOKUP(Referentie_Fossiele_Energie_Totaal[[#This Row],[Product]]&amp;", "&amp;Referentie_CO2_Totaal[[#Headers],[A4]],Database_Productkaarten[#All],51,FALSE),0)*Baseline!I33),0)),IF(Baseline!C33="Nieuwe Situatie",_xlfn.IFNA(VLOOKUP(Baseline!T33,Database_Transport[#All],45,FALSE)*(Baseline!Q33*Baseline!S33),Baseline_Backlog!H136),0))</f>
        <v>80081.184378999998</v>
      </c>
      <c r="I451" s="77">
        <f>IF(Baseline!C33="Nieuwe situatie",IF(_xlfn.IFNA((VLOOKUP(Baseline!U33,Database_Asfalt_Aanlegset[#All],45,FALSE)*Baseline!I33),0)+_xlfn.IFNA(VLOOKUP(Baseline!V33,Database_Brandstoffen[#All],45,FALSE)*((Baseline!I33/Baseline!X33)*Baseline!W33),0)&gt;0,_xlfn.IFNA((VLOOKUP(Baseline!U33,Database_Asfalt_Aanlegset[#All],45,FALSE)*Baseline!I33),0)+_xlfn.IFNA(VLOOKUP(Baseline!V33,Database_Brandstoffen[#All],45,FALSE)*((Baseline!I33/Baseline!X33)*Baseline!W33),0),(_xlfn.IFNA(VLOOKUP(Referentie_Fossiele_Energie_Totaal[[#This Row],[Product]]&amp;", "&amp;Referentie_MKI_Totaal[[#Headers],[A5]],Database_Productkaarten[#All],51,FALSE),0)*Baseline!I33)),0)</f>
        <v>801788.81960336247</v>
      </c>
      <c r="J451" s="77">
        <f>(IF(Baseline!C33="Nieuwe Situatie",(_xlfn.IFNA(VLOOKUP(Referentie_Fossiele_Energie_Totaal[[#This Row],[Product]]&amp;", "&amp;Referentie_Fossiele_Energie_Totaal[[#Headers],[B1]],Database_Productkaarten[#All],51,FALSE),0)*Baseline!I33),0))</f>
        <v>0</v>
      </c>
      <c r="K451" s="77">
        <f>(IF(Baseline!C33="Nieuwe Situatie",(SUM(Referentie_Fossiele_Energie_Totaal[[#This Row],[A1]:[B1]],Referentie_Fossiele_Energie_Totaal[[#This Row],[C1]:[D2]])*Baseline!R33),0))</f>
        <v>0</v>
      </c>
      <c r="L451" s="77">
        <f>IF(Baseline!C33="Bestaande situatie",IF(_xlfn.IFNA((VLOOKUP(Baseline!Y33,Database_Asfalt_Verwijderset[#All],45,FALSE)*Baseline!I33),0)+_xlfn.IFNA(VLOOKUP(Baseline!Z33,Database_Brandstoffen[#All],45,FALSE)*((Baseline!I33/Baseline!AB33)*Baseline!AA33),0)&gt;0,_xlfn.IFNA((VLOOKUP(Baseline!Y33,Database_Asfalt_Verwijderset[#All],45,FALSE)*Baseline!I33),0)+_xlfn.IFNA(VLOOKUP(Baseline!Z33,Database_Brandstoffen[#All],45,FALSE)*((Baseline!I33/Baseline!AB33)*Baseline!AA33),0),(_xlfn.IFNA(VLOOKUP(Referentie_Fossiele_Energie_Totaal[[#This Row],[Product]]&amp;", "&amp;Referentie_MKI_Totaal[[#Headers],[C1]],Database_Productkaarten[#All],51,FALSE),0)*Baseline!I33)),0)</f>
        <v>0</v>
      </c>
      <c r="M451" s="77">
        <f>IF(Baseline!AD33=0,(IF(Baseline!C33="Bestaande Situatie",(_xlfn.IFNA(VLOOKUP(Referentie_Fossiele_Energie_Totaal[[#This Row],[Product]]&amp;", "&amp;Referentie_MKI_Totaal[[#Headers],[C2]],Database_Productkaarten[#All],51,FALSE),0)*Baseline!I33),0)),(IF(Baseline!C33="Bestaande Situatie",_xlfn.IFNA(VLOOKUP(Baseline!AD33,Database_Transport[#All],45,FALSE)*(Baseline!Q33*Baseline!AC33),0))))</f>
        <v>0</v>
      </c>
      <c r="N451" s="77">
        <f>(IF(Baseline!C33="Bestaande Situatie",(_xlfn.IFNA(VLOOKUP(Referentie_Fossiele_Energie_Totaal[[#This Row],[Product]]&amp;", "&amp;Referentie_Fossiele_Energie_Totaal[[#Headers],[C3]],Database_Productkaarten[#All],51,FALSE),0)*Baseline!I33),0))</f>
        <v>0</v>
      </c>
      <c r="O451" s="77">
        <f>(IF(Baseline!C33="Bestaande Situatie",(_xlfn.IFNA(VLOOKUP(Referentie_Fossiele_Energie_Totaal[[#This Row],[Product]]&amp;", "&amp;Referentie_Fossiele_Energie_Totaal[[#Headers],[C4]],Database_Productkaarten[#All],51,FALSE),0)*Baseline!I33),0))</f>
        <v>0</v>
      </c>
      <c r="P451" s="77">
        <f>(IF(Baseline!C33="Bestaande Situatie",(_xlfn.IFNA(VLOOKUP(Referentie_Fossiele_Energie_Totaal[[#This Row],[Product]]&amp;", "&amp;Referentie_Fossiele_Energie_Totaal[[#Headers],[D1]],Database_Productkaarten[#All],51,FALSE),0)*Baseline!I33),0))</f>
        <v>0</v>
      </c>
      <c r="Q451" s="78">
        <f>(IF(Baseline!C33="Bestaande Situatie",_xlfn.IFNA(VLOOKUP(Referentie_Fossiele_Energie_Totaal[[#This Row],[Product]]&amp;", "&amp;Referentie_Fossiele_Energie_Totaal[[#Headers],[D2]],Database_Productkaarten[#All],51,FALSE),0)*Baseline!I33,0))</f>
        <v>0</v>
      </c>
      <c r="R451" s="57">
        <f>(IF(Baseline!C33="Bestaande Situatie",_xlfn.IFNA(VLOOKUP(Referentie_Fossiele_Energie_Totaal[[#This Row],[Product]]&amp;", "&amp;Referentie_Fossiele_Energie_Totaal[[#Headers],[D]],Database_Productkaarten[#All],51,FALSE),0)*Baseline!I33,0))</f>
        <v>0</v>
      </c>
      <c r="S451" s="56">
        <f>SUM(Referentie_Fossiele_Energie_Totaal[[#This Row],[A1-A3]:[C4]])+Referentie_Fossiele_Energie_Totaal[[#This Row],[D]]</f>
        <v>1788037.5039823623</v>
      </c>
    </row>
    <row r="452" spans="2:19">
      <c r="B452" s="209" t="str">
        <f>Baseline!B34</f>
        <v>440030 - Aanbrengen straatbakstenen DF, Rood (parkeervakken)</v>
      </c>
      <c r="C452" s="76" t="str">
        <f>Baseline!F34</f>
        <v>Baksteen</v>
      </c>
      <c r="D452" s="77">
        <f>(IF(Baseline!C34="Nieuwe Situatie",(_xlfn.IFNA(VLOOKUP(Referentie_Fossiele_Energie_Totaal[[#This Row],[Product]]&amp;", "&amp;Referentie_Fossiele_Energie_Totaal[[#Headers],[A1]],Database_Productkaarten[#All],51,FALSE),0)*Baseline!I34),0))</f>
        <v>0</v>
      </c>
      <c r="E452" s="77">
        <f>(IF(Baseline!C34="Nieuwe Situatie",(_xlfn.IFNA(VLOOKUP(Referentie_Fossiele_Energie_Totaal[[#This Row],[Product]]&amp;", "&amp;Referentie_Fossiele_Energie_Totaal[[#Headers],[A2]],Database_Productkaarten[#All],51,FALSE),0)*Baseline!I34),0))</f>
        <v>0</v>
      </c>
      <c r="F452" s="77">
        <f>(IF(Baseline!C34="Nieuwe Situatie",(_xlfn.IFNA(VLOOKUP(Referentie_Fossiele_Energie_Totaal[[#This Row],[Product]]&amp;", "&amp;Referentie_Fossiele_Energie_Totaal[[#Headers],[A3]],Database_Productkaarten[#All],51,FALSE),0)*Baseline!I34),0))</f>
        <v>0</v>
      </c>
      <c r="G452" s="77">
        <f>(IF(Baseline!C34="Nieuwe Situatie",(_xlfn.IFNA(VLOOKUP(Referentie_Fossiele_Energie_Totaal[[#This Row],[Product]]&amp;", "&amp;Referentie_Fossiele_Energie_Totaal[[#Headers],[A1-A3]],Database_Productkaarten[#All],51,FALSE),0)*Baseline!I34),0))</f>
        <v>61062.5</v>
      </c>
      <c r="H452" s="77">
        <f>IF(Baseline!T34=0,(IF(Baseline!C34="Nieuwe Situatie",(_xlfn.IFNA(VLOOKUP(Referentie_Fossiele_Energie_Totaal[[#This Row],[Product]]&amp;", "&amp;Referentie_CO2_Totaal[[#Headers],[A4]],Database_Productkaarten[#All],51,FALSE),0)*Baseline!I34),0)),IF(Baseline!C34="Nieuwe Situatie",_xlfn.IFNA(VLOOKUP(Baseline!T34,Database_Transport[#All],45,FALSE)*(Baseline!Q34*Baseline!S34),Baseline_Backlog!H137),0))</f>
        <v>5396.3062250000003</v>
      </c>
      <c r="I452" s="77">
        <f>IF(Baseline!C34="Nieuwe situatie",IF(_xlfn.IFNA((VLOOKUP(Baseline!U34,Database_Asfalt_Aanlegset[#All],45,FALSE)*Baseline!I34),0)+_xlfn.IFNA(VLOOKUP(Baseline!V34,Database_Brandstoffen[#All],45,FALSE)*((Baseline!I34/Baseline!X34)*Baseline!W34),0)&gt;0,_xlfn.IFNA((VLOOKUP(Baseline!U34,Database_Asfalt_Aanlegset[#All],45,FALSE)*Baseline!I34),0)+_xlfn.IFNA(VLOOKUP(Baseline!V34,Database_Brandstoffen[#All],45,FALSE)*((Baseline!I34/Baseline!X34)*Baseline!W34),0),(_xlfn.IFNA(VLOOKUP(Referentie_Fossiele_Energie_Totaal[[#This Row],[Product]]&amp;", "&amp;Referentie_MKI_Totaal[[#Headers],[A5]],Database_Productkaarten[#All],51,FALSE),0)*Baseline!I34)),0)</f>
        <v>54028.896199687493</v>
      </c>
      <c r="J452" s="77">
        <f>(IF(Baseline!C34="Nieuwe Situatie",(_xlfn.IFNA(VLOOKUP(Referentie_Fossiele_Energie_Totaal[[#This Row],[Product]]&amp;", "&amp;Referentie_Fossiele_Energie_Totaal[[#Headers],[B1]],Database_Productkaarten[#All],51,FALSE),0)*Baseline!I34),0))</f>
        <v>0</v>
      </c>
      <c r="K452" s="77">
        <f>(IF(Baseline!C34="Nieuwe Situatie",(SUM(Referentie_Fossiele_Energie_Totaal[[#This Row],[A1]:[B1]],Referentie_Fossiele_Energie_Totaal[[#This Row],[C1]:[D2]])*Baseline!R34),0))</f>
        <v>0</v>
      </c>
      <c r="L452" s="77">
        <f>IF(Baseline!C34="Bestaande situatie",IF(_xlfn.IFNA((VLOOKUP(Baseline!Y34,Database_Asfalt_Verwijderset[#All],45,FALSE)*Baseline!I34),0)+_xlfn.IFNA(VLOOKUP(Baseline!Z34,Database_Brandstoffen[#All],45,FALSE)*((Baseline!I34/Baseline!AB34)*Baseline!AA34),0)&gt;0,_xlfn.IFNA((VLOOKUP(Baseline!Y34,Database_Asfalt_Verwijderset[#All],45,FALSE)*Baseline!I34),0)+_xlfn.IFNA(VLOOKUP(Baseline!Z34,Database_Brandstoffen[#All],45,FALSE)*((Baseline!I34/Baseline!AB34)*Baseline!AA34),0),(_xlfn.IFNA(VLOOKUP(Referentie_Fossiele_Energie_Totaal[[#This Row],[Product]]&amp;", "&amp;Referentie_MKI_Totaal[[#Headers],[C1]],Database_Productkaarten[#All],51,FALSE),0)*Baseline!I34)),0)</f>
        <v>0</v>
      </c>
      <c r="M452" s="77">
        <f>IF(Baseline!AD34=0,(IF(Baseline!C34="Bestaande Situatie",(_xlfn.IFNA(VLOOKUP(Referentie_Fossiele_Energie_Totaal[[#This Row],[Product]]&amp;", "&amp;Referentie_MKI_Totaal[[#Headers],[C2]],Database_Productkaarten[#All],51,FALSE),0)*Baseline!I34),0)),(IF(Baseline!C34="Bestaande Situatie",_xlfn.IFNA(VLOOKUP(Baseline!AD34,Database_Transport[#All],45,FALSE)*(Baseline!Q34*Baseline!AC34),0))))</f>
        <v>0</v>
      </c>
      <c r="N452" s="77">
        <f>(IF(Baseline!C34="Bestaande Situatie",(_xlfn.IFNA(VLOOKUP(Referentie_Fossiele_Energie_Totaal[[#This Row],[Product]]&amp;", "&amp;Referentie_Fossiele_Energie_Totaal[[#Headers],[C3]],Database_Productkaarten[#All],51,FALSE),0)*Baseline!I34),0))</f>
        <v>0</v>
      </c>
      <c r="O452" s="77">
        <f>(IF(Baseline!C34="Bestaande Situatie",(_xlfn.IFNA(VLOOKUP(Referentie_Fossiele_Energie_Totaal[[#This Row],[Product]]&amp;", "&amp;Referentie_Fossiele_Energie_Totaal[[#Headers],[C4]],Database_Productkaarten[#All],51,FALSE),0)*Baseline!I34),0))</f>
        <v>0</v>
      </c>
      <c r="P452" s="77">
        <f>(IF(Baseline!C34="Bestaande Situatie",(_xlfn.IFNA(VLOOKUP(Referentie_Fossiele_Energie_Totaal[[#This Row],[Product]]&amp;", "&amp;Referentie_Fossiele_Energie_Totaal[[#Headers],[D1]],Database_Productkaarten[#All],51,FALSE),0)*Baseline!I34),0))</f>
        <v>0</v>
      </c>
      <c r="Q452" s="78">
        <f>(IF(Baseline!C34="Bestaande Situatie",_xlfn.IFNA(VLOOKUP(Referentie_Fossiele_Energie_Totaal[[#This Row],[Product]]&amp;", "&amp;Referentie_Fossiele_Energie_Totaal[[#Headers],[D2]],Database_Productkaarten[#All],51,FALSE),0)*Baseline!I34,0))</f>
        <v>0</v>
      </c>
      <c r="R452" s="57">
        <f>(IF(Baseline!C34="Bestaande Situatie",_xlfn.IFNA(VLOOKUP(Referentie_Fossiele_Energie_Totaal[[#This Row],[Product]]&amp;", "&amp;Referentie_Fossiele_Energie_Totaal[[#Headers],[D]],Database_Productkaarten[#All],51,FALSE),0)*Baseline!I34,0))</f>
        <v>0</v>
      </c>
      <c r="S452" s="56">
        <f>SUM(Referentie_Fossiele_Energie_Totaal[[#This Row],[A1-A3]:[C4]])+Referentie_Fossiele_Energie_Totaal[[#This Row],[D]]</f>
        <v>120487.70242468751</v>
      </c>
    </row>
    <row r="453" spans="2:19">
      <c r="B453" s="209" t="str">
        <f>Baseline!B35</f>
        <v>440040 - Aanbrengen straatbakstenen DF, Geel (parkeervakken)</v>
      </c>
      <c r="C453" s="76" t="str">
        <f>Baseline!F35</f>
        <v>Baksteen</v>
      </c>
      <c r="D453" s="77">
        <f>(IF(Baseline!C35="Nieuwe Situatie",(_xlfn.IFNA(VLOOKUP(Referentie_Fossiele_Energie_Totaal[[#This Row],[Product]]&amp;", "&amp;Referentie_Fossiele_Energie_Totaal[[#Headers],[A1]],Database_Productkaarten[#All],51,FALSE),0)*Baseline!I35),0))</f>
        <v>0</v>
      </c>
      <c r="E453" s="77">
        <f>(IF(Baseline!C35="Nieuwe Situatie",(_xlfn.IFNA(VLOOKUP(Referentie_Fossiele_Energie_Totaal[[#This Row],[Product]]&amp;", "&amp;Referentie_Fossiele_Energie_Totaal[[#Headers],[A2]],Database_Productkaarten[#All],51,FALSE),0)*Baseline!I35),0))</f>
        <v>0</v>
      </c>
      <c r="F453" s="77">
        <f>(IF(Baseline!C35="Nieuwe Situatie",(_xlfn.IFNA(VLOOKUP(Referentie_Fossiele_Energie_Totaal[[#This Row],[Product]]&amp;", "&amp;Referentie_Fossiele_Energie_Totaal[[#Headers],[A3]],Database_Productkaarten[#All],51,FALSE),0)*Baseline!I35),0))</f>
        <v>0</v>
      </c>
      <c r="G453" s="77">
        <f>(IF(Baseline!C35="Nieuwe Situatie",(_xlfn.IFNA(VLOOKUP(Referentie_Fossiele_Energie_Totaal[[#This Row],[Product]]&amp;", "&amp;Referentie_Fossiele_Energie_Totaal[[#Headers],[A1-A3]],Database_Productkaarten[#All],51,FALSE),0)*Baseline!I35),0))</f>
        <v>69367</v>
      </c>
      <c r="H453" s="77">
        <f>IF(Baseline!T35=0,(IF(Baseline!C35="Nieuwe Situatie",(_xlfn.IFNA(VLOOKUP(Referentie_Fossiele_Energie_Totaal[[#This Row],[Product]]&amp;", "&amp;Referentie_CO2_Totaal[[#Headers],[A4]],Database_Productkaarten[#All],51,FALSE),0)*Baseline!I35),0)),IF(Baseline!C35="Nieuwe Situatie",_xlfn.IFNA(VLOOKUP(Baseline!T35,Database_Transport[#All],45,FALSE)*(Baseline!Q35*Baseline!S35),Baseline_Backlog!H138),0))</f>
        <v>6130.2038715999997</v>
      </c>
      <c r="I453" s="77">
        <f>IF(Baseline!C35="Nieuwe situatie",IF(_xlfn.IFNA((VLOOKUP(Baseline!U35,Database_Asfalt_Aanlegset[#All],45,FALSE)*Baseline!I35),0)+_xlfn.IFNA(VLOOKUP(Baseline!V35,Database_Brandstoffen[#All],45,FALSE)*((Baseline!I35/Baseline!X35)*Baseline!W35),0)&gt;0,_xlfn.IFNA((VLOOKUP(Baseline!U35,Database_Asfalt_Aanlegset[#All],45,FALSE)*Baseline!I35),0)+_xlfn.IFNA(VLOOKUP(Baseline!V35,Database_Brandstoffen[#All],45,FALSE)*((Baseline!I35/Baseline!X35)*Baseline!W35),0),(_xlfn.IFNA(VLOOKUP(Referentie_Fossiele_Energie_Totaal[[#This Row],[Product]]&amp;", "&amp;Referentie_MKI_Totaal[[#Headers],[A5]],Database_Productkaarten[#All],51,FALSE),0)*Baseline!I35)),0)</f>
        <v>61376.826082844993</v>
      </c>
      <c r="J453" s="77">
        <f>(IF(Baseline!C35="Nieuwe Situatie",(_xlfn.IFNA(VLOOKUP(Referentie_Fossiele_Energie_Totaal[[#This Row],[Product]]&amp;", "&amp;Referentie_Fossiele_Energie_Totaal[[#Headers],[B1]],Database_Productkaarten[#All],51,FALSE),0)*Baseline!I35),0))</f>
        <v>0</v>
      </c>
      <c r="K453" s="77">
        <f>(IF(Baseline!C35="Nieuwe Situatie",(SUM(Referentie_Fossiele_Energie_Totaal[[#This Row],[A1]:[B1]],Referentie_Fossiele_Energie_Totaal[[#This Row],[C1]:[D2]])*Baseline!R35),0))</f>
        <v>0</v>
      </c>
      <c r="L453" s="77">
        <f>IF(Baseline!C35="Bestaande situatie",IF(_xlfn.IFNA((VLOOKUP(Baseline!Y35,Database_Asfalt_Verwijderset[#All],45,FALSE)*Baseline!I35),0)+_xlfn.IFNA(VLOOKUP(Baseline!Z35,Database_Brandstoffen[#All],45,FALSE)*((Baseline!I35/Baseline!AB35)*Baseline!AA35),0)&gt;0,_xlfn.IFNA((VLOOKUP(Baseline!Y35,Database_Asfalt_Verwijderset[#All],45,FALSE)*Baseline!I35),0)+_xlfn.IFNA(VLOOKUP(Baseline!Z35,Database_Brandstoffen[#All],45,FALSE)*((Baseline!I35/Baseline!AB35)*Baseline!AA35),0),(_xlfn.IFNA(VLOOKUP(Referentie_Fossiele_Energie_Totaal[[#This Row],[Product]]&amp;", "&amp;Referentie_MKI_Totaal[[#Headers],[C1]],Database_Productkaarten[#All],51,FALSE),0)*Baseline!I35)),0)</f>
        <v>0</v>
      </c>
      <c r="M453" s="77">
        <f>IF(Baseline!AD35=0,(IF(Baseline!C35="Bestaande Situatie",(_xlfn.IFNA(VLOOKUP(Referentie_Fossiele_Energie_Totaal[[#This Row],[Product]]&amp;", "&amp;Referentie_MKI_Totaal[[#Headers],[C2]],Database_Productkaarten[#All],51,FALSE),0)*Baseline!I35),0)),(IF(Baseline!C35="Bestaande Situatie",_xlfn.IFNA(VLOOKUP(Baseline!AD35,Database_Transport[#All],45,FALSE)*(Baseline!Q35*Baseline!AC35),0))))</f>
        <v>0</v>
      </c>
      <c r="N453" s="77">
        <f>(IF(Baseline!C35="Bestaande Situatie",(_xlfn.IFNA(VLOOKUP(Referentie_Fossiele_Energie_Totaal[[#This Row],[Product]]&amp;", "&amp;Referentie_Fossiele_Energie_Totaal[[#Headers],[C3]],Database_Productkaarten[#All],51,FALSE),0)*Baseline!I35),0))</f>
        <v>0</v>
      </c>
      <c r="O453" s="77">
        <f>(IF(Baseline!C35="Bestaande Situatie",(_xlfn.IFNA(VLOOKUP(Referentie_Fossiele_Energie_Totaal[[#This Row],[Product]]&amp;", "&amp;Referentie_Fossiele_Energie_Totaal[[#Headers],[C4]],Database_Productkaarten[#All],51,FALSE),0)*Baseline!I35),0))</f>
        <v>0</v>
      </c>
      <c r="P453" s="77">
        <f>(IF(Baseline!C35="Bestaande Situatie",(_xlfn.IFNA(VLOOKUP(Referentie_Fossiele_Energie_Totaal[[#This Row],[Product]]&amp;", "&amp;Referentie_Fossiele_Energie_Totaal[[#Headers],[D1]],Database_Productkaarten[#All],51,FALSE),0)*Baseline!I35),0))</f>
        <v>0</v>
      </c>
      <c r="Q453" s="78">
        <f>(IF(Baseline!C35="Bestaande Situatie",_xlfn.IFNA(VLOOKUP(Referentie_Fossiele_Energie_Totaal[[#This Row],[Product]]&amp;", "&amp;Referentie_Fossiele_Energie_Totaal[[#Headers],[D2]],Database_Productkaarten[#All],51,FALSE),0)*Baseline!I35,0))</f>
        <v>0</v>
      </c>
      <c r="R453" s="57">
        <f>(IF(Baseline!C35="Bestaande Situatie",_xlfn.IFNA(VLOOKUP(Referentie_Fossiele_Energie_Totaal[[#This Row],[Product]]&amp;", "&amp;Referentie_Fossiele_Energie_Totaal[[#Headers],[D]],Database_Productkaarten[#All],51,FALSE),0)*Baseline!I35,0))</f>
        <v>0</v>
      </c>
      <c r="S453" s="56">
        <f>SUM(Referentie_Fossiele_Energie_Totaal[[#This Row],[A1-A3]:[C4]])+Referentie_Fossiele_Energie_Totaal[[#This Row],[D]]</f>
        <v>136874.029954445</v>
      </c>
    </row>
    <row r="454" spans="2:19">
      <c r="B454" s="209" t="str">
        <f>Baseline!B36</f>
        <v>440050 - Leveren en aanbrengen open (grasbeton) verharding (parkeerplaats)</v>
      </c>
      <c r="C454" s="76" t="str">
        <f>Baseline!F36</f>
        <v>Grasbetontegel CEM I 120 mm</v>
      </c>
      <c r="D454" s="77">
        <f>(IF(Baseline!C36="Nieuwe Situatie",(_xlfn.IFNA(VLOOKUP(Referentie_Fossiele_Energie_Totaal[[#This Row],[Product]]&amp;", "&amp;Referentie_Fossiele_Energie_Totaal[[#Headers],[A1]],Database_Productkaarten[#All],51,FALSE),0)*Baseline!I36),0))</f>
        <v>143000</v>
      </c>
      <c r="E454" s="77">
        <f>(IF(Baseline!C36="Nieuwe Situatie",(_xlfn.IFNA(VLOOKUP(Referentie_Fossiele_Energie_Totaal[[#This Row],[Product]]&amp;", "&amp;Referentie_Fossiele_Energie_Totaal[[#Headers],[A2]],Database_Productkaarten[#All],51,FALSE),0)*Baseline!I36),0))</f>
        <v>0</v>
      </c>
      <c r="F454" s="77">
        <f>(IF(Baseline!C36="Nieuwe Situatie",(_xlfn.IFNA(VLOOKUP(Referentie_Fossiele_Energie_Totaal[[#This Row],[Product]]&amp;", "&amp;Referentie_Fossiele_Energie_Totaal[[#Headers],[A3]],Database_Productkaarten[#All],51,FALSE),0)*Baseline!I36),0))</f>
        <v>0</v>
      </c>
      <c r="G454" s="77">
        <f>(IF(Baseline!C36="Nieuwe Situatie",(_xlfn.IFNA(VLOOKUP(Referentie_Fossiele_Energie_Totaal[[#This Row],[Product]]&amp;", "&amp;Referentie_Fossiele_Energie_Totaal[[#Headers],[A1-A3]],Database_Productkaarten[#All],51,FALSE),0)*Baseline!I36),0))</f>
        <v>143000</v>
      </c>
      <c r="H454" s="77">
        <f>IF(Baseline!T36=0,(IF(Baseline!C36="Nieuwe Situatie",(_xlfn.IFNA(VLOOKUP(Referentie_Fossiele_Energie_Totaal[[#This Row],[Product]]&amp;", "&amp;Referentie_CO2_Totaal[[#Headers],[A4]],Database_Productkaarten[#All],51,FALSE),0)*Baseline!I36),0)),IF(Baseline!C36="Nieuwe Situatie",_xlfn.IFNA(VLOOKUP(Baseline!T36,Database_Transport[#All],45,FALSE)*(Baseline!Q36*Baseline!S36),Baseline_Backlog!H139),0))</f>
        <v>14479.257215205</v>
      </c>
      <c r="I454" s="77">
        <f>IF(Baseline!C36="Nieuwe situatie",IF(_xlfn.IFNA((VLOOKUP(Baseline!U36,Database_Asfalt_Aanlegset[#All],45,FALSE)*Baseline!I36),0)+_xlfn.IFNA(VLOOKUP(Baseline!V36,Database_Brandstoffen[#All],45,FALSE)*((Baseline!I36/Baseline!X36)*Baseline!W36),0)&gt;0,_xlfn.IFNA((VLOOKUP(Baseline!U36,Database_Asfalt_Aanlegset[#All],45,FALSE)*Baseline!I36),0)+_xlfn.IFNA(VLOOKUP(Baseline!V36,Database_Brandstoffen[#All],45,FALSE)*((Baseline!I36/Baseline!X36)*Baseline!W36),0),(_xlfn.IFNA(VLOOKUP(Referentie_Fossiele_Energie_Totaal[[#This Row],[Product]]&amp;", "&amp;Referentie_MKI_Totaal[[#Headers],[A5]],Database_Productkaarten[#All],51,FALSE),0)*Baseline!I36)),0)</f>
        <v>86446.233919499995</v>
      </c>
      <c r="J454" s="77">
        <f>(IF(Baseline!C36="Nieuwe Situatie",(_xlfn.IFNA(VLOOKUP(Referentie_Fossiele_Energie_Totaal[[#This Row],[Product]]&amp;", "&amp;Referentie_Fossiele_Energie_Totaal[[#Headers],[B1]],Database_Productkaarten[#All],51,FALSE),0)*Baseline!I36),0))</f>
        <v>0</v>
      </c>
      <c r="K454" s="77">
        <f>(IF(Baseline!C36="Nieuwe Situatie",(SUM(Referentie_Fossiele_Energie_Totaal[[#This Row],[A1]:[B1]],Referentie_Fossiele_Energie_Totaal[[#This Row],[C1]:[D2]])*Baseline!R36),0))</f>
        <v>0</v>
      </c>
      <c r="L454" s="77">
        <f>IF(Baseline!C36="Bestaande situatie",IF(_xlfn.IFNA((VLOOKUP(Baseline!Y36,Database_Asfalt_Verwijderset[#All],45,FALSE)*Baseline!I36),0)+_xlfn.IFNA(VLOOKUP(Baseline!Z36,Database_Brandstoffen[#All],45,FALSE)*((Baseline!I36/Baseline!AB36)*Baseline!AA36),0)&gt;0,_xlfn.IFNA((VLOOKUP(Baseline!Y36,Database_Asfalt_Verwijderset[#All],45,FALSE)*Baseline!I36),0)+_xlfn.IFNA(VLOOKUP(Baseline!Z36,Database_Brandstoffen[#All],45,FALSE)*((Baseline!I36/Baseline!AB36)*Baseline!AA36),0),(_xlfn.IFNA(VLOOKUP(Referentie_Fossiele_Energie_Totaal[[#This Row],[Product]]&amp;", "&amp;Referentie_MKI_Totaal[[#Headers],[C1]],Database_Productkaarten[#All],51,FALSE),0)*Baseline!I36)),0)</f>
        <v>0</v>
      </c>
      <c r="M454" s="77">
        <f>IF(Baseline!AD36=0,(IF(Baseline!C36="Bestaande Situatie",(_xlfn.IFNA(VLOOKUP(Referentie_Fossiele_Energie_Totaal[[#This Row],[Product]]&amp;", "&amp;Referentie_MKI_Totaal[[#Headers],[C2]],Database_Productkaarten[#All],51,FALSE),0)*Baseline!I36),0)),(IF(Baseline!C36="Bestaande Situatie",_xlfn.IFNA(VLOOKUP(Baseline!AD36,Database_Transport[#All],45,FALSE)*(Baseline!Q36*Baseline!AC36),0))))</f>
        <v>0</v>
      </c>
      <c r="N454" s="77">
        <f>(IF(Baseline!C36="Bestaande Situatie",(_xlfn.IFNA(VLOOKUP(Referentie_Fossiele_Energie_Totaal[[#This Row],[Product]]&amp;", "&amp;Referentie_Fossiele_Energie_Totaal[[#Headers],[C3]],Database_Productkaarten[#All],51,FALSE),0)*Baseline!I36),0))</f>
        <v>0</v>
      </c>
      <c r="O454" s="77">
        <f>(IF(Baseline!C36="Bestaande Situatie",(_xlfn.IFNA(VLOOKUP(Referentie_Fossiele_Energie_Totaal[[#This Row],[Product]]&amp;", "&amp;Referentie_Fossiele_Energie_Totaal[[#Headers],[C4]],Database_Productkaarten[#All],51,FALSE),0)*Baseline!I36),0))</f>
        <v>0</v>
      </c>
      <c r="P454" s="77">
        <f>(IF(Baseline!C36="Bestaande Situatie",(_xlfn.IFNA(VLOOKUP(Referentie_Fossiele_Energie_Totaal[[#This Row],[Product]]&amp;", "&amp;Referentie_Fossiele_Energie_Totaal[[#Headers],[D1]],Database_Productkaarten[#All],51,FALSE),0)*Baseline!I36),0))</f>
        <v>0</v>
      </c>
      <c r="Q454" s="78">
        <f>(IF(Baseline!C36="Bestaande Situatie",_xlfn.IFNA(VLOOKUP(Referentie_Fossiele_Energie_Totaal[[#This Row],[Product]]&amp;", "&amp;Referentie_Fossiele_Energie_Totaal[[#Headers],[D2]],Database_Productkaarten[#All],51,FALSE),0)*Baseline!I36,0))</f>
        <v>0</v>
      </c>
      <c r="R454" s="57">
        <f>(IF(Baseline!C36="Bestaande Situatie",_xlfn.IFNA(VLOOKUP(Referentie_Fossiele_Energie_Totaal[[#This Row],[Product]]&amp;", "&amp;Referentie_Fossiele_Energie_Totaal[[#Headers],[D]],Database_Productkaarten[#All],51,FALSE),0)*Baseline!I36,0))</f>
        <v>0</v>
      </c>
      <c r="S454" s="56">
        <f>SUM(Referentie_Fossiele_Energie_Totaal[[#This Row],[A1-A3]:[C4]])+Referentie_Fossiele_Energie_Totaal[[#This Row],[D]]</f>
        <v>243925.49113470499</v>
      </c>
    </row>
    <row r="455" spans="2:19">
      <c r="B455" s="209" t="str">
        <f>Baseline!B37</f>
        <v>440060 - Aanbrengen straatbakstenen DF, Rood (trottoir)</v>
      </c>
      <c r="C455" s="76" t="str">
        <f>Baseline!F37</f>
        <v>Baksteen</v>
      </c>
      <c r="D455" s="77">
        <f>(IF(Baseline!C37="Nieuwe Situatie",(_xlfn.IFNA(VLOOKUP(Referentie_Fossiele_Energie_Totaal[[#This Row],[Product]]&amp;", "&amp;Referentie_Fossiele_Energie_Totaal[[#Headers],[A1]],Database_Productkaarten[#All],51,FALSE),0)*Baseline!I37),0))</f>
        <v>0</v>
      </c>
      <c r="E455" s="77">
        <f>(IF(Baseline!C37="Nieuwe Situatie",(_xlfn.IFNA(VLOOKUP(Referentie_Fossiele_Energie_Totaal[[#This Row],[Product]]&amp;", "&amp;Referentie_Fossiele_Energie_Totaal[[#Headers],[A2]],Database_Productkaarten[#All],51,FALSE),0)*Baseline!I37),0))</f>
        <v>0</v>
      </c>
      <c r="F455" s="77">
        <f>(IF(Baseline!C37="Nieuwe Situatie",(_xlfn.IFNA(VLOOKUP(Referentie_Fossiele_Energie_Totaal[[#This Row],[Product]]&amp;", "&amp;Referentie_Fossiele_Energie_Totaal[[#Headers],[A3]],Database_Productkaarten[#All],51,FALSE),0)*Baseline!I37),0))</f>
        <v>0</v>
      </c>
      <c r="G455" s="77">
        <f>(IF(Baseline!C37="Nieuwe Situatie",(_xlfn.IFNA(VLOOKUP(Referentie_Fossiele_Energie_Totaal[[#This Row],[Product]]&amp;", "&amp;Referentie_Fossiele_Energie_Totaal[[#Headers],[A1-A3]],Database_Productkaarten[#All],51,FALSE),0)*Baseline!I37),0))</f>
        <v>428903</v>
      </c>
      <c r="H455" s="77">
        <f>IF(Baseline!T37=0,(IF(Baseline!C37="Nieuwe Situatie",(_xlfn.IFNA(VLOOKUP(Referentie_Fossiele_Energie_Totaal[[#This Row],[Product]]&amp;", "&amp;Referentie_CO2_Totaal[[#Headers],[A4]],Database_Productkaarten[#All],51,FALSE),0)*Baseline!I37),0)),IF(Baseline!C37="Nieuwe Situatie",_xlfn.IFNA(VLOOKUP(Baseline!T37,Database_Transport[#All],45,FALSE)*(Baseline!Q37*Baseline!S37),Baseline_Backlog!H140),0))</f>
        <v>37903.654924399998</v>
      </c>
      <c r="I455" s="77">
        <f>IF(Baseline!C37="Nieuwe situatie",IF(_xlfn.IFNA((VLOOKUP(Baseline!U37,Database_Asfalt_Aanlegset[#All],45,FALSE)*Baseline!I37),0)+_xlfn.IFNA(VLOOKUP(Baseline!V37,Database_Brandstoffen[#All],45,FALSE)*((Baseline!I37/Baseline!X37)*Baseline!W37),0)&gt;0,_xlfn.IFNA((VLOOKUP(Baseline!U37,Database_Asfalt_Aanlegset[#All],45,FALSE)*Baseline!I37),0)+_xlfn.IFNA(VLOOKUP(Baseline!V37,Database_Brandstoffen[#All],45,FALSE)*((Baseline!I37/Baseline!X37)*Baseline!W37),0),(_xlfn.IFNA(VLOOKUP(Referentie_Fossiele_Energie_Totaal[[#This Row],[Product]]&amp;", "&amp;Referentie_MKI_Totaal[[#Headers],[A5]],Database_Productkaarten[#All],51,FALSE),0)*Baseline!I37)),0)</f>
        <v>379498.96690660494</v>
      </c>
      <c r="J455" s="77">
        <f>(IF(Baseline!C37="Nieuwe Situatie",(_xlfn.IFNA(VLOOKUP(Referentie_Fossiele_Energie_Totaal[[#This Row],[Product]]&amp;", "&amp;Referentie_Fossiele_Energie_Totaal[[#Headers],[B1]],Database_Productkaarten[#All],51,FALSE),0)*Baseline!I37),0))</f>
        <v>0</v>
      </c>
      <c r="K455" s="77">
        <f>(IF(Baseline!C37="Nieuwe Situatie",(SUM(Referentie_Fossiele_Energie_Totaal[[#This Row],[A1]:[B1]],Referentie_Fossiele_Energie_Totaal[[#This Row],[C1]:[D2]])*Baseline!R37),0))</f>
        <v>0</v>
      </c>
      <c r="L455" s="77">
        <f>IF(Baseline!C37="Bestaande situatie",IF(_xlfn.IFNA((VLOOKUP(Baseline!Y37,Database_Asfalt_Verwijderset[#All],45,FALSE)*Baseline!I37),0)+_xlfn.IFNA(VLOOKUP(Baseline!Z37,Database_Brandstoffen[#All],45,FALSE)*((Baseline!I37/Baseline!AB37)*Baseline!AA37),0)&gt;0,_xlfn.IFNA((VLOOKUP(Baseline!Y37,Database_Asfalt_Verwijderset[#All],45,FALSE)*Baseline!I37),0)+_xlfn.IFNA(VLOOKUP(Baseline!Z37,Database_Brandstoffen[#All],45,FALSE)*((Baseline!I37/Baseline!AB37)*Baseline!AA37),0),(_xlfn.IFNA(VLOOKUP(Referentie_Fossiele_Energie_Totaal[[#This Row],[Product]]&amp;", "&amp;Referentie_MKI_Totaal[[#Headers],[C1]],Database_Productkaarten[#All],51,FALSE),0)*Baseline!I37)),0)</f>
        <v>0</v>
      </c>
      <c r="M455" s="77">
        <f>IF(Baseline!AD37=0,(IF(Baseline!C37="Bestaande Situatie",(_xlfn.IFNA(VLOOKUP(Referentie_Fossiele_Energie_Totaal[[#This Row],[Product]]&amp;", "&amp;Referentie_MKI_Totaal[[#Headers],[C2]],Database_Productkaarten[#All],51,FALSE),0)*Baseline!I37),0)),(IF(Baseline!C37="Bestaande Situatie",_xlfn.IFNA(VLOOKUP(Baseline!AD37,Database_Transport[#All],45,FALSE)*(Baseline!Q37*Baseline!AC37),0))))</f>
        <v>0</v>
      </c>
      <c r="N455" s="77">
        <f>(IF(Baseline!C37="Bestaande Situatie",(_xlfn.IFNA(VLOOKUP(Referentie_Fossiele_Energie_Totaal[[#This Row],[Product]]&amp;", "&amp;Referentie_Fossiele_Energie_Totaal[[#Headers],[C3]],Database_Productkaarten[#All],51,FALSE),0)*Baseline!I37),0))</f>
        <v>0</v>
      </c>
      <c r="O455" s="77">
        <f>(IF(Baseline!C37="Bestaande Situatie",(_xlfn.IFNA(VLOOKUP(Referentie_Fossiele_Energie_Totaal[[#This Row],[Product]]&amp;", "&amp;Referentie_Fossiele_Energie_Totaal[[#Headers],[C4]],Database_Productkaarten[#All],51,FALSE),0)*Baseline!I37),0))</f>
        <v>0</v>
      </c>
      <c r="P455" s="77">
        <f>(IF(Baseline!C37="Bestaande Situatie",(_xlfn.IFNA(VLOOKUP(Referentie_Fossiele_Energie_Totaal[[#This Row],[Product]]&amp;", "&amp;Referentie_Fossiele_Energie_Totaal[[#Headers],[D1]],Database_Productkaarten[#All],51,FALSE),0)*Baseline!I37),0))</f>
        <v>0</v>
      </c>
      <c r="Q455" s="78">
        <f>(IF(Baseline!C37="Bestaande Situatie",_xlfn.IFNA(VLOOKUP(Referentie_Fossiele_Energie_Totaal[[#This Row],[Product]]&amp;", "&amp;Referentie_Fossiele_Energie_Totaal[[#Headers],[D2]],Database_Productkaarten[#All],51,FALSE),0)*Baseline!I37,0))</f>
        <v>0</v>
      </c>
      <c r="R455" s="57">
        <f>(IF(Baseline!C37="Bestaande Situatie",_xlfn.IFNA(VLOOKUP(Referentie_Fossiele_Energie_Totaal[[#This Row],[Product]]&amp;", "&amp;Referentie_Fossiele_Energie_Totaal[[#Headers],[D]],Database_Productkaarten[#All],51,FALSE),0)*Baseline!I37,0))</f>
        <v>0</v>
      </c>
      <c r="S455" s="56">
        <f>SUM(Referentie_Fossiele_Energie_Totaal[[#This Row],[A1-A3]:[C4]])+Referentie_Fossiele_Energie_Totaal[[#This Row],[D]]</f>
        <v>846305.62183100497</v>
      </c>
    </row>
    <row r="456" spans="2:19">
      <c r="B456" s="209" t="str">
        <f>Baseline!B38</f>
        <v>440070 - Aanbrengen straatbakstenen DF, Geel (trottoir)</v>
      </c>
      <c r="C456" s="76" t="str">
        <f>Baseline!F38</f>
        <v>Baksteen</v>
      </c>
      <c r="D456" s="77">
        <f>(IF(Baseline!C38="Nieuwe Situatie",(_xlfn.IFNA(VLOOKUP(Referentie_Fossiele_Energie_Totaal[[#This Row],[Product]]&amp;", "&amp;Referentie_Fossiele_Energie_Totaal[[#Headers],[A1]],Database_Productkaarten[#All],51,FALSE),0)*Baseline!I38),0))</f>
        <v>0</v>
      </c>
      <c r="E456" s="77">
        <f>(IF(Baseline!C38="Nieuwe Situatie",(_xlfn.IFNA(VLOOKUP(Referentie_Fossiele_Energie_Totaal[[#This Row],[Product]]&amp;", "&amp;Referentie_Fossiele_Energie_Totaal[[#Headers],[A2]],Database_Productkaarten[#All],51,FALSE),0)*Baseline!I38),0))</f>
        <v>0</v>
      </c>
      <c r="F456" s="77">
        <f>(IF(Baseline!C38="Nieuwe Situatie",(_xlfn.IFNA(VLOOKUP(Referentie_Fossiele_Energie_Totaal[[#This Row],[Product]]&amp;", "&amp;Referentie_Fossiele_Energie_Totaal[[#Headers],[A3]],Database_Productkaarten[#All],51,FALSE),0)*Baseline!I38),0))</f>
        <v>0</v>
      </c>
      <c r="G456" s="77">
        <f>(IF(Baseline!C38="Nieuwe Situatie",(_xlfn.IFNA(VLOOKUP(Referentie_Fossiele_Energie_Totaal[[#This Row],[Product]]&amp;", "&amp;Referentie_Fossiele_Energie_Totaal[[#Headers],[A1-A3]],Database_Productkaarten[#All],51,FALSE),0)*Baseline!I38),0))</f>
        <v>112355</v>
      </c>
      <c r="H456" s="77">
        <f>IF(Baseline!T38=0,(IF(Baseline!C38="Nieuwe Situatie",(_xlfn.IFNA(VLOOKUP(Referentie_Fossiele_Energie_Totaal[[#This Row],[Product]]&amp;", "&amp;Referentie_CO2_Totaal[[#Headers],[A4]],Database_Productkaarten[#All],51,FALSE),0)*Baseline!I38),0)),IF(Baseline!C38="Nieuwe Situatie",_xlfn.IFNA(VLOOKUP(Baseline!T38,Database_Transport[#All],45,FALSE)*(Baseline!Q38*Baseline!S38),Baseline_Backlog!H141),0))</f>
        <v>9929.2034540000004</v>
      </c>
      <c r="I456" s="77">
        <f>IF(Baseline!C38="Nieuwe situatie",IF(_xlfn.IFNA((VLOOKUP(Baseline!U38,Database_Asfalt_Aanlegset[#All],45,FALSE)*Baseline!I38),0)+_xlfn.IFNA(VLOOKUP(Baseline!V38,Database_Brandstoffen[#All],45,FALSE)*((Baseline!I38/Baseline!X38)*Baseline!W38),0)&gt;0,_xlfn.IFNA((VLOOKUP(Baseline!U38,Database_Asfalt_Aanlegset[#All],45,FALSE)*Baseline!I38),0)+_xlfn.IFNA(VLOOKUP(Baseline!V38,Database_Brandstoffen[#All],45,FALSE)*((Baseline!I38/Baseline!X38)*Baseline!W38),0),(_xlfn.IFNA(VLOOKUP(Referentie_Fossiele_Energie_Totaal[[#This Row],[Product]]&amp;", "&amp;Referentie_MKI_Totaal[[#Headers],[A5]],Database_Productkaarten[#All],51,FALSE),0)*Baseline!I38)),0)</f>
        <v>99413.169007424993</v>
      </c>
      <c r="J456" s="77">
        <f>(IF(Baseline!C38="Nieuwe Situatie",(_xlfn.IFNA(VLOOKUP(Referentie_Fossiele_Energie_Totaal[[#This Row],[Product]]&amp;", "&amp;Referentie_Fossiele_Energie_Totaal[[#Headers],[B1]],Database_Productkaarten[#All],51,FALSE),0)*Baseline!I38),0))</f>
        <v>0</v>
      </c>
      <c r="K456" s="77">
        <f>(IF(Baseline!C38="Nieuwe Situatie",(SUM(Referentie_Fossiele_Energie_Totaal[[#This Row],[A1]:[B1]],Referentie_Fossiele_Energie_Totaal[[#This Row],[C1]:[D2]])*Baseline!R38),0))</f>
        <v>0</v>
      </c>
      <c r="L456" s="77">
        <f>IF(Baseline!C38="Bestaande situatie",IF(_xlfn.IFNA((VLOOKUP(Baseline!Y38,Database_Asfalt_Verwijderset[#All],45,FALSE)*Baseline!I38),0)+_xlfn.IFNA(VLOOKUP(Baseline!Z38,Database_Brandstoffen[#All],45,FALSE)*((Baseline!I38/Baseline!AB38)*Baseline!AA38),0)&gt;0,_xlfn.IFNA((VLOOKUP(Baseline!Y38,Database_Asfalt_Verwijderset[#All],45,FALSE)*Baseline!I38),0)+_xlfn.IFNA(VLOOKUP(Baseline!Z38,Database_Brandstoffen[#All],45,FALSE)*((Baseline!I38/Baseline!AB38)*Baseline!AA38),0),(_xlfn.IFNA(VLOOKUP(Referentie_Fossiele_Energie_Totaal[[#This Row],[Product]]&amp;", "&amp;Referentie_MKI_Totaal[[#Headers],[C1]],Database_Productkaarten[#All],51,FALSE),0)*Baseline!I38)),0)</f>
        <v>0</v>
      </c>
      <c r="M456" s="77">
        <f>IF(Baseline!AD38=0,(IF(Baseline!C38="Bestaande Situatie",(_xlfn.IFNA(VLOOKUP(Referentie_Fossiele_Energie_Totaal[[#This Row],[Product]]&amp;", "&amp;Referentie_MKI_Totaal[[#Headers],[C2]],Database_Productkaarten[#All],51,FALSE),0)*Baseline!I38),0)),(IF(Baseline!C38="Bestaande Situatie",_xlfn.IFNA(VLOOKUP(Baseline!AD38,Database_Transport[#All],45,FALSE)*(Baseline!Q38*Baseline!AC38),0))))</f>
        <v>0</v>
      </c>
      <c r="N456" s="77">
        <f>(IF(Baseline!C38="Bestaande Situatie",(_xlfn.IFNA(VLOOKUP(Referentie_Fossiele_Energie_Totaal[[#This Row],[Product]]&amp;", "&amp;Referentie_Fossiele_Energie_Totaal[[#Headers],[C3]],Database_Productkaarten[#All],51,FALSE),0)*Baseline!I38),0))</f>
        <v>0</v>
      </c>
      <c r="O456" s="77">
        <f>(IF(Baseline!C38="Bestaande Situatie",(_xlfn.IFNA(VLOOKUP(Referentie_Fossiele_Energie_Totaal[[#This Row],[Product]]&amp;", "&amp;Referentie_Fossiele_Energie_Totaal[[#Headers],[C4]],Database_Productkaarten[#All],51,FALSE),0)*Baseline!I38),0))</f>
        <v>0</v>
      </c>
      <c r="P456" s="77">
        <f>(IF(Baseline!C38="Bestaande Situatie",(_xlfn.IFNA(VLOOKUP(Referentie_Fossiele_Energie_Totaal[[#This Row],[Product]]&amp;", "&amp;Referentie_Fossiele_Energie_Totaal[[#Headers],[D1]],Database_Productkaarten[#All],51,FALSE),0)*Baseline!I38),0))</f>
        <v>0</v>
      </c>
      <c r="Q456" s="78">
        <f>(IF(Baseline!C38="Bestaande Situatie",_xlfn.IFNA(VLOOKUP(Referentie_Fossiele_Energie_Totaal[[#This Row],[Product]]&amp;", "&amp;Referentie_Fossiele_Energie_Totaal[[#Headers],[D2]],Database_Productkaarten[#All],51,FALSE),0)*Baseline!I38,0))</f>
        <v>0</v>
      </c>
      <c r="R456" s="57">
        <f>(IF(Baseline!C38="Bestaande Situatie",_xlfn.IFNA(VLOOKUP(Referentie_Fossiele_Energie_Totaal[[#This Row],[Product]]&amp;", "&amp;Referentie_Fossiele_Energie_Totaal[[#Headers],[D]],Database_Productkaarten[#All],51,FALSE),0)*Baseline!I38,0))</f>
        <v>0</v>
      </c>
      <c r="S456" s="56">
        <f>SUM(Referentie_Fossiele_Energie_Totaal[[#This Row],[A1-A3]:[C4]])+Referentie_Fossiele_Energie_Totaal[[#This Row],[D]]</f>
        <v>221697.37246142499</v>
      </c>
    </row>
    <row r="457" spans="2:19">
      <c r="B457" s="209" t="str">
        <f>Baseline!B39</f>
        <v>440090 - Aanbrengen straatbakstenen DF, Rood (drempelopgang)</v>
      </c>
      <c r="C457" s="76" t="str">
        <f>Baseline!F39</f>
        <v>Baksteen</v>
      </c>
      <c r="D457" s="77">
        <f>(IF(Baseline!C39="Nieuwe Situatie",(_xlfn.IFNA(VLOOKUP(Referentie_Fossiele_Energie_Totaal[[#This Row],[Product]]&amp;", "&amp;Referentie_Fossiele_Energie_Totaal[[#Headers],[A1]],Database_Productkaarten[#All],51,FALSE),0)*Baseline!I39),0))</f>
        <v>0</v>
      </c>
      <c r="E457" s="77">
        <f>(IF(Baseline!C39="Nieuwe Situatie",(_xlfn.IFNA(VLOOKUP(Referentie_Fossiele_Energie_Totaal[[#This Row],[Product]]&amp;", "&amp;Referentie_Fossiele_Energie_Totaal[[#Headers],[A2]],Database_Productkaarten[#All],51,FALSE),0)*Baseline!I39),0))</f>
        <v>0</v>
      </c>
      <c r="F457" s="77">
        <f>(IF(Baseline!C39="Nieuwe Situatie",(_xlfn.IFNA(VLOOKUP(Referentie_Fossiele_Energie_Totaal[[#This Row],[Product]]&amp;", "&amp;Referentie_Fossiele_Energie_Totaal[[#Headers],[A3]],Database_Productkaarten[#All],51,FALSE),0)*Baseline!I39),0))</f>
        <v>0</v>
      </c>
      <c r="G457" s="77">
        <f>(IF(Baseline!C39="Nieuwe Situatie",(_xlfn.IFNA(VLOOKUP(Referentie_Fossiele_Energie_Totaal[[#This Row],[Product]]&amp;", "&amp;Referentie_Fossiele_Energie_Totaal[[#Headers],[A1-A3]],Database_Productkaarten[#All],51,FALSE),0)*Baseline!I39),0))</f>
        <v>21982.5</v>
      </c>
      <c r="H457" s="77">
        <f>IF(Baseline!T39=0,(IF(Baseline!C39="Nieuwe Situatie",(_xlfn.IFNA(VLOOKUP(Referentie_Fossiele_Energie_Totaal[[#This Row],[Product]]&amp;", "&amp;Referentie_CO2_Totaal[[#Headers],[A4]],Database_Productkaarten[#All],51,FALSE),0)*Baseline!I39),0)),IF(Baseline!C39="Nieuwe Situatie",_xlfn.IFNA(VLOOKUP(Baseline!T39,Database_Transport[#All],45,FALSE)*(Baseline!Q39*Baseline!S39),Baseline_Backlog!H142),0))</f>
        <v>1942.670241</v>
      </c>
      <c r="I457" s="77">
        <f>IF(Baseline!C39="Nieuwe situatie",IF(_xlfn.IFNA((VLOOKUP(Baseline!U39,Database_Asfalt_Aanlegset[#All],45,FALSE)*Baseline!I39),0)+_xlfn.IFNA(VLOOKUP(Baseline!V39,Database_Brandstoffen[#All],45,FALSE)*((Baseline!I39/Baseline!X39)*Baseline!W39),0)&gt;0,_xlfn.IFNA((VLOOKUP(Baseline!U39,Database_Asfalt_Aanlegset[#All],45,FALSE)*Baseline!I39),0)+_xlfn.IFNA(VLOOKUP(Baseline!V39,Database_Brandstoffen[#All],45,FALSE)*((Baseline!I39/Baseline!X39)*Baseline!W39),0),(_xlfn.IFNA(VLOOKUP(Referentie_Fossiele_Energie_Totaal[[#This Row],[Product]]&amp;", "&amp;Referentie_MKI_Totaal[[#Headers],[A5]],Database_Productkaarten[#All],51,FALSE),0)*Baseline!I39)),0)</f>
        <v>19450.4026318875</v>
      </c>
      <c r="J457" s="77">
        <f>(IF(Baseline!C39="Nieuwe Situatie",(_xlfn.IFNA(VLOOKUP(Referentie_Fossiele_Energie_Totaal[[#This Row],[Product]]&amp;", "&amp;Referentie_Fossiele_Energie_Totaal[[#Headers],[B1]],Database_Productkaarten[#All],51,FALSE),0)*Baseline!I39),0))</f>
        <v>0</v>
      </c>
      <c r="K457" s="77">
        <f>(IF(Baseline!C39="Nieuwe Situatie",(SUM(Referentie_Fossiele_Energie_Totaal[[#This Row],[A1]:[B1]],Referentie_Fossiele_Energie_Totaal[[#This Row],[C1]:[D2]])*Baseline!R39),0))</f>
        <v>0</v>
      </c>
      <c r="L457" s="77">
        <f>IF(Baseline!C39="Bestaande situatie",IF(_xlfn.IFNA((VLOOKUP(Baseline!Y39,Database_Asfalt_Verwijderset[#All],45,FALSE)*Baseline!I39),0)+_xlfn.IFNA(VLOOKUP(Baseline!Z39,Database_Brandstoffen[#All],45,FALSE)*((Baseline!I39/Baseline!AB39)*Baseline!AA39),0)&gt;0,_xlfn.IFNA((VLOOKUP(Baseline!Y39,Database_Asfalt_Verwijderset[#All],45,FALSE)*Baseline!I39),0)+_xlfn.IFNA(VLOOKUP(Baseline!Z39,Database_Brandstoffen[#All],45,FALSE)*((Baseline!I39/Baseline!AB39)*Baseline!AA39),0),(_xlfn.IFNA(VLOOKUP(Referentie_Fossiele_Energie_Totaal[[#This Row],[Product]]&amp;", "&amp;Referentie_MKI_Totaal[[#Headers],[C1]],Database_Productkaarten[#All],51,FALSE),0)*Baseline!I39)),0)</f>
        <v>0</v>
      </c>
      <c r="M457" s="77">
        <f>IF(Baseline!AD39=0,(IF(Baseline!C39="Bestaande Situatie",(_xlfn.IFNA(VLOOKUP(Referentie_Fossiele_Energie_Totaal[[#This Row],[Product]]&amp;", "&amp;Referentie_MKI_Totaal[[#Headers],[C2]],Database_Productkaarten[#All],51,FALSE),0)*Baseline!I39),0)),(IF(Baseline!C39="Bestaande Situatie",_xlfn.IFNA(VLOOKUP(Baseline!AD39,Database_Transport[#All],45,FALSE)*(Baseline!Q39*Baseline!AC39),0))))</f>
        <v>0</v>
      </c>
      <c r="N457" s="77">
        <f>(IF(Baseline!C39="Bestaande Situatie",(_xlfn.IFNA(VLOOKUP(Referentie_Fossiele_Energie_Totaal[[#This Row],[Product]]&amp;", "&amp;Referentie_Fossiele_Energie_Totaal[[#Headers],[C3]],Database_Productkaarten[#All],51,FALSE),0)*Baseline!I39),0))</f>
        <v>0</v>
      </c>
      <c r="O457" s="77">
        <f>(IF(Baseline!C39="Bestaande Situatie",(_xlfn.IFNA(VLOOKUP(Referentie_Fossiele_Energie_Totaal[[#This Row],[Product]]&amp;", "&amp;Referentie_Fossiele_Energie_Totaal[[#Headers],[C4]],Database_Productkaarten[#All],51,FALSE),0)*Baseline!I39),0))</f>
        <v>0</v>
      </c>
      <c r="P457" s="77">
        <f>(IF(Baseline!C39="Bestaande Situatie",(_xlfn.IFNA(VLOOKUP(Referentie_Fossiele_Energie_Totaal[[#This Row],[Product]]&amp;", "&amp;Referentie_Fossiele_Energie_Totaal[[#Headers],[D1]],Database_Productkaarten[#All],51,FALSE),0)*Baseline!I39),0))</f>
        <v>0</v>
      </c>
      <c r="Q457" s="78">
        <f>(IF(Baseline!C39="Bestaande Situatie",_xlfn.IFNA(VLOOKUP(Referentie_Fossiele_Energie_Totaal[[#This Row],[Product]]&amp;", "&amp;Referentie_Fossiele_Energie_Totaal[[#Headers],[D2]],Database_Productkaarten[#All],51,FALSE),0)*Baseline!I39,0))</f>
        <v>0</v>
      </c>
      <c r="R457" s="57">
        <f>(IF(Baseline!C39="Bestaande Situatie",_xlfn.IFNA(VLOOKUP(Referentie_Fossiele_Energie_Totaal[[#This Row],[Product]]&amp;", "&amp;Referentie_Fossiele_Energie_Totaal[[#Headers],[D]],Database_Productkaarten[#All],51,FALSE),0)*Baseline!I39,0))</f>
        <v>0</v>
      </c>
      <c r="S457" s="56">
        <f>SUM(Referentie_Fossiele_Energie_Totaal[[#This Row],[A1-A3]:[C4]])+Referentie_Fossiele_Energie_Totaal[[#This Row],[D]]</f>
        <v>43375.572872887496</v>
      </c>
    </row>
    <row r="458" spans="2:19">
      <c r="B458" s="209">
        <f>Baseline!B40</f>
        <v>0</v>
      </c>
      <c r="C458" s="76">
        <f>Baseline!F40</f>
        <v>0</v>
      </c>
      <c r="D458" s="77">
        <f>(IF(Baseline!C40="Nieuwe Situatie",(_xlfn.IFNA(VLOOKUP(Referentie_Fossiele_Energie_Totaal[[#This Row],[Product]]&amp;", "&amp;Referentie_Fossiele_Energie_Totaal[[#Headers],[A1]],Database_Productkaarten[#All],51,FALSE),0)*Baseline!I40),0))</f>
        <v>0</v>
      </c>
      <c r="E458" s="77">
        <f>(IF(Baseline!C40="Nieuwe Situatie",(_xlfn.IFNA(VLOOKUP(Referentie_Fossiele_Energie_Totaal[[#This Row],[Product]]&amp;", "&amp;Referentie_Fossiele_Energie_Totaal[[#Headers],[A2]],Database_Productkaarten[#All],51,FALSE),0)*Baseline!I40),0))</f>
        <v>0</v>
      </c>
      <c r="F458" s="77">
        <f>(IF(Baseline!C40="Nieuwe Situatie",(_xlfn.IFNA(VLOOKUP(Referentie_Fossiele_Energie_Totaal[[#This Row],[Product]]&amp;", "&amp;Referentie_Fossiele_Energie_Totaal[[#Headers],[A3]],Database_Productkaarten[#All],51,FALSE),0)*Baseline!I40),0))</f>
        <v>0</v>
      </c>
      <c r="G458" s="77">
        <f>(IF(Baseline!C40="Nieuwe Situatie",(_xlfn.IFNA(VLOOKUP(Referentie_Fossiele_Energie_Totaal[[#This Row],[Product]]&amp;", "&amp;Referentie_Fossiele_Energie_Totaal[[#Headers],[A1-A3]],Database_Productkaarten[#All],51,FALSE),0)*Baseline!I40),0))</f>
        <v>0</v>
      </c>
      <c r="H458" s="77">
        <f>IF(Baseline!T40=0,(IF(Baseline!C40="Nieuwe Situatie",(_xlfn.IFNA(VLOOKUP(Referentie_Fossiele_Energie_Totaal[[#This Row],[Product]]&amp;", "&amp;Referentie_CO2_Totaal[[#Headers],[A4]],Database_Productkaarten[#All],51,FALSE),0)*Baseline!I40),0)),IF(Baseline!C40="Nieuwe Situatie",_xlfn.IFNA(VLOOKUP(Baseline!T40,Database_Transport[#All],45,FALSE)*(Baseline!Q40*Baseline!S40),Baseline_Backlog!H143),0))</f>
        <v>0</v>
      </c>
      <c r="I458" s="77">
        <f>IF(Baseline!C40="Nieuwe situatie",IF(_xlfn.IFNA((VLOOKUP(Baseline!U40,Database_Asfalt_Aanlegset[#All],45,FALSE)*Baseline!I40),0)+_xlfn.IFNA(VLOOKUP(Baseline!V40,Database_Brandstoffen[#All],45,FALSE)*((Baseline!I40/Baseline!X40)*Baseline!W40),0)&gt;0,_xlfn.IFNA((VLOOKUP(Baseline!U40,Database_Asfalt_Aanlegset[#All],45,FALSE)*Baseline!I40),0)+_xlfn.IFNA(VLOOKUP(Baseline!V40,Database_Brandstoffen[#All],45,FALSE)*((Baseline!I40/Baseline!X40)*Baseline!W40),0),(_xlfn.IFNA(VLOOKUP(Referentie_Fossiele_Energie_Totaal[[#This Row],[Product]]&amp;", "&amp;Referentie_MKI_Totaal[[#Headers],[A5]],Database_Productkaarten[#All],51,FALSE),0)*Baseline!I40)),0)</f>
        <v>0</v>
      </c>
      <c r="J458" s="77">
        <f>(IF(Baseline!C40="Nieuwe Situatie",(_xlfn.IFNA(VLOOKUP(Referentie_Fossiele_Energie_Totaal[[#This Row],[Product]]&amp;", "&amp;Referentie_Fossiele_Energie_Totaal[[#Headers],[B1]],Database_Productkaarten[#All],51,FALSE),0)*Baseline!I40),0))</f>
        <v>0</v>
      </c>
      <c r="K458" s="77">
        <f>(IF(Baseline!C40="Nieuwe Situatie",(SUM(Referentie_Fossiele_Energie_Totaal[[#This Row],[A1]:[B1]],Referentie_Fossiele_Energie_Totaal[[#This Row],[C1]:[D2]])*Baseline!R40),0))</f>
        <v>0</v>
      </c>
      <c r="L458" s="77">
        <f>IF(Baseline!C40="Bestaande situatie",IF(_xlfn.IFNA((VLOOKUP(Baseline!Y40,Database_Asfalt_Verwijderset[#All],45,FALSE)*Baseline!I40),0)+_xlfn.IFNA(VLOOKUP(Baseline!Z40,Database_Brandstoffen[#All],45,FALSE)*((Baseline!I40/Baseline!AB40)*Baseline!AA40),0)&gt;0,_xlfn.IFNA((VLOOKUP(Baseline!Y40,Database_Asfalt_Verwijderset[#All],45,FALSE)*Baseline!I40),0)+_xlfn.IFNA(VLOOKUP(Baseline!Z40,Database_Brandstoffen[#All],45,FALSE)*((Baseline!I40/Baseline!AB40)*Baseline!AA40),0),(_xlfn.IFNA(VLOOKUP(Referentie_Fossiele_Energie_Totaal[[#This Row],[Product]]&amp;", "&amp;Referentie_MKI_Totaal[[#Headers],[C1]],Database_Productkaarten[#All],51,FALSE),0)*Baseline!I40)),0)</f>
        <v>0</v>
      </c>
      <c r="M458" s="77">
        <f>IF(Baseline!AD40=0,(IF(Baseline!C40="Bestaande Situatie",(_xlfn.IFNA(VLOOKUP(Referentie_Fossiele_Energie_Totaal[[#This Row],[Product]]&amp;", "&amp;Referentie_MKI_Totaal[[#Headers],[C2]],Database_Productkaarten[#All],51,FALSE),0)*Baseline!I40),0)),(IF(Baseline!C40="Bestaande Situatie",_xlfn.IFNA(VLOOKUP(Baseline!AD40,Database_Transport[#All],45,FALSE)*(Baseline!Q40*Baseline!AC40),0))))</f>
        <v>0</v>
      </c>
      <c r="N458" s="77">
        <f>(IF(Baseline!C40="Bestaande Situatie",(_xlfn.IFNA(VLOOKUP(Referentie_Fossiele_Energie_Totaal[[#This Row],[Product]]&amp;", "&amp;Referentie_Fossiele_Energie_Totaal[[#Headers],[C3]],Database_Productkaarten[#All],51,FALSE),0)*Baseline!I40),0))</f>
        <v>0</v>
      </c>
      <c r="O458" s="77">
        <f>(IF(Baseline!C40="Bestaande Situatie",(_xlfn.IFNA(VLOOKUP(Referentie_Fossiele_Energie_Totaal[[#This Row],[Product]]&amp;", "&amp;Referentie_Fossiele_Energie_Totaal[[#Headers],[C4]],Database_Productkaarten[#All],51,FALSE),0)*Baseline!I40),0))</f>
        <v>0</v>
      </c>
      <c r="P458" s="77">
        <f>(IF(Baseline!C40="Bestaande Situatie",(_xlfn.IFNA(VLOOKUP(Referentie_Fossiele_Energie_Totaal[[#This Row],[Product]]&amp;", "&amp;Referentie_Fossiele_Energie_Totaal[[#Headers],[D1]],Database_Productkaarten[#All],51,FALSE),0)*Baseline!I40),0))</f>
        <v>0</v>
      </c>
      <c r="Q458" s="78">
        <f>(IF(Baseline!C40="Bestaande Situatie",_xlfn.IFNA(VLOOKUP(Referentie_Fossiele_Energie_Totaal[[#This Row],[Product]]&amp;", "&amp;Referentie_Fossiele_Energie_Totaal[[#Headers],[D2]],Database_Productkaarten[#All],51,FALSE),0)*Baseline!I40,0))</f>
        <v>0</v>
      </c>
      <c r="R458" s="57">
        <f>(IF(Baseline!C40="Bestaande Situatie",_xlfn.IFNA(VLOOKUP(Referentie_Fossiele_Energie_Totaal[[#This Row],[Product]]&amp;", "&amp;Referentie_Fossiele_Energie_Totaal[[#Headers],[D]],Database_Productkaarten[#All],51,FALSE),0)*Baseline!I40,0))</f>
        <v>0</v>
      </c>
      <c r="S458" s="56">
        <f>SUM(Referentie_Fossiele_Energie_Totaal[[#This Row],[A1-A3]:[C4]])+Referentie_Fossiele_Energie_Totaal[[#This Row],[D]]</f>
        <v>0</v>
      </c>
    </row>
    <row r="459" spans="2:19">
      <c r="B459" s="209">
        <f>Baseline!B41</f>
        <v>0</v>
      </c>
      <c r="C459" s="76">
        <f>Baseline!F41</f>
        <v>0</v>
      </c>
      <c r="D459" s="77">
        <f>(IF(Baseline!C41="Nieuwe Situatie",(_xlfn.IFNA(VLOOKUP(Referentie_Fossiele_Energie_Totaal[[#This Row],[Product]]&amp;", "&amp;Referentie_Fossiele_Energie_Totaal[[#Headers],[A1]],Database_Productkaarten[#All],51,FALSE),0)*Baseline!I41),0))</f>
        <v>0</v>
      </c>
      <c r="E459" s="77">
        <f>(IF(Baseline!C41="Nieuwe Situatie",(_xlfn.IFNA(VLOOKUP(Referentie_Fossiele_Energie_Totaal[[#This Row],[Product]]&amp;", "&amp;Referentie_Fossiele_Energie_Totaal[[#Headers],[A2]],Database_Productkaarten[#All],51,FALSE),0)*Baseline!I41),0))</f>
        <v>0</v>
      </c>
      <c r="F459" s="77">
        <f>(IF(Baseline!C41="Nieuwe Situatie",(_xlfn.IFNA(VLOOKUP(Referentie_Fossiele_Energie_Totaal[[#This Row],[Product]]&amp;", "&amp;Referentie_Fossiele_Energie_Totaal[[#Headers],[A3]],Database_Productkaarten[#All],51,FALSE),0)*Baseline!I41),0))</f>
        <v>0</v>
      </c>
      <c r="G459" s="77">
        <f>(IF(Baseline!C41="Nieuwe Situatie",(_xlfn.IFNA(VLOOKUP(Referentie_Fossiele_Energie_Totaal[[#This Row],[Product]]&amp;", "&amp;Referentie_Fossiele_Energie_Totaal[[#Headers],[A1-A3]],Database_Productkaarten[#All],51,FALSE),0)*Baseline!I41),0))</f>
        <v>0</v>
      </c>
      <c r="H459" s="77">
        <f>IF(Baseline!T41=0,(IF(Baseline!C41="Nieuwe Situatie",(_xlfn.IFNA(VLOOKUP(Referentie_Fossiele_Energie_Totaal[[#This Row],[Product]]&amp;", "&amp;Referentie_CO2_Totaal[[#Headers],[A4]],Database_Productkaarten[#All],51,FALSE),0)*Baseline!I41),0)),IF(Baseline!C41="Nieuwe Situatie",_xlfn.IFNA(VLOOKUP(Baseline!T41,Database_Transport[#All],45,FALSE)*(Baseline!Q41*Baseline!S41),Baseline_Backlog!H144),0))</f>
        <v>0</v>
      </c>
      <c r="I459" s="77">
        <f>IF(Baseline!C41="Nieuwe situatie",IF(_xlfn.IFNA((VLOOKUP(Baseline!U41,Database_Asfalt_Aanlegset[#All],45,FALSE)*Baseline!I41),0)+_xlfn.IFNA(VLOOKUP(Baseline!V41,Database_Brandstoffen[#All],45,FALSE)*((Baseline!I41/Baseline!X41)*Baseline!W41),0)&gt;0,_xlfn.IFNA((VLOOKUP(Baseline!U41,Database_Asfalt_Aanlegset[#All],45,FALSE)*Baseline!I41),0)+_xlfn.IFNA(VLOOKUP(Baseline!V41,Database_Brandstoffen[#All],45,FALSE)*((Baseline!I41/Baseline!X41)*Baseline!W41),0),(_xlfn.IFNA(VLOOKUP(Referentie_Fossiele_Energie_Totaal[[#This Row],[Product]]&amp;", "&amp;Referentie_MKI_Totaal[[#Headers],[A5]],Database_Productkaarten[#All],51,FALSE),0)*Baseline!I41)),0)</f>
        <v>0</v>
      </c>
      <c r="J459" s="77">
        <f>(IF(Baseline!C41="Nieuwe Situatie",(_xlfn.IFNA(VLOOKUP(Referentie_Fossiele_Energie_Totaal[[#This Row],[Product]]&amp;", "&amp;Referentie_Fossiele_Energie_Totaal[[#Headers],[B1]],Database_Productkaarten[#All],51,FALSE),0)*Baseline!I41),0))</f>
        <v>0</v>
      </c>
      <c r="K459" s="77">
        <f>(IF(Baseline!C41="Nieuwe Situatie",(SUM(Referentie_Fossiele_Energie_Totaal[[#This Row],[A1]:[B1]],Referentie_Fossiele_Energie_Totaal[[#This Row],[C1]:[D2]])*Baseline!R41),0))</f>
        <v>0</v>
      </c>
      <c r="L459" s="77">
        <f>IF(Baseline!C41="Bestaande situatie",IF(_xlfn.IFNA((VLOOKUP(Baseline!Y41,Database_Asfalt_Verwijderset[#All],45,FALSE)*Baseline!I41),0)+_xlfn.IFNA(VLOOKUP(Baseline!Z41,Database_Brandstoffen[#All],45,FALSE)*((Baseline!I41/Baseline!AB41)*Baseline!AA41),0)&gt;0,_xlfn.IFNA((VLOOKUP(Baseline!Y41,Database_Asfalt_Verwijderset[#All],45,FALSE)*Baseline!I41),0)+_xlfn.IFNA(VLOOKUP(Baseline!Z41,Database_Brandstoffen[#All],45,FALSE)*((Baseline!I41/Baseline!AB41)*Baseline!AA41),0),(_xlfn.IFNA(VLOOKUP(Referentie_Fossiele_Energie_Totaal[[#This Row],[Product]]&amp;", "&amp;Referentie_MKI_Totaal[[#Headers],[C1]],Database_Productkaarten[#All],51,FALSE),0)*Baseline!I41)),0)</f>
        <v>0</v>
      </c>
      <c r="M459" s="77">
        <f>IF(Baseline!AD41=0,(IF(Baseline!C41="Bestaande Situatie",(_xlfn.IFNA(VLOOKUP(Referentie_Fossiele_Energie_Totaal[[#This Row],[Product]]&amp;", "&amp;Referentie_MKI_Totaal[[#Headers],[C2]],Database_Productkaarten[#All],51,FALSE),0)*Baseline!I41),0)),(IF(Baseline!C41="Bestaande Situatie",_xlfn.IFNA(VLOOKUP(Baseline!AD41,Database_Transport[#All],45,FALSE)*(Baseline!Q41*Baseline!AC41),0))))</f>
        <v>0</v>
      </c>
      <c r="N459" s="77">
        <f>(IF(Baseline!C41="Bestaande Situatie",(_xlfn.IFNA(VLOOKUP(Referentie_Fossiele_Energie_Totaal[[#This Row],[Product]]&amp;", "&amp;Referentie_Fossiele_Energie_Totaal[[#Headers],[C3]],Database_Productkaarten[#All],51,FALSE),0)*Baseline!I41),0))</f>
        <v>0</v>
      </c>
      <c r="O459" s="77">
        <f>(IF(Baseline!C41="Bestaande Situatie",(_xlfn.IFNA(VLOOKUP(Referentie_Fossiele_Energie_Totaal[[#This Row],[Product]]&amp;", "&amp;Referentie_Fossiele_Energie_Totaal[[#Headers],[C4]],Database_Productkaarten[#All],51,FALSE),0)*Baseline!I41),0))</f>
        <v>0</v>
      </c>
      <c r="P459" s="77">
        <f>(IF(Baseline!C41="Bestaande Situatie",(_xlfn.IFNA(VLOOKUP(Referentie_Fossiele_Energie_Totaal[[#This Row],[Product]]&amp;", "&amp;Referentie_Fossiele_Energie_Totaal[[#Headers],[D1]],Database_Productkaarten[#All],51,FALSE),0)*Baseline!I41),0))</f>
        <v>0</v>
      </c>
      <c r="Q459" s="78">
        <f>(IF(Baseline!C41="Bestaande Situatie",_xlfn.IFNA(VLOOKUP(Referentie_Fossiele_Energie_Totaal[[#This Row],[Product]]&amp;", "&amp;Referentie_Fossiele_Energie_Totaal[[#Headers],[D2]],Database_Productkaarten[#All],51,FALSE),0)*Baseline!I41,0))</f>
        <v>0</v>
      </c>
      <c r="R459" s="57">
        <f>(IF(Baseline!C41="Bestaande Situatie",_xlfn.IFNA(VLOOKUP(Referentie_Fossiele_Energie_Totaal[[#This Row],[Product]]&amp;", "&amp;Referentie_Fossiele_Energie_Totaal[[#Headers],[D]],Database_Productkaarten[#All],51,FALSE),0)*Baseline!I41,0))</f>
        <v>0</v>
      </c>
      <c r="S459" s="56">
        <f>SUM(Referentie_Fossiele_Energie_Totaal[[#This Row],[A1-A3]:[C4]])+Referentie_Fossiele_Energie_Totaal[[#This Row],[D]]</f>
        <v>0</v>
      </c>
    </row>
    <row r="460" spans="2:19">
      <c r="B460" s="209">
        <f>Baseline!B42</f>
        <v>0</v>
      </c>
      <c r="C460" s="76">
        <f>Baseline!F42</f>
        <v>0</v>
      </c>
      <c r="D460" s="77">
        <f>(IF(Baseline!C42="Nieuwe Situatie",(_xlfn.IFNA(VLOOKUP(Referentie_Fossiele_Energie_Totaal[[#This Row],[Product]]&amp;", "&amp;Referentie_Fossiele_Energie_Totaal[[#Headers],[A1]],Database_Productkaarten[#All],51,FALSE),0)*Baseline!I42),0))</f>
        <v>0</v>
      </c>
      <c r="E460" s="77">
        <f>(IF(Baseline!C42="Nieuwe Situatie",(_xlfn.IFNA(VLOOKUP(Referentie_Fossiele_Energie_Totaal[[#This Row],[Product]]&amp;", "&amp;Referentie_Fossiele_Energie_Totaal[[#Headers],[A2]],Database_Productkaarten[#All],51,FALSE),0)*Baseline!I42),0))</f>
        <v>0</v>
      </c>
      <c r="F460" s="77">
        <f>(IF(Baseline!C42="Nieuwe Situatie",(_xlfn.IFNA(VLOOKUP(Referentie_Fossiele_Energie_Totaal[[#This Row],[Product]]&amp;", "&amp;Referentie_Fossiele_Energie_Totaal[[#Headers],[A3]],Database_Productkaarten[#All],51,FALSE),0)*Baseline!I42),0))</f>
        <v>0</v>
      </c>
      <c r="G460" s="77">
        <f>(IF(Baseline!C42="Nieuwe Situatie",(_xlfn.IFNA(VLOOKUP(Referentie_Fossiele_Energie_Totaal[[#This Row],[Product]]&amp;", "&amp;Referentie_Fossiele_Energie_Totaal[[#Headers],[A1-A3]],Database_Productkaarten[#All],51,FALSE),0)*Baseline!I42),0))</f>
        <v>0</v>
      </c>
      <c r="H460" s="77">
        <f>IF(Baseline!T42=0,(IF(Baseline!C42="Nieuwe Situatie",(_xlfn.IFNA(VLOOKUP(Referentie_Fossiele_Energie_Totaal[[#This Row],[Product]]&amp;", "&amp;Referentie_CO2_Totaal[[#Headers],[A4]],Database_Productkaarten[#All],51,FALSE),0)*Baseline!I42),0)),IF(Baseline!C42="Nieuwe Situatie",_xlfn.IFNA(VLOOKUP(Baseline!T42,Database_Transport[#All],45,FALSE)*(Baseline!Q42*Baseline!S42),Baseline_Backlog!H145),0))</f>
        <v>0</v>
      </c>
      <c r="I460" s="77">
        <f>IF(Baseline!C42="Nieuwe situatie",IF(_xlfn.IFNA((VLOOKUP(Baseline!U42,Database_Asfalt_Aanlegset[#All],45,FALSE)*Baseline!I42),0)+_xlfn.IFNA(VLOOKUP(Baseline!V42,Database_Brandstoffen[#All],45,FALSE)*((Baseline!I42/Baseline!X42)*Baseline!W42),0)&gt;0,_xlfn.IFNA((VLOOKUP(Baseline!U42,Database_Asfalt_Aanlegset[#All],45,FALSE)*Baseline!I42),0)+_xlfn.IFNA(VLOOKUP(Baseline!V42,Database_Brandstoffen[#All],45,FALSE)*((Baseline!I42/Baseline!X42)*Baseline!W42),0),(_xlfn.IFNA(VLOOKUP(Referentie_Fossiele_Energie_Totaal[[#This Row],[Product]]&amp;", "&amp;Referentie_MKI_Totaal[[#Headers],[A5]],Database_Productkaarten[#All],51,FALSE),0)*Baseline!I42)),0)</f>
        <v>0</v>
      </c>
      <c r="J460" s="77">
        <f>(IF(Baseline!C42="Nieuwe Situatie",(_xlfn.IFNA(VLOOKUP(Referentie_Fossiele_Energie_Totaal[[#This Row],[Product]]&amp;", "&amp;Referentie_Fossiele_Energie_Totaal[[#Headers],[B1]],Database_Productkaarten[#All],51,FALSE),0)*Baseline!I42),0))</f>
        <v>0</v>
      </c>
      <c r="K460" s="77">
        <f>(IF(Baseline!C42="Nieuwe Situatie",(SUM(Referentie_Fossiele_Energie_Totaal[[#This Row],[A1]:[B1]],Referentie_Fossiele_Energie_Totaal[[#This Row],[C1]:[D2]])*Baseline!R42),0))</f>
        <v>0</v>
      </c>
      <c r="L460" s="77">
        <f>IF(Baseline!C42="Bestaande situatie",IF(_xlfn.IFNA((VLOOKUP(Baseline!Y42,Database_Asfalt_Verwijderset[#All],45,FALSE)*Baseline!I42),0)+_xlfn.IFNA(VLOOKUP(Baseline!Z42,Database_Brandstoffen[#All],45,FALSE)*((Baseline!I42/Baseline!AB42)*Baseline!AA42),0)&gt;0,_xlfn.IFNA((VLOOKUP(Baseline!Y42,Database_Asfalt_Verwijderset[#All],45,FALSE)*Baseline!I42),0)+_xlfn.IFNA(VLOOKUP(Baseline!Z42,Database_Brandstoffen[#All],45,FALSE)*((Baseline!I42/Baseline!AB42)*Baseline!AA42),0),(_xlfn.IFNA(VLOOKUP(Referentie_Fossiele_Energie_Totaal[[#This Row],[Product]]&amp;", "&amp;Referentie_MKI_Totaal[[#Headers],[C1]],Database_Productkaarten[#All],51,FALSE),0)*Baseline!I42)),0)</f>
        <v>0</v>
      </c>
      <c r="M460" s="77">
        <f>IF(Baseline!AD42=0,(IF(Baseline!C42="Bestaande Situatie",(_xlfn.IFNA(VLOOKUP(Referentie_Fossiele_Energie_Totaal[[#This Row],[Product]]&amp;", "&amp;Referentie_MKI_Totaal[[#Headers],[C2]],Database_Productkaarten[#All],51,FALSE),0)*Baseline!I42),0)),(IF(Baseline!C42="Bestaande Situatie",_xlfn.IFNA(VLOOKUP(Baseline!AD42,Database_Transport[#All],45,FALSE)*(Baseline!Q42*Baseline!AC42),0))))</f>
        <v>0</v>
      </c>
      <c r="N460" s="77">
        <f>(IF(Baseline!C42="Bestaande Situatie",(_xlfn.IFNA(VLOOKUP(Referentie_Fossiele_Energie_Totaal[[#This Row],[Product]]&amp;", "&amp;Referentie_Fossiele_Energie_Totaal[[#Headers],[C3]],Database_Productkaarten[#All],51,FALSE),0)*Baseline!I42),0))</f>
        <v>0</v>
      </c>
      <c r="O460" s="77">
        <f>(IF(Baseline!C42="Bestaande Situatie",(_xlfn.IFNA(VLOOKUP(Referentie_Fossiele_Energie_Totaal[[#This Row],[Product]]&amp;", "&amp;Referentie_Fossiele_Energie_Totaal[[#Headers],[C4]],Database_Productkaarten[#All],51,FALSE),0)*Baseline!I42),0))</f>
        <v>0</v>
      </c>
      <c r="P460" s="77">
        <f>(IF(Baseline!C42="Bestaande Situatie",(_xlfn.IFNA(VLOOKUP(Referentie_Fossiele_Energie_Totaal[[#This Row],[Product]]&amp;", "&amp;Referentie_Fossiele_Energie_Totaal[[#Headers],[D1]],Database_Productkaarten[#All],51,FALSE),0)*Baseline!I42),0))</f>
        <v>0</v>
      </c>
      <c r="Q460" s="78">
        <f>(IF(Baseline!C42="Bestaande Situatie",_xlfn.IFNA(VLOOKUP(Referentie_Fossiele_Energie_Totaal[[#This Row],[Product]]&amp;", "&amp;Referentie_Fossiele_Energie_Totaal[[#Headers],[D2]],Database_Productkaarten[#All],51,FALSE),0)*Baseline!I42,0))</f>
        <v>0</v>
      </c>
      <c r="R460" s="57">
        <f>(IF(Baseline!C42="Bestaande Situatie",_xlfn.IFNA(VLOOKUP(Referentie_Fossiele_Energie_Totaal[[#This Row],[Product]]&amp;", "&amp;Referentie_Fossiele_Energie_Totaal[[#Headers],[D]],Database_Productkaarten[#All],51,FALSE),0)*Baseline!I42,0))</f>
        <v>0</v>
      </c>
      <c r="S460" s="56">
        <f>SUM(Referentie_Fossiele_Energie_Totaal[[#This Row],[A1-A3]:[C4]])+Referentie_Fossiele_Energie_Totaal[[#This Row],[D]]</f>
        <v>0</v>
      </c>
    </row>
    <row r="461" spans="2:19">
      <c r="B461" s="209">
        <f>Baseline!B43</f>
        <v>0</v>
      </c>
      <c r="C461" s="76">
        <f>Baseline!F43</f>
        <v>0</v>
      </c>
      <c r="D461" s="77">
        <f>(IF(Baseline!C43="Nieuwe Situatie",(_xlfn.IFNA(VLOOKUP(Referentie_Fossiele_Energie_Totaal[[#This Row],[Product]]&amp;", "&amp;Referentie_Fossiele_Energie_Totaal[[#Headers],[A1]],Database_Productkaarten[#All],51,FALSE),0)*Baseline!I43),0))</f>
        <v>0</v>
      </c>
      <c r="E461" s="77">
        <f>(IF(Baseline!C43="Nieuwe Situatie",(_xlfn.IFNA(VLOOKUP(Referentie_Fossiele_Energie_Totaal[[#This Row],[Product]]&amp;", "&amp;Referentie_Fossiele_Energie_Totaal[[#Headers],[A2]],Database_Productkaarten[#All],51,FALSE),0)*Baseline!I43),0))</f>
        <v>0</v>
      </c>
      <c r="F461" s="77">
        <f>(IF(Baseline!C43="Nieuwe Situatie",(_xlfn.IFNA(VLOOKUP(Referentie_Fossiele_Energie_Totaal[[#This Row],[Product]]&amp;", "&amp;Referentie_Fossiele_Energie_Totaal[[#Headers],[A3]],Database_Productkaarten[#All],51,FALSE),0)*Baseline!I43),0))</f>
        <v>0</v>
      </c>
      <c r="G461" s="77">
        <f>(IF(Baseline!C43="Nieuwe Situatie",(_xlfn.IFNA(VLOOKUP(Referentie_Fossiele_Energie_Totaal[[#This Row],[Product]]&amp;", "&amp;Referentie_Fossiele_Energie_Totaal[[#Headers],[A1-A3]],Database_Productkaarten[#All],51,FALSE),0)*Baseline!I43),0))</f>
        <v>0</v>
      </c>
      <c r="H461" s="77">
        <f>IF(Baseline!T43=0,(IF(Baseline!C43="Nieuwe Situatie",(_xlfn.IFNA(VLOOKUP(Referentie_Fossiele_Energie_Totaal[[#This Row],[Product]]&amp;", "&amp;Referentie_CO2_Totaal[[#Headers],[A4]],Database_Productkaarten[#All],51,FALSE),0)*Baseline!I43),0)),IF(Baseline!C43="Nieuwe Situatie",_xlfn.IFNA(VLOOKUP(Baseline!T43,Database_Transport[#All],45,FALSE)*(Baseline!Q43*Baseline!S43),Baseline_Backlog!H146),0))</f>
        <v>0</v>
      </c>
      <c r="I461" s="77">
        <f>IF(Baseline!C43="Nieuwe situatie",IF(_xlfn.IFNA((VLOOKUP(Baseline!U43,Database_Asfalt_Aanlegset[#All],45,FALSE)*Baseline!I43),0)+_xlfn.IFNA(VLOOKUP(Baseline!V43,Database_Brandstoffen[#All],45,FALSE)*((Baseline!I43/Baseline!X43)*Baseline!W43),0)&gt;0,_xlfn.IFNA((VLOOKUP(Baseline!U43,Database_Asfalt_Aanlegset[#All],45,FALSE)*Baseline!I43),0)+_xlfn.IFNA(VLOOKUP(Baseline!V43,Database_Brandstoffen[#All],45,FALSE)*((Baseline!I43/Baseline!X43)*Baseline!W43),0),(_xlfn.IFNA(VLOOKUP(Referentie_Fossiele_Energie_Totaal[[#This Row],[Product]]&amp;", "&amp;Referentie_MKI_Totaal[[#Headers],[A5]],Database_Productkaarten[#All],51,FALSE),0)*Baseline!I43)),0)</f>
        <v>0</v>
      </c>
      <c r="J461" s="77">
        <f>(IF(Baseline!C43="Nieuwe Situatie",(_xlfn.IFNA(VLOOKUP(Referentie_Fossiele_Energie_Totaal[[#This Row],[Product]]&amp;", "&amp;Referentie_Fossiele_Energie_Totaal[[#Headers],[B1]],Database_Productkaarten[#All],51,FALSE),0)*Baseline!I43),0))</f>
        <v>0</v>
      </c>
      <c r="K461" s="77">
        <f>(IF(Baseline!C43="Nieuwe Situatie",(SUM(Referentie_Fossiele_Energie_Totaal[[#This Row],[A1]:[B1]],Referentie_Fossiele_Energie_Totaal[[#This Row],[C1]:[D2]])*Baseline!R43),0))</f>
        <v>0</v>
      </c>
      <c r="L461" s="77">
        <f>IF(Baseline!C43="Bestaande situatie",IF(_xlfn.IFNA((VLOOKUP(Baseline!Y43,Database_Asfalt_Verwijderset[#All],45,FALSE)*Baseline!I43),0)+_xlfn.IFNA(VLOOKUP(Baseline!Z43,Database_Brandstoffen[#All],45,FALSE)*((Baseline!I43/Baseline!AB43)*Baseline!AA43),0)&gt;0,_xlfn.IFNA((VLOOKUP(Baseline!Y43,Database_Asfalt_Verwijderset[#All],45,FALSE)*Baseline!I43),0)+_xlfn.IFNA(VLOOKUP(Baseline!Z43,Database_Brandstoffen[#All],45,FALSE)*((Baseline!I43/Baseline!AB43)*Baseline!AA43),0),(_xlfn.IFNA(VLOOKUP(Referentie_Fossiele_Energie_Totaal[[#This Row],[Product]]&amp;", "&amp;Referentie_MKI_Totaal[[#Headers],[C1]],Database_Productkaarten[#All],51,FALSE),0)*Baseline!I43)),0)</f>
        <v>0</v>
      </c>
      <c r="M461" s="77">
        <f>IF(Baseline!AD43=0,(IF(Baseline!C43="Bestaande Situatie",(_xlfn.IFNA(VLOOKUP(Referentie_Fossiele_Energie_Totaal[[#This Row],[Product]]&amp;", "&amp;Referentie_MKI_Totaal[[#Headers],[C2]],Database_Productkaarten[#All],51,FALSE),0)*Baseline!I43),0)),(IF(Baseline!C43="Bestaande Situatie",_xlfn.IFNA(VLOOKUP(Baseline!AD43,Database_Transport[#All],45,FALSE)*(Baseline!Q43*Baseline!AC43),0))))</f>
        <v>0</v>
      </c>
      <c r="N461" s="77">
        <f>(IF(Baseline!C43="Bestaande Situatie",(_xlfn.IFNA(VLOOKUP(Referentie_Fossiele_Energie_Totaal[[#This Row],[Product]]&amp;", "&amp;Referentie_Fossiele_Energie_Totaal[[#Headers],[C3]],Database_Productkaarten[#All],51,FALSE),0)*Baseline!I43),0))</f>
        <v>0</v>
      </c>
      <c r="O461" s="77">
        <f>(IF(Baseline!C43="Bestaande Situatie",(_xlfn.IFNA(VLOOKUP(Referentie_Fossiele_Energie_Totaal[[#This Row],[Product]]&amp;", "&amp;Referentie_Fossiele_Energie_Totaal[[#Headers],[C4]],Database_Productkaarten[#All],51,FALSE),0)*Baseline!I43),0))</f>
        <v>0</v>
      </c>
      <c r="P461" s="77">
        <f>(IF(Baseline!C43="Bestaande Situatie",(_xlfn.IFNA(VLOOKUP(Referentie_Fossiele_Energie_Totaal[[#This Row],[Product]]&amp;", "&amp;Referentie_Fossiele_Energie_Totaal[[#Headers],[D1]],Database_Productkaarten[#All],51,FALSE),0)*Baseline!I43),0))</f>
        <v>0</v>
      </c>
      <c r="Q461" s="78">
        <f>(IF(Baseline!C43="Bestaande Situatie",_xlfn.IFNA(VLOOKUP(Referentie_Fossiele_Energie_Totaal[[#This Row],[Product]]&amp;", "&amp;Referentie_Fossiele_Energie_Totaal[[#Headers],[D2]],Database_Productkaarten[#All],51,FALSE),0)*Baseline!I43,0))</f>
        <v>0</v>
      </c>
      <c r="R461" s="57">
        <f>(IF(Baseline!C43="Bestaande Situatie",_xlfn.IFNA(VLOOKUP(Referentie_Fossiele_Energie_Totaal[[#This Row],[Product]]&amp;", "&amp;Referentie_Fossiele_Energie_Totaal[[#Headers],[D]],Database_Productkaarten[#All],51,FALSE),0)*Baseline!I43,0))</f>
        <v>0</v>
      </c>
      <c r="S461" s="56">
        <f>SUM(Referentie_Fossiele_Energie_Totaal[[#This Row],[A1-A3]:[C4]])+Referentie_Fossiele_Energie_Totaal[[#This Row],[D]]</f>
        <v>0</v>
      </c>
    </row>
    <row r="462" spans="2:19">
      <c r="B462" s="209">
        <f>Baseline!B44</f>
        <v>0</v>
      </c>
      <c r="C462" s="76">
        <f>Baseline!F44</f>
        <v>0</v>
      </c>
      <c r="D462" s="77">
        <f>(IF(Baseline!C44="Nieuwe Situatie",(_xlfn.IFNA(VLOOKUP(Referentie_Fossiele_Energie_Totaal[[#This Row],[Product]]&amp;", "&amp;Referentie_Fossiele_Energie_Totaal[[#Headers],[A1]],Database_Productkaarten[#All],51,FALSE),0)*Baseline!I44),0))</f>
        <v>0</v>
      </c>
      <c r="E462" s="77">
        <f>(IF(Baseline!C44="Nieuwe Situatie",(_xlfn.IFNA(VLOOKUP(Referentie_Fossiele_Energie_Totaal[[#This Row],[Product]]&amp;", "&amp;Referentie_Fossiele_Energie_Totaal[[#Headers],[A2]],Database_Productkaarten[#All],51,FALSE),0)*Baseline!I44),0))</f>
        <v>0</v>
      </c>
      <c r="F462" s="77">
        <f>(IF(Baseline!C44="Nieuwe Situatie",(_xlfn.IFNA(VLOOKUP(Referentie_Fossiele_Energie_Totaal[[#This Row],[Product]]&amp;", "&amp;Referentie_Fossiele_Energie_Totaal[[#Headers],[A3]],Database_Productkaarten[#All],51,FALSE),0)*Baseline!I44),0))</f>
        <v>0</v>
      </c>
      <c r="G462" s="77">
        <f>(IF(Baseline!C44="Nieuwe Situatie",(_xlfn.IFNA(VLOOKUP(Referentie_Fossiele_Energie_Totaal[[#This Row],[Product]]&amp;", "&amp;Referentie_Fossiele_Energie_Totaal[[#Headers],[A1-A3]],Database_Productkaarten[#All],51,FALSE),0)*Baseline!I44),0))</f>
        <v>0</v>
      </c>
      <c r="H462" s="77">
        <f>IF(Baseline!T44=0,(IF(Baseline!C44="Nieuwe Situatie",(_xlfn.IFNA(VLOOKUP(Referentie_Fossiele_Energie_Totaal[[#This Row],[Product]]&amp;", "&amp;Referentie_CO2_Totaal[[#Headers],[A4]],Database_Productkaarten[#All],51,FALSE),0)*Baseline!I44),0)),IF(Baseline!C44="Nieuwe Situatie",_xlfn.IFNA(VLOOKUP(Baseline!T44,Database_Transport[#All],45,FALSE)*(Baseline!Q44*Baseline!S44),Baseline_Backlog!H147),0))</f>
        <v>0</v>
      </c>
      <c r="I462" s="77">
        <f>IF(Baseline!C44="Nieuwe situatie",IF(_xlfn.IFNA((VLOOKUP(Baseline!U44,Database_Asfalt_Aanlegset[#All],45,FALSE)*Baseline!I44),0)+_xlfn.IFNA(VLOOKUP(Baseline!V44,Database_Brandstoffen[#All],45,FALSE)*((Baseline!I44/Baseline!X44)*Baseline!W44),0)&gt;0,_xlfn.IFNA((VLOOKUP(Baseline!U44,Database_Asfalt_Aanlegset[#All],45,FALSE)*Baseline!I44),0)+_xlfn.IFNA(VLOOKUP(Baseline!V44,Database_Brandstoffen[#All],45,FALSE)*((Baseline!I44/Baseline!X44)*Baseline!W44),0),(_xlfn.IFNA(VLOOKUP(Referentie_Fossiele_Energie_Totaal[[#This Row],[Product]]&amp;", "&amp;Referentie_MKI_Totaal[[#Headers],[A5]],Database_Productkaarten[#All],51,FALSE),0)*Baseline!I44)),0)</f>
        <v>0</v>
      </c>
      <c r="J462" s="77">
        <f>(IF(Baseline!C44="Nieuwe Situatie",(_xlfn.IFNA(VLOOKUP(Referentie_Fossiele_Energie_Totaal[[#This Row],[Product]]&amp;", "&amp;Referentie_Fossiele_Energie_Totaal[[#Headers],[B1]],Database_Productkaarten[#All],51,FALSE),0)*Baseline!I44),0))</f>
        <v>0</v>
      </c>
      <c r="K462" s="77">
        <f>(IF(Baseline!C44="Nieuwe Situatie",(SUM(Referentie_Fossiele_Energie_Totaal[[#This Row],[A1]:[B1]],Referentie_Fossiele_Energie_Totaal[[#This Row],[C1]:[D2]])*Baseline!R44),0))</f>
        <v>0</v>
      </c>
      <c r="L462" s="77">
        <f>IF(Baseline!C44="Bestaande situatie",IF(_xlfn.IFNA((VLOOKUP(Baseline!Y44,Database_Asfalt_Verwijderset[#All],45,FALSE)*Baseline!I44),0)+_xlfn.IFNA(VLOOKUP(Baseline!Z44,Database_Brandstoffen[#All],45,FALSE)*((Baseline!I44/Baseline!AB44)*Baseline!AA44),0)&gt;0,_xlfn.IFNA((VLOOKUP(Baseline!Y44,Database_Asfalt_Verwijderset[#All],45,FALSE)*Baseline!I44),0)+_xlfn.IFNA(VLOOKUP(Baseline!Z44,Database_Brandstoffen[#All],45,FALSE)*((Baseline!I44/Baseline!AB44)*Baseline!AA44),0),(_xlfn.IFNA(VLOOKUP(Referentie_Fossiele_Energie_Totaal[[#This Row],[Product]]&amp;", "&amp;Referentie_MKI_Totaal[[#Headers],[C1]],Database_Productkaarten[#All],51,FALSE),0)*Baseline!I44)),0)</f>
        <v>0</v>
      </c>
      <c r="M462" s="77">
        <f>IF(Baseline!AD44=0,(IF(Baseline!C44="Bestaande Situatie",(_xlfn.IFNA(VLOOKUP(Referentie_Fossiele_Energie_Totaal[[#This Row],[Product]]&amp;", "&amp;Referentie_MKI_Totaal[[#Headers],[C2]],Database_Productkaarten[#All],51,FALSE),0)*Baseline!I44),0)),(IF(Baseline!C44="Bestaande Situatie",_xlfn.IFNA(VLOOKUP(Baseline!AD44,Database_Transport[#All],45,FALSE)*(Baseline!Q44*Baseline!AC44),0))))</f>
        <v>0</v>
      </c>
      <c r="N462" s="77">
        <f>(IF(Baseline!C44="Bestaande Situatie",(_xlfn.IFNA(VLOOKUP(Referentie_Fossiele_Energie_Totaal[[#This Row],[Product]]&amp;", "&amp;Referentie_Fossiele_Energie_Totaal[[#Headers],[C3]],Database_Productkaarten[#All],51,FALSE),0)*Baseline!I44),0))</f>
        <v>0</v>
      </c>
      <c r="O462" s="77">
        <f>(IF(Baseline!C44="Bestaande Situatie",(_xlfn.IFNA(VLOOKUP(Referentie_Fossiele_Energie_Totaal[[#This Row],[Product]]&amp;", "&amp;Referentie_Fossiele_Energie_Totaal[[#Headers],[C4]],Database_Productkaarten[#All],51,FALSE),0)*Baseline!I44),0))</f>
        <v>0</v>
      </c>
      <c r="P462" s="77">
        <f>(IF(Baseline!C44="Bestaande Situatie",(_xlfn.IFNA(VLOOKUP(Referentie_Fossiele_Energie_Totaal[[#This Row],[Product]]&amp;", "&amp;Referentie_Fossiele_Energie_Totaal[[#Headers],[D1]],Database_Productkaarten[#All],51,FALSE),0)*Baseline!I44),0))</f>
        <v>0</v>
      </c>
      <c r="Q462" s="78">
        <f>(IF(Baseline!C44="Bestaande Situatie",_xlfn.IFNA(VLOOKUP(Referentie_Fossiele_Energie_Totaal[[#This Row],[Product]]&amp;", "&amp;Referentie_Fossiele_Energie_Totaal[[#Headers],[D2]],Database_Productkaarten[#All],51,FALSE),0)*Baseline!I44,0))</f>
        <v>0</v>
      </c>
      <c r="R462" s="57">
        <f>(IF(Baseline!C44="Bestaande Situatie",_xlfn.IFNA(VLOOKUP(Referentie_Fossiele_Energie_Totaal[[#This Row],[Product]]&amp;", "&amp;Referentie_Fossiele_Energie_Totaal[[#Headers],[D]],Database_Productkaarten[#All],51,FALSE),0)*Baseline!I44,0))</f>
        <v>0</v>
      </c>
      <c r="S462" s="56">
        <f>SUM(Referentie_Fossiele_Energie_Totaal[[#This Row],[A1-A3]:[C4]])+Referentie_Fossiele_Energie_Totaal[[#This Row],[D]]</f>
        <v>0</v>
      </c>
    </row>
    <row r="463" spans="2:19">
      <c r="B463" s="209">
        <f>Baseline!B45</f>
        <v>0</v>
      </c>
      <c r="C463" s="76">
        <f>Baseline!F45</f>
        <v>0</v>
      </c>
      <c r="D463" s="77">
        <f>(IF(Baseline!C45="Nieuwe Situatie",(_xlfn.IFNA(VLOOKUP(Referentie_Fossiele_Energie_Totaal[[#This Row],[Product]]&amp;", "&amp;Referentie_Fossiele_Energie_Totaal[[#Headers],[A1]],Database_Productkaarten[#All],51,FALSE),0)*Baseline!I45),0))</f>
        <v>0</v>
      </c>
      <c r="E463" s="77">
        <f>(IF(Baseline!C45="Nieuwe Situatie",(_xlfn.IFNA(VLOOKUP(Referentie_Fossiele_Energie_Totaal[[#This Row],[Product]]&amp;", "&amp;Referentie_Fossiele_Energie_Totaal[[#Headers],[A2]],Database_Productkaarten[#All],51,FALSE),0)*Baseline!I45),0))</f>
        <v>0</v>
      </c>
      <c r="F463" s="77">
        <f>(IF(Baseline!C45="Nieuwe Situatie",(_xlfn.IFNA(VLOOKUP(Referentie_Fossiele_Energie_Totaal[[#This Row],[Product]]&amp;", "&amp;Referentie_Fossiele_Energie_Totaal[[#Headers],[A3]],Database_Productkaarten[#All],51,FALSE),0)*Baseline!I45),0))</f>
        <v>0</v>
      </c>
      <c r="G463" s="77">
        <f>(IF(Baseline!C45="Nieuwe Situatie",(_xlfn.IFNA(VLOOKUP(Referentie_Fossiele_Energie_Totaal[[#This Row],[Product]]&amp;", "&amp;Referentie_Fossiele_Energie_Totaal[[#Headers],[A1-A3]],Database_Productkaarten[#All],51,FALSE),0)*Baseline!I45),0))</f>
        <v>0</v>
      </c>
      <c r="H463" s="77">
        <f>IF(Baseline!T45=0,(IF(Baseline!C45="Nieuwe Situatie",(_xlfn.IFNA(VLOOKUP(Referentie_Fossiele_Energie_Totaal[[#This Row],[Product]]&amp;", "&amp;Referentie_CO2_Totaal[[#Headers],[A4]],Database_Productkaarten[#All],51,FALSE),0)*Baseline!I45),0)),IF(Baseline!C45="Nieuwe Situatie",_xlfn.IFNA(VLOOKUP(Baseline!T45,Database_Transport[#All],45,FALSE)*(Baseline!Q45*Baseline!S45),Baseline_Backlog!H148),0))</f>
        <v>0</v>
      </c>
      <c r="I463" s="77">
        <f>IF(Baseline!C45="Nieuwe situatie",IF(_xlfn.IFNA((VLOOKUP(Baseline!U45,Database_Asfalt_Aanlegset[#All],45,FALSE)*Baseline!I45),0)+_xlfn.IFNA(VLOOKUP(Baseline!V45,Database_Brandstoffen[#All],45,FALSE)*((Baseline!I45/Baseline!X45)*Baseline!W45),0)&gt;0,_xlfn.IFNA((VLOOKUP(Baseline!U45,Database_Asfalt_Aanlegset[#All],45,FALSE)*Baseline!I45),0)+_xlfn.IFNA(VLOOKUP(Baseline!V45,Database_Brandstoffen[#All],45,FALSE)*((Baseline!I45/Baseline!X45)*Baseline!W45),0),(_xlfn.IFNA(VLOOKUP(Referentie_Fossiele_Energie_Totaal[[#This Row],[Product]]&amp;", "&amp;Referentie_MKI_Totaal[[#Headers],[A5]],Database_Productkaarten[#All],51,FALSE),0)*Baseline!I45)),0)</f>
        <v>0</v>
      </c>
      <c r="J463" s="77">
        <f>(IF(Baseline!C45="Nieuwe Situatie",(_xlfn.IFNA(VLOOKUP(Referentie_Fossiele_Energie_Totaal[[#This Row],[Product]]&amp;", "&amp;Referentie_Fossiele_Energie_Totaal[[#Headers],[B1]],Database_Productkaarten[#All],51,FALSE),0)*Baseline!I45),0))</f>
        <v>0</v>
      </c>
      <c r="K463" s="77">
        <f>(IF(Baseline!C45="Nieuwe Situatie",(SUM(Referentie_Fossiele_Energie_Totaal[[#This Row],[A1]:[B1]],Referentie_Fossiele_Energie_Totaal[[#This Row],[C1]:[D2]])*Baseline!R45),0))</f>
        <v>0</v>
      </c>
      <c r="L463" s="77">
        <f>IF(Baseline!C45="Bestaande situatie",IF(_xlfn.IFNA((VLOOKUP(Baseline!Y45,Database_Asfalt_Verwijderset[#All],45,FALSE)*Baseline!I45),0)+_xlfn.IFNA(VLOOKUP(Baseline!Z45,Database_Brandstoffen[#All],45,FALSE)*((Baseline!I45/Baseline!AB45)*Baseline!AA45),0)&gt;0,_xlfn.IFNA((VLOOKUP(Baseline!Y45,Database_Asfalt_Verwijderset[#All],45,FALSE)*Baseline!I45),0)+_xlfn.IFNA(VLOOKUP(Baseline!Z45,Database_Brandstoffen[#All],45,FALSE)*((Baseline!I45/Baseline!AB45)*Baseline!AA45),0),(_xlfn.IFNA(VLOOKUP(Referentie_Fossiele_Energie_Totaal[[#This Row],[Product]]&amp;", "&amp;Referentie_MKI_Totaal[[#Headers],[C1]],Database_Productkaarten[#All],51,FALSE),0)*Baseline!I45)),0)</f>
        <v>0</v>
      </c>
      <c r="M463" s="77">
        <f>IF(Baseline!AD45=0,(IF(Baseline!C45="Bestaande Situatie",(_xlfn.IFNA(VLOOKUP(Referentie_Fossiele_Energie_Totaal[[#This Row],[Product]]&amp;", "&amp;Referentie_MKI_Totaal[[#Headers],[C2]],Database_Productkaarten[#All],51,FALSE),0)*Baseline!I45),0)),(IF(Baseline!C45="Bestaande Situatie",_xlfn.IFNA(VLOOKUP(Baseline!AD45,Database_Transport[#All],45,FALSE)*(Baseline!Q45*Baseline!AC45),0))))</f>
        <v>0</v>
      </c>
      <c r="N463" s="77">
        <f>(IF(Baseline!C45="Bestaande Situatie",(_xlfn.IFNA(VLOOKUP(Referentie_Fossiele_Energie_Totaal[[#This Row],[Product]]&amp;", "&amp;Referentie_Fossiele_Energie_Totaal[[#Headers],[C3]],Database_Productkaarten[#All],51,FALSE),0)*Baseline!I45),0))</f>
        <v>0</v>
      </c>
      <c r="O463" s="77">
        <f>(IF(Baseline!C45="Bestaande Situatie",(_xlfn.IFNA(VLOOKUP(Referentie_Fossiele_Energie_Totaal[[#This Row],[Product]]&amp;", "&amp;Referentie_Fossiele_Energie_Totaal[[#Headers],[C4]],Database_Productkaarten[#All],51,FALSE),0)*Baseline!I45),0))</f>
        <v>0</v>
      </c>
      <c r="P463" s="77">
        <f>(IF(Baseline!C45="Bestaande Situatie",(_xlfn.IFNA(VLOOKUP(Referentie_Fossiele_Energie_Totaal[[#This Row],[Product]]&amp;", "&amp;Referentie_Fossiele_Energie_Totaal[[#Headers],[D1]],Database_Productkaarten[#All],51,FALSE),0)*Baseline!I45),0))</f>
        <v>0</v>
      </c>
      <c r="Q463" s="78">
        <f>(IF(Baseline!C45="Bestaande Situatie",_xlfn.IFNA(VLOOKUP(Referentie_Fossiele_Energie_Totaal[[#This Row],[Product]]&amp;", "&amp;Referentie_Fossiele_Energie_Totaal[[#Headers],[D2]],Database_Productkaarten[#All],51,FALSE),0)*Baseline!I45,0))</f>
        <v>0</v>
      </c>
      <c r="R463" s="57">
        <f>(IF(Baseline!C45="Bestaande Situatie",_xlfn.IFNA(VLOOKUP(Referentie_Fossiele_Energie_Totaal[[#This Row],[Product]]&amp;", "&amp;Referentie_Fossiele_Energie_Totaal[[#Headers],[D]],Database_Productkaarten[#All],51,FALSE),0)*Baseline!I45,0))</f>
        <v>0</v>
      </c>
      <c r="S463" s="56">
        <f>SUM(Referentie_Fossiele_Energie_Totaal[[#This Row],[A1-A3]:[C4]])+Referentie_Fossiele_Energie_Totaal[[#This Row],[D]]</f>
        <v>0</v>
      </c>
    </row>
    <row r="464" spans="2:19">
      <c r="B464" s="209">
        <f>Baseline!B46</f>
        <v>0</v>
      </c>
      <c r="C464" s="76">
        <f>Baseline!F46</f>
        <v>0</v>
      </c>
      <c r="D464" s="77">
        <f>(IF(Baseline!C46="Nieuwe Situatie",(_xlfn.IFNA(VLOOKUP(Referentie_Fossiele_Energie_Totaal[[#This Row],[Product]]&amp;", "&amp;Referentie_Fossiele_Energie_Totaal[[#Headers],[A1]],Database_Productkaarten[#All],51,FALSE),0)*Baseline!I46),0))</f>
        <v>0</v>
      </c>
      <c r="E464" s="77">
        <f>(IF(Baseline!C46="Nieuwe Situatie",(_xlfn.IFNA(VLOOKUP(Referentie_Fossiele_Energie_Totaal[[#This Row],[Product]]&amp;", "&amp;Referentie_Fossiele_Energie_Totaal[[#Headers],[A2]],Database_Productkaarten[#All],51,FALSE),0)*Baseline!I46),0))</f>
        <v>0</v>
      </c>
      <c r="F464" s="77">
        <f>(IF(Baseline!C46="Nieuwe Situatie",(_xlfn.IFNA(VLOOKUP(Referentie_Fossiele_Energie_Totaal[[#This Row],[Product]]&amp;", "&amp;Referentie_Fossiele_Energie_Totaal[[#Headers],[A3]],Database_Productkaarten[#All],51,FALSE),0)*Baseline!I46),0))</f>
        <v>0</v>
      </c>
      <c r="G464" s="77">
        <f>(IF(Baseline!C46="Nieuwe Situatie",(_xlfn.IFNA(VLOOKUP(Referentie_Fossiele_Energie_Totaal[[#This Row],[Product]]&amp;", "&amp;Referentie_Fossiele_Energie_Totaal[[#Headers],[A1-A3]],Database_Productkaarten[#All],51,FALSE),0)*Baseline!I46),0))</f>
        <v>0</v>
      </c>
      <c r="H464" s="77">
        <f>IF(Baseline!T46=0,(IF(Baseline!C46="Nieuwe Situatie",(_xlfn.IFNA(VLOOKUP(Referentie_Fossiele_Energie_Totaal[[#This Row],[Product]]&amp;", "&amp;Referentie_CO2_Totaal[[#Headers],[A4]],Database_Productkaarten[#All],51,FALSE),0)*Baseline!I46),0)),IF(Baseline!C46="Nieuwe Situatie",_xlfn.IFNA(VLOOKUP(Baseline!T46,Database_Transport[#All],45,FALSE)*(Baseline!Q46*Baseline!S46),Baseline_Backlog!H149),0))</f>
        <v>0</v>
      </c>
      <c r="I464" s="77">
        <f>IF(Baseline!C46="Nieuwe situatie",IF(_xlfn.IFNA((VLOOKUP(Baseline!U46,Database_Asfalt_Aanlegset[#All],45,FALSE)*Baseline!I46),0)+_xlfn.IFNA(VLOOKUP(Baseline!V46,Database_Brandstoffen[#All],45,FALSE)*((Baseline!I46/Baseline!X46)*Baseline!W46),0)&gt;0,_xlfn.IFNA((VLOOKUP(Baseline!U46,Database_Asfalt_Aanlegset[#All],45,FALSE)*Baseline!I46),0)+_xlfn.IFNA(VLOOKUP(Baseline!V46,Database_Brandstoffen[#All],45,FALSE)*((Baseline!I46/Baseline!X46)*Baseline!W46),0),(_xlfn.IFNA(VLOOKUP(Referentie_Fossiele_Energie_Totaal[[#This Row],[Product]]&amp;", "&amp;Referentie_MKI_Totaal[[#Headers],[A5]],Database_Productkaarten[#All],51,FALSE),0)*Baseline!I46)),0)</f>
        <v>0</v>
      </c>
      <c r="J464" s="77">
        <f>(IF(Baseline!C46="Nieuwe Situatie",(_xlfn.IFNA(VLOOKUP(Referentie_Fossiele_Energie_Totaal[[#This Row],[Product]]&amp;", "&amp;Referentie_Fossiele_Energie_Totaal[[#Headers],[B1]],Database_Productkaarten[#All],51,FALSE),0)*Baseline!I46),0))</f>
        <v>0</v>
      </c>
      <c r="K464" s="77">
        <f>(IF(Baseline!C46="Nieuwe Situatie",(SUM(Referentie_Fossiele_Energie_Totaal[[#This Row],[A1]:[B1]],Referentie_Fossiele_Energie_Totaal[[#This Row],[C1]:[D2]])*Baseline!R46),0))</f>
        <v>0</v>
      </c>
      <c r="L464" s="77">
        <f>IF(Baseline!C46="Bestaande situatie",IF(_xlfn.IFNA((VLOOKUP(Baseline!Y46,Database_Asfalt_Verwijderset[#All],45,FALSE)*Baseline!I46),0)+_xlfn.IFNA(VLOOKUP(Baseline!Z46,Database_Brandstoffen[#All],45,FALSE)*((Baseline!I46/Baseline!AB46)*Baseline!AA46),0)&gt;0,_xlfn.IFNA((VLOOKUP(Baseline!Y46,Database_Asfalt_Verwijderset[#All],45,FALSE)*Baseline!I46),0)+_xlfn.IFNA(VLOOKUP(Baseline!Z46,Database_Brandstoffen[#All],45,FALSE)*((Baseline!I46/Baseline!AB46)*Baseline!AA46),0),(_xlfn.IFNA(VLOOKUP(Referentie_Fossiele_Energie_Totaal[[#This Row],[Product]]&amp;", "&amp;Referentie_MKI_Totaal[[#Headers],[C1]],Database_Productkaarten[#All],51,FALSE),0)*Baseline!I46)),0)</f>
        <v>0</v>
      </c>
      <c r="M464" s="77">
        <f>IF(Baseline!AD46=0,(IF(Baseline!C46="Bestaande Situatie",(_xlfn.IFNA(VLOOKUP(Referentie_Fossiele_Energie_Totaal[[#This Row],[Product]]&amp;", "&amp;Referentie_MKI_Totaal[[#Headers],[C2]],Database_Productkaarten[#All],51,FALSE),0)*Baseline!I46),0)),(IF(Baseline!C46="Bestaande Situatie",_xlfn.IFNA(VLOOKUP(Baseline!AD46,Database_Transport[#All],45,FALSE)*(Baseline!Q46*Baseline!AC46),0))))</f>
        <v>0</v>
      </c>
      <c r="N464" s="77">
        <f>(IF(Baseline!C46="Bestaande Situatie",(_xlfn.IFNA(VLOOKUP(Referentie_Fossiele_Energie_Totaal[[#This Row],[Product]]&amp;", "&amp;Referentie_Fossiele_Energie_Totaal[[#Headers],[C3]],Database_Productkaarten[#All],51,FALSE),0)*Baseline!I46),0))</f>
        <v>0</v>
      </c>
      <c r="O464" s="77">
        <f>(IF(Baseline!C46="Bestaande Situatie",(_xlfn.IFNA(VLOOKUP(Referentie_Fossiele_Energie_Totaal[[#This Row],[Product]]&amp;", "&amp;Referentie_Fossiele_Energie_Totaal[[#Headers],[C4]],Database_Productkaarten[#All],51,FALSE),0)*Baseline!I46),0))</f>
        <v>0</v>
      </c>
      <c r="P464" s="77">
        <f>(IF(Baseline!C46="Bestaande Situatie",(_xlfn.IFNA(VLOOKUP(Referentie_Fossiele_Energie_Totaal[[#This Row],[Product]]&amp;", "&amp;Referentie_Fossiele_Energie_Totaal[[#Headers],[D1]],Database_Productkaarten[#All],51,FALSE),0)*Baseline!I46),0))</f>
        <v>0</v>
      </c>
      <c r="Q464" s="78">
        <f>(IF(Baseline!C46="Bestaande Situatie",_xlfn.IFNA(VLOOKUP(Referentie_Fossiele_Energie_Totaal[[#This Row],[Product]]&amp;", "&amp;Referentie_Fossiele_Energie_Totaal[[#Headers],[D2]],Database_Productkaarten[#All],51,FALSE),0)*Baseline!I46,0))</f>
        <v>0</v>
      </c>
      <c r="R464" s="57">
        <f>(IF(Baseline!C46="Bestaande Situatie",_xlfn.IFNA(VLOOKUP(Referentie_Fossiele_Energie_Totaal[[#This Row],[Product]]&amp;", "&amp;Referentie_Fossiele_Energie_Totaal[[#Headers],[D]],Database_Productkaarten[#All],51,FALSE),0)*Baseline!I46,0))</f>
        <v>0</v>
      </c>
      <c r="S464" s="56">
        <f>SUM(Referentie_Fossiele_Energie_Totaal[[#This Row],[A1-A3]:[C4]])+Referentie_Fossiele_Energie_Totaal[[#This Row],[D]]</f>
        <v>0</v>
      </c>
    </row>
    <row r="465" spans="2:19">
      <c r="B465" s="209">
        <f>Baseline!B47</f>
        <v>0</v>
      </c>
      <c r="C465" s="76">
        <f>Baseline!F47</f>
        <v>0</v>
      </c>
      <c r="D465" s="77">
        <f>(IF(Baseline!C47="Nieuwe Situatie",(_xlfn.IFNA(VLOOKUP(Referentie_Fossiele_Energie_Totaal[[#This Row],[Product]]&amp;", "&amp;Referentie_Fossiele_Energie_Totaal[[#Headers],[A1]],Database_Productkaarten[#All],51,FALSE),0)*Baseline!I47),0))</f>
        <v>0</v>
      </c>
      <c r="E465" s="77">
        <f>(IF(Baseline!C47="Nieuwe Situatie",(_xlfn.IFNA(VLOOKUP(Referentie_Fossiele_Energie_Totaal[[#This Row],[Product]]&amp;", "&amp;Referentie_Fossiele_Energie_Totaal[[#Headers],[A2]],Database_Productkaarten[#All],51,FALSE),0)*Baseline!I47),0))</f>
        <v>0</v>
      </c>
      <c r="F465" s="77">
        <f>(IF(Baseline!C47="Nieuwe Situatie",(_xlfn.IFNA(VLOOKUP(Referentie_Fossiele_Energie_Totaal[[#This Row],[Product]]&amp;", "&amp;Referentie_Fossiele_Energie_Totaal[[#Headers],[A3]],Database_Productkaarten[#All],51,FALSE),0)*Baseline!I47),0))</f>
        <v>0</v>
      </c>
      <c r="G465" s="77">
        <f>(IF(Baseline!C47="Nieuwe Situatie",(_xlfn.IFNA(VLOOKUP(Referentie_Fossiele_Energie_Totaal[[#This Row],[Product]]&amp;", "&amp;Referentie_Fossiele_Energie_Totaal[[#Headers],[A1-A3]],Database_Productkaarten[#All],51,FALSE),0)*Baseline!I47),0))</f>
        <v>0</v>
      </c>
      <c r="H465" s="77">
        <f>IF(Baseline!T47=0,(IF(Baseline!C47="Nieuwe Situatie",(_xlfn.IFNA(VLOOKUP(Referentie_Fossiele_Energie_Totaal[[#This Row],[Product]]&amp;", "&amp;Referentie_CO2_Totaal[[#Headers],[A4]],Database_Productkaarten[#All],51,FALSE),0)*Baseline!I47),0)),IF(Baseline!C47="Nieuwe Situatie",_xlfn.IFNA(VLOOKUP(Baseline!T47,Database_Transport[#All],45,FALSE)*(Baseline!Q47*Baseline!S47),Baseline_Backlog!H150),0))</f>
        <v>0</v>
      </c>
      <c r="I465" s="77">
        <f>IF(Baseline!C47="Nieuwe situatie",IF(_xlfn.IFNA((VLOOKUP(Baseline!U47,Database_Asfalt_Aanlegset[#All],45,FALSE)*Baseline!I47),0)+_xlfn.IFNA(VLOOKUP(Baseline!V47,Database_Brandstoffen[#All],45,FALSE)*((Baseline!I47/Baseline!X47)*Baseline!W47),0)&gt;0,_xlfn.IFNA((VLOOKUP(Baseline!U47,Database_Asfalt_Aanlegset[#All],45,FALSE)*Baseline!I47),0)+_xlfn.IFNA(VLOOKUP(Baseline!V47,Database_Brandstoffen[#All],45,FALSE)*((Baseline!I47/Baseline!X47)*Baseline!W47),0),(_xlfn.IFNA(VLOOKUP(Referentie_Fossiele_Energie_Totaal[[#This Row],[Product]]&amp;", "&amp;Referentie_MKI_Totaal[[#Headers],[A5]],Database_Productkaarten[#All],51,FALSE),0)*Baseline!I47)),0)</f>
        <v>0</v>
      </c>
      <c r="J465" s="77">
        <f>(IF(Baseline!C47="Nieuwe Situatie",(_xlfn.IFNA(VLOOKUP(Referentie_Fossiele_Energie_Totaal[[#This Row],[Product]]&amp;", "&amp;Referentie_Fossiele_Energie_Totaal[[#Headers],[B1]],Database_Productkaarten[#All],51,FALSE),0)*Baseline!I47),0))</f>
        <v>0</v>
      </c>
      <c r="K465" s="77">
        <f>(IF(Baseline!C47="Nieuwe Situatie",(SUM(Referentie_Fossiele_Energie_Totaal[[#This Row],[A1]:[B1]],Referentie_Fossiele_Energie_Totaal[[#This Row],[C1]:[D2]])*Baseline!R47),0))</f>
        <v>0</v>
      </c>
      <c r="L465" s="77">
        <f>IF(Baseline!C47="Bestaande situatie",IF(_xlfn.IFNA((VLOOKUP(Baseline!Y47,Database_Asfalt_Verwijderset[#All],45,FALSE)*Baseline!I47),0)+_xlfn.IFNA(VLOOKUP(Baseline!Z47,Database_Brandstoffen[#All],45,FALSE)*((Baseline!I47/Baseline!AB47)*Baseline!AA47),0)&gt;0,_xlfn.IFNA((VLOOKUP(Baseline!Y47,Database_Asfalt_Verwijderset[#All],45,FALSE)*Baseline!I47),0)+_xlfn.IFNA(VLOOKUP(Baseline!Z47,Database_Brandstoffen[#All],45,FALSE)*((Baseline!I47/Baseline!AB47)*Baseline!AA47),0),(_xlfn.IFNA(VLOOKUP(Referentie_Fossiele_Energie_Totaal[[#This Row],[Product]]&amp;", "&amp;Referentie_MKI_Totaal[[#Headers],[C1]],Database_Productkaarten[#All],51,FALSE),0)*Baseline!I47)),0)</f>
        <v>0</v>
      </c>
      <c r="M465" s="77">
        <f>IF(Baseline!AD47=0,(IF(Baseline!C47="Bestaande Situatie",(_xlfn.IFNA(VLOOKUP(Referentie_Fossiele_Energie_Totaal[[#This Row],[Product]]&amp;", "&amp;Referentie_MKI_Totaal[[#Headers],[C2]],Database_Productkaarten[#All],51,FALSE),0)*Baseline!I47),0)),(IF(Baseline!C47="Bestaande Situatie",_xlfn.IFNA(VLOOKUP(Baseline!AD47,Database_Transport[#All],45,FALSE)*(Baseline!Q47*Baseline!AC47),0))))</f>
        <v>0</v>
      </c>
      <c r="N465" s="77">
        <f>(IF(Baseline!C47="Bestaande Situatie",(_xlfn.IFNA(VLOOKUP(Referentie_Fossiele_Energie_Totaal[[#This Row],[Product]]&amp;", "&amp;Referentie_Fossiele_Energie_Totaal[[#Headers],[C3]],Database_Productkaarten[#All],51,FALSE),0)*Baseline!I47),0))</f>
        <v>0</v>
      </c>
      <c r="O465" s="77">
        <f>(IF(Baseline!C47="Bestaande Situatie",(_xlfn.IFNA(VLOOKUP(Referentie_Fossiele_Energie_Totaal[[#This Row],[Product]]&amp;", "&amp;Referentie_Fossiele_Energie_Totaal[[#Headers],[C4]],Database_Productkaarten[#All],51,FALSE),0)*Baseline!I47),0))</f>
        <v>0</v>
      </c>
      <c r="P465" s="77">
        <f>(IF(Baseline!C47="Bestaande Situatie",(_xlfn.IFNA(VLOOKUP(Referentie_Fossiele_Energie_Totaal[[#This Row],[Product]]&amp;", "&amp;Referentie_Fossiele_Energie_Totaal[[#Headers],[D1]],Database_Productkaarten[#All],51,FALSE),0)*Baseline!I47),0))</f>
        <v>0</v>
      </c>
      <c r="Q465" s="78">
        <f>(IF(Baseline!C47="Bestaande Situatie",_xlfn.IFNA(VLOOKUP(Referentie_Fossiele_Energie_Totaal[[#This Row],[Product]]&amp;", "&amp;Referentie_Fossiele_Energie_Totaal[[#Headers],[D2]],Database_Productkaarten[#All],51,FALSE),0)*Baseline!I47,0))</f>
        <v>0</v>
      </c>
      <c r="R465" s="57">
        <f>(IF(Baseline!C47="Bestaande Situatie",_xlfn.IFNA(VLOOKUP(Referentie_Fossiele_Energie_Totaal[[#This Row],[Product]]&amp;", "&amp;Referentie_Fossiele_Energie_Totaal[[#Headers],[D]],Database_Productkaarten[#All],51,FALSE),0)*Baseline!I47,0))</f>
        <v>0</v>
      </c>
      <c r="S465" s="56">
        <f>SUM(Referentie_Fossiele_Energie_Totaal[[#This Row],[A1-A3]:[C4]])+Referentie_Fossiele_Energie_Totaal[[#This Row],[D]]</f>
        <v>0</v>
      </c>
    </row>
    <row r="466" spans="2:19">
      <c r="B466" s="209">
        <f>Baseline!B48</f>
        <v>0</v>
      </c>
      <c r="C466" s="76">
        <f>Baseline!F48</f>
        <v>0</v>
      </c>
      <c r="D466" s="77">
        <f>(IF(Baseline!C48="Nieuwe Situatie",(_xlfn.IFNA(VLOOKUP(Referentie_Fossiele_Energie_Totaal[[#This Row],[Product]]&amp;", "&amp;Referentie_Fossiele_Energie_Totaal[[#Headers],[A1]],Database_Productkaarten[#All],51,FALSE),0)*Baseline!I48),0))</f>
        <v>0</v>
      </c>
      <c r="E466" s="77">
        <f>(IF(Baseline!C48="Nieuwe Situatie",(_xlfn.IFNA(VLOOKUP(Referentie_Fossiele_Energie_Totaal[[#This Row],[Product]]&amp;", "&amp;Referentie_Fossiele_Energie_Totaal[[#Headers],[A2]],Database_Productkaarten[#All],51,FALSE),0)*Baseline!I48),0))</f>
        <v>0</v>
      </c>
      <c r="F466" s="77">
        <f>(IF(Baseline!C48="Nieuwe Situatie",(_xlfn.IFNA(VLOOKUP(Referentie_Fossiele_Energie_Totaal[[#This Row],[Product]]&amp;", "&amp;Referentie_Fossiele_Energie_Totaal[[#Headers],[A3]],Database_Productkaarten[#All],51,FALSE),0)*Baseline!I48),0))</f>
        <v>0</v>
      </c>
      <c r="G466" s="77">
        <f>(IF(Baseline!C48="Nieuwe Situatie",(_xlfn.IFNA(VLOOKUP(Referentie_Fossiele_Energie_Totaal[[#This Row],[Product]]&amp;", "&amp;Referentie_Fossiele_Energie_Totaal[[#Headers],[A1-A3]],Database_Productkaarten[#All],51,FALSE),0)*Baseline!I48),0))</f>
        <v>0</v>
      </c>
      <c r="H466" s="77">
        <f>IF(Baseline!T48=0,(IF(Baseline!C48="Nieuwe Situatie",(_xlfn.IFNA(VLOOKUP(Referentie_Fossiele_Energie_Totaal[[#This Row],[Product]]&amp;", "&amp;Referentie_CO2_Totaal[[#Headers],[A4]],Database_Productkaarten[#All],51,FALSE),0)*Baseline!I48),0)),IF(Baseline!C48="Nieuwe Situatie",_xlfn.IFNA(VLOOKUP(Baseline!T48,Database_Transport[#All],45,FALSE)*(Baseline!Q48*Baseline!S48),Baseline_Backlog!H151),0))</f>
        <v>0</v>
      </c>
      <c r="I466" s="77">
        <f>IF(Baseline!C48="Nieuwe situatie",IF(_xlfn.IFNA((VLOOKUP(Baseline!U48,Database_Asfalt_Aanlegset[#All],45,FALSE)*Baseline!I48),0)+_xlfn.IFNA(VLOOKUP(Baseline!V48,Database_Brandstoffen[#All],45,FALSE)*((Baseline!I48/Baseline!X48)*Baseline!W48),0)&gt;0,_xlfn.IFNA((VLOOKUP(Baseline!U48,Database_Asfalt_Aanlegset[#All],45,FALSE)*Baseline!I48),0)+_xlfn.IFNA(VLOOKUP(Baseline!V48,Database_Brandstoffen[#All],45,FALSE)*((Baseline!I48/Baseline!X48)*Baseline!W48),0),(_xlfn.IFNA(VLOOKUP(Referentie_Fossiele_Energie_Totaal[[#This Row],[Product]]&amp;", "&amp;Referentie_MKI_Totaal[[#Headers],[A5]],Database_Productkaarten[#All],51,FALSE),0)*Baseline!I48)),0)</f>
        <v>0</v>
      </c>
      <c r="J466" s="77">
        <f>(IF(Baseline!C48="Nieuwe Situatie",(_xlfn.IFNA(VLOOKUP(Referentie_Fossiele_Energie_Totaal[[#This Row],[Product]]&amp;", "&amp;Referentie_Fossiele_Energie_Totaal[[#Headers],[B1]],Database_Productkaarten[#All],51,FALSE),0)*Baseline!I48),0))</f>
        <v>0</v>
      </c>
      <c r="K466" s="77">
        <f>(IF(Baseline!C48="Nieuwe Situatie",(SUM(Referentie_Fossiele_Energie_Totaal[[#This Row],[A1]:[B1]],Referentie_Fossiele_Energie_Totaal[[#This Row],[C1]:[D2]])*Baseline!R48),0))</f>
        <v>0</v>
      </c>
      <c r="L466" s="77">
        <f>IF(Baseline!C48="Bestaande situatie",IF(_xlfn.IFNA((VLOOKUP(Baseline!Y48,Database_Asfalt_Verwijderset[#All],45,FALSE)*Baseline!I48),0)+_xlfn.IFNA(VLOOKUP(Baseline!Z48,Database_Brandstoffen[#All],45,FALSE)*((Baseline!I48/Baseline!AB48)*Baseline!AA48),0)&gt;0,_xlfn.IFNA((VLOOKUP(Baseline!Y48,Database_Asfalt_Verwijderset[#All],45,FALSE)*Baseline!I48),0)+_xlfn.IFNA(VLOOKUP(Baseline!Z48,Database_Brandstoffen[#All],45,FALSE)*((Baseline!I48/Baseline!AB48)*Baseline!AA48),0),(_xlfn.IFNA(VLOOKUP(Referentie_Fossiele_Energie_Totaal[[#This Row],[Product]]&amp;", "&amp;Referentie_MKI_Totaal[[#Headers],[C1]],Database_Productkaarten[#All],51,FALSE),0)*Baseline!I48)),0)</f>
        <v>0</v>
      </c>
      <c r="M466" s="77">
        <f>IF(Baseline!AD48=0,(IF(Baseline!C48="Bestaande Situatie",(_xlfn.IFNA(VLOOKUP(Referentie_Fossiele_Energie_Totaal[[#This Row],[Product]]&amp;", "&amp;Referentie_MKI_Totaal[[#Headers],[C2]],Database_Productkaarten[#All],51,FALSE),0)*Baseline!I48),0)),(IF(Baseline!C48="Bestaande Situatie",_xlfn.IFNA(VLOOKUP(Baseline!AD48,Database_Transport[#All],45,FALSE)*(Baseline!Q48*Baseline!AC48),0))))</f>
        <v>0</v>
      </c>
      <c r="N466" s="77">
        <f>(IF(Baseline!C48="Bestaande Situatie",(_xlfn.IFNA(VLOOKUP(Referentie_Fossiele_Energie_Totaal[[#This Row],[Product]]&amp;", "&amp;Referentie_Fossiele_Energie_Totaal[[#Headers],[C3]],Database_Productkaarten[#All],51,FALSE),0)*Baseline!I48),0))</f>
        <v>0</v>
      </c>
      <c r="O466" s="77">
        <f>(IF(Baseline!C48="Bestaande Situatie",(_xlfn.IFNA(VLOOKUP(Referentie_Fossiele_Energie_Totaal[[#This Row],[Product]]&amp;", "&amp;Referentie_Fossiele_Energie_Totaal[[#Headers],[C4]],Database_Productkaarten[#All],51,FALSE),0)*Baseline!I48),0))</f>
        <v>0</v>
      </c>
      <c r="P466" s="77">
        <f>(IF(Baseline!C48="Bestaande Situatie",(_xlfn.IFNA(VLOOKUP(Referentie_Fossiele_Energie_Totaal[[#This Row],[Product]]&amp;", "&amp;Referentie_Fossiele_Energie_Totaal[[#Headers],[D1]],Database_Productkaarten[#All],51,FALSE),0)*Baseline!I48),0))</f>
        <v>0</v>
      </c>
      <c r="Q466" s="78">
        <f>(IF(Baseline!C48="Bestaande Situatie",_xlfn.IFNA(VLOOKUP(Referentie_Fossiele_Energie_Totaal[[#This Row],[Product]]&amp;", "&amp;Referentie_Fossiele_Energie_Totaal[[#Headers],[D2]],Database_Productkaarten[#All],51,FALSE),0)*Baseline!I48,0))</f>
        <v>0</v>
      </c>
      <c r="R466" s="57">
        <f>(IF(Baseline!C48="Bestaande Situatie",_xlfn.IFNA(VLOOKUP(Referentie_Fossiele_Energie_Totaal[[#This Row],[Product]]&amp;", "&amp;Referentie_Fossiele_Energie_Totaal[[#Headers],[D]],Database_Productkaarten[#All],51,FALSE),0)*Baseline!I48,0))</f>
        <v>0</v>
      </c>
      <c r="S466" s="56">
        <f>SUM(Referentie_Fossiele_Energie_Totaal[[#This Row],[A1-A3]:[C4]])+Referentie_Fossiele_Energie_Totaal[[#This Row],[D]]</f>
        <v>0</v>
      </c>
    </row>
    <row r="467" spans="2:19">
      <c r="B467" s="209">
        <f>Baseline!B49</f>
        <v>0</v>
      </c>
      <c r="C467" s="76">
        <f>Baseline!F49</f>
        <v>0</v>
      </c>
      <c r="D467" s="77">
        <f>(IF(Baseline!C49="Nieuwe Situatie",(_xlfn.IFNA(VLOOKUP(Referentie_Fossiele_Energie_Totaal[[#This Row],[Product]]&amp;", "&amp;Referentie_Fossiele_Energie_Totaal[[#Headers],[A1]],Database_Productkaarten[#All],51,FALSE),0)*Baseline!I49),0))</f>
        <v>0</v>
      </c>
      <c r="E467" s="77">
        <f>(IF(Baseline!C49="Nieuwe Situatie",(_xlfn.IFNA(VLOOKUP(Referentie_Fossiele_Energie_Totaal[[#This Row],[Product]]&amp;", "&amp;Referentie_Fossiele_Energie_Totaal[[#Headers],[A2]],Database_Productkaarten[#All],51,FALSE),0)*Baseline!I49),0))</f>
        <v>0</v>
      </c>
      <c r="F467" s="77">
        <f>(IF(Baseline!C49="Nieuwe Situatie",(_xlfn.IFNA(VLOOKUP(Referentie_Fossiele_Energie_Totaal[[#This Row],[Product]]&amp;", "&amp;Referentie_Fossiele_Energie_Totaal[[#Headers],[A3]],Database_Productkaarten[#All],51,FALSE),0)*Baseline!I49),0))</f>
        <v>0</v>
      </c>
      <c r="G467" s="77">
        <f>(IF(Baseline!C49="Nieuwe Situatie",(_xlfn.IFNA(VLOOKUP(Referentie_Fossiele_Energie_Totaal[[#This Row],[Product]]&amp;", "&amp;Referentie_Fossiele_Energie_Totaal[[#Headers],[A1-A3]],Database_Productkaarten[#All],51,FALSE),0)*Baseline!I49),0))</f>
        <v>0</v>
      </c>
      <c r="H467" s="77">
        <f>IF(Baseline!T49=0,(IF(Baseline!C49="Nieuwe Situatie",(_xlfn.IFNA(VLOOKUP(Referentie_Fossiele_Energie_Totaal[[#This Row],[Product]]&amp;", "&amp;Referentie_CO2_Totaal[[#Headers],[A4]],Database_Productkaarten[#All],51,FALSE),0)*Baseline!I49),0)),IF(Baseline!C49="Nieuwe Situatie",_xlfn.IFNA(VLOOKUP(Baseline!T49,Database_Transport[#All],45,FALSE)*(Baseline!Q49*Baseline!S49),Baseline_Backlog!H152),0))</f>
        <v>0</v>
      </c>
      <c r="I467" s="77">
        <f>IF(Baseline!C49="Nieuwe situatie",IF(_xlfn.IFNA((VLOOKUP(Baseline!U49,Database_Asfalt_Aanlegset[#All],45,FALSE)*Baseline!I49),0)+_xlfn.IFNA(VLOOKUP(Baseline!V49,Database_Brandstoffen[#All],45,FALSE)*((Baseline!I49/Baseline!X49)*Baseline!W49),0)&gt;0,_xlfn.IFNA((VLOOKUP(Baseline!U49,Database_Asfalt_Aanlegset[#All],45,FALSE)*Baseline!I49),0)+_xlfn.IFNA(VLOOKUP(Baseline!V49,Database_Brandstoffen[#All],45,FALSE)*((Baseline!I49/Baseline!X49)*Baseline!W49),0),(_xlfn.IFNA(VLOOKUP(Referentie_Fossiele_Energie_Totaal[[#This Row],[Product]]&amp;", "&amp;Referentie_MKI_Totaal[[#Headers],[A5]],Database_Productkaarten[#All],51,FALSE),0)*Baseline!I49)),0)</f>
        <v>0</v>
      </c>
      <c r="J467" s="77">
        <f>(IF(Baseline!C49="Nieuwe Situatie",(_xlfn.IFNA(VLOOKUP(Referentie_Fossiele_Energie_Totaal[[#This Row],[Product]]&amp;", "&amp;Referentie_Fossiele_Energie_Totaal[[#Headers],[B1]],Database_Productkaarten[#All],51,FALSE),0)*Baseline!I49),0))</f>
        <v>0</v>
      </c>
      <c r="K467" s="77">
        <f>(IF(Baseline!C49="Nieuwe Situatie",(SUM(Referentie_Fossiele_Energie_Totaal[[#This Row],[A1]:[B1]],Referentie_Fossiele_Energie_Totaal[[#This Row],[C1]:[D2]])*Baseline!R49),0))</f>
        <v>0</v>
      </c>
      <c r="L467" s="77">
        <f>IF(Baseline!C49="Bestaande situatie",IF(_xlfn.IFNA((VLOOKUP(Baseline!Y49,Database_Asfalt_Verwijderset[#All],45,FALSE)*Baseline!I49),0)+_xlfn.IFNA(VLOOKUP(Baseline!Z49,Database_Brandstoffen[#All],45,FALSE)*((Baseline!I49/Baseline!AB49)*Baseline!AA49),0)&gt;0,_xlfn.IFNA((VLOOKUP(Baseline!Y49,Database_Asfalt_Verwijderset[#All],45,FALSE)*Baseline!I49),0)+_xlfn.IFNA(VLOOKUP(Baseline!Z49,Database_Brandstoffen[#All],45,FALSE)*((Baseline!I49/Baseline!AB49)*Baseline!AA49),0),(_xlfn.IFNA(VLOOKUP(Referentie_Fossiele_Energie_Totaal[[#This Row],[Product]]&amp;", "&amp;Referentie_MKI_Totaal[[#Headers],[C1]],Database_Productkaarten[#All],51,FALSE),0)*Baseline!I49)),0)</f>
        <v>0</v>
      </c>
      <c r="M467" s="77">
        <f>IF(Baseline!AD49=0,(IF(Baseline!C49="Bestaande Situatie",(_xlfn.IFNA(VLOOKUP(Referentie_Fossiele_Energie_Totaal[[#This Row],[Product]]&amp;", "&amp;Referentie_MKI_Totaal[[#Headers],[C2]],Database_Productkaarten[#All],51,FALSE),0)*Baseline!I49),0)),(IF(Baseline!C49="Bestaande Situatie",_xlfn.IFNA(VLOOKUP(Baseline!AD49,Database_Transport[#All],45,FALSE)*(Baseline!Q49*Baseline!AC49),0))))</f>
        <v>0</v>
      </c>
      <c r="N467" s="77">
        <f>(IF(Baseline!C49="Bestaande Situatie",(_xlfn.IFNA(VLOOKUP(Referentie_Fossiele_Energie_Totaal[[#This Row],[Product]]&amp;", "&amp;Referentie_Fossiele_Energie_Totaal[[#Headers],[C3]],Database_Productkaarten[#All],51,FALSE),0)*Baseline!I49),0))</f>
        <v>0</v>
      </c>
      <c r="O467" s="77">
        <f>(IF(Baseline!C49="Bestaande Situatie",(_xlfn.IFNA(VLOOKUP(Referentie_Fossiele_Energie_Totaal[[#This Row],[Product]]&amp;", "&amp;Referentie_Fossiele_Energie_Totaal[[#Headers],[C4]],Database_Productkaarten[#All],51,FALSE),0)*Baseline!I49),0))</f>
        <v>0</v>
      </c>
      <c r="P467" s="77">
        <f>(IF(Baseline!C49="Bestaande Situatie",(_xlfn.IFNA(VLOOKUP(Referentie_Fossiele_Energie_Totaal[[#This Row],[Product]]&amp;", "&amp;Referentie_Fossiele_Energie_Totaal[[#Headers],[D1]],Database_Productkaarten[#All],51,FALSE),0)*Baseline!I49),0))</f>
        <v>0</v>
      </c>
      <c r="Q467" s="78">
        <f>(IF(Baseline!C49="Bestaande Situatie",_xlfn.IFNA(VLOOKUP(Referentie_Fossiele_Energie_Totaal[[#This Row],[Product]]&amp;", "&amp;Referentie_Fossiele_Energie_Totaal[[#Headers],[D2]],Database_Productkaarten[#All],51,FALSE),0)*Baseline!I49,0))</f>
        <v>0</v>
      </c>
      <c r="R467" s="57">
        <f>(IF(Baseline!C49="Bestaande Situatie",_xlfn.IFNA(VLOOKUP(Referentie_Fossiele_Energie_Totaal[[#This Row],[Product]]&amp;", "&amp;Referentie_Fossiele_Energie_Totaal[[#Headers],[D]],Database_Productkaarten[#All],51,FALSE),0)*Baseline!I49,0))</f>
        <v>0</v>
      </c>
      <c r="S467" s="56">
        <f>SUM(Referentie_Fossiele_Energie_Totaal[[#This Row],[A1-A3]:[C4]])+Referentie_Fossiele_Energie_Totaal[[#This Row],[D]]</f>
        <v>0</v>
      </c>
    </row>
    <row r="468" spans="2:19">
      <c r="B468" s="209">
        <f>Baseline!B50</f>
        <v>0</v>
      </c>
      <c r="C468" s="76">
        <f>Baseline!F50</f>
        <v>0</v>
      </c>
      <c r="D468" s="77">
        <f>(IF(Baseline!C50="Nieuwe Situatie",(_xlfn.IFNA(VLOOKUP(Referentie_Fossiele_Energie_Totaal[[#This Row],[Product]]&amp;", "&amp;Referentie_Fossiele_Energie_Totaal[[#Headers],[A1]],Database_Productkaarten[#All],51,FALSE),0)*Baseline!I50),0))</f>
        <v>0</v>
      </c>
      <c r="E468" s="77">
        <f>(IF(Baseline!C50="Nieuwe Situatie",(_xlfn.IFNA(VLOOKUP(Referentie_Fossiele_Energie_Totaal[[#This Row],[Product]]&amp;", "&amp;Referentie_Fossiele_Energie_Totaal[[#Headers],[A2]],Database_Productkaarten[#All],51,FALSE),0)*Baseline!I50),0))</f>
        <v>0</v>
      </c>
      <c r="F468" s="77">
        <f>(IF(Baseline!C50="Nieuwe Situatie",(_xlfn.IFNA(VLOOKUP(Referentie_Fossiele_Energie_Totaal[[#This Row],[Product]]&amp;", "&amp;Referentie_Fossiele_Energie_Totaal[[#Headers],[A3]],Database_Productkaarten[#All],51,FALSE),0)*Baseline!I50),0))</f>
        <v>0</v>
      </c>
      <c r="G468" s="77">
        <f>(IF(Baseline!C50="Nieuwe Situatie",(_xlfn.IFNA(VLOOKUP(Referentie_Fossiele_Energie_Totaal[[#This Row],[Product]]&amp;", "&amp;Referentie_Fossiele_Energie_Totaal[[#Headers],[A1-A3]],Database_Productkaarten[#All],51,FALSE),0)*Baseline!I50),0))</f>
        <v>0</v>
      </c>
      <c r="H468" s="77">
        <f>IF(Baseline!T50=0,(IF(Baseline!C50="Nieuwe Situatie",(_xlfn.IFNA(VLOOKUP(Referentie_Fossiele_Energie_Totaal[[#This Row],[Product]]&amp;", "&amp;Referentie_CO2_Totaal[[#Headers],[A4]],Database_Productkaarten[#All],51,FALSE),0)*Baseline!I50),0)),IF(Baseline!C50="Nieuwe Situatie",_xlfn.IFNA(VLOOKUP(Baseline!T50,Database_Transport[#All],45,FALSE)*(Baseline!Q50*Baseline!S50),Baseline_Backlog!H153),0))</f>
        <v>0</v>
      </c>
      <c r="I468" s="77">
        <f>IF(Baseline!C50="Nieuwe situatie",IF(_xlfn.IFNA((VLOOKUP(Baseline!U50,Database_Asfalt_Aanlegset[#All],45,FALSE)*Baseline!I50),0)+_xlfn.IFNA(VLOOKUP(Baseline!V50,Database_Brandstoffen[#All],45,FALSE)*((Baseline!I50/Baseline!X50)*Baseline!W50),0)&gt;0,_xlfn.IFNA((VLOOKUP(Baseline!U50,Database_Asfalt_Aanlegset[#All],45,FALSE)*Baseline!I50),0)+_xlfn.IFNA(VLOOKUP(Baseline!V50,Database_Brandstoffen[#All],45,FALSE)*((Baseline!I50/Baseline!X50)*Baseline!W50),0),(_xlfn.IFNA(VLOOKUP(Referentie_Fossiele_Energie_Totaal[[#This Row],[Product]]&amp;", "&amp;Referentie_MKI_Totaal[[#Headers],[A5]],Database_Productkaarten[#All],51,FALSE),0)*Baseline!I50)),0)</f>
        <v>0</v>
      </c>
      <c r="J468" s="77">
        <f>(IF(Baseline!C50="Nieuwe Situatie",(_xlfn.IFNA(VLOOKUP(Referentie_Fossiele_Energie_Totaal[[#This Row],[Product]]&amp;", "&amp;Referentie_Fossiele_Energie_Totaal[[#Headers],[B1]],Database_Productkaarten[#All],51,FALSE),0)*Baseline!I50),0))</f>
        <v>0</v>
      </c>
      <c r="K468" s="77">
        <f>(IF(Baseline!C50="Nieuwe Situatie",(SUM(Referentie_Fossiele_Energie_Totaal[[#This Row],[A1]:[B1]],Referentie_Fossiele_Energie_Totaal[[#This Row],[C1]:[D2]])*Baseline!R50),0))</f>
        <v>0</v>
      </c>
      <c r="L468" s="77">
        <f>IF(Baseline!C50="Bestaande situatie",IF(_xlfn.IFNA((VLOOKUP(Baseline!Y50,Database_Asfalt_Verwijderset[#All],45,FALSE)*Baseline!I50),0)+_xlfn.IFNA(VLOOKUP(Baseline!Z50,Database_Brandstoffen[#All],45,FALSE)*((Baseline!I50/Baseline!AB50)*Baseline!AA50),0)&gt;0,_xlfn.IFNA((VLOOKUP(Baseline!Y50,Database_Asfalt_Verwijderset[#All],45,FALSE)*Baseline!I50),0)+_xlfn.IFNA(VLOOKUP(Baseline!Z50,Database_Brandstoffen[#All],45,FALSE)*((Baseline!I50/Baseline!AB50)*Baseline!AA50),0),(_xlfn.IFNA(VLOOKUP(Referentie_Fossiele_Energie_Totaal[[#This Row],[Product]]&amp;", "&amp;Referentie_MKI_Totaal[[#Headers],[C1]],Database_Productkaarten[#All],51,FALSE),0)*Baseline!I50)),0)</f>
        <v>0</v>
      </c>
      <c r="M468" s="77">
        <f>IF(Baseline!AD50=0,(IF(Baseline!C50="Bestaande Situatie",(_xlfn.IFNA(VLOOKUP(Referentie_Fossiele_Energie_Totaal[[#This Row],[Product]]&amp;", "&amp;Referentie_MKI_Totaal[[#Headers],[C2]],Database_Productkaarten[#All],51,FALSE),0)*Baseline!I50),0)),(IF(Baseline!C50="Bestaande Situatie",_xlfn.IFNA(VLOOKUP(Baseline!AD50,Database_Transport[#All],45,FALSE)*(Baseline!Q50*Baseline!AC50),0))))</f>
        <v>0</v>
      </c>
      <c r="N468" s="77">
        <f>(IF(Baseline!C50="Bestaande Situatie",(_xlfn.IFNA(VLOOKUP(Referentie_Fossiele_Energie_Totaal[[#This Row],[Product]]&amp;", "&amp;Referentie_Fossiele_Energie_Totaal[[#Headers],[C3]],Database_Productkaarten[#All],51,FALSE),0)*Baseline!I50),0))</f>
        <v>0</v>
      </c>
      <c r="O468" s="77">
        <f>(IF(Baseline!C50="Bestaande Situatie",(_xlfn.IFNA(VLOOKUP(Referentie_Fossiele_Energie_Totaal[[#This Row],[Product]]&amp;", "&amp;Referentie_Fossiele_Energie_Totaal[[#Headers],[C4]],Database_Productkaarten[#All],51,FALSE),0)*Baseline!I50),0))</f>
        <v>0</v>
      </c>
      <c r="P468" s="77">
        <f>(IF(Baseline!C50="Bestaande Situatie",(_xlfn.IFNA(VLOOKUP(Referentie_Fossiele_Energie_Totaal[[#This Row],[Product]]&amp;", "&amp;Referentie_Fossiele_Energie_Totaal[[#Headers],[D1]],Database_Productkaarten[#All],51,FALSE),0)*Baseline!I50),0))</f>
        <v>0</v>
      </c>
      <c r="Q468" s="78">
        <f>(IF(Baseline!C50="Bestaande Situatie",_xlfn.IFNA(VLOOKUP(Referentie_Fossiele_Energie_Totaal[[#This Row],[Product]]&amp;", "&amp;Referentie_Fossiele_Energie_Totaal[[#Headers],[D2]],Database_Productkaarten[#All],51,FALSE),0)*Baseline!I50,0))</f>
        <v>0</v>
      </c>
      <c r="R468" s="57">
        <f>(IF(Baseline!C50="Bestaande Situatie",_xlfn.IFNA(VLOOKUP(Referentie_Fossiele_Energie_Totaal[[#This Row],[Product]]&amp;", "&amp;Referentie_Fossiele_Energie_Totaal[[#Headers],[D]],Database_Productkaarten[#All],51,FALSE),0)*Baseline!I50,0))</f>
        <v>0</v>
      </c>
      <c r="S468" s="56">
        <f>SUM(Referentie_Fossiele_Energie_Totaal[[#This Row],[A1-A3]:[C4]])+Referentie_Fossiele_Energie_Totaal[[#This Row],[D]]</f>
        <v>0</v>
      </c>
    </row>
    <row r="469" spans="2:19">
      <c r="B469" s="209">
        <f>Baseline!B51</f>
        <v>0</v>
      </c>
      <c r="C469" s="76">
        <f>Baseline!F51</f>
        <v>0</v>
      </c>
      <c r="D469" s="77">
        <f>(IF(Baseline!C51="Nieuwe Situatie",(_xlfn.IFNA(VLOOKUP(Referentie_Fossiele_Energie_Totaal[[#This Row],[Product]]&amp;", "&amp;Referentie_Fossiele_Energie_Totaal[[#Headers],[A1]],Database_Productkaarten[#All],51,FALSE),0)*Baseline!I51),0))</f>
        <v>0</v>
      </c>
      <c r="E469" s="77">
        <f>(IF(Baseline!C51="Nieuwe Situatie",(_xlfn.IFNA(VLOOKUP(Referentie_Fossiele_Energie_Totaal[[#This Row],[Product]]&amp;", "&amp;Referentie_Fossiele_Energie_Totaal[[#Headers],[A2]],Database_Productkaarten[#All],51,FALSE),0)*Baseline!I51),0))</f>
        <v>0</v>
      </c>
      <c r="F469" s="77">
        <f>(IF(Baseline!C51="Nieuwe Situatie",(_xlfn.IFNA(VLOOKUP(Referentie_Fossiele_Energie_Totaal[[#This Row],[Product]]&amp;", "&amp;Referentie_Fossiele_Energie_Totaal[[#Headers],[A3]],Database_Productkaarten[#All],51,FALSE),0)*Baseline!I51),0))</f>
        <v>0</v>
      </c>
      <c r="G469" s="77">
        <f>(IF(Baseline!C51="Nieuwe Situatie",(_xlfn.IFNA(VLOOKUP(Referentie_Fossiele_Energie_Totaal[[#This Row],[Product]]&amp;", "&amp;Referentie_Fossiele_Energie_Totaal[[#Headers],[A1-A3]],Database_Productkaarten[#All],51,FALSE),0)*Baseline!I51),0))</f>
        <v>0</v>
      </c>
      <c r="H469" s="77">
        <f>IF(Baseline!T51=0,(IF(Baseline!C51="Nieuwe Situatie",(_xlfn.IFNA(VLOOKUP(Referentie_Fossiele_Energie_Totaal[[#This Row],[Product]]&amp;", "&amp;Referentie_CO2_Totaal[[#Headers],[A4]],Database_Productkaarten[#All],51,FALSE),0)*Baseline!I51),0)),IF(Baseline!C51="Nieuwe Situatie",_xlfn.IFNA(VLOOKUP(Baseline!T51,Database_Transport[#All],45,FALSE)*(Baseline!Q51*Baseline!S51),Baseline_Backlog!H154),0))</f>
        <v>0</v>
      </c>
      <c r="I469" s="77">
        <f>IF(Baseline!C51="Nieuwe situatie",IF(_xlfn.IFNA((VLOOKUP(Baseline!U51,Database_Asfalt_Aanlegset[#All],45,FALSE)*Baseline!I51),0)+_xlfn.IFNA(VLOOKUP(Baseline!V51,Database_Brandstoffen[#All],45,FALSE)*((Baseline!I51/Baseline!X51)*Baseline!W51),0)&gt;0,_xlfn.IFNA((VLOOKUP(Baseline!U51,Database_Asfalt_Aanlegset[#All],45,FALSE)*Baseline!I51),0)+_xlfn.IFNA(VLOOKUP(Baseline!V51,Database_Brandstoffen[#All],45,FALSE)*((Baseline!I51/Baseline!X51)*Baseline!W51),0),(_xlfn.IFNA(VLOOKUP(Referentie_Fossiele_Energie_Totaal[[#This Row],[Product]]&amp;", "&amp;Referentie_MKI_Totaal[[#Headers],[A5]],Database_Productkaarten[#All],51,FALSE),0)*Baseline!I51)),0)</f>
        <v>0</v>
      </c>
      <c r="J469" s="77">
        <f>(IF(Baseline!C51="Nieuwe Situatie",(_xlfn.IFNA(VLOOKUP(Referentie_Fossiele_Energie_Totaal[[#This Row],[Product]]&amp;", "&amp;Referentie_Fossiele_Energie_Totaal[[#Headers],[B1]],Database_Productkaarten[#All],51,FALSE),0)*Baseline!I51),0))</f>
        <v>0</v>
      </c>
      <c r="K469" s="77">
        <f>(IF(Baseline!C51="Nieuwe Situatie",(SUM(Referentie_Fossiele_Energie_Totaal[[#This Row],[A1]:[B1]],Referentie_Fossiele_Energie_Totaal[[#This Row],[C1]:[D2]])*Baseline!R51),0))</f>
        <v>0</v>
      </c>
      <c r="L469" s="77">
        <f>IF(Baseline!C51="Bestaande situatie",IF(_xlfn.IFNA((VLOOKUP(Baseline!Y51,Database_Asfalt_Verwijderset[#All],45,FALSE)*Baseline!I51),0)+_xlfn.IFNA(VLOOKUP(Baseline!Z51,Database_Brandstoffen[#All],45,FALSE)*((Baseline!I51/Baseline!AB51)*Baseline!AA51),0)&gt;0,_xlfn.IFNA((VLOOKUP(Baseline!Y51,Database_Asfalt_Verwijderset[#All],45,FALSE)*Baseline!I51),0)+_xlfn.IFNA(VLOOKUP(Baseline!Z51,Database_Brandstoffen[#All],45,FALSE)*((Baseline!I51/Baseline!AB51)*Baseline!AA51),0),(_xlfn.IFNA(VLOOKUP(Referentie_Fossiele_Energie_Totaal[[#This Row],[Product]]&amp;", "&amp;Referentie_MKI_Totaal[[#Headers],[C1]],Database_Productkaarten[#All],51,FALSE),0)*Baseline!I51)),0)</f>
        <v>0</v>
      </c>
      <c r="M469" s="77">
        <f>IF(Baseline!AD51=0,(IF(Baseline!C51="Bestaande Situatie",(_xlfn.IFNA(VLOOKUP(Referentie_Fossiele_Energie_Totaal[[#This Row],[Product]]&amp;", "&amp;Referentie_MKI_Totaal[[#Headers],[C2]],Database_Productkaarten[#All],51,FALSE),0)*Baseline!I51),0)),(IF(Baseline!C51="Bestaande Situatie",_xlfn.IFNA(VLOOKUP(Baseline!AD51,Database_Transport[#All],45,FALSE)*(Baseline!Q51*Baseline!AC51),0))))</f>
        <v>0</v>
      </c>
      <c r="N469" s="77">
        <f>(IF(Baseline!C51="Bestaande Situatie",(_xlfn.IFNA(VLOOKUP(Referentie_Fossiele_Energie_Totaal[[#This Row],[Product]]&amp;", "&amp;Referentie_Fossiele_Energie_Totaal[[#Headers],[C3]],Database_Productkaarten[#All],51,FALSE),0)*Baseline!I51),0))</f>
        <v>0</v>
      </c>
      <c r="O469" s="77">
        <f>(IF(Baseline!C51="Bestaande Situatie",(_xlfn.IFNA(VLOOKUP(Referentie_Fossiele_Energie_Totaal[[#This Row],[Product]]&amp;", "&amp;Referentie_Fossiele_Energie_Totaal[[#Headers],[C4]],Database_Productkaarten[#All],51,FALSE),0)*Baseline!I51),0))</f>
        <v>0</v>
      </c>
      <c r="P469" s="77">
        <f>(IF(Baseline!C51="Bestaande Situatie",(_xlfn.IFNA(VLOOKUP(Referentie_Fossiele_Energie_Totaal[[#This Row],[Product]]&amp;", "&amp;Referentie_Fossiele_Energie_Totaal[[#Headers],[D1]],Database_Productkaarten[#All],51,FALSE),0)*Baseline!I51),0))</f>
        <v>0</v>
      </c>
      <c r="Q469" s="78">
        <f>(IF(Baseline!C51="Bestaande Situatie",_xlfn.IFNA(VLOOKUP(Referentie_Fossiele_Energie_Totaal[[#This Row],[Product]]&amp;", "&amp;Referentie_Fossiele_Energie_Totaal[[#Headers],[D2]],Database_Productkaarten[#All],51,FALSE),0)*Baseline!I51,0))</f>
        <v>0</v>
      </c>
      <c r="R469" s="57">
        <f>(IF(Baseline!C51="Bestaande Situatie",_xlfn.IFNA(VLOOKUP(Referentie_Fossiele_Energie_Totaal[[#This Row],[Product]]&amp;", "&amp;Referentie_Fossiele_Energie_Totaal[[#Headers],[D]],Database_Productkaarten[#All],51,FALSE),0)*Baseline!I51,0))</f>
        <v>0</v>
      </c>
      <c r="S469" s="56">
        <f>SUM(Referentie_Fossiele_Energie_Totaal[[#This Row],[A1-A3]:[C4]])+Referentie_Fossiele_Energie_Totaal[[#This Row],[D]]</f>
        <v>0</v>
      </c>
    </row>
    <row r="470" spans="2:19">
      <c r="B470" s="209">
        <f>Baseline!B52</f>
        <v>0</v>
      </c>
      <c r="C470" s="76">
        <f>Baseline!F52</f>
        <v>0</v>
      </c>
      <c r="D470" s="77">
        <f>(IF(Baseline!C52="Nieuwe Situatie",(_xlfn.IFNA(VLOOKUP(Referentie_Fossiele_Energie_Totaal[[#This Row],[Product]]&amp;", "&amp;Referentie_Fossiele_Energie_Totaal[[#Headers],[A1]],Database_Productkaarten[#All],51,FALSE),0)*Baseline!I52),0))</f>
        <v>0</v>
      </c>
      <c r="E470" s="77">
        <f>(IF(Baseline!C52="Nieuwe Situatie",(_xlfn.IFNA(VLOOKUP(Referentie_Fossiele_Energie_Totaal[[#This Row],[Product]]&amp;", "&amp;Referentie_Fossiele_Energie_Totaal[[#Headers],[A2]],Database_Productkaarten[#All],51,FALSE),0)*Baseline!I52),0))</f>
        <v>0</v>
      </c>
      <c r="F470" s="77">
        <f>(IF(Baseline!C52="Nieuwe Situatie",(_xlfn.IFNA(VLOOKUP(Referentie_Fossiele_Energie_Totaal[[#This Row],[Product]]&amp;", "&amp;Referentie_Fossiele_Energie_Totaal[[#Headers],[A3]],Database_Productkaarten[#All],51,FALSE),0)*Baseline!I52),0))</f>
        <v>0</v>
      </c>
      <c r="G470" s="77">
        <f>(IF(Baseline!C52="Nieuwe Situatie",(_xlfn.IFNA(VLOOKUP(Referentie_Fossiele_Energie_Totaal[[#This Row],[Product]]&amp;", "&amp;Referentie_Fossiele_Energie_Totaal[[#Headers],[A1-A3]],Database_Productkaarten[#All],51,FALSE),0)*Baseline!I52),0))</f>
        <v>0</v>
      </c>
      <c r="H470" s="77">
        <f>IF(Baseline!T52=0,(IF(Baseline!C52="Nieuwe Situatie",(_xlfn.IFNA(VLOOKUP(Referentie_Fossiele_Energie_Totaal[[#This Row],[Product]]&amp;", "&amp;Referentie_CO2_Totaal[[#Headers],[A4]],Database_Productkaarten[#All],51,FALSE),0)*Baseline!I52),0)),IF(Baseline!C52="Nieuwe Situatie",_xlfn.IFNA(VLOOKUP(Baseline!T52,Database_Transport[#All],45,FALSE)*(Baseline!Q52*Baseline!S52),Baseline_Backlog!H155),0))</f>
        <v>0</v>
      </c>
      <c r="I470" s="77">
        <f>IF(Baseline!C52="Nieuwe situatie",IF(_xlfn.IFNA((VLOOKUP(Baseline!U52,Database_Asfalt_Aanlegset[#All],45,FALSE)*Baseline!I52),0)+_xlfn.IFNA(VLOOKUP(Baseline!V52,Database_Brandstoffen[#All],45,FALSE)*((Baseline!I52/Baseline!X52)*Baseline!W52),0)&gt;0,_xlfn.IFNA((VLOOKUP(Baseline!U52,Database_Asfalt_Aanlegset[#All],45,FALSE)*Baseline!I52),0)+_xlfn.IFNA(VLOOKUP(Baseline!V52,Database_Brandstoffen[#All],45,FALSE)*((Baseline!I52/Baseline!X52)*Baseline!W52),0),(_xlfn.IFNA(VLOOKUP(Referentie_Fossiele_Energie_Totaal[[#This Row],[Product]]&amp;", "&amp;Referentie_MKI_Totaal[[#Headers],[A5]],Database_Productkaarten[#All],51,FALSE),0)*Baseline!I52)),0)</f>
        <v>0</v>
      </c>
      <c r="J470" s="77">
        <f>(IF(Baseline!C52="Nieuwe Situatie",(_xlfn.IFNA(VLOOKUP(Referentie_Fossiele_Energie_Totaal[[#This Row],[Product]]&amp;", "&amp;Referentie_Fossiele_Energie_Totaal[[#Headers],[B1]],Database_Productkaarten[#All],51,FALSE),0)*Baseline!I52),0))</f>
        <v>0</v>
      </c>
      <c r="K470" s="77">
        <f>(IF(Baseline!C52="Nieuwe Situatie",(SUM(Referentie_Fossiele_Energie_Totaal[[#This Row],[A1]:[B1]],Referentie_Fossiele_Energie_Totaal[[#This Row],[C1]:[D2]])*Baseline!R52),0))</f>
        <v>0</v>
      </c>
      <c r="L470" s="77">
        <f>IF(Baseline!C52="Bestaande situatie",IF(_xlfn.IFNA((VLOOKUP(Baseline!Y52,Database_Asfalt_Verwijderset[#All],45,FALSE)*Baseline!I52),0)+_xlfn.IFNA(VLOOKUP(Baseline!Z52,Database_Brandstoffen[#All],45,FALSE)*((Baseline!I52/Baseline!AB52)*Baseline!AA52),0)&gt;0,_xlfn.IFNA((VLOOKUP(Baseline!Y52,Database_Asfalt_Verwijderset[#All],45,FALSE)*Baseline!I52),0)+_xlfn.IFNA(VLOOKUP(Baseline!Z52,Database_Brandstoffen[#All],45,FALSE)*((Baseline!I52/Baseline!AB52)*Baseline!AA52),0),(_xlfn.IFNA(VLOOKUP(Referentie_Fossiele_Energie_Totaal[[#This Row],[Product]]&amp;", "&amp;Referentie_MKI_Totaal[[#Headers],[C1]],Database_Productkaarten[#All],51,FALSE),0)*Baseline!I52)),0)</f>
        <v>0</v>
      </c>
      <c r="M470" s="77">
        <f>IF(Baseline!AD52=0,(IF(Baseline!C52="Bestaande Situatie",(_xlfn.IFNA(VLOOKUP(Referentie_Fossiele_Energie_Totaal[[#This Row],[Product]]&amp;", "&amp;Referentie_MKI_Totaal[[#Headers],[C2]],Database_Productkaarten[#All],51,FALSE),0)*Baseline!I52),0)),(IF(Baseline!C52="Bestaande Situatie",_xlfn.IFNA(VLOOKUP(Baseline!AD52,Database_Transport[#All],45,FALSE)*(Baseline!Q52*Baseline!AC52),0))))</f>
        <v>0</v>
      </c>
      <c r="N470" s="77">
        <f>(IF(Baseline!C52="Bestaande Situatie",(_xlfn.IFNA(VLOOKUP(Referentie_Fossiele_Energie_Totaal[[#This Row],[Product]]&amp;", "&amp;Referentie_Fossiele_Energie_Totaal[[#Headers],[C3]],Database_Productkaarten[#All],51,FALSE),0)*Baseline!I52),0))</f>
        <v>0</v>
      </c>
      <c r="O470" s="77">
        <f>(IF(Baseline!C52="Bestaande Situatie",(_xlfn.IFNA(VLOOKUP(Referentie_Fossiele_Energie_Totaal[[#This Row],[Product]]&amp;", "&amp;Referentie_Fossiele_Energie_Totaal[[#Headers],[C4]],Database_Productkaarten[#All],51,FALSE),0)*Baseline!I52),0))</f>
        <v>0</v>
      </c>
      <c r="P470" s="77">
        <f>(IF(Baseline!C52="Bestaande Situatie",(_xlfn.IFNA(VLOOKUP(Referentie_Fossiele_Energie_Totaal[[#This Row],[Product]]&amp;", "&amp;Referentie_Fossiele_Energie_Totaal[[#Headers],[D1]],Database_Productkaarten[#All],51,FALSE),0)*Baseline!I52),0))</f>
        <v>0</v>
      </c>
      <c r="Q470" s="78">
        <f>(IF(Baseline!C52="Bestaande Situatie",_xlfn.IFNA(VLOOKUP(Referentie_Fossiele_Energie_Totaal[[#This Row],[Product]]&amp;", "&amp;Referentie_Fossiele_Energie_Totaal[[#Headers],[D2]],Database_Productkaarten[#All],51,FALSE),0)*Baseline!I52,0))</f>
        <v>0</v>
      </c>
      <c r="R470" s="57">
        <f>(IF(Baseline!C52="Bestaande Situatie",_xlfn.IFNA(VLOOKUP(Referentie_Fossiele_Energie_Totaal[[#This Row],[Product]]&amp;", "&amp;Referentie_Fossiele_Energie_Totaal[[#Headers],[D]],Database_Productkaarten[#All],51,FALSE),0)*Baseline!I52,0))</f>
        <v>0</v>
      </c>
      <c r="S470" s="56">
        <f>SUM(Referentie_Fossiele_Energie_Totaal[[#This Row],[A1-A3]:[C4]])+Referentie_Fossiele_Energie_Totaal[[#This Row],[D]]</f>
        <v>0</v>
      </c>
    </row>
    <row r="471" spans="2:19">
      <c r="B471" s="209">
        <f>Baseline!B53</f>
        <v>0</v>
      </c>
      <c r="C471" s="76">
        <f>Baseline!F53</f>
        <v>0</v>
      </c>
      <c r="D471" s="77">
        <f>(IF(Baseline!C53="Nieuwe Situatie",(_xlfn.IFNA(VLOOKUP(Referentie_Fossiele_Energie_Totaal[[#This Row],[Product]]&amp;", "&amp;Referentie_Fossiele_Energie_Totaal[[#Headers],[A1]],Database_Productkaarten[#All],51,FALSE),0)*Baseline!I53),0))</f>
        <v>0</v>
      </c>
      <c r="E471" s="77">
        <f>(IF(Baseline!C53="Nieuwe Situatie",(_xlfn.IFNA(VLOOKUP(Referentie_Fossiele_Energie_Totaal[[#This Row],[Product]]&amp;", "&amp;Referentie_Fossiele_Energie_Totaal[[#Headers],[A2]],Database_Productkaarten[#All],51,FALSE),0)*Baseline!I53),0))</f>
        <v>0</v>
      </c>
      <c r="F471" s="77">
        <f>(IF(Baseline!C53="Nieuwe Situatie",(_xlfn.IFNA(VLOOKUP(Referentie_Fossiele_Energie_Totaal[[#This Row],[Product]]&amp;", "&amp;Referentie_Fossiele_Energie_Totaal[[#Headers],[A3]],Database_Productkaarten[#All],51,FALSE),0)*Baseline!I53),0))</f>
        <v>0</v>
      </c>
      <c r="G471" s="77">
        <f>(IF(Baseline!C53="Nieuwe Situatie",(_xlfn.IFNA(VLOOKUP(Referentie_Fossiele_Energie_Totaal[[#This Row],[Product]]&amp;", "&amp;Referentie_Fossiele_Energie_Totaal[[#Headers],[A1-A3]],Database_Productkaarten[#All],51,FALSE),0)*Baseline!I53),0))</f>
        <v>0</v>
      </c>
      <c r="H471" s="77">
        <f>IF(Baseline!T53=0,(IF(Baseline!C53="Nieuwe Situatie",(_xlfn.IFNA(VLOOKUP(Referentie_Fossiele_Energie_Totaal[[#This Row],[Product]]&amp;", "&amp;Referentie_CO2_Totaal[[#Headers],[A4]],Database_Productkaarten[#All],51,FALSE),0)*Baseline!I53),0)),IF(Baseline!C53="Nieuwe Situatie",_xlfn.IFNA(VLOOKUP(Baseline!T53,Database_Transport[#All],45,FALSE)*(Baseline!Q53*Baseline!S53),Baseline_Backlog!H156),0))</f>
        <v>0</v>
      </c>
      <c r="I471" s="77">
        <f>IF(Baseline!C53="Nieuwe situatie",IF(_xlfn.IFNA((VLOOKUP(Baseline!U53,Database_Asfalt_Aanlegset[#All],45,FALSE)*Baseline!I53),0)+_xlfn.IFNA(VLOOKUP(Baseline!V53,Database_Brandstoffen[#All],45,FALSE)*((Baseline!I53/Baseline!X53)*Baseline!W53),0)&gt;0,_xlfn.IFNA((VLOOKUP(Baseline!U53,Database_Asfalt_Aanlegset[#All],45,FALSE)*Baseline!I53),0)+_xlfn.IFNA(VLOOKUP(Baseline!V53,Database_Brandstoffen[#All],45,FALSE)*((Baseline!I53/Baseline!X53)*Baseline!W53),0),(_xlfn.IFNA(VLOOKUP(Referentie_Fossiele_Energie_Totaal[[#This Row],[Product]]&amp;", "&amp;Referentie_MKI_Totaal[[#Headers],[A5]],Database_Productkaarten[#All],51,FALSE),0)*Baseline!I53)),0)</f>
        <v>0</v>
      </c>
      <c r="J471" s="77">
        <f>(IF(Baseline!C53="Nieuwe Situatie",(_xlfn.IFNA(VLOOKUP(Referentie_Fossiele_Energie_Totaal[[#This Row],[Product]]&amp;", "&amp;Referentie_Fossiele_Energie_Totaal[[#Headers],[B1]],Database_Productkaarten[#All],51,FALSE),0)*Baseline!I53),0))</f>
        <v>0</v>
      </c>
      <c r="K471" s="77">
        <f>(IF(Baseline!C53="Nieuwe Situatie",(SUM(Referentie_Fossiele_Energie_Totaal[[#This Row],[A1]:[B1]],Referentie_Fossiele_Energie_Totaal[[#This Row],[C1]:[D2]])*Baseline!R53),0))</f>
        <v>0</v>
      </c>
      <c r="L471" s="77">
        <f>IF(Baseline!C53="Bestaande situatie",IF(_xlfn.IFNA((VLOOKUP(Baseline!Y53,Database_Asfalt_Verwijderset[#All],45,FALSE)*Baseline!I53),0)+_xlfn.IFNA(VLOOKUP(Baseline!Z53,Database_Brandstoffen[#All],45,FALSE)*((Baseline!I53/Baseline!AB53)*Baseline!AA53),0)&gt;0,_xlfn.IFNA((VLOOKUP(Baseline!Y53,Database_Asfalt_Verwijderset[#All],45,FALSE)*Baseline!I53),0)+_xlfn.IFNA(VLOOKUP(Baseline!Z53,Database_Brandstoffen[#All],45,FALSE)*((Baseline!I53/Baseline!AB53)*Baseline!AA53),0),(_xlfn.IFNA(VLOOKUP(Referentie_Fossiele_Energie_Totaal[[#This Row],[Product]]&amp;", "&amp;Referentie_MKI_Totaal[[#Headers],[C1]],Database_Productkaarten[#All],51,FALSE),0)*Baseline!I53)),0)</f>
        <v>0</v>
      </c>
      <c r="M471" s="77">
        <f>IF(Baseline!AD53=0,(IF(Baseline!C53="Bestaande Situatie",(_xlfn.IFNA(VLOOKUP(Referentie_Fossiele_Energie_Totaal[[#This Row],[Product]]&amp;", "&amp;Referentie_MKI_Totaal[[#Headers],[C2]],Database_Productkaarten[#All],51,FALSE),0)*Baseline!I53),0)),(IF(Baseline!C53="Bestaande Situatie",_xlfn.IFNA(VLOOKUP(Baseline!AD53,Database_Transport[#All],45,FALSE)*(Baseline!Q53*Baseline!AC53),0))))</f>
        <v>0</v>
      </c>
      <c r="N471" s="77">
        <f>(IF(Baseline!C53="Bestaande Situatie",(_xlfn.IFNA(VLOOKUP(Referentie_Fossiele_Energie_Totaal[[#This Row],[Product]]&amp;", "&amp;Referentie_Fossiele_Energie_Totaal[[#Headers],[C3]],Database_Productkaarten[#All],51,FALSE),0)*Baseline!I53),0))</f>
        <v>0</v>
      </c>
      <c r="O471" s="77">
        <f>(IF(Baseline!C53="Bestaande Situatie",(_xlfn.IFNA(VLOOKUP(Referentie_Fossiele_Energie_Totaal[[#This Row],[Product]]&amp;", "&amp;Referentie_Fossiele_Energie_Totaal[[#Headers],[C4]],Database_Productkaarten[#All],51,FALSE),0)*Baseline!I53),0))</f>
        <v>0</v>
      </c>
      <c r="P471" s="77">
        <f>(IF(Baseline!C53="Bestaande Situatie",(_xlfn.IFNA(VLOOKUP(Referentie_Fossiele_Energie_Totaal[[#This Row],[Product]]&amp;", "&amp;Referentie_Fossiele_Energie_Totaal[[#Headers],[D1]],Database_Productkaarten[#All],51,FALSE),0)*Baseline!I53),0))</f>
        <v>0</v>
      </c>
      <c r="Q471" s="78">
        <f>(IF(Baseline!C53="Bestaande Situatie",_xlfn.IFNA(VLOOKUP(Referentie_Fossiele_Energie_Totaal[[#This Row],[Product]]&amp;", "&amp;Referentie_Fossiele_Energie_Totaal[[#Headers],[D2]],Database_Productkaarten[#All],51,FALSE),0)*Baseline!I53,0))</f>
        <v>0</v>
      </c>
      <c r="R471" s="57">
        <f>(IF(Baseline!C53="Bestaande Situatie",_xlfn.IFNA(VLOOKUP(Referentie_Fossiele_Energie_Totaal[[#This Row],[Product]]&amp;", "&amp;Referentie_Fossiele_Energie_Totaal[[#Headers],[D]],Database_Productkaarten[#All],51,FALSE),0)*Baseline!I53,0))</f>
        <v>0</v>
      </c>
      <c r="S471" s="56">
        <f>SUM(Referentie_Fossiele_Energie_Totaal[[#This Row],[A1-A3]:[C4]])+Referentie_Fossiele_Energie_Totaal[[#This Row],[D]]</f>
        <v>0</v>
      </c>
    </row>
    <row r="472" spans="2:19">
      <c r="B472" s="209">
        <f>Baseline!B54</f>
        <v>0</v>
      </c>
      <c r="C472" s="76">
        <f>Baseline!F54</f>
        <v>0</v>
      </c>
      <c r="D472" s="77">
        <f>(IF(Baseline!C54="Nieuwe Situatie",(_xlfn.IFNA(VLOOKUP(Referentie_Fossiele_Energie_Totaal[[#This Row],[Product]]&amp;", "&amp;Referentie_Fossiele_Energie_Totaal[[#Headers],[A1]],Database_Productkaarten[#All],51,FALSE),0)*Baseline!I54),0))</f>
        <v>0</v>
      </c>
      <c r="E472" s="77">
        <f>(IF(Baseline!C54="Nieuwe Situatie",(_xlfn.IFNA(VLOOKUP(Referentie_Fossiele_Energie_Totaal[[#This Row],[Product]]&amp;", "&amp;Referentie_Fossiele_Energie_Totaal[[#Headers],[A2]],Database_Productkaarten[#All],51,FALSE),0)*Baseline!I54),0))</f>
        <v>0</v>
      </c>
      <c r="F472" s="77">
        <f>(IF(Baseline!C54="Nieuwe Situatie",(_xlfn.IFNA(VLOOKUP(Referentie_Fossiele_Energie_Totaal[[#This Row],[Product]]&amp;", "&amp;Referentie_Fossiele_Energie_Totaal[[#Headers],[A3]],Database_Productkaarten[#All],51,FALSE),0)*Baseline!I54),0))</f>
        <v>0</v>
      </c>
      <c r="G472" s="77">
        <f>(IF(Baseline!C54="Nieuwe Situatie",(_xlfn.IFNA(VLOOKUP(Referentie_Fossiele_Energie_Totaal[[#This Row],[Product]]&amp;", "&amp;Referentie_Fossiele_Energie_Totaal[[#Headers],[A1-A3]],Database_Productkaarten[#All],51,FALSE),0)*Baseline!I54),0))</f>
        <v>0</v>
      </c>
      <c r="H472" s="77">
        <f>IF(Baseline!T54=0,(IF(Baseline!C54="Nieuwe Situatie",(_xlfn.IFNA(VLOOKUP(Referentie_Fossiele_Energie_Totaal[[#This Row],[Product]]&amp;", "&amp;Referentie_CO2_Totaal[[#Headers],[A4]],Database_Productkaarten[#All],51,FALSE),0)*Baseline!I54),0)),IF(Baseline!C54="Nieuwe Situatie",_xlfn.IFNA(VLOOKUP(Baseline!T54,Database_Transport[#All],45,FALSE)*(Baseline!Q54*Baseline!S54),Baseline_Backlog!H157),0))</f>
        <v>0</v>
      </c>
      <c r="I472" s="77">
        <f>IF(Baseline!C54="Nieuwe situatie",IF(_xlfn.IFNA((VLOOKUP(Baseline!U54,Database_Asfalt_Aanlegset[#All],45,FALSE)*Baseline!I54),0)+_xlfn.IFNA(VLOOKUP(Baseline!V54,Database_Brandstoffen[#All],45,FALSE)*((Baseline!I54/Baseline!X54)*Baseline!W54),0)&gt;0,_xlfn.IFNA((VLOOKUP(Baseline!U54,Database_Asfalt_Aanlegset[#All],45,FALSE)*Baseline!I54),0)+_xlfn.IFNA(VLOOKUP(Baseline!V54,Database_Brandstoffen[#All],45,FALSE)*((Baseline!I54/Baseline!X54)*Baseline!W54),0),(_xlfn.IFNA(VLOOKUP(Referentie_Fossiele_Energie_Totaal[[#This Row],[Product]]&amp;", "&amp;Referentie_MKI_Totaal[[#Headers],[A5]],Database_Productkaarten[#All],51,FALSE),0)*Baseline!I54)),0)</f>
        <v>0</v>
      </c>
      <c r="J472" s="77">
        <f>(IF(Baseline!C54="Nieuwe Situatie",(_xlfn.IFNA(VLOOKUP(Referentie_Fossiele_Energie_Totaal[[#This Row],[Product]]&amp;", "&amp;Referentie_Fossiele_Energie_Totaal[[#Headers],[B1]],Database_Productkaarten[#All],51,FALSE),0)*Baseline!I54),0))</f>
        <v>0</v>
      </c>
      <c r="K472" s="77">
        <f>(IF(Baseline!C54="Nieuwe Situatie",(SUM(Referentie_Fossiele_Energie_Totaal[[#This Row],[A1]:[B1]],Referentie_Fossiele_Energie_Totaal[[#This Row],[C1]:[D2]])*Baseline!R54),0))</f>
        <v>0</v>
      </c>
      <c r="L472" s="77">
        <f>IF(Baseline!C54="Bestaande situatie",IF(_xlfn.IFNA((VLOOKUP(Baseline!Y54,Database_Asfalt_Verwijderset[#All],45,FALSE)*Baseline!I54),0)+_xlfn.IFNA(VLOOKUP(Baseline!Z54,Database_Brandstoffen[#All],45,FALSE)*((Baseline!I54/Baseline!AB54)*Baseline!AA54),0)&gt;0,_xlfn.IFNA((VLOOKUP(Baseline!Y54,Database_Asfalt_Verwijderset[#All],45,FALSE)*Baseline!I54),0)+_xlfn.IFNA(VLOOKUP(Baseline!Z54,Database_Brandstoffen[#All],45,FALSE)*((Baseline!I54/Baseline!AB54)*Baseline!AA54),0),(_xlfn.IFNA(VLOOKUP(Referentie_Fossiele_Energie_Totaal[[#This Row],[Product]]&amp;", "&amp;Referentie_MKI_Totaal[[#Headers],[C1]],Database_Productkaarten[#All],51,FALSE),0)*Baseline!I54)),0)</f>
        <v>0</v>
      </c>
      <c r="M472" s="77">
        <f>IF(Baseline!AD54=0,(IF(Baseline!C54="Bestaande Situatie",(_xlfn.IFNA(VLOOKUP(Referentie_Fossiele_Energie_Totaal[[#This Row],[Product]]&amp;", "&amp;Referentie_MKI_Totaal[[#Headers],[C2]],Database_Productkaarten[#All],51,FALSE),0)*Baseline!I54),0)),(IF(Baseline!C54="Bestaande Situatie",_xlfn.IFNA(VLOOKUP(Baseline!AD54,Database_Transport[#All],45,FALSE)*(Baseline!Q54*Baseline!AC54),0))))</f>
        <v>0</v>
      </c>
      <c r="N472" s="77">
        <f>(IF(Baseline!C54="Bestaande Situatie",(_xlfn.IFNA(VLOOKUP(Referentie_Fossiele_Energie_Totaal[[#This Row],[Product]]&amp;", "&amp;Referentie_Fossiele_Energie_Totaal[[#Headers],[C3]],Database_Productkaarten[#All],51,FALSE),0)*Baseline!I54),0))</f>
        <v>0</v>
      </c>
      <c r="O472" s="77">
        <f>(IF(Baseline!C54="Bestaande Situatie",(_xlfn.IFNA(VLOOKUP(Referentie_Fossiele_Energie_Totaal[[#This Row],[Product]]&amp;", "&amp;Referentie_Fossiele_Energie_Totaal[[#Headers],[C4]],Database_Productkaarten[#All],51,FALSE),0)*Baseline!I54),0))</f>
        <v>0</v>
      </c>
      <c r="P472" s="77">
        <f>(IF(Baseline!C54="Bestaande Situatie",(_xlfn.IFNA(VLOOKUP(Referentie_Fossiele_Energie_Totaal[[#This Row],[Product]]&amp;", "&amp;Referentie_Fossiele_Energie_Totaal[[#Headers],[D1]],Database_Productkaarten[#All],51,FALSE),0)*Baseline!I54),0))</f>
        <v>0</v>
      </c>
      <c r="Q472" s="78">
        <f>(IF(Baseline!C54="Bestaande Situatie",_xlfn.IFNA(VLOOKUP(Referentie_Fossiele_Energie_Totaal[[#This Row],[Product]]&amp;", "&amp;Referentie_Fossiele_Energie_Totaal[[#Headers],[D2]],Database_Productkaarten[#All],51,FALSE),0)*Baseline!I54,0))</f>
        <v>0</v>
      </c>
      <c r="R472" s="57">
        <f>(IF(Baseline!C54="Bestaande Situatie",_xlfn.IFNA(VLOOKUP(Referentie_Fossiele_Energie_Totaal[[#This Row],[Product]]&amp;", "&amp;Referentie_Fossiele_Energie_Totaal[[#Headers],[D]],Database_Productkaarten[#All],51,FALSE),0)*Baseline!I54,0))</f>
        <v>0</v>
      </c>
      <c r="S472" s="56">
        <f>SUM(Referentie_Fossiele_Energie_Totaal[[#This Row],[A1-A3]:[C4]])+Referentie_Fossiele_Energie_Totaal[[#This Row],[D]]</f>
        <v>0</v>
      </c>
    </row>
    <row r="473" spans="2:19">
      <c r="B473" s="209">
        <f>Baseline!B55</f>
        <v>0</v>
      </c>
      <c r="C473" s="76">
        <f>Baseline!F55</f>
        <v>0</v>
      </c>
      <c r="D473" s="77">
        <f>(IF(Baseline!C55="Nieuwe Situatie",(_xlfn.IFNA(VLOOKUP(Referentie_Fossiele_Energie_Totaal[[#This Row],[Product]]&amp;", "&amp;Referentie_Fossiele_Energie_Totaal[[#Headers],[A1]],Database_Productkaarten[#All],51,FALSE),0)*Baseline!I55),0))</f>
        <v>0</v>
      </c>
      <c r="E473" s="77">
        <f>(IF(Baseline!C55="Nieuwe Situatie",(_xlfn.IFNA(VLOOKUP(Referentie_Fossiele_Energie_Totaal[[#This Row],[Product]]&amp;", "&amp;Referentie_Fossiele_Energie_Totaal[[#Headers],[A2]],Database_Productkaarten[#All],51,FALSE),0)*Baseline!I55),0))</f>
        <v>0</v>
      </c>
      <c r="F473" s="77">
        <f>(IF(Baseline!C55="Nieuwe Situatie",(_xlfn.IFNA(VLOOKUP(Referentie_Fossiele_Energie_Totaal[[#This Row],[Product]]&amp;", "&amp;Referentie_Fossiele_Energie_Totaal[[#Headers],[A3]],Database_Productkaarten[#All],51,FALSE),0)*Baseline!I55),0))</f>
        <v>0</v>
      </c>
      <c r="G473" s="77">
        <f>(IF(Baseline!C55="Nieuwe Situatie",(_xlfn.IFNA(VLOOKUP(Referentie_Fossiele_Energie_Totaal[[#This Row],[Product]]&amp;", "&amp;Referentie_Fossiele_Energie_Totaal[[#Headers],[A1-A3]],Database_Productkaarten[#All],51,FALSE),0)*Baseline!I55),0))</f>
        <v>0</v>
      </c>
      <c r="H473" s="77">
        <f>IF(Baseline!T55=0,(IF(Baseline!C55="Nieuwe Situatie",(_xlfn.IFNA(VLOOKUP(Referentie_Fossiele_Energie_Totaal[[#This Row],[Product]]&amp;", "&amp;Referentie_CO2_Totaal[[#Headers],[A4]],Database_Productkaarten[#All],51,FALSE),0)*Baseline!I55),0)),IF(Baseline!C55="Nieuwe Situatie",_xlfn.IFNA(VLOOKUP(Baseline!T55,Database_Transport[#All],45,FALSE)*(Baseline!Q55*Baseline!S55),Baseline_Backlog!H158),0))</f>
        <v>0</v>
      </c>
      <c r="I473" s="77">
        <f>IF(Baseline!C55="Nieuwe situatie",IF(_xlfn.IFNA((VLOOKUP(Baseline!U55,Database_Asfalt_Aanlegset[#All],45,FALSE)*Baseline!I55),0)+_xlfn.IFNA(VLOOKUP(Baseline!V55,Database_Brandstoffen[#All],45,FALSE)*((Baseline!I55/Baseline!X55)*Baseline!W55),0)&gt;0,_xlfn.IFNA((VLOOKUP(Baseline!U55,Database_Asfalt_Aanlegset[#All],45,FALSE)*Baseline!I55),0)+_xlfn.IFNA(VLOOKUP(Baseline!V55,Database_Brandstoffen[#All],45,FALSE)*((Baseline!I55/Baseline!X55)*Baseline!W55),0),(_xlfn.IFNA(VLOOKUP(Referentie_Fossiele_Energie_Totaal[[#This Row],[Product]]&amp;", "&amp;Referentie_MKI_Totaal[[#Headers],[A5]],Database_Productkaarten[#All],51,FALSE),0)*Baseline!I55)),0)</f>
        <v>0</v>
      </c>
      <c r="J473" s="77">
        <f>(IF(Baseline!C55="Nieuwe Situatie",(_xlfn.IFNA(VLOOKUP(Referentie_Fossiele_Energie_Totaal[[#This Row],[Product]]&amp;", "&amp;Referentie_Fossiele_Energie_Totaal[[#Headers],[B1]],Database_Productkaarten[#All],51,FALSE),0)*Baseline!I55),0))</f>
        <v>0</v>
      </c>
      <c r="K473" s="77">
        <f>(IF(Baseline!C55="Nieuwe Situatie",(SUM(Referentie_Fossiele_Energie_Totaal[[#This Row],[A1]:[B1]],Referentie_Fossiele_Energie_Totaal[[#This Row],[C1]:[D2]])*Baseline!R55),0))</f>
        <v>0</v>
      </c>
      <c r="L473" s="77">
        <f>IF(Baseline!C55="Bestaande situatie",IF(_xlfn.IFNA((VLOOKUP(Baseline!Y55,Database_Asfalt_Verwijderset[#All],45,FALSE)*Baseline!I55),0)+_xlfn.IFNA(VLOOKUP(Baseline!Z55,Database_Brandstoffen[#All],45,FALSE)*((Baseline!I55/Baseline!AB55)*Baseline!AA55),0)&gt;0,_xlfn.IFNA((VLOOKUP(Baseline!Y55,Database_Asfalt_Verwijderset[#All],45,FALSE)*Baseline!I55),0)+_xlfn.IFNA(VLOOKUP(Baseline!Z55,Database_Brandstoffen[#All],45,FALSE)*((Baseline!I55/Baseline!AB55)*Baseline!AA55),0),(_xlfn.IFNA(VLOOKUP(Referentie_Fossiele_Energie_Totaal[[#This Row],[Product]]&amp;", "&amp;Referentie_MKI_Totaal[[#Headers],[C1]],Database_Productkaarten[#All],51,FALSE),0)*Baseline!I55)),0)</f>
        <v>0</v>
      </c>
      <c r="M473" s="77">
        <f>IF(Baseline!AD55=0,(IF(Baseline!C55="Bestaande Situatie",(_xlfn.IFNA(VLOOKUP(Referentie_Fossiele_Energie_Totaal[[#This Row],[Product]]&amp;", "&amp;Referentie_MKI_Totaal[[#Headers],[C2]],Database_Productkaarten[#All],51,FALSE),0)*Baseline!I55),0)),(IF(Baseline!C55="Bestaande Situatie",_xlfn.IFNA(VLOOKUP(Baseline!AD55,Database_Transport[#All],45,FALSE)*(Baseline!Q55*Baseline!AC55),0))))</f>
        <v>0</v>
      </c>
      <c r="N473" s="77">
        <f>(IF(Baseline!C55="Bestaande Situatie",(_xlfn.IFNA(VLOOKUP(Referentie_Fossiele_Energie_Totaal[[#This Row],[Product]]&amp;", "&amp;Referentie_Fossiele_Energie_Totaal[[#Headers],[C3]],Database_Productkaarten[#All],51,FALSE),0)*Baseline!I55),0))</f>
        <v>0</v>
      </c>
      <c r="O473" s="77">
        <f>(IF(Baseline!C55="Bestaande Situatie",(_xlfn.IFNA(VLOOKUP(Referentie_Fossiele_Energie_Totaal[[#This Row],[Product]]&amp;", "&amp;Referentie_Fossiele_Energie_Totaal[[#Headers],[C4]],Database_Productkaarten[#All],51,FALSE),0)*Baseline!I55),0))</f>
        <v>0</v>
      </c>
      <c r="P473" s="77">
        <f>(IF(Baseline!C55="Bestaande Situatie",(_xlfn.IFNA(VLOOKUP(Referentie_Fossiele_Energie_Totaal[[#This Row],[Product]]&amp;", "&amp;Referentie_Fossiele_Energie_Totaal[[#Headers],[D1]],Database_Productkaarten[#All],51,FALSE),0)*Baseline!I55),0))</f>
        <v>0</v>
      </c>
      <c r="Q473" s="78">
        <f>(IF(Baseline!C55="Bestaande Situatie",_xlfn.IFNA(VLOOKUP(Referentie_Fossiele_Energie_Totaal[[#This Row],[Product]]&amp;", "&amp;Referentie_Fossiele_Energie_Totaal[[#Headers],[D2]],Database_Productkaarten[#All],51,FALSE),0)*Baseline!I55,0))</f>
        <v>0</v>
      </c>
      <c r="R473" s="57">
        <f>(IF(Baseline!C55="Bestaande Situatie",_xlfn.IFNA(VLOOKUP(Referentie_Fossiele_Energie_Totaal[[#This Row],[Product]]&amp;", "&amp;Referentie_Fossiele_Energie_Totaal[[#Headers],[D]],Database_Productkaarten[#All],51,FALSE),0)*Baseline!I55,0))</f>
        <v>0</v>
      </c>
      <c r="S473" s="56">
        <f>SUM(Referentie_Fossiele_Energie_Totaal[[#This Row],[A1-A3]:[C4]])+Referentie_Fossiele_Energie_Totaal[[#This Row],[D]]</f>
        <v>0</v>
      </c>
    </row>
    <row r="474" spans="2:19">
      <c r="B474" s="209">
        <f>Baseline!B56</f>
        <v>0</v>
      </c>
      <c r="C474" s="76">
        <f>Baseline!F56</f>
        <v>0</v>
      </c>
      <c r="D474" s="77">
        <f>(IF(Baseline!C56="Nieuwe Situatie",(_xlfn.IFNA(VLOOKUP(Referentie_Fossiele_Energie_Totaal[[#This Row],[Product]]&amp;", "&amp;Referentie_Fossiele_Energie_Totaal[[#Headers],[A1]],Database_Productkaarten[#All],51,FALSE),0)*Baseline!I56),0))</f>
        <v>0</v>
      </c>
      <c r="E474" s="77">
        <f>(IF(Baseline!C56="Nieuwe Situatie",(_xlfn.IFNA(VLOOKUP(Referentie_Fossiele_Energie_Totaal[[#This Row],[Product]]&amp;", "&amp;Referentie_Fossiele_Energie_Totaal[[#Headers],[A2]],Database_Productkaarten[#All],51,FALSE),0)*Baseline!I56),0))</f>
        <v>0</v>
      </c>
      <c r="F474" s="77">
        <f>(IF(Baseline!C56="Nieuwe Situatie",(_xlfn.IFNA(VLOOKUP(Referentie_Fossiele_Energie_Totaal[[#This Row],[Product]]&amp;", "&amp;Referentie_Fossiele_Energie_Totaal[[#Headers],[A3]],Database_Productkaarten[#All],51,FALSE),0)*Baseline!I56),0))</f>
        <v>0</v>
      </c>
      <c r="G474" s="77">
        <f>(IF(Baseline!C56="Nieuwe Situatie",(_xlfn.IFNA(VLOOKUP(Referentie_Fossiele_Energie_Totaal[[#This Row],[Product]]&amp;", "&amp;Referentie_Fossiele_Energie_Totaal[[#Headers],[A1-A3]],Database_Productkaarten[#All],51,FALSE),0)*Baseline!I56),0))</f>
        <v>0</v>
      </c>
      <c r="H474" s="77">
        <f>IF(Baseline!T56=0,(IF(Baseline!C56="Nieuwe Situatie",(_xlfn.IFNA(VLOOKUP(Referentie_Fossiele_Energie_Totaal[[#This Row],[Product]]&amp;", "&amp;Referentie_CO2_Totaal[[#Headers],[A4]],Database_Productkaarten[#All],51,FALSE),0)*Baseline!I56),0)),IF(Baseline!C56="Nieuwe Situatie",_xlfn.IFNA(VLOOKUP(Baseline!T56,Database_Transport[#All],45,FALSE)*(Baseline!Q56*Baseline!S56),Baseline_Backlog!H159),0))</f>
        <v>0</v>
      </c>
      <c r="I474" s="77">
        <f>IF(Baseline!C56="Nieuwe situatie",IF(_xlfn.IFNA((VLOOKUP(Baseline!U56,Database_Asfalt_Aanlegset[#All],45,FALSE)*Baseline!I56),0)+_xlfn.IFNA(VLOOKUP(Baseline!V56,Database_Brandstoffen[#All],45,FALSE)*((Baseline!I56/Baseline!X56)*Baseline!W56),0)&gt;0,_xlfn.IFNA((VLOOKUP(Baseline!U56,Database_Asfalt_Aanlegset[#All],45,FALSE)*Baseline!I56),0)+_xlfn.IFNA(VLOOKUP(Baseline!V56,Database_Brandstoffen[#All],45,FALSE)*((Baseline!I56/Baseline!X56)*Baseline!W56),0),(_xlfn.IFNA(VLOOKUP(Referentie_Fossiele_Energie_Totaal[[#This Row],[Product]]&amp;", "&amp;Referentie_MKI_Totaal[[#Headers],[A5]],Database_Productkaarten[#All],51,FALSE),0)*Baseline!I56)),0)</f>
        <v>0</v>
      </c>
      <c r="J474" s="77">
        <f>(IF(Baseline!C56="Nieuwe Situatie",(_xlfn.IFNA(VLOOKUP(Referentie_Fossiele_Energie_Totaal[[#This Row],[Product]]&amp;", "&amp;Referentie_Fossiele_Energie_Totaal[[#Headers],[B1]],Database_Productkaarten[#All],51,FALSE),0)*Baseline!I56),0))</f>
        <v>0</v>
      </c>
      <c r="K474" s="77">
        <f>(IF(Baseline!C56="Nieuwe Situatie",(SUM(Referentie_Fossiele_Energie_Totaal[[#This Row],[A1]:[B1]],Referentie_Fossiele_Energie_Totaal[[#This Row],[C1]:[D2]])*Baseline!R56),0))</f>
        <v>0</v>
      </c>
      <c r="L474" s="77">
        <f>IF(Baseline!C56="Bestaande situatie",IF(_xlfn.IFNA((VLOOKUP(Baseline!Y56,Database_Asfalt_Verwijderset[#All],45,FALSE)*Baseline!I56),0)+_xlfn.IFNA(VLOOKUP(Baseline!Z56,Database_Brandstoffen[#All],45,FALSE)*((Baseline!I56/Baseline!AB56)*Baseline!AA56),0)&gt;0,_xlfn.IFNA((VLOOKUP(Baseline!Y56,Database_Asfalt_Verwijderset[#All],45,FALSE)*Baseline!I56),0)+_xlfn.IFNA(VLOOKUP(Baseline!Z56,Database_Brandstoffen[#All],45,FALSE)*((Baseline!I56/Baseline!AB56)*Baseline!AA56),0),(_xlfn.IFNA(VLOOKUP(Referentie_Fossiele_Energie_Totaal[[#This Row],[Product]]&amp;", "&amp;Referentie_MKI_Totaal[[#Headers],[C1]],Database_Productkaarten[#All],51,FALSE),0)*Baseline!I56)),0)</f>
        <v>0</v>
      </c>
      <c r="M474" s="77">
        <f>IF(Baseline!AD56=0,(IF(Baseline!C56="Bestaande Situatie",(_xlfn.IFNA(VLOOKUP(Referentie_Fossiele_Energie_Totaal[[#This Row],[Product]]&amp;", "&amp;Referentie_MKI_Totaal[[#Headers],[C2]],Database_Productkaarten[#All],51,FALSE),0)*Baseline!I56),0)),(IF(Baseline!C56="Bestaande Situatie",_xlfn.IFNA(VLOOKUP(Baseline!AD56,Database_Transport[#All],45,FALSE)*(Baseline!Q56*Baseline!AC56),0))))</f>
        <v>0</v>
      </c>
      <c r="N474" s="77">
        <f>(IF(Baseline!C56="Bestaande Situatie",(_xlfn.IFNA(VLOOKUP(Referentie_Fossiele_Energie_Totaal[[#This Row],[Product]]&amp;", "&amp;Referentie_Fossiele_Energie_Totaal[[#Headers],[C3]],Database_Productkaarten[#All],51,FALSE),0)*Baseline!I56),0))</f>
        <v>0</v>
      </c>
      <c r="O474" s="77">
        <f>(IF(Baseline!C56="Bestaande Situatie",(_xlfn.IFNA(VLOOKUP(Referentie_Fossiele_Energie_Totaal[[#This Row],[Product]]&amp;", "&amp;Referentie_Fossiele_Energie_Totaal[[#Headers],[C4]],Database_Productkaarten[#All],51,FALSE),0)*Baseline!I56),0))</f>
        <v>0</v>
      </c>
      <c r="P474" s="77">
        <f>(IF(Baseline!C56="Bestaande Situatie",(_xlfn.IFNA(VLOOKUP(Referentie_Fossiele_Energie_Totaal[[#This Row],[Product]]&amp;", "&amp;Referentie_Fossiele_Energie_Totaal[[#Headers],[D1]],Database_Productkaarten[#All],51,FALSE),0)*Baseline!I56),0))</f>
        <v>0</v>
      </c>
      <c r="Q474" s="78">
        <f>(IF(Baseline!C56="Bestaande Situatie",_xlfn.IFNA(VLOOKUP(Referentie_Fossiele_Energie_Totaal[[#This Row],[Product]]&amp;", "&amp;Referentie_Fossiele_Energie_Totaal[[#Headers],[D2]],Database_Productkaarten[#All],51,FALSE),0)*Baseline!I56,0))</f>
        <v>0</v>
      </c>
      <c r="R474" s="57">
        <f>(IF(Baseline!C56="Bestaande Situatie",_xlfn.IFNA(VLOOKUP(Referentie_Fossiele_Energie_Totaal[[#This Row],[Product]]&amp;", "&amp;Referentie_Fossiele_Energie_Totaal[[#Headers],[D]],Database_Productkaarten[#All],51,FALSE),0)*Baseline!I56,0))</f>
        <v>0</v>
      </c>
      <c r="S474" s="56">
        <f>SUM(Referentie_Fossiele_Energie_Totaal[[#This Row],[A1-A3]:[C4]])+Referentie_Fossiele_Energie_Totaal[[#This Row],[D]]</f>
        <v>0</v>
      </c>
    </row>
    <row r="475" spans="2:19">
      <c r="B475" s="209">
        <f>Baseline!B57</f>
        <v>0</v>
      </c>
      <c r="C475" s="76">
        <f>Baseline!F57</f>
        <v>0</v>
      </c>
      <c r="D475" s="77">
        <f>(IF(Baseline!C57="Nieuwe Situatie",(_xlfn.IFNA(VLOOKUP(Referentie_Fossiele_Energie_Totaal[[#This Row],[Product]]&amp;", "&amp;Referentie_Fossiele_Energie_Totaal[[#Headers],[A1]],Database_Productkaarten[#All],51,FALSE),0)*Baseline!I57),0))</f>
        <v>0</v>
      </c>
      <c r="E475" s="77">
        <f>(IF(Baseline!C57="Nieuwe Situatie",(_xlfn.IFNA(VLOOKUP(Referentie_Fossiele_Energie_Totaal[[#This Row],[Product]]&amp;", "&amp;Referentie_Fossiele_Energie_Totaal[[#Headers],[A2]],Database_Productkaarten[#All],51,FALSE),0)*Baseline!I57),0))</f>
        <v>0</v>
      </c>
      <c r="F475" s="77">
        <f>(IF(Baseline!C57="Nieuwe Situatie",(_xlfn.IFNA(VLOOKUP(Referentie_Fossiele_Energie_Totaal[[#This Row],[Product]]&amp;", "&amp;Referentie_Fossiele_Energie_Totaal[[#Headers],[A3]],Database_Productkaarten[#All],51,FALSE),0)*Baseline!I57),0))</f>
        <v>0</v>
      </c>
      <c r="G475" s="77">
        <f>(IF(Baseline!C57="Nieuwe Situatie",(_xlfn.IFNA(VLOOKUP(Referentie_Fossiele_Energie_Totaal[[#This Row],[Product]]&amp;", "&amp;Referentie_Fossiele_Energie_Totaal[[#Headers],[A1-A3]],Database_Productkaarten[#All],51,FALSE),0)*Baseline!I57),0))</f>
        <v>0</v>
      </c>
      <c r="H475" s="77">
        <f>IF(Baseline!T57=0,(IF(Baseline!C57="Nieuwe Situatie",(_xlfn.IFNA(VLOOKUP(Referentie_Fossiele_Energie_Totaal[[#This Row],[Product]]&amp;", "&amp;Referentie_CO2_Totaal[[#Headers],[A4]],Database_Productkaarten[#All],51,FALSE),0)*Baseline!I57),0)),IF(Baseline!C57="Nieuwe Situatie",_xlfn.IFNA(VLOOKUP(Baseline!T57,Database_Transport[#All],45,FALSE)*(Baseline!Q57*Baseline!S57),Baseline_Backlog!H160),0))</f>
        <v>0</v>
      </c>
      <c r="I475" s="77">
        <f>IF(Baseline!C57="Nieuwe situatie",IF(_xlfn.IFNA((VLOOKUP(Baseline!U57,Database_Asfalt_Aanlegset[#All],45,FALSE)*Baseline!I57),0)+_xlfn.IFNA(VLOOKUP(Baseline!V57,Database_Brandstoffen[#All],45,FALSE)*((Baseline!I57/Baseline!X57)*Baseline!W57),0)&gt;0,_xlfn.IFNA((VLOOKUP(Baseline!U57,Database_Asfalt_Aanlegset[#All],45,FALSE)*Baseline!I57),0)+_xlfn.IFNA(VLOOKUP(Baseline!V57,Database_Brandstoffen[#All],45,FALSE)*((Baseline!I57/Baseline!X57)*Baseline!W57),0),(_xlfn.IFNA(VLOOKUP(Referentie_Fossiele_Energie_Totaal[[#This Row],[Product]]&amp;", "&amp;Referentie_MKI_Totaal[[#Headers],[A5]],Database_Productkaarten[#All],51,FALSE),0)*Baseline!I57)),0)</f>
        <v>0</v>
      </c>
      <c r="J475" s="77">
        <f>(IF(Baseline!C57="Nieuwe Situatie",(_xlfn.IFNA(VLOOKUP(Referentie_Fossiele_Energie_Totaal[[#This Row],[Product]]&amp;", "&amp;Referentie_Fossiele_Energie_Totaal[[#Headers],[B1]],Database_Productkaarten[#All],51,FALSE),0)*Baseline!I57),0))</f>
        <v>0</v>
      </c>
      <c r="K475" s="77">
        <f>(IF(Baseline!C57="Nieuwe Situatie",(SUM(Referentie_Fossiele_Energie_Totaal[[#This Row],[A1]:[B1]],Referentie_Fossiele_Energie_Totaal[[#This Row],[C1]:[D2]])*Baseline!R57),0))</f>
        <v>0</v>
      </c>
      <c r="L475" s="77">
        <f>IF(Baseline!C57="Bestaande situatie",IF(_xlfn.IFNA((VLOOKUP(Baseline!Y57,Database_Asfalt_Verwijderset[#All],45,FALSE)*Baseline!I57),0)+_xlfn.IFNA(VLOOKUP(Baseline!Z57,Database_Brandstoffen[#All],45,FALSE)*((Baseline!I57/Baseline!AB57)*Baseline!AA57),0)&gt;0,_xlfn.IFNA((VLOOKUP(Baseline!Y57,Database_Asfalt_Verwijderset[#All],45,FALSE)*Baseline!I57),0)+_xlfn.IFNA(VLOOKUP(Baseline!Z57,Database_Brandstoffen[#All],45,FALSE)*((Baseline!I57/Baseline!AB57)*Baseline!AA57),0),(_xlfn.IFNA(VLOOKUP(Referentie_Fossiele_Energie_Totaal[[#This Row],[Product]]&amp;", "&amp;Referentie_MKI_Totaal[[#Headers],[C1]],Database_Productkaarten[#All],51,FALSE),0)*Baseline!I57)),0)</f>
        <v>0</v>
      </c>
      <c r="M475" s="77">
        <f>IF(Baseline!AD57=0,(IF(Baseline!C57="Bestaande Situatie",(_xlfn.IFNA(VLOOKUP(Referentie_Fossiele_Energie_Totaal[[#This Row],[Product]]&amp;", "&amp;Referentie_MKI_Totaal[[#Headers],[C2]],Database_Productkaarten[#All],51,FALSE),0)*Baseline!I57),0)),(IF(Baseline!C57="Bestaande Situatie",_xlfn.IFNA(VLOOKUP(Baseline!AD57,Database_Transport[#All],45,FALSE)*(Baseline!Q57*Baseline!AC57),0))))</f>
        <v>0</v>
      </c>
      <c r="N475" s="77">
        <f>(IF(Baseline!C57="Bestaande Situatie",(_xlfn.IFNA(VLOOKUP(Referentie_Fossiele_Energie_Totaal[[#This Row],[Product]]&amp;", "&amp;Referentie_Fossiele_Energie_Totaal[[#Headers],[C3]],Database_Productkaarten[#All],51,FALSE),0)*Baseline!I57),0))</f>
        <v>0</v>
      </c>
      <c r="O475" s="77">
        <f>(IF(Baseline!C57="Bestaande Situatie",(_xlfn.IFNA(VLOOKUP(Referentie_Fossiele_Energie_Totaal[[#This Row],[Product]]&amp;", "&amp;Referentie_Fossiele_Energie_Totaal[[#Headers],[C4]],Database_Productkaarten[#All],51,FALSE),0)*Baseline!I57),0))</f>
        <v>0</v>
      </c>
      <c r="P475" s="77">
        <f>(IF(Baseline!C57="Bestaande Situatie",(_xlfn.IFNA(VLOOKUP(Referentie_Fossiele_Energie_Totaal[[#This Row],[Product]]&amp;", "&amp;Referentie_Fossiele_Energie_Totaal[[#Headers],[D1]],Database_Productkaarten[#All],51,FALSE),0)*Baseline!I57),0))</f>
        <v>0</v>
      </c>
      <c r="Q475" s="78">
        <f>(IF(Baseline!C57="Bestaande Situatie",_xlfn.IFNA(VLOOKUP(Referentie_Fossiele_Energie_Totaal[[#This Row],[Product]]&amp;", "&amp;Referentie_Fossiele_Energie_Totaal[[#Headers],[D2]],Database_Productkaarten[#All],51,FALSE),0)*Baseline!I57,0))</f>
        <v>0</v>
      </c>
      <c r="R475" s="57">
        <f>(IF(Baseline!C57="Bestaande Situatie",_xlfn.IFNA(VLOOKUP(Referentie_Fossiele_Energie_Totaal[[#This Row],[Product]]&amp;", "&amp;Referentie_Fossiele_Energie_Totaal[[#Headers],[D]],Database_Productkaarten[#All],51,FALSE),0)*Baseline!I57,0))</f>
        <v>0</v>
      </c>
      <c r="S475" s="56">
        <f>SUM(Referentie_Fossiele_Energie_Totaal[[#This Row],[A1-A3]:[C4]])+Referentie_Fossiele_Energie_Totaal[[#This Row],[D]]</f>
        <v>0</v>
      </c>
    </row>
    <row r="476" spans="2:19">
      <c r="B476" s="209">
        <f>Baseline!B58</f>
        <v>0</v>
      </c>
      <c r="C476" s="76">
        <f>Baseline!F58</f>
        <v>0</v>
      </c>
      <c r="D476" s="77">
        <f>(IF(Baseline!C58="Nieuwe Situatie",(_xlfn.IFNA(VLOOKUP(Referentie_Fossiele_Energie_Totaal[[#This Row],[Product]]&amp;", "&amp;Referentie_Fossiele_Energie_Totaal[[#Headers],[A1]],Database_Productkaarten[#All],51,FALSE),0)*Baseline!I58),0))</f>
        <v>0</v>
      </c>
      <c r="E476" s="77">
        <f>(IF(Baseline!C58="Nieuwe Situatie",(_xlfn.IFNA(VLOOKUP(Referentie_Fossiele_Energie_Totaal[[#This Row],[Product]]&amp;", "&amp;Referentie_Fossiele_Energie_Totaal[[#Headers],[A2]],Database_Productkaarten[#All],51,FALSE),0)*Baseline!I58),0))</f>
        <v>0</v>
      </c>
      <c r="F476" s="77">
        <f>(IF(Baseline!C58="Nieuwe Situatie",(_xlfn.IFNA(VLOOKUP(Referentie_Fossiele_Energie_Totaal[[#This Row],[Product]]&amp;", "&amp;Referentie_Fossiele_Energie_Totaal[[#Headers],[A3]],Database_Productkaarten[#All],51,FALSE),0)*Baseline!I58),0))</f>
        <v>0</v>
      </c>
      <c r="G476" s="77">
        <f>(IF(Baseline!C58="Nieuwe Situatie",(_xlfn.IFNA(VLOOKUP(Referentie_Fossiele_Energie_Totaal[[#This Row],[Product]]&amp;", "&amp;Referentie_Fossiele_Energie_Totaal[[#Headers],[A1-A3]],Database_Productkaarten[#All],51,FALSE),0)*Baseline!I58),0))</f>
        <v>0</v>
      </c>
      <c r="H476" s="77">
        <f>IF(Baseline!T58=0,(IF(Baseline!C58="Nieuwe Situatie",(_xlfn.IFNA(VLOOKUP(Referentie_Fossiele_Energie_Totaal[[#This Row],[Product]]&amp;", "&amp;Referentie_CO2_Totaal[[#Headers],[A4]],Database_Productkaarten[#All],51,FALSE),0)*Baseline!I58),0)),IF(Baseline!C58="Nieuwe Situatie",_xlfn.IFNA(VLOOKUP(Baseline!T58,Database_Transport[#All],45,FALSE)*(Baseline!Q58*Baseline!S58),Baseline_Backlog!H161),0))</f>
        <v>0</v>
      </c>
      <c r="I476" s="77">
        <f>IF(Baseline!C58="Nieuwe situatie",IF(_xlfn.IFNA((VLOOKUP(Baseline!U58,Database_Asfalt_Aanlegset[#All],45,FALSE)*Baseline!I58),0)+_xlfn.IFNA(VLOOKUP(Baseline!V58,Database_Brandstoffen[#All],45,FALSE)*((Baseline!I58/Baseline!X58)*Baseline!W58),0)&gt;0,_xlfn.IFNA((VLOOKUP(Baseline!U58,Database_Asfalt_Aanlegset[#All],45,FALSE)*Baseline!I58),0)+_xlfn.IFNA(VLOOKUP(Baseline!V58,Database_Brandstoffen[#All],45,FALSE)*((Baseline!I58/Baseline!X58)*Baseline!W58),0),(_xlfn.IFNA(VLOOKUP(Referentie_Fossiele_Energie_Totaal[[#This Row],[Product]]&amp;", "&amp;Referentie_MKI_Totaal[[#Headers],[A5]],Database_Productkaarten[#All],51,FALSE),0)*Baseline!I58)),0)</f>
        <v>0</v>
      </c>
      <c r="J476" s="77">
        <f>(IF(Baseline!C58="Nieuwe Situatie",(_xlfn.IFNA(VLOOKUP(Referentie_Fossiele_Energie_Totaal[[#This Row],[Product]]&amp;", "&amp;Referentie_Fossiele_Energie_Totaal[[#Headers],[B1]],Database_Productkaarten[#All],51,FALSE),0)*Baseline!I58),0))</f>
        <v>0</v>
      </c>
      <c r="K476" s="77">
        <f>(IF(Baseline!C58="Nieuwe Situatie",(SUM(Referentie_Fossiele_Energie_Totaal[[#This Row],[A1]:[B1]],Referentie_Fossiele_Energie_Totaal[[#This Row],[C1]:[D2]])*Baseline!R58),0))</f>
        <v>0</v>
      </c>
      <c r="L476" s="77">
        <f>IF(Baseline!C58="Bestaande situatie",IF(_xlfn.IFNA((VLOOKUP(Baseline!Y58,Database_Asfalt_Verwijderset[#All],45,FALSE)*Baseline!I58),0)+_xlfn.IFNA(VLOOKUP(Baseline!Z58,Database_Brandstoffen[#All],45,FALSE)*((Baseline!I58/Baseline!AB58)*Baseline!AA58),0)&gt;0,_xlfn.IFNA((VLOOKUP(Baseline!Y58,Database_Asfalt_Verwijderset[#All],45,FALSE)*Baseline!I58),0)+_xlfn.IFNA(VLOOKUP(Baseline!Z58,Database_Brandstoffen[#All],45,FALSE)*((Baseline!I58/Baseline!AB58)*Baseline!AA58),0),(_xlfn.IFNA(VLOOKUP(Referentie_Fossiele_Energie_Totaal[[#This Row],[Product]]&amp;", "&amp;Referentie_MKI_Totaal[[#Headers],[C1]],Database_Productkaarten[#All],51,FALSE),0)*Baseline!I58)),0)</f>
        <v>0</v>
      </c>
      <c r="M476" s="77">
        <f>IF(Baseline!AD58=0,(IF(Baseline!C58="Bestaande Situatie",(_xlfn.IFNA(VLOOKUP(Referentie_Fossiele_Energie_Totaal[[#This Row],[Product]]&amp;", "&amp;Referentie_MKI_Totaal[[#Headers],[C2]],Database_Productkaarten[#All],51,FALSE),0)*Baseline!I58),0)),(IF(Baseline!C58="Bestaande Situatie",_xlfn.IFNA(VLOOKUP(Baseline!AD58,Database_Transport[#All],45,FALSE)*(Baseline!Q58*Baseline!AC58),0))))</f>
        <v>0</v>
      </c>
      <c r="N476" s="77">
        <f>(IF(Baseline!C58="Bestaande Situatie",(_xlfn.IFNA(VLOOKUP(Referentie_Fossiele_Energie_Totaal[[#This Row],[Product]]&amp;", "&amp;Referentie_Fossiele_Energie_Totaal[[#Headers],[C3]],Database_Productkaarten[#All],51,FALSE),0)*Baseline!I58),0))</f>
        <v>0</v>
      </c>
      <c r="O476" s="77">
        <f>(IF(Baseline!C58="Bestaande Situatie",(_xlfn.IFNA(VLOOKUP(Referentie_Fossiele_Energie_Totaal[[#This Row],[Product]]&amp;", "&amp;Referentie_Fossiele_Energie_Totaal[[#Headers],[C4]],Database_Productkaarten[#All],51,FALSE),0)*Baseline!I58),0))</f>
        <v>0</v>
      </c>
      <c r="P476" s="77">
        <f>(IF(Baseline!C58="Bestaande Situatie",(_xlfn.IFNA(VLOOKUP(Referentie_Fossiele_Energie_Totaal[[#This Row],[Product]]&amp;", "&amp;Referentie_Fossiele_Energie_Totaal[[#Headers],[D1]],Database_Productkaarten[#All],51,FALSE),0)*Baseline!I58),0))</f>
        <v>0</v>
      </c>
      <c r="Q476" s="78">
        <f>(IF(Baseline!C58="Bestaande Situatie",_xlfn.IFNA(VLOOKUP(Referentie_Fossiele_Energie_Totaal[[#This Row],[Product]]&amp;", "&amp;Referentie_Fossiele_Energie_Totaal[[#Headers],[D2]],Database_Productkaarten[#All],51,FALSE),0)*Baseline!I58,0))</f>
        <v>0</v>
      </c>
      <c r="R476" s="57">
        <f>(IF(Baseline!C58="Bestaande Situatie",_xlfn.IFNA(VLOOKUP(Referentie_Fossiele_Energie_Totaal[[#This Row],[Product]]&amp;", "&amp;Referentie_Fossiele_Energie_Totaal[[#Headers],[D]],Database_Productkaarten[#All],51,FALSE),0)*Baseline!I58,0))</f>
        <v>0</v>
      </c>
      <c r="S476" s="56">
        <f>SUM(Referentie_Fossiele_Energie_Totaal[[#This Row],[A1-A3]:[C4]])+Referentie_Fossiele_Energie_Totaal[[#This Row],[D]]</f>
        <v>0</v>
      </c>
    </row>
    <row r="477" spans="2:19">
      <c r="B477" s="209">
        <f>Baseline!B59</f>
        <v>0</v>
      </c>
      <c r="C477" s="76">
        <f>Baseline!F59</f>
        <v>0</v>
      </c>
      <c r="D477" s="77">
        <f>(IF(Baseline!C59="Nieuwe Situatie",(_xlfn.IFNA(VLOOKUP(Referentie_Fossiele_Energie_Totaal[[#This Row],[Product]]&amp;", "&amp;Referentie_Fossiele_Energie_Totaal[[#Headers],[A1]],Database_Productkaarten[#All],51,FALSE),0)*Baseline!I59),0))</f>
        <v>0</v>
      </c>
      <c r="E477" s="77">
        <f>(IF(Baseline!C59="Nieuwe Situatie",(_xlfn.IFNA(VLOOKUP(Referentie_Fossiele_Energie_Totaal[[#This Row],[Product]]&amp;", "&amp;Referentie_Fossiele_Energie_Totaal[[#Headers],[A2]],Database_Productkaarten[#All],51,FALSE),0)*Baseline!I59),0))</f>
        <v>0</v>
      </c>
      <c r="F477" s="77">
        <f>(IF(Baseline!C59="Nieuwe Situatie",(_xlfn.IFNA(VLOOKUP(Referentie_Fossiele_Energie_Totaal[[#This Row],[Product]]&amp;", "&amp;Referentie_Fossiele_Energie_Totaal[[#Headers],[A3]],Database_Productkaarten[#All],51,FALSE),0)*Baseline!I59),0))</f>
        <v>0</v>
      </c>
      <c r="G477" s="77">
        <f>(IF(Baseline!C59="Nieuwe Situatie",(_xlfn.IFNA(VLOOKUP(Referentie_Fossiele_Energie_Totaal[[#This Row],[Product]]&amp;", "&amp;Referentie_Fossiele_Energie_Totaal[[#Headers],[A1-A3]],Database_Productkaarten[#All],51,FALSE),0)*Baseline!I59),0))</f>
        <v>0</v>
      </c>
      <c r="H477" s="77">
        <f>IF(Baseline!T59=0,(IF(Baseline!C59="Nieuwe Situatie",(_xlfn.IFNA(VLOOKUP(Referentie_Fossiele_Energie_Totaal[[#This Row],[Product]]&amp;", "&amp;Referentie_CO2_Totaal[[#Headers],[A4]],Database_Productkaarten[#All],51,FALSE),0)*Baseline!I59),0)),IF(Baseline!C59="Nieuwe Situatie",_xlfn.IFNA(VLOOKUP(Baseline!T59,Database_Transport[#All],45,FALSE)*(Baseline!Q59*Baseline!S59),Baseline_Backlog!H162),0))</f>
        <v>0</v>
      </c>
      <c r="I477" s="77">
        <f>IF(Baseline!C59="Nieuwe situatie",IF(_xlfn.IFNA((VLOOKUP(Baseline!U59,Database_Asfalt_Aanlegset[#All],45,FALSE)*Baseline!I59),0)+_xlfn.IFNA(VLOOKUP(Baseline!V59,Database_Brandstoffen[#All],45,FALSE)*((Baseline!I59/Baseline!X59)*Baseline!W59),0)&gt;0,_xlfn.IFNA((VLOOKUP(Baseline!U59,Database_Asfalt_Aanlegset[#All],45,FALSE)*Baseline!I59),0)+_xlfn.IFNA(VLOOKUP(Baseline!V59,Database_Brandstoffen[#All],45,FALSE)*((Baseline!I59/Baseline!X59)*Baseline!W59),0),(_xlfn.IFNA(VLOOKUP(Referentie_Fossiele_Energie_Totaal[[#This Row],[Product]]&amp;", "&amp;Referentie_MKI_Totaal[[#Headers],[A5]],Database_Productkaarten[#All],51,FALSE),0)*Baseline!I59)),0)</f>
        <v>0</v>
      </c>
      <c r="J477" s="77">
        <f>(IF(Baseline!C59="Nieuwe Situatie",(_xlfn.IFNA(VLOOKUP(Referentie_Fossiele_Energie_Totaal[[#This Row],[Product]]&amp;", "&amp;Referentie_Fossiele_Energie_Totaal[[#Headers],[B1]],Database_Productkaarten[#All],51,FALSE),0)*Baseline!I59),0))</f>
        <v>0</v>
      </c>
      <c r="K477" s="77">
        <f>(IF(Baseline!C59="Nieuwe Situatie",(SUM(Referentie_Fossiele_Energie_Totaal[[#This Row],[A1]:[B1]],Referentie_Fossiele_Energie_Totaal[[#This Row],[C1]:[D2]])*Baseline!R59),0))</f>
        <v>0</v>
      </c>
      <c r="L477" s="77">
        <f>IF(Baseline!C59="Bestaande situatie",IF(_xlfn.IFNA((VLOOKUP(Baseline!Y59,Database_Asfalt_Verwijderset[#All],45,FALSE)*Baseline!I59),0)+_xlfn.IFNA(VLOOKUP(Baseline!Z59,Database_Brandstoffen[#All],45,FALSE)*((Baseline!I59/Baseline!AB59)*Baseline!AA59),0)&gt;0,_xlfn.IFNA((VLOOKUP(Baseline!Y59,Database_Asfalt_Verwijderset[#All],45,FALSE)*Baseline!I59),0)+_xlfn.IFNA(VLOOKUP(Baseline!Z59,Database_Brandstoffen[#All],45,FALSE)*((Baseline!I59/Baseline!AB59)*Baseline!AA59),0),(_xlfn.IFNA(VLOOKUP(Referentie_Fossiele_Energie_Totaal[[#This Row],[Product]]&amp;", "&amp;Referentie_MKI_Totaal[[#Headers],[C1]],Database_Productkaarten[#All],51,FALSE),0)*Baseline!I59)),0)</f>
        <v>0</v>
      </c>
      <c r="M477" s="77">
        <f>IF(Baseline!AD59=0,(IF(Baseline!C59="Bestaande Situatie",(_xlfn.IFNA(VLOOKUP(Referentie_Fossiele_Energie_Totaal[[#This Row],[Product]]&amp;", "&amp;Referentie_MKI_Totaal[[#Headers],[C2]],Database_Productkaarten[#All],51,FALSE),0)*Baseline!I59),0)),(IF(Baseline!C59="Bestaande Situatie",_xlfn.IFNA(VLOOKUP(Baseline!AD59,Database_Transport[#All],45,FALSE)*(Baseline!Q59*Baseline!AC59),0))))</f>
        <v>0</v>
      </c>
      <c r="N477" s="77">
        <f>(IF(Baseline!C59="Bestaande Situatie",(_xlfn.IFNA(VLOOKUP(Referentie_Fossiele_Energie_Totaal[[#This Row],[Product]]&amp;", "&amp;Referentie_Fossiele_Energie_Totaal[[#Headers],[C3]],Database_Productkaarten[#All],51,FALSE),0)*Baseline!I59),0))</f>
        <v>0</v>
      </c>
      <c r="O477" s="77">
        <f>(IF(Baseline!C59="Bestaande Situatie",(_xlfn.IFNA(VLOOKUP(Referentie_Fossiele_Energie_Totaal[[#This Row],[Product]]&amp;", "&amp;Referentie_Fossiele_Energie_Totaal[[#Headers],[C4]],Database_Productkaarten[#All],51,FALSE),0)*Baseline!I59),0))</f>
        <v>0</v>
      </c>
      <c r="P477" s="77">
        <f>(IF(Baseline!C59="Bestaande Situatie",(_xlfn.IFNA(VLOOKUP(Referentie_Fossiele_Energie_Totaal[[#This Row],[Product]]&amp;", "&amp;Referentie_Fossiele_Energie_Totaal[[#Headers],[D1]],Database_Productkaarten[#All],51,FALSE),0)*Baseline!I59),0))</f>
        <v>0</v>
      </c>
      <c r="Q477" s="78">
        <f>(IF(Baseline!C59="Bestaande Situatie",_xlfn.IFNA(VLOOKUP(Referentie_Fossiele_Energie_Totaal[[#This Row],[Product]]&amp;", "&amp;Referentie_Fossiele_Energie_Totaal[[#Headers],[D2]],Database_Productkaarten[#All],51,FALSE),0)*Baseline!I59,0))</f>
        <v>0</v>
      </c>
      <c r="R477" s="57">
        <f>(IF(Baseline!C59="Bestaande Situatie",_xlfn.IFNA(VLOOKUP(Referentie_Fossiele_Energie_Totaal[[#This Row],[Product]]&amp;", "&amp;Referentie_Fossiele_Energie_Totaal[[#Headers],[D]],Database_Productkaarten[#All],51,FALSE),0)*Baseline!I59,0))</f>
        <v>0</v>
      </c>
      <c r="S477" s="56">
        <f>SUM(Referentie_Fossiele_Energie_Totaal[[#This Row],[A1-A3]:[C4]])+Referentie_Fossiele_Energie_Totaal[[#This Row],[D]]</f>
        <v>0</v>
      </c>
    </row>
    <row r="478" spans="2:19">
      <c r="B478" s="209">
        <f>Baseline!B60</f>
        <v>0</v>
      </c>
      <c r="C478" s="76">
        <f>Baseline!F60</f>
        <v>0</v>
      </c>
      <c r="D478" s="77">
        <f>(IF(Baseline!C60="Nieuwe Situatie",(_xlfn.IFNA(VLOOKUP(Referentie_Fossiele_Energie_Totaal[[#This Row],[Product]]&amp;", "&amp;Referentie_Fossiele_Energie_Totaal[[#Headers],[A1]],Database_Productkaarten[#All],51,FALSE),0)*Baseline!I60),0))</f>
        <v>0</v>
      </c>
      <c r="E478" s="77">
        <f>(IF(Baseline!C60="Nieuwe Situatie",(_xlfn.IFNA(VLOOKUP(Referentie_Fossiele_Energie_Totaal[[#This Row],[Product]]&amp;", "&amp;Referentie_Fossiele_Energie_Totaal[[#Headers],[A2]],Database_Productkaarten[#All],51,FALSE),0)*Baseline!I60),0))</f>
        <v>0</v>
      </c>
      <c r="F478" s="77">
        <f>(IF(Baseline!C60="Nieuwe Situatie",(_xlfn.IFNA(VLOOKUP(Referentie_Fossiele_Energie_Totaal[[#This Row],[Product]]&amp;", "&amp;Referentie_Fossiele_Energie_Totaal[[#Headers],[A3]],Database_Productkaarten[#All],51,FALSE),0)*Baseline!I60),0))</f>
        <v>0</v>
      </c>
      <c r="G478" s="77">
        <f>(IF(Baseline!C60="Nieuwe Situatie",(_xlfn.IFNA(VLOOKUP(Referentie_Fossiele_Energie_Totaal[[#This Row],[Product]]&amp;", "&amp;Referentie_Fossiele_Energie_Totaal[[#Headers],[A1-A3]],Database_Productkaarten[#All],51,FALSE),0)*Baseline!I60),0))</f>
        <v>0</v>
      </c>
      <c r="H478" s="77">
        <f>IF(Baseline!T60=0,(IF(Baseline!C60="Nieuwe Situatie",(_xlfn.IFNA(VLOOKUP(Referentie_Fossiele_Energie_Totaal[[#This Row],[Product]]&amp;", "&amp;Referentie_CO2_Totaal[[#Headers],[A4]],Database_Productkaarten[#All],51,FALSE),0)*Baseline!I60),0)),IF(Baseline!C60="Nieuwe Situatie",_xlfn.IFNA(VLOOKUP(Baseline!T60,Database_Transport[#All],45,FALSE)*(Baseline!Q60*Baseline!S60),Baseline_Backlog!H163),0))</f>
        <v>0</v>
      </c>
      <c r="I478" s="77">
        <f>IF(Baseline!C60="Nieuwe situatie",IF(_xlfn.IFNA((VLOOKUP(Baseline!U60,Database_Asfalt_Aanlegset[#All],45,FALSE)*Baseline!I60),0)+_xlfn.IFNA(VLOOKUP(Baseline!V60,Database_Brandstoffen[#All],45,FALSE)*((Baseline!I60/Baseline!X60)*Baseline!W60),0)&gt;0,_xlfn.IFNA((VLOOKUP(Baseline!U60,Database_Asfalt_Aanlegset[#All],45,FALSE)*Baseline!I60),0)+_xlfn.IFNA(VLOOKUP(Baseline!V60,Database_Brandstoffen[#All],45,FALSE)*((Baseline!I60/Baseline!X60)*Baseline!W60),0),(_xlfn.IFNA(VLOOKUP(Referentie_Fossiele_Energie_Totaal[[#This Row],[Product]]&amp;", "&amp;Referentie_MKI_Totaal[[#Headers],[A5]],Database_Productkaarten[#All],51,FALSE),0)*Baseline!I60)),0)</f>
        <v>0</v>
      </c>
      <c r="J478" s="77">
        <f>(IF(Baseline!C60="Nieuwe Situatie",(_xlfn.IFNA(VLOOKUP(Referentie_Fossiele_Energie_Totaal[[#This Row],[Product]]&amp;", "&amp;Referentie_Fossiele_Energie_Totaal[[#Headers],[B1]],Database_Productkaarten[#All],51,FALSE),0)*Baseline!I60),0))</f>
        <v>0</v>
      </c>
      <c r="K478" s="77">
        <f>(IF(Baseline!C60="Nieuwe Situatie",(SUM(Referentie_Fossiele_Energie_Totaal[[#This Row],[A1]:[B1]],Referentie_Fossiele_Energie_Totaal[[#This Row],[C1]:[D2]])*Baseline!R60),0))</f>
        <v>0</v>
      </c>
      <c r="L478" s="77">
        <f>IF(Baseline!C60="Bestaande situatie",IF(_xlfn.IFNA((VLOOKUP(Baseline!Y60,Database_Asfalt_Verwijderset[#All],45,FALSE)*Baseline!I60),0)+_xlfn.IFNA(VLOOKUP(Baseline!Z60,Database_Brandstoffen[#All],45,FALSE)*((Baseline!I60/Baseline!AB60)*Baseline!AA60),0)&gt;0,_xlfn.IFNA((VLOOKUP(Baseline!Y60,Database_Asfalt_Verwijderset[#All],45,FALSE)*Baseline!I60),0)+_xlfn.IFNA(VLOOKUP(Baseline!Z60,Database_Brandstoffen[#All],45,FALSE)*((Baseline!I60/Baseline!AB60)*Baseline!AA60),0),(_xlfn.IFNA(VLOOKUP(Referentie_Fossiele_Energie_Totaal[[#This Row],[Product]]&amp;", "&amp;Referentie_MKI_Totaal[[#Headers],[C1]],Database_Productkaarten[#All],51,FALSE),0)*Baseline!I60)),0)</f>
        <v>0</v>
      </c>
      <c r="M478" s="77">
        <f>IF(Baseline!AD60=0,(IF(Baseline!C60="Bestaande Situatie",(_xlfn.IFNA(VLOOKUP(Referentie_Fossiele_Energie_Totaal[[#This Row],[Product]]&amp;", "&amp;Referentie_MKI_Totaal[[#Headers],[C2]],Database_Productkaarten[#All],51,FALSE),0)*Baseline!I60),0)),(IF(Baseline!C60="Bestaande Situatie",_xlfn.IFNA(VLOOKUP(Baseline!AD60,Database_Transport[#All],45,FALSE)*(Baseline!Q60*Baseline!AC60),0))))</f>
        <v>0</v>
      </c>
      <c r="N478" s="77">
        <f>(IF(Baseline!C60="Bestaande Situatie",(_xlfn.IFNA(VLOOKUP(Referentie_Fossiele_Energie_Totaal[[#This Row],[Product]]&amp;", "&amp;Referentie_Fossiele_Energie_Totaal[[#Headers],[C3]],Database_Productkaarten[#All],51,FALSE),0)*Baseline!I60),0))</f>
        <v>0</v>
      </c>
      <c r="O478" s="77">
        <f>(IF(Baseline!C60="Bestaande Situatie",(_xlfn.IFNA(VLOOKUP(Referentie_Fossiele_Energie_Totaal[[#This Row],[Product]]&amp;", "&amp;Referentie_Fossiele_Energie_Totaal[[#Headers],[C4]],Database_Productkaarten[#All],51,FALSE),0)*Baseline!I60),0))</f>
        <v>0</v>
      </c>
      <c r="P478" s="77">
        <f>(IF(Baseline!C60="Bestaande Situatie",(_xlfn.IFNA(VLOOKUP(Referentie_Fossiele_Energie_Totaal[[#This Row],[Product]]&amp;", "&amp;Referentie_Fossiele_Energie_Totaal[[#Headers],[D1]],Database_Productkaarten[#All],51,FALSE),0)*Baseline!I60),0))</f>
        <v>0</v>
      </c>
      <c r="Q478" s="78">
        <f>(IF(Baseline!C60="Bestaande Situatie",_xlfn.IFNA(VLOOKUP(Referentie_Fossiele_Energie_Totaal[[#This Row],[Product]]&amp;", "&amp;Referentie_Fossiele_Energie_Totaal[[#Headers],[D2]],Database_Productkaarten[#All],51,FALSE),0)*Baseline!I60,0))</f>
        <v>0</v>
      </c>
      <c r="R478" s="57">
        <f>(IF(Baseline!C60="Bestaande Situatie",_xlfn.IFNA(VLOOKUP(Referentie_Fossiele_Energie_Totaal[[#This Row],[Product]]&amp;", "&amp;Referentie_Fossiele_Energie_Totaal[[#Headers],[D]],Database_Productkaarten[#All],51,FALSE),0)*Baseline!I60,0))</f>
        <v>0</v>
      </c>
      <c r="S478" s="56">
        <f>SUM(Referentie_Fossiele_Energie_Totaal[[#This Row],[A1-A3]:[C4]])+Referentie_Fossiele_Energie_Totaal[[#This Row],[D]]</f>
        <v>0</v>
      </c>
    </row>
    <row r="479" spans="2:19">
      <c r="B479" s="209">
        <f>Baseline!B61</f>
        <v>0</v>
      </c>
      <c r="C479" s="76">
        <f>Baseline!F61</f>
        <v>0</v>
      </c>
      <c r="D479" s="77">
        <f>(IF(Baseline!C61="Nieuwe Situatie",(_xlfn.IFNA(VLOOKUP(Referentie_Fossiele_Energie_Totaal[[#This Row],[Product]]&amp;", "&amp;Referentie_Fossiele_Energie_Totaal[[#Headers],[A1]],Database_Productkaarten[#All],51,FALSE),0)*Baseline!I61),0))</f>
        <v>0</v>
      </c>
      <c r="E479" s="77">
        <f>(IF(Baseline!C61="Nieuwe Situatie",(_xlfn.IFNA(VLOOKUP(Referentie_Fossiele_Energie_Totaal[[#This Row],[Product]]&amp;", "&amp;Referentie_Fossiele_Energie_Totaal[[#Headers],[A2]],Database_Productkaarten[#All],51,FALSE),0)*Baseline!I61),0))</f>
        <v>0</v>
      </c>
      <c r="F479" s="77">
        <f>(IF(Baseline!C61="Nieuwe Situatie",(_xlfn.IFNA(VLOOKUP(Referentie_Fossiele_Energie_Totaal[[#This Row],[Product]]&amp;", "&amp;Referentie_Fossiele_Energie_Totaal[[#Headers],[A3]],Database_Productkaarten[#All],51,FALSE),0)*Baseline!I61),0))</f>
        <v>0</v>
      </c>
      <c r="G479" s="77">
        <f>(IF(Baseline!C61="Nieuwe Situatie",(_xlfn.IFNA(VLOOKUP(Referentie_Fossiele_Energie_Totaal[[#This Row],[Product]]&amp;", "&amp;Referentie_Fossiele_Energie_Totaal[[#Headers],[A1-A3]],Database_Productkaarten[#All],51,FALSE),0)*Baseline!I61),0))</f>
        <v>0</v>
      </c>
      <c r="H479" s="77">
        <f>IF(Baseline!T61=0,(IF(Baseline!C61="Nieuwe Situatie",(_xlfn.IFNA(VLOOKUP(Referentie_Fossiele_Energie_Totaal[[#This Row],[Product]]&amp;", "&amp;Referentie_CO2_Totaal[[#Headers],[A4]],Database_Productkaarten[#All],51,FALSE),0)*Baseline!I61),0)),IF(Baseline!C61="Nieuwe Situatie",_xlfn.IFNA(VLOOKUP(Baseline!T61,Database_Transport[#All],45,FALSE)*(Baseline!Q61*Baseline!S61),Baseline_Backlog!H164),0))</f>
        <v>0</v>
      </c>
      <c r="I479" s="77">
        <f>IF(Baseline!C61="Nieuwe situatie",IF(_xlfn.IFNA((VLOOKUP(Baseline!U61,Database_Asfalt_Aanlegset[#All],45,FALSE)*Baseline!I61),0)+_xlfn.IFNA(VLOOKUP(Baseline!V61,Database_Brandstoffen[#All],45,FALSE)*((Baseline!I61/Baseline!X61)*Baseline!W61),0)&gt;0,_xlfn.IFNA((VLOOKUP(Baseline!U61,Database_Asfalt_Aanlegset[#All],45,FALSE)*Baseline!I61),0)+_xlfn.IFNA(VLOOKUP(Baseline!V61,Database_Brandstoffen[#All],45,FALSE)*((Baseline!I61/Baseline!X61)*Baseline!W61),0),(_xlfn.IFNA(VLOOKUP(Referentie_Fossiele_Energie_Totaal[[#This Row],[Product]]&amp;", "&amp;Referentie_MKI_Totaal[[#Headers],[A5]],Database_Productkaarten[#All],51,FALSE),0)*Baseline!I61)),0)</f>
        <v>0</v>
      </c>
      <c r="J479" s="77">
        <f>(IF(Baseline!C61="Nieuwe Situatie",(_xlfn.IFNA(VLOOKUP(Referentie_Fossiele_Energie_Totaal[[#This Row],[Product]]&amp;", "&amp;Referentie_Fossiele_Energie_Totaal[[#Headers],[B1]],Database_Productkaarten[#All],51,FALSE),0)*Baseline!I61),0))</f>
        <v>0</v>
      </c>
      <c r="K479" s="77">
        <f>(IF(Baseline!C61="Nieuwe Situatie",(SUM(Referentie_Fossiele_Energie_Totaal[[#This Row],[A1]:[B1]],Referentie_Fossiele_Energie_Totaal[[#This Row],[C1]:[D2]])*Baseline!R61),0))</f>
        <v>0</v>
      </c>
      <c r="L479" s="77">
        <f>IF(Baseline!C61="Bestaande situatie",IF(_xlfn.IFNA((VLOOKUP(Baseline!Y61,Database_Asfalt_Verwijderset[#All],45,FALSE)*Baseline!I61),0)+_xlfn.IFNA(VLOOKUP(Baseline!Z61,Database_Brandstoffen[#All],45,FALSE)*((Baseline!I61/Baseline!AB61)*Baseline!AA61),0)&gt;0,_xlfn.IFNA((VLOOKUP(Baseline!Y61,Database_Asfalt_Verwijderset[#All],45,FALSE)*Baseline!I61),0)+_xlfn.IFNA(VLOOKUP(Baseline!Z61,Database_Brandstoffen[#All],45,FALSE)*((Baseline!I61/Baseline!AB61)*Baseline!AA61),0),(_xlfn.IFNA(VLOOKUP(Referentie_Fossiele_Energie_Totaal[[#This Row],[Product]]&amp;", "&amp;Referentie_MKI_Totaal[[#Headers],[C1]],Database_Productkaarten[#All],51,FALSE),0)*Baseline!I61)),0)</f>
        <v>0</v>
      </c>
      <c r="M479" s="77">
        <f>IF(Baseline!AD61=0,(IF(Baseline!C61="Bestaande Situatie",(_xlfn.IFNA(VLOOKUP(Referentie_Fossiele_Energie_Totaal[[#This Row],[Product]]&amp;", "&amp;Referentie_MKI_Totaal[[#Headers],[C2]],Database_Productkaarten[#All],51,FALSE),0)*Baseline!I61),0)),(IF(Baseline!C61="Bestaande Situatie",_xlfn.IFNA(VLOOKUP(Baseline!AD61,Database_Transport[#All],45,FALSE)*(Baseline!Q61*Baseline!AC61),0))))</f>
        <v>0</v>
      </c>
      <c r="N479" s="77">
        <f>(IF(Baseline!C61="Bestaande Situatie",(_xlfn.IFNA(VLOOKUP(Referentie_Fossiele_Energie_Totaal[[#This Row],[Product]]&amp;", "&amp;Referentie_Fossiele_Energie_Totaal[[#Headers],[C3]],Database_Productkaarten[#All],51,FALSE),0)*Baseline!I61),0))</f>
        <v>0</v>
      </c>
      <c r="O479" s="77">
        <f>(IF(Baseline!C61="Bestaande Situatie",(_xlfn.IFNA(VLOOKUP(Referentie_Fossiele_Energie_Totaal[[#This Row],[Product]]&amp;", "&amp;Referentie_Fossiele_Energie_Totaal[[#Headers],[C4]],Database_Productkaarten[#All],51,FALSE),0)*Baseline!I61),0))</f>
        <v>0</v>
      </c>
      <c r="P479" s="77">
        <f>(IF(Baseline!C61="Bestaande Situatie",(_xlfn.IFNA(VLOOKUP(Referentie_Fossiele_Energie_Totaal[[#This Row],[Product]]&amp;", "&amp;Referentie_Fossiele_Energie_Totaal[[#Headers],[D1]],Database_Productkaarten[#All],51,FALSE),0)*Baseline!I61),0))</f>
        <v>0</v>
      </c>
      <c r="Q479" s="78">
        <f>(IF(Baseline!C61="Bestaande Situatie",_xlfn.IFNA(VLOOKUP(Referentie_Fossiele_Energie_Totaal[[#This Row],[Product]]&amp;", "&amp;Referentie_Fossiele_Energie_Totaal[[#Headers],[D2]],Database_Productkaarten[#All],51,FALSE),0)*Baseline!I61,0))</f>
        <v>0</v>
      </c>
      <c r="R479" s="57">
        <f>(IF(Baseline!C61="Bestaande Situatie",_xlfn.IFNA(VLOOKUP(Referentie_Fossiele_Energie_Totaal[[#This Row],[Product]]&amp;", "&amp;Referentie_Fossiele_Energie_Totaal[[#Headers],[D]],Database_Productkaarten[#All],51,FALSE),0)*Baseline!I61,0))</f>
        <v>0</v>
      </c>
      <c r="S479" s="56">
        <f>SUM(Referentie_Fossiele_Energie_Totaal[[#This Row],[A1-A3]:[C4]])+Referentie_Fossiele_Energie_Totaal[[#This Row],[D]]</f>
        <v>0</v>
      </c>
    </row>
    <row r="480" spans="2:19">
      <c r="B480" s="209">
        <f>Baseline!B62</f>
        <v>0</v>
      </c>
      <c r="C480" s="76">
        <f>Baseline!F62</f>
        <v>0</v>
      </c>
      <c r="D480" s="77">
        <f>(IF(Baseline!C62="Nieuwe Situatie",(_xlfn.IFNA(VLOOKUP(Referentie_Fossiele_Energie_Totaal[[#This Row],[Product]]&amp;", "&amp;Referentie_Fossiele_Energie_Totaal[[#Headers],[A1]],Database_Productkaarten[#All],51,FALSE),0)*Baseline!I62),0))</f>
        <v>0</v>
      </c>
      <c r="E480" s="77">
        <f>(IF(Baseline!C62="Nieuwe Situatie",(_xlfn.IFNA(VLOOKUP(Referentie_Fossiele_Energie_Totaal[[#This Row],[Product]]&amp;", "&amp;Referentie_Fossiele_Energie_Totaal[[#Headers],[A2]],Database_Productkaarten[#All],51,FALSE),0)*Baseline!I62),0))</f>
        <v>0</v>
      </c>
      <c r="F480" s="77">
        <f>(IF(Baseline!C62="Nieuwe Situatie",(_xlfn.IFNA(VLOOKUP(Referentie_Fossiele_Energie_Totaal[[#This Row],[Product]]&amp;", "&amp;Referentie_Fossiele_Energie_Totaal[[#Headers],[A3]],Database_Productkaarten[#All],51,FALSE),0)*Baseline!I62),0))</f>
        <v>0</v>
      </c>
      <c r="G480" s="77">
        <f>(IF(Baseline!C62="Nieuwe Situatie",(_xlfn.IFNA(VLOOKUP(Referentie_Fossiele_Energie_Totaal[[#This Row],[Product]]&amp;", "&amp;Referentie_Fossiele_Energie_Totaal[[#Headers],[A1-A3]],Database_Productkaarten[#All],51,FALSE),0)*Baseline!I62),0))</f>
        <v>0</v>
      </c>
      <c r="H480" s="77">
        <f>IF(Baseline!T62=0,(IF(Baseline!C62="Nieuwe Situatie",(_xlfn.IFNA(VLOOKUP(Referentie_Fossiele_Energie_Totaal[[#This Row],[Product]]&amp;", "&amp;Referentie_CO2_Totaal[[#Headers],[A4]],Database_Productkaarten[#All],51,FALSE),0)*Baseline!I62),0)),IF(Baseline!C62="Nieuwe Situatie",_xlfn.IFNA(VLOOKUP(Baseline!T62,Database_Transport[#All],45,FALSE)*(Baseline!Q62*Baseline!S62),Baseline_Backlog!H165),0))</f>
        <v>0</v>
      </c>
      <c r="I480" s="77">
        <f>IF(Baseline!C62="Nieuwe situatie",IF(_xlfn.IFNA((VLOOKUP(Baseline!U62,Database_Asfalt_Aanlegset[#All],45,FALSE)*Baseline!I62),0)+_xlfn.IFNA(VLOOKUP(Baseline!V62,Database_Brandstoffen[#All],45,FALSE)*((Baseline!I62/Baseline!X62)*Baseline!W62),0)&gt;0,_xlfn.IFNA((VLOOKUP(Baseline!U62,Database_Asfalt_Aanlegset[#All],45,FALSE)*Baseline!I62),0)+_xlfn.IFNA(VLOOKUP(Baseline!V62,Database_Brandstoffen[#All],45,FALSE)*((Baseline!I62/Baseline!X62)*Baseline!W62),0),(_xlfn.IFNA(VLOOKUP(Referentie_Fossiele_Energie_Totaal[[#This Row],[Product]]&amp;", "&amp;Referentie_MKI_Totaal[[#Headers],[A5]],Database_Productkaarten[#All],51,FALSE),0)*Baseline!I62)),0)</f>
        <v>0</v>
      </c>
      <c r="J480" s="77">
        <f>(IF(Baseline!C62="Nieuwe Situatie",(_xlfn.IFNA(VLOOKUP(Referentie_Fossiele_Energie_Totaal[[#This Row],[Product]]&amp;", "&amp;Referentie_Fossiele_Energie_Totaal[[#Headers],[B1]],Database_Productkaarten[#All],51,FALSE),0)*Baseline!I62),0))</f>
        <v>0</v>
      </c>
      <c r="K480" s="77">
        <f>(IF(Baseline!C62="Nieuwe Situatie",(SUM(Referentie_Fossiele_Energie_Totaal[[#This Row],[A1]:[B1]],Referentie_Fossiele_Energie_Totaal[[#This Row],[C1]:[D2]])*Baseline!R62),0))</f>
        <v>0</v>
      </c>
      <c r="L480" s="77">
        <f>IF(Baseline!C62="Bestaande situatie",IF(_xlfn.IFNA((VLOOKUP(Baseline!Y62,Database_Asfalt_Verwijderset[#All],45,FALSE)*Baseline!I62),0)+_xlfn.IFNA(VLOOKUP(Baseline!Z62,Database_Brandstoffen[#All],45,FALSE)*((Baseline!I62/Baseline!AB62)*Baseline!AA62),0)&gt;0,_xlfn.IFNA((VLOOKUP(Baseline!Y62,Database_Asfalt_Verwijderset[#All],45,FALSE)*Baseline!I62),0)+_xlfn.IFNA(VLOOKUP(Baseline!Z62,Database_Brandstoffen[#All],45,FALSE)*((Baseline!I62/Baseline!AB62)*Baseline!AA62),0),(_xlfn.IFNA(VLOOKUP(Referentie_Fossiele_Energie_Totaal[[#This Row],[Product]]&amp;", "&amp;Referentie_MKI_Totaal[[#Headers],[C1]],Database_Productkaarten[#All],51,FALSE),0)*Baseline!I62)),0)</f>
        <v>0</v>
      </c>
      <c r="M480" s="77">
        <f>IF(Baseline!AD62=0,(IF(Baseline!C62="Bestaande Situatie",(_xlfn.IFNA(VLOOKUP(Referentie_Fossiele_Energie_Totaal[[#This Row],[Product]]&amp;", "&amp;Referentie_MKI_Totaal[[#Headers],[C2]],Database_Productkaarten[#All],51,FALSE),0)*Baseline!I62),0)),(IF(Baseline!C62="Bestaande Situatie",_xlfn.IFNA(VLOOKUP(Baseline!AD62,Database_Transport[#All],45,FALSE)*(Baseline!Q62*Baseline!AC62),0))))</f>
        <v>0</v>
      </c>
      <c r="N480" s="77">
        <f>(IF(Baseline!C62="Bestaande Situatie",(_xlfn.IFNA(VLOOKUP(Referentie_Fossiele_Energie_Totaal[[#This Row],[Product]]&amp;", "&amp;Referentie_Fossiele_Energie_Totaal[[#Headers],[C3]],Database_Productkaarten[#All],51,FALSE),0)*Baseline!I62),0))</f>
        <v>0</v>
      </c>
      <c r="O480" s="77">
        <f>(IF(Baseline!C62="Bestaande Situatie",(_xlfn.IFNA(VLOOKUP(Referentie_Fossiele_Energie_Totaal[[#This Row],[Product]]&amp;", "&amp;Referentie_Fossiele_Energie_Totaal[[#Headers],[C4]],Database_Productkaarten[#All],51,FALSE),0)*Baseline!I62),0))</f>
        <v>0</v>
      </c>
      <c r="P480" s="77">
        <f>(IF(Baseline!C62="Bestaande Situatie",(_xlfn.IFNA(VLOOKUP(Referentie_Fossiele_Energie_Totaal[[#This Row],[Product]]&amp;", "&amp;Referentie_Fossiele_Energie_Totaal[[#Headers],[D1]],Database_Productkaarten[#All],51,FALSE),0)*Baseline!I62),0))</f>
        <v>0</v>
      </c>
      <c r="Q480" s="78">
        <f>(IF(Baseline!C62="Bestaande Situatie",_xlfn.IFNA(VLOOKUP(Referentie_Fossiele_Energie_Totaal[[#This Row],[Product]]&amp;", "&amp;Referentie_Fossiele_Energie_Totaal[[#Headers],[D2]],Database_Productkaarten[#All],51,FALSE),0)*Baseline!I62,0))</f>
        <v>0</v>
      </c>
      <c r="R480" s="57">
        <f>(IF(Baseline!C62="Bestaande Situatie",_xlfn.IFNA(VLOOKUP(Referentie_Fossiele_Energie_Totaal[[#This Row],[Product]]&amp;", "&amp;Referentie_Fossiele_Energie_Totaal[[#Headers],[D]],Database_Productkaarten[#All],51,FALSE),0)*Baseline!I62,0))</f>
        <v>0</v>
      </c>
      <c r="S480" s="56">
        <f>SUM(Referentie_Fossiele_Energie_Totaal[[#This Row],[A1-A3]:[C4]])+Referentie_Fossiele_Energie_Totaal[[#This Row],[D]]</f>
        <v>0</v>
      </c>
    </row>
    <row r="481" spans="2:19">
      <c r="B481" s="209">
        <f>Baseline!B63</f>
        <v>0</v>
      </c>
      <c r="C481" s="76">
        <f>Baseline!F63</f>
        <v>0</v>
      </c>
      <c r="D481" s="77">
        <f>(IF(Baseline!C63="Nieuwe Situatie",(_xlfn.IFNA(VLOOKUP(Referentie_Fossiele_Energie_Totaal[[#This Row],[Product]]&amp;", "&amp;Referentie_Fossiele_Energie_Totaal[[#Headers],[A1]],Database_Productkaarten[#All],51,FALSE),0)*Baseline!I63),0))</f>
        <v>0</v>
      </c>
      <c r="E481" s="77">
        <f>(IF(Baseline!C63="Nieuwe Situatie",(_xlfn.IFNA(VLOOKUP(Referentie_Fossiele_Energie_Totaal[[#This Row],[Product]]&amp;", "&amp;Referentie_Fossiele_Energie_Totaal[[#Headers],[A2]],Database_Productkaarten[#All],51,FALSE),0)*Baseline!I63),0))</f>
        <v>0</v>
      </c>
      <c r="F481" s="77">
        <f>(IF(Baseline!C63="Nieuwe Situatie",(_xlfn.IFNA(VLOOKUP(Referentie_Fossiele_Energie_Totaal[[#This Row],[Product]]&amp;", "&amp;Referentie_Fossiele_Energie_Totaal[[#Headers],[A3]],Database_Productkaarten[#All],51,FALSE),0)*Baseline!I63),0))</f>
        <v>0</v>
      </c>
      <c r="G481" s="77">
        <f>(IF(Baseline!C63="Nieuwe Situatie",(_xlfn.IFNA(VLOOKUP(Referentie_Fossiele_Energie_Totaal[[#This Row],[Product]]&amp;", "&amp;Referentie_Fossiele_Energie_Totaal[[#Headers],[A1-A3]],Database_Productkaarten[#All],51,FALSE),0)*Baseline!I63),0))</f>
        <v>0</v>
      </c>
      <c r="H481" s="77">
        <f>IF(Baseline!T63=0,(IF(Baseline!C63="Nieuwe Situatie",(_xlfn.IFNA(VLOOKUP(Referentie_Fossiele_Energie_Totaal[[#This Row],[Product]]&amp;", "&amp;Referentie_CO2_Totaal[[#Headers],[A4]],Database_Productkaarten[#All],51,FALSE),0)*Baseline!I63),0)),IF(Baseline!C63="Nieuwe Situatie",_xlfn.IFNA(VLOOKUP(Baseline!T63,Database_Transport[#All],45,FALSE)*(Baseline!Q63*Baseline!S63),Baseline_Backlog!H166),0))</f>
        <v>0</v>
      </c>
      <c r="I481" s="77">
        <f>IF(Baseline!C63="Nieuwe situatie",IF(_xlfn.IFNA((VLOOKUP(Baseline!U63,Database_Asfalt_Aanlegset[#All],45,FALSE)*Baseline!I63),0)+_xlfn.IFNA(VLOOKUP(Baseline!V63,Database_Brandstoffen[#All],45,FALSE)*((Baseline!I63/Baseline!X63)*Baseline!W63),0)&gt;0,_xlfn.IFNA((VLOOKUP(Baseline!U63,Database_Asfalt_Aanlegset[#All],45,FALSE)*Baseline!I63),0)+_xlfn.IFNA(VLOOKUP(Baseline!V63,Database_Brandstoffen[#All],45,FALSE)*((Baseline!I63/Baseline!X63)*Baseline!W63),0),(_xlfn.IFNA(VLOOKUP(Referentie_Fossiele_Energie_Totaal[[#This Row],[Product]]&amp;", "&amp;Referentie_MKI_Totaal[[#Headers],[A5]],Database_Productkaarten[#All],51,FALSE),0)*Baseline!I63)),0)</f>
        <v>0</v>
      </c>
      <c r="J481" s="77">
        <f>(IF(Baseline!C63="Nieuwe Situatie",(_xlfn.IFNA(VLOOKUP(Referentie_Fossiele_Energie_Totaal[[#This Row],[Product]]&amp;", "&amp;Referentie_Fossiele_Energie_Totaal[[#Headers],[B1]],Database_Productkaarten[#All],51,FALSE),0)*Baseline!I63),0))</f>
        <v>0</v>
      </c>
      <c r="K481" s="77">
        <f>(IF(Baseline!C63="Nieuwe Situatie",(SUM(Referentie_Fossiele_Energie_Totaal[[#This Row],[A1]:[B1]],Referentie_Fossiele_Energie_Totaal[[#This Row],[C1]:[D2]])*Baseline!R63),0))</f>
        <v>0</v>
      </c>
      <c r="L481" s="77">
        <f>IF(Baseline!C63="Bestaande situatie",IF(_xlfn.IFNA((VLOOKUP(Baseline!Y63,Database_Asfalt_Verwijderset[#All],45,FALSE)*Baseline!I63),0)+_xlfn.IFNA(VLOOKUP(Baseline!Z63,Database_Brandstoffen[#All],45,FALSE)*((Baseline!I63/Baseline!AB63)*Baseline!AA63),0)&gt;0,_xlfn.IFNA((VLOOKUP(Baseline!Y63,Database_Asfalt_Verwijderset[#All],45,FALSE)*Baseline!I63),0)+_xlfn.IFNA(VLOOKUP(Baseline!Z63,Database_Brandstoffen[#All],45,FALSE)*((Baseline!I63/Baseline!AB63)*Baseline!AA63),0),(_xlfn.IFNA(VLOOKUP(Referentie_Fossiele_Energie_Totaal[[#This Row],[Product]]&amp;", "&amp;Referentie_MKI_Totaal[[#Headers],[C1]],Database_Productkaarten[#All],51,FALSE),0)*Baseline!I63)),0)</f>
        <v>0</v>
      </c>
      <c r="M481" s="77">
        <f>IF(Baseline!AD63=0,(IF(Baseline!C63="Bestaande Situatie",(_xlfn.IFNA(VLOOKUP(Referentie_Fossiele_Energie_Totaal[[#This Row],[Product]]&amp;", "&amp;Referentie_MKI_Totaal[[#Headers],[C2]],Database_Productkaarten[#All],51,FALSE),0)*Baseline!I63),0)),(IF(Baseline!C63="Bestaande Situatie",_xlfn.IFNA(VLOOKUP(Baseline!AD63,Database_Transport[#All],45,FALSE)*(Baseline!Q63*Baseline!AC63),0))))</f>
        <v>0</v>
      </c>
      <c r="N481" s="77">
        <f>(IF(Baseline!C63="Bestaande Situatie",(_xlfn.IFNA(VLOOKUP(Referentie_Fossiele_Energie_Totaal[[#This Row],[Product]]&amp;", "&amp;Referentie_Fossiele_Energie_Totaal[[#Headers],[C3]],Database_Productkaarten[#All],51,FALSE),0)*Baseline!I63),0))</f>
        <v>0</v>
      </c>
      <c r="O481" s="77">
        <f>(IF(Baseline!C63="Bestaande Situatie",(_xlfn.IFNA(VLOOKUP(Referentie_Fossiele_Energie_Totaal[[#This Row],[Product]]&amp;", "&amp;Referentie_Fossiele_Energie_Totaal[[#Headers],[C4]],Database_Productkaarten[#All],51,FALSE),0)*Baseline!I63),0))</f>
        <v>0</v>
      </c>
      <c r="P481" s="77">
        <f>(IF(Baseline!C63="Bestaande Situatie",(_xlfn.IFNA(VLOOKUP(Referentie_Fossiele_Energie_Totaal[[#This Row],[Product]]&amp;", "&amp;Referentie_Fossiele_Energie_Totaal[[#Headers],[D1]],Database_Productkaarten[#All],51,FALSE),0)*Baseline!I63),0))</f>
        <v>0</v>
      </c>
      <c r="Q481" s="78">
        <f>(IF(Baseline!C63="Bestaande Situatie",_xlfn.IFNA(VLOOKUP(Referentie_Fossiele_Energie_Totaal[[#This Row],[Product]]&amp;", "&amp;Referentie_Fossiele_Energie_Totaal[[#Headers],[D2]],Database_Productkaarten[#All],51,FALSE),0)*Baseline!I63,0))</f>
        <v>0</v>
      </c>
      <c r="R481" s="57">
        <f>(IF(Baseline!C63="Bestaande Situatie",_xlfn.IFNA(VLOOKUP(Referentie_Fossiele_Energie_Totaal[[#This Row],[Product]]&amp;", "&amp;Referentie_Fossiele_Energie_Totaal[[#Headers],[D]],Database_Productkaarten[#All],51,FALSE),0)*Baseline!I63,0))</f>
        <v>0</v>
      </c>
      <c r="S481" s="56">
        <f>SUM(Referentie_Fossiele_Energie_Totaal[[#This Row],[A1-A3]:[C4]])+Referentie_Fossiele_Energie_Totaal[[#This Row],[D]]</f>
        <v>0</v>
      </c>
    </row>
    <row r="482" spans="2:19">
      <c r="B482" s="209">
        <f>Baseline!B64</f>
        <v>0</v>
      </c>
      <c r="C482" s="76">
        <f>Baseline!F64</f>
        <v>0</v>
      </c>
      <c r="D482" s="77">
        <f>(IF(Baseline!C64="Nieuwe Situatie",(_xlfn.IFNA(VLOOKUP(Referentie_Fossiele_Energie_Totaal[[#This Row],[Product]]&amp;", "&amp;Referentie_Fossiele_Energie_Totaal[[#Headers],[A1]],Database_Productkaarten[#All],51,FALSE),0)*Baseline!I64),0))</f>
        <v>0</v>
      </c>
      <c r="E482" s="77">
        <f>(IF(Baseline!C64="Nieuwe Situatie",(_xlfn.IFNA(VLOOKUP(Referentie_Fossiele_Energie_Totaal[[#This Row],[Product]]&amp;", "&amp;Referentie_Fossiele_Energie_Totaal[[#Headers],[A2]],Database_Productkaarten[#All],51,FALSE),0)*Baseline!I64),0))</f>
        <v>0</v>
      </c>
      <c r="F482" s="77">
        <f>(IF(Baseline!C64="Nieuwe Situatie",(_xlfn.IFNA(VLOOKUP(Referentie_Fossiele_Energie_Totaal[[#This Row],[Product]]&amp;", "&amp;Referentie_Fossiele_Energie_Totaal[[#Headers],[A3]],Database_Productkaarten[#All],51,FALSE),0)*Baseline!I64),0))</f>
        <v>0</v>
      </c>
      <c r="G482" s="77">
        <f>(IF(Baseline!C64="Nieuwe Situatie",(_xlfn.IFNA(VLOOKUP(Referentie_Fossiele_Energie_Totaal[[#This Row],[Product]]&amp;", "&amp;Referentie_Fossiele_Energie_Totaal[[#Headers],[A1-A3]],Database_Productkaarten[#All],51,FALSE),0)*Baseline!I64),0))</f>
        <v>0</v>
      </c>
      <c r="H482" s="77">
        <f>IF(Baseline!T64=0,(IF(Baseline!C64="Nieuwe Situatie",(_xlfn.IFNA(VLOOKUP(Referentie_Fossiele_Energie_Totaal[[#This Row],[Product]]&amp;", "&amp;Referentie_CO2_Totaal[[#Headers],[A4]],Database_Productkaarten[#All],51,FALSE),0)*Baseline!I64),0)),IF(Baseline!C64="Nieuwe Situatie",_xlfn.IFNA(VLOOKUP(Baseline!T64,Database_Transport[#All],45,FALSE)*(Baseline!Q64*Baseline!S64),Baseline_Backlog!H167),0))</f>
        <v>0</v>
      </c>
      <c r="I482" s="77">
        <f>IF(Baseline!C64="Nieuwe situatie",IF(_xlfn.IFNA((VLOOKUP(Baseline!U64,Database_Asfalt_Aanlegset[#All],45,FALSE)*Baseline!I64),0)+_xlfn.IFNA(VLOOKUP(Baseline!V64,Database_Brandstoffen[#All],45,FALSE)*((Baseline!I64/Baseline!X64)*Baseline!W64),0)&gt;0,_xlfn.IFNA((VLOOKUP(Baseline!U64,Database_Asfalt_Aanlegset[#All],45,FALSE)*Baseline!I64),0)+_xlfn.IFNA(VLOOKUP(Baseline!V64,Database_Brandstoffen[#All],45,FALSE)*((Baseline!I64/Baseline!X64)*Baseline!W64),0),(_xlfn.IFNA(VLOOKUP(Referentie_Fossiele_Energie_Totaal[[#This Row],[Product]]&amp;", "&amp;Referentie_MKI_Totaal[[#Headers],[A5]],Database_Productkaarten[#All],51,FALSE),0)*Baseline!I64)),0)</f>
        <v>0</v>
      </c>
      <c r="J482" s="77">
        <f>(IF(Baseline!C64="Nieuwe Situatie",(_xlfn.IFNA(VLOOKUP(Referentie_Fossiele_Energie_Totaal[[#This Row],[Product]]&amp;", "&amp;Referentie_Fossiele_Energie_Totaal[[#Headers],[B1]],Database_Productkaarten[#All],51,FALSE),0)*Baseline!I64),0))</f>
        <v>0</v>
      </c>
      <c r="K482" s="77">
        <f>(IF(Baseline!C64="Nieuwe Situatie",(SUM(Referentie_Fossiele_Energie_Totaal[[#This Row],[A1]:[B1]],Referentie_Fossiele_Energie_Totaal[[#This Row],[C1]:[D2]])*Baseline!R64),0))</f>
        <v>0</v>
      </c>
      <c r="L482" s="77">
        <f>IF(Baseline!C64="Bestaande situatie",IF(_xlfn.IFNA((VLOOKUP(Baseline!Y64,Database_Asfalt_Verwijderset[#All],45,FALSE)*Baseline!I64),0)+_xlfn.IFNA(VLOOKUP(Baseline!Z64,Database_Brandstoffen[#All],45,FALSE)*((Baseline!I64/Baseline!AB64)*Baseline!AA64),0)&gt;0,_xlfn.IFNA((VLOOKUP(Baseline!Y64,Database_Asfalt_Verwijderset[#All],45,FALSE)*Baseline!I64),0)+_xlfn.IFNA(VLOOKUP(Baseline!Z64,Database_Brandstoffen[#All],45,FALSE)*((Baseline!I64/Baseline!AB64)*Baseline!AA64),0),(_xlfn.IFNA(VLOOKUP(Referentie_Fossiele_Energie_Totaal[[#This Row],[Product]]&amp;", "&amp;Referentie_MKI_Totaal[[#Headers],[C1]],Database_Productkaarten[#All],51,FALSE),0)*Baseline!I64)),0)</f>
        <v>0</v>
      </c>
      <c r="M482" s="77">
        <f>IF(Baseline!AD64=0,(IF(Baseline!C64="Bestaande Situatie",(_xlfn.IFNA(VLOOKUP(Referentie_Fossiele_Energie_Totaal[[#This Row],[Product]]&amp;", "&amp;Referentie_MKI_Totaal[[#Headers],[C2]],Database_Productkaarten[#All],51,FALSE),0)*Baseline!I64),0)),(IF(Baseline!C64="Bestaande Situatie",_xlfn.IFNA(VLOOKUP(Baseline!AD64,Database_Transport[#All],45,FALSE)*(Baseline!Q64*Baseline!AC64),0))))</f>
        <v>0</v>
      </c>
      <c r="N482" s="77">
        <f>(IF(Baseline!C64="Bestaande Situatie",(_xlfn.IFNA(VLOOKUP(Referentie_Fossiele_Energie_Totaal[[#This Row],[Product]]&amp;", "&amp;Referentie_Fossiele_Energie_Totaal[[#Headers],[C3]],Database_Productkaarten[#All],51,FALSE),0)*Baseline!I64),0))</f>
        <v>0</v>
      </c>
      <c r="O482" s="77">
        <f>(IF(Baseline!C64="Bestaande Situatie",(_xlfn.IFNA(VLOOKUP(Referentie_Fossiele_Energie_Totaal[[#This Row],[Product]]&amp;", "&amp;Referentie_Fossiele_Energie_Totaal[[#Headers],[C4]],Database_Productkaarten[#All],51,FALSE),0)*Baseline!I64),0))</f>
        <v>0</v>
      </c>
      <c r="P482" s="77">
        <f>(IF(Baseline!C64="Bestaande Situatie",(_xlfn.IFNA(VLOOKUP(Referentie_Fossiele_Energie_Totaal[[#This Row],[Product]]&amp;", "&amp;Referentie_Fossiele_Energie_Totaal[[#Headers],[D1]],Database_Productkaarten[#All],51,FALSE),0)*Baseline!I64),0))</f>
        <v>0</v>
      </c>
      <c r="Q482" s="78">
        <f>(IF(Baseline!C64="Bestaande Situatie",_xlfn.IFNA(VLOOKUP(Referentie_Fossiele_Energie_Totaal[[#This Row],[Product]]&amp;", "&amp;Referentie_Fossiele_Energie_Totaal[[#Headers],[D2]],Database_Productkaarten[#All],51,FALSE),0)*Baseline!I64,0))</f>
        <v>0</v>
      </c>
      <c r="R482" s="57">
        <f>(IF(Baseline!C64="Bestaande Situatie",_xlfn.IFNA(VLOOKUP(Referentie_Fossiele_Energie_Totaal[[#This Row],[Product]]&amp;", "&amp;Referentie_Fossiele_Energie_Totaal[[#Headers],[D]],Database_Productkaarten[#All],51,FALSE),0)*Baseline!I64,0))</f>
        <v>0</v>
      </c>
      <c r="S482" s="56">
        <f>SUM(Referentie_Fossiele_Energie_Totaal[[#This Row],[A1-A3]:[C4]])+Referentie_Fossiele_Energie_Totaal[[#This Row],[D]]</f>
        <v>0</v>
      </c>
    </row>
    <row r="483" spans="2:19">
      <c r="B483" s="209">
        <f>Baseline!B65</f>
        <v>0</v>
      </c>
      <c r="C483" s="76">
        <f>Baseline!F65</f>
        <v>0</v>
      </c>
      <c r="D483" s="77">
        <f>(IF(Baseline!C65="Nieuwe Situatie",(_xlfn.IFNA(VLOOKUP(Referentie_Fossiele_Energie_Totaal[[#This Row],[Product]]&amp;", "&amp;Referentie_Fossiele_Energie_Totaal[[#Headers],[A1]],Database_Productkaarten[#All],51,FALSE),0)*Baseline!I65),0))</f>
        <v>0</v>
      </c>
      <c r="E483" s="77">
        <f>(IF(Baseline!C65="Nieuwe Situatie",(_xlfn.IFNA(VLOOKUP(Referentie_Fossiele_Energie_Totaal[[#This Row],[Product]]&amp;", "&amp;Referentie_Fossiele_Energie_Totaal[[#Headers],[A2]],Database_Productkaarten[#All],51,FALSE),0)*Baseline!I65),0))</f>
        <v>0</v>
      </c>
      <c r="F483" s="77">
        <f>(IF(Baseline!C65="Nieuwe Situatie",(_xlfn.IFNA(VLOOKUP(Referentie_Fossiele_Energie_Totaal[[#This Row],[Product]]&amp;", "&amp;Referentie_Fossiele_Energie_Totaal[[#Headers],[A3]],Database_Productkaarten[#All],51,FALSE),0)*Baseline!I65),0))</f>
        <v>0</v>
      </c>
      <c r="G483" s="77">
        <f>(IF(Baseline!C65="Nieuwe Situatie",(_xlfn.IFNA(VLOOKUP(Referentie_Fossiele_Energie_Totaal[[#This Row],[Product]]&amp;", "&amp;Referentie_Fossiele_Energie_Totaal[[#Headers],[A1-A3]],Database_Productkaarten[#All],51,FALSE),0)*Baseline!I65),0))</f>
        <v>0</v>
      </c>
      <c r="H483" s="77">
        <f>IF(Baseline!T65=0,(IF(Baseline!C65="Nieuwe Situatie",(_xlfn.IFNA(VLOOKUP(Referentie_Fossiele_Energie_Totaal[[#This Row],[Product]]&amp;", "&amp;Referentie_CO2_Totaal[[#Headers],[A4]],Database_Productkaarten[#All],51,FALSE),0)*Baseline!I65),0)),IF(Baseline!C65="Nieuwe Situatie",_xlfn.IFNA(VLOOKUP(Baseline!T65,Database_Transport[#All],45,FALSE)*(Baseline!Q65*Baseline!S65),Baseline_Backlog!H168),0))</f>
        <v>0</v>
      </c>
      <c r="I483" s="77">
        <f>IF(Baseline!C65="Nieuwe situatie",IF(_xlfn.IFNA((VLOOKUP(Baseline!U65,Database_Asfalt_Aanlegset[#All],45,FALSE)*Baseline!I65),0)+_xlfn.IFNA(VLOOKUP(Baseline!V65,Database_Brandstoffen[#All],45,FALSE)*((Baseline!I65/Baseline!X65)*Baseline!W65),0)&gt;0,_xlfn.IFNA((VLOOKUP(Baseline!U65,Database_Asfalt_Aanlegset[#All],45,FALSE)*Baseline!I65),0)+_xlfn.IFNA(VLOOKUP(Baseline!V65,Database_Brandstoffen[#All],45,FALSE)*((Baseline!I65/Baseline!X65)*Baseline!W65),0),(_xlfn.IFNA(VLOOKUP(Referentie_Fossiele_Energie_Totaal[[#This Row],[Product]]&amp;", "&amp;Referentie_MKI_Totaal[[#Headers],[A5]],Database_Productkaarten[#All],51,FALSE),0)*Baseline!I65)),0)</f>
        <v>0</v>
      </c>
      <c r="J483" s="77">
        <f>(IF(Baseline!C65="Nieuwe Situatie",(_xlfn.IFNA(VLOOKUP(Referentie_Fossiele_Energie_Totaal[[#This Row],[Product]]&amp;", "&amp;Referentie_Fossiele_Energie_Totaal[[#Headers],[B1]],Database_Productkaarten[#All],51,FALSE),0)*Baseline!I65),0))</f>
        <v>0</v>
      </c>
      <c r="K483" s="77">
        <f>(IF(Baseline!C65="Nieuwe Situatie",(SUM(Referentie_Fossiele_Energie_Totaal[[#This Row],[A1]:[B1]],Referentie_Fossiele_Energie_Totaal[[#This Row],[C1]:[D2]])*Baseline!R65),0))</f>
        <v>0</v>
      </c>
      <c r="L483" s="77">
        <f>IF(Baseline!C65="Bestaande situatie",IF(_xlfn.IFNA((VLOOKUP(Baseline!Y65,Database_Asfalt_Verwijderset[#All],45,FALSE)*Baseline!I65),0)+_xlfn.IFNA(VLOOKUP(Baseline!Z65,Database_Brandstoffen[#All],45,FALSE)*((Baseline!I65/Baseline!AB65)*Baseline!AA65),0)&gt;0,_xlfn.IFNA((VLOOKUP(Baseline!Y65,Database_Asfalt_Verwijderset[#All],45,FALSE)*Baseline!I65),0)+_xlfn.IFNA(VLOOKUP(Baseline!Z65,Database_Brandstoffen[#All],45,FALSE)*((Baseline!I65/Baseline!AB65)*Baseline!AA65),0),(_xlfn.IFNA(VLOOKUP(Referentie_Fossiele_Energie_Totaal[[#This Row],[Product]]&amp;", "&amp;Referentie_MKI_Totaal[[#Headers],[C1]],Database_Productkaarten[#All],51,FALSE),0)*Baseline!I65)),0)</f>
        <v>0</v>
      </c>
      <c r="M483" s="77">
        <f>IF(Baseline!AD65=0,(IF(Baseline!C65="Bestaande Situatie",(_xlfn.IFNA(VLOOKUP(Referentie_Fossiele_Energie_Totaal[[#This Row],[Product]]&amp;", "&amp;Referentie_MKI_Totaal[[#Headers],[C2]],Database_Productkaarten[#All],51,FALSE),0)*Baseline!I65),0)),(IF(Baseline!C65="Bestaande Situatie",_xlfn.IFNA(VLOOKUP(Baseline!AD65,Database_Transport[#All],45,FALSE)*(Baseline!Q65*Baseline!AC65),0))))</f>
        <v>0</v>
      </c>
      <c r="N483" s="77">
        <f>(IF(Baseline!C65="Bestaande Situatie",(_xlfn.IFNA(VLOOKUP(Referentie_Fossiele_Energie_Totaal[[#This Row],[Product]]&amp;", "&amp;Referentie_Fossiele_Energie_Totaal[[#Headers],[C3]],Database_Productkaarten[#All],51,FALSE),0)*Baseline!I65),0))</f>
        <v>0</v>
      </c>
      <c r="O483" s="77">
        <f>(IF(Baseline!C65="Bestaande Situatie",(_xlfn.IFNA(VLOOKUP(Referentie_Fossiele_Energie_Totaal[[#This Row],[Product]]&amp;", "&amp;Referentie_Fossiele_Energie_Totaal[[#Headers],[C4]],Database_Productkaarten[#All],51,FALSE),0)*Baseline!I65),0))</f>
        <v>0</v>
      </c>
      <c r="P483" s="77">
        <f>(IF(Baseline!C65="Bestaande Situatie",(_xlfn.IFNA(VLOOKUP(Referentie_Fossiele_Energie_Totaal[[#This Row],[Product]]&amp;", "&amp;Referentie_Fossiele_Energie_Totaal[[#Headers],[D1]],Database_Productkaarten[#All],51,FALSE),0)*Baseline!I65),0))</f>
        <v>0</v>
      </c>
      <c r="Q483" s="78">
        <f>(IF(Baseline!C65="Bestaande Situatie",_xlfn.IFNA(VLOOKUP(Referentie_Fossiele_Energie_Totaal[[#This Row],[Product]]&amp;", "&amp;Referentie_Fossiele_Energie_Totaal[[#Headers],[D2]],Database_Productkaarten[#All],51,FALSE),0)*Baseline!I65,0))</f>
        <v>0</v>
      </c>
      <c r="R483" s="57">
        <f>(IF(Baseline!C65="Bestaande Situatie",_xlfn.IFNA(VLOOKUP(Referentie_Fossiele_Energie_Totaal[[#This Row],[Product]]&amp;", "&amp;Referentie_Fossiele_Energie_Totaal[[#Headers],[D]],Database_Productkaarten[#All],51,FALSE),0)*Baseline!I65,0))</f>
        <v>0</v>
      </c>
      <c r="S483" s="56">
        <f>SUM(Referentie_Fossiele_Energie_Totaal[[#This Row],[A1-A3]:[C4]])+Referentie_Fossiele_Energie_Totaal[[#This Row],[D]]</f>
        <v>0</v>
      </c>
    </row>
    <row r="484" spans="2:19">
      <c r="B484" s="209">
        <f>Baseline!B66</f>
        <v>0</v>
      </c>
      <c r="C484" s="76">
        <f>Baseline!F66</f>
        <v>0</v>
      </c>
      <c r="D484" s="77">
        <f>(IF(Baseline!C66="Nieuwe Situatie",(_xlfn.IFNA(VLOOKUP(Referentie_Fossiele_Energie_Totaal[[#This Row],[Product]]&amp;", "&amp;Referentie_Fossiele_Energie_Totaal[[#Headers],[A1]],Database_Productkaarten[#All],51,FALSE),0)*Baseline!I66),0))</f>
        <v>0</v>
      </c>
      <c r="E484" s="77">
        <f>(IF(Baseline!C66="Nieuwe Situatie",(_xlfn.IFNA(VLOOKUP(Referentie_Fossiele_Energie_Totaal[[#This Row],[Product]]&amp;", "&amp;Referentie_Fossiele_Energie_Totaal[[#Headers],[A2]],Database_Productkaarten[#All],51,FALSE),0)*Baseline!I66),0))</f>
        <v>0</v>
      </c>
      <c r="F484" s="77">
        <f>(IF(Baseline!C66="Nieuwe Situatie",(_xlfn.IFNA(VLOOKUP(Referentie_Fossiele_Energie_Totaal[[#This Row],[Product]]&amp;", "&amp;Referentie_Fossiele_Energie_Totaal[[#Headers],[A3]],Database_Productkaarten[#All],51,FALSE),0)*Baseline!I66),0))</f>
        <v>0</v>
      </c>
      <c r="G484" s="77">
        <f>(IF(Baseline!C66="Nieuwe Situatie",(_xlfn.IFNA(VLOOKUP(Referentie_Fossiele_Energie_Totaal[[#This Row],[Product]]&amp;", "&amp;Referentie_Fossiele_Energie_Totaal[[#Headers],[A1-A3]],Database_Productkaarten[#All],51,FALSE),0)*Baseline!I66),0))</f>
        <v>0</v>
      </c>
      <c r="H484" s="77">
        <f>IF(Baseline!T66=0,(IF(Baseline!C66="Nieuwe Situatie",(_xlfn.IFNA(VLOOKUP(Referentie_Fossiele_Energie_Totaal[[#This Row],[Product]]&amp;", "&amp;Referentie_CO2_Totaal[[#Headers],[A4]],Database_Productkaarten[#All],51,FALSE),0)*Baseline!I66),0)),IF(Baseline!C66="Nieuwe Situatie",_xlfn.IFNA(VLOOKUP(Baseline!T66,Database_Transport[#All],45,FALSE)*(Baseline!Q66*Baseline!S66),Baseline_Backlog!H169),0))</f>
        <v>0</v>
      </c>
      <c r="I484" s="77">
        <f>IF(Baseline!C66="Nieuwe situatie",IF(_xlfn.IFNA((VLOOKUP(Baseline!U66,Database_Asfalt_Aanlegset[#All],45,FALSE)*Baseline!I66),0)+_xlfn.IFNA(VLOOKUP(Baseline!V66,Database_Brandstoffen[#All],45,FALSE)*((Baseline!I66/Baseline!X66)*Baseline!W66),0)&gt;0,_xlfn.IFNA((VLOOKUP(Baseline!U66,Database_Asfalt_Aanlegset[#All],45,FALSE)*Baseline!I66),0)+_xlfn.IFNA(VLOOKUP(Baseline!V66,Database_Brandstoffen[#All],45,FALSE)*((Baseline!I66/Baseline!X66)*Baseline!W66),0),(_xlfn.IFNA(VLOOKUP(Referentie_Fossiele_Energie_Totaal[[#This Row],[Product]]&amp;", "&amp;Referentie_MKI_Totaal[[#Headers],[A5]],Database_Productkaarten[#All],51,FALSE),0)*Baseline!I66)),0)</f>
        <v>0</v>
      </c>
      <c r="J484" s="77">
        <f>(IF(Baseline!C66="Nieuwe Situatie",(_xlfn.IFNA(VLOOKUP(Referentie_Fossiele_Energie_Totaal[[#This Row],[Product]]&amp;", "&amp;Referentie_Fossiele_Energie_Totaal[[#Headers],[B1]],Database_Productkaarten[#All],51,FALSE),0)*Baseline!I66),0))</f>
        <v>0</v>
      </c>
      <c r="K484" s="77">
        <f>(IF(Baseline!C66="Nieuwe Situatie",(SUM(Referentie_Fossiele_Energie_Totaal[[#This Row],[A1]:[B1]],Referentie_Fossiele_Energie_Totaal[[#This Row],[C1]:[D2]])*Baseline!R66),0))</f>
        <v>0</v>
      </c>
      <c r="L484" s="77">
        <f>IF(Baseline!C66="Bestaande situatie",IF(_xlfn.IFNA((VLOOKUP(Baseline!Y66,Database_Asfalt_Verwijderset[#All],45,FALSE)*Baseline!I66),0)+_xlfn.IFNA(VLOOKUP(Baseline!Z66,Database_Brandstoffen[#All],45,FALSE)*((Baseline!I66/Baseline!AB66)*Baseline!AA66),0)&gt;0,_xlfn.IFNA((VLOOKUP(Baseline!Y66,Database_Asfalt_Verwijderset[#All],45,FALSE)*Baseline!I66),0)+_xlfn.IFNA(VLOOKUP(Baseline!Z66,Database_Brandstoffen[#All],45,FALSE)*((Baseline!I66/Baseline!AB66)*Baseline!AA66),0),(_xlfn.IFNA(VLOOKUP(Referentie_Fossiele_Energie_Totaal[[#This Row],[Product]]&amp;", "&amp;Referentie_MKI_Totaal[[#Headers],[C1]],Database_Productkaarten[#All],51,FALSE),0)*Baseline!I66)),0)</f>
        <v>0</v>
      </c>
      <c r="M484" s="77">
        <f>IF(Baseline!AD66=0,(IF(Baseline!C66="Bestaande Situatie",(_xlfn.IFNA(VLOOKUP(Referentie_Fossiele_Energie_Totaal[[#This Row],[Product]]&amp;", "&amp;Referentie_MKI_Totaal[[#Headers],[C2]],Database_Productkaarten[#All],51,FALSE),0)*Baseline!I66),0)),(IF(Baseline!C66="Bestaande Situatie",_xlfn.IFNA(VLOOKUP(Baseline!AD66,Database_Transport[#All],45,FALSE)*(Baseline!Q66*Baseline!AC66),0))))</f>
        <v>0</v>
      </c>
      <c r="N484" s="77">
        <f>(IF(Baseline!C66="Bestaande Situatie",(_xlfn.IFNA(VLOOKUP(Referentie_Fossiele_Energie_Totaal[[#This Row],[Product]]&amp;", "&amp;Referentie_Fossiele_Energie_Totaal[[#Headers],[C3]],Database_Productkaarten[#All],51,FALSE),0)*Baseline!I66),0))</f>
        <v>0</v>
      </c>
      <c r="O484" s="77">
        <f>(IF(Baseline!C66="Bestaande Situatie",(_xlfn.IFNA(VLOOKUP(Referentie_Fossiele_Energie_Totaal[[#This Row],[Product]]&amp;", "&amp;Referentie_Fossiele_Energie_Totaal[[#Headers],[C4]],Database_Productkaarten[#All],51,FALSE),0)*Baseline!I66),0))</f>
        <v>0</v>
      </c>
      <c r="P484" s="77">
        <f>(IF(Baseline!C66="Bestaande Situatie",(_xlfn.IFNA(VLOOKUP(Referentie_Fossiele_Energie_Totaal[[#This Row],[Product]]&amp;", "&amp;Referentie_Fossiele_Energie_Totaal[[#Headers],[D1]],Database_Productkaarten[#All],51,FALSE),0)*Baseline!I66),0))</f>
        <v>0</v>
      </c>
      <c r="Q484" s="78">
        <f>(IF(Baseline!C66="Bestaande Situatie",_xlfn.IFNA(VLOOKUP(Referentie_Fossiele_Energie_Totaal[[#This Row],[Product]]&amp;", "&amp;Referentie_Fossiele_Energie_Totaal[[#Headers],[D2]],Database_Productkaarten[#All],51,FALSE),0)*Baseline!I66,0))</f>
        <v>0</v>
      </c>
      <c r="R484" s="57">
        <f>(IF(Baseline!C66="Bestaande Situatie",_xlfn.IFNA(VLOOKUP(Referentie_Fossiele_Energie_Totaal[[#This Row],[Product]]&amp;", "&amp;Referentie_Fossiele_Energie_Totaal[[#Headers],[D]],Database_Productkaarten[#All],51,FALSE),0)*Baseline!I66,0))</f>
        <v>0</v>
      </c>
      <c r="S484" s="56">
        <f>SUM(Referentie_Fossiele_Energie_Totaal[[#This Row],[A1-A3]:[C4]])+Referentie_Fossiele_Energie_Totaal[[#This Row],[D]]</f>
        <v>0</v>
      </c>
    </row>
    <row r="485" spans="2:19">
      <c r="B485" s="209">
        <f>Baseline!B67</f>
        <v>0</v>
      </c>
      <c r="C485" s="76">
        <f>Baseline!F67</f>
        <v>0</v>
      </c>
      <c r="D485" s="77">
        <f>(IF(Baseline!C67="Nieuwe Situatie",(_xlfn.IFNA(VLOOKUP(Referentie_Fossiele_Energie_Totaal[[#This Row],[Product]]&amp;", "&amp;Referentie_Fossiele_Energie_Totaal[[#Headers],[A1]],Database_Productkaarten[#All],51,FALSE),0)*Baseline!I67),0))</f>
        <v>0</v>
      </c>
      <c r="E485" s="77">
        <f>(IF(Baseline!C67="Nieuwe Situatie",(_xlfn.IFNA(VLOOKUP(Referentie_Fossiele_Energie_Totaal[[#This Row],[Product]]&amp;", "&amp;Referentie_Fossiele_Energie_Totaal[[#Headers],[A2]],Database_Productkaarten[#All],51,FALSE),0)*Baseline!I67),0))</f>
        <v>0</v>
      </c>
      <c r="F485" s="77">
        <f>(IF(Baseline!C67="Nieuwe Situatie",(_xlfn.IFNA(VLOOKUP(Referentie_Fossiele_Energie_Totaal[[#This Row],[Product]]&amp;", "&amp;Referentie_Fossiele_Energie_Totaal[[#Headers],[A3]],Database_Productkaarten[#All],51,FALSE),0)*Baseline!I67),0))</f>
        <v>0</v>
      </c>
      <c r="G485" s="77">
        <f>(IF(Baseline!C67="Nieuwe Situatie",(_xlfn.IFNA(VLOOKUP(Referentie_Fossiele_Energie_Totaal[[#This Row],[Product]]&amp;", "&amp;Referentie_Fossiele_Energie_Totaal[[#Headers],[A1-A3]],Database_Productkaarten[#All],51,FALSE),0)*Baseline!I67),0))</f>
        <v>0</v>
      </c>
      <c r="H485" s="77">
        <f>IF(Baseline!T67=0,(IF(Baseline!C67="Nieuwe Situatie",(_xlfn.IFNA(VLOOKUP(Referentie_Fossiele_Energie_Totaal[[#This Row],[Product]]&amp;", "&amp;Referentie_CO2_Totaal[[#Headers],[A4]],Database_Productkaarten[#All],51,FALSE),0)*Baseline!I67),0)),IF(Baseline!C67="Nieuwe Situatie",_xlfn.IFNA(VLOOKUP(Baseline!T67,Database_Transport[#All],45,FALSE)*(Baseline!Q67*Baseline!S67),Baseline_Backlog!H170),0))</f>
        <v>0</v>
      </c>
      <c r="I485" s="77">
        <f>IF(Baseline!C67="Nieuwe situatie",IF(_xlfn.IFNA((VLOOKUP(Baseline!U67,Database_Asfalt_Aanlegset[#All],45,FALSE)*Baseline!I67),0)+_xlfn.IFNA(VLOOKUP(Baseline!V67,Database_Brandstoffen[#All],45,FALSE)*((Baseline!I67/Baseline!X67)*Baseline!W67),0)&gt;0,_xlfn.IFNA((VLOOKUP(Baseline!U67,Database_Asfalt_Aanlegset[#All],45,FALSE)*Baseline!I67),0)+_xlfn.IFNA(VLOOKUP(Baseline!V67,Database_Brandstoffen[#All],45,FALSE)*((Baseline!I67/Baseline!X67)*Baseline!W67),0),(_xlfn.IFNA(VLOOKUP(Referentie_Fossiele_Energie_Totaal[[#This Row],[Product]]&amp;", "&amp;Referentie_MKI_Totaal[[#Headers],[A5]],Database_Productkaarten[#All],51,FALSE),0)*Baseline!I67)),0)</f>
        <v>0</v>
      </c>
      <c r="J485" s="77">
        <f>(IF(Baseline!C67="Nieuwe Situatie",(_xlfn.IFNA(VLOOKUP(Referentie_Fossiele_Energie_Totaal[[#This Row],[Product]]&amp;", "&amp;Referentie_Fossiele_Energie_Totaal[[#Headers],[B1]],Database_Productkaarten[#All],51,FALSE),0)*Baseline!I67),0))</f>
        <v>0</v>
      </c>
      <c r="K485" s="77">
        <f>(IF(Baseline!C67="Nieuwe Situatie",(SUM(Referentie_Fossiele_Energie_Totaal[[#This Row],[A1]:[B1]],Referentie_Fossiele_Energie_Totaal[[#This Row],[C1]:[D2]])*Baseline!R67),0))</f>
        <v>0</v>
      </c>
      <c r="L485" s="77">
        <f>IF(Baseline!C67="Bestaande situatie",IF(_xlfn.IFNA((VLOOKUP(Baseline!Y67,Database_Asfalt_Verwijderset[#All],45,FALSE)*Baseline!I67),0)+_xlfn.IFNA(VLOOKUP(Baseline!Z67,Database_Brandstoffen[#All],45,FALSE)*((Baseline!I67/Baseline!AB67)*Baseline!AA67),0)&gt;0,_xlfn.IFNA((VLOOKUP(Baseline!Y67,Database_Asfalt_Verwijderset[#All],45,FALSE)*Baseline!I67),0)+_xlfn.IFNA(VLOOKUP(Baseline!Z67,Database_Brandstoffen[#All],45,FALSE)*((Baseline!I67/Baseline!AB67)*Baseline!AA67),0),(_xlfn.IFNA(VLOOKUP(Referentie_Fossiele_Energie_Totaal[[#This Row],[Product]]&amp;", "&amp;Referentie_MKI_Totaal[[#Headers],[C1]],Database_Productkaarten[#All],51,FALSE),0)*Baseline!I67)),0)</f>
        <v>0</v>
      </c>
      <c r="M485" s="77">
        <f>IF(Baseline!AD67=0,(IF(Baseline!C67="Bestaande Situatie",(_xlfn.IFNA(VLOOKUP(Referentie_Fossiele_Energie_Totaal[[#This Row],[Product]]&amp;", "&amp;Referentie_MKI_Totaal[[#Headers],[C2]],Database_Productkaarten[#All],51,FALSE),0)*Baseline!I67),0)),(IF(Baseline!C67="Bestaande Situatie",_xlfn.IFNA(VLOOKUP(Baseline!AD67,Database_Transport[#All],45,FALSE)*(Baseline!Q67*Baseline!AC67),0))))</f>
        <v>0</v>
      </c>
      <c r="N485" s="77">
        <f>(IF(Baseline!C67="Bestaande Situatie",(_xlfn.IFNA(VLOOKUP(Referentie_Fossiele_Energie_Totaal[[#This Row],[Product]]&amp;", "&amp;Referentie_Fossiele_Energie_Totaal[[#Headers],[C3]],Database_Productkaarten[#All],51,FALSE),0)*Baseline!I67),0))</f>
        <v>0</v>
      </c>
      <c r="O485" s="77">
        <f>(IF(Baseline!C67="Bestaande Situatie",(_xlfn.IFNA(VLOOKUP(Referentie_Fossiele_Energie_Totaal[[#This Row],[Product]]&amp;", "&amp;Referentie_Fossiele_Energie_Totaal[[#Headers],[C4]],Database_Productkaarten[#All],51,FALSE),0)*Baseline!I67),0))</f>
        <v>0</v>
      </c>
      <c r="P485" s="77">
        <f>(IF(Baseline!C67="Bestaande Situatie",(_xlfn.IFNA(VLOOKUP(Referentie_Fossiele_Energie_Totaal[[#This Row],[Product]]&amp;", "&amp;Referentie_Fossiele_Energie_Totaal[[#Headers],[D1]],Database_Productkaarten[#All],51,FALSE),0)*Baseline!I67),0))</f>
        <v>0</v>
      </c>
      <c r="Q485" s="78">
        <f>(IF(Baseline!C67="Bestaande Situatie",_xlfn.IFNA(VLOOKUP(Referentie_Fossiele_Energie_Totaal[[#This Row],[Product]]&amp;", "&amp;Referentie_Fossiele_Energie_Totaal[[#Headers],[D2]],Database_Productkaarten[#All],51,FALSE),0)*Baseline!I67,0))</f>
        <v>0</v>
      </c>
      <c r="R485" s="57">
        <f>(IF(Baseline!C67="Bestaande Situatie",_xlfn.IFNA(VLOOKUP(Referentie_Fossiele_Energie_Totaal[[#This Row],[Product]]&amp;", "&amp;Referentie_Fossiele_Energie_Totaal[[#Headers],[D]],Database_Productkaarten[#All],51,FALSE),0)*Baseline!I67,0))</f>
        <v>0</v>
      </c>
      <c r="S485" s="56">
        <f>SUM(Referentie_Fossiele_Energie_Totaal[[#This Row],[A1-A3]:[C4]])+Referentie_Fossiele_Energie_Totaal[[#This Row],[D]]</f>
        <v>0</v>
      </c>
    </row>
    <row r="486" spans="2:19">
      <c r="B486" s="209">
        <f>Baseline!B68</f>
        <v>0</v>
      </c>
      <c r="C486" s="76">
        <f>Baseline!F68</f>
        <v>0</v>
      </c>
      <c r="D486" s="77">
        <f>(IF(Baseline!C68="Nieuwe Situatie",(_xlfn.IFNA(VLOOKUP(Referentie_Fossiele_Energie_Totaal[[#This Row],[Product]]&amp;", "&amp;Referentie_Fossiele_Energie_Totaal[[#Headers],[A1]],Database_Productkaarten[#All],51,FALSE),0)*Baseline!I68),0))</f>
        <v>0</v>
      </c>
      <c r="E486" s="77">
        <f>(IF(Baseline!C68="Nieuwe Situatie",(_xlfn.IFNA(VLOOKUP(Referentie_Fossiele_Energie_Totaal[[#This Row],[Product]]&amp;", "&amp;Referentie_Fossiele_Energie_Totaal[[#Headers],[A2]],Database_Productkaarten[#All],51,FALSE),0)*Baseline!I68),0))</f>
        <v>0</v>
      </c>
      <c r="F486" s="77">
        <f>(IF(Baseline!C68="Nieuwe Situatie",(_xlfn.IFNA(VLOOKUP(Referentie_Fossiele_Energie_Totaal[[#This Row],[Product]]&amp;", "&amp;Referentie_Fossiele_Energie_Totaal[[#Headers],[A3]],Database_Productkaarten[#All],51,FALSE),0)*Baseline!I68),0))</f>
        <v>0</v>
      </c>
      <c r="G486" s="77">
        <f>(IF(Baseline!C68="Nieuwe Situatie",(_xlfn.IFNA(VLOOKUP(Referentie_Fossiele_Energie_Totaal[[#This Row],[Product]]&amp;", "&amp;Referentie_Fossiele_Energie_Totaal[[#Headers],[A1-A3]],Database_Productkaarten[#All],51,FALSE),0)*Baseline!I68),0))</f>
        <v>0</v>
      </c>
      <c r="H486" s="77">
        <f>IF(Baseline!T68=0,(IF(Baseline!C68="Nieuwe Situatie",(_xlfn.IFNA(VLOOKUP(Referentie_Fossiele_Energie_Totaal[[#This Row],[Product]]&amp;", "&amp;Referentie_CO2_Totaal[[#Headers],[A4]],Database_Productkaarten[#All],51,FALSE),0)*Baseline!I68),0)),IF(Baseline!C68="Nieuwe Situatie",_xlfn.IFNA(VLOOKUP(Baseline!T68,Database_Transport[#All],45,FALSE)*(Baseline!Q68*Baseline!S68),Baseline_Backlog!H171),0))</f>
        <v>0</v>
      </c>
      <c r="I486" s="77">
        <f>IF(Baseline!C68="Nieuwe situatie",IF(_xlfn.IFNA((VLOOKUP(Baseline!U68,Database_Asfalt_Aanlegset[#All],45,FALSE)*Baseline!I68),0)+_xlfn.IFNA(VLOOKUP(Baseline!V68,Database_Brandstoffen[#All],45,FALSE)*((Baseline!I68/Baseline!X68)*Baseline!W68),0)&gt;0,_xlfn.IFNA((VLOOKUP(Baseline!U68,Database_Asfalt_Aanlegset[#All],45,FALSE)*Baseline!I68),0)+_xlfn.IFNA(VLOOKUP(Baseline!V68,Database_Brandstoffen[#All],45,FALSE)*((Baseline!I68/Baseline!X68)*Baseline!W68),0),(_xlfn.IFNA(VLOOKUP(Referentie_Fossiele_Energie_Totaal[[#This Row],[Product]]&amp;", "&amp;Referentie_MKI_Totaal[[#Headers],[A5]],Database_Productkaarten[#All],51,FALSE),0)*Baseline!I68)),0)</f>
        <v>0</v>
      </c>
      <c r="J486" s="77">
        <f>(IF(Baseline!C68="Nieuwe Situatie",(_xlfn.IFNA(VLOOKUP(Referentie_Fossiele_Energie_Totaal[[#This Row],[Product]]&amp;", "&amp;Referentie_Fossiele_Energie_Totaal[[#Headers],[B1]],Database_Productkaarten[#All],51,FALSE),0)*Baseline!I68),0))</f>
        <v>0</v>
      </c>
      <c r="K486" s="77">
        <f>(IF(Baseline!C68="Nieuwe Situatie",(SUM(Referentie_Fossiele_Energie_Totaal[[#This Row],[A1]:[B1]],Referentie_Fossiele_Energie_Totaal[[#This Row],[C1]:[D2]])*Baseline!R68),0))</f>
        <v>0</v>
      </c>
      <c r="L486" s="77">
        <f>IF(Baseline!C68="Bestaande situatie",IF(_xlfn.IFNA((VLOOKUP(Baseline!Y68,Database_Asfalt_Verwijderset[#All],45,FALSE)*Baseline!I68),0)+_xlfn.IFNA(VLOOKUP(Baseline!Z68,Database_Brandstoffen[#All],45,FALSE)*((Baseline!I68/Baseline!AB68)*Baseline!AA68),0)&gt;0,_xlfn.IFNA((VLOOKUP(Baseline!Y68,Database_Asfalt_Verwijderset[#All],45,FALSE)*Baseline!I68),0)+_xlfn.IFNA(VLOOKUP(Baseline!Z68,Database_Brandstoffen[#All],45,FALSE)*((Baseline!I68/Baseline!AB68)*Baseline!AA68),0),(_xlfn.IFNA(VLOOKUP(Referentie_Fossiele_Energie_Totaal[[#This Row],[Product]]&amp;", "&amp;Referentie_MKI_Totaal[[#Headers],[C1]],Database_Productkaarten[#All],51,FALSE),0)*Baseline!I68)),0)</f>
        <v>0</v>
      </c>
      <c r="M486" s="77">
        <f>IF(Baseline!AD68=0,(IF(Baseline!C68="Bestaande Situatie",(_xlfn.IFNA(VLOOKUP(Referentie_Fossiele_Energie_Totaal[[#This Row],[Product]]&amp;", "&amp;Referentie_MKI_Totaal[[#Headers],[C2]],Database_Productkaarten[#All],51,FALSE),0)*Baseline!I68),0)),(IF(Baseline!C68="Bestaande Situatie",_xlfn.IFNA(VLOOKUP(Baseline!AD68,Database_Transport[#All],45,FALSE)*(Baseline!Q68*Baseline!AC68),0))))</f>
        <v>0</v>
      </c>
      <c r="N486" s="77">
        <f>(IF(Baseline!C68="Bestaande Situatie",(_xlfn.IFNA(VLOOKUP(Referentie_Fossiele_Energie_Totaal[[#This Row],[Product]]&amp;", "&amp;Referentie_Fossiele_Energie_Totaal[[#Headers],[C3]],Database_Productkaarten[#All],51,FALSE),0)*Baseline!I68),0))</f>
        <v>0</v>
      </c>
      <c r="O486" s="77">
        <f>(IF(Baseline!C68="Bestaande Situatie",(_xlfn.IFNA(VLOOKUP(Referentie_Fossiele_Energie_Totaal[[#This Row],[Product]]&amp;", "&amp;Referentie_Fossiele_Energie_Totaal[[#Headers],[C4]],Database_Productkaarten[#All],51,FALSE),0)*Baseline!I68),0))</f>
        <v>0</v>
      </c>
      <c r="P486" s="77">
        <f>(IF(Baseline!C68="Bestaande Situatie",(_xlfn.IFNA(VLOOKUP(Referentie_Fossiele_Energie_Totaal[[#This Row],[Product]]&amp;", "&amp;Referentie_Fossiele_Energie_Totaal[[#Headers],[D1]],Database_Productkaarten[#All],51,FALSE),0)*Baseline!I68),0))</f>
        <v>0</v>
      </c>
      <c r="Q486" s="78">
        <f>(IF(Baseline!C68="Bestaande Situatie",_xlfn.IFNA(VLOOKUP(Referentie_Fossiele_Energie_Totaal[[#This Row],[Product]]&amp;", "&amp;Referentie_Fossiele_Energie_Totaal[[#Headers],[D2]],Database_Productkaarten[#All],51,FALSE),0)*Baseline!I68,0))</f>
        <v>0</v>
      </c>
      <c r="R486" s="57">
        <f>(IF(Baseline!C68="Bestaande Situatie",_xlfn.IFNA(VLOOKUP(Referentie_Fossiele_Energie_Totaal[[#This Row],[Product]]&amp;", "&amp;Referentie_Fossiele_Energie_Totaal[[#Headers],[D]],Database_Productkaarten[#All],51,FALSE),0)*Baseline!I68,0))</f>
        <v>0</v>
      </c>
      <c r="S486" s="56">
        <f>SUM(Referentie_Fossiele_Energie_Totaal[[#This Row],[A1-A3]:[C4]])+Referentie_Fossiele_Energie_Totaal[[#This Row],[D]]</f>
        <v>0</v>
      </c>
    </row>
    <row r="487" spans="2:19">
      <c r="B487" s="209">
        <f>Baseline!B69</f>
        <v>0</v>
      </c>
      <c r="C487" s="76">
        <f>Baseline!F69</f>
        <v>0</v>
      </c>
      <c r="D487" s="77">
        <f>(IF(Baseline!C69="Nieuwe Situatie",(_xlfn.IFNA(VLOOKUP(Referentie_Fossiele_Energie_Totaal[[#This Row],[Product]]&amp;", "&amp;Referentie_Fossiele_Energie_Totaal[[#Headers],[A1]],Database_Productkaarten[#All],51,FALSE),0)*Baseline!I69),0))</f>
        <v>0</v>
      </c>
      <c r="E487" s="77">
        <f>(IF(Baseline!C69="Nieuwe Situatie",(_xlfn.IFNA(VLOOKUP(Referentie_Fossiele_Energie_Totaal[[#This Row],[Product]]&amp;", "&amp;Referentie_Fossiele_Energie_Totaal[[#Headers],[A2]],Database_Productkaarten[#All],51,FALSE),0)*Baseline!I69),0))</f>
        <v>0</v>
      </c>
      <c r="F487" s="77">
        <f>(IF(Baseline!C69="Nieuwe Situatie",(_xlfn.IFNA(VLOOKUP(Referentie_Fossiele_Energie_Totaal[[#This Row],[Product]]&amp;", "&amp;Referentie_Fossiele_Energie_Totaal[[#Headers],[A3]],Database_Productkaarten[#All],51,FALSE),0)*Baseline!I69),0))</f>
        <v>0</v>
      </c>
      <c r="G487" s="77">
        <f>(IF(Baseline!C69="Nieuwe Situatie",(_xlfn.IFNA(VLOOKUP(Referentie_Fossiele_Energie_Totaal[[#This Row],[Product]]&amp;", "&amp;Referentie_Fossiele_Energie_Totaal[[#Headers],[A1-A3]],Database_Productkaarten[#All],51,FALSE),0)*Baseline!I69),0))</f>
        <v>0</v>
      </c>
      <c r="H487" s="77">
        <f>IF(Baseline!T69=0,(IF(Baseline!C69="Nieuwe Situatie",(_xlfn.IFNA(VLOOKUP(Referentie_Fossiele_Energie_Totaal[[#This Row],[Product]]&amp;", "&amp;Referentie_CO2_Totaal[[#Headers],[A4]],Database_Productkaarten[#All],51,FALSE),0)*Baseline!I69),0)),IF(Baseline!C69="Nieuwe Situatie",_xlfn.IFNA(VLOOKUP(Baseline!T69,Database_Transport[#All],45,FALSE)*(Baseline!Q69*Baseline!S69),Baseline_Backlog!H172),0))</f>
        <v>0</v>
      </c>
      <c r="I487" s="77">
        <f>IF(Baseline!C69="Nieuwe situatie",IF(_xlfn.IFNA((VLOOKUP(Baseline!U69,Database_Asfalt_Aanlegset[#All],45,FALSE)*Baseline!I69),0)+_xlfn.IFNA(VLOOKUP(Baseline!V69,Database_Brandstoffen[#All],45,FALSE)*((Baseline!I69/Baseline!X69)*Baseline!W69),0)&gt;0,_xlfn.IFNA((VLOOKUP(Baseline!U69,Database_Asfalt_Aanlegset[#All],45,FALSE)*Baseline!I69),0)+_xlfn.IFNA(VLOOKUP(Baseline!V69,Database_Brandstoffen[#All],45,FALSE)*((Baseline!I69/Baseline!X69)*Baseline!W69),0),(_xlfn.IFNA(VLOOKUP(Referentie_Fossiele_Energie_Totaal[[#This Row],[Product]]&amp;", "&amp;Referentie_MKI_Totaal[[#Headers],[A5]],Database_Productkaarten[#All],51,FALSE),0)*Baseline!I69)),0)</f>
        <v>0</v>
      </c>
      <c r="J487" s="77">
        <f>(IF(Baseline!C69="Nieuwe Situatie",(_xlfn.IFNA(VLOOKUP(Referentie_Fossiele_Energie_Totaal[[#This Row],[Product]]&amp;", "&amp;Referentie_Fossiele_Energie_Totaal[[#Headers],[B1]],Database_Productkaarten[#All],51,FALSE),0)*Baseline!I69),0))</f>
        <v>0</v>
      </c>
      <c r="K487" s="77">
        <f>(IF(Baseline!C69="Nieuwe Situatie",(SUM(Referentie_Fossiele_Energie_Totaal[[#This Row],[A1]:[B1]],Referentie_Fossiele_Energie_Totaal[[#This Row],[C1]:[D2]])*Baseline!R69),0))</f>
        <v>0</v>
      </c>
      <c r="L487" s="77">
        <f>IF(Baseline!C69="Bestaande situatie",IF(_xlfn.IFNA((VLOOKUP(Baseline!Y69,Database_Asfalt_Verwijderset[#All],45,FALSE)*Baseline!I69),0)+_xlfn.IFNA(VLOOKUP(Baseline!Z69,Database_Brandstoffen[#All],45,FALSE)*((Baseline!I69/Baseline!AB69)*Baseline!AA69),0)&gt;0,_xlfn.IFNA((VLOOKUP(Baseline!Y69,Database_Asfalt_Verwijderset[#All],45,FALSE)*Baseline!I69),0)+_xlfn.IFNA(VLOOKUP(Baseline!Z69,Database_Brandstoffen[#All],45,FALSE)*((Baseline!I69/Baseline!AB69)*Baseline!AA69),0),(_xlfn.IFNA(VLOOKUP(Referentie_Fossiele_Energie_Totaal[[#This Row],[Product]]&amp;", "&amp;Referentie_MKI_Totaal[[#Headers],[C1]],Database_Productkaarten[#All],51,FALSE),0)*Baseline!I69)),0)</f>
        <v>0</v>
      </c>
      <c r="M487" s="77">
        <f>IF(Baseline!AD69=0,(IF(Baseline!C69="Bestaande Situatie",(_xlfn.IFNA(VLOOKUP(Referentie_Fossiele_Energie_Totaal[[#This Row],[Product]]&amp;", "&amp;Referentie_MKI_Totaal[[#Headers],[C2]],Database_Productkaarten[#All],51,FALSE),0)*Baseline!I69),0)),(IF(Baseline!C69="Bestaande Situatie",_xlfn.IFNA(VLOOKUP(Baseline!AD69,Database_Transport[#All],45,FALSE)*(Baseline!Q69*Baseline!AC69),0))))</f>
        <v>0</v>
      </c>
      <c r="N487" s="77">
        <f>(IF(Baseline!C69="Bestaande Situatie",(_xlfn.IFNA(VLOOKUP(Referentie_Fossiele_Energie_Totaal[[#This Row],[Product]]&amp;", "&amp;Referentie_Fossiele_Energie_Totaal[[#Headers],[C3]],Database_Productkaarten[#All],51,FALSE),0)*Baseline!I69),0))</f>
        <v>0</v>
      </c>
      <c r="O487" s="77">
        <f>(IF(Baseline!C69="Bestaande Situatie",(_xlfn.IFNA(VLOOKUP(Referentie_Fossiele_Energie_Totaal[[#This Row],[Product]]&amp;", "&amp;Referentie_Fossiele_Energie_Totaal[[#Headers],[C4]],Database_Productkaarten[#All],51,FALSE),0)*Baseline!I69),0))</f>
        <v>0</v>
      </c>
      <c r="P487" s="77">
        <f>(IF(Baseline!C69="Bestaande Situatie",(_xlfn.IFNA(VLOOKUP(Referentie_Fossiele_Energie_Totaal[[#This Row],[Product]]&amp;", "&amp;Referentie_Fossiele_Energie_Totaal[[#Headers],[D1]],Database_Productkaarten[#All],51,FALSE),0)*Baseline!I69),0))</f>
        <v>0</v>
      </c>
      <c r="Q487" s="78">
        <f>(IF(Baseline!C69="Bestaande Situatie",_xlfn.IFNA(VLOOKUP(Referentie_Fossiele_Energie_Totaal[[#This Row],[Product]]&amp;", "&amp;Referentie_Fossiele_Energie_Totaal[[#Headers],[D2]],Database_Productkaarten[#All],51,FALSE),0)*Baseline!I69,0))</f>
        <v>0</v>
      </c>
      <c r="R487" s="57">
        <f>(IF(Baseline!C69="Bestaande Situatie",_xlfn.IFNA(VLOOKUP(Referentie_Fossiele_Energie_Totaal[[#This Row],[Product]]&amp;", "&amp;Referentie_Fossiele_Energie_Totaal[[#Headers],[D]],Database_Productkaarten[#All],51,FALSE),0)*Baseline!I69,0))</f>
        <v>0</v>
      </c>
      <c r="S487" s="56">
        <f>SUM(Referentie_Fossiele_Energie_Totaal[[#This Row],[A1-A3]:[C4]])+Referentie_Fossiele_Energie_Totaal[[#This Row],[D]]</f>
        <v>0</v>
      </c>
    </row>
    <row r="488" spans="2:19">
      <c r="B488" s="209">
        <f>Baseline!B70</f>
        <v>0</v>
      </c>
      <c r="C488" s="76">
        <f>Baseline!F70</f>
        <v>0</v>
      </c>
      <c r="D488" s="77">
        <f>(IF(Baseline!C70="Nieuwe Situatie",(_xlfn.IFNA(VLOOKUP(Referentie_Fossiele_Energie_Totaal[[#This Row],[Product]]&amp;", "&amp;Referentie_Fossiele_Energie_Totaal[[#Headers],[A1]],Database_Productkaarten[#All],51,FALSE),0)*Baseline!I70),0))</f>
        <v>0</v>
      </c>
      <c r="E488" s="77">
        <f>(IF(Baseline!C70="Nieuwe Situatie",(_xlfn.IFNA(VLOOKUP(Referentie_Fossiele_Energie_Totaal[[#This Row],[Product]]&amp;", "&amp;Referentie_Fossiele_Energie_Totaal[[#Headers],[A2]],Database_Productkaarten[#All],51,FALSE),0)*Baseline!I70),0))</f>
        <v>0</v>
      </c>
      <c r="F488" s="77">
        <f>(IF(Baseline!C70="Nieuwe Situatie",(_xlfn.IFNA(VLOOKUP(Referentie_Fossiele_Energie_Totaal[[#This Row],[Product]]&amp;", "&amp;Referentie_Fossiele_Energie_Totaal[[#Headers],[A3]],Database_Productkaarten[#All],51,FALSE),0)*Baseline!I70),0))</f>
        <v>0</v>
      </c>
      <c r="G488" s="77">
        <f>(IF(Baseline!C70="Nieuwe Situatie",(_xlfn.IFNA(VLOOKUP(Referentie_Fossiele_Energie_Totaal[[#This Row],[Product]]&amp;", "&amp;Referentie_Fossiele_Energie_Totaal[[#Headers],[A1-A3]],Database_Productkaarten[#All],51,FALSE),0)*Baseline!I70),0))</f>
        <v>0</v>
      </c>
      <c r="H488" s="77">
        <f>IF(Baseline!T70=0,(IF(Baseline!C70="Nieuwe Situatie",(_xlfn.IFNA(VLOOKUP(Referentie_Fossiele_Energie_Totaal[[#This Row],[Product]]&amp;", "&amp;Referentie_CO2_Totaal[[#Headers],[A4]],Database_Productkaarten[#All],51,FALSE),0)*Baseline!I70),0)),IF(Baseline!C70="Nieuwe Situatie",_xlfn.IFNA(VLOOKUP(Baseline!T70,Database_Transport[#All],45,FALSE)*(Baseline!Q70*Baseline!S70),Baseline_Backlog!H173),0))</f>
        <v>0</v>
      </c>
      <c r="I488" s="77">
        <f>IF(Baseline!C70="Nieuwe situatie",IF(_xlfn.IFNA((VLOOKUP(Baseline!U70,Database_Asfalt_Aanlegset[#All],45,FALSE)*Baseline!I70),0)+_xlfn.IFNA(VLOOKUP(Baseline!V70,Database_Brandstoffen[#All],45,FALSE)*((Baseline!I70/Baseline!X70)*Baseline!W70),0)&gt;0,_xlfn.IFNA((VLOOKUP(Baseline!U70,Database_Asfalt_Aanlegset[#All],45,FALSE)*Baseline!I70),0)+_xlfn.IFNA(VLOOKUP(Baseline!V70,Database_Brandstoffen[#All],45,FALSE)*((Baseline!I70/Baseline!X70)*Baseline!W70),0),(_xlfn.IFNA(VLOOKUP(Referentie_Fossiele_Energie_Totaal[[#This Row],[Product]]&amp;", "&amp;Referentie_MKI_Totaal[[#Headers],[A5]],Database_Productkaarten[#All],51,FALSE),0)*Baseline!I70)),0)</f>
        <v>0</v>
      </c>
      <c r="J488" s="77">
        <f>(IF(Baseline!C70="Nieuwe Situatie",(_xlfn.IFNA(VLOOKUP(Referentie_Fossiele_Energie_Totaal[[#This Row],[Product]]&amp;", "&amp;Referentie_Fossiele_Energie_Totaal[[#Headers],[B1]],Database_Productkaarten[#All],51,FALSE),0)*Baseline!I70),0))</f>
        <v>0</v>
      </c>
      <c r="K488" s="77">
        <f>(IF(Baseline!C70="Nieuwe Situatie",(SUM(Referentie_Fossiele_Energie_Totaal[[#This Row],[A1]:[B1]],Referentie_Fossiele_Energie_Totaal[[#This Row],[C1]:[D2]])*Baseline!R70),0))</f>
        <v>0</v>
      </c>
      <c r="L488" s="77">
        <f>IF(Baseline!C70="Bestaande situatie",IF(_xlfn.IFNA((VLOOKUP(Baseline!Y70,Database_Asfalt_Verwijderset[#All],45,FALSE)*Baseline!I70),0)+_xlfn.IFNA(VLOOKUP(Baseline!Z70,Database_Brandstoffen[#All],45,FALSE)*((Baseline!I70/Baseline!AB70)*Baseline!AA70),0)&gt;0,_xlfn.IFNA((VLOOKUP(Baseline!Y70,Database_Asfalt_Verwijderset[#All],45,FALSE)*Baseline!I70),0)+_xlfn.IFNA(VLOOKUP(Baseline!Z70,Database_Brandstoffen[#All],45,FALSE)*((Baseline!I70/Baseline!AB70)*Baseline!AA70),0),(_xlfn.IFNA(VLOOKUP(Referentie_Fossiele_Energie_Totaal[[#This Row],[Product]]&amp;", "&amp;Referentie_MKI_Totaal[[#Headers],[C1]],Database_Productkaarten[#All],51,FALSE),0)*Baseline!I70)),0)</f>
        <v>0</v>
      </c>
      <c r="M488" s="77">
        <f>IF(Baseline!AD70=0,(IF(Baseline!C70="Bestaande Situatie",(_xlfn.IFNA(VLOOKUP(Referentie_Fossiele_Energie_Totaal[[#This Row],[Product]]&amp;", "&amp;Referentie_MKI_Totaal[[#Headers],[C2]],Database_Productkaarten[#All],51,FALSE),0)*Baseline!I70),0)),(IF(Baseline!C70="Bestaande Situatie",_xlfn.IFNA(VLOOKUP(Baseline!AD70,Database_Transport[#All],45,FALSE)*(Baseline!Q70*Baseline!AC70),0))))</f>
        <v>0</v>
      </c>
      <c r="N488" s="77">
        <f>(IF(Baseline!C70="Bestaande Situatie",(_xlfn.IFNA(VLOOKUP(Referentie_Fossiele_Energie_Totaal[[#This Row],[Product]]&amp;", "&amp;Referentie_Fossiele_Energie_Totaal[[#Headers],[C3]],Database_Productkaarten[#All],51,FALSE),0)*Baseline!I70),0))</f>
        <v>0</v>
      </c>
      <c r="O488" s="77">
        <f>(IF(Baseline!C70="Bestaande Situatie",(_xlfn.IFNA(VLOOKUP(Referentie_Fossiele_Energie_Totaal[[#This Row],[Product]]&amp;", "&amp;Referentie_Fossiele_Energie_Totaal[[#Headers],[C4]],Database_Productkaarten[#All],51,FALSE),0)*Baseline!I70),0))</f>
        <v>0</v>
      </c>
      <c r="P488" s="77">
        <f>(IF(Baseline!C70="Bestaande Situatie",(_xlfn.IFNA(VLOOKUP(Referentie_Fossiele_Energie_Totaal[[#This Row],[Product]]&amp;", "&amp;Referentie_Fossiele_Energie_Totaal[[#Headers],[D1]],Database_Productkaarten[#All],51,FALSE),0)*Baseline!I70),0))</f>
        <v>0</v>
      </c>
      <c r="Q488" s="78">
        <f>(IF(Baseline!C70="Bestaande Situatie",_xlfn.IFNA(VLOOKUP(Referentie_Fossiele_Energie_Totaal[[#This Row],[Product]]&amp;", "&amp;Referentie_Fossiele_Energie_Totaal[[#Headers],[D2]],Database_Productkaarten[#All],51,FALSE),0)*Baseline!I70,0))</f>
        <v>0</v>
      </c>
      <c r="R488" s="57">
        <f>(IF(Baseline!C70="Bestaande Situatie",_xlfn.IFNA(VLOOKUP(Referentie_Fossiele_Energie_Totaal[[#This Row],[Product]]&amp;", "&amp;Referentie_Fossiele_Energie_Totaal[[#Headers],[D]],Database_Productkaarten[#All],51,FALSE),0)*Baseline!I70,0))</f>
        <v>0</v>
      </c>
      <c r="S488" s="56">
        <f>SUM(Referentie_Fossiele_Energie_Totaal[[#This Row],[A1-A3]:[C4]])+Referentie_Fossiele_Energie_Totaal[[#This Row],[D]]</f>
        <v>0</v>
      </c>
    </row>
    <row r="489" spans="2:19">
      <c r="B489" s="209">
        <f>Baseline!B71</f>
        <v>0</v>
      </c>
      <c r="C489" s="76">
        <f>Baseline!F71</f>
        <v>0</v>
      </c>
      <c r="D489" s="77">
        <f>(IF(Baseline!C71="Nieuwe Situatie",(_xlfn.IFNA(VLOOKUP(Referentie_Fossiele_Energie_Totaal[[#This Row],[Product]]&amp;", "&amp;Referentie_Fossiele_Energie_Totaal[[#Headers],[A1]],Database_Productkaarten[#All],51,FALSE),0)*Baseline!I71),0))</f>
        <v>0</v>
      </c>
      <c r="E489" s="77">
        <f>(IF(Baseline!C71="Nieuwe Situatie",(_xlfn.IFNA(VLOOKUP(Referentie_Fossiele_Energie_Totaal[[#This Row],[Product]]&amp;", "&amp;Referentie_Fossiele_Energie_Totaal[[#Headers],[A2]],Database_Productkaarten[#All],51,FALSE),0)*Baseline!I71),0))</f>
        <v>0</v>
      </c>
      <c r="F489" s="77">
        <f>(IF(Baseline!C71="Nieuwe Situatie",(_xlfn.IFNA(VLOOKUP(Referentie_Fossiele_Energie_Totaal[[#This Row],[Product]]&amp;", "&amp;Referentie_Fossiele_Energie_Totaal[[#Headers],[A3]],Database_Productkaarten[#All],51,FALSE),0)*Baseline!I71),0))</f>
        <v>0</v>
      </c>
      <c r="G489" s="77">
        <f>(IF(Baseline!C71="Nieuwe Situatie",(_xlfn.IFNA(VLOOKUP(Referentie_Fossiele_Energie_Totaal[[#This Row],[Product]]&amp;", "&amp;Referentie_Fossiele_Energie_Totaal[[#Headers],[A1-A3]],Database_Productkaarten[#All],51,FALSE),0)*Baseline!I71),0))</f>
        <v>0</v>
      </c>
      <c r="H489" s="77">
        <f>IF(Baseline!T71=0,(IF(Baseline!C71="Nieuwe Situatie",(_xlfn.IFNA(VLOOKUP(Referentie_Fossiele_Energie_Totaal[[#This Row],[Product]]&amp;", "&amp;Referentie_CO2_Totaal[[#Headers],[A4]],Database_Productkaarten[#All],51,FALSE),0)*Baseline!I71),0)),IF(Baseline!C71="Nieuwe Situatie",_xlfn.IFNA(VLOOKUP(Baseline!T71,Database_Transport[#All],45,FALSE)*(Baseline!Q71*Baseline!S71),Baseline_Backlog!H174),0))</f>
        <v>0</v>
      </c>
      <c r="I489" s="77">
        <f>IF(Baseline!C71="Nieuwe situatie",IF(_xlfn.IFNA((VLOOKUP(Baseline!U71,Database_Asfalt_Aanlegset[#All],45,FALSE)*Baseline!I71),0)+_xlfn.IFNA(VLOOKUP(Baseline!V71,Database_Brandstoffen[#All],45,FALSE)*((Baseline!I71/Baseline!X71)*Baseline!W71),0)&gt;0,_xlfn.IFNA((VLOOKUP(Baseline!U71,Database_Asfalt_Aanlegset[#All],45,FALSE)*Baseline!I71),0)+_xlfn.IFNA(VLOOKUP(Baseline!V71,Database_Brandstoffen[#All],45,FALSE)*((Baseline!I71/Baseline!X71)*Baseline!W71),0),(_xlfn.IFNA(VLOOKUP(Referentie_Fossiele_Energie_Totaal[[#This Row],[Product]]&amp;", "&amp;Referentie_MKI_Totaal[[#Headers],[A5]],Database_Productkaarten[#All],51,FALSE),0)*Baseline!I71)),0)</f>
        <v>0</v>
      </c>
      <c r="J489" s="77">
        <f>(IF(Baseline!C71="Nieuwe Situatie",(_xlfn.IFNA(VLOOKUP(Referentie_Fossiele_Energie_Totaal[[#This Row],[Product]]&amp;", "&amp;Referentie_Fossiele_Energie_Totaal[[#Headers],[B1]],Database_Productkaarten[#All],51,FALSE),0)*Baseline!I71),0))</f>
        <v>0</v>
      </c>
      <c r="K489" s="77">
        <f>(IF(Baseline!C71="Nieuwe Situatie",(SUM(Referentie_Fossiele_Energie_Totaal[[#This Row],[A1]:[B1]],Referentie_Fossiele_Energie_Totaal[[#This Row],[C1]:[D2]])*Baseline!R71),0))</f>
        <v>0</v>
      </c>
      <c r="L489" s="77">
        <f>IF(Baseline!C71="Bestaande situatie",IF(_xlfn.IFNA((VLOOKUP(Baseline!Y71,Database_Asfalt_Verwijderset[#All],45,FALSE)*Baseline!I71),0)+_xlfn.IFNA(VLOOKUP(Baseline!Z71,Database_Brandstoffen[#All],45,FALSE)*((Baseline!I71/Baseline!AB71)*Baseline!AA71),0)&gt;0,_xlfn.IFNA((VLOOKUP(Baseline!Y71,Database_Asfalt_Verwijderset[#All],45,FALSE)*Baseline!I71),0)+_xlfn.IFNA(VLOOKUP(Baseline!Z71,Database_Brandstoffen[#All],45,FALSE)*((Baseline!I71/Baseline!AB71)*Baseline!AA71),0),(_xlfn.IFNA(VLOOKUP(Referentie_Fossiele_Energie_Totaal[[#This Row],[Product]]&amp;", "&amp;Referentie_MKI_Totaal[[#Headers],[C1]],Database_Productkaarten[#All],51,FALSE),0)*Baseline!I71)),0)</f>
        <v>0</v>
      </c>
      <c r="M489" s="77">
        <f>IF(Baseline!AD71=0,(IF(Baseline!C71="Bestaande Situatie",(_xlfn.IFNA(VLOOKUP(Referentie_Fossiele_Energie_Totaal[[#This Row],[Product]]&amp;", "&amp;Referentie_MKI_Totaal[[#Headers],[C2]],Database_Productkaarten[#All],51,FALSE),0)*Baseline!I71),0)),(IF(Baseline!C71="Bestaande Situatie",_xlfn.IFNA(VLOOKUP(Baseline!AD71,Database_Transport[#All],45,FALSE)*(Baseline!Q71*Baseline!AC71),0))))</f>
        <v>0</v>
      </c>
      <c r="N489" s="77">
        <f>(IF(Baseline!C71="Bestaande Situatie",(_xlfn.IFNA(VLOOKUP(Referentie_Fossiele_Energie_Totaal[[#This Row],[Product]]&amp;", "&amp;Referentie_Fossiele_Energie_Totaal[[#Headers],[C3]],Database_Productkaarten[#All],51,FALSE),0)*Baseline!I71),0))</f>
        <v>0</v>
      </c>
      <c r="O489" s="77">
        <f>(IF(Baseline!C71="Bestaande Situatie",(_xlfn.IFNA(VLOOKUP(Referentie_Fossiele_Energie_Totaal[[#This Row],[Product]]&amp;", "&amp;Referentie_Fossiele_Energie_Totaal[[#Headers],[C4]],Database_Productkaarten[#All],51,FALSE),0)*Baseline!I71),0))</f>
        <v>0</v>
      </c>
      <c r="P489" s="77">
        <f>(IF(Baseline!C71="Bestaande Situatie",(_xlfn.IFNA(VLOOKUP(Referentie_Fossiele_Energie_Totaal[[#This Row],[Product]]&amp;", "&amp;Referentie_Fossiele_Energie_Totaal[[#Headers],[D1]],Database_Productkaarten[#All],51,FALSE),0)*Baseline!I71),0))</f>
        <v>0</v>
      </c>
      <c r="Q489" s="78">
        <f>(IF(Baseline!C71="Bestaande Situatie",_xlfn.IFNA(VLOOKUP(Referentie_Fossiele_Energie_Totaal[[#This Row],[Product]]&amp;", "&amp;Referentie_Fossiele_Energie_Totaal[[#Headers],[D2]],Database_Productkaarten[#All],51,FALSE),0)*Baseline!I71,0))</f>
        <v>0</v>
      </c>
      <c r="R489" s="57">
        <f>(IF(Baseline!C71="Bestaande Situatie",_xlfn.IFNA(VLOOKUP(Referentie_Fossiele_Energie_Totaal[[#This Row],[Product]]&amp;", "&amp;Referentie_Fossiele_Energie_Totaal[[#Headers],[D]],Database_Productkaarten[#All],51,FALSE),0)*Baseline!I71,0))</f>
        <v>0</v>
      </c>
      <c r="S489" s="56">
        <f>SUM(Referentie_Fossiele_Energie_Totaal[[#This Row],[A1-A3]:[C4]])+Referentie_Fossiele_Energie_Totaal[[#This Row],[D]]</f>
        <v>0</v>
      </c>
    </row>
    <row r="490" spans="2:19">
      <c r="B490" s="209">
        <f>Baseline!B72</f>
        <v>0</v>
      </c>
      <c r="C490" s="76">
        <f>Baseline!F72</f>
        <v>0</v>
      </c>
      <c r="D490" s="77">
        <f>(IF(Baseline!C72="Nieuwe Situatie",(_xlfn.IFNA(VLOOKUP(Referentie_Fossiele_Energie_Totaal[[#This Row],[Product]]&amp;", "&amp;Referentie_Fossiele_Energie_Totaal[[#Headers],[A1]],Database_Productkaarten[#All],51,FALSE),0)*Baseline!I72),0))</f>
        <v>0</v>
      </c>
      <c r="E490" s="77">
        <f>(IF(Baseline!C72="Nieuwe Situatie",(_xlfn.IFNA(VLOOKUP(Referentie_Fossiele_Energie_Totaal[[#This Row],[Product]]&amp;", "&amp;Referentie_Fossiele_Energie_Totaal[[#Headers],[A2]],Database_Productkaarten[#All],51,FALSE),0)*Baseline!I72),0))</f>
        <v>0</v>
      </c>
      <c r="F490" s="77">
        <f>(IF(Baseline!C72="Nieuwe Situatie",(_xlfn.IFNA(VLOOKUP(Referentie_Fossiele_Energie_Totaal[[#This Row],[Product]]&amp;", "&amp;Referentie_Fossiele_Energie_Totaal[[#Headers],[A3]],Database_Productkaarten[#All],51,FALSE),0)*Baseline!I72),0))</f>
        <v>0</v>
      </c>
      <c r="G490" s="77">
        <f>(IF(Baseline!C72="Nieuwe Situatie",(_xlfn.IFNA(VLOOKUP(Referentie_Fossiele_Energie_Totaal[[#This Row],[Product]]&amp;", "&amp;Referentie_Fossiele_Energie_Totaal[[#Headers],[A1-A3]],Database_Productkaarten[#All],51,FALSE),0)*Baseline!I72),0))</f>
        <v>0</v>
      </c>
      <c r="H490" s="77">
        <f>IF(Baseline!T72=0,(IF(Baseline!C72="Nieuwe Situatie",(_xlfn.IFNA(VLOOKUP(Referentie_Fossiele_Energie_Totaal[[#This Row],[Product]]&amp;", "&amp;Referentie_CO2_Totaal[[#Headers],[A4]],Database_Productkaarten[#All],51,FALSE),0)*Baseline!I72),0)),IF(Baseline!C72="Nieuwe Situatie",_xlfn.IFNA(VLOOKUP(Baseline!T72,Database_Transport[#All],45,FALSE)*(Baseline!Q72*Baseline!S72),Baseline_Backlog!H175),0))</f>
        <v>0</v>
      </c>
      <c r="I490" s="77">
        <f>IF(Baseline!C72="Nieuwe situatie",IF(_xlfn.IFNA((VLOOKUP(Baseline!U72,Database_Asfalt_Aanlegset[#All],45,FALSE)*Baseline!I72),0)+_xlfn.IFNA(VLOOKUP(Baseline!V72,Database_Brandstoffen[#All],45,FALSE)*((Baseline!I72/Baseline!X72)*Baseline!W72),0)&gt;0,_xlfn.IFNA((VLOOKUP(Baseline!U72,Database_Asfalt_Aanlegset[#All],45,FALSE)*Baseline!I72),0)+_xlfn.IFNA(VLOOKUP(Baseline!V72,Database_Brandstoffen[#All],45,FALSE)*((Baseline!I72/Baseline!X72)*Baseline!W72),0),(_xlfn.IFNA(VLOOKUP(Referentie_Fossiele_Energie_Totaal[[#This Row],[Product]]&amp;", "&amp;Referentie_MKI_Totaal[[#Headers],[A5]],Database_Productkaarten[#All],51,FALSE),0)*Baseline!I72)),0)</f>
        <v>0</v>
      </c>
      <c r="J490" s="77">
        <f>(IF(Baseline!C72="Nieuwe Situatie",(_xlfn.IFNA(VLOOKUP(Referentie_Fossiele_Energie_Totaal[[#This Row],[Product]]&amp;", "&amp;Referentie_Fossiele_Energie_Totaal[[#Headers],[B1]],Database_Productkaarten[#All],51,FALSE),0)*Baseline!I72),0))</f>
        <v>0</v>
      </c>
      <c r="K490" s="77">
        <f>(IF(Baseline!C72="Nieuwe Situatie",(SUM(Referentie_Fossiele_Energie_Totaal[[#This Row],[A1]:[B1]],Referentie_Fossiele_Energie_Totaal[[#This Row],[C1]:[D2]])*Baseline!R72),0))</f>
        <v>0</v>
      </c>
      <c r="L490" s="77">
        <f>IF(Baseline!C72="Bestaande situatie",IF(_xlfn.IFNA((VLOOKUP(Baseline!Y72,Database_Asfalt_Verwijderset[#All],45,FALSE)*Baseline!I72),0)+_xlfn.IFNA(VLOOKUP(Baseline!Z72,Database_Brandstoffen[#All],45,FALSE)*((Baseline!I72/Baseline!AB72)*Baseline!AA72),0)&gt;0,_xlfn.IFNA((VLOOKUP(Baseline!Y72,Database_Asfalt_Verwijderset[#All],45,FALSE)*Baseline!I72),0)+_xlfn.IFNA(VLOOKUP(Baseline!Z72,Database_Brandstoffen[#All],45,FALSE)*((Baseline!I72/Baseline!AB72)*Baseline!AA72),0),(_xlfn.IFNA(VLOOKUP(Referentie_Fossiele_Energie_Totaal[[#This Row],[Product]]&amp;", "&amp;Referentie_MKI_Totaal[[#Headers],[C1]],Database_Productkaarten[#All],51,FALSE),0)*Baseline!I72)),0)</f>
        <v>0</v>
      </c>
      <c r="M490" s="77">
        <f>IF(Baseline!AD72=0,(IF(Baseline!C72="Bestaande Situatie",(_xlfn.IFNA(VLOOKUP(Referentie_Fossiele_Energie_Totaal[[#This Row],[Product]]&amp;", "&amp;Referentie_MKI_Totaal[[#Headers],[C2]],Database_Productkaarten[#All],51,FALSE),0)*Baseline!I72),0)),(IF(Baseline!C72="Bestaande Situatie",_xlfn.IFNA(VLOOKUP(Baseline!AD72,Database_Transport[#All],45,FALSE)*(Baseline!Q72*Baseline!AC72),0))))</f>
        <v>0</v>
      </c>
      <c r="N490" s="77">
        <f>(IF(Baseline!C72="Bestaande Situatie",(_xlfn.IFNA(VLOOKUP(Referentie_Fossiele_Energie_Totaal[[#This Row],[Product]]&amp;", "&amp;Referentie_Fossiele_Energie_Totaal[[#Headers],[C3]],Database_Productkaarten[#All],51,FALSE),0)*Baseline!I72),0))</f>
        <v>0</v>
      </c>
      <c r="O490" s="77">
        <f>(IF(Baseline!C72="Bestaande Situatie",(_xlfn.IFNA(VLOOKUP(Referentie_Fossiele_Energie_Totaal[[#This Row],[Product]]&amp;", "&amp;Referentie_Fossiele_Energie_Totaal[[#Headers],[C4]],Database_Productkaarten[#All],51,FALSE),0)*Baseline!I72),0))</f>
        <v>0</v>
      </c>
      <c r="P490" s="77">
        <f>(IF(Baseline!C72="Bestaande Situatie",(_xlfn.IFNA(VLOOKUP(Referentie_Fossiele_Energie_Totaal[[#This Row],[Product]]&amp;", "&amp;Referentie_Fossiele_Energie_Totaal[[#Headers],[D1]],Database_Productkaarten[#All],51,FALSE),0)*Baseline!I72),0))</f>
        <v>0</v>
      </c>
      <c r="Q490" s="78">
        <f>(IF(Baseline!C72="Bestaande Situatie",_xlfn.IFNA(VLOOKUP(Referentie_Fossiele_Energie_Totaal[[#This Row],[Product]]&amp;", "&amp;Referentie_Fossiele_Energie_Totaal[[#Headers],[D2]],Database_Productkaarten[#All],51,FALSE),0)*Baseline!I72,0))</f>
        <v>0</v>
      </c>
      <c r="R490" s="57">
        <f>(IF(Baseline!C72="Bestaande Situatie",_xlfn.IFNA(VLOOKUP(Referentie_Fossiele_Energie_Totaal[[#This Row],[Product]]&amp;", "&amp;Referentie_Fossiele_Energie_Totaal[[#Headers],[D]],Database_Productkaarten[#All],51,FALSE),0)*Baseline!I72,0))</f>
        <v>0</v>
      </c>
      <c r="S490" s="56">
        <f>SUM(Referentie_Fossiele_Energie_Totaal[[#This Row],[A1-A3]:[C4]])+Referentie_Fossiele_Energie_Totaal[[#This Row],[D]]</f>
        <v>0</v>
      </c>
    </row>
    <row r="491" spans="2:19">
      <c r="B491" s="209">
        <f>Baseline!B73</f>
        <v>0</v>
      </c>
      <c r="C491" s="76">
        <f>Baseline!F73</f>
        <v>0</v>
      </c>
      <c r="D491" s="77">
        <f>(IF(Baseline!C73="Nieuwe Situatie",(_xlfn.IFNA(VLOOKUP(Referentie_Fossiele_Energie_Totaal[[#This Row],[Product]]&amp;", "&amp;Referentie_Fossiele_Energie_Totaal[[#Headers],[A1]],Database_Productkaarten[#All],51,FALSE),0)*Baseline!I73),0))</f>
        <v>0</v>
      </c>
      <c r="E491" s="77">
        <f>(IF(Baseline!C73="Nieuwe Situatie",(_xlfn.IFNA(VLOOKUP(Referentie_Fossiele_Energie_Totaal[[#This Row],[Product]]&amp;", "&amp;Referentie_Fossiele_Energie_Totaal[[#Headers],[A2]],Database_Productkaarten[#All],51,FALSE),0)*Baseline!I73),0))</f>
        <v>0</v>
      </c>
      <c r="F491" s="77">
        <f>(IF(Baseline!C73="Nieuwe Situatie",(_xlfn.IFNA(VLOOKUP(Referentie_Fossiele_Energie_Totaal[[#This Row],[Product]]&amp;", "&amp;Referentie_Fossiele_Energie_Totaal[[#Headers],[A3]],Database_Productkaarten[#All],51,FALSE),0)*Baseline!I73),0))</f>
        <v>0</v>
      </c>
      <c r="G491" s="77">
        <f>(IF(Baseline!C73="Nieuwe Situatie",(_xlfn.IFNA(VLOOKUP(Referentie_Fossiele_Energie_Totaal[[#This Row],[Product]]&amp;", "&amp;Referentie_Fossiele_Energie_Totaal[[#Headers],[A1-A3]],Database_Productkaarten[#All],51,FALSE),0)*Baseline!I73),0))</f>
        <v>0</v>
      </c>
      <c r="H491" s="77">
        <f>IF(Baseline!T73=0,(IF(Baseline!C73="Nieuwe Situatie",(_xlfn.IFNA(VLOOKUP(Referentie_Fossiele_Energie_Totaal[[#This Row],[Product]]&amp;", "&amp;Referentie_CO2_Totaal[[#Headers],[A4]],Database_Productkaarten[#All],51,FALSE),0)*Baseline!I73),0)),IF(Baseline!C73="Nieuwe Situatie",_xlfn.IFNA(VLOOKUP(Baseline!T73,Database_Transport[#All],45,FALSE)*(Baseline!Q73*Baseline!S73),Baseline_Backlog!H176),0))</f>
        <v>0</v>
      </c>
      <c r="I491" s="77">
        <f>IF(Baseline!C73="Nieuwe situatie",IF(_xlfn.IFNA((VLOOKUP(Baseline!U73,Database_Asfalt_Aanlegset[#All],45,FALSE)*Baseline!I73),0)+_xlfn.IFNA(VLOOKUP(Baseline!V73,Database_Brandstoffen[#All],45,FALSE)*((Baseline!I73/Baseline!X73)*Baseline!W73),0)&gt;0,_xlfn.IFNA((VLOOKUP(Baseline!U73,Database_Asfalt_Aanlegset[#All],45,FALSE)*Baseline!I73),0)+_xlfn.IFNA(VLOOKUP(Baseline!V73,Database_Brandstoffen[#All],45,FALSE)*((Baseline!I73/Baseline!X73)*Baseline!W73),0),(_xlfn.IFNA(VLOOKUP(Referentie_Fossiele_Energie_Totaal[[#This Row],[Product]]&amp;", "&amp;Referentie_MKI_Totaal[[#Headers],[A5]],Database_Productkaarten[#All],51,FALSE),0)*Baseline!I73)),0)</f>
        <v>0</v>
      </c>
      <c r="J491" s="77">
        <f>(IF(Baseline!C73="Nieuwe Situatie",(_xlfn.IFNA(VLOOKUP(Referentie_Fossiele_Energie_Totaal[[#This Row],[Product]]&amp;", "&amp;Referentie_Fossiele_Energie_Totaal[[#Headers],[B1]],Database_Productkaarten[#All],51,FALSE),0)*Baseline!I73),0))</f>
        <v>0</v>
      </c>
      <c r="K491" s="77">
        <f>(IF(Baseline!C73="Nieuwe Situatie",(SUM(Referentie_Fossiele_Energie_Totaal[[#This Row],[A1]:[B1]],Referentie_Fossiele_Energie_Totaal[[#This Row],[C1]:[D2]])*Baseline!R73),0))</f>
        <v>0</v>
      </c>
      <c r="L491" s="77">
        <f>IF(Baseline!C73="Bestaande situatie",IF(_xlfn.IFNA((VLOOKUP(Baseline!Y73,Database_Asfalt_Verwijderset[#All],45,FALSE)*Baseline!I73),0)+_xlfn.IFNA(VLOOKUP(Baseline!Z73,Database_Brandstoffen[#All],45,FALSE)*((Baseline!I73/Baseline!AB73)*Baseline!AA73),0)&gt;0,_xlfn.IFNA((VLOOKUP(Baseline!Y73,Database_Asfalt_Verwijderset[#All],45,FALSE)*Baseline!I73),0)+_xlfn.IFNA(VLOOKUP(Baseline!Z73,Database_Brandstoffen[#All],45,FALSE)*((Baseline!I73/Baseline!AB73)*Baseline!AA73),0),(_xlfn.IFNA(VLOOKUP(Referentie_Fossiele_Energie_Totaal[[#This Row],[Product]]&amp;", "&amp;Referentie_MKI_Totaal[[#Headers],[C1]],Database_Productkaarten[#All],51,FALSE),0)*Baseline!I73)),0)</f>
        <v>0</v>
      </c>
      <c r="M491" s="77">
        <f>IF(Baseline!AD73=0,(IF(Baseline!C73="Bestaande Situatie",(_xlfn.IFNA(VLOOKUP(Referentie_Fossiele_Energie_Totaal[[#This Row],[Product]]&amp;", "&amp;Referentie_MKI_Totaal[[#Headers],[C2]],Database_Productkaarten[#All],51,FALSE),0)*Baseline!I73),0)),(IF(Baseline!C73="Bestaande Situatie",_xlfn.IFNA(VLOOKUP(Baseline!AD73,Database_Transport[#All],45,FALSE)*(Baseline!Q73*Baseline!AC73),0))))</f>
        <v>0</v>
      </c>
      <c r="N491" s="77">
        <f>(IF(Baseline!C73="Bestaande Situatie",(_xlfn.IFNA(VLOOKUP(Referentie_Fossiele_Energie_Totaal[[#This Row],[Product]]&amp;", "&amp;Referentie_Fossiele_Energie_Totaal[[#Headers],[C3]],Database_Productkaarten[#All],51,FALSE),0)*Baseline!I73),0))</f>
        <v>0</v>
      </c>
      <c r="O491" s="77">
        <f>(IF(Baseline!C73="Bestaande Situatie",(_xlfn.IFNA(VLOOKUP(Referentie_Fossiele_Energie_Totaal[[#This Row],[Product]]&amp;", "&amp;Referentie_Fossiele_Energie_Totaal[[#Headers],[C4]],Database_Productkaarten[#All],51,FALSE),0)*Baseline!I73),0))</f>
        <v>0</v>
      </c>
      <c r="P491" s="77">
        <f>(IF(Baseline!C73="Bestaande Situatie",(_xlfn.IFNA(VLOOKUP(Referentie_Fossiele_Energie_Totaal[[#This Row],[Product]]&amp;", "&amp;Referentie_Fossiele_Energie_Totaal[[#Headers],[D1]],Database_Productkaarten[#All],51,FALSE),0)*Baseline!I73),0))</f>
        <v>0</v>
      </c>
      <c r="Q491" s="78">
        <f>(IF(Baseline!C73="Bestaande Situatie",_xlfn.IFNA(VLOOKUP(Referentie_Fossiele_Energie_Totaal[[#This Row],[Product]]&amp;", "&amp;Referentie_Fossiele_Energie_Totaal[[#Headers],[D2]],Database_Productkaarten[#All],51,FALSE),0)*Baseline!I73,0))</f>
        <v>0</v>
      </c>
      <c r="R491" s="57">
        <f>(IF(Baseline!C73="Bestaande Situatie",_xlfn.IFNA(VLOOKUP(Referentie_Fossiele_Energie_Totaal[[#This Row],[Product]]&amp;", "&amp;Referentie_Fossiele_Energie_Totaal[[#Headers],[D]],Database_Productkaarten[#All],51,FALSE),0)*Baseline!I73,0))</f>
        <v>0</v>
      </c>
      <c r="S491" s="56">
        <f>SUM(Referentie_Fossiele_Energie_Totaal[[#This Row],[A1-A3]:[C4]])+Referentie_Fossiele_Energie_Totaal[[#This Row],[D]]</f>
        <v>0</v>
      </c>
    </row>
    <row r="492" spans="2:19">
      <c r="B492" s="209">
        <f>Baseline!B74</f>
        <v>0</v>
      </c>
      <c r="C492" s="76">
        <f>Baseline!F74</f>
        <v>0</v>
      </c>
      <c r="D492" s="77">
        <f>(IF(Baseline!C74="Nieuwe Situatie",(_xlfn.IFNA(VLOOKUP(Referentie_Fossiele_Energie_Totaal[[#This Row],[Product]]&amp;", "&amp;Referentie_Fossiele_Energie_Totaal[[#Headers],[A1]],Database_Productkaarten[#All],51,FALSE),0)*Baseline!I74),0))</f>
        <v>0</v>
      </c>
      <c r="E492" s="77">
        <f>(IF(Baseline!C74="Nieuwe Situatie",(_xlfn.IFNA(VLOOKUP(Referentie_Fossiele_Energie_Totaal[[#This Row],[Product]]&amp;", "&amp;Referentie_Fossiele_Energie_Totaal[[#Headers],[A2]],Database_Productkaarten[#All],51,FALSE),0)*Baseline!I74),0))</f>
        <v>0</v>
      </c>
      <c r="F492" s="77">
        <f>(IF(Baseline!C74="Nieuwe Situatie",(_xlfn.IFNA(VLOOKUP(Referentie_Fossiele_Energie_Totaal[[#This Row],[Product]]&amp;", "&amp;Referentie_Fossiele_Energie_Totaal[[#Headers],[A3]],Database_Productkaarten[#All],51,FALSE),0)*Baseline!I74),0))</f>
        <v>0</v>
      </c>
      <c r="G492" s="77">
        <f>(IF(Baseline!C74="Nieuwe Situatie",(_xlfn.IFNA(VLOOKUP(Referentie_Fossiele_Energie_Totaal[[#This Row],[Product]]&amp;", "&amp;Referentie_Fossiele_Energie_Totaal[[#Headers],[A1-A3]],Database_Productkaarten[#All],51,FALSE),0)*Baseline!I74),0))</f>
        <v>0</v>
      </c>
      <c r="H492" s="77">
        <f>IF(Baseline!T74=0,(IF(Baseline!C74="Nieuwe Situatie",(_xlfn.IFNA(VLOOKUP(Referentie_Fossiele_Energie_Totaal[[#This Row],[Product]]&amp;", "&amp;Referentie_CO2_Totaal[[#Headers],[A4]],Database_Productkaarten[#All],51,FALSE),0)*Baseline!I74),0)),IF(Baseline!C74="Nieuwe Situatie",_xlfn.IFNA(VLOOKUP(Baseline!T74,Database_Transport[#All],45,FALSE)*(Baseline!Q74*Baseline!S74),Baseline_Backlog!H177),0))</f>
        <v>0</v>
      </c>
      <c r="I492" s="77">
        <f>IF(Baseline!C74="Nieuwe situatie",IF(_xlfn.IFNA((VLOOKUP(Baseline!U74,Database_Asfalt_Aanlegset[#All],45,FALSE)*Baseline!I74),0)+_xlfn.IFNA(VLOOKUP(Baseline!V74,Database_Brandstoffen[#All],45,FALSE)*((Baseline!I74/Baseline!X74)*Baseline!W74),0)&gt;0,_xlfn.IFNA((VLOOKUP(Baseline!U74,Database_Asfalt_Aanlegset[#All],45,FALSE)*Baseline!I74),0)+_xlfn.IFNA(VLOOKUP(Baseline!V74,Database_Brandstoffen[#All],45,FALSE)*((Baseline!I74/Baseline!X74)*Baseline!W74),0),(_xlfn.IFNA(VLOOKUP(Referentie_Fossiele_Energie_Totaal[[#This Row],[Product]]&amp;", "&amp;Referentie_MKI_Totaal[[#Headers],[A5]],Database_Productkaarten[#All],51,FALSE),0)*Baseline!I74)),0)</f>
        <v>0</v>
      </c>
      <c r="J492" s="77">
        <f>(IF(Baseline!C74="Nieuwe Situatie",(_xlfn.IFNA(VLOOKUP(Referentie_Fossiele_Energie_Totaal[[#This Row],[Product]]&amp;", "&amp;Referentie_Fossiele_Energie_Totaal[[#Headers],[B1]],Database_Productkaarten[#All],51,FALSE),0)*Baseline!I74),0))</f>
        <v>0</v>
      </c>
      <c r="K492" s="77">
        <f>(IF(Baseline!C74="Nieuwe Situatie",(SUM(Referentie_Fossiele_Energie_Totaal[[#This Row],[A1]:[B1]],Referentie_Fossiele_Energie_Totaal[[#This Row],[C1]:[D2]])*Baseline!R74),0))</f>
        <v>0</v>
      </c>
      <c r="L492" s="77">
        <f>IF(Baseline!C74="Bestaande situatie",IF(_xlfn.IFNA((VLOOKUP(Baseline!Y74,Database_Asfalt_Verwijderset[#All],45,FALSE)*Baseline!I74),0)+_xlfn.IFNA(VLOOKUP(Baseline!Z74,Database_Brandstoffen[#All],45,FALSE)*((Baseline!I74/Baseline!AB74)*Baseline!AA74),0)&gt;0,_xlfn.IFNA((VLOOKUP(Baseline!Y74,Database_Asfalt_Verwijderset[#All],45,FALSE)*Baseline!I74),0)+_xlfn.IFNA(VLOOKUP(Baseline!Z74,Database_Brandstoffen[#All],45,FALSE)*((Baseline!I74/Baseline!AB74)*Baseline!AA74),0),(_xlfn.IFNA(VLOOKUP(Referentie_Fossiele_Energie_Totaal[[#This Row],[Product]]&amp;", "&amp;Referentie_MKI_Totaal[[#Headers],[C1]],Database_Productkaarten[#All],51,FALSE),0)*Baseline!I74)),0)</f>
        <v>0</v>
      </c>
      <c r="M492" s="77">
        <f>IF(Baseline!AD74=0,(IF(Baseline!C74="Bestaande Situatie",(_xlfn.IFNA(VLOOKUP(Referentie_Fossiele_Energie_Totaal[[#This Row],[Product]]&amp;", "&amp;Referentie_MKI_Totaal[[#Headers],[C2]],Database_Productkaarten[#All],51,FALSE),0)*Baseline!I74),0)),(IF(Baseline!C74="Bestaande Situatie",_xlfn.IFNA(VLOOKUP(Baseline!AD74,Database_Transport[#All],45,FALSE)*(Baseline!Q74*Baseline!AC74),0))))</f>
        <v>0</v>
      </c>
      <c r="N492" s="77">
        <f>(IF(Baseline!C74="Bestaande Situatie",(_xlfn.IFNA(VLOOKUP(Referentie_Fossiele_Energie_Totaal[[#This Row],[Product]]&amp;", "&amp;Referentie_Fossiele_Energie_Totaal[[#Headers],[C3]],Database_Productkaarten[#All],51,FALSE),0)*Baseline!I74),0))</f>
        <v>0</v>
      </c>
      <c r="O492" s="77">
        <f>(IF(Baseline!C74="Bestaande Situatie",(_xlfn.IFNA(VLOOKUP(Referentie_Fossiele_Energie_Totaal[[#This Row],[Product]]&amp;", "&amp;Referentie_Fossiele_Energie_Totaal[[#Headers],[C4]],Database_Productkaarten[#All],51,FALSE),0)*Baseline!I74),0))</f>
        <v>0</v>
      </c>
      <c r="P492" s="77">
        <f>(IF(Baseline!C74="Bestaande Situatie",(_xlfn.IFNA(VLOOKUP(Referentie_Fossiele_Energie_Totaal[[#This Row],[Product]]&amp;", "&amp;Referentie_Fossiele_Energie_Totaal[[#Headers],[D1]],Database_Productkaarten[#All],51,FALSE),0)*Baseline!I74),0))</f>
        <v>0</v>
      </c>
      <c r="Q492" s="78">
        <f>(IF(Baseline!C74="Bestaande Situatie",_xlfn.IFNA(VLOOKUP(Referentie_Fossiele_Energie_Totaal[[#This Row],[Product]]&amp;", "&amp;Referentie_Fossiele_Energie_Totaal[[#Headers],[D2]],Database_Productkaarten[#All],51,FALSE),0)*Baseline!I74,0))</f>
        <v>0</v>
      </c>
      <c r="R492" s="57">
        <f>(IF(Baseline!C74="Bestaande Situatie",_xlfn.IFNA(VLOOKUP(Referentie_Fossiele_Energie_Totaal[[#This Row],[Product]]&amp;", "&amp;Referentie_Fossiele_Energie_Totaal[[#Headers],[D]],Database_Productkaarten[#All],51,FALSE),0)*Baseline!I74,0))</f>
        <v>0</v>
      </c>
      <c r="S492" s="56">
        <f>SUM(Referentie_Fossiele_Energie_Totaal[[#This Row],[A1-A3]:[C4]])+Referentie_Fossiele_Energie_Totaal[[#This Row],[D]]</f>
        <v>0</v>
      </c>
    </row>
    <row r="493" spans="2:19">
      <c r="B493" s="209">
        <f>Baseline!B75</f>
        <v>0</v>
      </c>
      <c r="C493" s="76">
        <f>Baseline!F75</f>
        <v>0</v>
      </c>
      <c r="D493" s="77">
        <f>(IF(Baseline!C75="Nieuwe Situatie",(_xlfn.IFNA(VLOOKUP(Referentie_Fossiele_Energie_Totaal[[#This Row],[Product]]&amp;", "&amp;Referentie_Fossiele_Energie_Totaal[[#Headers],[A1]],Database_Productkaarten[#All],51,FALSE),0)*Baseline!I75),0))</f>
        <v>0</v>
      </c>
      <c r="E493" s="77">
        <f>(IF(Baseline!C75="Nieuwe Situatie",(_xlfn.IFNA(VLOOKUP(Referentie_Fossiele_Energie_Totaal[[#This Row],[Product]]&amp;", "&amp;Referentie_Fossiele_Energie_Totaal[[#Headers],[A2]],Database_Productkaarten[#All],51,FALSE),0)*Baseline!I75),0))</f>
        <v>0</v>
      </c>
      <c r="F493" s="77">
        <f>(IF(Baseline!C75="Nieuwe Situatie",(_xlfn.IFNA(VLOOKUP(Referentie_Fossiele_Energie_Totaal[[#This Row],[Product]]&amp;", "&amp;Referentie_Fossiele_Energie_Totaal[[#Headers],[A3]],Database_Productkaarten[#All],51,FALSE),0)*Baseline!I75),0))</f>
        <v>0</v>
      </c>
      <c r="G493" s="77">
        <f>(IF(Baseline!C75="Nieuwe Situatie",(_xlfn.IFNA(VLOOKUP(Referentie_Fossiele_Energie_Totaal[[#This Row],[Product]]&amp;", "&amp;Referentie_Fossiele_Energie_Totaal[[#Headers],[A1-A3]],Database_Productkaarten[#All],51,FALSE),0)*Baseline!I75),0))</f>
        <v>0</v>
      </c>
      <c r="H493" s="77">
        <f>IF(Baseline!T75=0,(IF(Baseline!C75="Nieuwe Situatie",(_xlfn.IFNA(VLOOKUP(Referentie_Fossiele_Energie_Totaal[[#This Row],[Product]]&amp;", "&amp;Referentie_CO2_Totaal[[#Headers],[A4]],Database_Productkaarten[#All],51,FALSE),0)*Baseline!I75),0)),IF(Baseline!C75="Nieuwe Situatie",_xlfn.IFNA(VLOOKUP(Baseline!T75,Database_Transport[#All],45,FALSE)*(Baseline!Q75*Baseline!S75),Baseline_Backlog!H178),0))</f>
        <v>0</v>
      </c>
      <c r="I493" s="77">
        <f>IF(Baseline!C75="Nieuwe situatie",IF(_xlfn.IFNA((VLOOKUP(Baseline!U75,Database_Asfalt_Aanlegset[#All],45,FALSE)*Baseline!I75),0)+_xlfn.IFNA(VLOOKUP(Baseline!V75,Database_Brandstoffen[#All],45,FALSE)*((Baseline!I75/Baseline!X75)*Baseline!W75),0)&gt;0,_xlfn.IFNA((VLOOKUP(Baseline!U75,Database_Asfalt_Aanlegset[#All],45,FALSE)*Baseline!I75),0)+_xlfn.IFNA(VLOOKUP(Baseline!V75,Database_Brandstoffen[#All],45,FALSE)*((Baseline!I75/Baseline!X75)*Baseline!W75),0),(_xlfn.IFNA(VLOOKUP(Referentie_Fossiele_Energie_Totaal[[#This Row],[Product]]&amp;", "&amp;Referentie_MKI_Totaal[[#Headers],[A5]],Database_Productkaarten[#All],51,FALSE),0)*Baseline!I75)),0)</f>
        <v>0</v>
      </c>
      <c r="J493" s="77">
        <f>(IF(Baseline!C75="Nieuwe Situatie",(_xlfn.IFNA(VLOOKUP(Referentie_Fossiele_Energie_Totaal[[#This Row],[Product]]&amp;", "&amp;Referentie_Fossiele_Energie_Totaal[[#Headers],[B1]],Database_Productkaarten[#All],51,FALSE),0)*Baseline!I75),0))</f>
        <v>0</v>
      </c>
      <c r="K493" s="77">
        <f>(IF(Baseline!C75="Nieuwe Situatie",(SUM(Referentie_Fossiele_Energie_Totaal[[#This Row],[A1]:[B1]],Referentie_Fossiele_Energie_Totaal[[#This Row],[C1]:[D2]])*Baseline!R75),0))</f>
        <v>0</v>
      </c>
      <c r="L493" s="77">
        <f>IF(Baseline!C75="Bestaande situatie",IF(_xlfn.IFNA((VLOOKUP(Baseline!Y75,Database_Asfalt_Verwijderset[#All],45,FALSE)*Baseline!I75),0)+_xlfn.IFNA(VLOOKUP(Baseline!Z75,Database_Brandstoffen[#All],45,FALSE)*((Baseline!I75/Baseline!AB75)*Baseline!AA75),0)&gt;0,_xlfn.IFNA((VLOOKUP(Baseline!Y75,Database_Asfalt_Verwijderset[#All],45,FALSE)*Baseline!I75),0)+_xlfn.IFNA(VLOOKUP(Baseline!Z75,Database_Brandstoffen[#All],45,FALSE)*((Baseline!I75/Baseline!AB75)*Baseline!AA75),0),(_xlfn.IFNA(VLOOKUP(Referentie_Fossiele_Energie_Totaal[[#This Row],[Product]]&amp;", "&amp;Referentie_MKI_Totaal[[#Headers],[C1]],Database_Productkaarten[#All],51,FALSE),0)*Baseline!I75)),0)</f>
        <v>0</v>
      </c>
      <c r="M493" s="77">
        <f>IF(Baseline!AD75=0,(IF(Baseline!C75="Bestaande Situatie",(_xlfn.IFNA(VLOOKUP(Referentie_Fossiele_Energie_Totaal[[#This Row],[Product]]&amp;", "&amp;Referentie_MKI_Totaal[[#Headers],[C2]],Database_Productkaarten[#All],51,FALSE),0)*Baseline!I75),0)),(IF(Baseline!C75="Bestaande Situatie",_xlfn.IFNA(VLOOKUP(Baseline!AD75,Database_Transport[#All],45,FALSE)*(Baseline!Q75*Baseline!AC75),0))))</f>
        <v>0</v>
      </c>
      <c r="N493" s="77">
        <f>(IF(Baseline!C75="Bestaande Situatie",(_xlfn.IFNA(VLOOKUP(Referentie_Fossiele_Energie_Totaal[[#This Row],[Product]]&amp;", "&amp;Referentie_Fossiele_Energie_Totaal[[#Headers],[C3]],Database_Productkaarten[#All],51,FALSE),0)*Baseline!I75),0))</f>
        <v>0</v>
      </c>
      <c r="O493" s="77">
        <f>(IF(Baseline!C75="Bestaande Situatie",(_xlfn.IFNA(VLOOKUP(Referentie_Fossiele_Energie_Totaal[[#This Row],[Product]]&amp;", "&amp;Referentie_Fossiele_Energie_Totaal[[#Headers],[C4]],Database_Productkaarten[#All],51,FALSE),0)*Baseline!I75),0))</f>
        <v>0</v>
      </c>
      <c r="P493" s="77">
        <f>(IF(Baseline!C75="Bestaande Situatie",(_xlfn.IFNA(VLOOKUP(Referentie_Fossiele_Energie_Totaal[[#This Row],[Product]]&amp;", "&amp;Referentie_Fossiele_Energie_Totaal[[#Headers],[D1]],Database_Productkaarten[#All],51,FALSE),0)*Baseline!I75),0))</f>
        <v>0</v>
      </c>
      <c r="Q493" s="78">
        <f>(IF(Baseline!C75="Bestaande Situatie",_xlfn.IFNA(VLOOKUP(Referentie_Fossiele_Energie_Totaal[[#This Row],[Product]]&amp;", "&amp;Referentie_Fossiele_Energie_Totaal[[#Headers],[D2]],Database_Productkaarten[#All],51,FALSE),0)*Baseline!I75,0))</f>
        <v>0</v>
      </c>
      <c r="R493" s="57">
        <f>(IF(Baseline!C75="Bestaande Situatie",_xlfn.IFNA(VLOOKUP(Referentie_Fossiele_Energie_Totaal[[#This Row],[Product]]&amp;", "&amp;Referentie_Fossiele_Energie_Totaal[[#Headers],[D]],Database_Productkaarten[#All],51,FALSE),0)*Baseline!I75,0))</f>
        <v>0</v>
      </c>
      <c r="S493" s="56">
        <f>SUM(Referentie_Fossiele_Energie_Totaal[[#This Row],[A1-A3]:[C4]])+Referentie_Fossiele_Energie_Totaal[[#This Row],[D]]</f>
        <v>0</v>
      </c>
    </row>
    <row r="494" spans="2:19">
      <c r="B494" s="209">
        <f>Baseline!B76</f>
        <v>0</v>
      </c>
      <c r="C494" s="76">
        <f>Baseline!F76</f>
        <v>0</v>
      </c>
      <c r="D494" s="77">
        <f>(IF(Baseline!C76="Nieuwe Situatie",(_xlfn.IFNA(VLOOKUP(Referentie_Fossiele_Energie_Totaal[[#This Row],[Product]]&amp;", "&amp;Referentie_Fossiele_Energie_Totaal[[#Headers],[A1]],Database_Productkaarten[#All],51,FALSE),0)*Baseline!I76),0))</f>
        <v>0</v>
      </c>
      <c r="E494" s="77">
        <f>(IF(Baseline!C76="Nieuwe Situatie",(_xlfn.IFNA(VLOOKUP(Referentie_Fossiele_Energie_Totaal[[#This Row],[Product]]&amp;", "&amp;Referentie_Fossiele_Energie_Totaal[[#Headers],[A2]],Database_Productkaarten[#All],51,FALSE),0)*Baseline!I76),0))</f>
        <v>0</v>
      </c>
      <c r="F494" s="77">
        <f>(IF(Baseline!C76="Nieuwe Situatie",(_xlfn.IFNA(VLOOKUP(Referentie_Fossiele_Energie_Totaal[[#This Row],[Product]]&amp;", "&amp;Referentie_Fossiele_Energie_Totaal[[#Headers],[A3]],Database_Productkaarten[#All],51,FALSE),0)*Baseline!I76),0))</f>
        <v>0</v>
      </c>
      <c r="G494" s="77">
        <f>(IF(Baseline!C76="Nieuwe Situatie",(_xlfn.IFNA(VLOOKUP(Referentie_Fossiele_Energie_Totaal[[#This Row],[Product]]&amp;", "&amp;Referentie_Fossiele_Energie_Totaal[[#Headers],[A1-A3]],Database_Productkaarten[#All],51,FALSE),0)*Baseline!I76),0))</f>
        <v>0</v>
      </c>
      <c r="H494" s="77">
        <f>IF(Baseline!T76=0,(IF(Baseline!C76="Nieuwe Situatie",(_xlfn.IFNA(VLOOKUP(Referentie_Fossiele_Energie_Totaal[[#This Row],[Product]]&amp;", "&amp;Referentie_CO2_Totaal[[#Headers],[A4]],Database_Productkaarten[#All],51,FALSE),0)*Baseline!I76),0)),IF(Baseline!C76="Nieuwe Situatie",_xlfn.IFNA(VLOOKUP(Baseline!T76,Database_Transport[#All],45,FALSE)*(Baseline!Q76*Baseline!S76),Baseline_Backlog!H179),0))</f>
        <v>0</v>
      </c>
      <c r="I494" s="77">
        <f>IF(Baseline!C76="Nieuwe situatie",IF(_xlfn.IFNA((VLOOKUP(Baseline!U76,Database_Asfalt_Aanlegset[#All],45,FALSE)*Baseline!I76),0)+_xlfn.IFNA(VLOOKUP(Baseline!V76,Database_Brandstoffen[#All],45,FALSE)*((Baseline!I76/Baseline!X76)*Baseline!W76),0)&gt;0,_xlfn.IFNA((VLOOKUP(Baseline!U76,Database_Asfalt_Aanlegset[#All],45,FALSE)*Baseline!I76),0)+_xlfn.IFNA(VLOOKUP(Baseline!V76,Database_Brandstoffen[#All],45,FALSE)*((Baseline!I76/Baseline!X76)*Baseline!W76),0),(_xlfn.IFNA(VLOOKUP(Referentie_Fossiele_Energie_Totaal[[#This Row],[Product]]&amp;", "&amp;Referentie_MKI_Totaal[[#Headers],[A5]],Database_Productkaarten[#All],51,FALSE),0)*Baseline!I76)),0)</f>
        <v>0</v>
      </c>
      <c r="J494" s="77">
        <f>(IF(Baseline!C76="Nieuwe Situatie",(_xlfn.IFNA(VLOOKUP(Referentie_Fossiele_Energie_Totaal[[#This Row],[Product]]&amp;", "&amp;Referentie_Fossiele_Energie_Totaal[[#Headers],[B1]],Database_Productkaarten[#All],51,FALSE),0)*Baseline!I76),0))</f>
        <v>0</v>
      </c>
      <c r="K494" s="77">
        <f>(IF(Baseline!C76="Nieuwe Situatie",(SUM(Referentie_Fossiele_Energie_Totaal[[#This Row],[A1]:[B1]],Referentie_Fossiele_Energie_Totaal[[#This Row],[C1]:[D2]])*Baseline!R76),0))</f>
        <v>0</v>
      </c>
      <c r="L494" s="77">
        <f>IF(Baseline!C76="Bestaande situatie",IF(_xlfn.IFNA((VLOOKUP(Baseline!Y76,Database_Asfalt_Verwijderset[#All],45,FALSE)*Baseline!I76),0)+_xlfn.IFNA(VLOOKUP(Baseline!Z76,Database_Brandstoffen[#All],45,FALSE)*((Baseline!I76/Baseline!AB76)*Baseline!AA76),0)&gt;0,_xlfn.IFNA((VLOOKUP(Baseline!Y76,Database_Asfalt_Verwijderset[#All],45,FALSE)*Baseline!I76),0)+_xlfn.IFNA(VLOOKUP(Baseline!Z76,Database_Brandstoffen[#All],45,FALSE)*((Baseline!I76/Baseline!AB76)*Baseline!AA76),0),(_xlfn.IFNA(VLOOKUP(Referentie_Fossiele_Energie_Totaal[[#This Row],[Product]]&amp;", "&amp;Referentie_MKI_Totaal[[#Headers],[C1]],Database_Productkaarten[#All],51,FALSE),0)*Baseline!I76)),0)</f>
        <v>0</v>
      </c>
      <c r="M494" s="77">
        <f>IF(Baseline!AD76=0,(IF(Baseline!C76="Bestaande Situatie",(_xlfn.IFNA(VLOOKUP(Referentie_Fossiele_Energie_Totaal[[#This Row],[Product]]&amp;", "&amp;Referentie_MKI_Totaal[[#Headers],[C2]],Database_Productkaarten[#All],51,FALSE),0)*Baseline!I76),0)),(IF(Baseline!C76="Bestaande Situatie",_xlfn.IFNA(VLOOKUP(Baseline!AD76,Database_Transport[#All],45,FALSE)*(Baseline!Q76*Baseline!AC76),0))))</f>
        <v>0</v>
      </c>
      <c r="N494" s="77">
        <f>(IF(Baseline!C76="Bestaande Situatie",(_xlfn.IFNA(VLOOKUP(Referentie_Fossiele_Energie_Totaal[[#This Row],[Product]]&amp;", "&amp;Referentie_Fossiele_Energie_Totaal[[#Headers],[C3]],Database_Productkaarten[#All],51,FALSE),0)*Baseline!I76),0))</f>
        <v>0</v>
      </c>
      <c r="O494" s="77">
        <f>(IF(Baseline!C76="Bestaande Situatie",(_xlfn.IFNA(VLOOKUP(Referentie_Fossiele_Energie_Totaal[[#This Row],[Product]]&amp;", "&amp;Referentie_Fossiele_Energie_Totaal[[#Headers],[C4]],Database_Productkaarten[#All],51,FALSE),0)*Baseline!I76),0))</f>
        <v>0</v>
      </c>
      <c r="P494" s="77">
        <f>(IF(Baseline!C76="Bestaande Situatie",(_xlfn.IFNA(VLOOKUP(Referentie_Fossiele_Energie_Totaal[[#This Row],[Product]]&amp;", "&amp;Referentie_Fossiele_Energie_Totaal[[#Headers],[D1]],Database_Productkaarten[#All],51,FALSE),0)*Baseline!I76),0))</f>
        <v>0</v>
      </c>
      <c r="Q494" s="78">
        <f>(IF(Baseline!C76="Bestaande Situatie",_xlfn.IFNA(VLOOKUP(Referentie_Fossiele_Energie_Totaal[[#This Row],[Product]]&amp;", "&amp;Referentie_Fossiele_Energie_Totaal[[#Headers],[D2]],Database_Productkaarten[#All],51,FALSE),0)*Baseline!I76,0))</f>
        <v>0</v>
      </c>
      <c r="R494" s="57">
        <f>(IF(Baseline!C76="Bestaande Situatie",_xlfn.IFNA(VLOOKUP(Referentie_Fossiele_Energie_Totaal[[#This Row],[Product]]&amp;", "&amp;Referentie_Fossiele_Energie_Totaal[[#Headers],[D]],Database_Productkaarten[#All],51,FALSE),0)*Baseline!I76,0))</f>
        <v>0</v>
      </c>
      <c r="S494" s="56">
        <f>SUM(Referentie_Fossiele_Energie_Totaal[[#This Row],[A1-A3]:[C4]])+Referentie_Fossiele_Energie_Totaal[[#This Row],[D]]</f>
        <v>0</v>
      </c>
    </row>
    <row r="495" spans="2:19">
      <c r="B495" s="209">
        <f>Baseline!B77</f>
        <v>0</v>
      </c>
      <c r="C495" s="76">
        <f>Baseline!F77</f>
        <v>0</v>
      </c>
      <c r="D495" s="77">
        <f>(IF(Baseline!C77="Nieuwe Situatie",(_xlfn.IFNA(VLOOKUP(Referentie_Fossiele_Energie_Totaal[[#This Row],[Product]]&amp;", "&amp;Referentie_Fossiele_Energie_Totaal[[#Headers],[A1]],Database_Productkaarten[#All],51,FALSE),0)*Baseline!I77),0))</f>
        <v>0</v>
      </c>
      <c r="E495" s="77">
        <f>(IF(Baseline!C77="Nieuwe Situatie",(_xlfn.IFNA(VLOOKUP(Referentie_Fossiele_Energie_Totaal[[#This Row],[Product]]&amp;", "&amp;Referentie_Fossiele_Energie_Totaal[[#Headers],[A2]],Database_Productkaarten[#All],51,FALSE),0)*Baseline!I77),0))</f>
        <v>0</v>
      </c>
      <c r="F495" s="77">
        <f>(IF(Baseline!C77="Nieuwe Situatie",(_xlfn.IFNA(VLOOKUP(Referentie_Fossiele_Energie_Totaal[[#This Row],[Product]]&amp;", "&amp;Referentie_Fossiele_Energie_Totaal[[#Headers],[A3]],Database_Productkaarten[#All],51,FALSE),0)*Baseline!I77),0))</f>
        <v>0</v>
      </c>
      <c r="G495" s="77">
        <f>(IF(Baseline!C77="Nieuwe Situatie",(_xlfn.IFNA(VLOOKUP(Referentie_Fossiele_Energie_Totaal[[#This Row],[Product]]&amp;", "&amp;Referentie_Fossiele_Energie_Totaal[[#Headers],[A1-A3]],Database_Productkaarten[#All],51,FALSE),0)*Baseline!I77),0))</f>
        <v>0</v>
      </c>
      <c r="H495" s="77">
        <f>IF(Baseline!T77=0,(IF(Baseline!C77="Nieuwe Situatie",(_xlfn.IFNA(VLOOKUP(Referentie_Fossiele_Energie_Totaal[[#This Row],[Product]]&amp;", "&amp;Referentie_CO2_Totaal[[#Headers],[A4]],Database_Productkaarten[#All],51,FALSE),0)*Baseline!I77),0)),IF(Baseline!C77="Nieuwe Situatie",_xlfn.IFNA(VLOOKUP(Baseline!T77,Database_Transport[#All],45,FALSE)*(Baseline!Q77*Baseline!S77),Baseline_Backlog!H180),0))</f>
        <v>0</v>
      </c>
      <c r="I495" s="77">
        <f>IF(Baseline!C77="Nieuwe situatie",IF(_xlfn.IFNA((VLOOKUP(Baseline!U77,Database_Asfalt_Aanlegset[#All],45,FALSE)*Baseline!I77),0)+_xlfn.IFNA(VLOOKUP(Baseline!V77,Database_Brandstoffen[#All],45,FALSE)*((Baseline!I77/Baseline!X77)*Baseline!W77),0)&gt;0,_xlfn.IFNA((VLOOKUP(Baseline!U77,Database_Asfalt_Aanlegset[#All],45,FALSE)*Baseline!I77),0)+_xlfn.IFNA(VLOOKUP(Baseline!V77,Database_Brandstoffen[#All],45,FALSE)*((Baseline!I77/Baseline!X77)*Baseline!W77),0),(_xlfn.IFNA(VLOOKUP(Referentie_Fossiele_Energie_Totaal[[#This Row],[Product]]&amp;", "&amp;Referentie_MKI_Totaal[[#Headers],[A5]],Database_Productkaarten[#All],51,FALSE),0)*Baseline!I77)),0)</f>
        <v>0</v>
      </c>
      <c r="J495" s="77">
        <f>(IF(Baseline!C77="Nieuwe Situatie",(_xlfn.IFNA(VLOOKUP(Referentie_Fossiele_Energie_Totaal[[#This Row],[Product]]&amp;", "&amp;Referentie_Fossiele_Energie_Totaal[[#Headers],[B1]],Database_Productkaarten[#All],51,FALSE),0)*Baseline!I77),0))</f>
        <v>0</v>
      </c>
      <c r="K495" s="77">
        <f>(IF(Baseline!C77="Nieuwe Situatie",(SUM(Referentie_Fossiele_Energie_Totaal[[#This Row],[A1]:[B1]],Referentie_Fossiele_Energie_Totaal[[#This Row],[C1]:[D2]])*Baseline!R77),0))</f>
        <v>0</v>
      </c>
      <c r="L495" s="77">
        <f>IF(Baseline!C77="Bestaande situatie",IF(_xlfn.IFNA((VLOOKUP(Baseline!Y77,Database_Asfalt_Verwijderset[#All],45,FALSE)*Baseline!I77),0)+_xlfn.IFNA(VLOOKUP(Baseline!Z77,Database_Brandstoffen[#All],45,FALSE)*((Baseline!I77/Baseline!AB77)*Baseline!AA77),0)&gt;0,_xlfn.IFNA((VLOOKUP(Baseline!Y77,Database_Asfalt_Verwijderset[#All],45,FALSE)*Baseline!I77),0)+_xlfn.IFNA(VLOOKUP(Baseline!Z77,Database_Brandstoffen[#All],45,FALSE)*((Baseline!I77/Baseline!AB77)*Baseline!AA77),0),(_xlfn.IFNA(VLOOKUP(Referentie_Fossiele_Energie_Totaal[[#This Row],[Product]]&amp;", "&amp;Referentie_MKI_Totaal[[#Headers],[C1]],Database_Productkaarten[#All],51,FALSE),0)*Baseline!I77)),0)</f>
        <v>0</v>
      </c>
      <c r="M495" s="77">
        <f>IF(Baseline!AD77=0,(IF(Baseline!C77="Bestaande Situatie",(_xlfn.IFNA(VLOOKUP(Referentie_Fossiele_Energie_Totaal[[#This Row],[Product]]&amp;", "&amp;Referentie_MKI_Totaal[[#Headers],[C2]],Database_Productkaarten[#All],51,FALSE),0)*Baseline!I77),0)),(IF(Baseline!C77="Bestaande Situatie",_xlfn.IFNA(VLOOKUP(Baseline!AD77,Database_Transport[#All],45,FALSE)*(Baseline!Q77*Baseline!AC77),0))))</f>
        <v>0</v>
      </c>
      <c r="N495" s="77">
        <f>(IF(Baseline!C77="Bestaande Situatie",(_xlfn.IFNA(VLOOKUP(Referentie_Fossiele_Energie_Totaal[[#This Row],[Product]]&amp;", "&amp;Referentie_Fossiele_Energie_Totaal[[#Headers],[C3]],Database_Productkaarten[#All],51,FALSE),0)*Baseline!I77),0))</f>
        <v>0</v>
      </c>
      <c r="O495" s="77">
        <f>(IF(Baseline!C77="Bestaande Situatie",(_xlfn.IFNA(VLOOKUP(Referentie_Fossiele_Energie_Totaal[[#This Row],[Product]]&amp;", "&amp;Referentie_Fossiele_Energie_Totaal[[#Headers],[C4]],Database_Productkaarten[#All],51,FALSE),0)*Baseline!I77),0))</f>
        <v>0</v>
      </c>
      <c r="P495" s="77">
        <f>(IF(Baseline!C77="Bestaande Situatie",(_xlfn.IFNA(VLOOKUP(Referentie_Fossiele_Energie_Totaal[[#This Row],[Product]]&amp;", "&amp;Referentie_Fossiele_Energie_Totaal[[#Headers],[D1]],Database_Productkaarten[#All],51,FALSE),0)*Baseline!I77),0))</f>
        <v>0</v>
      </c>
      <c r="Q495" s="78">
        <f>(IF(Baseline!C77="Bestaande Situatie",_xlfn.IFNA(VLOOKUP(Referentie_Fossiele_Energie_Totaal[[#This Row],[Product]]&amp;", "&amp;Referentie_Fossiele_Energie_Totaal[[#Headers],[D2]],Database_Productkaarten[#All],51,FALSE),0)*Baseline!I77,0))</f>
        <v>0</v>
      </c>
      <c r="R495" s="57">
        <f>(IF(Baseline!C77="Bestaande Situatie",_xlfn.IFNA(VLOOKUP(Referentie_Fossiele_Energie_Totaal[[#This Row],[Product]]&amp;", "&amp;Referentie_Fossiele_Energie_Totaal[[#Headers],[D]],Database_Productkaarten[#All],51,FALSE),0)*Baseline!I77,0))</f>
        <v>0</v>
      </c>
      <c r="S495" s="56">
        <f>SUM(Referentie_Fossiele_Energie_Totaal[[#This Row],[A1-A3]:[C4]])+Referentie_Fossiele_Energie_Totaal[[#This Row],[D]]</f>
        <v>0</v>
      </c>
    </row>
    <row r="496" spans="2:19">
      <c r="B496" s="209">
        <f>Baseline!B78</f>
        <v>0</v>
      </c>
      <c r="C496" s="76">
        <f>Baseline!F78</f>
        <v>0</v>
      </c>
      <c r="D496" s="77">
        <f>(IF(Baseline!C78="Nieuwe Situatie",(_xlfn.IFNA(VLOOKUP(Referentie_Fossiele_Energie_Totaal[[#This Row],[Product]]&amp;", "&amp;Referentie_Fossiele_Energie_Totaal[[#Headers],[A1]],Database_Productkaarten[#All],51,FALSE),0)*Baseline!I78),0))</f>
        <v>0</v>
      </c>
      <c r="E496" s="77">
        <f>(IF(Baseline!C78="Nieuwe Situatie",(_xlfn.IFNA(VLOOKUP(Referentie_Fossiele_Energie_Totaal[[#This Row],[Product]]&amp;", "&amp;Referentie_Fossiele_Energie_Totaal[[#Headers],[A2]],Database_Productkaarten[#All],51,FALSE),0)*Baseline!I78),0))</f>
        <v>0</v>
      </c>
      <c r="F496" s="77">
        <f>(IF(Baseline!C78="Nieuwe Situatie",(_xlfn.IFNA(VLOOKUP(Referentie_Fossiele_Energie_Totaal[[#This Row],[Product]]&amp;", "&amp;Referentie_Fossiele_Energie_Totaal[[#Headers],[A3]],Database_Productkaarten[#All],51,FALSE),0)*Baseline!I78),0))</f>
        <v>0</v>
      </c>
      <c r="G496" s="77">
        <f>(IF(Baseline!C78="Nieuwe Situatie",(_xlfn.IFNA(VLOOKUP(Referentie_Fossiele_Energie_Totaal[[#This Row],[Product]]&amp;", "&amp;Referentie_Fossiele_Energie_Totaal[[#Headers],[A1-A3]],Database_Productkaarten[#All],51,FALSE),0)*Baseline!I78),0))</f>
        <v>0</v>
      </c>
      <c r="H496" s="77">
        <f>IF(Baseline!T78=0,(IF(Baseline!C78="Nieuwe Situatie",(_xlfn.IFNA(VLOOKUP(Referentie_Fossiele_Energie_Totaal[[#This Row],[Product]]&amp;", "&amp;Referentie_CO2_Totaal[[#Headers],[A4]],Database_Productkaarten[#All],51,FALSE),0)*Baseline!I78),0)),IF(Baseline!C78="Nieuwe Situatie",_xlfn.IFNA(VLOOKUP(Baseline!T78,Database_Transport[#All],45,FALSE)*(Baseline!Q78*Baseline!S78),Baseline_Backlog!H181),0))</f>
        <v>0</v>
      </c>
      <c r="I496" s="77">
        <f>IF(Baseline!C78="Nieuwe situatie",IF(_xlfn.IFNA((VLOOKUP(Baseline!U78,Database_Asfalt_Aanlegset[#All],45,FALSE)*Baseline!I78),0)+_xlfn.IFNA(VLOOKUP(Baseline!V78,Database_Brandstoffen[#All],45,FALSE)*((Baseline!I78/Baseline!X78)*Baseline!W78),0)&gt;0,_xlfn.IFNA((VLOOKUP(Baseline!U78,Database_Asfalt_Aanlegset[#All],45,FALSE)*Baseline!I78),0)+_xlfn.IFNA(VLOOKUP(Baseline!V78,Database_Brandstoffen[#All],45,FALSE)*((Baseline!I78/Baseline!X78)*Baseline!W78),0),(_xlfn.IFNA(VLOOKUP(Referentie_Fossiele_Energie_Totaal[[#This Row],[Product]]&amp;", "&amp;Referentie_MKI_Totaal[[#Headers],[A5]],Database_Productkaarten[#All],51,FALSE),0)*Baseline!I78)),0)</f>
        <v>0</v>
      </c>
      <c r="J496" s="77">
        <f>(IF(Baseline!C78="Nieuwe Situatie",(_xlfn.IFNA(VLOOKUP(Referentie_Fossiele_Energie_Totaal[[#This Row],[Product]]&amp;", "&amp;Referentie_Fossiele_Energie_Totaal[[#Headers],[B1]],Database_Productkaarten[#All],51,FALSE),0)*Baseline!I78),0))</f>
        <v>0</v>
      </c>
      <c r="K496" s="77">
        <f>(IF(Baseline!C78="Nieuwe Situatie",(SUM(Referentie_Fossiele_Energie_Totaal[[#This Row],[A1]:[B1]],Referentie_Fossiele_Energie_Totaal[[#This Row],[C1]:[D2]])*Baseline!R78),0))</f>
        <v>0</v>
      </c>
      <c r="L496" s="77">
        <f>IF(Baseline!C78="Bestaande situatie",IF(_xlfn.IFNA((VLOOKUP(Baseline!Y78,Database_Asfalt_Verwijderset[#All],45,FALSE)*Baseline!I78),0)+_xlfn.IFNA(VLOOKUP(Baseline!Z78,Database_Brandstoffen[#All],45,FALSE)*((Baseline!I78/Baseline!AB78)*Baseline!AA78),0)&gt;0,_xlfn.IFNA((VLOOKUP(Baseline!Y78,Database_Asfalt_Verwijderset[#All],45,FALSE)*Baseline!I78),0)+_xlfn.IFNA(VLOOKUP(Baseline!Z78,Database_Brandstoffen[#All],45,FALSE)*((Baseline!I78/Baseline!AB78)*Baseline!AA78),0),(_xlfn.IFNA(VLOOKUP(Referentie_Fossiele_Energie_Totaal[[#This Row],[Product]]&amp;", "&amp;Referentie_MKI_Totaal[[#Headers],[C1]],Database_Productkaarten[#All],51,FALSE),0)*Baseline!I78)),0)</f>
        <v>0</v>
      </c>
      <c r="M496" s="77">
        <f>IF(Baseline!AD78=0,(IF(Baseline!C78="Bestaande Situatie",(_xlfn.IFNA(VLOOKUP(Referentie_Fossiele_Energie_Totaal[[#This Row],[Product]]&amp;", "&amp;Referentie_MKI_Totaal[[#Headers],[C2]],Database_Productkaarten[#All],51,FALSE),0)*Baseline!I78),0)),(IF(Baseline!C78="Bestaande Situatie",_xlfn.IFNA(VLOOKUP(Baseline!AD78,Database_Transport[#All],45,FALSE)*(Baseline!Q78*Baseline!AC78),0))))</f>
        <v>0</v>
      </c>
      <c r="N496" s="77">
        <f>(IF(Baseline!C78="Bestaande Situatie",(_xlfn.IFNA(VLOOKUP(Referentie_Fossiele_Energie_Totaal[[#This Row],[Product]]&amp;", "&amp;Referentie_Fossiele_Energie_Totaal[[#Headers],[C3]],Database_Productkaarten[#All],51,FALSE),0)*Baseline!I78),0))</f>
        <v>0</v>
      </c>
      <c r="O496" s="77">
        <f>(IF(Baseline!C78="Bestaande Situatie",(_xlfn.IFNA(VLOOKUP(Referentie_Fossiele_Energie_Totaal[[#This Row],[Product]]&amp;", "&amp;Referentie_Fossiele_Energie_Totaal[[#Headers],[C4]],Database_Productkaarten[#All],51,FALSE),0)*Baseline!I78),0))</f>
        <v>0</v>
      </c>
      <c r="P496" s="77">
        <f>(IF(Baseline!C78="Bestaande Situatie",(_xlfn.IFNA(VLOOKUP(Referentie_Fossiele_Energie_Totaal[[#This Row],[Product]]&amp;", "&amp;Referentie_Fossiele_Energie_Totaal[[#Headers],[D1]],Database_Productkaarten[#All],51,FALSE),0)*Baseline!I78),0))</f>
        <v>0</v>
      </c>
      <c r="Q496" s="78">
        <f>(IF(Baseline!C78="Bestaande Situatie",_xlfn.IFNA(VLOOKUP(Referentie_Fossiele_Energie_Totaal[[#This Row],[Product]]&amp;", "&amp;Referentie_Fossiele_Energie_Totaal[[#Headers],[D2]],Database_Productkaarten[#All],51,FALSE),0)*Baseline!I78,0))</f>
        <v>0</v>
      </c>
      <c r="R496" s="57">
        <f>(IF(Baseline!C78="Bestaande Situatie",_xlfn.IFNA(VLOOKUP(Referentie_Fossiele_Energie_Totaal[[#This Row],[Product]]&amp;", "&amp;Referentie_Fossiele_Energie_Totaal[[#Headers],[D]],Database_Productkaarten[#All],51,FALSE),0)*Baseline!I78,0))</f>
        <v>0</v>
      </c>
      <c r="S496" s="56">
        <f>SUM(Referentie_Fossiele_Energie_Totaal[[#This Row],[A1-A3]:[C4]])+Referentie_Fossiele_Energie_Totaal[[#This Row],[D]]</f>
        <v>0</v>
      </c>
    </row>
    <row r="497" spans="2:19">
      <c r="B497" s="209">
        <f>Baseline!B79</f>
        <v>0</v>
      </c>
      <c r="C497" s="76">
        <f>Baseline!F79</f>
        <v>0</v>
      </c>
      <c r="D497" s="77">
        <f>(IF(Baseline!C79="Nieuwe Situatie",(_xlfn.IFNA(VLOOKUP(Referentie_Fossiele_Energie_Totaal[[#This Row],[Product]]&amp;", "&amp;Referentie_Fossiele_Energie_Totaal[[#Headers],[A1]],Database_Productkaarten[#All],51,FALSE),0)*Baseline!I79),0))</f>
        <v>0</v>
      </c>
      <c r="E497" s="77">
        <f>(IF(Baseline!C79="Nieuwe Situatie",(_xlfn.IFNA(VLOOKUP(Referentie_Fossiele_Energie_Totaal[[#This Row],[Product]]&amp;", "&amp;Referentie_Fossiele_Energie_Totaal[[#Headers],[A2]],Database_Productkaarten[#All],51,FALSE),0)*Baseline!I79),0))</f>
        <v>0</v>
      </c>
      <c r="F497" s="77">
        <f>(IF(Baseline!C79="Nieuwe Situatie",(_xlfn.IFNA(VLOOKUP(Referentie_Fossiele_Energie_Totaal[[#This Row],[Product]]&amp;", "&amp;Referentie_Fossiele_Energie_Totaal[[#Headers],[A3]],Database_Productkaarten[#All],51,FALSE),0)*Baseline!I79),0))</f>
        <v>0</v>
      </c>
      <c r="G497" s="77">
        <f>(IF(Baseline!C79="Nieuwe Situatie",(_xlfn.IFNA(VLOOKUP(Referentie_Fossiele_Energie_Totaal[[#This Row],[Product]]&amp;", "&amp;Referentie_Fossiele_Energie_Totaal[[#Headers],[A1-A3]],Database_Productkaarten[#All],51,FALSE),0)*Baseline!I79),0))</f>
        <v>0</v>
      </c>
      <c r="H497" s="77">
        <f>IF(Baseline!T79=0,(IF(Baseline!C79="Nieuwe Situatie",(_xlfn.IFNA(VLOOKUP(Referentie_Fossiele_Energie_Totaal[[#This Row],[Product]]&amp;", "&amp;Referentie_CO2_Totaal[[#Headers],[A4]],Database_Productkaarten[#All],51,FALSE),0)*Baseline!I79),0)),IF(Baseline!C79="Nieuwe Situatie",_xlfn.IFNA(VLOOKUP(Baseline!T79,Database_Transport[#All],45,FALSE)*(Baseline!Q79*Baseline!S79),Baseline_Backlog!H182),0))</f>
        <v>0</v>
      </c>
      <c r="I497" s="77">
        <f>IF(Baseline!C79="Nieuwe situatie",IF(_xlfn.IFNA((VLOOKUP(Baseline!U79,Database_Asfalt_Aanlegset[#All],45,FALSE)*Baseline!I79),0)+_xlfn.IFNA(VLOOKUP(Baseline!V79,Database_Brandstoffen[#All],45,FALSE)*((Baseline!I79/Baseline!X79)*Baseline!W79),0)&gt;0,_xlfn.IFNA((VLOOKUP(Baseline!U79,Database_Asfalt_Aanlegset[#All],45,FALSE)*Baseline!I79),0)+_xlfn.IFNA(VLOOKUP(Baseline!V79,Database_Brandstoffen[#All],45,FALSE)*((Baseline!I79/Baseline!X79)*Baseline!W79),0),(_xlfn.IFNA(VLOOKUP(Referentie_Fossiele_Energie_Totaal[[#This Row],[Product]]&amp;", "&amp;Referentie_MKI_Totaal[[#Headers],[A5]],Database_Productkaarten[#All],51,FALSE),0)*Baseline!I79)),0)</f>
        <v>0</v>
      </c>
      <c r="J497" s="77">
        <f>(IF(Baseline!C79="Nieuwe Situatie",(_xlfn.IFNA(VLOOKUP(Referentie_Fossiele_Energie_Totaal[[#This Row],[Product]]&amp;", "&amp;Referentie_Fossiele_Energie_Totaal[[#Headers],[B1]],Database_Productkaarten[#All],51,FALSE),0)*Baseline!I79),0))</f>
        <v>0</v>
      </c>
      <c r="K497" s="77">
        <f>(IF(Baseline!C79="Nieuwe Situatie",(SUM(Referentie_Fossiele_Energie_Totaal[[#This Row],[A1]:[B1]],Referentie_Fossiele_Energie_Totaal[[#This Row],[C1]:[D2]])*Baseline!R79),0))</f>
        <v>0</v>
      </c>
      <c r="L497" s="77">
        <f>IF(Baseline!C79="Bestaande situatie",IF(_xlfn.IFNA((VLOOKUP(Baseline!Y79,Database_Asfalt_Verwijderset[#All],45,FALSE)*Baseline!I79),0)+_xlfn.IFNA(VLOOKUP(Baseline!Z79,Database_Brandstoffen[#All],45,FALSE)*((Baseline!I79/Baseline!AB79)*Baseline!AA79),0)&gt;0,_xlfn.IFNA((VLOOKUP(Baseline!Y79,Database_Asfalt_Verwijderset[#All],45,FALSE)*Baseline!I79),0)+_xlfn.IFNA(VLOOKUP(Baseline!Z79,Database_Brandstoffen[#All],45,FALSE)*((Baseline!I79/Baseline!AB79)*Baseline!AA79),0),(_xlfn.IFNA(VLOOKUP(Referentie_Fossiele_Energie_Totaal[[#This Row],[Product]]&amp;", "&amp;Referentie_MKI_Totaal[[#Headers],[C1]],Database_Productkaarten[#All],51,FALSE),0)*Baseline!I79)),0)</f>
        <v>0</v>
      </c>
      <c r="M497" s="77">
        <f>IF(Baseline!AD79=0,(IF(Baseline!C79="Bestaande Situatie",(_xlfn.IFNA(VLOOKUP(Referentie_Fossiele_Energie_Totaal[[#This Row],[Product]]&amp;", "&amp;Referentie_MKI_Totaal[[#Headers],[C2]],Database_Productkaarten[#All],51,FALSE),0)*Baseline!I79),0)),(IF(Baseline!C79="Bestaande Situatie",_xlfn.IFNA(VLOOKUP(Baseline!AD79,Database_Transport[#All],45,FALSE)*(Baseline!Q79*Baseline!AC79),0))))</f>
        <v>0</v>
      </c>
      <c r="N497" s="77">
        <f>(IF(Baseline!C79="Bestaande Situatie",(_xlfn.IFNA(VLOOKUP(Referentie_Fossiele_Energie_Totaal[[#This Row],[Product]]&amp;", "&amp;Referentie_Fossiele_Energie_Totaal[[#Headers],[C3]],Database_Productkaarten[#All],51,FALSE),0)*Baseline!I79),0))</f>
        <v>0</v>
      </c>
      <c r="O497" s="77">
        <f>(IF(Baseline!C79="Bestaande Situatie",(_xlfn.IFNA(VLOOKUP(Referentie_Fossiele_Energie_Totaal[[#This Row],[Product]]&amp;", "&amp;Referentie_Fossiele_Energie_Totaal[[#Headers],[C4]],Database_Productkaarten[#All],51,FALSE),0)*Baseline!I79),0))</f>
        <v>0</v>
      </c>
      <c r="P497" s="77">
        <f>(IF(Baseline!C79="Bestaande Situatie",(_xlfn.IFNA(VLOOKUP(Referentie_Fossiele_Energie_Totaal[[#This Row],[Product]]&amp;", "&amp;Referentie_Fossiele_Energie_Totaal[[#Headers],[D1]],Database_Productkaarten[#All],51,FALSE),0)*Baseline!I79),0))</f>
        <v>0</v>
      </c>
      <c r="Q497" s="78">
        <f>(IF(Baseline!C79="Bestaande Situatie",_xlfn.IFNA(VLOOKUP(Referentie_Fossiele_Energie_Totaal[[#This Row],[Product]]&amp;", "&amp;Referentie_Fossiele_Energie_Totaal[[#Headers],[D2]],Database_Productkaarten[#All],51,FALSE),0)*Baseline!I79,0))</f>
        <v>0</v>
      </c>
      <c r="R497" s="57">
        <f>(IF(Baseline!C79="Bestaande Situatie",_xlfn.IFNA(VLOOKUP(Referentie_Fossiele_Energie_Totaal[[#This Row],[Product]]&amp;", "&amp;Referentie_Fossiele_Energie_Totaal[[#Headers],[D]],Database_Productkaarten[#All],51,FALSE),0)*Baseline!I79,0))</f>
        <v>0</v>
      </c>
      <c r="S497" s="56">
        <f>SUM(Referentie_Fossiele_Energie_Totaal[[#This Row],[A1-A3]:[C4]])+Referentie_Fossiele_Energie_Totaal[[#This Row],[D]]</f>
        <v>0</v>
      </c>
    </row>
    <row r="498" spans="2:19">
      <c r="B498" s="209">
        <f>Baseline!B80</f>
        <v>0</v>
      </c>
      <c r="C498" s="76">
        <f>Baseline!F80</f>
        <v>0</v>
      </c>
      <c r="D498" s="77">
        <f>(IF(Baseline!C80="Nieuwe Situatie",(_xlfn.IFNA(VLOOKUP(Referentie_Fossiele_Energie_Totaal[[#This Row],[Product]]&amp;", "&amp;Referentie_Fossiele_Energie_Totaal[[#Headers],[A1]],Database_Productkaarten[#All],51,FALSE),0)*Baseline!I80),0))</f>
        <v>0</v>
      </c>
      <c r="E498" s="77">
        <f>(IF(Baseline!C80="Nieuwe Situatie",(_xlfn.IFNA(VLOOKUP(Referentie_Fossiele_Energie_Totaal[[#This Row],[Product]]&amp;", "&amp;Referentie_Fossiele_Energie_Totaal[[#Headers],[A2]],Database_Productkaarten[#All],51,FALSE),0)*Baseline!I80),0))</f>
        <v>0</v>
      </c>
      <c r="F498" s="77">
        <f>(IF(Baseline!C80="Nieuwe Situatie",(_xlfn.IFNA(VLOOKUP(Referentie_Fossiele_Energie_Totaal[[#This Row],[Product]]&amp;", "&amp;Referentie_Fossiele_Energie_Totaal[[#Headers],[A3]],Database_Productkaarten[#All],51,FALSE),0)*Baseline!I80),0))</f>
        <v>0</v>
      </c>
      <c r="G498" s="77">
        <f>(IF(Baseline!C80="Nieuwe Situatie",(_xlfn.IFNA(VLOOKUP(Referentie_Fossiele_Energie_Totaal[[#This Row],[Product]]&amp;", "&amp;Referentie_Fossiele_Energie_Totaal[[#Headers],[A1-A3]],Database_Productkaarten[#All],51,FALSE),0)*Baseline!I80),0))</f>
        <v>0</v>
      </c>
      <c r="H498" s="77">
        <f>IF(Baseline!T80=0,(IF(Baseline!C80="Nieuwe Situatie",(_xlfn.IFNA(VLOOKUP(Referentie_Fossiele_Energie_Totaal[[#This Row],[Product]]&amp;", "&amp;Referentie_CO2_Totaal[[#Headers],[A4]],Database_Productkaarten[#All],51,FALSE),0)*Baseline!I80),0)),IF(Baseline!C80="Nieuwe Situatie",_xlfn.IFNA(VLOOKUP(Baseline!T80,Database_Transport[#All],45,FALSE)*(Baseline!Q80*Baseline!S80),Baseline_Backlog!H183),0))</f>
        <v>0</v>
      </c>
      <c r="I498" s="77">
        <f>IF(Baseline!C80="Nieuwe situatie",IF(_xlfn.IFNA((VLOOKUP(Baseline!U80,Database_Asfalt_Aanlegset[#All],45,FALSE)*Baseline!I80),0)+_xlfn.IFNA(VLOOKUP(Baseline!V80,Database_Brandstoffen[#All],45,FALSE)*((Baseline!I80/Baseline!X80)*Baseline!W80),0)&gt;0,_xlfn.IFNA((VLOOKUP(Baseline!U80,Database_Asfalt_Aanlegset[#All],45,FALSE)*Baseline!I80),0)+_xlfn.IFNA(VLOOKUP(Baseline!V80,Database_Brandstoffen[#All],45,FALSE)*((Baseline!I80/Baseline!X80)*Baseline!W80),0),(_xlfn.IFNA(VLOOKUP(Referentie_Fossiele_Energie_Totaal[[#This Row],[Product]]&amp;", "&amp;Referentie_MKI_Totaal[[#Headers],[A5]],Database_Productkaarten[#All],51,FALSE),0)*Baseline!I80)),0)</f>
        <v>0</v>
      </c>
      <c r="J498" s="77">
        <f>(IF(Baseline!C80="Nieuwe Situatie",(_xlfn.IFNA(VLOOKUP(Referentie_Fossiele_Energie_Totaal[[#This Row],[Product]]&amp;", "&amp;Referentie_Fossiele_Energie_Totaal[[#Headers],[B1]],Database_Productkaarten[#All],51,FALSE),0)*Baseline!I80),0))</f>
        <v>0</v>
      </c>
      <c r="K498" s="77">
        <f>(IF(Baseline!C80="Nieuwe Situatie",(SUM(Referentie_Fossiele_Energie_Totaal[[#This Row],[A1]:[B1]],Referentie_Fossiele_Energie_Totaal[[#This Row],[C1]:[D2]])*Baseline!R80),0))</f>
        <v>0</v>
      </c>
      <c r="L498" s="77">
        <f>IF(Baseline!C80="Bestaande situatie",IF(_xlfn.IFNA((VLOOKUP(Baseline!Y80,Database_Asfalt_Verwijderset[#All],45,FALSE)*Baseline!I80),0)+_xlfn.IFNA(VLOOKUP(Baseline!Z80,Database_Brandstoffen[#All],45,FALSE)*((Baseline!I80/Baseline!AB80)*Baseline!AA80),0)&gt;0,_xlfn.IFNA((VLOOKUP(Baseline!Y80,Database_Asfalt_Verwijderset[#All],45,FALSE)*Baseline!I80),0)+_xlfn.IFNA(VLOOKUP(Baseline!Z80,Database_Brandstoffen[#All],45,FALSE)*((Baseline!I80/Baseline!AB80)*Baseline!AA80),0),(_xlfn.IFNA(VLOOKUP(Referentie_Fossiele_Energie_Totaal[[#This Row],[Product]]&amp;", "&amp;Referentie_MKI_Totaal[[#Headers],[C1]],Database_Productkaarten[#All],51,FALSE),0)*Baseline!I80)),0)</f>
        <v>0</v>
      </c>
      <c r="M498" s="77">
        <f>IF(Baseline!AD80=0,(IF(Baseline!C80="Bestaande Situatie",(_xlfn.IFNA(VLOOKUP(Referentie_Fossiele_Energie_Totaal[[#This Row],[Product]]&amp;", "&amp;Referentie_MKI_Totaal[[#Headers],[C2]],Database_Productkaarten[#All],51,FALSE),0)*Baseline!I80),0)),(IF(Baseline!C80="Bestaande Situatie",_xlfn.IFNA(VLOOKUP(Baseline!AD80,Database_Transport[#All],45,FALSE)*(Baseline!Q80*Baseline!AC80),0))))</f>
        <v>0</v>
      </c>
      <c r="N498" s="77">
        <f>(IF(Baseline!C80="Bestaande Situatie",(_xlfn.IFNA(VLOOKUP(Referentie_Fossiele_Energie_Totaal[[#This Row],[Product]]&amp;", "&amp;Referentie_Fossiele_Energie_Totaal[[#Headers],[C3]],Database_Productkaarten[#All],51,FALSE),0)*Baseline!I80),0))</f>
        <v>0</v>
      </c>
      <c r="O498" s="77">
        <f>(IF(Baseline!C80="Bestaande Situatie",(_xlfn.IFNA(VLOOKUP(Referentie_Fossiele_Energie_Totaal[[#This Row],[Product]]&amp;", "&amp;Referentie_Fossiele_Energie_Totaal[[#Headers],[C4]],Database_Productkaarten[#All],51,FALSE),0)*Baseline!I80),0))</f>
        <v>0</v>
      </c>
      <c r="P498" s="77">
        <f>(IF(Baseline!C80="Bestaande Situatie",(_xlfn.IFNA(VLOOKUP(Referentie_Fossiele_Energie_Totaal[[#This Row],[Product]]&amp;", "&amp;Referentie_Fossiele_Energie_Totaal[[#Headers],[D1]],Database_Productkaarten[#All],51,FALSE),0)*Baseline!I80),0))</f>
        <v>0</v>
      </c>
      <c r="Q498" s="78">
        <f>(IF(Baseline!C80="Bestaande Situatie",_xlfn.IFNA(VLOOKUP(Referentie_Fossiele_Energie_Totaal[[#This Row],[Product]]&amp;", "&amp;Referentie_Fossiele_Energie_Totaal[[#Headers],[D2]],Database_Productkaarten[#All],51,FALSE),0)*Baseline!I80,0))</f>
        <v>0</v>
      </c>
      <c r="R498" s="57">
        <f>(IF(Baseline!C80="Bestaande Situatie",_xlfn.IFNA(VLOOKUP(Referentie_Fossiele_Energie_Totaal[[#This Row],[Product]]&amp;", "&amp;Referentie_Fossiele_Energie_Totaal[[#Headers],[D]],Database_Productkaarten[#All],51,FALSE),0)*Baseline!I80,0))</f>
        <v>0</v>
      </c>
      <c r="S498" s="56">
        <f>SUM(Referentie_Fossiele_Energie_Totaal[[#This Row],[A1-A3]:[C4]])+Referentie_Fossiele_Energie_Totaal[[#This Row],[D]]</f>
        <v>0</v>
      </c>
    </row>
    <row r="499" spans="2:19">
      <c r="B499" s="209">
        <f>Baseline!B81</f>
        <v>0</v>
      </c>
      <c r="C499" s="76">
        <f>Baseline!F81</f>
        <v>0</v>
      </c>
      <c r="D499" s="77">
        <f>(IF(Baseline!C81="Nieuwe Situatie",(_xlfn.IFNA(VLOOKUP(Referentie_Fossiele_Energie_Totaal[[#This Row],[Product]]&amp;", "&amp;Referentie_Fossiele_Energie_Totaal[[#Headers],[A1]],Database_Productkaarten[#All],51,FALSE),0)*Baseline!I81),0))</f>
        <v>0</v>
      </c>
      <c r="E499" s="77">
        <f>(IF(Baseline!C81="Nieuwe Situatie",(_xlfn.IFNA(VLOOKUP(Referentie_Fossiele_Energie_Totaal[[#This Row],[Product]]&amp;", "&amp;Referentie_Fossiele_Energie_Totaal[[#Headers],[A2]],Database_Productkaarten[#All],51,FALSE),0)*Baseline!I81),0))</f>
        <v>0</v>
      </c>
      <c r="F499" s="77">
        <f>(IF(Baseline!C81="Nieuwe Situatie",(_xlfn.IFNA(VLOOKUP(Referentie_Fossiele_Energie_Totaal[[#This Row],[Product]]&amp;", "&amp;Referentie_Fossiele_Energie_Totaal[[#Headers],[A3]],Database_Productkaarten[#All],51,FALSE),0)*Baseline!I81),0))</f>
        <v>0</v>
      </c>
      <c r="G499" s="77">
        <f>(IF(Baseline!C81="Nieuwe Situatie",(_xlfn.IFNA(VLOOKUP(Referentie_Fossiele_Energie_Totaal[[#This Row],[Product]]&amp;", "&amp;Referentie_Fossiele_Energie_Totaal[[#Headers],[A1-A3]],Database_Productkaarten[#All],51,FALSE),0)*Baseline!I81),0))</f>
        <v>0</v>
      </c>
      <c r="H499" s="77">
        <f>IF(Baseline!T81=0,(IF(Baseline!C81="Nieuwe Situatie",(_xlfn.IFNA(VLOOKUP(Referentie_Fossiele_Energie_Totaal[[#This Row],[Product]]&amp;", "&amp;Referentie_CO2_Totaal[[#Headers],[A4]],Database_Productkaarten[#All],51,FALSE),0)*Baseline!I81),0)),IF(Baseline!C81="Nieuwe Situatie",_xlfn.IFNA(VLOOKUP(Baseline!T81,Database_Transport[#All],45,FALSE)*(Baseline!Q81*Baseline!S81),Baseline_Backlog!H184),0))</f>
        <v>0</v>
      </c>
      <c r="I499" s="77">
        <f>IF(Baseline!C81="Nieuwe situatie",IF(_xlfn.IFNA((VLOOKUP(Baseline!U81,Database_Asfalt_Aanlegset[#All],45,FALSE)*Baseline!I81),0)+_xlfn.IFNA(VLOOKUP(Baseline!V81,Database_Brandstoffen[#All],45,FALSE)*((Baseline!I81/Baseline!X81)*Baseline!W81),0)&gt;0,_xlfn.IFNA((VLOOKUP(Baseline!U81,Database_Asfalt_Aanlegset[#All],45,FALSE)*Baseline!I81),0)+_xlfn.IFNA(VLOOKUP(Baseline!V81,Database_Brandstoffen[#All],45,FALSE)*((Baseline!I81/Baseline!X81)*Baseline!W81),0),(_xlfn.IFNA(VLOOKUP(Referentie_Fossiele_Energie_Totaal[[#This Row],[Product]]&amp;", "&amp;Referentie_MKI_Totaal[[#Headers],[A5]],Database_Productkaarten[#All],51,FALSE),0)*Baseline!I81)),0)</f>
        <v>0</v>
      </c>
      <c r="J499" s="77">
        <f>(IF(Baseline!C81="Nieuwe Situatie",(_xlfn.IFNA(VLOOKUP(Referentie_Fossiele_Energie_Totaal[[#This Row],[Product]]&amp;", "&amp;Referentie_Fossiele_Energie_Totaal[[#Headers],[B1]],Database_Productkaarten[#All],51,FALSE),0)*Baseline!I81),0))</f>
        <v>0</v>
      </c>
      <c r="K499" s="77">
        <f>(IF(Baseline!C81="Nieuwe Situatie",(SUM(Referentie_Fossiele_Energie_Totaal[[#This Row],[A1]:[B1]],Referentie_Fossiele_Energie_Totaal[[#This Row],[C1]:[D2]])*Baseline!R81),0))</f>
        <v>0</v>
      </c>
      <c r="L499" s="77">
        <f>IF(Baseline!C81="Bestaande situatie",IF(_xlfn.IFNA((VLOOKUP(Baseline!Y81,Database_Asfalt_Verwijderset[#All],45,FALSE)*Baseline!I81),0)+_xlfn.IFNA(VLOOKUP(Baseline!Z81,Database_Brandstoffen[#All],45,FALSE)*((Baseline!I81/Baseline!AB81)*Baseline!AA81),0)&gt;0,_xlfn.IFNA((VLOOKUP(Baseline!Y81,Database_Asfalt_Verwijderset[#All],45,FALSE)*Baseline!I81),0)+_xlfn.IFNA(VLOOKUP(Baseline!Z81,Database_Brandstoffen[#All],45,FALSE)*((Baseline!I81/Baseline!AB81)*Baseline!AA81),0),(_xlfn.IFNA(VLOOKUP(Referentie_Fossiele_Energie_Totaal[[#This Row],[Product]]&amp;", "&amp;Referentie_MKI_Totaal[[#Headers],[C1]],Database_Productkaarten[#All],51,FALSE),0)*Baseline!I81)),0)</f>
        <v>0</v>
      </c>
      <c r="M499" s="77">
        <f>IF(Baseline!AD81=0,(IF(Baseline!C81="Bestaande Situatie",(_xlfn.IFNA(VLOOKUP(Referentie_Fossiele_Energie_Totaal[[#This Row],[Product]]&amp;", "&amp;Referentie_MKI_Totaal[[#Headers],[C2]],Database_Productkaarten[#All],51,FALSE),0)*Baseline!I81),0)),(IF(Baseline!C81="Bestaande Situatie",_xlfn.IFNA(VLOOKUP(Baseline!AD81,Database_Transport[#All],45,FALSE)*(Baseline!Q81*Baseline!AC81),0))))</f>
        <v>0</v>
      </c>
      <c r="N499" s="77">
        <f>(IF(Baseline!C81="Bestaande Situatie",(_xlfn.IFNA(VLOOKUP(Referentie_Fossiele_Energie_Totaal[[#This Row],[Product]]&amp;", "&amp;Referentie_Fossiele_Energie_Totaal[[#Headers],[C3]],Database_Productkaarten[#All],51,FALSE),0)*Baseline!I81),0))</f>
        <v>0</v>
      </c>
      <c r="O499" s="77">
        <f>(IF(Baseline!C81="Bestaande Situatie",(_xlfn.IFNA(VLOOKUP(Referentie_Fossiele_Energie_Totaal[[#This Row],[Product]]&amp;", "&amp;Referentie_Fossiele_Energie_Totaal[[#Headers],[C4]],Database_Productkaarten[#All],51,FALSE),0)*Baseline!I81),0))</f>
        <v>0</v>
      </c>
      <c r="P499" s="77">
        <f>(IF(Baseline!C81="Bestaande Situatie",(_xlfn.IFNA(VLOOKUP(Referentie_Fossiele_Energie_Totaal[[#This Row],[Product]]&amp;", "&amp;Referentie_Fossiele_Energie_Totaal[[#Headers],[D1]],Database_Productkaarten[#All],51,FALSE),0)*Baseline!I81),0))</f>
        <v>0</v>
      </c>
      <c r="Q499" s="78">
        <f>(IF(Baseline!C81="Bestaande Situatie",_xlfn.IFNA(VLOOKUP(Referentie_Fossiele_Energie_Totaal[[#This Row],[Product]]&amp;", "&amp;Referentie_Fossiele_Energie_Totaal[[#Headers],[D2]],Database_Productkaarten[#All],51,FALSE),0)*Baseline!I81,0))</f>
        <v>0</v>
      </c>
      <c r="R499" s="57">
        <f>(IF(Baseline!C81="Bestaande Situatie",_xlfn.IFNA(VLOOKUP(Referentie_Fossiele_Energie_Totaal[[#This Row],[Product]]&amp;", "&amp;Referentie_Fossiele_Energie_Totaal[[#Headers],[D]],Database_Productkaarten[#All],51,FALSE),0)*Baseline!I81,0))</f>
        <v>0</v>
      </c>
      <c r="S499" s="56">
        <f>SUM(Referentie_Fossiele_Energie_Totaal[[#This Row],[A1-A3]:[C4]])+Referentie_Fossiele_Energie_Totaal[[#This Row],[D]]</f>
        <v>0</v>
      </c>
    </row>
    <row r="500" spans="2:19">
      <c r="B500" s="209">
        <f>Baseline!B82</f>
        <v>0</v>
      </c>
      <c r="C500" s="76">
        <f>Baseline!F82</f>
        <v>0</v>
      </c>
      <c r="D500" s="77">
        <f>(IF(Baseline!C82="Nieuwe Situatie",(_xlfn.IFNA(VLOOKUP(Referentie_Fossiele_Energie_Totaal[[#This Row],[Product]]&amp;", "&amp;Referentie_Fossiele_Energie_Totaal[[#Headers],[A1]],Database_Productkaarten[#All],51,FALSE),0)*Baseline!I82),0))</f>
        <v>0</v>
      </c>
      <c r="E500" s="77">
        <f>(IF(Baseline!C82="Nieuwe Situatie",(_xlfn.IFNA(VLOOKUP(Referentie_Fossiele_Energie_Totaal[[#This Row],[Product]]&amp;", "&amp;Referentie_Fossiele_Energie_Totaal[[#Headers],[A2]],Database_Productkaarten[#All],51,FALSE),0)*Baseline!I82),0))</f>
        <v>0</v>
      </c>
      <c r="F500" s="77">
        <f>(IF(Baseline!C82="Nieuwe Situatie",(_xlfn.IFNA(VLOOKUP(Referentie_Fossiele_Energie_Totaal[[#This Row],[Product]]&amp;", "&amp;Referentie_Fossiele_Energie_Totaal[[#Headers],[A3]],Database_Productkaarten[#All],51,FALSE),0)*Baseline!I82),0))</f>
        <v>0</v>
      </c>
      <c r="G500" s="77">
        <f>(IF(Baseline!C82="Nieuwe Situatie",(_xlfn.IFNA(VLOOKUP(Referentie_Fossiele_Energie_Totaal[[#This Row],[Product]]&amp;", "&amp;Referentie_Fossiele_Energie_Totaal[[#Headers],[A1-A3]],Database_Productkaarten[#All],51,FALSE),0)*Baseline!I82),0))</f>
        <v>0</v>
      </c>
      <c r="H500" s="77">
        <f>IF(Baseline!T82=0,(IF(Baseline!C82="Nieuwe Situatie",(_xlfn.IFNA(VLOOKUP(Referentie_Fossiele_Energie_Totaal[[#This Row],[Product]]&amp;", "&amp;Referentie_CO2_Totaal[[#Headers],[A4]],Database_Productkaarten[#All],51,FALSE),0)*Baseline!I82),0)),IF(Baseline!C82="Nieuwe Situatie",_xlfn.IFNA(VLOOKUP(Baseline!T82,Database_Transport[#All],45,FALSE)*(Baseline!Q82*Baseline!S82),Baseline_Backlog!H185),0))</f>
        <v>0</v>
      </c>
      <c r="I500" s="77">
        <f>IF(Baseline!C82="Nieuwe situatie",IF(_xlfn.IFNA((VLOOKUP(Baseline!U82,Database_Asfalt_Aanlegset[#All],45,FALSE)*Baseline!I82),0)+_xlfn.IFNA(VLOOKUP(Baseline!V82,Database_Brandstoffen[#All],45,FALSE)*((Baseline!I82/Baseline!X82)*Baseline!W82),0)&gt;0,_xlfn.IFNA((VLOOKUP(Baseline!U82,Database_Asfalt_Aanlegset[#All],45,FALSE)*Baseline!I82),0)+_xlfn.IFNA(VLOOKUP(Baseline!V82,Database_Brandstoffen[#All],45,FALSE)*((Baseline!I82/Baseline!X82)*Baseline!W82),0),(_xlfn.IFNA(VLOOKUP(Referentie_Fossiele_Energie_Totaal[[#This Row],[Product]]&amp;", "&amp;Referentie_MKI_Totaal[[#Headers],[A5]],Database_Productkaarten[#All],51,FALSE),0)*Baseline!I82)),0)</f>
        <v>0</v>
      </c>
      <c r="J500" s="77">
        <f>(IF(Baseline!C82="Nieuwe Situatie",(_xlfn.IFNA(VLOOKUP(Referentie_Fossiele_Energie_Totaal[[#This Row],[Product]]&amp;", "&amp;Referentie_Fossiele_Energie_Totaal[[#Headers],[B1]],Database_Productkaarten[#All],51,FALSE),0)*Baseline!I82),0))</f>
        <v>0</v>
      </c>
      <c r="K500" s="77">
        <f>(IF(Baseline!C82="Nieuwe Situatie",(SUM(Referentie_Fossiele_Energie_Totaal[[#This Row],[A1]:[B1]],Referentie_Fossiele_Energie_Totaal[[#This Row],[C1]:[D2]])*Baseline!R82),0))</f>
        <v>0</v>
      </c>
      <c r="L500" s="77">
        <f>IF(Baseline!C82="Bestaande situatie",IF(_xlfn.IFNA((VLOOKUP(Baseline!Y82,Database_Asfalt_Verwijderset[#All],45,FALSE)*Baseline!I82),0)+_xlfn.IFNA(VLOOKUP(Baseline!Z82,Database_Brandstoffen[#All],45,FALSE)*((Baseline!I82/Baseline!AB82)*Baseline!AA82),0)&gt;0,_xlfn.IFNA((VLOOKUP(Baseline!Y82,Database_Asfalt_Verwijderset[#All],45,FALSE)*Baseline!I82),0)+_xlfn.IFNA(VLOOKUP(Baseline!Z82,Database_Brandstoffen[#All],45,FALSE)*((Baseline!I82/Baseline!AB82)*Baseline!AA82),0),(_xlfn.IFNA(VLOOKUP(Referentie_Fossiele_Energie_Totaal[[#This Row],[Product]]&amp;", "&amp;Referentie_MKI_Totaal[[#Headers],[C1]],Database_Productkaarten[#All],51,FALSE),0)*Baseline!I82)),0)</f>
        <v>0</v>
      </c>
      <c r="M500" s="77">
        <f>IF(Baseline!AD82=0,(IF(Baseline!C82="Bestaande Situatie",(_xlfn.IFNA(VLOOKUP(Referentie_Fossiele_Energie_Totaal[[#This Row],[Product]]&amp;", "&amp;Referentie_MKI_Totaal[[#Headers],[C2]],Database_Productkaarten[#All],51,FALSE),0)*Baseline!I82),0)),(IF(Baseline!C82="Bestaande Situatie",_xlfn.IFNA(VLOOKUP(Baseline!AD82,Database_Transport[#All],45,FALSE)*(Baseline!Q82*Baseline!AC82),0))))</f>
        <v>0</v>
      </c>
      <c r="N500" s="77">
        <f>(IF(Baseline!C82="Bestaande Situatie",(_xlfn.IFNA(VLOOKUP(Referentie_Fossiele_Energie_Totaal[[#This Row],[Product]]&amp;", "&amp;Referentie_Fossiele_Energie_Totaal[[#Headers],[C3]],Database_Productkaarten[#All],51,FALSE),0)*Baseline!I82),0))</f>
        <v>0</v>
      </c>
      <c r="O500" s="77">
        <f>(IF(Baseline!C82="Bestaande Situatie",(_xlfn.IFNA(VLOOKUP(Referentie_Fossiele_Energie_Totaal[[#This Row],[Product]]&amp;", "&amp;Referentie_Fossiele_Energie_Totaal[[#Headers],[C4]],Database_Productkaarten[#All],51,FALSE),0)*Baseline!I82),0))</f>
        <v>0</v>
      </c>
      <c r="P500" s="77">
        <f>(IF(Baseline!C82="Bestaande Situatie",(_xlfn.IFNA(VLOOKUP(Referentie_Fossiele_Energie_Totaal[[#This Row],[Product]]&amp;", "&amp;Referentie_Fossiele_Energie_Totaal[[#Headers],[D1]],Database_Productkaarten[#All],51,FALSE),0)*Baseline!I82),0))</f>
        <v>0</v>
      </c>
      <c r="Q500" s="78">
        <f>(IF(Baseline!C82="Bestaande Situatie",_xlfn.IFNA(VLOOKUP(Referentie_Fossiele_Energie_Totaal[[#This Row],[Product]]&amp;", "&amp;Referentie_Fossiele_Energie_Totaal[[#Headers],[D2]],Database_Productkaarten[#All],51,FALSE),0)*Baseline!I82,0))</f>
        <v>0</v>
      </c>
      <c r="R500" s="57">
        <f>(IF(Baseline!C82="Bestaande Situatie",_xlfn.IFNA(VLOOKUP(Referentie_Fossiele_Energie_Totaal[[#This Row],[Product]]&amp;", "&amp;Referentie_Fossiele_Energie_Totaal[[#Headers],[D]],Database_Productkaarten[#All],51,FALSE),0)*Baseline!I82,0))</f>
        <v>0</v>
      </c>
      <c r="S500" s="56">
        <f>SUM(Referentie_Fossiele_Energie_Totaal[[#This Row],[A1-A3]:[C4]])+Referentie_Fossiele_Energie_Totaal[[#This Row],[D]]</f>
        <v>0</v>
      </c>
    </row>
    <row r="501" spans="2:19">
      <c r="B501" s="209">
        <f>Baseline!B83</f>
        <v>0</v>
      </c>
      <c r="C501" s="76">
        <f>Baseline!F83</f>
        <v>0</v>
      </c>
      <c r="D501" s="77">
        <f>(IF(Baseline!C83="Nieuwe Situatie",(_xlfn.IFNA(VLOOKUP(Referentie_Fossiele_Energie_Totaal[[#This Row],[Product]]&amp;", "&amp;Referentie_Fossiele_Energie_Totaal[[#Headers],[A1]],Database_Productkaarten[#All],51,FALSE),0)*Baseline!I83),0))</f>
        <v>0</v>
      </c>
      <c r="E501" s="77">
        <f>(IF(Baseline!C83="Nieuwe Situatie",(_xlfn.IFNA(VLOOKUP(Referentie_Fossiele_Energie_Totaal[[#This Row],[Product]]&amp;", "&amp;Referentie_Fossiele_Energie_Totaal[[#Headers],[A2]],Database_Productkaarten[#All],51,FALSE),0)*Baseline!I83),0))</f>
        <v>0</v>
      </c>
      <c r="F501" s="77">
        <f>(IF(Baseline!C83="Nieuwe Situatie",(_xlfn.IFNA(VLOOKUP(Referentie_Fossiele_Energie_Totaal[[#This Row],[Product]]&amp;", "&amp;Referentie_Fossiele_Energie_Totaal[[#Headers],[A3]],Database_Productkaarten[#All],51,FALSE),0)*Baseline!I83),0))</f>
        <v>0</v>
      </c>
      <c r="G501" s="77">
        <f>(IF(Baseline!C83="Nieuwe Situatie",(_xlfn.IFNA(VLOOKUP(Referentie_Fossiele_Energie_Totaal[[#This Row],[Product]]&amp;", "&amp;Referentie_Fossiele_Energie_Totaal[[#Headers],[A1-A3]],Database_Productkaarten[#All],51,FALSE),0)*Baseline!I83),0))</f>
        <v>0</v>
      </c>
      <c r="H501" s="77">
        <f>IF(Baseline!T83=0,(IF(Baseline!C83="Nieuwe Situatie",(_xlfn.IFNA(VLOOKUP(Referentie_Fossiele_Energie_Totaal[[#This Row],[Product]]&amp;", "&amp;Referentie_CO2_Totaal[[#Headers],[A4]],Database_Productkaarten[#All],51,FALSE),0)*Baseline!I83),0)),IF(Baseline!C83="Nieuwe Situatie",_xlfn.IFNA(VLOOKUP(Baseline!T83,Database_Transport[#All],45,FALSE)*(Baseline!Q83*Baseline!S83),Baseline_Backlog!H186),0))</f>
        <v>0</v>
      </c>
      <c r="I501" s="77">
        <f>IF(Baseline!C83="Nieuwe situatie",IF(_xlfn.IFNA((VLOOKUP(Baseline!U83,Database_Asfalt_Aanlegset[#All],45,FALSE)*Baseline!I83),0)+_xlfn.IFNA(VLOOKUP(Baseline!V83,Database_Brandstoffen[#All],45,FALSE)*((Baseline!I83/Baseline!X83)*Baseline!W83),0)&gt;0,_xlfn.IFNA((VLOOKUP(Baseline!U83,Database_Asfalt_Aanlegset[#All],45,FALSE)*Baseline!I83),0)+_xlfn.IFNA(VLOOKUP(Baseline!V83,Database_Brandstoffen[#All],45,FALSE)*((Baseline!I83/Baseline!X83)*Baseline!W83),0),(_xlfn.IFNA(VLOOKUP(Referentie_Fossiele_Energie_Totaal[[#This Row],[Product]]&amp;", "&amp;Referentie_MKI_Totaal[[#Headers],[A5]],Database_Productkaarten[#All],51,FALSE),0)*Baseline!I83)),0)</f>
        <v>0</v>
      </c>
      <c r="J501" s="77">
        <f>(IF(Baseline!C83="Nieuwe Situatie",(_xlfn.IFNA(VLOOKUP(Referentie_Fossiele_Energie_Totaal[[#This Row],[Product]]&amp;", "&amp;Referentie_Fossiele_Energie_Totaal[[#Headers],[B1]],Database_Productkaarten[#All],51,FALSE),0)*Baseline!I83),0))</f>
        <v>0</v>
      </c>
      <c r="K501" s="77">
        <f>(IF(Baseline!C83="Nieuwe Situatie",(SUM(Referentie_Fossiele_Energie_Totaal[[#This Row],[A1]:[B1]],Referentie_Fossiele_Energie_Totaal[[#This Row],[C1]:[D2]])*Baseline!R83),0))</f>
        <v>0</v>
      </c>
      <c r="L501" s="77">
        <f>IF(Baseline!C83="Bestaande situatie",IF(_xlfn.IFNA((VLOOKUP(Baseline!Y83,Database_Asfalt_Verwijderset[#All],45,FALSE)*Baseline!I83),0)+_xlfn.IFNA(VLOOKUP(Baseline!Z83,Database_Brandstoffen[#All],45,FALSE)*((Baseline!I83/Baseline!AB83)*Baseline!AA83),0)&gt;0,_xlfn.IFNA((VLOOKUP(Baseline!Y83,Database_Asfalt_Verwijderset[#All],45,FALSE)*Baseline!I83),0)+_xlfn.IFNA(VLOOKUP(Baseline!Z83,Database_Brandstoffen[#All],45,FALSE)*((Baseline!I83/Baseline!AB83)*Baseline!AA83),0),(_xlfn.IFNA(VLOOKUP(Referentie_Fossiele_Energie_Totaal[[#This Row],[Product]]&amp;", "&amp;Referentie_MKI_Totaal[[#Headers],[C1]],Database_Productkaarten[#All],51,FALSE),0)*Baseline!I83)),0)</f>
        <v>0</v>
      </c>
      <c r="M501" s="77">
        <f>IF(Baseline!AD83=0,(IF(Baseline!C83="Bestaande Situatie",(_xlfn.IFNA(VLOOKUP(Referentie_Fossiele_Energie_Totaal[[#This Row],[Product]]&amp;", "&amp;Referentie_MKI_Totaal[[#Headers],[C2]],Database_Productkaarten[#All],51,FALSE),0)*Baseline!I83),0)),(IF(Baseline!C83="Bestaande Situatie",_xlfn.IFNA(VLOOKUP(Baseline!AD83,Database_Transport[#All],45,FALSE)*(Baseline!Q83*Baseline!AC83),0))))</f>
        <v>0</v>
      </c>
      <c r="N501" s="77">
        <f>(IF(Baseline!C83="Bestaande Situatie",(_xlfn.IFNA(VLOOKUP(Referentie_Fossiele_Energie_Totaal[[#This Row],[Product]]&amp;", "&amp;Referentie_Fossiele_Energie_Totaal[[#Headers],[C3]],Database_Productkaarten[#All],51,FALSE),0)*Baseline!I83),0))</f>
        <v>0</v>
      </c>
      <c r="O501" s="77">
        <f>(IF(Baseline!C83="Bestaande Situatie",(_xlfn.IFNA(VLOOKUP(Referentie_Fossiele_Energie_Totaal[[#This Row],[Product]]&amp;", "&amp;Referentie_Fossiele_Energie_Totaal[[#Headers],[C4]],Database_Productkaarten[#All],51,FALSE),0)*Baseline!I83),0))</f>
        <v>0</v>
      </c>
      <c r="P501" s="77">
        <f>(IF(Baseline!C83="Bestaande Situatie",(_xlfn.IFNA(VLOOKUP(Referentie_Fossiele_Energie_Totaal[[#This Row],[Product]]&amp;", "&amp;Referentie_Fossiele_Energie_Totaal[[#Headers],[D1]],Database_Productkaarten[#All],51,FALSE),0)*Baseline!I83),0))</f>
        <v>0</v>
      </c>
      <c r="Q501" s="78">
        <f>(IF(Baseline!C83="Bestaande Situatie",_xlfn.IFNA(VLOOKUP(Referentie_Fossiele_Energie_Totaal[[#This Row],[Product]]&amp;", "&amp;Referentie_Fossiele_Energie_Totaal[[#Headers],[D2]],Database_Productkaarten[#All],51,FALSE),0)*Baseline!I83,0))</f>
        <v>0</v>
      </c>
      <c r="R501" s="57">
        <f>(IF(Baseline!C83="Bestaande Situatie",_xlfn.IFNA(VLOOKUP(Referentie_Fossiele_Energie_Totaal[[#This Row],[Product]]&amp;", "&amp;Referentie_Fossiele_Energie_Totaal[[#Headers],[D]],Database_Productkaarten[#All],51,FALSE),0)*Baseline!I83,0))</f>
        <v>0</v>
      </c>
      <c r="S501" s="56">
        <f>SUM(Referentie_Fossiele_Energie_Totaal[[#This Row],[A1-A3]:[C4]])+Referentie_Fossiele_Energie_Totaal[[#This Row],[D]]</f>
        <v>0</v>
      </c>
    </row>
    <row r="502" spans="2:19">
      <c r="B502" s="209">
        <f>Baseline!B84</f>
        <v>0</v>
      </c>
      <c r="C502" s="76">
        <f>Baseline!F84</f>
        <v>0</v>
      </c>
      <c r="D502" s="77">
        <f>(IF(Baseline!C84="Nieuwe Situatie",(_xlfn.IFNA(VLOOKUP(Referentie_Fossiele_Energie_Totaal[[#This Row],[Product]]&amp;", "&amp;Referentie_Fossiele_Energie_Totaal[[#Headers],[A1]],Database_Productkaarten[#All],51,FALSE),0)*Baseline!I84),0))</f>
        <v>0</v>
      </c>
      <c r="E502" s="77">
        <f>(IF(Baseline!C84="Nieuwe Situatie",(_xlfn.IFNA(VLOOKUP(Referentie_Fossiele_Energie_Totaal[[#This Row],[Product]]&amp;", "&amp;Referentie_Fossiele_Energie_Totaal[[#Headers],[A2]],Database_Productkaarten[#All],51,FALSE),0)*Baseline!I84),0))</f>
        <v>0</v>
      </c>
      <c r="F502" s="77">
        <f>(IF(Baseline!C84="Nieuwe Situatie",(_xlfn.IFNA(VLOOKUP(Referentie_Fossiele_Energie_Totaal[[#This Row],[Product]]&amp;", "&amp;Referentie_Fossiele_Energie_Totaal[[#Headers],[A3]],Database_Productkaarten[#All],51,FALSE),0)*Baseline!I84),0))</f>
        <v>0</v>
      </c>
      <c r="G502" s="77">
        <f>(IF(Baseline!C84="Nieuwe Situatie",(_xlfn.IFNA(VLOOKUP(Referentie_Fossiele_Energie_Totaal[[#This Row],[Product]]&amp;", "&amp;Referentie_Fossiele_Energie_Totaal[[#Headers],[A1-A3]],Database_Productkaarten[#All],51,FALSE),0)*Baseline!I84),0))</f>
        <v>0</v>
      </c>
      <c r="H502" s="77">
        <f>IF(Baseline!T84=0,(IF(Baseline!C84="Nieuwe Situatie",(_xlfn.IFNA(VLOOKUP(Referentie_Fossiele_Energie_Totaal[[#This Row],[Product]]&amp;", "&amp;Referentie_CO2_Totaal[[#Headers],[A4]],Database_Productkaarten[#All],51,FALSE),0)*Baseline!I84),0)),IF(Baseline!C84="Nieuwe Situatie",_xlfn.IFNA(VLOOKUP(Baseline!T84,Database_Transport[#All],45,FALSE)*(Baseline!Q84*Baseline!S84),Baseline_Backlog!H187),0))</f>
        <v>0</v>
      </c>
      <c r="I502" s="77">
        <f>IF(Baseline!C84="Nieuwe situatie",IF(_xlfn.IFNA((VLOOKUP(Baseline!U84,Database_Asfalt_Aanlegset[#All],45,FALSE)*Baseline!I84),0)+_xlfn.IFNA(VLOOKUP(Baseline!V84,Database_Brandstoffen[#All],45,FALSE)*((Baseline!I84/Baseline!X84)*Baseline!W84),0)&gt;0,_xlfn.IFNA((VLOOKUP(Baseline!U84,Database_Asfalt_Aanlegset[#All],45,FALSE)*Baseline!I84),0)+_xlfn.IFNA(VLOOKUP(Baseline!V84,Database_Brandstoffen[#All],45,FALSE)*((Baseline!I84/Baseline!X84)*Baseline!W84),0),(_xlfn.IFNA(VLOOKUP(Referentie_Fossiele_Energie_Totaal[[#This Row],[Product]]&amp;", "&amp;Referentie_MKI_Totaal[[#Headers],[A5]],Database_Productkaarten[#All],51,FALSE),0)*Baseline!I84)),0)</f>
        <v>0</v>
      </c>
      <c r="J502" s="77">
        <f>(IF(Baseline!C84="Nieuwe Situatie",(_xlfn.IFNA(VLOOKUP(Referentie_Fossiele_Energie_Totaal[[#This Row],[Product]]&amp;", "&amp;Referentie_Fossiele_Energie_Totaal[[#Headers],[B1]],Database_Productkaarten[#All],51,FALSE),0)*Baseline!I84),0))</f>
        <v>0</v>
      </c>
      <c r="K502" s="77">
        <f>(IF(Baseline!C84="Nieuwe Situatie",(SUM(Referentie_Fossiele_Energie_Totaal[[#This Row],[A1]:[B1]],Referentie_Fossiele_Energie_Totaal[[#This Row],[C1]:[D2]])*Baseline!R84),0))</f>
        <v>0</v>
      </c>
      <c r="L502" s="77">
        <f>IF(Baseline!C84="Bestaande situatie",IF(_xlfn.IFNA((VLOOKUP(Baseline!Y84,Database_Asfalt_Verwijderset[#All],45,FALSE)*Baseline!I84),0)+_xlfn.IFNA(VLOOKUP(Baseline!Z84,Database_Brandstoffen[#All],45,FALSE)*((Baseline!I84/Baseline!AB84)*Baseline!AA84),0)&gt;0,_xlfn.IFNA((VLOOKUP(Baseline!Y84,Database_Asfalt_Verwijderset[#All],45,FALSE)*Baseline!I84),0)+_xlfn.IFNA(VLOOKUP(Baseline!Z84,Database_Brandstoffen[#All],45,FALSE)*((Baseline!I84/Baseline!AB84)*Baseline!AA84),0),(_xlfn.IFNA(VLOOKUP(Referentie_Fossiele_Energie_Totaal[[#This Row],[Product]]&amp;", "&amp;Referentie_MKI_Totaal[[#Headers],[C1]],Database_Productkaarten[#All],51,FALSE),0)*Baseline!I84)),0)</f>
        <v>0</v>
      </c>
      <c r="M502" s="77">
        <f>IF(Baseline!AD84=0,(IF(Baseline!C84="Bestaande Situatie",(_xlfn.IFNA(VLOOKUP(Referentie_Fossiele_Energie_Totaal[[#This Row],[Product]]&amp;", "&amp;Referentie_MKI_Totaal[[#Headers],[C2]],Database_Productkaarten[#All],51,FALSE),0)*Baseline!I84),0)),(IF(Baseline!C84="Bestaande Situatie",_xlfn.IFNA(VLOOKUP(Baseline!AD84,Database_Transport[#All],45,FALSE)*(Baseline!Q84*Baseline!AC84),0))))</f>
        <v>0</v>
      </c>
      <c r="N502" s="77">
        <f>(IF(Baseline!C84="Bestaande Situatie",(_xlfn.IFNA(VLOOKUP(Referentie_Fossiele_Energie_Totaal[[#This Row],[Product]]&amp;", "&amp;Referentie_Fossiele_Energie_Totaal[[#Headers],[C3]],Database_Productkaarten[#All],51,FALSE),0)*Baseline!I84),0))</f>
        <v>0</v>
      </c>
      <c r="O502" s="77">
        <f>(IF(Baseline!C84="Bestaande Situatie",(_xlfn.IFNA(VLOOKUP(Referentie_Fossiele_Energie_Totaal[[#This Row],[Product]]&amp;", "&amp;Referentie_Fossiele_Energie_Totaal[[#Headers],[C4]],Database_Productkaarten[#All],51,FALSE),0)*Baseline!I84),0))</f>
        <v>0</v>
      </c>
      <c r="P502" s="77">
        <f>(IF(Baseline!C84="Bestaande Situatie",(_xlfn.IFNA(VLOOKUP(Referentie_Fossiele_Energie_Totaal[[#This Row],[Product]]&amp;", "&amp;Referentie_Fossiele_Energie_Totaal[[#Headers],[D1]],Database_Productkaarten[#All],51,FALSE),0)*Baseline!I84),0))</f>
        <v>0</v>
      </c>
      <c r="Q502" s="78">
        <f>(IF(Baseline!C84="Bestaande Situatie",_xlfn.IFNA(VLOOKUP(Referentie_Fossiele_Energie_Totaal[[#This Row],[Product]]&amp;", "&amp;Referentie_Fossiele_Energie_Totaal[[#Headers],[D2]],Database_Productkaarten[#All],51,FALSE),0)*Baseline!I84,0))</f>
        <v>0</v>
      </c>
      <c r="R502" s="57">
        <f>(IF(Baseline!C84="Bestaande Situatie",_xlfn.IFNA(VLOOKUP(Referentie_Fossiele_Energie_Totaal[[#This Row],[Product]]&amp;", "&amp;Referentie_Fossiele_Energie_Totaal[[#Headers],[D]],Database_Productkaarten[#All],51,FALSE),0)*Baseline!I84,0))</f>
        <v>0</v>
      </c>
      <c r="S502" s="56">
        <f>SUM(Referentie_Fossiele_Energie_Totaal[[#This Row],[A1-A3]:[C4]])+Referentie_Fossiele_Energie_Totaal[[#This Row],[D]]</f>
        <v>0</v>
      </c>
    </row>
    <row r="503" spans="2:19">
      <c r="B503" s="209">
        <f>Baseline!B85</f>
        <v>0</v>
      </c>
      <c r="C503" s="76">
        <f>Baseline!F85</f>
        <v>0</v>
      </c>
      <c r="D503" s="77">
        <f>(IF(Baseline!C85="Nieuwe Situatie",(_xlfn.IFNA(VLOOKUP(Referentie_Fossiele_Energie_Totaal[[#This Row],[Product]]&amp;", "&amp;Referentie_Fossiele_Energie_Totaal[[#Headers],[A1]],Database_Productkaarten[#All],51,FALSE),0)*Baseline!I85),0))</f>
        <v>0</v>
      </c>
      <c r="E503" s="77">
        <f>(IF(Baseline!C85="Nieuwe Situatie",(_xlfn.IFNA(VLOOKUP(Referentie_Fossiele_Energie_Totaal[[#This Row],[Product]]&amp;", "&amp;Referentie_Fossiele_Energie_Totaal[[#Headers],[A2]],Database_Productkaarten[#All],51,FALSE),0)*Baseline!I85),0))</f>
        <v>0</v>
      </c>
      <c r="F503" s="77">
        <f>(IF(Baseline!C85="Nieuwe Situatie",(_xlfn.IFNA(VLOOKUP(Referentie_Fossiele_Energie_Totaal[[#This Row],[Product]]&amp;", "&amp;Referentie_Fossiele_Energie_Totaal[[#Headers],[A3]],Database_Productkaarten[#All],51,FALSE),0)*Baseline!I85),0))</f>
        <v>0</v>
      </c>
      <c r="G503" s="77">
        <f>(IF(Baseline!C85="Nieuwe Situatie",(_xlfn.IFNA(VLOOKUP(Referentie_Fossiele_Energie_Totaal[[#This Row],[Product]]&amp;", "&amp;Referentie_Fossiele_Energie_Totaal[[#Headers],[A1-A3]],Database_Productkaarten[#All],51,FALSE),0)*Baseline!I85),0))</f>
        <v>0</v>
      </c>
      <c r="H503" s="77">
        <f>IF(Baseline!T85=0,(IF(Baseline!C85="Nieuwe Situatie",(_xlfn.IFNA(VLOOKUP(Referentie_Fossiele_Energie_Totaal[[#This Row],[Product]]&amp;", "&amp;Referentie_CO2_Totaal[[#Headers],[A4]],Database_Productkaarten[#All],51,FALSE),0)*Baseline!I85),0)),IF(Baseline!C85="Nieuwe Situatie",_xlfn.IFNA(VLOOKUP(Baseline!T85,Database_Transport[#All],45,FALSE)*(Baseline!Q85*Baseline!S85),Baseline_Backlog!H188),0))</f>
        <v>0</v>
      </c>
      <c r="I503" s="77">
        <f>IF(Baseline!C85="Nieuwe situatie",IF(_xlfn.IFNA((VLOOKUP(Baseline!U85,Database_Asfalt_Aanlegset[#All],45,FALSE)*Baseline!I85),0)+_xlfn.IFNA(VLOOKUP(Baseline!V85,Database_Brandstoffen[#All],45,FALSE)*((Baseline!I85/Baseline!X85)*Baseline!W85),0)&gt;0,_xlfn.IFNA((VLOOKUP(Baseline!U85,Database_Asfalt_Aanlegset[#All],45,FALSE)*Baseline!I85),0)+_xlfn.IFNA(VLOOKUP(Baseline!V85,Database_Brandstoffen[#All],45,FALSE)*((Baseline!I85/Baseline!X85)*Baseline!W85),0),(_xlfn.IFNA(VLOOKUP(Referentie_Fossiele_Energie_Totaal[[#This Row],[Product]]&amp;", "&amp;Referentie_MKI_Totaal[[#Headers],[A5]],Database_Productkaarten[#All],51,FALSE),0)*Baseline!I85)),0)</f>
        <v>0</v>
      </c>
      <c r="J503" s="77">
        <f>(IF(Baseline!C85="Nieuwe Situatie",(_xlfn.IFNA(VLOOKUP(Referentie_Fossiele_Energie_Totaal[[#This Row],[Product]]&amp;", "&amp;Referentie_Fossiele_Energie_Totaal[[#Headers],[B1]],Database_Productkaarten[#All],51,FALSE),0)*Baseline!I85),0))</f>
        <v>0</v>
      </c>
      <c r="K503" s="77">
        <f>(IF(Baseline!C85="Nieuwe Situatie",(SUM(Referentie_Fossiele_Energie_Totaal[[#This Row],[A1]:[B1]],Referentie_Fossiele_Energie_Totaal[[#This Row],[C1]:[D2]])*Baseline!R85),0))</f>
        <v>0</v>
      </c>
      <c r="L503" s="77">
        <f>IF(Baseline!C85="Bestaande situatie",IF(_xlfn.IFNA((VLOOKUP(Baseline!Y85,Database_Asfalt_Verwijderset[#All],45,FALSE)*Baseline!I85),0)+_xlfn.IFNA(VLOOKUP(Baseline!Z85,Database_Brandstoffen[#All],45,FALSE)*((Baseline!I85/Baseline!AB85)*Baseline!AA85),0)&gt;0,_xlfn.IFNA((VLOOKUP(Baseline!Y85,Database_Asfalt_Verwijderset[#All],45,FALSE)*Baseline!I85),0)+_xlfn.IFNA(VLOOKUP(Baseline!Z85,Database_Brandstoffen[#All],45,FALSE)*((Baseline!I85/Baseline!AB85)*Baseline!AA85),0),(_xlfn.IFNA(VLOOKUP(Referentie_Fossiele_Energie_Totaal[[#This Row],[Product]]&amp;", "&amp;Referentie_MKI_Totaal[[#Headers],[C1]],Database_Productkaarten[#All],51,FALSE),0)*Baseline!I85)),0)</f>
        <v>0</v>
      </c>
      <c r="M503" s="77">
        <f>IF(Baseline!AD85=0,(IF(Baseline!C85="Bestaande Situatie",(_xlfn.IFNA(VLOOKUP(Referentie_Fossiele_Energie_Totaal[[#This Row],[Product]]&amp;", "&amp;Referentie_MKI_Totaal[[#Headers],[C2]],Database_Productkaarten[#All],51,FALSE),0)*Baseline!I85),0)),(IF(Baseline!C85="Bestaande Situatie",_xlfn.IFNA(VLOOKUP(Baseline!AD85,Database_Transport[#All],45,FALSE)*(Baseline!Q85*Baseline!AC85),0))))</f>
        <v>0</v>
      </c>
      <c r="N503" s="77">
        <f>(IF(Baseline!C85="Bestaande Situatie",(_xlfn.IFNA(VLOOKUP(Referentie_Fossiele_Energie_Totaal[[#This Row],[Product]]&amp;", "&amp;Referentie_Fossiele_Energie_Totaal[[#Headers],[C3]],Database_Productkaarten[#All],51,FALSE),0)*Baseline!I85),0))</f>
        <v>0</v>
      </c>
      <c r="O503" s="77">
        <f>(IF(Baseline!C85="Bestaande Situatie",(_xlfn.IFNA(VLOOKUP(Referentie_Fossiele_Energie_Totaal[[#This Row],[Product]]&amp;", "&amp;Referentie_Fossiele_Energie_Totaal[[#Headers],[C4]],Database_Productkaarten[#All],51,FALSE),0)*Baseline!I85),0))</f>
        <v>0</v>
      </c>
      <c r="P503" s="77">
        <f>(IF(Baseline!C85="Bestaande Situatie",(_xlfn.IFNA(VLOOKUP(Referentie_Fossiele_Energie_Totaal[[#This Row],[Product]]&amp;", "&amp;Referentie_Fossiele_Energie_Totaal[[#Headers],[D1]],Database_Productkaarten[#All],51,FALSE),0)*Baseline!I85),0))</f>
        <v>0</v>
      </c>
      <c r="Q503" s="78">
        <f>(IF(Baseline!C85="Bestaande Situatie",_xlfn.IFNA(VLOOKUP(Referentie_Fossiele_Energie_Totaal[[#This Row],[Product]]&amp;", "&amp;Referentie_Fossiele_Energie_Totaal[[#Headers],[D2]],Database_Productkaarten[#All],51,FALSE),0)*Baseline!I85,0))</f>
        <v>0</v>
      </c>
      <c r="R503" s="57">
        <f>(IF(Baseline!C85="Bestaande Situatie",_xlfn.IFNA(VLOOKUP(Referentie_Fossiele_Energie_Totaal[[#This Row],[Product]]&amp;", "&amp;Referentie_Fossiele_Energie_Totaal[[#Headers],[D]],Database_Productkaarten[#All],51,FALSE),0)*Baseline!I85,0))</f>
        <v>0</v>
      </c>
      <c r="S503" s="56">
        <f>SUM(Referentie_Fossiele_Energie_Totaal[[#This Row],[A1-A3]:[C4]])+Referentie_Fossiele_Energie_Totaal[[#This Row],[D]]</f>
        <v>0</v>
      </c>
    </row>
    <row r="504" spans="2:19">
      <c r="B504" s="209">
        <f>Baseline!B86</f>
        <v>0</v>
      </c>
      <c r="C504" s="76">
        <f>Baseline!F86</f>
        <v>0</v>
      </c>
      <c r="D504" s="77">
        <f>(IF(Baseline!C86="Nieuwe Situatie",(_xlfn.IFNA(VLOOKUP(Referentie_Fossiele_Energie_Totaal[[#This Row],[Product]]&amp;", "&amp;Referentie_Fossiele_Energie_Totaal[[#Headers],[A1]],Database_Productkaarten[#All],51,FALSE),0)*Baseline!I86),0))</f>
        <v>0</v>
      </c>
      <c r="E504" s="77">
        <f>(IF(Baseline!C86="Nieuwe Situatie",(_xlfn.IFNA(VLOOKUP(Referentie_Fossiele_Energie_Totaal[[#This Row],[Product]]&amp;", "&amp;Referentie_Fossiele_Energie_Totaal[[#Headers],[A2]],Database_Productkaarten[#All],51,FALSE),0)*Baseline!I86),0))</f>
        <v>0</v>
      </c>
      <c r="F504" s="77">
        <f>(IF(Baseline!C86="Nieuwe Situatie",(_xlfn.IFNA(VLOOKUP(Referentie_Fossiele_Energie_Totaal[[#This Row],[Product]]&amp;", "&amp;Referentie_Fossiele_Energie_Totaal[[#Headers],[A3]],Database_Productkaarten[#All],51,FALSE),0)*Baseline!I86),0))</f>
        <v>0</v>
      </c>
      <c r="G504" s="77">
        <f>(IF(Baseline!C86="Nieuwe Situatie",(_xlfn.IFNA(VLOOKUP(Referentie_Fossiele_Energie_Totaal[[#This Row],[Product]]&amp;", "&amp;Referentie_Fossiele_Energie_Totaal[[#Headers],[A1-A3]],Database_Productkaarten[#All],51,FALSE),0)*Baseline!I86),0))</f>
        <v>0</v>
      </c>
      <c r="H504" s="77">
        <f>IF(Baseline!T86=0,(IF(Baseline!C86="Nieuwe Situatie",(_xlfn.IFNA(VLOOKUP(Referentie_Fossiele_Energie_Totaal[[#This Row],[Product]]&amp;", "&amp;Referentie_CO2_Totaal[[#Headers],[A4]],Database_Productkaarten[#All],51,FALSE),0)*Baseline!I86),0)),IF(Baseline!C86="Nieuwe Situatie",_xlfn.IFNA(VLOOKUP(Baseline!T86,Database_Transport[#All],45,FALSE)*(Baseline!Q86*Baseline!S86),Baseline_Backlog!H189),0))</f>
        <v>0</v>
      </c>
      <c r="I504" s="77">
        <f>IF(Baseline!C86="Nieuwe situatie",IF(_xlfn.IFNA((VLOOKUP(Baseline!U86,Database_Asfalt_Aanlegset[#All],45,FALSE)*Baseline!I86),0)+_xlfn.IFNA(VLOOKUP(Baseline!V86,Database_Brandstoffen[#All],45,FALSE)*((Baseline!I86/Baseline!X86)*Baseline!W86),0)&gt;0,_xlfn.IFNA((VLOOKUP(Baseline!U86,Database_Asfalt_Aanlegset[#All],45,FALSE)*Baseline!I86),0)+_xlfn.IFNA(VLOOKUP(Baseline!V86,Database_Brandstoffen[#All],45,FALSE)*((Baseline!I86/Baseline!X86)*Baseline!W86),0),(_xlfn.IFNA(VLOOKUP(Referentie_Fossiele_Energie_Totaal[[#This Row],[Product]]&amp;", "&amp;Referentie_MKI_Totaal[[#Headers],[A5]],Database_Productkaarten[#All],51,FALSE),0)*Baseline!I86)),0)</f>
        <v>0</v>
      </c>
      <c r="J504" s="77">
        <f>(IF(Baseline!C86="Nieuwe Situatie",(_xlfn.IFNA(VLOOKUP(Referentie_Fossiele_Energie_Totaal[[#This Row],[Product]]&amp;", "&amp;Referentie_Fossiele_Energie_Totaal[[#Headers],[B1]],Database_Productkaarten[#All],51,FALSE),0)*Baseline!I86),0))</f>
        <v>0</v>
      </c>
      <c r="K504" s="77">
        <f>(IF(Baseline!C86="Nieuwe Situatie",(SUM(Referentie_Fossiele_Energie_Totaal[[#This Row],[A1]:[B1]],Referentie_Fossiele_Energie_Totaal[[#This Row],[C1]:[D2]])*Baseline!R86),0))</f>
        <v>0</v>
      </c>
      <c r="L504" s="77">
        <f>IF(Baseline!C86="Bestaande situatie",IF(_xlfn.IFNA((VLOOKUP(Baseline!Y86,Database_Asfalt_Verwijderset[#All],45,FALSE)*Baseline!I86),0)+_xlfn.IFNA(VLOOKUP(Baseline!Z86,Database_Brandstoffen[#All],45,FALSE)*((Baseline!I86/Baseline!AB86)*Baseline!AA86),0)&gt;0,_xlfn.IFNA((VLOOKUP(Baseline!Y86,Database_Asfalt_Verwijderset[#All],45,FALSE)*Baseline!I86),0)+_xlfn.IFNA(VLOOKUP(Baseline!Z86,Database_Brandstoffen[#All],45,FALSE)*((Baseline!I86/Baseline!AB86)*Baseline!AA86),0),(_xlfn.IFNA(VLOOKUP(Referentie_Fossiele_Energie_Totaal[[#This Row],[Product]]&amp;", "&amp;Referentie_MKI_Totaal[[#Headers],[C1]],Database_Productkaarten[#All],51,FALSE),0)*Baseline!I86)),0)</f>
        <v>0</v>
      </c>
      <c r="M504" s="77">
        <f>IF(Baseline!AD86=0,(IF(Baseline!C86="Bestaande Situatie",(_xlfn.IFNA(VLOOKUP(Referentie_Fossiele_Energie_Totaal[[#This Row],[Product]]&amp;", "&amp;Referentie_MKI_Totaal[[#Headers],[C2]],Database_Productkaarten[#All],51,FALSE),0)*Baseline!I86),0)),(IF(Baseline!C86="Bestaande Situatie",_xlfn.IFNA(VLOOKUP(Baseline!AD86,Database_Transport[#All],45,FALSE)*(Baseline!Q86*Baseline!AC86),0))))</f>
        <v>0</v>
      </c>
      <c r="N504" s="77">
        <f>(IF(Baseline!C86="Bestaande Situatie",(_xlfn.IFNA(VLOOKUP(Referentie_Fossiele_Energie_Totaal[[#This Row],[Product]]&amp;", "&amp;Referentie_Fossiele_Energie_Totaal[[#Headers],[C3]],Database_Productkaarten[#All],51,FALSE),0)*Baseline!I86),0))</f>
        <v>0</v>
      </c>
      <c r="O504" s="77">
        <f>(IF(Baseline!C86="Bestaande Situatie",(_xlfn.IFNA(VLOOKUP(Referentie_Fossiele_Energie_Totaal[[#This Row],[Product]]&amp;", "&amp;Referentie_Fossiele_Energie_Totaal[[#Headers],[C4]],Database_Productkaarten[#All],51,FALSE),0)*Baseline!I86),0))</f>
        <v>0</v>
      </c>
      <c r="P504" s="77">
        <f>(IF(Baseline!C86="Bestaande Situatie",(_xlfn.IFNA(VLOOKUP(Referentie_Fossiele_Energie_Totaal[[#This Row],[Product]]&amp;", "&amp;Referentie_Fossiele_Energie_Totaal[[#Headers],[D1]],Database_Productkaarten[#All],51,FALSE),0)*Baseline!I86),0))</f>
        <v>0</v>
      </c>
      <c r="Q504" s="78">
        <f>(IF(Baseline!C86="Bestaande Situatie",_xlfn.IFNA(VLOOKUP(Referentie_Fossiele_Energie_Totaal[[#This Row],[Product]]&amp;", "&amp;Referentie_Fossiele_Energie_Totaal[[#Headers],[D2]],Database_Productkaarten[#All],51,FALSE),0)*Baseline!I86,0))</f>
        <v>0</v>
      </c>
      <c r="R504" s="57">
        <f>(IF(Baseline!C86="Bestaande Situatie",_xlfn.IFNA(VLOOKUP(Referentie_Fossiele_Energie_Totaal[[#This Row],[Product]]&amp;", "&amp;Referentie_Fossiele_Energie_Totaal[[#Headers],[D]],Database_Productkaarten[#All],51,FALSE),0)*Baseline!I86,0))</f>
        <v>0</v>
      </c>
      <c r="S504" s="56">
        <f>SUM(Referentie_Fossiele_Energie_Totaal[[#This Row],[A1-A3]:[C4]])+Referentie_Fossiele_Energie_Totaal[[#This Row],[D]]</f>
        <v>0</v>
      </c>
    </row>
    <row r="505" spans="2:19">
      <c r="B505" s="209">
        <f>Baseline!B87</f>
        <v>0</v>
      </c>
      <c r="C505" s="76">
        <f>Baseline!F87</f>
        <v>0</v>
      </c>
      <c r="D505" s="77">
        <f>(IF(Baseline!C87="Nieuwe Situatie",(_xlfn.IFNA(VLOOKUP(Referentie_Fossiele_Energie_Totaal[[#This Row],[Product]]&amp;", "&amp;Referentie_Fossiele_Energie_Totaal[[#Headers],[A1]],Database_Productkaarten[#All],51,FALSE),0)*Baseline!I87),0))</f>
        <v>0</v>
      </c>
      <c r="E505" s="77">
        <f>(IF(Baseline!C87="Nieuwe Situatie",(_xlfn.IFNA(VLOOKUP(Referentie_Fossiele_Energie_Totaal[[#This Row],[Product]]&amp;", "&amp;Referentie_Fossiele_Energie_Totaal[[#Headers],[A2]],Database_Productkaarten[#All],51,FALSE),0)*Baseline!I87),0))</f>
        <v>0</v>
      </c>
      <c r="F505" s="77">
        <f>(IF(Baseline!C87="Nieuwe Situatie",(_xlfn.IFNA(VLOOKUP(Referentie_Fossiele_Energie_Totaal[[#This Row],[Product]]&amp;", "&amp;Referentie_Fossiele_Energie_Totaal[[#Headers],[A3]],Database_Productkaarten[#All],51,FALSE),0)*Baseline!I87),0))</f>
        <v>0</v>
      </c>
      <c r="G505" s="77">
        <f>(IF(Baseline!C87="Nieuwe Situatie",(_xlfn.IFNA(VLOOKUP(Referentie_Fossiele_Energie_Totaal[[#This Row],[Product]]&amp;", "&amp;Referentie_Fossiele_Energie_Totaal[[#Headers],[A1-A3]],Database_Productkaarten[#All],51,FALSE),0)*Baseline!I87),0))</f>
        <v>0</v>
      </c>
      <c r="H505" s="77">
        <f>IF(Baseline!T87=0,(IF(Baseline!C87="Nieuwe Situatie",(_xlfn.IFNA(VLOOKUP(Referentie_Fossiele_Energie_Totaal[[#This Row],[Product]]&amp;", "&amp;Referentie_CO2_Totaal[[#Headers],[A4]],Database_Productkaarten[#All],51,FALSE),0)*Baseline!I87),0)),IF(Baseline!C87="Nieuwe Situatie",_xlfn.IFNA(VLOOKUP(Baseline!T87,Database_Transport[#All],45,FALSE)*(Baseline!Q87*Baseline!S87),Baseline_Backlog!H190),0))</f>
        <v>0</v>
      </c>
      <c r="I505" s="77">
        <f>IF(Baseline!C87="Nieuwe situatie",IF(_xlfn.IFNA((VLOOKUP(Baseline!U87,Database_Asfalt_Aanlegset[#All],45,FALSE)*Baseline!I87),0)+_xlfn.IFNA(VLOOKUP(Baseline!V87,Database_Brandstoffen[#All],45,FALSE)*((Baseline!I87/Baseline!X87)*Baseline!W87),0)&gt;0,_xlfn.IFNA((VLOOKUP(Baseline!U87,Database_Asfalt_Aanlegset[#All],45,FALSE)*Baseline!I87),0)+_xlfn.IFNA(VLOOKUP(Baseline!V87,Database_Brandstoffen[#All],45,FALSE)*((Baseline!I87/Baseline!X87)*Baseline!W87),0),(_xlfn.IFNA(VLOOKUP(Referentie_Fossiele_Energie_Totaal[[#This Row],[Product]]&amp;", "&amp;Referentie_MKI_Totaal[[#Headers],[A5]],Database_Productkaarten[#All],51,FALSE),0)*Baseline!I87)),0)</f>
        <v>0</v>
      </c>
      <c r="J505" s="77">
        <f>(IF(Baseline!C87="Nieuwe Situatie",(_xlfn.IFNA(VLOOKUP(Referentie_Fossiele_Energie_Totaal[[#This Row],[Product]]&amp;", "&amp;Referentie_Fossiele_Energie_Totaal[[#Headers],[B1]],Database_Productkaarten[#All],51,FALSE),0)*Baseline!I87),0))</f>
        <v>0</v>
      </c>
      <c r="K505" s="77">
        <f>(IF(Baseline!C87="Nieuwe Situatie",(SUM(Referentie_Fossiele_Energie_Totaal[[#This Row],[A1]:[B1]],Referentie_Fossiele_Energie_Totaal[[#This Row],[C1]:[D2]])*Baseline!R87),0))</f>
        <v>0</v>
      </c>
      <c r="L505" s="77">
        <f>IF(Baseline!C87="Bestaande situatie",IF(_xlfn.IFNA((VLOOKUP(Baseline!Y87,Database_Asfalt_Verwijderset[#All],45,FALSE)*Baseline!I87),0)+_xlfn.IFNA(VLOOKUP(Baseline!Z87,Database_Brandstoffen[#All],45,FALSE)*((Baseline!I87/Baseline!AB87)*Baseline!AA87),0)&gt;0,_xlfn.IFNA((VLOOKUP(Baseline!Y87,Database_Asfalt_Verwijderset[#All],45,FALSE)*Baseline!I87),0)+_xlfn.IFNA(VLOOKUP(Baseline!Z87,Database_Brandstoffen[#All],45,FALSE)*((Baseline!I87/Baseline!AB87)*Baseline!AA87),0),(_xlfn.IFNA(VLOOKUP(Referentie_Fossiele_Energie_Totaal[[#This Row],[Product]]&amp;", "&amp;Referentie_MKI_Totaal[[#Headers],[C1]],Database_Productkaarten[#All],51,FALSE),0)*Baseline!I87)),0)</f>
        <v>0</v>
      </c>
      <c r="M505" s="77">
        <f>IF(Baseline!AD87=0,(IF(Baseline!C87="Bestaande Situatie",(_xlfn.IFNA(VLOOKUP(Referentie_Fossiele_Energie_Totaal[[#This Row],[Product]]&amp;", "&amp;Referentie_MKI_Totaal[[#Headers],[C2]],Database_Productkaarten[#All],51,FALSE),0)*Baseline!I87),0)),(IF(Baseline!C87="Bestaande Situatie",_xlfn.IFNA(VLOOKUP(Baseline!AD87,Database_Transport[#All],45,FALSE)*(Baseline!Q87*Baseline!AC87),0))))</f>
        <v>0</v>
      </c>
      <c r="N505" s="77">
        <f>(IF(Baseline!C87="Bestaande Situatie",(_xlfn.IFNA(VLOOKUP(Referentie_Fossiele_Energie_Totaal[[#This Row],[Product]]&amp;", "&amp;Referentie_Fossiele_Energie_Totaal[[#Headers],[C3]],Database_Productkaarten[#All],51,FALSE),0)*Baseline!I87),0))</f>
        <v>0</v>
      </c>
      <c r="O505" s="77">
        <f>(IF(Baseline!C87="Bestaande Situatie",(_xlfn.IFNA(VLOOKUP(Referentie_Fossiele_Energie_Totaal[[#This Row],[Product]]&amp;", "&amp;Referentie_Fossiele_Energie_Totaal[[#Headers],[C4]],Database_Productkaarten[#All],51,FALSE),0)*Baseline!I87),0))</f>
        <v>0</v>
      </c>
      <c r="P505" s="77">
        <f>(IF(Baseline!C87="Bestaande Situatie",(_xlfn.IFNA(VLOOKUP(Referentie_Fossiele_Energie_Totaal[[#This Row],[Product]]&amp;", "&amp;Referentie_Fossiele_Energie_Totaal[[#Headers],[D1]],Database_Productkaarten[#All],51,FALSE),0)*Baseline!I87),0))</f>
        <v>0</v>
      </c>
      <c r="Q505" s="78">
        <f>(IF(Baseline!C87="Bestaande Situatie",_xlfn.IFNA(VLOOKUP(Referentie_Fossiele_Energie_Totaal[[#This Row],[Product]]&amp;", "&amp;Referentie_Fossiele_Energie_Totaal[[#Headers],[D2]],Database_Productkaarten[#All],51,FALSE),0)*Baseline!I87,0))</f>
        <v>0</v>
      </c>
      <c r="R505" s="57">
        <f>(IF(Baseline!C87="Bestaande Situatie",_xlfn.IFNA(VLOOKUP(Referentie_Fossiele_Energie_Totaal[[#This Row],[Product]]&amp;", "&amp;Referentie_Fossiele_Energie_Totaal[[#Headers],[D]],Database_Productkaarten[#All],51,FALSE),0)*Baseline!I87,0))</f>
        <v>0</v>
      </c>
      <c r="S505" s="56">
        <f>SUM(Referentie_Fossiele_Energie_Totaal[[#This Row],[A1-A3]:[C4]])+Referentie_Fossiele_Energie_Totaal[[#This Row],[D]]</f>
        <v>0</v>
      </c>
    </row>
    <row r="506" spans="2:19">
      <c r="B506" s="209">
        <f>Baseline!B88</f>
        <v>0</v>
      </c>
      <c r="C506" s="76">
        <f>Baseline!F88</f>
        <v>0</v>
      </c>
      <c r="D506" s="77">
        <f>(IF(Baseline!C88="Nieuwe Situatie",(_xlfn.IFNA(VLOOKUP(Referentie_Fossiele_Energie_Totaal[[#This Row],[Product]]&amp;", "&amp;Referentie_Fossiele_Energie_Totaal[[#Headers],[A1]],Database_Productkaarten[#All],51,FALSE),0)*Baseline!I88),0))</f>
        <v>0</v>
      </c>
      <c r="E506" s="77">
        <f>(IF(Baseline!C88="Nieuwe Situatie",(_xlfn.IFNA(VLOOKUP(Referentie_Fossiele_Energie_Totaal[[#This Row],[Product]]&amp;", "&amp;Referentie_Fossiele_Energie_Totaal[[#Headers],[A2]],Database_Productkaarten[#All],51,FALSE),0)*Baseline!I88),0))</f>
        <v>0</v>
      </c>
      <c r="F506" s="77">
        <f>(IF(Baseline!C88="Nieuwe Situatie",(_xlfn.IFNA(VLOOKUP(Referentie_Fossiele_Energie_Totaal[[#This Row],[Product]]&amp;", "&amp;Referentie_Fossiele_Energie_Totaal[[#Headers],[A3]],Database_Productkaarten[#All],51,FALSE),0)*Baseline!I88),0))</f>
        <v>0</v>
      </c>
      <c r="G506" s="77">
        <f>(IF(Baseline!C88="Nieuwe Situatie",(_xlfn.IFNA(VLOOKUP(Referentie_Fossiele_Energie_Totaal[[#This Row],[Product]]&amp;", "&amp;Referentie_Fossiele_Energie_Totaal[[#Headers],[A1-A3]],Database_Productkaarten[#All],51,FALSE),0)*Baseline!I88),0))</f>
        <v>0</v>
      </c>
      <c r="H506" s="77">
        <f>IF(Baseline!T88=0,(IF(Baseline!C88="Nieuwe Situatie",(_xlfn.IFNA(VLOOKUP(Referentie_Fossiele_Energie_Totaal[[#This Row],[Product]]&amp;", "&amp;Referentie_CO2_Totaal[[#Headers],[A4]],Database_Productkaarten[#All],51,FALSE),0)*Baseline!I88),0)),IF(Baseline!C88="Nieuwe Situatie",_xlfn.IFNA(VLOOKUP(Baseline!T88,Database_Transport[#All],45,FALSE)*(Baseline!Q88*Baseline!S88),Baseline_Backlog!H191),0))</f>
        <v>0</v>
      </c>
      <c r="I506" s="77">
        <f>IF(Baseline!C88="Nieuwe situatie",IF(_xlfn.IFNA((VLOOKUP(Baseline!U88,Database_Asfalt_Aanlegset[#All],45,FALSE)*Baseline!I88),0)+_xlfn.IFNA(VLOOKUP(Baseline!V88,Database_Brandstoffen[#All],45,FALSE)*((Baseline!I88/Baseline!X88)*Baseline!W88),0)&gt;0,_xlfn.IFNA((VLOOKUP(Baseline!U88,Database_Asfalt_Aanlegset[#All],45,FALSE)*Baseline!I88),0)+_xlfn.IFNA(VLOOKUP(Baseline!V88,Database_Brandstoffen[#All],45,FALSE)*((Baseline!I88/Baseline!X88)*Baseline!W88),0),(_xlfn.IFNA(VLOOKUP(Referentie_Fossiele_Energie_Totaal[[#This Row],[Product]]&amp;", "&amp;Referentie_MKI_Totaal[[#Headers],[A5]],Database_Productkaarten[#All],51,FALSE),0)*Baseline!I88)),0)</f>
        <v>0</v>
      </c>
      <c r="J506" s="77">
        <f>(IF(Baseline!C88="Nieuwe Situatie",(_xlfn.IFNA(VLOOKUP(Referentie_Fossiele_Energie_Totaal[[#This Row],[Product]]&amp;", "&amp;Referentie_Fossiele_Energie_Totaal[[#Headers],[B1]],Database_Productkaarten[#All],51,FALSE),0)*Baseline!I88),0))</f>
        <v>0</v>
      </c>
      <c r="K506" s="77">
        <f>(IF(Baseline!C88="Nieuwe Situatie",(SUM(Referentie_Fossiele_Energie_Totaal[[#This Row],[A1]:[B1]],Referentie_Fossiele_Energie_Totaal[[#This Row],[C1]:[D2]])*Baseline!R88),0))</f>
        <v>0</v>
      </c>
      <c r="L506" s="77">
        <f>IF(Baseline!C88="Bestaande situatie",IF(_xlfn.IFNA((VLOOKUP(Baseline!Y88,Database_Asfalt_Verwijderset[#All],45,FALSE)*Baseline!I88),0)+_xlfn.IFNA(VLOOKUP(Baseline!Z88,Database_Brandstoffen[#All],45,FALSE)*((Baseline!I88/Baseline!AB88)*Baseline!AA88),0)&gt;0,_xlfn.IFNA((VLOOKUP(Baseline!Y88,Database_Asfalt_Verwijderset[#All],45,FALSE)*Baseline!I88),0)+_xlfn.IFNA(VLOOKUP(Baseline!Z88,Database_Brandstoffen[#All],45,FALSE)*((Baseline!I88/Baseline!AB88)*Baseline!AA88),0),(_xlfn.IFNA(VLOOKUP(Referentie_Fossiele_Energie_Totaal[[#This Row],[Product]]&amp;", "&amp;Referentie_MKI_Totaal[[#Headers],[C1]],Database_Productkaarten[#All],51,FALSE),0)*Baseline!I88)),0)</f>
        <v>0</v>
      </c>
      <c r="M506" s="77">
        <f>IF(Baseline!AD88=0,(IF(Baseline!C88="Bestaande Situatie",(_xlfn.IFNA(VLOOKUP(Referentie_Fossiele_Energie_Totaal[[#This Row],[Product]]&amp;", "&amp;Referentie_MKI_Totaal[[#Headers],[C2]],Database_Productkaarten[#All],51,FALSE),0)*Baseline!I88),0)),(IF(Baseline!C88="Bestaande Situatie",_xlfn.IFNA(VLOOKUP(Baseline!AD88,Database_Transport[#All],45,FALSE)*(Baseline!Q88*Baseline!AC88),0))))</f>
        <v>0</v>
      </c>
      <c r="N506" s="77">
        <f>(IF(Baseline!C88="Bestaande Situatie",(_xlfn.IFNA(VLOOKUP(Referentie_Fossiele_Energie_Totaal[[#This Row],[Product]]&amp;", "&amp;Referentie_Fossiele_Energie_Totaal[[#Headers],[C3]],Database_Productkaarten[#All],51,FALSE),0)*Baseline!I88),0))</f>
        <v>0</v>
      </c>
      <c r="O506" s="77">
        <f>(IF(Baseline!C88="Bestaande Situatie",(_xlfn.IFNA(VLOOKUP(Referentie_Fossiele_Energie_Totaal[[#This Row],[Product]]&amp;", "&amp;Referentie_Fossiele_Energie_Totaal[[#Headers],[C4]],Database_Productkaarten[#All],51,FALSE),0)*Baseline!I88),0))</f>
        <v>0</v>
      </c>
      <c r="P506" s="77">
        <f>(IF(Baseline!C88="Bestaande Situatie",(_xlfn.IFNA(VLOOKUP(Referentie_Fossiele_Energie_Totaal[[#This Row],[Product]]&amp;", "&amp;Referentie_Fossiele_Energie_Totaal[[#Headers],[D1]],Database_Productkaarten[#All],51,FALSE),0)*Baseline!I88),0))</f>
        <v>0</v>
      </c>
      <c r="Q506" s="78">
        <f>(IF(Baseline!C88="Bestaande Situatie",_xlfn.IFNA(VLOOKUP(Referentie_Fossiele_Energie_Totaal[[#This Row],[Product]]&amp;", "&amp;Referentie_Fossiele_Energie_Totaal[[#Headers],[D2]],Database_Productkaarten[#All],51,FALSE),0)*Baseline!I88,0))</f>
        <v>0</v>
      </c>
      <c r="R506" s="57">
        <f>(IF(Baseline!C88="Bestaande Situatie",_xlfn.IFNA(VLOOKUP(Referentie_Fossiele_Energie_Totaal[[#This Row],[Product]]&amp;", "&amp;Referentie_Fossiele_Energie_Totaal[[#Headers],[D]],Database_Productkaarten[#All],51,FALSE),0)*Baseline!I88,0))</f>
        <v>0</v>
      </c>
      <c r="S506" s="56">
        <f>SUM(Referentie_Fossiele_Energie_Totaal[[#This Row],[A1-A3]:[C4]])+Referentie_Fossiele_Energie_Totaal[[#This Row],[D]]</f>
        <v>0</v>
      </c>
    </row>
    <row r="507" spans="2:19">
      <c r="B507" s="209">
        <f>Baseline!B89</f>
        <v>0</v>
      </c>
      <c r="C507" s="76">
        <f>Baseline!F89</f>
        <v>0</v>
      </c>
      <c r="D507" s="77">
        <f>(IF(Baseline!C89="Nieuwe Situatie",(_xlfn.IFNA(VLOOKUP(Referentie_Fossiele_Energie_Totaal[[#This Row],[Product]]&amp;", "&amp;Referentie_Fossiele_Energie_Totaal[[#Headers],[A1]],Database_Productkaarten[#All],51,FALSE),0)*Baseline!I89),0))</f>
        <v>0</v>
      </c>
      <c r="E507" s="77">
        <f>(IF(Baseline!C89="Nieuwe Situatie",(_xlfn.IFNA(VLOOKUP(Referentie_Fossiele_Energie_Totaal[[#This Row],[Product]]&amp;", "&amp;Referentie_Fossiele_Energie_Totaal[[#Headers],[A2]],Database_Productkaarten[#All],51,FALSE),0)*Baseline!I89),0))</f>
        <v>0</v>
      </c>
      <c r="F507" s="77">
        <f>(IF(Baseline!C89="Nieuwe Situatie",(_xlfn.IFNA(VLOOKUP(Referentie_Fossiele_Energie_Totaal[[#This Row],[Product]]&amp;", "&amp;Referentie_Fossiele_Energie_Totaal[[#Headers],[A3]],Database_Productkaarten[#All],51,FALSE),0)*Baseline!I89),0))</f>
        <v>0</v>
      </c>
      <c r="G507" s="77">
        <f>(IF(Baseline!C89="Nieuwe Situatie",(_xlfn.IFNA(VLOOKUP(Referentie_Fossiele_Energie_Totaal[[#This Row],[Product]]&amp;", "&amp;Referentie_Fossiele_Energie_Totaal[[#Headers],[A1-A3]],Database_Productkaarten[#All],51,FALSE),0)*Baseline!I89),0))</f>
        <v>0</v>
      </c>
      <c r="H507" s="77">
        <f>IF(Baseline!T89=0,(IF(Baseline!C89="Nieuwe Situatie",(_xlfn.IFNA(VLOOKUP(Referentie_Fossiele_Energie_Totaal[[#This Row],[Product]]&amp;", "&amp;Referentie_CO2_Totaal[[#Headers],[A4]],Database_Productkaarten[#All],51,FALSE),0)*Baseline!I89),0)),IF(Baseline!C89="Nieuwe Situatie",_xlfn.IFNA(VLOOKUP(Baseline!T89,Database_Transport[#All],45,FALSE)*(Baseline!Q89*Baseline!S89),Baseline_Backlog!H192),0))</f>
        <v>0</v>
      </c>
      <c r="I507" s="77">
        <f>IF(Baseline!C89="Nieuwe situatie",IF(_xlfn.IFNA((VLOOKUP(Baseline!U89,Database_Asfalt_Aanlegset[#All],45,FALSE)*Baseline!I89),0)+_xlfn.IFNA(VLOOKUP(Baseline!V89,Database_Brandstoffen[#All],45,FALSE)*((Baseline!I89/Baseline!X89)*Baseline!W89),0)&gt;0,_xlfn.IFNA((VLOOKUP(Baseline!U89,Database_Asfalt_Aanlegset[#All],45,FALSE)*Baseline!I89),0)+_xlfn.IFNA(VLOOKUP(Baseline!V89,Database_Brandstoffen[#All],45,FALSE)*((Baseline!I89/Baseline!X89)*Baseline!W89),0),(_xlfn.IFNA(VLOOKUP(Referentie_Fossiele_Energie_Totaal[[#This Row],[Product]]&amp;", "&amp;Referentie_MKI_Totaal[[#Headers],[A5]],Database_Productkaarten[#All],51,FALSE),0)*Baseline!I89)),0)</f>
        <v>0</v>
      </c>
      <c r="J507" s="77">
        <f>(IF(Baseline!C89="Nieuwe Situatie",(_xlfn.IFNA(VLOOKUP(Referentie_Fossiele_Energie_Totaal[[#This Row],[Product]]&amp;", "&amp;Referentie_Fossiele_Energie_Totaal[[#Headers],[B1]],Database_Productkaarten[#All],51,FALSE),0)*Baseline!I89),0))</f>
        <v>0</v>
      </c>
      <c r="K507" s="77">
        <f>(IF(Baseline!C89="Nieuwe Situatie",(SUM(Referentie_Fossiele_Energie_Totaal[[#This Row],[A1]:[B1]],Referentie_Fossiele_Energie_Totaal[[#This Row],[C1]:[D2]])*Baseline!R89),0))</f>
        <v>0</v>
      </c>
      <c r="L507" s="77">
        <f>IF(Baseline!C89="Bestaande situatie",IF(_xlfn.IFNA((VLOOKUP(Baseline!Y89,Database_Asfalt_Verwijderset[#All],45,FALSE)*Baseline!I89),0)+_xlfn.IFNA(VLOOKUP(Baseline!Z89,Database_Brandstoffen[#All],45,FALSE)*((Baseline!I89/Baseline!AB89)*Baseline!AA89),0)&gt;0,_xlfn.IFNA((VLOOKUP(Baseline!Y89,Database_Asfalt_Verwijderset[#All],45,FALSE)*Baseline!I89),0)+_xlfn.IFNA(VLOOKUP(Baseline!Z89,Database_Brandstoffen[#All],45,FALSE)*((Baseline!I89/Baseline!AB89)*Baseline!AA89),0),(_xlfn.IFNA(VLOOKUP(Referentie_Fossiele_Energie_Totaal[[#This Row],[Product]]&amp;", "&amp;Referentie_MKI_Totaal[[#Headers],[C1]],Database_Productkaarten[#All],51,FALSE),0)*Baseline!I89)),0)</f>
        <v>0</v>
      </c>
      <c r="M507" s="77">
        <f>IF(Baseline!AD89=0,(IF(Baseline!C89="Bestaande Situatie",(_xlfn.IFNA(VLOOKUP(Referentie_Fossiele_Energie_Totaal[[#This Row],[Product]]&amp;", "&amp;Referentie_MKI_Totaal[[#Headers],[C2]],Database_Productkaarten[#All],51,FALSE),0)*Baseline!I89),0)),(IF(Baseline!C89="Bestaande Situatie",_xlfn.IFNA(VLOOKUP(Baseline!AD89,Database_Transport[#All],45,FALSE)*(Baseline!Q89*Baseline!AC89),0))))</f>
        <v>0</v>
      </c>
      <c r="N507" s="77">
        <f>(IF(Baseline!C89="Bestaande Situatie",(_xlfn.IFNA(VLOOKUP(Referentie_Fossiele_Energie_Totaal[[#This Row],[Product]]&amp;", "&amp;Referentie_Fossiele_Energie_Totaal[[#Headers],[C3]],Database_Productkaarten[#All],51,FALSE),0)*Baseline!I89),0))</f>
        <v>0</v>
      </c>
      <c r="O507" s="77">
        <f>(IF(Baseline!C89="Bestaande Situatie",(_xlfn.IFNA(VLOOKUP(Referentie_Fossiele_Energie_Totaal[[#This Row],[Product]]&amp;", "&amp;Referentie_Fossiele_Energie_Totaal[[#Headers],[C4]],Database_Productkaarten[#All],51,FALSE),0)*Baseline!I89),0))</f>
        <v>0</v>
      </c>
      <c r="P507" s="77">
        <f>(IF(Baseline!C89="Bestaande Situatie",(_xlfn.IFNA(VLOOKUP(Referentie_Fossiele_Energie_Totaal[[#This Row],[Product]]&amp;", "&amp;Referentie_Fossiele_Energie_Totaal[[#Headers],[D1]],Database_Productkaarten[#All],51,FALSE),0)*Baseline!I89),0))</f>
        <v>0</v>
      </c>
      <c r="Q507" s="78">
        <f>(IF(Baseline!C89="Bestaande Situatie",_xlfn.IFNA(VLOOKUP(Referentie_Fossiele_Energie_Totaal[[#This Row],[Product]]&amp;", "&amp;Referentie_Fossiele_Energie_Totaal[[#Headers],[D2]],Database_Productkaarten[#All],51,FALSE),0)*Baseline!I89,0))</f>
        <v>0</v>
      </c>
      <c r="R507" s="57">
        <f>(IF(Baseline!C89="Bestaande Situatie",_xlfn.IFNA(VLOOKUP(Referentie_Fossiele_Energie_Totaal[[#This Row],[Product]]&amp;", "&amp;Referentie_Fossiele_Energie_Totaal[[#Headers],[D]],Database_Productkaarten[#All],51,FALSE),0)*Baseline!I89,0))</f>
        <v>0</v>
      </c>
      <c r="S507" s="56">
        <f>SUM(Referentie_Fossiele_Energie_Totaal[[#This Row],[A1-A3]:[C4]])+Referentie_Fossiele_Energie_Totaal[[#This Row],[D]]</f>
        <v>0</v>
      </c>
    </row>
    <row r="508" spans="2:19">
      <c r="B508" s="209">
        <f>Baseline!B90</f>
        <v>0</v>
      </c>
      <c r="C508" s="76">
        <f>Baseline!F90</f>
        <v>0</v>
      </c>
      <c r="D508" s="77">
        <f>(IF(Baseline!C90="Nieuwe Situatie",(_xlfn.IFNA(VLOOKUP(Referentie_Fossiele_Energie_Totaal[[#This Row],[Product]]&amp;", "&amp;Referentie_Fossiele_Energie_Totaal[[#Headers],[A1]],Database_Productkaarten[#All],51,FALSE),0)*Baseline!I90),0))</f>
        <v>0</v>
      </c>
      <c r="E508" s="77">
        <f>(IF(Baseline!C90="Nieuwe Situatie",(_xlfn.IFNA(VLOOKUP(Referentie_Fossiele_Energie_Totaal[[#This Row],[Product]]&amp;", "&amp;Referentie_Fossiele_Energie_Totaal[[#Headers],[A2]],Database_Productkaarten[#All],51,FALSE),0)*Baseline!I90),0))</f>
        <v>0</v>
      </c>
      <c r="F508" s="77">
        <f>(IF(Baseline!C90="Nieuwe Situatie",(_xlfn.IFNA(VLOOKUP(Referentie_Fossiele_Energie_Totaal[[#This Row],[Product]]&amp;", "&amp;Referentie_Fossiele_Energie_Totaal[[#Headers],[A3]],Database_Productkaarten[#All],51,FALSE),0)*Baseline!I90),0))</f>
        <v>0</v>
      </c>
      <c r="G508" s="77">
        <f>(IF(Baseline!C90="Nieuwe Situatie",(_xlfn.IFNA(VLOOKUP(Referentie_Fossiele_Energie_Totaal[[#This Row],[Product]]&amp;", "&amp;Referentie_Fossiele_Energie_Totaal[[#Headers],[A1-A3]],Database_Productkaarten[#All],51,FALSE),0)*Baseline!I90),0))</f>
        <v>0</v>
      </c>
      <c r="H508" s="77">
        <f>IF(Baseline!T90=0,(IF(Baseline!C90="Nieuwe Situatie",(_xlfn.IFNA(VLOOKUP(Referentie_Fossiele_Energie_Totaal[[#This Row],[Product]]&amp;", "&amp;Referentie_CO2_Totaal[[#Headers],[A4]],Database_Productkaarten[#All],51,FALSE),0)*Baseline!I90),0)),IF(Baseline!C90="Nieuwe Situatie",_xlfn.IFNA(VLOOKUP(Baseline!T90,Database_Transport[#All],45,FALSE)*(Baseline!Q90*Baseline!S90),Baseline_Backlog!H193),0))</f>
        <v>0</v>
      </c>
      <c r="I508" s="77">
        <f>IF(Baseline!C90="Nieuwe situatie",IF(_xlfn.IFNA((VLOOKUP(Baseline!U90,Database_Asfalt_Aanlegset[#All],45,FALSE)*Baseline!I90),0)+_xlfn.IFNA(VLOOKUP(Baseline!V90,Database_Brandstoffen[#All],45,FALSE)*((Baseline!I90/Baseline!X90)*Baseline!W90),0)&gt;0,_xlfn.IFNA((VLOOKUP(Baseline!U90,Database_Asfalt_Aanlegset[#All],45,FALSE)*Baseline!I90),0)+_xlfn.IFNA(VLOOKUP(Baseline!V90,Database_Brandstoffen[#All],45,FALSE)*((Baseline!I90/Baseline!X90)*Baseline!W90),0),(_xlfn.IFNA(VLOOKUP(Referentie_Fossiele_Energie_Totaal[[#This Row],[Product]]&amp;", "&amp;Referentie_MKI_Totaal[[#Headers],[A5]],Database_Productkaarten[#All],51,FALSE),0)*Baseline!I90)),0)</f>
        <v>0</v>
      </c>
      <c r="J508" s="77">
        <f>(IF(Baseline!C90="Nieuwe Situatie",(_xlfn.IFNA(VLOOKUP(Referentie_Fossiele_Energie_Totaal[[#This Row],[Product]]&amp;", "&amp;Referentie_Fossiele_Energie_Totaal[[#Headers],[B1]],Database_Productkaarten[#All],51,FALSE),0)*Baseline!I90),0))</f>
        <v>0</v>
      </c>
      <c r="K508" s="77">
        <f>(IF(Baseline!C90="Nieuwe Situatie",(SUM(Referentie_Fossiele_Energie_Totaal[[#This Row],[A1]:[B1]],Referentie_Fossiele_Energie_Totaal[[#This Row],[C1]:[D2]])*Baseline!R90),0))</f>
        <v>0</v>
      </c>
      <c r="L508" s="77">
        <f>IF(Baseline!C90="Bestaande situatie",IF(_xlfn.IFNA((VLOOKUP(Baseline!Y90,Database_Asfalt_Verwijderset[#All],45,FALSE)*Baseline!I90),0)+_xlfn.IFNA(VLOOKUP(Baseline!Z90,Database_Brandstoffen[#All],45,FALSE)*((Baseline!I90/Baseline!AB90)*Baseline!AA90),0)&gt;0,_xlfn.IFNA((VLOOKUP(Baseline!Y90,Database_Asfalt_Verwijderset[#All],45,FALSE)*Baseline!I90),0)+_xlfn.IFNA(VLOOKUP(Baseline!Z90,Database_Brandstoffen[#All],45,FALSE)*((Baseline!I90/Baseline!AB90)*Baseline!AA90),0),(_xlfn.IFNA(VLOOKUP(Referentie_Fossiele_Energie_Totaal[[#This Row],[Product]]&amp;", "&amp;Referentie_MKI_Totaal[[#Headers],[C1]],Database_Productkaarten[#All],51,FALSE),0)*Baseline!I90)),0)</f>
        <v>0</v>
      </c>
      <c r="M508" s="77">
        <f>IF(Baseline!AD90=0,(IF(Baseline!C90="Bestaande Situatie",(_xlfn.IFNA(VLOOKUP(Referentie_Fossiele_Energie_Totaal[[#This Row],[Product]]&amp;", "&amp;Referentie_MKI_Totaal[[#Headers],[C2]],Database_Productkaarten[#All],51,FALSE),0)*Baseline!I90),0)),(IF(Baseline!C90="Bestaande Situatie",_xlfn.IFNA(VLOOKUP(Baseline!AD90,Database_Transport[#All],45,FALSE)*(Baseline!Q90*Baseline!AC90),0))))</f>
        <v>0</v>
      </c>
      <c r="N508" s="77">
        <f>(IF(Baseline!C90="Bestaande Situatie",(_xlfn.IFNA(VLOOKUP(Referentie_Fossiele_Energie_Totaal[[#This Row],[Product]]&amp;", "&amp;Referentie_Fossiele_Energie_Totaal[[#Headers],[C3]],Database_Productkaarten[#All],51,FALSE),0)*Baseline!I90),0))</f>
        <v>0</v>
      </c>
      <c r="O508" s="77">
        <f>(IF(Baseline!C90="Bestaande Situatie",(_xlfn.IFNA(VLOOKUP(Referentie_Fossiele_Energie_Totaal[[#This Row],[Product]]&amp;", "&amp;Referentie_Fossiele_Energie_Totaal[[#Headers],[C4]],Database_Productkaarten[#All],51,FALSE),0)*Baseline!I90),0))</f>
        <v>0</v>
      </c>
      <c r="P508" s="77">
        <f>(IF(Baseline!C90="Bestaande Situatie",(_xlfn.IFNA(VLOOKUP(Referentie_Fossiele_Energie_Totaal[[#This Row],[Product]]&amp;", "&amp;Referentie_Fossiele_Energie_Totaal[[#Headers],[D1]],Database_Productkaarten[#All],51,FALSE),0)*Baseline!I90),0))</f>
        <v>0</v>
      </c>
      <c r="Q508" s="78">
        <f>(IF(Baseline!C90="Bestaande Situatie",_xlfn.IFNA(VLOOKUP(Referentie_Fossiele_Energie_Totaal[[#This Row],[Product]]&amp;", "&amp;Referentie_Fossiele_Energie_Totaal[[#Headers],[D2]],Database_Productkaarten[#All],51,FALSE),0)*Baseline!I90,0))</f>
        <v>0</v>
      </c>
      <c r="R508" s="57">
        <f>(IF(Baseline!C90="Bestaande Situatie",_xlfn.IFNA(VLOOKUP(Referentie_Fossiele_Energie_Totaal[[#This Row],[Product]]&amp;", "&amp;Referentie_Fossiele_Energie_Totaal[[#Headers],[D]],Database_Productkaarten[#All],51,FALSE),0)*Baseline!I90,0))</f>
        <v>0</v>
      </c>
      <c r="S508" s="56">
        <f>SUM(Referentie_Fossiele_Energie_Totaal[[#This Row],[A1-A3]:[C4]])+Referentie_Fossiele_Energie_Totaal[[#This Row],[D]]</f>
        <v>0</v>
      </c>
    </row>
    <row r="509" spans="2:19">
      <c r="B509" s="209">
        <f>Baseline!B91</f>
        <v>0</v>
      </c>
      <c r="C509" s="76">
        <f>Baseline!F91</f>
        <v>0</v>
      </c>
      <c r="D509" s="77">
        <f>(IF(Baseline!C91="Nieuwe Situatie",(_xlfn.IFNA(VLOOKUP(Referentie_Fossiele_Energie_Totaal[[#This Row],[Product]]&amp;", "&amp;Referentie_Fossiele_Energie_Totaal[[#Headers],[A1]],Database_Productkaarten[#All],51,FALSE),0)*Baseline!I91),0))</f>
        <v>0</v>
      </c>
      <c r="E509" s="77">
        <f>(IF(Baseline!C91="Nieuwe Situatie",(_xlfn.IFNA(VLOOKUP(Referentie_Fossiele_Energie_Totaal[[#This Row],[Product]]&amp;", "&amp;Referentie_Fossiele_Energie_Totaal[[#Headers],[A2]],Database_Productkaarten[#All],51,FALSE),0)*Baseline!I91),0))</f>
        <v>0</v>
      </c>
      <c r="F509" s="77">
        <f>(IF(Baseline!C91="Nieuwe Situatie",(_xlfn.IFNA(VLOOKUP(Referentie_Fossiele_Energie_Totaal[[#This Row],[Product]]&amp;", "&amp;Referentie_Fossiele_Energie_Totaal[[#Headers],[A3]],Database_Productkaarten[#All],51,FALSE),0)*Baseline!I91),0))</f>
        <v>0</v>
      </c>
      <c r="G509" s="77">
        <f>(IF(Baseline!C91="Nieuwe Situatie",(_xlfn.IFNA(VLOOKUP(Referentie_Fossiele_Energie_Totaal[[#This Row],[Product]]&amp;", "&amp;Referentie_Fossiele_Energie_Totaal[[#Headers],[A1-A3]],Database_Productkaarten[#All],51,FALSE),0)*Baseline!I91),0))</f>
        <v>0</v>
      </c>
      <c r="H509" s="77">
        <f>IF(Baseline!T91=0,(IF(Baseline!C91="Nieuwe Situatie",(_xlfn.IFNA(VLOOKUP(Referentie_Fossiele_Energie_Totaal[[#This Row],[Product]]&amp;", "&amp;Referentie_CO2_Totaal[[#Headers],[A4]],Database_Productkaarten[#All],51,FALSE),0)*Baseline!I91),0)),IF(Baseline!C91="Nieuwe Situatie",_xlfn.IFNA(VLOOKUP(Baseline!T91,Database_Transport[#All],45,FALSE)*(Baseline!Q91*Baseline!S91),Baseline_Backlog!H194),0))</f>
        <v>0</v>
      </c>
      <c r="I509" s="77">
        <f>IF(Baseline!C91="Nieuwe situatie",IF(_xlfn.IFNA((VLOOKUP(Baseline!U91,Database_Asfalt_Aanlegset[#All],45,FALSE)*Baseline!I91),0)+_xlfn.IFNA(VLOOKUP(Baseline!V91,Database_Brandstoffen[#All],45,FALSE)*((Baseline!I91/Baseline!X91)*Baseline!W91),0)&gt;0,_xlfn.IFNA((VLOOKUP(Baseline!U91,Database_Asfalt_Aanlegset[#All],45,FALSE)*Baseline!I91),0)+_xlfn.IFNA(VLOOKUP(Baseline!V91,Database_Brandstoffen[#All],45,FALSE)*((Baseline!I91/Baseline!X91)*Baseline!W91),0),(_xlfn.IFNA(VLOOKUP(Referentie_Fossiele_Energie_Totaal[[#This Row],[Product]]&amp;", "&amp;Referentie_MKI_Totaal[[#Headers],[A5]],Database_Productkaarten[#All],51,FALSE),0)*Baseline!I91)),0)</f>
        <v>0</v>
      </c>
      <c r="J509" s="77">
        <f>(IF(Baseline!C91="Nieuwe Situatie",(_xlfn.IFNA(VLOOKUP(Referentie_Fossiele_Energie_Totaal[[#This Row],[Product]]&amp;", "&amp;Referentie_Fossiele_Energie_Totaal[[#Headers],[B1]],Database_Productkaarten[#All],51,FALSE),0)*Baseline!I91),0))</f>
        <v>0</v>
      </c>
      <c r="K509" s="77">
        <f>(IF(Baseline!C91="Nieuwe Situatie",(SUM(Referentie_Fossiele_Energie_Totaal[[#This Row],[A1]:[B1]],Referentie_Fossiele_Energie_Totaal[[#This Row],[C1]:[D2]])*Baseline!R91),0))</f>
        <v>0</v>
      </c>
      <c r="L509" s="77">
        <f>IF(Baseline!C91="Bestaande situatie",IF(_xlfn.IFNA((VLOOKUP(Baseline!Y91,Database_Asfalt_Verwijderset[#All],45,FALSE)*Baseline!I91),0)+_xlfn.IFNA(VLOOKUP(Baseline!Z91,Database_Brandstoffen[#All],45,FALSE)*((Baseline!I91/Baseline!AB91)*Baseline!AA91),0)&gt;0,_xlfn.IFNA((VLOOKUP(Baseline!Y91,Database_Asfalt_Verwijderset[#All],45,FALSE)*Baseline!I91),0)+_xlfn.IFNA(VLOOKUP(Baseline!Z91,Database_Brandstoffen[#All],45,FALSE)*((Baseline!I91/Baseline!AB91)*Baseline!AA91),0),(_xlfn.IFNA(VLOOKUP(Referentie_Fossiele_Energie_Totaal[[#This Row],[Product]]&amp;", "&amp;Referentie_MKI_Totaal[[#Headers],[C1]],Database_Productkaarten[#All],51,FALSE),0)*Baseline!I91)),0)</f>
        <v>0</v>
      </c>
      <c r="M509" s="77">
        <f>IF(Baseline!AD91=0,(IF(Baseline!C91="Bestaande Situatie",(_xlfn.IFNA(VLOOKUP(Referentie_Fossiele_Energie_Totaal[[#This Row],[Product]]&amp;", "&amp;Referentie_MKI_Totaal[[#Headers],[C2]],Database_Productkaarten[#All],51,FALSE),0)*Baseline!I91),0)),(IF(Baseline!C91="Bestaande Situatie",_xlfn.IFNA(VLOOKUP(Baseline!AD91,Database_Transport[#All],45,FALSE)*(Baseline!Q91*Baseline!AC91),0))))</f>
        <v>0</v>
      </c>
      <c r="N509" s="77">
        <f>(IF(Baseline!C91="Bestaande Situatie",(_xlfn.IFNA(VLOOKUP(Referentie_Fossiele_Energie_Totaal[[#This Row],[Product]]&amp;", "&amp;Referentie_Fossiele_Energie_Totaal[[#Headers],[C3]],Database_Productkaarten[#All],51,FALSE),0)*Baseline!I91),0))</f>
        <v>0</v>
      </c>
      <c r="O509" s="77">
        <f>(IF(Baseline!C91="Bestaande Situatie",(_xlfn.IFNA(VLOOKUP(Referentie_Fossiele_Energie_Totaal[[#This Row],[Product]]&amp;", "&amp;Referentie_Fossiele_Energie_Totaal[[#Headers],[C4]],Database_Productkaarten[#All],51,FALSE),0)*Baseline!I91),0))</f>
        <v>0</v>
      </c>
      <c r="P509" s="77">
        <f>(IF(Baseline!C91="Bestaande Situatie",(_xlfn.IFNA(VLOOKUP(Referentie_Fossiele_Energie_Totaal[[#This Row],[Product]]&amp;", "&amp;Referentie_Fossiele_Energie_Totaal[[#Headers],[D1]],Database_Productkaarten[#All],51,FALSE),0)*Baseline!I91),0))</f>
        <v>0</v>
      </c>
      <c r="Q509" s="78">
        <f>(IF(Baseline!C91="Bestaande Situatie",_xlfn.IFNA(VLOOKUP(Referentie_Fossiele_Energie_Totaal[[#This Row],[Product]]&amp;", "&amp;Referentie_Fossiele_Energie_Totaal[[#Headers],[D2]],Database_Productkaarten[#All],51,FALSE),0)*Baseline!I91,0))</f>
        <v>0</v>
      </c>
      <c r="R509" s="57">
        <f>(IF(Baseline!C91="Bestaande Situatie",_xlfn.IFNA(VLOOKUP(Referentie_Fossiele_Energie_Totaal[[#This Row],[Product]]&amp;", "&amp;Referentie_Fossiele_Energie_Totaal[[#Headers],[D]],Database_Productkaarten[#All],51,FALSE),0)*Baseline!I91,0))</f>
        <v>0</v>
      </c>
      <c r="S509" s="56">
        <f>SUM(Referentie_Fossiele_Energie_Totaal[[#This Row],[A1-A3]:[C4]])+Referentie_Fossiele_Energie_Totaal[[#This Row],[D]]</f>
        <v>0</v>
      </c>
    </row>
    <row r="510" spans="2:19">
      <c r="B510" s="209">
        <f>Baseline!B92</f>
        <v>0</v>
      </c>
      <c r="C510" s="76">
        <f>Baseline!F92</f>
        <v>0</v>
      </c>
      <c r="D510" s="77">
        <f>(IF(Baseline!C92="Nieuwe Situatie",(_xlfn.IFNA(VLOOKUP(Referentie_Fossiele_Energie_Totaal[[#This Row],[Product]]&amp;", "&amp;Referentie_Fossiele_Energie_Totaal[[#Headers],[A1]],Database_Productkaarten[#All],51,FALSE),0)*Baseline!I92),0))</f>
        <v>0</v>
      </c>
      <c r="E510" s="77">
        <f>(IF(Baseline!C92="Nieuwe Situatie",(_xlfn.IFNA(VLOOKUP(Referentie_Fossiele_Energie_Totaal[[#This Row],[Product]]&amp;", "&amp;Referentie_Fossiele_Energie_Totaal[[#Headers],[A2]],Database_Productkaarten[#All],51,FALSE),0)*Baseline!I92),0))</f>
        <v>0</v>
      </c>
      <c r="F510" s="77">
        <f>(IF(Baseline!C92="Nieuwe Situatie",(_xlfn.IFNA(VLOOKUP(Referentie_Fossiele_Energie_Totaal[[#This Row],[Product]]&amp;", "&amp;Referentie_Fossiele_Energie_Totaal[[#Headers],[A3]],Database_Productkaarten[#All],51,FALSE),0)*Baseline!I92),0))</f>
        <v>0</v>
      </c>
      <c r="G510" s="77">
        <f>(IF(Baseline!C92="Nieuwe Situatie",(_xlfn.IFNA(VLOOKUP(Referentie_Fossiele_Energie_Totaal[[#This Row],[Product]]&amp;", "&amp;Referentie_Fossiele_Energie_Totaal[[#Headers],[A1-A3]],Database_Productkaarten[#All],51,FALSE),0)*Baseline!I92),0))</f>
        <v>0</v>
      </c>
      <c r="H510" s="77">
        <f>IF(Baseline!T92=0,(IF(Baseline!C92="Nieuwe Situatie",(_xlfn.IFNA(VLOOKUP(Referentie_Fossiele_Energie_Totaal[[#This Row],[Product]]&amp;", "&amp;Referentie_CO2_Totaal[[#Headers],[A4]],Database_Productkaarten[#All],51,FALSE),0)*Baseline!I92),0)),IF(Baseline!C92="Nieuwe Situatie",_xlfn.IFNA(VLOOKUP(Baseline!T92,Database_Transport[#All],45,FALSE)*(Baseline!Q92*Baseline!S92),Baseline_Backlog!H195),0))</f>
        <v>0</v>
      </c>
      <c r="I510" s="77">
        <f>IF(Baseline!C92="Nieuwe situatie",IF(_xlfn.IFNA((VLOOKUP(Baseline!U92,Database_Asfalt_Aanlegset[#All],45,FALSE)*Baseline!I92),0)+_xlfn.IFNA(VLOOKUP(Baseline!V92,Database_Brandstoffen[#All],45,FALSE)*((Baseline!I92/Baseline!X92)*Baseline!W92),0)&gt;0,_xlfn.IFNA((VLOOKUP(Baseline!U92,Database_Asfalt_Aanlegset[#All],45,FALSE)*Baseline!I92),0)+_xlfn.IFNA(VLOOKUP(Baseline!V92,Database_Brandstoffen[#All],45,FALSE)*((Baseline!I92/Baseline!X92)*Baseline!W92),0),(_xlfn.IFNA(VLOOKUP(Referentie_Fossiele_Energie_Totaal[[#This Row],[Product]]&amp;", "&amp;Referentie_MKI_Totaal[[#Headers],[A5]],Database_Productkaarten[#All],51,FALSE),0)*Baseline!I92)),0)</f>
        <v>0</v>
      </c>
      <c r="J510" s="77">
        <f>(IF(Baseline!C92="Nieuwe Situatie",(_xlfn.IFNA(VLOOKUP(Referentie_Fossiele_Energie_Totaal[[#This Row],[Product]]&amp;", "&amp;Referentie_Fossiele_Energie_Totaal[[#Headers],[B1]],Database_Productkaarten[#All],51,FALSE),0)*Baseline!I92),0))</f>
        <v>0</v>
      </c>
      <c r="K510" s="77">
        <f>(IF(Baseline!C92="Nieuwe Situatie",(SUM(Referentie_Fossiele_Energie_Totaal[[#This Row],[A1]:[B1]],Referentie_Fossiele_Energie_Totaal[[#This Row],[C1]:[D2]])*Baseline!R92),0))</f>
        <v>0</v>
      </c>
      <c r="L510" s="77">
        <f>IF(Baseline!C92="Bestaande situatie",IF(_xlfn.IFNA((VLOOKUP(Baseline!Y92,Database_Asfalt_Verwijderset[#All],45,FALSE)*Baseline!I92),0)+_xlfn.IFNA(VLOOKUP(Baseline!Z92,Database_Brandstoffen[#All],45,FALSE)*((Baseline!I92/Baseline!AB92)*Baseline!AA92),0)&gt;0,_xlfn.IFNA((VLOOKUP(Baseline!Y92,Database_Asfalt_Verwijderset[#All],45,FALSE)*Baseline!I92),0)+_xlfn.IFNA(VLOOKUP(Baseline!Z92,Database_Brandstoffen[#All],45,FALSE)*((Baseline!I92/Baseline!AB92)*Baseline!AA92),0),(_xlfn.IFNA(VLOOKUP(Referentie_Fossiele_Energie_Totaal[[#This Row],[Product]]&amp;", "&amp;Referentie_MKI_Totaal[[#Headers],[C1]],Database_Productkaarten[#All],51,FALSE),0)*Baseline!I92)),0)</f>
        <v>0</v>
      </c>
      <c r="M510" s="77">
        <f>IF(Baseline!AD92=0,(IF(Baseline!C92="Bestaande Situatie",(_xlfn.IFNA(VLOOKUP(Referentie_Fossiele_Energie_Totaal[[#This Row],[Product]]&amp;", "&amp;Referentie_MKI_Totaal[[#Headers],[C2]],Database_Productkaarten[#All],51,FALSE),0)*Baseline!I92),0)),(IF(Baseline!C92="Bestaande Situatie",_xlfn.IFNA(VLOOKUP(Baseline!AD92,Database_Transport[#All],45,FALSE)*(Baseline!Q92*Baseline!AC92),0))))</f>
        <v>0</v>
      </c>
      <c r="N510" s="77">
        <f>(IF(Baseline!C92="Bestaande Situatie",(_xlfn.IFNA(VLOOKUP(Referentie_Fossiele_Energie_Totaal[[#This Row],[Product]]&amp;", "&amp;Referentie_Fossiele_Energie_Totaal[[#Headers],[C3]],Database_Productkaarten[#All],51,FALSE),0)*Baseline!I92),0))</f>
        <v>0</v>
      </c>
      <c r="O510" s="77">
        <f>(IF(Baseline!C92="Bestaande Situatie",(_xlfn.IFNA(VLOOKUP(Referentie_Fossiele_Energie_Totaal[[#This Row],[Product]]&amp;", "&amp;Referentie_Fossiele_Energie_Totaal[[#Headers],[C4]],Database_Productkaarten[#All],51,FALSE),0)*Baseline!I92),0))</f>
        <v>0</v>
      </c>
      <c r="P510" s="77">
        <f>(IF(Baseline!C92="Bestaande Situatie",(_xlfn.IFNA(VLOOKUP(Referentie_Fossiele_Energie_Totaal[[#This Row],[Product]]&amp;", "&amp;Referentie_Fossiele_Energie_Totaal[[#Headers],[D1]],Database_Productkaarten[#All],51,FALSE),0)*Baseline!I92),0))</f>
        <v>0</v>
      </c>
      <c r="Q510" s="78">
        <f>(IF(Baseline!C92="Bestaande Situatie",_xlfn.IFNA(VLOOKUP(Referentie_Fossiele_Energie_Totaal[[#This Row],[Product]]&amp;", "&amp;Referentie_Fossiele_Energie_Totaal[[#Headers],[D2]],Database_Productkaarten[#All],51,FALSE),0)*Baseline!I92,0))</f>
        <v>0</v>
      </c>
      <c r="R510" s="57">
        <f>(IF(Baseline!C92="Bestaande Situatie",_xlfn.IFNA(VLOOKUP(Referentie_Fossiele_Energie_Totaal[[#This Row],[Product]]&amp;", "&amp;Referentie_Fossiele_Energie_Totaal[[#Headers],[D]],Database_Productkaarten[#All],51,FALSE),0)*Baseline!I92,0))</f>
        <v>0</v>
      </c>
      <c r="S510" s="56">
        <f>SUM(Referentie_Fossiele_Energie_Totaal[[#This Row],[A1-A3]:[C4]])+Referentie_Fossiele_Energie_Totaal[[#This Row],[D]]</f>
        <v>0</v>
      </c>
    </row>
    <row r="511" spans="2:19">
      <c r="B511" s="209">
        <f>Baseline!B93</f>
        <v>0</v>
      </c>
      <c r="C511" s="76">
        <f>Baseline!F93</f>
        <v>0</v>
      </c>
      <c r="D511" s="77">
        <f>(IF(Baseline!C93="Nieuwe Situatie",(_xlfn.IFNA(VLOOKUP(Referentie_Fossiele_Energie_Totaal[[#This Row],[Product]]&amp;", "&amp;Referentie_Fossiele_Energie_Totaal[[#Headers],[A1]],Database_Productkaarten[#All],51,FALSE),0)*Baseline!I93),0))</f>
        <v>0</v>
      </c>
      <c r="E511" s="77">
        <f>(IF(Baseline!C93="Nieuwe Situatie",(_xlfn.IFNA(VLOOKUP(Referentie_Fossiele_Energie_Totaal[[#This Row],[Product]]&amp;", "&amp;Referentie_Fossiele_Energie_Totaal[[#Headers],[A2]],Database_Productkaarten[#All],51,FALSE),0)*Baseline!I93),0))</f>
        <v>0</v>
      </c>
      <c r="F511" s="77">
        <f>(IF(Baseline!C93="Nieuwe Situatie",(_xlfn.IFNA(VLOOKUP(Referentie_Fossiele_Energie_Totaal[[#This Row],[Product]]&amp;", "&amp;Referentie_Fossiele_Energie_Totaal[[#Headers],[A3]],Database_Productkaarten[#All],51,FALSE),0)*Baseline!I93),0))</f>
        <v>0</v>
      </c>
      <c r="G511" s="77">
        <f>(IF(Baseline!C93="Nieuwe Situatie",(_xlfn.IFNA(VLOOKUP(Referentie_Fossiele_Energie_Totaal[[#This Row],[Product]]&amp;", "&amp;Referentie_Fossiele_Energie_Totaal[[#Headers],[A1-A3]],Database_Productkaarten[#All],51,FALSE),0)*Baseline!I93),0))</f>
        <v>0</v>
      </c>
      <c r="H511" s="77">
        <f>IF(Baseline!T93=0,(IF(Baseline!C93="Nieuwe Situatie",(_xlfn.IFNA(VLOOKUP(Referentie_Fossiele_Energie_Totaal[[#This Row],[Product]]&amp;", "&amp;Referentie_CO2_Totaal[[#Headers],[A4]],Database_Productkaarten[#All],51,FALSE),0)*Baseline!I93),0)),IF(Baseline!C93="Nieuwe Situatie",_xlfn.IFNA(VLOOKUP(Baseline!T93,Database_Transport[#All],45,FALSE)*(Baseline!Q93*Baseline!S93),Baseline_Backlog!H196),0))</f>
        <v>0</v>
      </c>
      <c r="I511" s="77">
        <f>IF(Baseline!C93="Nieuwe situatie",IF(_xlfn.IFNA((VLOOKUP(Baseline!U93,Database_Asfalt_Aanlegset[#All],45,FALSE)*Baseline!I93),0)+_xlfn.IFNA(VLOOKUP(Baseline!V93,Database_Brandstoffen[#All],45,FALSE)*((Baseline!I93/Baseline!X93)*Baseline!W93),0)&gt;0,_xlfn.IFNA((VLOOKUP(Baseline!U93,Database_Asfalt_Aanlegset[#All],45,FALSE)*Baseline!I93),0)+_xlfn.IFNA(VLOOKUP(Baseline!V93,Database_Brandstoffen[#All],45,FALSE)*((Baseline!I93/Baseline!X93)*Baseline!W93),0),(_xlfn.IFNA(VLOOKUP(Referentie_Fossiele_Energie_Totaal[[#This Row],[Product]]&amp;", "&amp;Referentie_MKI_Totaal[[#Headers],[A5]],Database_Productkaarten[#All],51,FALSE),0)*Baseline!I93)),0)</f>
        <v>0</v>
      </c>
      <c r="J511" s="77">
        <f>(IF(Baseline!C93="Nieuwe Situatie",(_xlfn.IFNA(VLOOKUP(Referentie_Fossiele_Energie_Totaal[[#This Row],[Product]]&amp;", "&amp;Referentie_Fossiele_Energie_Totaal[[#Headers],[B1]],Database_Productkaarten[#All],51,FALSE),0)*Baseline!I93),0))</f>
        <v>0</v>
      </c>
      <c r="K511" s="77">
        <f>(IF(Baseline!C93="Nieuwe Situatie",(SUM(Referentie_Fossiele_Energie_Totaal[[#This Row],[A1]:[B1]],Referentie_Fossiele_Energie_Totaal[[#This Row],[C1]:[D2]])*Baseline!R93),0))</f>
        <v>0</v>
      </c>
      <c r="L511" s="77">
        <f>IF(Baseline!C93="Bestaande situatie",IF(_xlfn.IFNA((VLOOKUP(Baseline!Y93,Database_Asfalt_Verwijderset[#All],45,FALSE)*Baseline!I93),0)+_xlfn.IFNA(VLOOKUP(Baseline!Z93,Database_Brandstoffen[#All],45,FALSE)*((Baseline!I93/Baseline!AB93)*Baseline!AA93),0)&gt;0,_xlfn.IFNA((VLOOKUP(Baseline!Y93,Database_Asfalt_Verwijderset[#All],45,FALSE)*Baseline!I93),0)+_xlfn.IFNA(VLOOKUP(Baseline!Z93,Database_Brandstoffen[#All],45,FALSE)*((Baseline!I93/Baseline!AB93)*Baseline!AA93),0),(_xlfn.IFNA(VLOOKUP(Referentie_Fossiele_Energie_Totaal[[#This Row],[Product]]&amp;", "&amp;Referentie_MKI_Totaal[[#Headers],[C1]],Database_Productkaarten[#All],51,FALSE),0)*Baseline!I93)),0)</f>
        <v>0</v>
      </c>
      <c r="M511" s="77">
        <f>IF(Baseline!AD93=0,(IF(Baseline!C93="Bestaande Situatie",(_xlfn.IFNA(VLOOKUP(Referentie_Fossiele_Energie_Totaal[[#This Row],[Product]]&amp;", "&amp;Referentie_MKI_Totaal[[#Headers],[C2]],Database_Productkaarten[#All],51,FALSE),0)*Baseline!I93),0)),(IF(Baseline!C93="Bestaande Situatie",_xlfn.IFNA(VLOOKUP(Baseline!AD93,Database_Transport[#All],45,FALSE)*(Baseline!Q93*Baseline!AC93),0))))</f>
        <v>0</v>
      </c>
      <c r="N511" s="77">
        <f>(IF(Baseline!C93="Bestaande Situatie",(_xlfn.IFNA(VLOOKUP(Referentie_Fossiele_Energie_Totaal[[#This Row],[Product]]&amp;", "&amp;Referentie_Fossiele_Energie_Totaal[[#Headers],[C3]],Database_Productkaarten[#All],51,FALSE),0)*Baseline!I93),0))</f>
        <v>0</v>
      </c>
      <c r="O511" s="77">
        <f>(IF(Baseline!C93="Bestaande Situatie",(_xlfn.IFNA(VLOOKUP(Referentie_Fossiele_Energie_Totaal[[#This Row],[Product]]&amp;", "&amp;Referentie_Fossiele_Energie_Totaal[[#Headers],[C4]],Database_Productkaarten[#All],51,FALSE),0)*Baseline!I93),0))</f>
        <v>0</v>
      </c>
      <c r="P511" s="77">
        <f>(IF(Baseline!C93="Bestaande Situatie",(_xlfn.IFNA(VLOOKUP(Referentie_Fossiele_Energie_Totaal[[#This Row],[Product]]&amp;", "&amp;Referentie_Fossiele_Energie_Totaal[[#Headers],[D1]],Database_Productkaarten[#All],51,FALSE),0)*Baseline!I93),0))</f>
        <v>0</v>
      </c>
      <c r="Q511" s="78">
        <f>(IF(Baseline!C93="Bestaande Situatie",_xlfn.IFNA(VLOOKUP(Referentie_Fossiele_Energie_Totaal[[#This Row],[Product]]&amp;", "&amp;Referentie_Fossiele_Energie_Totaal[[#Headers],[D2]],Database_Productkaarten[#All],51,FALSE),0)*Baseline!I93,0))</f>
        <v>0</v>
      </c>
      <c r="R511" s="57">
        <f>(IF(Baseline!C93="Bestaande Situatie",_xlfn.IFNA(VLOOKUP(Referentie_Fossiele_Energie_Totaal[[#This Row],[Product]]&amp;", "&amp;Referentie_Fossiele_Energie_Totaal[[#Headers],[D]],Database_Productkaarten[#All],51,FALSE),0)*Baseline!I93,0))</f>
        <v>0</v>
      </c>
      <c r="S511" s="56">
        <f>SUM(Referentie_Fossiele_Energie_Totaal[[#This Row],[A1-A3]:[C4]])+Referentie_Fossiele_Energie_Totaal[[#This Row],[D]]</f>
        <v>0</v>
      </c>
    </row>
    <row r="512" spans="2:19">
      <c r="B512" s="209">
        <f>Baseline!B94</f>
        <v>0</v>
      </c>
      <c r="C512" s="76">
        <f>Baseline!F94</f>
        <v>0</v>
      </c>
      <c r="D512" s="77">
        <f>(IF(Baseline!C94="Nieuwe Situatie",(_xlfn.IFNA(VLOOKUP(Referentie_Fossiele_Energie_Totaal[[#This Row],[Product]]&amp;", "&amp;Referentie_Fossiele_Energie_Totaal[[#Headers],[A1]],Database_Productkaarten[#All],51,FALSE),0)*Baseline!I94),0))</f>
        <v>0</v>
      </c>
      <c r="E512" s="77">
        <f>(IF(Baseline!C94="Nieuwe Situatie",(_xlfn.IFNA(VLOOKUP(Referentie_Fossiele_Energie_Totaal[[#This Row],[Product]]&amp;", "&amp;Referentie_Fossiele_Energie_Totaal[[#Headers],[A2]],Database_Productkaarten[#All],51,FALSE),0)*Baseline!I94),0))</f>
        <v>0</v>
      </c>
      <c r="F512" s="77">
        <f>(IF(Baseline!C94="Nieuwe Situatie",(_xlfn.IFNA(VLOOKUP(Referentie_Fossiele_Energie_Totaal[[#This Row],[Product]]&amp;", "&amp;Referentie_Fossiele_Energie_Totaal[[#Headers],[A3]],Database_Productkaarten[#All],51,FALSE),0)*Baseline!I94),0))</f>
        <v>0</v>
      </c>
      <c r="G512" s="77">
        <f>(IF(Baseline!C94="Nieuwe Situatie",(_xlfn.IFNA(VLOOKUP(Referentie_Fossiele_Energie_Totaal[[#This Row],[Product]]&amp;", "&amp;Referentie_Fossiele_Energie_Totaal[[#Headers],[A1-A3]],Database_Productkaarten[#All],51,FALSE),0)*Baseline!I94),0))</f>
        <v>0</v>
      </c>
      <c r="H512" s="77">
        <f>IF(Baseline!T94=0,(IF(Baseline!C94="Nieuwe Situatie",(_xlfn.IFNA(VLOOKUP(Referentie_Fossiele_Energie_Totaal[[#This Row],[Product]]&amp;", "&amp;Referentie_CO2_Totaal[[#Headers],[A4]],Database_Productkaarten[#All],51,FALSE),0)*Baseline!I94),0)),IF(Baseline!C94="Nieuwe Situatie",_xlfn.IFNA(VLOOKUP(Baseline!T94,Database_Transport[#All],45,FALSE)*(Baseline!Q94*Baseline!S94),Baseline_Backlog!H197),0))</f>
        <v>0</v>
      </c>
      <c r="I512" s="77">
        <f>IF(Baseline!C94="Nieuwe situatie",IF(_xlfn.IFNA((VLOOKUP(Baseline!U94,Database_Asfalt_Aanlegset[#All],45,FALSE)*Baseline!I94),0)+_xlfn.IFNA(VLOOKUP(Baseline!V94,Database_Brandstoffen[#All],45,FALSE)*((Baseline!I94/Baseline!X94)*Baseline!W94),0)&gt;0,_xlfn.IFNA((VLOOKUP(Baseline!U94,Database_Asfalt_Aanlegset[#All],45,FALSE)*Baseline!I94),0)+_xlfn.IFNA(VLOOKUP(Baseline!V94,Database_Brandstoffen[#All],45,FALSE)*((Baseline!I94/Baseline!X94)*Baseline!W94),0),(_xlfn.IFNA(VLOOKUP(Referentie_Fossiele_Energie_Totaal[[#This Row],[Product]]&amp;", "&amp;Referentie_MKI_Totaal[[#Headers],[A5]],Database_Productkaarten[#All],51,FALSE),0)*Baseline!I94)),0)</f>
        <v>0</v>
      </c>
      <c r="J512" s="77">
        <f>(IF(Baseline!C94="Nieuwe Situatie",(_xlfn.IFNA(VLOOKUP(Referentie_Fossiele_Energie_Totaal[[#This Row],[Product]]&amp;", "&amp;Referentie_Fossiele_Energie_Totaal[[#Headers],[B1]],Database_Productkaarten[#All],51,FALSE),0)*Baseline!I94),0))</f>
        <v>0</v>
      </c>
      <c r="K512" s="77">
        <f>(IF(Baseline!C94="Nieuwe Situatie",(SUM(Referentie_Fossiele_Energie_Totaal[[#This Row],[A1]:[B1]],Referentie_Fossiele_Energie_Totaal[[#This Row],[C1]:[D2]])*Baseline!R94),0))</f>
        <v>0</v>
      </c>
      <c r="L512" s="77">
        <f>IF(Baseline!C94="Bestaande situatie",IF(_xlfn.IFNA((VLOOKUP(Baseline!Y94,Database_Asfalt_Verwijderset[#All],45,FALSE)*Baseline!I94),0)+_xlfn.IFNA(VLOOKUP(Baseline!Z94,Database_Brandstoffen[#All],45,FALSE)*((Baseline!I94/Baseline!AB94)*Baseline!AA94),0)&gt;0,_xlfn.IFNA((VLOOKUP(Baseline!Y94,Database_Asfalt_Verwijderset[#All],45,FALSE)*Baseline!I94),0)+_xlfn.IFNA(VLOOKUP(Baseline!Z94,Database_Brandstoffen[#All],45,FALSE)*((Baseline!I94/Baseline!AB94)*Baseline!AA94),0),(_xlfn.IFNA(VLOOKUP(Referentie_Fossiele_Energie_Totaal[[#This Row],[Product]]&amp;", "&amp;Referentie_MKI_Totaal[[#Headers],[C1]],Database_Productkaarten[#All],51,FALSE),0)*Baseline!I94)),0)</f>
        <v>0</v>
      </c>
      <c r="M512" s="77">
        <f>IF(Baseline!AD94=0,(IF(Baseline!C94="Bestaande Situatie",(_xlfn.IFNA(VLOOKUP(Referentie_Fossiele_Energie_Totaal[[#This Row],[Product]]&amp;", "&amp;Referentie_MKI_Totaal[[#Headers],[C2]],Database_Productkaarten[#All],51,FALSE),0)*Baseline!I94),0)),(IF(Baseline!C94="Bestaande Situatie",_xlfn.IFNA(VLOOKUP(Baseline!AD94,Database_Transport[#All],45,FALSE)*(Baseline!Q94*Baseline!AC94),0))))</f>
        <v>0</v>
      </c>
      <c r="N512" s="77">
        <f>(IF(Baseline!C94="Bestaande Situatie",(_xlfn.IFNA(VLOOKUP(Referentie_Fossiele_Energie_Totaal[[#This Row],[Product]]&amp;", "&amp;Referentie_Fossiele_Energie_Totaal[[#Headers],[C3]],Database_Productkaarten[#All],51,FALSE),0)*Baseline!I94),0))</f>
        <v>0</v>
      </c>
      <c r="O512" s="77">
        <f>(IF(Baseline!C94="Bestaande Situatie",(_xlfn.IFNA(VLOOKUP(Referentie_Fossiele_Energie_Totaal[[#This Row],[Product]]&amp;", "&amp;Referentie_Fossiele_Energie_Totaal[[#Headers],[C4]],Database_Productkaarten[#All],51,FALSE),0)*Baseline!I94),0))</f>
        <v>0</v>
      </c>
      <c r="P512" s="77">
        <f>(IF(Baseline!C94="Bestaande Situatie",(_xlfn.IFNA(VLOOKUP(Referentie_Fossiele_Energie_Totaal[[#This Row],[Product]]&amp;", "&amp;Referentie_Fossiele_Energie_Totaal[[#Headers],[D1]],Database_Productkaarten[#All],51,FALSE),0)*Baseline!I94),0))</f>
        <v>0</v>
      </c>
      <c r="Q512" s="78">
        <f>(IF(Baseline!C94="Bestaande Situatie",_xlfn.IFNA(VLOOKUP(Referentie_Fossiele_Energie_Totaal[[#This Row],[Product]]&amp;", "&amp;Referentie_Fossiele_Energie_Totaal[[#Headers],[D2]],Database_Productkaarten[#All],51,FALSE),0)*Baseline!I94,0))</f>
        <v>0</v>
      </c>
      <c r="R512" s="57">
        <f>(IF(Baseline!C94="Bestaande Situatie",_xlfn.IFNA(VLOOKUP(Referentie_Fossiele_Energie_Totaal[[#This Row],[Product]]&amp;", "&amp;Referentie_Fossiele_Energie_Totaal[[#Headers],[D]],Database_Productkaarten[#All],51,FALSE),0)*Baseline!I94,0))</f>
        <v>0</v>
      </c>
      <c r="S512" s="56">
        <f>SUM(Referentie_Fossiele_Energie_Totaal[[#This Row],[A1-A3]:[C4]])+Referentie_Fossiele_Energie_Totaal[[#This Row],[D]]</f>
        <v>0</v>
      </c>
    </row>
    <row r="513" spans="2:19">
      <c r="B513" s="209">
        <f>Baseline!B95</f>
        <v>0</v>
      </c>
      <c r="C513" s="76">
        <f>Baseline!F95</f>
        <v>0</v>
      </c>
      <c r="D513" s="77">
        <f>(IF(Baseline!C95="Nieuwe Situatie",(_xlfn.IFNA(VLOOKUP(Referentie_Fossiele_Energie_Totaal[[#This Row],[Product]]&amp;", "&amp;Referentie_Fossiele_Energie_Totaal[[#Headers],[A1]],Database_Productkaarten[#All],51,FALSE),0)*Baseline!I95),0))</f>
        <v>0</v>
      </c>
      <c r="E513" s="77">
        <f>(IF(Baseline!C95="Nieuwe Situatie",(_xlfn.IFNA(VLOOKUP(Referentie_Fossiele_Energie_Totaal[[#This Row],[Product]]&amp;", "&amp;Referentie_Fossiele_Energie_Totaal[[#Headers],[A2]],Database_Productkaarten[#All],51,FALSE),0)*Baseline!I95),0))</f>
        <v>0</v>
      </c>
      <c r="F513" s="77">
        <f>(IF(Baseline!C95="Nieuwe Situatie",(_xlfn.IFNA(VLOOKUP(Referentie_Fossiele_Energie_Totaal[[#This Row],[Product]]&amp;", "&amp;Referentie_Fossiele_Energie_Totaal[[#Headers],[A3]],Database_Productkaarten[#All],51,FALSE),0)*Baseline!I95),0))</f>
        <v>0</v>
      </c>
      <c r="G513" s="77">
        <f>(IF(Baseline!C95="Nieuwe Situatie",(_xlfn.IFNA(VLOOKUP(Referentie_Fossiele_Energie_Totaal[[#This Row],[Product]]&amp;", "&amp;Referentie_Fossiele_Energie_Totaal[[#Headers],[A1-A3]],Database_Productkaarten[#All],51,FALSE),0)*Baseline!I95),0))</f>
        <v>0</v>
      </c>
      <c r="H513" s="77">
        <f>IF(Baseline!T95=0,(IF(Baseline!C95="Nieuwe Situatie",(_xlfn.IFNA(VLOOKUP(Referentie_Fossiele_Energie_Totaal[[#This Row],[Product]]&amp;", "&amp;Referentie_CO2_Totaal[[#Headers],[A4]],Database_Productkaarten[#All],51,FALSE),0)*Baseline!I95),0)),IF(Baseline!C95="Nieuwe Situatie",_xlfn.IFNA(VLOOKUP(Baseline!T95,Database_Transport[#All],45,FALSE)*(Baseline!Q95*Baseline!S95),Baseline_Backlog!H198),0))</f>
        <v>0</v>
      </c>
      <c r="I513" s="77">
        <f>IF(Baseline!C95="Nieuwe situatie",IF(_xlfn.IFNA((VLOOKUP(Baseline!U95,Database_Asfalt_Aanlegset[#All],45,FALSE)*Baseline!I95),0)+_xlfn.IFNA(VLOOKUP(Baseline!V95,Database_Brandstoffen[#All],45,FALSE)*((Baseline!I95/Baseline!X95)*Baseline!W95),0)&gt;0,_xlfn.IFNA((VLOOKUP(Baseline!U95,Database_Asfalt_Aanlegset[#All],45,FALSE)*Baseline!I95),0)+_xlfn.IFNA(VLOOKUP(Baseline!V95,Database_Brandstoffen[#All],45,FALSE)*((Baseline!I95/Baseline!X95)*Baseline!W95),0),(_xlfn.IFNA(VLOOKUP(Referentie_Fossiele_Energie_Totaal[[#This Row],[Product]]&amp;", "&amp;Referentie_MKI_Totaal[[#Headers],[A5]],Database_Productkaarten[#All],51,FALSE),0)*Baseline!I95)),0)</f>
        <v>0</v>
      </c>
      <c r="J513" s="77">
        <f>(IF(Baseline!C95="Nieuwe Situatie",(_xlfn.IFNA(VLOOKUP(Referentie_Fossiele_Energie_Totaal[[#This Row],[Product]]&amp;", "&amp;Referentie_Fossiele_Energie_Totaal[[#Headers],[B1]],Database_Productkaarten[#All],51,FALSE),0)*Baseline!I95),0))</f>
        <v>0</v>
      </c>
      <c r="K513" s="77">
        <f>(IF(Baseline!C95="Nieuwe Situatie",(SUM(Referentie_Fossiele_Energie_Totaal[[#This Row],[A1]:[B1]],Referentie_Fossiele_Energie_Totaal[[#This Row],[C1]:[D2]])*Baseline!R95),0))</f>
        <v>0</v>
      </c>
      <c r="L513" s="77">
        <f>IF(Baseline!C95="Bestaande situatie",IF(_xlfn.IFNA((VLOOKUP(Baseline!Y95,Database_Asfalt_Verwijderset[#All],45,FALSE)*Baseline!I95),0)+_xlfn.IFNA(VLOOKUP(Baseline!Z95,Database_Brandstoffen[#All],45,FALSE)*((Baseline!I95/Baseline!AB95)*Baseline!AA95),0)&gt;0,_xlfn.IFNA((VLOOKUP(Baseline!Y95,Database_Asfalt_Verwijderset[#All],45,FALSE)*Baseline!I95),0)+_xlfn.IFNA(VLOOKUP(Baseline!Z95,Database_Brandstoffen[#All],45,FALSE)*((Baseline!I95/Baseline!AB95)*Baseline!AA95),0),(_xlfn.IFNA(VLOOKUP(Referentie_Fossiele_Energie_Totaal[[#This Row],[Product]]&amp;", "&amp;Referentie_MKI_Totaal[[#Headers],[C1]],Database_Productkaarten[#All],51,FALSE),0)*Baseline!I95)),0)</f>
        <v>0</v>
      </c>
      <c r="M513" s="77">
        <f>IF(Baseline!AD95=0,(IF(Baseline!C95="Bestaande Situatie",(_xlfn.IFNA(VLOOKUP(Referentie_Fossiele_Energie_Totaal[[#This Row],[Product]]&amp;", "&amp;Referentie_MKI_Totaal[[#Headers],[C2]],Database_Productkaarten[#All],51,FALSE),0)*Baseline!I95),0)),(IF(Baseline!C95="Bestaande Situatie",_xlfn.IFNA(VLOOKUP(Baseline!AD95,Database_Transport[#All],45,FALSE)*(Baseline!Q95*Baseline!AC95),0))))</f>
        <v>0</v>
      </c>
      <c r="N513" s="77">
        <f>(IF(Baseline!C95="Bestaande Situatie",(_xlfn.IFNA(VLOOKUP(Referentie_Fossiele_Energie_Totaal[[#This Row],[Product]]&amp;", "&amp;Referentie_Fossiele_Energie_Totaal[[#Headers],[C3]],Database_Productkaarten[#All],51,FALSE),0)*Baseline!I95),0))</f>
        <v>0</v>
      </c>
      <c r="O513" s="77">
        <f>(IF(Baseline!C95="Bestaande Situatie",(_xlfn.IFNA(VLOOKUP(Referentie_Fossiele_Energie_Totaal[[#This Row],[Product]]&amp;", "&amp;Referentie_Fossiele_Energie_Totaal[[#Headers],[C4]],Database_Productkaarten[#All],51,FALSE),0)*Baseline!I95),0))</f>
        <v>0</v>
      </c>
      <c r="P513" s="77">
        <f>(IF(Baseline!C95="Bestaande Situatie",(_xlfn.IFNA(VLOOKUP(Referentie_Fossiele_Energie_Totaal[[#This Row],[Product]]&amp;", "&amp;Referentie_Fossiele_Energie_Totaal[[#Headers],[D1]],Database_Productkaarten[#All],51,FALSE),0)*Baseline!I95),0))</f>
        <v>0</v>
      </c>
      <c r="Q513" s="78">
        <f>(IF(Baseline!C95="Bestaande Situatie",_xlfn.IFNA(VLOOKUP(Referentie_Fossiele_Energie_Totaal[[#This Row],[Product]]&amp;", "&amp;Referentie_Fossiele_Energie_Totaal[[#Headers],[D2]],Database_Productkaarten[#All],51,FALSE),0)*Baseline!I95,0))</f>
        <v>0</v>
      </c>
      <c r="R513" s="57">
        <f>(IF(Baseline!C95="Bestaande Situatie",_xlfn.IFNA(VLOOKUP(Referentie_Fossiele_Energie_Totaal[[#This Row],[Product]]&amp;", "&amp;Referentie_Fossiele_Energie_Totaal[[#Headers],[D]],Database_Productkaarten[#All],51,FALSE),0)*Baseline!I95,0))</f>
        <v>0</v>
      </c>
      <c r="S513" s="56">
        <f>SUM(Referentie_Fossiele_Energie_Totaal[[#This Row],[A1-A3]:[C4]])+Referentie_Fossiele_Energie_Totaal[[#This Row],[D]]</f>
        <v>0</v>
      </c>
    </row>
    <row r="514" spans="2:19">
      <c r="B514" s="209">
        <f>Baseline!B96</f>
        <v>0</v>
      </c>
      <c r="C514" s="76">
        <f>Baseline!F96</f>
        <v>0</v>
      </c>
      <c r="D514" s="77">
        <f>(IF(Baseline!C96="Nieuwe Situatie",(_xlfn.IFNA(VLOOKUP(Referentie_Fossiele_Energie_Totaal[[#This Row],[Product]]&amp;", "&amp;Referentie_Fossiele_Energie_Totaal[[#Headers],[A1]],Database_Productkaarten[#All],51,FALSE),0)*Baseline!I96),0))</f>
        <v>0</v>
      </c>
      <c r="E514" s="77">
        <f>(IF(Baseline!C96="Nieuwe Situatie",(_xlfn.IFNA(VLOOKUP(Referentie_Fossiele_Energie_Totaal[[#This Row],[Product]]&amp;", "&amp;Referentie_Fossiele_Energie_Totaal[[#Headers],[A2]],Database_Productkaarten[#All],51,FALSE),0)*Baseline!I96),0))</f>
        <v>0</v>
      </c>
      <c r="F514" s="77">
        <f>(IF(Baseline!C96="Nieuwe Situatie",(_xlfn.IFNA(VLOOKUP(Referentie_Fossiele_Energie_Totaal[[#This Row],[Product]]&amp;", "&amp;Referentie_Fossiele_Energie_Totaal[[#Headers],[A3]],Database_Productkaarten[#All],51,FALSE),0)*Baseline!I96),0))</f>
        <v>0</v>
      </c>
      <c r="G514" s="77">
        <f>(IF(Baseline!C96="Nieuwe Situatie",(_xlfn.IFNA(VLOOKUP(Referentie_Fossiele_Energie_Totaal[[#This Row],[Product]]&amp;", "&amp;Referentie_Fossiele_Energie_Totaal[[#Headers],[A1-A3]],Database_Productkaarten[#All],51,FALSE),0)*Baseline!I96),0))</f>
        <v>0</v>
      </c>
      <c r="H514" s="77">
        <f>IF(Baseline!T96=0,(IF(Baseline!C96="Nieuwe Situatie",(_xlfn.IFNA(VLOOKUP(Referentie_Fossiele_Energie_Totaal[[#This Row],[Product]]&amp;", "&amp;Referentie_CO2_Totaal[[#Headers],[A4]],Database_Productkaarten[#All],51,FALSE),0)*Baseline!I96),0)),IF(Baseline!C96="Nieuwe Situatie",_xlfn.IFNA(VLOOKUP(Baseline!T96,Database_Transport[#All],45,FALSE)*(Baseline!Q96*Baseline!S96),Baseline_Backlog!H199),0))</f>
        <v>0</v>
      </c>
      <c r="I514" s="77">
        <f>IF(Baseline!C96="Nieuwe situatie",IF(_xlfn.IFNA((VLOOKUP(Baseline!U96,Database_Asfalt_Aanlegset[#All],45,FALSE)*Baseline!I96),0)+_xlfn.IFNA(VLOOKUP(Baseline!V96,Database_Brandstoffen[#All],45,FALSE)*((Baseline!I96/Baseline!X96)*Baseline!W96),0)&gt;0,_xlfn.IFNA((VLOOKUP(Baseline!U96,Database_Asfalt_Aanlegset[#All],45,FALSE)*Baseline!I96),0)+_xlfn.IFNA(VLOOKUP(Baseline!V96,Database_Brandstoffen[#All],45,FALSE)*((Baseline!I96/Baseline!X96)*Baseline!W96),0),(_xlfn.IFNA(VLOOKUP(Referentie_Fossiele_Energie_Totaal[[#This Row],[Product]]&amp;", "&amp;Referentie_MKI_Totaal[[#Headers],[A5]],Database_Productkaarten[#All],51,FALSE),0)*Baseline!I96)),0)</f>
        <v>0</v>
      </c>
      <c r="J514" s="77">
        <f>(IF(Baseline!C96="Nieuwe Situatie",(_xlfn.IFNA(VLOOKUP(Referentie_Fossiele_Energie_Totaal[[#This Row],[Product]]&amp;", "&amp;Referentie_Fossiele_Energie_Totaal[[#Headers],[B1]],Database_Productkaarten[#All],51,FALSE),0)*Baseline!I96),0))</f>
        <v>0</v>
      </c>
      <c r="K514" s="77">
        <f>(IF(Baseline!C96="Nieuwe Situatie",(SUM(Referentie_Fossiele_Energie_Totaal[[#This Row],[A1]:[B1]],Referentie_Fossiele_Energie_Totaal[[#This Row],[C1]:[D2]])*Baseline!R96),0))</f>
        <v>0</v>
      </c>
      <c r="L514" s="77">
        <f>IF(Baseline!C96="Bestaande situatie",IF(_xlfn.IFNA((VLOOKUP(Baseline!Y96,Database_Asfalt_Verwijderset[#All],45,FALSE)*Baseline!I96),0)+_xlfn.IFNA(VLOOKUP(Baseline!Z96,Database_Brandstoffen[#All],45,FALSE)*((Baseline!I96/Baseline!AB96)*Baseline!AA96),0)&gt;0,_xlfn.IFNA((VLOOKUP(Baseline!Y96,Database_Asfalt_Verwijderset[#All],45,FALSE)*Baseline!I96),0)+_xlfn.IFNA(VLOOKUP(Baseline!Z96,Database_Brandstoffen[#All],45,FALSE)*((Baseline!I96/Baseline!AB96)*Baseline!AA96),0),(_xlfn.IFNA(VLOOKUP(Referentie_Fossiele_Energie_Totaal[[#This Row],[Product]]&amp;", "&amp;Referentie_MKI_Totaal[[#Headers],[C1]],Database_Productkaarten[#All],51,FALSE),0)*Baseline!I96)),0)</f>
        <v>0</v>
      </c>
      <c r="M514" s="77">
        <f>IF(Baseline!AD96=0,(IF(Baseline!C96="Bestaande Situatie",(_xlfn.IFNA(VLOOKUP(Referentie_Fossiele_Energie_Totaal[[#This Row],[Product]]&amp;", "&amp;Referentie_MKI_Totaal[[#Headers],[C2]],Database_Productkaarten[#All],51,FALSE),0)*Baseline!I96),0)),(IF(Baseline!C96="Bestaande Situatie",_xlfn.IFNA(VLOOKUP(Baseline!AD96,Database_Transport[#All],45,FALSE)*(Baseline!Q96*Baseline!AC96),0))))</f>
        <v>0</v>
      </c>
      <c r="N514" s="77">
        <f>(IF(Baseline!C96="Bestaande Situatie",(_xlfn.IFNA(VLOOKUP(Referentie_Fossiele_Energie_Totaal[[#This Row],[Product]]&amp;", "&amp;Referentie_Fossiele_Energie_Totaal[[#Headers],[C3]],Database_Productkaarten[#All],51,FALSE),0)*Baseline!I96),0))</f>
        <v>0</v>
      </c>
      <c r="O514" s="77">
        <f>(IF(Baseline!C96="Bestaande Situatie",(_xlfn.IFNA(VLOOKUP(Referentie_Fossiele_Energie_Totaal[[#This Row],[Product]]&amp;", "&amp;Referentie_Fossiele_Energie_Totaal[[#Headers],[C4]],Database_Productkaarten[#All],51,FALSE),0)*Baseline!I96),0))</f>
        <v>0</v>
      </c>
      <c r="P514" s="77">
        <f>(IF(Baseline!C96="Bestaande Situatie",(_xlfn.IFNA(VLOOKUP(Referentie_Fossiele_Energie_Totaal[[#This Row],[Product]]&amp;", "&amp;Referentie_Fossiele_Energie_Totaal[[#Headers],[D1]],Database_Productkaarten[#All],51,FALSE),0)*Baseline!I96),0))</f>
        <v>0</v>
      </c>
      <c r="Q514" s="78">
        <f>(IF(Baseline!C96="Bestaande Situatie",_xlfn.IFNA(VLOOKUP(Referentie_Fossiele_Energie_Totaal[[#This Row],[Product]]&amp;", "&amp;Referentie_Fossiele_Energie_Totaal[[#Headers],[D2]],Database_Productkaarten[#All],51,FALSE),0)*Baseline!I96,0))</f>
        <v>0</v>
      </c>
      <c r="R514" s="57">
        <f>(IF(Baseline!C96="Bestaande Situatie",_xlfn.IFNA(VLOOKUP(Referentie_Fossiele_Energie_Totaal[[#This Row],[Product]]&amp;", "&amp;Referentie_Fossiele_Energie_Totaal[[#Headers],[D]],Database_Productkaarten[#All],51,FALSE),0)*Baseline!I96,0))</f>
        <v>0</v>
      </c>
      <c r="S514" s="56">
        <f>SUM(Referentie_Fossiele_Energie_Totaal[[#This Row],[A1-A3]:[C4]])+Referentie_Fossiele_Energie_Totaal[[#This Row],[D]]</f>
        <v>0</v>
      </c>
    </row>
    <row r="515" spans="2:19">
      <c r="B515" s="209">
        <f>Baseline!B97</f>
        <v>0</v>
      </c>
      <c r="C515" s="76">
        <f>Baseline!F97</f>
        <v>0</v>
      </c>
      <c r="D515" s="77">
        <f>(IF(Baseline!C97="Nieuwe Situatie",(_xlfn.IFNA(VLOOKUP(Referentie_Fossiele_Energie_Totaal[[#This Row],[Product]]&amp;", "&amp;Referentie_Fossiele_Energie_Totaal[[#Headers],[A1]],Database_Productkaarten[#All],51,FALSE),0)*Baseline!I97),0))</f>
        <v>0</v>
      </c>
      <c r="E515" s="77">
        <f>(IF(Baseline!C97="Nieuwe Situatie",(_xlfn.IFNA(VLOOKUP(Referentie_Fossiele_Energie_Totaal[[#This Row],[Product]]&amp;", "&amp;Referentie_Fossiele_Energie_Totaal[[#Headers],[A2]],Database_Productkaarten[#All],51,FALSE),0)*Baseline!I97),0))</f>
        <v>0</v>
      </c>
      <c r="F515" s="77">
        <f>(IF(Baseline!C97="Nieuwe Situatie",(_xlfn.IFNA(VLOOKUP(Referentie_Fossiele_Energie_Totaal[[#This Row],[Product]]&amp;", "&amp;Referentie_Fossiele_Energie_Totaal[[#Headers],[A3]],Database_Productkaarten[#All],51,FALSE),0)*Baseline!I97),0))</f>
        <v>0</v>
      </c>
      <c r="G515" s="77">
        <f>(IF(Baseline!C97="Nieuwe Situatie",(_xlfn.IFNA(VLOOKUP(Referentie_Fossiele_Energie_Totaal[[#This Row],[Product]]&amp;", "&amp;Referentie_Fossiele_Energie_Totaal[[#Headers],[A1-A3]],Database_Productkaarten[#All],51,FALSE),0)*Baseline!I97),0))</f>
        <v>0</v>
      </c>
      <c r="H515" s="77">
        <f>IF(Baseline!T97=0,(IF(Baseline!C97="Nieuwe Situatie",(_xlfn.IFNA(VLOOKUP(Referentie_Fossiele_Energie_Totaal[[#This Row],[Product]]&amp;", "&amp;Referentie_CO2_Totaal[[#Headers],[A4]],Database_Productkaarten[#All],51,FALSE),0)*Baseline!I97),0)),IF(Baseline!C97="Nieuwe Situatie",_xlfn.IFNA(VLOOKUP(Baseline!T97,Database_Transport[#All],45,FALSE)*(Baseline!Q97*Baseline!S97),Baseline_Backlog!H200),0))</f>
        <v>0</v>
      </c>
      <c r="I515" s="77">
        <f>IF(Baseline!C97="Nieuwe situatie",IF(_xlfn.IFNA((VLOOKUP(Baseline!U97,Database_Asfalt_Aanlegset[#All],45,FALSE)*Baseline!I97),0)+_xlfn.IFNA(VLOOKUP(Baseline!V97,Database_Brandstoffen[#All],45,FALSE)*((Baseline!I97/Baseline!X97)*Baseline!W97),0)&gt;0,_xlfn.IFNA((VLOOKUP(Baseline!U97,Database_Asfalt_Aanlegset[#All],45,FALSE)*Baseline!I97),0)+_xlfn.IFNA(VLOOKUP(Baseline!V97,Database_Brandstoffen[#All],45,FALSE)*((Baseline!I97/Baseline!X97)*Baseline!W97),0),(_xlfn.IFNA(VLOOKUP(Referentie_Fossiele_Energie_Totaal[[#This Row],[Product]]&amp;", "&amp;Referentie_MKI_Totaal[[#Headers],[A5]],Database_Productkaarten[#All],51,FALSE),0)*Baseline!I97)),0)</f>
        <v>0</v>
      </c>
      <c r="J515" s="77">
        <f>(IF(Baseline!C97="Nieuwe Situatie",(_xlfn.IFNA(VLOOKUP(Referentie_Fossiele_Energie_Totaal[[#This Row],[Product]]&amp;", "&amp;Referentie_Fossiele_Energie_Totaal[[#Headers],[B1]],Database_Productkaarten[#All],51,FALSE),0)*Baseline!I97),0))</f>
        <v>0</v>
      </c>
      <c r="K515" s="77">
        <f>(IF(Baseline!C97="Nieuwe Situatie",(SUM(Referentie_Fossiele_Energie_Totaal[[#This Row],[A1]:[B1]],Referentie_Fossiele_Energie_Totaal[[#This Row],[C1]:[D2]])*Baseline!R97),0))</f>
        <v>0</v>
      </c>
      <c r="L515" s="77">
        <f>IF(Baseline!C97="Bestaande situatie",IF(_xlfn.IFNA((VLOOKUP(Baseline!Y97,Database_Asfalt_Verwijderset[#All],45,FALSE)*Baseline!I97),0)+_xlfn.IFNA(VLOOKUP(Baseline!Z97,Database_Brandstoffen[#All],45,FALSE)*((Baseline!I97/Baseline!AB97)*Baseline!AA97),0)&gt;0,_xlfn.IFNA((VLOOKUP(Baseline!Y97,Database_Asfalt_Verwijderset[#All],45,FALSE)*Baseline!I97),0)+_xlfn.IFNA(VLOOKUP(Baseline!Z97,Database_Brandstoffen[#All],45,FALSE)*((Baseline!I97/Baseline!AB97)*Baseline!AA97),0),(_xlfn.IFNA(VLOOKUP(Referentie_Fossiele_Energie_Totaal[[#This Row],[Product]]&amp;", "&amp;Referentie_MKI_Totaal[[#Headers],[C1]],Database_Productkaarten[#All],51,FALSE),0)*Baseline!I97)),0)</f>
        <v>0</v>
      </c>
      <c r="M515" s="77">
        <f>IF(Baseline!AD97=0,(IF(Baseline!C97="Bestaande Situatie",(_xlfn.IFNA(VLOOKUP(Referentie_Fossiele_Energie_Totaal[[#This Row],[Product]]&amp;", "&amp;Referentie_MKI_Totaal[[#Headers],[C2]],Database_Productkaarten[#All],51,FALSE),0)*Baseline!I97),0)),(IF(Baseline!C97="Bestaande Situatie",_xlfn.IFNA(VLOOKUP(Baseline!AD97,Database_Transport[#All],45,FALSE)*(Baseline!Q97*Baseline!AC97),0))))</f>
        <v>0</v>
      </c>
      <c r="N515" s="77">
        <f>(IF(Baseline!C97="Bestaande Situatie",(_xlfn.IFNA(VLOOKUP(Referentie_Fossiele_Energie_Totaal[[#This Row],[Product]]&amp;", "&amp;Referentie_Fossiele_Energie_Totaal[[#Headers],[C3]],Database_Productkaarten[#All],51,FALSE),0)*Baseline!I97),0))</f>
        <v>0</v>
      </c>
      <c r="O515" s="77">
        <f>(IF(Baseline!C97="Bestaande Situatie",(_xlfn.IFNA(VLOOKUP(Referentie_Fossiele_Energie_Totaal[[#This Row],[Product]]&amp;", "&amp;Referentie_Fossiele_Energie_Totaal[[#Headers],[C4]],Database_Productkaarten[#All],51,FALSE),0)*Baseline!I97),0))</f>
        <v>0</v>
      </c>
      <c r="P515" s="77">
        <f>(IF(Baseline!C97="Bestaande Situatie",(_xlfn.IFNA(VLOOKUP(Referentie_Fossiele_Energie_Totaal[[#This Row],[Product]]&amp;", "&amp;Referentie_Fossiele_Energie_Totaal[[#Headers],[D1]],Database_Productkaarten[#All],51,FALSE),0)*Baseline!I97),0))</f>
        <v>0</v>
      </c>
      <c r="Q515" s="78">
        <f>(IF(Baseline!C97="Bestaande Situatie",_xlfn.IFNA(VLOOKUP(Referentie_Fossiele_Energie_Totaal[[#This Row],[Product]]&amp;", "&amp;Referentie_Fossiele_Energie_Totaal[[#Headers],[D2]],Database_Productkaarten[#All],51,FALSE),0)*Baseline!I97,0))</f>
        <v>0</v>
      </c>
      <c r="R515" s="57">
        <f>(IF(Baseline!C97="Bestaande Situatie",_xlfn.IFNA(VLOOKUP(Referentie_Fossiele_Energie_Totaal[[#This Row],[Product]]&amp;", "&amp;Referentie_Fossiele_Energie_Totaal[[#Headers],[D]],Database_Productkaarten[#All],51,FALSE),0)*Baseline!I97,0))</f>
        <v>0</v>
      </c>
      <c r="S515" s="56">
        <f>SUM(Referentie_Fossiele_Energie_Totaal[[#This Row],[A1-A3]:[C4]])+Referentie_Fossiele_Energie_Totaal[[#This Row],[D]]</f>
        <v>0</v>
      </c>
    </row>
    <row r="516" spans="2:19">
      <c r="B516" s="209">
        <f>Baseline!B98</f>
        <v>0</v>
      </c>
      <c r="C516" s="76">
        <f>Baseline!F98</f>
        <v>0</v>
      </c>
      <c r="D516" s="77">
        <f>(IF(Baseline!C98="Nieuwe Situatie",(_xlfn.IFNA(VLOOKUP(Referentie_Fossiele_Energie_Totaal[[#This Row],[Product]]&amp;", "&amp;Referentie_Fossiele_Energie_Totaal[[#Headers],[A1]],Database_Productkaarten[#All],51,FALSE),0)*Baseline!I98),0))</f>
        <v>0</v>
      </c>
      <c r="E516" s="77">
        <f>(IF(Baseline!C98="Nieuwe Situatie",(_xlfn.IFNA(VLOOKUP(Referentie_Fossiele_Energie_Totaal[[#This Row],[Product]]&amp;", "&amp;Referentie_Fossiele_Energie_Totaal[[#Headers],[A2]],Database_Productkaarten[#All],51,FALSE),0)*Baseline!I98),0))</f>
        <v>0</v>
      </c>
      <c r="F516" s="77">
        <f>(IF(Baseline!C98="Nieuwe Situatie",(_xlfn.IFNA(VLOOKUP(Referentie_Fossiele_Energie_Totaal[[#This Row],[Product]]&amp;", "&amp;Referentie_Fossiele_Energie_Totaal[[#Headers],[A3]],Database_Productkaarten[#All],51,FALSE),0)*Baseline!I98),0))</f>
        <v>0</v>
      </c>
      <c r="G516" s="77">
        <f>(IF(Baseline!C98="Nieuwe Situatie",(_xlfn.IFNA(VLOOKUP(Referentie_Fossiele_Energie_Totaal[[#This Row],[Product]]&amp;", "&amp;Referentie_Fossiele_Energie_Totaal[[#Headers],[A1-A3]],Database_Productkaarten[#All],51,FALSE),0)*Baseline!I98),0))</f>
        <v>0</v>
      </c>
      <c r="H516" s="77">
        <f>IF(Baseline!T98=0,(IF(Baseline!C98="Nieuwe Situatie",(_xlfn.IFNA(VLOOKUP(Referentie_Fossiele_Energie_Totaal[[#This Row],[Product]]&amp;", "&amp;Referentie_CO2_Totaal[[#Headers],[A4]],Database_Productkaarten[#All],51,FALSE),0)*Baseline!I98),0)),IF(Baseline!C98="Nieuwe Situatie",_xlfn.IFNA(VLOOKUP(Baseline!T98,Database_Transport[#All],45,FALSE)*(Baseline!Q98*Baseline!S98),Baseline_Backlog!H201),0))</f>
        <v>0</v>
      </c>
      <c r="I516" s="77">
        <f>IF(Baseline!C98="Nieuwe situatie",IF(_xlfn.IFNA((VLOOKUP(Baseline!U98,Database_Asfalt_Aanlegset[#All],45,FALSE)*Baseline!I98),0)+_xlfn.IFNA(VLOOKUP(Baseline!V98,Database_Brandstoffen[#All],45,FALSE)*((Baseline!I98/Baseline!X98)*Baseline!W98),0)&gt;0,_xlfn.IFNA((VLOOKUP(Baseline!U98,Database_Asfalt_Aanlegset[#All],45,FALSE)*Baseline!I98),0)+_xlfn.IFNA(VLOOKUP(Baseline!V98,Database_Brandstoffen[#All],45,FALSE)*((Baseline!I98/Baseline!X98)*Baseline!W98),0),(_xlfn.IFNA(VLOOKUP(Referentie_Fossiele_Energie_Totaal[[#This Row],[Product]]&amp;", "&amp;Referentie_MKI_Totaal[[#Headers],[A5]],Database_Productkaarten[#All],51,FALSE),0)*Baseline!I98)),0)</f>
        <v>0</v>
      </c>
      <c r="J516" s="77">
        <f>(IF(Baseline!C98="Nieuwe Situatie",(_xlfn.IFNA(VLOOKUP(Referentie_Fossiele_Energie_Totaal[[#This Row],[Product]]&amp;", "&amp;Referentie_Fossiele_Energie_Totaal[[#Headers],[B1]],Database_Productkaarten[#All],51,FALSE),0)*Baseline!I98),0))</f>
        <v>0</v>
      </c>
      <c r="K516" s="77">
        <f>(IF(Baseline!C98="Nieuwe Situatie",(SUM(Referentie_Fossiele_Energie_Totaal[[#This Row],[A1]:[B1]],Referentie_Fossiele_Energie_Totaal[[#This Row],[C1]:[D2]])*Baseline!R98),0))</f>
        <v>0</v>
      </c>
      <c r="L516" s="77">
        <f>IF(Baseline!C98="Bestaande situatie",IF(_xlfn.IFNA((VLOOKUP(Baseline!Y98,Database_Asfalt_Verwijderset[#All],45,FALSE)*Baseline!I98),0)+_xlfn.IFNA(VLOOKUP(Baseline!Z98,Database_Brandstoffen[#All],45,FALSE)*((Baseline!I98/Baseline!AB98)*Baseline!AA98),0)&gt;0,_xlfn.IFNA((VLOOKUP(Baseline!Y98,Database_Asfalt_Verwijderset[#All],45,FALSE)*Baseline!I98),0)+_xlfn.IFNA(VLOOKUP(Baseline!Z98,Database_Brandstoffen[#All],45,FALSE)*((Baseline!I98/Baseline!AB98)*Baseline!AA98),0),(_xlfn.IFNA(VLOOKUP(Referentie_Fossiele_Energie_Totaal[[#This Row],[Product]]&amp;", "&amp;Referentie_MKI_Totaal[[#Headers],[C1]],Database_Productkaarten[#All],51,FALSE),0)*Baseline!I98)),0)</f>
        <v>0</v>
      </c>
      <c r="M516" s="77">
        <f>IF(Baseline!AD98=0,(IF(Baseline!C98="Bestaande Situatie",(_xlfn.IFNA(VLOOKUP(Referentie_Fossiele_Energie_Totaal[[#This Row],[Product]]&amp;", "&amp;Referentie_MKI_Totaal[[#Headers],[C2]],Database_Productkaarten[#All],51,FALSE),0)*Baseline!I98),0)),(IF(Baseline!C98="Bestaande Situatie",_xlfn.IFNA(VLOOKUP(Baseline!AD98,Database_Transport[#All],45,FALSE)*(Baseline!Q98*Baseline!AC98),0))))</f>
        <v>0</v>
      </c>
      <c r="N516" s="77">
        <f>(IF(Baseline!C98="Bestaande Situatie",(_xlfn.IFNA(VLOOKUP(Referentie_Fossiele_Energie_Totaal[[#This Row],[Product]]&amp;", "&amp;Referentie_Fossiele_Energie_Totaal[[#Headers],[C3]],Database_Productkaarten[#All],51,FALSE),0)*Baseline!I98),0))</f>
        <v>0</v>
      </c>
      <c r="O516" s="77">
        <f>(IF(Baseline!C98="Bestaande Situatie",(_xlfn.IFNA(VLOOKUP(Referentie_Fossiele_Energie_Totaal[[#This Row],[Product]]&amp;", "&amp;Referentie_Fossiele_Energie_Totaal[[#Headers],[C4]],Database_Productkaarten[#All],51,FALSE),0)*Baseline!I98),0))</f>
        <v>0</v>
      </c>
      <c r="P516" s="77">
        <f>(IF(Baseline!C98="Bestaande Situatie",(_xlfn.IFNA(VLOOKUP(Referentie_Fossiele_Energie_Totaal[[#This Row],[Product]]&amp;", "&amp;Referentie_Fossiele_Energie_Totaal[[#Headers],[D1]],Database_Productkaarten[#All],51,FALSE),0)*Baseline!I98),0))</f>
        <v>0</v>
      </c>
      <c r="Q516" s="78">
        <f>(IF(Baseline!C98="Bestaande Situatie",_xlfn.IFNA(VLOOKUP(Referentie_Fossiele_Energie_Totaal[[#This Row],[Product]]&amp;", "&amp;Referentie_Fossiele_Energie_Totaal[[#Headers],[D2]],Database_Productkaarten[#All],51,FALSE),0)*Baseline!I98,0))</f>
        <v>0</v>
      </c>
      <c r="R516" s="57">
        <f>(IF(Baseline!C98="Bestaande Situatie",_xlfn.IFNA(VLOOKUP(Referentie_Fossiele_Energie_Totaal[[#This Row],[Product]]&amp;", "&amp;Referentie_Fossiele_Energie_Totaal[[#Headers],[D]],Database_Productkaarten[#All],51,FALSE),0)*Baseline!I98,0))</f>
        <v>0</v>
      </c>
      <c r="S516" s="56">
        <f>SUM(Referentie_Fossiele_Energie_Totaal[[#This Row],[A1-A3]:[C4]])+Referentie_Fossiele_Energie_Totaal[[#This Row],[D]]</f>
        <v>0</v>
      </c>
    </row>
    <row r="517" spans="2:19">
      <c r="B517" s="209">
        <f>Baseline!B99</f>
        <v>0</v>
      </c>
      <c r="C517" s="76">
        <f>Baseline!F99</f>
        <v>0</v>
      </c>
      <c r="D517" s="77">
        <f>(IF(Baseline!C99="Nieuwe Situatie",(_xlfn.IFNA(VLOOKUP(Referentie_Fossiele_Energie_Totaal[[#This Row],[Product]]&amp;", "&amp;Referentie_Fossiele_Energie_Totaal[[#Headers],[A1]],Database_Productkaarten[#All],51,FALSE),0)*Baseline!I99),0))</f>
        <v>0</v>
      </c>
      <c r="E517" s="77">
        <f>(IF(Baseline!C99="Nieuwe Situatie",(_xlfn.IFNA(VLOOKUP(Referentie_Fossiele_Energie_Totaal[[#This Row],[Product]]&amp;", "&amp;Referentie_Fossiele_Energie_Totaal[[#Headers],[A2]],Database_Productkaarten[#All],51,FALSE),0)*Baseline!I99),0))</f>
        <v>0</v>
      </c>
      <c r="F517" s="77">
        <f>(IF(Baseline!C99="Nieuwe Situatie",(_xlfn.IFNA(VLOOKUP(Referentie_Fossiele_Energie_Totaal[[#This Row],[Product]]&amp;", "&amp;Referentie_Fossiele_Energie_Totaal[[#Headers],[A3]],Database_Productkaarten[#All],51,FALSE),0)*Baseline!I99),0))</f>
        <v>0</v>
      </c>
      <c r="G517" s="77">
        <f>(IF(Baseline!C99="Nieuwe Situatie",(_xlfn.IFNA(VLOOKUP(Referentie_Fossiele_Energie_Totaal[[#This Row],[Product]]&amp;", "&amp;Referentie_Fossiele_Energie_Totaal[[#Headers],[A1-A3]],Database_Productkaarten[#All],51,FALSE),0)*Baseline!I99),0))</f>
        <v>0</v>
      </c>
      <c r="H517" s="77">
        <f>IF(Baseline!T99=0,(IF(Baseline!C99="Nieuwe Situatie",(_xlfn.IFNA(VLOOKUP(Referentie_Fossiele_Energie_Totaal[[#This Row],[Product]]&amp;", "&amp;Referentie_CO2_Totaal[[#Headers],[A4]],Database_Productkaarten[#All],51,FALSE),0)*Baseline!I99),0)),IF(Baseline!C99="Nieuwe Situatie",_xlfn.IFNA(VLOOKUP(Baseline!T99,Database_Transport[#All],45,FALSE)*(Baseline!Q99*Baseline!S99),Baseline_Backlog!H202),0))</f>
        <v>0</v>
      </c>
      <c r="I517" s="77">
        <f>IF(Baseline!C99="Nieuwe situatie",IF(_xlfn.IFNA((VLOOKUP(Baseline!U99,Database_Asfalt_Aanlegset[#All],45,FALSE)*Baseline!I99),0)+_xlfn.IFNA(VLOOKUP(Baseline!V99,Database_Brandstoffen[#All],45,FALSE)*((Baseline!I99/Baseline!X99)*Baseline!W99),0)&gt;0,_xlfn.IFNA((VLOOKUP(Baseline!U99,Database_Asfalt_Aanlegset[#All],45,FALSE)*Baseline!I99),0)+_xlfn.IFNA(VLOOKUP(Baseline!V99,Database_Brandstoffen[#All],45,FALSE)*((Baseline!I99/Baseline!X99)*Baseline!W99),0),(_xlfn.IFNA(VLOOKUP(Referentie_Fossiele_Energie_Totaal[[#This Row],[Product]]&amp;", "&amp;Referentie_MKI_Totaal[[#Headers],[A5]],Database_Productkaarten[#All],51,FALSE),0)*Baseline!I99)),0)</f>
        <v>0</v>
      </c>
      <c r="J517" s="77">
        <f>(IF(Baseline!C99="Nieuwe Situatie",(_xlfn.IFNA(VLOOKUP(Referentie_Fossiele_Energie_Totaal[[#This Row],[Product]]&amp;", "&amp;Referentie_Fossiele_Energie_Totaal[[#Headers],[B1]],Database_Productkaarten[#All],51,FALSE),0)*Baseline!I99),0))</f>
        <v>0</v>
      </c>
      <c r="K517" s="77">
        <f>(IF(Baseline!C99="Nieuwe Situatie",(SUM(Referentie_Fossiele_Energie_Totaal[[#This Row],[A1]:[B1]],Referentie_Fossiele_Energie_Totaal[[#This Row],[C1]:[D2]])*Baseline!R99),0))</f>
        <v>0</v>
      </c>
      <c r="L517" s="77">
        <f>IF(Baseline!C99="Bestaande situatie",IF(_xlfn.IFNA((VLOOKUP(Baseline!Y99,Database_Asfalt_Verwijderset[#All],45,FALSE)*Baseline!I99),0)+_xlfn.IFNA(VLOOKUP(Baseline!Z99,Database_Brandstoffen[#All],45,FALSE)*((Baseline!I99/Baseline!AB99)*Baseline!AA99),0)&gt;0,_xlfn.IFNA((VLOOKUP(Baseline!Y99,Database_Asfalt_Verwijderset[#All],45,FALSE)*Baseline!I99),0)+_xlfn.IFNA(VLOOKUP(Baseline!Z99,Database_Brandstoffen[#All],45,FALSE)*((Baseline!I99/Baseline!AB99)*Baseline!AA99),0),(_xlfn.IFNA(VLOOKUP(Referentie_Fossiele_Energie_Totaal[[#This Row],[Product]]&amp;", "&amp;Referentie_MKI_Totaal[[#Headers],[C1]],Database_Productkaarten[#All],51,FALSE),0)*Baseline!I99)),0)</f>
        <v>0</v>
      </c>
      <c r="M517" s="77">
        <f>IF(Baseline!AD99=0,(IF(Baseline!C99="Bestaande Situatie",(_xlfn.IFNA(VLOOKUP(Referentie_Fossiele_Energie_Totaal[[#This Row],[Product]]&amp;", "&amp;Referentie_MKI_Totaal[[#Headers],[C2]],Database_Productkaarten[#All],51,FALSE),0)*Baseline!I99),0)),(IF(Baseline!C99="Bestaande Situatie",_xlfn.IFNA(VLOOKUP(Baseline!AD99,Database_Transport[#All],45,FALSE)*(Baseline!Q99*Baseline!AC99),0))))</f>
        <v>0</v>
      </c>
      <c r="N517" s="77">
        <f>(IF(Baseline!C99="Bestaande Situatie",(_xlfn.IFNA(VLOOKUP(Referentie_Fossiele_Energie_Totaal[[#This Row],[Product]]&amp;", "&amp;Referentie_Fossiele_Energie_Totaal[[#Headers],[C3]],Database_Productkaarten[#All],51,FALSE),0)*Baseline!I99),0))</f>
        <v>0</v>
      </c>
      <c r="O517" s="77">
        <f>(IF(Baseline!C99="Bestaande Situatie",(_xlfn.IFNA(VLOOKUP(Referentie_Fossiele_Energie_Totaal[[#This Row],[Product]]&amp;", "&amp;Referentie_Fossiele_Energie_Totaal[[#Headers],[C4]],Database_Productkaarten[#All],51,FALSE),0)*Baseline!I99),0))</f>
        <v>0</v>
      </c>
      <c r="P517" s="77">
        <f>(IF(Baseline!C99="Bestaande Situatie",(_xlfn.IFNA(VLOOKUP(Referentie_Fossiele_Energie_Totaal[[#This Row],[Product]]&amp;", "&amp;Referentie_Fossiele_Energie_Totaal[[#Headers],[D1]],Database_Productkaarten[#All],51,FALSE),0)*Baseline!I99),0))</f>
        <v>0</v>
      </c>
      <c r="Q517" s="78">
        <f>(IF(Baseline!C99="Bestaande Situatie",_xlfn.IFNA(VLOOKUP(Referentie_Fossiele_Energie_Totaal[[#This Row],[Product]]&amp;", "&amp;Referentie_Fossiele_Energie_Totaal[[#Headers],[D2]],Database_Productkaarten[#All],51,FALSE),0)*Baseline!I99,0))</f>
        <v>0</v>
      </c>
      <c r="R517" s="57">
        <f>(IF(Baseline!C99="Bestaande Situatie",_xlfn.IFNA(VLOOKUP(Referentie_Fossiele_Energie_Totaal[[#This Row],[Product]]&amp;", "&amp;Referentie_Fossiele_Energie_Totaal[[#Headers],[D]],Database_Productkaarten[#All],51,FALSE),0)*Baseline!I99,0))</f>
        <v>0</v>
      </c>
      <c r="S517" s="56">
        <f>SUM(Referentie_Fossiele_Energie_Totaal[[#This Row],[A1-A3]:[C4]])+Referentie_Fossiele_Energie_Totaal[[#This Row],[D]]</f>
        <v>0</v>
      </c>
    </row>
    <row r="518" spans="2:19">
      <c r="B518" s="209">
        <f>Baseline!B100</f>
        <v>0</v>
      </c>
      <c r="C518" s="76">
        <f>Baseline!F100</f>
        <v>0</v>
      </c>
      <c r="D518" s="77">
        <f>(IF(Baseline!C100="Nieuwe Situatie",(_xlfn.IFNA(VLOOKUP(Referentie_Fossiele_Energie_Totaal[[#This Row],[Product]]&amp;", "&amp;Referentie_Fossiele_Energie_Totaal[[#Headers],[A1]],Database_Productkaarten[#All],51,FALSE),0)*Baseline!I100),0))</f>
        <v>0</v>
      </c>
      <c r="E518" s="77">
        <f>(IF(Baseline!C100="Nieuwe Situatie",(_xlfn.IFNA(VLOOKUP(Referentie_Fossiele_Energie_Totaal[[#This Row],[Product]]&amp;", "&amp;Referentie_Fossiele_Energie_Totaal[[#Headers],[A2]],Database_Productkaarten[#All],51,FALSE),0)*Baseline!I100),0))</f>
        <v>0</v>
      </c>
      <c r="F518" s="77">
        <f>(IF(Baseline!C100="Nieuwe Situatie",(_xlfn.IFNA(VLOOKUP(Referentie_Fossiele_Energie_Totaal[[#This Row],[Product]]&amp;", "&amp;Referentie_Fossiele_Energie_Totaal[[#Headers],[A3]],Database_Productkaarten[#All],51,FALSE),0)*Baseline!I100),0))</f>
        <v>0</v>
      </c>
      <c r="G518" s="77">
        <f>(IF(Baseline!C100="Nieuwe Situatie",(_xlfn.IFNA(VLOOKUP(Referentie_Fossiele_Energie_Totaal[[#This Row],[Product]]&amp;", "&amp;Referentie_Fossiele_Energie_Totaal[[#Headers],[A1-A3]],Database_Productkaarten[#All],51,FALSE),0)*Baseline!I100),0))</f>
        <v>0</v>
      </c>
      <c r="H518" s="77">
        <f>IF(Baseline!T100=0,(IF(Baseline!C100="Nieuwe Situatie",(_xlfn.IFNA(VLOOKUP(Referentie_Fossiele_Energie_Totaal[[#This Row],[Product]]&amp;", "&amp;Referentie_CO2_Totaal[[#Headers],[A4]],Database_Productkaarten[#All],51,FALSE),0)*Baseline!I100),0)),IF(Baseline!C100="Nieuwe Situatie",_xlfn.IFNA(VLOOKUP(Baseline!T100,Database_Transport[#All],45,FALSE)*(Baseline!Q100*Baseline!S100),Baseline_Backlog!H203),0))</f>
        <v>0</v>
      </c>
      <c r="I518" s="77">
        <f>IF(Baseline!C100="Nieuwe situatie",IF(_xlfn.IFNA((VLOOKUP(Baseline!U100,Database_Asfalt_Aanlegset[#All],45,FALSE)*Baseline!I100),0)+_xlfn.IFNA(VLOOKUP(Baseline!V100,Database_Brandstoffen[#All],45,FALSE)*((Baseline!I100/Baseline!X100)*Baseline!W100),0)&gt;0,_xlfn.IFNA((VLOOKUP(Baseline!U100,Database_Asfalt_Aanlegset[#All],45,FALSE)*Baseline!I100),0)+_xlfn.IFNA(VLOOKUP(Baseline!V100,Database_Brandstoffen[#All],45,FALSE)*((Baseline!I100/Baseline!X100)*Baseline!W100),0),(_xlfn.IFNA(VLOOKUP(Referentie_Fossiele_Energie_Totaal[[#This Row],[Product]]&amp;", "&amp;Referentie_MKI_Totaal[[#Headers],[A5]],Database_Productkaarten[#All],51,FALSE),0)*Baseline!I100)),0)</f>
        <v>0</v>
      </c>
      <c r="J518" s="77">
        <f>(IF(Baseline!C100="Nieuwe Situatie",(_xlfn.IFNA(VLOOKUP(Referentie_Fossiele_Energie_Totaal[[#This Row],[Product]]&amp;", "&amp;Referentie_Fossiele_Energie_Totaal[[#Headers],[B1]],Database_Productkaarten[#All],51,FALSE),0)*Baseline!I100),0))</f>
        <v>0</v>
      </c>
      <c r="K518" s="77">
        <f>(IF(Baseline!C100="Nieuwe Situatie",(SUM(Referentie_Fossiele_Energie_Totaal[[#This Row],[A1]:[B1]],Referentie_Fossiele_Energie_Totaal[[#This Row],[C1]:[D2]])*Baseline!R100),0))</f>
        <v>0</v>
      </c>
      <c r="L518" s="77">
        <f>IF(Baseline!C100="Bestaande situatie",IF(_xlfn.IFNA((VLOOKUP(Baseline!Y100,Database_Asfalt_Verwijderset[#All],45,FALSE)*Baseline!I100),0)+_xlfn.IFNA(VLOOKUP(Baseline!Z100,Database_Brandstoffen[#All],45,FALSE)*((Baseline!I100/Baseline!AB100)*Baseline!AA100),0)&gt;0,_xlfn.IFNA((VLOOKUP(Baseline!Y100,Database_Asfalt_Verwijderset[#All],45,FALSE)*Baseline!I100),0)+_xlfn.IFNA(VLOOKUP(Baseline!Z100,Database_Brandstoffen[#All],45,FALSE)*((Baseline!I100/Baseline!AB100)*Baseline!AA100),0),(_xlfn.IFNA(VLOOKUP(Referentie_Fossiele_Energie_Totaal[[#This Row],[Product]]&amp;", "&amp;Referentie_MKI_Totaal[[#Headers],[C1]],Database_Productkaarten[#All],51,FALSE),0)*Baseline!I100)),0)</f>
        <v>0</v>
      </c>
      <c r="M518" s="77">
        <f>IF(Baseline!AD100=0,(IF(Baseline!C100="Bestaande Situatie",(_xlfn.IFNA(VLOOKUP(Referentie_Fossiele_Energie_Totaal[[#This Row],[Product]]&amp;", "&amp;Referentie_MKI_Totaal[[#Headers],[C2]],Database_Productkaarten[#All],51,FALSE),0)*Baseline!I100),0)),(IF(Baseline!C100="Bestaande Situatie",_xlfn.IFNA(VLOOKUP(Baseline!AD100,Database_Transport[#All],45,FALSE)*(Baseline!Q100*Baseline!AC100),0))))</f>
        <v>0</v>
      </c>
      <c r="N518" s="77">
        <f>(IF(Baseline!C100="Bestaande Situatie",(_xlfn.IFNA(VLOOKUP(Referentie_Fossiele_Energie_Totaal[[#This Row],[Product]]&amp;", "&amp;Referentie_Fossiele_Energie_Totaal[[#Headers],[C3]],Database_Productkaarten[#All],51,FALSE),0)*Baseline!I100),0))</f>
        <v>0</v>
      </c>
      <c r="O518" s="77">
        <f>(IF(Baseline!C100="Bestaande Situatie",(_xlfn.IFNA(VLOOKUP(Referentie_Fossiele_Energie_Totaal[[#This Row],[Product]]&amp;", "&amp;Referentie_Fossiele_Energie_Totaal[[#Headers],[C4]],Database_Productkaarten[#All],51,FALSE),0)*Baseline!I100),0))</f>
        <v>0</v>
      </c>
      <c r="P518" s="77">
        <f>(IF(Baseline!C100="Bestaande Situatie",(_xlfn.IFNA(VLOOKUP(Referentie_Fossiele_Energie_Totaal[[#This Row],[Product]]&amp;", "&amp;Referentie_Fossiele_Energie_Totaal[[#Headers],[D1]],Database_Productkaarten[#All],51,FALSE),0)*Baseline!I100),0))</f>
        <v>0</v>
      </c>
      <c r="Q518" s="78">
        <f>(IF(Baseline!C100="Bestaande Situatie",_xlfn.IFNA(VLOOKUP(Referentie_Fossiele_Energie_Totaal[[#This Row],[Product]]&amp;", "&amp;Referentie_Fossiele_Energie_Totaal[[#Headers],[D2]],Database_Productkaarten[#All],51,FALSE),0)*Baseline!I100,0))</f>
        <v>0</v>
      </c>
      <c r="R518" s="57">
        <f>(IF(Baseline!C100="Bestaande Situatie",_xlfn.IFNA(VLOOKUP(Referentie_Fossiele_Energie_Totaal[[#This Row],[Product]]&amp;", "&amp;Referentie_Fossiele_Energie_Totaal[[#Headers],[D]],Database_Productkaarten[#All],51,FALSE),0)*Baseline!I100,0))</f>
        <v>0</v>
      </c>
      <c r="S518" s="56">
        <f>SUM(Referentie_Fossiele_Energie_Totaal[[#This Row],[A1-A3]:[C4]])+Referentie_Fossiele_Energie_Totaal[[#This Row],[D]]</f>
        <v>0</v>
      </c>
    </row>
    <row r="519" spans="2:19">
      <c r="B519" s="209">
        <f>Baseline!B101</f>
        <v>0</v>
      </c>
      <c r="C519" s="76">
        <f>Baseline!F101</f>
        <v>0</v>
      </c>
      <c r="D519" s="77">
        <f>(IF(Baseline!C101="Nieuwe Situatie",(_xlfn.IFNA(VLOOKUP(Referentie_Fossiele_Energie_Totaal[[#This Row],[Product]]&amp;", "&amp;Referentie_Fossiele_Energie_Totaal[[#Headers],[A1]],Database_Productkaarten[#All],51,FALSE),0)*Baseline!I101),0))</f>
        <v>0</v>
      </c>
      <c r="E519" s="77">
        <f>(IF(Baseline!C101="Nieuwe Situatie",(_xlfn.IFNA(VLOOKUP(Referentie_Fossiele_Energie_Totaal[[#This Row],[Product]]&amp;", "&amp;Referentie_Fossiele_Energie_Totaal[[#Headers],[A2]],Database_Productkaarten[#All],51,FALSE),0)*Baseline!I101),0))</f>
        <v>0</v>
      </c>
      <c r="F519" s="77">
        <f>(IF(Baseline!C101="Nieuwe Situatie",(_xlfn.IFNA(VLOOKUP(Referentie_Fossiele_Energie_Totaal[[#This Row],[Product]]&amp;", "&amp;Referentie_Fossiele_Energie_Totaal[[#Headers],[A3]],Database_Productkaarten[#All],51,FALSE),0)*Baseline!I101),0))</f>
        <v>0</v>
      </c>
      <c r="G519" s="77">
        <f>(IF(Baseline!C101="Nieuwe Situatie",(_xlfn.IFNA(VLOOKUP(Referentie_Fossiele_Energie_Totaal[[#This Row],[Product]]&amp;", "&amp;Referentie_Fossiele_Energie_Totaal[[#Headers],[A1-A3]],Database_Productkaarten[#All],51,FALSE),0)*Baseline!I101),0))</f>
        <v>0</v>
      </c>
      <c r="H519" s="77">
        <f>IF(Baseline!T101=0,(IF(Baseline!C101="Nieuwe Situatie",(_xlfn.IFNA(VLOOKUP(Referentie_Fossiele_Energie_Totaal[[#This Row],[Product]]&amp;", "&amp;Referentie_CO2_Totaal[[#Headers],[A4]],Database_Productkaarten[#All],51,FALSE),0)*Baseline!I101),0)),IF(Baseline!C101="Nieuwe Situatie",_xlfn.IFNA(VLOOKUP(Baseline!T101,Database_Transport[#All],45,FALSE)*(Baseline!Q101*Baseline!S101),Baseline_Backlog!H204),0))</f>
        <v>0</v>
      </c>
      <c r="I519" s="77">
        <f>IF(Baseline!C101="Nieuwe situatie",IF(_xlfn.IFNA((VLOOKUP(Baseline!U101,Database_Asfalt_Aanlegset[#All],45,FALSE)*Baseline!I101),0)+_xlfn.IFNA(VLOOKUP(Baseline!V101,Database_Brandstoffen[#All],45,FALSE)*((Baseline!I101/Baseline!X101)*Baseline!W101),0)&gt;0,_xlfn.IFNA((VLOOKUP(Baseline!U101,Database_Asfalt_Aanlegset[#All],45,FALSE)*Baseline!I101),0)+_xlfn.IFNA(VLOOKUP(Baseline!V101,Database_Brandstoffen[#All],45,FALSE)*((Baseline!I101/Baseline!X101)*Baseline!W101),0),(_xlfn.IFNA(VLOOKUP(Referentie_Fossiele_Energie_Totaal[[#This Row],[Product]]&amp;", "&amp;Referentie_MKI_Totaal[[#Headers],[A5]],Database_Productkaarten[#All],51,FALSE),0)*Baseline!I101)),0)</f>
        <v>0</v>
      </c>
      <c r="J519" s="77">
        <f>(IF(Baseline!C101="Nieuwe Situatie",(_xlfn.IFNA(VLOOKUP(Referentie_Fossiele_Energie_Totaal[[#This Row],[Product]]&amp;", "&amp;Referentie_Fossiele_Energie_Totaal[[#Headers],[B1]],Database_Productkaarten[#All],51,FALSE),0)*Baseline!I101),0))</f>
        <v>0</v>
      </c>
      <c r="K519" s="77">
        <f>(IF(Baseline!C101="Nieuwe Situatie",(SUM(Referentie_Fossiele_Energie_Totaal[[#This Row],[A1]:[B1]],Referentie_Fossiele_Energie_Totaal[[#This Row],[C1]:[D2]])*Baseline!R101),0))</f>
        <v>0</v>
      </c>
      <c r="L519" s="77">
        <f>IF(Baseline!C101="Bestaande situatie",IF(_xlfn.IFNA((VLOOKUP(Baseline!Y101,Database_Asfalt_Verwijderset[#All],45,FALSE)*Baseline!I101),0)+_xlfn.IFNA(VLOOKUP(Baseline!Z101,Database_Brandstoffen[#All],45,FALSE)*((Baseline!I101/Baseline!AB101)*Baseline!AA101),0)&gt;0,_xlfn.IFNA((VLOOKUP(Baseline!Y101,Database_Asfalt_Verwijderset[#All],45,FALSE)*Baseline!I101),0)+_xlfn.IFNA(VLOOKUP(Baseline!Z101,Database_Brandstoffen[#All],45,FALSE)*((Baseline!I101/Baseline!AB101)*Baseline!AA101),0),(_xlfn.IFNA(VLOOKUP(Referentie_Fossiele_Energie_Totaal[[#This Row],[Product]]&amp;", "&amp;Referentie_MKI_Totaal[[#Headers],[C1]],Database_Productkaarten[#All],51,FALSE),0)*Baseline!I101)),0)</f>
        <v>0</v>
      </c>
      <c r="M519" s="77">
        <f>IF(Baseline!AD101=0,(IF(Baseline!C101="Bestaande Situatie",(_xlfn.IFNA(VLOOKUP(Referentie_Fossiele_Energie_Totaal[[#This Row],[Product]]&amp;", "&amp;Referentie_MKI_Totaal[[#Headers],[C2]],Database_Productkaarten[#All],51,FALSE),0)*Baseline!I101),0)),(IF(Baseline!C101="Bestaande Situatie",_xlfn.IFNA(VLOOKUP(Baseline!AD101,Database_Transport[#All],45,FALSE)*(Baseline!Q101*Baseline!AC101),0))))</f>
        <v>0</v>
      </c>
      <c r="N519" s="77">
        <f>(IF(Baseline!C101="Bestaande Situatie",(_xlfn.IFNA(VLOOKUP(Referentie_Fossiele_Energie_Totaal[[#This Row],[Product]]&amp;", "&amp;Referentie_Fossiele_Energie_Totaal[[#Headers],[C3]],Database_Productkaarten[#All],51,FALSE),0)*Baseline!I101),0))</f>
        <v>0</v>
      </c>
      <c r="O519" s="77">
        <f>(IF(Baseline!C101="Bestaande Situatie",(_xlfn.IFNA(VLOOKUP(Referentie_Fossiele_Energie_Totaal[[#This Row],[Product]]&amp;", "&amp;Referentie_Fossiele_Energie_Totaal[[#Headers],[C4]],Database_Productkaarten[#All],51,FALSE),0)*Baseline!I101),0))</f>
        <v>0</v>
      </c>
      <c r="P519" s="77">
        <f>(IF(Baseline!C101="Bestaande Situatie",(_xlfn.IFNA(VLOOKUP(Referentie_Fossiele_Energie_Totaal[[#This Row],[Product]]&amp;", "&amp;Referentie_Fossiele_Energie_Totaal[[#Headers],[D1]],Database_Productkaarten[#All],51,FALSE),0)*Baseline!I101),0))</f>
        <v>0</v>
      </c>
      <c r="Q519" s="78">
        <f>(IF(Baseline!C101="Bestaande Situatie",_xlfn.IFNA(VLOOKUP(Referentie_Fossiele_Energie_Totaal[[#This Row],[Product]]&amp;", "&amp;Referentie_Fossiele_Energie_Totaal[[#Headers],[D2]],Database_Productkaarten[#All],51,FALSE),0)*Baseline!I101,0))</f>
        <v>0</v>
      </c>
      <c r="R519" s="57">
        <f>(IF(Baseline!C101="Bestaande Situatie",_xlfn.IFNA(VLOOKUP(Referentie_Fossiele_Energie_Totaal[[#This Row],[Product]]&amp;", "&amp;Referentie_Fossiele_Energie_Totaal[[#Headers],[D]],Database_Productkaarten[#All],51,FALSE),0)*Baseline!I101,0))</f>
        <v>0</v>
      </c>
      <c r="S519" s="56">
        <f>SUM(Referentie_Fossiele_Energie_Totaal[[#This Row],[A1-A3]:[C4]])+Referentie_Fossiele_Energie_Totaal[[#This Row],[D]]</f>
        <v>0</v>
      </c>
    </row>
    <row r="520" spans="2:19">
      <c r="B520" s="209">
        <f>Baseline!B102</f>
        <v>0</v>
      </c>
      <c r="C520" s="76">
        <f>Baseline!F102</f>
        <v>0</v>
      </c>
      <c r="D520" s="77">
        <f>(IF(Baseline!C102="Nieuwe Situatie",(_xlfn.IFNA(VLOOKUP(Referentie_Fossiele_Energie_Totaal[[#This Row],[Product]]&amp;", "&amp;Referentie_Fossiele_Energie_Totaal[[#Headers],[A1]],Database_Productkaarten[#All],51,FALSE),0)*Baseline!I102),0))</f>
        <v>0</v>
      </c>
      <c r="E520" s="77">
        <f>(IF(Baseline!C102="Nieuwe Situatie",(_xlfn.IFNA(VLOOKUP(Referentie_Fossiele_Energie_Totaal[[#This Row],[Product]]&amp;", "&amp;Referentie_Fossiele_Energie_Totaal[[#Headers],[A2]],Database_Productkaarten[#All],51,FALSE),0)*Baseline!I102),0))</f>
        <v>0</v>
      </c>
      <c r="F520" s="77">
        <f>(IF(Baseline!C102="Nieuwe Situatie",(_xlfn.IFNA(VLOOKUP(Referentie_Fossiele_Energie_Totaal[[#This Row],[Product]]&amp;", "&amp;Referentie_Fossiele_Energie_Totaal[[#Headers],[A3]],Database_Productkaarten[#All],51,FALSE),0)*Baseline!I102),0))</f>
        <v>0</v>
      </c>
      <c r="G520" s="77">
        <f>(IF(Baseline!C102="Nieuwe Situatie",(_xlfn.IFNA(VLOOKUP(Referentie_Fossiele_Energie_Totaal[[#This Row],[Product]]&amp;", "&amp;Referentie_Fossiele_Energie_Totaal[[#Headers],[A1-A3]],Database_Productkaarten[#All],51,FALSE),0)*Baseline!I102),0))</f>
        <v>0</v>
      </c>
      <c r="H520" s="77">
        <f>IF(Baseline!T102=0,(IF(Baseline!C102="Nieuwe Situatie",(_xlfn.IFNA(VLOOKUP(Referentie_Fossiele_Energie_Totaal[[#This Row],[Product]]&amp;", "&amp;Referentie_CO2_Totaal[[#Headers],[A4]],Database_Productkaarten[#All],51,FALSE),0)*Baseline!I102),0)),IF(Baseline!C102="Nieuwe Situatie",_xlfn.IFNA(VLOOKUP(Baseline!T102,Database_Transport[#All],45,FALSE)*(Baseline!Q102*Baseline!S102),Baseline_Backlog!H205),0))</f>
        <v>0</v>
      </c>
      <c r="I520" s="77">
        <f>IF(Baseline!C102="Nieuwe situatie",IF(_xlfn.IFNA((VLOOKUP(Baseline!U102,Database_Asfalt_Aanlegset[#All],45,FALSE)*Baseline!I102),0)+_xlfn.IFNA(VLOOKUP(Baseline!V102,Database_Brandstoffen[#All],45,FALSE)*((Baseline!I102/Baseline!X102)*Baseline!W102),0)&gt;0,_xlfn.IFNA((VLOOKUP(Baseline!U102,Database_Asfalt_Aanlegset[#All],45,FALSE)*Baseline!I102),0)+_xlfn.IFNA(VLOOKUP(Baseline!V102,Database_Brandstoffen[#All],45,FALSE)*((Baseline!I102/Baseline!X102)*Baseline!W102),0),(_xlfn.IFNA(VLOOKUP(Referentie_Fossiele_Energie_Totaal[[#This Row],[Product]]&amp;", "&amp;Referentie_MKI_Totaal[[#Headers],[A5]],Database_Productkaarten[#All],51,FALSE),0)*Baseline!I102)),0)</f>
        <v>0</v>
      </c>
      <c r="J520" s="77">
        <f>(IF(Baseline!C102="Nieuwe Situatie",(_xlfn.IFNA(VLOOKUP(Referentie_Fossiele_Energie_Totaal[[#This Row],[Product]]&amp;", "&amp;Referentie_Fossiele_Energie_Totaal[[#Headers],[B1]],Database_Productkaarten[#All],51,FALSE),0)*Baseline!I102),0))</f>
        <v>0</v>
      </c>
      <c r="K520" s="77">
        <f>(IF(Baseline!C102="Nieuwe Situatie",(SUM(Referentie_Fossiele_Energie_Totaal[[#This Row],[A1]:[B1]],Referentie_Fossiele_Energie_Totaal[[#This Row],[C1]:[D2]])*Baseline!R102),0))</f>
        <v>0</v>
      </c>
      <c r="L520" s="77">
        <f>IF(Baseline!C102="Bestaande situatie",IF(_xlfn.IFNA((VLOOKUP(Baseline!Y102,Database_Asfalt_Verwijderset[#All],45,FALSE)*Baseline!I102),0)+_xlfn.IFNA(VLOOKUP(Baseline!Z102,Database_Brandstoffen[#All],45,FALSE)*((Baseline!I102/Baseline!AB102)*Baseline!AA102),0)&gt;0,_xlfn.IFNA((VLOOKUP(Baseline!Y102,Database_Asfalt_Verwijderset[#All],45,FALSE)*Baseline!I102),0)+_xlfn.IFNA(VLOOKUP(Baseline!Z102,Database_Brandstoffen[#All],45,FALSE)*((Baseline!I102/Baseline!AB102)*Baseline!AA102),0),(_xlfn.IFNA(VLOOKUP(Referentie_Fossiele_Energie_Totaal[[#This Row],[Product]]&amp;", "&amp;Referentie_MKI_Totaal[[#Headers],[C1]],Database_Productkaarten[#All],51,FALSE),0)*Baseline!I102)),0)</f>
        <v>0</v>
      </c>
      <c r="M520" s="77">
        <f>IF(Baseline!AD102=0,(IF(Baseline!C102="Bestaande Situatie",(_xlfn.IFNA(VLOOKUP(Referentie_Fossiele_Energie_Totaal[[#This Row],[Product]]&amp;", "&amp;Referentie_MKI_Totaal[[#Headers],[C2]],Database_Productkaarten[#All],51,FALSE),0)*Baseline!I102),0)),(IF(Baseline!C102="Bestaande Situatie",_xlfn.IFNA(VLOOKUP(Baseline!AD102,Database_Transport[#All],45,FALSE)*(Baseline!Q102*Baseline!AC102),0))))</f>
        <v>0</v>
      </c>
      <c r="N520" s="77">
        <f>(IF(Baseline!C102="Bestaande Situatie",(_xlfn.IFNA(VLOOKUP(Referentie_Fossiele_Energie_Totaal[[#This Row],[Product]]&amp;", "&amp;Referentie_Fossiele_Energie_Totaal[[#Headers],[C3]],Database_Productkaarten[#All],51,FALSE),0)*Baseline!I102),0))</f>
        <v>0</v>
      </c>
      <c r="O520" s="77">
        <f>(IF(Baseline!C102="Bestaande Situatie",(_xlfn.IFNA(VLOOKUP(Referentie_Fossiele_Energie_Totaal[[#This Row],[Product]]&amp;", "&amp;Referentie_Fossiele_Energie_Totaal[[#Headers],[C4]],Database_Productkaarten[#All],51,FALSE),0)*Baseline!I102),0))</f>
        <v>0</v>
      </c>
      <c r="P520" s="77">
        <f>(IF(Baseline!C102="Bestaande Situatie",(_xlfn.IFNA(VLOOKUP(Referentie_Fossiele_Energie_Totaal[[#This Row],[Product]]&amp;", "&amp;Referentie_Fossiele_Energie_Totaal[[#Headers],[D1]],Database_Productkaarten[#All],51,FALSE),0)*Baseline!I102),0))</f>
        <v>0</v>
      </c>
      <c r="Q520" s="78">
        <f>(IF(Baseline!C102="Bestaande Situatie",_xlfn.IFNA(VLOOKUP(Referentie_Fossiele_Energie_Totaal[[#This Row],[Product]]&amp;", "&amp;Referentie_Fossiele_Energie_Totaal[[#Headers],[D2]],Database_Productkaarten[#All],51,FALSE),0)*Baseline!I102,0))</f>
        <v>0</v>
      </c>
      <c r="R520" s="57">
        <f>(IF(Baseline!C102="Bestaande Situatie",_xlfn.IFNA(VLOOKUP(Referentie_Fossiele_Energie_Totaal[[#This Row],[Product]]&amp;", "&amp;Referentie_Fossiele_Energie_Totaal[[#Headers],[D]],Database_Productkaarten[#All],51,FALSE),0)*Baseline!I102,0))</f>
        <v>0</v>
      </c>
      <c r="S520" s="56">
        <f>SUM(Referentie_Fossiele_Energie_Totaal[[#This Row],[A1-A3]:[C4]])+Referentie_Fossiele_Energie_Totaal[[#This Row],[D]]</f>
        <v>0</v>
      </c>
    </row>
    <row r="521" spans="2:19">
      <c r="B521" s="209">
        <f>Baseline!B103</f>
        <v>0</v>
      </c>
      <c r="C521" s="76">
        <f>Baseline!F103</f>
        <v>0</v>
      </c>
      <c r="D521" s="77">
        <f>(IF(Baseline!C103="Nieuwe Situatie",(_xlfn.IFNA(VLOOKUP(Referentie_Fossiele_Energie_Totaal[[#This Row],[Product]]&amp;", "&amp;Referentie_Fossiele_Energie_Totaal[[#Headers],[A1]],Database_Productkaarten[#All],51,FALSE),0)*Baseline!I103),0))</f>
        <v>0</v>
      </c>
      <c r="E521" s="77">
        <f>(IF(Baseline!C103="Nieuwe Situatie",(_xlfn.IFNA(VLOOKUP(Referentie_Fossiele_Energie_Totaal[[#This Row],[Product]]&amp;", "&amp;Referentie_Fossiele_Energie_Totaal[[#Headers],[A2]],Database_Productkaarten[#All],51,FALSE),0)*Baseline!I103),0))</f>
        <v>0</v>
      </c>
      <c r="F521" s="77">
        <f>(IF(Baseline!C103="Nieuwe Situatie",(_xlfn.IFNA(VLOOKUP(Referentie_Fossiele_Energie_Totaal[[#This Row],[Product]]&amp;", "&amp;Referentie_Fossiele_Energie_Totaal[[#Headers],[A3]],Database_Productkaarten[#All],51,FALSE),0)*Baseline!I103),0))</f>
        <v>0</v>
      </c>
      <c r="G521" s="77">
        <f>(IF(Baseline!C103="Nieuwe Situatie",(_xlfn.IFNA(VLOOKUP(Referentie_Fossiele_Energie_Totaal[[#This Row],[Product]]&amp;", "&amp;Referentie_Fossiele_Energie_Totaal[[#Headers],[A1-A3]],Database_Productkaarten[#All],51,FALSE),0)*Baseline!I103),0))</f>
        <v>0</v>
      </c>
      <c r="H521" s="77">
        <f>IF(Baseline!T103=0,(IF(Baseline!C103="Nieuwe Situatie",(_xlfn.IFNA(VLOOKUP(Referentie_Fossiele_Energie_Totaal[[#This Row],[Product]]&amp;", "&amp;Referentie_CO2_Totaal[[#Headers],[A4]],Database_Productkaarten[#All],51,FALSE),0)*Baseline!I103),0)),IF(Baseline!C103="Nieuwe Situatie",_xlfn.IFNA(VLOOKUP(Baseline!T103,Database_Transport[#All],45,FALSE)*(Baseline!Q103*Baseline!S103),Baseline_Backlog!H206),0))</f>
        <v>0</v>
      </c>
      <c r="I521" s="77">
        <f>IF(Baseline!C103="Nieuwe situatie",IF(_xlfn.IFNA((VLOOKUP(Baseline!U103,Database_Asfalt_Aanlegset[#All],45,FALSE)*Baseline!I103),0)+_xlfn.IFNA(VLOOKUP(Baseline!V103,Database_Brandstoffen[#All],45,FALSE)*((Baseline!I103/Baseline!X103)*Baseline!W103),0)&gt;0,_xlfn.IFNA((VLOOKUP(Baseline!U103,Database_Asfalt_Aanlegset[#All],45,FALSE)*Baseline!I103),0)+_xlfn.IFNA(VLOOKUP(Baseline!V103,Database_Brandstoffen[#All],45,FALSE)*((Baseline!I103/Baseline!X103)*Baseline!W103),0),(_xlfn.IFNA(VLOOKUP(Referentie_Fossiele_Energie_Totaal[[#This Row],[Product]]&amp;", "&amp;Referentie_MKI_Totaal[[#Headers],[A5]],Database_Productkaarten[#All],51,FALSE),0)*Baseline!I103)),0)</f>
        <v>0</v>
      </c>
      <c r="J521" s="77">
        <f>(IF(Baseline!C103="Nieuwe Situatie",(_xlfn.IFNA(VLOOKUP(Referentie_Fossiele_Energie_Totaal[[#This Row],[Product]]&amp;", "&amp;Referentie_Fossiele_Energie_Totaal[[#Headers],[B1]],Database_Productkaarten[#All],51,FALSE),0)*Baseline!I103),0))</f>
        <v>0</v>
      </c>
      <c r="K521" s="77">
        <f>(IF(Baseline!C103="Nieuwe Situatie",(SUM(Referentie_Fossiele_Energie_Totaal[[#This Row],[A1]:[B1]],Referentie_Fossiele_Energie_Totaal[[#This Row],[C1]:[D2]])*Baseline!R103),0))</f>
        <v>0</v>
      </c>
      <c r="L521" s="77">
        <f>IF(Baseline!C103="Bestaande situatie",IF(_xlfn.IFNA((VLOOKUP(Baseline!Y103,Database_Asfalt_Verwijderset[#All],45,FALSE)*Baseline!I103),0)+_xlfn.IFNA(VLOOKUP(Baseline!Z103,Database_Brandstoffen[#All],45,FALSE)*((Baseline!I103/Baseline!AB103)*Baseline!AA103),0)&gt;0,_xlfn.IFNA((VLOOKUP(Baseline!Y103,Database_Asfalt_Verwijderset[#All],45,FALSE)*Baseline!I103),0)+_xlfn.IFNA(VLOOKUP(Baseline!Z103,Database_Brandstoffen[#All],45,FALSE)*((Baseline!I103/Baseline!AB103)*Baseline!AA103),0),(_xlfn.IFNA(VLOOKUP(Referentie_Fossiele_Energie_Totaal[[#This Row],[Product]]&amp;", "&amp;Referentie_MKI_Totaal[[#Headers],[C1]],Database_Productkaarten[#All],51,FALSE),0)*Baseline!I103)),0)</f>
        <v>0</v>
      </c>
      <c r="M521" s="77">
        <f>IF(Baseline!AD103=0,(IF(Baseline!C103="Bestaande Situatie",(_xlfn.IFNA(VLOOKUP(Referentie_Fossiele_Energie_Totaal[[#This Row],[Product]]&amp;", "&amp;Referentie_MKI_Totaal[[#Headers],[C2]],Database_Productkaarten[#All],51,FALSE),0)*Baseline!I103),0)),(IF(Baseline!C103="Bestaande Situatie",_xlfn.IFNA(VLOOKUP(Baseline!AD103,Database_Transport[#All],45,FALSE)*(Baseline!Q103*Baseline!AC103),0))))</f>
        <v>0</v>
      </c>
      <c r="N521" s="77">
        <f>(IF(Baseline!C103="Bestaande Situatie",(_xlfn.IFNA(VLOOKUP(Referentie_Fossiele_Energie_Totaal[[#This Row],[Product]]&amp;", "&amp;Referentie_Fossiele_Energie_Totaal[[#Headers],[C3]],Database_Productkaarten[#All],51,FALSE),0)*Baseline!I103),0))</f>
        <v>0</v>
      </c>
      <c r="O521" s="77">
        <f>(IF(Baseline!C103="Bestaande Situatie",(_xlfn.IFNA(VLOOKUP(Referentie_Fossiele_Energie_Totaal[[#This Row],[Product]]&amp;", "&amp;Referentie_Fossiele_Energie_Totaal[[#Headers],[C4]],Database_Productkaarten[#All],51,FALSE),0)*Baseline!I103),0))</f>
        <v>0</v>
      </c>
      <c r="P521" s="77">
        <f>(IF(Baseline!C103="Bestaande Situatie",(_xlfn.IFNA(VLOOKUP(Referentie_Fossiele_Energie_Totaal[[#This Row],[Product]]&amp;", "&amp;Referentie_Fossiele_Energie_Totaal[[#Headers],[D1]],Database_Productkaarten[#All],51,FALSE),0)*Baseline!I103),0))</f>
        <v>0</v>
      </c>
      <c r="Q521" s="78">
        <f>(IF(Baseline!C103="Bestaande Situatie",_xlfn.IFNA(VLOOKUP(Referentie_Fossiele_Energie_Totaal[[#This Row],[Product]]&amp;", "&amp;Referentie_Fossiele_Energie_Totaal[[#Headers],[D2]],Database_Productkaarten[#All],51,FALSE),0)*Baseline!I103,0))</f>
        <v>0</v>
      </c>
      <c r="R521" s="57">
        <f>(IF(Baseline!C103="Bestaande Situatie",_xlfn.IFNA(VLOOKUP(Referentie_Fossiele_Energie_Totaal[[#This Row],[Product]]&amp;", "&amp;Referentie_Fossiele_Energie_Totaal[[#Headers],[D]],Database_Productkaarten[#All],51,FALSE),0)*Baseline!I103,0))</f>
        <v>0</v>
      </c>
      <c r="S521" s="56">
        <f>SUM(Referentie_Fossiele_Energie_Totaal[[#This Row],[A1-A3]:[C4]])+Referentie_Fossiele_Energie_Totaal[[#This Row],[D]]</f>
        <v>0</v>
      </c>
    </row>
    <row r="522" spans="2:19">
      <c r="B522" s="209">
        <f>Baseline!B104</f>
        <v>0</v>
      </c>
      <c r="C522" s="76">
        <f>Baseline!F104</f>
        <v>0</v>
      </c>
      <c r="D522" s="77">
        <f>(IF(Baseline!C104="Nieuwe Situatie",(_xlfn.IFNA(VLOOKUP(Referentie_Fossiele_Energie_Totaal[[#This Row],[Product]]&amp;", "&amp;Referentie_Fossiele_Energie_Totaal[[#Headers],[A1]],Database_Productkaarten[#All],51,FALSE),0)*Baseline!I104),0))</f>
        <v>0</v>
      </c>
      <c r="E522" s="77">
        <f>(IF(Baseline!C104="Nieuwe Situatie",(_xlfn.IFNA(VLOOKUP(Referentie_Fossiele_Energie_Totaal[[#This Row],[Product]]&amp;", "&amp;Referentie_Fossiele_Energie_Totaal[[#Headers],[A2]],Database_Productkaarten[#All],51,FALSE),0)*Baseline!I104),0))</f>
        <v>0</v>
      </c>
      <c r="F522" s="77">
        <f>(IF(Baseline!C104="Nieuwe Situatie",(_xlfn.IFNA(VLOOKUP(Referentie_Fossiele_Energie_Totaal[[#This Row],[Product]]&amp;", "&amp;Referentie_Fossiele_Energie_Totaal[[#Headers],[A3]],Database_Productkaarten[#All],51,FALSE),0)*Baseline!I104),0))</f>
        <v>0</v>
      </c>
      <c r="G522" s="77">
        <f>(IF(Baseline!C104="Nieuwe Situatie",(_xlfn.IFNA(VLOOKUP(Referentie_Fossiele_Energie_Totaal[[#This Row],[Product]]&amp;", "&amp;Referentie_Fossiele_Energie_Totaal[[#Headers],[A1-A3]],Database_Productkaarten[#All],51,FALSE),0)*Baseline!I104),0))</f>
        <v>0</v>
      </c>
      <c r="H522" s="77">
        <f>IF(Baseline!T104=0,(IF(Baseline!C104="Nieuwe Situatie",(_xlfn.IFNA(VLOOKUP(Referentie_Fossiele_Energie_Totaal[[#This Row],[Product]]&amp;", "&amp;Referentie_CO2_Totaal[[#Headers],[A4]],Database_Productkaarten[#All],51,FALSE),0)*Baseline!I104),0)),IF(Baseline!C104="Nieuwe Situatie",_xlfn.IFNA(VLOOKUP(Baseline!T104,Database_Transport[#All],45,FALSE)*(Baseline!Q104*Baseline!S104),Baseline_Backlog!H207),0))</f>
        <v>0</v>
      </c>
      <c r="I522" s="77">
        <f>IF(Baseline!C104="Nieuwe situatie",IF(_xlfn.IFNA((VLOOKUP(Baseline!U104,Database_Asfalt_Aanlegset[#All],45,FALSE)*Baseline!I104),0)+_xlfn.IFNA(VLOOKUP(Baseline!V104,Database_Brandstoffen[#All],45,FALSE)*((Baseline!I104/Baseline!X104)*Baseline!W104),0)&gt;0,_xlfn.IFNA((VLOOKUP(Baseline!U104,Database_Asfalt_Aanlegset[#All],45,FALSE)*Baseline!I104),0)+_xlfn.IFNA(VLOOKUP(Baseline!V104,Database_Brandstoffen[#All],45,FALSE)*((Baseline!I104/Baseline!X104)*Baseline!W104),0),(_xlfn.IFNA(VLOOKUP(Referentie_Fossiele_Energie_Totaal[[#This Row],[Product]]&amp;", "&amp;Referentie_MKI_Totaal[[#Headers],[A5]],Database_Productkaarten[#All],51,FALSE),0)*Baseline!I104)),0)</f>
        <v>0</v>
      </c>
      <c r="J522" s="77">
        <f>(IF(Baseline!C104="Nieuwe Situatie",(_xlfn.IFNA(VLOOKUP(Referentie_Fossiele_Energie_Totaal[[#This Row],[Product]]&amp;", "&amp;Referentie_Fossiele_Energie_Totaal[[#Headers],[B1]],Database_Productkaarten[#All],51,FALSE),0)*Baseline!I104),0))</f>
        <v>0</v>
      </c>
      <c r="K522" s="77">
        <f>(IF(Baseline!C104="Nieuwe Situatie",(SUM(Referentie_Fossiele_Energie_Totaal[[#This Row],[A1]:[B1]],Referentie_Fossiele_Energie_Totaal[[#This Row],[C1]:[D2]])*Baseline!R104),0))</f>
        <v>0</v>
      </c>
      <c r="L522" s="77">
        <f>IF(Baseline!C104="Bestaande situatie",IF(_xlfn.IFNA((VLOOKUP(Baseline!Y104,Database_Asfalt_Verwijderset[#All],45,FALSE)*Baseline!I104),0)+_xlfn.IFNA(VLOOKUP(Baseline!Z104,Database_Brandstoffen[#All],45,FALSE)*((Baseline!I104/Baseline!AB104)*Baseline!AA104),0)&gt;0,_xlfn.IFNA((VLOOKUP(Baseline!Y104,Database_Asfalt_Verwijderset[#All],45,FALSE)*Baseline!I104),0)+_xlfn.IFNA(VLOOKUP(Baseline!Z104,Database_Brandstoffen[#All],45,FALSE)*((Baseline!I104/Baseline!AB104)*Baseline!AA104),0),(_xlfn.IFNA(VLOOKUP(Referentie_Fossiele_Energie_Totaal[[#This Row],[Product]]&amp;", "&amp;Referentie_MKI_Totaal[[#Headers],[C1]],Database_Productkaarten[#All],51,FALSE),0)*Baseline!I104)),0)</f>
        <v>0</v>
      </c>
      <c r="M522" s="77">
        <f>IF(Baseline!AD104=0,(IF(Baseline!C104="Bestaande Situatie",(_xlfn.IFNA(VLOOKUP(Referentie_Fossiele_Energie_Totaal[[#This Row],[Product]]&amp;", "&amp;Referentie_MKI_Totaal[[#Headers],[C2]],Database_Productkaarten[#All],51,FALSE),0)*Baseline!I104),0)),(IF(Baseline!C104="Bestaande Situatie",_xlfn.IFNA(VLOOKUP(Baseline!AD104,Database_Transport[#All],45,FALSE)*(Baseline!Q104*Baseline!AC104),0))))</f>
        <v>0</v>
      </c>
      <c r="N522" s="77">
        <f>(IF(Baseline!C104="Bestaande Situatie",(_xlfn.IFNA(VLOOKUP(Referentie_Fossiele_Energie_Totaal[[#This Row],[Product]]&amp;", "&amp;Referentie_Fossiele_Energie_Totaal[[#Headers],[C3]],Database_Productkaarten[#All],51,FALSE),0)*Baseline!I104),0))</f>
        <v>0</v>
      </c>
      <c r="O522" s="77">
        <f>(IF(Baseline!C104="Bestaande Situatie",(_xlfn.IFNA(VLOOKUP(Referentie_Fossiele_Energie_Totaal[[#This Row],[Product]]&amp;", "&amp;Referentie_Fossiele_Energie_Totaal[[#Headers],[C4]],Database_Productkaarten[#All],51,FALSE),0)*Baseline!I104),0))</f>
        <v>0</v>
      </c>
      <c r="P522" s="77">
        <f>(IF(Baseline!C104="Bestaande Situatie",(_xlfn.IFNA(VLOOKUP(Referentie_Fossiele_Energie_Totaal[[#This Row],[Product]]&amp;", "&amp;Referentie_Fossiele_Energie_Totaal[[#Headers],[D1]],Database_Productkaarten[#All],51,FALSE),0)*Baseline!I104),0))</f>
        <v>0</v>
      </c>
      <c r="Q522" s="78">
        <f>(IF(Baseline!C104="Bestaande Situatie",_xlfn.IFNA(VLOOKUP(Referentie_Fossiele_Energie_Totaal[[#This Row],[Product]]&amp;", "&amp;Referentie_Fossiele_Energie_Totaal[[#Headers],[D2]],Database_Productkaarten[#All],51,FALSE),0)*Baseline!I104,0))</f>
        <v>0</v>
      </c>
      <c r="R522" s="57">
        <f>(IF(Baseline!C104="Bestaande Situatie",_xlfn.IFNA(VLOOKUP(Referentie_Fossiele_Energie_Totaal[[#This Row],[Product]]&amp;", "&amp;Referentie_Fossiele_Energie_Totaal[[#Headers],[D]],Database_Productkaarten[#All],51,FALSE),0)*Baseline!I104,0))</f>
        <v>0</v>
      </c>
      <c r="S522" s="56">
        <f>SUM(Referentie_Fossiele_Energie_Totaal[[#This Row],[A1-A3]:[C4]])+Referentie_Fossiele_Energie_Totaal[[#This Row],[D]]</f>
        <v>0</v>
      </c>
    </row>
    <row r="523" spans="2:19" ht="15.75" thickBot="1">
      <c r="B523" s="209">
        <f>Baseline!B105</f>
        <v>0</v>
      </c>
      <c r="C523" s="76">
        <f>Baseline!F105</f>
        <v>0</v>
      </c>
      <c r="D523" s="77">
        <f>(IF(Baseline!C105="Nieuwe Situatie",(_xlfn.IFNA(VLOOKUP(Referentie_Fossiele_Energie_Totaal[[#This Row],[Product]]&amp;", "&amp;Referentie_Fossiele_Energie_Totaal[[#Headers],[A1]],Database_Productkaarten[#All],51,FALSE),0)*Baseline!I105),0))</f>
        <v>0</v>
      </c>
      <c r="E523" s="77">
        <f>(IF(Baseline!C105="Nieuwe Situatie",(_xlfn.IFNA(VLOOKUP(Referentie_Fossiele_Energie_Totaal[[#This Row],[Product]]&amp;", "&amp;Referentie_Fossiele_Energie_Totaal[[#Headers],[A2]],Database_Productkaarten[#All],51,FALSE),0)*Baseline!I105),0))</f>
        <v>0</v>
      </c>
      <c r="F523" s="77">
        <f>(IF(Baseline!C105="Nieuwe Situatie",(_xlfn.IFNA(VLOOKUP(Referentie_Fossiele_Energie_Totaal[[#This Row],[Product]]&amp;", "&amp;Referentie_Fossiele_Energie_Totaal[[#Headers],[A3]],Database_Productkaarten[#All],51,FALSE),0)*Baseline!I105),0))</f>
        <v>0</v>
      </c>
      <c r="G523" s="77">
        <f>(IF(Baseline!C105="Nieuwe Situatie",(_xlfn.IFNA(VLOOKUP(Referentie_Fossiele_Energie_Totaal[[#This Row],[Product]]&amp;", "&amp;Referentie_Fossiele_Energie_Totaal[[#Headers],[A1-A3]],Database_Productkaarten[#All],51,FALSE),0)*Baseline!I105),0))</f>
        <v>0</v>
      </c>
      <c r="H523" s="77">
        <f>IF(Baseline!T105=0,(IF(Baseline!C105="Nieuwe Situatie",(_xlfn.IFNA(VLOOKUP(Referentie_Fossiele_Energie_Totaal[[#This Row],[Product]]&amp;", "&amp;Referentie_CO2_Totaal[[#Headers],[A4]],Database_Productkaarten[#All],51,FALSE),0)*Baseline!I105),0)),IF(Baseline!C105="Nieuwe Situatie",_xlfn.IFNA(VLOOKUP(Baseline!T105,Database_Transport[#All],45,FALSE)*(Baseline!Q105*Baseline!S105),Baseline_Backlog!H208),0))</f>
        <v>0</v>
      </c>
      <c r="I523" s="77">
        <f>IF(Baseline!C105="Nieuwe situatie",IF(_xlfn.IFNA((VLOOKUP(Baseline!U105,Database_Asfalt_Aanlegset[#All],45,FALSE)*Baseline!I105),0)+_xlfn.IFNA(VLOOKUP(Baseline!V105,Database_Brandstoffen[#All],45,FALSE)*((Baseline!I105/Baseline!X105)*Baseline!W105),0)&gt;0,_xlfn.IFNA((VLOOKUP(Baseline!U105,Database_Asfalt_Aanlegset[#All],45,FALSE)*Baseline!I105),0)+_xlfn.IFNA(VLOOKUP(Baseline!V105,Database_Brandstoffen[#All],45,FALSE)*((Baseline!I105/Baseline!X105)*Baseline!W105),0),(_xlfn.IFNA(VLOOKUP(Referentie_Fossiele_Energie_Totaal[[#This Row],[Product]]&amp;", "&amp;Referentie_MKI_Totaal[[#Headers],[A5]],Database_Productkaarten[#All],51,FALSE),0)*Baseline!I105)),0)</f>
        <v>0</v>
      </c>
      <c r="J523" s="77">
        <f>(IF(Baseline!C105="Nieuwe Situatie",(_xlfn.IFNA(VLOOKUP(Referentie_Fossiele_Energie_Totaal[[#This Row],[Product]]&amp;", "&amp;Referentie_Fossiele_Energie_Totaal[[#Headers],[B1]],Database_Productkaarten[#All],51,FALSE),0)*Baseline!I105),0))</f>
        <v>0</v>
      </c>
      <c r="K523" s="77">
        <f>(IF(Baseline!C105="Nieuwe Situatie",(SUM(Referentie_Fossiele_Energie_Totaal[[#This Row],[A1]:[B1]],Referentie_Fossiele_Energie_Totaal[[#This Row],[C1]:[D2]])*Baseline!R105),0))</f>
        <v>0</v>
      </c>
      <c r="L523" s="77">
        <f>IF(Baseline!C105="Bestaande situatie",IF(_xlfn.IFNA((VLOOKUP(Baseline!Y105,Database_Asfalt_Verwijderset[#All],45,FALSE)*Baseline!I105),0)+_xlfn.IFNA(VLOOKUP(Baseline!Z105,Database_Brandstoffen[#All],45,FALSE)*((Baseline!I105/Baseline!AB105)*Baseline!AA105),0)&gt;0,_xlfn.IFNA((VLOOKUP(Baseline!Y105,Database_Asfalt_Verwijderset[#All],45,FALSE)*Baseline!I105),0)+_xlfn.IFNA(VLOOKUP(Baseline!Z105,Database_Brandstoffen[#All],45,FALSE)*((Baseline!I105/Baseline!AB105)*Baseline!AA105),0),(_xlfn.IFNA(VLOOKUP(Referentie_Fossiele_Energie_Totaal[[#This Row],[Product]]&amp;", "&amp;Referentie_MKI_Totaal[[#Headers],[C1]],Database_Productkaarten[#All],51,FALSE),0)*Baseline!I105)),0)</f>
        <v>0</v>
      </c>
      <c r="M523" s="77">
        <f>IF(Baseline!AD105=0,(IF(Baseline!C105="Bestaande Situatie",(_xlfn.IFNA(VLOOKUP(Referentie_Fossiele_Energie_Totaal[[#This Row],[Product]]&amp;", "&amp;Referentie_MKI_Totaal[[#Headers],[C2]],Database_Productkaarten[#All],51,FALSE),0)*Baseline!I105),0)),(IF(Baseline!C105="Bestaande Situatie",_xlfn.IFNA(VLOOKUP(Baseline!AD105,Database_Transport[#All],45,FALSE)*(Baseline!Q105*Baseline!AC105),0))))</f>
        <v>0</v>
      </c>
      <c r="N523" s="77">
        <f>(IF(Baseline!C105="Bestaande Situatie",(_xlfn.IFNA(VLOOKUP(Referentie_Fossiele_Energie_Totaal[[#This Row],[Product]]&amp;", "&amp;Referentie_Fossiele_Energie_Totaal[[#Headers],[C3]],Database_Productkaarten[#All],51,FALSE),0)*Baseline!I105),0))</f>
        <v>0</v>
      </c>
      <c r="O523" s="77">
        <f>(IF(Baseline!C105="Bestaande Situatie",(_xlfn.IFNA(VLOOKUP(Referentie_Fossiele_Energie_Totaal[[#This Row],[Product]]&amp;", "&amp;Referentie_Fossiele_Energie_Totaal[[#Headers],[C4]],Database_Productkaarten[#All],51,FALSE),0)*Baseline!I105),0))</f>
        <v>0</v>
      </c>
      <c r="P523" s="77">
        <f>(IF(Baseline!C105="Bestaande Situatie",(_xlfn.IFNA(VLOOKUP(Referentie_Fossiele_Energie_Totaal[[#This Row],[Product]]&amp;", "&amp;Referentie_Fossiele_Energie_Totaal[[#Headers],[D1]],Database_Productkaarten[#All],51,FALSE),0)*Baseline!I105),0))</f>
        <v>0</v>
      </c>
      <c r="Q523" s="78">
        <f>(IF(Baseline!C105="Bestaande Situatie",_xlfn.IFNA(VLOOKUP(Referentie_Fossiele_Energie_Totaal[[#This Row],[Product]]&amp;", "&amp;Referentie_Fossiele_Energie_Totaal[[#Headers],[D2]],Database_Productkaarten[#All],51,FALSE),0)*Baseline!I105,0))</f>
        <v>0</v>
      </c>
      <c r="R523" s="57">
        <f>(IF(Baseline!C105="Bestaande Situatie",_xlfn.IFNA(VLOOKUP(Referentie_Fossiele_Energie_Totaal[[#This Row],[Product]]&amp;", "&amp;Referentie_Fossiele_Energie_Totaal[[#Headers],[D]],Database_Productkaarten[#All],51,FALSE),0)*Baseline!I105,0))</f>
        <v>0</v>
      </c>
      <c r="S523" s="56">
        <f>SUM(Referentie_Fossiele_Energie_Totaal[[#This Row],[A1-A3]:[C4]])+Referentie_Fossiele_Energie_Totaal[[#This Row],[D]]</f>
        <v>0</v>
      </c>
    </row>
    <row r="524" spans="2:19" ht="15.75" thickTop="1">
      <c r="B524" s="52" t="s">
        <v>90</v>
      </c>
      <c r="C524" s="53"/>
      <c r="D524" s="159">
        <f>SUBTOTAL(109,Referentie_Fossiele_Energie_Totaal[A1])</f>
        <v>987196.05079346162</v>
      </c>
      <c r="E524" s="159">
        <f>SUBTOTAL(109,Referentie_Fossiele_Energie_Totaal[A2])</f>
        <v>129599.03554150001</v>
      </c>
      <c r="F524" s="159">
        <f>SUBTOTAL(109,Referentie_Fossiele_Energie_Totaal[A3])</f>
        <v>113719.00827784615</v>
      </c>
      <c r="G524" s="159">
        <f>SUBTOTAL(109,Referentie_Fossiele_Energie_Totaal[A1-A3])</f>
        <v>4101492.094612808</v>
      </c>
      <c r="H524" s="159">
        <f>SUBTOTAL(109,Referentie_Fossiele_Energie_Totaal[A4])</f>
        <v>971952.61758837232</v>
      </c>
      <c r="I524" s="159">
        <f>SUBTOTAL(109,Referentie_Fossiele_Energie_Totaal[A5])</f>
        <v>3535948.8043494886</v>
      </c>
      <c r="J524" s="159">
        <f>SUBTOTAL(109,Referentie_Fossiele_Energie_Totaal[B1])</f>
        <v>0</v>
      </c>
      <c r="K524" s="159">
        <f>SUBTOTAL(109,Referentie_Fossiele_Energie_Totaal[B4])</f>
        <v>0</v>
      </c>
      <c r="L524" s="159">
        <f>SUBTOTAL(109,Referentie_Fossiele_Energie_Totaal[C1])</f>
        <v>949811.39949967328</v>
      </c>
      <c r="M524" s="159">
        <f>SUBTOTAL(109,Referentie_Fossiele_Energie_Totaal[C2])</f>
        <v>1032114.8616779584</v>
      </c>
      <c r="N524" s="159">
        <f>SUBTOTAL(109,Referentie_Fossiele_Energie_Totaal[C3])</f>
        <v>122280.07255448715</v>
      </c>
      <c r="O524" s="159">
        <f>SUBTOTAL(109,Referentie_Fossiele_Energie_Totaal[C4])</f>
        <v>88525.882919956653</v>
      </c>
      <c r="P524" s="159">
        <f>SUBTOTAL(109,Referentie_Fossiele_Energie_Totaal[D1])</f>
        <v>-2383675</v>
      </c>
      <c r="Q524" s="160">
        <f>SUBTOTAL(109,Referentie_Fossiele_Energie_Totaal[D2])</f>
        <v>0</v>
      </c>
      <c r="R524" s="160">
        <f>SUBTOTAL(109,Referentie_Fossiele_Energie_Totaal[D])</f>
        <v>-7852504.6249435423</v>
      </c>
      <c r="S524" s="161">
        <f>SUBTOTAL(109,Referentie_Fossiele_Energie_Totaal[Totaal])</f>
        <v>2949621.108259201</v>
      </c>
    </row>
    <row r="525" spans="2:19">
      <c r="B525" s="13"/>
      <c r="C525" s="13"/>
      <c r="D525" s="13"/>
      <c r="E525" s="13"/>
      <c r="F525" s="13"/>
      <c r="G525" s="13"/>
      <c r="H525" s="13"/>
      <c r="I525" s="13"/>
      <c r="J525" s="13"/>
      <c r="K525" s="13"/>
      <c r="L525" s="13"/>
      <c r="M525" s="13"/>
      <c r="N525" s="13"/>
      <c r="O525" s="13"/>
      <c r="P525" s="13"/>
    </row>
    <row r="526" spans="2:19">
      <c r="B526" s="13"/>
      <c r="C526" s="13"/>
      <c r="D526" s="13"/>
      <c r="E526" s="13"/>
      <c r="F526" s="13"/>
      <c r="G526" s="13"/>
      <c r="H526" s="13"/>
      <c r="I526" s="13"/>
      <c r="J526" s="13"/>
      <c r="K526" s="13"/>
      <c r="L526" s="13"/>
      <c r="M526" s="13"/>
      <c r="N526" s="13"/>
      <c r="O526" s="13"/>
      <c r="P526" s="13"/>
    </row>
    <row r="527" spans="2:19" ht="18">
      <c r="B527" s="110" t="s">
        <v>123</v>
      </c>
      <c r="C527" s="110"/>
      <c r="D527" s="110"/>
      <c r="E527" s="13"/>
      <c r="F527" s="13"/>
      <c r="G527" s="13"/>
      <c r="H527" s="13"/>
      <c r="I527" s="13"/>
      <c r="J527" s="13"/>
      <c r="K527" s="13"/>
      <c r="L527" s="13"/>
      <c r="M527" s="13"/>
      <c r="N527" s="13"/>
      <c r="O527" s="13"/>
      <c r="P527" s="13"/>
    </row>
    <row r="528" spans="2:19" ht="15.75" thickBot="1">
      <c r="B528" s="49" t="s">
        <v>214</v>
      </c>
      <c r="C528" s="50" t="s">
        <v>7</v>
      </c>
      <c r="D528" s="58" t="s">
        <v>124</v>
      </c>
      <c r="E528" s="59" t="s">
        <v>125</v>
      </c>
      <c r="F528" s="59" t="s">
        <v>126</v>
      </c>
      <c r="G528" s="59" t="s">
        <v>127</v>
      </c>
      <c r="H528" s="59" t="s">
        <v>128</v>
      </c>
      <c r="I528" s="58" t="s">
        <v>129</v>
      </c>
      <c r="J528" s="59" t="s">
        <v>130</v>
      </c>
      <c r="K528" s="59" t="s">
        <v>131</v>
      </c>
      <c r="L528" s="145" t="s">
        <v>132</v>
      </c>
      <c r="M528" s="145" t="s">
        <v>133</v>
      </c>
      <c r="N528" s="145" t="s">
        <v>134</v>
      </c>
      <c r="O528" s="13"/>
      <c r="P528" s="13"/>
      <c r="Q528" s="13"/>
      <c r="R528" s="13"/>
      <c r="S528" s="13"/>
    </row>
    <row r="529" spans="2:19" ht="15.75" thickTop="1">
      <c r="B529" s="209" t="str">
        <f>Baseline!B6</f>
        <v xml:space="preserve">121110 - Opbreken trottoirband </v>
      </c>
      <c r="C529" s="51" t="str">
        <f>Baseline!F6</f>
        <v>Trottoirband 130/150x250</v>
      </c>
      <c r="D529" s="93">
        <f>(IF(Baseline!C6="Nieuwe situatie",(Baseline!S6),0)*Baseline!Q6)</f>
        <v>0</v>
      </c>
      <c r="E529" s="98">
        <f>(IF(Baseline!C6="Bestaande situatie",(Baseline!AC6),0)*Baseline!Q6)</f>
        <v>5369.91</v>
      </c>
      <c r="F529" s="94" t="str">
        <f>_xlfn.IFNA(VLOOKUP(Baseline!T6,Database_Transport[],60,FALSE),"Nee")</f>
        <v>Nee</v>
      </c>
      <c r="G529" s="94" t="str">
        <f>_xlfn.IFNA(VLOOKUP(Baseline!AC6,Database_Transport[],60,FALSE),"Nee")</f>
        <v>Nee</v>
      </c>
      <c r="H529" s="124">
        <f>IF(Referentie_Transport_Totaal[[#This Row],[Emissieloos Transport naar bouwplaats?]]="JA",Referentie_Transport_Totaal[[#This Row],[Transport naar bouwplaats '[tkm']]],0)+IF(Referentie_Transport_Totaal[[#This Row],[Emissieloos Transport naar verwerker?]]="JA",Referentie_Transport_Totaal[[#This Row],[Transport naar verwerker '[tkm']]],0)</f>
        <v>0</v>
      </c>
      <c r="I529" s="133" cm="1">
        <f t="array" ref="I529">_xlfn.IFNA((_xlfn.IFS(Baseline!C6="Nieuwe Situatie",(50),Baseline!C6="Bestaande Situatie",(0))),0)*Baseline!Q6*Baseline!R6</f>
        <v>0</v>
      </c>
      <c r="J529" s="133" cm="1">
        <f t="array" ref="J529">(_xlfn.IFNA((_xlfn.IFS(Baseline!C6="Nieuwe Situatie",(50),Baseline!C6="Bestaande Situatie",(50))),0)*Baseline!Q6)*Baseline!R6</f>
        <v>0</v>
      </c>
      <c r="K529" s="133">
        <f>IF(Referentie_Transport_Totaal[[#This Row],[Emissieloos Transport naar bouwplaats?]]="JA",Referentie_Transport_Totaal[[#This Row],[Transport naar bouwplaats Vervangingen '[tkm']]],0)+IF(Referentie_Transport_Totaal[[#This Row],[Emissieloos Transport naar verwerker?]]="JA",Referentie_Transport_Totaal[[#This Row],[Transport naar verwerker Vervangingen '[tkm']]],0)</f>
        <v>0</v>
      </c>
      <c r="L529" s="133">
        <f>Referentie_Transport_Totaal[[#This Row],[Emissieloos Transport]]+Referentie_Transport_Totaal[[#This Row],[Emissieloos Transport Vervangingen]]</f>
        <v>0</v>
      </c>
      <c r="M529" s="133">
        <f>(Referentie_Transport_Totaal[[#This Row],[Transport naar bouwplaats '[tkm']]]+Referentie_Transport_Totaal[[#This Row],[Transport naar verwerker '[tkm']]]+Referentie_Transport_Totaal[[#This Row],[Transport naar bouwplaats Vervangingen '[tkm']]]+Referentie_Transport_Totaal[[#This Row],[Transport naar verwerker Vervangingen '[tkm']]])-Referentie_Transport_Totaal[[#This Row],[Totaal Emissieloos Transport]]</f>
        <v>5369.91</v>
      </c>
      <c r="N529" s="133">
        <f>Referentie_Transport_Totaal[[#This Row],[Totaal Emissieloos Transport]]+Referentie_Transport_Totaal[[#This Row],[Totaal Niet Emissieloos Transport]]</f>
        <v>5369.91</v>
      </c>
      <c r="O529" s="13"/>
      <c r="P529" s="13"/>
      <c r="Q529" s="13"/>
      <c r="R529" s="13"/>
      <c r="S529" s="13"/>
    </row>
    <row r="530" spans="2:19">
      <c r="B530" s="209" t="str">
        <f>Baseline!B7</f>
        <v>121120 - Opbreken RWS band</v>
      </c>
      <c r="C530" s="51" t="str">
        <f>Baseline!F7</f>
        <v>RWSband 115/225x250</v>
      </c>
      <c r="D530" s="93">
        <f>(IF(Baseline!C7="Nieuwe situatie",(Baseline!S7),0)*Baseline!Q7)</f>
        <v>0</v>
      </c>
      <c r="E530" s="98">
        <f>(IF(Baseline!C7="Bestaande situatie",(Baseline!AC7),0)*Baseline!Q7)</f>
        <v>846.20999999999992</v>
      </c>
      <c r="F530" s="94" t="str">
        <f>_xlfn.IFNA(VLOOKUP(Baseline!T7,Database_Transport[],60,FALSE),"Nee")</f>
        <v>Nee</v>
      </c>
      <c r="G530" s="94" t="str">
        <f>_xlfn.IFNA(VLOOKUP(Baseline!AC7,Database_Transport[],60,FALSE),"Nee")</f>
        <v>Nee</v>
      </c>
      <c r="H530" s="124">
        <f>IF(Referentie_Transport_Totaal[[#This Row],[Emissieloos Transport naar bouwplaats?]]="JA",Referentie_Transport_Totaal[[#This Row],[Transport naar bouwplaats '[tkm']]],0)+IF(Referentie_Transport_Totaal[[#This Row],[Emissieloos Transport naar verwerker?]]="JA",Referentie_Transport_Totaal[[#This Row],[Transport naar verwerker '[tkm']]],0)</f>
        <v>0</v>
      </c>
      <c r="I530" s="133" cm="1">
        <f t="array" ref="I530">_xlfn.IFNA((_xlfn.IFS(Baseline!C7="Nieuwe Situatie",(50),Baseline!C7="Bestaande Situatie",(0))),0)*Baseline!Q7*Baseline!R7</f>
        <v>0</v>
      </c>
      <c r="J530" s="133" cm="1">
        <f t="array" ref="J530">(_xlfn.IFNA((_xlfn.IFS(Baseline!C7="Nieuwe Situatie",(50),Baseline!C7="Bestaande Situatie",(50))),0)*Baseline!Q7)*Baseline!R7</f>
        <v>0</v>
      </c>
      <c r="K530" s="133">
        <f>IF(Referentie_Transport_Totaal[[#This Row],[Emissieloos Transport naar bouwplaats?]]="JA",Referentie_Transport_Totaal[[#This Row],[Transport naar bouwplaats Vervangingen '[tkm']]],0)+IF(Referentie_Transport_Totaal[[#This Row],[Emissieloos Transport naar verwerker?]]="JA",Referentie_Transport_Totaal[[#This Row],[Transport naar verwerker Vervangingen '[tkm']]],0)</f>
        <v>0</v>
      </c>
      <c r="L530" s="133">
        <f>Referentie_Transport_Totaal[[#This Row],[Emissieloos Transport]]+Referentie_Transport_Totaal[[#This Row],[Emissieloos Transport Vervangingen]]</f>
        <v>0</v>
      </c>
      <c r="M530" s="133">
        <f>(Referentie_Transport_Totaal[[#This Row],[Transport naar bouwplaats '[tkm']]]+Referentie_Transport_Totaal[[#This Row],[Transport naar verwerker '[tkm']]]+Referentie_Transport_Totaal[[#This Row],[Transport naar bouwplaats Vervangingen '[tkm']]]+Referentie_Transport_Totaal[[#This Row],[Transport naar verwerker Vervangingen '[tkm']]])-Referentie_Transport_Totaal[[#This Row],[Totaal Emissieloos Transport]]</f>
        <v>846.20999999999992</v>
      </c>
      <c r="N530" s="133">
        <f>Referentie_Transport_Totaal[[#This Row],[Totaal Emissieloos Transport]]+Referentie_Transport_Totaal[[#This Row],[Totaal Niet Emissieloos Transport]]</f>
        <v>846.20999999999992</v>
      </c>
      <c r="O530" s="13"/>
      <c r="P530" s="13"/>
      <c r="Q530" s="13"/>
      <c r="R530" s="13"/>
      <c r="S530" s="13"/>
    </row>
    <row r="531" spans="2:19">
      <c r="B531" s="209" t="str">
        <f>Baseline!B8</f>
        <v>121140 - Opbreken Opsluitband</v>
      </c>
      <c r="C531" s="51" t="str">
        <f>Baseline!F8</f>
        <v>Opsluitband 100x200</v>
      </c>
      <c r="D531" s="93">
        <f>(IF(Baseline!C8="Nieuwe situatie",(Baseline!S8),0)*Baseline!Q8)</f>
        <v>0</v>
      </c>
      <c r="E531" s="98">
        <f>(IF(Baseline!C8="Bestaande situatie",(Baseline!AC8),0)*Baseline!Q8)</f>
        <v>1055.5999999999999</v>
      </c>
      <c r="F531" s="94" t="str">
        <f>_xlfn.IFNA(VLOOKUP(Baseline!T8,Database_Transport[],60,FALSE),"Nee")</f>
        <v>Nee</v>
      </c>
      <c r="G531" s="94" t="str">
        <f>_xlfn.IFNA(VLOOKUP(Baseline!AC8,Database_Transport[],60,FALSE),"Nee")</f>
        <v>Nee</v>
      </c>
      <c r="H531" s="124">
        <f>IF(Referentie_Transport_Totaal[[#This Row],[Emissieloos Transport naar bouwplaats?]]="JA",Referentie_Transport_Totaal[[#This Row],[Transport naar bouwplaats '[tkm']]],0)+IF(Referentie_Transport_Totaal[[#This Row],[Emissieloos Transport naar verwerker?]]="JA",Referentie_Transport_Totaal[[#This Row],[Transport naar verwerker '[tkm']]],0)</f>
        <v>0</v>
      </c>
      <c r="I531" s="133" cm="1">
        <f t="array" ref="I531">_xlfn.IFNA((_xlfn.IFS(Baseline!C8="Nieuwe Situatie",(50),Baseline!C8="Bestaande Situatie",(0))),0)*Baseline!Q8*Baseline!R8</f>
        <v>0</v>
      </c>
      <c r="J531" s="133" cm="1">
        <f t="array" ref="J531">(_xlfn.IFNA((_xlfn.IFS(Baseline!C8="Nieuwe Situatie",(50),Baseline!C8="Bestaande Situatie",(50))),0)*Baseline!Q8)*Baseline!R8</f>
        <v>0</v>
      </c>
      <c r="K531" s="133">
        <f>IF(Referentie_Transport_Totaal[[#This Row],[Emissieloos Transport naar bouwplaats?]]="JA",Referentie_Transport_Totaal[[#This Row],[Transport naar bouwplaats Vervangingen '[tkm']]],0)+IF(Referentie_Transport_Totaal[[#This Row],[Emissieloos Transport naar verwerker?]]="JA",Referentie_Transport_Totaal[[#This Row],[Transport naar verwerker Vervangingen '[tkm']]],0)</f>
        <v>0</v>
      </c>
      <c r="L531" s="133">
        <f>Referentie_Transport_Totaal[[#This Row],[Emissieloos Transport]]+Referentie_Transport_Totaal[[#This Row],[Emissieloos Transport Vervangingen]]</f>
        <v>0</v>
      </c>
      <c r="M531" s="133">
        <f>(Referentie_Transport_Totaal[[#This Row],[Transport naar bouwplaats '[tkm']]]+Referentie_Transport_Totaal[[#This Row],[Transport naar verwerker '[tkm']]]+Referentie_Transport_Totaal[[#This Row],[Transport naar bouwplaats Vervangingen '[tkm']]]+Referentie_Transport_Totaal[[#This Row],[Transport naar verwerker Vervangingen '[tkm']]])-Referentie_Transport_Totaal[[#This Row],[Totaal Emissieloos Transport]]</f>
        <v>1055.5999999999999</v>
      </c>
      <c r="N531" s="133">
        <f>Referentie_Transport_Totaal[[#This Row],[Totaal Emissieloos Transport]]+Referentie_Transport_Totaal[[#This Row],[Totaal Niet Emissieloos Transport]]</f>
        <v>1055.5999999999999</v>
      </c>
      <c r="O531" s="13"/>
      <c r="P531" s="13"/>
      <c r="Q531" s="13"/>
      <c r="R531" s="13"/>
      <c r="S531" s="13"/>
    </row>
    <row r="532" spans="2:19">
      <c r="B532" s="209" t="str">
        <f>Baseline!B9</f>
        <v>121310 - Opbreken betonstraatstenen</v>
      </c>
      <c r="C532" s="51" t="str">
        <f>Baseline!F9</f>
        <v>Betonstraatsteen 210x105x80</v>
      </c>
      <c r="D532" s="93">
        <f>(IF(Baseline!C9="Nieuwe situatie",(Baseline!S9),0)*Baseline!Q9)</f>
        <v>0</v>
      </c>
      <c r="E532" s="98">
        <f>(IF(Baseline!C9="Bestaande situatie",(Baseline!AC9),0)*Baseline!Q9)</f>
        <v>5747.2000000000007</v>
      </c>
      <c r="F532" s="94" t="str">
        <f>_xlfn.IFNA(VLOOKUP(Baseline!T9,Database_Transport[],60,FALSE),"Nee")</f>
        <v>Nee</v>
      </c>
      <c r="G532" s="94" t="str">
        <f>_xlfn.IFNA(VLOOKUP(Baseline!AC9,Database_Transport[],60,FALSE),"Nee")</f>
        <v>Nee</v>
      </c>
      <c r="H532" s="124">
        <f>IF(Referentie_Transport_Totaal[[#This Row],[Emissieloos Transport naar bouwplaats?]]="JA",Referentie_Transport_Totaal[[#This Row],[Transport naar bouwplaats '[tkm']]],0)+IF(Referentie_Transport_Totaal[[#This Row],[Emissieloos Transport naar verwerker?]]="JA",Referentie_Transport_Totaal[[#This Row],[Transport naar verwerker '[tkm']]],0)</f>
        <v>0</v>
      </c>
      <c r="I532" s="133" cm="1">
        <f t="array" ref="I532">_xlfn.IFNA((_xlfn.IFS(Baseline!C9="Nieuwe Situatie",(50),Baseline!C9="Bestaande Situatie",(0))),0)*Baseline!Q9*Baseline!R9</f>
        <v>0</v>
      </c>
      <c r="J532" s="133" cm="1">
        <f t="array" ref="J532">(_xlfn.IFNA((_xlfn.IFS(Baseline!C9="Nieuwe Situatie",(50),Baseline!C9="Bestaande Situatie",(50))),0)*Baseline!Q9)*Baseline!R9</f>
        <v>0</v>
      </c>
      <c r="K532" s="133">
        <f>IF(Referentie_Transport_Totaal[[#This Row],[Emissieloos Transport naar bouwplaats?]]="JA",Referentie_Transport_Totaal[[#This Row],[Transport naar bouwplaats Vervangingen '[tkm']]],0)+IF(Referentie_Transport_Totaal[[#This Row],[Emissieloos Transport naar verwerker?]]="JA",Referentie_Transport_Totaal[[#This Row],[Transport naar verwerker Vervangingen '[tkm']]],0)</f>
        <v>0</v>
      </c>
      <c r="L532" s="133">
        <f>Referentie_Transport_Totaal[[#This Row],[Emissieloos Transport]]+Referentie_Transport_Totaal[[#This Row],[Emissieloos Transport Vervangingen]]</f>
        <v>0</v>
      </c>
      <c r="M532" s="133">
        <f>(Referentie_Transport_Totaal[[#This Row],[Transport naar bouwplaats '[tkm']]]+Referentie_Transport_Totaal[[#This Row],[Transport naar verwerker '[tkm']]]+Referentie_Transport_Totaal[[#This Row],[Transport naar bouwplaats Vervangingen '[tkm']]]+Referentie_Transport_Totaal[[#This Row],[Transport naar verwerker Vervangingen '[tkm']]])-Referentie_Transport_Totaal[[#This Row],[Totaal Emissieloos Transport]]</f>
        <v>5747.2000000000007</v>
      </c>
      <c r="N532" s="133">
        <f>Referentie_Transport_Totaal[[#This Row],[Totaal Emissieloos Transport]]+Referentie_Transport_Totaal[[#This Row],[Totaal Niet Emissieloos Transport]]</f>
        <v>5747.2000000000007</v>
      </c>
      <c r="O532" s="13"/>
      <c r="P532" s="13"/>
      <c r="Q532" s="13"/>
      <c r="R532" s="13"/>
      <c r="S532" s="13"/>
    </row>
    <row r="533" spans="2:19">
      <c r="B533" s="209" t="str">
        <f>Baseline!B10</f>
        <v>121320 - Opbreken straatbakstenen en geschikt maken voor hergebruik</v>
      </c>
      <c r="C533" s="51" t="str">
        <f>Baseline!F10</f>
        <v>Gebakken klinker keiformaat</v>
      </c>
      <c r="D533" s="93">
        <f>(IF(Baseline!C10="Nieuwe situatie",(Baseline!S10),0)*Baseline!Q10)</f>
        <v>0</v>
      </c>
      <c r="E533" s="98">
        <f>(IF(Baseline!C10="Bestaande situatie",(Baseline!AC10),0)*Baseline!Q10)</f>
        <v>24300.5</v>
      </c>
      <c r="F533" s="94" t="str">
        <f>_xlfn.IFNA(VLOOKUP(Baseline!T10,Database_Transport[],60,FALSE),"Nee")</f>
        <v>Nee</v>
      </c>
      <c r="G533" s="94" t="str">
        <f>_xlfn.IFNA(VLOOKUP(Baseline!AC10,Database_Transport[],60,FALSE),"Nee")</f>
        <v>Nee</v>
      </c>
      <c r="H533" s="124">
        <f>IF(Referentie_Transport_Totaal[[#This Row],[Emissieloos Transport naar bouwplaats?]]="JA",Referentie_Transport_Totaal[[#This Row],[Transport naar bouwplaats '[tkm']]],0)+IF(Referentie_Transport_Totaal[[#This Row],[Emissieloos Transport naar verwerker?]]="JA",Referentie_Transport_Totaal[[#This Row],[Transport naar verwerker '[tkm']]],0)</f>
        <v>0</v>
      </c>
      <c r="I533" s="133" cm="1">
        <f t="array" ref="I533">_xlfn.IFNA((_xlfn.IFS(Baseline!C10="Nieuwe Situatie",(50),Baseline!C10="Bestaande Situatie",(0))),0)*Baseline!Q10*Baseline!R10</f>
        <v>0</v>
      </c>
      <c r="J533" s="133" cm="1">
        <f t="array" ref="J533">(_xlfn.IFNA((_xlfn.IFS(Baseline!C10="Nieuwe Situatie",(50),Baseline!C10="Bestaande Situatie",(50))),0)*Baseline!Q10)*Baseline!R10</f>
        <v>0</v>
      </c>
      <c r="K533" s="133">
        <f>IF(Referentie_Transport_Totaal[[#This Row],[Emissieloos Transport naar bouwplaats?]]="JA",Referentie_Transport_Totaal[[#This Row],[Transport naar bouwplaats Vervangingen '[tkm']]],0)+IF(Referentie_Transport_Totaal[[#This Row],[Emissieloos Transport naar verwerker?]]="JA",Referentie_Transport_Totaal[[#This Row],[Transport naar verwerker Vervangingen '[tkm']]],0)</f>
        <v>0</v>
      </c>
      <c r="L533" s="133">
        <f>Referentie_Transport_Totaal[[#This Row],[Emissieloos Transport]]+Referentie_Transport_Totaal[[#This Row],[Emissieloos Transport Vervangingen]]</f>
        <v>0</v>
      </c>
      <c r="M533" s="133">
        <f>(Referentie_Transport_Totaal[[#This Row],[Transport naar bouwplaats '[tkm']]]+Referentie_Transport_Totaal[[#This Row],[Transport naar verwerker '[tkm']]]+Referentie_Transport_Totaal[[#This Row],[Transport naar bouwplaats Vervangingen '[tkm']]]+Referentie_Transport_Totaal[[#This Row],[Transport naar verwerker Vervangingen '[tkm']]])-Referentie_Transport_Totaal[[#This Row],[Totaal Emissieloos Transport]]</f>
        <v>24300.5</v>
      </c>
      <c r="N533" s="133">
        <f>Referentie_Transport_Totaal[[#This Row],[Totaal Emissieloos Transport]]+Referentie_Transport_Totaal[[#This Row],[Totaal Niet Emissieloos Transport]]</f>
        <v>24300.5</v>
      </c>
      <c r="O533" s="13"/>
      <c r="P533" s="13"/>
      <c r="Q533" s="13"/>
      <c r="R533" s="13"/>
      <c r="S533" s="13"/>
    </row>
    <row r="534" spans="2:19">
      <c r="B534" s="209" t="str">
        <f>Baseline!B11</f>
        <v>121330 - Opbreken en afvoeren straatbakstenen</v>
      </c>
      <c r="C534" s="51" t="str">
        <f>Baseline!F11</f>
        <v>Gebakken klinker keiformaat (hergebruik)</v>
      </c>
      <c r="D534" s="93">
        <f>(IF(Baseline!C11="Nieuwe situatie",(Baseline!S11),0)*Baseline!Q11)</f>
        <v>0</v>
      </c>
      <c r="E534" s="98">
        <f>(IF(Baseline!C11="Bestaande situatie",(Baseline!AC11),0)*Baseline!Q11)</f>
        <v>12366.400000000001</v>
      </c>
      <c r="F534" s="94" t="str">
        <f>_xlfn.IFNA(VLOOKUP(Baseline!T11,Database_Transport[],60,FALSE),"Nee")</f>
        <v>Nee</v>
      </c>
      <c r="G534" s="94" t="str">
        <f>_xlfn.IFNA(VLOOKUP(Baseline!AC11,Database_Transport[],60,FALSE),"Nee")</f>
        <v>Nee</v>
      </c>
      <c r="H534" s="124">
        <f>IF(Referentie_Transport_Totaal[[#This Row],[Emissieloos Transport naar bouwplaats?]]="JA",Referentie_Transport_Totaal[[#This Row],[Transport naar bouwplaats '[tkm']]],0)+IF(Referentie_Transport_Totaal[[#This Row],[Emissieloos Transport naar verwerker?]]="JA",Referentie_Transport_Totaal[[#This Row],[Transport naar verwerker '[tkm']]],0)</f>
        <v>0</v>
      </c>
      <c r="I534" s="133" cm="1">
        <f t="array" ref="I534">_xlfn.IFNA((_xlfn.IFS(Baseline!C11="Nieuwe Situatie",(50),Baseline!C11="Bestaande Situatie",(0))),0)*Baseline!Q11*Baseline!R11</f>
        <v>0</v>
      </c>
      <c r="J534" s="133" cm="1">
        <f t="array" ref="J534">(_xlfn.IFNA((_xlfn.IFS(Baseline!C11="Nieuwe Situatie",(50),Baseline!C11="Bestaande Situatie",(50))),0)*Baseline!Q11)*Baseline!R11</f>
        <v>0</v>
      </c>
      <c r="K534" s="133">
        <f>IF(Referentie_Transport_Totaal[[#This Row],[Emissieloos Transport naar bouwplaats?]]="JA",Referentie_Transport_Totaal[[#This Row],[Transport naar bouwplaats Vervangingen '[tkm']]],0)+IF(Referentie_Transport_Totaal[[#This Row],[Emissieloos Transport naar verwerker?]]="JA",Referentie_Transport_Totaal[[#This Row],[Transport naar verwerker Vervangingen '[tkm']]],0)</f>
        <v>0</v>
      </c>
      <c r="L534" s="133">
        <f>Referentie_Transport_Totaal[[#This Row],[Emissieloos Transport]]+Referentie_Transport_Totaal[[#This Row],[Emissieloos Transport Vervangingen]]</f>
        <v>0</v>
      </c>
      <c r="M534" s="133">
        <f>(Referentie_Transport_Totaal[[#This Row],[Transport naar bouwplaats '[tkm']]]+Referentie_Transport_Totaal[[#This Row],[Transport naar verwerker '[tkm']]]+Referentie_Transport_Totaal[[#This Row],[Transport naar bouwplaats Vervangingen '[tkm']]]+Referentie_Transport_Totaal[[#This Row],[Transport naar verwerker Vervangingen '[tkm']]])-Referentie_Transport_Totaal[[#This Row],[Totaal Emissieloos Transport]]</f>
        <v>12366.400000000001</v>
      </c>
      <c r="N534" s="133">
        <f>Referentie_Transport_Totaal[[#This Row],[Totaal Emissieloos Transport]]+Referentie_Transport_Totaal[[#This Row],[Totaal Niet Emissieloos Transport]]</f>
        <v>12366.400000000001</v>
      </c>
      <c r="O534" s="13"/>
      <c r="P534" s="13"/>
      <c r="Q534" s="13"/>
      <c r="R534" s="13"/>
      <c r="S534" s="13"/>
    </row>
    <row r="535" spans="2:19">
      <c r="B535" s="209" t="str">
        <f>Baseline!B12</f>
        <v>121340 - Opbreken betontegels 300x300x45mm</v>
      </c>
      <c r="C535" s="51" t="str">
        <f>Baseline!F12</f>
        <v>Betontegel 300x300x45</v>
      </c>
      <c r="D535" s="93">
        <f>(IF(Baseline!C12="Nieuwe situatie",(Baseline!S12),0)*Baseline!Q12)</f>
        <v>0</v>
      </c>
      <c r="E535" s="98">
        <f>(IF(Baseline!C12="Bestaande situatie",(Baseline!AC12),0)*Baseline!Q12)</f>
        <v>20931.349999999999</v>
      </c>
      <c r="F535" s="94" t="str">
        <f>_xlfn.IFNA(VLOOKUP(Baseline!T12,Database_Transport[],60,FALSE),"Nee")</f>
        <v>Nee</v>
      </c>
      <c r="G535" s="94" t="str">
        <f>_xlfn.IFNA(VLOOKUP(Baseline!AC12,Database_Transport[],60,FALSE),"Nee")</f>
        <v>Nee</v>
      </c>
      <c r="H535" s="124">
        <f>IF(Referentie_Transport_Totaal[[#This Row],[Emissieloos Transport naar bouwplaats?]]="JA",Referentie_Transport_Totaal[[#This Row],[Transport naar bouwplaats '[tkm']]],0)+IF(Referentie_Transport_Totaal[[#This Row],[Emissieloos Transport naar verwerker?]]="JA",Referentie_Transport_Totaal[[#This Row],[Transport naar verwerker '[tkm']]],0)</f>
        <v>0</v>
      </c>
      <c r="I535" s="133" cm="1">
        <f t="array" ref="I535">_xlfn.IFNA((_xlfn.IFS(Baseline!C12="Nieuwe Situatie",(50),Baseline!C12="Bestaande Situatie",(0))),0)*Baseline!Q12*Baseline!R12</f>
        <v>0</v>
      </c>
      <c r="J535" s="133" cm="1">
        <f t="array" ref="J535">(_xlfn.IFNA((_xlfn.IFS(Baseline!C12="Nieuwe Situatie",(50),Baseline!C12="Bestaande Situatie",(50))),0)*Baseline!Q12)*Baseline!R12</f>
        <v>0</v>
      </c>
      <c r="K535" s="133">
        <f>IF(Referentie_Transport_Totaal[[#This Row],[Emissieloos Transport naar bouwplaats?]]="JA",Referentie_Transport_Totaal[[#This Row],[Transport naar bouwplaats Vervangingen '[tkm']]],0)+IF(Referentie_Transport_Totaal[[#This Row],[Emissieloos Transport naar verwerker?]]="JA",Referentie_Transport_Totaal[[#This Row],[Transport naar verwerker Vervangingen '[tkm']]],0)</f>
        <v>0</v>
      </c>
      <c r="L535" s="133">
        <f>Referentie_Transport_Totaal[[#This Row],[Emissieloos Transport]]+Referentie_Transport_Totaal[[#This Row],[Emissieloos Transport Vervangingen]]</f>
        <v>0</v>
      </c>
      <c r="M535" s="133">
        <f>(Referentie_Transport_Totaal[[#This Row],[Transport naar bouwplaats '[tkm']]]+Referentie_Transport_Totaal[[#This Row],[Transport naar verwerker '[tkm']]]+Referentie_Transport_Totaal[[#This Row],[Transport naar bouwplaats Vervangingen '[tkm']]]+Referentie_Transport_Totaal[[#This Row],[Transport naar verwerker Vervangingen '[tkm']]])-Referentie_Transport_Totaal[[#This Row],[Totaal Emissieloos Transport]]</f>
        <v>20931.349999999999</v>
      </c>
      <c r="N535" s="133">
        <f>Referentie_Transport_Totaal[[#This Row],[Totaal Emissieloos Transport]]+Referentie_Transport_Totaal[[#This Row],[Totaal Niet Emissieloos Transport]]</f>
        <v>20931.349999999999</v>
      </c>
      <c r="O535" s="13"/>
      <c r="P535" s="13"/>
      <c r="Q535" s="13"/>
      <c r="R535" s="13"/>
      <c r="S535" s="13"/>
    </row>
    <row r="536" spans="2:19">
      <c r="B536" s="209" t="str">
        <f>Baseline!B13</f>
        <v>121410 - Opbreken en afvoeren asfaltverharding zwart teervrij</v>
      </c>
      <c r="C536" s="51" t="str">
        <f>Baseline!F13</f>
        <v>AC bin/base 50% PR - PCR 2.0</v>
      </c>
      <c r="D536" s="93">
        <f>(IF(Baseline!C13="Nieuwe situatie",(Baseline!S13),0)*Baseline!Q13)</f>
        <v>0</v>
      </c>
      <c r="E536" s="98">
        <f>(IF(Baseline!C13="Bestaande situatie",(Baseline!AC13),0)*Baseline!Q13)</f>
        <v>52500</v>
      </c>
      <c r="F536" s="94" t="str">
        <f>_xlfn.IFNA(VLOOKUP(Baseline!T13,Database_Transport[],60,FALSE),"Nee")</f>
        <v>Nee</v>
      </c>
      <c r="G536" s="94" t="str">
        <f>_xlfn.IFNA(VLOOKUP(Baseline!AC13,Database_Transport[],60,FALSE),"Nee")</f>
        <v>Nee</v>
      </c>
      <c r="H536" s="124">
        <f>IF(Referentie_Transport_Totaal[[#This Row],[Emissieloos Transport naar bouwplaats?]]="JA",Referentie_Transport_Totaal[[#This Row],[Transport naar bouwplaats '[tkm']]],0)+IF(Referentie_Transport_Totaal[[#This Row],[Emissieloos Transport naar verwerker?]]="JA",Referentie_Transport_Totaal[[#This Row],[Transport naar verwerker '[tkm']]],0)</f>
        <v>0</v>
      </c>
      <c r="I536" s="133" cm="1">
        <f t="array" ref="I536">_xlfn.IFNA((_xlfn.IFS(Baseline!C13="Nieuwe Situatie",(50),Baseline!C13="Bestaande Situatie",(0))),0)*Baseline!Q13*Baseline!R13</f>
        <v>0</v>
      </c>
      <c r="J536" s="133" cm="1">
        <f t="array" ref="J536">(_xlfn.IFNA((_xlfn.IFS(Baseline!C13="Nieuwe Situatie",(50),Baseline!C13="Bestaande Situatie",(50))),0)*Baseline!Q13)*Baseline!R13</f>
        <v>0</v>
      </c>
      <c r="K536" s="133">
        <f>IF(Referentie_Transport_Totaal[[#This Row],[Emissieloos Transport naar bouwplaats?]]="JA",Referentie_Transport_Totaal[[#This Row],[Transport naar bouwplaats Vervangingen '[tkm']]],0)+IF(Referentie_Transport_Totaal[[#This Row],[Emissieloos Transport naar verwerker?]]="JA",Referentie_Transport_Totaal[[#This Row],[Transport naar verwerker Vervangingen '[tkm']]],0)</f>
        <v>0</v>
      </c>
      <c r="L536" s="133">
        <f>Referentie_Transport_Totaal[[#This Row],[Emissieloos Transport]]+Referentie_Transport_Totaal[[#This Row],[Emissieloos Transport Vervangingen]]</f>
        <v>0</v>
      </c>
      <c r="M536" s="133">
        <f>(Referentie_Transport_Totaal[[#This Row],[Transport naar bouwplaats '[tkm']]]+Referentie_Transport_Totaal[[#This Row],[Transport naar verwerker '[tkm']]]+Referentie_Transport_Totaal[[#This Row],[Transport naar bouwplaats Vervangingen '[tkm']]]+Referentie_Transport_Totaal[[#This Row],[Transport naar verwerker Vervangingen '[tkm']]])-Referentie_Transport_Totaal[[#This Row],[Totaal Emissieloos Transport]]</f>
        <v>52500</v>
      </c>
      <c r="N536" s="133">
        <f>Referentie_Transport_Totaal[[#This Row],[Totaal Emissieloos Transport]]+Referentie_Transport_Totaal[[#This Row],[Totaal Niet Emissieloos Transport]]</f>
        <v>52500</v>
      </c>
      <c r="O536" s="13"/>
      <c r="P536" s="13"/>
      <c r="Q536" s="13"/>
      <c r="R536" s="13"/>
      <c r="S536" s="13"/>
    </row>
    <row r="537" spans="2:19">
      <c r="B537" s="209" t="str">
        <f>Baseline!B14</f>
        <v>121420 - Opbreken en afvoeren asfaltverharding rood teervrij</v>
      </c>
      <c r="C537" s="51" t="str">
        <f>Baseline!F14</f>
        <v>AC surf rood, met penbitumen - PCR 2.0</v>
      </c>
      <c r="D537" s="93">
        <f>(IF(Baseline!C14="Nieuwe situatie",(Baseline!S14),0)*Baseline!Q14)</f>
        <v>0</v>
      </c>
      <c r="E537" s="98">
        <f>(IF(Baseline!C14="Bestaande situatie",(Baseline!AC14),0)*Baseline!Q14)</f>
        <v>36000</v>
      </c>
      <c r="F537" s="94" t="str">
        <f>_xlfn.IFNA(VLOOKUP(Baseline!T14,Database_Transport[],60,FALSE),"Nee")</f>
        <v>Nee</v>
      </c>
      <c r="G537" s="94" t="str">
        <f>_xlfn.IFNA(VLOOKUP(Baseline!AC14,Database_Transport[],60,FALSE),"Nee")</f>
        <v>Nee</v>
      </c>
      <c r="H537" s="124">
        <f>IF(Referentie_Transport_Totaal[[#This Row],[Emissieloos Transport naar bouwplaats?]]="JA",Referentie_Transport_Totaal[[#This Row],[Transport naar bouwplaats '[tkm']]],0)+IF(Referentie_Transport_Totaal[[#This Row],[Emissieloos Transport naar verwerker?]]="JA",Referentie_Transport_Totaal[[#This Row],[Transport naar verwerker '[tkm']]],0)</f>
        <v>0</v>
      </c>
      <c r="I537" s="133" cm="1">
        <f t="array" ref="I537">_xlfn.IFNA((_xlfn.IFS(Baseline!C14="Nieuwe Situatie",(50),Baseline!C14="Bestaande Situatie",(0))),0)*Baseline!Q14*Baseline!R14</f>
        <v>0</v>
      </c>
      <c r="J537" s="133" cm="1">
        <f t="array" ref="J537">(_xlfn.IFNA((_xlfn.IFS(Baseline!C14="Nieuwe Situatie",(50),Baseline!C14="Bestaande Situatie",(50))),0)*Baseline!Q14)*Baseline!R14</f>
        <v>0</v>
      </c>
      <c r="K537" s="133">
        <f>IF(Referentie_Transport_Totaal[[#This Row],[Emissieloos Transport naar bouwplaats?]]="JA",Referentie_Transport_Totaal[[#This Row],[Transport naar bouwplaats Vervangingen '[tkm']]],0)+IF(Referentie_Transport_Totaal[[#This Row],[Emissieloos Transport naar verwerker?]]="JA",Referentie_Transport_Totaal[[#This Row],[Transport naar verwerker Vervangingen '[tkm']]],0)</f>
        <v>0</v>
      </c>
      <c r="L537" s="133">
        <f>Referentie_Transport_Totaal[[#This Row],[Emissieloos Transport]]+Referentie_Transport_Totaal[[#This Row],[Emissieloos Transport Vervangingen]]</f>
        <v>0</v>
      </c>
      <c r="M537" s="133">
        <f>(Referentie_Transport_Totaal[[#This Row],[Transport naar bouwplaats '[tkm']]]+Referentie_Transport_Totaal[[#This Row],[Transport naar verwerker '[tkm']]]+Referentie_Transport_Totaal[[#This Row],[Transport naar bouwplaats Vervangingen '[tkm']]]+Referentie_Transport_Totaal[[#This Row],[Transport naar verwerker Vervangingen '[tkm']]])-Referentie_Transport_Totaal[[#This Row],[Totaal Emissieloos Transport]]</f>
        <v>36000</v>
      </c>
      <c r="N537" s="133">
        <f>Referentie_Transport_Totaal[[#This Row],[Totaal Emissieloos Transport]]+Referentie_Transport_Totaal[[#This Row],[Totaal Niet Emissieloos Transport]]</f>
        <v>36000</v>
      </c>
      <c r="O537" s="13"/>
      <c r="P537" s="13"/>
      <c r="Q537" s="13"/>
      <c r="R537" s="13"/>
      <c r="S537" s="13"/>
    </row>
    <row r="538" spans="2:19">
      <c r="B538" s="209" t="str">
        <f>Baseline!B15</f>
        <v>121510 - Opbreken fundering van menggranulaat, 400-200 mm dik</v>
      </c>
      <c r="C538" s="51" t="str">
        <f>Baseline!F15</f>
        <v>Menggranulaat 300mm</v>
      </c>
      <c r="D538" s="93">
        <f>(IF(Baseline!C15="Nieuwe situatie",(Baseline!S15),0)*Baseline!Q15)</f>
        <v>0</v>
      </c>
      <c r="E538" s="98">
        <f>(IF(Baseline!C15="Bestaande situatie",(Baseline!AC15),0)*Baseline!Q15)</f>
        <v>44850</v>
      </c>
      <c r="F538" s="94" t="str">
        <f>_xlfn.IFNA(VLOOKUP(Baseline!T15,Database_Transport[],60,FALSE),"Nee")</f>
        <v>Nee</v>
      </c>
      <c r="G538" s="94" t="str">
        <f>_xlfn.IFNA(VLOOKUP(Baseline!AC15,Database_Transport[],60,FALSE),"Nee")</f>
        <v>Nee</v>
      </c>
      <c r="H538" s="124">
        <f>IF(Referentie_Transport_Totaal[[#This Row],[Emissieloos Transport naar bouwplaats?]]="JA",Referentie_Transport_Totaal[[#This Row],[Transport naar bouwplaats '[tkm']]],0)+IF(Referentie_Transport_Totaal[[#This Row],[Emissieloos Transport naar verwerker?]]="JA",Referentie_Transport_Totaal[[#This Row],[Transport naar verwerker '[tkm']]],0)</f>
        <v>0</v>
      </c>
      <c r="I538" s="133" cm="1">
        <f t="array" ref="I538">_xlfn.IFNA((_xlfn.IFS(Baseline!C15="Nieuwe Situatie",(50),Baseline!C15="Bestaande Situatie",(0))),0)*Baseline!Q15*Baseline!R15</f>
        <v>0</v>
      </c>
      <c r="J538" s="133" cm="1">
        <f t="array" ref="J538">(_xlfn.IFNA((_xlfn.IFS(Baseline!C15="Nieuwe Situatie",(50),Baseline!C15="Bestaande Situatie",(50))),0)*Baseline!Q15)*Baseline!R15</f>
        <v>0</v>
      </c>
      <c r="K538" s="133">
        <f>IF(Referentie_Transport_Totaal[[#This Row],[Emissieloos Transport naar bouwplaats?]]="JA",Referentie_Transport_Totaal[[#This Row],[Transport naar bouwplaats Vervangingen '[tkm']]],0)+IF(Referentie_Transport_Totaal[[#This Row],[Emissieloos Transport naar verwerker?]]="JA",Referentie_Transport_Totaal[[#This Row],[Transport naar verwerker Vervangingen '[tkm']]],0)</f>
        <v>0</v>
      </c>
      <c r="L538" s="133">
        <f>Referentie_Transport_Totaal[[#This Row],[Emissieloos Transport]]+Referentie_Transport_Totaal[[#This Row],[Emissieloos Transport Vervangingen]]</f>
        <v>0</v>
      </c>
      <c r="M538" s="133">
        <f>(Referentie_Transport_Totaal[[#This Row],[Transport naar bouwplaats '[tkm']]]+Referentie_Transport_Totaal[[#This Row],[Transport naar verwerker '[tkm']]]+Referentie_Transport_Totaal[[#This Row],[Transport naar bouwplaats Vervangingen '[tkm']]]+Referentie_Transport_Totaal[[#This Row],[Transport naar verwerker Vervangingen '[tkm']]])-Referentie_Transport_Totaal[[#This Row],[Totaal Emissieloos Transport]]</f>
        <v>44850</v>
      </c>
      <c r="N538" s="133">
        <f>Referentie_Transport_Totaal[[#This Row],[Totaal Emissieloos Transport]]+Referentie_Transport_Totaal[[#This Row],[Totaal Niet Emissieloos Transport]]</f>
        <v>44850</v>
      </c>
      <c r="O538" s="13"/>
      <c r="P538" s="13"/>
      <c r="Q538" s="13"/>
      <c r="R538" s="13"/>
      <c r="S538" s="13"/>
    </row>
    <row r="539" spans="2:19">
      <c r="B539" s="209" t="str">
        <f>Baseline!B16</f>
        <v>121520 - Opbreken fundering van slakken 200-400 mm dik</v>
      </c>
      <c r="C539" s="51" t="str">
        <f>Baseline!F16</f>
        <v>Fosforslakmengsel 200mm</v>
      </c>
      <c r="D539" s="93">
        <f>(IF(Baseline!C16="Nieuwe situatie",(Baseline!S16),0)*Baseline!Q16)</f>
        <v>0</v>
      </c>
      <c r="E539" s="98">
        <f>(IF(Baseline!C16="Bestaande situatie",(Baseline!AC16),0)*Baseline!Q16)</f>
        <v>19600.000000000004</v>
      </c>
      <c r="F539" s="94" t="str">
        <f>_xlfn.IFNA(VLOOKUP(Baseline!T16,Database_Transport[],60,FALSE),"Nee")</f>
        <v>Nee</v>
      </c>
      <c r="G539" s="94" t="str">
        <f>_xlfn.IFNA(VLOOKUP(Baseline!AC16,Database_Transport[],60,FALSE),"Nee")</f>
        <v>Nee</v>
      </c>
      <c r="H539" s="124">
        <f>IF(Referentie_Transport_Totaal[[#This Row],[Emissieloos Transport naar bouwplaats?]]="JA",Referentie_Transport_Totaal[[#This Row],[Transport naar bouwplaats '[tkm']]],0)+IF(Referentie_Transport_Totaal[[#This Row],[Emissieloos Transport naar verwerker?]]="JA",Referentie_Transport_Totaal[[#This Row],[Transport naar verwerker '[tkm']]],0)</f>
        <v>0</v>
      </c>
      <c r="I539" s="133" cm="1">
        <f t="array" ref="I539">_xlfn.IFNA((_xlfn.IFS(Baseline!C16="Nieuwe Situatie",(50),Baseline!C16="Bestaande Situatie",(0))),0)*Baseline!Q16*Baseline!R16</f>
        <v>0</v>
      </c>
      <c r="J539" s="133" cm="1">
        <f t="array" ref="J539">(_xlfn.IFNA((_xlfn.IFS(Baseline!C16="Nieuwe Situatie",(50),Baseline!C16="Bestaande Situatie",(50))),0)*Baseline!Q16)*Baseline!R16</f>
        <v>0</v>
      </c>
      <c r="K539" s="133">
        <f>IF(Referentie_Transport_Totaal[[#This Row],[Emissieloos Transport naar bouwplaats?]]="JA",Referentie_Transport_Totaal[[#This Row],[Transport naar bouwplaats Vervangingen '[tkm']]],0)+IF(Referentie_Transport_Totaal[[#This Row],[Emissieloos Transport naar verwerker?]]="JA",Referentie_Transport_Totaal[[#This Row],[Transport naar verwerker Vervangingen '[tkm']]],0)</f>
        <v>0</v>
      </c>
      <c r="L539" s="133">
        <f>Referentie_Transport_Totaal[[#This Row],[Emissieloos Transport]]+Referentie_Transport_Totaal[[#This Row],[Emissieloos Transport Vervangingen]]</f>
        <v>0</v>
      </c>
      <c r="M539" s="133">
        <f>(Referentie_Transport_Totaal[[#This Row],[Transport naar bouwplaats '[tkm']]]+Referentie_Transport_Totaal[[#This Row],[Transport naar verwerker '[tkm']]]+Referentie_Transport_Totaal[[#This Row],[Transport naar bouwplaats Vervangingen '[tkm']]]+Referentie_Transport_Totaal[[#This Row],[Transport naar verwerker Vervangingen '[tkm']]])-Referentie_Transport_Totaal[[#This Row],[Totaal Emissieloos Transport]]</f>
        <v>19600.000000000004</v>
      </c>
      <c r="N539" s="133">
        <f>Referentie_Transport_Totaal[[#This Row],[Totaal Emissieloos Transport]]+Referentie_Transport_Totaal[[#This Row],[Totaal Niet Emissieloos Transport]]</f>
        <v>19600.000000000004</v>
      </c>
      <c r="O539" s="13"/>
      <c r="P539" s="13"/>
      <c r="Q539" s="13"/>
      <c r="R539" s="13"/>
      <c r="S539" s="13"/>
    </row>
    <row r="540" spans="2:19">
      <c r="B540" s="209" t="str">
        <f>Baseline!B17</f>
        <v>121310 - Verwijderen en afvoeren kolken, incl aansluitingen</v>
      </c>
      <c r="C540" s="51" t="str">
        <f>Baseline!F17</f>
        <v>Kolk, Staal &amp; Beton</v>
      </c>
      <c r="D540" s="93">
        <f>(IF(Baseline!C17="Nieuwe situatie",(Baseline!S17),0)*Baseline!Q17)</f>
        <v>0</v>
      </c>
      <c r="E540" s="98">
        <f>(IF(Baseline!C17="Bestaande situatie",(Baseline!AC17),0)*Baseline!Q17)</f>
        <v>819.47360000000003</v>
      </c>
      <c r="F540" s="94" t="str">
        <f>_xlfn.IFNA(VLOOKUP(Baseline!T17,Database_Transport[],60,FALSE),"Nee")</f>
        <v>Nee</v>
      </c>
      <c r="G540" s="94" t="str">
        <f>_xlfn.IFNA(VLOOKUP(Baseline!AC17,Database_Transport[],60,FALSE),"Nee")</f>
        <v>Nee</v>
      </c>
      <c r="H540" s="124">
        <f>IF(Referentie_Transport_Totaal[[#This Row],[Emissieloos Transport naar bouwplaats?]]="JA",Referentie_Transport_Totaal[[#This Row],[Transport naar bouwplaats '[tkm']]],0)+IF(Referentie_Transport_Totaal[[#This Row],[Emissieloos Transport naar verwerker?]]="JA",Referentie_Transport_Totaal[[#This Row],[Transport naar verwerker '[tkm']]],0)</f>
        <v>0</v>
      </c>
      <c r="I540" s="133" cm="1">
        <f t="array" ref="I540">_xlfn.IFNA((_xlfn.IFS(Baseline!C17="Nieuwe Situatie",(50),Baseline!C17="Bestaande Situatie",(0))),0)*Baseline!Q17*Baseline!R17</f>
        <v>0</v>
      </c>
      <c r="J540" s="133" cm="1">
        <f t="array" ref="J540">(_xlfn.IFNA((_xlfn.IFS(Baseline!C17="Nieuwe Situatie",(50),Baseline!C17="Bestaande Situatie",(50))),0)*Baseline!Q17)*Baseline!R17</f>
        <v>0</v>
      </c>
      <c r="K540" s="133">
        <f>IF(Referentie_Transport_Totaal[[#This Row],[Emissieloos Transport naar bouwplaats?]]="JA",Referentie_Transport_Totaal[[#This Row],[Transport naar bouwplaats Vervangingen '[tkm']]],0)+IF(Referentie_Transport_Totaal[[#This Row],[Emissieloos Transport naar verwerker?]]="JA",Referentie_Transport_Totaal[[#This Row],[Transport naar verwerker Vervangingen '[tkm']]],0)</f>
        <v>0</v>
      </c>
      <c r="L540" s="133">
        <f>Referentie_Transport_Totaal[[#This Row],[Emissieloos Transport]]+Referentie_Transport_Totaal[[#This Row],[Emissieloos Transport Vervangingen]]</f>
        <v>0</v>
      </c>
      <c r="M540" s="133">
        <f>(Referentie_Transport_Totaal[[#This Row],[Transport naar bouwplaats '[tkm']]]+Referentie_Transport_Totaal[[#This Row],[Transport naar verwerker '[tkm']]]+Referentie_Transport_Totaal[[#This Row],[Transport naar bouwplaats Vervangingen '[tkm']]]+Referentie_Transport_Totaal[[#This Row],[Transport naar verwerker Vervangingen '[tkm']]])-Referentie_Transport_Totaal[[#This Row],[Totaal Emissieloos Transport]]</f>
        <v>819.47360000000003</v>
      </c>
      <c r="N540" s="133">
        <f>Referentie_Transport_Totaal[[#This Row],[Totaal Emissieloos Transport]]+Referentie_Transport_Totaal[[#This Row],[Totaal Niet Emissieloos Transport]]</f>
        <v>819.47360000000003</v>
      </c>
      <c r="O540" s="13"/>
      <c r="P540" s="13"/>
      <c r="Q540" s="13"/>
      <c r="R540" s="13"/>
      <c r="S540" s="13"/>
    </row>
    <row r="541" spans="2:19">
      <c r="B541" s="209" t="str">
        <f>Baseline!B18</f>
        <v>210010 - Grond ontgraven uit cunet wegen en parkeervakken 0,25 m</v>
      </c>
      <c r="C541" s="51" t="str">
        <f>Baseline!F18</f>
        <v>Ophoogmateriaal (Grond)</v>
      </c>
      <c r="D541" s="93">
        <f>(IF(Baseline!C18="Nieuwe situatie",(Baseline!S18),0)*Baseline!Q18)</f>
        <v>0</v>
      </c>
      <c r="E541" s="98">
        <f>(IF(Baseline!C18="Bestaande situatie",(Baseline!AC18),0)*Baseline!Q18)</f>
        <v>163150</v>
      </c>
      <c r="F541" s="94" t="str">
        <f>_xlfn.IFNA(VLOOKUP(Baseline!T18,Database_Transport[],60,FALSE),"Nee")</f>
        <v>Nee</v>
      </c>
      <c r="G541" s="94" t="str">
        <f>_xlfn.IFNA(VLOOKUP(Baseline!AC18,Database_Transport[],60,FALSE),"Nee")</f>
        <v>Nee</v>
      </c>
      <c r="H541" s="124">
        <f>IF(Referentie_Transport_Totaal[[#This Row],[Emissieloos Transport naar bouwplaats?]]="JA",Referentie_Transport_Totaal[[#This Row],[Transport naar bouwplaats '[tkm']]],0)+IF(Referentie_Transport_Totaal[[#This Row],[Emissieloos Transport naar verwerker?]]="JA",Referentie_Transport_Totaal[[#This Row],[Transport naar verwerker '[tkm']]],0)</f>
        <v>0</v>
      </c>
      <c r="I541" s="133" cm="1">
        <f t="array" ref="I541">_xlfn.IFNA((_xlfn.IFS(Baseline!C18="Nieuwe Situatie",(50),Baseline!C18="Bestaande Situatie",(0))),0)*Baseline!Q18*Baseline!R18</f>
        <v>0</v>
      </c>
      <c r="J541" s="133" cm="1">
        <f t="array" ref="J541">(_xlfn.IFNA((_xlfn.IFS(Baseline!C18="Nieuwe Situatie",(50),Baseline!C18="Bestaande Situatie",(50))),0)*Baseline!Q18)*Baseline!R18</f>
        <v>0</v>
      </c>
      <c r="K541" s="133">
        <f>IF(Referentie_Transport_Totaal[[#This Row],[Emissieloos Transport naar bouwplaats?]]="JA",Referentie_Transport_Totaal[[#This Row],[Transport naar bouwplaats Vervangingen '[tkm']]],0)+IF(Referentie_Transport_Totaal[[#This Row],[Emissieloos Transport naar verwerker?]]="JA",Referentie_Transport_Totaal[[#This Row],[Transport naar verwerker Vervangingen '[tkm']]],0)</f>
        <v>0</v>
      </c>
      <c r="L541" s="133">
        <f>Referentie_Transport_Totaal[[#This Row],[Emissieloos Transport]]+Referentie_Transport_Totaal[[#This Row],[Emissieloos Transport Vervangingen]]</f>
        <v>0</v>
      </c>
      <c r="M541" s="133">
        <f>(Referentie_Transport_Totaal[[#This Row],[Transport naar bouwplaats '[tkm']]]+Referentie_Transport_Totaal[[#This Row],[Transport naar verwerker '[tkm']]]+Referentie_Transport_Totaal[[#This Row],[Transport naar bouwplaats Vervangingen '[tkm']]]+Referentie_Transport_Totaal[[#This Row],[Transport naar verwerker Vervangingen '[tkm']]])-Referentie_Transport_Totaal[[#This Row],[Totaal Emissieloos Transport]]</f>
        <v>163150</v>
      </c>
      <c r="N541" s="133">
        <f>Referentie_Transport_Totaal[[#This Row],[Totaal Emissieloos Transport]]+Referentie_Transport_Totaal[[#This Row],[Totaal Niet Emissieloos Transport]]</f>
        <v>163150</v>
      </c>
      <c r="O541" s="13"/>
      <c r="P541" s="13"/>
      <c r="Q541" s="13"/>
      <c r="R541" s="13"/>
      <c r="S541" s="13"/>
    </row>
    <row r="542" spans="2:19">
      <c r="B542" s="209" t="str">
        <f>Baseline!B19</f>
        <v>210020 - Grond ontgraven uit sleuf riolering (gerekend met 11,5m3/m1 riool)</v>
      </c>
      <c r="C542" s="51" t="str">
        <f>Baseline!F19</f>
        <v>Ophoogmateriaal (Grond)</v>
      </c>
      <c r="D542" s="93">
        <f>(IF(Baseline!C19="Nieuwe situatie",(Baseline!S19),0)*Baseline!Q19)</f>
        <v>0</v>
      </c>
      <c r="E542" s="98">
        <f>(IF(Baseline!C19="Bestaande situatie",(Baseline!AC19),0)*Baseline!Q19)</f>
        <v>153562.5</v>
      </c>
      <c r="F542" s="94" t="str">
        <f>_xlfn.IFNA(VLOOKUP(Baseline!T19,Database_Transport[],60,FALSE),"Nee")</f>
        <v>Nee</v>
      </c>
      <c r="G542" s="94" t="str">
        <f>_xlfn.IFNA(VLOOKUP(Baseline!AC19,Database_Transport[],60,FALSE),"Nee")</f>
        <v>Nee</v>
      </c>
      <c r="H542" s="124">
        <f>IF(Referentie_Transport_Totaal[[#This Row],[Emissieloos Transport naar bouwplaats?]]="JA",Referentie_Transport_Totaal[[#This Row],[Transport naar bouwplaats '[tkm']]],0)+IF(Referentie_Transport_Totaal[[#This Row],[Emissieloos Transport naar verwerker?]]="JA",Referentie_Transport_Totaal[[#This Row],[Transport naar verwerker '[tkm']]],0)</f>
        <v>0</v>
      </c>
      <c r="I542" s="133" cm="1">
        <f t="array" ref="I542">_xlfn.IFNA((_xlfn.IFS(Baseline!C19="Nieuwe Situatie",(50),Baseline!C19="Bestaande Situatie",(0))),0)*Baseline!Q19*Baseline!R19</f>
        <v>0</v>
      </c>
      <c r="J542" s="133" cm="1">
        <f t="array" ref="J542">(_xlfn.IFNA((_xlfn.IFS(Baseline!C19="Nieuwe Situatie",(50),Baseline!C19="Bestaande Situatie",(50))),0)*Baseline!Q19)*Baseline!R19</f>
        <v>0</v>
      </c>
      <c r="K542" s="133">
        <f>IF(Referentie_Transport_Totaal[[#This Row],[Emissieloos Transport naar bouwplaats?]]="JA",Referentie_Transport_Totaal[[#This Row],[Transport naar bouwplaats Vervangingen '[tkm']]],0)+IF(Referentie_Transport_Totaal[[#This Row],[Emissieloos Transport naar verwerker?]]="JA",Referentie_Transport_Totaal[[#This Row],[Transport naar verwerker Vervangingen '[tkm']]],0)</f>
        <v>0</v>
      </c>
      <c r="L542" s="133">
        <f>Referentie_Transport_Totaal[[#This Row],[Emissieloos Transport]]+Referentie_Transport_Totaal[[#This Row],[Emissieloos Transport Vervangingen]]</f>
        <v>0</v>
      </c>
      <c r="M542" s="133">
        <f>(Referentie_Transport_Totaal[[#This Row],[Transport naar bouwplaats '[tkm']]]+Referentie_Transport_Totaal[[#This Row],[Transport naar verwerker '[tkm']]]+Referentie_Transport_Totaal[[#This Row],[Transport naar bouwplaats Vervangingen '[tkm']]]+Referentie_Transport_Totaal[[#This Row],[Transport naar verwerker Vervangingen '[tkm']]])-Referentie_Transport_Totaal[[#This Row],[Totaal Emissieloos Transport]]</f>
        <v>153562.5</v>
      </c>
      <c r="N542" s="133">
        <f>Referentie_Transport_Totaal[[#This Row],[Totaal Emissieloos Transport]]+Referentie_Transport_Totaal[[#This Row],[Totaal Niet Emissieloos Transport]]</f>
        <v>153562.5</v>
      </c>
      <c r="O542" s="13"/>
      <c r="P542" s="13"/>
      <c r="Q542" s="13"/>
      <c r="R542" s="13"/>
      <c r="S542" s="13"/>
    </row>
    <row r="543" spans="2:19">
      <c r="B543" s="209" t="str">
        <f>Baseline!B20</f>
        <v>210030 - Grond ontgraven uit plantvak</v>
      </c>
      <c r="C543" s="51" t="str">
        <f>Baseline!F20</f>
        <v>Ophoogmateriaal (Grond)</v>
      </c>
      <c r="D543" s="93">
        <f>(IF(Baseline!C20="Nieuwe situatie",(Baseline!S20),0)*Baseline!Q20)</f>
        <v>0</v>
      </c>
      <c r="E543" s="98">
        <f>(IF(Baseline!C20="Bestaande situatie",(Baseline!AC20),0)*Baseline!Q20)</f>
        <v>152230</v>
      </c>
      <c r="F543" s="94" t="str">
        <f>_xlfn.IFNA(VLOOKUP(Baseline!T20,Database_Transport[],60,FALSE),"Nee")</f>
        <v>Nee</v>
      </c>
      <c r="G543" s="94" t="str">
        <f>_xlfn.IFNA(VLOOKUP(Baseline!AC20,Database_Transport[],60,FALSE),"Nee")</f>
        <v>Nee</v>
      </c>
      <c r="H543" s="124">
        <f>IF(Referentie_Transport_Totaal[[#This Row],[Emissieloos Transport naar bouwplaats?]]="JA",Referentie_Transport_Totaal[[#This Row],[Transport naar bouwplaats '[tkm']]],0)+IF(Referentie_Transport_Totaal[[#This Row],[Emissieloos Transport naar verwerker?]]="JA",Referentie_Transport_Totaal[[#This Row],[Transport naar verwerker '[tkm']]],0)</f>
        <v>0</v>
      </c>
      <c r="I543" s="133" cm="1">
        <f t="array" ref="I543">_xlfn.IFNA((_xlfn.IFS(Baseline!C20="Nieuwe Situatie",(50),Baseline!C20="Bestaande Situatie",(0))),0)*Baseline!Q20*Baseline!R20</f>
        <v>0</v>
      </c>
      <c r="J543" s="133" cm="1">
        <f t="array" ref="J543">(_xlfn.IFNA((_xlfn.IFS(Baseline!C20="Nieuwe Situatie",(50),Baseline!C20="Bestaande Situatie",(50))),0)*Baseline!Q20)*Baseline!R20</f>
        <v>0</v>
      </c>
      <c r="K543" s="133">
        <f>IF(Referentie_Transport_Totaal[[#This Row],[Emissieloos Transport naar bouwplaats?]]="JA",Referentie_Transport_Totaal[[#This Row],[Transport naar bouwplaats Vervangingen '[tkm']]],0)+IF(Referentie_Transport_Totaal[[#This Row],[Emissieloos Transport naar verwerker?]]="JA",Referentie_Transport_Totaal[[#This Row],[Transport naar verwerker Vervangingen '[tkm']]],0)</f>
        <v>0</v>
      </c>
      <c r="L543" s="133">
        <f>Referentie_Transport_Totaal[[#This Row],[Emissieloos Transport]]+Referentie_Transport_Totaal[[#This Row],[Emissieloos Transport Vervangingen]]</f>
        <v>0</v>
      </c>
      <c r="M543" s="133">
        <f>(Referentie_Transport_Totaal[[#This Row],[Transport naar bouwplaats '[tkm']]]+Referentie_Transport_Totaal[[#This Row],[Transport naar verwerker '[tkm']]]+Referentie_Transport_Totaal[[#This Row],[Transport naar bouwplaats Vervangingen '[tkm']]]+Referentie_Transport_Totaal[[#This Row],[Transport naar verwerker Vervangingen '[tkm']]])-Referentie_Transport_Totaal[[#This Row],[Totaal Emissieloos Transport]]</f>
        <v>152230</v>
      </c>
      <c r="N543" s="133">
        <f>Referentie_Transport_Totaal[[#This Row],[Totaal Emissieloos Transport]]+Referentie_Transport_Totaal[[#This Row],[Totaal Niet Emissieloos Transport]]</f>
        <v>152230</v>
      </c>
      <c r="O543" s="13"/>
      <c r="P543" s="13"/>
      <c r="Q543" s="13"/>
      <c r="R543" s="13"/>
      <c r="S543" s="13"/>
    </row>
    <row r="544" spans="2:19">
      <c r="B544" s="209" t="str">
        <f>Baseline!B21</f>
        <v>220010 - Grond verwerken in sleuf riolering</v>
      </c>
      <c r="C544" s="51" t="str">
        <f>Baseline!F21</f>
        <v>Ophoogmateriaal (Grond)</v>
      </c>
      <c r="D544" s="93">
        <f>(IF(Baseline!C21="Nieuwe situatie",(Baseline!S21),0)*Baseline!Q21)</f>
        <v>153562.5</v>
      </c>
      <c r="E544" s="98">
        <f>(IF(Baseline!C21="Bestaande situatie",(Baseline!AC21),0)*Baseline!Q21)</f>
        <v>0</v>
      </c>
      <c r="F544" s="94" t="str">
        <f>_xlfn.IFNA(VLOOKUP(Baseline!T21,Database_Transport[],60,FALSE),"Nee")</f>
        <v>Nee</v>
      </c>
      <c r="G544" s="94" t="str">
        <f>_xlfn.IFNA(VLOOKUP(Baseline!AC21,Database_Transport[],60,FALSE),"Nee")</f>
        <v>Nee</v>
      </c>
      <c r="H544" s="124">
        <f>IF(Referentie_Transport_Totaal[[#This Row],[Emissieloos Transport naar bouwplaats?]]="JA",Referentie_Transport_Totaal[[#This Row],[Transport naar bouwplaats '[tkm']]],0)+IF(Referentie_Transport_Totaal[[#This Row],[Emissieloos Transport naar verwerker?]]="JA",Referentie_Transport_Totaal[[#This Row],[Transport naar verwerker '[tkm']]],0)</f>
        <v>0</v>
      </c>
      <c r="I544" s="133" cm="1">
        <f t="array" ref="I544">_xlfn.IFNA((_xlfn.IFS(Baseline!C21="Nieuwe Situatie",(50),Baseline!C21="Bestaande Situatie",(0))),0)*Baseline!Q21*Baseline!R21</f>
        <v>0</v>
      </c>
      <c r="J544" s="133" cm="1">
        <f t="array" ref="J544">(_xlfn.IFNA((_xlfn.IFS(Baseline!C21="Nieuwe Situatie",(50),Baseline!C21="Bestaande Situatie",(50))),0)*Baseline!Q21)*Baseline!R21</f>
        <v>0</v>
      </c>
      <c r="K544" s="133">
        <f>IF(Referentie_Transport_Totaal[[#This Row],[Emissieloos Transport naar bouwplaats?]]="JA",Referentie_Transport_Totaal[[#This Row],[Transport naar bouwplaats Vervangingen '[tkm']]],0)+IF(Referentie_Transport_Totaal[[#This Row],[Emissieloos Transport naar verwerker?]]="JA",Referentie_Transport_Totaal[[#This Row],[Transport naar verwerker Vervangingen '[tkm']]],0)</f>
        <v>0</v>
      </c>
      <c r="L544" s="133">
        <f>Referentie_Transport_Totaal[[#This Row],[Emissieloos Transport]]+Referentie_Transport_Totaal[[#This Row],[Emissieloos Transport Vervangingen]]</f>
        <v>0</v>
      </c>
      <c r="M544" s="133">
        <f>(Referentie_Transport_Totaal[[#This Row],[Transport naar bouwplaats '[tkm']]]+Referentie_Transport_Totaal[[#This Row],[Transport naar verwerker '[tkm']]]+Referentie_Transport_Totaal[[#This Row],[Transport naar bouwplaats Vervangingen '[tkm']]]+Referentie_Transport_Totaal[[#This Row],[Transport naar verwerker Vervangingen '[tkm']]])-Referentie_Transport_Totaal[[#This Row],[Totaal Emissieloos Transport]]</f>
        <v>153562.5</v>
      </c>
      <c r="N544" s="133">
        <f>Referentie_Transport_Totaal[[#This Row],[Totaal Emissieloos Transport]]+Referentie_Transport_Totaal[[#This Row],[Totaal Niet Emissieloos Transport]]</f>
        <v>153562.5</v>
      </c>
      <c r="O544" s="13"/>
      <c r="P544" s="13"/>
      <c r="Q544" s="13"/>
      <c r="R544" s="13"/>
      <c r="S544" s="13"/>
    </row>
    <row r="545" spans="2:19">
      <c r="B545" s="209" t="str">
        <f>Baseline!B22</f>
        <v>220020 - Leveren en aanbrengen zand voor zand (gemiddeld 100 mm)</v>
      </c>
      <c r="C545" s="51" t="str">
        <f>Baseline!F22</f>
        <v>Ophoogmateriaal (Zand)</v>
      </c>
      <c r="D545" s="93">
        <f>(IF(Baseline!C22="Nieuwe situatie",(Baseline!S22),0)*Baseline!Q22)</f>
        <v>73500</v>
      </c>
      <c r="E545" s="98">
        <f>(IF(Baseline!C22="Bestaande situatie",(Baseline!AC22),0)*Baseline!Q22)</f>
        <v>0</v>
      </c>
      <c r="F545" s="94" t="str">
        <f>_xlfn.IFNA(VLOOKUP(Baseline!T22,Database_Transport[],60,FALSE),"Nee")</f>
        <v>Nee</v>
      </c>
      <c r="G545" s="94" t="str">
        <f>_xlfn.IFNA(VLOOKUP(Baseline!AC22,Database_Transport[],60,FALSE),"Nee")</f>
        <v>Nee</v>
      </c>
      <c r="H545" s="124">
        <f>IF(Referentie_Transport_Totaal[[#This Row],[Emissieloos Transport naar bouwplaats?]]="JA",Referentie_Transport_Totaal[[#This Row],[Transport naar bouwplaats '[tkm']]],0)+IF(Referentie_Transport_Totaal[[#This Row],[Emissieloos Transport naar verwerker?]]="JA",Referentie_Transport_Totaal[[#This Row],[Transport naar verwerker '[tkm']]],0)</f>
        <v>0</v>
      </c>
      <c r="I545" s="133" cm="1">
        <f t="array" ref="I545">_xlfn.IFNA((_xlfn.IFS(Baseline!C22="Nieuwe Situatie",(50),Baseline!C22="Bestaande Situatie",(0))),0)*Baseline!Q22*Baseline!R22</f>
        <v>0</v>
      </c>
      <c r="J545" s="133" cm="1">
        <f t="array" ref="J545">(_xlfn.IFNA((_xlfn.IFS(Baseline!C22="Nieuwe Situatie",(50),Baseline!C22="Bestaande Situatie",(50))),0)*Baseline!Q22)*Baseline!R22</f>
        <v>0</v>
      </c>
      <c r="K545" s="133">
        <f>IF(Referentie_Transport_Totaal[[#This Row],[Emissieloos Transport naar bouwplaats?]]="JA",Referentie_Transport_Totaal[[#This Row],[Transport naar bouwplaats Vervangingen '[tkm']]],0)+IF(Referentie_Transport_Totaal[[#This Row],[Emissieloos Transport naar verwerker?]]="JA",Referentie_Transport_Totaal[[#This Row],[Transport naar verwerker Vervangingen '[tkm']]],0)</f>
        <v>0</v>
      </c>
      <c r="L545" s="133">
        <f>Referentie_Transport_Totaal[[#This Row],[Emissieloos Transport]]+Referentie_Transport_Totaal[[#This Row],[Emissieloos Transport Vervangingen]]</f>
        <v>0</v>
      </c>
      <c r="M545" s="133">
        <f>(Referentie_Transport_Totaal[[#This Row],[Transport naar bouwplaats '[tkm']]]+Referentie_Transport_Totaal[[#This Row],[Transport naar verwerker '[tkm']]]+Referentie_Transport_Totaal[[#This Row],[Transport naar bouwplaats Vervangingen '[tkm']]]+Referentie_Transport_Totaal[[#This Row],[Transport naar verwerker Vervangingen '[tkm']]])-Referentie_Transport_Totaal[[#This Row],[Totaal Emissieloos Transport]]</f>
        <v>73500</v>
      </c>
      <c r="N545" s="133">
        <f>Referentie_Transport_Totaal[[#This Row],[Totaal Emissieloos Transport]]+Referentie_Transport_Totaal[[#This Row],[Totaal Niet Emissieloos Transport]]</f>
        <v>73500</v>
      </c>
      <c r="O545" s="13"/>
      <c r="P545" s="13"/>
      <c r="Q545" s="13"/>
      <c r="R545" s="13"/>
      <c r="S545" s="13"/>
    </row>
    <row r="546" spans="2:19">
      <c r="B546" s="209" t="str">
        <f>Baseline!B23</f>
        <v>322020 - Leveren en aanbrengen rioolbuis van Beton Ø400mm</v>
      </c>
      <c r="C546" s="51" t="str">
        <f>Baseline!F23</f>
        <v>Betonbuis 500 mm</v>
      </c>
      <c r="D546" s="93">
        <f>(IF(Baseline!C23="Nieuwe situatie",(Baseline!S23),0)*Baseline!Q23)</f>
        <v>3935.9999999999991</v>
      </c>
      <c r="E546" s="98">
        <f>(IF(Baseline!C23="Bestaande situatie",(Baseline!AC23),0)*Baseline!Q23)</f>
        <v>0</v>
      </c>
      <c r="F546" s="94" t="str">
        <f>_xlfn.IFNA(VLOOKUP(Baseline!T23,Database_Transport[],60,FALSE),"Nee")</f>
        <v>Nee</v>
      </c>
      <c r="G546" s="94" t="str">
        <f>_xlfn.IFNA(VLOOKUP(Baseline!AC23,Database_Transport[],60,FALSE),"Nee")</f>
        <v>Nee</v>
      </c>
      <c r="H546" s="124">
        <f>IF(Referentie_Transport_Totaal[[#This Row],[Emissieloos Transport naar bouwplaats?]]="JA",Referentie_Transport_Totaal[[#This Row],[Transport naar bouwplaats '[tkm']]],0)+IF(Referentie_Transport_Totaal[[#This Row],[Emissieloos Transport naar verwerker?]]="JA",Referentie_Transport_Totaal[[#This Row],[Transport naar verwerker '[tkm']]],0)</f>
        <v>0</v>
      </c>
      <c r="I546" s="133" cm="1">
        <f t="array" ref="I546">_xlfn.IFNA((_xlfn.IFS(Baseline!C23="Nieuwe Situatie",(50),Baseline!C23="Bestaande Situatie",(0))),0)*Baseline!Q23*Baseline!R23</f>
        <v>0</v>
      </c>
      <c r="J546" s="133" cm="1">
        <f t="array" ref="J546">(_xlfn.IFNA((_xlfn.IFS(Baseline!C23="Nieuwe Situatie",(50),Baseline!C23="Bestaande Situatie",(50))),0)*Baseline!Q23)*Baseline!R23</f>
        <v>0</v>
      </c>
      <c r="K546" s="133">
        <f>IF(Referentie_Transport_Totaal[[#This Row],[Emissieloos Transport naar bouwplaats?]]="JA",Referentie_Transport_Totaal[[#This Row],[Transport naar bouwplaats Vervangingen '[tkm']]],0)+IF(Referentie_Transport_Totaal[[#This Row],[Emissieloos Transport naar verwerker?]]="JA",Referentie_Transport_Totaal[[#This Row],[Transport naar verwerker Vervangingen '[tkm']]],0)</f>
        <v>0</v>
      </c>
      <c r="L546" s="133">
        <f>Referentie_Transport_Totaal[[#This Row],[Emissieloos Transport]]+Referentie_Transport_Totaal[[#This Row],[Emissieloos Transport Vervangingen]]</f>
        <v>0</v>
      </c>
      <c r="M546" s="133">
        <f>(Referentie_Transport_Totaal[[#This Row],[Transport naar bouwplaats '[tkm']]]+Referentie_Transport_Totaal[[#This Row],[Transport naar verwerker '[tkm']]]+Referentie_Transport_Totaal[[#This Row],[Transport naar bouwplaats Vervangingen '[tkm']]]+Referentie_Transport_Totaal[[#This Row],[Transport naar verwerker Vervangingen '[tkm']]])-Referentie_Transport_Totaal[[#This Row],[Totaal Emissieloos Transport]]</f>
        <v>3935.9999999999991</v>
      </c>
      <c r="N546" s="133">
        <f>Referentie_Transport_Totaal[[#This Row],[Totaal Emissieloos Transport]]+Referentie_Transport_Totaal[[#This Row],[Totaal Niet Emissieloos Transport]]</f>
        <v>3935.9999999999991</v>
      </c>
      <c r="O546" s="13"/>
      <c r="P546" s="13"/>
      <c r="Q546" s="13"/>
      <c r="R546" s="13"/>
      <c r="S546" s="13"/>
    </row>
    <row r="547" spans="2:19">
      <c r="B547" s="209" t="str">
        <f>Baseline!B24</f>
        <v>322070 - Leveren en aanbrengen rioolbuis van Beton IT Ø400mm</v>
      </c>
      <c r="C547" s="51" t="str">
        <f>Baseline!F24</f>
        <v>Betonbuis 500 mm</v>
      </c>
      <c r="D547" s="93">
        <f>(IF(Baseline!C24="Nieuwe situatie",(Baseline!S24),0)*Baseline!Q24)</f>
        <v>3115.9999999999995</v>
      </c>
      <c r="E547" s="98">
        <f>(IF(Baseline!C24="Bestaande situatie",(Baseline!AC24),0)*Baseline!Q24)</f>
        <v>0</v>
      </c>
      <c r="F547" s="94" t="str">
        <f>_xlfn.IFNA(VLOOKUP(Baseline!T24,Database_Transport[],60,FALSE),"Nee")</f>
        <v>Nee</v>
      </c>
      <c r="G547" s="94" t="str">
        <f>_xlfn.IFNA(VLOOKUP(Baseline!AC24,Database_Transport[],60,FALSE),"Nee")</f>
        <v>Nee</v>
      </c>
      <c r="H547" s="124">
        <f>IF(Referentie_Transport_Totaal[[#This Row],[Emissieloos Transport naar bouwplaats?]]="JA",Referentie_Transport_Totaal[[#This Row],[Transport naar bouwplaats '[tkm']]],0)+IF(Referentie_Transport_Totaal[[#This Row],[Emissieloos Transport naar verwerker?]]="JA",Referentie_Transport_Totaal[[#This Row],[Transport naar verwerker '[tkm']]],0)</f>
        <v>0</v>
      </c>
      <c r="I547" s="133" cm="1">
        <f t="array" ref="I547">_xlfn.IFNA((_xlfn.IFS(Baseline!C24="Nieuwe Situatie",(50),Baseline!C24="Bestaande Situatie",(0))),0)*Baseline!Q24*Baseline!R24</f>
        <v>0</v>
      </c>
      <c r="J547" s="133" cm="1">
        <f t="array" ref="J547">(_xlfn.IFNA((_xlfn.IFS(Baseline!C24="Nieuwe Situatie",(50),Baseline!C24="Bestaande Situatie",(50))),0)*Baseline!Q24)*Baseline!R24</f>
        <v>0</v>
      </c>
      <c r="K547" s="133">
        <f>IF(Referentie_Transport_Totaal[[#This Row],[Emissieloos Transport naar bouwplaats?]]="JA",Referentie_Transport_Totaal[[#This Row],[Transport naar bouwplaats Vervangingen '[tkm']]],0)+IF(Referentie_Transport_Totaal[[#This Row],[Emissieloos Transport naar verwerker?]]="JA",Referentie_Transport_Totaal[[#This Row],[Transport naar verwerker Vervangingen '[tkm']]],0)</f>
        <v>0</v>
      </c>
      <c r="L547" s="133">
        <f>Referentie_Transport_Totaal[[#This Row],[Emissieloos Transport]]+Referentie_Transport_Totaal[[#This Row],[Emissieloos Transport Vervangingen]]</f>
        <v>0</v>
      </c>
      <c r="M547" s="133">
        <f>(Referentie_Transport_Totaal[[#This Row],[Transport naar bouwplaats '[tkm']]]+Referentie_Transport_Totaal[[#This Row],[Transport naar verwerker '[tkm']]]+Referentie_Transport_Totaal[[#This Row],[Transport naar bouwplaats Vervangingen '[tkm']]]+Referentie_Transport_Totaal[[#This Row],[Transport naar verwerker Vervangingen '[tkm']]])-Referentie_Transport_Totaal[[#This Row],[Totaal Emissieloos Transport]]</f>
        <v>3115.9999999999995</v>
      </c>
      <c r="N547" s="133">
        <f>Referentie_Transport_Totaal[[#This Row],[Totaal Emissieloos Transport]]+Referentie_Transport_Totaal[[#This Row],[Totaal Niet Emissieloos Transport]]</f>
        <v>3115.9999999999995</v>
      </c>
      <c r="O547" s="13"/>
      <c r="P547" s="13"/>
      <c r="Q547" s="13"/>
      <c r="R547" s="13"/>
      <c r="S547" s="13"/>
    </row>
    <row r="548" spans="2:19">
      <c r="B548" s="209" t="str">
        <f>Baseline!B25</f>
        <v>322100 - Leveren en aanbrengen rioolbuis van Beton IT Ø800mm</v>
      </c>
      <c r="C548" s="51" t="str">
        <f>Baseline!F25</f>
        <v>Betonbuis 800 mm</v>
      </c>
      <c r="D548" s="93">
        <f>(IF(Baseline!C25="Nieuwe situatie",(Baseline!S25),0)*Baseline!Q25)</f>
        <v>30045.999999999996</v>
      </c>
      <c r="E548" s="98">
        <f>(IF(Baseline!C25="Bestaande situatie",(Baseline!AC25),0)*Baseline!Q25)</f>
        <v>0</v>
      </c>
      <c r="F548" s="94" t="str">
        <f>_xlfn.IFNA(VLOOKUP(Baseline!T25,Database_Transport[],60,FALSE),"Nee")</f>
        <v>Nee</v>
      </c>
      <c r="G548" s="94" t="str">
        <f>_xlfn.IFNA(VLOOKUP(Baseline!AC25,Database_Transport[],60,FALSE),"Nee")</f>
        <v>Nee</v>
      </c>
      <c r="H548" s="124">
        <f>IF(Referentie_Transport_Totaal[[#This Row],[Emissieloos Transport naar bouwplaats?]]="JA",Referentie_Transport_Totaal[[#This Row],[Transport naar bouwplaats '[tkm']]],0)+IF(Referentie_Transport_Totaal[[#This Row],[Emissieloos Transport naar verwerker?]]="JA",Referentie_Transport_Totaal[[#This Row],[Transport naar verwerker '[tkm']]],0)</f>
        <v>0</v>
      </c>
      <c r="I548" s="133" cm="1">
        <f t="array" ref="I548">_xlfn.IFNA((_xlfn.IFS(Baseline!C25="Nieuwe Situatie",(50),Baseline!C25="Bestaande Situatie",(0))),0)*Baseline!Q25*Baseline!R25</f>
        <v>0</v>
      </c>
      <c r="J548" s="133" cm="1">
        <f t="array" ref="J548">(_xlfn.IFNA((_xlfn.IFS(Baseline!C25="Nieuwe Situatie",(50),Baseline!C25="Bestaande Situatie",(50))),0)*Baseline!Q25)*Baseline!R25</f>
        <v>0</v>
      </c>
      <c r="K548" s="133">
        <f>IF(Referentie_Transport_Totaal[[#This Row],[Emissieloos Transport naar bouwplaats?]]="JA",Referentie_Transport_Totaal[[#This Row],[Transport naar bouwplaats Vervangingen '[tkm']]],0)+IF(Referentie_Transport_Totaal[[#This Row],[Emissieloos Transport naar verwerker?]]="JA",Referentie_Transport_Totaal[[#This Row],[Transport naar verwerker Vervangingen '[tkm']]],0)</f>
        <v>0</v>
      </c>
      <c r="L548" s="133">
        <f>Referentie_Transport_Totaal[[#This Row],[Emissieloos Transport]]+Referentie_Transport_Totaal[[#This Row],[Emissieloos Transport Vervangingen]]</f>
        <v>0</v>
      </c>
      <c r="M548" s="133">
        <f>(Referentie_Transport_Totaal[[#This Row],[Transport naar bouwplaats '[tkm']]]+Referentie_Transport_Totaal[[#This Row],[Transport naar verwerker '[tkm']]]+Referentie_Transport_Totaal[[#This Row],[Transport naar bouwplaats Vervangingen '[tkm']]]+Referentie_Transport_Totaal[[#This Row],[Transport naar verwerker Vervangingen '[tkm']]])-Referentie_Transport_Totaal[[#This Row],[Totaal Emissieloos Transport]]</f>
        <v>30045.999999999996</v>
      </c>
      <c r="N548" s="133">
        <f>Referentie_Transport_Totaal[[#This Row],[Totaal Emissieloos Transport]]+Referentie_Transport_Totaal[[#This Row],[Totaal Niet Emissieloos Transport]]</f>
        <v>30045.999999999996</v>
      </c>
      <c r="O548" s="13"/>
      <c r="P548" s="13"/>
      <c r="Q548" s="13"/>
      <c r="R548" s="13"/>
      <c r="S548" s="13"/>
    </row>
    <row r="549" spans="2:19">
      <c r="B549" s="209" t="str">
        <f>Baseline!B26</f>
        <v>330010 - Leveren en aanbrengen kolken</v>
      </c>
      <c r="C549" s="51" t="str">
        <f>Baseline!F26</f>
        <v>Kolk, Staal &amp; Beton</v>
      </c>
      <c r="D549" s="93">
        <f>(IF(Baseline!C26="Nieuwe situatie",(Baseline!S26),0)*Baseline!Q26)</f>
        <v>2048.6840000000002</v>
      </c>
      <c r="E549" s="98">
        <f>(IF(Baseline!C26="Bestaande situatie",(Baseline!AC26),0)*Baseline!Q26)</f>
        <v>0</v>
      </c>
      <c r="F549" s="94" t="str">
        <f>_xlfn.IFNA(VLOOKUP(Baseline!T26,Database_Transport[],60,FALSE),"Nee")</f>
        <v>Nee</v>
      </c>
      <c r="G549" s="94" t="str">
        <f>_xlfn.IFNA(VLOOKUP(Baseline!AC26,Database_Transport[],60,FALSE),"Nee")</f>
        <v>Nee</v>
      </c>
      <c r="H549" s="124">
        <f>IF(Referentie_Transport_Totaal[[#This Row],[Emissieloos Transport naar bouwplaats?]]="JA",Referentie_Transport_Totaal[[#This Row],[Transport naar bouwplaats '[tkm']]],0)+IF(Referentie_Transport_Totaal[[#This Row],[Emissieloos Transport naar verwerker?]]="JA",Referentie_Transport_Totaal[[#This Row],[Transport naar verwerker '[tkm']]],0)</f>
        <v>0</v>
      </c>
      <c r="I549" s="133" cm="1">
        <f t="array" ref="I549">_xlfn.IFNA((_xlfn.IFS(Baseline!C26="Nieuwe Situatie",(50),Baseline!C26="Bestaande Situatie",(0))),0)*Baseline!Q26*Baseline!R26</f>
        <v>0</v>
      </c>
      <c r="J549" s="133" cm="1">
        <f t="array" ref="J549">(_xlfn.IFNA((_xlfn.IFS(Baseline!C26="Nieuwe Situatie",(50),Baseline!C26="Bestaande Situatie",(50))),0)*Baseline!Q26)*Baseline!R26</f>
        <v>0</v>
      </c>
      <c r="K549" s="133">
        <f>IF(Referentie_Transport_Totaal[[#This Row],[Emissieloos Transport naar bouwplaats?]]="JA",Referentie_Transport_Totaal[[#This Row],[Transport naar bouwplaats Vervangingen '[tkm']]],0)+IF(Referentie_Transport_Totaal[[#This Row],[Emissieloos Transport naar verwerker?]]="JA",Referentie_Transport_Totaal[[#This Row],[Transport naar verwerker Vervangingen '[tkm']]],0)</f>
        <v>0</v>
      </c>
      <c r="L549" s="133">
        <f>Referentie_Transport_Totaal[[#This Row],[Emissieloos Transport]]+Referentie_Transport_Totaal[[#This Row],[Emissieloos Transport Vervangingen]]</f>
        <v>0</v>
      </c>
      <c r="M549" s="133">
        <f>(Referentie_Transport_Totaal[[#This Row],[Transport naar bouwplaats '[tkm']]]+Referentie_Transport_Totaal[[#This Row],[Transport naar verwerker '[tkm']]]+Referentie_Transport_Totaal[[#This Row],[Transport naar bouwplaats Vervangingen '[tkm']]]+Referentie_Transport_Totaal[[#This Row],[Transport naar verwerker Vervangingen '[tkm']]])-Referentie_Transport_Totaal[[#This Row],[Totaal Emissieloos Transport]]</f>
        <v>2048.6840000000002</v>
      </c>
      <c r="N549" s="133">
        <f>Referentie_Transport_Totaal[[#This Row],[Totaal Emissieloos Transport]]+Referentie_Transport_Totaal[[#This Row],[Totaal Niet Emissieloos Transport]]</f>
        <v>2048.6840000000002</v>
      </c>
      <c r="O549" s="13"/>
      <c r="P549" s="13"/>
      <c r="Q549" s="13"/>
      <c r="R549" s="13"/>
      <c r="S549" s="13"/>
    </row>
    <row r="550" spans="2:19">
      <c r="B550" s="209" t="str">
        <f>Baseline!B27</f>
        <v>420010 - Leveren en aanbrengen fundering menggranulaat, (250mm dik)</v>
      </c>
      <c r="C550" s="51" t="str">
        <f>Baseline!F27</f>
        <v>Menggranulaat 250mm</v>
      </c>
      <c r="D550" s="93">
        <f>(IF(Baseline!C27="Nieuwe situatie",(Baseline!S27),0)*Baseline!Q27)</f>
        <v>237900</v>
      </c>
      <c r="E550" s="98">
        <f>(IF(Baseline!C27="Bestaande situatie",(Baseline!AC27),0)*Baseline!Q27)</f>
        <v>0</v>
      </c>
      <c r="F550" s="94" t="str">
        <f>_xlfn.IFNA(VLOOKUP(Baseline!T27,Database_Transport[],60,FALSE),"Nee")</f>
        <v>Nee</v>
      </c>
      <c r="G550" s="94" t="str">
        <f>_xlfn.IFNA(VLOOKUP(Baseline!AC27,Database_Transport[],60,FALSE),"Nee")</f>
        <v>Nee</v>
      </c>
      <c r="H550" s="124">
        <f>IF(Referentie_Transport_Totaal[[#This Row],[Emissieloos Transport naar bouwplaats?]]="JA",Referentie_Transport_Totaal[[#This Row],[Transport naar bouwplaats '[tkm']]],0)+IF(Referentie_Transport_Totaal[[#This Row],[Emissieloos Transport naar verwerker?]]="JA",Referentie_Transport_Totaal[[#This Row],[Transport naar verwerker '[tkm']]],0)</f>
        <v>0</v>
      </c>
      <c r="I550" s="133" cm="1">
        <f t="array" ref="I550">_xlfn.IFNA((_xlfn.IFS(Baseline!C27="Nieuwe Situatie",(50),Baseline!C27="Bestaande Situatie",(0))),0)*Baseline!Q27*Baseline!R27</f>
        <v>0</v>
      </c>
      <c r="J550" s="133" cm="1">
        <f t="array" ref="J550">(_xlfn.IFNA((_xlfn.IFS(Baseline!C27="Nieuwe Situatie",(50),Baseline!C27="Bestaande Situatie",(50))),0)*Baseline!Q27)*Baseline!R27</f>
        <v>0</v>
      </c>
      <c r="K550" s="133">
        <f>IF(Referentie_Transport_Totaal[[#This Row],[Emissieloos Transport naar bouwplaats?]]="JA",Referentie_Transport_Totaal[[#This Row],[Transport naar bouwplaats Vervangingen '[tkm']]],0)+IF(Referentie_Transport_Totaal[[#This Row],[Emissieloos Transport naar verwerker?]]="JA",Referentie_Transport_Totaal[[#This Row],[Transport naar verwerker Vervangingen '[tkm']]],0)</f>
        <v>0</v>
      </c>
      <c r="L550" s="133">
        <f>Referentie_Transport_Totaal[[#This Row],[Emissieloos Transport]]+Referentie_Transport_Totaal[[#This Row],[Emissieloos Transport Vervangingen]]</f>
        <v>0</v>
      </c>
      <c r="M550" s="133">
        <f>(Referentie_Transport_Totaal[[#This Row],[Transport naar bouwplaats '[tkm']]]+Referentie_Transport_Totaal[[#This Row],[Transport naar verwerker '[tkm']]]+Referentie_Transport_Totaal[[#This Row],[Transport naar bouwplaats Vervangingen '[tkm']]]+Referentie_Transport_Totaal[[#This Row],[Transport naar verwerker Vervangingen '[tkm']]])-Referentie_Transport_Totaal[[#This Row],[Totaal Emissieloos Transport]]</f>
        <v>237900</v>
      </c>
      <c r="N550" s="133">
        <f>Referentie_Transport_Totaal[[#This Row],[Totaal Emissieloos Transport]]+Referentie_Transport_Totaal[[#This Row],[Totaal Niet Emissieloos Transport]]</f>
        <v>237900</v>
      </c>
      <c r="O550" s="13"/>
      <c r="P550" s="13"/>
      <c r="Q550" s="13"/>
      <c r="R550" s="13"/>
      <c r="S550" s="13"/>
    </row>
    <row r="551" spans="2:19">
      <c r="B551" s="209" t="str">
        <f>Baseline!B28</f>
        <v>430010 - Leveren en aanbrengen trottoirbanden 180/200x250</v>
      </c>
      <c r="C551" s="51" t="str">
        <f>Baseline!F28</f>
        <v>Trottoirband 180/200x250</v>
      </c>
      <c r="D551" s="93">
        <f>(IF(Baseline!C28="Nieuwe situatie",(Baseline!S28),0)*Baseline!Q28)</f>
        <v>423.95875000000001</v>
      </c>
      <c r="E551" s="98">
        <f>(IF(Baseline!C28="Bestaande situatie",(Baseline!AC28),0)*Baseline!Q28)</f>
        <v>0</v>
      </c>
      <c r="F551" s="94" t="str">
        <f>_xlfn.IFNA(VLOOKUP(Baseline!T28,Database_Transport[],60,FALSE),"Nee")</f>
        <v>Nee</v>
      </c>
      <c r="G551" s="94" t="str">
        <f>_xlfn.IFNA(VLOOKUP(Baseline!AC28,Database_Transport[],60,FALSE),"Nee")</f>
        <v>Nee</v>
      </c>
      <c r="H551" s="124">
        <f>IF(Referentie_Transport_Totaal[[#This Row],[Emissieloos Transport naar bouwplaats?]]="JA",Referentie_Transport_Totaal[[#This Row],[Transport naar bouwplaats '[tkm']]],0)+IF(Referentie_Transport_Totaal[[#This Row],[Emissieloos Transport naar verwerker?]]="JA",Referentie_Transport_Totaal[[#This Row],[Transport naar verwerker '[tkm']]],0)</f>
        <v>0</v>
      </c>
      <c r="I551" s="133" cm="1">
        <f t="array" ref="I551">_xlfn.IFNA((_xlfn.IFS(Baseline!C28="Nieuwe Situatie",(50),Baseline!C28="Bestaande Situatie",(0))),0)*Baseline!Q28*Baseline!R28</f>
        <v>0</v>
      </c>
      <c r="J551" s="133" cm="1">
        <f t="array" ref="J551">(_xlfn.IFNA((_xlfn.IFS(Baseline!C28="Nieuwe Situatie",(50),Baseline!C28="Bestaande Situatie",(50))),0)*Baseline!Q28)*Baseline!R28</f>
        <v>0</v>
      </c>
      <c r="K551" s="133">
        <f>IF(Referentie_Transport_Totaal[[#This Row],[Emissieloos Transport naar bouwplaats?]]="JA",Referentie_Transport_Totaal[[#This Row],[Transport naar bouwplaats Vervangingen '[tkm']]],0)+IF(Referentie_Transport_Totaal[[#This Row],[Emissieloos Transport naar verwerker?]]="JA",Referentie_Transport_Totaal[[#This Row],[Transport naar verwerker Vervangingen '[tkm']]],0)</f>
        <v>0</v>
      </c>
      <c r="L551" s="133">
        <f>Referentie_Transport_Totaal[[#This Row],[Emissieloos Transport]]+Referentie_Transport_Totaal[[#This Row],[Emissieloos Transport Vervangingen]]</f>
        <v>0</v>
      </c>
      <c r="M551" s="133">
        <f>(Referentie_Transport_Totaal[[#This Row],[Transport naar bouwplaats '[tkm']]]+Referentie_Transport_Totaal[[#This Row],[Transport naar verwerker '[tkm']]]+Referentie_Transport_Totaal[[#This Row],[Transport naar bouwplaats Vervangingen '[tkm']]]+Referentie_Transport_Totaal[[#This Row],[Transport naar verwerker Vervangingen '[tkm']]])-Referentie_Transport_Totaal[[#This Row],[Totaal Emissieloos Transport]]</f>
        <v>423.95875000000001</v>
      </c>
      <c r="N551" s="133">
        <f>Referentie_Transport_Totaal[[#This Row],[Totaal Emissieloos Transport]]+Referentie_Transport_Totaal[[#This Row],[Totaal Niet Emissieloos Transport]]</f>
        <v>423.95875000000001</v>
      </c>
      <c r="O551" s="13"/>
      <c r="P551" s="13"/>
      <c r="Q551" s="13"/>
      <c r="R551" s="13"/>
      <c r="S551" s="13"/>
    </row>
    <row r="552" spans="2:19">
      <c r="B552" s="209" t="str">
        <f>Baseline!B29</f>
        <v>430020 - Leveren en aanbrengen trottoirbanden 130/150x250</v>
      </c>
      <c r="C552" s="51" t="str">
        <f>Baseline!F29</f>
        <v>Trottoirband 130/150x250</v>
      </c>
      <c r="D552" s="93">
        <f>(IF(Baseline!C29="Nieuwe situatie",(Baseline!S29),0)*Baseline!Q29)</f>
        <v>688.30949999999996</v>
      </c>
      <c r="E552" s="98">
        <f>(IF(Baseline!C29="Bestaande situatie",(Baseline!AC29),0)*Baseline!Q29)</f>
        <v>0</v>
      </c>
      <c r="F552" s="94" t="str">
        <f>_xlfn.IFNA(VLOOKUP(Baseline!T29,Database_Transport[],60,FALSE),"Nee")</f>
        <v>Nee</v>
      </c>
      <c r="G552" s="94" t="str">
        <f>_xlfn.IFNA(VLOOKUP(Baseline!AC29,Database_Transport[],60,FALSE),"Nee")</f>
        <v>Nee</v>
      </c>
      <c r="H552" s="124">
        <f>IF(Referentie_Transport_Totaal[[#This Row],[Emissieloos Transport naar bouwplaats?]]="JA",Referentie_Transport_Totaal[[#This Row],[Transport naar bouwplaats '[tkm']]],0)+IF(Referentie_Transport_Totaal[[#This Row],[Emissieloos Transport naar verwerker?]]="JA",Referentie_Transport_Totaal[[#This Row],[Transport naar verwerker '[tkm']]],0)</f>
        <v>0</v>
      </c>
      <c r="I552" s="133" cm="1">
        <f t="array" ref="I552">_xlfn.IFNA((_xlfn.IFS(Baseline!C29="Nieuwe Situatie",(50),Baseline!C29="Bestaande Situatie",(0))),0)*Baseline!Q29*Baseline!R29</f>
        <v>0</v>
      </c>
      <c r="J552" s="133" cm="1">
        <f t="array" ref="J552">(_xlfn.IFNA((_xlfn.IFS(Baseline!C29="Nieuwe Situatie",(50),Baseline!C29="Bestaande Situatie",(50))),0)*Baseline!Q29)*Baseline!R29</f>
        <v>0</v>
      </c>
      <c r="K552" s="133">
        <f>IF(Referentie_Transport_Totaal[[#This Row],[Emissieloos Transport naar bouwplaats?]]="JA",Referentie_Transport_Totaal[[#This Row],[Transport naar bouwplaats Vervangingen '[tkm']]],0)+IF(Referentie_Transport_Totaal[[#This Row],[Emissieloos Transport naar verwerker?]]="JA",Referentie_Transport_Totaal[[#This Row],[Transport naar verwerker Vervangingen '[tkm']]],0)</f>
        <v>0</v>
      </c>
      <c r="L552" s="133">
        <f>Referentie_Transport_Totaal[[#This Row],[Emissieloos Transport]]+Referentie_Transport_Totaal[[#This Row],[Emissieloos Transport Vervangingen]]</f>
        <v>0</v>
      </c>
      <c r="M552" s="133">
        <f>(Referentie_Transport_Totaal[[#This Row],[Transport naar bouwplaats '[tkm']]]+Referentie_Transport_Totaal[[#This Row],[Transport naar verwerker '[tkm']]]+Referentie_Transport_Totaal[[#This Row],[Transport naar bouwplaats Vervangingen '[tkm']]]+Referentie_Transport_Totaal[[#This Row],[Transport naar verwerker Vervangingen '[tkm']]])-Referentie_Transport_Totaal[[#This Row],[Totaal Emissieloos Transport]]</f>
        <v>688.30949999999996</v>
      </c>
      <c r="N552" s="133">
        <f>Referentie_Transport_Totaal[[#This Row],[Totaal Emissieloos Transport]]+Referentie_Transport_Totaal[[#This Row],[Totaal Niet Emissieloos Transport]]</f>
        <v>688.30949999999996</v>
      </c>
      <c r="O552" s="13"/>
      <c r="P552" s="13"/>
      <c r="Q552" s="13"/>
      <c r="R552" s="13"/>
      <c r="S552" s="13"/>
    </row>
    <row r="553" spans="2:19">
      <c r="B553" s="209" t="str">
        <f>Baseline!B30</f>
        <v>430040 - Leveren en aanbrengen opsluitbanden 100x200</v>
      </c>
      <c r="C553" s="51" t="str">
        <f>Baseline!F30</f>
        <v>Opsluitband 100x200</v>
      </c>
      <c r="D553" s="93">
        <f>(IF(Baseline!C30="Nieuwe situatie",(Baseline!S30),0)*Baseline!Q30)</f>
        <v>2414.7987499999999</v>
      </c>
      <c r="E553" s="98">
        <f>(IF(Baseline!C30="Bestaande situatie",(Baseline!AC30),0)*Baseline!Q30)</f>
        <v>0</v>
      </c>
      <c r="F553" s="94" t="str">
        <f>_xlfn.IFNA(VLOOKUP(Baseline!T30,Database_Transport[],60,FALSE),"Nee")</f>
        <v>Nee</v>
      </c>
      <c r="G553" s="94" t="str">
        <f>_xlfn.IFNA(VLOOKUP(Baseline!AC30,Database_Transport[],60,FALSE),"Nee")</f>
        <v>Nee</v>
      </c>
      <c r="H553" s="124">
        <f>IF(Referentie_Transport_Totaal[[#This Row],[Emissieloos Transport naar bouwplaats?]]="JA",Referentie_Transport_Totaal[[#This Row],[Transport naar bouwplaats '[tkm']]],0)+IF(Referentie_Transport_Totaal[[#This Row],[Emissieloos Transport naar verwerker?]]="JA",Referentie_Transport_Totaal[[#This Row],[Transport naar verwerker '[tkm']]],0)</f>
        <v>0</v>
      </c>
      <c r="I553" s="133" cm="1">
        <f t="array" ref="I553">_xlfn.IFNA((_xlfn.IFS(Baseline!C30="Nieuwe Situatie",(50),Baseline!C30="Bestaande Situatie",(0))),0)*Baseline!Q30*Baseline!R30</f>
        <v>0</v>
      </c>
      <c r="J553" s="133" cm="1">
        <f t="array" ref="J553">(_xlfn.IFNA((_xlfn.IFS(Baseline!C30="Nieuwe Situatie",(50),Baseline!C30="Bestaande Situatie",(50))),0)*Baseline!Q30)*Baseline!R30</f>
        <v>0</v>
      </c>
      <c r="K553" s="133">
        <f>IF(Referentie_Transport_Totaal[[#This Row],[Emissieloos Transport naar bouwplaats?]]="JA",Referentie_Transport_Totaal[[#This Row],[Transport naar bouwplaats Vervangingen '[tkm']]],0)+IF(Referentie_Transport_Totaal[[#This Row],[Emissieloos Transport naar verwerker?]]="JA",Referentie_Transport_Totaal[[#This Row],[Transport naar verwerker Vervangingen '[tkm']]],0)</f>
        <v>0</v>
      </c>
      <c r="L553" s="133">
        <f>Referentie_Transport_Totaal[[#This Row],[Emissieloos Transport]]+Referentie_Transport_Totaal[[#This Row],[Emissieloos Transport Vervangingen]]</f>
        <v>0</v>
      </c>
      <c r="M553" s="133">
        <f>(Referentie_Transport_Totaal[[#This Row],[Transport naar bouwplaats '[tkm']]]+Referentie_Transport_Totaal[[#This Row],[Transport naar verwerker '[tkm']]]+Referentie_Transport_Totaal[[#This Row],[Transport naar bouwplaats Vervangingen '[tkm']]]+Referentie_Transport_Totaal[[#This Row],[Transport naar verwerker Vervangingen '[tkm']]])-Referentie_Transport_Totaal[[#This Row],[Totaal Emissieloos Transport]]</f>
        <v>2414.7987499999999</v>
      </c>
      <c r="N553" s="133">
        <f>Referentie_Transport_Totaal[[#This Row],[Totaal Emissieloos Transport]]+Referentie_Transport_Totaal[[#This Row],[Totaal Niet Emissieloos Transport]]</f>
        <v>2414.7987499999999</v>
      </c>
      <c r="O553" s="13"/>
      <c r="P553" s="13"/>
      <c r="Q553" s="13"/>
      <c r="R553" s="13"/>
      <c r="S553" s="13"/>
    </row>
    <row r="554" spans="2:19">
      <c r="B554" s="209" t="str">
        <f>Baseline!B31</f>
        <v>430050 - Leveren en aanbrengen opsluitbanden 120x250</v>
      </c>
      <c r="C554" s="51" t="str">
        <f>Baseline!F31</f>
        <v>Opsluitband 150x250</v>
      </c>
      <c r="D554" s="93">
        <f>(IF(Baseline!C31="Nieuwe situatie",(Baseline!S31),0)*Baseline!Q31)</f>
        <v>4240.0312500000009</v>
      </c>
      <c r="E554" s="98">
        <f>(IF(Baseline!C31="Bestaande situatie",(Baseline!AC31),0)*Baseline!Q31)</f>
        <v>0</v>
      </c>
      <c r="F554" s="94" t="str">
        <f>_xlfn.IFNA(VLOOKUP(Baseline!T31,Database_Transport[],60,FALSE),"Nee")</f>
        <v>Nee</v>
      </c>
      <c r="G554" s="94" t="str">
        <f>_xlfn.IFNA(VLOOKUP(Baseline!AC31,Database_Transport[],60,FALSE),"Nee")</f>
        <v>Nee</v>
      </c>
      <c r="H554" s="124">
        <f>IF(Referentie_Transport_Totaal[[#This Row],[Emissieloos Transport naar bouwplaats?]]="JA",Referentie_Transport_Totaal[[#This Row],[Transport naar bouwplaats '[tkm']]],0)+IF(Referentie_Transport_Totaal[[#This Row],[Emissieloos Transport naar verwerker?]]="JA",Referentie_Transport_Totaal[[#This Row],[Transport naar verwerker '[tkm']]],0)</f>
        <v>0</v>
      </c>
      <c r="I554" s="133" cm="1">
        <f t="array" ref="I554">_xlfn.IFNA((_xlfn.IFS(Baseline!C31="Nieuwe Situatie",(50),Baseline!C31="Bestaande Situatie",(0))),0)*Baseline!Q31*Baseline!R31</f>
        <v>0</v>
      </c>
      <c r="J554" s="133" cm="1">
        <f t="array" ref="J554">(_xlfn.IFNA((_xlfn.IFS(Baseline!C31="Nieuwe Situatie",(50),Baseline!C31="Bestaande Situatie",(50))),0)*Baseline!Q31)*Baseline!R31</f>
        <v>0</v>
      </c>
      <c r="K554" s="133">
        <f>IF(Referentie_Transport_Totaal[[#This Row],[Emissieloos Transport naar bouwplaats?]]="JA",Referentie_Transport_Totaal[[#This Row],[Transport naar bouwplaats Vervangingen '[tkm']]],0)+IF(Referentie_Transport_Totaal[[#This Row],[Emissieloos Transport naar verwerker?]]="JA",Referentie_Transport_Totaal[[#This Row],[Transport naar verwerker Vervangingen '[tkm']]],0)</f>
        <v>0</v>
      </c>
      <c r="L554" s="133">
        <f>Referentie_Transport_Totaal[[#This Row],[Emissieloos Transport]]+Referentie_Transport_Totaal[[#This Row],[Emissieloos Transport Vervangingen]]</f>
        <v>0</v>
      </c>
      <c r="M554" s="133">
        <f>(Referentie_Transport_Totaal[[#This Row],[Transport naar bouwplaats '[tkm']]]+Referentie_Transport_Totaal[[#This Row],[Transport naar verwerker '[tkm']]]+Referentie_Transport_Totaal[[#This Row],[Transport naar bouwplaats Vervangingen '[tkm']]]+Referentie_Transport_Totaal[[#This Row],[Transport naar verwerker Vervangingen '[tkm']]])-Referentie_Transport_Totaal[[#This Row],[Totaal Emissieloos Transport]]</f>
        <v>4240.0312500000009</v>
      </c>
      <c r="N554" s="133">
        <f>Referentie_Transport_Totaal[[#This Row],[Totaal Emissieloos Transport]]+Referentie_Transport_Totaal[[#This Row],[Totaal Niet Emissieloos Transport]]</f>
        <v>4240.0312500000009</v>
      </c>
      <c r="O554" s="13"/>
      <c r="P554" s="13"/>
      <c r="Q554" s="13"/>
      <c r="R554" s="13"/>
      <c r="S554" s="13"/>
    </row>
    <row r="555" spans="2:19">
      <c r="B555" s="209" t="str">
        <f>Baseline!B32</f>
        <v>440010 - Aanbrengen straatbakstenen DF, Rood (rijweg)</v>
      </c>
      <c r="C555" s="51" t="str">
        <f>Baseline!F32</f>
        <v>Baksteen</v>
      </c>
      <c r="D555" s="93">
        <f>(IF(Baseline!C32="Nieuwe situatie",(Baseline!S32),0)*Baseline!Q32)</f>
        <v>36337</v>
      </c>
      <c r="E555" s="98">
        <f>(IF(Baseline!C32="Bestaande situatie",(Baseline!AC32),0)*Baseline!Q32)</f>
        <v>0</v>
      </c>
      <c r="F555" s="94" t="str">
        <f>_xlfn.IFNA(VLOOKUP(Baseline!T32,Database_Transport[],60,FALSE),"Nee")</f>
        <v>Nee</v>
      </c>
      <c r="G555" s="94" t="str">
        <f>_xlfn.IFNA(VLOOKUP(Baseline!AC32,Database_Transport[],60,FALSE),"Nee")</f>
        <v>Nee</v>
      </c>
      <c r="H555" s="124">
        <f>IF(Referentie_Transport_Totaal[[#This Row],[Emissieloos Transport naar bouwplaats?]]="JA",Referentie_Transport_Totaal[[#This Row],[Transport naar bouwplaats '[tkm']]],0)+IF(Referentie_Transport_Totaal[[#This Row],[Emissieloos Transport naar verwerker?]]="JA",Referentie_Transport_Totaal[[#This Row],[Transport naar verwerker '[tkm']]],0)</f>
        <v>0</v>
      </c>
      <c r="I555" s="133" cm="1">
        <f t="array" ref="I555">_xlfn.IFNA((_xlfn.IFS(Baseline!C32="Nieuwe Situatie",(50),Baseline!C32="Bestaande Situatie",(0))),0)*Baseline!Q32*Baseline!R32</f>
        <v>0</v>
      </c>
      <c r="J555" s="133" cm="1">
        <f t="array" ref="J555">(_xlfn.IFNA((_xlfn.IFS(Baseline!C32="Nieuwe Situatie",(50),Baseline!C32="Bestaande Situatie",(50))),0)*Baseline!Q32)*Baseline!R32</f>
        <v>0</v>
      </c>
      <c r="K555" s="133">
        <f>IF(Referentie_Transport_Totaal[[#This Row],[Emissieloos Transport naar bouwplaats?]]="JA",Referentie_Transport_Totaal[[#This Row],[Transport naar bouwplaats Vervangingen '[tkm']]],0)+IF(Referentie_Transport_Totaal[[#This Row],[Emissieloos Transport naar verwerker?]]="JA",Referentie_Transport_Totaal[[#This Row],[Transport naar verwerker Vervangingen '[tkm']]],0)</f>
        <v>0</v>
      </c>
      <c r="L555" s="133">
        <f>Referentie_Transport_Totaal[[#This Row],[Emissieloos Transport]]+Referentie_Transport_Totaal[[#This Row],[Emissieloos Transport Vervangingen]]</f>
        <v>0</v>
      </c>
      <c r="M555" s="133">
        <f>(Referentie_Transport_Totaal[[#This Row],[Transport naar bouwplaats '[tkm']]]+Referentie_Transport_Totaal[[#This Row],[Transport naar verwerker '[tkm']]]+Referentie_Transport_Totaal[[#This Row],[Transport naar bouwplaats Vervangingen '[tkm']]]+Referentie_Transport_Totaal[[#This Row],[Transport naar verwerker Vervangingen '[tkm']]])-Referentie_Transport_Totaal[[#This Row],[Totaal Emissieloos Transport]]</f>
        <v>36337</v>
      </c>
      <c r="N555" s="133">
        <f>Referentie_Transport_Totaal[[#This Row],[Totaal Emissieloos Transport]]+Referentie_Transport_Totaal[[#This Row],[Totaal Niet Emissieloos Transport]]</f>
        <v>36337</v>
      </c>
      <c r="O555" s="13"/>
      <c r="P555" s="13"/>
      <c r="Q555" s="13"/>
      <c r="R555" s="13"/>
      <c r="S555" s="13"/>
    </row>
    <row r="556" spans="2:19">
      <c r="B556" s="209" t="str">
        <f>Baseline!B33</f>
        <v>440020 - Aanbrengen straatbakstenen DF, Geel (rijweg/ plein)</v>
      </c>
      <c r="C556" s="51" t="str">
        <f>Baseline!F33</f>
        <v>Baksteen</v>
      </c>
      <c r="D556" s="93">
        <f>(IF(Baseline!C33="Nieuwe situatie",(Baseline!S33),0)*Baseline!Q33)</f>
        <v>53795</v>
      </c>
      <c r="E556" s="98">
        <f>(IF(Baseline!C33="Bestaande situatie",(Baseline!AC33),0)*Baseline!Q33)</f>
        <v>0</v>
      </c>
      <c r="F556" s="94" t="str">
        <f>_xlfn.IFNA(VLOOKUP(Baseline!T33,Database_Transport[],60,FALSE),"Nee")</f>
        <v>Nee</v>
      </c>
      <c r="G556" s="94" t="str">
        <f>_xlfn.IFNA(VLOOKUP(Baseline!AC33,Database_Transport[],60,FALSE),"Nee")</f>
        <v>Nee</v>
      </c>
      <c r="H556" s="124">
        <f>IF(Referentie_Transport_Totaal[[#This Row],[Emissieloos Transport naar bouwplaats?]]="JA",Referentie_Transport_Totaal[[#This Row],[Transport naar bouwplaats '[tkm']]],0)+IF(Referentie_Transport_Totaal[[#This Row],[Emissieloos Transport naar verwerker?]]="JA",Referentie_Transport_Totaal[[#This Row],[Transport naar verwerker '[tkm']]],0)</f>
        <v>0</v>
      </c>
      <c r="I556" s="133" cm="1">
        <f t="array" ref="I556">_xlfn.IFNA((_xlfn.IFS(Baseline!C33="Nieuwe Situatie",(50),Baseline!C33="Bestaande Situatie",(0))),0)*Baseline!Q33*Baseline!R33</f>
        <v>0</v>
      </c>
      <c r="J556" s="133" cm="1">
        <f t="array" ref="J556">(_xlfn.IFNA((_xlfn.IFS(Baseline!C33="Nieuwe Situatie",(50),Baseline!C33="Bestaande Situatie",(50))),0)*Baseline!Q33)*Baseline!R33</f>
        <v>0</v>
      </c>
      <c r="K556" s="133">
        <f>IF(Referentie_Transport_Totaal[[#This Row],[Emissieloos Transport naar bouwplaats?]]="JA",Referentie_Transport_Totaal[[#This Row],[Transport naar bouwplaats Vervangingen '[tkm']]],0)+IF(Referentie_Transport_Totaal[[#This Row],[Emissieloos Transport naar verwerker?]]="JA",Referentie_Transport_Totaal[[#This Row],[Transport naar verwerker Vervangingen '[tkm']]],0)</f>
        <v>0</v>
      </c>
      <c r="L556" s="133">
        <f>Referentie_Transport_Totaal[[#This Row],[Emissieloos Transport]]+Referentie_Transport_Totaal[[#This Row],[Emissieloos Transport Vervangingen]]</f>
        <v>0</v>
      </c>
      <c r="M556" s="133">
        <f>(Referentie_Transport_Totaal[[#This Row],[Transport naar bouwplaats '[tkm']]]+Referentie_Transport_Totaal[[#This Row],[Transport naar verwerker '[tkm']]]+Referentie_Transport_Totaal[[#This Row],[Transport naar bouwplaats Vervangingen '[tkm']]]+Referentie_Transport_Totaal[[#This Row],[Transport naar verwerker Vervangingen '[tkm']]])-Referentie_Transport_Totaal[[#This Row],[Totaal Emissieloos Transport]]</f>
        <v>53795</v>
      </c>
      <c r="N556" s="133">
        <f>Referentie_Transport_Totaal[[#This Row],[Totaal Emissieloos Transport]]+Referentie_Transport_Totaal[[#This Row],[Totaal Niet Emissieloos Transport]]</f>
        <v>53795</v>
      </c>
      <c r="O556" s="13"/>
      <c r="P556" s="13"/>
      <c r="Q556" s="13"/>
      <c r="R556" s="13"/>
      <c r="S556" s="13"/>
    </row>
    <row r="557" spans="2:19">
      <c r="B557" s="209" t="str">
        <f>Baseline!B34</f>
        <v>440030 - Aanbrengen straatbakstenen DF, Rood (parkeervakken)</v>
      </c>
      <c r="C557" s="51" t="str">
        <f>Baseline!F34</f>
        <v>Baksteen</v>
      </c>
      <c r="D557" s="93">
        <f>(IF(Baseline!C34="Nieuwe situatie",(Baseline!S34),0)*Baseline!Q34)</f>
        <v>3625</v>
      </c>
      <c r="E557" s="98">
        <f>(IF(Baseline!C34="Bestaande situatie",(Baseline!AC34),0)*Baseline!Q34)</f>
        <v>0</v>
      </c>
      <c r="F557" s="94" t="str">
        <f>_xlfn.IFNA(VLOOKUP(Baseline!T34,Database_Transport[],60,FALSE),"Nee")</f>
        <v>Nee</v>
      </c>
      <c r="G557" s="94" t="str">
        <f>_xlfn.IFNA(VLOOKUP(Baseline!AC34,Database_Transport[],60,FALSE),"Nee")</f>
        <v>Nee</v>
      </c>
      <c r="H557" s="124">
        <f>IF(Referentie_Transport_Totaal[[#This Row],[Emissieloos Transport naar bouwplaats?]]="JA",Referentie_Transport_Totaal[[#This Row],[Transport naar bouwplaats '[tkm']]],0)+IF(Referentie_Transport_Totaal[[#This Row],[Emissieloos Transport naar verwerker?]]="JA",Referentie_Transport_Totaal[[#This Row],[Transport naar verwerker '[tkm']]],0)</f>
        <v>0</v>
      </c>
      <c r="I557" s="133" cm="1">
        <f t="array" ref="I557">_xlfn.IFNA((_xlfn.IFS(Baseline!C34="Nieuwe Situatie",(50),Baseline!C34="Bestaande Situatie",(0))),0)*Baseline!Q34*Baseline!R34</f>
        <v>0</v>
      </c>
      <c r="J557" s="133" cm="1">
        <f t="array" ref="J557">(_xlfn.IFNA((_xlfn.IFS(Baseline!C34="Nieuwe Situatie",(50),Baseline!C34="Bestaande Situatie",(50))),0)*Baseline!Q34)*Baseline!R34</f>
        <v>0</v>
      </c>
      <c r="K557" s="133">
        <f>IF(Referentie_Transport_Totaal[[#This Row],[Emissieloos Transport naar bouwplaats?]]="JA",Referentie_Transport_Totaal[[#This Row],[Transport naar bouwplaats Vervangingen '[tkm']]],0)+IF(Referentie_Transport_Totaal[[#This Row],[Emissieloos Transport naar verwerker?]]="JA",Referentie_Transport_Totaal[[#This Row],[Transport naar verwerker Vervangingen '[tkm']]],0)</f>
        <v>0</v>
      </c>
      <c r="L557" s="133">
        <f>Referentie_Transport_Totaal[[#This Row],[Emissieloos Transport]]+Referentie_Transport_Totaal[[#This Row],[Emissieloos Transport Vervangingen]]</f>
        <v>0</v>
      </c>
      <c r="M557" s="133">
        <f>(Referentie_Transport_Totaal[[#This Row],[Transport naar bouwplaats '[tkm']]]+Referentie_Transport_Totaal[[#This Row],[Transport naar verwerker '[tkm']]]+Referentie_Transport_Totaal[[#This Row],[Transport naar bouwplaats Vervangingen '[tkm']]]+Referentie_Transport_Totaal[[#This Row],[Transport naar verwerker Vervangingen '[tkm']]])-Referentie_Transport_Totaal[[#This Row],[Totaal Emissieloos Transport]]</f>
        <v>3625</v>
      </c>
      <c r="N557" s="133">
        <f>Referentie_Transport_Totaal[[#This Row],[Totaal Emissieloos Transport]]+Referentie_Transport_Totaal[[#This Row],[Totaal Niet Emissieloos Transport]]</f>
        <v>3625</v>
      </c>
      <c r="O557" s="13"/>
      <c r="P557" s="13"/>
      <c r="Q557" s="13"/>
      <c r="R557" s="13"/>
      <c r="S557" s="13"/>
    </row>
    <row r="558" spans="2:19">
      <c r="B558" s="209" t="str">
        <f>Baseline!B35</f>
        <v>440040 - Aanbrengen straatbakstenen DF, Geel (parkeervakken)</v>
      </c>
      <c r="C558" s="51" t="str">
        <f>Baseline!F35</f>
        <v>Baksteen</v>
      </c>
      <c r="D558" s="93">
        <f>(IF(Baseline!C35="Nieuwe situatie",(Baseline!S35),0)*Baseline!Q35)</f>
        <v>4118</v>
      </c>
      <c r="E558" s="98">
        <f>(IF(Baseline!C35="Bestaande situatie",(Baseline!AC35),0)*Baseline!Q35)</f>
        <v>0</v>
      </c>
      <c r="F558" s="94" t="str">
        <f>_xlfn.IFNA(VLOOKUP(Baseline!T35,Database_Transport[],60,FALSE),"Nee")</f>
        <v>Nee</v>
      </c>
      <c r="G558" s="94" t="str">
        <f>_xlfn.IFNA(VLOOKUP(Baseline!AC35,Database_Transport[],60,FALSE),"Nee")</f>
        <v>Nee</v>
      </c>
      <c r="H558" s="124">
        <f>IF(Referentie_Transport_Totaal[[#This Row],[Emissieloos Transport naar bouwplaats?]]="JA",Referentie_Transport_Totaal[[#This Row],[Transport naar bouwplaats '[tkm']]],0)+IF(Referentie_Transport_Totaal[[#This Row],[Emissieloos Transport naar verwerker?]]="JA",Referentie_Transport_Totaal[[#This Row],[Transport naar verwerker '[tkm']]],0)</f>
        <v>0</v>
      </c>
      <c r="I558" s="133" cm="1">
        <f t="array" ref="I558">_xlfn.IFNA((_xlfn.IFS(Baseline!C35="Nieuwe Situatie",(50),Baseline!C35="Bestaande Situatie",(0))),0)*Baseline!Q35*Baseline!R35</f>
        <v>0</v>
      </c>
      <c r="J558" s="133" cm="1">
        <f t="array" ref="J558">(_xlfn.IFNA((_xlfn.IFS(Baseline!C35="Nieuwe Situatie",(50),Baseline!C35="Bestaande Situatie",(50))),0)*Baseline!Q35)*Baseline!R35</f>
        <v>0</v>
      </c>
      <c r="K558" s="133">
        <f>IF(Referentie_Transport_Totaal[[#This Row],[Emissieloos Transport naar bouwplaats?]]="JA",Referentie_Transport_Totaal[[#This Row],[Transport naar bouwplaats Vervangingen '[tkm']]],0)+IF(Referentie_Transport_Totaal[[#This Row],[Emissieloos Transport naar verwerker?]]="JA",Referentie_Transport_Totaal[[#This Row],[Transport naar verwerker Vervangingen '[tkm']]],0)</f>
        <v>0</v>
      </c>
      <c r="L558" s="133">
        <f>Referentie_Transport_Totaal[[#This Row],[Emissieloos Transport]]+Referentie_Transport_Totaal[[#This Row],[Emissieloos Transport Vervangingen]]</f>
        <v>0</v>
      </c>
      <c r="M558" s="133">
        <f>(Referentie_Transport_Totaal[[#This Row],[Transport naar bouwplaats '[tkm']]]+Referentie_Transport_Totaal[[#This Row],[Transport naar verwerker '[tkm']]]+Referentie_Transport_Totaal[[#This Row],[Transport naar bouwplaats Vervangingen '[tkm']]]+Referentie_Transport_Totaal[[#This Row],[Transport naar verwerker Vervangingen '[tkm']]])-Referentie_Transport_Totaal[[#This Row],[Totaal Emissieloos Transport]]</f>
        <v>4118</v>
      </c>
      <c r="N558" s="133">
        <f>Referentie_Transport_Totaal[[#This Row],[Totaal Emissieloos Transport]]+Referentie_Transport_Totaal[[#This Row],[Totaal Niet Emissieloos Transport]]</f>
        <v>4118</v>
      </c>
      <c r="O558" s="13"/>
      <c r="P558" s="13"/>
      <c r="Q558" s="13"/>
      <c r="R558" s="13"/>
      <c r="S558" s="13"/>
    </row>
    <row r="559" spans="2:19">
      <c r="B559" s="209" t="str">
        <f>Baseline!B36</f>
        <v>440050 - Leveren en aanbrengen open (grasbeton) verharding (parkeerplaats)</v>
      </c>
      <c r="C559" s="51" t="str">
        <f>Baseline!F36</f>
        <v>Grasbetontegel CEM I 120 mm</v>
      </c>
      <c r="D559" s="93">
        <f>(IF(Baseline!C36="Nieuwe situatie",(Baseline!S36),0)*Baseline!Q36)</f>
        <v>9726.5249999999996</v>
      </c>
      <c r="E559" s="98">
        <f>(IF(Baseline!C36="Bestaande situatie",(Baseline!AC36),0)*Baseline!Q36)</f>
        <v>0</v>
      </c>
      <c r="F559" s="94" t="str">
        <f>_xlfn.IFNA(VLOOKUP(Baseline!T36,Database_Transport[],60,FALSE),"Nee")</f>
        <v>Nee</v>
      </c>
      <c r="G559" s="94" t="str">
        <f>_xlfn.IFNA(VLOOKUP(Baseline!AC36,Database_Transport[],60,FALSE),"Nee")</f>
        <v>Nee</v>
      </c>
      <c r="H559" s="124">
        <f>IF(Referentie_Transport_Totaal[[#This Row],[Emissieloos Transport naar bouwplaats?]]="JA",Referentie_Transport_Totaal[[#This Row],[Transport naar bouwplaats '[tkm']]],0)+IF(Referentie_Transport_Totaal[[#This Row],[Emissieloos Transport naar verwerker?]]="JA",Referentie_Transport_Totaal[[#This Row],[Transport naar verwerker '[tkm']]],0)</f>
        <v>0</v>
      </c>
      <c r="I559" s="133" cm="1">
        <f t="array" ref="I559">_xlfn.IFNA((_xlfn.IFS(Baseline!C36="Nieuwe Situatie",(50),Baseline!C36="Bestaande Situatie",(0))),0)*Baseline!Q36*Baseline!R36</f>
        <v>0</v>
      </c>
      <c r="J559" s="133" cm="1">
        <f t="array" ref="J559">(_xlfn.IFNA((_xlfn.IFS(Baseline!C36="Nieuwe Situatie",(50),Baseline!C36="Bestaande Situatie",(50))),0)*Baseline!Q36)*Baseline!R36</f>
        <v>0</v>
      </c>
      <c r="K559" s="133">
        <f>IF(Referentie_Transport_Totaal[[#This Row],[Emissieloos Transport naar bouwplaats?]]="JA",Referentie_Transport_Totaal[[#This Row],[Transport naar bouwplaats Vervangingen '[tkm']]],0)+IF(Referentie_Transport_Totaal[[#This Row],[Emissieloos Transport naar verwerker?]]="JA",Referentie_Transport_Totaal[[#This Row],[Transport naar verwerker Vervangingen '[tkm']]],0)</f>
        <v>0</v>
      </c>
      <c r="L559" s="133">
        <f>Referentie_Transport_Totaal[[#This Row],[Emissieloos Transport]]+Referentie_Transport_Totaal[[#This Row],[Emissieloos Transport Vervangingen]]</f>
        <v>0</v>
      </c>
      <c r="M559" s="133">
        <f>(Referentie_Transport_Totaal[[#This Row],[Transport naar bouwplaats '[tkm']]]+Referentie_Transport_Totaal[[#This Row],[Transport naar verwerker '[tkm']]]+Referentie_Transport_Totaal[[#This Row],[Transport naar bouwplaats Vervangingen '[tkm']]]+Referentie_Transport_Totaal[[#This Row],[Transport naar verwerker Vervangingen '[tkm']]])-Referentie_Transport_Totaal[[#This Row],[Totaal Emissieloos Transport]]</f>
        <v>9726.5249999999996</v>
      </c>
      <c r="N559" s="133">
        <f>Referentie_Transport_Totaal[[#This Row],[Totaal Emissieloos Transport]]+Referentie_Transport_Totaal[[#This Row],[Totaal Niet Emissieloos Transport]]</f>
        <v>9726.5249999999996</v>
      </c>
      <c r="O559" s="13"/>
      <c r="P559" s="13"/>
      <c r="Q559" s="13"/>
      <c r="R559" s="13"/>
      <c r="S559" s="13"/>
    </row>
    <row r="560" spans="2:19">
      <c r="B560" s="209" t="str">
        <f>Baseline!B37</f>
        <v>440060 - Aanbrengen straatbakstenen DF, Rood (trottoir)</v>
      </c>
      <c r="C560" s="51" t="str">
        <f>Baseline!F37</f>
        <v>Baksteen</v>
      </c>
      <c r="D560" s="93">
        <f>(IF(Baseline!C37="Nieuwe situatie",(Baseline!S37),0)*Baseline!Q37)</f>
        <v>25462</v>
      </c>
      <c r="E560" s="98">
        <f>(IF(Baseline!C37="Bestaande situatie",(Baseline!AC37),0)*Baseline!Q37)</f>
        <v>0</v>
      </c>
      <c r="F560" s="94" t="str">
        <f>_xlfn.IFNA(VLOOKUP(Baseline!T37,Database_Transport[],60,FALSE),"Nee")</f>
        <v>Nee</v>
      </c>
      <c r="G560" s="94" t="str">
        <f>_xlfn.IFNA(VLOOKUP(Baseline!AC37,Database_Transport[],60,FALSE),"Nee")</f>
        <v>Nee</v>
      </c>
      <c r="H560" s="124">
        <f>IF(Referentie_Transport_Totaal[[#This Row],[Emissieloos Transport naar bouwplaats?]]="JA",Referentie_Transport_Totaal[[#This Row],[Transport naar bouwplaats '[tkm']]],0)+IF(Referentie_Transport_Totaal[[#This Row],[Emissieloos Transport naar verwerker?]]="JA",Referentie_Transport_Totaal[[#This Row],[Transport naar verwerker '[tkm']]],0)</f>
        <v>0</v>
      </c>
      <c r="I560" s="133" cm="1">
        <f t="array" ref="I560">_xlfn.IFNA((_xlfn.IFS(Baseline!C37="Nieuwe Situatie",(50),Baseline!C37="Bestaande Situatie",(0))),0)*Baseline!Q37*Baseline!R37</f>
        <v>0</v>
      </c>
      <c r="J560" s="133" cm="1">
        <f t="array" ref="J560">(_xlfn.IFNA((_xlfn.IFS(Baseline!C37="Nieuwe Situatie",(50),Baseline!C37="Bestaande Situatie",(50))),0)*Baseline!Q37)*Baseline!R37</f>
        <v>0</v>
      </c>
      <c r="K560" s="133">
        <f>IF(Referentie_Transport_Totaal[[#This Row],[Emissieloos Transport naar bouwplaats?]]="JA",Referentie_Transport_Totaal[[#This Row],[Transport naar bouwplaats Vervangingen '[tkm']]],0)+IF(Referentie_Transport_Totaal[[#This Row],[Emissieloos Transport naar verwerker?]]="JA",Referentie_Transport_Totaal[[#This Row],[Transport naar verwerker Vervangingen '[tkm']]],0)</f>
        <v>0</v>
      </c>
      <c r="L560" s="133">
        <f>Referentie_Transport_Totaal[[#This Row],[Emissieloos Transport]]+Referentie_Transport_Totaal[[#This Row],[Emissieloos Transport Vervangingen]]</f>
        <v>0</v>
      </c>
      <c r="M560" s="133">
        <f>(Referentie_Transport_Totaal[[#This Row],[Transport naar bouwplaats '[tkm']]]+Referentie_Transport_Totaal[[#This Row],[Transport naar verwerker '[tkm']]]+Referentie_Transport_Totaal[[#This Row],[Transport naar bouwplaats Vervangingen '[tkm']]]+Referentie_Transport_Totaal[[#This Row],[Transport naar verwerker Vervangingen '[tkm']]])-Referentie_Transport_Totaal[[#This Row],[Totaal Emissieloos Transport]]</f>
        <v>25462</v>
      </c>
      <c r="N560" s="133">
        <f>Referentie_Transport_Totaal[[#This Row],[Totaal Emissieloos Transport]]+Referentie_Transport_Totaal[[#This Row],[Totaal Niet Emissieloos Transport]]</f>
        <v>25462</v>
      </c>
      <c r="O560" s="13"/>
      <c r="P560" s="13"/>
      <c r="Q560" s="13"/>
      <c r="R560" s="13"/>
      <c r="S560" s="13"/>
    </row>
    <row r="561" spans="2:19">
      <c r="B561" s="209" t="str">
        <f>Baseline!B38</f>
        <v>440070 - Aanbrengen straatbakstenen DF, Geel (trottoir)</v>
      </c>
      <c r="C561" s="51" t="str">
        <f>Baseline!F38</f>
        <v>Baksteen</v>
      </c>
      <c r="D561" s="93">
        <f>(IF(Baseline!C38="Nieuwe situatie",(Baseline!S38),0)*Baseline!Q38)</f>
        <v>6670</v>
      </c>
      <c r="E561" s="98">
        <f>(IF(Baseline!C38="Bestaande situatie",(Baseline!AC38),0)*Baseline!Q38)</f>
        <v>0</v>
      </c>
      <c r="F561" s="94" t="str">
        <f>_xlfn.IFNA(VLOOKUP(Baseline!T38,Database_Transport[],60,FALSE),"Nee")</f>
        <v>Nee</v>
      </c>
      <c r="G561" s="94" t="str">
        <f>_xlfn.IFNA(VLOOKUP(Baseline!AC38,Database_Transport[],60,FALSE),"Nee")</f>
        <v>Nee</v>
      </c>
      <c r="H561" s="124">
        <f>IF(Referentie_Transport_Totaal[[#This Row],[Emissieloos Transport naar bouwplaats?]]="JA",Referentie_Transport_Totaal[[#This Row],[Transport naar bouwplaats '[tkm']]],0)+IF(Referentie_Transport_Totaal[[#This Row],[Emissieloos Transport naar verwerker?]]="JA",Referentie_Transport_Totaal[[#This Row],[Transport naar verwerker '[tkm']]],0)</f>
        <v>0</v>
      </c>
      <c r="I561" s="133" cm="1">
        <f t="array" ref="I561">_xlfn.IFNA((_xlfn.IFS(Baseline!C38="Nieuwe Situatie",(50),Baseline!C38="Bestaande Situatie",(0))),0)*Baseline!Q38*Baseline!R38</f>
        <v>0</v>
      </c>
      <c r="J561" s="133" cm="1">
        <f t="array" ref="J561">(_xlfn.IFNA((_xlfn.IFS(Baseline!C38="Nieuwe Situatie",(50),Baseline!C38="Bestaande Situatie",(50))),0)*Baseline!Q38)*Baseline!R38</f>
        <v>0</v>
      </c>
      <c r="K561" s="133">
        <f>IF(Referentie_Transport_Totaal[[#This Row],[Emissieloos Transport naar bouwplaats?]]="JA",Referentie_Transport_Totaal[[#This Row],[Transport naar bouwplaats Vervangingen '[tkm']]],0)+IF(Referentie_Transport_Totaal[[#This Row],[Emissieloos Transport naar verwerker?]]="JA",Referentie_Transport_Totaal[[#This Row],[Transport naar verwerker Vervangingen '[tkm']]],0)</f>
        <v>0</v>
      </c>
      <c r="L561" s="133">
        <f>Referentie_Transport_Totaal[[#This Row],[Emissieloos Transport]]+Referentie_Transport_Totaal[[#This Row],[Emissieloos Transport Vervangingen]]</f>
        <v>0</v>
      </c>
      <c r="M561" s="133">
        <f>(Referentie_Transport_Totaal[[#This Row],[Transport naar bouwplaats '[tkm']]]+Referentie_Transport_Totaal[[#This Row],[Transport naar verwerker '[tkm']]]+Referentie_Transport_Totaal[[#This Row],[Transport naar bouwplaats Vervangingen '[tkm']]]+Referentie_Transport_Totaal[[#This Row],[Transport naar verwerker Vervangingen '[tkm']]])-Referentie_Transport_Totaal[[#This Row],[Totaal Emissieloos Transport]]</f>
        <v>6670</v>
      </c>
      <c r="N561" s="133">
        <f>Referentie_Transport_Totaal[[#This Row],[Totaal Emissieloos Transport]]+Referentie_Transport_Totaal[[#This Row],[Totaal Niet Emissieloos Transport]]</f>
        <v>6670</v>
      </c>
      <c r="O561" s="13"/>
      <c r="P561" s="13"/>
      <c r="Q561" s="13"/>
      <c r="R561" s="13"/>
      <c r="S561" s="13"/>
    </row>
    <row r="562" spans="2:19">
      <c r="B562" s="209" t="str">
        <f>Baseline!B39</f>
        <v>440090 - Aanbrengen straatbakstenen DF, Rood (drempelopgang)</v>
      </c>
      <c r="C562" s="51" t="str">
        <f>Baseline!F39</f>
        <v>Baksteen</v>
      </c>
      <c r="D562" s="93">
        <f>(IF(Baseline!C39="Nieuwe situatie",(Baseline!S39),0)*Baseline!Q39)</f>
        <v>1305</v>
      </c>
      <c r="E562" s="98">
        <f>(IF(Baseline!C39="Bestaande situatie",(Baseline!AC39),0)*Baseline!Q39)</f>
        <v>0</v>
      </c>
      <c r="F562" s="94" t="str">
        <f>_xlfn.IFNA(VLOOKUP(Baseline!T39,Database_Transport[],60,FALSE),"Nee")</f>
        <v>Nee</v>
      </c>
      <c r="G562" s="94" t="str">
        <f>_xlfn.IFNA(VLOOKUP(Baseline!AC39,Database_Transport[],60,FALSE),"Nee")</f>
        <v>Nee</v>
      </c>
      <c r="H562" s="124">
        <f>IF(Referentie_Transport_Totaal[[#This Row],[Emissieloos Transport naar bouwplaats?]]="JA",Referentie_Transport_Totaal[[#This Row],[Transport naar bouwplaats '[tkm']]],0)+IF(Referentie_Transport_Totaal[[#This Row],[Emissieloos Transport naar verwerker?]]="JA",Referentie_Transport_Totaal[[#This Row],[Transport naar verwerker '[tkm']]],0)</f>
        <v>0</v>
      </c>
      <c r="I562" s="133" cm="1">
        <f t="array" ref="I562">_xlfn.IFNA((_xlfn.IFS(Baseline!C39="Nieuwe Situatie",(50),Baseline!C39="Bestaande Situatie",(0))),0)*Baseline!Q39*Baseline!R39</f>
        <v>0</v>
      </c>
      <c r="J562" s="133" cm="1">
        <f t="array" ref="J562">(_xlfn.IFNA((_xlfn.IFS(Baseline!C39="Nieuwe Situatie",(50),Baseline!C39="Bestaande Situatie",(50))),0)*Baseline!Q39)*Baseline!R39</f>
        <v>0</v>
      </c>
      <c r="K562" s="133">
        <f>IF(Referentie_Transport_Totaal[[#This Row],[Emissieloos Transport naar bouwplaats?]]="JA",Referentie_Transport_Totaal[[#This Row],[Transport naar bouwplaats Vervangingen '[tkm']]],0)+IF(Referentie_Transport_Totaal[[#This Row],[Emissieloos Transport naar verwerker?]]="JA",Referentie_Transport_Totaal[[#This Row],[Transport naar verwerker Vervangingen '[tkm']]],0)</f>
        <v>0</v>
      </c>
      <c r="L562" s="133">
        <f>Referentie_Transport_Totaal[[#This Row],[Emissieloos Transport]]+Referentie_Transport_Totaal[[#This Row],[Emissieloos Transport Vervangingen]]</f>
        <v>0</v>
      </c>
      <c r="M562" s="133">
        <f>(Referentie_Transport_Totaal[[#This Row],[Transport naar bouwplaats '[tkm']]]+Referentie_Transport_Totaal[[#This Row],[Transport naar verwerker '[tkm']]]+Referentie_Transport_Totaal[[#This Row],[Transport naar bouwplaats Vervangingen '[tkm']]]+Referentie_Transport_Totaal[[#This Row],[Transport naar verwerker Vervangingen '[tkm']]])-Referentie_Transport_Totaal[[#This Row],[Totaal Emissieloos Transport]]</f>
        <v>1305</v>
      </c>
      <c r="N562" s="133">
        <f>Referentie_Transport_Totaal[[#This Row],[Totaal Emissieloos Transport]]+Referentie_Transport_Totaal[[#This Row],[Totaal Niet Emissieloos Transport]]</f>
        <v>1305</v>
      </c>
      <c r="O562" s="13"/>
      <c r="P562" s="13"/>
      <c r="Q562" s="13"/>
      <c r="R562" s="13"/>
      <c r="S562" s="13"/>
    </row>
    <row r="563" spans="2:19">
      <c r="B563" s="209">
        <f>Baseline!B40</f>
        <v>0</v>
      </c>
      <c r="C563" s="51">
        <f>Baseline!F40</f>
        <v>0</v>
      </c>
      <c r="D563" s="93">
        <f>(IF(Baseline!C40="Nieuwe situatie",(Baseline!S40),0)*Baseline!Q40)</f>
        <v>0</v>
      </c>
      <c r="E563" s="98">
        <f>(IF(Baseline!C40="Bestaande situatie",(Baseline!AC40),0)*Baseline!Q40)</f>
        <v>0</v>
      </c>
      <c r="F563" s="94" t="str">
        <f>_xlfn.IFNA(VLOOKUP(Baseline!T40,Database_Transport[],60,FALSE),"Nee")</f>
        <v>Nee</v>
      </c>
      <c r="G563" s="94" t="str">
        <f>_xlfn.IFNA(VLOOKUP(Baseline!AC40,Database_Transport[],60,FALSE),"Nee")</f>
        <v>Nee</v>
      </c>
      <c r="H563" s="124">
        <f>IF(Referentie_Transport_Totaal[[#This Row],[Emissieloos Transport naar bouwplaats?]]="JA",Referentie_Transport_Totaal[[#This Row],[Transport naar bouwplaats '[tkm']]],0)+IF(Referentie_Transport_Totaal[[#This Row],[Emissieloos Transport naar verwerker?]]="JA",Referentie_Transport_Totaal[[#This Row],[Transport naar verwerker '[tkm']]],0)</f>
        <v>0</v>
      </c>
      <c r="I563" s="133" cm="1">
        <f t="array" ref="I563">_xlfn.IFNA((_xlfn.IFS(Baseline!C40="Nieuwe Situatie",(50),Baseline!C40="Bestaande Situatie",(0))),0)*Baseline!Q40*Baseline!R40</f>
        <v>0</v>
      </c>
      <c r="J563" s="133" cm="1">
        <f t="array" ref="J563">(_xlfn.IFNA((_xlfn.IFS(Baseline!C40="Nieuwe Situatie",(50),Baseline!C40="Bestaande Situatie",(50))),0)*Baseline!Q40)*Baseline!R40</f>
        <v>0</v>
      </c>
      <c r="K563" s="133">
        <f>IF(Referentie_Transport_Totaal[[#This Row],[Emissieloos Transport naar bouwplaats?]]="JA",Referentie_Transport_Totaal[[#This Row],[Transport naar bouwplaats Vervangingen '[tkm']]],0)+IF(Referentie_Transport_Totaal[[#This Row],[Emissieloos Transport naar verwerker?]]="JA",Referentie_Transport_Totaal[[#This Row],[Transport naar verwerker Vervangingen '[tkm']]],0)</f>
        <v>0</v>
      </c>
      <c r="L563" s="133">
        <f>Referentie_Transport_Totaal[[#This Row],[Emissieloos Transport]]+Referentie_Transport_Totaal[[#This Row],[Emissieloos Transport Vervangingen]]</f>
        <v>0</v>
      </c>
      <c r="M563" s="133">
        <f>(Referentie_Transport_Totaal[[#This Row],[Transport naar bouwplaats '[tkm']]]+Referentie_Transport_Totaal[[#This Row],[Transport naar verwerker '[tkm']]]+Referentie_Transport_Totaal[[#This Row],[Transport naar bouwplaats Vervangingen '[tkm']]]+Referentie_Transport_Totaal[[#This Row],[Transport naar verwerker Vervangingen '[tkm']]])-Referentie_Transport_Totaal[[#This Row],[Totaal Emissieloos Transport]]</f>
        <v>0</v>
      </c>
      <c r="N563" s="133">
        <f>Referentie_Transport_Totaal[[#This Row],[Totaal Emissieloos Transport]]+Referentie_Transport_Totaal[[#This Row],[Totaal Niet Emissieloos Transport]]</f>
        <v>0</v>
      </c>
      <c r="O563" s="13"/>
      <c r="P563" s="13"/>
      <c r="Q563" s="13"/>
      <c r="R563" s="13"/>
      <c r="S563" s="13"/>
    </row>
    <row r="564" spans="2:19">
      <c r="B564" s="209">
        <f>Baseline!B41</f>
        <v>0</v>
      </c>
      <c r="C564" s="51">
        <f>Baseline!F41</f>
        <v>0</v>
      </c>
      <c r="D564" s="93">
        <f>(IF(Baseline!C41="Nieuwe situatie",(Baseline!S41),0)*Baseline!Q41)</f>
        <v>0</v>
      </c>
      <c r="E564" s="98">
        <f>(IF(Baseline!C41="Bestaande situatie",(Baseline!AC41),0)*Baseline!Q41)</f>
        <v>0</v>
      </c>
      <c r="F564" s="94" t="str">
        <f>_xlfn.IFNA(VLOOKUP(Baseline!T41,Database_Transport[],60,FALSE),"Nee")</f>
        <v>Nee</v>
      </c>
      <c r="G564" s="94" t="str">
        <f>_xlfn.IFNA(VLOOKUP(Baseline!AC41,Database_Transport[],60,FALSE),"Nee")</f>
        <v>Nee</v>
      </c>
      <c r="H564" s="124">
        <f>IF(Referentie_Transport_Totaal[[#This Row],[Emissieloos Transport naar bouwplaats?]]="JA",Referentie_Transport_Totaal[[#This Row],[Transport naar bouwplaats '[tkm']]],0)+IF(Referentie_Transport_Totaal[[#This Row],[Emissieloos Transport naar verwerker?]]="JA",Referentie_Transport_Totaal[[#This Row],[Transport naar verwerker '[tkm']]],0)</f>
        <v>0</v>
      </c>
      <c r="I564" s="133" cm="1">
        <f t="array" ref="I564">_xlfn.IFNA((_xlfn.IFS(Baseline!C41="Nieuwe Situatie",(50),Baseline!C41="Bestaande Situatie",(0))),0)*Baseline!Q41*Baseline!R41</f>
        <v>0</v>
      </c>
      <c r="J564" s="133" cm="1">
        <f t="array" ref="J564">(_xlfn.IFNA((_xlfn.IFS(Baseline!C41="Nieuwe Situatie",(50),Baseline!C41="Bestaande Situatie",(50))),0)*Baseline!Q41)*Baseline!R41</f>
        <v>0</v>
      </c>
      <c r="K564" s="133">
        <f>IF(Referentie_Transport_Totaal[[#This Row],[Emissieloos Transport naar bouwplaats?]]="JA",Referentie_Transport_Totaal[[#This Row],[Transport naar bouwplaats Vervangingen '[tkm']]],0)+IF(Referentie_Transport_Totaal[[#This Row],[Emissieloos Transport naar verwerker?]]="JA",Referentie_Transport_Totaal[[#This Row],[Transport naar verwerker Vervangingen '[tkm']]],0)</f>
        <v>0</v>
      </c>
      <c r="L564" s="133">
        <f>Referentie_Transport_Totaal[[#This Row],[Emissieloos Transport]]+Referentie_Transport_Totaal[[#This Row],[Emissieloos Transport Vervangingen]]</f>
        <v>0</v>
      </c>
      <c r="M564" s="133">
        <f>(Referentie_Transport_Totaal[[#This Row],[Transport naar bouwplaats '[tkm']]]+Referentie_Transport_Totaal[[#This Row],[Transport naar verwerker '[tkm']]]+Referentie_Transport_Totaal[[#This Row],[Transport naar bouwplaats Vervangingen '[tkm']]]+Referentie_Transport_Totaal[[#This Row],[Transport naar verwerker Vervangingen '[tkm']]])-Referentie_Transport_Totaal[[#This Row],[Totaal Emissieloos Transport]]</f>
        <v>0</v>
      </c>
      <c r="N564" s="133">
        <f>Referentie_Transport_Totaal[[#This Row],[Totaal Emissieloos Transport]]+Referentie_Transport_Totaal[[#This Row],[Totaal Niet Emissieloos Transport]]</f>
        <v>0</v>
      </c>
      <c r="O564" s="13"/>
      <c r="P564" s="13"/>
      <c r="Q564" s="13"/>
      <c r="R564" s="13"/>
      <c r="S564" s="13"/>
    </row>
    <row r="565" spans="2:19">
      <c r="B565" s="209">
        <f>Baseline!B42</f>
        <v>0</v>
      </c>
      <c r="C565" s="51">
        <f>Baseline!F42</f>
        <v>0</v>
      </c>
      <c r="D565" s="93">
        <f>(IF(Baseline!C42="Nieuwe situatie",(Baseline!S42),0)*Baseline!Q42)</f>
        <v>0</v>
      </c>
      <c r="E565" s="98">
        <f>(IF(Baseline!C42="Bestaande situatie",(Baseline!AC42),0)*Baseline!Q42)</f>
        <v>0</v>
      </c>
      <c r="F565" s="94" t="str">
        <f>_xlfn.IFNA(VLOOKUP(Baseline!T42,Database_Transport[],60,FALSE),"Nee")</f>
        <v>Nee</v>
      </c>
      <c r="G565" s="94" t="str">
        <f>_xlfn.IFNA(VLOOKUP(Baseline!AC42,Database_Transport[],60,FALSE),"Nee")</f>
        <v>Nee</v>
      </c>
      <c r="H565" s="124">
        <f>IF(Referentie_Transport_Totaal[[#This Row],[Emissieloos Transport naar bouwplaats?]]="JA",Referentie_Transport_Totaal[[#This Row],[Transport naar bouwplaats '[tkm']]],0)+IF(Referentie_Transport_Totaal[[#This Row],[Emissieloos Transport naar verwerker?]]="JA",Referentie_Transport_Totaal[[#This Row],[Transport naar verwerker '[tkm']]],0)</f>
        <v>0</v>
      </c>
      <c r="I565" s="133" cm="1">
        <f t="array" ref="I565">_xlfn.IFNA((_xlfn.IFS(Baseline!C42="Nieuwe Situatie",(50),Baseline!C42="Bestaande Situatie",(0))),0)*Baseline!Q42*Baseline!R42</f>
        <v>0</v>
      </c>
      <c r="J565" s="133" cm="1">
        <f t="array" ref="J565">(_xlfn.IFNA((_xlfn.IFS(Baseline!C42="Nieuwe Situatie",(50),Baseline!C42="Bestaande Situatie",(50))),0)*Baseline!Q42)*Baseline!R42</f>
        <v>0</v>
      </c>
      <c r="K565" s="133">
        <f>IF(Referentie_Transport_Totaal[[#This Row],[Emissieloos Transport naar bouwplaats?]]="JA",Referentie_Transport_Totaal[[#This Row],[Transport naar bouwplaats Vervangingen '[tkm']]],0)+IF(Referentie_Transport_Totaal[[#This Row],[Emissieloos Transport naar verwerker?]]="JA",Referentie_Transport_Totaal[[#This Row],[Transport naar verwerker Vervangingen '[tkm']]],0)</f>
        <v>0</v>
      </c>
      <c r="L565" s="133">
        <f>Referentie_Transport_Totaal[[#This Row],[Emissieloos Transport]]+Referentie_Transport_Totaal[[#This Row],[Emissieloos Transport Vervangingen]]</f>
        <v>0</v>
      </c>
      <c r="M565" s="133">
        <f>(Referentie_Transport_Totaal[[#This Row],[Transport naar bouwplaats '[tkm']]]+Referentie_Transport_Totaal[[#This Row],[Transport naar verwerker '[tkm']]]+Referentie_Transport_Totaal[[#This Row],[Transport naar bouwplaats Vervangingen '[tkm']]]+Referentie_Transport_Totaal[[#This Row],[Transport naar verwerker Vervangingen '[tkm']]])-Referentie_Transport_Totaal[[#This Row],[Totaal Emissieloos Transport]]</f>
        <v>0</v>
      </c>
      <c r="N565" s="133">
        <f>Referentie_Transport_Totaal[[#This Row],[Totaal Emissieloos Transport]]+Referentie_Transport_Totaal[[#This Row],[Totaal Niet Emissieloos Transport]]</f>
        <v>0</v>
      </c>
      <c r="O565" s="13"/>
      <c r="P565" s="13"/>
      <c r="Q565" s="13"/>
      <c r="R565" s="13"/>
      <c r="S565" s="13"/>
    </row>
    <row r="566" spans="2:19">
      <c r="B566" s="209">
        <f>Baseline!B43</f>
        <v>0</v>
      </c>
      <c r="C566" s="51">
        <f>Baseline!F43</f>
        <v>0</v>
      </c>
      <c r="D566" s="93">
        <f>(IF(Baseline!C43="Nieuwe situatie",(Baseline!S43),0)*Baseline!Q43)</f>
        <v>0</v>
      </c>
      <c r="E566" s="98">
        <f>(IF(Baseline!C43="Bestaande situatie",(Baseline!AC43),0)*Baseline!Q43)</f>
        <v>0</v>
      </c>
      <c r="F566" s="94" t="str">
        <f>_xlfn.IFNA(VLOOKUP(Baseline!T43,Database_Transport[],60,FALSE),"Nee")</f>
        <v>Nee</v>
      </c>
      <c r="G566" s="94" t="str">
        <f>_xlfn.IFNA(VLOOKUP(Baseline!AC43,Database_Transport[],60,FALSE),"Nee")</f>
        <v>Nee</v>
      </c>
      <c r="H566" s="124">
        <f>IF(Referentie_Transport_Totaal[[#This Row],[Emissieloos Transport naar bouwplaats?]]="JA",Referentie_Transport_Totaal[[#This Row],[Transport naar bouwplaats '[tkm']]],0)+IF(Referentie_Transport_Totaal[[#This Row],[Emissieloos Transport naar verwerker?]]="JA",Referentie_Transport_Totaal[[#This Row],[Transport naar verwerker '[tkm']]],0)</f>
        <v>0</v>
      </c>
      <c r="I566" s="133" cm="1">
        <f t="array" ref="I566">_xlfn.IFNA((_xlfn.IFS(Baseline!C43="Nieuwe Situatie",(50),Baseline!C43="Bestaande Situatie",(0))),0)*Baseline!Q43*Baseline!R43</f>
        <v>0</v>
      </c>
      <c r="J566" s="133" cm="1">
        <f t="array" ref="J566">(_xlfn.IFNA((_xlfn.IFS(Baseline!C43="Nieuwe Situatie",(50),Baseline!C43="Bestaande Situatie",(50))),0)*Baseline!Q43)*Baseline!R43</f>
        <v>0</v>
      </c>
      <c r="K566" s="133">
        <f>IF(Referentie_Transport_Totaal[[#This Row],[Emissieloos Transport naar bouwplaats?]]="JA",Referentie_Transport_Totaal[[#This Row],[Transport naar bouwplaats Vervangingen '[tkm']]],0)+IF(Referentie_Transport_Totaal[[#This Row],[Emissieloos Transport naar verwerker?]]="JA",Referentie_Transport_Totaal[[#This Row],[Transport naar verwerker Vervangingen '[tkm']]],0)</f>
        <v>0</v>
      </c>
      <c r="L566" s="133">
        <f>Referentie_Transport_Totaal[[#This Row],[Emissieloos Transport]]+Referentie_Transport_Totaal[[#This Row],[Emissieloos Transport Vervangingen]]</f>
        <v>0</v>
      </c>
      <c r="M566" s="133">
        <f>(Referentie_Transport_Totaal[[#This Row],[Transport naar bouwplaats '[tkm']]]+Referentie_Transport_Totaal[[#This Row],[Transport naar verwerker '[tkm']]]+Referentie_Transport_Totaal[[#This Row],[Transport naar bouwplaats Vervangingen '[tkm']]]+Referentie_Transport_Totaal[[#This Row],[Transport naar verwerker Vervangingen '[tkm']]])-Referentie_Transport_Totaal[[#This Row],[Totaal Emissieloos Transport]]</f>
        <v>0</v>
      </c>
      <c r="N566" s="133">
        <f>Referentie_Transport_Totaal[[#This Row],[Totaal Emissieloos Transport]]+Referentie_Transport_Totaal[[#This Row],[Totaal Niet Emissieloos Transport]]</f>
        <v>0</v>
      </c>
      <c r="O566" s="13"/>
      <c r="P566" s="13"/>
      <c r="Q566" s="13"/>
      <c r="R566" s="13"/>
      <c r="S566" s="13"/>
    </row>
    <row r="567" spans="2:19">
      <c r="B567" s="209">
        <f>Baseline!B44</f>
        <v>0</v>
      </c>
      <c r="C567" s="51">
        <f>Baseline!F44</f>
        <v>0</v>
      </c>
      <c r="D567" s="93">
        <f>(IF(Baseline!C44="Nieuwe situatie",(Baseline!S44),0)*Baseline!Q44)</f>
        <v>0</v>
      </c>
      <c r="E567" s="98">
        <f>(IF(Baseline!C44="Bestaande situatie",(Baseline!AC44),0)*Baseline!Q44)</f>
        <v>0</v>
      </c>
      <c r="F567" s="94" t="str">
        <f>_xlfn.IFNA(VLOOKUP(Baseline!T44,Database_Transport[],60,FALSE),"Nee")</f>
        <v>Nee</v>
      </c>
      <c r="G567" s="94" t="str">
        <f>_xlfn.IFNA(VLOOKUP(Baseline!AC44,Database_Transport[],60,FALSE),"Nee")</f>
        <v>Nee</v>
      </c>
      <c r="H567" s="124">
        <f>IF(Referentie_Transport_Totaal[[#This Row],[Emissieloos Transport naar bouwplaats?]]="JA",Referentie_Transport_Totaal[[#This Row],[Transport naar bouwplaats '[tkm']]],0)+IF(Referentie_Transport_Totaal[[#This Row],[Emissieloos Transport naar verwerker?]]="JA",Referentie_Transport_Totaal[[#This Row],[Transport naar verwerker '[tkm']]],0)</f>
        <v>0</v>
      </c>
      <c r="I567" s="133" cm="1">
        <f t="array" ref="I567">_xlfn.IFNA((_xlfn.IFS(Baseline!C44="Nieuwe Situatie",(50),Baseline!C44="Bestaande Situatie",(0))),0)*Baseline!Q44*Baseline!R44</f>
        <v>0</v>
      </c>
      <c r="J567" s="133" cm="1">
        <f t="array" ref="J567">(_xlfn.IFNA((_xlfn.IFS(Baseline!C44="Nieuwe Situatie",(50),Baseline!C44="Bestaande Situatie",(50))),0)*Baseline!Q44)*Baseline!R44</f>
        <v>0</v>
      </c>
      <c r="K567" s="133">
        <f>IF(Referentie_Transport_Totaal[[#This Row],[Emissieloos Transport naar bouwplaats?]]="JA",Referentie_Transport_Totaal[[#This Row],[Transport naar bouwplaats Vervangingen '[tkm']]],0)+IF(Referentie_Transport_Totaal[[#This Row],[Emissieloos Transport naar verwerker?]]="JA",Referentie_Transport_Totaal[[#This Row],[Transport naar verwerker Vervangingen '[tkm']]],0)</f>
        <v>0</v>
      </c>
      <c r="L567" s="133">
        <f>Referentie_Transport_Totaal[[#This Row],[Emissieloos Transport]]+Referentie_Transport_Totaal[[#This Row],[Emissieloos Transport Vervangingen]]</f>
        <v>0</v>
      </c>
      <c r="M567" s="133">
        <f>(Referentie_Transport_Totaal[[#This Row],[Transport naar bouwplaats '[tkm']]]+Referentie_Transport_Totaal[[#This Row],[Transport naar verwerker '[tkm']]]+Referentie_Transport_Totaal[[#This Row],[Transport naar bouwplaats Vervangingen '[tkm']]]+Referentie_Transport_Totaal[[#This Row],[Transport naar verwerker Vervangingen '[tkm']]])-Referentie_Transport_Totaal[[#This Row],[Totaal Emissieloos Transport]]</f>
        <v>0</v>
      </c>
      <c r="N567" s="133">
        <f>Referentie_Transport_Totaal[[#This Row],[Totaal Emissieloos Transport]]+Referentie_Transport_Totaal[[#This Row],[Totaal Niet Emissieloos Transport]]</f>
        <v>0</v>
      </c>
      <c r="O567" s="13"/>
      <c r="P567" s="13"/>
      <c r="Q567" s="13"/>
      <c r="R567" s="13"/>
      <c r="S567" s="13"/>
    </row>
    <row r="568" spans="2:19">
      <c r="B568" s="209">
        <f>Baseline!B45</f>
        <v>0</v>
      </c>
      <c r="C568" s="51">
        <f>Baseline!F45</f>
        <v>0</v>
      </c>
      <c r="D568" s="93">
        <f>(IF(Baseline!C45="Nieuwe situatie",(Baseline!S45),0)*Baseline!Q45)</f>
        <v>0</v>
      </c>
      <c r="E568" s="98">
        <f>(IF(Baseline!C45="Bestaande situatie",(Baseline!AC45),0)*Baseline!Q45)</f>
        <v>0</v>
      </c>
      <c r="F568" s="94" t="str">
        <f>_xlfn.IFNA(VLOOKUP(Baseline!T45,Database_Transport[],60,FALSE),"Nee")</f>
        <v>Nee</v>
      </c>
      <c r="G568" s="94" t="str">
        <f>_xlfn.IFNA(VLOOKUP(Baseline!AC45,Database_Transport[],60,FALSE),"Nee")</f>
        <v>Nee</v>
      </c>
      <c r="H568" s="124">
        <f>IF(Referentie_Transport_Totaal[[#This Row],[Emissieloos Transport naar bouwplaats?]]="JA",Referentie_Transport_Totaal[[#This Row],[Transport naar bouwplaats '[tkm']]],0)+IF(Referentie_Transport_Totaal[[#This Row],[Emissieloos Transport naar verwerker?]]="JA",Referentie_Transport_Totaal[[#This Row],[Transport naar verwerker '[tkm']]],0)</f>
        <v>0</v>
      </c>
      <c r="I568" s="133" cm="1">
        <f t="array" ref="I568">_xlfn.IFNA((_xlfn.IFS(Baseline!C45="Nieuwe Situatie",(50),Baseline!C45="Bestaande Situatie",(0))),0)*Baseline!Q45*Baseline!R45</f>
        <v>0</v>
      </c>
      <c r="J568" s="133" cm="1">
        <f t="array" ref="J568">(_xlfn.IFNA((_xlfn.IFS(Baseline!C45="Nieuwe Situatie",(50),Baseline!C45="Bestaande Situatie",(50))),0)*Baseline!Q45)*Baseline!R45</f>
        <v>0</v>
      </c>
      <c r="K568" s="133">
        <f>IF(Referentie_Transport_Totaal[[#This Row],[Emissieloos Transport naar bouwplaats?]]="JA",Referentie_Transport_Totaal[[#This Row],[Transport naar bouwplaats Vervangingen '[tkm']]],0)+IF(Referentie_Transport_Totaal[[#This Row],[Emissieloos Transport naar verwerker?]]="JA",Referentie_Transport_Totaal[[#This Row],[Transport naar verwerker Vervangingen '[tkm']]],0)</f>
        <v>0</v>
      </c>
      <c r="L568" s="133">
        <f>Referentie_Transport_Totaal[[#This Row],[Emissieloos Transport]]+Referentie_Transport_Totaal[[#This Row],[Emissieloos Transport Vervangingen]]</f>
        <v>0</v>
      </c>
      <c r="M568" s="133">
        <f>(Referentie_Transport_Totaal[[#This Row],[Transport naar bouwplaats '[tkm']]]+Referentie_Transport_Totaal[[#This Row],[Transport naar verwerker '[tkm']]]+Referentie_Transport_Totaal[[#This Row],[Transport naar bouwplaats Vervangingen '[tkm']]]+Referentie_Transport_Totaal[[#This Row],[Transport naar verwerker Vervangingen '[tkm']]])-Referentie_Transport_Totaal[[#This Row],[Totaal Emissieloos Transport]]</f>
        <v>0</v>
      </c>
      <c r="N568" s="133">
        <f>Referentie_Transport_Totaal[[#This Row],[Totaal Emissieloos Transport]]+Referentie_Transport_Totaal[[#This Row],[Totaal Niet Emissieloos Transport]]</f>
        <v>0</v>
      </c>
      <c r="O568" s="13"/>
      <c r="P568" s="13"/>
      <c r="Q568" s="13"/>
      <c r="R568" s="13"/>
      <c r="S568" s="13"/>
    </row>
    <row r="569" spans="2:19">
      <c r="B569" s="209">
        <f>Baseline!B46</f>
        <v>0</v>
      </c>
      <c r="C569" s="51">
        <f>Baseline!F46</f>
        <v>0</v>
      </c>
      <c r="D569" s="93">
        <f>(IF(Baseline!C46="Nieuwe situatie",(Baseline!S46),0)*Baseline!Q46)</f>
        <v>0</v>
      </c>
      <c r="E569" s="98">
        <f>(IF(Baseline!C46="Bestaande situatie",(Baseline!AC46),0)*Baseline!Q46)</f>
        <v>0</v>
      </c>
      <c r="F569" s="94" t="str">
        <f>_xlfn.IFNA(VLOOKUP(Baseline!T46,Database_Transport[],60,FALSE),"Nee")</f>
        <v>Nee</v>
      </c>
      <c r="G569" s="94" t="str">
        <f>_xlfn.IFNA(VLOOKUP(Baseline!AC46,Database_Transport[],60,FALSE),"Nee")</f>
        <v>Nee</v>
      </c>
      <c r="H569" s="124">
        <f>IF(Referentie_Transport_Totaal[[#This Row],[Emissieloos Transport naar bouwplaats?]]="JA",Referentie_Transport_Totaal[[#This Row],[Transport naar bouwplaats '[tkm']]],0)+IF(Referentie_Transport_Totaal[[#This Row],[Emissieloos Transport naar verwerker?]]="JA",Referentie_Transport_Totaal[[#This Row],[Transport naar verwerker '[tkm']]],0)</f>
        <v>0</v>
      </c>
      <c r="I569" s="133" cm="1">
        <f t="array" ref="I569">_xlfn.IFNA((_xlfn.IFS(Baseline!C46="Nieuwe Situatie",(50),Baseline!C46="Bestaande Situatie",(0))),0)*Baseline!Q46*Baseline!R46</f>
        <v>0</v>
      </c>
      <c r="J569" s="133" cm="1">
        <f t="array" ref="J569">(_xlfn.IFNA((_xlfn.IFS(Baseline!C46="Nieuwe Situatie",(50),Baseline!C46="Bestaande Situatie",(50))),0)*Baseline!Q46)*Baseline!R46</f>
        <v>0</v>
      </c>
      <c r="K569" s="133">
        <f>IF(Referentie_Transport_Totaal[[#This Row],[Emissieloos Transport naar bouwplaats?]]="JA",Referentie_Transport_Totaal[[#This Row],[Transport naar bouwplaats Vervangingen '[tkm']]],0)+IF(Referentie_Transport_Totaal[[#This Row],[Emissieloos Transport naar verwerker?]]="JA",Referentie_Transport_Totaal[[#This Row],[Transport naar verwerker Vervangingen '[tkm']]],0)</f>
        <v>0</v>
      </c>
      <c r="L569" s="133">
        <f>Referentie_Transport_Totaal[[#This Row],[Emissieloos Transport]]+Referentie_Transport_Totaal[[#This Row],[Emissieloos Transport Vervangingen]]</f>
        <v>0</v>
      </c>
      <c r="M569" s="133">
        <f>(Referentie_Transport_Totaal[[#This Row],[Transport naar bouwplaats '[tkm']]]+Referentie_Transport_Totaal[[#This Row],[Transport naar verwerker '[tkm']]]+Referentie_Transport_Totaal[[#This Row],[Transport naar bouwplaats Vervangingen '[tkm']]]+Referentie_Transport_Totaal[[#This Row],[Transport naar verwerker Vervangingen '[tkm']]])-Referentie_Transport_Totaal[[#This Row],[Totaal Emissieloos Transport]]</f>
        <v>0</v>
      </c>
      <c r="N569" s="133">
        <f>Referentie_Transport_Totaal[[#This Row],[Totaal Emissieloos Transport]]+Referentie_Transport_Totaal[[#This Row],[Totaal Niet Emissieloos Transport]]</f>
        <v>0</v>
      </c>
      <c r="O569" s="13"/>
      <c r="P569" s="13"/>
      <c r="Q569" s="13"/>
      <c r="R569" s="13"/>
      <c r="S569" s="13"/>
    </row>
    <row r="570" spans="2:19">
      <c r="B570" s="209">
        <f>Baseline!B47</f>
        <v>0</v>
      </c>
      <c r="C570" s="51">
        <f>Baseline!F47</f>
        <v>0</v>
      </c>
      <c r="D570" s="93">
        <f>(IF(Baseline!C47="Nieuwe situatie",(Baseline!S47),0)*Baseline!Q47)</f>
        <v>0</v>
      </c>
      <c r="E570" s="98">
        <f>(IF(Baseline!C47="Bestaande situatie",(Baseline!AC47),0)*Baseline!Q47)</f>
        <v>0</v>
      </c>
      <c r="F570" s="94" t="str">
        <f>_xlfn.IFNA(VLOOKUP(Baseline!T47,Database_Transport[],60,FALSE),"Nee")</f>
        <v>Nee</v>
      </c>
      <c r="G570" s="94" t="str">
        <f>_xlfn.IFNA(VLOOKUP(Baseline!AC47,Database_Transport[],60,FALSE),"Nee")</f>
        <v>Nee</v>
      </c>
      <c r="H570" s="124">
        <f>IF(Referentie_Transport_Totaal[[#This Row],[Emissieloos Transport naar bouwplaats?]]="JA",Referentie_Transport_Totaal[[#This Row],[Transport naar bouwplaats '[tkm']]],0)+IF(Referentie_Transport_Totaal[[#This Row],[Emissieloos Transport naar verwerker?]]="JA",Referentie_Transport_Totaal[[#This Row],[Transport naar verwerker '[tkm']]],0)</f>
        <v>0</v>
      </c>
      <c r="I570" s="133" cm="1">
        <f t="array" ref="I570">_xlfn.IFNA((_xlfn.IFS(Baseline!C47="Nieuwe Situatie",(50),Baseline!C47="Bestaande Situatie",(0))),0)*Baseline!Q47*Baseline!R47</f>
        <v>0</v>
      </c>
      <c r="J570" s="133" cm="1">
        <f t="array" ref="J570">(_xlfn.IFNA((_xlfn.IFS(Baseline!C47="Nieuwe Situatie",(50),Baseline!C47="Bestaande Situatie",(50))),0)*Baseline!Q47)*Baseline!R47</f>
        <v>0</v>
      </c>
      <c r="K570" s="133">
        <f>IF(Referentie_Transport_Totaal[[#This Row],[Emissieloos Transport naar bouwplaats?]]="JA",Referentie_Transport_Totaal[[#This Row],[Transport naar bouwplaats Vervangingen '[tkm']]],0)+IF(Referentie_Transport_Totaal[[#This Row],[Emissieloos Transport naar verwerker?]]="JA",Referentie_Transport_Totaal[[#This Row],[Transport naar verwerker Vervangingen '[tkm']]],0)</f>
        <v>0</v>
      </c>
      <c r="L570" s="133">
        <f>Referentie_Transport_Totaal[[#This Row],[Emissieloos Transport]]+Referentie_Transport_Totaal[[#This Row],[Emissieloos Transport Vervangingen]]</f>
        <v>0</v>
      </c>
      <c r="M570" s="133">
        <f>(Referentie_Transport_Totaal[[#This Row],[Transport naar bouwplaats '[tkm']]]+Referentie_Transport_Totaal[[#This Row],[Transport naar verwerker '[tkm']]]+Referentie_Transport_Totaal[[#This Row],[Transport naar bouwplaats Vervangingen '[tkm']]]+Referentie_Transport_Totaal[[#This Row],[Transport naar verwerker Vervangingen '[tkm']]])-Referentie_Transport_Totaal[[#This Row],[Totaal Emissieloos Transport]]</f>
        <v>0</v>
      </c>
      <c r="N570" s="133">
        <f>Referentie_Transport_Totaal[[#This Row],[Totaal Emissieloos Transport]]+Referentie_Transport_Totaal[[#This Row],[Totaal Niet Emissieloos Transport]]</f>
        <v>0</v>
      </c>
      <c r="O570" s="13"/>
      <c r="P570" s="13"/>
      <c r="Q570" s="13"/>
      <c r="R570" s="13"/>
      <c r="S570" s="13"/>
    </row>
    <row r="571" spans="2:19">
      <c r="B571" s="209">
        <f>Baseline!B48</f>
        <v>0</v>
      </c>
      <c r="C571" s="51">
        <f>Baseline!F48</f>
        <v>0</v>
      </c>
      <c r="D571" s="93">
        <f>(IF(Baseline!C48="Nieuwe situatie",(Baseline!S48),0)*Baseline!Q48)</f>
        <v>0</v>
      </c>
      <c r="E571" s="98">
        <f>(IF(Baseline!C48="Bestaande situatie",(Baseline!AC48),0)*Baseline!Q48)</f>
        <v>0</v>
      </c>
      <c r="F571" s="94" t="str">
        <f>_xlfn.IFNA(VLOOKUP(Baseline!T48,Database_Transport[],60,FALSE),"Nee")</f>
        <v>Nee</v>
      </c>
      <c r="G571" s="94" t="str">
        <f>_xlfn.IFNA(VLOOKUP(Baseline!AC48,Database_Transport[],60,FALSE),"Nee")</f>
        <v>Nee</v>
      </c>
      <c r="H571" s="124">
        <f>IF(Referentie_Transport_Totaal[[#This Row],[Emissieloos Transport naar bouwplaats?]]="JA",Referentie_Transport_Totaal[[#This Row],[Transport naar bouwplaats '[tkm']]],0)+IF(Referentie_Transport_Totaal[[#This Row],[Emissieloos Transport naar verwerker?]]="JA",Referentie_Transport_Totaal[[#This Row],[Transport naar verwerker '[tkm']]],0)</f>
        <v>0</v>
      </c>
      <c r="I571" s="133" cm="1">
        <f t="array" ref="I571">_xlfn.IFNA((_xlfn.IFS(Baseline!C48="Nieuwe Situatie",(50),Baseline!C48="Bestaande Situatie",(0))),0)*Baseline!Q48*Baseline!R48</f>
        <v>0</v>
      </c>
      <c r="J571" s="133" cm="1">
        <f t="array" ref="J571">(_xlfn.IFNA((_xlfn.IFS(Baseline!C48="Nieuwe Situatie",(50),Baseline!C48="Bestaande Situatie",(50))),0)*Baseline!Q48)*Baseline!R48</f>
        <v>0</v>
      </c>
      <c r="K571" s="133">
        <f>IF(Referentie_Transport_Totaal[[#This Row],[Emissieloos Transport naar bouwplaats?]]="JA",Referentie_Transport_Totaal[[#This Row],[Transport naar bouwplaats Vervangingen '[tkm']]],0)+IF(Referentie_Transport_Totaal[[#This Row],[Emissieloos Transport naar verwerker?]]="JA",Referentie_Transport_Totaal[[#This Row],[Transport naar verwerker Vervangingen '[tkm']]],0)</f>
        <v>0</v>
      </c>
      <c r="L571" s="133">
        <f>Referentie_Transport_Totaal[[#This Row],[Emissieloos Transport]]+Referentie_Transport_Totaal[[#This Row],[Emissieloos Transport Vervangingen]]</f>
        <v>0</v>
      </c>
      <c r="M571" s="133">
        <f>(Referentie_Transport_Totaal[[#This Row],[Transport naar bouwplaats '[tkm']]]+Referentie_Transport_Totaal[[#This Row],[Transport naar verwerker '[tkm']]]+Referentie_Transport_Totaal[[#This Row],[Transport naar bouwplaats Vervangingen '[tkm']]]+Referentie_Transport_Totaal[[#This Row],[Transport naar verwerker Vervangingen '[tkm']]])-Referentie_Transport_Totaal[[#This Row],[Totaal Emissieloos Transport]]</f>
        <v>0</v>
      </c>
      <c r="N571" s="133">
        <f>Referentie_Transport_Totaal[[#This Row],[Totaal Emissieloos Transport]]+Referentie_Transport_Totaal[[#This Row],[Totaal Niet Emissieloos Transport]]</f>
        <v>0</v>
      </c>
      <c r="O571" s="13"/>
      <c r="P571" s="13"/>
      <c r="Q571" s="13"/>
      <c r="R571" s="13"/>
      <c r="S571" s="13"/>
    </row>
    <row r="572" spans="2:19">
      <c r="B572" s="209">
        <f>Baseline!B49</f>
        <v>0</v>
      </c>
      <c r="C572" s="51">
        <f>Baseline!F49</f>
        <v>0</v>
      </c>
      <c r="D572" s="93">
        <f>(IF(Baseline!C49="Nieuwe situatie",(Baseline!S49),0)*Baseline!Q49)</f>
        <v>0</v>
      </c>
      <c r="E572" s="98">
        <f>(IF(Baseline!C49="Bestaande situatie",(Baseline!AC49),0)*Baseline!Q49)</f>
        <v>0</v>
      </c>
      <c r="F572" s="94" t="str">
        <f>_xlfn.IFNA(VLOOKUP(Baseline!T49,Database_Transport[],60,FALSE),"Nee")</f>
        <v>Nee</v>
      </c>
      <c r="G572" s="94" t="str">
        <f>_xlfn.IFNA(VLOOKUP(Baseline!AC49,Database_Transport[],60,FALSE),"Nee")</f>
        <v>Nee</v>
      </c>
      <c r="H572" s="124">
        <f>IF(Referentie_Transport_Totaal[[#This Row],[Emissieloos Transport naar bouwplaats?]]="JA",Referentie_Transport_Totaal[[#This Row],[Transport naar bouwplaats '[tkm']]],0)+IF(Referentie_Transport_Totaal[[#This Row],[Emissieloos Transport naar verwerker?]]="JA",Referentie_Transport_Totaal[[#This Row],[Transport naar verwerker '[tkm']]],0)</f>
        <v>0</v>
      </c>
      <c r="I572" s="133" cm="1">
        <f t="array" ref="I572">_xlfn.IFNA((_xlfn.IFS(Baseline!C49="Nieuwe Situatie",(50),Baseline!C49="Bestaande Situatie",(0))),0)*Baseline!Q49*Baseline!R49</f>
        <v>0</v>
      </c>
      <c r="J572" s="133" cm="1">
        <f t="array" ref="J572">(_xlfn.IFNA((_xlfn.IFS(Baseline!C49="Nieuwe Situatie",(50),Baseline!C49="Bestaande Situatie",(50))),0)*Baseline!Q49)*Baseline!R49</f>
        <v>0</v>
      </c>
      <c r="K572" s="133">
        <f>IF(Referentie_Transport_Totaal[[#This Row],[Emissieloos Transport naar bouwplaats?]]="JA",Referentie_Transport_Totaal[[#This Row],[Transport naar bouwplaats Vervangingen '[tkm']]],0)+IF(Referentie_Transport_Totaal[[#This Row],[Emissieloos Transport naar verwerker?]]="JA",Referentie_Transport_Totaal[[#This Row],[Transport naar verwerker Vervangingen '[tkm']]],0)</f>
        <v>0</v>
      </c>
      <c r="L572" s="133">
        <f>Referentie_Transport_Totaal[[#This Row],[Emissieloos Transport]]+Referentie_Transport_Totaal[[#This Row],[Emissieloos Transport Vervangingen]]</f>
        <v>0</v>
      </c>
      <c r="M572" s="133">
        <f>(Referentie_Transport_Totaal[[#This Row],[Transport naar bouwplaats '[tkm']]]+Referentie_Transport_Totaal[[#This Row],[Transport naar verwerker '[tkm']]]+Referentie_Transport_Totaal[[#This Row],[Transport naar bouwplaats Vervangingen '[tkm']]]+Referentie_Transport_Totaal[[#This Row],[Transport naar verwerker Vervangingen '[tkm']]])-Referentie_Transport_Totaal[[#This Row],[Totaal Emissieloos Transport]]</f>
        <v>0</v>
      </c>
      <c r="N572" s="133">
        <f>Referentie_Transport_Totaal[[#This Row],[Totaal Emissieloos Transport]]+Referentie_Transport_Totaal[[#This Row],[Totaal Niet Emissieloos Transport]]</f>
        <v>0</v>
      </c>
      <c r="O572" s="13"/>
      <c r="P572" s="13"/>
      <c r="Q572" s="13"/>
      <c r="R572" s="13"/>
      <c r="S572" s="13"/>
    </row>
    <row r="573" spans="2:19">
      <c r="B573" s="209">
        <f>Baseline!B50</f>
        <v>0</v>
      </c>
      <c r="C573" s="51">
        <f>Baseline!F50</f>
        <v>0</v>
      </c>
      <c r="D573" s="93">
        <f>(IF(Baseline!C50="Nieuwe situatie",(Baseline!S50),0)*Baseline!Q50)</f>
        <v>0</v>
      </c>
      <c r="E573" s="98">
        <f>(IF(Baseline!C50="Bestaande situatie",(Baseline!AC50),0)*Baseline!Q50)</f>
        <v>0</v>
      </c>
      <c r="F573" s="94" t="str">
        <f>_xlfn.IFNA(VLOOKUP(Baseline!T50,Database_Transport[],60,FALSE),"Nee")</f>
        <v>Nee</v>
      </c>
      <c r="G573" s="94" t="str">
        <f>_xlfn.IFNA(VLOOKUP(Baseline!AC50,Database_Transport[],60,FALSE),"Nee")</f>
        <v>Nee</v>
      </c>
      <c r="H573" s="124">
        <f>IF(Referentie_Transport_Totaal[[#This Row],[Emissieloos Transport naar bouwplaats?]]="JA",Referentie_Transport_Totaal[[#This Row],[Transport naar bouwplaats '[tkm']]],0)+IF(Referentie_Transport_Totaal[[#This Row],[Emissieloos Transport naar verwerker?]]="JA",Referentie_Transport_Totaal[[#This Row],[Transport naar verwerker '[tkm']]],0)</f>
        <v>0</v>
      </c>
      <c r="I573" s="133" cm="1">
        <f t="array" ref="I573">_xlfn.IFNA((_xlfn.IFS(Baseline!C50="Nieuwe Situatie",(50),Baseline!C50="Bestaande Situatie",(0))),0)*Baseline!Q50*Baseline!R50</f>
        <v>0</v>
      </c>
      <c r="J573" s="133" cm="1">
        <f t="array" ref="J573">(_xlfn.IFNA((_xlfn.IFS(Baseline!C50="Nieuwe Situatie",(50),Baseline!C50="Bestaande Situatie",(50))),0)*Baseline!Q50)*Baseline!R50</f>
        <v>0</v>
      </c>
      <c r="K573" s="133">
        <f>IF(Referentie_Transport_Totaal[[#This Row],[Emissieloos Transport naar bouwplaats?]]="JA",Referentie_Transport_Totaal[[#This Row],[Transport naar bouwplaats Vervangingen '[tkm']]],0)+IF(Referentie_Transport_Totaal[[#This Row],[Emissieloos Transport naar verwerker?]]="JA",Referentie_Transport_Totaal[[#This Row],[Transport naar verwerker Vervangingen '[tkm']]],0)</f>
        <v>0</v>
      </c>
      <c r="L573" s="133">
        <f>Referentie_Transport_Totaal[[#This Row],[Emissieloos Transport]]+Referentie_Transport_Totaal[[#This Row],[Emissieloos Transport Vervangingen]]</f>
        <v>0</v>
      </c>
      <c r="M573" s="133">
        <f>(Referentie_Transport_Totaal[[#This Row],[Transport naar bouwplaats '[tkm']]]+Referentie_Transport_Totaal[[#This Row],[Transport naar verwerker '[tkm']]]+Referentie_Transport_Totaal[[#This Row],[Transport naar bouwplaats Vervangingen '[tkm']]]+Referentie_Transport_Totaal[[#This Row],[Transport naar verwerker Vervangingen '[tkm']]])-Referentie_Transport_Totaal[[#This Row],[Totaal Emissieloos Transport]]</f>
        <v>0</v>
      </c>
      <c r="N573" s="133">
        <f>Referentie_Transport_Totaal[[#This Row],[Totaal Emissieloos Transport]]+Referentie_Transport_Totaal[[#This Row],[Totaal Niet Emissieloos Transport]]</f>
        <v>0</v>
      </c>
      <c r="O573" s="13"/>
      <c r="P573" s="13"/>
      <c r="Q573" s="13"/>
      <c r="R573" s="13"/>
      <c r="S573" s="13"/>
    </row>
    <row r="574" spans="2:19">
      <c r="B574" s="209">
        <f>Baseline!B51</f>
        <v>0</v>
      </c>
      <c r="C574" s="51">
        <f>Baseline!F51</f>
        <v>0</v>
      </c>
      <c r="D574" s="93">
        <f>(IF(Baseline!C51="Nieuwe situatie",(Baseline!S51),0)*Baseline!Q51)</f>
        <v>0</v>
      </c>
      <c r="E574" s="98">
        <f>(IF(Baseline!C51="Bestaande situatie",(Baseline!AC51),0)*Baseline!Q51)</f>
        <v>0</v>
      </c>
      <c r="F574" s="94" t="str">
        <f>_xlfn.IFNA(VLOOKUP(Baseline!T51,Database_Transport[],60,FALSE),"Nee")</f>
        <v>Nee</v>
      </c>
      <c r="G574" s="94" t="str">
        <f>_xlfn.IFNA(VLOOKUP(Baseline!AC51,Database_Transport[],60,FALSE),"Nee")</f>
        <v>Nee</v>
      </c>
      <c r="H574" s="124">
        <f>IF(Referentie_Transport_Totaal[[#This Row],[Emissieloos Transport naar bouwplaats?]]="JA",Referentie_Transport_Totaal[[#This Row],[Transport naar bouwplaats '[tkm']]],0)+IF(Referentie_Transport_Totaal[[#This Row],[Emissieloos Transport naar verwerker?]]="JA",Referentie_Transport_Totaal[[#This Row],[Transport naar verwerker '[tkm']]],0)</f>
        <v>0</v>
      </c>
      <c r="I574" s="133" cm="1">
        <f t="array" ref="I574">_xlfn.IFNA((_xlfn.IFS(Baseline!C51="Nieuwe Situatie",(50),Baseline!C51="Bestaande Situatie",(0))),0)*Baseline!Q51*Baseline!R51</f>
        <v>0</v>
      </c>
      <c r="J574" s="133" cm="1">
        <f t="array" ref="J574">(_xlfn.IFNA((_xlfn.IFS(Baseline!C51="Nieuwe Situatie",(50),Baseline!C51="Bestaande Situatie",(50))),0)*Baseline!Q51)*Baseline!R51</f>
        <v>0</v>
      </c>
      <c r="K574" s="133">
        <f>IF(Referentie_Transport_Totaal[[#This Row],[Emissieloos Transport naar bouwplaats?]]="JA",Referentie_Transport_Totaal[[#This Row],[Transport naar bouwplaats Vervangingen '[tkm']]],0)+IF(Referentie_Transport_Totaal[[#This Row],[Emissieloos Transport naar verwerker?]]="JA",Referentie_Transport_Totaal[[#This Row],[Transport naar verwerker Vervangingen '[tkm']]],0)</f>
        <v>0</v>
      </c>
      <c r="L574" s="133">
        <f>Referentie_Transport_Totaal[[#This Row],[Emissieloos Transport]]+Referentie_Transport_Totaal[[#This Row],[Emissieloos Transport Vervangingen]]</f>
        <v>0</v>
      </c>
      <c r="M574" s="133">
        <f>(Referentie_Transport_Totaal[[#This Row],[Transport naar bouwplaats '[tkm']]]+Referentie_Transport_Totaal[[#This Row],[Transport naar verwerker '[tkm']]]+Referentie_Transport_Totaal[[#This Row],[Transport naar bouwplaats Vervangingen '[tkm']]]+Referentie_Transport_Totaal[[#This Row],[Transport naar verwerker Vervangingen '[tkm']]])-Referentie_Transport_Totaal[[#This Row],[Totaal Emissieloos Transport]]</f>
        <v>0</v>
      </c>
      <c r="N574" s="133">
        <f>Referentie_Transport_Totaal[[#This Row],[Totaal Emissieloos Transport]]+Referentie_Transport_Totaal[[#This Row],[Totaal Niet Emissieloos Transport]]</f>
        <v>0</v>
      </c>
      <c r="O574" s="13"/>
      <c r="P574" s="13"/>
      <c r="Q574" s="13"/>
      <c r="R574" s="13"/>
      <c r="S574" s="13"/>
    </row>
    <row r="575" spans="2:19">
      <c r="B575" s="209">
        <f>Baseline!B52</f>
        <v>0</v>
      </c>
      <c r="C575" s="51">
        <f>Baseline!F52</f>
        <v>0</v>
      </c>
      <c r="D575" s="93">
        <f>(IF(Baseline!C52="Nieuwe situatie",(Baseline!S52),0)*Baseline!Q52)</f>
        <v>0</v>
      </c>
      <c r="E575" s="98">
        <f>(IF(Baseline!C52="Bestaande situatie",(Baseline!AC52),0)*Baseline!Q52)</f>
        <v>0</v>
      </c>
      <c r="F575" s="94" t="str">
        <f>_xlfn.IFNA(VLOOKUP(Baseline!T52,Database_Transport[],60,FALSE),"Nee")</f>
        <v>Nee</v>
      </c>
      <c r="G575" s="94" t="str">
        <f>_xlfn.IFNA(VLOOKUP(Baseline!AC52,Database_Transport[],60,FALSE),"Nee")</f>
        <v>Nee</v>
      </c>
      <c r="H575" s="124">
        <f>IF(Referentie_Transport_Totaal[[#This Row],[Emissieloos Transport naar bouwplaats?]]="JA",Referentie_Transport_Totaal[[#This Row],[Transport naar bouwplaats '[tkm']]],0)+IF(Referentie_Transport_Totaal[[#This Row],[Emissieloos Transport naar verwerker?]]="JA",Referentie_Transport_Totaal[[#This Row],[Transport naar verwerker '[tkm']]],0)</f>
        <v>0</v>
      </c>
      <c r="I575" s="133" cm="1">
        <f t="array" ref="I575">_xlfn.IFNA((_xlfn.IFS(Baseline!C52="Nieuwe Situatie",(50),Baseline!C52="Bestaande Situatie",(0))),0)*Baseline!Q52*Baseline!R52</f>
        <v>0</v>
      </c>
      <c r="J575" s="133" cm="1">
        <f t="array" ref="J575">(_xlfn.IFNA((_xlfn.IFS(Baseline!C52="Nieuwe Situatie",(50),Baseline!C52="Bestaande Situatie",(50))),0)*Baseline!Q52)*Baseline!R52</f>
        <v>0</v>
      </c>
      <c r="K575" s="133">
        <f>IF(Referentie_Transport_Totaal[[#This Row],[Emissieloos Transport naar bouwplaats?]]="JA",Referentie_Transport_Totaal[[#This Row],[Transport naar bouwplaats Vervangingen '[tkm']]],0)+IF(Referentie_Transport_Totaal[[#This Row],[Emissieloos Transport naar verwerker?]]="JA",Referentie_Transport_Totaal[[#This Row],[Transport naar verwerker Vervangingen '[tkm']]],0)</f>
        <v>0</v>
      </c>
      <c r="L575" s="133">
        <f>Referentie_Transport_Totaal[[#This Row],[Emissieloos Transport]]+Referentie_Transport_Totaal[[#This Row],[Emissieloos Transport Vervangingen]]</f>
        <v>0</v>
      </c>
      <c r="M575" s="133">
        <f>(Referentie_Transport_Totaal[[#This Row],[Transport naar bouwplaats '[tkm']]]+Referentie_Transport_Totaal[[#This Row],[Transport naar verwerker '[tkm']]]+Referentie_Transport_Totaal[[#This Row],[Transport naar bouwplaats Vervangingen '[tkm']]]+Referentie_Transport_Totaal[[#This Row],[Transport naar verwerker Vervangingen '[tkm']]])-Referentie_Transport_Totaal[[#This Row],[Totaal Emissieloos Transport]]</f>
        <v>0</v>
      </c>
      <c r="N575" s="133">
        <f>Referentie_Transport_Totaal[[#This Row],[Totaal Emissieloos Transport]]+Referentie_Transport_Totaal[[#This Row],[Totaal Niet Emissieloos Transport]]</f>
        <v>0</v>
      </c>
      <c r="O575" s="13"/>
      <c r="P575" s="13"/>
      <c r="Q575" s="13"/>
      <c r="R575" s="13"/>
      <c r="S575" s="13"/>
    </row>
    <row r="576" spans="2:19">
      <c r="B576" s="209">
        <f>Baseline!B53</f>
        <v>0</v>
      </c>
      <c r="C576" s="51">
        <f>Baseline!F53</f>
        <v>0</v>
      </c>
      <c r="D576" s="93">
        <f>(IF(Baseline!C53="Nieuwe situatie",(Baseline!S53),0)*Baseline!Q53)</f>
        <v>0</v>
      </c>
      <c r="E576" s="98">
        <f>(IF(Baseline!C53="Bestaande situatie",(Baseline!AC53),0)*Baseline!Q53)</f>
        <v>0</v>
      </c>
      <c r="F576" s="94" t="str">
        <f>_xlfn.IFNA(VLOOKUP(Baseline!T53,Database_Transport[],60,FALSE),"Nee")</f>
        <v>Nee</v>
      </c>
      <c r="G576" s="94" t="str">
        <f>_xlfn.IFNA(VLOOKUP(Baseline!AC53,Database_Transport[],60,FALSE),"Nee")</f>
        <v>Nee</v>
      </c>
      <c r="H576" s="124">
        <f>IF(Referentie_Transport_Totaal[[#This Row],[Emissieloos Transport naar bouwplaats?]]="JA",Referentie_Transport_Totaal[[#This Row],[Transport naar bouwplaats '[tkm']]],0)+IF(Referentie_Transport_Totaal[[#This Row],[Emissieloos Transport naar verwerker?]]="JA",Referentie_Transport_Totaal[[#This Row],[Transport naar verwerker '[tkm']]],0)</f>
        <v>0</v>
      </c>
      <c r="I576" s="133" cm="1">
        <f t="array" ref="I576">_xlfn.IFNA((_xlfn.IFS(Baseline!C53="Nieuwe Situatie",(50),Baseline!C53="Bestaande Situatie",(0))),0)*Baseline!Q53*Baseline!R53</f>
        <v>0</v>
      </c>
      <c r="J576" s="133" cm="1">
        <f t="array" ref="J576">(_xlfn.IFNA((_xlfn.IFS(Baseline!C53="Nieuwe Situatie",(50),Baseline!C53="Bestaande Situatie",(50))),0)*Baseline!Q53)*Baseline!R53</f>
        <v>0</v>
      </c>
      <c r="K576" s="133">
        <f>IF(Referentie_Transport_Totaal[[#This Row],[Emissieloos Transport naar bouwplaats?]]="JA",Referentie_Transport_Totaal[[#This Row],[Transport naar bouwplaats Vervangingen '[tkm']]],0)+IF(Referentie_Transport_Totaal[[#This Row],[Emissieloos Transport naar verwerker?]]="JA",Referentie_Transport_Totaal[[#This Row],[Transport naar verwerker Vervangingen '[tkm']]],0)</f>
        <v>0</v>
      </c>
      <c r="L576" s="133">
        <f>Referentie_Transport_Totaal[[#This Row],[Emissieloos Transport]]+Referentie_Transport_Totaal[[#This Row],[Emissieloos Transport Vervangingen]]</f>
        <v>0</v>
      </c>
      <c r="M576" s="133">
        <f>(Referentie_Transport_Totaal[[#This Row],[Transport naar bouwplaats '[tkm']]]+Referentie_Transport_Totaal[[#This Row],[Transport naar verwerker '[tkm']]]+Referentie_Transport_Totaal[[#This Row],[Transport naar bouwplaats Vervangingen '[tkm']]]+Referentie_Transport_Totaal[[#This Row],[Transport naar verwerker Vervangingen '[tkm']]])-Referentie_Transport_Totaal[[#This Row],[Totaal Emissieloos Transport]]</f>
        <v>0</v>
      </c>
      <c r="N576" s="133">
        <f>Referentie_Transport_Totaal[[#This Row],[Totaal Emissieloos Transport]]+Referentie_Transport_Totaal[[#This Row],[Totaal Niet Emissieloos Transport]]</f>
        <v>0</v>
      </c>
      <c r="O576" s="13"/>
      <c r="P576" s="13"/>
      <c r="Q576" s="13"/>
      <c r="R576" s="13"/>
      <c r="S576" s="13"/>
    </row>
    <row r="577" spans="2:19">
      <c r="B577" s="209">
        <f>Baseline!B54</f>
        <v>0</v>
      </c>
      <c r="C577" s="51">
        <f>Baseline!F54</f>
        <v>0</v>
      </c>
      <c r="D577" s="93">
        <f>(IF(Baseline!C54="Nieuwe situatie",(Baseline!S54),0)*Baseline!Q54)</f>
        <v>0</v>
      </c>
      <c r="E577" s="98">
        <f>(IF(Baseline!C54="Bestaande situatie",(Baseline!AC54),0)*Baseline!Q54)</f>
        <v>0</v>
      </c>
      <c r="F577" s="94" t="str">
        <f>_xlfn.IFNA(VLOOKUP(Baseline!T54,Database_Transport[],60,FALSE),"Nee")</f>
        <v>Nee</v>
      </c>
      <c r="G577" s="94" t="str">
        <f>_xlfn.IFNA(VLOOKUP(Baseline!AC54,Database_Transport[],60,FALSE),"Nee")</f>
        <v>Nee</v>
      </c>
      <c r="H577" s="124">
        <f>IF(Referentie_Transport_Totaal[[#This Row],[Emissieloos Transport naar bouwplaats?]]="JA",Referentie_Transport_Totaal[[#This Row],[Transport naar bouwplaats '[tkm']]],0)+IF(Referentie_Transport_Totaal[[#This Row],[Emissieloos Transport naar verwerker?]]="JA",Referentie_Transport_Totaal[[#This Row],[Transport naar verwerker '[tkm']]],0)</f>
        <v>0</v>
      </c>
      <c r="I577" s="133" cm="1">
        <f t="array" ref="I577">_xlfn.IFNA((_xlfn.IFS(Baseline!C54="Nieuwe Situatie",(50),Baseline!C54="Bestaande Situatie",(0))),0)*Baseline!Q54*Baseline!R54</f>
        <v>0</v>
      </c>
      <c r="J577" s="133" cm="1">
        <f t="array" ref="J577">(_xlfn.IFNA((_xlfn.IFS(Baseline!C54="Nieuwe Situatie",(50),Baseline!C54="Bestaande Situatie",(50))),0)*Baseline!Q54)*Baseline!R54</f>
        <v>0</v>
      </c>
      <c r="K577" s="133">
        <f>IF(Referentie_Transport_Totaal[[#This Row],[Emissieloos Transport naar bouwplaats?]]="JA",Referentie_Transport_Totaal[[#This Row],[Transport naar bouwplaats Vervangingen '[tkm']]],0)+IF(Referentie_Transport_Totaal[[#This Row],[Emissieloos Transport naar verwerker?]]="JA",Referentie_Transport_Totaal[[#This Row],[Transport naar verwerker Vervangingen '[tkm']]],0)</f>
        <v>0</v>
      </c>
      <c r="L577" s="133">
        <f>Referentie_Transport_Totaal[[#This Row],[Emissieloos Transport]]+Referentie_Transport_Totaal[[#This Row],[Emissieloos Transport Vervangingen]]</f>
        <v>0</v>
      </c>
      <c r="M577" s="133">
        <f>(Referentie_Transport_Totaal[[#This Row],[Transport naar bouwplaats '[tkm']]]+Referentie_Transport_Totaal[[#This Row],[Transport naar verwerker '[tkm']]]+Referentie_Transport_Totaal[[#This Row],[Transport naar bouwplaats Vervangingen '[tkm']]]+Referentie_Transport_Totaal[[#This Row],[Transport naar verwerker Vervangingen '[tkm']]])-Referentie_Transport_Totaal[[#This Row],[Totaal Emissieloos Transport]]</f>
        <v>0</v>
      </c>
      <c r="N577" s="133">
        <f>Referentie_Transport_Totaal[[#This Row],[Totaal Emissieloos Transport]]+Referentie_Transport_Totaal[[#This Row],[Totaal Niet Emissieloos Transport]]</f>
        <v>0</v>
      </c>
      <c r="O577" s="13"/>
      <c r="P577" s="13"/>
      <c r="Q577" s="13"/>
      <c r="R577" s="13"/>
      <c r="S577" s="13"/>
    </row>
    <row r="578" spans="2:19">
      <c r="B578" s="209">
        <f>Baseline!B55</f>
        <v>0</v>
      </c>
      <c r="C578" s="51">
        <f>Baseline!F55</f>
        <v>0</v>
      </c>
      <c r="D578" s="93">
        <f>(IF(Baseline!C55="Nieuwe situatie",(Baseline!S55),0)*Baseline!Q55)</f>
        <v>0</v>
      </c>
      <c r="E578" s="98">
        <f>(IF(Baseline!C55="Bestaande situatie",(Baseline!AC55),0)*Baseline!Q55)</f>
        <v>0</v>
      </c>
      <c r="F578" s="94" t="str">
        <f>_xlfn.IFNA(VLOOKUP(Baseline!T55,Database_Transport[],60,FALSE),"Nee")</f>
        <v>Nee</v>
      </c>
      <c r="G578" s="94" t="str">
        <f>_xlfn.IFNA(VLOOKUP(Baseline!AC55,Database_Transport[],60,FALSE),"Nee")</f>
        <v>Nee</v>
      </c>
      <c r="H578" s="124">
        <f>IF(Referentie_Transport_Totaal[[#This Row],[Emissieloos Transport naar bouwplaats?]]="JA",Referentie_Transport_Totaal[[#This Row],[Transport naar bouwplaats '[tkm']]],0)+IF(Referentie_Transport_Totaal[[#This Row],[Emissieloos Transport naar verwerker?]]="JA",Referentie_Transport_Totaal[[#This Row],[Transport naar verwerker '[tkm']]],0)</f>
        <v>0</v>
      </c>
      <c r="I578" s="133" cm="1">
        <f t="array" ref="I578">_xlfn.IFNA((_xlfn.IFS(Baseline!C55="Nieuwe Situatie",(50),Baseline!C55="Bestaande Situatie",(0))),0)*Baseline!Q55*Baseline!R55</f>
        <v>0</v>
      </c>
      <c r="J578" s="133" cm="1">
        <f t="array" ref="J578">(_xlfn.IFNA((_xlfn.IFS(Baseline!C55="Nieuwe Situatie",(50),Baseline!C55="Bestaande Situatie",(50))),0)*Baseline!Q55)*Baseline!R55</f>
        <v>0</v>
      </c>
      <c r="K578" s="133">
        <f>IF(Referentie_Transport_Totaal[[#This Row],[Emissieloos Transport naar bouwplaats?]]="JA",Referentie_Transport_Totaal[[#This Row],[Transport naar bouwplaats Vervangingen '[tkm']]],0)+IF(Referentie_Transport_Totaal[[#This Row],[Emissieloos Transport naar verwerker?]]="JA",Referentie_Transport_Totaal[[#This Row],[Transport naar verwerker Vervangingen '[tkm']]],0)</f>
        <v>0</v>
      </c>
      <c r="L578" s="133">
        <f>Referentie_Transport_Totaal[[#This Row],[Emissieloos Transport]]+Referentie_Transport_Totaal[[#This Row],[Emissieloos Transport Vervangingen]]</f>
        <v>0</v>
      </c>
      <c r="M578" s="133">
        <f>(Referentie_Transport_Totaal[[#This Row],[Transport naar bouwplaats '[tkm']]]+Referentie_Transport_Totaal[[#This Row],[Transport naar verwerker '[tkm']]]+Referentie_Transport_Totaal[[#This Row],[Transport naar bouwplaats Vervangingen '[tkm']]]+Referentie_Transport_Totaal[[#This Row],[Transport naar verwerker Vervangingen '[tkm']]])-Referentie_Transport_Totaal[[#This Row],[Totaal Emissieloos Transport]]</f>
        <v>0</v>
      </c>
      <c r="N578" s="133">
        <f>Referentie_Transport_Totaal[[#This Row],[Totaal Emissieloos Transport]]+Referentie_Transport_Totaal[[#This Row],[Totaal Niet Emissieloos Transport]]</f>
        <v>0</v>
      </c>
      <c r="O578" s="13"/>
      <c r="P578" s="13"/>
      <c r="Q578" s="13"/>
      <c r="R578" s="13"/>
      <c r="S578" s="13"/>
    </row>
    <row r="579" spans="2:19">
      <c r="B579" s="209">
        <f>Baseline!B56</f>
        <v>0</v>
      </c>
      <c r="C579" s="51">
        <f>Baseline!F56</f>
        <v>0</v>
      </c>
      <c r="D579" s="93">
        <f>(IF(Baseline!C56="Nieuwe situatie",(Baseline!S56),0)*Baseline!Q56)</f>
        <v>0</v>
      </c>
      <c r="E579" s="98">
        <f>(IF(Baseline!C56="Bestaande situatie",(Baseline!AC56),0)*Baseline!Q56)</f>
        <v>0</v>
      </c>
      <c r="F579" s="94" t="str">
        <f>_xlfn.IFNA(VLOOKUP(Baseline!T56,Database_Transport[],60,FALSE),"Nee")</f>
        <v>Nee</v>
      </c>
      <c r="G579" s="94" t="str">
        <f>_xlfn.IFNA(VLOOKUP(Baseline!AC56,Database_Transport[],60,FALSE),"Nee")</f>
        <v>Nee</v>
      </c>
      <c r="H579" s="124">
        <f>IF(Referentie_Transport_Totaal[[#This Row],[Emissieloos Transport naar bouwplaats?]]="JA",Referentie_Transport_Totaal[[#This Row],[Transport naar bouwplaats '[tkm']]],0)+IF(Referentie_Transport_Totaal[[#This Row],[Emissieloos Transport naar verwerker?]]="JA",Referentie_Transport_Totaal[[#This Row],[Transport naar verwerker '[tkm']]],0)</f>
        <v>0</v>
      </c>
      <c r="I579" s="133" cm="1">
        <f t="array" ref="I579">_xlfn.IFNA((_xlfn.IFS(Baseline!C56="Nieuwe Situatie",(50),Baseline!C56="Bestaande Situatie",(0))),0)*Baseline!Q56*Baseline!R56</f>
        <v>0</v>
      </c>
      <c r="J579" s="133" cm="1">
        <f t="array" ref="J579">(_xlfn.IFNA((_xlfn.IFS(Baseline!C56="Nieuwe Situatie",(50),Baseline!C56="Bestaande Situatie",(50))),0)*Baseline!Q56)*Baseline!R56</f>
        <v>0</v>
      </c>
      <c r="K579" s="133">
        <f>IF(Referentie_Transport_Totaal[[#This Row],[Emissieloos Transport naar bouwplaats?]]="JA",Referentie_Transport_Totaal[[#This Row],[Transport naar bouwplaats Vervangingen '[tkm']]],0)+IF(Referentie_Transport_Totaal[[#This Row],[Emissieloos Transport naar verwerker?]]="JA",Referentie_Transport_Totaal[[#This Row],[Transport naar verwerker Vervangingen '[tkm']]],0)</f>
        <v>0</v>
      </c>
      <c r="L579" s="133">
        <f>Referentie_Transport_Totaal[[#This Row],[Emissieloos Transport]]+Referentie_Transport_Totaal[[#This Row],[Emissieloos Transport Vervangingen]]</f>
        <v>0</v>
      </c>
      <c r="M579" s="133">
        <f>(Referentie_Transport_Totaal[[#This Row],[Transport naar bouwplaats '[tkm']]]+Referentie_Transport_Totaal[[#This Row],[Transport naar verwerker '[tkm']]]+Referentie_Transport_Totaal[[#This Row],[Transport naar bouwplaats Vervangingen '[tkm']]]+Referentie_Transport_Totaal[[#This Row],[Transport naar verwerker Vervangingen '[tkm']]])-Referentie_Transport_Totaal[[#This Row],[Totaal Emissieloos Transport]]</f>
        <v>0</v>
      </c>
      <c r="N579" s="133">
        <f>Referentie_Transport_Totaal[[#This Row],[Totaal Emissieloos Transport]]+Referentie_Transport_Totaal[[#This Row],[Totaal Niet Emissieloos Transport]]</f>
        <v>0</v>
      </c>
      <c r="O579" s="13"/>
      <c r="P579" s="13"/>
      <c r="Q579" s="13"/>
      <c r="R579" s="13"/>
      <c r="S579" s="13"/>
    </row>
    <row r="580" spans="2:19">
      <c r="B580" s="209">
        <f>Baseline!B57</f>
        <v>0</v>
      </c>
      <c r="C580" s="51">
        <f>Baseline!F57</f>
        <v>0</v>
      </c>
      <c r="D580" s="93">
        <f>(IF(Baseline!C57="Nieuwe situatie",(Baseline!S57),0)*Baseline!Q57)</f>
        <v>0</v>
      </c>
      <c r="E580" s="98">
        <f>(IF(Baseline!C57="Bestaande situatie",(Baseline!AC57),0)*Baseline!Q57)</f>
        <v>0</v>
      </c>
      <c r="F580" s="94" t="str">
        <f>_xlfn.IFNA(VLOOKUP(Baseline!T57,Database_Transport[],60,FALSE),"Nee")</f>
        <v>Nee</v>
      </c>
      <c r="G580" s="94" t="str">
        <f>_xlfn.IFNA(VLOOKUP(Baseline!AC57,Database_Transport[],60,FALSE),"Nee")</f>
        <v>Nee</v>
      </c>
      <c r="H580" s="124">
        <f>IF(Referentie_Transport_Totaal[[#This Row],[Emissieloos Transport naar bouwplaats?]]="JA",Referentie_Transport_Totaal[[#This Row],[Transport naar bouwplaats '[tkm']]],0)+IF(Referentie_Transport_Totaal[[#This Row],[Emissieloos Transport naar verwerker?]]="JA",Referentie_Transport_Totaal[[#This Row],[Transport naar verwerker '[tkm']]],0)</f>
        <v>0</v>
      </c>
      <c r="I580" s="133" cm="1">
        <f t="array" ref="I580">_xlfn.IFNA((_xlfn.IFS(Baseline!C57="Nieuwe Situatie",(50),Baseline!C57="Bestaande Situatie",(0))),0)*Baseline!Q57*Baseline!R57</f>
        <v>0</v>
      </c>
      <c r="J580" s="133" cm="1">
        <f t="array" ref="J580">(_xlfn.IFNA((_xlfn.IFS(Baseline!C57="Nieuwe Situatie",(50),Baseline!C57="Bestaande Situatie",(50))),0)*Baseline!Q57)*Baseline!R57</f>
        <v>0</v>
      </c>
      <c r="K580" s="133">
        <f>IF(Referentie_Transport_Totaal[[#This Row],[Emissieloos Transport naar bouwplaats?]]="JA",Referentie_Transport_Totaal[[#This Row],[Transport naar bouwplaats Vervangingen '[tkm']]],0)+IF(Referentie_Transport_Totaal[[#This Row],[Emissieloos Transport naar verwerker?]]="JA",Referentie_Transport_Totaal[[#This Row],[Transport naar verwerker Vervangingen '[tkm']]],0)</f>
        <v>0</v>
      </c>
      <c r="L580" s="133">
        <f>Referentie_Transport_Totaal[[#This Row],[Emissieloos Transport]]+Referentie_Transport_Totaal[[#This Row],[Emissieloos Transport Vervangingen]]</f>
        <v>0</v>
      </c>
      <c r="M580" s="133">
        <f>(Referentie_Transport_Totaal[[#This Row],[Transport naar bouwplaats '[tkm']]]+Referentie_Transport_Totaal[[#This Row],[Transport naar verwerker '[tkm']]]+Referentie_Transport_Totaal[[#This Row],[Transport naar bouwplaats Vervangingen '[tkm']]]+Referentie_Transport_Totaal[[#This Row],[Transport naar verwerker Vervangingen '[tkm']]])-Referentie_Transport_Totaal[[#This Row],[Totaal Emissieloos Transport]]</f>
        <v>0</v>
      </c>
      <c r="N580" s="133">
        <f>Referentie_Transport_Totaal[[#This Row],[Totaal Emissieloos Transport]]+Referentie_Transport_Totaal[[#This Row],[Totaal Niet Emissieloos Transport]]</f>
        <v>0</v>
      </c>
      <c r="O580" s="13"/>
      <c r="P580" s="13"/>
      <c r="Q580" s="13"/>
      <c r="R580" s="13"/>
      <c r="S580" s="13"/>
    </row>
    <row r="581" spans="2:19">
      <c r="B581" s="209">
        <f>Baseline!B58</f>
        <v>0</v>
      </c>
      <c r="C581" s="51">
        <f>Baseline!F58</f>
        <v>0</v>
      </c>
      <c r="D581" s="93">
        <f>(IF(Baseline!C58="Nieuwe situatie",(Baseline!S58),0)*Baseline!Q58)</f>
        <v>0</v>
      </c>
      <c r="E581" s="98">
        <f>(IF(Baseline!C58="Bestaande situatie",(Baseline!AC58),0)*Baseline!Q58)</f>
        <v>0</v>
      </c>
      <c r="F581" s="94" t="str">
        <f>_xlfn.IFNA(VLOOKUP(Baseline!T58,Database_Transport[],60,FALSE),"Nee")</f>
        <v>Nee</v>
      </c>
      <c r="G581" s="94" t="str">
        <f>_xlfn.IFNA(VLOOKUP(Baseline!AC58,Database_Transport[],60,FALSE),"Nee")</f>
        <v>Nee</v>
      </c>
      <c r="H581" s="124">
        <f>IF(Referentie_Transport_Totaal[[#This Row],[Emissieloos Transport naar bouwplaats?]]="JA",Referentie_Transport_Totaal[[#This Row],[Transport naar bouwplaats '[tkm']]],0)+IF(Referentie_Transport_Totaal[[#This Row],[Emissieloos Transport naar verwerker?]]="JA",Referentie_Transport_Totaal[[#This Row],[Transport naar verwerker '[tkm']]],0)</f>
        <v>0</v>
      </c>
      <c r="I581" s="133" cm="1">
        <f t="array" ref="I581">_xlfn.IFNA((_xlfn.IFS(Baseline!C58="Nieuwe Situatie",(50),Baseline!C58="Bestaande Situatie",(0))),0)*Baseline!Q58*Baseline!R58</f>
        <v>0</v>
      </c>
      <c r="J581" s="133" cm="1">
        <f t="array" ref="J581">(_xlfn.IFNA((_xlfn.IFS(Baseline!C58="Nieuwe Situatie",(50),Baseline!C58="Bestaande Situatie",(50))),0)*Baseline!Q58)*Baseline!R58</f>
        <v>0</v>
      </c>
      <c r="K581" s="133">
        <f>IF(Referentie_Transport_Totaal[[#This Row],[Emissieloos Transport naar bouwplaats?]]="JA",Referentie_Transport_Totaal[[#This Row],[Transport naar bouwplaats Vervangingen '[tkm']]],0)+IF(Referentie_Transport_Totaal[[#This Row],[Emissieloos Transport naar verwerker?]]="JA",Referentie_Transport_Totaal[[#This Row],[Transport naar verwerker Vervangingen '[tkm']]],0)</f>
        <v>0</v>
      </c>
      <c r="L581" s="133">
        <f>Referentie_Transport_Totaal[[#This Row],[Emissieloos Transport]]+Referentie_Transport_Totaal[[#This Row],[Emissieloos Transport Vervangingen]]</f>
        <v>0</v>
      </c>
      <c r="M581" s="133">
        <f>(Referentie_Transport_Totaal[[#This Row],[Transport naar bouwplaats '[tkm']]]+Referentie_Transport_Totaal[[#This Row],[Transport naar verwerker '[tkm']]]+Referentie_Transport_Totaal[[#This Row],[Transport naar bouwplaats Vervangingen '[tkm']]]+Referentie_Transport_Totaal[[#This Row],[Transport naar verwerker Vervangingen '[tkm']]])-Referentie_Transport_Totaal[[#This Row],[Totaal Emissieloos Transport]]</f>
        <v>0</v>
      </c>
      <c r="N581" s="133">
        <f>Referentie_Transport_Totaal[[#This Row],[Totaal Emissieloos Transport]]+Referentie_Transport_Totaal[[#This Row],[Totaal Niet Emissieloos Transport]]</f>
        <v>0</v>
      </c>
      <c r="O581" s="13"/>
      <c r="P581" s="13"/>
      <c r="Q581" s="13"/>
      <c r="R581" s="13"/>
      <c r="S581" s="13"/>
    </row>
    <row r="582" spans="2:19">
      <c r="B582" s="209">
        <f>Baseline!B59</f>
        <v>0</v>
      </c>
      <c r="C582" s="51">
        <f>Baseline!F59</f>
        <v>0</v>
      </c>
      <c r="D582" s="93">
        <f>(IF(Baseline!C59="Nieuwe situatie",(Baseline!S59),0)*Baseline!Q59)</f>
        <v>0</v>
      </c>
      <c r="E582" s="98">
        <f>(IF(Baseline!C59="Bestaande situatie",(Baseline!AC59),0)*Baseline!Q59)</f>
        <v>0</v>
      </c>
      <c r="F582" s="94" t="str">
        <f>_xlfn.IFNA(VLOOKUP(Baseline!T59,Database_Transport[],60,FALSE),"Nee")</f>
        <v>Nee</v>
      </c>
      <c r="G582" s="94" t="str">
        <f>_xlfn.IFNA(VLOOKUP(Baseline!AC59,Database_Transport[],60,FALSE),"Nee")</f>
        <v>Nee</v>
      </c>
      <c r="H582" s="124">
        <f>IF(Referentie_Transport_Totaal[[#This Row],[Emissieloos Transport naar bouwplaats?]]="JA",Referentie_Transport_Totaal[[#This Row],[Transport naar bouwplaats '[tkm']]],0)+IF(Referentie_Transport_Totaal[[#This Row],[Emissieloos Transport naar verwerker?]]="JA",Referentie_Transport_Totaal[[#This Row],[Transport naar verwerker '[tkm']]],0)</f>
        <v>0</v>
      </c>
      <c r="I582" s="133" cm="1">
        <f t="array" ref="I582">_xlfn.IFNA((_xlfn.IFS(Baseline!C59="Nieuwe Situatie",(50),Baseline!C59="Bestaande Situatie",(0))),0)*Baseline!Q59*Baseline!R59</f>
        <v>0</v>
      </c>
      <c r="J582" s="133" cm="1">
        <f t="array" ref="J582">(_xlfn.IFNA((_xlfn.IFS(Baseline!C59="Nieuwe Situatie",(50),Baseline!C59="Bestaande Situatie",(50))),0)*Baseline!Q59)*Baseline!R59</f>
        <v>0</v>
      </c>
      <c r="K582" s="133">
        <f>IF(Referentie_Transport_Totaal[[#This Row],[Emissieloos Transport naar bouwplaats?]]="JA",Referentie_Transport_Totaal[[#This Row],[Transport naar bouwplaats Vervangingen '[tkm']]],0)+IF(Referentie_Transport_Totaal[[#This Row],[Emissieloos Transport naar verwerker?]]="JA",Referentie_Transport_Totaal[[#This Row],[Transport naar verwerker Vervangingen '[tkm']]],0)</f>
        <v>0</v>
      </c>
      <c r="L582" s="133">
        <f>Referentie_Transport_Totaal[[#This Row],[Emissieloos Transport]]+Referentie_Transport_Totaal[[#This Row],[Emissieloos Transport Vervangingen]]</f>
        <v>0</v>
      </c>
      <c r="M582" s="133">
        <f>(Referentie_Transport_Totaal[[#This Row],[Transport naar bouwplaats '[tkm']]]+Referentie_Transport_Totaal[[#This Row],[Transport naar verwerker '[tkm']]]+Referentie_Transport_Totaal[[#This Row],[Transport naar bouwplaats Vervangingen '[tkm']]]+Referentie_Transport_Totaal[[#This Row],[Transport naar verwerker Vervangingen '[tkm']]])-Referentie_Transport_Totaal[[#This Row],[Totaal Emissieloos Transport]]</f>
        <v>0</v>
      </c>
      <c r="N582" s="133">
        <f>Referentie_Transport_Totaal[[#This Row],[Totaal Emissieloos Transport]]+Referentie_Transport_Totaal[[#This Row],[Totaal Niet Emissieloos Transport]]</f>
        <v>0</v>
      </c>
      <c r="O582" s="13"/>
      <c r="P582" s="13"/>
      <c r="Q582" s="13"/>
      <c r="R582" s="13"/>
      <c r="S582" s="13"/>
    </row>
    <row r="583" spans="2:19">
      <c r="B583" s="209">
        <f>Baseline!B60</f>
        <v>0</v>
      </c>
      <c r="C583" s="51">
        <f>Baseline!F60</f>
        <v>0</v>
      </c>
      <c r="D583" s="93">
        <f>(IF(Baseline!C60="Nieuwe situatie",(Baseline!S60),0)*Baseline!Q60)</f>
        <v>0</v>
      </c>
      <c r="E583" s="98">
        <f>(IF(Baseline!C60="Bestaande situatie",(Baseline!AC60),0)*Baseline!Q60)</f>
        <v>0</v>
      </c>
      <c r="F583" s="94" t="str">
        <f>_xlfn.IFNA(VLOOKUP(Baseline!T60,Database_Transport[],60,FALSE),"Nee")</f>
        <v>Nee</v>
      </c>
      <c r="G583" s="94" t="str">
        <f>_xlfn.IFNA(VLOOKUP(Baseline!AC60,Database_Transport[],60,FALSE),"Nee")</f>
        <v>Nee</v>
      </c>
      <c r="H583" s="124">
        <f>IF(Referentie_Transport_Totaal[[#This Row],[Emissieloos Transport naar bouwplaats?]]="JA",Referentie_Transport_Totaal[[#This Row],[Transport naar bouwplaats '[tkm']]],0)+IF(Referentie_Transport_Totaal[[#This Row],[Emissieloos Transport naar verwerker?]]="JA",Referentie_Transport_Totaal[[#This Row],[Transport naar verwerker '[tkm']]],0)</f>
        <v>0</v>
      </c>
      <c r="I583" s="133" cm="1">
        <f t="array" ref="I583">_xlfn.IFNA((_xlfn.IFS(Baseline!C60="Nieuwe Situatie",(50),Baseline!C60="Bestaande Situatie",(0))),0)*Baseline!Q60*Baseline!R60</f>
        <v>0</v>
      </c>
      <c r="J583" s="133" cm="1">
        <f t="array" ref="J583">(_xlfn.IFNA((_xlfn.IFS(Baseline!C60="Nieuwe Situatie",(50),Baseline!C60="Bestaande Situatie",(50))),0)*Baseline!Q60)*Baseline!R60</f>
        <v>0</v>
      </c>
      <c r="K583" s="133">
        <f>IF(Referentie_Transport_Totaal[[#This Row],[Emissieloos Transport naar bouwplaats?]]="JA",Referentie_Transport_Totaal[[#This Row],[Transport naar bouwplaats Vervangingen '[tkm']]],0)+IF(Referentie_Transport_Totaal[[#This Row],[Emissieloos Transport naar verwerker?]]="JA",Referentie_Transport_Totaal[[#This Row],[Transport naar verwerker Vervangingen '[tkm']]],0)</f>
        <v>0</v>
      </c>
      <c r="L583" s="133">
        <f>Referentie_Transport_Totaal[[#This Row],[Emissieloos Transport]]+Referentie_Transport_Totaal[[#This Row],[Emissieloos Transport Vervangingen]]</f>
        <v>0</v>
      </c>
      <c r="M583" s="133">
        <f>(Referentie_Transport_Totaal[[#This Row],[Transport naar bouwplaats '[tkm']]]+Referentie_Transport_Totaal[[#This Row],[Transport naar verwerker '[tkm']]]+Referentie_Transport_Totaal[[#This Row],[Transport naar bouwplaats Vervangingen '[tkm']]]+Referentie_Transport_Totaal[[#This Row],[Transport naar verwerker Vervangingen '[tkm']]])-Referentie_Transport_Totaal[[#This Row],[Totaal Emissieloos Transport]]</f>
        <v>0</v>
      </c>
      <c r="N583" s="133">
        <f>Referentie_Transport_Totaal[[#This Row],[Totaal Emissieloos Transport]]+Referentie_Transport_Totaal[[#This Row],[Totaal Niet Emissieloos Transport]]</f>
        <v>0</v>
      </c>
      <c r="O583" s="13"/>
      <c r="P583" s="13"/>
      <c r="Q583" s="13"/>
      <c r="R583" s="13"/>
      <c r="S583" s="13"/>
    </row>
    <row r="584" spans="2:19">
      <c r="B584" s="209">
        <f>Baseline!B61</f>
        <v>0</v>
      </c>
      <c r="C584" s="51">
        <f>Baseline!F61</f>
        <v>0</v>
      </c>
      <c r="D584" s="93">
        <f>(IF(Baseline!C61="Nieuwe situatie",(Baseline!S61),0)*Baseline!Q61)</f>
        <v>0</v>
      </c>
      <c r="E584" s="98">
        <f>(IF(Baseline!C61="Bestaande situatie",(Baseline!AC61),0)*Baseline!Q61)</f>
        <v>0</v>
      </c>
      <c r="F584" s="94" t="str">
        <f>_xlfn.IFNA(VLOOKUP(Baseline!T61,Database_Transport[],60,FALSE),"Nee")</f>
        <v>Nee</v>
      </c>
      <c r="G584" s="94" t="str">
        <f>_xlfn.IFNA(VLOOKUP(Baseline!AC61,Database_Transport[],60,FALSE),"Nee")</f>
        <v>Nee</v>
      </c>
      <c r="H584" s="124">
        <f>IF(Referentie_Transport_Totaal[[#This Row],[Emissieloos Transport naar bouwplaats?]]="JA",Referentie_Transport_Totaal[[#This Row],[Transport naar bouwplaats '[tkm']]],0)+IF(Referentie_Transport_Totaal[[#This Row],[Emissieloos Transport naar verwerker?]]="JA",Referentie_Transport_Totaal[[#This Row],[Transport naar verwerker '[tkm']]],0)</f>
        <v>0</v>
      </c>
      <c r="I584" s="133" cm="1">
        <f t="array" ref="I584">_xlfn.IFNA((_xlfn.IFS(Baseline!C61="Nieuwe Situatie",(50),Baseline!C61="Bestaande Situatie",(0))),0)*Baseline!Q61*Baseline!R61</f>
        <v>0</v>
      </c>
      <c r="J584" s="133" cm="1">
        <f t="array" ref="J584">(_xlfn.IFNA((_xlfn.IFS(Baseline!C61="Nieuwe Situatie",(50),Baseline!C61="Bestaande Situatie",(50))),0)*Baseline!Q61)*Baseline!R61</f>
        <v>0</v>
      </c>
      <c r="K584" s="133">
        <f>IF(Referentie_Transport_Totaal[[#This Row],[Emissieloos Transport naar bouwplaats?]]="JA",Referentie_Transport_Totaal[[#This Row],[Transport naar bouwplaats Vervangingen '[tkm']]],0)+IF(Referentie_Transport_Totaal[[#This Row],[Emissieloos Transport naar verwerker?]]="JA",Referentie_Transport_Totaal[[#This Row],[Transport naar verwerker Vervangingen '[tkm']]],0)</f>
        <v>0</v>
      </c>
      <c r="L584" s="133">
        <f>Referentie_Transport_Totaal[[#This Row],[Emissieloos Transport]]+Referentie_Transport_Totaal[[#This Row],[Emissieloos Transport Vervangingen]]</f>
        <v>0</v>
      </c>
      <c r="M584" s="133">
        <f>(Referentie_Transport_Totaal[[#This Row],[Transport naar bouwplaats '[tkm']]]+Referentie_Transport_Totaal[[#This Row],[Transport naar verwerker '[tkm']]]+Referentie_Transport_Totaal[[#This Row],[Transport naar bouwplaats Vervangingen '[tkm']]]+Referentie_Transport_Totaal[[#This Row],[Transport naar verwerker Vervangingen '[tkm']]])-Referentie_Transport_Totaal[[#This Row],[Totaal Emissieloos Transport]]</f>
        <v>0</v>
      </c>
      <c r="N584" s="133">
        <f>Referentie_Transport_Totaal[[#This Row],[Totaal Emissieloos Transport]]+Referentie_Transport_Totaal[[#This Row],[Totaal Niet Emissieloos Transport]]</f>
        <v>0</v>
      </c>
      <c r="O584" s="13"/>
      <c r="P584" s="13"/>
      <c r="Q584" s="13"/>
      <c r="R584" s="13"/>
      <c r="S584" s="13"/>
    </row>
    <row r="585" spans="2:19">
      <c r="B585" s="209">
        <f>Baseline!B62</f>
        <v>0</v>
      </c>
      <c r="C585" s="51">
        <f>Baseline!F62</f>
        <v>0</v>
      </c>
      <c r="D585" s="93">
        <f>(IF(Baseline!C62="Nieuwe situatie",(Baseline!S62),0)*Baseline!Q62)</f>
        <v>0</v>
      </c>
      <c r="E585" s="98">
        <f>(IF(Baseline!C62="Bestaande situatie",(Baseline!AC62),0)*Baseline!Q62)</f>
        <v>0</v>
      </c>
      <c r="F585" s="94" t="str">
        <f>_xlfn.IFNA(VLOOKUP(Baseline!T62,Database_Transport[],60,FALSE),"Nee")</f>
        <v>Nee</v>
      </c>
      <c r="G585" s="94" t="str">
        <f>_xlfn.IFNA(VLOOKUP(Baseline!AC62,Database_Transport[],60,FALSE),"Nee")</f>
        <v>Nee</v>
      </c>
      <c r="H585" s="124">
        <f>IF(Referentie_Transport_Totaal[[#This Row],[Emissieloos Transport naar bouwplaats?]]="JA",Referentie_Transport_Totaal[[#This Row],[Transport naar bouwplaats '[tkm']]],0)+IF(Referentie_Transport_Totaal[[#This Row],[Emissieloos Transport naar verwerker?]]="JA",Referentie_Transport_Totaal[[#This Row],[Transport naar verwerker '[tkm']]],0)</f>
        <v>0</v>
      </c>
      <c r="I585" s="133" cm="1">
        <f t="array" ref="I585">_xlfn.IFNA((_xlfn.IFS(Baseline!C62="Nieuwe Situatie",(50),Baseline!C62="Bestaande Situatie",(0))),0)*Baseline!Q62*Baseline!R62</f>
        <v>0</v>
      </c>
      <c r="J585" s="133" cm="1">
        <f t="array" ref="J585">(_xlfn.IFNA((_xlfn.IFS(Baseline!C62="Nieuwe Situatie",(50),Baseline!C62="Bestaande Situatie",(50))),0)*Baseline!Q62)*Baseline!R62</f>
        <v>0</v>
      </c>
      <c r="K585" s="133">
        <f>IF(Referentie_Transport_Totaal[[#This Row],[Emissieloos Transport naar bouwplaats?]]="JA",Referentie_Transport_Totaal[[#This Row],[Transport naar bouwplaats Vervangingen '[tkm']]],0)+IF(Referentie_Transport_Totaal[[#This Row],[Emissieloos Transport naar verwerker?]]="JA",Referentie_Transport_Totaal[[#This Row],[Transport naar verwerker Vervangingen '[tkm']]],0)</f>
        <v>0</v>
      </c>
      <c r="L585" s="133">
        <f>Referentie_Transport_Totaal[[#This Row],[Emissieloos Transport]]+Referentie_Transport_Totaal[[#This Row],[Emissieloos Transport Vervangingen]]</f>
        <v>0</v>
      </c>
      <c r="M585" s="133">
        <f>(Referentie_Transport_Totaal[[#This Row],[Transport naar bouwplaats '[tkm']]]+Referentie_Transport_Totaal[[#This Row],[Transport naar verwerker '[tkm']]]+Referentie_Transport_Totaal[[#This Row],[Transport naar bouwplaats Vervangingen '[tkm']]]+Referentie_Transport_Totaal[[#This Row],[Transport naar verwerker Vervangingen '[tkm']]])-Referentie_Transport_Totaal[[#This Row],[Totaal Emissieloos Transport]]</f>
        <v>0</v>
      </c>
      <c r="N585" s="133">
        <f>Referentie_Transport_Totaal[[#This Row],[Totaal Emissieloos Transport]]+Referentie_Transport_Totaal[[#This Row],[Totaal Niet Emissieloos Transport]]</f>
        <v>0</v>
      </c>
      <c r="O585" s="13"/>
      <c r="P585" s="13"/>
      <c r="Q585" s="13"/>
      <c r="R585" s="13"/>
      <c r="S585" s="13"/>
    </row>
    <row r="586" spans="2:19">
      <c r="B586" s="209">
        <f>Baseline!B63</f>
        <v>0</v>
      </c>
      <c r="C586" s="51">
        <f>Baseline!F63</f>
        <v>0</v>
      </c>
      <c r="D586" s="93">
        <f>(IF(Baseline!C63="Nieuwe situatie",(Baseline!S63),0)*Baseline!Q63)</f>
        <v>0</v>
      </c>
      <c r="E586" s="98">
        <f>(IF(Baseline!C63="Bestaande situatie",(Baseline!AC63),0)*Baseline!Q63)</f>
        <v>0</v>
      </c>
      <c r="F586" s="94" t="str">
        <f>_xlfn.IFNA(VLOOKUP(Baseline!T63,Database_Transport[],60,FALSE),"Nee")</f>
        <v>Nee</v>
      </c>
      <c r="G586" s="94" t="str">
        <f>_xlfn.IFNA(VLOOKUP(Baseline!AC63,Database_Transport[],60,FALSE),"Nee")</f>
        <v>Nee</v>
      </c>
      <c r="H586" s="124">
        <f>IF(Referentie_Transport_Totaal[[#This Row],[Emissieloos Transport naar bouwplaats?]]="JA",Referentie_Transport_Totaal[[#This Row],[Transport naar bouwplaats '[tkm']]],0)+IF(Referentie_Transport_Totaal[[#This Row],[Emissieloos Transport naar verwerker?]]="JA",Referentie_Transport_Totaal[[#This Row],[Transport naar verwerker '[tkm']]],0)</f>
        <v>0</v>
      </c>
      <c r="I586" s="133" cm="1">
        <f t="array" ref="I586">_xlfn.IFNA((_xlfn.IFS(Baseline!C63="Nieuwe Situatie",(50),Baseline!C63="Bestaande Situatie",(0))),0)*Baseline!Q63*Baseline!R63</f>
        <v>0</v>
      </c>
      <c r="J586" s="133" cm="1">
        <f t="array" ref="J586">(_xlfn.IFNA((_xlfn.IFS(Baseline!C63="Nieuwe Situatie",(50),Baseline!C63="Bestaande Situatie",(50))),0)*Baseline!Q63)*Baseline!R63</f>
        <v>0</v>
      </c>
      <c r="K586" s="133">
        <f>IF(Referentie_Transport_Totaal[[#This Row],[Emissieloos Transport naar bouwplaats?]]="JA",Referentie_Transport_Totaal[[#This Row],[Transport naar bouwplaats Vervangingen '[tkm']]],0)+IF(Referentie_Transport_Totaal[[#This Row],[Emissieloos Transport naar verwerker?]]="JA",Referentie_Transport_Totaal[[#This Row],[Transport naar verwerker Vervangingen '[tkm']]],0)</f>
        <v>0</v>
      </c>
      <c r="L586" s="133">
        <f>Referentie_Transport_Totaal[[#This Row],[Emissieloos Transport]]+Referentie_Transport_Totaal[[#This Row],[Emissieloos Transport Vervangingen]]</f>
        <v>0</v>
      </c>
      <c r="M586" s="133">
        <f>(Referentie_Transport_Totaal[[#This Row],[Transport naar bouwplaats '[tkm']]]+Referentie_Transport_Totaal[[#This Row],[Transport naar verwerker '[tkm']]]+Referentie_Transport_Totaal[[#This Row],[Transport naar bouwplaats Vervangingen '[tkm']]]+Referentie_Transport_Totaal[[#This Row],[Transport naar verwerker Vervangingen '[tkm']]])-Referentie_Transport_Totaal[[#This Row],[Totaal Emissieloos Transport]]</f>
        <v>0</v>
      </c>
      <c r="N586" s="133">
        <f>Referentie_Transport_Totaal[[#This Row],[Totaal Emissieloos Transport]]+Referentie_Transport_Totaal[[#This Row],[Totaal Niet Emissieloos Transport]]</f>
        <v>0</v>
      </c>
      <c r="O586" s="13"/>
      <c r="P586" s="13"/>
      <c r="Q586" s="13"/>
      <c r="R586" s="13"/>
      <c r="S586" s="13"/>
    </row>
    <row r="587" spans="2:19">
      <c r="B587" s="209">
        <f>Baseline!B64</f>
        <v>0</v>
      </c>
      <c r="C587" s="51">
        <f>Baseline!F64</f>
        <v>0</v>
      </c>
      <c r="D587" s="93">
        <f>(IF(Baseline!C64="Nieuwe situatie",(Baseline!S64),0)*Baseline!Q64)</f>
        <v>0</v>
      </c>
      <c r="E587" s="98">
        <f>(IF(Baseline!C64="Bestaande situatie",(Baseline!AC64),0)*Baseline!Q64)</f>
        <v>0</v>
      </c>
      <c r="F587" s="94" t="str">
        <f>_xlfn.IFNA(VLOOKUP(Baseline!T64,Database_Transport[],60,FALSE),"Nee")</f>
        <v>Nee</v>
      </c>
      <c r="G587" s="94" t="str">
        <f>_xlfn.IFNA(VLOOKUP(Baseline!AC64,Database_Transport[],60,FALSE),"Nee")</f>
        <v>Nee</v>
      </c>
      <c r="H587" s="124">
        <f>IF(Referentie_Transport_Totaal[[#This Row],[Emissieloos Transport naar bouwplaats?]]="JA",Referentie_Transport_Totaal[[#This Row],[Transport naar bouwplaats '[tkm']]],0)+IF(Referentie_Transport_Totaal[[#This Row],[Emissieloos Transport naar verwerker?]]="JA",Referentie_Transport_Totaal[[#This Row],[Transport naar verwerker '[tkm']]],0)</f>
        <v>0</v>
      </c>
      <c r="I587" s="133" cm="1">
        <f t="array" ref="I587">_xlfn.IFNA((_xlfn.IFS(Baseline!C64="Nieuwe Situatie",(50),Baseline!C64="Bestaande Situatie",(0))),0)*Baseline!Q64*Baseline!R64</f>
        <v>0</v>
      </c>
      <c r="J587" s="133" cm="1">
        <f t="array" ref="J587">(_xlfn.IFNA((_xlfn.IFS(Baseline!C64="Nieuwe Situatie",(50),Baseline!C64="Bestaande Situatie",(50))),0)*Baseline!Q64)*Baseline!R64</f>
        <v>0</v>
      </c>
      <c r="K587" s="133">
        <f>IF(Referentie_Transport_Totaal[[#This Row],[Emissieloos Transport naar bouwplaats?]]="JA",Referentie_Transport_Totaal[[#This Row],[Transport naar bouwplaats Vervangingen '[tkm']]],0)+IF(Referentie_Transport_Totaal[[#This Row],[Emissieloos Transport naar verwerker?]]="JA",Referentie_Transport_Totaal[[#This Row],[Transport naar verwerker Vervangingen '[tkm']]],0)</f>
        <v>0</v>
      </c>
      <c r="L587" s="133">
        <f>Referentie_Transport_Totaal[[#This Row],[Emissieloos Transport]]+Referentie_Transport_Totaal[[#This Row],[Emissieloos Transport Vervangingen]]</f>
        <v>0</v>
      </c>
      <c r="M587" s="133">
        <f>(Referentie_Transport_Totaal[[#This Row],[Transport naar bouwplaats '[tkm']]]+Referentie_Transport_Totaal[[#This Row],[Transport naar verwerker '[tkm']]]+Referentie_Transport_Totaal[[#This Row],[Transport naar bouwplaats Vervangingen '[tkm']]]+Referentie_Transport_Totaal[[#This Row],[Transport naar verwerker Vervangingen '[tkm']]])-Referentie_Transport_Totaal[[#This Row],[Totaal Emissieloos Transport]]</f>
        <v>0</v>
      </c>
      <c r="N587" s="133">
        <f>Referentie_Transport_Totaal[[#This Row],[Totaal Emissieloos Transport]]+Referentie_Transport_Totaal[[#This Row],[Totaal Niet Emissieloos Transport]]</f>
        <v>0</v>
      </c>
      <c r="O587" s="13"/>
      <c r="P587" s="13"/>
      <c r="Q587" s="13"/>
      <c r="R587" s="13"/>
      <c r="S587" s="13"/>
    </row>
    <row r="588" spans="2:19">
      <c r="B588" s="209">
        <f>Baseline!B65</f>
        <v>0</v>
      </c>
      <c r="C588" s="51">
        <f>Baseline!F65</f>
        <v>0</v>
      </c>
      <c r="D588" s="93">
        <f>(IF(Baseline!C65="Nieuwe situatie",(Baseline!S65),0)*Baseline!Q65)</f>
        <v>0</v>
      </c>
      <c r="E588" s="98">
        <f>(IF(Baseline!C65="Bestaande situatie",(Baseline!AC65),0)*Baseline!Q65)</f>
        <v>0</v>
      </c>
      <c r="F588" s="94" t="str">
        <f>_xlfn.IFNA(VLOOKUP(Baseline!T65,Database_Transport[],60,FALSE),"Nee")</f>
        <v>Nee</v>
      </c>
      <c r="G588" s="94" t="str">
        <f>_xlfn.IFNA(VLOOKUP(Baseline!AC65,Database_Transport[],60,FALSE),"Nee")</f>
        <v>Nee</v>
      </c>
      <c r="H588" s="124">
        <f>IF(Referentie_Transport_Totaal[[#This Row],[Emissieloos Transport naar bouwplaats?]]="JA",Referentie_Transport_Totaal[[#This Row],[Transport naar bouwplaats '[tkm']]],0)+IF(Referentie_Transport_Totaal[[#This Row],[Emissieloos Transport naar verwerker?]]="JA",Referentie_Transport_Totaal[[#This Row],[Transport naar verwerker '[tkm']]],0)</f>
        <v>0</v>
      </c>
      <c r="I588" s="133" cm="1">
        <f t="array" ref="I588">_xlfn.IFNA((_xlfn.IFS(Baseline!C65="Nieuwe Situatie",(50),Baseline!C65="Bestaande Situatie",(0))),0)*Baseline!Q65*Baseline!R65</f>
        <v>0</v>
      </c>
      <c r="J588" s="133" cm="1">
        <f t="array" ref="J588">(_xlfn.IFNA((_xlfn.IFS(Baseline!C65="Nieuwe Situatie",(50),Baseline!C65="Bestaande Situatie",(50))),0)*Baseline!Q65)*Baseline!R65</f>
        <v>0</v>
      </c>
      <c r="K588" s="133">
        <f>IF(Referentie_Transport_Totaal[[#This Row],[Emissieloos Transport naar bouwplaats?]]="JA",Referentie_Transport_Totaal[[#This Row],[Transport naar bouwplaats Vervangingen '[tkm']]],0)+IF(Referentie_Transport_Totaal[[#This Row],[Emissieloos Transport naar verwerker?]]="JA",Referentie_Transport_Totaal[[#This Row],[Transport naar verwerker Vervangingen '[tkm']]],0)</f>
        <v>0</v>
      </c>
      <c r="L588" s="133">
        <f>Referentie_Transport_Totaal[[#This Row],[Emissieloos Transport]]+Referentie_Transport_Totaal[[#This Row],[Emissieloos Transport Vervangingen]]</f>
        <v>0</v>
      </c>
      <c r="M588" s="133">
        <f>(Referentie_Transport_Totaal[[#This Row],[Transport naar bouwplaats '[tkm']]]+Referentie_Transport_Totaal[[#This Row],[Transport naar verwerker '[tkm']]]+Referentie_Transport_Totaal[[#This Row],[Transport naar bouwplaats Vervangingen '[tkm']]]+Referentie_Transport_Totaal[[#This Row],[Transport naar verwerker Vervangingen '[tkm']]])-Referentie_Transport_Totaal[[#This Row],[Totaal Emissieloos Transport]]</f>
        <v>0</v>
      </c>
      <c r="N588" s="133">
        <f>Referentie_Transport_Totaal[[#This Row],[Totaal Emissieloos Transport]]+Referentie_Transport_Totaal[[#This Row],[Totaal Niet Emissieloos Transport]]</f>
        <v>0</v>
      </c>
      <c r="O588" s="13"/>
      <c r="P588" s="13"/>
      <c r="Q588" s="13"/>
      <c r="R588" s="13"/>
      <c r="S588" s="13"/>
    </row>
    <row r="589" spans="2:19">
      <c r="B589" s="209">
        <f>Baseline!B66</f>
        <v>0</v>
      </c>
      <c r="C589" s="51">
        <f>Baseline!F66</f>
        <v>0</v>
      </c>
      <c r="D589" s="93">
        <f>(IF(Baseline!C66="Nieuwe situatie",(Baseline!S66),0)*Baseline!Q66)</f>
        <v>0</v>
      </c>
      <c r="E589" s="98">
        <f>(IF(Baseline!C66="Bestaande situatie",(Baseline!AC66),0)*Baseline!Q66)</f>
        <v>0</v>
      </c>
      <c r="F589" s="94" t="str">
        <f>_xlfn.IFNA(VLOOKUP(Baseline!T66,Database_Transport[],60,FALSE),"Nee")</f>
        <v>Nee</v>
      </c>
      <c r="G589" s="94" t="str">
        <f>_xlfn.IFNA(VLOOKUP(Baseline!AC66,Database_Transport[],60,FALSE),"Nee")</f>
        <v>Nee</v>
      </c>
      <c r="H589" s="124">
        <f>IF(Referentie_Transport_Totaal[[#This Row],[Emissieloos Transport naar bouwplaats?]]="JA",Referentie_Transport_Totaal[[#This Row],[Transport naar bouwplaats '[tkm']]],0)+IF(Referentie_Transport_Totaal[[#This Row],[Emissieloos Transport naar verwerker?]]="JA",Referentie_Transport_Totaal[[#This Row],[Transport naar verwerker '[tkm']]],0)</f>
        <v>0</v>
      </c>
      <c r="I589" s="133" cm="1">
        <f t="array" ref="I589">_xlfn.IFNA((_xlfn.IFS(Baseline!C66="Nieuwe Situatie",(50),Baseline!C66="Bestaande Situatie",(0))),0)*Baseline!Q66*Baseline!R66</f>
        <v>0</v>
      </c>
      <c r="J589" s="133" cm="1">
        <f t="array" ref="J589">(_xlfn.IFNA((_xlfn.IFS(Baseline!C66="Nieuwe Situatie",(50),Baseline!C66="Bestaande Situatie",(50))),0)*Baseline!Q66)*Baseline!R66</f>
        <v>0</v>
      </c>
      <c r="K589" s="133">
        <f>IF(Referentie_Transport_Totaal[[#This Row],[Emissieloos Transport naar bouwplaats?]]="JA",Referentie_Transport_Totaal[[#This Row],[Transport naar bouwplaats Vervangingen '[tkm']]],0)+IF(Referentie_Transport_Totaal[[#This Row],[Emissieloos Transport naar verwerker?]]="JA",Referentie_Transport_Totaal[[#This Row],[Transport naar verwerker Vervangingen '[tkm']]],0)</f>
        <v>0</v>
      </c>
      <c r="L589" s="133">
        <f>Referentie_Transport_Totaal[[#This Row],[Emissieloos Transport]]+Referentie_Transport_Totaal[[#This Row],[Emissieloos Transport Vervangingen]]</f>
        <v>0</v>
      </c>
      <c r="M589" s="133">
        <f>(Referentie_Transport_Totaal[[#This Row],[Transport naar bouwplaats '[tkm']]]+Referentie_Transport_Totaal[[#This Row],[Transport naar verwerker '[tkm']]]+Referentie_Transport_Totaal[[#This Row],[Transport naar bouwplaats Vervangingen '[tkm']]]+Referentie_Transport_Totaal[[#This Row],[Transport naar verwerker Vervangingen '[tkm']]])-Referentie_Transport_Totaal[[#This Row],[Totaal Emissieloos Transport]]</f>
        <v>0</v>
      </c>
      <c r="N589" s="133">
        <f>Referentie_Transport_Totaal[[#This Row],[Totaal Emissieloos Transport]]+Referentie_Transport_Totaal[[#This Row],[Totaal Niet Emissieloos Transport]]</f>
        <v>0</v>
      </c>
      <c r="O589" s="13"/>
      <c r="P589" s="13"/>
      <c r="Q589" s="13"/>
      <c r="R589" s="13"/>
      <c r="S589" s="13"/>
    </row>
    <row r="590" spans="2:19">
      <c r="B590" s="209">
        <f>Baseline!B67</f>
        <v>0</v>
      </c>
      <c r="C590" s="51">
        <f>Baseline!F67</f>
        <v>0</v>
      </c>
      <c r="D590" s="93">
        <f>(IF(Baseline!C67="Nieuwe situatie",(Baseline!S67),0)*Baseline!Q67)</f>
        <v>0</v>
      </c>
      <c r="E590" s="98">
        <f>(IF(Baseline!C67="Bestaande situatie",(Baseline!AC67),0)*Baseline!Q67)</f>
        <v>0</v>
      </c>
      <c r="F590" s="94" t="str">
        <f>_xlfn.IFNA(VLOOKUP(Baseline!T67,Database_Transport[],60,FALSE),"Nee")</f>
        <v>Nee</v>
      </c>
      <c r="G590" s="94" t="str">
        <f>_xlfn.IFNA(VLOOKUP(Baseline!AC67,Database_Transport[],60,FALSE),"Nee")</f>
        <v>Nee</v>
      </c>
      <c r="H590" s="124">
        <f>IF(Referentie_Transport_Totaal[[#This Row],[Emissieloos Transport naar bouwplaats?]]="JA",Referentie_Transport_Totaal[[#This Row],[Transport naar bouwplaats '[tkm']]],0)+IF(Referentie_Transport_Totaal[[#This Row],[Emissieloos Transport naar verwerker?]]="JA",Referentie_Transport_Totaal[[#This Row],[Transport naar verwerker '[tkm']]],0)</f>
        <v>0</v>
      </c>
      <c r="I590" s="133" cm="1">
        <f t="array" ref="I590">_xlfn.IFNA((_xlfn.IFS(Baseline!C67="Nieuwe Situatie",(50),Baseline!C67="Bestaande Situatie",(0))),0)*Baseline!Q67*Baseline!R67</f>
        <v>0</v>
      </c>
      <c r="J590" s="133" cm="1">
        <f t="array" ref="J590">(_xlfn.IFNA((_xlfn.IFS(Baseline!C67="Nieuwe Situatie",(50),Baseline!C67="Bestaande Situatie",(50))),0)*Baseline!Q67)*Baseline!R67</f>
        <v>0</v>
      </c>
      <c r="K590" s="133">
        <f>IF(Referentie_Transport_Totaal[[#This Row],[Emissieloos Transport naar bouwplaats?]]="JA",Referentie_Transport_Totaal[[#This Row],[Transport naar bouwplaats Vervangingen '[tkm']]],0)+IF(Referentie_Transport_Totaal[[#This Row],[Emissieloos Transport naar verwerker?]]="JA",Referentie_Transport_Totaal[[#This Row],[Transport naar verwerker Vervangingen '[tkm']]],0)</f>
        <v>0</v>
      </c>
      <c r="L590" s="133">
        <f>Referentie_Transport_Totaal[[#This Row],[Emissieloos Transport]]+Referentie_Transport_Totaal[[#This Row],[Emissieloos Transport Vervangingen]]</f>
        <v>0</v>
      </c>
      <c r="M590" s="133">
        <f>(Referentie_Transport_Totaal[[#This Row],[Transport naar bouwplaats '[tkm']]]+Referentie_Transport_Totaal[[#This Row],[Transport naar verwerker '[tkm']]]+Referentie_Transport_Totaal[[#This Row],[Transport naar bouwplaats Vervangingen '[tkm']]]+Referentie_Transport_Totaal[[#This Row],[Transport naar verwerker Vervangingen '[tkm']]])-Referentie_Transport_Totaal[[#This Row],[Totaal Emissieloos Transport]]</f>
        <v>0</v>
      </c>
      <c r="N590" s="133">
        <f>Referentie_Transport_Totaal[[#This Row],[Totaal Emissieloos Transport]]+Referentie_Transport_Totaal[[#This Row],[Totaal Niet Emissieloos Transport]]</f>
        <v>0</v>
      </c>
      <c r="O590" s="13"/>
      <c r="P590" s="13"/>
      <c r="Q590" s="13"/>
      <c r="R590" s="13"/>
      <c r="S590" s="13"/>
    </row>
    <row r="591" spans="2:19">
      <c r="B591" s="209">
        <f>Baseline!B68</f>
        <v>0</v>
      </c>
      <c r="C591" s="51">
        <f>Baseline!F68</f>
        <v>0</v>
      </c>
      <c r="D591" s="93">
        <f>(IF(Baseline!C68="Nieuwe situatie",(Baseline!S68),0)*Baseline!Q68)</f>
        <v>0</v>
      </c>
      <c r="E591" s="98">
        <f>(IF(Baseline!C68="Bestaande situatie",(Baseline!AC68),0)*Baseline!Q68)</f>
        <v>0</v>
      </c>
      <c r="F591" s="94" t="str">
        <f>_xlfn.IFNA(VLOOKUP(Baseline!T68,Database_Transport[],60,FALSE),"Nee")</f>
        <v>Nee</v>
      </c>
      <c r="G591" s="94" t="str">
        <f>_xlfn.IFNA(VLOOKUP(Baseline!AC68,Database_Transport[],60,FALSE),"Nee")</f>
        <v>Nee</v>
      </c>
      <c r="H591" s="124">
        <f>IF(Referentie_Transport_Totaal[[#This Row],[Emissieloos Transport naar bouwplaats?]]="JA",Referentie_Transport_Totaal[[#This Row],[Transport naar bouwplaats '[tkm']]],0)+IF(Referentie_Transport_Totaal[[#This Row],[Emissieloos Transport naar verwerker?]]="JA",Referentie_Transport_Totaal[[#This Row],[Transport naar verwerker '[tkm']]],0)</f>
        <v>0</v>
      </c>
      <c r="I591" s="133" cm="1">
        <f t="array" ref="I591">_xlfn.IFNA((_xlfn.IFS(Baseline!C68="Nieuwe Situatie",(50),Baseline!C68="Bestaande Situatie",(0))),0)*Baseline!Q68*Baseline!R68</f>
        <v>0</v>
      </c>
      <c r="J591" s="133" cm="1">
        <f t="array" ref="J591">(_xlfn.IFNA((_xlfn.IFS(Baseline!C68="Nieuwe Situatie",(50),Baseline!C68="Bestaande Situatie",(50))),0)*Baseline!Q68)*Baseline!R68</f>
        <v>0</v>
      </c>
      <c r="K591" s="133">
        <f>IF(Referentie_Transport_Totaal[[#This Row],[Emissieloos Transport naar bouwplaats?]]="JA",Referentie_Transport_Totaal[[#This Row],[Transport naar bouwplaats Vervangingen '[tkm']]],0)+IF(Referentie_Transport_Totaal[[#This Row],[Emissieloos Transport naar verwerker?]]="JA",Referentie_Transport_Totaal[[#This Row],[Transport naar verwerker Vervangingen '[tkm']]],0)</f>
        <v>0</v>
      </c>
      <c r="L591" s="133">
        <f>Referentie_Transport_Totaal[[#This Row],[Emissieloos Transport]]+Referentie_Transport_Totaal[[#This Row],[Emissieloos Transport Vervangingen]]</f>
        <v>0</v>
      </c>
      <c r="M591" s="133">
        <f>(Referentie_Transport_Totaal[[#This Row],[Transport naar bouwplaats '[tkm']]]+Referentie_Transport_Totaal[[#This Row],[Transport naar verwerker '[tkm']]]+Referentie_Transport_Totaal[[#This Row],[Transport naar bouwplaats Vervangingen '[tkm']]]+Referentie_Transport_Totaal[[#This Row],[Transport naar verwerker Vervangingen '[tkm']]])-Referentie_Transport_Totaal[[#This Row],[Totaal Emissieloos Transport]]</f>
        <v>0</v>
      </c>
      <c r="N591" s="133">
        <f>Referentie_Transport_Totaal[[#This Row],[Totaal Emissieloos Transport]]+Referentie_Transport_Totaal[[#This Row],[Totaal Niet Emissieloos Transport]]</f>
        <v>0</v>
      </c>
      <c r="O591" s="13"/>
      <c r="P591" s="13"/>
      <c r="Q591" s="13"/>
      <c r="R591" s="13"/>
      <c r="S591" s="13"/>
    </row>
    <row r="592" spans="2:19">
      <c r="B592" s="209">
        <f>Baseline!B69</f>
        <v>0</v>
      </c>
      <c r="C592" s="51">
        <f>Baseline!F69</f>
        <v>0</v>
      </c>
      <c r="D592" s="93">
        <f>(IF(Baseline!C69="Nieuwe situatie",(Baseline!S69),0)*Baseline!Q69)</f>
        <v>0</v>
      </c>
      <c r="E592" s="98">
        <f>(IF(Baseline!C69="Bestaande situatie",(Baseline!AC69),0)*Baseline!Q69)</f>
        <v>0</v>
      </c>
      <c r="F592" s="94" t="str">
        <f>_xlfn.IFNA(VLOOKUP(Baseline!T69,Database_Transport[],60,FALSE),"Nee")</f>
        <v>Nee</v>
      </c>
      <c r="G592" s="94" t="str">
        <f>_xlfn.IFNA(VLOOKUP(Baseline!AC69,Database_Transport[],60,FALSE),"Nee")</f>
        <v>Nee</v>
      </c>
      <c r="H592" s="124">
        <f>IF(Referentie_Transport_Totaal[[#This Row],[Emissieloos Transport naar bouwplaats?]]="JA",Referentie_Transport_Totaal[[#This Row],[Transport naar bouwplaats '[tkm']]],0)+IF(Referentie_Transport_Totaal[[#This Row],[Emissieloos Transport naar verwerker?]]="JA",Referentie_Transport_Totaal[[#This Row],[Transport naar verwerker '[tkm']]],0)</f>
        <v>0</v>
      </c>
      <c r="I592" s="133" cm="1">
        <f t="array" ref="I592">_xlfn.IFNA((_xlfn.IFS(Baseline!C69="Nieuwe Situatie",(50),Baseline!C69="Bestaande Situatie",(0))),0)*Baseline!Q69*Baseline!R69</f>
        <v>0</v>
      </c>
      <c r="J592" s="133" cm="1">
        <f t="array" ref="J592">(_xlfn.IFNA((_xlfn.IFS(Baseline!C69="Nieuwe Situatie",(50),Baseline!C69="Bestaande Situatie",(50))),0)*Baseline!Q69)*Baseline!R69</f>
        <v>0</v>
      </c>
      <c r="K592" s="133">
        <f>IF(Referentie_Transport_Totaal[[#This Row],[Emissieloos Transport naar bouwplaats?]]="JA",Referentie_Transport_Totaal[[#This Row],[Transport naar bouwplaats Vervangingen '[tkm']]],0)+IF(Referentie_Transport_Totaal[[#This Row],[Emissieloos Transport naar verwerker?]]="JA",Referentie_Transport_Totaal[[#This Row],[Transport naar verwerker Vervangingen '[tkm']]],0)</f>
        <v>0</v>
      </c>
      <c r="L592" s="133">
        <f>Referentie_Transport_Totaal[[#This Row],[Emissieloos Transport]]+Referentie_Transport_Totaal[[#This Row],[Emissieloos Transport Vervangingen]]</f>
        <v>0</v>
      </c>
      <c r="M592" s="133">
        <f>(Referentie_Transport_Totaal[[#This Row],[Transport naar bouwplaats '[tkm']]]+Referentie_Transport_Totaal[[#This Row],[Transport naar verwerker '[tkm']]]+Referentie_Transport_Totaal[[#This Row],[Transport naar bouwplaats Vervangingen '[tkm']]]+Referentie_Transport_Totaal[[#This Row],[Transport naar verwerker Vervangingen '[tkm']]])-Referentie_Transport_Totaal[[#This Row],[Totaal Emissieloos Transport]]</f>
        <v>0</v>
      </c>
      <c r="N592" s="133">
        <f>Referentie_Transport_Totaal[[#This Row],[Totaal Emissieloos Transport]]+Referentie_Transport_Totaal[[#This Row],[Totaal Niet Emissieloos Transport]]</f>
        <v>0</v>
      </c>
      <c r="O592" s="13"/>
      <c r="P592" s="13"/>
      <c r="Q592" s="13"/>
      <c r="R592" s="13"/>
      <c r="S592" s="13"/>
    </row>
    <row r="593" spans="2:19">
      <c r="B593" s="209">
        <f>Baseline!B70</f>
        <v>0</v>
      </c>
      <c r="C593" s="51">
        <f>Baseline!F70</f>
        <v>0</v>
      </c>
      <c r="D593" s="93">
        <f>(IF(Baseline!C70="Nieuwe situatie",(Baseline!S70),0)*Baseline!Q70)</f>
        <v>0</v>
      </c>
      <c r="E593" s="98">
        <f>(IF(Baseline!C70="Bestaande situatie",(Baseline!AC70),0)*Baseline!Q70)</f>
        <v>0</v>
      </c>
      <c r="F593" s="94" t="str">
        <f>_xlfn.IFNA(VLOOKUP(Baseline!T70,Database_Transport[],60,FALSE),"Nee")</f>
        <v>Nee</v>
      </c>
      <c r="G593" s="94" t="str">
        <f>_xlfn.IFNA(VLOOKUP(Baseline!AC70,Database_Transport[],60,FALSE),"Nee")</f>
        <v>Nee</v>
      </c>
      <c r="H593" s="124">
        <f>IF(Referentie_Transport_Totaal[[#This Row],[Emissieloos Transport naar bouwplaats?]]="JA",Referentie_Transport_Totaal[[#This Row],[Transport naar bouwplaats '[tkm']]],0)+IF(Referentie_Transport_Totaal[[#This Row],[Emissieloos Transport naar verwerker?]]="JA",Referentie_Transport_Totaal[[#This Row],[Transport naar verwerker '[tkm']]],0)</f>
        <v>0</v>
      </c>
      <c r="I593" s="133" cm="1">
        <f t="array" ref="I593">_xlfn.IFNA((_xlfn.IFS(Baseline!C70="Nieuwe Situatie",(50),Baseline!C70="Bestaande Situatie",(0))),0)*Baseline!Q70*Baseline!R70</f>
        <v>0</v>
      </c>
      <c r="J593" s="133" cm="1">
        <f t="array" ref="J593">(_xlfn.IFNA((_xlfn.IFS(Baseline!C70="Nieuwe Situatie",(50),Baseline!C70="Bestaande Situatie",(50))),0)*Baseline!Q70)*Baseline!R70</f>
        <v>0</v>
      </c>
      <c r="K593" s="133">
        <f>IF(Referentie_Transport_Totaal[[#This Row],[Emissieloos Transport naar bouwplaats?]]="JA",Referentie_Transport_Totaal[[#This Row],[Transport naar bouwplaats Vervangingen '[tkm']]],0)+IF(Referentie_Transport_Totaal[[#This Row],[Emissieloos Transport naar verwerker?]]="JA",Referentie_Transport_Totaal[[#This Row],[Transport naar verwerker Vervangingen '[tkm']]],0)</f>
        <v>0</v>
      </c>
      <c r="L593" s="133">
        <f>Referentie_Transport_Totaal[[#This Row],[Emissieloos Transport]]+Referentie_Transport_Totaal[[#This Row],[Emissieloos Transport Vervangingen]]</f>
        <v>0</v>
      </c>
      <c r="M593" s="133">
        <f>(Referentie_Transport_Totaal[[#This Row],[Transport naar bouwplaats '[tkm']]]+Referentie_Transport_Totaal[[#This Row],[Transport naar verwerker '[tkm']]]+Referentie_Transport_Totaal[[#This Row],[Transport naar bouwplaats Vervangingen '[tkm']]]+Referentie_Transport_Totaal[[#This Row],[Transport naar verwerker Vervangingen '[tkm']]])-Referentie_Transport_Totaal[[#This Row],[Totaal Emissieloos Transport]]</f>
        <v>0</v>
      </c>
      <c r="N593" s="133">
        <f>Referentie_Transport_Totaal[[#This Row],[Totaal Emissieloos Transport]]+Referentie_Transport_Totaal[[#This Row],[Totaal Niet Emissieloos Transport]]</f>
        <v>0</v>
      </c>
      <c r="O593" s="13"/>
      <c r="P593" s="13"/>
      <c r="Q593" s="13"/>
      <c r="R593" s="13"/>
      <c r="S593" s="13"/>
    </row>
    <row r="594" spans="2:19">
      <c r="B594" s="209">
        <f>Baseline!B71</f>
        <v>0</v>
      </c>
      <c r="C594" s="51">
        <f>Baseline!F71</f>
        <v>0</v>
      </c>
      <c r="D594" s="93">
        <f>(IF(Baseline!C71="Nieuwe situatie",(Baseline!S71),0)*Baseline!Q71)</f>
        <v>0</v>
      </c>
      <c r="E594" s="98">
        <f>(IF(Baseline!C71="Bestaande situatie",(Baseline!AC71),0)*Baseline!Q71)</f>
        <v>0</v>
      </c>
      <c r="F594" s="94" t="str">
        <f>_xlfn.IFNA(VLOOKUP(Baseline!T71,Database_Transport[],60,FALSE),"Nee")</f>
        <v>Nee</v>
      </c>
      <c r="G594" s="94" t="str">
        <f>_xlfn.IFNA(VLOOKUP(Baseline!AC71,Database_Transport[],60,FALSE),"Nee")</f>
        <v>Nee</v>
      </c>
      <c r="H594" s="124">
        <f>IF(Referentie_Transport_Totaal[[#This Row],[Emissieloos Transport naar bouwplaats?]]="JA",Referentie_Transport_Totaal[[#This Row],[Transport naar bouwplaats '[tkm']]],0)+IF(Referentie_Transport_Totaal[[#This Row],[Emissieloos Transport naar verwerker?]]="JA",Referentie_Transport_Totaal[[#This Row],[Transport naar verwerker '[tkm']]],0)</f>
        <v>0</v>
      </c>
      <c r="I594" s="133" cm="1">
        <f t="array" ref="I594">_xlfn.IFNA((_xlfn.IFS(Baseline!C71="Nieuwe Situatie",(50),Baseline!C71="Bestaande Situatie",(0))),0)*Baseline!Q71*Baseline!R71</f>
        <v>0</v>
      </c>
      <c r="J594" s="133" cm="1">
        <f t="array" ref="J594">(_xlfn.IFNA((_xlfn.IFS(Baseline!C71="Nieuwe Situatie",(50),Baseline!C71="Bestaande Situatie",(50))),0)*Baseline!Q71)*Baseline!R71</f>
        <v>0</v>
      </c>
      <c r="K594" s="133">
        <f>IF(Referentie_Transport_Totaal[[#This Row],[Emissieloos Transport naar bouwplaats?]]="JA",Referentie_Transport_Totaal[[#This Row],[Transport naar bouwplaats Vervangingen '[tkm']]],0)+IF(Referentie_Transport_Totaal[[#This Row],[Emissieloos Transport naar verwerker?]]="JA",Referentie_Transport_Totaal[[#This Row],[Transport naar verwerker Vervangingen '[tkm']]],0)</f>
        <v>0</v>
      </c>
      <c r="L594" s="133">
        <f>Referentie_Transport_Totaal[[#This Row],[Emissieloos Transport]]+Referentie_Transport_Totaal[[#This Row],[Emissieloos Transport Vervangingen]]</f>
        <v>0</v>
      </c>
      <c r="M594" s="133">
        <f>(Referentie_Transport_Totaal[[#This Row],[Transport naar bouwplaats '[tkm']]]+Referentie_Transport_Totaal[[#This Row],[Transport naar verwerker '[tkm']]]+Referentie_Transport_Totaal[[#This Row],[Transport naar bouwplaats Vervangingen '[tkm']]]+Referentie_Transport_Totaal[[#This Row],[Transport naar verwerker Vervangingen '[tkm']]])-Referentie_Transport_Totaal[[#This Row],[Totaal Emissieloos Transport]]</f>
        <v>0</v>
      </c>
      <c r="N594" s="133">
        <f>Referentie_Transport_Totaal[[#This Row],[Totaal Emissieloos Transport]]+Referentie_Transport_Totaal[[#This Row],[Totaal Niet Emissieloos Transport]]</f>
        <v>0</v>
      </c>
      <c r="O594" s="13"/>
      <c r="P594" s="13"/>
      <c r="Q594" s="13"/>
      <c r="R594" s="13"/>
      <c r="S594" s="13"/>
    </row>
    <row r="595" spans="2:19">
      <c r="B595" s="209">
        <f>Baseline!B72</f>
        <v>0</v>
      </c>
      <c r="C595" s="51">
        <f>Baseline!F72</f>
        <v>0</v>
      </c>
      <c r="D595" s="93">
        <f>(IF(Baseline!C72="Nieuwe situatie",(Baseline!S72),0)*Baseline!Q72)</f>
        <v>0</v>
      </c>
      <c r="E595" s="98">
        <f>(IF(Baseline!C72="Bestaande situatie",(Baseline!AC72),0)*Baseline!Q72)</f>
        <v>0</v>
      </c>
      <c r="F595" s="94" t="str">
        <f>_xlfn.IFNA(VLOOKUP(Baseline!T72,Database_Transport[],60,FALSE),"Nee")</f>
        <v>Nee</v>
      </c>
      <c r="G595" s="94" t="str">
        <f>_xlfn.IFNA(VLOOKUP(Baseline!AC72,Database_Transport[],60,FALSE),"Nee")</f>
        <v>Nee</v>
      </c>
      <c r="H595" s="124">
        <f>IF(Referentie_Transport_Totaal[[#This Row],[Emissieloos Transport naar bouwplaats?]]="JA",Referentie_Transport_Totaal[[#This Row],[Transport naar bouwplaats '[tkm']]],0)+IF(Referentie_Transport_Totaal[[#This Row],[Emissieloos Transport naar verwerker?]]="JA",Referentie_Transport_Totaal[[#This Row],[Transport naar verwerker '[tkm']]],0)</f>
        <v>0</v>
      </c>
      <c r="I595" s="133" cm="1">
        <f t="array" ref="I595">_xlfn.IFNA((_xlfn.IFS(Baseline!C72="Nieuwe Situatie",(50),Baseline!C72="Bestaande Situatie",(0))),0)*Baseline!Q72*Baseline!R72</f>
        <v>0</v>
      </c>
      <c r="J595" s="133" cm="1">
        <f t="array" ref="J595">(_xlfn.IFNA((_xlfn.IFS(Baseline!C72="Nieuwe Situatie",(50),Baseline!C72="Bestaande Situatie",(50))),0)*Baseline!Q72)*Baseline!R72</f>
        <v>0</v>
      </c>
      <c r="K595" s="133">
        <f>IF(Referentie_Transport_Totaal[[#This Row],[Emissieloos Transport naar bouwplaats?]]="JA",Referentie_Transport_Totaal[[#This Row],[Transport naar bouwplaats Vervangingen '[tkm']]],0)+IF(Referentie_Transport_Totaal[[#This Row],[Emissieloos Transport naar verwerker?]]="JA",Referentie_Transport_Totaal[[#This Row],[Transport naar verwerker Vervangingen '[tkm']]],0)</f>
        <v>0</v>
      </c>
      <c r="L595" s="133">
        <f>Referentie_Transport_Totaal[[#This Row],[Emissieloos Transport]]+Referentie_Transport_Totaal[[#This Row],[Emissieloos Transport Vervangingen]]</f>
        <v>0</v>
      </c>
      <c r="M595" s="133">
        <f>(Referentie_Transport_Totaal[[#This Row],[Transport naar bouwplaats '[tkm']]]+Referentie_Transport_Totaal[[#This Row],[Transport naar verwerker '[tkm']]]+Referentie_Transport_Totaal[[#This Row],[Transport naar bouwplaats Vervangingen '[tkm']]]+Referentie_Transport_Totaal[[#This Row],[Transport naar verwerker Vervangingen '[tkm']]])-Referentie_Transport_Totaal[[#This Row],[Totaal Emissieloos Transport]]</f>
        <v>0</v>
      </c>
      <c r="N595" s="133">
        <f>Referentie_Transport_Totaal[[#This Row],[Totaal Emissieloos Transport]]+Referentie_Transport_Totaal[[#This Row],[Totaal Niet Emissieloos Transport]]</f>
        <v>0</v>
      </c>
      <c r="O595" s="13"/>
      <c r="P595" s="13"/>
      <c r="Q595" s="13"/>
      <c r="R595" s="13"/>
      <c r="S595" s="13"/>
    </row>
    <row r="596" spans="2:19">
      <c r="B596" s="209">
        <f>Baseline!B73</f>
        <v>0</v>
      </c>
      <c r="C596" s="51">
        <f>Baseline!F73</f>
        <v>0</v>
      </c>
      <c r="D596" s="93">
        <f>(IF(Baseline!C73="Nieuwe situatie",(Baseline!S73),0)*Baseline!Q73)</f>
        <v>0</v>
      </c>
      <c r="E596" s="98">
        <f>(IF(Baseline!C73="Bestaande situatie",(Baseline!AC73),0)*Baseline!Q73)</f>
        <v>0</v>
      </c>
      <c r="F596" s="94" t="str">
        <f>_xlfn.IFNA(VLOOKUP(Baseline!T73,Database_Transport[],60,FALSE),"Nee")</f>
        <v>Nee</v>
      </c>
      <c r="G596" s="94" t="str">
        <f>_xlfn.IFNA(VLOOKUP(Baseline!AC73,Database_Transport[],60,FALSE),"Nee")</f>
        <v>Nee</v>
      </c>
      <c r="H596" s="124">
        <f>IF(Referentie_Transport_Totaal[[#This Row],[Emissieloos Transport naar bouwplaats?]]="JA",Referentie_Transport_Totaal[[#This Row],[Transport naar bouwplaats '[tkm']]],0)+IF(Referentie_Transport_Totaal[[#This Row],[Emissieloos Transport naar verwerker?]]="JA",Referentie_Transport_Totaal[[#This Row],[Transport naar verwerker '[tkm']]],0)</f>
        <v>0</v>
      </c>
      <c r="I596" s="133" cm="1">
        <f t="array" ref="I596">_xlfn.IFNA((_xlfn.IFS(Baseline!C73="Nieuwe Situatie",(50),Baseline!C73="Bestaande Situatie",(0))),0)*Baseline!Q73*Baseline!R73</f>
        <v>0</v>
      </c>
      <c r="J596" s="133" cm="1">
        <f t="array" ref="J596">(_xlfn.IFNA((_xlfn.IFS(Baseline!C73="Nieuwe Situatie",(50),Baseline!C73="Bestaande Situatie",(50))),0)*Baseline!Q73)*Baseline!R73</f>
        <v>0</v>
      </c>
      <c r="K596" s="133">
        <f>IF(Referentie_Transport_Totaal[[#This Row],[Emissieloos Transport naar bouwplaats?]]="JA",Referentie_Transport_Totaal[[#This Row],[Transport naar bouwplaats Vervangingen '[tkm']]],0)+IF(Referentie_Transport_Totaal[[#This Row],[Emissieloos Transport naar verwerker?]]="JA",Referentie_Transport_Totaal[[#This Row],[Transport naar verwerker Vervangingen '[tkm']]],0)</f>
        <v>0</v>
      </c>
      <c r="L596" s="133">
        <f>Referentie_Transport_Totaal[[#This Row],[Emissieloos Transport]]+Referentie_Transport_Totaal[[#This Row],[Emissieloos Transport Vervangingen]]</f>
        <v>0</v>
      </c>
      <c r="M596" s="133">
        <f>(Referentie_Transport_Totaal[[#This Row],[Transport naar bouwplaats '[tkm']]]+Referentie_Transport_Totaal[[#This Row],[Transport naar verwerker '[tkm']]]+Referentie_Transport_Totaal[[#This Row],[Transport naar bouwplaats Vervangingen '[tkm']]]+Referentie_Transport_Totaal[[#This Row],[Transport naar verwerker Vervangingen '[tkm']]])-Referentie_Transport_Totaal[[#This Row],[Totaal Emissieloos Transport]]</f>
        <v>0</v>
      </c>
      <c r="N596" s="133">
        <f>Referentie_Transport_Totaal[[#This Row],[Totaal Emissieloos Transport]]+Referentie_Transport_Totaal[[#This Row],[Totaal Niet Emissieloos Transport]]</f>
        <v>0</v>
      </c>
      <c r="O596" s="13"/>
      <c r="P596" s="13"/>
      <c r="Q596" s="13"/>
      <c r="R596" s="13"/>
      <c r="S596" s="13"/>
    </row>
    <row r="597" spans="2:19">
      <c r="B597" s="209">
        <f>Baseline!B74</f>
        <v>0</v>
      </c>
      <c r="C597" s="51">
        <f>Baseline!F74</f>
        <v>0</v>
      </c>
      <c r="D597" s="93">
        <f>(IF(Baseline!C74="Nieuwe situatie",(Baseline!S74),0)*Baseline!Q74)</f>
        <v>0</v>
      </c>
      <c r="E597" s="98">
        <f>(IF(Baseline!C74="Bestaande situatie",(Baseline!AC74),0)*Baseline!Q74)</f>
        <v>0</v>
      </c>
      <c r="F597" s="94" t="str">
        <f>_xlfn.IFNA(VLOOKUP(Baseline!T74,Database_Transport[],60,FALSE),"Nee")</f>
        <v>Nee</v>
      </c>
      <c r="G597" s="94" t="str">
        <f>_xlfn.IFNA(VLOOKUP(Baseline!AC74,Database_Transport[],60,FALSE),"Nee")</f>
        <v>Nee</v>
      </c>
      <c r="H597" s="124">
        <f>IF(Referentie_Transport_Totaal[[#This Row],[Emissieloos Transport naar bouwplaats?]]="JA",Referentie_Transport_Totaal[[#This Row],[Transport naar bouwplaats '[tkm']]],0)+IF(Referentie_Transport_Totaal[[#This Row],[Emissieloos Transport naar verwerker?]]="JA",Referentie_Transport_Totaal[[#This Row],[Transport naar verwerker '[tkm']]],0)</f>
        <v>0</v>
      </c>
      <c r="I597" s="133" cm="1">
        <f t="array" ref="I597">_xlfn.IFNA((_xlfn.IFS(Baseline!C74="Nieuwe Situatie",(50),Baseline!C74="Bestaande Situatie",(0))),0)*Baseline!Q74*Baseline!R74</f>
        <v>0</v>
      </c>
      <c r="J597" s="133" cm="1">
        <f t="array" ref="J597">(_xlfn.IFNA((_xlfn.IFS(Baseline!C74="Nieuwe Situatie",(50),Baseline!C74="Bestaande Situatie",(50))),0)*Baseline!Q74)*Baseline!R74</f>
        <v>0</v>
      </c>
      <c r="K597" s="133">
        <f>IF(Referentie_Transport_Totaal[[#This Row],[Emissieloos Transport naar bouwplaats?]]="JA",Referentie_Transport_Totaal[[#This Row],[Transport naar bouwplaats Vervangingen '[tkm']]],0)+IF(Referentie_Transport_Totaal[[#This Row],[Emissieloos Transport naar verwerker?]]="JA",Referentie_Transport_Totaal[[#This Row],[Transport naar verwerker Vervangingen '[tkm']]],0)</f>
        <v>0</v>
      </c>
      <c r="L597" s="133">
        <f>Referentie_Transport_Totaal[[#This Row],[Emissieloos Transport]]+Referentie_Transport_Totaal[[#This Row],[Emissieloos Transport Vervangingen]]</f>
        <v>0</v>
      </c>
      <c r="M597" s="133">
        <f>(Referentie_Transport_Totaal[[#This Row],[Transport naar bouwplaats '[tkm']]]+Referentie_Transport_Totaal[[#This Row],[Transport naar verwerker '[tkm']]]+Referentie_Transport_Totaal[[#This Row],[Transport naar bouwplaats Vervangingen '[tkm']]]+Referentie_Transport_Totaal[[#This Row],[Transport naar verwerker Vervangingen '[tkm']]])-Referentie_Transport_Totaal[[#This Row],[Totaal Emissieloos Transport]]</f>
        <v>0</v>
      </c>
      <c r="N597" s="133">
        <f>Referentie_Transport_Totaal[[#This Row],[Totaal Emissieloos Transport]]+Referentie_Transport_Totaal[[#This Row],[Totaal Niet Emissieloos Transport]]</f>
        <v>0</v>
      </c>
      <c r="O597" s="13"/>
      <c r="P597" s="13"/>
      <c r="Q597" s="13"/>
      <c r="R597" s="13"/>
      <c r="S597" s="13"/>
    </row>
    <row r="598" spans="2:19">
      <c r="B598" s="209">
        <f>Baseline!B75</f>
        <v>0</v>
      </c>
      <c r="C598" s="51">
        <f>Baseline!F75</f>
        <v>0</v>
      </c>
      <c r="D598" s="93">
        <f>(IF(Baseline!C75="Nieuwe situatie",(Baseline!S75),0)*Baseline!Q75)</f>
        <v>0</v>
      </c>
      <c r="E598" s="98">
        <f>(IF(Baseline!C75="Bestaande situatie",(Baseline!AC75),0)*Baseline!Q75)</f>
        <v>0</v>
      </c>
      <c r="F598" s="94" t="str">
        <f>_xlfn.IFNA(VLOOKUP(Baseline!T75,Database_Transport[],60,FALSE),"Nee")</f>
        <v>Nee</v>
      </c>
      <c r="G598" s="94" t="str">
        <f>_xlfn.IFNA(VLOOKUP(Baseline!AC75,Database_Transport[],60,FALSE),"Nee")</f>
        <v>Nee</v>
      </c>
      <c r="H598" s="124">
        <f>IF(Referentie_Transport_Totaal[[#This Row],[Emissieloos Transport naar bouwplaats?]]="JA",Referentie_Transport_Totaal[[#This Row],[Transport naar bouwplaats '[tkm']]],0)+IF(Referentie_Transport_Totaal[[#This Row],[Emissieloos Transport naar verwerker?]]="JA",Referentie_Transport_Totaal[[#This Row],[Transport naar verwerker '[tkm']]],0)</f>
        <v>0</v>
      </c>
      <c r="I598" s="133" cm="1">
        <f t="array" ref="I598">_xlfn.IFNA((_xlfn.IFS(Baseline!C75="Nieuwe Situatie",(50),Baseline!C75="Bestaande Situatie",(0))),0)*Baseline!Q75*Baseline!R75</f>
        <v>0</v>
      </c>
      <c r="J598" s="133" cm="1">
        <f t="array" ref="J598">(_xlfn.IFNA((_xlfn.IFS(Baseline!C75="Nieuwe Situatie",(50),Baseline!C75="Bestaande Situatie",(50))),0)*Baseline!Q75)*Baseline!R75</f>
        <v>0</v>
      </c>
      <c r="K598" s="133">
        <f>IF(Referentie_Transport_Totaal[[#This Row],[Emissieloos Transport naar bouwplaats?]]="JA",Referentie_Transport_Totaal[[#This Row],[Transport naar bouwplaats Vervangingen '[tkm']]],0)+IF(Referentie_Transport_Totaal[[#This Row],[Emissieloos Transport naar verwerker?]]="JA",Referentie_Transport_Totaal[[#This Row],[Transport naar verwerker Vervangingen '[tkm']]],0)</f>
        <v>0</v>
      </c>
      <c r="L598" s="133">
        <f>Referentie_Transport_Totaal[[#This Row],[Emissieloos Transport]]+Referentie_Transport_Totaal[[#This Row],[Emissieloos Transport Vervangingen]]</f>
        <v>0</v>
      </c>
      <c r="M598" s="133">
        <f>(Referentie_Transport_Totaal[[#This Row],[Transport naar bouwplaats '[tkm']]]+Referentie_Transport_Totaal[[#This Row],[Transport naar verwerker '[tkm']]]+Referentie_Transport_Totaal[[#This Row],[Transport naar bouwplaats Vervangingen '[tkm']]]+Referentie_Transport_Totaal[[#This Row],[Transport naar verwerker Vervangingen '[tkm']]])-Referentie_Transport_Totaal[[#This Row],[Totaal Emissieloos Transport]]</f>
        <v>0</v>
      </c>
      <c r="N598" s="133">
        <f>Referentie_Transport_Totaal[[#This Row],[Totaal Emissieloos Transport]]+Referentie_Transport_Totaal[[#This Row],[Totaal Niet Emissieloos Transport]]</f>
        <v>0</v>
      </c>
      <c r="O598" s="13"/>
      <c r="P598" s="13"/>
      <c r="Q598" s="13"/>
      <c r="R598" s="13"/>
      <c r="S598" s="13"/>
    </row>
    <row r="599" spans="2:19">
      <c r="B599" s="209">
        <f>Baseline!B76</f>
        <v>0</v>
      </c>
      <c r="C599" s="51">
        <f>Baseline!F76</f>
        <v>0</v>
      </c>
      <c r="D599" s="93">
        <f>(IF(Baseline!C76="Nieuwe situatie",(Baseline!S76),0)*Baseline!Q76)</f>
        <v>0</v>
      </c>
      <c r="E599" s="98">
        <f>(IF(Baseline!C76="Bestaande situatie",(Baseline!AC76),0)*Baseline!Q76)</f>
        <v>0</v>
      </c>
      <c r="F599" s="94" t="str">
        <f>_xlfn.IFNA(VLOOKUP(Baseline!T76,Database_Transport[],60,FALSE),"Nee")</f>
        <v>Nee</v>
      </c>
      <c r="G599" s="94" t="str">
        <f>_xlfn.IFNA(VLOOKUP(Baseline!AC76,Database_Transport[],60,FALSE),"Nee")</f>
        <v>Nee</v>
      </c>
      <c r="H599" s="124">
        <f>IF(Referentie_Transport_Totaal[[#This Row],[Emissieloos Transport naar bouwplaats?]]="JA",Referentie_Transport_Totaal[[#This Row],[Transport naar bouwplaats '[tkm']]],0)+IF(Referentie_Transport_Totaal[[#This Row],[Emissieloos Transport naar verwerker?]]="JA",Referentie_Transport_Totaal[[#This Row],[Transport naar verwerker '[tkm']]],0)</f>
        <v>0</v>
      </c>
      <c r="I599" s="133" cm="1">
        <f t="array" ref="I599">_xlfn.IFNA((_xlfn.IFS(Baseline!C76="Nieuwe Situatie",(50),Baseline!C76="Bestaande Situatie",(0))),0)*Baseline!Q76*Baseline!R76</f>
        <v>0</v>
      </c>
      <c r="J599" s="133" cm="1">
        <f t="array" ref="J599">(_xlfn.IFNA((_xlfn.IFS(Baseline!C76="Nieuwe Situatie",(50),Baseline!C76="Bestaande Situatie",(50))),0)*Baseline!Q76)*Baseline!R76</f>
        <v>0</v>
      </c>
      <c r="K599" s="133">
        <f>IF(Referentie_Transport_Totaal[[#This Row],[Emissieloos Transport naar bouwplaats?]]="JA",Referentie_Transport_Totaal[[#This Row],[Transport naar bouwplaats Vervangingen '[tkm']]],0)+IF(Referentie_Transport_Totaal[[#This Row],[Emissieloos Transport naar verwerker?]]="JA",Referentie_Transport_Totaal[[#This Row],[Transport naar verwerker Vervangingen '[tkm']]],0)</f>
        <v>0</v>
      </c>
      <c r="L599" s="133">
        <f>Referentie_Transport_Totaal[[#This Row],[Emissieloos Transport]]+Referentie_Transport_Totaal[[#This Row],[Emissieloos Transport Vervangingen]]</f>
        <v>0</v>
      </c>
      <c r="M599" s="133">
        <f>(Referentie_Transport_Totaal[[#This Row],[Transport naar bouwplaats '[tkm']]]+Referentie_Transport_Totaal[[#This Row],[Transport naar verwerker '[tkm']]]+Referentie_Transport_Totaal[[#This Row],[Transport naar bouwplaats Vervangingen '[tkm']]]+Referentie_Transport_Totaal[[#This Row],[Transport naar verwerker Vervangingen '[tkm']]])-Referentie_Transport_Totaal[[#This Row],[Totaal Emissieloos Transport]]</f>
        <v>0</v>
      </c>
      <c r="N599" s="133">
        <f>Referentie_Transport_Totaal[[#This Row],[Totaal Emissieloos Transport]]+Referentie_Transport_Totaal[[#This Row],[Totaal Niet Emissieloos Transport]]</f>
        <v>0</v>
      </c>
      <c r="O599" s="13"/>
      <c r="P599" s="13"/>
      <c r="Q599" s="13"/>
      <c r="R599" s="13"/>
      <c r="S599" s="13"/>
    </row>
    <row r="600" spans="2:19">
      <c r="B600" s="209">
        <f>Baseline!B77</f>
        <v>0</v>
      </c>
      <c r="C600" s="51">
        <f>Baseline!F77</f>
        <v>0</v>
      </c>
      <c r="D600" s="93">
        <f>(IF(Baseline!C77="Nieuwe situatie",(Baseline!S77),0)*Baseline!Q77)</f>
        <v>0</v>
      </c>
      <c r="E600" s="98">
        <f>(IF(Baseline!C77="Bestaande situatie",(Baseline!AC77),0)*Baseline!Q77)</f>
        <v>0</v>
      </c>
      <c r="F600" s="94" t="str">
        <f>_xlfn.IFNA(VLOOKUP(Baseline!T77,Database_Transport[],60,FALSE),"Nee")</f>
        <v>Nee</v>
      </c>
      <c r="G600" s="94" t="str">
        <f>_xlfn.IFNA(VLOOKUP(Baseline!AC77,Database_Transport[],60,FALSE),"Nee")</f>
        <v>Nee</v>
      </c>
      <c r="H600" s="124">
        <f>IF(Referentie_Transport_Totaal[[#This Row],[Emissieloos Transport naar bouwplaats?]]="JA",Referentie_Transport_Totaal[[#This Row],[Transport naar bouwplaats '[tkm']]],0)+IF(Referentie_Transport_Totaal[[#This Row],[Emissieloos Transport naar verwerker?]]="JA",Referentie_Transport_Totaal[[#This Row],[Transport naar verwerker '[tkm']]],0)</f>
        <v>0</v>
      </c>
      <c r="I600" s="133" cm="1">
        <f t="array" ref="I600">_xlfn.IFNA((_xlfn.IFS(Baseline!C77="Nieuwe Situatie",(50),Baseline!C77="Bestaande Situatie",(0))),0)*Baseline!Q77*Baseline!R77</f>
        <v>0</v>
      </c>
      <c r="J600" s="133" cm="1">
        <f t="array" ref="J600">(_xlfn.IFNA((_xlfn.IFS(Baseline!C77="Nieuwe Situatie",(50),Baseline!C77="Bestaande Situatie",(50))),0)*Baseline!Q77)*Baseline!R77</f>
        <v>0</v>
      </c>
      <c r="K600" s="133">
        <f>IF(Referentie_Transport_Totaal[[#This Row],[Emissieloos Transport naar bouwplaats?]]="JA",Referentie_Transport_Totaal[[#This Row],[Transport naar bouwplaats Vervangingen '[tkm']]],0)+IF(Referentie_Transport_Totaal[[#This Row],[Emissieloos Transport naar verwerker?]]="JA",Referentie_Transport_Totaal[[#This Row],[Transport naar verwerker Vervangingen '[tkm']]],0)</f>
        <v>0</v>
      </c>
      <c r="L600" s="133">
        <f>Referentie_Transport_Totaal[[#This Row],[Emissieloos Transport]]+Referentie_Transport_Totaal[[#This Row],[Emissieloos Transport Vervangingen]]</f>
        <v>0</v>
      </c>
      <c r="M600" s="133">
        <f>(Referentie_Transport_Totaal[[#This Row],[Transport naar bouwplaats '[tkm']]]+Referentie_Transport_Totaal[[#This Row],[Transport naar verwerker '[tkm']]]+Referentie_Transport_Totaal[[#This Row],[Transport naar bouwplaats Vervangingen '[tkm']]]+Referentie_Transport_Totaal[[#This Row],[Transport naar verwerker Vervangingen '[tkm']]])-Referentie_Transport_Totaal[[#This Row],[Totaal Emissieloos Transport]]</f>
        <v>0</v>
      </c>
      <c r="N600" s="133">
        <f>Referentie_Transport_Totaal[[#This Row],[Totaal Emissieloos Transport]]+Referentie_Transport_Totaal[[#This Row],[Totaal Niet Emissieloos Transport]]</f>
        <v>0</v>
      </c>
      <c r="O600" s="13"/>
      <c r="P600" s="13"/>
      <c r="Q600" s="13"/>
      <c r="R600" s="13"/>
      <c r="S600" s="13"/>
    </row>
    <row r="601" spans="2:19">
      <c r="B601" s="209">
        <f>Baseline!B78</f>
        <v>0</v>
      </c>
      <c r="C601" s="51">
        <f>Baseline!F78</f>
        <v>0</v>
      </c>
      <c r="D601" s="93">
        <f>(IF(Baseline!C78="Nieuwe situatie",(Baseline!S78),0)*Baseline!Q78)</f>
        <v>0</v>
      </c>
      <c r="E601" s="98">
        <f>(IF(Baseline!C78="Bestaande situatie",(Baseline!AC78),0)*Baseline!Q78)</f>
        <v>0</v>
      </c>
      <c r="F601" s="94" t="str">
        <f>_xlfn.IFNA(VLOOKUP(Baseline!T78,Database_Transport[],60,FALSE),"Nee")</f>
        <v>Nee</v>
      </c>
      <c r="G601" s="94" t="str">
        <f>_xlfn.IFNA(VLOOKUP(Baseline!AC78,Database_Transport[],60,FALSE),"Nee")</f>
        <v>Nee</v>
      </c>
      <c r="H601" s="124">
        <f>IF(Referentie_Transport_Totaal[[#This Row],[Emissieloos Transport naar bouwplaats?]]="JA",Referentie_Transport_Totaal[[#This Row],[Transport naar bouwplaats '[tkm']]],0)+IF(Referentie_Transport_Totaal[[#This Row],[Emissieloos Transport naar verwerker?]]="JA",Referentie_Transport_Totaal[[#This Row],[Transport naar verwerker '[tkm']]],0)</f>
        <v>0</v>
      </c>
      <c r="I601" s="133" cm="1">
        <f t="array" ref="I601">_xlfn.IFNA((_xlfn.IFS(Baseline!C78="Nieuwe Situatie",(50),Baseline!C78="Bestaande Situatie",(0))),0)*Baseline!Q78*Baseline!R78</f>
        <v>0</v>
      </c>
      <c r="J601" s="133" cm="1">
        <f t="array" ref="J601">(_xlfn.IFNA((_xlfn.IFS(Baseline!C78="Nieuwe Situatie",(50),Baseline!C78="Bestaande Situatie",(50))),0)*Baseline!Q78)*Baseline!R78</f>
        <v>0</v>
      </c>
      <c r="K601" s="133">
        <f>IF(Referentie_Transport_Totaal[[#This Row],[Emissieloos Transport naar bouwplaats?]]="JA",Referentie_Transport_Totaal[[#This Row],[Transport naar bouwplaats Vervangingen '[tkm']]],0)+IF(Referentie_Transport_Totaal[[#This Row],[Emissieloos Transport naar verwerker?]]="JA",Referentie_Transport_Totaal[[#This Row],[Transport naar verwerker Vervangingen '[tkm']]],0)</f>
        <v>0</v>
      </c>
      <c r="L601" s="133">
        <f>Referentie_Transport_Totaal[[#This Row],[Emissieloos Transport]]+Referentie_Transport_Totaal[[#This Row],[Emissieloos Transport Vervangingen]]</f>
        <v>0</v>
      </c>
      <c r="M601" s="133">
        <f>(Referentie_Transport_Totaal[[#This Row],[Transport naar bouwplaats '[tkm']]]+Referentie_Transport_Totaal[[#This Row],[Transport naar verwerker '[tkm']]]+Referentie_Transport_Totaal[[#This Row],[Transport naar bouwplaats Vervangingen '[tkm']]]+Referentie_Transport_Totaal[[#This Row],[Transport naar verwerker Vervangingen '[tkm']]])-Referentie_Transport_Totaal[[#This Row],[Totaal Emissieloos Transport]]</f>
        <v>0</v>
      </c>
      <c r="N601" s="133">
        <f>Referentie_Transport_Totaal[[#This Row],[Totaal Emissieloos Transport]]+Referentie_Transport_Totaal[[#This Row],[Totaal Niet Emissieloos Transport]]</f>
        <v>0</v>
      </c>
      <c r="O601" s="13"/>
      <c r="P601" s="13"/>
      <c r="Q601" s="13"/>
      <c r="R601" s="13"/>
      <c r="S601" s="13"/>
    </row>
    <row r="602" spans="2:19">
      <c r="B602" s="209">
        <f>Baseline!B79</f>
        <v>0</v>
      </c>
      <c r="C602" s="51">
        <f>Baseline!F79</f>
        <v>0</v>
      </c>
      <c r="D602" s="93">
        <f>(IF(Baseline!C79="Nieuwe situatie",(Baseline!S79),0)*Baseline!Q79)</f>
        <v>0</v>
      </c>
      <c r="E602" s="98">
        <f>(IF(Baseline!C79="Bestaande situatie",(Baseline!AC79),0)*Baseline!Q79)</f>
        <v>0</v>
      </c>
      <c r="F602" s="94" t="str">
        <f>_xlfn.IFNA(VLOOKUP(Baseline!T79,Database_Transport[],60,FALSE),"Nee")</f>
        <v>Nee</v>
      </c>
      <c r="G602" s="94" t="str">
        <f>_xlfn.IFNA(VLOOKUP(Baseline!AC79,Database_Transport[],60,FALSE),"Nee")</f>
        <v>Nee</v>
      </c>
      <c r="H602" s="124">
        <f>IF(Referentie_Transport_Totaal[[#This Row],[Emissieloos Transport naar bouwplaats?]]="JA",Referentie_Transport_Totaal[[#This Row],[Transport naar bouwplaats '[tkm']]],0)+IF(Referentie_Transport_Totaal[[#This Row],[Emissieloos Transport naar verwerker?]]="JA",Referentie_Transport_Totaal[[#This Row],[Transport naar verwerker '[tkm']]],0)</f>
        <v>0</v>
      </c>
      <c r="I602" s="133" cm="1">
        <f t="array" ref="I602">_xlfn.IFNA((_xlfn.IFS(Baseline!C79="Nieuwe Situatie",(50),Baseline!C79="Bestaande Situatie",(0))),0)*Baseline!Q79*Baseline!R79</f>
        <v>0</v>
      </c>
      <c r="J602" s="133" cm="1">
        <f t="array" ref="J602">(_xlfn.IFNA((_xlfn.IFS(Baseline!C79="Nieuwe Situatie",(50),Baseline!C79="Bestaande Situatie",(50))),0)*Baseline!Q79)*Baseline!R79</f>
        <v>0</v>
      </c>
      <c r="K602" s="133">
        <f>IF(Referentie_Transport_Totaal[[#This Row],[Emissieloos Transport naar bouwplaats?]]="JA",Referentie_Transport_Totaal[[#This Row],[Transport naar bouwplaats Vervangingen '[tkm']]],0)+IF(Referentie_Transport_Totaal[[#This Row],[Emissieloos Transport naar verwerker?]]="JA",Referentie_Transport_Totaal[[#This Row],[Transport naar verwerker Vervangingen '[tkm']]],0)</f>
        <v>0</v>
      </c>
      <c r="L602" s="133">
        <f>Referentie_Transport_Totaal[[#This Row],[Emissieloos Transport]]+Referentie_Transport_Totaal[[#This Row],[Emissieloos Transport Vervangingen]]</f>
        <v>0</v>
      </c>
      <c r="M602" s="133">
        <f>(Referentie_Transport_Totaal[[#This Row],[Transport naar bouwplaats '[tkm']]]+Referentie_Transport_Totaal[[#This Row],[Transport naar verwerker '[tkm']]]+Referentie_Transport_Totaal[[#This Row],[Transport naar bouwplaats Vervangingen '[tkm']]]+Referentie_Transport_Totaal[[#This Row],[Transport naar verwerker Vervangingen '[tkm']]])-Referentie_Transport_Totaal[[#This Row],[Totaal Emissieloos Transport]]</f>
        <v>0</v>
      </c>
      <c r="N602" s="133">
        <f>Referentie_Transport_Totaal[[#This Row],[Totaal Emissieloos Transport]]+Referentie_Transport_Totaal[[#This Row],[Totaal Niet Emissieloos Transport]]</f>
        <v>0</v>
      </c>
      <c r="O602" s="13"/>
      <c r="P602" s="13"/>
      <c r="Q602" s="13"/>
      <c r="R602" s="13"/>
      <c r="S602" s="13"/>
    </row>
    <row r="603" spans="2:19">
      <c r="B603" s="209">
        <f>Baseline!B80</f>
        <v>0</v>
      </c>
      <c r="C603" s="51">
        <f>Baseline!F80</f>
        <v>0</v>
      </c>
      <c r="D603" s="93">
        <f>(IF(Baseline!C80="Nieuwe situatie",(Baseline!S80),0)*Baseline!Q80)</f>
        <v>0</v>
      </c>
      <c r="E603" s="98">
        <f>(IF(Baseline!C80="Bestaande situatie",(Baseline!AC80),0)*Baseline!Q80)</f>
        <v>0</v>
      </c>
      <c r="F603" s="94" t="str">
        <f>_xlfn.IFNA(VLOOKUP(Baseline!T80,Database_Transport[],60,FALSE),"Nee")</f>
        <v>Nee</v>
      </c>
      <c r="G603" s="94" t="str">
        <f>_xlfn.IFNA(VLOOKUP(Baseline!AC80,Database_Transport[],60,FALSE),"Nee")</f>
        <v>Nee</v>
      </c>
      <c r="H603" s="124">
        <f>IF(Referentie_Transport_Totaal[[#This Row],[Emissieloos Transport naar bouwplaats?]]="JA",Referentie_Transport_Totaal[[#This Row],[Transport naar bouwplaats '[tkm']]],0)+IF(Referentie_Transport_Totaal[[#This Row],[Emissieloos Transport naar verwerker?]]="JA",Referentie_Transport_Totaal[[#This Row],[Transport naar verwerker '[tkm']]],0)</f>
        <v>0</v>
      </c>
      <c r="I603" s="133" cm="1">
        <f t="array" ref="I603">_xlfn.IFNA((_xlfn.IFS(Baseline!C80="Nieuwe Situatie",(50),Baseline!C80="Bestaande Situatie",(0))),0)*Baseline!Q80*Baseline!R80</f>
        <v>0</v>
      </c>
      <c r="J603" s="133" cm="1">
        <f t="array" ref="J603">(_xlfn.IFNA((_xlfn.IFS(Baseline!C80="Nieuwe Situatie",(50),Baseline!C80="Bestaande Situatie",(50))),0)*Baseline!Q80)*Baseline!R80</f>
        <v>0</v>
      </c>
      <c r="K603" s="133">
        <f>IF(Referentie_Transport_Totaal[[#This Row],[Emissieloos Transport naar bouwplaats?]]="JA",Referentie_Transport_Totaal[[#This Row],[Transport naar bouwplaats Vervangingen '[tkm']]],0)+IF(Referentie_Transport_Totaal[[#This Row],[Emissieloos Transport naar verwerker?]]="JA",Referentie_Transport_Totaal[[#This Row],[Transport naar verwerker Vervangingen '[tkm']]],0)</f>
        <v>0</v>
      </c>
      <c r="L603" s="133">
        <f>Referentie_Transport_Totaal[[#This Row],[Emissieloos Transport]]+Referentie_Transport_Totaal[[#This Row],[Emissieloos Transport Vervangingen]]</f>
        <v>0</v>
      </c>
      <c r="M603" s="133">
        <f>(Referentie_Transport_Totaal[[#This Row],[Transport naar bouwplaats '[tkm']]]+Referentie_Transport_Totaal[[#This Row],[Transport naar verwerker '[tkm']]]+Referentie_Transport_Totaal[[#This Row],[Transport naar bouwplaats Vervangingen '[tkm']]]+Referentie_Transport_Totaal[[#This Row],[Transport naar verwerker Vervangingen '[tkm']]])-Referentie_Transport_Totaal[[#This Row],[Totaal Emissieloos Transport]]</f>
        <v>0</v>
      </c>
      <c r="N603" s="133">
        <f>Referentie_Transport_Totaal[[#This Row],[Totaal Emissieloos Transport]]+Referentie_Transport_Totaal[[#This Row],[Totaal Niet Emissieloos Transport]]</f>
        <v>0</v>
      </c>
      <c r="O603" s="13"/>
      <c r="P603" s="13"/>
      <c r="Q603" s="13"/>
      <c r="R603" s="13"/>
      <c r="S603" s="13"/>
    </row>
    <row r="604" spans="2:19">
      <c r="B604" s="209">
        <f>Baseline!B81</f>
        <v>0</v>
      </c>
      <c r="C604" s="51">
        <f>Baseline!F81</f>
        <v>0</v>
      </c>
      <c r="D604" s="93">
        <f>(IF(Baseline!C81="Nieuwe situatie",(Baseline!S81),0)*Baseline!Q81)</f>
        <v>0</v>
      </c>
      <c r="E604" s="98">
        <f>(IF(Baseline!C81="Bestaande situatie",(Baseline!AC81),0)*Baseline!Q81)</f>
        <v>0</v>
      </c>
      <c r="F604" s="94" t="str">
        <f>_xlfn.IFNA(VLOOKUP(Baseline!T81,Database_Transport[],60,FALSE),"Nee")</f>
        <v>Nee</v>
      </c>
      <c r="G604" s="94" t="str">
        <f>_xlfn.IFNA(VLOOKUP(Baseline!AC81,Database_Transport[],60,FALSE),"Nee")</f>
        <v>Nee</v>
      </c>
      <c r="H604" s="124">
        <f>IF(Referentie_Transport_Totaal[[#This Row],[Emissieloos Transport naar bouwplaats?]]="JA",Referentie_Transport_Totaal[[#This Row],[Transport naar bouwplaats '[tkm']]],0)+IF(Referentie_Transport_Totaal[[#This Row],[Emissieloos Transport naar verwerker?]]="JA",Referentie_Transport_Totaal[[#This Row],[Transport naar verwerker '[tkm']]],0)</f>
        <v>0</v>
      </c>
      <c r="I604" s="133" cm="1">
        <f t="array" ref="I604">_xlfn.IFNA((_xlfn.IFS(Baseline!C81="Nieuwe Situatie",(50),Baseline!C81="Bestaande Situatie",(0))),0)*Baseline!Q81*Baseline!R81</f>
        <v>0</v>
      </c>
      <c r="J604" s="133" cm="1">
        <f t="array" ref="J604">(_xlfn.IFNA((_xlfn.IFS(Baseline!C81="Nieuwe Situatie",(50),Baseline!C81="Bestaande Situatie",(50))),0)*Baseline!Q81)*Baseline!R81</f>
        <v>0</v>
      </c>
      <c r="K604" s="133">
        <f>IF(Referentie_Transport_Totaal[[#This Row],[Emissieloos Transport naar bouwplaats?]]="JA",Referentie_Transport_Totaal[[#This Row],[Transport naar bouwplaats Vervangingen '[tkm']]],0)+IF(Referentie_Transport_Totaal[[#This Row],[Emissieloos Transport naar verwerker?]]="JA",Referentie_Transport_Totaal[[#This Row],[Transport naar verwerker Vervangingen '[tkm']]],0)</f>
        <v>0</v>
      </c>
      <c r="L604" s="133">
        <f>Referentie_Transport_Totaal[[#This Row],[Emissieloos Transport]]+Referentie_Transport_Totaal[[#This Row],[Emissieloos Transport Vervangingen]]</f>
        <v>0</v>
      </c>
      <c r="M604" s="133">
        <f>(Referentie_Transport_Totaal[[#This Row],[Transport naar bouwplaats '[tkm']]]+Referentie_Transport_Totaal[[#This Row],[Transport naar verwerker '[tkm']]]+Referentie_Transport_Totaal[[#This Row],[Transport naar bouwplaats Vervangingen '[tkm']]]+Referentie_Transport_Totaal[[#This Row],[Transport naar verwerker Vervangingen '[tkm']]])-Referentie_Transport_Totaal[[#This Row],[Totaal Emissieloos Transport]]</f>
        <v>0</v>
      </c>
      <c r="N604" s="133">
        <f>Referentie_Transport_Totaal[[#This Row],[Totaal Emissieloos Transport]]+Referentie_Transport_Totaal[[#This Row],[Totaal Niet Emissieloos Transport]]</f>
        <v>0</v>
      </c>
      <c r="O604" s="13"/>
      <c r="P604" s="13"/>
      <c r="Q604" s="13"/>
      <c r="R604" s="13"/>
      <c r="S604" s="13"/>
    </row>
    <row r="605" spans="2:19">
      <c r="B605" s="209">
        <f>Baseline!B82</f>
        <v>0</v>
      </c>
      <c r="C605" s="51">
        <f>Baseline!F82</f>
        <v>0</v>
      </c>
      <c r="D605" s="93">
        <f>(IF(Baseline!C82="Nieuwe situatie",(Baseline!S82),0)*Baseline!Q82)</f>
        <v>0</v>
      </c>
      <c r="E605" s="98">
        <f>(IF(Baseline!C82="Bestaande situatie",(Baseline!AC82),0)*Baseline!Q82)</f>
        <v>0</v>
      </c>
      <c r="F605" s="94" t="str">
        <f>_xlfn.IFNA(VLOOKUP(Baseline!T82,Database_Transport[],60,FALSE),"Nee")</f>
        <v>Nee</v>
      </c>
      <c r="G605" s="94" t="str">
        <f>_xlfn.IFNA(VLOOKUP(Baseline!AC82,Database_Transport[],60,FALSE),"Nee")</f>
        <v>Nee</v>
      </c>
      <c r="H605" s="124">
        <f>IF(Referentie_Transport_Totaal[[#This Row],[Emissieloos Transport naar bouwplaats?]]="JA",Referentie_Transport_Totaal[[#This Row],[Transport naar bouwplaats '[tkm']]],0)+IF(Referentie_Transport_Totaal[[#This Row],[Emissieloos Transport naar verwerker?]]="JA",Referentie_Transport_Totaal[[#This Row],[Transport naar verwerker '[tkm']]],0)</f>
        <v>0</v>
      </c>
      <c r="I605" s="133" cm="1">
        <f t="array" ref="I605">_xlfn.IFNA((_xlfn.IFS(Baseline!C82="Nieuwe Situatie",(50),Baseline!C82="Bestaande Situatie",(0))),0)*Baseline!Q82*Baseline!R82</f>
        <v>0</v>
      </c>
      <c r="J605" s="133" cm="1">
        <f t="array" ref="J605">(_xlfn.IFNA((_xlfn.IFS(Baseline!C82="Nieuwe Situatie",(50),Baseline!C82="Bestaande Situatie",(50))),0)*Baseline!Q82)*Baseline!R82</f>
        <v>0</v>
      </c>
      <c r="K605" s="133">
        <f>IF(Referentie_Transport_Totaal[[#This Row],[Emissieloos Transport naar bouwplaats?]]="JA",Referentie_Transport_Totaal[[#This Row],[Transport naar bouwplaats Vervangingen '[tkm']]],0)+IF(Referentie_Transport_Totaal[[#This Row],[Emissieloos Transport naar verwerker?]]="JA",Referentie_Transport_Totaal[[#This Row],[Transport naar verwerker Vervangingen '[tkm']]],0)</f>
        <v>0</v>
      </c>
      <c r="L605" s="133">
        <f>Referentie_Transport_Totaal[[#This Row],[Emissieloos Transport]]+Referentie_Transport_Totaal[[#This Row],[Emissieloos Transport Vervangingen]]</f>
        <v>0</v>
      </c>
      <c r="M605" s="133">
        <f>(Referentie_Transport_Totaal[[#This Row],[Transport naar bouwplaats '[tkm']]]+Referentie_Transport_Totaal[[#This Row],[Transport naar verwerker '[tkm']]]+Referentie_Transport_Totaal[[#This Row],[Transport naar bouwplaats Vervangingen '[tkm']]]+Referentie_Transport_Totaal[[#This Row],[Transport naar verwerker Vervangingen '[tkm']]])-Referentie_Transport_Totaal[[#This Row],[Totaal Emissieloos Transport]]</f>
        <v>0</v>
      </c>
      <c r="N605" s="133">
        <f>Referentie_Transport_Totaal[[#This Row],[Totaal Emissieloos Transport]]+Referentie_Transport_Totaal[[#This Row],[Totaal Niet Emissieloos Transport]]</f>
        <v>0</v>
      </c>
      <c r="O605" s="13"/>
      <c r="P605" s="13"/>
      <c r="Q605" s="13"/>
      <c r="R605" s="13"/>
      <c r="S605" s="13"/>
    </row>
    <row r="606" spans="2:19">
      <c r="B606" s="209">
        <f>Baseline!B83</f>
        <v>0</v>
      </c>
      <c r="C606" s="51">
        <f>Baseline!F83</f>
        <v>0</v>
      </c>
      <c r="D606" s="93">
        <f>(IF(Baseline!C83="Nieuwe situatie",(Baseline!S83),0)*Baseline!Q83)</f>
        <v>0</v>
      </c>
      <c r="E606" s="98">
        <f>(IF(Baseline!C83="Bestaande situatie",(Baseline!AC83),0)*Baseline!Q83)</f>
        <v>0</v>
      </c>
      <c r="F606" s="94" t="str">
        <f>_xlfn.IFNA(VLOOKUP(Baseline!T83,Database_Transport[],60,FALSE),"Nee")</f>
        <v>Nee</v>
      </c>
      <c r="G606" s="94" t="str">
        <f>_xlfn.IFNA(VLOOKUP(Baseline!AC83,Database_Transport[],60,FALSE),"Nee")</f>
        <v>Nee</v>
      </c>
      <c r="H606" s="124">
        <f>IF(Referentie_Transport_Totaal[[#This Row],[Emissieloos Transport naar bouwplaats?]]="JA",Referentie_Transport_Totaal[[#This Row],[Transport naar bouwplaats '[tkm']]],0)+IF(Referentie_Transport_Totaal[[#This Row],[Emissieloos Transport naar verwerker?]]="JA",Referentie_Transport_Totaal[[#This Row],[Transport naar verwerker '[tkm']]],0)</f>
        <v>0</v>
      </c>
      <c r="I606" s="133" cm="1">
        <f t="array" ref="I606">_xlfn.IFNA((_xlfn.IFS(Baseline!C83="Nieuwe Situatie",(50),Baseline!C83="Bestaande Situatie",(0))),0)*Baseline!Q83*Baseline!R83</f>
        <v>0</v>
      </c>
      <c r="J606" s="133" cm="1">
        <f t="array" ref="J606">(_xlfn.IFNA((_xlfn.IFS(Baseline!C83="Nieuwe Situatie",(50),Baseline!C83="Bestaande Situatie",(50))),0)*Baseline!Q83)*Baseline!R83</f>
        <v>0</v>
      </c>
      <c r="K606" s="133">
        <f>IF(Referentie_Transport_Totaal[[#This Row],[Emissieloos Transport naar bouwplaats?]]="JA",Referentie_Transport_Totaal[[#This Row],[Transport naar bouwplaats Vervangingen '[tkm']]],0)+IF(Referentie_Transport_Totaal[[#This Row],[Emissieloos Transport naar verwerker?]]="JA",Referentie_Transport_Totaal[[#This Row],[Transport naar verwerker Vervangingen '[tkm']]],0)</f>
        <v>0</v>
      </c>
      <c r="L606" s="133">
        <f>Referentie_Transport_Totaal[[#This Row],[Emissieloos Transport]]+Referentie_Transport_Totaal[[#This Row],[Emissieloos Transport Vervangingen]]</f>
        <v>0</v>
      </c>
      <c r="M606" s="133">
        <f>(Referentie_Transport_Totaal[[#This Row],[Transport naar bouwplaats '[tkm']]]+Referentie_Transport_Totaal[[#This Row],[Transport naar verwerker '[tkm']]]+Referentie_Transport_Totaal[[#This Row],[Transport naar bouwplaats Vervangingen '[tkm']]]+Referentie_Transport_Totaal[[#This Row],[Transport naar verwerker Vervangingen '[tkm']]])-Referentie_Transport_Totaal[[#This Row],[Totaal Emissieloos Transport]]</f>
        <v>0</v>
      </c>
      <c r="N606" s="133">
        <f>Referentie_Transport_Totaal[[#This Row],[Totaal Emissieloos Transport]]+Referentie_Transport_Totaal[[#This Row],[Totaal Niet Emissieloos Transport]]</f>
        <v>0</v>
      </c>
      <c r="O606" s="13"/>
      <c r="P606" s="13"/>
      <c r="Q606" s="13"/>
      <c r="R606" s="13"/>
      <c r="S606" s="13"/>
    </row>
    <row r="607" spans="2:19">
      <c r="B607" s="209">
        <f>Baseline!B84</f>
        <v>0</v>
      </c>
      <c r="C607" s="51">
        <f>Baseline!F84</f>
        <v>0</v>
      </c>
      <c r="D607" s="93">
        <f>(IF(Baseline!C84="Nieuwe situatie",(Baseline!S84),0)*Baseline!Q84)</f>
        <v>0</v>
      </c>
      <c r="E607" s="98">
        <f>(IF(Baseline!C84="Bestaande situatie",(Baseline!AC84),0)*Baseline!Q84)</f>
        <v>0</v>
      </c>
      <c r="F607" s="94" t="str">
        <f>_xlfn.IFNA(VLOOKUP(Baseline!T84,Database_Transport[],60,FALSE),"Nee")</f>
        <v>Nee</v>
      </c>
      <c r="G607" s="94" t="str">
        <f>_xlfn.IFNA(VLOOKUP(Baseline!AC84,Database_Transport[],60,FALSE),"Nee")</f>
        <v>Nee</v>
      </c>
      <c r="H607" s="124">
        <f>IF(Referentie_Transport_Totaal[[#This Row],[Emissieloos Transport naar bouwplaats?]]="JA",Referentie_Transport_Totaal[[#This Row],[Transport naar bouwplaats '[tkm']]],0)+IF(Referentie_Transport_Totaal[[#This Row],[Emissieloos Transport naar verwerker?]]="JA",Referentie_Transport_Totaal[[#This Row],[Transport naar verwerker '[tkm']]],0)</f>
        <v>0</v>
      </c>
      <c r="I607" s="133" cm="1">
        <f t="array" ref="I607">_xlfn.IFNA((_xlfn.IFS(Baseline!C84="Nieuwe Situatie",(50),Baseline!C84="Bestaande Situatie",(0))),0)*Baseline!Q84*Baseline!R84</f>
        <v>0</v>
      </c>
      <c r="J607" s="133" cm="1">
        <f t="array" ref="J607">(_xlfn.IFNA((_xlfn.IFS(Baseline!C84="Nieuwe Situatie",(50),Baseline!C84="Bestaande Situatie",(50))),0)*Baseline!Q84)*Baseline!R84</f>
        <v>0</v>
      </c>
      <c r="K607" s="133">
        <f>IF(Referentie_Transport_Totaal[[#This Row],[Emissieloos Transport naar bouwplaats?]]="JA",Referentie_Transport_Totaal[[#This Row],[Transport naar bouwplaats Vervangingen '[tkm']]],0)+IF(Referentie_Transport_Totaal[[#This Row],[Emissieloos Transport naar verwerker?]]="JA",Referentie_Transport_Totaal[[#This Row],[Transport naar verwerker Vervangingen '[tkm']]],0)</f>
        <v>0</v>
      </c>
      <c r="L607" s="133">
        <f>Referentie_Transport_Totaal[[#This Row],[Emissieloos Transport]]+Referentie_Transport_Totaal[[#This Row],[Emissieloos Transport Vervangingen]]</f>
        <v>0</v>
      </c>
      <c r="M607" s="133">
        <f>(Referentie_Transport_Totaal[[#This Row],[Transport naar bouwplaats '[tkm']]]+Referentie_Transport_Totaal[[#This Row],[Transport naar verwerker '[tkm']]]+Referentie_Transport_Totaal[[#This Row],[Transport naar bouwplaats Vervangingen '[tkm']]]+Referentie_Transport_Totaal[[#This Row],[Transport naar verwerker Vervangingen '[tkm']]])-Referentie_Transport_Totaal[[#This Row],[Totaal Emissieloos Transport]]</f>
        <v>0</v>
      </c>
      <c r="N607" s="133">
        <f>Referentie_Transport_Totaal[[#This Row],[Totaal Emissieloos Transport]]+Referentie_Transport_Totaal[[#This Row],[Totaal Niet Emissieloos Transport]]</f>
        <v>0</v>
      </c>
      <c r="O607" s="13"/>
      <c r="P607" s="13"/>
      <c r="Q607" s="13"/>
      <c r="R607" s="13"/>
      <c r="S607" s="13"/>
    </row>
    <row r="608" spans="2:19">
      <c r="B608" s="209">
        <f>Baseline!B85</f>
        <v>0</v>
      </c>
      <c r="C608" s="51">
        <f>Baseline!F85</f>
        <v>0</v>
      </c>
      <c r="D608" s="93">
        <f>(IF(Baseline!C85="Nieuwe situatie",(Baseline!S85),0)*Baseline!Q85)</f>
        <v>0</v>
      </c>
      <c r="E608" s="98">
        <f>(IF(Baseline!C85="Bestaande situatie",(Baseline!AC85),0)*Baseline!Q85)</f>
        <v>0</v>
      </c>
      <c r="F608" s="94" t="str">
        <f>_xlfn.IFNA(VLOOKUP(Baseline!T85,Database_Transport[],60,FALSE),"Nee")</f>
        <v>Nee</v>
      </c>
      <c r="G608" s="94" t="str">
        <f>_xlfn.IFNA(VLOOKUP(Baseline!AC85,Database_Transport[],60,FALSE),"Nee")</f>
        <v>Nee</v>
      </c>
      <c r="H608" s="124">
        <f>IF(Referentie_Transport_Totaal[[#This Row],[Emissieloos Transport naar bouwplaats?]]="JA",Referentie_Transport_Totaal[[#This Row],[Transport naar bouwplaats '[tkm']]],0)+IF(Referentie_Transport_Totaal[[#This Row],[Emissieloos Transport naar verwerker?]]="JA",Referentie_Transport_Totaal[[#This Row],[Transport naar verwerker '[tkm']]],0)</f>
        <v>0</v>
      </c>
      <c r="I608" s="133" cm="1">
        <f t="array" ref="I608">_xlfn.IFNA((_xlfn.IFS(Baseline!C85="Nieuwe Situatie",(50),Baseline!C85="Bestaande Situatie",(0))),0)*Baseline!Q85*Baseline!R85</f>
        <v>0</v>
      </c>
      <c r="J608" s="133" cm="1">
        <f t="array" ref="J608">(_xlfn.IFNA((_xlfn.IFS(Baseline!C85="Nieuwe Situatie",(50),Baseline!C85="Bestaande Situatie",(50))),0)*Baseline!Q85)*Baseline!R85</f>
        <v>0</v>
      </c>
      <c r="K608" s="133">
        <f>IF(Referentie_Transport_Totaal[[#This Row],[Emissieloos Transport naar bouwplaats?]]="JA",Referentie_Transport_Totaal[[#This Row],[Transport naar bouwplaats Vervangingen '[tkm']]],0)+IF(Referentie_Transport_Totaal[[#This Row],[Emissieloos Transport naar verwerker?]]="JA",Referentie_Transport_Totaal[[#This Row],[Transport naar verwerker Vervangingen '[tkm']]],0)</f>
        <v>0</v>
      </c>
      <c r="L608" s="133">
        <f>Referentie_Transport_Totaal[[#This Row],[Emissieloos Transport]]+Referentie_Transport_Totaal[[#This Row],[Emissieloos Transport Vervangingen]]</f>
        <v>0</v>
      </c>
      <c r="M608" s="133">
        <f>(Referentie_Transport_Totaal[[#This Row],[Transport naar bouwplaats '[tkm']]]+Referentie_Transport_Totaal[[#This Row],[Transport naar verwerker '[tkm']]]+Referentie_Transport_Totaal[[#This Row],[Transport naar bouwplaats Vervangingen '[tkm']]]+Referentie_Transport_Totaal[[#This Row],[Transport naar verwerker Vervangingen '[tkm']]])-Referentie_Transport_Totaal[[#This Row],[Totaal Emissieloos Transport]]</f>
        <v>0</v>
      </c>
      <c r="N608" s="133">
        <f>Referentie_Transport_Totaal[[#This Row],[Totaal Emissieloos Transport]]+Referentie_Transport_Totaal[[#This Row],[Totaal Niet Emissieloos Transport]]</f>
        <v>0</v>
      </c>
      <c r="O608" s="13"/>
      <c r="P608" s="13"/>
      <c r="Q608" s="13"/>
      <c r="R608" s="13"/>
      <c r="S608" s="13"/>
    </row>
    <row r="609" spans="2:19">
      <c r="B609" s="209">
        <f>Baseline!B86</f>
        <v>0</v>
      </c>
      <c r="C609" s="51">
        <f>Baseline!F86</f>
        <v>0</v>
      </c>
      <c r="D609" s="93">
        <f>(IF(Baseline!C86="Nieuwe situatie",(Baseline!S86),0)*Baseline!Q86)</f>
        <v>0</v>
      </c>
      <c r="E609" s="98">
        <f>(IF(Baseline!C86="Bestaande situatie",(Baseline!AC86),0)*Baseline!Q86)</f>
        <v>0</v>
      </c>
      <c r="F609" s="94" t="str">
        <f>_xlfn.IFNA(VLOOKUP(Baseline!T86,Database_Transport[],60,FALSE),"Nee")</f>
        <v>Nee</v>
      </c>
      <c r="G609" s="94" t="str">
        <f>_xlfn.IFNA(VLOOKUP(Baseline!AC86,Database_Transport[],60,FALSE),"Nee")</f>
        <v>Nee</v>
      </c>
      <c r="H609" s="124">
        <f>IF(Referentie_Transport_Totaal[[#This Row],[Emissieloos Transport naar bouwplaats?]]="JA",Referentie_Transport_Totaal[[#This Row],[Transport naar bouwplaats '[tkm']]],0)+IF(Referentie_Transport_Totaal[[#This Row],[Emissieloos Transport naar verwerker?]]="JA",Referentie_Transport_Totaal[[#This Row],[Transport naar verwerker '[tkm']]],0)</f>
        <v>0</v>
      </c>
      <c r="I609" s="133" cm="1">
        <f t="array" ref="I609">_xlfn.IFNA((_xlfn.IFS(Baseline!C86="Nieuwe Situatie",(50),Baseline!C86="Bestaande Situatie",(0))),0)*Baseline!Q86*Baseline!R86</f>
        <v>0</v>
      </c>
      <c r="J609" s="133" cm="1">
        <f t="array" ref="J609">(_xlfn.IFNA((_xlfn.IFS(Baseline!C86="Nieuwe Situatie",(50),Baseline!C86="Bestaande Situatie",(50))),0)*Baseline!Q86)*Baseline!R86</f>
        <v>0</v>
      </c>
      <c r="K609" s="133">
        <f>IF(Referentie_Transport_Totaal[[#This Row],[Emissieloos Transport naar bouwplaats?]]="JA",Referentie_Transport_Totaal[[#This Row],[Transport naar bouwplaats Vervangingen '[tkm']]],0)+IF(Referentie_Transport_Totaal[[#This Row],[Emissieloos Transport naar verwerker?]]="JA",Referentie_Transport_Totaal[[#This Row],[Transport naar verwerker Vervangingen '[tkm']]],0)</f>
        <v>0</v>
      </c>
      <c r="L609" s="133">
        <f>Referentie_Transport_Totaal[[#This Row],[Emissieloos Transport]]+Referentie_Transport_Totaal[[#This Row],[Emissieloos Transport Vervangingen]]</f>
        <v>0</v>
      </c>
      <c r="M609" s="133">
        <f>(Referentie_Transport_Totaal[[#This Row],[Transport naar bouwplaats '[tkm']]]+Referentie_Transport_Totaal[[#This Row],[Transport naar verwerker '[tkm']]]+Referentie_Transport_Totaal[[#This Row],[Transport naar bouwplaats Vervangingen '[tkm']]]+Referentie_Transport_Totaal[[#This Row],[Transport naar verwerker Vervangingen '[tkm']]])-Referentie_Transport_Totaal[[#This Row],[Totaal Emissieloos Transport]]</f>
        <v>0</v>
      </c>
      <c r="N609" s="133">
        <f>Referentie_Transport_Totaal[[#This Row],[Totaal Emissieloos Transport]]+Referentie_Transport_Totaal[[#This Row],[Totaal Niet Emissieloos Transport]]</f>
        <v>0</v>
      </c>
      <c r="O609" s="13"/>
      <c r="P609" s="13"/>
      <c r="Q609" s="13"/>
      <c r="R609" s="13"/>
      <c r="S609" s="13"/>
    </row>
    <row r="610" spans="2:19">
      <c r="B610" s="209">
        <f>Baseline!B87</f>
        <v>0</v>
      </c>
      <c r="C610" s="51">
        <f>Baseline!F87</f>
        <v>0</v>
      </c>
      <c r="D610" s="93">
        <f>(IF(Baseline!C87="Nieuwe situatie",(Baseline!S87),0)*Baseline!Q87)</f>
        <v>0</v>
      </c>
      <c r="E610" s="98">
        <f>(IF(Baseline!C87="Bestaande situatie",(Baseline!AC87),0)*Baseline!Q87)</f>
        <v>0</v>
      </c>
      <c r="F610" s="94" t="str">
        <f>_xlfn.IFNA(VLOOKUP(Baseline!T87,Database_Transport[],60,FALSE),"Nee")</f>
        <v>Nee</v>
      </c>
      <c r="G610" s="94" t="str">
        <f>_xlfn.IFNA(VLOOKUP(Baseline!AC87,Database_Transport[],60,FALSE),"Nee")</f>
        <v>Nee</v>
      </c>
      <c r="H610" s="124">
        <f>IF(Referentie_Transport_Totaal[[#This Row],[Emissieloos Transport naar bouwplaats?]]="JA",Referentie_Transport_Totaal[[#This Row],[Transport naar bouwplaats '[tkm']]],0)+IF(Referentie_Transport_Totaal[[#This Row],[Emissieloos Transport naar verwerker?]]="JA",Referentie_Transport_Totaal[[#This Row],[Transport naar verwerker '[tkm']]],0)</f>
        <v>0</v>
      </c>
      <c r="I610" s="133" cm="1">
        <f t="array" ref="I610">_xlfn.IFNA((_xlfn.IFS(Baseline!C87="Nieuwe Situatie",(50),Baseline!C87="Bestaande Situatie",(0))),0)*Baseline!Q87*Baseline!R87</f>
        <v>0</v>
      </c>
      <c r="J610" s="133" cm="1">
        <f t="array" ref="J610">(_xlfn.IFNA((_xlfn.IFS(Baseline!C87="Nieuwe Situatie",(50),Baseline!C87="Bestaande Situatie",(50))),0)*Baseline!Q87)*Baseline!R87</f>
        <v>0</v>
      </c>
      <c r="K610" s="133">
        <f>IF(Referentie_Transport_Totaal[[#This Row],[Emissieloos Transport naar bouwplaats?]]="JA",Referentie_Transport_Totaal[[#This Row],[Transport naar bouwplaats Vervangingen '[tkm']]],0)+IF(Referentie_Transport_Totaal[[#This Row],[Emissieloos Transport naar verwerker?]]="JA",Referentie_Transport_Totaal[[#This Row],[Transport naar verwerker Vervangingen '[tkm']]],0)</f>
        <v>0</v>
      </c>
      <c r="L610" s="133">
        <f>Referentie_Transport_Totaal[[#This Row],[Emissieloos Transport]]+Referentie_Transport_Totaal[[#This Row],[Emissieloos Transport Vervangingen]]</f>
        <v>0</v>
      </c>
      <c r="M610" s="133">
        <f>(Referentie_Transport_Totaal[[#This Row],[Transport naar bouwplaats '[tkm']]]+Referentie_Transport_Totaal[[#This Row],[Transport naar verwerker '[tkm']]]+Referentie_Transport_Totaal[[#This Row],[Transport naar bouwplaats Vervangingen '[tkm']]]+Referentie_Transport_Totaal[[#This Row],[Transport naar verwerker Vervangingen '[tkm']]])-Referentie_Transport_Totaal[[#This Row],[Totaal Emissieloos Transport]]</f>
        <v>0</v>
      </c>
      <c r="N610" s="133">
        <f>Referentie_Transport_Totaal[[#This Row],[Totaal Emissieloos Transport]]+Referentie_Transport_Totaal[[#This Row],[Totaal Niet Emissieloos Transport]]</f>
        <v>0</v>
      </c>
      <c r="O610" s="13"/>
      <c r="P610" s="13"/>
      <c r="Q610" s="13"/>
      <c r="R610" s="13"/>
      <c r="S610" s="13"/>
    </row>
    <row r="611" spans="2:19">
      <c r="B611" s="209">
        <f>Baseline!B88</f>
        <v>0</v>
      </c>
      <c r="C611" s="51">
        <f>Baseline!F88</f>
        <v>0</v>
      </c>
      <c r="D611" s="93">
        <f>(IF(Baseline!C88="Nieuwe situatie",(Baseline!S88),0)*Baseline!Q88)</f>
        <v>0</v>
      </c>
      <c r="E611" s="98">
        <f>(IF(Baseline!C88="Bestaande situatie",(Baseline!AC88),0)*Baseline!Q88)</f>
        <v>0</v>
      </c>
      <c r="F611" s="94" t="str">
        <f>_xlfn.IFNA(VLOOKUP(Baseline!T88,Database_Transport[],60,FALSE),"Nee")</f>
        <v>Nee</v>
      </c>
      <c r="G611" s="94" t="str">
        <f>_xlfn.IFNA(VLOOKUP(Baseline!AC88,Database_Transport[],60,FALSE),"Nee")</f>
        <v>Nee</v>
      </c>
      <c r="H611" s="124">
        <f>IF(Referentie_Transport_Totaal[[#This Row],[Emissieloos Transport naar bouwplaats?]]="JA",Referentie_Transport_Totaal[[#This Row],[Transport naar bouwplaats '[tkm']]],0)+IF(Referentie_Transport_Totaal[[#This Row],[Emissieloos Transport naar verwerker?]]="JA",Referentie_Transport_Totaal[[#This Row],[Transport naar verwerker '[tkm']]],0)</f>
        <v>0</v>
      </c>
      <c r="I611" s="133" cm="1">
        <f t="array" ref="I611">_xlfn.IFNA((_xlfn.IFS(Baseline!C88="Nieuwe Situatie",(50),Baseline!C88="Bestaande Situatie",(0))),0)*Baseline!Q88*Baseline!R88</f>
        <v>0</v>
      </c>
      <c r="J611" s="133" cm="1">
        <f t="array" ref="J611">(_xlfn.IFNA((_xlfn.IFS(Baseline!C88="Nieuwe Situatie",(50),Baseline!C88="Bestaande Situatie",(50))),0)*Baseline!Q88)*Baseline!R88</f>
        <v>0</v>
      </c>
      <c r="K611" s="133">
        <f>IF(Referentie_Transport_Totaal[[#This Row],[Emissieloos Transport naar bouwplaats?]]="JA",Referentie_Transport_Totaal[[#This Row],[Transport naar bouwplaats Vervangingen '[tkm']]],0)+IF(Referentie_Transport_Totaal[[#This Row],[Emissieloos Transport naar verwerker?]]="JA",Referentie_Transport_Totaal[[#This Row],[Transport naar verwerker Vervangingen '[tkm']]],0)</f>
        <v>0</v>
      </c>
      <c r="L611" s="133">
        <f>Referentie_Transport_Totaal[[#This Row],[Emissieloos Transport]]+Referentie_Transport_Totaal[[#This Row],[Emissieloos Transport Vervangingen]]</f>
        <v>0</v>
      </c>
      <c r="M611" s="133">
        <f>(Referentie_Transport_Totaal[[#This Row],[Transport naar bouwplaats '[tkm']]]+Referentie_Transport_Totaal[[#This Row],[Transport naar verwerker '[tkm']]]+Referentie_Transport_Totaal[[#This Row],[Transport naar bouwplaats Vervangingen '[tkm']]]+Referentie_Transport_Totaal[[#This Row],[Transport naar verwerker Vervangingen '[tkm']]])-Referentie_Transport_Totaal[[#This Row],[Totaal Emissieloos Transport]]</f>
        <v>0</v>
      </c>
      <c r="N611" s="133">
        <f>Referentie_Transport_Totaal[[#This Row],[Totaal Emissieloos Transport]]+Referentie_Transport_Totaal[[#This Row],[Totaal Niet Emissieloos Transport]]</f>
        <v>0</v>
      </c>
      <c r="O611" s="13"/>
      <c r="P611" s="13"/>
      <c r="Q611" s="13"/>
      <c r="R611" s="13"/>
      <c r="S611" s="13"/>
    </row>
    <row r="612" spans="2:19">
      <c r="B612" s="209">
        <f>Baseline!B89</f>
        <v>0</v>
      </c>
      <c r="C612" s="51">
        <f>Baseline!F89</f>
        <v>0</v>
      </c>
      <c r="D612" s="93">
        <f>(IF(Baseline!C89="Nieuwe situatie",(Baseline!S89),0)*Baseline!Q89)</f>
        <v>0</v>
      </c>
      <c r="E612" s="98">
        <f>(IF(Baseline!C89="Bestaande situatie",(Baseline!AC89),0)*Baseline!Q89)</f>
        <v>0</v>
      </c>
      <c r="F612" s="94" t="str">
        <f>_xlfn.IFNA(VLOOKUP(Baseline!T89,Database_Transport[],60,FALSE),"Nee")</f>
        <v>Nee</v>
      </c>
      <c r="G612" s="94" t="str">
        <f>_xlfn.IFNA(VLOOKUP(Baseline!AC89,Database_Transport[],60,FALSE),"Nee")</f>
        <v>Nee</v>
      </c>
      <c r="H612" s="124">
        <f>IF(Referentie_Transport_Totaal[[#This Row],[Emissieloos Transport naar bouwplaats?]]="JA",Referentie_Transport_Totaal[[#This Row],[Transport naar bouwplaats '[tkm']]],0)+IF(Referentie_Transport_Totaal[[#This Row],[Emissieloos Transport naar verwerker?]]="JA",Referentie_Transport_Totaal[[#This Row],[Transport naar verwerker '[tkm']]],0)</f>
        <v>0</v>
      </c>
      <c r="I612" s="133" cm="1">
        <f t="array" ref="I612">_xlfn.IFNA((_xlfn.IFS(Baseline!C89="Nieuwe Situatie",(50),Baseline!C89="Bestaande Situatie",(0))),0)*Baseline!Q89*Baseline!R89</f>
        <v>0</v>
      </c>
      <c r="J612" s="133" cm="1">
        <f t="array" ref="J612">(_xlfn.IFNA((_xlfn.IFS(Baseline!C89="Nieuwe Situatie",(50),Baseline!C89="Bestaande Situatie",(50))),0)*Baseline!Q89)*Baseline!R89</f>
        <v>0</v>
      </c>
      <c r="K612" s="133">
        <f>IF(Referentie_Transport_Totaal[[#This Row],[Emissieloos Transport naar bouwplaats?]]="JA",Referentie_Transport_Totaal[[#This Row],[Transport naar bouwplaats Vervangingen '[tkm']]],0)+IF(Referentie_Transport_Totaal[[#This Row],[Emissieloos Transport naar verwerker?]]="JA",Referentie_Transport_Totaal[[#This Row],[Transport naar verwerker Vervangingen '[tkm']]],0)</f>
        <v>0</v>
      </c>
      <c r="L612" s="133">
        <f>Referentie_Transport_Totaal[[#This Row],[Emissieloos Transport]]+Referentie_Transport_Totaal[[#This Row],[Emissieloos Transport Vervangingen]]</f>
        <v>0</v>
      </c>
      <c r="M612" s="133">
        <f>(Referentie_Transport_Totaal[[#This Row],[Transport naar bouwplaats '[tkm']]]+Referentie_Transport_Totaal[[#This Row],[Transport naar verwerker '[tkm']]]+Referentie_Transport_Totaal[[#This Row],[Transport naar bouwplaats Vervangingen '[tkm']]]+Referentie_Transport_Totaal[[#This Row],[Transport naar verwerker Vervangingen '[tkm']]])-Referentie_Transport_Totaal[[#This Row],[Totaal Emissieloos Transport]]</f>
        <v>0</v>
      </c>
      <c r="N612" s="133">
        <f>Referentie_Transport_Totaal[[#This Row],[Totaal Emissieloos Transport]]+Referentie_Transport_Totaal[[#This Row],[Totaal Niet Emissieloos Transport]]</f>
        <v>0</v>
      </c>
      <c r="O612" s="13"/>
      <c r="P612" s="13"/>
      <c r="Q612" s="13"/>
      <c r="R612" s="13"/>
      <c r="S612" s="13"/>
    </row>
    <row r="613" spans="2:19">
      <c r="B613" s="209">
        <f>Baseline!B90</f>
        <v>0</v>
      </c>
      <c r="C613" s="51">
        <f>Baseline!F90</f>
        <v>0</v>
      </c>
      <c r="D613" s="93">
        <f>(IF(Baseline!C90="Nieuwe situatie",(Baseline!S90),0)*Baseline!Q90)</f>
        <v>0</v>
      </c>
      <c r="E613" s="98">
        <f>(IF(Baseline!C90="Bestaande situatie",(Baseline!AC90),0)*Baseline!Q90)</f>
        <v>0</v>
      </c>
      <c r="F613" s="94" t="str">
        <f>_xlfn.IFNA(VLOOKUP(Baseline!T90,Database_Transport[],60,FALSE),"Nee")</f>
        <v>Nee</v>
      </c>
      <c r="G613" s="94" t="str">
        <f>_xlfn.IFNA(VLOOKUP(Baseline!AC90,Database_Transport[],60,FALSE),"Nee")</f>
        <v>Nee</v>
      </c>
      <c r="H613" s="124">
        <f>IF(Referentie_Transport_Totaal[[#This Row],[Emissieloos Transport naar bouwplaats?]]="JA",Referentie_Transport_Totaal[[#This Row],[Transport naar bouwplaats '[tkm']]],0)+IF(Referentie_Transport_Totaal[[#This Row],[Emissieloos Transport naar verwerker?]]="JA",Referentie_Transport_Totaal[[#This Row],[Transport naar verwerker '[tkm']]],0)</f>
        <v>0</v>
      </c>
      <c r="I613" s="133" cm="1">
        <f t="array" ref="I613">_xlfn.IFNA((_xlfn.IFS(Baseline!C90="Nieuwe Situatie",(50),Baseline!C90="Bestaande Situatie",(0))),0)*Baseline!Q90*Baseline!R90</f>
        <v>0</v>
      </c>
      <c r="J613" s="133" cm="1">
        <f t="array" ref="J613">(_xlfn.IFNA((_xlfn.IFS(Baseline!C90="Nieuwe Situatie",(50),Baseline!C90="Bestaande Situatie",(50))),0)*Baseline!Q90)*Baseline!R90</f>
        <v>0</v>
      </c>
      <c r="K613" s="133">
        <f>IF(Referentie_Transport_Totaal[[#This Row],[Emissieloos Transport naar bouwplaats?]]="JA",Referentie_Transport_Totaal[[#This Row],[Transport naar bouwplaats Vervangingen '[tkm']]],0)+IF(Referentie_Transport_Totaal[[#This Row],[Emissieloos Transport naar verwerker?]]="JA",Referentie_Transport_Totaal[[#This Row],[Transport naar verwerker Vervangingen '[tkm']]],0)</f>
        <v>0</v>
      </c>
      <c r="L613" s="133">
        <f>Referentie_Transport_Totaal[[#This Row],[Emissieloos Transport]]+Referentie_Transport_Totaal[[#This Row],[Emissieloos Transport Vervangingen]]</f>
        <v>0</v>
      </c>
      <c r="M613" s="133">
        <f>(Referentie_Transport_Totaal[[#This Row],[Transport naar bouwplaats '[tkm']]]+Referentie_Transport_Totaal[[#This Row],[Transport naar verwerker '[tkm']]]+Referentie_Transport_Totaal[[#This Row],[Transport naar bouwplaats Vervangingen '[tkm']]]+Referentie_Transport_Totaal[[#This Row],[Transport naar verwerker Vervangingen '[tkm']]])-Referentie_Transport_Totaal[[#This Row],[Totaal Emissieloos Transport]]</f>
        <v>0</v>
      </c>
      <c r="N613" s="133">
        <f>Referentie_Transport_Totaal[[#This Row],[Totaal Emissieloos Transport]]+Referentie_Transport_Totaal[[#This Row],[Totaal Niet Emissieloos Transport]]</f>
        <v>0</v>
      </c>
      <c r="O613" s="13"/>
      <c r="P613" s="13"/>
      <c r="Q613" s="13"/>
      <c r="R613" s="13"/>
      <c r="S613" s="13"/>
    </row>
    <row r="614" spans="2:19">
      <c r="B614" s="209">
        <f>Baseline!B91</f>
        <v>0</v>
      </c>
      <c r="C614" s="51">
        <f>Baseline!F91</f>
        <v>0</v>
      </c>
      <c r="D614" s="93">
        <f>(IF(Baseline!C91="Nieuwe situatie",(Baseline!S91),0)*Baseline!Q91)</f>
        <v>0</v>
      </c>
      <c r="E614" s="98">
        <f>(IF(Baseline!C91="Bestaande situatie",(Baseline!AC91),0)*Baseline!Q91)</f>
        <v>0</v>
      </c>
      <c r="F614" s="94" t="str">
        <f>_xlfn.IFNA(VLOOKUP(Baseline!T91,Database_Transport[],60,FALSE),"Nee")</f>
        <v>Nee</v>
      </c>
      <c r="G614" s="94" t="str">
        <f>_xlfn.IFNA(VLOOKUP(Baseline!AC91,Database_Transport[],60,FALSE),"Nee")</f>
        <v>Nee</v>
      </c>
      <c r="H614" s="124">
        <f>IF(Referentie_Transport_Totaal[[#This Row],[Emissieloos Transport naar bouwplaats?]]="JA",Referentie_Transport_Totaal[[#This Row],[Transport naar bouwplaats '[tkm']]],0)+IF(Referentie_Transport_Totaal[[#This Row],[Emissieloos Transport naar verwerker?]]="JA",Referentie_Transport_Totaal[[#This Row],[Transport naar verwerker '[tkm']]],0)</f>
        <v>0</v>
      </c>
      <c r="I614" s="133" cm="1">
        <f t="array" ref="I614">_xlfn.IFNA((_xlfn.IFS(Baseline!C91="Nieuwe Situatie",(50),Baseline!C91="Bestaande Situatie",(0))),0)*Baseline!Q91*Baseline!R91</f>
        <v>0</v>
      </c>
      <c r="J614" s="133" cm="1">
        <f t="array" ref="J614">(_xlfn.IFNA((_xlfn.IFS(Baseline!C91="Nieuwe Situatie",(50),Baseline!C91="Bestaande Situatie",(50))),0)*Baseline!Q91)*Baseline!R91</f>
        <v>0</v>
      </c>
      <c r="K614" s="133">
        <f>IF(Referentie_Transport_Totaal[[#This Row],[Emissieloos Transport naar bouwplaats?]]="JA",Referentie_Transport_Totaal[[#This Row],[Transport naar bouwplaats Vervangingen '[tkm']]],0)+IF(Referentie_Transport_Totaal[[#This Row],[Emissieloos Transport naar verwerker?]]="JA",Referentie_Transport_Totaal[[#This Row],[Transport naar verwerker Vervangingen '[tkm']]],0)</f>
        <v>0</v>
      </c>
      <c r="L614" s="133">
        <f>Referentie_Transport_Totaal[[#This Row],[Emissieloos Transport]]+Referentie_Transport_Totaal[[#This Row],[Emissieloos Transport Vervangingen]]</f>
        <v>0</v>
      </c>
      <c r="M614" s="133">
        <f>(Referentie_Transport_Totaal[[#This Row],[Transport naar bouwplaats '[tkm']]]+Referentie_Transport_Totaal[[#This Row],[Transport naar verwerker '[tkm']]]+Referentie_Transport_Totaal[[#This Row],[Transport naar bouwplaats Vervangingen '[tkm']]]+Referentie_Transport_Totaal[[#This Row],[Transport naar verwerker Vervangingen '[tkm']]])-Referentie_Transport_Totaal[[#This Row],[Totaal Emissieloos Transport]]</f>
        <v>0</v>
      </c>
      <c r="N614" s="133">
        <f>Referentie_Transport_Totaal[[#This Row],[Totaal Emissieloos Transport]]+Referentie_Transport_Totaal[[#This Row],[Totaal Niet Emissieloos Transport]]</f>
        <v>0</v>
      </c>
      <c r="O614" s="13"/>
      <c r="P614" s="13"/>
      <c r="Q614" s="13"/>
      <c r="R614" s="13"/>
      <c r="S614" s="13"/>
    </row>
    <row r="615" spans="2:19">
      <c r="B615" s="209">
        <f>Baseline!B92</f>
        <v>0</v>
      </c>
      <c r="C615" s="51">
        <f>Baseline!F92</f>
        <v>0</v>
      </c>
      <c r="D615" s="93">
        <f>(IF(Baseline!C92="Nieuwe situatie",(Baseline!S92),0)*Baseline!Q92)</f>
        <v>0</v>
      </c>
      <c r="E615" s="98">
        <f>(IF(Baseline!C92="Bestaande situatie",(Baseline!AC92),0)*Baseline!Q92)</f>
        <v>0</v>
      </c>
      <c r="F615" s="94" t="str">
        <f>_xlfn.IFNA(VLOOKUP(Baseline!T92,Database_Transport[],60,FALSE),"Nee")</f>
        <v>Nee</v>
      </c>
      <c r="G615" s="94" t="str">
        <f>_xlfn.IFNA(VLOOKUP(Baseline!AC92,Database_Transport[],60,FALSE),"Nee")</f>
        <v>Nee</v>
      </c>
      <c r="H615" s="124">
        <f>IF(Referentie_Transport_Totaal[[#This Row],[Emissieloos Transport naar bouwplaats?]]="JA",Referentie_Transport_Totaal[[#This Row],[Transport naar bouwplaats '[tkm']]],0)+IF(Referentie_Transport_Totaal[[#This Row],[Emissieloos Transport naar verwerker?]]="JA",Referentie_Transport_Totaal[[#This Row],[Transport naar verwerker '[tkm']]],0)</f>
        <v>0</v>
      </c>
      <c r="I615" s="133" cm="1">
        <f t="array" ref="I615">_xlfn.IFNA((_xlfn.IFS(Baseline!C92="Nieuwe Situatie",(50),Baseline!C92="Bestaande Situatie",(0))),0)*Baseline!Q92*Baseline!R92</f>
        <v>0</v>
      </c>
      <c r="J615" s="133" cm="1">
        <f t="array" ref="J615">(_xlfn.IFNA((_xlfn.IFS(Baseline!C92="Nieuwe Situatie",(50),Baseline!C92="Bestaande Situatie",(50))),0)*Baseline!Q92)*Baseline!R92</f>
        <v>0</v>
      </c>
      <c r="K615" s="133">
        <f>IF(Referentie_Transport_Totaal[[#This Row],[Emissieloos Transport naar bouwplaats?]]="JA",Referentie_Transport_Totaal[[#This Row],[Transport naar bouwplaats Vervangingen '[tkm']]],0)+IF(Referentie_Transport_Totaal[[#This Row],[Emissieloos Transport naar verwerker?]]="JA",Referentie_Transport_Totaal[[#This Row],[Transport naar verwerker Vervangingen '[tkm']]],0)</f>
        <v>0</v>
      </c>
      <c r="L615" s="133">
        <f>Referentie_Transport_Totaal[[#This Row],[Emissieloos Transport]]+Referentie_Transport_Totaal[[#This Row],[Emissieloos Transport Vervangingen]]</f>
        <v>0</v>
      </c>
      <c r="M615" s="133">
        <f>(Referentie_Transport_Totaal[[#This Row],[Transport naar bouwplaats '[tkm']]]+Referentie_Transport_Totaal[[#This Row],[Transport naar verwerker '[tkm']]]+Referentie_Transport_Totaal[[#This Row],[Transport naar bouwplaats Vervangingen '[tkm']]]+Referentie_Transport_Totaal[[#This Row],[Transport naar verwerker Vervangingen '[tkm']]])-Referentie_Transport_Totaal[[#This Row],[Totaal Emissieloos Transport]]</f>
        <v>0</v>
      </c>
      <c r="N615" s="133">
        <f>Referentie_Transport_Totaal[[#This Row],[Totaal Emissieloos Transport]]+Referentie_Transport_Totaal[[#This Row],[Totaal Niet Emissieloos Transport]]</f>
        <v>0</v>
      </c>
      <c r="O615" s="13"/>
      <c r="P615" s="13"/>
      <c r="Q615" s="13"/>
      <c r="R615" s="13"/>
      <c r="S615" s="13"/>
    </row>
    <row r="616" spans="2:19">
      <c r="B616" s="209">
        <f>Baseline!B93</f>
        <v>0</v>
      </c>
      <c r="C616" s="51">
        <f>Baseline!F93</f>
        <v>0</v>
      </c>
      <c r="D616" s="93">
        <f>(IF(Baseline!C93="Nieuwe situatie",(Baseline!S93),0)*Baseline!Q93)</f>
        <v>0</v>
      </c>
      <c r="E616" s="98">
        <f>(IF(Baseline!C93="Bestaande situatie",(Baseline!AC93),0)*Baseline!Q93)</f>
        <v>0</v>
      </c>
      <c r="F616" s="94" t="str">
        <f>_xlfn.IFNA(VLOOKUP(Baseline!T93,Database_Transport[],60,FALSE),"Nee")</f>
        <v>Nee</v>
      </c>
      <c r="G616" s="94" t="str">
        <f>_xlfn.IFNA(VLOOKUP(Baseline!AC93,Database_Transport[],60,FALSE),"Nee")</f>
        <v>Nee</v>
      </c>
      <c r="H616" s="124">
        <f>IF(Referentie_Transport_Totaal[[#This Row],[Emissieloos Transport naar bouwplaats?]]="JA",Referentie_Transport_Totaal[[#This Row],[Transport naar bouwplaats '[tkm']]],0)+IF(Referentie_Transport_Totaal[[#This Row],[Emissieloos Transport naar verwerker?]]="JA",Referentie_Transport_Totaal[[#This Row],[Transport naar verwerker '[tkm']]],0)</f>
        <v>0</v>
      </c>
      <c r="I616" s="133" cm="1">
        <f t="array" ref="I616">_xlfn.IFNA((_xlfn.IFS(Baseline!C93="Nieuwe Situatie",(50),Baseline!C93="Bestaande Situatie",(0))),0)*Baseline!Q93*Baseline!R93</f>
        <v>0</v>
      </c>
      <c r="J616" s="133" cm="1">
        <f t="array" ref="J616">(_xlfn.IFNA((_xlfn.IFS(Baseline!C93="Nieuwe Situatie",(50),Baseline!C93="Bestaande Situatie",(50))),0)*Baseline!Q93)*Baseline!R93</f>
        <v>0</v>
      </c>
      <c r="K616" s="133">
        <f>IF(Referentie_Transport_Totaal[[#This Row],[Emissieloos Transport naar bouwplaats?]]="JA",Referentie_Transport_Totaal[[#This Row],[Transport naar bouwplaats Vervangingen '[tkm']]],0)+IF(Referentie_Transport_Totaal[[#This Row],[Emissieloos Transport naar verwerker?]]="JA",Referentie_Transport_Totaal[[#This Row],[Transport naar verwerker Vervangingen '[tkm']]],0)</f>
        <v>0</v>
      </c>
      <c r="L616" s="133">
        <f>Referentie_Transport_Totaal[[#This Row],[Emissieloos Transport]]+Referentie_Transport_Totaal[[#This Row],[Emissieloos Transport Vervangingen]]</f>
        <v>0</v>
      </c>
      <c r="M616" s="133">
        <f>(Referentie_Transport_Totaal[[#This Row],[Transport naar bouwplaats '[tkm']]]+Referentie_Transport_Totaal[[#This Row],[Transport naar verwerker '[tkm']]]+Referentie_Transport_Totaal[[#This Row],[Transport naar bouwplaats Vervangingen '[tkm']]]+Referentie_Transport_Totaal[[#This Row],[Transport naar verwerker Vervangingen '[tkm']]])-Referentie_Transport_Totaal[[#This Row],[Totaal Emissieloos Transport]]</f>
        <v>0</v>
      </c>
      <c r="N616" s="133">
        <f>Referentie_Transport_Totaal[[#This Row],[Totaal Emissieloos Transport]]+Referentie_Transport_Totaal[[#This Row],[Totaal Niet Emissieloos Transport]]</f>
        <v>0</v>
      </c>
      <c r="O616" s="13"/>
      <c r="P616" s="13"/>
      <c r="Q616" s="13"/>
      <c r="R616" s="13"/>
      <c r="S616" s="13"/>
    </row>
    <row r="617" spans="2:19">
      <c r="B617" s="209">
        <f>Baseline!B94</f>
        <v>0</v>
      </c>
      <c r="C617" s="51">
        <f>Baseline!F94</f>
        <v>0</v>
      </c>
      <c r="D617" s="93">
        <f>(IF(Baseline!C94="Nieuwe situatie",(Baseline!S94),0)*Baseline!Q94)</f>
        <v>0</v>
      </c>
      <c r="E617" s="98">
        <f>(IF(Baseline!C94="Bestaande situatie",(Baseline!AC94),0)*Baseline!Q94)</f>
        <v>0</v>
      </c>
      <c r="F617" s="94" t="str">
        <f>_xlfn.IFNA(VLOOKUP(Baseline!T94,Database_Transport[],60,FALSE),"Nee")</f>
        <v>Nee</v>
      </c>
      <c r="G617" s="94" t="str">
        <f>_xlfn.IFNA(VLOOKUP(Baseline!AC94,Database_Transport[],60,FALSE),"Nee")</f>
        <v>Nee</v>
      </c>
      <c r="H617" s="124">
        <f>IF(Referentie_Transport_Totaal[[#This Row],[Emissieloos Transport naar bouwplaats?]]="JA",Referentie_Transport_Totaal[[#This Row],[Transport naar bouwplaats '[tkm']]],0)+IF(Referentie_Transport_Totaal[[#This Row],[Emissieloos Transport naar verwerker?]]="JA",Referentie_Transport_Totaal[[#This Row],[Transport naar verwerker '[tkm']]],0)</f>
        <v>0</v>
      </c>
      <c r="I617" s="133" cm="1">
        <f t="array" ref="I617">_xlfn.IFNA((_xlfn.IFS(Baseline!C94="Nieuwe Situatie",(50),Baseline!C94="Bestaande Situatie",(0))),0)*Baseline!Q94*Baseline!R94</f>
        <v>0</v>
      </c>
      <c r="J617" s="133" cm="1">
        <f t="array" ref="J617">(_xlfn.IFNA((_xlfn.IFS(Baseline!C94="Nieuwe Situatie",(50),Baseline!C94="Bestaande Situatie",(50))),0)*Baseline!Q94)*Baseline!R94</f>
        <v>0</v>
      </c>
      <c r="K617" s="133">
        <f>IF(Referentie_Transport_Totaal[[#This Row],[Emissieloos Transport naar bouwplaats?]]="JA",Referentie_Transport_Totaal[[#This Row],[Transport naar bouwplaats Vervangingen '[tkm']]],0)+IF(Referentie_Transport_Totaal[[#This Row],[Emissieloos Transport naar verwerker?]]="JA",Referentie_Transport_Totaal[[#This Row],[Transport naar verwerker Vervangingen '[tkm']]],0)</f>
        <v>0</v>
      </c>
      <c r="L617" s="133">
        <f>Referentie_Transport_Totaal[[#This Row],[Emissieloos Transport]]+Referentie_Transport_Totaal[[#This Row],[Emissieloos Transport Vervangingen]]</f>
        <v>0</v>
      </c>
      <c r="M617" s="133">
        <f>(Referentie_Transport_Totaal[[#This Row],[Transport naar bouwplaats '[tkm']]]+Referentie_Transport_Totaal[[#This Row],[Transport naar verwerker '[tkm']]]+Referentie_Transport_Totaal[[#This Row],[Transport naar bouwplaats Vervangingen '[tkm']]]+Referentie_Transport_Totaal[[#This Row],[Transport naar verwerker Vervangingen '[tkm']]])-Referentie_Transport_Totaal[[#This Row],[Totaal Emissieloos Transport]]</f>
        <v>0</v>
      </c>
      <c r="N617" s="133">
        <f>Referentie_Transport_Totaal[[#This Row],[Totaal Emissieloos Transport]]+Referentie_Transport_Totaal[[#This Row],[Totaal Niet Emissieloos Transport]]</f>
        <v>0</v>
      </c>
      <c r="O617" s="13"/>
      <c r="P617" s="13"/>
      <c r="Q617" s="13"/>
      <c r="R617" s="13"/>
      <c r="S617" s="13"/>
    </row>
    <row r="618" spans="2:19">
      <c r="B618" s="209">
        <f>Baseline!B95</f>
        <v>0</v>
      </c>
      <c r="C618" s="51">
        <f>Baseline!F95</f>
        <v>0</v>
      </c>
      <c r="D618" s="93">
        <f>(IF(Baseline!C95="Nieuwe situatie",(Baseline!S95),0)*Baseline!Q95)</f>
        <v>0</v>
      </c>
      <c r="E618" s="98">
        <f>(IF(Baseline!C95="Bestaande situatie",(Baseline!AC95),0)*Baseline!Q95)</f>
        <v>0</v>
      </c>
      <c r="F618" s="94" t="str">
        <f>_xlfn.IFNA(VLOOKUP(Baseline!T95,Database_Transport[],60,FALSE),"Nee")</f>
        <v>Nee</v>
      </c>
      <c r="G618" s="94" t="str">
        <f>_xlfn.IFNA(VLOOKUP(Baseline!AC95,Database_Transport[],60,FALSE),"Nee")</f>
        <v>Nee</v>
      </c>
      <c r="H618" s="124">
        <f>IF(Referentie_Transport_Totaal[[#This Row],[Emissieloos Transport naar bouwplaats?]]="JA",Referentie_Transport_Totaal[[#This Row],[Transport naar bouwplaats '[tkm']]],0)+IF(Referentie_Transport_Totaal[[#This Row],[Emissieloos Transport naar verwerker?]]="JA",Referentie_Transport_Totaal[[#This Row],[Transport naar verwerker '[tkm']]],0)</f>
        <v>0</v>
      </c>
      <c r="I618" s="133" cm="1">
        <f t="array" ref="I618">_xlfn.IFNA((_xlfn.IFS(Baseline!C95="Nieuwe Situatie",(50),Baseline!C95="Bestaande Situatie",(0))),0)*Baseline!Q95*Baseline!R95</f>
        <v>0</v>
      </c>
      <c r="J618" s="133" cm="1">
        <f t="array" ref="J618">(_xlfn.IFNA((_xlfn.IFS(Baseline!C95="Nieuwe Situatie",(50),Baseline!C95="Bestaande Situatie",(50))),0)*Baseline!Q95)*Baseline!R95</f>
        <v>0</v>
      </c>
      <c r="K618" s="133">
        <f>IF(Referentie_Transport_Totaal[[#This Row],[Emissieloos Transport naar bouwplaats?]]="JA",Referentie_Transport_Totaal[[#This Row],[Transport naar bouwplaats Vervangingen '[tkm']]],0)+IF(Referentie_Transport_Totaal[[#This Row],[Emissieloos Transport naar verwerker?]]="JA",Referentie_Transport_Totaal[[#This Row],[Transport naar verwerker Vervangingen '[tkm']]],0)</f>
        <v>0</v>
      </c>
      <c r="L618" s="133">
        <f>Referentie_Transport_Totaal[[#This Row],[Emissieloos Transport]]+Referentie_Transport_Totaal[[#This Row],[Emissieloos Transport Vervangingen]]</f>
        <v>0</v>
      </c>
      <c r="M618" s="133">
        <f>(Referentie_Transport_Totaal[[#This Row],[Transport naar bouwplaats '[tkm']]]+Referentie_Transport_Totaal[[#This Row],[Transport naar verwerker '[tkm']]]+Referentie_Transport_Totaal[[#This Row],[Transport naar bouwplaats Vervangingen '[tkm']]]+Referentie_Transport_Totaal[[#This Row],[Transport naar verwerker Vervangingen '[tkm']]])-Referentie_Transport_Totaal[[#This Row],[Totaal Emissieloos Transport]]</f>
        <v>0</v>
      </c>
      <c r="N618" s="133">
        <f>Referentie_Transport_Totaal[[#This Row],[Totaal Emissieloos Transport]]+Referentie_Transport_Totaal[[#This Row],[Totaal Niet Emissieloos Transport]]</f>
        <v>0</v>
      </c>
      <c r="O618" s="13"/>
      <c r="P618" s="13"/>
      <c r="Q618" s="13"/>
      <c r="R618" s="13"/>
      <c r="S618" s="13"/>
    </row>
    <row r="619" spans="2:19">
      <c r="B619" s="209">
        <f>Baseline!B96</f>
        <v>0</v>
      </c>
      <c r="C619" s="51">
        <f>Baseline!F96</f>
        <v>0</v>
      </c>
      <c r="D619" s="93">
        <f>(IF(Baseline!C96="Nieuwe situatie",(Baseline!S96),0)*Baseline!Q96)</f>
        <v>0</v>
      </c>
      <c r="E619" s="98">
        <f>(IF(Baseline!C96="Bestaande situatie",(Baseline!AC96),0)*Baseline!Q96)</f>
        <v>0</v>
      </c>
      <c r="F619" s="94" t="str">
        <f>_xlfn.IFNA(VLOOKUP(Baseline!T96,Database_Transport[],60,FALSE),"Nee")</f>
        <v>Nee</v>
      </c>
      <c r="G619" s="94" t="str">
        <f>_xlfn.IFNA(VLOOKUP(Baseline!AC96,Database_Transport[],60,FALSE),"Nee")</f>
        <v>Nee</v>
      </c>
      <c r="H619" s="124">
        <f>IF(Referentie_Transport_Totaal[[#This Row],[Emissieloos Transport naar bouwplaats?]]="JA",Referentie_Transport_Totaal[[#This Row],[Transport naar bouwplaats '[tkm']]],0)+IF(Referentie_Transport_Totaal[[#This Row],[Emissieloos Transport naar verwerker?]]="JA",Referentie_Transport_Totaal[[#This Row],[Transport naar verwerker '[tkm']]],0)</f>
        <v>0</v>
      </c>
      <c r="I619" s="133" cm="1">
        <f t="array" ref="I619">_xlfn.IFNA((_xlfn.IFS(Baseline!C96="Nieuwe Situatie",(50),Baseline!C96="Bestaande Situatie",(0))),0)*Baseline!Q96*Baseline!R96</f>
        <v>0</v>
      </c>
      <c r="J619" s="133" cm="1">
        <f t="array" ref="J619">(_xlfn.IFNA((_xlfn.IFS(Baseline!C96="Nieuwe Situatie",(50),Baseline!C96="Bestaande Situatie",(50))),0)*Baseline!Q96)*Baseline!R96</f>
        <v>0</v>
      </c>
      <c r="K619" s="133">
        <f>IF(Referentie_Transport_Totaal[[#This Row],[Emissieloos Transport naar bouwplaats?]]="JA",Referentie_Transport_Totaal[[#This Row],[Transport naar bouwplaats Vervangingen '[tkm']]],0)+IF(Referentie_Transport_Totaal[[#This Row],[Emissieloos Transport naar verwerker?]]="JA",Referentie_Transport_Totaal[[#This Row],[Transport naar verwerker Vervangingen '[tkm']]],0)</f>
        <v>0</v>
      </c>
      <c r="L619" s="133">
        <f>Referentie_Transport_Totaal[[#This Row],[Emissieloos Transport]]+Referentie_Transport_Totaal[[#This Row],[Emissieloos Transport Vervangingen]]</f>
        <v>0</v>
      </c>
      <c r="M619" s="133">
        <f>(Referentie_Transport_Totaal[[#This Row],[Transport naar bouwplaats '[tkm']]]+Referentie_Transport_Totaal[[#This Row],[Transport naar verwerker '[tkm']]]+Referentie_Transport_Totaal[[#This Row],[Transport naar bouwplaats Vervangingen '[tkm']]]+Referentie_Transport_Totaal[[#This Row],[Transport naar verwerker Vervangingen '[tkm']]])-Referentie_Transport_Totaal[[#This Row],[Totaal Emissieloos Transport]]</f>
        <v>0</v>
      </c>
      <c r="N619" s="133">
        <f>Referentie_Transport_Totaal[[#This Row],[Totaal Emissieloos Transport]]+Referentie_Transport_Totaal[[#This Row],[Totaal Niet Emissieloos Transport]]</f>
        <v>0</v>
      </c>
      <c r="O619" s="13"/>
      <c r="P619" s="13"/>
      <c r="Q619" s="13"/>
      <c r="R619" s="13"/>
      <c r="S619" s="13"/>
    </row>
    <row r="620" spans="2:19">
      <c r="B620" s="209">
        <f>Baseline!B97</f>
        <v>0</v>
      </c>
      <c r="C620" s="51">
        <f>Baseline!F97</f>
        <v>0</v>
      </c>
      <c r="D620" s="93">
        <f>(IF(Baseline!C97="Nieuwe situatie",(Baseline!S97),0)*Baseline!Q97)</f>
        <v>0</v>
      </c>
      <c r="E620" s="98">
        <f>(IF(Baseline!C97="Bestaande situatie",(Baseline!AC97),0)*Baseline!Q97)</f>
        <v>0</v>
      </c>
      <c r="F620" s="94" t="str">
        <f>_xlfn.IFNA(VLOOKUP(Baseline!T97,Database_Transport[],60,FALSE),"Nee")</f>
        <v>Nee</v>
      </c>
      <c r="G620" s="94" t="str">
        <f>_xlfn.IFNA(VLOOKUP(Baseline!AC97,Database_Transport[],60,FALSE),"Nee")</f>
        <v>Nee</v>
      </c>
      <c r="H620" s="124">
        <f>IF(Referentie_Transport_Totaal[[#This Row],[Emissieloos Transport naar bouwplaats?]]="JA",Referentie_Transport_Totaal[[#This Row],[Transport naar bouwplaats '[tkm']]],0)+IF(Referentie_Transport_Totaal[[#This Row],[Emissieloos Transport naar verwerker?]]="JA",Referentie_Transport_Totaal[[#This Row],[Transport naar verwerker '[tkm']]],0)</f>
        <v>0</v>
      </c>
      <c r="I620" s="133" cm="1">
        <f t="array" ref="I620">_xlfn.IFNA((_xlfn.IFS(Baseline!C97="Nieuwe Situatie",(50),Baseline!C97="Bestaande Situatie",(0))),0)*Baseline!Q97*Baseline!R97</f>
        <v>0</v>
      </c>
      <c r="J620" s="133" cm="1">
        <f t="array" ref="J620">(_xlfn.IFNA((_xlfn.IFS(Baseline!C97="Nieuwe Situatie",(50),Baseline!C97="Bestaande Situatie",(50))),0)*Baseline!Q97)*Baseline!R97</f>
        <v>0</v>
      </c>
      <c r="K620" s="133">
        <f>IF(Referentie_Transport_Totaal[[#This Row],[Emissieloos Transport naar bouwplaats?]]="JA",Referentie_Transport_Totaal[[#This Row],[Transport naar bouwplaats Vervangingen '[tkm']]],0)+IF(Referentie_Transport_Totaal[[#This Row],[Emissieloos Transport naar verwerker?]]="JA",Referentie_Transport_Totaal[[#This Row],[Transport naar verwerker Vervangingen '[tkm']]],0)</f>
        <v>0</v>
      </c>
      <c r="L620" s="133">
        <f>Referentie_Transport_Totaal[[#This Row],[Emissieloos Transport]]+Referentie_Transport_Totaal[[#This Row],[Emissieloos Transport Vervangingen]]</f>
        <v>0</v>
      </c>
      <c r="M620" s="133">
        <f>(Referentie_Transport_Totaal[[#This Row],[Transport naar bouwplaats '[tkm']]]+Referentie_Transport_Totaal[[#This Row],[Transport naar verwerker '[tkm']]]+Referentie_Transport_Totaal[[#This Row],[Transport naar bouwplaats Vervangingen '[tkm']]]+Referentie_Transport_Totaal[[#This Row],[Transport naar verwerker Vervangingen '[tkm']]])-Referentie_Transport_Totaal[[#This Row],[Totaal Emissieloos Transport]]</f>
        <v>0</v>
      </c>
      <c r="N620" s="133">
        <f>Referentie_Transport_Totaal[[#This Row],[Totaal Emissieloos Transport]]+Referentie_Transport_Totaal[[#This Row],[Totaal Niet Emissieloos Transport]]</f>
        <v>0</v>
      </c>
      <c r="O620" s="13"/>
      <c r="P620" s="13"/>
      <c r="Q620" s="13"/>
      <c r="R620" s="13"/>
      <c r="S620" s="13"/>
    </row>
    <row r="621" spans="2:19">
      <c r="B621" s="209">
        <f>Baseline!B98</f>
        <v>0</v>
      </c>
      <c r="C621" s="51">
        <f>Baseline!F98</f>
        <v>0</v>
      </c>
      <c r="D621" s="93">
        <f>(IF(Baseline!C98="Nieuwe situatie",(Baseline!S98),0)*Baseline!Q98)</f>
        <v>0</v>
      </c>
      <c r="E621" s="98">
        <f>(IF(Baseline!C98="Bestaande situatie",(Baseline!AC98),0)*Baseline!Q98)</f>
        <v>0</v>
      </c>
      <c r="F621" s="94" t="str">
        <f>_xlfn.IFNA(VLOOKUP(Baseline!T98,Database_Transport[],60,FALSE),"Nee")</f>
        <v>Nee</v>
      </c>
      <c r="G621" s="94" t="str">
        <f>_xlfn.IFNA(VLOOKUP(Baseline!AC98,Database_Transport[],60,FALSE),"Nee")</f>
        <v>Nee</v>
      </c>
      <c r="H621" s="124">
        <f>IF(Referentie_Transport_Totaal[[#This Row],[Emissieloos Transport naar bouwplaats?]]="JA",Referentie_Transport_Totaal[[#This Row],[Transport naar bouwplaats '[tkm']]],0)+IF(Referentie_Transport_Totaal[[#This Row],[Emissieloos Transport naar verwerker?]]="JA",Referentie_Transport_Totaal[[#This Row],[Transport naar verwerker '[tkm']]],0)</f>
        <v>0</v>
      </c>
      <c r="I621" s="133" cm="1">
        <f t="array" ref="I621">_xlfn.IFNA((_xlfn.IFS(Baseline!C98="Nieuwe Situatie",(50),Baseline!C98="Bestaande Situatie",(0))),0)*Baseline!Q98*Baseline!R98</f>
        <v>0</v>
      </c>
      <c r="J621" s="133" cm="1">
        <f t="array" ref="J621">(_xlfn.IFNA((_xlfn.IFS(Baseline!C98="Nieuwe Situatie",(50),Baseline!C98="Bestaande Situatie",(50))),0)*Baseline!Q98)*Baseline!R98</f>
        <v>0</v>
      </c>
      <c r="K621" s="133">
        <f>IF(Referentie_Transport_Totaal[[#This Row],[Emissieloos Transport naar bouwplaats?]]="JA",Referentie_Transport_Totaal[[#This Row],[Transport naar bouwplaats Vervangingen '[tkm']]],0)+IF(Referentie_Transport_Totaal[[#This Row],[Emissieloos Transport naar verwerker?]]="JA",Referentie_Transport_Totaal[[#This Row],[Transport naar verwerker Vervangingen '[tkm']]],0)</f>
        <v>0</v>
      </c>
      <c r="L621" s="133">
        <f>Referentie_Transport_Totaal[[#This Row],[Emissieloos Transport]]+Referentie_Transport_Totaal[[#This Row],[Emissieloos Transport Vervangingen]]</f>
        <v>0</v>
      </c>
      <c r="M621" s="133">
        <f>(Referentie_Transport_Totaal[[#This Row],[Transport naar bouwplaats '[tkm']]]+Referentie_Transport_Totaal[[#This Row],[Transport naar verwerker '[tkm']]]+Referentie_Transport_Totaal[[#This Row],[Transport naar bouwplaats Vervangingen '[tkm']]]+Referentie_Transport_Totaal[[#This Row],[Transport naar verwerker Vervangingen '[tkm']]])-Referentie_Transport_Totaal[[#This Row],[Totaal Emissieloos Transport]]</f>
        <v>0</v>
      </c>
      <c r="N621" s="133">
        <f>Referentie_Transport_Totaal[[#This Row],[Totaal Emissieloos Transport]]+Referentie_Transport_Totaal[[#This Row],[Totaal Niet Emissieloos Transport]]</f>
        <v>0</v>
      </c>
      <c r="O621" s="13"/>
      <c r="P621" s="13"/>
      <c r="Q621" s="13"/>
      <c r="R621" s="13"/>
      <c r="S621" s="13"/>
    </row>
    <row r="622" spans="2:19">
      <c r="B622" s="209">
        <f>Baseline!B99</f>
        <v>0</v>
      </c>
      <c r="C622" s="51">
        <f>Baseline!F99</f>
        <v>0</v>
      </c>
      <c r="D622" s="93">
        <f>(IF(Baseline!C99="Nieuwe situatie",(Baseline!S99),0)*Baseline!Q99)</f>
        <v>0</v>
      </c>
      <c r="E622" s="98">
        <f>(IF(Baseline!C99="Bestaande situatie",(Baseline!AC99),0)*Baseline!Q99)</f>
        <v>0</v>
      </c>
      <c r="F622" s="94" t="str">
        <f>_xlfn.IFNA(VLOOKUP(Baseline!T99,Database_Transport[],60,FALSE),"Nee")</f>
        <v>Nee</v>
      </c>
      <c r="G622" s="94" t="str">
        <f>_xlfn.IFNA(VLOOKUP(Baseline!AC99,Database_Transport[],60,FALSE),"Nee")</f>
        <v>Nee</v>
      </c>
      <c r="H622" s="124">
        <f>IF(Referentie_Transport_Totaal[[#This Row],[Emissieloos Transport naar bouwplaats?]]="JA",Referentie_Transport_Totaal[[#This Row],[Transport naar bouwplaats '[tkm']]],0)+IF(Referentie_Transport_Totaal[[#This Row],[Emissieloos Transport naar verwerker?]]="JA",Referentie_Transport_Totaal[[#This Row],[Transport naar verwerker '[tkm']]],0)</f>
        <v>0</v>
      </c>
      <c r="I622" s="133" cm="1">
        <f t="array" ref="I622">_xlfn.IFNA((_xlfn.IFS(Baseline!C99="Nieuwe Situatie",(50),Baseline!C99="Bestaande Situatie",(0))),0)*Baseline!Q99*Baseline!R99</f>
        <v>0</v>
      </c>
      <c r="J622" s="133" cm="1">
        <f t="array" ref="J622">(_xlfn.IFNA((_xlfn.IFS(Baseline!C99="Nieuwe Situatie",(50),Baseline!C99="Bestaande Situatie",(50))),0)*Baseline!Q99)*Baseline!R99</f>
        <v>0</v>
      </c>
      <c r="K622" s="133">
        <f>IF(Referentie_Transport_Totaal[[#This Row],[Emissieloos Transport naar bouwplaats?]]="JA",Referentie_Transport_Totaal[[#This Row],[Transport naar bouwplaats Vervangingen '[tkm']]],0)+IF(Referentie_Transport_Totaal[[#This Row],[Emissieloos Transport naar verwerker?]]="JA",Referentie_Transport_Totaal[[#This Row],[Transport naar verwerker Vervangingen '[tkm']]],0)</f>
        <v>0</v>
      </c>
      <c r="L622" s="133">
        <f>Referentie_Transport_Totaal[[#This Row],[Emissieloos Transport]]+Referentie_Transport_Totaal[[#This Row],[Emissieloos Transport Vervangingen]]</f>
        <v>0</v>
      </c>
      <c r="M622" s="133">
        <f>(Referentie_Transport_Totaal[[#This Row],[Transport naar bouwplaats '[tkm']]]+Referentie_Transport_Totaal[[#This Row],[Transport naar verwerker '[tkm']]]+Referentie_Transport_Totaal[[#This Row],[Transport naar bouwplaats Vervangingen '[tkm']]]+Referentie_Transport_Totaal[[#This Row],[Transport naar verwerker Vervangingen '[tkm']]])-Referentie_Transport_Totaal[[#This Row],[Totaal Emissieloos Transport]]</f>
        <v>0</v>
      </c>
      <c r="N622" s="133">
        <f>Referentie_Transport_Totaal[[#This Row],[Totaal Emissieloos Transport]]+Referentie_Transport_Totaal[[#This Row],[Totaal Niet Emissieloos Transport]]</f>
        <v>0</v>
      </c>
      <c r="O622" s="13"/>
      <c r="P622" s="13"/>
      <c r="Q622" s="13"/>
      <c r="R622" s="13"/>
      <c r="S622" s="13"/>
    </row>
    <row r="623" spans="2:19">
      <c r="B623" s="209">
        <f>Baseline!B100</f>
        <v>0</v>
      </c>
      <c r="C623" s="51">
        <f>Baseline!F100</f>
        <v>0</v>
      </c>
      <c r="D623" s="93">
        <f>(IF(Baseline!C100="Nieuwe situatie",(Baseline!S100),0)*Baseline!Q100)</f>
        <v>0</v>
      </c>
      <c r="E623" s="98">
        <f>(IF(Baseline!C100="Bestaande situatie",(Baseline!AC100),0)*Baseline!Q100)</f>
        <v>0</v>
      </c>
      <c r="F623" s="94" t="str">
        <f>_xlfn.IFNA(VLOOKUP(Baseline!T100,Database_Transport[],60,FALSE),"Nee")</f>
        <v>Nee</v>
      </c>
      <c r="G623" s="94" t="str">
        <f>_xlfn.IFNA(VLOOKUP(Baseline!AC100,Database_Transport[],60,FALSE),"Nee")</f>
        <v>Nee</v>
      </c>
      <c r="H623" s="124">
        <f>IF(Referentie_Transport_Totaal[[#This Row],[Emissieloos Transport naar bouwplaats?]]="JA",Referentie_Transport_Totaal[[#This Row],[Transport naar bouwplaats '[tkm']]],0)+IF(Referentie_Transport_Totaal[[#This Row],[Emissieloos Transport naar verwerker?]]="JA",Referentie_Transport_Totaal[[#This Row],[Transport naar verwerker '[tkm']]],0)</f>
        <v>0</v>
      </c>
      <c r="I623" s="133" cm="1">
        <f t="array" ref="I623">_xlfn.IFNA((_xlfn.IFS(Baseline!C100="Nieuwe Situatie",(50),Baseline!C100="Bestaande Situatie",(0))),0)*Baseline!Q100*Baseline!R100</f>
        <v>0</v>
      </c>
      <c r="J623" s="133" cm="1">
        <f t="array" ref="J623">(_xlfn.IFNA((_xlfn.IFS(Baseline!C100="Nieuwe Situatie",(50),Baseline!C100="Bestaande Situatie",(50))),0)*Baseline!Q100)*Baseline!R100</f>
        <v>0</v>
      </c>
      <c r="K623" s="133">
        <f>IF(Referentie_Transport_Totaal[[#This Row],[Emissieloos Transport naar bouwplaats?]]="JA",Referentie_Transport_Totaal[[#This Row],[Transport naar bouwplaats Vervangingen '[tkm']]],0)+IF(Referentie_Transport_Totaal[[#This Row],[Emissieloos Transport naar verwerker?]]="JA",Referentie_Transport_Totaal[[#This Row],[Transport naar verwerker Vervangingen '[tkm']]],0)</f>
        <v>0</v>
      </c>
      <c r="L623" s="133">
        <f>Referentie_Transport_Totaal[[#This Row],[Emissieloos Transport]]+Referentie_Transport_Totaal[[#This Row],[Emissieloos Transport Vervangingen]]</f>
        <v>0</v>
      </c>
      <c r="M623" s="133">
        <f>(Referentie_Transport_Totaal[[#This Row],[Transport naar bouwplaats '[tkm']]]+Referentie_Transport_Totaal[[#This Row],[Transport naar verwerker '[tkm']]]+Referentie_Transport_Totaal[[#This Row],[Transport naar bouwplaats Vervangingen '[tkm']]]+Referentie_Transport_Totaal[[#This Row],[Transport naar verwerker Vervangingen '[tkm']]])-Referentie_Transport_Totaal[[#This Row],[Totaal Emissieloos Transport]]</f>
        <v>0</v>
      </c>
      <c r="N623" s="133">
        <f>Referentie_Transport_Totaal[[#This Row],[Totaal Emissieloos Transport]]+Referentie_Transport_Totaal[[#This Row],[Totaal Niet Emissieloos Transport]]</f>
        <v>0</v>
      </c>
      <c r="O623" s="13"/>
      <c r="P623" s="13"/>
      <c r="Q623" s="13"/>
      <c r="R623" s="13"/>
      <c r="S623" s="13"/>
    </row>
    <row r="624" spans="2:19">
      <c r="B624" s="209">
        <f>Baseline!B101</f>
        <v>0</v>
      </c>
      <c r="C624" s="51">
        <f>Baseline!F101</f>
        <v>0</v>
      </c>
      <c r="D624" s="93">
        <f>(IF(Baseline!C101="Nieuwe situatie",(Baseline!S101),0)*Baseline!Q101)</f>
        <v>0</v>
      </c>
      <c r="E624" s="98">
        <f>(IF(Baseline!C101="Bestaande situatie",(Baseline!AC101),0)*Baseline!Q101)</f>
        <v>0</v>
      </c>
      <c r="F624" s="94" t="str">
        <f>_xlfn.IFNA(VLOOKUP(Baseline!T101,Database_Transport[],60,FALSE),"Nee")</f>
        <v>Nee</v>
      </c>
      <c r="G624" s="94" t="str">
        <f>_xlfn.IFNA(VLOOKUP(Baseline!AC101,Database_Transport[],60,FALSE),"Nee")</f>
        <v>Nee</v>
      </c>
      <c r="H624" s="124">
        <f>IF(Referentie_Transport_Totaal[[#This Row],[Emissieloos Transport naar bouwplaats?]]="JA",Referentie_Transport_Totaal[[#This Row],[Transport naar bouwplaats '[tkm']]],0)+IF(Referentie_Transport_Totaal[[#This Row],[Emissieloos Transport naar verwerker?]]="JA",Referentie_Transport_Totaal[[#This Row],[Transport naar verwerker '[tkm']]],0)</f>
        <v>0</v>
      </c>
      <c r="I624" s="133" cm="1">
        <f t="array" ref="I624">_xlfn.IFNA((_xlfn.IFS(Baseline!C101="Nieuwe Situatie",(50),Baseline!C101="Bestaande Situatie",(0))),0)*Baseline!Q101*Baseline!R101</f>
        <v>0</v>
      </c>
      <c r="J624" s="133" cm="1">
        <f t="array" ref="J624">(_xlfn.IFNA((_xlfn.IFS(Baseline!C101="Nieuwe Situatie",(50),Baseline!C101="Bestaande Situatie",(50))),0)*Baseline!Q101)*Baseline!R101</f>
        <v>0</v>
      </c>
      <c r="K624" s="133">
        <f>IF(Referentie_Transport_Totaal[[#This Row],[Emissieloos Transport naar bouwplaats?]]="JA",Referentie_Transport_Totaal[[#This Row],[Transport naar bouwplaats Vervangingen '[tkm']]],0)+IF(Referentie_Transport_Totaal[[#This Row],[Emissieloos Transport naar verwerker?]]="JA",Referentie_Transport_Totaal[[#This Row],[Transport naar verwerker Vervangingen '[tkm']]],0)</f>
        <v>0</v>
      </c>
      <c r="L624" s="133">
        <f>Referentie_Transport_Totaal[[#This Row],[Emissieloos Transport]]+Referentie_Transport_Totaal[[#This Row],[Emissieloos Transport Vervangingen]]</f>
        <v>0</v>
      </c>
      <c r="M624" s="133">
        <f>(Referentie_Transport_Totaal[[#This Row],[Transport naar bouwplaats '[tkm']]]+Referentie_Transport_Totaal[[#This Row],[Transport naar verwerker '[tkm']]]+Referentie_Transport_Totaal[[#This Row],[Transport naar bouwplaats Vervangingen '[tkm']]]+Referentie_Transport_Totaal[[#This Row],[Transport naar verwerker Vervangingen '[tkm']]])-Referentie_Transport_Totaal[[#This Row],[Totaal Emissieloos Transport]]</f>
        <v>0</v>
      </c>
      <c r="N624" s="133">
        <f>Referentie_Transport_Totaal[[#This Row],[Totaal Emissieloos Transport]]+Referentie_Transport_Totaal[[#This Row],[Totaal Niet Emissieloos Transport]]</f>
        <v>0</v>
      </c>
      <c r="O624" s="13"/>
      <c r="P624" s="13"/>
      <c r="Q624" s="13"/>
      <c r="R624" s="13"/>
      <c r="S624" s="13"/>
    </row>
    <row r="625" spans="2:29">
      <c r="B625" s="209">
        <f>Baseline!B102</f>
        <v>0</v>
      </c>
      <c r="C625" s="51">
        <f>Baseline!F102</f>
        <v>0</v>
      </c>
      <c r="D625" s="93">
        <f>(IF(Baseline!C102="Nieuwe situatie",(Baseline!S102),0)*Baseline!Q102)</f>
        <v>0</v>
      </c>
      <c r="E625" s="98">
        <f>(IF(Baseline!C102="Bestaande situatie",(Baseline!AC102),0)*Baseline!Q102)</f>
        <v>0</v>
      </c>
      <c r="F625" s="94" t="str">
        <f>_xlfn.IFNA(VLOOKUP(Baseline!T102,Database_Transport[],60,FALSE),"Nee")</f>
        <v>Nee</v>
      </c>
      <c r="G625" s="94" t="str">
        <f>_xlfn.IFNA(VLOOKUP(Baseline!AC102,Database_Transport[],60,FALSE),"Nee")</f>
        <v>Nee</v>
      </c>
      <c r="H625" s="124">
        <f>IF(Referentie_Transport_Totaal[[#This Row],[Emissieloos Transport naar bouwplaats?]]="JA",Referentie_Transport_Totaal[[#This Row],[Transport naar bouwplaats '[tkm']]],0)+IF(Referentie_Transport_Totaal[[#This Row],[Emissieloos Transport naar verwerker?]]="JA",Referentie_Transport_Totaal[[#This Row],[Transport naar verwerker '[tkm']]],0)</f>
        <v>0</v>
      </c>
      <c r="I625" s="133" cm="1">
        <f t="array" ref="I625">_xlfn.IFNA((_xlfn.IFS(Baseline!C102="Nieuwe Situatie",(50),Baseline!C102="Bestaande Situatie",(0))),0)*Baseline!Q102*Baseline!R102</f>
        <v>0</v>
      </c>
      <c r="J625" s="133" cm="1">
        <f t="array" ref="J625">(_xlfn.IFNA((_xlfn.IFS(Baseline!C102="Nieuwe Situatie",(50),Baseline!C102="Bestaande Situatie",(50))),0)*Baseline!Q102)*Baseline!R102</f>
        <v>0</v>
      </c>
      <c r="K625" s="133">
        <f>IF(Referentie_Transport_Totaal[[#This Row],[Emissieloos Transport naar bouwplaats?]]="JA",Referentie_Transport_Totaal[[#This Row],[Transport naar bouwplaats Vervangingen '[tkm']]],0)+IF(Referentie_Transport_Totaal[[#This Row],[Emissieloos Transport naar verwerker?]]="JA",Referentie_Transport_Totaal[[#This Row],[Transport naar verwerker Vervangingen '[tkm']]],0)</f>
        <v>0</v>
      </c>
      <c r="L625" s="133">
        <f>Referentie_Transport_Totaal[[#This Row],[Emissieloos Transport]]+Referentie_Transport_Totaal[[#This Row],[Emissieloos Transport Vervangingen]]</f>
        <v>0</v>
      </c>
      <c r="M625" s="133">
        <f>(Referentie_Transport_Totaal[[#This Row],[Transport naar bouwplaats '[tkm']]]+Referentie_Transport_Totaal[[#This Row],[Transport naar verwerker '[tkm']]]+Referentie_Transport_Totaal[[#This Row],[Transport naar bouwplaats Vervangingen '[tkm']]]+Referentie_Transport_Totaal[[#This Row],[Transport naar verwerker Vervangingen '[tkm']]])-Referentie_Transport_Totaal[[#This Row],[Totaal Emissieloos Transport]]</f>
        <v>0</v>
      </c>
      <c r="N625" s="133">
        <f>Referentie_Transport_Totaal[[#This Row],[Totaal Emissieloos Transport]]+Referentie_Transport_Totaal[[#This Row],[Totaal Niet Emissieloos Transport]]</f>
        <v>0</v>
      </c>
      <c r="O625" s="13"/>
      <c r="P625" s="13"/>
      <c r="Q625" s="13"/>
      <c r="R625" s="13"/>
      <c r="S625" s="13"/>
    </row>
    <row r="626" spans="2:29">
      <c r="B626" s="209">
        <f>Baseline!B103</f>
        <v>0</v>
      </c>
      <c r="C626" s="51">
        <f>Baseline!F103</f>
        <v>0</v>
      </c>
      <c r="D626" s="93">
        <f>(IF(Baseline!C103="Nieuwe situatie",(Baseline!S103),0)*Baseline!Q103)</f>
        <v>0</v>
      </c>
      <c r="E626" s="98">
        <f>(IF(Baseline!C103="Bestaande situatie",(Baseline!AC103),0)*Baseline!Q103)</f>
        <v>0</v>
      </c>
      <c r="F626" s="94" t="str">
        <f>_xlfn.IFNA(VLOOKUP(Baseline!T103,Database_Transport[],60,FALSE),"Nee")</f>
        <v>Nee</v>
      </c>
      <c r="G626" s="94" t="str">
        <f>_xlfn.IFNA(VLOOKUP(Baseline!AC103,Database_Transport[],60,FALSE),"Nee")</f>
        <v>Nee</v>
      </c>
      <c r="H626" s="124">
        <f>IF(Referentie_Transport_Totaal[[#This Row],[Emissieloos Transport naar bouwplaats?]]="JA",Referentie_Transport_Totaal[[#This Row],[Transport naar bouwplaats '[tkm']]],0)+IF(Referentie_Transport_Totaal[[#This Row],[Emissieloos Transport naar verwerker?]]="JA",Referentie_Transport_Totaal[[#This Row],[Transport naar verwerker '[tkm']]],0)</f>
        <v>0</v>
      </c>
      <c r="I626" s="133" cm="1">
        <f t="array" ref="I626">_xlfn.IFNA((_xlfn.IFS(Baseline!C103="Nieuwe Situatie",(50),Baseline!C103="Bestaande Situatie",(0))),0)*Baseline!Q103*Baseline!R103</f>
        <v>0</v>
      </c>
      <c r="J626" s="133" cm="1">
        <f t="array" ref="J626">(_xlfn.IFNA((_xlfn.IFS(Baseline!C103="Nieuwe Situatie",(50),Baseline!C103="Bestaande Situatie",(50))),0)*Baseline!Q103)*Baseline!R103</f>
        <v>0</v>
      </c>
      <c r="K626" s="133">
        <f>IF(Referentie_Transport_Totaal[[#This Row],[Emissieloos Transport naar bouwplaats?]]="JA",Referentie_Transport_Totaal[[#This Row],[Transport naar bouwplaats Vervangingen '[tkm']]],0)+IF(Referentie_Transport_Totaal[[#This Row],[Emissieloos Transport naar verwerker?]]="JA",Referentie_Transport_Totaal[[#This Row],[Transport naar verwerker Vervangingen '[tkm']]],0)</f>
        <v>0</v>
      </c>
      <c r="L626" s="133">
        <f>Referentie_Transport_Totaal[[#This Row],[Emissieloos Transport]]+Referentie_Transport_Totaal[[#This Row],[Emissieloos Transport Vervangingen]]</f>
        <v>0</v>
      </c>
      <c r="M626" s="133">
        <f>(Referentie_Transport_Totaal[[#This Row],[Transport naar bouwplaats '[tkm']]]+Referentie_Transport_Totaal[[#This Row],[Transport naar verwerker '[tkm']]]+Referentie_Transport_Totaal[[#This Row],[Transport naar bouwplaats Vervangingen '[tkm']]]+Referentie_Transport_Totaal[[#This Row],[Transport naar verwerker Vervangingen '[tkm']]])-Referentie_Transport_Totaal[[#This Row],[Totaal Emissieloos Transport]]</f>
        <v>0</v>
      </c>
      <c r="N626" s="133">
        <f>Referentie_Transport_Totaal[[#This Row],[Totaal Emissieloos Transport]]+Referentie_Transport_Totaal[[#This Row],[Totaal Niet Emissieloos Transport]]</f>
        <v>0</v>
      </c>
      <c r="O626" s="13"/>
      <c r="P626" s="13"/>
      <c r="Q626" s="13"/>
      <c r="R626" s="13"/>
      <c r="S626" s="13"/>
    </row>
    <row r="627" spans="2:29">
      <c r="B627" s="209">
        <f>Baseline!B104</f>
        <v>0</v>
      </c>
      <c r="C627" s="51">
        <f>Baseline!F104</f>
        <v>0</v>
      </c>
      <c r="D627" s="93">
        <f>(IF(Baseline!C104="Nieuwe situatie",(Baseline!S104),0)*Baseline!Q104)</f>
        <v>0</v>
      </c>
      <c r="E627" s="98">
        <f>(IF(Baseline!C104="Bestaande situatie",(Baseline!AC104),0)*Baseline!Q104)</f>
        <v>0</v>
      </c>
      <c r="F627" s="94" t="str">
        <f>_xlfn.IFNA(VLOOKUP(Baseline!T104,Database_Transport[],60,FALSE),"Nee")</f>
        <v>Nee</v>
      </c>
      <c r="G627" s="94" t="str">
        <f>_xlfn.IFNA(VLOOKUP(Baseline!AC104,Database_Transport[],60,FALSE),"Nee")</f>
        <v>Nee</v>
      </c>
      <c r="H627" s="124">
        <f>IF(Referentie_Transport_Totaal[[#This Row],[Emissieloos Transport naar bouwplaats?]]="JA",Referentie_Transport_Totaal[[#This Row],[Transport naar bouwplaats '[tkm']]],0)+IF(Referentie_Transport_Totaal[[#This Row],[Emissieloos Transport naar verwerker?]]="JA",Referentie_Transport_Totaal[[#This Row],[Transport naar verwerker '[tkm']]],0)</f>
        <v>0</v>
      </c>
      <c r="I627" s="133" cm="1">
        <f t="array" ref="I627">_xlfn.IFNA((_xlfn.IFS(Baseline!C104="Nieuwe Situatie",(50),Baseline!C104="Bestaande Situatie",(0))),0)*Baseline!Q104*Baseline!R104</f>
        <v>0</v>
      </c>
      <c r="J627" s="133" cm="1">
        <f t="array" ref="J627">(_xlfn.IFNA((_xlfn.IFS(Baseline!C104="Nieuwe Situatie",(50),Baseline!C104="Bestaande Situatie",(50))),0)*Baseline!Q104)*Baseline!R104</f>
        <v>0</v>
      </c>
      <c r="K627" s="133">
        <f>IF(Referentie_Transport_Totaal[[#This Row],[Emissieloos Transport naar bouwplaats?]]="JA",Referentie_Transport_Totaal[[#This Row],[Transport naar bouwplaats Vervangingen '[tkm']]],0)+IF(Referentie_Transport_Totaal[[#This Row],[Emissieloos Transport naar verwerker?]]="JA",Referentie_Transport_Totaal[[#This Row],[Transport naar verwerker Vervangingen '[tkm']]],0)</f>
        <v>0</v>
      </c>
      <c r="L627" s="133">
        <f>Referentie_Transport_Totaal[[#This Row],[Emissieloos Transport]]+Referentie_Transport_Totaal[[#This Row],[Emissieloos Transport Vervangingen]]</f>
        <v>0</v>
      </c>
      <c r="M627" s="133">
        <f>(Referentie_Transport_Totaal[[#This Row],[Transport naar bouwplaats '[tkm']]]+Referentie_Transport_Totaal[[#This Row],[Transport naar verwerker '[tkm']]]+Referentie_Transport_Totaal[[#This Row],[Transport naar bouwplaats Vervangingen '[tkm']]]+Referentie_Transport_Totaal[[#This Row],[Transport naar verwerker Vervangingen '[tkm']]])-Referentie_Transport_Totaal[[#This Row],[Totaal Emissieloos Transport]]</f>
        <v>0</v>
      </c>
      <c r="N627" s="133">
        <f>Referentie_Transport_Totaal[[#This Row],[Totaal Emissieloos Transport]]+Referentie_Transport_Totaal[[#This Row],[Totaal Niet Emissieloos Transport]]</f>
        <v>0</v>
      </c>
      <c r="O627" s="13"/>
      <c r="P627" s="13"/>
      <c r="Q627" s="13"/>
      <c r="R627" s="13"/>
      <c r="S627" s="13"/>
    </row>
    <row r="628" spans="2:29" ht="15.75" thickBot="1">
      <c r="B628" s="209">
        <f>Baseline!B105</f>
        <v>0</v>
      </c>
      <c r="C628" s="51">
        <f>Baseline!F105</f>
        <v>0</v>
      </c>
      <c r="D628" s="93">
        <f>(IF(Baseline!C105="Nieuwe situatie",(Baseline!S105),0)*Baseline!Q105)</f>
        <v>0</v>
      </c>
      <c r="E628" s="98">
        <f>(IF(Baseline!C105="Bestaande situatie",(Baseline!AC105),0)*Baseline!Q105)</f>
        <v>0</v>
      </c>
      <c r="F628" s="94" t="str">
        <f>_xlfn.IFNA(VLOOKUP(Baseline!T105,Database_Transport[],60,FALSE),"Nee")</f>
        <v>Nee</v>
      </c>
      <c r="G628" s="94" t="str">
        <f>_xlfn.IFNA(VLOOKUP(Baseline!AC105,Database_Transport[],60,FALSE),"Nee")</f>
        <v>Nee</v>
      </c>
      <c r="H628" s="124">
        <f>IF(Referentie_Transport_Totaal[[#This Row],[Emissieloos Transport naar bouwplaats?]]="JA",Referentie_Transport_Totaal[[#This Row],[Transport naar bouwplaats '[tkm']]],0)+IF(Referentie_Transport_Totaal[[#This Row],[Emissieloos Transport naar verwerker?]]="JA",Referentie_Transport_Totaal[[#This Row],[Transport naar verwerker '[tkm']]],0)</f>
        <v>0</v>
      </c>
      <c r="I628" s="133" cm="1">
        <f t="array" ref="I628">_xlfn.IFNA((_xlfn.IFS(Baseline!C105="Nieuwe Situatie",(50),Baseline!C105="Bestaande Situatie",(0))),0)*Baseline!Q105*Baseline!R105</f>
        <v>0</v>
      </c>
      <c r="J628" s="133" cm="1">
        <f t="array" ref="J628">(_xlfn.IFNA((_xlfn.IFS(Baseline!C105="Nieuwe Situatie",(50),Baseline!C105="Bestaande Situatie",(50))),0)*Baseline!Q105)*Baseline!R105</f>
        <v>0</v>
      </c>
      <c r="K628" s="133">
        <f>IF(Referentie_Transport_Totaal[[#This Row],[Emissieloos Transport naar bouwplaats?]]="JA",Referentie_Transport_Totaal[[#This Row],[Transport naar bouwplaats Vervangingen '[tkm']]],0)+IF(Referentie_Transport_Totaal[[#This Row],[Emissieloos Transport naar verwerker?]]="JA",Referentie_Transport_Totaal[[#This Row],[Transport naar verwerker Vervangingen '[tkm']]],0)</f>
        <v>0</v>
      </c>
      <c r="L628" s="133">
        <f>Referentie_Transport_Totaal[[#This Row],[Emissieloos Transport]]+Referentie_Transport_Totaal[[#This Row],[Emissieloos Transport Vervangingen]]</f>
        <v>0</v>
      </c>
      <c r="M628" s="133">
        <f>(Referentie_Transport_Totaal[[#This Row],[Transport naar bouwplaats '[tkm']]]+Referentie_Transport_Totaal[[#This Row],[Transport naar verwerker '[tkm']]]+Referentie_Transport_Totaal[[#This Row],[Transport naar bouwplaats Vervangingen '[tkm']]]+Referentie_Transport_Totaal[[#This Row],[Transport naar verwerker Vervangingen '[tkm']]])-Referentie_Transport_Totaal[[#This Row],[Totaal Emissieloos Transport]]</f>
        <v>0</v>
      </c>
      <c r="N628" s="133">
        <f>Referentie_Transport_Totaal[[#This Row],[Totaal Emissieloos Transport]]+Referentie_Transport_Totaal[[#This Row],[Totaal Niet Emissieloos Transport]]</f>
        <v>0</v>
      </c>
      <c r="O628" s="13"/>
      <c r="P628" s="13"/>
      <c r="Q628" s="13"/>
      <c r="R628" s="13"/>
      <c r="S628" s="13"/>
    </row>
    <row r="629" spans="2:29" ht="15.75" thickTop="1">
      <c r="B629" s="52" t="s">
        <v>90</v>
      </c>
      <c r="C629" s="53"/>
      <c r="D629" s="80">
        <f>SUBTOTAL(109,Referentie_Transport_Totaal[Transport naar bouwplaats '[tkm']])</f>
        <v>652914.80724999995</v>
      </c>
      <c r="E629" s="80">
        <f>SUBTOTAL(109,Referentie_Transport_Totaal[Transport naar verwerker '[tkm']])</f>
        <v>693329.14359999995</v>
      </c>
      <c r="F629" s="80">
        <f>SUBTOTAL(109,Referentie_Transport_Totaal[Emissieloos Transport naar bouwplaats?])</f>
        <v>0</v>
      </c>
      <c r="G629" s="80">
        <f>SUBTOTAL(109,Referentie_Transport_Totaal[Emissieloos Transport naar verwerker?])</f>
        <v>0</v>
      </c>
      <c r="H629" s="11">
        <f>SUBTOTAL(109,Referentie_Transport_Totaal[Emissieloos Transport])</f>
        <v>0</v>
      </c>
      <c r="I629" s="80">
        <f>SUBTOTAL(109,Referentie_Transport_Totaal[Transport naar bouwplaats Vervangingen '[tkm']])</f>
        <v>0</v>
      </c>
      <c r="J629" s="80">
        <f>SUBTOTAL(109,Referentie_Transport_Totaal[Transport naar verwerker Vervangingen '[tkm']])</f>
        <v>0</v>
      </c>
      <c r="K629" s="130">
        <f>SUBTOTAL(109,Referentie_Transport_Totaal[Emissieloos Transport Vervangingen])</f>
        <v>0</v>
      </c>
      <c r="L629" s="80">
        <f>SUBTOTAL(109,Referentie_Transport_Totaal[Totaal Emissieloos Transport])</f>
        <v>0</v>
      </c>
      <c r="M629" s="80">
        <f>SUBTOTAL(109,Referentie_Transport_Totaal[Totaal Niet Emissieloos Transport])</f>
        <v>1346243.9508499999</v>
      </c>
      <c r="N629" s="80">
        <f>SUBTOTAL(109,Referentie_Transport_Totaal[Totaal Transport])</f>
        <v>1346243.9508499999</v>
      </c>
      <c r="O629" s="13"/>
      <c r="P629" s="13"/>
      <c r="Q629" s="13"/>
      <c r="R629" s="13"/>
      <c r="S629" s="13"/>
    </row>
    <row r="630" spans="2:29">
      <c r="B630" s="13"/>
      <c r="C630" s="13"/>
      <c r="D630" s="13"/>
      <c r="E630" s="13"/>
      <c r="F630" s="13"/>
      <c r="G630" s="13"/>
      <c r="H630" s="13"/>
      <c r="I630" s="13"/>
      <c r="J630" s="13"/>
      <c r="K630" s="13"/>
      <c r="L630" s="13"/>
      <c r="M630" s="13"/>
      <c r="N630" s="13"/>
      <c r="O630" s="13"/>
      <c r="P630" s="13"/>
    </row>
    <row r="631" spans="2:29">
      <c r="B631" s="13"/>
      <c r="C631" s="13"/>
      <c r="D631" s="13"/>
      <c r="E631" s="13"/>
      <c r="F631" s="13"/>
      <c r="G631" s="13"/>
      <c r="H631" s="13"/>
      <c r="I631" s="13"/>
      <c r="J631" s="13"/>
      <c r="K631" s="13"/>
      <c r="L631" s="13"/>
      <c r="M631" s="13"/>
      <c r="N631" s="13"/>
      <c r="O631" s="13"/>
      <c r="P631" s="13"/>
    </row>
    <row r="632" spans="2:29" ht="18">
      <c r="B632" s="110" t="s">
        <v>136</v>
      </c>
      <c r="C632" s="110"/>
      <c r="D632" s="110"/>
      <c r="E632" s="13"/>
      <c r="F632" s="13"/>
      <c r="G632" s="13"/>
      <c r="H632" s="13"/>
      <c r="I632" s="13"/>
      <c r="J632" s="13"/>
      <c r="K632" s="13"/>
      <c r="L632" s="13"/>
      <c r="M632" s="13"/>
      <c r="N632" s="13"/>
      <c r="O632" s="13"/>
      <c r="P632" s="13"/>
    </row>
    <row r="633" spans="2:29" ht="15.75" thickBot="1">
      <c r="B633" s="49" t="s">
        <v>214</v>
      </c>
      <c r="C633" s="50" t="s">
        <v>7</v>
      </c>
      <c r="D633" s="58" t="s">
        <v>295</v>
      </c>
      <c r="E633" s="59" t="s">
        <v>296</v>
      </c>
      <c r="F633" s="59" t="s">
        <v>297</v>
      </c>
      <c r="G633" s="59" t="s">
        <v>298</v>
      </c>
      <c r="H633" s="59" t="s">
        <v>299</v>
      </c>
      <c r="I633" s="59" t="s">
        <v>139</v>
      </c>
      <c r="J633" s="59" t="s">
        <v>300</v>
      </c>
      <c r="K633" s="59" t="s">
        <v>140</v>
      </c>
      <c r="L633" s="59" t="s">
        <v>141</v>
      </c>
      <c r="M633" s="58" t="s">
        <v>301</v>
      </c>
      <c r="N633" s="59" t="s">
        <v>302</v>
      </c>
      <c r="O633" s="59" t="s">
        <v>303</v>
      </c>
      <c r="P633" s="59" t="s">
        <v>304</v>
      </c>
      <c r="Q633" s="59" t="s">
        <v>144</v>
      </c>
      <c r="R633" s="145" t="s">
        <v>145</v>
      </c>
      <c r="S633" s="145" t="s">
        <v>146</v>
      </c>
      <c r="T633" s="145" t="s">
        <v>147</v>
      </c>
      <c r="U633" s="334"/>
      <c r="V633" s="13"/>
      <c r="W633" s="13"/>
      <c r="X633" s="13"/>
      <c r="Y633" s="13"/>
      <c r="Z633" s="13"/>
      <c r="AA633" s="13"/>
      <c r="AB633" s="13"/>
      <c r="AC633" s="13"/>
    </row>
    <row r="634" spans="2:29" ht="15.75" thickTop="1">
      <c r="B634" s="209" t="str">
        <f>Baseline!B6</f>
        <v xml:space="preserve">121110 - Opbreken trottoirband </v>
      </c>
      <c r="C634" s="51" t="str">
        <f>Baseline!F6</f>
        <v>Trottoirband 130/150x250</v>
      </c>
      <c r="D634" s="134">
        <f>_xlfn.IFNA(IF(Baseline!C6="Nieuwe situatie",(Baseline!Q6/(VLOOKUP(Baseline!U6,Database_Asfalt_Aanlegset[#All],60,FALSE)/8)),0),0)</f>
        <v>0</v>
      </c>
      <c r="E634" s="135">
        <f>IFERROR(IF(Baseline!C6="Nieuwe situatie",Baseline!I6/Baseline!X6,0),0)</f>
        <v>0</v>
      </c>
      <c r="F634" s="138">
        <f>_xlfn.IFNA(IF(Baseline!C6="Bestaande situatie",Baseline!Q6/(VLOOKUP(Baseline!Y6,Database_Asfalt_Verwijderset[#All],60,FALSE)/8),0),0)</f>
        <v>0</v>
      </c>
      <c r="G634" s="138">
        <f>IFERROR(IF(Baseline!C6="Bestaande situatie",Baseline!I6/Baseline!AB6,0),0)</f>
        <v>63.7</v>
      </c>
      <c r="H634" s="138" t="str">
        <f>_xlfn.IFNA((VLOOKUP(Baseline!U6,Database_Asfalt_Aanlegset[],61,FALSE)),"Nee")</f>
        <v>Nee</v>
      </c>
      <c r="I634" s="138" t="str">
        <f>_xlfn.IFNA((VLOOKUP(Baseline!V6,Database_Brandstoffen[],60,FALSE)),"Nee")</f>
        <v>Nee</v>
      </c>
      <c r="J634" s="94" t="str">
        <f>_xlfn.IFNA((VLOOKUP(Baseline!Y6,Database_Asfalt_Verwijderset[],61,FALSE)),"Nee")</f>
        <v>Nee</v>
      </c>
      <c r="K634" s="94" t="str">
        <f>_xlfn.IFNA((VLOOKUP(Baseline!Z6,Database_Brandstoffen[],60,FALSE)),"Nee")</f>
        <v>Nee</v>
      </c>
      <c r="L634" s="124">
        <f>IF(Referentie_Bouwplaats_Totaal[[#This Row],[Emissieloos Asfalt Aanlegset]]="JA",Referentie_Bouwplaats_Totaal[[#This Row],[Draaiuren Bouw Asfalt]],0)+IF(Referentie_Bouwplaats_Totaal[[#This Row],[Emissieloos Bouwmaterieel]]="JA",Referentie_Bouwplaats_Totaal[[#This Row],[Draaiuren Bouw Overig]],0)+IF(Referentie_Bouwplaats_Totaal[[#This Row],[Emissieloos Asfalt Verwijderset]]="JA",Referentie_Bouwplaats_Totaal[[#This Row],[Draaiuren Verwijder Asfalt]],0)+IF(Referentie_Bouwplaats_Totaal[[#This Row],[Emissieloos Sloopmaterieel]]="JA",Referentie_Bouwplaats_Totaal[[#This Row],[Draaiuren Verwijder Overig]],0)</f>
        <v>0</v>
      </c>
      <c r="M634" s="124">
        <f>_xlfn.IFNA(IF(Baseline!C6="Nieuwe situatie",(Baseline!Q6/(VLOOKUP(Baseline!U6,Database_Asfalt_Aanlegset[#All],60,FALSE)/8)),0),0)*Baseline!R6</f>
        <v>0</v>
      </c>
      <c r="N634" s="124">
        <f>_xlfn.IFNA(IF(Baseline!C6="Nieuwe situatie",Baseline!O6/VLOOKUP(Baseline!V6,Database_Overig_Materieel[#All],8,FALSE),0),0)*Baseline!R6</f>
        <v>0</v>
      </c>
      <c r="O634" s="132">
        <f>_xlfn.IFNA(IF(Baseline!C6="Bestaande situatie",Baseline!Q6/(VLOOKUP(Baseline!Y6,Database_Asfalt_Verwijderset[#All],60,FALSE)/8),0),0)*Baseline!R6</f>
        <v>0</v>
      </c>
      <c r="P634" s="132">
        <f>_xlfn.IFNA(IF(Baseline!C6="Bestaande situatie",Baseline!O6/VLOOKUP(Baseline!Z6,Database_Overig_Materieel[#All],8,FALSE),0),0)*Baseline!R6</f>
        <v>0</v>
      </c>
      <c r="Q634" s="132">
        <f>IF(Referentie_Bouwplaats_Totaal[[#This Row],[Emissieloos Asfalt Aanlegset]]="JA",Referentie_Bouwplaats_Totaal[[#This Row],[Draaiuren Bouw Asfalt Vervangingen]],0)+IF(Referentie_Bouwplaats_Totaal[[#This Row],[Emissieloos Bouwmaterieel]]="JA",Referentie_Bouwplaats_Totaal[[#This Row],[Draaiuren Bouw Overig Vervangingen]],0)+IF(Referentie_Bouwplaats_Totaal[[#This Row],[Emissieloos Asfalt Verwijderset]]="JA",Referentie_Bouwplaats_Totaal[[#This Row],[Draaiuren Verwijder Asfalt Vervangingen]],0)+IF(Referentie_Bouwplaats_Totaal[[#This Row],[Emissieloos Sloopmaterieel]]="JA",Referentie_Bouwplaats_Totaal[[#This Row],[Draaiuren Verwijder Overig Vervangingen]],0)</f>
        <v>0</v>
      </c>
      <c r="R634" s="132">
        <f>Referentie_Bouwplaats_Totaal[[#This Row],[Emissieloos bouwplaats]]+Referentie_Bouwplaats_Totaal[[#This Row],[Emissieloos bouwplaats Vervangingen]]</f>
        <v>0</v>
      </c>
      <c r="S634" s="132">
        <f>(Referentie_Bouwplaats_Totaal[[#This Row],[Draaiuren Bouw Asfalt]]+Referentie_Bouwplaats_Totaal[[#This Row],[Draaiuren Bouw Overig]]+Referentie_Bouwplaats_Totaal[[#This Row],[Draaiuren Verwijder Asfalt]]+Referentie_Bouwplaats_Totaal[[#This Row],[Draaiuren Verwijder Overig]]+Referentie_Bouwplaats_Totaal[[#This Row],[Draaiuren Bouw Asfalt Vervangingen]]+Referentie_Bouwplaats_Totaal[[#This Row],[Draaiuren Bouw Overig Vervangingen]]+Referentie_Bouwplaats_Totaal[[#This Row],[Draaiuren Verwijder Asfalt Vervangingen]]+Referentie_Bouwplaats_Totaal[[#This Row],[Draaiuren Verwijder Overig Vervangingen]]-Referentie_Bouwplaats_Totaal[[#This Row],[Totaal Emissieloos Bouwplaats]])</f>
        <v>63.7</v>
      </c>
      <c r="T634" s="132">
        <f>Referentie_Bouwplaats_Totaal[[#This Row],[Totaal Emissieloos Bouwplaats]]+Referentie_Bouwplaats_Totaal[[#This Row],[Totaal Niet Emissieloos Bouwplaats]]</f>
        <v>63.7</v>
      </c>
      <c r="U634" s="132"/>
      <c r="V634" s="13"/>
      <c r="W634" s="13"/>
      <c r="X634" s="13"/>
      <c r="Y634" s="13"/>
      <c r="Z634" s="13"/>
      <c r="AA634" s="13"/>
      <c r="AB634" s="13"/>
      <c r="AC634" s="13"/>
    </row>
    <row r="635" spans="2:29">
      <c r="B635" s="209" t="str">
        <f>Baseline!B7</f>
        <v>121120 - Opbreken RWS band</v>
      </c>
      <c r="C635" s="51" t="str">
        <f>Baseline!F7</f>
        <v>RWSband 115/225x250</v>
      </c>
      <c r="D635" s="134">
        <f>_xlfn.IFNA(IF(Baseline!C7="Nieuwe situatie",(Baseline!Q7/(VLOOKUP(Baseline!U7,Database_Asfalt_Aanlegset[#All],60,FALSE)/8)),0),0)</f>
        <v>0</v>
      </c>
      <c r="E635" s="135">
        <f>IFERROR(IF(Baseline!C7="Nieuwe situatie",Baseline!I7/Baseline!X7,0),0)</f>
        <v>0</v>
      </c>
      <c r="F635" s="138">
        <f>_xlfn.IFNA(IF(Baseline!C7="Bestaande situatie",Baseline!Q7/(VLOOKUP(Baseline!Y7,Database_Asfalt_Verwijderset[#All],60,FALSE)/8),0),0)</f>
        <v>0</v>
      </c>
      <c r="G635" s="138">
        <f>IFERROR(IF(Baseline!C7="Bestaande situatie",Baseline!I7/Baseline!AB7,0),0)</f>
        <v>6.7</v>
      </c>
      <c r="H635" s="138" t="str">
        <f>_xlfn.IFNA((VLOOKUP(Baseline!U7,Database_Asfalt_Aanlegset[],61,FALSE)),"Nee")</f>
        <v>Nee</v>
      </c>
      <c r="I635" s="138" t="str">
        <f>_xlfn.IFNA((VLOOKUP(Baseline!V7,Database_Brandstoffen[],60,FALSE)),"Nee")</f>
        <v>Nee</v>
      </c>
      <c r="J635" s="94" t="str">
        <f>_xlfn.IFNA((VLOOKUP(Baseline!Y7,Database_Asfalt_Verwijderset[],61,FALSE)),"Nee")</f>
        <v>Nee</v>
      </c>
      <c r="K635" s="94" t="str">
        <f>_xlfn.IFNA((VLOOKUP(Baseline!Z7,Database_Brandstoffen[],60,FALSE)),"Nee")</f>
        <v>Nee</v>
      </c>
      <c r="L635" s="124">
        <f>IF(Referentie_Bouwplaats_Totaal[[#This Row],[Emissieloos Asfalt Aanlegset]]="JA",Referentie_Bouwplaats_Totaal[[#This Row],[Draaiuren Bouw Asfalt]],0)+IF(Referentie_Bouwplaats_Totaal[[#This Row],[Emissieloos Bouwmaterieel]]="JA",Referentie_Bouwplaats_Totaal[[#This Row],[Draaiuren Bouw Overig]],0)+IF(Referentie_Bouwplaats_Totaal[[#This Row],[Emissieloos Asfalt Verwijderset]]="JA",Referentie_Bouwplaats_Totaal[[#This Row],[Draaiuren Verwijder Asfalt]],0)+IF(Referentie_Bouwplaats_Totaal[[#This Row],[Emissieloos Sloopmaterieel]]="JA",Referentie_Bouwplaats_Totaal[[#This Row],[Draaiuren Verwijder Overig]],0)</f>
        <v>0</v>
      </c>
      <c r="M635" s="124">
        <f>_xlfn.IFNA(IF(Baseline!C7="Nieuwe situatie",(Baseline!Q7/(VLOOKUP(Baseline!U7,Database_Asfalt_Aanlegset[#All],60,FALSE)/8)),0),0)*Baseline!R7</f>
        <v>0</v>
      </c>
      <c r="N635" s="124">
        <f>_xlfn.IFNA(IF(Baseline!C7="Nieuwe situatie",Baseline!O7/VLOOKUP(Baseline!V7,Database_Overig_Materieel[#All],8,FALSE),0),0)*Baseline!R7</f>
        <v>0</v>
      </c>
      <c r="O635" s="132">
        <f>_xlfn.IFNA(IF(Baseline!C7="Bestaande situatie",Baseline!Q7/(VLOOKUP(Baseline!Y7,Database_Asfalt_Verwijderset[#All],60,FALSE)/8),0),0)*Baseline!R7</f>
        <v>0</v>
      </c>
      <c r="P635" s="132">
        <f>_xlfn.IFNA(IF(Baseline!C7="Bestaande situatie",Baseline!O7/VLOOKUP(Baseline!Z7,Database_Overig_Materieel[#All],8,FALSE),0),0)*Baseline!R7</f>
        <v>0</v>
      </c>
      <c r="Q635" s="132">
        <f>IF(Referentie_Bouwplaats_Totaal[[#This Row],[Emissieloos Asfalt Aanlegset]]="JA",Referentie_Bouwplaats_Totaal[[#This Row],[Draaiuren Bouw Asfalt Vervangingen]],0)+IF(Referentie_Bouwplaats_Totaal[[#This Row],[Emissieloos Bouwmaterieel]]="JA",Referentie_Bouwplaats_Totaal[[#This Row],[Draaiuren Bouw Overig Vervangingen]],0)+IF(Referentie_Bouwplaats_Totaal[[#This Row],[Emissieloos Asfalt Verwijderset]]="JA",Referentie_Bouwplaats_Totaal[[#This Row],[Draaiuren Verwijder Asfalt Vervangingen]],0)+IF(Referentie_Bouwplaats_Totaal[[#This Row],[Emissieloos Sloopmaterieel]]="JA",Referentie_Bouwplaats_Totaal[[#This Row],[Draaiuren Verwijder Overig Vervangingen]],0)</f>
        <v>0</v>
      </c>
      <c r="R635" s="132">
        <f>Referentie_Bouwplaats_Totaal[[#This Row],[Emissieloos bouwplaats]]+Referentie_Bouwplaats_Totaal[[#This Row],[Emissieloos bouwplaats Vervangingen]]</f>
        <v>0</v>
      </c>
      <c r="S635" s="132">
        <f>(Referentie_Bouwplaats_Totaal[[#This Row],[Draaiuren Bouw Asfalt]]+Referentie_Bouwplaats_Totaal[[#This Row],[Draaiuren Bouw Overig]]+Referentie_Bouwplaats_Totaal[[#This Row],[Draaiuren Verwijder Asfalt]]+Referentie_Bouwplaats_Totaal[[#This Row],[Draaiuren Verwijder Overig]]+Referentie_Bouwplaats_Totaal[[#This Row],[Draaiuren Bouw Asfalt Vervangingen]]+Referentie_Bouwplaats_Totaal[[#This Row],[Draaiuren Bouw Overig Vervangingen]]+Referentie_Bouwplaats_Totaal[[#This Row],[Draaiuren Verwijder Asfalt Vervangingen]]+Referentie_Bouwplaats_Totaal[[#This Row],[Draaiuren Verwijder Overig Vervangingen]]-Referentie_Bouwplaats_Totaal[[#This Row],[Totaal Emissieloos Bouwplaats]])</f>
        <v>6.7</v>
      </c>
      <c r="T635" s="132">
        <f>Referentie_Bouwplaats_Totaal[[#This Row],[Totaal Emissieloos Bouwplaats]]+Referentie_Bouwplaats_Totaal[[#This Row],[Totaal Niet Emissieloos Bouwplaats]]</f>
        <v>6.7</v>
      </c>
      <c r="U635" s="132"/>
      <c r="V635" s="13"/>
      <c r="W635" s="13"/>
      <c r="X635" s="13"/>
      <c r="Y635" s="13"/>
      <c r="Z635" s="13"/>
      <c r="AA635" s="13"/>
      <c r="AB635" s="13"/>
      <c r="AC635" s="13"/>
    </row>
    <row r="636" spans="2:29">
      <c r="B636" s="209" t="str">
        <f>Baseline!B8</f>
        <v>121140 - Opbreken Opsluitband</v>
      </c>
      <c r="C636" s="51" t="str">
        <f>Baseline!F8</f>
        <v>Opsluitband 100x200</v>
      </c>
      <c r="D636" s="134">
        <f>_xlfn.IFNA(IF(Baseline!C8="Nieuwe situatie",(Baseline!Q8/(VLOOKUP(Baseline!U8,Database_Asfalt_Aanlegset[#All],60,FALSE)/8)),0),0)</f>
        <v>0</v>
      </c>
      <c r="E636" s="135">
        <f>IFERROR(IF(Baseline!C8="Nieuwe situatie",Baseline!I8/Baseline!X8,0),0)</f>
        <v>0</v>
      </c>
      <c r="F636" s="138">
        <f>_xlfn.IFNA(IF(Baseline!C8="Bestaande situatie",Baseline!Q8/(VLOOKUP(Baseline!Y8,Database_Asfalt_Verwijderset[#All],60,FALSE)/8),0),0)</f>
        <v>0</v>
      </c>
      <c r="G636" s="138">
        <f>IFERROR(IF(Baseline!C8="Bestaande situatie",Baseline!I8/Baseline!AB8,0),0)</f>
        <v>23.2</v>
      </c>
      <c r="H636" s="138" t="str">
        <f>_xlfn.IFNA((VLOOKUP(Baseline!U8,Database_Asfalt_Aanlegset[],61,FALSE)),"Nee")</f>
        <v>Nee</v>
      </c>
      <c r="I636" s="138" t="str">
        <f>_xlfn.IFNA((VLOOKUP(Baseline!V8,Database_Brandstoffen[],60,FALSE)),"Nee")</f>
        <v>Nee</v>
      </c>
      <c r="J636" s="94" t="str">
        <f>_xlfn.IFNA((VLOOKUP(Baseline!Y8,Database_Asfalt_Verwijderset[],61,FALSE)),"Nee")</f>
        <v>Nee</v>
      </c>
      <c r="K636" s="94" t="str">
        <f>_xlfn.IFNA((VLOOKUP(Baseline!Z8,Database_Brandstoffen[],60,FALSE)),"Nee")</f>
        <v>Nee</v>
      </c>
      <c r="L636" s="124">
        <f>IF(Referentie_Bouwplaats_Totaal[[#This Row],[Emissieloos Asfalt Aanlegset]]="JA",Referentie_Bouwplaats_Totaal[[#This Row],[Draaiuren Bouw Asfalt]],0)+IF(Referentie_Bouwplaats_Totaal[[#This Row],[Emissieloos Bouwmaterieel]]="JA",Referentie_Bouwplaats_Totaal[[#This Row],[Draaiuren Bouw Overig]],0)+IF(Referentie_Bouwplaats_Totaal[[#This Row],[Emissieloos Asfalt Verwijderset]]="JA",Referentie_Bouwplaats_Totaal[[#This Row],[Draaiuren Verwijder Asfalt]],0)+IF(Referentie_Bouwplaats_Totaal[[#This Row],[Emissieloos Sloopmaterieel]]="JA",Referentie_Bouwplaats_Totaal[[#This Row],[Draaiuren Verwijder Overig]],0)</f>
        <v>0</v>
      </c>
      <c r="M636" s="124">
        <f>_xlfn.IFNA(IF(Baseline!C8="Nieuwe situatie",(Baseline!Q8/(VLOOKUP(Baseline!U8,Database_Asfalt_Aanlegset[#All],60,FALSE)/8)),0),0)*Baseline!R8</f>
        <v>0</v>
      </c>
      <c r="N636" s="124">
        <f>_xlfn.IFNA(IF(Baseline!C8="Nieuwe situatie",Baseline!O8/VLOOKUP(Baseline!V8,Database_Overig_Materieel[#All],8,FALSE),0),0)*Baseline!R8</f>
        <v>0</v>
      </c>
      <c r="O636" s="132">
        <f>_xlfn.IFNA(IF(Baseline!C8="Bestaande situatie",Baseline!Q8/(VLOOKUP(Baseline!Y8,Database_Asfalt_Verwijderset[#All],60,FALSE)/8),0),0)*Baseline!R8</f>
        <v>0</v>
      </c>
      <c r="P636" s="132">
        <f>_xlfn.IFNA(IF(Baseline!C8="Bestaande situatie",Baseline!O8/VLOOKUP(Baseline!Z8,Database_Overig_Materieel[#All],8,FALSE),0),0)*Baseline!R8</f>
        <v>0</v>
      </c>
      <c r="Q636" s="132">
        <f>IF(Referentie_Bouwplaats_Totaal[[#This Row],[Emissieloos Asfalt Aanlegset]]="JA",Referentie_Bouwplaats_Totaal[[#This Row],[Draaiuren Bouw Asfalt Vervangingen]],0)+IF(Referentie_Bouwplaats_Totaal[[#This Row],[Emissieloos Bouwmaterieel]]="JA",Referentie_Bouwplaats_Totaal[[#This Row],[Draaiuren Bouw Overig Vervangingen]],0)+IF(Referentie_Bouwplaats_Totaal[[#This Row],[Emissieloos Asfalt Verwijderset]]="JA",Referentie_Bouwplaats_Totaal[[#This Row],[Draaiuren Verwijder Asfalt Vervangingen]],0)+IF(Referentie_Bouwplaats_Totaal[[#This Row],[Emissieloos Sloopmaterieel]]="JA",Referentie_Bouwplaats_Totaal[[#This Row],[Draaiuren Verwijder Overig Vervangingen]],0)</f>
        <v>0</v>
      </c>
      <c r="R636" s="132">
        <f>Referentie_Bouwplaats_Totaal[[#This Row],[Emissieloos bouwplaats]]+Referentie_Bouwplaats_Totaal[[#This Row],[Emissieloos bouwplaats Vervangingen]]</f>
        <v>0</v>
      </c>
      <c r="S636" s="132">
        <f>(Referentie_Bouwplaats_Totaal[[#This Row],[Draaiuren Bouw Asfalt]]+Referentie_Bouwplaats_Totaal[[#This Row],[Draaiuren Bouw Overig]]+Referentie_Bouwplaats_Totaal[[#This Row],[Draaiuren Verwijder Asfalt]]+Referentie_Bouwplaats_Totaal[[#This Row],[Draaiuren Verwijder Overig]]+Referentie_Bouwplaats_Totaal[[#This Row],[Draaiuren Bouw Asfalt Vervangingen]]+Referentie_Bouwplaats_Totaal[[#This Row],[Draaiuren Bouw Overig Vervangingen]]+Referentie_Bouwplaats_Totaal[[#This Row],[Draaiuren Verwijder Asfalt Vervangingen]]+Referentie_Bouwplaats_Totaal[[#This Row],[Draaiuren Verwijder Overig Vervangingen]]-Referentie_Bouwplaats_Totaal[[#This Row],[Totaal Emissieloos Bouwplaats]])</f>
        <v>23.2</v>
      </c>
      <c r="T636" s="132">
        <f>Referentie_Bouwplaats_Totaal[[#This Row],[Totaal Emissieloos Bouwplaats]]+Referentie_Bouwplaats_Totaal[[#This Row],[Totaal Niet Emissieloos Bouwplaats]]</f>
        <v>23.2</v>
      </c>
      <c r="U636" s="132"/>
      <c r="V636" s="13"/>
      <c r="W636" s="13"/>
      <c r="X636" s="13"/>
      <c r="Y636" s="13"/>
      <c r="Z636" s="13"/>
      <c r="AA636" s="13"/>
      <c r="AB636" s="13"/>
      <c r="AC636" s="13"/>
    </row>
    <row r="637" spans="2:29">
      <c r="B637" s="209" t="str">
        <f>Baseline!B9</f>
        <v>121310 - Opbreken betonstraatstenen</v>
      </c>
      <c r="C637" s="51" t="str">
        <f>Baseline!F9</f>
        <v>Betonstraatsteen 210x105x80</v>
      </c>
      <c r="D637" s="134">
        <f>_xlfn.IFNA(IF(Baseline!C9="Nieuwe situatie",(Baseline!Q9/(VLOOKUP(Baseline!U9,Database_Asfalt_Aanlegset[#All],60,FALSE)/8)),0),0)</f>
        <v>0</v>
      </c>
      <c r="E637" s="135">
        <f>IFERROR(IF(Baseline!C9="Nieuwe situatie",Baseline!I9/Baseline!X9,0),0)</f>
        <v>0</v>
      </c>
      <c r="F637" s="138">
        <f>_xlfn.IFNA(IF(Baseline!C9="Bestaande situatie",Baseline!Q9/(VLOOKUP(Baseline!Y9,Database_Asfalt_Verwijderset[#All],60,FALSE)/8),0),0)</f>
        <v>0</v>
      </c>
      <c r="G637" s="138">
        <f>IFERROR(IF(Baseline!C9="Bestaande situatie",Baseline!I9/Baseline!AB9,0),0)</f>
        <v>32</v>
      </c>
      <c r="H637" s="138" t="str">
        <f>_xlfn.IFNA((VLOOKUP(Baseline!U9,Database_Asfalt_Aanlegset[],61,FALSE)),"Nee")</f>
        <v>Nee</v>
      </c>
      <c r="I637" s="138" t="str">
        <f>_xlfn.IFNA((VLOOKUP(Baseline!V9,Database_Brandstoffen[],60,FALSE)),"Nee")</f>
        <v>Nee</v>
      </c>
      <c r="J637" s="94" t="str">
        <f>_xlfn.IFNA((VLOOKUP(Baseline!Y9,Database_Asfalt_Verwijderset[],61,FALSE)),"Nee")</f>
        <v>Nee</v>
      </c>
      <c r="K637" s="94" t="str">
        <f>_xlfn.IFNA((VLOOKUP(Baseline!Z9,Database_Brandstoffen[],60,FALSE)),"Nee")</f>
        <v>Nee</v>
      </c>
      <c r="L637" s="124">
        <f>IF(Referentie_Bouwplaats_Totaal[[#This Row],[Emissieloos Asfalt Aanlegset]]="JA",Referentie_Bouwplaats_Totaal[[#This Row],[Draaiuren Bouw Asfalt]],0)+IF(Referentie_Bouwplaats_Totaal[[#This Row],[Emissieloos Bouwmaterieel]]="JA",Referentie_Bouwplaats_Totaal[[#This Row],[Draaiuren Bouw Overig]],0)+IF(Referentie_Bouwplaats_Totaal[[#This Row],[Emissieloos Asfalt Verwijderset]]="JA",Referentie_Bouwplaats_Totaal[[#This Row],[Draaiuren Verwijder Asfalt]],0)+IF(Referentie_Bouwplaats_Totaal[[#This Row],[Emissieloos Sloopmaterieel]]="JA",Referentie_Bouwplaats_Totaal[[#This Row],[Draaiuren Verwijder Overig]],0)</f>
        <v>0</v>
      </c>
      <c r="M637" s="124">
        <f>_xlfn.IFNA(IF(Baseline!C9="Nieuwe situatie",(Baseline!Q9/(VLOOKUP(Baseline!U9,Database_Asfalt_Aanlegset[#All],60,FALSE)/8)),0),0)*Baseline!R9</f>
        <v>0</v>
      </c>
      <c r="N637" s="124">
        <f>_xlfn.IFNA(IF(Baseline!C9="Nieuwe situatie",Baseline!O9/VLOOKUP(Baseline!V9,Database_Overig_Materieel[#All],8,FALSE),0),0)*Baseline!R9</f>
        <v>0</v>
      </c>
      <c r="O637" s="132">
        <f>_xlfn.IFNA(IF(Baseline!C9="Bestaande situatie",Baseline!Q9/(VLOOKUP(Baseline!Y9,Database_Asfalt_Verwijderset[#All],60,FALSE)/8),0),0)*Baseline!R9</f>
        <v>0</v>
      </c>
      <c r="P637" s="132">
        <f>_xlfn.IFNA(IF(Baseline!C9="Bestaande situatie",Baseline!O9/VLOOKUP(Baseline!Z9,Database_Overig_Materieel[#All],8,FALSE),0),0)*Baseline!R9</f>
        <v>0</v>
      </c>
      <c r="Q637" s="132">
        <f>IF(Referentie_Bouwplaats_Totaal[[#This Row],[Emissieloos Asfalt Aanlegset]]="JA",Referentie_Bouwplaats_Totaal[[#This Row],[Draaiuren Bouw Asfalt Vervangingen]],0)+IF(Referentie_Bouwplaats_Totaal[[#This Row],[Emissieloos Bouwmaterieel]]="JA",Referentie_Bouwplaats_Totaal[[#This Row],[Draaiuren Bouw Overig Vervangingen]],0)+IF(Referentie_Bouwplaats_Totaal[[#This Row],[Emissieloos Asfalt Verwijderset]]="JA",Referentie_Bouwplaats_Totaal[[#This Row],[Draaiuren Verwijder Asfalt Vervangingen]],0)+IF(Referentie_Bouwplaats_Totaal[[#This Row],[Emissieloos Sloopmaterieel]]="JA",Referentie_Bouwplaats_Totaal[[#This Row],[Draaiuren Verwijder Overig Vervangingen]],0)</f>
        <v>0</v>
      </c>
      <c r="R637" s="132">
        <f>Referentie_Bouwplaats_Totaal[[#This Row],[Emissieloos bouwplaats]]+Referentie_Bouwplaats_Totaal[[#This Row],[Emissieloos bouwplaats Vervangingen]]</f>
        <v>0</v>
      </c>
      <c r="S637" s="132">
        <f>(Referentie_Bouwplaats_Totaal[[#This Row],[Draaiuren Bouw Asfalt]]+Referentie_Bouwplaats_Totaal[[#This Row],[Draaiuren Bouw Overig]]+Referentie_Bouwplaats_Totaal[[#This Row],[Draaiuren Verwijder Asfalt]]+Referentie_Bouwplaats_Totaal[[#This Row],[Draaiuren Verwijder Overig]]+Referentie_Bouwplaats_Totaal[[#This Row],[Draaiuren Bouw Asfalt Vervangingen]]+Referentie_Bouwplaats_Totaal[[#This Row],[Draaiuren Bouw Overig Vervangingen]]+Referentie_Bouwplaats_Totaal[[#This Row],[Draaiuren Verwijder Asfalt Vervangingen]]+Referentie_Bouwplaats_Totaal[[#This Row],[Draaiuren Verwijder Overig Vervangingen]]-Referentie_Bouwplaats_Totaal[[#This Row],[Totaal Emissieloos Bouwplaats]])</f>
        <v>32</v>
      </c>
      <c r="T637" s="132">
        <f>Referentie_Bouwplaats_Totaal[[#This Row],[Totaal Emissieloos Bouwplaats]]+Referentie_Bouwplaats_Totaal[[#This Row],[Totaal Niet Emissieloos Bouwplaats]]</f>
        <v>32</v>
      </c>
      <c r="U637" s="132"/>
      <c r="V637" s="13"/>
      <c r="W637" s="13"/>
      <c r="X637" s="13"/>
      <c r="Y637" s="13"/>
      <c r="Z637" s="13"/>
      <c r="AA637" s="13"/>
      <c r="AB637" s="13"/>
      <c r="AC637" s="13"/>
    </row>
    <row r="638" spans="2:29">
      <c r="B638" s="209" t="str">
        <f>Baseline!B10</f>
        <v>121320 - Opbreken straatbakstenen en geschikt maken voor hergebruik</v>
      </c>
      <c r="C638" s="51" t="str">
        <f>Baseline!F10</f>
        <v>Gebakken klinker keiformaat</v>
      </c>
      <c r="D638" s="134">
        <f>_xlfn.IFNA(IF(Baseline!C10="Nieuwe situatie",(Baseline!Q10/(VLOOKUP(Baseline!U10,Database_Asfalt_Aanlegset[#All],60,FALSE)/8)),0),0)</f>
        <v>0</v>
      </c>
      <c r="E638" s="135">
        <f>IFERROR(IF(Baseline!C10="Nieuwe situatie",Baseline!I10/Baseline!X10,0),0)</f>
        <v>0</v>
      </c>
      <c r="F638" s="138">
        <f>_xlfn.IFNA(IF(Baseline!C10="Bestaande situatie",Baseline!Q10/(VLOOKUP(Baseline!Y10,Database_Asfalt_Verwijderset[#All],60,FALSE)/8),0),0)</f>
        <v>0</v>
      </c>
      <c r="G638" s="138">
        <f>IFERROR(IF(Baseline!C10="Bestaande situatie",Baseline!I10/Baseline!AB10,0),0)</f>
        <v>74.2</v>
      </c>
      <c r="H638" s="138" t="str">
        <f>_xlfn.IFNA((VLOOKUP(Baseline!U10,Database_Asfalt_Aanlegset[],61,FALSE)),"Nee")</f>
        <v>Nee</v>
      </c>
      <c r="I638" s="138" t="str">
        <f>_xlfn.IFNA((VLOOKUP(Baseline!V10,Database_Brandstoffen[],60,FALSE)),"Nee")</f>
        <v>Nee</v>
      </c>
      <c r="J638" s="94" t="str">
        <f>_xlfn.IFNA((VLOOKUP(Baseline!Y10,Database_Asfalt_Verwijderset[],61,FALSE)),"Nee")</f>
        <v>Nee</v>
      </c>
      <c r="K638" s="94" t="str">
        <f>_xlfn.IFNA((VLOOKUP(Baseline!Z10,Database_Brandstoffen[],60,FALSE)),"Nee")</f>
        <v>Nee</v>
      </c>
      <c r="L638" s="124">
        <f>IF(Referentie_Bouwplaats_Totaal[[#This Row],[Emissieloos Asfalt Aanlegset]]="JA",Referentie_Bouwplaats_Totaal[[#This Row],[Draaiuren Bouw Asfalt]],0)+IF(Referentie_Bouwplaats_Totaal[[#This Row],[Emissieloos Bouwmaterieel]]="JA",Referentie_Bouwplaats_Totaal[[#This Row],[Draaiuren Bouw Overig]],0)+IF(Referentie_Bouwplaats_Totaal[[#This Row],[Emissieloos Asfalt Verwijderset]]="JA",Referentie_Bouwplaats_Totaal[[#This Row],[Draaiuren Verwijder Asfalt]],0)+IF(Referentie_Bouwplaats_Totaal[[#This Row],[Emissieloos Sloopmaterieel]]="JA",Referentie_Bouwplaats_Totaal[[#This Row],[Draaiuren Verwijder Overig]],0)</f>
        <v>0</v>
      </c>
      <c r="M638" s="124">
        <f>_xlfn.IFNA(IF(Baseline!C10="Nieuwe situatie",(Baseline!Q10/(VLOOKUP(Baseline!U10,Database_Asfalt_Aanlegset[#All],60,FALSE)/8)),0),0)*Baseline!R10</f>
        <v>0</v>
      </c>
      <c r="N638" s="124">
        <f>_xlfn.IFNA(IF(Baseline!C10="Nieuwe situatie",Baseline!O10/VLOOKUP(Baseline!V10,Database_Overig_Materieel[#All],8,FALSE),0),0)*Baseline!R10</f>
        <v>0</v>
      </c>
      <c r="O638" s="132">
        <f>_xlfn.IFNA(IF(Baseline!C10="Bestaande situatie",Baseline!Q10/(VLOOKUP(Baseline!Y10,Database_Asfalt_Verwijderset[#All],60,FALSE)/8),0),0)*Baseline!R10</f>
        <v>0</v>
      </c>
      <c r="P638" s="132">
        <f>_xlfn.IFNA(IF(Baseline!C10="Bestaande situatie",Baseline!O10/VLOOKUP(Baseline!Z10,Database_Overig_Materieel[#All],8,FALSE),0),0)*Baseline!R10</f>
        <v>0</v>
      </c>
      <c r="Q638" s="132">
        <f>IF(Referentie_Bouwplaats_Totaal[[#This Row],[Emissieloos Asfalt Aanlegset]]="JA",Referentie_Bouwplaats_Totaal[[#This Row],[Draaiuren Bouw Asfalt Vervangingen]],0)+IF(Referentie_Bouwplaats_Totaal[[#This Row],[Emissieloos Bouwmaterieel]]="JA",Referentie_Bouwplaats_Totaal[[#This Row],[Draaiuren Bouw Overig Vervangingen]],0)+IF(Referentie_Bouwplaats_Totaal[[#This Row],[Emissieloos Asfalt Verwijderset]]="JA",Referentie_Bouwplaats_Totaal[[#This Row],[Draaiuren Verwijder Asfalt Vervangingen]],0)+IF(Referentie_Bouwplaats_Totaal[[#This Row],[Emissieloos Sloopmaterieel]]="JA",Referentie_Bouwplaats_Totaal[[#This Row],[Draaiuren Verwijder Overig Vervangingen]],0)</f>
        <v>0</v>
      </c>
      <c r="R638" s="132">
        <f>Referentie_Bouwplaats_Totaal[[#This Row],[Emissieloos bouwplaats]]+Referentie_Bouwplaats_Totaal[[#This Row],[Emissieloos bouwplaats Vervangingen]]</f>
        <v>0</v>
      </c>
      <c r="S638" s="132">
        <f>(Referentie_Bouwplaats_Totaal[[#This Row],[Draaiuren Bouw Asfalt]]+Referentie_Bouwplaats_Totaal[[#This Row],[Draaiuren Bouw Overig]]+Referentie_Bouwplaats_Totaal[[#This Row],[Draaiuren Verwijder Asfalt]]+Referentie_Bouwplaats_Totaal[[#This Row],[Draaiuren Verwijder Overig]]+Referentie_Bouwplaats_Totaal[[#This Row],[Draaiuren Bouw Asfalt Vervangingen]]+Referentie_Bouwplaats_Totaal[[#This Row],[Draaiuren Bouw Overig Vervangingen]]+Referentie_Bouwplaats_Totaal[[#This Row],[Draaiuren Verwijder Asfalt Vervangingen]]+Referentie_Bouwplaats_Totaal[[#This Row],[Draaiuren Verwijder Overig Vervangingen]]-Referentie_Bouwplaats_Totaal[[#This Row],[Totaal Emissieloos Bouwplaats]])</f>
        <v>74.2</v>
      </c>
      <c r="T638" s="132">
        <f>Referentie_Bouwplaats_Totaal[[#This Row],[Totaal Emissieloos Bouwplaats]]+Referentie_Bouwplaats_Totaal[[#This Row],[Totaal Niet Emissieloos Bouwplaats]]</f>
        <v>74.2</v>
      </c>
      <c r="U638" s="132"/>
      <c r="V638" s="13"/>
      <c r="W638" s="13"/>
      <c r="X638" s="13"/>
      <c r="Y638" s="13"/>
      <c r="Z638" s="13"/>
      <c r="AA638" s="13"/>
      <c r="AB638" s="13"/>
      <c r="AC638" s="13"/>
    </row>
    <row r="639" spans="2:29">
      <c r="B639" s="209" t="str">
        <f>Baseline!B11</f>
        <v>121330 - Opbreken en afvoeren straatbakstenen</v>
      </c>
      <c r="C639" s="51" t="str">
        <f>Baseline!F11</f>
        <v>Gebakken klinker keiformaat (hergebruik)</v>
      </c>
      <c r="D639" s="134">
        <f>_xlfn.IFNA(IF(Baseline!C11="Nieuwe situatie",(Baseline!Q11/(VLOOKUP(Baseline!U11,Database_Asfalt_Aanlegset[#All],60,FALSE)/8)),0),0)</f>
        <v>0</v>
      </c>
      <c r="E639" s="135">
        <f>IFERROR(IF(Baseline!C11="Nieuwe situatie",Baseline!I11/Baseline!X11,0),0)</f>
        <v>0</v>
      </c>
      <c r="F639" s="138">
        <f>_xlfn.IFNA(IF(Baseline!C11="Bestaande situatie",Baseline!Q11/(VLOOKUP(Baseline!Y11,Database_Asfalt_Verwijderset[#All],60,FALSE)/8),0),0)</f>
        <v>0</v>
      </c>
      <c r="G639" s="138">
        <f>IFERROR(IF(Baseline!C11="Bestaande situatie",Baseline!I11/Baseline!AB11,0),0)</f>
        <v>37.76</v>
      </c>
      <c r="H639" s="138" t="str">
        <f>_xlfn.IFNA((VLOOKUP(Baseline!U11,Database_Asfalt_Aanlegset[],61,FALSE)),"Nee")</f>
        <v>Nee</v>
      </c>
      <c r="I639" s="138" t="str">
        <f>_xlfn.IFNA((VLOOKUP(Baseline!V11,Database_Brandstoffen[],60,FALSE)),"Nee")</f>
        <v>Nee</v>
      </c>
      <c r="J639" s="94" t="str">
        <f>_xlfn.IFNA((VLOOKUP(Baseline!Y11,Database_Asfalt_Verwijderset[],61,FALSE)),"Nee")</f>
        <v>Nee</v>
      </c>
      <c r="K639" s="94" t="str">
        <f>_xlfn.IFNA((VLOOKUP(Baseline!Z11,Database_Brandstoffen[],60,FALSE)),"Nee")</f>
        <v>Nee</v>
      </c>
      <c r="L639" s="124">
        <f>IF(Referentie_Bouwplaats_Totaal[[#This Row],[Emissieloos Asfalt Aanlegset]]="JA",Referentie_Bouwplaats_Totaal[[#This Row],[Draaiuren Bouw Asfalt]],0)+IF(Referentie_Bouwplaats_Totaal[[#This Row],[Emissieloos Bouwmaterieel]]="JA",Referentie_Bouwplaats_Totaal[[#This Row],[Draaiuren Bouw Overig]],0)+IF(Referentie_Bouwplaats_Totaal[[#This Row],[Emissieloos Asfalt Verwijderset]]="JA",Referentie_Bouwplaats_Totaal[[#This Row],[Draaiuren Verwijder Asfalt]],0)+IF(Referentie_Bouwplaats_Totaal[[#This Row],[Emissieloos Sloopmaterieel]]="JA",Referentie_Bouwplaats_Totaal[[#This Row],[Draaiuren Verwijder Overig]],0)</f>
        <v>0</v>
      </c>
      <c r="M639" s="124">
        <f>_xlfn.IFNA(IF(Baseline!C11="Nieuwe situatie",(Baseline!Q11/(VLOOKUP(Baseline!U11,Database_Asfalt_Aanlegset[#All],60,FALSE)/8)),0),0)*Baseline!R11</f>
        <v>0</v>
      </c>
      <c r="N639" s="124">
        <f>_xlfn.IFNA(IF(Baseline!C11="Nieuwe situatie",Baseline!O11/VLOOKUP(Baseline!V11,Database_Overig_Materieel[#All],8,FALSE),0),0)*Baseline!R11</f>
        <v>0</v>
      </c>
      <c r="O639" s="132">
        <f>_xlfn.IFNA(IF(Baseline!C11="Bestaande situatie",Baseline!Q11/(VLOOKUP(Baseline!Y11,Database_Asfalt_Verwijderset[#All],60,FALSE)/8),0),0)*Baseline!R11</f>
        <v>0</v>
      </c>
      <c r="P639" s="132">
        <f>_xlfn.IFNA(IF(Baseline!C11="Bestaande situatie",Baseline!O11/VLOOKUP(Baseline!Z11,Database_Overig_Materieel[#All],8,FALSE),0),0)*Baseline!R11</f>
        <v>0</v>
      </c>
      <c r="Q639" s="132">
        <f>IF(Referentie_Bouwplaats_Totaal[[#This Row],[Emissieloos Asfalt Aanlegset]]="JA",Referentie_Bouwplaats_Totaal[[#This Row],[Draaiuren Bouw Asfalt Vervangingen]],0)+IF(Referentie_Bouwplaats_Totaal[[#This Row],[Emissieloos Bouwmaterieel]]="JA",Referentie_Bouwplaats_Totaal[[#This Row],[Draaiuren Bouw Overig Vervangingen]],0)+IF(Referentie_Bouwplaats_Totaal[[#This Row],[Emissieloos Asfalt Verwijderset]]="JA",Referentie_Bouwplaats_Totaal[[#This Row],[Draaiuren Verwijder Asfalt Vervangingen]],0)+IF(Referentie_Bouwplaats_Totaal[[#This Row],[Emissieloos Sloopmaterieel]]="JA",Referentie_Bouwplaats_Totaal[[#This Row],[Draaiuren Verwijder Overig Vervangingen]],0)</f>
        <v>0</v>
      </c>
      <c r="R639" s="132">
        <f>Referentie_Bouwplaats_Totaal[[#This Row],[Emissieloos bouwplaats]]+Referentie_Bouwplaats_Totaal[[#This Row],[Emissieloos bouwplaats Vervangingen]]</f>
        <v>0</v>
      </c>
      <c r="S639" s="132">
        <f>(Referentie_Bouwplaats_Totaal[[#This Row],[Draaiuren Bouw Asfalt]]+Referentie_Bouwplaats_Totaal[[#This Row],[Draaiuren Bouw Overig]]+Referentie_Bouwplaats_Totaal[[#This Row],[Draaiuren Verwijder Asfalt]]+Referentie_Bouwplaats_Totaal[[#This Row],[Draaiuren Verwijder Overig]]+Referentie_Bouwplaats_Totaal[[#This Row],[Draaiuren Bouw Asfalt Vervangingen]]+Referentie_Bouwplaats_Totaal[[#This Row],[Draaiuren Bouw Overig Vervangingen]]+Referentie_Bouwplaats_Totaal[[#This Row],[Draaiuren Verwijder Asfalt Vervangingen]]+Referentie_Bouwplaats_Totaal[[#This Row],[Draaiuren Verwijder Overig Vervangingen]]-Referentie_Bouwplaats_Totaal[[#This Row],[Totaal Emissieloos Bouwplaats]])</f>
        <v>37.76</v>
      </c>
      <c r="T639" s="132">
        <f>Referentie_Bouwplaats_Totaal[[#This Row],[Totaal Emissieloos Bouwplaats]]+Referentie_Bouwplaats_Totaal[[#This Row],[Totaal Niet Emissieloos Bouwplaats]]</f>
        <v>37.76</v>
      </c>
      <c r="U639" s="132"/>
      <c r="V639" s="13"/>
      <c r="W639" s="13"/>
      <c r="X639" s="13"/>
      <c r="Y639" s="13"/>
      <c r="Z639" s="13"/>
      <c r="AA639" s="13"/>
      <c r="AB639" s="13"/>
      <c r="AC639" s="13"/>
    </row>
    <row r="640" spans="2:29">
      <c r="B640" s="209" t="str">
        <f>Baseline!B12</f>
        <v>121340 - Opbreken betontegels 300x300x45mm</v>
      </c>
      <c r="C640" s="51" t="str">
        <f>Baseline!F12</f>
        <v>Betontegel 300x300x45</v>
      </c>
      <c r="D640" s="134">
        <f>_xlfn.IFNA(IF(Baseline!C12="Nieuwe situatie",(Baseline!Q12/(VLOOKUP(Baseline!U12,Database_Asfalt_Aanlegset[#All],60,FALSE)/8)),0),0)</f>
        <v>0</v>
      </c>
      <c r="E640" s="135">
        <f>IFERROR(IF(Baseline!C12="Nieuwe situatie",Baseline!I12/Baseline!X12,0),0)</f>
        <v>0</v>
      </c>
      <c r="F640" s="138">
        <f>_xlfn.IFNA(IF(Baseline!C12="Bestaande situatie",Baseline!Q12/(VLOOKUP(Baseline!Y12,Database_Asfalt_Verwijderset[#All],60,FALSE)/8),0),0)</f>
        <v>0</v>
      </c>
      <c r="G640" s="138">
        <f>IFERROR(IF(Baseline!C12="Bestaande situatie",Baseline!I12/Baseline!AB12,0),0)</f>
        <v>200.3</v>
      </c>
      <c r="H640" s="138" t="str">
        <f>_xlfn.IFNA((VLOOKUP(Baseline!U12,Database_Asfalt_Aanlegset[],61,FALSE)),"Nee")</f>
        <v>Nee</v>
      </c>
      <c r="I640" s="138" t="str">
        <f>_xlfn.IFNA((VLOOKUP(Baseline!V12,Database_Brandstoffen[],60,FALSE)),"Nee")</f>
        <v>Nee</v>
      </c>
      <c r="J640" s="94" t="str">
        <f>_xlfn.IFNA((VLOOKUP(Baseline!Y12,Database_Asfalt_Verwijderset[],61,FALSE)),"Nee")</f>
        <v>Nee</v>
      </c>
      <c r="K640" s="94" t="str">
        <f>_xlfn.IFNA((VLOOKUP(Baseline!Z12,Database_Brandstoffen[],60,FALSE)),"Nee")</f>
        <v>Nee</v>
      </c>
      <c r="L640" s="124">
        <f>IF(Referentie_Bouwplaats_Totaal[[#This Row],[Emissieloos Asfalt Aanlegset]]="JA",Referentie_Bouwplaats_Totaal[[#This Row],[Draaiuren Bouw Asfalt]],0)+IF(Referentie_Bouwplaats_Totaal[[#This Row],[Emissieloos Bouwmaterieel]]="JA",Referentie_Bouwplaats_Totaal[[#This Row],[Draaiuren Bouw Overig]],0)+IF(Referentie_Bouwplaats_Totaal[[#This Row],[Emissieloos Asfalt Verwijderset]]="JA",Referentie_Bouwplaats_Totaal[[#This Row],[Draaiuren Verwijder Asfalt]],0)+IF(Referentie_Bouwplaats_Totaal[[#This Row],[Emissieloos Sloopmaterieel]]="JA",Referentie_Bouwplaats_Totaal[[#This Row],[Draaiuren Verwijder Overig]],0)</f>
        <v>0</v>
      </c>
      <c r="M640" s="124">
        <f>_xlfn.IFNA(IF(Baseline!C12="Nieuwe situatie",(Baseline!Q12/(VLOOKUP(Baseline!U12,Database_Asfalt_Aanlegset[#All],60,FALSE)/8)),0),0)*Baseline!R12</f>
        <v>0</v>
      </c>
      <c r="N640" s="124">
        <f>_xlfn.IFNA(IF(Baseline!C12="Nieuwe situatie",Baseline!O12/VLOOKUP(Baseline!V12,Database_Overig_Materieel[#All],8,FALSE),0),0)*Baseline!R12</f>
        <v>0</v>
      </c>
      <c r="O640" s="132">
        <f>_xlfn.IFNA(IF(Baseline!C12="Bestaande situatie",Baseline!Q12/(VLOOKUP(Baseline!Y12,Database_Asfalt_Verwijderset[#All],60,FALSE)/8),0),0)*Baseline!R12</f>
        <v>0</v>
      </c>
      <c r="P640" s="132">
        <f>_xlfn.IFNA(IF(Baseline!C12="Bestaande situatie",Baseline!O12/VLOOKUP(Baseline!Z12,Database_Overig_Materieel[#All],8,FALSE),0),0)*Baseline!R12</f>
        <v>0</v>
      </c>
      <c r="Q640" s="132">
        <f>IF(Referentie_Bouwplaats_Totaal[[#This Row],[Emissieloos Asfalt Aanlegset]]="JA",Referentie_Bouwplaats_Totaal[[#This Row],[Draaiuren Bouw Asfalt Vervangingen]],0)+IF(Referentie_Bouwplaats_Totaal[[#This Row],[Emissieloos Bouwmaterieel]]="JA",Referentie_Bouwplaats_Totaal[[#This Row],[Draaiuren Bouw Overig Vervangingen]],0)+IF(Referentie_Bouwplaats_Totaal[[#This Row],[Emissieloos Asfalt Verwijderset]]="JA",Referentie_Bouwplaats_Totaal[[#This Row],[Draaiuren Verwijder Asfalt Vervangingen]],0)+IF(Referentie_Bouwplaats_Totaal[[#This Row],[Emissieloos Sloopmaterieel]]="JA",Referentie_Bouwplaats_Totaal[[#This Row],[Draaiuren Verwijder Overig Vervangingen]],0)</f>
        <v>0</v>
      </c>
      <c r="R640" s="132">
        <f>Referentie_Bouwplaats_Totaal[[#This Row],[Emissieloos bouwplaats]]+Referentie_Bouwplaats_Totaal[[#This Row],[Emissieloos bouwplaats Vervangingen]]</f>
        <v>0</v>
      </c>
      <c r="S640" s="132">
        <f>(Referentie_Bouwplaats_Totaal[[#This Row],[Draaiuren Bouw Asfalt]]+Referentie_Bouwplaats_Totaal[[#This Row],[Draaiuren Bouw Overig]]+Referentie_Bouwplaats_Totaal[[#This Row],[Draaiuren Verwijder Asfalt]]+Referentie_Bouwplaats_Totaal[[#This Row],[Draaiuren Verwijder Overig]]+Referentie_Bouwplaats_Totaal[[#This Row],[Draaiuren Bouw Asfalt Vervangingen]]+Referentie_Bouwplaats_Totaal[[#This Row],[Draaiuren Bouw Overig Vervangingen]]+Referentie_Bouwplaats_Totaal[[#This Row],[Draaiuren Verwijder Asfalt Vervangingen]]+Referentie_Bouwplaats_Totaal[[#This Row],[Draaiuren Verwijder Overig Vervangingen]]-Referentie_Bouwplaats_Totaal[[#This Row],[Totaal Emissieloos Bouwplaats]])</f>
        <v>200.3</v>
      </c>
      <c r="T640" s="132">
        <f>Referentie_Bouwplaats_Totaal[[#This Row],[Totaal Emissieloos Bouwplaats]]+Referentie_Bouwplaats_Totaal[[#This Row],[Totaal Niet Emissieloos Bouwplaats]]</f>
        <v>200.3</v>
      </c>
      <c r="U640" s="132"/>
      <c r="V640" s="13"/>
      <c r="W640" s="13"/>
      <c r="X640" s="13"/>
      <c r="Y640" s="13"/>
      <c r="Z640" s="13"/>
      <c r="AA640" s="13"/>
      <c r="AB640" s="13"/>
      <c r="AC640" s="13"/>
    </row>
    <row r="641" spans="2:29">
      <c r="B641" s="209" t="str">
        <f>Baseline!B13</f>
        <v>121410 - Opbreken en afvoeren asfaltverharding zwart teervrij</v>
      </c>
      <c r="C641" s="51" t="str">
        <f>Baseline!F13</f>
        <v>AC bin/base 50% PR - PCR 2.0</v>
      </c>
      <c r="D641" s="134">
        <f>_xlfn.IFNA(IF(Baseline!C13="Nieuwe situatie",(Baseline!Q13/(VLOOKUP(Baseline!U13,Database_Asfalt_Aanlegset[#All],60,FALSE)/8)),0),0)</f>
        <v>0</v>
      </c>
      <c r="E641" s="135">
        <f>IFERROR(IF(Baseline!C13="Nieuwe situatie",Baseline!I13/Baseline!X13,0),0)</f>
        <v>0</v>
      </c>
      <c r="F641" s="138">
        <f>_xlfn.IFNA(IF(Baseline!C13="Bestaande situatie",Baseline!Q13/(VLOOKUP(Baseline!Y13,Database_Asfalt_Verwijderset[#All],60,FALSE)/8),0),0)</f>
        <v>52.5</v>
      </c>
      <c r="G641" s="138">
        <f>IFERROR(IF(Baseline!C13="Bestaande situatie",Baseline!I13/Baseline!AB13,0),0)</f>
        <v>0</v>
      </c>
      <c r="H641" s="138" t="str">
        <f>_xlfn.IFNA((VLOOKUP(Baseline!U13,Database_Asfalt_Aanlegset[],61,FALSE)),"Nee")</f>
        <v>Nee</v>
      </c>
      <c r="I641" s="138" t="str">
        <f>_xlfn.IFNA((VLOOKUP(Baseline!V13,Database_Brandstoffen[],60,FALSE)),"Nee")</f>
        <v>Nee</v>
      </c>
      <c r="J641" s="94" t="str">
        <f>_xlfn.IFNA((VLOOKUP(Baseline!Y13,Database_Asfalt_Verwijderset[],61,FALSE)),"Nee")</f>
        <v>Nee</v>
      </c>
      <c r="K641" s="94" t="str">
        <f>_xlfn.IFNA((VLOOKUP(Baseline!Z13,Database_Brandstoffen[],60,FALSE)),"Nee")</f>
        <v>Nee</v>
      </c>
      <c r="L641" s="124">
        <f>IF(Referentie_Bouwplaats_Totaal[[#This Row],[Emissieloos Asfalt Aanlegset]]="JA",Referentie_Bouwplaats_Totaal[[#This Row],[Draaiuren Bouw Asfalt]],0)+IF(Referentie_Bouwplaats_Totaal[[#This Row],[Emissieloos Bouwmaterieel]]="JA",Referentie_Bouwplaats_Totaal[[#This Row],[Draaiuren Bouw Overig]],0)+IF(Referentie_Bouwplaats_Totaal[[#This Row],[Emissieloos Asfalt Verwijderset]]="JA",Referentie_Bouwplaats_Totaal[[#This Row],[Draaiuren Verwijder Asfalt]],0)+IF(Referentie_Bouwplaats_Totaal[[#This Row],[Emissieloos Sloopmaterieel]]="JA",Referentie_Bouwplaats_Totaal[[#This Row],[Draaiuren Verwijder Overig]],0)</f>
        <v>0</v>
      </c>
      <c r="M641" s="124">
        <f>_xlfn.IFNA(IF(Baseline!C13="Nieuwe situatie",(Baseline!Q13/(VLOOKUP(Baseline!U13,Database_Asfalt_Aanlegset[#All],60,FALSE)/8)),0),0)*Baseline!R13</f>
        <v>0</v>
      </c>
      <c r="N641" s="124">
        <f>_xlfn.IFNA(IF(Baseline!C13="Nieuwe situatie",Baseline!O13/VLOOKUP(Baseline!V13,Database_Overig_Materieel[#All],8,FALSE),0),0)*Baseline!R13</f>
        <v>0</v>
      </c>
      <c r="O641" s="132">
        <f>_xlfn.IFNA(IF(Baseline!C13="Bestaande situatie",Baseline!Q13/(VLOOKUP(Baseline!Y13,Database_Asfalt_Verwijderset[#All],60,FALSE)/8),0),0)*Baseline!R13</f>
        <v>0</v>
      </c>
      <c r="P641" s="132">
        <f>_xlfn.IFNA(IF(Baseline!C13="Bestaande situatie",Baseline!O13/VLOOKUP(Baseline!Z13,Database_Overig_Materieel[#All],8,FALSE),0),0)*Baseline!R13</f>
        <v>0</v>
      </c>
      <c r="Q641" s="132">
        <f>IF(Referentie_Bouwplaats_Totaal[[#This Row],[Emissieloos Asfalt Aanlegset]]="JA",Referentie_Bouwplaats_Totaal[[#This Row],[Draaiuren Bouw Asfalt Vervangingen]],0)+IF(Referentie_Bouwplaats_Totaal[[#This Row],[Emissieloos Bouwmaterieel]]="JA",Referentie_Bouwplaats_Totaal[[#This Row],[Draaiuren Bouw Overig Vervangingen]],0)+IF(Referentie_Bouwplaats_Totaal[[#This Row],[Emissieloos Asfalt Verwijderset]]="JA",Referentie_Bouwplaats_Totaal[[#This Row],[Draaiuren Verwijder Asfalt Vervangingen]],0)+IF(Referentie_Bouwplaats_Totaal[[#This Row],[Emissieloos Sloopmaterieel]]="JA",Referentie_Bouwplaats_Totaal[[#This Row],[Draaiuren Verwijder Overig Vervangingen]],0)</f>
        <v>0</v>
      </c>
      <c r="R641" s="132">
        <f>Referentie_Bouwplaats_Totaal[[#This Row],[Emissieloos bouwplaats]]+Referentie_Bouwplaats_Totaal[[#This Row],[Emissieloos bouwplaats Vervangingen]]</f>
        <v>0</v>
      </c>
      <c r="S641" s="132">
        <f>(Referentie_Bouwplaats_Totaal[[#This Row],[Draaiuren Bouw Asfalt]]+Referentie_Bouwplaats_Totaal[[#This Row],[Draaiuren Bouw Overig]]+Referentie_Bouwplaats_Totaal[[#This Row],[Draaiuren Verwijder Asfalt]]+Referentie_Bouwplaats_Totaal[[#This Row],[Draaiuren Verwijder Overig]]+Referentie_Bouwplaats_Totaal[[#This Row],[Draaiuren Bouw Asfalt Vervangingen]]+Referentie_Bouwplaats_Totaal[[#This Row],[Draaiuren Bouw Overig Vervangingen]]+Referentie_Bouwplaats_Totaal[[#This Row],[Draaiuren Verwijder Asfalt Vervangingen]]+Referentie_Bouwplaats_Totaal[[#This Row],[Draaiuren Verwijder Overig Vervangingen]]-Referentie_Bouwplaats_Totaal[[#This Row],[Totaal Emissieloos Bouwplaats]])</f>
        <v>52.5</v>
      </c>
      <c r="T641" s="132">
        <f>Referentie_Bouwplaats_Totaal[[#This Row],[Totaal Emissieloos Bouwplaats]]+Referentie_Bouwplaats_Totaal[[#This Row],[Totaal Niet Emissieloos Bouwplaats]]</f>
        <v>52.5</v>
      </c>
      <c r="U641" s="132"/>
      <c r="V641" s="13"/>
      <c r="W641" s="13"/>
      <c r="X641" s="13"/>
      <c r="Y641" s="13"/>
      <c r="Z641" s="13"/>
      <c r="AA641" s="13"/>
      <c r="AB641" s="13"/>
      <c r="AC641" s="13"/>
    </row>
    <row r="642" spans="2:29">
      <c r="B642" s="209" t="str">
        <f>Baseline!B14</f>
        <v>121420 - Opbreken en afvoeren asfaltverharding rood teervrij</v>
      </c>
      <c r="C642" s="51" t="str">
        <f>Baseline!F14</f>
        <v>AC surf rood, met penbitumen - PCR 2.0</v>
      </c>
      <c r="D642" s="134">
        <f>_xlfn.IFNA(IF(Baseline!C14="Nieuwe situatie",(Baseline!Q14/(VLOOKUP(Baseline!U14,Database_Asfalt_Aanlegset[#All],60,FALSE)/8)),0),0)</f>
        <v>0</v>
      </c>
      <c r="E642" s="135">
        <f>IFERROR(IF(Baseline!C14="Nieuwe situatie",Baseline!I14/Baseline!X14,0),0)</f>
        <v>0</v>
      </c>
      <c r="F642" s="138">
        <f>_xlfn.IFNA(IF(Baseline!C14="Bestaande situatie",Baseline!Q14/(VLOOKUP(Baseline!Y14,Database_Asfalt_Verwijderset[#All],60,FALSE)/8),0),0)</f>
        <v>36</v>
      </c>
      <c r="G642" s="138">
        <f>IFERROR(IF(Baseline!C14="Bestaande situatie",Baseline!I14/Baseline!AB14,0),0)</f>
        <v>0</v>
      </c>
      <c r="H642" s="138" t="str">
        <f>_xlfn.IFNA((VLOOKUP(Baseline!U14,Database_Asfalt_Aanlegset[],61,FALSE)),"Nee")</f>
        <v>Nee</v>
      </c>
      <c r="I642" s="138" t="str">
        <f>_xlfn.IFNA((VLOOKUP(Baseline!V14,Database_Brandstoffen[],60,FALSE)),"Nee")</f>
        <v>Nee</v>
      </c>
      <c r="J642" s="94" t="str">
        <f>_xlfn.IFNA((VLOOKUP(Baseline!Y14,Database_Asfalt_Verwijderset[],61,FALSE)),"Nee")</f>
        <v>Nee</v>
      </c>
      <c r="K642" s="94" t="str">
        <f>_xlfn.IFNA((VLOOKUP(Baseline!Z14,Database_Brandstoffen[],60,FALSE)),"Nee")</f>
        <v>Nee</v>
      </c>
      <c r="L642" s="124">
        <f>IF(Referentie_Bouwplaats_Totaal[[#This Row],[Emissieloos Asfalt Aanlegset]]="JA",Referentie_Bouwplaats_Totaal[[#This Row],[Draaiuren Bouw Asfalt]],0)+IF(Referentie_Bouwplaats_Totaal[[#This Row],[Emissieloos Bouwmaterieel]]="JA",Referentie_Bouwplaats_Totaal[[#This Row],[Draaiuren Bouw Overig]],0)+IF(Referentie_Bouwplaats_Totaal[[#This Row],[Emissieloos Asfalt Verwijderset]]="JA",Referentie_Bouwplaats_Totaal[[#This Row],[Draaiuren Verwijder Asfalt]],0)+IF(Referentie_Bouwplaats_Totaal[[#This Row],[Emissieloos Sloopmaterieel]]="JA",Referentie_Bouwplaats_Totaal[[#This Row],[Draaiuren Verwijder Overig]],0)</f>
        <v>0</v>
      </c>
      <c r="M642" s="124">
        <f>_xlfn.IFNA(IF(Baseline!C14="Nieuwe situatie",(Baseline!Q14/(VLOOKUP(Baseline!U14,Database_Asfalt_Aanlegset[#All],60,FALSE)/8)),0),0)*Baseline!R14</f>
        <v>0</v>
      </c>
      <c r="N642" s="124">
        <f>_xlfn.IFNA(IF(Baseline!C14="Nieuwe situatie",Baseline!O14/VLOOKUP(Baseline!V14,Database_Overig_Materieel[#All],8,FALSE),0),0)*Baseline!R14</f>
        <v>0</v>
      </c>
      <c r="O642" s="132">
        <f>_xlfn.IFNA(IF(Baseline!C14="Bestaande situatie",Baseline!Q14/(VLOOKUP(Baseline!Y14,Database_Asfalt_Verwijderset[#All],60,FALSE)/8),0),0)*Baseline!R14</f>
        <v>0</v>
      </c>
      <c r="P642" s="132">
        <f>_xlfn.IFNA(IF(Baseline!C14="Bestaande situatie",Baseline!O14/VLOOKUP(Baseline!Z14,Database_Overig_Materieel[#All],8,FALSE),0),0)*Baseline!R14</f>
        <v>0</v>
      </c>
      <c r="Q642" s="132">
        <f>IF(Referentie_Bouwplaats_Totaal[[#This Row],[Emissieloos Asfalt Aanlegset]]="JA",Referentie_Bouwplaats_Totaal[[#This Row],[Draaiuren Bouw Asfalt Vervangingen]],0)+IF(Referentie_Bouwplaats_Totaal[[#This Row],[Emissieloos Bouwmaterieel]]="JA",Referentie_Bouwplaats_Totaal[[#This Row],[Draaiuren Bouw Overig Vervangingen]],0)+IF(Referentie_Bouwplaats_Totaal[[#This Row],[Emissieloos Asfalt Verwijderset]]="JA",Referentie_Bouwplaats_Totaal[[#This Row],[Draaiuren Verwijder Asfalt Vervangingen]],0)+IF(Referentie_Bouwplaats_Totaal[[#This Row],[Emissieloos Sloopmaterieel]]="JA",Referentie_Bouwplaats_Totaal[[#This Row],[Draaiuren Verwijder Overig Vervangingen]],0)</f>
        <v>0</v>
      </c>
      <c r="R642" s="132">
        <f>Referentie_Bouwplaats_Totaal[[#This Row],[Emissieloos bouwplaats]]+Referentie_Bouwplaats_Totaal[[#This Row],[Emissieloos bouwplaats Vervangingen]]</f>
        <v>0</v>
      </c>
      <c r="S642" s="132">
        <f>(Referentie_Bouwplaats_Totaal[[#This Row],[Draaiuren Bouw Asfalt]]+Referentie_Bouwplaats_Totaal[[#This Row],[Draaiuren Bouw Overig]]+Referentie_Bouwplaats_Totaal[[#This Row],[Draaiuren Verwijder Asfalt]]+Referentie_Bouwplaats_Totaal[[#This Row],[Draaiuren Verwijder Overig]]+Referentie_Bouwplaats_Totaal[[#This Row],[Draaiuren Bouw Asfalt Vervangingen]]+Referentie_Bouwplaats_Totaal[[#This Row],[Draaiuren Bouw Overig Vervangingen]]+Referentie_Bouwplaats_Totaal[[#This Row],[Draaiuren Verwijder Asfalt Vervangingen]]+Referentie_Bouwplaats_Totaal[[#This Row],[Draaiuren Verwijder Overig Vervangingen]]-Referentie_Bouwplaats_Totaal[[#This Row],[Totaal Emissieloos Bouwplaats]])</f>
        <v>36</v>
      </c>
      <c r="T642" s="132">
        <f>Referentie_Bouwplaats_Totaal[[#This Row],[Totaal Emissieloos Bouwplaats]]+Referentie_Bouwplaats_Totaal[[#This Row],[Totaal Niet Emissieloos Bouwplaats]]</f>
        <v>36</v>
      </c>
      <c r="U642" s="132"/>
      <c r="V642" s="13"/>
      <c r="W642" s="13"/>
      <c r="X642" s="13"/>
      <c r="Y642" s="13"/>
      <c r="Z642" s="13"/>
      <c r="AA642" s="13"/>
      <c r="AB642" s="13"/>
      <c r="AC642" s="13"/>
    </row>
    <row r="643" spans="2:29">
      <c r="B643" s="209" t="str">
        <f>Baseline!B15</f>
        <v>121510 - Opbreken fundering van menggranulaat, 400-200 mm dik</v>
      </c>
      <c r="C643" s="51" t="str">
        <f>Baseline!F15</f>
        <v>Menggranulaat 300mm</v>
      </c>
      <c r="D643" s="134">
        <f>_xlfn.IFNA(IF(Baseline!C15="Nieuwe situatie",(Baseline!Q15/(VLOOKUP(Baseline!U15,Database_Asfalt_Aanlegset[#All],60,FALSE)/8)),0),0)</f>
        <v>0</v>
      </c>
      <c r="E643" s="135">
        <f>IFERROR(IF(Baseline!C15="Nieuwe situatie",Baseline!I15/Baseline!X15,0),0)</f>
        <v>0</v>
      </c>
      <c r="F643" s="138">
        <f>_xlfn.IFNA(IF(Baseline!C15="Bestaande situatie",Baseline!Q15/(VLOOKUP(Baseline!Y15,Database_Asfalt_Verwijderset[#All],60,FALSE)/8),0),0)</f>
        <v>0</v>
      </c>
      <c r="G643" s="138">
        <f>IFERROR(IF(Baseline!C15="Bestaande situatie",Baseline!I15/Baseline!AB15,0),0)</f>
        <v>38.333333333333336</v>
      </c>
      <c r="H643" s="138" t="str">
        <f>_xlfn.IFNA((VLOOKUP(Baseline!U15,Database_Asfalt_Aanlegset[],61,FALSE)),"Nee")</f>
        <v>Nee</v>
      </c>
      <c r="I643" s="138" t="str">
        <f>_xlfn.IFNA((VLOOKUP(Baseline!V15,Database_Brandstoffen[],60,FALSE)),"Nee")</f>
        <v>Nee</v>
      </c>
      <c r="J643" s="94" t="str">
        <f>_xlfn.IFNA((VLOOKUP(Baseline!Y15,Database_Asfalt_Verwijderset[],61,FALSE)),"Nee")</f>
        <v>Nee</v>
      </c>
      <c r="K643" s="94" t="str">
        <f>_xlfn.IFNA((VLOOKUP(Baseline!Z15,Database_Brandstoffen[],60,FALSE)),"Nee")</f>
        <v>Nee</v>
      </c>
      <c r="L643" s="124">
        <f>IF(Referentie_Bouwplaats_Totaal[[#This Row],[Emissieloos Asfalt Aanlegset]]="JA",Referentie_Bouwplaats_Totaal[[#This Row],[Draaiuren Bouw Asfalt]],0)+IF(Referentie_Bouwplaats_Totaal[[#This Row],[Emissieloos Bouwmaterieel]]="JA",Referentie_Bouwplaats_Totaal[[#This Row],[Draaiuren Bouw Overig]],0)+IF(Referentie_Bouwplaats_Totaal[[#This Row],[Emissieloos Asfalt Verwijderset]]="JA",Referentie_Bouwplaats_Totaal[[#This Row],[Draaiuren Verwijder Asfalt]],0)+IF(Referentie_Bouwplaats_Totaal[[#This Row],[Emissieloos Sloopmaterieel]]="JA",Referentie_Bouwplaats_Totaal[[#This Row],[Draaiuren Verwijder Overig]],0)</f>
        <v>0</v>
      </c>
      <c r="M643" s="124">
        <f>_xlfn.IFNA(IF(Baseline!C15="Nieuwe situatie",(Baseline!Q15/(VLOOKUP(Baseline!U15,Database_Asfalt_Aanlegset[#All],60,FALSE)/8)),0),0)*Baseline!R15</f>
        <v>0</v>
      </c>
      <c r="N643" s="124">
        <f>_xlfn.IFNA(IF(Baseline!C15="Nieuwe situatie",Baseline!O15/VLOOKUP(Baseline!V15,Database_Overig_Materieel[#All],8,FALSE),0),0)*Baseline!R15</f>
        <v>0</v>
      </c>
      <c r="O643" s="132">
        <f>_xlfn.IFNA(IF(Baseline!C15="Bestaande situatie",Baseline!Q15/(VLOOKUP(Baseline!Y15,Database_Asfalt_Verwijderset[#All],60,FALSE)/8),0),0)*Baseline!R15</f>
        <v>0</v>
      </c>
      <c r="P643" s="132">
        <f>_xlfn.IFNA(IF(Baseline!C15="Bestaande situatie",Baseline!O15/VLOOKUP(Baseline!Z15,Database_Overig_Materieel[#All],8,FALSE),0),0)*Baseline!R15</f>
        <v>0</v>
      </c>
      <c r="Q643" s="132">
        <f>IF(Referentie_Bouwplaats_Totaal[[#This Row],[Emissieloos Asfalt Aanlegset]]="JA",Referentie_Bouwplaats_Totaal[[#This Row],[Draaiuren Bouw Asfalt Vervangingen]],0)+IF(Referentie_Bouwplaats_Totaal[[#This Row],[Emissieloos Bouwmaterieel]]="JA",Referentie_Bouwplaats_Totaal[[#This Row],[Draaiuren Bouw Overig Vervangingen]],0)+IF(Referentie_Bouwplaats_Totaal[[#This Row],[Emissieloos Asfalt Verwijderset]]="JA",Referentie_Bouwplaats_Totaal[[#This Row],[Draaiuren Verwijder Asfalt Vervangingen]],0)+IF(Referentie_Bouwplaats_Totaal[[#This Row],[Emissieloos Sloopmaterieel]]="JA",Referentie_Bouwplaats_Totaal[[#This Row],[Draaiuren Verwijder Overig Vervangingen]],0)</f>
        <v>0</v>
      </c>
      <c r="R643" s="132">
        <f>Referentie_Bouwplaats_Totaal[[#This Row],[Emissieloos bouwplaats]]+Referentie_Bouwplaats_Totaal[[#This Row],[Emissieloos bouwplaats Vervangingen]]</f>
        <v>0</v>
      </c>
      <c r="S643" s="132">
        <f>(Referentie_Bouwplaats_Totaal[[#This Row],[Draaiuren Bouw Asfalt]]+Referentie_Bouwplaats_Totaal[[#This Row],[Draaiuren Bouw Overig]]+Referentie_Bouwplaats_Totaal[[#This Row],[Draaiuren Verwijder Asfalt]]+Referentie_Bouwplaats_Totaal[[#This Row],[Draaiuren Verwijder Overig]]+Referentie_Bouwplaats_Totaal[[#This Row],[Draaiuren Bouw Asfalt Vervangingen]]+Referentie_Bouwplaats_Totaal[[#This Row],[Draaiuren Bouw Overig Vervangingen]]+Referentie_Bouwplaats_Totaal[[#This Row],[Draaiuren Verwijder Asfalt Vervangingen]]+Referentie_Bouwplaats_Totaal[[#This Row],[Draaiuren Verwijder Overig Vervangingen]]-Referentie_Bouwplaats_Totaal[[#This Row],[Totaal Emissieloos Bouwplaats]])</f>
        <v>38.333333333333336</v>
      </c>
      <c r="T643" s="132">
        <f>Referentie_Bouwplaats_Totaal[[#This Row],[Totaal Emissieloos Bouwplaats]]+Referentie_Bouwplaats_Totaal[[#This Row],[Totaal Niet Emissieloos Bouwplaats]]</f>
        <v>38.333333333333336</v>
      </c>
      <c r="U643" s="132"/>
      <c r="V643" s="13"/>
      <c r="W643" s="13"/>
      <c r="X643" s="13"/>
      <c r="Y643" s="13"/>
      <c r="Z643" s="13"/>
      <c r="AA643" s="13"/>
      <c r="AB643" s="13"/>
      <c r="AC643" s="13"/>
    </row>
    <row r="644" spans="2:29">
      <c r="B644" s="209" t="str">
        <f>Baseline!B16</f>
        <v>121520 - Opbreken fundering van slakken 200-400 mm dik</v>
      </c>
      <c r="C644" s="51" t="str">
        <f>Baseline!F16</f>
        <v>Fosforslakmengsel 200mm</v>
      </c>
      <c r="D644" s="134">
        <f>_xlfn.IFNA(IF(Baseline!C16="Nieuwe situatie",(Baseline!Q16/(VLOOKUP(Baseline!U16,Database_Asfalt_Aanlegset[#All],60,FALSE)/8)),0),0)</f>
        <v>0</v>
      </c>
      <c r="E644" s="135">
        <f>IFERROR(IF(Baseline!C16="Nieuwe situatie",Baseline!I16/Baseline!X16,0),0)</f>
        <v>0</v>
      </c>
      <c r="F644" s="138">
        <f>_xlfn.IFNA(IF(Baseline!C16="Bestaande situatie",Baseline!Q16/(VLOOKUP(Baseline!Y16,Database_Asfalt_Verwijderset[#All],60,FALSE)/8),0),0)</f>
        <v>0</v>
      </c>
      <c r="G644" s="138">
        <f>IFERROR(IF(Baseline!C16="Bestaande situatie",Baseline!I16/Baseline!AB16,0),0)</f>
        <v>17.5</v>
      </c>
      <c r="H644" s="138" t="str">
        <f>_xlfn.IFNA((VLOOKUP(Baseline!U16,Database_Asfalt_Aanlegset[],61,FALSE)),"Nee")</f>
        <v>Nee</v>
      </c>
      <c r="I644" s="138" t="str">
        <f>_xlfn.IFNA((VLOOKUP(Baseline!V16,Database_Brandstoffen[],60,FALSE)),"Nee")</f>
        <v>Nee</v>
      </c>
      <c r="J644" s="94" t="str">
        <f>_xlfn.IFNA((VLOOKUP(Baseline!Y16,Database_Asfalt_Verwijderset[],61,FALSE)),"Nee")</f>
        <v>Nee</v>
      </c>
      <c r="K644" s="94" t="str">
        <f>_xlfn.IFNA((VLOOKUP(Baseline!Z16,Database_Brandstoffen[],60,FALSE)),"Nee")</f>
        <v>Nee</v>
      </c>
      <c r="L644" s="124">
        <f>IF(Referentie_Bouwplaats_Totaal[[#This Row],[Emissieloos Asfalt Aanlegset]]="JA",Referentie_Bouwplaats_Totaal[[#This Row],[Draaiuren Bouw Asfalt]],0)+IF(Referentie_Bouwplaats_Totaal[[#This Row],[Emissieloos Bouwmaterieel]]="JA",Referentie_Bouwplaats_Totaal[[#This Row],[Draaiuren Bouw Overig]],0)+IF(Referentie_Bouwplaats_Totaal[[#This Row],[Emissieloos Asfalt Verwijderset]]="JA",Referentie_Bouwplaats_Totaal[[#This Row],[Draaiuren Verwijder Asfalt]],0)+IF(Referentie_Bouwplaats_Totaal[[#This Row],[Emissieloos Sloopmaterieel]]="JA",Referentie_Bouwplaats_Totaal[[#This Row],[Draaiuren Verwijder Overig]],0)</f>
        <v>0</v>
      </c>
      <c r="M644" s="124">
        <f>_xlfn.IFNA(IF(Baseline!C16="Nieuwe situatie",(Baseline!Q16/(VLOOKUP(Baseline!U16,Database_Asfalt_Aanlegset[#All],60,FALSE)/8)),0),0)*Baseline!R16</f>
        <v>0</v>
      </c>
      <c r="N644" s="124">
        <f>_xlfn.IFNA(IF(Baseline!C16="Nieuwe situatie",Baseline!O16/VLOOKUP(Baseline!V16,Database_Overig_Materieel[#All],8,FALSE),0),0)*Baseline!R16</f>
        <v>0</v>
      </c>
      <c r="O644" s="132">
        <f>_xlfn.IFNA(IF(Baseline!C16="Bestaande situatie",Baseline!Q16/(VLOOKUP(Baseline!Y16,Database_Asfalt_Verwijderset[#All],60,FALSE)/8),0),0)*Baseline!R16</f>
        <v>0</v>
      </c>
      <c r="P644" s="132">
        <f>_xlfn.IFNA(IF(Baseline!C16="Bestaande situatie",Baseline!O16/VLOOKUP(Baseline!Z16,Database_Overig_Materieel[#All],8,FALSE),0),0)*Baseline!R16</f>
        <v>0</v>
      </c>
      <c r="Q644" s="132">
        <f>IF(Referentie_Bouwplaats_Totaal[[#This Row],[Emissieloos Asfalt Aanlegset]]="JA",Referentie_Bouwplaats_Totaal[[#This Row],[Draaiuren Bouw Asfalt Vervangingen]],0)+IF(Referentie_Bouwplaats_Totaal[[#This Row],[Emissieloos Bouwmaterieel]]="JA",Referentie_Bouwplaats_Totaal[[#This Row],[Draaiuren Bouw Overig Vervangingen]],0)+IF(Referentie_Bouwplaats_Totaal[[#This Row],[Emissieloos Asfalt Verwijderset]]="JA",Referentie_Bouwplaats_Totaal[[#This Row],[Draaiuren Verwijder Asfalt Vervangingen]],0)+IF(Referentie_Bouwplaats_Totaal[[#This Row],[Emissieloos Sloopmaterieel]]="JA",Referentie_Bouwplaats_Totaal[[#This Row],[Draaiuren Verwijder Overig Vervangingen]],0)</f>
        <v>0</v>
      </c>
      <c r="R644" s="132">
        <f>Referentie_Bouwplaats_Totaal[[#This Row],[Emissieloos bouwplaats]]+Referentie_Bouwplaats_Totaal[[#This Row],[Emissieloos bouwplaats Vervangingen]]</f>
        <v>0</v>
      </c>
      <c r="S644" s="132">
        <f>(Referentie_Bouwplaats_Totaal[[#This Row],[Draaiuren Bouw Asfalt]]+Referentie_Bouwplaats_Totaal[[#This Row],[Draaiuren Bouw Overig]]+Referentie_Bouwplaats_Totaal[[#This Row],[Draaiuren Verwijder Asfalt]]+Referentie_Bouwplaats_Totaal[[#This Row],[Draaiuren Verwijder Overig]]+Referentie_Bouwplaats_Totaal[[#This Row],[Draaiuren Bouw Asfalt Vervangingen]]+Referentie_Bouwplaats_Totaal[[#This Row],[Draaiuren Bouw Overig Vervangingen]]+Referentie_Bouwplaats_Totaal[[#This Row],[Draaiuren Verwijder Asfalt Vervangingen]]+Referentie_Bouwplaats_Totaal[[#This Row],[Draaiuren Verwijder Overig Vervangingen]]-Referentie_Bouwplaats_Totaal[[#This Row],[Totaal Emissieloos Bouwplaats]])</f>
        <v>17.5</v>
      </c>
      <c r="T644" s="132">
        <f>Referentie_Bouwplaats_Totaal[[#This Row],[Totaal Emissieloos Bouwplaats]]+Referentie_Bouwplaats_Totaal[[#This Row],[Totaal Niet Emissieloos Bouwplaats]]</f>
        <v>17.5</v>
      </c>
      <c r="U644" s="132"/>
      <c r="V644" s="13"/>
      <c r="W644" s="13"/>
      <c r="X644" s="13"/>
      <c r="Y644" s="13"/>
      <c r="Z644" s="13"/>
      <c r="AA644" s="13"/>
      <c r="AB644" s="13"/>
      <c r="AC644" s="13"/>
    </row>
    <row r="645" spans="2:29">
      <c r="B645" s="209" t="str">
        <f>Baseline!B17</f>
        <v>121310 - Verwijderen en afvoeren kolken, incl aansluitingen</v>
      </c>
      <c r="C645" s="51" t="str">
        <f>Baseline!F17</f>
        <v>Kolk, Staal &amp; Beton</v>
      </c>
      <c r="D645" s="134">
        <f>_xlfn.IFNA(IF(Baseline!C17="Nieuwe situatie",(Baseline!Q17/(VLOOKUP(Baseline!U17,Database_Asfalt_Aanlegset[#All],60,FALSE)/8)),0),0)</f>
        <v>0</v>
      </c>
      <c r="E645" s="135">
        <f>IFERROR(IF(Baseline!C17="Nieuwe situatie",Baseline!I17/Baseline!X17,0),0)</f>
        <v>0</v>
      </c>
      <c r="F645" s="138">
        <f>_xlfn.IFNA(IF(Baseline!C17="Bestaande situatie",Baseline!Q17/(VLOOKUP(Baseline!Y17,Database_Asfalt_Verwijderset[#All],60,FALSE)/8),0),0)</f>
        <v>0</v>
      </c>
      <c r="G645" s="138">
        <f>IFERROR(IF(Baseline!C17="Bestaande situatie",Baseline!I17/Baseline!AB17,0),0)</f>
        <v>101</v>
      </c>
      <c r="H645" s="138" t="str">
        <f>_xlfn.IFNA((VLOOKUP(Baseline!U17,Database_Asfalt_Aanlegset[],61,FALSE)),"Nee")</f>
        <v>Nee</v>
      </c>
      <c r="I645" s="138" t="str">
        <f>_xlfn.IFNA((VLOOKUP(Baseline!V17,Database_Brandstoffen[],60,FALSE)),"Nee")</f>
        <v>Nee</v>
      </c>
      <c r="J645" s="94" t="str">
        <f>_xlfn.IFNA((VLOOKUP(Baseline!Y17,Database_Asfalt_Verwijderset[],61,FALSE)),"Nee")</f>
        <v>Nee</v>
      </c>
      <c r="K645" s="94" t="str">
        <f>_xlfn.IFNA((VLOOKUP(Baseline!Z17,Database_Brandstoffen[],60,FALSE)),"Nee")</f>
        <v>Nee</v>
      </c>
      <c r="L645" s="124">
        <f>IF(Referentie_Bouwplaats_Totaal[[#This Row],[Emissieloos Asfalt Aanlegset]]="JA",Referentie_Bouwplaats_Totaal[[#This Row],[Draaiuren Bouw Asfalt]],0)+IF(Referentie_Bouwplaats_Totaal[[#This Row],[Emissieloos Bouwmaterieel]]="JA",Referentie_Bouwplaats_Totaal[[#This Row],[Draaiuren Bouw Overig]],0)+IF(Referentie_Bouwplaats_Totaal[[#This Row],[Emissieloos Asfalt Verwijderset]]="JA",Referentie_Bouwplaats_Totaal[[#This Row],[Draaiuren Verwijder Asfalt]],0)+IF(Referentie_Bouwplaats_Totaal[[#This Row],[Emissieloos Sloopmaterieel]]="JA",Referentie_Bouwplaats_Totaal[[#This Row],[Draaiuren Verwijder Overig]],0)</f>
        <v>0</v>
      </c>
      <c r="M645" s="124">
        <f>_xlfn.IFNA(IF(Baseline!C17="Nieuwe situatie",(Baseline!Q17/(VLOOKUP(Baseline!U17,Database_Asfalt_Aanlegset[#All],60,FALSE)/8)),0),0)*Baseline!R17</f>
        <v>0</v>
      </c>
      <c r="N645" s="124">
        <f>_xlfn.IFNA(IF(Baseline!C17="Nieuwe situatie",Baseline!O17/VLOOKUP(Baseline!V17,Database_Overig_Materieel[#All],8,FALSE),0),0)*Baseline!R17</f>
        <v>0</v>
      </c>
      <c r="O645" s="132">
        <f>_xlfn.IFNA(IF(Baseline!C17="Bestaande situatie",Baseline!Q17/(VLOOKUP(Baseline!Y17,Database_Asfalt_Verwijderset[#All],60,FALSE)/8),0),0)*Baseline!R17</f>
        <v>0</v>
      </c>
      <c r="P645" s="132">
        <f>_xlfn.IFNA(IF(Baseline!C17="Bestaande situatie",Baseline!O17/VLOOKUP(Baseline!Z17,Database_Overig_Materieel[#All],8,FALSE),0),0)*Baseline!R17</f>
        <v>0</v>
      </c>
      <c r="Q645" s="132">
        <f>IF(Referentie_Bouwplaats_Totaal[[#This Row],[Emissieloos Asfalt Aanlegset]]="JA",Referentie_Bouwplaats_Totaal[[#This Row],[Draaiuren Bouw Asfalt Vervangingen]],0)+IF(Referentie_Bouwplaats_Totaal[[#This Row],[Emissieloos Bouwmaterieel]]="JA",Referentie_Bouwplaats_Totaal[[#This Row],[Draaiuren Bouw Overig Vervangingen]],0)+IF(Referentie_Bouwplaats_Totaal[[#This Row],[Emissieloos Asfalt Verwijderset]]="JA",Referentie_Bouwplaats_Totaal[[#This Row],[Draaiuren Verwijder Asfalt Vervangingen]],0)+IF(Referentie_Bouwplaats_Totaal[[#This Row],[Emissieloos Sloopmaterieel]]="JA",Referentie_Bouwplaats_Totaal[[#This Row],[Draaiuren Verwijder Overig Vervangingen]],0)</f>
        <v>0</v>
      </c>
      <c r="R645" s="132">
        <f>Referentie_Bouwplaats_Totaal[[#This Row],[Emissieloos bouwplaats]]+Referentie_Bouwplaats_Totaal[[#This Row],[Emissieloos bouwplaats Vervangingen]]</f>
        <v>0</v>
      </c>
      <c r="S645" s="132">
        <f>(Referentie_Bouwplaats_Totaal[[#This Row],[Draaiuren Bouw Asfalt]]+Referentie_Bouwplaats_Totaal[[#This Row],[Draaiuren Bouw Overig]]+Referentie_Bouwplaats_Totaal[[#This Row],[Draaiuren Verwijder Asfalt]]+Referentie_Bouwplaats_Totaal[[#This Row],[Draaiuren Verwijder Overig]]+Referentie_Bouwplaats_Totaal[[#This Row],[Draaiuren Bouw Asfalt Vervangingen]]+Referentie_Bouwplaats_Totaal[[#This Row],[Draaiuren Bouw Overig Vervangingen]]+Referentie_Bouwplaats_Totaal[[#This Row],[Draaiuren Verwijder Asfalt Vervangingen]]+Referentie_Bouwplaats_Totaal[[#This Row],[Draaiuren Verwijder Overig Vervangingen]]-Referentie_Bouwplaats_Totaal[[#This Row],[Totaal Emissieloos Bouwplaats]])</f>
        <v>101</v>
      </c>
      <c r="T645" s="132">
        <f>Referentie_Bouwplaats_Totaal[[#This Row],[Totaal Emissieloos Bouwplaats]]+Referentie_Bouwplaats_Totaal[[#This Row],[Totaal Niet Emissieloos Bouwplaats]]</f>
        <v>101</v>
      </c>
      <c r="U645" s="132"/>
      <c r="V645" s="13"/>
      <c r="W645" s="13"/>
      <c r="X645" s="13"/>
      <c r="Y645" s="13"/>
      <c r="Z645" s="13"/>
      <c r="AA645" s="13"/>
      <c r="AB645" s="13"/>
      <c r="AC645" s="13"/>
    </row>
    <row r="646" spans="2:29">
      <c r="B646" s="209" t="str">
        <f>Baseline!B18</f>
        <v>210010 - Grond ontgraven uit cunet wegen en parkeervakken 0,25 m</v>
      </c>
      <c r="C646" s="51" t="str">
        <f>Baseline!F18</f>
        <v>Ophoogmateriaal (Grond)</v>
      </c>
      <c r="D646" s="134">
        <f>_xlfn.IFNA(IF(Baseline!C18="Nieuwe situatie",(Baseline!Q18/(VLOOKUP(Baseline!U18,Database_Asfalt_Aanlegset[#All],60,FALSE)/8)),0),0)</f>
        <v>0</v>
      </c>
      <c r="E646" s="135">
        <f>IFERROR(IF(Baseline!C18="Nieuwe situatie",Baseline!I18/Baseline!X18,0),0)</f>
        <v>0</v>
      </c>
      <c r="F646" s="138">
        <f>_xlfn.IFNA(IF(Baseline!C18="Bestaande situatie",Baseline!Q18/(VLOOKUP(Baseline!Y18,Database_Asfalt_Verwijderset[#All],60,FALSE)/8),0),0)</f>
        <v>0</v>
      </c>
      <c r="G646" s="138">
        <f>IFERROR(IF(Baseline!C18="Bestaande situatie",Baseline!I18/Baseline!AB18,0),0)</f>
        <v>83.666666666666671</v>
      </c>
      <c r="H646" s="138" t="str">
        <f>_xlfn.IFNA((VLOOKUP(Baseline!U18,Database_Asfalt_Aanlegset[],61,FALSE)),"Nee")</f>
        <v>Nee</v>
      </c>
      <c r="I646" s="138" t="str">
        <f>_xlfn.IFNA((VLOOKUP(Baseline!V18,Database_Brandstoffen[],60,FALSE)),"Nee")</f>
        <v>Nee</v>
      </c>
      <c r="J646" s="94" t="str">
        <f>_xlfn.IFNA((VLOOKUP(Baseline!Y18,Database_Asfalt_Verwijderset[],61,FALSE)),"Nee")</f>
        <v>Nee</v>
      </c>
      <c r="K646" s="94" t="str">
        <f>_xlfn.IFNA((VLOOKUP(Baseline!Z18,Database_Brandstoffen[],60,FALSE)),"Nee")</f>
        <v>Nee</v>
      </c>
      <c r="L646" s="124">
        <f>IF(Referentie_Bouwplaats_Totaal[[#This Row],[Emissieloos Asfalt Aanlegset]]="JA",Referentie_Bouwplaats_Totaal[[#This Row],[Draaiuren Bouw Asfalt]],0)+IF(Referentie_Bouwplaats_Totaal[[#This Row],[Emissieloos Bouwmaterieel]]="JA",Referentie_Bouwplaats_Totaal[[#This Row],[Draaiuren Bouw Overig]],0)+IF(Referentie_Bouwplaats_Totaal[[#This Row],[Emissieloos Asfalt Verwijderset]]="JA",Referentie_Bouwplaats_Totaal[[#This Row],[Draaiuren Verwijder Asfalt]],0)+IF(Referentie_Bouwplaats_Totaal[[#This Row],[Emissieloos Sloopmaterieel]]="JA",Referentie_Bouwplaats_Totaal[[#This Row],[Draaiuren Verwijder Overig]],0)</f>
        <v>0</v>
      </c>
      <c r="M646" s="124">
        <f>_xlfn.IFNA(IF(Baseline!C18="Nieuwe situatie",(Baseline!Q18/(VLOOKUP(Baseline!U18,Database_Asfalt_Aanlegset[#All],60,FALSE)/8)),0),0)*Baseline!R18</f>
        <v>0</v>
      </c>
      <c r="N646" s="124">
        <f>_xlfn.IFNA(IF(Baseline!C18="Nieuwe situatie",Baseline!O18/VLOOKUP(Baseline!V18,Database_Overig_Materieel[#All],8,FALSE),0),0)*Baseline!R18</f>
        <v>0</v>
      </c>
      <c r="O646" s="132">
        <f>_xlfn.IFNA(IF(Baseline!C18="Bestaande situatie",Baseline!Q18/(VLOOKUP(Baseline!Y18,Database_Asfalt_Verwijderset[#All],60,FALSE)/8),0),0)*Baseline!R18</f>
        <v>0</v>
      </c>
      <c r="P646" s="132">
        <f>_xlfn.IFNA(IF(Baseline!C18="Bestaande situatie",Baseline!O18/VLOOKUP(Baseline!Z18,Database_Overig_Materieel[#All],8,FALSE),0),0)*Baseline!R18</f>
        <v>0</v>
      </c>
      <c r="Q646" s="132">
        <f>IF(Referentie_Bouwplaats_Totaal[[#This Row],[Emissieloos Asfalt Aanlegset]]="JA",Referentie_Bouwplaats_Totaal[[#This Row],[Draaiuren Bouw Asfalt Vervangingen]],0)+IF(Referentie_Bouwplaats_Totaal[[#This Row],[Emissieloos Bouwmaterieel]]="JA",Referentie_Bouwplaats_Totaal[[#This Row],[Draaiuren Bouw Overig Vervangingen]],0)+IF(Referentie_Bouwplaats_Totaal[[#This Row],[Emissieloos Asfalt Verwijderset]]="JA",Referentie_Bouwplaats_Totaal[[#This Row],[Draaiuren Verwijder Asfalt Vervangingen]],0)+IF(Referentie_Bouwplaats_Totaal[[#This Row],[Emissieloos Sloopmaterieel]]="JA",Referentie_Bouwplaats_Totaal[[#This Row],[Draaiuren Verwijder Overig Vervangingen]],0)</f>
        <v>0</v>
      </c>
      <c r="R646" s="132">
        <f>Referentie_Bouwplaats_Totaal[[#This Row],[Emissieloos bouwplaats]]+Referentie_Bouwplaats_Totaal[[#This Row],[Emissieloos bouwplaats Vervangingen]]</f>
        <v>0</v>
      </c>
      <c r="S646" s="132">
        <f>(Referentie_Bouwplaats_Totaal[[#This Row],[Draaiuren Bouw Asfalt]]+Referentie_Bouwplaats_Totaal[[#This Row],[Draaiuren Bouw Overig]]+Referentie_Bouwplaats_Totaal[[#This Row],[Draaiuren Verwijder Asfalt]]+Referentie_Bouwplaats_Totaal[[#This Row],[Draaiuren Verwijder Overig]]+Referentie_Bouwplaats_Totaal[[#This Row],[Draaiuren Bouw Asfalt Vervangingen]]+Referentie_Bouwplaats_Totaal[[#This Row],[Draaiuren Bouw Overig Vervangingen]]+Referentie_Bouwplaats_Totaal[[#This Row],[Draaiuren Verwijder Asfalt Vervangingen]]+Referentie_Bouwplaats_Totaal[[#This Row],[Draaiuren Verwijder Overig Vervangingen]]-Referentie_Bouwplaats_Totaal[[#This Row],[Totaal Emissieloos Bouwplaats]])</f>
        <v>83.666666666666671</v>
      </c>
      <c r="T646" s="132">
        <f>Referentie_Bouwplaats_Totaal[[#This Row],[Totaal Emissieloos Bouwplaats]]+Referentie_Bouwplaats_Totaal[[#This Row],[Totaal Niet Emissieloos Bouwplaats]]</f>
        <v>83.666666666666671</v>
      </c>
      <c r="U646" s="132"/>
      <c r="V646" s="13"/>
      <c r="W646" s="13"/>
      <c r="X646" s="13"/>
      <c r="Y646" s="13"/>
      <c r="Z646" s="13"/>
      <c r="AA646" s="13"/>
      <c r="AB646" s="13"/>
      <c r="AC646" s="13"/>
    </row>
    <row r="647" spans="2:29">
      <c r="B647" s="209" t="str">
        <f>Baseline!B19</f>
        <v>210020 - Grond ontgraven uit sleuf riolering (gerekend met 11,5m3/m1 riool)</v>
      </c>
      <c r="C647" s="51" t="str">
        <f>Baseline!F19</f>
        <v>Ophoogmateriaal (Grond)</v>
      </c>
      <c r="D647" s="134">
        <f>_xlfn.IFNA(IF(Baseline!C19="Nieuwe situatie",(Baseline!Q19/(VLOOKUP(Baseline!U19,Database_Asfalt_Aanlegset[#All],60,FALSE)/8)),0),0)</f>
        <v>0</v>
      </c>
      <c r="E647" s="135">
        <f>IFERROR(IF(Baseline!C19="Nieuwe situatie",Baseline!I19/Baseline!X19,0),0)</f>
        <v>0</v>
      </c>
      <c r="F647" s="138">
        <f>_xlfn.IFNA(IF(Baseline!C19="Bestaande situatie",Baseline!Q19/(VLOOKUP(Baseline!Y19,Database_Asfalt_Verwijderset[#All],60,FALSE)/8),0),0)</f>
        <v>0</v>
      </c>
      <c r="G647" s="138">
        <f>IFERROR(IF(Baseline!C19="Bestaande situatie",Baseline!I19/Baseline!AB19,0),0)</f>
        <v>315</v>
      </c>
      <c r="H647" s="138" t="str">
        <f>_xlfn.IFNA((VLOOKUP(Baseline!U19,Database_Asfalt_Aanlegset[],61,FALSE)),"Nee")</f>
        <v>Nee</v>
      </c>
      <c r="I647" s="138" t="str">
        <f>_xlfn.IFNA((VLOOKUP(Baseline!V19,Database_Brandstoffen[],60,FALSE)),"Nee")</f>
        <v>Nee</v>
      </c>
      <c r="J647" s="94" t="str">
        <f>_xlfn.IFNA((VLOOKUP(Baseline!Y19,Database_Asfalt_Verwijderset[],61,FALSE)),"Nee")</f>
        <v>Nee</v>
      </c>
      <c r="K647" s="94" t="str">
        <f>_xlfn.IFNA((VLOOKUP(Baseline!Z19,Database_Brandstoffen[],60,FALSE)),"Nee")</f>
        <v>Nee</v>
      </c>
      <c r="L647" s="124">
        <f>IF(Referentie_Bouwplaats_Totaal[[#This Row],[Emissieloos Asfalt Aanlegset]]="JA",Referentie_Bouwplaats_Totaal[[#This Row],[Draaiuren Bouw Asfalt]],0)+IF(Referentie_Bouwplaats_Totaal[[#This Row],[Emissieloos Bouwmaterieel]]="JA",Referentie_Bouwplaats_Totaal[[#This Row],[Draaiuren Bouw Overig]],0)+IF(Referentie_Bouwplaats_Totaal[[#This Row],[Emissieloos Asfalt Verwijderset]]="JA",Referentie_Bouwplaats_Totaal[[#This Row],[Draaiuren Verwijder Asfalt]],0)+IF(Referentie_Bouwplaats_Totaal[[#This Row],[Emissieloos Sloopmaterieel]]="JA",Referentie_Bouwplaats_Totaal[[#This Row],[Draaiuren Verwijder Overig]],0)</f>
        <v>0</v>
      </c>
      <c r="M647" s="124">
        <f>_xlfn.IFNA(IF(Baseline!C19="Nieuwe situatie",(Baseline!Q19/(VLOOKUP(Baseline!U19,Database_Asfalt_Aanlegset[#All],60,FALSE)/8)),0),0)*Baseline!R19</f>
        <v>0</v>
      </c>
      <c r="N647" s="124">
        <f>_xlfn.IFNA(IF(Baseline!C19="Nieuwe situatie",Baseline!O19/VLOOKUP(Baseline!V19,Database_Overig_Materieel[#All],8,FALSE),0),0)*Baseline!R19</f>
        <v>0</v>
      </c>
      <c r="O647" s="132">
        <f>_xlfn.IFNA(IF(Baseline!C19="Bestaande situatie",Baseline!Q19/(VLOOKUP(Baseline!Y19,Database_Asfalt_Verwijderset[#All],60,FALSE)/8),0),0)*Baseline!R19</f>
        <v>0</v>
      </c>
      <c r="P647" s="132">
        <f>_xlfn.IFNA(IF(Baseline!C19="Bestaande situatie",Baseline!O19/VLOOKUP(Baseline!Z19,Database_Overig_Materieel[#All],8,FALSE),0),0)*Baseline!R19</f>
        <v>0</v>
      </c>
      <c r="Q647" s="132">
        <f>IF(Referentie_Bouwplaats_Totaal[[#This Row],[Emissieloos Asfalt Aanlegset]]="JA",Referentie_Bouwplaats_Totaal[[#This Row],[Draaiuren Bouw Asfalt Vervangingen]],0)+IF(Referentie_Bouwplaats_Totaal[[#This Row],[Emissieloos Bouwmaterieel]]="JA",Referentie_Bouwplaats_Totaal[[#This Row],[Draaiuren Bouw Overig Vervangingen]],0)+IF(Referentie_Bouwplaats_Totaal[[#This Row],[Emissieloos Asfalt Verwijderset]]="JA",Referentie_Bouwplaats_Totaal[[#This Row],[Draaiuren Verwijder Asfalt Vervangingen]],0)+IF(Referentie_Bouwplaats_Totaal[[#This Row],[Emissieloos Sloopmaterieel]]="JA",Referentie_Bouwplaats_Totaal[[#This Row],[Draaiuren Verwijder Overig Vervangingen]],0)</f>
        <v>0</v>
      </c>
      <c r="R647" s="132">
        <f>Referentie_Bouwplaats_Totaal[[#This Row],[Emissieloos bouwplaats]]+Referentie_Bouwplaats_Totaal[[#This Row],[Emissieloos bouwplaats Vervangingen]]</f>
        <v>0</v>
      </c>
      <c r="S647" s="132">
        <f>(Referentie_Bouwplaats_Totaal[[#This Row],[Draaiuren Bouw Asfalt]]+Referentie_Bouwplaats_Totaal[[#This Row],[Draaiuren Bouw Overig]]+Referentie_Bouwplaats_Totaal[[#This Row],[Draaiuren Verwijder Asfalt]]+Referentie_Bouwplaats_Totaal[[#This Row],[Draaiuren Verwijder Overig]]+Referentie_Bouwplaats_Totaal[[#This Row],[Draaiuren Bouw Asfalt Vervangingen]]+Referentie_Bouwplaats_Totaal[[#This Row],[Draaiuren Bouw Overig Vervangingen]]+Referentie_Bouwplaats_Totaal[[#This Row],[Draaiuren Verwijder Asfalt Vervangingen]]+Referentie_Bouwplaats_Totaal[[#This Row],[Draaiuren Verwijder Overig Vervangingen]]-Referentie_Bouwplaats_Totaal[[#This Row],[Totaal Emissieloos Bouwplaats]])</f>
        <v>315</v>
      </c>
      <c r="T647" s="132">
        <f>Referentie_Bouwplaats_Totaal[[#This Row],[Totaal Emissieloos Bouwplaats]]+Referentie_Bouwplaats_Totaal[[#This Row],[Totaal Niet Emissieloos Bouwplaats]]</f>
        <v>315</v>
      </c>
      <c r="U647" s="132"/>
      <c r="V647" s="13"/>
      <c r="W647" s="13"/>
      <c r="X647" s="13"/>
      <c r="Y647" s="13"/>
      <c r="Z647" s="13"/>
      <c r="AA647" s="13"/>
      <c r="AB647" s="13"/>
      <c r="AC647" s="13"/>
    </row>
    <row r="648" spans="2:29">
      <c r="B648" s="209" t="str">
        <f>Baseline!B20</f>
        <v>210030 - Grond ontgraven uit plantvak</v>
      </c>
      <c r="C648" s="51" t="str">
        <f>Baseline!F20</f>
        <v>Ophoogmateriaal (Grond)</v>
      </c>
      <c r="D648" s="134">
        <f>_xlfn.IFNA(IF(Baseline!C20="Nieuwe situatie",(Baseline!Q20/(VLOOKUP(Baseline!U20,Database_Asfalt_Aanlegset[#All],60,FALSE)/8)),0),0)</f>
        <v>0</v>
      </c>
      <c r="E648" s="135">
        <f>IFERROR(IF(Baseline!C20="Nieuwe situatie",Baseline!I20/Baseline!X20,0),0)</f>
        <v>0</v>
      </c>
      <c r="F648" s="138">
        <f>_xlfn.IFNA(IF(Baseline!C20="Bestaande situatie",Baseline!Q20/(VLOOKUP(Baseline!Y20,Database_Asfalt_Verwijderset[#All],60,FALSE)/8),0),0)</f>
        <v>0</v>
      </c>
      <c r="G648" s="138">
        <f>IFERROR(IF(Baseline!C20="Bestaande situatie",Baseline!I20/Baseline!AB20,0),0)</f>
        <v>78.066666666666663</v>
      </c>
      <c r="H648" s="138" t="str">
        <f>_xlfn.IFNA((VLOOKUP(Baseline!U20,Database_Asfalt_Aanlegset[],61,FALSE)),"Nee")</f>
        <v>Nee</v>
      </c>
      <c r="I648" s="138" t="str">
        <f>_xlfn.IFNA((VLOOKUP(Baseline!V20,Database_Brandstoffen[],60,FALSE)),"Nee")</f>
        <v>Nee</v>
      </c>
      <c r="J648" s="94" t="str">
        <f>_xlfn.IFNA((VLOOKUP(Baseline!Y20,Database_Asfalt_Verwijderset[],61,FALSE)),"Nee")</f>
        <v>Nee</v>
      </c>
      <c r="K648" s="94" t="str">
        <f>_xlfn.IFNA((VLOOKUP(Baseline!Z20,Database_Brandstoffen[],60,FALSE)),"Nee")</f>
        <v>Nee</v>
      </c>
      <c r="L648" s="124">
        <f>IF(Referentie_Bouwplaats_Totaal[[#This Row],[Emissieloos Asfalt Aanlegset]]="JA",Referentie_Bouwplaats_Totaal[[#This Row],[Draaiuren Bouw Asfalt]],0)+IF(Referentie_Bouwplaats_Totaal[[#This Row],[Emissieloos Bouwmaterieel]]="JA",Referentie_Bouwplaats_Totaal[[#This Row],[Draaiuren Bouw Overig]],0)+IF(Referentie_Bouwplaats_Totaal[[#This Row],[Emissieloos Asfalt Verwijderset]]="JA",Referentie_Bouwplaats_Totaal[[#This Row],[Draaiuren Verwijder Asfalt]],0)+IF(Referentie_Bouwplaats_Totaal[[#This Row],[Emissieloos Sloopmaterieel]]="JA",Referentie_Bouwplaats_Totaal[[#This Row],[Draaiuren Verwijder Overig]],0)</f>
        <v>0</v>
      </c>
      <c r="M648" s="124">
        <f>_xlfn.IFNA(IF(Baseline!C20="Nieuwe situatie",(Baseline!Q20/(VLOOKUP(Baseline!U20,Database_Asfalt_Aanlegset[#All],60,FALSE)/8)),0),0)*Baseline!R20</f>
        <v>0</v>
      </c>
      <c r="N648" s="124">
        <f>_xlfn.IFNA(IF(Baseline!C20="Nieuwe situatie",Baseline!O20/VLOOKUP(Baseline!V20,Database_Overig_Materieel[#All],8,FALSE),0),0)*Baseline!R20</f>
        <v>0</v>
      </c>
      <c r="O648" s="132">
        <f>_xlfn.IFNA(IF(Baseline!C20="Bestaande situatie",Baseline!Q20/(VLOOKUP(Baseline!Y20,Database_Asfalt_Verwijderset[#All],60,FALSE)/8),0),0)*Baseline!R20</f>
        <v>0</v>
      </c>
      <c r="P648" s="132">
        <f>_xlfn.IFNA(IF(Baseline!C20="Bestaande situatie",Baseline!O20/VLOOKUP(Baseline!Z20,Database_Overig_Materieel[#All],8,FALSE),0),0)*Baseline!R20</f>
        <v>0</v>
      </c>
      <c r="Q648" s="132">
        <f>IF(Referentie_Bouwplaats_Totaal[[#This Row],[Emissieloos Asfalt Aanlegset]]="JA",Referentie_Bouwplaats_Totaal[[#This Row],[Draaiuren Bouw Asfalt Vervangingen]],0)+IF(Referentie_Bouwplaats_Totaal[[#This Row],[Emissieloos Bouwmaterieel]]="JA",Referentie_Bouwplaats_Totaal[[#This Row],[Draaiuren Bouw Overig Vervangingen]],0)+IF(Referentie_Bouwplaats_Totaal[[#This Row],[Emissieloos Asfalt Verwijderset]]="JA",Referentie_Bouwplaats_Totaal[[#This Row],[Draaiuren Verwijder Asfalt Vervangingen]],0)+IF(Referentie_Bouwplaats_Totaal[[#This Row],[Emissieloos Sloopmaterieel]]="JA",Referentie_Bouwplaats_Totaal[[#This Row],[Draaiuren Verwijder Overig Vervangingen]],0)</f>
        <v>0</v>
      </c>
      <c r="R648" s="132">
        <f>Referentie_Bouwplaats_Totaal[[#This Row],[Emissieloos bouwplaats]]+Referentie_Bouwplaats_Totaal[[#This Row],[Emissieloos bouwplaats Vervangingen]]</f>
        <v>0</v>
      </c>
      <c r="S648" s="132">
        <f>(Referentie_Bouwplaats_Totaal[[#This Row],[Draaiuren Bouw Asfalt]]+Referentie_Bouwplaats_Totaal[[#This Row],[Draaiuren Bouw Overig]]+Referentie_Bouwplaats_Totaal[[#This Row],[Draaiuren Verwijder Asfalt]]+Referentie_Bouwplaats_Totaal[[#This Row],[Draaiuren Verwijder Overig]]+Referentie_Bouwplaats_Totaal[[#This Row],[Draaiuren Bouw Asfalt Vervangingen]]+Referentie_Bouwplaats_Totaal[[#This Row],[Draaiuren Bouw Overig Vervangingen]]+Referentie_Bouwplaats_Totaal[[#This Row],[Draaiuren Verwijder Asfalt Vervangingen]]+Referentie_Bouwplaats_Totaal[[#This Row],[Draaiuren Verwijder Overig Vervangingen]]-Referentie_Bouwplaats_Totaal[[#This Row],[Totaal Emissieloos Bouwplaats]])</f>
        <v>78.066666666666663</v>
      </c>
      <c r="T648" s="132">
        <f>Referentie_Bouwplaats_Totaal[[#This Row],[Totaal Emissieloos Bouwplaats]]+Referentie_Bouwplaats_Totaal[[#This Row],[Totaal Niet Emissieloos Bouwplaats]]</f>
        <v>78.066666666666663</v>
      </c>
      <c r="U648" s="132"/>
      <c r="V648" s="13"/>
      <c r="W648" s="13"/>
      <c r="X648" s="13"/>
      <c r="Y648" s="13"/>
      <c r="Z648" s="13"/>
      <c r="AA648" s="13"/>
      <c r="AB648" s="13"/>
      <c r="AC648" s="13"/>
    </row>
    <row r="649" spans="2:29">
      <c r="B649" s="209" t="str">
        <f>Baseline!B21</f>
        <v>220010 - Grond verwerken in sleuf riolering</v>
      </c>
      <c r="C649" s="51" t="str">
        <f>Baseline!F21</f>
        <v>Ophoogmateriaal (Grond)</v>
      </c>
      <c r="D649" s="134">
        <f>_xlfn.IFNA(IF(Baseline!C21="Nieuwe situatie",(Baseline!Q21/(VLOOKUP(Baseline!U21,Database_Asfalt_Aanlegset[#All],60,FALSE)/8)),0),0)</f>
        <v>0</v>
      </c>
      <c r="E649" s="135">
        <f>IFERROR(IF(Baseline!C21="Nieuwe situatie",Baseline!I21/Baseline!X21,0),0)</f>
        <v>472.5</v>
      </c>
      <c r="F649" s="138">
        <f>_xlfn.IFNA(IF(Baseline!C21="Bestaande situatie",Baseline!Q21/(VLOOKUP(Baseline!Y21,Database_Asfalt_Verwijderset[#All],60,FALSE)/8),0),0)</f>
        <v>0</v>
      </c>
      <c r="G649" s="138">
        <f>IFERROR(IF(Baseline!C21="Bestaande situatie",Baseline!I21/Baseline!AB21,0),0)</f>
        <v>0</v>
      </c>
      <c r="H649" s="138" t="str">
        <f>_xlfn.IFNA((VLOOKUP(Baseline!U21,Database_Asfalt_Aanlegset[],61,FALSE)),"Nee")</f>
        <v>Nee</v>
      </c>
      <c r="I649" s="138" t="str">
        <f>_xlfn.IFNA((VLOOKUP(Baseline!V21,Database_Brandstoffen[],60,FALSE)),"Nee")</f>
        <v>Nee</v>
      </c>
      <c r="J649" s="94" t="str">
        <f>_xlfn.IFNA((VLOOKUP(Baseline!Y21,Database_Asfalt_Verwijderset[],61,FALSE)),"Nee")</f>
        <v>Nee</v>
      </c>
      <c r="K649" s="94" t="str">
        <f>_xlfn.IFNA((VLOOKUP(Baseline!Z21,Database_Brandstoffen[],60,FALSE)),"Nee")</f>
        <v>Nee</v>
      </c>
      <c r="L649" s="124">
        <f>IF(Referentie_Bouwplaats_Totaal[[#This Row],[Emissieloos Asfalt Aanlegset]]="JA",Referentie_Bouwplaats_Totaal[[#This Row],[Draaiuren Bouw Asfalt]],0)+IF(Referentie_Bouwplaats_Totaal[[#This Row],[Emissieloos Bouwmaterieel]]="JA",Referentie_Bouwplaats_Totaal[[#This Row],[Draaiuren Bouw Overig]],0)+IF(Referentie_Bouwplaats_Totaal[[#This Row],[Emissieloos Asfalt Verwijderset]]="JA",Referentie_Bouwplaats_Totaal[[#This Row],[Draaiuren Verwijder Asfalt]],0)+IF(Referentie_Bouwplaats_Totaal[[#This Row],[Emissieloos Sloopmaterieel]]="JA",Referentie_Bouwplaats_Totaal[[#This Row],[Draaiuren Verwijder Overig]],0)</f>
        <v>0</v>
      </c>
      <c r="M649" s="124">
        <f>_xlfn.IFNA(IF(Baseline!C21="Nieuwe situatie",(Baseline!Q21/(VLOOKUP(Baseline!U21,Database_Asfalt_Aanlegset[#All],60,FALSE)/8)),0),0)*Baseline!R21</f>
        <v>0</v>
      </c>
      <c r="N649" s="124">
        <f>_xlfn.IFNA(IF(Baseline!C21="Nieuwe situatie",Baseline!O21/VLOOKUP(Baseline!V21,Database_Overig_Materieel[#All],8,FALSE),0),0)*Baseline!R21</f>
        <v>0</v>
      </c>
      <c r="O649" s="132">
        <f>_xlfn.IFNA(IF(Baseline!C21="Bestaande situatie",Baseline!Q21/(VLOOKUP(Baseline!Y21,Database_Asfalt_Verwijderset[#All],60,FALSE)/8),0),0)*Baseline!R21</f>
        <v>0</v>
      </c>
      <c r="P649" s="132">
        <f>_xlfn.IFNA(IF(Baseline!C21="Bestaande situatie",Baseline!O21/VLOOKUP(Baseline!Z21,Database_Overig_Materieel[#All],8,FALSE),0),0)*Baseline!R21</f>
        <v>0</v>
      </c>
      <c r="Q649" s="132">
        <f>IF(Referentie_Bouwplaats_Totaal[[#This Row],[Emissieloos Asfalt Aanlegset]]="JA",Referentie_Bouwplaats_Totaal[[#This Row],[Draaiuren Bouw Asfalt Vervangingen]],0)+IF(Referentie_Bouwplaats_Totaal[[#This Row],[Emissieloos Bouwmaterieel]]="JA",Referentie_Bouwplaats_Totaal[[#This Row],[Draaiuren Bouw Overig Vervangingen]],0)+IF(Referentie_Bouwplaats_Totaal[[#This Row],[Emissieloos Asfalt Verwijderset]]="JA",Referentie_Bouwplaats_Totaal[[#This Row],[Draaiuren Verwijder Asfalt Vervangingen]],0)+IF(Referentie_Bouwplaats_Totaal[[#This Row],[Emissieloos Sloopmaterieel]]="JA",Referentie_Bouwplaats_Totaal[[#This Row],[Draaiuren Verwijder Overig Vervangingen]],0)</f>
        <v>0</v>
      </c>
      <c r="R649" s="132">
        <f>Referentie_Bouwplaats_Totaal[[#This Row],[Emissieloos bouwplaats]]+Referentie_Bouwplaats_Totaal[[#This Row],[Emissieloos bouwplaats Vervangingen]]</f>
        <v>0</v>
      </c>
      <c r="S649" s="132">
        <f>(Referentie_Bouwplaats_Totaal[[#This Row],[Draaiuren Bouw Asfalt]]+Referentie_Bouwplaats_Totaal[[#This Row],[Draaiuren Bouw Overig]]+Referentie_Bouwplaats_Totaal[[#This Row],[Draaiuren Verwijder Asfalt]]+Referentie_Bouwplaats_Totaal[[#This Row],[Draaiuren Verwijder Overig]]+Referentie_Bouwplaats_Totaal[[#This Row],[Draaiuren Bouw Asfalt Vervangingen]]+Referentie_Bouwplaats_Totaal[[#This Row],[Draaiuren Bouw Overig Vervangingen]]+Referentie_Bouwplaats_Totaal[[#This Row],[Draaiuren Verwijder Asfalt Vervangingen]]+Referentie_Bouwplaats_Totaal[[#This Row],[Draaiuren Verwijder Overig Vervangingen]]-Referentie_Bouwplaats_Totaal[[#This Row],[Totaal Emissieloos Bouwplaats]])</f>
        <v>472.5</v>
      </c>
      <c r="T649" s="132">
        <f>Referentie_Bouwplaats_Totaal[[#This Row],[Totaal Emissieloos Bouwplaats]]+Referentie_Bouwplaats_Totaal[[#This Row],[Totaal Niet Emissieloos Bouwplaats]]</f>
        <v>472.5</v>
      </c>
      <c r="U649" s="132"/>
      <c r="V649" s="13"/>
      <c r="W649" s="13"/>
      <c r="X649" s="13"/>
      <c r="Y649" s="13"/>
      <c r="Z649" s="13"/>
      <c r="AA649" s="13"/>
      <c r="AB649" s="13"/>
      <c r="AC649" s="13"/>
    </row>
    <row r="650" spans="2:29">
      <c r="B650" s="209" t="str">
        <f>Baseline!B22</f>
        <v>220020 - Leveren en aanbrengen zand voor zand (gemiddeld 100 mm)</v>
      </c>
      <c r="C650" s="51" t="str">
        <f>Baseline!F22</f>
        <v>Ophoogmateriaal (Zand)</v>
      </c>
      <c r="D650" s="134">
        <f>_xlfn.IFNA(IF(Baseline!C22="Nieuwe situatie",(Baseline!Q22/(VLOOKUP(Baseline!U22,Database_Asfalt_Aanlegset[#All],60,FALSE)/8)),0),0)</f>
        <v>0</v>
      </c>
      <c r="E650" s="135">
        <f>IFERROR(IF(Baseline!C22="Nieuwe situatie",Baseline!I22/Baseline!X22,0),0)</f>
        <v>35</v>
      </c>
      <c r="F650" s="138">
        <f>_xlfn.IFNA(IF(Baseline!C22="Bestaande situatie",Baseline!Q22/(VLOOKUP(Baseline!Y22,Database_Asfalt_Verwijderset[#All],60,FALSE)/8),0),0)</f>
        <v>0</v>
      </c>
      <c r="G650" s="138">
        <f>IFERROR(IF(Baseline!C22="Bestaande situatie",Baseline!I22/Baseline!AB22,0),0)</f>
        <v>0</v>
      </c>
      <c r="H650" s="138" t="str">
        <f>_xlfn.IFNA((VLOOKUP(Baseline!U22,Database_Asfalt_Aanlegset[],61,FALSE)),"Nee")</f>
        <v>Nee</v>
      </c>
      <c r="I650" s="138" t="str">
        <f>_xlfn.IFNA((VLOOKUP(Baseline!V22,Database_Brandstoffen[],60,FALSE)),"Nee")</f>
        <v>Nee</v>
      </c>
      <c r="J650" s="94" t="str">
        <f>_xlfn.IFNA((VLOOKUP(Baseline!Y22,Database_Asfalt_Verwijderset[],61,FALSE)),"Nee")</f>
        <v>Nee</v>
      </c>
      <c r="K650" s="94" t="str">
        <f>_xlfn.IFNA((VLOOKUP(Baseline!Z22,Database_Brandstoffen[],60,FALSE)),"Nee")</f>
        <v>Nee</v>
      </c>
      <c r="L650" s="124">
        <f>IF(Referentie_Bouwplaats_Totaal[[#This Row],[Emissieloos Asfalt Aanlegset]]="JA",Referentie_Bouwplaats_Totaal[[#This Row],[Draaiuren Bouw Asfalt]],0)+IF(Referentie_Bouwplaats_Totaal[[#This Row],[Emissieloos Bouwmaterieel]]="JA",Referentie_Bouwplaats_Totaal[[#This Row],[Draaiuren Bouw Overig]],0)+IF(Referentie_Bouwplaats_Totaal[[#This Row],[Emissieloos Asfalt Verwijderset]]="JA",Referentie_Bouwplaats_Totaal[[#This Row],[Draaiuren Verwijder Asfalt]],0)+IF(Referentie_Bouwplaats_Totaal[[#This Row],[Emissieloos Sloopmaterieel]]="JA",Referentie_Bouwplaats_Totaal[[#This Row],[Draaiuren Verwijder Overig]],0)</f>
        <v>0</v>
      </c>
      <c r="M650" s="124">
        <f>_xlfn.IFNA(IF(Baseline!C22="Nieuwe situatie",(Baseline!Q22/(VLOOKUP(Baseline!U22,Database_Asfalt_Aanlegset[#All],60,FALSE)/8)),0),0)*Baseline!R22</f>
        <v>0</v>
      </c>
      <c r="N650" s="124">
        <f>_xlfn.IFNA(IF(Baseline!C22="Nieuwe situatie",Baseline!O22/VLOOKUP(Baseline!V22,Database_Overig_Materieel[#All],8,FALSE),0),0)*Baseline!R22</f>
        <v>0</v>
      </c>
      <c r="O650" s="132">
        <f>_xlfn.IFNA(IF(Baseline!C22="Bestaande situatie",Baseline!Q22/(VLOOKUP(Baseline!Y22,Database_Asfalt_Verwijderset[#All],60,FALSE)/8),0),0)*Baseline!R22</f>
        <v>0</v>
      </c>
      <c r="P650" s="132">
        <f>_xlfn.IFNA(IF(Baseline!C22="Bestaande situatie",Baseline!O22/VLOOKUP(Baseline!Z22,Database_Overig_Materieel[#All],8,FALSE),0),0)*Baseline!R22</f>
        <v>0</v>
      </c>
      <c r="Q650" s="132">
        <f>IF(Referentie_Bouwplaats_Totaal[[#This Row],[Emissieloos Asfalt Aanlegset]]="JA",Referentie_Bouwplaats_Totaal[[#This Row],[Draaiuren Bouw Asfalt Vervangingen]],0)+IF(Referentie_Bouwplaats_Totaal[[#This Row],[Emissieloos Bouwmaterieel]]="JA",Referentie_Bouwplaats_Totaal[[#This Row],[Draaiuren Bouw Overig Vervangingen]],0)+IF(Referentie_Bouwplaats_Totaal[[#This Row],[Emissieloos Asfalt Verwijderset]]="JA",Referentie_Bouwplaats_Totaal[[#This Row],[Draaiuren Verwijder Asfalt Vervangingen]],0)+IF(Referentie_Bouwplaats_Totaal[[#This Row],[Emissieloos Sloopmaterieel]]="JA",Referentie_Bouwplaats_Totaal[[#This Row],[Draaiuren Verwijder Overig Vervangingen]],0)</f>
        <v>0</v>
      </c>
      <c r="R650" s="132">
        <f>Referentie_Bouwplaats_Totaal[[#This Row],[Emissieloos bouwplaats]]+Referentie_Bouwplaats_Totaal[[#This Row],[Emissieloos bouwplaats Vervangingen]]</f>
        <v>0</v>
      </c>
      <c r="S650" s="132">
        <f>(Referentie_Bouwplaats_Totaal[[#This Row],[Draaiuren Bouw Asfalt]]+Referentie_Bouwplaats_Totaal[[#This Row],[Draaiuren Bouw Overig]]+Referentie_Bouwplaats_Totaal[[#This Row],[Draaiuren Verwijder Asfalt]]+Referentie_Bouwplaats_Totaal[[#This Row],[Draaiuren Verwijder Overig]]+Referentie_Bouwplaats_Totaal[[#This Row],[Draaiuren Bouw Asfalt Vervangingen]]+Referentie_Bouwplaats_Totaal[[#This Row],[Draaiuren Bouw Overig Vervangingen]]+Referentie_Bouwplaats_Totaal[[#This Row],[Draaiuren Verwijder Asfalt Vervangingen]]+Referentie_Bouwplaats_Totaal[[#This Row],[Draaiuren Verwijder Overig Vervangingen]]-Referentie_Bouwplaats_Totaal[[#This Row],[Totaal Emissieloos Bouwplaats]])</f>
        <v>35</v>
      </c>
      <c r="T650" s="132">
        <f>Referentie_Bouwplaats_Totaal[[#This Row],[Totaal Emissieloos Bouwplaats]]+Referentie_Bouwplaats_Totaal[[#This Row],[Totaal Niet Emissieloos Bouwplaats]]</f>
        <v>35</v>
      </c>
      <c r="U650" s="132"/>
      <c r="V650" s="13"/>
      <c r="W650" s="13"/>
      <c r="X650" s="13"/>
      <c r="Y650" s="13"/>
      <c r="Z650" s="13"/>
      <c r="AA650" s="13"/>
      <c r="AB650" s="13"/>
      <c r="AC650" s="13"/>
    </row>
    <row r="651" spans="2:29">
      <c r="B651" s="209" t="str">
        <f>Baseline!B23</f>
        <v>322020 - Leveren en aanbrengen rioolbuis van Beton Ø400mm</v>
      </c>
      <c r="C651" s="51" t="str">
        <f>Baseline!F23</f>
        <v>Betonbuis 500 mm</v>
      </c>
      <c r="D651" s="134">
        <f>_xlfn.IFNA(IF(Baseline!C23="Nieuwe situatie",(Baseline!Q23/(VLOOKUP(Baseline!U23,Database_Asfalt_Aanlegset[#All],60,FALSE)/8)),0),0)</f>
        <v>0</v>
      </c>
      <c r="E651" s="135">
        <f>IFERROR(IF(Baseline!C23="Nieuwe situatie",Baseline!I23/Baseline!X23,0),0)</f>
        <v>16.8</v>
      </c>
      <c r="F651" s="138">
        <f>_xlfn.IFNA(IF(Baseline!C23="Bestaande situatie",Baseline!Q23/(VLOOKUP(Baseline!Y23,Database_Asfalt_Verwijderset[#All],60,FALSE)/8),0),0)</f>
        <v>0</v>
      </c>
      <c r="G651" s="138">
        <f>IFERROR(IF(Baseline!C23="Bestaande situatie",Baseline!I23/Baseline!AB23,0),0)</f>
        <v>0</v>
      </c>
      <c r="H651" s="138" t="str">
        <f>_xlfn.IFNA((VLOOKUP(Baseline!U23,Database_Asfalt_Aanlegset[],61,FALSE)),"Nee")</f>
        <v>Nee</v>
      </c>
      <c r="I651" s="138" t="str">
        <f>_xlfn.IFNA((VLOOKUP(Baseline!V23,Database_Brandstoffen[],60,FALSE)),"Nee")</f>
        <v>Nee</v>
      </c>
      <c r="J651" s="94" t="str">
        <f>_xlfn.IFNA((VLOOKUP(Baseline!Y23,Database_Asfalt_Verwijderset[],61,FALSE)),"Nee")</f>
        <v>Nee</v>
      </c>
      <c r="K651" s="94" t="str">
        <f>_xlfn.IFNA((VLOOKUP(Baseline!Z23,Database_Brandstoffen[],60,FALSE)),"Nee")</f>
        <v>Nee</v>
      </c>
      <c r="L651" s="124">
        <f>IF(Referentie_Bouwplaats_Totaal[[#This Row],[Emissieloos Asfalt Aanlegset]]="JA",Referentie_Bouwplaats_Totaal[[#This Row],[Draaiuren Bouw Asfalt]],0)+IF(Referentie_Bouwplaats_Totaal[[#This Row],[Emissieloos Bouwmaterieel]]="JA",Referentie_Bouwplaats_Totaal[[#This Row],[Draaiuren Bouw Overig]],0)+IF(Referentie_Bouwplaats_Totaal[[#This Row],[Emissieloos Asfalt Verwijderset]]="JA",Referentie_Bouwplaats_Totaal[[#This Row],[Draaiuren Verwijder Asfalt]],0)+IF(Referentie_Bouwplaats_Totaal[[#This Row],[Emissieloos Sloopmaterieel]]="JA",Referentie_Bouwplaats_Totaal[[#This Row],[Draaiuren Verwijder Overig]],0)</f>
        <v>0</v>
      </c>
      <c r="M651" s="124">
        <f>_xlfn.IFNA(IF(Baseline!C23="Nieuwe situatie",(Baseline!Q23/(VLOOKUP(Baseline!U23,Database_Asfalt_Aanlegset[#All],60,FALSE)/8)),0),0)*Baseline!R23</f>
        <v>0</v>
      </c>
      <c r="N651" s="124">
        <f>_xlfn.IFNA(IF(Baseline!C23="Nieuwe situatie",Baseline!O23/VLOOKUP(Baseline!V23,Database_Overig_Materieel[#All],8,FALSE),0),0)*Baseline!R23</f>
        <v>0</v>
      </c>
      <c r="O651" s="132">
        <f>_xlfn.IFNA(IF(Baseline!C23="Bestaande situatie",Baseline!Q23/(VLOOKUP(Baseline!Y23,Database_Asfalt_Verwijderset[#All],60,FALSE)/8),0),0)*Baseline!R23</f>
        <v>0</v>
      </c>
      <c r="P651" s="132">
        <f>_xlfn.IFNA(IF(Baseline!C23="Bestaande situatie",Baseline!O23/VLOOKUP(Baseline!Z23,Database_Overig_Materieel[#All],8,FALSE),0),0)*Baseline!R23</f>
        <v>0</v>
      </c>
      <c r="Q651" s="132">
        <f>IF(Referentie_Bouwplaats_Totaal[[#This Row],[Emissieloos Asfalt Aanlegset]]="JA",Referentie_Bouwplaats_Totaal[[#This Row],[Draaiuren Bouw Asfalt Vervangingen]],0)+IF(Referentie_Bouwplaats_Totaal[[#This Row],[Emissieloos Bouwmaterieel]]="JA",Referentie_Bouwplaats_Totaal[[#This Row],[Draaiuren Bouw Overig Vervangingen]],0)+IF(Referentie_Bouwplaats_Totaal[[#This Row],[Emissieloos Asfalt Verwijderset]]="JA",Referentie_Bouwplaats_Totaal[[#This Row],[Draaiuren Verwijder Asfalt Vervangingen]],0)+IF(Referentie_Bouwplaats_Totaal[[#This Row],[Emissieloos Sloopmaterieel]]="JA",Referentie_Bouwplaats_Totaal[[#This Row],[Draaiuren Verwijder Overig Vervangingen]],0)</f>
        <v>0</v>
      </c>
      <c r="R651" s="132">
        <f>Referentie_Bouwplaats_Totaal[[#This Row],[Emissieloos bouwplaats]]+Referentie_Bouwplaats_Totaal[[#This Row],[Emissieloos bouwplaats Vervangingen]]</f>
        <v>0</v>
      </c>
      <c r="S651" s="132">
        <f>(Referentie_Bouwplaats_Totaal[[#This Row],[Draaiuren Bouw Asfalt]]+Referentie_Bouwplaats_Totaal[[#This Row],[Draaiuren Bouw Overig]]+Referentie_Bouwplaats_Totaal[[#This Row],[Draaiuren Verwijder Asfalt]]+Referentie_Bouwplaats_Totaal[[#This Row],[Draaiuren Verwijder Overig]]+Referentie_Bouwplaats_Totaal[[#This Row],[Draaiuren Bouw Asfalt Vervangingen]]+Referentie_Bouwplaats_Totaal[[#This Row],[Draaiuren Bouw Overig Vervangingen]]+Referentie_Bouwplaats_Totaal[[#This Row],[Draaiuren Verwijder Asfalt Vervangingen]]+Referentie_Bouwplaats_Totaal[[#This Row],[Draaiuren Verwijder Overig Vervangingen]]-Referentie_Bouwplaats_Totaal[[#This Row],[Totaal Emissieloos Bouwplaats]])</f>
        <v>16.8</v>
      </c>
      <c r="T651" s="132">
        <f>Referentie_Bouwplaats_Totaal[[#This Row],[Totaal Emissieloos Bouwplaats]]+Referentie_Bouwplaats_Totaal[[#This Row],[Totaal Niet Emissieloos Bouwplaats]]</f>
        <v>16.8</v>
      </c>
      <c r="U651" s="132"/>
      <c r="V651" s="13"/>
      <c r="W651" s="13"/>
      <c r="X651" s="13"/>
      <c r="Y651" s="13"/>
      <c r="Z651" s="13"/>
      <c r="AA651" s="13"/>
      <c r="AB651" s="13"/>
      <c r="AC651" s="13"/>
    </row>
    <row r="652" spans="2:29">
      <c r="B652" s="209" t="str">
        <f>Baseline!B24</f>
        <v>322070 - Leveren en aanbrengen rioolbuis van Beton IT Ø400mm</v>
      </c>
      <c r="C652" s="51" t="str">
        <f>Baseline!F24</f>
        <v>Betonbuis 500 mm</v>
      </c>
      <c r="D652" s="134">
        <f>_xlfn.IFNA(IF(Baseline!C24="Nieuwe situatie",(Baseline!Q24/(VLOOKUP(Baseline!U24,Database_Asfalt_Aanlegset[#All],60,FALSE)/8)),0),0)</f>
        <v>0</v>
      </c>
      <c r="E652" s="135">
        <f>IFERROR(IF(Baseline!C24="Nieuwe situatie",Baseline!I24/Baseline!X24,0),0)</f>
        <v>13.3</v>
      </c>
      <c r="F652" s="138">
        <f>_xlfn.IFNA(IF(Baseline!C24="Bestaande situatie",Baseline!Q24/(VLOOKUP(Baseline!Y24,Database_Asfalt_Verwijderset[#All],60,FALSE)/8),0),0)</f>
        <v>0</v>
      </c>
      <c r="G652" s="138">
        <f>IFERROR(IF(Baseline!C24="Bestaande situatie",Baseline!I24/Baseline!AB24,0),0)</f>
        <v>0</v>
      </c>
      <c r="H652" s="138" t="str">
        <f>_xlfn.IFNA((VLOOKUP(Baseline!U24,Database_Asfalt_Aanlegset[],61,FALSE)),"Nee")</f>
        <v>Nee</v>
      </c>
      <c r="I652" s="138" t="str">
        <f>_xlfn.IFNA((VLOOKUP(Baseline!V24,Database_Brandstoffen[],60,FALSE)),"Nee")</f>
        <v>Nee</v>
      </c>
      <c r="J652" s="94" t="str">
        <f>_xlfn.IFNA((VLOOKUP(Baseline!Y24,Database_Asfalt_Verwijderset[],61,FALSE)),"Nee")</f>
        <v>Nee</v>
      </c>
      <c r="K652" s="94" t="str">
        <f>_xlfn.IFNA((VLOOKUP(Baseline!Z24,Database_Brandstoffen[],60,FALSE)),"Nee")</f>
        <v>Nee</v>
      </c>
      <c r="L652" s="124">
        <f>IF(Referentie_Bouwplaats_Totaal[[#This Row],[Emissieloos Asfalt Aanlegset]]="JA",Referentie_Bouwplaats_Totaal[[#This Row],[Draaiuren Bouw Asfalt]],0)+IF(Referentie_Bouwplaats_Totaal[[#This Row],[Emissieloos Bouwmaterieel]]="JA",Referentie_Bouwplaats_Totaal[[#This Row],[Draaiuren Bouw Overig]],0)+IF(Referentie_Bouwplaats_Totaal[[#This Row],[Emissieloos Asfalt Verwijderset]]="JA",Referentie_Bouwplaats_Totaal[[#This Row],[Draaiuren Verwijder Asfalt]],0)+IF(Referentie_Bouwplaats_Totaal[[#This Row],[Emissieloos Sloopmaterieel]]="JA",Referentie_Bouwplaats_Totaal[[#This Row],[Draaiuren Verwijder Overig]],0)</f>
        <v>0</v>
      </c>
      <c r="M652" s="124">
        <f>_xlfn.IFNA(IF(Baseline!C24="Nieuwe situatie",(Baseline!Q24/(VLOOKUP(Baseline!U24,Database_Asfalt_Aanlegset[#All],60,FALSE)/8)),0),0)*Baseline!R24</f>
        <v>0</v>
      </c>
      <c r="N652" s="124">
        <f>_xlfn.IFNA(IF(Baseline!C24="Nieuwe situatie",Baseline!O24/VLOOKUP(Baseline!V24,Database_Overig_Materieel[#All],8,FALSE),0),0)*Baseline!R24</f>
        <v>0</v>
      </c>
      <c r="O652" s="132">
        <f>_xlfn.IFNA(IF(Baseline!C24="Bestaande situatie",Baseline!Q24/(VLOOKUP(Baseline!Y24,Database_Asfalt_Verwijderset[#All],60,FALSE)/8),0),0)*Baseline!R24</f>
        <v>0</v>
      </c>
      <c r="P652" s="132">
        <f>_xlfn.IFNA(IF(Baseline!C24="Bestaande situatie",Baseline!O24/VLOOKUP(Baseline!Z24,Database_Overig_Materieel[#All],8,FALSE),0),0)*Baseline!R24</f>
        <v>0</v>
      </c>
      <c r="Q652" s="132">
        <f>IF(Referentie_Bouwplaats_Totaal[[#This Row],[Emissieloos Asfalt Aanlegset]]="JA",Referentie_Bouwplaats_Totaal[[#This Row],[Draaiuren Bouw Asfalt Vervangingen]],0)+IF(Referentie_Bouwplaats_Totaal[[#This Row],[Emissieloos Bouwmaterieel]]="JA",Referentie_Bouwplaats_Totaal[[#This Row],[Draaiuren Bouw Overig Vervangingen]],0)+IF(Referentie_Bouwplaats_Totaal[[#This Row],[Emissieloos Asfalt Verwijderset]]="JA",Referentie_Bouwplaats_Totaal[[#This Row],[Draaiuren Verwijder Asfalt Vervangingen]],0)+IF(Referentie_Bouwplaats_Totaal[[#This Row],[Emissieloos Sloopmaterieel]]="JA",Referentie_Bouwplaats_Totaal[[#This Row],[Draaiuren Verwijder Overig Vervangingen]],0)</f>
        <v>0</v>
      </c>
      <c r="R652" s="132">
        <f>Referentie_Bouwplaats_Totaal[[#This Row],[Emissieloos bouwplaats]]+Referentie_Bouwplaats_Totaal[[#This Row],[Emissieloos bouwplaats Vervangingen]]</f>
        <v>0</v>
      </c>
      <c r="S652" s="132">
        <f>(Referentie_Bouwplaats_Totaal[[#This Row],[Draaiuren Bouw Asfalt]]+Referentie_Bouwplaats_Totaal[[#This Row],[Draaiuren Bouw Overig]]+Referentie_Bouwplaats_Totaal[[#This Row],[Draaiuren Verwijder Asfalt]]+Referentie_Bouwplaats_Totaal[[#This Row],[Draaiuren Verwijder Overig]]+Referentie_Bouwplaats_Totaal[[#This Row],[Draaiuren Bouw Asfalt Vervangingen]]+Referentie_Bouwplaats_Totaal[[#This Row],[Draaiuren Bouw Overig Vervangingen]]+Referentie_Bouwplaats_Totaal[[#This Row],[Draaiuren Verwijder Asfalt Vervangingen]]+Referentie_Bouwplaats_Totaal[[#This Row],[Draaiuren Verwijder Overig Vervangingen]]-Referentie_Bouwplaats_Totaal[[#This Row],[Totaal Emissieloos Bouwplaats]])</f>
        <v>13.3</v>
      </c>
      <c r="T652" s="132">
        <f>Referentie_Bouwplaats_Totaal[[#This Row],[Totaal Emissieloos Bouwplaats]]+Referentie_Bouwplaats_Totaal[[#This Row],[Totaal Niet Emissieloos Bouwplaats]]</f>
        <v>13.3</v>
      </c>
      <c r="U652" s="132"/>
      <c r="V652" s="13"/>
      <c r="W652" s="13"/>
      <c r="X652" s="13"/>
      <c r="Y652" s="13"/>
      <c r="Z652" s="13"/>
      <c r="AA652" s="13"/>
      <c r="AB652" s="13"/>
      <c r="AC652" s="13"/>
    </row>
    <row r="653" spans="2:29">
      <c r="B653" s="209" t="str">
        <f>Baseline!B25</f>
        <v>322100 - Leveren en aanbrengen rioolbuis van Beton IT Ø800mm</v>
      </c>
      <c r="C653" s="51" t="str">
        <f>Baseline!F25</f>
        <v>Betonbuis 800 mm</v>
      </c>
      <c r="D653" s="134">
        <f>_xlfn.IFNA(IF(Baseline!C25="Nieuwe situatie",(Baseline!Q25/(VLOOKUP(Baseline!U25,Database_Asfalt_Aanlegset[#All],60,FALSE)/8)),0),0)</f>
        <v>0</v>
      </c>
      <c r="E653" s="135">
        <f>IFERROR(IF(Baseline!C25="Nieuwe situatie",Baseline!I25/Baseline!X25,0),0)</f>
        <v>99.55</v>
      </c>
      <c r="F653" s="138">
        <f>_xlfn.IFNA(IF(Baseline!C25="Bestaande situatie",Baseline!Q25/(VLOOKUP(Baseline!Y25,Database_Asfalt_Verwijderset[#All],60,FALSE)/8),0),0)</f>
        <v>0</v>
      </c>
      <c r="G653" s="138">
        <f>IFERROR(IF(Baseline!C25="Bestaande situatie",Baseline!I25/Baseline!AB25,0),0)</f>
        <v>0</v>
      </c>
      <c r="H653" s="138" t="str">
        <f>_xlfn.IFNA((VLOOKUP(Baseline!U25,Database_Asfalt_Aanlegset[],61,FALSE)),"Nee")</f>
        <v>Nee</v>
      </c>
      <c r="I653" s="138" t="str">
        <f>_xlfn.IFNA((VLOOKUP(Baseline!V25,Database_Brandstoffen[],60,FALSE)),"Nee")</f>
        <v>Nee</v>
      </c>
      <c r="J653" s="94" t="str">
        <f>_xlfn.IFNA((VLOOKUP(Baseline!Y25,Database_Asfalt_Verwijderset[],61,FALSE)),"Nee")</f>
        <v>Nee</v>
      </c>
      <c r="K653" s="94" t="str">
        <f>_xlfn.IFNA((VLOOKUP(Baseline!Z25,Database_Brandstoffen[],60,FALSE)),"Nee")</f>
        <v>Nee</v>
      </c>
      <c r="L653" s="124">
        <f>IF(Referentie_Bouwplaats_Totaal[[#This Row],[Emissieloos Asfalt Aanlegset]]="JA",Referentie_Bouwplaats_Totaal[[#This Row],[Draaiuren Bouw Asfalt]],0)+IF(Referentie_Bouwplaats_Totaal[[#This Row],[Emissieloos Bouwmaterieel]]="JA",Referentie_Bouwplaats_Totaal[[#This Row],[Draaiuren Bouw Overig]],0)+IF(Referentie_Bouwplaats_Totaal[[#This Row],[Emissieloos Asfalt Verwijderset]]="JA",Referentie_Bouwplaats_Totaal[[#This Row],[Draaiuren Verwijder Asfalt]],0)+IF(Referentie_Bouwplaats_Totaal[[#This Row],[Emissieloos Sloopmaterieel]]="JA",Referentie_Bouwplaats_Totaal[[#This Row],[Draaiuren Verwijder Overig]],0)</f>
        <v>0</v>
      </c>
      <c r="M653" s="124">
        <f>_xlfn.IFNA(IF(Baseline!C25="Nieuwe situatie",(Baseline!Q25/(VLOOKUP(Baseline!U25,Database_Asfalt_Aanlegset[#All],60,FALSE)/8)),0),0)*Baseline!R25</f>
        <v>0</v>
      </c>
      <c r="N653" s="124">
        <f>_xlfn.IFNA(IF(Baseline!C25="Nieuwe situatie",Baseline!O25/VLOOKUP(Baseline!V25,Database_Overig_Materieel[#All],8,FALSE),0),0)*Baseline!R25</f>
        <v>0</v>
      </c>
      <c r="O653" s="132">
        <f>_xlfn.IFNA(IF(Baseline!C25="Bestaande situatie",Baseline!Q25/(VLOOKUP(Baseline!Y25,Database_Asfalt_Verwijderset[#All],60,FALSE)/8),0),0)*Baseline!R25</f>
        <v>0</v>
      </c>
      <c r="P653" s="132">
        <f>_xlfn.IFNA(IF(Baseline!C25="Bestaande situatie",Baseline!O25/VLOOKUP(Baseline!Z25,Database_Overig_Materieel[#All],8,FALSE),0),0)*Baseline!R25</f>
        <v>0</v>
      </c>
      <c r="Q653" s="132">
        <f>IF(Referentie_Bouwplaats_Totaal[[#This Row],[Emissieloos Asfalt Aanlegset]]="JA",Referentie_Bouwplaats_Totaal[[#This Row],[Draaiuren Bouw Asfalt Vervangingen]],0)+IF(Referentie_Bouwplaats_Totaal[[#This Row],[Emissieloos Bouwmaterieel]]="JA",Referentie_Bouwplaats_Totaal[[#This Row],[Draaiuren Bouw Overig Vervangingen]],0)+IF(Referentie_Bouwplaats_Totaal[[#This Row],[Emissieloos Asfalt Verwijderset]]="JA",Referentie_Bouwplaats_Totaal[[#This Row],[Draaiuren Verwijder Asfalt Vervangingen]],0)+IF(Referentie_Bouwplaats_Totaal[[#This Row],[Emissieloos Sloopmaterieel]]="JA",Referentie_Bouwplaats_Totaal[[#This Row],[Draaiuren Verwijder Overig Vervangingen]],0)</f>
        <v>0</v>
      </c>
      <c r="R653" s="132">
        <f>Referentie_Bouwplaats_Totaal[[#This Row],[Emissieloos bouwplaats]]+Referentie_Bouwplaats_Totaal[[#This Row],[Emissieloos bouwplaats Vervangingen]]</f>
        <v>0</v>
      </c>
      <c r="S653" s="132">
        <f>(Referentie_Bouwplaats_Totaal[[#This Row],[Draaiuren Bouw Asfalt]]+Referentie_Bouwplaats_Totaal[[#This Row],[Draaiuren Bouw Overig]]+Referentie_Bouwplaats_Totaal[[#This Row],[Draaiuren Verwijder Asfalt]]+Referentie_Bouwplaats_Totaal[[#This Row],[Draaiuren Verwijder Overig]]+Referentie_Bouwplaats_Totaal[[#This Row],[Draaiuren Bouw Asfalt Vervangingen]]+Referentie_Bouwplaats_Totaal[[#This Row],[Draaiuren Bouw Overig Vervangingen]]+Referentie_Bouwplaats_Totaal[[#This Row],[Draaiuren Verwijder Asfalt Vervangingen]]+Referentie_Bouwplaats_Totaal[[#This Row],[Draaiuren Verwijder Overig Vervangingen]]-Referentie_Bouwplaats_Totaal[[#This Row],[Totaal Emissieloos Bouwplaats]])</f>
        <v>99.55</v>
      </c>
      <c r="T653" s="132">
        <f>Referentie_Bouwplaats_Totaal[[#This Row],[Totaal Emissieloos Bouwplaats]]+Referentie_Bouwplaats_Totaal[[#This Row],[Totaal Niet Emissieloos Bouwplaats]]</f>
        <v>99.55</v>
      </c>
      <c r="U653" s="132"/>
      <c r="V653" s="13"/>
      <c r="W653" s="13"/>
      <c r="X653" s="13"/>
      <c r="Y653" s="13"/>
      <c r="Z653" s="13"/>
      <c r="AA653" s="13"/>
      <c r="AB653" s="13"/>
      <c r="AC653" s="13"/>
    </row>
    <row r="654" spans="2:29">
      <c r="B654" s="209" t="str">
        <f>Baseline!B26</f>
        <v>330010 - Leveren en aanbrengen kolken</v>
      </c>
      <c r="C654" s="51" t="str">
        <f>Baseline!F26</f>
        <v>Kolk, Staal &amp; Beton</v>
      </c>
      <c r="D654" s="134">
        <f>_xlfn.IFNA(IF(Baseline!C26="Nieuwe situatie",(Baseline!Q26/(VLOOKUP(Baseline!U26,Database_Asfalt_Aanlegset[#All],60,FALSE)/8)),0),0)</f>
        <v>0</v>
      </c>
      <c r="E654" s="135">
        <f>IFERROR(IF(Baseline!C26="Nieuwe situatie",Baseline!I26/Baseline!X26,0),0)</f>
        <v>101</v>
      </c>
      <c r="F654" s="138">
        <f>_xlfn.IFNA(IF(Baseline!C26="Bestaande situatie",Baseline!Q26/(VLOOKUP(Baseline!Y26,Database_Asfalt_Verwijderset[#All],60,FALSE)/8),0),0)</f>
        <v>0</v>
      </c>
      <c r="G654" s="138">
        <f>IFERROR(IF(Baseline!C26="Bestaande situatie",Baseline!I26/Baseline!AB26,0),0)</f>
        <v>0</v>
      </c>
      <c r="H654" s="138" t="str">
        <f>_xlfn.IFNA((VLOOKUP(Baseline!U26,Database_Asfalt_Aanlegset[],61,FALSE)),"Nee")</f>
        <v>Nee</v>
      </c>
      <c r="I654" s="138" t="str">
        <f>_xlfn.IFNA((VLOOKUP(Baseline!V26,Database_Brandstoffen[],60,FALSE)),"Nee")</f>
        <v>Nee</v>
      </c>
      <c r="J654" s="94" t="str">
        <f>_xlfn.IFNA((VLOOKUP(Baseline!Y26,Database_Asfalt_Verwijderset[],61,FALSE)),"Nee")</f>
        <v>Nee</v>
      </c>
      <c r="K654" s="94" t="str">
        <f>_xlfn.IFNA((VLOOKUP(Baseline!Z26,Database_Brandstoffen[],60,FALSE)),"Nee")</f>
        <v>Nee</v>
      </c>
      <c r="L654" s="124">
        <f>IF(Referentie_Bouwplaats_Totaal[[#This Row],[Emissieloos Asfalt Aanlegset]]="JA",Referentie_Bouwplaats_Totaal[[#This Row],[Draaiuren Bouw Asfalt]],0)+IF(Referentie_Bouwplaats_Totaal[[#This Row],[Emissieloos Bouwmaterieel]]="JA",Referentie_Bouwplaats_Totaal[[#This Row],[Draaiuren Bouw Overig]],0)+IF(Referentie_Bouwplaats_Totaal[[#This Row],[Emissieloos Asfalt Verwijderset]]="JA",Referentie_Bouwplaats_Totaal[[#This Row],[Draaiuren Verwijder Asfalt]],0)+IF(Referentie_Bouwplaats_Totaal[[#This Row],[Emissieloos Sloopmaterieel]]="JA",Referentie_Bouwplaats_Totaal[[#This Row],[Draaiuren Verwijder Overig]],0)</f>
        <v>0</v>
      </c>
      <c r="M654" s="124">
        <f>_xlfn.IFNA(IF(Baseline!C26="Nieuwe situatie",(Baseline!Q26/(VLOOKUP(Baseline!U26,Database_Asfalt_Aanlegset[#All],60,FALSE)/8)),0),0)*Baseline!R26</f>
        <v>0</v>
      </c>
      <c r="N654" s="124">
        <f>_xlfn.IFNA(IF(Baseline!C26="Nieuwe situatie",Baseline!O26/VLOOKUP(Baseline!V26,Database_Overig_Materieel[#All],8,FALSE),0),0)*Baseline!R26</f>
        <v>0</v>
      </c>
      <c r="O654" s="132">
        <f>_xlfn.IFNA(IF(Baseline!C26="Bestaande situatie",Baseline!Q26/(VLOOKUP(Baseline!Y26,Database_Asfalt_Verwijderset[#All],60,FALSE)/8),0),0)*Baseline!R26</f>
        <v>0</v>
      </c>
      <c r="P654" s="132">
        <f>_xlfn.IFNA(IF(Baseline!C26="Bestaande situatie",Baseline!O26/VLOOKUP(Baseline!Z26,Database_Overig_Materieel[#All],8,FALSE),0),0)*Baseline!R26</f>
        <v>0</v>
      </c>
      <c r="Q654" s="132">
        <f>IF(Referentie_Bouwplaats_Totaal[[#This Row],[Emissieloos Asfalt Aanlegset]]="JA",Referentie_Bouwplaats_Totaal[[#This Row],[Draaiuren Bouw Asfalt Vervangingen]],0)+IF(Referentie_Bouwplaats_Totaal[[#This Row],[Emissieloos Bouwmaterieel]]="JA",Referentie_Bouwplaats_Totaal[[#This Row],[Draaiuren Bouw Overig Vervangingen]],0)+IF(Referentie_Bouwplaats_Totaal[[#This Row],[Emissieloos Asfalt Verwijderset]]="JA",Referentie_Bouwplaats_Totaal[[#This Row],[Draaiuren Verwijder Asfalt Vervangingen]],0)+IF(Referentie_Bouwplaats_Totaal[[#This Row],[Emissieloos Sloopmaterieel]]="JA",Referentie_Bouwplaats_Totaal[[#This Row],[Draaiuren Verwijder Overig Vervangingen]],0)</f>
        <v>0</v>
      </c>
      <c r="R654" s="132">
        <f>Referentie_Bouwplaats_Totaal[[#This Row],[Emissieloos bouwplaats]]+Referentie_Bouwplaats_Totaal[[#This Row],[Emissieloos bouwplaats Vervangingen]]</f>
        <v>0</v>
      </c>
      <c r="S654" s="132">
        <f>(Referentie_Bouwplaats_Totaal[[#This Row],[Draaiuren Bouw Asfalt]]+Referentie_Bouwplaats_Totaal[[#This Row],[Draaiuren Bouw Overig]]+Referentie_Bouwplaats_Totaal[[#This Row],[Draaiuren Verwijder Asfalt]]+Referentie_Bouwplaats_Totaal[[#This Row],[Draaiuren Verwijder Overig]]+Referentie_Bouwplaats_Totaal[[#This Row],[Draaiuren Bouw Asfalt Vervangingen]]+Referentie_Bouwplaats_Totaal[[#This Row],[Draaiuren Bouw Overig Vervangingen]]+Referentie_Bouwplaats_Totaal[[#This Row],[Draaiuren Verwijder Asfalt Vervangingen]]+Referentie_Bouwplaats_Totaal[[#This Row],[Draaiuren Verwijder Overig Vervangingen]]-Referentie_Bouwplaats_Totaal[[#This Row],[Totaal Emissieloos Bouwplaats]])</f>
        <v>101</v>
      </c>
      <c r="T654" s="132">
        <f>Referentie_Bouwplaats_Totaal[[#This Row],[Totaal Emissieloos Bouwplaats]]+Referentie_Bouwplaats_Totaal[[#This Row],[Totaal Niet Emissieloos Bouwplaats]]</f>
        <v>101</v>
      </c>
      <c r="U654" s="132"/>
      <c r="V654" s="13"/>
      <c r="W654" s="13"/>
      <c r="X654" s="13"/>
      <c r="Y654" s="13"/>
      <c r="Z654" s="13"/>
      <c r="AA654" s="13"/>
      <c r="AB654" s="13"/>
      <c r="AC654" s="13"/>
    </row>
    <row r="655" spans="2:29">
      <c r="B655" s="209" t="str">
        <f>Baseline!B27</f>
        <v>420010 - Leveren en aanbrengen fundering menggranulaat, (250mm dik)</v>
      </c>
      <c r="C655" s="51" t="str">
        <f>Baseline!F27</f>
        <v>Menggranulaat 250mm</v>
      </c>
      <c r="D655" s="134">
        <f>_xlfn.IFNA(IF(Baseline!C27="Nieuwe situatie",(Baseline!Q27/(VLOOKUP(Baseline!U27,Database_Asfalt_Aanlegset[#All],60,FALSE)/8)),0),0)</f>
        <v>0</v>
      </c>
      <c r="E655" s="135">
        <f>IFERROR(IF(Baseline!C27="Nieuwe situatie",Baseline!I27/Baseline!X27,0),0)</f>
        <v>488</v>
      </c>
      <c r="F655" s="138">
        <f>_xlfn.IFNA(IF(Baseline!C27="Bestaande situatie",Baseline!Q27/(VLOOKUP(Baseline!Y27,Database_Asfalt_Verwijderset[#All],60,FALSE)/8),0),0)</f>
        <v>0</v>
      </c>
      <c r="G655" s="138">
        <f>IFERROR(IF(Baseline!C27="Bestaande situatie",Baseline!I27/Baseline!AB27,0),0)</f>
        <v>0</v>
      </c>
      <c r="H655" s="138" t="str">
        <f>_xlfn.IFNA((VLOOKUP(Baseline!U27,Database_Asfalt_Aanlegset[],61,FALSE)),"Nee")</f>
        <v>Nee</v>
      </c>
      <c r="I655" s="138" t="str">
        <f>_xlfn.IFNA((VLOOKUP(Baseline!V27,Database_Brandstoffen[],60,FALSE)),"Nee")</f>
        <v>Nee</v>
      </c>
      <c r="J655" s="94" t="str">
        <f>_xlfn.IFNA((VLOOKUP(Baseline!Y27,Database_Asfalt_Verwijderset[],61,FALSE)),"Nee")</f>
        <v>Nee</v>
      </c>
      <c r="K655" s="94" t="str">
        <f>_xlfn.IFNA((VLOOKUP(Baseline!Z27,Database_Brandstoffen[],60,FALSE)),"Nee")</f>
        <v>Nee</v>
      </c>
      <c r="L655" s="124">
        <f>IF(Referentie_Bouwplaats_Totaal[[#This Row],[Emissieloos Asfalt Aanlegset]]="JA",Referentie_Bouwplaats_Totaal[[#This Row],[Draaiuren Bouw Asfalt]],0)+IF(Referentie_Bouwplaats_Totaal[[#This Row],[Emissieloos Bouwmaterieel]]="JA",Referentie_Bouwplaats_Totaal[[#This Row],[Draaiuren Bouw Overig]],0)+IF(Referentie_Bouwplaats_Totaal[[#This Row],[Emissieloos Asfalt Verwijderset]]="JA",Referentie_Bouwplaats_Totaal[[#This Row],[Draaiuren Verwijder Asfalt]],0)+IF(Referentie_Bouwplaats_Totaal[[#This Row],[Emissieloos Sloopmaterieel]]="JA",Referentie_Bouwplaats_Totaal[[#This Row],[Draaiuren Verwijder Overig]],0)</f>
        <v>0</v>
      </c>
      <c r="M655" s="124">
        <f>_xlfn.IFNA(IF(Baseline!C27="Nieuwe situatie",(Baseline!Q27/(VLOOKUP(Baseline!U27,Database_Asfalt_Aanlegset[#All],60,FALSE)/8)),0),0)*Baseline!R27</f>
        <v>0</v>
      </c>
      <c r="N655" s="124">
        <f>_xlfn.IFNA(IF(Baseline!C27="Nieuwe situatie",Baseline!O27/VLOOKUP(Baseline!V27,Database_Overig_Materieel[#All],8,FALSE),0),0)*Baseline!R27</f>
        <v>0</v>
      </c>
      <c r="O655" s="132">
        <f>_xlfn.IFNA(IF(Baseline!C27="Bestaande situatie",Baseline!Q27/(VLOOKUP(Baseline!Y27,Database_Asfalt_Verwijderset[#All],60,FALSE)/8),0),0)*Baseline!R27</f>
        <v>0</v>
      </c>
      <c r="P655" s="132">
        <f>_xlfn.IFNA(IF(Baseline!C27="Bestaande situatie",Baseline!O27/VLOOKUP(Baseline!Z27,Database_Overig_Materieel[#All],8,FALSE),0),0)*Baseline!R27</f>
        <v>0</v>
      </c>
      <c r="Q655" s="132">
        <f>IF(Referentie_Bouwplaats_Totaal[[#This Row],[Emissieloos Asfalt Aanlegset]]="JA",Referentie_Bouwplaats_Totaal[[#This Row],[Draaiuren Bouw Asfalt Vervangingen]],0)+IF(Referentie_Bouwplaats_Totaal[[#This Row],[Emissieloos Bouwmaterieel]]="JA",Referentie_Bouwplaats_Totaal[[#This Row],[Draaiuren Bouw Overig Vervangingen]],0)+IF(Referentie_Bouwplaats_Totaal[[#This Row],[Emissieloos Asfalt Verwijderset]]="JA",Referentie_Bouwplaats_Totaal[[#This Row],[Draaiuren Verwijder Asfalt Vervangingen]],0)+IF(Referentie_Bouwplaats_Totaal[[#This Row],[Emissieloos Sloopmaterieel]]="JA",Referentie_Bouwplaats_Totaal[[#This Row],[Draaiuren Verwijder Overig Vervangingen]],0)</f>
        <v>0</v>
      </c>
      <c r="R655" s="132">
        <f>Referentie_Bouwplaats_Totaal[[#This Row],[Emissieloos bouwplaats]]+Referentie_Bouwplaats_Totaal[[#This Row],[Emissieloos bouwplaats Vervangingen]]</f>
        <v>0</v>
      </c>
      <c r="S655" s="132">
        <f>(Referentie_Bouwplaats_Totaal[[#This Row],[Draaiuren Bouw Asfalt]]+Referentie_Bouwplaats_Totaal[[#This Row],[Draaiuren Bouw Overig]]+Referentie_Bouwplaats_Totaal[[#This Row],[Draaiuren Verwijder Asfalt]]+Referentie_Bouwplaats_Totaal[[#This Row],[Draaiuren Verwijder Overig]]+Referentie_Bouwplaats_Totaal[[#This Row],[Draaiuren Bouw Asfalt Vervangingen]]+Referentie_Bouwplaats_Totaal[[#This Row],[Draaiuren Bouw Overig Vervangingen]]+Referentie_Bouwplaats_Totaal[[#This Row],[Draaiuren Verwijder Asfalt Vervangingen]]+Referentie_Bouwplaats_Totaal[[#This Row],[Draaiuren Verwijder Overig Vervangingen]]-Referentie_Bouwplaats_Totaal[[#This Row],[Totaal Emissieloos Bouwplaats]])</f>
        <v>488</v>
      </c>
      <c r="T655" s="132">
        <f>Referentie_Bouwplaats_Totaal[[#This Row],[Totaal Emissieloos Bouwplaats]]+Referentie_Bouwplaats_Totaal[[#This Row],[Totaal Niet Emissieloos Bouwplaats]]</f>
        <v>488</v>
      </c>
      <c r="U655" s="132"/>
      <c r="V655" s="13"/>
      <c r="W655" s="13"/>
      <c r="X655" s="13"/>
      <c r="Y655" s="13"/>
      <c r="Z655" s="13"/>
      <c r="AA655" s="13"/>
      <c r="AB655" s="13"/>
      <c r="AC655" s="13"/>
    </row>
    <row r="656" spans="2:29">
      <c r="B656" s="209" t="str">
        <f>Baseline!B28</f>
        <v>430010 - Leveren en aanbrengen trottoirbanden 180/200x250</v>
      </c>
      <c r="C656" s="51" t="str">
        <f>Baseline!F28</f>
        <v>Trottoirband 180/200x250</v>
      </c>
      <c r="D656" s="134">
        <f>_xlfn.IFNA(IF(Baseline!C28="Nieuwe situatie",(Baseline!Q28/(VLOOKUP(Baseline!U28,Database_Asfalt_Aanlegset[#All],60,FALSE)/8)),0),0)</f>
        <v>0</v>
      </c>
      <c r="E656" s="135">
        <f>IFERROR(IF(Baseline!C28="Nieuwe situatie",Baseline!I28/Baseline!X28,0),0)</f>
        <v>5.3125</v>
      </c>
      <c r="F656" s="138">
        <f>_xlfn.IFNA(IF(Baseline!C28="Bestaande situatie",Baseline!Q28/(VLOOKUP(Baseline!Y28,Database_Asfalt_Verwijderset[#All],60,FALSE)/8),0),0)</f>
        <v>0</v>
      </c>
      <c r="G656" s="138">
        <f>IFERROR(IF(Baseline!C28="Bestaande situatie",Baseline!I28/Baseline!AB28,0),0)</f>
        <v>0</v>
      </c>
      <c r="H656" s="138" t="str">
        <f>_xlfn.IFNA((VLOOKUP(Baseline!U28,Database_Asfalt_Aanlegset[],61,FALSE)),"Nee")</f>
        <v>Nee</v>
      </c>
      <c r="I656" s="138" t="str">
        <f>_xlfn.IFNA((VLOOKUP(Baseline!V28,Database_Brandstoffen[],60,FALSE)),"Nee")</f>
        <v>Nee</v>
      </c>
      <c r="J656" s="94" t="str">
        <f>_xlfn.IFNA((VLOOKUP(Baseline!Y28,Database_Asfalt_Verwijderset[],61,FALSE)),"Nee")</f>
        <v>Nee</v>
      </c>
      <c r="K656" s="94" t="str">
        <f>_xlfn.IFNA((VLOOKUP(Baseline!Z28,Database_Brandstoffen[],60,FALSE)),"Nee")</f>
        <v>Nee</v>
      </c>
      <c r="L656" s="124">
        <f>IF(Referentie_Bouwplaats_Totaal[[#This Row],[Emissieloos Asfalt Aanlegset]]="JA",Referentie_Bouwplaats_Totaal[[#This Row],[Draaiuren Bouw Asfalt]],0)+IF(Referentie_Bouwplaats_Totaal[[#This Row],[Emissieloos Bouwmaterieel]]="JA",Referentie_Bouwplaats_Totaal[[#This Row],[Draaiuren Bouw Overig]],0)+IF(Referentie_Bouwplaats_Totaal[[#This Row],[Emissieloos Asfalt Verwijderset]]="JA",Referentie_Bouwplaats_Totaal[[#This Row],[Draaiuren Verwijder Asfalt]],0)+IF(Referentie_Bouwplaats_Totaal[[#This Row],[Emissieloos Sloopmaterieel]]="JA",Referentie_Bouwplaats_Totaal[[#This Row],[Draaiuren Verwijder Overig]],0)</f>
        <v>0</v>
      </c>
      <c r="M656" s="124">
        <f>_xlfn.IFNA(IF(Baseline!C28="Nieuwe situatie",(Baseline!Q28/(VLOOKUP(Baseline!U28,Database_Asfalt_Aanlegset[#All],60,FALSE)/8)),0),0)*Baseline!R28</f>
        <v>0</v>
      </c>
      <c r="N656" s="124">
        <f>_xlfn.IFNA(IF(Baseline!C28="Nieuwe situatie",Baseline!O28/VLOOKUP(Baseline!V28,Database_Overig_Materieel[#All],8,FALSE),0),0)*Baseline!R28</f>
        <v>0</v>
      </c>
      <c r="O656" s="132">
        <f>_xlfn.IFNA(IF(Baseline!C28="Bestaande situatie",Baseline!Q28/(VLOOKUP(Baseline!Y28,Database_Asfalt_Verwijderset[#All],60,FALSE)/8),0),0)*Baseline!R28</f>
        <v>0</v>
      </c>
      <c r="P656" s="132">
        <f>_xlfn.IFNA(IF(Baseline!C28="Bestaande situatie",Baseline!O28/VLOOKUP(Baseline!Z28,Database_Overig_Materieel[#All],8,FALSE),0),0)*Baseline!R28</f>
        <v>0</v>
      </c>
      <c r="Q656" s="132">
        <f>IF(Referentie_Bouwplaats_Totaal[[#This Row],[Emissieloos Asfalt Aanlegset]]="JA",Referentie_Bouwplaats_Totaal[[#This Row],[Draaiuren Bouw Asfalt Vervangingen]],0)+IF(Referentie_Bouwplaats_Totaal[[#This Row],[Emissieloos Bouwmaterieel]]="JA",Referentie_Bouwplaats_Totaal[[#This Row],[Draaiuren Bouw Overig Vervangingen]],0)+IF(Referentie_Bouwplaats_Totaal[[#This Row],[Emissieloos Asfalt Verwijderset]]="JA",Referentie_Bouwplaats_Totaal[[#This Row],[Draaiuren Verwijder Asfalt Vervangingen]],0)+IF(Referentie_Bouwplaats_Totaal[[#This Row],[Emissieloos Sloopmaterieel]]="JA",Referentie_Bouwplaats_Totaal[[#This Row],[Draaiuren Verwijder Overig Vervangingen]],0)</f>
        <v>0</v>
      </c>
      <c r="R656" s="132">
        <f>Referentie_Bouwplaats_Totaal[[#This Row],[Emissieloos bouwplaats]]+Referentie_Bouwplaats_Totaal[[#This Row],[Emissieloos bouwplaats Vervangingen]]</f>
        <v>0</v>
      </c>
      <c r="S656" s="132">
        <f>(Referentie_Bouwplaats_Totaal[[#This Row],[Draaiuren Bouw Asfalt]]+Referentie_Bouwplaats_Totaal[[#This Row],[Draaiuren Bouw Overig]]+Referentie_Bouwplaats_Totaal[[#This Row],[Draaiuren Verwijder Asfalt]]+Referentie_Bouwplaats_Totaal[[#This Row],[Draaiuren Verwijder Overig]]+Referentie_Bouwplaats_Totaal[[#This Row],[Draaiuren Bouw Asfalt Vervangingen]]+Referentie_Bouwplaats_Totaal[[#This Row],[Draaiuren Bouw Overig Vervangingen]]+Referentie_Bouwplaats_Totaal[[#This Row],[Draaiuren Verwijder Asfalt Vervangingen]]+Referentie_Bouwplaats_Totaal[[#This Row],[Draaiuren Verwijder Overig Vervangingen]]-Referentie_Bouwplaats_Totaal[[#This Row],[Totaal Emissieloos Bouwplaats]])</f>
        <v>5.3125</v>
      </c>
      <c r="T656" s="132">
        <f>Referentie_Bouwplaats_Totaal[[#This Row],[Totaal Emissieloos Bouwplaats]]+Referentie_Bouwplaats_Totaal[[#This Row],[Totaal Niet Emissieloos Bouwplaats]]</f>
        <v>5.3125</v>
      </c>
      <c r="U656" s="132"/>
      <c r="V656" s="13"/>
      <c r="W656" s="13"/>
      <c r="X656" s="13"/>
      <c r="Y656" s="13"/>
      <c r="Z656" s="13"/>
      <c r="AA656" s="13"/>
      <c r="AB656" s="13"/>
      <c r="AC656" s="13"/>
    </row>
    <row r="657" spans="2:29">
      <c r="B657" s="209" t="str">
        <f>Baseline!B29</f>
        <v>430020 - Leveren en aanbrengen trottoirbanden 130/150x250</v>
      </c>
      <c r="C657" s="51" t="str">
        <f>Baseline!F29</f>
        <v>Trottoirband 130/150x250</v>
      </c>
      <c r="D657" s="134">
        <f>_xlfn.IFNA(IF(Baseline!C29="Nieuwe situatie",(Baseline!Q29/(VLOOKUP(Baseline!U29,Database_Asfalt_Aanlegset[#All],60,FALSE)/8)),0),0)</f>
        <v>0</v>
      </c>
      <c r="E657" s="135">
        <f>IFERROR(IF(Baseline!C29="Nieuwe situatie",Baseline!I29/Baseline!X29,0),0)</f>
        <v>14.375</v>
      </c>
      <c r="F657" s="138">
        <f>_xlfn.IFNA(IF(Baseline!C29="Bestaande situatie",Baseline!Q29/(VLOOKUP(Baseline!Y29,Database_Asfalt_Verwijderset[#All],60,FALSE)/8),0),0)</f>
        <v>0</v>
      </c>
      <c r="G657" s="138">
        <f>IFERROR(IF(Baseline!C29="Bestaande situatie",Baseline!I29/Baseline!AB29,0),0)</f>
        <v>0</v>
      </c>
      <c r="H657" s="138" t="str">
        <f>_xlfn.IFNA((VLOOKUP(Baseline!U29,Database_Asfalt_Aanlegset[],61,FALSE)),"Nee")</f>
        <v>Nee</v>
      </c>
      <c r="I657" s="138" t="str">
        <f>_xlfn.IFNA((VLOOKUP(Baseline!V29,Database_Brandstoffen[],60,FALSE)),"Nee")</f>
        <v>Nee</v>
      </c>
      <c r="J657" s="94" t="str">
        <f>_xlfn.IFNA((VLOOKUP(Baseline!Y29,Database_Asfalt_Verwijderset[],61,FALSE)),"Nee")</f>
        <v>Nee</v>
      </c>
      <c r="K657" s="94" t="str">
        <f>_xlfn.IFNA((VLOOKUP(Baseline!Z29,Database_Brandstoffen[],60,FALSE)),"Nee")</f>
        <v>Nee</v>
      </c>
      <c r="L657" s="124">
        <f>IF(Referentie_Bouwplaats_Totaal[[#This Row],[Emissieloos Asfalt Aanlegset]]="JA",Referentie_Bouwplaats_Totaal[[#This Row],[Draaiuren Bouw Asfalt]],0)+IF(Referentie_Bouwplaats_Totaal[[#This Row],[Emissieloos Bouwmaterieel]]="JA",Referentie_Bouwplaats_Totaal[[#This Row],[Draaiuren Bouw Overig]],0)+IF(Referentie_Bouwplaats_Totaal[[#This Row],[Emissieloos Asfalt Verwijderset]]="JA",Referentie_Bouwplaats_Totaal[[#This Row],[Draaiuren Verwijder Asfalt]],0)+IF(Referentie_Bouwplaats_Totaal[[#This Row],[Emissieloos Sloopmaterieel]]="JA",Referentie_Bouwplaats_Totaal[[#This Row],[Draaiuren Verwijder Overig]],0)</f>
        <v>0</v>
      </c>
      <c r="M657" s="124">
        <f>_xlfn.IFNA(IF(Baseline!C29="Nieuwe situatie",(Baseline!Q29/(VLOOKUP(Baseline!U29,Database_Asfalt_Aanlegset[#All],60,FALSE)/8)),0),0)*Baseline!R29</f>
        <v>0</v>
      </c>
      <c r="N657" s="124">
        <f>_xlfn.IFNA(IF(Baseline!C29="Nieuwe situatie",Baseline!O29/VLOOKUP(Baseline!V29,Database_Overig_Materieel[#All],8,FALSE),0),0)*Baseline!R29</f>
        <v>0</v>
      </c>
      <c r="O657" s="132">
        <f>_xlfn.IFNA(IF(Baseline!C29="Bestaande situatie",Baseline!Q29/(VLOOKUP(Baseline!Y29,Database_Asfalt_Verwijderset[#All],60,FALSE)/8),0),0)*Baseline!R29</f>
        <v>0</v>
      </c>
      <c r="P657" s="132">
        <f>_xlfn.IFNA(IF(Baseline!C29="Bestaande situatie",Baseline!O29/VLOOKUP(Baseline!Z29,Database_Overig_Materieel[#All],8,FALSE),0),0)*Baseline!R29</f>
        <v>0</v>
      </c>
      <c r="Q657" s="132">
        <f>IF(Referentie_Bouwplaats_Totaal[[#This Row],[Emissieloos Asfalt Aanlegset]]="JA",Referentie_Bouwplaats_Totaal[[#This Row],[Draaiuren Bouw Asfalt Vervangingen]],0)+IF(Referentie_Bouwplaats_Totaal[[#This Row],[Emissieloos Bouwmaterieel]]="JA",Referentie_Bouwplaats_Totaal[[#This Row],[Draaiuren Bouw Overig Vervangingen]],0)+IF(Referentie_Bouwplaats_Totaal[[#This Row],[Emissieloos Asfalt Verwijderset]]="JA",Referentie_Bouwplaats_Totaal[[#This Row],[Draaiuren Verwijder Asfalt Vervangingen]],0)+IF(Referentie_Bouwplaats_Totaal[[#This Row],[Emissieloos Sloopmaterieel]]="JA",Referentie_Bouwplaats_Totaal[[#This Row],[Draaiuren Verwijder Overig Vervangingen]],0)</f>
        <v>0</v>
      </c>
      <c r="R657" s="132">
        <f>Referentie_Bouwplaats_Totaal[[#This Row],[Emissieloos bouwplaats]]+Referentie_Bouwplaats_Totaal[[#This Row],[Emissieloos bouwplaats Vervangingen]]</f>
        <v>0</v>
      </c>
      <c r="S657" s="132">
        <f>(Referentie_Bouwplaats_Totaal[[#This Row],[Draaiuren Bouw Asfalt]]+Referentie_Bouwplaats_Totaal[[#This Row],[Draaiuren Bouw Overig]]+Referentie_Bouwplaats_Totaal[[#This Row],[Draaiuren Verwijder Asfalt]]+Referentie_Bouwplaats_Totaal[[#This Row],[Draaiuren Verwijder Overig]]+Referentie_Bouwplaats_Totaal[[#This Row],[Draaiuren Bouw Asfalt Vervangingen]]+Referentie_Bouwplaats_Totaal[[#This Row],[Draaiuren Bouw Overig Vervangingen]]+Referentie_Bouwplaats_Totaal[[#This Row],[Draaiuren Verwijder Asfalt Vervangingen]]+Referentie_Bouwplaats_Totaal[[#This Row],[Draaiuren Verwijder Overig Vervangingen]]-Referentie_Bouwplaats_Totaal[[#This Row],[Totaal Emissieloos Bouwplaats]])</f>
        <v>14.375</v>
      </c>
      <c r="T657" s="132">
        <f>Referentie_Bouwplaats_Totaal[[#This Row],[Totaal Emissieloos Bouwplaats]]+Referentie_Bouwplaats_Totaal[[#This Row],[Totaal Niet Emissieloos Bouwplaats]]</f>
        <v>14.375</v>
      </c>
      <c r="U657" s="132"/>
      <c r="V657" s="13"/>
      <c r="W657" s="13"/>
      <c r="X657" s="13"/>
      <c r="Y657" s="13"/>
      <c r="Z657" s="13"/>
      <c r="AA657" s="13"/>
      <c r="AB657" s="13"/>
      <c r="AC657" s="13"/>
    </row>
    <row r="658" spans="2:29">
      <c r="B658" s="209" t="str">
        <f>Baseline!B30</f>
        <v>430040 - Leveren en aanbrengen opsluitbanden 100x200</v>
      </c>
      <c r="C658" s="51" t="str">
        <f>Baseline!F30</f>
        <v>Opsluitband 100x200</v>
      </c>
      <c r="D658" s="134">
        <f>_xlfn.IFNA(IF(Baseline!C30="Nieuwe situatie",(Baseline!Q30/(VLOOKUP(Baseline!U30,Database_Asfalt_Aanlegset[#All],60,FALSE)/8)),0),0)</f>
        <v>0</v>
      </c>
      <c r="E658" s="135">
        <f>IFERROR(IF(Baseline!C30="Nieuwe situatie",Baseline!I30/Baseline!X30,0),0)</f>
        <v>83.055555555555557</v>
      </c>
      <c r="F658" s="138">
        <f>_xlfn.IFNA(IF(Baseline!C30="Bestaande situatie",Baseline!Q30/(VLOOKUP(Baseline!Y30,Database_Asfalt_Verwijderset[#All],60,FALSE)/8),0),0)</f>
        <v>0</v>
      </c>
      <c r="G658" s="138">
        <f>IFERROR(IF(Baseline!C30="Bestaande situatie",Baseline!I30/Baseline!AB30,0),0)</f>
        <v>0</v>
      </c>
      <c r="H658" s="138" t="str">
        <f>_xlfn.IFNA((VLOOKUP(Baseline!U30,Database_Asfalt_Aanlegset[],61,FALSE)),"Nee")</f>
        <v>Nee</v>
      </c>
      <c r="I658" s="138" t="str">
        <f>_xlfn.IFNA((VLOOKUP(Baseline!V30,Database_Brandstoffen[],60,FALSE)),"Nee")</f>
        <v>Nee</v>
      </c>
      <c r="J658" s="94" t="str">
        <f>_xlfn.IFNA((VLOOKUP(Baseline!Y30,Database_Asfalt_Verwijderset[],61,FALSE)),"Nee")</f>
        <v>Nee</v>
      </c>
      <c r="K658" s="94" t="str">
        <f>_xlfn.IFNA((VLOOKUP(Baseline!Z30,Database_Brandstoffen[],60,FALSE)),"Nee")</f>
        <v>Nee</v>
      </c>
      <c r="L658" s="124">
        <f>IF(Referentie_Bouwplaats_Totaal[[#This Row],[Emissieloos Asfalt Aanlegset]]="JA",Referentie_Bouwplaats_Totaal[[#This Row],[Draaiuren Bouw Asfalt]],0)+IF(Referentie_Bouwplaats_Totaal[[#This Row],[Emissieloos Bouwmaterieel]]="JA",Referentie_Bouwplaats_Totaal[[#This Row],[Draaiuren Bouw Overig]],0)+IF(Referentie_Bouwplaats_Totaal[[#This Row],[Emissieloos Asfalt Verwijderset]]="JA",Referentie_Bouwplaats_Totaal[[#This Row],[Draaiuren Verwijder Asfalt]],0)+IF(Referentie_Bouwplaats_Totaal[[#This Row],[Emissieloos Sloopmaterieel]]="JA",Referentie_Bouwplaats_Totaal[[#This Row],[Draaiuren Verwijder Overig]],0)</f>
        <v>0</v>
      </c>
      <c r="M658" s="124">
        <f>_xlfn.IFNA(IF(Baseline!C30="Nieuwe situatie",(Baseline!Q30/(VLOOKUP(Baseline!U30,Database_Asfalt_Aanlegset[#All],60,FALSE)/8)),0),0)*Baseline!R30</f>
        <v>0</v>
      </c>
      <c r="N658" s="124">
        <f>_xlfn.IFNA(IF(Baseline!C30="Nieuwe situatie",Baseline!O30/VLOOKUP(Baseline!V30,Database_Overig_Materieel[#All],8,FALSE),0),0)*Baseline!R30</f>
        <v>0</v>
      </c>
      <c r="O658" s="132">
        <f>_xlfn.IFNA(IF(Baseline!C30="Bestaande situatie",Baseline!Q30/(VLOOKUP(Baseline!Y30,Database_Asfalt_Verwijderset[#All],60,FALSE)/8),0),0)*Baseline!R30</f>
        <v>0</v>
      </c>
      <c r="P658" s="132">
        <f>_xlfn.IFNA(IF(Baseline!C30="Bestaande situatie",Baseline!O30/VLOOKUP(Baseline!Z30,Database_Overig_Materieel[#All],8,FALSE),0),0)*Baseline!R30</f>
        <v>0</v>
      </c>
      <c r="Q658" s="132">
        <f>IF(Referentie_Bouwplaats_Totaal[[#This Row],[Emissieloos Asfalt Aanlegset]]="JA",Referentie_Bouwplaats_Totaal[[#This Row],[Draaiuren Bouw Asfalt Vervangingen]],0)+IF(Referentie_Bouwplaats_Totaal[[#This Row],[Emissieloos Bouwmaterieel]]="JA",Referentie_Bouwplaats_Totaal[[#This Row],[Draaiuren Bouw Overig Vervangingen]],0)+IF(Referentie_Bouwplaats_Totaal[[#This Row],[Emissieloos Asfalt Verwijderset]]="JA",Referentie_Bouwplaats_Totaal[[#This Row],[Draaiuren Verwijder Asfalt Vervangingen]],0)+IF(Referentie_Bouwplaats_Totaal[[#This Row],[Emissieloos Sloopmaterieel]]="JA",Referentie_Bouwplaats_Totaal[[#This Row],[Draaiuren Verwijder Overig Vervangingen]],0)</f>
        <v>0</v>
      </c>
      <c r="R658" s="132">
        <f>Referentie_Bouwplaats_Totaal[[#This Row],[Emissieloos bouwplaats]]+Referentie_Bouwplaats_Totaal[[#This Row],[Emissieloos bouwplaats Vervangingen]]</f>
        <v>0</v>
      </c>
      <c r="S658" s="132">
        <f>(Referentie_Bouwplaats_Totaal[[#This Row],[Draaiuren Bouw Asfalt]]+Referentie_Bouwplaats_Totaal[[#This Row],[Draaiuren Bouw Overig]]+Referentie_Bouwplaats_Totaal[[#This Row],[Draaiuren Verwijder Asfalt]]+Referentie_Bouwplaats_Totaal[[#This Row],[Draaiuren Verwijder Overig]]+Referentie_Bouwplaats_Totaal[[#This Row],[Draaiuren Bouw Asfalt Vervangingen]]+Referentie_Bouwplaats_Totaal[[#This Row],[Draaiuren Bouw Overig Vervangingen]]+Referentie_Bouwplaats_Totaal[[#This Row],[Draaiuren Verwijder Asfalt Vervangingen]]+Referentie_Bouwplaats_Totaal[[#This Row],[Draaiuren Verwijder Overig Vervangingen]]-Referentie_Bouwplaats_Totaal[[#This Row],[Totaal Emissieloos Bouwplaats]])</f>
        <v>83.055555555555557</v>
      </c>
      <c r="T658" s="132">
        <f>Referentie_Bouwplaats_Totaal[[#This Row],[Totaal Emissieloos Bouwplaats]]+Referentie_Bouwplaats_Totaal[[#This Row],[Totaal Niet Emissieloos Bouwplaats]]</f>
        <v>83.055555555555557</v>
      </c>
      <c r="U658" s="132"/>
      <c r="V658" s="13"/>
      <c r="W658" s="13"/>
      <c r="X658" s="13"/>
      <c r="Y658" s="13"/>
      <c r="Z658" s="13"/>
      <c r="AA658" s="13"/>
      <c r="AB658" s="13"/>
      <c r="AC658" s="13"/>
    </row>
    <row r="659" spans="2:29">
      <c r="B659" s="209" t="str">
        <f>Baseline!B31</f>
        <v>430050 - Leveren en aanbrengen opsluitbanden 120x250</v>
      </c>
      <c r="C659" s="51" t="str">
        <f>Baseline!F31</f>
        <v>Opsluitband 150x250</v>
      </c>
      <c r="D659" s="134">
        <f>_xlfn.IFNA(IF(Baseline!C31="Nieuwe situatie",(Baseline!Q31/(VLOOKUP(Baseline!U31,Database_Asfalt_Aanlegset[#All],60,FALSE)/8)),0),0)</f>
        <v>0</v>
      </c>
      <c r="E659" s="135">
        <f>IFERROR(IF(Baseline!C31="Nieuwe situatie",Baseline!I31/Baseline!X31,0),0)</f>
        <v>87.5</v>
      </c>
      <c r="F659" s="138">
        <f>_xlfn.IFNA(IF(Baseline!C31="Bestaande situatie",Baseline!Q31/(VLOOKUP(Baseline!Y31,Database_Asfalt_Verwijderset[#All],60,FALSE)/8),0),0)</f>
        <v>0</v>
      </c>
      <c r="G659" s="138">
        <f>IFERROR(IF(Baseline!C31="Bestaande situatie",Baseline!I31/Baseline!AB31,0),0)</f>
        <v>0</v>
      </c>
      <c r="H659" s="138" t="str">
        <f>_xlfn.IFNA((VLOOKUP(Baseline!U31,Database_Asfalt_Aanlegset[],61,FALSE)),"Nee")</f>
        <v>Nee</v>
      </c>
      <c r="I659" s="138" t="str">
        <f>_xlfn.IFNA((VLOOKUP(Baseline!V31,Database_Brandstoffen[],60,FALSE)),"Nee")</f>
        <v>Nee</v>
      </c>
      <c r="J659" s="94" t="str">
        <f>_xlfn.IFNA((VLOOKUP(Baseline!Y31,Database_Asfalt_Verwijderset[],61,FALSE)),"Nee")</f>
        <v>Nee</v>
      </c>
      <c r="K659" s="94" t="str">
        <f>_xlfn.IFNA((VLOOKUP(Baseline!Z31,Database_Brandstoffen[],60,FALSE)),"Nee")</f>
        <v>Nee</v>
      </c>
      <c r="L659" s="124">
        <f>IF(Referentie_Bouwplaats_Totaal[[#This Row],[Emissieloos Asfalt Aanlegset]]="JA",Referentie_Bouwplaats_Totaal[[#This Row],[Draaiuren Bouw Asfalt]],0)+IF(Referentie_Bouwplaats_Totaal[[#This Row],[Emissieloos Bouwmaterieel]]="JA",Referentie_Bouwplaats_Totaal[[#This Row],[Draaiuren Bouw Overig]],0)+IF(Referentie_Bouwplaats_Totaal[[#This Row],[Emissieloos Asfalt Verwijderset]]="JA",Referentie_Bouwplaats_Totaal[[#This Row],[Draaiuren Verwijder Asfalt]],0)+IF(Referentie_Bouwplaats_Totaal[[#This Row],[Emissieloos Sloopmaterieel]]="JA",Referentie_Bouwplaats_Totaal[[#This Row],[Draaiuren Verwijder Overig]],0)</f>
        <v>0</v>
      </c>
      <c r="M659" s="124">
        <f>_xlfn.IFNA(IF(Baseline!C31="Nieuwe situatie",(Baseline!Q31/(VLOOKUP(Baseline!U31,Database_Asfalt_Aanlegset[#All],60,FALSE)/8)),0),0)*Baseline!R31</f>
        <v>0</v>
      </c>
      <c r="N659" s="124">
        <f>_xlfn.IFNA(IF(Baseline!C31="Nieuwe situatie",Baseline!O31/VLOOKUP(Baseline!V31,Database_Overig_Materieel[#All],8,FALSE),0),0)*Baseline!R31</f>
        <v>0</v>
      </c>
      <c r="O659" s="132">
        <f>_xlfn.IFNA(IF(Baseline!C31="Bestaande situatie",Baseline!Q31/(VLOOKUP(Baseline!Y31,Database_Asfalt_Verwijderset[#All],60,FALSE)/8),0),0)*Baseline!R31</f>
        <v>0</v>
      </c>
      <c r="P659" s="132">
        <f>_xlfn.IFNA(IF(Baseline!C31="Bestaande situatie",Baseline!O31/VLOOKUP(Baseline!Z31,Database_Overig_Materieel[#All],8,FALSE),0),0)*Baseline!R31</f>
        <v>0</v>
      </c>
      <c r="Q659" s="132">
        <f>IF(Referentie_Bouwplaats_Totaal[[#This Row],[Emissieloos Asfalt Aanlegset]]="JA",Referentie_Bouwplaats_Totaal[[#This Row],[Draaiuren Bouw Asfalt Vervangingen]],0)+IF(Referentie_Bouwplaats_Totaal[[#This Row],[Emissieloos Bouwmaterieel]]="JA",Referentie_Bouwplaats_Totaal[[#This Row],[Draaiuren Bouw Overig Vervangingen]],0)+IF(Referentie_Bouwplaats_Totaal[[#This Row],[Emissieloos Asfalt Verwijderset]]="JA",Referentie_Bouwplaats_Totaal[[#This Row],[Draaiuren Verwijder Asfalt Vervangingen]],0)+IF(Referentie_Bouwplaats_Totaal[[#This Row],[Emissieloos Sloopmaterieel]]="JA",Referentie_Bouwplaats_Totaal[[#This Row],[Draaiuren Verwijder Overig Vervangingen]],0)</f>
        <v>0</v>
      </c>
      <c r="R659" s="132">
        <f>Referentie_Bouwplaats_Totaal[[#This Row],[Emissieloos bouwplaats]]+Referentie_Bouwplaats_Totaal[[#This Row],[Emissieloos bouwplaats Vervangingen]]</f>
        <v>0</v>
      </c>
      <c r="S659" s="132">
        <f>(Referentie_Bouwplaats_Totaal[[#This Row],[Draaiuren Bouw Asfalt]]+Referentie_Bouwplaats_Totaal[[#This Row],[Draaiuren Bouw Overig]]+Referentie_Bouwplaats_Totaal[[#This Row],[Draaiuren Verwijder Asfalt]]+Referentie_Bouwplaats_Totaal[[#This Row],[Draaiuren Verwijder Overig]]+Referentie_Bouwplaats_Totaal[[#This Row],[Draaiuren Bouw Asfalt Vervangingen]]+Referentie_Bouwplaats_Totaal[[#This Row],[Draaiuren Bouw Overig Vervangingen]]+Referentie_Bouwplaats_Totaal[[#This Row],[Draaiuren Verwijder Asfalt Vervangingen]]+Referentie_Bouwplaats_Totaal[[#This Row],[Draaiuren Verwijder Overig Vervangingen]]-Referentie_Bouwplaats_Totaal[[#This Row],[Totaal Emissieloos Bouwplaats]])</f>
        <v>87.5</v>
      </c>
      <c r="T659" s="132">
        <f>Referentie_Bouwplaats_Totaal[[#This Row],[Totaal Emissieloos Bouwplaats]]+Referentie_Bouwplaats_Totaal[[#This Row],[Totaal Niet Emissieloos Bouwplaats]]</f>
        <v>87.5</v>
      </c>
      <c r="U659" s="132"/>
      <c r="V659" s="13"/>
      <c r="W659" s="13"/>
      <c r="X659" s="13"/>
      <c r="Y659" s="13"/>
      <c r="Z659" s="13"/>
      <c r="AA659" s="13"/>
      <c r="AB659" s="13"/>
      <c r="AC659" s="13"/>
    </row>
    <row r="660" spans="2:29">
      <c r="B660" s="209" t="str">
        <f>Baseline!B32</f>
        <v>440010 - Aanbrengen straatbakstenen DF, Rood (rijweg)</v>
      </c>
      <c r="C660" s="51" t="str">
        <f>Baseline!F32</f>
        <v>Baksteen</v>
      </c>
      <c r="D660" s="134">
        <f>_xlfn.IFNA(IF(Baseline!C32="Nieuwe situatie",(Baseline!Q32/(VLOOKUP(Baseline!U32,Database_Asfalt_Aanlegset[#All],60,FALSE)/8)),0),0)</f>
        <v>0</v>
      </c>
      <c r="E660" s="135">
        <f>IFERROR(IF(Baseline!C32="Nieuwe situatie",Baseline!I32/Baseline!X32,0),0)</f>
        <v>521.87450000000001</v>
      </c>
      <c r="F660" s="138">
        <f>_xlfn.IFNA(IF(Baseline!C32="Bestaande situatie",Baseline!Q32/(VLOOKUP(Baseline!Y32,Database_Asfalt_Verwijderset[#All],60,FALSE)/8),0),0)</f>
        <v>0</v>
      </c>
      <c r="G660" s="138">
        <f>IFERROR(IF(Baseline!C32="Bestaande situatie",Baseline!I32/Baseline!AB32,0),0)</f>
        <v>0</v>
      </c>
      <c r="H660" s="138" t="str">
        <f>_xlfn.IFNA((VLOOKUP(Baseline!U32,Database_Asfalt_Aanlegset[],61,FALSE)),"Nee")</f>
        <v>Nee</v>
      </c>
      <c r="I660" s="138" t="str">
        <f>_xlfn.IFNA((VLOOKUP(Baseline!V32,Database_Brandstoffen[],60,FALSE)),"Nee")</f>
        <v>Nee</v>
      </c>
      <c r="J660" s="94" t="str">
        <f>_xlfn.IFNA((VLOOKUP(Baseline!Y32,Database_Asfalt_Verwijderset[],61,FALSE)),"Nee")</f>
        <v>Nee</v>
      </c>
      <c r="K660" s="94" t="str">
        <f>_xlfn.IFNA((VLOOKUP(Baseline!Z32,Database_Brandstoffen[],60,FALSE)),"Nee")</f>
        <v>Nee</v>
      </c>
      <c r="L660" s="124">
        <f>IF(Referentie_Bouwplaats_Totaal[[#This Row],[Emissieloos Asfalt Aanlegset]]="JA",Referentie_Bouwplaats_Totaal[[#This Row],[Draaiuren Bouw Asfalt]],0)+IF(Referentie_Bouwplaats_Totaal[[#This Row],[Emissieloos Bouwmaterieel]]="JA",Referentie_Bouwplaats_Totaal[[#This Row],[Draaiuren Bouw Overig]],0)+IF(Referentie_Bouwplaats_Totaal[[#This Row],[Emissieloos Asfalt Verwijderset]]="JA",Referentie_Bouwplaats_Totaal[[#This Row],[Draaiuren Verwijder Asfalt]],0)+IF(Referentie_Bouwplaats_Totaal[[#This Row],[Emissieloos Sloopmaterieel]]="JA",Referentie_Bouwplaats_Totaal[[#This Row],[Draaiuren Verwijder Overig]],0)</f>
        <v>0</v>
      </c>
      <c r="M660" s="124">
        <f>_xlfn.IFNA(IF(Baseline!C32="Nieuwe situatie",(Baseline!Q32/(VLOOKUP(Baseline!U32,Database_Asfalt_Aanlegset[#All],60,FALSE)/8)),0),0)*Baseline!R32</f>
        <v>0</v>
      </c>
      <c r="N660" s="124">
        <f>_xlfn.IFNA(IF(Baseline!C32="Nieuwe situatie",Baseline!O32/VLOOKUP(Baseline!V32,Database_Overig_Materieel[#All],8,FALSE),0),0)*Baseline!R32</f>
        <v>0</v>
      </c>
      <c r="O660" s="132">
        <f>_xlfn.IFNA(IF(Baseline!C32="Bestaande situatie",Baseline!Q32/(VLOOKUP(Baseline!Y32,Database_Asfalt_Verwijderset[#All],60,FALSE)/8),0),0)*Baseline!R32</f>
        <v>0</v>
      </c>
      <c r="P660" s="132">
        <f>_xlfn.IFNA(IF(Baseline!C32="Bestaande situatie",Baseline!O32/VLOOKUP(Baseline!Z32,Database_Overig_Materieel[#All],8,FALSE),0),0)*Baseline!R32</f>
        <v>0</v>
      </c>
      <c r="Q660" s="132">
        <f>IF(Referentie_Bouwplaats_Totaal[[#This Row],[Emissieloos Asfalt Aanlegset]]="JA",Referentie_Bouwplaats_Totaal[[#This Row],[Draaiuren Bouw Asfalt Vervangingen]],0)+IF(Referentie_Bouwplaats_Totaal[[#This Row],[Emissieloos Bouwmaterieel]]="JA",Referentie_Bouwplaats_Totaal[[#This Row],[Draaiuren Bouw Overig Vervangingen]],0)+IF(Referentie_Bouwplaats_Totaal[[#This Row],[Emissieloos Asfalt Verwijderset]]="JA",Referentie_Bouwplaats_Totaal[[#This Row],[Draaiuren Verwijder Asfalt Vervangingen]],0)+IF(Referentie_Bouwplaats_Totaal[[#This Row],[Emissieloos Sloopmaterieel]]="JA",Referentie_Bouwplaats_Totaal[[#This Row],[Draaiuren Verwijder Overig Vervangingen]],0)</f>
        <v>0</v>
      </c>
      <c r="R660" s="132">
        <f>Referentie_Bouwplaats_Totaal[[#This Row],[Emissieloos bouwplaats]]+Referentie_Bouwplaats_Totaal[[#This Row],[Emissieloos bouwplaats Vervangingen]]</f>
        <v>0</v>
      </c>
      <c r="S660" s="132">
        <f>(Referentie_Bouwplaats_Totaal[[#This Row],[Draaiuren Bouw Asfalt]]+Referentie_Bouwplaats_Totaal[[#This Row],[Draaiuren Bouw Overig]]+Referentie_Bouwplaats_Totaal[[#This Row],[Draaiuren Verwijder Asfalt]]+Referentie_Bouwplaats_Totaal[[#This Row],[Draaiuren Verwijder Overig]]+Referentie_Bouwplaats_Totaal[[#This Row],[Draaiuren Bouw Asfalt Vervangingen]]+Referentie_Bouwplaats_Totaal[[#This Row],[Draaiuren Bouw Overig Vervangingen]]+Referentie_Bouwplaats_Totaal[[#This Row],[Draaiuren Verwijder Asfalt Vervangingen]]+Referentie_Bouwplaats_Totaal[[#This Row],[Draaiuren Verwijder Overig Vervangingen]]-Referentie_Bouwplaats_Totaal[[#This Row],[Totaal Emissieloos Bouwplaats]])</f>
        <v>521.87450000000001</v>
      </c>
      <c r="T660" s="132">
        <f>Referentie_Bouwplaats_Totaal[[#This Row],[Totaal Emissieloos Bouwplaats]]+Referentie_Bouwplaats_Totaal[[#This Row],[Totaal Niet Emissieloos Bouwplaats]]</f>
        <v>521.87450000000001</v>
      </c>
      <c r="U660" s="132"/>
      <c r="V660" s="13"/>
      <c r="W660" s="13"/>
      <c r="X660" s="13"/>
      <c r="Y660" s="13"/>
      <c r="Z660" s="13"/>
      <c r="AA660" s="13"/>
      <c r="AB660" s="13"/>
      <c r="AC660" s="13"/>
    </row>
    <row r="661" spans="2:29">
      <c r="B661" s="209" t="str">
        <f>Baseline!B33</f>
        <v>440020 - Aanbrengen straatbakstenen DF, Geel (rijweg/ plein)</v>
      </c>
      <c r="C661" s="51" t="str">
        <f>Baseline!F33</f>
        <v>Baksteen</v>
      </c>
      <c r="D661" s="134">
        <f>_xlfn.IFNA(IF(Baseline!C33="Nieuwe situatie",(Baseline!Q33/(VLOOKUP(Baseline!U33,Database_Asfalt_Aanlegset[#All],60,FALSE)/8)),0),0)</f>
        <v>0</v>
      </c>
      <c r="E661" s="135">
        <f>IFERROR(IF(Baseline!C33="Nieuwe situatie",Baseline!I33/Baseline!X33,0),0)</f>
        <v>772.60749999999996</v>
      </c>
      <c r="F661" s="138">
        <f>_xlfn.IFNA(IF(Baseline!C33="Bestaande situatie",Baseline!Q33/(VLOOKUP(Baseline!Y33,Database_Asfalt_Verwijderset[#All],60,FALSE)/8),0),0)</f>
        <v>0</v>
      </c>
      <c r="G661" s="138">
        <f>IFERROR(IF(Baseline!C33="Bestaande situatie",Baseline!I33/Baseline!AB33,0),0)</f>
        <v>0</v>
      </c>
      <c r="H661" s="138" t="str">
        <f>_xlfn.IFNA((VLOOKUP(Baseline!U33,Database_Asfalt_Aanlegset[],61,FALSE)),"Nee")</f>
        <v>Nee</v>
      </c>
      <c r="I661" s="138" t="str">
        <f>_xlfn.IFNA((VLOOKUP(Baseline!V33,Database_Brandstoffen[],60,FALSE)),"Nee")</f>
        <v>Nee</v>
      </c>
      <c r="J661" s="94" t="str">
        <f>_xlfn.IFNA((VLOOKUP(Baseline!Y33,Database_Asfalt_Verwijderset[],61,FALSE)),"Nee")</f>
        <v>Nee</v>
      </c>
      <c r="K661" s="94" t="str">
        <f>_xlfn.IFNA((VLOOKUP(Baseline!Z33,Database_Brandstoffen[],60,FALSE)),"Nee")</f>
        <v>Nee</v>
      </c>
      <c r="L661" s="124">
        <f>IF(Referentie_Bouwplaats_Totaal[[#This Row],[Emissieloos Asfalt Aanlegset]]="JA",Referentie_Bouwplaats_Totaal[[#This Row],[Draaiuren Bouw Asfalt]],0)+IF(Referentie_Bouwplaats_Totaal[[#This Row],[Emissieloos Bouwmaterieel]]="JA",Referentie_Bouwplaats_Totaal[[#This Row],[Draaiuren Bouw Overig]],0)+IF(Referentie_Bouwplaats_Totaal[[#This Row],[Emissieloos Asfalt Verwijderset]]="JA",Referentie_Bouwplaats_Totaal[[#This Row],[Draaiuren Verwijder Asfalt]],0)+IF(Referentie_Bouwplaats_Totaal[[#This Row],[Emissieloos Sloopmaterieel]]="JA",Referentie_Bouwplaats_Totaal[[#This Row],[Draaiuren Verwijder Overig]],0)</f>
        <v>0</v>
      </c>
      <c r="M661" s="124">
        <f>_xlfn.IFNA(IF(Baseline!C33="Nieuwe situatie",(Baseline!Q33/(VLOOKUP(Baseline!U33,Database_Asfalt_Aanlegset[#All],60,FALSE)/8)),0),0)*Baseline!R33</f>
        <v>0</v>
      </c>
      <c r="N661" s="124">
        <f>_xlfn.IFNA(IF(Baseline!C33="Nieuwe situatie",Baseline!O33/VLOOKUP(Baseline!V33,Database_Overig_Materieel[#All],8,FALSE),0),0)*Baseline!R33</f>
        <v>0</v>
      </c>
      <c r="O661" s="132">
        <f>_xlfn.IFNA(IF(Baseline!C33="Bestaande situatie",Baseline!Q33/(VLOOKUP(Baseline!Y33,Database_Asfalt_Verwijderset[#All],60,FALSE)/8),0),0)*Baseline!R33</f>
        <v>0</v>
      </c>
      <c r="P661" s="132">
        <f>_xlfn.IFNA(IF(Baseline!C33="Bestaande situatie",Baseline!O33/VLOOKUP(Baseline!Z33,Database_Overig_Materieel[#All],8,FALSE),0),0)*Baseline!R33</f>
        <v>0</v>
      </c>
      <c r="Q661" s="132">
        <f>IF(Referentie_Bouwplaats_Totaal[[#This Row],[Emissieloos Asfalt Aanlegset]]="JA",Referentie_Bouwplaats_Totaal[[#This Row],[Draaiuren Bouw Asfalt Vervangingen]],0)+IF(Referentie_Bouwplaats_Totaal[[#This Row],[Emissieloos Bouwmaterieel]]="JA",Referentie_Bouwplaats_Totaal[[#This Row],[Draaiuren Bouw Overig Vervangingen]],0)+IF(Referentie_Bouwplaats_Totaal[[#This Row],[Emissieloos Asfalt Verwijderset]]="JA",Referentie_Bouwplaats_Totaal[[#This Row],[Draaiuren Verwijder Asfalt Vervangingen]],0)+IF(Referentie_Bouwplaats_Totaal[[#This Row],[Emissieloos Sloopmaterieel]]="JA",Referentie_Bouwplaats_Totaal[[#This Row],[Draaiuren Verwijder Overig Vervangingen]],0)</f>
        <v>0</v>
      </c>
      <c r="R661" s="132">
        <f>Referentie_Bouwplaats_Totaal[[#This Row],[Emissieloos bouwplaats]]+Referentie_Bouwplaats_Totaal[[#This Row],[Emissieloos bouwplaats Vervangingen]]</f>
        <v>0</v>
      </c>
      <c r="S661" s="132">
        <f>(Referentie_Bouwplaats_Totaal[[#This Row],[Draaiuren Bouw Asfalt]]+Referentie_Bouwplaats_Totaal[[#This Row],[Draaiuren Bouw Overig]]+Referentie_Bouwplaats_Totaal[[#This Row],[Draaiuren Verwijder Asfalt]]+Referentie_Bouwplaats_Totaal[[#This Row],[Draaiuren Verwijder Overig]]+Referentie_Bouwplaats_Totaal[[#This Row],[Draaiuren Bouw Asfalt Vervangingen]]+Referentie_Bouwplaats_Totaal[[#This Row],[Draaiuren Bouw Overig Vervangingen]]+Referentie_Bouwplaats_Totaal[[#This Row],[Draaiuren Verwijder Asfalt Vervangingen]]+Referentie_Bouwplaats_Totaal[[#This Row],[Draaiuren Verwijder Overig Vervangingen]]-Referentie_Bouwplaats_Totaal[[#This Row],[Totaal Emissieloos Bouwplaats]])</f>
        <v>772.60749999999996</v>
      </c>
      <c r="T661" s="132">
        <f>Referentie_Bouwplaats_Totaal[[#This Row],[Totaal Emissieloos Bouwplaats]]+Referentie_Bouwplaats_Totaal[[#This Row],[Totaal Niet Emissieloos Bouwplaats]]</f>
        <v>772.60749999999996</v>
      </c>
      <c r="U661" s="132"/>
      <c r="V661" s="13"/>
      <c r="W661" s="13"/>
      <c r="X661" s="13"/>
      <c r="Y661" s="13"/>
      <c r="Z661" s="13"/>
      <c r="AA661" s="13"/>
      <c r="AB661" s="13"/>
      <c r="AC661" s="13"/>
    </row>
    <row r="662" spans="2:29">
      <c r="B662" s="209" t="str">
        <f>Baseline!B34</f>
        <v>440030 - Aanbrengen straatbakstenen DF, Rood (parkeervakken)</v>
      </c>
      <c r="C662" s="51" t="str">
        <f>Baseline!F34</f>
        <v>Baksteen</v>
      </c>
      <c r="D662" s="134">
        <f>_xlfn.IFNA(IF(Baseline!C34="Nieuwe situatie",(Baseline!Q34/(VLOOKUP(Baseline!U34,Database_Asfalt_Aanlegset[#All],60,FALSE)/8)),0),0)</f>
        <v>0</v>
      </c>
      <c r="E662" s="135">
        <f>IFERROR(IF(Baseline!C34="Nieuwe situatie",Baseline!I34/Baseline!X34,0),0)</f>
        <v>52.062499999999993</v>
      </c>
      <c r="F662" s="138">
        <f>_xlfn.IFNA(IF(Baseline!C34="Bestaande situatie",Baseline!Q34/(VLOOKUP(Baseline!Y34,Database_Asfalt_Verwijderset[#All],60,FALSE)/8),0),0)</f>
        <v>0</v>
      </c>
      <c r="G662" s="138">
        <f>IFERROR(IF(Baseline!C34="Bestaande situatie",Baseline!I34/Baseline!AB34,0),0)</f>
        <v>0</v>
      </c>
      <c r="H662" s="138" t="str">
        <f>_xlfn.IFNA((VLOOKUP(Baseline!U34,Database_Asfalt_Aanlegset[],61,FALSE)),"Nee")</f>
        <v>Nee</v>
      </c>
      <c r="I662" s="138" t="str">
        <f>_xlfn.IFNA((VLOOKUP(Baseline!V34,Database_Brandstoffen[],60,FALSE)),"Nee")</f>
        <v>Nee</v>
      </c>
      <c r="J662" s="94" t="str">
        <f>_xlfn.IFNA((VLOOKUP(Baseline!Y34,Database_Asfalt_Verwijderset[],61,FALSE)),"Nee")</f>
        <v>Nee</v>
      </c>
      <c r="K662" s="94" t="str">
        <f>_xlfn.IFNA((VLOOKUP(Baseline!Z34,Database_Brandstoffen[],60,FALSE)),"Nee")</f>
        <v>Nee</v>
      </c>
      <c r="L662" s="124">
        <f>IF(Referentie_Bouwplaats_Totaal[[#This Row],[Emissieloos Asfalt Aanlegset]]="JA",Referentie_Bouwplaats_Totaal[[#This Row],[Draaiuren Bouw Asfalt]],0)+IF(Referentie_Bouwplaats_Totaal[[#This Row],[Emissieloos Bouwmaterieel]]="JA",Referentie_Bouwplaats_Totaal[[#This Row],[Draaiuren Bouw Overig]],0)+IF(Referentie_Bouwplaats_Totaal[[#This Row],[Emissieloos Asfalt Verwijderset]]="JA",Referentie_Bouwplaats_Totaal[[#This Row],[Draaiuren Verwijder Asfalt]],0)+IF(Referentie_Bouwplaats_Totaal[[#This Row],[Emissieloos Sloopmaterieel]]="JA",Referentie_Bouwplaats_Totaal[[#This Row],[Draaiuren Verwijder Overig]],0)</f>
        <v>0</v>
      </c>
      <c r="M662" s="124">
        <f>_xlfn.IFNA(IF(Baseline!C34="Nieuwe situatie",(Baseline!Q34/(VLOOKUP(Baseline!U34,Database_Asfalt_Aanlegset[#All],60,FALSE)/8)),0),0)*Baseline!R34</f>
        <v>0</v>
      </c>
      <c r="N662" s="124">
        <f>_xlfn.IFNA(IF(Baseline!C34="Nieuwe situatie",Baseline!O34/VLOOKUP(Baseline!V34,Database_Overig_Materieel[#All],8,FALSE),0),0)*Baseline!R34</f>
        <v>0</v>
      </c>
      <c r="O662" s="132">
        <f>_xlfn.IFNA(IF(Baseline!C34="Bestaande situatie",Baseline!Q34/(VLOOKUP(Baseline!Y34,Database_Asfalt_Verwijderset[#All],60,FALSE)/8),0),0)*Baseline!R34</f>
        <v>0</v>
      </c>
      <c r="P662" s="132">
        <f>_xlfn.IFNA(IF(Baseline!C34="Bestaande situatie",Baseline!O34/VLOOKUP(Baseline!Z34,Database_Overig_Materieel[#All],8,FALSE),0),0)*Baseline!R34</f>
        <v>0</v>
      </c>
      <c r="Q662" s="132">
        <f>IF(Referentie_Bouwplaats_Totaal[[#This Row],[Emissieloos Asfalt Aanlegset]]="JA",Referentie_Bouwplaats_Totaal[[#This Row],[Draaiuren Bouw Asfalt Vervangingen]],0)+IF(Referentie_Bouwplaats_Totaal[[#This Row],[Emissieloos Bouwmaterieel]]="JA",Referentie_Bouwplaats_Totaal[[#This Row],[Draaiuren Bouw Overig Vervangingen]],0)+IF(Referentie_Bouwplaats_Totaal[[#This Row],[Emissieloos Asfalt Verwijderset]]="JA",Referentie_Bouwplaats_Totaal[[#This Row],[Draaiuren Verwijder Asfalt Vervangingen]],0)+IF(Referentie_Bouwplaats_Totaal[[#This Row],[Emissieloos Sloopmaterieel]]="JA",Referentie_Bouwplaats_Totaal[[#This Row],[Draaiuren Verwijder Overig Vervangingen]],0)</f>
        <v>0</v>
      </c>
      <c r="R662" s="132">
        <f>Referentie_Bouwplaats_Totaal[[#This Row],[Emissieloos bouwplaats]]+Referentie_Bouwplaats_Totaal[[#This Row],[Emissieloos bouwplaats Vervangingen]]</f>
        <v>0</v>
      </c>
      <c r="S662" s="132">
        <f>(Referentie_Bouwplaats_Totaal[[#This Row],[Draaiuren Bouw Asfalt]]+Referentie_Bouwplaats_Totaal[[#This Row],[Draaiuren Bouw Overig]]+Referentie_Bouwplaats_Totaal[[#This Row],[Draaiuren Verwijder Asfalt]]+Referentie_Bouwplaats_Totaal[[#This Row],[Draaiuren Verwijder Overig]]+Referentie_Bouwplaats_Totaal[[#This Row],[Draaiuren Bouw Asfalt Vervangingen]]+Referentie_Bouwplaats_Totaal[[#This Row],[Draaiuren Bouw Overig Vervangingen]]+Referentie_Bouwplaats_Totaal[[#This Row],[Draaiuren Verwijder Asfalt Vervangingen]]+Referentie_Bouwplaats_Totaal[[#This Row],[Draaiuren Verwijder Overig Vervangingen]]-Referentie_Bouwplaats_Totaal[[#This Row],[Totaal Emissieloos Bouwplaats]])</f>
        <v>52.062499999999993</v>
      </c>
      <c r="T662" s="132">
        <f>Referentie_Bouwplaats_Totaal[[#This Row],[Totaal Emissieloos Bouwplaats]]+Referentie_Bouwplaats_Totaal[[#This Row],[Totaal Niet Emissieloos Bouwplaats]]</f>
        <v>52.062499999999993</v>
      </c>
      <c r="U662" s="132"/>
      <c r="V662" s="13"/>
      <c r="W662" s="13"/>
      <c r="X662" s="13"/>
      <c r="Y662" s="13"/>
      <c r="Z662" s="13"/>
      <c r="AA662" s="13"/>
      <c r="AB662" s="13"/>
      <c r="AC662" s="13"/>
    </row>
    <row r="663" spans="2:29">
      <c r="B663" s="209" t="str">
        <f>Baseline!B35</f>
        <v>440040 - Aanbrengen straatbakstenen DF, Geel (parkeervakken)</v>
      </c>
      <c r="C663" s="51" t="str">
        <f>Baseline!F35</f>
        <v>Baksteen</v>
      </c>
      <c r="D663" s="134">
        <f>_xlfn.IFNA(IF(Baseline!C35="Nieuwe situatie",(Baseline!Q35/(VLOOKUP(Baseline!U35,Database_Asfalt_Aanlegset[#All],60,FALSE)/8)),0),0)</f>
        <v>0</v>
      </c>
      <c r="E663" s="135">
        <f>IFERROR(IF(Baseline!C35="Nieuwe situatie",Baseline!I35/Baseline!X35,0),0)</f>
        <v>59.142999999999994</v>
      </c>
      <c r="F663" s="138">
        <f>_xlfn.IFNA(IF(Baseline!C35="Bestaande situatie",Baseline!Q35/(VLOOKUP(Baseline!Y35,Database_Asfalt_Verwijderset[#All],60,FALSE)/8),0),0)</f>
        <v>0</v>
      </c>
      <c r="G663" s="138">
        <f>IFERROR(IF(Baseline!C35="Bestaande situatie",Baseline!I35/Baseline!AB35,0),0)</f>
        <v>0</v>
      </c>
      <c r="H663" s="138" t="str">
        <f>_xlfn.IFNA((VLOOKUP(Baseline!U35,Database_Asfalt_Aanlegset[],61,FALSE)),"Nee")</f>
        <v>Nee</v>
      </c>
      <c r="I663" s="138" t="str">
        <f>_xlfn.IFNA((VLOOKUP(Baseline!V35,Database_Brandstoffen[],60,FALSE)),"Nee")</f>
        <v>Nee</v>
      </c>
      <c r="J663" s="94" t="str">
        <f>_xlfn.IFNA((VLOOKUP(Baseline!Y35,Database_Asfalt_Verwijderset[],61,FALSE)),"Nee")</f>
        <v>Nee</v>
      </c>
      <c r="K663" s="94" t="str">
        <f>_xlfn.IFNA((VLOOKUP(Baseline!Z35,Database_Brandstoffen[],60,FALSE)),"Nee")</f>
        <v>Nee</v>
      </c>
      <c r="L663" s="124">
        <f>IF(Referentie_Bouwplaats_Totaal[[#This Row],[Emissieloos Asfalt Aanlegset]]="JA",Referentie_Bouwplaats_Totaal[[#This Row],[Draaiuren Bouw Asfalt]],0)+IF(Referentie_Bouwplaats_Totaal[[#This Row],[Emissieloos Bouwmaterieel]]="JA",Referentie_Bouwplaats_Totaal[[#This Row],[Draaiuren Bouw Overig]],0)+IF(Referentie_Bouwplaats_Totaal[[#This Row],[Emissieloos Asfalt Verwijderset]]="JA",Referentie_Bouwplaats_Totaal[[#This Row],[Draaiuren Verwijder Asfalt]],0)+IF(Referentie_Bouwplaats_Totaal[[#This Row],[Emissieloos Sloopmaterieel]]="JA",Referentie_Bouwplaats_Totaal[[#This Row],[Draaiuren Verwijder Overig]],0)</f>
        <v>0</v>
      </c>
      <c r="M663" s="124">
        <f>_xlfn.IFNA(IF(Baseline!C35="Nieuwe situatie",(Baseline!Q35/(VLOOKUP(Baseline!U35,Database_Asfalt_Aanlegset[#All],60,FALSE)/8)),0),0)*Baseline!R35</f>
        <v>0</v>
      </c>
      <c r="N663" s="124">
        <f>_xlfn.IFNA(IF(Baseline!C35="Nieuwe situatie",Baseline!O35/VLOOKUP(Baseline!V35,Database_Overig_Materieel[#All],8,FALSE),0),0)*Baseline!R35</f>
        <v>0</v>
      </c>
      <c r="O663" s="132">
        <f>_xlfn.IFNA(IF(Baseline!C35="Bestaande situatie",Baseline!Q35/(VLOOKUP(Baseline!Y35,Database_Asfalt_Verwijderset[#All],60,FALSE)/8),0),0)*Baseline!R35</f>
        <v>0</v>
      </c>
      <c r="P663" s="132">
        <f>_xlfn.IFNA(IF(Baseline!C35="Bestaande situatie",Baseline!O35/VLOOKUP(Baseline!Z35,Database_Overig_Materieel[#All],8,FALSE),0),0)*Baseline!R35</f>
        <v>0</v>
      </c>
      <c r="Q663" s="132">
        <f>IF(Referentie_Bouwplaats_Totaal[[#This Row],[Emissieloos Asfalt Aanlegset]]="JA",Referentie_Bouwplaats_Totaal[[#This Row],[Draaiuren Bouw Asfalt Vervangingen]],0)+IF(Referentie_Bouwplaats_Totaal[[#This Row],[Emissieloos Bouwmaterieel]]="JA",Referentie_Bouwplaats_Totaal[[#This Row],[Draaiuren Bouw Overig Vervangingen]],0)+IF(Referentie_Bouwplaats_Totaal[[#This Row],[Emissieloos Asfalt Verwijderset]]="JA",Referentie_Bouwplaats_Totaal[[#This Row],[Draaiuren Verwijder Asfalt Vervangingen]],0)+IF(Referentie_Bouwplaats_Totaal[[#This Row],[Emissieloos Sloopmaterieel]]="JA",Referentie_Bouwplaats_Totaal[[#This Row],[Draaiuren Verwijder Overig Vervangingen]],0)</f>
        <v>0</v>
      </c>
      <c r="R663" s="132">
        <f>Referentie_Bouwplaats_Totaal[[#This Row],[Emissieloos bouwplaats]]+Referentie_Bouwplaats_Totaal[[#This Row],[Emissieloos bouwplaats Vervangingen]]</f>
        <v>0</v>
      </c>
      <c r="S663" s="132">
        <f>(Referentie_Bouwplaats_Totaal[[#This Row],[Draaiuren Bouw Asfalt]]+Referentie_Bouwplaats_Totaal[[#This Row],[Draaiuren Bouw Overig]]+Referentie_Bouwplaats_Totaal[[#This Row],[Draaiuren Verwijder Asfalt]]+Referentie_Bouwplaats_Totaal[[#This Row],[Draaiuren Verwijder Overig]]+Referentie_Bouwplaats_Totaal[[#This Row],[Draaiuren Bouw Asfalt Vervangingen]]+Referentie_Bouwplaats_Totaal[[#This Row],[Draaiuren Bouw Overig Vervangingen]]+Referentie_Bouwplaats_Totaal[[#This Row],[Draaiuren Verwijder Asfalt Vervangingen]]+Referentie_Bouwplaats_Totaal[[#This Row],[Draaiuren Verwijder Overig Vervangingen]]-Referentie_Bouwplaats_Totaal[[#This Row],[Totaal Emissieloos Bouwplaats]])</f>
        <v>59.142999999999994</v>
      </c>
      <c r="T663" s="132">
        <f>Referentie_Bouwplaats_Totaal[[#This Row],[Totaal Emissieloos Bouwplaats]]+Referentie_Bouwplaats_Totaal[[#This Row],[Totaal Niet Emissieloos Bouwplaats]]</f>
        <v>59.142999999999994</v>
      </c>
      <c r="U663" s="132"/>
      <c r="V663" s="13"/>
      <c r="W663" s="13"/>
      <c r="X663" s="13"/>
      <c r="Y663" s="13"/>
      <c r="Z663" s="13"/>
      <c r="AA663" s="13"/>
      <c r="AB663" s="13"/>
      <c r="AC663" s="13"/>
    </row>
    <row r="664" spans="2:29">
      <c r="B664" s="209" t="str">
        <f>Baseline!B36</f>
        <v>440050 - Leveren en aanbrengen open (grasbeton) verharding (parkeerplaats)</v>
      </c>
      <c r="C664" s="51" t="str">
        <f>Baseline!F36</f>
        <v>Grasbetontegel CEM I 120 mm</v>
      </c>
      <c r="D664" s="134">
        <f>_xlfn.IFNA(IF(Baseline!C36="Nieuwe situatie",(Baseline!Q36/(VLOOKUP(Baseline!U36,Database_Asfalt_Aanlegset[#All],60,FALSE)/8)),0),0)</f>
        <v>0</v>
      </c>
      <c r="E664" s="135">
        <f>IFERROR(IF(Baseline!C36="Nieuwe situatie",Baseline!I36/Baseline!X36,0),0)</f>
        <v>83.3</v>
      </c>
      <c r="F664" s="138">
        <f>_xlfn.IFNA(IF(Baseline!C36="Bestaande situatie",Baseline!Q36/(VLOOKUP(Baseline!Y36,Database_Asfalt_Verwijderset[#All],60,FALSE)/8),0),0)</f>
        <v>0</v>
      </c>
      <c r="G664" s="138">
        <f>IFERROR(IF(Baseline!C36="Bestaande situatie",Baseline!I36/Baseline!AB36,0),0)</f>
        <v>0</v>
      </c>
      <c r="H664" s="138" t="str">
        <f>_xlfn.IFNA((VLOOKUP(Baseline!U36,Database_Asfalt_Aanlegset[],61,FALSE)),"Nee")</f>
        <v>Nee</v>
      </c>
      <c r="I664" s="138" t="str">
        <f>_xlfn.IFNA((VLOOKUP(Baseline!V36,Database_Brandstoffen[],60,FALSE)),"Nee")</f>
        <v>Nee</v>
      </c>
      <c r="J664" s="94" t="str">
        <f>_xlfn.IFNA((VLOOKUP(Baseline!Y36,Database_Asfalt_Verwijderset[],61,FALSE)),"Nee")</f>
        <v>Nee</v>
      </c>
      <c r="K664" s="94" t="str">
        <f>_xlfn.IFNA((VLOOKUP(Baseline!Z36,Database_Brandstoffen[],60,FALSE)),"Nee")</f>
        <v>Nee</v>
      </c>
      <c r="L664" s="124">
        <f>IF(Referentie_Bouwplaats_Totaal[[#This Row],[Emissieloos Asfalt Aanlegset]]="JA",Referentie_Bouwplaats_Totaal[[#This Row],[Draaiuren Bouw Asfalt]],0)+IF(Referentie_Bouwplaats_Totaal[[#This Row],[Emissieloos Bouwmaterieel]]="JA",Referentie_Bouwplaats_Totaal[[#This Row],[Draaiuren Bouw Overig]],0)+IF(Referentie_Bouwplaats_Totaal[[#This Row],[Emissieloos Asfalt Verwijderset]]="JA",Referentie_Bouwplaats_Totaal[[#This Row],[Draaiuren Verwijder Asfalt]],0)+IF(Referentie_Bouwplaats_Totaal[[#This Row],[Emissieloos Sloopmaterieel]]="JA",Referentie_Bouwplaats_Totaal[[#This Row],[Draaiuren Verwijder Overig]],0)</f>
        <v>0</v>
      </c>
      <c r="M664" s="124">
        <f>_xlfn.IFNA(IF(Baseline!C36="Nieuwe situatie",(Baseline!Q36/(VLOOKUP(Baseline!U36,Database_Asfalt_Aanlegset[#All],60,FALSE)/8)),0),0)*Baseline!R36</f>
        <v>0</v>
      </c>
      <c r="N664" s="124">
        <f>_xlfn.IFNA(IF(Baseline!C36="Nieuwe situatie",Baseline!O36/VLOOKUP(Baseline!V36,Database_Overig_Materieel[#All],8,FALSE),0),0)*Baseline!R36</f>
        <v>0</v>
      </c>
      <c r="O664" s="132">
        <f>_xlfn.IFNA(IF(Baseline!C36="Bestaande situatie",Baseline!Q36/(VLOOKUP(Baseline!Y36,Database_Asfalt_Verwijderset[#All],60,FALSE)/8),0),0)*Baseline!R36</f>
        <v>0</v>
      </c>
      <c r="P664" s="132">
        <f>_xlfn.IFNA(IF(Baseline!C36="Bestaande situatie",Baseline!O36/VLOOKUP(Baseline!Z36,Database_Overig_Materieel[#All],8,FALSE),0),0)*Baseline!R36</f>
        <v>0</v>
      </c>
      <c r="Q664" s="132">
        <f>IF(Referentie_Bouwplaats_Totaal[[#This Row],[Emissieloos Asfalt Aanlegset]]="JA",Referentie_Bouwplaats_Totaal[[#This Row],[Draaiuren Bouw Asfalt Vervangingen]],0)+IF(Referentie_Bouwplaats_Totaal[[#This Row],[Emissieloos Bouwmaterieel]]="JA",Referentie_Bouwplaats_Totaal[[#This Row],[Draaiuren Bouw Overig Vervangingen]],0)+IF(Referentie_Bouwplaats_Totaal[[#This Row],[Emissieloos Asfalt Verwijderset]]="JA",Referentie_Bouwplaats_Totaal[[#This Row],[Draaiuren Verwijder Asfalt Vervangingen]],0)+IF(Referentie_Bouwplaats_Totaal[[#This Row],[Emissieloos Sloopmaterieel]]="JA",Referentie_Bouwplaats_Totaal[[#This Row],[Draaiuren Verwijder Overig Vervangingen]],0)</f>
        <v>0</v>
      </c>
      <c r="R664" s="132">
        <f>Referentie_Bouwplaats_Totaal[[#This Row],[Emissieloos bouwplaats]]+Referentie_Bouwplaats_Totaal[[#This Row],[Emissieloos bouwplaats Vervangingen]]</f>
        <v>0</v>
      </c>
      <c r="S664" s="132">
        <f>(Referentie_Bouwplaats_Totaal[[#This Row],[Draaiuren Bouw Asfalt]]+Referentie_Bouwplaats_Totaal[[#This Row],[Draaiuren Bouw Overig]]+Referentie_Bouwplaats_Totaal[[#This Row],[Draaiuren Verwijder Asfalt]]+Referentie_Bouwplaats_Totaal[[#This Row],[Draaiuren Verwijder Overig]]+Referentie_Bouwplaats_Totaal[[#This Row],[Draaiuren Bouw Asfalt Vervangingen]]+Referentie_Bouwplaats_Totaal[[#This Row],[Draaiuren Bouw Overig Vervangingen]]+Referentie_Bouwplaats_Totaal[[#This Row],[Draaiuren Verwijder Asfalt Vervangingen]]+Referentie_Bouwplaats_Totaal[[#This Row],[Draaiuren Verwijder Overig Vervangingen]]-Referentie_Bouwplaats_Totaal[[#This Row],[Totaal Emissieloos Bouwplaats]])</f>
        <v>83.3</v>
      </c>
      <c r="T664" s="132">
        <f>Referentie_Bouwplaats_Totaal[[#This Row],[Totaal Emissieloos Bouwplaats]]+Referentie_Bouwplaats_Totaal[[#This Row],[Totaal Niet Emissieloos Bouwplaats]]</f>
        <v>83.3</v>
      </c>
      <c r="U664" s="132"/>
      <c r="V664" s="13"/>
      <c r="W664" s="13"/>
      <c r="X664" s="13"/>
      <c r="Y664" s="13"/>
      <c r="Z664" s="13"/>
      <c r="AA664" s="13"/>
      <c r="AB664" s="13"/>
      <c r="AC664" s="13"/>
    </row>
    <row r="665" spans="2:29">
      <c r="B665" s="209" t="str">
        <f>Baseline!B37</f>
        <v>440060 - Aanbrengen straatbakstenen DF, Rood (trottoir)</v>
      </c>
      <c r="C665" s="51" t="str">
        <f>Baseline!F37</f>
        <v>Baksteen</v>
      </c>
      <c r="D665" s="134">
        <f>_xlfn.IFNA(IF(Baseline!C37="Nieuwe situatie",(Baseline!Q37/(VLOOKUP(Baseline!U37,Database_Asfalt_Aanlegset[#All],60,FALSE)/8)),0),0)</f>
        <v>0</v>
      </c>
      <c r="E665" s="135">
        <f>IFERROR(IF(Baseline!C37="Nieuwe situatie",Baseline!I37/Baseline!X37,0),0)</f>
        <v>365.68699999999995</v>
      </c>
      <c r="F665" s="138">
        <f>_xlfn.IFNA(IF(Baseline!C37="Bestaande situatie",Baseline!Q37/(VLOOKUP(Baseline!Y37,Database_Asfalt_Verwijderset[#All],60,FALSE)/8),0),0)</f>
        <v>0</v>
      </c>
      <c r="G665" s="138">
        <f>IFERROR(IF(Baseline!C37="Bestaande situatie",Baseline!I37/Baseline!AB37,0),0)</f>
        <v>0</v>
      </c>
      <c r="H665" s="138" t="str">
        <f>_xlfn.IFNA((VLOOKUP(Baseline!U37,Database_Asfalt_Aanlegset[],61,FALSE)),"Nee")</f>
        <v>Nee</v>
      </c>
      <c r="I665" s="138" t="str">
        <f>_xlfn.IFNA((VLOOKUP(Baseline!V37,Database_Brandstoffen[],60,FALSE)),"Nee")</f>
        <v>Nee</v>
      </c>
      <c r="J665" s="94" t="str">
        <f>_xlfn.IFNA((VLOOKUP(Baseline!Y37,Database_Asfalt_Verwijderset[],61,FALSE)),"Nee")</f>
        <v>Nee</v>
      </c>
      <c r="K665" s="94" t="str">
        <f>_xlfn.IFNA((VLOOKUP(Baseline!Z37,Database_Brandstoffen[],60,FALSE)),"Nee")</f>
        <v>Nee</v>
      </c>
      <c r="L665" s="124">
        <f>IF(Referentie_Bouwplaats_Totaal[[#This Row],[Emissieloos Asfalt Aanlegset]]="JA",Referentie_Bouwplaats_Totaal[[#This Row],[Draaiuren Bouw Asfalt]],0)+IF(Referentie_Bouwplaats_Totaal[[#This Row],[Emissieloos Bouwmaterieel]]="JA",Referentie_Bouwplaats_Totaal[[#This Row],[Draaiuren Bouw Overig]],0)+IF(Referentie_Bouwplaats_Totaal[[#This Row],[Emissieloos Asfalt Verwijderset]]="JA",Referentie_Bouwplaats_Totaal[[#This Row],[Draaiuren Verwijder Asfalt]],0)+IF(Referentie_Bouwplaats_Totaal[[#This Row],[Emissieloos Sloopmaterieel]]="JA",Referentie_Bouwplaats_Totaal[[#This Row],[Draaiuren Verwijder Overig]],0)</f>
        <v>0</v>
      </c>
      <c r="M665" s="124">
        <f>_xlfn.IFNA(IF(Baseline!C37="Nieuwe situatie",(Baseline!Q37/(VLOOKUP(Baseline!U37,Database_Asfalt_Aanlegset[#All],60,FALSE)/8)),0),0)*Baseline!R37</f>
        <v>0</v>
      </c>
      <c r="N665" s="124">
        <f>_xlfn.IFNA(IF(Baseline!C37="Nieuwe situatie",Baseline!O37/VLOOKUP(Baseline!V37,Database_Overig_Materieel[#All],8,FALSE),0),0)*Baseline!R37</f>
        <v>0</v>
      </c>
      <c r="O665" s="132">
        <f>_xlfn.IFNA(IF(Baseline!C37="Bestaande situatie",Baseline!Q37/(VLOOKUP(Baseline!Y37,Database_Asfalt_Verwijderset[#All],60,FALSE)/8),0),0)*Baseline!R37</f>
        <v>0</v>
      </c>
      <c r="P665" s="132">
        <f>_xlfn.IFNA(IF(Baseline!C37="Bestaande situatie",Baseline!O37/VLOOKUP(Baseline!Z37,Database_Overig_Materieel[#All],8,FALSE),0),0)*Baseline!R37</f>
        <v>0</v>
      </c>
      <c r="Q665" s="132">
        <f>IF(Referentie_Bouwplaats_Totaal[[#This Row],[Emissieloos Asfalt Aanlegset]]="JA",Referentie_Bouwplaats_Totaal[[#This Row],[Draaiuren Bouw Asfalt Vervangingen]],0)+IF(Referentie_Bouwplaats_Totaal[[#This Row],[Emissieloos Bouwmaterieel]]="JA",Referentie_Bouwplaats_Totaal[[#This Row],[Draaiuren Bouw Overig Vervangingen]],0)+IF(Referentie_Bouwplaats_Totaal[[#This Row],[Emissieloos Asfalt Verwijderset]]="JA",Referentie_Bouwplaats_Totaal[[#This Row],[Draaiuren Verwijder Asfalt Vervangingen]],0)+IF(Referentie_Bouwplaats_Totaal[[#This Row],[Emissieloos Sloopmaterieel]]="JA",Referentie_Bouwplaats_Totaal[[#This Row],[Draaiuren Verwijder Overig Vervangingen]],0)</f>
        <v>0</v>
      </c>
      <c r="R665" s="132">
        <f>Referentie_Bouwplaats_Totaal[[#This Row],[Emissieloos bouwplaats]]+Referentie_Bouwplaats_Totaal[[#This Row],[Emissieloos bouwplaats Vervangingen]]</f>
        <v>0</v>
      </c>
      <c r="S665" s="132">
        <f>(Referentie_Bouwplaats_Totaal[[#This Row],[Draaiuren Bouw Asfalt]]+Referentie_Bouwplaats_Totaal[[#This Row],[Draaiuren Bouw Overig]]+Referentie_Bouwplaats_Totaal[[#This Row],[Draaiuren Verwijder Asfalt]]+Referentie_Bouwplaats_Totaal[[#This Row],[Draaiuren Verwijder Overig]]+Referentie_Bouwplaats_Totaal[[#This Row],[Draaiuren Bouw Asfalt Vervangingen]]+Referentie_Bouwplaats_Totaal[[#This Row],[Draaiuren Bouw Overig Vervangingen]]+Referentie_Bouwplaats_Totaal[[#This Row],[Draaiuren Verwijder Asfalt Vervangingen]]+Referentie_Bouwplaats_Totaal[[#This Row],[Draaiuren Verwijder Overig Vervangingen]]-Referentie_Bouwplaats_Totaal[[#This Row],[Totaal Emissieloos Bouwplaats]])</f>
        <v>365.68699999999995</v>
      </c>
      <c r="T665" s="132">
        <f>Referentie_Bouwplaats_Totaal[[#This Row],[Totaal Emissieloos Bouwplaats]]+Referentie_Bouwplaats_Totaal[[#This Row],[Totaal Niet Emissieloos Bouwplaats]]</f>
        <v>365.68699999999995</v>
      </c>
      <c r="U665" s="132"/>
      <c r="V665" s="13"/>
      <c r="W665" s="13"/>
      <c r="X665" s="13"/>
      <c r="Y665" s="13"/>
      <c r="Z665" s="13"/>
      <c r="AA665" s="13"/>
      <c r="AB665" s="13"/>
      <c r="AC665" s="13"/>
    </row>
    <row r="666" spans="2:29">
      <c r="B666" s="209" t="str">
        <f>Baseline!B38</f>
        <v>440070 - Aanbrengen straatbakstenen DF, Geel (trottoir)</v>
      </c>
      <c r="C666" s="51" t="str">
        <f>Baseline!F38</f>
        <v>Baksteen</v>
      </c>
      <c r="D666" s="134">
        <f>_xlfn.IFNA(IF(Baseline!C38="Nieuwe situatie",(Baseline!Q38/(VLOOKUP(Baseline!U38,Database_Asfalt_Aanlegset[#All],60,FALSE)/8)),0),0)</f>
        <v>0</v>
      </c>
      <c r="E666" s="135">
        <f>IFERROR(IF(Baseline!C38="Nieuwe situatie",Baseline!I38/Baseline!X38,0),0)</f>
        <v>95.794999999999987</v>
      </c>
      <c r="F666" s="138">
        <f>_xlfn.IFNA(IF(Baseline!C38="Bestaande situatie",Baseline!Q38/(VLOOKUP(Baseline!Y38,Database_Asfalt_Verwijderset[#All],60,FALSE)/8),0),0)</f>
        <v>0</v>
      </c>
      <c r="G666" s="138">
        <f>IFERROR(IF(Baseline!C38="Bestaande situatie",Baseline!I38/Baseline!AB38,0),0)</f>
        <v>0</v>
      </c>
      <c r="H666" s="138" t="str">
        <f>_xlfn.IFNA((VLOOKUP(Baseline!U38,Database_Asfalt_Aanlegset[],61,FALSE)),"Nee")</f>
        <v>Nee</v>
      </c>
      <c r="I666" s="138" t="str">
        <f>_xlfn.IFNA((VLOOKUP(Baseline!V38,Database_Brandstoffen[],60,FALSE)),"Nee")</f>
        <v>Nee</v>
      </c>
      <c r="J666" s="94" t="str">
        <f>_xlfn.IFNA((VLOOKUP(Baseline!Y38,Database_Asfalt_Verwijderset[],61,FALSE)),"Nee")</f>
        <v>Nee</v>
      </c>
      <c r="K666" s="94" t="str">
        <f>_xlfn.IFNA((VLOOKUP(Baseline!Z38,Database_Brandstoffen[],60,FALSE)),"Nee")</f>
        <v>Nee</v>
      </c>
      <c r="L666" s="124">
        <f>IF(Referentie_Bouwplaats_Totaal[[#This Row],[Emissieloos Asfalt Aanlegset]]="JA",Referentie_Bouwplaats_Totaal[[#This Row],[Draaiuren Bouw Asfalt]],0)+IF(Referentie_Bouwplaats_Totaal[[#This Row],[Emissieloos Bouwmaterieel]]="JA",Referentie_Bouwplaats_Totaal[[#This Row],[Draaiuren Bouw Overig]],0)+IF(Referentie_Bouwplaats_Totaal[[#This Row],[Emissieloos Asfalt Verwijderset]]="JA",Referentie_Bouwplaats_Totaal[[#This Row],[Draaiuren Verwijder Asfalt]],0)+IF(Referentie_Bouwplaats_Totaal[[#This Row],[Emissieloos Sloopmaterieel]]="JA",Referentie_Bouwplaats_Totaal[[#This Row],[Draaiuren Verwijder Overig]],0)</f>
        <v>0</v>
      </c>
      <c r="M666" s="124">
        <f>_xlfn.IFNA(IF(Baseline!C38="Nieuwe situatie",(Baseline!Q38/(VLOOKUP(Baseline!U38,Database_Asfalt_Aanlegset[#All],60,FALSE)/8)),0),0)*Baseline!R38</f>
        <v>0</v>
      </c>
      <c r="N666" s="124">
        <f>_xlfn.IFNA(IF(Baseline!C38="Nieuwe situatie",Baseline!O38/VLOOKUP(Baseline!V38,Database_Overig_Materieel[#All],8,FALSE),0),0)*Baseline!R38</f>
        <v>0</v>
      </c>
      <c r="O666" s="132">
        <f>_xlfn.IFNA(IF(Baseline!C38="Bestaande situatie",Baseline!Q38/(VLOOKUP(Baseline!Y38,Database_Asfalt_Verwijderset[#All],60,FALSE)/8),0),0)*Baseline!R38</f>
        <v>0</v>
      </c>
      <c r="P666" s="132">
        <f>_xlfn.IFNA(IF(Baseline!C38="Bestaande situatie",Baseline!O38/VLOOKUP(Baseline!Z38,Database_Overig_Materieel[#All],8,FALSE),0),0)*Baseline!R38</f>
        <v>0</v>
      </c>
      <c r="Q666" s="132">
        <f>IF(Referentie_Bouwplaats_Totaal[[#This Row],[Emissieloos Asfalt Aanlegset]]="JA",Referentie_Bouwplaats_Totaal[[#This Row],[Draaiuren Bouw Asfalt Vervangingen]],0)+IF(Referentie_Bouwplaats_Totaal[[#This Row],[Emissieloos Bouwmaterieel]]="JA",Referentie_Bouwplaats_Totaal[[#This Row],[Draaiuren Bouw Overig Vervangingen]],0)+IF(Referentie_Bouwplaats_Totaal[[#This Row],[Emissieloos Asfalt Verwijderset]]="JA",Referentie_Bouwplaats_Totaal[[#This Row],[Draaiuren Verwijder Asfalt Vervangingen]],0)+IF(Referentie_Bouwplaats_Totaal[[#This Row],[Emissieloos Sloopmaterieel]]="JA",Referentie_Bouwplaats_Totaal[[#This Row],[Draaiuren Verwijder Overig Vervangingen]],0)</f>
        <v>0</v>
      </c>
      <c r="R666" s="132">
        <f>Referentie_Bouwplaats_Totaal[[#This Row],[Emissieloos bouwplaats]]+Referentie_Bouwplaats_Totaal[[#This Row],[Emissieloos bouwplaats Vervangingen]]</f>
        <v>0</v>
      </c>
      <c r="S666" s="132">
        <f>(Referentie_Bouwplaats_Totaal[[#This Row],[Draaiuren Bouw Asfalt]]+Referentie_Bouwplaats_Totaal[[#This Row],[Draaiuren Bouw Overig]]+Referentie_Bouwplaats_Totaal[[#This Row],[Draaiuren Verwijder Asfalt]]+Referentie_Bouwplaats_Totaal[[#This Row],[Draaiuren Verwijder Overig]]+Referentie_Bouwplaats_Totaal[[#This Row],[Draaiuren Bouw Asfalt Vervangingen]]+Referentie_Bouwplaats_Totaal[[#This Row],[Draaiuren Bouw Overig Vervangingen]]+Referentie_Bouwplaats_Totaal[[#This Row],[Draaiuren Verwijder Asfalt Vervangingen]]+Referentie_Bouwplaats_Totaal[[#This Row],[Draaiuren Verwijder Overig Vervangingen]]-Referentie_Bouwplaats_Totaal[[#This Row],[Totaal Emissieloos Bouwplaats]])</f>
        <v>95.794999999999987</v>
      </c>
      <c r="T666" s="132">
        <f>Referentie_Bouwplaats_Totaal[[#This Row],[Totaal Emissieloos Bouwplaats]]+Referentie_Bouwplaats_Totaal[[#This Row],[Totaal Niet Emissieloos Bouwplaats]]</f>
        <v>95.794999999999987</v>
      </c>
      <c r="U666" s="132"/>
      <c r="V666" s="13"/>
      <c r="W666" s="13"/>
      <c r="X666" s="13"/>
      <c r="Y666" s="13"/>
      <c r="Z666" s="13"/>
      <c r="AA666" s="13"/>
      <c r="AB666" s="13"/>
      <c r="AC666" s="13"/>
    </row>
    <row r="667" spans="2:29">
      <c r="B667" s="209" t="str">
        <f>Baseline!B39</f>
        <v>440090 - Aanbrengen straatbakstenen DF, Rood (drempelopgang)</v>
      </c>
      <c r="C667" s="51" t="str">
        <f>Baseline!F39</f>
        <v>Baksteen</v>
      </c>
      <c r="D667" s="134">
        <f>_xlfn.IFNA(IF(Baseline!C39="Nieuwe situatie",(Baseline!Q39/(VLOOKUP(Baseline!U39,Database_Asfalt_Aanlegset[#All],60,FALSE)/8)),0),0)</f>
        <v>0</v>
      </c>
      <c r="E667" s="135">
        <f>IFERROR(IF(Baseline!C39="Nieuwe situatie",Baseline!I39/Baseline!X39,0),0)</f>
        <v>18.7425</v>
      </c>
      <c r="F667" s="138">
        <f>_xlfn.IFNA(IF(Baseline!C39="Bestaande situatie",Baseline!Q39/(VLOOKUP(Baseline!Y39,Database_Asfalt_Verwijderset[#All],60,FALSE)/8),0),0)</f>
        <v>0</v>
      </c>
      <c r="G667" s="138">
        <f>IFERROR(IF(Baseline!C39="Bestaande situatie",Baseline!I39/Baseline!AB39,0),0)</f>
        <v>0</v>
      </c>
      <c r="H667" s="138" t="str">
        <f>_xlfn.IFNA((VLOOKUP(Baseline!U39,Database_Asfalt_Aanlegset[],61,FALSE)),"Nee")</f>
        <v>Nee</v>
      </c>
      <c r="I667" s="138" t="str">
        <f>_xlfn.IFNA((VLOOKUP(Baseline!V39,Database_Brandstoffen[],60,FALSE)),"Nee")</f>
        <v>Nee</v>
      </c>
      <c r="J667" s="94" t="str">
        <f>_xlfn.IFNA((VLOOKUP(Baseline!Y39,Database_Asfalt_Verwijderset[],61,FALSE)),"Nee")</f>
        <v>Nee</v>
      </c>
      <c r="K667" s="94" t="str">
        <f>_xlfn.IFNA((VLOOKUP(Baseline!Z39,Database_Brandstoffen[],60,FALSE)),"Nee")</f>
        <v>Nee</v>
      </c>
      <c r="L667" s="124">
        <f>IF(Referentie_Bouwplaats_Totaal[[#This Row],[Emissieloos Asfalt Aanlegset]]="JA",Referentie_Bouwplaats_Totaal[[#This Row],[Draaiuren Bouw Asfalt]],0)+IF(Referentie_Bouwplaats_Totaal[[#This Row],[Emissieloos Bouwmaterieel]]="JA",Referentie_Bouwplaats_Totaal[[#This Row],[Draaiuren Bouw Overig]],0)+IF(Referentie_Bouwplaats_Totaal[[#This Row],[Emissieloos Asfalt Verwijderset]]="JA",Referentie_Bouwplaats_Totaal[[#This Row],[Draaiuren Verwijder Asfalt]],0)+IF(Referentie_Bouwplaats_Totaal[[#This Row],[Emissieloos Sloopmaterieel]]="JA",Referentie_Bouwplaats_Totaal[[#This Row],[Draaiuren Verwijder Overig]],0)</f>
        <v>0</v>
      </c>
      <c r="M667" s="124">
        <f>_xlfn.IFNA(IF(Baseline!C39="Nieuwe situatie",(Baseline!Q39/(VLOOKUP(Baseline!U39,Database_Asfalt_Aanlegset[#All],60,FALSE)/8)),0),0)*Baseline!R39</f>
        <v>0</v>
      </c>
      <c r="N667" s="124">
        <f>_xlfn.IFNA(IF(Baseline!C39="Nieuwe situatie",Baseline!O39/VLOOKUP(Baseline!V39,Database_Overig_Materieel[#All],8,FALSE),0),0)*Baseline!R39</f>
        <v>0</v>
      </c>
      <c r="O667" s="132">
        <f>_xlfn.IFNA(IF(Baseline!C39="Bestaande situatie",Baseline!Q39/(VLOOKUP(Baseline!Y39,Database_Asfalt_Verwijderset[#All],60,FALSE)/8),0),0)*Baseline!R39</f>
        <v>0</v>
      </c>
      <c r="P667" s="132">
        <f>_xlfn.IFNA(IF(Baseline!C39="Bestaande situatie",Baseline!O39/VLOOKUP(Baseline!Z39,Database_Overig_Materieel[#All],8,FALSE),0),0)*Baseline!R39</f>
        <v>0</v>
      </c>
      <c r="Q667" s="132">
        <f>IF(Referentie_Bouwplaats_Totaal[[#This Row],[Emissieloos Asfalt Aanlegset]]="JA",Referentie_Bouwplaats_Totaal[[#This Row],[Draaiuren Bouw Asfalt Vervangingen]],0)+IF(Referentie_Bouwplaats_Totaal[[#This Row],[Emissieloos Bouwmaterieel]]="JA",Referentie_Bouwplaats_Totaal[[#This Row],[Draaiuren Bouw Overig Vervangingen]],0)+IF(Referentie_Bouwplaats_Totaal[[#This Row],[Emissieloos Asfalt Verwijderset]]="JA",Referentie_Bouwplaats_Totaal[[#This Row],[Draaiuren Verwijder Asfalt Vervangingen]],0)+IF(Referentie_Bouwplaats_Totaal[[#This Row],[Emissieloos Sloopmaterieel]]="JA",Referentie_Bouwplaats_Totaal[[#This Row],[Draaiuren Verwijder Overig Vervangingen]],0)</f>
        <v>0</v>
      </c>
      <c r="R667" s="132">
        <f>Referentie_Bouwplaats_Totaal[[#This Row],[Emissieloos bouwplaats]]+Referentie_Bouwplaats_Totaal[[#This Row],[Emissieloos bouwplaats Vervangingen]]</f>
        <v>0</v>
      </c>
      <c r="S667" s="132">
        <f>(Referentie_Bouwplaats_Totaal[[#This Row],[Draaiuren Bouw Asfalt]]+Referentie_Bouwplaats_Totaal[[#This Row],[Draaiuren Bouw Overig]]+Referentie_Bouwplaats_Totaal[[#This Row],[Draaiuren Verwijder Asfalt]]+Referentie_Bouwplaats_Totaal[[#This Row],[Draaiuren Verwijder Overig]]+Referentie_Bouwplaats_Totaal[[#This Row],[Draaiuren Bouw Asfalt Vervangingen]]+Referentie_Bouwplaats_Totaal[[#This Row],[Draaiuren Bouw Overig Vervangingen]]+Referentie_Bouwplaats_Totaal[[#This Row],[Draaiuren Verwijder Asfalt Vervangingen]]+Referentie_Bouwplaats_Totaal[[#This Row],[Draaiuren Verwijder Overig Vervangingen]]-Referentie_Bouwplaats_Totaal[[#This Row],[Totaal Emissieloos Bouwplaats]])</f>
        <v>18.7425</v>
      </c>
      <c r="T667" s="132">
        <f>Referentie_Bouwplaats_Totaal[[#This Row],[Totaal Emissieloos Bouwplaats]]+Referentie_Bouwplaats_Totaal[[#This Row],[Totaal Niet Emissieloos Bouwplaats]]</f>
        <v>18.7425</v>
      </c>
      <c r="U667" s="132"/>
      <c r="V667" s="13"/>
      <c r="W667" s="13"/>
      <c r="X667" s="13"/>
      <c r="Y667" s="13"/>
      <c r="Z667" s="13"/>
      <c r="AA667" s="13"/>
      <c r="AB667" s="13"/>
      <c r="AC667" s="13"/>
    </row>
    <row r="668" spans="2:29">
      <c r="B668" s="209">
        <f>Baseline!B40</f>
        <v>0</v>
      </c>
      <c r="C668" s="51">
        <f>Baseline!F40</f>
        <v>0</v>
      </c>
      <c r="D668" s="134">
        <f>_xlfn.IFNA(IF(Baseline!C40="Nieuwe situatie",(Baseline!Q40/(VLOOKUP(Baseline!U40,Database_Asfalt_Aanlegset[#All],60,FALSE)/8)),0),0)</f>
        <v>0</v>
      </c>
      <c r="E668" s="135">
        <f>IFERROR(IF(Baseline!C40="Nieuwe situatie",Baseline!I40/Baseline!X40,0),0)</f>
        <v>0</v>
      </c>
      <c r="F668" s="138">
        <f>_xlfn.IFNA(IF(Baseline!C40="Bestaande situatie",Baseline!Q40/(VLOOKUP(Baseline!Y40,Database_Asfalt_Verwijderset[#All],60,FALSE)/8),0),0)</f>
        <v>0</v>
      </c>
      <c r="G668" s="138">
        <f>IFERROR(IF(Baseline!C40="Bestaande situatie",Baseline!I40/Baseline!AB40,0),0)</f>
        <v>0</v>
      </c>
      <c r="H668" s="138" t="str">
        <f>_xlfn.IFNA((VLOOKUP(Baseline!U40,Database_Asfalt_Aanlegset[],61,FALSE)),"Nee")</f>
        <v>Nee</v>
      </c>
      <c r="I668" s="138" t="str">
        <f>_xlfn.IFNA((VLOOKUP(Baseline!V40,Database_Brandstoffen[],60,FALSE)),"Nee")</f>
        <v>Nee</v>
      </c>
      <c r="J668" s="94" t="str">
        <f>_xlfn.IFNA((VLOOKUP(Baseline!Y40,Database_Asfalt_Verwijderset[],61,FALSE)),"Nee")</f>
        <v>Nee</v>
      </c>
      <c r="K668" s="94" t="str">
        <f>_xlfn.IFNA((VLOOKUP(Baseline!Z40,Database_Brandstoffen[],60,FALSE)),"Nee")</f>
        <v>Nee</v>
      </c>
      <c r="L668" s="124">
        <f>IF(Referentie_Bouwplaats_Totaal[[#This Row],[Emissieloos Asfalt Aanlegset]]="JA",Referentie_Bouwplaats_Totaal[[#This Row],[Draaiuren Bouw Asfalt]],0)+IF(Referentie_Bouwplaats_Totaal[[#This Row],[Emissieloos Bouwmaterieel]]="JA",Referentie_Bouwplaats_Totaal[[#This Row],[Draaiuren Bouw Overig]],0)+IF(Referentie_Bouwplaats_Totaal[[#This Row],[Emissieloos Asfalt Verwijderset]]="JA",Referentie_Bouwplaats_Totaal[[#This Row],[Draaiuren Verwijder Asfalt]],0)+IF(Referentie_Bouwplaats_Totaal[[#This Row],[Emissieloos Sloopmaterieel]]="JA",Referentie_Bouwplaats_Totaal[[#This Row],[Draaiuren Verwijder Overig]],0)</f>
        <v>0</v>
      </c>
      <c r="M668" s="124">
        <f>_xlfn.IFNA(IF(Baseline!C40="Nieuwe situatie",(Baseline!Q40/(VLOOKUP(Baseline!U40,Database_Asfalt_Aanlegset[#All],60,FALSE)/8)),0),0)*Baseline!R40</f>
        <v>0</v>
      </c>
      <c r="N668" s="124">
        <f>_xlfn.IFNA(IF(Baseline!C40="Nieuwe situatie",Baseline!O40/VLOOKUP(Baseline!V40,Database_Overig_Materieel[#All],8,FALSE),0),0)*Baseline!R40</f>
        <v>0</v>
      </c>
      <c r="O668" s="132">
        <f>_xlfn.IFNA(IF(Baseline!C40="Bestaande situatie",Baseline!Q40/(VLOOKUP(Baseline!Y40,Database_Asfalt_Verwijderset[#All],60,FALSE)/8),0),0)*Baseline!R40</f>
        <v>0</v>
      </c>
      <c r="P668" s="132">
        <f>_xlfn.IFNA(IF(Baseline!C40="Bestaande situatie",Baseline!O40/VLOOKUP(Baseline!Z40,Database_Overig_Materieel[#All],8,FALSE),0),0)*Baseline!R40</f>
        <v>0</v>
      </c>
      <c r="Q668" s="132">
        <f>IF(Referentie_Bouwplaats_Totaal[[#This Row],[Emissieloos Asfalt Aanlegset]]="JA",Referentie_Bouwplaats_Totaal[[#This Row],[Draaiuren Bouw Asfalt Vervangingen]],0)+IF(Referentie_Bouwplaats_Totaal[[#This Row],[Emissieloos Bouwmaterieel]]="JA",Referentie_Bouwplaats_Totaal[[#This Row],[Draaiuren Bouw Overig Vervangingen]],0)+IF(Referentie_Bouwplaats_Totaal[[#This Row],[Emissieloos Asfalt Verwijderset]]="JA",Referentie_Bouwplaats_Totaal[[#This Row],[Draaiuren Verwijder Asfalt Vervangingen]],0)+IF(Referentie_Bouwplaats_Totaal[[#This Row],[Emissieloos Sloopmaterieel]]="JA",Referentie_Bouwplaats_Totaal[[#This Row],[Draaiuren Verwijder Overig Vervangingen]],0)</f>
        <v>0</v>
      </c>
      <c r="R668" s="132">
        <f>Referentie_Bouwplaats_Totaal[[#This Row],[Emissieloos bouwplaats]]+Referentie_Bouwplaats_Totaal[[#This Row],[Emissieloos bouwplaats Vervangingen]]</f>
        <v>0</v>
      </c>
      <c r="S668" s="132">
        <f>(Referentie_Bouwplaats_Totaal[[#This Row],[Draaiuren Bouw Asfalt]]+Referentie_Bouwplaats_Totaal[[#This Row],[Draaiuren Bouw Overig]]+Referentie_Bouwplaats_Totaal[[#This Row],[Draaiuren Verwijder Asfalt]]+Referentie_Bouwplaats_Totaal[[#This Row],[Draaiuren Verwijder Overig]]+Referentie_Bouwplaats_Totaal[[#This Row],[Draaiuren Bouw Asfalt Vervangingen]]+Referentie_Bouwplaats_Totaal[[#This Row],[Draaiuren Bouw Overig Vervangingen]]+Referentie_Bouwplaats_Totaal[[#This Row],[Draaiuren Verwijder Asfalt Vervangingen]]+Referentie_Bouwplaats_Totaal[[#This Row],[Draaiuren Verwijder Overig Vervangingen]]-Referentie_Bouwplaats_Totaal[[#This Row],[Totaal Emissieloos Bouwplaats]])</f>
        <v>0</v>
      </c>
      <c r="T668" s="132">
        <f>Referentie_Bouwplaats_Totaal[[#This Row],[Totaal Emissieloos Bouwplaats]]+Referentie_Bouwplaats_Totaal[[#This Row],[Totaal Niet Emissieloos Bouwplaats]]</f>
        <v>0</v>
      </c>
      <c r="U668" s="132"/>
      <c r="V668" s="13"/>
      <c r="W668" s="13"/>
      <c r="X668" s="13"/>
      <c r="Y668" s="13"/>
      <c r="Z668" s="13"/>
      <c r="AA668" s="13"/>
      <c r="AB668" s="13"/>
      <c r="AC668" s="13"/>
    </row>
    <row r="669" spans="2:29">
      <c r="B669" s="209">
        <f>Baseline!B41</f>
        <v>0</v>
      </c>
      <c r="C669" s="51">
        <f>Baseline!F41</f>
        <v>0</v>
      </c>
      <c r="D669" s="134">
        <f>_xlfn.IFNA(IF(Baseline!C41="Nieuwe situatie",(Baseline!Q41/(VLOOKUP(Baseline!U41,Database_Asfalt_Aanlegset[#All],60,FALSE)/8)),0),0)</f>
        <v>0</v>
      </c>
      <c r="E669" s="135">
        <f>IFERROR(IF(Baseline!C41="Nieuwe situatie",Baseline!I41/Baseline!X41,0),0)</f>
        <v>0</v>
      </c>
      <c r="F669" s="138">
        <f>_xlfn.IFNA(IF(Baseline!C41="Bestaande situatie",Baseline!Q41/(VLOOKUP(Baseline!Y41,Database_Asfalt_Verwijderset[#All],60,FALSE)/8),0),0)</f>
        <v>0</v>
      </c>
      <c r="G669" s="138">
        <f>IFERROR(IF(Baseline!C41="Bestaande situatie",Baseline!I41/Baseline!AB41,0),0)</f>
        <v>0</v>
      </c>
      <c r="H669" s="138" t="str">
        <f>_xlfn.IFNA((VLOOKUP(Baseline!U41,Database_Asfalt_Aanlegset[],61,FALSE)),"Nee")</f>
        <v>Nee</v>
      </c>
      <c r="I669" s="138" t="str">
        <f>_xlfn.IFNA((VLOOKUP(Baseline!V41,Database_Brandstoffen[],60,FALSE)),"Nee")</f>
        <v>Nee</v>
      </c>
      <c r="J669" s="94" t="str">
        <f>_xlfn.IFNA((VLOOKUP(Baseline!Y41,Database_Asfalt_Verwijderset[],61,FALSE)),"Nee")</f>
        <v>Nee</v>
      </c>
      <c r="K669" s="94" t="str">
        <f>_xlfn.IFNA((VLOOKUP(Baseline!Z41,Database_Brandstoffen[],60,FALSE)),"Nee")</f>
        <v>Nee</v>
      </c>
      <c r="L669" s="124">
        <f>IF(Referentie_Bouwplaats_Totaal[[#This Row],[Emissieloos Asfalt Aanlegset]]="JA",Referentie_Bouwplaats_Totaal[[#This Row],[Draaiuren Bouw Asfalt]],0)+IF(Referentie_Bouwplaats_Totaal[[#This Row],[Emissieloos Bouwmaterieel]]="JA",Referentie_Bouwplaats_Totaal[[#This Row],[Draaiuren Bouw Overig]],0)+IF(Referentie_Bouwplaats_Totaal[[#This Row],[Emissieloos Asfalt Verwijderset]]="JA",Referentie_Bouwplaats_Totaal[[#This Row],[Draaiuren Verwijder Asfalt]],0)+IF(Referentie_Bouwplaats_Totaal[[#This Row],[Emissieloos Sloopmaterieel]]="JA",Referentie_Bouwplaats_Totaal[[#This Row],[Draaiuren Verwijder Overig]],0)</f>
        <v>0</v>
      </c>
      <c r="M669" s="124">
        <f>_xlfn.IFNA(IF(Baseline!C41="Nieuwe situatie",(Baseline!Q41/(VLOOKUP(Baseline!U41,Database_Asfalt_Aanlegset[#All],60,FALSE)/8)),0),0)*Baseline!R41</f>
        <v>0</v>
      </c>
      <c r="N669" s="124">
        <f>_xlfn.IFNA(IF(Baseline!C41="Nieuwe situatie",Baseline!O41/VLOOKUP(Baseline!V41,Database_Overig_Materieel[#All],8,FALSE),0),0)*Baseline!R41</f>
        <v>0</v>
      </c>
      <c r="O669" s="132">
        <f>_xlfn.IFNA(IF(Baseline!C41="Bestaande situatie",Baseline!Q41/(VLOOKUP(Baseline!Y41,Database_Asfalt_Verwijderset[#All],60,FALSE)/8),0),0)*Baseline!R41</f>
        <v>0</v>
      </c>
      <c r="P669" s="132">
        <f>_xlfn.IFNA(IF(Baseline!C41="Bestaande situatie",Baseline!O41/VLOOKUP(Baseline!Z41,Database_Overig_Materieel[#All],8,FALSE),0),0)*Baseline!R41</f>
        <v>0</v>
      </c>
      <c r="Q669" s="132">
        <f>IF(Referentie_Bouwplaats_Totaal[[#This Row],[Emissieloos Asfalt Aanlegset]]="JA",Referentie_Bouwplaats_Totaal[[#This Row],[Draaiuren Bouw Asfalt Vervangingen]],0)+IF(Referentie_Bouwplaats_Totaal[[#This Row],[Emissieloos Bouwmaterieel]]="JA",Referentie_Bouwplaats_Totaal[[#This Row],[Draaiuren Bouw Overig Vervangingen]],0)+IF(Referentie_Bouwplaats_Totaal[[#This Row],[Emissieloos Asfalt Verwijderset]]="JA",Referentie_Bouwplaats_Totaal[[#This Row],[Draaiuren Verwijder Asfalt Vervangingen]],0)+IF(Referentie_Bouwplaats_Totaal[[#This Row],[Emissieloos Sloopmaterieel]]="JA",Referentie_Bouwplaats_Totaal[[#This Row],[Draaiuren Verwijder Overig Vervangingen]],0)</f>
        <v>0</v>
      </c>
      <c r="R669" s="132">
        <f>Referentie_Bouwplaats_Totaal[[#This Row],[Emissieloos bouwplaats]]+Referentie_Bouwplaats_Totaal[[#This Row],[Emissieloos bouwplaats Vervangingen]]</f>
        <v>0</v>
      </c>
      <c r="S669" s="132">
        <f>(Referentie_Bouwplaats_Totaal[[#This Row],[Draaiuren Bouw Asfalt]]+Referentie_Bouwplaats_Totaal[[#This Row],[Draaiuren Bouw Overig]]+Referentie_Bouwplaats_Totaal[[#This Row],[Draaiuren Verwijder Asfalt]]+Referentie_Bouwplaats_Totaal[[#This Row],[Draaiuren Verwijder Overig]]+Referentie_Bouwplaats_Totaal[[#This Row],[Draaiuren Bouw Asfalt Vervangingen]]+Referentie_Bouwplaats_Totaal[[#This Row],[Draaiuren Bouw Overig Vervangingen]]+Referentie_Bouwplaats_Totaal[[#This Row],[Draaiuren Verwijder Asfalt Vervangingen]]+Referentie_Bouwplaats_Totaal[[#This Row],[Draaiuren Verwijder Overig Vervangingen]]-Referentie_Bouwplaats_Totaal[[#This Row],[Totaal Emissieloos Bouwplaats]])</f>
        <v>0</v>
      </c>
      <c r="T669" s="132">
        <f>Referentie_Bouwplaats_Totaal[[#This Row],[Totaal Emissieloos Bouwplaats]]+Referentie_Bouwplaats_Totaal[[#This Row],[Totaal Niet Emissieloos Bouwplaats]]</f>
        <v>0</v>
      </c>
      <c r="U669" s="132"/>
      <c r="V669" s="13"/>
      <c r="W669" s="13"/>
      <c r="X669" s="13"/>
      <c r="Y669" s="13"/>
      <c r="Z669" s="13"/>
      <c r="AA669" s="13"/>
      <c r="AB669" s="13"/>
      <c r="AC669" s="13"/>
    </row>
    <row r="670" spans="2:29">
      <c r="B670" s="209">
        <f>Baseline!B42</f>
        <v>0</v>
      </c>
      <c r="C670" s="51">
        <f>Baseline!F42</f>
        <v>0</v>
      </c>
      <c r="D670" s="134">
        <f>_xlfn.IFNA(IF(Baseline!C42="Nieuwe situatie",(Baseline!Q42/(VLOOKUP(Baseline!U42,Database_Asfalt_Aanlegset[#All],60,FALSE)/8)),0),0)</f>
        <v>0</v>
      </c>
      <c r="E670" s="135">
        <f>IFERROR(IF(Baseline!C42="Nieuwe situatie",Baseline!I42/Baseline!X42,0),0)</f>
        <v>0</v>
      </c>
      <c r="F670" s="138">
        <f>_xlfn.IFNA(IF(Baseline!C42="Bestaande situatie",Baseline!Q42/(VLOOKUP(Baseline!Y42,Database_Asfalt_Verwijderset[#All],60,FALSE)/8),0),0)</f>
        <v>0</v>
      </c>
      <c r="G670" s="138">
        <f>IFERROR(IF(Baseline!C42="Bestaande situatie",Baseline!I42/Baseline!AB42,0),0)</f>
        <v>0</v>
      </c>
      <c r="H670" s="138" t="str">
        <f>_xlfn.IFNA((VLOOKUP(Baseline!U42,Database_Asfalt_Aanlegset[],61,FALSE)),"Nee")</f>
        <v>Nee</v>
      </c>
      <c r="I670" s="138" t="str">
        <f>_xlfn.IFNA((VLOOKUP(Baseline!V42,Database_Brandstoffen[],60,FALSE)),"Nee")</f>
        <v>Nee</v>
      </c>
      <c r="J670" s="94" t="str">
        <f>_xlfn.IFNA((VLOOKUP(Baseline!Y42,Database_Asfalt_Verwijderset[],61,FALSE)),"Nee")</f>
        <v>Nee</v>
      </c>
      <c r="K670" s="94" t="str">
        <f>_xlfn.IFNA((VLOOKUP(Baseline!Z42,Database_Brandstoffen[],60,FALSE)),"Nee")</f>
        <v>Nee</v>
      </c>
      <c r="L670" s="124">
        <f>IF(Referentie_Bouwplaats_Totaal[[#This Row],[Emissieloos Asfalt Aanlegset]]="JA",Referentie_Bouwplaats_Totaal[[#This Row],[Draaiuren Bouw Asfalt]],0)+IF(Referentie_Bouwplaats_Totaal[[#This Row],[Emissieloos Bouwmaterieel]]="JA",Referentie_Bouwplaats_Totaal[[#This Row],[Draaiuren Bouw Overig]],0)+IF(Referentie_Bouwplaats_Totaal[[#This Row],[Emissieloos Asfalt Verwijderset]]="JA",Referentie_Bouwplaats_Totaal[[#This Row],[Draaiuren Verwijder Asfalt]],0)+IF(Referentie_Bouwplaats_Totaal[[#This Row],[Emissieloos Sloopmaterieel]]="JA",Referentie_Bouwplaats_Totaal[[#This Row],[Draaiuren Verwijder Overig]],0)</f>
        <v>0</v>
      </c>
      <c r="M670" s="124">
        <f>_xlfn.IFNA(IF(Baseline!C42="Nieuwe situatie",(Baseline!Q42/(VLOOKUP(Baseline!U42,Database_Asfalt_Aanlegset[#All],60,FALSE)/8)),0),0)*Baseline!R42</f>
        <v>0</v>
      </c>
      <c r="N670" s="124">
        <f>_xlfn.IFNA(IF(Baseline!C42="Nieuwe situatie",Baseline!O42/VLOOKUP(Baseline!V42,Database_Overig_Materieel[#All],8,FALSE),0),0)*Baseline!R42</f>
        <v>0</v>
      </c>
      <c r="O670" s="132">
        <f>_xlfn.IFNA(IF(Baseline!C42="Bestaande situatie",Baseline!Q42/(VLOOKUP(Baseline!Y42,Database_Asfalt_Verwijderset[#All],60,FALSE)/8),0),0)*Baseline!R42</f>
        <v>0</v>
      </c>
      <c r="P670" s="132">
        <f>_xlfn.IFNA(IF(Baseline!C42="Bestaande situatie",Baseline!O42/VLOOKUP(Baseline!Z42,Database_Overig_Materieel[#All],8,FALSE),0),0)*Baseline!R42</f>
        <v>0</v>
      </c>
      <c r="Q670" s="132">
        <f>IF(Referentie_Bouwplaats_Totaal[[#This Row],[Emissieloos Asfalt Aanlegset]]="JA",Referentie_Bouwplaats_Totaal[[#This Row],[Draaiuren Bouw Asfalt Vervangingen]],0)+IF(Referentie_Bouwplaats_Totaal[[#This Row],[Emissieloos Bouwmaterieel]]="JA",Referentie_Bouwplaats_Totaal[[#This Row],[Draaiuren Bouw Overig Vervangingen]],0)+IF(Referentie_Bouwplaats_Totaal[[#This Row],[Emissieloos Asfalt Verwijderset]]="JA",Referentie_Bouwplaats_Totaal[[#This Row],[Draaiuren Verwijder Asfalt Vervangingen]],0)+IF(Referentie_Bouwplaats_Totaal[[#This Row],[Emissieloos Sloopmaterieel]]="JA",Referentie_Bouwplaats_Totaal[[#This Row],[Draaiuren Verwijder Overig Vervangingen]],0)</f>
        <v>0</v>
      </c>
      <c r="R670" s="132">
        <f>Referentie_Bouwplaats_Totaal[[#This Row],[Emissieloos bouwplaats]]+Referentie_Bouwplaats_Totaal[[#This Row],[Emissieloos bouwplaats Vervangingen]]</f>
        <v>0</v>
      </c>
      <c r="S670" s="132">
        <f>(Referentie_Bouwplaats_Totaal[[#This Row],[Draaiuren Bouw Asfalt]]+Referentie_Bouwplaats_Totaal[[#This Row],[Draaiuren Bouw Overig]]+Referentie_Bouwplaats_Totaal[[#This Row],[Draaiuren Verwijder Asfalt]]+Referentie_Bouwplaats_Totaal[[#This Row],[Draaiuren Verwijder Overig]]+Referentie_Bouwplaats_Totaal[[#This Row],[Draaiuren Bouw Asfalt Vervangingen]]+Referentie_Bouwplaats_Totaal[[#This Row],[Draaiuren Bouw Overig Vervangingen]]+Referentie_Bouwplaats_Totaal[[#This Row],[Draaiuren Verwijder Asfalt Vervangingen]]+Referentie_Bouwplaats_Totaal[[#This Row],[Draaiuren Verwijder Overig Vervangingen]]-Referentie_Bouwplaats_Totaal[[#This Row],[Totaal Emissieloos Bouwplaats]])</f>
        <v>0</v>
      </c>
      <c r="T670" s="132">
        <f>Referentie_Bouwplaats_Totaal[[#This Row],[Totaal Emissieloos Bouwplaats]]+Referentie_Bouwplaats_Totaal[[#This Row],[Totaal Niet Emissieloos Bouwplaats]]</f>
        <v>0</v>
      </c>
      <c r="U670" s="132"/>
      <c r="V670" s="13"/>
      <c r="W670" s="13"/>
      <c r="X670" s="13"/>
      <c r="Y670" s="13"/>
      <c r="Z670" s="13"/>
      <c r="AA670" s="13"/>
      <c r="AB670" s="13"/>
      <c r="AC670" s="13"/>
    </row>
    <row r="671" spans="2:29">
      <c r="B671" s="209">
        <f>Baseline!B43</f>
        <v>0</v>
      </c>
      <c r="C671" s="51">
        <f>Baseline!F43</f>
        <v>0</v>
      </c>
      <c r="D671" s="134">
        <f>_xlfn.IFNA(IF(Baseline!C43="Nieuwe situatie",(Baseline!Q43/(VLOOKUP(Baseline!U43,Database_Asfalt_Aanlegset[#All],60,FALSE)/8)),0),0)</f>
        <v>0</v>
      </c>
      <c r="E671" s="135">
        <f>IFERROR(IF(Baseline!C43="Nieuwe situatie",Baseline!I43/Baseline!X43,0),0)</f>
        <v>0</v>
      </c>
      <c r="F671" s="138">
        <f>_xlfn.IFNA(IF(Baseline!C43="Bestaande situatie",Baseline!Q43/(VLOOKUP(Baseline!Y43,Database_Asfalt_Verwijderset[#All],60,FALSE)/8),0),0)</f>
        <v>0</v>
      </c>
      <c r="G671" s="138">
        <f>IFERROR(IF(Baseline!C43="Bestaande situatie",Baseline!I43/Baseline!AB43,0),0)</f>
        <v>0</v>
      </c>
      <c r="H671" s="138" t="str">
        <f>_xlfn.IFNA((VLOOKUP(Baseline!U43,Database_Asfalt_Aanlegset[],61,FALSE)),"Nee")</f>
        <v>Nee</v>
      </c>
      <c r="I671" s="138" t="str">
        <f>_xlfn.IFNA((VLOOKUP(Baseline!V43,Database_Brandstoffen[],60,FALSE)),"Nee")</f>
        <v>Nee</v>
      </c>
      <c r="J671" s="94" t="str">
        <f>_xlfn.IFNA((VLOOKUP(Baseline!Y43,Database_Asfalt_Verwijderset[],61,FALSE)),"Nee")</f>
        <v>Nee</v>
      </c>
      <c r="K671" s="94" t="str">
        <f>_xlfn.IFNA((VLOOKUP(Baseline!Z43,Database_Brandstoffen[],60,FALSE)),"Nee")</f>
        <v>Nee</v>
      </c>
      <c r="L671" s="124">
        <f>IF(Referentie_Bouwplaats_Totaal[[#This Row],[Emissieloos Asfalt Aanlegset]]="JA",Referentie_Bouwplaats_Totaal[[#This Row],[Draaiuren Bouw Asfalt]],0)+IF(Referentie_Bouwplaats_Totaal[[#This Row],[Emissieloos Bouwmaterieel]]="JA",Referentie_Bouwplaats_Totaal[[#This Row],[Draaiuren Bouw Overig]],0)+IF(Referentie_Bouwplaats_Totaal[[#This Row],[Emissieloos Asfalt Verwijderset]]="JA",Referentie_Bouwplaats_Totaal[[#This Row],[Draaiuren Verwijder Asfalt]],0)+IF(Referentie_Bouwplaats_Totaal[[#This Row],[Emissieloos Sloopmaterieel]]="JA",Referentie_Bouwplaats_Totaal[[#This Row],[Draaiuren Verwijder Overig]],0)</f>
        <v>0</v>
      </c>
      <c r="M671" s="124">
        <f>_xlfn.IFNA(IF(Baseline!C43="Nieuwe situatie",(Baseline!Q43/(VLOOKUP(Baseline!U43,Database_Asfalt_Aanlegset[#All],60,FALSE)/8)),0),0)*Baseline!R43</f>
        <v>0</v>
      </c>
      <c r="N671" s="124">
        <f>_xlfn.IFNA(IF(Baseline!C43="Nieuwe situatie",Baseline!O43/VLOOKUP(Baseline!V43,Database_Overig_Materieel[#All],8,FALSE),0),0)*Baseline!R43</f>
        <v>0</v>
      </c>
      <c r="O671" s="132">
        <f>_xlfn.IFNA(IF(Baseline!C43="Bestaande situatie",Baseline!Q43/(VLOOKUP(Baseline!Y43,Database_Asfalt_Verwijderset[#All],60,FALSE)/8),0),0)*Baseline!R43</f>
        <v>0</v>
      </c>
      <c r="P671" s="132">
        <f>_xlfn.IFNA(IF(Baseline!C43="Bestaande situatie",Baseline!O43/VLOOKUP(Baseline!Z43,Database_Overig_Materieel[#All],8,FALSE),0),0)*Baseline!R43</f>
        <v>0</v>
      </c>
      <c r="Q671" s="132">
        <f>IF(Referentie_Bouwplaats_Totaal[[#This Row],[Emissieloos Asfalt Aanlegset]]="JA",Referentie_Bouwplaats_Totaal[[#This Row],[Draaiuren Bouw Asfalt Vervangingen]],0)+IF(Referentie_Bouwplaats_Totaal[[#This Row],[Emissieloos Bouwmaterieel]]="JA",Referentie_Bouwplaats_Totaal[[#This Row],[Draaiuren Bouw Overig Vervangingen]],0)+IF(Referentie_Bouwplaats_Totaal[[#This Row],[Emissieloos Asfalt Verwijderset]]="JA",Referentie_Bouwplaats_Totaal[[#This Row],[Draaiuren Verwijder Asfalt Vervangingen]],0)+IF(Referentie_Bouwplaats_Totaal[[#This Row],[Emissieloos Sloopmaterieel]]="JA",Referentie_Bouwplaats_Totaal[[#This Row],[Draaiuren Verwijder Overig Vervangingen]],0)</f>
        <v>0</v>
      </c>
      <c r="R671" s="132">
        <f>Referentie_Bouwplaats_Totaal[[#This Row],[Emissieloos bouwplaats]]+Referentie_Bouwplaats_Totaal[[#This Row],[Emissieloos bouwplaats Vervangingen]]</f>
        <v>0</v>
      </c>
      <c r="S671" s="132">
        <f>(Referentie_Bouwplaats_Totaal[[#This Row],[Draaiuren Bouw Asfalt]]+Referentie_Bouwplaats_Totaal[[#This Row],[Draaiuren Bouw Overig]]+Referentie_Bouwplaats_Totaal[[#This Row],[Draaiuren Verwijder Asfalt]]+Referentie_Bouwplaats_Totaal[[#This Row],[Draaiuren Verwijder Overig]]+Referentie_Bouwplaats_Totaal[[#This Row],[Draaiuren Bouw Asfalt Vervangingen]]+Referentie_Bouwplaats_Totaal[[#This Row],[Draaiuren Bouw Overig Vervangingen]]+Referentie_Bouwplaats_Totaal[[#This Row],[Draaiuren Verwijder Asfalt Vervangingen]]+Referentie_Bouwplaats_Totaal[[#This Row],[Draaiuren Verwijder Overig Vervangingen]]-Referentie_Bouwplaats_Totaal[[#This Row],[Totaal Emissieloos Bouwplaats]])</f>
        <v>0</v>
      </c>
      <c r="T671" s="132">
        <f>Referentie_Bouwplaats_Totaal[[#This Row],[Totaal Emissieloos Bouwplaats]]+Referentie_Bouwplaats_Totaal[[#This Row],[Totaal Niet Emissieloos Bouwplaats]]</f>
        <v>0</v>
      </c>
      <c r="U671" s="132"/>
      <c r="V671" s="13"/>
      <c r="W671" s="13"/>
      <c r="X671" s="13"/>
      <c r="Y671" s="13"/>
      <c r="Z671" s="13"/>
      <c r="AA671" s="13"/>
      <c r="AB671" s="13"/>
      <c r="AC671" s="13"/>
    </row>
    <row r="672" spans="2:29">
      <c r="B672" s="209">
        <f>Baseline!B44</f>
        <v>0</v>
      </c>
      <c r="C672" s="51">
        <f>Baseline!F44</f>
        <v>0</v>
      </c>
      <c r="D672" s="134">
        <f>_xlfn.IFNA(IF(Baseline!C44="Nieuwe situatie",(Baseline!Q44/(VLOOKUP(Baseline!U44,Database_Asfalt_Aanlegset[#All],60,FALSE)/8)),0),0)</f>
        <v>0</v>
      </c>
      <c r="E672" s="135">
        <f>IFERROR(IF(Baseline!C44="Nieuwe situatie",Baseline!I44/Baseline!X44,0),0)</f>
        <v>0</v>
      </c>
      <c r="F672" s="138">
        <f>_xlfn.IFNA(IF(Baseline!C44="Bestaande situatie",Baseline!Q44/(VLOOKUP(Baseline!Y44,Database_Asfalt_Verwijderset[#All],60,FALSE)/8),0),0)</f>
        <v>0</v>
      </c>
      <c r="G672" s="138">
        <f>IFERROR(IF(Baseline!C44="Bestaande situatie",Baseline!I44/Baseline!AB44,0),0)</f>
        <v>0</v>
      </c>
      <c r="H672" s="138" t="str">
        <f>_xlfn.IFNA((VLOOKUP(Baseline!U44,Database_Asfalt_Aanlegset[],61,FALSE)),"Nee")</f>
        <v>Nee</v>
      </c>
      <c r="I672" s="138" t="str">
        <f>_xlfn.IFNA((VLOOKUP(Baseline!V44,Database_Brandstoffen[],60,FALSE)),"Nee")</f>
        <v>Nee</v>
      </c>
      <c r="J672" s="94" t="str">
        <f>_xlfn.IFNA((VLOOKUP(Baseline!Y44,Database_Asfalt_Verwijderset[],61,FALSE)),"Nee")</f>
        <v>Nee</v>
      </c>
      <c r="K672" s="94" t="str">
        <f>_xlfn.IFNA((VLOOKUP(Baseline!Z44,Database_Brandstoffen[],60,FALSE)),"Nee")</f>
        <v>Nee</v>
      </c>
      <c r="L672" s="124">
        <f>IF(Referentie_Bouwplaats_Totaal[[#This Row],[Emissieloos Asfalt Aanlegset]]="JA",Referentie_Bouwplaats_Totaal[[#This Row],[Draaiuren Bouw Asfalt]],0)+IF(Referentie_Bouwplaats_Totaal[[#This Row],[Emissieloos Bouwmaterieel]]="JA",Referentie_Bouwplaats_Totaal[[#This Row],[Draaiuren Bouw Overig]],0)+IF(Referentie_Bouwplaats_Totaal[[#This Row],[Emissieloos Asfalt Verwijderset]]="JA",Referentie_Bouwplaats_Totaal[[#This Row],[Draaiuren Verwijder Asfalt]],0)+IF(Referentie_Bouwplaats_Totaal[[#This Row],[Emissieloos Sloopmaterieel]]="JA",Referentie_Bouwplaats_Totaal[[#This Row],[Draaiuren Verwijder Overig]],0)</f>
        <v>0</v>
      </c>
      <c r="M672" s="124">
        <f>_xlfn.IFNA(IF(Baseline!C44="Nieuwe situatie",(Baseline!Q44/(VLOOKUP(Baseline!U44,Database_Asfalt_Aanlegset[#All],60,FALSE)/8)),0),0)*Baseline!R44</f>
        <v>0</v>
      </c>
      <c r="N672" s="124">
        <f>_xlfn.IFNA(IF(Baseline!C44="Nieuwe situatie",Baseline!O44/VLOOKUP(Baseline!V44,Database_Overig_Materieel[#All],8,FALSE),0),0)*Baseline!R44</f>
        <v>0</v>
      </c>
      <c r="O672" s="132">
        <f>_xlfn.IFNA(IF(Baseline!C44="Bestaande situatie",Baseline!Q44/(VLOOKUP(Baseline!Y44,Database_Asfalt_Verwijderset[#All],60,FALSE)/8),0),0)*Baseline!R44</f>
        <v>0</v>
      </c>
      <c r="P672" s="132">
        <f>_xlfn.IFNA(IF(Baseline!C44="Bestaande situatie",Baseline!O44/VLOOKUP(Baseline!Z44,Database_Overig_Materieel[#All],8,FALSE),0),0)*Baseline!R44</f>
        <v>0</v>
      </c>
      <c r="Q672" s="132">
        <f>IF(Referentie_Bouwplaats_Totaal[[#This Row],[Emissieloos Asfalt Aanlegset]]="JA",Referentie_Bouwplaats_Totaal[[#This Row],[Draaiuren Bouw Asfalt Vervangingen]],0)+IF(Referentie_Bouwplaats_Totaal[[#This Row],[Emissieloos Bouwmaterieel]]="JA",Referentie_Bouwplaats_Totaal[[#This Row],[Draaiuren Bouw Overig Vervangingen]],0)+IF(Referentie_Bouwplaats_Totaal[[#This Row],[Emissieloos Asfalt Verwijderset]]="JA",Referentie_Bouwplaats_Totaal[[#This Row],[Draaiuren Verwijder Asfalt Vervangingen]],0)+IF(Referentie_Bouwplaats_Totaal[[#This Row],[Emissieloos Sloopmaterieel]]="JA",Referentie_Bouwplaats_Totaal[[#This Row],[Draaiuren Verwijder Overig Vervangingen]],0)</f>
        <v>0</v>
      </c>
      <c r="R672" s="132">
        <f>Referentie_Bouwplaats_Totaal[[#This Row],[Emissieloos bouwplaats]]+Referentie_Bouwplaats_Totaal[[#This Row],[Emissieloos bouwplaats Vervangingen]]</f>
        <v>0</v>
      </c>
      <c r="S672" s="132">
        <f>(Referentie_Bouwplaats_Totaal[[#This Row],[Draaiuren Bouw Asfalt]]+Referentie_Bouwplaats_Totaal[[#This Row],[Draaiuren Bouw Overig]]+Referentie_Bouwplaats_Totaal[[#This Row],[Draaiuren Verwijder Asfalt]]+Referentie_Bouwplaats_Totaal[[#This Row],[Draaiuren Verwijder Overig]]+Referentie_Bouwplaats_Totaal[[#This Row],[Draaiuren Bouw Asfalt Vervangingen]]+Referentie_Bouwplaats_Totaal[[#This Row],[Draaiuren Bouw Overig Vervangingen]]+Referentie_Bouwplaats_Totaal[[#This Row],[Draaiuren Verwijder Asfalt Vervangingen]]+Referentie_Bouwplaats_Totaal[[#This Row],[Draaiuren Verwijder Overig Vervangingen]]-Referentie_Bouwplaats_Totaal[[#This Row],[Totaal Emissieloos Bouwplaats]])</f>
        <v>0</v>
      </c>
      <c r="T672" s="132">
        <f>Referentie_Bouwplaats_Totaal[[#This Row],[Totaal Emissieloos Bouwplaats]]+Referentie_Bouwplaats_Totaal[[#This Row],[Totaal Niet Emissieloos Bouwplaats]]</f>
        <v>0</v>
      </c>
      <c r="U672" s="132"/>
      <c r="V672" s="13"/>
      <c r="W672" s="13"/>
      <c r="X672" s="13"/>
      <c r="Y672" s="13"/>
      <c r="Z672" s="13"/>
      <c r="AA672" s="13"/>
      <c r="AB672" s="13"/>
      <c r="AC672" s="13"/>
    </row>
    <row r="673" spans="2:29">
      <c r="B673" s="209">
        <f>Baseline!B45</f>
        <v>0</v>
      </c>
      <c r="C673" s="51">
        <f>Baseline!F45</f>
        <v>0</v>
      </c>
      <c r="D673" s="134">
        <f>_xlfn.IFNA(IF(Baseline!C45="Nieuwe situatie",(Baseline!Q45/(VLOOKUP(Baseline!U45,Database_Asfalt_Aanlegset[#All],60,FALSE)/8)),0),0)</f>
        <v>0</v>
      </c>
      <c r="E673" s="135">
        <f>IFERROR(IF(Baseline!C45="Nieuwe situatie",Baseline!I45/Baseline!X45,0),0)</f>
        <v>0</v>
      </c>
      <c r="F673" s="138">
        <f>_xlfn.IFNA(IF(Baseline!C45="Bestaande situatie",Baseline!Q45/(VLOOKUP(Baseline!Y45,Database_Asfalt_Verwijderset[#All],60,FALSE)/8),0),0)</f>
        <v>0</v>
      </c>
      <c r="G673" s="138">
        <f>IFERROR(IF(Baseline!C45="Bestaande situatie",Baseline!I45/Baseline!AB45,0),0)</f>
        <v>0</v>
      </c>
      <c r="H673" s="138" t="str">
        <f>_xlfn.IFNA((VLOOKUP(Baseline!U45,Database_Asfalt_Aanlegset[],61,FALSE)),"Nee")</f>
        <v>Nee</v>
      </c>
      <c r="I673" s="138" t="str">
        <f>_xlfn.IFNA((VLOOKUP(Baseline!V45,Database_Brandstoffen[],60,FALSE)),"Nee")</f>
        <v>Nee</v>
      </c>
      <c r="J673" s="94" t="str">
        <f>_xlfn.IFNA((VLOOKUP(Baseline!Y45,Database_Asfalt_Verwijderset[],61,FALSE)),"Nee")</f>
        <v>Nee</v>
      </c>
      <c r="K673" s="94" t="str">
        <f>_xlfn.IFNA((VLOOKUP(Baseline!Z45,Database_Brandstoffen[],60,FALSE)),"Nee")</f>
        <v>Nee</v>
      </c>
      <c r="L673" s="124">
        <f>IF(Referentie_Bouwplaats_Totaal[[#This Row],[Emissieloos Asfalt Aanlegset]]="JA",Referentie_Bouwplaats_Totaal[[#This Row],[Draaiuren Bouw Asfalt]],0)+IF(Referentie_Bouwplaats_Totaal[[#This Row],[Emissieloos Bouwmaterieel]]="JA",Referentie_Bouwplaats_Totaal[[#This Row],[Draaiuren Bouw Overig]],0)+IF(Referentie_Bouwplaats_Totaal[[#This Row],[Emissieloos Asfalt Verwijderset]]="JA",Referentie_Bouwplaats_Totaal[[#This Row],[Draaiuren Verwijder Asfalt]],0)+IF(Referentie_Bouwplaats_Totaal[[#This Row],[Emissieloos Sloopmaterieel]]="JA",Referentie_Bouwplaats_Totaal[[#This Row],[Draaiuren Verwijder Overig]],0)</f>
        <v>0</v>
      </c>
      <c r="M673" s="124">
        <f>_xlfn.IFNA(IF(Baseline!C45="Nieuwe situatie",(Baseline!Q45/(VLOOKUP(Baseline!U45,Database_Asfalt_Aanlegset[#All],60,FALSE)/8)),0),0)*Baseline!R45</f>
        <v>0</v>
      </c>
      <c r="N673" s="124">
        <f>_xlfn.IFNA(IF(Baseline!C45="Nieuwe situatie",Baseline!O45/VLOOKUP(Baseline!V45,Database_Overig_Materieel[#All],8,FALSE),0),0)*Baseline!R45</f>
        <v>0</v>
      </c>
      <c r="O673" s="132">
        <f>_xlfn.IFNA(IF(Baseline!C45="Bestaande situatie",Baseline!Q45/(VLOOKUP(Baseline!Y45,Database_Asfalt_Verwijderset[#All],60,FALSE)/8),0),0)*Baseline!R45</f>
        <v>0</v>
      </c>
      <c r="P673" s="132">
        <f>_xlfn.IFNA(IF(Baseline!C45="Bestaande situatie",Baseline!O45/VLOOKUP(Baseline!Z45,Database_Overig_Materieel[#All],8,FALSE),0),0)*Baseline!R45</f>
        <v>0</v>
      </c>
      <c r="Q673" s="132">
        <f>IF(Referentie_Bouwplaats_Totaal[[#This Row],[Emissieloos Asfalt Aanlegset]]="JA",Referentie_Bouwplaats_Totaal[[#This Row],[Draaiuren Bouw Asfalt Vervangingen]],0)+IF(Referentie_Bouwplaats_Totaal[[#This Row],[Emissieloos Bouwmaterieel]]="JA",Referentie_Bouwplaats_Totaal[[#This Row],[Draaiuren Bouw Overig Vervangingen]],0)+IF(Referentie_Bouwplaats_Totaal[[#This Row],[Emissieloos Asfalt Verwijderset]]="JA",Referentie_Bouwplaats_Totaal[[#This Row],[Draaiuren Verwijder Asfalt Vervangingen]],0)+IF(Referentie_Bouwplaats_Totaal[[#This Row],[Emissieloos Sloopmaterieel]]="JA",Referentie_Bouwplaats_Totaal[[#This Row],[Draaiuren Verwijder Overig Vervangingen]],0)</f>
        <v>0</v>
      </c>
      <c r="R673" s="132">
        <f>Referentie_Bouwplaats_Totaal[[#This Row],[Emissieloos bouwplaats]]+Referentie_Bouwplaats_Totaal[[#This Row],[Emissieloos bouwplaats Vervangingen]]</f>
        <v>0</v>
      </c>
      <c r="S673" s="132">
        <f>(Referentie_Bouwplaats_Totaal[[#This Row],[Draaiuren Bouw Asfalt]]+Referentie_Bouwplaats_Totaal[[#This Row],[Draaiuren Bouw Overig]]+Referentie_Bouwplaats_Totaal[[#This Row],[Draaiuren Verwijder Asfalt]]+Referentie_Bouwplaats_Totaal[[#This Row],[Draaiuren Verwijder Overig]]+Referentie_Bouwplaats_Totaal[[#This Row],[Draaiuren Bouw Asfalt Vervangingen]]+Referentie_Bouwplaats_Totaal[[#This Row],[Draaiuren Bouw Overig Vervangingen]]+Referentie_Bouwplaats_Totaal[[#This Row],[Draaiuren Verwijder Asfalt Vervangingen]]+Referentie_Bouwplaats_Totaal[[#This Row],[Draaiuren Verwijder Overig Vervangingen]]-Referentie_Bouwplaats_Totaal[[#This Row],[Totaal Emissieloos Bouwplaats]])</f>
        <v>0</v>
      </c>
      <c r="T673" s="132">
        <f>Referentie_Bouwplaats_Totaal[[#This Row],[Totaal Emissieloos Bouwplaats]]+Referentie_Bouwplaats_Totaal[[#This Row],[Totaal Niet Emissieloos Bouwplaats]]</f>
        <v>0</v>
      </c>
      <c r="U673" s="132"/>
      <c r="V673" s="13"/>
      <c r="W673" s="13"/>
      <c r="X673" s="13"/>
      <c r="Y673" s="13"/>
      <c r="Z673" s="13"/>
      <c r="AA673" s="13"/>
      <c r="AB673" s="13"/>
      <c r="AC673" s="13"/>
    </row>
    <row r="674" spans="2:29">
      <c r="B674" s="209">
        <f>Baseline!B46</f>
        <v>0</v>
      </c>
      <c r="C674" s="51">
        <f>Baseline!F46</f>
        <v>0</v>
      </c>
      <c r="D674" s="134">
        <f>_xlfn.IFNA(IF(Baseline!C46="Nieuwe situatie",(Baseline!Q46/(VLOOKUP(Baseline!U46,Database_Asfalt_Aanlegset[#All],60,FALSE)/8)),0),0)</f>
        <v>0</v>
      </c>
      <c r="E674" s="135">
        <f>IFERROR(IF(Baseline!C46="Nieuwe situatie",Baseline!I46/Baseline!X46,0),0)</f>
        <v>0</v>
      </c>
      <c r="F674" s="138">
        <f>_xlfn.IFNA(IF(Baseline!C46="Bestaande situatie",Baseline!Q46/(VLOOKUP(Baseline!Y46,Database_Asfalt_Verwijderset[#All],60,FALSE)/8),0),0)</f>
        <v>0</v>
      </c>
      <c r="G674" s="138">
        <f>IFERROR(IF(Baseline!C46="Bestaande situatie",Baseline!I46/Baseline!AB46,0),0)</f>
        <v>0</v>
      </c>
      <c r="H674" s="138" t="str">
        <f>_xlfn.IFNA((VLOOKUP(Baseline!U46,Database_Asfalt_Aanlegset[],61,FALSE)),"Nee")</f>
        <v>Nee</v>
      </c>
      <c r="I674" s="138" t="str">
        <f>_xlfn.IFNA((VLOOKUP(Baseline!V46,Database_Brandstoffen[],60,FALSE)),"Nee")</f>
        <v>Nee</v>
      </c>
      <c r="J674" s="94" t="str">
        <f>_xlfn.IFNA((VLOOKUP(Baseline!Y46,Database_Asfalt_Verwijderset[],61,FALSE)),"Nee")</f>
        <v>Nee</v>
      </c>
      <c r="K674" s="94" t="str">
        <f>_xlfn.IFNA((VLOOKUP(Baseline!Z46,Database_Brandstoffen[],60,FALSE)),"Nee")</f>
        <v>Nee</v>
      </c>
      <c r="L674" s="124">
        <f>IF(Referentie_Bouwplaats_Totaal[[#This Row],[Emissieloos Asfalt Aanlegset]]="JA",Referentie_Bouwplaats_Totaal[[#This Row],[Draaiuren Bouw Asfalt]],0)+IF(Referentie_Bouwplaats_Totaal[[#This Row],[Emissieloos Bouwmaterieel]]="JA",Referentie_Bouwplaats_Totaal[[#This Row],[Draaiuren Bouw Overig]],0)+IF(Referentie_Bouwplaats_Totaal[[#This Row],[Emissieloos Asfalt Verwijderset]]="JA",Referentie_Bouwplaats_Totaal[[#This Row],[Draaiuren Verwijder Asfalt]],0)+IF(Referentie_Bouwplaats_Totaal[[#This Row],[Emissieloos Sloopmaterieel]]="JA",Referentie_Bouwplaats_Totaal[[#This Row],[Draaiuren Verwijder Overig]],0)</f>
        <v>0</v>
      </c>
      <c r="M674" s="124">
        <f>_xlfn.IFNA(IF(Baseline!C46="Nieuwe situatie",(Baseline!Q46/(VLOOKUP(Baseline!U46,Database_Asfalt_Aanlegset[#All],60,FALSE)/8)),0),0)*Baseline!R46</f>
        <v>0</v>
      </c>
      <c r="N674" s="124">
        <f>_xlfn.IFNA(IF(Baseline!C46="Nieuwe situatie",Baseline!O46/VLOOKUP(Baseline!V46,Database_Overig_Materieel[#All],8,FALSE),0),0)*Baseline!R46</f>
        <v>0</v>
      </c>
      <c r="O674" s="132">
        <f>_xlfn.IFNA(IF(Baseline!C46="Bestaande situatie",Baseline!Q46/(VLOOKUP(Baseline!Y46,Database_Asfalt_Verwijderset[#All],60,FALSE)/8),0),0)*Baseline!R46</f>
        <v>0</v>
      </c>
      <c r="P674" s="132">
        <f>_xlfn.IFNA(IF(Baseline!C46="Bestaande situatie",Baseline!O46/VLOOKUP(Baseline!Z46,Database_Overig_Materieel[#All],8,FALSE),0),0)*Baseline!R46</f>
        <v>0</v>
      </c>
      <c r="Q674" s="132">
        <f>IF(Referentie_Bouwplaats_Totaal[[#This Row],[Emissieloos Asfalt Aanlegset]]="JA",Referentie_Bouwplaats_Totaal[[#This Row],[Draaiuren Bouw Asfalt Vervangingen]],0)+IF(Referentie_Bouwplaats_Totaal[[#This Row],[Emissieloos Bouwmaterieel]]="JA",Referentie_Bouwplaats_Totaal[[#This Row],[Draaiuren Bouw Overig Vervangingen]],0)+IF(Referentie_Bouwplaats_Totaal[[#This Row],[Emissieloos Asfalt Verwijderset]]="JA",Referentie_Bouwplaats_Totaal[[#This Row],[Draaiuren Verwijder Asfalt Vervangingen]],0)+IF(Referentie_Bouwplaats_Totaal[[#This Row],[Emissieloos Sloopmaterieel]]="JA",Referentie_Bouwplaats_Totaal[[#This Row],[Draaiuren Verwijder Overig Vervangingen]],0)</f>
        <v>0</v>
      </c>
      <c r="R674" s="132">
        <f>Referentie_Bouwplaats_Totaal[[#This Row],[Emissieloos bouwplaats]]+Referentie_Bouwplaats_Totaal[[#This Row],[Emissieloos bouwplaats Vervangingen]]</f>
        <v>0</v>
      </c>
      <c r="S674" s="132">
        <f>(Referentie_Bouwplaats_Totaal[[#This Row],[Draaiuren Bouw Asfalt]]+Referentie_Bouwplaats_Totaal[[#This Row],[Draaiuren Bouw Overig]]+Referentie_Bouwplaats_Totaal[[#This Row],[Draaiuren Verwijder Asfalt]]+Referentie_Bouwplaats_Totaal[[#This Row],[Draaiuren Verwijder Overig]]+Referentie_Bouwplaats_Totaal[[#This Row],[Draaiuren Bouw Asfalt Vervangingen]]+Referentie_Bouwplaats_Totaal[[#This Row],[Draaiuren Bouw Overig Vervangingen]]+Referentie_Bouwplaats_Totaal[[#This Row],[Draaiuren Verwijder Asfalt Vervangingen]]+Referentie_Bouwplaats_Totaal[[#This Row],[Draaiuren Verwijder Overig Vervangingen]]-Referentie_Bouwplaats_Totaal[[#This Row],[Totaal Emissieloos Bouwplaats]])</f>
        <v>0</v>
      </c>
      <c r="T674" s="132">
        <f>Referentie_Bouwplaats_Totaal[[#This Row],[Totaal Emissieloos Bouwplaats]]+Referentie_Bouwplaats_Totaal[[#This Row],[Totaal Niet Emissieloos Bouwplaats]]</f>
        <v>0</v>
      </c>
      <c r="U674" s="132"/>
      <c r="V674" s="13"/>
      <c r="W674" s="13"/>
      <c r="X674" s="13"/>
      <c r="Y674" s="13"/>
      <c r="Z674" s="13"/>
      <c r="AA674" s="13"/>
      <c r="AB674" s="13"/>
      <c r="AC674" s="13"/>
    </row>
    <row r="675" spans="2:29">
      <c r="B675" s="209">
        <f>Baseline!B47</f>
        <v>0</v>
      </c>
      <c r="C675" s="51">
        <f>Baseline!F47</f>
        <v>0</v>
      </c>
      <c r="D675" s="134">
        <f>_xlfn.IFNA(IF(Baseline!C47="Nieuwe situatie",(Baseline!Q47/(VLOOKUP(Baseline!U47,Database_Asfalt_Aanlegset[#All],60,FALSE)/8)),0),0)</f>
        <v>0</v>
      </c>
      <c r="E675" s="135">
        <f>IFERROR(IF(Baseline!C47="Nieuwe situatie",Baseline!I47/Baseline!X47,0),0)</f>
        <v>0</v>
      </c>
      <c r="F675" s="138">
        <f>_xlfn.IFNA(IF(Baseline!C47="Bestaande situatie",Baseline!Q47/(VLOOKUP(Baseline!Y47,Database_Asfalt_Verwijderset[#All],60,FALSE)/8),0),0)</f>
        <v>0</v>
      </c>
      <c r="G675" s="138">
        <f>IFERROR(IF(Baseline!C47="Bestaande situatie",Baseline!I47/Baseline!AB47,0),0)</f>
        <v>0</v>
      </c>
      <c r="H675" s="138" t="str">
        <f>_xlfn.IFNA((VLOOKUP(Baseline!U47,Database_Asfalt_Aanlegset[],61,FALSE)),"Nee")</f>
        <v>Nee</v>
      </c>
      <c r="I675" s="138" t="str">
        <f>_xlfn.IFNA((VLOOKUP(Baseline!V47,Database_Brandstoffen[],60,FALSE)),"Nee")</f>
        <v>Nee</v>
      </c>
      <c r="J675" s="94" t="str">
        <f>_xlfn.IFNA((VLOOKUP(Baseline!Y47,Database_Asfalt_Verwijderset[],61,FALSE)),"Nee")</f>
        <v>Nee</v>
      </c>
      <c r="K675" s="94" t="str">
        <f>_xlfn.IFNA((VLOOKUP(Baseline!Z47,Database_Brandstoffen[],60,FALSE)),"Nee")</f>
        <v>Nee</v>
      </c>
      <c r="L675" s="124">
        <f>IF(Referentie_Bouwplaats_Totaal[[#This Row],[Emissieloos Asfalt Aanlegset]]="JA",Referentie_Bouwplaats_Totaal[[#This Row],[Draaiuren Bouw Asfalt]],0)+IF(Referentie_Bouwplaats_Totaal[[#This Row],[Emissieloos Bouwmaterieel]]="JA",Referentie_Bouwplaats_Totaal[[#This Row],[Draaiuren Bouw Overig]],0)+IF(Referentie_Bouwplaats_Totaal[[#This Row],[Emissieloos Asfalt Verwijderset]]="JA",Referentie_Bouwplaats_Totaal[[#This Row],[Draaiuren Verwijder Asfalt]],0)+IF(Referentie_Bouwplaats_Totaal[[#This Row],[Emissieloos Sloopmaterieel]]="JA",Referentie_Bouwplaats_Totaal[[#This Row],[Draaiuren Verwijder Overig]],0)</f>
        <v>0</v>
      </c>
      <c r="M675" s="124">
        <f>_xlfn.IFNA(IF(Baseline!C47="Nieuwe situatie",(Baseline!Q47/(VLOOKUP(Baseline!U47,Database_Asfalt_Aanlegset[#All],60,FALSE)/8)),0),0)*Baseline!R47</f>
        <v>0</v>
      </c>
      <c r="N675" s="124">
        <f>_xlfn.IFNA(IF(Baseline!C47="Nieuwe situatie",Baseline!O47/VLOOKUP(Baseline!V47,Database_Overig_Materieel[#All],8,FALSE),0),0)*Baseline!R47</f>
        <v>0</v>
      </c>
      <c r="O675" s="132">
        <f>_xlfn.IFNA(IF(Baseline!C47="Bestaande situatie",Baseline!Q47/(VLOOKUP(Baseline!Y47,Database_Asfalt_Verwijderset[#All],60,FALSE)/8),0),0)*Baseline!R47</f>
        <v>0</v>
      </c>
      <c r="P675" s="132">
        <f>_xlfn.IFNA(IF(Baseline!C47="Bestaande situatie",Baseline!O47/VLOOKUP(Baseline!Z47,Database_Overig_Materieel[#All],8,FALSE),0),0)*Baseline!R47</f>
        <v>0</v>
      </c>
      <c r="Q675" s="132">
        <f>IF(Referentie_Bouwplaats_Totaal[[#This Row],[Emissieloos Asfalt Aanlegset]]="JA",Referentie_Bouwplaats_Totaal[[#This Row],[Draaiuren Bouw Asfalt Vervangingen]],0)+IF(Referentie_Bouwplaats_Totaal[[#This Row],[Emissieloos Bouwmaterieel]]="JA",Referentie_Bouwplaats_Totaal[[#This Row],[Draaiuren Bouw Overig Vervangingen]],0)+IF(Referentie_Bouwplaats_Totaal[[#This Row],[Emissieloos Asfalt Verwijderset]]="JA",Referentie_Bouwplaats_Totaal[[#This Row],[Draaiuren Verwijder Asfalt Vervangingen]],0)+IF(Referentie_Bouwplaats_Totaal[[#This Row],[Emissieloos Sloopmaterieel]]="JA",Referentie_Bouwplaats_Totaal[[#This Row],[Draaiuren Verwijder Overig Vervangingen]],0)</f>
        <v>0</v>
      </c>
      <c r="R675" s="132">
        <f>Referentie_Bouwplaats_Totaal[[#This Row],[Emissieloos bouwplaats]]+Referentie_Bouwplaats_Totaal[[#This Row],[Emissieloos bouwplaats Vervangingen]]</f>
        <v>0</v>
      </c>
      <c r="S675" s="132">
        <f>(Referentie_Bouwplaats_Totaal[[#This Row],[Draaiuren Bouw Asfalt]]+Referentie_Bouwplaats_Totaal[[#This Row],[Draaiuren Bouw Overig]]+Referentie_Bouwplaats_Totaal[[#This Row],[Draaiuren Verwijder Asfalt]]+Referentie_Bouwplaats_Totaal[[#This Row],[Draaiuren Verwijder Overig]]+Referentie_Bouwplaats_Totaal[[#This Row],[Draaiuren Bouw Asfalt Vervangingen]]+Referentie_Bouwplaats_Totaal[[#This Row],[Draaiuren Bouw Overig Vervangingen]]+Referentie_Bouwplaats_Totaal[[#This Row],[Draaiuren Verwijder Asfalt Vervangingen]]+Referentie_Bouwplaats_Totaal[[#This Row],[Draaiuren Verwijder Overig Vervangingen]]-Referentie_Bouwplaats_Totaal[[#This Row],[Totaal Emissieloos Bouwplaats]])</f>
        <v>0</v>
      </c>
      <c r="T675" s="132">
        <f>Referentie_Bouwplaats_Totaal[[#This Row],[Totaal Emissieloos Bouwplaats]]+Referentie_Bouwplaats_Totaal[[#This Row],[Totaal Niet Emissieloos Bouwplaats]]</f>
        <v>0</v>
      </c>
      <c r="U675" s="132"/>
      <c r="V675" s="13"/>
      <c r="W675" s="13"/>
      <c r="X675" s="13"/>
      <c r="Y675" s="13"/>
      <c r="Z675" s="13"/>
      <c r="AA675" s="13"/>
      <c r="AB675" s="13"/>
      <c r="AC675" s="13"/>
    </row>
    <row r="676" spans="2:29">
      <c r="B676" s="209">
        <f>Baseline!B48</f>
        <v>0</v>
      </c>
      <c r="C676" s="51">
        <f>Baseline!F48</f>
        <v>0</v>
      </c>
      <c r="D676" s="134">
        <f>_xlfn.IFNA(IF(Baseline!C48="Nieuwe situatie",(Baseline!Q48/(VLOOKUP(Baseline!U48,Database_Asfalt_Aanlegset[#All],60,FALSE)/8)),0),0)</f>
        <v>0</v>
      </c>
      <c r="E676" s="135">
        <f>IFERROR(IF(Baseline!C48="Nieuwe situatie",Baseline!I48/Baseline!X48,0),0)</f>
        <v>0</v>
      </c>
      <c r="F676" s="138">
        <f>_xlfn.IFNA(IF(Baseline!C48="Bestaande situatie",Baseline!Q48/(VLOOKUP(Baseline!Y48,Database_Asfalt_Verwijderset[#All],60,FALSE)/8),0),0)</f>
        <v>0</v>
      </c>
      <c r="G676" s="138">
        <f>IFERROR(IF(Baseline!C48="Bestaande situatie",Baseline!I48/Baseline!AB48,0),0)</f>
        <v>0</v>
      </c>
      <c r="H676" s="138" t="str">
        <f>_xlfn.IFNA((VLOOKUP(Baseline!U48,Database_Asfalt_Aanlegset[],61,FALSE)),"Nee")</f>
        <v>Nee</v>
      </c>
      <c r="I676" s="138" t="str">
        <f>_xlfn.IFNA((VLOOKUP(Baseline!V48,Database_Brandstoffen[],60,FALSE)),"Nee")</f>
        <v>Nee</v>
      </c>
      <c r="J676" s="94" t="str">
        <f>_xlfn.IFNA((VLOOKUP(Baseline!Y48,Database_Asfalt_Verwijderset[],61,FALSE)),"Nee")</f>
        <v>Nee</v>
      </c>
      <c r="K676" s="94" t="str">
        <f>_xlfn.IFNA((VLOOKUP(Baseline!Z48,Database_Brandstoffen[],60,FALSE)),"Nee")</f>
        <v>Nee</v>
      </c>
      <c r="L676" s="124">
        <f>IF(Referentie_Bouwplaats_Totaal[[#This Row],[Emissieloos Asfalt Aanlegset]]="JA",Referentie_Bouwplaats_Totaal[[#This Row],[Draaiuren Bouw Asfalt]],0)+IF(Referentie_Bouwplaats_Totaal[[#This Row],[Emissieloos Bouwmaterieel]]="JA",Referentie_Bouwplaats_Totaal[[#This Row],[Draaiuren Bouw Overig]],0)+IF(Referentie_Bouwplaats_Totaal[[#This Row],[Emissieloos Asfalt Verwijderset]]="JA",Referentie_Bouwplaats_Totaal[[#This Row],[Draaiuren Verwijder Asfalt]],0)+IF(Referentie_Bouwplaats_Totaal[[#This Row],[Emissieloos Sloopmaterieel]]="JA",Referentie_Bouwplaats_Totaal[[#This Row],[Draaiuren Verwijder Overig]],0)</f>
        <v>0</v>
      </c>
      <c r="M676" s="124">
        <f>_xlfn.IFNA(IF(Baseline!C48="Nieuwe situatie",(Baseline!Q48/(VLOOKUP(Baseline!U48,Database_Asfalt_Aanlegset[#All],60,FALSE)/8)),0),0)*Baseline!R48</f>
        <v>0</v>
      </c>
      <c r="N676" s="124">
        <f>_xlfn.IFNA(IF(Baseline!C48="Nieuwe situatie",Baseline!O48/VLOOKUP(Baseline!V48,Database_Overig_Materieel[#All],8,FALSE),0),0)*Baseline!R48</f>
        <v>0</v>
      </c>
      <c r="O676" s="132">
        <f>_xlfn.IFNA(IF(Baseline!C48="Bestaande situatie",Baseline!Q48/(VLOOKUP(Baseline!Y48,Database_Asfalt_Verwijderset[#All],60,FALSE)/8),0),0)*Baseline!R48</f>
        <v>0</v>
      </c>
      <c r="P676" s="132">
        <f>_xlfn.IFNA(IF(Baseline!C48="Bestaande situatie",Baseline!O48/VLOOKUP(Baseline!Z48,Database_Overig_Materieel[#All],8,FALSE),0),0)*Baseline!R48</f>
        <v>0</v>
      </c>
      <c r="Q676" s="132">
        <f>IF(Referentie_Bouwplaats_Totaal[[#This Row],[Emissieloos Asfalt Aanlegset]]="JA",Referentie_Bouwplaats_Totaal[[#This Row],[Draaiuren Bouw Asfalt Vervangingen]],0)+IF(Referentie_Bouwplaats_Totaal[[#This Row],[Emissieloos Bouwmaterieel]]="JA",Referentie_Bouwplaats_Totaal[[#This Row],[Draaiuren Bouw Overig Vervangingen]],0)+IF(Referentie_Bouwplaats_Totaal[[#This Row],[Emissieloos Asfalt Verwijderset]]="JA",Referentie_Bouwplaats_Totaal[[#This Row],[Draaiuren Verwijder Asfalt Vervangingen]],0)+IF(Referentie_Bouwplaats_Totaal[[#This Row],[Emissieloos Sloopmaterieel]]="JA",Referentie_Bouwplaats_Totaal[[#This Row],[Draaiuren Verwijder Overig Vervangingen]],0)</f>
        <v>0</v>
      </c>
      <c r="R676" s="132">
        <f>Referentie_Bouwplaats_Totaal[[#This Row],[Emissieloos bouwplaats]]+Referentie_Bouwplaats_Totaal[[#This Row],[Emissieloos bouwplaats Vervangingen]]</f>
        <v>0</v>
      </c>
      <c r="S676" s="132">
        <f>(Referentie_Bouwplaats_Totaal[[#This Row],[Draaiuren Bouw Asfalt]]+Referentie_Bouwplaats_Totaal[[#This Row],[Draaiuren Bouw Overig]]+Referentie_Bouwplaats_Totaal[[#This Row],[Draaiuren Verwijder Asfalt]]+Referentie_Bouwplaats_Totaal[[#This Row],[Draaiuren Verwijder Overig]]+Referentie_Bouwplaats_Totaal[[#This Row],[Draaiuren Bouw Asfalt Vervangingen]]+Referentie_Bouwplaats_Totaal[[#This Row],[Draaiuren Bouw Overig Vervangingen]]+Referentie_Bouwplaats_Totaal[[#This Row],[Draaiuren Verwijder Asfalt Vervangingen]]+Referentie_Bouwplaats_Totaal[[#This Row],[Draaiuren Verwijder Overig Vervangingen]]-Referentie_Bouwplaats_Totaal[[#This Row],[Totaal Emissieloos Bouwplaats]])</f>
        <v>0</v>
      </c>
      <c r="T676" s="132">
        <f>Referentie_Bouwplaats_Totaal[[#This Row],[Totaal Emissieloos Bouwplaats]]+Referentie_Bouwplaats_Totaal[[#This Row],[Totaal Niet Emissieloos Bouwplaats]]</f>
        <v>0</v>
      </c>
      <c r="U676" s="132"/>
      <c r="V676" s="13"/>
      <c r="W676" s="13"/>
      <c r="X676" s="13"/>
      <c r="Y676" s="13"/>
      <c r="Z676" s="13"/>
      <c r="AA676" s="13"/>
      <c r="AB676" s="13"/>
      <c r="AC676" s="13"/>
    </row>
    <row r="677" spans="2:29">
      <c r="B677" s="209">
        <f>Baseline!B49</f>
        <v>0</v>
      </c>
      <c r="C677" s="51">
        <f>Baseline!F49</f>
        <v>0</v>
      </c>
      <c r="D677" s="134">
        <f>_xlfn.IFNA(IF(Baseline!C49="Nieuwe situatie",(Baseline!Q49/(VLOOKUP(Baseline!U49,Database_Asfalt_Aanlegset[#All],60,FALSE)/8)),0),0)</f>
        <v>0</v>
      </c>
      <c r="E677" s="135">
        <f>IFERROR(IF(Baseline!C49="Nieuwe situatie",Baseline!I49/Baseline!X49,0),0)</f>
        <v>0</v>
      </c>
      <c r="F677" s="138">
        <f>_xlfn.IFNA(IF(Baseline!C49="Bestaande situatie",Baseline!Q49/(VLOOKUP(Baseline!Y49,Database_Asfalt_Verwijderset[#All],60,FALSE)/8),0),0)</f>
        <v>0</v>
      </c>
      <c r="G677" s="138">
        <f>IFERROR(IF(Baseline!C49="Bestaande situatie",Baseline!I49/Baseline!AB49,0),0)</f>
        <v>0</v>
      </c>
      <c r="H677" s="138" t="str">
        <f>_xlfn.IFNA((VLOOKUP(Baseline!U49,Database_Asfalt_Aanlegset[],61,FALSE)),"Nee")</f>
        <v>Nee</v>
      </c>
      <c r="I677" s="138" t="str">
        <f>_xlfn.IFNA((VLOOKUP(Baseline!V49,Database_Brandstoffen[],60,FALSE)),"Nee")</f>
        <v>Nee</v>
      </c>
      <c r="J677" s="94" t="str">
        <f>_xlfn.IFNA((VLOOKUP(Baseline!Y49,Database_Asfalt_Verwijderset[],61,FALSE)),"Nee")</f>
        <v>Nee</v>
      </c>
      <c r="K677" s="94" t="str">
        <f>_xlfn.IFNA((VLOOKUP(Baseline!Z49,Database_Brandstoffen[],60,FALSE)),"Nee")</f>
        <v>Nee</v>
      </c>
      <c r="L677" s="124">
        <f>IF(Referentie_Bouwplaats_Totaal[[#This Row],[Emissieloos Asfalt Aanlegset]]="JA",Referentie_Bouwplaats_Totaal[[#This Row],[Draaiuren Bouw Asfalt]],0)+IF(Referentie_Bouwplaats_Totaal[[#This Row],[Emissieloos Bouwmaterieel]]="JA",Referentie_Bouwplaats_Totaal[[#This Row],[Draaiuren Bouw Overig]],0)+IF(Referentie_Bouwplaats_Totaal[[#This Row],[Emissieloos Asfalt Verwijderset]]="JA",Referentie_Bouwplaats_Totaal[[#This Row],[Draaiuren Verwijder Asfalt]],0)+IF(Referentie_Bouwplaats_Totaal[[#This Row],[Emissieloos Sloopmaterieel]]="JA",Referentie_Bouwplaats_Totaal[[#This Row],[Draaiuren Verwijder Overig]],0)</f>
        <v>0</v>
      </c>
      <c r="M677" s="124">
        <f>_xlfn.IFNA(IF(Baseline!C49="Nieuwe situatie",(Baseline!Q49/(VLOOKUP(Baseline!U49,Database_Asfalt_Aanlegset[#All],60,FALSE)/8)),0),0)*Baseline!R49</f>
        <v>0</v>
      </c>
      <c r="N677" s="124">
        <f>_xlfn.IFNA(IF(Baseline!C49="Nieuwe situatie",Baseline!O49/VLOOKUP(Baseline!V49,Database_Overig_Materieel[#All],8,FALSE),0),0)*Baseline!R49</f>
        <v>0</v>
      </c>
      <c r="O677" s="132">
        <f>_xlfn.IFNA(IF(Baseline!C49="Bestaande situatie",Baseline!Q49/(VLOOKUP(Baseline!Y49,Database_Asfalt_Verwijderset[#All],60,FALSE)/8),0),0)*Baseline!R49</f>
        <v>0</v>
      </c>
      <c r="P677" s="132">
        <f>_xlfn.IFNA(IF(Baseline!C49="Bestaande situatie",Baseline!O49/VLOOKUP(Baseline!Z49,Database_Overig_Materieel[#All],8,FALSE),0),0)*Baseline!R49</f>
        <v>0</v>
      </c>
      <c r="Q677" s="132">
        <f>IF(Referentie_Bouwplaats_Totaal[[#This Row],[Emissieloos Asfalt Aanlegset]]="JA",Referentie_Bouwplaats_Totaal[[#This Row],[Draaiuren Bouw Asfalt Vervangingen]],0)+IF(Referentie_Bouwplaats_Totaal[[#This Row],[Emissieloos Bouwmaterieel]]="JA",Referentie_Bouwplaats_Totaal[[#This Row],[Draaiuren Bouw Overig Vervangingen]],0)+IF(Referentie_Bouwplaats_Totaal[[#This Row],[Emissieloos Asfalt Verwijderset]]="JA",Referentie_Bouwplaats_Totaal[[#This Row],[Draaiuren Verwijder Asfalt Vervangingen]],0)+IF(Referentie_Bouwplaats_Totaal[[#This Row],[Emissieloos Sloopmaterieel]]="JA",Referentie_Bouwplaats_Totaal[[#This Row],[Draaiuren Verwijder Overig Vervangingen]],0)</f>
        <v>0</v>
      </c>
      <c r="R677" s="132">
        <f>Referentie_Bouwplaats_Totaal[[#This Row],[Emissieloos bouwplaats]]+Referentie_Bouwplaats_Totaal[[#This Row],[Emissieloos bouwplaats Vervangingen]]</f>
        <v>0</v>
      </c>
      <c r="S677" s="132">
        <f>(Referentie_Bouwplaats_Totaal[[#This Row],[Draaiuren Bouw Asfalt]]+Referentie_Bouwplaats_Totaal[[#This Row],[Draaiuren Bouw Overig]]+Referentie_Bouwplaats_Totaal[[#This Row],[Draaiuren Verwijder Asfalt]]+Referentie_Bouwplaats_Totaal[[#This Row],[Draaiuren Verwijder Overig]]+Referentie_Bouwplaats_Totaal[[#This Row],[Draaiuren Bouw Asfalt Vervangingen]]+Referentie_Bouwplaats_Totaal[[#This Row],[Draaiuren Bouw Overig Vervangingen]]+Referentie_Bouwplaats_Totaal[[#This Row],[Draaiuren Verwijder Asfalt Vervangingen]]+Referentie_Bouwplaats_Totaal[[#This Row],[Draaiuren Verwijder Overig Vervangingen]]-Referentie_Bouwplaats_Totaal[[#This Row],[Totaal Emissieloos Bouwplaats]])</f>
        <v>0</v>
      </c>
      <c r="T677" s="132">
        <f>Referentie_Bouwplaats_Totaal[[#This Row],[Totaal Emissieloos Bouwplaats]]+Referentie_Bouwplaats_Totaal[[#This Row],[Totaal Niet Emissieloos Bouwplaats]]</f>
        <v>0</v>
      </c>
      <c r="U677" s="132"/>
      <c r="V677" s="13"/>
      <c r="W677" s="13"/>
      <c r="X677" s="13"/>
      <c r="Y677" s="13"/>
      <c r="Z677" s="13"/>
      <c r="AA677" s="13"/>
      <c r="AB677" s="13"/>
      <c r="AC677" s="13"/>
    </row>
    <row r="678" spans="2:29">
      <c r="B678" s="209">
        <f>Baseline!B50</f>
        <v>0</v>
      </c>
      <c r="C678" s="51">
        <f>Baseline!F50</f>
        <v>0</v>
      </c>
      <c r="D678" s="134">
        <f>_xlfn.IFNA(IF(Baseline!C50="Nieuwe situatie",(Baseline!Q50/(VLOOKUP(Baseline!U50,Database_Asfalt_Aanlegset[#All],60,FALSE)/8)),0),0)</f>
        <v>0</v>
      </c>
      <c r="E678" s="135">
        <f>IFERROR(IF(Baseline!C50="Nieuwe situatie",Baseline!I50/Baseline!X50,0),0)</f>
        <v>0</v>
      </c>
      <c r="F678" s="138">
        <f>_xlfn.IFNA(IF(Baseline!C50="Bestaande situatie",Baseline!Q50/(VLOOKUP(Baseline!Y50,Database_Asfalt_Verwijderset[#All],60,FALSE)/8),0),0)</f>
        <v>0</v>
      </c>
      <c r="G678" s="138">
        <f>IFERROR(IF(Baseline!C50="Bestaande situatie",Baseline!I50/Baseline!AB50,0),0)</f>
        <v>0</v>
      </c>
      <c r="H678" s="138" t="str">
        <f>_xlfn.IFNA((VLOOKUP(Baseline!U50,Database_Asfalt_Aanlegset[],61,FALSE)),"Nee")</f>
        <v>Nee</v>
      </c>
      <c r="I678" s="138" t="str">
        <f>_xlfn.IFNA((VLOOKUP(Baseline!V50,Database_Brandstoffen[],60,FALSE)),"Nee")</f>
        <v>Nee</v>
      </c>
      <c r="J678" s="94" t="str">
        <f>_xlfn.IFNA((VLOOKUP(Baseline!Y50,Database_Asfalt_Verwijderset[],61,FALSE)),"Nee")</f>
        <v>Nee</v>
      </c>
      <c r="K678" s="94" t="str">
        <f>_xlfn.IFNA((VLOOKUP(Baseline!Z50,Database_Brandstoffen[],60,FALSE)),"Nee")</f>
        <v>Nee</v>
      </c>
      <c r="L678" s="124">
        <f>IF(Referentie_Bouwplaats_Totaal[[#This Row],[Emissieloos Asfalt Aanlegset]]="JA",Referentie_Bouwplaats_Totaal[[#This Row],[Draaiuren Bouw Asfalt]],0)+IF(Referentie_Bouwplaats_Totaal[[#This Row],[Emissieloos Bouwmaterieel]]="JA",Referentie_Bouwplaats_Totaal[[#This Row],[Draaiuren Bouw Overig]],0)+IF(Referentie_Bouwplaats_Totaal[[#This Row],[Emissieloos Asfalt Verwijderset]]="JA",Referentie_Bouwplaats_Totaal[[#This Row],[Draaiuren Verwijder Asfalt]],0)+IF(Referentie_Bouwplaats_Totaal[[#This Row],[Emissieloos Sloopmaterieel]]="JA",Referentie_Bouwplaats_Totaal[[#This Row],[Draaiuren Verwijder Overig]],0)</f>
        <v>0</v>
      </c>
      <c r="M678" s="124">
        <f>_xlfn.IFNA(IF(Baseline!C50="Nieuwe situatie",(Baseline!Q50/(VLOOKUP(Baseline!U50,Database_Asfalt_Aanlegset[#All],60,FALSE)/8)),0),0)*Baseline!R50</f>
        <v>0</v>
      </c>
      <c r="N678" s="124">
        <f>_xlfn.IFNA(IF(Baseline!C50="Nieuwe situatie",Baseline!O50/VLOOKUP(Baseline!V50,Database_Overig_Materieel[#All],8,FALSE),0),0)*Baseline!R50</f>
        <v>0</v>
      </c>
      <c r="O678" s="132">
        <f>_xlfn.IFNA(IF(Baseline!C50="Bestaande situatie",Baseline!Q50/(VLOOKUP(Baseline!Y50,Database_Asfalt_Verwijderset[#All],60,FALSE)/8),0),0)*Baseline!R50</f>
        <v>0</v>
      </c>
      <c r="P678" s="132">
        <f>_xlfn.IFNA(IF(Baseline!C50="Bestaande situatie",Baseline!O50/VLOOKUP(Baseline!Z50,Database_Overig_Materieel[#All],8,FALSE),0),0)*Baseline!R50</f>
        <v>0</v>
      </c>
      <c r="Q678" s="132">
        <f>IF(Referentie_Bouwplaats_Totaal[[#This Row],[Emissieloos Asfalt Aanlegset]]="JA",Referentie_Bouwplaats_Totaal[[#This Row],[Draaiuren Bouw Asfalt Vervangingen]],0)+IF(Referentie_Bouwplaats_Totaal[[#This Row],[Emissieloos Bouwmaterieel]]="JA",Referentie_Bouwplaats_Totaal[[#This Row],[Draaiuren Bouw Overig Vervangingen]],0)+IF(Referentie_Bouwplaats_Totaal[[#This Row],[Emissieloos Asfalt Verwijderset]]="JA",Referentie_Bouwplaats_Totaal[[#This Row],[Draaiuren Verwijder Asfalt Vervangingen]],0)+IF(Referentie_Bouwplaats_Totaal[[#This Row],[Emissieloos Sloopmaterieel]]="JA",Referentie_Bouwplaats_Totaal[[#This Row],[Draaiuren Verwijder Overig Vervangingen]],0)</f>
        <v>0</v>
      </c>
      <c r="R678" s="132">
        <f>Referentie_Bouwplaats_Totaal[[#This Row],[Emissieloos bouwplaats]]+Referentie_Bouwplaats_Totaal[[#This Row],[Emissieloos bouwplaats Vervangingen]]</f>
        <v>0</v>
      </c>
      <c r="S678" s="132">
        <f>(Referentie_Bouwplaats_Totaal[[#This Row],[Draaiuren Bouw Asfalt]]+Referentie_Bouwplaats_Totaal[[#This Row],[Draaiuren Bouw Overig]]+Referentie_Bouwplaats_Totaal[[#This Row],[Draaiuren Verwijder Asfalt]]+Referentie_Bouwplaats_Totaal[[#This Row],[Draaiuren Verwijder Overig]]+Referentie_Bouwplaats_Totaal[[#This Row],[Draaiuren Bouw Asfalt Vervangingen]]+Referentie_Bouwplaats_Totaal[[#This Row],[Draaiuren Bouw Overig Vervangingen]]+Referentie_Bouwplaats_Totaal[[#This Row],[Draaiuren Verwijder Asfalt Vervangingen]]+Referentie_Bouwplaats_Totaal[[#This Row],[Draaiuren Verwijder Overig Vervangingen]]-Referentie_Bouwplaats_Totaal[[#This Row],[Totaal Emissieloos Bouwplaats]])</f>
        <v>0</v>
      </c>
      <c r="T678" s="132">
        <f>Referentie_Bouwplaats_Totaal[[#This Row],[Totaal Emissieloos Bouwplaats]]+Referentie_Bouwplaats_Totaal[[#This Row],[Totaal Niet Emissieloos Bouwplaats]]</f>
        <v>0</v>
      </c>
      <c r="U678" s="132"/>
      <c r="V678" s="13"/>
      <c r="W678" s="13"/>
      <c r="X678" s="13"/>
      <c r="Y678" s="13"/>
      <c r="Z678" s="13"/>
      <c r="AA678" s="13"/>
      <c r="AB678" s="13"/>
      <c r="AC678" s="13"/>
    </row>
    <row r="679" spans="2:29">
      <c r="B679" s="209">
        <f>Baseline!B51</f>
        <v>0</v>
      </c>
      <c r="C679" s="51">
        <f>Baseline!F51</f>
        <v>0</v>
      </c>
      <c r="D679" s="134">
        <f>_xlfn.IFNA(IF(Baseline!C51="Nieuwe situatie",(Baseline!Q51/(VLOOKUP(Baseline!U51,Database_Asfalt_Aanlegset[#All],60,FALSE)/8)),0),0)</f>
        <v>0</v>
      </c>
      <c r="E679" s="135">
        <f>IFERROR(IF(Baseline!C51="Nieuwe situatie",Baseline!I51/Baseline!X51,0),0)</f>
        <v>0</v>
      </c>
      <c r="F679" s="138">
        <f>_xlfn.IFNA(IF(Baseline!C51="Bestaande situatie",Baseline!Q51/(VLOOKUP(Baseline!Y51,Database_Asfalt_Verwijderset[#All],60,FALSE)/8),0),0)</f>
        <v>0</v>
      </c>
      <c r="G679" s="138">
        <f>IFERROR(IF(Baseline!C51="Bestaande situatie",Baseline!I51/Baseline!AB51,0),0)</f>
        <v>0</v>
      </c>
      <c r="H679" s="138" t="str">
        <f>_xlfn.IFNA((VLOOKUP(Baseline!U51,Database_Asfalt_Aanlegset[],61,FALSE)),"Nee")</f>
        <v>Nee</v>
      </c>
      <c r="I679" s="138" t="str">
        <f>_xlfn.IFNA((VLOOKUP(Baseline!V51,Database_Brandstoffen[],60,FALSE)),"Nee")</f>
        <v>Nee</v>
      </c>
      <c r="J679" s="94" t="str">
        <f>_xlfn.IFNA((VLOOKUP(Baseline!Y51,Database_Asfalt_Verwijderset[],61,FALSE)),"Nee")</f>
        <v>Nee</v>
      </c>
      <c r="K679" s="94" t="str">
        <f>_xlfn.IFNA((VLOOKUP(Baseline!Z51,Database_Brandstoffen[],60,FALSE)),"Nee")</f>
        <v>Nee</v>
      </c>
      <c r="L679" s="124">
        <f>IF(Referentie_Bouwplaats_Totaal[[#This Row],[Emissieloos Asfalt Aanlegset]]="JA",Referentie_Bouwplaats_Totaal[[#This Row],[Draaiuren Bouw Asfalt]],0)+IF(Referentie_Bouwplaats_Totaal[[#This Row],[Emissieloos Bouwmaterieel]]="JA",Referentie_Bouwplaats_Totaal[[#This Row],[Draaiuren Bouw Overig]],0)+IF(Referentie_Bouwplaats_Totaal[[#This Row],[Emissieloos Asfalt Verwijderset]]="JA",Referentie_Bouwplaats_Totaal[[#This Row],[Draaiuren Verwijder Asfalt]],0)+IF(Referentie_Bouwplaats_Totaal[[#This Row],[Emissieloos Sloopmaterieel]]="JA",Referentie_Bouwplaats_Totaal[[#This Row],[Draaiuren Verwijder Overig]],0)</f>
        <v>0</v>
      </c>
      <c r="M679" s="124">
        <f>_xlfn.IFNA(IF(Baseline!C51="Nieuwe situatie",(Baseline!Q51/(VLOOKUP(Baseline!U51,Database_Asfalt_Aanlegset[#All],60,FALSE)/8)),0),0)*Baseline!R51</f>
        <v>0</v>
      </c>
      <c r="N679" s="124">
        <f>_xlfn.IFNA(IF(Baseline!C51="Nieuwe situatie",Baseline!O51/VLOOKUP(Baseline!V51,Database_Overig_Materieel[#All],8,FALSE),0),0)*Baseline!R51</f>
        <v>0</v>
      </c>
      <c r="O679" s="132">
        <f>_xlfn.IFNA(IF(Baseline!C51="Bestaande situatie",Baseline!Q51/(VLOOKUP(Baseline!Y51,Database_Asfalt_Verwijderset[#All],60,FALSE)/8),0),0)*Baseline!R51</f>
        <v>0</v>
      </c>
      <c r="P679" s="132">
        <f>_xlfn.IFNA(IF(Baseline!C51="Bestaande situatie",Baseline!O51/VLOOKUP(Baseline!Z51,Database_Overig_Materieel[#All],8,FALSE),0),0)*Baseline!R51</f>
        <v>0</v>
      </c>
      <c r="Q679" s="132">
        <f>IF(Referentie_Bouwplaats_Totaal[[#This Row],[Emissieloos Asfalt Aanlegset]]="JA",Referentie_Bouwplaats_Totaal[[#This Row],[Draaiuren Bouw Asfalt Vervangingen]],0)+IF(Referentie_Bouwplaats_Totaal[[#This Row],[Emissieloos Bouwmaterieel]]="JA",Referentie_Bouwplaats_Totaal[[#This Row],[Draaiuren Bouw Overig Vervangingen]],0)+IF(Referentie_Bouwplaats_Totaal[[#This Row],[Emissieloos Asfalt Verwijderset]]="JA",Referentie_Bouwplaats_Totaal[[#This Row],[Draaiuren Verwijder Asfalt Vervangingen]],0)+IF(Referentie_Bouwplaats_Totaal[[#This Row],[Emissieloos Sloopmaterieel]]="JA",Referentie_Bouwplaats_Totaal[[#This Row],[Draaiuren Verwijder Overig Vervangingen]],0)</f>
        <v>0</v>
      </c>
      <c r="R679" s="132">
        <f>Referentie_Bouwplaats_Totaal[[#This Row],[Emissieloos bouwplaats]]+Referentie_Bouwplaats_Totaal[[#This Row],[Emissieloos bouwplaats Vervangingen]]</f>
        <v>0</v>
      </c>
      <c r="S679" s="132">
        <f>(Referentie_Bouwplaats_Totaal[[#This Row],[Draaiuren Bouw Asfalt]]+Referentie_Bouwplaats_Totaal[[#This Row],[Draaiuren Bouw Overig]]+Referentie_Bouwplaats_Totaal[[#This Row],[Draaiuren Verwijder Asfalt]]+Referentie_Bouwplaats_Totaal[[#This Row],[Draaiuren Verwijder Overig]]+Referentie_Bouwplaats_Totaal[[#This Row],[Draaiuren Bouw Asfalt Vervangingen]]+Referentie_Bouwplaats_Totaal[[#This Row],[Draaiuren Bouw Overig Vervangingen]]+Referentie_Bouwplaats_Totaal[[#This Row],[Draaiuren Verwijder Asfalt Vervangingen]]+Referentie_Bouwplaats_Totaal[[#This Row],[Draaiuren Verwijder Overig Vervangingen]]-Referentie_Bouwplaats_Totaal[[#This Row],[Totaal Emissieloos Bouwplaats]])</f>
        <v>0</v>
      </c>
      <c r="T679" s="132">
        <f>Referentie_Bouwplaats_Totaal[[#This Row],[Totaal Emissieloos Bouwplaats]]+Referentie_Bouwplaats_Totaal[[#This Row],[Totaal Niet Emissieloos Bouwplaats]]</f>
        <v>0</v>
      </c>
      <c r="U679" s="132"/>
      <c r="V679" s="13"/>
      <c r="W679" s="13"/>
      <c r="X679" s="13"/>
      <c r="Y679" s="13"/>
      <c r="Z679" s="13"/>
      <c r="AA679" s="13"/>
      <c r="AB679" s="13"/>
      <c r="AC679" s="13"/>
    </row>
    <row r="680" spans="2:29">
      <c r="B680" s="209">
        <f>Baseline!B52</f>
        <v>0</v>
      </c>
      <c r="C680" s="51">
        <f>Baseline!F52</f>
        <v>0</v>
      </c>
      <c r="D680" s="134">
        <f>_xlfn.IFNA(IF(Baseline!C52="Nieuwe situatie",(Baseline!Q52/(VLOOKUP(Baseline!U52,Database_Asfalt_Aanlegset[#All],60,FALSE)/8)),0),0)</f>
        <v>0</v>
      </c>
      <c r="E680" s="135">
        <f>IFERROR(IF(Baseline!C52="Nieuwe situatie",Baseline!I52/Baseline!X52,0),0)</f>
        <v>0</v>
      </c>
      <c r="F680" s="138">
        <f>_xlfn.IFNA(IF(Baseline!C52="Bestaande situatie",Baseline!Q52/(VLOOKUP(Baseline!Y52,Database_Asfalt_Verwijderset[#All],60,FALSE)/8),0),0)</f>
        <v>0</v>
      </c>
      <c r="G680" s="138">
        <f>IFERROR(IF(Baseline!C52="Bestaande situatie",Baseline!I52/Baseline!AB52,0),0)</f>
        <v>0</v>
      </c>
      <c r="H680" s="138" t="str">
        <f>_xlfn.IFNA((VLOOKUP(Baseline!U52,Database_Asfalt_Aanlegset[],61,FALSE)),"Nee")</f>
        <v>Nee</v>
      </c>
      <c r="I680" s="138" t="str">
        <f>_xlfn.IFNA((VLOOKUP(Baseline!V52,Database_Brandstoffen[],60,FALSE)),"Nee")</f>
        <v>Nee</v>
      </c>
      <c r="J680" s="94" t="str">
        <f>_xlfn.IFNA((VLOOKUP(Baseline!Y52,Database_Asfalt_Verwijderset[],61,FALSE)),"Nee")</f>
        <v>Nee</v>
      </c>
      <c r="K680" s="94" t="str">
        <f>_xlfn.IFNA((VLOOKUP(Baseline!Z52,Database_Brandstoffen[],60,FALSE)),"Nee")</f>
        <v>Nee</v>
      </c>
      <c r="L680" s="124">
        <f>IF(Referentie_Bouwplaats_Totaal[[#This Row],[Emissieloos Asfalt Aanlegset]]="JA",Referentie_Bouwplaats_Totaal[[#This Row],[Draaiuren Bouw Asfalt]],0)+IF(Referentie_Bouwplaats_Totaal[[#This Row],[Emissieloos Bouwmaterieel]]="JA",Referentie_Bouwplaats_Totaal[[#This Row],[Draaiuren Bouw Overig]],0)+IF(Referentie_Bouwplaats_Totaal[[#This Row],[Emissieloos Asfalt Verwijderset]]="JA",Referentie_Bouwplaats_Totaal[[#This Row],[Draaiuren Verwijder Asfalt]],0)+IF(Referentie_Bouwplaats_Totaal[[#This Row],[Emissieloos Sloopmaterieel]]="JA",Referentie_Bouwplaats_Totaal[[#This Row],[Draaiuren Verwijder Overig]],0)</f>
        <v>0</v>
      </c>
      <c r="M680" s="124">
        <f>_xlfn.IFNA(IF(Baseline!C52="Nieuwe situatie",(Baseline!Q52/(VLOOKUP(Baseline!U52,Database_Asfalt_Aanlegset[#All],60,FALSE)/8)),0),0)*Baseline!R52</f>
        <v>0</v>
      </c>
      <c r="N680" s="124">
        <f>_xlfn.IFNA(IF(Baseline!C52="Nieuwe situatie",Baseline!O52/VLOOKUP(Baseline!V52,Database_Overig_Materieel[#All],8,FALSE),0),0)*Baseline!R52</f>
        <v>0</v>
      </c>
      <c r="O680" s="132">
        <f>_xlfn.IFNA(IF(Baseline!C52="Bestaande situatie",Baseline!Q52/(VLOOKUP(Baseline!Y52,Database_Asfalt_Verwijderset[#All],60,FALSE)/8),0),0)*Baseline!R52</f>
        <v>0</v>
      </c>
      <c r="P680" s="132">
        <f>_xlfn.IFNA(IF(Baseline!C52="Bestaande situatie",Baseline!O52/VLOOKUP(Baseline!Z52,Database_Overig_Materieel[#All],8,FALSE),0),0)*Baseline!R52</f>
        <v>0</v>
      </c>
      <c r="Q680" s="132">
        <f>IF(Referentie_Bouwplaats_Totaal[[#This Row],[Emissieloos Asfalt Aanlegset]]="JA",Referentie_Bouwplaats_Totaal[[#This Row],[Draaiuren Bouw Asfalt Vervangingen]],0)+IF(Referentie_Bouwplaats_Totaal[[#This Row],[Emissieloos Bouwmaterieel]]="JA",Referentie_Bouwplaats_Totaal[[#This Row],[Draaiuren Bouw Overig Vervangingen]],0)+IF(Referentie_Bouwplaats_Totaal[[#This Row],[Emissieloos Asfalt Verwijderset]]="JA",Referentie_Bouwplaats_Totaal[[#This Row],[Draaiuren Verwijder Asfalt Vervangingen]],0)+IF(Referentie_Bouwplaats_Totaal[[#This Row],[Emissieloos Sloopmaterieel]]="JA",Referentie_Bouwplaats_Totaal[[#This Row],[Draaiuren Verwijder Overig Vervangingen]],0)</f>
        <v>0</v>
      </c>
      <c r="R680" s="132">
        <f>Referentie_Bouwplaats_Totaal[[#This Row],[Emissieloos bouwplaats]]+Referentie_Bouwplaats_Totaal[[#This Row],[Emissieloos bouwplaats Vervangingen]]</f>
        <v>0</v>
      </c>
      <c r="S680" s="132">
        <f>(Referentie_Bouwplaats_Totaal[[#This Row],[Draaiuren Bouw Asfalt]]+Referentie_Bouwplaats_Totaal[[#This Row],[Draaiuren Bouw Overig]]+Referentie_Bouwplaats_Totaal[[#This Row],[Draaiuren Verwijder Asfalt]]+Referentie_Bouwplaats_Totaal[[#This Row],[Draaiuren Verwijder Overig]]+Referentie_Bouwplaats_Totaal[[#This Row],[Draaiuren Bouw Asfalt Vervangingen]]+Referentie_Bouwplaats_Totaal[[#This Row],[Draaiuren Bouw Overig Vervangingen]]+Referentie_Bouwplaats_Totaal[[#This Row],[Draaiuren Verwijder Asfalt Vervangingen]]+Referentie_Bouwplaats_Totaal[[#This Row],[Draaiuren Verwijder Overig Vervangingen]]-Referentie_Bouwplaats_Totaal[[#This Row],[Totaal Emissieloos Bouwplaats]])</f>
        <v>0</v>
      </c>
      <c r="T680" s="132">
        <f>Referentie_Bouwplaats_Totaal[[#This Row],[Totaal Emissieloos Bouwplaats]]+Referentie_Bouwplaats_Totaal[[#This Row],[Totaal Niet Emissieloos Bouwplaats]]</f>
        <v>0</v>
      </c>
      <c r="U680" s="132"/>
      <c r="V680" s="13"/>
      <c r="W680" s="13"/>
      <c r="X680" s="13"/>
      <c r="Y680" s="13"/>
      <c r="Z680" s="13"/>
      <c r="AA680" s="13"/>
      <c r="AB680" s="13"/>
      <c r="AC680" s="13"/>
    </row>
    <row r="681" spans="2:29">
      <c r="B681" s="209">
        <f>Baseline!B53</f>
        <v>0</v>
      </c>
      <c r="C681" s="51">
        <f>Baseline!F53</f>
        <v>0</v>
      </c>
      <c r="D681" s="134">
        <f>_xlfn.IFNA(IF(Baseline!C53="Nieuwe situatie",(Baseline!Q53/(VLOOKUP(Baseline!U53,Database_Asfalt_Aanlegset[#All],60,FALSE)/8)),0),0)</f>
        <v>0</v>
      </c>
      <c r="E681" s="135">
        <f>IFERROR(IF(Baseline!C53="Nieuwe situatie",Baseline!I53/Baseline!X53,0),0)</f>
        <v>0</v>
      </c>
      <c r="F681" s="138">
        <f>_xlfn.IFNA(IF(Baseline!C53="Bestaande situatie",Baseline!Q53/(VLOOKUP(Baseline!Y53,Database_Asfalt_Verwijderset[#All],60,FALSE)/8),0),0)</f>
        <v>0</v>
      </c>
      <c r="G681" s="138">
        <f>IFERROR(IF(Baseline!C53="Bestaande situatie",Baseline!I53/Baseline!AB53,0),0)</f>
        <v>0</v>
      </c>
      <c r="H681" s="138" t="str">
        <f>_xlfn.IFNA((VLOOKUP(Baseline!U53,Database_Asfalt_Aanlegset[],61,FALSE)),"Nee")</f>
        <v>Nee</v>
      </c>
      <c r="I681" s="138" t="str">
        <f>_xlfn.IFNA((VLOOKUP(Baseline!V53,Database_Brandstoffen[],60,FALSE)),"Nee")</f>
        <v>Nee</v>
      </c>
      <c r="J681" s="94" t="str">
        <f>_xlfn.IFNA((VLOOKUP(Baseline!Y53,Database_Asfalt_Verwijderset[],61,FALSE)),"Nee")</f>
        <v>Nee</v>
      </c>
      <c r="K681" s="94" t="str">
        <f>_xlfn.IFNA((VLOOKUP(Baseline!Z53,Database_Brandstoffen[],60,FALSE)),"Nee")</f>
        <v>Nee</v>
      </c>
      <c r="L681" s="124">
        <f>IF(Referentie_Bouwplaats_Totaal[[#This Row],[Emissieloos Asfalt Aanlegset]]="JA",Referentie_Bouwplaats_Totaal[[#This Row],[Draaiuren Bouw Asfalt]],0)+IF(Referentie_Bouwplaats_Totaal[[#This Row],[Emissieloos Bouwmaterieel]]="JA",Referentie_Bouwplaats_Totaal[[#This Row],[Draaiuren Bouw Overig]],0)+IF(Referentie_Bouwplaats_Totaal[[#This Row],[Emissieloos Asfalt Verwijderset]]="JA",Referentie_Bouwplaats_Totaal[[#This Row],[Draaiuren Verwijder Asfalt]],0)+IF(Referentie_Bouwplaats_Totaal[[#This Row],[Emissieloos Sloopmaterieel]]="JA",Referentie_Bouwplaats_Totaal[[#This Row],[Draaiuren Verwijder Overig]],0)</f>
        <v>0</v>
      </c>
      <c r="M681" s="124">
        <f>_xlfn.IFNA(IF(Baseline!C53="Nieuwe situatie",(Baseline!Q53/(VLOOKUP(Baseline!U53,Database_Asfalt_Aanlegset[#All],60,FALSE)/8)),0),0)*Baseline!R53</f>
        <v>0</v>
      </c>
      <c r="N681" s="124">
        <f>_xlfn.IFNA(IF(Baseline!C53="Nieuwe situatie",Baseline!O53/VLOOKUP(Baseline!V53,Database_Overig_Materieel[#All],8,FALSE),0),0)*Baseline!R53</f>
        <v>0</v>
      </c>
      <c r="O681" s="132">
        <f>_xlfn.IFNA(IF(Baseline!C53="Bestaande situatie",Baseline!Q53/(VLOOKUP(Baseline!Y53,Database_Asfalt_Verwijderset[#All],60,FALSE)/8),0),0)*Baseline!R53</f>
        <v>0</v>
      </c>
      <c r="P681" s="132">
        <f>_xlfn.IFNA(IF(Baseline!C53="Bestaande situatie",Baseline!O53/VLOOKUP(Baseline!Z53,Database_Overig_Materieel[#All],8,FALSE),0),0)*Baseline!R53</f>
        <v>0</v>
      </c>
      <c r="Q681" s="132">
        <f>IF(Referentie_Bouwplaats_Totaal[[#This Row],[Emissieloos Asfalt Aanlegset]]="JA",Referentie_Bouwplaats_Totaal[[#This Row],[Draaiuren Bouw Asfalt Vervangingen]],0)+IF(Referentie_Bouwplaats_Totaal[[#This Row],[Emissieloos Bouwmaterieel]]="JA",Referentie_Bouwplaats_Totaal[[#This Row],[Draaiuren Bouw Overig Vervangingen]],0)+IF(Referentie_Bouwplaats_Totaal[[#This Row],[Emissieloos Asfalt Verwijderset]]="JA",Referentie_Bouwplaats_Totaal[[#This Row],[Draaiuren Verwijder Asfalt Vervangingen]],0)+IF(Referentie_Bouwplaats_Totaal[[#This Row],[Emissieloos Sloopmaterieel]]="JA",Referentie_Bouwplaats_Totaal[[#This Row],[Draaiuren Verwijder Overig Vervangingen]],0)</f>
        <v>0</v>
      </c>
      <c r="R681" s="132">
        <f>Referentie_Bouwplaats_Totaal[[#This Row],[Emissieloos bouwplaats]]+Referentie_Bouwplaats_Totaal[[#This Row],[Emissieloos bouwplaats Vervangingen]]</f>
        <v>0</v>
      </c>
      <c r="S681" s="132">
        <f>(Referentie_Bouwplaats_Totaal[[#This Row],[Draaiuren Bouw Asfalt]]+Referentie_Bouwplaats_Totaal[[#This Row],[Draaiuren Bouw Overig]]+Referentie_Bouwplaats_Totaal[[#This Row],[Draaiuren Verwijder Asfalt]]+Referentie_Bouwplaats_Totaal[[#This Row],[Draaiuren Verwijder Overig]]+Referentie_Bouwplaats_Totaal[[#This Row],[Draaiuren Bouw Asfalt Vervangingen]]+Referentie_Bouwplaats_Totaal[[#This Row],[Draaiuren Bouw Overig Vervangingen]]+Referentie_Bouwplaats_Totaal[[#This Row],[Draaiuren Verwijder Asfalt Vervangingen]]+Referentie_Bouwplaats_Totaal[[#This Row],[Draaiuren Verwijder Overig Vervangingen]]-Referentie_Bouwplaats_Totaal[[#This Row],[Totaal Emissieloos Bouwplaats]])</f>
        <v>0</v>
      </c>
      <c r="T681" s="132">
        <f>Referentie_Bouwplaats_Totaal[[#This Row],[Totaal Emissieloos Bouwplaats]]+Referentie_Bouwplaats_Totaal[[#This Row],[Totaal Niet Emissieloos Bouwplaats]]</f>
        <v>0</v>
      </c>
      <c r="U681" s="132"/>
      <c r="V681" s="13"/>
      <c r="W681" s="13"/>
      <c r="X681" s="13"/>
      <c r="Y681" s="13"/>
      <c r="Z681" s="13"/>
      <c r="AA681" s="13"/>
      <c r="AB681" s="13"/>
      <c r="AC681" s="13"/>
    </row>
    <row r="682" spans="2:29">
      <c r="B682" s="209">
        <f>Baseline!B54</f>
        <v>0</v>
      </c>
      <c r="C682" s="51">
        <f>Baseline!F54</f>
        <v>0</v>
      </c>
      <c r="D682" s="134">
        <f>_xlfn.IFNA(IF(Baseline!C54="Nieuwe situatie",(Baseline!Q54/(VLOOKUP(Baseline!U54,Database_Asfalt_Aanlegset[#All],60,FALSE)/8)),0),0)</f>
        <v>0</v>
      </c>
      <c r="E682" s="135">
        <f>IFERROR(IF(Baseline!C54="Nieuwe situatie",Baseline!I54/Baseline!X54,0),0)</f>
        <v>0</v>
      </c>
      <c r="F682" s="138">
        <f>_xlfn.IFNA(IF(Baseline!C54="Bestaande situatie",Baseline!Q54/(VLOOKUP(Baseline!Y54,Database_Asfalt_Verwijderset[#All],60,FALSE)/8),0),0)</f>
        <v>0</v>
      </c>
      <c r="G682" s="138">
        <f>IFERROR(IF(Baseline!C54="Bestaande situatie",Baseline!I54/Baseline!AB54,0),0)</f>
        <v>0</v>
      </c>
      <c r="H682" s="138" t="str">
        <f>_xlfn.IFNA((VLOOKUP(Baseline!U54,Database_Asfalt_Aanlegset[],61,FALSE)),"Nee")</f>
        <v>Nee</v>
      </c>
      <c r="I682" s="138" t="str">
        <f>_xlfn.IFNA((VLOOKUP(Baseline!V54,Database_Brandstoffen[],60,FALSE)),"Nee")</f>
        <v>Nee</v>
      </c>
      <c r="J682" s="94" t="str">
        <f>_xlfn.IFNA((VLOOKUP(Baseline!Y54,Database_Asfalt_Verwijderset[],61,FALSE)),"Nee")</f>
        <v>Nee</v>
      </c>
      <c r="K682" s="94" t="str">
        <f>_xlfn.IFNA((VLOOKUP(Baseline!Z54,Database_Brandstoffen[],60,FALSE)),"Nee")</f>
        <v>Nee</v>
      </c>
      <c r="L682" s="124">
        <f>IF(Referentie_Bouwplaats_Totaal[[#This Row],[Emissieloos Asfalt Aanlegset]]="JA",Referentie_Bouwplaats_Totaal[[#This Row],[Draaiuren Bouw Asfalt]],0)+IF(Referentie_Bouwplaats_Totaal[[#This Row],[Emissieloos Bouwmaterieel]]="JA",Referentie_Bouwplaats_Totaal[[#This Row],[Draaiuren Bouw Overig]],0)+IF(Referentie_Bouwplaats_Totaal[[#This Row],[Emissieloos Asfalt Verwijderset]]="JA",Referentie_Bouwplaats_Totaal[[#This Row],[Draaiuren Verwijder Asfalt]],0)+IF(Referentie_Bouwplaats_Totaal[[#This Row],[Emissieloos Sloopmaterieel]]="JA",Referentie_Bouwplaats_Totaal[[#This Row],[Draaiuren Verwijder Overig]],0)</f>
        <v>0</v>
      </c>
      <c r="M682" s="124">
        <f>_xlfn.IFNA(IF(Baseline!C54="Nieuwe situatie",(Baseline!Q54/(VLOOKUP(Baseline!U54,Database_Asfalt_Aanlegset[#All],60,FALSE)/8)),0),0)*Baseline!R54</f>
        <v>0</v>
      </c>
      <c r="N682" s="124">
        <f>_xlfn.IFNA(IF(Baseline!C54="Nieuwe situatie",Baseline!O54/VLOOKUP(Baseline!V54,Database_Overig_Materieel[#All],8,FALSE),0),0)*Baseline!R54</f>
        <v>0</v>
      </c>
      <c r="O682" s="132">
        <f>_xlfn.IFNA(IF(Baseline!C54="Bestaande situatie",Baseline!Q54/(VLOOKUP(Baseline!Y54,Database_Asfalt_Verwijderset[#All],60,FALSE)/8),0),0)*Baseline!R54</f>
        <v>0</v>
      </c>
      <c r="P682" s="132">
        <f>_xlfn.IFNA(IF(Baseline!C54="Bestaande situatie",Baseline!O54/VLOOKUP(Baseline!Z54,Database_Overig_Materieel[#All],8,FALSE),0),0)*Baseline!R54</f>
        <v>0</v>
      </c>
      <c r="Q682" s="132">
        <f>IF(Referentie_Bouwplaats_Totaal[[#This Row],[Emissieloos Asfalt Aanlegset]]="JA",Referentie_Bouwplaats_Totaal[[#This Row],[Draaiuren Bouw Asfalt Vervangingen]],0)+IF(Referentie_Bouwplaats_Totaal[[#This Row],[Emissieloos Bouwmaterieel]]="JA",Referentie_Bouwplaats_Totaal[[#This Row],[Draaiuren Bouw Overig Vervangingen]],0)+IF(Referentie_Bouwplaats_Totaal[[#This Row],[Emissieloos Asfalt Verwijderset]]="JA",Referentie_Bouwplaats_Totaal[[#This Row],[Draaiuren Verwijder Asfalt Vervangingen]],0)+IF(Referentie_Bouwplaats_Totaal[[#This Row],[Emissieloos Sloopmaterieel]]="JA",Referentie_Bouwplaats_Totaal[[#This Row],[Draaiuren Verwijder Overig Vervangingen]],0)</f>
        <v>0</v>
      </c>
      <c r="R682" s="132">
        <f>Referentie_Bouwplaats_Totaal[[#This Row],[Emissieloos bouwplaats]]+Referentie_Bouwplaats_Totaal[[#This Row],[Emissieloos bouwplaats Vervangingen]]</f>
        <v>0</v>
      </c>
      <c r="S682" s="132">
        <f>(Referentie_Bouwplaats_Totaal[[#This Row],[Draaiuren Bouw Asfalt]]+Referentie_Bouwplaats_Totaal[[#This Row],[Draaiuren Bouw Overig]]+Referentie_Bouwplaats_Totaal[[#This Row],[Draaiuren Verwijder Asfalt]]+Referentie_Bouwplaats_Totaal[[#This Row],[Draaiuren Verwijder Overig]]+Referentie_Bouwplaats_Totaal[[#This Row],[Draaiuren Bouw Asfalt Vervangingen]]+Referentie_Bouwplaats_Totaal[[#This Row],[Draaiuren Bouw Overig Vervangingen]]+Referentie_Bouwplaats_Totaal[[#This Row],[Draaiuren Verwijder Asfalt Vervangingen]]+Referentie_Bouwplaats_Totaal[[#This Row],[Draaiuren Verwijder Overig Vervangingen]]-Referentie_Bouwplaats_Totaal[[#This Row],[Totaal Emissieloos Bouwplaats]])</f>
        <v>0</v>
      </c>
      <c r="T682" s="132">
        <f>Referentie_Bouwplaats_Totaal[[#This Row],[Totaal Emissieloos Bouwplaats]]+Referentie_Bouwplaats_Totaal[[#This Row],[Totaal Niet Emissieloos Bouwplaats]]</f>
        <v>0</v>
      </c>
      <c r="U682" s="132"/>
      <c r="V682" s="13"/>
      <c r="W682" s="13"/>
      <c r="X682" s="13"/>
      <c r="Y682" s="13"/>
      <c r="Z682" s="13"/>
      <c r="AA682" s="13"/>
      <c r="AB682" s="13"/>
      <c r="AC682" s="13"/>
    </row>
    <row r="683" spans="2:29">
      <c r="B683" s="209">
        <f>Baseline!B55</f>
        <v>0</v>
      </c>
      <c r="C683" s="51">
        <f>Baseline!F55</f>
        <v>0</v>
      </c>
      <c r="D683" s="134">
        <f>_xlfn.IFNA(IF(Baseline!C55="Nieuwe situatie",(Baseline!Q55/(VLOOKUP(Baseline!U55,Database_Asfalt_Aanlegset[#All],60,FALSE)/8)),0),0)</f>
        <v>0</v>
      </c>
      <c r="E683" s="135">
        <f>IFERROR(IF(Baseline!C55="Nieuwe situatie",Baseline!I55/Baseline!X55,0),0)</f>
        <v>0</v>
      </c>
      <c r="F683" s="138">
        <f>_xlfn.IFNA(IF(Baseline!C55="Bestaande situatie",Baseline!Q55/(VLOOKUP(Baseline!Y55,Database_Asfalt_Verwijderset[#All],60,FALSE)/8),0),0)</f>
        <v>0</v>
      </c>
      <c r="G683" s="138">
        <f>IFERROR(IF(Baseline!C55="Bestaande situatie",Baseline!I55/Baseline!AB55,0),0)</f>
        <v>0</v>
      </c>
      <c r="H683" s="138" t="str">
        <f>_xlfn.IFNA((VLOOKUP(Baseline!U55,Database_Asfalt_Aanlegset[],61,FALSE)),"Nee")</f>
        <v>Nee</v>
      </c>
      <c r="I683" s="138" t="str">
        <f>_xlfn.IFNA((VLOOKUP(Baseline!V55,Database_Brandstoffen[],60,FALSE)),"Nee")</f>
        <v>Nee</v>
      </c>
      <c r="J683" s="94" t="str">
        <f>_xlfn.IFNA((VLOOKUP(Baseline!Y55,Database_Asfalt_Verwijderset[],61,FALSE)),"Nee")</f>
        <v>Nee</v>
      </c>
      <c r="K683" s="94" t="str">
        <f>_xlfn.IFNA((VLOOKUP(Baseline!Z55,Database_Brandstoffen[],60,FALSE)),"Nee")</f>
        <v>Nee</v>
      </c>
      <c r="L683" s="124">
        <f>IF(Referentie_Bouwplaats_Totaal[[#This Row],[Emissieloos Asfalt Aanlegset]]="JA",Referentie_Bouwplaats_Totaal[[#This Row],[Draaiuren Bouw Asfalt]],0)+IF(Referentie_Bouwplaats_Totaal[[#This Row],[Emissieloos Bouwmaterieel]]="JA",Referentie_Bouwplaats_Totaal[[#This Row],[Draaiuren Bouw Overig]],0)+IF(Referentie_Bouwplaats_Totaal[[#This Row],[Emissieloos Asfalt Verwijderset]]="JA",Referentie_Bouwplaats_Totaal[[#This Row],[Draaiuren Verwijder Asfalt]],0)+IF(Referentie_Bouwplaats_Totaal[[#This Row],[Emissieloos Sloopmaterieel]]="JA",Referentie_Bouwplaats_Totaal[[#This Row],[Draaiuren Verwijder Overig]],0)</f>
        <v>0</v>
      </c>
      <c r="M683" s="124">
        <f>_xlfn.IFNA(IF(Baseline!C55="Nieuwe situatie",(Baseline!Q55/(VLOOKUP(Baseline!U55,Database_Asfalt_Aanlegset[#All],60,FALSE)/8)),0),0)*Baseline!R55</f>
        <v>0</v>
      </c>
      <c r="N683" s="124">
        <f>_xlfn.IFNA(IF(Baseline!C55="Nieuwe situatie",Baseline!O55/VLOOKUP(Baseline!V55,Database_Overig_Materieel[#All],8,FALSE),0),0)*Baseline!R55</f>
        <v>0</v>
      </c>
      <c r="O683" s="132">
        <f>_xlfn.IFNA(IF(Baseline!C55="Bestaande situatie",Baseline!Q55/(VLOOKUP(Baseline!Y55,Database_Asfalt_Verwijderset[#All],60,FALSE)/8),0),0)*Baseline!R55</f>
        <v>0</v>
      </c>
      <c r="P683" s="132">
        <f>_xlfn.IFNA(IF(Baseline!C55="Bestaande situatie",Baseline!O55/VLOOKUP(Baseline!Z55,Database_Overig_Materieel[#All],8,FALSE),0),0)*Baseline!R55</f>
        <v>0</v>
      </c>
      <c r="Q683" s="132">
        <f>IF(Referentie_Bouwplaats_Totaal[[#This Row],[Emissieloos Asfalt Aanlegset]]="JA",Referentie_Bouwplaats_Totaal[[#This Row],[Draaiuren Bouw Asfalt Vervangingen]],0)+IF(Referentie_Bouwplaats_Totaal[[#This Row],[Emissieloos Bouwmaterieel]]="JA",Referentie_Bouwplaats_Totaal[[#This Row],[Draaiuren Bouw Overig Vervangingen]],0)+IF(Referentie_Bouwplaats_Totaal[[#This Row],[Emissieloos Asfalt Verwijderset]]="JA",Referentie_Bouwplaats_Totaal[[#This Row],[Draaiuren Verwijder Asfalt Vervangingen]],0)+IF(Referentie_Bouwplaats_Totaal[[#This Row],[Emissieloos Sloopmaterieel]]="JA",Referentie_Bouwplaats_Totaal[[#This Row],[Draaiuren Verwijder Overig Vervangingen]],0)</f>
        <v>0</v>
      </c>
      <c r="R683" s="132">
        <f>Referentie_Bouwplaats_Totaal[[#This Row],[Emissieloos bouwplaats]]+Referentie_Bouwplaats_Totaal[[#This Row],[Emissieloos bouwplaats Vervangingen]]</f>
        <v>0</v>
      </c>
      <c r="S683" s="132">
        <f>(Referentie_Bouwplaats_Totaal[[#This Row],[Draaiuren Bouw Asfalt]]+Referentie_Bouwplaats_Totaal[[#This Row],[Draaiuren Bouw Overig]]+Referentie_Bouwplaats_Totaal[[#This Row],[Draaiuren Verwijder Asfalt]]+Referentie_Bouwplaats_Totaal[[#This Row],[Draaiuren Verwijder Overig]]+Referentie_Bouwplaats_Totaal[[#This Row],[Draaiuren Bouw Asfalt Vervangingen]]+Referentie_Bouwplaats_Totaal[[#This Row],[Draaiuren Bouw Overig Vervangingen]]+Referentie_Bouwplaats_Totaal[[#This Row],[Draaiuren Verwijder Asfalt Vervangingen]]+Referentie_Bouwplaats_Totaal[[#This Row],[Draaiuren Verwijder Overig Vervangingen]]-Referentie_Bouwplaats_Totaal[[#This Row],[Totaal Emissieloos Bouwplaats]])</f>
        <v>0</v>
      </c>
      <c r="T683" s="132">
        <f>Referentie_Bouwplaats_Totaal[[#This Row],[Totaal Emissieloos Bouwplaats]]+Referentie_Bouwplaats_Totaal[[#This Row],[Totaal Niet Emissieloos Bouwplaats]]</f>
        <v>0</v>
      </c>
      <c r="U683" s="132"/>
      <c r="V683" s="13"/>
      <c r="W683" s="13"/>
      <c r="X683" s="13"/>
      <c r="Y683" s="13"/>
      <c r="Z683" s="13"/>
      <c r="AA683" s="13"/>
      <c r="AB683" s="13"/>
      <c r="AC683" s="13"/>
    </row>
    <row r="684" spans="2:29">
      <c r="B684" s="209">
        <f>Baseline!B56</f>
        <v>0</v>
      </c>
      <c r="C684" s="51">
        <f>Baseline!F56</f>
        <v>0</v>
      </c>
      <c r="D684" s="134">
        <f>_xlfn.IFNA(IF(Baseline!C56="Nieuwe situatie",(Baseline!Q56/(VLOOKUP(Baseline!U56,Database_Asfalt_Aanlegset[#All],60,FALSE)/8)),0),0)</f>
        <v>0</v>
      </c>
      <c r="E684" s="135">
        <f>IFERROR(IF(Baseline!C56="Nieuwe situatie",Baseline!I56/Baseline!X56,0),0)</f>
        <v>0</v>
      </c>
      <c r="F684" s="138">
        <f>_xlfn.IFNA(IF(Baseline!C56="Bestaande situatie",Baseline!Q56/(VLOOKUP(Baseline!Y56,Database_Asfalt_Verwijderset[#All],60,FALSE)/8),0),0)</f>
        <v>0</v>
      </c>
      <c r="G684" s="138">
        <f>IFERROR(IF(Baseline!C56="Bestaande situatie",Baseline!I56/Baseline!AB56,0),0)</f>
        <v>0</v>
      </c>
      <c r="H684" s="138" t="str">
        <f>_xlfn.IFNA((VLOOKUP(Baseline!U56,Database_Asfalt_Aanlegset[],61,FALSE)),"Nee")</f>
        <v>Nee</v>
      </c>
      <c r="I684" s="138" t="str">
        <f>_xlfn.IFNA((VLOOKUP(Baseline!V56,Database_Brandstoffen[],60,FALSE)),"Nee")</f>
        <v>Nee</v>
      </c>
      <c r="J684" s="94" t="str">
        <f>_xlfn.IFNA((VLOOKUP(Baseline!Y56,Database_Asfalt_Verwijderset[],61,FALSE)),"Nee")</f>
        <v>Nee</v>
      </c>
      <c r="K684" s="94" t="str">
        <f>_xlfn.IFNA((VLOOKUP(Baseline!Z56,Database_Brandstoffen[],60,FALSE)),"Nee")</f>
        <v>Nee</v>
      </c>
      <c r="L684" s="124">
        <f>IF(Referentie_Bouwplaats_Totaal[[#This Row],[Emissieloos Asfalt Aanlegset]]="JA",Referentie_Bouwplaats_Totaal[[#This Row],[Draaiuren Bouw Asfalt]],0)+IF(Referentie_Bouwplaats_Totaal[[#This Row],[Emissieloos Bouwmaterieel]]="JA",Referentie_Bouwplaats_Totaal[[#This Row],[Draaiuren Bouw Overig]],0)+IF(Referentie_Bouwplaats_Totaal[[#This Row],[Emissieloos Asfalt Verwijderset]]="JA",Referentie_Bouwplaats_Totaal[[#This Row],[Draaiuren Verwijder Asfalt]],0)+IF(Referentie_Bouwplaats_Totaal[[#This Row],[Emissieloos Sloopmaterieel]]="JA",Referentie_Bouwplaats_Totaal[[#This Row],[Draaiuren Verwijder Overig]],0)</f>
        <v>0</v>
      </c>
      <c r="M684" s="124">
        <f>_xlfn.IFNA(IF(Baseline!C56="Nieuwe situatie",(Baseline!Q56/(VLOOKUP(Baseline!U56,Database_Asfalt_Aanlegset[#All],60,FALSE)/8)),0),0)*Baseline!R56</f>
        <v>0</v>
      </c>
      <c r="N684" s="124">
        <f>_xlfn.IFNA(IF(Baseline!C56="Nieuwe situatie",Baseline!O56/VLOOKUP(Baseline!V56,Database_Overig_Materieel[#All],8,FALSE),0),0)*Baseline!R56</f>
        <v>0</v>
      </c>
      <c r="O684" s="132">
        <f>_xlfn.IFNA(IF(Baseline!C56="Bestaande situatie",Baseline!Q56/(VLOOKUP(Baseline!Y56,Database_Asfalt_Verwijderset[#All],60,FALSE)/8),0),0)*Baseline!R56</f>
        <v>0</v>
      </c>
      <c r="P684" s="132">
        <f>_xlfn.IFNA(IF(Baseline!C56="Bestaande situatie",Baseline!O56/VLOOKUP(Baseline!Z56,Database_Overig_Materieel[#All],8,FALSE),0),0)*Baseline!R56</f>
        <v>0</v>
      </c>
      <c r="Q684" s="132">
        <f>IF(Referentie_Bouwplaats_Totaal[[#This Row],[Emissieloos Asfalt Aanlegset]]="JA",Referentie_Bouwplaats_Totaal[[#This Row],[Draaiuren Bouw Asfalt Vervangingen]],0)+IF(Referentie_Bouwplaats_Totaal[[#This Row],[Emissieloos Bouwmaterieel]]="JA",Referentie_Bouwplaats_Totaal[[#This Row],[Draaiuren Bouw Overig Vervangingen]],0)+IF(Referentie_Bouwplaats_Totaal[[#This Row],[Emissieloos Asfalt Verwijderset]]="JA",Referentie_Bouwplaats_Totaal[[#This Row],[Draaiuren Verwijder Asfalt Vervangingen]],0)+IF(Referentie_Bouwplaats_Totaal[[#This Row],[Emissieloos Sloopmaterieel]]="JA",Referentie_Bouwplaats_Totaal[[#This Row],[Draaiuren Verwijder Overig Vervangingen]],0)</f>
        <v>0</v>
      </c>
      <c r="R684" s="132">
        <f>Referentie_Bouwplaats_Totaal[[#This Row],[Emissieloos bouwplaats]]+Referentie_Bouwplaats_Totaal[[#This Row],[Emissieloos bouwplaats Vervangingen]]</f>
        <v>0</v>
      </c>
      <c r="S684" s="132">
        <f>(Referentie_Bouwplaats_Totaal[[#This Row],[Draaiuren Bouw Asfalt]]+Referentie_Bouwplaats_Totaal[[#This Row],[Draaiuren Bouw Overig]]+Referentie_Bouwplaats_Totaal[[#This Row],[Draaiuren Verwijder Asfalt]]+Referentie_Bouwplaats_Totaal[[#This Row],[Draaiuren Verwijder Overig]]+Referentie_Bouwplaats_Totaal[[#This Row],[Draaiuren Bouw Asfalt Vervangingen]]+Referentie_Bouwplaats_Totaal[[#This Row],[Draaiuren Bouw Overig Vervangingen]]+Referentie_Bouwplaats_Totaal[[#This Row],[Draaiuren Verwijder Asfalt Vervangingen]]+Referentie_Bouwplaats_Totaal[[#This Row],[Draaiuren Verwijder Overig Vervangingen]]-Referentie_Bouwplaats_Totaal[[#This Row],[Totaal Emissieloos Bouwplaats]])</f>
        <v>0</v>
      </c>
      <c r="T684" s="132">
        <f>Referentie_Bouwplaats_Totaal[[#This Row],[Totaal Emissieloos Bouwplaats]]+Referentie_Bouwplaats_Totaal[[#This Row],[Totaal Niet Emissieloos Bouwplaats]]</f>
        <v>0</v>
      </c>
      <c r="U684" s="132"/>
      <c r="V684" s="13"/>
      <c r="W684" s="13"/>
      <c r="X684" s="13"/>
      <c r="Y684" s="13"/>
      <c r="Z684" s="13"/>
      <c r="AA684" s="13"/>
      <c r="AB684" s="13"/>
      <c r="AC684" s="13"/>
    </row>
    <row r="685" spans="2:29">
      <c r="B685" s="209">
        <f>Baseline!B57</f>
        <v>0</v>
      </c>
      <c r="C685" s="51">
        <f>Baseline!F57</f>
        <v>0</v>
      </c>
      <c r="D685" s="134">
        <f>_xlfn.IFNA(IF(Baseline!C57="Nieuwe situatie",(Baseline!Q57/(VLOOKUP(Baseline!U57,Database_Asfalt_Aanlegset[#All],60,FALSE)/8)),0),0)</f>
        <v>0</v>
      </c>
      <c r="E685" s="135">
        <f>IFERROR(IF(Baseline!C57="Nieuwe situatie",Baseline!I57/Baseline!X57,0),0)</f>
        <v>0</v>
      </c>
      <c r="F685" s="138">
        <f>_xlfn.IFNA(IF(Baseline!C57="Bestaande situatie",Baseline!Q57/(VLOOKUP(Baseline!Y57,Database_Asfalt_Verwijderset[#All],60,FALSE)/8),0),0)</f>
        <v>0</v>
      </c>
      <c r="G685" s="138">
        <f>IFERROR(IF(Baseline!C57="Bestaande situatie",Baseline!I57/Baseline!AB57,0),0)</f>
        <v>0</v>
      </c>
      <c r="H685" s="138" t="str">
        <f>_xlfn.IFNA((VLOOKUP(Baseline!U57,Database_Asfalt_Aanlegset[],61,FALSE)),"Nee")</f>
        <v>Nee</v>
      </c>
      <c r="I685" s="138" t="str">
        <f>_xlfn.IFNA((VLOOKUP(Baseline!V57,Database_Brandstoffen[],60,FALSE)),"Nee")</f>
        <v>Nee</v>
      </c>
      <c r="J685" s="94" t="str">
        <f>_xlfn.IFNA((VLOOKUP(Baseline!Y57,Database_Asfalt_Verwijderset[],61,FALSE)),"Nee")</f>
        <v>Nee</v>
      </c>
      <c r="K685" s="94" t="str">
        <f>_xlfn.IFNA((VLOOKUP(Baseline!Z57,Database_Brandstoffen[],60,FALSE)),"Nee")</f>
        <v>Nee</v>
      </c>
      <c r="L685" s="124">
        <f>IF(Referentie_Bouwplaats_Totaal[[#This Row],[Emissieloos Asfalt Aanlegset]]="JA",Referentie_Bouwplaats_Totaal[[#This Row],[Draaiuren Bouw Asfalt]],0)+IF(Referentie_Bouwplaats_Totaal[[#This Row],[Emissieloos Bouwmaterieel]]="JA",Referentie_Bouwplaats_Totaal[[#This Row],[Draaiuren Bouw Overig]],0)+IF(Referentie_Bouwplaats_Totaal[[#This Row],[Emissieloos Asfalt Verwijderset]]="JA",Referentie_Bouwplaats_Totaal[[#This Row],[Draaiuren Verwijder Asfalt]],0)+IF(Referentie_Bouwplaats_Totaal[[#This Row],[Emissieloos Sloopmaterieel]]="JA",Referentie_Bouwplaats_Totaal[[#This Row],[Draaiuren Verwijder Overig]],0)</f>
        <v>0</v>
      </c>
      <c r="M685" s="124">
        <f>_xlfn.IFNA(IF(Baseline!C57="Nieuwe situatie",(Baseline!Q57/(VLOOKUP(Baseline!U57,Database_Asfalt_Aanlegset[#All],60,FALSE)/8)),0),0)*Baseline!R57</f>
        <v>0</v>
      </c>
      <c r="N685" s="124">
        <f>_xlfn.IFNA(IF(Baseline!C57="Nieuwe situatie",Baseline!O57/VLOOKUP(Baseline!V57,Database_Overig_Materieel[#All],8,FALSE),0),0)*Baseline!R57</f>
        <v>0</v>
      </c>
      <c r="O685" s="132">
        <f>_xlfn.IFNA(IF(Baseline!C57="Bestaande situatie",Baseline!Q57/(VLOOKUP(Baseline!Y57,Database_Asfalt_Verwijderset[#All],60,FALSE)/8),0),0)*Baseline!R57</f>
        <v>0</v>
      </c>
      <c r="P685" s="132">
        <f>_xlfn.IFNA(IF(Baseline!C57="Bestaande situatie",Baseline!O57/VLOOKUP(Baseline!Z57,Database_Overig_Materieel[#All],8,FALSE),0),0)*Baseline!R57</f>
        <v>0</v>
      </c>
      <c r="Q685" s="132">
        <f>IF(Referentie_Bouwplaats_Totaal[[#This Row],[Emissieloos Asfalt Aanlegset]]="JA",Referentie_Bouwplaats_Totaal[[#This Row],[Draaiuren Bouw Asfalt Vervangingen]],0)+IF(Referentie_Bouwplaats_Totaal[[#This Row],[Emissieloos Bouwmaterieel]]="JA",Referentie_Bouwplaats_Totaal[[#This Row],[Draaiuren Bouw Overig Vervangingen]],0)+IF(Referentie_Bouwplaats_Totaal[[#This Row],[Emissieloos Asfalt Verwijderset]]="JA",Referentie_Bouwplaats_Totaal[[#This Row],[Draaiuren Verwijder Asfalt Vervangingen]],0)+IF(Referentie_Bouwplaats_Totaal[[#This Row],[Emissieloos Sloopmaterieel]]="JA",Referentie_Bouwplaats_Totaal[[#This Row],[Draaiuren Verwijder Overig Vervangingen]],0)</f>
        <v>0</v>
      </c>
      <c r="R685" s="132">
        <f>Referentie_Bouwplaats_Totaal[[#This Row],[Emissieloos bouwplaats]]+Referentie_Bouwplaats_Totaal[[#This Row],[Emissieloos bouwplaats Vervangingen]]</f>
        <v>0</v>
      </c>
      <c r="S685" s="132">
        <f>(Referentie_Bouwplaats_Totaal[[#This Row],[Draaiuren Bouw Asfalt]]+Referentie_Bouwplaats_Totaal[[#This Row],[Draaiuren Bouw Overig]]+Referentie_Bouwplaats_Totaal[[#This Row],[Draaiuren Verwijder Asfalt]]+Referentie_Bouwplaats_Totaal[[#This Row],[Draaiuren Verwijder Overig]]+Referentie_Bouwplaats_Totaal[[#This Row],[Draaiuren Bouw Asfalt Vervangingen]]+Referentie_Bouwplaats_Totaal[[#This Row],[Draaiuren Bouw Overig Vervangingen]]+Referentie_Bouwplaats_Totaal[[#This Row],[Draaiuren Verwijder Asfalt Vervangingen]]+Referentie_Bouwplaats_Totaal[[#This Row],[Draaiuren Verwijder Overig Vervangingen]]-Referentie_Bouwplaats_Totaal[[#This Row],[Totaal Emissieloos Bouwplaats]])</f>
        <v>0</v>
      </c>
      <c r="T685" s="132">
        <f>Referentie_Bouwplaats_Totaal[[#This Row],[Totaal Emissieloos Bouwplaats]]+Referentie_Bouwplaats_Totaal[[#This Row],[Totaal Niet Emissieloos Bouwplaats]]</f>
        <v>0</v>
      </c>
      <c r="U685" s="132"/>
      <c r="V685" s="13"/>
      <c r="W685" s="13"/>
      <c r="X685" s="13"/>
      <c r="Y685" s="13"/>
      <c r="Z685" s="13"/>
      <c r="AA685" s="13"/>
      <c r="AB685" s="13"/>
      <c r="AC685" s="13"/>
    </row>
    <row r="686" spans="2:29">
      <c r="B686" s="209">
        <f>Baseline!B58</f>
        <v>0</v>
      </c>
      <c r="C686" s="51">
        <f>Baseline!F58</f>
        <v>0</v>
      </c>
      <c r="D686" s="134">
        <f>_xlfn.IFNA(IF(Baseline!C58="Nieuwe situatie",(Baseline!Q58/(VLOOKUP(Baseline!U58,Database_Asfalt_Aanlegset[#All],60,FALSE)/8)),0),0)</f>
        <v>0</v>
      </c>
      <c r="E686" s="135">
        <f>IFERROR(IF(Baseline!C58="Nieuwe situatie",Baseline!I58/Baseline!X58,0),0)</f>
        <v>0</v>
      </c>
      <c r="F686" s="138">
        <f>_xlfn.IFNA(IF(Baseline!C58="Bestaande situatie",Baseline!Q58/(VLOOKUP(Baseline!Y58,Database_Asfalt_Verwijderset[#All],60,FALSE)/8),0),0)</f>
        <v>0</v>
      </c>
      <c r="G686" s="138">
        <f>IFERROR(IF(Baseline!C58="Bestaande situatie",Baseline!I58/Baseline!AB58,0),0)</f>
        <v>0</v>
      </c>
      <c r="H686" s="138" t="str">
        <f>_xlfn.IFNA((VLOOKUP(Baseline!U58,Database_Asfalt_Aanlegset[],61,FALSE)),"Nee")</f>
        <v>Nee</v>
      </c>
      <c r="I686" s="138" t="str">
        <f>_xlfn.IFNA((VLOOKUP(Baseline!V58,Database_Brandstoffen[],60,FALSE)),"Nee")</f>
        <v>Nee</v>
      </c>
      <c r="J686" s="94" t="str">
        <f>_xlfn.IFNA((VLOOKUP(Baseline!Y58,Database_Asfalt_Verwijderset[],61,FALSE)),"Nee")</f>
        <v>Nee</v>
      </c>
      <c r="K686" s="94" t="str">
        <f>_xlfn.IFNA((VLOOKUP(Baseline!Z58,Database_Brandstoffen[],60,FALSE)),"Nee")</f>
        <v>Nee</v>
      </c>
      <c r="L686" s="124">
        <f>IF(Referentie_Bouwplaats_Totaal[[#This Row],[Emissieloos Asfalt Aanlegset]]="JA",Referentie_Bouwplaats_Totaal[[#This Row],[Draaiuren Bouw Asfalt]],0)+IF(Referentie_Bouwplaats_Totaal[[#This Row],[Emissieloos Bouwmaterieel]]="JA",Referentie_Bouwplaats_Totaal[[#This Row],[Draaiuren Bouw Overig]],0)+IF(Referentie_Bouwplaats_Totaal[[#This Row],[Emissieloos Asfalt Verwijderset]]="JA",Referentie_Bouwplaats_Totaal[[#This Row],[Draaiuren Verwijder Asfalt]],0)+IF(Referentie_Bouwplaats_Totaal[[#This Row],[Emissieloos Sloopmaterieel]]="JA",Referentie_Bouwplaats_Totaal[[#This Row],[Draaiuren Verwijder Overig]],0)</f>
        <v>0</v>
      </c>
      <c r="M686" s="124">
        <f>_xlfn.IFNA(IF(Baseline!C58="Nieuwe situatie",(Baseline!Q58/(VLOOKUP(Baseline!U58,Database_Asfalt_Aanlegset[#All],60,FALSE)/8)),0),0)*Baseline!R58</f>
        <v>0</v>
      </c>
      <c r="N686" s="124">
        <f>_xlfn.IFNA(IF(Baseline!C58="Nieuwe situatie",Baseline!O58/VLOOKUP(Baseline!V58,Database_Overig_Materieel[#All],8,FALSE),0),0)*Baseline!R58</f>
        <v>0</v>
      </c>
      <c r="O686" s="132">
        <f>_xlfn.IFNA(IF(Baseline!C58="Bestaande situatie",Baseline!Q58/(VLOOKUP(Baseline!Y58,Database_Asfalt_Verwijderset[#All],60,FALSE)/8),0),0)*Baseline!R58</f>
        <v>0</v>
      </c>
      <c r="P686" s="132">
        <f>_xlfn.IFNA(IF(Baseline!C58="Bestaande situatie",Baseline!O58/VLOOKUP(Baseline!Z58,Database_Overig_Materieel[#All],8,FALSE),0),0)*Baseline!R58</f>
        <v>0</v>
      </c>
      <c r="Q686" s="132">
        <f>IF(Referentie_Bouwplaats_Totaal[[#This Row],[Emissieloos Asfalt Aanlegset]]="JA",Referentie_Bouwplaats_Totaal[[#This Row],[Draaiuren Bouw Asfalt Vervangingen]],0)+IF(Referentie_Bouwplaats_Totaal[[#This Row],[Emissieloos Bouwmaterieel]]="JA",Referentie_Bouwplaats_Totaal[[#This Row],[Draaiuren Bouw Overig Vervangingen]],0)+IF(Referentie_Bouwplaats_Totaal[[#This Row],[Emissieloos Asfalt Verwijderset]]="JA",Referentie_Bouwplaats_Totaal[[#This Row],[Draaiuren Verwijder Asfalt Vervangingen]],0)+IF(Referentie_Bouwplaats_Totaal[[#This Row],[Emissieloos Sloopmaterieel]]="JA",Referentie_Bouwplaats_Totaal[[#This Row],[Draaiuren Verwijder Overig Vervangingen]],0)</f>
        <v>0</v>
      </c>
      <c r="R686" s="132">
        <f>Referentie_Bouwplaats_Totaal[[#This Row],[Emissieloos bouwplaats]]+Referentie_Bouwplaats_Totaal[[#This Row],[Emissieloos bouwplaats Vervangingen]]</f>
        <v>0</v>
      </c>
      <c r="S686" s="132">
        <f>(Referentie_Bouwplaats_Totaal[[#This Row],[Draaiuren Bouw Asfalt]]+Referentie_Bouwplaats_Totaal[[#This Row],[Draaiuren Bouw Overig]]+Referentie_Bouwplaats_Totaal[[#This Row],[Draaiuren Verwijder Asfalt]]+Referentie_Bouwplaats_Totaal[[#This Row],[Draaiuren Verwijder Overig]]+Referentie_Bouwplaats_Totaal[[#This Row],[Draaiuren Bouw Asfalt Vervangingen]]+Referentie_Bouwplaats_Totaal[[#This Row],[Draaiuren Bouw Overig Vervangingen]]+Referentie_Bouwplaats_Totaal[[#This Row],[Draaiuren Verwijder Asfalt Vervangingen]]+Referentie_Bouwplaats_Totaal[[#This Row],[Draaiuren Verwijder Overig Vervangingen]]-Referentie_Bouwplaats_Totaal[[#This Row],[Totaal Emissieloos Bouwplaats]])</f>
        <v>0</v>
      </c>
      <c r="T686" s="132">
        <f>Referentie_Bouwplaats_Totaal[[#This Row],[Totaal Emissieloos Bouwplaats]]+Referentie_Bouwplaats_Totaal[[#This Row],[Totaal Niet Emissieloos Bouwplaats]]</f>
        <v>0</v>
      </c>
      <c r="U686" s="132"/>
      <c r="V686" s="13"/>
      <c r="W686" s="13"/>
      <c r="X686" s="13"/>
      <c r="Y686" s="13"/>
      <c r="Z686" s="13"/>
      <c r="AA686" s="13"/>
      <c r="AB686" s="13"/>
      <c r="AC686" s="13"/>
    </row>
    <row r="687" spans="2:29">
      <c r="B687" s="209">
        <f>Baseline!B59</f>
        <v>0</v>
      </c>
      <c r="C687" s="51">
        <f>Baseline!F59</f>
        <v>0</v>
      </c>
      <c r="D687" s="134">
        <f>_xlfn.IFNA(IF(Baseline!C59="Nieuwe situatie",(Baseline!Q59/(VLOOKUP(Baseline!U59,Database_Asfalt_Aanlegset[#All],60,FALSE)/8)),0),0)</f>
        <v>0</v>
      </c>
      <c r="E687" s="135">
        <f>IFERROR(IF(Baseline!C59="Nieuwe situatie",Baseline!I59/Baseline!X59,0),0)</f>
        <v>0</v>
      </c>
      <c r="F687" s="138">
        <f>_xlfn.IFNA(IF(Baseline!C59="Bestaande situatie",Baseline!Q59/(VLOOKUP(Baseline!Y59,Database_Asfalt_Verwijderset[#All],60,FALSE)/8),0),0)</f>
        <v>0</v>
      </c>
      <c r="G687" s="138">
        <f>IFERROR(IF(Baseline!C59="Bestaande situatie",Baseline!I59/Baseline!AB59,0),0)</f>
        <v>0</v>
      </c>
      <c r="H687" s="138" t="str">
        <f>_xlfn.IFNA((VLOOKUP(Baseline!U59,Database_Asfalt_Aanlegset[],61,FALSE)),"Nee")</f>
        <v>Nee</v>
      </c>
      <c r="I687" s="138" t="str">
        <f>_xlfn.IFNA((VLOOKUP(Baseline!V59,Database_Brandstoffen[],60,FALSE)),"Nee")</f>
        <v>Nee</v>
      </c>
      <c r="J687" s="94" t="str">
        <f>_xlfn.IFNA((VLOOKUP(Baseline!Y59,Database_Asfalt_Verwijderset[],61,FALSE)),"Nee")</f>
        <v>Nee</v>
      </c>
      <c r="K687" s="94" t="str">
        <f>_xlfn.IFNA((VLOOKUP(Baseline!Z59,Database_Brandstoffen[],60,FALSE)),"Nee")</f>
        <v>Nee</v>
      </c>
      <c r="L687" s="124">
        <f>IF(Referentie_Bouwplaats_Totaal[[#This Row],[Emissieloos Asfalt Aanlegset]]="JA",Referentie_Bouwplaats_Totaal[[#This Row],[Draaiuren Bouw Asfalt]],0)+IF(Referentie_Bouwplaats_Totaal[[#This Row],[Emissieloos Bouwmaterieel]]="JA",Referentie_Bouwplaats_Totaal[[#This Row],[Draaiuren Bouw Overig]],0)+IF(Referentie_Bouwplaats_Totaal[[#This Row],[Emissieloos Asfalt Verwijderset]]="JA",Referentie_Bouwplaats_Totaal[[#This Row],[Draaiuren Verwijder Asfalt]],0)+IF(Referentie_Bouwplaats_Totaal[[#This Row],[Emissieloos Sloopmaterieel]]="JA",Referentie_Bouwplaats_Totaal[[#This Row],[Draaiuren Verwijder Overig]],0)</f>
        <v>0</v>
      </c>
      <c r="M687" s="124">
        <f>_xlfn.IFNA(IF(Baseline!C59="Nieuwe situatie",(Baseline!Q59/(VLOOKUP(Baseline!U59,Database_Asfalt_Aanlegset[#All],60,FALSE)/8)),0),0)*Baseline!R59</f>
        <v>0</v>
      </c>
      <c r="N687" s="124">
        <f>_xlfn.IFNA(IF(Baseline!C59="Nieuwe situatie",Baseline!O59/VLOOKUP(Baseline!V59,Database_Overig_Materieel[#All],8,FALSE),0),0)*Baseline!R59</f>
        <v>0</v>
      </c>
      <c r="O687" s="132">
        <f>_xlfn.IFNA(IF(Baseline!C59="Bestaande situatie",Baseline!Q59/(VLOOKUP(Baseline!Y59,Database_Asfalt_Verwijderset[#All],60,FALSE)/8),0),0)*Baseline!R59</f>
        <v>0</v>
      </c>
      <c r="P687" s="132">
        <f>_xlfn.IFNA(IF(Baseline!C59="Bestaande situatie",Baseline!O59/VLOOKUP(Baseline!Z59,Database_Overig_Materieel[#All],8,FALSE),0),0)*Baseline!R59</f>
        <v>0</v>
      </c>
      <c r="Q687" s="132">
        <f>IF(Referentie_Bouwplaats_Totaal[[#This Row],[Emissieloos Asfalt Aanlegset]]="JA",Referentie_Bouwplaats_Totaal[[#This Row],[Draaiuren Bouw Asfalt Vervangingen]],0)+IF(Referentie_Bouwplaats_Totaal[[#This Row],[Emissieloos Bouwmaterieel]]="JA",Referentie_Bouwplaats_Totaal[[#This Row],[Draaiuren Bouw Overig Vervangingen]],0)+IF(Referentie_Bouwplaats_Totaal[[#This Row],[Emissieloos Asfalt Verwijderset]]="JA",Referentie_Bouwplaats_Totaal[[#This Row],[Draaiuren Verwijder Asfalt Vervangingen]],0)+IF(Referentie_Bouwplaats_Totaal[[#This Row],[Emissieloos Sloopmaterieel]]="JA",Referentie_Bouwplaats_Totaal[[#This Row],[Draaiuren Verwijder Overig Vervangingen]],0)</f>
        <v>0</v>
      </c>
      <c r="R687" s="132">
        <f>Referentie_Bouwplaats_Totaal[[#This Row],[Emissieloos bouwplaats]]+Referentie_Bouwplaats_Totaal[[#This Row],[Emissieloos bouwplaats Vervangingen]]</f>
        <v>0</v>
      </c>
      <c r="S687" s="132">
        <f>(Referentie_Bouwplaats_Totaal[[#This Row],[Draaiuren Bouw Asfalt]]+Referentie_Bouwplaats_Totaal[[#This Row],[Draaiuren Bouw Overig]]+Referentie_Bouwplaats_Totaal[[#This Row],[Draaiuren Verwijder Asfalt]]+Referentie_Bouwplaats_Totaal[[#This Row],[Draaiuren Verwijder Overig]]+Referentie_Bouwplaats_Totaal[[#This Row],[Draaiuren Bouw Asfalt Vervangingen]]+Referentie_Bouwplaats_Totaal[[#This Row],[Draaiuren Bouw Overig Vervangingen]]+Referentie_Bouwplaats_Totaal[[#This Row],[Draaiuren Verwijder Asfalt Vervangingen]]+Referentie_Bouwplaats_Totaal[[#This Row],[Draaiuren Verwijder Overig Vervangingen]]-Referentie_Bouwplaats_Totaal[[#This Row],[Totaal Emissieloos Bouwplaats]])</f>
        <v>0</v>
      </c>
      <c r="T687" s="132">
        <f>Referentie_Bouwplaats_Totaal[[#This Row],[Totaal Emissieloos Bouwplaats]]+Referentie_Bouwplaats_Totaal[[#This Row],[Totaal Niet Emissieloos Bouwplaats]]</f>
        <v>0</v>
      </c>
      <c r="U687" s="132"/>
      <c r="V687" s="13"/>
      <c r="W687" s="13"/>
      <c r="X687" s="13"/>
      <c r="Y687" s="13"/>
      <c r="Z687" s="13"/>
      <c r="AA687" s="13"/>
      <c r="AB687" s="13"/>
      <c r="AC687" s="13"/>
    </row>
    <row r="688" spans="2:29">
      <c r="B688" s="209">
        <f>Baseline!B60</f>
        <v>0</v>
      </c>
      <c r="C688" s="51">
        <f>Baseline!F60</f>
        <v>0</v>
      </c>
      <c r="D688" s="134">
        <f>_xlfn.IFNA(IF(Baseline!C60="Nieuwe situatie",(Baseline!Q60/(VLOOKUP(Baseline!U60,Database_Asfalt_Aanlegset[#All],60,FALSE)/8)),0),0)</f>
        <v>0</v>
      </c>
      <c r="E688" s="135">
        <f>IFERROR(IF(Baseline!C60="Nieuwe situatie",Baseline!I60/Baseline!X60,0),0)</f>
        <v>0</v>
      </c>
      <c r="F688" s="138">
        <f>_xlfn.IFNA(IF(Baseline!C60="Bestaande situatie",Baseline!Q60/(VLOOKUP(Baseline!Y60,Database_Asfalt_Verwijderset[#All],60,FALSE)/8),0),0)</f>
        <v>0</v>
      </c>
      <c r="G688" s="138">
        <f>IFERROR(IF(Baseline!C60="Bestaande situatie",Baseline!I60/Baseline!AB60,0),0)</f>
        <v>0</v>
      </c>
      <c r="H688" s="138" t="str">
        <f>_xlfn.IFNA((VLOOKUP(Baseline!U60,Database_Asfalt_Aanlegset[],61,FALSE)),"Nee")</f>
        <v>Nee</v>
      </c>
      <c r="I688" s="138" t="str">
        <f>_xlfn.IFNA((VLOOKUP(Baseline!V60,Database_Brandstoffen[],60,FALSE)),"Nee")</f>
        <v>Nee</v>
      </c>
      <c r="J688" s="94" t="str">
        <f>_xlfn.IFNA((VLOOKUP(Baseline!Y60,Database_Asfalt_Verwijderset[],61,FALSE)),"Nee")</f>
        <v>Nee</v>
      </c>
      <c r="K688" s="94" t="str">
        <f>_xlfn.IFNA((VLOOKUP(Baseline!Z60,Database_Brandstoffen[],60,FALSE)),"Nee")</f>
        <v>Nee</v>
      </c>
      <c r="L688" s="124">
        <f>IF(Referentie_Bouwplaats_Totaal[[#This Row],[Emissieloos Asfalt Aanlegset]]="JA",Referentie_Bouwplaats_Totaal[[#This Row],[Draaiuren Bouw Asfalt]],0)+IF(Referentie_Bouwplaats_Totaal[[#This Row],[Emissieloos Bouwmaterieel]]="JA",Referentie_Bouwplaats_Totaal[[#This Row],[Draaiuren Bouw Overig]],0)+IF(Referentie_Bouwplaats_Totaal[[#This Row],[Emissieloos Asfalt Verwijderset]]="JA",Referentie_Bouwplaats_Totaal[[#This Row],[Draaiuren Verwijder Asfalt]],0)+IF(Referentie_Bouwplaats_Totaal[[#This Row],[Emissieloos Sloopmaterieel]]="JA",Referentie_Bouwplaats_Totaal[[#This Row],[Draaiuren Verwijder Overig]],0)</f>
        <v>0</v>
      </c>
      <c r="M688" s="124">
        <f>_xlfn.IFNA(IF(Baseline!C60="Nieuwe situatie",(Baseline!Q60/(VLOOKUP(Baseline!U60,Database_Asfalt_Aanlegset[#All],60,FALSE)/8)),0),0)*Baseline!R60</f>
        <v>0</v>
      </c>
      <c r="N688" s="124">
        <f>_xlfn.IFNA(IF(Baseline!C60="Nieuwe situatie",Baseline!O60/VLOOKUP(Baseline!V60,Database_Overig_Materieel[#All],8,FALSE),0),0)*Baseline!R60</f>
        <v>0</v>
      </c>
      <c r="O688" s="132">
        <f>_xlfn.IFNA(IF(Baseline!C60="Bestaande situatie",Baseline!Q60/(VLOOKUP(Baseline!Y60,Database_Asfalt_Verwijderset[#All],60,FALSE)/8),0),0)*Baseline!R60</f>
        <v>0</v>
      </c>
      <c r="P688" s="132">
        <f>_xlfn.IFNA(IF(Baseline!C60="Bestaande situatie",Baseline!O60/VLOOKUP(Baseline!Z60,Database_Overig_Materieel[#All],8,FALSE),0),0)*Baseline!R60</f>
        <v>0</v>
      </c>
      <c r="Q688" s="132">
        <f>IF(Referentie_Bouwplaats_Totaal[[#This Row],[Emissieloos Asfalt Aanlegset]]="JA",Referentie_Bouwplaats_Totaal[[#This Row],[Draaiuren Bouw Asfalt Vervangingen]],0)+IF(Referentie_Bouwplaats_Totaal[[#This Row],[Emissieloos Bouwmaterieel]]="JA",Referentie_Bouwplaats_Totaal[[#This Row],[Draaiuren Bouw Overig Vervangingen]],0)+IF(Referentie_Bouwplaats_Totaal[[#This Row],[Emissieloos Asfalt Verwijderset]]="JA",Referentie_Bouwplaats_Totaal[[#This Row],[Draaiuren Verwijder Asfalt Vervangingen]],0)+IF(Referentie_Bouwplaats_Totaal[[#This Row],[Emissieloos Sloopmaterieel]]="JA",Referentie_Bouwplaats_Totaal[[#This Row],[Draaiuren Verwijder Overig Vervangingen]],0)</f>
        <v>0</v>
      </c>
      <c r="R688" s="132">
        <f>Referentie_Bouwplaats_Totaal[[#This Row],[Emissieloos bouwplaats]]+Referentie_Bouwplaats_Totaal[[#This Row],[Emissieloos bouwplaats Vervangingen]]</f>
        <v>0</v>
      </c>
      <c r="S688" s="132">
        <f>(Referentie_Bouwplaats_Totaal[[#This Row],[Draaiuren Bouw Asfalt]]+Referentie_Bouwplaats_Totaal[[#This Row],[Draaiuren Bouw Overig]]+Referentie_Bouwplaats_Totaal[[#This Row],[Draaiuren Verwijder Asfalt]]+Referentie_Bouwplaats_Totaal[[#This Row],[Draaiuren Verwijder Overig]]+Referentie_Bouwplaats_Totaal[[#This Row],[Draaiuren Bouw Asfalt Vervangingen]]+Referentie_Bouwplaats_Totaal[[#This Row],[Draaiuren Bouw Overig Vervangingen]]+Referentie_Bouwplaats_Totaal[[#This Row],[Draaiuren Verwijder Asfalt Vervangingen]]+Referentie_Bouwplaats_Totaal[[#This Row],[Draaiuren Verwijder Overig Vervangingen]]-Referentie_Bouwplaats_Totaal[[#This Row],[Totaal Emissieloos Bouwplaats]])</f>
        <v>0</v>
      </c>
      <c r="T688" s="132">
        <f>Referentie_Bouwplaats_Totaal[[#This Row],[Totaal Emissieloos Bouwplaats]]+Referentie_Bouwplaats_Totaal[[#This Row],[Totaal Niet Emissieloos Bouwplaats]]</f>
        <v>0</v>
      </c>
      <c r="U688" s="132"/>
      <c r="V688" s="13"/>
      <c r="W688" s="13"/>
      <c r="X688" s="13"/>
      <c r="Y688" s="13"/>
      <c r="Z688" s="13"/>
      <c r="AA688" s="13"/>
      <c r="AB688" s="13"/>
      <c r="AC688" s="13"/>
    </row>
    <row r="689" spans="2:29">
      <c r="B689" s="209">
        <f>Baseline!B61</f>
        <v>0</v>
      </c>
      <c r="C689" s="51">
        <f>Baseline!F61</f>
        <v>0</v>
      </c>
      <c r="D689" s="134">
        <f>_xlfn.IFNA(IF(Baseline!C61="Nieuwe situatie",(Baseline!Q61/(VLOOKUP(Baseline!U61,Database_Asfalt_Aanlegset[#All],60,FALSE)/8)),0),0)</f>
        <v>0</v>
      </c>
      <c r="E689" s="135">
        <f>IFERROR(IF(Baseline!C61="Nieuwe situatie",Baseline!I61/Baseline!X61,0),0)</f>
        <v>0</v>
      </c>
      <c r="F689" s="138">
        <f>_xlfn.IFNA(IF(Baseline!C61="Bestaande situatie",Baseline!Q61/(VLOOKUP(Baseline!Y61,Database_Asfalt_Verwijderset[#All],60,FALSE)/8),0),0)</f>
        <v>0</v>
      </c>
      <c r="G689" s="138">
        <f>IFERROR(IF(Baseline!C61="Bestaande situatie",Baseline!I61/Baseline!AB61,0),0)</f>
        <v>0</v>
      </c>
      <c r="H689" s="138" t="str">
        <f>_xlfn.IFNA((VLOOKUP(Baseline!U61,Database_Asfalt_Aanlegset[],61,FALSE)),"Nee")</f>
        <v>Nee</v>
      </c>
      <c r="I689" s="138" t="str">
        <f>_xlfn.IFNA((VLOOKUP(Baseline!V61,Database_Brandstoffen[],60,FALSE)),"Nee")</f>
        <v>Nee</v>
      </c>
      <c r="J689" s="94" t="str">
        <f>_xlfn.IFNA((VLOOKUP(Baseline!Y61,Database_Asfalt_Verwijderset[],61,FALSE)),"Nee")</f>
        <v>Nee</v>
      </c>
      <c r="K689" s="94" t="str">
        <f>_xlfn.IFNA((VLOOKUP(Baseline!Z61,Database_Brandstoffen[],60,FALSE)),"Nee")</f>
        <v>Nee</v>
      </c>
      <c r="L689" s="124">
        <f>IF(Referentie_Bouwplaats_Totaal[[#This Row],[Emissieloos Asfalt Aanlegset]]="JA",Referentie_Bouwplaats_Totaal[[#This Row],[Draaiuren Bouw Asfalt]],0)+IF(Referentie_Bouwplaats_Totaal[[#This Row],[Emissieloos Bouwmaterieel]]="JA",Referentie_Bouwplaats_Totaal[[#This Row],[Draaiuren Bouw Overig]],0)+IF(Referentie_Bouwplaats_Totaal[[#This Row],[Emissieloos Asfalt Verwijderset]]="JA",Referentie_Bouwplaats_Totaal[[#This Row],[Draaiuren Verwijder Asfalt]],0)+IF(Referentie_Bouwplaats_Totaal[[#This Row],[Emissieloos Sloopmaterieel]]="JA",Referentie_Bouwplaats_Totaal[[#This Row],[Draaiuren Verwijder Overig]],0)</f>
        <v>0</v>
      </c>
      <c r="M689" s="124">
        <f>_xlfn.IFNA(IF(Baseline!C61="Nieuwe situatie",(Baseline!Q61/(VLOOKUP(Baseline!U61,Database_Asfalt_Aanlegset[#All],60,FALSE)/8)),0),0)*Baseline!R61</f>
        <v>0</v>
      </c>
      <c r="N689" s="124">
        <f>_xlfn.IFNA(IF(Baseline!C61="Nieuwe situatie",Baseline!O61/VLOOKUP(Baseline!V61,Database_Overig_Materieel[#All],8,FALSE),0),0)*Baseline!R61</f>
        <v>0</v>
      </c>
      <c r="O689" s="132">
        <f>_xlfn.IFNA(IF(Baseline!C61="Bestaande situatie",Baseline!Q61/(VLOOKUP(Baseline!Y61,Database_Asfalt_Verwijderset[#All],60,FALSE)/8),0),0)*Baseline!R61</f>
        <v>0</v>
      </c>
      <c r="P689" s="132">
        <f>_xlfn.IFNA(IF(Baseline!C61="Bestaande situatie",Baseline!O61/VLOOKUP(Baseline!Z61,Database_Overig_Materieel[#All],8,FALSE),0),0)*Baseline!R61</f>
        <v>0</v>
      </c>
      <c r="Q689" s="132">
        <f>IF(Referentie_Bouwplaats_Totaal[[#This Row],[Emissieloos Asfalt Aanlegset]]="JA",Referentie_Bouwplaats_Totaal[[#This Row],[Draaiuren Bouw Asfalt Vervangingen]],0)+IF(Referentie_Bouwplaats_Totaal[[#This Row],[Emissieloos Bouwmaterieel]]="JA",Referentie_Bouwplaats_Totaal[[#This Row],[Draaiuren Bouw Overig Vervangingen]],0)+IF(Referentie_Bouwplaats_Totaal[[#This Row],[Emissieloos Asfalt Verwijderset]]="JA",Referentie_Bouwplaats_Totaal[[#This Row],[Draaiuren Verwijder Asfalt Vervangingen]],0)+IF(Referentie_Bouwplaats_Totaal[[#This Row],[Emissieloos Sloopmaterieel]]="JA",Referentie_Bouwplaats_Totaal[[#This Row],[Draaiuren Verwijder Overig Vervangingen]],0)</f>
        <v>0</v>
      </c>
      <c r="R689" s="132">
        <f>Referentie_Bouwplaats_Totaal[[#This Row],[Emissieloos bouwplaats]]+Referentie_Bouwplaats_Totaal[[#This Row],[Emissieloos bouwplaats Vervangingen]]</f>
        <v>0</v>
      </c>
      <c r="S689" s="132">
        <f>(Referentie_Bouwplaats_Totaal[[#This Row],[Draaiuren Bouw Asfalt]]+Referentie_Bouwplaats_Totaal[[#This Row],[Draaiuren Bouw Overig]]+Referentie_Bouwplaats_Totaal[[#This Row],[Draaiuren Verwijder Asfalt]]+Referentie_Bouwplaats_Totaal[[#This Row],[Draaiuren Verwijder Overig]]+Referentie_Bouwplaats_Totaal[[#This Row],[Draaiuren Bouw Asfalt Vervangingen]]+Referentie_Bouwplaats_Totaal[[#This Row],[Draaiuren Bouw Overig Vervangingen]]+Referentie_Bouwplaats_Totaal[[#This Row],[Draaiuren Verwijder Asfalt Vervangingen]]+Referentie_Bouwplaats_Totaal[[#This Row],[Draaiuren Verwijder Overig Vervangingen]]-Referentie_Bouwplaats_Totaal[[#This Row],[Totaal Emissieloos Bouwplaats]])</f>
        <v>0</v>
      </c>
      <c r="T689" s="132">
        <f>Referentie_Bouwplaats_Totaal[[#This Row],[Totaal Emissieloos Bouwplaats]]+Referentie_Bouwplaats_Totaal[[#This Row],[Totaal Niet Emissieloos Bouwplaats]]</f>
        <v>0</v>
      </c>
      <c r="U689" s="132"/>
      <c r="V689" s="13"/>
      <c r="W689" s="13"/>
      <c r="X689" s="13"/>
      <c r="Y689" s="13"/>
      <c r="Z689" s="13"/>
      <c r="AA689" s="13"/>
      <c r="AB689" s="13"/>
      <c r="AC689" s="13"/>
    </row>
    <row r="690" spans="2:29">
      <c r="B690" s="209">
        <f>Baseline!B62</f>
        <v>0</v>
      </c>
      <c r="C690" s="51">
        <f>Baseline!F62</f>
        <v>0</v>
      </c>
      <c r="D690" s="134">
        <f>_xlfn.IFNA(IF(Baseline!C62="Nieuwe situatie",(Baseline!Q62/(VLOOKUP(Baseline!U62,Database_Asfalt_Aanlegset[#All],60,FALSE)/8)),0),0)</f>
        <v>0</v>
      </c>
      <c r="E690" s="135">
        <f>IFERROR(IF(Baseline!C62="Nieuwe situatie",Baseline!I62/Baseline!X62,0),0)</f>
        <v>0</v>
      </c>
      <c r="F690" s="138">
        <f>_xlfn.IFNA(IF(Baseline!C62="Bestaande situatie",Baseline!Q62/(VLOOKUP(Baseline!Y62,Database_Asfalt_Verwijderset[#All],60,FALSE)/8),0),0)</f>
        <v>0</v>
      </c>
      <c r="G690" s="138">
        <f>IFERROR(IF(Baseline!C62="Bestaande situatie",Baseline!I62/Baseline!AB62,0),0)</f>
        <v>0</v>
      </c>
      <c r="H690" s="138" t="str">
        <f>_xlfn.IFNA((VLOOKUP(Baseline!U62,Database_Asfalt_Aanlegset[],61,FALSE)),"Nee")</f>
        <v>Nee</v>
      </c>
      <c r="I690" s="138" t="str">
        <f>_xlfn.IFNA((VLOOKUP(Baseline!V62,Database_Brandstoffen[],60,FALSE)),"Nee")</f>
        <v>Nee</v>
      </c>
      <c r="J690" s="94" t="str">
        <f>_xlfn.IFNA((VLOOKUP(Baseline!Y62,Database_Asfalt_Verwijderset[],61,FALSE)),"Nee")</f>
        <v>Nee</v>
      </c>
      <c r="K690" s="94" t="str">
        <f>_xlfn.IFNA((VLOOKUP(Baseline!Z62,Database_Brandstoffen[],60,FALSE)),"Nee")</f>
        <v>Nee</v>
      </c>
      <c r="L690" s="124">
        <f>IF(Referentie_Bouwplaats_Totaal[[#This Row],[Emissieloos Asfalt Aanlegset]]="JA",Referentie_Bouwplaats_Totaal[[#This Row],[Draaiuren Bouw Asfalt]],0)+IF(Referentie_Bouwplaats_Totaal[[#This Row],[Emissieloos Bouwmaterieel]]="JA",Referentie_Bouwplaats_Totaal[[#This Row],[Draaiuren Bouw Overig]],0)+IF(Referentie_Bouwplaats_Totaal[[#This Row],[Emissieloos Asfalt Verwijderset]]="JA",Referentie_Bouwplaats_Totaal[[#This Row],[Draaiuren Verwijder Asfalt]],0)+IF(Referentie_Bouwplaats_Totaal[[#This Row],[Emissieloos Sloopmaterieel]]="JA",Referentie_Bouwplaats_Totaal[[#This Row],[Draaiuren Verwijder Overig]],0)</f>
        <v>0</v>
      </c>
      <c r="M690" s="124">
        <f>_xlfn.IFNA(IF(Baseline!C62="Nieuwe situatie",(Baseline!Q62/(VLOOKUP(Baseline!U62,Database_Asfalt_Aanlegset[#All],60,FALSE)/8)),0),0)*Baseline!R62</f>
        <v>0</v>
      </c>
      <c r="N690" s="124">
        <f>_xlfn.IFNA(IF(Baseline!C62="Nieuwe situatie",Baseline!O62/VLOOKUP(Baseline!V62,Database_Overig_Materieel[#All],8,FALSE),0),0)*Baseline!R62</f>
        <v>0</v>
      </c>
      <c r="O690" s="132">
        <f>_xlfn.IFNA(IF(Baseline!C62="Bestaande situatie",Baseline!Q62/(VLOOKUP(Baseline!Y62,Database_Asfalt_Verwijderset[#All],60,FALSE)/8),0),0)*Baseline!R62</f>
        <v>0</v>
      </c>
      <c r="P690" s="132">
        <f>_xlfn.IFNA(IF(Baseline!C62="Bestaande situatie",Baseline!O62/VLOOKUP(Baseline!Z62,Database_Overig_Materieel[#All],8,FALSE),0),0)*Baseline!R62</f>
        <v>0</v>
      </c>
      <c r="Q690" s="132">
        <f>IF(Referentie_Bouwplaats_Totaal[[#This Row],[Emissieloos Asfalt Aanlegset]]="JA",Referentie_Bouwplaats_Totaal[[#This Row],[Draaiuren Bouw Asfalt Vervangingen]],0)+IF(Referentie_Bouwplaats_Totaal[[#This Row],[Emissieloos Bouwmaterieel]]="JA",Referentie_Bouwplaats_Totaal[[#This Row],[Draaiuren Bouw Overig Vervangingen]],0)+IF(Referentie_Bouwplaats_Totaal[[#This Row],[Emissieloos Asfalt Verwijderset]]="JA",Referentie_Bouwplaats_Totaal[[#This Row],[Draaiuren Verwijder Asfalt Vervangingen]],0)+IF(Referentie_Bouwplaats_Totaal[[#This Row],[Emissieloos Sloopmaterieel]]="JA",Referentie_Bouwplaats_Totaal[[#This Row],[Draaiuren Verwijder Overig Vervangingen]],0)</f>
        <v>0</v>
      </c>
      <c r="R690" s="132">
        <f>Referentie_Bouwplaats_Totaal[[#This Row],[Emissieloos bouwplaats]]+Referentie_Bouwplaats_Totaal[[#This Row],[Emissieloos bouwplaats Vervangingen]]</f>
        <v>0</v>
      </c>
      <c r="S690" s="132">
        <f>(Referentie_Bouwplaats_Totaal[[#This Row],[Draaiuren Bouw Asfalt]]+Referentie_Bouwplaats_Totaal[[#This Row],[Draaiuren Bouw Overig]]+Referentie_Bouwplaats_Totaal[[#This Row],[Draaiuren Verwijder Asfalt]]+Referentie_Bouwplaats_Totaal[[#This Row],[Draaiuren Verwijder Overig]]+Referentie_Bouwplaats_Totaal[[#This Row],[Draaiuren Bouw Asfalt Vervangingen]]+Referentie_Bouwplaats_Totaal[[#This Row],[Draaiuren Bouw Overig Vervangingen]]+Referentie_Bouwplaats_Totaal[[#This Row],[Draaiuren Verwijder Asfalt Vervangingen]]+Referentie_Bouwplaats_Totaal[[#This Row],[Draaiuren Verwijder Overig Vervangingen]]-Referentie_Bouwplaats_Totaal[[#This Row],[Totaal Emissieloos Bouwplaats]])</f>
        <v>0</v>
      </c>
      <c r="T690" s="132">
        <f>Referentie_Bouwplaats_Totaal[[#This Row],[Totaal Emissieloos Bouwplaats]]+Referentie_Bouwplaats_Totaal[[#This Row],[Totaal Niet Emissieloos Bouwplaats]]</f>
        <v>0</v>
      </c>
      <c r="U690" s="132"/>
      <c r="V690" s="13"/>
      <c r="W690" s="13"/>
      <c r="X690" s="13"/>
      <c r="Y690" s="13"/>
      <c r="Z690" s="13"/>
      <c r="AA690" s="13"/>
      <c r="AB690" s="13"/>
      <c r="AC690" s="13"/>
    </row>
    <row r="691" spans="2:29">
      <c r="B691" s="209">
        <f>Baseline!B63</f>
        <v>0</v>
      </c>
      <c r="C691" s="51">
        <f>Baseline!F63</f>
        <v>0</v>
      </c>
      <c r="D691" s="134">
        <f>_xlfn.IFNA(IF(Baseline!C63="Nieuwe situatie",(Baseline!Q63/(VLOOKUP(Baseline!U63,Database_Asfalt_Aanlegset[#All],60,FALSE)/8)),0),0)</f>
        <v>0</v>
      </c>
      <c r="E691" s="135">
        <f>IFERROR(IF(Baseline!C63="Nieuwe situatie",Baseline!I63/Baseline!X63,0),0)</f>
        <v>0</v>
      </c>
      <c r="F691" s="138">
        <f>_xlfn.IFNA(IF(Baseline!C63="Bestaande situatie",Baseline!Q63/(VLOOKUP(Baseline!Y63,Database_Asfalt_Verwijderset[#All],60,FALSE)/8),0),0)</f>
        <v>0</v>
      </c>
      <c r="G691" s="138">
        <f>IFERROR(IF(Baseline!C63="Bestaande situatie",Baseline!I63/Baseline!AB63,0),0)</f>
        <v>0</v>
      </c>
      <c r="H691" s="138" t="str">
        <f>_xlfn.IFNA((VLOOKUP(Baseline!U63,Database_Asfalt_Aanlegset[],61,FALSE)),"Nee")</f>
        <v>Nee</v>
      </c>
      <c r="I691" s="138" t="str">
        <f>_xlfn.IFNA((VLOOKUP(Baseline!V63,Database_Brandstoffen[],60,FALSE)),"Nee")</f>
        <v>Nee</v>
      </c>
      <c r="J691" s="94" t="str">
        <f>_xlfn.IFNA((VLOOKUP(Baseline!Y63,Database_Asfalt_Verwijderset[],61,FALSE)),"Nee")</f>
        <v>Nee</v>
      </c>
      <c r="K691" s="94" t="str">
        <f>_xlfn.IFNA((VLOOKUP(Baseline!Z63,Database_Brandstoffen[],60,FALSE)),"Nee")</f>
        <v>Nee</v>
      </c>
      <c r="L691" s="124">
        <f>IF(Referentie_Bouwplaats_Totaal[[#This Row],[Emissieloos Asfalt Aanlegset]]="JA",Referentie_Bouwplaats_Totaal[[#This Row],[Draaiuren Bouw Asfalt]],0)+IF(Referentie_Bouwplaats_Totaal[[#This Row],[Emissieloos Bouwmaterieel]]="JA",Referentie_Bouwplaats_Totaal[[#This Row],[Draaiuren Bouw Overig]],0)+IF(Referentie_Bouwplaats_Totaal[[#This Row],[Emissieloos Asfalt Verwijderset]]="JA",Referentie_Bouwplaats_Totaal[[#This Row],[Draaiuren Verwijder Asfalt]],0)+IF(Referentie_Bouwplaats_Totaal[[#This Row],[Emissieloos Sloopmaterieel]]="JA",Referentie_Bouwplaats_Totaal[[#This Row],[Draaiuren Verwijder Overig]],0)</f>
        <v>0</v>
      </c>
      <c r="M691" s="124">
        <f>_xlfn.IFNA(IF(Baseline!C63="Nieuwe situatie",(Baseline!Q63/(VLOOKUP(Baseline!U63,Database_Asfalt_Aanlegset[#All],60,FALSE)/8)),0),0)*Baseline!R63</f>
        <v>0</v>
      </c>
      <c r="N691" s="124">
        <f>_xlfn.IFNA(IF(Baseline!C63="Nieuwe situatie",Baseline!O63/VLOOKUP(Baseline!V63,Database_Overig_Materieel[#All],8,FALSE),0),0)*Baseline!R63</f>
        <v>0</v>
      </c>
      <c r="O691" s="132">
        <f>_xlfn.IFNA(IF(Baseline!C63="Bestaande situatie",Baseline!Q63/(VLOOKUP(Baseline!Y63,Database_Asfalt_Verwijderset[#All],60,FALSE)/8),0),0)*Baseline!R63</f>
        <v>0</v>
      </c>
      <c r="P691" s="132">
        <f>_xlfn.IFNA(IF(Baseline!C63="Bestaande situatie",Baseline!O63/VLOOKUP(Baseline!Z63,Database_Overig_Materieel[#All],8,FALSE),0),0)*Baseline!R63</f>
        <v>0</v>
      </c>
      <c r="Q691" s="132">
        <f>IF(Referentie_Bouwplaats_Totaal[[#This Row],[Emissieloos Asfalt Aanlegset]]="JA",Referentie_Bouwplaats_Totaal[[#This Row],[Draaiuren Bouw Asfalt Vervangingen]],0)+IF(Referentie_Bouwplaats_Totaal[[#This Row],[Emissieloos Bouwmaterieel]]="JA",Referentie_Bouwplaats_Totaal[[#This Row],[Draaiuren Bouw Overig Vervangingen]],0)+IF(Referentie_Bouwplaats_Totaal[[#This Row],[Emissieloos Asfalt Verwijderset]]="JA",Referentie_Bouwplaats_Totaal[[#This Row],[Draaiuren Verwijder Asfalt Vervangingen]],0)+IF(Referentie_Bouwplaats_Totaal[[#This Row],[Emissieloos Sloopmaterieel]]="JA",Referentie_Bouwplaats_Totaal[[#This Row],[Draaiuren Verwijder Overig Vervangingen]],0)</f>
        <v>0</v>
      </c>
      <c r="R691" s="132">
        <f>Referentie_Bouwplaats_Totaal[[#This Row],[Emissieloos bouwplaats]]+Referentie_Bouwplaats_Totaal[[#This Row],[Emissieloos bouwplaats Vervangingen]]</f>
        <v>0</v>
      </c>
      <c r="S691" s="132">
        <f>(Referentie_Bouwplaats_Totaal[[#This Row],[Draaiuren Bouw Asfalt]]+Referentie_Bouwplaats_Totaal[[#This Row],[Draaiuren Bouw Overig]]+Referentie_Bouwplaats_Totaal[[#This Row],[Draaiuren Verwijder Asfalt]]+Referentie_Bouwplaats_Totaal[[#This Row],[Draaiuren Verwijder Overig]]+Referentie_Bouwplaats_Totaal[[#This Row],[Draaiuren Bouw Asfalt Vervangingen]]+Referentie_Bouwplaats_Totaal[[#This Row],[Draaiuren Bouw Overig Vervangingen]]+Referentie_Bouwplaats_Totaal[[#This Row],[Draaiuren Verwijder Asfalt Vervangingen]]+Referentie_Bouwplaats_Totaal[[#This Row],[Draaiuren Verwijder Overig Vervangingen]]-Referentie_Bouwplaats_Totaal[[#This Row],[Totaal Emissieloos Bouwplaats]])</f>
        <v>0</v>
      </c>
      <c r="T691" s="132">
        <f>Referentie_Bouwplaats_Totaal[[#This Row],[Totaal Emissieloos Bouwplaats]]+Referentie_Bouwplaats_Totaal[[#This Row],[Totaal Niet Emissieloos Bouwplaats]]</f>
        <v>0</v>
      </c>
      <c r="U691" s="132"/>
      <c r="V691" s="13"/>
      <c r="W691" s="13"/>
      <c r="X691" s="13"/>
      <c r="Y691" s="13"/>
      <c r="Z691" s="13"/>
      <c r="AA691" s="13"/>
      <c r="AB691" s="13"/>
      <c r="AC691" s="13"/>
    </row>
    <row r="692" spans="2:29">
      <c r="B692" s="209">
        <f>Baseline!B64</f>
        <v>0</v>
      </c>
      <c r="C692" s="51">
        <f>Baseline!F64</f>
        <v>0</v>
      </c>
      <c r="D692" s="134">
        <f>_xlfn.IFNA(IF(Baseline!C64="Nieuwe situatie",(Baseline!Q64/(VLOOKUP(Baseline!U64,Database_Asfalt_Aanlegset[#All],60,FALSE)/8)),0),0)</f>
        <v>0</v>
      </c>
      <c r="E692" s="135">
        <f>IFERROR(IF(Baseline!C64="Nieuwe situatie",Baseline!I64/Baseline!X64,0),0)</f>
        <v>0</v>
      </c>
      <c r="F692" s="138">
        <f>_xlfn.IFNA(IF(Baseline!C64="Bestaande situatie",Baseline!Q64/(VLOOKUP(Baseline!Y64,Database_Asfalt_Verwijderset[#All],60,FALSE)/8),0),0)</f>
        <v>0</v>
      </c>
      <c r="G692" s="138">
        <f>IFERROR(IF(Baseline!C64="Bestaande situatie",Baseline!I64/Baseline!AB64,0),0)</f>
        <v>0</v>
      </c>
      <c r="H692" s="138" t="str">
        <f>_xlfn.IFNA((VLOOKUP(Baseline!U64,Database_Asfalt_Aanlegset[],61,FALSE)),"Nee")</f>
        <v>Nee</v>
      </c>
      <c r="I692" s="138" t="str">
        <f>_xlfn.IFNA((VLOOKUP(Baseline!V64,Database_Brandstoffen[],60,FALSE)),"Nee")</f>
        <v>Nee</v>
      </c>
      <c r="J692" s="94" t="str">
        <f>_xlfn.IFNA((VLOOKUP(Baseline!Y64,Database_Asfalt_Verwijderset[],61,FALSE)),"Nee")</f>
        <v>Nee</v>
      </c>
      <c r="K692" s="94" t="str">
        <f>_xlfn.IFNA((VLOOKUP(Baseline!Z64,Database_Brandstoffen[],60,FALSE)),"Nee")</f>
        <v>Nee</v>
      </c>
      <c r="L692" s="124">
        <f>IF(Referentie_Bouwplaats_Totaal[[#This Row],[Emissieloos Asfalt Aanlegset]]="JA",Referentie_Bouwplaats_Totaal[[#This Row],[Draaiuren Bouw Asfalt]],0)+IF(Referentie_Bouwplaats_Totaal[[#This Row],[Emissieloos Bouwmaterieel]]="JA",Referentie_Bouwplaats_Totaal[[#This Row],[Draaiuren Bouw Overig]],0)+IF(Referentie_Bouwplaats_Totaal[[#This Row],[Emissieloos Asfalt Verwijderset]]="JA",Referentie_Bouwplaats_Totaal[[#This Row],[Draaiuren Verwijder Asfalt]],0)+IF(Referentie_Bouwplaats_Totaal[[#This Row],[Emissieloos Sloopmaterieel]]="JA",Referentie_Bouwplaats_Totaal[[#This Row],[Draaiuren Verwijder Overig]],0)</f>
        <v>0</v>
      </c>
      <c r="M692" s="124">
        <f>_xlfn.IFNA(IF(Baseline!C64="Nieuwe situatie",(Baseline!Q64/(VLOOKUP(Baseline!U64,Database_Asfalt_Aanlegset[#All],60,FALSE)/8)),0),0)*Baseline!R64</f>
        <v>0</v>
      </c>
      <c r="N692" s="124">
        <f>_xlfn.IFNA(IF(Baseline!C64="Nieuwe situatie",Baseline!O64/VLOOKUP(Baseline!V64,Database_Overig_Materieel[#All],8,FALSE),0),0)*Baseline!R64</f>
        <v>0</v>
      </c>
      <c r="O692" s="132">
        <f>_xlfn.IFNA(IF(Baseline!C64="Bestaande situatie",Baseline!Q64/(VLOOKUP(Baseline!Y64,Database_Asfalt_Verwijderset[#All],60,FALSE)/8),0),0)*Baseline!R64</f>
        <v>0</v>
      </c>
      <c r="P692" s="132">
        <f>_xlfn.IFNA(IF(Baseline!C64="Bestaande situatie",Baseline!O64/VLOOKUP(Baseline!Z64,Database_Overig_Materieel[#All],8,FALSE),0),0)*Baseline!R64</f>
        <v>0</v>
      </c>
      <c r="Q692" s="132">
        <f>IF(Referentie_Bouwplaats_Totaal[[#This Row],[Emissieloos Asfalt Aanlegset]]="JA",Referentie_Bouwplaats_Totaal[[#This Row],[Draaiuren Bouw Asfalt Vervangingen]],0)+IF(Referentie_Bouwplaats_Totaal[[#This Row],[Emissieloos Bouwmaterieel]]="JA",Referentie_Bouwplaats_Totaal[[#This Row],[Draaiuren Bouw Overig Vervangingen]],0)+IF(Referentie_Bouwplaats_Totaal[[#This Row],[Emissieloos Asfalt Verwijderset]]="JA",Referentie_Bouwplaats_Totaal[[#This Row],[Draaiuren Verwijder Asfalt Vervangingen]],0)+IF(Referentie_Bouwplaats_Totaal[[#This Row],[Emissieloos Sloopmaterieel]]="JA",Referentie_Bouwplaats_Totaal[[#This Row],[Draaiuren Verwijder Overig Vervangingen]],0)</f>
        <v>0</v>
      </c>
      <c r="R692" s="132">
        <f>Referentie_Bouwplaats_Totaal[[#This Row],[Emissieloos bouwplaats]]+Referentie_Bouwplaats_Totaal[[#This Row],[Emissieloos bouwplaats Vervangingen]]</f>
        <v>0</v>
      </c>
      <c r="S692" s="132">
        <f>(Referentie_Bouwplaats_Totaal[[#This Row],[Draaiuren Bouw Asfalt]]+Referentie_Bouwplaats_Totaal[[#This Row],[Draaiuren Bouw Overig]]+Referentie_Bouwplaats_Totaal[[#This Row],[Draaiuren Verwijder Asfalt]]+Referentie_Bouwplaats_Totaal[[#This Row],[Draaiuren Verwijder Overig]]+Referentie_Bouwplaats_Totaal[[#This Row],[Draaiuren Bouw Asfalt Vervangingen]]+Referentie_Bouwplaats_Totaal[[#This Row],[Draaiuren Bouw Overig Vervangingen]]+Referentie_Bouwplaats_Totaal[[#This Row],[Draaiuren Verwijder Asfalt Vervangingen]]+Referentie_Bouwplaats_Totaal[[#This Row],[Draaiuren Verwijder Overig Vervangingen]]-Referentie_Bouwplaats_Totaal[[#This Row],[Totaal Emissieloos Bouwplaats]])</f>
        <v>0</v>
      </c>
      <c r="T692" s="132">
        <f>Referentie_Bouwplaats_Totaal[[#This Row],[Totaal Emissieloos Bouwplaats]]+Referentie_Bouwplaats_Totaal[[#This Row],[Totaal Niet Emissieloos Bouwplaats]]</f>
        <v>0</v>
      </c>
      <c r="U692" s="132"/>
      <c r="V692" s="13"/>
      <c r="W692" s="13"/>
      <c r="X692" s="13"/>
      <c r="Y692" s="13"/>
      <c r="Z692" s="13"/>
      <c r="AA692" s="13"/>
      <c r="AB692" s="13"/>
      <c r="AC692" s="13"/>
    </row>
    <row r="693" spans="2:29">
      <c r="B693" s="209">
        <f>Baseline!B65</f>
        <v>0</v>
      </c>
      <c r="C693" s="51">
        <f>Baseline!F65</f>
        <v>0</v>
      </c>
      <c r="D693" s="134">
        <f>_xlfn.IFNA(IF(Baseline!C65="Nieuwe situatie",(Baseline!Q65/(VLOOKUP(Baseline!U65,Database_Asfalt_Aanlegset[#All],60,FALSE)/8)),0),0)</f>
        <v>0</v>
      </c>
      <c r="E693" s="135">
        <f>IFERROR(IF(Baseline!C65="Nieuwe situatie",Baseline!I65/Baseline!X65,0),0)</f>
        <v>0</v>
      </c>
      <c r="F693" s="138">
        <f>_xlfn.IFNA(IF(Baseline!C65="Bestaande situatie",Baseline!Q65/(VLOOKUP(Baseline!Y65,Database_Asfalt_Verwijderset[#All],60,FALSE)/8),0),0)</f>
        <v>0</v>
      </c>
      <c r="G693" s="138">
        <f>IFERROR(IF(Baseline!C65="Bestaande situatie",Baseline!I65/Baseline!AB65,0),0)</f>
        <v>0</v>
      </c>
      <c r="H693" s="138" t="str">
        <f>_xlfn.IFNA((VLOOKUP(Baseline!U65,Database_Asfalt_Aanlegset[],61,FALSE)),"Nee")</f>
        <v>Nee</v>
      </c>
      <c r="I693" s="138" t="str">
        <f>_xlfn.IFNA((VLOOKUP(Baseline!V65,Database_Brandstoffen[],60,FALSE)),"Nee")</f>
        <v>Nee</v>
      </c>
      <c r="J693" s="94" t="str">
        <f>_xlfn.IFNA((VLOOKUP(Baseline!Y65,Database_Asfalt_Verwijderset[],61,FALSE)),"Nee")</f>
        <v>Nee</v>
      </c>
      <c r="K693" s="94" t="str">
        <f>_xlfn.IFNA((VLOOKUP(Baseline!Z65,Database_Brandstoffen[],60,FALSE)),"Nee")</f>
        <v>Nee</v>
      </c>
      <c r="L693" s="124">
        <f>IF(Referentie_Bouwplaats_Totaal[[#This Row],[Emissieloos Asfalt Aanlegset]]="JA",Referentie_Bouwplaats_Totaal[[#This Row],[Draaiuren Bouw Asfalt]],0)+IF(Referentie_Bouwplaats_Totaal[[#This Row],[Emissieloos Bouwmaterieel]]="JA",Referentie_Bouwplaats_Totaal[[#This Row],[Draaiuren Bouw Overig]],0)+IF(Referentie_Bouwplaats_Totaal[[#This Row],[Emissieloos Asfalt Verwijderset]]="JA",Referentie_Bouwplaats_Totaal[[#This Row],[Draaiuren Verwijder Asfalt]],0)+IF(Referentie_Bouwplaats_Totaal[[#This Row],[Emissieloos Sloopmaterieel]]="JA",Referentie_Bouwplaats_Totaal[[#This Row],[Draaiuren Verwijder Overig]],0)</f>
        <v>0</v>
      </c>
      <c r="M693" s="124">
        <f>_xlfn.IFNA(IF(Baseline!C65="Nieuwe situatie",(Baseline!Q65/(VLOOKUP(Baseline!U65,Database_Asfalt_Aanlegset[#All],60,FALSE)/8)),0),0)*Baseline!R65</f>
        <v>0</v>
      </c>
      <c r="N693" s="124">
        <f>_xlfn.IFNA(IF(Baseline!C65="Nieuwe situatie",Baseline!O65/VLOOKUP(Baseline!V65,Database_Overig_Materieel[#All],8,FALSE),0),0)*Baseline!R65</f>
        <v>0</v>
      </c>
      <c r="O693" s="132">
        <f>_xlfn.IFNA(IF(Baseline!C65="Bestaande situatie",Baseline!Q65/(VLOOKUP(Baseline!Y65,Database_Asfalt_Verwijderset[#All],60,FALSE)/8),0),0)*Baseline!R65</f>
        <v>0</v>
      </c>
      <c r="P693" s="132">
        <f>_xlfn.IFNA(IF(Baseline!C65="Bestaande situatie",Baseline!O65/VLOOKUP(Baseline!Z65,Database_Overig_Materieel[#All],8,FALSE),0),0)*Baseline!R65</f>
        <v>0</v>
      </c>
      <c r="Q693" s="132">
        <f>IF(Referentie_Bouwplaats_Totaal[[#This Row],[Emissieloos Asfalt Aanlegset]]="JA",Referentie_Bouwplaats_Totaal[[#This Row],[Draaiuren Bouw Asfalt Vervangingen]],0)+IF(Referentie_Bouwplaats_Totaal[[#This Row],[Emissieloos Bouwmaterieel]]="JA",Referentie_Bouwplaats_Totaal[[#This Row],[Draaiuren Bouw Overig Vervangingen]],0)+IF(Referentie_Bouwplaats_Totaal[[#This Row],[Emissieloos Asfalt Verwijderset]]="JA",Referentie_Bouwplaats_Totaal[[#This Row],[Draaiuren Verwijder Asfalt Vervangingen]],0)+IF(Referentie_Bouwplaats_Totaal[[#This Row],[Emissieloos Sloopmaterieel]]="JA",Referentie_Bouwplaats_Totaal[[#This Row],[Draaiuren Verwijder Overig Vervangingen]],0)</f>
        <v>0</v>
      </c>
      <c r="R693" s="132">
        <f>Referentie_Bouwplaats_Totaal[[#This Row],[Emissieloos bouwplaats]]+Referentie_Bouwplaats_Totaal[[#This Row],[Emissieloos bouwplaats Vervangingen]]</f>
        <v>0</v>
      </c>
      <c r="S693" s="132">
        <f>(Referentie_Bouwplaats_Totaal[[#This Row],[Draaiuren Bouw Asfalt]]+Referentie_Bouwplaats_Totaal[[#This Row],[Draaiuren Bouw Overig]]+Referentie_Bouwplaats_Totaal[[#This Row],[Draaiuren Verwijder Asfalt]]+Referentie_Bouwplaats_Totaal[[#This Row],[Draaiuren Verwijder Overig]]+Referentie_Bouwplaats_Totaal[[#This Row],[Draaiuren Bouw Asfalt Vervangingen]]+Referentie_Bouwplaats_Totaal[[#This Row],[Draaiuren Bouw Overig Vervangingen]]+Referentie_Bouwplaats_Totaal[[#This Row],[Draaiuren Verwijder Asfalt Vervangingen]]+Referentie_Bouwplaats_Totaal[[#This Row],[Draaiuren Verwijder Overig Vervangingen]]-Referentie_Bouwplaats_Totaal[[#This Row],[Totaal Emissieloos Bouwplaats]])</f>
        <v>0</v>
      </c>
      <c r="T693" s="132">
        <f>Referentie_Bouwplaats_Totaal[[#This Row],[Totaal Emissieloos Bouwplaats]]+Referentie_Bouwplaats_Totaal[[#This Row],[Totaal Niet Emissieloos Bouwplaats]]</f>
        <v>0</v>
      </c>
      <c r="U693" s="132"/>
      <c r="V693" s="13"/>
      <c r="W693" s="13"/>
      <c r="X693" s="13"/>
      <c r="Y693" s="13"/>
      <c r="Z693" s="13"/>
      <c r="AA693" s="13"/>
      <c r="AB693" s="13"/>
      <c r="AC693" s="13"/>
    </row>
    <row r="694" spans="2:29">
      <c r="B694" s="209">
        <f>Baseline!B66</f>
        <v>0</v>
      </c>
      <c r="C694" s="51">
        <f>Baseline!F66</f>
        <v>0</v>
      </c>
      <c r="D694" s="134">
        <f>_xlfn.IFNA(IF(Baseline!C66="Nieuwe situatie",(Baseline!Q66/(VLOOKUP(Baseline!U66,Database_Asfalt_Aanlegset[#All],60,FALSE)/8)),0),0)</f>
        <v>0</v>
      </c>
      <c r="E694" s="135">
        <f>IFERROR(IF(Baseline!C66="Nieuwe situatie",Baseline!I66/Baseline!X66,0),0)</f>
        <v>0</v>
      </c>
      <c r="F694" s="138">
        <f>_xlfn.IFNA(IF(Baseline!C66="Bestaande situatie",Baseline!Q66/(VLOOKUP(Baseline!Y66,Database_Asfalt_Verwijderset[#All],60,FALSE)/8),0),0)</f>
        <v>0</v>
      </c>
      <c r="G694" s="138">
        <f>IFERROR(IF(Baseline!C66="Bestaande situatie",Baseline!I66/Baseline!AB66,0),0)</f>
        <v>0</v>
      </c>
      <c r="H694" s="138" t="str">
        <f>_xlfn.IFNA((VLOOKUP(Baseline!U66,Database_Asfalt_Aanlegset[],61,FALSE)),"Nee")</f>
        <v>Nee</v>
      </c>
      <c r="I694" s="138" t="str">
        <f>_xlfn.IFNA((VLOOKUP(Baseline!V66,Database_Brandstoffen[],60,FALSE)),"Nee")</f>
        <v>Nee</v>
      </c>
      <c r="J694" s="94" t="str">
        <f>_xlfn.IFNA((VLOOKUP(Baseline!Y66,Database_Asfalt_Verwijderset[],61,FALSE)),"Nee")</f>
        <v>Nee</v>
      </c>
      <c r="K694" s="94" t="str">
        <f>_xlfn.IFNA((VLOOKUP(Baseline!Z66,Database_Brandstoffen[],60,FALSE)),"Nee")</f>
        <v>Nee</v>
      </c>
      <c r="L694" s="124">
        <f>IF(Referentie_Bouwplaats_Totaal[[#This Row],[Emissieloos Asfalt Aanlegset]]="JA",Referentie_Bouwplaats_Totaal[[#This Row],[Draaiuren Bouw Asfalt]],0)+IF(Referentie_Bouwplaats_Totaal[[#This Row],[Emissieloos Bouwmaterieel]]="JA",Referentie_Bouwplaats_Totaal[[#This Row],[Draaiuren Bouw Overig]],0)+IF(Referentie_Bouwplaats_Totaal[[#This Row],[Emissieloos Asfalt Verwijderset]]="JA",Referentie_Bouwplaats_Totaal[[#This Row],[Draaiuren Verwijder Asfalt]],0)+IF(Referentie_Bouwplaats_Totaal[[#This Row],[Emissieloos Sloopmaterieel]]="JA",Referentie_Bouwplaats_Totaal[[#This Row],[Draaiuren Verwijder Overig]],0)</f>
        <v>0</v>
      </c>
      <c r="M694" s="124">
        <f>_xlfn.IFNA(IF(Baseline!C66="Nieuwe situatie",(Baseline!Q66/(VLOOKUP(Baseline!U66,Database_Asfalt_Aanlegset[#All],60,FALSE)/8)),0),0)*Baseline!R66</f>
        <v>0</v>
      </c>
      <c r="N694" s="124">
        <f>_xlfn.IFNA(IF(Baseline!C66="Nieuwe situatie",Baseline!O66/VLOOKUP(Baseline!V66,Database_Overig_Materieel[#All],8,FALSE),0),0)*Baseline!R66</f>
        <v>0</v>
      </c>
      <c r="O694" s="132">
        <f>_xlfn.IFNA(IF(Baseline!C66="Bestaande situatie",Baseline!Q66/(VLOOKUP(Baseline!Y66,Database_Asfalt_Verwijderset[#All],60,FALSE)/8),0),0)*Baseline!R66</f>
        <v>0</v>
      </c>
      <c r="P694" s="132">
        <f>_xlfn.IFNA(IF(Baseline!C66="Bestaande situatie",Baseline!O66/VLOOKUP(Baseline!Z66,Database_Overig_Materieel[#All],8,FALSE),0),0)*Baseline!R66</f>
        <v>0</v>
      </c>
      <c r="Q694" s="132">
        <f>IF(Referentie_Bouwplaats_Totaal[[#This Row],[Emissieloos Asfalt Aanlegset]]="JA",Referentie_Bouwplaats_Totaal[[#This Row],[Draaiuren Bouw Asfalt Vervangingen]],0)+IF(Referentie_Bouwplaats_Totaal[[#This Row],[Emissieloos Bouwmaterieel]]="JA",Referentie_Bouwplaats_Totaal[[#This Row],[Draaiuren Bouw Overig Vervangingen]],0)+IF(Referentie_Bouwplaats_Totaal[[#This Row],[Emissieloos Asfalt Verwijderset]]="JA",Referentie_Bouwplaats_Totaal[[#This Row],[Draaiuren Verwijder Asfalt Vervangingen]],0)+IF(Referentie_Bouwplaats_Totaal[[#This Row],[Emissieloos Sloopmaterieel]]="JA",Referentie_Bouwplaats_Totaal[[#This Row],[Draaiuren Verwijder Overig Vervangingen]],0)</f>
        <v>0</v>
      </c>
      <c r="R694" s="132">
        <f>Referentie_Bouwplaats_Totaal[[#This Row],[Emissieloos bouwplaats]]+Referentie_Bouwplaats_Totaal[[#This Row],[Emissieloos bouwplaats Vervangingen]]</f>
        <v>0</v>
      </c>
      <c r="S694" s="132">
        <f>(Referentie_Bouwplaats_Totaal[[#This Row],[Draaiuren Bouw Asfalt]]+Referentie_Bouwplaats_Totaal[[#This Row],[Draaiuren Bouw Overig]]+Referentie_Bouwplaats_Totaal[[#This Row],[Draaiuren Verwijder Asfalt]]+Referentie_Bouwplaats_Totaal[[#This Row],[Draaiuren Verwijder Overig]]+Referentie_Bouwplaats_Totaal[[#This Row],[Draaiuren Bouw Asfalt Vervangingen]]+Referentie_Bouwplaats_Totaal[[#This Row],[Draaiuren Bouw Overig Vervangingen]]+Referentie_Bouwplaats_Totaal[[#This Row],[Draaiuren Verwijder Asfalt Vervangingen]]+Referentie_Bouwplaats_Totaal[[#This Row],[Draaiuren Verwijder Overig Vervangingen]]-Referentie_Bouwplaats_Totaal[[#This Row],[Totaal Emissieloos Bouwplaats]])</f>
        <v>0</v>
      </c>
      <c r="T694" s="132">
        <f>Referentie_Bouwplaats_Totaal[[#This Row],[Totaal Emissieloos Bouwplaats]]+Referentie_Bouwplaats_Totaal[[#This Row],[Totaal Niet Emissieloos Bouwplaats]]</f>
        <v>0</v>
      </c>
      <c r="U694" s="132"/>
      <c r="V694" s="13"/>
      <c r="W694" s="13"/>
      <c r="X694" s="13"/>
      <c r="Y694" s="13"/>
      <c r="Z694" s="13"/>
      <c r="AA694" s="13"/>
      <c r="AB694" s="13"/>
      <c r="AC694" s="13"/>
    </row>
    <row r="695" spans="2:29">
      <c r="B695" s="209">
        <f>Baseline!B67</f>
        <v>0</v>
      </c>
      <c r="C695" s="51">
        <f>Baseline!F67</f>
        <v>0</v>
      </c>
      <c r="D695" s="134">
        <f>_xlfn.IFNA(IF(Baseline!C67="Nieuwe situatie",(Baseline!Q67/(VLOOKUP(Baseline!U67,Database_Asfalt_Aanlegset[#All],60,FALSE)/8)),0),0)</f>
        <v>0</v>
      </c>
      <c r="E695" s="135">
        <f>IFERROR(IF(Baseline!C67="Nieuwe situatie",Baseline!I67/Baseline!X67,0),0)</f>
        <v>0</v>
      </c>
      <c r="F695" s="138">
        <f>_xlfn.IFNA(IF(Baseline!C67="Bestaande situatie",Baseline!Q67/(VLOOKUP(Baseline!Y67,Database_Asfalt_Verwijderset[#All],60,FALSE)/8),0),0)</f>
        <v>0</v>
      </c>
      <c r="G695" s="138">
        <f>IFERROR(IF(Baseline!C67="Bestaande situatie",Baseline!I67/Baseline!AB67,0),0)</f>
        <v>0</v>
      </c>
      <c r="H695" s="138" t="str">
        <f>_xlfn.IFNA((VLOOKUP(Baseline!U67,Database_Asfalt_Aanlegset[],61,FALSE)),"Nee")</f>
        <v>Nee</v>
      </c>
      <c r="I695" s="138" t="str">
        <f>_xlfn.IFNA((VLOOKUP(Baseline!V67,Database_Brandstoffen[],60,FALSE)),"Nee")</f>
        <v>Nee</v>
      </c>
      <c r="J695" s="94" t="str">
        <f>_xlfn.IFNA((VLOOKUP(Baseline!Y67,Database_Asfalt_Verwijderset[],61,FALSE)),"Nee")</f>
        <v>Nee</v>
      </c>
      <c r="K695" s="94" t="str">
        <f>_xlfn.IFNA((VLOOKUP(Baseline!Z67,Database_Brandstoffen[],60,FALSE)),"Nee")</f>
        <v>Nee</v>
      </c>
      <c r="L695" s="124">
        <f>IF(Referentie_Bouwplaats_Totaal[[#This Row],[Emissieloos Asfalt Aanlegset]]="JA",Referentie_Bouwplaats_Totaal[[#This Row],[Draaiuren Bouw Asfalt]],0)+IF(Referentie_Bouwplaats_Totaal[[#This Row],[Emissieloos Bouwmaterieel]]="JA",Referentie_Bouwplaats_Totaal[[#This Row],[Draaiuren Bouw Overig]],0)+IF(Referentie_Bouwplaats_Totaal[[#This Row],[Emissieloos Asfalt Verwijderset]]="JA",Referentie_Bouwplaats_Totaal[[#This Row],[Draaiuren Verwijder Asfalt]],0)+IF(Referentie_Bouwplaats_Totaal[[#This Row],[Emissieloos Sloopmaterieel]]="JA",Referentie_Bouwplaats_Totaal[[#This Row],[Draaiuren Verwijder Overig]],0)</f>
        <v>0</v>
      </c>
      <c r="M695" s="124">
        <f>_xlfn.IFNA(IF(Baseline!C67="Nieuwe situatie",(Baseline!Q67/(VLOOKUP(Baseline!U67,Database_Asfalt_Aanlegset[#All],60,FALSE)/8)),0),0)*Baseline!R67</f>
        <v>0</v>
      </c>
      <c r="N695" s="124">
        <f>_xlfn.IFNA(IF(Baseline!C67="Nieuwe situatie",Baseline!O67/VLOOKUP(Baseline!V67,Database_Overig_Materieel[#All],8,FALSE),0),0)*Baseline!R67</f>
        <v>0</v>
      </c>
      <c r="O695" s="132">
        <f>_xlfn.IFNA(IF(Baseline!C67="Bestaande situatie",Baseline!Q67/(VLOOKUP(Baseline!Y67,Database_Asfalt_Verwijderset[#All],60,FALSE)/8),0),0)*Baseline!R67</f>
        <v>0</v>
      </c>
      <c r="P695" s="132">
        <f>_xlfn.IFNA(IF(Baseline!C67="Bestaande situatie",Baseline!O67/VLOOKUP(Baseline!Z67,Database_Overig_Materieel[#All],8,FALSE),0),0)*Baseline!R67</f>
        <v>0</v>
      </c>
      <c r="Q695" s="132">
        <f>IF(Referentie_Bouwplaats_Totaal[[#This Row],[Emissieloos Asfalt Aanlegset]]="JA",Referentie_Bouwplaats_Totaal[[#This Row],[Draaiuren Bouw Asfalt Vervangingen]],0)+IF(Referentie_Bouwplaats_Totaal[[#This Row],[Emissieloos Bouwmaterieel]]="JA",Referentie_Bouwplaats_Totaal[[#This Row],[Draaiuren Bouw Overig Vervangingen]],0)+IF(Referentie_Bouwplaats_Totaal[[#This Row],[Emissieloos Asfalt Verwijderset]]="JA",Referentie_Bouwplaats_Totaal[[#This Row],[Draaiuren Verwijder Asfalt Vervangingen]],0)+IF(Referentie_Bouwplaats_Totaal[[#This Row],[Emissieloos Sloopmaterieel]]="JA",Referentie_Bouwplaats_Totaal[[#This Row],[Draaiuren Verwijder Overig Vervangingen]],0)</f>
        <v>0</v>
      </c>
      <c r="R695" s="132">
        <f>Referentie_Bouwplaats_Totaal[[#This Row],[Emissieloos bouwplaats]]+Referentie_Bouwplaats_Totaal[[#This Row],[Emissieloos bouwplaats Vervangingen]]</f>
        <v>0</v>
      </c>
      <c r="S695" s="132">
        <f>(Referentie_Bouwplaats_Totaal[[#This Row],[Draaiuren Bouw Asfalt]]+Referentie_Bouwplaats_Totaal[[#This Row],[Draaiuren Bouw Overig]]+Referentie_Bouwplaats_Totaal[[#This Row],[Draaiuren Verwijder Asfalt]]+Referentie_Bouwplaats_Totaal[[#This Row],[Draaiuren Verwijder Overig]]+Referentie_Bouwplaats_Totaal[[#This Row],[Draaiuren Bouw Asfalt Vervangingen]]+Referentie_Bouwplaats_Totaal[[#This Row],[Draaiuren Bouw Overig Vervangingen]]+Referentie_Bouwplaats_Totaal[[#This Row],[Draaiuren Verwijder Asfalt Vervangingen]]+Referentie_Bouwplaats_Totaal[[#This Row],[Draaiuren Verwijder Overig Vervangingen]]-Referentie_Bouwplaats_Totaal[[#This Row],[Totaal Emissieloos Bouwplaats]])</f>
        <v>0</v>
      </c>
      <c r="T695" s="132">
        <f>Referentie_Bouwplaats_Totaal[[#This Row],[Totaal Emissieloos Bouwplaats]]+Referentie_Bouwplaats_Totaal[[#This Row],[Totaal Niet Emissieloos Bouwplaats]]</f>
        <v>0</v>
      </c>
      <c r="U695" s="132"/>
      <c r="V695" s="13"/>
      <c r="W695" s="13"/>
      <c r="X695" s="13"/>
      <c r="Y695" s="13"/>
      <c r="Z695" s="13"/>
      <c r="AA695" s="13"/>
      <c r="AB695" s="13"/>
      <c r="AC695" s="13"/>
    </row>
    <row r="696" spans="2:29">
      <c r="B696" s="209">
        <f>Baseline!B68</f>
        <v>0</v>
      </c>
      <c r="C696" s="51">
        <f>Baseline!F68</f>
        <v>0</v>
      </c>
      <c r="D696" s="134">
        <f>_xlfn.IFNA(IF(Baseline!C68="Nieuwe situatie",(Baseline!Q68/(VLOOKUP(Baseline!U68,Database_Asfalt_Aanlegset[#All],60,FALSE)/8)),0),0)</f>
        <v>0</v>
      </c>
      <c r="E696" s="135">
        <f>IFERROR(IF(Baseline!C68="Nieuwe situatie",Baseline!I68/Baseline!X68,0),0)</f>
        <v>0</v>
      </c>
      <c r="F696" s="138">
        <f>_xlfn.IFNA(IF(Baseline!C68="Bestaande situatie",Baseline!Q68/(VLOOKUP(Baseline!Y68,Database_Asfalt_Verwijderset[#All],60,FALSE)/8),0),0)</f>
        <v>0</v>
      </c>
      <c r="G696" s="138">
        <f>IFERROR(IF(Baseline!C68="Bestaande situatie",Baseline!I68/Baseline!AB68,0),0)</f>
        <v>0</v>
      </c>
      <c r="H696" s="138" t="str">
        <f>_xlfn.IFNA((VLOOKUP(Baseline!U68,Database_Asfalt_Aanlegset[],61,FALSE)),"Nee")</f>
        <v>Nee</v>
      </c>
      <c r="I696" s="138" t="str">
        <f>_xlfn.IFNA((VLOOKUP(Baseline!V68,Database_Brandstoffen[],60,FALSE)),"Nee")</f>
        <v>Nee</v>
      </c>
      <c r="J696" s="94" t="str">
        <f>_xlfn.IFNA((VLOOKUP(Baseline!Y68,Database_Asfalt_Verwijderset[],61,FALSE)),"Nee")</f>
        <v>Nee</v>
      </c>
      <c r="K696" s="94" t="str">
        <f>_xlfn.IFNA((VLOOKUP(Baseline!Z68,Database_Brandstoffen[],60,FALSE)),"Nee")</f>
        <v>Nee</v>
      </c>
      <c r="L696" s="124">
        <f>IF(Referentie_Bouwplaats_Totaal[[#This Row],[Emissieloos Asfalt Aanlegset]]="JA",Referentie_Bouwplaats_Totaal[[#This Row],[Draaiuren Bouw Asfalt]],0)+IF(Referentie_Bouwplaats_Totaal[[#This Row],[Emissieloos Bouwmaterieel]]="JA",Referentie_Bouwplaats_Totaal[[#This Row],[Draaiuren Bouw Overig]],0)+IF(Referentie_Bouwplaats_Totaal[[#This Row],[Emissieloos Asfalt Verwijderset]]="JA",Referentie_Bouwplaats_Totaal[[#This Row],[Draaiuren Verwijder Asfalt]],0)+IF(Referentie_Bouwplaats_Totaal[[#This Row],[Emissieloos Sloopmaterieel]]="JA",Referentie_Bouwplaats_Totaal[[#This Row],[Draaiuren Verwijder Overig]],0)</f>
        <v>0</v>
      </c>
      <c r="M696" s="124">
        <f>_xlfn.IFNA(IF(Baseline!C68="Nieuwe situatie",(Baseline!Q68/(VLOOKUP(Baseline!U68,Database_Asfalt_Aanlegset[#All],60,FALSE)/8)),0),0)*Baseline!R68</f>
        <v>0</v>
      </c>
      <c r="N696" s="124">
        <f>_xlfn.IFNA(IF(Baseline!C68="Nieuwe situatie",Baseline!O68/VLOOKUP(Baseline!V68,Database_Overig_Materieel[#All],8,FALSE),0),0)*Baseline!R68</f>
        <v>0</v>
      </c>
      <c r="O696" s="132">
        <f>_xlfn.IFNA(IF(Baseline!C68="Bestaande situatie",Baseline!Q68/(VLOOKUP(Baseline!Y68,Database_Asfalt_Verwijderset[#All],60,FALSE)/8),0),0)*Baseline!R68</f>
        <v>0</v>
      </c>
      <c r="P696" s="132">
        <f>_xlfn.IFNA(IF(Baseline!C68="Bestaande situatie",Baseline!O68/VLOOKUP(Baseline!Z68,Database_Overig_Materieel[#All],8,FALSE),0),0)*Baseline!R68</f>
        <v>0</v>
      </c>
      <c r="Q696" s="132">
        <f>IF(Referentie_Bouwplaats_Totaal[[#This Row],[Emissieloos Asfalt Aanlegset]]="JA",Referentie_Bouwplaats_Totaal[[#This Row],[Draaiuren Bouw Asfalt Vervangingen]],0)+IF(Referentie_Bouwplaats_Totaal[[#This Row],[Emissieloos Bouwmaterieel]]="JA",Referentie_Bouwplaats_Totaal[[#This Row],[Draaiuren Bouw Overig Vervangingen]],0)+IF(Referentie_Bouwplaats_Totaal[[#This Row],[Emissieloos Asfalt Verwijderset]]="JA",Referentie_Bouwplaats_Totaal[[#This Row],[Draaiuren Verwijder Asfalt Vervangingen]],0)+IF(Referentie_Bouwplaats_Totaal[[#This Row],[Emissieloos Sloopmaterieel]]="JA",Referentie_Bouwplaats_Totaal[[#This Row],[Draaiuren Verwijder Overig Vervangingen]],0)</f>
        <v>0</v>
      </c>
      <c r="R696" s="132">
        <f>Referentie_Bouwplaats_Totaal[[#This Row],[Emissieloos bouwplaats]]+Referentie_Bouwplaats_Totaal[[#This Row],[Emissieloos bouwplaats Vervangingen]]</f>
        <v>0</v>
      </c>
      <c r="S696" s="132">
        <f>(Referentie_Bouwplaats_Totaal[[#This Row],[Draaiuren Bouw Asfalt]]+Referentie_Bouwplaats_Totaal[[#This Row],[Draaiuren Bouw Overig]]+Referentie_Bouwplaats_Totaal[[#This Row],[Draaiuren Verwijder Asfalt]]+Referentie_Bouwplaats_Totaal[[#This Row],[Draaiuren Verwijder Overig]]+Referentie_Bouwplaats_Totaal[[#This Row],[Draaiuren Bouw Asfalt Vervangingen]]+Referentie_Bouwplaats_Totaal[[#This Row],[Draaiuren Bouw Overig Vervangingen]]+Referentie_Bouwplaats_Totaal[[#This Row],[Draaiuren Verwijder Asfalt Vervangingen]]+Referentie_Bouwplaats_Totaal[[#This Row],[Draaiuren Verwijder Overig Vervangingen]]-Referentie_Bouwplaats_Totaal[[#This Row],[Totaal Emissieloos Bouwplaats]])</f>
        <v>0</v>
      </c>
      <c r="T696" s="132">
        <f>Referentie_Bouwplaats_Totaal[[#This Row],[Totaal Emissieloos Bouwplaats]]+Referentie_Bouwplaats_Totaal[[#This Row],[Totaal Niet Emissieloos Bouwplaats]]</f>
        <v>0</v>
      </c>
      <c r="U696" s="132"/>
      <c r="V696" s="13"/>
      <c r="W696" s="13"/>
      <c r="X696" s="13"/>
      <c r="Y696" s="13"/>
      <c r="Z696" s="13"/>
      <c r="AA696" s="13"/>
      <c r="AB696" s="13"/>
      <c r="AC696" s="13"/>
    </row>
    <row r="697" spans="2:29">
      <c r="B697" s="209">
        <f>Baseline!B69</f>
        <v>0</v>
      </c>
      <c r="C697" s="51">
        <f>Baseline!F69</f>
        <v>0</v>
      </c>
      <c r="D697" s="134">
        <f>_xlfn.IFNA(IF(Baseline!C69="Nieuwe situatie",(Baseline!Q69/(VLOOKUP(Baseline!U69,Database_Asfalt_Aanlegset[#All],60,FALSE)/8)),0),0)</f>
        <v>0</v>
      </c>
      <c r="E697" s="135">
        <f>IFERROR(IF(Baseline!C69="Nieuwe situatie",Baseline!I69/Baseline!X69,0),0)</f>
        <v>0</v>
      </c>
      <c r="F697" s="138">
        <f>_xlfn.IFNA(IF(Baseline!C69="Bestaande situatie",Baseline!Q69/(VLOOKUP(Baseline!Y69,Database_Asfalt_Verwijderset[#All],60,FALSE)/8),0),0)</f>
        <v>0</v>
      </c>
      <c r="G697" s="138">
        <f>IFERROR(IF(Baseline!C69="Bestaande situatie",Baseline!I69/Baseline!AB69,0),0)</f>
        <v>0</v>
      </c>
      <c r="H697" s="138" t="str">
        <f>_xlfn.IFNA((VLOOKUP(Baseline!U69,Database_Asfalt_Aanlegset[],61,FALSE)),"Nee")</f>
        <v>Nee</v>
      </c>
      <c r="I697" s="138" t="str">
        <f>_xlfn.IFNA((VLOOKUP(Baseline!V69,Database_Brandstoffen[],60,FALSE)),"Nee")</f>
        <v>Nee</v>
      </c>
      <c r="J697" s="94" t="str">
        <f>_xlfn.IFNA((VLOOKUP(Baseline!Y69,Database_Asfalt_Verwijderset[],61,FALSE)),"Nee")</f>
        <v>Nee</v>
      </c>
      <c r="K697" s="94" t="str">
        <f>_xlfn.IFNA((VLOOKUP(Baseline!Z69,Database_Brandstoffen[],60,FALSE)),"Nee")</f>
        <v>Nee</v>
      </c>
      <c r="L697" s="124">
        <f>IF(Referentie_Bouwplaats_Totaal[[#This Row],[Emissieloos Asfalt Aanlegset]]="JA",Referentie_Bouwplaats_Totaal[[#This Row],[Draaiuren Bouw Asfalt]],0)+IF(Referentie_Bouwplaats_Totaal[[#This Row],[Emissieloos Bouwmaterieel]]="JA",Referentie_Bouwplaats_Totaal[[#This Row],[Draaiuren Bouw Overig]],0)+IF(Referentie_Bouwplaats_Totaal[[#This Row],[Emissieloos Asfalt Verwijderset]]="JA",Referentie_Bouwplaats_Totaal[[#This Row],[Draaiuren Verwijder Asfalt]],0)+IF(Referentie_Bouwplaats_Totaal[[#This Row],[Emissieloos Sloopmaterieel]]="JA",Referentie_Bouwplaats_Totaal[[#This Row],[Draaiuren Verwijder Overig]],0)</f>
        <v>0</v>
      </c>
      <c r="M697" s="124">
        <f>_xlfn.IFNA(IF(Baseline!C69="Nieuwe situatie",(Baseline!Q69/(VLOOKUP(Baseline!U69,Database_Asfalt_Aanlegset[#All],60,FALSE)/8)),0),0)*Baseline!R69</f>
        <v>0</v>
      </c>
      <c r="N697" s="124">
        <f>_xlfn.IFNA(IF(Baseline!C69="Nieuwe situatie",Baseline!O69/VLOOKUP(Baseline!V69,Database_Overig_Materieel[#All],8,FALSE),0),0)*Baseline!R69</f>
        <v>0</v>
      </c>
      <c r="O697" s="132">
        <f>_xlfn.IFNA(IF(Baseline!C69="Bestaande situatie",Baseline!Q69/(VLOOKUP(Baseline!Y69,Database_Asfalt_Verwijderset[#All],60,FALSE)/8),0),0)*Baseline!R69</f>
        <v>0</v>
      </c>
      <c r="P697" s="132">
        <f>_xlfn.IFNA(IF(Baseline!C69="Bestaande situatie",Baseline!O69/VLOOKUP(Baseline!Z69,Database_Overig_Materieel[#All],8,FALSE),0),0)*Baseline!R69</f>
        <v>0</v>
      </c>
      <c r="Q697" s="132">
        <f>IF(Referentie_Bouwplaats_Totaal[[#This Row],[Emissieloos Asfalt Aanlegset]]="JA",Referentie_Bouwplaats_Totaal[[#This Row],[Draaiuren Bouw Asfalt Vervangingen]],0)+IF(Referentie_Bouwplaats_Totaal[[#This Row],[Emissieloos Bouwmaterieel]]="JA",Referentie_Bouwplaats_Totaal[[#This Row],[Draaiuren Bouw Overig Vervangingen]],0)+IF(Referentie_Bouwplaats_Totaal[[#This Row],[Emissieloos Asfalt Verwijderset]]="JA",Referentie_Bouwplaats_Totaal[[#This Row],[Draaiuren Verwijder Asfalt Vervangingen]],0)+IF(Referentie_Bouwplaats_Totaal[[#This Row],[Emissieloos Sloopmaterieel]]="JA",Referentie_Bouwplaats_Totaal[[#This Row],[Draaiuren Verwijder Overig Vervangingen]],0)</f>
        <v>0</v>
      </c>
      <c r="R697" s="132">
        <f>Referentie_Bouwplaats_Totaal[[#This Row],[Emissieloos bouwplaats]]+Referentie_Bouwplaats_Totaal[[#This Row],[Emissieloos bouwplaats Vervangingen]]</f>
        <v>0</v>
      </c>
      <c r="S697" s="132">
        <f>(Referentie_Bouwplaats_Totaal[[#This Row],[Draaiuren Bouw Asfalt]]+Referentie_Bouwplaats_Totaal[[#This Row],[Draaiuren Bouw Overig]]+Referentie_Bouwplaats_Totaal[[#This Row],[Draaiuren Verwijder Asfalt]]+Referentie_Bouwplaats_Totaal[[#This Row],[Draaiuren Verwijder Overig]]+Referentie_Bouwplaats_Totaal[[#This Row],[Draaiuren Bouw Asfalt Vervangingen]]+Referentie_Bouwplaats_Totaal[[#This Row],[Draaiuren Bouw Overig Vervangingen]]+Referentie_Bouwplaats_Totaal[[#This Row],[Draaiuren Verwijder Asfalt Vervangingen]]+Referentie_Bouwplaats_Totaal[[#This Row],[Draaiuren Verwijder Overig Vervangingen]]-Referentie_Bouwplaats_Totaal[[#This Row],[Totaal Emissieloos Bouwplaats]])</f>
        <v>0</v>
      </c>
      <c r="T697" s="132">
        <f>Referentie_Bouwplaats_Totaal[[#This Row],[Totaal Emissieloos Bouwplaats]]+Referentie_Bouwplaats_Totaal[[#This Row],[Totaal Niet Emissieloos Bouwplaats]]</f>
        <v>0</v>
      </c>
      <c r="U697" s="132"/>
      <c r="V697" s="13"/>
      <c r="W697" s="13"/>
      <c r="X697" s="13"/>
      <c r="Y697" s="13"/>
      <c r="Z697" s="13"/>
      <c r="AA697" s="13"/>
      <c r="AB697" s="13"/>
      <c r="AC697" s="13"/>
    </row>
    <row r="698" spans="2:29">
      <c r="B698" s="209">
        <f>Baseline!B70</f>
        <v>0</v>
      </c>
      <c r="C698" s="51">
        <f>Baseline!F70</f>
        <v>0</v>
      </c>
      <c r="D698" s="134">
        <f>_xlfn.IFNA(IF(Baseline!C70="Nieuwe situatie",(Baseline!Q70/(VLOOKUP(Baseline!U70,Database_Asfalt_Aanlegset[#All],60,FALSE)/8)),0),0)</f>
        <v>0</v>
      </c>
      <c r="E698" s="135">
        <f>IFERROR(IF(Baseline!C70="Nieuwe situatie",Baseline!I70/Baseline!X70,0),0)</f>
        <v>0</v>
      </c>
      <c r="F698" s="138">
        <f>_xlfn.IFNA(IF(Baseline!C70="Bestaande situatie",Baseline!Q70/(VLOOKUP(Baseline!Y70,Database_Asfalt_Verwijderset[#All],60,FALSE)/8),0),0)</f>
        <v>0</v>
      </c>
      <c r="G698" s="138">
        <f>IFERROR(IF(Baseline!C70="Bestaande situatie",Baseline!I70/Baseline!AB70,0),0)</f>
        <v>0</v>
      </c>
      <c r="H698" s="138" t="str">
        <f>_xlfn.IFNA((VLOOKUP(Baseline!U70,Database_Asfalt_Aanlegset[],61,FALSE)),"Nee")</f>
        <v>Nee</v>
      </c>
      <c r="I698" s="138" t="str">
        <f>_xlfn.IFNA((VLOOKUP(Baseline!V70,Database_Brandstoffen[],60,FALSE)),"Nee")</f>
        <v>Nee</v>
      </c>
      <c r="J698" s="94" t="str">
        <f>_xlfn.IFNA((VLOOKUP(Baseline!Y70,Database_Asfalt_Verwijderset[],61,FALSE)),"Nee")</f>
        <v>Nee</v>
      </c>
      <c r="K698" s="94" t="str">
        <f>_xlfn.IFNA((VLOOKUP(Baseline!Z70,Database_Brandstoffen[],60,FALSE)),"Nee")</f>
        <v>Nee</v>
      </c>
      <c r="L698" s="124">
        <f>IF(Referentie_Bouwplaats_Totaal[[#This Row],[Emissieloos Asfalt Aanlegset]]="JA",Referentie_Bouwplaats_Totaal[[#This Row],[Draaiuren Bouw Asfalt]],0)+IF(Referentie_Bouwplaats_Totaal[[#This Row],[Emissieloos Bouwmaterieel]]="JA",Referentie_Bouwplaats_Totaal[[#This Row],[Draaiuren Bouw Overig]],0)+IF(Referentie_Bouwplaats_Totaal[[#This Row],[Emissieloos Asfalt Verwijderset]]="JA",Referentie_Bouwplaats_Totaal[[#This Row],[Draaiuren Verwijder Asfalt]],0)+IF(Referentie_Bouwplaats_Totaal[[#This Row],[Emissieloos Sloopmaterieel]]="JA",Referentie_Bouwplaats_Totaal[[#This Row],[Draaiuren Verwijder Overig]],0)</f>
        <v>0</v>
      </c>
      <c r="M698" s="124">
        <f>_xlfn.IFNA(IF(Baseline!C70="Nieuwe situatie",(Baseline!Q70/(VLOOKUP(Baseline!U70,Database_Asfalt_Aanlegset[#All],60,FALSE)/8)),0),0)*Baseline!R70</f>
        <v>0</v>
      </c>
      <c r="N698" s="124">
        <f>_xlfn.IFNA(IF(Baseline!C70="Nieuwe situatie",Baseline!O70/VLOOKUP(Baseline!V70,Database_Overig_Materieel[#All],8,FALSE),0),0)*Baseline!R70</f>
        <v>0</v>
      </c>
      <c r="O698" s="132">
        <f>_xlfn.IFNA(IF(Baseline!C70="Bestaande situatie",Baseline!Q70/(VLOOKUP(Baseline!Y70,Database_Asfalt_Verwijderset[#All],60,FALSE)/8),0),0)*Baseline!R70</f>
        <v>0</v>
      </c>
      <c r="P698" s="132">
        <f>_xlfn.IFNA(IF(Baseline!C70="Bestaande situatie",Baseline!O70/VLOOKUP(Baseline!Z70,Database_Overig_Materieel[#All],8,FALSE),0),0)*Baseline!R70</f>
        <v>0</v>
      </c>
      <c r="Q698" s="132">
        <f>IF(Referentie_Bouwplaats_Totaal[[#This Row],[Emissieloos Asfalt Aanlegset]]="JA",Referentie_Bouwplaats_Totaal[[#This Row],[Draaiuren Bouw Asfalt Vervangingen]],0)+IF(Referentie_Bouwplaats_Totaal[[#This Row],[Emissieloos Bouwmaterieel]]="JA",Referentie_Bouwplaats_Totaal[[#This Row],[Draaiuren Bouw Overig Vervangingen]],0)+IF(Referentie_Bouwplaats_Totaal[[#This Row],[Emissieloos Asfalt Verwijderset]]="JA",Referentie_Bouwplaats_Totaal[[#This Row],[Draaiuren Verwijder Asfalt Vervangingen]],0)+IF(Referentie_Bouwplaats_Totaal[[#This Row],[Emissieloos Sloopmaterieel]]="JA",Referentie_Bouwplaats_Totaal[[#This Row],[Draaiuren Verwijder Overig Vervangingen]],0)</f>
        <v>0</v>
      </c>
      <c r="R698" s="132">
        <f>Referentie_Bouwplaats_Totaal[[#This Row],[Emissieloos bouwplaats]]+Referentie_Bouwplaats_Totaal[[#This Row],[Emissieloos bouwplaats Vervangingen]]</f>
        <v>0</v>
      </c>
      <c r="S698" s="132">
        <f>(Referentie_Bouwplaats_Totaal[[#This Row],[Draaiuren Bouw Asfalt]]+Referentie_Bouwplaats_Totaal[[#This Row],[Draaiuren Bouw Overig]]+Referentie_Bouwplaats_Totaal[[#This Row],[Draaiuren Verwijder Asfalt]]+Referentie_Bouwplaats_Totaal[[#This Row],[Draaiuren Verwijder Overig]]+Referentie_Bouwplaats_Totaal[[#This Row],[Draaiuren Bouw Asfalt Vervangingen]]+Referentie_Bouwplaats_Totaal[[#This Row],[Draaiuren Bouw Overig Vervangingen]]+Referentie_Bouwplaats_Totaal[[#This Row],[Draaiuren Verwijder Asfalt Vervangingen]]+Referentie_Bouwplaats_Totaal[[#This Row],[Draaiuren Verwijder Overig Vervangingen]]-Referentie_Bouwplaats_Totaal[[#This Row],[Totaal Emissieloos Bouwplaats]])</f>
        <v>0</v>
      </c>
      <c r="T698" s="132">
        <f>Referentie_Bouwplaats_Totaal[[#This Row],[Totaal Emissieloos Bouwplaats]]+Referentie_Bouwplaats_Totaal[[#This Row],[Totaal Niet Emissieloos Bouwplaats]]</f>
        <v>0</v>
      </c>
      <c r="U698" s="132"/>
      <c r="V698" s="13"/>
      <c r="W698" s="13"/>
      <c r="X698" s="13"/>
      <c r="Y698" s="13"/>
      <c r="Z698" s="13"/>
      <c r="AA698" s="13"/>
      <c r="AB698" s="13"/>
      <c r="AC698" s="13"/>
    </row>
    <row r="699" spans="2:29">
      <c r="B699" s="209">
        <f>Baseline!B71</f>
        <v>0</v>
      </c>
      <c r="C699" s="51">
        <f>Baseline!F71</f>
        <v>0</v>
      </c>
      <c r="D699" s="134">
        <f>_xlfn.IFNA(IF(Baseline!C71="Nieuwe situatie",(Baseline!Q71/(VLOOKUP(Baseline!U71,Database_Asfalt_Aanlegset[#All],60,FALSE)/8)),0),0)</f>
        <v>0</v>
      </c>
      <c r="E699" s="135">
        <f>IFERROR(IF(Baseline!C71="Nieuwe situatie",Baseline!I71/Baseline!X71,0),0)</f>
        <v>0</v>
      </c>
      <c r="F699" s="138">
        <f>_xlfn.IFNA(IF(Baseline!C71="Bestaande situatie",Baseline!Q71/(VLOOKUP(Baseline!Y71,Database_Asfalt_Verwijderset[#All],60,FALSE)/8),0),0)</f>
        <v>0</v>
      </c>
      <c r="G699" s="138">
        <f>IFERROR(IF(Baseline!C71="Bestaande situatie",Baseline!I71/Baseline!AB71,0),0)</f>
        <v>0</v>
      </c>
      <c r="H699" s="138" t="str">
        <f>_xlfn.IFNA((VLOOKUP(Baseline!U71,Database_Asfalt_Aanlegset[],61,FALSE)),"Nee")</f>
        <v>Nee</v>
      </c>
      <c r="I699" s="138" t="str">
        <f>_xlfn.IFNA((VLOOKUP(Baseline!V71,Database_Brandstoffen[],60,FALSE)),"Nee")</f>
        <v>Nee</v>
      </c>
      <c r="J699" s="94" t="str">
        <f>_xlfn.IFNA((VLOOKUP(Baseline!Y71,Database_Asfalt_Verwijderset[],61,FALSE)),"Nee")</f>
        <v>Nee</v>
      </c>
      <c r="K699" s="94" t="str">
        <f>_xlfn.IFNA((VLOOKUP(Baseline!Z71,Database_Brandstoffen[],60,FALSE)),"Nee")</f>
        <v>Nee</v>
      </c>
      <c r="L699" s="124">
        <f>IF(Referentie_Bouwplaats_Totaal[[#This Row],[Emissieloos Asfalt Aanlegset]]="JA",Referentie_Bouwplaats_Totaal[[#This Row],[Draaiuren Bouw Asfalt]],0)+IF(Referentie_Bouwplaats_Totaal[[#This Row],[Emissieloos Bouwmaterieel]]="JA",Referentie_Bouwplaats_Totaal[[#This Row],[Draaiuren Bouw Overig]],0)+IF(Referentie_Bouwplaats_Totaal[[#This Row],[Emissieloos Asfalt Verwijderset]]="JA",Referentie_Bouwplaats_Totaal[[#This Row],[Draaiuren Verwijder Asfalt]],0)+IF(Referentie_Bouwplaats_Totaal[[#This Row],[Emissieloos Sloopmaterieel]]="JA",Referentie_Bouwplaats_Totaal[[#This Row],[Draaiuren Verwijder Overig]],0)</f>
        <v>0</v>
      </c>
      <c r="M699" s="124">
        <f>_xlfn.IFNA(IF(Baseline!C71="Nieuwe situatie",(Baseline!Q71/(VLOOKUP(Baseline!U71,Database_Asfalt_Aanlegset[#All],60,FALSE)/8)),0),0)*Baseline!R71</f>
        <v>0</v>
      </c>
      <c r="N699" s="124">
        <f>_xlfn.IFNA(IF(Baseline!C71="Nieuwe situatie",Baseline!O71/VLOOKUP(Baseline!V71,Database_Overig_Materieel[#All],8,FALSE),0),0)*Baseline!R71</f>
        <v>0</v>
      </c>
      <c r="O699" s="132">
        <f>_xlfn.IFNA(IF(Baseline!C71="Bestaande situatie",Baseline!Q71/(VLOOKUP(Baseline!Y71,Database_Asfalt_Verwijderset[#All],60,FALSE)/8),0),0)*Baseline!R71</f>
        <v>0</v>
      </c>
      <c r="P699" s="132">
        <f>_xlfn.IFNA(IF(Baseline!C71="Bestaande situatie",Baseline!O71/VLOOKUP(Baseline!Z71,Database_Overig_Materieel[#All],8,FALSE),0),0)*Baseline!R71</f>
        <v>0</v>
      </c>
      <c r="Q699" s="132">
        <f>IF(Referentie_Bouwplaats_Totaal[[#This Row],[Emissieloos Asfalt Aanlegset]]="JA",Referentie_Bouwplaats_Totaal[[#This Row],[Draaiuren Bouw Asfalt Vervangingen]],0)+IF(Referentie_Bouwplaats_Totaal[[#This Row],[Emissieloos Bouwmaterieel]]="JA",Referentie_Bouwplaats_Totaal[[#This Row],[Draaiuren Bouw Overig Vervangingen]],0)+IF(Referentie_Bouwplaats_Totaal[[#This Row],[Emissieloos Asfalt Verwijderset]]="JA",Referentie_Bouwplaats_Totaal[[#This Row],[Draaiuren Verwijder Asfalt Vervangingen]],0)+IF(Referentie_Bouwplaats_Totaal[[#This Row],[Emissieloos Sloopmaterieel]]="JA",Referentie_Bouwplaats_Totaal[[#This Row],[Draaiuren Verwijder Overig Vervangingen]],0)</f>
        <v>0</v>
      </c>
      <c r="R699" s="132">
        <f>Referentie_Bouwplaats_Totaal[[#This Row],[Emissieloos bouwplaats]]+Referentie_Bouwplaats_Totaal[[#This Row],[Emissieloos bouwplaats Vervangingen]]</f>
        <v>0</v>
      </c>
      <c r="S699" s="132">
        <f>(Referentie_Bouwplaats_Totaal[[#This Row],[Draaiuren Bouw Asfalt]]+Referentie_Bouwplaats_Totaal[[#This Row],[Draaiuren Bouw Overig]]+Referentie_Bouwplaats_Totaal[[#This Row],[Draaiuren Verwijder Asfalt]]+Referentie_Bouwplaats_Totaal[[#This Row],[Draaiuren Verwijder Overig]]+Referentie_Bouwplaats_Totaal[[#This Row],[Draaiuren Bouw Asfalt Vervangingen]]+Referentie_Bouwplaats_Totaal[[#This Row],[Draaiuren Bouw Overig Vervangingen]]+Referentie_Bouwplaats_Totaal[[#This Row],[Draaiuren Verwijder Asfalt Vervangingen]]+Referentie_Bouwplaats_Totaal[[#This Row],[Draaiuren Verwijder Overig Vervangingen]]-Referentie_Bouwplaats_Totaal[[#This Row],[Totaal Emissieloos Bouwplaats]])</f>
        <v>0</v>
      </c>
      <c r="T699" s="132">
        <f>Referentie_Bouwplaats_Totaal[[#This Row],[Totaal Emissieloos Bouwplaats]]+Referentie_Bouwplaats_Totaal[[#This Row],[Totaal Niet Emissieloos Bouwplaats]]</f>
        <v>0</v>
      </c>
      <c r="U699" s="132"/>
      <c r="V699" s="13"/>
      <c r="W699" s="13"/>
      <c r="X699" s="13"/>
      <c r="Y699" s="13"/>
      <c r="Z699" s="13"/>
      <c r="AA699" s="13"/>
      <c r="AB699" s="13"/>
      <c r="AC699" s="13"/>
    </row>
    <row r="700" spans="2:29">
      <c r="B700" s="209">
        <f>Baseline!B72</f>
        <v>0</v>
      </c>
      <c r="C700" s="51">
        <f>Baseline!F72</f>
        <v>0</v>
      </c>
      <c r="D700" s="134">
        <f>_xlfn.IFNA(IF(Baseline!C72="Nieuwe situatie",(Baseline!Q72/(VLOOKUP(Baseline!U72,Database_Asfalt_Aanlegset[#All],60,FALSE)/8)),0),0)</f>
        <v>0</v>
      </c>
      <c r="E700" s="135">
        <f>IFERROR(IF(Baseline!C72="Nieuwe situatie",Baseline!I72/Baseline!X72,0),0)</f>
        <v>0</v>
      </c>
      <c r="F700" s="138">
        <f>_xlfn.IFNA(IF(Baseline!C72="Bestaande situatie",Baseline!Q72/(VLOOKUP(Baseline!Y72,Database_Asfalt_Verwijderset[#All],60,FALSE)/8),0),0)</f>
        <v>0</v>
      </c>
      <c r="G700" s="138">
        <f>IFERROR(IF(Baseline!C72="Bestaande situatie",Baseline!I72/Baseline!AB72,0),0)</f>
        <v>0</v>
      </c>
      <c r="H700" s="138" t="str">
        <f>_xlfn.IFNA((VLOOKUP(Baseline!U72,Database_Asfalt_Aanlegset[],61,FALSE)),"Nee")</f>
        <v>Nee</v>
      </c>
      <c r="I700" s="138" t="str">
        <f>_xlfn.IFNA((VLOOKUP(Baseline!V72,Database_Brandstoffen[],60,FALSE)),"Nee")</f>
        <v>Nee</v>
      </c>
      <c r="J700" s="94" t="str">
        <f>_xlfn.IFNA((VLOOKUP(Baseline!Y72,Database_Asfalt_Verwijderset[],61,FALSE)),"Nee")</f>
        <v>Nee</v>
      </c>
      <c r="K700" s="94" t="str">
        <f>_xlfn.IFNA((VLOOKUP(Baseline!Z72,Database_Brandstoffen[],60,FALSE)),"Nee")</f>
        <v>Nee</v>
      </c>
      <c r="L700" s="124">
        <f>IF(Referentie_Bouwplaats_Totaal[[#This Row],[Emissieloos Asfalt Aanlegset]]="JA",Referentie_Bouwplaats_Totaal[[#This Row],[Draaiuren Bouw Asfalt]],0)+IF(Referentie_Bouwplaats_Totaal[[#This Row],[Emissieloos Bouwmaterieel]]="JA",Referentie_Bouwplaats_Totaal[[#This Row],[Draaiuren Bouw Overig]],0)+IF(Referentie_Bouwplaats_Totaal[[#This Row],[Emissieloos Asfalt Verwijderset]]="JA",Referentie_Bouwplaats_Totaal[[#This Row],[Draaiuren Verwijder Asfalt]],0)+IF(Referentie_Bouwplaats_Totaal[[#This Row],[Emissieloos Sloopmaterieel]]="JA",Referentie_Bouwplaats_Totaal[[#This Row],[Draaiuren Verwijder Overig]],0)</f>
        <v>0</v>
      </c>
      <c r="M700" s="124">
        <f>_xlfn.IFNA(IF(Baseline!C72="Nieuwe situatie",(Baseline!Q72/(VLOOKUP(Baseline!U72,Database_Asfalt_Aanlegset[#All],60,FALSE)/8)),0),0)*Baseline!R72</f>
        <v>0</v>
      </c>
      <c r="N700" s="124">
        <f>_xlfn.IFNA(IF(Baseline!C72="Nieuwe situatie",Baseline!O72/VLOOKUP(Baseline!V72,Database_Overig_Materieel[#All],8,FALSE),0),0)*Baseline!R72</f>
        <v>0</v>
      </c>
      <c r="O700" s="132">
        <f>_xlfn.IFNA(IF(Baseline!C72="Bestaande situatie",Baseline!Q72/(VLOOKUP(Baseline!Y72,Database_Asfalt_Verwijderset[#All],60,FALSE)/8),0),0)*Baseline!R72</f>
        <v>0</v>
      </c>
      <c r="P700" s="132">
        <f>_xlfn.IFNA(IF(Baseline!C72="Bestaande situatie",Baseline!O72/VLOOKUP(Baseline!Z72,Database_Overig_Materieel[#All],8,FALSE),0),0)*Baseline!R72</f>
        <v>0</v>
      </c>
      <c r="Q700" s="132">
        <f>IF(Referentie_Bouwplaats_Totaal[[#This Row],[Emissieloos Asfalt Aanlegset]]="JA",Referentie_Bouwplaats_Totaal[[#This Row],[Draaiuren Bouw Asfalt Vervangingen]],0)+IF(Referentie_Bouwplaats_Totaal[[#This Row],[Emissieloos Bouwmaterieel]]="JA",Referentie_Bouwplaats_Totaal[[#This Row],[Draaiuren Bouw Overig Vervangingen]],0)+IF(Referentie_Bouwplaats_Totaal[[#This Row],[Emissieloos Asfalt Verwijderset]]="JA",Referentie_Bouwplaats_Totaal[[#This Row],[Draaiuren Verwijder Asfalt Vervangingen]],0)+IF(Referentie_Bouwplaats_Totaal[[#This Row],[Emissieloos Sloopmaterieel]]="JA",Referentie_Bouwplaats_Totaal[[#This Row],[Draaiuren Verwijder Overig Vervangingen]],0)</f>
        <v>0</v>
      </c>
      <c r="R700" s="132">
        <f>Referentie_Bouwplaats_Totaal[[#This Row],[Emissieloos bouwplaats]]+Referentie_Bouwplaats_Totaal[[#This Row],[Emissieloos bouwplaats Vervangingen]]</f>
        <v>0</v>
      </c>
      <c r="S700" s="132">
        <f>(Referentie_Bouwplaats_Totaal[[#This Row],[Draaiuren Bouw Asfalt]]+Referentie_Bouwplaats_Totaal[[#This Row],[Draaiuren Bouw Overig]]+Referentie_Bouwplaats_Totaal[[#This Row],[Draaiuren Verwijder Asfalt]]+Referentie_Bouwplaats_Totaal[[#This Row],[Draaiuren Verwijder Overig]]+Referentie_Bouwplaats_Totaal[[#This Row],[Draaiuren Bouw Asfalt Vervangingen]]+Referentie_Bouwplaats_Totaal[[#This Row],[Draaiuren Bouw Overig Vervangingen]]+Referentie_Bouwplaats_Totaal[[#This Row],[Draaiuren Verwijder Asfalt Vervangingen]]+Referentie_Bouwplaats_Totaal[[#This Row],[Draaiuren Verwijder Overig Vervangingen]]-Referentie_Bouwplaats_Totaal[[#This Row],[Totaal Emissieloos Bouwplaats]])</f>
        <v>0</v>
      </c>
      <c r="T700" s="132">
        <f>Referentie_Bouwplaats_Totaal[[#This Row],[Totaal Emissieloos Bouwplaats]]+Referentie_Bouwplaats_Totaal[[#This Row],[Totaal Niet Emissieloos Bouwplaats]]</f>
        <v>0</v>
      </c>
      <c r="U700" s="132"/>
      <c r="V700" s="13"/>
      <c r="W700" s="13"/>
      <c r="X700" s="13"/>
      <c r="Y700" s="13"/>
      <c r="Z700" s="13"/>
      <c r="AA700" s="13"/>
      <c r="AB700" s="13"/>
      <c r="AC700" s="13"/>
    </row>
    <row r="701" spans="2:29">
      <c r="B701" s="209">
        <f>Baseline!B73</f>
        <v>0</v>
      </c>
      <c r="C701" s="51">
        <f>Baseline!F73</f>
        <v>0</v>
      </c>
      <c r="D701" s="134">
        <f>_xlfn.IFNA(IF(Baseline!C73="Nieuwe situatie",(Baseline!Q73/(VLOOKUP(Baseline!U73,Database_Asfalt_Aanlegset[#All],60,FALSE)/8)),0),0)</f>
        <v>0</v>
      </c>
      <c r="E701" s="135">
        <f>IFERROR(IF(Baseline!C73="Nieuwe situatie",Baseline!I73/Baseline!X73,0),0)</f>
        <v>0</v>
      </c>
      <c r="F701" s="138">
        <f>_xlfn.IFNA(IF(Baseline!C73="Bestaande situatie",Baseline!Q73/(VLOOKUP(Baseline!Y73,Database_Asfalt_Verwijderset[#All],60,FALSE)/8),0),0)</f>
        <v>0</v>
      </c>
      <c r="G701" s="138">
        <f>IFERROR(IF(Baseline!C73="Bestaande situatie",Baseline!I73/Baseline!AB73,0),0)</f>
        <v>0</v>
      </c>
      <c r="H701" s="138" t="str">
        <f>_xlfn.IFNA((VLOOKUP(Baseline!U73,Database_Asfalt_Aanlegset[],61,FALSE)),"Nee")</f>
        <v>Nee</v>
      </c>
      <c r="I701" s="138" t="str">
        <f>_xlfn.IFNA((VLOOKUP(Baseline!V73,Database_Brandstoffen[],60,FALSE)),"Nee")</f>
        <v>Nee</v>
      </c>
      <c r="J701" s="94" t="str">
        <f>_xlfn.IFNA((VLOOKUP(Baseline!Y73,Database_Asfalt_Verwijderset[],61,FALSE)),"Nee")</f>
        <v>Nee</v>
      </c>
      <c r="K701" s="94" t="str">
        <f>_xlfn.IFNA((VLOOKUP(Baseline!Z73,Database_Brandstoffen[],60,FALSE)),"Nee")</f>
        <v>Nee</v>
      </c>
      <c r="L701" s="124">
        <f>IF(Referentie_Bouwplaats_Totaal[[#This Row],[Emissieloos Asfalt Aanlegset]]="JA",Referentie_Bouwplaats_Totaal[[#This Row],[Draaiuren Bouw Asfalt]],0)+IF(Referentie_Bouwplaats_Totaal[[#This Row],[Emissieloos Bouwmaterieel]]="JA",Referentie_Bouwplaats_Totaal[[#This Row],[Draaiuren Bouw Overig]],0)+IF(Referentie_Bouwplaats_Totaal[[#This Row],[Emissieloos Asfalt Verwijderset]]="JA",Referentie_Bouwplaats_Totaal[[#This Row],[Draaiuren Verwijder Asfalt]],0)+IF(Referentie_Bouwplaats_Totaal[[#This Row],[Emissieloos Sloopmaterieel]]="JA",Referentie_Bouwplaats_Totaal[[#This Row],[Draaiuren Verwijder Overig]],0)</f>
        <v>0</v>
      </c>
      <c r="M701" s="124">
        <f>_xlfn.IFNA(IF(Baseline!C73="Nieuwe situatie",(Baseline!Q73/(VLOOKUP(Baseline!U73,Database_Asfalt_Aanlegset[#All],60,FALSE)/8)),0),0)*Baseline!R73</f>
        <v>0</v>
      </c>
      <c r="N701" s="124">
        <f>_xlfn.IFNA(IF(Baseline!C73="Nieuwe situatie",Baseline!O73/VLOOKUP(Baseline!V73,Database_Overig_Materieel[#All],8,FALSE),0),0)*Baseline!R73</f>
        <v>0</v>
      </c>
      <c r="O701" s="132">
        <f>_xlfn.IFNA(IF(Baseline!C73="Bestaande situatie",Baseline!Q73/(VLOOKUP(Baseline!Y73,Database_Asfalt_Verwijderset[#All],60,FALSE)/8),0),0)*Baseline!R73</f>
        <v>0</v>
      </c>
      <c r="P701" s="132">
        <f>_xlfn.IFNA(IF(Baseline!C73="Bestaande situatie",Baseline!O73/VLOOKUP(Baseline!Z73,Database_Overig_Materieel[#All],8,FALSE),0),0)*Baseline!R73</f>
        <v>0</v>
      </c>
      <c r="Q701" s="132">
        <f>IF(Referentie_Bouwplaats_Totaal[[#This Row],[Emissieloos Asfalt Aanlegset]]="JA",Referentie_Bouwplaats_Totaal[[#This Row],[Draaiuren Bouw Asfalt Vervangingen]],0)+IF(Referentie_Bouwplaats_Totaal[[#This Row],[Emissieloos Bouwmaterieel]]="JA",Referentie_Bouwplaats_Totaal[[#This Row],[Draaiuren Bouw Overig Vervangingen]],0)+IF(Referentie_Bouwplaats_Totaal[[#This Row],[Emissieloos Asfalt Verwijderset]]="JA",Referentie_Bouwplaats_Totaal[[#This Row],[Draaiuren Verwijder Asfalt Vervangingen]],0)+IF(Referentie_Bouwplaats_Totaal[[#This Row],[Emissieloos Sloopmaterieel]]="JA",Referentie_Bouwplaats_Totaal[[#This Row],[Draaiuren Verwijder Overig Vervangingen]],0)</f>
        <v>0</v>
      </c>
      <c r="R701" s="132">
        <f>Referentie_Bouwplaats_Totaal[[#This Row],[Emissieloos bouwplaats]]+Referentie_Bouwplaats_Totaal[[#This Row],[Emissieloos bouwplaats Vervangingen]]</f>
        <v>0</v>
      </c>
      <c r="S701" s="132">
        <f>(Referentie_Bouwplaats_Totaal[[#This Row],[Draaiuren Bouw Asfalt]]+Referentie_Bouwplaats_Totaal[[#This Row],[Draaiuren Bouw Overig]]+Referentie_Bouwplaats_Totaal[[#This Row],[Draaiuren Verwijder Asfalt]]+Referentie_Bouwplaats_Totaal[[#This Row],[Draaiuren Verwijder Overig]]+Referentie_Bouwplaats_Totaal[[#This Row],[Draaiuren Bouw Asfalt Vervangingen]]+Referentie_Bouwplaats_Totaal[[#This Row],[Draaiuren Bouw Overig Vervangingen]]+Referentie_Bouwplaats_Totaal[[#This Row],[Draaiuren Verwijder Asfalt Vervangingen]]+Referentie_Bouwplaats_Totaal[[#This Row],[Draaiuren Verwijder Overig Vervangingen]]-Referentie_Bouwplaats_Totaal[[#This Row],[Totaal Emissieloos Bouwplaats]])</f>
        <v>0</v>
      </c>
      <c r="T701" s="132">
        <f>Referentie_Bouwplaats_Totaal[[#This Row],[Totaal Emissieloos Bouwplaats]]+Referentie_Bouwplaats_Totaal[[#This Row],[Totaal Niet Emissieloos Bouwplaats]]</f>
        <v>0</v>
      </c>
      <c r="U701" s="132"/>
      <c r="V701" s="13"/>
      <c r="W701" s="13"/>
      <c r="X701" s="13"/>
      <c r="Y701" s="13"/>
      <c r="Z701" s="13"/>
      <c r="AA701" s="13"/>
      <c r="AB701" s="13"/>
      <c r="AC701" s="13"/>
    </row>
    <row r="702" spans="2:29">
      <c r="B702" s="209">
        <f>Baseline!B74</f>
        <v>0</v>
      </c>
      <c r="C702" s="51">
        <f>Baseline!F74</f>
        <v>0</v>
      </c>
      <c r="D702" s="134">
        <f>_xlfn.IFNA(IF(Baseline!C74="Nieuwe situatie",(Baseline!Q74/(VLOOKUP(Baseline!U74,Database_Asfalt_Aanlegset[#All],60,FALSE)/8)),0),0)</f>
        <v>0</v>
      </c>
      <c r="E702" s="135">
        <f>IFERROR(IF(Baseline!C74="Nieuwe situatie",Baseline!I74/Baseline!X74,0),0)</f>
        <v>0</v>
      </c>
      <c r="F702" s="138">
        <f>_xlfn.IFNA(IF(Baseline!C74="Bestaande situatie",Baseline!Q74/(VLOOKUP(Baseline!Y74,Database_Asfalt_Verwijderset[#All],60,FALSE)/8),0),0)</f>
        <v>0</v>
      </c>
      <c r="G702" s="138">
        <f>IFERROR(IF(Baseline!C74="Bestaande situatie",Baseline!I74/Baseline!AB74,0),0)</f>
        <v>0</v>
      </c>
      <c r="H702" s="138" t="str">
        <f>_xlfn.IFNA((VLOOKUP(Baseline!U74,Database_Asfalt_Aanlegset[],61,FALSE)),"Nee")</f>
        <v>Nee</v>
      </c>
      <c r="I702" s="138" t="str">
        <f>_xlfn.IFNA((VLOOKUP(Baseline!V74,Database_Brandstoffen[],60,FALSE)),"Nee")</f>
        <v>Nee</v>
      </c>
      <c r="J702" s="94" t="str">
        <f>_xlfn.IFNA((VLOOKUP(Baseline!Y74,Database_Asfalt_Verwijderset[],61,FALSE)),"Nee")</f>
        <v>Nee</v>
      </c>
      <c r="K702" s="94" t="str">
        <f>_xlfn.IFNA((VLOOKUP(Baseline!Z74,Database_Brandstoffen[],60,FALSE)),"Nee")</f>
        <v>Nee</v>
      </c>
      <c r="L702" s="124">
        <f>IF(Referentie_Bouwplaats_Totaal[[#This Row],[Emissieloos Asfalt Aanlegset]]="JA",Referentie_Bouwplaats_Totaal[[#This Row],[Draaiuren Bouw Asfalt]],0)+IF(Referentie_Bouwplaats_Totaal[[#This Row],[Emissieloos Bouwmaterieel]]="JA",Referentie_Bouwplaats_Totaal[[#This Row],[Draaiuren Bouw Overig]],0)+IF(Referentie_Bouwplaats_Totaal[[#This Row],[Emissieloos Asfalt Verwijderset]]="JA",Referentie_Bouwplaats_Totaal[[#This Row],[Draaiuren Verwijder Asfalt]],0)+IF(Referentie_Bouwplaats_Totaal[[#This Row],[Emissieloos Sloopmaterieel]]="JA",Referentie_Bouwplaats_Totaal[[#This Row],[Draaiuren Verwijder Overig]],0)</f>
        <v>0</v>
      </c>
      <c r="M702" s="124">
        <f>_xlfn.IFNA(IF(Baseline!C74="Nieuwe situatie",(Baseline!Q74/(VLOOKUP(Baseline!U74,Database_Asfalt_Aanlegset[#All],60,FALSE)/8)),0),0)*Baseline!R74</f>
        <v>0</v>
      </c>
      <c r="N702" s="124">
        <f>_xlfn.IFNA(IF(Baseline!C74="Nieuwe situatie",Baseline!O74/VLOOKUP(Baseline!V74,Database_Overig_Materieel[#All],8,FALSE),0),0)*Baseline!R74</f>
        <v>0</v>
      </c>
      <c r="O702" s="132">
        <f>_xlfn.IFNA(IF(Baseline!C74="Bestaande situatie",Baseline!Q74/(VLOOKUP(Baseline!Y74,Database_Asfalt_Verwijderset[#All],60,FALSE)/8),0),0)*Baseline!R74</f>
        <v>0</v>
      </c>
      <c r="P702" s="132">
        <f>_xlfn.IFNA(IF(Baseline!C74="Bestaande situatie",Baseline!O74/VLOOKUP(Baseline!Z74,Database_Overig_Materieel[#All],8,FALSE),0),0)*Baseline!R74</f>
        <v>0</v>
      </c>
      <c r="Q702" s="132">
        <f>IF(Referentie_Bouwplaats_Totaal[[#This Row],[Emissieloos Asfalt Aanlegset]]="JA",Referentie_Bouwplaats_Totaal[[#This Row],[Draaiuren Bouw Asfalt Vervangingen]],0)+IF(Referentie_Bouwplaats_Totaal[[#This Row],[Emissieloos Bouwmaterieel]]="JA",Referentie_Bouwplaats_Totaal[[#This Row],[Draaiuren Bouw Overig Vervangingen]],0)+IF(Referentie_Bouwplaats_Totaal[[#This Row],[Emissieloos Asfalt Verwijderset]]="JA",Referentie_Bouwplaats_Totaal[[#This Row],[Draaiuren Verwijder Asfalt Vervangingen]],0)+IF(Referentie_Bouwplaats_Totaal[[#This Row],[Emissieloos Sloopmaterieel]]="JA",Referentie_Bouwplaats_Totaal[[#This Row],[Draaiuren Verwijder Overig Vervangingen]],0)</f>
        <v>0</v>
      </c>
      <c r="R702" s="132">
        <f>Referentie_Bouwplaats_Totaal[[#This Row],[Emissieloos bouwplaats]]+Referentie_Bouwplaats_Totaal[[#This Row],[Emissieloos bouwplaats Vervangingen]]</f>
        <v>0</v>
      </c>
      <c r="S702" s="132">
        <f>(Referentie_Bouwplaats_Totaal[[#This Row],[Draaiuren Bouw Asfalt]]+Referentie_Bouwplaats_Totaal[[#This Row],[Draaiuren Bouw Overig]]+Referentie_Bouwplaats_Totaal[[#This Row],[Draaiuren Verwijder Asfalt]]+Referentie_Bouwplaats_Totaal[[#This Row],[Draaiuren Verwijder Overig]]+Referentie_Bouwplaats_Totaal[[#This Row],[Draaiuren Bouw Asfalt Vervangingen]]+Referentie_Bouwplaats_Totaal[[#This Row],[Draaiuren Bouw Overig Vervangingen]]+Referentie_Bouwplaats_Totaal[[#This Row],[Draaiuren Verwijder Asfalt Vervangingen]]+Referentie_Bouwplaats_Totaal[[#This Row],[Draaiuren Verwijder Overig Vervangingen]]-Referentie_Bouwplaats_Totaal[[#This Row],[Totaal Emissieloos Bouwplaats]])</f>
        <v>0</v>
      </c>
      <c r="T702" s="132">
        <f>Referentie_Bouwplaats_Totaal[[#This Row],[Totaal Emissieloos Bouwplaats]]+Referentie_Bouwplaats_Totaal[[#This Row],[Totaal Niet Emissieloos Bouwplaats]]</f>
        <v>0</v>
      </c>
      <c r="U702" s="132"/>
      <c r="V702" s="13"/>
      <c r="W702" s="13"/>
      <c r="X702" s="13"/>
      <c r="Y702" s="13"/>
      <c r="Z702" s="13"/>
      <c r="AA702" s="13"/>
      <c r="AB702" s="13"/>
      <c r="AC702" s="13"/>
    </row>
    <row r="703" spans="2:29">
      <c r="B703" s="209">
        <f>Baseline!B75</f>
        <v>0</v>
      </c>
      <c r="C703" s="51">
        <f>Baseline!F75</f>
        <v>0</v>
      </c>
      <c r="D703" s="134">
        <f>_xlfn.IFNA(IF(Baseline!C75="Nieuwe situatie",(Baseline!Q75/(VLOOKUP(Baseline!U75,Database_Asfalt_Aanlegset[#All],60,FALSE)/8)),0),0)</f>
        <v>0</v>
      </c>
      <c r="E703" s="135">
        <f>IFERROR(IF(Baseline!C75="Nieuwe situatie",Baseline!I75/Baseline!X75,0),0)</f>
        <v>0</v>
      </c>
      <c r="F703" s="138">
        <f>_xlfn.IFNA(IF(Baseline!C75="Bestaande situatie",Baseline!Q75/(VLOOKUP(Baseline!Y75,Database_Asfalt_Verwijderset[#All],60,FALSE)/8),0),0)</f>
        <v>0</v>
      </c>
      <c r="G703" s="138">
        <f>IFERROR(IF(Baseline!C75="Bestaande situatie",Baseline!I75/Baseline!AB75,0),0)</f>
        <v>0</v>
      </c>
      <c r="H703" s="138" t="str">
        <f>_xlfn.IFNA((VLOOKUP(Baseline!U75,Database_Asfalt_Aanlegset[],61,FALSE)),"Nee")</f>
        <v>Nee</v>
      </c>
      <c r="I703" s="138" t="str">
        <f>_xlfn.IFNA((VLOOKUP(Baseline!V75,Database_Brandstoffen[],60,FALSE)),"Nee")</f>
        <v>Nee</v>
      </c>
      <c r="J703" s="94" t="str">
        <f>_xlfn.IFNA((VLOOKUP(Baseline!Y75,Database_Asfalt_Verwijderset[],61,FALSE)),"Nee")</f>
        <v>Nee</v>
      </c>
      <c r="K703" s="94" t="str">
        <f>_xlfn.IFNA((VLOOKUP(Baseline!Z75,Database_Brandstoffen[],60,FALSE)),"Nee")</f>
        <v>Nee</v>
      </c>
      <c r="L703" s="124">
        <f>IF(Referentie_Bouwplaats_Totaal[[#This Row],[Emissieloos Asfalt Aanlegset]]="JA",Referentie_Bouwplaats_Totaal[[#This Row],[Draaiuren Bouw Asfalt]],0)+IF(Referentie_Bouwplaats_Totaal[[#This Row],[Emissieloos Bouwmaterieel]]="JA",Referentie_Bouwplaats_Totaal[[#This Row],[Draaiuren Bouw Overig]],0)+IF(Referentie_Bouwplaats_Totaal[[#This Row],[Emissieloos Asfalt Verwijderset]]="JA",Referentie_Bouwplaats_Totaal[[#This Row],[Draaiuren Verwijder Asfalt]],0)+IF(Referentie_Bouwplaats_Totaal[[#This Row],[Emissieloos Sloopmaterieel]]="JA",Referentie_Bouwplaats_Totaal[[#This Row],[Draaiuren Verwijder Overig]],0)</f>
        <v>0</v>
      </c>
      <c r="M703" s="124">
        <f>_xlfn.IFNA(IF(Baseline!C75="Nieuwe situatie",(Baseline!Q75/(VLOOKUP(Baseline!U75,Database_Asfalt_Aanlegset[#All],60,FALSE)/8)),0),0)*Baseline!R75</f>
        <v>0</v>
      </c>
      <c r="N703" s="124">
        <f>_xlfn.IFNA(IF(Baseline!C75="Nieuwe situatie",Baseline!O75/VLOOKUP(Baseline!V75,Database_Overig_Materieel[#All],8,FALSE),0),0)*Baseline!R75</f>
        <v>0</v>
      </c>
      <c r="O703" s="132">
        <f>_xlfn.IFNA(IF(Baseline!C75="Bestaande situatie",Baseline!Q75/(VLOOKUP(Baseline!Y75,Database_Asfalt_Verwijderset[#All],60,FALSE)/8),0),0)*Baseline!R75</f>
        <v>0</v>
      </c>
      <c r="P703" s="132">
        <f>_xlfn.IFNA(IF(Baseline!C75="Bestaande situatie",Baseline!O75/VLOOKUP(Baseline!Z75,Database_Overig_Materieel[#All],8,FALSE),0),0)*Baseline!R75</f>
        <v>0</v>
      </c>
      <c r="Q703" s="132">
        <f>IF(Referentie_Bouwplaats_Totaal[[#This Row],[Emissieloos Asfalt Aanlegset]]="JA",Referentie_Bouwplaats_Totaal[[#This Row],[Draaiuren Bouw Asfalt Vervangingen]],0)+IF(Referentie_Bouwplaats_Totaal[[#This Row],[Emissieloos Bouwmaterieel]]="JA",Referentie_Bouwplaats_Totaal[[#This Row],[Draaiuren Bouw Overig Vervangingen]],0)+IF(Referentie_Bouwplaats_Totaal[[#This Row],[Emissieloos Asfalt Verwijderset]]="JA",Referentie_Bouwplaats_Totaal[[#This Row],[Draaiuren Verwijder Asfalt Vervangingen]],0)+IF(Referentie_Bouwplaats_Totaal[[#This Row],[Emissieloos Sloopmaterieel]]="JA",Referentie_Bouwplaats_Totaal[[#This Row],[Draaiuren Verwijder Overig Vervangingen]],0)</f>
        <v>0</v>
      </c>
      <c r="R703" s="132">
        <f>Referentie_Bouwplaats_Totaal[[#This Row],[Emissieloos bouwplaats]]+Referentie_Bouwplaats_Totaal[[#This Row],[Emissieloos bouwplaats Vervangingen]]</f>
        <v>0</v>
      </c>
      <c r="S703" s="132">
        <f>(Referentie_Bouwplaats_Totaal[[#This Row],[Draaiuren Bouw Asfalt]]+Referentie_Bouwplaats_Totaal[[#This Row],[Draaiuren Bouw Overig]]+Referentie_Bouwplaats_Totaal[[#This Row],[Draaiuren Verwijder Asfalt]]+Referentie_Bouwplaats_Totaal[[#This Row],[Draaiuren Verwijder Overig]]+Referentie_Bouwplaats_Totaal[[#This Row],[Draaiuren Bouw Asfalt Vervangingen]]+Referentie_Bouwplaats_Totaal[[#This Row],[Draaiuren Bouw Overig Vervangingen]]+Referentie_Bouwplaats_Totaal[[#This Row],[Draaiuren Verwijder Asfalt Vervangingen]]+Referentie_Bouwplaats_Totaal[[#This Row],[Draaiuren Verwijder Overig Vervangingen]]-Referentie_Bouwplaats_Totaal[[#This Row],[Totaal Emissieloos Bouwplaats]])</f>
        <v>0</v>
      </c>
      <c r="T703" s="132">
        <f>Referentie_Bouwplaats_Totaal[[#This Row],[Totaal Emissieloos Bouwplaats]]+Referentie_Bouwplaats_Totaal[[#This Row],[Totaal Niet Emissieloos Bouwplaats]]</f>
        <v>0</v>
      </c>
      <c r="U703" s="132"/>
      <c r="V703" s="13"/>
      <c r="W703" s="13"/>
      <c r="X703" s="13"/>
      <c r="Y703" s="13"/>
      <c r="Z703" s="13"/>
      <c r="AA703" s="13"/>
      <c r="AB703" s="13"/>
      <c r="AC703" s="13"/>
    </row>
    <row r="704" spans="2:29">
      <c r="B704" s="209">
        <f>Baseline!B76</f>
        <v>0</v>
      </c>
      <c r="C704" s="51">
        <f>Baseline!F76</f>
        <v>0</v>
      </c>
      <c r="D704" s="134">
        <f>_xlfn.IFNA(IF(Baseline!C76="Nieuwe situatie",(Baseline!Q76/(VLOOKUP(Baseline!U76,Database_Asfalt_Aanlegset[#All],60,FALSE)/8)),0),0)</f>
        <v>0</v>
      </c>
      <c r="E704" s="135">
        <f>IFERROR(IF(Baseline!C76="Nieuwe situatie",Baseline!I76/Baseline!X76,0),0)</f>
        <v>0</v>
      </c>
      <c r="F704" s="138">
        <f>_xlfn.IFNA(IF(Baseline!C76="Bestaande situatie",Baseline!Q76/(VLOOKUP(Baseline!Y76,Database_Asfalt_Verwijderset[#All],60,FALSE)/8),0),0)</f>
        <v>0</v>
      </c>
      <c r="G704" s="138">
        <f>IFERROR(IF(Baseline!C76="Bestaande situatie",Baseline!I76/Baseline!AB76,0),0)</f>
        <v>0</v>
      </c>
      <c r="H704" s="138" t="str">
        <f>_xlfn.IFNA((VLOOKUP(Baseline!U76,Database_Asfalt_Aanlegset[],61,FALSE)),"Nee")</f>
        <v>Nee</v>
      </c>
      <c r="I704" s="138" t="str">
        <f>_xlfn.IFNA((VLOOKUP(Baseline!V76,Database_Brandstoffen[],60,FALSE)),"Nee")</f>
        <v>Nee</v>
      </c>
      <c r="J704" s="94" t="str">
        <f>_xlfn.IFNA((VLOOKUP(Baseline!Y76,Database_Asfalt_Verwijderset[],61,FALSE)),"Nee")</f>
        <v>Nee</v>
      </c>
      <c r="K704" s="94" t="str">
        <f>_xlfn.IFNA((VLOOKUP(Baseline!Z76,Database_Brandstoffen[],60,FALSE)),"Nee")</f>
        <v>Nee</v>
      </c>
      <c r="L704" s="124">
        <f>IF(Referentie_Bouwplaats_Totaal[[#This Row],[Emissieloos Asfalt Aanlegset]]="JA",Referentie_Bouwplaats_Totaal[[#This Row],[Draaiuren Bouw Asfalt]],0)+IF(Referentie_Bouwplaats_Totaal[[#This Row],[Emissieloos Bouwmaterieel]]="JA",Referentie_Bouwplaats_Totaal[[#This Row],[Draaiuren Bouw Overig]],0)+IF(Referentie_Bouwplaats_Totaal[[#This Row],[Emissieloos Asfalt Verwijderset]]="JA",Referentie_Bouwplaats_Totaal[[#This Row],[Draaiuren Verwijder Asfalt]],0)+IF(Referentie_Bouwplaats_Totaal[[#This Row],[Emissieloos Sloopmaterieel]]="JA",Referentie_Bouwplaats_Totaal[[#This Row],[Draaiuren Verwijder Overig]],0)</f>
        <v>0</v>
      </c>
      <c r="M704" s="124">
        <f>_xlfn.IFNA(IF(Baseline!C76="Nieuwe situatie",(Baseline!Q76/(VLOOKUP(Baseline!U76,Database_Asfalt_Aanlegset[#All],60,FALSE)/8)),0),0)*Baseline!R76</f>
        <v>0</v>
      </c>
      <c r="N704" s="124">
        <f>_xlfn.IFNA(IF(Baseline!C76="Nieuwe situatie",Baseline!O76/VLOOKUP(Baseline!V76,Database_Overig_Materieel[#All],8,FALSE),0),0)*Baseline!R76</f>
        <v>0</v>
      </c>
      <c r="O704" s="132">
        <f>_xlfn.IFNA(IF(Baseline!C76="Bestaande situatie",Baseline!Q76/(VLOOKUP(Baseline!Y76,Database_Asfalt_Verwijderset[#All],60,FALSE)/8),0),0)*Baseline!R76</f>
        <v>0</v>
      </c>
      <c r="P704" s="132">
        <f>_xlfn.IFNA(IF(Baseline!C76="Bestaande situatie",Baseline!O76/VLOOKUP(Baseline!Z76,Database_Overig_Materieel[#All],8,FALSE),0),0)*Baseline!R76</f>
        <v>0</v>
      </c>
      <c r="Q704" s="132">
        <f>IF(Referentie_Bouwplaats_Totaal[[#This Row],[Emissieloos Asfalt Aanlegset]]="JA",Referentie_Bouwplaats_Totaal[[#This Row],[Draaiuren Bouw Asfalt Vervangingen]],0)+IF(Referentie_Bouwplaats_Totaal[[#This Row],[Emissieloos Bouwmaterieel]]="JA",Referentie_Bouwplaats_Totaal[[#This Row],[Draaiuren Bouw Overig Vervangingen]],0)+IF(Referentie_Bouwplaats_Totaal[[#This Row],[Emissieloos Asfalt Verwijderset]]="JA",Referentie_Bouwplaats_Totaal[[#This Row],[Draaiuren Verwijder Asfalt Vervangingen]],0)+IF(Referentie_Bouwplaats_Totaal[[#This Row],[Emissieloos Sloopmaterieel]]="JA",Referentie_Bouwplaats_Totaal[[#This Row],[Draaiuren Verwijder Overig Vervangingen]],0)</f>
        <v>0</v>
      </c>
      <c r="R704" s="132">
        <f>Referentie_Bouwplaats_Totaal[[#This Row],[Emissieloos bouwplaats]]+Referentie_Bouwplaats_Totaal[[#This Row],[Emissieloos bouwplaats Vervangingen]]</f>
        <v>0</v>
      </c>
      <c r="S704" s="132">
        <f>(Referentie_Bouwplaats_Totaal[[#This Row],[Draaiuren Bouw Asfalt]]+Referentie_Bouwplaats_Totaal[[#This Row],[Draaiuren Bouw Overig]]+Referentie_Bouwplaats_Totaal[[#This Row],[Draaiuren Verwijder Asfalt]]+Referentie_Bouwplaats_Totaal[[#This Row],[Draaiuren Verwijder Overig]]+Referentie_Bouwplaats_Totaal[[#This Row],[Draaiuren Bouw Asfalt Vervangingen]]+Referentie_Bouwplaats_Totaal[[#This Row],[Draaiuren Bouw Overig Vervangingen]]+Referentie_Bouwplaats_Totaal[[#This Row],[Draaiuren Verwijder Asfalt Vervangingen]]+Referentie_Bouwplaats_Totaal[[#This Row],[Draaiuren Verwijder Overig Vervangingen]]-Referentie_Bouwplaats_Totaal[[#This Row],[Totaal Emissieloos Bouwplaats]])</f>
        <v>0</v>
      </c>
      <c r="T704" s="132">
        <f>Referentie_Bouwplaats_Totaal[[#This Row],[Totaal Emissieloos Bouwplaats]]+Referentie_Bouwplaats_Totaal[[#This Row],[Totaal Niet Emissieloos Bouwplaats]]</f>
        <v>0</v>
      </c>
      <c r="U704" s="132"/>
      <c r="V704" s="13"/>
      <c r="W704" s="13"/>
      <c r="X704" s="13"/>
      <c r="Y704" s="13"/>
      <c r="Z704" s="13"/>
      <c r="AA704" s="13"/>
      <c r="AB704" s="13"/>
      <c r="AC704" s="13"/>
    </row>
    <row r="705" spans="2:29">
      <c r="B705" s="209">
        <f>Baseline!B77</f>
        <v>0</v>
      </c>
      <c r="C705" s="51">
        <f>Baseline!F77</f>
        <v>0</v>
      </c>
      <c r="D705" s="134">
        <f>_xlfn.IFNA(IF(Baseline!C77="Nieuwe situatie",(Baseline!Q77/(VLOOKUP(Baseline!U77,Database_Asfalt_Aanlegset[#All],60,FALSE)/8)),0),0)</f>
        <v>0</v>
      </c>
      <c r="E705" s="135">
        <f>IFERROR(IF(Baseline!C77="Nieuwe situatie",Baseline!I77/Baseline!X77,0),0)</f>
        <v>0</v>
      </c>
      <c r="F705" s="138">
        <f>_xlfn.IFNA(IF(Baseline!C77="Bestaande situatie",Baseline!Q77/(VLOOKUP(Baseline!Y77,Database_Asfalt_Verwijderset[#All],60,FALSE)/8),0),0)</f>
        <v>0</v>
      </c>
      <c r="G705" s="138">
        <f>IFERROR(IF(Baseline!C77="Bestaande situatie",Baseline!I77/Baseline!AB77,0),0)</f>
        <v>0</v>
      </c>
      <c r="H705" s="138" t="str">
        <f>_xlfn.IFNA((VLOOKUP(Baseline!U77,Database_Asfalt_Aanlegset[],61,FALSE)),"Nee")</f>
        <v>Nee</v>
      </c>
      <c r="I705" s="138" t="str">
        <f>_xlfn.IFNA((VLOOKUP(Baseline!V77,Database_Brandstoffen[],60,FALSE)),"Nee")</f>
        <v>Nee</v>
      </c>
      <c r="J705" s="94" t="str">
        <f>_xlfn.IFNA((VLOOKUP(Baseline!Y77,Database_Asfalt_Verwijderset[],61,FALSE)),"Nee")</f>
        <v>Nee</v>
      </c>
      <c r="K705" s="94" t="str">
        <f>_xlfn.IFNA((VLOOKUP(Baseline!Z77,Database_Brandstoffen[],60,FALSE)),"Nee")</f>
        <v>Nee</v>
      </c>
      <c r="L705" s="124">
        <f>IF(Referentie_Bouwplaats_Totaal[[#This Row],[Emissieloos Asfalt Aanlegset]]="JA",Referentie_Bouwplaats_Totaal[[#This Row],[Draaiuren Bouw Asfalt]],0)+IF(Referentie_Bouwplaats_Totaal[[#This Row],[Emissieloos Bouwmaterieel]]="JA",Referentie_Bouwplaats_Totaal[[#This Row],[Draaiuren Bouw Overig]],0)+IF(Referentie_Bouwplaats_Totaal[[#This Row],[Emissieloos Asfalt Verwijderset]]="JA",Referentie_Bouwplaats_Totaal[[#This Row],[Draaiuren Verwijder Asfalt]],0)+IF(Referentie_Bouwplaats_Totaal[[#This Row],[Emissieloos Sloopmaterieel]]="JA",Referentie_Bouwplaats_Totaal[[#This Row],[Draaiuren Verwijder Overig]],0)</f>
        <v>0</v>
      </c>
      <c r="M705" s="124">
        <f>_xlfn.IFNA(IF(Baseline!C77="Nieuwe situatie",(Baseline!Q77/(VLOOKUP(Baseline!U77,Database_Asfalt_Aanlegset[#All],60,FALSE)/8)),0),0)*Baseline!R77</f>
        <v>0</v>
      </c>
      <c r="N705" s="124">
        <f>_xlfn.IFNA(IF(Baseline!C77="Nieuwe situatie",Baseline!O77/VLOOKUP(Baseline!V77,Database_Overig_Materieel[#All],8,FALSE),0),0)*Baseline!R77</f>
        <v>0</v>
      </c>
      <c r="O705" s="132">
        <f>_xlfn.IFNA(IF(Baseline!C77="Bestaande situatie",Baseline!Q77/(VLOOKUP(Baseline!Y77,Database_Asfalt_Verwijderset[#All],60,FALSE)/8),0),0)*Baseline!R77</f>
        <v>0</v>
      </c>
      <c r="P705" s="132">
        <f>_xlfn.IFNA(IF(Baseline!C77="Bestaande situatie",Baseline!O77/VLOOKUP(Baseline!Z77,Database_Overig_Materieel[#All],8,FALSE),0),0)*Baseline!R77</f>
        <v>0</v>
      </c>
      <c r="Q705" s="132">
        <f>IF(Referentie_Bouwplaats_Totaal[[#This Row],[Emissieloos Asfalt Aanlegset]]="JA",Referentie_Bouwplaats_Totaal[[#This Row],[Draaiuren Bouw Asfalt Vervangingen]],0)+IF(Referentie_Bouwplaats_Totaal[[#This Row],[Emissieloos Bouwmaterieel]]="JA",Referentie_Bouwplaats_Totaal[[#This Row],[Draaiuren Bouw Overig Vervangingen]],0)+IF(Referentie_Bouwplaats_Totaal[[#This Row],[Emissieloos Asfalt Verwijderset]]="JA",Referentie_Bouwplaats_Totaal[[#This Row],[Draaiuren Verwijder Asfalt Vervangingen]],0)+IF(Referentie_Bouwplaats_Totaal[[#This Row],[Emissieloos Sloopmaterieel]]="JA",Referentie_Bouwplaats_Totaal[[#This Row],[Draaiuren Verwijder Overig Vervangingen]],0)</f>
        <v>0</v>
      </c>
      <c r="R705" s="132">
        <f>Referentie_Bouwplaats_Totaal[[#This Row],[Emissieloos bouwplaats]]+Referentie_Bouwplaats_Totaal[[#This Row],[Emissieloos bouwplaats Vervangingen]]</f>
        <v>0</v>
      </c>
      <c r="S705" s="132">
        <f>(Referentie_Bouwplaats_Totaal[[#This Row],[Draaiuren Bouw Asfalt]]+Referentie_Bouwplaats_Totaal[[#This Row],[Draaiuren Bouw Overig]]+Referentie_Bouwplaats_Totaal[[#This Row],[Draaiuren Verwijder Asfalt]]+Referentie_Bouwplaats_Totaal[[#This Row],[Draaiuren Verwijder Overig]]+Referentie_Bouwplaats_Totaal[[#This Row],[Draaiuren Bouw Asfalt Vervangingen]]+Referentie_Bouwplaats_Totaal[[#This Row],[Draaiuren Bouw Overig Vervangingen]]+Referentie_Bouwplaats_Totaal[[#This Row],[Draaiuren Verwijder Asfalt Vervangingen]]+Referentie_Bouwplaats_Totaal[[#This Row],[Draaiuren Verwijder Overig Vervangingen]]-Referentie_Bouwplaats_Totaal[[#This Row],[Totaal Emissieloos Bouwplaats]])</f>
        <v>0</v>
      </c>
      <c r="T705" s="132">
        <f>Referentie_Bouwplaats_Totaal[[#This Row],[Totaal Emissieloos Bouwplaats]]+Referentie_Bouwplaats_Totaal[[#This Row],[Totaal Niet Emissieloos Bouwplaats]]</f>
        <v>0</v>
      </c>
      <c r="U705" s="132"/>
      <c r="V705" s="13"/>
      <c r="W705" s="13"/>
      <c r="X705" s="13"/>
      <c r="Y705" s="13"/>
      <c r="Z705" s="13"/>
      <c r="AA705" s="13"/>
      <c r="AB705" s="13"/>
      <c r="AC705" s="13"/>
    </row>
    <row r="706" spans="2:29">
      <c r="B706" s="209">
        <f>Baseline!B78</f>
        <v>0</v>
      </c>
      <c r="C706" s="51">
        <f>Baseline!F78</f>
        <v>0</v>
      </c>
      <c r="D706" s="134">
        <f>_xlfn.IFNA(IF(Baseline!C78="Nieuwe situatie",(Baseline!Q78/(VLOOKUP(Baseline!U78,Database_Asfalt_Aanlegset[#All],60,FALSE)/8)),0),0)</f>
        <v>0</v>
      </c>
      <c r="E706" s="135">
        <f>IFERROR(IF(Baseline!C78="Nieuwe situatie",Baseline!I78/Baseline!X78,0),0)</f>
        <v>0</v>
      </c>
      <c r="F706" s="138">
        <f>_xlfn.IFNA(IF(Baseline!C78="Bestaande situatie",Baseline!Q78/(VLOOKUP(Baseline!Y78,Database_Asfalt_Verwijderset[#All],60,FALSE)/8),0),0)</f>
        <v>0</v>
      </c>
      <c r="G706" s="138">
        <f>IFERROR(IF(Baseline!C78="Bestaande situatie",Baseline!I78/Baseline!AB78,0),0)</f>
        <v>0</v>
      </c>
      <c r="H706" s="138" t="str">
        <f>_xlfn.IFNA((VLOOKUP(Baseline!U78,Database_Asfalt_Aanlegset[],61,FALSE)),"Nee")</f>
        <v>Nee</v>
      </c>
      <c r="I706" s="138" t="str">
        <f>_xlfn.IFNA((VLOOKUP(Baseline!V78,Database_Brandstoffen[],60,FALSE)),"Nee")</f>
        <v>Nee</v>
      </c>
      <c r="J706" s="94" t="str">
        <f>_xlfn.IFNA((VLOOKUP(Baseline!Y78,Database_Asfalt_Verwijderset[],61,FALSE)),"Nee")</f>
        <v>Nee</v>
      </c>
      <c r="K706" s="94" t="str">
        <f>_xlfn.IFNA((VLOOKUP(Baseline!Z78,Database_Brandstoffen[],60,FALSE)),"Nee")</f>
        <v>Nee</v>
      </c>
      <c r="L706" s="124">
        <f>IF(Referentie_Bouwplaats_Totaal[[#This Row],[Emissieloos Asfalt Aanlegset]]="JA",Referentie_Bouwplaats_Totaal[[#This Row],[Draaiuren Bouw Asfalt]],0)+IF(Referentie_Bouwplaats_Totaal[[#This Row],[Emissieloos Bouwmaterieel]]="JA",Referentie_Bouwplaats_Totaal[[#This Row],[Draaiuren Bouw Overig]],0)+IF(Referentie_Bouwplaats_Totaal[[#This Row],[Emissieloos Asfalt Verwijderset]]="JA",Referentie_Bouwplaats_Totaal[[#This Row],[Draaiuren Verwijder Asfalt]],0)+IF(Referentie_Bouwplaats_Totaal[[#This Row],[Emissieloos Sloopmaterieel]]="JA",Referentie_Bouwplaats_Totaal[[#This Row],[Draaiuren Verwijder Overig]],0)</f>
        <v>0</v>
      </c>
      <c r="M706" s="124">
        <f>_xlfn.IFNA(IF(Baseline!C78="Nieuwe situatie",(Baseline!Q78/(VLOOKUP(Baseline!U78,Database_Asfalt_Aanlegset[#All],60,FALSE)/8)),0),0)*Baseline!R78</f>
        <v>0</v>
      </c>
      <c r="N706" s="124">
        <f>_xlfn.IFNA(IF(Baseline!C78="Nieuwe situatie",Baseline!O78/VLOOKUP(Baseline!V78,Database_Overig_Materieel[#All],8,FALSE),0),0)*Baseline!R78</f>
        <v>0</v>
      </c>
      <c r="O706" s="132">
        <f>_xlfn.IFNA(IF(Baseline!C78="Bestaande situatie",Baseline!Q78/(VLOOKUP(Baseline!Y78,Database_Asfalt_Verwijderset[#All],60,FALSE)/8),0),0)*Baseline!R78</f>
        <v>0</v>
      </c>
      <c r="P706" s="132">
        <f>_xlfn.IFNA(IF(Baseline!C78="Bestaande situatie",Baseline!O78/VLOOKUP(Baseline!Z78,Database_Overig_Materieel[#All],8,FALSE),0),0)*Baseline!R78</f>
        <v>0</v>
      </c>
      <c r="Q706" s="132">
        <f>IF(Referentie_Bouwplaats_Totaal[[#This Row],[Emissieloos Asfalt Aanlegset]]="JA",Referentie_Bouwplaats_Totaal[[#This Row],[Draaiuren Bouw Asfalt Vervangingen]],0)+IF(Referentie_Bouwplaats_Totaal[[#This Row],[Emissieloos Bouwmaterieel]]="JA",Referentie_Bouwplaats_Totaal[[#This Row],[Draaiuren Bouw Overig Vervangingen]],0)+IF(Referentie_Bouwplaats_Totaal[[#This Row],[Emissieloos Asfalt Verwijderset]]="JA",Referentie_Bouwplaats_Totaal[[#This Row],[Draaiuren Verwijder Asfalt Vervangingen]],0)+IF(Referentie_Bouwplaats_Totaal[[#This Row],[Emissieloos Sloopmaterieel]]="JA",Referentie_Bouwplaats_Totaal[[#This Row],[Draaiuren Verwijder Overig Vervangingen]],0)</f>
        <v>0</v>
      </c>
      <c r="R706" s="132">
        <f>Referentie_Bouwplaats_Totaal[[#This Row],[Emissieloos bouwplaats]]+Referentie_Bouwplaats_Totaal[[#This Row],[Emissieloos bouwplaats Vervangingen]]</f>
        <v>0</v>
      </c>
      <c r="S706" s="132">
        <f>(Referentie_Bouwplaats_Totaal[[#This Row],[Draaiuren Bouw Asfalt]]+Referentie_Bouwplaats_Totaal[[#This Row],[Draaiuren Bouw Overig]]+Referentie_Bouwplaats_Totaal[[#This Row],[Draaiuren Verwijder Asfalt]]+Referentie_Bouwplaats_Totaal[[#This Row],[Draaiuren Verwijder Overig]]+Referentie_Bouwplaats_Totaal[[#This Row],[Draaiuren Bouw Asfalt Vervangingen]]+Referentie_Bouwplaats_Totaal[[#This Row],[Draaiuren Bouw Overig Vervangingen]]+Referentie_Bouwplaats_Totaal[[#This Row],[Draaiuren Verwijder Asfalt Vervangingen]]+Referentie_Bouwplaats_Totaal[[#This Row],[Draaiuren Verwijder Overig Vervangingen]]-Referentie_Bouwplaats_Totaal[[#This Row],[Totaal Emissieloos Bouwplaats]])</f>
        <v>0</v>
      </c>
      <c r="T706" s="132">
        <f>Referentie_Bouwplaats_Totaal[[#This Row],[Totaal Emissieloos Bouwplaats]]+Referentie_Bouwplaats_Totaal[[#This Row],[Totaal Niet Emissieloos Bouwplaats]]</f>
        <v>0</v>
      </c>
      <c r="U706" s="132"/>
      <c r="V706" s="13"/>
      <c r="W706" s="13"/>
      <c r="X706" s="13"/>
      <c r="Y706" s="13"/>
      <c r="Z706" s="13"/>
      <c r="AA706" s="13"/>
      <c r="AB706" s="13"/>
      <c r="AC706" s="13"/>
    </row>
    <row r="707" spans="2:29">
      <c r="B707" s="209">
        <f>Baseline!B79</f>
        <v>0</v>
      </c>
      <c r="C707" s="51">
        <f>Baseline!F79</f>
        <v>0</v>
      </c>
      <c r="D707" s="134">
        <f>_xlfn.IFNA(IF(Baseline!C79="Nieuwe situatie",(Baseline!Q79/(VLOOKUP(Baseline!U79,Database_Asfalt_Aanlegset[#All],60,FALSE)/8)),0),0)</f>
        <v>0</v>
      </c>
      <c r="E707" s="135">
        <f>IFERROR(IF(Baseline!C79="Nieuwe situatie",Baseline!I79/Baseline!X79,0),0)</f>
        <v>0</v>
      </c>
      <c r="F707" s="138">
        <f>_xlfn.IFNA(IF(Baseline!C79="Bestaande situatie",Baseline!Q79/(VLOOKUP(Baseline!Y79,Database_Asfalt_Verwijderset[#All],60,FALSE)/8),0),0)</f>
        <v>0</v>
      </c>
      <c r="G707" s="138">
        <f>IFERROR(IF(Baseline!C79="Bestaande situatie",Baseline!I79/Baseline!AB79,0),0)</f>
        <v>0</v>
      </c>
      <c r="H707" s="138" t="str">
        <f>_xlfn.IFNA((VLOOKUP(Baseline!U79,Database_Asfalt_Aanlegset[],61,FALSE)),"Nee")</f>
        <v>Nee</v>
      </c>
      <c r="I707" s="138" t="str">
        <f>_xlfn.IFNA((VLOOKUP(Baseline!V79,Database_Brandstoffen[],60,FALSE)),"Nee")</f>
        <v>Nee</v>
      </c>
      <c r="J707" s="94" t="str">
        <f>_xlfn.IFNA((VLOOKUP(Baseline!Y79,Database_Asfalt_Verwijderset[],61,FALSE)),"Nee")</f>
        <v>Nee</v>
      </c>
      <c r="K707" s="94" t="str">
        <f>_xlfn.IFNA((VLOOKUP(Baseline!Z79,Database_Brandstoffen[],60,FALSE)),"Nee")</f>
        <v>Nee</v>
      </c>
      <c r="L707" s="124">
        <f>IF(Referentie_Bouwplaats_Totaal[[#This Row],[Emissieloos Asfalt Aanlegset]]="JA",Referentie_Bouwplaats_Totaal[[#This Row],[Draaiuren Bouw Asfalt]],0)+IF(Referentie_Bouwplaats_Totaal[[#This Row],[Emissieloos Bouwmaterieel]]="JA",Referentie_Bouwplaats_Totaal[[#This Row],[Draaiuren Bouw Overig]],0)+IF(Referentie_Bouwplaats_Totaal[[#This Row],[Emissieloos Asfalt Verwijderset]]="JA",Referentie_Bouwplaats_Totaal[[#This Row],[Draaiuren Verwijder Asfalt]],0)+IF(Referentie_Bouwplaats_Totaal[[#This Row],[Emissieloos Sloopmaterieel]]="JA",Referentie_Bouwplaats_Totaal[[#This Row],[Draaiuren Verwijder Overig]],0)</f>
        <v>0</v>
      </c>
      <c r="M707" s="124">
        <f>_xlfn.IFNA(IF(Baseline!C79="Nieuwe situatie",(Baseline!Q79/(VLOOKUP(Baseline!U79,Database_Asfalt_Aanlegset[#All],60,FALSE)/8)),0),0)*Baseline!R79</f>
        <v>0</v>
      </c>
      <c r="N707" s="124">
        <f>_xlfn.IFNA(IF(Baseline!C79="Nieuwe situatie",Baseline!O79/VLOOKUP(Baseline!V79,Database_Overig_Materieel[#All],8,FALSE),0),0)*Baseline!R79</f>
        <v>0</v>
      </c>
      <c r="O707" s="132">
        <f>_xlfn.IFNA(IF(Baseline!C79="Bestaande situatie",Baseline!Q79/(VLOOKUP(Baseline!Y79,Database_Asfalt_Verwijderset[#All],60,FALSE)/8),0),0)*Baseline!R79</f>
        <v>0</v>
      </c>
      <c r="P707" s="132">
        <f>_xlfn.IFNA(IF(Baseline!C79="Bestaande situatie",Baseline!O79/VLOOKUP(Baseline!Z79,Database_Overig_Materieel[#All],8,FALSE),0),0)*Baseline!R79</f>
        <v>0</v>
      </c>
      <c r="Q707" s="132">
        <f>IF(Referentie_Bouwplaats_Totaal[[#This Row],[Emissieloos Asfalt Aanlegset]]="JA",Referentie_Bouwplaats_Totaal[[#This Row],[Draaiuren Bouw Asfalt Vervangingen]],0)+IF(Referentie_Bouwplaats_Totaal[[#This Row],[Emissieloos Bouwmaterieel]]="JA",Referentie_Bouwplaats_Totaal[[#This Row],[Draaiuren Bouw Overig Vervangingen]],0)+IF(Referentie_Bouwplaats_Totaal[[#This Row],[Emissieloos Asfalt Verwijderset]]="JA",Referentie_Bouwplaats_Totaal[[#This Row],[Draaiuren Verwijder Asfalt Vervangingen]],0)+IF(Referentie_Bouwplaats_Totaal[[#This Row],[Emissieloos Sloopmaterieel]]="JA",Referentie_Bouwplaats_Totaal[[#This Row],[Draaiuren Verwijder Overig Vervangingen]],0)</f>
        <v>0</v>
      </c>
      <c r="R707" s="132">
        <f>Referentie_Bouwplaats_Totaal[[#This Row],[Emissieloos bouwplaats]]+Referentie_Bouwplaats_Totaal[[#This Row],[Emissieloos bouwplaats Vervangingen]]</f>
        <v>0</v>
      </c>
      <c r="S707" s="132">
        <f>(Referentie_Bouwplaats_Totaal[[#This Row],[Draaiuren Bouw Asfalt]]+Referentie_Bouwplaats_Totaal[[#This Row],[Draaiuren Bouw Overig]]+Referentie_Bouwplaats_Totaal[[#This Row],[Draaiuren Verwijder Asfalt]]+Referentie_Bouwplaats_Totaal[[#This Row],[Draaiuren Verwijder Overig]]+Referentie_Bouwplaats_Totaal[[#This Row],[Draaiuren Bouw Asfalt Vervangingen]]+Referentie_Bouwplaats_Totaal[[#This Row],[Draaiuren Bouw Overig Vervangingen]]+Referentie_Bouwplaats_Totaal[[#This Row],[Draaiuren Verwijder Asfalt Vervangingen]]+Referentie_Bouwplaats_Totaal[[#This Row],[Draaiuren Verwijder Overig Vervangingen]]-Referentie_Bouwplaats_Totaal[[#This Row],[Totaal Emissieloos Bouwplaats]])</f>
        <v>0</v>
      </c>
      <c r="T707" s="132">
        <f>Referentie_Bouwplaats_Totaal[[#This Row],[Totaal Emissieloos Bouwplaats]]+Referentie_Bouwplaats_Totaal[[#This Row],[Totaal Niet Emissieloos Bouwplaats]]</f>
        <v>0</v>
      </c>
      <c r="U707" s="132"/>
      <c r="V707" s="13"/>
      <c r="W707" s="13"/>
      <c r="X707" s="13"/>
      <c r="Y707" s="13"/>
      <c r="Z707" s="13"/>
      <c r="AA707" s="13"/>
      <c r="AB707" s="13"/>
      <c r="AC707" s="13"/>
    </row>
    <row r="708" spans="2:29">
      <c r="B708" s="209">
        <f>Baseline!B80</f>
        <v>0</v>
      </c>
      <c r="C708" s="51">
        <f>Baseline!F80</f>
        <v>0</v>
      </c>
      <c r="D708" s="134">
        <f>_xlfn.IFNA(IF(Baseline!C80="Nieuwe situatie",(Baseline!Q80/(VLOOKUP(Baseline!U80,Database_Asfalt_Aanlegset[#All],60,FALSE)/8)),0),0)</f>
        <v>0</v>
      </c>
      <c r="E708" s="135">
        <f>IFERROR(IF(Baseline!C80="Nieuwe situatie",Baseline!I80/Baseline!X80,0),0)</f>
        <v>0</v>
      </c>
      <c r="F708" s="138">
        <f>_xlfn.IFNA(IF(Baseline!C80="Bestaande situatie",Baseline!Q80/(VLOOKUP(Baseline!Y80,Database_Asfalt_Verwijderset[#All],60,FALSE)/8),0),0)</f>
        <v>0</v>
      </c>
      <c r="G708" s="138">
        <f>IFERROR(IF(Baseline!C80="Bestaande situatie",Baseline!I80/Baseline!AB80,0),0)</f>
        <v>0</v>
      </c>
      <c r="H708" s="138" t="str">
        <f>_xlfn.IFNA((VLOOKUP(Baseline!U80,Database_Asfalt_Aanlegset[],61,FALSE)),"Nee")</f>
        <v>Nee</v>
      </c>
      <c r="I708" s="138" t="str">
        <f>_xlfn.IFNA((VLOOKUP(Baseline!V80,Database_Brandstoffen[],60,FALSE)),"Nee")</f>
        <v>Nee</v>
      </c>
      <c r="J708" s="94" t="str">
        <f>_xlfn.IFNA((VLOOKUP(Baseline!Y80,Database_Asfalt_Verwijderset[],61,FALSE)),"Nee")</f>
        <v>Nee</v>
      </c>
      <c r="K708" s="94" t="str">
        <f>_xlfn.IFNA((VLOOKUP(Baseline!Z80,Database_Brandstoffen[],60,FALSE)),"Nee")</f>
        <v>Nee</v>
      </c>
      <c r="L708" s="124">
        <f>IF(Referentie_Bouwplaats_Totaal[[#This Row],[Emissieloos Asfalt Aanlegset]]="JA",Referentie_Bouwplaats_Totaal[[#This Row],[Draaiuren Bouw Asfalt]],0)+IF(Referentie_Bouwplaats_Totaal[[#This Row],[Emissieloos Bouwmaterieel]]="JA",Referentie_Bouwplaats_Totaal[[#This Row],[Draaiuren Bouw Overig]],0)+IF(Referentie_Bouwplaats_Totaal[[#This Row],[Emissieloos Asfalt Verwijderset]]="JA",Referentie_Bouwplaats_Totaal[[#This Row],[Draaiuren Verwijder Asfalt]],0)+IF(Referentie_Bouwplaats_Totaal[[#This Row],[Emissieloos Sloopmaterieel]]="JA",Referentie_Bouwplaats_Totaal[[#This Row],[Draaiuren Verwijder Overig]],0)</f>
        <v>0</v>
      </c>
      <c r="M708" s="124">
        <f>_xlfn.IFNA(IF(Baseline!C80="Nieuwe situatie",(Baseline!Q80/(VLOOKUP(Baseline!U80,Database_Asfalt_Aanlegset[#All],60,FALSE)/8)),0),0)*Baseline!R80</f>
        <v>0</v>
      </c>
      <c r="N708" s="124">
        <f>_xlfn.IFNA(IF(Baseline!C80="Nieuwe situatie",Baseline!O80/VLOOKUP(Baseline!V80,Database_Overig_Materieel[#All],8,FALSE),0),0)*Baseline!R80</f>
        <v>0</v>
      </c>
      <c r="O708" s="132">
        <f>_xlfn.IFNA(IF(Baseline!C80="Bestaande situatie",Baseline!Q80/(VLOOKUP(Baseline!Y80,Database_Asfalt_Verwijderset[#All],60,FALSE)/8),0),0)*Baseline!R80</f>
        <v>0</v>
      </c>
      <c r="P708" s="132">
        <f>_xlfn.IFNA(IF(Baseline!C80="Bestaande situatie",Baseline!O80/VLOOKUP(Baseline!Z80,Database_Overig_Materieel[#All],8,FALSE),0),0)*Baseline!R80</f>
        <v>0</v>
      </c>
      <c r="Q708" s="132">
        <f>IF(Referentie_Bouwplaats_Totaal[[#This Row],[Emissieloos Asfalt Aanlegset]]="JA",Referentie_Bouwplaats_Totaal[[#This Row],[Draaiuren Bouw Asfalt Vervangingen]],0)+IF(Referentie_Bouwplaats_Totaal[[#This Row],[Emissieloos Bouwmaterieel]]="JA",Referentie_Bouwplaats_Totaal[[#This Row],[Draaiuren Bouw Overig Vervangingen]],0)+IF(Referentie_Bouwplaats_Totaal[[#This Row],[Emissieloos Asfalt Verwijderset]]="JA",Referentie_Bouwplaats_Totaal[[#This Row],[Draaiuren Verwijder Asfalt Vervangingen]],0)+IF(Referentie_Bouwplaats_Totaal[[#This Row],[Emissieloos Sloopmaterieel]]="JA",Referentie_Bouwplaats_Totaal[[#This Row],[Draaiuren Verwijder Overig Vervangingen]],0)</f>
        <v>0</v>
      </c>
      <c r="R708" s="132">
        <f>Referentie_Bouwplaats_Totaal[[#This Row],[Emissieloos bouwplaats]]+Referentie_Bouwplaats_Totaal[[#This Row],[Emissieloos bouwplaats Vervangingen]]</f>
        <v>0</v>
      </c>
      <c r="S708" s="132">
        <f>(Referentie_Bouwplaats_Totaal[[#This Row],[Draaiuren Bouw Asfalt]]+Referentie_Bouwplaats_Totaal[[#This Row],[Draaiuren Bouw Overig]]+Referentie_Bouwplaats_Totaal[[#This Row],[Draaiuren Verwijder Asfalt]]+Referentie_Bouwplaats_Totaal[[#This Row],[Draaiuren Verwijder Overig]]+Referentie_Bouwplaats_Totaal[[#This Row],[Draaiuren Bouw Asfalt Vervangingen]]+Referentie_Bouwplaats_Totaal[[#This Row],[Draaiuren Bouw Overig Vervangingen]]+Referentie_Bouwplaats_Totaal[[#This Row],[Draaiuren Verwijder Asfalt Vervangingen]]+Referentie_Bouwplaats_Totaal[[#This Row],[Draaiuren Verwijder Overig Vervangingen]]-Referentie_Bouwplaats_Totaal[[#This Row],[Totaal Emissieloos Bouwplaats]])</f>
        <v>0</v>
      </c>
      <c r="T708" s="132">
        <f>Referentie_Bouwplaats_Totaal[[#This Row],[Totaal Emissieloos Bouwplaats]]+Referentie_Bouwplaats_Totaal[[#This Row],[Totaal Niet Emissieloos Bouwplaats]]</f>
        <v>0</v>
      </c>
      <c r="U708" s="132"/>
      <c r="V708" s="13"/>
      <c r="W708" s="13"/>
      <c r="X708" s="13"/>
      <c r="Y708" s="13"/>
      <c r="Z708" s="13"/>
      <c r="AA708" s="13"/>
      <c r="AB708" s="13"/>
      <c r="AC708" s="13"/>
    </row>
    <row r="709" spans="2:29">
      <c r="B709" s="209">
        <f>Baseline!B81</f>
        <v>0</v>
      </c>
      <c r="C709" s="51">
        <f>Baseline!F81</f>
        <v>0</v>
      </c>
      <c r="D709" s="134">
        <f>_xlfn.IFNA(IF(Baseline!C81="Nieuwe situatie",(Baseline!Q81/(VLOOKUP(Baseline!U81,Database_Asfalt_Aanlegset[#All],60,FALSE)/8)),0),0)</f>
        <v>0</v>
      </c>
      <c r="E709" s="135">
        <f>IFERROR(IF(Baseline!C81="Nieuwe situatie",Baseline!I81/Baseline!X81,0),0)</f>
        <v>0</v>
      </c>
      <c r="F709" s="138">
        <f>_xlfn.IFNA(IF(Baseline!C81="Bestaande situatie",Baseline!Q81/(VLOOKUP(Baseline!Y81,Database_Asfalt_Verwijderset[#All],60,FALSE)/8),0),0)</f>
        <v>0</v>
      </c>
      <c r="G709" s="138">
        <f>IFERROR(IF(Baseline!C81="Bestaande situatie",Baseline!I81/Baseline!AB81,0),0)</f>
        <v>0</v>
      </c>
      <c r="H709" s="138" t="str">
        <f>_xlfn.IFNA((VLOOKUP(Baseline!U81,Database_Asfalt_Aanlegset[],61,FALSE)),"Nee")</f>
        <v>Nee</v>
      </c>
      <c r="I709" s="138" t="str">
        <f>_xlfn.IFNA((VLOOKUP(Baseline!V81,Database_Brandstoffen[],60,FALSE)),"Nee")</f>
        <v>Nee</v>
      </c>
      <c r="J709" s="94" t="str">
        <f>_xlfn.IFNA((VLOOKUP(Baseline!Y81,Database_Asfalt_Verwijderset[],61,FALSE)),"Nee")</f>
        <v>Nee</v>
      </c>
      <c r="K709" s="94" t="str">
        <f>_xlfn.IFNA((VLOOKUP(Baseline!Z81,Database_Brandstoffen[],60,FALSE)),"Nee")</f>
        <v>Nee</v>
      </c>
      <c r="L709" s="124">
        <f>IF(Referentie_Bouwplaats_Totaal[[#This Row],[Emissieloos Asfalt Aanlegset]]="JA",Referentie_Bouwplaats_Totaal[[#This Row],[Draaiuren Bouw Asfalt]],0)+IF(Referentie_Bouwplaats_Totaal[[#This Row],[Emissieloos Bouwmaterieel]]="JA",Referentie_Bouwplaats_Totaal[[#This Row],[Draaiuren Bouw Overig]],0)+IF(Referentie_Bouwplaats_Totaal[[#This Row],[Emissieloos Asfalt Verwijderset]]="JA",Referentie_Bouwplaats_Totaal[[#This Row],[Draaiuren Verwijder Asfalt]],0)+IF(Referentie_Bouwplaats_Totaal[[#This Row],[Emissieloos Sloopmaterieel]]="JA",Referentie_Bouwplaats_Totaal[[#This Row],[Draaiuren Verwijder Overig]],0)</f>
        <v>0</v>
      </c>
      <c r="M709" s="124">
        <f>_xlfn.IFNA(IF(Baseline!C81="Nieuwe situatie",(Baseline!Q81/(VLOOKUP(Baseline!U81,Database_Asfalt_Aanlegset[#All],60,FALSE)/8)),0),0)*Baseline!R81</f>
        <v>0</v>
      </c>
      <c r="N709" s="124">
        <f>_xlfn.IFNA(IF(Baseline!C81="Nieuwe situatie",Baseline!O81/VLOOKUP(Baseline!V81,Database_Overig_Materieel[#All],8,FALSE),0),0)*Baseline!R81</f>
        <v>0</v>
      </c>
      <c r="O709" s="132">
        <f>_xlfn.IFNA(IF(Baseline!C81="Bestaande situatie",Baseline!Q81/(VLOOKUP(Baseline!Y81,Database_Asfalt_Verwijderset[#All],60,FALSE)/8),0),0)*Baseline!R81</f>
        <v>0</v>
      </c>
      <c r="P709" s="132">
        <f>_xlfn.IFNA(IF(Baseline!C81="Bestaande situatie",Baseline!O81/VLOOKUP(Baseline!Z81,Database_Overig_Materieel[#All],8,FALSE),0),0)*Baseline!R81</f>
        <v>0</v>
      </c>
      <c r="Q709" s="132">
        <f>IF(Referentie_Bouwplaats_Totaal[[#This Row],[Emissieloos Asfalt Aanlegset]]="JA",Referentie_Bouwplaats_Totaal[[#This Row],[Draaiuren Bouw Asfalt Vervangingen]],0)+IF(Referentie_Bouwplaats_Totaal[[#This Row],[Emissieloos Bouwmaterieel]]="JA",Referentie_Bouwplaats_Totaal[[#This Row],[Draaiuren Bouw Overig Vervangingen]],0)+IF(Referentie_Bouwplaats_Totaal[[#This Row],[Emissieloos Asfalt Verwijderset]]="JA",Referentie_Bouwplaats_Totaal[[#This Row],[Draaiuren Verwijder Asfalt Vervangingen]],0)+IF(Referentie_Bouwplaats_Totaal[[#This Row],[Emissieloos Sloopmaterieel]]="JA",Referentie_Bouwplaats_Totaal[[#This Row],[Draaiuren Verwijder Overig Vervangingen]],0)</f>
        <v>0</v>
      </c>
      <c r="R709" s="132">
        <f>Referentie_Bouwplaats_Totaal[[#This Row],[Emissieloos bouwplaats]]+Referentie_Bouwplaats_Totaal[[#This Row],[Emissieloos bouwplaats Vervangingen]]</f>
        <v>0</v>
      </c>
      <c r="S709" s="132">
        <f>(Referentie_Bouwplaats_Totaal[[#This Row],[Draaiuren Bouw Asfalt]]+Referentie_Bouwplaats_Totaal[[#This Row],[Draaiuren Bouw Overig]]+Referentie_Bouwplaats_Totaal[[#This Row],[Draaiuren Verwijder Asfalt]]+Referentie_Bouwplaats_Totaal[[#This Row],[Draaiuren Verwijder Overig]]+Referentie_Bouwplaats_Totaal[[#This Row],[Draaiuren Bouw Asfalt Vervangingen]]+Referentie_Bouwplaats_Totaal[[#This Row],[Draaiuren Bouw Overig Vervangingen]]+Referentie_Bouwplaats_Totaal[[#This Row],[Draaiuren Verwijder Asfalt Vervangingen]]+Referentie_Bouwplaats_Totaal[[#This Row],[Draaiuren Verwijder Overig Vervangingen]]-Referentie_Bouwplaats_Totaal[[#This Row],[Totaal Emissieloos Bouwplaats]])</f>
        <v>0</v>
      </c>
      <c r="T709" s="132">
        <f>Referentie_Bouwplaats_Totaal[[#This Row],[Totaal Emissieloos Bouwplaats]]+Referentie_Bouwplaats_Totaal[[#This Row],[Totaal Niet Emissieloos Bouwplaats]]</f>
        <v>0</v>
      </c>
      <c r="U709" s="132"/>
      <c r="V709" s="13"/>
      <c r="W709" s="13"/>
      <c r="X709" s="13"/>
      <c r="Y709" s="13"/>
      <c r="Z709" s="13"/>
      <c r="AA709" s="13"/>
      <c r="AB709" s="13"/>
      <c r="AC709" s="13"/>
    </row>
    <row r="710" spans="2:29">
      <c r="B710" s="209">
        <f>Baseline!B82</f>
        <v>0</v>
      </c>
      <c r="C710" s="51">
        <f>Baseline!F82</f>
        <v>0</v>
      </c>
      <c r="D710" s="134">
        <f>_xlfn.IFNA(IF(Baseline!C82="Nieuwe situatie",(Baseline!Q82/(VLOOKUP(Baseline!U82,Database_Asfalt_Aanlegset[#All],60,FALSE)/8)),0),0)</f>
        <v>0</v>
      </c>
      <c r="E710" s="135">
        <f>IFERROR(IF(Baseline!C82="Nieuwe situatie",Baseline!I82/Baseline!X82,0),0)</f>
        <v>0</v>
      </c>
      <c r="F710" s="138">
        <f>_xlfn.IFNA(IF(Baseline!C82="Bestaande situatie",Baseline!Q82/(VLOOKUP(Baseline!Y82,Database_Asfalt_Verwijderset[#All],60,FALSE)/8),0),0)</f>
        <v>0</v>
      </c>
      <c r="G710" s="138">
        <f>IFERROR(IF(Baseline!C82="Bestaande situatie",Baseline!I82/Baseline!AB82,0),0)</f>
        <v>0</v>
      </c>
      <c r="H710" s="138" t="str">
        <f>_xlfn.IFNA((VLOOKUP(Baseline!U82,Database_Asfalt_Aanlegset[],61,FALSE)),"Nee")</f>
        <v>Nee</v>
      </c>
      <c r="I710" s="138" t="str">
        <f>_xlfn.IFNA((VLOOKUP(Baseline!V82,Database_Brandstoffen[],60,FALSE)),"Nee")</f>
        <v>Nee</v>
      </c>
      <c r="J710" s="94" t="str">
        <f>_xlfn.IFNA((VLOOKUP(Baseline!Y82,Database_Asfalt_Verwijderset[],61,FALSE)),"Nee")</f>
        <v>Nee</v>
      </c>
      <c r="K710" s="94" t="str">
        <f>_xlfn.IFNA((VLOOKUP(Baseline!Z82,Database_Brandstoffen[],60,FALSE)),"Nee")</f>
        <v>Nee</v>
      </c>
      <c r="L710" s="124">
        <f>IF(Referentie_Bouwplaats_Totaal[[#This Row],[Emissieloos Asfalt Aanlegset]]="JA",Referentie_Bouwplaats_Totaal[[#This Row],[Draaiuren Bouw Asfalt]],0)+IF(Referentie_Bouwplaats_Totaal[[#This Row],[Emissieloos Bouwmaterieel]]="JA",Referentie_Bouwplaats_Totaal[[#This Row],[Draaiuren Bouw Overig]],0)+IF(Referentie_Bouwplaats_Totaal[[#This Row],[Emissieloos Asfalt Verwijderset]]="JA",Referentie_Bouwplaats_Totaal[[#This Row],[Draaiuren Verwijder Asfalt]],0)+IF(Referentie_Bouwplaats_Totaal[[#This Row],[Emissieloos Sloopmaterieel]]="JA",Referentie_Bouwplaats_Totaal[[#This Row],[Draaiuren Verwijder Overig]],0)</f>
        <v>0</v>
      </c>
      <c r="M710" s="124">
        <f>_xlfn.IFNA(IF(Baseline!C82="Nieuwe situatie",(Baseline!Q82/(VLOOKUP(Baseline!U82,Database_Asfalt_Aanlegset[#All],60,FALSE)/8)),0),0)*Baseline!R82</f>
        <v>0</v>
      </c>
      <c r="N710" s="124">
        <f>_xlfn.IFNA(IF(Baseline!C82="Nieuwe situatie",Baseline!O82/VLOOKUP(Baseline!V82,Database_Overig_Materieel[#All],8,FALSE),0),0)*Baseline!R82</f>
        <v>0</v>
      </c>
      <c r="O710" s="132">
        <f>_xlfn.IFNA(IF(Baseline!C82="Bestaande situatie",Baseline!Q82/(VLOOKUP(Baseline!Y82,Database_Asfalt_Verwijderset[#All],60,FALSE)/8),0),0)*Baseline!R82</f>
        <v>0</v>
      </c>
      <c r="P710" s="132">
        <f>_xlfn.IFNA(IF(Baseline!C82="Bestaande situatie",Baseline!O82/VLOOKUP(Baseline!Z82,Database_Overig_Materieel[#All],8,FALSE),0),0)*Baseline!R82</f>
        <v>0</v>
      </c>
      <c r="Q710" s="132">
        <f>IF(Referentie_Bouwplaats_Totaal[[#This Row],[Emissieloos Asfalt Aanlegset]]="JA",Referentie_Bouwplaats_Totaal[[#This Row],[Draaiuren Bouw Asfalt Vervangingen]],0)+IF(Referentie_Bouwplaats_Totaal[[#This Row],[Emissieloos Bouwmaterieel]]="JA",Referentie_Bouwplaats_Totaal[[#This Row],[Draaiuren Bouw Overig Vervangingen]],0)+IF(Referentie_Bouwplaats_Totaal[[#This Row],[Emissieloos Asfalt Verwijderset]]="JA",Referentie_Bouwplaats_Totaal[[#This Row],[Draaiuren Verwijder Asfalt Vervangingen]],0)+IF(Referentie_Bouwplaats_Totaal[[#This Row],[Emissieloos Sloopmaterieel]]="JA",Referentie_Bouwplaats_Totaal[[#This Row],[Draaiuren Verwijder Overig Vervangingen]],0)</f>
        <v>0</v>
      </c>
      <c r="R710" s="132">
        <f>Referentie_Bouwplaats_Totaal[[#This Row],[Emissieloos bouwplaats]]+Referentie_Bouwplaats_Totaal[[#This Row],[Emissieloos bouwplaats Vervangingen]]</f>
        <v>0</v>
      </c>
      <c r="S710" s="132">
        <f>(Referentie_Bouwplaats_Totaal[[#This Row],[Draaiuren Bouw Asfalt]]+Referentie_Bouwplaats_Totaal[[#This Row],[Draaiuren Bouw Overig]]+Referentie_Bouwplaats_Totaal[[#This Row],[Draaiuren Verwijder Asfalt]]+Referentie_Bouwplaats_Totaal[[#This Row],[Draaiuren Verwijder Overig]]+Referentie_Bouwplaats_Totaal[[#This Row],[Draaiuren Bouw Asfalt Vervangingen]]+Referentie_Bouwplaats_Totaal[[#This Row],[Draaiuren Bouw Overig Vervangingen]]+Referentie_Bouwplaats_Totaal[[#This Row],[Draaiuren Verwijder Asfalt Vervangingen]]+Referentie_Bouwplaats_Totaal[[#This Row],[Draaiuren Verwijder Overig Vervangingen]]-Referentie_Bouwplaats_Totaal[[#This Row],[Totaal Emissieloos Bouwplaats]])</f>
        <v>0</v>
      </c>
      <c r="T710" s="132">
        <f>Referentie_Bouwplaats_Totaal[[#This Row],[Totaal Emissieloos Bouwplaats]]+Referentie_Bouwplaats_Totaal[[#This Row],[Totaal Niet Emissieloos Bouwplaats]]</f>
        <v>0</v>
      </c>
      <c r="U710" s="132"/>
      <c r="V710" s="13"/>
      <c r="W710" s="13"/>
      <c r="X710" s="13"/>
      <c r="Y710" s="13"/>
      <c r="Z710" s="13"/>
      <c r="AA710" s="13"/>
      <c r="AB710" s="13"/>
      <c r="AC710" s="13"/>
    </row>
    <row r="711" spans="2:29">
      <c r="B711" s="209">
        <f>Baseline!B83</f>
        <v>0</v>
      </c>
      <c r="C711" s="51">
        <f>Baseline!F83</f>
        <v>0</v>
      </c>
      <c r="D711" s="134">
        <f>_xlfn.IFNA(IF(Baseline!C83="Nieuwe situatie",(Baseline!Q83/(VLOOKUP(Baseline!U83,Database_Asfalt_Aanlegset[#All],60,FALSE)/8)),0),0)</f>
        <v>0</v>
      </c>
      <c r="E711" s="135">
        <f>IFERROR(IF(Baseline!C83="Nieuwe situatie",Baseline!I83/Baseline!X83,0),0)</f>
        <v>0</v>
      </c>
      <c r="F711" s="138">
        <f>_xlfn.IFNA(IF(Baseline!C83="Bestaande situatie",Baseline!Q83/(VLOOKUP(Baseline!Y83,Database_Asfalt_Verwijderset[#All],60,FALSE)/8),0),0)</f>
        <v>0</v>
      </c>
      <c r="G711" s="138">
        <f>IFERROR(IF(Baseline!C83="Bestaande situatie",Baseline!I83/Baseline!AB83,0),0)</f>
        <v>0</v>
      </c>
      <c r="H711" s="138" t="str">
        <f>_xlfn.IFNA((VLOOKUP(Baseline!U83,Database_Asfalt_Aanlegset[],61,FALSE)),"Nee")</f>
        <v>Nee</v>
      </c>
      <c r="I711" s="138" t="str">
        <f>_xlfn.IFNA((VLOOKUP(Baseline!V83,Database_Brandstoffen[],60,FALSE)),"Nee")</f>
        <v>Nee</v>
      </c>
      <c r="J711" s="94" t="str">
        <f>_xlfn.IFNA((VLOOKUP(Baseline!Y83,Database_Asfalt_Verwijderset[],61,FALSE)),"Nee")</f>
        <v>Nee</v>
      </c>
      <c r="K711" s="94" t="str">
        <f>_xlfn.IFNA((VLOOKUP(Baseline!Z83,Database_Brandstoffen[],60,FALSE)),"Nee")</f>
        <v>Nee</v>
      </c>
      <c r="L711" s="124">
        <f>IF(Referentie_Bouwplaats_Totaal[[#This Row],[Emissieloos Asfalt Aanlegset]]="JA",Referentie_Bouwplaats_Totaal[[#This Row],[Draaiuren Bouw Asfalt]],0)+IF(Referentie_Bouwplaats_Totaal[[#This Row],[Emissieloos Bouwmaterieel]]="JA",Referentie_Bouwplaats_Totaal[[#This Row],[Draaiuren Bouw Overig]],0)+IF(Referentie_Bouwplaats_Totaal[[#This Row],[Emissieloos Asfalt Verwijderset]]="JA",Referentie_Bouwplaats_Totaal[[#This Row],[Draaiuren Verwijder Asfalt]],0)+IF(Referentie_Bouwplaats_Totaal[[#This Row],[Emissieloos Sloopmaterieel]]="JA",Referentie_Bouwplaats_Totaal[[#This Row],[Draaiuren Verwijder Overig]],0)</f>
        <v>0</v>
      </c>
      <c r="M711" s="124">
        <f>_xlfn.IFNA(IF(Baseline!C83="Nieuwe situatie",(Baseline!Q83/(VLOOKUP(Baseline!U83,Database_Asfalt_Aanlegset[#All],60,FALSE)/8)),0),0)*Baseline!R83</f>
        <v>0</v>
      </c>
      <c r="N711" s="124">
        <f>_xlfn.IFNA(IF(Baseline!C83="Nieuwe situatie",Baseline!O83/VLOOKUP(Baseline!V83,Database_Overig_Materieel[#All],8,FALSE),0),0)*Baseline!R83</f>
        <v>0</v>
      </c>
      <c r="O711" s="132">
        <f>_xlfn.IFNA(IF(Baseline!C83="Bestaande situatie",Baseline!Q83/(VLOOKUP(Baseline!Y83,Database_Asfalt_Verwijderset[#All],60,FALSE)/8),0),0)*Baseline!R83</f>
        <v>0</v>
      </c>
      <c r="P711" s="132">
        <f>_xlfn.IFNA(IF(Baseline!C83="Bestaande situatie",Baseline!O83/VLOOKUP(Baseline!Z83,Database_Overig_Materieel[#All],8,FALSE),0),0)*Baseline!R83</f>
        <v>0</v>
      </c>
      <c r="Q711" s="132">
        <f>IF(Referentie_Bouwplaats_Totaal[[#This Row],[Emissieloos Asfalt Aanlegset]]="JA",Referentie_Bouwplaats_Totaal[[#This Row],[Draaiuren Bouw Asfalt Vervangingen]],0)+IF(Referentie_Bouwplaats_Totaal[[#This Row],[Emissieloos Bouwmaterieel]]="JA",Referentie_Bouwplaats_Totaal[[#This Row],[Draaiuren Bouw Overig Vervangingen]],0)+IF(Referentie_Bouwplaats_Totaal[[#This Row],[Emissieloos Asfalt Verwijderset]]="JA",Referentie_Bouwplaats_Totaal[[#This Row],[Draaiuren Verwijder Asfalt Vervangingen]],0)+IF(Referentie_Bouwplaats_Totaal[[#This Row],[Emissieloos Sloopmaterieel]]="JA",Referentie_Bouwplaats_Totaal[[#This Row],[Draaiuren Verwijder Overig Vervangingen]],0)</f>
        <v>0</v>
      </c>
      <c r="R711" s="132">
        <f>Referentie_Bouwplaats_Totaal[[#This Row],[Emissieloos bouwplaats]]+Referentie_Bouwplaats_Totaal[[#This Row],[Emissieloos bouwplaats Vervangingen]]</f>
        <v>0</v>
      </c>
      <c r="S711" s="132">
        <f>(Referentie_Bouwplaats_Totaal[[#This Row],[Draaiuren Bouw Asfalt]]+Referentie_Bouwplaats_Totaal[[#This Row],[Draaiuren Bouw Overig]]+Referentie_Bouwplaats_Totaal[[#This Row],[Draaiuren Verwijder Asfalt]]+Referentie_Bouwplaats_Totaal[[#This Row],[Draaiuren Verwijder Overig]]+Referentie_Bouwplaats_Totaal[[#This Row],[Draaiuren Bouw Asfalt Vervangingen]]+Referentie_Bouwplaats_Totaal[[#This Row],[Draaiuren Bouw Overig Vervangingen]]+Referentie_Bouwplaats_Totaal[[#This Row],[Draaiuren Verwijder Asfalt Vervangingen]]+Referentie_Bouwplaats_Totaal[[#This Row],[Draaiuren Verwijder Overig Vervangingen]]-Referentie_Bouwplaats_Totaal[[#This Row],[Totaal Emissieloos Bouwplaats]])</f>
        <v>0</v>
      </c>
      <c r="T711" s="132">
        <f>Referentie_Bouwplaats_Totaal[[#This Row],[Totaal Emissieloos Bouwplaats]]+Referentie_Bouwplaats_Totaal[[#This Row],[Totaal Niet Emissieloos Bouwplaats]]</f>
        <v>0</v>
      </c>
      <c r="U711" s="132"/>
      <c r="V711" s="13"/>
      <c r="W711" s="13"/>
      <c r="X711" s="13"/>
      <c r="Y711" s="13"/>
      <c r="Z711" s="13"/>
      <c r="AA711" s="13"/>
      <c r="AB711" s="13"/>
      <c r="AC711" s="13"/>
    </row>
    <row r="712" spans="2:29">
      <c r="B712" s="209">
        <f>Baseline!B84</f>
        <v>0</v>
      </c>
      <c r="C712" s="51">
        <f>Baseline!F84</f>
        <v>0</v>
      </c>
      <c r="D712" s="134">
        <f>_xlfn.IFNA(IF(Baseline!C84="Nieuwe situatie",(Baseline!Q84/(VLOOKUP(Baseline!U84,Database_Asfalt_Aanlegset[#All],60,FALSE)/8)),0),0)</f>
        <v>0</v>
      </c>
      <c r="E712" s="135">
        <f>IFERROR(IF(Baseline!C84="Nieuwe situatie",Baseline!I84/Baseline!X84,0),0)</f>
        <v>0</v>
      </c>
      <c r="F712" s="138">
        <f>_xlfn.IFNA(IF(Baseline!C84="Bestaande situatie",Baseline!Q84/(VLOOKUP(Baseline!Y84,Database_Asfalt_Verwijderset[#All],60,FALSE)/8),0),0)</f>
        <v>0</v>
      </c>
      <c r="G712" s="138">
        <f>IFERROR(IF(Baseline!C84="Bestaande situatie",Baseline!I84/Baseline!AB84,0),0)</f>
        <v>0</v>
      </c>
      <c r="H712" s="138" t="str">
        <f>_xlfn.IFNA((VLOOKUP(Baseline!U84,Database_Asfalt_Aanlegset[],61,FALSE)),"Nee")</f>
        <v>Nee</v>
      </c>
      <c r="I712" s="138" t="str">
        <f>_xlfn.IFNA((VLOOKUP(Baseline!V84,Database_Brandstoffen[],60,FALSE)),"Nee")</f>
        <v>Nee</v>
      </c>
      <c r="J712" s="94" t="str">
        <f>_xlfn.IFNA((VLOOKUP(Baseline!Y84,Database_Asfalt_Verwijderset[],61,FALSE)),"Nee")</f>
        <v>Nee</v>
      </c>
      <c r="K712" s="94" t="str">
        <f>_xlfn.IFNA((VLOOKUP(Baseline!Z84,Database_Brandstoffen[],60,FALSE)),"Nee")</f>
        <v>Nee</v>
      </c>
      <c r="L712" s="124">
        <f>IF(Referentie_Bouwplaats_Totaal[[#This Row],[Emissieloos Asfalt Aanlegset]]="JA",Referentie_Bouwplaats_Totaal[[#This Row],[Draaiuren Bouw Asfalt]],0)+IF(Referentie_Bouwplaats_Totaal[[#This Row],[Emissieloos Bouwmaterieel]]="JA",Referentie_Bouwplaats_Totaal[[#This Row],[Draaiuren Bouw Overig]],0)+IF(Referentie_Bouwplaats_Totaal[[#This Row],[Emissieloos Asfalt Verwijderset]]="JA",Referentie_Bouwplaats_Totaal[[#This Row],[Draaiuren Verwijder Asfalt]],0)+IF(Referentie_Bouwplaats_Totaal[[#This Row],[Emissieloos Sloopmaterieel]]="JA",Referentie_Bouwplaats_Totaal[[#This Row],[Draaiuren Verwijder Overig]],0)</f>
        <v>0</v>
      </c>
      <c r="M712" s="124">
        <f>_xlfn.IFNA(IF(Baseline!C84="Nieuwe situatie",(Baseline!Q84/(VLOOKUP(Baseline!U84,Database_Asfalt_Aanlegset[#All],60,FALSE)/8)),0),0)*Baseline!R84</f>
        <v>0</v>
      </c>
      <c r="N712" s="124">
        <f>_xlfn.IFNA(IF(Baseline!C84="Nieuwe situatie",Baseline!O84/VLOOKUP(Baseline!V84,Database_Overig_Materieel[#All],8,FALSE),0),0)*Baseline!R84</f>
        <v>0</v>
      </c>
      <c r="O712" s="132">
        <f>_xlfn.IFNA(IF(Baseline!C84="Bestaande situatie",Baseline!Q84/(VLOOKUP(Baseline!Y84,Database_Asfalt_Verwijderset[#All],60,FALSE)/8),0),0)*Baseline!R84</f>
        <v>0</v>
      </c>
      <c r="P712" s="132">
        <f>_xlfn.IFNA(IF(Baseline!C84="Bestaande situatie",Baseline!O84/VLOOKUP(Baseline!Z84,Database_Overig_Materieel[#All],8,FALSE),0),0)*Baseline!R84</f>
        <v>0</v>
      </c>
      <c r="Q712" s="132">
        <f>IF(Referentie_Bouwplaats_Totaal[[#This Row],[Emissieloos Asfalt Aanlegset]]="JA",Referentie_Bouwplaats_Totaal[[#This Row],[Draaiuren Bouw Asfalt Vervangingen]],0)+IF(Referentie_Bouwplaats_Totaal[[#This Row],[Emissieloos Bouwmaterieel]]="JA",Referentie_Bouwplaats_Totaal[[#This Row],[Draaiuren Bouw Overig Vervangingen]],0)+IF(Referentie_Bouwplaats_Totaal[[#This Row],[Emissieloos Asfalt Verwijderset]]="JA",Referentie_Bouwplaats_Totaal[[#This Row],[Draaiuren Verwijder Asfalt Vervangingen]],0)+IF(Referentie_Bouwplaats_Totaal[[#This Row],[Emissieloos Sloopmaterieel]]="JA",Referentie_Bouwplaats_Totaal[[#This Row],[Draaiuren Verwijder Overig Vervangingen]],0)</f>
        <v>0</v>
      </c>
      <c r="R712" s="132">
        <f>Referentie_Bouwplaats_Totaal[[#This Row],[Emissieloos bouwplaats]]+Referentie_Bouwplaats_Totaal[[#This Row],[Emissieloos bouwplaats Vervangingen]]</f>
        <v>0</v>
      </c>
      <c r="S712" s="132">
        <f>(Referentie_Bouwplaats_Totaal[[#This Row],[Draaiuren Bouw Asfalt]]+Referentie_Bouwplaats_Totaal[[#This Row],[Draaiuren Bouw Overig]]+Referentie_Bouwplaats_Totaal[[#This Row],[Draaiuren Verwijder Asfalt]]+Referentie_Bouwplaats_Totaal[[#This Row],[Draaiuren Verwijder Overig]]+Referentie_Bouwplaats_Totaal[[#This Row],[Draaiuren Bouw Asfalt Vervangingen]]+Referentie_Bouwplaats_Totaal[[#This Row],[Draaiuren Bouw Overig Vervangingen]]+Referentie_Bouwplaats_Totaal[[#This Row],[Draaiuren Verwijder Asfalt Vervangingen]]+Referentie_Bouwplaats_Totaal[[#This Row],[Draaiuren Verwijder Overig Vervangingen]]-Referentie_Bouwplaats_Totaal[[#This Row],[Totaal Emissieloos Bouwplaats]])</f>
        <v>0</v>
      </c>
      <c r="T712" s="132">
        <f>Referentie_Bouwplaats_Totaal[[#This Row],[Totaal Emissieloos Bouwplaats]]+Referentie_Bouwplaats_Totaal[[#This Row],[Totaal Niet Emissieloos Bouwplaats]]</f>
        <v>0</v>
      </c>
      <c r="U712" s="132"/>
      <c r="V712" s="13"/>
      <c r="W712" s="13"/>
      <c r="X712" s="13"/>
      <c r="Y712" s="13"/>
      <c r="Z712" s="13"/>
      <c r="AA712" s="13"/>
      <c r="AB712" s="13"/>
      <c r="AC712" s="13"/>
    </row>
    <row r="713" spans="2:29">
      <c r="B713" s="209">
        <f>Baseline!B85</f>
        <v>0</v>
      </c>
      <c r="C713" s="51">
        <f>Baseline!F85</f>
        <v>0</v>
      </c>
      <c r="D713" s="134">
        <f>_xlfn.IFNA(IF(Baseline!C85="Nieuwe situatie",(Baseline!Q85/(VLOOKUP(Baseline!U85,Database_Asfalt_Aanlegset[#All],60,FALSE)/8)),0),0)</f>
        <v>0</v>
      </c>
      <c r="E713" s="135">
        <f>IFERROR(IF(Baseline!C85="Nieuwe situatie",Baseline!I85/Baseline!X85,0),0)</f>
        <v>0</v>
      </c>
      <c r="F713" s="138">
        <f>_xlfn.IFNA(IF(Baseline!C85="Bestaande situatie",Baseline!Q85/(VLOOKUP(Baseline!Y85,Database_Asfalt_Verwijderset[#All],60,FALSE)/8),0),0)</f>
        <v>0</v>
      </c>
      <c r="G713" s="138">
        <f>IFERROR(IF(Baseline!C85="Bestaande situatie",Baseline!I85/Baseline!AB85,0),0)</f>
        <v>0</v>
      </c>
      <c r="H713" s="138" t="str">
        <f>_xlfn.IFNA((VLOOKUP(Baseline!U85,Database_Asfalt_Aanlegset[],61,FALSE)),"Nee")</f>
        <v>Nee</v>
      </c>
      <c r="I713" s="138" t="str">
        <f>_xlfn.IFNA((VLOOKUP(Baseline!V85,Database_Brandstoffen[],60,FALSE)),"Nee")</f>
        <v>Nee</v>
      </c>
      <c r="J713" s="94" t="str">
        <f>_xlfn.IFNA((VLOOKUP(Baseline!Y85,Database_Asfalt_Verwijderset[],61,FALSE)),"Nee")</f>
        <v>Nee</v>
      </c>
      <c r="K713" s="94" t="str">
        <f>_xlfn.IFNA((VLOOKUP(Baseline!Z85,Database_Brandstoffen[],60,FALSE)),"Nee")</f>
        <v>Nee</v>
      </c>
      <c r="L713" s="124">
        <f>IF(Referentie_Bouwplaats_Totaal[[#This Row],[Emissieloos Asfalt Aanlegset]]="JA",Referentie_Bouwplaats_Totaal[[#This Row],[Draaiuren Bouw Asfalt]],0)+IF(Referentie_Bouwplaats_Totaal[[#This Row],[Emissieloos Bouwmaterieel]]="JA",Referentie_Bouwplaats_Totaal[[#This Row],[Draaiuren Bouw Overig]],0)+IF(Referentie_Bouwplaats_Totaal[[#This Row],[Emissieloos Asfalt Verwijderset]]="JA",Referentie_Bouwplaats_Totaal[[#This Row],[Draaiuren Verwijder Asfalt]],0)+IF(Referentie_Bouwplaats_Totaal[[#This Row],[Emissieloos Sloopmaterieel]]="JA",Referentie_Bouwplaats_Totaal[[#This Row],[Draaiuren Verwijder Overig]],0)</f>
        <v>0</v>
      </c>
      <c r="M713" s="124">
        <f>_xlfn.IFNA(IF(Baseline!C85="Nieuwe situatie",(Baseline!Q85/(VLOOKUP(Baseline!U85,Database_Asfalt_Aanlegset[#All],60,FALSE)/8)),0),0)*Baseline!R85</f>
        <v>0</v>
      </c>
      <c r="N713" s="124">
        <f>_xlfn.IFNA(IF(Baseline!C85="Nieuwe situatie",Baseline!O85/VLOOKUP(Baseline!V85,Database_Overig_Materieel[#All],8,FALSE),0),0)*Baseline!R85</f>
        <v>0</v>
      </c>
      <c r="O713" s="132">
        <f>_xlfn.IFNA(IF(Baseline!C85="Bestaande situatie",Baseline!Q85/(VLOOKUP(Baseline!Y85,Database_Asfalt_Verwijderset[#All],60,FALSE)/8),0),0)*Baseline!R85</f>
        <v>0</v>
      </c>
      <c r="P713" s="132">
        <f>_xlfn.IFNA(IF(Baseline!C85="Bestaande situatie",Baseline!O85/VLOOKUP(Baseline!Z85,Database_Overig_Materieel[#All],8,FALSE),0),0)*Baseline!R85</f>
        <v>0</v>
      </c>
      <c r="Q713" s="132">
        <f>IF(Referentie_Bouwplaats_Totaal[[#This Row],[Emissieloos Asfalt Aanlegset]]="JA",Referentie_Bouwplaats_Totaal[[#This Row],[Draaiuren Bouw Asfalt Vervangingen]],0)+IF(Referentie_Bouwplaats_Totaal[[#This Row],[Emissieloos Bouwmaterieel]]="JA",Referentie_Bouwplaats_Totaal[[#This Row],[Draaiuren Bouw Overig Vervangingen]],0)+IF(Referentie_Bouwplaats_Totaal[[#This Row],[Emissieloos Asfalt Verwijderset]]="JA",Referentie_Bouwplaats_Totaal[[#This Row],[Draaiuren Verwijder Asfalt Vervangingen]],0)+IF(Referentie_Bouwplaats_Totaal[[#This Row],[Emissieloos Sloopmaterieel]]="JA",Referentie_Bouwplaats_Totaal[[#This Row],[Draaiuren Verwijder Overig Vervangingen]],0)</f>
        <v>0</v>
      </c>
      <c r="R713" s="132">
        <f>Referentie_Bouwplaats_Totaal[[#This Row],[Emissieloos bouwplaats]]+Referentie_Bouwplaats_Totaal[[#This Row],[Emissieloos bouwplaats Vervangingen]]</f>
        <v>0</v>
      </c>
      <c r="S713" s="132">
        <f>(Referentie_Bouwplaats_Totaal[[#This Row],[Draaiuren Bouw Asfalt]]+Referentie_Bouwplaats_Totaal[[#This Row],[Draaiuren Bouw Overig]]+Referentie_Bouwplaats_Totaal[[#This Row],[Draaiuren Verwijder Asfalt]]+Referentie_Bouwplaats_Totaal[[#This Row],[Draaiuren Verwijder Overig]]+Referentie_Bouwplaats_Totaal[[#This Row],[Draaiuren Bouw Asfalt Vervangingen]]+Referentie_Bouwplaats_Totaal[[#This Row],[Draaiuren Bouw Overig Vervangingen]]+Referentie_Bouwplaats_Totaal[[#This Row],[Draaiuren Verwijder Asfalt Vervangingen]]+Referentie_Bouwplaats_Totaal[[#This Row],[Draaiuren Verwijder Overig Vervangingen]]-Referentie_Bouwplaats_Totaal[[#This Row],[Totaal Emissieloos Bouwplaats]])</f>
        <v>0</v>
      </c>
      <c r="T713" s="132">
        <f>Referentie_Bouwplaats_Totaal[[#This Row],[Totaal Emissieloos Bouwplaats]]+Referentie_Bouwplaats_Totaal[[#This Row],[Totaal Niet Emissieloos Bouwplaats]]</f>
        <v>0</v>
      </c>
      <c r="U713" s="132"/>
      <c r="V713" s="13"/>
      <c r="W713" s="13"/>
      <c r="X713" s="13"/>
      <c r="Y713" s="13"/>
      <c r="Z713" s="13"/>
      <c r="AA713" s="13"/>
      <c r="AB713" s="13"/>
      <c r="AC713" s="13"/>
    </row>
    <row r="714" spans="2:29">
      <c r="B714" s="209">
        <f>Baseline!B86</f>
        <v>0</v>
      </c>
      <c r="C714" s="51">
        <f>Baseline!F86</f>
        <v>0</v>
      </c>
      <c r="D714" s="134">
        <f>_xlfn.IFNA(IF(Baseline!C86="Nieuwe situatie",(Baseline!Q86/(VLOOKUP(Baseline!U86,Database_Asfalt_Aanlegset[#All],60,FALSE)/8)),0),0)</f>
        <v>0</v>
      </c>
      <c r="E714" s="135">
        <f>IFERROR(IF(Baseline!C86="Nieuwe situatie",Baseline!I86/Baseline!X86,0),0)</f>
        <v>0</v>
      </c>
      <c r="F714" s="138">
        <f>_xlfn.IFNA(IF(Baseline!C86="Bestaande situatie",Baseline!Q86/(VLOOKUP(Baseline!Y86,Database_Asfalt_Verwijderset[#All],60,FALSE)/8),0),0)</f>
        <v>0</v>
      </c>
      <c r="G714" s="138">
        <f>IFERROR(IF(Baseline!C86="Bestaande situatie",Baseline!I86/Baseline!AB86,0),0)</f>
        <v>0</v>
      </c>
      <c r="H714" s="138" t="str">
        <f>_xlfn.IFNA((VLOOKUP(Baseline!U86,Database_Asfalt_Aanlegset[],61,FALSE)),"Nee")</f>
        <v>Nee</v>
      </c>
      <c r="I714" s="138" t="str">
        <f>_xlfn.IFNA((VLOOKUP(Baseline!V86,Database_Brandstoffen[],60,FALSE)),"Nee")</f>
        <v>Nee</v>
      </c>
      <c r="J714" s="94" t="str">
        <f>_xlfn.IFNA((VLOOKUP(Baseline!Y86,Database_Asfalt_Verwijderset[],61,FALSE)),"Nee")</f>
        <v>Nee</v>
      </c>
      <c r="K714" s="94" t="str">
        <f>_xlfn.IFNA((VLOOKUP(Baseline!Z86,Database_Brandstoffen[],60,FALSE)),"Nee")</f>
        <v>Nee</v>
      </c>
      <c r="L714" s="124">
        <f>IF(Referentie_Bouwplaats_Totaal[[#This Row],[Emissieloos Asfalt Aanlegset]]="JA",Referentie_Bouwplaats_Totaal[[#This Row],[Draaiuren Bouw Asfalt]],0)+IF(Referentie_Bouwplaats_Totaal[[#This Row],[Emissieloos Bouwmaterieel]]="JA",Referentie_Bouwplaats_Totaal[[#This Row],[Draaiuren Bouw Overig]],0)+IF(Referentie_Bouwplaats_Totaal[[#This Row],[Emissieloos Asfalt Verwijderset]]="JA",Referentie_Bouwplaats_Totaal[[#This Row],[Draaiuren Verwijder Asfalt]],0)+IF(Referentie_Bouwplaats_Totaal[[#This Row],[Emissieloos Sloopmaterieel]]="JA",Referentie_Bouwplaats_Totaal[[#This Row],[Draaiuren Verwijder Overig]],0)</f>
        <v>0</v>
      </c>
      <c r="M714" s="124">
        <f>_xlfn.IFNA(IF(Baseline!C86="Nieuwe situatie",(Baseline!Q86/(VLOOKUP(Baseline!U86,Database_Asfalt_Aanlegset[#All],60,FALSE)/8)),0),0)*Baseline!R86</f>
        <v>0</v>
      </c>
      <c r="N714" s="124">
        <f>_xlfn.IFNA(IF(Baseline!C86="Nieuwe situatie",Baseline!O86/VLOOKUP(Baseline!V86,Database_Overig_Materieel[#All],8,FALSE),0),0)*Baseline!R86</f>
        <v>0</v>
      </c>
      <c r="O714" s="132">
        <f>_xlfn.IFNA(IF(Baseline!C86="Bestaande situatie",Baseline!Q86/(VLOOKUP(Baseline!Y86,Database_Asfalt_Verwijderset[#All],60,FALSE)/8),0),0)*Baseline!R86</f>
        <v>0</v>
      </c>
      <c r="P714" s="132">
        <f>_xlfn.IFNA(IF(Baseline!C86="Bestaande situatie",Baseline!O86/VLOOKUP(Baseline!Z86,Database_Overig_Materieel[#All],8,FALSE),0),0)*Baseline!R86</f>
        <v>0</v>
      </c>
      <c r="Q714" s="132">
        <f>IF(Referentie_Bouwplaats_Totaal[[#This Row],[Emissieloos Asfalt Aanlegset]]="JA",Referentie_Bouwplaats_Totaal[[#This Row],[Draaiuren Bouw Asfalt Vervangingen]],0)+IF(Referentie_Bouwplaats_Totaal[[#This Row],[Emissieloos Bouwmaterieel]]="JA",Referentie_Bouwplaats_Totaal[[#This Row],[Draaiuren Bouw Overig Vervangingen]],0)+IF(Referentie_Bouwplaats_Totaal[[#This Row],[Emissieloos Asfalt Verwijderset]]="JA",Referentie_Bouwplaats_Totaal[[#This Row],[Draaiuren Verwijder Asfalt Vervangingen]],0)+IF(Referentie_Bouwplaats_Totaal[[#This Row],[Emissieloos Sloopmaterieel]]="JA",Referentie_Bouwplaats_Totaal[[#This Row],[Draaiuren Verwijder Overig Vervangingen]],0)</f>
        <v>0</v>
      </c>
      <c r="R714" s="132">
        <f>Referentie_Bouwplaats_Totaal[[#This Row],[Emissieloos bouwplaats]]+Referentie_Bouwplaats_Totaal[[#This Row],[Emissieloos bouwplaats Vervangingen]]</f>
        <v>0</v>
      </c>
      <c r="S714" s="132">
        <f>(Referentie_Bouwplaats_Totaal[[#This Row],[Draaiuren Bouw Asfalt]]+Referentie_Bouwplaats_Totaal[[#This Row],[Draaiuren Bouw Overig]]+Referentie_Bouwplaats_Totaal[[#This Row],[Draaiuren Verwijder Asfalt]]+Referentie_Bouwplaats_Totaal[[#This Row],[Draaiuren Verwijder Overig]]+Referentie_Bouwplaats_Totaal[[#This Row],[Draaiuren Bouw Asfalt Vervangingen]]+Referentie_Bouwplaats_Totaal[[#This Row],[Draaiuren Bouw Overig Vervangingen]]+Referentie_Bouwplaats_Totaal[[#This Row],[Draaiuren Verwijder Asfalt Vervangingen]]+Referentie_Bouwplaats_Totaal[[#This Row],[Draaiuren Verwijder Overig Vervangingen]]-Referentie_Bouwplaats_Totaal[[#This Row],[Totaal Emissieloos Bouwplaats]])</f>
        <v>0</v>
      </c>
      <c r="T714" s="132">
        <f>Referentie_Bouwplaats_Totaal[[#This Row],[Totaal Emissieloos Bouwplaats]]+Referentie_Bouwplaats_Totaal[[#This Row],[Totaal Niet Emissieloos Bouwplaats]]</f>
        <v>0</v>
      </c>
      <c r="U714" s="132"/>
      <c r="V714" s="13"/>
      <c r="W714" s="13"/>
      <c r="X714" s="13"/>
      <c r="Y714" s="13"/>
      <c r="Z714" s="13"/>
      <c r="AA714" s="13"/>
      <c r="AB714" s="13"/>
      <c r="AC714" s="13"/>
    </row>
    <row r="715" spans="2:29">
      <c r="B715" s="209">
        <f>Baseline!B87</f>
        <v>0</v>
      </c>
      <c r="C715" s="51">
        <f>Baseline!F87</f>
        <v>0</v>
      </c>
      <c r="D715" s="134">
        <f>_xlfn.IFNA(IF(Baseline!C87="Nieuwe situatie",(Baseline!Q87/(VLOOKUP(Baseline!U87,Database_Asfalt_Aanlegset[#All],60,FALSE)/8)),0),0)</f>
        <v>0</v>
      </c>
      <c r="E715" s="135">
        <f>IFERROR(IF(Baseline!C87="Nieuwe situatie",Baseline!I87/Baseline!X87,0),0)</f>
        <v>0</v>
      </c>
      <c r="F715" s="138">
        <f>_xlfn.IFNA(IF(Baseline!C87="Bestaande situatie",Baseline!Q87/(VLOOKUP(Baseline!Y87,Database_Asfalt_Verwijderset[#All],60,FALSE)/8),0),0)</f>
        <v>0</v>
      </c>
      <c r="G715" s="138">
        <f>IFERROR(IF(Baseline!C87="Bestaande situatie",Baseline!I87/Baseline!AB87,0),0)</f>
        <v>0</v>
      </c>
      <c r="H715" s="138" t="str">
        <f>_xlfn.IFNA((VLOOKUP(Baseline!U87,Database_Asfalt_Aanlegset[],61,FALSE)),"Nee")</f>
        <v>Nee</v>
      </c>
      <c r="I715" s="138" t="str">
        <f>_xlfn.IFNA((VLOOKUP(Baseline!V87,Database_Brandstoffen[],60,FALSE)),"Nee")</f>
        <v>Nee</v>
      </c>
      <c r="J715" s="94" t="str">
        <f>_xlfn.IFNA((VLOOKUP(Baseline!Y87,Database_Asfalt_Verwijderset[],61,FALSE)),"Nee")</f>
        <v>Nee</v>
      </c>
      <c r="K715" s="94" t="str">
        <f>_xlfn.IFNA((VLOOKUP(Baseline!Z87,Database_Brandstoffen[],60,FALSE)),"Nee")</f>
        <v>Nee</v>
      </c>
      <c r="L715" s="124">
        <f>IF(Referentie_Bouwplaats_Totaal[[#This Row],[Emissieloos Asfalt Aanlegset]]="JA",Referentie_Bouwplaats_Totaal[[#This Row],[Draaiuren Bouw Asfalt]],0)+IF(Referentie_Bouwplaats_Totaal[[#This Row],[Emissieloos Bouwmaterieel]]="JA",Referentie_Bouwplaats_Totaal[[#This Row],[Draaiuren Bouw Overig]],0)+IF(Referentie_Bouwplaats_Totaal[[#This Row],[Emissieloos Asfalt Verwijderset]]="JA",Referentie_Bouwplaats_Totaal[[#This Row],[Draaiuren Verwijder Asfalt]],0)+IF(Referentie_Bouwplaats_Totaal[[#This Row],[Emissieloos Sloopmaterieel]]="JA",Referentie_Bouwplaats_Totaal[[#This Row],[Draaiuren Verwijder Overig]],0)</f>
        <v>0</v>
      </c>
      <c r="M715" s="124">
        <f>_xlfn.IFNA(IF(Baseline!C87="Nieuwe situatie",(Baseline!Q87/(VLOOKUP(Baseline!U87,Database_Asfalt_Aanlegset[#All],60,FALSE)/8)),0),0)*Baseline!R87</f>
        <v>0</v>
      </c>
      <c r="N715" s="124">
        <f>_xlfn.IFNA(IF(Baseline!C87="Nieuwe situatie",Baseline!O87/VLOOKUP(Baseline!V87,Database_Overig_Materieel[#All],8,FALSE),0),0)*Baseline!R87</f>
        <v>0</v>
      </c>
      <c r="O715" s="132">
        <f>_xlfn.IFNA(IF(Baseline!C87="Bestaande situatie",Baseline!Q87/(VLOOKUP(Baseline!Y87,Database_Asfalt_Verwijderset[#All],60,FALSE)/8),0),0)*Baseline!R87</f>
        <v>0</v>
      </c>
      <c r="P715" s="132">
        <f>_xlfn.IFNA(IF(Baseline!C87="Bestaande situatie",Baseline!O87/VLOOKUP(Baseline!Z87,Database_Overig_Materieel[#All],8,FALSE),0),0)*Baseline!R87</f>
        <v>0</v>
      </c>
      <c r="Q715" s="132">
        <f>IF(Referentie_Bouwplaats_Totaal[[#This Row],[Emissieloos Asfalt Aanlegset]]="JA",Referentie_Bouwplaats_Totaal[[#This Row],[Draaiuren Bouw Asfalt Vervangingen]],0)+IF(Referentie_Bouwplaats_Totaal[[#This Row],[Emissieloos Bouwmaterieel]]="JA",Referentie_Bouwplaats_Totaal[[#This Row],[Draaiuren Bouw Overig Vervangingen]],0)+IF(Referentie_Bouwplaats_Totaal[[#This Row],[Emissieloos Asfalt Verwijderset]]="JA",Referentie_Bouwplaats_Totaal[[#This Row],[Draaiuren Verwijder Asfalt Vervangingen]],0)+IF(Referentie_Bouwplaats_Totaal[[#This Row],[Emissieloos Sloopmaterieel]]="JA",Referentie_Bouwplaats_Totaal[[#This Row],[Draaiuren Verwijder Overig Vervangingen]],0)</f>
        <v>0</v>
      </c>
      <c r="R715" s="132">
        <f>Referentie_Bouwplaats_Totaal[[#This Row],[Emissieloos bouwplaats]]+Referentie_Bouwplaats_Totaal[[#This Row],[Emissieloos bouwplaats Vervangingen]]</f>
        <v>0</v>
      </c>
      <c r="S715" s="132">
        <f>(Referentie_Bouwplaats_Totaal[[#This Row],[Draaiuren Bouw Asfalt]]+Referentie_Bouwplaats_Totaal[[#This Row],[Draaiuren Bouw Overig]]+Referentie_Bouwplaats_Totaal[[#This Row],[Draaiuren Verwijder Asfalt]]+Referentie_Bouwplaats_Totaal[[#This Row],[Draaiuren Verwijder Overig]]+Referentie_Bouwplaats_Totaal[[#This Row],[Draaiuren Bouw Asfalt Vervangingen]]+Referentie_Bouwplaats_Totaal[[#This Row],[Draaiuren Bouw Overig Vervangingen]]+Referentie_Bouwplaats_Totaal[[#This Row],[Draaiuren Verwijder Asfalt Vervangingen]]+Referentie_Bouwplaats_Totaal[[#This Row],[Draaiuren Verwijder Overig Vervangingen]]-Referentie_Bouwplaats_Totaal[[#This Row],[Totaal Emissieloos Bouwplaats]])</f>
        <v>0</v>
      </c>
      <c r="T715" s="132">
        <f>Referentie_Bouwplaats_Totaal[[#This Row],[Totaal Emissieloos Bouwplaats]]+Referentie_Bouwplaats_Totaal[[#This Row],[Totaal Niet Emissieloos Bouwplaats]]</f>
        <v>0</v>
      </c>
      <c r="U715" s="132"/>
      <c r="V715" s="13"/>
      <c r="W715" s="13"/>
      <c r="X715" s="13"/>
      <c r="Y715" s="13"/>
      <c r="Z715" s="13"/>
      <c r="AA715" s="13"/>
      <c r="AB715" s="13"/>
      <c r="AC715" s="13"/>
    </row>
    <row r="716" spans="2:29">
      <c r="B716" s="209">
        <f>Baseline!B88</f>
        <v>0</v>
      </c>
      <c r="C716" s="51">
        <f>Baseline!F88</f>
        <v>0</v>
      </c>
      <c r="D716" s="134">
        <f>_xlfn.IFNA(IF(Baseline!C88="Nieuwe situatie",(Baseline!Q88/(VLOOKUP(Baseline!U88,Database_Asfalt_Aanlegset[#All],60,FALSE)/8)),0),0)</f>
        <v>0</v>
      </c>
      <c r="E716" s="135">
        <f>IFERROR(IF(Baseline!C88="Nieuwe situatie",Baseline!I88/Baseline!X88,0),0)</f>
        <v>0</v>
      </c>
      <c r="F716" s="138">
        <f>_xlfn.IFNA(IF(Baseline!C88="Bestaande situatie",Baseline!Q88/(VLOOKUP(Baseline!Y88,Database_Asfalt_Verwijderset[#All],60,FALSE)/8),0),0)</f>
        <v>0</v>
      </c>
      <c r="G716" s="138">
        <f>IFERROR(IF(Baseline!C88="Bestaande situatie",Baseline!I88/Baseline!AB88,0),0)</f>
        <v>0</v>
      </c>
      <c r="H716" s="138" t="str">
        <f>_xlfn.IFNA((VLOOKUP(Baseline!U88,Database_Asfalt_Aanlegset[],61,FALSE)),"Nee")</f>
        <v>Nee</v>
      </c>
      <c r="I716" s="138" t="str">
        <f>_xlfn.IFNA((VLOOKUP(Baseline!V88,Database_Brandstoffen[],60,FALSE)),"Nee")</f>
        <v>Nee</v>
      </c>
      <c r="J716" s="94" t="str">
        <f>_xlfn.IFNA((VLOOKUP(Baseline!Y88,Database_Asfalt_Verwijderset[],61,FALSE)),"Nee")</f>
        <v>Nee</v>
      </c>
      <c r="K716" s="94" t="str">
        <f>_xlfn.IFNA((VLOOKUP(Baseline!Z88,Database_Brandstoffen[],60,FALSE)),"Nee")</f>
        <v>Nee</v>
      </c>
      <c r="L716" s="124">
        <f>IF(Referentie_Bouwplaats_Totaal[[#This Row],[Emissieloos Asfalt Aanlegset]]="JA",Referentie_Bouwplaats_Totaal[[#This Row],[Draaiuren Bouw Asfalt]],0)+IF(Referentie_Bouwplaats_Totaal[[#This Row],[Emissieloos Bouwmaterieel]]="JA",Referentie_Bouwplaats_Totaal[[#This Row],[Draaiuren Bouw Overig]],0)+IF(Referentie_Bouwplaats_Totaal[[#This Row],[Emissieloos Asfalt Verwijderset]]="JA",Referentie_Bouwplaats_Totaal[[#This Row],[Draaiuren Verwijder Asfalt]],0)+IF(Referentie_Bouwplaats_Totaal[[#This Row],[Emissieloos Sloopmaterieel]]="JA",Referentie_Bouwplaats_Totaal[[#This Row],[Draaiuren Verwijder Overig]],0)</f>
        <v>0</v>
      </c>
      <c r="M716" s="124">
        <f>_xlfn.IFNA(IF(Baseline!C88="Nieuwe situatie",(Baseline!Q88/(VLOOKUP(Baseline!U88,Database_Asfalt_Aanlegset[#All],60,FALSE)/8)),0),0)*Baseline!R88</f>
        <v>0</v>
      </c>
      <c r="N716" s="124">
        <f>_xlfn.IFNA(IF(Baseline!C88="Nieuwe situatie",Baseline!O88/VLOOKUP(Baseline!V88,Database_Overig_Materieel[#All],8,FALSE),0),0)*Baseline!R88</f>
        <v>0</v>
      </c>
      <c r="O716" s="132">
        <f>_xlfn.IFNA(IF(Baseline!C88="Bestaande situatie",Baseline!Q88/(VLOOKUP(Baseline!Y88,Database_Asfalt_Verwijderset[#All],60,FALSE)/8),0),0)*Baseline!R88</f>
        <v>0</v>
      </c>
      <c r="P716" s="132">
        <f>_xlfn.IFNA(IF(Baseline!C88="Bestaande situatie",Baseline!O88/VLOOKUP(Baseline!Z88,Database_Overig_Materieel[#All],8,FALSE),0),0)*Baseline!R88</f>
        <v>0</v>
      </c>
      <c r="Q716" s="132">
        <f>IF(Referentie_Bouwplaats_Totaal[[#This Row],[Emissieloos Asfalt Aanlegset]]="JA",Referentie_Bouwplaats_Totaal[[#This Row],[Draaiuren Bouw Asfalt Vervangingen]],0)+IF(Referentie_Bouwplaats_Totaal[[#This Row],[Emissieloos Bouwmaterieel]]="JA",Referentie_Bouwplaats_Totaal[[#This Row],[Draaiuren Bouw Overig Vervangingen]],0)+IF(Referentie_Bouwplaats_Totaal[[#This Row],[Emissieloos Asfalt Verwijderset]]="JA",Referentie_Bouwplaats_Totaal[[#This Row],[Draaiuren Verwijder Asfalt Vervangingen]],0)+IF(Referentie_Bouwplaats_Totaal[[#This Row],[Emissieloos Sloopmaterieel]]="JA",Referentie_Bouwplaats_Totaal[[#This Row],[Draaiuren Verwijder Overig Vervangingen]],0)</f>
        <v>0</v>
      </c>
      <c r="R716" s="132">
        <f>Referentie_Bouwplaats_Totaal[[#This Row],[Emissieloos bouwplaats]]+Referentie_Bouwplaats_Totaal[[#This Row],[Emissieloos bouwplaats Vervangingen]]</f>
        <v>0</v>
      </c>
      <c r="S716" s="132">
        <f>(Referentie_Bouwplaats_Totaal[[#This Row],[Draaiuren Bouw Asfalt]]+Referentie_Bouwplaats_Totaal[[#This Row],[Draaiuren Bouw Overig]]+Referentie_Bouwplaats_Totaal[[#This Row],[Draaiuren Verwijder Asfalt]]+Referentie_Bouwplaats_Totaal[[#This Row],[Draaiuren Verwijder Overig]]+Referentie_Bouwplaats_Totaal[[#This Row],[Draaiuren Bouw Asfalt Vervangingen]]+Referentie_Bouwplaats_Totaal[[#This Row],[Draaiuren Bouw Overig Vervangingen]]+Referentie_Bouwplaats_Totaal[[#This Row],[Draaiuren Verwijder Asfalt Vervangingen]]+Referentie_Bouwplaats_Totaal[[#This Row],[Draaiuren Verwijder Overig Vervangingen]]-Referentie_Bouwplaats_Totaal[[#This Row],[Totaal Emissieloos Bouwplaats]])</f>
        <v>0</v>
      </c>
      <c r="T716" s="132">
        <f>Referentie_Bouwplaats_Totaal[[#This Row],[Totaal Emissieloos Bouwplaats]]+Referentie_Bouwplaats_Totaal[[#This Row],[Totaal Niet Emissieloos Bouwplaats]]</f>
        <v>0</v>
      </c>
      <c r="U716" s="132"/>
      <c r="V716" s="13"/>
      <c r="W716" s="13"/>
      <c r="X716" s="13"/>
      <c r="Y716" s="13"/>
      <c r="Z716" s="13"/>
      <c r="AA716" s="13"/>
      <c r="AB716" s="13"/>
      <c r="AC716" s="13"/>
    </row>
    <row r="717" spans="2:29">
      <c r="B717" s="209">
        <f>Baseline!B89</f>
        <v>0</v>
      </c>
      <c r="C717" s="51">
        <f>Baseline!F89</f>
        <v>0</v>
      </c>
      <c r="D717" s="134">
        <f>_xlfn.IFNA(IF(Baseline!C89="Nieuwe situatie",(Baseline!Q89/(VLOOKUP(Baseline!U89,Database_Asfalt_Aanlegset[#All],60,FALSE)/8)),0),0)</f>
        <v>0</v>
      </c>
      <c r="E717" s="135">
        <f>IFERROR(IF(Baseline!C89="Nieuwe situatie",Baseline!I89/Baseline!X89,0),0)</f>
        <v>0</v>
      </c>
      <c r="F717" s="138">
        <f>_xlfn.IFNA(IF(Baseline!C89="Bestaande situatie",Baseline!Q89/(VLOOKUP(Baseline!Y89,Database_Asfalt_Verwijderset[#All],60,FALSE)/8),0),0)</f>
        <v>0</v>
      </c>
      <c r="G717" s="138">
        <f>IFERROR(IF(Baseline!C89="Bestaande situatie",Baseline!I89/Baseline!AB89,0),0)</f>
        <v>0</v>
      </c>
      <c r="H717" s="138" t="str">
        <f>_xlfn.IFNA((VLOOKUP(Baseline!U89,Database_Asfalt_Aanlegset[],61,FALSE)),"Nee")</f>
        <v>Nee</v>
      </c>
      <c r="I717" s="138" t="str">
        <f>_xlfn.IFNA((VLOOKUP(Baseline!V89,Database_Brandstoffen[],60,FALSE)),"Nee")</f>
        <v>Nee</v>
      </c>
      <c r="J717" s="94" t="str">
        <f>_xlfn.IFNA((VLOOKUP(Baseline!Y89,Database_Asfalt_Verwijderset[],61,FALSE)),"Nee")</f>
        <v>Nee</v>
      </c>
      <c r="K717" s="94" t="str">
        <f>_xlfn.IFNA((VLOOKUP(Baseline!Z89,Database_Brandstoffen[],60,FALSE)),"Nee")</f>
        <v>Nee</v>
      </c>
      <c r="L717" s="124">
        <f>IF(Referentie_Bouwplaats_Totaal[[#This Row],[Emissieloos Asfalt Aanlegset]]="JA",Referentie_Bouwplaats_Totaal[[#This Row],[Draaiuren Bouw Asfalt]],0)+IF(Referentie_Bouwplaats_Totaal[[#This Row],[Emissieloos Bouwmaterieel]]="JA",Referentie_Bouwplaats_Totaal[[#This Row],[Draaiuren Bouw Overig]],0)+IF(Referentie_Bouwplaats_Totaal[[#This Row],[Emissieloos Asfalt Verwijderset]]="JA",Referentie_Bouwplaats_Totaal[[#This Row],[Draaiuren Verwijder Asfalt]],0)+IF(Referentie_Bouwplaats_Totaal[[#This Row],[Emissieloos Sloopmaterieel]]="JA",Referentie_Bouwplaats_Totaal[[#This Row],[Draaiuren Verwijder Overig]],0)</f>
        <v>0</v>
      </c>
      <c r="M717" s="124">
        <f>_xlfn.IFNA(IF(Baseline!C89="Nieuwe situatie",(Baseline!Q89/(VLOOKUP(Baseline!U89,Database_Asfalt_Aanlegset[#All],60,FALSE)/8)),0),0)*Baseline!R89</f>
        <v>0</v>
      </c>
      <c r="N717" s="124">
        <f>_xlfn.IFNA(IF(Baseline!C89="Nieuwe situatie",Baseline!O89/VLOOKUP(Baseline!V89,Database_Overig_Materieel[#All],8,FALSE),0),0)*Baseline!R89</f>
        <v>0</v>
      </c>
      <c r="O717" s="132">
        <f>_xlfn.IFNA(IF(Baseline!C89="Bestaande situatie",Baseline!Q89/(VLOOKUP(Baseline!Y89,Database_Asfalt_Verwijderset[#All],60,FALSE)/8),0),0)*Baseline!R89</f>
        <v>0</v>
      </c>
      <c r="P717" s="132">
        <f>_xlfn.IFNA(IF(Baseline!C89="Bestaande situatie",Baseline!O89/VLOOKUP(Baseline!Z89,Database_Overig_Materieel[#All],8,FALSE),0),0)*Baseline!R89</f>
        <v>0</v>
      </c>
      <c r="Q717" s="132">
        <f>IF(Referentie_Bouwplaats_Totaal[[#This Row],[Emissieloos Asfalt Aanlegset]]="JA",Referentie_Bouwplaats_Totaal[[#This Row],[Draaiuren Bouw Asfalt Vervangingen]],0)+IF(Referentie_Bouwplaats_Totaal[[#This Row],[Emissieloos Bouwmaterieel]]="JA",Referentie_Bouwplaats_Totaal[[#This Row],[Draaiuren Bouw Overig Vervangingen]],0)+IF(Referentie_Bouwplaats_Totaal[[#This Row],[Emissieloos Asfalt Verwijderset]]="JA",Referentie_Bouwplaats_Totaal[[#This Row],[Draaiuren Verwijder Asfalt Vervangingen]],0)+IF(Referentie_Bouwplaats_Totaal[[#This Row],[Emissieloos Sloopmaterieel]]="JA",Referentie_Bouwplaats_Totaal[[#This Row],[Draaiuren Verwijder Overig Vervangingen]],0)</f>
        <v>0</v>
      </c>
      <c r="R717" s="132">
        <f>Referentie_Bouwplaats_Totaal[[#This Row],[Emissieloos bouwplaats]]+Referentie_Bouwplaats_Totaal[[#This Row],[Emissieloos bouwplaats Vervangingen]]</f>
        <v>0</v>
      </c>
      <c r="S717" s="132">
        <f>(Referentie_Bouwplaats_Totaal[[#This Row],[Draaiuren Bouw Asfalt]]+Referentie_Bouwplaats_Totaal[[#This Row],[Draaiuren Bouw Overig]]+Referentie_Bouwplaats_Totaal[[#This Row],[Draaiuren Verwijder Asfalt]]+Referentie_Bouwplaats_Totaal[[#This Row],[Draaiuren Verwijder Overig]]+Referentie_Bouwplaats_Totaal[[#This Row],[Draaiuren Bouw Asfalt Vervangingen]]+Referentie_Bouwplaats_Totaal[[#This Row],[Draaiuren Bouw Overig Vervangingen]]+Referentie_Bouwplaats_Totaal[[#This Row],[Draaiuren Verwijder Asfalt Vervangingen]]+Referentie_Bouwplaats_Totaal[[#This Row],[Draaiuren Verwijder Overig Vervangingen]]-Referentie_Bouwplaats_Totaal[[#This Row],[Totaal Emissieloos Bouwplaats]])</f>
        <v>0</v>
      </c>
      <c r="T717" s="132">
        <f>Referentie_Bouwplaats_Totaal[[#This Row],[Totaal Emissieloos Bouwplaats]]+Referentie_Bouwplaats_Totaal[[#This Row],[Totaal Niet Emissieloos Bouwplaats]]</f>
        <v>0</v>
      </c>
      <c r="U717" s="132"/>
      <c r="V717" s="13"/>
      <c r="W717" s="13"/>
      <c r="X717" s="13"/>
      <c r="Y717" s="13"/>
      <c r="Z717" s="13"/>
      <c r="AA717" s="13"/>
      <c r="AB717" s="13"/>
      <c r="AC717" s="13"/>
    </row>
    <row r="718" spans="2:29">
      <c r="B718" s="209">
        <f>Baseline!B90</f>
        <v>0</v>
      </c>
      <c r="C718" s="51">
        <f>Baseline!F90</f>
        <v>0</v>
      </c>
      <c r="D718" s="134">
        <f>_xlfn.IFNA(IF(Baseline!C90="Nieuwe situatie",(Baseline!Q90/(VLOOKUP(Baseline!U90,Database_Asfalt_Aanlegset[#All],60,FALSE)/8)),0),0)</f>
        <v>0</v>
      </c>
      <c r="E718" s="135">
        <f>IFERROR(IF(Baseline!C90="Nieuwe situatie",Baseline!I90/Baseline!X90,0),0)</f>
        <v>0</v>
      </c>
      <c r="F718" s="138">
        <f>_xlfn.IFNA(IF(Baseline!C90="Bestaande situatie",Baseline!Q90/(VLOOKUP(Baseline!Y90,Database_Asfalt_Verwijderset[#All],60,FALSE)/8),0),0)</f>
        <v>0</v>
      </c>
      <c r="G718" s="138">
        <f>IFERROR(IF(Baseline!C90="Bestaande situatie",Baseline!I90/Baseline!AB90,0),0)</f>
        <v>0</v>
      </c>
      <c r="H718" s="138" t="str">
        <f>_xlfn.IFNA((VLOOKUP(Baseline!U90,Database_Asfalt_Aanlegset[],61,FALSE)),"Nee")</f>
        <v>Nee</v>
      </c>
      <c r="I718" s="138" t="str">
        <f>_xlfn.IFNA((VLOOKUP(Baseline!V90,Database_Brandstoffen[],60,FALSE)),"Nee")</f>
        <v>Nee</v>
      </c>
      <c r="J718" s="94" t="str">
        <f>_xlfn.IFNA((VLOOKUP(Baseline!Y90,Database_Asfalt_Verwijderset[],61,FALSE)),"Nee")</f>
        <v>Nee</v>
      </c>
      <c r="K718" s="94" t="str">
        <f>_xlfn.IFNA((VLOOKUP(Baseline!Z90,Database_Brandstoffen[],60,FALSE)),"Nee")</f>
        <v>Nee</v>
      </c>
      <c r="L718" s="124">
        <f>IF(Referentie_Bouwplaats_Totaal[[#This Row],[Emissieloos Asfalt Aanlegset]]="JA",Referentie_Bouwplaats_Totaal[[#This Row],[Draaiuren Bouw Asfalt]],0)+IF(Referentie_Bouwplaats_Totaal[[#This Row],[Emissieloos Bouwmaterieel]]="JA",Referentie_Bouwplaats_Totaal[[#This Row],[Draaiuren Bouw Overig]],0)+IF(Referentie_Bouwplaats_Totaal[[#This Row],[Emissieloos Asfalt Verwijderset]]="JA",Referentie_Bouwplaats_Totaal[[#This Row],[Draaiuren Verwijder Asfalt]],0)+IF(Referentie_Bouwplaats_Totaal[[#This Row],[Emissieloos Sloopmaterieel]]="JA",Referentie_Bouwplaats_Totaal[[#This Row],[Draaiuren Verwijder Overig]],0)</f>
        <v>0</v>
      </c>
      <c r="M718" s="124">
        <f>_xlfn.IFNA(IF(Baseline!C90="Nieuwe situatie",(Baseline!Q90/(VLOOKUP(Baseline!U90,Database_Asfalt_Aanlegset[#All],60,FALSE)/8)),0),0)*Baseline!R90</f>
        <v>0</v>
      </c>
      <c r="N718" s="124">
        <f>_xlfn.IFNA(IF(Baseline!C90="Nieuwe situatie",Baseline!O90/VLOOKUP(Baseline!V90,Database_Overig_Materieel[#All],8,FALSE),0),0)*Baseline!R90</f>
        <v>0</v>
      </c>
      <c r="O718" s="132">
        <f>_xlfn.IFNA(IF(Baseline!C90="Bestaande situatie",Baseline!Q90/(VLOOKUP(Baseline!Y90,Database_Asfalt_Verwijderset[#All],60,FALSE)/8),0),0)*Baseline!R90</f>
        <v>0</v>
      </c>
      <c r="P718" s="132">
        <f>_xlfn.IFNA(IF(Baseline!C90="Bestaande situatie",Baseline!O90/VLOOKUP(Baseline!Z90,Database_Overig_Materieel[#All],8,FALSE),0),0)*Baseline!R90</f>
        <v>0</v>
      </c>
      <c r="Q718" s="132">
        <f>IF(Referentie_Bouwplaats_Totaal[[#This Row],[Emissieloos Asfalt Aanlegset]]="JA",Referentie_Bouwplaats_Totaal[[#This Row],[Draaiuren Bouw Asfalt Vervangingen]],0)+IF(Referentie_Bouwplaats_Totaal[[#This Row],[Emissieloos Bouwmaterieel]]="JA",Referentie_Bouwplaats_Totaal[[#This Row],[Draaiuren Bouw Overig Vervangingen]],0)+IF(Referentie_Bouwplaats_Totaal[[#This Row],[Emissieloos Asfalt Verwijderset]]="JA",Referentie_Bouwplaats_Totaal[[#This Row],[Draaiuren Verwijder Asfalt Vervangingen]],0)+IF(Referentie_Bouwplaats_Totaal[[#This Row],[Emissieloos Sloopmaterieel]]="JA",Referentie_Bouwplaats_Totaal[[#This Row],[Draaiuren Verwijder Overig Vervangingen]],0)</f>
        <v>0</v>
      </c>
      <c r="R718" s="132">
        <f>Referentie_Bouwplaats_Totaal[[#This Row],[Emissieloos bouwplaats]]+Referentie_Bouwplaats_Totaal[[#This Row],[Emissieloos bouwplaats Vervangingen]]</f>
        <v>0</v>
      </c>
      <c r="S718" s="132">
        <f>(Referentie_Bouwplaats_Totaal[[#This Row],[Draaiuren Bouw Asfalt]]+Referentie_Bouwplaats_Totaal[[#This Row],[Draaiuren Bouw Overig]]+Referentie_Bouwplaats_Totaal[[#This Row],[Draaiuren Verwijder Asfalt]]+Referentie_Bouwplaats_Totaal[[#This Row],[Draaiuren Verwijder Overig]]+Referentie_Bouwplaats_Totaal[[#This Row],[Draaiuren Bouw Asfalt Vervangingen]]+Referentie_Bouwplaats_Totaal[[#This Row],[Draaiuren Bouw Overig Vervangingen]]+Referentie_Bouwplaats_Totaal[[#This Row],[Draaiuren Verwijder Asfalt Vervangingen]]+Referentie_Bouwplaats_Totaal[[#This Row],[Draaiuren Verwijder Overig Vervangingen]]-Referentie_Bouwplaats_Totaal[[#This Row],[Totaal Emissieloos Bouwplaats]])</f>
        <v>0</v>
      </c>
      <c r="T718" s="132">
        <f>Referentie_Bouwplaats_Totaal[[#This Row],[Totaal Emissieloos Bouwplaats]]+Referentie_Bouwplaats_Totaal[[#This Row],[Totaal Niet Emissieloos Bouwplaats]]</f>
        <v>0</v>
      </c>
      <c r="U718" s="132"/>
      <c r="V718" s="13"/>
      <c r="W718" s="13"/>
      <c r="X718" s="13"/>
      <c r="Y718" s="13"/>
      <c r="Z718" s="13"/>
      <c r="AA718" s="13"/>
      <c r="AB718" s="13"/>
      <c r="AC718" s="13"/>
    </row>
    <row r="719" spans="2:29">
      <c r="B719" s="209">
        <f>Baseline!B91</f>
        <v>0</v>
      </c>
      <c r="C719" s="51">
        <f>Baseline!F91</f>
        <v>0</v>
      </c>
      <c r="D719" s="134">
        <f>_xlfn.IFNA(IF(Baseline!C91="Nieuwe situatie",(Baseline!Q91/(VLOOKUP(Baseline!U91,Database_Asfalt_Aanlegset[#All],60,FALSE)/8)),0),0)</f>
        <v>0</v>
      </c>
      <c r="E719" s="135">
        <f>IFERROR(IF(Baseline!C91="Nieuwe situatie",Baseline!I91/Baseline!X91,0),0)</f>
        <v>0</v>
      </c>
      <c r="F719" s="138">
        <f>_xlfn.IFNA(IF(Baseline!C91="Bestaande situatie",Baseline!Q91/(VLOOKUP(Baseline!Y91,Database_Asfalt_Verwijderset[#All],60,FALSE)/8),0),0)</f>
        <v>0</v>
      </c>
      <c r="G719" s="138">
        <f>IFERROR(IF(Baseline!C91="Bestaande situatie",Baseline!I91/Baseline!AB91,0),0)</f>
        <v>0</v>
      </c>
      <c r="H719" s="138" t="str">
        <f>_xlfn.IFNA((VLOOKUP(Baseline!U91,Database_Asfalt_Aanlegset[],61,FALSE)),"Nee")</f>
        <v>Nee</v>
      </c>
      <c r="I719" s="138" t="str">
        <f>_xlfn.IFNA((VLOOKUP(Baseline!V91,Database_Brandstoffen[],60,FALSE)),"Nee")</f>
        <v>Nee</v>
      </c>
      <c r="J719" s="94" t="str">
        <f>_xlfn.IFNA((VLOOKUP(Baseline!Y91,Database_Asfalt_Verwijderset[],61,FALSE)),"Nee")</f>
        <v>Nee</v>
      </c>
      <c r="K719" s="94" t="str">
        <f>_xlfn.IFNA((VLOOKUP(Baseline!Z91,Database_Brandstoffen[],60,FALSE)),"Nee")</f>
        <v>Nee</v>
      </c>
      <c r="L719" s="124">
        <f>IF(Referentie_Bouwplaats_Totaal[[#This Row],[Emissieloos Asfalt Aanlegset]]="JA",Referentie_Bouwplaats_Totaal[[#This Row],[Draaiuren Bouw Asfalt]],0)+IF(Referentie_Bouwplaats_Totaal[[#This Row],[Emissieloos Bouwmaterieel]]="JA",Referentie_Bouwplaats_Totaal[[#This Row],[Draaiuren Bouw Overig]],0)+IF(Referentie_Bouwplaats_Totaal[[#This Row],[Emissieloos Asfalt Verwijderset]]="JA",Referentie_Bouwplaats_Totaal[[#This Row],[Draaiuren Verwijder Asfalt]],0)+IF(Referentie_Bouwplaats_Totaal[[#This Row],[Emissieloos Sloopmaterieel]]="JA",Referentie_Bouwplaats_Totaal[[#This Row],[Draaiuren Verwijder Overig]],0)</f>
        <v>0</v>
      </c>
      <c r="M719" s="124">
        <f>_xlfn.IFNA(IF(Baseline!C91="Nieuwe situatie",(Baseline!Q91/(VLOOKUP(Baseline!U91,Database_Asfalt_Aanlegset[#All],60,FALSE)/8)),0),0)*Baseline!R91</f>
        <v>0</v>
      </c>
      <c r="N719" s="124">
        <f>_xlfn.IFNA(IF(Baseline!C91="Nieuwe situatie",Baseline!O91/VLOOKUP(Baseline!V91,Database_Overig_Materieel[#All],8,FALSE),0),0)*Baseline!R91</f>
        <v>0</v>
      </c>
      <c r="O719" s="132">
        <f>_xlfn.IFNA(IF(Baseline!C91="Bestaande situatie",Baseline!Q91/(VLOOKUP(Baseline!Y91,Database_Asfalt_Verwijderset[#All],60,FALSE)/8),0),0)*Baseline!R91</f>
        <v>0</v>
      </c>
      <c r="P719" s="132">
        <f>_xlfn.IFNA(IF(Baseline!C91="Bestaande situatie",Baseline!O91/VLOOKUP(Baseline!Z91,Database_Overig_Materieel[#All],8,FALSE),0),0)*Baseline!R91</f>
        <v>0</v>
      </c>
      <c r="Q719" s="132">
        <f>IF(Referentie_Bouwplaats_Totaal[[#This Row],[Emissieloos Asfalt Aanlegset]]="JA",Referentie_Bouwplaats_Totaal[[#This Row],[Draaiuren Bouw Asfalt Vervangingen]],0)+IF(Referentie_Bouwplaats_Totaal[[#This Row],[Emissieloos Bouwmaterieel]]="JA",Referentie_Bouwplaats_Totaal[[#This Row],[Draaiuren Bouw Overig Vervangingen]],0)+IF(Referentie_Bouwplaats_Totaal[[#This Row],[Emissieloos Asfalt Verwijderset]]="JA",Referentie_Bouwplaats_Totaal[[#This Row],[Draaiuren Verwijder Asfalt Vervangingen]],0)+IF(Referentie_Bouwplaats_Totaal[[#This Row],[Emissieloos Sloopmaterieel]]="JA",Referentie_Bouwplaats_Totaal[[#This Row],[Draaiuren Verwijder Overig Vervangingen]],0)</f>
        <v>0</v>
      </c>
      <c r="R719" s="132">
        <f>Referentie_Bouwplaats_Totaal[[#This Row],[Emissieloos bouwplaats]]+Referentie_Bouwplaats_Totaal[[#This Row],[Emissieloos bouwplaats Vervangingen]]</f>
        <v>0</v>
      </c>
      <c r="S719" s="132">
        <f>(Referentie_Bouwplaats_Totaal[[#This Row],[Draaiuren Bouw Asfalt]]+Referentie_Bouwplaats_Totaal[[#This Row],[Draaiuren Bouw Overig]]+Referentie_Bouwplaats_Totaal[[#This Row],[Draaiuren Verwijder Asfalt]]+Referentie_Bouwplaats_Totaal[[#This Row],[Draaiuren Verwijder Overig]]+Referentie_Bouwplaats_Totaal[[#This Row],[Draaiuren Bouw Asfalt Vervangingen]]+Referentie_Bouwplaats_Totaal[[#This Row],[Draaiuren Bouw Overig Vervangingen]]+Referentie_Bouwplaats_Totaal[[#This Row],[Draaiuren Verwijder Asfalt Vervangingen]]+Referentie_Bouwplaats_Totaal[[#This Row],[Draaiuren Verwijder Overig Vervangingen]]-Referentie_Bouwplaats_Totaal[[#This Row],[Totaal Emissieloos Bouwplaats]])</f>
        <v>0</v>
      </c>
      <c r="T719" s="132">
        <f>Referentie_Bouwplaats_Totaal[[#This Row],[Totaal Emissieloos Bouwplaats]]+Referentie_Bouwplaats_Totaal[[#This Row],[Totaal Niet Emissieloos Bouwplaats]]</f>
        <v>0</v>
      </c>
      <c r="U719" s="132"/>
      <c r="V719" s="13"/>
      <c r="W719" s="13"/>
      <c r="X719" s="13"/>
      <c r="Y719" s="13"/>
      <c r="Z719" s="13"/>
      <c r="AA719" s="13"/>
      <c r="AB719" s="13"/>
      <c r="AC719" s="13"/>
    </row>
    <row r="720" spans="2:29">
      <c r="B720" s="209">
        <f>Baseline!B92</f>
        <v>0</v>
      </c>
      <c r="C720" s="51">
        <f>Baseline!F92</f>
        <v>0</v>
      </c>
      <c r="D720" s="134">
        <f>_xlfn.IFNA(IF(Baseline!C92="Nieuwe situatie",(Baseline!Q92/(VLOOKUP(Baseline!U92,Database_Asfalt_Aanlegset[#All],60,FALSE)/8)),0),0)</f>
        <v>0</v>
      </c>
      <c r="E720" s="135">
        <f>IFERROR(IF(Baseline!C92="Nieuwe situatie",Baseline!I92/Baseline!X92,0),0)</f>
        <v>0</v>
      </c>
      <c r="F720" s="138">
        <f>_xlfn.IFNA(IF(Baseline!C92="Bestaande situatie",Baseline!Q92/(VLOOKUP(Baseline!Y92,Database_Asfalt_Verwijderset[#All],60,FALSE)/8),0),0)</f>
        <v>0</v>
      </c>
      <c r="G720" s="138">
        <f>IFERROR(IF(Baseline!C92="Bestaande situatie",Baseline!I92/Baseline!AB92,0),0)</f>
        <v>0</v>
      </c>
      <c r="H720" s="138" t="str">
        <f>_xlfn.IFNA((VLOOKUP(Baseline!U92,Database_Asfalt_Aanlegset[],61,FALSE)),"Nee")</f>
        <v>Nee</v>
      </c>
      <c r="I720" s="138" t="str">
        <f>_xlfn.IFNA((VLOOKUP(Baseline!V92,Database_Brandstoffen[],60,FALSE)),"Nee")</f>
        <v>Nee</v>
      </c>
      <c r="J720" s="94" t="str">
        <f>_xlfn.IFNA((VLOOKUP(Baseline!Y92,Database_Asfalt_Verwijderset[],61,FALSE)),"Nee")</f>
        <v>Nee</v>
      </c>
      <c r="K720" s="94" t="str">
        <f>_xlfn.IFNA((VLOOKUP(Baseline!Z92,Database_Brandstoffen[],60,FALSE)),"Nee")</f>
        <v>Nee</v>
      </c>
      <c r="L720" s="124">
        <f>IF(Referentie_Bouwplaats_Totaal[[#This Row],[Emissieloos Asfalt Aanlegset]]="JA",Referentie_Bouwplaats_Totaal[[#This Row],[Draaiuren Bouw Asfalt]],0)+IF(Referentie_Bouwplaats_Totaal[[#This Row],[Emissieloos Bouwmaterieel]]="JA",Referentie_Bouwplaats_Totaal[[#This Row],[Draaiuren Bouw Overig]],0)+IF(Referentie_Bouwplaats_Totaal[[#This Row],[Emissieloos Asfalt Verwijderset]]="JA",Referentie_Bouwplaats_Totaal[[#This Row],[Draaiuren Verwijder Asfalt]],0)+IF(Referentie_Bouwplaats_Totaal[[#This Row],[Emissieloos Sloopmaterieel]]="JA",Referentie_Bouwplaats_Totaal[[#This Row],[Draaiuren Verwijder Overig]],0)</f>
        <v>0</v>
      </c>
      <c r="M720" s="124">
        <f>_xlfn.IFNA(IF(Baseline!C92="Nieuwe situatie",(Baseline!Q92/(VLOOKUP(Baseline!U92,Database_Asfalt_Aanlegset[#All],60,FALSE)/8)),0),0)*Baseline!R92</f>
        <v>0</v>
      </c>
      <c r="N720" s="124">
        <f>_xlfn.IFNA(IF(Baseline!C92="Nieuwe situatie",Baseline!O92/VLOOKUP(Baseline!V92,Database_Overig_Materieel[#All],8,FALSE),0),0)*Baseline!R92</f>
        <v>0</v>
      </c>
      <c r="O720" s="132">
        <f>_xlfn.IFNA(IF(Baseline!C92="Bestaande situatie",Baseline!Q92/(VLOOKUP(Baseline!Y92,Database_Asfalt_Verwijderset[#All],60,FALSE)/8),0),0)*Baseline!R92</f>
        <v>0</v>
      </c>
      <c r="P720" s="132">
        <f>_xlfn.IFNA(IF(Baseline!C92="Bestaande situatie",Baseline!O92/VLOOKUP(Baseline!Z92,Database_Overig_Materieel[#All],8,FALSE),0),0)*Baseline!R92</f>
        <v>0</v>
      </c>
      <c r="Q720" s="132">
        <f>IF(Referentie_Bouwplaats_Totaal[[#This Row],[Emissieloos Asfalt Aanlegset]]="JA",Referentie_Bouwplaats_Totaal[[#This Row],[Draaiuren Bouw Asfalt Vervangingen]],0)+IF(Referentie_Bouwplaats_Totaal[[#This Row],[Emissieloos Bouwmaterieel]]="JA",Referentie_Bouwplaats_Totaal[[#This Row],[Draaiuren Bouw Overig Vervangingen]],0)+IF(Referentie_Bouwplaats_Totaal[[#This Row],[Emissieloos Asfalt Verwijderset]]="JA",Referentie_Bouwplaats_Totaal[[#This Row],[Draaiuren Verwijder Asfalt Vervangingen]],0)+IF(Referentie_Bouwplaats_Totaal[[#This Row],[Emissieloos Sloopmaterieel]]="JA",Referentie_Bouwplaats_Totaal[[#This Row],[Draaiuren Verwijder Overig Vervangingen]],0)</f>
        <v>0</v>
      </c>
      <c r="R720" s="132">
        <f>Referentie_Bouwplaats_Totaal[[#This Row],[Emissieloos bouwplaats]]+Referentie_Bouwplaats_Totaal[[#This Row],[Emissieloos bouwplaats Vervangingen]]</f>
        <v>0</v>
      </c>
      <c r="S720" s="132">
        <f>(Referentie_Bouwplaats_Totaal[[#This Row],[Draaiuren Bouw Asfalt]]+Referentie_Bouwplaats_Totaal[[#This Row],[Draaiuren Bouw Overig]]+Referentie_Bouwplaats_Totaal[[#This Row],[Draaiuren Verwijder Asfalt]]+Referentie_Bouwplaats_Totaal[[#This Row],[Draaiuren Verwijder Overig]]+Referentie_Bouwplaats_Totaal[[#This Row],[Draaiuren Bouw Asfalt Vervangingen]]+Referentie_Bouwplaats_Totaal[[#This Row],[Draaiuren Bouw Overig Vervangingen]]+Referentie_Bouwplaats_Totaal[[#This Row],[Draaiuren Verwijder Asfalt Vervangingen]]+Referentie_Bouwplaats_Totaal[[#This Row],[Draaiuren Verwijder Overig Vervangingen]]-Referentie_Bouwplaats_Totaal[[#This Row],[Totaal Emissieloos Bouwplaats]])</f>
        <v>0</v>
      </c>
      <c r="T720" s="132">
        <f>Referentie_Bouwplaats_Totaal[[#This Row],[Totaal Emissieloos Bouwplaats]]+Referentie_Bouwplaats_Totaal[[#This Row],[Totaal Niet Emissieloos Bouwplaats]]</f>
        <v>0</v>
      </c>
      <c r="U720" s="132"/>
      <c r="V720" s="13"/>
      <c r="W720" s="13"/>
      <c r="X720" s="13"/>
      <c r="Y720" s="13"/>
      <c r="Z720" s="13"/>
      <c r="AA720" s="13"/>
      <c r="AB720" s="13"/>
      <c r="AC720" s="13"/>
    </row>
    <row r="721" spans="2:29">
      <c r="B721" s="209">
        <f>Baseline!B93</f>
        <v>0</v>
      </c>
      <c r="C721" s="51">
        <f>Baseline!F93</f>
        <v>0</v>
      </c>
      <c r="D721" s="134">
        <f>_xlfn.IFNA(IF(Baseline!C93="Nieuwe situatie",(Baseline!Q93/(VLOOKUP(Baseline!U93,Database_Asfalt_Aanlegset[#All],60,FALSE)/8)),0),0)</f>
        <v>0</v>
      </c>
      <c r="E721" s="135">
        <f>IFERROR(IF(Baseline!C93="Nieuwe situatie",Baseline!I93/Baseline!X93,0),0)</f>
        <v>0</v>
      </c>
      <c r="F721" s="138">
        <f>_xlfn.IFNA(IF(Baseline!C93="Bestaande situatie",Baseline!Q93/(VLOOKUP(Baseline!Y93,Database_Asfalt_Verwijderset[#All],60,FALSE)/8),0),0)</f>
        <v>0</v>
      </c>
      <c r="G721" s="138">
        <f>IFERROR(IF(Baseline!C93="Bestaande situatie",Baseline!I93/Baseline!AB93,0),0)</f>
        <v>0</v>
      </c>
      <c r="H721" s="138" t="str">
        <f>_xlfn.IFNA((VLOOKUP(Baseline!U93,Database_Asfalt_Aanlegset[],61,FALSE)),"Nee")</f>
        <v>Nee</v>
      </c>
      <c r="I721" s="138" t="str">
        <f>_xlfn.IFNA((VLOOKUP(Baseline!V93,Database_Brandstoffen[],60,FALSE)),"Nee")</f>
        <v>Nee</v>
      </c>
      <c r="J721" s="94" t="str">
        <f>_xlfn.IFNA((VLOOKUP(Baseline!Y93,Database_Asfalt_Verwijderset[],61,FALSE)),"Nee")</f>
        <v>Nee</v>
      </c>
      <c r="K721" s="94" t="str">
        <f>_xlfn.IFNA((VLOOKUP(Baseline!Z93,Database_Brandstoffen[],60,FALSE)),"Nee")</f>
        <v>Nee</v>
      </c>
      <c r="L721" s="124">
        <f>IF(Referentie_Bouwplaats_Totaal[[#This Row],[Emissieloos Asfalt Aanlegset]]="JA",Referentie_Bouwplaats_Totaal[[#This Row],[Draaiuren Bouw Asfalt]],0)+IF(Referentie_Bouwplaats_Totaal[[#This Row],[Emissieloos Bouwmaterieel]]="JA",Referentie_Bouwplaats_Totaal[[#This Row],[Draaiuren Bouw Overig]],0)+IF(Referentie_Bouwplaats_Totaal[[#This Row],[Emissieloos Asfalt Verwijderset]]="JA",Referentie_Bouwplaats_Totaal[[#This Row],[Draaiuren Verwijder Asfalt]],0)+IF(Referentie_Bouwplaats_Totaal[[#This Row],[Emissieloos Sloopmaterieel]]="JA",Referentie_Bouwplaats_Totaal[[#This Row],[Draaiuren Verwijder Overig]],0)</f>
        <v>0</v>
      </c>
      <c r="M721" s="124">
        <f>_xlfn.IFNA(IF(Baseline!C93="Nieuwe situatie",(Baseline!Q93/(VLOOKUP(Baseline!U93,Database_Asfalt_Aanlegset[#All],60,FALSE)/8)),0),0)*Baseline!R93</f>
        <v>0</v>
      </c>
      <c r="N721" s="124">
        <f>_xlfn.IFNA(IF(Baseline!C93="Nieuwe situatie",Baseline!O93/VLOOKUP(Baseline!V93,Database_Overig_Materieel[#All],8,FALSE),0),0)*Baseline!R93</f>
        <v>0</v>
      </c>
      <c r="O721" s="132">
        <f>_xlfn.IFNA(IF(Baseline!C93="Bestaande situatie",Baseline!Q93/(VLOOKUP(Baseline!Y93,Database_Asfalt_Verwijderset[#All],60,FALSE)/8),0),0)*Baseline!R93</f>
        <v>0</v>
      </c>
      <c r="P721" s="132">
        <f>_xlfn.IFNA(IF(Baseline!C93="Bestaande situatie",Baseline!O93/VLOOKUP(Baseline!Z93,Database_Overig_Materieel[#All],8,FALSE),0),0)*Baseline!R93</f>
        <v>0</v>
      </c>
      <c r="Q721" s="132">
        <f>IF(Referentie_Bouwplaats_Totaal[[#This Row],[Emissieloos Asfalt Aanlegset]]="JA",Referentie_Bouwplaats_Totaal[[#This Row],[Draaiuren Bouw Asfalt Vervangingen]],0)+IF(Referentie_Bouwplaats_Totaal[[#This Row],[Emissieloos Bouwmaterieel]]="JA",Referentie_Bouwplaats_Totaal[[#This Row],[Draaiuren Bouw Overig Vervangingen]],0)+IF(Referentie_Bouwplaats_Totaal[[#This Row],[Emissieloos Asfalt Verwijderset]]="JA",Referentie_Bouwplaats_Totaal[[#This Row],[Draaiuren Verwijder Asfalt Vervangingen]],0)+IF(Referentie_Bouwplaats_Totaal[[#This Row],[Emissieloos Sloopmaterieel]]="JA",Referentie_Bouwplaats_Totaal[[#This Row],[Draaiuren Verwijder Overig Vervangingen]],0)</f>
        <v>0</v>
      </c>
      <c r="R721" s="132">
        <f>Referentie_Bouwplaats_Totaal[[#This Row],[Emissieloos bouwplaats]]+Referentie_Bouwplaats_Totaal[[#This Row],[Emissieloos bouwplaats Vervangingen]]</f>
        <v>0</v>
      </c>
      <c r="S721" s="132">
        <f>(Referentie_Bouwplaats_Totaal[[#This Row],[Draaiuren Bouw Asfalt]]+Referentie_Bouwplaats_Totaal[[#This Row],[Draaiuren Bouw Overig]]+Referentie_Bouwplaats_Totaal[[#This Row],[Draaiuren Verwijder Asfalt]]+Referentie_Bouwplaats_Totaal[[#This Row],[Draaiuren Verwijder Overig]]+Referentie_Bouwplaats_Totaal[[#This Row],[Draaiuren Bouw Asfalt Vervangingen]]+Referentie_Bouwplaats_Totaal[[#This Row],[Draaiuren Bouw Overig Vervangingen]]+Referentie_Bouwplaats_Totaal[[#This Row],[Draaiuren Verwijder Asfalt Vervangingen]]+Referentie_Bouwplaats_Totaal[[#This Row],[Draaiuren Verwijder Overig Vervangingen]]-Referentie_Bouwplaats_Totaal[[#This Row],[Totaal Emissieloos Bouwplaats]])</f>
        <v>0</v>
      </c>
      <c r="T721" s="132">
        <f>Referentie_Bouwplaats_Totaal[[#This Row],[Totaal Emissieloos Bouwplaats]]+Referentie_Bouwplaats_Totaal[[#This Row],[Totaal Niet Emissieloos Bouwplaats]]</f>
        <v>0</v>
      </c>
      <c r="U721" s="132"/>
      <c r="V721" s="13"/>
      <c r="W721" s="13"/>
      <c r="X721" s="13"/>
      <c r="Y721" s="13"/>
      <c r="Z721" s="13"/>
      <c r="AA721" s="13"/>
      <c r="AB721" s="13"/>
      <c r="AC721" s="13"/>
    </row>
    <row r="722" spans="2:29">
      <c r="B722" s="209">
        <f>Baseline!B94</f>
        <v>0</v>
      </c>
      <c r="C722" s="51">
        <f>Baseline!F94</f>
        <v>0</v>
      </c>
      <c r="D722" s="134">
        <f>_xlfn.IFNA(IF(Baseline!C94="Nieuwe situatie",(Baseline!Q94/(VLOOKUP(Baseline!U94,Database_Asfalt_Aanlegset[#All],60,FALSE)/8)),0),0)</f>
        <v>0</v>
      </c>
      <c r="E722" s="135">
        <f>IFERROR(IF(Baseline!C94="Nieuwe situatie",Baseline!I94/Baseline!X94,0),0)</f>
        <v>0</v>
      </c>
      <c r="F722" s="138">
        <f>_xlfn.IFNA(IF(Baseline!C94="Bestaande situatie",Baseline!Q94/(VLOOKUP(Baseline!Y94,Database_Asfalt_Verwijderset[#All],60,FALSE)/8),0),0)</f>
        <v>0</v>
      </c>
      <c r="G722" s="138">
        <f>IFERROR(IF(Baseline!C94="Bestaande situatie",Baseline!I94/Baseline!AB94,0),0)</f>
        <v>0</v>
      </c>
      <c r="H722" s="138" t="str">
        <f>_xlfn.IFNA((VLOOKUP(Baseline!U94,Database_Asfalt_Aanlegset[],61,FALSE)),"Nee")</f>
        <v>Nee</v>
      </c>
      <c r="I722" s="138" t="str">
        <f>_xlfn.IFNA((VLOOKUP(Baseline!V94,Database_Brandstoffen[],60,FALSE)),"Nee")</f>
        <v>Nee</v>
      </c>
      <c r="J722" s="94" t="str">
        <f>_xlfn.IFNA((VLOOKUP(Baseline!Y94,Database_Asfalt_Verwijderset[],61,FALSE)),"Nee")</f>
        <v>Nee</v>
      </c>
      <c r="K722" s="94" t="str">
        <f>_xlfn.IFNA((VLOOKUP(Baseline!Z94,Database_Brandstoffen[],60,FALSE)),"Nee")</f>
        <v>Nee</v>
      </c>
      <c r="L722" s="124">
        <f>IF(Referentie_Bouwplaats_Totaal[[#This Row],[Emissieloos Asfalt Aanlegset]]="JA",Referentie_Bouwplaats_Totaal[[#This Row],[Draaiuren Bouw Asfalt]],0)+IF(Referentie_Bouwplaats_Totaal[[#This Row],[Emissieloos Bouwmaterieel]]="JA",Referentie_Bouwplaats_Totaal[[#This Row],[Draaiuren Bouw Overig]],0)+IF(Referentie_Bouwplaats_Totaal[[#This Row],[Emissieloos Asfalt Verwijderset]]="JA",Referentie_Bouwplaats_Totaal[[#This Row],[Draaiuren Verwijder Asfalt]],0)+IF(Referentie_Bouwplaats_Totaal[[#This Row],[Emissieloos Sloopmaterieel]]="JA",Referentie_Bouwplaats_Totaal[[#This Row],[Draaiuren Verwijder Overig]],0)</f>
        <v>0</v>
      </c>
      <c r="M722" s="124">
        <f>_xlfn.IFNA(IF(Baseline!C94="Nieuwe situatie",(Baseline!Q94/(VLOOKUP(Baseline!U94,Database_Asfalt_Aanlegset[#All],60,FALSE)/8)),0),0)*Baseline!R94</f>
        <v>0</v>
      </c>
      <c r="N722" s="124">
        <f>_xlfn.IFNA(IF(Baseline!C94="Nieuwe situatie",Baseline!O94/VLOOKUP(Baseline!V94,Database_Overig_Materieel[#All],8,FALSE),0),0)*Baseline!R94</f>
        <v>0</v>
      </c>
      <c r="O722" s="132">
        <f>_xlfn.IFNA(IF(Baseline!C94="Bestaande situatie",Baseline!Q94/(VLOOKUP(Baseline!Y94,Database_Asfalt_Verwijderset[#All],60,FALSE)/8),0),0)*Baseline!R94</f>
        <v>0</v>
      </c>
      <c r="P722" s="132">
        <f>_xlfn.IFNA(IF(Baseline!C94="Bestaande situatie",Baseline!O94/VLOOKUP(Baseline!Z94,Database_Overig_Materieel[#All],8,FALSE),0),0)*Baseline!R94</f>
        <v>0</v>
      </c>
      <c r="Q722" s="132">
        <f>IF(Referentie_Bouwplaats_Totaal[[#This Row],[Emissieloos Asfalt Aanlegset]]="JA",Referentie_Bouwplaats_Totaal[[#This Row],[Draaiuren Bouw Asfalt Vervangingen]],0)+IF(Referentie_Bouwplaats_Totaal[[#This Row],[Emissieloos Bouwmaterieel]]="JA",Referentie_Bouwplaats_Totaal[[#This Row],[Draaiuren Bouw Overig Vervangingen]],0)+IF(Referentie_Bouwplaats_Totaal[[#This Row],[Emissieloos Asfalt Verwijderset]]="JA",Referentie_Bouwplaats_Totaal[[#This Row],[Draaiuren Verwijder Asfalt Vervangingen]],0)+IF(Referentie_Bouwplaats_Totaal[[#This Row],[Emissieloos Sloopmaterieel]]="JA",Referentie_Bouwplaats_Totaal[[#This Row],[Draaiuren Verwijder Overig Vervangingen]],0)</f>
        <v>0</v>
      </c>
      <c r="R722" s="132">
        <f>Referentie_Bouwplaats_Totaal[[#This Row],[Emissieloos bouwplaats]]+Referentie_Bouwplaats_Totaal[[#This Row],[Emissieloos bouwplaats Vervangingen]]</f>
        <v>0</v>
      </c>
      <c r="S722" s="132">
        <f>(Referentie_Bouwplaats_Totaal[[#This Row],[Draaiuren Bouw Asfalt]]+Referentie_Bouwplaats_Totaal[[#This Row],[Draaiuren Bouw Overig]]+Referentie_Bouwplaats_Totaal[[#This Row],[Draaiuren Verwijder Asfalt]]+Referentie_Bouwplaats_Totaal[[#This Row],[Draaiuren Verwijder Overig]]+Referentie_Bouwplaats_Totaal[[#This Row],[Draaiuren Bouw Asfalt Vervangingen]]+Referentie_Bouwplaats_Totaal[[#This Row],[Draaiuren Bouw Overig Vervangingen]]+Referentie_Bouwplaats_Totaal[[#This Row],[Draaiuren Verwijder Asfalt Vervangingen]]+Referentie_Bouwplaats_Totaal[[#This Row],[Draaiuren Verwijder Overig Vervangingen]]-Referentie_Bouwplaats_Totaal[[#This Row],[Totaal Emissieloos Bouwplaats]])</f>
        <v>0</v>
      </c>
      <c r="T722" s="132">
        <f>Referentie_Bouwplaats_Totaal[[#This Row],[Totaal Emissieloos Bouwplaats]]+Referentie_Bouwplaats_Totaal[[#This Row],[Totaal Niet Emissieloos Bouwplaats]]</f>
        <v>0</v>
      </c>
      <c r="U722" s="132"/>
      <c r="V722" s="13"/>
      <c r="W722" s="13"/>
      <c r="X722" s="13"/>
      <c r="Y722" s="13"/>
      <c r="Z722" s="13"/>
      <c r="AA722" s="13"/>
      <c r="AB722" s="13"/>
      <c r="AC722" s="13"/>
    </row>
    <row r="723" spans="2:29">
      <c r="B723" s="209">
        <f>Baseline!B95</f>
        <v>0</v>
      </c>
      <c r="C723" s="51">
        <f>Baseline!F95</f>
        <v>0</v>
      </c>
      <c r="D723" s="134">
        <f>_xlfn.IFNA(IF(Baseline!C95="Nieuwe situatie",(Baseline!Q95/(VLOOKUP(Baseline!U95,Database_Asfalt_Aanlegset[#All],60,FALSE)/8)),0),0)</f>
        <v>0</v>
      </c>
      <c r="E723" s="135">
        <f>IFERROR(IF(Baseline!C95="Nieuwe situatie",Baseline!I95/Baseline!X95,0),0)</f>
        <v>0</v>
      </c>
      <c r="F723" s="138">
        <f>_xlfn.IFNA(IF(Baseline!C95="Bestaande situatie",Baseline!Q95/(VLOOKUP(Baseline!Y95,Database_Asfalt_Verwijderset[#All],60,FALSE)/8),0),0)</f>
        <v>0</v>
      </c>
      <c r="G723" s="138">
        <f>IFERROR(IF(Baseline!C95="Bestaande situatie",Baseline!I95/Baseline!AB95,0),0)</f>
        <v>0</v>
      </c>
      <c r="H723" s="138" t="str">
        <f>_xlfn.IFNA((VLOOKUP(Baseline!U95,Database_Asfalt_Aanlegset[],61,FALSE)),"Nee")</f>
        <v>Nee</v>
      </c>
      <c r="I723" s="138" t="str">
        <f>_xlfn.IFNA((VLOOKUP(Baseline!V95,Database_Brandstoffen[],60,FALSE)),"Nee")</f>
        <v>Nee</v>
      </c>
      <c r="J723" s="94" t="str">
        <f>_xlfn.IFNA((VLOOKUP(Baseline!Y95,Database_Asfalt_Verwijderset[],61,FALSE)),"Nee")</f>
        <v>Nee</v>
      </c>
      <c r="K723" s="94" t="str">
        <f>_xlfn.IFNA((VLOOKUP(Baseline!Z95,Database_Brandstoffen[],60,FALSE)),"Nee")</f>
        <v>Nee</v>
      </c>
      <c r="L723" s="124">
        <f>IF(Referentie_Bouwplaats_Totaal[[#This Row],[Emissieloos Asfalt Aanlegset]]="JA",Referentie_Bouwplaats_Totaal[[#This Row],[Draaiuren Bouw Asfalt]],0)+IF(Referentie_Bouwplaats_Totaal[[#This Row],[Emissieloos Bouwmaterieel]]="JA",Referentie_Bouwplaats_Totaal[[#This Row],[Draaiuren Bouw Overig]],0)+IF(Referentie_Bouwplaats_Totaal[[#This Row],[Emissieloos Asfalt Verwijderset]]="JA",Referentie_Bouwplaats_Totaal[[#This Row],[Draaiuren Verwijder Asfalt]],0)+IF(Referentie_Bouwplaats_Totaal[[#This Row],[Emissieloos Sloopmaterieel]]="JA",Referentie_Bouwplaats_Totaal[[#This Row],[Draaiuren Verwijder Overig]],0)</f>
        <v>0</v>
      </c>
      <c r="M723" s="124">
        <f>_xlfn.IFNA(IF(Baseline!C95="Nieuwe situatie",(Baseline!Q95/(VLOOKUP(Baseline!U95,Database_Asfalt_Aanlegset[#All],60,FALSE)/8)),0),0)*Baseline!R95</f>
        <v>0</v>
      </c>
      <c r="N723" s="124">
        <f>_xlfn.IFNA(IF(Baseline!C95="Nieuwe situatie",Baseline!O95/VLOOKUP(Baseline!V95,Database_Overig_Materieel[#All],8,FALSE),0),0)*Baseline!R95</f>
        <v>0</v>
      </c>
      <c r="O723" s="132">
        <f>_xlfn.IFNA(IF(Baseline!C95="Bestaande situatie",Baseline!Q95/(VLOOKUP(Baseline!Y95,Database_Asfalt_Verwijderset[#All],60,FALSE)/8),0),0)*Baseline!R95</f>
        <v>0</v>
      </c>
      <c r="P723" s="132">
        <f>_xlfn.IFNA(IF(Baseline!C95="Bestaande situatie",Baseline!O95/VLOOKUP(Baseline!Z95,Database_Overig_Materieel[#All],8,FALSE),0),0)*Baseline!R95</f>
        <v>0</v>
      </c>
      <c r="Q723" s="132">
        <f>IF(Referentie_Bouwplaats_Totaal[[#This Row],[Emissieloos Asfalt Aanlegset]]="JA",Referentie_Bouwplaats_Totaal[[#This Row],[Draaiuren Bouw Asfalt Vervangingen]],0)+IF(Referentie_Bouwplaats_Totaal[[#This Row],[Emissieloos Bouwmaterieel]]="JA",Referentie_Bouwplaats_Totaal[[#This Row],[Draaiuren Bouw Overig Vervangingen]],0)+IF(Referentie_Bouwplaats_Totaal[[#This Row],[Emissieloos Asfalt Verwijderset]]="JA",Referentie_Bouwplaats_Totaal[[#This Row],[Draaiuren Verwijder Asfalt Vervangingen]],0)+IF(Referentie_Bouwplaats_Totaal[[#This Row],[Emissieloos Sloopmaterieel]]="JA",Referentie_Bouwplaats_Totaal[[#This Row],[Draaiuren Verwijder Overig Vervangingen]],0)</f>
        <v>0</v>
      </c>
      <c r="R723" s="132">
        <f>Referentie_Bouwplaats_Totaal[[#This Row],[Emissieloos bouwplaats]]+Referentie_Bouwplaats_Totaal[[#This Row],[Emissieloos bouwplaats Vervangingen]]</f>
        <v>0</v>
      </c>
      <c r="S723" s="132">
        <f>(Referentie_Bouwplaats_Totaal[[#This Row],[Draaiuren Bouw Asfalt]]+Referentie_Bouwplaats_Totaal[[#This Row],[Draaiuren Bouw Overig]]+Referentie_Bouwplaats_Totaal[[#This Row],[Draaiuren Verwijder Asfalt]]+Referentie_Bouwplaats_Totaal[[#This Row],[Draaiuren Verwijder Overig]]+Referentie_Bouwplaats_Totaal[[#This Row],[Draaiuren Bouw Asfalt Vervangingen]]+Referentie_Bouwplaats_Totaal[[#This Row],[Draaiuren Bouw Overig Vervangingen]]+Referentie_Bouwplaats_Totaal[[#This Row],[Draaiuren Verwijder Asfalt Vervangingen]]+Referentie_Bouwplaats_Totaal[[#This Row],[Draaiuren Verwijder Overig Vervangingen]]-Referentie_Bouwplaats_Totaal[[#This Row],[Totaal Emissieloos Bouwplaats]])</f>
        <v>0</v>
      </c>
      <c r="T723" s="132">
        <f>Referentie_Bouwplaats_Totaal[[#This Row],[Totaal Emissieloos Bouwplaats]]+Referentie_Bouwplaats_Totaal[[#This Row],[Totaal Niet Emissieloos Bouwplaats]]</f>
        <v>0</v>
      </c>
      <c r="U723" s="132"/>
      <c r="V723" s="13"/>
      <c r="W723" s="13"/>
      <c r="X723" s="13"/>
      <c r="Y723" s="13"/>
      <c r="Z723" s="13"/>
      <c r="AA723" s="13"/>
      <c r="AB723" s="13"/>
      <c r="AC723" s="13"/>
    </row>
    <row r="724" spans="2:29">
      <c r="B724" s="209">
        <f>Baseline!B96</f>
        <v>0</v>
      </c>
      <c r="C724" s="51">
        <f>Baseline!F96</f>
        <v>0</v>
      </c>
      <c r="D724" s="134">
        <f>_xlfn.IFNA(IF(Baseline!C96="Nieuwe situatie",(Baseline!Q96/(VLOOKUP(Baseline!U96,Database_Asfalt_Aanlegset[#All],60,FALSE)/8)),0),0)</f>
        <v>0</v>
      </c>
      <c r="E724" s="135">
        <f>IFERROR(IF(Baseline!C96="Nieuwe situatie",Baseline!I96/Baseline!X96,0),0)</f>
        <v>0</v>
      </c>
      <c r="F724" s="138">
        <f>_xlfn.IFNA(IF(Baseline!C96="Bestaande situatie",Baseline!Q96/(VLOOKUP(Baseline!Y96,Database_Asfalt_Verwijderset[#All],60,FALSE)/8),0),0)</f>
        <v>0</v>
      </c>
      <c r="G724" s="138">
        <f>IFERROR(IF(Baseline!C96="Bestaande situatie",Baseline!I96/Baseline!AB96,0),0)</f>
        <v>0</v>
      </c>
      <c r="H724" s="138" t="str">
        <f>_xlfn.IFNA((VLOOKUP(Baseline!U96,Database_Asfalt_Aanlegset[],61,FALSE)),"Nee")</f>
        <v>Nee</v>
      </c>
      <c r="I724" s="138" t="str">
        <f>_xlfn.IFNA((VLOOKUP(Baseline!V96,Database_Brandstoffen[],60,FALSE)),"Nee")</f>
        <v>Nee</v>
      </c>
      <c r="J724" s="94" t="str">
        <f>_xlfn.IFNA((VLOOKUP(Baseline!Y96,Database_Asfalt_Verwijderset[],61,FALSE)),"Nee")</f>
        <v>Nee</v>
      </c>
      <c r="K724" s="94" t="str">
        <f>_xlfn.IFNA((VLOOKUP(Baseline!Z96,Database_Brandstoffen[],60,FALSE)),"Nee")</f>
        <v>Nee</v>
      </c>
      <c r="L724" s="124">
        <f>IF(Referentie_Bouwplaats_Totaal[[#This Row],[Emissieloos Asfalt Aanlegset]]="JA",Referentie_Bouwplaats_Totaal[[#This Row],[Draaiuren Bouw Asfalt]],0)+IF(Referentie_Bouwplaats_Totaal[[#This Row],[Emissieloos Bouwmaterieel]]="JA",Referentie_Bouwplaats_Totaal[[#This Row],[Draaiuren Bouw Overig]],0)+IF(Referentie_Bouwplaats_Totaal[[#This Row],[Emissieloos Asfalt Verwijderset]]="JA",Referentie_Bouwplaats_Totaal[[#This Row],[Draaiuren Verwijder Asfalt]],0)+IF(Referentie_Bouwplaats_Totaal[[#This Row],[Emissieloos Sloopmaterieel]]="JA",Referentie_Bouwplaats_Totaal[[#This Row],[Draaiuren Verwijder Overig]],0)</f>
        <v>0</v>
      </c>
      <c r="M724" s="124">
        <f>_xlfn.IFNA(IF(Baseline!C96="Nieuwe situatie",(Baseline!Q96/(VLOOKUP(Baseline!U96,Database_Asfalt_Aanlegset[#All],60,FALSE)/8)),0),0)*Baseline!R96</f>
        <v>0</v>
      </c>
      <c r="N724" s="124">
        <f>_xlfn.IFNA(IF(Baseline!C96="Nieuwe situatie",Baseline!O96/VLOOKUP(Baseline!V96,Database_Overig_Materieel[#All],8,FALSE),0),0)*Baseline!R96</f>
        <v>0</v>
      </c>
      <c r="O724" s="132">
        <f>_xlfn.IFNA(IF(Baseline!C96="Bestaande situatie",Baseline!Q96/(VLOOKUP(Baseline!Y96,Database_Asfalt_Verwijderset[#All],60,FALSE)/8),0),0)*Baseline!R96</f>
        <v>0</v>
      </c>
      <c r="P724" s="132">
        <f>_xlfn.IFNA(IF(Baseline!C96="Bestaande situatie",Baseline!O96/VLOOKUP(Baseline!Z96,Database_Overig_Materieel[#All],8,FALSE),0),0)*Baseline!R96</f>
        <v>0</v>
      </c>
      <c r="Q724" s="132">
        <f>IF(Referentie_Bouwplaats_Totaal[[#This Row],[Emissieloos Asfalt Aanlegset]]="JA",Referentie_Bouwplaats_Totaal[[#This Row],[Draaiuren Bouw Asfalt Vervangingen]],0)+IF(Referentie_Bouwplaats_Totaal[[#This Row],[Emissieloos Bouwmaterieel]]="JA",Referentie_Bouwplaats_Totaal[[#This Row],[Draaiuren Bouw Overig Vervangingen]],0)+IF(Referentie_Bouwplaats_Totaal[[#This Row],[Emissieloos Asfalt Verwijderset]]="JA",Referentie_Bouwplaats_Totaal[[#This Row],[Draaiuren Verwijder Asfalt Vervangingen]],0)+IF(Referentie_Bouwplaats_Totaal[[#This Row],[Emissieloos Sloopmaterieel]]="JA",Referentie_Bouwplaats_Totaal[[#This Row],[Draaiuren Verwijder Overig Vervangingen]],0)</f>
        <v>0</v>
      </c>
      <c r="R724" s="132">
        <f>Referentie_Bouwplaats_Totaal[[#This Row],[Emissieloos bouwplaats]]+Referentie_Bouwplaats_Totaal[[#This Row],[Emissieloos bouwplaats Vervangingen]]</f>
        <v>0</v>
      </c>
      <c r="S724" s="132">
        <f>(Referentie_Bouwplaats_Totaal[[#This Row],[Draaiuren Bouw Asfalt]]+Referentie_Bouwplaats_Totaal[[#This Row],[Draaiuren Bouw Overig]]+Referentie_Bouwplaats_Totaal[[#This Row],[Draaiuren Verwijder Asfalt]]+Referentie_Bouwplaats_Totaal[[#This Row],[Draaiuren Verwijder Overig]]+Referentie_Bouwplaats_Totaal[[#This Row],[Draaiuren Bouw Asfalt Vervangingen]]+Referentie_Bouwplaats_Totaal[[#This Row],[Draaiuren Bouw Overig Vervangingen]]+Referentie_Bouwplaats_Totaal[[#This Row],[Draaiuren Verwijder Asfalt Vervangingen]]+Referentie_Bouwplaats_Totaal[[#This Row],[Draaiuren Verwijder Overig Vervangingen]]-Referentie_Bouwplaats_Totaal[[#This Row],[Totaal Emissieloos Bouwplaats]])</f>
        <v>0</v>
      </c>
      <c r="T724" s="132">
        <f>Referentie_Bouwplaats_Totaal[[#This Row],[Totaal Emissieloos Bouwplaats]]+Referentie_Bouwplaats_Totaal[[#This Row],[Totaal Niet Emissieloos Bouwplaats]]</f>
        <v>0</v>
      </c>
      <c r="U724" s="132"/>
      <c r="V724" s="13"/>
      <c r="W724" s="13"/>
      <c r="X724" s="13"/>
      <c r="Y724" s="13"/>
      <c r="Z724" s="13"/>
      <c r="AA724" s="13"/>
      <c r="AB724" s="13"/>
      <c r="AC724" s="13"/>
    </row>
    <row r="725" spans="2:29">
      <c r="B725" s="209">
        <f>Baseline!B97</f>
        <v>0</v>
      </c>
      <c r="C725" s="51">
        <f>Baseline!F97</f>
        <v>0</v>
      </c>
      <c r="D725" s="134">
        <f>_xlfn.IFNA(IF(Baseline!C97="Nieuwe situatie",(Baseline!Q97/(VLOOKUP(Baseline!U97,Database_Asfalt_Aanlegset[#All],60,FALSE)/8)),0),0)</f>
        <v>0</v>
      </c>
      <c r="E725" s="135">
        <f>IFERROR(IF(Baseline!C97="Nieuwe situatie",Baseline!I97/Baseline!X97,0),0)</f>
        <v>0</v>
      </c>
      <c r="F725" s="138">
        <f>_xlfn.IFNA(IF(Baseline!C97="Bestaande situatie",Baseline!Q97/(VLOOKUP(Baseline!Y97,Database_Asfalt_Verwijderset[#All],60,FALSE)/8),0),0)</f>
        <v>0</v>
      </c>
      <c r="G725" s="138">
        <f>IFERROR(IF(Baseline!C97="Bestaande situatie",Baseline!I97/Baseline!AB97,0),0)</f>
        <v>0</v>
      </c>
      <c r="H725" s="138" t="str">
        <f>_xlfn.IFNA((VLOOKUP(Baseline!U97,Database_Asfalt_Aanlegset[],61,FALSE)),"Nee")</f>
        <v>Nee</v>
      </c>
      <c r="I725" s="138" t="str">
        <f>_xlfn.IFNA((VLOOKUP(Baseline!V97,Database_Brandstoffen[],60,FALSE)),"Nee")</f>
        <v>Nee</v>
      </c>
      <c r="J725" s="94" t="str">
        <f>_xlfn.IFNA((VLOOKUP(Baseline!Y97,Database_Asfalt_Verwijderset[],61,FALSE)),"Nee")</f>
        <v>Nee</v>
      </c>
      <c r="K725" s="94" t="str">
        <f>_xlfn.IFNA((VLOOKUP(Baseline!Z97,Database_Brandstoffen[],60,FALSE)),"Nee")</f>
        <v>Nee</v>
      </c>
      <c r="L725" s="124">
        <f>IF(Referentie_Bouwplaats_Totaal[[#This Row],[Emissieloos Asfalt Aanlegset]]="JA",Referentie_Bouwplaats_Totaal[[#This Row],[Draaiuren Bouw Asfalt]],0)+IF(Referentie_Bouwplaats_Totaal[[#This Row],[Emissieloos Bouwmaterieel]]="JA",Referentie_Bouwplaats_Totaal[[#This Row],[Draaiuren Bouw Overig]],0)+IF(Referentie_Bouwplaats_Totaal[[#This Row],[Emissieloos Asfalt Verwijderset]]="JA",Referentie_Bouwplaats_Totaal[[#This Row],[Draaiuren Verwijder Asfalt]],0)+IF(Referentie_Bouwplaats_Totaal[[#This Row],[Emissieloos Sloopmaterieel]]="JA",Referentie_Bouwplaats_Totaal[[#This Row],[Draaiuren Verwijder Overig]],0)</f>
        <v>0</v>
      </c>
      <c r="M725" s="124">
        <f>_xlfn.IFNA(IF(Baseline!C97="Nieuwe situatie",(Baseline!Q97/(VLOOKUP(Baseline!U97,Database_Asfalt_Aanlegset[#All],60,FALSE)/8)),0),0)*Baseline!R97</f>
        <v>0</v>
      </c>
      <c r="N725" s="124">
        <f>_xlfn.IFNA(IF(Baseline!C97="Nieuwe situatie",Baseline!O97/VLOOKUP(Baseline!V97,Database_Overig_Materieel[#All],8,FALSE),0),0)*Baseline!R97</f>
        <v>0</v>
      </c>
      <c r="O725" s="132">
        <f>_xlfn.IFNA(IF(Baseline!C97="Bestaande situatie",Baseline!Q97/(VLOOKUP(Baseline!Y97,Database_Asfalt_Verwijderset[#All],60,FALSE)/8),0),0)*Baseline!R97</f>
        <v>0</v>
      </c>
      <c r="P725" s="132">
        <f>_xlfn.IFNA(IF(Baseline!C97="Bestaande situatie",Baseline!O97/VLOOKUP(Baseline!Z97,Database_Overig_Materieel[#All],8,FALSE),0),0)*Baseline!R97</f>
        <v>0</v>
      </c>
      <c r="Q725" s="132">
        <f>IF(Referentie_Bouwplaats_Totaal[[#This Row],[Emissieloos Asfalt Aanlegset]]="JA",Referentie_Bouwplaats_Totaal[[#This Row],[Draaiuren Bouw Asfalt Vervangingen]],0)+IF(Referentie_Bouwplaats_Totaal[[#This Row],[Emissieloos Bouwmaterieel]]="JA",Referentie_Bouwplaats_Totaal[[#This Row],[Draaiuren Bouw Overig Vervangingen]],0)+IF(Referentie_Bouwplaats_Totaal[[#This Row],[Emissieloos Asfalt Verwijderset]]="JA",Referentie_Bouwplaats_Totaal[[#This Row],[Draaiuren Verwijder Asfalt Vervangingen]],0)+IF(Referentie_Bouwplaats_Totaal[[#This Row],[Emissieloos Sloopmaterieel]]="JA",Referentie_Bouwplaats_Totaal[[#This Row],[Draaiuren Verwijder Overig Vervangingen]],0)</f>
        <v>0</v>
      </c>
      <c r="R725" s="132">
        <f>Referentie_Bouwplaats_Totaal[[#This Row],[Emissieloos bouwplaats]]+Referentie_Bouwplaats_Totaal[[#This Row],[Emissieloos bouwplaats Vervangingen]]</f>
        <v>0</v>
      </c>
      <c r="S725" s="132">
        <f>(Referentie_Bouwplaats_Totaal[[#This Row],[Draaiuren Bouw Asfalt]]+Referentie_Bouwplaats_Totaal[[#This Row],[Draaiuren Bouw Overig]]+Referentie_Bouwplaats_Totaal[[#This Row],[Draaiuren Verwijder Asfalt]]+Referentie_Bouwplaats_Totaal[[#This Row],[Draaiuren Verwijder Overig]]+Referentie_Bouwplaats_Totaal[[#This Row],[Draaiuren Bouw Asfalt Vervangingen]]+Referentie_Bouwplaats_Totaal[[#This Row],[Draaiuren Bouw Overig Vervangingen]]+Referentie_Bouwplaats_Totaal[[#This Row],[Draaiuren Verwijder Asfalt Vervangingen]]+Referentie_Bouwplaats_Totaal[[#This Row],[Draaiuren Verwijder Overig Vervangingen]]-Referentie_Bouwplaats_Totaal[[#This Row],[Totaal Emissieloos Bouwplaats]])</f>
        <v>0</v>
      </c>
      <c r="T725" s="132">
        <f>Referentie_Bouwplaats_Totaal[[#This Row],[Totaal Emissieloos Bouwplaats]]+Referentie_Bouwplaats_Totaal[[#This Row],[Totaal Niet Emissieloos Bouwplaats]]</f>
        <v>0</v>
      </c>
      <c r="U725" s="132"/>
      <c r="V725" s="13"/>
      <c r="W725" s="13"/>
      <c r="X725" s="13"/>
      <c r="Y725" s="13"/>
      <c r="Z725" s="13"/>
      <c r="AA725" s="13"/>
      <c r="AB725" s="13"/>
      <c r="AC725" s="13"/>
    </row>
    <row r="726" spans="2:29">
      <c r="B726" s="209">
        <f>Baseline!B98</f>
        <v>0</v>
      </c>
      <c r="C726" s="51">
        <f>Baseline!F98</f>
        <v>0</v>
      </c>
      <c r="D726" s="134">
        <f>_xlfn.IFNA(IF(Baseline!C98="Nieuwe situatie",(Baseline!Q98/(VLOOKUP(Baseline!U98,Database_Asfalt_Aanlegset[#All],60,FALSE)/8)),0),0)</f>
        <v>0</v>
      </c>
      <c r="E726" s="135">
        <f>IFERROR(IF(Baseline!C98="Nieuwe situatie",Baseline!I98/Baseline!X98,0),0)</f>
        <v>0</v>
      </c>
      <c r="F726" s="138">
        <f>_xlfn.IFNA(IF(Baseline!C98="Bestaande situatie",Baseline!Q98/(VLOOKUP(Baseline!Y98,Database_Asfalt_Verwijderset[#All],60,FALSE)/8),0),0)</f>
        <v>0</v>
      </c>
      <c r="G726" s="138">
        <f>IFERROR(IF(Baseline!C98="Bestaande situatie",Baseline!I98/Baseline!AB98,0),0)</f>
        <v>0</v>
      </c>
      <c r="H726" s="138" t="str">
        <f>_xlfn.IFNA((VLOOKUP(Baseline!U98,Database_Asfalt_Aanlegset[],61,FALSE)),"Nee")</f>
        <v>Nee</v>
      </c>
      <c r="I726" s="138" t="str">
        <f>_xlfn.IFNA((VLOOKUP(Baseline!V98,Database_Brandstoffen[],60,FALSE)),"Nee")</f>
        <v>Nee</v>
      </c>
      <c r="J726" s="94" t="str">
        <f>_xlfn.IFNA((VLOOKUP(Baseline!Y98,Database_Asfalt_Verwijderset[],61,FALSE)),"Nee")</f>
        <v>Nee</v>
      </c>
      <c r="K726" s="94" t="str">
        <f>_xlfn.IFNA((VLOOKUP(Baseline!Z98,Database_Brandstoffen[],60,FALSE)),"Nee")</f>
        <v>Nee</v>
      </c>
      <c r="L726" s="124">
        <f>IF(Referentie_Bouwplaats_Totaal[[#This Row],[Emissieloos Asfalt Aanlegset]]="JA",Referentie_Bouwplaats_Totaal[[#This Row],[Draaiuren Bouw Asfalt]],0)+IF(Referentie_Bouwplaats_Totaal[[#This Row],[Emissieloos Bouwmaterieel]]="JA",Referentie_Bouwplaats_Totaal[[#This Row],[Draaiuren Bouw Overig]],0)+IF(Referentie_Bouwplaats_Totaal[[#This Row],[Emissieloos Asfalt Verwijderset]]="JA",Referentie_Bouwplaats_Totaal[[#This Row],[Draaiuren Verwijder Asfalt]],0)+IF(Referentie_Bouwplaats_Totaal[[#This Row],[Emissieloos Sloopmaterieel]]="JA",Referentie_Bouwplaats_Totaal[[#This Row],[Draaiuren Verwijder Overig]],0)</f>
        <v>0</v>
      </c>
      <c r="M726" s="124">
        <f>_xlfn.IFNA(IF(Baseline!C98="Nieuwe situatie",(Baseline!Q98/(VLOOKUP(Baseline!U98,Database_Asfalt_Aanlegset[#All],60,FALSE)/8)),0),0)*Baseline!R98</f>
        <v>0</v>
      </c>
      <c r="N726" s="124">
        <f>_xlfn.IFNA(IF(Baseline!C98="Nieuwe situatie",Baseline!O98/VLOOKUP(Baseline!V98,Database_Overig_Materieel[#All],8,FALSE),0),0)*Baseline!R98</f>
        <v>0</v>
      </c>
      <c r="O726" s="132">
        <f>_xlfn.IFNA(IF(Baseline!C98="Bestaande situatie",Baseline!Q98/(VLOOKUP(Baseline!Y98,Database_Asfalt_Verwijderset[#All],60,FALSE)/8),0),0)*Baseline!R98</f>
        <v>0</v>
      </c>
      <c r="P726" s="132">
        <f>_xlfn.IFNA(IF(Baseline!C98="Bestaande situatie",Baseline!O98/VLOOKUP(Baseline!Z98,Database_Overig_Materieel[#All],8,FALSE),0),0)*Baseline!R98</f>
        <v>0</v>
      </c>
      <c r="Q726" s="132">
        <f>IF(Referentie_Bouwplaats_Totaal[[#This Row],[Emissieloos Asfalt Aanlegset]]="JA",Referentie_Bouwplaats_Totaal[[#This Row],[Draaiuren Bouw Asfalt Vervangingen]],0)+IF(Referentie_Bouwplaats_Totaal[[#This Row],[Emissieloos Bouwmaterieel]]="JA",Referentie_Bouwplaats_Totaal[[#This Row],[Draaiuren Bouw Overig Vervangingen]],0)+IF(Referentie_Bouwplaats_Totaal[[#This Row],[Emissieloos Asfalt Verwijderset]]="JA",Referentie_Bouwplaats_Totaal[[#This Row],[Draaiuren Verwijder Asfalt Vervangingen]],0)+IF(Referentie_Bouwplaats_Totaal[[#This Row],[Emissieloos Sloopmaterieel]]="JA",Referentie_Bouwplaats_Totaal[[#This Row],[Draaiuren Verwijder Overig Vervangingen]],0)</f>
        <v>0</v>
      </c>
      <c r="R726" s="132">
        <f>Referentie_Bouwplaats_Totaal[[#This Row],[Emissieloos bouwplaats]]+Referentie_Bouwplaats_Totaal[[#This Row],[Emissieloos bouwplaats Vervangingen]]</f>
        <v>0</v>
      </c>
      <c r="S726" s="132">
        <f>(Referentie_Bouwplaats_Totaal[[#This Row],[Draaiuren Bouw Asfalt]]+Referentie_Bouwplaats_Totaal[[#This Row],[Draaiuren Bouw Overig]]+Referentie_Bouwplaats_Totaal[[#This Row],[Draaiuren Verwijder Asfalt]]+Referentie_Bouwplaats_Totaal[[#This Row],[Draaiuren Verwijder Overig]]+Referentie_Bouwplaats_Totaal[[#This Row],[Draaiuren Bouw Asfalt Vervangingen]]+Referentie_Bouwplaats_Totaal[[#This Row],[Draaiuren Bouw Overig Vervangingen]]+Referentie_Bouwplaats_Totaal[[#This Row],[Draaiuren Verwijder Asfalt Vervangingen]]+Referentie_Bouwplaats_Totaal[[#This Row],[Draaiuren Verwijder Overig Vervangingen]]-Referentie_Bouwplaats_Totaal[[#This Row],[Totaal Emissieloos Bouwplaats]])</f>
        <v>0</v>
      </c>
      <c r="T726" s="132">
        <f>Referentie_Bouwplaats_Totaal[[#This Row],[Totaal Emissieloos Bouwplaats]]+Referentie_Bouwplaats_Totaal[[#This Row],[Totaal Niet Emissieloos Bouwplaats]]</f>
        <v>0</v>
      </c>
      <c r="U726" s="132"/>
      <c r="V726" s="13"/>
      <c r="W726" s="13"/>
      <c r="X726" s="13"/>
      <c r="Y726" s="13"/>
      <c r="Z726" s="13"/>
      <c r="AA726" s="13"/>
      <c r="AB726" s="13"/>
      <c r="AC726" s="13"/>
    </row>
    <row r="727" spans="2:29">
      <c r="B727" s="209">
        <f>Baseline!B99</f>
        <v>0</v>
      </c>
      <c r="C727" s="51">
        <f>Baseline!F99</f>
        <v>0</v>
      </c>
      <c r="D727" s="134">
        <f>_xlfn.IFNA(IF(Baseline!C99="Nieuwe situatie",(Baseline!Q99/(VLOOKUP(Baseline!U99,Database_Asfalt_Aanlegset[#All],60,FALSE)/8)),0),0)</f>
        <v>0</v>
      </c>
      <c r="E727" s="135">
        <f>IFERROR(IF(Baseline!C99="Nieuwe situatie",Baseline!I99/Baseline!X99,0),0)</f>
        <v>0</v>
      </c>
      <c r="F727" s="138">
        <f>_xlfn.IFNA(IF(Baseline!C99="Bestaande situatie",Baseline!Q99/(VLOOKUP(Baseline!Y99,Database_Asfalt_Verwijderset[#All],60,FALSE)/8),0),0)</f>
        <v>0</v>
      </c>
      <c r="G727" s="138">
        <f>IFERROR(IF(Baseline!C99="Bestaande situatie",Baseline!I99/Baseline!AB99,0),0)</f>
        <v>0</v>
      </c>
      <c r="H727" s="138" t="str">
        <f>_xlfn.IFNA((VLOOKUP(Baseline!U99,Database_Asfalt_Aanlegset[],61,FALSE)),"Nee")</f>
        <v>Nee</v>
      </c>
      <c r="I727" s="138" t="str">
        <f>_xlfn.IFNA((VLOOKUP(Baseline!V99,Database_Brandstoffen[],60,FALSE)),"Nee")</f>
        <v>Nee</v>
      </c>
      <c r="J727" s="94" t="str">
        <f>_xlfn.IFNA((VLOOKUP(Baseline!Y99,Database_Asfalt_Verwijderset[],61,FALSE)),"Nee")</f>
        <v>Nee</v>
      </c>
      <c r="K727" s="94" t="str">
        <f>_xlfn.IFNA((VLOOKUP(Baseline!Z99,Database_Brandstoffen[],60,FALSE)),"Nee")</f>
        <v>Nee</v>
      </c>
      <c r="L727" s="124">
        <f>IF(Referentie_Bouwplaats_Totaal[[#This Row],[Emissieloos Asfalt Aanlegset]]="JA",Referentie_Bouwplaats_Totaal[[#This Row],[Draaiuren Bouw Asfalt]],0)+IF(Referentie_Bouwplaats_Totaal[[#This Row],[Emissieloos Bouwmaterieel]]="JA",Referentie_Bouwplaats_Totaal[[#This Row],[Draaiuren Bouw Overig]],0)+IF(Referentie_Bouwplaats_Totaal[[#This Row],[Emissieloos Asfalt Verwijderset]]="JA",Referentie_Bouwplaats_Totaal[[#This Row],[Draaiuren Verwijder Asfalt]],0)+IF(Referentie_Bouwplaats_Totaal[[#This Row],[Emissieloos Sloopmaterieel]]="JA",Referentie_Bouwplaats_Totaal[[#This Row],[Draaiuren Verwijder Overig]],0)</f>
        <v>0</v>
      </c>
      <c r="M727" s="124">
        <f>_xlfn.IFNA(IF(Baseline!C99="Nieuwe situatie",(Baseline!Q99/(VLOOKUP(Baseline!U99,Database_Asfalt_Aanlegset[#All],60,FALSE)/8)),0),0)*Baseline!R99</f>
        <v>0</v>
      </c>
      <c r="N727" s="124">
        <f>_xlfn.IFNA(IF(Baseline!C99="Nieuwe situatie",Baseline!O99/VLOOKUP(Baseline!V99,Database_Overig_Materieel[#All],8,FALSE),0),0)*Baseline!R99</f>
        <v>0</v>
      </c>
      <c r="O727" s="132">
        <f>_xlfn.IFNA(IF(Baseline!C99="Bestaande situatie",Baseline!Q99/(VLOOKUP(Baseline!Y99,Database_Asfalt_Verwijderset[#All],60,FALSE)/8),0),0)*Baseline!R99</f>
        <v>0</v>
      </c>
      <c r="P727" s="132">
        <f>_xlfn.IFNA(IF(Baseline!C99="Bestaande situatie",Baseline!O99/VLOOKUP(Baseline!Z99,Database_Overig_Materieel[#All],8,FALSE),0),0)*Baseline!R99</f>
        <v>0</v>
      </c>
      <c r="Q727" s="132">
        <f>IF(Referentie_Bouwplaats_Totaal[[#This Row],[Emissieloos Asfalt Aanlegset]]="JA",Referentie_Bouwplaats_Totaal[[#This Row],[Draaiuren Bouw Asfalt Vervangingen]],0)+IF(Referentie_Bouwplaats_Totaal[[#This Row],[Emissieloos Bouwmaterieel]]="JA",Referentie_Bouwplaats_Totaal[[#This Row],[Draaiuren Bouw Overig Vervangingen]],0)+IF(Referentie_Bouwplaats_Totaal[[#This Row],[Emissieloos Asfalt Verwijderset]]="JA",Referentie_Bouwplaats_Totaal[[#This Row],[Draaiuren Verwijder Asfalt Vervangingen]],0)+IF(Referentie_Bouwplaats_Totaal[[#This Row],[Emissieloos Sloopmaterieel]]="JA",Referentie_Bouwplaats_Totaal[[#This Row],[Draaiuren Verwijder Overig Vervangingen]],0)</f>
        <v>0</v>
      </c>
      <c r="R727" s="132">
        <f>Referentie_Bouwplaats_Totaal[[#This Row],[Emissieloos bouwplaats]]+Referentie_Bouwplaats_Totaal[[#This Row],[Emissieloos bouwplaats Vervangingen]]</f>
        <v>0</v>
      </c>
      <c r="S727" s="132">
        <f>(Referentie_Bouwplaats_Totaal[[#This Row],[Draaiuren Bouw Asfalt]]+Referentie_Bouwplaats_Totaal[[#This Row],[Draaiuren Bouw Overig]]+Referentie_Bouwplaats_Totaal[[#This Row],[Draaiuren Verwijder Asfalt]]+Referentie_Bouwplaats_Totaal[[#This Row],[Draaiuren Verwijder Overig]]+Referentie_Bouwplaats_Totaal[[#This Row],[Draaiuren Bouw Asfalt Vervangingen]]+Referentie_Bouwplaats_Totaal[[#This Row],[Draaiuren Bouw Overig Vervangingen]]+Referentie_Bouwplaats_Totaal[[#This Row],[Draaiuren Verwijder Asfalt Vervangingen]]+Referentie_Bouwplaats_Totaal[[#This Row],[Draaiuren Verwijder Overig Vervangingen]]-Referentie_Bouwplaats_Totaal[[#This Row],[Totaal Emissieloos Bouwplaats]])</f>
        <v>0</v>
      </c>
      <c r="T727" s="132">
        <f>Referentie_Bouwplaats_Totaal[[#This Row],[Totaal Emissieloos Bouwplaats]]+Referentie_Bouwplaats_Totaal[[#This Row],[Totaal Niet Emissieloos Bouwplaats]]</f>
        <v>0</v>
      </c>
      <c r="U727" s="132"/>
      <c r="V727" s="13"/>
      <c r="W727" s="13"/>
      <c r="X727" s="13"/>
      <c r="Y727" s="13"/>
      <c r="Z727" s="13"/>
      <c r="AA727" s="13"/>
      <c r="AB727" s="13"/>
      <c r="AC727" s="13"/>
    </row>
    <row r="728" spans="2:29">
      <c r="B728" s="209">
        <f>Baseline!B100</f>
        <v>0</v>
      </c>
      <c r="C728" s="51">
        <f>Baseline!F100</f>
        <v>0</v>
      </c>
      <c r="D728" s="134">
        <f>_xlfn.IFNA(IF(Baseline!C100="Nieuwe situatie",(Baseline!Q100/(VLOOKUP(Baseline!U100,Database_Asfalt_Aanlegset[#All],60,FALSE)/8)),0),0)</f>
        <v>0</v>
      </c>
      <c r="E728" s="135">
        <f>IFERROR(IF(Baseline!C100="Nieuwe situatie",Baseline!I100/Baseline!X100,0),0)</f>
        <v>0</v>
      </c>
      <c r="F728" s="138">
        <f>_xlfn.IFNA(IF(Baseline!C100="Bestaande situatie",Baseline!Q100/(VLOOKUP(Baseline!Y100,Database_Asfalt_Verwijderset[#All],60,FALSE)/8),0),0)</f>
        <v>0</v>
      </c>
      <c r="G728" s="138">
        <f>IFERROR(IF(Baseline!C100="Bestaande situatie",Baseline!I100/Baseline!AB100,0),0)</f>
        <v>0</v>
      </c>
      <c r="H728" s="138" t="str">
        <f>_xlfn.IFNA((VLOOKUP(Baseline!U100,Database_Asfalt_Aanlegset[],61,FALSE)),"Nee")</f>
        <v>Nee</v>
      </c>
      <c r="I728" s="138" t="str">
        <f>_xlfn.IFNA((VLOOKUP(Baseline!V100,Database_Brandstoffen[],60,FALSE)),"Nee")</f>
        <v>Nee</v>
      </c>
      <c r="J728" s="94" t="str">
        <f>_xlfn.IFNA((VLOOKUP(Baseline!Y100,Database_Asfalt_Verwijderset[],61,FALSE)),"Nee")</f>
        <v>Nee</v>
      </c>
      <c r="K728" s="94" t="str">
        <f>_xlfn.IFNA((VLOOKUP(Baseline!Z100,Database_Brandstoffen[],60,FALSE)),"Nee")</f>
        <v>Nee</v>
      </c>
      <c r="L728" s="124">
        <f>IF(Referentie_Bouwplaats_Totaal[[#This Row],[Emissieloos Asfalt Aanlegset]]="JA",Referentie_Bouwplaats_Totaal[[#This Row],[Draaiuren Bouw Asfalt]],0)+IF(Referentie_Bouwplaats_Totaal[[#This Row],[Emissieloos Bouwmaterieel]]="JA",Referentie_Bouwplaats_Totaal[[#This Row],[Draaiuren Bouw Overig]],0)+IF(Referentie_Bouwplaats_Totaal[[#This Row],[Emissieloos Asfalt Verwijderset]]="JA",Referentie_Bouwplaats_Totaal[[#This Row],[Draaiuren Verwijder Asfalt]],0)+IF(Referentie_Bouwplaats_Totaal[[#This Row],[Emissieloos Sloopmaterieel]]="JA",Referentie_Bouwplaats_Totaal[[#This Row],[Draaiuren Verwijder Overig]],0)</f>
        <v>0</v>
      </c>
      <c r="M728" s="124">
        <f>_xlfn.IFNA(IF(Baseline!C100="Nieuwe situatie",(Baseline!Q100/(VLOOKUP(Baseline!U100,Database_Asfalt_Aanlegset[#All],60,FALSE)/8)),0),0)*Baseline!R100</f>
        <v>0</v>
      </c>
      <c r="N728" s="124">
        <f>_xlfn.IFNA(IF(Baseline!C100="Nieuwe situatie",Baseline!O100/VLOOKUP(Baseline!V100,Database_Overig_Materieel[#All],8,FALSE),0),0)*Baseline!R100</f>
        <v>0</v>
      </c>
      <c r="O728" s="132">
        <f>_xlfn.IFNA(IF(Baseline!C100="Bestaande situatie",Baseline!Q100/(VLOOKUP(Baseline!Y100,Database_Asfalt_Verwijderset[#All],60,FALSE)/8),0),0)*Baseline!R100</f>
        <v>0</v>
      </c>
      <c r="P728" s="132">
        <f>_xlfn.IFNA(IF(Baseline!C100="Bestaande situatie",Baseline!O100/VLOOKUP(Baseline!Z100,Database_Overig_Materieel[#All],8,FALSE),0),0)*Baseline!R100</f>
        <v>0</v>
      </c>
      <c r="Q728" s="132">
        <f>IF(Referentie_Bouwplaats_Totaal[[#This Row],[Emissieloos Asfalt Aanlegset]]="JA",Referentie_Bouwplaats_Totaal[[#This Row],[Draaiuren Bouw Asfalt Vervangingen]],0)+IF(Referentie_Bouwplaats_Totaal[[#This Row],[Emissieloos Bouwmaterieel]]="JA",Referentie_Bouwplaats_Totaal[[#This Row],[Draaiuren Bouw Overig Vervangingen]],0)+IF(Referentie_Bouwplaats_Totaal[[#This Row],[Emissieloos Asfalt Verwijderset]]="JA",Referentie_Bouwplaats_Totaal[[#This Row],[Draaiuren Verwijder Asfalt Vervangingen]],0)+IF(Referentie_Bouwplaats_Totaal[[#This Row],[Emissieloos Sloopmaterieel]]="JA",Referentie_Bouwplaats_Totaal[[#This Row],[Draaiuren Verwijder Overig Vervangingen]],0)</f>
        <v>0</v>
      </c>
      <c r="R728" s="132">
        <f>Referentie_Bouwplaats_Totaal[[#This Row],[Emissieloos bouwplaats]]+Referentie_Bouwplaats_Totaal[[#This Row],[Emissieloos bouwplaats Vervangingen]]</f>
        <v>0</v>
      </c>
      <c r="S728" s="132">
        <f>(Referentie_Bouwplaats_Totaal[[#This Row],[Draaiuren Bouw Asfalt]]+Referentie_Bouwplaats_Totaal[[#This Row],[Draaiuren Bouw Overig]]+Referentie_Bouwplaats_Totaal[[#This Row],[Draaiuren Verwijder Asfalt]]+Referentie_Bouwplaats_Totaal[[#This Row],[Draaiuren Verwijder Overig]]+Referentie_Bouwplaats_Totaal[[#This Row],[Draaiuren Bouw Asfalt Vervangingen]]+Referentie_Bouwplaats_Totaal[[#This Row],[Draaiuren Bouw Overig Vervangingen]]+Referentie_Bouwplaats_Totaal[[#This Row],[Draaiuren Verwijder Asfalt Vervangingen]]+Referentie_Bouwplaats_Totaal[[#This Row],[Draaiuren Verwijder Overig Vervangingen]]-Referentie_Bouwplaats_Totaal[[#This Row],[Totaal Emissieloos Bouwplaats]])</f>
        <v>0</v>
      </c>
      <c r="T728" s="132">
        <f>Referentie_Bouwplaats_Totaal[[#This Row],[Totaal Emissieloos Bouwplaats]]+Referentie_Bouwplaats_Totaal[[#This Row],[Totaal Niet Emissieloos Bouwplaats]]</f>
        <v>0</v>
      </c>
      <c r="U728" s="132"/>
      <c r="V728" s="13"/>
      <c r="W728" s="13"/>
      <c r="X728" s="13"/>
      <c r="Y728" s="13"/>
      <c r="Z728" s="13"/>
      <c r="AA728" s="13"/>
      <c r="AB728" s="13"/>
      <c r="AC728" s="13"/>
    </row>
    <row r="729" spans="2:29">
      <c r="B729" s="209">
        <f>Baseline!B101</f>
        <v>0</v>
      </c>
      <c r="C729" s="51">
        <f>Baseline!F101</f>
        <v>0</v>
      </c>
      <c r="D729" s="134">
        <f>_xlfn.IFNA(IF(Baseline!C101="Nieuwe situatie",(Baseline!Q101/(VLOOKUP(Baseline!U101,Database_Asfalt_Aanlegset[#All],60,FALSE)/8)),0),0)</f>
        <v>0</v>
      </c>
      <c r="E729" s="135">
        <f>IFERROR(IF(Baseline!C101="Nieuwe situatie",Baseline!I101/Baseline!X101,0),0)</f>
        <v>0</v>
      </c>
      <c r="F729" s="138">
        <f>_xlfn.IFNA(IF(Baseline!C101="Bestaande situatie",Baseline!Q101/(VLOOKUP(Baseline!Y101,Database_Asfalt_Verwijderset[#All],60,FALSE)/8),0),0)</f>
        <v>0</v>
      </c>
      <c r="G729" s="138">
        <f>IFERROR(IF(Baseline!C101="Bestaande situatie",Baseline!I101/Baseline!AB101,0),0)</f>
        <v>0</v>
      </c>
      <c r="H729" s="138" t="str">
        <f>_xlfn.IFNA((VLOOKUP(Baseline!U101,Database_Asfalt_Aanlegset[],61,FALSE)),"Nee")</f>
        <v>Nee</v>
      </c>
      <c r="I729" s="138" t="str">
        <f>_xlfn.IFNA((VLOOKUP(Baseline!V101,Database_Brandstoffen[],60,FALSE)),"Nee")</f>
        <v>Nee</v>
      </c>
      <c r="J729" s="94" t="str">
        <f>_xlfn.IFNA((VLOOKUP(Baseline!Y101,Database_Asfalt_Verwijderset[],61,FALSE)),"Nee")</f>
        <v>Nee</v>
      </c>
      <c r="K729" s="94" t="str">
        <f>_xlfn.IFNA((VLOOKUP(Baseline!Z101,Database_Brandstoffen[],60,FALSE)),"Nee")</f>
        <v>Nee</v>
      </c>
      <c r="L729" s="124">
        <f>IF(Referentie_Bouwplaats_Totaal[[#This Row],[Emissieloos Asfalt Aanlegset]]="JA",Referentie_Bouwplaats_Totaal[[#This Row],[Draaiuren Bouw Asfalt]],0)+IF(Referentie_Bouwplaats_Totaal[[#This Row],[Emissieloos Bouwmaterieel]]="JA",Referentie_Bouwplaats_Totaal[[#This Row],[Draaiuren Bouw Overig]],0)+IF(Referentie_Bouwplaats_Totaal[[#This Row],[Emissieloos Asfalt Verwijderset]]="JA",Referentie_Bouwplaats_Totaal[[#This Row],[Draaiuren Verwijder Asfalt]],0)+IF(Referentie_Bouwplaats_Totaal[[#This Row],[Emissieloos Sloopmaterieel]]="JA",Referentie_Bouwplaats_Totaal[[#This Row],[Draaiuren Verwijder Overig]],0)</f>
        <v>0</v>
      </c>
      <c r="M729" s="124">
        <f>_xlfn.IFNA(IF(Baseline!C101="Nieuwe situatie",(Baseline!Q101/(VLOOKUP(Baseline!U101,Database_Asfalt_Aanlegset[#All],60,FALSE)/8)),0),0)*Baseline!R101</f>
        <v>0</v>
      </c>
      <c r="N729" s="124">
        <f>_xlfn.IFNA(IF(Baseline!C101="Nieuwe situatie",Baseline!O101/VLOOKUP(Baseline!V101,Database_Overig_Materieel[#All],8,FALSE),0),0)*Baseline!R101</f>
        <v>0</v>
      </c>
      <c r="O729" s="132">
        <f>_xlfn.IFNA(IF(Baseline!C101="Bestaande situatie",Baseline!Q101/(VLOOKUP(Baseline!Y101,Database_Asfalt_Verwijderset[#All],60,FALSE)/8),0),0)*Baseline!R101</f>
        <v>0</v>
      </c>
      <c r="P729" s="132">
        <f>_xlfn.IFNA(IF(Baseline!C101="Bestaande situatie",Baseline!O101/VLOOKUP(Baseline!Z101,Database_Overig_Materieel[#All],8,FALSE),0),0)*Baseline!R101</f>
        <v>0</v>
      </c>
      <c r="Q729" s="132">
        <f>IF(Referentie_Bouwplaats_Totaal[[#This Row],[Emissieloos Asfalt Aanlegset]]="JA",Referentie_Bouwplaats_Totaal[[#This Row],[Draaiuren Bouw Asfalt Vervangingen]],0)+IF(Referentie_Bouwplaats_Totaal[[#This Row],[Emissieloos Bouwmaterieel]]="JA",Referentie_Bouwplaats_Totaal[[#This Row],[Draaiuren Bouw Overig Vervangingen]],0)+IF(Referentie_Bouwplaats_Totaal[[#This Row],[Emissieloos Asfalt Verwijderset]]="JA",Referentie_Bouwplaats_Totaal[[#This Row],[Draaiuren Verwijder Asfalt Vervangingen]],0)+IF(Referentie_Bouwplaats_Totaal[[#This Row],[Emissieloos Sloopmaterieel]]="JA",Referentie_Bouwplaats_Totaal[[#This Row],[Draaiuren Verwijder Overig Vervangingen]],0)</f>
        <v>0</v>
      </c>
      <c r="R729" s="132">
        <f>Referentie_Bouwplaats_Totaal[[#This Row],[Emissieloos bouwplaats]]+Referentie_Bouwplaats_Totaal[[#This Row],[Emissieloos bouwplaats Vervangingen]]</f>
        <v>0</v>
      </c>
      <c r="S729" s="132">
        <f>(Referentie_Bouwplaats_Totaal[[#This Row],[Draaiuren Bouw Asfalt]]+Referentie_Bouwplaats_Totaal[[#This Row],[Draaiuren Bouw Overig]]+Referentie_Bouwplaats_Totaal[[#This Row],[Draaiuren Verwijder Asfalt]]+Referentie_Bouwplaats_Totaal[[#This Row],[Draaiuren Verwijder Overig]]+Referentie_Bouwplaats_Totaal[[#This Row],[Draaiuren Bouw Asfalt Vervangingen]]+Referentie_Bouwplaats_Totaal[[#This Row],[Draaiuren Bouw Overig Vervangingen]]+Referentie_Bouwplaats_Totaal[[#This Row],[Draaiuren Verwijder Asfalt Vervangingen]]+Referentie_Bouwplaats_Totaal[[#This Row],[Draaiuren Verwijder Overig Vervangingen]]-Referentie_Bouwplaats_Totaal[[#This Row],[Totaal Emissieloos Bouwplaats]])</f>
        <v>0</v>
      </c>
      <c r="T729" s="132">
        <f>Referentie_Bouwplaats_Totaal[[#This Row],[Totaal Emissieloos Bouwplaats]]+Referentie_Bouwplaats_Totaal[[#This Row],[Totaal Niet Emissieloos Bouwplaats]]</f>
        <v>0</v>
      </c>
      <c r="U729" s="132"/>
      <c r="V729" s="13"/>
      <c r="W729" s="13"/>
      <c r="X729" s="13"/>
      <c r="Y729" s="13"/>
      <c r="Z729" s="13"/>
      <c r="AA729" s="13"/>
      <c r="AB729" s="13"/>
      <c r="AC729" s="13"/>
    </row>
    <row r="730" spans="2:29">
      <c r="B730" s="209">
        <f>Baseline!B102</f>
        <v>0</v>
      </c>
      <c r="C730" s="51">
        <f>Baseline!F102</f>
        <v>0</v>
      </c>
      <c r="D730" s="134">
        <f>_xlfn.IFNA(IF(Baseline!C102="Nieuwe situatie",(Baseline!Q102/(VLOOKUP(Baseline!U102,Database_Asfalt_Aanlegset[#All],60,FALSE)/8)),0),0)</f>
        <v>0</v>
      </c>
      <c r="E730" s="135">
        <f>IFERROR(IF(Baseline!C102="Nieuwe situatie",Baseline!I102/Baseline!X102,0),0)</f>
        <v>0</v>
      </c>
      <c r="F730" s="138">
        <f>_xlfn.IFNA(IF(Baseline!C102="Bestaande situatie",Baseline!Q102/(VLOOKUP(Baseline!Y102,Database_Asfalt_Verwijderset[#All],60,FALSE)/8),0),0)</f>
        <v>0</v>
      </c>
      <c r="G730" s="138">
        <f>IFERROR(IF(Baseline!C102="Bestaande situatie",Baseline!I102/Baseline!AB102,0),0)</f>
        <v>0</v>
      </c>
      <c r="H730" s="138" t="str">
        <f>_xlfn.IFNA((VLOOKUP(Baseline!U102,Database_Asfalt_Aanlegset[],61,FALSE)),"Nee")</f>
        <v>Nee</v>
      </c>
      <c r="I730" s="138" t="str">
        <f>_xlfn.IFNA((VLOOKUP(Baseline!V102,Database_Brandstoffen[],60,FALSE)),"Nee")</f>
        <v>Nee</v>
      </c>
      <c r="J730" s="94" t="str">
        <f>_xlfn.IFNA((VLOOKUP(Baseline!Y102,Database_Asfalt_Verwijderset[],61,FALSE)),"Nee")</f>
        <v>Nee</v>
      </c>
      <c r="K730" s="94" t="str">
        <f>_xlfn.IFNA((VLOOKUP(Baseline!Z102,Database_Brandstoffen[],60,FALSE)),"Nee")</f>
        <v>Nee</v>
      </c>
      <c r="L730" s="124">
        <f>IF(Referentie_Bouwplaats_Totaal[[#This Row],[Emissieloos Asfalt Aanlegset]]="JA",Referentie_Bouwplaats_Totaal[[#This Row],[Draaiuren Bouw Asfalt]],0)+IF(Referentie_Bouwplaats_Totaal[[#This Row],[Emissieloos Bouwmaterieel]]="JA",Referentie_Bouwplaats_Totaal[[#This Row],[Draaiuren Bouw Overig]],0)+IF(Referentie_Bouwplaats_Totaal[[#This Row],[Emissieloos Asfalt Verwijderset]]="JA",Referentie_Bouwplaats_Totaal[[#This Row],[Draaiuren Verwijder Asfalt]],0)+IF(Referentie_Bouwplaats_Totaal[[#This Row],[Emissieloos Sloopmaterieel]]="JA",Referentie_Bouwplaats_Totaal[[#This Row],[Draaiuren Verwijder Overig]],0)</f>
        <v>0</v>
      </c>
      <c r="M730" s="124">
        <f>_xlfn.IFNA(IF(Baseline!C102="Nieuwe situatie",(Baseline!Q102/(VLOOKUP(Baseline!U102,Database_Asfalt_Aanlegset[#All],60,FALSE)/8)),0),0)*Baseline!R102</f>
        <v>0</v>
      </c>
      <c r="N730" s="124">
        <f>_xlfn.IFNA(IF(Baseline!C102="Nieuwe situatie",Baseline!O102/VLOOKUP(Baseline!V102,Database_Overig_Materieel[#All],8,FALSE),0),0)*Baseline!R102</f>
        <v>0</v>
      </c>
      <c r="O730" s="132">
        <f>_xlfn.IFNA(IF(Baseline!C102="Bestaande situatie",Baseline!Q102/(VLOOKUP(Baseline!Y102,Database_Asfalt_Verwijderset[#All],60,FALSE)/8),0),0)*Baseline!R102</f>
        <v>0</v>
      </c>
      <c r="P730" s="132">
        <f>_xlfn.IFNA(IF(Baseline!C102="Bestaande situatie",Baseline!O102/VLOOKUP(Baseline!Z102,Database_Overig_Materieel[#All],8,FALSE),0),0)*Baseline!R102</f>
        <v>0</v>
      </c>
      <c r="Q730" s="132">
        <f>IF(Referentie_Bouwplaats_Totaal[[#This Row],[Emissieloos Asfalt Aanlegset]]="JA",Referentie_Bouwplaats_Totaal[[#This Row],[Draaiuren Bouw Asfalt Vervangingen]],0)+IF(Referentie_Bouwplaats_Totaal[[#This Row],[Emissieloos Bouwmaterieel]]="JA",Referentie_Bouwplaats_Totaal[[#This Row],[Draaiuren Bouw Overig Vervangingen]],0)+IF(Referentie_Bouwplaats_Totaal[[#This Row],[Emissieloos Asfalt Verwijderset]]="JA",Referentie_Bouwplaats_Totaal[[#This Row],[Draaiuren Verwijder Asfalt Vervangingen]],0)+IF(Referentie_Bouwplaats_Totaal[[#This Row],[Emissieloos Sloopmaterieel]]="JA",Referentie_Bouwplaats_Totaal[[#This Row],[Draaiuren Verwijder Overig Vervangingen]],0)</f>
        <v>0</v>
      </c>
      <c r="R730" s="132">
        <f>Referentie_Bouwplaats_Totaal[[#This Row],[Emissieloos bouwplaats]]+Referentie_Bouwplaats_Totaal[[#This Row],[Emissieloos bouwplaats Vervangingen]]</f>
        <v>0</v>
      </c>
      <c r="S730" s="132">
        <f>(Referentie_Bouwplaats_Totaal[[#This Row],[Draaiuren Bouw Asfalt]]+Referentie_Bouwplaats_Totaal[[#This Row],[Draaiuren Bouw Overig]]+Referentie_Bouwplaats_Totaal[[#This Row],[Draaiuren Verwijder Asfalt]]+Referentie_Bouwplaats_Totaal[[#This Row],[Draaiuren Verwijder Overig]]+Referentie_Bouwplaats_Totaal[[#This Row],[Draaiuren Bouw Asfalt Vervangingen]]+Referentie_Bouwplaats_Totaal[[#This Row],[Draaiuren Bouw Overig Vervangingen]]+Referentie_Bouwplaats_Totaal[[#This Row],[Draaiuren Verwijder Asfalt Vervangingen]]+Referentie_Bouwplaats_Totaal[[#This Row],[Draaiuren Verwijder Overig Vervangingen]]-Referentie_Bouwplaats_Totaal[[#This Row],[Totaal Emissieloos Bouwplaats]])</f>
        <v>0</v>
      </c>
      <c r="T730" s="132">
        <f>Referentie_Bouwplaats_Totaal[[#This Row],[Totaal Emissieloos Bouwplaats]]+Referentie_Bouwplaats_Totaal[[#This Row],[Totaal Niet Emissieloos Bouwplaats]]</f>
        <v>0</v>
      </c>
      <c r="U730" s="132"/>
      <c r="V730" s="13"/>
      <c r="W730" s="13"/>
      <c r="X730" s="13"/>
      <c r="Y730" s="13"/>
      <c r="Z730" s="13"/>
      <c r="AA730" s="13"/>
      <c r="AB730" s="13"/>
      <c r="AC730" s="13"/>
    </row>
    <row r="731" spans="2:29">
      <c r="B731" s="209">
        <f>Baseline!B103</f>
        <v>0</v>
      </c>
      <c r="C731" s="51">
        <f>Baseline!F103</f>
        <v>0</v>
      </c>
      <c r="D731" s="134">
        <f>_xlfn.IFNA(IF(Baseline!C103="Nieuwe situatie",(Baseline!Q103/(VLOOKUP(Baseline!U103,Database_Asfalt_Aanlegset[#All],60,FALSE)/8)),0),0)</f>
        <v>0</v>
      </c>
      <c r="E731" s="135">
        <f>IFERROR(IF(Baseline!C103="Nieuwe situatie",Baseline!I103/Baseline!X103,0),0)</f>
        <v>0</v>
      </c>
      <c r="F731" s="138">
        <f>_xlfn.IFNA(IF(Baseline!C103="Bestaande situatie",Baseline!Q103/(VLOOKUP(Baseline!Y103,Database_Asfalt_Verwijderset[#All],60,FALSE)/8),0),0)</f>
        <v>0</v>
      </c>
      <c r="G731" s="138">
        <f>IFERROR(IF(Baseline!C103="Bestaande situatie",Baseline!I103/Baseline!AB103,0),0)</f>
        <v>0</v>
      </c>
      <c r="H731" s="138" t="str">
        <f>_xlfn.IFNA((VLOOKUP(Baseline!U103,Database_Asfalt_Aanlegset[],61,FALSE)),"Nee")</f>
        <v>Nee</v>
      </c>
      <c r="I731" s="138" t="str">
        <f>_xlfn.IFNA((VLOOKUP(Baseline!V103,Database_Brandstoffen[],60,FALSE)),"Nee")</f>
        <v>Nee</v>
      </c>
      <c r="J731" s="94" t="str">
        <f>_xlfn.IFNA((VLOOKUP(Baseline!Y103,Database_Asfalt_Verwijderset[],61,FALSE)),"Nee")</f>
        <v>Nee</v>
      </c>
      <c r="K731" s="94" t="str">
        <f>_xlfn.IFNA((VLOOKUP(Baseline!Z103,Database_Brandstoffen[],60,FALSE)),"Nee")</f>
        <v>Nee</v>
      </c>
      <c r="L731" s="124">
        <f>IF(Referentie_Bouwplaats_Totaal[[#This Row],[Emissieloos Asfalt Aanlegset]]="JA",Referentie_Bouwplaats_Totaal[[#This Row],[Draaiuren Bouw Asfalt]],0)+IF(Referentie_Bouwplaats_Totaal[[#This Row],[Emissieloos Bouwmaterieel]]="JA",Referentie_Bouwplaats_Totaal[[#This Row],[Draaiuren Bouw Overig]],0)+IF(Referentie_Bouwplaats_Totaal[[#This Row],[Emissieloos Asfalt Verwijderset]]="JA",Referentie_Bouwplaats_Totaal[[#This Row],[Draaiuren Verwijder Asfalt]],0)+IF(Referentie_Bouwplaats_Totaal[[#This Row],[Emissieloos Sloopmaterieel]]="JA",Referentie_Bouwplaats_Totaal[[#This Row],[Draaiuren Verwijder Overig]],0)</f>
        <v>0</v>
      </c>
      <c r="M731" s="124">
        <f>_xlfn.IFNA(IF(Baseline!C103="Nieuwe situatie",(Baseline!Q103/(VLOOKUP(Baseline!U103,Database_Asfalt_Aanlegset[#All],60,FALSE)/8)),0),0)*Baseline!R103</f>
        <v>0</v>
      </c>
      <c r="N731" s="124">
        <f>_xlfn.IFNA(IF(Baseline!C103="Nieuwe situatie",Baseline!O103/VLOOKUP(Baseline!V103,Database_Overig_Materieel[#All],8,FALSE),0),0)*Baseline!R103</f>
        <v>0</v>
      </c>
      <c r="O731" s="132">
        <f>_xlfn.IFNA(IF(Baseline!C103="Bestaande situatie",Baseline!Q103/(VLOOKUP(Baseline!Y103,Database_Asfalt_Verwijderset[#All],60,FALSE)/8),0),0)*Baseline!R103</f>
        <v>0</v>
      </c>
      <c r="P731" s="132">
        <f>_xlfn.IFNA(IF(Baseline!C103="Bestaande situatie",Baseline!O103/VLOOKUP(Baseline!Z103,Database_Overig_Materieel[#All],8,FALSE),0),0)*Baseline!R103</f>
        <v>0</v>
      </c>
      <c r="Q731" s="132">
        <f>IF(Referentie_Bouwplaats_Totaal[[#This Row],[Emissieloos Asfalt Aanlegset]]="JA",Referentie_Bouwplaats_Totaal[[#This Row],[Draaiuren Bouw Asfalt Vervangingen]],0)+IF(Referentie_Bouwplaats_Totaal[[#This Row],[Emissieloos Bouwmaterieel]]="JA",Referentie_Bouwplaats_Totaal[[#This Row],[Draaiuren Bouw Overig Vervangingen]],0)+IF(Referentie_Bouwplaats_Totaal[[#This Row],[Emissieloos Asfalt Verwijderset]]="JA",Referentie_Bouwplaats_Totaal[[#This Row],[Draaiuren Verwijder Asfalt Vervangingen]],0)+IF(Referentie_Bouwplaats_Totaal[[#This Row],[Emissieloos Sloopmaterieel]]="JA",Referentie_Bouwplaats_Totaal[[#This Row],[Draaiuren Verwijder Overig Vervangingen]],0)</f>
        <v>0</v>
      </c>
      <c r="R731" s="132">
        <f>Referentie_Bouwplaats_Totaal[[#This Row],[Emissieloos bouwplaats]]+Referentie_Bouwplaats_Totaal[[#This Row],[Emissieloos bouwplaats Vervangingen]]</f>
        <v>0</v>
      </c>
      <c r="S731" s="132">
        <f>(Referentie_Bouwplaats_Totaal[[#This Row],[Draaiuren Bouw Asfalt]]+Referentie_Bouwplaats_Totaal[[#This Row],[Draaiuren Bouw Overig]]+Referentie_Bouwplaats_Totaal[[#This Row],[Draaiuren Verwijder Asfalt]]+Referentie_Bouwplaats_Totaal[[#This Row],[Draaiuren Verwijder Overig]]+Referentie_Bouwplaats_Totaal[[#This Row],[Draaiuren Bouw Asfalt Vervangingen]]+Referentie_Bouwplaats_Totaal[[#This Row],[Draaiuren Bouw Overig Vervangingen]]+Referentie_Bouwplaats_Totaal[[#This Row],[Draaiuren Verwijder Asfalt Vervangingen]]+Referentie_Bouwplaats_Totaal[[#This Row],[Draaiuren Verwijder Overig Vervangingen]]-Referentie_Bouwplaats_Totaal[[#This Row],[Totaal Emissieloos Bouwplaats]])</f>
        <v>0</v>
      </c>
      <c r="T731" s="132">
        <f>Referentie_Bouwplaats_Totaal[[#This Row],[Totaal Emissieloos Bouwplaats]]+Referentie_Bouwplaats_Totaal[[#This Row],[Totaal Niet Emissieloos Bouwplaats]]</f>
        <v>0</v>
      </c>
      <c r="U731" s="132"/>
      <c r="V731" s="13"/>
      <c r="W731" s="13"/>
      <c r="X731" s="13"/>
      <c r="Y731" s="13"/>
      <c r="Z731" s="13"/>
      <c r="AA731" s="13"/>
      <c r="AB731" s="13"/>
      <c r="AC731" s="13"/>
    </row>
    <row r="732" spans="2:29">
      <c r="B732" s="209">
        <f>Baseline!B104</f>
        <v>0</v>
      </c>
      <c r="C732" s="51">
        <f>Baseline!F104</f>
        <v>0</v>
      </c>
      <c r="D732" s="134">
        <f>_xlfn.IFNA(IF(Baseline!C104="Nieuwe situatie",(Baseline!Q104/(VLOOKUP(Baseline!U104,Database_Asfalt_Aanlegset[#All],60,FALSE)/8)),0),0)</f>
        <v>0</v>
      </c>
      <c r="E732" s="135">
        <f>IFERROR(IF(Baseline!C104="Nieuwe situatie",Baseline!I104/Baseline!X104,0),0)</f>
        <v>0</v>
      </c>
      <c r="F732" s="138">
        <f>_xlfn.IFNA(IF(Baseline!C104="Bestaande situatie",Baseline!Q104/(VLOOKUP(Baseline!Y104,Database_Asfalt_Verwijderset[#All],60,FALSE)/8),0),0)</f>
        <v>0</v>
      </c>
      <c r="G732" s="138">
        <f>IFERROR(IF(Baseline!C104="Bestaande situatie",Baseline!I104/Baseline!AB104,0),0)</f>
        <v>0</v>
      </c>
      <c r="H732" s="138" t="str">
        <f>_xlfn.IFNA((VLOOKUP(Baseline!U104,Database_Asfalt_Aanlegset[],61,FALSE)),"Nee")</f>
        <v>Nee</v>
      </c>
      <c r="I732" s="138" t="str">
        <f>_xlfn.IFNA((VLOOKUP(Baseline!V104,Database_Brandstoffen[],60,FALSE)),"Nee")</f>
        <v>Nee</v>
      </c>
      <c r="J732" s="94" t="str">
        <f>_xlfn.IFNA((VLOOKUP(Baseline!Y104,Database_Asfalt_Verwijderset[],61,FALSE)),"Nee")</f>
        <v>Nee</v>
      </c>
      <c r="K732" s="94" t="str">
        <f>_xlfn.IFNA((VLOOKUP(Baseline!Z104,Database_Brandstoffen[],60,FALSE)),"Nee")</f>
        <v>Nee</v>
      </c>
      <c r="L732" s="124">
        <f>IF(Referentie_Bouwplaats_Totaal[[#This Row],[Emissieloos Asfalt Aanlegset]]="JA",Referentie_Bouwplaats_Totaal[[#This Row],[Draaiuren Bouw Asfalt]],0)+IF(Referentie_Bouwplaats_Totaal[[#This Row],[Emissieloos Bouwmaterieel]]="JA",Referentie_Bouwplaats_Totaal[[#This Row],[Draaiuren Bouw Overig]],0)+IF(Referentie_Bouwplaats_Totaal[[#This Row],[Emissieloos Asfalt Verwijderset]]="JA",Referentie_Bouwplaats_Totaal[[#This Row],[Draaiuren Verwijder Asfalt]],0)+IF(Referentie_Bouwplaats_Totaal[[#This Row],[Emissieloos Sloopmaterieel]]="JA",Referentie_Bouwplaats_Totaal[[#This Row],[Draaiuren Verwijder Overig]],0)</f>
        <v>0</v>
      </c>
      <c r="M732" s="124">
        <f>_xlfn.IFNA(IF(Baseline!C104="Nieuwe situatie",(Baseline!Q104/(VLOOKUP(Baseline!U104,Database_Asfalt_Aanlegset[#All],60,FALSE)/8)),0),0)*Baseline!R104</f>
        <v>0</v>
      </c>
      <c r="N732" s="124">
        <f>_xlfn.IFNA(IF(Baseline!C104="Nieuwe situatie",Baseline!O104/VLOOKUP(Baseline!V104,Database_Overig_Materieel[#All],8,FALSE),0),0)*Baseline!R104</f>
        <v>0</v>
      </c>
      <c r="O732" s="132">
        <f>_xlfn.IFNA(IF(Baseline!C104="Bestaande situatie",Baseline!Q104/(VLOOKUP(Baseline!Y104,Database_Asfalt_Verwijderset[#All],60,FALSE)/8),0),0)*Baseline!R104</f>
        <v>0</v>
      </c>
      <c r="P732" s="132">
        <f>_xlfn.IFNA(IF(Baseline!C104="Bestaande situatie",Baseline!O104/VLOOKUP(Baseline!Z104,Database_Overig_Materieel[#All],8,FALSE),0),0)*Baseline!R104</f>
        <v>0</v>
      </c>
      <c r="Q732" s="132">
        <f>IF(Referentie_Bouwplaats_Totaal[[#This Row],[Emissieloos Asfalt Aanlegset]]="JA",Referentie_Bouwplaats_Totaal[[#This Row],[Draaiuren Bouw Asfalt Vervangingen]],0)+IF(Referentie_Bouwplaats_Totaal[[#This Row],[Emissieloos Bouwmaterieel]]="JA",Referentie_Bouwplaats_Totaal[[#This Row],[Draaiuren Bouw Overig Vervangingen]],0)+IF(Referentie_Bouwplaats_Totaal[[#This Row],[Emissieloos Asfalt Verwijderset]]="JA",Referentie_Bouwplaats_Totaal[[#This Row],[Draaiuren Verwijder Asfalt Vervangingen]],0)+IF(Referentie_Bouwplaats_Totaal[[#This Row],[Emissieloos Sloopmaterieel]]="JA",Referentie_Bouwplaats_Totaal[[#This Row],[Draaiuren Verwijder Overig Vervangingen]],0)</f>
        <v>0</v>
      </c>
      <c r="R732" s="132">
        <f>Referentie_Bouwplaats_Totaal[[#This Row],[Emissieloos bouwplaats]]+Referentie_Bouwplaats_Totaal[[#This Row],[Emissieloos bouwplaats Vervangingen]]</f>
        <v>0</v>
      </c>
      <c r="S732" s="132">
        <f>(Referentie_Bouwplaats_Totaal[[#This Row],[Draaiuren Bouw Asfalt]]+Referentie_Bouwplaats_Totaal[[#This Row],[Draaiuren Bouw Overig]]+Referentie_Bouwplaats_Totaal[[#This Row],[Draaiuren Verwijder Asfalt]]+Referentie_Bouwplaats_Totaal[[#This Row],[Draaiuren Verwijder Overig]]+Referentie_Bouwplaats_Totaal[[#This Row],[Draaiuren Bouw Asfalt Vervangingen]]+Referentie_Bouwplaats_Totaal[[#This Row],[Draaiuren Bouw Overig Vervangingen]]+Referentie_Bouwplaats_Totaal[[#This Row],[Draaiuren Verwijder Asfalt Vervangingen]]+Referentie_Bouwplaats_Totaal[[#This Row],[Draaiuren Verwijder Overig Vervangingen]]-Referentie_Bouwplaats_Totaal[[#This Row],[Totaal Emissieloos Bouwplaats]])</f>
        <v>0</v>
      </c>
      <c r="T732" s="132">
        <f>Referentie_Bouwplaats_Totaal[[#This Row],[Totaal Emissieloos Bouwplaats]]+Referentie_Bouwplaats_Totaal[[#This Row],[Totaal Niet Emissieloos Bouwplaats]]</f>
        <v>0</v>
      </c>
      <c r="U732" s="132"/>
      <c r="V732" s="13"/>
      <c r="W732" s="13"/>
      <c r="X732" s="13"/>
      <c r="Y732" s="13"/>
      <c r="Z732" s="13"/>
      <c r="AA732" s="13"/>
      <c r="AB732" s="13"/>
      <c r="AC732" s="13"/>
    </row>
    <row r="733" spans="2:29" ht="15.75" thickBot="1">
      <c r="B733" s="209">
        <f>Baseline!B105</f>
        <v>0</v>
      </c>
      <c r="C733" s="51">
        <f>Baseline!F105</f>
        <v>0</v>
      </c>
      <c r="D733" s="134">
        <f>_xlfn.IFNA(IF(Baseline!C105="Nieuwe situatie",(Baseline!Q105/(VLOOKUP(Baseline!U105,Database_Asfalt_Aanlegset[#All],60,FALSE)/8)),0),0)</f>
        <v>0</v>
      </c>
      <c r="E733" s="135">
        <f>IFERROR(IF(Baseline!C105="Nieuwe situatie",Baseline!I105/Baseline!X105,0),0)</f>
        <v>0</v>
      </c>
      <c r="F733" s="138">
        <f>_xlfn.IFNA(IF(Baseline!C105="Bestaande situatie",Baseline!Q105/(VLOOKUP(Baseline!Y105,Database_Asfalt_Verwijderset[#All],60,FALSE)/8),0),0)</f>
        <v>0</v>
      </c>
      <c r="G733" s="138">
        <f>IFERROR(IF(Baseline!C105="Bestaande situatie",Baseline!I105/Baseline!AB105,0),0)</f>
        <v>0</v>
      </c>
      <c r="H733" s="138" t="str">
        <f>_xlfn.IFNA((VLOOKUP(Baseline!U105,Database_Asfalt_Aanlegset[],61,FALSE)),"Nee")</f>
        <v>Nee</v>
      </c>
      <c r="I733" s="138" t="str">
        <f>_xlfn.IFNA((VLOOKUP(Baseline!V105,Database_Brandstoffen[],60,FALSE)),"Nee")</f>
        <v>Nee</v>
      </c>
      <c r="J733" s="94" t="str">
        <f>_xlfn.IFNA((VLOOKUP(Baseline!Y105,Database_Asfalt_Verwijderset[],61,FALSE)),"Nee")</f>
        <v>Nee</v>
      </c>
      <c r="K733" s="94" t="str">
        <f>_xlfn.IFNA((VLOOKUP(Baseline!Z105,Database_Brandstoffen[],60,FALSE)),"Nee")</f>
        <v>Nee</v>
      </c>
      <c r="L733" s="124">
        <f>IF(Referentie_Bouwplaats_Totaal[[#This Row],[Emissieloos Asfalt Aanlegset]]="JA",Referentie_Bouwplaats_Totaal[[#This Row],[Draaiuren Bouw Asfalt]],0)+IF(Referentie_Bouwplaats_Totaal[[#This Row],[Emissieloos Bouwmaterieel]]="JA",Referentie_Bouwplaats_Totaal[[#This Row],[Draaiuren Bouw Overig]],0)+IF(Referentie_Bouwplaats_Totaal[[#This Row],[Emissieloos Asfalt Verwijderset]]="JA",Referentie_Bouwplaats_Totaal[[#This Row],[Draaiuren Verwijder Asfalt]],0)+IF(Referentie_Bouwplaats_Totaal[[#This Row],[Emissieloos Sloopmaterieel]]="JA",Referentie_Bouwplaats_Totaal[[#This Row],[Draaiuren Verwijder Overig]],0)</f>
        <v>0</v>
      </c>
      <c r="M733" s="124">
        <f>_xlfn.IFNA(IF(Baseline!C105="Nieuwe situatie",(Baseline!Q105/(VLOOKUP(Baseline!U105,Database_Asfalt_Aanlegset[#All],60,FALSE)/8)),0),0)*Baseline!R105</f>
        <v>0</v>
      </c>
      <c r="N733" s="124">
        <f>_xlfn.IFNA(IF(Baseline!C105="Nieuwe situatie",Baseline!O105/VLOOKUP(Baseline!V105,Database_Overig_Materieel[#All],8,FALSE),0),0)*Baseline!R105</f>
        <v>0</v>
      </c>
      <c r="O733" s="132">
        <f>_xlfn.IFNA(IF(Baseline!C105="Bestaande situatie",Baseline!Q105/(VLOOKUP(Baseline!Y105,Database_Asfalt_Verwijderset[#All],60,FALSE)/8),0),0)*Baseline!R105</f>
        <v>0</v>
      </c>
      <c r="P733" s="132">
        <f>_xlfn.IFNA(IF(Baseline!C105="Bestaande situatie",Baseline!O105/VLOOKUP(Baseline!Z105,Database_Overig_Materieel[#All],8,FALSE),0),0)*Baseline!R105</f>
        <v>0</v>
      </c>
      <c r="Q733" s="132">
        <f>IF(Referentie_Bouwplaats_Totaal[[#This Row],[Emissieloos Asfalt Aanlegset]]="JA",Referentie_Bouwplaats_Totaal[[#This Row],[Draaiuren Bouw Asfalt Vervangingen]],0)+IF(Referentie_Bouwplaats_Totaal[[#This Row],[Emissieloos Bouwmaterieel]]="JA",Referentie_Bouwplaats_Totaal[[#This Row],[Draaiuren Bouw Overig Vervangingen]],0)+IF(Referentie_Bouwplaats_Totaal[[#This Row],[Emissieloos Asfalt Verwijderset]]="JA",Referentie_Bouwplaats_Totaal[[#This Row],[Draaiuren Verwijder Asfalt Vervangingen]],0)+IF(Referentie_Bouwplaats_Totaal[[#This Row],[Emissieloos Sloopmaterieel]]="JA",Referentie_Bouwplaats_Totaal[[#This Row],[Draaiuren Verwijder Overig Vervangingen]],0)</f>
        <v>0</v>
      </c>
      <c r="R733" s="132">
        <f>Referentie_Bouwplaats_Totaal[[#This Row],[Emissieloos bouwplaats]]+Referentie_Bouwplaats_Totaal[[#This Row],[Emissieloos bouwplaats Vervangingen]]</f>
        <v>0</v>
      </c>
      <c r="S733" s="132">
        <f>(Referentie_Bouwplaats_Totaal[[#This Row],[Draaiuren Bouw Asfalt]]+Referentie_Bouwplaats_Totaal[[#This Row],[Draaiuren Bouw Overig]]+Referentie_Bouwplaats_Totaal[[#This Row],[Draaiuren Verwijder Asfalt]]+Referentie_Bouwplaats_Totaal[[#This Row],[Draaiuren Verwijder Overig]]+Referentie_Bouwplaats_Totaal[[#This Row],[Draaiuren Bouw Asfalt Vervangingen]]+Referentie_Bouwplaats_Totaal[[#This Row],[Draaiuren Bouw Overig Vervangingen]]+Referentie_Bouwplaats_Totaal[[#This Row],[Draaiuren Verwijder Asfalt Vervangingen]]+Referentie_Bouwplaats_Totaal[[#This Row],[Draaiuren Verwijder Overig Vervangingen]]-Referentie_Bouwplaats_Totaal[[#This Row],[Totaal Emissieloos Bouwplaats]])</f>
        <v>0</v>
      </c>
      <c r="T733" s="132">
        <f>Referentie_Bouwplaats_Totaal[[#This Row],[Totaal Emissieloos Bouwplaats]]+Referentie_Bouwplaats_Totaal[[#This Row],[Totaal Niet Emissieloos Bouwplaats]]</f>
        <v>0</v>
      </c>
      <c r="U733" s="132"/>
      <c r="V733" s="13"/>
      <c r="W733" s="13"/>
      <c r="X733" s="13"/>
      <c r="Y733" s="13"/>
      <c r="Z733" s="13"/>
      <c r="AA733" s="13"/>
      <c r="AB733" s="13"/>
      <c r="AC733" s="13"/>
    </row>
    <row r="734" spans="2:29" ht="15.75" thickTop="1">
      <c r="B734" s="52" t="s">
        <v>90</v>
      </c>
      <c r="C734" s="53"/>
      <c r="D734" s="136">
        <f>SUBTOTAL(109,Referentie_Bouwplaats_Totaal[Draaiuren Bouw Asfalt])</f>
        <v>0</v>
      </c>
      <c r="E734" s="136">
        <f>SUBTOTAL(109,Referentie_Bouwplaats_Totaal[Draaiuren Bouw Overig])</f>
        <v>3385.6050555555557</v>
      </c>
      <c r="F734" s="136">
        <f>SUBTOTAL(109,Referentie_Bouwplaats_Totaal[Draaiuren Verwijder Asfalt])</f>
        <v>88.5</v>
      </c>
      <c r="G734" s="136">
        <f>SUBTOTAL(109,Referentie_Bouwplaats_Totaal[Draaiuren Verwijder Overig])</f>
        <v>1071.4266666666667</v>
      </c>
      <c r="H734" s="136"/>
      <c r="I734" s="136"/>
      <c r="J734" s="80">
        <f>SUBTOTAL(109,Referentie_Bouwplaats_Totaal[Emissieloos Asfalt Verwijderset])</f>
        <v>0</v>
      </c>
      <c r="K734" s="80">
        <f>SUBTOTAL(109,Referentie_Bouwplaats_Totaal[Emissieloos Sloopmaterieel])</f>
        <v>0</v>
      </c>
      <c r="L734" s="11">
        <f>SUBTOTAL(109,Referentie_Bouwplaats_Totaal[Emissieloos bouwplaats])</f>
        <v>0</v>
      </c>
      <c r="M734" s="11">
        <f>SUBTOTAL(109,Referentie_Bouwplaats_Totaal[Draaiuren Bouw Asfalt Vervangingen])</f>
        <v>0</v>
      </c>
      <c r="N734" s="11">
        <f>SUBTOTAL(109,Referentie_Bouwplaats_Totaal[Draaiuren Bouw Overig Vervangingen])</f>
        <v>0</v>
      </c>
      <c r="O734" s="136">
        <f>SUBTOTAL(109,Referentie_Bouwplaats_Totaal[Draaiuren Verwijder Asfalt Vervangingen])</f>
        <v>0</v>
      </c>
      <c r="P734" s="136">
        <f>SUBTOTAL(109,Referentie_Bouwplaats_Totaal[Draaiuren Verwijder Overig Vervangingen])</f>
        <v>0</v>
      </c>
      <c r="Q734" s="137">
        <f>SUBTOTAL(109,Referentie_Bouwplaats_Totaal[Emissieloos bouwplaats Vervangingen])</f>
        <v>0</v>
      </c>
      <c r="R734" s="137">
        <f>SUBTOTAL(109,Referentie_Bouwplaats_Totaal[Totaal Emissieloos Bouwplaats])</f>
        <v>0</v>
      </c>
      <c r="S734" s="137">
        <f>SUBTOTAL(109,Referentie_Bouwplaats_Totaal[Totaal Niet Emissieloos Bouwplaats])</f>
        <v>4545.5317222222229</v>
      </c>
      <c r="T734" s="137">
        <f>SUBTOTAL(109,Referentie_Bouwplaats_Totaal[Totaal Bouwplaats])</f>
        <v>4545.5317222222229</v>
      </c>
      <c r="U734" s="137"/>
      <c r="V734" s="13"/>
      <c r="W734" s="13"/>
      <c r="X734" s="13"/>
      <c r="Y734" s="13"/>
      <c r="Z734" s="13"/>
      <c r="AA734" s="13"/>
      <c r="AB734" s="13"/>
      <c r="AC734" s="13"/>
    </row>
  </sheetData>
  <phoneticPr fontId="11" type="noConversion"/>
  <pageMargins left="0.7" right="0.7" top="0.75" bottom="0.75" header="0.3" footer="0.3"/>
  <pageSetup orientation="portrait" r:id="rId1"/>
  <tableParts count="7">
    <tablePart r:id="rId2"/>
    <tablePart r:id="rId3"/>
    <tablePart r:id="rId4"/>
    <tablePart r:id="rId5"/>
    <tablePart r:id="rId6"/>
    <tablePart r:id="rId7"/>
    <tablePart r:id="rId8"/>
  </tableParts>
  <extLst>
    <ext xmlns:x14="http://schemas.microsoft.com/office/spreadsheetml/2009/9/main" uri="{CCE6A557-97BC-4b89-ADB6-D9C93CAAB3DF}">
      <x14:dataValidations xmlns:xm="http://schemas.microsoft.com/office/excel/2006/main" count="1">
        <x14:dataValidation type="list" allowBlank="1" showInputMessage="1" showErrorMessage="1" xr:uid="{5AF28A43-1006-4E9F-B887-6FB32CEBB36E}">
          <x14:formula1>
            <xm:f>Lijsten!$Z$2:$Z$3</xm:f>
          </x14:formula1>
          <xm:sqref>J634:K733 F529:G628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FB939-F2D5-48FD-9E22-1F872C2B7AEE}">
  <sheetPr codeName="Blad21"/>
  <dimension ref="A1:BX847"/>
  <sheetViews>
    <sheetView tabSelected="1" zoomScale="70" zoomScaleNormal="70" workbookViewId="0">
      <selection activeCell="F2" sqref="F2"/>
    </sheetView>
  </sheetViews>
  <sheetFormatPr defaultColWidth="20.7109375" defaultRowHeight="15"/>
  <cols>
    <col min="1" max="1" width="9.42578125" style="224" customWidth="1"/>
    <col min="2" max="2" width="59.140625" style="225" customWidth="1"/>
    <col min="3" max="3" width="23.42578125" style="225" customWidth="1"/>
    <col min="4" max="4" width="17.5703125" style="225" customWidth="1"/>
    <col min="5" max="5" width="28.42578125" style="225" bestFit="1" customWidth="1"/>
    <col min="6" max="6" width="39.28515625" style="225" customWidth="1"/>
    <col min="7" max="7" width="33.140625" style="225" hidden="1" customWidth="1"/>
    <col min="8" max="8" width="9.28515625" style="225" hidden="1" customWidth="1"/>
    <col min="9" max="9" width="15.7109375" style="225" hidden="1" customWidth="1"/>
    <col min="10" max="10" width="10.7109375" style="225" bestFit="1" customWidth="1"/>
    <col min="11" max="11" width="6.42578125" style="225" customWidth="1"/>
    <col min="12" max="15" width="8.28515625" style="225" hidden="1" customWidth="1"/>
    <col min="16" max="16" width="9.28515625" style="225" hidden="1" customWidth="1"/>
    <col min="17" max="17" width="8.28515625" style="225" hidden="1" customWidth="1"/>
    <col min="18" max="18" width="10.140625" style="224" hidden="1" customWidth="1"/>
    <col min="19" max="20" width="8.28515625" style="224" hidden="1" customWidth="1"/>
    <col min="21" max="21" width="8.28515625" style="224" bestFit="1" customWidth="1"/>
    <col min="22" max="22" width="39.28515625" style="224" customWidth="1"/>
    <col min="23" max="23" width="4.85546875" style="224" hidden="1" customWidth="1"/>
    <col min="24" max="24" width="24.42578125" style="224" customWidth="1"/>
    <col min="25" max="25" width="8.7109375" style="224" hidden="1" customWidth="1"/>
    <col min="26" max="26" width="8.85546875" style="224" hidden="1" customWidth="1"/>
    <col min="27" max="27" width="34.85546875" style="224" customWidth="1"/>
    <col min="28" max="28" width="25.5703125" style="224" customWidth="1"/>
    <col min="29" max="29" width="8.140625" style="224" hidden="1" customWidth="1"/>
    <col min="30" max="30" width="2.140625" style="224" hidden="1" customWidth="1"/>
    <col min="31" max="31" width="9.7109375" style="224" customWidth="1"/>
    <col min="32" max="32" width="37.140625" style="224" customWidth="1"/>
    <col min="33" max="33" width="7.85546875" style="224" hidden="1" customWidth="1"/>
    <col min="34" max="62" width="20.7109375" style="224"/>
    <col min="63" max="16384" width="20.7109375" style="225"/>
  </cols>
  <sheetData>
    <row r="1" spans="1:76">
      <c r="C1" s="261" t="s">
        <v>205</v>
      </c>
      <c r="D1" s="261" t="s">
        <v>207</v>
      </c>
      <c r="E1" s="261" t="s">
        <v>0</v>
      </c>
      <c r="F1" s="261" t="s">
        <v>305</v>
      </c>
      <c r="G1" s="261" t="s">
        <v>306</v>
      </c>
      <c r="H1" s="261" t="s">
        <v>209</v>
      </c>
      <c r="I1" s="261" t="s">
        <v>210</v>
      </c>
    </row>
    <row r="2" spans="1:76">
      <c r="B2" s="226"/>
      <c r="C2" s="227" t="str">
        <f>Project_ID_Referentie[[#This Row],[Opdrachtgever]]</f>
        <v>Gemeente Amersfoort</v>
      </c>
      <c r="D2" s="227" t="str">
        <f>Project_ID_Referentie[[#This Row],[Project ID]]</f>
        <v>Noordewierweg</v>
      </c>
      <c r="E2" s="228">
        <v>1</v>
      </c>
      <c r="F2" s="414" t="s">
        <v>307</v>
      </c>
      <c r="G2" s="229">
        <v>44600</v>
      </c>
      <c r="H2" s="228" t="s">
        <v>308</v>
      </c>
      <c r="I2" s="228">
        <f>Project_ID_Referentie[[#This Row],[Version]]</f>
        <v>1</v>
      </c>
      <c r="K2" s="224"/>
      <c r="L2" s="224"/>
      <c r="M2" s="224"/>
      <c r="N2" s="224"/>
      <c r="O2" s="224"/>
      <c r="P2" s="224"/>
      <c r="Q2" s="224"/>
    </row>
    <row r="3" spans="1:76">
      <c r="B3" s="226" t="s">
        <v>309</v>
      </c>
      <c r="C3" s="224"/>
      <c r="D3" s="224"/>
      <c r="E3" s="224"/>
      <c r="F3" s="224"/>
      <c r="G3" s="224"/>
      <c r="H3" s="224"/>
      <c r="I3" s="224"/>
      <c r="J3" s="224"/>
      <c r="K3" s="224"/>
      <c r="L3" s="224"/>
      <c r="M3" s="224"/>
      <c r="N3" s="224"/>
      <c r="O3" s="224"/>
      <c r="P3" s="224"/>
      <c r="Q3" s="224"/>
    </row>
    <row r="4" spans="1:76">
      <c r="B4" s="226" t="s">
        <v>310</v>
      </c>
      <c r="C4" s="224"/>
      <c r="D4" s="224"/>
      <c r="E4" s="224"/>
      <c r="F4" s="224"/>
      <c r="G4" s="224"/>
      <c r="H4" s="224"/>
      <c r="I4" s="224"/>
      <c r="J4" s="224"/>
      <c r="K4" s="224"/>
      <c r="L4" s="224"/>
      <c r="M4" s="224"/>
      <c r="N4" s="224"/>
      <c r="O4" s="224"/>
      <c r="P4" s="224"/>
      <c r="Q4" s="224"/>
    </row>
    <row r="5" spans="1:76" ht="189.75">
      <c r="A5" s="230"/>
      <c r="B5" s="231" t="s">
        <v>214</v>
      </c>
      <c r="C5" s="232" t="s">
        <v>5</v>
      </c>
      <c r="D5" s="233" t="s">
        <v>311</v>
      </c>
      <c r="E5" s="234" t="s">
        <v>6</v>
      </c>
      <c r="F5" s="233" t="s">
        <v>7</v>
      </c>
      <c r="G5" s="233" t="s">
        <v>8</v>
      </c>
      <c r="H5" s="233" t="s">
        <v>312</v>
      </c>
      <c r="I5" s="233" t="s">
        <v>313</v>
      </c>
      <c r="J5" s="233" t="s">
        <v>10</v>
      </c>
      <c r="K5" s="233" t="s">
        <v>11</v>
      </c>
      <c r="L5" s="365" t="s">
        <v>12</v>
      </c>
      <c r="M5" s="365" t="s">
        <v>13</v>
      </c>
      <c r="N5" s="365" t="s">
        <v>14</v>
      </c>
      <c r="O5" s="365" t="s">
        <v>15</v>
      </c>
      <c r="P5" s="365" t="s">
        <v>216</v>
      </c>
      <c r="Q5" s="365" t="s">
        <v>17</v>
      </c>
      <c r="R5" s="365" t="s">
        <v>18</v>
      </c>
      <c r="S5" s="233" t="s">
        <v>314</v>
      </c>
      <c r="T5" s="233" t="s">
        <v>20</v>
      </c>
      <c r="U5" s="233" t="s">
        <v>23</v>
      </c>
      <c r="V5" s="233" t="s">
        <v>24</v>
      </c>
      <c r="W5" s="233" t="s">
        <v>25</v>
      </c>
      <c r="X5" s="233" t="s">
        <v>26</v>
      </c>
      <c r="Y5" s="16" t="s">
        <v>315</v>
      </c>
      <c r="Z5" s="233" t="s">
        <v>316</v>
      </c>
      <c r="AA5" s="233" t="s">
        <v>27</v>
      </c>
      <c r="AB5" s="233" t="s">
        <v>28</v>
      </c>
      <c r="AC5" s="16" t="s">
        <v>219</v>
      </c>
      <c r="AD5" s="233" t="s">
        <v>220</v>
      </c>
      <c r="AE5" s="233" t="s">
        <v>29</v>
      </c>
      <c r="AF5" s="233" t="s">
        <v>30</v>
      </c>
      <c r="AG5" s="233" t="s">
        <v>33</v>
      </c>
      <c r="AH5" s="233" t="s">
        <v>36</v>
      </c>
      <c r="BK5" s="224"/>
      <c r="BL5" s="224"/>
      <c r="BM5" s="224"/>
      <c r="BN5" s="224"/>
      <c r="BO5" s="224"/>
      <c r="BP5" s="224"/>
      <c r="BQ5" s="224"/>
      <c r="BR5" s="224"/>
      <c r="BS5" s="224"/>
      <c r="BT5" s="224"/>
      <c r="BU5" s="224"/>
      <c r="BV5" s="224"/>
      <c r="BW5" s="224"/>
      <c r="BX5" s="224"/>
    </row>
    <row r="6" spans="1:76">
      <c r="B6" s="320" t="s">
        <v>221</v>
      </c>
      <c r="C6" s="235" t="s">
        <v>39</v>
      </c>
      <c r="D6" s="253"/>
      <c r="E6" s="1" t="s">
        <v>55</v>
      </c>
      <c r="F6" s="347" t="s">
        <v>222</v>
      </c>
      <c r="G6" s="399">
        <f>_xlfn.IFNA(IF(Invoer_Inschrijf[[#This Row],[Productgroep]]="Categorie_1_LCA_Producten",1,(VLOOKUP(Invoer_Inschrijf[[#This Row],[Product]],Database_Productkaarten[[Product]:[Comment]],64,FALSE))),0)</f>
        <v>3</v>
      </c>
      <c r="H6" s="320">
        <f>_xlfn.IFNA(IF(Invoer_Inschrijf[[#This Row],[Productgroep]]="Categorie_1_LCA_Producten",VLOOKUP(Invoer_Inschrijf[[#This Row],[Product]],Categorie_1_Producten[],2,FALSE),VLOOKUP(Invoer_Inschrijf[[#This Row],[Product]],Database_Productkaarten[[Product]:[Category]],60,FALSE)),0)</f>
        <v>0</v>
      </c>
      <c r="I6" s="260" t="str">
        <f>_xlfn.IFNA(VLOOKUP(Invoer_Inschrijf[[#This Row],[Product]],Database_Productkaarten[[Product]:[Producttype]],3,FALSE),VLOOKUP(Invoer_Inschrijf[[#This Row],[Product]],Categorie_1_Producten[#All],3,FALSE))</f>
        <v>Trottoirband</v>
      </c>
      <c r="J6" s="238">
        <v>3185</v>
      </c>
      <c r="K6" s="320" t="str">
        <f>_xlfn.IFNA(IF(Invoer_Inschrijf[[#This Row],[Productgroep]]="Categorie_1_LCA_Producten",VLOOKUP(Invoer_Inschrijf[[#This Row],[Product]],Categorie_1_Producten[],4,FALSE),VLOOKUP(Invoer_Inschrijf[[#This Row],[Product]],Database_Productkaarten[[Product]:[Eenheid]],4,FALSE)),0)</f>
        <v>m1</v>
      </c>
      <c r="L6" s="320"/>
      <c r="M6" s="320"/>
      <c r="N6" s="260"/>
      <c r="O6" s="237">
        <f>Invoer_Inschrijf[[#This Row],[Lengte'[m']]]*Invoer_Inschrijf[[#This Row],[Breedte '[m']]]</f>
        <v>0</v>
      </c>
      <c r="P6" s="235">
        <f>IFERROR(IF(Invoer_Inschrijf[[#This Row],[Oppervlakte '[m2']]]*Invoer_Inschrijf[[#This Row],[Dikte '[m']]]=0,Invoer_Inschrijf[[#This Row],[Gewicht '[ton']]]/Invoer_Inschrijf[[#This Row],[Soortelijk gewicht '[ton / m3']]],Invoer_Inschrijf[[#This Row],[Oppervlakte '[m2']]]*Invoer_Inschrijf[[#This Row],[Dikte '[m']]]),0)</f>
        <v>111.873125</v>
      </c>
      <c r="Q6" s="236">
        <f>_xlfn.IFNA(IF(Invoer_Inschrijf[[#This Row],[Productgroep]]="Categorie_1_LCA_Producten",VLOOKUP(F6,Categorie_1_Producten[#All],5,FALSE),VLOOKUP(F6&amp;", "&amp;"Totaal",Database_Productkaarten[#All],12,FALSE)),0)</f>
        <v>2.4</v>
      </c>
      <c r="R6" s="235">
        <f>_xlfn.IFNA(IF(Invoer_Inschrijf[[#This Row],[Productgroep]]="Categorie_1_LCA_Producten",VLOOKUP(Invoer_Inschrijf[[#This Row],[Product]],Categorie_1_Producten[],5,FALSE)*Invoer_Inschrijf[[#This Row],[Aantal Eenheden]],(VLOOKUP(Invoer_Inschrijf[[#This Row],[Product]],Database_Productkaarten[[Product]:[Gewicht '[ton'] / Eenheid]],12,FALSE)*Invoer_Inschrijf[[#This Row],[Aantal Eenheden]])),0)</f>
        <v>268.49549999999999</v>
      </c>
      <c r="S6" s="237"/>
      <c r="T6" s="238">
        <f>MAX(IFERROR($E$2/IF(Invoer_Inschrijf[[#This Row],[Productgroep]]="Categorie_1_LCA_Producten",VLOOKUP(Invoer_Inschrijf[[#This Row],[Product]],Categorie_1_Producten[#All],7,FALSE),VLOOKUP(Invoer_Inschrijf[[#This Row],[Product]]&amp;", "&amp;"Totaal",Database_Productkaarten[#All],15,FALSE))-1,0),0)</f>
        <v>0</v>
      </c>
      <c r="U6" s="352"/>
      <c r="V6" s="352"/>
      <c r="W6" s="353"/>
      <c r="X6" s="353"/>
      <c r="Y6" s="389">
        <f>_xlfn.IFNA(IF(VLOOKUP(Invoer_Inschrijf[[#This Row],[A5 - Overig Materieel tbv Aanleg]],Brandstofmachines_Omrekentabel[],5,FALSE)=0,_xlfn.IFNA(Invoer_Referentie[[#This Row],[A5 - Verbruik overig materieel '[liter - kWh - kg / uur']]]*VLOOKUP(Invoer_Referentie[[#This Row],[A5 - Overig Materieel tbv Aanleg]],Brandstofmachines_Omrekentabel[],8,FALSE)/VLOOKUP(Invoer_Inschrijf[[#This Row],[A5 - Overig Materieel tbv Aanleg]],Brandstofmachines_Omrekentabel[],8,FALSE),0),_xlfn.IFNA(Invoer_Referentie[[#This Row],[A5 - Verbruik overig materieel '[liter - kWh - kg / uur']]]*VLOOKUP(Invoer_Referentie[[#This Row],[A5 - Overig Materieel tbv Aanleg]],Brandstofmachines_Omrekentabel[],8,FALSE)/VLOOKUP(Invoer_Inschrijf[[#This Row],[A5 - Overig Materieel tbv Aanleg]],Brandstofmachines_Omrekentabel[],8,FALSE),0)),0)</f>
        <v>0</v>
      </c>
      <c r="Z6" s="389">
        <f>Invoer_Referentie[[#This Row],[A5 - Capaciteit overig materieel '[Eenheden / uur']]]</f>
        <v>16</v>
      </c>
      <c r="AA6" s="353"/>
      <c r="AB6" s="411" t="s">
        <v>223</v>
      </c>
      <c r="AC6" s="389">
        <f>_xlfn.IFNA(IF(VLOOKUP(Invoer_Inschrijf[[#This Row],[C1 - Overig Materieel tbv Verwijderen]],Brandstofmachines_Omrekentabel[],5,FALSE)=0,_xlfn.IFNA(Invoer_Referentie[[#This Row],[C1 - Verbruik overige materieel '[liter - kWh - kg / uur']]]*VLOOKUP(Invoer_Referentie[[#This Row],[C1 - Overig Materieel tbv Verwijderen]],Brandstofmachines_Omrekentabel[],8,FALSE)/VLOOKUP(Invoer_Inschrijf[[#This Row],[C1 - Overig Materieel tbv Verwijderen]],Brandstofmachines_Omrekentabel[],8,FALSE),0),_xlfn.IFNA(Invoer_Referentie[[#This Row],[C1 - Verbruik overige materieel '[liter - kWh - kg / uur']]]*VLOOKUP(Invoer_Referentie[[#This Row],[C1 - Overig Materieel tbv Verwijderen]],Brandstofmachines_Omrekentabel[],8,FALSE)/VLOOKUP(Invoer_Inschrijf[[#This Row],[C1 - Overig Materieel tbv Verwijderen]],Brandstofmachines_Omrekentabel[],8,FALSE),0)),0)</f>
        <v>15.933147632311979</v>
      </c>
      <c r="AD6" s="389">
        <f>Invoer_Referentie[[#This Row],[C1 - Capaciteit overig materieel '[Eenheden / uur']]]</f>
        <v>50</v>
      </c>
      <c r="AE6" s="353">
        <v>20</v>
      </c>
      <c r="AF6" s="352" t="s">
        <v>224</v>
      </c>
      <c r="AG6" s="353"/>
      <c r="AH6" s="235"/>
      <c r="BK6" s="224"/>
      <c r="BL6" s="224"/>
      <c r="BM6" s="224"/>
      <c r="BN6" s="224"/>
      <c r="BO6" s="224"/>
      <c r="BP6" s="224"/>
      <c r="BQ6" s="224"/>
      <c r="BR6" s="224"/>
      <c r="BS6" s="224"/>
      <c r="BT6" s="224"/>
      <c r="BU6" s="224"/>
      <c r="BV6" s="224"/>
      <c r="BW6" s="224"/>
      <c r="BX6" s="224"/>
    </row>
    <row r="7" spans="1:76">
      <c r="B7" s="320" t="s">
        <v>225</v>
      </c>
      <c r="C7" s="235" t="s">
        <v>39</v>
      </c>
      <c r="D7" s="253"/>
      <c r="E7" s="1" t="s">
        <v>55</v>
      </c>
      <c r="F7" s="347" t="s">
        <v>226</v>
      </c>
      <c r="G7" s="399">
        <f>_xlfn.IFNA(IF(Invoer_Inschrijf[[#This Row],[Productgroep]]="Categorie_1_LCA_Producten",1,(VLOOKUP(Invoer_Inschrijf[[#This Row],[Product]],Database_Productkaarten[[Product]:[Comment]],64,FALSE))),0)</f>
        <v>3</v>
      </c>
      <c r="H7" s="320">
        <f>_xlfn.IFNA(IF(Invoer_Inschrijf[[#This Row],[Productgroep]]="Categorie_1_LCA_Producten",VLOOKUP(Invoer_Inschrijf[[#This Row],[Product]],Categorie_1_Producten[],2,FALSE),VLOOKUP(Invoer_Inschrijf[[#This Row],[Product]],Database_Productkaarten[[Product]:[Category]],60,FALSE)),0)</f>
        <v>0</v>
      </c>
      <c r="I7" s="260" t="str">
        <f>_xlfn.IFNA(VLOOKUP(Invoer_Inschrijf[[#This Row],[Product]],Database_Productkaarten[[Product]:[Producttype]],3,FALSE),VLOOKUP(Invoer_Inschrijf[[#This Row],[Product]],Categorie_1_Producten[#All],3,FALSE))</f>
        <v>Trottoirband</v>
      </c>
      <c r="J7" s="238">
        <v>335</v>
      </c>
      <c r="K7" s="320" t="str">
        <f>_xlfn.IFNA(IF(Invoer_Inschrijf[[#This Row],[Productgroep]]="Categorie_1_LCA_Producten",VLOOKUP(Invoer_Inschrijf[[#This Row],[Product]],Categorie_1_Producten[],4,FALSE),VLOOKUP(Invoer_Inschrijf[[#This Row],[Product]],Database_Productkaarten[[Product]:[Eenheid]],4,FALSE)),0)</f>
        <v>m1</v>
      </c>
      <c r="L7" s="320"/>
      <c r="M7" s="320"/>
      <c r="N7" s="260"/>
      <c r="O7" s="237">
        <f>Invoer_Inschrijf[[#This Row],[Lengte'[m']]]*Invoer_Inschrijf[[#This Row],[Breedte '[m']]]</f>
        <v>0</v>
      </c>
      <c r="P7" s="235">
        <f>IFERROR(IF(Invoer_Inschrijf[[#This Row],[Oppervlakte '[m2']]]*Invoer_Inschrijf[[#This Row],[Dikte '[m']]]=0,Invoer_Inschrijf[[#This Row],[Gewicht '[ton']]]/Invoer_Inschrijf[[#This Row],[Soortelijk gewicht '[ton / m3']]],Invoer_Inschrijf[[#This Row],[Oppervlakte '[m2']]]*Invoer_Inschrijf[[#This Row],[Dikte '[m']]]),0)</f>
        <v>17.629375</v>
      </c>
      <c r="Q7" s="236">
        <f>_xlfn.IFNA(IF(Invoer_Inschrijf[[#This Row],[Productgroep]]="Categorie_1_LCA_Producten",VLOOKUP(F7,Categorie_1_Producten[#All],5,FALSE),VLOOKUP(F7&amp;", "&amp;"Totaal",Database_Productkaarten[#All],12,FALSE)),0)</f>
        <v>2.4</v>
      </c>
      <c r="R7" s="235">
        <f>_xlfn.IFNA(IF(Invoer_Inschrijf[[#This Row],[Productgroep]]="Categorie_1_LCA_Producten",VLOOKUP(Invoer_Inschrijf[[#This Row],[Product]],Categorie_1_Producten[],5,FALSE)*Invoer_Inschrijf[[#This Row],[Aantal Eenheden]],(VLOOKUP(Invoer_Inschrijf[[#This Row],[Product]],Database_Productkaarten[[Product]:[Gewicht '[ton'] / Eenheid]],12,FALSE)*Invoer_Inschrijf[[#This Row],[Aantal Eenheden]])),0)</f>
        <v>42.310499999999998</v>
      </c>
      <c r="S7" s="237"/>
      <c r="T7" s="238">
        <f>MAX(IFERROR($E$2/IF(Invoer_Inschrijf[[#This Row],[Productgroep]]="Categorie_1_LCA_Producten",VLOOKUP(Invoer_Inschrijf[[#This Row],[Product]],Categorie_1_Producten[#All],7,FALSE),VLOOKUP(Invoer_Inschrijf[[#This Row],[Product]]&amp;", "&amp;"Totaal",Database_Productkaarten[#All],15,FALSE))-1,0),0)</f>
        <v>0</v>
      </c>
      <c r="U7" s="352"/>
      <c r="V7" s="352"/>
      <c r="W7" s="353"/>
      <c r="X7" s="353"/>
      <c r="Y7" s="389">
        <f>_xlfn.IFNA(IF(VLOOKUP(Invoer_Inschrijf[[#This Row],[A5 - Overig Materieel tbv Aanleg]],Brandstofmachines_Omrekentabel[],5,FALSE)=0,_xlfn.IFNA(Invoer_Referentie[[#This Row],[A5 - Verbruik overig materieel '[liter - kWh - kg / uur']]]*VLOOKUP(Invoer_Referentie[[#This Row],[A5 - Overig Materieel tbv Aanleg]],Brandstofmachines_Omrekentabel[],8,FALSE)/VLOOKUP(Invoer_Inschrijf[[#This Row],[A5 - Overig Materieel tbv Aanleg]],Brandstofmachines_Omrekentabel[],8,FALSE),0),_xlfn.IFNA(Invoer_Referentie[[#This Row],[A5 - Verbruik overig materieel '[liter - kWh - kg / uur']]]*VLOOKUP(Invoer_Referentie[[#This Row],[A5 - Overig Materieel tbv Aanleg]],Brandstofmachines_Omrekentabel[],8,FALSE)/VLOOKUP(Invoer_Inschrijf[[#This Row],[A5 - Overig Materieel tbv Aanleg]],Brandstofmachines_Omrekentabel[],8,FALSE),0)),0)</f>
        <v>0</v>
      </c>
      <c r="Z7" s="389">
        <f>Invoer_Referentie[[#This Row],[A5 - Capaciteit overig materieel '[Eenheden / uur']]]</f>
        <v>14</v>
      </c>
      <c r="AA7" s="353"/>
      <c r="AB7" s="411" t="s">
        <v>223</v>
      </c>
      <c r="AC7" s="389">
        <f>_xlfn.IFNA(IF(VLOOKUP(Invoer_Inschrijf[[#This Row],[C1 - Overig Materieel tbv Verwijderen]],Brandstofmachines_Omrekentabel[],5,FALSE)=0,_xlfn.IFNA(Invoer_Referentie[[#This Row],[C1 - Verbruik overige materieel '[liter - kWh - kg / uur']]]*VLOOKUP(Invoer_Referentie[[#This Row],[C1 - Overig Materieel tbv Verwijderen]],Brandstofmachines_Omrekentabel[],8,FALSE)/VLOOKUP(Invoer_Inschrijf[[#This Row],[C1 - Overig Materieel tbv Verwijderen]],Brandstofmachines_Omrekentabel[],8,FALSE),0),_xlfn.IFNA(Invoer_Referentie[[#This Row],[C1 - Verbruik overige materieel '[liter - kWh - kg / uur']]]*VLOOKUP(Invoer_Referentie[[#This Row],[C1 - Overig Materieel tbv Verwijderen]],Brandstofmachines_Omrekentabel[],8,FALSE)/VLOOKUP(Invoer_Inschrijf[[#This Row],[C1 - Overig Materieel tbv Verwijderen]],Brandstofmachines_Omrekentabel[],8,FALSE),0)),0)</f>
        <v>15.933147632311979</v>
      </c>
      <c r="AD7" s="389">
        <f>Invoer_Referentie[[#This Row],[C1 - Capaciteit overig materieel '[Eenheden / uur']]]</f>
        <v>50</v>
      </c>
      <c r="AE7" s="353">
        <v>20</v>
      </c>
      <c r="AF7" s="352" t="s">
        <v>224</v>
      </c>
      <c r="AG7" s="353"/>
      <c r="AH7" s="235"/>
      <c r="BK7" s="224"/>
      <c r="BL7" s="224"/>
      <c r="BM7" s="224"/>
      <c r="BN7" s="224"/>
      <c r="BO7" s="224"/>
      <c r="BP7" s="224"/>
      <c r="BQ7" s="224"/>
      <c r="BR7" s="224"/>
      <c r="BS7" s="224"/>
      <c r="BT7" s="224"/>
      <c r="BU7" s="224"/>
      <c r="BV7" s="224"/>
      <c r="BW7" s="224"/>
      <c r="BX7" s="224"/>
    </row>
    <row r="8" spans="1:76">
      <c r="B8" s="320" t="s">
        <v>227</v>
      </c>
      <c r="C8" s="235" t="s">
        <v>39</v>
      </c>
      <c r="D8" s="253"/>
      <c r="E8" s="1" t="s">
        <v>55</v>
      </c>
      <c r="F8" s="347" t="s">
        <v>228</v>
      </c>
      <c r="G8" s="399">
        <f>_xlfn.IFNA(IF(Invoer_Inschrijf[[#This Row],[Productgroep]]="Categorie_1_LCA_Producten",1,(VLOOKUP(Invoer_Inschrijf[[#This Row],[Product]],Database_Productkaarten[[Product]:[Comment]],64,FALSE))),0)</f>
        <v>3</v>
      </c>
      <c r="H8" s="320">
        <f>_xlfn.IFNA(IF(Invoer_Inschrijf[[#This Row],[Productgroep]]="Categorie_1_LCA_Producten",VLOOKUP(Invoer_Inschrijf[[#This Row],[Product]],Categorie_1_Producten[],2,FALSE),VLOOKUP(Invoer_Inschrijf[[#This Row],[Product]],Database_Productkaarten[[Product]:[Category]],60,FALSE)),0)</f>
        <v>0</v>
      </c>
      <c r="I8" s="260" t="str">
        <f>_xlfn.IFNA(VLOOKUP(Invoer_Inschrijf[[#This Row],[Product]],Database_Productkaarten[[Product]:[Producttype]],3,FALSE),VLOOKUP(Invoer_Inschrijf[[#This Row],[Product]],Categorie_1_Producten[#All],3,FALSE))</f>
        <v>Opsluitband</v>
      </c>
      <c r="J8" s="238">
        <v>1160</v>
      </c>
      <c r="K8" s="320" t="str">
        <f>_xlfn.IFNA(IF(Invoer_Inschrijf[[#This Row],[Productgroep]]="Categorie_1_LCA_Producten",VLOOKUP(Invoer_Inschrijf[[#This Row],[Product]],Categorie_1_Producten[],4,FALSE),VLOOKUP(Invoer_Inschrijf[[#This Row],[Product]],Database_Productkaarten[[Product]:[Eenheid]],4,FALSE)),0)</f>
        <v>m1</v>
      </c>
      <c r="L8" s="320"/>
      <c r="M8" s="320"/>
      <c r="N8" s="260"/>
      <c r="O8" s="237">
        <f>Invoer_Inschrijf[[#This Row],[Lengte'[m']]]*Invoer_Inschrijf[[#This Row],[Breedte '[m']]]</f>
        <v>0</v>
      </c>
      <c r="P8" s="235">
        <f>IFERROR(IF(Invoer_Inschrijf[[#This Row],[Oppervlakte '[m2']]]*Invoer_Inschrijf[[#This Row],[Dikte '[m']]]=0,Invoer_Inschrijf[[#This Row],[Gewicht '[ton']]]/Invoer_Inschrijf[[#This Row],[Soortelijk gewicht '[ton / m3']]],Invoer_Inschrijf[[#This Row],[Oppervlakte '[m2']]]*Invoer_Inschrijf[[#This Row],[Dikte '[m']]]),0)</f>
        <v>21.991666666666667</v>
      </c>
      <c r="Q8" s="236">
        <f>_xlfn.IFNA(IF(Invoer_Inschrijf[[#This Row],[Productgroep]]="Categorie_1_LCA_Producten",VLOOKUP(F8,Categorie_1_Producten[#All],5,FALSE),VLOOKUP(F8&amp;", "&amp;"Totaal",Database_Productkaarten[#All],12,FALSE)),0)</f>
        <v>2.4</v>
      </c>
      <c r="R8" s="235">
        <f>_xlfn.IFNA(IF(Invoer_Inschrijf[[#This Row],[Productgroep]]="Categorie_1_LCA_Producten",VLOOKUP(Invoer_Inschrijf[[#This Row],[Product]],Categorie_1_Producten[],5,FALSE)*Invoer_Inschrijf[[#This Row],[Aantal Eenheden]],(VLOOKUP(Invoer_Inschrijf[[#This Row],[Product]],Database_Productkaarten[[Product]:[Gewicht '[ton'] / Eenheid]],12,FALSE)*Invoer_Inschrijf[[#This Row],[Aantal Eenheden]])),0)</f>
        <v>52.78</v>
      </c>
      <c r="S8" s="237"/>
      <c r="T8" s="238">
        <f>MAX(IFERROR($E$2/IF(Invoer_Inschrijf[[#This Row],[Productgroep]]="Categorie_1_LCA_Producten",VLOOKUP(Invoer_Inschrijf[[#This Row],[Product]],Categorie_1_Producten[#All],7,FALSE),VLOOKUP(Invoer_Inschrijf[[#This Row],[Product]]&amp;", "&amp;"Totaal",Database_Productkaarten[#All],15,FALSE))-1,0),0)</f>
        <v>0</v>
      </c>
      <c r="U8" s="352"/>
      <c r="V8" s="352"/>
      <c r="W8" s="353"/>
      <c r="X8" s="353"/>
      <c r="Y8" s="389">
        <f>_xlfn.IFNA(IF(VLOOKUP(Invoer_Inschrijf[[#This Row],[A5 - Overig Materieel tbv Aanleg]],Brandstofmachines_Omrekentabel[],5,FALSE)=0,_xlfn.IFNA(Invoer_Referentie[[#This Row],[A5 - Verbruik overig materieel '[liter - kWh - kg / uur']]]*VLOOKUP(Invoer_Referentie[[#This Row],[A5 - Overig Materieel tbv Aanleg]],Brandstofmachines_Omrekentabel[],8,FALSE)/VLOOKUP(Invoer_Inschrijf[[#This Row],[A5 - Overig Materieel tbv Aanleg]],Brandstofmachines_Omrekentabel[],8,FALSE),0),_xlfn.IFNA(Invoer_Referentie[[#This Row],[A5 - Verbruik overig materieel '[liter - kWh - kg / uur']]]*VLOOKUP(Invoer_Referentie[[#This Row],[A5 - Overig Materieel tbv Aanleg]],Brandstofmachines_Omrekentabel[],8,FALSE)/VLOOKUP(Invoer_Inschrijf[[#This Row],[A5 - Overig Materieel tbv Aanleg]],Brandstofmachines_Omrekentabel[],8,FALSE),0)),0)</f>
        <v>0</v>
      </c>
      <c r="Z8" s="389">
        <f>Invoer_Referentie[[#This Row],[A5 - Capaciteit overig materieel '[Eenheden / uur']]]</f>
        <v>18</v>
      </c>
      <c r="AA8" s="353"/>
      <c r="AB8" s="411" t="s">
        <v>223</v>
      </c>
      <c r="AC8" s="389">
        <f>_xlfn.IFNA(IF(VLOOKUP(Invoer_Inschrijf[[#This Row],[C1 - Overig Materieel tbv Verwijderen]],Brandstofmachines_Omrekentabel[],5,FALSE)=0,_xlfn.IFNA(Invoer_Referentie[[#This Row],[C1 - Verbruik overige materieel '[liter - kWh - kg / uur']]]*VLOOKUP(Invoer_Referentie[[#This Row],[C1 - Overig Materieel tbv Verwijderen]],Brandstofmachines_Omrekentabel[],8,FALSE)/VLOOKUP(Invoer_Inschrijf[[#This Row],[C1 - Overig Materieel tbv Verwijderen]],Brandstofmachines_Omrekentabel[],8,FALSE),0),_xlfn.IFNA(Invoer_Referentie[[#This Row],[C1 - Verbruik overige materieel '[liter - kWh - kg / uur']]]*VLOOKUP(Invoer_Referentie[[#This Row],[C1 - Overig Materieel tbv Verwijderen]],Brandstofmachines_Omrekentabel[],8,FALSE)/VLOOKUP(Invoer_Inschrijf[[#This Row],[C1 - Overig Materieel tbv Verwijderen]],Brandstofmachines_Omrekentabel[],8,FALSE),0)),0)</f>
        <v>15.933147632311979</v>
      </c>
      <c r="AD8" s="389">
        <f>Invoer_Referentie[[#This Row],[C1 - Capaciteit overig materieel '[Eenheden / uur']]]</f>
        <v>50</v>
      </c>
      <c r="AE8" s="353">
        <v>20</v>
      </c>
      <c r="AF8" s="352" t="s">
        <v>224</v>
      </c>
      <c r="AG8" s="353"/>
      <c r="AH8" s="235"/>
      <c r="BK8" s="224"/>
      <c r="BL8" s="224"/>
      <c r="BM8" s="224"/>
      <c r="BN8" s="224"/>
      <c r="BO8" s="224"/>
      <c r="BP8" s="224"/>
      <c r="BQ8" s="224"/>
      <c r="BR8" s="224"/>
      <c r="BS8" s="224"/>
      <c r="BT8" s="224"/>
      <c r="BU8" s="224"/>
      <c r="BV8" s="224"/>
      <c r="BW8" s="224"/>
      <c r="BX8" s="224"/>
    </row>
    <row r="9" spans="1:76">
      <c r="B9" s="320" t="s">
        <v>229</v>
      </c>
      <c r="C9" s="235" t="s">
        <v>39</v>
      </c>
      <c r="D9" s="253"/>
      <c r="E9" s="1" t="s">
        <v>55</v>
      </c>
      <c r="F9" s="347" t="s">
        <v>56</v>
      </c>
      <c r="G9" s="399">
        <f>_xlfn.IFNA(IF(Invoer_Inschrijf[[#This Row],[Productgroep]]="Categorie_1_LCA_Producten",1,(VLOOKUP(Invoer_Inschrijf[[#This Row],[Product]],Database_Productkaarten[[Product]:[Comment]],64,FALSE))),0)</f>
        <v>3</v>
      </c>
      <c r="H9" s="320">
        <f>_xlfn.IFNA(IF(Invoer_Inschrijf[[#This Row],[Productgroep]]="Categorie_1_LCA_Producten",VLOOKUP(Invoer_Inschrijf[[#This Row],[Product]],Categorie_1_Producten[],2,FALSE),VLOOKUP(Invoer_Inschrijf[[#This Row],[Product]],Database_Productkaarten[[Product]:[Category]],60,FALSE)),0)</f>
        <v>0</v>
      </c>
      <c r="I9" s="260" t="str">
        <f>_xlfn.IFNA(VLOOKUP(Invoer_Inschrijf[[#This Row],[Product]],Database_Productkaarten[[Product]:[Producttype]],3,FALSE),VLOOKUP(Invoer_Inschrijf[[#This Row],[Product]],Categorie_1_Producten[#All],3,FALSE))</f>
        <v>Betonstraatsteen</v>
      </c>
      <c r="J9" s="238">
        <v>1600</v>
      </c>
      <c r="K9" s="320" t="str">
        <f>_xlfn.IFNA(IF(Invoer_Inschrijf[[#This Row],[Productgroep]]="Categorie_1_LCA_Producten",VLOOKUP(Invoer_Inschrijf[[#This Row],[Product]],Categorie_1_Producten[],4,FALSE),VLOOKUP(Invoer_Inschrijf[[#This Row],[Product]],Database_Productkaarten[[Product]:[Eenheid]],4,FALSE)),0)</f>
        <v>m2</v>
      </c>
      <c r="L9" s="320"/>
      <c r="M9" s="320"/>
      <c r="N9" s="260"/>
      <c r="O9" s="237">
        <f>Invoer_Inschrijf[[#This Row],[Lengte'[m']]]*Invoer_Inschrijf[[#This Row],[Breedte '[m']]]</f>
        <v>0</v>
      </c>
      <c r="P9" s="235">
        <f>IFERROR(IF(Invoer_Inschrijf[[#This Row],[Oppervlakte '[m2']]]*Invoer_Inschrijf[[#This Row],[Dikte '[m']]]=0,Invoer_Inschrijf[[#This Row],[Gewicht '[ton']]]/Invoer_Inschrijf[[#This Row],[Soortelijk gewicht '[ton / m3']]],Invoer_Inschrijf[[#This Row],[Oppervlakte '[m2']]]*Invoer_Inschrijf[[#This Row],[Dikte '[m']]]),0)</f>
        <v>119.73333333333335</v>
      </c>
      <c r="Q9" s="236">
        <f>_xlfn.IFNA(IF(Invoer_Inschrijf[[#This Row],[Productgroep]]="Categorie_1_LCA_Producten",VLOOKUP(F9,Categorie_1_Producten[#All],5,FALSE),VLOOKUP(F9&amp;", "&amp;"Totaal",Database_Productkaarten[#All],12,FALSE)),0)</f>
        <v>2.4</v>
      </c>
      <c r="R9" s="235">
        <f>_xlfn.IFNA(IF(Invoer_Inschrijf[[#This Row],[Productgroep]]="Categorie_1_LCA_Producten",VLOOKUP(Invoer_Inschrijf[[#This Row],[Product]],Categorie_1_Producten[],5,FALSE)*Invoer_Inschrijf[[#This Row],[Aantal Eenheden]],(VLOOKUP(Invoer_Inschrijf[[#This Row],[Product]],Database_Productkaarten[[Product]:[Gewicht '[ton'] / Eenheid]],12,FALSE)*Invoer_Inschrijf[[#This Row],[Aantal Eenheden]])),0)</f>
        <v>287.36</v>
      </c>
      <c r="S9" s="237"/>
      <c r="T9" s="238">
        <f>MAX(IFERROR($E$2/IF(Invoer_Inschrijf[[#This Row],[Productgroep]]="Categorie_1_LCA_Producten",VLOOKUP(Invoer_Inschrijf[[#This Row],[Product]],Categorie_1_Producten[#All],7,FALSE),VLOOKUP(Invoer_Inschrijf[[#This Row],[Product]]&amp;", "&amp;"Totaal",Database_Productkaarten[#All],15,FALSE))-1,0),0)</f>
        <v>0</v>
      </c>
      <c r="U9" s="352"/>
      <c r="V9" s="352"/>
      <c r="W9" s="353"/>
      <c r="X9" s="353"/>
      <c r="Y9" s="389">
        <f>_xlfn.IFNA(IF(VLOOKUP(Invoer_Inschrijf[[#This Row],[A5 - Overig Materieel tbv Aanleg]],Brandstofmachines_Omrekentabel[],5,FALSE)=0,_xlfn.IFNA(Invoer_Referentie[[#This Row],[A5 - Verbruik overig materieel '[liter - kWh - kg / uur']]]*VLOOKUP(Invoer_Referentie[[#This Row],[A5 - Overig Materieel tbv Aanleg]],Brandstofmachines_Omrekentabel[],8,FALSE)/VLOOKUP(Invoer_Inschrijf[[#This Row],[A5 - Overig Materieel tbv Aanleg]],Brandstofmachines_Omrekentabel[],8,FALSE),0),_xlfn.IFNA(Invoer_Referentie[[#This Row],[A5 - Verbruik overig materieel '[liter - kWh - kg / uur']]]*VLOOKUP(Invoer_Referentie[[#This Row],[A5 - Overig Materieel tbv Aanleg]],Brandstofmachines_Omrekentabel[],8,FALSE)/VLOOKUP(Invoer_Inschrijf[[#This Row],[A5 - Overig Materieel tbv Aanleg]],Brandstofmachines_Omrekentabel[],8,FALSE),0)),0)</f>
        <v>0</v>
      </c>
      <c r="Z9" s="389">
        <f>Invoer_Referentie[[#This Row],[A5 - Capaciteit overig materieel '[Eenheden / uur']]]</f>
        <v>73.197152584339221</v>
      </c>
      <c r="AA9" s="353"/>
      <c r="AB9" s="411" t="s">
        <v>223</v>
      </c>
      <c r="AC9" s="389">
        <f>_xlfn.IFNA(IF(VLOOKUP(Invoer_Inschrijf[[#This Row],[C1 - Overig Materieel tbv Verwijderen]],Brandstofmachines_Omrekentabel[],5,FALSE)=0,_xlfn.IFNA(Invoer_Referentie[[#This Row],[C1 - Verbruik overige materieel '[liter - kWh - kg / uur']]]*VLOOKUP(Invoer_Referentie[[#This Row],[C1 - Overig Materieel tbv Verwijderen]],Brandstofmachines_Omrekentabel[],8,FALSE)/VLOOKUP(Invoer_Inschrijf[[#This Row],[C1 - Overig Materieel tbv Verwijderen]],Brandstofmachines_Omrekentabel[],8,FALSE),0),_xlfn.IFNA(Invoer_Referentie[[#This Row],[C1 - Verbruik overige materieel '[liter - kWh - kg / uur']]]*VLOOKUP(Invoer_Referentie[[#This Row],[C1 - Overig Materieel tbv Verwijderen]],Brandstofmachines_Omrekentabel[],8,FALSE)/VLOOKUP(Invoer_Inschrijf[[#This Row],[C1 - Overig Materieel tbv Verwijderen]],Brandstofmachines_Omrekentabel[],8,FALSE),0)),0)</f>
        <v>15.933147632311979</v>
      </c>
      <c r="AD9" s="389">
        <f>Invoer_Referentie[[#This Row],[C1 - Capaciteit overig materieel '[Eenheden / uur']]]</f>
        <v>50</v>
      </c>
      <c r="AE9" s="353">
        <v>20</v>
      </c>
      <c r="AF9" s="352" t="s">
        <v>224</v>
      </c>
      <c r="AG9" s="353"/>
      <c r="AH9" s="235"/>
      <c r="BK9" s="224"/>
      <c r="BL9" s="224"/>
      <c r="BM9" s="224"/>
      <c r="BN9" s="224"/>
      <c r="BO9" s="224"/>
      <c r="BP9" s="224"/>
      <c r="BQ9" s="224"/>
      <c r="BR9" s="224"/>
      <c r="BS9" s="224"/>
      <c r="BT9" s="224"/>
      <c r="BU9" s="224"/>
      <c r="BV9" s="224"/>
      <c r="BW9" s="224"/>
      <c r="BX9" s="224"/>
    </row>
    <row r="10" spans="1:76">
      <c r="B10" s="320" t="s">
        <v>230</v>
      </c>
      <c r="C10" s="235" t="s">
        <v>39</v>
      </c>
      <c r="D10" s="253"/>
      <c r="E10" s="1" t="s">
        <v>55</v>
      </c>
      <c r="F10" s="347" t="s">
        <v>231</v>
      </c>
      <c r="G10" s="399">
        <f>_xlfn.IFNA(IF(Invoer_Inschrijf[[#This Row],[Productgroep]]="Categorie_1_LCA_Producten",1,(VLOOKUP(Invoer_Inschrijf[[#This Row],[Product]],Database_Productkaarten[[Product]:[Comment]],64,FALSE))),0)</f>
        <v>3</v>
      </c>
      <c r="H10" s="320">
        <f>_xlfn.IFNA(IF(Invoer_Inschrijf[[#This Row],[Productgroep]]="Categorie_1_LCA_Producten",VLOOKUP(Invoer_Inschrijf[[#This Row],[Product]],Categorie_1_Producten[],2,FALSE),VLOOKUP(Invoer_Inschrijf[[#This Row],[Product]],Database_Productkaarten[[Product]:[Category]],60,FALSE)),0)</f>
        <v>0</v>
      </c>
      <c r="I10" s="260" t="str">
        <f>_xlfn.IFNA(VLOOKUP(Invoer_Inschrijf[[#This Row],[Product]],Database_Productkaarten[[Product]:[Producttype]],3,FALSE),VLOOKUP(Invoer_Inschrijf[[#This Row],[Product]],Categorie_1_Producten[#All],3,FALSE))</f>
        <v>Gebakken klinker</v>
      </c>
      <c r="J10" s="238">
        <v>9275</v>
      </c>
      <c r="K10" s="320" t="str">
        <f>_xlfn.IFNA(IF(Invoer_Inschrijf[[#This Row],[Productgroep]]="Categorie_1_LCA_Producten",VLOOKUP(Invoer_Inschrijf[[#This Row],[Product]],Categorie_1_Producten[],4,FALSE),VLOOKUP(Invoer_Inschrijf[[#This Row],[Product]],Database_Productkaarten[[Product]:[Eenheid]],4,FALSE)),0)</f>
        <v>m2</v>
      </c>
      <c r="L10" s="320"/>
      <c r="M10" s="320"/>
      <c r="N10" s="260"/>
      <c r="O10" s="237">
        <f>Invoer_Inschrijf[[#This Row],[Lengte'[m']]]*Invoer_Inschrijf[[#This Row],[Breedte '[m']]]</f>
        <v>0</v>
      </c>
      <c r="P10" s="235">
        <f>IFERROR(IF(Invoer_Inschrijf[[#This Row],[Oppervlakte '[m2']]]*Invoer_Inschrijf[[#This Row],[Dikte '[m']]]=0,Invoer_Inschrijf[[#This Row],[Gewicht '[ton']]]/Invoer_Inschrijf[[#This Row],[Soortelijk gewicht '[ton / m3']]],Invoer_Inschrijf[[#This Row],[Oppervlakte '[m2']]]*Invoer_Inschrijf[[#This Row],[Dikte '[m']]]),0)</f>
        <v>675.01388888888891</v>
      </c>
      <c r="Q10" s="236">
        <f>_xlfn.IFNA(IF(Invoer_Inschrijf[[#This Row],[Productgroep]]="Categorie_1_LCA_Producten",VLOOKUP(F10,Categorie_1_Producten[#All],5,FALSE),VLOOKUP(F10&amp;", "&amp;"Totaal",Database_Productkaarten[#All],12,FALSE)),0)</f>
        <v>1.8</v>
      </c>
      <c r="R10" s="235">
        <f>_xlfn.IFNA(IF(Invoer_Inschrijf[[#This Row],[Productgroep]]="Categorie_1_LCA_Producten",VLOOKUP(Invoer_Inschrijf[[#This Row],[Product]],Categorie_1_Producten[],5,FALSE)*Invoer_Inschrijf[[#This Row],[Aantal Eenheden]],(VLOOKUP(Invoer_Inschrijf[[#This Row],[Product]],Database_Productkaarten[[Product]:[Gewicht '[ton'] / Eenheid]],12,FALSE)*Invoer_Inschrijf[[#This Row],[Aantal Eenheden]])),0)</f>
        <v>1215.0250000000001</v>
      </c>
      <c r="S10" s="237"/>
      <c r="T10" s="238">
        <f>MAX(IFERROR($E$2/IF(Invoer_Inschrijf[[#This Row],[Productgroep]]="Categorie_1_LCA_Producten",VLOOKUP(Invoer_Inschrijf[[#This Row],[Product]],Categorie_1_Producten[#All],7,FALSE),VLOOKUP(Invoer_Inschrijf[[#This Row],[Product]]&amp;", "&amp;"Totaal",Database_Productkaarten[#All],15,FALSE))-1,0),0)</f>
        <v>0</v>
      </c>
      <c r="U10" s="352"/>
      <c r="V10" s="352"/>
      <c r="W10" s="353"/>
      <c r="X10" s="353"/>
      <c r="Y10" s="389">
        <f>_xlfn.IFNA(IF(VLOOKUP(Invoer_Inschrijf[[#This Row],[A5 - Overig Materieel tbv Aanleg]],Brandstofmachines_Omrekentabel[],5,FALSE)=0,_xlfn.IFNA(Invoer_Referentie[[#This Row],[A5 - Verbruik overig materieel '[liter - kWh - kg / uur']]]*VLOOKUP(Invoer_Referentie[[#This Row],[A5 - Overig Materieel tbv Aanleg]],Brandstofmachines_Omrekentabel[],8,FALSE)/VLOOKUP(Invoer_Inschrijf[[#This Row],[A5 - Overig Materieel tbv Aanleg]],Brandstofmachines_Omrekentabel[],8,FALSE),0),_xlfn.IFNA(Invoer_Referentie[[#This Row],[A5 - Verbruik overig materieel '[liter - kWh - kg / uur']]]*VLOOKUP(Invoer_Referentie[[#This Row],[A5 - Overig Materieel tbv Aanleg]],Brandstofmachines_Omrekentabel[],8,FALSE)/VLOOKUP(Invoer_Inschrijf[[#This Row],[A5 - Overig Materieel tbv Aanleg]],Brandstofmachines_Omrekentabel[],8,FALSE),0)),0)</f>
        <v>0</v>
      </c>
      <c r="Z10" s="389">
        <f>Invoer_Referentie[[#This Row],[A5 - Capaciteit overig materieel '[Eenheden / uur']]]</f>
        <v>12.004801920768308</v>
      </c>
      <c r="AA10" s="353"/>
      <c r="AB10" s="411" t="s">
        <v>223</v>
      </c>
      <c r="AC10" s="389">
        <f>_xlfn.IFNA(IF(VLOOKUP(Invoer_Inschrijf[[#This Row],[C1 - Overig Materieel tbv Verwijderen]],Brandstofmachines_Omrekentabel[],5,FALSE)=0,_xlfn.IFNA(Invoer_Referentie[[#This Row],[C1 - Verbruik overige materieel '[liter - kWh - kg / uur']]]*VLOOKUP(Invoer_Referentie[[#This Row],[C1 - Overig Materieel tbv Verwijderen]],Brandstofmachines_Omrekentabel[],8,FALSE)/VLOOKUP(Invoer_Inschrijf[[#This Row],[C1 - Overig Materieel tbv Verwijderen]],Brandstofmachines_Omrekentabel[],8,FALSE),0),_xlfn.IFNA(Invoer_Referentie[[#This Row],[C1 - Verbruik overige materieel '[liter - kWh - kg / uur']]]*VLOOKUP(Invoer_Referentie[[#This Row],[C1 - Overig Materieel tbv Verwijderen]],Brandstofmachines_Omrekentabel[],8,FALSE)/VLOOKUP(Invoer_Inschrijf[[#This Row],[C1 - Overig Materieel tbv Verwijderen]],Brandstofmachines_Omrekentabel[],8,FALSE),0)),0)</f>
        <v>19.5</v>
      </c>
      <c r="AD10" s="389">
        <f>Invoer_Referentie[[#This Row],[C1 - Capaciteit overig materieel '[Eenheden / uur']]]</f>
        <v>125</v>
      </c>
      <c r="AE10" s="353">
        <v>20</v>
      </c>
      <c r="AF10" s="352" t="s">
        <v>224</v>
      </c>
      <c r="AG10" s="353"/>
      <c r="AH10" s="235"/>
      <c r="BK10" s="224"/>
      <c r="BL10" s="224"/>
      <c r="BM10" s="224"/>
      <c r="BN10" s="224"/>
      <c r="BO10" s="224"/>
      <c r="BP10" s="224"/>
      <c r="BQ10" s="224"/>
      <c r="BR10" s="224"/>
      <c r="BS10" s="224"/>
      <c r="BT10" s="224"/>
      <c r="BU10" s="224"/>
      <c r="BV10" s="224"/>
      <c r="BW10" s="224"/>
      <c r="BX10" s="224"/>
    </row>
    <row r="11" spans="1:76">
      <c r="B11" s="320" t="s">
        <v>232</v>
      </c>
      <c r="C11" s="235" t="s">
        <v>39</v>
      </c>
      <c r="D11" s="253"/>
      <c r="E11" s="1" t="s">
        <v>55</v>
      </c>
      <c r="F11" s="347" t="s">
        <v>233</v>
      </c>
      <c r="G11" s="399">
        <f>_xlfn.IFNA(IF(Invoer_Inschrijf[[#This Row],[Productgroep]]="Categorie_1_LCA_Producten",1,(VLOOKUP(Invoer_Inschrijf[[#This Row],[Product]],Database_Productkaarten[[Product]:[Comment]],64,FALSE))),0)</f>
        <v>3</v>
      </c>
      <c r="H11" s="320">
        <f>_xlfn.IFNA(IF(Invoer_Inschrijf[[#This Row],[Productgroep]]="Categorie_1_LCA_Producten",VLOOKUP(Invoer_Inschrijf[[#This Row],[Product]],Categorie_1_Producten[],2,FALSE),VLOOKUP(Invoer_Inschrijf[[#This Row],[Product]],Database_Productkaarten[[Product]:[Category]],60,FALSE)),0)</f>
        <v>0</v>
      </c>
      <c r="I11" s="260" t="str">
        <f>_xlfn.IFNA(VLOOKUP(Invoer_Inschrijf[[#This Row],[Product]],Database_Productkaarten[[Product]:[Producttype]],3,FALSE),VLOOKUP(Invoer_Inschrijf[[#This Row],[Product]],Categorie_1_Producten[#All],3,FALSE))</f>
        <v>Gebakken klinker</v>
      </c>
      <c r="J11" s="238">
        <v>4720</v>
      </c>
      <c r="K11" s="320" t="str">
        <f>_xlfn.IFNA(IF(Invoer_Inschrijf[[#This Row],[Productgroep]]="Categorie_1_LCA_Producten",VLOOKUP(Invoer_Inschrijf[[#This Row],[Product]],Categorie_1_Producten[],4,FALSE),VLOOKUP(Invoer_Inschrijf[[#This Row],[Product]],Database_Productkaarten[[Product]:[Eenheid]],4,FALSE)),0)</f>
        <v>m2</v>
      </c>
      <c r="L11" s="320"/>
      <c r="M11" s="320"/>
      <c r="N11" s="260"/>
      <c r="O11" s="237">
        <f>Invoer_Inschrijf[[#This Row],[Lengte'[m']]]*Invoer_Inschrijf[[#This Row],[Breedte '[m']]]</f>
        <v>0</v>
      </c>
      <c r="P11" s="235">
        <f>IFERROR(IF(Invoer_Inschrijf[[#This Row],[Oppervlakte '[m2']]]*Invoer_Inschrijf[[#This Row],[Dikte '[m']]]=0,Invoer_Inschrijf[[#This Row],[Gewicht '[ton']]]/Invoer_Inschrijf[[#This Row],[Soortelijk gewicht '[ton / m3']]],Invoer_Inschrijf[[#This Row],[Oppervlakte '[m2']]]*Invoer_Inschrijf[[#This Row],[Dikte '[m']]]),0)</f>
        <v>343.51111111111112</v>
      </c>
      <c r="Q11" s="236">
        <f>_xlfn.IFNA(IF(Invoer_Inschrijf[[#This Row],[Productgroep]]="Categorie_1_LCA_Producten",VLOOKUP(F11,Categorie_1_Producten[#All],5,FALSE),VLOOKUP(F11&amp;", "&amp;"Totaal",Database_Productkaarten[#All],12,FALSE)),0)</f>
        <v>1.8</v>
      </c>
      <c r="R11" s="235">
        <f>_xlfn.IFNA(IF(Invoer_Inschrijf[[#This Row],[Productgroep]]="Categorie_1_LCA_Producten",VLOOKUP(Invoer_Inschrijf[[#This Row],[Product]],Categorie_1_Producten[],5,FALSE)*Invoer_Inschrijf[[#This Row],[Aantal Eenheden]],(VLOOKUP(Invoer_Inschrijf[[#This Row],[Product]],Database_Productkaarten[[Product]:[Gewicht '[ton'] / Eenheid]],12,FALSE)*Invoer_Inschrijf[[#This Row],[Aantal Eenheden]])),0)</f>
        <v>618.32000000000005</v>
      </c>
      <c r="S11" s="237"/>
      <c r="T11" s="238">
        <f>MAX(IFERROR($E$2/IF(Invoer_Inschrijf[[#This Row],[Productgroep]]="Categorie_1_LCA_Producten",VLOOKUP(Invoer_Inschrijf[[#This Row],[Product]],Categorie_1_Producten[#All],7,FALSE),VLOOKUP(Invoer_Inschrijf[[#This Row],[Product]]&amp;", "&amp;"Totaal",Database_Productkaarten[#All],15,FALSE))-1,0),0)</f>
        <v>0</v>
      </c>
      <c r="U11" s="352"/>
      <c r="V11" s="352"/>
      <c r="W11" s="353"/>
      <c r="X11" s="353"/>
      <c r="Y11" s="389">
        <f>_xlfn.IFNA(IF(VLOOKUP(Invoer_Inschrijf[[#This Row],[A5 - Overig Materieel tbv Aanleg]],Brandstofmachines_Omrekentabel[],5,FALSE)=0,_xlfn.IFNA(Invoer_Referentie[[#This Row],[A5 - Verbruik overig materieel '[liter - kWh - kg / uur']]]*VLOOKUP(Invoer_Referentie[[#This Row],[A5 - Overig Materieel tbv Aanleg]],Brandstofmachines_Omrekentabel[],8,FALSE)/VLOOKUP(Invoer_Inschrijf[[#This Row],[A5 - Overig Materieel tbv Aanleg]],Brandstofmachines_Omrekentabel[],8,FALSE),0),_xlfn.IFNA(Invoer_Referentie[[#This Row],[A5 - Verbruik overig materieel '[liter - kWh - kg / uur']]]*VLOOKUP(Invoer_Referentie[[#This Row],[A5 - Overig Materieel tbv Aanleg]],Brandstofmachines_Omrekentabel[],8,FALSE)/VLOOKUP(Invoer_Inschrijf[[#This Row],[A5 - Overig Materieel tbv Aanleg]],Brandstofmachines_Omrekentabel[],8,FALSE),0)),0)</f>
        <v>0</v>
      </c>
      <c r="Z11" s="389">
        <f>Invoer_Referentie[[#This Row],[A5 - Capaciteit overig materieel '[Eenheden / uur']]]</f>
        <v>12.004801920768308</v>
      </c>
      <c r="AA11" s="353"/>
      <c r="AB11" s="411" t="s">
        <v>223</v>
      </c>
      <c r="AC11" s="389">
        <f>_xlfn.IFNA(IF(VLOOKUP(Invoer_Inschrijf[[#This Row],[C1 - Overig Materieel tbv Verwijderen]],Brandstofmachines_Omrekentabel[],5,FALSE)=0,_xlfn.IFNA(Invoer_Referentie[[#This Row],[C1 - Verbruik overige materieel '[liter - kWh - kg / uur']]]*VLOOKUP(Invoer_Referentie[[#This Row],[C1 - Overig Materieel tbv Verwijderen]],Brandstofmachines_Omrekentabel[],8,FALSE)/VLOOKUP(Invoer_Inschrijf[[#This Row],[C1 - Overig Materieel tbv Verwijderen]],Brandstofmachines_Omrekentabel[],8,FALSE),0),_xlfn.IFNA(Invoer_Referentie[[#This Row],[C1 - Verbruik overige materieel '[liter - kWh - kg / uur']]]*VLOOKUP(Invoer_Referentie[[#This Row],[C1 - Overig Materieel tbv Verwijderen]],Brandstofmachines_Omrekentabel[],8,FALSE)/VLOOKUP(Invoer_Inschrijf[[#This Row],[C1 - Overig Materieel tbv Verwijderen]],Brandstofmachines_Omrekentabel[],8,FALSE),0)),0)</f>
        <v>19.5</v>
      </c>
      <c r="AD11" s="389">
        <f>Invoer_Referentie[[#This Row],[C1 - Capaciteit overig materieel '[Eenheden / uur']]]</f>
        <v>125</v>
      </c>
      <c r="AE11" s="411">
        <v>20</v>
      </c>
      <c r="AF11" s="410" t="s">
        <v>224</v>
      </c>
      <c r="AG11" s="353"/>
      <c r="AH11" s="235"/>
      <c r="BK11" s="224"/>
      <c r="BL11" s="224"/>
      <c r="BM11" s="224"/>
      <c r="BN11" s="224"/>
      <c r="BO11" s="224"/>
      <c r="BP11" s="224"/>
      <c r="BQ11" s="224"/>
      <c r="BR11" s="224"/>
      <c r="BS11" s="224"/>
      <c r="BT11" s="224"/>
      <c r="BU11" s="224"/>
      <c r="BV11" s="224"/>
      <c r="BW11" s="224"/>
      <c r="BX11" s="224"/>
    </row>
    <row r="12" spans="1:76">
      <c r="B12" s="320" t="s">
        <v>234</v>
      </c>
      <c r="C12" s="235" t="s">
        <v>39</v>
      </c>
      <c r="D12" s="253"/>
      <c r="E12" s="1" t="s">
        <v>55</v>
      </c>
      <c r="F12" s="347" t="s">
        <v>235</v>
      </c>
      <c r="G12" s="399">
        <f>_xlfn.IFNA(IF(Invoer_Inschrijf[[#This Row],[Productgroep]]="Categorie_1_LCA_Producten",1,(VLOOKUP(Invoer_Inschrijf[[#This Row],[Product]],Database_Productkaarten[[Product]:[Comment]],64,FALSE))),0)</f>
        <v>3</v>
      </c>
      <c r="H12" s="320">
        <f>_xlfn.IFNA(IF(Invoer_Inschrijf[[#This Row],[Productgroep]]="Categorie_1_LCA_Producten",VLOOKUP(Invoer_Inschrijf[[#This Row],[Product]],Categorie_1_Producten[],2,FALSE),VLOOKUP(Invoer_Inschrijf[[#This Row],[Product]],Database_Productkaarten[[Product]:[Category]],60,FALSE)),0)</f>
        <v>0</v>
      </c>
      <c r="I12" s="260" t="str">
        <f>_xlfn.IFNA(VLOOKUP(Invoer_Inschrijf[[#This Row],[Product]],Database_Productkaarten[[Product]:[Producttype]],3,FALSE),VLOOKUP(Invoer_Inschrijf[[#This Row],[Product]],Categorie_1_Producten[#All],3,FALSE))</f>
        <v>Betontegel</v>
      </c>
      <c r="J12" s="238">
        <v>10015</v>
      </c>
      <c r="K12" s="320" t="str">
        <f>_xlfn.IFNA(IF(Invoer_Inschrijf[[#This Row],[Productgroep]]="Categorie_1_LCA_Producten",VLOOKUP(Invoer_Inschrijf[[#This Row],[Product]],Categorie_1_Producten[],4,FALSE),VLOOKUP(Invoer_Inschrijf[[#This Row],[Product]],Database_Productkaarten[[Product]:[Eenheid]],4,FALSE)),0)</f>
        <v>m2</v>
      </c>
      <c r="L12" s="320"/>
      <c r="M12" s="320"/>
      <c r="N12" s="260"/>
      <c r="O12" s="237">
        <f>Invoer_Inschrijf[[#This Row],[Lengte'[m']]]*Invoer_Inschrijf[[#This Row],[Breedte '[m']]]</f>
        <v>0</v>
      </c>
      <c r="P12" s="235">
        <f>IFERROR(IF(Invoer_Inschrijf[[#This Row],[Oppervlakte '[m2']]]*Invoer_Inschrijf[[#This Row],[Dikte '[m']]]=0,Invoer_Inschrijf[[#This Row],[Gewicht '[ton']]]/Invoer_Inschrijf[[#This Row],[Soortelijk gewicht '[ton / m3']]],Invoer_Inschrijf[[#This Row],[Oppervlakte '[m2']]]*Invoer_Inschrijf[[#This Row],[Dikte '[m']]]),0)</f>
        <v>436.06979166666662</v>
      </c>
      <c r="Q12" s="236">
        <f>_xlfn.IFNA(IF(Invoer_Inschrijf[[#This Row],[Productgroep]]="Categorie_1_LCA_Producten",VLOOKUP(F12,Categorie_1_Producten[#All],5,FALSE),VLOOKUP(F12&amp;", "&amp;"Totaal",Database_Productkaarten[#All],12,FALSE)),0)</f>
        <v>2.4</v>
      </c>
      <c r="R12" s="235">
        <f>_xlfn.IFNA(IF(Invoer_Inschrijf[[#This Row],[Productgroep]]="Categorie_1_LCA_Producten",VLOOKUP(Invoer_Inschrijf[[#This Row],[Product]],Categorie_1_Producten[],5,FALSE)*Invoer_Inschrijf[[#This Row],[Aantal Eenheden]],(VLOOKUP(Invoer_Inschrijf[[#This Row],[Product]],Database_Productkaarten[[Product]:[Gewicht '[ton'] / Eenheid]],12,FALSE)*Invoer_Inschrijf[[#This Row],[Aantal Eenheden]])),0)</f>
        <v>1046.5674999999999</v>
      </c>
      <c r="S12" s="237"/>
      <c r="T12" s="238">
        <f>MAX(IFERROR($E$2/IF(Invoer_Inschrijf[[#This Row],[Productgroep]]="Categorie_1_LCA_Producten",VLOOKUP(Invoer_Inschrijf[[#This Row],[Product]],Categorie_1_Producten[#All],7,FALSE),VLOOKUP(Invoer_Inschrijf[[#This Row],[Product]]&amp;", "&amp;"Totaal",Database_Productkaarten[#All],15,FALSE))-1,0),0)</f>
        <v>0</v>
      </c>
      <c r="U12" s="352"/>
      <c r="V12" s="352"/>
      <c r="W12" s="353"/>
      <c r="X12" s="353"/>
      <c r="Y12" s="389">
        <f>_xlfn.IFNA(IF(VLOOKUP(Invoer_Inschrijf[[#This Row],[A5 - Overig Materieel tbv Aanleg]],Brandstofmachines_Omrekentabel[],5,FALSE)=0,_xlfn.IFNA(Invoer_Referentie[[#This Row],[A5 - Verbruik overig materieel '[liter - kWh - kg / uur']]]*VLOOKUP(Invoer_Referentie[[#This Row],[A5 - Overig Materieel tbv Aanleg]],Brandstofmachines_Omrekentabel[],8,FALSE)/VLOOKUP(Invoer_Inschrijf[[#This Row],[A5 - Overig Materieel tbv Aanleg]],Brandstofmachines_Omrekentabel[],8,FALSE),0),_xlfn.IFNA(Invoer_Referentie[[#This Row],[A5 - Verbruik overig materieel '[liter - kWh - kg / uur']]]*VLOOKUP(Invoer_Referentie[[#This Row],[A5 - Overig Materieel tbv Aanleg]],Brandstofmachines_Omrekentabel[],8,FALSE)/VLOOKUP(Invoer_Inschrijf[[#This Row],[A5 - Overig Materieel tbv Aanleg]],Brandstofmachines_Omrekentabel[],8,FALSE),0)),0)</f>
        <v>0</v>
      </c>
      <c r="Z12" s="389">
        <f>Invoer_Referentie[[#This Row],[A5 - Capaciteit overig materieel '[Eenheden / uur']]]</f>
        <v>73.197152584339221</v>
      </c>
      <c r="AA12" s="353"/>
      <c r="AB12" s="411" t="s">
        <v>223</v>
      </c>
      <c r="AC12" s="389">
        <f>_xlfn.IFNA(IF(VLOOKUP(Invoer_Inschrijf[[#This Row],[C1 - Overig Materieel tbv Verwijderen]],Brandstofmachines_Omrekentabel[],5,FALSE)=0,_xlfn.IFNA(Invoer_Referentie[[#This Row],[C1 - Verbruik overige materieel '[liter - kWh - kg / uur']]]*VLOOKUP(Invoer_Referentie[[#This Row],[C1 - Overig Materieel tbv Verwijderen]],Brandstofmachines_Omrekentabel[],8,FALSE)/VLOOKUP(Invoer_Inschrijf[[#This Row],[C1 - Overig Materieel tbv Verwijderen]],Brandstofmachines_Omrekentabel[],8,FALSE),0),_xlfn.IFNA(Invoer_Referentie[[#This Row],[C1 - Verbruik overige materieel '[liter - kWh - kg / uur']]]*VLOOKUP(Invoer_Referentie[[#This Row],[C1 - Overig Materieel tbv Verwijderen]],Brandstofmachines_Omrekentabel[],8,FALSE)/VLOOKUP(Invoer_Inschrijf[[#This Row],[C1 - Overig Materieel tbv Verwijderen]],Brandstofmachines_Omrekentabel[],8,FALSE),0)),0)</f>
        <v>15.933147632311979</v>
      </c>
      <c r="AD12" s="389">
        <f>Invoer_Referentie[[#This Row],[C1 - Capaciteit overig materieel '[Eenheden / uur']]]</f>
        <v>50</v>
      </c>
      <c r="AE12" s="353">
        <v>20</v>
      </c>
      <c r="AF12" s="352" t="s">
        <v>224</v>
      </c>
      <c r="AG12" s="353"/>
      <c r="AH12" s="235"/>
      <c r="BK12" s="224"/>
      <c r="BL12" s="224"/>
      <c r="BM12" s="224"/>
      <c r="BN12" s="224"/>
      <c r="BO12" s="224"/>
      <c r="BP12" s="224"/>
      <c r="BQ12" s="224"/>
      <c r="BR12" s="224"/>
      <c r="BS12" s="224"/>
      <c r="BT12" s="224"/>
      <c r="BU12" s="224"/>
      <c r="BV12" s="224"/>
      <c r="BW12" s="224"/>
      <c r="BX12" s="224"/>
    </row>
    <row r="13" spans="1:76">
      <c r="B13" s="320" t="s">
        <v>236</v>
      </c>
      <c r="C13" s="235" t="s">
        <v>39</v>
      </c>
      <c r="D13" s="253"/>
      <c r="E13" s="1" t="s">
        <v>237</v>
      </c>
      <c r="F13" s="347" t="s">
        <v>238</v>
      </c>
      <c r="G13" s="399">
        <f>_xlfn.IFNA(IF(Invoer_Inschrijf[[#This Row],[Productgroep]]="Categorie_1_LCA_Producten",1,(VLOOKUP(Invoer_Inschrijf[[#This Row],[Product]],Database_Productkaarten[[Product]:[Comment]],64,FALSE))),0)</f>
        <v>2</v>
      </c>
      <c r="H13" s="320">
        <f>_xlfn.IFNA(IF(Invoer_Inschrijf[[#This Row],[Productgroep]]="Categorie_1_LCA_Producten",VLOOKUP(Invoer_Inschrijf[[#This Row],[Product]],Categorie_1_Producten[],2,FALSE),VLOOKUP(Invoer_Inschrijf[[#This Row],[Product]],Database_Productkaarten[[Product]:[Category]],60,FALSE)),0)</f>
        <v>0</v>
      </c>
      <c r="I13" s="260" t="str">
        <f>_xlfn.IFNA(VLOOKUP(Invoer_Inschrijf[[#This Row],[Product]],Database_Productkaarten[[Product]:[Producttype]],3,FALSE),VLOOKUP(Invoer_Inschrijf[[#This Row],[Product]],Categorie_1_Producten[#All],3,FALSE))</f>
        <v>AC bin/base</v>
      </c>
      <c r="J13" s="238">
        <v>2625</v>
      </c>
      <c r="K13" s="320" t="str">
        <f>_xlfn.IFNA(IF(Invoer_Inschrijf[[#This Row],[Productgroep]]="Categorie_1_LCA_Producten",VLOOKUP(Invoer_Inschrijf[[#This Row],[Product]],Categorie_1_Producten[],4,FALSE),VLOOKUP(Invoer_Inschrijf[[#This Row],[Product]],Database_Productkaarten[[Product]:[Eenheid]],4,FALSE)),0)</f>
        <v>Ton</v>
      </c>
      <c r="L13" s="320"/>
      <c r="M13" s="320"/>
      <c r="N13" s="260"/>
      <c r="O13" s="237">
        <f>Invoer_Inschrijf[[#This Row],[Lengte'[m']]]*Invoer_Inschrijf[[#This Row],[Breedte '[m']]]</f>
        <v>0</v>
      </c>
      <c r="P13" s="235">
        <f>IFERROR(IF(Invoer_Inschrijf[[#This Row],[Oppervlakte '[m2']]]*Invoer_Inschrijf[[#This Row],[Dikte '[m']]]=0,Invoer_Inschrijf[[#This Row],[Gewicht '[ton']]]/Invoer_Inschrijf[[#This Row],[Soortelijk gewicht '[ton / m3']]],Invoer_Inschrijf[[#This Row],[Oppervlakte '[m2']]]*Invoer_Inschrijf[[#This Row],[Dikte '[m']]]),0)</f>
        <v>1107.5949367088608</v>
      </c>
      <c r="Q13" s="236">
        <f>_xlfn.IFNA(IF(Invoer_Inschrijf[[#This Row],[Productgroep]]="Categorie_1_LCA_Producten",VLOOKUP(F13,Categorie_1_Producten[#All],5,FALSE),VLOOKUP(F13&amp;", "&amp;"Totaal",Database_Productkaarten[#All],12,FALSE)),0)</f>
        <v>2.37</v>
      </c>
      <c r="R13" s="235">
        <f>_xlfn.IFNA(IF(Invoer_Inschrijf[[#This Row],[Productgroep]]="Categorie_1_LCA_Producten",VLOOKUP(Invoer_Inschrijf[[#This Row],[Product]],Categorie_1_Producten[],5,FALSE)*Invoer_Inschrijf[[#This Row],[Aantal Eenheden]],(VLOOKUP(Invoer_Inschrijf[[#This Row],[Product]],Database_Productkaarten[[Product]:[Gewicht '[ton'] / Eenheid]],12,FALSE)*Invoer_Inschrijf[[#This Row],[Aantal Eenheden]])),0)</f>
        <v>2625</v>
      </c>
      <c r="S13" s="237"/>
      <c r="T13" s="238">
        <f>MAX(IFERROR($E$2/IF(Invoer_Inschrijf[[#This Row],[Productgroep]]="Categorie_1_LCA_Producten",VLOOKUP(Invoer_Inschrijf[[#This Row],[Product]],Categorie_1_Producten[#All],7,FALSE),VLOOKUP(Invoer_Inschrijf[[#This Row],[Product]]&amp;", "&amp;"Totaal",Database_Productkaarten[#All],15,FALSE))-1,0),0)</f>
        <v>0</v>
      </c>
      <c r="U13" s="352"/>
      <c r="V13" s="352"/>
      <c r="W13" s="353"/>
      <c r="X13" s="353"/>
      <c r="Y13" s="389">
        <f>_xlfn.IFNA(IF(VLOOKUP(Invoer_Inschrijf[[#This Row],[A5 - Overig Materieel tbv Aanleg]],Brandstofmachines_Omrekentabel[],5,FALSE)=0,_xlfn.IFNA(Invoer_Referentie[[#This Row],[A5 - Verbruik overig materieel '[liter - kWh - kg / uur']]]*VLOOKUP(Invoer_Referentie[[#This Row],[A5 - Overig Materieel tbv Aanleg]],Brandstofmachines_Omrekentabel[],8,FALSE)/VLOOKUP(Invoer_Inschrijf[[#This Row],[A5 - Overig Materieel tbv Aanleg]],Brandstofmachines_Omrekentabel[],8,FALSE),0),_xlfn.IFNA(Invoer_Referentie[[#This Row],[A5 - Verbruik overig materieel '[liter - kWh - kg / uur']]]*VLOOKUP(Invoer_Referentie[[#This Row],[A5 - Overig Materieel tbv Aanleg]],Brandstofmachines_Omrekentabel[],8,FALSE)/VLOOKUP(Invoer_Inschrijf[[#This Row],[A5 - Overig Materieel tbv Aanleg]],Brandstofmachines_Omrekentabel[],8,FALSE),0)),0)</f>
        <v>0</v>
      </c>
      <c r="Z13" s="389">
        <f>Invoer_Referentie[[#This Row],[A5 - Capaciteit overig materieel '[Eenheden / uur']]]</f>
        <v>0</v>
      </c>
      <c r="AA13" s="411" t="s">
        <v>239</v>
      </c>
      <c r="AB13" s="353"/>
      <c r="AC13" s="389">
        <f>_xlfn.IFNA(IF(VLOOKUP(Invoer_Inschrijf[[#This Row],[C1 - Overig Materieel tbv Verwijderen]],Brandstofmachines_Omrekentabel[],5,FALSE)=0,_xlfn.IFNA(Invoer_Referentie[[#This Row],[C1 - Verbruik overige materieel '[liter - kWh - kg / uur']]]*VLOOKUP(Invoer_Referentie[[#This Row],[C1 - Overig Materieel tbv Verwijderen]],Brandstofmachines_Omrekentabel[],8,FALSE)/VLOOKUP(Invoer_Inschrijf[[#This Row],[C1 - Overig Materieel tbv Verwijderen]],Brandstofmachines_Omrekentabel[],8,FALSE),0),_xlfn.IFNA(Invoer_Referentie[[#This Row],[C1 - Verbruik overige materieel '[liter - kWh - kg / uur']]]*VLOOKUP(Invoer_Referentie[[#This Row],[C1 - Overig Materieel tbv Verwijderen]],Brandstofmachines_Omrekentabel[],8,FALSE)/VLOOKUP(Invoer_Inschrijf[[#This Row],[C1 - Overig Materieel tbv Verwijderen]],Brandstofmachines_Omrekentabel[],8,FALSE),0)),0)</f>
        <v>0</v>
      </c>
      <c r="AD13" s="389">
        <f>Invoer_Referentie[[#This Row],[C1 - Capaciteit overig materieel '[Eenheden / uur']]]</f>
        <v>0</v>
      </c>
      <c r="AE13" s="411">
        <v>20</v>
      </c>
      <c r="AF13" s="410" t="s">
        <v>224</v>
      </c>
      <c r="AG13" s="353"/>
      <c r="AH13" s="235"/>
      <c r="BK13" s="224"/>
      <c r="BL13" s="224"/>
      <c r="BM13" s="224"/>
      <c r="BN13" s="224"/>
      <c r="BO13" s="224"/>
      <c r="BP13" s="224"/>
      <c r="BQ13" s="224"/>
      <c r="BR13" s="224"/>
      <c r="BS13" s="224"/>
      <c r="BT13" s="224"/>
      <c r="BU13" s="224"/>
      <c r="BV13" s="224"/>
      <c r="BW13" s="224"/>
      <c r="BX13" s="224"/>
    </row>
    <row r="14" spans="1:76">
      <c r="B14" s="320" t="s">
        <v>240</v>
      </c>
      <c r="C14" s="235" t="s">
        <v>39</v>
      </c>
      <c r="D14" s="253"/>
      <c r="E14" s="1" t="s">
        <v>237</v>
      </c>
      <c r="F14" s="347" t="s">
        <v>241</v>
      </c>
      <c r="G14" s="399">
        <f>_xlfn.IFNA(IF(Invoer_Inschrijf[[#This Row],[Productgroep]]="Categorie_1_LCA_Producten",1,(VLOOKUP(Invoer_Inschrijf[[#This Row],[Product]],Database_Productkaarten[[Product]:[Comment]],64,FALSE))),0)</f>
        <v>2</v>
      </c>
      <c r="H14" s="320">
        <f>_xlfn.IFNA(IF(Invoer_Inschrijf[[#This Row],[Productgroep]]="Categorie_1_LCA_Producten",VLOOKUP(Invoer_Inschrijf[[#This Row],[Product]],Categorie_1_Producten[],2,FALSE),VLOOKUP(Invoer_Inschrijf[[#This Row],[Product]],Database_Productkaarten[[Product]:[Category]],60,FALSE)),0)</f>
        <v>0</v>
      </c>
      <c r="I14" s="260" t="str">
        <f>_xlfn.IFNA(VLOOKUP(Invoer_Inschrijf[[#This Row],[Product]],Database_Productkaarten[[Product]:[Producttype]],3,FALSE),VLOOKUP(Invoer_Inschrijf[[#This Row],[Product]],Categorie_1_Producten[#All],3,FALSE))</f>
        <v>AC surf rood</v>
      </c>
      <c r="J14" s="238">
        <v>1800</v>
      </c>
      <c r="K14" s="320" t="str">
        <f>_xlfn.IFNA(IF(Invoer_Inschrijf[[#This Row],[Productgroep]]="Categorie_1_LCA_Producten",VLOOKUP(Invoer_Inschrijf[[#This Row],[Product]],Categorie_1_Producten[],4,FALSE),VLOOKUP(Invoer_Inschrijf[[#This Row],[Product]],Database_Productkaarten[[Product]:[Eenheid]],4,FALSE)),0)</f>
        <v>Ton</v>
      </c>
      <c r="L14" s="320"/>
      <c r="M14" s="320"/>
      <c r="N14" s="260"/>
      <c r="O14" s="237">
        <f>Invoer_Inschrijf[[#This Row],[Lengte'[m']]]*Invoer_Inschrijf[[#This Row],[Breedte '[m']]]</f>
        <v>0</v>
      </c>
      <c r="P14" s="235">
        <f>IFERROR(IF(Invoer_Inschrijf[[#This Row],[Oppervlakte '[m2']]]*Invoer_Inschrijf[[#This Row],[Dikte '[m']]]=0,Invoer_Inschrijf[[#This Row],[Gewicht '[ton']]]/Invoer_Inschrijf[[#This Row],[Soortelijk gewicht '[ton / m3']]],Invoer_Inschrijf[[#This Row],[Oppervlakte '[m2']]]*Invoer_Inschrijf[[#This Row],[Dikte '[m']]]),0)</f>
        <v>765.95744680851055</v>
      </c>
      <c r="Q14" s="236">
        <f>_xlfn.IFNA(IF(Invoer_Inschrijf[[#This Row],[Productgroep]]="Categorie_1_LCA_Producten",VLOOKUP(F14,Categorie_1_Producten[#All],5,FALSE),VLOOKUP(F14&amp;", "&amp;"Totaal",Database_Productkaarten[#All],12,FALSE)),0)</f>
        <v>2.35</v>
      </c>
      <c r="R14" s="235">
        <f>_xlfn.IFNA(IF(Invoer_Inschrijf[[#This Row],[Productgroep]]="Categorie_1_LCA_Producten",VLOOKUP(Invoer_Inschrijf[[#This Row],[Product]],Categorie_1_Producten[],5,FALSE)*Invoer_Inschrijf[[#This Row],[Aantal Eenheden]],(VLOOKUP(Invoer_Inschrijf[[#This Row],[Product]],Database_Productkaarten[[Product]:[Gewicht '[ton'] / Eenheid]],12,FALSE)*Invoer_Inschrijf[[#This Row],[Aantal Eenheden]])),0)</f>
        <v>1800</v>
      </c>
      <c r="S14" s="237"/>
      <c r="T14" s="238">
        <f>MAX(IFERROR($E$2/IF(Invoer_Inschrijf[[#This Row],[Productgroep]]="Categorie_1_LCA_Producten",VLOOKUP(Invoer_Inschrijf[[#This Row],[Product]],Categorie_1_Producten[#All],7,FALSE),VLOOKUP(Invoer_Inschrijf[[#This Row],[Product]]&amp;", "&amp;"Totaal",Database_Productkaarten[#All],15,FALSE))-1,0),0)</f>
        <v>0</v>
      </c>
      <c r="U14" s="352"/>
      <c r="V14" s="352"/>
      <c r="W14" s="353"/>
      <c r="X14" s="353"/>
      <c r="Y14" s="389">
        <f>_xlfn.IFNA(IF(VLOOKUP(Invoer_Inschrijf[[#This Row],[A5 - Overig Materieel tbv Aanleg]],Brandstofmachines_Omrekentabel[],5,FALSE)=0,_xlfn.IFNA(Invoer_Referentie[[#This Row],[A5 - Verbruik overig materieel '[liter - kWh - kg / uur']]]*VLOOKUP(Invoer_Referentie[[#This Row],[A5 - Overig Materieel tbv Aanleg]],Brandstofmachines_Omrekentabel[],8,FALSE)/VLOOKUP(Invoer_Inschrijf[[#This Row],[A5 - Overig Materieel tbv Aanleg]],Brandstofmachines_Omrekentabel[],8,FALSE),0),_xlfn.IFNA(Invoer_Referentie[[#This Row],[A5 - Verbruik overig materieel '[liter - kWh - kg / uur']]]*VLOOKUP(Invoer_Referentie[[#This Row],[A5 - Overig Materieel tbv Aanleg]],Brandstofmachines_Omrekentabel[],8,FALSE)/VLOOKUP(Invoer_Inschrijf[[#This Row],[A5 - Overig Materieel tbv Aanleg]],Brandstofmachines_Omrekentabel[],8,FALSE),0)),0)</f>
        <v>0</v>
      </c>
      <c r="Z14" s="389">
        <f>Invoer_Referentie[[#This Row],[A5 - Capaciteit overig materieel '[Eenheden / uur']]]</f>
        <v>0</v>
      </c>
      <c r="AA14" s="411" t="s">
        <v>239</v>
      </c>
      <c r="AB14" s="353"/>
      <c r="AC14" s="389">
        <f>_xlfn.IFNA(IF(VLOOKUP(Invoer_Inschrijf[[#This Row],[C1 - Overig Materieel tbv Verwijderen]],Brandstofmachines_Omrekentabel[],5,FALSE)=0,_xlfn.IFNA(Invoer_Referentie[[#This Row],[C1 - Verbruik overige materieel '[liter - kWh - kg / uur']]]*VLOOKUP(Invoer_Referentie[[#This Row],[C1 - Overig Materieel tbv Verwijderen]],Brandstofmachines_Omrekentabel[],8,FALSE)/VLOOKUP(Invoer_Inschrijf[[#This Row],[C1 - Overig Materieel tbv Verwijderen]],Brandstofmachines_Omrekentabel[],8,FALSE),0),_xlfn.IFNA(Invoer_Referentie[[#This Row],[C1 - Verbruik overige materieel '[liter - kWh - kg / uur']]]*VLOOKUP(Invoer_Referentie[[#This Row],[C1 - Overig Materieel tbv Verwijderen]],Brandstofmachines_Omrekentabel[],8,FALSE)/VLOOKUP(Invoer_Inschrijf[[#This Row],[C1 - Overig Materieel tbv Verwijderen]],Brandstofmachines_Omrekentabel[],8,FALSE),0)),0)</f>
        <v>0</v>
      </c>
      <c r="AD14" s="389">
        <f>Invoer_Referentie[[#This Row],[C1 - Capaciteit overig materieel '[Eenheden / uur']]]</f>
        <v>0</v>
      </c>
      <c r="AE14" s="411">
        <v>20</v>
      </c>
      <c r="AF14" s="410" t="s">
        <v>224</v>
      </c>
      <c r="AG14" s="353"/>
      <c r="AH14" s="235"/>
      <c r="BK14" s="224"/>
      <c r="BL14" s="224"/>
      <c r="BM14" s="224"/>
      <c r="BN14" s="224"/>
      <c r="BO14" s="224"/>
      <c r="BP14" s="224"/>
      <c r="BQ14" s="224"/>
      <c r="BR14" s="224"/>
      <c r="BS14" s="224"/>
      <c r="BT14" s="224"/>
      <c r="BU14" s="224"/>
      <c r="BV14" s="224"/>
      <c r="BW14" s="224"/>
      <c r="BX14" s="224"/>
    </row>
    <row r="15" spans="1:76">
      <c r="B15" s="320" t="s">
        <v>242</v>
      </c>
      <c r="C15" s="235" t="s">
        <v>39</v>
      </c>
      <c r="D15" s="253"/>
      <c r="E15" s="1" t="s">
        <v>48</v>
      </c>
      <c r="F15" s="347" t="s">
        <v>61</v>
      </c>
      <c r="G15" s="399">
        <f>_xlfn.IFNA(IF(Invoer_Inschrijf[[#This Row],[Productgroep]]="Categorie_1_LCA_Producten",1,(VLOOKUP(Invoer_Inschrijf[[#This Row],[Product]],Database_Productkaarten[[Product]:[Comment]],64,FALSE))),0)</f>
        <v>3</v>
      </c>
      <c r="H15" s="320">
        <f>_xlfn.IFNA(IF(Invoer_Inschrijf[[#This Row],[Productgroep]]="Categorie_1_LCA_Producten",VLOOKUP(Invoer_Inschrijf[[#This Row],[Product]],Categorie_1_Producten[],2,FALSE),VLOOKUP(Invoer_Inschrijf[[#This Row],[Product]],Database_Productkaarten[[Product]:[Category]],60,FALSE)),0)</f>
        <v>0</v>
      </c>
      <c r="I15" s="260" t="str">
        <f>_xlfn.IFNA(VLOOKUP(Invoer_Inschrijf[[#This Row],[Product]],Database_Productkaarten[[Product]:[Producttype]],3,FALSE),VLOOKUP(Invoer_Inschrijf[[#This Row],[Product]],Categorie_1_Producten[#All],3,FALSE))</f>
        <v>Menggranulaat</v>
      </c>
      <c r="J15" s="238">
        <v>3833.3333333333335</v>
      </c>
      <c r="K15" s="320" t="str">
        <f>_xlfn.IFNA(IF(Invoer_Inschrijf[[#This Row],[Productgroep]]="Categorie_1_LCA_Producten",VLOOKUP(Invoer_Inschrijf[[#This Row],[Product]],Categorie_1_Producten[],4,FALSE),VLOOKUP(Invoer_Inschrijf[[#This Row],[Product]],Database_Productkaarten[[Product]:[Eenheid]],4,FALSE)),0)</f>
        <v>m2</v>
      </c>
      <c r="L15" s="320"/>
      <c r="M15" s="320"/>
      <c r="N15" s="260"/>
      <c r="O15" s="237">
        <f>Invoer_Inschrijf[[#This Row],[Lengte'[m']]]*Invoer_Inschrijf[[#This Row],[Breedte '[m']]]</f>
        <v>0</v>
      </c>
      <c r="P15" s="235">
        <f>IFERROR(IF(Invoer_Inschrijf[[#This Row],[Oppervlakte '[m2']]]*Invoer_Inschrijf[[#This Row],[Dikte '[m']]]=0,Invoer_Inschrijf[[#This Row],[Gewicht '[ton']]]/Invoer_Inschrijf[[#This Row],[Soortelijk gewicht '[ton / m3']]],Invoer_Inschrijf[[#This Row],[Oppervlakte '[m2']]]*Invoer_Inschrijf[[#This Row],[Dikte '[m']]]),0)</f>
        <v>1150</v>
      </c>
      <c r="Q15" s="236">
        <f>_xlfn.IFNA(IF(Invoer_Inschrijf[[#This Row],[Productgroep]]="Categorie_1_LCA_Producten",VLOOKUP(F15,Categorie_1_Producten[#All],5,FALSE),VLOOKUP(F15&amp;", "&amp;"Totaal",Database_Productkaarten[#All],12,FALSE)),0)</f>
        <v>1.95</v>
      </c>
      <c r="R15" s="235">
        <f>_xlfn.IFNA(IF(Invoer_Inschrijf[[#This Row],[Productgroep]]="Categorie_1_LCA_Producten",VLOOKUP(Invoer_Inschrijf[[#This Row],[Product]],Categorie_1_Producten[],5,FALSE)*Invoer_Inschrijf[[#This Row],[Aantal Eenheden]],(VLOOKUP(Invoer_Inschrijf[[#This Row],[Product]],Database_Productkaarten[[Product]:[Gewicht '[ton'] / Eenheid]],12,FALSE)*Invoer_Inschrijf[[#This Row],[Aantal Eenheden]])),0)</f>
        <v>2242.5</v>
      </c>
      <c r="S15" s="237"/>
      <c r="T15" s="238">
        <f>MAX(IFERROR($E$2/IF(Invoer_Inschrijf[[#This Row],[Productgroep]]="Categorie_1_LCA_Producten",VLOOKUP(Invoer_Inschrijf[[#This Row],[Product]],Categorie_1_Producten[#All],7,FALSE),VLOOKUP(Invoer_Inschrijf[[#This Row],[Product]]&amp;", "&amp;"Totaal",Database_Productkaarten[#All],15,FALSE))-1,0),0)</f>
        <v>0</v>
      </c>
      <c r="U15" s="352"/>
      <c r="V15" s="352"/>
      <c r="W15" s="353"/>
      <c r="X15" s="353"/>
      <c r="Y15" s="389">
        <f>_xlfn.IFNA(IF(VLOOKUP(Invoer_Inschrijf[[#This Row],[A5 - Overig Materieel tbv Aanleg]],Brandstofmachines_Omrekentabel[],5,FALSE)=0,_xlfn.IFNA(Invoer_Referentie[[#This Row],[A5 - Verbruik overig materieel '[liter - kWh - kg / uur']]]*VLOOKUP(Invoer_Referentie[[#This Row],[A5 - Overig Materieel tbv Aanleg]],Brandstofmachines_Omrekentabel[],8,FALSE)/VLOOKUP(Invoer_Inschrijf[[#This Row],[A5 - Overig Materieel tbv Aanleg]],Brandstofmachines_Omrekentabel[],8,FALSE),0),_xlfn.IFNA(Invoer_Referentie[[#This Row],[A5 - Verbruik overig materieel '[liter - kWh - kg / uur']]]*VLOOKUP(Invoer_Referentie[[#This Row],[A5 - Overig Materieel tbv Aanleg]],Brandstofmachines_Omrekentabel[],8,FALSE)/VLOOKUP(Invoer_Inschrijf[[#This Row],[A5 - Overig Materieel tbv Aanleg]],Brandstofmachines_Omrekentabel[],8,FALSE),0)),0)</f>
        <v>0</v>
      </c>
      <c r="Z15" s="389">
        <f>Invoer_Referentie[[#This Row],[A5 - Capaciteit overig materieel '[Eenheden / uur']]]</f>
        <v>50</v>
      </c>
      <c r="AA15" s="353"/>
      <c r="AB15" s="411" t="s">
        <v>223</v>
      </c>
      <c r="AC15" s="413">
        <f>_xlfn.IFNA(IF(VLOOKUP(Invoer_Inschrijf[[#This Row],[C1 - Overig Materieel tbv Verwijderen]],Brandstofmachines_Omrekentabel[],5,FALSE)=0,_xlfn.IFNA(Invoer_Referentie[[#This Row],[C1 - Verbruik overige materieel '[liter - kWh - kg / uur']]]*VLOOKUP(Invoer_Referentie[[#This Row],[C1 - Overig Materieel tbv Verwijderen]],Brandstofmachines_Omrekentabel[],8,FALSE)/VLOOKUP(Invoer_Inschrijf[[#This Row],[C1 - Overig Materieel tbv Verwijderen]],Brandstofmachines_Omrekentabel[],8,FALSE),0),_xlfn.IFNA(Invoer_Referentie[[#This Row],[C1 - Verbruik overige materieel '[liter - kWh - kg / uur']]]*VLOOKUP(Invoer_Referentie[[#This Row],[C1 - Overig Materieel tbv Verwijderen]],Brandstofmachines_Omrekentabel[],8,FALSE)/VLOOKUP(Invoer_Inschrijf[[#This Row],[C1 - Overig Materieel tbv Verwijderen]],Brandstofmachines_Omrekentabel[],8,FALSE),0)),0)</f>
        <v>19.5</v>
      </c>
      <c r="AD15" s="413">
        <f>Invoer_Referentie[[#This Row],[C1 - Capaciteit overig materieel '[Eenheden / uur']]]</f>
        <v>100</v>
      </c>
      <c r="AE15" s="411">
        <v>20</v>
      </c>
      <c r="AF15" s="410" t="s">
        <v>224</v>
      </c>
      <c r="AG15" s="353"/>
      <c r="AH15" s="235"/>
      <c r="BK15" s="224"/>
      <c r="BL15" s="224"/>
      <c r="BM15" s="224"/>
      <c r="BN15" s="224"/>
      <c r="BO15" s="224"/>
      <c r="BP15" s="224"/>
      <c r="BQ15" s="224"/>
      <c r="BR15" s="224"/>
      <c r="BS15" s="224"/>
      <c r="BT15" s="224"/>
      <c r="BU15" s="224"/>
      <c r="BV15" s="224"/>
      <c r="BW15" s="224"/>
      <c r="BX15" s="224"/>
    </row>
    <row r="16" spans="1:76">
      <c r="B16" s="320" t="s">
        <v>243</v>
      </c>
      <c r="C16" s="235" t="s">
        <v>39</v>
      </c>
      <c r="D16" s="253"/>
      <c r="E16" s="1" t="s">
        <v>48</v>
      </c>
      <c r="F16" s="347" t="s">
        <v>244</v>
      </c>
      <c r="G16" s="399">
        <f>_xlfn.IFNA(IF(Invoer_Inschrijf[[#This Row],[Productgroep]]="Categorie_1_LCA_Producten",1,(VLOOKUP(Invoer_Inschrijf[[#This Row],[Product]],Database_Productkaarten[[Product]:[Comment]],64,FALSE))),0)</f>
        <v>3</v>
      </c>
      <c r="H16" s="320">
        <f>_xlfn.IFNA(IF(Invoer_Inschrijf[[#This Row],[Productgroep]]="Categorie_1_LCA_Producten",VLOOKUP(Invoer_Inschrijf[[#This Row],[Product]],Categorie_1_Producten[],2,FALSE),VLOOKUP(Invoer_Inschrijf[[#This Row],[Product]],Database_Productkaarten[[Product]:[Category]],60,FALSE)),0)</f>
        <v>0</v>
      </c>
      <c r="I16" s="260" t="str">
        <f>_xlfn.IFNA(VLOOKUP(Invoer_Inschrijf[[#This Row],[Product]],Database_Productkaarten[[Product]:[Producttype]],3,FALSE),VLOOKUP(Invoer_Inschrijf[[#This Row],[Product]],Categorie_1_Producten[#All],3,FALSE))</f>
        <v>Fosforslak</v>
      </c>
      <c r="J16" s="238">
        <v>1750</v>
      </c>
      <c r="K16" s="320" t="str">
        <f>_xlfn.IFNA(IF(Invoer_Inschrijf[[#This Row],[Productgroep]]="Categorie_1_LCA_Producten",VLOOKUP(Invoer_Inschrijf[[#This Row],[Product]],Categorie_1_Producten[],4,FALSE),VLOOKUP(Invoer_Inschrijf[[#This Row],[Product]],Database_Productkaarten[[Product]:[Eenheid]],4,FALSE)),0)</f>
        <v>m2</v>
      </c>
      <c r="L16" s="320"/>
      <c r="M16" s="320"/>
      <c r="N16" s="260"/>
      <c r="O16" s="237">
        <f>Invoer_Inschrijf[[#This Row],[Lengte'[m']]]*Invoer_Inschrijf[[#This Row],[Breedte '[m']]]</f>
        <v>0</v>
      </c>
      <c r="P16" s="235">
        <f>IFERROR(IF(Invoer_Inschrijf[[#This Row],[Oppervlakte '[m2']]]*Invoer_Inschrijf[[#This Row],[Dikte '[m']]]=0,Invoer_Inschrijf[[#This Row],[Gewicht '[ton']]]/Invoer_Inschrijf[[#This Row],[Soortelijk gewicht '[ton / m3']]],Invoer_Inschrijf[[#This Row],[Oppervlakte '[m2']]]*Invoer_Inschrijf[[#This Row],[Dikte '[m']]]),0)</f>
        <v>350.00000000000006</v>
      </c>
      <c r="Q16" s="236">
        <f>_xlfn.IFNA(IF(Invoer_Inschrijf[[#This Row],[Productgroep]]="Categorie_1_LCA_Producten",VLOOKUP(F16,Categorie_1_Producten[#All],5,FALSE),VLOOKUP(F16&amp;", "&amp;"Totaal",Database_Productkaarten[#All],12,FALSE)),0)</f>
        <v>2.8</v>
      </c>
      <c r="R16" s="235">
        <f>_xlfn.IFNA(IF(Invoer_Inschrijf[[#This Row],[Productgroep]]="Categorie_1_LCA_Producten",VLOOKUP(Invoer_Inschrijf[[#This Row],[Product]],Categorie_1_Producten[],5,FALSE)*Invoer_Inschrijf[[#This Row],[Aantal Eenheden]],(VLOOKUP(Invoer_Inschrijf[[#This Row],[Product]],Database_Productkaarten[[Product]:[Gewicht '[ton'] / Eenheid]],12,FALSE)*Invoer_Inschrijf[[#This Row],[Aantal Eenheden]])),0)</f>
        <v>980.00000000000011</v>
      </c>
      <c r="S16" s="237"/>
      <c r="T16" s="238">
        <f>MAX(IFERROR($E$2/IF(Invoer_Inschrijf[[#This Row],[Productgroep]]="Categorie_1_LCA_Producten",VLOOKUP(Invoer_Inschrijf[[#This Row],[Product]],Categorie_1_Producten[#All],7,FALSE),VLOOKUP(Invoer_Inschrijf[[#This Row],[Product]]&amp;", "&amp;"Totaal",Database_Productkaarten[#All],15,FALSE))-1,0),0)</f>
        <v>0</v>
      </c>
      <c r="U16" s="352"/>
      <c r="V16" s="352"/>
      <c r="W16" s="353"/>
      <c r="X16" s="353"/>
      <c r="Y16" s="389">
        <f>_xlfn.IFNA(IF(VLOOKUP(Invoer_Inschrijf[[#This Row],[A5 - Overig Materieel tbv Aanleg]],Brandstofmachines_Omrekentabel[],5,FALSE)=0,_xlfn.IFNA(Invoer_Referentie[[#This Row],[A5 - Verbruik overig materieel '[liter - kWh - kg / uur']]]*VLOOKUP(Invoer_Referentie[[#This Row],[A5 - Overig Materieel tbv Aanleg]],Brandstofmachines_Omrekentabel[],8,FALSE)/VLOOKUP(Invoer_Inschrijf[[#This Row],[A5 - Overig Materieel tbv Aanleg]],Brandstofmachines_Omrekentabel[],8,FALSE),0),_xlfn.IFNA(Invoer_Referentie[[#This Row],[A5 - Verbruik overig materieel '[liter - kWh - kg / uur']]]*VLOOKUP(Invoer_Referentie[[#This Row],[A5 - Overig Materieel tbv Aanleg]],Brandstofmachines_Omrekentabel[],8,FALSE)/VLOOKUP(Invoer_Inschrijf[[#This Row],[A5 - Overig Materieel tbv Aanleg]],Brandstofmachines_Omrekentabel[],8,FALSE),0)),0)</f>
        <v>0</v>
      </c>
      <c r="Z16" s="389">
        <f>Invoer_Referentie[[#This Row],[A5 - Capaciteit overig materieel '[Eenheden / uur']]]</f>
        <v>50</v>
      </c>
      <c r="AA16" s="353"/>
      <c r="AB16" s="411" t="s">
        <v>223</v>
      </c>
      <c r="AC16" s="413">
        <f>_xlfn.IFNA(IF(VLOOKUP(Invoer_Inschrijf[[#This Row],[C1 - Overig Materieel tbv Verwijderen]],Brandstofmachines_Omrekentabel[],5,FALSE)=0,_xlfn.IFNA(Invoer_Referentie[[#This Row],[C1 - Verbruik overige materieel '[liter - kWh - kg / uur']]]*VLOOKUP(Invoer_Referentie[[#This Row],[C1 - Overig Materieel tbv Verwijderen]],Brandstofmachines_Omrekentabel[],8,FALSE)/VLOOKUP(Invoer_Inschrijf[[#This Row],[C1 - Overig Materieel tbv Verwijderen]],Brandstofmachines_Omrekentabel[],8,FALSE),0),_xlfn.IFNA(Invoer_Referentie[[#This Row],[C1 - Verbruik overige materieel '[liter - kWh - kg / uur']]]*VLOOKUP(Invoer_Referentie[[#This Row],[C1 - Overig Materieel tbv Verwijderen]],Brandstofmachines_Omrekentabel[],8,FALSE)/VLOOKUP(Invoer_Inschrijf[[#This Row],[C1 - Overig Materieel tbv Verwijderen]],Brandstofmachines_Omrekentabel[],8,FALSE),0)),0)</f>
        <v>19.5</v>
      </c>
      <c r="AD16" s="413">
        <f>Invoer_Referentie[[#This Row],[C1 - Capaciteit overig materieel '[Eenheden / uur']]]</f>
        <v>100</v>
      </c>
      <c r="AE16" s="411">
        <v>20</v>
      </c>
      <c r="AF16" s="410" t="s">
        <v>224</v>
      </c>
      <c r="AG16" s="353"/>
      <c r="AH16" s="235"/>
      <c r="BK16" s="224"/>
      <c r="BL16" s="224"/>
      <c r="BM16" s="224"/>
      <c r="BN16" s="224"/>
      <c r="BO16" s="224"/>
      <c r="BP16" s="224"/>
      <c r="BQ16" s="224"/>
      <c r="BR16" s="224"/>
      <c r="BS16" s="224"/>
      <c r="BT16" s="224"/>
      <c r="BU16" s="224"/>
      <c r="BV16" s="224"/>
      <c r="BW16" s="224"/>
      <c r="BX16" s="224"/>
    </row>
    <row r="17" spans="2:76">
      <c r="B17" s="320" t="s">
        <v>245</v>
      </c>
      <c r="C17" s="235" t="s">
        <v>39</v>
      </c>
      <c r="D17" s="253"/>
      <c r="E17" s="1" t="s">
        <v>246</v>
      </c>
      <c r="F17" s="347" t="s">
        <v>247</v>
      </c>
      <c r="G17" s="399">
        <f>_xlfn.IFNA(IF(Invoer_Inschrijf[[#This Row],[Productgroep]]="Categorie_1_LCA_Producten",1,(VLOOKUP(Invoer_Inschrijf[[#This Row],[Product]],Database_Productkaarten[[Product]:[Comment]],64,FALSE))),0)</f>
        <v>3</v>
      </c>
      <c r="H17" s="320">
        <f>_xlfn.IFNA(IF(Invoer_Inschrijf[[#This Row],[Productgroep]]="Categorie_1_LCA_Producten",VLOOKUP(Invoer_Inschrijf[[#This Row],[Product]],Categorie_1_Producten[],2,FALSE),VLOOKUP(Invoer_Inschrijf[[#This Row],[Product]],Database_Productkaarten[[Product]:[Category]],60,FALSE)),0)</f>
        <v>0</v>
      </c>
      <c r="I17" s="260" t="str">
        <f>_xlfn.IFNA(VLOOKUP(Invoer_Inschrijf[[#This Row],[Product]],Database_Productkaarten[[Product]:[Producttype]],3,FALSE),VLOOKUP(Invoer_Inschrijf[[#This Row],[Product]],Categorie_1_Producten[#All],3,FALSE))</f>
        <v>Kolk</v>
      </c>
      <c r="J17" s="238">
        <v>202</v>
      </c>
      <c r="K17" s="320" t="str">
        <f>_xlfn.IFNA(IF(Invoer_Inschrijf[[#This Row],[Productgroep]]="Categorie_1_LCA_Producten",VLOOKUP(Invoer_Inschrijf[[#This Row],[Product]],Categorie_1_Producten[],4,FALSE),VLOOKUP(Invoer_Inschrijf[[#This Row],[Product]],Database_Productkaarten[[Product]:[Eenheid]],4,FALSE)),0)</f>
        <v>stuk</v>
      </c>
      <c r="L17" s="320"/>
      <c r="M17" s="320"/>
      <c r="N17" s="260"/>
      <c r="O17" s="237">
        <f>Invoer_Inschrijf[[#This Row],[Lengte'[m']]]*Invoer_Inschrijf[[#This Row],[Breedte '[m']]]</f>
        <v>0</v>
      </c>
      <c r="P17" s="235">
        <f>IFERROR(IF(Invoer_Inschrijf[[#This Row],[Oppervlakte '[m2']]]*Invoer_Inschrijf[[#This Row],[Dikte '[m']]]=0,Invoer_Inschrijf[[#This Row],[Gewicht '[ton']]]/Invoer_Inschrijf[[#This Row],[Soortelijk gewicht '[ton / m3']]],Invoer_Inschrijf[[#This Row],[Oppervlakte '[m2']]]*Invoer_Inschrijf[[#This Row],[Dikte '[m']]]),0)</f>
        <v>0</v>
      </c>
      <c r="Q17" s="236" t="str">
        <f>_xlfn.IFNA(IF(Invoer_Inschrijf[[#This Row],[Productgroep]]="Categorie_1_LCA_Producten",VLOOKUP(F17,Categorie_1_Producten[#All],5,FALSE),VLOOKUP(F17&amp;", "&amp;"Totaal",Database_Productkaarten[#All],12,FALSE)),0)</f>
        <v>NVT</v>
      </c>
      <c r="R17" s="235">
        <f>_xlfn.IFNA(IF(Invoer_Inschrijf[[#This Row],[Productgroep]]="Categorie_1_LCA_Producten",VLOOKUP(Invoer_Inschrijf[[#This Row],[Product]],Categorie_1_Producten[],5,FALSE)*Invoer_Inschrijf[[#This Row],[Aantal Eenheden]],(VLOOKUP(Invoer_Inschrijf[[#This Row],[Product]],Database_Productkaarten[[Product]:[Gewicht '[ton'] / Eenheid]],12,FALSE)*Invoer_Inschrijf[[#This Row],[Aantal Eenheden]])),0)</f>
        <v>40.973680000000002</v>
      </c>
      <c r="S17" s="237"/>
      <c r="T17" s="238">
        <f>MAX(IFERROR($E$2/IF(Invoer_Inschrijf[[#This Row],[Productgroep]]="Categorie_1_LCA_Producten",VLOOKUP(Invoer_Inschrijf[[#This Row],[Product]],Categorie_1_Producten[#All],7,FALSE),VLOOKUP(Invoer_Inschrijf[[#This Row],[Product]]&amp;", "&amp;"Totaal",Database_Productkaarten[#All],15,FALSE))-1,0),0)</f>
        <v>0</v>
      </c>
      <c r="U17" s="352"/>
      <c r="V17" s="352"/>
      <c r="W17" s="353"/>
      <c r="X17" s="353"/>
      <c r="Y17" s="389">
        <f>_xlfn.IFNA(IF(VLOOKUP(Invoer_Inschrijf[[#This Row],[A5 - Overig Materieel tbv Aanleg]],Brandstofmachines_Omrekentabel[],5,FALSE)=0,_xlfn.IFNA(Invoer_Referentie[[#This Row],[A5 - Verbruik overig materieel '[liter - kWh - kg / uur']]]*VLOOKUP(Invoer_Referentie[[#This Row],[A5 - Overig Materieel tbv Aanleg]],Brandstofmachines_Omrekentabel[],8,FALSE)/VLOOKUP(Invoer_Inschrijf[[#This Row],[A5 - Overig Materieel tbv Aanleg]],Brandstofmachines_Omrekentabel[],8,FALSE),0),_xlfn.IFNA(Invoer_Referentie[[#This Row],[A5 - Verbruik overig materieel '[liter - kWh - kg / uur']]]*VLOOKUP(Invoer_Referentie[[#This Row],[A5 - Overig Materieel tbv Aanleg]],Brandstofmachines_Omrekentabel[],8,FALSE)/VLOOKUP(Invoer_Inschrijf[[#This Row],[A5 - Overig Materieel tbv Aanleg]],Brandstofmachines_Omrekentabel[],8,FALSE),0)),0)</f>
        <v>0</v>
      </c>
      <c r="Z17" s="389">
        <f>Invoer_Referentie[[#This Row],[A5 - Capaciteit overig materieel '[Eenheden / uur']]]</f>
        <v>2</v>
      </c>
      <c r="AA17" s="353"/>
      <c r="AB17" s="411" t="s">
        <v>223</v>
      </c>
      <c r="AC17" s="413">
        <f>_xlfn.IFNA(IF(VLOOKUP(Invoer_Inschrijf[[#This Row],[C1 - Overig Materieel tbv Verwijderen]],Brandstofmachines_Omrekentabel[],5,FALSE)=0,_xlfn.IFNA(Invoer_Referentie[[#This Row],[C1 - Verbruik overige materieel '[liter - kWh - kg / uur']]]*VLOOKUP(Invoer_Referentie[[#This Row],[C1 - Overig Materieel tbv Verwijderen]],Brandstofmachines_Omrekentabel[],8,FALSE)/VLOOKUP(Invoer_Inschrijf[[#This Row],[C1 - Overig Materieel tbv Verwijderen]],Brandstofmachines_Omrekentabel[],8,FALSE),0),_xlfn.IFNA(Invoer_Referentie[[#This Row],[C1 - Verbruik overige materieel '[liter - kWh - kg / uur']]]*VLOOKUP(Invoer_Referentie[[#This Row],[C1 - Overig Materieel tbv Verwijderen]],Brandstofmachines_Omrekentabel[],8,FALSE)/VLOOKUP(Invoer_Inschrijf[[#This Row],[C1 - Overig Materieel tbv Verwijderen]],Brandstofmachines_Omrekentabel[],8,FALSE),0)),0)</f>
        <v>15.933147632311979</v>
      </c>
      <c r="AD17" s="413">
        <f>Invoer_Referentie[[#This Row],[C1 - Capaciteit overig materieel '[Eenheden / uur']]]</f>
        <v>2</v>
      </c>
      <c r="AE17" s="411">
        <v>20</v>
      </c>
      <c r="AF17" s="410" t="s">
        <v>224</v>
      </c>
      <c r="AG17" s="353"/>
      <c r="AH17" s="235"/>
      <c r="BK17" s="224"/>
      <c r="BL17" s="224"/>
      <c r="BM17" s="224"/>
      <c r="BN17" s="224"/>
      <c r="BO17" s="224"/>
      <c r="BP17" s="224"/>
      <c r="BQ17" s="224"/>
      <c r="BR17" s="224"/>
      <c r="BS17" s="224"/>
      <c r="BT17" s="224"/>
      <c r="BU17" s="224"/>
      <c r="BV17" s="224"/>
      <c r="BW17" s="224"/>
      <c r="BX17" s="224"/>
    </row>
    <row r="18" spans="2:76">
      <c r="B18" s="320" t="s">
        <v>248</v>
      </c>
      <c r="C18" s="235" t="s">
        <v>39</v>
      </c>
      <c r="D18" s="253"/>
      <c r="E18" s="1" t="s">
        <v>40</v>
      </c>
      <c r="F18" s="347" t="s">
        <v>41</v>
      </c>
      <c r="G18" s="399">
        <f>_xlfn.IFNA(IF(Invoer_Inschrijf[[#This Row],[Productgroep]]="Categorie_1_LCA_Producten",1,(VLOOKUP(Invoer_Inschrijf[[#This Row],[Product]],Database_Productkaarten[[Product]:[Comment]],64,FALSE))),0)</f>
        <v>3</v>
      </c>
      <c r="H18" s="320">
        <f>_xlfn.IFNA(IF(Invoer_Inschrijf[[#This Row],[Productgroep]]="Categorie_1_LCA_Producten",VLOOKUP(Invoer_Inschrijf[[#This Row],[Product]],Categorie_1_Producten[],2,FALSE),VLOOKUP(Invoer_Inschrijf[[#This Row],[Product]],Database_Productkaarten[[Product]:[Category]],60,FALSE)),0)</f>
        <v>0</v>
      </c>
      <c r="I18" s="260" t="str">
        <f>_xlfn.IFNA(VLOOKUP(Invoer_Inschrijf[[#This Row],[Product]],Database_Productkaarten[[Product]:[Producttype]],3,FALSE),VLOOKUP(Invoer_Inschrijf[[#This Row],[Product]],Categorie_1_Producten[#All],3,FALSE))</f>
        <v>Grond</v>
      </c>
      <c r="J18" s="238">
        <v>5020</v>
      </c>
      <c r="K18" s="320" t="str">
        <f>_xlfn.IFNA(IF(Invoer_Inschrijf[[#This Row],[Productgroep]]="Categorie_1_LCA_Producten",VLOOKUP(Invoer_Inschrijf[[#This Row],[Product]],Categorie_1_Producten[],4,FALSE),VLOOKUP(Invoer_Inschrijf[[#This Row],[Product]],Database_Productkaarten[[Product]:[Eenheid]],4,FALSE)),0)</f>
        <v>m3</v>
      </c>
      <c r="L18" s="320"/>
      <c r="M18" s="320"/>
      <c r="N18" s="260"/>
      <c r="O18" s="237">
        <f>Invoer_Inschrijf[[#This Row],[Lengte'[m']]]*Invoer_Inschrijf[[#This Row],[Breedte '[m']]]</f>
        <v>0</v>
      </c>
      <c r="P18" s="235">
        <f>IFERROR(IF(Invoer_Inschrijf[[#This Row],[Oppervlakte '[m2']]]*Invoer_Inschrijf[[#This Row],[Dikte '[m']]]=0,Invoer_Inschrijf[[#This Row],[Gewicht '[ton']]]/Invoer_Inschrijf[[#This Row],[Soortelijk gewicht '[ton / m3']]],Invoer_Inschrijf[[#This Row],[Oppervlakte '[m2']]]*Invoer_Inschrijf[[#This Row],[Dikte '[m']]]),0)</f>
        <v>5020</v>
      </c>
      <c r="Q18" s="236">
        <f>_xlfn.IFNA(IF(Invoer_Inschrijf[[#This Row],[Productgroep]]="Categorie_1_LCA_Producten",VLOOKUP(F18,Categorie_1_Producten[#All],5,FALSE),VLOOKUP(F18&amp;", "&amp;"Totaal",Database_Productkaarten[#All],12,FALSE)),0)</f>
        <v>1.625</v>
      </c>
      <c r="R18" s="235">
        <f>_xlfn.IFNA(IF(Invoer_Inschrijf[[#This Row],[Productgroep]]="Categorie_1_LCA_Producten",VLOOKUP(Invoer_Inschrijf[[#This Row],[Product]],Categorie_1_Producten[],5,FALSE)*Invoer_Inschrijf[[#This Row],[Aantal Eenheden]],(VLOOKUP(Invoer_Inschrijf[[#This Row],[Product]],Database_Productkaarten[[Product]:[Gewicht '[ton'] / Eenheid]],12,FALSE)*Invoer_Inschrijf[[#This Row],[Aantal Eenheden]])),0)</f>
        <v>8157.5</v>
      </c>
      <c r="S18" s="237"/>
      <c r="T18" s="238">
        <f>MAX(IFERROR($E$2/IF(Invoer_Inschrijf[[#This Row],[Productgroep]]="Categorie_1_LCA_Producten",VLOOKUP(Invoer_Inschrijf[[#This Row],[Product]],Categorie_1_Producten[#All],7,FALSE),VLOOKUP(Invoer_Inschrijf[[#This Row],[Product]]&amp;", "&amp;"Totaal",Database_Productkaarten[#All],15,FALSE))-1,0),0)</f>
        <v>0</v>
      </c>
      <c r="U18" s="352"/>
      <c r="V18" s="352"/>
      <c r="W18" s="353"/>
      <c r="X18" s="353"/>
      <c r="Y18" s="389">
        <f>_xlfn.IFNA(IF(VLOOKUP(Invoer_Inschrijf[[#This Row],[A5 - Overig Materieel tbv Aanleg]],Brandstofmachines_Omrekentabel[],5,FALSE)=0,_xlfn.IFNA(Invoer_Referentie[[#This Row],[A5 - Verbruik overig materieel '[liter - kWh - kg / uur']]]*VLOOKUP(Invoer_Referentie[[#This Row],[A5 - Overig Materieel tbv Aanleg]],Brandstofmachines_Omrekentabel[],8,FALSE)/VLOOKUP(Invoer_Inschrijf[[#This Row],[A5 - Overig Materieel tbv Aanleg]],Brandstofmachines_Omrekentabel[],8,FALSE),0),_xlfn.IFNA(Invoer_Referentie[[#This Row],[A5 - Verbruik overig materieel '[liter - kWh - kg / uur']]]*VLOOKUP(Invoer_Referentie[[#This Row],[A5 - Overig Materieel tbv Aanleg]],Brandstofmachines_Omrekentabel[],8,FALSE)/VLOOKUP(Invoer_Inschrijf[[#This Row],[A5 - Overig Materieel tbv Aanleg]],Brandstofmachines_Omrekentabel[],8,FALSE),0)),0)</f>
        <v>0</v>
      </c>
      <c r="Z18" s="389">
        <f>Invoer_Referentie[[#This Row],[A5 - Capaciteit overig materieel '[Eenheden / uur']]]</f>
        <v>40</v>
      </c>
      <c r="AA18" s="353"/>
      <c r="AB18" s="411" t="s">
        <v>223</v>
      </c>
      <c r="AC18" s="413">
        <f>_xlfn.IFNA(IF(VLOOKUP(Invoer_Inschrijf[[#This Row],[C1 - Overig Materieel tbv Verwijderen]],Brandstofmachines_Omrekentabel[],5,FALSE)=0,_xlfn.IFNA(Invoer_Referentie[[#This Row],[C1 - Verbruik overige materieel '[liter - kWh - kg / uur']]]*VLOOKUP(Invoer_Referentie[[#This Row],[C1 - Overig Materieel tbv Verwijderen]],Brandstofmachines_Omrekentabel[],8,FALSE)/VLOOKUP(Invoer_Inschrijf[[#This Row],[C1 - Overig Materieel tbv Verwijderen]],Brandstofmachines_Omrekentabel[],8,FALSE),0),_xlfn.IFNA(Invoer_Referentie[[#This Row],[C1 - Verbruik overige materieel '[liter - kWh - kg / uur']]]*VLOOKUP(Invoer_Referentie[[#This Row],[C1 - Overig Materieel tbv Verwijderen]],Brandstofmachines_Omrekentabel[],8,FALSE)/VLOOKUP(Invoer_Inschrijf[[#This Row],[C1 - Overig Materieel tbv Verwijderen]],Brandstofmachines_Omrekentabel[],8,FALSE),0)),0)</f>
        <v>13.54</v>
      </c>
      <c r="AD18" s="413">
        <f>Invoer_Referentie[[#This Row],[C1 - Capaciteit overig materieel '[Eenheden / uur']]]</f>
        <v>60</v>
      </c>
      <c r="AE18" s="411">
        <v>20</v>
      </c>
      <c r="AF18" s="410" t="s">
        <v>224</v>
      </c>
      <c r="AG18" s="353"/>
      <c r="AH18" s="235"/>
      <c r="BK18" s="224"/>
      <c r="BL18" s="224"/>
      <c r="BM18" s="224"/>
      <c r="BN18" s="224"/>
      <c r="BO18" s="224"/>
      <c r="BP18" s="224"/>
      <c r="BQ18" s="224"/>
    </row>
    <row r="19" spans="2:76">
      <c r="B19" s="320" t="s">
        <v>249</v>
      </c>
      <c r="C19" s="235" t="s">
        <v>39</v>
      </c>
      <c r="D19" s="253"/>
      <c r="E19" s="1" t="s">
        <v>40</v>
      </c>
      <c r="F19" s="347" t="s">
        <v>41</v>
      </c>
      <c r="G19" s="399">
        <f>_xlfn.IFNA(IF(Invoer_Inschrijf[[#This Row],[Productgroep]]="Categorie_1_LCA_Producten",1,(VLOOKUP(Invoer_Inschrijf[[#This Row],[Product]],Database_Productkaarten[[Product]:[Comment]],64,FALSE))),0)</f>
        <v>3</v>
      </c>
      <c r="H19" s="320">
        <f>_xlfn.IFNA(IF(Invoer_Inschrijf[[#This Row],[Productgroep]]="Categorie_1_LCA_Producten",VLOOKUP(Invoer_Inschrijf[[#This Row],[Product]],Categorie_1_Producten[],2,FALSE),VLOOKUP(Invoer_Inschrijf[[#This Row],[Product]],Database_Productkaarten[[Product]:[Category]],60,FALSE)),0)</f>
        <v>0</v>
      </c>
      <c r="I19" s="260" t="str">
        <f>_xlfn.IFNA(VLOOKUP(Invoer_Inschrijf[[#This Row],[Product]],Database_Productkaarten[[Product]:[Producttype]],3,FALSE),VLOOKUP(Invoer_Inschrijf[[#This Row],[Product]],Categorie_1_Producten[#All],3,FALSE))</f>
        <v>Grond</v>
      </c>
      <c r="J19" s="238">
        <v>18900</v>
      </c>
      <c r="K19" s="320" t="str">
        <f>_xlfn.IFNA(IF(Invoer_Inschrijf[[#This Row],[Productgroep]]="Categorie_1_LCA_Producten",VLOOKUP(Invoer_Inschrijf[[#This Row],[Product]],Categorie_1_Producten[],4,FALSE),VLOOKUP(Invoer_Inschrijf[[#This Row],[Product]],Database_Productkaarten[[Product]:[Eenheid]],4,FALSE)),0)</f>
        <v>m3</v>
      </c>
      <c r="L19" s="320"/>
      <c r="M19" s="320"/>
      <c r="N19" s="260"/>
      <c r="O19" s="237">
        <f>Invoer_Inschrijf[[#This Row],[Lengte'[m']]]*Invoer_Inschrijf[[#This Row],[Breedte '[m']]]</f>
        <v>0</v>
      </c>
      <c r="P19" s="235">
        <f>IFERROR(IF(Invoer_Inschrijf[[#This Row],[Oppervlakte '[m2']]]*Invoer_Inschrijf[[#This Row],[Dikte '[m']]]=0,Invoer_Inschrijf[[#This Row],[Gewicht '[ton']]]/Invoer_Inschrijf[[#This Row],[Soortelijk gewicht '[ton / m3']]],Invoer_Inschrijf[[#This Row],[Oppervlakte '[m2']]]*Invoer_Inschrijf[[#This Row],[Dikte '[m']]]),0)</f>
        <v>18900</v>
      </c>
      <c r="Q19" s="236">
        <f>_xlfn.IFNA(IF(Invoer_Inschrijf[[#This Row],[Productgroep]]="Categorie_1_LCA_Producten",VLOOKUP(F19,Categorie_1_Producten[#All],5,FALSE),VLOOKUP(F19&amp;", "&amp;"Totaal",Database_Productkaarten[#All],12,FALSE)),0)</f>
        <v>1.625</v>
      </c>
      <c r="R19" s="235">
        <f>_xlfn.IFNA(IF(Invoer_Inschrijf[[#This Row],[Productgroep]]="Categorie_1_LCA_Producten",VLOOKUP(Invoer_Inschrijf[[#This Row],[Product]],Categorie_1_Producten[],5,FALSE)*Invoer_Inschrijf[[#This Row],[Aantal Eenheden]],(VLOOKUP(Invoer_Inschrijf[[#This Row],[Product]],Database_Productkaarten[[Product]:[Gewicht '[ton'] / Eenheid]],12,FALSE)*Invoer_Inschrijf[[#This Row],[Aantal Eenheden]])),0)</f>
        <v>30712.5</v>
      </c>
      <c r="S19" s="237"/>
      <c r="T19" s="238">
        <f>MAX(IFERROR($E$2/IF(Invoer_Inschrijf[[#This Row],[Productgroep]]="Categorie_1_LCA_Producten",VLOOKUP(Invoer_Inschrijf[[#This Row],[Product]],Categorie_1_Producten[#All],7,FALSE),VLOOKUP(Invoer_Inschrijf[[#This Row],[Product]]&amp;", "&amp;"Totaal",Database_Productkaarten[#All],15,FALSE))-1,0),0)</f>
        <v>0</v>
      </c>
      <c r="U19" s="352"/>
      <c r="V19" s="352"/>
      <c r="W19" s="353"/>
      <c r="X19" s="353"/>
      <c r="Y19" s="389">
        <f>_xlfn.IFNA(IF(VLOOKUP(Invoer_Inschrijf[[#This Row],[A5 - Overig Materieel tbv Aanleg]],Brandstofmachines_Omrekentabel[],5,FALSE)=0,_xlfn.IFNA(Invoer_Referentie[[#This Row],[A5 - Verbruik overig materieel '[liter - kWh - kg / uur']]]*VLOOKUP(Invoer_Referentie[[#This Row],[A5 - Overig Materieel tbv Aanleg]],Brandstofmachines_Omrekentabel[],8,FALSE)/VLOOKUP(Invoer_Inschrijf[[#This Row],[A5 - Overig Materieel tbv Aanleg]],Brandstofmachines_Omrekentabel[],8,FALSE),0),_xlfn.IFNA(Invoer_Referentie[[#This Row],[A5 - Verbruik overig materieel '[liter - kWh - kg / uur']]]*VLOOKUP(Invoer_Referentie[[#This Row],[A5 - Overig Materieel tbv Aanleg]],Brandstofmachines_Omrekentabel[],8,FALSE)/VLOOKUP(Invoer_Inschrijf[[#This Row],[A5 - Overig Materieel tbv Aanleg]],Brandstofmachines_Omrekentabel[],8,FALSE),0)),0)</f>
        <v>0</v>
      </c>
      <c r="Z19" s="389">
        <f>Invoer_Referentie[[#This Row],[A5 - Capaciteit overig materieel '[Eenheden / uur']]]</f>
        <v>40</v>
      </c>
      <c r="AA19" s="353"/>
      <c r="AB19" s="411" t="s">
        <v>223</v>
      </c>
      <c r="AC19" s="413">
        <f>_xlfn.IFNA(IF(VLOOKUP(Invoer_Inschrijf[[#This Row],[C1 - Overig Materieel tbv Verwijderen]],Brandstofmachines_Omrekentabel[],5,FALSE)=0,_xlfn.IFNA(Invoer_Referentie[[#This Row],[C1 - Verbruik overige materieel '[liter - kWh - kg / uur']]]*VLOOKUP(Invoer_Referentie[[#This Row],[C1 - Overig Materieel tbv Verwijderen]],Brandstofmachines_Omrekentabel[],8,FALSE)/VLOOKUP(Invoer_Inschrijf[[#This Row],[C1 - Overig Materieel tbv Verwijderen]],Brandstofmachines_Omrekentabel[],8,FALSE),0),_xlfn.IFNA(Invoer_Referentie[[#This Row],[C1 - Verbruik overige materieel '[liter - kWh - kg / uur']]]*VLOOKUP(Invoer_Referentie[[#This Row],[C1 - Overig Materieel tbv Verwijderen]],Brandstofmachines_Omrekentabel[],8,FALSE)/VLOOKUP(Invoer_Inschrijf[[#This Row],[C1 - Overig Materieel tbv Verwijderen]],Brandstofmachines_Omrekentabel[],8,FALSE),0)),0)</f>
        <v>13.54</v>
      </c>
      <c r="AD19" s="413">
        <f>Invoer_Referentie[[#This Row],[C1 - Capaciteit overig materieel '[Eenheden / uur']]]</f>
        <v>60</v>
      </c>
      <c r="AE19" s="411">
        <v>5</v>
      </c>
      <c r="AF19" s="410" t="s">
        <v>224</v>
      </c>
      <c r="AG19" s="353"/>
      <c r="AH19" s="235"/>
      <c r="BK19" s="224"/>
      <c r="BL19" s="224"/>
      <c r="BM19" s="224"/>
      <c r="BN19" s="224"/>
      <c r="BO19" s="224"/>
      <c r="BP19" s="224"/>
      <c r="BQ19" s="224"/>
    </row>
    <row r="20" spans="2:76">
      <c r="B20" s="320" t="s">
        <v>250</v>
      </c>
      <c r="C20" s="235" t="s">
        <v>39</v>
      </c>
      <c r="D20" s="253"/>
      <c r="E20" s="1" t="s">
        <v>40</v>
      </c>
      <c r="F20" s="347" t="s">
        <v>41</v>
      </c>
      <c r="G20" s="399">
        <f>_xlfn.IFNA(IF(Invoer_Inschrijf[[#This Row],[Productgroep]]="Categorie_1_LCA_Producten",1,(VLOOKUP(Invoer_Inschrijf[[#This Row],[Product]],Database_Productkaarten[[Product]:[Comment]],64,FALSE))),0)</f>
        <v>3</v>
      </c>
      <c r="H20" s="320">
        <f>_xlfn.IFNA(IF(Invoer_Inschrijf[[#This Row],[Productgroep]]="Categorie_1_LCA_Producten",VLOOKUP(Invoer_Inschrijf[[#This Row],[Product]],Categorie_1_Producten[],2,FALSE),VLOOKUP(Invoer_Inschrijf[[#This Row],[Product]],Database_Productkaarten[[Product]:[Category]],60,FALSE)),0)</f>
        <v>0</v>
      </c>
      <c r="I20" s="260" t="str">
        <f>_xlfn.IFNA(VLOOKUP(Invoer_Inschrijf[[#This Row],[Product]],Database_Productkaarten[[Product]:[Producttype]],3,FALSE),VLOOKUP(Invoer_Inschrijf[[#This Row],[Product]],Categorie_1_Producten[#All],3,FALSE))</f>
        <v>Grond</v>
      </c>
      <c r="J20" s="238">
        <v>4684</v>
      </c>
      <c r="K20" s="320" t="str">
        <f>_xlfn.IFNA(IF(Invoer_Inschrijf[[#This Row],[Productgroep]]="Categorie_1_LCA_Producten",VLOOKUP(Invoer_Inschrijf[[#This Row],[Product]],Categorie_1_Producten[],4,FALSE),VLOOKUP(Invoer_Inschrijf[[#This Row],[Product]],Database_Productkaarten[[Product]:[Eenheid]],4,FALSE)),0)</f>
        <v>m3</v>
      </c>
      <c r="L20" s="320"/>
      <c r="M20" s="320"/>
      <c r="N20" s="260"/>
      <c r="O20" s="237">
        <f>Invoer_Inschrijf[[#This Row],[Lengte'[m']]]*Invoer_Inschrijf[[#This Row],[Breedte '[m']]]</f>
        <v>0</v>
      </c>
      <c r="P20" s="235">
        <f>IFERROR(IF(Invoer_Inschrijf[[#This Row],[Oppervlakte '[m2']]]*Invoer_Inschrijf[[#This Row],[Dikte '[m']]]=0,Invoer_Inschrijf[[#This Row],[Gewicht '[ton']]]/Invoer_Inschrijf[[#This Row],[Soortelijk gewicht '[ton / m3']]],Invoer_Inschrijf[[#This Row],[Oppervlakte '[m2']]]*Invoer_Inschrijf[[#This Row],[Dikte '[m']]]),0)</f>
        <v>4684</v>
      </c>
      <c r="Q20" s="236">
        <f>_xlfn.IFNA(IF(Invoer_Inschrijf[[#This Row],[Productgroep]]="Categorie_1_LCA_Producten",VLOOKUP(F20,Categorie_1_Producten[#All],5,FALSE),VLOOKUP(F20&amp;", "&amp;"Totaal",Database_Productkaarten[#All],12,FALSE)),0)</f>
        <v>1.625</v>
      </c>
      <c r="R20" s="235">
        <f>_xlfn.IFNA(IF(Invoer_Inschrijf[[#This Row],[Productgroep]]="Categorie_1_LCA_Producten",VLOOKUP(Invoer_Inschrijf[[#This Row],[Product]],Categorie_1_Producten[],5,FALSE)*Invoer_Inschrijf[[#This Row],[Aantal Eenheden]],(VLOOKUP(Invoer_Inschrijf[[#This Row],[Product]],Database_Productkaarten[[Product]:[Gewicht '[ton'] / Eenheid]],12,FALSE)*Invoer_Inschrijf[[#This Row],[Aantal Eenheden]])),0)</f>
        <v>7611.5</v>
      </c>
      <c r="S20" s="237"/>
      <c r="T20" s="238">
        <f>MAX(IFERROR($E$2/IF(Invoer_Inschrijf[[#This Row],[Productgroep]]="Categorie_1_LCA_Producten",VLOOKUP(Invoer_Inschrijf[[#This Row],[Product]],Categorie_1_Producten[#All],7,FALSE),VLOOKUP(Invoer_Inschrijf[[#This Row],[Product]]&amp;", "&amp;"Totaal",Database_Productkaarten[#All],15,FALSE))-1,0),0)</f>
        <v>0</v>
      </c>
      <c r="U20" s="352"/>
      <c r="V20" s="352"/>
      <c r="W20" s="353"/>
      <c r="X20" s="353"/>
      <c r="Y20" s="389">
        <f>_xlfn.IFNA(IF(VLOOKUP(Invoer_Inschrijf[[#This Row],[A5 - Overig Materieel tbv Aanleg]],Brandstofmachines_Omrekentabel[],5,FALSE)=0,_xlfn.IFNA(Invoer_Referentie[[#This Row],[A5 - Verbruik overig materieel '[liter - kWh - kg / uur']]]*VLOOKUP(Invoer_Referentie[[#This Row],[A5 - Overig Materieel tbv Aanleg]],Brandstofmachines_Omrekentabel[],8,FALSE)/VLOOKUP(Invoer_Inschrijf[[#This Row],[A5 - Overig Materieel tbv Aanleg]],Brandstofmachines_Omrekentabel[],8,FALSE),0),_xlfn.IFNA(Invoer_Referentie[[#This Row],[A5 - Verbruik overig materieel '[liter - kWh - kg / uur']]]*VLOOKUP(Invoer_Referentie[[#This Row],[A5 - Overig Materieel tbv Aanleg]],Brandstofmachines_Omrekentabel[],8,FALSE)/VLOOKUP(Invoer_Inschrijf[[#This Row],[A5 - Overig Materieel tbv Aanleg]],Brandstofmachines_Omrekentabel[],8,FALSE),0)),0)</f>
        <v>0</v>
      </c>
      <c r="Z20" s="389">
        <f>Invoer_Referentie[[#This Row],[A5 - Capaciteit overig materieel '[Eenheden / uur']]]</f>
        <v>40</v>
      </c>
      <c r="AA20" s="353"/>
      <c r="AB20" s="411" t="s">
        <v>223</v>
      </c>
      <c r="AC20" s="413">
        <f>_xlfn.IFNA(IF(VLOOKUP(Invoer_Inschrijf[[#This Row],[C1 - Overig Materieel tbv Verwijderen]],Brandstofmachines_Omrekentabel[],5,FALSE)=0,_xlfn.IFNA(Invoer_Referentie[[#This Row],[C1 - Verbruik overige materieel '[liter - kWh - kg / uur']]]*VLOOKUP(Invoer_Referentie[[#This Row],[C1 - Overig Materieel tbv Verwijderen]],Brandstofmachines_Omrekentabel[],8,FALSE)/VLOOKUP(Invoer_Inschrijf[[#This Row],[C1 - Overig Materieel tbv Verwijderen]],Brandstofmachines_Omrekentabel[],8,FALSE),0),_xlfn.IFNA(Invoer_Referentie[[#This Row],[C1 - Verbruik overige materieel '[liter - kWh - kg / uur']]]*VLOOKUP(Invoer_Referentie[[#This Row],[C1 - Overig Materieel tbv Verwijderen]],Brandstofmachines_Omrekentabel[],8,FALSE)/VLOOKUP(Invoer_Inschrijf[[#This Row],[C1 - Overig Materieel tbv Verwijderen]],Brandstofmachines_Omrekentabel[],8,FALSE),0)),0)</f>
        <v>13.54</v>
      </c>
      <c r="AD20" s="413">
        <f>Invoer_Referentie[[#This Row],[C1 - Capaciteit overig materieel '[Eenheden / uur']]]</f>
        <v>60</v>
      </c>
      <c r="AE20" s="411">
        <v>20</v>
      </c>
      <c r="AF20" s="410" t="s">
        <v>224</v>
      </c>
      <c r="AG20" s="353"/>
      <c r="AH20" s="235"/>
      <c r="BK20" s="224"/>
      <c r="BL20" s="224"/>
      <c r="BM20" s="224"/>
      <c r="BN20" s="224"/>
      <c r="BO20" s="224"/>
      <c r="BP20" s="224"/>
      <c r="BQ20" s="224"/>
    </row>
    <row r="21" spans="2:76" s="224" customFormat="1">
      <c r="B21" s="320" t="s">
        <v>251</v>
      </c>
      <c r="C21" s="235" t="s">
        <v>45</v>
      </c>
      <c r="D21" s="253"/>
      <c r="E21" s="1" t="s">
        <v>40</v>
      </c>
      <c r="F21" s="347" t="s">
        <v>41</v>
      </c>
      <c r="G21" s="399">
        <f>_xlfn.IFNA(IF(Invoer_Inschrijf[[#This Row],[Productgroep]]="Categorie_1_LCA_Producten",1,(VLOOKUP(Invoer_Inschrijf[[#This Row],[Product]],Database_Productkaarten[[Product]:[Comment]],64,FALSE))),0)</f>
        <v>3</v>
      </c>
      <c r="H21" s="320">
        <f>_xlfn.IFNA(IF(Invoer_Inschrijf[[#This Row],[Productgroep]]="Categorie_1_LCA_Producten",VLOOKUP(Invoer_Inschrijf[[#This Row],[Product]],Categorie_1_Producten[],2,FALSE),VLOOKUP(Invoer_Inschrijf[[#This Row],[Product]],Database_Productkaarten[[Product]:[Category]],60,FALSE)),0)</f>
        <v>0</v>
      </c>
      <c r="I21" s="260" t="str">
        <f>_xlfn.IFNA(VLOOKUP(Invoer_Inschrijf[[#This Row],[Product]],Database_Productkaarten[[Product]:[Producttype]],3,FALSE),VLOOKUP(Invoer_Inschrijf[[#This Row],[Product]],Categorie_1_Producten[#All],3,FALSE))</f>
        <v>Grond</v>
      </c>
      <c r="J21" s="238">
        <v>18900</v>
      </c>
      <c r="K21" s="320" t="str">
        <f>_xlfn.IFNA(IF(Invoer_Inschrijf[[#This Row],[Productgroep]]="Categorie_1_LCA_Producten",VLOOKUP(Invoer_Inschrijf[[#This Row],[Product]],Categorie_1_Producten[],4,FALSE),VLOOKUP(Invoer_Inschrijf[[#This Row],[Product]],Database_Productkaarten[[Product]:[Eenheid]],4,FALSE)),0)</f>
        <v>m3</v>
      </c>
      <c r="L21" s="320"/>
      <c r="M21" s="320"/>
      <c r="N21" s="260"/>
      <c r="O21" s="237">
        <f>Invoer_Inschrijf[[#This Row],[Lengte'[m']]]*Invoer_Inschrijf[[#This Row],[Breedte '[m']]]</f>
        <v>0</v>
      </c>
      <c r="P21" s="235">
        <f>IFERROR(IF(Invoer_Inschrijf[[#This Row],[Oppervlakte '[m2']]]*Invoer_Inschrijf[[#This Row],[Dikte '[m']]]=0,Invoer_Inschrijf[[#This Row],[Gewicht '[ton']]]/Invoer_Inschrijf[[#This Row],[Soortelijk gewicht '[ton / m3']]],Invoer_Inschrijf[[#This Row],[Oppervlakte '[m2']]]*Invoer_Inschrijf[[#This Row],[Dikte '[m']]]),0)</f>
        <v>18900</v>
      </c>
      <c r="Q21" s="236">
        <f>_xlfn.IFNA(IF(Invoer_Inschrijf[[#This Row],[Productgroep]]="Categorie_1_LCA_Producten",VLOOKUP(F21,Categorie_1_Producten[#All],5,FALSE),VLOOKUP(F21&amp;", "&amp;"Totaal",Database_Productkaarten[#All],12,FALSE)),0)</f>
        <v>1.625</v>
      </c>
      <c r="R21" s="235">
        <f>_xlfn.IFNA(IF(Invoer_Inschrijf[[#This Row],[Productgroep]]="Categorie_1_LCA_Producten",VLOOKUP(Invoer_Inschrijf[[#This Row],[Product]],Categorie_1_Producten[],5,FALSE)*Invoer_Inschrijf[[#This Row],[Aantal Eenheden]],(VLOOKUP(Invoer_Inschrijf[[#This Row],[Product]],Database_Productkaarten[[Product]:[Gewicht '[ton'] / Eenheid]],12,FALSE)*Invoer_Inschrijf[[#This Row],[Aantal Eenheden]])),0)</f>
        <v>30712.5</v>
      </c>
      <c r="S21" s="237"/>
      <c r="T21" s="238">
        <f>MAX(IFERROR($E$2/IF(Invoer_Inschrijf[[#This Row],[Productgroep]]="Categorie_1_LCA_Producten",VLOOKUP(Invoer_Inschrijf[[#This Row],[Product]],Categorie_1_Producten[#All],7,FALSE),VLOOKUP(Invoer_Inschrijf[[#This Row],[Product]]&amp;", "&amp;"Totaal",Database_Productkaarten[#All],15,FALSE))-1,0),0)</f>
        <v>0</v>
      </c>
      <c r="U21" s="410">
        <v>5</v>
      </c>
      <c r="V21" s="410" t="s">
        <v>224</v>
      </c>
      <c r="W21" s="412"/>
      <c r="X21" s="411" t="s">
        <v>223</v>
      </c>
      <c r="Y21" s="389">
        <f>_xlfn.IFNA(IF(VLOOKUP(Invoer_Inschrijf[[#This Row],[A5 - Overig Materieel tbv Aanleg]],Brandstofmachines_Omrekentabel[],5,FALSE)=0,_xlfn.IFNA(Invoer_Referentie[[#This Row],[A5 - Verbruik overig materieel '[liter - kWh - kg / uur']]]*VLOOKUP(Invoer_Referentie[[#This Row],[A5 - Overig Materieel tbv Aanleg]],Brandstofmachines_Omrekentabel[],8,FALSE)/VLOOKUP(Invoer_Inschrijf[[#This Row],[A5 - Overig Materieel tbv Aanleg]],Brandstofmachines_Omrekentabel[],8,FALSE),0),_xlfn.IFNA(Invoer_Referentie[[#This Row],[A5 - Verbruik overig materieel '[liter - kWh - kg / uur']]]*VLOOKUP(Invoer_Referentie[[#This Row],[A5 - Overig Materieel tbv Aanleg]],Brandstofmachines_Omrekentabel[],8,FALSE)/VLOOKUP(Invoer_Inschrijf[[#This Row],[A5 - Overig Materieel tbv Aanleg]],Brandstofmachines_Omrekentabel[],8,FALSE),0)),0)</f>
        <v>19.5</v>
      </c>
      <c r="Z21" s="389">
        <f>Invoer_Referentie[[#This Row],[A5 - Capaciteit overig materieel '[Eenheden / uur']]]</f>
        <v>40</v>
      </c>
      <c r="AA21" s="353"/>
      <c r="AB21" s="353"/>
      <c r="AC21" s="389">
        <f>_xlfn.IFNA(IF(VLOOKUP(Invoer_Inschrijf[[#This Row],[C1 - Overig Materieel tbv Verwijderen]],Brandstofmachines_Omrekentabel[],5,FALSE)=0,_xlfn.IFNA(Invoer_Referentie[[#This Row],[C1 - Verbruik overige materieel '[liter - kWh - kg / uur']]]*VLOOKUP(Invoer_Referentie[[#This Row],[C1 - Overig Materieel tbv Verwijderen]],Brandstofmachines_Omrekentabel[],8,FALSE)/VLOOKUP(Invoer_Inschrijf[[#This Row],[C1 - Overig Materieel tbv Verwijderen]],Brandstofmachines_Omrekentabel[],8,FALSE),0),_xlfn.IFNA(Invoer_Referentie[[#This Row],[C1 - Verbruik overige materieel '[liter - kWh - kg / uur']]]*VLOOKUP(Invoer_Referentie[[#This Row],[C1 - Overig Materieel tbv Verwijderen]],Brandstofmachines_Omrekentabel[],8,FALSE)/VLOOKUP(Invoer_Inschrijf[[#This Row],[C1 - Overig Materieel tbv Verwijderen]],Brandstofmachines_Omrekentabel[],8,FALSE),0)),0)</f>
        <v>0</v>
      </c>
      <c r="AD21" s="389">
        <f>Invoer_Referentie[[#This Row],[C1 - Capaciteit overig materieel '[Eenheden / uur']]]</f>
        <v>60</v>
      </c>
      <c r="AE21" s="353"/>
      <c r="AF21" s="352"/>
      <c r="AG21" s="353"/>
      <c r="AH21" s="235"/>
    </row>
    <row r="22" spans="2:76" s="224" customFormat="1">
      <c r="B22" s="320" t="s">
        <v>252</v>
      </c>
      <c r="C22" s="235" t="s">
        <v>45</v>
      </c>
      <c r="D22" s="253"/>
      <c r="E22" s="1" t="s">
        <v>40</v>
      </c>
      <c r="F22" s="347" t="s">
        <v>46</v>
      </c>
      <c r="G22" s="399">
        <f>_xlfn.IFNA(IF(Invoer_Inschrijf[[#This Row],[Productgroep]]="Categorie_1_LCA_Producten",1,(VLOOKUP(Invoer_Inschrijf[[#This Row],[Product]],Database_Productkaarten[[Product]:[Comment]],64,FALSE))),0)</f>
        <v>3</v>
      </c>
      <c r="H22" s="320">
        <f>_xlfn.IFNA(IF(Invoer_Inschrijf[[#This Row],[Productgroep]]="Categorie_1_LCA_Producten",VLOOKUP(Invoer_Inschrijf[[#This Row],[Product]],Categorie_1_Producten[],2,FALSE),VLOOKUP(Invoer_Inschrijf[[#This Row],[Product]],Database_Productkaarten[[Product]:[Category]],60,FALSE)),0)</f>
        <v>0</v>
      </c>
      <c r="I22" s="260" t="str">
        <f>_xlfn.IFNA(VLOOKUP(Invoer_Inschrijf[[#This Row],[Product]],Database_Productkaarten[[Product]:[Producttype]],3,FALSE),VLOOKUP(Invoer_Inschrijf[[#This Row],[Product]],Categorie_1_Producten[#All],3,FALSE))</f>
        <v>Zand</v>
      </c>
      <c r="J22" s="238">
        <v>2450</v>
      </c>
      <c r="K22" s="320" t="str">
        <f>_xlfn.IFNA(IF(Invoer_Inschrijf[[#This Row],[Productgroep]]="Categorie_1_LCA_Producten",VLOOKUP(Invoer_Inschrijf[[#This Row],[Product]],Categorie_1_Producten[],4,FALSE),VLOOKUP(Invoer_Inschrijf[[#This Row],[Product]],Database_Productkaarten[[Product]:[Eenheid]],4,FALSE)),0)</f>
        <v>m3</v>
      </c>
      <c r="L22" s="320"/>
      <c r="M22" s="320"/>
      <c r="N22" s="260"/>
      <c r="O22" s="237">
        <f>Invoer_Inschrijf[[#This Row],[Lengte'[m']]]*Invoer_Inschrijf[[#This Row],[Breedte '[m']]]</f>
        <v>0</v>
      </c>
      <c r="P22" s="235">
        <f>IFERROR(IF(Invoer_Inschrijf[[#This Row],[Oppervlakte '[m2']]]*Invoer_Inschrijf[[#This Row],[Dikte '[m']]]=0,Invoer_Inschrijf[[#This Row],[Gewicht '[ton']]]/Invoer_Inschrijf[[#This Row],[Soortelijk gewicht '[ton / m3']]],Invoer_Inschrijf[[#This Row],[Oppervlakte '[m2']]]*Invoer_Inschrijf[[#This Row],[Dikte '[m']]]),0)</f>
        <v>2450</v>
      </c>
      <c r="Q22" s="236">
        <f>_xlfn.IFNA(IF(Invoer_Inschrijf[[#This Row],[Productgroep]]="Categorie_1_LCA_Producten",VLOOKUP(F22,Categorie_1_Producten[#All],5,FALSE),VLOOKUP(F22&amp;", "&amp;"Totaal",Database_Productkaarten[#All],12,FALSE)),0)</f>
        <v>1.5</v>
      </c>
      <c r="R22" s="235">
        <f>_xlfn.IFNA(IF(Invoer_Inschrijf[[#This Row],[Productgroep]]="Categorie_1_LCA_Producten",VLOOKUP(Invoer_Inschrijf[[#This Row],[Product]],Categorie_1_Producten[],5,FALSE)*Invoer_Inschrijf[[#This Row],[Aantal Eenheden]],(VLOOKUP(Invoer_Inschrijf[[#This Row],[Product]],Database_Productkaarten[[Product]:[Gewicht '[ton'] / Eenheid]],12,FALSE)*Invoer_Inschrijf[[#This Row],[Aantal Eenheden]])),0)</f>
        <v>3675</v>
      </c>
      <c r="S22" s="237"/>
      <c r="T22" s="238">
        <f>MAX(IFERROR($E$2/IF(Invoer_Inschrijf[[#This Row],[Productgroep]]="Categorie_1_LCA_Producten",VLOOKUP(Invoer_Inschrijf[[#This Row],[Product]],Categorie_1_Producten[#All],7,FALSE),VLOOKUP(Invoer_Inschrijf[[#This Row],[Product]]&amp;", "&amp;"Totaal",Database_Productkaarten[#All],15,FALSE))-1,0),0)</f>
        <v>0</v>
      </c>
      <c r="U22" s="410">
        <v>20</v>
      </c>
      <c r="V22" s="410" t="s">
        <v>224</v>
      </c>
      <c r="W22" s="412"/>
      <c r="X22" s="411" t="s">
        <v>223</v>
      </c>
      <c r="Y22" s="389">
        <f>_xlfn.IFNA(IF(VLOOKUP(Invoer_Inschrijf[[#This Row],[A5 - Overig Materieel tbv Aanleg]],Brandstofmachines_Omrekentabel[],5,FALSE)=0,_xlfn.IFNA(Invoer_Referentie[[#This Row],[A5 - Verbruik overig materieel '[liter - kWh - kg / uur']]]*VLOOKUP(Invoer_Referentie[[#This Row],[A5 - Overig Materieel tbv Aanleg]],Brandstofmachines_Omrekentabel[],8,FALSE)/VLOOKUP(Invoer_Inschrijf[[#This Row],[A5 - Overig Materieel tbv Aanleg]],Brandstofmachines_Omrekentabel[],8,FALSE),0),_xlfn.IFNA(Invoer_Referentie[[#This Row],[A5 - Verbruik overig materieel '[liter - kWh - kg / uur']]]*VLOOKUP(Invoer_Referentie[[#This Row],[A5 - Overig Materieel tbv Aanleg]],Brandstofmachines_Omrekentabel[],8,FALSE)/VLOOKUP(Invoer_Inschrijf[[#This Row],[A5 - Overig Materieel tbv Aanleg]],Brandstofmachines_Omrekentabel[],8,FALSE),0)),0)</f>
        <v>40.64</v>
      </c>
      <c r="Z22" s="389">
        <f>Invoer_Referentie[[#This Row],[A5 - Capaciteit overig materieel '[Eenheden / uur']]]</f>
        <v>70</v>
      </c>
      <c r="AA22" s="353"/>
      <c r="AB22" s="353"/>
      <c r="AC22" s="389">
        <f>_xlfn.IFNA(IF(VLOOKUP(Invoer_Inschrijf[[#This Row],[C1 - Overig Materieel tbv Verwijderen]],Brandstofmachines_Omrekentabel[],5,FALSE)=0,_xlfn.IFNA(Invoer_Referentie[[#This Row],[C1 - Verbruik overige materieel '[liter - kWh - kg / uur']]]*VLOOKUP(Invoer_Referentie[[#This Row],[C1 - Overig Materieel tbv Verwijderen]],Brandstofmachines_Omrekentabel[],8,FALSE)/VLOOKUP(Invoer_Inschrijf[[#This Row],[C1 - Overig Materieel tbv Verwijderen]],Brandstofmachines_Omrekentabel[],8,FALSE),0),_xlfn.IFNA(Invoer_Referentie[[#This Row],[C1 - Verbruik overige materieel '[liter - kWh - kg / uur']]]*VLOOKUP(Invoer_Referentie[[#This Row],[C1 - Overig Materieel tbv Verwijderen]],Brandstofmachines_Omrekentabel[],8,FALSE)/VLOOKUP(Invoer_Inschrijf[[#This Row],[C1 - Overig Materieel tbv Verwijderen]],Brandstofmachines_Omrekentabel[],8,FALSE),0)),0)</f>
        <v>0</v>
      </c>
      <c r="AD22" s="389">
        <f>Invoer_Referentie[[#This Row],[C1 - Capaciteit overig materieel '[Eenheden / uur']]]</f>
        <v>115</v>
      </c>
      <c r="AE22" s="353"/>
      <c r="AF22" s="352"/>
      <c r="AG22" s="353"/>
      <c r="AH22" s="235"/>
    </row>
    <row r="23" spans="2:76">
      <c r="B23" s="320" t="s">
        <v>253</v>
      </c>
      <c r="C23" s="235" t="s">
        <v>45</v>
      </c>
      <c r="D23" s="253"/>
      <c r="E23" s="1" t="s">
        <v>246</v>
      </c>
      <c r="F23" s="347" t="s">
        <v>254</v>
      </c>
      <c r="G23" s="399">
        <f>_xlfn.IFNA(IF(Invoer_Inschrijf[[#This Row],[Productgroep]]="Categorie_1_LCA_Producten",1,(VLOOKUP(Invoer_Inschrijf[[#This Row],[Product]],Database_Productkaarten[[Product]:[Comment]],64,FALSE))),0)</f>
        <v>3</v>
      </c>
      <c r="H23" s="320">
        <f>_xlfn.IFNA(IF(Invoer_Inschrijf[[#This Row],[Productgroep]]="Categorie_1_LCA_Producten",VLOOKUP(Invoer_Inschrijf[[#This Row],[Product]],Categorie_1_Producten[],2,FALSE),VLOOKUP(Invoer_Inschrijf[[#This Row],[Product]],Database_Productkaarten[[Product]:[Category]],60,FALSE)),0)</f>
        <v>0</v>
      </c>
      <c r="I23" s="260" t="str">
        <f>_xlfn.IFNA(VLOOKUP(Invoer_Inschrijf[[#This Row],[Product]],Database_Productkaarten[[Product]:[Producttype]],3,FALSE),VLOOKUP(Invoer_Inschrijf[[#This Row],[Product]],Categorie_1_Producten[#All],3,FALSE))</f>
        <v>Betonnen riolering</v>
      </c>
      <c r="J23" s="238">
        <v>240</v>
      </c>
      <c r="K23" s="320" t="str">
        <f>_xlfn.IFNA(IF(Invoer_Inschrijf[[#This Row],[Productgroep]]="Categorie_1_LCA_Producten",VLOOKUP(Invoer_Inschrijf[[#This Row],[Product]],Categorie_1_Producten[],4,FALSE),VLOOKUP(Invoer_Inschrijf[[#This Row],[Product]],Database_Productkaarten[[Product]:[Eenheid]],4,FALSE)),0)</f>
        <v>m1</v>
      </c>
      <c r="L23" s="320"/>
      <c r="M23" s="320"/>
      <c r="N23" s="260"/>
      <c r="O23" s="237">
        <f>Invoer_Inschrijf[[#This Row],[Lengte'[m']]]*Invoer_Inschrijf[[#This Row],[Breedte '[m']]]</f>
        <v>0</v>
      </c>
      <c r="P23" s="235">
        <f>IFERROR(IF(Invoer_Inschrijf[[#This Row],[Oppervlakte '[m2']]]*Invoer_Inschrijf[[#This Row],[Dikte '[m']]]=0,Invoer_Inschrijf[[#This Row],[Gewicht '[ton']]]/Invoer_Inschrijf[[#This Row],[Soortelijk gewicht '[ton / m3']]],Invoer_Inschrijf[[#This Row],[Oppervlakte '[m2']]]*Invoer_Inschrijf[[#This Row],[Dikte '[m']]]),0)</f>
        <v>32.799999999999997</v>
      </c>
      <c r="Q23" s="236">
        <f>_xlfn.IFNA(IF(Invoer_Inschrijf[[#This Row],[Productgroep]]="Categorie_1_LCA_Producten",VLOOKUP(F23,Categorie_1_Producten[#All],5,FALSE),VLOOKUP(F23&amp;", "&amp;"Totaal",Database_Productkaarten[#All],12,FALSE)),0)</f>
        <v>2.4</v>
      </c>
      <c r="R23" s="235">
        <f>_xlfn.IFNA(IF(Invoer_Inschrijf[[#This Row],[Productgroep]]="Categorie_1_LCA_Producten",VLOOKUP(Invoer_Inschrijf[[#This Row],[Product]],Categorie_1_Producten[],5,FALSE)*Invoer_Inschrijf[[#This Row],[Aantal Eenheden]],(VLOOKUP(Invoer_Inschrijf[[#This Row],[Product]],Database_Productkaarten[[Product]:[Gewicht '[ton'] / Eenheid]],12,FALSE)*Invoer_Inschrijf[[#This Row],[Aantal Eenheden]])),0)</f>
        <v>78.719999999999985</v>
      </c>
      <c r="S23" s="237"/>
      <c r="T23" s="238">
        <f>MAX(IFERROR($E$2/IF(Invoer_Inschrijf[[#This Row],[Productgroep]]="Categorie_1_LCA_Producten",VLOOKUP(Invoer_Inschrijf[[#This Row],[Product]],Categorie_1_Producten[#All],7,FALSE),VLOOKUP(Invoer_Inschrijf[[#This Row],[Product]]&amp;", "&amp;"Totaal",Database_Productkaarten[#All],15,FALSE))-1,0),0)</f>
        <v>0</v>
      </c>
      <c r="U23" s="410">
        <v>50</v>
      </c>
      <c r="V23" s="410" t="s">
        <v>224</v>
      </c>
      <c r="W23" s="412"/>
      <c r="X23" s="411" t="s">
        <v>223</v>
      </c>
      <c r="Y23" s="389">
        <f>_xlfn.IFNA(IF(VLOOKUP(Invoer_Inschrijf[[#This Row],[A5 - Overig Materieel tbv Aanleg]],Brandstofmachines_Omrekentabel[],5,FALSE)=0,_xlfn.IFNA(Invoer_Referentie[[#This Row],[A5 - Verbruik overig materieel '[liter - kWh - kg / uur']]]*VLOOKUP(Invoer_Referentie[[#This Row],[A5 - Overig Materieel tbv Aanleg]],Brandstofmachines_Omrekentabel[],8,FALSE)/VLOOKUP(Invoer_Inschrijf[[#This Row],[A5 - Overig Materieel tbv Aanleg]],Brandstofmachines_Omrekentabel[],8,FALSE),0),_xlfn.IFNA(Invoer_Referentie[[#This Row],[A5 - Verbruik overig materieel '[liter - kWh - kg / uur']]]*VLOOKUP(Invoer_Referentie[[#This Row],[A5 - Overig Materieel tbv Aanleg]],Brandstofmachines_Omrekentabel[],8,FALSE)/VLOOKUP(Invoer_Inschrijf[[#This Row],[A5 - Overig Materieel tbv Aanleg]],Brandstofmachines_Omrekentabel[],8,FALSE),0)),0)</f>
        <v>29.108635097493039</v>
      </c>
      <c r="Z23" s="389">
        <f>Invoer_Referentie[[#This Row],[A5 - Capaciteit overig materieel '[Eenheden / uur']]]</f>
        <v>14.285714285714285</v>
      </c>
      <c r="AA23" s="353"/>
      <c r="AB23" s="353"/>
      <c r="AC23" s="389">
        <f>_xlfn.IFNA(IF(VLOOKUP(Invoer_Inschrijf[[#This Row],[C1 - Overig Materieel tbv Verwijderen]],Brandstofmachines_Omrekentabel[],5,FALSE)=0,_xlfn.IFNA(Invoer_Referentie[[#This Row],[C1 - Verbruik overige materieel '[liter - kWh - kg / uur']]]*VLOOKUP(Invoer_Referentie[[#This Row],[C1 - Overig Materieel tbv Verwijderen]],Brandstofmachines_Omrekentabel[],8,FALSE)/VLOOKUP(Invoer_Inschrijf[[#This Row],[C1 - Overig Materieel tbv Verwijderen]],Brandstofmachines_Omrekentabel[],8,FALSE),0),_xlfn.IFNA(Invoer_Referentie[[#This Row],[C1 - Verbruik overige materieel '[liter - kWh - kg / uur']]]*VLOOKUP(Invoer_Referentie[[#This Row],[C1 - Overig Materieel tbv Verwijderen]],Brandstofmachines_Omrekentabel[],8,FALSE)/VLOOKUP(Invoer_Inschrijf[[#This Row],[C1 - Overig Materieel tbv Verwijderen]],Brandstofmachines_Omrekentabel[],8,FALSE),0)),0)</f>
        <v>0</v>
      </c>
      <c r="AD23" s="389">
        <f>Invoer_Referentie[[#This Row],[C1 - Capaciteit overig materieel '[Eenheden / uur']]]</f>
        <v>14.285714285714285</v>
      </c>
      <c r="AE23" s="353"/>
      <c r="AF23" s="352"/>
      <c r="AG23" s="353"/>
      <c r="AH23" s="235"/>
      <c r="BK23" s="224"/>
      <c r="BL23" s="224"/>
      <c r="BM23" s="224"/>
    </row>
    <row r="24" spans="2:76">
      <c r="B24" s="320" t="s">
        <v>255</v>
      </c>
      <c r="C24" s="235" t="s">
        <v>45</v>
      </c>
      <c r="D24" s="253"/>
      <c r="E24" s="1" t="s">
        <v>246</v>
      </c>
      <c r="F24" s="347" t="s">
        <v>254</v>
      </c>
      <c r="G24" s="399">
        <f>_xlfn.IFNA(IF(Invoer_Inschrijf[[#This Row],[Productgroep]]="Categorie_1_LCA_Producten",1,(VLOOKUP(Invoer_Inschrijf[[#This Row],[Product]],Database_Productkaarten[[Product]:[Comment]],64,FALSE))),0)</f>
        <v>3</v>
      </c>
      <c r="H24" s="320">
        <f>_xlfn.IFNA(IF(Invoer_Inschrijf[[#This Row],[Productgroep]]="Categorie_1_LCA_Producten",VLOOKUP(Invoer_Inschrijf[[#This Row],[Product]],Categorie_1_Producten[],2,FALSE),VLOOKUP(Invoer_Inschrijf[[#This Row],[Product]],Database_Productkaarten[[Product]:[Category]],60,FALSE)),0)</f>
        <v>0</v>
      </c>
      <c r="I24" s="260" t="str">
        <f>_xlfn.IFNA(VLOOKUP(Invoer_Inschrijf[[#This Row],[Product]],Database_Productkaarten[[Product]:[Producttype]],3,FALSE),VLOOKUP(Invoer_Inschrijf[[#This Row],[Product]],Categorie_1_Producten[#All],3,FALSE))</f>
        <v>Betonnen riolering</v>
      </c>
      <c r="J24" s="238">
        <v>190</v>
      </c>
      <c r="K24" s="320" t="str">
        <f>_xlfn.IFNA(IF(Invoer_Inschrijf[[#This Row],[Productgroep]]="Categorie_1_LCA_Producten",VLOOKUP(Invoer_Inschrijf[[#This Row],[Product]],Categorie_1_Producten[],4,FALSE),VLOOKUP(Invoer_Inschrijf[[#This Row],[Product]],Database_Productkaarten[[Product]:[Eenheid]],4,FALSE)),0)</f>
        <v>m1</v>
      </c>
      <c r="L24" s="320"/>
      <c r="M24" s="320"/>
      <c r="N24" s="260"/>
      <c r="O24" s="237">
        <f>Invoer_Inschrijf[[#This Row],[Lengte'[m']]]*Invoer_Inschrijf[[#This Row],[Breedte '[m']]]</f>
        <v>0</v>
      </c>
      <c r="P24" s="235">
        <f>IFERROR(IF(Invoer_Inschrijf[[#This Row],[Oppervlakte '[m2']]]*Invoer_Inschrijf[[#This Row],[Dikte '[m']]]=0,Invoer_Inschrijf[[#This Row],[Gewicht '[ton']]]/Invoer_Inschrijf[[#This Row],[Soortelijk gewicht '[ton / m3']]],Invoer_Inschrijf[[#This Row],[Oppervlakte '[m2']]]*Invoer_Inschrijf[[#This Row],[Dikte '[m']]]),0)</f>
        <v>25.966666666666665</v>
      </c>
      <c r="Q24" s="236">
        <f>_xlfn.IFNA(IF(Invoer_Inschrijf[[#This Row],[Productgroep]]="Categorie_1_LCA_Producten",VLOOKUP(F24,Categorie_1_Producten[#All],5,FALSE),VLOOKUP(F24&amp;", "&amp;"Totaal",Database_Productkaarten[#All],12,FALSE)),0)</f>
        <v>2.4</v>
      </c>
      <c r="R24" s="235">
        <f>_xlfn.IFNA(IF(Invoer_Inschrijf[[#This Row],[Productgroep]]="Categorie_1_LCA_Producten",VLOOKUP(Invoer_Inschrijf[[#This Row],[Product]],Categorie_1_Producten[],5,FALSE)*Invoer_Inschrijf[[#This Row],[Aantal Eenheden]],(VLOOKUP(Invoer_Inschrijf[[#This Row],[Product]],Database_Productkaarten[[Product]:[Gewicht '[ton'] / Eenheid]],12,FALSE)*Invoer_Inschrijf[[#This Row],[Aantal Eenheden]])),0)</f>
        <v>62.319999999999993</v>
      </c>
      <c r="S24" s="237"/>
      <c r="T24" s="238">
        <f>MAX(IFERROR($E$2/IF(Invoer_Inschrijf[[#This Row],[Productgroep]]="Categorie_1_LCA_Producten",VLOOKUP(Invoer_Inschrijf[[#This Row],[Product]],Categorie_1_Producten[#All],7,FALSE),VLOOKUP(Invoer_Inschrijf[[#This Row],[Product]]&amp;", "&amp;"Totaal",Database_Productkaarten[#All],15,FALSE))-1,0),0)</f>
        <v>0</v>
      </c>
      <c r="U24" s="410">
        <v>50</v>
      </c>
      <c r="V24" s="410" t="s">
        <v>224</v>
      </c>
      <c r="W24" s="412"/>
      <c r="X24" s="411" t="s">
        <v>223</v>
      </c>
      <c r="Y24" s="389">
        <f>_xlfn.IFNA(IF(VLOOKUP(Invoer_Inschrijf[[#This Row],[A5 - Overig Materieel tbv Aanleg]],Brandstofmachines_Omrekentabel[],5,FALSE)=0,_xlfn.IFNA(Invoer_Referentie[[#This Row],[A5 - Verbruik overig materieel '[liter - kWh - kg / uur']]]*VLOOKUP(Invoer_Referentie[[#This Row],[A5 - Overig Materieel tbv Aanleg]],Brandstofmachines_Omrekentabel[],8,FALSE)/VLOOKUP(Invoer_Inschrijf[[#This Row],[A5 - Overig Materieel tbv Aanleg]],Brandstofmachines_Omrekentabel[],8,FALSE),0),_xlfn.IFNA(Invoer_Referentie[[#This Row],[A5 - Verbruik overig materieel '[liter - kWh - kg / uur']]]*VLOOKUP(Invoer_Referentie[[#This Row],[A5 - Overig Materieel tbv Aanleg]],Brandstofmachines_Omrekentabel[],8,FALSE)/VLOOKUP(Invoer_Inschrijf[[#This Row],[A5 - Overig Materieel tbv Aanleg]],Brandstofmachines_Omrekentabel[],8,FALSE),0)),0)</f>
        <v>29.108635097493039</v>
      </c>
      <c r="Z24" s="389">
        <f>Invoer_Referentie[[#This Row],[A5 - Capaciteit overig materieel '[Eenheden / uur']]]</f>
        <v>14.285714285714285</v>
      </c>
      <c r="AA24" s="353"/>
      <c r="AB24" s="353"/>
      <c r="AC24" s="389">
        <f>_xlfn.IFNA(IF(VLOOKUP(Invoer_Inschrijf[[#This Row],[C1 - Overig Materieel tbv Verwijderen]],Brandstofmachines_Omrekentabel[],5,FALSE)=0,_xlfn.IFNA(Invoer_Referentie[[#This Row],[C1 - Verbruik overige materieel '[liter - kWh - kg / uur']]]*VLOOKUP(Invoer_Referentie[[#This Row],[C1 - Overig Materieel tbv Verwijderen]],Brandstofmachines_Omrekentabel[],8,FALSE)/VLOOKUP(Invoer_Inschrijf[[#This Row],[C1 - Overig Materieel tbv Verwijderen]],Brandstofmachines_Omrekentabel[],8,FALSE),0),_xlfn.IFNA(Invoer_Referentie[[#This Row],[C1 - Verbruik overige materieel '[liter - kWh - kg / uur']]]*VLOOKUP(Invoer_Referentie[[#This Row],[C1 - Overig Materieel tbv Verwijderen]],Brandstofmachines_Omrekentabel[],8,FALSE)/VLOOKUP(Invoer_Inschrijf[[#This Row],[C1 - Overig Materieel tbv Verwijderen]],Brandstofmachines_Omrekentabel[],8,FALSE),0)),0)</f>
        <v>0</v>
      </c>
      <c r="AD24" s="389">
        <f>Invoer_Referentie[[#This Row],[C1 - Capaciteit overig materieel '[Eenheden / uur']]]</f>
        <v>14.285714285714285</v>
      </c>
      <c r="AE24" s="353"/>
      <c r="AF24" s="352"/>
      <c r="AG24" s="353"/>
      <c r="AH24" s="235"/>
      <c r="BK24" s="224"/>
      <c r="BL24" s="224"/>
      <c r="BM24" s="224"/>
    </row>
    <row r="25" spans="2:76">
      <c r="B25" s="320" t="s">
        <v>256</v>
      </c>
      <c r="C25" s="235" t="s">
        <v>45</v>
      </c>
      <c r="D25" s="253"/>
      <c r="E25" s="1" t="s">
        <v>246</v>
      </c>
      <c r="F25" s="347" t="s">
        <v>257</v>
      </c>
      <c r="G25" s="399">
        <f>_xlfn.IFNA(IF(Invoer_Inschrijf[[#This Row],[Productgroep]]="Categorie_1_LCA_Producten",1,(VLOOKUP(Invoer_Inschrijf[[#This Row],[Product]],Database_Productkaarten[[Product]:[Comment]],64,FALSE))),0)</f>
        <v>3</v>
      </c>
      <c r="H25" s="320">
        <f>_xlfn.IFNA(IF(Invoer_Inschrijf[[#This Row],[Productgroep]]="Categorie_1_LCA_Producten",VLOOKUP(Invoer_Inschrijf[[#This Row],[Product]],Categorie_1_Producten[],2,FALSE),VLOOKUP(Invoer_Inschrijf[[#This Row],[Product]],Database_Productkaarten[[Product]:[Category]],60,FALSE)),0)</f>
        <v>0</v>
      </c>
      <c r="I25" s="260" t="str">
        <f>_xlfn.IFNA(VLOOKUP(Invoer_Inschrijf[[#This Row],[Product]],Database_Productkaarten[[Product]:[Producttype]],3,FALSE),VLOOKUP(Invoer_Inschrijf[[#This Row],[Product]],Categorie_1_Producten[#All],3,FALSE))</f>
        <v>Betonnen riolering</v>
      </c>
      <c r="J25" s="238">
        <v>905</v>
      </c>
      <c r="K25" s="320" t="str">
        <f>_xlfn.IFNA(IF(Invoer_Inschrijf[[#This Row],[Productgroep]]="Categorie_1_LCA_Producten",VLOOKUP(Invoer_Inschrijf[[#This Row],[Product]],Categorie_1_Producten[],4,FALSE),VLOOKUP(Invoer_Inschrijf[[#This Row],[Product]],Database_Productkaarten[[Product]:[Eenheid]],4,FALSE)),0)</f>
        <v>m1</v>
      </c>
      <c r="L25" s="320"/>
      <c r="M25" s="320"/>
      <c r="N25" s="260"/>
      <c r="O25" s="237">
        <f>Invoer_Inschrijf[[#This Row],[Lengte'[m']]]*Invoer_Inschrijf[[#This Row],[Breedte '[m']]]</f>
        <v>0</v>
      </c>
      <c r="P25" s="235">
        <f>IFERROR(IF(Invoer_Inschrijf[[#This Row],[Oppervlakte '[m2']]]*Invoer_Inschrijf[[#This Row],[Dikte '[m']]]=0,Invoer_Inschrijf[[#This Row],[Gewicht '[ton']]]/Invoer_Inschrijf[[#This Row],[Soortelijk gewicht '[ton / m3']]],Invoer_Inschrijf[[#This Row],[Oppervlakte '[m2']]]*Invoer_Inschrijf[[#This Row],[Dikte '[m']]]),0)</f>
        <v>250.38333333333333</v>
      </c>
      <c r="Q25" s="236">
        <f>_xlfn.IFNA(IF(Invoer_Inschrijf[[#This Row],[Productgroep]]="Categorie_1_LCA_Producten",VLOOKUP(F25,Categorie_1_Producten[#All],5,FALSE),VLOOKUP(F25&amp;", "&amp;"Totaal",Database_Productkaarten[#All],12,FALSE)),0)</f>
        <v>2.4</v>
      </c>
      <c r="R25" s="235">
        <f>_xlfn.IFNA(IF(Invoer_Inschrijf[[#This Row],[Productgroep]]="Categorie_1_LCA_Producten",VLOOKUP(Invoer_Inschrijf[[#This Row],[Product]],Categorie_1_Producten[],5,FALSE)*Invoer_Inschrijf[[#This Row],[Aantal Eenheden]],(VLOOKUP(Invoer_Inschrijf[[#This Row],[Product]],Database_Productkaarten[[Product]:[Gewicht '[ton'] / Eenheid]],12,FALSE)*Invoer_Inschrijf[[#This Row],[Aantal Eenheden]])),0)</f>
        <v>600.91999999999996</v>
      </c>
      <c r="S25" s="237"/>
      <c r="T25" s="238">
        <f>MAX(IFERROR($E$2/IF(Invoer_Inschrijf[[#This Row],[Productgroep]]="Categorie_1_LCA_Producten",VLOOKUP(Invoer_Inschrijf[[#This Row],[Product]],Categorie_1_Producten[#All],7,FALSE),VLOOKUP(Invoer_Inschrijf[[#This Row],[Product]]&amp;", "&amp;"Totaal",Database_Productkaarten[#All],15,FALSE))-1,0),0)</f>
        <v>0</v>
      </c>
      <c r="U25" s="410">
        <v>50</v>
      </c>
      <c r="V25" s="410" t="s">
        <v>224</v>
      </c>
      <c r="W25" s="412"/>
      <c r="X25" s="411" t="s">
        <v>223</v>
      </c>
      <c r="Y25" s="389">
        <f>_xlfn.IFNA(IF(VLOOKUP(Invoer_Inschrijf[[#This Row],[A5 - Overig Materieel tbv Aanleg]],Brandstofmachines_Omrekentabel[],5,FALSE)=0,_xlfn.IFNA(Invoer_Referentie[[#This Row],[A5 - Verbruik overig materieel '[liter - kWh - kg / uur']]]*VLOOKUP(Invoer_Referentie[[#This Row],[A5 - Overig Materieel tbv Aanleg]],Brandstofmachines_Omrekentabel[],8,FALSE)/VLOOKUP(Invoer_Inschrijf[[#This Row],[A5 - Overig Materieel tbv Aanleg]],Brandstofmachines_Omrekentabel[],8,FALSE),0),_xlfn.IFNA(Invoer_Referentie[[#This Row],[A5 - Verbruik overig materieel '[liter - kWh - kg / uur']]]*VLOOKUP(Invoer_Referentie[[#This Row],[A5 - Overig Materieel tbv Aanleg]],Brandstofmachines_Omrekentabel[],8,FALSE)/VLOOKUP(Invoer_Inschrijf[[#This Row],[A5 - Overig Materieel tbv Aanleg]],Brandstofmachines_Omrekentabel[],8,FALSE),0)),0)</f>
        <v>29.108635097493039</v>
      </c>
      <c r="Z25" s="389">
        <f>Invoer_Referentie[[#This Row],[A5 - Capaciteit overig materieel '[Eenheden / uur']]]</f>
        <v>9.0909090909090917</v>
      </c>
      <c r="AA25" s="353"/>
      <c r="AB25" s="353"/>
      <c r="AC25" s="389">
        <f>_xlfn.IFNA(IF(VLOOKUP(Invoer_Inschrijf[[#This Row],[C1 - Overig Materieel tbv Verwijderen]],Brandstofmachines_Omrekentabel[],5,FALSE)=0,_xlfn.IFNA(Invoer_Referentie[[#This Row],[C1 - Verbruik overige materieel '[liter - kWh - kg / uur']]]*VLOOKUP(Invoer_Referentie[[#This Row],[C1 - Overig Materieel tbv Verwijderen]],Brandstofmachines_Omrekentabel[],8,FALSE)/VLOOKUP(Invoer_Inschrijf[[#This Row],[C1 - Overig Materieel tbv Verwijderen]],Brandstofmachines_Omrekentabel[],8,FALSE),0),_xlfn.IFNA(Invoer_Referentie[[#This Row],[C1 - Verbruik overige materieel '[liter - kWh - kg / uur']]]*VLOOKUP(Invoer_Referentie[[#This Row],[C1 - Overig Materieel tbv Verwijderen]],Brandstofmachines_Omrekentabel[],8,FALSE)/VLOOKUP(Invoer_Inschrijf[[#This Row],[C1 - Overig Materieel tbv Verwijderen]],Brandstofmachines_Omrekentabel[],8,FALSE),0)),0)</f>
        <v>0</v>
      </c>
      <c r="AD25" s="389">
        <f>Invoer_Referentie[[#This Row],[C1 - Capaciteit overig materieel '[Eenheden / uur']]]</f>
        <v>9.0909090909090917</v>
      </c>
      <c r="AE25" s="353"/>
      <c r="AF25" s="352"/>
      <c r="AG25" s="353"/>
      <c r="AH25" s="235"/>
      <c r="BK25" s="224"/>
      <c r="BL25" s="224"/>
      <c r="BM25" s="224"/>
    </row>
    <row r="26" spans="2:76">
      <c r="B26" s="320" t="s">
        <v>258</v>
      </c>
      <c r="C26" s="235" t="s">
        <v>45</v>
      </c>
      <c r="D26" s="253"/>
      <c r="E26" s="1" t="s">
        <v>246</v>
      </c>
      <c r="F26" s="347" t="s">
        <v>247</v>
      </c>
      <c r="G26" s="399">
        <f>_xlfn.IFNA(IF(Invoer_Inschrijf[[#This Row],[Productgroep]]="Categorie_1_LCA_Producten",1,(VLOOKUP(Invoer_Inschrijf[[#This Row],[Product]],Database_Productkaarten[[Product]:[Comment]],64,FALSE))),0)</f>
        <v>3</v>
      </c>
      <c r="H26" s="320">
        <f>_xlfn.IFNA(IF(Invoer_Inschrijf[[#This Row],[Productgroep]]="Categorie_1_LCA_Producten",VLOOKUP(Invoer_Inschrijf[[#This Row],[Product]],Categorie_1_Producten[],2,FALSE),VLOOKUP(Invoer_Inschrijf[[#This Row],[Product]],Database_Productkaarten[[Product]:[Category]],60,FALSE)),0)</f>
        <v>0</v>
      </c>
      <c r="I26" s="260" t="str">
        <f>_xlfn.IFNA(VLOOKUP(Invoer_Inschrijf[[#This Row],[Product]],Database_Productkaarten[[Product]:[Producttype]],3,FALSE),VLOOKUP(Invoer_Inschrijf[[#This Row],[Product]],Categorie_1_Producten[#All],3,FALSE))</f>
        <v>Kolk</v>
      </c>
      <c r="J26" s="238">
        <v>202</v>
      </c>
      <c r="K26" s="320" t="str">
        <f>_xlfn.IFNA(IF(Invoer_Inschrijf[[#This Row],[Productgroep]]="Categorie_1_LCA_Producten",VLOOKUP(Invoer_Inschrijf[[#This Row],[Product]],Categorie_1_Producten[],4,FALSE),VLOOKUP(Invoer_Inschrijf[[#This Row],[Product]],Database_Productkaarten[[Product]:[Eenheid]],4,FALSE)),0)</f>
        <v>stuk</v>
      </c>
      <c r="L26" s="320"/>
      <c r="M26" s="320"/>
      <c r="N26" s="260"/>
      <c r="O26" s="237">
        <f>Invoer_Inschrijf[[#This Row],[Lengte'[m']]]*Invoer_Inschrijf[[#This Row],[Breedte '[m']]]</f>
        <v>0</v>
      </c>
      <c r="P26" s="235">
        <f>IFERROR(IF(Invoer_Inschrijf[[#This Row],[Oppervlakte '[m2']]]*Invoer_Inschrijf[[#This Row],[Dikte '[m']]]=0,Invoer_Inschrijf[[#This Row],[Gewicht '[ton']]]/Invoer_Inschrijf[[#This Row],[Soortelijk gewicht '[ton / m3']]],Invoer_Inschrijf[[#This Row],[Oppervlakte '[m2']]]*Invoer_Inschrijf[[#This Row],[Dikte '[m']]]),0)</f>
        <v>0</v>
      </c>
      <c r="Q26" s="236" t="str">
        <f>_xlfn.IFNA(IF(Invoer_Inschrijf[[#This Row],[Productgroep]]="Categorie_1_LCA_Producten",VLOOKUP(F26,Categorie_1_Producten[#All],5,FALSE),VLOOKUP(F26&amp;", "&amp;"Totaal",Database_Productkaarten[#All],12,FALSE)),0)</f>
        <v>NVT</v>
      </c>
      <c r="R26" s="235">
        <f>_xlfn.IFNA(IF(Invoer_Inschrijf[[#This Row],[Productgroep]]="Categorie_1_LCA_Producten",VLOOKUP(Invoer_Inschrijf[[#This Row],[Product]],Categorie_1_Producten[],5,FALSE)*Invoer_Inschrijf[[#This Row],[Aantal Eenheden]],(VLOOKUP(Invoer_Inschrijf[[#This Row],[Product]],Database_Productkaarten[[Product]:[Gewicht '[ton'] / Eenheid]],12,FALSE)*Invoer_Inschrijf[[#This Row],[Aantal Eenheden]])),0)</f>
        <v>40.973680000000002</v>
      </c>
      <c r="S26" s="237"/>
      <c r="T26" s="238">
        <f>MAX(IFERROR($E$2/IF(Invoer_Inschrijf[[#This Row],[Productgroep]]="Categorie_1_LCA_Producten",VLOOKUP(Invoer_Inschrijf[[#This Row],[Product]],Categorie_1_Producten[#All],7,FALSE),VLOOKUP(Invoer_Inschrijf[[#This Row],[Product]]&amp;", "&amp;"Totaal",Database_Productkaarten[#All],15,FALSE))-1,0),0)</f>
        <v>0</v>
      </c>
      <c r="U26" s="410">
        <v>50</v>
      </c>
      <c r="V26" s="410" t="s">
        <v>224</v>
      </c>
      <c r="W26" s="412"/>
      <c r="X26" s="411" t="s">
        <v>223</v>
      </c>
      <c r="Y26" s="389">
        <f>_xlfn.IFNA(IF(VLOOKUP(Invoer_Inschrijf[[#This Row],[A5 - Overig Materieel tbv Aanleg]],Brandstofmachines_Omrekentabel[],5,FALSE)=0,_xlfn.IFNA(Invoer_Referentie[[#This Row],[A5 - Verbruik overig materieel '[liter - kWh - kg / uur']]]*VLOOKUP(Invoer_Referentie[[#This Row],[A5 - Overig Materieel tbv Aanleg]],Brandstofmachines_Omrekentabel[],8,FALSE)/VLOOKUP(Invoer_Inschrijf[[#This Row],[A5 - Overig Materieel tbv Aanleg]],Brandstofmachines_Omrekentabel[],8,FALSE),0),_xlfn.IFNA(Invoer_Referentie[[#This Row],[A5 - Verbruik overig materieel '[liter - kWh - kg / uur']]]*VLOOKUP(Invoer_Referentie[[#This Row],[A5 - Overig Materieel tbv Aanleg]],Brandstofmachines_Omrekentabel[],8,FALSE)/VLOOKUP(Invoer_Inschrijf[[#This Row],[A5 - Overig Materieel tbv Aanleg]],Brandstofmachines_Omrekentabel[],8,FALSE),0)),0)</f>
        <v>15.933147632311979</v>
      </c>
      <c r="Z26" s="389">
        <f>Invoer_Referentie[[#This Row],[A5 - Capaciteit overig materieel '[Eenheden / uur']]]</f>
        <v>2</v>
      </c>
      <c r="AA26" s="353"/>
      <c r="AB26" s="353"/>
      <c r="AC26" s="389">
        <f>_xlfn.IFNA(IF(VLOOKUP(Invoer_Inschrijf[[#This Row],[C1 - Overig Materieel tbv Verwijderen]],Brandstofmachines_Omrekentabel[],5,FALSE)=0,_xlfn.IFNA(Invoer_Referentie[[#This Row],[C1 - Verbruik overige materieel '[liter - kWh - kg / uur']]]*VLOOKUP(Invoer_Referentie[[#This Row],[C1 - Overig Materieel tbv Verwijderen]],Brandstofmachines_Omrekentabel[],8,FALSE)/VLOOKUP(Invoer_Inschrijf[[#This Row],[C1 - Overig Materieel tbv Verwijderen]],Brandstofmachines_Omrekentabel[],8,FALSE),0),_xlfn.IFNA(Invoer_Referentie[[#This Row],[C1 - Verbruik overige materieel '[liter - kWh - kg / uur']]]*VLOOKUP(Invoer_Referentie[[#This Row],[C1 - Overig Materieel tbv Verwijderen]],Brandstofmachines_Omrekentabel[],8,FALSE)/VLOOKUP(Invoer_Inschrijf[[#This Row],[C1 - Overig Materieel tbv Verwijderen]],Brandstofmachines_Omrekentabel[],8,FALSE),0)),0)</f>
        <v>0</v>
      </c>
      <c r="AD26" s="389">
        <f>Invoer_Referentie[[#This Row],[C1 - Capaciteit overig materieel '[Eenheden / uur']]]</f>
        <v>2</v>
      </c>
      <c r="AE26" s="353"/>
      <c r="AF26" s="352"/>
      <c r="AG26" s="353"/>
      <c r="AH26" s="235"/>
      <c r="BK26" s="224"/>
      <c r="BL26" s="224"/>
      <c r="BM26" s="224"/>
    </row>
    <row r="27" spans="2:76">
      <c r="B27" s="320" t="s">
        <v>259</v>
      </c>
      <c r="C27" s="235" t="s">
        <v>45</v>
      </c>
      <c r="D27" s="253"/>
      <c r="E27" s="1" t="s">
        <v>48</v>
      </c>
      <c r="F27" s="347" t="s">
        <v>260</v>
      </c>
      <c r="G27" s="399">
        <f>_xlfn.IFNA(IF(Invoer_Inschrijf[[#This Row],[Productgroep]]="Categorie_1_LCA_Producten",1,(VLOOKUP(Invoer_Inschrijf[[#This Row],[Product]],Database_Productkaarten[[Product]:[Comment]],64,FALSE))),0)</f>
        <v>3</v>
      </c>
      <c r="H27" s="320">
        <f>_xlfn.IFNA(IF(Invoer_Inschrijf[[#This Row],[Productgroep]]="Categorie_1_LCA_Producten",VLOOKUP(Invoer_Inschrijf[[#This Row],[Product]],Categorie_1_Producten[],2,FALSE),VLOOKUP(Invoer_Inschrijf[[#This Row],[Product]],Database_Productkaarten[[Product]:[Category]],60,FALSE)),0)</f>
        <v>0</v>
      </c>
      <c r="I27" s="260" t="str">
        <f>_xlfn.IFNA(VLOOKUP(Invoer_Inschrijf[[#This Row],[Product]],Database_Productkaarten[[Product]:[Producttype]],3,FALSE),VLOOKUP(Invoer_Inschrijf[[#This Row],[Product]],Categorie_1_Producten[#All],3,FALSE))</f>
        <v>Menggranulaat</v>
      </c>
      <c r="J27" s="238">
        <v>24400</v>
      </c>
      <c r="K27" s="320" t="str">
        <f>_xlfn.IFNA(IF(Invoer_Inschrijf[[#This Row],[Productgroep]]="Categorie_1_LCA_Producten",VLOOKUP(Invoer_Inschrijf[[#This Row],[Product]],Categorie_1_Producten[],4,FALSE),VLOOKUP(Invoer_Inschrijf[[#This Row],[Product]],Database_Productkaarten[[Product]:[Eenheid]],4,FALSE)),0)</f>
        <v>m2</v>
      </c>
      <c r="L27" s="320"/>
      <c r="M27" s="320"/>
      <c r="N27" s="260"/>
      <c r="O27" s="237">
        <f>Invoer_Inschrijf[[#This Row],[Lengte'[m']]]*Invoer_Inschrijf[[#This Row],[Breedte '[m']]]</f>
        <v>0</v>
      </c>
      <c r="P27" s="235">
        <f>IFERROR(IF(Invoer_Inschrijf[[#This Row],[Oppervlakte '[m2']]]*Invoer_Inschrijf[[#This Row],[Dikte '[m']]]=0,Invoer_Inschrijf[[#This Row],[Gewicht '[ton']]]/Invoer_Inschrijf[[#This Row],[Soortelijk gewicht '[ton / m3']]],Invoer_Inschrijf[[#This Row],[Oppervlakte '[m2']]]*Invoer_Inschrijf[[#This Row],[Dikte '[m']]]),0)</f>
        <v>6100</v>
      </c>
      <c r="Q27" s="236">
        <f>_xlfn.IFNA(IF(Invoer_Inschrijf[[#This Row],[Productgroep]]="Categorie_1_LCA_Producten",VLOOKUP(F27,Categorie_1_Producten[#All],5,FALSE),VLOOKUP(F27&amp;", "&amp;"Totaal",Database_Productkaarten[#All],12,FALSE)),0)</f>
        <v>1.95</v>
      </c>
      <c r="R27" s="235">
        <f>_xlfn.IFNA(IF(Invoer_Inschrijf[[#This Row],[Productgroep]]="Categorie_1_LCA_Producten",VLOOKUP(Invoer_Inschrijf[[#This Row],[Product]],Categorie_1_Producten[],5,FALSE)*Invoer_Inschrijf[[#This Row],[Aantal Eenheden]],(VLOOKUP(Invoer_Inschrijf[[#This Row],[Product]],Database_Productkaarten[[Product]:[Gewicht '[ton'] / Eenheid]],12,FALSE)*Invoer_Inschrijf[[#This Row],[Aantal Eenheden]])),0)</f>
        <v>11895</v>
      </c>
      <c r="S27" s="237"/>
      <c r="T27" s="238">
        <f>MAX(IFERROR($E$2/IF(Invoer_Inschrijf[[#This Row],[Productgroep]]="Categorie_1_LCA_Producten",VLOOKUP(Invoer_Inschrijf[[#This Row],[Product]],Categorie_1_Producten[#All],7,FALSE),VLOOKUP(Invoer_Inschrijf[[#This Row],[Product]]&amp;", "&amp;"Totaal",Database_Productkaarten[#All],15,FALSE))-1,0),0)</f>
        <v>0</v>
      </c>
      <c r="U27" s="410">
        <v>20</v>
      </c>
      <c r="V27" s="410" t="s">
        <v>224</v>
      </c>
      <c r="W27" s="412"/>
      <c r="X27" s="411" t="s">
        <v>223</v>
      </c>
      <c r="Y27" s="389">
        <f>_xlfn.IFNA(IF(VLOOKUP(Invoer_Inschrijf[[#This Row],[A5 - Overig Materieel tbv Aanleg]],Brandstofmachines_Omrekentabel[],5,FALSE)=0,_xlfn.IFNA(Invoer_Referentie[[#This Row],[A5 - Verbruik overig materieel '[liter - kWh - kg / uur']]]*VLOOKUP(Invoer_Referentie[[#This Row],[A5 - Overig Materieel tbv Aanleg]],Brandstofmachines_Omrekentabel[],8,FALSE)/VLOOKUP(Invoer_Inschrijf[[#This Row],[A5 - Overig Materieel tbv Aanleg]],Brandstofmachines_Omrekentabel[],8,FALSE),0),_xlfn.IFNA(Invoer_Referentie[[#This Row],[A5 - Verbruik overig materieel '[liter - kWh - kg / uur']]]*VLOOKUP(Invoer_Referentie[[#This Row],[A5 - Overig Materieel tbv Aanleg]],Brandstofmachines_Omrekentabel[],8,FALSE)/VLOOKUP(Invoer_Inschrijf[[#This Row],[A5 - Overig Materieel tbv Aanleg]],Brandstofmachines_Omrekentabel[],8,FALSE),0)),0)</f>
        <v>19.5</v>
      </c>
      <c r="Z27" s="389">
        <f>Invoer_Referentie[[#This Row],[A5 - Capaciteit overig materieel '[Eenheden / uur']]]</f>
        <v>50</v>
      </c>
      <c r="AA27" s="353"/>
      <c r="AB27" s="353"/>
      <c r="AC27" s="389">
        <f>_xlfn.IFNA(IF(VLOOKUP(Invoer_Inschrijf[[#This Row],[C1 - Overig Materieel tbv Verwijderen]],Brandstofmachines_Omrekentabel[],5,FALSE)=0,_xlfn.IFNA(Invoer_Referentie[[#This Row],[C1 - Verbruik overige materieel '[liter - kWh - kg / uur']]]*VLOOKUP(Invoer_Referentie[[#This Row],[C1 - Overig Materieel tbv Verwijderen]],Brandstofmachines_Omrekentabel[],8,FALSE)/VLOOKUP(Invoer_Inschrijf[[#This Row],[C1 - Overig Materieel tbv Verwijderen]],Brandstofmachines_Omrekentabel[],8,FALSE),0),_xlfn.IFNA(Invoer_Referentie[[#This Row],[C1 - Verbruik overige materieel '[liter - kWh - kg / uur']]]*VLOOKUP(Invoer_Referentie[[#This Row],[C1 - Overig Materieel tbv Verwijderen]],Brandstofmachines_Omrekentabel[],8,FALSE)/VLOOKUP(Invoer_Inschrijf[[#This Row],[C1 - Overig Materieel tbv Verwijderen]],Brandstofmachines_Omrekentabel[],8,FALSE),0)),0)</f>
        <v>0</v>
      </c>
      <c r="AD27" s="389">
        <f>Invoer_Referentie[[#This Row],[C1 - Capaciteit overig materieel '[Eenheden / uur']]]</f>
        <v>100</v>
      </c>
      <c r="AE27" s="353"/>
      <c r="AF27" s="352"/>
      <c r="AG27" s="353"/>
      <c r="AH27" s="235"/>
      <c r="BK27" s="224"/>
      <c r="BL27" s="224"/>
      <c r="BM27" s="224"/>
    </row>
    <row r="28" spans="2:76">
      <c r="B28" s="320" t="s">
        <v>261</v>
      </c>
      <c r="C28" s="235" t="s">
        <v>45</v>
      </c>
      <c r="D28" s="253"/>
      <c r="E28" s="1" t="s">
        <v>55</v>
      </c>
      <c r="F28" s="347" t="s">
        <v>262</v>
      </c>
      <c r="G28" s="399">
        <f>_xlfn.IFNA(IF(Invoer_Inschrijf[[#This Row],[Productgroep]]="Categorie_1_LCA_Producten",1,(VLOOKUP(Invoer_Inschrijf[[#This Row],[Product]],Database_Productkaarten[[Product]:[Comment]],64,FALSE))),0)</f>
        <v>3</v>
      </c>
      <c r="H28" s="320">
        <f>_xlfn.IFNA(IF(Invoer_Inschrijf[[#This Row],[Productgroep]]="Categorie_1_LCA_Producten",VLOOKUP(Invoer_Inschrijf[[#This Row],[Product]],Categorie_1_Producten[],2,FALSE),VLOOKUP(Invoer_Inschrijf[[#This Row],[Product]],Database_Productkaarten[[Product]:[Category]],60,FALSE)),0)</f>
        <v>0</v>
      </c>
      <c r="I28" s="260" t="str">
        <f>_xlfn.IFNA(VLOOKUP(Invoer_Inschrijf[[#This Row],[Product]],Database_Productkaarten[[Product]:[Producttype]],3,FALSE),VLOOKUP(Invoer_Inschrijf[[#This Row],[Product]],Categorie_1_Producten[#All],3,FALSE))</f>
        <v>Trottoirband</v>
      </c>
      <c r="J28" s="238">
        <v>85</v>
      </c>
      <c r="K28" s="320" t="str">
        <f>_xlfn.IFNA(IF(Invoer_Inschrijf[[#This Row],[Productgroep]]="Categorie_1_LCA_Producten",VLOOKUP(Invoer_Inschrijf[[#This Row],[Product]],Categorie_1_Producten[],4,FALSE),VLOOKUP(Invoer_Inschrijf[[#This Row],[Product]],Database_Productkaarten[[Product]:[Eenheid]],4,FALSE)),0)</f>
        <v>m1</v>
      </c>
      <c r="L28" s="320"/>
      <c r="M28" s="320"/>
      <c r="N28" s="260"/>
      <c r="O28" s="237">
        <f>Invoer_Inschrijf[[#This Row],[Lengte'[m']]]*Invoer_Inschrijf[[#This Row],[Breedte '[m']]]</f>
        <v>0</v>
      </c>
      <c r="P28" s="235">
        <f>IFERROR(IF(Invoer_Inschrijf[[#This Row],[Oppervlakte '[m2']]]*Invoer_Inschrijf[[#This Row],[Dikte '[m']]]=0,Invoer_Inschrijf[[#This Row],[Gewicht '[ton']]]/Invoer_Inschrijf[[#This Row],[Soortelijk gewicht '[ton / m3']]],Invoer_Inschrijf[[#This Row],[Oppervlakte '[m2']]]*Invoer_Inschrijf[[#This Row],[Dikte '[m']]]),0)</f>
        <v>4.9760416666666671</v>
      </c>
      <c r="Q28" s="236">
        <f>_xlfn.IFNA(IF(Invoer_Inschrijf[[#This Row],[Productgroep]]="Categorie_1_LCA_Producten",VLOOKUP(F28,Categorie_1_Producten[#All],5,FALSE),VLOOKUP(F28&amp;", "&amp;"Totaal",Database_Productkaarten[#All],12,FALSE)),0)</f>
        <v>2.4</v>
      </c>
      <c r="R28" s="235">
        <f>_xlfn.IFNA(IF(Invoer_Inschrijf[[#This Row],[Productgroep]]="Categorie_1_LCA_Producten",VLOOKUP(Invoer_Inschrijf[[#This Row],[Product]],Categorie_1_Producten[],5,FALSE)*Invoer_Inschrijf[[#This Row],[Aantal Eenheden]],(VLOOKUP(Invoer_Inschrijf[[#This Row],[Product]],Database_Productkaarten[[Product]:[Gewicht '[ton'] / Eenheid]],12,FALSE)*Invoer_Inschrijf[[#This Row],[Aantal Eenheden]])),0)</f>
        <v>11.942500000000001</v>
      </c>
      <c r="S28" s="237"/>
      <c r="T28" s="238">
        <f>MAX(IFERROR($E$2/IF(Invoer_Inschrijf[[#This Row],[Productgroep]]="Categorie_1_LCA_Producten",VLOOKUP(Invoer_Inschrijf[[#This Row],[Product]],Categorie_1_Producten[#All],7,FALSE),VLOOKUP(Invoer_Inschrijf[[#This Row],[Product]]&amp;", "&amp;"Totaal",Database_Productkaarten[#All],15,FALSE))-1,0),0)</f>
        <v>0</v>
      </c>
      <c r="U28" s="352">
        <v>35.5</v>
      </c>
      <c r="V28" s="352" t="s">
        <v>224</v>
      </c>
      <c r="W28" s="353"/>
      <c r="X28" s="411" t="s">
        <v>223</v>
      </c>
      <c r="Y28" s="389">
        <f>_xlfn.IFNA(IF(VLOOKUP(Invoer_Inschrijf[[#This Row],[A5 - Overig Materieel tbv Aanleg]],Brandstofmachines_Omrekentabel[],5,FALSE)=0,_xlfn.IFNA(Invoer_Referentie[[#This Row],[A5 - Verbruik overig materieel '[liter - kWh - kg / uur']]]*VLOOKUP(Invoer_Referentie[[#This Row],[A5 - Overig Materieel tbv Aanleg]],Brandstofmachines_Omrekentabel[],8,FALSE)/VLOOKUP(Invoer_Inschrijf[[#This Row],[A5 - Overig Materieel tbv Aanleg]],Brandstofmachines_Omrekentabel[],8,FALSE),0),_xlfn.IFNA(Invoer_Referentie[[#This Row],[A5 - Verbruik overig materieel '[liter - kWh - kg / uur']]]*VLOOKUP(Invoer_Referentie[[#This Row],[A5 - Overig Materieel tbv Aanleg]],Brandstofmachines_Omrekentabel[],8,FALSE)/VLOOKUP(Invoer_Inschrijf[[#This Row],[A5 - Overig Materieel tbv Aanleg]],Brandstofmachines_Omrekentabel[],8,FALSE),0)),0)</f>
        <v>13.175487465181059</v>
      </c>
      <c r="Z28" s="389">
        <f>Invoer_Referentie[[#This Row],[A5 - Capaciteit overig materieel '[Eenheden / uur']]]</f>
        <v>16</v>
      </c>
      <c r="AA28" s="353"/>
      <c r="AB28" s="353"/>
      <c r="AC28" s="389">
        <f>_xlfn.IFNA(IF(VLOOKUP(Invoer_Inschrijf[[#This Row],[C1 - Overig Materieel tbv Verwijderen]],Brandstofmachines_Omrekentabel[],5,FALSE)=0,_xlfn.IFNA(Invoer_Referentie[[#This Row],[C1 - Verbruik overige materieel '[liter - kWh - kg / uur']]]*VLOOKUP(Invoer_Referentie[[#This Row],[C1 - Overig Materieel tbv Verwijderen]],Brandstofmachines_Omrekentabel[],8,FALSE)/VLOOKUP(Invoer_Inschrijf[[#This Row],[C1 - Overig Materieel tbv Verwijderen]],Brandstofmachines_Omrekentabel[],8,FALSE),0),_xlfn.IFNA(Invoer_Referentie[[#This Row],[C1 - Verbruik overige materieel '[liter - kWh - kg / uur']]]*VLOOKUP(Invoer_Referentie[[#This Row],[C1 - Overig Materieel tbv Verwijderen]],Brandstofmachines_Omrekentabel[],8,FALSE)/VLOOKUP(Invoer_Inschrijf[[#This Row],[C1 - Overig Materieel tbv Verwijderen]],Brandstofmachines_Omrekentabel[],8,FALSE),0)),0)</f>
        <v>0</v>
      </c>
      <c r="AD28" s="389">
        <f>Invoer_Referentie[[#This Row],[C1 - Capaciteit overig materieel '[Eenheden / uur']]]</f>
        <v>50</v>
      </c>
      <c r="AE28" s="353"/>
      <c r="AF28" s="352"/>
      <c r="AG28" s="353"/>
      <c r="AH28" s="235"/>
      <c r="BK28" s="224"/>
      <c r="BL28" s="224"/>
      <c r="BM28" s="224"/>
    </row>
    <row r="29" spans="2:76">
      <c r="B29" s="320" t="s">
        <v>263</v>
      </c>
      <c r="C29" s="235" t="s">
        <v>45</v>
      </c>
      <c r="D29" s="253"/>
      <c r="E29" s="1" t="s">
        <v>55</v>
      </c>
      <c r="F29" s="347" t="s">
        <v>222</v>
      </c>
      <c r="G29" s="399">
        <f>_xlfn.IFNA(IF(Invoer_Inschrijf[[#This Row],[Productgroep]]="Categorie_1_LCA_Producten",1,(VLOOKUP(Invoer_Inschrijf[[#This Row],[Product]],Database_Productkaarten[[Product]:[Comment]],64,FALSE))),0)</f>
        <v>3</v>
      </c>
      <c r="H29" s="320">
        <f>_xlfn.IFNA(IF(Invoer_Inschrijf[[#This Row],[Productgroep]]="Categorie_1_LCA_Producten",VLOOKUP(Invoer_Inschrijf[[#This Row],[Product]],Categorie_1_Producten[],2,FALSE),VLOOKUP(Invoer_Inschrijf[[#This Row],[Product]],Database_Productkaarten[[Product]:[Category]],60,FALSE)),0)</f>
        <v>0</v>
      </c>
      <c r="I29" s="260" t="str">
        <f>_xlfn.IFNA(VLOOKUP(Invoer_Inschrijf[[#This Row],[Product]],Database_Productkaarten[[Product]:[Producttype]],3,FALSE),VLOOKUP(Invoer_Inschrijf[[#This Row],[Product]],Categorie_1_Producten[#All],3,FALSE))</f>
        <v>Trottoirband</v>
      </c>
      <c r="J29" s="238">
        <v>230</v>
      </c>
      <c r="K29" s="320" t="str">
        <f>_xlfn.IFNA(IF(Invoer_Inschrijf[[#This Row],[Productgroep]]="Categorie_1_LCA_Producten",VLOOKUP(Invoer_Inschrijf[[#This Row],[Product]],Categorie_1_Producten[],4,FALSE),VLOOKUP(Invoer_Inschrijf[[#This Row],[Product]],Database_Productkaarten[[Product]:[Eenheid]],4,FALSE)),0)</f>
        <v>m1</v>
      </c>
      <c r="L29" s="320"/>
      <c r="M29" s="320"/>
      <c r="N29" s="260"/>
      <c r="O29" s="237">
        <f>Invoer_Inschrijf[[#This Row],[Lengte'[m']]]*Invoer_Inschrijf[[#This Row],[Breedte '[m']]]</f>
        <v>0</v>
      </c>
      <c r="P29" s="235">
        <f>IFERROR(IF(Invoer_Inschrijf[[#This Row],[Oppervlakte '[m2']]]*Invoer_Inschrijf[[#This Row],[Dikte '[m']]]=0,Invoer_Inschrijf[[#This Row],[Gewicht '[ton']]]/Invoer_Inschrijf[[#This Row],[Soortelijk gewicht '[ton / m3']]],Invoer_Inschrijf[[#This Row],[Oppervlakte '[m2']]]*Invoer_Inschrijf[[#This Row],[Dikte '[m']]]),0)</f>
        <v>8.0787499999999994</v>
      </c>
      <c r="Q29" s="236">
        <f>_xlfn.IFNA(IF(Invoer_Inschrijf[[#This Row],[Productgroep]]="Categorie_1_LCA_Producten",VLOOKUP(F29,Categorie_1_Producten[#All],5,FALSE),VLOOKUP(F29&amp;", "&amp;"Totaal",Database_Productkaarten[#All],12,FALSE)),0)</f>
        <v>2.4</v>
      </c>
      <c r="R29" s="235">
        <f>_xlfn.IFNA(IF(Invoer_Inschrijf[[#This Row],[Productgroep]]="Categorie_1_LCA_Producten",VLOOKUP(Invoer_Inschrijf[[#This Row],[Product]],Categorie_1_Producten[],5,FALSE)*Invoer_Inschrijf[[#This Row],[Aantal Eenheden]],(VLOOKUP(Invoer_Inschrijf[[#This Row],[Product]],Database_Productkaarten[[Product]:[Gewicht '[ton'] / Eenheid]],12,FALSE)*Invoer_Inschrijf[[#This Row],[Aantal Eenheden]])),0)</f>
        <v>19.388999999999999</v>
      </c>
      <c r="S29" s="237"/>
      <c r="T29" s="238">
        <f>MAX(IFERROR($E$2/IF(Invoer_Inschrijf[[#This Row],[Productgroep]]="Categorie_1_LCA_Producten",VLOOKUP(Invoer_Inschrijf[[#This Row],[Product]],Categorie_1_Producten[#All],7,FALSE),VLOOKUP(Invoer_Inschrijf[[#This Row],[Product]]&amp;", "&amp;"Totaal",Database_Productkaarten[#All],15,FALSE))-1,0),0)</f>
        <v>0</v>
      </c>
      <c r="U29" s="352">
        <v>35.5</v>
      </c>
      <c r="V29" s="352" t="s">
        <v>224</v>
      </c>
      <c r="W29" s="353"/>
      <c r="X29" s="411" t="s">
        <v>223</v>
      </c>
      <c r="Y29" s="389">
        <f>_xlfn.IFNA(IF(VLOOKUP(Invoer_Inschrijf[[#This Row],[A5 - Overig Materieel tbv Aanleg]],Brandstofmachines_Omrekentabel[],5,FALSE)=0,_xlfn.IFNA(Invoer_Referentie[[#This Row],[A5 - Verbruik overig materieel '[liter - kWh - kg / uur']]]*VLOOKUP(Invoer_Referentie[[#This Row],[A5 - Overig Materieel tbv Aanleg]],Brandstofmachines_Omrekentabel[],8,FALSE)/VLOOKUP(Invoer_Inschrijf[[#This Row],[A5 - Overig Materieel tbv Aanleg]],Brandstofmachines_Omrekentabel[],8,FALSE),0),_xlfn.IFNA(Invoer_Referentie[[#This Row],[A5 - Verbruik overig materieel '[liter - kWh - kg / uur']]]*VLOOKUP(Invoer_Referentie[[#This Row],[A5 - Overig Materieel tbv Aanleg]],Brandstofmachines_Omrekentabel[],8,FALSE)/VLOOKUP(Invoer_Inschrijf[[#This Row],[A5 - Overig Materieel tbv Aanleg]],Brandstofmachines_Omrekentabel[],8,FALSE),0)),0)</f>
        <v>13.175487465181059</v>
      </c>
      <c r="Z29" s="389">
        <f>Invoer_Referentie[[#This Row],[A5 - Capaciteit overig materieel '[Eenheden / uur']]]</f>
        <v>16</v>
      </c>
      <c r="AA29" s="353"/>
      <c r="AB29" s="353"/>
      <c r="AC29" s="389">
        <f>_xlfn.IFNA(IF(VLOOKUP(Invoer_Inschrijf[[#This Row],[C1 - Overig Materieel tbv Verwijderen]],Brandstofmachines_Omrekentabel[],5,FALSE)=0,_xlfn.IFNA(Invoer_Referentie[[#This Row],[C1 - Verbruik overige materieel '[liter - kWh - kg / uur']]]*VLOOKUP(Invoer_Referentie[[#This Row],[C1 - Overig Materieel tbv Verwijderen]],Brandstofmachines_Omrekentabel[],8,FALSE)/VLOOKUP(Invoer_Inschrijf[[#This Row],[C1 - Overig Materieel tbv Verwijderen]],Brandstofmachines_Omrekentabel[],8,FALSE),0),_xlfn.IFNA(Invoer_Referentie[[#This Row],[C1 - Verbruik overige materieel '[liter - kWh - kg / uur']]]*VLOOKUP(Invoer_Referentie[[#This Row],[C1 - Overig Materieel tbv Verwijderen]],Brandstofmachines_Omrekentabel[],8,FALSE)/VLOOKUP(Invoer_Inschrijf[[#This Row],[C1 - Overig Materieel tbv Verwijderen]],Brandstofmachines_Omrekentabel[],8,FALSE),0)),0)</f>
        <v>0</v>
      </c>
      <c r="AD29" s="389">
        <f>Invoer_Referentie[[#This Row],[C1 - Capaciteit overig materieel '[Eenheden / uur']]]</f>
        <v>50</v>
      </c>
      <c r="AE29" s="353"/>
      <c r="AF29" s="352"/>
      <c r="AG29" s="353"/>
      <c r="AH29" s="235"/>
      <c r="BK29" s="224"/>
      <c r="BL29" s="224"/>
      <c r="BM29" s="224"/>
    </row>
    <row r="30" spans="2:76">
      <c r="B30" s="320" t="s">
        <v>264</v>
      </c>
      <c r="C30" s="235" t="s">
        <v>45</v>
      </c>
      <c r="D30" s="253"/>
      <c r="E30" s="1" t="s">
        <v>55</v>
      </c>
      <c r="F30" s="347" t="s">
        <v>228</v>
      </c>
      <c r="G30" s="399">
        <f>_xlfn.IFNA(IF(Invoer_Inschrijf[[#This Row],[Productgroep]]="Categorie_1_LCA_Producten",1,(VLOOKUP(Invoer_Inschrijf[[#This Row],[Product]],Database_Productkaarten[[Product]:[Comment]],64,FALSE))),0)</f>
        <v>3</v>
      </c>
      <c r="H30" s="320">
        <f>_xlfn.IFNA(IF(Invoer_Inschrijf[[#This Row],[Productgroep]]="Categorie_1_LCA_Producten",VLOOKUP(Invoer_Inschrijf[[#This Row],[Product]],Categorie_1_Producten[],2,FALSE),VLOOKUP(Invoer_Inschrijf[[#This Row],[Product]],Database_Productkaarten[[Product]:[Category]],60,FALSE)),0)</f>
        <v>0</v>
      </c>
      <c r="I30" s="260" t="str">
        <f>_xlfn.IFNA(VLOOKUP(Invoer_Inschrijf[[#This Row],[Product]],Database_Productkaarten[[Product]:[Producttype]],3,FALSE),VLOOKUP(Invoer_Inschrijf[[#This Row],[Product]],Categorie_1_Producten[#All],3,FALSE))</f>
        <v>Opsluitband</v>
      </c>
      <c r="J30" s="238">
        <v>1495</v>
      </c>
      <c r="K30" s="320" t="str">
        <f>_xlfn.IFNA(IF(Invoer_Inschrijf[[#This Row],[Productgroep]]="Categorie_1_LCA_Producten",VLOOKUP(Invoer_Inschrijf[[#This Row],[Product]],Categorie_1_Producten[],4,FALSE),VLOOKUP(Invoer_Inschrijf[[#This Row],[Product]],Database_Productkaarten[[Product]:[Eenheid]],4,FALSE)),0)</f>
        <v>m1</v>
      </c>
      <c r="L30" s="320"/>
      <c r="M30" s="320"/>
      <c r="N30" s="260"/>
      <c r="O30" s="237">
        <f>Invoer_Inschrijf[[#This Row],[Lengte'[m']]]*Invoer_Inschrijf[[#This Row],[Breedte '[m']]]</f>
        <v>0</v>
      </c>
      <c r="P30" s="235">
        <f>IFERROR(IF(Invoer_Inschrijf[[#This Row],[Oppervlakte '[m2']]]*Invoer_Inschrijf[[#This Row],[Dikte '[m']]]=0,Invoer_Inschrijf[[#This Row],[Gewicht '[ton']]]/Invoer_Inschrijf[[#This Row],[Soortelijk gewicht '[ton / m3']]],Invoer_Inschrijf[[#This Row],[Oppervlakte '[m2']]]*Invoer_Inschrijf[[#This Row],[Dikte '[m']]]),0)</f>
        <v>28.342708333333331</v>
      </c>
      <c r="Q30" s="236">
        <f>_xlfn.IFNA(IF(Invoer_Inschrijf[[#This Row],[Productgroep]]="Categorie_1_LCA_Producten",VLOOKUP(F30,Categorie_1_Producten[#All],5,FALSE),VLOOKUP(F30&amp;", "&amp;"Totaal",Database_Productkaarten[#All],12,FALSE)),0)</f>
        <v>2.4</v>
      </c>
      <c r="R30" s="235">
        <f>_xlfn.IFNA(IF(Invoer_Inschrijf[[#This Row],[Productgroep]]="Categorie_1_LCA_Producten",VLOOKUP(Invoer_Inschrijf[[#This Row],[Product]],Categorie_1_Producten[],5,FALSE)*Invoer_Inschrijf[[#This Row],[Aantal Eenheden]],(VLOOKUP(Invoer_Inschrijf[[#This Row],[Product]],Database_Productkaarten[[Product]:[Gewicht '[ton'] / Eenheid]],12,FALSE)*Invoer_Inschrijf[[#This Row],[Aantal Eenheden]])),0)</f>
        <v>68.022499999999994</v>
      </c>
      <c r="S30" s="237"/>
      <c r="T30" s="238">
        <f>MAX(IFERROR($E$2/IF(Invoer_Inschrijf[[#This Row],[Productgroep]]="Categorie_1_LCA_Producten",VLOOKUP(Invoer_Inschrijf[[#This Row],[Product]],Categorie_1_Producten[#All],7,FALSE),VLOOKUP(Invoer_Inschrijf[[#This Row],[Product]]&amp;", "&amp;"Totaal",Database_Productkaarten[#All],15,FALSE))-1,0),0)</f>
        <v>0</v>
      </c>
      <c r="U30" s="352">
        <v>35.5</v>
      </c>
      <c r="V30" s="352" t="s">
        <v>224</v>
      </c>
      <c r="W30" s="353"/>
      <c r="X30" s="411" t="s">
        <v>223</v>
      </c>
      <c r="Y30" s="389">
        <f>_xlfn.IFNA(IF(VLOOKUP(Invoer_Inschrijf[[#This Row],[A5 - Overig Materieel tbv Aanleg]],Brandstofmachines_Omrekentabel[],5,FALSE)=0,_xlfn.IFNA(Invoer_Referentie[[#This Row],[A5 - Verbruik overig materieel '[liter - kWh - kg / uur']]]*VLOOKUP(Invoer_Referentie[[#This Row],[A5 - Overig Materieel tbv Aanleg]],Brandstofmachines_Omrekentabel[],8,FALSE)/VLOOKUP(Invoer_Inschrijf[[#This Row],[A5 - Overig Materieel tbv Aanleg]],Brandstofmachines_Omrekentabel[],8,FALSE),0),_xlfn.IFNA(Invoer_Referentie[[#This Row],[A5 - Verbruik overig materieel '[liter - kWh - kg / uur']]]*VLOOKUP(Invoer_Referentie[[#This Row],[A5 - Overig Materieel tbv Aanleg]],Brandstofmachines_Omrekentabel[],8,FALSE)/VLOOKUP(Invoer_Inschrijf[[#This Row],[A5 - Overig Materieel tbv Aanleg]],Brandstofmachines_Omrekentabel[],8,FALSE),0)),0)</f>
        <v>13.175487465181059</v>
      </c>
      <c r="Z30" s="389">
        <f>Invoer_Referentie[[#This Row],[A5 - Capaciteit overig materieel '[Eenheden / uur']]]</f>
        <v>18</v>
      </c>
      <c r="AA30" s="353"/>
      <c r="AB30" s="353"/>
      <c r="AC30" s="389">
        <f>_xlfn.IFNA(IF(VLOOKUP(Invoer_Inschrijf[[#This Row],[C1 - Overig Materieel tbv Verwijderen]],Brandstofmachines_Omrekentabel[],5,FALSE)=0,_xlfn.IFNA(Invoer_Referentie[[#This Row],[C1 - Verbruik overige materieel '[liter - kWh - kg / uur']]]*VLOOKUP(Invoer_Referentie[[#This Row],[C1 - Overig Materieel tbv Verwijderen]],Brandstofmachines_Omrekentabel[],8,FALSE)/VLOOKUP(Invoer_Inschrijf[[#This Row],[C1 - Overig Materieel tbv Verwijderen]],Brandstofmachines_Omrekentabel[],8,FALSE),0),_xlfn.IFNA(Invoer_Referentie[[#This Row],[C1 - Verbruik overige materieel '[liter - kWh - kg / uur']]]*VLOOKUP(Invoer_Referentie[[#This Row],[C1 - Overig Materieel tbv Verwijderen]],Brandstofmachines_Omrekentabel[],8,FALSE)/VLOOKUP(Invoer_Inschrijf[[#This Row],[C1 - Overig Materieel tbv Verwijderen]],Brandstofmachines_Omrekentabel[],8,FALSE),0)),0)</f>
        <v>0</v>
      </c>
      <c r="AD30" s="389">
        <f>Invoer_Referentie[[#This Row],[C1 - Capaciteit overig materieel '[Eenheden / uur']]]</f>
        <v>50</v>
      </c>
      <c r="AE30" s="353"/>
      <c r="AF30" s="352"/>
      <c r="AG30" s="353"/>
      <c r="AH30" s="235"/>
      <c r="BK30" s="224"/>
      <c r="BL30" s="224"/>
      <c r="BM30" s="224"/>
    </row>
    <row r="31" spans="2:76">
      <c r="B31" s="320" t="s">
        <v>265</v>
      </c>
      <c r="C31" s="235" t="s">
        <v>45</v>
      </c>
      <c r="D31" s="253"/>
      <c r="E31" s="1" t="s">
        <v>55</v>
      </c>
      <c r="F31" s="347" t="s">
        <v>266</v>
      </c>
      <c r="G31" s="399">
        <f>_xlfn.IFNA(IF(Invoer_Inschrijf[[#This Row],[Productgroep]]="Categorie_1_LCA_Producten",1,(VLOOKUP(Invoer_Inschrijf[[#This Row],[Product]],Database_Productkaarten[[Product]:[Comment]],64,FALSE))),0)</f>
        <v>3</v>
      </c>
      <c r="H31" s="320">
        <f>_xlfn.IFNA(IF(Invoer_Inschrijf[[#This Row],[Productgroep]]="Categorie_1_LCA_Producten",VLOOKUP(Invoer_Inschrijf[[#This Row],[Product]],Categorie_1_Producten[],2,FALSE),VLOOKUP(Invoer_Inschrijf[[#This Row],[Product]],Database_Productkaarten[[Product]:[Category]],60,FALSE)),0)</f>
        <v>0</v>
      </c>
      <c r="I31" s="260" t="str">
        <f>_xlfn.IFNA(VLOOKUP(Invoer_Inschrijf[[#This Row],[Product]],Database_Productkaarten[[Product]:[Producttype]],3,FALSE),VLOOKUP(Invoer_Inschrijf[[#This Row],[Product]],Categorie_1_Producten[#All],3,FALSE))</f>
        <v>Opsluitband</v>
      </c>
      <c r="J31" s="238">
        <v>1400</v>
      </c>
      <c r="K31" s="320" t="str">
        <f>_xlfn.IFNA(IF(Invoer_Inschrijf[[#This Row],[Productgroep]]="Categorie_1_LCA_Producten",VLOOKUP(Invoer_Inschrijf[[#This Row],[Product]],Categorie_1_Producten[],4,FALSE),VLOOKUP(Invoer_Inschrijf[[#This Row],[Product]],Database_Productkaarten[[Product]:[Eenheid]],4,FALSE)),0)</f>
        <v>m1</v>
      </c>
      <c r="L31" s="320"/>
      <c r="M31" s="320"/>
      <c r="N31" s="260"/>
      <c r="O31" s="237">
        <f>Invoer_Inschrijf[[#This Row],[Lengte'[m']]]*Invoer_Inschrijf[[#This Row],[Breedte '[m']]]</f>
        <v>0</v>
      </c>
      <c r="P31" s="235">
        <f>IFERROR(IF(Invoer_Inschrijf[[#This Row],[Oppervlakte '[m2']]]*Invoer_Inschrijf[[#This Row],[Dikte '[m']]]=0,Invoer_Inschrijf[[#This Row],[Gewicht '[ton']]]/Invoer_Inschrijf[[#This Row],[Soortelijk gewicht '[ton / m3']]],Invoer_Inschrijf[[#This Row],[Oppervlakte '[m2']]]*Invoer_Inschrijf[[#This Row],[Dikte '[m']]]),0)</f>
        <v>49.765625000000007</v>
      </c>
      <c r="Q31" s="236">
        <f>_xlfn.IFNA(IF(Invoer_Inschrijf[[#This Row],[Productgroep]]="Categorie_1_LCA_Producten",VLOOKUP(F31,Categorie_1_Producten[#All],5,FALSE),VLOOKUP(F31&amp;", "&amp;"Totaal",Database_Productkaarten[#All],12,FALSE)),0)</f>
        <v>2.4</v>
      </c>
      <c r="R31" s="235">
        <f>_xlfn.IFNA(IF(Invoer_Inschrijf[[#This Row],[Productgroep]]="Categorie_1_LCA_Producten",VLOOKUP(Invoer_Inschrijf[[#This Row],[Product]],Categorie_1_Producten[],5,FALSE)*Invoer_Inschrijf[[#This Row],[Aantal Eenheden]],(VLOOKUP(Invoer_Inschrijf[[#This Row],[Product]],Database_Productkaarten[[Product]:[Gewicht '[ton'] / Eenheid]],12,FALSE)*Invoer_Inschrijf[[#This Row],[Aantal Eenheden]])),0)</f>
        <v>119.43750000000001</v>
      </c>
      <c r="S31" s="237"/>
      <c r="T31" s="238">
        <f>MAX(IFERROR($E$2/IF(Invoer_Inschrijf[[#This Row],[Productgroep]]="Categorie_1_LCA_Producten",VLOOKUP(Invoer_Inschrijf[[#This Row],[Product]],Categorie_1_Producten[#All],7,FALSE),VLOOKUP(Invoer_Inschrijf[[#This Row],[Product]]&amp;", "&amp;"Totaal",Database_Productkaarten[#All],15,FALSE))-1,0),0)</f>
        <v>0</v>
      </c>
      <c r="U31" s="352">
        <v>35.5</v>
      </c>
      <c r="V31" s="352" t="s">
        <v>224</v>
      </c>
      <c r="W31" s="353"/>
      <c r="X31" s="411" t="s">
        <v>223</v>
      </c>
      <c r="Y31" s="389">
        <f>_xlfn.IFNA(IF(VLOOKUP(Invoer_Inschrijf[[#This Row],[A5 - Overig Materieel tbv Aanleg]],Brandstofmachines_Omrekentabel[],5,FALSE)=0,_xlfn.IFNA(Invoer_Referentie[[#This Row],[A5 - Verbruik overig materieel '[liter - kWh - kg / uur']]]*VLOOKUP(Invoer_Referentie[[#This Row],[A5 - Overig Materieel tbv Aanleg]],Brandstofmachines_Omrekentabel[],8,FALSE)/VLOOKUP(Invoer_Inschrijf[[#This Row],[A5 - Overig Materieel tbv Aanleg]],Brandstofmachines_Omrekentabel[],8,FALSE),0),_xlfn.IFNA(Invoer_Referentie[[#This Row],[A5 - Verbruik overig materieel '[liter - kWh - kg / uur']]]*VLOOKUP(Invoer_Referentie[[#This Row],[A5 - Overig Materieel tbv Aanleg]],Brandstofmachines_Omrekentabel[],8,FALSE)/VLOOKUP(Invoer_Inschrijf[[#This Row],[A5 - Overig Materieel tbv Aanleg]],Brandstofmachines_Omrekentabel[],8,FALSE),0)),0)</f>
        <v>13.175487465181059</v>
      </c>
      <c r="Z31" s="389">
        <f>Invoer_Referentie[[#This Row],[A5 - Capaciteit overig materieel '[Eenheden / uur']]]</f>
        <v>16</v>
      </c>
      <c r="AA31" s="353"/>
      <c r="AB31" s="353"/>
      <c r="AC31" s="389">
        <f>_xlfn.IFNA(IF(VLOOKUP(Invoer_Inschrijf[[#This Row],[C1 - Overig Materieel tbv Verwijderen]],Brandstofmachines_Omrekentabel[],5,FALSE)=0,_xlfn.IFNA(Invoer_Referentie[[#This Row],[C1 - Verbruik overige materieel '[liter - kWh - kg / uur']]]*VLOOKUP(Invoer_Referentie[[#This Row],[C1 - Overig Materieel tbv Verwijderen]],Brandstofmachines_Omrekentabel[],8,FALSE)/VLOOKUP(Invoer_Inschrijf[[#This Row],[C1 - Overig Materieel tbv Verwijderen]],Brandstofmachines_Omrekentabel[],8,FALSE),0),_xlfn.IFNA(Invoer_Referentie[[#This Row],[C1 - Verbruik overige materieel '[liter - kWh - kg / uur']]]*VLOOKUP(Invoer_Referentie[[#This Row],[C1 - Overig Materieel tbv Verwijderen]],Brandstofmachines_Omrekentabel[],8,FALSE)/VLOOKUP(Invoer_Inschrijf[[#This Row],[C1 - Overig Materieel tbv Verwijderen]],Brandstofmachines_Omrekentabel[],8,FALSE),0)),0)</f>
        <v>0</v>
      </c>
      <c r="AD31" s="389">
        <f>Invoer_Referentie[[#This Row],[C1 - Capaciteit overig materieel '[Eenheden / uur']]]</f>
        <v>50</v>
      </c>
      <c r="AE31" s="353"/>
      <c r="AF31" s="352"/>
      <c r="AG31" s="353"/>
      <c r="AH31" s="235"/>
      <c r="BK31" s="224"/>
      <c r="BL31" s="224"/>
      <c r="BM31" s="224"/>
    </row>
    <row r="32" spans="2:76">
      <c r="B32" s="320" t="s">
        <v>267</v>
      </c>
      <c r="C32" s="235" t="s">
        <v>45</v>
      </c>
      <c r="D32" s="253"/>
      <c r="E32" s="1" t="s">
        <v>55</v>
      </c>
      <c r="F32" s="347" t="s">
        <v>268</v>
      </c>
      <c r="G32" s="399">
        <f>_xlfn.IFNA(IF(Invoer_Inschrijf[[#This Row],[Productgroep]]="Categorie_1_LCA_Producten",1,(VLOOKUP(Invoer_Inschrijf[[#This Row],[Product]],Database_Productkaarten[[Product]:[Comment]],64,FALSE))),0)</f>
        <v>3</v>
      </c>
      <c r="H32" s="320">
        <f>_xlfn.IFNA(IF(Invoer_Inschrijf[[#This Row],[Productgroep]]="Categorie_1_LCA_Producten",VLOOKUP(Invoer_Inschrijf[[#This Row],[Product]],Categorie_1_Producten[],2,FALSE),VLOOKUP(Invoer_Inschrijf[[#This Row],[Product]],Database_Productkaarten[[Product]:[Category]],60,FALSE)),0)</f>
        <v>0</v>
      </c>
      <c r="I32" s="260" t="str">
        <f>_xlfn.IFNA(VLOOKUP(Invoer_Inschrijf[[#This Row],[Product]],Database_Productkaarten[[Product]:[Producttype]],3,FALSE),VLOOKUP(Invoer_Inschrijf[[#This Row],[Product]],Categorie_1_Producten[#All],3,FALSE))</f>
        <v>Gebakken klinker</v>
      </c>
      <c r="J32" s="238">
        <v>6265</v>
      </c>
      <c r="K32" s="320" t="str">
        <f>_xlfn.IFNA(IF(Invoer_Inschrijf[[#This Row],[Productgroep]]="Categorie_1_LCA_Producten",VLOOKUP(Invoer_Inschrijf[[#This Row],[Product]],Categorie_1_Producten[],4,FALSE),VLOOKUP(Invoer_Inschrijf[[#This Row],[Product]],Database_Productkaarten[[Product]:[Eenheid]],4,FALSE)),0)</f>
        <v>m2</v>
      </c>
      <c r="L32" s="320"/>
      <c r="M32" s="320"/>
      <c r="N32" s="260"/>
      <c r="O32" s="237">
        <f>Invoer_Inschrijf[[#This Row],[Lengte'[m']]]*Invoer_Inschrijf[[#This Row],[Breedte '[m']]]</f>
        <v>0</v>
      </c>
      <c r="P32" s="235">
        <f>IFERROR(IF(Invoer_Inschrijf[[#This Row],[Oppervlakte '[m2']]]*Invoer_Inschrijf[[#This Row],[Dikte '[m']]]=0,Invoer_Inschrijf[[#This Row],[Gewicht '[ton']]]/Invoer_Inschrijf[[#This Row],[Soortelijk gewicht '[ton / m3']]],Invoer_Inschrijf[[#This Row],[Oppervlakte '[m2']]]*Invoer_Inschrijf[[#This Row],[Dikte '[m']]]),0)</f>
        <v>0</v>
      </c>
      <c r="Q32" s="236">
        <f>_xlfn.IFNA(IF(Invoer_Inschrijf[[#This Row],[Productgroep]]="Categorie_1_LCA_Producten",VLOOKUP(F32,Categorie_1_Producten[#All],5,FALSE),VLOOKUP(F32&amp;", "&amp;"Totaal",Database_Productkaarten[#All],12,FALSE)),0)</f>
        <v>0</v>
      </c>
      <c r="R32" s="235">
        <f>_xlfn.IFNA(IF(Invoer_Inschrijf[[#This Row],[Productgroep]]="Categorie_1_LCA_Producten",VLOOKUP(Invoer_Inschrijf[[#This Row],[Product]],Categorie_1_Producten[],5,FALSE)*Invoer_Inschrijf[[#This Row],[Aantal Eenheden]],(VLOOKUP(Invoer_Inschrijf[[#This Row],[Product]],Database_Productkaarten[[Product]:[Gewicht '[ton'] / Eenheid]],12,FALSE)*Invoer_Inschrijf[[#This Row],[Aantal Eenheden]])),0)</f>
        <v>454.21249999999998</v>
      </c>
      <c r="S32" s="237"/>
      <c r="T32" s="238">
        <f>MAX(IFERROR($E$2/IF(Invoer_Inschrijf[[#This Row],[Productgroep]]="Categorie_1_LCA_Producten",VLOOKUP(Invoer_Inschrijf[[#This Row],[Product]],Categorie_1_Producten[#All],7,FALSE),VLOOKUP(Invoer_Inschrijf[[#This Row],[Product]]&amp;", "&amp;"Totaal",Database_Productkaarten[#All],15,FALSE))-1,0),0)</f>
        <v>0</v>
      </c>
      <c r="U32" s="352">
        <v>80</v>
      </c>
      <c r="V32" s="352" t="s">
        <v>224</v>
      </c>
      <c r="W32" s="353"/>
      <c r="X32" s="411" t="s">
        <v>223</v>
      </c>
      <c r="Y32" s="389">
        <f>_xlfn.IFNA(IF(VLOOKUP(Invoer_Inschrijf[[#This Row],[A5 - Overig Materieel tbv Aanleg]],Brandstofmachines_Omrekentabel[],5,FALSE)=0,_xlfn.IFNA(Invoer_Referentie[[#This Row],[A5 - Verbruik overig materieel '[liter - kWh - kg / uur']]]*VLOOKUP(Invoer_Referentie[[#This Row],[A5 - Overig Materieel tbv Aanleg]],Brandstofmachines_Omrekentabel[],8,FALSE)/VLOOKUP(Invoer_Inschrijf[[#This Row],[A5 - Overig Materieel tbv Aanleg]],Brandstofmachines_Omrekentabel[],8,FALSE),0),_xlfn.IFNA(Invoer_Referentie[[#This Row],[A5 - Verbruik overig materieel '[liter - kWh - kg / uur']]]*VLOOKUP(Invoer_Referentie[[#This Row],[A5 - Overig Materieel tbv Aanleg]],Brandstofmachines_Omrekentabel[],8,FALSE)/VLOOKUP(Invoer_Inschrijf[[#This Row],[A5 - Overig Materieel tbv Aanleg]],Brandstofmachines_Omrekentabel[],8,FALSE),0)),0)</f>
        <v>19.5</v>
      </c>
      <c r="Z32" s="389">
        <f>Invoer_Referentie[[#This Row],[A5 - Capaciteit overig materieel '[Eenheden / uur']]]</f>
        <v>12.004801920768308</v>
      </c>
      <c r="AA32" s="353"/>
      <c r="AB32" s="353"/>
      <c r="AC32" s="389">
        <f>_xlfn.IFNA(IF(VLOOKUP(Invoer_Inschrijf[[#This Row],[C1 - Overig Materieel tbv Verwijderen]],Brandstofmachines_Omrekentabel[],5,FALSE)=0,_xlfn.IFNA(Invoer_Referentie[[#This Row],[C1 - Verbruik overige materieel '[liter - kWh - kg / uur']]]*VLOOKUP(Invoer_Referentie[[#This Row],[C1 - Overig Materieel tbv Verwijderen]],Brandstofmachines_Omrekentabel[],8,FALSE)/VLOOKUP(Invoer_Inschrijf[[#This Row],[C1 - Overig Materieel tbv Verwijderen]],Brandstofmachines_Omrekentabel[],8,FALSE),0),_xlfn.IFNA(Invoer_Referentie[[#This Row],[C1 - Verbruik overige materieel '[liter - kWh - kg / uur']]]*VLOOKUP(Invoer_Referentie[[#This Row],[C1 - Overig Materieel tbv Verwijderen]],Brandstofmachines_Omrekentabel[],8,FALSE)/VLOOKUP(Invoer_Inschrijf[[#This Row],[C1 - Overig Materieel tbv Verwijderen]],Brandstofmachines_Omrekentabel[],8,FALSE),0)),0)</f>
        <v>0</v>
      </c>
      <c r="AD32" s="389">
        <f>Invoer_Referentie[[#This Row],[C1 - Capaciteit overig materieel '[Eenheden / uur']]]</f>
        <v>125</v>
      </c>
      <c r="AE32" s="353"/>
      <c r="AF32" s="352"/>
      <c r="AG32" s="353"/>
      <c r="AH32" s="235"/>
      <c r="BK32" s="224"/>
      <c r="BL32" s="224"/>
      <c r="BM32" s="224"/>
    </row>
    <row r="33" spans="2:65">
      <c r="B33" s="320" t="s">
        <v>269</v>
      </c>
      <c r="C33" s="235" t="s">
        <v>45</v>
      </c>
      <c r="D33" s="253"/>
      <c r="E33" s="1" t="s">
        <v>55</v>
      </c>
      <c r="F33" s="347" t="s">
        <v>268</v>
      </c>
      <c r="G33" s="399">
        <f>_xlfn.IFNA(IF(Invoer_Inschrijf[[#This Row],[Productgroep]]="Categorie_1_LCA_Producten",1,(VLOOKUP(Invoer_Inschrijf[[#This Row],[Product]],Database_Productkaarten[[Product]:[Comment]],64,FALSE))),0)</f>
        <v>3</v>
      </c>
      <c r="H33" s="320">
        <f>_xlfn.IFNA(IF(Invoer_Inschrijf[[#This Row],[Productgroep]]="Categorie_1_LCA_Producten",VLOOKUP(Invoer_Inschrijf[[#This Row],[Product]],Categorie_1_Producten[],2,FALSE),VLOOKUP(Invoer_Inschrijf[[#This Row],[Product]],Database_Productkaarten[[Product]:[Category]],60,FALSE)),0)</f>
        <v>0</v>
      </c>
      <c r="I33" s="260" t="str">
        <f>_xlfn.IFNA(VLOOKUP(Invoer_Inschrijf[[#This Row],[Product]],Database_Productkaarten[[Product]:[Producttype]],3,FALSE),VLOOKUP(Invoer_Inschrijf[[#This Row],[Product]],Categorie_1_Producten[#All],3,FALSE))</f>
        <v>Gebakken klinker</v>
      </c>
      <c r="J33" s="238">
        <v>9275</v>
      </c>
      <c r="K33" s="320" t="str">
        <f>_xlfn.IFNA(IF(Invoer_Inschrijf[[#This Row],[Productgroep]]="Categorie_1_LCA_Producten",VLOOKUP(Invoer_Inschrijf[[#This Row],[Product]],Categorie_1_Producten[],4,FALSE),VLOOKUP(Invoer_Inschrijf[[#This Row],[Product]],Database_Productkaarten[[Product]:[Eenheid]],4,FALSE)),0)</f>
        <v>m2</v>
      </c>
      <c r="L33" s="320"/>
      <c r="M33" s="320"/>
      <c r="N33" s="260"/>
      <c r="O33" s="237">
        <f>Invoer_Inschrijf[[#This Row],[Lengte'[m']]]*Invoer_Inschrijf[[#This Row],[Breedte '[m']]]</f>
        <v>0</v>
      </c>
      <c r="P33" s="235">
        <f>IFERROR(IF(Invoer_Inschrijf[[#This Row],[Oppervlakte '[m2']]]*Invoer_Inschrijf[[#This Row],[Dikte '[m']]]=0,Invoer_Inschrijf[[#This Row],[Gewicht '[ton']]]/Invoer_Inschrijf[[#This Row],[Soortelijk gewicht '[ton / m3']]],Invoer_Inschrijf[[#This Row],[Oppervlakte '[m2']]]*Invoer_Inschrijf[[#This Row],[Dikte '[m']]]),0)</f>
        <v>0</v>
      </c>
      <c r="Q33" s="236">
        <f>_xlfn.IFNA(IF(Invoer_Inschrijf[[#This Row],[Productgroep]]="Categorie_1_LCA_Producten",VLOOKUP(F33,Categorie_1_Producten[#All],5,FALSE),VLOOKUP(F33&amp;", "&amp;"Totaal",Database_Productkaarten[#All],12,FALSE)),0)</f>
        <v>0</v>
      </c>
      <c r="R33" s="235">
        <f>_xlfn.IFNA(IF(Invoer_Inschrijf[[#This Row],[Productgroep]]="Categorie_1_LCA_Producten",VLOOKUP(Invoer_Inschrijf[[#This Row],[Product]],Categorie_1_Producten[],5,FALSE)*Invoer_Inschrijf[[#This Row],[Aantal Eenheden]],(VLOOKUP(Invoer_Inschrijf[[#This Row],[Product]],Database_Productkaarten[[Product]:[Gewicht '[ton'] / Eenheid]],12,FALSE)*Invoer_Inschrijf[[#This Row],[Aantal Eenheden]])),0)</f>
        <v>672.4375</v>
      </c>
      <c r="S33" s="237"/>
      <c r="T33" s="238">
        <f>MAX(IFERROR($E$2/IF(Invoer_Inschrijf[[#This Row],[Productgroep]]="Categorie_1_LCA_Producten",VLOOKUP(Invoer_Inschrijf[[#This Row],[Product]],Categorie_1_Producten[#All],7,FALSE),VLOOKUP(Invoer_Inschrijf[[#This Row],[Product]]&amp;", "&amp;"Totaal",Database_Productkaarten[#All],15,FALSE))-1,0),0)</f>
        <v>0</v>
      </c>
      <c r="U33" s="352">
        <v>80</v>
      </c>
      <c r="V33" s="352" t="s">
        <v>224</v>
      </c>
      <c r="W33" s="353"/>
      <c r="X33" s="411" t="s">
        <v>223</v>
      </c>
      <c r="Y33" s="389">
        <f>_xlfn.IFNA(IF(VLOOKUP(Invoer_Inschrijf[[#This Row],[A5 - Overig Materieel tbv Aanleg]],Brandstofmachines_Omrekentabel[],5,FALSE)=0,_xlfn.IFNA(Invoer_Referentie[[#This Row],[A5 - Verbruik overig materieel '[liter - kWh - kg / uur']]]*VLOOKUP(Invoer_Referentie[[#This Row],[A5 - Overig Materieel tbv Aanleg]],Brandstofmachines_Omrekentabel[],8,FALSE)/VLOOKUP(Invoer_Inschrijf[[#This Row],[A5 - Overig Materieel tbv Aanleg]],Brandstofmachines_Omrekentabel[],8,FALSE),0),_xlfn.IFNA(Invoer_Referentie[[#This Row],[A5 - Verbruik overig materieel '[liter - kWh - kg / uur']]]*VLOOKUP(Invoer_Referentie[[#This Row],[A5 - Overig Materieel tbv Aanleg]],Brandstofmachines_Omrekentabel[],8,FALSE)/VLOOKUP(Invoer_Inschrijf[[#This Row],[A5 - Overig Materieel tbv Aanleg]],Brandstofmachines_Omrekentabel[],8,FALSE),0)),0)</f>
        <v>19.5</v>
      </c>
      <c r="Z33" s="389">
        <f>Invoer_Referentie[[#This Row],[A5 - Capaciteit overig materieel '[Eenheden / uur']]]</f>
        <v>12.004801920768308</v>
      </c>
      <c r="AA33" s="353"/>
      <c r="AB33" s="353"/>
      <c r="AC33" s="389">
        <f>_xlfn.IFNA(IF(VLOOKUP(Invoer_Inschrijf[[#This Row],[C1 - Overig Materieel tbv Verwijderen]],Brandstofmachines_Omrekentabel[],5,FALSE)=0,_xlfn.IFNA(Invoer_Referentie[[#This Row],[C1 - Verbruik overige materieel '[liter - kWh - kg / uur']]]*VLOOKUP(Invoer_Referentie[[#This Row],[C1 - Overig Materieel tbv Verwijderen]],Brandstofmachines_Omrekentabel[],8,FALSE)/VLOOKUP(Invoer_Inschrijf[[#This Row],[C1 - Overig Materieel tbv Verwijderen]],Brandstofmachines_Omrekentabel[],8,FALSE),0),_xlfn.IFNA(Invoer_Referentie[[#This Row],[C1 - Verbruik overige materieel '[liter - kWh - kg / uur']]]*VLOOKUP(Invoer_Referentie[[#This Row],[C1 - Overig Materieel tbv Verwijderen]],Brandstofmachines_Omrekentabel[],8,FALSE)/VLOOKUP(Invoer_Inschrijf[[#This Row],[C1 - Overig Materieel tbv Verwijderen]],Brandstofmachines_Omrekentabel[],8,FALSE),0)),0)</f>
        <v>0</v>
      </c>
      <c r="AD33" s="389">
        <f>Invoer_Referentie[[#This Row],[C1 - Capaciteit overig materieel '[Eenheden / uur']]]</f>
        <v>125</v>
      </c>
      <c r="AE33" s="353"/>
      <c r="AF33" s="352"/>
      <c r="AG33" s="353"/>
      <c r="AH33" s="235"/>
      <c r="BK33" s="224"/>
      <c r="BL33" s="224"/>
      <c r="BM33" s="224"/>
    </row>
    <row r="34" spans="2:65">
      <c r="B34" s="320" t="s">
        <v>270</v>
      </c>
      <c r="C34" s="235" t="s">
        <v>45</v>
      </c>
      <c r="D34" s="253"/>
      <c r="E34" s="1" t="s">
        <v>55</v>
      </c>
      <c r="F34" s="347" t="s">
        <v>268</v>
      </c>
      <c r="G34" s="399">
        <f>_xlfn.IFNA(IF(Invoer_Inschrijf[[#This Row],[Productgroep]]="Categorie_1_LCA_Producten",1,(VLOOKUP(Invoer_Inschrijf[[#This Row],[Product]],Database_Productkaarten[[Product]:[Comment]],64,FALSE))),0)</f>
        <v>3</v>
      </c>
      <c r="H34" s="320">
        <f>_xlfn.IFNA(IF(Invoer_Inschrijf[[#This Row],[Productgroep]]="Categorie_1_LCA_Producten",VLOOKUP(Invoer_Inschrijf[[#This Row],[Product]],Categorie_1_Producten[],2,FALSE),VLOOKUP(Invoer_Inschrijf[[#This Row],[Product]],Database_Productkaarten[[Product]:[Category]],60,FALSE)),0)</f>
        <v>0</v>
      </c>
      <c r="I34" s="260" t="str">
        <f>_xlfn.IFNA(VLOOKUP(Invoer_Inschrijf[[#This Row],[Product]],Database_Productkaarten[[Product]:[Producttype]],3,FALSE),VLOOKUP(Invoer_Inschrijf[[#This Row],[Product]],Categorie_1_Producten[#All],3,FALSE))</f>
        <v>Gebakken klinker</v>
      </c>
      <c r="J34" s="238">
        <v>625</v>
      </c>
      <c r="K34" s="320" t="str">
        <f>_xlfn.IFNA(IF(Invoer_Inschrijf[[#This Row],[Productgroep]]="Categorie_1_LCA_Producten",VLOOKUP(Invoer_Inschrijf[[#This Row],[Product]],Categorie_1_Producten[],4,FALSE),VLOOKUP(Invoer_Inschrijf[[#This Row],[Product]],Database_Productkaarten[[Product]:[Eenheid]],4,FALSE)),0)</f>
        <v>m2</v>
      </c>
      <c r="L34" s="320"/>
      <c r="M34" s="320"/>
      <c r="N34" s="260"/>
      <c r="O34" s="237">
        <f>Invoer_Inschrijf[[#This Row],[Lengte'[m']]]*Invoer_Inschrijf[[#This Row],[Breedte '[m']]]</f>
        <v>0</v>
      </c>
      <c r="P34" s="235">
        <f>IFERROR(IF(Invoer_Inschrijf[[#This Row],[Oppervlakte '[m2']]]*Invoer_Inschrijf[[#This Row],[Dikte '[m']]]=0,Invoer_Inschrijf[[#This Row],[Gewicht '[ton']]]/Invoer_Inschrijf[[#This Row],[Soortelijk gewicht '[ton / m3']]],Invoer_Inschrijf[[#This Row],[Oppervlakte '[m2']]]*Invoer_Inschrijf[[#This Row],[Dikte '[m']]]),0)</f>
        <v>0</v>
      </c>
      <c r="Q34" s="236">
        <f>_xlfn.IFNA(IF(Invoer_Inschrijf[[#This Row],[Productgroep]]="Categorie_1_LCA_Producten",VLOOKUP(F34,Categorie_1_Producten[#All],5,FALSE),VLOOKUP(F34&amp;", "&amp;"Totaal",Database_Productkaarten[#All],12,FALSE)),0)</f>
        <v>0</v>
      </c>
      <c r="R34" s="235">
        <f>_xlfn.IFNA(IF(Invoer_Inschrijf[[#This Row],[Productgroep]]="Categorie_1_LCA_Producten",VLOOKUP(Invoer_Inschrijf[[#This Row],[Product]],Categorie_1_Producten[],5,FALSE)*Invoer_Inschrijf[[#This Row],[Aantal Eenheden]],(VLOOKUP(Invoer_Inschrijf[[#This Row],[Product]],Database_Productkaarten[[Product]:[Gewicht '[ton'] / Eenheid]],12,FALSE)*Invoer_Inschrijf[[#This Row],[Aantal Eenheden]])),0)</f>
        <v>45.3125</v>
      </c>
      <c r="S34" s="237"/>
      <c r="T34" s="238">
        <f>MAX(IFERROR($E$2/IF(Invoer_Inschrijf[[#This Row],[Productgroep]]="Categorie_1_LCA_Producten",VLOOKUP(Invoer_Inschrijf[[#This Row],[Product]],Categorie_1_Producten[#All],7,FALSE),VLOOKUP(Invoer_Inschrijf[[#This Row],[Product]]&amp;", "&amp;"Totaal",Database_Productkaarten[#All],15,FALSE))-1,0),0)</f>
        <v>0</v>
      </c>
      <c r="U34" s="352">
        <v>80</v>
      </c>
      <c r="V34" s="352" t="s">
        <v>224</v>
      </c>
      <c r="W34" s="353"/>
      <c r="X34" s="411" t="s">
        <v>223</v>
      </c>
      <c r="Y34" s="389">
        <f>_xlfn.IFNA(IF(VLOOKUP(Invoer_Inschrijf[[#This Row],[A5 - Overig Materieel tbv Aanleg]],Brandstofmachines_Omrekentabel[],5,FALSE)=0,_xlfn.IFNA(Invoer_Referentie[[#This Row],[A5 - Verbruik overig materieel '[liter - kWh - kg / uur']]]*VLOOKUP(Invoer_Referentie[[#This Row],[A5 - Overig Materieel tbv Aanleg]],Brandstofmachines_Omrekentabel[],8,FALSE)/VLOOKUP(Invoer_Inschrijf[[#This Row],[A5 - Overig Materieel tbv Aanleg]],Brandstofmachines_Omrekentabel[],8,FALSE),0),_xlfn.IFNA(Invoer_Referentie[[#This Row],[A5 - Verbruik overig materieel '[liter - kWh - kg / uur']]]*VLOOKUP(Invoer_Referentie[[#This Row],[A5 - Overig Materieel tbv Aanleg]],Brandstofmachines_Omrekentabel[],8,FALSE)/VLOOKUP(Invoer_Inschrijf[[#This Row],[A5 - Overig Materieel tbv Aanleg]],Brandstofmachines_Omrekentabel[],8,FALSE),0)),0)</f>
        <v>19.5</v>
      </c>
      <c r="Z34" s="389">
        <f>Invoer_Referentie[[#This Row],[A5 - Capaciteit overig materieel '[Eenheden / uur']]]</f>
        <v>12.004801920768308</v>
      </c>
      <c r="AA34" s="353"/>
      <c r="AB34" s="353"/>
      <c r="AC34" s="389">
        <f>_xlfn.IFNA(IF(VLOOKUP(Invoer_Inschrijf[[#This Row],[C1 - Overig Materieel tbv Verwijderen]],Brandstofmachines_Omrekentabel[],5,FALSE)=0,_xlfn.IFNA(Invoer_Referentie[[#This Row],[C1 - Verbruik overige materieel '[liter - kWh - kg / uur']]]*VLOOKUP(Invoer_Referentie[[#This Row],[C1 - Overig Materieel tbv Verwijderen]],Brandstofmachines_Omrekentabel[],8,FALSE)/VLOOKUP(Invoer_Inschrijf[[#This Row],[C1 - Overig Materieel tbv Verwijderen]],Brandstofmachines_Omrekentabel[],8,FALSE),0),_xlfn.IFNA(Invoer_Referentie[[#This Row],[C1 - Verbruik overige materieel '[liter - kWh - kg / uur']]]*VLOOKUP(Invoer_Referentie[[#This Row],[C1 - Overig Materieel tbv Verwijderen]],Brandstofmachines_Omrekentabel[],8,FALSE)/VLOOKUP(Invoer_Inschrijf[[#This Row],[C1 - Overig Materieel tbv Verwijderen]],Brandstofmachines_Omrekentabel[],8,FALSE),0)),0)</f>
        <v>0</v>
      </c>
      <c r="AD34" s="389">
        <f>Invoer_Referentie[[#This Row],[C1 - Capaciteit overig materieel '[Eenheden / uur']]]</f>
        <v>125</v>
      </c>
      <c r="AE34" s="353"/>
      <c r="AF34" s="352"/>
      <c r="AG34" s="353"/>
      <c r="AH34" s="235"/>
      <c r="BK34" s="224"/>
      <c r="BL34" s="224"/>
      <c r="BM34" s="224"/>
    </row>
    <row r="35" spans="2:65">
      <c r="B35" s="320" t="s">
        <v>271</v>
      </c>
      <c r="C35" s="235" t="s">
        <v>45</v>
      </c>
      <c r="D35" s="253"/>
      <c r="E35" s="1" t="s">
        <v>55</v>
      </c>
      <c r="F35" s="347" t="s">
        <v>268</v>
      </c>
      <c r="G35" s="399">
        <f>_xlfn.IFNA(IF(Invoer_Inschrijf[[#This Row],[Productgroep]]="Categorie_1_LCA_Producten",1,(VLOOKUP(Invoer_Inschrijf[[#This Row],[Product]],Database_Productkaarten[[Product]:[Comment]],64,FALSE))),0)</f>
        <v>3</v>
      </c>
      <c r="H35" s="320">
        <f>_xlfn.IFNA(IF(Invoer_Inschrijf[[#This Row],[Productgroep]]="Categorie_1_LCA_Producten",VLOOKUP(Invoer_Inschrijf[[#This Row],[Product]],Categorie_1_Producten[],2,FALSE),VLOOKUP(Invoer_Inschrijf[[#This Row],[Product]],Database_Productkaarten[[Product]:[Category]],60,FALSE)),0)</f>
        <v>0</v>
      </c>
      <c r="I35" s="260" t="str">
        <f>_xlfn.IFNA(VLOOKUP(Invoer_Inschrijf[[#This Row],[Product]],Database_Productkaarten[[Product]:[Producttype]],3,FALSE),VLOOKUP(Invoer_Inschrijf[[#This Row],[Product]],Categorie_1_Producten[#All],3,FALSE))</f>
        <v>Gebakken klinker</v>
      </c>
      <c r="J35" s="238">
        <v>710</v>
      </c>
      <c r="K35" s="320" t="str">
        <f>_xlfn.IFNA(IF(Invoer_Inschrijf[[#This Row],[Productgroep]]="Categorie_1_LCA_Producten",VLOOKUP(Invoer_Inschrijf[[#This Row],[Product]],Categorie_1_Producten[],4,FALSE),VLOOKUP(Invoer_Inschrijf[[#This Row],[Product]],Database_Productkaarten[[Product]:[Eenheid]],4,FALSE)),0)</f>
        <v>m2</v>
      </c>
      <c r="L35" s="320"/>
      <c r="M35" s="320"/>
      <c r="N35" s="260"/>
      <c r="O35" s="237">
        <f>Invoer_Inschrijf[[#This Row],[Lengte'[m']]]*Invoer_Inschrijf[[#This Row],[Breedte '[m']]]</f>
        <v>0</v>
      </c>
      <c r="P35" s="235">
        <f>IFERROR(IF(Invoer_Inschrijf[[#This Row],[Oppervlakte '[m2']]]*Invoer_Inschrijf[[#This Row],[Dikte '[m']]]=0,Invoer_Inschrijf[[#This Row],[Gewicht '[ton']]]/Invoer_Inschrijf[[#This Row],[Soortelijk gewicht '[ton / m3']]],Invoer_Inschrijf[[#This Row],[Oppervlakte '[m2']]]*Invoer_Inschrijf[[#This Row],[Dikte '[m']]]),0)</f>
        <v>0</v>
      </c>
      <c r="Q35" s="236">
        <f>_xlfn.IFNA(IF(Invoer_Inschrijf[[#This Row],[Productgroep]]="Categorie_1_LCA_Producten",VLOOKUP(F35,Categorie_1_Producten[#All],5,FALSE),VLOOKUP(F35&amp;", "&amp;"Totaal",Database_Productkaarten[#All],12,FALSE)),0)</f>
        <v>0</v>
      </c>
      <c r="R35" s="235">
        <f>_xlfn.IFNA(IF(Invoer_Inschrijf[[#This Row],[Productgroep]]="Categorie_1_LCA_Producten",VLOOKUP(Invoer_Inschrijf[[#This Row],[Product]],Categorie_1_Producten[],5,FALSE)*Invoer_Inschrijf[[#This Row],[Aantal Eenheden]],(VLOOKUP(Invoer_Inschrijf[[#This Row],[Product]],Database_Productkaarten[[Product]:[Gewicht '[ton'] / Eenheid]],12,FALSE)*Invoer_Inschrijf[[#This Row],[Aantal Eenheden]])),0)</f>
        <v>51.474999999999994</v>
      </c>
      <c r="S35" s="237"/>
      <c r="T35" s="238">
        <f>MAX(IFERROR($E$2/IF(Invoer_Inschrijf[[#This Row],[Productgroep]]="Categorie_1_LCA_Producten",VLOOKUP(Invoer_Inschrijf[[#This Row],[Product]],Categorie_1_Producten[#All],7,FALSE),VLOOKUP(Invoer_Inschrijf[[#This Row],[Product]]&amp;", "&amp;"Totaal",Database_Productkaarten[#All],15,FALSE))-1,0),0)</f>
        <v>0</v>
      </c>
      <c r="U35" s="352">
        <v>80</v>
      </c>
      <c r="V35" s="352" t="s">
        <v>224</v>
      </c>
      <c r="W35" s="353"/>
      <c r="X35" s="411" t="s">
        <v>223</v>
      </c>
      <c r="Y35" s="389">
        <f>_xlfn.IFNA(IF(VLOOKUP(Invoer_Inschrijf[[#This Row],[A5 - Overig Materieel tbv Aanleg]],Brandstofmachines_Omrekentabel[],5,FALSE)=0,_xlfn.IFNA(Invoer_Referentie[[#This Row],[A5 - Verbruik overig materieel '[liter - kWh - kg / uur']]]*VLOOKUP(Invoer_Referentie[[#This Row],[A5 - Overig Materieel tbv Aanleg]],Brandstofmachines_Omrekentabel[],8,FALSE)/VLOOKUP(Invoer_Inschrijf[[#This Row],[A5 - Overig Materieel tbv Aanleg]],Brandstofmachines_Omrekentabel[],8,FALSE),0),_xlfn.IFNA(Invoer_Referentie[[#This Row],[A5 - Verbruik overig materieel '[liter - kWh - kg / uur']]]*VLOOKUP(Invoer_Referentie[[#This Row],[A5 - Overig Materieel tbv Aanleg]],Brandstofmachines_Omrekentabel[],8,FALSE)/VLOOKUP(Invoer_Inschrijf[[#This Row],[A5 - Overig Materieel tbv Aanleg]],Brandstofmachines_Omrekentabel[],8,FALSE),0)),0)</f>
        <v>19.5</v>
      </c>
      <c r="Z35" s="389">
        <f>Invoer_Referentie[[#This Row],[A5 - Capaciteit overig materieel '[Eenheden / uur']]]</f>
        <v>12.004801920768308</v>
      </c>
      <c r="AA35" s="353"/>
      <c r="AB35" s="353"/>
      <c r="AC35" s="389">
        <f>_xlfn.IFNA(IF(VLOOKUP(Invoer_Inschrijf[[#This Row],[C1 - Overig Materieel tbv Verwijderen]],Brandstofmachines_Omrekentabel[],5,FALSE)=0,_xlfn.IFNA(Invoer_Referentie[[#This Row],[C1 - Verbruik overige materieel '[liter - kWh - kg / uur']]]*VLOOKUP(Invoer_Referentie[[#This Row],[C1 - Overig Materieel tbv Verwijderen]],Brandstofmachines_Omrekentabel[],8,FALSE)/VLOOKUP(Invoer_Inschrijf[[#This Row],[C1 - Overig Materieel tbv Verwijderen]],Brandstofmachines_Omrekentabel[],8,FALSE),0),_xlfn.IFNA(Invoer_Referentie[[#This Row],[C1 - Verbruik overige materieel '[liter - kWh - kg / uur']]]*VLOOKUP(Invoer_Referentie[[#This Row],[C1 - Overig Materieel tbv Verwijderen]],Brandstofmachines_Omrekentabel[],8,FALSE)/VLOOKUP(Invoer_Inschrijf[[#This Row],[C1 - Overig Materieel tbv Verwijderen]],Brandstofmachines_Omrekentabel[],8,FALSE),0)),0)</f>
        <v>0</v>
      </c>
      <c r="AD35" s="389">
        <f>Invoer_Referentie[[#This Row],[C1 - Capaciteit overig materieel '[Eenheden / uur']]]</f>
        <v>125</v>
      </c>
      <c r="AE35" s="353"/>
      <c r="AF35" s="352"/>
      <c r="AG35" s="353"/>
      <c r="AH35" s="235"/>
      <c r="BK35" s="224"/>
      <c r="BL35" s="224"/>
      <c r="BM35" s="224"/>
    </row>
    <row r="36" spans="2:65">
      <c r="B36" s="320" t="s">
        <v>272</v>
      </c>
      <c r="C36" s="235" t="s">
        <v>45</v>
      </c>
      <c r="D36" s="253"/>
      <c r="E36" s="1" t="s">
        <v>55</v>
      </c>
      <c r="F36" s="347" t="s">
        <v>273</v>
      </c>
      <c r="G36" s="399">
        <f>_xlfn.IFNA(IF(Invoer_Inschrijf[[#This Row],[Productgroep]]="Categorie_1_LCA_Producten",1,(VLOOKUP(Invoer_Inschrijf[[#This Row],[Product]],Database_Productkaarten[[Product]:[Comment]],64,FALSE))),0)</f>
        <v>3</v>
      </c>
      <c r="H36" s="320">
        <f>_xlfn.IFNA(IF(Invoer_Inschrijf[[#This Row],[Productgroep]]="Categorie_1_LCA_Producten",VLOOKUP(Invoer_Inschrijf[[#This Row],[Product]],Categorie_1_Producten[],2,FALSE),VLOOKUP(Invoer_Inschrijf[[#This Row],[Product]],Database_Productkaarten[[Product]:[Category]],60,FALSE)),0)</f>
        <v>0</v>
      </c>
      <c r="I36" s="260" t="str">
        <f>_xlfn.IFNA(VLOOKUP(Invoer_Inschrijf[[#This Row],[Product]],Database_Productkaarten[[Product]:[Producttype]],3,FALSE),VLOOKUP(Invoer_Inschrijf[[#This Row],[Product]],Categorie_1_Producten[#All],3,FALSE))</f>
        <v>Grasbetontegel</v>
      </c>
      <c r="J36" s="238">
        <v>1000</v>
      </c>
      <c r="K36" s="320" t="str">
        <f>_xlfn.IFNA(IF(Invoer_Inschrijf[[#This Row],[Productgroep]]="Categorie_1_LCA_Producten",VLOOKUP(Invoer_Inschrijf[[#This Row],[Product]],Categorie_1_Producten[],4,FALSE),VLOOKUP(Invoer_Inschrijf[[#This Row],[Product]],Database_Productkaarten[[Product]:[Eenheid]],4,FALSE)),0)</f>
        <v>m2</v>
      </c>
      <c r="L36" s="320"/>
      <c r="M36" s="320"/>
      <c r="N36" s="260"/>
      <c r="O36" s="237">
        <f>Invoer_Inschrijf[[#This Row],[Lengte'[m']]]*Invoer_Inschrijf[[#This Row],[Breedte '[m']]]</f>
        <v>0</v>
      </c>
      <c r="P36" s="235">
        <f>IFERROR(IF(Invoer_Inschrijf[[#This Row],[Oppervlakte '[m2']]]*Invoer_Inschrijf[[#This Row],[Dikte '[m']]]=0,Invoer_Inschrijf[[#This Row],[Gewicht '[ton']]]/Invoer_Inschrijf[[#This Row],[Soortelijk gewicht '[ton / m3']]],Invoer_Inschrijf[[#This Row],[Oppervlakte '[m2']]]*Invoer_Inschrijf[[#This Row],[Dikte '[m']]]),0)</f>
        <v>83.417881646655232</v>
      </c>
      <c r="Q36" s="236">
        <f>_xlfn.IFNA(IF(Invoer_Inschrijf[[#This Row],[Productgroep]]="Categorie_1_LCA_Producten",VLOOKUP(F36,Categorie_1_Producten[#All],5,FALSE),VLOOKUP(F36&amp;", "&amp;"Totaal",Database_Productkaarten[#All],12,FALSE)),0)</f>
        <v>2.3319999999999999</v>
      </c>
      <c r="R36" s="235">
        <f>_xlfn.IFNA(IF(Invoer_Inschrijf[[#This Row],[Productgroep]]="Categorie_1_LCA_Producten",VLOOKUP(Invoer_Inschrijf[[#This Row],[Product]],Categorie_1_Producten[],5,FALSE)*Invoer_Inschrijf[[#This Row],[Aantal Eenheden]],(VLOOKUP(Invoer_Inschrijf[[#This Row],[Product]],Database_Productkaarten[[Product]:[Gewicht '[ton'] / Eenheid]],12,FALSE)*Invoer_Inschrijf[[#This Row],[Aantal Eenheden]])),0)</f>
        <v>194.53049999999999</v>
      </c>
      <c r="S36" s="237"/>
      <c r="T36" s="238">
        <f>MAX(IFERROR($E$2/IF(Invoer_Inschrijf[[#This Row],[Productgroep]]="Categorie_1_LCA_Producten",VLOOKUP(Invoer_Inschrijf[[#This Row],[Product]],Categorie_1_Producten[#All],7,FALSE),VLOOKUP(Invoer_Inschrijf[[#This Row],[Product]]&amp;", "&amp;"Totaal",Database_Productkaarten[#All],15,FALSE))-1,0),0)</f>
        <v>0</v>
      </c>
      <c r="U36" s="410">
        <v>50</v>
      </c>
      <c r="V36" s="410" t="s">
        <v>224</v>
      </c>
      <c r="W36" s="353"/>
      <c r="X36" s="411" t="s">
        <v>223</v>
      </c>
      <c r="Y36" s="389">
        <f>_xlfn.IFNA(IF(VLOOKUP(Invoer_Inschrijf[[#This Row],[A5 - Overig Materieel tbv Aanleg]],Brandstofmachines_Omrekentabel[],5,FALSE)=0,_xlfn.IFNA(Invoer_Referentie[[#This Row],[A5 - Verbruik overig materieel '[liter - kWh - kg / uur']]]*VLOOKUP(Invoer_Referentie[[#This Row],[A5 - Overig Materieel tbv Aanleg]],Brandstofmachines_Omrekentabel[],8,FALSE)/VLOOKUP(Invoer_Inschrijf[[#This Row],[A5 - Overig Materieel tbv Aanleg]],Brandstofmachines_Omrekentabel[],8,FALSE),0),_xlfn.IFNA(Invoer_Referentie[[#This Row],[A5 - Verbruik overig materieel '[liter - kWh - kg / uur']]]*VLOOKUP(Invoer_Referentie[[#This Row],[A5 - Overig Materieel tbv Aanleg]],Brandstofmachines_Omrekentabel[],8,FALSE)/VLOOKUP(Invoer_Inschrijf[[#This Row],[A5 - Overig Materieel tbv Aanleg]],Brandstofmachines_Omrekentabel[],8,FALSE),0)),0)</f>
        <v>19.5</v>
      </c>
      <c r="Z36" s="389">
        <f>Invoer_Referentie[[#This Row],[A5 - Capaciteit overig materieel '[Eenheden / uur']]]</f>
        <v>12.004801920768308</v>
      </c>
      <c r="AA36" s="353"/>
      <c r="AB36" s="353"/>
      <c r="AC36" s="389">
        <f>_xlfn.IFNA(IF(VLOOKUP(Invoer_Inschrijf[[#This Row],[C1 - Overig Materieel tbv Verwijderen]],Brandstofmachines_Omrekentabel[],5,FALSE)=0,_xlfn.IFNA(Invoer_Referentie[[#This Row],[C1 - Verbruik overige materieel '[liter - kWh - kg / uur']]]*VLOOKUP(Invoer_Referentie[[#This Row],[C1 - Overig Materieel tbv Verwijderen]],Brandstofmachines_Omrekentabel[],8,FALSE)/VLOOKUP(Invoer_Inschrijf[[#This Row],[C1 - Overig Materieel tbv Verwijderen]],Brandstofmachines_Omrekentabel[],8,FALSE),0),_xlfn.IFNA(Invoer_Referentie[[#This Row],[C1 - Verbruik overige materieel '[liter - kWh - kg / uur']]]*VLOOKUP(Invoer_Referentie[[#This Row],[C1 - Overig Materieel tbv Verwijderen]],Brandstofmachines_Omrekentabel[],8,FALSE)/VLOOKUP(Invoer_Inschrijf[[#This Row],[C1 - Overig Materieel tbv Verwijderen]],Brandstofmachines_Omrekentabel[],8,FALSE),0)),0)</f>
        <v>0</v>
      </c>
      <c r="AD36" s="389">
        <f>Invoer_Referentie[[#This Row],[C1 - Capaciteit overig materieel '[Eenheden / uur']]]</f>
        <v>40</v>
      </c>
      <c r="AE36" s="353"/>
      <c r="AF36" s="352"/>
      <c r="AG36" s="353"/>
      <c r="AH36" s="235"/>
      <c r="BK36" s="224"/>
      <c r="BL36" s="224"/>
      <c r="BM36" s="224"/>
    </row>
    <row r="37" spans="2:65">
      <c r="B37" s="320" t="s">
        <v>274</v>
      </c>
      <c r="C37" s="235" t="s">
        <v>45</v>
      </c>
      <c r="D37" s="253"/>
      <c r="E37" s="1" t="s">
        <v>55</v>
      </c>
      <c r="F37" s="347" t="s">
        <v>268</v>
      </c>
      <c r="G37" s="399">
        <f>_xlfn.IFNA(IF(Invoer_Inschrijf[[#This Row],[Productgroep]]="Categorie_1_LCA_Producten",1,(VLOOKUP(Invoer_Inschrijf[[#This Row],[Product]],Database_Productkaarten[[Product]:[Comment]],64,FALSE))),0)</f>
        <v>3</v>
      </c>
      <c r="H37" s="320">
        <f>_xlfn.IFNA(IF(Invoer_Inschrijf[[#This Row],[Productgroep]]="Categorie_1_LCA_Producten",VLOOKUP(Invoer_Inschrijf[[#This Row],[Product]],Categorie_1_Producten[],2,FALSE),VLOOKUP(Invoer_Inschrijf[[#This Row],[Product]],Database_Productkaarten[[Product]:[Category]],60,FALSE)),0)</f>
        <v>0</v>
      </c>
      <c r="I37" s="260" t="str">
        <f>_xlfn.IFNA(VLOOKUP(Invoer_Inschrijf[[#This Row],[Product]],Database_Productkaarten[[Product]:[Producttype]],3,FALSE),VLOOKUP(Invoer_Inschrijf[[#This Row],[Product]],Categorie_1_Producten[#All],3,FALSE))</f>
        <v>Gebakken klinker</v>
      </c>
      <c r="J37" s="238">
        <v>4390</v>
      </c>
      <c r="K37" s="320" t="str">
        <f>_xlfn.IFNA(IF(Invoer_Inschrijf[[#This Row],[Productgroep]]="Categorie_1_LCA_Producten",VLOOKUP(Invoer_Inschrijf[[#This Row],[Product]],Categorie_1_Producten[],4,FALSE),VLOOKUP(Invoer_Inschrijf[[#This Row],[Product]],Database_Productkaarten[[Product]:[Eenheid]],4,FALSE)),0)</f>
        <v>m2</v>
      </c>
      <c r="L37" s="320"/>
      <c r="M37" s="320"/>
      <c r="N37" s="260"/>
      <c r="O37" s="237">
        <f>Invoer_Inschrijf[[#This Row],[Lengte'[m']]]*Invoer_Inschrijf[[#This Row],[Breedte '[m']]]</f>
        <v>0</v>
      </c>
      <c r="P37" s="235">
        <f>IFERROR(IF(Invoer_Inschrijf[[#This Row],[Oppervlakte '[m2']]]*Invoer_Inschrijf[[#This Row],[Dikte '[m']]]=0,Invoer_Inschrijf[[#This Row],[Gewicht '[ton']]]/Invoer_Inschrijf[[#This Row],[Soortelijk gewicht '[ton / m3']]],Invoer_Inschrijf[[#This Row],[Oppervlakte '[m2']]]*Invoer_Inschrijf[[#This Row],[Dikte '[m']]]),0)</f>
        <v>0</v>
      </c>
      <c r="Q37" s="236">
        <f>_xlfn.IFNA(IF(Invoer_Inschrijf[[#This Row],[Productgroep]]="Categorie_1_LCA_Producten",VLOOKUP(F37,Categorie_1_Producten[#All],5,FALSE),VLOOKUP(F37&amp;", "&amp;"Totaal",Database_Productkaarten[#All],12,FALSE)),0)</f>
        <v>0</v>
      </c>
      <c r="R37" s="235">
        <f>_xlfn.IFNA(IF(Invoer_Inschrijf[[#This Row],[Productgroep]]="Categorie_1_LCA_Producten",VLOOKUP(Invoer_Inschrijf[[#This Row],[Product]],Categorie_1_Producten[],5,FALSE)*Invoer_Inschrijf[[#This Row],[Aantal Eenheden]],(VLOOKUP(Invoer_Inschrijf[[#This Row],[Product]],Database_Productkaarten[[Product]:[Gewicht '[ton'] / Eenheid]],12,FALSE)*Invoer_Inschrijf[[#This Row],[Aantal Eenheden]])),0)</f>
        <v>318.27499999999998</v>
      </c>
      <c r="S37" s="237"/>
      <c r="T37" s="238">
        <f>MAX(IFERROR($E$2/IF(Invoer_Inschrijf[[#This Row],[Productgroep]]="Categorie_1_LCA_Producten",VLOOKUP(Invoer_Inschrijf[[#This Row],[Product]],Categorie_1_Producten[#All],7,FALSE),VLOOKUP(Invoer_Inschrijf[[#This Row],[Product]]&amp;", "&amp;"Totaal",Database_Productkaarten[#All],15,FALSE))-1,0),0)</f>
        <v>0</v>
      </c>
      <c r="U37" s="352">
        <v>80</v>
      </c>
      <c r="V37" s="352" t="s">
        <v>224</v>
      </c>
      <c r="W37" s="353"/>
      <c r="X37" s="411" t="s">
        <v>223</v>
      </c>
      <c r="Y37" s="389">
        <f>_xlfn.IFNA(IF(VLOOKUP(Invoer_Inschrijf[[#This Row],[A5 - Overig Materieel tbv Aanleg]],Brandstofmachines_Omrekentabel[],5,FALSE)=0,_xlfn.IFNA(Invoer_Referentie[[#This Row],[A5 - Verbruik overig materieel '[liter - kWh - kg / uur']]]*VLOOKUP(Invoer_Referentie[[#This Row],[A5 - Overig Materieel tbv Aanleg]],Brandstofmachines_Omrekentabel[],8,FALSE)/VLOOKUP(Invoer_Inschrijf[[#This Row],[A5 - Overig Materieel tbv Aanleg]],Brandstofmachines_Omrekentabel[],8,FALSE),0),_xlfn.IFNA(Invoer_Referentie[[#This Row],[A5 - Verbruik overig materieel '[liter - kWh - kg / uur']]]*VLOOKUP(Invoer_Referentie[[#This Row],[A5 - Overig Materieel tbv Aanleg]],Brandstofmachines_Omrekentabel[],8,FALSE)/VLOOKUP(Invoer_Inschrijf[[#This Row],[A5 - Overig Materieel tbv Aanleg]],Brandstofmachines_Omrekentabel[],8,FALSE),0)),0)</f>
        <v>19.5</v>
      </c>
      <c r="Z37" s="389">
        <f>Invoer_Referentie[[#This Row],[A5 - Capaciteit overig materieel '[Eenheden / uur']]]</f>
        <v>12.004801920768308</v>
      </c>
      <c r="AA37" s="353"/>
      <c r="AB37" s="353"/>
      <c r="AC37" s="389">
        <f>_xlfn.IFNA(IF(VLOOKUP(Invoer_Inschrijf[[#This Row],[C1 - Overig Materieel tbv Verwijderen]],Brandstofmachines_Omrekentabel[],5,FALSE)=0,_xlfn.IFNA(Invoer_Referentie[[#This Row],[C1 - Verbruik overige materieel '[liter - kWh - kg / uur']]]*VLOOKUP(Invoer_Referentie[[#This Row],[C1 - Overig Materieel tbv Verwijderen]],Brandstofmachines_Omrekentabel[],8,FALSE)/VLOOKUP(Invoer_Inschrijf[[#This Row],[C1 - Overig Materieel tbv Verwijderen]],Brandstofmachines_Omrekentabel[],8,FALSE),0),_xlfn.IFNA(Invoer_Referentie[[#This Row],[C1 - Verbruik overige materieel '[liter - kWh - kg / uur']]]*VLOOKUP(Invoer_Referentie[[#This Row],[C1 - Overig Materieel tbv Verwijderen]],Brandstofmachines_Omrekentabel[],8,FALSE)/VLOOKUP(Invoer_Inschrijf[[#This Row],[C1 - Overig Materieel tbv Verwijderen]],Brandstofmachines_Omrekentabel[],8,FALSE),0)),0)</f>
        <v>0</v>
      </c>
      <c r="AD37" s="389">
        <f>Invoer_Referentie[[#This Row],[C1 - Capaciteit overig materieel '[Eenheden / uur']]]</f>
        <v>125</v>
      </c>
      <c r="AE37" s="353"/>
      <c r="AF37" s="352"/>
      <c r="AG37" s="353"/>
      <c r="AH37" s="235"/>
      <c r="BK37" s="224"/>
      <c r="BL37" s="224"/>
      <c r="BM37" s="224"/>
    </row>
    <row r="38" spans="2:65">
      <c r="B38" s="320" t="s">
        <v>275</v>
      </c>
      <c r="C38" s="235" t="s">
        <v>45</v>
      </c>
      <c r="D38" s="253"/>
      <c r="E38" s="1" t="s">
        <v>55</v>
      </c>
      <c r="F38" s="347" t="s">
        <v>268</v>
      </c>
      <c r="G38" s="399">
        <f>_xlfn.IFNA(IF(Invoer_Inschrijf[[#This Row],[Productgroep]]="Categorie_1_LCA_Producten",1,(VLOOKUP(Invoer_Inschrijf[[#This Row],[Product]],Database_Productkaarten[[Product]:[Comment]],64,FALSE))),0)</f>
        <v>3</v>
      </c>
      <c r="H38" s="320">
        <f>_xlfn.IFNA(IF(Invoer_Inschrijf[[#This Row],[Productgroep]]="Categorie_1_LCA_Producten",VLOOKUP(Invoer_Inschrijf[[#This Row],[Product]],Categorie_1_Producten[],2,FALSE),VLOOKUP(Invoer_Inschrijf[[#This Row],[Product]],Database_Productkaarten[[Product]:[Category]],60,FALSE)),0)</f>
        <v>0</v>
      </c>
      <c r="I38" s="260" t="str">
        <f>_xlfn.IFNA(VLOOKUP(Invoer_Inschrijf[[#This Row],[Product]],Database_Productkaarten[[Product]:[Producttype]],3,FALSE),VLOOKUP(Invoer_Inschrijf[[#This Row],[Product]],Categorie_1_Producten[#All],3,FALSE))</f>
        <v>Gebakken klinker</v>
      </c>
      <c r="J38" s="238">
        <v>1150</v>
      </c>
      <c r="K38" s="320" t="str">
        <f>_xlfn.IFNA(IF(Invoer_Inschrijf[[#This Row],[Productgroep]]="Categorie_1_LCA_Producten",VLOOKUP(Invoer_Inschrijf[[#This Row],[Product]],Categorie_1_Producten[],4,FALSE),VLOOKUP(Invoer_Inschrijf[[#This Row],[Product]],Database_Productkaarten[[Product]:[Eenheid]],4,FALSE)),0)</f>
        <v>m2</v>
      </c>
      <c r="L38" s="320"/>
      <c r="M38" s="320"/>
      <c r="N38" s="260"/>
      <c r="O38" s="237">
        <f>Invoer_Inschrijf[[#This Row],[Lengte'[m']]]*Invoer_Inschrijf[[#This Row],[Breedte '[m']]]</f>
        <v>0</v>
      </c>
      <c r="P38" s="235">
        <f>IFERROR(IF(Invoer_Inschrijf[[#This Row],[Oppervlakte '[m2']]]*Invoer_Inschrijf[[#This Row],[Dikte '[m']]]=0,Invoer_Inschrijf[[#This Row],[Gewicht '[ton']]]/Invoer_Inschrijf[[#This Row],[Soortelijk gewicht '[ton / m3']]],Invoer_Inschrijf[[#This Row],[Oppervlakte '[m2']]]*Invoer_Inschrijf[[#This Row],[Dikte '[m']]]),0)</f>
        <v>0</v>
      </c>
      <c r="Q38" s="236">
        <f>_xlfn.IFNA(IF(Invoer_Inschrijf[[#This Row],[Productgroep]]="Categorie_1_LCA_Producten",VLOOKUP(F38,Categorie_1_Producten[#All],5,FALSE),VLOOKUP(F38&amp;", "&amp;"Totaal",Database_Productkaarten[#All],12,FALSE)),0)</f>
        <v>0</v>
      </c>
      <c r="R38" s="235">
        <f>_xlfn.IFNA(IF(Invoer_Inschrijf[[#This Row],[Productgroep]]="Categorie_1_LCA_Producten",VLOOKUP(Invoer_Inschrijf[[#This Row],[Product]],Categorie_1_Producten[],5,FALSE)*Invoer_Inschrijf[[#This Row],[Aantal Eenheden]],(VLOOKUP(Invoer_Inschrijf[[#This Row],[Product]],Database_Productkaarten[[Product]:[Gewicht '[ton'] / Eenheid]],12,FALSE)*Invoer_Inschrijf[[#This Row],[Aantal Eenheden]])),0)</f>
        <v>83.375</v>
      </c>
      <c r="S38" s="237"/>
      <c r="T38" s="238">
        <f>MAX(IFERROR($E$2/IF(Invoer_Inschrijf[[#This Row],[Productgroep]]="Categorie_1_LCA_Producten",VLOOKUP(Invoer_Inschrijf[[#This Row],[Product]],Categorie_1_Producten[#All],7,FALSE),VLOOKUP(Invoer_Inschrijf[[#This Row],[Product]]&amp;", "&amp;"Totaal",Database_Productkaarten[#All],15,FALSE))-1,0),0)</f>
        <v>0</v>
      </c>
      <c r="U38" s="352">
        <v>80</v>
      </c>
      <c r="V38" s="352" t="s">
        <v>224</v>
      </c>
      <c r="W38" s="353"/>
      <c r="X38" s="411" t="s">
        <v>223</v>
      </c>
      <c r="Y38" s="389">
        <f>_xlfn.IFNA(IF(VLOOKUP(Invoer_Inschrijf[[#This Row],[A5 - Overig Materieel tbv Aanleg]],Brandstofmachines_Omrekentabel[],5,FALSE)=0,_xlfn.IFNA(Invoer_Referentie[[#This Row],[A5 - Verbruik overig materieel '[liter - kWh - kg / uur']]]*VLOOKUP(Invoer_Referentie[[#This Row],[A5 - Overig Materieel tbv Aanleg]],Brandstofmachines_Omrekentabel[],8,FALSE)/VLOOKUP(Invoer_Inschrijf[[#This Row],[A5 - Overig Materieel tbv Aanleg]],Brandstofmachines_Omrekentabel[],8,FALSE),0),_xlfn.IFNA(Invoer_Referentie[[#This Row],[A5 - Verbruik overig materieel '[liter - kWh - kg / uur']]]*VLOOKUP(Invoer_Referentie[[#This Row],[A5 - Overig Materieel tbv Aanleg]],Brandstofmachines_Omrekentabel[],8,FALSE)/VLOOKUP(Invoer_Inschrijf[[#This Row],[A5 - Overig Materieel tbv Aanleg]],Brandstofmachines_Omrekentabel[],8,FALSE),0)),0)</f>
        <v>19.5</v>
      </c>
      <c r="Z38" s="389">
        <f>Invoer_Referentie[[#This Row],[A5 - Capaciteit overig materieel '[Eenheden / uur']]]</f>
        <v>12.004801920768308</v>
      </c>
      <c r="AA38" s="353"/>
      <c r="AB38" s="353"/>
      <c r="AC38" s="389">
        <f>_xlfn.IFNA(IF(VLOOKUP(Invoer_Inschrijf[[#This Row],[C1 - Overig Materieel tbv Verwijderen]],Brandstofmachines_Omrekentabel[],5,FALSE)=0,_xlfn.IFNA(Invoer_Referentie[[#This Row],[C1 - Verbruik overige materieel '[liter - kWh - kg / uur']]]*VLOOKUP(Invoer_Referentie[[#This Row],[C1 - Overig Materieel tbv Verwijderen]],Brandstofmachines_Omrekentabel[],8,FALSE)/VLOOKUP(Invoer_Inschrijf[[#This Row],[C1 - Overig Materieel tbv Verwijderen]],Brandstofmachines_Omrekentabel[],8,FALSE),0),_xlfn.IFNA(Invoer_Referentie[[#This Row],[C1 - Verbruik overige materieel '[liter - kWh - kg / uur']]]*VLOOKUP(Invoer_Referentie[[#This Row],[C1 - Overig Materieel tbv Verwijderen]],Brandstofmachines_Omrekentabel[],8,FALSE)/VLOOKUP(Invoer_Inschrijf[[#This Row],[C1 - Overig Materieel tbv Verwijderen]],Brandstofmachines_Omrekentabel[],8,FALSE),0)),0)</f>
        <v>0</v>
      </c>
      <c r="AD38" s="389">
        <f>Invoer_Referentie[[#This Row],[C1 - Capaciteit overig materieel '[Eenheden / uur']]]</f>
        <v>125</v>
      </c>
      <c r="AE38" s="353"/>
      <c r="AF38" s="352"/>
      <c r="AG38" s="353"/>
      <c r="AH38" s="235"/>
      <c r="BK38" s="224"/>
      <c r="BL38" s="224"/>
      <c r="BM38" s="224"/>
    </row>
    <row r="39" spans="2:65">
      <c r="B39" s="320" t="s">
        <v>276</v>
      </c>
      <c r="C39" s="235" t="s">
        <v>45</v>
      </c>
      <c r="D39" s="253"/>
      <c r="E39" s="1" t="s">
        <v>55</v>
      </c>
      <c r="F39" s="347" t="s">
        <v>268</v>
      </c>
      <c r="G39" s="399">
        <f>_xlfn.IFNA(IF(Invoer_Inschrijf[[#This Row],[Productgroep]]="Categorie_1_LCA_Producten",1,(VLOOKUP(Invoer_Inschrijf[[#This Row],[Product]],Database_Productkaarten[[Product]:[Comment]],64,FALSE))),0)</f>
        <v>3</v>
      </c>
      <c r="H39" s="320">
        <f>_xlfn.IFNA(IF(Invoer_Inschrijf[[#This Row],[Productgroep]]="Categorie_1_LCA_Producten",VLOOKUP(Invoer_Inschrijf[[#This Row],[Product]],Categorie_1_Producten[],2,FALSE),VLOOKUP(Invoer_Inschrijf[[#This Row],[Product]],Database_Productkaarten[[Product]:[Category]],60,FALSE)),0)</f>
        <v>0</v>
      </c>
      <c r="I39" s="260" t="str">
        <f>_xlfn.IFNA(VLOOKUP(Invoer_Inschrijf[[#This Row],[Product]],Database_Productkaarten[[Product]:[Producttype]],3,FALSE),VLOOKUP(Invoer_Inschrijf[[#This Row],[Product]],Categorie_1_Producten[#All],3,FALSE))</f>
        <v>Gebakken klinker</v>
      </c>
      <c r="J39" s="238">
        <v>225</v>
      </c>
      <c r="K39" s="320" t="str">
        <f>_xlfn.IFNA(IF(Invoer_Inschrijf[[#This Row],[Productgroep]]="Categorie_1_LCA_Producten",VLOOKUP(Invoer_Inschrijf[[#This Row],[Product]],Categorie_1_Producten[],4,FALSE),VLOOKUP(Invoer_Inschrijf[[#This Row],[Product]],Database_Productkaarten[[Product]:[Eenheid]],4,FALSE)),0)</f>
        <v>m2</v>
      </c>
      <c r="L39" s="320"/>
      <c r="M39" s="320"/>
      <c r="N39" s="260"/>
      <c r="O39" s="237">
        <f>Invoer_Inschrijf[[#This Row],[Lengte'[m']]]*Invoer_Inschrijf[[#This Row],[Breedte '[m']]]</f>
        <v>0</v>
      </c>
      <c r="P39" s="235">
        <f>IFERROR(IF(Invoer_Inschrijf[[#This Row],[Oppervlakte '[m2']]]*Invoer_Inschrijf[[#This Row],[Dikte '[m']]]=0,Invoer_Inschrijf[[#This Row],[Gewicht '[ton']]]/Invoer_Inschrijf[[#This Row],[Soortelijk gewicht '[ton / m3']]],Invoer_Inschrijf[[#This Row],[Oppervlakte '[m2']]]*Invoer_Inschrijf[[#This Row],[Dikte '[m']]]),0)</f>
        <v>0</v>
      </c>
      <c r="Q39" s="236">
        <f>_xlfn.IFNA(IF(Invoer_Inschrijf[[#This Row],[Productgroep]]="Categorie_1_LCA_Producten",VLOOKUP(F39,Categorie_1_Producten[#All],5,FALSE),VLOOKUP(F39&amp;", "&amp;"Totaal",Database_Productkaarten[#All],12,FALSE)),0)</f>
        <v>0</v>
      </c>
      <c r="R39" s="235">
        <f>_xlfn.IFNA(IF(Invoer_Inschrijf[[#This Row],[Productgroep]]="Categorie_1_LCA_Producten",VLOOKUP(Invoer_Inschrijf[[#This Row],[Product]],Categorie_1_Producten[],5,FALSE)*Invoer_Inschrijf[[#This Row],[Aantal Eenheden]],(VLOOKUP(Invoer_Inschrijf[[#This Row],[Product]],Database_Productkaarten[[Product]:[Gewicht '[ton'] / Eenheid]],12,FALSE)*Invoer_Inschrijf[[#This Row],[Aantal Eenheden]])),0)</f>
        <v>16.3125</v>
      </c>
      <c r="S39" s="237"/>
      <c r="T39" s="238">
        <f>MAX(IFERROR($E$2/IF(Invoer_Inschrijf[[#This Row],[Productgroep]]="Categorie_1_LCA_Producten",VLOOKUP(Invoer_Inschrijf[[#This Row],[Product]],Categorie_1_Producten[#All],7,FALSE),VLOOKUP(Invoer_Inschrijf[[#This Row],[Product]]&amp;", "&amp;"Totaal",Database_Productkaarten[#All],15,FALSE))-1,0),0)</f>
        <v>0</v>
      </c>
      <c r="U39" s="352">
        <v>80</v>
      </c>
      <c r="V39" s="352" t="s">
        <v>224</v>
      </c>
      <c r="W39" s="353"/>
      <c r="X39" s="411" t="s">
        <v>223</v>
      </c>
      <c r="Y39" s="389">
        <f>_xlfn.IFNA(IF(VLOOKUP(Invoer_Inschrijf[[#This Row],[A5 - Overig Materieel tbv Aanleg]],Brandstofmachines_Omrekentabel[],5,FALSE)=0,_xlfn.IFNA(Invoer_Referentie[[#This Row],[A5 - Verbruik overig materieel '[liter - kWh - kg / uur']]]*VLOOKUP(Invoer_Referentie[[#This Row],[A5 - Overig Materieel tbv Aanleg]],Brandstofmachines_Omrekentabel[],8,FALSE)/VLOOKUP(Invoer_Inschrijf[[#This Row],[A5 - Overig Materieel tbv Aanleg]],Brandstofmachines_Omrekentabel[],8,FALSE),0),_xlfn.IFNA(Invoer_Referentie[[#This Row],[A5 - Verbruik overig materieel '[liter - kWh - kg / uur']]]*VLOOKUP(Invoer_Referentie[[#This Row],[A5 - Overig Materieel tbv Aanleg]],Brandstofmachines_Omrekentabel[],8,FALSE)/VLOOKUP(Invoer_Inschrijf[[#This Row],[A5 - Overig Materieel tbv Aanleg]],Brandstofmachines_Omrekentabel[],8,FALSE),0)),0)</f>
        <v>19.5</v>
      </c>
      <c r="Z39" s="389">
        <f>Invoer_Referentie[[#This Row],[A5 - Capaciteit overig materieel '[Eenheden / uur']]]</f>
        <v>12.004801920768308</v>
      </c>
      <c r="AA39" s="353"/>
      <c r="AB39" s="353"/>
      <c r="AC39" s="389">
        <f>_xlfn.IFNA(IF(VLOOKUP(Invoer_Inschrijf[[#This Row],[C1 - Overig Materieel tbv Verwijderen]],Brandstofmachines_Omrekentabel[],5,FALSE)=0,_xlfn.IFNA(Invoer_Referentie[[#This Row],[C1 - Verbruik overige materieel '[liter - kWh - kg / uur']]]*VLOOKUP(Invoer_Referentie[[#This Row],[C1 - Overig Materieel tbv Verwijderen]],Brandstofmachines_Omrekentabel[],8,FALSE)/VLOOKUP(Invoer_Inschrijf[[#This Row],[C1 - Overig Materieel tbv Verwijderen]],Brandstofmachines_Omrekentabel[],8,FALSE),0),_xlfn.IFNA(Invoer_Referentie[[#This Row],[C1 - Verbruik overige materieel '[liter - kWh - kg / uur']]]*VLOOKUP(Invoer_Referentie[[#This Row],[C1 - Overig Materieel tbv Verwijderen]],Brandstofmachines_Omrekentabel[],8,FALSE)/VLOOKUP(Invoer_Inschrijf[[#This Row],[C1 - Overig Materieel tbv Verwijderen]],Brandstofmachines_Omrekentabel[],8,FALSE),0)),0)</f>
        <v>0</v>
      </c>
      <c r="AD39" s="389">
        <f>Invoer_Referentie[[#This Row],[C1 - Capaciteit overig materieel '[Eenheden / uur']]]</f>
        <v>125</v>
      </c>
      <c r="AE39" s="353"/>
      <c r="AF39" s="352"/>
      <c r="AG39" s="353"/>
      <c r="AH39" s="235"/>
      <c r="BK39" s="224"/>
      <c r="BL39" s="224"/>
      <c r="BM39" s="224"/>
    </row>
    <row r="40" spans="2:65" hidden="1">
      <c r="B40" s="320"/>
      <c r="C40" s="235"/>
      <c r="D40" s="253"/>
      <c r="E40" s="1"/>
      <c r="F40" s="347"/>
      <c r="G40" s="399">
        <f>_xlfn.IFNA(IF(Invoer_Inschrijf[[#This Row],[Productgroep]]="Categorie_1_LCA_Producten",1,(VLOOKUP(Invoer_Inschrijf[[#This Row],[Product]],Database_Productkaarten[[Product]:[Comment]],64,FALSE))),0)</f>
        <v>0</v>
      </c>
      <c r="H40" s="320">
        <f>_xlfn.IFNA(IF(Invoer_Inschrijf[[#This Row],[Productgroep]]="Categorie_1_LCA_Producten",VLOOKUP(Invoer_Inschrijf[[#This Row],[Product]],Categorie_1_Producten[],2,FALSE),VLOOKUP(Invoer_Inschrijf[[#This Row],[Product]],Database_Productkaarten[[Product]:[Category]],60,FALSE)),0)</f>
        <v>0</v>
      </c>
      <c r="I40" s="260" t="e">
        <f>_xlfn.IFNA(VLOOKUP(Invoer_Inschrijf[[#This Row],[Product]],Database_Productkaarten[[Product]:[Producttype]],3,FALSE),VLOOKUP(Invoer_Inschrijf[[#This Row],[Product]],Categorie_1_Producten[#All],3,FALSE))</f>
        <v>#N/A</v>
      </c>
      <c r="J40" s="238"/>
      <c r="K40" s="320">
        <f>_xlfn.IFNA(IF(Invoer_Inschrijf[[#This Row],[Productgroep]]="Categorie_1_LCA_Producten",VLOOKUP(Invoer_Inschrijf[[#This Row],[Product]],Categorie_1_Producten[],4,FALSE),VLOOKUP(Invoer_Inschrijf[[#This Row],[Product]],Database_Productkaarten[[Product]:[Eenheid]],4,FALSE)),0)</f>
        <v>0</v>
      </c>
      <c r="L40" s="320"/>
      <c r="M40" s="320"/>
      <c r="N40" s="260"/>
      <c r="O40" s="237">
        <f>Invoer_Inschrijf[[#This Row],[Lengte'[m']]]*Invoer_Inschrijf[[#This Row],[Breedte '[m']]]</f>
        <v>0</v>
      </c>
      <c r="P40" s="235">
        <f>IFERROR(IF(Invoer_Inschrijf[[#This Row],[Oppervlakte '[m2']]]*Invoer_Inschrijf[[#This Row],[Dikte '[m']]]=0,Invoer_Inschrijf[[#This Row],[Gewicht '[ton']]]/Invoer_Inschrijf[[#This Row],[Soortelijk gewicht '[ton / m3']]],Invoer_Inschrijf[[#This Row],[Oppervlakte '[m2']]]*Invoer_Inschrijf[[#This Row],[Dikte '[m']]]),0)</f>
        <v>0</v>
      </c>
      <c r="Q40" s="236">
        <f>_xlfn.IFNA(IF(Invoer_Inschrijf[[#This Row],[Productgroep]]="Categorie_1_LCA_Producten",VLOOKUP(F40,Categorie_1_Producten[#All],5,FALSE),VLOOKUP(F40&amp;", "&amp;"Totaal",Database_Productkaarten[#All],12,FALSE)),0)</f>
        <v>0</v>
      </c>
      <c r="R40" s="235">
        <f>_xlfn.IFNA(IF(Invoer_Inschrijf[[#This Row],[Productgroep]]="Categorie_1_LCA_Producten",VLOOKUP(Invoer_Inschrijf[[#This Row],[Product]],Categorie_1_Producten[],5,FALSE)*Invoer_Inschrijf[[#This Row],[Aantal Eenheden]],(VLOOKUP(Invoer_Inschrijf[[#This Row],[Product]],Database_Productkaarten[[Product]:[Gewicht '[ton'] / Eenheid]],12,FALSE)*Invoer_Inschrijf[[#This Row],[Aantal Eenheden]])),0)</f>
        <v>0</v>
      </c>
      <c r="S40" s="237"/>
      <c r="T40" s="238">
        <f>MAX(IFERROR($E$2/IF(Invoer_Inschrijf[[#This Row],[Productgroep]]="Categorie_1_LCA_Producten",VLOOKUP(Invoer_Inschrijf[[#This Row],[Product]],Categorie_1_Producten[#All],7,FALSE),VLOOKUP(Invoer_Inschrijf[[#This Row],[Product]]&amp;", "&amp;"Totaal",Database_Productkaarten[#All],15,FALSE))-1,0),0)</f>
        <v>0</v>
      </c>
      <c r="U40" s="352"/>
      <c r="V40" s="352"/>
      <c r="W40" s="353"/>
      <c r="X40" s="353"/>
      <c r="Y40" s="389">
        <f>_xlfn.IFNA(IF(VLOOKUP(Invoer_Inschrijf[[#This Row],[A5 - Overig Materieel tbv Aanleg]],Brandstofmachines_Omrekentabel[],5,FALSE)=0,_xlfn.IFNA(Invoer_Referentie[[#This Row],[A5 - Verbruik overig materieel '[liter - kWh - kg / uur']]]*VLOOKUP(Invoer_Referentie[[#This Row],[A5 - Overig Materieel tbv Aanleg]],Brandstofmachines_Omrekentabel[],8,FALSE)/VLOOKUP(Invoer_Inschrijf[[#This Row],[A5 - Overig Materieel tbv Aanleg]],Brandstofmachines_Omrekentabel[],8,FALSE),0),_xlfn.IFNA(Invoer_Referentie[[#This Row],[A5 - Verbruik overig materieel '[liter - kWh - kg / uur']]]*VLOOKUP(Invoer_Referentie[[#This Row],[A5 - Overig Materieel tbv Aanleg]],Brandstofmachines_Omrekentabel[],8,FALSE)/VLOOKUP(Invoer_Inschrijf[[#This Row],[A5 - Overig Materieel tbv Aanleg]],Brandstofmachines_Omrekentabel[],8,FALSE),0)),0)</f>
        <v>0</v>
      </c>
      <c r="Z40" s="389">
        <f>Invoer_Referentie[[#This Row],[A5 - Capaciteit overig materieel '[Eenheden / uur']]]</f>
        <v>0</v>
      </c>
      <c r="AA40" s="353"/>
      <c r="AB40" s="353"/>
      <c r="AC40" s="389">
        <f>_xlfn.IFNA(IF(VLOOKUP(Invoer_Inschrijf[[#This Row],[C1 - Overig Materieel tbv Verwijderen]],Brandstofmachines_Omrekentabel[],5,FALSE)=0,_xlfn.IFNA(Invoer_Referentie[[#This Row],[C1 - Verbruik overige materieel '[liter - kWh - kg / uur']]]*VLOOKUP(Invoer_Referentie[[#This Row],[C1 - Overig Materieel tbv Verwijderen]],Brandstofmachines_Omrekentabel[],8,FALSE)/VLOOKUP(Invoer_Inschrijf[[#This Row],[C1 - Overig Materieel tbv Verwijderen]],Brandstofmachines_Omrekentabel[],8,FALSE),0),_xlfn.IFNA(Invoer_Referentie[[#This Row],[C1 - Verbruik overige materieel '[liter - kWh - kg / uur']]]*VLOOKUP(Invoer_Referentie[[#This Row],[C1 - Overig Materieel tbv Verwijderen]],Brandstofmachines_Omrekentabel[],8,FALSE)/VLOOKUP(Invoer_Inschrijf[[#This Row],[C1 - Overig Materieel tbv Verwijderen]],Brandstofmachines_Omrekentabel[],8,FALSE),0)),0)</f>
        <v>0</v>
      </c>
      <c r="AD40" s="389">
        <f>Invoer_Referentie[[#This Row],[C1 - Capaciteit overig materieel '[Eenheden / uur']]]</f>
        <v>0</v>
      </c>
      <c r="AE40" s="353"/>
      <c r="AF40" s="352"/>
      <c r="AG40" s="353"/>
      <c r="AH40" s="235"/>
      <c r="BK40" s="224"/>
      <c r="BL40" s="224"/>
      <c r="BM40" s="224"/>
    </row>
    <row r="41" spans="2:65" hidden="1">
      <c r="B41" s="320"/>
      <c r="C41" s="235"/>
      <c r="D41" s="253"/>
      <c r="E41" s="1"/>
      <c r="F41" s="347"/>
      <c r="G41" s="399">
        <f>_xlfn.IFNA(IF(Invoer_Inschrijf[[#This Row],[Productgroep]]="Categorie_1_LCA_Producten",1,(VLOOKUP(Invoer_Inschrijf[[#This Row],[Product]],Database_Productkaarten[[Product]:[Comment]],64,FALSE))),0)</f>
        <v>0</v>
      </c>
      <c r="H41" s="320">
        <f>_xlfn.IFNA(IF(Invoer_Inschrijf[[#This Row],[Productgroep]]="Categorie_1_LCA_Producten",VLOOKUP(Invoer_Inschrijf[[#This Row],[Product]],Categorie_1_Producten[],2,FALSE),VLOOKUP(Invoer_Inschrijf[[#This Row],[Product]],Database_Productkaarten[[Product]:[Category]],60,FALSE)),0)</f>
        <v>0</v>
      </c>
      <c r="I41" s="260" t="e">
        <f>_xlfn.IFNA(VLOOKUP(Invoer_Inschrijf[[#This Row],[Product]],Database_Productkaarten[[Product]:[Producttype]],3,FALSE),VLOOKUP(Invoer_Inschrijf[[#This Row],[Product]],Categorie_1_Producten[#All],3,FALSE))</f>
        <v>#N/A</v>
      </c>
      <c r="J41" s="238"/>
      <c r="K41" s="320">
        <f>_xlfn.IFNA(IF(Invoer_Inschrijf[[#This Row],[Productgroep]]="Categorie_1_LCA_Producten",VLOOKUP(Invoer_Inschrijf[[#This Row],[Product]],Categorie_1_Producten[],4,FALSE),VLOOKUP(Invoer_Inschrijf[[#This Row],[Product]],Database_Productkaarten[[Product]:[Eenheid]],4,FALSE)),0)</f>
        <v>0</v>
      </c>
      <c r="L41" s="320"/>
      <c r="M41" s="320"/>
      <c r="N41" s="260"/>
      <c r="O41" s="237">
        <f>Invoer_Inschrijf[[#This Row],[Lengte'[m']]]*Invoer_Inschrijf[[#This Row],[Breedte '[m']]]</f>
        <v>0</v>
      </c>
      <c r="P41" s="235">
        <f>IFERROR(IF(Invoer_Inschrijf[[#This Row],[Oppervlakte '[m2']]]*Invoer_Inschrijf[[#This Row],[Dikte '[m']]]=0,Invoer_Inschrijf[[#This Row],[Gewicht '[ton']]]/Invoer_Inschrijf[[#This Row],[Soortelijk gewicht '[ton / m3']]],Invoer_Inschrijf[[#This Row],[Oppervlakte '[m2']]]*Invoer_Inschrijf[[#This Row],[Dikte '[m']]]),0)</f>
        <v>0</v>
      </c>
      <c r="Q41" s="236">
        <f>_xlfn.IFNA(IF(Invoer_Inschrijf[[#This Row],[Productgroep]]="Categorie_1_LCA_Producten",VLOOKUP(F41,Categorie_1_Producten[#All],5,FALSE),VLOOKUP(F41&amp;", "&amp;"Totaal",Database_Productkaarten[#All],12,FALSE)),0)</f>
        <v>0</v>
      </c>
      <c r="R41" s="235">
        <f>_xlfn.IFNA(IF(Invoer_Inschrijf[[#This Row],[Productgroep]]="Categorie_1_LCA_Producten",VLOOKUP(Invoer_Inschrijf[[#This Row],[Product]],Categorie_1_Producten[],5,FALSE)*Invoer_Inschrijf[[#This Row],[Aantal Eenheden]],(VLOOKUP(Invoer_Inschrijf[[#This Row],[Product]],Database_Productkaarten[[Product]:[Gewicht '[ton'] / Eenheid]],12,FALSE)*Invoer_Inschrijf[[#This Row],[Aantal Eenheden]])),0)</f>
        <v>0</v>
      </c>
      <c r="S41" s="237"/>
      <c r="T41" s="238">
        <f>MAX(IFERROR($E$2/IF(Invoer_Inschrijf[[#This Row],[Productgroep]]="Categorie_1_LCA_Producten",VLOOKUP(Invoer_Inschrijf[[#This Row],[Product]],Categorie_1_Producten[#All],7,FALSE),VLOOKUP(Invoer_Inschrijf[[#This Row],[Product]]&amp;", "&amp;"Totaal",Database_Productkaarten[#All],15,FALSE))-1,0),0)</f>
        <v>0</v>
      </c>
      <c r="U41" s="352"/>
      <c r="V41" s="352"/>
      <c r="W41" s="353"/>
      <c r="X41" s="353"/>
      <c r="Y41" s="389">
        <f>_xlfn.IFNA(IF(VLOOKUP(Invoer_Inschrijf[[#This Row],[A5 - Overig Materieel tbv Aanleg]],Brandstofmachines_Omrekentabel[],5,FALSE)=0,_xlfn.IFNA(Invoer_Referentie[[#This Row],[A5 - Verbruik overig materieel '[liter - kWh - kg / uur']]]*VLOOKUP(Invoer_Referentie[[#This Row],[A5 - Overig Materieel tbv Aanleg]],Brandstofmachines_Omrekentabel[],8,FALSE)/VLOOKUP(Invoer_Inschrijf[[#This Row],[A5 - Overig Materieel tbv Aanleg]],Brandstofmachines_Omrekentabel[],8,FALSE),0),_xlfn.IFNA(Invoer_Referentie[[#This Row],[A5 - Verbruik overig materieel '[liter - kWh - kg / uur']]]*VLOOKUP(Invoer_Referentie[[#This Row],[A5 - Overig Materieel tbv Aanleg]],Brandstofmachines_Omrekentabel[],8,FALSE)/VLOOKUP(Invoer_Inschrijf[[#This Row],[A5 - Overig Materieel tbv Aanleg]],Brandstofmachines_Omrekentabel[],8,FALSE),0)),0)</f>
        <v>0</v>
      </c>
      <c r="Z41" s="389">
        <f>Invoer_Referentie[[#This Row],[A5 - Capaciteit overig materieel '[Eenheden / uur']]]</f>
        <v>0</v>
      </c>
      <c r="AA41" s="353"/>
      <c r="AB41" s="353"/>
      <c r="AC41" s="389">
        <f>_xlfn.IFNA(IF(VLOOKUP(Invoer_Inschrijf[[#This Row],[C1 - Overig Materieel tbv Verwijderen]],Brandstofmachines_Omrekentabel[],5,FALSE)=0,_xlfn.IFNA(Invoer_Referentie[[#This Row],[C1 - Verbruik overige materieel '[liter - kWh - kg / uur']]]*VLOOKUP(Invoer_Referentie[[#This Row],[C1 - Overig Materieel tbv Verwijderen]],Brandstofmachines_Omrekentabel[],8,FALSE)/VLOOKUP(Invoer_Inschrijf[[#This Row],[C1 - Overig Materieel tbv Verwijderen]],Brandstofmachines_Omrekentabel[],8,FALSE),0),_xlfn.IFNA(Invoer_Referentie[[#This Row],[C1 - Verbruik overige materieel '[liter - kWh - kg / uur']]]*VLOOKUP(Invoer_Referentie[[#This Row],[C1 - Overig Materieel tbv Verwijderen]],Brandstofmachines_Omrekentabel[],8,FALSE)/VLOOKUP(Invoer_Inschrijf[[#This Row],[C1 - Overig Materieel tbv Verwijderen]],Brandstofmachines_Omrekentabel[],8,FALSE),0)),0)</f>
        <v>0</v>
      </c>
      <c r="AD41" s="389">
        <f>Invoer_Referentie[[#This Row],[C1 - Capaciteit overig materieel '[Eenheden / uur']]]</f>
        <v>0</v>
      </c>
      <c r="AE41" s="353"/>
      <c r="AF41" s="352"/>
      <c r="AG41" s="353"/>
      <c r="AH41" s="235"/>
      <c r="BK41" s="224"/>
      <c r="BL41" s="224"/>
      <c r="BM41" s="224"/>
    </row>
    <row r="42" spans="2:65" hidden="1">
      <c r="B42" s="320"/>
      <c r="C42" s="235"/>
      <c r="D42" s="253"/>
      <c r="E42" s="1"/>
      <c r="F42" s="347"/>
      <c r="G42" s="399">
        <f>_xlfn.IFNA(IF(Invoer_Inschrijf[[#This Row],[Productgroep]]="Categorie_1_LCA_Producten",1,(VLOOKUP(Invoer_Inschrijf[[#This Row],[Product]],Database_Productkaarten[[Product]:[Comment]],64,FALSE))),0)</f>
        <v>0</v>
      </c>
      <c r="H42" s="320">
        <f>_xlfn.IFNA(IF(Invoer_Inschrijf[[#This Row],[Productgroep]]="Categorie_1_LCA_Producten",VLOOKUP(Invoer_Inschrijf[[#This Row],[Product]],Categorie_1_Producten[],2,FALSE),VLOOKUP(Invoer_Inschrijf[[#This Row],[Product]],Database_Productkaarten[[Product]:[Category]],60,FALSE)),0)</f>
        <v>0</v>
      </c>
      <c r="I42" s="260" t="e">
        <f>_xlfn.IFNA(VLOOKUP(Invoer_Inschrijf[[#This Row],[Product]],Database_Productkaarten[[Product]:[Producttype]],3,FALSE),VLOOKUP(Invoer_Inschrijf[[#This Row],[Product]],Categorie_1_Producten[#All],3,FALSE))</f>
        <v>#N/A</v>
      </c>
      <c r="J42" s="238"/>
      <c r="K42" s="320">
        <f>_xlfn.IFNA(IF(Invoer_Inschrijf[[#This Row],[Productgroep]]="Categorie_1_LCA_Producten",VLOOKUP(Invoer_Inschrijf[[#This Row],[Product]],Categorie_1_Producten[],4,FALSE),VLOOKUP(Invoer_Inschrijf[[#This Row],[Product]],Database_Productkaarten[[Product]:[Eenheid]],4,FALSE)),0)</f>
        <v>0</v>
      </c>
      <c r="L42" s="320"/>
      <c r="M42" s="320"/>
      <c r="N42" s="260"/>
      <c r="O42" s="237">
        <f>Invoer_Inschrijf[[#This Row],[Lengte'[m']]]*Invoer_Inschrijf[[#This Row],[Breedte '[m']]]</f>
        <v>0</v>
      </c>
      <c r="P42" s="235">
        <f>IFERROR(IF(Invoer_Inschrijf[[#This Row],[Oppervlakte '[m2']]]*Invoer_Inschrijf[[#This Row],[Dikte '[m']]]=0,Invoer_Inschrijf[[#This Row],[Gewicht '[ton']]]/Invoer_Inschrijf[[#This Row],[Soortelijk gewicht '[ton / m3']]],Invoer_Inschrijf[[#This Row],[Oppervlakte '[m2']]]*Invoer_Inschrijf[[#This Row],[Dikte '[m']]]),0)</f>
        <v>0</v>
      </c>
      <c r="Q42" s="236">
        <f>_xlfn.IFNA(IF(Invoer_Inschrijf[[#This Row],[Productgroep]]="Categorie_1_LCA_Producten",VLOOKUP(F42,Categorie_1_Producten[#All],5,FALSE),VLOOKUP(F42&amp;", "&amp;"Totaal",Database_Productkaarten[#All],12,FALSE)),0)</f>
        <v>0</v>
      </c>
      <c r="R42" s="235">
        <f>_xlfn.IFNA(IF(Invoer_Inschrijf[[#This Row],[Productgroep]]="Categorie_1_LCA_Producten",VLOOKUP(Invoer_Inschrijf[[#This Row],[Product]],Categorie_1_Producten[],5,FALSE)*Invoer_Inschrijf[[#This Row],[Aantal Eenheden]],(VLOOKUP(Invoer_Inschrijf[[#This Row],[Product]],Database_Productkaarten[[Product]:[Gewicht '[ton'] / Eenheid]],12,FALSE)*Invoer_Inschrijf[[#This Row],[Aantal Eenheden]])),0)</f>
        <v>0</v>
      </c>
      <c r="S42" s="237"/>
      <c r="T42" s="238">
        <f>MAX(IFERROR($E$2/IF(Invoer_Inschrijf[[#This Row],[Productgroep]]="Categorie_1_LCA_Producten",VLOOKUP(Invoer_Inschrijf[[#This Row],[Product]],Categorie_1_Producten[#All],7,FALSE),VLOOKUP(Invoer_Inschrijf[[#This Row],[Product]]&amp;", "&amp;"Totaal",Database_Productkaarten[#All],15,FALSE))-1,0),0)</f>
        <v>0</v>
      </c>
      <c r="U42" s="352"/>
      <c r="V42" s="352"/>
      <c r="W42" s="353"/>
      <c r="X42" s="353"/>
      <c r="Y42" s="389">
        <f>_xlfn.IFNA(IF(VLOOKUP(Invoer_Inschrijf[[#This Row],[A5 - Overig Materieel tbv Aanleg]],Brandstofmachines_Omrekentabel[],5,FALSE)=0,_xlfn.IFNA(Invoer_Referentie[[#This Row],[A5 - Verbruik overig materieel '[liter - kWh - kg / uur']]]*VLOOKUP(Invoer_Referentie[[#This Row],[A5 - Overig Materieel tbv Aanleg]],Brandstofmachines_Omrekentabel[],8,FALSE)/VLOOKUP(Invoer_Inschrijf[[#This Row],[A5 - Overig Materieel tbv Aanleg]],Brandstofmachines_Omrekentabel[],8,FALSE),0),_xlfn.IFNA(Invoer_Referentie[[#This Row],[A5 - Verbruik overig materieel '[liter - kWh - kg / uur']]]*VLOOKUP(Invoer_Referentie[[#This Row],[A5 - Overig Materieel tbv Aanleg]],Brandstofmachines_Omrekentabel[],8,FALSE)/VLOOKUP(Invoer_Inschrijf[[#This Row],[A5 - Overig Materieel tbv Aanleg]],Brandstofmachines_Omrekentabel[],8,FALSE),0)),0)</f>
        <v>0</v>
      </c>
      <c r="Z42" s="389">
        <f>Invoer_Referentie[[#This Row],[A5 - Capaciteit overig materieel '[Eenheden / uur']]]</f>
        <v>0</v>
      </c>
      <c r="AA42" s="353"/>
      <c r="AB42" s="353"/>
      <c r="AC42" s="389">
        <f>_xlfn.IFNA(IF(VLOOKUP(Invoer_Inschrijf[[#This Row],[C1 - Overig Materieel tbv Verwijderen]],Brandstofmachines_Omrekentabel[],5,FALSE)=0,_xlfn.IFNA(Invoer_Referentie[[#This Row],[C1 - Verbruik overige materieel '[liter - kWh - kg / uur']]]*VLOOKUP(Invoer_Referentie[[#This Row],[C1 - Overig Materieel tbv Verwijderen]],Brandstofmachines_Omrekentabel[],8,FALSE)/VLOOKUP(Invoer_Inschrijf[[#This Row],[C1 - Overig Materieel tbv Verwijderen]],Brandstofmachines_Omrekentabel[],8,FALSE),0),_xlfn.IFNA(Invoer_Referentie[[#This Row],[C1 - Verbruik overige materieel '[liter - kWh - kg / uur']]]*VLOOKUP(Invoer_Referentie[[#This Row],[C1 - Overig Materieel tbv Verwijderen]],Brandstofmachines_Omrekentabel[],8,FALSE)/VLOOKUP(Invoer_Inschrijf[[#This Row],[C1 - Overig Materieel tbv Verwijderen]],Brandstofmachines_Omrekentabel[],8,FALSE),0)),0)</f>
        <v>0</v>
      </c>
      <c r="AD42" s="389">
        <f>Invoer_Referentie[[#This Row],[C1 - Capaciteit overig materieel '[Eenheden / uur']]]</f>
        <v>0</v>
      </c>
      <c r="AE42" s="353"/>
      <c r="AF42" s="352"/>
      <c r="AG42" s="353"/>
      <c r="AH42" s="235"/>
      <c r="BK42" s="224"/>
      <c r="BL42" s="224"/>
      <c r="BM42" s="224"/>
    </row>
    <row r="43" spans="2:65" hidden="1">
      <c r="B43" s="320"/>
      <c r="C43" s="235"/>
      <c r="D43" s="253"/>
      <c r="E43" s="1"/>
      <c r="F43" s="347"/>
      <c r="G43" s="399">
        <f>_xlfn.IFNA(IF(Invoer_Inschrijf[[#This Row],[Productgroep]]="Categorie_1_LCA_Producten",1,(VLOOKUP(Invoer_Inschrijf[[#This Row],[Product]],Database_Productkaarten[[Product]:[Comment]],64,FALSE))),0)</f>
        <v>0</v>
      </c>
      <c r="H43" s="320">
        <f>_xlfn.IFNA(IF(Invoer_Inschrijf[[#This Row],[Productgroep]]="Categorie_1_LCA_Producten",VLOOKUP(Invoer_Inschrijf[[#This Row],[Product]],Categorie_1_Producten[],2,FALSE),VLOOKUP(Invoer_Inschrijf[[#This Row],[Product]],Database_Productkaarten[[Product]:[Category]],60,FALSE)),0)</f>
        <v>0</v>
      </c>
      <c r="I43" s="260" t="e">
        <f>_xlfn.IFNA(VLOOKUP(Invoer_Inschrijf[[#This Row],[Product]],Database_Productkaarten[[Product]:[Producttype]],3,FALSE),VLOOKUP(Invoer_Inschrijf[[#This Row],[Product]],Categorie_1_Producten[#All],3,FALSE))</f>
        <v>#N/A</v>
      </c>
      <c r="J43" s="238"/>
      <c r="K43" s="320">
        <f>_xlfn.IFNA(IF(Invoer_Inschrijf[[#This Row],[Productgroep]]="Categorie_1_LCA_Producten",VLOOKUP(Invoer_Inschrijf[[#This Row],[Product]],Categorie_1_Producten[],4,FALSE),VLOOKUP(Invoer_Inschrijf[[#This Row],[Product]],Database_Productkaarten[[Product]:[Eenheid]],4,FALSE)),0)</f>
        <v>0</v>
      </c>
      <c r="L43" s="320"/>
      <c r="M43" s="320"/>
      <c r="N43" s="260"/>
      <c r="O43" s="237">
        <f>Invoer_Inschrijf[[#This Row],[Lengte'[m']]]*Invoer_Inschrijf[[#This Row],[Breedte '[m']]]</f>
        <v>0</v>
      </c>
      <c r="P43" s="235">
        <f>IFERROR(IF(Invoer_Inschrijf[[#This Row],[Oppervlakte '[m2']]]*Invoer_Inschrijf[[#This Row],[Dikte '[m']]]=0,Invoer_Inschrijf[[#This Row],[Gewicht '[ton']]]/Invoer_Inschrijf[[#This Row],[Soortelijk gewicht '[ton / m3']]],Invoer_Inschrijf[[#This Row],[Oppervlakte '[m2']]]*Invoer_Inschrijf[[#This Row],[Dikte '[m']]]),0)</f>
        <v>0</v>
      </c>
      <c r="Q43" s="236">
        <f>_xlfn.IFNA(IF(Invoer_Inschrijf[[#This Row],[Productgroep]]="Categorie_1_LCA_Producten",VLOOKUP(F43,Categorie_1_Producten[#All],5,FALSE),VLOOKUP(F43&amp;", "&amp;"Totaal",Database_Productkaarten[#All],12,FALSE)),0)</f>
        <v>0</v>
      </c>
      <c r="R43" s="235">
        <f>_xlfn.IFNA(IF(Invoer_Inschrijf[[#This Row],[Productgroep]]="Categorie_1_LCA_Producten",VLOOKUP(Invoer_Inschrijf[[#This Row],[Product]],Categorie_1_Producten[],5,FALSE)*Invoer_Inschrijf[[#This Row],[Aantal Eenheden]],(VLOOKUP(Invoer_Inschrijf[[#This Row],[Product]],Database_Productkaarten[[Product]:[Gewicht '[ton'] / Eenheid]],12,FALSE)*Invoer_Inschrijf[[#This Row],[Aantal Eenheden]])),0)</f>
        <v>0</v>
      </c>
      <c r="S43" s="237"/>
      <c r="T43" s="238">
        <f>MAX(IFERROR($E$2/IF(Invoer_Inschrijf[[#This Row],[Productgroep]]="Categorie_1_LCA_Producten",VLOOKUP(Invoer_Inschrijf[[#This Row],[Product]],Categorie_1_Producten[#All],7,FALSE),VLOOKUP(Invoer_Inschrijf[[#This Row],[Product]]&amp;", "&amp;"Totaal",Database_Productkaarten[#All],15,FALSE))-1,0),0)</f>
        <v>0</v>
      </c>
      <c r="U43" s="352"/>
      <c r="V43" s="352"/>
      <c r="W43" s="353"/>
      <c r="X43" s="353"/>
      <c r="Y43" s="389">
        <f>_xlfn.IFNA(IF(VLOOKUP(Invoer_Inschrijf[[#This Row],[A5 - Overig Materieel tbv Aanleg]],Brandstofmachines_Omrekentabel[],5,FALSE)=0,_xlfn.IFNA(Invoer_Referentie[[#This Row],[A5 - Verbruik overig materieel '[liter - kWh - kg / uur']]]*VLOOKUP(Invoer_Referentie[[#This Row],[A5 - Overig Materieel tbv Aanleg]],Brandstofmachines_Omrekentabel[],8,FALSE)/VLOOKUP(Invoer_Inschrijf[[#This Row],[A5 - Overig Materieel tbv Aanleg]],Brandstofmachines_Omrekentabel[],8,FALSE),0),_xlfn.IFNA(Invoer_Referentie[[#This Row],[A5 - Verbruik overig materieel '[liter - kWh - kg / uur']]]*VLOOKUP(Invoer_Referentie[[#This Row],[A5 - Overig Materieel tbv Aanleg]],Brandstofmachines_Omrekentabel[],8,FALSE)/VLOOKUP(Invoer_Inschrijf[[#This Row],[A5 - Overig Materieel tbv Aanleg]],Brandstofmachines_Omrekentabel[],8,FALSE),0)),0)</f>
        <v>0</v>
      </c>
      <c r="Z43" s="389">
        <f>Invoer_Referentie[[#This Row],[A5 - Capaciteit overig materieel '[Eenheden / uur']]]</f>
        <v>0</v>
      </c>
      <c r="AA43" s="353"/>
      <c r="AB43" s="353"/>
      <c r="AC43" s="389">
        <f>_xlfn.IFNA(IF(VLOOKUP(Invoer_Inschrijf[[#This Row],[C1 - Overig Materieel tbv Verwijderen]],Brandstofmachines_Omrekentabel[],5,FALSE)=0,_xlfn.IFNA(Invoer_Referentie[[#This Row],[C1 - Verbruik overige materieel '[liter - kWh - kg / uur']]]*VLOOKUP(Invoer_Referentie[[#This Row],[C1 - Overig Materieel tbv Verwijderen]],Brandstofmachines_Omrekentabel[],8,FALSE)/VLOOKUP(Invoer_Inschrijf[[#This Row],[C1 - Overig Materieel tbv Verwijderen]],Brandstofmachines_Omrekentabel[],8,FALSE),0),_xlfn.IFNA(Invoer_Referentie[[#This Row],[C1 - Verbruik overige materieel '[liter - kWh - kg / uur']]]*VLOOKUP(Invoer_Referentie[[#This Row],[C1 - Overig Materieel tbv Verwijderen]],Brandstofmachines_Omrekentabel[],8,FALSE)/VLOOKUP(Invoer_Inschrijf[[#This Row],[C1 - Overig Materieel tbv Verwijderen]],Brandstofmachines_Omrekentabel[],8,FALSE),0)),0)</f>
        <v>0</v>
      </c>
      <c r="AD43" s="389">
        <f>Invoer_Referentie[[#This Row],[C1 - Capaciteit overig materieel '[Eenheden / uur']]]</f>
        <v>0</v>
      </c>
      <c r="AE43" s="353"/>
      <c r="AF43" s="352"/>
      <c r="AG43" s="353"/>
      <c r="AH43" s="235"/>
      <c r="BK43" s="224"/>
      <c r="BL43" s="224"/>
      <c r="BM43" s="224"/>
    </row>
    <row r="44" spans="2:65" hidden="1">
      <c r="B44" s="320"/>
      <c r="C44" s="235"/>
      <c r="D44" s="253"/>
      <c r="E44" s="1"/>
      <c r="F44" s="347"/>
      <c r="G44" s="399">
        <f>_xlfn.IFNA(IF(Invoer_Inschrijf[[#This Row],[Productgroep]]="Categorie_1_LCA_Producten",1,(VLOOKUP(Invoer_Inschrijf[[#This Row],[Product]],Database_Productkaarten[[Product]:[Comment]],64,FALSE))),0)</f>
        <v>0</v>
      </c>
      <c r="H44" s="320">
        <f>_xlfn.IFNA(IF(Invoer_Inschrijf[[#This Row],[Productgroep]]="Categorie_1_LCA_Producten",VLOOKUP(Invoer_Inschrijf[[#This Row],[Product]],Categorie_1_Producten[],2,FALSE),VLOOKUP(Invoer_Inschrijf[[#This Row],[Product]],Database_Productkaarten[[Product]:[Category]],60,FALSE)),0)</f>
        <v>0</v>
      </c>
      <c r="I44" s="260" t="e">
        <f>_xlfn.IFNA(VLOOKUP(Invoer_Inschrijf[[#This Row],[Product]],Database_Productkaarten[[Product]:[Producttype]],3,FALSE),VLOOKUP(Invoer_Inschrijf[[#This Row],[Product]],Categorie_1_Producten[#All],3,FALSE))</f>
        <v>#N/A</v>
      </c>
      <c r="J44" s="238"/>
      <c r="K44" s="320">
        <f>_xlfn.IFNA(IF(Invoer_Inschrijf[[#This Row],[Productgroep]]="Categorie_1_LCA_Producten",VLOOKUP(Invoer_Inschrijf[[#This Row],[Product]],Categorie_1_Producten[],4,FALSE),VLOOKUP(Invoer_Inschrijf[[#This Row],[Product]],Database_Productkaarten[[Product]:[Eenheid]],4,FALSE)),0)</f>
        <v>0</v>
      </c>
      <c r="L44" s="320"/>
      <c r="M44" s="320"/>
      <c r="N44" s="260"/>
      <c r="O44" s="237">
        <f>Invoer_Inschrijf[[#This Row],[Lengte'[m']]]*Invoer_Inschrijf[[#This Row],[Breedte '[m']]]</f>
        <v>0</v>
      </c>
      <c r="P44" s="235">
        <f>IFERROR(IF(Invoer_Inschrijf[[#This Row],[Oppervlakte '[m2']]]*Invoer_Inschrijf[[#This Row],[Dikte '[m']]]=0,Invoer_Inschrijf[[#This Row],[Gewicht '[ton']]]/Invoer_Inschrijf[[#This Row],[Soortelijk gewicht '[ton / m3']]],Invoer_Inschrijf[[#This Row],[Oppervlakte '[m2']]]*Invoer_Inschrijf[[#This Row],[Dikte '[m']]]),0)</f>
        <v>0</v>
      </c>
      <c r="Q44" s="236">
        <f>_xlfn.IFNA(IF(Invoer_Inschrijf[[#This Row],[Productgroep]]="Categorie_1_LCA_Producten",VLOOKUP(F44,Categorie_1_Producten[#All],5,FALSE),VLOOKUP(F44&amp;", "&amp;"Totaal",Database_Productkaarten[#All],12,FALSE)),0)</f>
        <v>0</v>
      </c>
      <c r="R44" s="235">
        <f>_xlfn.IFNA(IF(Invoer_Inschrijf[[#This Row],[Productgroep]]="Categorie_1_LCA_Producten",VLOOKUP(Invoer_Inschrijf[[#This Row],[Product]],Categorie_1_Producten[],5,FALSE)*Invoer_Inschrijf[[#This Row],[Aantal Eenheden]],(VLOOKUP(Invoer_Inschrijf[[#This Row],[Product]],Database_Productkaarten[[Product]:[Gewicht '[ton'] / Eenheid]],12,FALSE)*Invoer_Inschrijf[[#This Row],[Aantal Eenheden]])),0)</f>
        <v>0</v>
      </c>
      <c r="S44" s="237"/>
      <c r="T44" s="238">
        <f>MAX(IFERROR($E$2/IF(Invoer_Inschrijf[[#This Row],[Productgroep]]="Categorie_1_LCA_Producten",VLOOKUP(Invoer_Inschrijf[[#This Row],[Product]],Categorie_1_Producten[#All],7,FALSE),VLOOKUP(Invoer_Inschrijf[[#This Row],[Product]]&amp;", "&amp;"Totaal",Database_Productkaarten[#All],15,FALSE))-1,0),0)</f>
        <v>0</v>
      </c>
      <c r="U44" s="352"/>
      <c r="V44" s="352"/>
      <c r="W44" s="353"/>
      <c r="X44" s="353"/>
      <c r="Y44" s="389">
        <f>_xlfn.IFNA(IF(VLOOKUP(Invoer_Inschrijf[[#This Row],[A5 - Overig Materieel tbv Aanleg]],Brandstofmachines_Omrekentabel[],5,FALSE)=0,_xlfn.IFNA(Invoer_Referentie[[#This Row],[A5 - Verbruik overig materieel '[liter - kWh - kg / uur']]]*VLOOKUP(Invoer_Referentie[[#This Row],[A5 - Overig Materieel tbv Aanleg]],Brandstofmachines_Omrekentabel[],8,FALSE)/VLOOKUP(Invoer_Inschrijf[[#This Row],[A5 - Overig Materieel tbv Aanleg]],Brandstofmachines_Omrekentabel[],8,FALSE),0),_xlfn.IFNA(Invoer_Referentie[[#This Row],[A5 - Verbruik overig materieel '[liter - kWh - kg / uur']]]*VLOOKUP(Invoer_Referentie[[#This Row],[A5 - Overig Materieel tbv Aanleg]],Brandstofmachines_Omrekentabel[],8,FALSE)/VLOOKUP(Invoer_Inschrijf[[#This Row],[A5 - Overig Materieel tbv Aanleg]],Brandstofmachines_Omrekentabel[],8,FALSE),0)),0)</f>
        <v>0</v>
      </c>
      <c r="Z44" s="389">
        <f>Invoer_Referentie[[#This Row],[A5 - Capaciteit overig materieel '[Eenheden / uur']]]</f>
        <v>0</v>
      </c>
      <c r="AA44" s="353"/>
      <c r="AB44" s="353"/>
      <c r="AC44" s="389">
        <f>_xlfn.IFNA(IF(VLOOKUP(Invoer_Inschrijf[[#This Row],[C1 - Overig Materieel tbv Verwijderen]],Brandstofmachines_Omrekentabel[],5,FALSE)=0,_xlfn.IFNA(Invoer_Referentie[[#This Row],[C1 - Verbruik overige materieel '[liter - kWh - kg / uur']]]*VLOOKUP(Invoer_Referentie[[#This Row],[C1 - Overig Materieel tbv Verwijderen]],Brandstofmachines_Omrekentabel[],8,FALSE)/VLOOKUP(Invoer_Inschrijf[[#This Row],[C1 - Overig Materieel tbv Verwijderen]],Brandstofmachines_Omrekentabel[],8,FALSE),0),_xlfn.IFNA(Invoer_Referentie[[#This Row],[C1 - Verbruik overige materieel '[liter - kWh - kg / uur']]]*VLOOKUP(Invoer_Referentie[[#This Row],[C1 - Overig Materieel tbv Verwijderen]],Brandstofmachines_Omrekentabel[],8,FALSE)/VLOOKUP(Invoer_Inschrijf[[#This Row],[C1 - Overig Materieel tbv Verwijderen]],Brandstofmachines_Omrekentabel[],8,FALSE),0)),0)</f>
        <v>0</v>
      </c>
      <c r="AD44" s="389">
        <f>Invoer_Referentie[[#This Row],[C1 - Capaciteit overig materieel '[Eenheden / uur']]]</f>
        <v>0</v>
      </c>
      <c r="AE44" s="353"/>
      <c r="AF44" s="352"/>
      <c r="AG44" s="353"/>
      <c r="AH44" s="235"/>
      <c r="BK44" s="224"/>
      <c r="BL44" s="224"/>
      <c r="BM44" s="224"/>
    </row>
    <row r="45" spans="2:65" hidden="1">
      <c r="B45" s="320"/>
      <c r="C45" s="235"/>
      <c r="D45" s="253"/>
      <c r="E45" s="1"/>
      <c r="F45" s="347"/>
      <c r="G45" s="399">
        <f>_xlfn.IFNA(IF(Invoer_Inschrijf[[#This Row],[Productgroep]]="Categorie_1_LCA_Producten",1,(VLOOKUP(Invoer_Inschrijf[[#This Row],[Product]],Database_Productkaarten[[Product]:[Comment]],64,FALSE))),0)</f>
        <v>0</v>
      </c>
      <c r="H45" s="320">
        <f>_xlfn.IFNA(IF(Invoer_Inschrijf[[#This Row],[Productgroep]]="Categorie_1_LCA_Producten",VLOOKUP(Invoer_Inschrijf[[#This Row],[Product]],Categorie_1_Producten[],2,FALSE),VLOOKUP(Invoer_Inschrijf[[#This Row],[Product]],Database_Productkaarten[[Product]:[Category]],60,FALSE)),0)</f>
        <v>0</v>
      </c>
      <c r="I45" s="260" t="e">
        <f>_xlfn.IFNA(VLOOKUP(Invoer_Inschrijf[[#This Row],[Product]],Database_Productkaarten[[Product]:[Producttype]],3,FALSE),VLOOKUP(Invoer_Inschrijf[[#This Row],[Product]],Categorie_1_Producten[#All],3,FALSE))</f>
        <v>#N/A</v>
      </c>
      <c r="J45" s="238"/>
      <c r="K45" s="320">
        <f>_xlfn.IFNA(IF(Invoer_Inschrijf[[#This Row],[Productgroep]]="Categorie_1_LCA_Producten",VLOOKUP(Invoer_Inschrijf[[#This Row],[Product]],Categorie_1_Producten[],4,FALSE),VLOOKUP(Invoer_Inschrijf[[#This Row],[Product]],Database_Productkaarten[[Product]:[Eenheid]],4,FALSE)),0)</f>
        <v>0</v>
      </c>
      <c r="L45" s="320"/>
      <c r="M45" s="320"/>
      <c r="N45" s="260"/>
      <c r="O45" s="237">
        <f>Invoer_Inschrijf[[#This Row],[Lengte'[m']]]*Invoer_Inschrijf[[#This Row],[Breedte '[m']]]</f>
        <v>0</v>
      </c>
      <c r="P45" s="235">
        <f>IFERROR(IF(Invoer_Inschrijf[[#This Row],[Oppervlakte '[m2']]]*Invoer_Inschrijf[[#This Row],[Dikte '[m']]]=0,Invoer_Inschrijf[[#This Row],[Gewicht '[ton']]]/Invoer_Inschrijf[[#This Row],[Soortelijk gewicht '[ton / m3']]],Invoer_Inschrijf[[#This Row],[Oppervlakte '[m2']]]*Invoer_Inschrijf[[#This Row],[Dikte '[m']]]),0)</f>
        <v>0</v>
      </c>
      <c r="Q45" s="236">
        <f>_xlfn.IFNA(IF(Invoer_Inschrijf[[#This Row],[Productgroep]]="Categorie_1_LCA_Producten",VLOOKUP(F45,Categorie_1_Producten[#All],5,FALSE),VLOOKUP(F45&amp;", "&amp;"Totaal",Database_Productkaarten[#All],12,FALSE)),0)</f>
        <v>0</v>
      </c>
      <c r="R45" s="235">
        <f>_xlfn.IFNA(IF(Invoer_Inschrijf[[#This Row],[Productgroep]]="Categorie_1_LCA_Producten",VLOOKUP(Invoer_Inschrijf[[#This Row],[Product]],Categorie_1_Producten[],5,FALSE)*Invoer_Inschrijf[[#This Row],[Aantal Eenheden]],(VLOOKUP(Invoer_Inschrijf[[#This Row],[Product]],Database_Productkaarten[[Product]:[Gewicht '[ton'] / Eenheid]],12,FALSE)*Invoer_Inschrijf[[#This Row],[Aantal Eenheden]])),0)</f>
        <v>0</v>
      </c>
      <c r="S45" s="237"/>
      <c r="T45" s="238">
        <f>MAX(IFERROR($E$2/IF(Invoer_Inschrijf[[#This Row],[Productgroep]]="Categorie_1_LCA_Producten",VLOOKUP(Invoer_Inschrijf[[#This Row],[Product]],Categorie_1_Producten[#All],7,FALSE),VLOOKUP(Invoer_Inschrijf[[#This Row],[Product]]&amp;", "&amp;"Totaal",Database_Productkaarten[#All],15,FALSE))-1,0),0)</f>
        <v>0</v>
      </c>
      <c r="U45" s="352"/>
      <c r="V45" s="352"/>
      <c r="W45" s="353"/>
      <c r="X45" s="353"/>
      <c r="Y45" s="389">
        <f>_xlfn.IFNA(IF(VLOOKUP(Invoer_Inschrijf[[#This Row],[A5 - Overig Materieel tbv Aanleg]],Brandstofmachines_Omrekentabel[],5,FALSE)=0,_xlfn.IFNA(Invoer_Referentie[[#This Row],[A5 - Verbruik overig materieel '[liter - kWh - kg / uur']]]*VLOOKUP(Invoer_Referentie[[#This Row],[A5 - Overig Materieel tbv Aanleg]],Brandstofmachines_Omrekentabel[],8,FALSE)/VLOOKUP(Invoer_Inschrijf[[#This Row],[A5 - Overig Materieel tbv Aanleg]],Brandstofmachines_Omrekentabel[],8,FALSE),0),_xlfn.IFNA(Invoer_Referentie[[#This Row],[A5 - Verbruik overig materieel '[liter - kWh - kg / uur']]]*VLOOKUP(Invoer_Referentie[[#This Row],[A5 - Overig Materieel tbv Aanleg]],Brandstofmachines_Omrekentabel[],8,FALSE)/VLOOKUP(Invoer_Inschrijf[[#This Row],[A5 - Overig Materieel tbv Aanleg]],Brandstofmachines_Omrekentabel[],8,FALSE),0)),0)</f>
        <v>0</v>
      </c>
      <c r="Z45" s="389">
        <f>Invoer_Referentie[[#This Row],[A5 - Capaciteit overig materieel '[Eenheden / uur']]]</f>
        <v>0</v>
      </c>
      <c r="AA45" s="353"/>
      <c r="AB45" s="353"/>
      <c r="AC45" s="389">
        <f>_xlfn.IFNA(IF(VLOOKUP(Invoer_Inschrijf[[#This Row],[C1 - Overig Materieel tbv Verwijderen]],Brandstofmachines_Omrekentabel[],5,FALSE)=0,_xlfn.IFNA(Invoer_Referentie[[#This Row],[C1 - Verbruik overige materieel '[liter - kWh - kg / uur']]]*VLOOKUP(Invoer_Referentie[[#This Row],[C1 - Overig Materieel tbv Verwijderen]],Brandstofmachines_Omrekentabel[],8,FALSE)/VLOOKUP(Invoer_Inschrijf[[#This Row],[C1 - Overig Materieel tbv Verwijderen]],Brandstofmachines_Omrekentabel[],8,FALSE),0),_xlfn.IFNA(Invoer_Referentie[[#This Row],[C1 - Verbruik overige materieel '[liter - kWh - kg / uur']]]*VLOOKUP(Invoer_Referentie[[#This Row],[C1 - Overig Materieel tbv Verwijderen]],Brandstofmachines_Omrekentabel[],8,FALSE)/VLOOKUP(Invoer_Inschrijf[[#This Row],[C1 - Overig Materieel tbv Verwijderen]],Brandstofmachines_Omrekentabel[],8,FALSE),0)),0)</f>
        <v>0</v>
      </c>
      <c r="AD45" s="389">
        <f>Invoer_Referentie[[#This Row],[C1 - Capaciteit overig materieel '[Eenheden / uur']]]</f>
        <v>0</v>
      </c>
      <c r="AE45" s="353"/>
      <c r="AF45" s="352"/>
      <c r="AG45" s="353"/>
      <c r="AH45" s="235"/>
      <c r="BK45" s="224"/>
      <c r="BL45" s="224"/>
      <c r="BM45" s="224"/>
    </row>
    <row r="46" spans="2:65" hidden="1">
      <c r="B46" s="320"/>
      <c r="C46" s="235"/>
      <c r="D46" s="253"/>
      <c r="E46" s="1"/>
      <c r="F46" s="347"/>
      <c r="G46" s="399">
        <f>_xlfn.IFNA(IF(Invoer_Inschrijf[[#This Row],[Productgroep]]="Categorie_1_LCA_Producten",1,(VLOOKUP(Invoer_Inschrijf[[#This Row],[Product]],Database_Productkaarten[[Product]:[Comment]],64,FALSE))),0)</f>
        <v>0</v>
      </c>
      <c r="H46" s="320">
        <f>_xlfn.IFNA(IF(Invoer_Inschrijf[[#This Row],[Productgroep]]="Categorie_1_LCA_Producten",VLOOKUP(Invoer_Inschrijf[[#This Row],[Product]],Categorie_1_Producten[],2,FALSE),VLOOKUP(Invoer_Inschrijf[[#This Row],[Product]],Database_Productkaarten[[Product]:[Category]],60,FALSE)),0)</f>
        <v>0</v>
      </c>
      <c r="I46" s="260" t="e">
        <f>_xlfn.IFNA(VLOOKUP(Invoer_Inschrijf[[#This Row],[Product]],Database_Productkaarten[[Product]:[Producttype]],3,FALSE),VLOOKUP(Invoer_Inschrijf[[#This Row],[Product]],Categorie_1_Producten[#All],3,FALSE))</f>
        <v>#N/A</v>
      </c>
      <c r="J46" s="238"/>
      <c r="K46" s="320">
        <f>_xlfn.IFNA(IF(Invoer_Inschrijf[[#This Row],[Productgroep]]="Categorie_1_LCA_Producten",VLOOKUP(Invoer_Inschrijf[[#This Row],[Product]],Categorie_1_Producten[],4,FALSE),VLOOKUP(Invoer_Inschrijf[[#This Row],[Product]],Database_Productkaarten[[Product]:[Eenheid]],4,FALSE)),0)</f>
        <v>0</v>
      </c>
      <c r="L46" s="320"/>
      <c r="M46" s="320"/>
      <c r="N46" s="260"/>
      <c r="O46" s="237">
        <f>Invoer_Inschrijf[[#This Row],[Lengte'[m']]]*Invoer_Inschrijf[[#This Row],[Breedte '[m']]]</f>
        <v>0</v>
      </c>
      <c r="P46" s="235">
        <f>IFERROR(IF(Invoer_Inschrijf[[#This Row],[Oppervlakte '[m2']]]*Invoer_Inschrijf[[#This Row],[Dikte '[m']]]=0,Invoer_Inschrijf[[#This Row],[Gewicht '[ton']]]/Invoer_Inschrijf[[#This Row],[Soortelijk gewicht '[ton / m3']]],Invoer_Inschrijf[[#This Row],[Oppervlakte '[m2']]]*Invoer_Inschrijf[[#This Row],[Dikte '[m']]]),0)</f>
        <v>0</v>
      </c>
      <c r="Q46" s="236">
        <f>_xlfn.IFNA(IF(Invoer_Inschrijf[[#This Row],[Productgroep]]="Categorie_1_LCA_Producten",VLOOKUP(F46,Categorie_1_Producten[#All],5,FALSE),VLOOKUP(F46&amp;", "&amp;"Totaal",Database_Productkaarten[#All],12,FALSE)),0)</f>
        <v>0</v>
      </c>
      <c r="R46" s="235">
        <f>_xlfn.IFNA(IF(Invoer_Inschrijf[[#This Row],[Productgroep]]="Categorie_1_LCA_Producten",VLOOKUP(Invoer_Inschrijf[[#This Row],[Product]],Categorie_1_Producten[],5,FALSE)*Invoer_Inschrijf[[#This Row],[Aantal Eenheden]],(VLOOKUP(Invoer_Inschrijf[[#This Row],[Product]],Database_Productkaarten[[Product]:[Gewicht '[ton'] / Eenheid]],12,FALSE)*Invoer_Inschrijf[[#This Row],[Aantal Eenheden]])),0)</f>
        <v>0</v>
      </c>
      <c r="S46" s="237"/>
      <c r="T46" s="238">
        <f>MAX(IFERROR($E$2/IF(Invoer_Inschrijf[[#This Row],[Productgroep]]="Categorie_1_LCA_Producten",VLOOKUP(Invoer_Inschrijf[[#This Row],[Product]],Categorie_1_Producten[#All],7,FALSE),VLOOKUP(Invoer_Inschrijf[[#This Row],[Product]]&amp;", "&amp;"Totaal",Database_Productkaarten[#All],15,FALSE))-1,0),0)</f>
        <v>0</v>
      </c>
      <c r="U46" s="352"/>
      <c r="V46" s="352"/>
      <c r="W46" s="353"/>
      <c r="X46" s="353"/>
      <c r="Y46" s="389">
        <f>_xlfn.IFNA(IF(VLOOKUP(Invoer_Inschrijf[[#This Row],[A5 - Overig Materieel tbv Aanleg]],Brandstofmachines_Omrekentabel[],5,FALSE)=0,_xlfn.IFNA(Invoer_Referentie[[#This Row],[A5 - Verbruik overig materieel '[liter - kWh - kg / uur']]]*VLOOKUP(Invoer_Referentie[[#This Row],[A5 - Overig Materieel tbv Aanleg]],Brandstofmachines_Omrekentabel[],8,FALSE)/VLOOKUP(Invoer_Inschrijf[[#This Row],[A5 - Overig Materieel tbv Aanleg]],Brandstofmachines_Omrekentabel[],8,FALSE),0),_xlfn.IFNA(Invoer_Referentie[[#This Row],[A5 - Verbruik overig materieel '[liter - kWh - kg / uur']]]*VLOOKUP(Invoer_Referentie[[#This Row],[A5 - Overig Materieel tbv Aanleg]],Brandstofmachines_Omrekentabel[],8,FALSE)/VLOOKUP(Invoer_Inschrijf[[#This Row],[A5 - Overig Materieel tbv Aanleg]],Brandstofmachines_Omrekentabel[],8,FALSE),0)),0)</f>
        <v>0</v>
      </c>
      <c r="Z46" s="389">
        <f>Invoer_Referentie[[#This Row],[A5 - Capaciteit overig materieel '[Eenheden / uur']]]</f>
        <v>0</v>
      </c>
      <c r="AA46" s="353"/>
      <c r="AB46" s="353"/>
      <c r="AC46" s="389">
        <f>_xlfn.IFNA(IF(VLOOKUP(Invoer_Inschrijf[[#This Row],[C1 - Overig Materieel tbv Verwijderen]],Brandstofmachines_Omrekentabel[],5,FALSE)=0,_xlfn.IFNA(Invoer_Referentie[[#This Row],[C1 - Verbruik overige materieel '[liter - kWh - kg / uur']]]*VLOOKUP(Invoer_Referentie[[#This Row],[C1 - Overig Materieel tbv Verwijderen]],Brandstofmachines_Omrekentabel[],8,FALSE)/VLOOKUP(Invoer_Inschrijf[[#This Row],[C1 - Overig Materieel tbv Verwijderen]],Brandstofmachines_Omrekentabel[],8,FALSE),0),_xlfn.IFNA(Invoer_Referentie[[#This Row],[C1 - Verbruik overige materieel '[liter - kWh - kg / uur']]]*VLOOKUP(Invoer_Referentie[[#This Row],[C1 - Overig Materieel tbv Verwijderen]],Brandstofmachines_Omrekentabel[],8,FALSE)/VLOOKUP(Invoer_Inschrijf[[#This Row],[C1 - Overig Materieel tbv Verwijderen]],Brandstofmachines_Omrekentabel[],8,FALSE),0)),0)</f>
        <v>0</v>
      </c>
      <c r="AD46" s="389">
        <f>Invoer_Referentie[[#This Row],[C1 - Capaciteit overig materieel '[Eenheden / uur']]]</f>
        <v>0</v>
      </c>
      <c r="AE46" s="353"/>
      <c r="AF46" s="352"/>
      <c r="AG46" s="353"/>
      <c r="AH46" s="235"/>
      <c r="BK46" s="224"/>
      <c r="BL46" s="224"/>
      <c r="BM46" s="224"/>
    </row>
    <row r="47" spans="2:65" hidden="1">
      <c r="B47" s="320"/>
      <c r="C47" s="235"/>
      <c r="D47" s="253"/>
      <c r="E47" s="1"/>
      <c r="F47" s="347"/>
      <c r="G47" s="399">
        <f>_xlfn.IFNA(IF(Invoer_Inschrijf[[#This Row],[Productgroep]]="Categorie_1_LCA_Producten",1,(VLOOKUP(Invoer_Inschrijf[[#This Row],[Product]],Database_Productkaarten[[Product]:[Comment]],64,FALSE))),0)</f>
        <v>0</v>
      </c>
      <c r="H47" s="320">
        <f>_xlfn.IFNA(IF(Invoer_Inschrijf[[#This Row],[Productgroep]]="Categorie_1_LCA_Producten",VLOOKUP(Invoer_Inschrijf[[#This Row],[Product]],Categorie_1_Producten[],2,FALSE),VLOOKUP(Invoer_Inschrijf[[#This Row],[Product]],Database_Productkaarten[[Product]:[Category]],60,FALSE)),0)</f>
        <v>0</v>
      </c>
      <c r="I47" s="260" t="e">
        <f>_xlfn.IFNA(VLOOKUP(Invoer_Inschrijf[[#This Row],[Product]],Database_Productkaarten[[Product]:[Producttype]],3,FALSE),VLOOKUP(Invoer_Inschrijf[[#This Row],[Product]],Categorie_1_Producten[#All],3,FALSE))</f>
        <v>#N/A</v>
      </c>
      <c r="J47" s="238"/>
      <c r="K47" s="320">
        <f>_xlfn.IFNA(IF(Invoer_Inschrijf[[#This Row],[Productgroep]]="Categorie_1_LCA_Producten",VLOOKUP(Invoer_Inschrijf[[#This Row],[Product]],Categorie_1_Producten[],4,FALSE),VLOOKUP(Invoer_Inschrijf[[#This Row],[Product]],Database_Productkaarten[[Product]:[Eenheid]],4,FALSE)),0)</f>
        <v>0</v>
      </c>
      <c r="L47" s="320"/>
      <c r="M47" s="320"/>
      <c r="N47" s="260"/>
      <c r="O47" s="237">
        <f>Invoer_Inschrijf[[#This Row],[Lengte'[m']]]*Invoer_Inschrijf[[#This Row],[Breedte '[m']]]</f>
        <v>0</v>
      </c>
      <c r="P47" s="235">
        <f>IFERROR(IF(Invoer_Inschrijf[[#This Row],[Oppervlakte '[m2']]]*Invoer_Inschrijf[[#This Row],[Dikte '[m']]]=0,Invoer_Inschrijf[[#This Row],[Gewicht '[ton']]]/Invoer_Inschrijf[[#This Row],[Soortelijk gewicht '[ton / m3']]],Invoer_Inschrijf[[#This Row],[Oppervlakte '[m2']]]*Invoer_Inschrijf[[#This Row],[Dikte '[m']]]),0)</f>
        <v>0</v>
      </c>
      <c r="Q47" s="236">
        <f>_xlfn.IFNA(IF(Invoer_Inschrijf[[#This Row],[Productgroep]]="Categorie_1_LCA_Producten",VLOOKUP(F47,Categorie_1_Producten[#All],5,FALSE),VLOOKUP(F47&amp;", "&amp;"Totaal",Database_Productkaarten[#All],12,FALSE)),0)</f>
        <v>0</v>
      </c>
      <c r="R47" s="235">
        <f>_xlfn.IFNA(IF(Invoer_Inschrijf[[#This Row],[Productgroep]]="Categorie_1_LCA_Producten",VLOOKUP(Invoer_Inschrijf[[#This Row],[Product]],Categorie_1_Producten[],5,FALSE)*Invoer_Inschrijf[[#This Row],[Aantal Eenheden]],(VLOOKUP(Invoer_Inschrijf[[#This Row],[Product]],Database_Productkaarten[[Product]:[Gewicht '[ton'] / Eenheid]],12,FALSE)*Invoer_Inschrijf[[#This Row],[Aantal Eenheden]])),0)</f>
        <v>0</v>
      </c>
      <c r="S47" s="237"/>
      <c r="T47" s="238">
        <f>MAX(IFERROR($E$2/IF(Invoer_Inschrijf[[#This Row],[Productgroep]]="Categorie_1_LCA_Producten",VLOOKUP(Invoer_Inschrijf[[#This Row],[Product]],Categorie_1_Producten[#All],7,FALSE),VLOOKUP(Invoer_Inschrijf[[#This Row],[Product]]&amp;", "&amp;"Totaal",Database_Productkaarten[#All],15,FALSE))-1,0),0)</f>
        <v>0</v>
      </c>
      <c r="U47" s="352"/>
      <c r="V47" s="352"/>
      <c r="W47" s="353"/>
      <c r="X47" s="353"/>
      <c r="Y47" s="389">
        <f>_xlfn.IFNA(IF(VLOOKUP(Invoer_Inschrijf[[#This Row],[A5 - Overig Materieel tbv Aanleg]],Brandstofmachines_Omrekentabel[],5,FALSE)=0,_xlfn.IFNA(Invoer_Referentie[[#This Row],[A5 - Verbruik overig materieel '[liter - kWh - kg / uur']]]*VLOOKUP(Invoer_Referentie[[#This Row],[A5 - Overig Materieel tbv Aanleg]],Brandstofmachines_Omrekentabel[],8,FALSE)/VLOOKUP(Invoer_Inschrijf[[#This Row],[A5 - Overig Materieel tbv Aanleg]],Brandstofmachines_Omrekentabel[],8,FALSE),0),_xlfn.IFNA(Invoer_Referentie[[#This Row],[A5 - Verbruik overig materieel '[liter - kWh - kg / uur']]]*VLOOKUP(Invoer_Referentie[[#This Row],[A5 - Overig Materieel tbv Aanleg]],Brandstofmachines_Omrekentabel[],8,FALSE)/VLOOKUP(Invoer_Inschrijf[[#This Row],[A5 - Overig Materieel tbv Aanleg]],Brandstofmachines_Omrekentabel[],8,FALSE),0)),0)</f>
        <v>0</v>
      </c>
      <c r="Z47" s="389">
        <f>Invoer_Referentie[[#This Row],[A5 - Capaciteit overig materieel '[Eenheden / uur']]]</f>
        <v>0</v>
      </c>
      <c r="AA47" s="353"/>
      <c r="AB47" s="353"/>
      <c r="AC47" s="389">
        <f>_xlfn.IFNA(IF(VLOOKUP(Invoer_Inschrijf[[#This Row],[C1 - Overig Materieel tbv Verwijderen]],Brandstofmachines_Omrekentabel[],5,FALSE)=0,_xlfn.IFNA(Invoer_Referentie[[#This Row],[C1 - Verbruik overige materieel '[liter - kWh - kg / uur']]]*VLOOKUP(Invoer_Referentie[[#This Row],[C1 - Overig Materieel tbv Verwijderen]],Brandstofmachines_Omrekentabel[],8,FALSE)/VLOOKUP(Invoer_Inschrijf[[#This Row],[C1 - Overig Materieel tbv Verwijderen]],Brandstofmachines_Omrekentabel[],8,FALSE),0),_xlfn.IFNA(Invoer_Referentie[[#This Row],[C1 - Verbruik overige materieel '[liter - kWh - kg / uur']]]*VLOOKUP(Invoer_Referentie[[#This Row],[C1 - Overig Materieel tbv Verwijderen]],Brandstofmachines_Omrekentabel[],8,FALSE)/VLOOKUP(Invoer_Inschrijf[[#This Row],[C1 - Overig Materieel tbv Verwijderen]],Brandstofmachines_Omrekentabel[],8,FALSE),0)),0)</f>
        <v>0</v>
      </c>
      <c r="AD47" s="389">
        <f>Invoer_Referentie[[#This Row],[C1 - Capaciteit overig materieel '[Eenheden / uur']]]</f>
        <v>0</v>
      </c>
      <c r="AE47" s="353"/>
      <c r="AF47" s="352"/>
      <c r="AG47" s="353"/>
      <c r="AH47" s="235"/>
      <c r="BK47" s="224"/>
      <c r="BL47" s="224"/>
      <c r="BM47" s="224"/>
    </row>
    <row r="48" spans="2:65" hidden="1">
      <c r="B48" s="320"/>
      <c r="C48" s="235"/>
      <c r="D48" s="253"/>
      <c r="E48" s="1"/>
      <c r="F48" s="347"/>
      <c r="G48" s="399">
        <f>_xlfn.IFNA(IF(Invoer_Inschrijf[[#This Row],[Productgroep]]="Categorie_1_LCA_Producten",1,(VLOOKUP(Invoer_Inschrijf[[#This Row],[Product]],Database_Productkaarten[[Product]:[Comment]],64,FALSE))),0)</f>
        <v>0</v>
      </c>
      <c r="H48" s="320">
        <f>_xlfn.IFNA(IF(Invoer_Inschrijf[[#This Row],[Productgroep]]="Categorie_1_LCA_Producten",VLOOKUP(Invoer_Inschrijf[[#This Row],[Product]],Categorie_1_Producten[],2,FALSE),VLOOKUP(Invoer_Inschrijf[[#This Row],[Product]],Database_Productkaarten[[Product]:[Category]],60,FALSE)),0)</f>
        <v>0</v>
      </c>
      <c r="I48" s="260" t="e">
        <f>_xlfn.IFNA(VLOOKUP(Invoer_Inschrijf[[#This Row],[Product]],Database_Productkaarten[[Product]:[Producttype]],3,FALSE),VLOOKUP(Invoer_Inschrijf[[#This Row],[Product]],Categorie_1_Producten[#All],3,FALSE))</f>
        <v>#N/A</v>
      </c>
      <c r="J48" s="238"/>
      <c r="K48" s="320">
        <f>_xlfn.IFNA(IF(Invoer_Inschrijf[[#This Row],[Productgroep]]="Categorie_1_LCA_Producten",VLOOKUP(Invoer_Inschrijf[[#This Row],[Product]],Categorie_1_Producten[],4,FALSE),VLOOKUP(Invoer_Inschrijf[[#This Row],[Product]],Database_Productkaarten[[Product]:[Eenheid]],4,FALSE)),0)</f>
        <v>0</v>
      </c>
      <c r="L48" s="320"/>
      <c r="M48" s="320"/>
      <c r="N48" s="260"/>
      <c r="O48" s="237">
        <f>Invoer_Inschrijf[[#This Row],[Lengte'[m']]]*Invoer_Inschrijf[[#This Row],[Breedte '[m']]]</f>
        <v>0</v>
      </c>
      <c r="P48" s="235">
        <f>IFERROR(IF(Invoer_Inschrijf[[#This Row],[Oppervlakte '[m2']]]*Invoer_Inschrijf[[#This Row],[Dikte '[m']]]=0,Invoer_Inschrijf[[#This Row],[Gewicht '[ton']]]/Invoer_Inschrijf[[#This Row],[Soortelijk gewicht '[ton / m3']]],Invoer_Inschrijf[[#This Row],[Oppervlakte '[m2']]]*Invoer_Inschrijf[[#This Row],[Dikte '[m']]]),0)</f>
        <v>0</v>
      </c>
      <c r="Q48" s="236">
        <f>_xlfn.IFNA(IF(Invoer_Inschrijf[[#This Row],[Productgroep]]="Categorie_1_LCA_Producten",VLOOKUP(F48,Categorie_1_Producten[#All],5,FALSE),VLOOKUP(F48&amp;", "&amp;"Totaal",Database_Productkaarten[#All],12,FALSE)),0)</f>
        <v>0</v>
      </c>
      <c r="R48" s="235">
        <f>_xlfn.IFNA(IF(Invoer_Inschrijf[[#This Row],[Productgroep]]="Categorie_1_LCA_Producten",VLOOKUP(Invoer_Inschrijf[[#This Row],[Product]],Categorie_1_Producten[],5,FALSE)*Invoer_Inschrijf[[#This Row],[Aantal Eenheden]],(VLOOKUP(Invoer_Inschrijf[[#This Row],[Product]],Database_Productkaarten[[Product]:[Gewicht '[ton'] / Eenheid]],12,FALSE)*Invoer_Inschrijf[[#This Row],[Aantal Eenheden]])),0)</f>
        <v>0</v>
      </c>
      <c r="S48" s="237"/>
      <c r="T48" s="238">
        <f>MAX(IFERROR($E$2/IF(Invoer_Inschrijf[[#This Row],[Productgroep]]="Categorie_1_LCA_Producten",VLOOKUP(Invoer_Inschrijf[[#This Row],[Product]],Categorie_1_Producten[#All],7,FALSE),VLOOKUP(Invoer_Inschrijf[[#This Row],[Product]]&amp;", "&amp;"Totaal",Database_Productkaarten[#All],15,FALSE))-1,0),0)</f>
        <v>0</v>
      </c>
      <c r="U48" s="352"/>
      <c r="V48" s="352"/>
      <c r="W48" s="353"/>
      <c r="X48" s="353"/>
      <c r="Y48" s="389">
        <f>_xlfn.IFNA(IF(VLOOKUP(Invoer_Inschrijf[[#This Row],[A5 - Overig Materieel tbv Aanleg]],Brandstofmachines_Omrekentabel[],5,FALSE)=0,_xlfn.IFNA(Invoer_Referentie[[#This Row],[A5 - Verbruik overig materieel '[liter - kWh - kg / uur']]]*VLOOKUP(Invoer_Referentie[[#This Row],[A5 - Overig Materieel tbv Aanleg]],Brandstofmachines_Omrekentabel[],8,FALSE)/VLOOKUP(Invoer_Inschrijf[[#This Row],[A5 - Overig Materieel tbv Aanleg]],Brandstofmachines_Omrekentabel[],8,FALSE),0),_xlfn.IFNA(Invoer_Referentie[[#This Row],[A5 - Verbruik overig materieel '[liter - kWh - kg / uur']]]*VLOOKUP(Invoer_Referentie[[#This Row],[A5 - Overig Materieel tbv Aanleg]],Brandstofmachines_Omrekentabel[],8,FALSE)/VLOOKUP(Invoer_Inschrijf[[#This Row],[A5 - Overig Materieel tbv Aanleg]],Brandstofmachines_Omrekentabel[],8,FALSE),0)),0)</f>
        <v>0</v>
      </c>
      <c r="Z48" s="389">
        <f>Invoer_Referentie[[#This Row],[A5 - Capaciteit overig materieel '[Eenheden / uur']]]</f>
        <v>0</v>
      </c>
      <c r="AA48" s="353"/>
      <c r="AB48" s="353"/>
      <c r="AC48" s="389">
        <f>_xlfn.IFNA(IF(VLOOKUP(Invoer_Inschrijf[[#This Row],[C1 - Overig Materieel tbv Verwijderen]],Brandstofmachines_Omrekentabel[],5,FALSE)=0,_xlfn.IFNA(Invoer_Referentie[[#This Row],[C1 - Verbruik overige materieel '[liter - kWh - kg / uur']]]*VLOOKUP(Invoer_Referentie[[#This Row],[C1 - Overig Materieel tbv Verwijderen]],Brandstofmachines_Omrekentabel[],8,FALSE)/VLOOKUP(Invoer_Inschrijf[[#This Row],[C1 - Overig Materieel tbv Verwijderen]],Brandstofmachines_Omrekentabel[],8,FALSE),0),_xlfn.IFNA(Invoer_Referentie[[#This Row],[C1 - Verbruik overige materieel '[liter - kWh - kg / uur']]]*VLOOKUP(Invoer_Referentie[[#This Row],[C1 - Overig Materieel tbv Verwijderen]],Brandstofmachines_Omrekentabel[],8,FALSE)/VLOOKUP(Invoer_Inschrijf[[#This Row],[C1 - Overig Materieel tbv Verwijderen]],Brandstofmachines_Omrekentabel[],8,FALSE),0)),0)</f>
        <v>0</v>
      </c>
      <c r="AD48" s="389">
        <f>Invoer_Referentie[[#This Row],[C1 - Capaciteit overig materieel '[Eenheden / uur']]]</f>
        <v>0</v>
      </c>
      <c r="AE48" s="353"/>
      <c r="AF48" s="352"/>
      <c r="AG48" s="353"/>
      <c r="AH48" s="235"/>
      <c r="BK48" s="224"/>
      <c r="BL48" s="224"/>
      <c r="BM48" s="224"/>
    </row>
    <row r="49" spans="2:65" hidden="1">
      <c r="B49" s="320"/>
      <c r="C49" s="235"/>
      <c r="D49" s="253"/>
      <c r="E49" s="1"/>
      <c r="F49" s="347"/>
      <c r="G49" s="399">
        <f>_xlfn.IFNA(IF(Invoer_Inschrijf[[#This Row],[Productgroep]]="Categorie_1_LCA_Producten",1,(VLOOKUP(Invoer_Inschrijf[[#This Row],[Product]],Database_Productkaarten[[Product]:[Comment]],64,FALSE))),0)</f>
        <v>0</v>
      </c>
      <c r="H49" s="320">
        <f>_xlfn.IFNA(IF(Invoer_Inschrijf[[#This Row],[Productgroep]]="Categorie_1_LCA_Producten",VLOOKUP(Invoer_Inschrijf[[#This Row],[Product]],Categorie_1_Producten[],2,FALSE),VLOOKUP(Invoer_Inschrijf[[#This Row],[Product]],Database_Productkaarten[[Product]:[Category]],60,FALSE)),0)</f>
        <v>0</v>
      </c>
      <c r="I49" s="260" t="e">
        <f>_xlfn.IFNA(VLOOKUP(Invoer_Inschrijf[[#This Row],[Product]],Database_Productkaarten[[Product]:[Producttype]],3,FALSE),VLOOKUP(Invoer_Inschrijf[[#This Row],[Product]],Categorie_1_Producten[#All],3,FALSE))</f>
        <v>#N/A</v>
      </c>
      <c r="J49" s="238"/>
      <c r="K49" s="320">
        <f>_xlfn.IFNA(IF(Invoer_Inschrijf[[#This Row],[Productgroep]]="Categorie_1_LCA_Producten",VLOOKUP(Invoer_Inschrijf[[#This Row],[Product]],Categorie_1_Producten[],4,FALSE),VLOOKUP(Invoer_Inschrijf[[#This Row],[Product]],Database_Productkaarten[[Product]:[Eenheid]],4,FALSE)),0)</f>
        <v>0</v>
      </c>
      <c r="L49" s="320"/>
      <c r="M49" s="320"/>
      <c r="N49" s="260"/>
      <c r="O49" s="237">
        <f>Invoer_Inschrijf[[#This Row],[Lengte'[m']]]*Invoer_Inschrijf[[#This Row],[Breedte '[m']]]</f>
        <v>0</v>
      </c>
      <c r="P49" s="235">
        <f>IFERROR(IF(Invoer_Inschrijf[[#This Row],[Oppervlakte '[m2']]]*Invoer_Inschrijf[[#This Row],[Dikte '[m']]]=0,Invoer_Inschrijf[[#This Row],[Gewicht '[ton']]]/Invoer_Inschrijf[[#This Row],[Soortelijk gewicht '[ton / m3']]],Invoer_Inschrijf[[#This Row],[Oppervlakte '[m2']]]*Invoer_Inschrijf[[#This Row],[Dikte '[m']]]),0)</f>
        <v>0</v>
      </c>
      <c r="Q49" s="236">
        <f>_xlfn.IFNA(IF(Invoer_Inschrijf[[#This Row],[Productgroep]]="Categorie_1_LCA_Producten",VLOOKUP(F49,Categorie_1_Producten[#All],5,FALSE),VLOOKUP(F49&amp;", "&amp;"Totaal",Database_Productkaarten[#All],12,FALSE)),0)</f>
        <v>0</v>
      </c>
      <c r="R49" s="235">
        <f>_xlfn.IFNA(IF(Invoer_Inschrijf[[#This Row],[Productgroep]]="Categorie_1_LCA_Producten",VLOOKUP(Invoer_Inschrijf[[#This Row],[Product]],Categorie_1_Producten[],5,FALSE)*Invoer_Inschrijf[[#This Row],[Aantal Eenheden]],(VLOOKUP(Invoer_Inschrijf[[#This Row],[Product]],Database_Productkaarten[[Product]:[Gewicht '[ton'] / Eenheid]],12,FALSE)*Invoer_Inschrijf[[#This Row],[Aantal Eenheden]])),0)</f>
        <v>0</v>
      </c>
      <c r="S49" s="237"/>
      <c r="T49" s="238">
        <f>MAX(IFERROR($E$2/IF(Invoer_Inschrijf[[#This Row],[Productgroep]]="Categorie_1_LCA_Producten",VLOOKUP(Invoer_Inschrijf[[#This Row],[Product]],Categorie_1_Producten[#All],7,FALSE),VLOOKUP(Invoer_Inschrijf[[#This Row],[Product]]&amp;", "&amp;"Totaal",Database_Productkaarten[#All],15,FALSE))-1,0),0)</f>
        <v>0</v>
      </c>
      <c r="U49" s="352"/>
      <c r="V49" s="352"/>
      <c r="W49" s="353"/>
      <c r="X49" s="353"/>
      <c r="Y49" s="389">
        <f>_xlfn.IFNA(IF(VLOOKUP(Invoer_Inschrijf[[#This Row],[A5 - Overig Materieel tbv Aanleg]],Brandstofmachines_Omrekentabel[],5,FALSE)=0,_xlfn.IFNA(Invoer_Referentie[[#This Row],[A5 - Verbruik overig materieel '[liter - kWh - kg / uur']]]*VLOOKUP(Invoer_Referentie[[#This Row],[A5 - Overig Materieel tbv Aanleg]],Brandstofmachines_Omrekentabel[],8,FALSE)/VLOOKUP(Invoer_Inschrijf[[#This Row],[A5 - Overig Materieel tbv Aanleg]],Brandstofmachines_Omrekentabel[],8,FALSE),0),_xlfn.IFNA(Invoer_Referentie[[#This Row],[A5 - Verbruik overig materieel '[liter - kWh - kg / uur']]]*VLOOKUP(Invoer_Referentie[[#This Row],[A5 - Overig Materieel tbv Aanleg]],Brandstofmachines_Omrekentabel[],8,FALSE)/VLOOKUP(Invoer_Inschrijf[[#This Row],[A5 - Overig Materieel tbv Aanleg]],Brandstofmachines_Omrekentabel[],8,FALSE),0)),0)</f>
        <v>0</v>
      </c>
      <c r="Z49" s="389">
        <f>Invoer_Referentie[[#This Row],[A5 - Capaciteit overig materieel '[Eenheden / uur']]]</f>
        <v>0</v>
      </c>
      <c r="AA49" s="353"/>
      <c r="AB49" s="353"/>
      <c r="AC49" s="389">
        <f>_xlfn.IFNA(IF(VLOOKUP(Invoer_Inschrijf[[#This Row],[C1 - Overig Materieel tbv Verwijderen]],Brandstofmachines_Omrekentabel[],5,FALSE)=0,_xlfn.IFNA(Invoer_Referentie[[#This Row],[C1 - Verbruik overige materieel '[liter - kWh - kg / uur']]]*VLOOKUP(Invoer_Referentie[[#This Row],[C1 - Overig Materieel tbv Verwijderen]],Brandstofmachines_Omrekentabel[],8,FALSE)/VLOOKUP(Invoer_Inschrijf[[#This Row],[C1 - Overig Materieel tbv Verwijderen]],Brandstofmachines_Omrekentabel[],8,FALSE),0),_xlfn.IFNA(Invoer_Referentie[[#This Row],[C1 - Verbruik overige materieel '[liter - kWh - kg / uur']]]*VLOOKUP(Invoer_Referentie[[#This Row],[C1 - Overig Materieel tbv Verwijderen]],Brandstofmachines_Omrekentabel[],8,FALSE)/VLOOKUP(Invoer_Inschrijf[[#This Row],[C1 - Overig Materieel tbv Verwijderen]],Brandstofmachines_Omrekentabel[],8,FALSE),0)),0)</f>
        <v>0</v>
      </c>
      <c r="AD49" s="389">
        <f>Invoer_Referentie[[#This Row],[C1 - Capaciteit overig materieel '[Eenheden / uur']]]</f>
        <v>0</v>
      </c>
      <c r="AE49" s="353"/>
      <c r="AF49" s="352"/>
      <c r="AG49" s="353"/>
      <c r="AH49" s="235"/>
      <c r="BK49" s="224"/>
      <c r="BL49" s="224"/>
      <c r="BM49" s="224"/>
    </row>
    <row r="50" spans="2:65" hidden="1">
      <c r="B50" s="320"/>
      <c r="C50" s="235"/>
      <c r="D50" s="253"/>
      <c r="E50" s="1"/>
      <c r="F50" s="347"/>
      <c r="G50" s="399">
        <f>_xlfn.IFNA(IF(Invoer_Inschrijf[[#This Row],[Productgroep]]="Categorie_1_LCA_Producten",1,(VLOOKUP(Invoer_Inschrijf[[#This Row],[Product]],Database_Productkaarten[[Product]:[Comment]],64,FALSE))),0)</f>
        <v>0</v>
      </c>
      <c r="H50" s="320">
        <f>_xlfn.IFNA(IF(Invoer_Inschrijf[[#This Row],[Productgroep]]="Categorie_1_LCA_Producten",VLOOKUP(Invoer_Inschrijf[[#This Row],[Product]],Categorie_1_Producten[],2,FALSE),VLOOKUP(Invoer_Inschrijf[[#This Row],[Product]],Database_Productkaarten[[Product]:[Category]],60,FALSE)),0)</f>
        <v>0</v>
      </c>
      <c r="I50" s="260" t="e">
        <f>_xlfn.IFNA(VLOOKUP(Invoer_Inschrijf[[#This Row],[Product]],Database_Productkaarten[[Product]:[Producttype]],3,FALSE),VLOOKUP(Invoer_Inschrijf[[#This Row],[Product]],Categorie_1_Producten[#All],3,FALSE))</f>
        <v>#N/A</v>
      </c>
      <c r="J50" s="238"/>
      <c r="K50" s="320">
        <f>_xlfn.IFNA(IF(Invoer_Inschrijf[[#This Row],[Productgroep]]="Categorie_1_LCA_Producten",VLOOKUP(Invoer_Inschrijf[[#This Row],[Product]],Categorie_1_Producten[],4,FALSE),VLOOKUP(Invoer_Inschrijf[[#This Row],[Product]],Database_Productkaarten[[Product]:[Eenheid]],4,FALSE)),0)</f>
        <v>0</v>
      </c>
      <c r="L50" s="320"/>
      <c r="M50" s="320"/>
      <c r="N50" s="260"/>
      <c r="O50" s="237">
        <f>Invoer_Inschrijf[[#This Row],[Lengte'[m']]]*Invoer_Inschrijf[[#This Row],[Breedte '[m']]]</f>
        <v>0</v>
      </c>
      <c r="P50" s="235">
        <f>IFERROR(IF(Invoer_Inschrijf[[#This Row],[Oppervlakte '[m2']]]*Invoer_Inschrijf[[#This Row],[Dikte '[m']]]=0,Invoer_Inschrijf[[#This Row],[Gewicht '[ton']]]/Invoer_Inschrijf[[#This Row],[Soortelijk gewicht '[ton / m3']]],Invoer_Inschrijf[[#This Row],[Oppervlakte '[m2']]]*Invoer_Inschrijf[[#This Row],[Dikte '[m']]]),0)</f>
        <v>0</v>
      </c>
      <c r="Q50" s="236">
        <f>_xlfn.IFNA(IF(Invoer_Inschrijf[[#This Row],[Productgroep]]="Categorie_1_LCA_Producten",VLOOKUP(F50,Categorie_1_Producten[#All],5,FALSE),VLOOKUP(F50&amp;", "&amp;"Totaal",Database_Productkaarten[#All],12,FALSE)),0)</f>
        <v>0</v>
      </c>
      <c r="R50" s="235">
        <f>_xlfn.IFNA(IF(Invoer_Inschrijf[[#This Row],[Productgroep]]="Categorie_1_LCA_Producten",VLOOKUP(Invoer_Inschrijf[[#This Row],[Product]],Categorie_1_Producten[],5,FALSE)*Invoer_Inschrijf[[#This Row],[Aantal Eenheden]],(VLOOKUP(Invoer_Inschrijf[[#This Row],[Product]],Database_Productkaarten[[Product]:[Gewicht '[ton'] / Eenheid]],12,FALSE)*Invoer_Inschrijf[[#This Row],[Aantal Eenheden]])),0)</f>
        <v>0</v>
      </c>
      <c r="S50" s="237"/>
      <c r="T50" s="238">
        <f>MAX(IFERROR($E$2/IF(Invoer_Inschrijf[[#This Row],[Productgroep]]="Categorie_1_LCA_Producten",VLOOKUP(Invoer_Inschrijf[[#This Row],[Product]],Categorie_1_Producten[#All],7,FALSE),VLOOKUP(Invoer_Inschrijf[[#This Row],[Product]]&amp;", "&amp;"Totaal",Database_Productkaarten[#All],15,FALSE))-1,0),0)</f>
        <v>0</v>
      </c>
      <c r="U50" s="352"/>
      <c r="V50" s="352"/>
      <c r="W50" s="353"/>
      <c r="X50" s="353"/>
      <c r="Y50" s="389">
        <f>_xlfn.IFNA(IF(VLOOKUP(Invoer_Inschrijf[[#This Row],[A5 - Overig Materieel tbv Aanleg]],Brandstofmachines_Omrekentabel[],5,FALSE)=0,_xlfn.IFNA(Invoer_Referentie[[#This Row],[A5 - Verbruik overig materieel '[liter - kWh - kg / uur']]]*VLOOKUP(Invoer_Referentie[[#This Row],[A5 - Overig Materieel tbv Aanleg]],Brandstofmachines_Omrekentabel[],8,FALSE)/VLOOKUP(Invoer_Inschrijf[[#This Row],[A5 - Overig Materieel tbv Aanleg]],Brandstofmachines_Omrekentabel[],8,FALSE),0),_xlfn.IFNA(Invoer_Referentie[[#This Row],[A5 - Verbruik overig materieel '[liter - kWh - kg / uur']]]*VLOOKUP(Invoer_Referentie[[#This Row],[A5 - Overig Materieel tbv Aanleg]],Brandstofmachines_Omrekentabel[],8,FALSE)/VLOOKUP(Invoer_Inschrijf[[#This Row],[A5 - Overig Materieel tbv Aanleg]],Brandstofmachines_Omrekentabel[],8,FALSE),0)),0)</f>
        <v>0</v>
      </c>
      <c r="Z50" s="389">
        <f>Invoer_Referentie[[#This Row],[A5 - Capaciteit overig materieel '[Eenheden / uur']]]</f>
        <v>0</v>
      </c>
      <c r="AA50" s="353"/>
      <c r="AB50" s="353"/>
      <c r="AC50" s="389">
        <f>_xlfn.IFNA(IF(VLOOKUP(Invoer_Inschrijf[[#This Row],[C1 - Overig Materieel tbv Verwijderen]],Brandstofmachines_Omrekentabel[],5,FALSE)=0,_xlfn.IFNA(Invoer_Referentie[[#This Row],[C1 - Verbruik overige materieel '[liter - kWh - kg / uur']]]*VLOOKUP(Invoer_Referentie[[#This Row],[C1 - Overig Materieel tbv Verwijderen]],Brandstofmachines_Omrekentabel[],8,FALSE)/VLOOKUP(Invoer_Inschrijf[[#This Row],[C1 - Overig Materieel tbv Verwijderen]],Brandstofmachines_Omrekentabel[],8,FALSE),0),_xlfn.IFNA(Invoer_Referentie[[#This Row],[C1 - Verbruik overige materieel '[liter - kWh - kg / uur']]]*VLOOKUP(Invoer_Referentie[[#This Row],[C1 - Overig Materieel tbv Verwijderen]],Brandstofmachines_Omrekentabel[],8,FALSE)/VLOOKUP(Invoer_Inschrijf[[#This Row],[C1 - Overig Materieel tbv Verwijderen]],Brandstofmachines_Omrekentabel[],8,FALSE),0)),0)</f>
        <v>0</v>
      </c>
      <c r="AD50" s="389">
        <f>Invoer_Referentie[[#This Row],[C1 - Capaciteit overig materieel '[Eenheden / uur']]]</f>
        <v>0</v>
      </c>
      <c r="AE50" s="353"/>
      <c r="AF50" s="352"/>
      <c r="AG50" s="353"/>
      <c r="AH50" s="235"/>
      <c r="BK50" s="224"/>
      <c r="BL50" s="224"/>
      <c r="BM50" s="224"/>
    </row>
    <row r="51" spans="2:65" hidden="1">
      <c r="B51" s="320"/>
      <c r="C51" s="235"/>
      <c r="D51" s="253"/>
      <c r="E51" s="1"/>
      <c r="F51" s="347"/>
      <c r="G51" s="399">
        <f>_xlfn.IFNA(IF(Invoer_Inschrijf[[#This Row],[Productgroep]]="Categorie_1_LCA_Producten",1,(VLOOKUP(Invoer_Inschrijf[[#This Row],[Product]],Database_Productkaarten[[Product]:[Comment]],64,FALSE))),0)</f>
        <v>0</v>
      </c>
      <c r="H51" s="320">
        <f>_xlfn.IFNA(IF(Invoer_Inschrijf[[#This Row],[Productgroep]]="Categorie_1_LCA_Producten",VLOOKUP(Invoer_Inschrijf[[#This Row],[Product]],Categorie_1_Producten[],2,FALSE),VLOOKUP(Invoer_Inschrijf[[#This Row],[Product]],Database_Productkaarten[[Product]:[Category]],60,FALSE)),0)</f>
        <v>0</v>
      </c>
      <c r="I51" s="260" t="e">
        <f>_xlfn.IFNA(VLOOKUP(Invoer_Inschrijf[[#This Row],[Product]],Database_Productkaarten[[Product]:[Producttype]],3,FALSE),VLOOKUP(Invoer_Inschrijf[[#This Row],[Product]],Categorie_1_Producten[#All],3,FALSE))</f>
        <v>#N/A</v>
      </c>
      <c r="J51" s="238"/>
      <c r="K51" s="320">
        <f>_xlfn.IFNA(IF(Invoer_Inschrijf[[#This Row],[Productgroep]]="Categorie_1_LCA_Producten",VLOOKUP(Invoer_Inschrijf[[#This Row],[Product]],Categorie_1_Producten[],4,FALSE),VLOOKUP(Invoer_Inschrijf[[#This Row],[Product]],Database_Productkaarten[[Product]:[Eenheid]],4,FALSE)),0)</f>
        <v>0</v>
      </c>
      <c r="L51" s="320"/>
      <c r="M51" s="320"/>
      <c r="N51" s="260"/>
      <c r="O51" s="237">
        <f>Invoer_Inschrijf[[#This Row],[Lengte'[m']]]*Invoer_Inschrijf[[#This Row],[Breedte '[m']]]</f>
        <v>0</v>
      </c>
      <c r="P51" s="235">
        <f>IFERROR(IF(Invoer_Inschrijf[[#This Row],[Oppervlakte '[m2']]]*Invoer_Inschrijf[[#This Row],[Dikte '[m']]]=0,Invoer_Inschrijf[[#This Row],[Gewicht '[ton']]]/Invoer_Inschrijf[[#This Row],[Soortelijk gewicht '[ton / m3']]],Invoer_Inschrijf[[#This Row],[Oppervlakte '[m2']]]*Invoer_Inschrijf[[#This Row],[Dikte '[m']]]),0)</f>
        <v>0</v>
      </c>
      <c r="Q51" s="236">
        <f>_xlfn.IFNA(IF(Invoer_Inschrijf[[#This Row],[Productgroep]]="Categorie_1_LCA_Producten",VLOOKUP(F51,Categorie_1_Producten[#All],5,FALSE),VLOOKUP(F51&amp;", "&amp;"Totaal",Database_Productkaarten[#All],12,FALSE)),0)</f>
        <v>0</v>
      </c>
      <c r="R51" s="235">
        <f>_xlfn.IFNA(IF(Invoer_Inschrijf[[#This Row],[Productgroep]]="Categorie_1_LCA_Producten",VLOOKUP(Invoer_Inschrijf[[#This Row],[Product]],Categorie_1_Producten[],5,FALSE)*Invoer_Inschrijf[[#This Row],[Aantal Eenheden]],(VLOOKUP(Invoer_Inschrijf[[#This Row],[Product]],Database_Productkaarten[[Product]:[Gewicht '[ton'] / Eenheid]],12,FALSE)*Invoer_Inschrijf[[#This Row],[Aantal Eenheden]])),0)</f>
        <v>0</v>
      </c>
      <c r="S51" s="237"/>
      <c r="T51" s="238">
        <f>MAX(IFERROR($E$2/IF(Invoer_Inschrijf[[#This Row],[Productgroep]]="Categorie_1_LCA_Producten",VLOOKUP(Invoer_Inschrijf[[#This Row],[Product]],Categorie_1_Producten[#All],7,FALSE),VLOOKUP(Invoer_Inschrijf[[#This Row],[Product]]&amp;", "&amp;"Totaal",Database_Productkaarten[#All],15,FALSE))-1,0),0)</f>
        <v>0</v>
      </c>
      <c r="U51" s="352"/>
      <c r="V51" s="352"/>
      <c r="W51" s="353"/>
      <c r="X51" s="353"/>
      <c r="Y51" s="389">
        <f>_xlfn.IFNA(IF(VLOOKUP(Invoer_Inschrijf[[#This Row],[A5 - Overig Materieel tbv Aanleg]],Brandstofmachines_Omrekentabel[],5,FALSE)=0,_xlfn.IFNA(Invoer_Referentie[[#This Row],[A5 - Verbruik overig materieel '[liter - kWh - kg / uur']]]*VLOOKUP(Invoer_Referentie[[#This Row],[A5 - Overig Materieel tbv Aanleg]],Brandstofmachines_Omrekentabel[],8,FALSE)/VLOOKUP(Invoer_Inschrijf[[#This Row],[A5 - Overig Materieel tbv Aanleg]],Brandstofmachines_Omrekentabel[],8,FALSE),0),_xlfn.IFNA(Invoer_Referentie[[#This Row],[A5 - Verbruik overig materieel '[liter - kWh - kg / uur']]]*VLOOKUP(Invoer_Referentie[[#This Row],[A5 - Overig Materieel tbv Aanleg]],Brandstofmachines_Omrekentabel[],8,FALSE)/VLOOKUP(Invoer_Inschrijf[[#This Row],[A5 - Overig Materieel tbv Aanleg]],Brandstofmachines_Omrekentabel[],8,FALSE),0)),0)</f>
        <v>0</v>
      </c>
      <c r="Z51" s="389">
        <f>Invoer_Referentie[[#This Row],[A5 - Capaciteit overig materieel '[Eenheden / uur']]]</f>
        <v>0</v>
      </c>
      <c r="AA51" s="353"/>
      <c r="AB51" s="353"/>
      <c r="AC51" s="389">
        <f>_xlfn.IFNA(IF(VLOOKUP(Invoer_Inschrijf[[#This Row],[C1 - Overig Materieel tbv Verwijderen]],Brandstofmachines_Omrekentabel[],5,FALSE)=0,_xlfn.IFNA(Invoer_Referentie[[#This Row],[C1 - Verbruik overige materieel '[liter - kWh - kg / uur']]]*VLOOKUP(Invoer_Referentie[[#This Row],[C1 - Overig Materieel tbv Verwijderen]],Brandstofmachines_Omrekentabel[],8,FALSE)/VLOOKUP(Invoer_Inschrijf[[#This Row],[C1 - Overig Materieel tbv Verwijderen]],Brandstofmachines_Omrekentabel[],8,FALSE),0),_xlfn.IFNA(Invoer_Referentie[[#This Row],[C1 - Verbruik overige materieel '[liter - kWh - kg / uur']]]*VLOOKUP(Invoer_Referentie[[#This Row],[C1 - Overig Materieel tbv Verwijderen]],Brandstofmachines_Omrekentabel[],8,FALSE)/VLOOKUP(Invoer_Inschrijf[[#This Row],[C1 - Overig Materieel tbv Verwijderen]],Brandstofmachines_Omrekentabel[],8,FALSE),0)),0)</f>
        <v>0</v>
      </c>
      <c r="AD51" s="389">
        <f>Invoer_Referentie[[#This Row],[C1 - Capaciteit overig materieel '[Eenheden / uur']]]</f>
        <v>0</v>
      </c>
      <c r="AE51" s="353"/>
      <c r="AF51" s="352"/>
      <c r="AG51" s="353"/>
      <c r="AH51" s="235"/>
      <c r="BK51" s="224"/>
      <c r="BL51" s="224"/>
      <c r="BM51" s="224"/>
    </row>
    <row r="52" spans="2:65" hidden="1">
      <c r="B52" s="320"/>
      <c r="C52" s="235"/>
      <c r="D52" s="253"/>
      <c r="E52" s="1"/>
      <c r="F52" s="347"/>
      <c r="G52" s="399">
        <f>_xlfn.IFNA(IF(Invoer_Inschrijf[[#This Row],[Productgroep]]="Categorie_1_LCA_Producten",1,(VLOOKUP(Invoer_Inschrijf[[#This Row],[Product]],Database_Productkaarten[[Product]:[Comment]],64,FALSE))),0)</f>
        <v>0</v>
      </c>
      <c r="H52" s="320">
        <f>_xlfn.IFNA(IF(Invoer_Inschrijf[[#This Row],[Productgroep]]="Categorie_1_LCA_Producten",VLOOKUP(Invoer_Inschrijf[[#This Row],[Product]],Categorie_1_Producten[],2,FALSE),VLOOKUP(Invoer_Inschrijf[[#This Row],[Product]],Database_Productkaarten[[Product]:[Category]],60,FALSE)),0)</f>
        <v>0</v>
      </c>
      <c r="I52" s="260" t="e">
        <f>_xlfn.IFNA(VLOOKUP(Invoer_Inschrijf[[#This Row],[Product]],Database_Productkaarten[[Product]:[Producttype]],3,FALSE),VLOOKUP(Invoer_Inschrijf[[#This Row],[Product]],Categorie_1_Producten[#All],3,FALSE))</f>
        <v>#N/A</v>
      </c>
      <c r="J52" s="238"/>
      <c r="K52" s="320">
        <f>_xlfn.IFNA(IF(Invoer_Inschrijf[[#This Row],[Productgroep]]="Categorie_1_LCA_Producten",VLOOKUP(Invoer_Inschrijf[[#This Row],[Product]],Categorie_1_Producten[],4,FALSE),VLOOKUP(Invoer_Inschrijf[[#This Row],[Product]],Database_Productkaarten[[Product]:[Eenheid]],4,FALSE)),0)</f>
        <v>0</v>
      </c>
      <c r="L52" s="320"/>
      <c r="M52" s="320"/>
      <c r="N52" s="260"/>
      <c r="O52" s="237">
        <f>Invoer_Inschrijf[[#This Row],[Lengte'[m']]]*Invoer_Inschrijf[[#This Row],[Breedte '[m']]]</f>
        <v>0</v>
      </c>
      <c r="P52" s="235">
        <f>IFERROR(IF(Invoer_Inschrijf[[#This Row],[Oppervlakte '[m2']]]*Invoer_Inschrijf[[#This Row],[Dikte '[m']]]=0,Invoer_Inschrijf[[#This Row],[Gewicht '[ton']]]/Invoer_Inschrijf[[#This Row],[Soortelijk gewicht '[ton / m3']]],Invoer_Inschrijf[[#This Row],[Oppervlakte '[m2']]]*Invoer_Inschrijf[[#This Row],[Dikte '[m']]]),0)</f>
        <v>0</v>
      </c>
      <c r="Q52" s="236">
        <f>_xlfn.IFNA(IF(Invoer_Inschrijf[[#This Row],[Productgroep]]="Categorie_1_LCA_Producten",VLOOKUP(F52,Categorie_1_Producten[#All],5,FALSE),VLOOKUP(F52&amp;", "&amp;"Totaal",Database_Productkaarten[#All],12,FALSE)),0)</f>
        <v>0</v>
      </c>
      <c r="R52" s="235">
        <f>_xlfn.IFNA(IF(Invoer_Inschrijf[[#This Row],[Productgroep]]="Categorie_1_LCA_Producten",VLOOKUP(Invoer_Inschrijf[[#This Row],[Product]],Categorie_1_Producten[],5,FALSE)*Invoer_Inschrijf[[#This Row],[Aantal Eenheden]],(VLOOKUP(Invoer_Inschrijf[[#This Row],[Product]],Database_Productkaarten[[Product]:[Gewicht '[ton'] / Eenheid]],12,FALSE)*Invoer_Inschrijf[[#This Row],[Aantal Eenheden]])),0)</f>
        <v>0</v>
      </c>
      <c r="S52" s="237"/>
      <c r="T52" s="238">
        <f>MAX(IFERROR($E$2/IF(Invoer_Inschrijf[[#This Row],[Productgroep]]="Categorie_1_LCA_Producten",VLOOKUP(Invoer_Inschrijf[[#This Row],[Product]],Categorie_1_Producten[#All],7,FALSE),VLOOKUP(Invoer_Inschrijf[[#This Row],[Product]]&amp;", "&amp;"Totaal",Database_Productkaarten[#All],15,FALSE))-1,0),0)</f>
        <v>0</v>
      </c>
      <c r="U52" s="352"/>
      <c r="V52" s="352"/>
      <c r="W52" s="353"/>
      <c r="X52" s="353"/>
      <c r="Y52" s="389">
        <f>_xlfn.IFNA(IF(VLOOKUP(Invoer_Inschrijf[[#This Row],[A5 - Overig Materieel tbv Aanleg]],Brandstofmachines_Omrekentabel[],5,FALSE)=0,_xlfn.IFNA(Invoer_Referentie[[#This Row],[A5 - Verbruik overig materieel '[liter - kWh - kg / uur']]]*VLOOKUP(Invoer_Referentie[[#This Row],[A5 - Overig Materieel tbv Aanleg]],Brandstofmachines_Omrekentabel[],8,FALSE)/VLOOKUP(Invoer_Inschrijf[[#This Row],[A5 - Overig Materieel tbv Aanleg]],Brandstofmachines_Omrekentabel[],8,FALSE),0),_xlfn.IFNA(Invoer_Referentie[[#This Row],[A5 - Verbruik overig materieel '[liter - kWh - kg / uur']]]*VLOOKUP(Invoer_Referentie[[#This Row],[A5 - Overig Materieel tbv Aanleg]],Brandstofmachines_Omrekentabel[],8,FALSE)/VLOOKUP(Invoer_Inschrijf[[#This Row],[A5 - Overig Materieel tbv Aanleg]],Brandstofmachines_Omrekentabel[],8,FALSE),0)),0)</f>
        <v>0</v>
      </c>
      <c r="Z52" s="389">
        <f>Invoer_Referentie[[#This Row],[A5 - Capaciteit overig materieel '[Eenheden / uur']]]</f>
        <v>0</v>
      </c>
      <c r="AA52" s="353"/>
      <c r="AB52" s="353"/>
      <c r="AC52" s="389">
        <f>_xlfn.IFNA(IF(VLOOKUP(Invoer_Inschrijf[[#This Row],[C1 - Overig Materieel tbv Verwijderen]],Brandstofmachines_Omrekentabel[],5,FALSE)=0,_xlfn.IFNA(Invoer_Referentie[[#This Row],[C1 - Verbruik overige materieel '[liter - kWh - kg / uur']]]*VLOOKUP(Invoer_Referentie[[#This Row],[C1 - Overig Materieel tbv Verwijderen]],Brandstofmachines_Omrekentabel[],8,FALSE)/VLOOKUP(Invoer_Inschrijf[[#This Row],[C1 - Overig Materieel tbv Verwijderen]],Brandstofmachines_Omrekentabel[],8,FALSE),0),_xlfn.IFNA(Invoer_Referentie[[#This Row],[C1 - Verbruik overige materieel '[liter - kWh - kg / uur']]]*VLOOKUP(Invoer_Referentie[[#This Row],[C1 - Overig Materieel tbv Verwijderen]],Brandstofmachines_Omrekentabel[],8,FALSE)/VLOOKUP(Invoer_Inschrijf[[#This Row],[C1 - Overig Materieel tbv Verwijderen]],Brandstofmachines_Omrekentabel[],8,FALSE),0)),0)</f>
        <v>0</v>
      </c>
      <c r="AD52" s="389">
        <f>Invoer_Referentie[[#This Row],[C1 - Capaciteit overig materieel '[Eenheden / uur']]]</f>
        <v>0</v>
      </c>
      <c r="AE52" s="353"/>
      <c r="AF52" s="352"/>
      <c r="AG52" s="353"/>
      <c r="AH52" s="235"/>
      <c r="BK52" s="224"/>
      <c r="BL52" s="224"/>
      <c r="BM52" s="224"/>
    </row>
    <row r="53" spans="2:65" hidden="1">
      <c r="B53" s="320"/>
      <c r="C53" s="235"/>
      <c r="D53" s="253"/>
      <c r="E53" s="1"/>
      <c r="F53" s="347"/>
      <c r="G53" s="399">
        <f>_xlfn.IFNA(IF(Invoer_Inschrijf[[#This Row],[Productgroep]]="Categorie_1_LCA_Producten",1,(VLOOKUP(Invoer_Inschrijf[[#This Row],[Product]],Database_Productkaarten[[Product]:[Comment]],64,FALSE))),0)</f>
        <v>0</v>
      </c>
      <c r="H53" s="320">
        <f>_xlfn.IFNA(IF(Invoer_Inschrijf[[#This Row],[Productgroep]]="Categorie_1_LCA_Producten",VLOOKUP(Invoer_Inschrijf[[#This Row],[Product]],Categorie_1_Producten[],2,FALSE),VLOOKUP(Invoer_Inschrijf[[#This Row],[Product]],Database_Productkaarten[[Product]:[Category]],60,FALSE)),0)</f>
        <v>0</v>
      </c>
      <c r="I53" s="260" t="e">
        <f>_xlfn.IFNA(VLOOKUP(Invoer_Inschrijf[[#This Row],[Product]],Database_Productkaarten[[Product]:[Producttype]],3,FALSE),VLOOKUP(Invoer_Inschrijf[[#This Row],[Product]],Categorie_1_Producten[#All],3,FALSE))</f>
        <v>#N/A</v>
      </c>
      <c r="J53" s="238"/>
      <c r="K53" s="320">
        <f>_xlfn.IFNA(IF(Invoer_Inschrijf[[#This Row],[Productgroep]]="Categorie_1_LCA_Producten",VLOOKUP(Invoer_Inschrijf[[#This Row],[Product]],Categorie_1_Producten[],4,FALSE),VLOOKUP(Invoer_Inschrijf[[#This Row],[Product]],Database_Productkaarten[[Product]:[Eenheid]],4,FALSE)),0)</f>
        <v>0</v>
      </c>
      <c r="L53" s="320"/>
      <c r="M53" s="320"/>
      <c r="N53" s="260"/>
      <c r="O53" s="237">
        <f>Invoer_Inschrijf[[#This Row],[Lengte'[m']]]*Invoer_Inschrijf[[#This Row],[Breedte '[m']]]</f>
        <v>0</v>
      </c>
      <c r="P53" s="235">
        <f>IFERROR(IF(Invoer_Inschrijf[[#This Row],[Oppervlakte '[m2']]]*Invoer_Inschrijf[[#This Row],[Dikte '[m']]]=0,Invoer_Inschrijf[[#This Row],[Gewicht '[ton']]]/Invoer_Inschrijf[[#This Row],[Soortelijk gewicht '[ton / m3']]],Invoer_Inschrijf[[#This Row],[Oppervlakte '[m2']]]*Invoer_Inschrijf[[#This Row],[Dikte '[m']]]),0)</f>
        <v>0</v>
      </c>
      <c r="Q53" s="236">
        <f>_xlfn.IFNA(IF(Invoer_Inschrijf[[#This Row],[Productgroep]]="Categorie_1_LCA_Producten",VLOOKUP(F53,Categorie_1_Producten[#All],5,FALSE),VLOOKUP(F53&amp;", "&amp;"Totaal",Database_Productkaarten[#All],12,FALSE)),0)</f>
        <v>0</v>
      </c>
      <c r="R53" s="235">
        <f>_xlfn.IFNA(IF(Invoer_Inschrijf[[#This Row],[Productgroep]]="Categorie_1_LCA_Producten",VLOOKUP(Invoer_Inschrijf[[#This Row],[Product]],Categorie_1_Producten[],5,FALSE)*Invoer_Inschrijf[[#This Row],[Aantal Eenheden]],(VLOOKUP(Invoer_Inschrijf[[#This Row],[Product]],Database_Productkaarten[[Product]:[Gewicht '[ton'] / Eenheid]],12,FALSE)*Invoer_Inschrijf[[#This Row],[Aantal Eenheden]])),0)</f>
        <v>0</v>
      </c>
      <c r="S53" s="237"/>
      <c r="T53" s="238">
        <f>MAX(IFERROR($E$2/IF(Invoer_Inschrijf[[#This Row],[Productgroep]]="Categorie_1_LCA_Producten",VLOOKUP(Invoer_Inschrijf[[#This Row],[Product]],Categorie_1_Producten[#All],7,FALSE),VLOOKUP(Invoer_Inschrijf[[#This Row],[Product]]&amp;", "&amp;"Totaal",Database_Productkaarten[#All],15,FALSE))-1,0),0)</f>
        <v>0</v>
      </c>
      <c r="U53" s="352"/>
      <c r="V53" s="352"/>
      <c r="W53" s="353"/>
      <c r="X53" s="353"/>
      <c r="Y53" s="389">
        <f>_xlfn.IFNA(IF(VLOOKUP(Invoer_Inschrijf[[#This Row],[A5 - Overig Materieel tbv Aanleg]],Brandstofmachines_Omrekentabel[],5,FALSE)=0,_xlfn.IFNA(Invoer_Referentie[[#This Row],[A5 - Verbruik overig materieel '[liter - kWh - kg / uur']]]*VLOOKUP(Invoer_Referentie[[#This Row],[A5 - Overig Materieel tbv Aanleg]],Brandstofmachines_Omrekentabel[],8,FALSE)/VLOOKUP(Invoer_Inschrijf[[#This Row],[A5 - Overig Materieel tbv Aanleg]],Brandstofmachines_Omrekentabel[],8,FALSE),0),_xlfn.IFNA(Invoer_Referentie[[#This Row],[A5 - Verbruik overig materieel '[liter - kWh - kg / uur']]]*VLOOKUP(Invoer_Referentie[[#This Row],[A5 - Overig Materieel tbv Aanleg]],Brandstofmachines_Omrekentabel[],8,FALSE)/VLOOKUP(Invoer_Inschrijf[[#This Row],[A5 - Overig Materieel tbv Aanleg]],Brandstofmachines_Omrekentabel[],8,FALSE),0)),0)</f>
        <v>0</v>
      </c>
      <c r="Z53" s="389">
        <f>Invoer_Referentie[[#This Row],[A5 - Capaciteit overig materieel '[Eenheden / uur']]]</f>
        <v>0</v>
      </c>
      <c r="AA53" s="353"/>
      <c r="AB53" s="353"/>
      <c r="AC53" s="389">
        <f>_xlfn.IFNA(IF(VLOOKUP(Invoer_Inschrijf[[#This Row],[C1 - Overig Materieel tbv Verwijderen]],Brandstofmachines_Omrekentabel[],5,FALSE)=0,_xlfn.IFNA(Invoer_Referentie[[#This Row],[C1 - Verbruik overige materieel '[liter - kWh - kg / uur']]]*VLOOKUP(Invoer_Referentie[[#This Row],[C1 - Overig Materieel tbv Verwijderen]],Brandstofmachines_Omrekentabel[],8,FALSE)/VLOOKUP(Invoer_Inschrijf[[#This Row],[C1 - Overig Materieel tbv Verwijderen]],Brandstofmachines_Omrekentabel[],8,FALSE),0),_xlfn.IFNA(Invoer_Referentie[[#This Row],[C1 - Verbruik overige materieel '[liter - kWh - kg / uur']]]*VLOOKUP(Invoer_Referentie[[#This Row],[C1 - Overig Materieel tbv Verwijderen]],Brandstofmachines_Omrekentabel[],8,FALSE)/VLOOKUP(Invoer_Inschrijf[[#This Row],[C1 - Overig Materieel tbv Verwijderen]],Brandstofmachines_Omrekentabel[],8,FALSE),0)),0)</f>
        <v>0</v>
      </c>
      <c r="AD53" s="389">
        <f>Invoer_Referentie[[#This Row],[C1 - Capaciteit overig materieel '[Eenheden / uur']]]</f>
        <v>0</v>
      </c>
      <c r="AE53" s="353"/>
      <c r="AF53" s="352"/>
      <c r="AG53" s="353"/>
      <c r="AH53" s="235"/>
      <c r="BK53" s="224"/>
      <c r="BL53" s="224"/>
      <c r="BM53" s="224"/>
    </row>
    <row r="54" spans="2:65" hidden="1">
      <c r="B54" s="320"/>
      <c r="C54" s="235"/>
      <c r="D54" s="253"/>
      <c r="E54" s="1"/>
      <c r="F54" s="347"/>
      <c r="G54" s="399">
        <f>_xlfn.IFNA(IF(Invoer_Inschrijf[[#This Row],[Productgroep]]="Categorie_1_LCA_Producten",1,(VLOOKUP(Invoer_Inschrijf[[#This Row],[Product]],Database_Productkaarten[[Product]:[Comment]],64,FALSE))),0)</f>
        <v>0</v>
      </c>
      <c r="H54" s="320">
        <f>_xlfn.IFNA(IF(Invoer_Inschrijf[[#This Row],[Productgroep]]="Categorie_1_LCA_Producten",VLOOKUP(Invoer_Inschrijf[[#This Row],[Product]],Categorie_1_Producten[],2,FALSE),VLOOKUP(Invoer_Inschrijf[[#This Row],[Product]],Database_Productkaarten[[Product]:[Category]],60,FALSE)),0)</f>
        <v>0</v>
      </c>
      <c r="I54" s="260" t="e">
        <f>_xlfn.IFNA(VLOOKUP(Invoer_Inschrijf[[#This Row],[Product]],Database_Productkaarten[[Product]:[Producttype]],3,FALSE),VLOOKUP(Invoer_Inschrijf[[#This Row],[Product]],Categorie_1_Producten[#All],3,FALSE))</f>
        <v>#N/A</v>
      </c>
      <c r="J54" s="238"/>
      <c r="K54" s="320">
        <f>_xlfn.IFNA(IF(Invoer_Inschrijf[[#This Row],[Productgroep]]="Categorie_1_LCA_Producten",VLOOKUP(Invoer_Inschrijf[[#This Row],[Product]],Categorie_1_Producten[],4,FALSE),VLOOKUP(Invoer_Inschrijf[[#This Row],[Product]],Database_Productkaarten[[Product]:[Eenheid]],4,FALSE)),0)</f>
        <v>0</v>
      </c>
      <c r="L54" s="320"/>
      <c r="M54" s="320"/>
      <c r="N54" s="260"/>
      <c r="O54" s="237">
        <f>Invoer_Inschrijf[[#This Row],[Lengte'[m']]]*Invoer_Inschrijf[[#This Row],[Breedte '[m']]]</f>
        <v>0</v>
      </c>
      <c r="P54" s="235">
        <f>IFERROR(IF(Invoer_Inschrijf[[#This Row],[Oppervlakte '[m2']]]*Invoer_Inschrijf[[#This Row],[Dikte '[m']]]=0,Invoer_Inschrijf[[#This Row],[Gewicht '[ton']]]/Invoer_Inschrijf[[#This Row],[Soortelijk gewicht '[ton / m3']]],Invoer_Inschrijf[[#This Row],[Oppervlakte '[m2']]]*Invoer_Inschrijf[[#This Row],[Dikte '[m']]]),0)</f>
        <v>0</v>
      </c>
      <c r="Q54" s="236">
        <f>_xlfn.IFNA(IF(Invoer_Inschrijf[[#This Row],[Productgroep]]="Categorie_1_LCA_Producten",VLOOKUP(F54,Categorie_1_Producten[#All],5,FALSE),VLOOKUP(F54&amp;", "&amp;"Totaal",Database_Productkaarten[#All],12,FALSE)),0)</f>
        <v>0</v>
      </c>
      <c r="R54" s="235">
        <f>_xlfn.IFNA(IF(Invoer_Inschrijf[[#This Row],[Productgroep]]="Categorie_1_LCA_Producten",VLOOKUP(Invoer_Inschrijf[[#This Row],[Product]],Categorie_1_Producten[],5,FALSE)*Invoer_Inschrijf[[#This Row],[Aantal Eenheden]],(VLOOKUP(Invoer_Inschrijf[[#This Row],[Product]],Database_Productkaarten[[Product]:[Gewicht '[ton'] / Eenheid]],12,FALSE)*Invoer_Inschrijf[[#This Row],[Aantal Eenheden]])),0)</f>
        <v>0</v>
      </c>
      <c r="S54" s="237"/>
      <c r="T54" s="238">
        <f>MAX(IFERROR($E$2/IF(Invoer_Inschrijf[[#This Row],[Productgroep]]="Categorie_1_LCA_Producten",VLOOKUP(Invoer_Inschrijf[[#This Row],[Product]],Categorie_1_Producten[#All],7,FALSE),VLOOKUP(Invoer_Inschrijf[[#This Row],[Product]]&amp;", "&amp;"Totaal",Database_Productkaarten[#All],15,FALSE))-1,0),0)</f>
        <v>0</v>
      </c>
      <c r="U54" s="352"/>
      <c r="V54" s="352"/>
      <c r="W54" s="353"/>
      <c r="X54" s="353"/>
      <c r="Y54" s="389">
        <f>_xlfn.IFNA(IF(VLOOKUP(Invoer_Inschrijf[[#This Row],[A5 - Overig Materieel tbv Aanleg]],Brandstofmachines_Omrekentabel[],5,FALSE)=0,_xlfn.IFNA(Invoer_Referentie[[#This Row],[A5 - Verbruik overig materieel '[liter - kWh - kg / uur']]]*VLOOKUP(Invoer_Referentie[[#This Row],[A5 - Overig Materieel tbv Aanleg]],Brandstofmachines_Omrekentabel[],8,FALSE)/VLOOKUP(Invoer_Inschrijf[[#This Row],[A5 - Overig Materieel tbv Aanleg]],Brandstofmachines_Omrekentabel[],8,FALSE),0),_xlfn.IFNA(Invoer_Referentie[[#This Row],[A5 - Verbruik overig materieel '[liter - kWh - kg / uur']]]*VLOOKUP(Invoer_Referentie[[#This Row],[A5 - Overig Materieel tbv Aanleg]],Brandstofmachines_Omrekentabel[],8,FALSE)/VLOOKUP(Invoer_Inschrijf[[#This Row],[A5 - Overig Materieel tbv Aanleg]],Brandstofmachines_Omrekentabel[],8,FALSE),0)),0)</f>
        <v>0</v>
      </c>
      <c r="Z54" s="389">
        <f>Invoer_Referentie[[#This Row],[A5 - Capaciteit overig materieel '[Eenheden / uur']]]</f>
        <v>0</v>
      </c>
      <c r="AA54" s="353"/>
      <c r="AB54" s="353"/>
      <c r="AC54" s="389">
        <f>_xlfn.IFNA(IF(VLOOKUP(Invoer_Inschrijf[[#This Row],[C1 - Overig Materieel tbv Verwijderen]],Brandstofmachines_Omrekentabel[],5,FALSE)=0,_xlfn.IFNA(Invoer_Referentie[[#This Row],[C1 - Verbruik overige materieel '[liter - kWh - kg / uur']]]*VLOOKUP(Invoer_Referentie[[#This Row],[C1 - Overig Materieel tbv Verwijderen]],Brandstofmachines_Omrekentabel[],8,FALSE)/VLOOKUP(Invoer_Inschrijf[[#This Row],[C1 - Overig Materieel tbv Verwijderen]],Brandstofmachines_Omrekentabel[],8,FALSE),0),_xlfn.IFNA(Invoer_Referentie[[#This Row],[C1 - Verbruik overige materieel '[liter - kWh - kg / uur']]]*VLOOKUP(Invoer_Referentie[[#This Row],[C1 - Overig Materieel tbv Verwijderen]],Brandstofmachines_Omrekentabel[],8,FALSE)/VLOOKUP(Invoer_Inschrijf[[#This Row],[C1 - Overig Materieel tbv Verwijderen]],Brandstofmachines_Omrekentabel[],8,FALSE),0)),0)</f>
        <v>0</v>
      </c>
      <c r="AD54" s="389">
        <f>Invoer_Referentie[[#This Row],[C1 - Capaciteit overig materieel '[Eenheden / uur']]]</f>
        <v>0</v>
      </c>
      <c r="AE54" s="353"/>
      <c r="AF54" s="352"/>
      <c r="AG54" s="353"/>
      <c r="AH54" s="235"/>
      <c r="BK54" s="224"/>
      <c r="BL54" s="224"/>
      <c r="BM54" s="224"/>
    </row>
    <row r="55" spans="2:65" hidden="1">
      <c r="B55" s="320"/>
      <c r="C55" s="235"/>
      <c r="D55" s="253"/>
      <c r="E55" s="1"/>
      <c r="F55" s="347"/>
      <c r="G55" s="399">
        <f>_xlfn.IFNA(IF(Invoer_Inschrijf[[#This Row],[Productgroep]]="Categorie_1_LCA_Producten",1,(VLOOKUP(Invoer_Inschrijf[[#This Row],[Product]],Database_Productkaarten[[Product]:[Comment]],64,FALSE))),0)</f>
        <v>0</v>
      </c>
      <c r="H55" s="320">
        <f>_xlfn.IFNA(IF(Invoer_Inschrijf[[#This Row],[Productgroep]]="Categorie_1_LCA_Producten",VLOOKUP(Invoer_Inschrijf[[#This Row],[Product]],Categorie_1_Producten[],2,FALSE),VLOOKUP(Invoer_Inschrijf[[#This Row],[Product]],Database_Productkaarten[[Product]:[Category]],60,FALSE)),0)</f>
        <v>0</v>
      </c>
      <c r="I55" s="260" t="e">
        <f>_xlfn.IFNA(VLOOKUP(Invoer_Inschrijf[[#This Row],[Product]],Database_Productkaarten[[Product]:[Producttype]],3,FALSE),VLOOKUP(Invoer_Inschrijf[[#This Row],[Product]],Categorie_1_Producten[#All],3,FALSE))</f>
        <v>#N/A</v>
      </c>
      <c r="J55" s="238"/>
      <c r="K55" s="320">
        <f>_xlfn.IFNA(IF(Invoer_Inschrijf[[#This Row],[Productgroep]]="Categorie_1_LCA_Producten",VLOOKUP(Invoer_Inschrijf[[#This Row],[Product]],Categorie_1_Producten[],4,FALSE),VLOOKUP(Invoer_Inschrijf[[#This Row],[Product]],Database_Productkaarten[[Product]:[Eenheid]],4,FALSE)),0)</f>
        <v>0</v>
      </c>
      <c r="L55" s="320"/>
      <c r="M55" s="320"/>
      <c r="N55" s="260"/>
      <c r="O55" s="237">
        <f>Invoer_Inschrijf[[#This Row],[Lengte'[m']]]*Invoer_Inschrijf[[#This Row],[Breedte '[m']]]</f>
        <v>0</v>
      </c>
      <c r="P55" s="235">
        <f>IFERROR(IF(Invoer_Inschrijf[[#This Row],[Oppervlakte '[m2']]]*Invoer_Inschrijf[[#This Row],[Dikte '[m']]]=0,Invoer_Inschrijf[[#This Row],[Gewicht '[ton']]]/Invoer_Inschrijf[[#This Row],[Soortelijk gewicht '[ton / m3']]],Invoer_Inschrijf[[#This Row],[Oppervlakte '[m2']]]*Invoer_Inschrijf[[#This Row],[Dikte '[m']]]),0)</f>
        <v>0</v>
      </c>
      <c r="Q55" s="236">
        <f>_xlfn.IFNA(IF(Invoer_Inschrijf[[#This Row],[Productgroep]]="Categorie_1_LCA_Producten",VLOOKUP(F55,Categorie_1_Producten[#All],5,FALSE),VLOOKUP(F55&amp;", "&amp;"Totaal",Database_Productkaarten[#All],12,FALSE)),0)</f>
        <v>0</v>
      </c>
      <c r="R55" s="235">
        <f>_xlfn.IFNA(IF(Invoer_Inschrijf[[#This Row],[Productgroep]]="Categorie_1_LCA_Producten",VLOOKUP(Invoer_Inschrijf[[#This Row],[Product]],Categorie_1_Producten[],5,FALSE)*Invoer_Inschrijf[[#This Row],[Aantal Eenheden]],(VLOOKUP(Invoer_Inschrijf[[#This Row],[Product]],Database_Productkaarten[[Product]:[Gewicht '[ton'] / Eenheid]],12,FALSE)*Invoer_Inschrijf[[#This Row],[Aantal Eenheden]])),0)</f>
        <v>0</v>
      </c>
      <c r="S55" s="237"/>
      <c r="T55" s="238">
        <f>MAX(IFERROR($E$2/IF(Invoer_Inschrijf[[#This Row],[Productgroep]]="Categorie_1_LCA_Producten",VLOOKUP(Invoer_Inschrijf[[#This Row],[Product]],Categorie_1_Producten[#All],7,FALSE),VLOOKUP(Invoer_Inschrijf[[#This Row],[Product]]&amp;", "&amp;"Totaal",Database_Productkaarten[#All],15,FALSE))-1,0),0)</f>
        <v>0</v>
      </c>
      <c r="U55" s="352"/>
      <c r="V55" s="352"/>
      <c r="W55" s="353"/>
      <c r="X55" s="353"/>
      <c r="Y55" s="389">
        <f>_xlfn.IFNA(IF(VLOOKUP(Invoer_Inschrijf[[#This Row],[A5 - Overig Materieel tbv Aanleg]],Brandstofmachines_Omrekentabel[],5,FALSE)=0,_xlfn.IFNA(Invoer_Referentie[[#This Row],[A5 - Verbruik overig materieel '[liter - kWh - kg / uur']]]*VLOOKUP(Invoer_Referentie[[#This Row],[A5 - Overig Materieel tbv Aanleg]],Brandstofmachines_Omrekentabel[],8,FALSE)/VLOOKUP(Invoer_Inschrijf[[#This Row],[A5 - Overig Materieel tbv Aanleg]],Brandstofmachines_Omrekentabel[],8,FALSE),0),_xlfn.IFNA(Invoer_Referentie[[#This Row],[A5 - Verbruik overig materieel '[liter - kWh - kg / uur']]]*VLOOKUP(Invoer_Referentie[[#This Row],[A5 - Overig Materieel tbv Aanleg]],Brandstofmachines_Omrekentabel[],8,FALSE)/VLOOKUP(Invoer_Inschrijf[[#This Row],[A5 - Overig Materieel tbv Aanleg]],Brandstofmachines_Omrekentabel[],8,FALSE),0)),0)</f>
        <v>0</v>
      </c>
      <c r="Z55" s="389">
        <f>Invoer_Referentie[[#This Row],[A5 - Capaciteit overig materieel '[Eenheden / uur']]]</f>
        <v>0</v>
      </c>
      <c r="AA55" s="353"/>
      <c r="AB55" s="353"/>
      <c r="AC55" s="389">
        <f>_xlfn.IFNA(IF(VLOOKUP(Invoer_Inschrijf[[#This Row],[C1 - Overig Materieel tbv Verwijderen]],Brandstofmachines_Omrekentabel[],5,FALSE)=0,_xlfn.IFNA(Invoer_Referentie[[#This Row],[C1 - Verbruik overige materieel '[liter - kWh - kg / uur']]]*VLOOKUP(Invoer_Referentie[[#This Row],[C1 - Overig Materieel tbv Verwijderen]],Brandstofmachines_Omrekentabel[],8,FALSE)/VLOOKUP(Invoer_Inschrijf[[#This Row],[C1 - Overig Materieel tbv Verwijderen]],Brandstofmachines_Omrekentabel[],8,FALSE),0),_xlfn.IFNA(Invoer_Referentie[[#This Row],[C1 - Verbruik overige materieel '[liter - kWh - kg / uur']]]*VLOOKUP(Invoer_Referentie[[#This Row],[C1 - Overig Materieel tbv Verwijderen]],Brandstofmachines_Omrekentabel[],8,FALSE)/VLOOKUP(Invoer_Inschrijf[[#This Row],[C1 - Overig Materieel tbv Verwijderen]],Brandstofmachines_Omrekentabel[],8,FALSE),0)),0)</f>
        <v>0</v>
      </c>
      <c r="AD55" s="389">
        <f>Invoer_Referentie[[#This Row],[C1 - Capaciteit overig materieel '[Eenheden / uur']]]</f>
        <v>0</v>
      </c>
      <c r="AE55" s="353"/>
      <c r="AF55" s="352"/>
      <c r="AG55" s="353"/>
      <c r="AH55" s="235"/>
      <c r="BK55" s="224"/>
      <c r="BL55" s="224"/>
      <c r="BM55" s="224"/>
    </row>
    <row r="56" spans="2:65" hidden="1">
      <c r="B56" s="320"/>
      <c r="C56" s="235"/>
      <c r="D56" s="253"/>
      <c r="E56" s="1"/>
      <c r="F56" s="347"/>
      <c r="G56" s="399">
        <f>_xlfn.IFNA(IF(Invoer_Inschrijf[[#This Row],[Productgroep]]="Categorie_1_LCA_Producten",1,(VLOOKUP(Invoer_Inschrijf[[#This Row],[Product]],Database_Productkaarten[[Product]:[Comment]],64,FALSE))),0)</f>
        <v>0</v>
      </c>
      <c r="H56" s="320">
        <f>_xlfn.IFNA(IF(Invoer_Inschrijf[[#This Row],[Productgroep]]="Categorie_1_LCA_Producten",VLOOKUP(Invoer_Inschrijf[[#This Row],[Product]],Categorie_1_Producten[],2,FALSE),VLOOKUP(Invoer_Inschrijf[[#This Row],[Product]],Database_Productkaarten[[Product]:[Category]],60,FALSE)),0)</f>
        <v>0</v>
      </c>
      <c r="I56" s="260" t="e">
        <f>_xlfn.IFNA(VLOOKUP(Invoer_Inschrijf[[#This Row],[Product]],Database_Productkaarten[[Product]:[Producttype]],3,FALSE),VLOOKUP(Invoer_Inschrijf[[#This Row],[Product]],Categorie_1_Producten[#All],3,FALSE))</f>
        <v>#N/A</v>
      </c>
      <c r="J56" s="238"/>
      <c r="K56" s="320">
        <f>_xlfn.IFNA(IF(Invoer_Inschrijf[[#This Row],[Productgroep]]="Categorie_1_LCA_Producten",VLOOKUP(Invoer_Inschrijf[[#This Row],[Product]],Categorie_1_Producten[],4,FALSE),VLOOKUP(Invoer_Inschrijf[[#This Row],[Product]],Database_Productkaarten[[Product]:[Eenheid]],4,FALSE)),0)</f>
        <v>0</v>
      </c>
      <c r="L56" s="320"/>
      <c r="M56" s="320"/>
      <c r="N56" s="260"/>
      <c r="O56" s="237">
        <f>Invoer_Inschrijf[[#This Row],[Lengte'[m']]]*Invoer_Inschrijf[[#This Row],[Breedte '[m']]]</f>
        <v>0</v>
      </c>
      <c r="P56" s="235">
        <f>IFERROR(IF(Invoer_Inschrijf[[#This Row],[Oppervlakte '[m2']]]*Invoer_Inschrijf[[#This Row],[Dikte '[m']]]=0,Invoer_Inschrijf[[#This Row],[Gewicht '[ton']]]/Invoer_Inschrijf[[#This Row],[Soortelijk gewicht '[ton / m3']]],Invoer_Inschrijf[[#This Row],[Oppervlakte '[m2']]]*Invoer_Inschrijf[[#This Row],[Dikte '[m']]]),0)</f>
        <v>0</v>
      </c>
      <c r="Q56" s="236">
        <f>_xlfn.IFNA(IF(Invoer_Inschrijf[[#This Row],[Productgroep]]="Categorie_1_LCA_Producten",VLOOKUP(F56,Categorie_1_Producten[#All],5,FALSE),VLOOKUP(F56&amp;", "&amp;"Totaal",Database_Productkaarten[#All],12,FALSE)),0)</f>
        <v>0</v>
      </c>
      <c r="R56" s="235">
        <f>_xlfn.IFNA(IF(Invoer_Inschrijf[[#This Row],[Productgroep]]="Categorie_1_LCA_Producten",VLOOKUP(Invoer_Inschrijf[[#This Row],[Product]],Categorie_1_Producten[],5,FALSE)*Invoer_Inschrijf[[#This Row],[Aantal Eenheden]],(VLOOKUP(Invoer_Inschrijf[[#This Row],[Product]],Database_Productkaarten[[Product]:[Gewicht '[ton'] / Eenheid]],12,FALSE)*Invoer_Inschrijf[[#This Row],[Aantal Eenheden]])),0)</f>
        <v>0</v>
      </c>
      <c r="S56" s="237"/>
      <c r="T56" s="238">
        <f>MAX(IFERROR($E$2/IF(Invoer_Inschrijf[[#This Row],[Productgroep]]="Categorie_1_LCA_Producten",VLOOKUP(Invoer_Inschrijf[[#This Row],[Product]],Categorie_1_Producten[#All],7,FALSE),VLOOKUP(Invoer_Inschrijf[[#This Row],[Product]]&amp;", "&amp;"Totaal",Database_Productkaarten[#All],15,FALSE))-1,0),0)</f>
        <v>0</v>
      </c>
      <c r="U56" s="352"/>
      <c r="V56" s="352"/>
      <c r="W56" s="353"/>
      <c r="X56" s="353"/>
      <c r="Y56" s="389">
        <f>_xlfn.IFNA(IF(VLOOKUP(Invoer_Inschrijf[[#This Row],[A5 - Overig Materieel tbv Aanleg]],Brandstofmachines_Omrekentabel[],5,FALSE)=0,_xlfn.IFNA(Invoer_Referentie[[#This Row],[A5 - Verbruik overig materieel '[liter - kWh - kg / uur']]]*VLOOKUP(Invoer_Referentie[[#This Row],[A5 - Overig Materieel tbv Aanleg]],Brandstofmachines_Omrekentabel[],8,FALSE)/VLOOKUP(Invoer_Inschrijf[[#This Row],[A5 - Overig Materieel tbv Aanleg]],Brandstofmachines_Omrekentabel[],8,FALSE),0),_xlfn.IFNA(Invoer_Referentie[[#This Row],[A5 - Verbruik overig materieel '[liter - kWh - kg / uur']]]*VLOOKUP(Invoer_Referentie[[#This Row],[A5 - Overig Materieel tbv Aanleg]],Brandstofmachines_Omrekentabel[],8,FALSE)/VLOOKUP(Invoer_Inschrijf[[#This Row],[A5 - Overig Materieel tbv Aanleg]],Brandstofmachines_Omrekentabel[],8,FALSE),0)),0)</f>
        <v>0</v>
      </c>
      <c r="Z56" s="389">
        <f>Invoer_Referentie[[#This Row],[A5 - Capaciteit overig materieel '[Eenheden / uur']]]</f>
        <v>0</v>
      </c>
      <c r="AA56" s="353"/>
      <c r="AB56" s="353"/>
      <c r="AC56" s="389">
        <f>_xlfn.IFNA(IF(VLOOKUP(Invoer_Inschrijf[[#This Row],[C1 - Overig Materieel tbv Verwijderen]],Brandstofmachines_Omrekentabel[],5,FALSE)=0,_xlfn.IFNA(Invoer_Referentie[[#This Row],[C1 - Verbruik overige materieel '[liter - kWh - kg / uur']]]*VLOOKUP(Invoer_Referentie[[#This Row],[C1 - Overig Materieel tbv Verwijderen]],Brandstofmachines_Omrekentabel[],8,FALSE)/VLOOKUP(Invoer_Inschrijf[[#This Row],[C1 - Overig Materieel tbv Verwijderen]],Brandstofmachines_Omrekentabel[],8,FALSE),0),_xlfn.IFNA(Invoer_Referentie[[#This Row],[C1 - Verbruik overige materieel '[liter - kWh - kg / uur']]]*VLOOKUP(Invoer_Referentie[[#This Row],[C1 - Overig Materieel tbv Verwijderen]],Brandstofmachines_Omrekentabel[],8,FALSE)/VLOOKUP(Invoer_Inschrijf[[#This Row],[C1 - Overig Materieel tbv Verwijderen]],Brandstofmachines_Omrekentabel[],8,FALSE),0)),0)</f>
        <v>0</v>
      </c>
      <c r="AD56" s="389">
        <f>Invoer_Referentie[[#This Row],[C1 - Capaciteit overig materieel '[Eenheden / uur']]]</f>
        <v>0</v>
      </c>
      <c r="AE56" s="353"/>
      <c r="AF56" s="352"/>
      <c r="AG56" s="353"/>
      <c r="AH56" s="235"/>
      <c r="BK56" s="224"/>
      <c r="BL56" s="224"/>
      <c r="BM56" s="224"/>
    </row>
    <row r="57" spans="2:65" hidden="1">
      <c r="B57" s="320"/>
      <c r="C57" s="235"/>
      <c r="D57" s="253"/>
      <c r="E57" s="1"/>
      <c r="F57" s="347"/>
      <c r="G57" s="399">
        <f>_xlfn.IFNA(IF(Invoer_Inschrijf[[#This Row],[Productgroep]]="Categorie_1_LCA_Producten",1,(VLOOKUP(Invoer_Inschrijf[[#This Row],[Product]],Database_Productkaarten[[Product]:[Comment]],64,FALSE))),0)</f>
        <v>0</v>
      </c>
      <c r="H57" s="320">
        <f>_xlfn.IFNA(IF(Invoer_Inschrijf[[#This Row],[Productgroep]]="Categorie_1_LCA_Producten",VLOOKUP(Invoer_Inschrijf[[#This Row],[Product]],Categorie_1_Producten[],2,FALSE),VLOOKUP(Invoer_Inschrijf[[#This Row],[Product]],Database_Productkaarten[[Product]:[Category]],60,FALSE)),0)</f>
        <v>0</v>
      </c>
      <c r="I57" s="260" t="e">
        <f>_xlfn.IFNA(VLOOKUP(Invoer_Inschrijf[[#This Row],[Product]],Database_Productkaarten[[Product]:[Producttype]],3,FALSE),VLOOKUP(Invoer_Inschrijf[[#This Row],[Product]],Categorie_1_Producten[#All],3,FALSE))</f>
        <v>#N/A</v>
      </c>
      <c r="J57" s="238"/>
      <c r="K57" s="320">
        <f>_xlfn.IFNA(IF(Invoer_Inschrijf[[#This Row],[Productgroep]]="Categorie_1_LCA_Producten",VLOOKUP(Invoer_Inschrijf[[#This Row],[Product]],Categorie_1_Producten[],4,FALSE),VLOOKUP(Invoer_Inschrijf[[#This Row],[Product]],Database_Productkaarten[[Product]:[Eenheid]],4,FALSE)),0)</f>
        <v>0</v>
      </c>
      <c r="L57" s="320"/>
      <c r="M57" s="320"/>
      <c r="N57" s="260"/>
      <c r="O57" s="237">
        <f>Invoer_Inschrijf[[#This Row],[Lengte'[m']]]*Invoer_Inschrijf[[#This Row],[Breedte '[m']]]</f>
        <v>0</v>
      </c>
      <c r="P57" s="235">
        <f>IFERROR(IF(Invoer_Inschrijf[[#This Row],[Oppervlakte '[m2']]]*Invoer_Inschrijf[[#This Row],[Dikte '[m']]]=0,Invoer_Inschrijf[[#This Row],[Gewicht '[ton']]]/Invoer_Inschrijf[[#This Row],[Soortelijk gewicht '[ton / m3']]],Invoer_Inschrijf[[#This Row],[Oppervlakte '[m2']]]*Invoer_Inschrijf[[#This Row],[Dikte '[m']]]),0)</f>
        <v>0</v>
      </c>
      <c r="Q57" s="236">
        <f>_xlfn.IFNA(IF(Invoer_Inschrijf[[#This Row],[Productgroep]]="Categorie_1_LCA_Producten",VLOOKUP(F57,Categorie_1_Producten[#All],5,FALSE),VLOOKUP(F57&amp;", "&amp;"Totaal",Database_Productkaarten[#All],12,FALSE)),0)</f>
        <v>0</v>
      </c>
      <c r="R57" s="235">
        <f>_xlfn.IFNA(IF(Invoer_Inschrijf[[#This Row],[Productgroep]]="Categorie_1_LCA_Producten",VLOOKUP(Invoer_Inschrijf[[#This Row],[Product]],Categorie_1_Producten[],5,FALSE)*Invoer_Inschrijf[[#This Row],[Aantal Eenheden]],(VLOOKUP(Invoer_Inschrijf[[#This Row],[Product]],Database_Productkaarten[[Product]:[Gewicht '[ton'] / Eenheid]],12,FALSE)*Invoer_Inschrijf[[#This Row],[Aantal Eenheden]])),0)</f>
        <v>0</v>
      </c>
      <c r="S57" s="237"/>
      <c r="T57" s="238">
        <f>MAX(IFERROR($E$2/IF(Invoer_Inschrijf[[#This Row],[Productgroep]]="Categorie_1_LCA_Producten",VLOOKUP(Invoer_Inschrijf[[#This Row],[Product]],Categorie_1_Producten[#All],7,FALSE),VLOOKUP(Invoer_Inschrijf[[#This Row],[Product]]&amp;", "&amp;"Totaal",Database_Productkaarten[#All],15,FALSE))-1,0),0)</f>
        <v>0</v>
      </c>
      <c r="U57" s="352"/>
      <c r="V57" s="352"/>
      <c r="W57" s="353"/>
      <c r="X57" s="353"/>
      <c r="Y57" s="389">
        <f>_xlfn.IFNA(IF(VLOOKUP(Invoer_Inschrijf[[#This Row],[A5 - Overig Materieel tbv Aanleg]],Brandstofmachines_Omrekentabel[],5,FALSE)=0,_xlfn.IFNA(Invoer_Referentie[[#This Row],[A5 - Verbruik overig materieel '[liter - kWh - kg / uur']]]*VLOOKUP(Invoer_Referentie[[#This Row],[A5 - Overig Materieel tbv Aanleg]],Brandstofmachines_Omrekentabel[],8,FALSE)/VLOOKUP(Invoer_Inschrijf[[#This Row],[A5 - Overig Materieel tbv Aanleg]],Brandstofmachines_Omrekentabel[],8,FALSE),0),_xlfn.IFNA(Invoer_Referentie[[#This Row],[A5 - Verbruik overig materieel '[liter - kWh - kg / uur']]]*VLOOKUP(Invoer_Referentie[[#This Row],[A5 - Overig Materieel tbv Aanleg]],Brandstofmachines_Omrekentabel[],8,FALSE)/VLOOKUP(Invoer_Inschrijf[[#This Row],[A5 - Overig Materieel tbv Aanleg]],Brandstofmachines_Omrekentabel[],8,FALSE),0)),0)</f>
        <v>0</v>
      </c>
      <c r="Z57" s="389">
        <f>Invoer_Referentie[[#This Row],[A5 - Capaciteit overig materieel '[Eenheden / uur']]]</f>
        <v>0</v>
      </c>
      <c r="AA57" s="353"/>
      <c r="AB57" s="353"/>
      <c r="AC57" s="389">
        <f>_xlfn.IFNA(IF(VLOOKUP(Invoer_Inschrijf[[#This Row],[C1 - Overig Materieel tbv Verwijderen]],Brandstofmachines_Omrekentabel[],5,FALSE)=0,_xlfn.IFNA(Invoer_Referentie[[#This Row],[C1 - Verbruik overige materieel '[liter - kWh - kg / uur']]]*VLOOKUP(Invoer_Referentie[[#This Row],[C1 - Overig Materieel tbv Verwijderen]],Brandstofmachines_Omrekentabel[],8,FALSE)/VLOOKUP(Invoer_Inschrijf[[#This Row],[C1 - Overig Materieel tbv Verwijderen]],Brandstofmachines_Omrekentabel[],8,FALSE),0),_xlfn.IFNA(Invoer_Referentie[[#This Row],[C1 - Verbruik overige materieel '[liter - kWh - kg / uur']]]*VLOOKUP(Invoer_Referentie[[#This Row],[C1 - Overig Materieel tbv Verwijderen]],Brandstofmachines_Omrekentabel[],8,FALSE)/VLOOKUP(Invoer_Inschrijf[[#This Row],[C1 - Overig Materieel tbv Verwijderen]],Brandstofmachines_Omrekentabel[],8,FALSE),0)),0)</f>
        <v>0</v>
      </c>
      <c r="AD57" s="389">
        <f>Invoer_Referentie[[#This Row],[C1 - Capaciteit overig materieel '[Eenheden / uur']]]</f>
        <v>0</v>
      </c>
      <c r="AE57" s="353"/>
      <c r="AF57" s="352"/>
      <c r="AG57" s="353"/>
      <c r="AH57" s="235"/>
      <c r="BK57" s="224"/>
      <c r="BL57" s="224"/>
      <c r="BM57" s="224"/>
    </row>
    <row r="58" spans="2:65" hidden="1">
      <c r="B58" s="320"/>
      <c r="C58" s="235"/>
      <c r="D58" s="253"/>
      <c r="E58" s="1"/>
      <c r="F58" s="347"/>
      <c r="G58" s="399">
        <f>_xlfn.IFNA(IF(Invoer_Inschrijf[[#This Row],[Productgroep]]="Categorie_1_LCA_Producten",1,(VLOOKUP(Invoer_Inschrijf[[#This Row],[Product]],Database_Productkaarten[[Product]:[Comment]],64,FALSE))),0)</f>
        <v>0</v>
      </c>
      <c r="H58" s="320">
        <f>_xlfn.IFNA(IF(Invoer_Inschrijf[[#This Row],[Productgroep]]="Categorie_1_LCA_Producten",VLOOKUP(Invoer_Inschrijf[[#This Row],[Product]],Categorie_1_Producten[],2,FALSE),VLOOKUP(Invoer_Inschrijf[[#This Row],[Product]],Database_Productkaarten[[Product]:[Category]],60,FALSE)),0)</f>
        <v>0</v>
      </c>
      <c r="I58" s="260" t="e">
        <f>_xlfn.IFNA(VLOOKUP(Invoer_Inschrijf[[#This Row],[Product]],Database_Productkaarten[[Product]:[Producttype]],3,FALSE),VLOOKUP(Invoer_Inschrijf[[#This Row],[Product]],Categorie_1_Producten[#All],3,FALSE))</f>
        <v>#N/A</v>
      </c>
      <c r="J58" s="238"/>
      <c r="K58" s="320">
        <f>_xlfn.IFNA(IF(Invoer_Inschrijf[[#This Row],[Productgroep]]="Categorie_1_LCA_Producten",VLOOKUP(Invoer_Inschrijf[[#This Row],[Product]],Categorie_1_Producten[],4,FALSE),VLOOKUP(Invoer_Inschrijf[[#This Row],[Product]],Database_Productkaarten[[Product]:[Eenheid]],4,FALSE)),0)</f>
        <v>0</v>
      </c>
      <c r="L58" s="320"/>
      <c r="M58" s="320"/>
      <c r="N58" s="260"/>
      <c r="O58" s="237">
        <f>Invoer_Inschrijf[[#This Row],[Lengte'[m']]]*Invoer_Inschrijf[[#This Row],[Breedte '[m']]]</f>
        <v>0</v>
      </c>
      <c r="P58" s="235">
        <f>IFERROR(IF(Invoer_Inschrijf[[#This Row],[Oppervlakte '[m2']]]*Invoer_Inschrijf[[#This Row],[Dikte '[m']]]=0,Invoer_Inschrijf[[#This Row],[Gewicht '[ton']]]/Invoer_Inschrijf[[#This Row],[Soortelijk gewicht '[ton / m3']]],Invoer_Inschrijf[[#This Row],[Oppervlakte '[m2']]]*Invoer_Inschrijf[[#This Row],[Dikte '[m']]]),0)</f>
        <v>0</v>
      </c>
      <c r="Q58" s="236">
        <f>_xlfn.IFNA(IF(Invoer_Inschrijf[[#This Row],[Productgroep]]="Categorie_1_LCA_Producten",VLOOKUP(F58,Categorie_1_Producten[#All],5,FALSE),VLOOKUP(F58&amp;", "&amp;"Totaal",Database_Productkaarten[#All],12,FALSE)),0)</f>
        <v>0</v>
      </c>
      <c r="R58" s="235">
        <f>_xlfn.IFNA(IF(Invoer_Inschrijf[[#This Row],[Productgroep]]="Categorie_1_LCA_Producten",VLOOKUP(Invoer_Inschrijf[[#This Row],[Product]],Categorie_1_Producten[],5,FALSE)*Invoer_Inschrijf[[#This Row],[Aantal Eenheden]],(VLOOKUP(Invoer_Inschrijf[[#This Row],[Product]],Database_Productkaarten[[Product]:[Gewicht '[ton'] / Eenheid]],12,FALSE)*Invoer_Inschrijf[[#This Row],[Aantal Eenheden]])),0)</f>
        <v>0</v>
      </c>
      <c r="S58" s="237"/>
      <c r="T58" s="238">
        <f>MAX(IFERROR($E$2/IF(Invoer_Inschrijf[[#This Row],[Productgroep]]="Categorie_1_LCA_Producten",VLOOKUP(Invoer_Inschrijf[[#This Row],[Product]],Categorie_1_Producten[#All],7,FALSE),VLOOKUP(Invoer_Inschrijf[[#This Row],[Product]]&amp;", "&amp;"Totaal",Database_Productkaarten[#All],15,FALSE))-1,0),0)</f>
        <v>0</v>
      </c>
      <c r="U58" s="352"/>
      <c r="V58" s="352"/>
      <c r="W58" s="353"/>
      <c r="X58" s="353"/>
      <c r="Y58" s="389">
        <f>_xlfn.IFNA(IF(VLOOKUP(Invoer_Inschrijf[[#This Row],[A5 - Overig Materieel tbv Aanleg]],Brandstofmachines_Omrekentabel[],5,FALSE)=0,_xlfn.IFNA(Invoer_Referentie[[#This Row],[A5 - Verbruik overig materieel '[liter - kWh - kg / uur']]]*VLOOKUP(Invoer_Referentie[[#This Row],[A5 - Overig Materieel tbv Aanleg]],Brandstofmachines_Omrekentabel[],8,FALSE)/VLOOKUP(Invoer_Inschrijf[[#This Row],[A5 - Overig Materieel tbv Aanleg]],Brandstofmachines_Omrekentabel[],8,FALSE),0),_xlfn.IFNA(Invoer_Referentie[[#This Row],[A5 - Verbruik overig materieel '[liter - kWh - kg / uur']]]*VLOOKUP(Invoer_Referentie[[#This Row],[A5 - Overig Materieel tbv Aanleg]],Brandstofmachines_Omrekentabel[],8,FALSE)/VLOOKUP(Invoer_Inschrijf[[#This Row],[A5 - Overig Materieel tbv Aanleg]],Brandstofmachines_Omrekentabel[],8,FALSE),0)),0)</f>
        <v>0</v>
      </c>
      <c r="Z58" s="389">
        <f>Invoer_Referentie[[#This Row],[A5 - Capaciteit overig materieel '[Eenheden / uur']]]</f>
        <v>0</v>
      </c>
      <c r="AA58" s="353"/>
      <c r="AB58" s="353"/>
      <c r="AC58" s="389">
        <f>_xlfn.IFNA(IF(VLOOKUP(Invoer_Inschrijf[[#This Row],[C1 - Overig Materieel tbv Verwijderen]],Brandstofmachines_Omrekentabel[],5,FALSE)=0,_xlfn.IFNA(Invoer_Referentie[[#This Row],[C1 - Verbruik overige materieel '[liter - kWh - kg / uur']]]*VLOOKUP(Invoer_Referentie[[#This Row],[C1 - Overig Materieel tbv Verwijderen]],Brandstofmachines_Omrekentabel[],8,FALSE)/VLOOKUP(Invoer_Inschrijf[[#This Row],[C1 - Overig Materieel tbv Verwijderen]],Brandstofmachines_Omrekentabel[],8,FALSE),0),_xlfn.IFNA(Invoer_Referentie[[#This Row],[C1 - Verbruik overige materieel '[liter - kWh - kg / uur']]]*VLOOKUP(Invoer_Referentie[[#This Row],[C1 - Overig Materieel tbv Verwijderen]],Brandstofmachines_Omrekentabel[],8,FALSE)/VLOOKUP(Invoer_Inschrijf[[#This Row],[C1 - Overig Materieel tbv Verwijderen]],Brandstofmachines_Omrekentabel[],8,FALSE),0)),0)</f>
        <v>0</v>
      </c>
      <c r="AD58" s="389">
        <f>Invoer_Referentie[[#This Row],[C1 - Capaciteit overig materieel '[Eenheden / uur']]]</f>
        <v>0</v>
      </c>
      <c r="AE58" s="353"/>
      <c r="AF58" s="352"/>
      <c r="AG58" s="353"/>
      <c r="AH58" s="235"/>
      <c r="BK58" s="224"/>
      <c r="BL58" s="224"/>
      <c r="BM58" s="224"/>
    </row>
    <row r="59" spans="2:65" hidden="1">
      <c r="B59" s="320"/>
      <c r="C59" s="235"/>
      <c r="D59" s="253"/>
      <c r="E59" s="1"/>
      <c r="F59" s="347"/>
      <c r="G59" s="399">
        <f>_xlfn.IFNA(IF(Invoer_Inschrijf[[#This Row],[Productgroep]]="Categorie_1_LCA_Producten",1,(VLOOKUP(Invoer_Inschrijf[[#This Row],[Product]],Database_Productkaarten[[Product]:[Comment]],64,FALSE))),0)</f>
        <v>0</v>
      </c>
      <c r="H59" s="320">
        <f>_xlfn.IFNA(IF(Invoer_Inschrijf[[#This Row],[Productgroep]]="Categorie_1_LCA_Producten",VLOOKUP(Invoer_Inschrijf[[#This Row],[Product]],Categorie_1_Producten[],2,FALSE),VLOOKUP(Invoer_Inschrijf[[#This Row],[Product]],Database_Productkaarten[[Product]:[Category]],60,FALSE)),0)</f>
        <v>0</v>
      </c>
      <c r="I59" s="260" t="e">
        <f>_xlfn.IFNA(VLOOKUP(Invoer_Inschrijf[[#This Row],[Product]],Database_Productkaarten[[Product]:[Producttype]],3,FALSE),VLOOKUP(Invoer_Inschrijf[[#This Row],[Product]],Categorie_1_Producten[#All],3,FALSE))</f>
        <v>#N/A</v>
      </c>
      <c r="J59" s="238"/>
      <c r="K59" s="320">
        <f>_xlfn.IFNA(IF(Invoer_Inschrijf[[#This Row],[Productgroep]]="Categorie_1_LCA_Producten",VLOOKUP(Invoer_Inschrijf[[#This Row],[Product]],Categorie_1_Producten[],4,FALSE),VLOOKUP(Invoer_Inschrijf[[#This Row],[Product]],Database_Productkaarten[[Product]:[Eenheid]],4,FALSE)),0)</f>
        <v>0</v>
      </c>
      <c r="L59" s="320"/>
      <c r="M59" s="320"/>
      <c r="N59" s="260"/>
      <c r="O59" s="237">
        <f>Invoer_Inschrijf[[#This Row],[Lengte'[m']]]*Invoer_Inschrijf[[#This Row],[Breedte '[m']]]</f>
        <v>0</v>
      </c>
      <c r="P59" s="235">
        <f>IFERROR(IF(Invoer_Inschrijf[[#This Row],[Oppervlakte '[m2']]]*Invoer_Inschrijf[[#This Row],[Dikte '[m']]]=0,Invoer_Inschrijf[[#This Row],[Gewicht '[ton']]]/Invoer_Inschrijf[[#This Row],[Soortelijk gewicht '[ton / m3']]],Invoer_Inschrijf[[#This Row],[Oppervlakte '[m2']]]*Invoer_Inschrijf[[#This Row],[Dikte '[m']]]),0)</f>
        <v>0</v>
      </c>
      <c r="Q59" s="236">
        <f>_xlfn.IFNA(IF(Invoer_Inschrijf[[#This Row],[Productgroep]]="Categorie_1_LCA_Producten",VLOOKUP(F59,Categorie_1_Producten[#All],5,FALSE),VLOOKUP(F59&amp;", "&amp;"Totaal",Database_Productkaarten[#All],12,FALSE)),0)</f>
        <v>0</v>
      </c>
      <c r="R59" s="235">
        <f>_xlfn.IFNA(IF(Invoer_Inschrijf[[#This Row],[Productgroep]]="Categorie_1_LCA_Producten",VLOOKUP(Invoer_Inschrijf[[#This Row],[Product]],Categorie_1_Producten[],5,FALSE)*Invoer_Inschrijf[[#This Row],[Aantal Eenheden]],(VLOOKUP(Invoer_Inschrijf[[#This Row],[Product]],Database_Productkaarten[[Product]:[Gewicht '[ton'] / Eenheid]],12,FALSE)*Invoer_Inschrijf[[#This Row],[Aantal Eenheden]])),0)</f>
        <v>0</v>
      </c>
      <c r="S59" s="237"/>
      <c r="T59" s="238">
        <f>MAX(IFERROR($E$2/IF(Invoer_Inschrijf[[#This Row],[Productgroep]]="Categorie_1_LCA_Producten",VLOOKUP(Invoer_Inschrijf[[#This Row],[Product]],Categorie_1_Producten[#All],7,FALSE),VLOOKUP(Invoer_Inschrijf[[#This Row],[Product]]&amp;", "&amp;"Totaal",Database_Productkaarten[#All],15,FALSE))-1,0),0)</f>
        <v>0</v>
      </c>
      <c r="U59" s="352"/>
      <c r="V59" s="352"/>
      <c r="W59" s="353"/>
      <c r="X59" s="353"/>
      <c r="Y59" s="389">
        <f>_xlfn.IFNA(IF(VLOOKUP(Invoer_Inschrijf[[#This Row],[A5 - Overig Materieel tbv Aanleg]],Brandstofmachines_Omrekentabel[],5,FALSE)=0,_xlfn.IFNA(Invoer_Referentie[[#This Row],[A5 - Verbruik overig materieel '[liter - kWh - kg / uur']]]*VLOOKUP(Invoer_Referentie[[#This Row],[A5 - Overig Materieel tbv Aanleg]],Brandstofmachines_Omrekentabel[],8,FALSE)/VLOOKUP(Invoer_Inschrijf[[#This Row],[A5 - Overig Materieel tbv Aanleg]],Brandstofmachines_Omrekentabel[],8,FALSE),0),_xlfn.IFNA(Invoer_Referentie[[#This Row],[A5 - Verbruik overig materieel '[liter - kWh - kg / uur']]]*VLOOKUP(Invoer_Referentie[[#This Row],[A5 - Overig Materieel tbv Aanleg]],Brandstofmachines_Omrekentabel[],8,FALSE)/VLOOKUP(Invoer_Inschrijf[[#This Row],[A5 - Overig Materieel tbv Aanleg]],Brandstofmachines_Omrekentabel[],8,FALSE),0)),0)</f>
        <v>0</v>
      </c>
      <c r="Z59" s="389">
        <f>Invoer_Referentie[[#This Row],[A5 - Capaciteit overig materieel '[Eenheden / uur']]]</f>
        <v>0</v>
      </c>
      <c r="AA59" s="353"/>
      <c r="AB59" s="353"/>
      <c r="AC59" s="389">
        <f>_xlfn.IFNA(IF(VLOOKUP(Invoer_Inschrijf[[#This Row],[C1 - Overig Materieel tbv Verwijderen]],Brandstofmachines_Omrekentabel[],5,FALSE)=0,_xlfn.IFNA(Invoer_Referentie[[#This Row],[C1 - Verbruik overige materieel '[liter - kWh - kg / uur']]]*VLOOKUP(Invoer_Referentie[[#This Row],[C1 - Overig Materieel tbv Verwijderen]],Brandstofmachines_Omrekentabel[],8,FALSE)/VLOOKUP(Invoer_Inschrijf[[#This Row],[C1 - Overig Materieel tbv Verwijderen]],Brandstofmachines_Omrekentabel[],8,FALSE),0),_xlfn.IFNA(Invoer_Referentie[[#This Row],[C1 - Verbruik overige materieel '[liter - kWh - kg / uur']]]*VLOOKUP(Invoer_Referentie[[#This Row],[C1 - Overig Materieel tbv Verwijderen]],Brandstofmachines_Omrekentabel[],8,FALSE)/VLOOKUP(Invoer_Inschrijf[[#This Row],[C1 - Overig Materieel tbv Verwijderen]],Brandstofmachines_Omrekentabel[],8,FALSE),0)),0)</f>
        <v>0</v>
      </c>
      <c r="AD59" s="389">
        <f>Invoer_Referentie[[#This Row],[C1 - Capaciteit overig materieel '[Eenheden / uur']]]</f>
        <v>0</v>
      </c>
      <c r="AE59" s="353"/>
      <c r="AF59" s="352"/>
      <c r="AG59" s="353"/>
      <c r="AH59" s="235"/>
      <c r="BK59" s="224"/>
      <c r="BL59" s="224"/>
      <c r="BM59" s="224"/>
    </row>
    <row r="60" spans="2:65" hidden="1">
      <c r="B60" s="320"/>
      <c r="C60" s="235"/>
      <c r="D60" s="253"/>
      <c r="E60" s="1"/>
      <c r="F60" s="347"/>
      <c r="G60" s="399">
        <f>_xlfn.IFNA(IF(Invoer_Inschrijf[[#This Row],[Productgroep]]="Categorie_1_LCA_Producten",1,(VLOOKUP(Invoer_Inschrijf[[#This Row],[Product]],Database_Productkaarten[[Product]:[Comment]],64,FALSE))),0)</f>
        <v>0</v>
      </c>
      <c r="H60" s="320">
        <f>_xlfn.IFNA(IF(Invoer_Inschrijf[[#This Row],[Productgroep]]="Categorie_1_LCA_Producten",VLOOKUP(Invoer_Inschrijf[[#This Row],[Product]],Categorie_1_Producten[],2,FALSE),VLOOKUP(Invoer_Inschrijf[[#This Row],[Product]],Database_Productkaarten[[Product]:[Category]],60,FALSE)),0)</f>
        <v>0</v>
      </c>
      <c r="I60" s="260" t="e">
        <f>_xlfn.IFNA(VLOOKUP(Invoer_Inschrijf[[#This Row],[Product]],Database_Productkaarten[[Product]:[Producttype]],3,FALSE),VLOOKUP(Invoer_Inschrijf[[#This Row],[Product]],Categorie_1_Producten[#All],3,FALSE))</f>
        <v>#N/A</v>
      </c>
      <c r="J60" s="238"/>
      <c r="K60" s="320">
        <f>_xlfn.IFNA(IF(Invoer_Inschrijf[[#This Row],[Productgroep]]="Categorie_1_LCA_Producten",VLOOKUP(Invoer_Inschrijf[[#This Row],[Product]],Categorie_1_Producten[],4,FALSE),VLOOKUP(Invoer_Inschrijf[[#This Row],[Product]],Database_Productkaarten[[Product]:[Eenheid]],4,FALSE)),0)</f>
        <v>0</v>
      </c>
      <c r="L60" s="320"/>
      <c r="M60" s="320"/>
      <c r="N60" s="260"/>
      <c r="O60" s="237">
        <f>Invoer_Inschrijf[[#This Row],[Lengte'[m']]]*Invoer_Inschrijf[[#This Row],[Breedte '[m']]]</f>
        <v>0</v>
      </c>
      <c r="P60" s="235">
        <f>IFERROR(IF(Invoer_Inschrijf[[#This Row],[Oppervlakte '[m2']]]*Invoer_Inschrijf[[#This Row],[Dikte '[m']]]=0,Invoer_Inschrijf[[#This Row],[Gewicht '[ton']]]/Invoer_Inschrijf[[#This Row],[Soortelijk gewicht '[ton / m3']]],Invoer_Inschrijf[[#This Row],[Oppervlakte '[m2']]]*Invoer_Inschrijf[[#This Row],[Dikte '[m']]]),0)</f>
        <v>0</v>
      </c>
      <c r="Q60" s="236">
        <f>_xlfn.IFNA(IF(Invoer_Inschrijf[[#This Row],[Productgroep]]="Categorie_1_LCA_Producten",VLOOKUP(F60,Categorie_1_Producten[#All],5,FALSE),VLOOKUP(F60&amp;", "&amp;"Totaal",Database_Productkaarten[#All],12,FALSE)),0)</f>
        <v>0</v>
      </c>
      <c r="R60" s="235">
        <f>_xlfn.IFNA(IF(Invoer_Inschrijf[[#This Row],[Productgroep]]="Categorie_1_LCA_Producten",VLOOKUP(Invoer_Inschrijf[[#This Row],[Product]],Categorie_1_Producten[],5,FALSE)*Invoer_Inschrijf[[#This Row],[Aantal Eenheden]],(VLOOKUP(Invoer_Inschrijf[[#This Row],[Product]],Database_Productkaarten[[Product]:[Gewicht '[ton'] / Eenheid]],12,FALSE)*Invoer_Inschrijf[[#This Row],[Aantal Eenheden]])),0)</f>
        <v>0</v>
      </c>
      <c r="S60" s="237"/>
      <c r="T60" s="238">
        <f>MAX(IFERROR($E$2/IF(Invoer_Inschrijf[[#This Row],[Productgroep]]="Categorie_1_LCA_Producten",VLOOKUP(Invoer_Inschrijf[[#This Row],[Product]],Categorie_1_Producten[#All],7,FALSE),VLOOKUP(Invoer_Inschrijf[[#This Row],[Product]]&amp;", "&amp;"Totaal",Database_Productkaarten[#All],15,FALSE))-1,0),0)</f>
        <v>0</v>
      </c>
      <c r="U60" s="352"/>
      <c r="V60" s="352"/>
      <c r="W60" s="353"/>
      <c r="X60" s="353"/>
      <c r="Y60" s="389">
        <f>_xlfn.IFNA(IF(VLOOKUP(Invoer_Inschrijf[[#This Row],[A5 - Overig Materieel tbv Aanleg]],Brandstofmachines_Omrekentabel[],5,FALSE)=0,_xlfn.IFNA(Invoer_Referentie[[#This Row],[A5 - Verbruik overig materieel '[liter - kWh - kg / uur']]]*VLOOKUP(Invoer_Referentie[[#This Row],[A5 - Overig Materieel tbv Aanleg]],Brandstofmachines_Omrekentabel[],8,FALSE)/VLOOKUP(Invoer_Inschrijf[[#This Row],[A5 - Overig Materieel tbv Aanleg]],Brandstofmachines_Omrekentabel[],8,FALSE),0),_xlfn.IFNA(Invoer_Referentie[[#This Row],[A5 - Verbruik overig materieel '[liter - kWh - kg / uur']]]*VLOOKUP(Invoer_Referentie[[#This Row],[A5 - Overig Materieel tbv Aanleg]],Brandstofmachines_Omrekentabel[],8,FALSE)/VLOOKUP(Invoer_Inschrijf[[#This Row],[A5 - Overig Materieel tbv Aanleg]],Brandstofmachines_Omrekentabel[],8,FALSE),0)),0)</f>
        <v>0</v>
      </c>
      <c r="Z60" s="389">
        <f>Invoer_Referentie[[#This Row],[A5 - Capaciteit overig materieel '[Eenheden / uur']]]</f>
        <v>0</v>
      </c>
      <c r="AA60" s="353"/>
      <c r="AB60" s="353"/>
      <c r="AC60" s="389">
        <f>_xlfn.IFNA(IF(VLOOKUP(Invoer_Inschrijf[[#This Row],[C1 - Overig Materieel tbv Verwijderen]],Brandstofmachines_Omrekentabel[],5,FALSE)=0,_xlfn.IFNA(Invoer_Referentie[[#This Row],[C1 - Verbruik overige materieel '[liter - kWh - kg / uur']]]*VLOOKUP(Invoer_Referentie[[#This Row],[C1 - Overig Materieel tbv Verwijderen]],Brandstofmachines_Omrekentabel[],8,FALSE)/VLOOKUP(Invoer_Inschrijf[[#This Row],[C1 - Overig Materieel tbv Verwijderen]],Brandstofmachines_Omrekentabel[],8,FALSE),0),_xlfn.IFNA(Invoer_Referentie[[#This Row],[C1 - Verbruik overige materieel '[liter - kWh - kg / uur']]]*VLOOKUP(Invoer_Referentie[[#This Row],[C1 - Overig Materieel tbv Verwijderen]],Brandstofmachines_Omrekentabel[],8,FALSE)/VLOOKUP(Invoer_Inschrijf[[#This Row],[C1 - Overig Materieel tbv Verwijderen]],Brandstofmachines_Omrekentabel[],8,FALSE),0)),0)</f>
        <v>0</v>
      </c>
      <c r="AD60" s="389">
        <f>Invoer_Referentie[[#This Row],[C1 - Capaciteit overig materieel '[Eenheden / uur']]]</f>
        <v>0</v>
      </c>
      <c r="AE60" s="353"/>
      <c r="AF60" s="352"/>
      <c r="AG60" s="353"/>
      <c r="AH60" s="235"/>
      <c r="BK60" s="224"/>
      <c r="BL60" s="224"/>
      <c r="BM60" s="224"/>
    </row>
    <row r="61" spans="2:65" hidden="1">
      <c r="B61" s="320"/>
      <c r="C61" s="235"/>
      <c r="D61" s="253"/>
      <c r="E61" s="1"/>
      <c r="F61" s="347"/>
      <c r="G61" s="399">
        <f>_xlfn.IFNA(IF(Invoer_Inschrijf[[#This Row],[Productgroep]]="Categorie_1_LCA_Producten",1,(VLOOKUP(Invoer_Inschrijf[[#This Row],[Product]],Database_Productkaarten[[Product]:[Comment]],64,FALSE))),0)</f>
        <v>0</v>
      </c>
      <c r="H61" s="320">
        <f>_xlfn.IFNA(IF(Invoer_Inschrijf[[#This Row],[Productgroep]]="Categorie_1_LCA_Producten",VLOOKUP(Invoer_Inschrijf[[#This Row],[Product]],Categorie_1_Producten[],2,FALSE),VLOOKUP(Invoer_Inschrijf[[#This Row],[Product]],Database_Productkaarten[[Product]:[Category]],60,FALSE)),0)</f>
        <v>0</v>
      </c>
      <c r="I61" s="260" t="e">
        <f>_xlfn.IFNA(VLOOKUP(Invoer_Inschrijf[[#This Row],[Product]],Database_Productkaarten[[Product]:[Producttype]],3,FALSE),VLOOKUP(Invoer_Inschrijf[[#This Row],[Product]],Categorie_1_Producten[#All],3,FALSE))</f>
        <v>#N/A</v>
      </c>
      <c r="J61" s="238"/>
      <c r="K61" s="320">
        <f>_xlfn.IFNA(IF(Invoer_Inschrijf[[#This Row],[Productgroep]]="Categorie_1_LCA_Producten",VLOOKUP(Invoer_Inschrijf[[#This Row],[Product]],Categorie_1_Producten[],4,FALSE),VLOOKUP(Invoer_Inschrijf[[#This Row],[Product]],Database_Productkaarten[[Product]:[Eenheid]],4,FALSE)),0)</f>
        <v>0</v>
      </c>
      <c r="L61" s="320"/>
      <c r="M61" s="320"/>
      <c r="N61" s="260"/>
      <c r="O61" s="237">
        <f>Invoer_Inschrijf[[#This Row],[Lengte'[m']]]*Invoer_Inschrijf[[#This Row],[Breedte '[m']]]</f>
        <v>0</v>
      </c>
      <c r="P61" s="235">
        <f>IFERROR(IF(Invoer_Inschrijf[[#This Row],[Oppervlakte '[m2']]]*Invoer_Inschrijf[[#This Row],[Dikte '[m']]]=0,Invoer_Inschrijf[[#This Row],[Gewicht '[ton']]]/Invoer_Inschrijf[[#This Row],[Soortelijk gewicht '[ton / m3']]],Invoer_Inschrijf[[#This Row],[Oppervlakte '[m2']]]*Invoer_Inschrijf[[#This Row],[Dikte '[m']]]),0)</f>
        <v>0</v>
      </c>
      <c r="Q61" s="236">
        <f>_xlfn.IFNA(IF(Invoer_Inschrijf[[#This Row],[Productgroep]]="Categorie_1_LCA_Producten",VLOOKUP(F61,Categorie_1_Producten[#All],5,FALSE),VLOOKUP(F61&amp;", "&amp;"Totaal",Database_Productkaarten[#All],12,FALSE)),0)</f>
        <v>0</v>
      </c>
      <c r="R61" s="235">
        <f>_xlfn.IFNA(IF(Invoer_Inschrijf[[#This Row],[Productgroep]]="Categorie_1_LCA_Producten",VLOOKUP(Invoer_Inschrijf[[#This Row],[Product]],Categorie_1_Producten[],5,FALSE)*Invoer_Inschrijf[[#This Row],[Aantal Eenheden]],(VLOOKUP(Invoer_Inschrijf[[#This Row],[Product]],Database_Productkaarten[[Product]:[Gewicht '[ton'] / Eenheid]],12,FALSE)*Invoer_Inschrijf[[#This Row],[Aantal Eenheden]])),0)</f>
        <v>0</v>
      </c>
      <c r="S61" s="237"/>
      <c r="T61" s="238">
        <f>MAX(IFERROR($E$2/IF(Invoer_Inschrijf[[#This Row],[Productgroep]]="Categorie_1_LCA_Producten",VLOOKUP(Invoer_Inschrijf[[#This Row],[Product]],Categorie_1_Producten[#All],7,FALSE),VLOOKUP(Invoer_Inschrijf[[#This Row],[Product]]&amp;", "&amp;"Totaal",Database_Productkaarten[#All],15,FALSE))-1,0),0)</f>
        <v>0</v>
      </c>
      <c r="U61" s="352"/>
      <c r="V61" s="352"/>
      <c r="W61" s="353"/>
      <c r="X61" s="353"/>
      <c r="Y61" s="389">
        <f>_xlfn.IFNA(IF(VLOOKUP(Invoer_Inschrijf[[#This Row],[A5 - Overig Materieel tbv Aanleg]],Brandstofmachines_Omrekentabel[],5,FALSE)=0,_xlfn.IFNA(Invoer_Referentie[[#This Row],[A5 - Verbruik overig materieel '[liter - kWh - kg / uur']]]*VLOOKUP(Invoer_Referentie[[#This Row],[A5 - Overig Materieel tbv Aanleg]],Brandstofmachines_Omrekentabel[],8,FALSE)/VLOOKUP(Invoer_Inschrijf[[#This Row],[A5 - Overig Materieel tbv Aanleg]],Brandstofmachines_Omrekentabel[],8,FALSE),0),_xlfn.IFNA(Invoer_Referentie[[#This Row],[A5 - Verbruik overig materieel '[liter - kWh - kg / uur']]]*VLOOKUP(Invoer_Referentie[[#This Row],[A5 - Overig Materieel tbv Aanleg]],Brandstofmachines_Omrekentabel[],8,FALSE)/VLOOKUP(Invoer_Inschrijf[[#This Row],[A5 - Overig Materieel tbv Aanleg]],Brandstofmachines_Omrekentabel[],8,FALSE),0)),0)</f>
        <v>0</v>
      </c>
      <c r="Z61" s="389">
        <f>Invoer_Referentie[[#This Row],[A5 - Capaciteit overig materieel '[Eenheden / uur']]]</f>
        <v>0</v>
      </c>
      <c r="AA61" s="353"/>
      <c r="AB61" s="353"/>
      <c r="AC61" s="389">
        <f>_xlfn.IFNA(IF(VLOOKUP(Invoer_Inschrijf[[#This Row],[C1 - Overig Materieel tbv Verwijderen]],Brandstofmachines_Omrekentabel[],5,FALSE)=0,_xlfn.IFNA(Invoer_Referentie[[#This Row],[C1 - Verbruik overige materieel '[liter - kWh - kg / uur']]]*VLOOKUP(Invoer_Referentie[[#This Row],[C1 - Overig Materieel tbv Verwijderen]],Brandstofmachines_Omrekentabel[],8,FALSE)/VLOOKUP(Invoer_Inschrijf[[#This Row],[C1 - Overig Materieel tbv Verwijderen]],Brandstofmachines_Omrekentabel[],8,FALSE),0),_xlfn.IFNA(Invoer_Referentie[[#This Row],[C1 - Verbruik overige materieel '[liter - kWh - kg / uur']]]*VLOOKUP(Invoer_Referentie[[#This Row],[C1 - Overig Materieel tbv Verwijderen]],Brandstofmachines_Omrekentabel[],8,FALSE)/VLOOKUP(Invoer_Inschrijf[[#This Row],[C1 - Overig Materieel tbv Verwijderen]],Brandstofmachines_Omrekentabel[],8,FALSE),0)),0)</f>
        <v>0</v>
      </c>
      <c r="AD61" s="389">
        <f>Invoer_Referentie[[#This Row],[C1 - Capaciteit overig materieel '[Eenheden / uur']]]</f>
        <v>0</v>
      </c>
      <c r="AE61" s="353"/>
      <c r="AF61" s="352"/>
      <c r="AG61" s="353"/>
      <c r="AH61" s="235"/>
      <c r="BK61" s="224"/>
      <c r="BL61" s="224"/>
      <c r="BM61" s="224"/>
    </row>
    <row r="62" spans="2:65" ht="1.5" hidden="1" customHeight="1">
      <c r="B62" s="320"/>
      <c r="C62" s="235"/>
      <c r="D62" s="253"/>
      <c r="E62" s="1"/>
      <c r="F62" s="347"/>
      <c r="G62" s="399">
        <f>_xlfn.IFNA(IF(Invoer_Inschrijf[[#This Row],[Productgroep]]="Categorie_1_LCA_Producten",1,(VLOOKUP(Invoer_Inschrijf[[#This Row],[Product]],Database_Productkaarten[[Product]:[Comment]],64,FALSE))),0)</f>
        <v>0</v>
      </c>
      <c r="H62" s="320">
        <f>_xlfn.IFNA(IF(Invoer_Inschrijf[[#This Row],[Productgroep]]="Categorie_1_LCA_Producten",VLOOKUP(Invoer_Inschrijf[[#This Row],[Product]],Categorie_1_Producten[],2,FALSE),VLOOKUP(Invoer_Inschrijf[[#This Row],[Product]],Database_Productkaarten[[Product]:[Category]],60,FALSE)),0)</f>
        <v>0</v>
      </c>
      <c r="I62" s="260" t="e">
        <f>_xlfn.IFNA(VLOOKUP(Invoer_Inschrijf[[#This Row],[Product]],Database_Productkaarten[[Product]:[Producttype]],3,FALSE),VLOOKUP(Invoer_Inschrijf[[#This Row],[Product]],Categorie_1_Producten[#All],3,FALSE))</f>
        <v>#N/A</v>
      </c>
      <c r="J62" s="238"/>
      <c r="K62" s="320">
        <f>_xlfn.IFNA(IF(Invoer_Inschrijf[[#This Row],[Productgroep]]="Categorie_1_LCA_Producten",VLOOKUP(Invoer_Inschrijf[[#This Row],[Product]],Categorie_1_Producten[],4,FALSE),VLOOKUP(Invoer_Inschrijf[[#This Row],[Product]],Database_Productkaarten[[Product]:[Eenheid]],4,FALSE)),0)</f>
        <v>0</v>
      </c>
      <c r="L62" s="320"/>
      <c r="M62" s="320"/>
      <c r="N62" s="260"/>
      <c r="O62" s="237">
        <f>Invoer_Inschrijf[[#This Row],[Lengte'[m']]]*Invoer_Inschrijf[[#This Row],[Breedte '[m']]]</f>
        <v>0</v>
      </c>
      <c r="P62" s="235">
        <f>IFERROR(IF(Invoer_Inschrijf[[#This Row],[Oppervlakte '[m2']]]*Invoer_Inschrijf[[#This Row],[Dikte '[m']]]=0,Invoer_Inschrijf[[#This Row],[Gewicht '[ton']]]/Invoer_Inschrijf[[#This Row],[Soortelijk gewicht '[ton / m3']]],Invoer_Inschrijf[[#This Row],[Oppervlakte '[m2']]]*Invoer_Inschrijf[[#This Row],[Dikte '[m']]]),0)</f>
        <v>0</v>
      </c>
      <c r="Q62" s="236">
        <f>_xlfn.IFNA(IF(Invoer_Inschrijf[[#This Row],[Productgroep]]="Categorie_1_LCA_Producten",VLOOKUP(F62,Categorie_1_Producten[#All],5,FALSE),VLOOKUP(F62&amp;", "&amp;"Totaal",Database_Productkaarten[#All],12,FALSE)),0)</f>
        <v>0</v>
      </c>
      <c r="R62" s="235">
        <f>_xlfn.IFNA(IF(Invoer_Inschrijf[[#This Row],[Productgroep]]="Categorie_1_LCA_Producten",VLOOKUP(Invoer_Inschrijf[[#This Row],[Product]],Categorie_1_Producten[],5,FALSE)*Invoer_Inschrijf[[#This Row],[Aantal Eenheden]],(VLOOKUP(Invoer_Inschrijf[[#This Row],[Product]],Database_Productkaarten[[Product]:[Gewicht '[ton'] / Eenheid]],12,FALSE)*Invoer_Inschrijf[[#This Row],[Aantal Eenheden]])),0)</f>
        <v>0</v>
      </c>
      <c r="S62" s="237"/>
      <c r="T62" s="238">
        <f>MAX(IFERROR($E$2/IF(Invoer_Inschrijf[[#This Row],[Productgroep]]="Categorie_1_LCA_Producten",VLOOKUP(Invoer_Inschrijf[[#This Row],[Product]],Categorie_1_Producten[#All],7,FALSE),VLOOKUP(Invoer_Inschrijf[[#This Row],[Product]]&amp;", "&amp;"Totaal",Database_Productkaarten[#All],15,FALSE))-1,0),0)</f>
        <v>0</v>
      </c>
      <c r="U62" s="352"/>
      <c r="V62" s="352"/>
      <c r="W62" s="353"/>
      <c r="X62" s="353"/>
      <c r="Y62" s="389">
        <f>_xlfn.IFNA(IF(VLOOKUP(Invoer_Inschrijf[[#This Row],[A5 - Overig Materieel tbv Aanleg]],Brandstofmachines_Omrekentabel[],5,FALSE)=0,_xlfn.IFNA(Invoer_Referentie[[#This Row],[A5 - Verbruik overig materieel '[liter - kWh - kg / uur']]]*VLOOKUP(Invoer_Referentie[[#This Row],[A5 - Overig Materieel tbv Aanleg]],Brandstofmachines_Omrekentabel[],8,FALSE)/VLOOKUP(Invoer_Inschrijf[[#This Row],[A5 - Overig Materieel tbv Aanleg]],Brandstofmachines_Omrekentabel[],8,FALSE),0),_xlfn.IFNA(Invoer_Referentie[[#This Row],[A5 - Verbruik overig materieel '[liter - kWh - kg / uur']]]*VLOOKUP(Invoer_Referentie[[#This Row],[A5 - Overig Materieel tbv Aanleg]],Brandstofmachines_Omrekentabel[],8,FALSE)/VLOOKUP(Invoer_Inschrijf[[#This Row],[A5 - Overig Materieel tbv Aanleg]],Brandstofmachines_Omrekentabel[],8,FALSE),0)),0)</f>
        <v>0</v>
      </c>
      <c r="Z62" s="389">
        <f>Invoer_Referentie[[#This Row],[A5 - Capaciteit overig materieel '[Eenheden / uur']]]</f>
        <v>0</v>
      </c>
      <c r="AA62" s="353"/>
      <c r="AB62" s="353"/>
      <c r="AC62" s="389">
        <f>_xlfn.IFNA(IF(VLOOKUP(Invoer_Inschrijf[[#This Row],[C1 - Overig Materieel tbv Verwijderen]],Brandstofmachines_Omrekentabel[],5,FALSE)=0,_xlfn.IFNA(Invoer_Referentie[[#This Row],[C1 - Verbruik overige materieel '[liter - kWh - kg / uur']]]*VLOOKUP(Invoer_Referentie[[#This Row],[C1 - Overig Materieel tbv Verwijderen]],Brandstofmachines_Omrekentabel[],8,FALSE)/VLOOKUP(Invoer_Inschrijf[[#This Row],[C1 - Overig Materieel tbv Verwijderen]],Brandstofmachines_Omrekentabel[],8,FALSE),0),_xlfn.IFNA(Invoer_Referentie[[#This Row],[C1 - Verbruik overige materieel '[liter - kWh - kg / uur']]]*VLOOKUP(Invoer_Referentie[[#This Row],[C1 - Overig Materieel tbv Verwijderen]],Brandstofmachines_Omrekentabel[],8,FALSE)/VLOOKUP(Invoer_Inschrijf[[#This Row],[C1 - Overig Materieel tbv Verwijderen]],Brandstofmachines_Omrekentabel[],8,FALSE),0)),0)</f>
        <v>0</v>
      </c>
      <c r="AD62" s="389">
        <f>Invoer_Referentie[[#This Row],[C1 - Capaciteit overig materieel '[Eenheden / uur']]]</f>
        <v>0</v>
      </c>
      <c r="AE62" s="353"/>
      <c r="AF62" s="352"/>
      <c r="AG62" s="353"/>
      <c r="AH62" s="235"/>
      <c r="BK62" s="224"/>
      <c r="BL62" s="224"/>
      <c r="BM62" s="224"/>
    </row>
    <row r="63" spans="2:65" hidden="1">
      <c r="B63" s="320"/>
      <c r="C63" s="235"/>
      <c r="D63" s="253"/>
      <c r="E63" s="1"/>
      <c r="F63" s="347"/>
      <c r="G63" s="399">
        <f>_xlfn.IFNA(IF(Invoer_Inschrijf[[#This Row],[Productgroep]]="Categorie_1_LCA_Producten",1,(VLOOKUP(Invoer_Inschrijf[[#This Row],[Product]],Database_Productkaarten[[Product]:[Comment]],64,FALSE))),0)</f>
        <v>0</v>
      </c>
      <c r="H63" s="320">
        <f>_xlfn.IFNA(IF(Invoer_Inschrijf[[#This Row],[Productgroep]]="Categorie_1_LCA_Producten",VLOOKUP(Invoer_Inschrijf[[#This Row],[Product]],Categorie_1_Producten[],2,FALSE),VLOOKUP(Invoer_Inschrijf[[#This Row],[Product]],Database_Productkaarten[[Product]:[Category]],60,FALSE)),0)</f>
        <v>0</v>
      </c>
      <c r="I63" s="260" t="e">
        <f>_xlfn.IFNA(VLOOKUP(Invoer_Inschrijf[[#This Row],[Product]],Database_Productkaarten[[Product]:[Producttype]],3,FALSE),VLOOKUP(Invoer_Inschrijf[[#This Row],[Product]],Categorie_1_Producten[#All],3,FALSE))</f>
        <v>#N/A</v>
      </c>
      <c r="J63" s="238"/>
      <c r="K63" s="320">
        <f>_xlfn.IFNA(IF(Invoer_Inschrijf[[#This Row],[Productgroep]]="Categorie_1_LCA_Producten",VLOOKUP(Invoer_Inschrijf[[#This Row],[Product]],Categorie_1_Producten[],4,FALSE),VLOOKUP(Invoer_Inschrijf[[#This Row],[Product]],Database_Productkaarten[[Product]:[Eenheid]],4,FALSE)),0)</f>
        <v>0</v>
      </c>
      <c r="L63" s="320"/>
      <c r="M63" s="320"/>
      <c r="N63" s="260"/>
      <c r="O63" s="237">
        <f>Invoer_Inschrijf[[#This Row],[Lengte'[m']]]*Invoer_Inschrijf[[#This Row],[Breedte '[m']]]</f>
        <v>0</v>
      </c>
      <c r="P63" s="235">
        <f>IFERROR(IF(Invoer_Inschrijf[[#This Row],[Oppervlakte '[m2']]]*Invoer_Inschrijf[[#This Row],[Dikte '[m']]]=0,Invoer_Inschrijf[[#This Row],[Gewicht '[ton']]]/Invoer_Inschrijf[[#This Row],[Soortelijk gewicht '[ton / m3']]],Invoer_Inschrijf[[#This Row],[Oppervlakte '[m2']]]*Invoer_Inschrijf[[#This Row],[Dikte '[m']]]),0)</f>
        <v>0</v>
      </c>
      <c r="Q63" s="236">
        <f>_xlfn.IFNA(IF(Invoer_Inschrijf[[#This Row],[Productgroep]]="Categorie_1_LCA_Producten",VLOOKUP(F63,Categorie_1_Producten[#All],5,FALSE),VLOOKUP(F63&amp;", "&amp;"Totaal",Database_Productkaarten[#All],12,FALSE)),0)</f>
        <v>0</v>
      </c>
      <c r="R63" s="235">
        <f>_xlfn.IFNA(IF(Invoer_Inschrijf[[#This Row],[Productgroep]]="Categorie_1_LCA_Producten",VLOOKUP(Invoer_Inschrijf[[#This Row],[Product]],Categorie_1_Producten[],5,FALSE)*Invoer_Inschrijf[[#This Row],[Aantal Eenheden]],(VLOOKUP(Invoer_Inschrijf[[#This Row],[Product]],Database_Productkaarten[[Product]:[Gewicht '[ton'] / Eenheid]],12,FALSE)*Invoer_Inschrijf[[#This Row],[Aantal Eenheden]])),0)</f>
        <v>0</v>
      </c>
      <c r="S63" s="237"/>
      <c r="T63" s="238">
        <f>MAX(IFERROR($E$2/IF(Invoer_Inschrijf[[#This Row],[Productgroep]]="Categorie_1_LCA_Producten",VLOOKUP(Invoer_Inschrijf[[#This Row],[Product]],Categorie_1_Producten[#All],7,FALSE),VLOOKUP(Invoer_Inschrijf[[#This Row],[Product]]&amp;", "&amp;"Totaal",Database_Productkaarten[#All],15,FALSE))-1,0),0)</f>
        <v>0</v>
      </c>
      <c r="U63" s="352"/>
      <c r="V63" s="352"/>
      <c r="W63" s="353"/>
      <c r="X63" s="353"/>
      <c r="Y63" s="389">
        <f>_xlfn.IFNA(IF(VLOOKUP(Invoer_Inschrijf[[#This Row],[A5 - Overig Materieel tbv Aanleg]],Brandstofmachines_Omrekentabel[],5,FALSE)=0,_xlfn.IFNA(Invoer_Referentie[[#This Row],[A5 - Verbruik overig materieel '[liter - kWh - kg / uur']]]*VLOOKUP(Invoer_Referentie[[#This Row],[A5 - Overig Materieel tbv Aanleg]],Brandstofmachines_Omrekentabel[],8,FALSE)/VLOOKUP(Invoer_Inschrijf[[#This Row],[A5 - Overig Materieel tbv Aanleg]],Brandstofmachines_Omrekentabel[],8,FALSE),0),_xlfn.IFNA(Invoer_Referentie[[#This Row],[A5 - Verbruik overig materieel '[liter - kWh - kg / uur']]]*VLOOKUP(Invoer_Referentie[[#This Row],[A5 - Overig Materieel tbv Aanleg]],Brandstofmachines_Omrekentabel[],8,FALSE)/VLOOKUP(Invoer_Inschrijf[[#This Row],[A5 - Overig Materieel tbv Aanleg]],Brandstofmachines_Omrekentabel[],8,FALSE),0)),0)</f>
        <v>0</v>
      </c>
      <c r="Z63" s="389">
        <f>Invoer_Referentie[[#This Row],[A5 - Capaciteit overig materieel '[Eenheden / uur']]]</f>
        <v>0</v>
      </c>
      <c r="AA63" s="353"/>
      <c r="AB63" s="353"/>
      <c r="AC63" s="389">
        <f>_xlfn.IFNA(IF(VLOOKUP(Invoer_Inschrijf[[#This Row],[C1 - Overig Materieel tbv Verwijderen]],Brandstofmachines_Omrekentabel[],5,FALSE)=0,_xlfn.IFNA(Invoer_Referentie[[#This Row],[C1 - Verbruik overige materieel '[liter - kWh - kg / uur']]]*VLOOKUP(Invoer_Referentie[[#This Row],[C1 - Overig Materieel tbv Verwijderen]],Brandstofmachines_Omrekentabel[],8,FALSE)/VLOOKUP(Invoer_Inschrijf[[#This Row],[C1 - Overig Materieel tbv Verwijderen]],Brandstofmachines_Omrekentabel[],8,FALSE),0),_xlfn.IFNA(Invoer_Referentie[[#This Row],[C1 - Verbruik overige materieel '[liter - kWh - kg / uur']]]*VLOOKUP(Invoer_Referentie[[#This Row],[C1 - Overig Materieel tbv Verwijderen]],Brandstofmachines_Omrekentabel[],8,FALSE)/VLOOKUP(Invoer_Inschrijf[[#This Row],[C1 - Overig Materieel tbv Verwijderen]],Brandstofmachines_Omrekentabel[],8,FALSE),0)),0)</f>
        <v>0</v>
      </c>
      <c r="AD63" s="389">
        <f>Invoer_Referentie[[#This Row],[C1 - Capaciteit overig materieel '[Eenheden / uur']]]</f>
        <v>0</v>
      </c>
      <c r="AE63" s="353"/>
      <c r="AF63" s="352"/>
      <c r="AG63" s="353"/>
      <c r="AH63" s="235"/>
      <c r="BK63" s="224"/>
      <c r="BL63" s="224"/>
      <c r="BM63" s="224"/>
    </row>
    <row r="64" spans="2:65" hidden="1">
      <c r="B64" s="320"/>
      <c r="C64" s="235"/>
      <c r="D64" s="253"/>
      <c r="E64" s="1"/>
      <c r="F64" s="347"/>
      <c r="G64" s="399">
        <f>_xlfn.IFNA(IF(Invoer_Inschrijf[[#This Row],[Productgroep]]="Categorie_1_LCA_Producten",1,(VLOOKUP(Invoer_Inschrijf[[#This Row],[Product]],Database_Productkaarten[[Product]:[Comment]],64,FALSE))),0)</f>
        <v>0</v>
      </c>
      <c r="H64" s="320">
        <f>_xlfn.IFNA(IF(Invoer_Inschrijf[[#This Row],[Productgroep]]="Categorie_1_LCA_Producten",VLOOKUP(Invoer_Inschrijf[[#This Row],[Product]],Categorie_1_Producten[],2,FALSE),VLOOKUP(Invoer_Inschrijf[[#This Row],[Product]],Database_Productkaarten[[Product]:[Category]],60,FALSE)),0)</f>
        <v>0</v>
      </c>
      <c r="I64" s="260" t="e">
        <f>_xlfn.IFNA(VLOOKUP(Invoer_Inschrijf[[#This Row],[Product]],Database_Productkaarten[[Product]:[Producttype]],3,FALSE),VLOOKUP(Invoer_Inschrijf[[#This Row],[Product]],Categorie_1_Producten[#All],3,FALSE))</f>
        <v>#N/A</v>
      </c>
      <c r="J64" s="238"/>
      <c r="K64" s="320">
        <f>_xlfn.IFNA(IF(Invoer_Inschrijf[[#This Row],[Productgroep]]="Categorie_1_LCA_Producten",VLOOKUP(Invoer_Inschrijf[[#This Row],[Product]],Categorie_1_Producten[],4,FALSE),VLOOKUP(Invoer_Inschrijf[[#This Row],[Product]],Database_Productkaarten[[Product]:[Eenheid]],4,FALSE)),0)</f>
        <v>0</v>
      </c>
      <c r="L64" s="320"/>
      <c r="M64" s="320"/>
      <c r="N64" s="260"/>
      <c r="O64" s="237">
        <f>Invoer_Inschrijf[[#This Row],[Lengte'[m']]]*Invoer_Inschrijf[[#This Row],[Breedte '[m']]]</f>
        <v>0</v>
      </c>
      <c r="P64" s="235">
        <f>IFERROR(IF(Invoer_Inschrijf[[#This Row],[Oppervlakte '[m2']]]*Invoer_Inschrijf[[#This Row],[Dikte '[m']]]=0,Invoer_Inschrijf[[#This Row],[Gewicht '[ton']]]/Invoer_Inschrijf[[#This Row],[Soortelijk gewicht '[ton / m3']]],Invoer_Inschrijf[[#This Row],[Oppervlakte '[m2']]]*Invoer_Inschrijf[[#This Row],[Dikte '[m']]]),0)</f>
        <v>0</v>
      </c>
      <c r="Q64" s="236">
        <f>_xlfn.IFNA(IF(Invoer_Inschrijf[[#This Row],[Productgroep]]="Categorie_1_LCA_Producten",VLOOKUP(F64,Categorie_1_Producten[#All],5,FALSE),VLOOKUP(F64&amp;", "&amp;"Totaal",Database_Productkaarten[#All],12,FALSE)),0)</f>
        <v>0</v>
      </c>
      <c r="R64" s="235">
        <f>_xlfn.IFNA(IF(Invoer_Inschrijf[[#This Row],[Productgroep]]="Categorie_1_LCA_Producten",VLOOKUP(Invoer_Inschrijf[[#This Row],[Product]],Categorie_1_Producten[],5,FALSE)*Invoer_Inschrijf[[#This Row],[Aantal Eenheden]],(VLOOKUP(Invoer_Inschrijf[[#This Row],[Product]],Database_Productkaarten[[Product]:[Gewicht '[ton'] / Eenheid]],12,FALSE)*Invoer_Inschrijf[[#This Row],[Aantal Eenheden]])),0)</f>
        <v>0</v>
      </c>
      <c r="S64" s="237"/>
      <c r="T64" s="238">
        <f>MAX(IFERROR($E$2/IF(Invoer_Inschrijf[[#This Row],[Productgroep]]="Categorie_1_LCA_Producten",VLOOKUP(Invoer_Inschrijf[[#This Row],[Product]],Categorie_1_Producten[#All],7,FALSE),VLOOKUP(Invoer_Inschrijf[[#This Row],[Product]]&amp;", "&amp;"Totaal",Database_Productkaarten[#All],15,FALSE))-1,0),0)</f>
        <v>0</v>
      </c>
      <c r="U64" s="352"/>
      <c r="V64" s="352"/>
      <c r="W64" s="353"/>
      <c r="X64" s="353"/>
      <c r="Y64" s="389">
        <f>_xlfn.IFNA(IF(VLOOKUP(Invoer_Inschrijf[[#This Row],[A5 - Overig Materieel tbv Aanleg]],Brandstofmachines_Omrekentabel[],5,FALSE)=0,_xlfn.IFNA(Invoer_Referentie[[#This Row],[A5 - Verbruik overig materieel '[liter - kWh - kg / uur']]]*VLOOKUP(Invoer_Referentie[[#This Row],[A5 - Overig Materieel tbv Aanleg]],Brandstofmachines_Omrekentabel[],8,FALSE)/VLOOKUP(Invoer_Inschrijf[[#This Row],[A5 - Overig Materieel tbv Aanleg]],Brandstofmachines_Omrekentabel[],8,FALSE),0),_xlfn.IFNA(Invoer_Referentie[[#This Row],[A5 - Verbruik overig materieel '[liter - kWh - kg / uur']]]*VLOOKUP(Invoer_Referentie[[#This Row],[A5 - Overig Materieel tbv Aanleg]],Brandstofmachines_Omrekentabel[],8,FALSE)/VLOOKUP(Invoer_Inschrijf[[#This Row],[A5 - Overig Materieel tbv Aanleg]],Brandstofmachines_Omrekentabel[],8,FALSE),0)),0)</f>
        <v>0</v>
      </c>
      <c r="Z64" s="389">
        <f>Invoer_Referentie[[#This Row],[A5 - Capaciteit overig materieel '[Eenheden / uur']]]</f>
        <v>0</v>
      </c>
      <c r="AA64" s="353"/>
      <c r="AB64" s="353"/>
      <c r="AC64" s="389">
        <f>_xlfn.IFNA(IF(VLOOKUP(Invoer_Inschrijf[[#This Row],[C1 - Overig Materieel tbv Verwijderen]],Brandstofmachines_Omrekentabel[],5,FALSE)=0,_xlfn.IFNA(Invoer_Referentie[[#This Row],[C1 - Verbruik overige materieel '[liter - kWh - kg / uur']]]*VLOOKUP(Invoer_Referentie[[#This Row],[C1 - Overig Materieel tbv Verwijderen]],Brandstofmachines_Omrekentabel[],8,FALSE)/VLOOKUP(Invoer_Inschrijf[[#This Row],[C1 - Overig Materieel tbv Verwijderen]],Brandstofmachines_Omrekentabel[],8,FALSE),0),_xlfn.IFNA(Invoer_Referentie[[#This Row],[C1 - Verbruik overige materieel '[liter - kWh - kg / uur']]]*VLOOKUP(Invoer_Referentie[[#This Row],[C1 - Overig Materieel tbv Verwijderen]],Brandstofmachines_Omrekentabel[],8,FALSE)/VLOOKUP(Invoer_Inschrijf[[#This Row],[C1 - Overig Materieel tbv Verwijderen]],Brandstofmachines_Omrekentabel[],8,FALSE),0)),0)</f>
        <v>0</v>
      </c>
      <c r="AD64" s="389">
        <f>Invoer_Referentie[[#This Row],[C1 - Capaciteit overig materieel '[Eenheden / uur']]]</f>
        <v>0</v>
      </c>
      <c r="AE64" s="353"/>
      <c r="AF64" s="352"/>
      <c r="AG64" s="353"/>
      <c r="AH64" s="235"/>
      <c r="BK64" s="224"/>
      <c r="BL64" s="224"/>
      <c r="BM64" s="224"/>
    </row>
    <row r="65" spans="2:65" hidden="1">
      <c r="B65" s="320"/>
      <c r="C65" s="235"/>
      <c r="D65" s="253"/>
      <c r="E65" s="1"/>
      <c r="F65" s="347"/>
      <c r="G65" s="399">
        <f>_xlfn.IFNA(IF(Invoer_Inschrijf[[#This Row],[Productgroep]]="Categorie_1_LCA_Producten",1,(VLOOKUP(Invoer_Inschrijf[[#This Row],[Product]],Database_Productkaarten[[Product]:[Comment]],64,FALSE))),0)</f>
        <v>0</v>
      </c>
      <c r="H65" s="320">
        <f>_xlfn.IFNA(IF(Invoer_Inschrijf[[#This Row],[Productgroep]]="Categorie_1_LCA_Producten",VLOOKUP(Invoer_Inschrijf[[#This Row],[Product]],Categorie_1_Producten[],2,FALSE),VLOOKUP(Invoer_Inschrijf[[#This Row],[Product]],Database_Productkaarten[[Product]:[Category]],60,FALSE)),0)</f>
        <v>0</v>
      </c>
      <c r="I65" s="260" t="e">
        <f>_xlfn.IFNA(VLOOKUP(Invoer_Inschrijf[[#This Row],[Product]],Database_Productkaarten[[Product]:[Producttype]],3,FALSE),VLOOKUP(Invoer_Inschrijf[[#This Row],[Product]],Categorie_1_Producten[#All],3,FALSE))</f>
        <v>#N/A</v>
      </c>
      <c r="J65" s="238"/>
      <c r="K65" s="320">
        <f>_xlfn.IFNA(IF(Invoer_Inschrijf[[#This Row],[Productgroep]]="Categorie_1_LCA_Producten",VLOOKUP(Invoer_Inschrijf[[#This Row],[Product]],Categorie_1_Producten[],4,FALSE),VLOOKUP(Invoer_Inschrijf[[#This Row],[Product]],Database_Productkaarten[[Product]:[Eenheid]],4,FALSE)),0)</f>
        <v>0</v>
      </c>
      <c r="L65" s="320"/>
      <c r="M65" s="320"/>
      <c r="N65" s="260"/>
      <c r="O65" s="237">
        <f>Invoer_Inschrijf[[#This Row],[Lengte'[m']]]*Invoer_Inschrijf[[#This Row],[Breedte '[m']]]</f>
        <v>0</v>
      </c>
      <c r="P65" s="235">
        <f>IFERROR(IF(Invoer_Inschrijf[[#This Row],[Oppervlakte '[m2']]]*Invoer_Inschrijf[[#This Row],[Dikte '[m']]]=0,Invoer_Inschrijf[[#This Row],[Gewicht '[ton']]]/Invoer_Inschrijf[[#This Row],[Soortelijk gewicht '[ton / m3']]],Invoer_Inschrijf[[#This Row],[Oppervlakte '[m2']]]*Invoer_Inschrijf[[#This Row],[Dikte '[m']]]),0)</f>
        <v>0</v>
      </c>
      <c r="Q65" s="236">
        <f>_xlfn.IFNA(IF(Invoer_Inschrijf[[#This Row],[Productgroep]]="Categorie_1_LCA_Producten",VLOOKUP(F65,Categorie_1_Producten[#All],5,FALSE),VLOOKUP(F65&amp;", "&amp;"Totaal",Database_Productkaarten[#All],12,FALSE)),0)</f>
        <v>0</v>
      </c>
      <c r="R65" s="235">
        <f>_xlfn.IFNA(IF(Invoer_Inschrijf[[#This Row],[Productgroep]]="Categorie_1_LCA_Producten",VLOOKUP(Invoer_Inschrijf[[#This Row],[Product]],Categorie_1_Producten[],5,FALSE)*Invoer_Inschrijf[[#This Row],[Aantal Eenheden]],(VLOOKUP(Invoer_Inschrijf[[#This Row],[Product]],Database_Productkaarten[[Product]:[Gewicht '[ton'] / Eenheid]],12,FALSE)*Invoer_Inschrijf[[#This Row],[Aantal Eenheden]])),0)</f>
        <v>0</v>
      </c>
      <c r="S65" s="237"/>
      <c r="T65" s="238">
        <f>MAX(IFERROR($E$2/IF(Invoer_Inschrijf[[#This Row],[Productgroep]]="Categorie_1_LCA_Producten",VLOOKUP(Invoer_Inschrijf[[#This Row],[Product]],Categorie_1_Producten[#All],7,FALSE),VLOOKUP(Invoer_Inschrijf[[#This Row],[Product]]&amp;", "&amp;"Totaal",Database_Productkaarten[#All],15,FALSE))-1,0),0)</f>
        <v>0</v>
      </c>
      <c r="U65" s="352"/>
      <c r="V65" s="352"/>
      <c r="W65" s="353"/>
      <c r="X65" s="353"/>
      <c r="Y65" s="389">
        <f>_xlfn.IFNA(IF(VLOOKUP(Invoer_Inschrijf[[#This Row],[A5 - Overig Materieel tbv Aanleg]],Brandstofmachines_Omrekentabel[],5,FALSE)=0,_xlfn.IFNA(Invoer_Referentie[[#This Row],[A5 - Verbruik overig materieel '[liter - kWh - kg / uur']]]*VLOOKUP(Invoer_Referentie[[#This Row],[A5 - Overig Materieel tbv Aanleg]],Brandstofmachines_Omrekentabel[],8,FALSE)/VLOOKUP(Invoer_Inschrijf[[#This Row],[A5 - Overig Materieel tbv Aanleg]],Brandstofmachines_Omrekentabel[],8,FALSE),0),_xlfn.IFNA(Invoer_Referentie[[#This Row],[A5 - Verbruik overig materieel '[liter - kWh - kg / uur']]]*VLOOKUP(Invoer_Referentie[[#This Row],[A5 - Overig Materieel tbv Aanleg]],Brandstofmachines_Omrekentabel[],8,FALSE)/VLOOKUP(Invoer_Inschrijf[[#This Row],[A5 - Overig Materieel tbv Aanleg]],Brandstofmachines_Omrekentabel[],8,FALSE),0)),0)</f>
        <v>0</v>
      </c>
      <c r="Z65" s="389">
        <f>Invoer_Referentie[[#This Row],[A5 - Capaciteit overig materieel '[Eenheden / uur']]]</f>
        <v>0</v>
      </c>
      <c r="AA65" s="353"/>
      <c r="AB65" s="353"/>
      <c r="AC65" s="389">
        <f>_xlfn.IFNA(IF(VLOOKUP(Invoer_Inschrijf[[#This Row],[C1 - Overig Materieel tbv Verwijderen]],Brandstofmachines_Omrekentabel[],5,FALSE)=0,_xlfn.IFNA(Invoer_Referentie[[#This Row],[C1 - Verbruik overige materieel '[liter - kWh - kg / uur']]]*VLOOKUP(Invoer_Referentie[[#This Row],[C1 - Overig Materieel tbv Verwijderen]],Brandstofmachines_Omrekentabel[],8,FALSE)/VLOOKUP(Invoer_Inschrijf[[#This Row],[C1 - Overig Materieel tbv Verwijderen]],Brandstofmachines_Omrekentabel[],8,FALSE),0),_xlfn.IFNA(Invoer_Referentie[[#This Row],[C1 - Verbruik overige materieel '[liter - kWh - kg / uur']]]*VLOOKUP(Invoer_Referentie[[#This Row],[C1 - Overig Materieel tbv Verwijderen]],Brandstofmachines_Omrekentabel[],8,FALSE)/VLOOKUP(Invoer_Inschrijf[[#This Row],[C1 - Overig Materieel tbv Verwijderen]],Brandstofmachines_Omrekentabel[],8,FALSE),0)),0)</f>
        <v>0</v>
      </c>
      <c r="AD65" s="389">
        <f>Invoer_Referentie[[#This Row],[C1 - Capaciteit overig materieel '[Eenheden / uur']]]</f>
        <v>0</v>
      </c>
      <c r="AE65" s="353"/>
      <c r="AF65" s="352"/>
      <c r="AG65" s="353"/>
      <c r="AH65" s="235"/>
      <c r="BK65" s="224"/>
      <c r="BL65" s="224"/>
      <c r="BM65" s="224"/>
    </row>
    <row r="66" spans="2:65" hidden="1">
      <c r="B66" s="320"/>
      <c r="C66" s="235"/>
      <c r="D66" s="253"/>
      <c r="E66" s="1"/>
      <c r="F66" s="347"/>
      <c r="G66" s="399">
        <f>_xlfn.IFNA(IF(Invoer_Inschrijf[[#This Row],[Productgroep]]="Categorie_1_LCA_Producten",1,(VLOOKUP(Invoer_Inschrijf[[#This Row],[Product]],Database_Productkaarten[[Product]:[Comment]],64,FALSE))),0)</f>
        <v>0</v>
      </c>
      <c r="H66" s="320">
        <f>_xlfn.IFNA(IF(Invoer_Inschrijf[[#This Row],[Productgroep]]="Categorie_1_LCA_Producten",VLOOKUP(Invoer_Inschrijf[[#This Row],[Product]],Categorie_1_Producten[],2,FALSE),VLOOKUP(Invoer_Inschrijf[[#This Row],[Product]],Database_Productkaarten[[Product]:[Category]],60,FALSE)),0)</f>
        <v>0</v>
      </c>
      <c r="I66" s="260" t="e">
        <f>_xlfn.IFNA(VLOOKUP(Invoer_Inschrijf[[#This Row],[Product]],Database_Productkaarten[[Product]:[Producttype]],3,FALSE),VLOOKUP(Invoer_Inschrijf[[#This Row],[Product]],Categorie_1_Producten[#All],3,FALSE))</f>
        <v>#N/A</v>
      </c>
      <c r="J66" s="238"/>
      <c r="K66" s="320">
        <f>_xlfn.IFNA(IF(Invoer_Inschrijf[[#This Row],[Productgroep]]="Categorie_1_LCA_Producten",VLOOKUP(Invoer_Inschrijf[[#This Row],[Product]],Categorie_1_Producten[],4,FALSE),VLOOKUP(Invoer_Inschrijf[[#This Row],[Product]],Database_Productkaarten[[Product]:[Eenheid]],4,FALSE)),0)</f>
        <v>0</v>
      </c>
      <c r="L66" s="320"/>
      <c r="M66" s="320"/>
      <c r="N66" s="260"/>
      <c r="O66" s="237">
        <f>Invoer_Inschrijf[[#This Row],[Lengte'[m']]]*Invoer_Inschrijf[[#This Row],[Breedte '[m']]]</f>
        <v>0</v>
      </c>
      <c r="P66" s="235">
        <f>IFERROR(IF(Invoer_Inschrijf[[#This Row],[Oppervlakte '[m2']]]*Invoer_Inschrijf[[#This Row],[Dikte '[m']]]=0,Invoer_Inschrijf[[#This Row],[Gewicht '[ton']]]/Invoer_Inschrijf[[#This Row],[Soortelijk gewicht '[ton / m3']]],Invoer_Inschrijf[[#This Row],[Oppervlakte '[m2']]]*Invoer_Inschrijf[[#This Row],[Dikte '[m']]]),0)</f>
        <v>0</v>
      </c>
      <c r="Q66" s="236">
        <f>_xlfn.IFNA(IF(Invoer_Inschrijf[[#This Row],[Productgroep]]="Categorie_1_LCA_Producten",VLOOKUP(F66,Categorie_1_Producten[#All],5,FALSE),VLOOKUP(F66&amp;", "&amp;"Totaal",Database_Productkaarten[#All],12,FALSE)),0)</f>
        <v>0</v>
      </c>
      <c r="R66" s="235">
        <f>_xlfn.IFNA(IF(Invoer_Inschrijf[[#This Row],[Productgroep]]="Categorie_1_LCA_Producten",VLOOKUP(Invoer_Inschrijf[[#This Row],[Product]],Categorie_1_Producten[],5,FALSE)*Invoer_Inschrijf[[#This Row],[Aantal Eenheden]],(VLOOKUP(Invoer_Inschrijf[[#This Row],[Product]],Database_Productkaarten[[Product]:[Gewicht '[ton'] / Eenheid]],12,FALSE)*Invoer_Inschrijf[[#This Row],[Aantal Eenheden]])),0)</f>
        <v>0</v>
      </c>
      <c r="S66" s="237"/>
      <c r="T66" s="238">
        <f>MAX(IFERROR($E$2/IF(Invoer_Inschrijf[[#This Row],[Productgroep]]="Categorie_1_LCA_Producten",VLOOKUP(Invoer_Inschrijf[[#This Row],[Product]],Categorie_1_Producten[#All],7,FALSE),VLOOKUP(Invoer_Inschrijf[[#This Row],[Product]]&amp;", "&amp;"Totaal",Database_Productkaarten[#All],15,FALSE))-1,0),0)</f>
        <v>0</v>
      </c>
      <c r="U66" s="352"/>
      <c r="V66" s="352"/>
      <c r="W66" s="353"/>
      <c r="X66" s="353"/>
      <c r="Y66" s="389">
        <f>_xlfn.IFNA(IF(VLOOKUP(Invoer_Inschrijf[[#This Row],[A5 - Overig Materieel tbv Aanleg]],Brandstofmachines_Omrekentabel[],5,FALSE)=0,_xlfn.IFNA(Invoer_Referentie[[#This Row],[A5 - Verbruik overig materieel '[liter - kWh - kg / uur']]]*VLOOKUP(Invoer_Referentie[[#This Row],[A5 - Overig Materieel tbv Aanleg]],Brandstofmachines_Omrekentabel[],8,FALSE)/VLOOKUP(Invoer_Inschrijf[[#This Row],[A5 - Overig Materieel tbv Aanleg]],Brandstofmachines_Omrekentabel[],8,FALSE),0),_xlfn.IFNA(Invoer_Referentie[[#This Row],[A5 - Verbruik overig materieel '[liter - kWh - kg / uur']]]*VLOOKUP(Invoer_Referentie[[#This Row],[A5 - Overig Materieel tbv Aanleg]],Brandstofmachines_Omrekentabel[],8,FALSE)/VLOOKUP(Invoer_Inschrijf[[#This Row],[A5 - Overig Materieel tbv Aanleg]],Brandstofmachines_Omrekentabel[],8,FALSE),0)),0)</f>
        <v>0</v>
      </c>
      <c r="Z66" s="389">
        <f>Invoer_Referentie[[#This Row],[A5 - Capaciteit overig materieel '[Eenheden / uur']]]</f>
        <v>0</v>
      </c>
      <c r="AA66" s="353"/>
      <c r="AB66" s="353"/>
      <c r="AC66" s="389">
        <f>_xlfn.IFNA(IF(VLOOKUP(Invoer_Inschrijf[[#This Row],[C1 - Overig Materieel tbv Verwijderen]],Brandstofmachines_Omrekentabel[],5,FALSE)=0,_xlfn.IFNA(Invoer_Referentie[[#This Row],[C1 - Verbruik overige materieel '[liter - kWh - kg / uur']]]*VLOOKUP(Invoer_Referentie[[#This Row],[C1 - Overig Materieel tbv Verwijderen]],Brandstofmachines_Omrekentabel[],8,FALSE)/VLOOKUP(Invoer_Inschrijf[[#This Row],[C1 - Overig Materieel tbv Verwijderen]],Brandstofmachines_Omrekentabel[],8,FALSE),0),_xlfn.IFNA(Invoer_Referentie[[#This Row],[C1 - Verbruik overige materieel '[liter - kWh - kg / uur']]]*VLOOKUP(Invoer_Referentie[[#This Row],[C1 - Overig Materieel tbv Verwijderen]],Brandstofmachines_Omrekentabel[],8,FALSE)/VLOOKUP(Invoer_Inschrijf[[#This Row],[C1 - Overig Materieel tbv Verwijderen]],Brandstofmachines_Omrekentabel[],8,FALSE),0)),0)</f>
        <v>0</v>
      </c>
      <c r="AD66" s="389">
        <f>Invoer_Referentie[[#This Row],[C1 - Capaciteit overig materieel '[Eenheden / uur']]]</f>
        <v>0</v>
      </c>
      <c r="AE66" s="353"/>
      <c r="AF66" s="352"/>
      <c r="AG66" s="353"/>
      <c r="AH66" s="235"/>
      <c r="BK66" s="224"/>
      <c r="BL66" s="224"/>
      <c r="BM66" s="224"/>
    </row>
    <row r="67" spans="2:65" hidden="1">
      <c r="B67" s="320"/>
      <c r="C67" s="235"/>
      <c r="D67" s="253"/>
      <c r="E67" s="1"/>
      <c r="F67" s="347"/>
      <c r="G67" s="399">
        <f>_xlfn.IFNA(IF(Invoer_Inschrijf[[#This Row],[Productgroep]]="Categorie_1_LCA_Producten",1,(VLOOKUP(Invoer_Inschrijf[[#This Row],[Product]],Database_Productkaarten[[Product]:[Comment]],64,FALSE))),0)</f>
        <v>0</v>
      </c>
      <c r="H67" s="320">
        <f>_xlfn.IFNA(IF(Invoer_Inschrijf[[#This Row],[Productgroep]]="Categorie_1_LCA_Producten",VLOOKUP(Invoer_Inschrijf[[#This Row],[Product]],Categorie_1_Producten[],2,FALSE),VLOOKUP(Invoer_Inschrijf[[#This Row],[Product]],Database_Productkaarten[[Product]:[Category]],60,FALSE)),0)</f>
        <v>0</v>
      </c>
      <c r="I67" s="260" t="e">
        <f>_xlfn.IFNA(VLOOKUP(Invoer_Inschrijf[[#This Row],[Product]],Database_Productkaarten[[Product]:[Producttype]],3,FALSE),VLOOKUP(Invoer_Inschrijf[[#This Row],[Product]],Categorie_1_Producten[#All],3,FALSE))</f>
        <v>#N/A</v>
      </c>
      <c r="J67" s="238"/>
      <c r="K67" s="320">
        <f>_xlfn.IFNA(IF(Invoer_Inschrijf[[#This Row],[Productgroep]]="Categorie_1_LCA_Producten",VLOOKUP(Invoer_Inschrijf[[#This Row],[Product]],Categorie_1_Producten[],4,FALSE),VLOOKUP(Invoer_Inschrijf[[#This Row],[Product]],Database_Productkaarten[[Product]:[Eenheid]],4,FALSE)),0)</f>
        <v>0</v>
      </c>
      <c r="L67" s="320"/>
      <c r="M67" s="320"/>
      <c r="N67" s="260"/>
      <c r="O67" s="237">
        <f>Invoer_Inschrijf[[#This Row],[Lengte'[m']]]*Invoer_Inschrijf[[#This Row],[Breedte '[m']]]</f>
        <v>0</v>
      </c>
      <c r="P67" s="235">
        <f>IFERROR(IF(Invoer_Inschrijf[[#This Row],[Oppervlakte '[m2']]]*Invoer_Inschrijf[[#This Row],[Dikte '[m']]]=0,Invoer_Inschrijf[[#This Row],[Gewicht '[ton']]]/Invoer_Inschrijf[[#This Row],[Soortelijk gewicht '[ton / m3']]],Invoer_Inschrijf[[#This Row],[Oppervlakte '[m2']]]*Invoer_Inschrijf[[#This Row],[Dikte '[m']]]),0)</f>
        <v>0</v>
      </c>
      <c r="Q67" s="236">
        <f>_xlfn.IFNA(IF(Invoer_Inschrijf[[#This Row],[Productgroep]]="Categorie_1_LCA_Producten",VLOOKUP(F67,Categorie_1_Producten[#All],5,FALSE),VLOOKUP(F67&amp;", "&amp;"Totaal",Database_Productkaarten[#All],12,FALSE)),0)</f>
        <v>0</v>
      </c>
      <c r="R67" s="235">
        <f>_xlfn.IFNA(IF(Invoer_Inschrijf[[#This Row],[Productgroep]]="Categorie_1_LCA_Producten",VLOOKUP(Invoer_Inschrijf[[#This Row],[Product]],Categorie_1_Producten[],5,FALSE)*Invoer_Inschrijf[[#This Row],[Aantal Eenheden]],(VLOOKUP(Invoer_Inschrijf[[#This Row],[Product]],Database_Productkaarten[[Product]:[Gewicht '[ton'] / Eenheid]],12,FALSE)*Invoer_Inschrijf[[#This Row],[Aantal Eenheden]])),0)</f>
        <v>0</v>
      </c>
      <c r="S67" s="237"/>
      <c r="T67" s="238">
        <f>MAX(IFERROR($E$2/IF(Invoer_Inschrijf[[#This Row],[Productgroep]]="Categorie_1_LCA_Producten",VLOOKUP(Invoer_Inschrijf[[#This Row],[Product]],Categorie_1_Producten[#All],7,FALSE),VLOOKUP(Invoer_Inschrijf[[#This Row],[Product]]&amp;", "&amp;"Totaal",Database_Productkaarten[#All],15,FALSE))-1,0),0)</f>
        <v>0</v>
      </c>
      <c r="U67" s="352"/>
      <c r="V67" s="352"/>
      <c r="W67" s="353"/>
      <c r="X67" s="353"/>
      <c r="Y67" s="389">
        <f>_xlfn.IFNA(IF(VLOOKUP(Invoer_Inschrijf[[#This Row],[A5 - Overig Materieel tbv Aanleg]],Brandstofmachines_Omrekentabel[],5,FALSE)=0,_xlfn.IFNA(Invoer_Referentie[[#This Row],[A5 - Verbruik overig materieel '[liter - kWh - kg / uur']]]*VLOOKUP(Invoer_Referentie[[#This Row],[A5 - Overig Materieel tbv Aanleg]],Brandstofmachines_Omrekentabel[],8,FALSE)/VLOOKUP(Invoer_Inschrijf[[#This Row],[A5 - Overig Materieel tbv Aanleg]],Brandstofmachines_Omrekentabel[],8,FALSE),0),_xlfn.IFNA(Invoer_Referentie[[#This Row],[A5 - Verbruik overig materieel '[liter - kWh - kg / uur']]]*VLOOKUP(Invoer_Referentie[[#This Row],[A5 - Overig Materieel tbv Aanleg]],Brandstofmachines_Omrekentabel[],8,FALSE)/VLOOKUP(Invoer_Inschrijf[[#This Row],[A5 - Overig Materieel tbv Aanleg]],Brandstofmachines_Omrekentabel[],8,FALSE),0)),0)</f>
        <v>0</v>
      </c>
      <c r="Z67" s="389">
        <f>Invoer_Referentie[[#This Row],[A5 - Capaciteit overig materieel '[Eenheden / uur']]]</f>
        <v>0</v>
      </c>
      <c r="AA67" s="353"/>
      <c r="AB67" s="353"/>
      <c r="AC67" s="389">
        <f>_xlfn.IFNA(IF(VLOOKUP(Invoer_Inschrijf[[#This Row],[C1 - Overig Materieel tbv Verwijderen]],Brandstofmachines_Omrekentabel[],5,FALSE)=0,_xlfn.IFNA(Invoer_Referentie[[#This Row],[C1 - Verbruik overige materieel '[liter - kWh - kg / uur']]]*VLOOKUP(Invoer_Referentie[[#This Row],[C1 - Overig Materieel tbv Verwijderen]],Brandstofmachines_Omrekentabel[],8,FALSE)/VLOOKUP(Invoer_Inschrijf[[#This Row],[C1 - Overig Materieel tbv Verwijderen]],Brandstofmachines_Omrekentabel[],8,FALSE),0),_xlfn.IFNA(Invoer_Referentie[[#This Row],[C1 - Verbruik overige materieel '[liter - kWh - kg / uur']]]*VLOOKUP(Invoer_Referentie[[#This Row],[C1 - Overig Materieel tbv Verwijderen]],Brandstofmachines_Omrekentabel[],8,FALSE)/VLOOKUP(Invoer_Inschrijf[[#This Row],[C1 - Overig Materieel tbv Verwijderen]],Brandstofmachines_Omrekentabel[],8,FALSE),0)),0)</f>
        <v>0</v>
      </c>
      <c r="AD67" s="389">
        <f>Invoer_Referentie[[#This Row],[C1 - Capaciteit overig materieel '[Eenheden / uur']]]</f>
        <v>0</v>
      </c>
      <c r="AE67" s="353"/>
      <c r="AF67" s="352"/>
      <c r="AG67" s="353"/>
      <c r="AH67" s="235"/>
      <c r="BK67" s="224"/>
      <c r="BL67" s="224"/>
      <c r="BM67" s="224"/>
    </row>
    <row r="68" spans="2:65" hidden="1">
      <c r="B68" s="320"/>
      <c r="C68" s="235"/>
      <c r="D68" s="253"/>
      <c r="E68" s="1"/>
      <c r="F68" s="347"/>
      <c r="G68" s="399">
        <f>_xlfn.IFNA(IF(Invoer_Inschrijf[[#This Row],[Productgroep]]="Categorie_1_LCA_Producten",1,(VLOOKUP(Invoer_Inschrijf[[#This Row],[Product]],Database_Productkaarten[[Product]:[Comment]],64,FALSE))),0)</f>
        <v>0</v>
      </c>
      <c r="H68" s="320">
        <f>_xlfn.IFNA(IF(Invoer_Inschrijf[[#This Row],[Productgroep]]="Categorie_1_LCA_Producten",VLOOKUP(Invoer_Inschrijf[[#This Row],[Product]],Categorie_1_Producten[],2,FALSE),VLOOKUP(Invoer_Inschrijf[[#This Row],[Product]],Database_Productkaarten[[Product]:[Category]],60,FALSE)),0)</f>
        <v>0</v>
      </c>
      <c r="I68" s="260" t="e">
        <f>_xlfn.IFNA(VLOOKUP(Invoer_Inschrijf[[#This Row],[Product]],Database_Productkaarten[[Product]:[Producttype]],3,FALSE),VLOOKUP(Invoer_Inschrijf[[#This Row],[Product]],Categorie_1_Producten[#All],3,FALSE))</f>
        <v>#N/A</v>
      </c>
      <c r="J68" s="238"/>
      <c r="K68" s="320">
        <f>_xlfn.IFNA(IF(Invoer_Inschrijf[[#This Row],[Productgroep]]="Categorie_1_LCA_Producten",VLOOKUP(Invoer_Inschrijf[[#This Row],[Product]],Categorie_1_Producten[],4,FALSE),VLOOKUP(Invoer_Inschrijf[[#This Row],[Product]],Database_Productkaarten[[Product]:[Eenheid]],4,FALSE)),0)</f>
        <v>0</v>
      </c>
      <c r="L68" s="320"/>
      <c r="M68" s="320"/>
      <c r="N68" s="260"/>
      <c r="O68" s="237">
        <f>Invoer_Inschrijf[[#This Row],[Lengte'[m']]]*Invoer_Inschrijf[[#This Row],[Breedte '[m']]]</f>
        <v>0</v>
      </c>
      <c r="P68" s="235">
        <f>IFERROR(IF(Invoer_Inschrijf[[#This Row],[Oppervlakte '[m2']]]*Invoer_Inschrijf[[#This Row],[Dikte '[m']]]=0,Invoer_Inschrijf[[#This Row],[Gewicht '[ton']]]/Invoer_Inschrijf[[#This Row],[Soortelijk gewicht '[ton / m3']]],Invoer_Inschrijf[[#This Row],[Oppervlakte '[m2']]]*Invoer_Inschrijf[[#This Row],[Dikte '[m']]]),0)</f>
        <v>0</v>
      </c>
      <c r="Q68" s="236">
        <f>_xlfn.IFNA(IF(Invoer_Inschrijf[[#This Row],[Productgroep]]="Categorie_1_LCA_Producten",VLOOKUP(F68,Categorie_1_Producten[#All],5,FALSE),VLOOKUP(F68&amp;", "&amp;"Totaal",Database_Productkaarten[#All],12,FALSE)),0)</f>
        <v>0</v>
      </c>
      <c r="R68" s="235">
        <f>_xlfn.IFNA(IF(Invoer_Inschrijf[[#This Row],[Productgroep]]="Categorie_1_LCA_Producten",VLOOKUP(Invoer_Inschrijf[[#This Row],[Product]],Categorie_1_Producten[],5,FALSE)*Invoer_Inschrijf[[#This Row],[Aantal Eenheden]],(VLOOKUP(Invoer_Inschrijf[[#This Row],[Product]],Database_Productkaarten[[Product]:[Gewicht '[ton'] / Eenheid]],12,FALSE)*Invoer_Inschrijf[[#This Row],[Aantal Eenheden]])),0)</f>
        <v>0</v>
      </c>
      <c r="S68" s="237"/>
      <c r="T68" s="238">
        <f>MAX(IFERROR($E$2/IF(Invoer_Inschrijf[[#This Row],[Productgroep]]="Categorie_1_LCA_Producten",VLOOKUP(Invoer_Inschrijf[[#This Row],[Product]],Categorie_1_Producten[#All],7,FALSE),VLOOKUP(Invoer_Inschrijf[[#This Row],[Product]]&amp;", "&amp;"Totaal",Database_Productkaarten[#All],15,FALSE))-1,0),0)</f>
        <v>0</v>
      </c>
      <c r="U68" s="352"/>
      <c r="V68" s="352"/>
      <c r="W68" s="353"/>
      <c r="X68" s="353"/>
      <c r="Y68" s="389">
        <f>_xlfn.IFNA(IF(VLOOKUP(Invoer_Inschrijf[[#This Row],[A5 - Overig Materieel tbv Aanleg]],Brandstofmachines_Omrekentabel[],5,FALSE)=0,_xlfn.IFNA(Invoer_Referentie[[#This Row],[A5 - Verbruik overig materieel '[liter - kWh - kg / uur']]]*VLOOKUP(Invoer_Referentie[[#This Row],[A5 - Overig Materieel tbv Aanleg]],Brandstofmachines_Omrekentabel[],8,FALSE)/VLOOKUP(Invoer_Inschrijf[[#This Row],[A5 - Overig Materieel tbv Aanleg]],Brandstofmachines_Omrekentabel[],8,FALSE),0),_xlfn.IFNA(Invoer_Referentie[[#This Row],[A5 - Verbruik overig materieel '[liter - kWh - kg / uur']]]*VLOOKUP(Invoer_Referentie[[#This Row],[A5 - Overig Materieel tbv Aanleg]],Brandstofmachines_Omrekentabel[],8,FALSE)/VLOOKUP(Invoer_Inschrijf[[#This Row],[A5 - Overig Materieel tbv Aanleg]],Brandstofmachines_Omrekentabel[],8,FALSE),0)),0)</f>
        <v>0</v>
      </c>
      <c r="Z68" s="389">
        <f>Invoer_Referentie[[#This Row],[A5 - Capaciteit overig materieel '[Eenheden / uur']]]</f>
        <v>0</v>
      </c>
      <c r="AA68" s="353"/>
      <c r="AB68" s="353"/>
      <c r="AC68" s="389">
        <f>_xlfn.IFNA(IF(VLOOKUP(Invoer_Inschrijf[[#This Row],[C1 - Overig Materieel tbv Verwijderen]],Brandstofmachines_Omrekentabel[],5,FALSE)=0,_xlfn.IFNA(Invoer_Referentie[[#This Row],[C1 - Verbruik overige materieel '[liter - kWh - kg / uur']]]*VLOOKUP(Invoer_Referentie[[#This Row],[C1 - Overig Materieel tbv Verwijderen]],Brandstofmachines_Omrekentabel[],8,FALSE)/VLOOKUP(Invoer_Inschrijf[[#This Row],[C1 - Overig Materieel tbv Verwijderen]],Brandstofmachines_Omrekentabel[],8,FALSE),0),_xlfn.IFNA(Invoer_Referentie[[#This Row],[C1 - Verbruik overige materieel '[liter - kWh - kg / uur']]]*VLOOKUP(Invoer_Referentie[[#This Row],[C1 - Overig Materieel tbv Verwijderen]],Brandstofmachines_Omrekentabel[],8,FALSE)/VLOOKUP(Invoer_Inschrijf[[#This Row],[C1 - Overig Materieel tbv Verwijderen]],Brandstofmachines_Omrekentabel[],8,FALSE),0)),0)</f>
        <v>0</v>
      </c>
      <c r="AD68" s="389">
        <f>Invoer_Referentie[[#This Row],[C1 - Capaciteit overig materieel '[Eenheden / uur']]]</f>
        <v>0</v>
      </c>
      <c r="AE68" s="353"/>
      <c r="AF68" s="352"/>
      <c r="AG68" s="353"/>
      <c r="AH68" s="235"/>
      <c r="BK68" s="224"/>
      <c r="BL68" s="224"/>
      <c r="BM68" s="224"/>
    </row>
    <row r="69" spans="2:65" hidden="1">
      <c r="B69" s="320"/>
      <c r="C69" s="235"/>
      <c r="D69" s="253"/>
      <c r="E69" s="1"/>
      <c r="F69" s="347"/>
      <c r="G69" s="399">
        <f>_xlfn.IFNA(IF(Invoer_Inschrijf[[#This Row],[Productgroep]]="Categorie_1_LCA_Producten",1,(VLOOKUP(Invoer_Inschrijf[[#This Row],[Product]],Database_Productkaarten[[Product]:[Comment]],64,FALSE))),0)</f>
        <v>0</v>
      </c>
      <c r="H69" s="320">
        <f>_xlfn.IFNA(IF(Invoer_Inschrijf[[#This Row],[Productgroep]]="Categorie_1_LCA_Producten",VLOOKUP(Invoer_Inschrijf[[#This Row],[Product]],Categorie_1_Producten[],2,FALSE),VLOOKUP(Invoer_Inschrijf[[#This Row],[Product]],Database_Productkaarten[[Product]:[Category]],60,FALSE)),0)</f>
        <v>0</v>
      </c>
      <c r="I69" s="260" t="e">
        <f>_xlfn.IFNA(VLOOKUP(Invoer_Inschrijf[[#This Row],[Product]],Database_Productkaarten[[Product]:[Producttype]],3,FALSE),VLOOKUP(Invoer_Inschrijf[[#This Row],[Product]],Categorie_1_Producten[#All],3,FALSE))</f>
        <v>#N/A</v>
      </c>
      <c r="J69" s="238"/>
      <c r="K69" s="320">
        <f>_xlfn.IFNA(IF(Invoer_Inschrijf[[#This Row],[Productgroep]]="Categorie_1_LCA_Producten",VLOOKUP(Invoer_Inschrijf[[#This Row],[Product]],Categorie_1_Producten[],4,FALSE),VLOOKUP(Invoer_Inschrijf[[#This Row],[Product]],Database_Productkaarten[[Product]:[Eenheid]],4,FALSE)),0)</f>
        <v>0</v>
      </c>
      <c r="L69" s="320"/>
      <c r="M69" s="320"/>
      <c r="N69" s="260"/>
      <c r="O69" s="237">
        <f>Invoer_Inschrijf[[#This Row],[Lengte'[m']]]*Invoer_Inschrijf[[#This Row],[Breedte '[m']]]</f>
        <v>0</v>
      </c>
      <c r="P69" s="235">
        <f>IFERROR(IF(Invoer_Inschrijf[[#This Row],[Oppervlakte '[m2']]]*Invoer_Inschrijf[[#This Row],[Dikte '[m']]]=0,Invoer_Inschrijf[[#This Row],[Gewicht '[ton']]]/Invoer_Inschrijf[[#This Row],[Soortelijk gewicht '[ton / m3']]],Invoer_Inschrijf[[#This Row],[Oppervlakte '[m2']]]*Invoer_Inschrijf[[#This Row],[Dikte '[m']]]),0)</f>
        <v>0</v>
      </c>
      <c r="Q69" s="236">
        <f>_xlfn.IFNA(IF(Invoer_Inschrijf[[#This Row],[Productgroep]]="Categorie_1_LCA_Producten",VLOOKUP(F69,Categorie_1_Producten[#All],5,FALSE),VLOOKUP(F69&amp;", "&amp;"Totaal",Database_Productkaarten[#All],12,FALSE)),0)</f>
        <v>0</v>
      </c>
      <c r="R69" s="235">
        <f>_xlfn.IFNA(IF(Invoer_Inschrijf[[#This Row],[Productgroep]]="Categorie_1_LCA_Producten",VLOOKUP(Invoer_Inschrijf[[#This Row],[Product]],Categorie_1_Producten[],5,FALSE)*Invoer_Inschrijf[[#This Row],[Aantal Eenheden]],(VLOOKUP(Invoer_Inschrijf[[#This Row],[Product]],Database_Productkaarten[[Product]:[Gewicht '[ton'] / Eenheid]],12,FALSE)*Invoer_Inschrijf[[#This Row],[Aantal Eenheden]])),0)</f>
        <v>0</v>
      </c>
      <c r="S69" s="237"/>
      <c r="T69" s="238">
        <f>MAX(IFERROR($E$2/IF(Invoer_Inschrijf[[#This Row],[Productgroep]]="Categorie_1_LCA_Producten",VLOOKUP(Invoer_Inschrijf[[#This Row],[Product]],Categorie_1_Producten[#All],7,FALSE),VLOOKUP(Invoer_Inschrijf[[#This Row],[Product]]&amp;", "&amp;"Totaal",Database_Productkaarten[#All],15,FALSE))-1,0),0)</f>
        <v>0</v>
      </c>
      <c r="U69" s="352"/>
      <c r="V69" s="352"/>
      <c r="W69" s="353"/>
      <c r="X69" s="353"/>
      <c r="Y69" s="389">
        <f>_xlfn.IFNA(IF(VLOOKUP(Invoer_Inschrijf[[#This Row],[A5 - Overig Materieel tbv Aanleg]],Brandstofmachines_Omrekentabel[],5,FALSE)=0,_xlfn.IFNA(Invoer_Referentie[[#This Row],[A5 - Verbruik overig materieel '[liter - kWh - kg / uur']]]*VLOOKUP(Invoer_Referentie[[#This Row],[A5 - Overig Materieel tbv Aanleg]],Brandstofmachines_Omrekentabel[],8,FALSE)/VLOOKUP(Invoer_Inschrijf[[#This Row],[A5 - Overig Materieel tbv Aanleg]],Brandstofmachines_Omrekentabel[],8,FALSE),0),_xlfn.IFNA(Invoer_Referentie[[#This Row],[A5 - Verbruik overig materieel '[liter - kWh - kg / uur']]]*VLOOKUP(Invoer_Referentie[[#This Row],[A5 - Overig Materieel tbv Aanleg]],Brandstofmachines_Omrekentabel[],8,FALSE)/VLOOKUP(Invoer_Inschrijf[[#This Row],[A5 - Overig Materieel tbv Aanleg]],Brandstofmachines_Omrekentabel[],8,FALSE),0)),0)</f>
        <v>0</v>
      </c>
      <c r="Z69" s="389">
        <f>Invoer_Referentie[[#This Row],[A5 - Capaciteit overig materieel '[Eenheden / uur']]]</f>
        <v>0</v>
      </c>
      <c r="AA69" s="353"/>
      <c r="AB69" s="353"/>
      <c r="AC69" s="389">
        <f>_xlfn.IFNA(IF(VLOOKUP(Invoer_Inschrijf[[#This Row],[C1 - Overig Materieel tbv Verwijderen]],Brandstofmachines_Omrekentabel[],5,FALSE)=0,_xlfn.IFNA(Invoer_Referentie[[#This Row],[C1 - Verbruik overige materieel '[liter - kWh - kg / uur']]]*VLOOKUP(Invoer_Referentie[[#This Row],[C1 - Overig Materieel tbv Verwijderen]],Brandstofmachines_Omrekentabel[],8,FALSE)/VLOOKUP(Invoer_Inschrijf[[#This Row],[C1 - Overig Materieel tbv Verwijderen]],Brandstofmachines_Omrekentabel[],8,FALSE),0),_xlfn.IFNA(Invoer_Referentie[[#This Row],[C1 - Verbruik overige materieel '[liter - kWh - kg / uur']]]*VLOOKUP(Invoer_Referentie[[#This Row],[C1 - Overig Materieel tbv Verwijderen]],Brandstofmachines_Omrekentabel[],8,FALSE)/VLOOKUP(Invoer_Inschrijf[[#This Row],[C1 - Overig Materieel tbv Verwijderen]],Brandstofmachines_Omrekentabel[],8,FALSE),0)),0)</f>
        <v>0</v>
      </c>
      <c r="AD69" s="389">
        <f>Invoer_Referentie[[#This Row],[C1 - Capaciteit overig materieel '[Eenheden / uur']]]</f>
        <v>0</v>
      </c>
      <c r="AE69" s="353"/>
      <c r="AF69" s="352"/>
      <c r="AG69" s="353"/>
      <c r="AH69" s="235"/>
      <c r="BK69" s="224"/>
      <c r="BL69" s="224"/>
      <c r="BM69" s="224"/>
    </row>
    <row r="70" spans="2:65" hidden="1">
      <c r="B70" s="320"/>
      <c r="C70" s="235"/>
      <c r="D70" s="253"/>
      <c r="E70" s="1"/>
      <c r="F70" s="347"/>
      <c r="G70" s="399">
        <f>_xlfn.IFNA(IF(Invoer_Inschrijf[[#This Row],[Productgroep]]="Categorie_1_LCA_Producten",1,(VLOOKUP(Invoer_Inschrijf[[#This Row],[Product]],Database_Productkaarten[[Product]:[Comment]],64,FALSE))),0)</f>
        <v>0</v>
      </c>
      <c r="H70" s="320">
        <f>_xlfn.IFNA(IF(Invoer_Inschrijf[[#This Row],[Productgroep]]="Categorie_1_LCA_Producten",VLOOKUP(Invoer_Inschrijf[[#This Row],[Product]],Categorie_1_Producten[],2,FALSE),VLOOKUP(Invoer_Inschrijf[[#This Row],[Product]],Database_Productkaarten[[Product]:[Category]],60,FALSE)),0)</f>
        <v>0</v>
      </c>
      <c r="I70" s="260" t="e">
        <f>_xlfn.IFNA(VLOOKUP(Invoer_Inschrijf[[#This Row],[Product]],Database_Productkaarten[[Product]:[Producttype]],3,FALSE),VLOOKUP(Invoer_Inschrijf[[#This Row],[Product]],Categorie_1_Producten[#All],3,FALSE))</f>
        <v>#N/A</v>
      </c>
      <c r="J70" s="238"/>
      <c r="K70" s="320">
        <f>_xlfn.IFNA(IF(Invoer_Inschrijf[[#This Row],[Productgroep]]="Categorie_1_LCA_Producten",VLOOKUP(Invoer_Inschrijf[[#This Row],[Product]],Categorie_1_Producten[],4,FALSE),VLOOKUP(Invoer_Inschrijf[[#This Row],[Product]],Database_Productkaarten[[Product]:[Eenheid]],4,FALSE)),0)</f>
        <v>0</v>
      </c>
      <c r="L70" s="320"/>
      <c r="M70" s="320"/>
      <c r="N70" s="260"/>
      <c r="O70" s="237">
        <f>Invoer_Inschrijf[[#This Row],[Lengte'[m']]]*Invoer_Inschrijf[[#This Row],[Breedte '[m']]]</f>
        <v>0</v>
      </c>
      <c r="P70" s="235">
        <f>IFERROR(IF(Invoer_Inschrijf[[#This Row],[Oppervlakte '[m2']]]*Invoer_Inschrijf[[#This Row],[Dikte '[m']]]=0,Invoer_Inschrijf[[#This Row],[Gewicht '[ton']]]/Invoer_Inschrijf[[#This Row],[Soortelijk gewicht '[ton / m3']]],Invoer_Inschrijf[[#This Row],[Oppervlakte '[m2']]]*Invoer_Inschrijf[[#This Row],[Dikte '[m']]]),0)</f>
        <v>0</v>
      </c>
      <c r="Q70" s="236">
        <f>_xlfn.IFNA(IF(Invoer_Inschrijf[[#This Row],[Productgroep]]="Categorie_1_LCA_Producten",VLOOKUP(F70,Categorie_1_Producten[#All],5,FALSE),VLOOKUP(F70&amp;", "&amp;"Totaal",Database_Productkaarten[#All],12,FALSE)),0)</f>
        <v>0</v>
      </c>
      <c r="R70" s="235">
        <f>_xlfn.IFNA(IF(Invoer_Inschrijf[[#This Row],[Productgroep]]="Categorie_1_LCA_Producten",VLOOKUP(Invoer_Inschrijf[[#This Row],[Product]],Categorie_1_Producten[],5,FALSE)*Invoer_Inschrijf[[#This Row],[Aantal Eenheden]],(VLOOKUP(Invoer_Inschrijf[[#This Row],[Product]],Database_Productkaarten[[Product]:[Gewicht '[ton'] / Eenheid]],12,FALSE)*Invoer_Inschrijf[[#This Row],[Aantal Eenheden]])),0)</f>
        <v>0</v>
      </c>
      <c r="S70" s="237"/>
      <c r="T70" s="238">
        <f>MAX(IFERROR($E$2/IF(Invoer_Inschrijf[[#This Row],[Productgroep]]="Categorie_1_LCA_Producten",VLOOKUP(Invoer_Inschrijf[[#This Row],[Product]],Categorie_1_Producten[#All],7,FALSE),VLOOKUP(Invoer_Inschrijf[[#This Row],[Product]]&amp;", "&amp;"Totaal",Database_Productkaarten[#All],15,FALSE))-1,0),0)</f>
        <v>0</v>
      </c>
      <c r="U70" s="352"/>
      <c r="V70" s="352"/>
      <c r="W70" s="353"/>
      <c r="X70" s="353"/>
      <c r="Y70" s="389">
        <f>_xlfn.IFNA(IF(VLOOKUP(Invoer_Inschrijf[[#This Row],[A5 - Overig Materieel tbv Aanleg]],Brandstofmachines_Omrekentabel[],5,FALSE)=0,_xlfn.IFNA(Invoer_Referentie[[#This Row],[A5 - Verbruik overig materieel '[liter - kWh - kg / uur']]]*VLOOKUP(Invoer_Referentie[[#This Row],[A5 - Overig Materieel tbv Aanleg]],Brandstofmachines_Omrekentabel[],8,FALSE)/VLOOKUP(Invoer_Inschrijf[[#This Row],[A5 - Overig Materieel tbv Aanleg]],Brandstofmachines_Omrekentabel[],8,FALSE),0),_xlfn.IFNA(Invoer_Referentie[[#This Row],[A5 - Verbruik overig materieel '[liter - kWh - kg / uur']]]*VLOOKUP(Invoer_Referentie[[#This Row],[A5 - Overig Materieel tbv Aanleg]],Brandstofmachines_Omrekentabel[],8,FALSE)/VLOOKUP(Invoer_Inschrijf[[#This Row],[A5 - Overig Materieel tbv Aanleg]],Brandstofmachines_Omrekentabel[],8,FALSE),0)),0)</f>
        <v>0</v>
      </c>
      <c r="Z70" s="389">
        <f>Invoer_Referentie[[#This Row],[A5 - Capaciteit overig materieel '[Eenheden / uur']]]</f>
        <v>0</v>
      </c>
      <c r="AA70" s="353"/>
      <c r="AB70" s="353"/>
      <c r="AC70" s="389">
        <f>_xlfn.IFNA(IF(VLOOKUP(Invoer_Inschrijf[[#This Row],[C1 - Overig Materieel tbv Verwijderen]],Brandstofmachines_Omrekentabel[],5,FALSE)=0,_xlfn.IFNA(Invoer_Referentie[[#This Row],[C1 - Verbruik overige materieel '[liter - kWh - kg / uur']]]*VLOOKUP(Invoer_Referentie[[#This Row],[C1 - Overig Materieel tbv Verwijderen]],Brandstofmachines_Omrekentabel[],8,FALSE)/VLOOKUP(Invoer_Inschrijf[[#This Row],[C1 - Overig Materieel tbv Verwijderen]],Brandstofmachines_Omrekentabel[],8,FALSE),0),_xlfn.IFNA(Invoer_Referentie[[#This Row],[C1 - Verbruik overige materieel '[liter - kWh - kg / uur']]]*VLOOKUP(Invoer_Referentie[[#This Row],[C1 - Overig Materieel tbv Verwijderen]],Brandstofmachines_Omrekentabel[],8,FALSE)/VLOOKUP(Invoer_Inschrijf[[#This Row],[C1 - Overig Materieel tbv Verwijderen]],Brandstofmachines_Omrekentabel[],8,FALSE),0)),0)</f>
        <v>0</v>
      </c>
      <c r="AD70" s="389">
        <f>Invoer_Referentie[[#This Row],[C1 - Capaciteit overig materieel '[Eenheden / uur']]]</f>
        <v>0</v>
      </c>
      <c r="AE70" s="353"/>
      <c r="AF70" s="352"/>
      <c r="AG70" s="353"/>
      <c r="AH70" s="235"/>
      <c r="BK70" s="224"/>
      <c r="BL70" s="224"/>
      <c r="BM70" s="224"/>
    </row>
    <row r="71" spans="2:65" hidden="1">
      <c r="B71" s="320"/>
      <c r="C71" s="235"/>
      <c r="D71" s="253"/>
      <c r="E71" s="1"/>
      <c r="F71" s="347"/>
      <c r="G71" s="399">
        <f>_xlfn.IFNA(IF(Invoer_Inschrijf[[#This Row],[Productgroep]]="Categorie_1_LCA_Producten",1,(VLOOKUP(Invoer_Inschrijf[[#This Row],[Product]],Database_Productkaarten[[Product]:[Comment]],64,FALSE))),0)</f>
        <v>0</v>
      </c>
      <c r="H71" s="320">
        <f>_xlfn.IFNA(IF(Invoer_Inschrijf[[#This Row],[Productgroep]]="Categorie_1_LCA_Producten",VLOOKUP(Invoer_Inschrijf[[#This Row],[Product]],Categorie_1_Producten[],2,FALSE),VLOOKUP(Invoer_Inschrijf[[#This Row],[Product]],Database_Productkaarten[[Product]:[Category]],60,FALSE)),0)</f>
        <v>0</v>
      </c>
      <c r="I71" s="260" t="e">
        <f>_xlfn.IFNA(VLOOKUP(Invoer_Inschrijf[[#This Row],[Product]],Database_Productkaarten[[Product]:[Producttype]],3,FALSE),VLOOKUP(Invoer_Inschrijf[[#This Row],[Product]],Categorie_1_Producten[#All],3,FALSE))</f>
        <v>#N/A</v>
      </c>
      <c r="J71" s="238"/>
      <c r="K71" s="320">
        <f>_xlfn.IFNA(IF(Invoer_Inschrijf[[#This Row],[Productgroep]]="Categorie_1_LCA_Producten",VLOOKUP(Invoer_Inschrijf[[#This Row],[Product]],Categorie_1_Producten[],4,FALSE),VLOOKUP(Invoer_Inschrijf[[#This Row],[Product]],Database_Productkaarten[[Product]:[Eenheid]],4,FALSE)),0)</f>
        <v>0</v>
      </c>
      <c r="L71" s="320"/>
      <c r="M71" s="320"/>
      <c r="N71" s="260"/>
      <c r="O71" s="237">
        <f>Invoer_Inschrijf[[#This Row],[Lengte'[m']]]*Invoer_Inschrijf[[#This Row],[Breedte '[m']]]</f>
        <v>0</v>
      </c>
      <c r="P71" s="235">
        <f>IFERROR(IF(Invoer_Inschrijf[[#This Row],[Oppervlakte '[m2']]]*Invoer_Inschrijf[[#This Row],[Dikte '[m']]]=0,Invoer_Inschrijf[[#This Row],[Gewicht '[ton']]]/Invoer_Inschrijf[[#This Row],[Soortelijk gewicht '[ton / m3']]],Invoer_Inschrijf[[#This Row],[Oppervlakte '[m2']]]*Invoer_Inschrijf[[#This Row],[Dikte '[m']]]),0)</f>
        <v>0</v>
      </c>
      <c r="Q71" s="236">
        <f>_xlfn.IFNA(IF(Invoer_Inschrijf[[#This Row],[Productgroep]]="Categorie_1_LCA_Producten",VLOOKUP(F71,Categorie_1_Producten[#All],5,FALSE),VLOOKUP(F71&amp;", "&amp;"Totaal",Database_Productkaarten[#All],12,FALSE)),0)</f>
        <v>0</v>
      </c>
      <c r="R71" s="235">
        <f>_xlfn.IFNA(IF(Invoer_Inschrijf[[#This Row],[Productgroep]]="Categorie_1_LCA_Producten",VLOOKUP(Invoer_Inschrijf[[#This Row],[Product]],Categorie_1_Producten[],5,FALSE)*Invoer_Inschrijf[[#This Row],[Aantal Eenheden]],(VLOOKUP(Invoer_Inschrijf[[#This Row],[Product]],Database_Productkaarten[[Product]:[Gewicht '[ton'] / Eenheid]],12,FALSE)*Invoer_Inschrijf[[#This Row],[Aantal Eenheden]])),0)</f>
        <v>0</v>
      </c>
      <c r="S71" s="237"/>
      <c r="T71" s="238">
        <f>MAX(IFERROR($E$2/IF(Invoer_Inschrijf[[#This Row],[Productgroep]]="Categorie_1_LCA_Producten",VLOOKUP(Invoer_Inschrijf[[#This Row],[Product]],Categorie_1_Producten[#All],7,FALSE),VLOOKUP(Invoer_Inschrijf[[#This Row],[Product]]&amp;", "&amp;"Totaal",Database_Productkaarten[#All],15,FALSE))-1,0),0)</f>
        <v>0</v>
      </c>
      <c r="U71" s="352"/>
      <c r="V71" s="352"/>
      <c r="W71" s="353"/>
      <c r="X71" s="353"/>
      <c r="Y71" s="389">
        <f>_xlfn.IFNA(IF(VLOOKUP(Invoer_Inschrijf[[#This Row],[A5 - Overig Materieel tbv Aanleg]],Brandstofmachines_Omrekentabel[],5,FALSE)=0,_xlfn.IFNA(Invoer_Referentie[[#This Row],[A5 - Verbruik overig materieel '[liter - kWh - kg / uur']]]*VLOOKUP(Invoer_Referentie[[#This Row],[A5 - Overig Materieel tbv Aanleg]],Brandstofmachines_Omrekentabel[],8,FALSE)/VLOOKUP(Invoer_Inschrijf[[#This Row],[A5 - Overig Materieel tbv Aanleg]],Brandstofmachines_Omrekentabel[],8,FALSE),0),_xlfn.IFNA(Invoer_Referentie[[#This Row],[A5 - Verbruik overig materieel '[liter - kWh - kg / uur']]]*VLOOKUP(Invoer_Referentie[[#This Row],[A5 - Overig Materieel tbv Aanleg]],Brandstofmachines_Omrekentabel[],8,FALSE)/VLOOKUP(Invoer_Inschrijf[[#This Row],[A5 - Overig Materieel tbv Aanleg]],Brandstofmachines_Omrekentabel[],8,FALSE),0)),0)</f>
        <v>0</v>
      </c>
      <c r="Z71" s="389">
        <f>Invoer_Referentie[[#This Row],[A5 - Capaciteit overig materieel '[Eenheden / uur']]]</f>
        <v>0</v>
      </c>
      <c r="AA71" s="353"/>
      <c r="AB71" s="353"/>
      <c r="AC71" s="389">
        <f>_xlfn.IFNA(IF(VLOOKUP(Invoer_Inschrijf[[#This Row],[C1 - Overig Materieel tbv Verwijderen]],Brandstofmachines_Omrekentabel[],5,FALSE)=0,_xlfn.IFNA(Invoer_Referentie[[#This Row],[C1 - Verbruik overige materieel '[liter - kWh - kg / uur']]]*VLOOKUP(Invoer_Referentie[[#This Row],[C1 - Overig Materieel tbv Verwijderen]],Brandstofmachines_Omrekentabel[],8,FALSE)/VLOOKUP(Invoer_Inschrijf[[#This Row],[C1 - Overig Materieel tbv Verwijderen]],Brandstofmachines_Omrekentabel[],8,FALSE),0),_xlfn.IFNA(Invoer_Referentie[[#This Row],[C1 - Verbruik overige materieel '[liter - kWh - kg / uur']]]*VLOOKUP(Invoer_Referentie[[#This Row],[C1 - Overig Materieel tbv Verwijderen]],Brandstofmachines_Omrekentabel[],8,FALSE)/VLOOKUP(Invoer_Inschrijf[[#This Row],[C1 - Overig Materieel tbv Verwijderen]],Brandstofmachines_Omrekentabel[],8,FALSE),0)),0)</f>
        <v>0</v>
      </c>
      <c r="AD71" s="389">
        <f>Invoer_Referentie[[#This Row],[C1 - Capaciteit overig materieel '[Eenheden / uur']]]</f>
        <v>0</v>
      </c>
      <c r="AE71" s="353"/>
      <c r="AF71" s="352"/>
      <c r="AG71" s="353"/>
      <c r="AH71" s="235"/>
      <c r="BK71" s="224"/>
      <c r="BL71" s="224"/>
      <c r="BM71" s="224"/>
    </row>
    <row r="72" spans="2:65" hidden="1">
      <c r="B72" s="320"/>
      <c r="C72" s="235"/>
      <c r="D72" s="253"/>
      <c r="E72" s="1"/>
      <c r="F72" s="347"/>
      <c r="G72" s="399">
        <f>_xlfn.IFNA(IF(Invoer_Inschrijf[[#This Row],[Productgroep]]="Categorie_1_LCA_Producten",1,(VLOOKUP(Invoer_Inschrijf[[#This Row],[Product]],Database_Productkaarten[[Product]:[Comment]],64,FALSE))),0)</f>
        <v>0</v>
      </c>
      <c r="H72" s="320">
        <f>_xlfn.IFNA(IF(Invoer_Inschrijf[[#This Row],[Productgroep]]="Categorie_1_LCA_Producten",VLOOKUP(Invoer_Inschrijf[[#This Row],[Product]],Categorie_1_Producten[],2,FALSE),VLOOKUP(Invoer_Inschrijf[[#This Row],[Product]],Database_Productkaarten[[Product]:[Category]],60,FALSE)),0)</f>
        <v>0</v>
      </c>
      <c r="I72" s="260" t="e">
        <f>_xlfn.IFNA(VLOOKUP(Invoer_Inschrijf[[#This Row],[Product]],Database_Productkaarten[[Product]:[Producttype]],3,FALSE),VLOOKUP(Invoer_Inschrijf[[#This Row],[Product]],Categorie_1_Producten[#All],3,FALSE))</f>
        <v>#N/A</v>
      </c>
      <c r="J72" s="238"/>
      <c r="K72" s="320">
        <f>_xlfn.IFNA(IF(Invoer_Inschrijf[[#This Row],[Productgroep]]="Categorie_1_LCA_Producten",VLOOKUP(Invoer_Inschrijf[[#This Row],[Product]],Categorie_1_Producten[],4,FALSE),VLOOKUP(Invoer_Inschrijf[[#This Row],[Product]],Database_Productkaarten[[Product]:[Eenheid]],4,FALSE)),0)</f>
        <v>0</v>
      </c>
      <c r="L72" s="320"/>
      <c r="M72" s="320"/>
      <c r="N72" s="260"/>
      <c r="O72" s="237">
        <f>Invoer_Inschrijf[[#This Row],[Lengte'[m']]]*Invoer_Inschrijf[[#This Row],[Breedte '[m']]]</f>
        <v>0</v>
      </c>
      <c r="P72" s="235">
        <f>IFERROR(IF(Invoer_Inschrijf[[#This Row],[Oppervlakte '[m2']]]*Invoer_Inschrijf[[#This Row],[Dikte '[m']]]=0,Invoer_Inschrijf[[#This Row],[Gewicht '[ton']]]/Invoer_Inschrijf[[#This Row],[Soortelijk gewicht '[ton / m3']]],Invoer_Inschrijf[[#This Row],[Oppervlakte '[m2']]]*Invoer_Inschrijf[[#This Row],[Dikte '[m']]]),0)</f>
        <v>0</v>
      </c>
      <c r="Q72" s="236">
        <f>_xlfn.IFNA(IF(Invoer_Inschrijf[[#This Row],[Productgroep]]="Categorie_1_LCA_Producten",VLOOKUP(F72,Categorie_1_Producten[#All],5,FALSE),VLOOKUP(F72&amp;", "&amp;"Totaal",Database_Productkaarten[#All],12,FALSE)),0)</f>
        <v>0</v>
      </c>
      <c r="R72" s="235">
        <f>_xlfn.IFNA(IF(Invoer_Inschrijf[[#This Row],[Productgroep]]="Categorie_1_LCA_Producten",VLOOKUP(Invoer_Inschrijf[[#This Row],[Product]],Categorie_1_Producten[],5,FALSE)*Invoer_Inschrijf[[#This Row],[Aantal Eenheden]],(VLOOKUP(Invoer_Inschrijf[[#This Row],[Product]],Database_Productkaarten[[Product]:[Gewicht '[ton'] / Eenheid]],12,FALSE)*Invoer_Inschrijf[[#This Row],[Aantal Eenheden]])),0)</f>
        <v>0</v>
      </c>
      <c r="S72" s="237"/>
      <c r="T72" s="238">
        <f>MAX(IFERROR($E$2/IF(Invoer_Inschrijf[[#This Row],[Productgroep]]="Categorie_1_LCA_Producten",VLOOKUP(Invoer_Inschrijf[[#This Row],[Product]],Categorie_1_Producten[#All],7,FALSE),VLOOKUP(Invoer_Inschrijf[[#This Row],[Product]]&amp;", "&amp;"Totaal",Database_Productkaarten[#All],15,FALSE))-1,0),0)</f>
        <v>0</v>
      </c>
      <c r="U72" s="352"/>
      <c r="V72" s="352"/>
      <c r="W72" s="353"/>
      <c r="X72" s="353"/>
      <c r="Y72" s="389">
        <f>_xlfn.IFNA(IF(VLOOKUP(Invoer_Inschrijf[[#This Row],[A5 - Overig Materieel tbv Aanleg]],Brandstofmachines_Omrekentabel[],5,FALSE)=0,_xlfn.IFNA(Invoer_Referentie[[#This Row],[A5 - Verbruik overig materieel '[liter - kWh - kg / uur']]]*VLOOKUP(Invoer_Referentie[[#This Row],[A5 - Overig Materieel tbv Aanleg]],Brandstofmachines_Omrekentabel[],8,FALSE)/VLOOKUP(Invoer_Inschrijf[[#This Row],[A5 - Overig Materieel tbv Aanleg]],Brandstofmachines_Omrekentabel[],8,FALSE),0),_xlfn.IFNA(Invoer_Referentie[[#This Row],[A5 - Verbruik overig materieel '[liter - kWh - kg / uur']]]*VLOOKUP(Invoer_Referentie[[#This Row],[A5 - Overig Materieel tbv Aanleg]],Brandstofmachines_Omrekentabel[],8,FALSE)/VLOOKUP(Invoer_Inschrijf[[#This Row],[A5 - Overig Materieel tbv Aanleg]],Brandstofmachines_Omrekentabel[],8,FALSE),0)),0)</f>
        <v>0</v>
      </c>
      <c r="Z72" s="389">
        <f>Invoer_Referentie[[#This Row],[A5 - Capaciteit overig materieel '[Eenheden / uur']]]</f>
        <v>0</v>
      </c>
      <c r="AA72" s="353"/>
      <c r="AB72" s="353"/>
      <c r="AC72" s="389">
        <f>_xlfn.IFNA(IF(VLOOKUP(Invoer_Inschrijf[[#This Row],[C1 - Overig Materieel tbv Verwijderen]],Brandstofmachines_Omrekentabel[],5,FALSE)=0,_xlfn.IFNA(Invoer_Referentie[[#This Row],[C1 - Verbruik overige materieel '[liter - kWh - kg / uur']]]*VLOOKUP(Invoer_Referentie[[#This Row],[C1 - Overig Materieel tbv Verwijderen]],Brandstofmachines_Omrekentabel[],8,FALSE)/VLOOKUP(Invoer_Inschrijf[[#This Row],[C1 - Overig Materieel tbv Verwijderen]],Brandstofmachines_Omrekentabel[],8,FALSE),0),_xlfn.IFNA(Invoer_Referentie[[#This Row],[C1 - Verbruik overige materieel '[liter - kWh - kg / uur']]]*VLOOKUP(Invoer_Referentie[[#This Row],[C1 - Overig Materieel tbv Verwijderen]],Brandstofmachines_Omrekentabel[],8,FALSE)/VLOOKUP(Invoer_Inschrijf[[#This Row],[C1 - Overig Materieel tbv Verwijderen]],Brandstofmachines_Omrekentabel[],8,FALSE),0)),0)</f>
        <v>0</v>
      </c>
      <c r="AD72" s="389">
        <f>Invoer_Referentie[[#This Row],[C1 - Capaciteit overig materieel '[Eenheden / uur']]]</f>
        <v>0</v>
      </c>
      <c r="AE72" s="353"/>
      <c r="AF72" s="352"/>
      <c r="AG72" s="353"/>
      <c r="AH72" s="235"/>
      <c r="BK72" s="224"/>
      <c r="BL72" s="224"/>
      <c r="BM72" s="224"/>
    </row>
    <row r="73" spans="2:65" hidden="1">
      <c r="B73" s="320"/>
      <c r="C73" s="235"/>
      <c r="D73" s="253"/>
      <c r="E73" s="1"/>
      <c r="F73" s="347"/>
      <c r="G73" s="399">
        <f>_xlfn.IFNA(IF(Invoer_Inschrijf[[#This Row],[Productgroep]]="Categorie_1_LCA_Producten",1,(VLOOKUP(Invoer_Inschrijf[[#This Row],[Product]],Database_Productkaarten[[Product]:[Comment]],64,FALSE))),0)</f>
        <v>0</v>
      </c>
      <c r="H73" s="320">
        <f>_xlfn.IFNA(IF(Invoer_Inschrijf[[#This Row],[Productgroep]]="Categorie_1_LCA_Producten",VLOOKUP(Invoer_Inschrijf[[#This Row],[Product]],Categorie_1_Producten[],2,FALSE),VLOOKUP(Invoer_Inschrijf[[#This Row],[Product]],Database_Productkaarten[[Product]:[Category]],60,FALSE)),0)</f>
        <v>0</v>
      </c>
      <c r="I73" s="260" t="e">
        <f>_xlfn.IFNA(VLOOKUP(Invoer_Inschrijf[[#This Row],[Product]],Database_Productkaarten[[Product]:[Producttype]],3,FALSE),VLOOKUP(Invoer_Inschrijf[[#This Row],[Product]],Categorie_1_Producten[#All],3,FALSE))</f>
        <v>#N/A</v>
      </c>
      <c r="J73" s="238"/>
      <c r="K73" s="320">
        <f>_xlfn.IFNA(IF(Invoer_Inschrijf[[#This Row],[Productgroep]]="Categorie_1_LCA_Producten",VLOOKUP(Invoer_Inschrijf[[#This Row],[Product]],Categorie_1_Producten[],4,FALSE),VLOOKUP(Invoer_Inschrijf[[#This Row],[Product]],Database_Productkaarten[[Product]:[Eenheid]],4,FALSE)),0)</f>
        <v>0</v>
      </c>
      <c r="L73" s="320"/>
      <c r="M73" s="320"/>
      <c r="N73" s="260"/>
      <c r="O73" s="237">
        <f>Invoer_Inschrijf[[#This Row],[Lengte'[m']]]*Invoer_Inschrijf[[#This Row],[Breedte '[m']]]</f>
        <v>0</v>
      </c>
      <c r="P73" s="235">
        <f>IFERROR(IF(Invoer_Inschrijf[[#This Row],[Oppervlakte '[m2']]]*Invoer_Inschrijf[[#This Row],[Dikte '[m']]]=0,Invoer_Inschrijf[[#This Row],[Gewicht '[ton']]]/Invoer_Inschrijf[[#This Row],[Soortelijk gewicht '[ton / m3']]],Invoer_Inschrijf[[#This Row],[Oppervlakte '[m2']]]*Invoer_Inschrijf[[#This Row],[Dikte '[m']]]),0)</f>
        <v>0</v>
      </c>
      <c r="Q73" s="236">
        <f>_xlfn.IFNA(IF(Invoer_Inschrijf[[#This Row],[Productgroep]]="Categorie_1_LCA_Producten",VLOOKUP(F73,Categorie_1_Producten[#All],5,FALSE),VLOOKUP(F73&amp;", "&amp;"Totaal",Database_Productkaarten[#All],12,FALSE)),0)</f>
        <v>0</v>
      </c>
      <c r="R73" s="235">
        <f>_xlfn.IFNA(IF(Invoer_Inschrijf[[#This Row],[Productgroep]]="Categorie_1_LCA_Producten",VLOOKUP(Invoer_Inschrijf[[#This Row],[Product]],Categorie_1_Producten[],5,FALSE)*Invoer_Inschrijf[[#This Row],[Aantal Eenheden]],(VLOOKUP(Invoer_Inschrijf[[#This Row],[Product]],Database_Productkaarten[[Product]:[Gewicht '[ton'] / Eenheid]],12,FALSE)*Invoer_Inschrijf[[#This Row],[Aantal Eenheden]])),0)</f>
        <v>0</v>
      </c>
      <c r="S73" s="237"/>
      <c r="T73" s="238">
        <f>MAX(IFERROR($E$2/IF(Invoer_Inschrijf[[#This Row],[Productgroep]]="Categorie_1_LCA_Producten",VLOOKUP(Invoer_Inschrijf[[#This Row],[Product]],Categorie_1_Producten[#All],7,FALSE),VLOOKUP(Invoer_Inschrijf[[#This Row],[Product]]&amp;", "&amp;"Totaal",Database_Productkaarten[#All],15,FALSE))-1,0),0)</f>
        <v>0</v>
      </c>
      <c r="U73" s="352"/>
      <c r="V73" s="352"/>
      <c r="W73" s="353"/>
      <c r="X73" s="353"/>
      <c r="Y73" s="389">
        <f>_xlfn.IFNA(IF(VLOOKUP(Invoer_Inschrijf[[#This Row],[A5 - Overig Materieel tbv Aanleg]],Brandstofmachines_Omrekentabel[],5,FALSE)=0,_xlfn.IFNA(Invoer_Referentie[[#This Row],[A5 - Verbruik overig materieel '[liter - kWh - kg / uur']]]*VLOOKUP(Invoer_Referentie[[#This Row],[A5 - Overig Materieel tbv Aanleg]],Brandstofmachines_Omrekentabel[],8,FALSE)/VLOOKUP(Invoer_Inschrijf[[#This Row],[A5 - Overig Materieel tbv Aanleg]],Brandstofmachines_Omrekentabel[],8,FALSE),0),_xlfn.IFNA(Invoer_Referentie[[#This Row],[A5 - Verbruik overig materieel '[liter - kWh - kg / uur']]]*VLOOKUP(Invoer_Referentie[[#This Row],[A5 - Overig Materieel tbv Aanleg]],Brandstofmachines_Omrekentabel[],8,FALSE)/VLOOKUP(Invoer_Inschrijf[[#This Row],[A5 - Overig Materieel tbv Aanleg]],Brandstofmachines_Omrekentabel[],8,FALSE),0)),0)</f>
        <v>0</v>
      </c>
      <c r="Z73" s="389">
        <f>Invoer_Referentie[[#This Row],[A5 - Capaciteit overig materieel '[Eenheden / uur']]]</f>
        <v>0</v>
      </c>
      <c r="AA73" s="353"/>
      <c r="AB73" s="353"/>
      <c r="AC73" s="389">
        <f>_xlfn.IFNA(IF(VLOOKUP(Invoer_Inschrijf[[#This Row],[C1 - Overig Materieel tbv Verwijderen]],Brandstofmachines_Omrekentabel[],5,FALSE)=0,_xlfn.IFNA(Invoer_Referentie[[#This Row],[C1 - Verbruik overige materieel '[liter - kWh - kg / uur']]]*VLOOKUP(Invoer_Referentie[[#This Row],[C1 - Overig Materieel tbv Verwijderen]],Brandstofmachines_Omrekentabel[],8,FALSE)/VLOOKUP(Invoer_Inschrijf[[#This Row],[C1 - Overig Materieel tbv Verwijderen]],Brandstofmachines_Omrekentabel[],8,FALSE),0),_xlfn.IFNA(Invoer_Referentie[[#This Row],[C1 - Verbruik overige materieel '[liter - kWh - kg / uur']]]*VLOOKUP(Invoer_Referentie[[#This Row],[C1 - Overig Materieel tbv Verwijderen]],Brandstofmachines_Omrekentabel[],8,FALSE)/VLOOKUP(Invoer_Inschrijf[[#This Row],[C1 - Overig Materieel tbv Verwijderen]],Brandstofmachines_Omrekentabel[],8,FALSE),0)),0)</f>
        <v>0</v>
      </c>
      <c r="AD73" s="389">
        <f>Invoer_Referentie[[#This Row],[C1 - Capaciteit overig materieel '[Eenheden / uur']]]</f>
        <v>0</v>
      </c>
      <c r="AE73" s="353"/>
      <c r="AF73" s="352"/>
      <c r="AG73" s="353"/>
      <c r="AH73" s="235"/>
      <c r="BK73" s="224"/>
      <c r="BL73" s="224"/>
      <c r="BM73" s="224"/>
    </row>
    <row r="74" spans="2:65" hidden="1">
      <c r="B74" s="320"/>
      <c r="C74" s="235"/>
      <c r="D74" s="253"/>
      <c r="E74" s="1"/>
      <c r="F74" s="347"/>
      <c r="G74" s="399">
        <f>_xlfn.IFNA(IF(Invoer_Inschrijf[[#This Row],[Productgroep]]="Categorie_1_LCA_Producten",1,(VLOOKUP(Invoer_Inschrijf[[#This Row],[Product]],Database_Productkaarten[[Product]:[Comment]],64,FALSE))),0)</f>
        <v>0</v>
      </c>
      <c r="H74" s="320">
        <f>_xlfn.IFNA(IF(Invoer_Inschrijf[[#This Row],[Productgroep]]="Categorie_1_LCA_Producten",VLOOKUP(Invoer_Inschrijf[[#This Row],[Product]],Categorie_1_Producten[],2,FALSE),VLOOKUP(Invoer_Inschrijf[[#This Row],[Product]],Database_Productkaarten[[Product]:[Category]],60,FALSE)),0)</f>
        <v>0</v>
      </c>
      <c r="I74" s="260" t="e">
        <f>_xlfn.IFNA(VLOOKUP(Invoer_Inschrijf[[#This Row],[Product]],Database_Productkaarten[[Product]:[Producttype]],3,FALSE),VLOOKUP(Invoer_Inschrijf[[#This Row],[Product]],Categorie_1_Producten[#All],3,FALSE))</f>
        <v>#N/A</v>
      </c>
      <c r="J74" s="238"/>
      <c r="K74" s="320">
        <f>_xlfn.IFNA(IF(Invoer_Inschrijf[[#This Row],[Productgroep]]="Categorie_1_LCA_Producten",VLOOKUP(Invoer_Inschrijf[[#This Row],[Product]],Categorie_1_Producten[],4,FALSE),VLOOKUP(Invoer_Inschrijf[[#This Row],[Product]],Database_Productkaarten[[Product]:[Eenheid]],4,FALSE)),0)</f>
        <v>0</v>
      </c>
      <c r="L74" s="320"/>
      <c r="M74" s="320"/>
      <c r="N74" s="260"/>
      <c r="O74" s="237">
        <f>Invoer_Inschrijf[[#This Row],[Lengte'[m']]]*Invoer_Inschrijf[[#This Row],[Breedte '[m']]]</f>
        <v>0</v>
      </c>
      <c r="P74" s="235">
        <f>IFERROR(IF(Invoer_Inschrijf[[#This Row],[Oppervlakte '[m2']]]*Invoer_Inschrijf[[#This Row],[Dikte '[m']]]=0,Invoer_Inschrijf[[#This Row],[Gewicht '[ton']]]/Invoer_Inschrijf[[#This Row],[Soortelijk gewicht '[ton / m3']]],Invoer_Inschrijf[[#This Row],[Oppervlakte '[m2']]]*Invoer_Inschrijf[[#This Row],[Dikte '[m']]]),0)</f>
        <v>0</v>
      </c>
      <c r="Q74" s="236">
        <f>_xlfn.IFNA(IF(Invoer_Inschrijf[[#This Row],[Productgroep]]="Categorie_1_LCA_Producten",VLOOKUP(F74,Categorie_1_Producten[#All],5,FALSE),VLOOKUP(F74&amp;", "&amp;"Totaal",Database_Productkaarten[#All],12,FALSE)),0)</f>
        <v>0</v>
      </c>
      <c r="R74" s="235">
        <f>_xlfn.IFNA(IF(Invoer_Inschrijf[[#This Row],[Productgroep]]="Categorie_1_LCA_Producten",VLOOKUP(Invoer_Inschrijf[[#This Row],[Product]],Categorie_1_Producten[],5,FALSE)*Invoer_Inschrijf[[#This Row],[Aantal Eenheden]],(VLOOKUP(Invoer_Inschrijf[[#This Row],[Product]],Database_Productkaarten[[Product]:[Gewicht '[ton'] / Eenheid]],12,FALSE)*Invoer_Inschrijf[[#This Row],[Aantal Eenheden]])),0)</f>
        <v>0</v>
      </c>
      <c r="S74" s="237"/>
      <c r="T74" s="238">
        <f>MAX(IFERROR($E$2/IF(Invoer_Inschrijf[[#This Row],[Productgroep]]="Categorie_1_LCA_Producten",VLOOKUP(Invoer_Inschrijf[[#This Row],[Product]],Categorie_1_Producten[#All],7,FALSE),VLOOKUP(Invoer_Inschrijf[[#This Row],[Product]]&amp;", "&amp;"Totaal",Database_Productkaarten[#All],15,FALSE))-1,0),0)</f>
        <v>0</v>
      </c>
      <c r="U74" s="352"/>
      <c r="V74" s="352"/>
      <c r="W74" s="353"/>
      <c r="X74" s="353"/>
      <c r="Y74" s="389">
        <f>_xlfn.IFNA(IF(VLOOKUP(Invoer_Inschrijf[[#This Row],[A5 - Overig Materieel tbv Aanleg]],Brandstofmachines_Omrekentabel[],5,FALSE)=0,_xlfn.IFNA(Invoer_Referentie[[#This Row],[A5 - Verbruik overig materieel '[liter - kWh - kg / uur']]]*VLOOKUP(Invoer_Referentie[[#This Row],[A5 - Overig Materieel tbv Aanleg]],Brandstofmachines_Omrekentabel[],8,FALSE)/VLOOKUP(Invoer_Inschrijf[[#This Row],[A5 - Overig Materieel tbv Aanleg]],Brandstofmachines_Omrekentabel[],8,FALSE),0),_xlfn.IFNA(Invoer_Referentie[[#This Row],[A5 - Verbruik overig materieel '[liter - kWh - kg / uur']]]*VLOOKUP(Invoer_Referentie[[#This Row],[A5 - Overig Materieel tbv Aanleg]],Brandstofmachines_Omrekentabel[],8,FALSE)/VLOOKUP(Invoer_Inschrijf[[#This Row],[A5 - Overig Materieel tbv Aanleg]],Brandstofmachines_Omrekentabel[],8,FALSE),0)),0)</f>
        <v>0</v>
      </c>
      <c r="Z74" s="389">
        <f>Invoer_Referentie[[#This Row],[A5 - Capaciteit overig materieel '[Eenheden / uur']]]</f>
        <v>0</v>
      </c>
      <c r="AA74" s="353"/>
      <c r="AB74" s="353"/>
      <c r="AC74" s="389">
        <f>_xlfn.IFNA(IF(VLOOKUP(Invoer_Inschrijf[[#This Row],[C1 - Overig Materieel tbv Verwijderen]],Brandstofmachines_Omrekentabel[],5,FALSE)=0,_xlfn.IFNA(Invoer_Referentie[[#This Row],[C1 - Verbruik overige materieel '[liter - kWh - kg / uur']]]*VLOOKUP(Invoer_Referentie[[#This Row],[C1 - Overig Materieel tbv Verwijderen]],Brandstofmachines_Omrekentabel[],8,FALSE)/VLOOKUP(Invoer_Inschrijf[[#This Row],[C1 - Overig Materieel tbv Verwijderen]],Brandstofmachines_Omrekentabel[],8,FALSE),0),_xlfn.IFNA(Invoer_Referentie[[#This Row],[C1 - Verbruik overige materieel '[liter - kWh - kg / uur']]]*VLOOKUP(Invoer_Referentie[[#This Row],[C1 - Overig Materieel tbv Verwijderen]],Brandstofmachines_Omrekentabel[],8,FALSE)/VLOOKUP(Invoer_Inschrijf[[#This Row],[C1 - Overig Materieel tbv Verwijderen]],Brandstofmachines_Omrekentabel[],8,FALSE),0)),0)</f>
        <v>0</v>
      </c>
      <c r="AD74" s="389">
        <f>Invoer_Referentie[[#This Row],[C1 - Capaciteit overig materieel '[Eenheden / uur']]]</f>
        <v>0</v>
      </c>
      <c r="AE74" s="353"/>
      <c r="AF74" s="352"/>
      <c r="AG74" s="353"/>
      <c r="AH74" s="235"/>
      <c r="BK74" s="224"/>
      <c r="BL74" s="224"/>
      <c r="BM74" s="224"/>
    </row>
    <row r="75" spans="2:65" hidden="1">
      <c r="B75" s="320"/>
      <c r="C75" s="235"/>
      <c r="D75" s="253"/>
      <c r="E75" s="1"/>
      <c r="F75" s="347"/>
      <c r="G75" s="399">
        <f>_xlfn.IFNA(IF(Invoer_Inschrijf[[#This Row],[Productgroep]]="Categorie_1_LCA_Producten",1,(VLOOKUP(Invoer_Inschrijf[[#This Row],[Product]],Database_Productkaarten[[Product]:[Comment]],64,FALSE))),0)</f>
        <v>0</v>
      </c>
      <c r="H75" s="320">
        <f>_xlfn.IFNA(IF(Invoer_Inschrijf[[#This Row],[Productgroep]]="Categorie_1_LCA_Producten",VLOOKUP(Invoer_Inschrijf[[#This Row],[Product]],Categorie_1_Producten[],2,FALSE),VLOOKUP(Invoer_Inschrijf[[#This Row],[Product]],Database_Productkaarten[[Product]:[Category]],60,FALSE)),0)</f>
        <v>0</v>
      </c>
      <c r="I75" s="260" t="e">
        <f>_xlfn.IFNA(VLOOKUP(Invoer_Inschrijf[[#This Row],[Product]],Database_Productkaarten[[Product]:[Producttype]],3,FALSE),VLOOKUP(Invoer_Inschrijf[[#This Row],[Product]],Categorie_1_Producten[#All],3,FALSE))</f>
        <v>#N/A</v>
      </c>
      <c r="J75" s="238"/>
      <c r="K75" s="320">
        <f>_xlfn.IFNA(IF(Invoer_Inschrijf[[#This Row],[Productgroep]]="Categorie_1_LCA_Producten",VLOOKUP(Invoer_Inschrijf[[#This Row],[Product]],Categorie_1_Producten[],4,FALSE),VLOOKUP(Invoer_Inschrijf[[#This Row],[Product]],Database_Productkaarten[[Product]:[Eenheid]],4,FALSE)),0)</f>
        <v>0</v>
      </c>
      <c r="L75" s="320"/>
      <c r="M75" s="320"/>
      <c r="N75" s="260"/>
      <c r="O75" s="237">
        <f>Invoer_Inschrijf[[#This Row],[Lengte'[m']]]*Invoer_Inschrijf[[#This Row],[Breedte '[m']]]</f>
        <v>0</v>
      </c>
      <c r="P75" s="235">
        <f>IFERROR(IF(Invoer_Inschrijf[[#This Row],[Oppervlakte '[m2']]]*Invoer_Inschrijf[[#This Row],[Dikte '[m']]]=0,Invoer_Inschrijf[[#This Row],[Gewicht '[ton']]]/Invoer_Inschrijf[[#This Row],[Soortelijk gewicht '[ton / m3']]],Invoer_Inschrijf[[#This Row],[Oppervlakte '[m2']]]*Invoer_Inschrijf[[#This Row],[Dikte '[m']]]),0)</f>
        <v>0</v>
      </c>
      <c r="Q75" s="236">
        <f>_xlfn.IFNA(IF(Invoer_Inschrijf[[#This Row],[Productgroep]]="Categorie_1_LCA_Producten",VLOOKUP(F75,Categorie_1_Producten[#All],5,FALSE),VLOOKUP(F75&amp;", "&amp;"Totaal",Database_Productkaarten[#All],12,FALSE)),0)</f>
        <v>0</v>
      </c>
      <c r="R75" s="235">
        <f>_xlfn.IFNA(IF(Invoer_Inschrijf[[#This Row],[Productgroep]]="Categorie_1_LCA_Producten",VLOOKUP(Invoer_Inschrijf[[#This Row],[Product]],Categorie_1_Producten[],5,FALSE)*Invoer_Inschrijf[[#This Row],[Aantal Eenheden]],(VLOOKUP(Invoer_Inschrijf[[#This Row],[Product]],Database_Productkaarten[[Product]:[Gewicht '[ton'] / Eenheid]],12,FALSE)*Invoer_Inschrijf[[#This Row],[Aantal Eenheden]])),0)</f>
        <v>0</v>
      </c>
      <c r="S75" s="237"/>
      <c r="T75" s="238">
        <f>MAX(IFERROR($E$2/IF(Invoer_Inschrijf[[#This Row],[Productgroep]]="Categorie_1_LCA_Producten",VLOOKUP(Invoer_Inschrijf[[#This Row],[Product]],Categorie_1_Producten[#All],7,FALSE),VLOOKUP(Invoer_Inschrijf[[#This Row],[Product]]&amp;", "&amp;"Totaal",Database_Productkaarten[#All],15,FALSE))-1,0),0)</f>
        <v>0</v>
      </c>
      <c r="U75" s="352"/>
      <c r="V75" s="352"/>
      <c r="W75" s="353"/>
      <c r="X75" s="353"/>
      <c r="Y75" s="389">
        <f>_xlfn.IFNA(IF(VLOOKUP(Invoer_Inschrijf[[#This Row],[A5 - Overig Materieel tbv Aanleg]],Brandstofmachines_Omrekentabel[],5,FALSE)=0,_xlfn.IFNA(Invoer_Referentie[[#This Row],[A5 - Verbruik overig materieel '[liter - kWh - kg / uur']]]*VLOOKUP(Invoer_Referentie[[#This Row],[A5 - Overig Materieel tbv Aanleg]],Brandstofmachines_Omrekentabel[],8,FALSE)/VLOOKUP(Invoer_Inschrijf[[#This Row],[A5 - Overig Materieel tbv Aanleg]],Brandstofmachines_Omrekentabel[],8,FALSE),0),_xlfn.IFNA(Invoer_Referentie[[#This Row],[A5 - Verbruik overig materieel '[liter - kWh - kg / uur']]]*VLOOKUP(Invoer_Referentie[[#This Row],[A5 - Overig Materieel tbv Aanleg]],Brandstofmachines_Omrekentabel[],8,FALSE)/VLOOKUP(Invoer_Inschrijf[[#This Row],[A5 - Overig Materieel tbv Aanleg]],Brandstofmachines_Omrekentabel[],8,FALSE),0)),0)</f>
        <v>0</v>
      </c>
      <c r="Z75" s="389">
        <f>Invoer_Referentie[[#This Row],[A5 - Capaciteit overig materieel '[Eenheden / uur']]]</f>
        <v>0</v>
      </c>
      <c r="AA75" s="353"/>
      <c r="AB75" s="353"/>
      <c r="AC75" s="389">
        <f>_xlfn.IFNA(IF(VLOOKUP(Invoer_Inschrijf[[#This Row],[C1 - Overig Materieel tbv Verwijderen]],Brandstofmachines_Omrekentabel[],5,FALSE)=0,_xlfn.IFNA(Invoer_Referentie[[#This Row],[C1 - Verbruik overige materieel '[liter - kWh - kg / uur']]]*VLOOKUP(Invoer_Referentie[[#This Row],[C1 - Overig Materieel tbv Verwijderen]],Brandstofmachines_Omrekentabel[],8,FALSE)/VLOOKUP(Invoer_Inschrijf[[#This Row],[C1 - Overig Materieel tbv Verwijderen]],Brandstofmachines_Omrekentabel[],8,FALSE),0),_xlfn.IFNA(Invoer_Referentie[[#This Row],[C1 - Verbruik overige materieel '[liter - kWh - kg / uur']]]*VLOOKUP(Invoer_Referentie[[#This Row],[C1 - Overig Materieel tbv Verwijderen]],Brandstofmachines_Omrekentabel[],8,FALSE)/VLOOKUP(Invoer_Inschrijf[[#This Row],[C1 - Overig Materieel tbv Verwijderen]],Brandstofmachines_Omrekentabel[],8,FALSE),0)),0)</f>
        <v>0</v>
      </c>
      <c r="AD75" s="389">
        <f>Invoer_Referentie[[#This Row],[C1 - Capaciteit overig materieel '[Eenheden / uur']]]</f>
        <v>0</v>
      </c>
      <c r="AE75" s="353"/>
      <c r="AF75" s="352"/>
      <c r="AG75" s="353"/>
      <c r="AH75" s="235"/>
      <c r="BK75" s="224"/>
      <c r="BL75" s="224"/>
      <c r="BM75" s="224"/>
    </row>
    <row r="76" spans="2:65" hidden="1">
      <c r="B76" s="320"/>
      <c r="C76" s="235"/>
      <c r="D76" s="253"/>
      <c r="E76" s="1"/>
      <c r="F76" s="347"/>
      <c r="G76" s="399">
        <f>_xlfn.IFNA(IF(Invoer_Inschrijf[[#This Row],[Productgroep]]="Categorie_1_LCA_Producten",1,(VLOOKUP(Invoer_Inschrijf[[#This Row],[Product]],Database_Productkaarten[[Product]:[Comment]],64,FALSE))),0)</f>
        <v>0</v>
      </c>
      <c r="H76" s="320">
        <f>_xlfn.IFNA(IF(Invoer_Inschrijf[[#This Row],[Productgroep]]="Categorie_1_LCA_Producten",VLOOKUP(Invoer_Inschrijf[[#This Row],[Product]],Categorie_1_Producten[],2,FALSE),VLOOKUP(Invoer_Inschrijf[[#This Row],[Product]],Database_Productkaarten[[Product]:[Category]],60,FALSE)),0)</f>
        <v>0</v>
      </c>
      <c r="I76" s="260" t="e">
        <f>_xlfn.IFNA(VLOOKUP(Invoer_Inschrijf[[#This Row],[Product]],Database_Productkaarten[[Product]:[Producttype]],3,FALSE),VLOOKUP(Invoer_Inschrijf[[#This Row],[Product]],Categorie_1_Producten[#All],3,FALSE))</f>
        <v>#N/A</v>
      </c>
      <c r="J76" s="238"/>
      <c r="K76" s="320">
        <f>_xlfn.IFNA(IF(Invoer_Inschrijf[[#This Row],[Productgroep]]="Categorie_1_LCA_Producten",VLOOKUP(Invoer_Inschrijf[[#This Row],[Product]],Categorie_1_Producten[],4,FALSE),VLOOKUP(Invoer_Inschrijf[[#This Row],[Product]],Database_Productkaarten[[Product]:[Eenheid]],4,FALSE)),0)</f>
        <v>0</v>
      </c>
      <c r="L76" s="320"/>
      <c r="M76" s="320"/>
      <c r="N76" s="260"/>
      <c r="O76" s="237">
        <f>Invoer_Inschrijf[[#This Row],[Lengte'[m']]]*Invoer_Inschrijf[[#This Row],[Breedte '[m']]]</f>
        <v>0</v>
      </c>
      <c r="P76" s="235">
        <f>IFERROR(IF(Invoer_Inschrijf[[#This Row],[Oppervlakte '[m2']]]*Invoer_Inschrijf[[#This Row],[Dikte '[m']]]=0,Invoer_Inschrijf[[#This Row],[Gewicht '[ton']]]/Invoer_Inschrijf[[#This Row],[Soortelijk gewicht '[ton / m3']]],Invoer_Inschrijf[[#This Row],[Oppervlakte '[m2']]]*Invoer_Inschrijf[[#This Row],[Dikte '[m']]]),0)</f>
        <v>0</v>
      </c>
      <c r="Q76" s="236">
        <f>_xlfn.IFNA(IF(Invoer_Inschrijf[[#This Row],[Productgroep]]="Categorie_1_LCA_Producten",VLOOKUP(F76,Categorie_1_Producten[#All],5,FALSE),VLOOKUP(F76&amp;", "&amp;"Totaal",Database_Productkaarten[#All],12,FALSE)),0)</f>
        <v>0</v>
      </c>
      <c r="R76" s="235">
        <f>_xlfn.IFNA(IF(Invoer_Inschrijf[[#This Row],[Productgroep]]="Categorie_1_LCA_Producten",VLOOKUP(Invoer_Inschrijf[[#This Row],[Product]],Categorie_1_Producten[],5,FALSE)*Invoer_Inschrijf[[#This Row],[Aantal Eenheden]],(VLOOKUP(Invoer_Inschrijf[[#This Row],[Product]],Database_Productkaarten[[Product]:[Gewicht '[ton'] / Eenheid]],12,FALSE)*Invoer_Inschrijf[[#This Row],[Aantal Eenheden]])),0)</f>
        <v>0</v>
      </c>
      <c r="S76" s="237"/>
      <c r="T76" s="238">
        <f>MAX(IFERROR($E$2/IF(Invoer_Inschrijf[[#This Row],[Productgroep]]="Categorie_1_LCA_Producten",VLOOKUP(Invoer_Inschrijf[[#This Row],[Product]],Categorie_1_Producten[#All],7,FALSE),VLOOKUP(Invoer_Inschrijf[[#This Row],[Product]]&amp;", "&amp;"Totaal",Database_Productkaarten[#All],15,FALSE))-1,0),0)</f>
        <v>0</v>
      </c>
      <c r="U76" s="352"/>
      <c r="V76" s="352"/>
      <c r="W76" s="353"/>
      <c r="X76" s="353"/>
      <c r="Y76" s="389">
        <f>_xlfn.IFNA(IF(VLOOKUP(Invoer_Inschrijf[[#This Row],[A5 - Overig Materieel tbv Aanleg]],Brandstofmachines_Omrekentabel[],5,FALSE)=0,_xlfn.IFNA(Invoer_Referentie[[#This Row],[A5 - Verbruik overig materieel '[liter - kWh - kg / uur']]]*VLOOKUP(Invoer_Referentie[[#This Row],[A5 - Overig Materieel tbv Aanleg]],Brandstofmachines_Omrekentabel[],8,FALSE)/VLOOKUP(Invoer_Inschrijf[[#This Row],[A5 - Overig Materieel tbv Aanleg]],Brandstofmachines_Omrekentabel[],8,FALSE),0),_xlfn.IFNA(Invoer_Referentie[[#This Row],[A5 - Verbruik overig materieel '[liter - kWh - kg / uur']]]*VLOOKUP(Invoer_Referentie[[#This Row],[A5 - Overig Materieel tbv Aanleg]],Brandstofmachines_Omrekentabel[],8,FALSE)/VLOOKUP(Invoer_Inschrijf[[#This Row],[A5 - Overig Materieel tbv Aanleg]],Brandstofmachines_Omrekentabel[],8,FALSE),0)),0)</f>
        <v>0</v>
      </c>
      <c r="Z76" s="389">
        <f>Invoer_Referentie[[#This Row],[A5 - Capaciteit overig materieel '[Eenheden / uur']]]</f>
        <v>0</v>
      </c>
      <c r="AA76" s="353"/>
      <c r="AB76" s="353"/>
      <c r="AC76" s="389">
        <f>_xlfn.IFNA(IF(VLOOKUP(Invoer_Inschrijf[[#This Row],[C1 - Overig Materieel tbv Verwijderen]],Brandstofmachines_Omrekentabel[],5,FALSE)=0,_xlfn.IFNA(Invoer_Referentie[[#This Row],[C1 - Verbruik overige materieel '[liter - kWh - kg / uur']]]*VLOOKUP(Invoer_Referentie[[#This Row],[C1 - Overig Materieel tbv Verwijderen]],Brandstofmachines_Omrekentabel[],8,FALSE)/VLOOKUP(Invoer_Inschrijf[[#This Row],[C1 - Overig Materieel tbv Verwijderen]],Brandstofmachines_Omrekentabel[],8,FALSE),0),_xlfn.IFNA(Invoer_Referentie[[#This Row],[C1 - Verbruik overige materieel '[liter - kWh - kg / uur']]]*VLOOKUP(Invoer_Referentie[[#This Row],[C1 - Overig Materieel tbv Verwijderen]],Brandstofmachines_Omrekentabel[],8,FALSE)/VLOOKUP(Invoer_Inschrijf[[#This Row],[C1 - Overig Materieel tbv Verwijderen]],Brandstofmachines_Omrekentabel[],8,FALSE),0)),0)</f>
        <v>0</v>
      </c>
      <c r="AD76" s="389">
        <f>Invoer_Referentie[[#This Row],[C1 - Capaciteit overig materieel '[Eenheden / uur']]]</f>
        <v>0</v>
      </c>
      <c r="AE76" s="353"/>
      <c r="AF76" s="352"/>
      <c r="AG76" s="353"/>
      <c r="AH76" s="235"/>
      <c r="BK76" s="224"/>
      <c r="BL76" s="224"/>
      <c r="BM76" s="224"/>
    </row>
    <row r="77" spans="2:65" hidden="1">
      <c r="B77" s="320"/>
      <c r="C77" s="235"/>
      <c r="D77" s="253"/>
      <c r="E77" s="1"/>
      <c r="F77" s="347"/>
      <c r="G77" s="399">
        <f>_xlfn.IFNA(IF(Invoer_Inschrijf[[#This Row],[Productgroep]]="Categorie_1_LCA_Producten",1,(VLOOKUP(Invoer_Inschrijf[[#This Row],[Product]],Database_Productkaarten[[Product]:[Comment]],64,FALSE))),0)</f>
        <v>0</v>
      </c>
      <c r="H77" s="320">
        <f>_xlfn.IFNA(IF(Invoer_Inschrijf[[#This Row],[Productgroep]]="Categorie_1_LCA_Producten",VLOOKUP(Invoer_Inschrijf[[#This Row],[Product]],Categorie_1_Producten[],2,FALSE),VLOOKUP(Invoer_Inschrijf[[#This Row],[Product]],Database_Productkaarten[[Product]:[Category]],60,FALSE)),0)</f>
        <v>0</v>
      </c>
      <c r="I77" s="260" t="e">
        <f>_xlfn.IFNA(VLOOKUP(Invoer_Inschrijf[[#This Row],[Product]],Database_Productkaarten[[Product]:[Producttype]],3,FALSE),VLOOKUP(Invoer_Inschrijf[[#This Row],[Product]],Categorie_1_Producten[#All],3,FALSE))</f>
        <v>#N/A</v>
      </c>
      <c r="J77" s="238"/>
      <c r="K77" s="320">
        <f>_xlfn.IFNA(IF(Invoer_Inschrijf[[#This Row],[Productgroep]]="Categorie_1_LCA_Producten",VLOOKUP(Invoer_Inschrijf[[#This Row],[Product]],Categorie_1_Producten[],4,FALSE),VLOOKUP(Invoer_Inschrijf[[#This Row],[Product]],Database_Productkaarten[[Product]:[Eenheid]],4,FALSE)),0)</f>
        <v>0</v>
      </c>
      <c r="L77" s="320"/>
      <c r="M77" s="320"/>
      <c r="N77" s="260"/>
      <c r="O77" s="237">
        <f>Invoer_Inschrijf[[#This Row],[Lengte'[m']]]*Invoer_Inschrijf[[#This Row],[Breedte '[m']]]</f>
        <v>0</v>
      </c>
      <c r="P77" s="235">
        <f>IFERROR(IF(Invoer_Inschrijf[[#This Row],[Oppervlakte '[m2']]]*Invoer_Inschrijf[[#This Row],[Dikte '[m']]]=0,Invoer_Inschrijf[[#This Row],[Gewicht '[ton']]]/Invoer_Inschrijf[[#This Row],[Soortelijk gewicht '[ton / m3']]],Invoer_Inschrijf[[#This Row],[Oppervlakte '[m2']]]*Invoer_Inschrijf[[#This Row],[Dikte '[m']]]),0)</f>
        <v>0</v>
      </c>
      <c r="Q77" s="236">
        <f>_xlfn.IFNA(IF(Invoer_Inschrijf[[#This Row],[Productgroep]]="Categorie_1_LCA_Producten",VLOOKUP(F77,Categorie_1_Producten[#All],5,FALSE),VLOOKUP(F77&amp;", "&amp;"Totaal",Database_Productkaarten[#All],12,FALSE)),0)</f>
        <v>0</v>
      </c>
      <c r="R77" s="235">
        <f>_xlfn.IFNA(IF(Invoer_Inschrijf[[#This Row],[Productgroep]]="Categorie_1_LCA_Producten",VLOOKUP(Invoer_Inschrijf[[#This Row],[Product]],Categorie_1_Producten[],5,FALSE)*Invoer_Inschrijf[[#This Row],[Aantal Eenheden]],(VLOOKUP(Invoer_Inschrijf[[#This Row],[Product]],Database_Productkaarten[[Product]:[Gewicht '[ton'] / Eenheid]],12,FALSE)*Invoer_Inschrijf[[#This Row],[Aantal Eenheden]])),0)</f>
        <v>0</v>
      </c>
      <c r="S77" s="237"/>
      <c r="T77" s="238">
        <f>MAX(IFERROR($E$2/IF(Invoer_Inschrijf[[#This Row],[Productgroep]]="Categorie_1_LCA_Producten",VLOOKUP(Invoer_Inschrijf[[#This Row],[Product]],Categorie_1_Producten[#All],7,FALSE),VLOOKUP(Invoer_Inschrijf[[#This Row],[Product]]&amp;", "&amp;"Totaal",Database_Productkaarten[#All],15,FALSE))-1,0),0)</f>
        <v>0</v>
      </c>
      <c r="U77" s="352"/>
      <c r="V77" s="352"/>
      <c r="W77" s="353"/>
      <c r="X77" s="353"/>
      <c r="Y77" s="389">
        <f>_xlfn.IFNA(IF(VLOOKUP(Invoer_Inschrijf[[#This Row],[A5 - Overig Materieel tbv Aanleg]],Brandstofmachines_Omrekentabel[],5,FALSE)=0,_xlfn.IFNA(Invoer_Referentie[[#This Row],[A5 - Verbruik overig materieel '[liter - kWh - kg / uur']]]*VLOOKUP(Invoer_Referentie[[#This Row],[A5 - Overig Materieel tbv Aanleg]],Brandstofmachines_Omrekentabel[],8,FALSE)/VLOOKUP(Invoer_Inschrijf[[#This Row],[A5 - Overig Materieel tbv Aanleg]],Brandstofmachines_Omrekentabel[],8,FALSE),0),_xlfn.IFNA(Invoer_Referentie[[#This Row],[A5 - Verbruik overig materieel '[liter - kWh - kg / uur']]]*VLOOKUP(Invoer_Referentie[[#This Row],[A5 - Overig Materieel tbv Aanleg]],Brandstofmachines_Omrekentabel[],8,FALSE)/VLOOKUP(Invoer_Inschrijf[[#This Row],[A5 - Overig Materieel tbv Aanleg]],Brandstofmachines_Omrekentabel[],8,FALSE),0)),0)</f>
        <v>0</v>
      </c>
      <c r="Z77" s="389">
        <f>Invoer_Referentie[[#This Row],[A5 - Capaciteit overig materieel '[Eenheden / uur']]]</f>
        <v>0</v>
      </c>
      <c r="AA77" s="353"/>
      <c r="AB77" s="353"/>
      <c r="AC77" s="389">
        <f>_xlfn.IFNA(IF(VLOOKUP(Invoer_Inschrijf[[#This Row],[C1 - Overig Materieel tbv Verwijderen]],Brandstofmachines_Omrekentabel[],5,FALSE)=0,_xlfn.IFNA(Invoer_Referentie[[#This Row],[C1 - Verbruik overige materieel '[liter - kWh - kg / uur']]]*VLOOKUP(Invoer_Referentie[[#This Row],[C1 - Overig Materieel tbv Verwijderen]],Brandstofmachines_Omrekentabel[],8,FALSE)/VLOOKUP(Invoer_Inschrijf[[#This Row],[C1 - Overig Materieel tbv Verwijderen]],Brandstofmachines_Omrekentabel[],8,FALSE),0),_xlfn.IFNA(Invoer_Referentie[[#This Row],[C1 - Verbruik overige materieel '[liter - kWh - kg / uur']]]*VLOOKUP(Invoer_Referentie[[#This Row],[C1 - Overig Materieel tbv Verwijderen]],Brandstofmachines_Omrekentabel[],8,FALSE)/VLOOKUP(Invoer_Inschrijf[[#This Row],[C1 - Overig Materieel tbv Verwijderen]],Brandstofmachines_Omrekentabel[],8,FALSE),0)),0)</f>
        <v>0</v>
      </c>
      <c r="AD77" s="389">
        <f>Invoer_Referentie[[#This Row],[C1 - Capaciteit overig materieel '[Eenheden / uur']]]</f>
        <v>0</v>
      </c>
      <c r="AE77" s="353"/>
      <c r="AF77" s="352"/>
      <c r="AG77" s="353"/>
      <c r="AH77" s="235"/>
      <c r="BK77" s="224"/>
      <c r="BL77" s="224"/>
      <c r="BM77" s="224"/>
    </row>
    <row r="78" spans="2:65" hidden="1">
      <c r="B78" s="320"/>
      <c r="C78" s="235"/>
      <c r="D78" s="253"/>
      <c r="E78" s="1"/>
      <c r="F78" s="347"/>
      <c r="G78" s="399">
        <f>_xlfn.IFNA(IF(Invoer_Inschrijf[[#This Row],[Productgroep]]="Categorie_1_LCA_Producten",1,(VLOOKUP(Invoer_Inschrijf[[#This Row],[Product]],Database_Productkaarten[[Product]:[Comment]],64,FALSE))),0)</f>
        <v>0</v>
      </c>
      <c r="H78" s="320">
        <f>_xlfn.IFNA(IF(Invoer_Inschrijf[[#This Row],[Productgroep]]="Categorie_1_LCA_Producten",VLOOKUP(Invoer_Inschrijf[[#This Row],[Product]],Categorie_1_Producten[],2,FALSE),VLOOKUP(Invoer_Inschrijf[[#This Row],[Product]],Database_Productkaarten[[Product]:[Category]],60,FALSE)),0)</f>
        <v>0</v>
      </c>
      <c r="I78" s="260" t="e">
        <f>_xlfn.IFNA(VLOOKUP(Invoer_Inschrijf[[#This Row],[Product]],Database_Productkaarten[[Product]:[Producttype]],3,FALSE),VLOOKUP(Invoer_Inschrijf[[#This Row],[Product]],Categorie_1_Producten[#All],3,FALSE))</f>
        <v>#N/A</v>
      </c>
      <c r="J78" s="238"/>
      <c r="K78" s="320">
        <f>_xlfn.IFNA(IF(Invoer_Inschrijf[[#This Row],[Productgroep]]="Categorie_1_LCA_Producten",VLOOKUP(Invoer_Inschrijf[[#This Row],[Product]],Categorie_1_Producten[],4,FALSE),VLOOKUP(Invoer_Inschrijf[[#This Row],[Product]],Database_Productkaarten[[Product]:[Eenheid]],4,FALSE)),0)</f>
        <v>0</v>
      </c>
      <c r="L78" s="320"/>
      <c r="M78" s="320"/>
      <c r="N78" s="260"/>
      <c r="O78" s="237">
        <f>Invoer_Inschrijf[[#This Row],[Lengte'[m']]]*Invoer_Inschrijf[[#This Row],[Breedte '[m']]]</f>
        <v>0</v>
      </c>
      <c r="P78" s="235">
        <f>IFERROR(IF(Invoer_Inschrijf[[#This Row],[Oppervlakte '[m2']]]*Invoer_Inschrijf[[#This Row],[Dikte '[m']]]=0,Invoer_Inschrijf[[#This Row],[Gewicht '[ton']]]/Invoer_Inschrijf[[#This Row],[Soortelijk gewicht '[ton / m3']]],Invoer_Inschrijf[[#This Row],[Oppervlakte '[m2']]]*Invoer_Inschrijf[[#This Row],[Dikte '[m']]]),0)</f>
        <v>0</v>
      </c>
      <c r="Q78" s="236">
        <f>_xlfn.IFNA(IF(Invoer_Inschrijf[[#This Row],[Productgroep]]="Categorie_1_LCA_Producten",VLOOKUP(F78,Categorie_1_Producten[#All],5,FALSE),VLOOKUP(F78&amp;", "&amp;"Totaal",Database_Productkaarten[#All],12,FALSE)),0)</f>
        <v>0</v>
      </c>
      <c r="R78" s="235">
        <f>_xlfn.IFNA(IF(Invoer_Inschrijf[[#This Row],[Productgroep]]="Categorie_1_LCA_Producten",VLOOKUP(Invoer_Inschrijf[[#This Row],[Product]],Categorie_1_Producten[],5,FALSE)*Invoer_Inschrijf[[#This Row],[Aantal Eenheden]],(VLOOKUP(Invoer_Inschrijf[[#This Row],[Product]],Database_Productkaarten[[Product]:[Gewicht '[ton'] / Eenheid]],12,FALSE)*Invoer_Inschrijf[[#This Row],[Aantal Eenheden]])),0)</f>
        <v>0</v>
      </c>
      <c r="S78" s="237"/>
      <c r="T78" s="238">
        <f>MAX(IFERROR($E$2/IF(Invoer_Inschrijf[[#This Row],[Productgroep]]="Categorie_1_LCA_Producten",VLOOKUP(Invoer_Inschrijf[[#This Row],[Product]],Categorie_1_Producten[#All],7,FALSE),VLOOKUP(Invoer_Inschrijf[[#This Row],[Product]]&amp;", "&amp;"Totaal",Database_Productkaarten[#All],15,FALSE))-1,0),0)</f>
        <v>0</v>
      </c>
      <c r="U78" s="352"/>
      <c r="V78" s="352"/>
      <c r="W78" s="353"/>
      <c r="X78" s="353"/>
      <c r="Y78" s="389">
        <f>_xlfn.IFNA(IF(VLOOKUP(Invoer_Inschrijf[[#This Row],[A5 - Overig Materieel tbv Aanleg]],Brandstofmachines_Omrekentabel[],5,FALSE)=0,_xlfn.IFNA(Invoer_Referentie[[#This Row],[A5 - Verbruik overig materieel '[liter - kWh - kg / uur']]]*VLOOKUP(Invoer_Referentie[[#This Row],[A5 - Overig Materieel tbv Aanleg]],Brandstofmachines_Omrekentabel[],8,FALSE)/VLOOKUP(Invoer_Inschrijf[[#This Row],[A5 - Overig Materieel tbv Aanleg]],Brandstofmachines_Omrekentabel[],8,FALSE),0),_xlfn.IFNA(Invoer_Referentie[[#This Row],[A5 - Verbruik overig materieel '[liter - kWh - kg / uur']]]*VLOOKUP(Invoer_Referentie[[#This Row],[A5 - Overig Materieel tbv Aanleg]],Brandstofmachines_Omrekentabel[],8,FALSE)/VLOOKUP(Invoer_Inschrijf[[#This Row],[A5 - Overig Materieel tbv Aanleg]],Brandstofmachines_Omrekentabel[],8,FALSE),0)),0)</f>
        <v>0</v>
      </c>
      <c r="Z78" s="389">
        <f>Invoer_Referentie[[#This Row],[A5 - Capaciteit overig materieel '[Eenheden / uur']]]</f>
        <v>0</v>
      </c>
      <c r="AA78" s="353"/>
      <c r="AB78" s="353"/>
      <c r="AC78" s="389">
        <f>_xlfn.IFNA(IF(VLOOKUP(Invoer_Inschrijf[[#This Row],[C1 - Overig Materieel tbv Verwijderen]],Brandstofmachines_Omrekentabel[],5,FALSE)=0,_xlfn.IFNA(Invoer_Referentie[[#This Row],[C1 - Verbruik overige materieel '[liter - kWh - kg / uur']]]*VLOOKUP(Invoer_Referentie[[#This Row],[C1 - Overig Materieel tbv Verwijderen]],Brandstofmachines_Omrekentabel[],8,FALSE)/VLOOKUP(Invoer_Inschrijf[[#This Row],[C1 - Overig Materieel tbv Verwijderen]],Brandstofmachines_Omrekentabel[],8,FALSE),0),_xlfn.IFNA(Invoer_Referentie[[#This Row],[C1 - Verbruik overige materieel '[liter - kWh - kg / uur']]]*VLOOKUP(Invoer_Referentie[[#This Row],[C1 - Overig Materieel tbv Verwijderen]],Brandstofmachines_Omrekentabel[],8,FALSE)/VLOOKUP(Invoer_Inschrijf[[#This Row],[C1 - Overig Materieel tbv Verwijderen]],Brandstofmachines_Omrekentabel[],8,FALSE),0)),0)</f>
        <v>0</v>
      </c>
      <c r="AD78" s="389">
        <f>Invoer_Referentie[[#This Row],[C1 - Capaciteit overig materieel '[Eenheden / uur']]]</f>
        <v>0</v>
      </c>
      <c r="AE78" s="353"/>
      <c r="AF78" s="352"/>
      <c r="AG78" s="353"/>
      <c r="AH78" s="235"/>
      <c r="BK78" s="224"/>
      <c r="BL78" s="224"/>
      <c r="BM78" s="224"/>
    </row>
    <row r="79" spans="2:65" hidden="1">
      <c r="B79" s="320"/>
      <c r="C79" s="235"/>
      <c r="D79" s="253"/>
      <c r="E79" s="1"/>
      <c r="F79" s="347"/>
      <c r="G79" s="399">
        <f>_xlfn.IFNA(IF(Invoer_Inschrijf[[#This Row],[Productgroep]]="Categorie_1_LCA_Producten",1,(VLOOKUP(Invoer_Inschrijf[[#This Row],[Product]],Database_Productkaarten[[Product]:[Comment]],64,FALSE))),0)</f>
        <v>0</v>
      </c>
      <c r="H79" s="320">
        <f>_xlfn.IFNA(IF(Invoer_Inschrijf[[#This Row],[Productgroep]]="Categorie_1_LCA_Producten",VLOOKUP(Invoer_Inschrijf[[#This Row],[Product]],Categorie_1_Producten[],2,FALSE),VLOOKUP(Invoer_Inschrijf[[#This Row],[Product]],Database_Productkaarten[[Product]:[Category]],60,FALSE)),0)</f>
        <v>0</v>
      </c>
      <c r="I79" s="260" t="e">
        <f>_xlfn.IFNA(VLOOKUP(Invoer_Inschrijf[[#This Row],[Product]],Database_Productkaarten[[Product]:[Producttype]],3,FALSE),VLOOKUP(Invoer_Inschrijf[[#This Row],[Product]],Categorie_1_Producten[#All],3,FALSE))</f>
        <v>#N/A</v>
      </c>
      <c r="J79" s="238"/>
      <c r="K79" s="320">
        <f>_xlfn.IFNA(IF(Invoer_Inschrijf[[#This Row],[Productgroep]]="Categorie_1_LCA_Producten",VLOOKUP(Invoer_Inschrijf[[#This Row],[Product]],Categorie_1_Producten[],4,FALSE),VLOOKUP(Invoer_Inschrijf[[#This Row],[Product]],Database_Productkaarten[[Product]:[Eenheid]],4,FALSE)),0)</f>
        <v>0</v>
      </c>
      <c r="L79" s="320"/>
      <c r="M79" s="320"/>
      <c r="N79" s="260"/>
      <c r="O79" s="237">
        <f>Invoer_Inschrijf[[#This Row],[Lengte'[m']]]*Invoer_Inschrijf[[#This Row],[Breedte '[m']]]</f>
        <v>0</v>
      </c>
      <c r="P79" s="235">
        <f>IFERROR(IF(Invoer_Inschrijf[[#This Row],[Oppervlakte '[m2']]]*Invoer_Inschrijf[[#This Row],[Dikte '[m']]]=0,Invoer_Inschrijf[[#This Row],[Gewicht '[ton']]]/Invoer_Inschrijf[[#This Row],[Soortelijk gewicht '[ton / m3']]],Invoer_Inschrijf[[#This Row],[Oppervlakte '[m2']]]*Invoer_Inschrijf[[#This Row],[Dikte '[m']]]),0)</f>
        <v>0</v>
      </c>
      <c r="Q79" s="236">
        <f>_xlfn.IFNA(IF(Invoer_Inschrijf[[#This Row],[Productgroep]]="Categorie_1_LCA_Producten",VLOOKUP(F79,Categorie_1_Producten[#All],5,FALSE),VLOOKUP(F79&amp;", "&amp;"Totaal",Database_Productkaarten[#All],12,FALSE)),0)</f>
        <v>0</v>
      </c>
      <c r="R79" s="235">
        <f>_xlfn.IFNA(IF(Invoer_Inschrijf[[#This Row],[Productgroep]]="Categorie_1_LCA_Producten",VLOOKUP(Invoer_Inschrijf[[#This Row],[Product]],Categorie_1_Producten[],5,FALSE)*Invoer_Inschrijf[[#This Row],[Aantal Eenheden]],(VLOOKUP(Invoer_Inschrijf[[#This Row],[Product]],Database_Productkaarten[[Product]:[Gewicht '[ton'] / Eenheid]],12,FALSE)*Invoer_Inschrijf[[#This Row],[Aantal Eenheden]])),0)</f>
        <v>0</v>
      </c>
      <c r="S79" s="237"/>
      <c r="T79" s="238">
        <f>MAX(IFERROR($E$2/IF(Invoer_Inschrijf[[#This Row],[Productgroep]]="Categorie_1_LCA_Producten",VLOOKUP(Invoer_Inschrijf[[#This Row],[Product]],Categorie_1_Producten[#All],7,FALSE),VLOOKUP(Invoer_Inschrijf[[#This Row],[Product]]&amp;", "&amp;"Totaal",Database_Productkaarten[#All],15,FALSE))-1,0),0)</f>
        <v>0</v>
      </c>
      <c r="U79" s="352"/>
      <c r="V79" s="352"/>
      <c r="W79" s="353"/>
      <c r="X79" s="353"/>
      <c r="Y79" s="389">
        <f>_xlfn.IFNA(IF(VLOOKUP(Invoer_Inschrijf[[#This Row],[A5 - Overig Materieel tbv Aanleg]],Brandstofmachines_Omrekentabel[],5,FALSE)=0,_xlfn.IFNA(Invoer_Referentie[[#This Row],[A5 - Verbruik overig materieel '[liter - kWh - kg / uur']]]*VLOOKUP(Invoer_Referentie[[#This Row],[A5 - Overig Materieel tbv Aanleg]],Brandstofmachines_Omrekentabel[],8,FALSE)/VLOOKUP(Invoer_Inschrijf[[#This Row],[A5 - Overig Materieel tbv Aanleg]],Brandstofmachines_Omrekentabel[],8,FALSE),0),_xlfn.IFNA(Invoer_Referentie[[#This Row],[A5 - Verbruik overig materieel '[liter - kWh - kg / uur']]]*VLOOKUP(Invoer_Referentie[[#This Row],[A5 - Overig Materieel tbv Aanleg]],Brandstofmachines_Omrekentabel[],8,FALSE)/VLOOKUP(Invoer_Inschrijf[[#This Row],[A5 - Overig Materieel tbv Aanleg]],Brandstofmachines_Omrekentabel[],8,FALSE),0)),0)</f>
        <v>0</v>
      </c>
      <c r="Z79" s="389">
        <f>Invoer_Referentie[[#This Row],[A5 - Capaciteit overig materieel '[Eenheden / uur']]]</f>
        <v>0</v>
      </c>
      <c r="AA79" s="353"/>
      <c r="AB79" s="353"/>
      <c r="AC79" s="389">
        <f>_xlfn.IFNA(IF(VLOOKUP(Invoer_Inschrijf[[#This Row],[C1 - Overig Materieel tbv Verwijderen]],Brandstofmachines_Omrekentabel[],5,FALSE)=0,_xlfn.IFNA(Invoer_Referentie[[#This Row],[C1 - Verbruik overige materieel '[liter - kWh - kg / uur']]]*VLOOKUP(Invoer_Referentie[[#This Row],[C1 - Overig Materieel tbv Verwijderen]],Brandstofmachines_Omrekentabel[],8,FALSE)/VLOOKUP(Invoer_Inschrijf[[#This Row],[C1 - Overig Materieel tbv Verwijderen]],Brandstofmachines_Omrekentabel[],8,FALSE),0),_xlfn.IFNA(Invoer_Referentie[[#This Row],[C1 - Verbruik overige materieel '[liter - kWh - kg / uur']]]*VLOOKUP(Invoer_Referentie[[#This Row],[C1 - Overig Materieel tbv Verwijderen]],Brandstofmachines_Omrekentabel[],8,FALSE)/VLOOKUP(Invoer_Inschrijf[[#This Row],[C1 - Overig Materieel tbv Verwijderen]],Brandstofmachines_Omrekentabel[],8,FALSE),0)),0)</f>
        <v>0</v>
      </c>
      <c r="AD79" s="389">
        <f>Invoer_Referentie[[#This Row],[C1 - Capaciteit overig materieel '[Eenheden / uur']]]</f>
        <v>0</v>
      </c>
      <c r="AE79" s="353"/>
      <c r="AF79" s="352"/>
      <c r="AG79" s="353"/>
      <c r="AH79" s="235"/>
      <c r="BK79" s="224"/>
      <c r="BL79" s="224"/>
      <c r="BM79" s="224"/>
    </row>
    <row r="80" spans="2:65" hidden="1">
      <c r="B80" s="320"/>
      <c r="C80" s="235"/>
      <c r="D80" s="253"/>
      <c r="E80" s="1"/>
      <c r="F80" s="347"/>
      <c r="G80" s="399">
        <f>_xlfn.IFNA(IF(Invoer_Inschrijf[[#This Row],[Productgroep]]="Categorie_1_LCA_Producten",1,(VLOOKUP(Invoer_Inschrijf[[#This Row],[Product]],Database_Productkaarten[[Product]:[Comment]],64,FALSE))),0)</f>
        <v>0</v>
      </c>
      <c r="H80" s="320">
        <f>_xlfn.IFNA(IF(Invoer_Inschrijf[[#This Row],[Productgroep]]="Categorie_1_LCA_Producten",VLOOKUP(Invoer_Inschrijf[[#This Row],[Product]],Categorie_1_Producten[],2,FALSE),VLOOKUP(Invoer_Inschrijf[[#This Row],[Product]],Database_Productkaarten[[Product]:[Category]],60,FALSE)),0)</f>
        <v>0</v>
      </c>
      <c r="I80" s="260" t="e">
        <f>_xlfn.IFNA(VLOOKUP(Invoer_Inschrijf[[#This Row],[Product]],Database_Productkaarten[[Product]:[Producttype]],3,FALSE),VLOOKUP(Invoer_Inschrijf[[#This Row],[Product]],Categorie_1_Producten[#All],3,FALSE))</f>
        <v>#N/A</v>
      </c>
      <c r="J80" s="238"/>
      <c r="K80" s="320">
        <f>_xlfn.IFNA(IF(Invoer_Inschrijf[[#This Row],[Productgroep]]="Categorie_1_LCA_Producten",VLOOKUP(Invoer_Inschrijf[[#This Row],[Product]],Categorie_1_Producten[],4,FALSE),VLOOKUP(Invoer_Inschrijf[[#This Row],[Product]],Database_Productkaarten[[Product]:[Eenheid]],4,FALSE)),0)</f>
        <v>0</v>
      </c>
      <c r="L80" s="320"/>
      <c r="M80" s="320"/>
      <c r="N80" s="260"/>
      <c r="O80" s="237">
        <f>Invoer_Inschrijf[[#This Row],[Lengte'[m']]]*Invoer_Inschrijf[[#This Row],[Breedte '[m']]]</f>
        <v>0</v>
      </c>
      <c r="P80" s="235">
        <f>IFERROR(IF(Invoer_Inschrijf[[#This Row],[Oppervlakte '[m2']]]*Invoer_Inschrijf[[#This Row],[Dikte '[m']]]=0,Invoer_Inschrijf[[#This Row],[Gewicht '[ton']]]/Invoer_Inschrijf[[#This Row],[Soortelijk gewicht '[ton / m3']]],Invoer_Inschrijf[[#This Row],[Oppervlakte '[m2']]]*Invoer_Inschrijf[[#This Row],[Dikte '[m']]]),0)</f>
        <v>0</v>
      </c>
      <c r="Q80" s="236">
        <f>_xlfn.IFNA(IF(Invoer_Inschrijf[[#This Row],[Productgroep]]="Categorie_1_LCA_Producten",VLOOKUP(F80,Categorie_1_Producten[#All],5,FALSE),VLOOKUP(F80&amp;", "&amp;"Totaal",Database_Productkaarten[#All],12,FALSE)),0)</f>
        <v>0</v>
      </c>
      <c r="R80" s="235">
        <f>_xlfn.IFNA(IF(Invoer_Inschrijf[[#This Row],[Productgroep]]="Categorie_1_LCA_Producten",VLOOKUP(Invoer_Inschrijf[[#This Row],[Product]],Categorie_1_Producten[],5,FALSE)*Invoer_Inschrijf[[#This Row],[Aantal Eenheden]],(VLOOKUP(Invoer_Inschrijf[[#This Row],[Product]],Database_Productkaarten[[Product]:[Gewicht '[ton'] / Eenheid]],12,FALSE)*Invoer_Inschrijf[[#This Row],[Aantal Eenheden]])),0)</f>
        <v>0</v>
      </c>
      <c r="S80" s="237"/>
      <c r="T80" s="238">
        <f>MAX(IFERROR($E$2/IF(Invoer_Inschrijf[[#This Row],[Productgroep]]="Categorie_1_LCA_Producten",VLOOKUP(Invoer_Inschrijf[[#This Row],[Product]],Categorie_1_Producten[#All],7,FALSE),VLOOKUP(Invoer_Inschrijf[[#This Row],[Product]]&amp;", "&amp;"Totaal",Database_Productkaarten[#All],15,FALSE))-1,0),0)</f>
        <v>0</v>
      </c>
      <c r="U80" s="352"/>
      <c r="V80" s="352"/>
      <c r="W80" s="353"/>
      <c r="X80" s="353"/>
      <c r="Y80" s="389">
        <f>_xlfn.IFNA(IF(VLOOKUP(Invoer_Inschrijf[[#This Row],[A5 - Overig Materieel tbv Aanleg]],Brandstofmachines_Omrekentabel[],5,FALSE)=0,_xlfn.IFNA(Invoer_Referentie[[#This Row],[A5 - Verbruik overig materieel '[liter - kWh - kg / uur']]]*VLOOKUP(Invoer_Referentie[[#This Row],[A5 - Overig Materieel tbv Aanleg]],Brandstofmachines_Omrekentabel[],8,FALSE)/VLOOKUP(Invoer_Inschrijf[[#This Row],[A5 - Overig Materieel tbv Aanleg]],Brandstofmachines_Omrekentabel[],8,FALSE),0),_xlfn.IFNA(Invoer_Referentie[[#This Row],[A5 - Verbruik overig materieel '[liter - kWh - kg / uur']]]*VLOOKUP(Invoer_Referentie[[#This Row],[A5 - Overig Materieel tbv Aanleg]],Brandstofmachines_Omrekentabel[],8,FALSE)/VLOOKUP(Invoer_Inschrijf[[#This Row],[A5 - Overig Materieel tbv Aanleg]],Brandstofmachines_Omrekentabel[],8,FALSE),0)),0)</f>
        <v>0</v>
      </c>
      <c r="Z80" s="389">
        <f>Invoer_Referentie[[#This Row],[A5 - Capaciteit overig materieel '[Eenheden / uur']]]</f>
        <v>0</v>
      </c>
      <c r="AA80" s="353"/>
      <c r="AB80" s="353"/>
      <c r="AC80" s="389">
        <f>_xlfn.IFNA(IF(VLOOKUP(Invoer_Inschrijf[[#This Row],[C1 - Overig Materieel tbv Verwijderen]],Brandstofmachines_Omrekentabel[],5,FALSE)=0,_xlfn.IFNA(Invoer_Referentie[[#This Row],[C1 - Verbruik overige materieel '[liter - kWh - kg / uur']]]*VLOOKUP(Invoer_Referentie[[#This Row],[C1 - Overig Materieel tbv Verwijderen]],Brandstofmachines_Omrekentabel[],8,FALSE)/VLOOKUP(Invoer_Inschrijf[[#This Row],[C1 - Overig Materieel tbv Verwijderen]],Brandstofmachines_Omrekentabel[],8,FALSE),0),_xlfn.IFNA(Invoer_Referentie[[#This Row],[C1 - Verbruik overige materieel '[liter - kWh - kg / uur']]]*VLOOKUP(Invoer_Referentie[[#This Row],[C1 - Overig Materieel tbv Verwijderen]],Brandstofmachines_Omrekentabel[],8,FALSE)/VLOOKUP(Invoer_Inschrijf[[#This Row],[C1 - Overig Materieel tbv Verwijderen]],Brandstofmachines_Omrekentabel[],8,FALSE),0)),0)</f>
        <v>0</v>
      </c>
      <c r="AD80" s="389">
        <f>Invoer_Referentie[[#This Row],[C1 - Capaciteit overig materieel '[Eenheden / uur']]]</f>
        <v>0</v>
      </c>
      <c r="AE80" s="353"/>
      <c r="AF80" s="352"/>
      <c r="AG80" s="353"/>
      <c r="AH80" s="235"/>
      <c r="BK80" s="224"/>
      <c r="BL80" s="224"/>
      <c r="BM80" s="224"/>
    </row>
    <row r="81" spans="2:65" hidden="1">
      <c r="B81" s="320"/>
      <c r="C81" s="235"/>
      <c r="D81" s="253"/>
      <c r="E81" s="1"/>
      <c r="F81" s="347"/>
      <c r="G81" s="399">
        <f>_xlfn.IFNA(IF(Invoer_Inschrijf[[#This Row],[Productgroep]]="Categorie_1_LCA_Producten",1,(VLOOKUP(Invoer_Inschrijf[[#This Row],[Product]],Database_Productkaarten[[Product]:[Comment]],64,FALSE))),0)</f>
        <v>0</v>
      </c>
      <c r="H81" s="320">
        <f>_xlfn.IFNA(IF(Invoer_Inschrijf[[#This Row],[Productgroep]]="Categorie_1_LCA_Producten",VLOOKUP(Invoer_Inschrijf[[#This Row],[Product]],Categorie_1_Producten[],2,FALSE),VLOOKUP(Invoer_Inschrijf[[#This Row],[Product]],Database_Productkaarten[[Product]:[Category]],60,FALSE)),0)</f>
        <v>0</v>
      </c>
      <c r="I81" s="260" t="e">
        <f>_xlfn.IFNA(VLOOKUP(Invoer_Inschrijf[[#This Row],[Product]],Database_Productkaarten[[Product]:[Producttype]],3,FALSE),VLOOKUP(Invoer_Inschrijf[[#This Row],[Product]],Categorie_1_Producten[#All],3,FALSE))</f>
        <v>#N/A</v>
      </c>
      <c r="J81" s="238"/>
      <c r="K81" s="320">
        <f>_xlfn.IFNA(IF(Invoer_Inschrijf[[#This Row],[Productgroep]]="Categorie_1_LCA_Producten",VLOOKUP(Invoer_Inschrijf[[#This Row],[Product]],Categorie_1_Producten[],4,FALSE),VLOOKUP(Invoer_Inschrijf[[#This Row],[Product]],Database_Productkaarten[[Product]:[Eenheid]],4,FALSE)),0)</f>
        <v>0</v>
      </c>
      <c r="L81" s="320"/>
      <c r="M81" s="320"/>
      <c r="N81" s="260"/>
      <c r="O81" s="237">
        <f>Invoer_Inschrijf[[#This Row],[Lengte'[m']]]*Invoer_Inschrijf[[#This Row],[Breedte '[m']]]</f>
        <v>0</v>
      </c>
      <c r="P81" s="235">
        <f>IFERROR(IF(Invoer_Inschrijf[[#This Row],[Oppervlakte '[m2']]]*Invoer_Inschrijf[[#This Row],[Dikte '[m']]]=0,Invoer_Inschrijf[[#This Row],[Gewicht '[ton']]]/Invoer_Inschrijf[[#This Row],[Soortelijk gewicht '[ton / m3']]],Invoer_Inschrijf[[#This Row],[Oppervlakte '[m2']]]*Invoer_Inschrijf[[#This Row],[Dikte '[m']]]),0)</f>
        <v>0</v>
      </c>
      <c r="Q81" s="236">
        <f>_xlfn.IFNA(IF(Invoer_Inschrijf[[#This Row],[Productgroep]]="Categorie_1_LCA_Producten",VLOOKUP(F81,Categorie_1_Producten[#All],5,FALSE),VLOOKUP(F81&amp;", "&amp;"Totaal",Database_Productkaarten[#All],12,FALSE)),0)</f>
        <v>0</v>
      </c>
      <c r="R81" s="235">
        <f>_xlfn.IFNA(IF(Invoer_Inschrijf[[#This Row],[Productgroep]]="Categorie_1_LCA_Producten",VLOOKUP(Invoer_Inschrijf[[#This Row],[Product]],Categorie_1_Producten[],5,FALSE)*Invoer_Inschrijf[[#This Row],[Aantal Eenheden]],(VLOOKUP(Invoer_Inschrijf[[#This Row],[Product]],Database_Productkaarten[[Product]:[Gewicht '[ton'] / Eenheid]],12,FALSE)*Invoer_Inschrijf[[#This Row],[Aantal Eenheden]])),0)</f>
        <v>0</v>
      </c>
      <c r="S81" s="237"/>
      <c r="T81" s="238">
        <f>MAX(IFERROR($E$2/IF(Invoer_Inschrijf[[#This Row],[Productgroep]]="Categorie_1_LCA_Producten",VLOOKUP(Invoer_Inschrijf[[#This Row],[Product]],Categorie_1_Producten[#All],7,FALSE),VLOOKUP(Invoer_Inschrijf[[#This Row],[Product]]&amp;", "&amp;"Totaal",Database_Productkaarten[#All],15,FALSE))-1,0),0)</f>
        <v>0</v>
      </c>
      <c r="U81" s="352"/>
      <c r="V81" s="352"/>
      <c r="W81" s="353"/>
      <c r="X81" s="353"/>
      <c r="Y81" s="389">
        <f>_xlfn.IFNA(IF(VLOOKUP(Invoer_Inschrijf[[#This Row],[A5 - Overig Materieel tbv Aanleg]],Brandstofmachines_Omrekentabel[],5,FALSE)=0,_xlfn.IFNA(Invoer_Referentie[[#This Row],[A5 - Verbruik overig materieel '[liter - kWh - kg / uur']]]*VLOOKUP(Invoer_Referentie[[#This Row],[A5 - Overig Materieel tbv Aanleg]],Brandstofmachines_Omrekentabel[],8,FALSE)/VLOOKUP(Invoer_Inschrijf[[#This Row],[A5 - Overig Materieel tbv Aanleg]],Brandstofmachines_Omrekentabel[],8,FALSE),0),_xlfn.IFNA(Invoer_Referentie[[#This Row],[A5 - Verbruik overig materieel '[liter - kWh - kg / uur']]]*VLOOKUP(Invoer_Referentie[[#This Row],[A5 - Overig Materieel tbv Aanleg]],Brandstofmachines_Omrekentabel[],8,FALSE)/VLOOKUP(Invoer_Inschrijf[[#This Row],[A5 - Overig Materieel tbv Aanleg]],Brandstofmachines_Omrekentabel[],8,FALSE),0)),0)</f>
        <v>0</v>
      </c>
      <c r="Z81" s="389">
        <f>Invoer_Referentie[[#This Row],[A5 - Capaciteit overig materieel '[Eenheden / uur']]]</f>
        <v>0</v>
      </c>
      <c r="AA81" s="353"/>
      <c r="AB81" s="353"/>
      <c r="AC81" s="389">
        <f>_xlfn.IFNA(IF(VLOOKUP(Invoer_Inschrijf[[#This Row],[C1 - Overig Materieel tbv Verwijderen]],Brandstofmachines_Omrekentabel[],5,FALSE)=0,_xlfn.IFNA(Invoer_Referentie[[#This Row],[C1 - Verbruik overige materieel '[liter - kWh - kg / uur']]]*VLOOKUP(Invoer_Referentie[[#This Row],[C1 - Overig Materieel tbv Verwijderen]],Brandstofmachines_Omrekentabel[],8,FALSE)/VLOOKUP(Invoer_Inschrijf[[#This Row],[C1 - Overig Materieel tbv Verwijderen]],Brandstofmachines_Omrekentabel[],8,FALSE),0),_xlfn.IFNA(Invoer_Referentie[[#This Row],[C1 - Verbruik overige materieel '[liter - kWh - kg / uur']]]*VLOOKUP(Invoer_Referentie[[#This Row],[C1 - Overig Materieel tbv Verwijderen]],Brandstofmachines_Omrekentabel[],8,FALSE)/VLOOKUP(Invoer_Inschrijf[[#This Row],[C1 - Overig Materieel tbv Verwijderen]],Brandstofmachines_Omrekentabel[],8,FALSE),0)),0)</f>
        <v>0</v>
      </c>
      <c r="AD81" s="389">
        <f>Invoer_Referentie[[#This Row],[C1 - Capaciteit overig materieel '[Eenheden / uur']]]</f>
        <v>0</v>
      </c>
      <c r="AE81" s="353"/>
      <c r="AF81" s="352"/>
      <c r="AG81" s="353"/>
      <c r="AH81" s="235"/>
      <c r="BK81" s="224"/>
      <c r="BL81" s="224"/>
      <c r="BM81" s="224"/>
    </row>
    <row r="82" spans="2:65" hidden="1">
      <c r="B82" s="320"/>
      <c r="C82" s="235"/>
      <c r="D82" s="253"/>
      <c r="E82" s="1"/>
      <c r="F82" s="347"/>
      <c r="G82" s="399">
        <f>_xlfn.IFNA(IF(Invoer_Inschrijf[[#This Row],[Productgroep]]="Categorie_1_LCA_Producten",1,(VLOOKUP(Invoer_Inschrijf[[#This Row],[Product]],Database_Productkaarten[[Product]:[Comment]],64,FALSE))),0)</f>
        <v>0</v>
      </c>
      <c r="H82" s="320">
        <f>_xlfn.IFNA(IF(Invoer_Inschrijf[[#This Row],[Productgroep]]="Categorie_1_LCA_Producten",VLOOKUP(Invoer_Inschrijf[[#This Row],[Product]],Categorie_1_Producten[],2,FALSE),VLOOKUP(Invoer_Inschrijf[[#This Row],[Product]],Database_Productkaarten[[Product]:[Category]],60,FALSE)),0)</f>
        <v>0</v>
      </c>
      <c r="I82" s="260" t="e">
        <f>_xlfn.IFNA(VLOOKUP(Invoer_Inschrijf[[#This Row],[Product]],Database_Productkaarten[[Product]:[Producttype]],3,FALSE),VLOOKUP(Invoer_Inschrijf[[#This Row],[Product]],Categorie_1_Producten[#All],3,FALSE))</f>
        <v>#N/A</v>
      </c>
      <c r="J82" s="238"/>
      <c r="K82" s="320">
        <f>_xlfn.IFNA(IF(Invoer_Inschrijf[[#This Row],[Productgroep]]="Categorie_1_LCA_Producten",VLOOKUP(Invoer_Inschrijf[[#This Row],[Product]],Categorie_1_Producten[],4,FALSE),VLOOKUP(Invoer_Inschrijf[[#This Row],[Product]],Database_Productkaarten[[Product]:[Eenheid]],4,FALSE)),0)</f>
        <v>0</v>
      </c>
      <c r="L82" s="320"/>
      <c r="M82" s="320"/>
      <c r="N82" s="260"/>
      <c r="O82" s="237">
        <f>Invoer_Inschrijf[[#This Row],[Lengte'[m']]]*Invoer_Inschrijf[[#This Row],[Breedte '[m']]]</f>
        <v>0</v>
      </c>
      <c r="P82" s="235">
        <f>IFERROR(IF(Invoer_Inschrijf[[#This Row],[Oppervlakte '[m2']]]*Invoer_Inschrijf[[#This Row],[Dikte '[m']]]=0,Invoer_Inschrijf[[#This Row],[Gewicht '[ton']]]/Invoer_Inschrijf[[#This Row],[Soortelijk gewicht '[ton / m3']]],Invoer_Inschrijf[[#This Row],[Oppervlakte '[m2']]]*Invoer_Inschrijf[[#This Row],[Dikte '[m']]]),0)</f>
        <v>0</v>
      </c>
      <c r="Q82" s="236">
        <f>_xlfn.IFNA(IF(Invoer_Inschrijf[[#This Row],[Productgroep]]="Categorie_1_LCA_Producten",VLOOKUP(F82,Categorie_1_Producten[#All],5,FALSE),VLOOKUP(F82&amp;", "&amp;"Totaal",Database_Productkaarten[#All],12,FALSE)),0)</f>
        <v>0</v>
      </c>
      <c r="R82" s="235">
        <f>_xlfn.IFNA(IF(Invoer_Inschrijf[[#This Row],[Productgroep]]="Categorie_1_LCA_Producten",VLOOKUP(Invoer_Inschrijf[[#This Row],[Product]],Categorie_1_Producten[],5,FALSE)*Invoer_Inschrijf[[#This Row],[Aantal Eenheden]],(VLOOKUP(Invoer_Inschrijf[[#This Row],[Product]],Database_Productkaarten[[Product]:[Gewicht '[ton'] / Eenheid]],12,FALSE)*Invoer_Inschrijf[[#This Row],[Aantal Eenheden]])),0)</f>
        <v>0</v>
      </c>
      <c r="S82" s="237"/>
      <c r="T82" s="238">
        <f>MAX(IFERROR($E$2/IF(Invoer_Inschrijf[[#This Row],[Productgroep]]="Categorie_1_LCA_Producten",VLOOKUP(Invoer_Inschrijf[[#This Row],[Product]],Categorie_1_Producten[#All],7,FALSE),VLOOKUP(Invoer_Inschrijf[[#This Row],[Product]]&amp;", "&amp;"Totaal",Database_Productkaarten[#All],15,FALSE))-1,0),0)</f>
        <v>0</v>
      </c>
      <c r="U82" s="352"/>
      <c r="V82" s="352"/>
      <c r="W82" s="353"/>
      <c r="X82" s="353"/>
      <c r="Y82" s="389">
        <f>_xlfn.IFNA(IF(VLOOKUP(Invoer_Inschrijf[[#This Row],[A5 - Overig Materieel tbv Aanleg]],Brandstofmachines_Omrekentabel[],5,FALSE)=0,_xlfn.IFNA(Invoer_Referentie[[#This Row],[A5 - Verbruik overig materieel '[liter - kWh - kg / uur']]]*VLOOKUP(Invoer_Referentie[[#This Row],[A5 - Overig Materieel tbv Aanleg]],Brandstofmachines_Omrekentabel[],8,FALSE)/VLOOKUP(Invoer_Inschrijf[[#This Row],[A5 - Overig Materieel tbv Aanleg]],Brandstofmachines_Omrekentabel[],8,FALSE),0),_xlfn.IFNA(Invoer_Referentie[[#This Row],[A5 - Verbruik overig materieel '[liter - kWh - kg / uur']]]*VLOOKUP(Invoer_Referentie[[#This Row],[A5 - Overig Materieel tbv Aanleg]],Brandstofmachines_Omrekentabel[],8,FALSE)/VLOOKUP(Invoer_Inschrijf[[#This Row],[A5 - Overig Materieel tbv Aanleg]],Brandstofmachines_Omrekentabel[],8,FALSE),0)),0)</f>
        <v>0</v>
      </c>
      <c r="Z82" s="389">
        <f>Invoer_Referentie[[#This Row],[A5 - Capaciteit overig materieel '[Eenheden / uur']]]</f>
        <v>0</v>
      </c>
      <c r="AA82" s="353"/>
      <c r="AB82" s="353"/>
      <c r="AC82" s="389">
        <f>_xlfn.IFNA(IF(VLOOKUP(Invoer_Inschrijf[[#This Row],[C1 - Overig Materieel tbv Verwijderen]],Brandstofmachines_Omrekentabel[],5,FALSE)=0,_xlfn.IFNA(Invoer_Referentie[[#This Row],[C1 - Verbruik overige materieel '[liter - kWh - kg / uur']]]*VLOOKUP(Invoer_Referentie[[#This Row],[C1 - Overig Materieel tbv Verwijderen]],Brandstofmachines_Omrekentabel[],8,FALSE)/VLOOKUP(Invoer_Inschrijf[[#This Row],[C1 - Overig Materieel tbv Verwijderen]],Brandstofmachines_Omrekentabel[],8,FALSE),0),_xlfn.IFNA(Invoer_Referentie[[#This Row],[C1 - Verbruik overige materieel '[liter - kWh - kg / uur']]]*VLOOKUP(Invoer_Referentie[[#This Row],[C1 - Overig Materieel tbv Verwijderen]],Brandstofmachines_Omrekentabel[],8,FALSE)/VLOOKUP(Invoer_Inschrijf[[#This Row],[C1 - Overig Materieel tbv Verwijderen]],Brandstofmachines_Omrekentabel[],8,FALSE),0)),0)</f>
        <v>0</v>
      </c>
      <c r="AD82" s="389">
        <f>Invoer_Referentie[[#This Row],[C1 - Capaciteit overig materieel '[Eenheden / uur']]]</f>
        <v>0</v>
      </c>
      <c r="AE82" s="353"/>
      <c r="AF82" s="352"/>
      <c r="AG82" s="353"/>
      <c r="AH82" s="235"/>
      <c r="BK82" s="224"/>
      <c r="BL82" s="224"/>
      <c r="BM82" s="224"/>
    </row>
    <row r="83" spans="2:65" hidden="1">
      <c r="B83" s="320"/>
      <c r="C83" s="235"/>
      <c r="D83" s="253"/>
      <c r="E83" s="1"/>
      <c r="F83" s="347"/>
      <c r="G83" s="399">
        <f>_xlfn.IFNA(IF(Invoer_Inschrijf[[#This Row],[Productgroep]]="Categorie_1_LCA_Producten",1,(VLOOKUP(Invoer_Inschrijf[[#This Row],[Product]],Database_Productkaarten[[Product]:[Comment]],64,FALSE))),0)</f>
        <v>0</v>
      </c>
      <c r="H83" s="320">
        <f>_xlfn.IFNA(IF(Invoer_Inschrijf[[#This Row],[Productgroep]]="Categorie_1_LCA_Producten",VLOOKUP(Invoer_Inschrijf[[#This Row],[Product]],Categorie_1_Producten[],2,FALSE),VLOOKUP(Invoer_Inschrijf[[#This Row],[Product]],Database_Productkaarten[[Product]:[Category]],60,FALSE)),0)</f>
        <v>0</v>
      </c>
      <c r="I83" s="260" t="e">
        <f>_xlfn.IFNA(VLOOKUP(Invoer_Inschrijf[[#This Row],[Product]],Database_Productkaarten[[Product]:[Producttype]],3,FALSE),VLOOKUP(Invoer_Inschrijf[[#This Row],[Product]],Categorie_1_Producten[#All],3,FALSE))</f>
        <v>#N/A</v>
      </c>
      <c r="J83" s="238"/>
      <c r="K83" s="320">
        <f>_xlfn.IFNA(IF(Invoer_Inschrijf[[#This Row],[Productgroep]]="Categorie_1_LCA_Producten",VLOOKUP(Invoer_Inschrijf[[#This Row],[Product]],Categorie_1_Producten[],4,FALSE),VLOOKUP(Invoer_Inschrijf[[#This Row],[Product]],Database_Productkaarten[[Product]:[Eenheid]],4,FALSE)),0)</f>
        <v>0</v>
      </c>
      <c r="L83" s="320"/>
      <c r="M83" s="320"/>
      <c r="N83" s="260"/>
      <c r="O83" s="237">
        <f>Invoer_Inschrijf[[#This Row],[Lengte'[m']]]*Invoer_Inschrijf[[#This Row],[Breedte '[m']]]</f>
        <v>0</v>
      </c>
      <c r="P83" s="235">
        <f>IFERROR(IF(Invoer_Inschrijf[[#This Row],[Oppervlakte '[m2']]]*Invoer_Inschrijf[[#This Row],[Dikte '[m']]]=0,Invoer_Inschrijf[[#This Row],[Gewicht '[ton']]]/Invoer_Inschrijf[[#This Row],[Soortelijk gewicht '[ton / m3']]],Invoer_Inschrijf[[#This Row],[Oppervlakte '[m2']]]*Invoer_Inschrijf[[#This Row],[Dikte '[m']]]),0)</f>
        <v>0</v>
      </c>
      <c r="Q83" s="236">
        <f>_xlfn.IFNA(IF(Invoer_Inschrijf[[#This Row],[Productgroep]]="Categorie_1_LCA_Producten",VLOOKUP(F83,Categorie_1_Producten[#All],5,FALSE),VLOOKUP(F83&amp;", "&amp;"Totaal",Database_Productkaarten[#All],12,FALSE)),0)</f>
        <v>0</v>
      </c>
      <c r="R83" s="235">
        <f>_xlfn.IFNA(IF(Invoer_Inschrijf[[#This Row],[Productgroep]]="Categorie_1_LCA_Producten",VLOOKUP(Invoer_Inschrijf[[#This Row],[Product]],Categorie_1_Producten[],5,FALSE)*Invoer_Inschrijf[[#This Row],[Aantal Eenheden]],(VLOOKUP(Invoer_Inschrijf[[#This Row],[Product]],Database_Productkaarten[[Product]:[Gewicht '[ton'] / Eenheid]],12,FALSE)*Invoer_Inschrijf[[#This Row],[Aantal Eenheden]])),0)</f>
        <v>0</v>
      </c>
      <c r="S83" s="237"/>
      <c r="T83" s="238">
        <f>MAX(IFERROR($E$2/IF(Invoer_Inschrijf[[#This Row],[Productgroep]]="Categorie_1_LCA_Producten",VLOOKUP(Invoer_Inschrijf[[#This Row],[Product]],Categorie_1_Producten[#All],7,FALSE),VLOOKUP(Invoer_Inschrijf[[#This Row],[Product]]&amp;", "&amp;"Totaal",Database_Productkaarten[#All],15,FALSE))-1,0),0)</f>
        <v>0</v>
      </c>
      <c r="U83" s="352"/>
      <c r="V83" s="352"/>
      <c r="W83" s="353"/>
      <c r="X83" s="353"/>
      <c r="Y83" s="389">
        <f>_xlfn.IFNA(IF(VLOOKUP(Invoer_Inschrijf[[#This Row],[A5 - Overig Materieel tbv Aanleg]],Brandstofmachines_Omrekentabel[],5,FALSE)=0,_xlfn.IFNA(Invoer_Referentie[[#This Row],[A5 - Verbruik overig materieel '[liter - kWh - kg / uur']]]*VLOOKUP(Invoer_Referentie[[#This Row],[A5 - Overig Materieel tbv Aanleg]],Brandstofmachines_Omrekentabel[],8,FALSE)/VLOOKUP(Invoer_Inschrijf[[#This Row],[A5 - Overig Materieel tbv Aanleg]],Brandstofmachines_Omrekentabel[],8,FALSE),0),_xlfn.IFNA(Invoer_Referentie[[#This Row],[A5 - Verbruik overig materieel '[liter - kWh - kg / uur']]]*VLOOKUP(Invoer_Referentie[[#This Row],[A5 - Overig Materieel tbv Aanleg]],Brandstofmachines_Omrekentabel[],8,FALSE)/VLOOKUP(Invoer_Inschrijf[[#This Row],[A5 - Overig Materieel tbv Aanleg]],Brandstofmachines_Omrekentabel[],8,FALSE),0)),0)</f>
        <v>0</v>
      </c>
      <c r="Z83" s="389">
        <f>Invoer_Referentie[[#This Row],[A5 - Capaciteit overig materieel '[Eenheden / uur']]]</f>
        <v>0</v>
      </c>
      <c r="AA83" s="353"/>
      <c r="AB83" s="353"/>
      <c r="AC83" s="389">
        <f>_xlfn.IFNA(IF(VLOOKUP(Invoer_Inschrijf[[#This Row],[C1 - Overig Materieel tbv Verwijderen]],Brandstofmachines_Omrekentabel[],5,FALSE)=0,_xlfn.IFNA(Invoer_Referentie[[#This Row],[C1 - Verbruik overige materieel '[liter - kWh - kg / uur']]]*VLOOKUP(Invoer_Referentie[[#This Row],[C1 - Overig Materieel tbv Verwijderen]],Brandstofmachines_Omrekentabel[],8,FALSE)/VLOOKUP(Invoer_Inschrijf[[#This Row],[C1 - Overig Materieel tbv Verwijderen]],Brandstofmachines_Omrekentabel[],8,FALSE),0),_xlfn.IFNA(Invoer_Referentie[[#This Row],[C1 - Verbruik overige materieel '[liter - kWh - kg / uur']]]*VLOOKUP(Invoer_Referentie[[#This Row],[C1 - Overig Materieel tbv Verwijderen]],Brandstofmachines_Omrekentabel[],8,FALSE)/VLOOKUP(Invoer_Inschrijf[[#This Row],[C1 - Overig Materieel tbv Verwijderen]],Brandstofmachines_Omrekentabel[],8,FALSE),0)),0)</f>
        <v>0</v>
      </c>
      <c r="AD83" s="389">
        <f>Invoer_Referentie[[#This Row],[C1 - Capaciteit overig materieel '[Eenheden / uur']]]</f>
        <v>0</v>
      </c>
      <c r="AE83" s="353"/>
      <c r="AF83" s="352"/>
      <c r="AG83" s="353"/>
      <c r="AH83" s="235"/>
      <c r="BK83" s="224"/>
      <c r="BL83" s="224"/>
      <c r="BM83" s="224"/>
    </row>
    <row r="84" spans="2:65" hidden="1">
      <c r="B84" s="320"/>
      <c r="C84" s="235"/>
      <c r="D84" s="253"/>
      <c r="E84" s="1"/>
      <c r="F84" s="347"/>
      <c r="G84" s="399">
        <f>_xlfn.IFNA(IF(Invoer_Inschrijf[[#This Row],[Productgroep]]="Categorie_1_LCA_Producten",1,(VLOOKUP(Invoer_Inschrijf[[#This Row],[Product]],Database_Productkaarten[[Product]:[Comment]],64,FALSE))),0)</f>
        <v>0</v>
      </c>
      <c r="H84" s="320">
        <f>_xlfn.IFNA(IF(Invoer_Inschrijf[[#This Row],[Productgroep]]="Categorie_1_LCA_Producten",VLOOKUP(Invoer_Inschrijf[[#This Row],[Product]],Categorie_1_Producten[],2,FALSE),VLOOKUP(Invoer_Inschrijf[[#This Row],[Product]],Database_Productkaarten[[Product]:[Category]],60,FALSE)),0)</f>
        <v>0</v>
      </c>
      <c r="I84" s="260" t="e">
        <f>_xlfn.IFNA(VLOOKUP(Invoer_Inschrijf[[#This Row],[Product]],Database_Productkaarten[[Product]:[Producttype]],3,FALSE),VLOOKUP(Invoer_Inschrijf[[#This Row],[Product]],Categorie_1_Producten[#All],3,FALSE))</f>
        <v>#N/A</v>
      </c>
      <c r="J84" s="238"/>
      <c r="K84" s="320">
        <f>_xlfn.IFNA(IF(Invoer_Inschrijf[[#This Row],[Productgroep]]="Categorie_1_LCA_Producten",VLOOKUP(Invoer_Inschrijf[[#This Row],[Product]],Categorie_1_Producten[],4,FALSE),VLOOKUP(Invoer_Inschrijf[[#This Row],[Product]],Database_Productkaarten[[Product]:[Eenheid]],4,FALSE)),0)</f>
        <v>0</v>
      </c>
      <c r="L84" s="320"/>
      <c r="M84" s="320"/>
      <c r="N84" s="260"/>
      <c r="O84" s="237">
        <f>Invoer_Inschrijf[[#This Row],[Lengte'[m']]]*Invoer_Inschrijf[[#This Row],[Breedte '[m']]]</f>
        <v>0</v>
      </c>
      <c r="P84" s="235">
        <f>IFERROR(IF(Invoer_Inschrijf[[#This Row],[Oppervlakte '[m2']]]*Invoer_Inschrijf[[#This Row],[Dikte '[m']]]=0,Invoer_Inschrijf[[#This Row],[Gewicht '[ton']]]/Invoer_Inschrijf[[#This Row],[Soortelijk gewicht '[ton / m3']]],Invoer_Inschrijf[[#This Row],[Oppervlakte '[m2']]]*Invoer_Inschrijf[[#This Row],[Dikte '[m']]]),0)</f>
        <v>0</v>
      </c>
      <c r="Q84" s="236">
        <f>_xlfn.IFNA(IF(Invoer_Inschrijf[[#This Row],[Productgroep]]="Categorie_1_LCA_Producten",VLOOKUP(F84,Categorie_1_Producten[#All],5,FALSE),VLOOKUP(F84&amp;", "&amp;"Totaal",Database_Productkaarten[#All],12,FALSE)),0)</f>
        <v>0</v>
      </c>
      <c r="R84" s="235">
        <f>_xlfn.IFNA(IF(Invoer_Inschrijf[[#This Row],[Productgroep]]="Categorie_1_LCA_Producten",VLOOKUP(Invoer_Inschrijf[[#This Row],[Product]],Categorie_1_Producten[],5,FALSE)*Invoer_Inschrijf[[#This Row],[Aantal Eenheden]],(VLOOKUP(Invoer_Inschrijf[[#This Row],[Product]],Database_Productkaarten[[Product]:[Gewicht '[ton'] / Eenheid]],12,FALSE)*Invoer_Inschrijf[[#This Row],[Aantal Eenheden]])),0)</f>
        <v>0</v>
      </c>
      <c r="S84" s="237"/>
      <c r="T84" s="238">
        <f>MAX(IFERROR($E$2/IF(Invoer_Inschrijf[[#This Row],[Productgroep]]="Categorie_1_LCA_Producten",VLOOKUP(Invoer_Inschrijf[[#This Row],[Product]],Categorie_1_Producten[#All],7,FALSE),VLOOKUP(Invoer_Inschrijf[[#This Row],[Product]]&amp;", "&amp;"Totaal",Database_Productkaarten[#All],15,FALSE))-1,0),0)</f>
        <v>0</v>
      </c>
      <c r="U84" s="352"/>
      <c r="V84" s="352"/>
      <c r="W84" s="353"/>
      <c r="X84" s="353"/>
      <c r="Y84" s="389">
        <f>_xlfn.IFNA(IF(VLOOKUP(Invoer_Inschrijf[[#This Row],[A5 - Overig Materieel tbv Aanleg]],Brandstofmachines_Omrekentabel[],5,FALSE)=0,_xlfn.IFNA(Invoer_Referentie[[#This Row],[A5 - Verbruik overig materieel '[liter - kWh - kg / uur']]]*VLOOKUP(Invoer_Referentie[[#This Row],[A5 - Overig Materieel tbv Aanleg]],Brandstofmachines_Omrekentabel[],8,FALSE)/VLOOKUP(Invoer_Inschrijf[[#This Row],[A5 - Overig Materieel tbv Aanleg]],Brandstofmachines_Omrekentabel[],8,FALSE),0),_xlfn.IFNA(Invoer_Referentie[[#This Row],[A5 - Verbruik overig materieel '[liter - kWh - kg / uur']]]*VLOOKUP(Invoer_Referentie[[#This Row],[A5 - Overig Materieel tbv Aanleg]],Brandstofmachines_Omrekentabel[],8,FALSE)/VLOOKUP(Invoer_Inschrijf[[#This Row],[A5 - Overig Materieel tbv Aanleg]],Brandstofmachines_Omrekentabel[],8,FALSE),0)),0)</f>
        <v>0</v>
      </c>
      <c r="Z84" s="389">
        <f>Invoer_Referentie[[#This Row],[A5 - Capaciteit overig materieel '[Eenheden / uur']]]</f>
        <v>0</v>
      </c>
      <c r="AA84" s="353"/>
      <c r="AB84" s="353"/>
      <c r="AC84" s="389">
        <f>_xlfn.IFNA(IF(VLOOKUP(Invoer_Inschrijf[[#This Row],[C1 - Overig Materieel tbv Verwijderen]],Brandstofmachines_Omrekentabel[],5,FALSE)=0,_xlfn.IFNA(Invoer_Referentie[[#This Row],[C1 - Verbruik overige materieel '[liter - kWh - kg / uur']]]*VLOOKUP(Invoer_Referentie[[#This Row],[C1 - Overig Materieel tbv Verwijderen]],Brandstofmachines_Omrekentabel[],8,FALSE)/VLOOKUP(Invoer_Inschrijf[[#This Row],[C1 - Overig Materieel tbv Verwijderen]],Brandstofmachines_Omrekentabel[],8,FALSE),0),_xlfn.IFNA(Invoer_Referentie[[#This Row],[C1 - Verbruik overige materieel '[liter - kWh - kg / uur']]]*VLOOKUP(Invoer_Referentie[[#This Row],[C1 - Overig Materieel tbv Verwijderen]],Brandstofmachines_Omrekentabel[],8,FALSE)/VLOOKUP(Invoer_Inschrijf[[#This Row],[C1 - Overig Materieel tbv Verwijderen]],Brandstofmachines_Omrekentabel[],8,FALSE),0)),0)</f>
        <v>0</v>
      </c>
      <c r="AD84" s="389">
        <f>Invoer_Referentie[[#This Row],[C1 - Capaciteit overig materieel '[Eenheden / uur']]]</f>
        <v>0</v>
      </c>
      <c r="AE84" s="353"/>
      <c r="AF84" s="352"/>
      <c r="AG84" s="353"/>
      <c r="AH84" s="235"/>
      <c r="BK84" s="224"/>
      <c r="BL84" s="224"/>
      <c r="BM84" s="224"/>
    </row>
    <row r="85" spans="2:65" hidden="1">
      <c r="B85" s="320"/>
      <c r="C85" s="235"/>
      <c r="D85" s="253"/>
      <c r="E85" s="1"/>
      <c r="F85" s="347"/>
      <c r="G85" s="399">
        <f>_xlfn.IFNA(IF(Invoer_Inschrijf[[#This Row],[Productgroep]]="Categorie_1_LCA_Producten",1,(VLOOKUP(Invoer_Inschrijf[[#This Row],[Product]],Database_Productkaarten[[Product]:[Comment]],64,FALSE))),0)</f>
        <v>0</v>
      </c>
      <c r="H85" s="320">
        <f>_xlfn.IFNA(IF(Invoer_Inschrijf[[#This Row],[Productgroep]]="Categorie_1_LCA_Producten",VLOOKUP(Invoer_Inschrijf[[#This Row],[Product]],Categorie_1_Producten[],2,FALSE),VLOOKUP(Invoer_Inschrijf[[#This Row],[Product]],Database_Productkaarten[[Product]:[Category]],60,FALSE)),0)</f>
        <v>0</v>
      </c>
      <c r="I85" s="260" t="e">
        <f>_xlfn.IFNA(VLOOKUP(Invoer_Inschrijf[[#This Row],[Product]],Database_Productkaarten[[Product]:[Producttype]],3,FALSE),VLOOKUP(Invoer_Inschrijf[[#This Row],[Product]],Categorie_1_Producten[#All],3,FALSE))</f>
        <v>#N/A</v>
      </c>
      <c r="J85" s="238"/>
      <c r="K85" s="320">
        <f>_xlfn.IFNA(IF(Invoer_Inschrijf[[#This Row],[Productgroep]]="Categorie_1_LCA_Producten",VLOOKUP(Invoer_Inschrijf[[#This Row],[Product]],Categorie_1_Producten[],4,FALSE),VLOOKUP(Invoer_Inschrijf[[#This Row],[Product]],Database_Productkaarten[[Product]:[Eenheid]],4,FALSE)),0)</f>
        <v>0</v>
      </c>
      <c r="L85" s="320"/>
      <c r="M85" s="320"/>
      <c r="N85" s="260"/>
      <c r="O85" s="237">
        <f>Invoer_Inschrijf[[#This Row],[Lengte'[m']]]*Invoer_Inschrijf[[#This Row],[Breedte '[m']]]</f>
        <v>0</v>
      </c>
      <c r="P85" s="235">
        <f>IFERROR(IF(Invoer_Inschrijf[[#This Row],[Oppervlakte '[m2']]]*Invoer_Inschrijf[[#This Row],[Dikte '[m']]]=0,Invoer_Inschrijf[[#This Row],[Gewicht '[ton']]]/Invoer_Inschrijf[[#This Row],[Soortelijk gewicht '[ton / m3']]],Invoer_Inschrijf[[#This Row],[Oppervlakte '[m2']]]*Invoer_Inschrijf[[#This Row],[Dikte '[m']]]),0)</f>
        <v>0</v>
      </c>
      <c r="Q85" s="236">
        <f>_xlfn.IFNA(IF(Invoer_Inschrijf[[#This Row],[Productgroep]]="Categorie_1_LCA_Producten",VLOOKUP(F85,Categorie_1_Producten[#All],5,FALSE),VLOOKUP(F85&amp;", "&amp;"Totaal",Database_Productkaarten[#All],12,FALSE)),0)</f>
        <v>0</v>
      </c>
      <c r="R85" s="235">
        <f>_xlfn.IFNA(IF(Invoer_Inschrijf[[#This Row],[Productgroep]]="Categorie_1_LCA_Producten",VLOOKUP(Invoer_Inschrijf[[#This Row],[Product]],Categorie_1_Producten[],5,FALSE)*Invoer_Inschrijf[[#This Row],[Aantal Eenheden]],(VLOOKUP(Invoer_Inschrijf[[#This Row],[Product]],Database_Productkaarten[[Product]:[Gewicht '[ton'] / Eenheid]],12,FALSE)*Invoer_Inschrijf[[#This Row],[Aantal Eenheden]])),0)</f>
        <v>0</v>
      </c>
      <c r="S85" s="237"/>
      <c r="T85" s="238">
        <f>MAX(IFERROR($E$2/IF(Invoer_Inschrijf[[#This Row],[Productgroep]]="Categorie_1_LCA_Producten",VLOOKUP(Invoer_Inschrijf[[#This Row],[Product]],Categorie_1_Producten[#All],7,FALSE),VLOOKUP(Invoer_Inschrijf[[#This Row],[Product]]&amp;", "&amp;"Totaal",Database_Productkaarten[#All],15,FALSE))-1,0),0)</f>
        <v>0</v>
      </c>
      <c r="U85" s="352"/>
      <c r="V85" s="352"/>
      <c r="W85" s="353"/>
      <c r="X85" s="353"/>
      <c r="Y85" s="389">
        <f>_xlfn.IFNA(IF(VLOOKUP(Invoer_Inschrijf[[#This Row],[A5 - Overig Materieel tbv Aanleg]],Brandstofmachines_Omrekentabel[],5,FALSE)=0,_xlfn.IFNA(Invoer_Referentie[[#This Row],[A5 - Verbruik overig materieel '[liter - kWh - kg / uur']]]*VLOOKUP(Invoer_Referentie[[#This Row],[A5 - Overig Materieel tbv Aanleg]],Brandstofmachines_Omrekentabel[],8,FALSE)/VLOOKUP(Invoer_Inschrijf[[#This Row],[A5 - Overig Materieel tbv Aanleg]],Brandstofmachines_Omrekentabel[],8,FALSE),0),_xlfn.IFNA(Invoer_Referentie[[#This Row],[A5 - Verbruik overig materieel '[liter - kWh - kg / uur']]]*VLOOKUP(Invoer_Referentie[[#This Row],[A5 - Overig Materieel tbv Aanleg]],Brandstofmachines_Omrekentabel[],8,FALSE)/VLOOKUP(Invoer_Inschrijf[[#This Row],[A5 - Overig Materieel tbv Aanleg]],Brandstofmachines_Omrekentabel[],8,FALSE),0)),0)</f>
        <v>0</v>
      </c>
      <c r="Z85" s="389">
        <f>Invoer_Referentie[[#This Row],[A5 - Capaciteit overig materieel '[Eenheden / uur']]]</f>
        <v>0</v>
      </c>
      <c r="AA85" s="353"/>
      <c r="AB85" s="353"/>
      <c r="AC85" s="389">
        <f>_xlfn.IFNA(IF(VLOOKUP(Invoer_Inschrijf[[#This Row],[C1 - Overig Materieel tbv Verwijderen]],Brandstofmachines_Omrekentabel[],5,FALSE)=0,_xlfn.IFNA(Invoer_Referentie[[#This Row],[C1 - Verbruik overige materieel '[liter - kWh - kg / uur']]]*VLOOKUP(Invoer_Referentie[[#This Row],[C1 - Overig Materieel tbv Verwijderen]],Brandstofmachines_Omrekentabel[],8,FALSE)/VLOOKUP(Invoer_Inschrijf[[#This Row],[C1 - Overig Materieel tbv Verwijderen]],Brandstofmachines_Omrekentabel[],8,FALSE),0),_xlfn.IFNA(Invoer_Referentie[[#This Row],[C1 - Verbruik overige materieel '[liter - kWh - kg / uur']]]*VLOOKUP(Invoer_Referentie[[#This Row],[C1 - Overig Materieel tbv Verwijderen]],Brandstofmachines_Omrekentabel[],8,FALSE)/VLOOKUP(Invoer_Inschrijf[[#This Row],[C1 - Overig Materieel tbv Verwijderen]],Brandstofmachines_Omrekentabel[],8,FALSE),0)),0)</f>
        <v>0</v>
      </c>
      <c r="AD85" s="389">
        <f>Invoer_Referentie[[#This Row],[C1 - Capaciteit overig materieel '[Eenheden / uur']]]</f>
        <v>0</v>
      </c>
      <c r="AE85" s="353"/>
      <c r="AF85" s="352"/>
      <c r="AG85" s="353"/>
      <c r="AH85" s="235"/>
      <c r="BK85" s="224"/>
      <c r="BL85" s="224"/>
      <c r="BM85" s="224"/>
    </row>
    <row r="86" spans="2:65" hidden="1">
      <c r="B86" s="320"/>
      <c r="C86" s="235"/>
      <c r="D86" s="253"/>
      <c r="E86" s="1"/>
      <c r="F86" s="347"/>
      <c r="G86" s="399">
        <f>_xlfn.IFNA(IF(Invoer_Inschrijf[[#This Row],[Productgroep]]="Categorie_1_LCA_Producten",1,(VLOOKUP(Invoer_Inschrijf[[#This Row],[Product]],Database_Productkaarten[[Product]:[Comment]],64,FALSE))),0)</f>
        <v>0</v>
      </c>
      <c r="H86" s="320">
        <f>_xlfn.IFNA(IF(Invoer_Inschrijf[[#This Row],[Productgroep]]="Categorie_1_LCA_Producten",VLOOKUP(Invoer_Inschrijf[[#This Row],[Product]],Categorie_1_Producten[],2,FALSE),VLOOKUP(Invoer_Inschrijf[[#This Row],[Product]],Database_Productkaarten[[Product]:[Category]],60,FALSE)),0)</f>
        <v>0</v>
      </c>
      <c r="I86" s="260" t="e">
        <f>_xlfn.IFNA(VLOOKUP(Invoer_Inschrijf[[#This Row],[Product]],Database_Productkaarten[[Product]:[Producttype]],3,FALSE),VLOOKUP(Invoer_Inschrijf[[#This Row],[Product]],Categorie_1_Producten[#All],3,FALSE))</f>
        <v>#N/A</v>
      </c>
      <c r="J86" s="238"/>
      <c r="K86" s="320">
        <f>_xlfn.IFNA(IF(Invoer_Inschrijf[[#This Row],[Productgroep]]="Categorie_1_LCA_Producten",VLOOKUP(Invoer_Inschrijf[[#This Row],[Product]],Categorie_1_Producten[],4,FALSE),VLOOKUP(Invoer_Inschrijf[[#This Row],[Product]],Database_Productkaarten[[Product]:[Eenheid]],4,FALSE)),0)</f>
        <v>0</v>
      </c>
      <c r="L86" s="320"/>
      <c r="M86" s="320"/>
      <c r="N86" s="260"/>
      <c r="O86" s="237">
        <f>Invoer_Inschrijf[[#This Row],[Lengte'[m']]]*Invoer_Inschrijf[[#This Row],[Breedte '[m']]]</f>
        <v>0</v>
      </c>
      <c r="P86" s="235">
        <f>IFERROR(IF(Invoer_Inschrijf[[#This Row],[Oppervlakte '[m2']]]*Invoer_Inschrijf[[#This Row],[Dikte '[m']]]=0,Invoer_Inschrijf[[#This Row],[Gewicht '[ton']]]/Invoer_Inschrijf[[#This Row],[Soortelijk gewicht '[ton / m3']]],Invoer_Inschrijf[[#This Row],[Oppervlakte '[m2']]]*Invoer_Inschrijf[[#This Row],[Dikte '[m']]]),0)</f>
        <v>0</v>
      </c>
      <c r="Q86" s="236">
        <f>_xlfn.IFNA(IF(Invoer_Inschrijf[[#This Row],[Productgroep]]="Categorie_1_LCA_Producten",VLOOKUP(F86,Categorie_1_Producten[#All],5,FALSE),VLOOKUP(F86&amp;", "&amp;"Totaal",Database_Productkaarten[#All],12,FALSE)),0)</f>
        <v>0</v>
      </c>
      <c r="R86" s="235">
        <f>_xlfn.IFNA(IF(Invoer_Inschrijf[[#This Row],[Productgroep]]="Categorie_1_LCA_Producten",VLOOKUP(Invoer_Inschrijf[[#This Row],[Product]],Categorie_1_Producten[],5,FALSE)*Invoer_Inschrijf[[#This Row],[Aantal Eenheden]],(VLOOKUP(Invoer_Inschrijf[[#This Row],[Product]],Database_Productkaarten[[Product]:[Gewicht '[ton'] / Eenheid]],12,FALSE)*Invoer_Inschrijf[[#This Row],[Aantal Eenheden]])),0)</f>
        <v>0</v>
      </c>
      <c r="S86" s="237"/>
      <c r="T86" s="238">
        <f>MAX(IFERROR($E$2/IF(Invoer_Inschrijf[[#This Row],[Productgroep]]="Categorie_1_LCA_Producten",VLOOKUP(Invoer_Inschrijf[[#This Row],[Product]],Categorie_1_Producten[#All],7,FALSE),VLOOKUP(Invoer_Inschrijf[[#This Row],[Product]]&amp;", "&amp;"Totaal",Database_Productkaarten[#All],15,FALSE))-1,0),0)</f>
        <v>0</v>
      </c>
      <c r="U86" s="352"/>
      <c r="V86" s="352"/>
      <c r="W86" s="353"/>
      <c r="X86" s="353"/>
      <c r="Y86" s="389">
        <f>_xlfn.IFNA(IF(VLOOKUP(Invoer_Inschrijf[[#This Row],[A5 - Overig Materieel tbv Aanleg]],Brandstofmachines_Omrekentabel[],5,FALSE)=0,_xlfn.IFNA(Invoer_Referentie[[#This Row],[A5 - Verbruik overig materieel '[liter - kWh - kg / uur']]]*VLOOKUP(Invoer_Referentie[[#This Row],[A5 - Overig Materieel tbv Aanleg]],Brandstofmachines_Omrekentabel[],8,FALSE)/VLOOKUP(Invoer_Inschrijf[[#This Row],[A5 - Overig Materieel tbv Aanleg]],Brandstofmachines_Omrekentabel[],8,FALSE),0),_xlfn.IFNA(Invoer_Referentie[[#This Row],[A5 - Verbruik overig materieel '[liter - kWh - kg / uur']]]*VLOOKUP(Invoer_Referentie[[#This Row],[A5 - Overig Materieel tbv Aanleg]],Brandstofmachines_Omrekentabel[],8,FALSE)/VLOOKUP(Invoer_Inschrijf[[#This Row],[A5 - Overig Materieel tbv Aanleg]],Brandstofmachines_Omrekentabel[],8,FALSE),0)),0)</f>
        <v>0</v>
      </c>
      <c r="Z86" s="389">
        <f>Invoer_Referentie[[#This Row],[A5 - Capaciteit overig materieel '[Eenheden / uur']]]</f>
        <v>0</v>
      </c>
      <c r="AA86" s="353"/>
      <c r="AB86" s="353"/>
      <c r="AC86" s="389">
        <f>_xlfn.IFNA(IF(VLOOKUP(Invoer_Inschrijf[[#This Row],[C1 - Overig Materieel tbv Verwijderen]],Brandstofmachines_Omrekentabel[],5,FALSE)=0,_xlfn.IFNA(Invoer_Referentie[[#This Row],[C1 - Verbruik overige materieel '[liter - kWh - kg / uur']]]*VLOOKUP(Invoer_Referentie[[#This Row],[C1 - Overig Materieel tbv Verwijderen]],Brandstofmachines_Omrekentabel[],8,FALSE)/VLOOKUP(Invoer_Inschrijf[[#This Row],[C1 - Overig Materieel tbv Verwijderen]],Brandstofmachines_Omrekentabel[],8,FALSE),0),_xlfn.IFNA(Invoer_Referentie[[#This Row],[C1 - Verbruik overige materieel '[liter - kWh - kg / uur']]]*VLOOKUP(Invoer_Referentie[[#This Row],[C1 - Overig Materieel tbv Verwijderen]],Brandstofmachines_Omrekentabel[],8,FALSE)/VLOOKUP(Invoer_Inschrijf[[#This Row],[C1 - Overig Materieel tbv Verwijderen]],Brandstofmachines_Omrekentabel[],8,FALSE),0)),0)</f>
        <v>0</v>
      </c>
      <c r="AD86" s="389">
        <f>Invoer_Referentie[[#This Row],[C1 - Capaciteit overig materieel '[Eenheden / uur']]]</f>
        <v>0</v>
      </c>
      <c r="AE86" s="353"/>
      <c r="AF86" s="352"/>
      <c r="AG86" s="353"/>
      <c r="AH86" s="235"/>
      <c r="BK86" s="224"/>
      <c r="BL86" s="224"/>
      <c r="BM86" s="224"/>
    </row>
    <row r="87" spans="2:65" hidden="1">
      <c r="B87" s="320"/>
      <c r="C87" s="235"/>
      <c r="D87" s="253"/>
      <c r="E87" s="1"/>
      <c r="F87" s="347"/>
      <c r="G87" s="399">
        <f>_xlfn.IFNA(IF(Invoer_Inschrijf[[#This Row],[Productgroep]]="Categorie_1_LCA_Producten",1,(VLOOKUP(Invoer_Inschrijf[[#This Row],[Product]],Database_Productkaarten[[Product]:[Comment]],64,FALSE))),0)</f>
        <v>0</v>
      </c>
      <c r="H87" s="320">
        <f>_xlfn.IFNA(IF(Invoer_Inschrijf[[#This Row],[Productgroep]]="Categorie_1_LCA_Producten",VLOOKUP(Invoer_Inschrijf[[#This Row],[Product]],Categorie_1_Producten[],2,FALSE),VLOOKUP(Invoer_Inschrijf[[#This Row],[Product]],Database_Productkaarten[[Product]:[Category]],60,FALSE)),0)</f>
        <v>0</v>
      </c>
      <c r="I87" s="260" t="e">
        <f>_xlfn.IFNA(VLOOKUP(Invoer_Inschrijf[[#This Row],[Product]],Database_Productkaarten[[Product]:[Producttype]],3,FALSE),VLOOKUP(Invoer_Inschrijf[[#This Row],[Product]],Categorie_1_Producten[#All],3,FALSE))</f>
        <v>#N/A</v>
      </c>
      <c r="J87" s="238"/>
      <c r="K87" s="320">
        <f>_xlfn.IFNA(IF(Invoer_Inschrijf[[#This Row],[Productgroep]]="Categorie_1_LCA_Producten",VLOOKUP(Invoer_Inschrijf[[#This Row],[Product]],Categorie_1_Producten[],4,FALSE),VLOOKUP(Invoer_Inschrijf[[#This Row],[Product]],Database_Productkaarten[[Product]:[Eenheid]],4,FALSE)),0)</f>
        <v>0</v>
      </c>
      <c r="L87" s="320"/>
      <c r="M87" s="320"/>
      <c r="N87" s="260"/>
      <c r="O87" s="237">
        <f>Invoer_Inschrijf[[#This Row],[Lengte'[m']]]*Invoer_Inschrijf[[#This Row],[Breedte '[m']]]</f>
        <v>0</v>
      </c>
      <c r="P87" s="235">
        <f>IFERROR(IF(Invoer_Inschrijf[[#This Row],[Oppervlakte '[m2']]]*Invoer_Inschrijf[[#This Row],[Dikte '[m']]]=0,Invoer_Inschrijf[[#This Row],[Gewicht '[ton']]]/Invoer_Inschrijf[[#This Row],[Soortelijk gewicht '[ton / m3']]],Invoer_Inschrijf[[#This Row],[Oppervlakte '[m2']]]*Invoer_Inschrijf[[#This Row],[Dikte '[m']]]),0)</f>
        <v>0</v>
      </c>
      <c r="Q87" s="236">
        <f>_xlfn.IFNA(IF(Invoer_Inschrijf[[#This Row],[Productgroep]]="Categorie_1_LCA_Producten",VLOOKUP(F87,Categorie_1_Producten[#All],5,FALSE),VLOOKUP(F87&amp;", "&amp;"Totaal",Database_Productkaarten[#All],12,FALSE)),0)</f>
        <v>0</v>
      </c>
      <c r="R87" s="235">
        <f>_xlfn.IFNA(IF(Invoer_Inschrijf[[#This Row],[Productgroep]]="Categorie_1_LCA_Producten",VLOOKUP(Invoer_Inschrijf[[#This Row],[Product]],Categorie_1_Producten[],5,FALSE)*Invoer_Inschrijf[[#This Row],[Aantal Eenheden]],(VLOOKUP(Invoer_Inschrijf[[#This Row],[Product]],Database_Productkaarten[[Product]:[Gewicht '[ton'] / Eenheid]],12,FALSE)*Invoer_Inschrijf[[#This Row],[Aantal Eenheden]])),0)</f>
        <v>0</v>
      </c>
      <c r="S87" s="237"/>
      <c r="T87" s="238">
        <f>MAX(IFERROR($E$2/IF(Invoer_Inschrijf[[#This Row],[Productgroep]]="Categorie_1_LCA_Producten",VLOOKUP(Invoer_Inschrijf[[#This Row],[Product]],Categorie_1_Producten[#All],7,FALSE),VLOOKUP(Invoer_Inschrijf[[#This Row],[Product]]&amp;", "&amp;"Totaal",Database_Productkaarten[#All],15,FALSE))-1,0),0)</f>
        <v>0</v>
      </c>
      <c r="U87" s="352"/>
      <c r="V87" s="352"/>
      <c r="W87" s="353"/>
      <c r="X87" s="353"/>
      <c r="Y87" s="389">
        <f>_xlfn.IFNA(IF(VLOOKUP(Invoer_Inschrijf[[#This Row],[A5 - Overig Materieel tbv Aanleg]],Brandstofmachines_Omrekentabel[],5,FALSE)=0,_xlfn.IFNA(Invoer_Referentie[[#This Row],[A5 - Verbruik overig materieel '[liter - kWh - kg / uur']]]*VLOOKUP(Invoer_Referentie[[#This Row],[A5 - Overig Materieel tbv Aanleg]],Brandstofmachines_Omrekentabel[],8,FALSE)/VLOOKUP(Invoer_Inschrijf[[#This Row],[A5 - Overig Materieel tbv Aanleg]],Brandstofmachines_Omrekentabel[],8,FALSE),0),_xlfn.IFNA(Invoer_Referentie[[#This Row],[A5 - Verbruik overig materieel '[liter - kWh - kg / uur']]]*VLOOKUP(Invoer_Referentie[[#This Row],[A5 - Overig Materieel tbv Aanleg]],Brandstofmachines_Omrekentabel[],8,FALSE)/VLOOKUP(Invoer_Inschrijf[[#This Row],[A5 - Overig Materieel tbv Aanleg]],Brandstofmachines_Omrekentabel[],8,FALSE),0)),0)</f>
        <v>0</v>
      </c>
      <c r="Z87" s="389">
        <f>Invoer_Referentie[[#This Row],[A5 - Capaciteit overig materieel '[Eenheden / uur']]]</f>
        <v>0</v>
      </c>
      <c r="AA87" s="353"/>
      <c r="AB87" s="353"/>
      <c r="AC87" s="389">
        <f>_xlfn.IFNA(IF(VLOOKUP(Invoer_Inschrijf[[#This Row],[C1 - Overig Materieel tbv Verwijderen]],Brandstofmachines_Omrekentabel[],5,FALSE)=0,_xlfn.IFNA(Invoer_Referentie[[#This Row],[C1 - Verbruik overige materieel '[liter - kWh - kg / uur']]]*VLOOKUP(Invoer_Referentie[[#This Row],[C1 - Overig Materieel tbv Verwijderen]],Brandstofmachines_Omrekentabel[],8,FALSE)/VLOOKUP(Invoer_Inschrijf[[#This Row],[C1 - Overig Materieel tbv Verwijderen]],Brandstofmachines_Omrekentabel[],8,FALSE),0),_xlfn.IFNA(Invoer_Referentie[[#This Row],[C1 - Verbruik overige materieel '[liter - kWh - kg / uur']]]*VLOOKUP(Invoer_Referentie[[#This Row],[C1 - Overig Materieel tbv Verwijderen]],Brandstofmachines_Omrekentabel[],8,FALSE)/VLOOKUP(Invoer_Inschrijf[[#This Row],[C1 - Overig Materieel tbv Verwijderen]],Brandstofmachines_Omrekentabel[],8,FALSE),0)),0)</f>
        <v>0</v>
      </c>
      <c r="AD87" s="389">
        <f>Invoer_Referentie[[#This Row],[C1 - Capaciteit overig materieel '[Eenheden / uur']]]</f>
        <v>0</v>
      </c>
      <c r="AE87" s="353"/>
      <c r="AF87" s="352"/>
      <c r="AG87" s="353"/>
      <c r="AH87" s="235"/>
      <c r="BK87" s="224"/>
      <c r="BL87" s="224"/>
      <c r="BM87" s="224"/>
    </row>
    <row r="88" spans="2:65" hidden="1">
      <c r="B88" s="320"/>
      <c r="C88" s="235"/>
      <c r="D88" s="253"/>
      <c r="E88" s="1"/>
      <c r="F88" s="347"/>
      <c r="G88" s="399">
        <f>_xlfn.IFNA(IF(Invoer_Inschrijf[[#This Row],[Productgroep]]="Categorie_1_LCA_Producten",1,(VLOOKUP(Invoer_Inschrijf[[#This Row],[Product]],Database_Productkaarten[[Product]:[Comment]],64,FALSE))),0)</f>
        <v>0</v>
      </c>
      <c r="H88" s="320">
        <f>_xlfn.IFNA(IF(Invoer_Inschrijf[[#This Row],[Productgroep]]="Categorie_1_LCA_Producten",VLOOKUP(Invoer_Inschrijf[[#This Row],[Product]],Categorie_1_Producten[],2,FALSE),VLOOKUP(Invoer_Inschrijf[[#This Row],[Product]],Database_Productkaarten[[Product]:[Category]],60,FALSE)),0)</f>
        <v>0</v>
      </c>
      <c r="I88" s="260" t="e">
        <f>_xlfn.IFNA(VLOOKUP(Invoer_Inschrijf[[#This Row],[Product]],Database_Productkaarten[[Product]:[Producttype]],3,FALSE),VLOOKUP(Invoer_Inschrijf[[#This Row],[Product]],Categorie_1_Producten[#All],3,FALSE))</f>
        <v>#N/A</v>
      </c>
      <c r="J88" s="238"/>
      <c r="K88" s="320">
        <f>_xlfn.IFNA(IF(Invoer_Inschrijf[[#This Row],[Productgroep]]="Categorie_1_LCA_Producten",VLOOKUP(Invoer_Inschrijf[[#This Row],[Product]],Categorie_1_Producten[],4,FALSE),VLOOKUP(Invoer_Inschrijf[[#This Row],[Product]],Database_Productkaarten[[Product]:[Eenheid]],4,FALSE)),0)</f>
        <v>0</v>
      </c>
      <c r="L88" s="320"/>
      <c r="M88" s="320"/>
      <c r="N88" s="260"/>
      <c r="O88" s="237">
        <f>Invoer_Inschrijf[[#This Row],[Lengte'[m']]]*Invoer_Inschrijf[[#This Row],[Breedte '[m']]]</f>
        <v>0</v>
      </c>
      <c r="P88" s="235">
        <f>IFERROR(IF(Invoer_Inschrijf[[#This Row],[Oppervlakte '[m2']]]*Invoer_Inschrijf[[#This Row],[Dikte '[m']]]=0,Invoer_Inschrijf[[#This Row],[Gewicht '[ton']]]/Invoer_Inschrijf[[#This Row],[Soortelijk gewicht '[ton / m3']]],Invoer_Inschrijf[[#This Row],[Oppervlakte '[m2']]]*Invoer_Inschrijf[[#This Row],[Dikte '[m']]]),0)</f>
        <v>0</v>
      </c>
      <c r="Q88" s="236">
        <f>_xlfn.IFNA(IF(Invoer_Inschrijf[[#This Row],[Productgroep]]="Categorie_1_LCA_Producten",VLOOKUP(F88,Categorie_1_Producten[#All],5,FALSE),VLOOKUP(F88&amp;", "&amp;"Totaal",Database_Productkaarten[#All],12,FALSE)),0)</f>
        <v>0</v>
      </c>
      <c r="R88" s="235">
        <f>_xlfn.IFNA(IF(Invoer_Inschrijf[[#This Row],[Productgroep]]="Categorie_1_LCA_Producten",VLOOKUP(Invoer_Inschrijf[[#This Row],[Product]],Categorie_1_Producten[],5,FALSE)*Invoer_Inschrijf[[#This Row],[Aantal Eenheden]],(VLOOKUP(Invoer_Inschrijf[[#This Row],[Product]],Database_Productkaarten[[Product]:[Gewicht '[ton'] / Eenheid]],12,FALSE)*Invoer_Inschrijf[[#This Row],[Aantal Eenheden]])),0)</f>
        <v>0</v>
      </c>
      <c r="S88" s="237"/>
      <c r="T88" s="238">
        <f>MAX(IFERROR($E$2/IF(Invoer_Inschrijf[[#This Row],[Productgroep]]="Categorie_1_LCA_Producten",VLOOKUP(Invoer_Inschrijf[[#This Row],[Product]],Categorie_1_Producten[#All],7,FALSE),VLOOKUP(Invoer_Inschrijf[[#This Row],[Product]]&amp;", "&amp;"Totaal",Database_Productkaarten[#All],15,FALSE))-1,0),0)</f>
        <v>0</v>
      </c>
      <c r="U88" s="352"/>
      <c r="V88" s="352"/>
      <c r="W88" s="353"/>
      <c r="X88" s="353"/>
      <c r="Y88" s="389">
        <f>_xlfn.IFNA(IF(VLOOKUP(Invoer_Inschrijf[[#This Row],[A5 - Overig Materieel tbv Aanleg]],Brandstofmachines_Omrekentabel[],5,FALSE)=0,_xlfn.IFNA(Invoer_Referentie[[#This Row],[A5 - Verbruik overig materieel '[liter - kWh - kg / uur']]]*VLOOKUP(Invoer_Referentie[[#This Row],[A5 - Overig Materieel tbv Aanleg]],Brandstofmachines_Omrekentabel[],8,FALSE)/VLOOKUP(Invoer_Inschrijf[[#This Row],[A5 - Overig Materieel tbv Aanleg]],Brandstofmachines_Omrekentabel[],8,FALSE),0),_xlfn.IFNA(Invoer_Referentie[[#This Row],[A5 - Verbruik overig materieel '[liter - kWh - kg / uur']]]*VLOOKUP(Invoer_Referentie[[#This Row],[A5 - Overig Materieel tbv Aanleg]],Brandstofmachines_Omrekentabel[],8,FALSE)/VLOOKUP(Invoer_Inschrijf[[#This Row],[A5 - Overig Materieel tbv Aanleg]],Brandstofmachines_Omrekentabel[],8,FALSE),0)),0)</f>
        <v>0</v>
      </c>
      <c r="Z88" s="389">
        <f>Invoer_Referentie[[#This Row],[A5 - Capaciteit overig materieel '[Eenheden / uur']]]</f>
        <v>0</v>
      </c>
      <c r="AA88" s="353"/>
      <c r="AB88" s="353"/>
      <c r="AC88" s="389">
        <f>_xlfn.IFNA(IF(VLOOKUP(Invoer_Inschrijf[[#This Row],[C1 - Overig Materieel tbv Verwijderen]],Brandstofmachines_Omrekentabel[],5,FALSE)=0,_xlfn.IFNA(Invoer_Referentie[[#This Row],[C1 - Verbruik overige materieel '[liter - kWh - kg / uur']]]*VLOOKUP(Invoer_Referentie[[#This Row],[C1 - Overig Materieel tbv Verwijderen]],Brandstofmachines_Omrekentabel[],8,FALSE)/VLOOKUP(Invoer_Inschrijf[[#This Row],[C1 - Overig Materieel tbv Verwijderen]],Brandstofmachines_Omrekentabel[],8,FALSE),0),_xlfn.IFNA(Invoer_Referentie[[#This Row],[C1 - Verbruik overige materieel '[liter - kWh - kg / uur']]]*VLOOKUP(Invoer_Referentie[[#This Row],[C1 - Overig Materieel tbv Verwijderen]],Brandstofmachines_Omrekentabel[],8,FALSE)/VLOOKUP(Invoer_Inschrijf[[#This Row],[C1 - Overig Materieel tbv Verwijderen]],Brandstofmachines_Omrekentabel[],8,FALSE),0)),0)</f>
        <v>0</v>
      </c>
      <c r="AD88" s="389">
        <f>Invoer_Referentie[[#This Row],[C1 - Capaciteit overig materieel '[Eenheden / uur']]]</f>
        <v>0</v>
      </c>
      <c r="AE88" s="353"/>
      <c r="AF88" s="352"/>
      <c r="AG88" s="353"/>
      <c r="AH88" s="235"/>
      <c r="BK88" s="224"/>
      <c r="BL88" s="224"/>
      <c r="BM88" s="224"/>
    </row>
    <row r="89" spans="2:65" hidden="1">
      <c r="B89" s="320"/>
      <c r="C89" s="235"/>
      <c r="D89" s="253"/>
      <c r="E89" s="1"/>
      <c r="F89" s="347"/>
      <c r="G89" s="399">
        <f>_xlfn.IFNA(IF(Invoer_Inschrijf[[#This Row],[Productgroep]]="Categorie_1_LCA_Producten",1,(VLOOKUP(Invoer_Inschrijf[[#This Row],[Product]],Database_Productkaarten[[Product]:[Comment]],64,FALSE))),0)</f>
        <v>0</v>
      </c>
      <c r="H89" s="320">
        <f>_xlfn.IFNA(IF(Invoer_Inschrijf[[#This Row],[Productgroep]]="Categorie_1_LCA_Producten",VLOOKUP(Invoer_Inschrijf[[#This Row],[Product]],Categorie_1_Producten[],2,FALSE),VLOOKUP(Invoer_Inschrijf[[#This Row],[Product]],Database_Productkaarten[[Product]:[Category]],60,FALSE)),0)</f>
        <v>0</v>
      </c>
      <c r="I89" s="260" t="e">
        <f>_xlfn.IFNA(VLOOKUP(Invoer_Inschrijf[[#This Row],[Product]],Database_Productkaarten[[Product]:[Producttype]],3,FALSE),VLOOKUP(Invoer_Inschrijf[[#This Row],[Product]],Categorie_1_Producten[#All],3,FALSE))</f>
        <v>#N/A</v>
      </c>
      <c r="J89" s="238"/>
      <c r="K89" s="320">
        <f>_xlfn.IFNA(IF(Invoer_Inschrijf[[#This Row],[Productgroep]]="Categorie_1_LCA_Producten",VLOOKUP(Invoer_Inschrijf[[#This Row],[Product]],Categorie_1_Producten[],4,FALSE),VLOOKUP(Invoer_Inschrijf[[#This Row],[Product]],Database_Productkaarten[[Product]:[Eenheid]],4,FALSE)),0)</f>
        <v>0</v>
      </c>
      <c r="L89" s="320"/>
      <c r="M89" s="320"/>
      <c r="N89" s="260"/>
      <c r="O89" s="237">
        <f>Invoer_Inschrijf[[#This Row],[Lengte'[m']]]*Invoer_Inschrijf[[#This Row],[Breedte '[m']]]</f>
        <v>0</v>
      </c>
      <c r="P89" s="235">
        <f>IFERROR(IF(Invoer_Inschrijf[[#This Row],[Oppervlakte '[m2']]]*Invoer_Inschrijf[[#This Row],[Dikte '[m']]]=0,Invoer_Inschrijf[[#This Row],[Gewicht '[ton']]]/Invoer_Inschrijf[[#This Row],[Soortelijk gewicht '[ton / m3']]],Invoer_Inschrijf[[#This Row],[Oppervlakte '[m2']]]*Invoer_Inschrijf[[#This Row],[Dikte '[m']]]),0)</f>
        <v>0</v>
      </c>
      <c r="Q89" s="236">
        <f>_xlfn.IFNA(IF(Invoer_Inschrijf[[#This Row],[Productgroep]]="Categorie_1_LCA_Producten",VLOOKUP(F89,Categorie_1_Producten[#All],5,FALSE),VLOOKUP(F89&amp;", "&amp;"Totaal",Database_Productkaarten[#All],12,FALSE)),0)</f>
        <v>0</v>
      </c>
      <c r="R89" s="235">
        <f>_xlfn.IFNA(IF(Invoer_Inschrijf[[#This Row],[Productgroep]]="Categorie_1_LCA_Producten",VLOOKUP(Invoer_Inschrijf[[#This Row],[Product]],Categorie_1_Producten[],5,FALSE)*Invoer_Inschrijf[[#This Row],[Aantal Eenheden]],(VLOOKUP(Invoer_Inschrijf[[#This Row],[Product]],Database_Productkaarten[[Product]:[Gewicht '[ton'] / Eenheid]],12,FALSE)*Invoer_Inschrijf[[#This Row],[Aantal Eenheden]])),0)</f>
        <v>0</v>
      </c>
      <c r="S89" s="237"/>
      <c r="T89" s="238">
        <f>MAX(IFERROR($E$2/IF(Invoer_Inschrijf[[#This Row],[Productgroep]]="Categorie_1_LCA_Producten",VLOOKUP(Invoer_Inschrijf[[#This Row],[Product]],Categorie_1_Producten[#All],7,FALSE),VLOOKUP(Invoer_Inschrijf[[#This Row],[Product]]&amp;", "&amp;"Totaal",Database_Productkaarten[#All],15,FALSE))-1,0),0)</f>
        <v>0</v>
      </c>
      <c r="U89" s="352"/>
      <c r="V89" s="352"/>
      <c r="W89" s="353"/>
      <c r="X89" s="353"/>
      <c r="Y89" s="389">
        <f>_xlfn.IFNA(IF(VLOOKUP(Invoer_Inschrijf[[#This Row],[A5 - Overig Materieel tbv Aanleg]],Brandstofmachines_Omrekentabel[],5,FALSE)=0,_xlfn.IFNA(Invoer_Referentie[[#This Row],[A5 - Verbruik overig materieel '[liter - kWh - kg / uur']]]*VLOOKUP(Invoer_Referentie[[#This Row],[A5 - Overig Materieel tbv Aanleg]],Brandstofmachines_Omrekentabel[],8,FALSE)/VLOOKUP(Invoer_Inschrijf[[#This Row],[A5 - Overig Materieel tbv Aanleg]],Brandstofmachines_Omrekentabel[],8,FALSE),0),_xlfn.IFNA(Invoer_Referentie[[#This Row],[A5 - Verbruik overig materieel '[liter - kWh - kg / uur']]]*VLOOKUP(Invoer_Referentie[[#This Row],[A5 - Overig Materieel tbv Aanleg]],Brandstofmachines_Omrekentabel[],8,FALSE)/VLOOKUP(Invoer_Inschrijf[[#This Row],[A5 - Overig Materieel tbv Aanleg]],Brandstofmachines_Omrekentabel[],8,FALSE),0)),0)</f>
        <v>0</v>
      </c>
      <c r="Z89" s="389">
        <f>Invoer_Referentie[[#This Row],[A5 - Capaciteit overig materieel '[Eenheden / uur']]]</f>
        <v>0</v>
      </c>
      <c r="AA89" s="353"/>
      <c r="AB89" s="353"/>
      <c r="AC89" s="389">
        <f>_xlfn.IFNA(IF(VLOOKUP(Invoer_Inschrijf[[#This Row],[C1 - Overig Materieel tbv Verwijderen]],Brandstofmachines_Omrekentabel[],5,FALSE)=0,_xlfn.IFNA(Invoer_Referentie[[#This Row],[C1 - Verbruik overige materieel '[liter - kWh - kg / uur']]]*VLOOKUP(Invoer_Referentie[[#This Row],[C1 - Overig Materieel tbv Verwijderen]],Brandstofmachines_Omrekentabel[],8,FALSE)/VLOOKUP(Invoer_Inschrijf[[#This Row],[C1 - Overig Materieel tbv Verwijderen]],Brandstofmachines_Omrekentabel[],8,FALSE),0),_xlfn.IFNA(Invoer_Referentie[[#This Row],[C1 - Verbruik overige materieel '[liter - kWh - kg / uur']]]*VLOOKUP(Invoer_Referentie[[#This Row],[C1 - Overig Materieel tbv Verwijderen]],Brandstofmachines_Omrekentabel[],8,FALSE)/VLOOKUP(Invoer_Inschrijf[[#This Row],[C1 - Overig Materieel tbv Verwijderen]],Brandstofmachines_Omrekentabel[],8,FALSE),0)),0)</f>
        <v>0</v>
      </c>
      <c r="AD89" s="389">
        <f>Invoer_Referentie[[#This Row],[C1 - Capaciteit overig materieel '[Eenheden / uur']]]</f>
        <v>0</v>
      </c>
      <c r="AE89" s="353"/>
      <c r="AF89" s="352"/>
      <c r="AG89" s="353"/>
      <c r="AH89" s="235"/>
      <c r="BK89" s="224"/>
      <c r="BL89" s="224"/>
      <c r="BM89" s="224"/>
    </row>
    <row r="90" spans="2:65" hidden="1">
      <c r="B90" s="320"/>
      <c r="C90" s="235"/>
      <c r="D90" s="253"/>
      <c r="E90" s="1"/>
      <c r="F90" s="347"/>
      <c r="G90" s="399">
        <f>_xlfn.IFNA(IF(Invoer_Inschrijf[[#This Row],[Productgroep]]="Categorie_1_LCA_Producten",1,(VLOOKUP(Invoer_Inschrijf[[#This Row],[Product]],Database_Productkaarten[[Product]:[Comment]],64,FALSE))),0)</f>
        <v>0</v>
      </c>
      <c r="H90" s="320">
        <f>_xlfn.IFNA(IF(Invoer_Inschrijf[[#This Row],[Productgroep]]="Categorie_1_LCA_Producten",VLOOKUP(Invoer_Inschrijf[[#This Row],[Product]],Categorie_1_Producten[],2,FALSE),VLOOKUP(Invoer_Inschrijf[[#This Row],[Product]],Database_Productkaarten[[Product]:[Category]],60,FALSE)),0)</f>
        <v>0</v>
      </c>
      <c r="I90" s="260" t="e">
        <f>_xlfn.IFNA(VLOOKUP(Invoer_Inschrijf[[#This Row],[Product]],Database_Productkaarten[[Product]:[Producttype]],3,FALSE),VLOOKUP(Invoer_Inschrijf[[#This Row],[Product]],Categorie_1_Producten[#All],3,FALSE))</f>
        <v>#N/A</v>
      </c>
      <c r="J90" s="238"/>
      <c r="K90" s="320">
        <f>_xlfn.IFNA(IF(Invoer_Inschrijf[[#This Row],[Productgroep]]="Categorie_1_LCA_Producten",VLOOKUP(Invoer_Inschrijf[[#This Row],[Product]],Categorie_1_Producten[],4,FALSE),VLOOKUP(Invoer_Inschrijf[[#This Row],[Product]],Database_Productkaarten[[Product]:[Eenheid]],4,FALSE)),0)</f>
        <v>0</v>
      </c>
      <c r="L90" s="320"/>
      <c r="M90" s="320"/>
      <c r="N90" s="260"/>
      <c r="O90" s="237">
        <f>Invoer_Inschrijf[[#This Row],[Lengte'[m']]]*Invoer_Inschrijf[[#This Row],[Breedte '[m']]]</f>
        <v>0</v>
      </c>
      <c r="P90" s="235">
        <f>IFERROR(IF(Invoer_Inschrijf[[#This Row],[Oppervlakte '[m2']]]*Invoer_Inschrijf[[#This Row],[Dikte '[m']]]=0,Invoer_Inschrijf[[#This Row],[Gewicht '[ton']]]/Invoer_Inschrijf[[#This Row],[Soortelijk gewicht '[ton / m3']]],Invoer_Inschrijf[[#This Row],[Oppervlakte '[m2']]]*Invoer_Inschrijf[[#This Row],[Dikte '[m']]]),0)</f>
        <v>0</v>
      </c>
      <c r="Q90" s="236">
        <f>_xlfn.IFNA(IF(Invoer_Inschrijf[[#This Row],[Productgroep]]="Categorie_1_LCA_Producten",VLOOKUP(F90,Categorie_1_Producten[#All],5,FALSE),VLOOKUP(F90&amp;", "&amp;"Totaal",Database_Productkaarten[#All],12,FALSE)),0)</f>
        <v>0</v>
      </c>
      <c r="R90" s="235">
        <f>_xlfn.IFNA(IF(Invoer_Inschrijf[[#This Row],[Productgroep]]="Categorie_1_LCA_Producten",VLOOKUP(Invoer_Inschrijf[[#This Row],[Product]],Categorie_1_Producten[],5,FALSE)*Invoer_Inschrijf[[#This Row],[Aantal Eenheden]],(VLOOKUP(Invoer_Inschrijf[[#This Row],[Product]],Database_Productkaarten[[Product]:[Gewicht '[ton'] / Eenheid]],12,FALSE)*Invoer_Inschrijf[[#This Row],[Aantal Eenheden]])),0)</f>
        <v>0</v>
      </c>
      <c r="S90" s="237"/>
      <c r="T90" s="238">
        <f>MAX(IFERROR($E$2/IF(Invoer_Inschrijf[[#This Row],[Productgroep]]="Categorie_1_LCA_Producten",VLOOKUP(Invoer_Inschrijf[[#This Row],[Product]],Categorie_1_Producten[#All],7,FALSE),VLOOKUP(Invoer_Inschrijf[[#This Row],[Product]]&amp;", "&amp;"Totaal",Database_Productkaarten[#All],15,FALSE))-1,0),0)</f>
        <v>0</v>
      </c>
      <c r="U90" s="352"/>
      <c r="V90" s="352"/>
      <c r="W90" s="353"/>
      <c r="X90" s="353"/>
      <c r="Y90" s="389">
        <f>_xlfn.IFNA(IF(VLOOKUP(Invoer_Inschrijf[[#This Row],[A5 - Overig Materieel tbv Aanleg]],Brandstofmachines_Omrekentabel[],5,FALSE)=0,_xlfn.IFNA(Invoer_Referentie[[#This Row],[A5 - Verbruik overig materieel '[liter - kWh - kg / uur']]]*VLOOKUP(Invoer_Referentie[[#This Row],[A5 - Overig Materieel tbv Aanleg]],Brandstofmachines_Omrekentabel[],8,FALSE)/VLOOKUP(Invoer_Inschrijf[[#This Row],[A5 - Overig Materieel tbv Aanleg]],Brandstofmachines_Omrekentabel[],8,FALSE),0),_xlfn.IFNA(Invoer_Referentie[[#This Row],[A5 - Verbruik overig materieel '[liter - kWh - kg / uur']]]*VLOOKUP(Invoer_Referentie[[#This Row],[A5 - Overig Materieel tbv Aanleg]],Brandstofmachines_Omrekentabel[],8,FALSE)/VLOOKUP(Invoer_Inschrijf[[#This Row],[A5 - Overig Materieel tbv Aanleg]],Brandstofmachines_Omrekentabel[],8,FALSE),0)),0)</f>
        <v>0</v>
      </c>
      <c r="Z90" s="389">
        <f>Invoer_Referentie[[#This Row],[A5 - Capaciteit overig materieel '[Eenheden / uur']]]</f>
        <v>0</v>
      </c>
      <c r="AA90" s="353"/>
      <c r="AB90" s="353"/>
      <c r="AC90" s="389">
        <f>_xlfn.IFNA(IF(VLOOKUP(Invoer_Inschrijf[[#This Row],[C1 - Overig Materieel tbv Verwijderen]],Brandstofmachines_Omrekentabel[],5,FALSE)=0,_xlfn.IFNA(Invoer_Referentie[[#This Row],[C1 - Verbruik overige materieel '[liter - kWh - kg / uur']]]*VLOOKUP(Invoer_Referentie[[#This Row],[C1 - Overig Materieel tbv Verwijderen]],Brandstofmachines_Omrekentabel[],8,FALSE)/VLOOKUP(Invoer_Inschrijf[[#This Row],[C1 - Overig Materieel tbv Verwijderen]],Brandstofmachines_Omrekentabel[],8,FALSE),0),_xlfn.IFNA(Invoer_Referentie[[#This Row],[C1 - Verbruik overige materieel '[liter - kWh - kg / uur']]]*VLOOKUP(Invoer_Referentie[[#This Row],[C1 - Overig Materieel tbv Verwijderen]],Brandstofmachines_Omrekentabel[],8,FALSE)/VLOOKUP(Invoer_Inschrijf[[#This Row],[C1 - Overig Materieel tbv Verwijderen]],Brandstofmachines_Omrekentabel[],8,FALSE),0)),0)</f>
        <v>0</v>
      </c>
      <c r="AD90" s="389">
        <f>Invoer_Referentie[[#This Row],[C1 - Capaciteit overig materieel '[Eenheden / uur']]]</f>
        <v>0</v>
      </c>
      <c r="AE90" s="353"/>
      <c r="AF90" s="352"/>
      <c r="AG90" s="353"/>
      <c r="AH90" s="235"/>
      <c r="BK90" s="224"/>
      <c r="BL90" s="224"/>
      <c r="BM90" s="224"/>
    </row>
    <row r="91" spans="2:65" hidden="1">
      <c r="B91" s="320"/>
      <c r="C91" s="235"/>
      <c r="D91" s="253"/>
      <c r="E91" s="1"/>
      <c r="F91" s="347"/>
      <c r="G91" s="399">
        <f>_xlfn.IFNA(IF(Invoer_Inschrijf[[#This Row],[Productgroep]]="Categorie_1_LCA_Producten",1,(VLOOKUP(Invoer_Inschrijf[[#This Row],[Product]],Database_Productkaarten[[Product]:[Comment]],64,FALSE))),0)</f>
        <v>0</v>
      </c>
      <c r="H91" s="320">
        <f>_xlfn.IFNA(IF(Invoer_Inschrijf[[#This Row],[Productgroep]]="Categorie_1_LCA_Producten",VLOOKUP(Invoer_Inschrijf[[#This Row],[Product]],Categorie_1_Producten[],2,FALSE),VLOOKUP(Invoer_Inschrijf[[#This Row],[Product]],Database_Productkaarten[[Product]:[Category]],60,FALSE)),0)</f>
        <v>0</v>
      </c>
      <c r="I91" s="260" t="e">
        <f>_xlfn.IFNA(VLOOKUP(Invoer_Inschrijf[[#This Row],[Product]],Database_Productkaarten[[Product]:[Producttype]],3,FALSE),VLOOKUP(Invoer_Inschrijf[[#This Row],[Product]],Categorie_1_Producten[#All],3,FALSE))</f>
        <v>#N/A</v>
      </c>
      <c r="J91" s="238"/>
      <c r="K91" s="320">
        <f>_xlfn.IFNA(IF(Invoer_Inschrijf[[#This Row],[Productgroep]]="Categorie_1_LCA_Producten",VLOOKUP(Invoer_Inschrijf[[#This Row],[Product]],Categorie_1_Producten[],4,FALSE),VLOOKUP(Invoer_Inschrijf[[#This Row],[Product]],Database_Productkaarten[[Product]:[Eenheid]],4,FALSE)),0)</f>
        <v>0</v>
      </c>
      <c r="L91" s="320"/>
      <c r="M91" s="320"/>
      <c r="N91" s="260"/>
      <c r="O91" s="237">
        <f>Invoer_Inschrijf[[#This Row],[Lengte'[m']]]*Invoer_Inschrijf[[#This Row],[Breedte '[m']]]</f>
        <v>0</v>
      </c>
      <c r="P91" s="235">
        <f>IFERROR(IF(Invoer_Inschrijf[[#This Row],[Oppervlakte '[m2']]]*Invoer_Inschrijf[[#This Row],[Dikte '[m']]]=0,Invoer_Inschrijf[[#This Row],[Gewicht '[ton']]]/Invoer_Inschrijf[[#This Row],[Soortelijk gewicht '[ton / m3']]],Invoer_Inschrijf[[#This Row],[Oppervlakte '[m2']]]*Invoer_Inschrijf[[#This Row],[Dikte '[m']]]),0)</f>
        <v>0</v>
      </c>
      <c r="Q91" s="236">
        <f>_xlfn.IFNA(IF(Invoer_Inschrijf[[#This Row],[Productgroep]]="Categorie_1_LCA_Producten",VLOOKUP(F91,Categorie_1_Producten[#All],5,FALSE),VLOOKUP(F91&amp;", "&amp;"Totaal",Database_Productkaarten[#All],12,FALSE)),0)</f>
        <v>0</v>
      </c>
      <c r="R91" s="235">
        <f>_xlfn.IFNA(IF(Invoer_Inschrijf[[#This Row],[Productgroep]]="Categorie_1_LCA_Producten",VLOOKUP(Invoer_Inschrijf[[#This Row],[Product]],Categorie_1_Producten[],5,FALSE)*Invoer_Inschrijf[[#This Row],[Aantal Eenheden]],(VLOOKUP(Invoer_Inschrijf[[#This Row],[Product]],Database_Productkaarten[[Product]:[Gewicht '[ton'] / Eenheid]],12,FALSE)*Invoer_Inschrijf[[#This Row],[Aantal Eenheden]])),0)</f>
        <v>0</v>
      </c>
      <c r="S91" s="237"/>
      <c r="T91" s="238">
        <f>MAX(IFERROR($E$2/IF(Invoer_Inschrijf[[#This Row],[Productgroep]]="Categorie_1_LCA_Producten",VLOOKUP(Invoer_Inschrijf[[#This Row],[Product]],Categorie_1_Producten[#All],7,FALSE),VLOOKUP(Invoer_Inschrijf[[#This Row],[Product]]&amp;", "&amp;"Totaal",Database_Productkaarten[#All],15,FALSE))-1,0),0)</f>
        <v>0</v>
      </c>
      <c r="U91" s="352"/>
      <c r="V91" s="352"/>
      <c r="W91" s="353"/>
      <c r="X91" s="353"/>
      <c r="Y91" s="389">
        <f>_xlfn.IFNA(IF(VLOOKUP(Invoer_Inschrijf[[#This Row],[A5 - Overig Materieel tbv Aanleg]],Brandstofmachines_Omrekentabel[],5,FALSE)=0,_xlfn.IFNA(Invoer_Referentie[[#This Row],[A5 - Verbruik overig materieel '[liter - kWh - kg / uur']]]*VLOOKUP(Invoer_Referentie[[#This Row],[A5 - Overig Materieel tbv Aanleg]],Brandstofmachines_Omrekentabel[],8,FALSE)/VLOOKUP(Invoer_Inschrijf[[#This Row],[A5 - Overig Materieel tbv Aanleg]],Brandstofmachines_Omrekentabel[],8,FALSE),0),_xlfn.IFNA(Invoer_Referentie[[#This Row],[A5 - Verbruik overig materieel '[liter - kWh - kg / uur']]]*VLOOKUP(Invoer_Referentie[[#This Row],[A5 - Overig Materieel tbv Aanleg]],Brandstofmachines_Omrekentabel[],8,FALSE)/VLOOKUP(Invoer_Inschrijf[[#This Row],[A5 - Overig Materieel tbv Aanleg]],Brandstofmachines_Omrekentabel[],8,FALSE),0)),0)</f>
        <v>0</v>
      </c>
      <c r="Z91" s="389">
        <f>Invoer_Referentie[[#This Row],[A5 - Capaciteit overig materieel '[Eenheden / uur']]]</f>
        <v>0</v>
      </c>
      <c r="AA91" s="353"/>
      <c r="AB91" s="353"/>
      <c r="AC91" s="389">
        <f>_xlfn.IFNA(IF(VLOOKUP(Invoer_Inschrijf[[#This Row],[C1 - Overig Materieel tbv Verwijderen]],Brandstofmachines_Omrekentabel[],5,FALSE)=0,_xlfn.IFNA(Invoer_Referentie[[#This Row],[C1 - Verbruik overige materieel '[liter - kWh - kg / uur']]]*VLOOKUP(Invoer_Referentie[[#This Row],[C1 - Overig Materieel tbv Verwijderen]],Brandstofmachines_Omrekentabel[],8,FALSE)/VLOOKUP(Invoer_Inschrijf[[#This Row],[C1 - Overig Materieel tbv Verwijderen]],Brandstofmachines_Omrekentabel[],8,FALSE),0),_xlfn.IFNA(Invoer_Referentie[[#This Row],[C1 - Verbruik overige materieel '[liter - kWh - kg / uur']]]*VLOOKUP(Invoer_Referentie[[#This Row],[C1 - Overig Materieel tbv Verwijderen]],Brandstofmachines_Omrekentabel[],8,FALSE)/VLOOKUP(Invoer_Inschrijf[[#This Row],[C1 - Overig Materieel tbv Verwijderen]],Brandstofmachines_Omrekentabel[],8,FALSE),0)),0)</f>
        <v>0</v>
      </c>
      <c r="AD91" s="389">
        <f>Invoer_Referentie[[#This Row],[C1 - Capaciteit overig materieel '[Eenheden / uur']]]</f>
        <v>0</v>
      </c>
      <c r="AE91" s="353"/>
      <c r="AF91" s="352"/>
      <c r="AG91" s="353"/>
      <c r="AH91" s="235"/>
      <c r="BK91" s="224"/>
      <c r="BL91" s="224"/>
      <c r="BM91" s="224"/>
    </row>
    <row r="92" spans="2:65" hidden="1">
      <c r="B92" s="320"/>
      <c r="C92" s="235"/>
      <c r="D92" s="253"/>
      <c r="E92" s="1"/>
      <c r="F92" s="347"/>
      <c r="G92" s="399">
        <f>_xlfn.IFNA(IF(Invoer_Inschrijf[[#This Row],[Productgroep]]="Categorie_1_LCA_Producten",1,(VLOOKUP(Invoer_Inschrijf[[#This Row],[Product]],Database_Productkaarten[[Product]:[Comment]],64,FALSE))),0)</f>
        <v>0</v>
      </c>
      <c r="H92" s="320">
        <f>_xlfn.IFNA(IF(Invoer_Inschrijf[[#This Row],[Productgroep]]="Categorie_1_LCA_Producten",VLOOKUP(Invoer_Inschrijf[[#This Row],[Product]],Categorie_1_Producten[],2,FALSE),VLOOKUP(Invoer_Inschrijf[[#This Row],[Product]],Database_Productkaarten[[Product]:[Category]],60,FALSE)),0)</f>
        <v>0</v>
      </c>
      <c r="I92" s="260" t="e">
        <f>_xlfn.IFNA(VLOOKUP(Invoer_Inschrijf[[#This Row],[Product]],Database_Productkaarten[[Product]:[Producttype]],3,FALSE),VLOOKUP(Invoer_Inschrijf[[#This Row],[Product]],Categorie_1_Producten[#All],3,FALSE))</f>
        <v>#N/A</v>
      </c>
      <c r="J92" s="238"/>
      <c r="K92" s="320">
        <f>_xlfn.IFNA(IF(Invoer_Inschrijf[[#This Row],[Productgroep]]="Categorie_1_LCA_Producten",VLOOKUP(Invoer_Inschrijf[[#This Row],[Product]],Categorie_1_Producten[],4,FALSE),VLOOKUP(Invoer_Inschrijf[[#This Row],[Product]],Database_Productkaarten[[Product]:[Eenheid]],4,FALSE)),0)</f>
        <v>0</v>
      </c>
      <c r="L92" s="320"/>
      <c r="M92" s="320"/>
      <c r="N92" s="260"/>
      <c r="O92" s="237">
        <f>Invoer_Inschrijf[[#This Row],[Lengte'[m']]]*Invoer_Inschrijf[[#This Row],[Breedte '[m']]]</f>
        <v>0</v>
      </c>
      <c r="P92" s="235">
        <f>IFERROR(IF(Invoer_Inschrijf[[#This Row],[Oppervlakte '[m2']]]*Invoer_Inschrijf[[#This Row],[Dikte '[m']]]=0,Invoer_Inschrijf[[#This Row],[Gewicht '[ton']]]/Invoer_Inschrijf[[#This Row],[Soortelijk gewicht '[ton / m3']]],Invoer_Inschrijf[[#This Row],[Oppervlakte '[m2']]]*Invoer_Inschrijf[[#This Row],[Dikte '[m']]]),0)</f>
        <v>0</v>
      </c>
      <c r="Q92" s="236">
        <f>_xlfn.IFNA(IF(Invoer_Inschrijf[[#This Row],[Productgroep]]="Categorie_1_LCA_Producten",VLOOKUP(F92,Categorie_1_Producten[#All],5,FALSE),VLOOKUP(F92&amp;", "&amp;"Totaal",Database_Productkaarten[#All],12,FALSE)),0)</f>
        <v>0</v>
      </c>
      <c r="R92" s="235">
        <f>_xlfn.IFNA(IF(Invoer_Inschrijf[[#This Row],[Productgroep]]="Categorie_1_LCA_Producten",VLOOKUP(Invoer_Inschrijf[[#This Row],[Product]],Categorie_1_Producten[],5,FALSE)*Invoer_Inschrijf[[#This Row],[Aantal Eenheden]],(VLOOKUP(Invoer_Inschrijf[[#This Row],[Product]],Database_Productkaarten[[Product]:[Gewicht '[ton'] / Eenheid]],12,FALSE)*Invoer_Inschrijf[[#This Row],[Aantal Eenheden]])),0)</f>
        <v>0</v>
      </c>
      <c r="S92" s="237"/>
      <c r="T92" s="238">
        <f>MAX(IFERROR($E$2/IF(Invoer_Inschrijf[[#This Row],[Productgroep]]="Categorie_1_LCA_Producten",VLOOKUP(Invoer_Inschrijf[[#This Row],[Product]],Categorie_1_Producten[#All],7,FALSE),VLOOKUP(Invoer_Inschrijf[[#This Row],[Product]]&amp;", "&amp;"Totaal",Database_Productkaarten[#All],15,FALSE))-1,0),0)</f>
        <v>0</v>
      </c>
      <c r="U92" s="352"/>
      <c r="V92" s="352"/>
      <c r="W92" s="353"/>
      <c r="X92" s="353"/>
      <c r="Y92" s="389">
        <f>_xlfn.IFNA(IF(VLOOKUP(Invoer_Inschrijf[[#This Row],[A5 - Overig Materieel tbv Aanleg]],Brandstofmachines_Omrekentabel[],5,FALSE)=0,_xlfn.IFNA(Invoer_Referentie[[#This Row],[A5 - Verbruik overig materieel '[liter - kWh - kg / uur']]]*VLOOKUP(Invoer_Referentie[[#This Row],[A5 - Overig Materieel tbv Aanleg]],Brandstofmachines_Omrekentabel[],8,FALSE)/VLOOKUP(Invoer_Inschrijf[[#This Row],[A5 - Overig Materieel tbv Aanleg]],Brandstofmachines_Omrekentabel[],8,FALSE),0),_xlfn.IFNA(Invoer_Referentie[[#This Row],[A5 - Verbruik overig materieel '[liter - kWh - kg / uur']]]*VLOOKUP(Invoer_Referentie[[#This Row],[A5 - Overig Materieel tbv Aanleg]],Brandstofmachines_Omrekentabel[],8,FALSE)/VLOOKUP(Invoer_Inschrijf[[#This Row],[A5 - Overig Materieel tbv Aanleg]],Brandstofmachines_Omrekentabel[],8,FALSE),0)),0)</f>
        <v>0</v>
      </c>
      <c r="Z92" s="389">
        <f>Invoer_Referentie[[#This Row],[A5 - Capaciteit overig materieel '[Eenheden / uur']]]</f>
        <v>0</v>
      </c>
      <c r="AA92" s="353"/>
      <c r="AB92" s="353"/>
      <c r="AC92" s="389">
        <f>_xlfn.IFNA(IF(VLOOKUP(Invoer_Inschrijf[[#This Row],[C1 - Overig Materieel tbv Verwijderen]],Brandstofmachines_Omrekentabel[],5,FALSE)=0,_xlfn.IFNA(Invoer_Referentie[[#This Row],[C1 - Verbruik overige materieel '[liter - kWh - kg / uur']]]*VLOOKUP(Invoer_Referentie[[#This Row],[C1 - Overig Materieel tbv Verwijderen]],Brandstofmachines_Omrekentabel[],8,FALSE)/VLOOKUP(Invoer_Inschrijf[[#This Row],[C1 - Overig Materieel tbv Verwijderen]],Brandstofmachines_Omrekentabel[],8,FALSE),0),_xlfn.IFNA(Invoer_Referentie[[#This Row],[C1 - Verbruik overige materieel '[liter - kWh - kg / uur']]]*VLOOKUP(Invoer_Referentie[[#This Row],[C1 - Overig Materieel tbv Verwijderen]],Brandstofmachines_Omrekentabel[],8,FALSE)/VLOOKUP(Invoer_Inschrijf[[#This Row],[C1 - Overig Materieel tbv Verwijderen]],Brandstofmachines_Omrekentabel[],8,FALSE),0)),0)</f>
        <v>0</v>
      </c>
      <c r="AD92" s="389">
        <f>Invoer_Referentie[[#This Row],[C1 - Capaciteit overig materieel '[Eenheden / uur']]]</f>
        <v>0</v>
      </c>
      <c r="AE92" s="353"/>
      <c r="AF92" s="352"/>
      <c r="AG92" s="353"/>
      <c r="AH92" s="235"/>
      <c r="BK92" s="224"/>
      <c r="BL92" s="224"/>
      <c r="BM92" s="224"/>
    </row>
    <row r="93" spans="2:65" hidden="1">
      <c r="B93" s="320"/>
      <c r="C93" s="235"/>
      <c r="D93" s="253"/>
      <c r="E93" s="1"/>
      <c r="F93" s="347"/>
      <c r="G93" s="399">
        <f>_xlfn.IFNA(IF(Invoer_Inschrijf[[#This Row],[Productgroep]]="Categorie_1_LCA_Producten",1,(VLOOKUP(Invoer_Inschrijf[[#This Row],[Product]],Database_Productkaarten[[Product]:[Comment]],64,FALSE))),0)</f>
        <v>0</v>
      </c>
      <c r="H93" s="320">
        <f>_xlfn.IFNA(IF(Invoer_Inschrijf[[#This Row],[Productgroep]]="Categorie_1_LCA_Producten",VLOOKUP(Invoer_Inschrijf[[#This Row],[Product]],Categorie_1_Producten[],2,FALSE),VLOOKUP(Invoer_Inschrijf[[#This Row],[Product]],Database_Productkaarten[[Product]:[Category]],60,FALSE)),0)</f>
        <v>0</v>
      </c>
      <c r="I93" s="260" t="e">
        <f>_xlfn.IFNA(VLOOKUP(Invoer_Inschrijf[[#This Row],[Product]],Database_Productkaarten[[Product]:[Producttype]],3,FALSE),VLOOKUP(Invoer_Inschrijf[[#This Row],[Product]],Categorie_1_Producten[#All],3,FALSE))</f>
        <v>#N/A</v>
      </c>
      <c r="J93" s="238"/>
      <c r="K93" s="320">
        <f>_xlfn.IFNA(IF(Invoer_Inschrijf[[#This Row],[Productgroep]]="Categorie_1_LCA_Producten",VLOOKUP(Invoer_Inschrijf[[#This Row],[Product]],Categorie_1_Producten[],4,FALSE),VLOOKUP(Invoer_Inschrijf[[#This Row],[Product]],Database_Productkaarten[[Product]:[Eenheid]],4,FALSE)),0)</f>
        <v>0</v>
      </c>
      <c r="L93" s="320"/>
      <c r="M93" s="320"/>
      <c r="N93" s="260"/>
      <c r="O93" s="237">
        <f>Invoer_Inschrijf[[#This Row],[Lengte'[m']]]*Invoer_Inschrijf[[#This Row],[Breedte '[m']]]</f>
        <v>0</v>
      </c>
      <c r="P93" s="235">
        <f>IFERROR(IF(Invoer_Inschrijf[[#This Row],[Oppervlakte '[m2']]]*Invoer_Inschrijf[[#This Row],[Dikte '[m']]]=0,Invoer_Inschrijf[[#This Row],[Gewicht '[ton']]]/Invoer_Inschrijf[[#This Row],[Soortelijk gewicht '[ton / m3']]],Invoer_Inschrijf[[#This Row],[Oppervlakte '[m2']]]*Invoer_Inschrijf[[#This Row],[Dikte '[m']]]),0)</f>
        <v>0</v>
      </c>
      <c r="Q93" s="236">
        <f>_xlfn.IFNA(IF(Invoer_Inschrijf[[#This Row],[Productgroep]]="Categorie_1_LCA_Producten",VLOOKUP(F93,Categorie_1_Producten[#All],5,FALSE),VLOOKUP(F93&amp;", "&amp;"Totaal",Database_Productkaarten[#All],12,FALSE)),0)</f>
        <v>0</v>
      </c>
      <c r="R93" s="235">
        <f>_xlfn.IFNA(IF(Invoer_Inschrijf[[#This Row],[Productgroep]]="Categorie_1_LCA_Producten",VLOOKUP(Invoer_Inschrijf[[#This Row],[Product]],Categorie_1_Producten[],5,FALSE)*Invoer_Inschrijf[[#This Row],[Aantal Eenheden]],(VLOOKUP(Invoer_Inschrijf[[#This Row],[Product]],Database_Productkaarten[[Product]:[Gewicht '[ton'] / Eenheid]],12,FALSE)*Invoer_Inschrijf[[#This Row],[Aantal Eenheden]])),0)</f>
        <v>0</v>
      </c>
      <c r="S93" s="237"/>
      <c r="T93" s="238">
        <f>MAX(IFERROR($E$2/IF(Invoer_Inschrijf[[#This Row],[Productgroep]]="Categorie_1_LCA_Producten",VLOOKUP(Invoer_Inschrijf[[#This Row],[Product]],Categorie_1_Producten[#All],7,FALSE),VLOOKUP(Invoer_Inschrijf[[#This Row],[Product]]&amp;", "&amp;"Totaal",Database_Productkaarten[#All],15,FALSE))-1,0),0)</f>
        <v>0</v>
      </c>
      <c r="U93" s="352"/>
      <c r="V93" s="352"/>
      <c r="W93" s="353"/>
      <c r="X93" s="353"/>
      <c r="Y93" s="389">
        <f>_xlfn.IFNA(IF(VLOOKUP(Invoer_Inschrijf[[#This Row],[A5 - Overig Materieel tbv Aanleg]],Brandstofmachines_Omrekentabel[],5,FALSE)=0,_xlfn.IFNA(Invoer_Referentie[[#This Row],[A5 - Verbruik overig materieel '[liter - kWh - kg / uur']]]*VLOOKUP(Invoer_Referentie[[#This Row],[A5 - Overig Materieel tbv Aanleg]],Brandstofmachines_Omrekentabel[],8,FALSE)/VLOOKUP(Invoer_Inschrijf[[#This Row],[A5 - Overig Materieel tbv Aanleg]],Brandstofmachines_Omrekentabel[],8,FALSE),0),_xlfn.IFNA(Invoer_Referentie[[#This Row],[A5 - Verbruik overig materieel '[liter - kWh - kg / uur']]]*VLOOKUP(Invoer_Referentie[[#This Row],[A5 - Overig Materieel tbv Aanleg]],Brandstofmachines_Omrekentabel[],8,FALSE)/VLOOKUP(Invoer_Inschrijf[[#This Row],[A5 - Overig Materieel tbv Aanleg]],Brandstofmachines_Omrekentabel[],8,FALSE),0)),0)</f>
        <v>0</v>
      </c>
      <c r="Z93" s="389">
        <f>Invoer_Referentie[[#This Row],[A5 - Capaciteit overig materieel '[Eenheden / uur']]]</f>
        <v>0</v>
      </c>
      <c r="AA93" s="353"/>
      <c r="AB93" s="353"/>
      <c r="AC93" s="389">
        <f>_xlfn.IFNA(IF(VLOOKUP(Invoer_Inschrijf[[#This Row],[C1 - Overig Materieel tbv Verwijderen]],Brandstofmachines_Omrekentabel[],5,FALSE)=0,_xlfn.IFNA(Invoer_Referentie[[#This Row],[C1 - Verbruik overige materieel '[liter - kWh - kg / uur']]]*VLOOKUP(Invoer_Referentie[[#This Row],[C1 - Overig Materieel tbv Verwijderen]],Brandstofmachines_Omrekentabel[],8,FALSE)/VLOOKUP(Invoer_Inschrijf[[#This Row],[C1 - Overig Materieel tbv Verwijderen]],Brandstofmachines_Omrekentabel[],8,FALSE),0),_xlfn.IFNA(Invoer_Referentie[[#This Row],[C1 - Verbruik overige materieel '[liter - kWh - kg / uur']]]*VLOOKUP(Invoer_Referentie[[#This Row],[C1 - Overig Materieel tbv Verwijderen]],Brandstofmachines_Omrekentabel[],8,FALSE)/VLOOKUP(Invoer_Inschrijf[[#This Row],[C1 - Overig Materieel tbv Verwijderen]],Brandstofmachines_Omrekentabel[],8,FALSE),0)),0)</f>
        <v>0</v>
      </c>
      <c r="AD93" s="389">
        <f>Invoer_Referentie[[#This Row],[C1 - Capaciteit overig materieel '[Eenheden / uur']]]</f>
        <v>0</v>
      </c>
      <c r="AE93" s="353"/>
      <c r="AF93" s="352"/>
      <c r="AG93" s="353"/>
      <c r="AH93" s="235"/>
      <c r="BK93" s="224"/>
      <c r="BL93" s="224"/>
      <c r="BM93" s="224"/>
    </row>
    <row r="94" spans="2:65" hidden="1">
      <c r="B94" s="320"/>
      <c r="C94" s="235"/>
      <c r="D94" s="253"/>
      <c r="E94" s="1"/>
      <c r="F94" s="347"/>
      <c r="G94" s="399">
        <f>_xlfn.IFNA(IF(Invoer_Inschrijf[[#This Row],[Productgroep]]="Categorie_1_LCA_Producten",1,(VLOOKUP(Invoer_Inschrijf[[#This Row],[Product]],Database_Productkaarten[[Product]:[Comment]],64,FALSE))),0)</f>
        <v>0</v>
      </c>
      <c r="H94" s="320">
        <f>_xlfn.IFNA(IF(Invoer_Inschrijf[[#This Row],[Productgroep]]="Categorie_1_LCA_Producten",VLOOKUP(Invoer_Inschrijf[[#This Row],[Product]],Categorie_1_Producten[],2,FALSE),VLOOKUP(Invoer_Inschrijf[[#This Row],[Product]],Database_Productkaarten[[Product]:[Category]],60,FALSE)),0)</f>
        <v>0</v>
      </c>
      <c r="I94" s="260" t="e">
        <f>_xlfn.IFNA(VLOOKUP(Invoer_Inschrijf[[#This Row],[Product]],Database_Productkaarten[[Product]:[Producttype]],3,FALSE),VLOOKUP(Invoer_Inschrijf[[#This Row],[Product]],Categorie_1_Producten[#All],3,FALSE))</f>
        <v>#N/A</v>
      </c>
      <c r="J94" s="238"/>
      <c r="K94" s="320">
        <f>_xlfn.IFNA(IF(Invoer_Inschrijf[[#This Row],[Productgroep]]="Categorie_1_LCA_Producten",VLOOKUP(Invoer_Inschrijf[[#This Row],[Product]],Categorie_1_Producten[],4,FALSE),VLOOKUP(Invoer_Inschrijf[[#This Row],[Product]],Database_Productkaarten[[Product]:[Eenheid]],4,FALSE)),0)</f>
        <v>0</v>
      </c>
      <c r="L94" s="320"/>
      <c r="M94" s="320"/>
      <c r="N94" s="260"/>
      <c r="O94" s="237">
        <f>Invoer_Inschrijf[[#This Row],[Lengte'[m']]]*Invoer_Inschrijf[[#This Row],[Breedte '[m']]]</f>
        <v>0</v>
      </c>
      <c r="P94" s="235">
        <f>IFERROR(IF(Invoer_Inschrijf[[#This Row],[Oppervlakte '[m2']]]*Invoer_Inschrijf[[#This Row],[Dikte '[m']]]=0,Invoer_Inschrijf[[#This Row],[Gewicht '[ton']]]/Invoer_Inschrijf[[#This Row],[Soortelijk gewicht '[ton / m3']]],Invoer_Inschrijf[[#This Row],[Oppervlakte '[m2']]]*Invoer_Inschrijf[[#This Row],[Dikte '[m']]]),0)</f>
        <v>0</v>
      </c>
      <c r="Q94" s="236">
        <f>_xlfn.IFNA(IF(Invoer_Inschrijf[[#This Row],[Productgroep]]="Categorie_1_LCA_Producten",VLOOKUP(F94,Categorie_1_Producten[#All],5,FALSE),VLOOKUP(F94&amp;", "&amp;"Totaal",Database_Productkaarten[#All],12,FALSE)),0)</f>
        <v>0</v>
      </c>
      <c r="R94" s="235">
        <f>_xlfn.IFNA(IF(Invoer_Inschrijf[[#This Row],[Productgroep]]="Categorie_1_LCA_Producten",VLOOKUP(Invoer_Inschrijf[[#This Row],[Product]],Categorie_1_Producten[],5,FALSE)*Invoer_Inschrijf[[#This Row],[Aantal Eenheden]],(VLOOKUP(Invoer_Inschrijf[[#This Row],[Product]],Database_Productkaarten[[Product]:[Gewicht '[ton'] / Eenheid]],12,FALSE)*Invoer_Inschrijf[[#This Row],[Aantal Eenheden]])),0)</f>
        <v>0</v>
      </c>
      <c r="S94" s="237"/>
      <c r="T94" s="238">
        <f>MAX(IFERROR($E$2/IF(Invoer_Inschrijf[[#This Row],[Productgroep]]="Categorie_1_LCA_Producten",VLOOKUP(Invoer_Inschrijf[[#This Row],[Product]],Categorie_1_Producten[#All],7,FALSE),VLOOKUP(Invoer_Inschrijf[[#This Row],[Product]]&amp;", "&amp;"Totaal",Database_Productkaarten[#All],15,FALSE))-1,0),0)</f>
        <v>0</v>
      </c>
      <c r="U94" s="352"/>
      <c r="V94" s="352"/>
      <c r="W94" s="353"/>
      <c r="X94" s="353"/>
      <c r="Y94" s="389">
        <f>_xlfn.IFNA(IF(VLOOKUP(Invoer_Inschrijf[[#This Row],[A5 - Overig Materieel tbv Aanleg]],Brandstofmachines_Omrekentabel[],5,FALSE)=0,_xlfn.IFNA(Invoer_Referentie[[#This Row],[A5 - Verbruik overig materieel '[liter - kWh - kg / uur']]]*VLOOKUP(Invoer_Referentie[[#This Row],[A5 - Overig Materieel tbv Aanleg]],Brandstofmachines_Omrekentabel[],8,FALSE)/VLOOKUP(Invoer_Inschrijf[[#This Row],[A5 - Overig Materieel tbv Aanleg]],Brandstofmachines_Omrekentabel[],8,FALSE),0),_xlfn.IFNA(Invoer_Referentie[[#This Row],[A5 - Verbruik overig materieel '[liter - kWh - kg / uur']]]*VLOOKUP(Invoer_Referentie[[#This Row],[A5 - Overig Materieel tbv Aanleg]],Brandstofmachines_Omrekentabel[],8,FALSE)/VLOOKUP(Invoer_Inschrijf[[#This Row],[A5 - Overig Materieel tbv Aanleg]],Brandstofmachines_Omrekentabel[],8,FALSE),0)),0)</f>
        <v>0</v>
      </c>
      <c r="Z94" s="389">
        <f>Invoer_Referentie[[#This Row],[A5 - Capaciteit overig materieel '[Eenheden / uur']]]</f>
        <v>0</v>
      </c>
      <c r="AA94" s="353"/>
      <c r="AB94" s="353"/>
      <c r="AC94" s="389">
        <f>_xlfn.IFNA(IF(VLOOKUP(Invoer_Inschrijf[[#This Row],[C1 - Overig Materieel tbv Verwijderen]],Brandstofmachines_Omrekentabel[],5,FALSE)=0,_xlfn.IFNA(Invoer_Referentie[[#This Row],[C1 - Verbruik overige materieel '[liter - kWh - kg / uur']]]*VLOOKUP(Invoer_Referentie[[#This Row],[C1 - Overig Materieel tbv Verwijderen]],Brandstofmachines_Omrekentabel[],8,FALSE)/VLOOKUP(Invoer_Inschrijf[[#This Row],[C1 - Overig Materieel tbv Verwijderen]],Brandstofmachines_Omrekentabel[],8,FALSE),0),_xlfn.IFNA(Invoer_Referentie[[#This Row],[C1 - Verbruik overige materieel '[liter - kWh - kg / uur']]]*VLOOKUP(Invoer_Referentie[[#This Row],[C1 - Overig Materieel tbv Verwijderen]],Brandstofmachines_Omrekentabel[],8,FALSE)/VLOOKUP(Invoer_Inschrijf[[#This Row],[C1 - Overig Materieel tbv Verwijderen]],Brandstofmachines_Omrekentabel[],8,FALSE),0)),0)</f>
        <v>0</v>
      </c>
      <c r="AD94" s="389">
        <f>Invoer_Referentie[[#This Row],[C1 - Capaciteit overig materieel '[Eenheden / uur']]]</f>
        <v>0</v>
      </c>
      <c r="AE94" s="353"/>
      <c r="AF94" s="352"/>
      <c r="AG94" s="353"/>
      <c r="AH94" s="235"/>
      <c r="BK94" s="224"/>
      <c r="BL94" s="224"/>
      <c r="BM94" s="224"/>
    </row>
    <row r="95" spans="2:65" hidden="1">
      <c r="B95" s="320"/>
      <c r="C95" s="235"/>
      <c r="D95" s="253"/>
      <c r="E95" s="1"/>
      <c r="F95" s="347"/>
      <c r="G95" s="399">
        <f>_xlfn.IFNA(IF(Invoer_Inschrijf[[#This Row],[Productgroep]]="Categorie_1_LCA_Producten",1,(VLOOKUP(Invoer_Inschrijf[[#This Row],[Product]],Database_Productkaarten[[Product]:[Comment]],64,FALSE))),0)</f>
        <v>0</v>
      </c>
      <c r="H95" s="320">
        <f>_xlfn.IFNA(IF(Invoer_Inschrijf[[#This Row],[Productgroep]]="Categorie_1_LCA_Producten",VLOOKUP(Invoer_Inschrijf[[#This Row],[Product]],Categorie_1_Producten[],2,FALSE),VLOOKUP(Invoer_Inschrijf[[#This Row],[Product]],Database_Productkaarten[[Product]:[Category]],60,FALSE)),0)</f>
        <v>0</v>
      </c>
      <c r="I95" s="260" t="e">
        <f>_xlfn.IFNA(VLOOKUP(Invoer_Inschrijf[[#This Row],[Product]],Database_Productkaarten[[Product]:[Producttype]],3,FALSE),VLOOKUP(Invoer_Inschrijf[[#This Row],[Product]],Categorie_1_Producten[#All],3,FALSE))</f>
        <v>#N/A</v>
      </c>
      <c r="J95" s="238"/>
      <c r="K95" s="320">
        <f>_xlfn.IFNA(IF(Invoer_Inschrijf[[#This Row],[Productgroep]]="Categorie_1_LCA_Producten",VLOOKUP(Invoer_Inschrijf[[#This Row],[Product]],Categorie_1_Producten[],4,FALSE),VLOOKUP(Invoer_Inschrijf[[#This Row],[Product]],Database_Productkaarten[[Product]:[Eenheid]],4,FALSE)),0)</f>
        <v>0</v>
      </c>
      <c r="L95" s="320"/>
      <c r="M95" s="320"/>
      <c r="N95" s="260"/>
      <c r="O95" s="237">
        <f>Invoer_Inschrijf[[#This Row],[Lengte'[m']]]*Invoer_Inschrijf[[#This Row],[Breedte '[m']]]</f>
        <v>0</v>
      </c>
      <c r="P95" s="235">
        <f>IFERROR(IF(Invoer_Inschrijf[[#This Row],[Oppervlakte '[m2']]]*Invoer_Inschrijf[[#This Row],[Dikte '[m']]]=0,Invoer_Inschrijf[[#This Row],[Gewicht '[ton']]]/Invoer_Inschrijf[[#This Row],[Soortelijk gewicht '[ton / m3']]],Invoer_Inschrijf[[#This Row],[Oppervlakte '[m2']]]*Invoer_Inschrijf[[#This Row],[Dikte '[m']]]),0)</f>
        <v>0</v>
      </c>
      <c r="Q95" s="236">
        <f>_xlfn.IFNA(IF(Invoer_Inschrijf[[#This Row],[Productgroep]]="Categorie_1_LCA_Producten",VLOOKUP(F95,Categorie_1_Producten[#All],5,FALSE),VLOOKUP(F95&amp;", "&amp;"Totaal",Database_Productkaarten[#All],12,FALSE)),0)</f>
        <v>0</v>
      </c>
      <c r="R95" s="235">
        <f>_xlfn.IFNA(IF(Invoer_Inschrijf[[#This Row],[Productgroep]]="Categorie_1_LCA_Producten",VLOOKUP(Invoer_Inschrijf[[#This Row],[Product]],Categorie_1_Producten[],5,FALSE)*Invoer_Inschrijf[[#This Row],[Aantal Eenheden]],(VLOOKUP(Invoer_Inschrijf[[#This Row],[Product]],Database_Productkaarten[[Product]:[Gewicht '[ton'] / Eenheid]],12,FALSE)*Invoer_Inschrijf[[#This Row],[Aantal Eenheden]])),0)</f>
        <v>0</v>
      </c>
      <c r="S95" s="237"/>
      <c r="T95" s="238">
        <f>MAX(IFERROR($E$2/IF(Invoer_Inschrijf[[#This Row],[Productgroep]]="Categorie_1_LCA_Producten",VLOOKUP(Invoer_Inschrijf[[#This Row],[Product]],Categorie_1_Producten[#All],7,FALSE),VLOOKUP(Invoer_Inschrijf[[#This Row],[Product]]&amp;", "&amp;"Totaal",Database_Productkaarten[#All],15,FALSE))-1,0),0)</f>
        <v>0</v>
      </c>
      <c r="U95" s="352"/>
      <c r="V95" s="352"/>
      <c r="W95" s="353"/>
      <c r="X95" s="353"/>
      <c r="Y95" s="389">
        <f>_xlfn.IFNA(IF(VLOOKUP(Invoer_Inschrijf[[#This Row],[A5 - Overig Materieel tbv Aanleg]],Brandstofmachines_Omrekentabel[],5,FALSE)=0,_xlfn.IFNA(Invoer_Referentie[[#This Row],[A5 - Verbruik overig materieel '[liter - kWh - kg / uur']]]*VLOOKUP(Invoer_Referentie[[#This Row],[A5 - Overig Materieel tbv Aanleg]],Brandstofmachines_Omrekentabel[],8,FALSE)/VLOOKUP(Invoer_Inschrijf[[#This Row],[A5 - Overig Materieel tbv Aanleg]],Brandstofmachines_Omrekentabel[],8,FALSE),0),_xlfn.IFNA(Invoer_Referentie[[#This Row],[A5 - Verbruik overig materieel '[liter - kWh - kg / uur']]]*VLOOKUP(Invoer_Referentie[[#This Row],[A5 - Overig Materieel tbv Aanleg]],Brandstofmachines_Omrekentabel[],8,FALSE)/VLOOKUP(Invoer_Inschrijf[[#This Row],[A5 - Overig Materieel tbv Aanleg]],Brandstofmachines_Omrekentabel[],8,FALSE),0)),0)</f>
        <v>0</v>
      </c>
      <c r="Z95" s="389">
        <f>Invoer_Referentie[[#This Row],[A5 - Capaciteit overig materieel '[Eenheden / uur']]]</f>
        <v>0</v>
      </c>
      <c r="AA95" s="353"/>
      <c r="AB95" s="353"/>
      <c r="AC95" s="389">
        <f>_xlfn.IFNA(IF(VLOOKUP(Invoer_Inschrijf[[#This Row],[C1 - Overig Materieel tbv Verwijderen]],Brandstofmachines_Omrekentabel[],5,FALSE)=0,_xlfn.IFNA(Invoer_Referentie[[#This Row],[C1 - Verbruik overige materieel '[liter - kWh - kg / uur']]]*VLOOKUP(Invoer_Referentie[[#This Row],[C1 - Overig Materieel tbv Verwijderen]],Brandstofmachines_Omrekentabel[],8,FALSE)/VLOOKUP(Invoer_Inschrijf[[#This Row],[C1 - Overig Materieel tbv Verwijderen]],Brandstofmachines_Omrekentabel[],8,FALSE),0),_xlfn.IFNA(Invoer_Referentie[[#This Row],[C1 - Verbruik overige materieel '[liter - kWh - kg / uur']]]*VLOOKUP(Invoer_Referentie[[#This Row],[C1 - Overig Materieel tbv Verwijderen]],Brandstofmachines_Omrekentabel[],8,FALSE)/VLOOKUP(Invoer_Inschrijf[[#This Row],[C1 - Overig Materieel tbv Verwijderen]],Brandstofmachines_Omrekentabel[],8,FALSE),0)),0)</f>
        <v>0</v>
      </c>
      <c r="AD95" s="389">
        <f>Invoer_Referentie[[#This Row],[C1 - Capaciteit overig materieel '[Eenheden / uur']]]</f>
        <v>0</v>
      </c>
      <c r="AE95" s="353"/>
      <c r="AF95" s="352"/>
      <c r="AG95" s="353"/>
      <c r="AH95" s="235"/>
      <c r="BK95" s="224"/>
      <c r="BL95" s="224"/>
      <c r="BM95" s="224"/>
    </row>
    <row r="96" spans="2:65" hidden="1">
      <c r="B96" s="320"/>
      <c r="C96" s="235"/>
      <c r="D96" s="253"/>
      <c r="E96" s="1"/>
      <c r="F96" s="347"/>
      <c r="G96" s="399">
        <f>_xlfn.IFNA(IF(Invoer_Inschrijf[[#This Row],[Productgroep]]="Categorie_1_LCA_Producten",1,(VLOOKUP(Invoer_Inschrijf[[#This Row],[Product]],Database_Productkaarten[[Product]:[Comment]],64,FALSE))),0)</f>
        <v>0</v>
      </c>
      <c r="H96" s="320">
        <f>_xlfn.IFNA(IF(Invoer_Inschrijf[[#This Row],[Productgroep]]="Categorie_1_LCA_Producten",VLOOKUP(Invoer_Inschrijf[[#This Row],[Product]],Categorie_1_Producten[],2,FALSE),VLOOKUP(Invoer_Inschrijf[[#This Row],[Product]],Database_Productkaarten[[Product]:[Category]],60,FALSE)),0)</f>
        <v>0</v>
      </c>
      <c r="I96" s="260" t="e">
        <f>_xlfn.IFNA(VLOOKUP(Invoer_Inschrijf[[#This Row],[Product]],Database_Productkaarten[[Product]:[Producttype]],3,FALSE),VLOOKUP(Invoer_Inschrijf[[#This Row],[Product]],Categorie_1_Producten[#All],3,FALSE))</f>
        <v>#N/A</v>
      </c>
      <c r="J96" s="238"/>
      <c r="K96" s="320">
        <f>_xlfn.IFNA(IF(Invoer_Inschrijf[[#This Row],[Productgroep]]="Categorie_1_LCA_Producten",VLOOKUP(Invoer_Inschrijf[[#This Row],[Product]],Categorie_1_Producten[],4,FALSE),VLOOKUP(Invoer_Inschrijf[[#This Row],[Product]],Database_Productkaarten[[Product]:[Eenheid]],4,FALSE)),0)</f>
        <v>0</v>
      </c>
      <c r="L96" s="320"/>
      <c r="M96" s="320"/>
      <c r="N96" s="260"/>
      <c r="O96" s="237">
        <f>Invoer_Inschrijf[[#This Row],[Lengte'[m']]]*Invoer_Inschrijf[[#This Row],[Breedte '[m']]]</f>
        <v>0</v>
      </c>
      <c r="P96" s="235">
        <f>IFERROR(IF(Invoer_Inschrijf[[#This Row],[Oppervlakte '[m2']]]*Invoer_Inschrijf[[#This Row],[Dikte '[m']]]=0,Invoer_Inschrijf[[#This Row],[Gewicht '[ton']]]/Invoer_Inschrijf[[#This Row],[Soortelijk gewicht '[ton / m3']]],Invoer_Inschrijf[[#This Row],[Oppervlakte '[m2']]]*Invoer_Inschrijf[[#This Row],[Dikte '[m']]]),0)</f>
        <v>0</v>
      </c>
      <c r="Q96" s="236">
        <f>_xlfn.IFNA(IF(Invoer_Inschrijf[[#This Row],[Productgroep]]="Categorie_1_LCA_Producten",VLOOKUP(F96,Categorie_1_Producten[#All],5,FALSE),VLOOKUP(F96&amp;", "&amp;"Totaal",Database_Productkaarten[#All],12,FALSE)),0)</f>
        <v>0</v>
      </c>
      <c r="R96" s="235">
        <f>_xlfn.IFNA(IF(Invoer_Inschrijf[[#This Row],[Productgroep]]="Categorie_1_LCA_Producten",VLOOKUP(Invoer_Inschrijf[[#This Row],[Product]],Categorie_1_Producten[],5,FALSE)*Invoer_Inschrijf[[#This Row],[Aantal Eenheden]],(VLOOKUP(Invoer_Inschrijf[[#This Row],[Product]],Database_Productkaarten[[Product]:[Gewicht '[ton'] / Eenheid]],12,FALSE)*Invoer_Inschrijf[[#This Row],[Aantal Eenheden]])),0)</f>
        <v>0</v>
      </c>
      <c r="S96" s="237"/>
      <c r="T96" s="238">
        <f>MAX(IFERROR($E$2/IF(Invoer_Inschrijf[[#This Row],[Productgroep]]="Categorie_1_LCA_Producten",VLOOKUP(Invoer_Inschrijf[[#This Row],[Product]],Categorie_1_Producten[#All],7,FALSE),VLOOKUP(Invoer_Inschrijf[[#This Row],[Product]]&amp;", "&amp;"Totaal",Database_Productkaarten[#All],15,FALSE))-1,0),0)</f>
        <v>0</v>
      </c>
      <c r="U96" s="352"/>
      <c r="V96" s="352"/>
      <c r="W96" s="353"/>
      <c r="X96" s="353"/>
      <c r="Y96" s="389">
        <f>_xlfn.IFNA(IF(VLOOKUP(Invoer_Inschrijf[[#This Row],[A5 - Overig Materieel tbv Aanleg]],Brandstofmachines_Omrekentabel[],5,FALSE)=0,_xlfn.IFNA(Invoer_Referentie[[#This Row],[A5 - Verbruik overig materieel '[liter - kWh - kg / uur']]]*VLOOKUP(Invoer_Referentie[[#This Row],[A5 - Overig Materieel tbv Aanleg]],Brandstofmachines_Omrekentabel[],8,FALSE)/VLOOKUP(Invoer_Inschrijf[[#This Row],[A5 - Overig Materieel tbv Aanleg]],Brandstofmachines_Omrekentabel[],8,FALSE),0),_xlfn.IFNA(Invoer_Referentie[[#This Row],[A5 - Verbruik overig materieel '[liter - kWh - kg / uur']]]*VLOOKUP(Invoer_Referentie[[#This Row],[A5 - Overig Materieel tbv Aanleg]],Brandstofmachines_Omrekentabel[],8,FALSE)/VLOOKUP(Invoer_Inschrijf[[#This Row],[A5 - Overig Materieel tbv Aanleg]],Brandstofmachines_Omrekentabel[],8,FALSE),0)),0)</f>
        <v>0</v>
      </c>
      <c r="Z96" s="389">
        <f>Invoer_Referentie[[#This Row],[A5 - Capaciteit overig materieel '[Eenheden / uur']]]</f>
        <v>0</v>
      </c>
      <c r="AA96" s="353"/>
      <c r="AB96" s="353"/>
      <c r="AC96" s="389">
        <f>_xlfn.IFNA(IF(VLOOKUP(Invoer_Inschrijf[[#This Row],[C1 - Overig Materieel tbv Verwijderen]],Brandstofmachines_Omrekentabel[],5,FALSE)=0,_xlfn.IFNA(Invoer_Referentie[[#This Row],[C1 - Verbruik overige materieel '[liter - kWh - kg / uur']]]*VLOOKUP(Invoer_Referentie[[#This Row],[C1 - Overig Materieel tbv Verwijderen]],Brandstofmachines_Omrekentabel[],8,FALSE)/VLOOKUP(Invoer_Inschrijf[[#This Row],[C1 - Overig Materieel tbv Verwijderen]],Brandstofmachines_Omrekentabel[],8,FALSE),0),_xlfn.IFNA(Invoer_Referentie[[#This Row],[C1 - Verbruik overige materieel '[liter - kWh - kg / uur']]]*VLOOKUP(Invoer_Referentie[[#This Row],[C1 - Overig Materieel tbv Verwijderen]],Brandstofmachines_Omrekentabel[],8,FALSE)/VLOOKUP(Invoer_Inschrijf[[#This Row],[C1 - Overig Materieel tbv Verwijderen]],Brandstofmachines_Omrekentabel[],8,FALSE),0)),0)</f>
        <v>0</v>
      </c>
      <c r="AD96" s="389">
        <f>Invoer_Referentie[[#This Row],[C1 - Capaciteit overig materieel '[Eenheden / uur']]]</f>
        <v>0</v>
      </c>
      <c r="AE96" s="353"/>
      <c r="AF96" s="352"/>
      <c r="AG96" s="353"/>
      <c r="AH96" s="235"/>
      <c r="BK96" s="224"/>
      <c r="BL96" s="224"/>
      <c r="BM96" s="224"/>
    </row>
    <row r="97" spans="2:65" hidden="1">
      <c r="B97" s="320"/>
      <c r="C97" s="235"/>
      <c r="D97" s="253"/>
      <c r="E97" s="1"/>
      <c r="F97" s="347"/>
      <c r="G97" s="399">
        <f>_xlfn.IFNA(IF(Invoer_Inschrijf[[#This Row],[Productgroep]]="Categorie_1_LCA_Producten",1,(VLOOKUP(Invoer_Inschrijf[[#This Row],[Product]],Database_Productkaarten[[Product]:[Comment]],64,FALSE))),0)</f>
        <v>0</v>
      </c>
      <c r="H97" s="320">
        <f>_xlfn.IFNA(IF(Invoer_Inschrijf[[#This Row],[Productgroep]]="Categorie_1_LCA_Producten",VLOOKUP(Invoer_Inschrijf[[#This Row],[Product]],Categorie_1_Producten[],2,FALSE),VLOOKUP(Invoer_Inschrijf[[#This Row],[Product]],Database_Productkaarten[[Product]:[Category]],60,FALSE)),0)</f>
        <v>0</v>
      </c>
      <c r="I97" s="260" t="e">
        <f>_xlfn.IFNA(VLOOKUP(Invoer_Inschrijf[[#This Row],[Product]],Database_Productkaarten[[Product]:[Producttype]],3,FALSE),VLOOKUP(Invoer_Inschrijf[[#This Row],[Product]],Categorie_1_Producten[#All],3,FALSE))</f>
        <v>#N/A</v>
      </c>
      <c r="J97" s="238"/>
      <c r="K97" s="320">
        <f>_xlfn.IFNA(IF(Invoer_Inschrijf[[#This Row],[Productgroep]]="Categorie_1_LCA_Producten",VLOOKUP(Invoer_Inschrijf[[#This Row],[Product]],Categorie_1_Producten[],4,FALSE),VLOOKUP(Invoer_Inschrijf[[#This Row],[Product]],Database_Productkaarten[[Product]:[Eenheid]],4,FALSE)),0)</f>
        <v>0</v>
      </c>
      <c r="L97" s="320"/>
      <c r="M97" s="320"/>
      <c r="N97" s="260"/>
      <c r="O97" s="237">
        <f>Invoer_Inschrijf[[#This Row],[Lengte'[m']]]*Invoer_Inschrijf[[#This Row],[Breedte '[m']]]</f>
        <v>0</v>
      </c>
      <c r="P97" s="235">
        <f>IFERROR(IF(Invoer_Inschrijf[[#This Row],[Oppervlakte '[m2']]]*Invoer_Inschrijf[[#This Row],[Dikte '[m']]]=0,Invoer_Inschrijf[[#This Row],[Gewicht '[ton']]]/Invoer_Inschrijf[[#This Row],[Soortelijk gewicht '[ton / m3']]],Invoer_Inschrijf[[#This Row],[Oppervlakte '[m2']]]*Invoer_Inschrijf[[#This Row],[Dikte '[m']]]),0)</f>
        <v>0</v>
      </c>
      <c r="Q97" s="236">
        <f>_xlfn.IFNA(IF(Invoer_Inschrijf[[#This Row],[Productgroep]]="Categorie_1_LCA_Producten",VLOOKUP(F97,Categorie_1_Producten[#All],5,FALSE),VLOOKUP(F97&amp;", "&amp;"Totaal",Database_Productkaarten[#All],12,FALSE)),0)</f>
        <v>0</v>
      </c>
      <c r="R97" s="235">
        <f>_xlfn.IFNA(IF(Invoer_Inschrijf[[#This Row],[Productgroep]]="Categorie_1_LCA_Producten",VLOOKUP(Invoer_Inschrijf[[#This Row],[Product]],Categorie_1_Producten[],5,FALSE)*Invoer_Inschrijf[[#This Row],[Aantal Eenheden]],(VLOOKUP(Invoer_Inschrijf[[#This Row],[Product]],Database_Productkaarten[[Product]:[Gewicht '[ton'] / Eenheid]],12,FALSE)*Invoer_Inschrijf[[#This Row],[Aantal Eenheden]])),0)</f>
        <v>0</v>
      </c>
      <c r="S97" s="237"/>
      <c r="T97" s="238">
        <f>MAX(IFERROR($E$2/IF(Invoer_Inschrijf[[#This Row],[Productgroep]]="Categorie_1_LCA_Producten",VLOOKUP(Invoer_Inschrijf[[#This Row],[Product]],Categorie_1_Producten[#All],7,FALSE),VLOOKUP(Invoer_Inschrijf[[#This Row],[Product]]&amp;", "&amp;"Totaal",Database_Productkaarten[#All],15,FALSE))-1,0),0)</f>
        <v>0</v>
      </c>
      <c r="U97" s="352"/>
      <c r="V97" s="352"/>
      <c r="W97" s="353"/>
      <c r="X97" s="353"/>
      <c r="Y97" s="389">
        <f>_xlfn.IFNA(IF(VLOOKUP(Invoer_Inschrijf[[#This Row],[A5 - Overig Materieel tbv Aanleg]],Brandstofmachines_Omrekentabel[],5,FALSE)=0,_xlfn.IFNA(Invoer_Referentie[[#This Row],[A5 - Verbruik overig materieel '[liter - kWh - kg / uur']]]*VLOOKUP(Invoer_Referentie[[#This Row],[A5 - Overig Materieel tbv Aanleg]],Brandstofmachines_Omrekentabel[],8,FALSE)/VLOOKUP(Invoer_Inschrijf[[#This Row],[A5 - Overig Materieel tbv Aanleg]],Brandstofmachines_Omrekentabel[],8,FALSE),0),_xlfn.IFNA(Invoer_Referentie[[#This Row],[A5 - Verbruik overig materieel '[liter - kWh - kg / uur']]]*VLOOKUP(Invoer_Referentie[[#This Row],[A5 - Overig Materieel tbv Aanleg]],Brandstofmachines_Omrekentabel[],8,FALSE)/VLOOKUP(Invoer_Inschrijf[[#This Row],[A5 - Overig Materieel tbv Aanleg]],Brandstofmachines_Omrekentabel[],8,FALSE),0)),0)</f>
        <v>0</v>
      </c>
      <c r="Z97" s="389">
        <f>Invoer_Referentie[[#This Row],[A5 - Capaciteit overig materieel '[Eenheden / uur']]]</f>
        <v>0</v>
      </c>
      <c r="AA97" s="353"/>
      <c r="AB97" s="353"/>
      <c r="AC97" s="389">
        <f>_xlfn.IFNA(IF(VLOOKUP(Invoer_Inschrijf[[#This Row],[C1 - Overig Materieel tbv Verwijderen]],Brandstofmachines_Omrekentabel[],5,FALSE)=0,_xlfn.IFNA(Invoer_Referentie[[#This Row],[C1 - Verbruik overige materieel '[liter - kWh - kg / uur']]]*VLOOKUP(Invoer_Referentie[[#This Row],[C1 - Overig Materieel tbv Verwijderen]],Brandstofmachines_Omrekentabel[],8,FALSE)/VLOOKUP(Invoer_Inschrijf[[#This Row],[C1 - Overig Materieel tbv Verwijderen]],Brandstofmachines_Omrekentabel[],8,FALSE),0),_xlfn.IFNA(Invoer_Referentie[[#This Row],[C1 - Verbruik overige materieel '[liter - kWh - kg / uur']]]*VLOOKUP(Invoer_Referentie[[#This Row],[C1 - Overig Materieel tbv Verwijderen]],Brandstofmachines_Omrekentabel[],8,FALSE)/VLOOKUP(Invoer_Inschrijf[[#This Row],[C1 - Overig Materieel tbv Verwijderen]],Brandstofmachines_Omrekentabel[],8,FALSE),0)),0)</f>
        <v>0</v>
      </c>
      <c r="AD97" s="389">
        <f>Invoer_Referentie[[#This Row],[C1 - Capaciteit overig materieel '[Eenheden / uur']]]</f>
        <v>0</v>
      </c>
      <c r="AE97" s="353"/>
      <c r="AF97" s="352"/>
      <c r="AG97" s="353"/>
      <c r="AH97" s="235"/>
      <c r="BK97" s="224"/>
      <c r="BL97" s="224"/>
      <c r="BM97" s="224"/>
    </row>
    <row r="98" spans="2:65" hidden="1">
      <c r="B98" s="320"/>
      <c r="C98" s="235"/>
      <c r="D98" s="253"/>
      <c r="E98" s="1"/>
      <c r="F98" s="347"/>
      <c r="G98" s="399">
        <f>_xlfn.IFNA(IF(Invoer_Inschrijf[[#This Row],[Productgroep]]="Categorie_1_LCA_Producten",1,(VLOOKUP(Invoer_Inschrijf[[#This Row],[Product]],Database_Productkaarten[[Product]:[Comment]],64,FALSE))),0)</f>
        <v>0</v>
      </c>
      <c r="H98" s="320">
        <f>_xlfn.IFNA(IF(Invoer_Inschrijf[[#This Row],[Productgroep]]="Categorie_1_LCA_Producten",VLOOKUP(Invoer_Inschrijf[[#This Row],[Product]],Categorie_1_Producten[],2,FALSE),VLOOKUP(Invoer_Inschrijf[[#This Row],[Product]],Database_Productkaarten[[Product]:[Category]],60,FALSE)),0)</f>
        <v>0</v>
      </c>
      <c r="I98" s="260" t="e">
        <f>_xlfn.IFNA(VLOOKUP(Invoer_Inschrijf[[#This Row],[Product]],Database_Productkaarten[[Product]:[Producttype]],3,FALSE),VLOOKUP(Invoer_Inschrijf[[#This Row],[Product]],Categorie_1_Producten[#All],3,FALSE))</f>
        <v>#N/A</v>
      </c>
      <c r="J98" s="238"/>
      <c r="K98" s="320">
        <f>_xlfn.IFNA(IF(Invoer_Inschrijf[[#This Row],[Productgroep]]="Categorie_1_LCA_Producten",VLOOKUP(Invoer_Inschrijf[[#This Row],[Product]],Categorie_1_Producten[],4,FALSE),VLOOKUP(Invoer_Inschrijf[[#This Row],[Product]],Database_Productkaarten[[Product]:[Eenheid]],4,FALSE)),0)</f>
        <v>0</v>
      </c>
      <c r="L98" s="320"/>
      <c r="M98" s="320"/>
      <c r="N98" s="260"/>
      <c r="O98" s="237">
        <f>Invoer_Inschrijf[[#This Row],[Lengte'[m']]]*Invoer_Inschrijf[[#This Row],[Breedte '[m']]]</f>
        <v>0</v>
      </c>
      <c r="P98" s="235">
        <f>IFERROR(IF(Invoer_Inschrijf[[#This Row],[Oppervlakte '[m2']]]*Invoer_Inschrijf[[#This Row],[Dikte '[m']]]=0,Invoer_Inschrijf[[#This Row],[Gewicht '[ton']]]/Invoer_Inschrijf[[#This Row],[Soortelijk gewicht '[ton / m3']]],Invoer_Inschrijf[[#This Row],[Oppervlakte '[m2']]]*Invoer_Inschrijf[[#This Row],[Dikte '[m']]]),0)</f>
        <v>0</v>
      </c>
      <c r="Q98" s="236">
        <f>_xlfn.IFNA(IF(Invoer_Inschrijf[[#This Row],[Productgroep]]="Categorie_1_LCA_Producten",VLOOKUP(F98,Categorie_1_Producten[#All],5,FALSE),VLOOKUP(F98&amp;", "&amp;"Totaal",Database_Productkaarten[#All],12,FALSE)),0)</f>
        <v>0</v>
      </c>
      <c r="R98" s="235">
        <f>_xlfn.IFNA(IF(Invoer_Inschrijf[[#This Row],[Productgroep]]="Categorie_1_LCA_Producten",VLOOKUP(Invoer_Inschrijf[[#This Row],[Product]],Categorie_1_Producten[],5,FALSE)*Invoer_Inschrijf[[#This Row],[Aantal Eenheden]],(VLOOKUP(Invoer_Inschrijf[[#This Row],[Product]],Database_Productkaarten[[Product]:[Gewicht '[ton'] / Eenheid]],12,FALSE)*Invoer_Inschrijf[[#This Row],[Aantal Eenheden]])),0)</f>
        <v>0</v>
      </c>
      <c r="S98" s="237"/>
      <c r="T98" s="238">
        <f>MAX(IFERROR($E$2/IF(Invoer_Inschrijf[[#This Row],[Productgroep]]="Categorie_1_LCA_Producten",VLOOKUP(Invoer_Inschrijf[[#This Row],[Product]],Categorie_1_Producten[#All],7,FALSE),VLOOKUP(Invoer_Inschrijf[[#This Row],[Product]]&amp;", "&amp;"Totaal",Database_Productkaarten[#All],15,FALSE))-1,0),0)</f>
        <v>0</v>
      </c>
      <c r="U98" s="352"/>
      <c r="V98" s="352"/>
      <c r="W98" s="353"/>
      <c r="X98" s="353"/>
      <c r="Y98" s="389">
        <f>_xlfn.IFNA(IF(VLOOKUP(Invoer_Inschrijf[[#This Row],[A5 - Overig Materieel tbv Aanleg]],Brandstofmachines_Omrekentabel[],5,FALSE)=0,_xlfn.IFNA(Invoer_Referentie[[#This Row],[A5 - Verbruik overig materieel '[liter - kWh - kg / uur']]]*VLOOKUP(Invoer_Referentie[[#This Row],[A5 - Overig Materieel tbv Aanleg]],Brandstofmachines_Omrekentabel[],8,FALSE)/VLOOKUP(Invoer_Inschrijf[[#This Row],[A5 - Overig Materieel tbv Aanleg]],Brandstofmachines_Omrekentabel[],8,FALSE),0),_xlfn.IFNA(Invoer_Referentie[[#This Row],[A5 - Verbruik overig materieel '[liter - kWh - kg / uur']]]*VLOOKUP(Invoer_Referentie[[#This Row],[A5 - Overig Materieel tbv Aanleg]],Brandstofmachines_Omrekentabel[],8,FALSE)/VLOOKUP(Invoer_Inschrijf[[#This Row],[A5 - Overig Materieel tbv Aanleg]],Brandstofmachines_Omrekentabel[],8,FALSE),0)),0)</f>
        <v>0</v>
      </c>
      <c r="Z98" s="389">
        <f>Invoer_Referentie[[#This Row],[A5 - Capaciteit overig materieel '[Eenheden / uur']]]</f>
        <v>0</v>
      </c>
      <c r="AA98" s="353"/>
      <c r="AB98" s="353"/>
      <c r="AC98" s="389">
        <f>_xlfn.IFNA(IF(VLOOKUP(Invoer_Inschrijf[[#This Row],[C1 - Overig Materieel tbv Verwijderen]],Brandstofmachines_Omrekentabel[],5,FALSE)=0,_xlfn.IFNA(Invoer_Referentie[[#This Row],[C1 - Verbruik overige materieel '[liter - kWh - kg / uur']]]*VLOOKUP(Invoer_Referentie[[#This Row],[C1 - Overig Materieel tbv Verwijderen]],Brandstofmachines_Omrekentabel[],8,FALSE)/VLOOKUP(Invoer_Inschrijf[[#This Row],[C1 - Overig Materieel tbv Verwijderen]],Brandstofmachines_Omrekentabel[],8,FALSE),0),_xlfn.IFNA(Invoer_Referentie[[#This Row],[C1 - Verbruik overige materieel '[liter - kWh - kg / uur']]]*VLOOKUP(Invoer_Referentie[[#This Row],[C1 - Overig Materieel tbv Verwijderen]],Brandstofmachines_Omrekentabel[],8,FALSE)/VLOOKUP(Invoer_Inschrijf[[#This Row],[C1 - Overig Materieel tbv Verwijderen]],Brandstofmachines_Omrekentabel[],8,FALSE),0)),0)</f>
        <v>0</v>
      </c>
      <c r="AD98" s="389">
        <f>Invoer_Referentie[[#This Row],[C1 - Capaciteit overig materieel '[Eenheden / uur']]]</f>
        <v>0</v>
      </c>
      <c r="AE98" s="353"/>
      <c r="AF98" s="352"/>
      <c r="AG98" s="353"/>
      <c r="AH98" s="235"/>
      <c r="BK98" s="224"/>
      <c r="BL98" s="224"/>
      <c r="BM98" s="224"/>
    </row>
    <row r="99" spans="2:65" hidden="1">
      <c r="B99" s="320"/>
      <c r="C99" s="235"/>
      <c r="D99" s="253"/>
      <c r="E99" s="1"/>
      <c r="F99" s="347"/>
      <c r="G99" s="399">
        <f>_xlfn.IFNA(IF(Invoer_Inschrijf[[#This Row],[Productgroep]]="Categorie_1_LCA_Producten",1,(VLOOKUP(Invoer_Inschrijf[[#This Row],[Product]],Database_Productkaarten[[Product]:[Comment]],64,FALSE))),0)</f>
        <v>0</v>
      </c>
      <c r="H99" s="320">
        <f>_xlfn.IFNA(IF(Invoer_Inschrijf[[#This Row],[Productgroep]]="Categorie_1_LCA_Producten",VLOOKUP(Invoer_Inschrijf[[#This Row],[Product]],Categorie_1_Producten[],2,FALSE),VLOOKUP(Invoer_Inschrijf[[#This Row],[Product]],Database_Productkaarten[[Product]:[Category]],60,FALSE)),0)</f>
        <v>0</v>
      </c>
      <c r="I99" s="260" t="e">
        <f>_xlfn.IFNA(VLOOKUP(Invoer_Inschrijf[[#This Row],[Product]],Database_Productkaarten[[Product]:[Producttype]],3,FALSE),VLOOKUP(Invoer_Inschrijf[[#This Row],[Product]],Categorie_1_Producten[#All],3,FALSE))</f>
        <v>#N/A</v>
      </c>
      <c r="J99" s="238"/>
      <c r="K99" s="320">
        <f>_xlfn.IFNA(IF(Invoer_Inschrijf[[#This Row],[Productgroep]]="Categorie_1_LCA_Producten",VLOOKUP(Invoer_Inschrijf[[#This Row],[Product]],Categorie_1_Producten[],4,FALSE),VLOOKUP(Invoer_Inschrijf[[#This Row],[Product]],Database_Productkaarten[[Product]:[Eenheid]],4,FALSE)),0)</f>
        <v>0</v>
      </c>
      <c r="L99" s="320"/>
      <c r="M99" s="320"/>
      <c r="N99" s="260"/>
      <c r="O99" s="237">
        <f>Invoer_Inschrijf[[#This Row],[Lengte'[m']]]*Invoer_Inschrijf[[#This Row],[Breedte '[m']]]</f>
        <v>0</v>
      </c>
      <c r="P99" s="235">
        <f>IFERROR(IF(Invoer_Inschrijf[[#This Row],[Oppervlakte '[m2']]]*Invoer_Inschrijf[[#This Row],[Dikte '[m']]]=0,Invoer_Inschrijf[[#This Row],[Gewicht '[ton']]]/Invoer_Inschrijf[[#This Row],[Soortelijk gewicht '[ton / m3']]],Invoer_Inschrijf[[#This Row],[Oppervlakte '[m2']]]*Invoer_Inschrijf[[#This Row],[Dikte '[m']]]),0)</f>
        <v>0</v>
      </c>
      <c r="Q99" s="236">
        <f>_xlfn.IFNA(IF(Invoer_Inschrijf[[#This Row],[Productgroep]]="Categorie_1_LCA_Producten",VLOOKUP(F99,Categorie_1_Producten[#All],5,FALSE),VLOOKUP(F99&amp;", "&amp;"Totaal",Database_Productkaarten[#All],12,FALSE)),0)</f>
        <v>0</v>
      </c>
      <c r="R99" s="235">
        <f>_xlfn.IFNA(IF(Invoer_Inschrijf[[#This Row],[Productgroep]]="Categorie_1_LCA_Producten",VLOOKUP(Invoer_Inschrijf[[#This Row],[Product]],Categorie_1_Producten[],5,FALSE)*Invoer_Inschrijf[[#This Row],[Aantal Eenheden]],(VLOOKUP(Invoer_Inschrijf[[#This Row],[Product]],Database_Productkaarten[[Product]:[Gewicht '[ton'] / Eenheid]],12,FALSE)*Invoer_Inschrijf[[#This Row],[Aantal Eenheden]])),0)</f>
        <v>0</v>
      </c>
      <c r="S99" s="237"/>
      <c r="T99" s="238">
        <f>MAX(IFERROR($E$2/IF(Invoer_Inschrijf[[#This Row],[Productgroep]]="Categorie_1_LCA_Producten",VLOOKUP(Invoer_Inschrijf[[#This Row],[Product]],Categorie_1_Producten[#All],7,FALSE),VLOOKUP(Invoer_Inschrijf[[#This Row],[Product]]&amp;", "&amp;"Totaal",Database_Productkaarten[#All],15,FALSE))-1,0),0)</f>
        <v>0</v>
      </c>
      <c r="U99" s="352"/>
      <c r="V99" s="352"/>
      <c r="W99" s="353"/>
      <c r="X99" s="353"/>
      <c r="Y99" s="389">
        <f>_xlfn.IFNA(IF(VLOOKUP(Invoer_Inschrijf[[#This Row],[A5 - Overig Materieel tbv Aanleg]],Brandstofmachines_Omrekentabel[],5,FALSE)=0,_xlfn.IFNA(Invoer_Referentie[[#This Row],[A5 - Verbruik overig materieel '[liter - kWh - kg / uur']]]*VLOOKUP(Invoer_Referentie[[#This Row],[A5 - Overig Materieel tbv Aanleg]],Brandstofmachines_Omrekentabel[],8,FALSE)/VLOOKUP(Invoer_Inschrijf[[#This Row],[A5 - Overig Materieel tbv Aanleg]],Brandstofmachines_Omrekentabel[],8,FALSE),0),_xlfn.IFNA(Invoer_Referentie[[#This Row],[A5 - Verbruik overig materieel '[liter - kWh - kg / uur']]]*VLOOKUP(Invoer_Referentie[[#This Row],[A5 - Overig Materieel tbv Aanleg]],Brandstofmachines_Omrekentabel[],8,FALSE)/VLOOKUP(Invoer_Inschrijf[[#This Row],[A5 - Overig Materieel tbv Aanleg]],Brandstofmachines_Omrekentabel[],8,FALSE),0)),0)</f>
        <v>0</v>
      </c>
      <c r="Z99" s="389">
        <f>Invoer_Referentie[[#This Row],[A5 - Capaciteit overig materieel '[Eenheden / uur']]]</f>
        <v>0</v>
      </c>
      <c r="AA99" s="353"/>
      <c r="AB99" s="353"/>
      <c r="AC99" s="389">
        <f>_xlfn.IFNA(IF(VLOOKUP(Invoer_Inschrijf[[#This Row],[C1 - Overig Materieel tbv Verwijderen]],Brandstofmachines_Omrekentabel[],5,FALSE)=0,_xlfn.IFNA(Invoer_Referentie[[#This Row],[C1 - Verbruik overige materieel '[liter - kWh - kg / uur']]]*VLOOKUP(Invoer_Referentie[[#This Row],[C1 - Overig Materieel tbv Verwijderen]],Brandstofmachines_Omrekentabel[],8,FALSE)/VLOOKUP(Invoer_Inschrijf[[#This Row],[C1 - Overig Materieel tbv Verwijderen]],Brandstofmachines_Omrekentabel[],8,FALSE),0),_xlfn.IFNA(Invoer_Referentie[[#This Row],[C1 - Verbruik overige materieel '[liter - kWh - kg / uur']]]*VLOOKUP(Invoer_Referentie[[#This Row],[C1 - Overig Materieel tbv Verwijderen]],Brandstofmachines_Omrekentabel[],8,FALSE)/VLOOKUP(Invoer_Inschrijf[[#This Row],[C1 - Overig Materieel tbv Verwijderen]],Brandstofmachines_Omrekentabel[],8,FALSE),0)),0)</f>
        <v>0</v>
      </c>
      <c r="AD99" s="389">
        <f>Invoer_Referentie[[#This Row],[C1 - Capaciteit overig materieel '[Eenheden / uur']]]</f>
        <v>0</v>
      </c>
      <c r="AE99" s="353"/>
      <c r="AF99" s="352"/>
      <c r="AG99" s="353"/>
      <c r="AH99" s="235"/>
      <c r="BK99" s="224"/>
      <c r="BL99" s="224"/>
      <c r="BM99" s="224"/>
    </row>
    <row r="100" spans="2:65" hidden="1">
      <c r="B100" s="320"/>
      <c r="C100" s="235"/>
      <c r="D100" s="253"/>
      <c r="E100" s="1"/>
      <c r="F100" s="347"/>
      <c r="G100" s="399">
        <f>_xlfn.IFNA(IF(Invoer_Inschrijf[[#This Row],[Productgroep]]="Categorie_1_LCA_Producten",1,(VLOOKUP(Invoer_Inschrijf[[#This Row],[Product]],Database_Productkaarten[[Product]:[Comment]],64,FALSE))),0)</f>
        <v>0</v>
      </c>
      <c r="H100" s="320">
        <f>_xlfn.IFNA(IF(Invoer_Inschrijf[[#This Row],[Productgroep]]="Categorie_1_LCA_Producten",VLOOKUP(Invoer_Inschrijf[[#This Row],[Product]],Categorie_1_Producten[],2,FALSE),VLOOKUP(Invoer_Inschrijf[[#This Row],[Product]],Database_Productkaarten[[Product]:[Category]],60,FALSE)),0)</f>
        <v>0</v>
      </c>
      <c r="I100" s="260" t="e">
        <f>_xlfn.IFNA(VLOOKUP(Invoer_Inschrijf[[#This Row],[Product]],Database_Productkaarten[[Product]:[Producttype]],3,FALSE),VLOOKUP(Invoer_Inschrijf[[#This Row],[Product]],Categorie_1_Producten[#All],3,FALSE))</f>
        <v>#N/A</v>
      </c>
      <c r="J100" s="238"/>
      <c r="K100" s="320">
        <f>_xlfn.IFNA(IF(Invoer_Inschrijf[[#This Row],[Productgroep]]="Categorie_1_LCA_Producten",VLOOKUP(Invoer_Inschrijf[[#This Row],[Product]],Categorie_1_Producten[],4,FALSE),VLOOKUP(Invoer_Inschrijf[[#This Row],[Product]],Database_Productkaarten[[Product]:[Eenheid]],4,FALSE)),0)</f>
        <v>0</v>
      </c>
      <c r="L100" s="320"/>
      <c r="M100" s="320"/>
      <c r="N100" s="260"/>
      <c r="O100" s="237">
        <f>Invoer_Inschrijf[[#This Row],[Lengte'[m']]]*Invoer_Inschrijf[[#This Row],[Breedte '[m']]]</f>
        <v>0</v>
      </c>
      <c r="P100" s="235">
        <f>IFERROR(IF(Invoer_Inschrijf[[#This Row],[Oppervlakte '[m2']]]*Invoer_Inschrijf[[#This Row],[Dikte '[m']]]=0,Invoer_Inschrijf[[#This Row],[Gewicht '[ton']]]/Invoer_Inschrijf[[#This Row],[Soortelijk gewicht '[ton / m3']]],Invoer_Inschrijf[[#This Row],[Oppervlakte '[m2']]]*Invoer_Inschrijf[[#This Row],[Dikte '[m']]]),0)</f>
        <v>0</v>
      </c>
      <c r="Q100" s="236">
        <f>_xlfn.IFNA(IF(Invoer_Inschrijf[[#This Row],[Productgroep]]="Categorie_1_LCA_Producten",VLOOKUP(F100,Categorie_1_Producten[#All],5,FALSE),VLOOKUP(F100&amp;", "&amp;"Totaal",Database_Productkaarten[#All],12,FALSE)),0)</f>
        <v>0</v>
      </c>
      <c r="R100" s="235">
        <f>_xlfn.IFNA(IF(Invoer_Inschrijf[[#This Row],[Productgroep]]="Categorie_1_LCA_Producten",VLOOKUP(Invoer_Inschrijf[[#This Row],[Product]],Categorie_1_Producten[],5,FALSE)*Invoer_Inschrijf[[#This Row],[Aantal Eenheden]],(VLOOKUP(Invoer_Inschrijf[[#This Row],[Product]],Database_Productkaarten[[Product]:[Gewicht '[ton'] / Eenheid]],12,FALSE)*Invoer_Inschrijf[[#This Row],[Aantal Eenheden]])),0)</f>
        <v>0</v>
      </c>
      <c r="S100" s="237"/>
      <c r="T100" s="238">
        <f>MAX(IFERROR($E$2/IF(Invoer_Inschrijf[[#This Row],[Productgroep]]="Categorie_1_LCA_Producten",VLOOKUP(Invoer_Inschrijf[[#This Row],[Product]],Categorie_1_Producten[#All],7,FALSE),VLOOKUP(Invoer_Inschrijf[[#This Row],[Product]]&amp;", "&amp;"Totaal",Database_Productkaarten[#All],15,FALSE))-1,0),0)</f>
        <v>0</v>
      </c>
      <c r="U100" s="352"/>
      <c r="V100" s="352"/>
      <c r="W100" s="353"/>
      <c r="X100" s="353"/>
      <c r="Y100" s="389">
        <f>_xlfn.IFNA(IF(VLOOKUP(Invoer_Inschrijf[[#This Row],[A5 - Overig Materieel tbv Aanleg]],Brandstofmachines_Omrekentabel[],5,FALSE)=0,_xlfn.IFNA(Invoer_Referentie[[#This Row],[A5 - Verbruik overig materieel '[liter - kWh - kg / uur']]]*VLOOKUP(Invoer_Referentie[[#This Row],[A5 - Overig Materieel tbv Aanleg]],Brandstofmachines_Omrekentabel[],8,FALSE)/VLOOKUP(Invoer_Inschrijf[[#This Row],[A5 - Overig Materieel tbv Aanleg]],Brandstofmachines_Omrekentabel[],8,FALSE),0),_xlfn.IFNA(Invoer_Referentie[[#This Row],[A5 - Verbruik overig materieel '[liter - kWh - kg / uur']]]*VLOOKUP(Invoer_Referentie[[#This Row],[A5 - Overig Materieel tbv Aanleg]],Brandstofmachines_Omrekentabel[],8,FALSE)/VLOOKUP(Invoer_Inschrijf[[#This Row],[A5 - Overig Materieel tbv Aanleg]],Brandstofmachines_Omrekentabel[],8,FALSE),0)),0)</f>
        <v>0</v>
      </c>
      <c r="Z100" s="389">
        <f>Invoer_Referentie[[#This Row],[A5 - Capaciteit overig materieel '[Eenheden / uur']]]</f>
        <v>0</v>
      </c>
      <c r="AA100" s="353"/>
      <c r="AB100" s="353"/>
      <c r="AC100" s="389">
        <f>_xlfn.IFNA(IF(VLOOKUP(Invoer_Inschrijf[[#This Row],[C1 - Overig Materieel tbv Verwijderen]],Brandstofmachines_Omrekentabel[],5,FALSE)=0,_xlfn.IFNA(Invoer_Referentie[[#This Row],[C1 - Verbruik overige materieel '[liter - kWh - kg / uur']]]*VLOOKUP(Invoer_Referentie[[#This Row],[C1 - Overig Materieel tbv Verwijderen]],Brandstofmachines_Omrekentabel[],8,FALSE)/VLOOKUP(Invoer_Inschrijf[[#This Row],[C1 - Overig Materieel tbv Verwijderen]],Brandstofmachines_Omrekentabel[],8,FALSE),0),_xlfn.IFNA(Invoer_Referentie[[#This Row],[C1 - Verbruik overige materieel '[liter - kWh - kg / uur']]]*VLOOKUP(Invoer_Referentie[[#This Row],[C1 - Overig Materieel tbv Verwijderen]],Brandstofmachines_Omrekentabel[],8,FALSE)/VLOOKUP(Invoer_Inschrijf[[#This Row],[C1 - Overig Materieel tbv Verwijderen]],Brandstofmachines_Omrekentabel[],8,FALSE),0)),0)</f>
        <v>0</v>
      </c>
      <c r="AD100" s="389">
        <f>Invoer_Referentie[[#This Row],[C1 - Capaciteit overig materieel '[Eenheden / uur']]]</f>
        <v>0</v>
      </c>
      <c r="AE100" s="353"/>
      <c r="AF100" s="352"/>
      <c r="AG100" s="353"/>
      <c r="AH100" s="235"/>
      <c r="BK100" s="224"/>
      <c r="BL100" s="224"/>
      <c r="BM100" s="224"/>
    </row>
    <row r="101" spans="2:65" hidden="1">
      <c r="B101" s="320"/>
      <c r="C101" s="235"/>
      <c r="D101" s="253"/>
      <c r="E101" s="1"/>
      <c r="F101" s="347"/>
      <c r="G101" s="399">
        <f>_xlfn.IFNA(IF(Invoer_Inschrijf[[#This Row],[Productgroep]]="Categorie_1_LCA_Producten",1,(VLOOKUP(Invoer_Inschrijf[[#This Row],[Product]],Database_Productkaarten[[Product]:[Comment]],64,FALSE))),0)</f>
        <v>0</v>
      </c>
      <c r="H101" s="320">
        <f>_xlfn.IFNA(IF(Invoer_Inschrijf[[#This Row],[Productgroep]]="Categorie_1_LCA_Producten",VLOOKUP(Invoer_Inschrijf[[#This Row],[Product]],Categorie_1_Producten[],2,FALSE),VLOOKUP(Invoer_Inschrijf[[#This Row],[Product]],Database_Productkaarten[[Product]:[Category]],60,FALSE)),0)</f>
        <v>0</v>
      </c>
      <c r="I101" s="260" t="e">
        <f>_xlfn.IFNA(VLOOKUP(Invoer_Inschrijf[[#This Row],[Product]],Database_Productkaarten[[Product]:[Producttype]],3,FALSE),VLOOKUP(Invoer_Inschrijf[[#This Row],[Product]],Categorie_1_Producten[#All],3,FALSE))</f>
        <v>#N/A</v>
      </c>
      <c r="J101" s="238"/>
      <c r="K101" s="320">
        <f>_xlfn.IFNA(IF(Invoer_Inschrijf[[#This Row],[Productgroep]]="Categorie_1_LCA_Producten",VLOOKUP(Invoer_Inschrijf[[#This Row],[Product]],Categorie_1_Producten[],4,FALSE),VLOOKUP(Invoer_Inschrijf[[#This Row],[Product]],Database_Productkaarten[[Product]:[Eenheid]],4,FALSE)),0)</f>
        <v>0</v>
      </c>
      <c r="L101" s="320"/>
      <c r="M101" s="320"/>
      <c r="N101" s="260"/>
      <c r="O101" s="237">
        <f>Invoer_Inschrijf[[#This Row],[Lengte'[m']]]*Invoer_Inschrijf[[#This Row],[Breedte '[m']]]</f>
        <v>0</v>
      </c>
      <c r="P101" s="235">
        <f>IFERROR(IF(Invoer_Inschrijf[[#This Row],[Oppervlakte '[m2']]]*Invoer_Inschrijf[[#This Row],[Dikte '[m']]]=0,Invoer_Inschrijf[[#This Row],[Gewicht '[ton']]]/Invoer_Inschrijf[[#This Row],[Soortelijk gewicht '[ton / m3']]],Invoer_Inschrijf[[#This Row],[Oppervlakte '[m2']]]*Invoer_Inschrijf[[#This Row],[Dikte '[m']]]),0)</f>
        <v>0</v>
      </c>
      <c r="Q101" s="236">
        <f>_xlfn.IFNA(IF(Invoer_Inschrijf[[#This Row],[Productgroep]]="Categorie_1_LCA_Producten",VLOOKUP(F101,Categorie_1_Producten[#All],5,FALSE),VLOOKUP(F101&amp;", "&amp;"Totaal",Database_Productkaarten[#All],12,FALSE)),0)</f>
        <v>0</v>
      </c>
      <c r="R101" s="235">
        <f>_xlfn.IFNA(IF(Invoer_Inschrijf[[#This Row],[Productgroep]]="Categorie_1_LCA_Producten",VLOOKUP(Invoer_Inschrijf[[#This Row],[Product]],Categorie_1_Producten[],5,FALSE)*Invoer_Inschrijf[[#This Row],[Aantal Eenheden]],(VLOOKUP(Invoer_Inschrijf[[#This Row],[Product]],Database_Productkaarten[[Product]:[Gewicht '[ton'] / Eenheid]],12,FALSE)*Invoer_Inschrijf[[#This Row],[Aantal Eenheden]])),0)</f>
        <v>0</v>
      </c>
      <c r="S101" s="237"/>
      <c r="T101" s="238">
        <f>MAX(IFERROR($E$2/IF(Invoer_Inschrijf[[#This Row],[Productgroep]]="Categorie_1_LCA_Producten",VLOOKUP(Invoer_Inschrijf[[#This Row],[Product]],Categorie_1_Producten[#All],7,FALSE),VLOOKUP(Invoer_Inschrijf[[#This Row],[Product]]&amp;", "&amp;"Totaal",Database_Productkaarten[#All],15,FALSE))-1,0),0)</f>
        <v>0</v>
      </c>
      <c r="U101" s="352"/>
      <c r="V101" s="352"/>
      <c r="W101" s="353"/>
      <c r="X101" s="353"/>
      <c r="Y101" s="389">
        <f>_xlfn.IFNA(IF(VLOOKUP(Invoer_Inschrijf[[#This Row],[A5 - Overig Materieel tbv Aanleg]],Brandstofmachines_Omrekentabel[],5,FALSE)=0,_xlfn.IFNA(Invoer_Referentie[[#This Row],[A5 - Verbruik overig materieel '[liter - kWh - kg / uur']]]*VLOOKUP(Invoer_Referentie[[#This Row],[A5 - Overig Materieel tbv Aanleg]],Brandstofmachines_Omrekentabel[],8,FALSE)/VLOOKUP(Invoer_Inschrijf[[#This Row],[A5 - Overig Materieel tbv Aanleg]],Brandstofmachines_Omrekentabel[],8,FALSE),0),_xlfn.IFNA(Invoer_Referentie[[#This Row],[A5 - Verbruik overig materieel '[liter - kWh - kg / uur']]]*VLOOKUP(Invoer_Referentie[[#This Row],[A5 - Overig Materieel tbv Aanleg]],Brandstofmachines_Omrekentabel[],8,FALSE)/VLOOKUP(Invoer_Inschrijf[[#This Row],[A5 - Overig Materieel tbv Aanleg]],Brandstofmachines_Omrekentabel[],8,FALSE),0)),0)</f>
        <v>0</v>
      </c>
      <c r="Z101" s="389">
        <f>Invoer_Referentie[[#This Row],[A5 - Capaciteit overig materieel '[Eenheden / uur']]]</f>
        <v>0</v>
      </c>
      <c r="AA101" s="353"/>
      <c r="AB101" s="353"/>
      <c r="AC101" s="389">
        <f>_xlfn.IFNA(IF(VLOOKUP(Invoer_Inschrijf[[#This Row],[C1 - Overig Materieel tbv Verwijderen]],Brandstofmachines_Omrekentabel[],5,FALSE)=0,_xlfn.IFNA(Invoer_Referentie[[#This Row],[C1 - Verbruik overige materieel '[liter - kWh - kg / uur']]]*VLOOKUP(Invoer_Referentie[[#This Row],[C1 - Overig Materieel tbv Verwijderen]],Brandstofmachines_Omrekentabel[],8,FALSE)/VLOOKUP(Invoer_Inschrijf[[#This Row],[C1 - Overig Materieel tbv Verwijderen]],Brandstofmachines_Omrekentabel[],8,FALSE),0),_xlfn.IFNA(Invoer_Referentie[[#This Row],[C1 - Verbruik overige materieel '[liter - kWh - kg / uur']]]*VLOOKUP(Invoer_Referentie[[#This Row],[C1 - Overig Materieel tbv Verwijderen]],Brandstofmachines_Omrekentabel[],8,FALSE)/VLOOKUP(Invoer_Inschrijf[[#This Row],[C1 - Overig Materieel tbv Verwijderen]],Brandstofmachines_Omrekentabel[],8,FALSE),0)),0)</f>
        <v>0</v>
      </c>
      <c r="AD101" s="389">
        <f>Invoer_Referentie[[#This Row],[C1 - Capaciteit overig materieel '[Eenheden / uur']]]</f>
        <v>0</v>
      </c>
      <c r="AE101" s="353"/>
      <c r="AF101" s="352"/>
      <c r="AG101" s="353"/>
      <c r="AH101" s="235"/>
      <c r="BK101" s="224"/>
      <c r="BL101" s="224"/>
      <c r="BM101" s="224"/>
    </row>
    <row r="102" spans="2:65" hidden="1">
      <c r="B102" s="320"/>
      <c r="C102" s="235"/>
      <c r="D102" s="253"/>
      <c r="E102" s="1"/>
      <c r="F102" s="347"/>
      <c r="G102" s="399">
        <f>_xlfn.IFNA(IF(Invoer_Inschrijf[[#This Row],[Productgroep]]="Categorie_1_LCA_Producten",1,(VLOOKUP(Invoer_Inschrijf[[#This Row],[Product]],Database_Productkaarten[[Product]:[Comment]],64,FALSE))),0)</f>
        <v>0</v>
      </c>
      <c r="H102" s="320">
        <f>_xlfn.IFNA(IF(Invoer_Inschrijf[[#This Row],[Productgroep]]="Categorie_1_LCA_Producten",VLOOKUP(Invoer_Inschrijf[[#This Row],[Product]],Categorie_1_Producten[],2,FALSE),VLOOKUP(Invoer_Inschrijf[[#This Row],[Product]],Database_Productkaarten[[Product]:[Category]],60,FALSE)),0)</f>
        <v>0</v>
      </c>
      <c r="I102" s="260" t="e">
        <f>_xlfn.IFNA(VLOOKUP(Invoer_Inschrijf[[#This Row],[Product]],Database_Productkaarten[[Product]:[Producttype]],3,FALSE),VLOOKUP(Invoer_Inschrijf[[#This Row],[Product]],Categorie_1_Producten[#All],3,FALSE))</f>
        <v>#N/A</v>
      </c>
      <c r="J102" s="238"/>
      <c r="K102" s="320">
        <f>_xlfn.IFNA(IF(Invoer_Inschrijf[[#This Row],[Productgroep]]="Categorie_1_LCA_Producten",VLOOKUP(Invoer_Inschrijf[[#This Row],[Product]],Categorie_1_Producten[],4,FALSE),VLOOKUP(Invoer_Inschrijf[[#This Row],[Product]],Database_Productkaarten[[Product]:[Eenheid]],4,FALSE)),0)</f>
        <v>0</v>
      </c>
      <c r="L102" s="320"/>
      <c r="M102" s="320"/>
      <c r="N102" s="260"/>
      <c r="O102" s="237">
        <f>Invoer_Inschrijf[[#This Row],[Lengte'[m']]]*Invoer_Inschrijf[[#This Row],[Breedte '[m']]]</f>
        <v>0</v>
      </c>
      <c r="P102" s="235">
        <f>IFERROR(IF(Invoer_Inschrijf[[#This Row],[Oppervlakte '[m2']]]*Invoer_Inschrijf[[#This Row],[Dikte '[m']]]=0,Invoer_Inschrijf[[#This Row],[Gewicht '[ton']]]/Invoer_Inschrijf[[#This Row],[Soortelijk gewicht '[ton / m3']]],Invoer_Inschrijf[[#This Row],[Oppervlakte '[m2']]]*Invoer_Inschrijf[[#This Row],[Dikte '[m']]]),0)</f>
        <v>0</v>
      </c>
      <c r="Q102" s="236">
        <f>_xlfn.IFNA(IF(Invoer_Inschrijf[[#This Row],[Productgroep]]="Categorie_1_LCA_Producten",VLOOKUP(F102,Categorie_1_Producten[#All],5,FALSE),VLOOKUP(F102&amp;", "&amp;"Totaal",Database_Productkaarten[#All],12,FALSE)),0)</f>
        <v>0</v>
      </c>
      <c r="R102" s="235">
        <f>_xlfn.IFNA(IF(Invoer_Inschrijf[[#This Row],[Productgroep]]="Categorie_1_LCA_Producten",VLOOKUP(Invoer_Inschrijf[[#This Row],[Product]],Categorie_1_Producten[],5,FALSE)*Invoer_Inschrijf[[#This Row],[Aantal Eenheden]],(VLOOKUP(Invoer_Inschrijf[[#This Row],[Product]],Database_Productkaarten[[Product]:[Gewicht '[ton'] / Eenheid]],12,FALSE)*Invoer_Inschrijf[[#This Row],[Aantal Eenheden]])),0)</f>
        <v>0</v>
      </c>
      <c r="S102" s="237"/>
      <c r="T102" s="238">
        <f>MAX(IFERROR($E$2/IF(Invoer_Inschrijf[[#This Row],[Productgroep]]="Categorie_1_LCA_Producten",VLOOKUP(Invoer_Inschrijf[[#This Row],[Product]],Categorie_1_Producten[#All],7,FALSE),VLOOKUP(Invoer_Inschrijf[[#This Row],[Product]]&amp;", "&amp;"Totaal",Database_Productkaarten[#All],15,FALSE))-1,0),0)</f>
        <v>0</v>
      </c>
      <c r="U102" s="352"/>
      <c r="V102" s="352"/>
      <c r="W102" s="353"/>
      <c r="X102" s="353"/>
      <c r="Y102" s="389">
        <f>_xlfn.IFNA(IF(VLOOKUP(Invoer_Inschrijf[[#This Row],[A5 - Overig Materieel tbv Aanleg]],Brandstofmachines_Omrekentabel[],5,FALSE)=0,_xlfn.IFNA(Invoer_Referentie[[#This Row],[A5 - Verbruik overig materieel '[liter - kWh - kg / uur']]]*VLOOKUP(Invoer_Referentie[[#This Row],[A5 - Overig Materieel tbv Aanleg]],Brandstofmachines_Omrekentabel[],8,FALSE)/VLOOKUP(Invoer_Inschrijf[[#This Row],[A5 - Overig Materieel tbv Aanleg]],Brandstofmachines_Omrekentabel[],8,FALSE),0),_xlfn.IFNA(Invoer_Referentie[[#This Row],[A5 - Verbruik overig materieel '[liter - kWh - kg / uur']]]*VLOOKUP(Invoer_Referentie[[#This Row],[A5 - Overig Materieel tbv Aanleg]],Brandstofmachines_Omrekentabel[],8,FALSE)/VLOOKUP(Invoer_Inschrijf[[#This Row],[A5 - Overig Materieel tbv Aanleg]],Brandstofmachines_Omrekentabel[],8,FALSE),0)),0)</f>
        <v>0</v>
      </c>
      <c r="Z102" s="389">
        <f>Invoer_Referentie[[#This Row],[A5 - Capaciteit overig materieel '[Eenheden / uur']]]</f>
        <v>0</v>
      </c>
      <c r="AA102" s="353"/>
      <c r="AB102" s="353"/>
      <c r="AC102" s="389">
        <f>_xlfn.IFNA(IF(VLOOKUP(Invoer_Inschrijf[[#This Row],[C1 - Overig Materieel tbv Verwijderen]],Brandstofmachines_Omrekentabel[],5,FALSE)=0,_xlfn.IFNA(Invoer_Referentie[[#This Row],[C1 - Verbruik overige materieel '[liter - kWh - kg / uur']]]*VLOOKUP(Invoer_Referentie[[#This Row],[C1 - Overig Materieel tbv Verwijderen]],Brandstofmachines_Omrekentabel[],8,FALSE)/VLOOKUP(Invoer_Inschrijf[[#This Row],[C1 - Overig Materieel tbv Verwijderen]],Brandstofmachines_Omrekentabel[],8,FALSE),0),_xlfn.IFNA(Invoer_Referentie[[#This Row],[C1 - Verbruik overige materieel '[liter - kWh - kg / uur']]]*VLOOKUP(Invoer_Referentie[[#This Row],[C1 - Overig Materieel tbv Verwijderen]],Brandstofmachines_Omrekentabel[],8,FALSE)/VLOOKUP(Invoer_Inschrijf[[#This Row],[C1 - Overig Materieel tbv Verwijderen]],Brandstofmachines_Omrekentabel[],8,FALSE),0)),0)</f>
        <v>0</v>
      </c>
      <c r="AD102" s="389">
        <f>Invoer_Referentie[[#This Row],[C1 - Capaciteit overig materieel '[Eenheden / uur']]]</f>
        <v>0</v>
      </c>
      <c r="AE102" s="353"/>
      <c r="AF102" s="352"/>
      <c r="AG102" s="353"/>
      <c r="AH102" s="235"/>
      <c r="BK102" s="224"/>
      <c r="BL102" s="224"/>
      <c r="BM102" s="224"/>
    </row>
    <row r="103" spans="2:65" hidden="1">
      <c r="B103" s="320"/>
      <c r="C103" s="235"/>
      <c r="D103" s="253"/>
      <c r="E103" s="1"/>
      <c r="F103" s="347"/>
      <c r="G103" s="399">
        <f>_xlfn.IFNA(IF(Invoer_Inschrijf[[#This Row],[Productgroep]]="Categorie_1_LCA_Producten",1,(VLOOKUP(Invoer_Inschrijf[[#This Row],[Product]],Database_Productkaarten[[Product]:[Comment]],64,FALSE))),0)</f>
        <v>0</v>
      </c>
      <c r="H103" s="320">
        <f>_xlfn.IFNA(IF(Invoer_Inschrijf[[#This Row],[Productgroep]]="Categorie_1_LCA_Producten",VLOOKUP(Invoer_Inschrijf[[#This Row],[Product]],Categorie_1_Producten[],2,FALSE),VLOOKUP(Invoer_Inschrijf[[#This Row],[Product]],Database_Productkaarten[[Product]:[Category]],60,FALSE)),0)</f>
        <v>0</v>
      </c>
      <c r="I103" s="260" t="e">
        <f>_xlfn.IFNA(VLOOKUP(Invoer_Inschrijf[[#This Row],[Product]],Database_Productkaarten[[Product]:[Producttype]],3,FALSE),VLOOKUP(Invoer_Inschrijf[[#This Row],[Product]],Categorie_1_Producten[#All],3,FALSE))</f>
        <v>#N/A</v>
      </c>
      <c r="J103" s="238"/>
      <c r="K103" s="320">
        <f>_xlfn.IFNA(IF(Invoer_Inschrijf[[#This Row],[Productgroep]]="Categorie_1_LCA_Producten",VLOOKUP(Invoer_Inschrijf[[#This Row],[Product]],Categorie_1_Producten[],4,FALSE),VLOOKUP(Invoer_Inschrijf[[#This Row],[Product]],Database_Productkaarten[[Product]:[Eenheid]],4,FALSE)),0)</f>
        <v>0</v>
      </c>
      <c r="L103" s="320"/>
      <c r="M103" s="320"/>
      <c r="N103" s="260"/>
      <c r="O103" s="237">
        <f>Invoer_Inschrijf[[#This Row],[Lengte'[m']]]*Invoer_Inschrijf[[#This Row],[Breedte '[m']]]</f>
        <v>0</v>
      </c>
      <c r="P103" s="235">
        <f>IFERROR(IF(Invoer_Inschrijf[[#This Row],[Oppervlakte '[m2']]]*Invoer_Inschrijf[[#This Row],[Dikte '[m']]]=0,Invoer_Inschrijf[[#This Row],[Gewicht '[ton']]]/Invoer_Inschrijf[[#This Row],[Soortelijk gewicht '[ton / m3']]],Invoer_Inschrijf[[#This Row],[Oppervlakte '[m2']]]*Invoer_Inschrijf[[#This Row],[Dikte '[m']]]),0)</f>
        <v>0</v>
      </c>
      <c r="Q103" s="236">
        <f>_xlfn.IFNA(IF(Invoer_Inschrijf[[#This Row],[Productgroep]]="Categorie_1_LCA_Producten",VLOOKUP(F103,Categorie_1_Producten[#All],5,FALSE),VLOOKUP(F103&amp;", "&amp;"Totaal",Database_Productkaarten[#All],12,FALSE)),0)</f>
        <v>0</v>
      </c>
      <c r="R103" s="235">
        <f>_xlfn.IFNA(IF(Invoer_Inschrijf[[#This Row],[Productgroep]]="Categorie_1_LCA_Producten",VLOOKUP(Invoer_Inschrijf[[#This Row],[Product]],Categorie_1_Producten[],5,FALSE)*Invoer_Inschrijf[[#This Row],[Aantal Eenheden]],(VLOOKUP(Invoer_Inschrijf[[#This Row],[Product]],Database_Productkaarten[[Product]:[Gewicht '[ton'] / Eenheid]],12,FALSE)*Invoer_Inschrijf[[#This Row],[Aantal Eenheden]])),0)</f>
        <v>0</v>
      </c>
      <c r="S103" s="237"/>
      <c r="T103" s="238">
        <f>MAX(IFERROR($E$2/IF(Invoer_Inschrijf[[#This Row],[Productgroep]]="Categorie_1_LCA_Producten",VLOOKUP(Invoer_Inschrijf[[#This Row],[Product]],Categorie_1_Producten[#All],7,FALSE),VLOOKUP(Invoer_Inschrijf[[#This Row],[Product]]&amp;", "&amp;"Totaal",Database_Productkaarten[#All],15,FALSE))-1,0),0)</f>
        <v>0</v>
      </c>
      <c r="U103" s="352"/>
      <c r="V103" s="352"/>
      <c r="W103" s="353"/>
      <c r="X103" s="353"/>
      <c r="Y103" s="389">
        <f>_xlfn.IFNA(IF(VLOOKUP(Invoer_Inschrijf[[#This Row],[A5 - Overig Materieel tbv Aanleg]],Brandstofmachines_Omrekentabel[],5,FALSE)=0,_xlfn.IFNA(Invoer_Referentie[[#This Row],[A5 - Verbruik overig materieel '[liter - kWh - kg / uur']]]*VLOOKUP(Invoer_Referentie[[#This Row],[A5 - Overig Materieel tbv Aanleg]],Brandstofmachines_Omrekentabel[],8,FALSE)/VLOOKUP(Invoer_Inschrijf[[#This Row],[A5 - Overig Materieel tbv Aanleg]],Brandstofmachines_Omrekentabel[],8,FALSE),0),_xlfn.IFNA(Invoer_Referentie[[#This Row],[A5 - Verbruik overig materieel '[liter - kWh - kg / uur']]]*VLOOKUP(Invoer_Referentie[[#This Row],[A5 - Overig Materieel tbv Aanleg]],Brandstofmachines_Omrekentabel[],8,FALSE)/VLOOKUP(Invoer_Inschrijf[[#This Row],[A5 - Overig Materieel tbv Aanleg]],Brandstofmachines_Omrekentabel[],8,FALSE),0)),0)</f>
        <v>0</v>
      </c>
      <c r="Z103" s="389">
        <f>Invoer_Referentie[[#This Row],[A5 - Capaciteit overig materieel '[Eenheden / uur']]]</f>
        <v>0</v>
      </c>
      <c r="AA103" s="353"/>
      <c r="AB103" s="353"/>
      <c r="AC103" s="389">
        <f>_xlfn.IFNA(IF(VLOOKUP(Invoer_Inschrijf[[#This Row],[C1 - Overig Materieel tbv Verwijderen]],Brandstofmachines_Omrekentabel[],5,FALSE)=0,_xlfn.IFNA(Invoer_Referentie[[#This Row],[C1 - Verbruik overige materieel '[liter - kWh - kg / uur']]]*VLOOKUP(Invoer_Referentie[[#This Row],[C1 - Overig Materieel tbv Verwijderen]],Brandstofmachines_Omrekentabel[],8,FALSE)/VLOOKUP(Invoer_Inschrijf[[#This Row],[C1 - Overig Materieel tbv Verwijderen]],Brandstofmachines_Omrekentabel[],8,FALSE),0),_xlfn.IFNA(Invoer_Referentie[[#This Row],[C1 - Verbruik overige materieel '[liter - kWh - kg / uur']]]*VLOOKUP(Invoer_Referentie[[#This Row],[C1 - Overig Materieel tbv Verwijderen]],Brandstofmachines_Omrekentabel[],8,FALSE)/VLOOKUP(Invoer_Inschrijf[[#This Row],[C1 - Overig Materieel tbv Verwijderen]],Brandstofmachines_Omrekentabel[],8,FALSE),0)),0)</f>
        <v>0</v>
      </c>
      <c r="AD103" s="389">
        <f>Invoer_Referentie[[#This Row],[C1 - Capaciteit overig materieel '[Eenheden / uur']]]</f>
        <v>0</v>
      </c>
      <c r="AE103" s="353"/>
      <c r="AF103" s="352"/>
      <c r="AG103" s="353"/>
      <c r="AH103" s="235"/>
      <c r="BK103" s="224"/>
      <c r="BL103" s="224"/>
      <c r="BM103" s="224"/>
    </row>
    <row r="104" spans="2:65" hidden="1">
      <c r="B104" s="320"/>
      <c r="C104" s="235"/>
      <c r="D104" s="253"/>
      <c r="E104" s="1"/>
      <c r="F104" s="347"/>
      <c r="G104" s="399">
        <f>_xlfn.IFNA(IF(Invoer_Inschrijf[[#This Row],[Productgroep]]="Categorie_1_LCA_Producten",1,(VLOOKUP(Invoer_Inschrijf[[#This Row],[Product]],Database_Productkaarten[[Product]:[Comment]],64,FALSE))),0)</f>
        <v>0</v>
      </c>
      <c r="H104" s="320">
        <f>_xlfn.IFNA(IF(Invoer_Inschrijf[[#This Row],[Productgroep]]="Categorie_1_LCA_Producten",VLOOKUP(Invoer_Inschrijf[[#This Row],[Product]],Categorie_1_Producten[],2,FALSE),VLOOKUP(Invoer_Inschrijf[[#This Row],[Product]],Database_Productkaarten[[Product]:[Category]],60,FALSE)),0)</f>
        <v>0</v>
      </c>
      <c r="I104" s="260" t="e">
        <f>_xlfn.IFNA(VLOOKUP(Invoer_Inschrijf[[#This Row],[Product]],Database_Productkaarten[[Product]:[Producttype]],3,FALSE),VLOOKUP(Invoer_Inschrijf[[#This Row],[Product]],Categorie_1_Producten[#All],3,FALSE))</f>
        <v>#N/A</v>
      </c>
      <c r="J104" s="238"/>
      <c r="K104" s="320">
        <f>_xlfn.IFNA(IF(Invoer_Inschrijf[[#This Row],[Productgroep]]="Categorie_1_LCA_Producten",VLOOKUP(Invoer_Inschrijf[[#This Row],[Product]],Categorie_1_Producten[],4,FALSE),VLOOKUP(Invoer_Inschrijf[[#This Row],[Product]],Database_Productkaarten[[Product]:[Eenheid]],4,FALSE)),0)</f>
        <v>0</v>
      </c>
      <c r="L104" s="320"/>
      <c r="M104" s="320"/>
      <c r="N104" s="260"/>
      <c r="O104" s="237">
        <f>Invoer_Inschrijf[[#This Row],[Lengte'[m']]]*Invoer_Inschrijf[[#This Row],[Breedte '[m']]]</f>
        <v>0</v>
      </c>
      <c r="P104" s="235">
        <f>IFERROR(IF(Invoer_Inschrijf[[#This Row],[Oppervlakte '[m2']]]*Invoer_Inschrijf[[#This Row],[Dikte '[m']]]=0,Invoer_Inschrijf[[#This Row],[Gewicht '[ton']]]/Invoer_Inschrijf[[#This Row],[Soortelijk gewicht '[ton / m3']]],Invoer_Inschrijf[[#This Row],[Oppervlakte '[m2']]]*Invoer_Inschrijf[[#This Row],[Dikte '[m']]]),0)</f>
        <v>0</v>
      </c>
      <c r="Q104" s="236">
        <f>_xlfn.IFNA(IF(Invoer_Inschrijf[[#This Row],[Productgroep]]="Categorie_1_LCA_Producten",VLOOKUP(F104,Categorie_1_Producten[#All],5,FALSE),VLOOKUP(F104&amp;", "&amp;"Totaal",Database_Productkaarten[#All],12,FALSE)),0)</f>
        <v>0</v>
      </c>
      <c r="R104" s="235">
        <f>_xlfn.IFNA(IF(Invoer_Inschrijf[[#This Row],[Productgroep]]="Categorie_1_LCA_Producten",VLOOKUP(Invoer_Inschrijf[[#This Row],[Product]],Categorie_1_Producten[],5,FALSE)*Invoer_Inschrijf[[#This Row],[Aantal Eenheden]],(VLOOKUP(Invoer_Inschrijf[[#This Row],[Product]],Database_Productkaarten[[Product]:[Gewicht '[ton'] / Eenheid]],12,FALSE)*Invoer_Inschrijf[[#This Row],[Aantal Eenheden]])),0)</f>
        <v>0</v>
      </c>
      <c r="S104" s="237"/>
      <c r="T104" s="238">
        <f>MAX(IFERROR($E$2/IF(Invoer_Inschrijf[[#This Row],[Productgroep]]="Categorie_1_LCA_Producten",VLOOKUP(Invoer_Inschrijf[[#This Row],[Product]],Categorie_1_Producten[#All],7,FALSE),VLOOKUP(Invoer_Inschrijf[[#This Row],[Product]]&amp;", "&amp;"Totaal",Database_Productkaarten[#All],15,FALSE))-1,0),0)</f>
        <v>0</v>
      </c>
      <c r="U104" s="352"/>
      <c r="V104" s="352"/>
      <c r="W104" s="353"/>
      <c r="X104" s="353"/>
      <c r="Y104" s="389">
        <f>_xlfn.IFNA(IF(VLOOKUP(Invoer_Inschrijf[[#This Row],[A5 - Overig Materieel tbv Aanleg]],Brandstofmachines_Omrekentabel[],5,FALSE)=0,_xlfn.IFNA(Invoer_Referentie[[#This Row],[A5 - Verbruik overig materieel '[liter - kWh - kg / uur']]]*VLOOKUP(Invoer_Referentie[[#This Row],[A5 - Overig Materieel tbv Aanleg]],Brandstofmachines_Omrekentabel[],8,FALSE)/VLOOKUP(Invoer_Inschrijf[[#This Row],[A5 - Overig Materieel tbv Aanleg]],Brandstofmachines_Omrekentabel[],8,FALSE),0),_xlfn.IFNA(Invoer_Referentie[[#This Row],[A5 - Verbruik overig materieel '[liter - kWh - kg / uur']]]*VLOOKUP(Invoer_Referentie[[#This Row],[A5 - Overig Materieel tbv Aanleg]],Brandstofmachines_Omrekentabel[],8,FALSE)/VLOOKUP(Invoer_Inschrijf[[#This Row],[A5 - Overig Materieel tbv Aanleg]],Brandstofmachines_Omrekentabel[],8,FALSE),0)),0)</f>
        <v>0</v>
      </c>
      <c r="Z104" s="389">
        <f>Invoer_Referentie[[#This Row],[A5 - Capaciteit overig materieel '[Eenheden / uur']]]</f>
        <v>0</v>
      </c>
      <c r="AA104" s="353"/>
      <c r="AB104" s="353"/>
      <c r="AC104" s="389">
        <f>_xlfn.IFNA(IF(VLOOKUP(Invoer_Inschrijf[[#This Row],[C1 - Overig Materieel tbv Verwijderen]],Brandstofmachines_Omrekentabel[],5,FALSE)=0,_xlfn.IFNA(Invoer_Referentie[[#This Row],[C1 - Verbruik overige materieel '[liter - kWh - kg / uur']]]*VLOOKUP(Invoer_Referentie[[#This Row],[C1 - Overig Materieel tbv Verwijderen]],Brandstofmachines_Omrekentabel[],8,FALSE)/VLOOKUP(Invoer_Inschrijf[[#This Row],[C1 - Overig Materieel tbv Verwijderen]],Brandstofmachines_Omrekentabel[],8,FALSE),0),_xlfn.IFNA(Invoer_Referentie[[#This Row],[C1 - Verbruik overige materieel '[liter - kWh - kg / uur']]]*VLOOKUP(Invoer_Referentie[[#This Row],[C1 - Overig Materieel tbv Verwijderen]],Brandstofmachines_Omrekentabel[],8,FALSE)/VLOOKUP(Invoer_Inschrijf[[#This Row],[C1 - Overig Materieel tbv Verwijderen]],Brandstofmachines_Omrekentabel[],8,FALSE),0)),0)</f>
        <v>0</v>
      </c>
      <c r="AD104" s="389">
        <f>Invoer_Referentie[[#This Row],[C1 - Capaciteit overig materieel '[Eenheden / uur']]]</f>
        <v>0</v>
      </c>
      <c r="AE104" s="353"/>
      <c r="AF104" s="352"/>
      <c r="AG104" s="353"/>
      <c r="AH104" s="235"/>
      <c r="BK104" s="224"/>
      <c r="BL104" s="224"/>
      <c r="BM104" s="224"/>
    </row>
    <row r="105" spans="2:65">
      <c r="B105" s="224"/>
      <c r="C105" s="224"/>
      <c r="D105" s="224"/>
      <c r="E105" s="224"/>
      <c r="F105" s="224"/>
      <c r="G105" s="224"/>
      <c r="H105" s="224"/>
      <c r="I105" s="224"/>
      <c r="J105" s="224"/>
      <c r="K105" s="224"/>
      <c r="L105" s="224"/>
      <c r="M105" s="224"/>
      <c r="N105" s="224"/>
      <c r="O105" s="224"/>
      <c r="P105" s="224"/>
      <c r="Q105" s="224"/>
    </row>
    <row r="106" spans="2:65">
      <c r="B106" s="224"/>
      <c r="C106" s="224"/>
      <c r="D106" s="224"/>
      <c r="E106" s="224"/>
      <c r="F106" s="224"/>
      <c r="G106" s="224"/>
      <c r="H106" s="224"/>
      <c r="I106" s="224"/>
      <c r="J106" s="224"/>
      <c r="K106" s="224"/>
      <c r="L106" s="224"/>
      <c r="M106" s="224"/>
      <c r="N106" s="224"/>
      <c r="O106" s="224"/>
      <c r="P106" s="224"/>
      <c r="Q106" s="224"/>
    </row>
    <row r="107" spans="2:65">
      <c r="B107" s="224"/>
      <c r="C107" s="224"/>
      <c r="D107" s="224"/>
      <c r="E107" s="224"/>
      <c r="F107" s="224"/>
      <c r="G107" s="224"/>
      <c r="H107" s="224"/>
      <c r="I107" s="224"/>
      <c r="J107" s="224"/>
      <c r="K107" s="224"/>
      <c r="L107" s="224"/>
      <c r="M107" s="224"/>
      <c r="N107" s="224"/>
      <c r="O107" s="224"/>
      <c r="P107" s="224"/>
      <c r="Q107" s="224"/>
    </row>
    <row r="108" spans="2:65">
      <c r="B108" s="224"/>
      <c r="C108" s="224"/>
      <c r="D108" s="224"/>
      <c r="E108" s="224"/>
      <c r="F108" s="224"/>
      <c r="G108" s="224"/>
      <c r="H108" s="224"/>
      <c r="I108" s="224"/>
      <c r="J108" s="224"/>
      <c r="K108" s="224"/>
      <c r="L108" s="224"/>
      <c r="M108" s="224"/>
      <c r="N108" s="224"/>
      <c r="O108" s="224"/>
      <c r="P108" s="224"/>
      <c r="Q108" s="224"/>
    </row>
    <row r="109" spans="2:65">
      <c r="B109" s="224"/>
      <c r="C109" s="224"/>
      <c r="D109" s="224"/>
      <c r="E109" s="224"/>
      <c r="F109" s="224"/>
      <c r="G109" s="224"/>
      <c r="H109" s="224"/>
      <c r="I109" s="224"/>
      <c r="J109" s="224"/>
      <c r="K109" s="224"/>
      <c r="L109" s="224"/>
      <c r="M109" s="224"/>
      <c r="N109" s="224"/>
      <c r="O109" s="224"/>
      <c r="P109" s="224"/>
      <c r="Q109" s="224"/>
    </row>
    <row r="110" spans="2:65">
      <c r="B110" s="224"/>
      <c r="C110" s="224"/>
      <c r="D110" s="224"/>
      <c r="E110" s="224"/>
      <c r="F110" s="224"/>
      <c r="G110" s="224"/>
      <c r="H110" s="224"/>
      <c r="I110" s="224"/>
      <c r="J110" s="224"/>
      <c r="K110" s="224"/>
      <c r="L110" s="224"/>
      <c r="M110" s="224"/>
      <c r="N110" s="224"/>
      <c r="O110" s="224"/>
      <c r="P110" s="224"/>
      <c r="Q110" s="224"/>
    </row>
    <row r="111" spans="2:65">
      <c r="B111" s="224"/>
      <c r="C111" s="224"/>
      <c r="D111" s="224"/>
      <c r="E111" s="224"/>
      <c r="F111" s="224"/>
      <c r="G111" s="224"/>
      <c r="H111" s="224"/>
      <c r="I111" s="224"/>
      <c r="J111" s="224"/>
      <c r="K111" s="224"/>
      <c r="L111" s="224"/>
      <c r="M111" s="224"/>
      <c r="N111" s="224"/>
      <c r="O111" s="224"/>
      <c r="P111" s="224"/>
      <c r="Q111" s="224"/>
    </row>
    <row r="112" spans="2:65">
      <c r="B112" s="224"/>
      <c r="C112" s="224"/>
      <c r="D112" s="224"/>
      <c r="E112" s="224"/>
      <c r="F112" s="224"/>
      <c r="G112" s="224"/>
      <c r="H112" s="224"/>
      <c r="I112" s="224"/>
      <c r="J112" s="224"/>
      <c r="K112" s="224"/>
      <c r="L112" s="224"/>
      <c r="M112" s="224"/>
      <c r="N112" s="224"/>
      <c r="O112" s="224"/>
      <c r="P112" s="224"/>
      <c r="Q112" s="224"/>
    </row>
    <row r="113" spans="2:25">
      <c r="B113" s="224"/>
      <c r="C113" s="224"/>
      <c r="D113" s="224"/>
      <c r="E113" s="224"/>
      <c r="F113" s="224"/>
      <c r="G113" s="224"/>
      <c r="H113" s="224"/>
      <c r="I113" s="224"/>
      <c r="J113" s="224"/>
      <c r="K113" s="224"/>
      <c r="L113" s="224"/>
      <c r="M113" s="224"/>
      <c r="N113" s="224"/>
      <c r="O113" s="224"/>
      <c r="P113" s="224"/>
      <c r="Q113" s="224"/>
    </row>
    <row r="114" spans="2:25">
      <c r="B114" s="224"/>
      <c r="C114" s="224"/>
      <c r="D114" s="224"/>
      <c r="E114" s="224"/>
      <c r="F114" s="224"/>
      <c r="G114" s="224"/>
      <c r="H114" s="224"/>
      <c r="I114" s="224"/>
      <c r="J114" s="224"/>
      <c r="K114" s="224"/>
      <c r="L114" s="224"/>
      <c r="M114" s="224"/>
      <c r="N114" s="224"/>
      <c r="O114" s="224"/>
      <c r="P114" s="224"/>
      <c r="Q114" s="224"/>
    </row>
    <row r="115" spans="2:25" ht="18.75" thickBot="1">
      <c r="B115" s="224"/>
      <c r="C115" s="224"/>
      <c r="D115" s="432" t="s">
        <v>277</v>
      </c>
      <c r="E115" s="432"/>
      <c r="F115" s="432"/>
      <c r="G115" s="224"/>
      <c r="H115" s="224"/>
      <c r="I115" s="224"/>
      <c r="J115" s="224"/>
      <c r="K115" s="224"/>
      <c r="L115" s="224"/>
      <c r="M115" s="224"/>
      <c r="N115" s="224"/>
      <c r="O115" s="224"/>
      <c r="P115" s="224"/>
      <c r="Q115" s="224"/>
    </row>
    <row r="116" spans="2:25" ht="18.75" thickBot="1">
      <c r="B116" s="224"/>
      <c r="C116" s="224"/>
      <c r="D116" s="436">
        <f>SUM(Inschrijf_MKI_Totaal[[#Totals],[A1-A3]:[C4]])+Inschrijf_MKI_Totaal[[#Totals],[D]]</f>
        <v>81746.936381935957</v>
      </c>
      <c r="E116" s="437"/>
      <c r="F116" s="438"/>
      <c r="G116" s="224"/>
      <c r="H116" s="224"/>
      <c r="I116" s="224"/>
      <c r="J116" s="224"/>
      <c r="K116" s="224"/>
      <c r="L116" s="224"/>
      <c r="M116" s="224"/>
      <c r="N116" s="224"/>
      <c r="O116" s="224"/>
      <c r="P116" s="224"/>
      <c r="Q116" s="224"/>
    </row>
    <row r="117" spans="2:25" ht="18.75" thickBot="1">
      <c r="B117" s="224"/>
      <c r="C117" s="224"/>
      <c r="D117" s="239"/>
      <c r="E117" s="239"/>
      <c r="F117" s="239"/>
      <c r="G117" s="224"/>
      <c r="H117" s="224"/>
      <c r="I117" s="224"/>
      <c r="J117" s="224"/>
      <c r="K117" s="224"/>
      <c r="L117" s="224"/>
      <c r="M117" s="224"/>
      <c r="N117" s="224"/>
      <c r="O117" s="224"/>
      <c r="P117" s="224"/>
      <c r="Q117" s="224"/>
    </row>
    <row r="118" spans="2:25" ht="18.75" thickBot="1">
      <c r="B118" s="240"/>
      <c r="C118" s="267" t="s">
        <v>317</v>
      </c>
      <c r="D118" s="436">
        <f>Baseline!D113</f>
        <v>81746.936381935957</v>
      </c>
      <c r="E118" s="437"/>
      <c r="F118" s="438"/>
      <c r="G118" s="224"/>
      <c r="H118" s="224"/>
      <c r="I118" s="224"/>
      <c r="J118" s="224"/>
      <c r="K118" s="224"/>
      <c r="L118" s="224"/>
      <c r="M118" s="224"/>
      <c r="N118" s="224"/>
      <c r="O118" s="224"/>
      <c r="P118" s="224"/>
      <c r="Q118" s="224"/>
    </row>
    <row r="119" spans="2:25" ht="18.75" thickBot="1">
      <c r="B119" s="240"/>
      <c r="C119" s="267" t="s">
        <v>318</v>
      </c>
      <c r="D119" s="436">
        <v>59000</v>
      </c>
      <c r="E119" s="437"/>
      <c r="F119" s="438"/>
      <c r="G119" s="224"/>
      <c r="H119" s="224"/>
      <c r="I119" s="224"/>
      <c r="J119" s="224"/>
      <c r="K119" s="224"/>
      <c r="L119" s="224"/>
      <c r="M119" s="224"/>
      <c r="N119" s="224"/>
      <c r="O119" s="224"/>
      <c r="P119" s="224"/>
      <c r="Q119" s="224"/>
    </row>
    <row r="120" spans="2:25" ht="18.75" thickBot="1">
      <c r="B120" s="240"/>
      <c r="C120" s="267" t="s">
        <v>319</v>
      </c>
      <c r="D120" s="436">
        <v>800000</v>
      </c>
      <c r="E120" s="437"/>
      <c r="F120" s="438"/>
      <c r="G120" s="224"/>
      <c r="H120" s="224"/>
      <c r="I120" s="224"/>
      <c r="J120" s="224"/>
      <c r="K120" s="224"/>
      <c r="L120" s="224"/>
      <c r="M120" s="224"/>
      <c r="N120" s="224"/>
      <c r="O120" s="224"/>
      <c r="P120" s="224"/>
      <c r="Q120" s="224"/>
    </row>
    <row r="121" spans="2:25" ht="18.75" thickBot="1">
      <c r="B121" s="240"/>
      <c r="C121" s="267" t="s">
        <v>320</v>
      </c>
      <c r="D121" s="439">
        <f>IF(D118*D119*D120=0,"",D120/(D118-D119))</f>
        <v>35.169571258629126</v>
      </c>
      <c r="E121" s="440"/>
      <c r="F121" s="441"/>
      <c r="G121" s="224"/>
      <c r="H121" s="224"/>
      <c r="I121" s="224"/>
      <c r="J121" s="224"/>
      <c r="K121" s="224"/>
      <c r="L121" s="224"/>
      <c r="M121" s="224"/>
      <c r="N121" s="224"/>
      <c r="O121" s="224"/>
      <c r="P121" s="224"/>
      <c r="Q121" s="224"/>
    </row>
    <row r="122" spans="2:25" ht="18.75" thickBot="1">
      <c r="B122" s="240"/>
      <c r="C122" s="267" t="s">
        <v>321</v>
      </c>
      <c r="D122" s="436">
        <f>D116</f>
        <v>81746.936381935957</v>
      </c>
      <c r="E122" s="437"/>
      <c r="F122" s="438"/>
      <c r="G122" s="224"/>
      <c r="H122" s="224"/>
      <c r="I122" s="224"/>
      <c r="J122" s="224"/>
      <c r="K122" s="224"/>
      <c r="L122" s="224"/>
      <c r="M122" s="224"/>
      <c r="N122" s="224"/>
      <c r="O122" s="224"/>
      <c r="P122" s="224"/>
      <c r="Q122" s="224"/>
    </row>
    <row r="123" spans="2:25" ht="18.75" thickBot="1">
      <c r="B123" s="240"/>
      <c r="C123" s="267" t="s">
        <v>322</v>
      </c>
      <c r="D123" s="436">
        <f>IF(D118*D119*D120=0,"",IF(D122&lt;D119,D120,IF(D122&gt;D118,"MKI te hoog",(D118-D122)*D121)))</f>
        <v>0</v>
      </c>
      <c r="E123" s="437"/>
      <c r="F123" s="438"/>
      <c r="G123" s="224"/>
      <c r="H123" s="224"/>
      <c r="I123" s="224"/>
      <c r="J123" s="224"/>
      <c r="K123" s="224"/>
      <c r="L123" s="224"/>
      <c r="M123" s="224"/>
      <c r="N123" s="224"/>
      <c r="O123" s="224"/>
      <c r="P123" s="224"/>
      <c r="Q123" s="224"/>
    </row>
    <row r="124" spans="2:25">
      <c r="B124" s="241"/>
      <c r="C124" s="224"/>
      <c r="D124" s="224"/>
      <c r="E124" s="224"/>
      <c r="F124" s="224"/>
      <c r="G124" s="224"/>
      <c r="H124" s="224"/>
      <c r="I124" s="224"/>
      <c r="J124" s="224"/>
      <c r="K124" s="224"/>
      <c r="L124" s="224"/>
      <c r="M124" s="224"/>
      <c r="N124" s="224"/>
      <c r="O124" s="224"/>
      <c r="P124" s="224"/>
      <c r="Q124" s="224"/>
    </row>
    <row r="125" spans="2:25">
      <c r="B125" s="241"/>
      <c r="C125" s="224"/>
      <c r="D125" s="224"/>
      <c r="E125" s="224"/>
      <c r="F125" s="224"/>
      <c r="G125" s="224"/>
      <c r="H125" s="224"/>
      <c r="I125" s="224"/>
      <c r="J125" s="224"/>
      <c r="K125" s="224"/>
      <c r="L125" s="224"/>
      <c r="M125" s="224"/>
      <c r="N125" s="224"/>
      <c r="O125" s="224"/>
      <c r="P125" s="224"/>
      <c r="Q125" s="224"/>
    </row>
    <row r="126" spans="2:25">
      <c r="B126" s="241"/>
      <c r="C126" s="224"/>
      <c r="D126" s="224"/>
      <c r="E126" s="224"/>
      <c r="F126" s="224"/>
      <c r="G126" s="224"/>
      <c r="H126" s="224"/>
      <c r="I126" s="224"/>
      <c r="J126" s="224"/>
      <c r="K126" s="224"/>
      <c r="L126" s="224"/>
      <c r="M126" s="224"/>
      <c r="N126" s="224"/>
      <c r="O126" s="224"/>
      <c r="P126" s="224"/>
      <c r="Q126" s="224"/>
    </row>
    <row r="127" spans="2:25" ht="18.75" thickBot="1">
      <c r="B127" s="241"/>
      <c r="C127" s="224"/>
      <c r="D127" s="432" t="s">
        <v>64</v>
      </c>
      <c r="E127" s="432"/>
      <c r="F127" s="432"/>
      <c r="G127" s="224"/>
      <c r="H127" s="224"/>
      <c r="I127" s="224"/>
      <c r="J127" s="224"/>
      <c r="K127" s="224"/>
      <c r="L127" s="224"/>
      <c r="M127" s="224"/>
      <c r="N127" s="224"/>
      <c r="O127" s="224"/>
      <c r="P127" s="224"/>
      <c r="Q127" s="224"/>
    </row>
    <row r="128" spans="2:25" ht="18.75" thickBot="1">
      <c r="B128" s="241"/>
      <c r="C128" s="224"/>
      <c r="D128" s="433">
        <f>(SUM(Inschrijf_CO2_Totaal[[#Totals],[A1-A3]:[C4]])+Inschrijf_CO2_Totaal[[#Totals],[D]])/1000</f>
        <v>615.21424859950707</v>
      </c>
      <c r="E128" s="434"/>
      <c r="F128" s="435"/>
      <c r="G128" s="224"/>
      <c r="H128" s="224"/>
      <c r="I128" s="224"/>
      <c r="J128" s="224"/>
      <c r="K128" s="224"/>
      <c r="L128" s="224"/>
      <c r="M128" s="224"/>
      <c r="N128" s="224"/>
      <c r="O128" s="224"/>
      <c r="P128" s="224"/>
      <c r="Q128" s="224"/>
      <c r="X128" s="366">
        <f>D128/(40075*0.000204)</f>
        <v>75.252804007132099</v>
      </c>
      <c r="Y128" s="367" t="s">
        <v>278</v>
      </c>
    </row>
    <row r="129" spans="2:25" ht="18">
      <c r="B129" s="241"/>
      <c r="C129" s="224"/>
      <c r="D129" s="242"/>
      <c r="E129" s="242"/>
      <c r="F129" s="242"/>
      <c r="G129" s="224"/>
      <c r="H129" s="224"/>
      <c r="I129" s="224"/>
      <c r="J129" s="224"/>
      <c r="K129" s="224"/>
      <c r="L129" s="224"/>
      <c r="M129" s="224"/>
      <c r="N129" s="224"/>
      <c r="O129" s="224"/>
      <c r="P129" s="224"/>
      <c r="Q129" s="224"/>
      <c r="X129" s="243"/>
      <c r="Y129" s="243"/>
    </row>
    <row r="130" spans="2:25" ht="18.75" thickBot="1">
      <c r="B130" s="244"/>
      <c r="C130" s="224"/>
      <c r="D130" s="432" t="s">
        <v>323</v>
      </c>
      <c r="E130" s="432"/>
      <c r="F130" s="432"/>
      <c r="G130" s="224"/>
      <c r="H130" s="224"/>
      <c r="I130" s="224"/>
      <c r="J130" s="242" t="s">
        <v>279</v>
      </c>
      <c r="K130" s="368"/>
      <c r="L130" s="224"/>
      <c r="M130" s="224"/>
      <c r="N130" s="224"/>
      <c r="O130" s="224"/>
      <c r="P130" s="224"/>
      <c r="Q130" s="224"/>
      <c r="X130" s="243"/>
      <c r="Y130" s="243"/>
    </row>
    <row r="131" spans="2:25" ht="18.75" thickBot="1">
      <c r="B131" s="241"/>
      <c r="C131" s="224"/>
      <c r="D131" s="433">
        <f>Inschrijf_Materiaal_Totaal[[#Totals],[Primair materiaalverbruik]]+Inschrijf_Materiaal_Totaal[[#Totals],[Primair materiaalverbruik Vervangingen]]</f>
        <v>12406.89629521266</v>
      </c>
      <c r="E131" s="434"/>
      <c r="F131" s="435"/>
      <c r="G131" s="245" t="s">
        <v>280</v>
      </c>
      <c r="H131" s="224"/>
      <c r="I131" s="224"/>
      <c r="J131" s="369">
        <f>D131/D133</f>
        <v>0.11614661635102258</v>
      </c>
      <c r="K131" s="245" t="s">
        <v>280</v>
      </c>
      <c r="L131" s="249"/>
      <c r="M131" s="249"/>
      <c r="N131" s="224"/>
      <c r="O131" s="224"/>
      <c r="P131" s="224"/>
      <c r="Q131" s="224"/>
      <c r="X131" s="243"/>
      <c r="Y131" s="243"/>
    </row>
    <row r="132" spans="2:25" ht="18.75" thickBot="1">
      <c r="B132" s="224"/>
      <c r="C132" s="224"/>
      <c r="D132" s="433">
        <f>Inschrijf_Materiaal_Totaal[[#Totals],[Secundair Materiaalverbruik]]+Inschrijf_Materiaal_Totaal[[#Totals],[Secundair Materiaalverbruik Vervangingen]]</f>
        <v>94414.091564787333</v>
      </c>
      <c r="E132" s="434"/>
      <c r="F132" s="435"/>
      <c r="G132" s="245" t="s">
        <v>281</v>
      </c>
      <c r="H132" s="224"/>
      <c r="I132" s="224"/>
      <c r="J132" s="370">
        <f>D132/D133</f>
        <v>0.88385338364897736</v>
      </c>
      <c r="K132" s="245" t="s">
        <v>281</v>
      </c>
      <c r="L132" s="224"/>
      <c r="M132" s="224"/>
      <c r="N132" s="224"/>
      <c r="O132" s="224"/>
      <c r="P132" s="224"/>
      <c r="Q132" s="224"/>
      <c r="X132" s="243"/>
      <c r="Y132" s="243"/>
    </row>
    <row r="133" spans="2:25" ht="18.75" thickBot="1">
      <c r="B133" s="224"/>
      <c r="C133" s="224"/>
      <c r="D133" s="429">
        <f>D131+D132</f>
        <v>106820.98785999999</v>
      </c>
      <c r="E133" s="430"/>
      <c r="F133" s="431"/>
      <c r="G133" s="245" t="s">
        <v>90</v>
      </c>
      <c r="H133" s="224"/>
      <c r="I133" s="224"/>
      <c r="J133" s="370"/>
      <c r="K133" s="245" t="s">
        <v>282</v>
      </c>
      <c r="L133" s="224"/>
      <c r="M133" s="224"/>
      <c r="N133" s="224"/>
      <c r="O133" s="224"/>
      <c r="P133" s="224"/>
      <c r="Q133" s="224"/>
      <c r="X133" s="366">
        <f>D133/7300</f>
        <v>14.633012035616437</v>
      </c>
      <c r="Y133" s="367" t="s">
        <v>283</v>
      </c>
    </row>
    <row r="134" spans="2:25" ht="18">
      <c r="B134" s="224"/>
      <c r="C134" s="224"/>
      <c r="D134" s="246"/>
      <c r="E134" s="246"/>
      <c r="F134" s="246"/>
      <c r="G134" s="245"/>
      <c r="H134" s="224"/>
      <c r="I134" s="224"/>
      <c r="J134" s="245"/>
      <c r="K134" s="243"/>
      <c r="L134" s="224"/>
      <c r="M134" s="224"/>
      <c r="N134" s="224"/>
      <c r="O134" s="224"/>
      <c r="P134" s="224"/>
      <c r="Q134" s="224"/>
      <c r="X134" s="243"/>
      <c r="Y134" s="243"/>
    </row>
    <row r="135" spans="2:25" ht="18.75" thickBot="1">
      <c r="B135" s="224"/>
      <c r="C135" s="224"/>
      <c r="D135" s="432" t="s">
        <v>324</v>
      </c>
      <c r="E135" s="432"/>
      <c r="F135" s="432"/>
      <c r="G135" s="243"/>
      <c r="H135" s="224"/>
      <c r="I135" s="224"/>
      <c r="J135" s="242" t="s">
        <v>279</v>
      </c>
      <c r="K135" s="243"/>
      <c r="L135" s="224"/>
      <c r="M135" s="224"/>
      <c r="N135" s="224"/>
      <c r="O135" s="224"/>
      <c r="P135" s="224"/>
      <c r="Q135" s="224"/>
      <c r="X135" s="243"/>
      <c r="Y135" s="243"/>
    </row>
    <row r="136" spans="2:25" ht="18.75" thickBot="1">
      <c r="B136" s="224"/>
      <c r="C136" s="224"/>
      <c r="D136" s="429">
        <f>(SUM(Inschrijf_Hernieuwbare_Energie_Totaal[[#Totals],[A1-A3]:[C4]])+Inschrijf_Hernieuwbare_Energie_Totaal[[#Totals],[D]])/1000</f>
        <v>245.26259383418196</v>
      </c>
      <c r="E136" s="430"/>
      <c r="F136" s="431"/>
      <c r="G136" s="245" t="s">
        <v>325</v>
      </c>
      <c r="H136" s="224"/>
      <c r="I136" s="224"/>
      <c r="J136" s="369">
        <f>D136/D138</f>
        <v>7.6767299439875911E-2</v>
      </c>
      <c r="K136" s="245" t="s">
        <v>67</v>
      </c>
      <c r="L136" s="224"/>
      <c r="M136" s="224"/>
      <c r="N136" s="224"/>
      <c r="O136" s="224"/>
      <c r="P136" s="224"/>
      <c r="Q136" s="224"/>
      <c r="X136" s="243"/>
      <c r="Y136" s="243"/>
    </row>
    <row r="137" spans="2:25" ht="18.75" thickBot="1">
      <c r="B137" s="224"/>
      <c r="C137" s="224"/>
      <c r="D137" s="429">
        <f>(SUM(Inschrijf_Fossiele_Energie_Totaal[[#Totals],[A1-A3]:[C4]])+Inschrijf_Fossiele_Energie_Totaal[[#Totals],[D]])/1000</f>
        <v>2949.6211082591999</v>
      </c>
      <c r="E137" s="430"/>
      <c r="F137" s="431"/>
      <c r="G137" s="245" t="s">
        <v>326</v>
      </c>
      <c r="H137" s="224"/>
      <c r="I137" s="224"/>
      <c r="J137" s="369">
        <f>D137/D138</f>
        <v>0.92323270056012408</v>
      </c>
      <c r="K137" s="245" t="s">
        <v>68</v>
      </c>
      <c r="L137" s="224"/>
      <c r="M137" s="224"/>
      <c r="N137" s="224"/>
      <c r="O137" s="224"/>
      <c r="P137" s="224"/>
      <c r="Q137" s="224"/>
      <c r="X137" s="243"/>
      <c r="Y137" s="243"/>
    </row>
    <row r="138" spans="2:25" ht="18.75" thickBot="1">
      <c r="B138" s="224"/>
      <c r="C138" s="224"/>
      <c r="D138" s="429">
        <f>D136+D137</f>
        <v>3194.883702093382</v>
      </c>
      <c r="E138" s="430"/>
      <c r="F138" s="431"/>
      <c r="G138" s="245" t="s">
        <v>69</v>
      </c>
      <c r="H138" s="224"/>
      <c r="I138" s="224"/>
      <c r="J138" s="370"/>
      <c r="K138" s="245" t="s">
        <v>69</v>
      </c>
      <c r="L138" s="224"/>
      <c r="M138" s="224"/>
      <c r="N138" s="224"/>
      <c r="O138" s="224"/>
      <c r="P138" s="224"/>
      <c r="Q138" s="224"/>
      <c r="X138" s="366">
        <f>D138/((2479*0.0036)+(1169/31.6))</f>
        <v>69.577916503068707</v>
      </c>
      <c r="Y138" s="367" t="s">
        <v>284</v>
      </c>
    </row>
    <row r="139" spans="2:25" ht="21" customHeight="1">
      <c r="B139" s="224"/>
      <c r="C139" s="224"/>
      <c r="D139" s="224"/>
      <c r="E139" s="224"/>
      <c r="F139" s="224"/>
      <c r="G139" s="224"/>
      <c r="H139" s="224"/>
      <c r="I139" s="224"/>
      <c r="J139" s="242"/>
      <c r="K139" s="224"/>
      <c r="L139" s="224"/>
      <c r="M139" s="224"/>
      <c r="N139" s="224"/>
      <c r="O139" s="224"/>
      <c r="P139" s="224"/>
      <c r="Q139" s="224"/>
      <c r="X139" s="243"/>
      <c r="Y139" s="243"/>
    </row>
    <row r="140" spans="2:25" ht="18.75" thickBot="1">
      <c r="B140" s="224"/>
      <c r="C140" s="224"/>
      <c r="D140" s="432" t="s">
        <v>327</v>
      </c>
      <c r="E140" s="432"/>
      <c r="F140" s="432"/>
      <c r="G140" s="224"/>
      <c r="H140" s="224"/>
      <c r="I140" s="224"/>
      <c r="J140" s="242" t="s">
        <v>279</v>
      </c>
      <c r="K140" s="224"/>
      <c r="L140" s="224"/>
      <c r="M140" s="224"/>
      <c r="N140" s="224"/>
      <c r="O140" s="224"/>
      <c r="P140" s="224"/>
      <c r="Q140" s="224"/>
      <c r="X140" s="243"/>
      <c r="Y140" s="243"/>
    </row>
    <row r="141" spans="2:25" ht="18.75" thickBot="1">
      <c r="B141" s="224"/>
      <c r="C141" s="224"/>
      <c r="D141" s="429">
        <f>Inschrijf_Transport_Totaal[[#Totals],[Emissieloos Transport]]+Inschrijf_Transport_Totaal[[#Totals],[Emissieloos Transport Vervangingen]]</f>
        <v>0</v>
      </c>
      <c r="E141" s="430"/>
      <c r="F141" s="431"/>
      <c r="G141" s="245" t="s">
        <v>285</v>
      </c>
      <c r="H141" s="224"/>
      <c r="I141" s="224"/>
      <c r="J141" s="369">
        <f>D141/D143</f>
        <v>0</v>
      </c>
      <c r="K141" s="245" t="s">
        <v>285</v>
      </c>
      <c r="L141" s="224"/>
      <c r="M141" s="224"/>
      <c r="N141" s="224"/>
      <c r="O141" s="224"/>
      <c r="P141" s="224"/>
      <c r="Q141" s="224"/>
      <c r="X141" s="243"/>
      <c r="Y141" s="243"/>
    </row>
    <row r="142" spans="2:25" ht="18.75" thickBot="1">
      <c r="B142" s="224"/>
      <c r="C142" s="224"/>
      <c r="D142" s="429">
        <f>D143-D141</f>
        <v>1346243.9508499999</v>
      </c>
      <c r="E142" s="430"/>
      <c r="F142" s="431"/>
      <c r="G142" s="245" t="s">
        <v>286</v>
      </c>
      <c r="H142" s="224"/>
      <c r="I142" s="224"/>
      <c r="J142" s="369">
        <f>D142/D143</f>
        <v>1</v>
      </c>
      <c r="K142" s="245" t="s">
        <v>286</v>
      </c>
      <c r="L142" s="224"/>
      <c r="M142" s="224"/>
      <c r="N142" s="224"/>
      <c r="O142" s="224"/>
      <c r="P142" s="224"/>
      <c r="Q142" s="224"/>
      <c r="X142" s="243"/>
      <c r="Y142" s="243"/>
    </row>
    <row r="143" spans="2:25" ht="18.75" thickBot="1">
      <c r="B143" s="224"/>
      <c r="C143" s="224"/>
      <c r="D143" s="429">
        <f>SUM(Inschrijf_Transport_Totaal[[#Totals],[Transport naar bouwplaats '[tkm']]:[Transport naar verwerker '[tkm']]])+SUM(Inschrijf_Transport_Totaal[[#Totals],[Transport naar bouwplaats Vervangingen '[tkm']]:[Transport naar verwerker Vervangingen '[tkm']]])</f>
        <v>1346243.9508499999</v>
      </c>
      <c r="E143" s="430"/>
      <c r="F143" s="431"/>
      <c r="G143" s="245" t="s">
        <v>287</v>
      </c>
      <c r="H143" s="224"/>
      <c r="I143" s="224"/>
      <c r="J143" s="370"/>
      <c r="K143" s="245" t="s">
        <v>287</v>
      </c>
      <c r="L143" s="224"/>
      <c r="M143" s="224"/>
      <c r="N143" s="224"/>
      <c r="O143" s="224"/>
      <c r="P143" s="224"/>
      <c r="Q143" s="224"/>
      <c r="X143" s="366">
        <f>(D143/32)/40075</f>
        <v>1.0497847402136617</v>
      </c>
      <c r="Y143" s="367" t="s">
        <v>288</v>
      </c>
    </row>
    <row r="144" spans="2:25" ht="18">
      <c r="B144" s="224"/>
      <c r="C144" s="224"/>
      <c r="D144" s="247"/>
      <c r="E144" s="247"/>
      <c r="F144" s="247"/>
      <c r="G144" s="224"/>
      <c r="H144" s="224"/>
      <c r="I144" s="224"/>
      <c r="J144" s="371"/>
      <c r="K144" s="245"/>
      <c r="L144" s="224"/>
      <c r="M144" s="224"/>
      <c r="N144" s="224"/>
      <c r="O144" s="224"/>
      <c r="P144" s="224"/>
      <c r="Q144" s="224"/>
      <c r="X144" s="243"/>
      <c r="Y144" s="243"/>
    </row>
    <row r="145" spans="2:25" ht="18.75" thickBot="1">
      <c r="B145" s="224"/>
      <c r="C145" s="224"/>
      <c r="D145" s="432" t="s">
        <v>328</v>
      </c>
      <c r="E145" s="432"/>
      <c r="F145" s="432"/>
      <c r="G145" s="224"/>
      <c r="H145" s="224"/>
      <c r="I145" s="224"/>
      <c r="J145" s="242" t="s">
        <v>279</v>
      </c>
      <c r="K145" s="245"/>
      <c r="L145" s="224"/>
      <c r="M145" s="224"/>
      <c r="N145" s="224"/>
      <c r="O145" s="224"/>
      <c r="P145" s="224"/>
      <c r="Q145" s="224"/>
      <c r="X145" s="243"/>
      <c r="Y145" s="243"/>
    </row>
    <row r="146" spans="2:25" ht="18.75" thickBot="1">
      <c r="C146" s="224"/>
      <c r="D146" s="429">
        <f>Inschrijf_Bouwplaats_Totaal[[#Totals],[Emissieloos bouwplaats]]+Inschrijf_Bouwplaats_Totaal[[#Totals],[Emissieloos bouwplaats Vervangingen]]</f>
        <v>0</v>
      </c>
      <c r="E146" s="430"/>
      <c r="F146" s="431"/>
      <c r="G146" s="245" t="s">
        <v>290</v>
      </c>
      <c r="H146" s="224"/>
      <c r="I146" s="224"/>
      <c r="J146" s="369">
        <f>D146/D148</f>
        <v>0</v>
      </c>
      <c r="K146" s="245" t="s">
        <v>290</v>
      </c>
      <c r="L146" s="224"/>
      <c r="M146" s="224"/>
      <c r="N146" s="224"/>
      <c r="O146" s="224"/>
      <c r="P146" s="224"/>
      <c r="Q146" s="224"/>
      <c r="X146" s="243"/>
      <c r="Y146" s="243"/>
    </row>
    <row r="147" spans="2:25" ht="18.75" thickBot="1">
      <c r="B147" s="224"/>
      <c r="C147" s="224"/>
      <c r="D147" s="429">
        <f>D148-D146</f>
        <v>4545.531722222222</v>
      </c>
      <c r="E147" s="430"/>
      <c r="F147" s="431"/>
      <c r="G147" s="245" t="s">
        <v>291</v>
      </c>
      <c r="H147" s="224"/>
      <c r="I147" s="224"/>
      <c r="J147" s="369">
        <f>D147/D148</f>
        <v>1</v>
      </c>
      <c r="K147" s="245" t="s">
        <v>291</v>
      </c>
      <c r="L147" s="224"/>
      <c r="M147" s="224"/>
      <c r="N147" s="224"/>
      <c r="O147" s="224"/>
      <c r="P147" s="224"/>
      <c r="Q147" s="224"/>
      <c r="X147" s="243"/>
      <c r="Y147" s="243"/>
    </row>
    <row r="148" spans="2:25" ht="18.75" thickBot="1">
      <c r="B148" s="224"/>
      <c r="C148" s="224"/>
      <c r="D148" s="429">
        <f>SUM(Optimalisatie_Backlog!D734:G734)+SUM(Optimalisatie_Backlog!M734:P734)</f>
        <v>4545.531722222222</v>
      </c>
      <c r="E148" s="430"/>
      <c r="F148" s="431"/>
      <c r="G148" s="245" t="s">
        <v>292</v>
      </c>
      <c r="H148" s="224"/>
      <c r="I148" s="224"/>
      <c r="J148" s="370"/>
      <c r="K148" s="245" t="s">
        <v>292</v>
      </c>
      <c r="L148" s="224"/>
      <c r="M148" s="224"/>
      <c r="N148" s="224"/>
      <c r="O148" s="224"/>
      <c r="P148" s="224"/>
      <c r="Q148" s="224"/>
      <c r="X148" s="366">
        <f>D148/(5*52*8)</f>
        <v>2.1853517895299146</v>
      </c>
      <c r="Y148" s="367" t="s">
        <v>293</v>
      </c>
    </row>
    <row r="149" spans="2:25">
      <c r="B149" s="224"/>
      <c r="C149" s="224"/>
      <c r="D149" s="224"/>
      <c r="E149" s="224"/>
      <c r="F149" s="224"/>
      <c r="G149" s="224"/>
      <c r="H149" s="224"/>
      <c r="I149" s="224"/>
      <c r="J149" s="224"/>
      <c r="K149" s="224"/>
      <c r="L149" s="224"/>
      <c r="M149" s="224"/>
      <c r="N149" s="224"/>
      <c r="O149" s="224"/>
      <c r="P149" s="224"/>
      <c r="Q149" s="224"/>
    </row>
    <row r="150" spans="2:25">
      <c r="B150" s="224"/>
      <c r="C150" s="224"/>
      <c r="D150" s="224"/>
      <c r="E150" s="224"/>
      <c r="F150" s="224"/>
      <c r="G150" s="224"/>
      <c r="H150" s="224"/>
      <c r="I150" s="224"/>
      <c r="J150" s="224"/>
      <c r="K150" s="224"/>
      <c r="L150" s="224"/>
      <c r="M150" s="224"/>
      <c r="N150" s="224"/>
      <c r="O150" s="224"/>
      <c r="P150" s="224"/>
      <c r="Q150" s="224"/>
    </row>
    <row r="151" spans="2:25">
      <c r="B151" s="224"/>
      <c r="C151" s="224"/>
      <c r="D151" s="224"/>
      <c r="E151" s="224"/>
      <c r="F151" s="224"/>
      <c r="G151" s="224"/>
      <c r="H151" s="224"/>
      <c r="I151" s="224"/>
      <c r="J151" s="224"/>
      <c r="K151" s="224"/>
      <c r="L151" s="224"/>
      <c r="M151" s="224"/>
      <c r="N151" s="224"/>
      <c r="O151" s="224"/>
      <c r="P151" s="224"/>
      <c r="Q151" s="224"/>
    </row>
    <row r="152" spans="2:25">
      <c r="B152" s="224"/>
      <c r="C152" s="224"/>
      <c r="D152" s="224"/>
      <c r="E152" s="224"/>
      <c r="F152" s="224"/>
      <c r="G152" s="224"/>
      <c r="H152" s="224"/>
      <c r="I152" s="224"/>
      <c r="J152" s="224"/>
      <c r="K152" s="224"/>
      <c r="L152" s="224"/>
      <c r="M152" s="224"/>
      <c r="N152" s="224"/>
      <c r="O152" s="224"/>
      <c r="P152" s="224"/>
      <c r="Q152" s="224"/>
    </row>
    <row r="153" spans="2:25">
      <c r="B153" s="224"/>
      <c r="C153" s="224"/>
      <c r="D153" s="224"/>
      <c r="E153" s="224"/>
      <c r="F153" s="224"/>
      <c r="G153" s="224"/>
      <c r="H153" s="224"/>
      <c r="I153" s="224"/>
      <c r="J153" s="224"/>
      <c r="K153" s="224"/>
      <c r="L153" s="224"/>
      <c r="M153" s="224"/>
      <c r="N153" s="224"/>
      <c r="O153" s="224"/>
      <c r="P153" s="224"/>
      <c r="Q153" s="224"/>
    </row>
    <row r="154" spans="2:25">
      <c r="B154" s="224"/>
      <c r="C154" s="224"/>
      <c r="D154" s="224"/>
      <c r="E154" s="224"/>
      <c r="F154" s="224"/>
      <c r="G154" s="224"/>
      <c r="H154" s="224"/>
      <c r="I154" s="224"/>
      <c r="J154" s="224"/>
      <c r="K154" s="224"/>
      <c r="L154" s="224"/>
      <c r="M154" s="224"/>
      <c r="N154" s="224"/>
      <c r="O154" s="224"/>
      <c r="P154" s="224"/>
      <c r="Q154" s="224"/>
    </row>
    <row r="155" spans="2:25">
      <c r="B155" s="224"/>
      <c r="C155" s="224"/>
      <c r="D155" s="224"/>
      <c r="E155" s="224"/>
      <c r="F155" s="224"/>
      <c r="G155" s="224"/>
      <c r="H155" s="224"/>
      <c r="I155" s="224"/>
      <c r="J155" s="224"/>
      <c r="K155" s="224"/>
      <c r="L155" s="224"/>
      <c r="M155" s="224"/>
      <c r="N155" s="224"/>
      <c r="O155" s="224"/>
      <c r="P155" s="224"/>
      <c r="Q155" s="224"/>
    </row>
    <row r="156" spans="2:25">
      <c r="B156" s="224"/>
      <c r="C156" s="224"/>
      <c r="D156" s="224"/>
      <c r="E156" s="224"/>
      <c r="F156" s="224"/>
      <c r="G156" s="224"/>
      <c r="H156" s="224"/>
      <c r="I156" s="224"/>
      <c r="J156" s="224"/>
      <c r="K156" s="224"/>
      <c r="L156" s="224"/>
      <c r="M156" s="224"/>
      <c r="N156" s="224"/>
      <c r="O156" s="224"/>
      <c r="P156" s="224"/>
      <c r="Q156" s="224"/>
    </row>
    <row r="157" spans="2:25">
      <c r="B157" s="224"/>
      <c r="C157" s="224"/>
      <c r="D157" s="224"/>
      <c r="E157" s="224"/>
      <c r="F157" s="224"/>
      <c r="G157" s="224"/>
      <c r="H157" s="224"/>
      <c r="I157" s="224"/>
      <c r="J157" s="224"/>
      <c r="K157" s="224"/>
      <c r="L157" s="224"/>
      <c r="M157" s="224"/>
      <c r="N157" s="224"/>
      <c r="O157" s="224"/>
      <c r="P157" s="224"/>
      <c r="Q157" s="224"/>
    </row>
    <row r="158" spans="2:25">
      <c r="B158" s="224"/>
      <c r="C158" s="224"/>
      <c r="D158" s="224"/>
      <c r="E158" s="224"/>
      <c r="F158" s="224"/>
      <c r="G158" s="224"/>
      <c r="H158" s="224"/>
      <c r="I158" s="224"/>
      <c r="J158" s="224"/>
      <c r="K158" s="224"/>
      <c r="L158" s="224"/>
      <c r="M158" s="224"/>
      <c r="N158" s="224"/>
      <c r="O158" s="224"/>
      <c r="P158" s="224"/>
      <c r="Q158" s="224"/>
    </row>
    <row r="159" spans="2:25">
      <c r="B159" s="224"/>
      <c r="C159" s="224"/>
      <c r="D159" s="224"/>
      <c r="E159" s="224"/>
      <c r="F159" s="224"/>
      <c r="G159" s="224"/>
      <c r="H159" s="224"/>
      <c r="I159" s="224"/>
      <c r="J159" s="224"/>
      <c r="K159" s="224"/>
      <c r="L159" s="224"/>
      <c r="M159" s="224"/>
      <c r="N159" s="224"/>
      <c r="O159" s="224"/>
      <c r="P159" s="224"/>
      <c r="Q159" s="224"/>
    </row>
    <row r="160" spans="2:25">
      <c r="B160" s="224"/>
      <c r="C160" s="224"/>
      <c r="D160" s="224"/>
      <c r="E160" s="224"/>
      <c r="F160" s="224"/>
      <c r="G160" s="224"/>
      <c r="H160" s="224"/>
      <c r="I160" s="224"/>
      <c r="J160" s="224"/>
      <c r="K160" s="224"/>
      <c r="L160" s="224"/>
      <c r="M160" s="224"/>
      <c r="N160" s="224"/>
      <c r="O160" s="224"/>
      <c r="P160" s="224"/>
      <c r="Q160" s="224"/>
    </row>
    <row r="161" spans="2:17">
      <c r="B161" s="224"/>
      <c r="C161" s="224"/>
      <c r="D161" s="224"/>
      <c r="E161" s="224"/>
      <c r="F161" s="224"/>
      <c r="G161" s="224"/>
      <c r="H161" s="224"/>
      <c r="I161" s="224"/>
      <c r="J161" s="224"/>
      <c r="K161" s="224"/>
      <c r="L161" s="224"/>
      <c r="M161" s="224"/>
      <c r="N161" s="224"/>
      <c r="O161" s="224"/>
      <c r="P161" s="224"/>
      <c r="Q161" s="224"/>
    </row>
    <row r="162" spans="2:17">
      <c r="B162" s="224"/>
      <c r="C162" s="224"/>
      <c r="D162" s="224"/>
      <c r="E162" s="224"/>
      <c r="F162" s="224"/>
      <c r="G162" s="224"/>
      <c r="H162" s="224"/>
      <c r="I162" s="224"/>
      <c r="J162" s="224"/>
      <c r="K162" s="224"/>
      <c r="L162" s="224"/>
      <c r="M162" s="224"/>
      <c r="N162" s="224"/>
      <c r="O162" s="224"/>
      <c r="P162" s="224"/>
      <c r="Q162" s="224"/>
    </row>
    <row r="163" spans="2:17">
      <c r="B163" s="224"/>
      <c r="C163" s="224"/>
      <c r="D163" s="224"/>
      <c r="E163" s="224"/>
      <c r="F163" s="224"/>
      <c r="G163" s="224"/>
      <c r="H163" s="224"/>
      <c r="I163" s="224"/>
      <c r="J163" s="224"/>
      <c r="K163" s="224"/>
      <c r="L163" s="224"/>
      <c r="M163" s="224"/>
      <c r="N163" s="224"/>
      <c r="O163" s="224"/>
      <c r="P163" s="224"/>
      <c r="Q163" s="224"/>
    </row>
    <row r="164" spans="2:17">
      <c r="B164" s="224"/>
      <c r="C164" s="224"/>
      <c r="D164" s="224"/>
      <c r="E164" s="224"/>
      <c r="F164" s="224"/>
      <c r="G164" s="224"/>
      <c r="H164" s="224"/>
      <c r="I164" s="224"/>
      <c r="J164" s="224"/>
      <c r="K164" s="224"/>
      <c r="L164" s="224"/>
      <c r="M164" s="224"/>
      <c r="N164" s="224"/>
      <c r="O164" s="224"/>
      <c r="P164" s="224"/>
      <c r="Q164" s="224"/>
    </row>
    <row r="165" spans="2:17">
      <c r="B165" s="224"/>
      <c r="C165" s="224"/>
      <c r="D165" s="224"/>
      <c r="E165" s="224"/>
      <c r="F165" s="224"/>
      <c r="G165" s="224"/>
      <c r="H165" s="224"/>
      <c r="I165" s="224"/>
      <c r="J165" s="224"/>
      <c r="K165" s="224"/>
      <c r="L165" s="224"/>
      <c r="M165" s="224"/>
      <c r="N165" s="224"/>
      <c r="O165" s="224"/>
      <c r="P165" s="224"/>
      <c r="Q165" s="224"/>
    </row>
    <row r="166" spans="2:17">
      <c r="B166" s="224"/>
      <c r="C166" s="224"/>
      <c r="D166" s="224"/>
      <c r="E166" s="224"/>
      <c r="F166" s="224"/>
      <c r="G166" s="224"/>
      <c r="H166" s="224"/>
      <c r="I166" s="224"/>
      <c r="J166" s="224"/>
      <c r="K166" s="224"/>
      <c r="L166" s="224"/>
      <c r="M166" s="224"/>
      <c r="N166" s="224"/>
      <c r="O166" s="224"/>
      <c r="P166" s="224"/>
      <c r="Q166" s="224"/>
    </row>
    <row r="167" spans="2:17">
      <c r="B167" s="224"/>
      <c r="C167" s="224"/>
      <c r="D167" s="224"/>
      <c r="E167" s="224"/>
      <c r="F167" s="224"/>
      <c r="G167" s="224"/>
      <c r="H167" s="224"/>
      <c r="I167" s="224"/>
      <c r="J167" s="224"/>
      <c r="K167" s="224"/>
      <c r="L167" s="224"/>
      <c r="M167" s="224"/>
      <c r="N167" s="224"/>
      <c r="O167" s="224"/>
      <c r="P167" s="224"/>
      <c r="Q167" s="224"/>
    </row>
    <row r="168" spans="2:17">
      <c r="B168" s="224"/>
      <c r="C168" s="224"/>
      <c r="D168" s="224"/>
      <c r="E168" s="224"/>
      <c r="F168" s="224"/>
      <c r="G168" s="224"/>
      <c r="H168" s="224"/>
      <c r="I168" s="224"/>
      <c r="J168" s="224"/>
      <c r="K168" s="224"/>
      <c r="L168" s="224"/>
      <c r="M168" s="224"/>
      <c r="N168" s="224"/>
      <c r="O168" s="224"/>
      <c r="P168" s="224"/>
      <c r="Q168" s="224"/>
    </row>
    <row r="169" spans="2:17">
      <c r="B169" s="224"/>
      <c r="C169" s="224"/>
      <c r="D169" s="224"/>
      <c r="E169" s="224"/>
      <c r="F169" s="224"/>
      <c r="G169" s="224"/>
      <c r="H169" s="224"/>
      <c r="I169" s="224"/>
      <c r="J169" s="224"/>
      <c r="K169" s="224"/>
      <c r="L169" s="224"/>
      <c r="M169" s="224"/>
      <c r="N169" s="224"/>
      <c r="O169" s="224"/>
      <c r="P169" s="224"/>
      <c r="Q169" s="224"/>
    </row>
    <row r="170" spans="2:17">
      <c r="B170" s="224"/>
      <c r="C170" s="224"/>
      <c r="D170" s="224"/>
      <c r="E170" s="224"/>
      <c r="F170" s="224"/>
      <c r="G170" s="224"/>
      <c r="H170" s="224"/>
      <c r="I170" s="224"/>
      <c r="J170" s="224"/>
      <c r="K170" s="224"/>
      <c r="L170" s="224"/>
      <c r="M170" s="224"/>
      <c r="N170" s="224"/>
      <c r="O170" s="224"/>
      <c r="P170" s="224"/>
      <c r="Q170" s="224"/>
    </row>
    <row r="171" spans="2:17">
      <c r="B171" s="224"/>
      <c r="C171" s="224"/>
      <c r="D171" s="224"/>
      <c r="E171" s="224"/>
      <c r="F171" s="224"/>
      <c r="G171" s="224"/>
      <c r="H171" s="224"/>
      <c r="I171" s="224"/>
      <c r="J171" s="224"/>
      <c r="K171" s="224"/>
      <c r="L171" s="224"/>
      <c r="M171" s="224"/>
      <c r="N171" s="224"/>
      <c r="O171" s="224"/>
      <c r="P171" s="224"/>
      <c r="Q171" s="224"/>
    </row>
    <row r="172" spans="2:17">
      <c r="B172" s="224"/>
      <c r="C172" s="224"/>
      <c r="D172" s="224"/>
      <c r="E172" s="224"/>
      <c r="F172" s="224"/>
      <c r="G172" s="224"/>
      <c r="H172" s="224"/>
      <c r="I172" s="224"/>
      <c r="J172" s="224"/>
      <c r="K172" s="224"/>
      <c r="L172" s="224"/>
      <c r="M172" s="224"/>
      <c r="N172" s="224"/>
      <c r="O172" s="224"/>
      <c r="P172" s="224"/>
      <c r="Q172" s="224"/>
    </row>
    <row r="173" spans="2:17">
      <c r="B173" s="224"/>
      <c r="C173" s="224"/>
      <c r="D173" s="224"/>
      <c r="E173" s="224"/>
      <c r="F173" s="224"/>
      <c r="G173" s="224"/>
      <c r="H173" s="224"/>
      <c r="I173" s="224"/>
      <c r="J173" s="224"/>
      <c r="K173" s="224"/>
      <c r="L173" s="224"/>
      <c r="M173" s="224"/>
      <c r="N173" s="224"/>
      <c r="O173" s="224"/>
      <c r="P173" s="224"/>
      <c r="Q173" s="224"/>
    </row>
    <row r="174" spans="2:17">
      <c r="B174" s="224"/>
      <c r="C174" s="224"/>
      <c r="D174" s="224"/>
      <c r="E174" s="224"/>
      <c r="F174" s="224"/>
      <c r="G174" s="224"/>
      <c r="H174" s="224"/>
      <c r="I174" s="224"/>
      <c r="J174" s="224"/>
      <c r="K174" s="224"/>
      <c r="L174" s="224"/>
      <c r="M174" s="224"/>
      <c r="N174" s="224"/>
      <c r="O174" s="224"/>
      <c r="P174" s="224"/>
      <c r="Q174" s="224"/>
    </row>
    <row r="175" spans="2:17">
      <c r="B175" s="224"/>
      <c r="C175" s="224"/>
      <c r="D175" s="224"/>
      <c r="E175" s="224"/>
      <c r="F175" s="224"/>
      <c r="G175" s="224"/>
      <c r="H175" s="224"/>
      <c r="I175" s="224"/>
      <c r="J175" s="224"/>
      <c r="K175" s="224"/>
      <c r="L175" s="224"/>
      <c r="M175" s="224"/>
      <c r="N175" s="224"/>
      <c r="O175" s="224"/>
      <c r="P175" s="224"/>
      <c r="Q175" s="224"/>
    </row>
    <row r="176" spans="2:17">
      <c r="B176" s="224"/>
      <c r="C176" s="224"/>
      <c r="D176" s="224"/>
      <c r="E176" s="224"/>
      <c r="F176" s="224"/>
      <c r="G176" s="224"/>
      <c r="H176" s="224"/>
      <c r="I176" s="224"/>
      <c r="J176" s="224"/>
      <c r="K176" s="224"/>
      <c r="L176" s="224"/>
      <c r="M176" s="224"/>
      <c r="N176" s="224"/>
      <c r="O176" s="224"/>
      <c r="P176" s="224"/>
      <c r="Q176" s="224"/>
    </row>
    <row r="177" spans="2:17">
      <c r="B177" s="224"/>
      <c r="C177" s="224"/>
      <c r="D177" s="224"/>
      <c r="E177" s="224"/>
      <c r="F177" s="224"/>
      <c r="G177" s="224"/>
      <c r="H177" s="224"/>
      <c r="I177" s="224"/>
      <c r="J177" s="224"/>
      <c r="K177" s="224"/>
      <c r="L177" s="224"/>
      <c r="M177" s="224"/>
      <c r="N177" s="224"/>
      <c r="O177" s="224"/>
      <c r="P177" s="224"/>
      <c r="Q177" s="224"/>
    </row>
    <row r="178" spans="2:17">
      <c r="B178" s="224"/>
      <c r="C178" s="224"/>
      <c r="D178" s="224"/>
      <c r="E178" s="224"/>
      <c r="F178" s="224"/>
      <c r="G178" s="224"/>
      <c r="H178" s="224"/>
      <c r="I178" s="224"/>
      <c r="J178" s="224"/>
      <c r="K178" s="224"/>
      <c r="L178" s="224"/>
      <c r="M178" s="224"/>
      <c r="N178" s="224"/>
      <c r="O178" s="224"/>
      <c r="P178" s="224"/>
      <c r="Q178" s="224"/>
    </row>
    <row r="179" spans="2:17">
      <c r="B179" s="224"/>
      <c r="C179" s="224"/>
      <c r="D179" s="224"/>
      <c r="E179" s="224"/>
      <c r="F179" s="224"/>
      <c r="G179" s="224"/>
      <c r="H179" s="224"/>
      <c r="I179" s="224"/>
      <c r="J179" s="224"/>
      <c r="K179" s="224"/>
      <c r="L179" s="224"/>
      <c r="M179" s="224"/>
      <c r="N179" s="224"/>
      <c r="O179" s="224"/>
      <c r="P179" s="224"/>
      <c r="Q179" s="224"/>
    </row>
    <row r="180" spans="2:17">
      <c r="B180" s="224"/>
      <c r="C180" s="224"/>
      <c r="D180" s="224"/>
      <c r="E180" s="224"/>
      <c r="F180" s="224"/>
      <c r="G180" s="224"/>
      <c r="H180" s="224"/>
      <c r="I180" s="224"/>
      <c r="J180" s="224"/>
      <c r="K180" s="224"/>
      <c r="L180" s="224"/>
      <c r="M180" s="224"/>
      <c r="N180" s="224"/>
      <c r="O180" s="224"/>
      <c r="P180" s="224"/>
      <c r="Q180" s="224"/>
    </row>
    <row r="181" spans="2:17">
      <c r="B181" s="224"/>
      <c r="C181" s="224"/>
      <c r="D181" s="224"/>
      <c r="E181" s="224"/>
      <c r="F181" s="224"/>
      <c r="G181" s="224"/>
      <c r="H181" s="224"/>
      <c r="I181" s="224"/>
      <c r="J181" s="224"/>
      <c r="K181" s="224"/>
      <c r="L181" s="224"/>
      <c r="M181" s="224"/>
      <c r="N181" s="224"/>
      <c r="O181" s="224"/>
      <c r="P181" s="224"/>
      <c r="Q181" s="224"/>
    </row>
    <row r="182" spans="2:17">
      <c r="B182" s="224"/>
      <c r="C182" s="224"/>
      <c r="D182" s="224"/>
      <c r="E182" s="224"/>
      <c r="F182" s="224"/>
      <c r="G182" s="224"/>
      <c r="H182" s="224"/>
      <c r="I182" s="224"/>
      <c r="J182" s="224"/>
      <c r="K182" s="224"/>
      <c r="L182" s="224"/>
      <c r="M182" s="224"/>
      <c r="N182" s="224"/>
      <c r="O182" s="224"/>
      <c r="P182" s="224"/>
      <c r="Q182" s="224"/>
    </row>
    <row r="183" spans="2:17">
      <c r="B183" s="224"/>
      <c r="C183" s="224"/>
      <c r="D183" s="224"/>
      <c r="E183" s="224"/>
      <c r="F183" s="224"/>
      <c r="G183" s="224"/>
      <c r="H183" s="224"/>
      <c r="I183" s="224"/>
      <c r="J183" s="224"/>
      <c r="K183" s="224"/>
      <c r="L183" s="224"/>
      <c r="M183" s="224"/>
      <c r="N183" s="224"/>
      <c r="O183" s="224"/>
      <c r="P183" s="224"/>
      <c r="Q183" s="224"/>
    </row>
    <row r="184" spans="2:17">
      <c r="B184" s="224"/>
      <c r="C184" s="224"/>
      <c r="D184" s="224"/>
      <c r="E184" s="224"/>
      <c r="F184" s="224"/>
      <c r="G184" s="224"/>
      <c r="H184" s="224"/>
      <c r="I184" s="224"/>
      <c r="J184" s="224"/>
      <c r="K184" s="224"/>
      <c r="L184" s="224"/>
      <c r="M184" s="224"/>
      <c r="N184" s="224"/>
      <c r="O184" s="224"/>
      <c r="P184" s="224"/>
      <c r="Q184" s="224"/>
    </row>
    <row r="185" spans="2:17">
      <c r="B185" s="224"/>
      <c r="C185" s="224"/>
      <c r="D185" s="224"/>
      <c r="E185" s="224"/>
      <c r="F185" s="224"/>
      <c r="G185" s="224"/>
      <c r="H185" s="224"/>
      <c r="I185" s="224"/>
      <c r="J185" s="224"/>
      <c r="K185" s="224"/>
      <c r="L185" s="224"/>
      <c r="M185" s="224"/>
      <c r="N185" s="224"/>
      <c r="O185" s="224"/>
      <c r="P185" s="224"/>
      <c r="Q185" s="224"/>
    </row>
    <row r="186" spans="2:17">
      <c r="B186" s="224"/>
      <c r="C186" s="224"/>
      <c r="D186" s="224"/>
      <c r="E186" s="224"/>
      <c r="F186" s="224"/>
      <c r="G186" s="224"/>
      <c r="H186" s="224"/>
      <c r="I186" s="224"/>
      <c r="J186" s="224"/>
      <c r="K186" s="224"/>
      <c r="L186" s="224"/>
      <c r="M186" s="224"/>
      <c r="N186" s="224"/>
      <c r="O186" s="224"/>
      <c r="P186" s="224"/>
      <c r="Q186" s="224"/>
    </row>
    <row r="187" spans="2:17">
      <c r="B187" s="224"/>
      <c r="C187" s="224"/>
      <c r="D187" s="224"/>
      <c r="E187" s="224"/>
      <c r="F187" s="224"/>
      <c r="G187" s="224"/>
      <c r="H187" s="224"/>
      <c r="I187" s="224"/>
      <c r="J187" s="224"/>
      <c r="K187" s="224"/>
      <c r="L187" s="224"/>
      <c r="M187" s="224"/>
      <c r="N187" s="224"/>
      <c r="O187" s="224"/>
      <c r="P187" s="224"/>
      <c r="Q187" s="224"/>
    </row>
    <row r="188" spans="2:17">
      <c r="B188" s="224"/>
      <c r="C188" s="224"/>
      <c r="D188" s="224"/>
      <c r="E188" s="224"/>
      <c r="F188" s="224"/>
      <c r="G188" s="224"/>
      <c r="H188" s="224"/>
      <c r="I188" s="224"/>
      <c r="J188" s="224"/>
      <c r="K188" s="224"/>
      <c r="L188" s="224"/>
      <c r="M188" s="224"/>
      <c r="N188" s="224"/>
      <c r="O188" s="224"/>
      <c r="P188" s="224"/>
      <c r="Q188" s="224"/>
    </row>
    <row r="189" spans="2:17">
      <c r="B189" s="224"/>
      <c r="C189" s="224"/>
      <c r="D189" s="224"/>
      <c r="E189" s="224"/>
      <c r="F189" s="224"/>
      <c r="G189" s="224"/>
      <c r="H189" s="224"/>
      <c r="I189" s="224"/>
      <c r="J189" s="224"/>
      <c r="K189" s="224"/>
      <c r="L189" s="224"/>
      <c r="M189" s="224"/>
      <c r="N189" s="224"/>
      <c r="O189" s="224"/>
      <c r="P189" s="224"/>
      <c r="Q189" s="224"/>
    </row>
    <row r="190" spans="2:17">
      <c r="B190" s="224"/>
      <c r="C190" s="224"/>
      <c r="D190" s="224"/>
      <c r="E190" s="224"/>
      <c r="F190" s="224"/>
      <c r="G190" s="224"/>
      <c r="H190" s="224"/>
      <c r="I190" s="224"/>
      <c r="J190" s="224"/>
      <c r="K190" s="224"/>
      <c r="L190" s="224"/>
      <c r="M190" s="224"/>
      <c r="N190" s="224"/>
      <c r="O190" s="224"/>
      <c r="P190" s="224"/>
      <c r="Q190" s="224"/>
    </row>
    <row r="191" spans="2:17">
      <c r="B191" s="224"/>
      <c r="C191" s="224"/>
      <c r="D191" s="224"/>
      <c r="E191" s="224"/>
      <c r="F191" s="224"/>
      <c r="G191" s="224"/>
      <c r="H191" s="224"/>
      <c r="I191" s="224"/>
      <c r="J191" s="224"/>
      <c r="K191" s="224"/>
      <c r="L191" s="224"/>
      <c r="M191" s="224"/>
      <c r="N191" s="224"/>
      <c r="O191" s="224"/>
      <c r="P191" s="224"/>
      <c r="Q191" s="224"/>
    </row>
    <row r="192" spans="2:17">
      <c r="B192" s="224"/>
      <c r="C192" s="224"/>
      <c r="D192" s="224"/>
      <c r="E192" s="224"/>
      <c r="F192" s="224"/>
      <c r="G192" s="224"/>
      <c r="H192" s="224"/>
      <c r="I192" s="224"/>
      <c r="J192" s="224"/>
      <c r="K192" s="224"/>
      <c r="L192" s="224"/>
      <c r="M192" s="224"/>
      <c r="N192" s="224"/>
      <c r="O192" s="224"/>
      <c r="P192" s="224"/>
      <c r="Q192" s="224"/>
    </row>
    <row r="193" spans="2:17">
      <c r="B193" s="224"/>
      <c r="C193" s="224"/>
      <c r="D193" s="224"/>
      <c r="E193" s="224"/>
      <c r="F193" s="224"/>
      <c r="G193" s="224"/>
      <c r="H193" s="224"/>
      <c r="I193" s="224"/>
      <c r="J193" s="224"/>
      <c r="K193" s="224"/>
      <c r="L193" s="224"/>
      <c r="M193" s="224"/>
      <c r="N193" s="224"/>
      <c r="O193" s="224"/>
      <c r="P193" s="224"/>
      <c r="Q193" s="224"/>
    </row>
    <row r="194" spans="2:17">
      <c r="B194" s="224"/>
      <c r="C194" s="224"/>
      <c r="D194" s="224"/>
      <c r="E194" s="224"/>
      <c r="F194" s="224"/>
      <c r="G194" s="224"/>
      <c r="H194" s="224"/>
      <c r="I194" s="224"/>
      <c r="J194" s="224"/>
      <c r="K194" s="224"/>
      <c r="L194" s="224"/>
      <c r="M194" s="224"/>
      <c r="N194" s="224"/>
      <c r="O194" s="224"/>
      <c r="P194" s="224"/>
      <c r="Q194" s="224"/>
    </row>
    <row r="195" spans="2:17">
      <c r="B195" s="224"/>
      <c r="C195" s="224"/>
      <c r="D195" s="224"/>
      <c r="E195" s="224"/>
      <c r="F195" s="224"/>
      <c r="G195" s="224"/>
      <c r="H195" s="224"/>
      <c r="I195" s="224"/>
      <c r="J195" s="224"/>
      <c r="K195" s="224"/>
      <c r="L195" s="224"/>
      <c r="M195" s="224"/>
      <c r="N195" s="224"/>
      <c r="O195" s="224"/>
      <c r="P195" s="224"/>
      <c r="Q195" s="224"/>
    </row>
    <row r="196" spans="2:17">
      <c r="B196" s="224"/>
      <c r="C196" s="224"/>
      <c r="D196" s="224"/>
      <c r="E196" s="224"/>
      <c r="F196" s="224"/>
      <c r="G196" s="224"/>
      <c r="H196" s="224"/>
      <c r="I196" s="224"/>
      <c r="J196" s="224"/>
      <c r="K196" s="224"/>
      <c r="L196" s="224"/>
      <c r="M196" s="224"/>
      <c r="N196" s="224"/>
      <c r="O196" s="224"/>
      <c r="P196" s="224"/>
      <c r="Q196" s="224"/>
    </row>
    <row r="197" spans="2:17">
      <c r="B197" s="224"/>
      <c r="C197" s="224"/>
      <c r="D197" s="224"/>
      <c r="E197" s="224"/>
      <c r="F197" s="224"/>
      <c r="G197" s="224"/>
      <c r="H197" s="224"/>
      <c r="I197" s="224"/>
      <c r="J197" s="224"/>
      <c r="K197" s="224"/>
      <c r="L197" s="224"/>
      <c r="M197" s="224"/>
      <c r="N197" s="224"/>
      <c r="O197" s="224"/>
      <c r="P197" s="224"/>
      <c r="Q197" s="224"/>
    </row>
    <row r="198" spans="2:17">
      <c r="B198" s="224"/>
      <c r="C198" s="224"/>
      <c r="D198" s="224"/>
      <c r="E198" s="224"/>
      <c r="F198" s="224"/>
      <c r="G198" s="224"/>
      <c r="H198" s="224"/>
      <c r="I198" s="224"/>
      <c r="J198" s="224"/>
      <c r="K198" s="224"/>
      <c r="L198" s="224"/>
      <c r="M198" s="224"/>
      <c r="N198" s="224"/>
      <c r="O198" s="224"/>
      <c r="P198" s="224"/>
      <c r="Q198" s="224"/>
    </row>
    <row r="199" spans="2:17">
      <c r="B199" s="224"/>
      <c r="C199" s="224"/>
      <c r="D199" s="224"/>
      <c r="E199" s="224"/>
      <c r="F199" s="224"/>
      <c r="G199" s="224"/>
      <c r="H199" s="224"/>
      <c r="I199" s="224"/>
      <c r="J199" s="224"/>
      <c r="K199" s="224"/>
      <c r="L199" s="224"/>
      <c r="M199" s="224"/>
      <c r="N199" s="224"/>
      <c r="O199" s="224"/>
      <c r="P199" s="224"/>
      <c r="Q199" s="224"/>
    </row>
    <row r="200" spans="2:17">
      <c r="B200" s="224"/>
      <c r="C200" s="224"/>
      <c r="D200" s="224"/>
      <c r="E200" s="224"/>
      <c r="F200" s="224"/>
      <c r="G200" s="224"/>
      <c r="H200" s="224"/>
      <c r="I200" s="224"/>
      <c r="J200" s="224"/>
      <c r="K200" s="224"/>
      <c r="L200" s="224"/>
      <c r="M200" s="224"/>
      <c r="N200" s="224"/>
      <c r="O200" s="224"/>
      <c r="P200" s="224"/>
      <c r="Q200" s="224"/>
    </row>
    <row r="201" spans="2:17">
      <c r="B201" s="224"/>
      <c r="C201" s="224"/>
      <c r="D201" s="224"/>
      <c r="E201" s="224"/>
      <c r="F201" s="224"/>
      <c r="G201" s="224"/>
      <c r="H201" s="224"/>
      <c r="I201" s="224"/>
      <c r="J201" s="224"/>
      <c r="K201" s="224"/>
      <c r="L201" s="224"/>
      <c r="M201" s="224"/>
      <c r="N201" s="224"/>
      <c r="O201" s="224"/>
      <c r="P201" s="224"/>
      <c r="Q201" s="224"/>
    </row>
    <row r="202" spans="2:17">
      <c r="B202" s="224"/>
      <c r="C202" s="224"/>
      <c r="D202" s="224"/>
      <c r="E202" s="224"/>
      <c r="F202" s="224"/>
      <c r="G202" s="224"/>
      <c r="H202" s="224"/>
      <c r="I202" s="224"/>
      <c r="J202" s="224"/>
      <c r="K202" s="224"/>
      <c r="L202" s="224"/>
      <c r="M202" s="224"/>
      <c r="N202" s="224"/>
      <c r="O202" s="224"/>
      <c r="P202" s="224"/>
      <c r="Q202" s="224"/>
    </row>
    <row r="203" spans="2:17">
      <c r="B203" s="224"/>
      <c r="C203" s="224"/>
      <c r="D203" s="224"/>
      <c r="E203" s="224"/>
      <c r="F203" s="224"/>
      <c r="G203" s="224"/>
      <c r="H203" s="224"/>
      <c r="I203" s="224"/>
      <c r="J203" s="224"/>
      <c r="K203" s="224"/>
      <c r="L203" s="224"/>
      <c r="M203" s="224"/>
      <c r="N203" s="224"/>
      <c r="O203" s="224"/>
      <c r="P203" s="224"/>
      <c r="Q203" s="224"/>
    </row>
    <row r="204" spans="2:17">
      <c r="B204" s="224"/>
      <c r="C204" s="224"/>
      <c r="D204" s="224"/>
      <c r="E204" s="224"/>
      <c r="F204" s="224"/>
      <c r="G204" s="224"/>
      <c r="H204" s="224"/>
      <c r="I204" s="224"/>
      <c r="J204" s="224"/>
      <c r="K204" s="224"/>
      <c r="L204" s="224"/>
      <c r="M204" s="224"/>
      <c r="N204" s="224"/>
      <c r="O204" s="224"/>
      <c r="P204" s="224"/>
      <c r="Q204" s="224"/>
    </row>
    <row r="205" spans="2:17">
      <c r="B205" s="224"/>
      <c r="C205" s="224"/>
      <c r="D205" s="224"/>
      <c r="E205" s="224"/>
      <c r="F205" s="224"/>
      <c r="G205" s="224"/>
      <c r="H205" s="224"/>
      <c r="I205" s="224"/>
      <c r="J205" s="224"/>
      <c r="K205" s="224"/>
      <c r="L205" s="224"/>
      <c r="M205" s="224"/>
      <c r="N205" s="224"/>
      <c r="O205" s="224"/>
      <c r="P205" s="224"/>
      <c r="Q205" s="224"/>
    </row>
    <row r="206" spans="2:17">
      <c r="B206" s="224"/>
      <c r="C206" s="224"/>
      <c r="D206" s="224"/>
      <c r="E206" s="224"/>
      <c r="F206" s="224"/>
      <c r="G206" s="224"/>
      <c r="H206" s="224"/>
      <c r="I206" s="224"/>
      <c r="J206" s="224"/>
      <c r="K206" s="224"/>
      <c r="L206" s="224"/>
      <c r="M206" s="224"/>
      <c r="N206" s="224"/>
      <c r="O206" s="224"/>
      <c r="P206" s="224"/>
      <c r="Q206" s="224"/>
    </row>
    <row r="207" spans="2:17">
      <c r="B207" s="224"/>
      <c r="C207" s="224"/>
      <c r="D207" s="224"/>
      <c r="E207" s="224"/>
      <c r="F207" s="224"/>
      <c r="G207" s="224"/>
      <c r="H207" s="224"/>
      <c r="I207" s="224"/>
      <c r="J207" s="224"/>
      <c r="K207" s="224"/>
      <c r="L207" s="224"/>
      <c r="M207" s="224"/>
      <c r="N207" s="224"/>
      <c r="O207" s="224"/>
      <c r="P207" s="224"/>
      <c r="Q207" s="224"/>
    </row>
    <row r="208" spans="2:17">
      <c r="B208" s="224"/>
      <c r="C208" s="224"/>
      <c r="D208" s="224"/>
      <c r="E208" s="224"/>
      <c r="F208" s="224"/>
      <c r="G208" s="224"/>
      <c r="H208" s="224"/>
      <c r="I208" s="224"/>
      <c r="J208" s="224"/>
      <c r="K208" s="224"/>
      <c r="L208" s="224"/>
      <c r="M208" s="224"/>
      <c r="N208" s="224"/>
      <c r="O208" s="224"/>
      <c r="P208" s="224"/>
      <c r="Q208" s="224"/>
    </row>
    <row r="209" spans="2:17">
      <c r="B209" s="224"/>
      <c r="C209" s="224"/>
      <c r="D209" s="224"/>
      <c r="E209" s="224"/>
      <c r="F209" s="224"/>
      <c r="G209" s="224"/>
      <c r="H209" s="224"/>
      <c r="I209" s="224"/>
      <c r="J209" s="224"/>
      <c r="K209" s="224"/>
      <c r="L209" s="224"/>
      <c r="M209" s="224"/>
      <c r="N209" s="224"/>
      <c r="O209" s="224"/>
      <c r="P209" s="224"/>
      <c r="Q209" s="224"/>
    </row>
    <row r="210" spans="2:17">
      <c r="B210" s="224"/>
      <c r="C210" s="224"/>
      <c r="D210" s="224"/>
      <c r="E210" s="224"/>
      <c r="F210" s="224"/>
      <c r="G210" s="224"/>
      <c r="H210" s="224"/>
      <c r="I210" s="224"/>
      <c r="J210" s="224"/>
      <c r="K210" s="224"/>
      <c r="L210" s="224"/>
      <c r="M210" s="224"/>
      <c r="N210" s="224"/>
      <c r="O210" s="224"/>
      <c r="P210" s="224"/>
      <c r="Q210" s="224"/>
    </row>
    <row r="211" spans="2:17">
      <c r="B211" s="224"/>
      <c r="C211" s="224"/>
      <c r="D211" s="224"/>
      <c r="E211" s="224"/>
      <c r="F211" s="224"/>
      <c r="G211" s="224"/>
      <c r="H211" s="224"/>
      <c r="I211" s="224"/>
      <c r="J211" s="224"/>
      <c r="K211" s="224"/>
      <c r="L211" s="224"/>
      <c r="M211" s="224"/>
      <c r="N211" s="224"/>
      <c r="O211" s="224"/>
      <c r="P211" s="224"/>
      <c r="Q211" s="224"/>
    </row>
    <row r="212" spans="2:17">
      <c r="B212" s="224"/>
      <c r="C212" s="224"/>
      <c r="D212" s="224"/>
      <c r="E212" s="224"/>
      <c r="F212" s="224"/>
      <c r="G212" s="224"/>
      <c r="H212" s="224"/>
      <c r="I212" s="224"/>
      <c r="J212" s="224"/>
      <c r="K212" s="224"/>
      <c r="L212" s="224"/>
      <c r="M212" s="224"/>
      <c r="N212" s="224"/>
      <c r="O212" s="224"/>
      <c r="P212" s="224"/>
      <c r="Q212" s="224"/>
    </row>
    <row r="213" spans="2:17">
      <c r="B213" s="224"/>
      <c r="C213" s="224"/>
      <c r="D213" s="224"/>
      <c r="E213" s="224"/>
      <c r="F213" s="224"/>
      <c r="G213" s="224"/>
      <c r="H213" s="224"/>
      <c r="I213" s="224"/>
      <c r="J213" s="224"/>
      <c r="K213" s="224"/>
      <c r="L213" s="224"/>
      <c r="M213" s="224"/>
      <c r="N213" s="224"/>
      <c r="O213" s="224"/>
      <c r="P213" s="224"/>
      <c r="Q213" s="224"/>
    </row>
    <row r="214" spans="2:17">
      <c r="B214" s="224"/>
      <c r="C214" s="224"/>
      <c r="D214" s="224"/>
      <c r="E214" s="224"/>
      <c r="F214" s="224"/>
      <c r="G214" s="224"/>
      <c r="H214" s="224"/>
      <c r="I214" s="224"/>
      <c r="J214" s="224"/>
      <c r="K214" s="224"/>
      <c r="L214" s="224"/>
      <c r="M214" s="224"/>
      <c r="N214" s="224"/>
      <c r="O214" s="224"/>
      <c r="P214" s="224"/>
      <c r="Q214" s="224"/>
    </row>
    <row r="215" spans="2:17">
      <c r="B215" s="224"/>
      <c r="C215" s="224"/>
      <c r="D215" s="224"/>
      <c r="E215" s="224"/>
      <c r="F215" s="224"/>
      <c r="G215" s="224"/>
      <c r="H215" s="224"/>
      <c r="I215" s="224"/>
      <c r="J215" s="224"/>
      <c r="K215" s="224"/>
      <c r="L215" s="224"/>
      <c r="M215" s="224"/>
      <c r="N215" s="224"/>
      <c r="O215" s="224"/>
      <c r="P215" s="224"/>
      <c r="Q215" s="224"/>
    </row>
    <row r="216" spans="2:17">
      <c r="B216" s="224"/>
      <c r="C216" s="224"/>
      <c r="D216" s="224"/>
      <c r="E216" s="224"/>
      <c r="F216" s="224"/>
      <c r="G216" s="224"/>
      <c r="H216" s="224"/>
      <c r="I216" s="224"/>
      <c r="J216" s="224"/>
      <c r="K216" s="224"/>
      <c r="L216" s="224"/>
      <c r="M216" s="224"/>
      <c r="N216" s="224"/>
      <c r="O216" s="224"/>
      <c r="P216" s="224"/>
      <c r="Q216" s="224"/>
    </row>
    <row r="217" spans="2:17">
      <c r="B217" s="224"/>
      <c r="C217" s="224"/>
      <c r="D217" s="224"/>
      <c r="E217" s="224"/>
      <c r="F217" s="224"/>
      <c r="G217" s="224"/>
      <c r="H217" s="224"/>
      <c r="I217" s="224"/>
      <c r="J217" s="224"/>
      <c r="K217" s="224"/>
      <c r="L217" s="224"/>
      <c r="M217" s="224"/>
      <c r="N217" s="224"/>
      <c r="O217" s="224"/>
      <c r="P217" s="224"/>
      <c r="Q217" s="224"/>
    </row>
    <row r="218" spans="2:17">
      <c r="B218" s="224"/>
      <c r="C218" s="224"/>
      <c r="D218" s="224"/>
      <c r="E218" s="224"/>
      <c r="F218" s="224"/>
      <c r="G218" s="224"/>
      <c r="H218" s="224"/>
      <c r="I218" s="224"/>
      <c r="J218" s="224"/>
      <c r="K218" s="224"/>
      <c r="L218" s="224"/>
      <c r="M218" s="224"/>
      <c r="N218" s="224"/>
      <c r="O218" s="224"/>
      <c r="P218" s="224"/>
      <c r="Q218" s="224"/>
    </row>
    <row r="219" spans="2:17">
      <c r="B219" s="224"/>
      <c r="C219" s="224"/>
      <c r="D219" s="224"/>
      <c r="E219" s="224"/>
      <c r="F219" s="224"/>
      <c r="G219" s="224"/>
      <c r="H219" s="224"/>
      <c r="I219" s="224"/>
      <c r="J219" s="224"/>
      <c r="K219" s="224"/>
      <c r="L219" s="224"/>
      <c r="M219" s="224"/>
      <c r="N219" s="224"/>
      <c r="O219" s="224"/>
      <c r="P219" s="224"/>
      <c r="Q219" s="224"/>
    </row>
    <row r="220" spans="2:17">
      <c r="B220" s="224"/>
      <c r="C220" s="224"/>
      <c r="D220" s="224"/>
      <c r="E220" s="224"/>
      <c r="F220" s="224"/>
      <c r="G220" s="224"/>
      <c r="H220" s="224"/>
      <c r="I220" s="224"/>
      <c r="J220" s="224"/>
      <c r="K220" s="224"/>
      <c r="L220" s="224"/>
      <c r="M220" s="224"/>
      <c r="N220" s="224"/>
      <c r="O220" s="224"/>
      <c r="P220" s="224"/>
      <c r="Q220" s="224"/>
    </row>
    <row r="221" spans="2:17">
      <c r="B221" s="224"/>
      <c r="C221" s="224"/>
      <c r="D221" s="224"/>
      <c r="E221" s="224"/>
      <c r="F221" s="224"/>
      <c r="G221" s="224"/>
      <c r="H221" s="224"/>
      <c r="I221" s="224"/>
      <c r="J221" s="224"/>
      <c r="K221" s="224"/>
      <c r="L221" s="224"/>
      <c r="M221" s="224"/>
      <c r="N221" s="224"/>
      <c r="O221" s="224"/>
      <c r="P221" s="224"/>
      <c r="Q221" s="224"/>
    </row>
    <row r="222" spans="2:17">
      <c r="B222" s="224"/>
      <c r="C222" s="224"/>
      <c r="D222" s="224"/>
      <c r="E222" s="224"/>
      <c r="F222" s="224"/>
      <c r="G222" s="224"/>
      <c r="H222" s="224"/>
      <c r="I222" s="224"/>
      <c r="J222" s="224"/>
      <c r="K222" s="224"/>
      <c r="L222" s="224"/>
      <c r="M222" s="224"/>
      <c r="N222" s="224"/>
      <c r="O222" s="224"/>
      <c r="P222" s="224"/>
      <c r="Q222" s="224"/>
    </row>
    <row r="223" spans="2:17">
      <c r="B223" s="224"/>
      <c r="C223" s="224"/>
      <c r="D223" s="224"/>
      <c r="E223" s="224"/>
      <c r="F223" s="224"/>
      <c r="G223" s="224"/>
      <c r="H223" s="224"/>
      <c r="I223" s="224"/>
      <c r="J223" s="224"/>
      <c r="K223" s="224"/>
      <c r="L223" s="224"/>
      <c r="M223" s="224"/>
      <c r="N223" s="224"/>
      <c r="O223" s="224"/>
      <c r="P223" s="224"/>
      <c r="Q223" s="224"/>
    </row>
    <row r="224" spans="2:17">
      <c r="B224" s="224"/>
      <c r="C224" s="224"/>
      <c r="D224" s="224"/>
      <c r="E224" s="224"/>
      <c r="F224" s="224"/>
      <c r="G224" s="224"/>
      <c r="H224" s="224"/>
      <c r="I224" s="224"/>
      <c r="J224" s="224"/>
      <c r="K224" s="224"/>
      <c r="L224" s="224"/>
      <c r="M224" s="224"/>
      <c r="N224" s="224"/>
      <c r="O224" s="224"/>
      <c r="P224" s="224"/>
      <c r="Q224" s="224"/>
    </row>
    <row r="225" spans="2:17">
      <c r="B225" s="224"/>
      <c r="C225" s="224"/>
      <c r="D225" s="224"/>
      <c r="E225" s="224"/>
      <c r="F225" s="224"/>
      <c r="G225" s="224"/>
      <c r="H225" s="224"/>
      <c r="I225" s="224"/>
      <c r="J225" s="224"/>
      <c r="K225" s="224"/>
      <c r="L225" s="224"/>
      <c r="M225" s="224"/>
      <c r="N225" s="224"/>
      <c r="O225" s="224"/>
      <c r="P225" s="224"/>
      <c r="Q225" s="224"/>
    </row>
    <row r="226" spans="2:17">
      <c r="B226" s="224"/>
      <c r="C226" s="224"/>
      <c r="D226" s="224"/>
      <c r="E226" s="224"/>
      <c r="F226" s="224"/>
      <c r="G226" s="224"/>
      <c r="H226" s="224"/>
      <c r="I226" s="224"/>
      <c r="J226" s="224"/>
      <c r="K226" s="224"/>
      <c r="L226" s="224"/>
      <c r="M226" s="224"/>
      <c r="N226" s="224"/>
      <c r="O226" s="224"/>
      <c r="P226" s="224"/>
      <c r="Q226" s="224"/>
    </row>
    <row r="227" spans="2:17">
      <c r="B227" s="224"/>
      <c r="C227" s="224"/>
      <c r="D227" s="224"/>
      <c r="E227" s="224"/>
      <c r="F227" s="224"/>
      <c r="G227" s="224"/>
      <c r="H227" s="224"/>
      <c r="I227" s="224"/>
      <c r="J227" s="224"/>
      <c r="K227" s="224"/>
      <c r="L227" s="224"/>
      <c r="M227" s="224"/>
      <c r="N227" s="224"/>
      <c r="O227" s="224"/>
      <c r="P227" s="224"/>
      <c r="Q227" s="224"/>
    </row>
    <row r="228" spans="2:17">
      <c r="B228" s="224"/>
      <c r="C228" s="224"/>
      <c r="D228" s="224"/>
      <c r="E228" s="224"/>
      <c r="F228" s="224"/>
      <c r="G228" s="224"/>
      <c r="H228" s="224"/>
      <c r="I228" s="224"/>
      <c r="J228" s="224"/>
      <c r="K228" s="224"/>
      <c r="L228" s="224"/>
      <c r="M228" s="224"/>
      <c r="N228" s="224"/>
      <c r="O228" s="224"/>
      <c r="P228" s="224"/>
      <c r="Q228" s="224"/>
    </row>
    <row r="229" spans="2:17">
      <c r="B229" s="224"/>
      <c r="C229" s="224"/>
      <c r="D229" s="224"/>
      <c r="E229" s="224"/>
      <c r="F229" s="224"/>
      <c r="G229" s="224"/>
      <c r="H229" s="224"/>
      <c r="I229" s="224"/>
      <c r="J229" s="224"/>
      <c r="K229" s="224"/>
      <c r="L229" s="224"/>
      <c r="M229" s="224"/>
      <c r="N229" s="224"/>
      <c r="O229" s="224"/>
      <c r="P229" s="224"/>
      <c r="Q229" s="224"/>
    </row>
    <row r="230" spans="2:17">
      <c r="B230" s="224"/>
      <c r="C230" s="224"/>
      <c r="D230" s="224"/>
      <c r="E230" s="224"/>
      <c r="F230" s="224"/>
      <c r="G230" s="224"/>
      <c r="H230" s="224"/>
      <c r="I230" s="224"/>
      <c r="J230" s="224"/>
      <c r="K230" s="224"/>
      <c r="L230" s="224"/>
      <c r="M230" s="224"/>
      <c r="N230" s="224"/>
      <c r="O230" s="224"/>
      <c r="P230" s="224"/>
      <c r="Q230" s="224"/>
    </row>
    <row r="231" spans="2:17">
      <c r="B231" s="224"/>
      <c r="C231" s="224"/>
      <c r="D231" s="224"/>
      <c r="E231" s="224"/>
      <c r="F231" s="224"/>
      <c r="G231" s="224"/>
      <c r="H231" s="224"/>
      <c r="I231" s="224"/>
      <c r="J231" s="224"/>
      <c r="K231" s="224"/>
      <c r="L231" s="224"/>
      <c r="M231" s="224"/>
      <c r="N231" s="224"/>
      <c r="O231" s="224"/>
      <c r="P231" s="224"/>
      <c r="Q231" s="224"/>
    </row>
    <row r="232" spans="2:17">
      <c r="B232" s="224"/>
      <c r="C232" s="224"/>
      <c r="D232" s="224"/>
      <c r="E232" s="224"/>
      <c r="F232" s="224"/>
      <c r="G232" s="224"/>
      <c r="H232" s="224"/>
      <c r="I232" s="224"/>
      <c r="J232" s="224"/>
      <c r="K232" s="224"/>
      <c r="L232" s="224"/>
      <c r="M232" s="224"/>
      <c r="N232" s="224"/>
      <c r="O232" s="224"/>
      <c r="P232" s="224"/>
      <c r="Q232" s="224"/>
    </row>
    <row r="233" spans="2:17">
      <c r="B233" s="224"/>
      <c r="C233" s="224"/>
      <c r="D233" s="224"/>
      <c r="E233" s="224"/>
      <c r="F233" s="224"/>
      <c r="G233" s="224"/>
      <c r="H233" s="224"/>
      <c r="I233" s="224"/>
      <c r="J233" s="224"/>
      <c r="K233" s="224"/>
      <c r="L233" s="224"/>
      <c r="M233" s="224"/>
      <c r="N233" s="224"/>
      <c r="O233" s="224"/>
      <c r="P233" s="224"/>
      <c r="Q233" s="224"/>
    </row>
    <row r="234" spans="2:17">
      <c r="B234" s="224"/>
      <c r="C234" s="224"/>
      <c r="D234" s="224"/>
      <c r="E234" s="224"/>
      <c r="F234" s="224"/>
      <c r="G234" s="224"/>
      <c r="H234" s="224"/>
      <c r="I234" s="224"/>
      <c r="J234" s="224"/>
      <c r="K234" s="224"/>
      <c r="L234" s="224"/>
      <c r="M234" s="224"/>
      <c r="N234" s="224"/>
      <c r="O234" s="224"/>
      <c r="P234" s="224"/>
      <c r="Q234" s="224"/>
    </row>
    <row r="235" spans="2:17">
      <c r="B235" s="224"/>
      <c r="C235" s="224"/>
      <c r="D235" s="224"/>
      <c r="E235" s="224"/>
      <c r="F235" s="224"/>
      <c r="G235" s="224"/>
      <c r="H235" s="224"/>
      <c r="I235" s="224"/>
      <c r="J235" s="224"/>
      <c r="K235" s="224"/>
      <c r="L235" s="224"/>
      <c r="M235" s="224"/>
      <c r="N235" s="224"/>
      <c r="O235" s="224"/>
      <c r="P235" s="224"/>
      <c r="Q235" s="224"/>
    </row>
    <row r="236" spans="2:17">
      <c r="B236" s="224"/>
      <c r="C236" s="224"/>
      <c r="D236" s="224"/>
      <c r="E236" s="224"/>
      <c r="F236" s="224"/>
      <c r="G236" s="224"/>
      <c r="H236" s="224"/>
      <c r="I236" s="224"/>
      <c r="J236" s="224"/>
      <c r="K236" s="224"/>
      <c r="L236" s="224"/>
      <c r="M236" s="224"/>
      <c r="N236" s="224"/>
      <c r="O236" s="224"/>
      <c r="P236" s="224"/>
      <c r="Q236" s="224"/>
    </row>
    <row r="237" spans="2:17">
      <c r="B237" s="224"/>
      <c r="C237" s="224"/>
      <c r="D237" s="224"/>
      <c r="E237" s="224"/>
      <c r="F237" s="224"/>
      <c r="G237" s="224"/>
      <c r="H237" s="224"/>
      <c r="I237" s="224"/>
      <c r="J237" s="224"/>
      <c r="K237" s="224"/>
      <c r="L237" s="224"/>
      <c r="M237" s="224"/>
      <c r="N237" s="224"/>
      <c r="O237" s="224"/>
      <c r="P237" s="224"/>
      <c r="Q237" s="224"/>
    </row>
    <row r="238" spans="2:17">
      <c r="B238" s="224"/>
      <c r="C238" s="224"/>
      <c r="D238" s="224"/>
      <c r="E238" s="224"/>
      <c r="F238" s="224"/>
      <c r="G238" s="224"/>
      <c r="H238" s="224"/>
      <c r="I238" s="224"/>
      <c r="J238" s="224"/>
      <c r="K238" s="224"/>
      <c r="L238" s="224"/>
      <c r="M238" s="224"/>
      <c r="N238" s="224"/>
      <c r="O238" s="224"/>
      <c r="P238" s="224"/>
      <c r="Q238" s="224"/>
    </row>
    <row r="239" spans="2:17">
      <c r="B239" s="224"/>
      <c r="C239" s="224"/>
      <c r="D239" s="224"/>
      <c r="E239" s="224"/>
      <c r="F239" s="224"/>
      <c r="G239" s="224"/>
      <c r="H239" s="224"/>
      <c r="I239" s="224"/>
      <c r="J239" s="224"/>
      <c r="K239" s="224"/>
      <c r="L239" s="224"/>
      <c r="M239" s="224"/>
      <c r="N239" s="224"/>
      <c r="O239" s="224"/>
      <c r="P239" s="224"/>
      <c r="Q239" s="224"/>
    </row>
    <row r="240" spans="2:17">
      <c r="B240" s="224"/>
      <c r="C240" s="224"/>
      <c r="D240" s="224"/>
      <c r="E240" s="224"/>
      <c r="F240" s="224"/>
      <c r="G240" s="224"/>
      <c r="H240" s="224"/>
      <c r="I240" s="224"/>
      <c r="J240" s="224"/>
      <c r="K240" s="224"/>
      <c r="L240" s="224"/>
      <c r="M240" s="224"/>
      <c r="N240" s="224"/>
      <c r="O240" s="224"/>
      <c r="P240" s="224"/>
      <c r="Q240" s="224"/>
    </row>
    <row r="241" spans="2:17">
      <c r="B241" s="224"/>
      <c r="C241" s="224"/>
      <c r="D241" s="224"/>
      <c r="E241" s="224"/>
      <c r="F241" s="224"/>
      <c r="G241" s="224"/>
      <c r="H241" s="224"/>
      <c r="I241" s="224"/>
      <c r="J241" s="224"/>
      <c r="K241" s="224"/>
      <c r="L241" s="224"/>
      <c r="M241" s="224"/>
      <c r="N241" s="224"/>
      <c r="O241" s="224"/>
      <c r="P241" s="224"/>
      <c r="Q241" s="224"/>
    </row>
    <row r="242" spans="2:17">
      <c r="B242" s="224"/>
      <c r="C242" s="224"/>
      <c r="D242" s="224"/>
      <c r="E242" s="224"/>
      <c r="F242" s="224"/>
      <c r="G242" s="224"/>
      <c r="H242" s="224"/>
      <c r="I242" s="224"/>
      <c r="J242" s="224"/>
      <c r="K242" s="224"/>
      <c r="L242" s="224"/>
      <c r="M242" s="224"/>
      <c r="N242" s="224"/>
      <c r="O242" s="224"/>
      <c r="P242" s="224"/>
      <c r="Q242" s="224"/>
    </row>
    <row r="243" spans="2:17">
      <c r="B243" s="224"/>
      <c r="C243" s="224"/>
      <c r="D243" s="224"/>
      <c r="E243" s="224"/>
      <c r="F243" s="224"/>
      <c r="G243" s="224"/>
      <c r="H243" s="224"/>
      <c r="I243" s="224"/>
      <c r="J243" s="224"/>
      <c r="K243" s="224"/>
      <c r="L243" s="224"/>
      <c r="M243" s="224"/>
      <c r="N243" s="224"/>
      <c r="O243" s="224"/>
      <c r="P243" s="224"/>
      <c r="Q243" s="224"/>
    </row>
    <row r="244" spans="2:17">
      <c r="B244" s="224"/>
      <c r="C244" s="224"/>
      <c r="D244" s="224"/>
      <c r="E244" s="224"/>
      <c r="F244" s="224"/>
      <c r="G244" s="224"/>
      <c r="H244" s="224"/>
      <c r="I244" s="224"/>
      <c r="J244" s="224"/>
      <c r="K244" s="224"/>
      <c r="L244" s="224"/>
      <c r="M244" s="224"/>
      <c r="N244" s="224"/>
      <c r="O244" s="224"/>
      <c r="P244" s="224"/>
      <c r="Q244" s="224"/>
    </row>
    <row r="245" spans="2:17">
      <c r="B245" s="224"/>
      <c r="C245" s="224"/>
      <c r="D245" s="224"/>
      <c r="E245" s="224"/>
      <c r="F245" s="224"/>
      <c r="G245" s="224"/>
      <c r="H245" s="224"/>
      <c r="I245" s="224"/>
      <c r="J245" s="224"/>
      <c r="K245" s="224"/>
      <c r="L245" s="224"/>
      <c r="M245" s="224"/>
      <c r="N245" s="224"/>
      <c r="O245" s="224"/>
      <c r="P245" s="224"/>
      <c r="Q245" s="224"/>
    </row>
    <row r="246" spans="2:17">
      <c r="B246" s="224"/>
      <c r="C246" s="224"/>
      <c r="D246" s="224"/>
      <c r="E246" s="224"/>
      <c r="F246" s="224"/>
      <c r="G246" s="224"/>
      <c r="H246" s="224"/>
      <c r="I246" s="224"/>
      <c r="J246" s="224"/>
      <c r="K246" s="224"/>
      <c r="L246" s="224"/>
      <c r="M246" s="224"/>
      <c r="N246" s="224"/>
      <c r="O246" s="224"/>
      <c r="P246" s="224"/>
      <c r="Q246" s="224"/>
    </row>
    <row r="247" spans="2:17">
      <c r="B247" s="224"/>
      <c r="C247" s="224"/>
      <c r="D247" s="224"/>
      <c r="E247" s="224"/>
      <c r="F247" s="224"/>
      <c r="G247" s="224"/>
      <c r="H247" s="224"/>
      <c r="I247" s="224"/>
      <c r="J247" s="224"/>
      <c r="K247" s="224"/>
      <c r="L247" s="224"/>
      <c r="M247" s="224"/>
      <c r="N247" s="224"/>
      <c r="O247" s="224"/>
      <c r="P247" s="224"/>
      <c r="Q247" s="224"/>
    </row>
    <row r="248" spans="2:17">
      <c r="B248" s="224"/>
      <c r="C248" s="224"/>
      <c r="D248" s="224"/>
      <c r="E248" s="224"/>
      <c r="F248" s="224"/>
      <c r="G248" s="224"/>
      <c r="H248" s="224"/>
      <c r="I248" s="224"/>
      <c r="J248" s="224"/>
      <c r="K248" s="224"/>
      <c r="L248" s="224"/>
      <c r="M248" s="224"/>
      <c r="N248" s="224"/>
      <c r="O248" s="224"/>
      <c r="P248" s="224"/>
      <c r="Q248" s="224"/>
    </row>
    <row r="249" spans="2:17">
      <c r="B249" s="224"/>
      <c r="C249" s="224"/>
      <c r="D249" s="224"/>
      <c r="E249" s="224"/>
      <c r="F249" s="224"/>
      <c r="G249" s="224"/>
      <c r="H249" s="224"/>
      <c r="I249" s="224"/>
      <c r="J249" s="224"/>
      <c r="K249" s="224"/>
      <c r="L249" s="224"/>
      <c r="M249" s="224"/>
      <c r="N249" s="224"/>
      <c r="O249" s="224"/>
      <c r="P249" s="224"/>
      <c r="Q249" s="224"/>
    </row>
    <row r="250" spans="2:17">
      <c r="B250" s="224"/>
      <c r="C250" s="224"/>
      <c r="D250" s="224"/>
      <c r="E250" s="224"/>
      <c r="F250" s="224"/>
      <c r="G250" s="224"/>
      <c r="H250" s="224"/>
      <c r="I250" s="224"/>
      <c r="J250" s="224"/>
      <c r="K250" s="224"/>
      <c r="L250" s="224"/>
      <c r="M250" s="224"/>
      <c r="N250" s="224"/>
      <c r="O250" s="224"/>
      <c r="P250" s="224"/>
      <c r="Q250" s="224"/>
    </row>
    <row r="251" spans="2:17">
      <c r="B251" s="224"/>
      <c r="C251" s="224"/>
      <c r="D251" s="224"/>
      <c r="E251" s="224"/>
      <c r="F251" s="224"/>
      <c r="G251" s="224"/>
      <c r="H251" s="224"/>
      <c r="I251" s="224"/>
      <c r="J251" s="224"/>
      <c r="K251" s="224"/>
      <c r="L251" s="224"/>
      <c r="M251" s="224"/>
      <c r="N251" s="224"/>
      <c r="O251" s="224"/>
      <c r="P251" s="224"/>
      <c r="Q251" s="224"/>
    </row>
    <row r="252" spans="2:17">
      <c r="B252" s="224"/>
      <c r="C252" s="224"/>
      <c r="D252" s="224"/>
      <c r="E252" s="224"/>
      <c r="F252" s="224"/>
      <c r="G252" s="224"/>
      <c r="H252" s="224"/>
      <c r="I252" s="224"/>
      <c r="J252" s="224"/>
      <c r="K252" s="224"/>
      <c r="L252" s="224"/>
      <c r="M252" s="224"/>
      <c r="N252" s="224"/>
      <c r="O252" s="224"/>
      <c r="P252" s="224"/>
      <c r="Q252" s="224"/>
    </row>
    <row r="253" spans="2:17">
      <c r="B253" s="224"/>
      <c r="C253" s="224"/>
      <c r="D253" s="224"/>
      <c r="E253" s="224"/>
      <c r="F253" s="224"/>
      <c r="G253" s="224"/>
      <c r="H253" s="224"/>
      <c r="I253" s="224"/>
      <c r="J253" s="224"/>
      <c r="K253" s="224"/>
      <c r="L253" s="224"/>
      <c r="M253" s="224"/>
      <c r="N253" s="224"/>
      <c r="O253" s="224"/>
      <c r="P253" s="224"/>
      <c r="Q253" s="224"/>
    </row>
    <row r="254" spans="2:17">
      <c r="B254" s="224"/>
      <c r="C254" s="224"/>
      <c r="D254" s="224"/>
      <c r="E254" s="224"/>
      <c r="F254" s="224"/>
      <c r="G254" s="224"/>
      <c r="H254" s="224"/>
      <c r="I254" s="224"/>
      <c r="J254" s="224"/>
      <c r="K254" s="224"/>
      <c r="L254" s="224"/>
      <c r="M254" s="224"/>
      <c r="N254" s="224"/>
      <c r="O254" s="224"/>
      <c r="P254" s="224"/>
      <c r="Q254" s="224"/>
    </row>
    <row r="255" spans="2:17">
      <c r="B255" s="224"/>
      <c r="C255" s="224"/>
      <c r="D255" s="224"/>
      <c r="E255" s="224"/>
      <c r="F255" s="224"/>
      <c r="G255" s="224"/>
      <c r="H255" s="224"/>
      <c r="I255" s="224"/>
      <c r="J255" s="224"/>
      <c r="K255" s="224"/>
      <c r="L255" s="224"/>
      <c r="M255" s="224"/>
      <c r="N255" s="224"/>
      <c r="O255" s="224"/>
      <c r="P255" s="224"/>
      <c r="Q255" s="224"/>
    </row>
    <row r="256" spans="2:17">
      <c r="B256" s="224"/>
      <c r="C256" s="224"/>
      <c r="D256" s="224"/>
      <c r="E256" s="224"/>
      <c r="F256" s="224"/>
      <c r="G256" s="224"/>
      <c r="H256" s="224"/>
      <c r="I256" s="224"/>
      <c r="J256" s="224"/>
      <c r="K256" s="224"/>
      <c r="L256" s="224"/>
      <c r="M256" s="224"/>
      <c r="N256" s="224"/>
      <c r="O256" s="224"/>
      <c r="P256" s="224"/>
      <c r="Q256" s="224"/>
    </row>
    <row r="257" spans="2:17">
      <c r="B257" s="224"/>
      <c r="C257" s="224"/>
      <c r="D257" s="224"/>
      <c r="E257" s="224"/>
      <c r="F257" s="224"/>
      <c r="G257" s="224"/>
      <c r="H257" s="224"/>
      <c r="I257" s="224"/>
      <c r="J257" s="224"/>
      <c r="K257" s="224"/>
      <c r="L257" s="224"/>
      <c r="M257" s="224"/>
      <c r="N257" s="224"/>
      <c r="O257" s="224"/>
      <c r="P257" s="224"/>
      <c r="Q257" s="224"/>
    </row>
    <row r="258" spans="2:17">
      <c r="B258" s="224"/>
      <c r="C258" s="224"/>
      <c r="D258" s="224"/>
      <c r="E258" s="224"/>
      <c r="F258" s="224"/>
      <c r="G258" s="224"/>
      <c r="H258" s="224"/>
      <c r="I258" s="224"/>
      <c r="J258" s="224"/>
      <c r="K258" s="224"/>
      <c r="L258" s="224"/>
      <c r="M258" s="224"/>
      <c r="N258" s="224"/>
      <c r="O258" s="224"/>
      <c r="P258" s="224"/>
      <c r="Q258" s="224"/>
    </row>
    <row r="259" spans="2:17">
      <c r="B259" s="224"/>
      <c r="C259" s="224"/>
      <c r="D259" s="224"/>
      <c r="E259" s="224"/>
      <c r="F259" s="224"/>
      <c r="G259" s="224"/>
      <c r="H259" s="224"/>
      <c r="I259" s="224"/>
      <c r="J259" s="224"/>
      <c r="K259" s="224"/>
      <c r="L259" s="224"/>
      <c r="M259" s="224"/>
      <c r="N259" s="224"/>
      <c r="O259" s="224"/>
      <c r="P259" s="224"/>
      <c r="Q259" s="224"/>
    </row>
    <row r="260" spans="2:17">
      <c r="B260" s="224"/>
      <c r="C260" s="224"/>
      <c r="D260" s="224"/>
      <c r="E260" s="224"/>
      <c r="F260" s="224"/>
      <c r="G260" s="224"/>
      <c r="H260" s="224"/>
      <c r="I260" s="224"/>
      <c r="J260" s="224"/>
      <c r="K260" s="224"/>
      <c r="L260" s="224"/>
      <c r="M260" s="224"/>
      <c r="N260" s="224"/>
      <c r="O260" s="224"/>
      <c r="P260" s="224"/>
      <c r="Q260" s="224"/>
    </row>
    <row r="261" spans="2:17">
      <c r="B261" s="224"/>
      <c r="C261" s="224"/>
      <c r="D261" s="224"/>
      <c r="E261" s="224"/>
      <c r="F261" s="224"/>
      <c r="G261" s="224"/>
      <c r="H261" s="224"/>
      <c r="I261" s="224"/>
      <c r="J261" s="224"/>
      <c r="K261" s="224"/>
      <c r="L261" s="224"/>
      <c r="M261" s="224"/>
      <c r="N261" s="224"/>
      <c r="O261" s="224"/>
      <c r="P261" s="224"/>
      <c r="Q261" s="224"/>
    </row>
    <row r="262" spans="2:17">
      <c r="B262" s="224"/>
      <c r="C262" s="224"/>
      <c r="D262" s="224"/>
      <c r="E262" s="224"/>
      <c r="F262" s="224"/>
      <c r="G262" s="224"/>
      <c r="H262" s="224"/>
      <c r="I262" s="224"/>
      <c r="J262" s="224"/>
      <c r="K262" s="224"/>
      <c r="L262" s="224"/>
      <c r="M262" s="224"/>
      <c r="N262" s="224"/>
      <c r="O262" s="224"/>
      <c r="P262" s="224"/>
      <c r="Q262" s="224"/>
    </row>
    <row r="263" spans="2:17">
      <c r="B263" s="224"/>
      <c r="C263" s="224"/>
      <c r="D263" s="224"/>
      <c r="E263" s="224"/>
      <c r="F263" s="224"/>
      <c r="G263" s="224"/>
      <c r="H263" s="224"/>
      <c r="I263" s="224"/>
      <c r="J263" s="224"/>
      <c r="K263" s="224"/>
      <c r="L263" s="224"/>
      <c r="M263" s="224"/>
      <c r="N263" s="224"/>
      <c r="O263" s="224"/>
      <c r="P263" s="224"/>
      <c r="Q263" s="224"/>
    </row>
    <row r="264" spans="2:17">
      <c r="B264" s="224"/>
      <c r="C264" s="224"/>
      <c r="D264" s="224"/>
      <c r="E264" s="224"/>
      <c r="F264" s="224"/>
      <c r="G264" s="224"/>
      <c r="H264" s="224"/>
      <c r="I264" s="224"/>
      <c r="J264" s="224"/>
      <c r="K264" s="224"/>
      <c r="L264" s="224"/>
      <c r="M264" s="224"/>
      <c r="N264" s="224"/>
      <c r="O264" s="224"/>
      <c r="P264" s="224"/>
      <c r="Q264" s="224"/>
    </row>
    <row r="265" spans="2:17">
      <c r="B265" s="224"/>
      <c r="C265" s="224"/>
      <c r="D265" s="224"/>
      <c r="E265" s="224"/>
      <c r="F265" s="224"/>
      <c r="G265" s="224"/>
      <c r="H265" s="224"/>
      <c r="I265" s="224"/>
      <c r="J265" s="224"/>
      <c r="K265" s="224"/>
      <c r="L265" s="224"/>
      <c r="M265" s="224"/>
      <c r="N265" s="224"/>
      <c r="O265" s="224"/>
      <c r="P265" s="224"/>
      <c r="Q265" s="224"/>
    </row>
    <row r="266" spans="2:17">
      <c r="B266" s="224"/>
      <c r="C266" s="224"/>
      <c r="D266" s="224"/>
      <c r="E266" s="224"/>
      <c r="F266" s="224"/>
      <c r="G266" s="224"/>
      <c r="H266" s="224"/>
      <c r="I266" s="224"/>
      <c r="J266" s="224"/>
      <c r="K266" s="224"/>
      <c r="L266" s="224"/>
      <c r="M266" s="224"/>
      <c r="N266" s="224"/>
      <c r="O266" s="224"/>
      <c r="P266" s="224"/>
      <c r="Q266" s="224"/>
    </row>
    <row r="267" spans="2:17">
      <c r="B267" s="224"/>
      <c r="C267" s="224"/>
      <c r="D267" s="224"/>
      <c r="E267" s="224"/>
      <c r="F267" s="224"/>
      <c r="G267" s="224"/>
      <c r="H267" s="224"/>
      <c r="I267" s="224"/>
      <c r="J267" s="224"/>
      <c r="K267" s="224"/>
      <c r="L267" s="224"/>
      <c r="M267" s="224"/>
      <c r="N267" s="224"/>
      <c r="O267" s="224"/>
      <c r="P267" s="224"/>
      <c r="Q267" s="224"/>
    </row>
    <row r="268" spans="2:17">
      <c r="B268" s="224"/>
      <c r="C268" s="224"/>
      <c r="D268" s="224"/>
      <c r="E268" s="224"/>
      <c r="F268" s="224"/>
      <c r="G268" s="224"/>
      <c r="H268" s="224"/>
      <c r="I268" s="224"/>
      <c r="J268" s="224"/>
      <c r="K268" s="224"/>
      <c r="L268" s="224"/>
      <c r="M268" s="224"/>
      <c r="N268" s="224"/>
      <c r="O268" s="224"/>
      <c r="P268" s="224"/>
      <c r="Q268" s="224"/>
    </row>
    <row r="269" spans="2:17">
      <c r="B269" s="224"/>
      <c r="C269" s="224"/>
      <c r="D269" s="224"/>
      <c r="E269" s="224"/>
      <c r="F269" s="224"/>
      <c r="G269" s="224"/>
      <c r="H269" s="224"/>
      <c r="I269" s="224"/>
      <c r="J269" s="224"/>
      <c r="K269" s="224"/>
      <c r="L269" s="224"/>
      <c r="M269" s="224"/>
      <c r="N269" s="224"/>
      <c r="O269" s="224"/>
      <c r="P269" s="224"/>
      <c r="Q269" s="224"/>
    </row>
    <row r="270" spans="2:17">
      <c r="B270" s="224"/>
      <c r="C270" s="224"/>
      <c r="D270" s="224"/>
      <c r="E270" s="224"/>
      <c r="F270" s="224"/>
      <c r="G270" s="224"/>
      <c r="H270" s="224"/>
      <c r="I270" s="224"/>
      <c r="J270" s="224"/>
      <c r="K270" s="224"/>
      <c r="L270" s="224"/>
      <c r="M270" s="224"/>
      <c r="N270" s="224"/>
      <c r="O270" s="224"/>
      <c r="P270" s="224"/>
      <c r="Q270" s="224"/>
    </row>
    <row r="271" spans="2:17">
      <c r="B271" s="224"/>
      <c r="C271" s="224"/>
      <c r="D271" s="224"/>
      <c r="E271" s="224"/>
      <c r="F271" s="224"/>
      <c r="G271" s="224"/>
      <c r="H271" s="224"/>
      <c r="I271" s="224"/>
      <c r="J271" s="224"/>
      <c r="K271" s="224"/>
      <c r="L271" s="224"/>
      <c r="M271" s="224"/>
      <c r="N271" s="224"/>
      <c r="O271" s="224"/>
      <c r="P271" s="224"/>
      <c r="Q271" s="224"/>
    </row>
    <row r="272" spans="2:17">
      <c r="B272" s="224"/>
      <c r="C272" s="224"/>
      <c r="D272" s="224"/>
      <c r="E272" s="224"/>
      <c r="F272" s="224"/>
      <c r="G272" s="224"/>
      <c r="H272" s="224"/>
      <c r="I272" s="224"/>
      <c r="J272" s="224"/>
      <c r="K272" s="224"/>
      <c r="L272" s="224"/>
      <c r="M272" s="224"/>
      <c r="N272" s="224"/>
      <c r="O272" s="224"/>
      <c r="P272" s="224"/>
      <c r="Q272" s="224"/>
    </row>
    <row r="273" spans="2:17">
      <c r="B273" s="224"/>
      <c r="C273" s="224"/>
      <c r="D273" s="224"/>
      <c r="E273" s="224"/>
      <c r="F273" s="224"/>
      <c r="G273" s="224"/>
      <c r="H273" s="224"/>
      <c r="I273" s="224"/>
      <c r="J273" s="224"/>
      <c r="K273" s="224"/>
      <c r="L273" s="224"/>
      <c r="M273" s="224"/>
      <c r="N273" s="224"/>
      <c r="O273" s="224"/>
      <c r="P273" s="224"/>
      <c r="Q273" s="224"/>
    </row>
    <row r="274" spans="2:17">
      <c r="B274" s="224"/>
      <c r="C274" s="224"/>
      <c r="D274" s="224"/>
      <c r="E274" s="224"/>
      <c r="F274" s="224"/>
      <c r="G274" s="224"/>
      <c r="H274" s="224"/>
      <c r="I274" s="224"/>
      <c r="J274" s="224"/>
      <c r="K274" s="224"/>
      <c r="L274" s="224"/>
      <c r="M274" s="224"/>
      <c r="N274" s="224"/>
      <c r="O274" s="224"/>
      <c r="P274" s="224"/>
      <c r="Q274" s="224"/>
    </row>
    <row r="275" spans="2:17">
      <c r="B275" s="224"/>
      <c r="C275" s="224"/>
      <c r="D275" s="224"/>
      <c r="E275" s="224"/>
      <c r="F275" s="224"/>
      <c r="G275" s="224"/>
      <c r="H275" s="224"/>
      <c r="I275" s="224"/>
      <c r="J275" s="224"/>
      <c r="K275" s="224"/>
      <c r="L275" s="224"/>
      <c r="M275" s="224"/>
      <c r="N275" s="224"/>
      <c r="O275" s="224"/>
      <c r="P275" s="224"/>
      <c r="Q275" s="224"/>
    </row>
    <row r="276" spans="2:17">
      <c r="B276" s="224"/>
      <c r="C276" s="224"/>
      <c r="D276" s="224"/>
      <c r="E276" s="224"/>
      <c r="F276" s="224"/>
      <c r="G276" s="224"/>
      <c r="H276" s="224"/>
      <c r="I276" s="224"/>
      <c r="J276" s="224"/>
      <c r="K276" s="224"/>
      <c r="L276" s="224"/>
      <c r="M276" s="224"/>
      <c r="N276" s="224"/>
      <c r="O276" s="224"/>
      <c r="P276" s="224"/>
      <c r="Q276" s="224"/>
    </row>
    <row r="277" spans="2:17">
      <c r="B277" s="224"/>
      <c r="C277" s="224"/>
      <c r="D277" s="224"/>
      <c r="E277" s="224"/>
      <c r="F277" s="224"/>
      <c r="G277" s="224"/>
      <c r="H277" s="224"/>
      <c r="I277" s="224"/>
      <c r="J277" s="224"/>
      <c r="K277" s="224"/>
      <c r="L277" s="224"/>
      <c r="M277" s="224"/>
      <c r="N277" s="224"/>
      <c r="O277" s="224"/>
      <c r="P277" s="224"/>
      <c r="Q277" s="224"/>
    </row>
    <row r="278" spans="2:17">
      <c r="B278" s="224"/>
      <c r="C278" s="224"/>
      <c r="D278" s="224"/>
      <c r="E278" s="224"/>
      <c r="F278" s="224"/>
      <c r="G278" s="224"/>
      <c r="H278" s="224"/>
      <c r="I278" s="224"/>
      <c r="J278" s="224"/>
      <c r="K278" s="224"/>
      <c r="L278" s="224"/>
      <c r="M278" s="224"/>
      <c r="N278" s="224"/>
      <c r="O278" s="224"/>
      <c r="P278" s="224"/>
      <c r="Q278" s="224"/>
    </row>
    <row r="279" spans="2:17">
      <c r="B279" s="224"/>
      <c r="C279" s="224"/>
      <c r="D279" s="224"/>
      <c r="E279" s="224"/>
      <c r="F279" s="224"/>
      <c r="G279" s="224"/>
      <c r="H279" s="224"/>
      <c r="I279" s="224"/>
      <c r="J279" s="224"/>
      <c r="K279" s="224"/>
      <c r="L279" s="224"/>
      <c r="M279" s="224"/>
      <c r="N279" s="224"/>
      <c r="O279" s="224"/>
      <c r="P279" s="224"/>
      <c r="Q279" s="224"/>
    </row>
    <row r="280" spans="2:17">
      <c r="B280" s="224"/>
      <c r="C280" s="224"/>
      <c r="D280" s="224"/>
      <c r="E280" s="224"/>
      <c r="F280" s="224"/>
      <c r="G280" s="224"/>
      <c r="H280" s="224"/>
      <c r="I280" s="224"/>
      <c r="J280" s="224"/>
      <c r="K280" s="224"/>
      <c r="L280" s="224"/>
      <c r="M280" s="224"/>
      <c r="N280" s="224"/>
      <c r="O280" s="224"/>
      <c r="P280" s="224"/>
      <c r="Q280" s="224"/>
    </row>
    <row r="281" spans="2:17">
      <c r="B281" s="224"/>
      <c r="C281" s="224"/>
      <c r="D281" s="224"/>
      <c r="E281" s="224"/>
      <c r="F281" s="224"/>
      <c r="G281" s="224"/>
      <c r="H281" s="224"/>
      <c r="I281" s="224"/>
      <c r="J281" s="224"/>
      <c r="K281" s="224"/>
      <c r="L281" s="224"/>
      <c r="M281" s="224"/>
      <c r="N281" s="224"/>
      <c r="O281" s="224"/>
      <c r="P281" s="224"/>
      <c r="Q281" s="224"/>
    </row>
    <row r="282" spans="2:17">
      <c r="B282" s="224"/>
      <c r="C282" s="224"/>
      <c r="D282" s="224"/>
      <c r="E282" s="224"/>
      <c r="F282" s="224"/>
      <c r="G282" s="224"/>
      <c r="H282" s="224"/>
      <c r="I282" s="224"/>
      <c r="J282" s="224"/>
      <c r="K282" s="224"/>
      <c r="L282" s="224"/>
      <c r="M282" s="224"/>
      <c r="N282" s="224"/>
      <c r="O282" s="224"/>
      <c r="P282" s="224"/>
      <c r="Q282" s="224"/>
    </row>
    <row r="283" spans="2:17">
      <c r="B283" s="224"/>
      <c r="C283" s="224"/>
      <c r="D283" s="224"/>
      <c r="E283" s="224"/>
      <c r="F283" s="224"/>
      <c r="G283" s="224"/>
      <c r="H283" s="224"/>
      <c r="I283" s="224"/>
      <c r="J283" s="224"/>
      <c r="K283" s="224"/>
      <c r="L283" s="224"/>
      <c r="M283" s="224"/>
      <c r="N283" s="224"/>
      <c r="O283" s="224"/>
      <c r="P283" s="224"/>
      <c r="Q283" s="224"/>
    </row>
    <row r="284" spans="2:17">
      <c r="B284" s="224"/>
      <c r="C284" s="224"/>
      <c r="D284" s="224"/>
      <c r="E284" s="224"/>
      <c r="F284" s="224"/>
      <c r="G284" s="224"/>
      <c r="H284" s="224"/>
      <c r="I284" s="224"/>
      <c r="J284" s="224"/>
      <c r="K284" s="224"/>
      <c r="L284" s="224"/>
      <c r="M284" s="224"/>
      <c r="N284" s="224"/>
      <c r="O284" s="224"/>
      <c r="P284" s="224"/>
      <c r="Q284" s="224"/>
    </row>
    <row r="285" spans="2:17">
      <c r="B285" s="224"/>
      <c r="C285" s="224"/>
      <c r="D285" s="224"/>
      <c r="E285" s="224"/>
      <c r="F285" s="224"/>
      <c r="G285" s="224"/>
      <c r="H285" s="224"/>
      <c r="I285" s="224"/>
      <c r="J285" s="224"/>
      <c r="K285" s="224"/>
      <c r="L285" s="224"/>
      <c r="M285" s="224"/>
      <c r="N285" s="224"/>
      <c r="O285" s="224"/>
      <c r="P285" s="224"/>
      <c r="Q285" s="224"/>
    </row>
    <row r="286" spans="2:17">
      <c r="B286" s="224"/>
      <c r="C286" s="224"/>
      <c r="D286" s="224"/>
      <c r="E286" s="224"/>
      <c r="F286" s="224"/>
      <c r="G286" s="224"/>
      <c r="H286" s="224"/>
      <c r="I286" s="224"/>
      <c r="J286" s="224"/>
      <c r="K286" s="224"/>
      <c r="L286" s="224"/>
      <c r="M286" s="224"/>
      <c r="N286" s="224"/>
      <c r="O286" s="224"/>
      <c r="P286" s="224"/>
      <c r="Q286" s="224"/>
    </row>
    <row r="287" spans="2:17">
      <c r="B287" s="224"/>
      <c r="C287" s="224"/>
      <c r="D287" s="224"/>
      <c r="E287" s="224"/>
      <c r="F287" s="224"/>
      <c r="G287" s="224"/>
      <c r="H287" s="224"/>
      <c r="I287" s="224"/>
      <c r="J287" s="224"/>
      <c r="K287" s="224"/>
      <c r="L287" s="224"/>
      <c r="M287" s="224"/>
      <c r="N287" s="224"/>
      <c r="O287" s="224"/>
      <c r="P287" s="224"/>
      <c r="Q287" s="224"/>
    </row>
    <row r="288" spans="2:17">
      <c r="B288" s="224"/>
      <c r="C288" s="224"/>
      <c r="D288" s="224"/>
      <c r="E288" s="224"/>
      <c r="F288" s="224"/>
      <c r="G288" s="224"/>
      <c r="H288" s="224"/>
      <c r="I288" s="224"/>
      <c r="J288" s="224"/>
      <c r="K288" s="224"/>
      <c r="L288" s="224"/>
      <c r="M288" s="224"/>
      <c r="N288" s="224"/>
      <c r="O288" s="224"/>
      <c r="P288" s="224"/>
      <c r="Q288" s="224"/>
    </row>
    <row r="289" spans="2:17">
      <c r="B289" s="224"/>
      <c r="C289" s="224"/>
      <c r="D289" s="224"/>
      <c r="E289" s="224"/>
      <c r="F289" s="224"/>
      <c r="G289" s="224"/>
      <c r="H289" s="224"/>
      <c r="I289" s="224"/>
      <c r="J289" s="224"/>
      <c r="K289" s="224"/>
      <c r="L289" s="224"/>
      <c r="M289" s="224"/>
      <c r="N289" s="224"/>
      <c r="O289" s="224"/>
      <c r="P289" s="224"/>
      <c r="Q289" s="224"/>
    </row>
    <row r="290" spans="2:17">
      <c r="B290" s="224"/>
      <c r="C290" s="224"/>
      <c r="D290" s="224"/>
      <c r="E290" s="224"/>
      <c r="F290" s="224"/>
      <c r="G290" s="224"/>
      <c r="H290" s="224"/>
      <c r="I290" s="224"/>
      <c r="J290" s="224"/>
      <c r="K290" s="224"/>
      <c r="L290" s="224"/>
      <c r="M290" s="224"/>
      <c r="N290" s="224"/>
      <c r="O290" s="224"/>
      <c r="P290" s="224"/>
      <c r="Q290" s="224"/>
    </row>
    <row r="291" spans="2:17">
      <c r="B291" s="224"/>
      <c r="C291" s="224"/>
      <c r="D291" s="224"/>
      <c r="E291" s="224"/>
      <c r="F291" s="224"/>
      <c r="G291" s="224"/>
      <c r="H291" s="224"/>
      <c r="I291" s="224"/>
      <c r="J291" s="224"/>
      <c r="K291" s="224"/>
      <c r="L291" s="224"/>
      <c r="M291" s="224"/>
      <c r="N291" s="224"/>
      <c r="O291" s="224"/>
      <c r="P291" s="224"/>
      <c r="Q291" s="224"/>
    </row>
    <row r="292" spans="2:17">
      <c r="B292" s="224"/>
      <c r="C292" s="224"/>
      <c r="D292" s="224"/>
      <c r="E292" s="224"/>
      <c r="F292" s="224"/>
      <c r="G292" s="224"/>
      <c r="H292" s="224"/>
      <c r="I292" s="224"/>
      <c r="J292" s="224"/>
      <c r="K292" s="224"/>
      <c r="L292" s="224"/>
      <c r="M292" s="224"/>
      <c r="N292" s="224"/>
      <c r="O292" s="224"/>
      <c r="P292" s="224"/>
      <c r="Q292" s="224"/>
    </row>
    <row r="293" spans="2:17">
      <c r="B293" s="224"/>
      <c r="C293" s="224"/>
      <c r="D293" s="224"/>
      <c r="E293" s="224"/>
      <c r="F293" s="224"/>
      <c r="G293" s="224"/>
      <c r="H293" s="224"/>
      <c r="I293" s="224"/>
      <c r="J293" s="224"/>
      <c r="K293" s="224"/>
      <c r="L293" s="224"/>
      <c r="M293" s="224"/>
      <c r="N293" s="224"/>
      <c r="O293" s="224"/>
      <c r="P293" s="224"/>
      <c r="Q293" s="224"/>
    </row>
    <row r="294" spans="2:17">
      <c r="B294" s="224"/>
      <c r="C294" s="224"/>
      <c r="D294" s="224"/>
      <c r="E294" s="224"/>
      <c r="F294" s="224"/>
      <c r="G294" s="224"/>
      <c r="H294" s="224"/>
      <c r="I294" s="224"/>
      <c r="J294" s="224"/>
      <c r="K294" s="224"/>
      <c r="L294" s="224"/>
      <c r="M294" s="224"/>
      <c r="N294" s="224"/>
      <c r="O294" s="224"/>
      <c r="P294" s="224"/>
      <c r="Q294" s="224"/>
    </row>
    <row r="295" spans="2:17">
      <c r="B295" s="224"/>
      <c r="C295" s="224"/>
      <c r="D295" s="224"/>
      <c r="E295" s="224"/>
      <c r="F295" s="224"/>
      <c r="G295" s="224"/>
      <c r="H295" s="224"/>
      <c r="I295" s="224"/>
      <c r="J295" s="224"/>
      <c r="K295" s="224"/>
      <c r="L295" s="224"/>
      <c r="M295" s="224"/>
      <c r="N295" s="224"/>
      <c r="O295" s="224"/>
      <c r="P295" s="224"/>
      <c r="Q295" s="224"/>
    </row>
    <row r="296" spans="2:17">
      <c r="B296" s="224"/>
      <c r="C296" s="224"/>
      <c r="D296" s="224"/>
      <c r="E296" s="224"/>
      <c r="F296" s="224"/>
      <c r="G296" s="224"/>
      <c r="H296" s="224"/>
      <c r="I296" s="224"/>
      <c r="J296" s="224"/>
      <c r="K296" s="224"/>
      <c r="L296" s="224"/>
      <c r="M296" s="224"/>
      <c r="N296" s="224"/>
      <c r="O296" s="224"/>
      <c r="P296" s="224"/>
      <c r="Q296" s="224"/>
    </row>
    <row r="297" spans="2:17">
      <c r="B297" s="224"/>
      <c r="C297" s="224"/>
      <c r="D297" s="224"/>
      <c r="E297" s="224"/>
      <c r="F297" s="224"/>
      <c r="G297" s="224"/>
      <c r="H297" s="224"/>
      <c r="I297" s="224"/>
      <c r="J297" s="224"/>
      <c r="K297" s="224"/>
      <c r="L297" s="224"/>
      <c r="M297" s="224"/>
      <c r="N297" s="224"/>
      <c r="O297" s="224"/>
      <c r="P297" s="224"/>
      <c r="Q297" s="224"/>
    </row>
    <row r="298" spans="2:17">
      <c r="B298" s="224"/>
      <c r="C298" s="224"/>
      <c r="D298" s="224"/>
      <c r="E298" s="224"/>
      <c r="F298" s="224"/>
      <c r="G298" s="224"/>
      <c r="H298" s="224"/>
      <c r="I298" s="224"/>
      <c r="J298" s="224"/>
      <c r="K298" s="224"/>
      <c r="L298" s="224"/>
      <c r="M298" s="224"/>
      <c r="N298" s="224"/>
      <c r="O298" s="224"/>
      <c r="P298" s="224"/>
      <c r="Q298" s="224"/>
    </row>
    <row r="299" spans="2:17">
      <c r="B299" s="224"/>
      <c r="C299" s="224"/>
      <c r="D299" s="224"/>
      <c r="E299" s="224"/>
      <c r="F299" s="224"/>
      <c r="G299" s="224"/>
      <c r="H299" s="224"/>
      <c r="I299" s="224"/>
      <c r="J299" s="224"/>
      <c r="K299" s="224"/>
      <c r="L299" s="224"/>
      <c r="M299" s="224"/>
      <c r="N299" s="224"/>
      <c r="O299" s="224"/>
      <c r="P299" s="224"/>
      <c r="Q299" s="224"/>
    </row>
    <row r="300" spans="2:17">
      <c r="B300" s="224"/>
      <c r="C300" s="224"/>
      <c r="D300" s="224"/>
      <c r="E300" s="224"/>
      <c r="F300" s="224"/>
      <c r="G300" s="224"/>
      <c r="H300" s="224"/>
      <c r="I300" s="224"/>
      <c r="J300" s="224"/>
      <c r="K300" s="224"/>
      <c r="L300" s="224"/>
      <c r="M300" s="224"/>
      <c r="N300" s="224"/>
      <c r="O300" s="224"/>
      <c r="P300" s="224"/>
      <c r="Q300" s="224"/>
    </row>
    <row r="301" spans="2:17">
      <c r="B301" s="224"/>
      <c r="C301" s="224"/>
      <c r="D301" s="224"/>
      <c r="E301" s="224"/>
      <c r="F301" s="224"/>
      <c r="G301" s="224"/>
      <c r="H301" s="224"/>
      <c r="I301" s="224"/>
      <c r="J301" s="224"/>
      <c r="K301" s="224"/>
      <c r="L301" s="224"/>
      <c r="M301" s="224"/>
      <c r="N301" s="224"/>
      <c r="O301" s="224"/>
      <c r="P301" s="224"/>
      <c r="Q301" s="224"/>
    </row>
    <row r="302" spans="2:17">
      <c r="B302" s="224"/>
      <c r="C302" s="224"/>
      <c r="D302" s="224"/>
      <c r="E302" s="224"/>
      <c r="F302" s="224"/>
      <c r="G302" s="224"/>
      <c r="H302" s="224"/>
      <c r="I302" s="224"/>
      <c r="J302" s="224"/>
      <c r="K302" s="224"/>
      <c r="L302" s="224"/>
      <c r="M302" s="224"/>
      <c r="N302" s="224"/>
      <c r="O302" s="224"/>
      <c r="P302" s="224"/>
      <c r="Q302" s="224"/>
    </row>
    <row r="303" spans="2:17">
      <c r="B303" s="224"/>
      <c r="C303" s="224"/>
      <c r="D303" s="224"/>
      <c r="E303" s="224"/>
      <c r="F303" s="224"/>
      <c r="G303" s="224"/>
      <c r="H303" s="224"/>
      <c r="I303" s="224"/>
      <c r="J303" s="224"/>
      <c r="K303" s="224"/>
      <c r="L303" s="224"/>
      <c r="M303" s="224"/>
      <c r="N303" s="224"/>
      <c r="O303" s="224"/>
      <c r="P303" s="224"/>
      <c r="Q303" s="224"/>
    </row>
    <row r="304" spans="2:17">
      <c r="B304" s="224"/>
      <c r="C304" s="224"/>
      <c r="D304" s="224"/>
      <c r="E304" s="224"/>
      <c r="F304" s="224"/>
      <c r="G304" s="224"/>
      <c r="H304" s="224"/>
      <c r="I304" s="224"/>
      <c r="J304" s="224"/>
      <c r="K304" s="224"/>
      <c r="L304" s="224"/>
      <c r="M304" s="224"/>
      <c r="N304" s="224"/>
      <c r="O304" s="224"/>
      <c r="P304" s="224"/>
      <c r="Q304" s="224"/>
    </row>
    <row r="305" spans="2:17">
      <c r="B305" s="224"/>
      <c r="C305" s="224"/>
      <c r="D305" s="224"/>
      <c r="E305" s="224"/>
      <c r="F305" s="224"/>
      <c r="G305" s="224"/>
      <c r="H305" s="224"/>
      <c r="I305" s="224"/>
      <c r="J305" s="224"/>
      <c r="K305" s="224"/>
      <c r="L305" s="224"/>
      <c r="M305" s="224"/>
      <c r="N305" s="224"/>
      <c r="O305" s="224"/>
      <c r="P305" s="224"/>
      <c r="Q305" s="224"/>
    </row>
    <row r="306" spans="2:17">
      <c r="B306" s="224"/>
      <c r="C306" s="224"/>
      <c r="D306" s="224"/>
      <c r="E306" s="224"/>
      <c r="F306" s="224"/>
      <c r="G306" s="224"/>
      <c r="H306" s="224"/>
      <c r="I306" s="224"/>
      <c r="J306" s="224"/>
      <c r="K306" s="224"/>
      <c r="L306" s="224"/>
      <c r="M306" s="224"/>
      <c r="N306" s="224"/>
      <c r="O306" s="224"/>
      <c r="P306" s="224"/>
      <c r="Q306" s="224"/>
    </row>
    <row r="307" spans="2:17">
      <c r="B307" s="224"/>
      <c r="C307" s="224"/>
      <c r="D307" s="224"/>
      <c r="E307" s="224"/>
      <c r="F307" s="224"/>
      <c r="G307" s="224"/>
      <c r="H307" s="224"/>
      <c r="I307" s="224"/>
      <c r="J307" s="224"/>
      <c r="K307" s="224"/>
      <c r="L307" s="224"/>
      <c r="M307" s="224"/>
      <c r="N307" s="224"/>
      <c r="O307" s="224"/>
      <c r="P307" s="224"/>
      <c r="Q307" s="224"/>
    </row>
    <row r="308" spans="2:17">
      <c r="B308" s="224"/>
      <c r="C308" s="224"/>
      <c r="D308" s="224"/>
      <c r="E308" s="224"/>
      <c r="F308" s="224"/>
      <c r="G308" s="224"/>
      <c r="H308" s="224"/>
      <c r="I308" s="224"/>
      <c r="J308" s="224"/>
      <c r="K308" s="224"/>
      <c r="L308" s="224"/>
      <c r="M308" s="224"/>
      <c r="N308" s="224"/>
      <c r="O308" s="224"/>
      <c r="P308" s="224"/>
      <c r="Q308" s="224"/>
    </row>
    <row r="309" spans="2:17">
      <c r="B309" s="224"/>
      <c r="C309" s="224"/>
      <c r="D309" s="224"/>
      <c r="E309" s="224"/>
      <c r="F309" s="224"/>
      <c r="G309" s="224"/>
      <c r="H309" s="224"/>
      <c r="I309" s="224"/>
      <c r="J309" s="224"/>
      <c r="K309" s="224"/>
      <c r="L309" s="224"/>
      <c r="M309" s="224"/>
      <c r="N309" s="224"/>
      <c r="O309" s="224"/>
      <c r="P309" s="224"/>
      <c r="Q309" s="224"/>
    </row>
    <row r="310" spans="2:17">
      <c r="B310" s="224"/>
      <c r="C310" s="224"/>
      <c r="D310" s="224"/>
      <c r="E310" s="224"/>
      <c r="F310" s="224"/>
      <c r="G310" s="224"/>
      <c r="H310" s="224"/>
      <c r="I310" s="224"/>
      <c r="J310" s="224"/>
      <c r="K310" s="224"/>
      <c r="L310" s="224"/>
      <c r="M310" s="224"/>
      <c r="N310" s="224"/>
      <c r="O310" s="224"/>
      <c r="P310" s="224"/>
      <c r="Q310" s="224"/>
    </row>
    <row r="311" spans="2:17">
      <c r="B311" s="224"/>
      <c r="C311" s="224"/>
      <c r="D311" s="224"/>
      <c r="E311" s="224"/>
      <c r="F311" s="224"/>
      <c r="G311" s="224"/>
      <c r="H311" s="224"/>
      <c r="I311" s="224"/>
      <c r="J311" s="224"/>
      <c r="K311" s="224"/>
      <c r="L311" s="224"/>
      <c r="M311" s="224"/>
      <c r="N311" s="224"/>
      <c r="O311" s="224"/>
      <c r="P311" s="224"/>
      <c r="Q311" s="224"/>
    </row>
    <row r="312" spans="2:17">
      <c r="B312" s="224"/>
      <c r="C312" s="224"/>
      <c r="D312" s="224"/>
      <c r="E312" s="224"/>
      <c r="F312" s="224"/>
      <c r="G312" s="224"/>
      <c r="H312" s="224"/>
      <c r="I312" s="224"/>
      <c r="J312" s="224"/>
      <c r="K312" s="224"/>
      <c r="L312" s="224"/>
      <c r="M312" s="224"/>
      <c r="N312" s="224"/>
      <c r="O312" s="224"/>
      <c r="P312" s="224"/>
      <c r="Q312" s="224"/>
    </row>
    <row r="313" spans="2:17">
      <c r="B313" s="224"/>
      <c r="C313" s="224"/>
      <c r="D313" s="224"/>
      <c r="E313" s="224"/>
      <c r="F313" s="224"/>
      <c r="G313" s="224"/>
      <c r="H313" s="224"/>
      <c r="I313" s="224"/>
      <c r="J313" s="224"/>
      <c r="K313" s="224"/>
      <c r="L313" s="224"/>
      <c r="M313" s="224"/>
      <c r="N313" s="224"/>
      <c r="O313" s="224"/>
      <c r="P313" s="224"/>
      <c r="Q313" s="224"/>
    </row>
    <row r="314" spans="2:17">
      <c r="B314" s="224"/>
      <c r="C314" s="224"/>
      <c r="D314" s="224"/>
      <c r="E314" s="224"/>
      <c r="F314" s="224"/>
      <c r="G314" s="224"/>
      <c r="H314" s="224"/>
      <c r="I314" s="224"/>
      <c r="J314" s="224"/>
      <c r="K314" s="224"/>
      <c r="L314" s="224"/>
      <c r="M314" s="224"/>
      <c r="N314" s="224"/>
      <c r="O314" s="224"/>
      <c r="P314" s="224"/>
      <c r="Q314" s="224"/>
    </row>
    <row r="315" spans="2:17">
      <c r="B315" s="224"/>
      <c r="C315" s="224"/>
      <c r="D315" s="224"/>
      <c r="E315" s="224"/>
      <c r="F315" s="224"/>
      <c r="G315" s="224"/>
      <c r="H315" s="224"/>
      <c r="I315" s="224"/>
      <c r="J315" s="224"/>
      <c r="K315" s="224"/>
      <c r="L315" s="224"/>
      <c r="M315" s="224"/>
      <c r="N315" s="224"/>
      <c r="O315" s="224"/>
      <c r="P315" s="224"/>
      <c r="Q315" s="224"/>
    </row>
    <row r="316" spans="2:17">
      <c r="B316" s="224"/>
      <c r="C316" s="224"/>
      <c r="D316" s="224"/>
      <c r="E316" s="224"/>
      <c r="F316" s="224"/>
      <c r="G316" s="224"/>
      <c r="H316" s="224"/>
      <c r="I316" s="224"/>
      <c r="J316" s="224"/>
      <c r="K316" s="224"/>
      <c r="L316" s="224"/>
      <c r="M316" s="224"/>
      <c r="N316" s="224"/>
      <c r="O316" s="224"/>
      <c r="P316" s="224"/>
      <c r="Q316" s="224"/>
    </row>
    <row r="317" spans="2:17">
      <c r="B317" s="224"/>
      <c r="C317" s="224"/>
      <c r="D317" s="224"/>
      <c r="E317" s="224"/>
      <c r="F317" s="224"/>
      <c r="G317" s="224"/>
      <c r="H317" s="224"/>
      <c r="I317" s="224"/>
      <c r="J317" s="224"/>
      <c r="K317" s="224"/>
      <c r="L317" s="224"/>
      <c r="M317" s="224"/>
      <c r="N317" s="224"/>
      <c r="O317" s="224"/>
      <c r="P317" s="224"/>
      <c r="Q317" s="224"/>
    </row>
    <row r="318" spans="2:17">
      <c r="B318" s="224"/>
      <c r="C318" s="224"/>
      <c r="D318" s="224"/>
      <c r="E318" s="224"/>
      <c r="F318" s="224"/>
      <c r="G318" s="224"/>
      <c r="H318" s="224"/>
      <c r="I318" s="224"/>
      <c r="J318" s="224"/>
      <c r="K318" s="224"/>
      <c r="L318" s="224"/>
      <c r="M318" s="224"/>
      <c r="N318" s="224"/>
      <c r="O318" s="224"/>
      <c r="P318" s="224"/>
      <c r="Q318" s="224"/>
    </row>
    <row r="319" spans="2:17">
      <c r="B319" s="224"/>
      <c r="C319" s="224"/>
      <c r="D319" s="224"/>
      <c r="E319" s="224"/>
      <c r="F319" s="224"/>
      <c r="G319" s="224"/>
      <c r="H319" s="224"/>
      <c r="I319" s="224"/>
      <c r="J319" s="224"/>
      <c r="K319" s="224"/>
      <c r="L319" s="224"/>
      <c r="M319" s="224"/>
      <c r="N319" s="224"/>
      <c r="O319" s="224"/>
      <c r="P319" s="224"/>
      <c r="Q319" s="224"/>
    </row>
    <row r="320" spans="2:17">
      <c r="B320" s="224"/>
      <c r="C320" s="224"/>
      <c r="D320" s="224"/>
      <c r="E320" s="224"/>
      <c r="F320" s="224"/>
      <c r="G320" s="224"/>
      <c r="H320" s="224"/>
      <c r="I320" s="224"/>
      <c r="J320" s="224"/>
      <c r="K320" s="224"/>
      <c r="L320" s="224"/>
      <c r="M320" s="224"/>
      <c r="N320" s="224"/>
      <c r="O320" s="224"/>
      <c r="P320" s="224"/>
      <c r="Q320" s="224"/>
    </row>
    <row r="321" spans="2:17">
      <c r="B321" s="224"/>
      <c r="C321" s="224"/>
      <c r="D321" s="224"/>
      <c r="E321" s="224"/>
      <c r="F321" s="224"/>
      <c r="G321" s="224"/>
      <c r="H321" s="224"/>
      <c r="I321" s="224"/>
      <c r="J321" s="224"/>
      <c r="K321" s="224"/>
      <c r="L321" s="224"/>
      <c r="M321" s="224"/>
      <c r="N321" s="224"/>
      <c r="O321" s="224"/>
      <c r="P321" s="224"/>
      <c r="Q321" s="224"/>
    </row>
    <row r="322" spans="2:17">
      <c r="B322" s="224"/>
      <c r="C322" s="224"/>
      <c r="D322" s="224"/>
      <c r="E322" s="224"/>
      <c r="F322" s="224"/>
      <c r="G322" s="224"/>
      <c r="H322" s="224"/>
      <c r="I322" s="224"/>
      <c r="J322" s="224"/>
      <c r="K322" s="224"/>
      <c r="L322" s="224"/>
      <c r="M322" s="224"/>
      <c r="N322" s="224"/>
      <c r="O322" s="224"/>
      <c r="P322" s="224"/>
      <c r="Q322" s="224"/>
    </row>
    <row r="323" spans="2:17">
      <c r="B323" s="224"/>
      <c r="C323" s="224"/>
      <c r="D323" s="224"/>
      <c r="E323" s="224"/>
      <c r="F323" s="224"/>
      <c r="G323" s="224"/>
      <c r="H323" s="224"/>
      <c r="I323" s="224"/>
      <c r="J323" s="224"/>
      <c r="K323" s="224"/>
      <c r="L323" s="224"/>
      <c r="M323" s="224"/>
      <c r="N323" s="224"/>
      <c r="O323" s="224"/>
      <c r="P323" s="224"/>
      <c r="Q323" s="224"/>
    </row>
    <row r="324" spans="2:17">
      <c r="B324" s="224"/>
      <c r="C324" s="224"/>
      <c r="D324" s="224"/>
      <c r="E324" s="224"/>
      <c r="F324" s="224"/>
      <c r="G324" s="224"/>
      <c r="H324" s="224"/>
      <c r="I324" s="224"/>
      <c r="J324" s="224"/>
      <c r="K324" s="224"/>
      <c r="L324" s="224"/>
      <c r="M324" s="224"/>
      <c r="N324" s="224"/>
      <c r="O324" s="224"/>
      <c r="P324" s="224"/>
      <c r="Q324" s="224"/>
    </row>
    <row r="325" spans="2:17">
      <c r="B325" s="224"/>
      <c r="C325" s="224"/>
      <c r="D325" s="224"/>
      <c r="E325" s="224"/>
      <c r="F325" s="224"/>
      <c r="G325" s="224"/>
      <c r="H325" s="224"/>
      <c r="I325" s="224"/>
      <c r="J325" s="224"/>
      <c r="K325" s="224"/>
      <c r="L325" s="224"/>
      <c r="M325" s="224"/>
      <c r="N325" s="224"/>
      <c r="O325" s="224"/>
      <c r="P325" s="224"/>
      <c r="Q325" s="224"/>
    </row>
    <row r="326" spans="2:17">
      <c r="B326" s="224"/>
      <c r="C326" s="224"/>
      <c r="D326" s="224"/>
      <c r="E326" s="224"/>
      <c r="F326" s="224"/>
      <c r="G326" s="224"/>
      <c r="H326" s="224"/>
      <c r="I326" s="224"/>
      <c r="J326" s="224"/>
      <c r="K326" s="224"/>
      <c r="L326" s="224"/>
      <c r="M326" s="224"/>
      <c r="N326" s="224"/>
      <c r="O326" s="224"/>
      <c r="P326" s="224"/>
      <c r="Q326" s="224"/>
    </row>
    <row r="327" spans="2:17">
      <c r="B327" s="224"/>
      <c r="C327" s="224"/>
      <c r="D327" s="224"/>
      <c r="E327" s="224"/>
      <c r="F327" s="224"/>
      <c r="G327" s="224"/>
      <c r="H327" s="224"/>
      <c r="I327" s="224"/>
      <c r="J327" s="224"/>
      <c r="K327" s="224"/>
      <c r="L327" s="224"/>
      <c r="M327" s="224"/>
      <c r="N327" s="224"/>
      <c r="O327" s="224"/>
      <c r="P327" s="224"/>
      <c r="Q327" s="224"/>
    </row>
    <row r="328" spans="2:17">
      <c r="B328" s="224"/>
      <c r="C328" s="224"/>
      <c r="D328" s="224"/>
      <c r="E328" s="224"/>
      <c r="F328" s="224"/>
      <c r="G328" s="224"/>
      <c r="H328" s="224"/>
      <c r="I328" s="224"/>
      <c r="J328" s="224"/>
      <c r="K328" s="224"/>
      <c r="L328" s="224"/>
      <c r="M328" s="224"/>
      <c r="N328" s="224"/>
      <c r="O328" s="224"/>
      <c r="P328" s="224"/>
      <c r="Q328" s="224"/>
    </row>
    <row r="329" spans="2:17">
      <c r="B329" s="224"/>
      <c r="C329" s="224"/>
      <c r="D329" s="224"/>
      <c r="E329" s="224"/>
      <c r="F329" s="224"/>
      <c r="G329" s="224"/>
      <c r="H329" s="224"/>
      <c r="I329" s="224"/>
      <c r="J329" s="224"/>
      <c r="K329" s="224"/>
      <c r="L329" s="224"/>
      <c r="M329" s="224"/>
      <c r="N329" s="224"/>
      <c r="O329" s="224"/>
      <c r="P329" s="224"/>
      <c r="Q329" s="224"/>
    </row>
    <row r="330" spans="2:17">
      <c r="B330" s="224"/>
      <c r="C330" s="224"/>
      <c r="D330" s="224"/>
      <c r="E330" s="224"/>
      <c r="F330" s="224"/>
      <c r="G330" s="224"/>
      <c r="H330" s="224"/>
      <c r="I330" s="224"/>
      <c r="J330" s="224"/>
      <c r="K330" s="224"/>
      <c r="L330" s="224"/>
      <c r="M330" s="224"/>
      <c r="N330" s="224"/>
      <c r="O330" s="224"/>
      <c r="P330" s="224"/>
      <c r="Q330" s="224"/>
    </row>
    <row r="331" spans="2:17">
      <c r="B331" s="224"/>
      <c r="C331" s="224"/>
      <c r="D331" s="224"/>
      <c r="E331" s="224"/>
      <c r="F331" s="224"/>
      <c r="G331" s="224"/>
      <c r="H331" s="224"/>
      <c r="I331" s="224"/>
      <c r="J331" s="224"/>
      <c r="K331" s="224"/>
      <c r="L331" s="224"/>
      <c r="M331" s="224"/>
      <c r="N331" s="224"/>
      <c r="O331" s="224"/>
      <c r="P331" s="224"/>
      <c r="Q331" s="224"/>
    </row>
    <row r="332" spans="2:17">
      <c r="B332" s="224"/>
      <c r="C332" s="224"/>
      <c r="D332" s="224"/>
      <c r="E332" s="224"/>
      <c r="F332" s="224"/>
      <c r="G332" s="224"/>
      <c r="H332" s="224"/>
      <c r="I332" s="224"/>
      <c r="J332" s="224"/>
      <c r="K332" s="224"/>
      <c r="L332" s="224"/>
      <c r="M332" s="224"/>
      <c r="N332" s="224"/>
      <c r="O332" s="224"/>
      <c r="P332" s="224"/>
      <c r="Q332" s="224"/>
    </row>
    <row r="333" spans="2:17">
      <c r="B333" s="224"/>
      <c r="C333" s="224"/>
      <c r="D333" s="224"/>
      <c r="E333" s="224"/>
      <c r="F333" s="224"/>
      <c r="G333" s="224"/>
      <c r="H333" s="224"/>
      <c r="I333" s="224"/>
      <c r="J333" s="224"/>
      <c r="K333" s="224"/>
      <c r="L333" s="224"/>
      <c r="M333" s="224"/>
      <c r="N333" s="224"/>
      <c r="O333" s="224"/>
      <c r="P333" s="224"/>
      <c r="Q333" s="224"/>
    </row>
    <row r="334" spans="2:17">
      <c r="B334" s="224"/>
      <c r="C334" s="224"/>
      <c r="D334" s="224"/>
      <c r="E334" s="224"/>
      <c r="F334" s="224"/>
      <c r="G334" s="224"/>
      <c r="H334" s="224"/>
      <c r="I334" s="224"/>
      <c r="J334" s="224"/>
      <c r="K334" s="224"/>
      <c r="L334" s="224"/>
      <c r="M334" s="224"/>
      <c r="N334" s="224"/>
      <c r="O334" s="224"/>
      <c r="P334" s="224"/>
      <c r="Q334" s="224"/>
    </row>
    <row r="335" spans="2:17">
      <c r="B335" s="224"/>
      <c r="C335" s="224"/>
      <c r="D335" s="224"/>
      <c r="E335" s="224"/>
      <c r="F335" s="224"/>
      <c r="G335" s="224"/>
      <c r="H335" s="224"/>
      <c r="I335" s="224"/>
      <c r="J335" s="224"/>
      <c r="K335" s="224"/>
      <c r="L335" s="224"/>
      <c r="M335" s="224"/>
      <c r="N335" s="224"/>
      <c r="O335" s="224"/>
      <c r="P335" s="224"/>
      <c r="Q335" s="224"/>
    </row>
    <row r="336" spans="2:17">
      <c r="B336" s="224"/>
      <c r="C336" s="224"/>
      <c r="D336" s="224"/>
      <c r="E336" s="224"/>
      <c r="F336" s="224"/>
      <c r="G336" s="224"/>
      <c r="H336" s="224"/>
      <c r="I336" s="224"/>
      <c r="J336" s="224"/>
      <c r="K336" s="224"/>
      <c r="L336" s="224"/>
      <c r="M336" s="224"/>
      <c r="N336" s="224"/>
      <c r="O336" s="224"/>
      <c r="P336" s="224"/>
      <c r="Q336" s="224"/>
    </row>
    <row r="337" spans="2:17">
      <c r="B337" s="224"/>
      <c r="C337" s="224"/>
      <c r="D337" s="224"/>
      <c r="E337" s="224"/>
      <c r="F337" s="224"/>
      <c r="G337" s="224"/>
      <c r="H337" s="224"/>
      <c r="I337" s="224"/>
      <c r="J337" s="224"/>
      <c r="K337" s="224"/>
      <c r="L337" s="224"/>
      <c r="M337" s="224"/>
      <c r="N337" s="224"/>
      <c r="O337" s="224"/>
      <c r="P337" s="224"/>
      <c r="Q337" s="224"/>
    </row>
    <row r="338" spans="2:17">
      <c r="B338" s="224"/>
      <c r="C338" s="224"/>
      <c r="D338" s="224"/>
      <c r="E338" s="224"/>
      <c r="F338" s="224"/>
      <c r="G338" s="224"/>
      <c r="H338" s="224"/>
      <c r="I338" s="224"/>
      <c r="J338" s="224"/>
      <c r="K338" s="224"/>
      <c r="L338" s="224"/>
      <c r="M338" s="224"/>
      <c r="N338" s="224"/>
      <c r="O338" s="224"/>
      <c r="P338" s="224"/>
      <c r="Q338" s="224"/>
    </row>
    <row r="339" spans="2:17">
      <c r="B339" s="224"/>
      <c r="C339" s="224"/>
      <c r="D339" s="224"/>
      <c r="E339" s="224"/>
      <c r="F339" s="224"/>
      <c r="G339" s="224"/>
      <c r="H339" s="224"/>
      <c r="I339" s="224"/>
      <c r="J339" s="224"/>
      <c r="K339" s="224"/>
      <c r="L339" s="224"/>
      <c r="M339" s="224"/>
      <c r="N339" s="224"/>
      <c r="O339" s="224"/>
      <c r="P339" s="224"/>
      <c r="Q339" s="224"/>
    </row>
    <row r="340" spans="2:17">
      <c r="B340" s="224"/>
      <c r="C340" s="224"/>
      <c r="D340" s="224"/>
      <c r="E340" s="224"/>
      <c r="F340" s="224"/>
      <c r="G340" s="224"/>
      <c r="H340" s="224"/>
      <c r="I340" s="224"/>
      <c r="J340" s="224"/>
      <c r="K340" s="224"/>
      <c r="L340" s="224"/>
      <c r="M340" s="224"/>
      <c r="N340" s="224"/>
      <c r="O340" s="224"/>
      <c r="P340" s="224"/>
      <c r="Q340" s="224"/>
    </row>
    <row r="341" spans="2:17">
      <c r="B341" s="224"/>
      <c r="C341" s="224"/>
      <c r="D341" s="224"/>
      <c r="E341" s="224"/>
      <c r="F341" s="224"/>
      <c r="G341" s="224"/>
      <c r="H341" s="224"/>
      <c r="I341" s="224"/>
      <c r="J341" s="224"/>
      <c r="K341" s="224"/>
      <c r="L341" s="224"/>
      <c r="M341" s="224"/>
      <c r="N341" s="224"/>
      <c r="O341" s="224"/>
      <c r="P341" s="224"/>
      <c r="Q341" s="224"/>
    </row>
    <row r="342" spans="2:17">
      <c r="B342" s="224"/>
      <c r="C342" s="224"/>
      <c r="D342" s="224"/>
      <c r="E342" s="224"/>
      <c r="F342" s="224"/>
      <c r="G342" s="224"/>
      <c r="H342" s="224"/>
      <c r="I342" s="224"/>
      <c r="J342" s="224"/>
      <c r="K342" s="224"/>
      <c r="L342" s="224"/>
      <c r="M342" s="224"/>
      <c r="N342" s="224"/>
      <c r="O342" s="224"/>
      <c r="P342" s="224"/>
      <c r="Q342" s="224"/>
    </row>
    <row r="343" spans="2:17">
      <c r="B343" s="224"/>
      <c r="C343" s="224"/>
      <c r="D343" s="224"/>
      <c r="E343" s="224"/>
      <c r="F343" s="224"/>
      <c r="G343" s="224"/>
      <c r="H343" s="224"/>
      <c r="I343" s="224"/>
      <c r="J343" s="224"/>
      <c r="K343" s="224"/>
      <c r="L343" s="224"/>
      <c r="M343" s="224"/>
      <c r="N343" s="224"/>
      <c r="O343" s="224"/>
      <c r="P343" s="224"/>
      <c r="Q343" s="224"/>
    </row>
    <row r="344" spans="2:17">
      <c r="B344" s="224"/>
      <c r="C344" s="224"/>
      <c r="D344" s="224"/>
      <c r="E344" s="224"/>
      <c r="F344" s="224"/>
      <c r="G344" s="224"/>
      <c r="H344" s="224"/>
      <c r="I344" s="224"/>
      <c r="J344" s="224"/>
      <c r="K344" s="224"/>
      <c r="L344" s="224"/>
      <c r="M344" s="224"/>
      <c r="N344" s="224"/>
      <c r="O344" s="224"/>
      <c r="P344" s="224"/>
      <c r="Q344" s="224"/>
    </row>
    <row r="345" spans="2:17">
      <c r="B345" s="224"/>
      <c r="C345" s="224"/>
      <c r="D345" s="224"/>
      <c r="E345" s="224"/>
      <c r="F345" s="224"/>
      <c r="G345" s="224"/>
      <c r="H345" s="224"/>
      <c r="I345" s="224"/>
      <c r="J345" s="224"/>
      <c r="K345" s="224"/>
      <c r="L345" s="224"/>
      <c r="M345" s="224"/>
      <c r="N345" s="224"/>
      <c r="O345" s="224"/>
      <c r="P345" s="224"/>
      <c r="Q345" s="224"/>
    </row>
    <row r="346" spans="2:17">
      <c r="B346" s="224"/>
      <c r="C346" s="224"/>
      <c r="D346" s="224"/>
      <c r="E346" s="224"/>
      <c r="F346" s="224"/>
      <c r="G346" s="224"/>
      <c r="H346" s="224"/>
      <c r="I346" s="224"/>
      <c r="J346" s="224"/>
      <c r="K346" s="224"/>
      <c r="L346" s="224"/>
      <c r="M346" s="224"/>
      <c r="N346" s="224"/>
      <c r="O346" s="224"/>
      <c r="P346" s="224"/>
      <c r="Q346" s="224"/>
    </row>
    <row r="347" spans="2:17">
      <c r="B347" s="224"/>
      <c r="C347" s="224"/>
      <c r="D347" s="224"/>
      <c r="E347" s="224"/>
      <c r="F347" s="224"/>
      <c r="G347" s="224"/>
      <c r="H347" s="224"/>
      <c r="I347" s="224"/>
      <c r="J347" s="224"/>
      <c r="K347" s="224"/>
      <c r="L347" s="224"/>
      <c r="M347" s="224"/>
      <c r="N347" s="224"/>
      <c r="O347" s="224"/>
      <c r="P347" s="224"/>
      <c r="Q347" s="224"/>
    </row>
    <row r="348" spans="2:17">
      <c r="B348" s="224"/>
      <c r="C348" s="224"/>
      <c r="D348" s="224"/>
      <c r="E348" s="224"/>
      <c r="F348" s="224"/>
      <c r="G348" s="224"/>
      <c r="H348" s="224"/>
      <c r="I348" s="224"/>
      <c r="J348" s="224"/>
      <c r="K348" s="224"/>
      <c r="L348" s="224"/>
      <c r="M348" s="224"/>
      <c r="N348" s="224"/>
      <c r="O348" s="224"/>
      <c r="P348" s="224"/>
      <c r="Q348" s="224"/>
    </row>
    <row r="349" spans="2:17">
      <c r="B349" s="224"/>
      <c r="C349" s="224"/>
      <c r="D349" s="224"/>
      <c r="E349" s="224"/>
      <c r="F349" s="224"/>
      <c r="G349" s="224"/>
      <c r="H349" s="224"/>
      <c r="I349" s="224"/>
      <c r="J349" s="224"/>
      <c r="K349" s="224"/>
      <c r="L349" s="224"/>
      <c r="M349" s="224"/>
      <c r="N349" s="224"/>
      <c r="O349" s="224"/>
      <c r="P349" s="224"/>
      <c r="Q349" s="224"/>
    </row>
    <row r="350" spans="2:17">
      <c r="B350" s="224"/>
      <c r="C350" s="224"/>
      <c r="D350" s="224"/>
      <c r="E350" s="224"/>
      <c r="F350" s="224"/>
      <c r="G350" s="224"/>
      <c r="H350" s="224"/>
      <c r="I350" s="224"/>
      <c r="J350" s="224"/>
      <c r="K350" s="224"/>
      <c r="L350" s="224"/>
      <c r="M350" s="224"/>
      <c r="N350" s="224"/>
      <c r="O350" s="224"/>
      <c r="P350" s="224"/>
      <c r="Q350" s="224"/>
    </row>
    <row r="351" spans="2:17">
      <c r="B351" s="224"/>
      <c r="C351" s="224"/>
      <c r="D351" s="224"/>
      <c r="E351" s="224"/>
      <c r="F351" s="224"/>
      <c r="G351" s="224"/>
      <c r="H351" s="224"/>
      <c r="I351" s="224"/>
      <c r="J351" s="224"/>
      <c r="K351" s="224"/>
      <c r="L351" s="224"/>
      <c r="M351" s="224"/>
      <c r="N351" s="224"/>
      <c r="O351" s="224"/>
      <c r="P351" s="224"/>
      <c r="Q351" s="224"/>
    </row>
    <row r="352" spans="2:17">
      <c r="B352" s="224"/>
      <c r="C352" s="224"/>
      <c r="D352" s="224"/>
      <c r="E352" s="224"/>
      <c r="F352" s="224"/>
      <c r="G352" s="224"/>
      <c r="H352" s="224"/>
      <c r="I352" s="224"/>
      <c r="J352" s="224"/>
      <c r="K352" s="224"/>
      <c r="L352" s="224"/>
      <c r="M352" s="224"/>
      <c r="N352" s="224"/>
      <c r="O352" s="224"/>
      <c r="P352" s="224"/>
      <c r="Q352" s="224"/>
    </row>
    <row r="353" spans="2:17">
      <c r="B353" s="224"/>
      <c r="C353" s="224"/>
      <c r="D353" s="224"/>
      <c r="E353" s="224"/>
      <c r="F353" s="224"/>
      <c r="G353" s="224"/>
      <c r="H353" s="224"/>
      <c r="I353" s="224"/>
      <c r="J353" s="224"/>
      <c r="K353" s="224"/>
      <c r="L353" s="224"/>
      <c r="M353" s="224"/>
      <c r="N353" s="224"/>
      <c r="O353" s="224"/>
      <c r="P353" s="224"/>
      <c r="Q353" s="224"/>
    </row>
    <row r="354" spans="2:17">
      <c r="B354" s="224"/>
      <c r="C354" s="224"/>
      <c r="D354" s="224"/>
      <c r="E354" s="224"/>
      <c r="F354" s="224"/>
      <c r="G354" s="224"/>
      <c r="H354" s="224"/>
      <c r="I354" s="224"/>
      <c r="J354" s="224"/>
      <c r="K354" s="224"/>
      <c r="L354" s="224"/>
      <c r="M354" s="224"/>
      <c r="N354" s="224"/>
      <c r="O354" s="224"/>
      <c r="P354" s="224"/>
      <c r="Q354" s="224"/>
    </row>
    <row r="355" spans="2:17">
      <c r="B355" s="224"/>
      <c r="C355" s="224"/>
      <c r="D355" s="224"/>
      <c r="E355" s="224"/>
      <c r="F355" s="224"/>
      <c r="G355" s="224"/>
      <c r="H355" s="224"/>
      <c r="I355" s="224"/>
      <c r="J355" s="224"/>
      <c r="K355" s="224"/>
      <c r="L355" s="224"/>
      <c r="M355" s="224"/>
      <c r="N355" s="224"/>
      <c r="O355" s="224"/>
      <c r="P355" s="224"/>
      <c r="Q355" s="224"/>
    </row>
    <row r="356" spans="2:17">
      <c r="B356" s="224"/>
      <c r="C356" s="224"/>
      <c r="D356" s="224"/>
      <c r="E356" s="224"/>
      <c r="F356" s="224"/>
      <c r="G356" s="224"/>
      <c r="H356" s="224"/>
      <c r="I356" s="224"/>
      <c r="J356" s="224"/>
      <c r="K356" s="224"/>
      <c r="L356" s="224"/>
      <c r="M356" s="224"/>
      <c r="N356" s="224"/>
      <c r="O356" s="224"/>
      <c r="P356" s="224"/>
      <c r="Q356" s="224"/>
    </row>
    <row r="357" spans="2:17">
      <c r="B357" s="224"/>
      <c r="C357" s="224"/>
      <c r="D357" s="224"/>
      <c r="E357" s="224"/>
      <c r="F357" s="224"/>
      <c r="G357" s="224"/>
      <c r="H357" s="224"/>
      <c r="I357" s="224"/>
      <c r="J357" s="224"/>
      <c r="K357" s="224"/>
      <c r="L357" s="224"/>
      <c r="M357" s="224"/>
      <c r="N357" s="224"/>
      <c r="O357" s="224"/>
      <c r="P357" s="224"/>
      <c r="Q357" s="224"/>
    </row>
    <row r="358" spans="2:17">
      <c r="B358" s="224"/>
      <c r="C358" s="224"/>
      <c r="D358" s="224"/>
      <c r="E358" s="224"/>
      <c r="F358" s="224"/>
      <c r="G358" s="224"/>
      <c r="H358" s="224"/>
      <c r="I358" s="224"/>
      <c r="J358" s="224"/>
      <c r="K358" s="224"/>
      <c r="L358" s="224"/>
      <c r="M358" s="224"/>
      <c r="N358" s="224"/>
      <c r="O358" s="224"/>
      <c r="P358" s="224"/>
      <c r="Q358" s="224"/>
    </row>
    <row r="359" spans="2:17">
      <c r="B359" s="224"/>
      <c r="C359" s="224"/>
      <c r="D359" s="224"/>
      <c r="E359" s="224"/>
      <c r="F359" s="224"/>
      <c r="G359" s="224"/>
      <c r="H359" s="224"/>
      <c r="I359" s="224"/>
      <c r="J359" s="224"/>
      <c r="K359" s="224"/>
      <c r="L359" s="224"/>
      <c r="M359" s="224"/>
      <c r="N359" s="224"/>
      <c r="O359" s="224"/>
      <c r="P359" s="224"/>
      <c r="Q359" s="224"/>
    </row>
    <row r="360" spans="2:17">
      <c r="B360" s="224"/>
      <c r="C360" s="224"/>
      <c r="D360" s="224"/>
      <c r="E360" s="224"/>
      <c r="F360" s="224"/>
      <c r="G360" s="224"/>
      <c r="H360" s="224"/>
      <c r="I360" s="224"/>
      <c r="J360" s="224"/>
      <c r="K360" s="224"/>
      <c r="L360" s="224"/>
      <c r="M360" s="224"/>
      <c r="N360" s="224"/>
      <c r="O360" s="224"/>
      <c r="P360" s="224"/>
      <c r="Q360" s="224"/>
    </row>
    <row r="361" spans="2:17">
      <c r="B361" s="224"/>
      <c r="C361" s="224"/>
      <c r="D361" s="224"/>
      <c r="E361" s="224"/>
      <c r="F361" s="224"/>
      <c r="G361" s="224"/>
      <c r="H361" s="224"/>
      <c r="I361" s="224"/>
      <c r="J361" s="224"/>
      <c r="K361" s="224"/>
      <c r="L361" s="224"/>
      <c r="M361" s="224"/>
      <c r="N361" s="224"/>
      <c r="O361" s="224"/>
      <c r="P361" s="224"/>
      <c r="Q361" s="224"/>
    </row>
    <row r="362" spans="2:17">
      <c r="B362" s="224"/>
      <c r="C362" s="224"/>
      <c r="D362" s="224"/>
      <c r="E362" s="224"/>
      <c r="F362" s="224"/>
      <c r="G362" s="224"/>
      <c r="H362" s="224"/>
      <c r="I362" s="224"/>
      <c r="J362" s="224"/>
      <c r="K362" s="224"/>
      <c r="L362" s="224"/>
      <c r="M362" s="224"/>
      <c r="N362" s="224"/>
      <c r="O362" s="224"/>
      <c r="P362" s="224"/>
      <c r="Q362" s="224"/>
    </row>
    <row r="363" spans="2:17">
      <c r="B363" s="224"/>
      <c r="C363" s="224"/>
      <c r="D363" s="224"/>
      <c r="E363" s="224"/>
      <c r="F363" s="224"/>
      <c r="G363" s="224"/>
      <c r="H363" s="224"/>
      <c r="I363" s="224"/>
      <c r="J363" s="224"/>
      <c r="K363" s="224"/>
      <c r="L363" s="224"/>
      <c r="M363" s="224"/>
      <c r="N363" s="224"/>
      <c r="O363" s="224"/>
      <c r="P363" s="224"/>
      <c r="Q363" s="224"/>
    </row>
    <row r="364" spans="2:17">
      <c r="B364" s="224"/>
      <c r="C364" s="224"/>
      <c r="D364" s="224"/>
      <c r="E364" s="224"/>
      <c r="F364" s="224"/>
      <c r="G364" s="224"/>
      <c r="H364" s="224"/>
      <c r="I364" s="224"/>
      <c r="J364" s="224"/>
      <c r="K364" s="224"/>
      <c r="L364" s="224"/>
      <c r="M364" s="224"/>
      <c r="N364" s="224"/>
      <c r="O364" s="224"/>
      <c r="P364" s="224"/>
      <c r="Q364" s="224"/>
    </row>
    <row r="365" spans="2:17">
      <c r="B365" s="224"/>
      <c r="C365" s="224"/>
      <c r="D365" s="224"/>
      <c r="E365" s="224"/>
      <c r="F365" s="224"/>
      <c r="G365" s="224"/>
      <c r="H365" s="224"/>
      <c r="I365" s="224"/>
      <c r="J365" s="224"/>
      <c r="K365" s="224"/>
      <c r="L365" s="224"/>
      <c r="M365" s="224"/>
      <c r="N365" s="224"/>
      <c r="O365" s="224"/>
      <c r="P365" s="224"/>
      <c r="Q365" s="224"/>
    </row>
    <row r="366" spans="2:17">
      <c r="B366" s="224"/>
      <c r="C366" s="224"/>
      <c r="D366" s="224"/>
      <c r="E366" s="224"/>
      <c r="F366" s="224"/>
      <c r="G366" s="224"/>
      <c r="H366" s="224"/>
      <c r="I366" s="224"/>
      <c r="J366" s="224"/>
      <c r="K366" s="224"/>
      <c r="L366" s="224"/>
      <c r="M366" s="224"/>
      <c r="N366" s="224"/>
      <c r="O366" s="224"/>
      <c r="P366" s="224"/>
      <c r="Q366" s="224"/>
    </row>
    <row r="367" spans="2:17">
      <c r="B367" s="224"/>
      <c r="C367" s="224"/>
      <c r="D367" s="224"/>
      <c r="E367" s="224"/>
      <c r="F367" s="224"/>
      <c r="G367" s="224"/>
      <c r="H367" s="224"/>
      <c r="I367" s="224"/>
      <c r="J367" s="224"/>
      <c r="K367" s="224"/>
      <c r="L367" s="224"/>
      <c r="M367" s="224"/>
      <c r="N367" s="224"/>
      <c r="O367" s="224"/>
      <c r="P367" s="224"/>
      <c r="Q367" s="224"/>
    </row>
    <row r="368" spans="2:17">
      <c r="B368" s="224"/>
      <c r="C368" s="224"/>
      <c r="D368" s="224"/>
      <c r="E368" s="224"/>
      <c r="F368" s="224"/>
      <c r="G368" s="224"/>
      <c r="H368" s="224"/>
      <c r="I368" s="224"/>
      <c r="J368" s="224"/>
      <c r="K368" s="224"/>
      <c r="L368" s="224"/>
      <c r="M368" s="224"/>
      <c r="N368" s="224"/>
      <c r="O368" s="224"/>
      <c r="P368" s="224"/>
      <c r="Q368" s="224"/>
    </row>
    <row r="369" spans="2:17">
      <c r="B369" s="224"/>
      <c r="C369" s="224"/>
      <c r="D369" s="224"/>
      <c r="E369" s="224"/>
      <c r="F369" s="224"/>
      <c r="G369" s="224"/>
      <c r="H369" s="224"/>
      <c r="I369" s="224"/>
      <c r="J369" s="224"/>
      <c r="K369" s="224"/>
      <c r="L369" s="224"/>
      <c r="M369" s="224"/>
      <c r="N369" s="224"/>
      <c r="O369" s="224"/>
      <c r="P369" s="224"/>
      <c r="Q369" s="224"/>
    </row>
    <row r="370" spans="2:17">
      <c r="B370" s="224"/>
      <c r="C370" s="224"/>
      <c r="D370" s="224"/>
      <c r="E370" s="224"/>
      <c r="F370" s="224"/>
      <c r="G370" s="224"/>
      <c r="H370" s="224"/>
      <c r="I370" s="224"/>
      <c r="J370" s="224"/>
      <c r="K370" s="224"/>
      <c r="L370" s="224"/>
      <c r="M370" s="224"/>
      <c r="N370" s="224"/>
      <c r="O370" s="224"/>
      <c r="P370" s="224"/>
      <c r="Q370" s="224"/>
    </row>
    <row r="371" spans="2:17">
      <c r="B371" s="224"/>
      <c r="C371" s="224"/>
      <c r="D371" s="224"/>
      <c r="E371" s="224"/>
      <c r="F371" s="224"/>
      <c r="G371" s="224"/>
      <c r="H371" s="224"/>
      <c r="I371" s="224"/>
      <c r="J371" s="224"/>
      <c r="K371" s="224"/>
      <c r="L371" s="224"/>
      <c r="M371" s="224"/>
      <c r="N371" s="224"/>
      <c r="O371" s="224"/>
      <c r="P371" s="224"/>
      <c r="Q371" s="224"/>
    </row>
    <row r="372" spans="2:17">
      <c r="B372" s="224"/>
      <c r="C372" s="224"/>
      <c r="D372" s="224"/>
      <c r="E372" s="224"/>
      <c r="F372" s="224"/>
      <c r="G372" s="224"/>
      <c r="H372" s="224"/>
      <c r="I372" s="224"/>
      <c r="J372" s="224"/>
      <c r="K372" s="224"/>
      <c r="L372" s="224"/>
      <c r="M372" s="224"/>
      <c r="N372" s="224"/>
      <c r="O372" s="224"/>
      <c r="P372" s="224"/>
      <c r="Q372" s="224"/>
    </row>
    <row r="373" spans="2:17">
      <c r="B373" s="224"/>
      <c r="C373" s="224"/>
      <c r="D373" s="224"/>
      <c r="E373" s="224"/>
      <c r="F373" s="224"/>
      <c r="G373" s="224"/>
      <c r="H373" s="224"/>
      <c r="I373" s="224"/>
      <c r="J373" s="224"/>
      <c r="K373" s="224"/>
      <c r="L373" s="224"/>
      <c r="M373" s="224"/>
      <c r="N373" s="224"/>
      <c r="O373" s="224"/>
      <c r="P373" s="224"/>
      <c r="Q373" s="224"/>
    </row>
    <row r="374" spans="2:17">
      <c r="B374" s="224"/>
      <c r="C374" s="224"/>
      <c r="D374" s="224"/>
      <c r="E374" s="224"/>
      <c r="F374" s="224"/>
      <c r="G374" s="224"/>
      <c r="H374" s="224"/>
      <c r="I374" s="224"/>
      <c r="J374" s="224"/>
      <c r="K374" s="224"/>
      <c r="L374" s="224"/>
      <c r="M374" s="224"/>
      <c r="N374" s="224"/>
      <c r="O374" s="224"/>
      <c r="P374" s="224"/>
      <c r="Q374" s="224"/>
    </row>
    <row r="375" spans="2:17">
      <c r="B375" s="224"/>
      <c r="C375" s="224"/>
      <c r="D375" s="224"/>
      <c r="E375" s="224"/>
      <c r="F375" s="224"/>
      <c r="G375" s="224"/>
      <c r="H375" s="224"/>
      <c r="I375" s="224"/>
      <c r="J375" s="224"/>
      <c r="K375" s="224"/>
      <c r="L375" s="224"/>
      <c r="M375" s="224"/>
      <c r="N375" s="224"/>
      <c r="O375" s="224"/>
      <c r="P375" s="224"/>
      <c r="Q375" s="224"/>
    </row>
    <row r="376" spans="2:17">
      <c r="B376" s="224"/>
      <c r="C376" s="224"/>
      <c r="D376" s="224"/>
      <c r="E376" s="224"/>
      <c r="F376" s="224"/>
      <c r="G376" s="224"/>
      <c r="H376" s="224"/>
      <c r="I376" s="224"/>
      <c r="J376" s="224"/>
      <c r="K376" s="224"/>
      <c r="L376" s="224"/>
      <c r="M376" s="224"/>
      <c r="N376" s="224"/>
      <c r="O376" s="224"/>
      <c r="P376" s="224"/>
      <c r="Q376" s="224"/>
    </row>
    <row r="377" spans="2:17">
      <c r="B377" s="224"/>
      <c r="C377" s="224"/>
      <c r="D377" s="224"/>
      <c r="E377" s="224"/>
      <c r="F377" s="224"/>
      <c r="G377" s="224"/>
      <c r="H377" s="224"/>
      <c r="I377" s="224"/>
      <c r="J377" s="224"/>
      <c r="K377" s="224"/>
      <c r="L377" s="224"/>
      <c r="M377" s="224"/>
      <c r="N377" s="224"/>
      <c r="O377" s="224"/>
      <c r="P377" s="224"/>
      <c r="Q377" s="224"/>
    </row>
    <row r="378" spans="2:17">
      <c r="B378" s="224"/>
      <c r="C378" s="224"/>
      <c r="D378" s="224"/>
      <c r="E378" s="224"/>
      <c r="F378" s="224"/>
      <c r="G378" s="224"/>
      <c r="H378" s="224"/>
      <c r="I378" s="224"/>
      <c r="J378" s="224"/>
      <c r="K378" s="224"/>
      <c r="L378" s="224"/>
      <c r="M378" s="224"/>
      <c r="N378" s="224"/>
      <c r="O378" s="224"/>
      <c r="P378" s="224"/>
      <c r="Q378" s="224"/>
    </row>
    <row r="379" spans="2:17">
      <c r="B379" s="224"/>
      <c r="C379" s="224"/>
      <c r="D379" s="224"/>
      <c r="E379" s="224"/>
      <c r="F379" s="224"/>
      <c r="G379" s="224"/>
      <c r="H379" s="224"/>
      <c r="I379" s="224"/>
      <c r="J379" s="224"/>
      <c r="K379" s="224"/>
      <c r="L379" s="224"/>
      <c r="M379" s="224"/>
      <c r="N379" s="224"/>
      <c r="O379" s="224"/>
      <c r="P379" s="224"/>
      <c r="Q379" s="224"/>
    </row>
    <row r="380" spans="2:17">
      <c r="B380" s="224"/>
      <c r="C380" s="224"/>
      <c r="D380" s="224"/>
      <c r="E380" s="224"/>
      <c r="F380" s="224"/>
      <c r="G380" s="224"/>
      <c r="H380" s="224"/>
      <c r="I380" s="224"/>
      <c r="J380" s="224"/>
      <c r="K380" s="224"/>
      <c r="L380" s="224"/>
      <c r="M380" s="224"/>
      <c r="N380" s="224"/>
      <c r="O380" s="224"/>
      <c r="P380" s="224"/>
      <c r="Q380" s="224"/>
    </row>
    <row r="381" spans="2:17">
      <c r="B381" s="224"/>
      <c r="C381" s="224"/>
      <c r="D381" s="224"/>
      <c r="E381" s="224"/>
      <c r="F381" s="224"/>
      <c r="G381" s="224"/>
      <c r="H381" s="224"/>
      <c r="I381" s="224"/>
      <c r="J381" s="224"/>
      <c r="K381" s="224"/>
      <c r="L381" s="224"/>
      <c r="M381" s="224"/>
      <c r="N381" s="224"/>
      <c r="O381" s="224"/>
      <c r="P381" s="224"/>
      <c r="Q381" s="224"/>
    </row>
    <row r="382" spans="2:17">
      <c r="B382" s="224"/>
      <c r="C382" s="224"/>
      <c r="D382" s="224"/>
      <c r="E382" s="224"/>
      <c r="F382" s="224"/>
      <c r="G382" s="224"/>
      <c r="H382" s="224"/>
      <c r="I382" s="224"/>
      <c r="J382" s="224"/>
      <c r="K382" s="224"/>
      <c r="L382" s="224"/>
      <c r="M382" s="224"/>
      <c r="N382" s="224"/>
      <c r="O382" s="224"/>
      <c r="P382" s="224"/>
      <c r="Q382" s="224"/>
    </row>
    <row r="383" spans="2:17">
      <c r="B383" s="224"/>
      <c r="C383" s="224"/>
      <c r="D383" s="224"/>
      <c r="E383" s="224"/>
      <c r="F383" s="224"/>
      <c r="G383" s="224"/>
      <c r="H383" s="224"/>
      <c r="I383" s="224"/>
      <c r="J383" s="224"/>
      <c r="K383" s="224"/>
      <c r="L383" s="224"/>
      <c r="M383" s="224"/>
      <c r="N383" s="224"/>
      <c r="O383" s="224"/>
      <c r="P383" s="224"/>
      <c r="Q383" s="224"/>
    </row>
    <row r="384" spans="2:17">
      <c r="B384" s="224"/>
      <c r="C384" s="224"/>
      <c r="D384" s="224"/>
      <c r="E384" s="224"/>
      <c r="F384" s="224"/>
      <c r="G384" s="224"/>
      <c r="H384" s="224"/>
      <c r="I384" s="224"/>
      <c r="J384" s="224"/>
      <c r="K384" s="224"/>
      <c r="L384" s="224"/>
      <c r="M384" s="224"/>
      <c r="N384" s="224"/>
      <c r="O384" s="224"/>
      <c r="P384" s="224"/>
      <c r="Q384" s="224"/>
    </row>
    <row r="385" spans="2:17">
      <c r="B385" s="224"/>
      <c r="C385" s="224"/>
      <c r="D385" s="224"/>
      <c r="E385" s="224"/>
      <c r="F385" s="224"/>
      <c r="G385" s="224"/>
      <c r="H385" s="224"/>
      <c r="I385" s="224"/>
      <c r="J385" s="224"/>
      <c r="K385" s="224"/>
      <c r="L385" s="224"/>
      <c r="M385" s="224"/>
      <c r="N385" s="224"/>
      <c r="O385" s="224"/>
      <c r="P385" s="224"/>
      <c r="Q385" s="224"/>
    </row>
    <row r="386" spans="2:17">
      <c r="B386" s="224"/>
      <c r="C386" s="224"/>
      <c r="D386" s="224"/>
      <c r="E386" s="224"/>
      <c r="F386" s="224"/>
      <c r="G386" s="224"/>
      <c r="H386" s="224"/>
      <c r="I386" s="224"/>
      <c r="J386" s="224"/>
      <c r="K386" s="224"/>
      <c r="L386" s="224"/>
      <c r="M386" s="224"/>
      <c r="N386" s="224"/>
      <c r="O386" s="224"/>
      <c r="P386" s="224"/>
      <c r="Q386" s="224"/>
    </row>
    <row r="387" spans="2:17">
      <c r="B387" s="224"/>
      <c r="C387" s="224"/>
      <c r="D387" s="224"/>
      <c r="E387" s="224"/>
      <c r="F387" s="224"/>
      <c r="G387" s="224"/>
      <c r="H387" s="224"/>
      <c r="I387" s="224"/>
      <c r="J387" s="224"/>
      <c r="K387" s="224"/>
      <c r="L387" s="224"/>
      <c r="M387" s="224"/>
      <c r="N387" s="224"/>
      <c r="O387" s="224"/>
      <c r="P387" s="224"/>
      <c r="Q387" s="224"/>
    </row>
    <row r="388" spans="2:17">
      <c r="B388" s="224"/>
      <c r="C388" s="224"/>
      <c r="D388" s="224"/>
      <c r="E388" s="224"/>
      <c r="F388" s="224"/>
      <c r="G388" s="224"/>
      <c r="H388" s="224"/>
      <c r="I388" s="224"/>
      <c r="J388" s="224"/>
      <c r="K388" s="224"/>
      <c r="L388" s="224"/>
      <c r="M388" s="224"/>
      <c r="N388" s="224"/>
      <c r="O388" s="224"/>
      <c r="P388" s="224"/>
      <c r="Q388" s="224"/>
    </row>
    <row r="389" spans="2:17">
      <c r="B389" s="224"/>
      <c r="C389" s="224"/>
      <c r="D389" s="224"/>
      <c r="E389" s="224"/>
      <c r="F389" s="224"/>
      <c r="G389" s="224"/>
      <c r="H389" s="224"/>
      <c r="I389" s="224"/>
      <c r="J389" s="224"/>
      <c r="K389" s="224"/>
      <c r="L389" s="224"/>
      <c r="M389" s="224"/>
      <c r="N389" s="224"/>
      <c r="O389" s="224"/>
      <c r="P389" s="224"/>
      <c r="Q389" s="224"/>
    </row>
    <row r="390" spans="2:17">
      <c r="B390" s="224"/>
      <c r="C390" s="224"/>
      <c r="D390" s="224"/>
      <c r="E390" s="224"/>
      <c r="F390" s="224"/>
      <c r="G390" s="224"/>
      <c r="H390" s="224"/>
      <c r="I390" s="224"/>
      <c r="J390" s="224"/>
      <c r="K390" s="224"/>
      <c r="L390" s="224"/>
      <c r="M390" s="224"/>
      <c r="N390" s="224"/>
      <c r="O390" s="224"/>
      <c r="P390" s="224"/>
      <c r="Q390" s="224"/>
    </row>
    <row r="391" spans="2:17">
      <c r="B391" s="224"/>
      <c r="C391" s="224"/>
      <c r="D391" s="224"/>
      <c r="E391" s="224"/>
      <c r="F391" s="224"/>
      <c r="G391" s="224"/>
      <c r="H391" s="224"/>
      <c r="I391" s="224"/>
      <c r="J391" s="224"/>
      <c r="K391" s="224"/>
      <c r="L391" s="224"/>
      <c r="M391" s="224"/>
      <c r="N391" s="224"/>
      <c r="O391" s="224"/>
      <c r="P391" s="224"/>
      <c r="Q391" s="224"/>
    </row>
    <row r="392" spans="2:17">
      <c r="B392" s="224"/>
      <c r="C392" s="224"/>
      <c r="D392" s="224"/>
      <c r="E392" s="224"/>
      <c r="F392" s="224"/>
      <c r="G392" s="224"/>
      <c r="H392" s="224"/>
      <c r="I392" s="224"/>
      <c r="J392" s="224"/>
      <c r="K392" s="224"/>
      <c r="L392" s="224"/>
      <c r="M392" s="224"/>
      <c r="N392" s="224"/>
      <c r="O392" s="224"/>
      <c r="P392" s="224"/>
      <c r="Q392" s="224"/>
    </row>
    <row r="393" spans="2:17">
      <c r="B393" s="224"/>
      <c r="C393" s="224"/>
      <c r="D393" s="224"/>
      <c r="E393" s="224"/>
      <c r="F393" s="224"/>
      <c r="G393" s="224"/>
      <c r="H393" s="224"/>
      <c r="I393" s="224"/>
      <c r="J393" s="224"/>
      <c r="K393" s="224"/>
      <c r="L393" s="224"/>
      <c r="M393" s="224"/>
      <c r="N393" s="224"/>
      <c r="O393" s="224"/>
      <c r="P393" s="224"/>
      <c r="Q393" s="224"/>
    </row>
    <row r="394" spans="2:17">
      <c r="B394" s="224"/>
      <c r="C394" s="224"/>
      <c r="D394" s="224"/>
      <c r="E394" s="224"/>
      <c r="F394" s="224"/>
      <c r="G394" s="224"/>
      <c r="H394" s="224"/>
      <c r="I394" s="224"/>
      <c r="J394" s="224"/>
      <c r="K394" s="224"/>
      <c r="L394" s="224"/>
      <c r="M394" s="224"/>
      <c r="N394" s="224"/>
      <c r="O394" s="224"/>
      <c r="P394" s="224"/>
      <c r="Q394" s="224"/>
    </row>
    <row r="395" spans="2:17">
      <c r="B395" s="224"/>
      <c r="C395" s="224"/>
      <c r="D395" s="224"/>
      <c r="E395" s="224"/>
      <c r="F395" s="224"/>
      <c r="G395" s="224"/>
      <c r="H395" s="224"/>
      <c r="I395" s="224"/>
      <c r="J395" s="224"/>
      <c r="K395" s="224"/>
      <c r="L395" s="224"/>
      <c r="M395" s="224"/>
      <c r="N395" s="224"/>
      <c r="O395" s="224"/>
      <c r="P395" s="224"/>
      <c r="Q395" s="224"/>
    </row>
    <row r="396" spans="2:17">
      <c r="B396" s="224"/>
      <c r="C396" s="224"/>
      <c r="D396" s="224"/>
      <c r="E396" s="224"/>
      <c r="F396" s="224"/>
      <c r="G396" s="224"/>
      <c r="H396" s="224"/>
      <c r="I396" s="224"/>
      <c r="J396" s="224"/>
      <c r="K396" s="224"/>
      <c r="L396" s="224"/>
      <c r="M396" s="224"/>
      <c r="N396" s="224"/>
      <c r="O396" s="224"/>
      <c r="P396" s="224"/>
      <c r="Q396" s="224"/>
    </row>
    <row r="397" spans="2:17">
      <c r="B397" s="224"/>
      <c r="C397" s="224"/>
      <c r="D397" s="224"/>
      <c r="E397" s="224"/>
      <c r="F397" s="224"/>
      <c r="G397" s="224"/>
      <c r="H397" s="224"/>
      <c r="I397" s="224"/>
      <c r="J397" s="224"/>
      <c r="K397" s="224"/>
      <c r="L397" s="224"/>
      <c r="M397" s="224"/>
      <c r="N397" s="224"/>
      <c r="O397" s="224"/>
      <c r="P397" s="224"/>
      <c r="Q397" s="224"/>
    </row>
    <row r="398" spans="2:17">
      <c r="B398" s="224"/>
      <c r="C398" s="224"/>
      <c r="D398" s="224"/>
      <c r="E398" s="224"/>
      <c r="F398" s="224"/>
      <c r="G398" s="224"/>
      <c r="H398" s="224"/>
      <c r="I398" s="224"/>
      <c r="J398" s="224"/>
      <c r="K398" s="224"/>
      <c r="L398" s="224"/>
      <c r="M398" s="224"/>
      <c r="N398" s="224"/>
      <c r="O398" s="224"/>
      <c r="P398" s="224"/>
      <c r="Q398" s="224"/>
    </row>
    <row r="399" spans="2:17">
      <c r="B399" s="224"/>
      <c r="C399" s="224"/>
      <c r="D399" s="224"/>
      <c r="E399" s="224"/>
      <c r="F399" s="224"/>
      <c r="G399" s="224"/>
      <c r="H399" s="224"/>
      <c r="I399" s="224"/>
      <c r="J399" s="224"/>
      <c r="K399" s="224"/>
      <c r="L399" s="224"/>
      <c r="M399" s="224"/>
      <c r="N399" s="224"/>
      <c r="O399" s="224"/>
      <c r="P399" s="224"/>
      <c r="Q399" s="224"/>
    </row>
    <row r="400" spans="2:17">
      <c r="B400" s="224"/>
      <c r="C400" s="224"/>
      <c r="D400" s="224"/>
      <c r="E400" s="224"/>
      <c r="F400" s="224"/>
      <c r="G400" s="224"/>
      <c r="H400" s="224"/>
      <c r="I400" s="224"/>
      <c r="J400" s="224"/>
      <c r="K400" s="224"/>
      <c r="L400" s="224"/>
      <c r="M400" s="224"/>
      <c r="N400" s="224"/>
      <c r="O400" s="224"/>
      <c r="P400" s="224"/>
      <c r="Q400" s="224"/>
    </row>
    <row r="401" spans="2:17">
      <c r="B401" s="224"/>
      <c r="C401" s="224"/>
      <c r="D401" s="224"/>
      <c r="E401" s="224"/>
      <c r="F401" s="224"/>
      <c r="G401" s="224"/>
      <c r="H401" s="224"/>
      <c r="I401" s="224"/>
      <c r="J401" s="224"/>
      <c r="K401" s="224"/>
      <c r="L401" s="224"/>
      <c r="M401" s="224"/>
      <c r="N401" s="224"/>
      <c r="O401" s="224"/>
      <c r="P401" s="224"/>
      <c r="Q401" s="224"/>
    </row>
    <row r="402" spans="2:17">
      <c r="B402" s="224"/>
      <c r="C402" s="224"/>
      <c r="D402" s="224"/>
      <c r="E402" s="224"/>
      <c r="F402" s="224"/>
      <c r="G402" s="224"/>
      <c r="H402" s="224"/>
      <c r="I402" s="224"/>
      <c r="J402" s="224"/>
      <c r="K402" s="224"/>
      <c r="L402" s="224"/>
      <c r="M402" s="224"/>
      <c r="N402" s="224"/>
      <c r="O402" s="224"/>
      <c r="P402" s="224"/>
      <c r="Q402" s="224"/>
    </row>
    <row r="403" spans="2:17">
      <c r="B403" s="224"/>
      <c r="C403" s="224"/>
      <c r="D403" s="224"/>
      <c r="E403" s="224"/>
      <c r="F403" s="224"/>
      <c r="G403" s="224"/>
      <c r="H403" s="224"/>
      <c r="I403" s="224"/>
      <c r="J403" s="224"/>
      <c r="K403" s="224"/>
      <c r="L403" s="224"/>
      <c r="M403" s="224"/>
      <c r="N403" s="224"/>
      <c r="O403" s="224"/>
      <c r="P403" s="224"/>
      <c r="Q403" s="224"/>
    </row>
    <row r="404" spans="2:17">
      <c r="B404" s="224"/>
      <c r="C404" s="224"/>
      <c r="D404" s="224"/>
      <c r="E404" s="224"/>
      <c r="F404" s="224"/>
      <c r="G404" s="224"/>
      <c r="H404" s="224"/>
      <c r="I404" s="224"/>
      <c r="J404" s="224"/>
      <c r="K404" s="224"/>
      <c r="L404" s="224"/>
      <c r="M404" s="224"/>
      <c r="N404" s="224"/>
      <c r="O404" s="224"/>
      <c r="P404" s="224"/>
      <c r="Q404" s="224"/>
    </row>
    <row r="405" spans="2:17">
      <c r="B405" s="224"/>
      <c r="C405" s="224"/>
      <c r="D405" s="224"/>
      <c r="E405" s="224"/>
      <c r="F405" s="224"/>
      <c r="G405" s="224"/>
      <c r="H405" s="224"/>
      <c r="I405" s="224"/>
      <c r="J405" s="224"/>
      <c r="K405" s="224"/>
      <c r="L405" s="224"/>
      <c r="M405" s="224"/>
      <c r="N405" s="224"/>
      <c r="O405" s="224"/>
      <c r="P405" s="224"/>
      <c r="Q405" s="224"/>
    </row>
    <row r="406" spans="2:17">
      <c r="B406" s="224"/>
      <c r="C406" s="224"/>
      <c r="D406" s="224"/>
      <c r="E406" s="224"/>
      <c r="F406" s="224"/>
      <c r="G406" s="224"/>
      <c r="H406" s="224"/>
      <c r="I406" s="224"/>
      <c r="J406" s="224"/>
      <c r="K406" s="224"/>
      <c r="L406" s="224"/>
      <c r="M406" s="224"/>
      <c r="N406" s="224"/>
      <c r="O406" s="224"/>
      <c r="P406" s="224"/>
      <c r="Q406" s="224"/>
    </row>
    <row r="407" spans="2:17">
      <c r="B407" s="224"/>
      <c r="C407" s="224"/>
      <c r="D407" s="224"/>
      <c r="E407" s="224"/>
      <c r="F407" s="224"/>
      <c r="G407" s="224"/>
      <c r="H407" s="224"/>
      <c r="I407" s="224"/>
      <c r="J407" s="224"/>
      <c r="K407" s="224"/>
      <c r="L407" s="224"/>
      <c r="M407" s="224"/>
      <c r="N407" s="224"/>
      <c r="O407" s="224"/>
      <c r="P407" s="224"/>
      <c r="Q407" s="224"/>
    </row>
    <row r="408" spans="2:17">
      <c r="B408" s="224"/>
      <c r="C408" s="224"/>
      <c r="D408" s="224"/>
      <c r="E408" s="224"/>
      <c r="F408" s="224"/>
      <c r="G408" s="224"/>
      <c r="H408" s="224"/>
      <c r="I408" s="224"/>
      <c r="J408" s="224"/>
      <c r="K408" s="224"/>
      <c r="L408" s="224"/>
      <c r="M408" s="224"/>
      <c r="N408" s="224"/>
      <c r="O408" s="224"/>
      <c r="P408" s="224"/>
      <c r="Q408" s="224"/>
    </row>
    <row r="409" spans="2:17">
      <c r="B409" s="224"/>
      <c r="C409" s="224"/>
      <c r="D409" s="224"/>
      <c r="E409" s="224"/>
      <c r="F409" s="224"/>
      <c r="G409" s="224"/>
      <c r="H409" s="224"/>
      <c r="I409" s="224"/>
      <c r="J409" s="224"/>
      <c r="K409" s="224"/>
      <c r="L409" s="224"/>
      <c r="M409" s="224"/>
      <c r="N409" s="224"/>
      <c r="O409" s="224"/>
      <c r="P409" s="224"/>
      <c r="Q409" s="224"/>
    </row>
    <row r="410" spans="2:17">
      <c r="B410" s="224"/>
      <c r="C410" s="224"/>
      <c r="D410" s="224"/>
      <c r="E410" s="224"/>
      <c r="F410" s="224"/>
      <c r="G410" s="224"/>
      <c r="H410" s="224"/>
      <c r="I410" s="224"/>
      <c r="J410" s="224"/>
      <c r="K410" s="224"/>
      <c r="L410" s="224"/>
      <c r="M410" s="224"/>
      <c r="N410" s="224"/>
      <c r="O410" s="224"/>
      <c r="P410" s="224"/>
      <c r="Q410" s="224"/>
    </row>
    <row r="411" spans="2:17">
      <c r="B411" s="224"/>
      <c r="C411" s="224"/>
      <c r="D411" s="224"/>
      <c r="E411" s="224"/>
      <c r="F411" s="224"/>
      <c r="G411" s="224"/>
      <c r="H411" s="224"/>
      <c r="I411" s="224"/>
      <c r="J411" s="224"/>
      <c r="K411" s="224"/>
      <c r="L411" s="224"/>
      <c r="M411" s="224"/>
      <c r="N411" s="224"/>
      <c r="O411" s="224"/>
      <c r="P411" s="224"/>
      <c r="Q411" s="224"/>
    </row>
    <row r="412" spans="2:17">
      <c r="B412" s="224"/>
      <c r="C412" s="224"/>
      <c r="D412" s="224"/>
      <c r="E412" s="224"/>
      <c r="F412" s="224"/>
      <c r="G412" s="224"/>
      <c r="H412" s="224"/>
      <c r="I412" s="224"/>
      <c r="J412" s="224"/>
      <c r="K412" s="224"/>
      <c r="L412" s="224"/>
      <c r="M412" s="224"/>
      <c r="N412" s="224"/>
      <c r="O412" s="224"/>
      <c r="P412" s="224"/>
      <c r="Q412" s="224"/>
    </row>
    <row r="413" spans="2:17">
      <c r="B413" s="224"/>
      <c r="C413" s="224"/>
      <c r="D413" s="224"/>
      <c r="E413" s="224"/>
      <c r="F413" s="224"/>
      <c r="G413" s="224"/>
      <c r="H413" s="224"/>
      <c r="I413" s="224"/>
      <c r="J413" s="224"/>
      <c r="K413" s="224"/>
      <c r="L413" s="224"/>
      <c r="M413" s="224"/>
      <c r="N413" s="224"/>
      <c r="O413" s="224"/>
      <c r="P413" s="224"/>
      <c r="Q413" s="224"/>
    </row>
    <row r="414" spans="2:17">
      <c r="B414" s="224"/>
      <c r="C414" s="224"/>
      <c r="D414" s="224"/>
      <c r="E414" s="224"/>
      <c r="F414" s="224"/>
      <c r="G414" s="224"/>
      <c r="H414" s="224"/>
      <c r="I414" s="224"/>
      <c r="J414" s="224"/>
      <c r="K414" s="224"/>
      <c r="L414" s="224"/>
      <c r="M414" s="224"/>
      <c r="N414" s="224"/>
      <c r="O414" s="224"/>
      <c r="P414" s="224"/>
      <c r="Q414" s="224"/>
    </row>
    <row r="415" spans="2:17">
      <c r="B415" s="224"/>
      <c r="C415" s="224"/>
      <c r="D415" s="224"/>
      <c r="E415" s="224"/>
      <c r="F415" s="224"/>
      <c r="G415" s="224"/>
      <c r="H415" s="224"/>
      <c r="I415" s="224"/>
      <c r="J415" s="224"/>
      <c r="K415" s="224"/>
      <c r="L415" s="224"/>
      <c r="M415" s="224"/>
      <c r="N415" s="224"/>
      <c r="O415" s="224"/>
      <c r="P415" s="224"/>
      <c r="Q415" s="224"/>
    </row>
    <row r="416" spans="2:17">
      <c r="B416" s="224"/>
      <c r="C416" s="224"/>
      <c r="D416" s="224"/>
      <c r="E416" s="224"/>
      <c r="F416" s="224"/>
      <c r="G416" s="224"/>
      <c r="H416" s="224"/>
      <c r="I416" s="224"/>
      <c r="J416" s="224"/>
      <c r="K416" s="224"/>
      <c r="L416" s="224"/>
      <c r="M416" s="224"/>
      <c r="N416" s="224"/>
      <c r="O416" s="224"/>
      <c r="P416" s="224"/>
      <c r="Q416" s="224"/>
    </row>
    <row r="417" spans="2:17">
      <c r="B417" s="224"/>
      <c r="C417" s="224"/>
      <c r="D417" s="224"/>
      <c r="E417" s="224"/>
      <c r="F417" s="224"/>
      <c r="G417" s="224"/>
      <c r="H417" s="224"/>
      <c r="I417" s="224"/>
      <c r="J417" s="224"/>
      <c r="K417" s="224"/>
      <c r="L417" s="224"/>
      <c r="M417" s="224"/>
      <c r="N417" s="224"/>
      <c r="O417" s="224"/>
      <c r="P417" s="224"/>
      <c r="Q417" s="224"/>
    </row>
    <row r="418" spans="2:17">
      <c r="B418" s="224"/>
      <c r="C418" s="224"/>
      <c r="D418" s="224"/>
      <c r="E418" s="224"/>
      <c r="F418" s="224"/>
      <c r="G418" s="224"/>
      <c r="H418" s="224"/>
      <c r="I418" s="224"/>
      <c r="J418" s="224"/>
      <c r="K418" s="224"/>
      <c r="L418" s="224"/>
      <c r="M418" s="224"/>
      <c r="N418" s="224"/>
      <c r="O418" s="224"/>
      <c r="P418" s="224"/>
      <c r="Q418" s="224"/>
    </row>
    <row r="419" spans="2:17">
      <c r="B419" s="224"/>
      <c r="C419" s="224"/>
      <c r="D419" s="224"/>
      <c r="E419" s="224"/>
      <c r="F419" s="224"/>
      <c r="G419" s="224"/>
      <c r="H419" s="224"/>
      <c r="I419" s="224"/>
      <c r="J419" s="224"/>
      <c r="K419" s="224"/>
      <c r="L419" s="224"/>
      <c r="M419" s="224"/>
      <c r="N419" s="224"/>
      <c r="O419" s="224"/>
      <c r="P419" s="224"/>
      <c r="Q419" s="224"/>
    </row>
    <row r="420" spans="2:17">
      <c r="B420" s="224"/>
      <c r="C420" s="224"/>
      <c r="D420" s="224"/>
      <c r="E420" s="224"/>
      <c r="F420" s="224"/>
      <c r="G420" s="224"/>
      <c r="H420" s="224"/>
      <c r="I420" s="224"/>
      <c r="J420" s="224"/>
      <c r="K420" s="224"/>
      <c r="L420" s="224"/>
      <c r="M420" s="224"/>
      <c r="N420" s="224"/>
      <c r="O420" s="224"/>
      <c r="P420" s="224"/>
      <c r="Q420" s="224"/>
    </row>
    <row r="421" spans="2:17">
      <c r="B421" s="224"/>
      <c r="C421" s="224"/>
      <c r="D421" s="224"/>
      <c r="E421" s="224"/>
      <c r="F421" s="224"/>
      <c r="G421" s="224"/>
      <c r="H421" s="224"/>
      <c r="I421" s="224"/>
      <c r="J421" s="224"/>
      <c r="K421" s="224"/>
      <c r="L421" s="224"/>
      <c r="M421" s="224"/>
      <c r="N421" s="224"/>
      <c r="O421" s="224"/>
      <c r="P421" s="224"/>
      <c r="Q421" s="224"/>
    </row>
    <row r="422" spans="2:17">
      <c r="B422" s="224"/>
      <c r="C422" s="224"/>
      <c r="D422" s="224"/>
      <c r="E422" s="224"/>
      <c r="F422" s="224"/>
      <c r="G422" s="224"/>
      <c r="H422" s="224"/>
      <c r="I422" s="224"/>
      <c r="J422" s="224"/>
      <c r="K422" s="224"/>
      <c r="L422" s="224"/>
      <c r="M422" s="224"/>
      <c r="N422" s="224"/>
      <c r="O422" s="224"/>
      <c r="P422" s="224"/>
      <c r="Q422" s="224"/>
    </row>
    <row r="423" spans="2:17">
      <c r="B423" s="224"/>
      <c r="C423" s="224"/>
      <c r="D423" s="224"/>
      <c r="E423" s="224"/>
      <c r="F423" s="224"/>
      <c r="G423" s="224"/>
      <c r="H423" s="224"/>
      <c r="I423" s="224"/>
      <c r="J423" s="224"/>
      <c r="K423" s="224"/>
      <c r="L423" s="224"/>
      <c r="M423" s="224"/>
      <c r="N423" s="224"/>
      <c r="O423" s="224"/>
      <c r="P423" s="224"/>
      <c r="Q423" s="224"/>
    </row>
    <row r="424" spans="2:17">
      <c r="B424" s="224"/>
      <c r="C424" s="224"/>
      <c r="D424" s="224"/>
      <c r="E424" s="224"/>
      <c r="F424" s="224"/>
      <c r="G424" s="224"/>
      <c r="H424" s="224"/>
      <c r="I424" s="224"/>
      <c r="J424" s="224"/>
      <c r="K424" s="224"/>
      <c r="L424" s="224"/>
      <c r="M424" s="224"/>
      <c r="N424" s="224"/>
      <c r="O424" s="224"/>
      <c r="P424" s="224"/>
      <c r="Q424" s="224"/>
    </row>
    <row r="425" spans="2:17">
      <c r="B425" s="224"/>
      <c r="C425" s="224"/>
      <c r="D425" s="224"/>
      <c r="E425" s="224"/>
      <c r="F425" s="224"/>
      <c r="G425" s="224"/>
      <c r="H425" s="224"/>
      <c r="I425" s="224"/>
      <c r="J425" s="224"/>
      <c r="K425" s="224"/>
      <c r="L425" s="224"/>
      <c r="M425" s="224"/>
      <c r="N425" s="224"/>
      <c r="O425" s="224"/>
      <c r="P425" s="224"/>
      <c r="Q425" s="224"/>
    </row>
    <row r="426" spans="2:17">
      <c r="B426" s="224"/>
      <c r="C426" s="224"/>
      <c r="D426" s="224"/>
      <c r="E426" s="224"/>
      <c r="F426" s="224"/>
      <c r="G426" s="224"/>
      <c r="H426" s="224"/>
      <c r="I426" s="224"/>
      <c r="J426" s="224"/>
      <c r="K426" s="224"/>
      <c r="L426" s="224"/>
      <c r="M426" s="224"/>
      <c r="N426" s="224"/>
      <c r="O426" s="224"/>
      <c r="P426" s="224"/>
      <c r="Q426" s="224"/>
    </row>
    <row r="427" spans="2:17">
      <c r="B427" s="224"/>
      <c r="C427" s="224"/>
      <c r="D427" s="224"/>
      <c r="E427" s="224"/>
      <c r="F427" s="224"/>
      <c r="G427" s="224"/>
      <c r="H427" s="224"/>
      <c r="I427" s="224"/>
      <c r="J427" s="224"/>
      <c r="K427" s="224"/>
      <c r="L427" s="224"/>
      <c r="M427" s="224"/>
      <c r="N427" s="224"/>
      <c r="O427" s="224"/>
      <c r="P427" s="224"/>
      <c r="Q427" s="224"/>
    </row>
    <row r="428" spans="2:17">
      <c r="B428" s="224"/>
      <c r="C428" s="224"/>
      <c r="D428" s="224"/>
      <c r="E428" s="224"/>
      <c r="F428" s="224"/>
      <c r="G428" s="224"/>
      <c r="H428" s="224"/>
      <c r="I428" s="224"/>
      <c r="J428" s="224"/>
      <c r="K428" s="224"/>
      <c r="L428" s="224"/>
      <c r="M428" s="224"/>
      <c r="N428" s="224"/>
      <c r="O428" s="224"/>
      <c r="P428" s="224"/>
      <c r="Q428" s="224"/>
    </row>
    <row r="429" spans="2:17">
      <c r="B429" s="224"/>
      <c r="C429" s="224"/>
      <c r="D429" s="224"/>
      <c r="E429" s="224"/>
      <c r="F429" s="224"/>
      <c r="G429" s="224"/>
      <c r="H429" s="224"/>
      <c r="I429" s="224"/>
      <c r="J429" s="224"/>
      <c r="K429" s="224"/>
      <c r="L429" s="224"/>
      <c r="M429" s="224"/>
      <c r="N429" s="224"/>
      <c r="O429" s="224"/>
      <c r="P429" s="224"/>
      <c r="Q429" s="224"/>
    </row>
    <row r="430" spans="2:17">
      <c r="B430" s="224"/>
      <c r="C430" s="224"/>
      <c r="D430" s="224"/>
      <c r="E430" s="224"/>
      <c r="F430" s="224"/>
      <c r="G430" s="224"/>
      <c r="H430" s="224"/>
      <c r="I430" s="224"/>
      <c r="J430" s="224"/>
      <c r="K430" s="224"/>
      <c r="L430" s="224"/>
      <c r="M430" s="224"/>
      <c r="N430" s="224"/>
      <c r="O430" s="224"/>
      <c r="P430" s="224"/>
      <c r="Q430" s="224"/>
    </row>
    <row r="431" spans="2:17">
      <c r="B431" s="224"/>
      <c r="C431" s="224"/>
      <c r="D431" s="224"/>
      <c r="E431" s="224"/>
      <c r="F431" s="224"/>
      <c r="G431" s="224"/>
      <c r="H431" s="224"/>
      <c r="I431" s="224"/>
      <c r="J431" s="224"/>
      <c r="K431" s="224"/>
      <c r="L431" s="224"/>
      <c r="M431" s="224"/>
      <c r="N431" s="224"/>
      <c r="O431" s="224"/>
      <c r="P431" s="224"/>
      <c r="Q431" s="224"/>
    </row>
    <row r="432" spans="2:17">
      <c r="B432" s="224"/>
      <c r="C432" s="224"/>
      <c r="D432" s="224"/>
      <c r="E432" s="224"/>
      <c r="F432" s="224"/>
      <c r="G432" s="224"/>
      <c r="H432" s="224"/>
      <c r="I432" s="224"/>
      <c r="J432" s="224"/>
      <c r="K432" s="224"/>
      <c r="L432" s="224"/>
      <c r="M432" s="224"/>
      <c r="N432" s="224"/>
      <c r="O432" s="224"/>
      <c r="P432" s="224"/>
      <c r="Q432" s="224"/>
    </row>
    <row r="433" spans="2:17">
      <c r="B433" s="224"/>
      <c r="C433" s="224"/>
      <c r="D433" s="224"/>
      <c r="E433" s="224"/>
      <c r="F433" s="224"/>
      <c r="G433" s="224"/>
      <c r="H433" s="224"/>
      <c r="I433" s="224"/>
      <c r="J433" s="224"/>
      <c r="K433" s="224"/>
      <c r="L433" s="224"/>
      <c r="M433" s="224"/>
      <c r="N433" s="224"/>
      <c r="O433" s="224"/>
      <c r="P433" s="224"/>
      <c r="Q433" s="224"/>
    </row>
    <row r="434" spans="2:17">
      <c r="B434" s="224"/>
      <c r="C434" s="224"/>
      <c r="D434" s="224"/>
      <c r="E434" s="224"/>
      <c r="F434" s="224"/>
      <c r="G434" s="224"/>
      <c r="H434" s="224"/>
      <c r="I434" s="224"/>
      <c r="J434" s="224"/>
      <c r="K434" s="224"/>
      <c r="L434" s="224"/>
      <c r="M434" s="224"/>
      <c r="N434" s="224"/>
      <c r="O434" s="224"/>
      <c r="P434" s="224"/>
      <c r="Q434" s="224"/>
    </row>
    <row r="435" spans="2:17">
      <c r="B435" s="224"/>
      <c r="C435" s="224"/>
      <c r="D435" s="224"/>
      <c r="E435" s="224"/>
      <c r="F435" s="224"/>
      <c r="G435" s="224"/>
      <c r="H435" s="224"/>
      <c r="I435" s="224"/>
      <c r="J435" s="224"/>
      <c r="K435" s="224"/>
      <c r="L435" s="224"/>
      <c r="M435" s="224"/>
      <c r="N435" s="224"/>
      <c r="O435" s="224"/>
      <c r="P435" s="224"/>
      <c r="Q435" s="224"/>
    </row>
    <row r="436" spans="2:17">
      <c r="B436" s="224"/>
      <c r="C436" s="224"/>
      <c r="D436" s="224"/>
      <c r="E436" s="224"/>
      <c r="F436" s="224"/>
      <c r="G436" s="224"/>
      <c r="H436" s="224"/>
      <c r="I436" s="224"/>
      <c r="J436" s="224"/>
      <c r="K436" s="224"/>
      <c r="L436" s="224"/>
      <c r="M436" s="224"/>
      <c r="N436" s="224"/>
      <c r="O436" s="224"/>
      <c r="P436" s="224"/>
      <c r="Q436" s="224"/>
    </row>
    <row r="437" spans="2:17">
      <c r="B437" s="224"/>
      <c r="C437" s="224"/>
      <c r="D437" s="224"/>
      <c r="E437" s="224"/>
      <c r="F437" s="224"/>
      <c r="G437" s="224"/>
      <c r="H437" s="224"/>
      <c r="I437" s="224"/>
      <c r="J437" s="224"/>
      <c r="K437" s="224"/>
      <c r="L437" s="224"/>
      <c r="M437" s="224"/>
      <c r="N437" s="224"/>
      <c r="O437" s="224"/>
      <c r="P437" s="224"/>
      <c r="Q437" s="224"/>
    </row>
    <row r="438" spans="2:17">
      <c r="B438" s="224"/>
      <c r="C438" s="224"/>
      <c r="D438" s="224"/>
      <c r="E438" s="224"/>
      <c r="F438" s="224"/>
      <c r="G438" s="224"/>
      <c r="H438" s="224"/>
      <c r="I438" s="224"/>
      <c r="J438" s="224"/>
      <c r="K438" s="224"/>
      <c r="L438" s="224"/>
      <c r="M438" s="224"/>
      <c r="N438" s="224"/>
      <c r="O438" s="224"/>
      <c r="P438" s="224"/>
      <c r="Q438" s="224"/>
    </row>
    <row r="439" spans="2:17">
      <c r="B439" s="224"/>
      <c r="C439" s="224"/>
      <c r="D439" s="224"/>
      <c r="E439" s="224"/>
      <c r="F439" s="224"/>
      <c r="G439" s="224"/>
      <c r="H439" s="224"/>
      <c r="I439" s="224"/>
      <c r="J439" s="224"/>
      <c r="K439" s="224"/>
      <c r="L439" s="224"/>
      <c r="M439" s="224"/>
      <c r="N439" s="224"/>
      <c r="O439" s="224"/>
      <c r="P439" s="224"/>
      <c r="Q439" s="224"/>
    </row>
    <row r="440" spans="2:17">
      <c r="B440" s="224"/>
      <c r="C440" s="224"/>
      <c r="D440" s="224"/>
      <c r="E440" s="224"/>
      <c r="F440" s="224"/>
      <c r="G440" s="224"/>
      <c r="H440" s="224"/>
      <c r="I440" s="224"/>
      <c r="J440" s="224"/>
      <c r="K440" s="224"/>
      <c r="L440" s="224"/>
      <c r="M440" s="224"/>
      <c r="N440" s="224"/>
      <c r="O440" s="224"/>
      <c r="P440" s="224"/>
      <c r="Q440" s="224"/>
    </row>
    <row r="441" spans="2:17">
      <c r="B441" s="224"/>
      <c r="C441" s="224"/>
      <c r="D441" s="224"/>
      <c r="E441" s="224"/>
      <c r="F441" s="224"/>
      <c r="G441" s="224"/>
      <c r="H441" s="224"/>
      <c r="I441" s="224"/>
      <c r="J441" s="224"/>
      <c r="K441" s="224"/>
      <c r="L441" s="224"/>
      <c r="M441" s="224"/>
      <c r="N441" s="224"/>
      <c r="O441" s="224"/>
      <c r="P441" s="224"/>
      <c r="Q441" s="224"/>
    </row>
    <row r="442" spans="2:17">
      <c r="B442" s="224"/>
      <c r="C442" s="224"/>
      <c r="D442" s="224"/>
      <c r="E442" s="224"/>
      <c r="F442" s="224"/>
      <c r="G442" s="224"/>
      <c r="H442" s="224"/>
      <c r="I442" s="224"/>
      <c r="J442" s="224"/>
      <c r="K442" s="224"/>
      <c r="L442" s="224"/>
      <c r="M442" s="224"/>
      <c r="N442" s="224"/>
      <c r="O442" s="224"/>
      <c r="P442" s="224"/>
      <c r="Q442" s="224"/>
    </row>
    <row r="443" spans="2:17">
      <c r="B443" s="224"/>
      <c r="C443" s="224"/>
      <c r="D443" s="224"/>
      <c r="E443" s="224"/>
      <c r="F443" s="224"/>
      <c r="G443" s="224"/>
      <c r="H443" s="224"/>
      <c r="I443" s="224"/>
      <c r="J443" s="224"/>
      <c r="K443" s="224"/>
      <c r="L443" s="224"/>
      <c r="M443" s="224"/>
      <c r="N443" s="224"/>
      <c r="O443" s="224"/>
      <c r="P443" s="224"/>
      <c r="Q443" s="224"/>
    </row>
    <row r="444" spans="2:17">
      <c r="B444" s="224"/>
      <c r="C444" s="224"/>
      <c r="D444" s="224"/>
      <c r="E444" s="224"/>
      <c r="F444" s="224"/>
      <c r="G444" s="224"/>
      <c r="H444" s="224"/>
      <c r="I444" s="224"/>
      <c r="J444" s="224"/>
      <c r="K444" s="224"/>
      <c r="L444" s="224"/>
      <c r="M444" s="224"/>
      <c r="N444" s="224"/>
      <c r="O444" s="224"/>
      <c r="P444" s="224"/>
      <c r="Q444" s="224"/>
    </row>
    <row r="445" spans="2:17">
      <c r="B445" s="224"/>
      <c r="C445" s="224"/>
      <c r="D445" s="224"/>
      <c r="E445" s="224"/>
      <c r="F445" s="224"/>
      <c r="G445" s="224"/>
      <c r="H445" s="224"/>
      <c r="I445" s="224"/>
      <c r="J445" s="224"/>
      <c r="K445" s="224"/>
      <c r="L445" s="224"/>
      <c r="M445" s="224"/>
      <c r="N445" s="224"/>
      <c r="O445" s="224"/>
      <c r="P445" s="224"/>
      <c r="Q445" s="224"/>
    </row>
    <row r="446" spans="2:17">
      <c r="B446" s="224"/>
      <c r="C446" s="224"/>
      <c r="D446" s="224"/>
      <c r="E446" s="224"/>
      <c r="F446" s="224"/>
      <c r="G446" s="224"/>
      <c r="H446" s="224"/>
      <c r="I446" s="224"/>
      <c r="J446" s="224"/>
      <c r="K446" s="224"/>
      <c r="L446" s="224"/>
      <c r="M446" s="224"/>
      <c r="N446" s="224"/>
      <c r="O446" s="224"/>
      <c r="P446" s="224"/>
      <c r="Q446" s="224"/>
    </row>
    <row r="447" spans="2:17">
      <c r="B447" s="224"/>
      <c r="C447" s="224"/>
      <c r="D447" s="224"/>
      <c r="E447" s="224"/>
      <c r="F447" s="224"/>
      <c r="G447" s="224"/>
      <c r="H447" s="224"/>
      <c r="I447" s="224"/>
      <c r="J447" s="224"/>
      <c r="K447" s="224"/>
      <c r="L447" s="224"/>
      <c r="M447" s="224"/>
      <c r="N447" s="224"/>
      <c r="O447" s="224"/>
      <c r="P447" s="224"/>
      <c r="Q447" s="224"/>
    </row>
    <row r="448" spans="2:17">
      <c r="B448" s="224"/>
      <c r="C448" s="224"/>
      <c r="D448" s="224"/>
      <c r="E448" s="224"/>
      <c r="F448" s="224"/>
      <c r="G448" s="224"/>
      <c r="H448" s="224"/>
      <c r="I448" s="224"/>
      <c r="J448" s="224"/>
      <c r="K448" s="224"/>
      <c r="L448" s="224"/>
      <c r="M448" s="224"/>
      <c r="N448" s="224"/>
      <c r="O448" s="224"/>
      <c r="P448" s="224"/>
      <c r="Q448" s="224"/>
    </row>
    <row r="449" spans="2:17">
      <c r="B449" s="224"/>
      <c r="C449" s="224"/>
      <c r="D449" s="224"/>
      <c r="E449" s="224"/>
      <c r="F449" s="224"/>
      <c r="G449" s="224"/>
      <c r="H449" s="224"/>
      <c r="I449" s="224"/>
      <c r="J449" s="224"/>
      <c r="K449" s="224"/>
      <c r="L449" s="224"/>
      <c r="M449" s="224"/>
      <c r="N449" s="224"/>
      <c r="O449" s="224"/>
      <c r="P449" s="224"/>
      <c r="Q449" s="224"/>
    </row>
    <row r="450" spans="2:17">
      <c r="B450" s="224"/>
      <c r="C450" s="224"/>
      <c r="D450" s="224"/>
      <c r="E450" s="224"/>
      <c r="F450" s="224"/>
      <c r="G450" s="224"/>
      <c r="H450" s="224"/>
      <c r="I450" s="224"/>
      <c r="J450" s="224"/>
      <c r="K450" s="224"/>
      <c r="L450" s="224"/>
      <c r="M450" s="224"/>
      <c r="N450" s="224"/>
      <c r="O450" s="224"/>
      <c r="P450" s="224"/>
      <c r="Q450" s="224"/>
    </row>
    <row r="451" spans="2:17">
      <c r="B451" s="224"/>
      <c r="C451" s="224"/>
      <c r="D451" s="224"/>
      <c r="E451" s="224"/>
      <c r="F451" s="224"/>
      <c r="G451" s="224"/>
      <c r="H451" s="224"/>
      <c r="I451" s="224"/>
      <c r="J451" s="224"/>
      <c r="K451" s="224"/>
      <c r="L451" s="224"/>
      <c r="M451" s="224"/>
      <c r="N451" s="224"/>
      <c r="O451" s="224"/>
      <c r="P451" s="224"/>
      <c r="Q451" s="224"/>
    </row>
    <row r="452" spans="2:17">
      <c r="B452" s="224"/>
      <c r="C452" s="224"/>
      <c r="D452" s="224"/>
      <c r="E452" s="224"/>
      <c r="F452" s="224"/>
      <c r="G452" s="224"/>
      <c r="H452" s="224"/>
      <c r="I452" s="224"/>
      <c r="J452" s="224"/>
      <c r="K452" s="224"/>
      <c r="L452" s="224"/>
      <c r="M452" s="224"/>
      <c r="N452" s="224"/>
      <c r="O452" s="224"/>
      <c r="P452" s="224"/>
      <c r="Q452" s="224"/>
    </row>
    <row r="453" spans="2:17">
      <c r="B453" s="224"/>
      <c r="C453" s="224"/>
      <c r="D453" s="224"/>
      <c r="E453" s="224"/>
      <c r="F453" s="224"/>
      <c r="G453" s="224"/>
      <c r="H453" s="224"/>
      <c r="I453" s="224"/>
      <c r="J453" s="224"/>
      <c r="K453" s="224"/>
      <c r="L453" s="224"/>
      <c r="M453" s="224"/>
      <c r="N453" s="224"/>
      <c r="O453" s="224"/>
      <c r="P453" s="224"/>
      <c r="Q453" s="224"/>
    </row>
    <row r="454" spans="2:17">
      <c r="B454" s="224"/>
      <c r="C454" s="224"/>
      <c r="D454" s="224"/>
      <c r="E454" s="224"/>
      <c r="F454" s="224"/>
      <c r="G454" s="224"/>
      <c r="H454" s="224"/>
      <c r="I454" s="224"/>
      <c r="J454" s="224"/>
      <c r="K454" s="224"/>
      <c r="L454" s="224"/>
      <c r="M454" s="224"/>
      <c r="N454" s="224"/>
      <c r="O454" s="224"/>
      <c r="P454" s="224"/>
      <c r="Q454" s="224"/>
    </row>
    <row r="455" spans="2:17">
      <c r="B455" s="224"/>
      <c r="C455" s="224"/>
      <c r="D455" s="224"/>
      <c r="E455" s="224"/>
      <c r="F455" s="224"/>
      <c r="G455" s="224"/>
      <c r="H455" s="224"/>
      <c r="I455" s="224"/>
      <c r="J455" s="224"/>
      <c r="K455" s="224"/>
      <c r="L455" s="224"/>
      <c r="M455" s="224"/>
      <c r="N455" s="224"/>
      <c r="O455" s="224"/>
      <c r="P455" s="224"/>
      <c r="Q455" s="224"/>
    </row>
    <row r="456" spans="2:17">
      <c r="B456" s="224"/>
      <c r="C456" s="224"/>
      <c r="D456" s="224"/>
      <c r="E456" s="224"/>
      <c r="F456" s="224"/>
      <c r="G456" s="224"/>
      <c r="H456" s="224"/>
      <c r="I456" s="224"/>
      <c r="J456" s="224"/>
      <c r="K456" s="224"/>
      <c r="L456" s="224"/>
      <c r="M456" s="224"/>
      <c r="N456" s="224"/>
      <c r="O456" s="224"/>
      <c r="P456" s="224"/>
      <c r="Q456" s="224"/>
    </row>
    <row r="457" spans="2:17">
      <c r="B457" s="224"/>
      <c r="C457" s="224"/>
      <c r="D457" s="224"/>
      <c r="E457" s="224"/>
      <c r="F457" s="224"/>
      <c r="G457" s="224"/>
      <c r="H457" s="224"/>
      <c r="I457" s="224"/>
      <c r="J457" s="224"/>
      <c r="K457" s="224"/>
      <c r="L457" s="224"/>
      <c r="M457" s="224"/>
      <c r="N457" s="224"/>
      <c r="O457" s="224"/>
      <c r="P457" s="224"/>
      <c r="Q457" s="224"/>
    </row>
    <row r="458" spans="2:17">
      <c r="B458" s="224"/>
      <c r="C458" s="224"/>
      <c r="D458" s="224"/>
      <c r="E458" s="224"/>
      <c r="F458" s="224"/>
      <c r="G458" s="224"/>
      <c r="H458" s="224"/>
      <c r="I458" s="224"/>
      <c r="J458" s="224"/>
      <c r="K458" s="224"/>
      <c r="L458" s="224"/>
      <c r="M458" s="224"/>
      <c r="N458" s="224"/>
      <c r="O458" s="224"/>
      <c r="P458" s="224"/>
      <c r="Q458" s="224"/>
    </row>
    <row r="459" spans="2:17">
      <c r="B459" s="224"/>
      <c r="C459" s="224"/>
      <c r="D459" s="224"/>
      <c r="E459" s="224"/>
      <c r="F459" s="224"/>
      <c r="G459" s="224"/>
      <c r="H459" s="224"/>
      <c r="I459" s="224"/>
      <c r="J459" s="224"/>
      <c r="K459" s="224"/>
      <c r="L459" s="224"/>
      <c r="M459" s="224"/>
      <c r="N459" s="224"/>
      <c r="O459" s="224"/>
      <c r="P459" s="224"/>
      <c r="Q459" s="224"/>
    </row>
    <row r="460" spans="2:17">
      <c r="B460" s="224"/>
      <c r="C460" s="224"/>
      <c r="D460" s="224"/>
      <c r="E460" s="224"/>
      <c r="F460" s="224"/>
      <c r="G460" s="224"/>
      <c r="H460" s="224"/>
      <c r="I460" s="224"/>
      <c r="J460" s="224"/>
      <c r="K460" s="224"/>
      <c r="L460" s="224"/>
      <c r="M460" s="224"/>
      <c r="N460" s="224"/>
      <c r="O460" s="224"/>
      <c r="P460" s="224"/>
      <c r="Q460" s="224"/>
    </row>
    <row r="461" spans="2:17">
      <c r="B461" s="224"/>
      <c r="C461" s="224"/>
      <c r="D461" s="224"/>
      <c r="E461" s="224"/>
      <c r="F461" s="224"/>
      <c r="G461" s="224"/>
      <c r="H461" s="224"/>
      <c r="I461" s="224"/>
      <c r="J461" s="224"/>
      <c r="K461" s="224"/>
      <c r="L461" s="224"/>
      <c r="M461" s="224"/>
      <c r="N461" s="224"/>
      <c r="O461" s="224"/>
      <c r="P461" s="224"/>
      <c r="Q461" s="224"/>
    </row>
    <row r="462" spans="2:17">
      <c r="B462" s="224"/>
      <c r="C462" s="224"/>
      <c r="D462" s="224"/>
      <c r="E462" s="224"/>
      <c r="F462" s="224"/>
      <c r="G462" s="224"/>
      <c r="H462" s="224"/>
      <c r="I462" s="224"/>
      <c r="J462" s="224"/>
      <c r="K462" s="224"/>
      <c r="L462" s="224"/>
      <c r="M462" s="224"/>
      <c r="N462" s="224"/>
      <c r="O462" s="224"/>
      <c r="P462" s="224"/>
      <c r="Q462" s="224"/>
    </row>
    <row r="463" spans="2:17">
      <c r="B463" s="224"/>
      <c r="C463" s="224"/>
      <c r="D463" s="224"/>
      <c r="E463" s="224"/>
      <c r="F463" s="224"/>
      <c r="G463" s="224"/>
      <c r="H463" s="224"/>
      <c r="I463" s="224"/>
      <c r="J463" s="224"/>
      <c r="K463" s="224"/>
      <c r="L463" s="224"/>
      <c r="M463" s="224"/>
      <c r="N463" s="224"/>
      <c r="O463" s="224"/>
      <c r="P463" s="224"/>
      <c r="Q463" s="224"/>
    </row>
    <row r="464" spans="2:17">
      <c r="B464" s="224"/>
      <c r="C464" s="224"/>
      <c r="D464" s="224"/>
      <c r="E464" s="224"/>
      <c r="F464" s="224"/>
      <c r="G464" s="224"/>
      <c r="H464" s="224"/>
      <c r="I464" s="224"/>
      <c r="J464" s="224"/>
      <c r="K464" s="224"/>
      <c r="L464" s="224"/>
      <c r="M464" s="224"/>
      <c r="N464" s="224"/>
      <c r="O464" s="224"/>
      <c r="P464" s="224"/>
      <c r="Q464" s="224"/>
    </row>
    <row r="465" spans="2:17">
      <c r="B465" s="224"/>
      <c r="C465" s="224"/>
      <c r="D465" s="224"/>
      <c r="E465" s="224"/>
      <c r="F465" s="224"/>
      <c r="G465" s="224"/>
      <c r="H465" s="224"/>
      <c r="I465" s="224"/>
      <c r="J465" s="224"/>
      <c r="K465" s="224"/>
      <c r="L465" s="224"/>
      <c r="M465" s="224"/>
      <c r="N465" s="224"/>
      <c r="O465" s="224"/>
      <c r="P465" s="224"/>
      <c r="Q465" s="224"/>
    </row>
    <row r="466" spans="2:17">
      <c r="B466" s="224"/>
      <c r="C466" s="224"/>
      <c r="D466" s="224"/>
      <c r="E466" s="224"/>
      <c r="F466" s="224"/>
      <c r="G466" s="224"/>
      <c r="H466" s="224"/>
      <c r="I466" s="224"/>
      <c r="J466" s="224"/>
      <c r="K466" s="224"/>
      <c r="L466" s="224"/>
      <c r="M466" s="224"/>
      <c r="N466" s="224"/>
      <c r="O466" s="224"/>
      <c r="P466" s="224"/>
      <c r="Q466" s="224"/>
    </row>
    <row r="467" spans="2:17">
      <c r="B467" s="224"/>
      <c r="C467" s="224"/>
      <c r="D467" s="224"/>
      <c r="E467" s="224"/>
      <c r="F467" s="224"/>
      <c r="G467" s="224"/>
      <c r="H467" s="224"/>
      <c r="I467" s="224"/>
      <c r="J467" s="224"/>
      <c r="K467" s="224"/>
      <c r="L467" s="224"/>
      <c r="M467" s="224"/>
      <c r="N467" s="224"/>
      <c r="O467" s="224"/>
      <c r="P467" s="224"/>
      <c r="Q467" s="224"/>
    </row>
    <row r="468" spans="2:17">
      <c r="B468" s="224"/>
      <c r="C468" s="224"/>
      <c r="D468" s="224"/>
      <c r="E468" s="224"/>
      <c r="F468" s="224"/>
      <c r="G468" s="224"/>
      <c r="H468" s="224"/>
      <c r="I468" s="224"/>
      <c r="J468" s="224"/>
      <c r="K468" s="224"/>
      <c r="L468" s="224"/>
      <c r="M468" s="224"/>
      <c r="N468" s="224"/>
      <c r="O468" s="224"/>
      <c r="P468" s="224"/>
      <c r="Q468" s="224"/>
    </row>
    <row r="469" spans="2:17">
      <c r="B469" s="224"/>
      <c r="C469" s="224"/>
      <c r="D469" s="224"/>
      <c r="E469" s="224"/>
      <c r="F469" s="224"/>
      <c r="G469" s="224"/>
      <c r="H469" s="224"/>
      <c r="I469" s="224"/>
      <c r="J469" s="224"/>
      <c r="K469" s="224"/>
      <c r="L469" s="224"/>
      <c r="M469" s="224"/>
      <c r="N469" s="224"/>
      <c r="O469" s="224"/>
      <c r="P469" s="224"/>
      <c r="Q469" s="224"/>
    </row>
    <row r="470" spans="2:17">
      <c r="B470" s="224"/>
      <c r="C470" s="224"/>
      <c r="D470" s="224"/>
      <c r="E470" s="224"/>
      <c r="F470" s="224"/>
      <c r="G470" s="224"/>
      <c r="H470" s="224"/>
      <c r="I470" s="224"/>
      <c r="J470" s="224"/>
      <c r="K470" s="224"/>
      <c r="L470" s="224"/>
      <c r="M470" s="224"/>
      <c r="N470" s="224"/>
      <c r="O470" s="224"/>
      <c r="P470" s="224"/>
      <c r="Q470" s="224"/>
    </row>
    <row r="471" spans="2:17">
      <c r="B471" s="224"/>
      <c r="C471" s="224"/>
      <c r="D471" s="224"/>
      <c r="E471" s="224"/>
      <c r="F471" s="224"/>
      <c r="G471" s="224"/>
      <c r="H471" s="224"/>
      <c r="I471" s="224"/>
      <c r="J471" s="224"/>
      <c r="K471" s="224"/>
      <c r="L471" s="224"/>
      <c r="M471" s="224"/>
      <c r="N471" s="224"/>
      <c r="O471" s="224"/>
      <c r="P471" s="224"/>
      <c r="Q471" s="224"/>
    </row>
    <row r="472" spans="2:17">
      <c r="B472" s="224"/>
      <c r="C472" s="224"/>
      <c r="D472" s="224"/>
      <c r="E472" s="224"/>
      <c r="F472" s="224"/>
      <c r="G472" s="224"/>
      <c r="H472" s="224"/>
      <c r="I472" s="224"/>
      <c r="J472" s="224"/>
      <c r="K472" s="224"/>
      <c r="L472" s="224"/>
      <c r="M472" s="224"/>
      <c r="N472" s="224"/>
      <c r="O472" s="224"/>
      <c r="P472" s="224"/>
      <c r="Q472" s="224"/>
    </row>
    <row r="473" spans="2:17">
      <c r="B473" s="224"/>
      <c r="C473" s="224"/>
      <c r="D473" s="224"/>
      <c r="E473" s="224"/>
      <c r="F473" s="224"/>
      <c r="G473" s="224"/>
      <c r="H473" s="224"/>
      <c r="I473" s="224"/>
      <c r="J473" s="224"/>
      <c r="K473" s="224"/>
      <c r="L473" s="224"/>
      <c r="M473" s="224"/>
      <c r="N473" s="224"/>
      <c r="O473" s="224"/>
      <c r="P473" s="224"/>
      <c r="Q473" s="224"/>
    </row>
    <row r="474" spans="2:17">
      <c r="B474" s="224"/>
      <c r="C474" s="224"/>
      <c r="D474" s="224"/>
      <c r="E474" s="224"/>
      <c r="F474" s="224"/>
      <c r="G474" s="224"/>
      <c r="H474" s="224"/>
      <c r="I474" s="224"/>
      <c r="J474" s="224"/>
      <c r="K474" s="224"/>
      <c r="L474" s="224"/>
      <c r="M474" s="224"/>
      <c r="N474" s="224"/>
      <c r="O474" s="224"/>
      <c r="P474" s="224"/>
      <c r="Q474" s="224"/>
    </row>
    <row r="475" spans="2:17">
      <c r="B475" s="224"/>
      <c r="C475" s="224"/>
      <c r="D475" s="224"/>
      <c r="E475" s="224"/>
      <c r="F475" s="224"/>
      <c r="G475" s="224"/>
      <c r="H475" s="224"/>
      <c r="I475" s="224"/>
      <c r="J475" s="224"/>
      <c r="K475" s="224"/>
      <c r="L475" s="224"/>
      <c r="M475" s="224"/>
      <c r="N475" s="224"/>
      <c r="O475" s="224"/>
      <c r="P475" s="224"/>
      <c r="Q475" s="224"/>
    </row>
    <row r="476" spans="2:17">
      <c r="B476" s="224"/>
      <c r="C476" s="224"/>
      <c r="D476" s="224"/>
      <c r="E476" s="224"/>
      <c r="F476" s="224"/>
      <c r="G476" s="224"/>
      <c r="H476" s="224"/>
      <c r="I476" s="224"/>
      <c r="J476" s="224"/>
      <c r="K476" s="224"/>
      <c r="L476" s="224"/>
      <c r="M476" s="224"/>
      <c r="N476" s="224"/>
      <c r="O476" s="224"/>
      <c r="P476" s="224"/>
      <c r="Q476" s="224"/>
    </row>
    <row r="477" spans="2:17">
      <c r="B477" s="224"/>
      <c r="C477" s="224"/>
      <c r="D477" s="224"/>
      <c r="E477" s="224"/>
      <c r="F477" s="224"/>
      <c r="G477" s="224"/>
      <c r="H477" s="224"/>
      <c r="I477" s="224"/>
      <c r="J477" s="224"/>
      <c r="K477" s="224"/>
      <c r="L477" s="224"/>
      <c r="M477" s="224"/>
      <c r="N477" s="224"/>
      <c r="O477" s="224"/>
      <c r="P477" s="224"/>
      <c r="Q477" s="224"/>
    </row>
    <row r="478" spans="2:17">
      <c r="B478" s="224"/>
      <c r="C478" s="224"/>
      <c r="D478" s="224"/>
      <c r="E478" s="224"/>
      <c r="F478" s="224"/>
      <c r="G478" s="224"/>
      <c r="H478" s="224"/>
      <c r="I478" s="224"/>
      <c r="J478" s="224"/>
      <c r="K478" s="224"/>
      <c r="L478" s="224"/>
      <c r="M478" s="224"/>
      <c r="N478" s="224"/>
      <c r="O478" s="224"/>
      <c r="P478" s="224"/>
      <c r="Q478" s="224"/>
    </row>
    <row r="479" spans="2:17">
      <c r="B479" s="224"/>
      <c r="C479" s="224"/>
      <c r="D479" s="224"/>
      <c r="E479" s="224"/>
      <c r="F479" s="224"/>
      <c r="G479" s="224"/>
      <c r="H479" s="224"/>
      <c r="I479" s="224"/>
      <c r="J479" s="224"/>
      <c r="K479" s="224"/>
      <c r="L479" s="224"/>
      <c r="M479" s="224"/>
      <c r="N479" s="224"/>
      <c r="O479" s="224"/>
      <c r="P479" s="224"/>
      <c r="Q479" s="224"/>
    </row>
    <row r="480" spans="2:17">
      <c r="B480" s="224"/>
      <c r="C480" s="224"/>
      <c r="D480" s="224"/>
      <c r="E480" s="224"/>
      <c r="F480" s="224"/>
      <c r="G480" s="224"/>
      <c r="H480" s="224"/>
      <c r="I480" s="224"/>
      <c r="J480" s="224"/>
      <c r="K480" s="224"/>
      <c r="L480" s="224"/>
      <c r="M480" s="224"/>
      <c r="N480" s="224"/>
      <c r="O480" s="224"/>
      <c r="P480" s="224"/>
      <c r="Q480" s="224"/>
    </row>
    <row r="481" spans="2:17">
      <c r="B481" s="224"/>
      <c r="C481" s="224"/>
      <c r="D481" s="224"/>
      <c r="E481" s="224"/>
      <c r="F481" s="224"/>
      <c r="G481" s="224"/>
      <c r="H481" s="224"/>
      <c r="I481" s="224"/>
      <c r="J481" s="224"/>
      <c r="K481" s="224"/>
      <c r="L481" s="224"/>
      <c r="M481" s="224"/>
      <c r="N481" s="224"/>
      <c r="O481" s="224"/>
      <c r="P481" s="224"/>
      <c r="Q481" s="224"/>
    </row>
    <row r="482" spans="2:17">
      <c r="B482" s="224"/>
      <c r="C482" s="224"/>
      <c r="D482" s="224"/>
      <c r="E482" s="224"/>
      <c r="F482" s="224"/>
      <c r="G482" s="224"/>
      <c r="H482" s="224"/>
      <c r="I482" s="224"/>
      <c r="J482" s="224"/>
      <c r="K482" s="224"/>
      <c r="L482" s="224"/>
      <c r="M482" s="224"/>
      <c r="N482" s="224"/>
      <c r="O482" s="224"/>
      <c r="P482" s="224"/>
      <c r="Q482" s="224"/>
    </row>
    <row r="483" spans="2:17">
      <c r="B483" s="224"/>
      <c r="C483" s="224"/>
      <c r="D483" s="224"/>
      <c r="E483" s="224"/>
      <c r="F483" s="224"/>
      <c r="G483" s="224"/>
      <c r="H483" s="224"/>
      <c r="I483" s="224"/>
      <c r="J483" s="224"/>
      <c r="K483" s="224"/>
      <c r="L483" s="224"/>
      <c r="M483" s="224"/>
      <c r="N483" s="224"/>
      <c r="O483" s="224"/>
      <c r="P483" s="224"/>
      <c r="Q483" s="224"/>
    </row>
    <row r="484" spans="2:17">
      <c r="B484" s="224"/>
      <c r="C484" s="224"/>
      <c r="D484" s="224"/>
      <c r="E484" s="224"/>
      <c r="F484" s="224"/>
      <c r="G484" s="224"/>
      <c r="H484" s="224"/>
      <c r="I484" s="224"/>
      <c r="J484" s="224"/>
      <c r="K484" s="224"/>
      <c r="L484" s="224"/>
      <c r="M484" s="224"/>
      <c r="N484" s="224"/>
      <c r="O484" s="224"/>
      <c r="P484" s="224"/>
      <c r="Q484" s="224"/>
    </row>
    <row r="485" spans="2:17">
      <c r="B485" s="224"/>
      <c r="C485" s="224"/>
      <c r="D485" s="224"/>
      <c r="E485" s="224"/>
      <c r="F485" s="224"/>
      <c r="G485" s="224"/>
      <c r="H485" s="224"/>
      <c r="I485" s="224"/>
      <c r="J485" s="224"/>
      <c r="K485" s="224"/>
      <c r="L485" s="224"/>
      <c r="M485" s="224"/>
      <c r="N485" s="224"/>
      <c r="O485" s="224"/>
      <c r="P485" s="224"/>
      <c r="Q485" s="224"/>
    </row>
    <row r="486" spans="2:17">
      <c r="B486" s="224"/>
      <c r="C486" s="224"/>
      <c r="D486" s="224"/>
      <c r="E486" s="224"/>
      <c r="F486" s="224"/>
      <c r="G486" s="224"/>
      <c r="H486" s="224"/>
      <c r="I486" s="224"/>
      <c r="J486" s="224"/>
      <c r="K486" s="224"/>
      <c r="L486" s="224"/>
      <c r="M486" s="224"/>
      <c r="N486" s="224"/>
      <c r="O486" s="224"/>
      <c r="P486" s="224"/>
      <c r="Q486" s="224"/>
    </row>
    <row r="487" spans="2:17">
      <c r="B487" s="224"/>
      <c r="C487" s="224"/>
      <c r="D487" s="224"/>
      <c r="E487" s="224"/>
      <c r="F487" s="224"/>
      <c r="G487" s="224"/>
      <c r="H487" s="224"/>
      <c r="I487" s="224"/>
      <c r="J487" s="224"/>
      <c r="K487" s="224"/>
      <c r="L487" s="224"/>
      <c r="M487" s="224"/>
      <c r="N487" s="224"/>
      <c r="O487" s="224"/>
      <c r="P487" s="224"/>
      <c r="Q487" s="224"/>
    </row>
    <row r="488" spans="2:17">
      <c r="B488" s="224"/>
      <c r="C488" s="224"/>
      <c r="D488" s="224"/>
      <c r="E488" s="224"/>
      <c r="F488" s="224"/>
      <c r="G488" s="224"/>
      <c r="H488" s="224"/>
      <c r="I488" s="224"/>
      <c r="J488" s="224"/>
      <c r="K488" s="224"/>
      <c r="L488" s="224"/>
      <c r="M488" s="224"/>
      <c r="N488" s="224"/>
      <c r="O488" s="224"/>
      <c r="P488" s="224"/>
      <c r="Q488" s="224"/>
    </row>
    <row r="489" spans="2:17">
      <c r="B489" s="224"/>
      <c r="C489" s="224"/>
      <c r="D489" s="224"/>
      <c r="E489" s="224"/>
      <c r="F489" s="224"/>
      <c r="G489" s="224"/>
      <c r="H489" s="224"/>
      <c r="I489" s="224"/>
      <c r="J489" s="224"/>
      <c r="K489" s="224"/>
      <c r="L489" s="224"/>
      <c r="M489" s="224"/>
      <c r="N489" s="224"/>
      <c r="O489" s="224"/>
      <c r="P489" s="224"/>
      <c r="Q489" s="224"/>
    </row>
    <row r="490" spans="2:17">
      <c r="B490" s="224"/>
      <c r="C490" s="224"/>
      <c r="D490" s="224"/>
      <c r="E490" s="224"/>
      <c r="F490" s="224"/>
      <c r="G490" s="224"/>
      <c r="H490" s="224"/>
      <c r="I490" s="224"/>
      <c r="J490" s="224"/>
      <c r="K490" s="224"/>
      <c r="L490" s="224"/>
      <c r="M490" s="224"/>
      <c r="N490" s="224"/>
      <c r="O490" s="224"/>
      <c r="P490" s="224"/>
      <c r="Q490" s="224"/>
    </row>
    <row r="491" spans="2:17">
      <c r="B491" s="224"/>
      <c r="C491" s="224"/>
      <c r="D491" s="224"/>
      <c r="E491" s="224"/>
      <c r="F491" s="224"/>
      <c r="G491" s="224"/>
      <c r="H491" s="224"/>
      <c r="I491" s="224"/>
      <c r="J491" s="224"/>
      <c r="K491" s="224"/>
      <c r="L491" s="224"/>
      <c r="M491" s="224"/>
      <c r="N491" s="224"/>
      <c r="O491" s="224"/>
      <c r="P491" s="224"/>
      <c r="Q491" s="224"/>
    </row>
    <row r="492" spans="2:17">
      <c r="B492" s="224"/>
      <c r="C492" s="224"/>
      <c r="D492" s="224"/>
      <c r="E492" s="224"/>
      <c r="F492" s="224"/>
      <c r="G492" s="224"/>
      <c r="H492" s="224"/>
      <c r="I492" s="224"/>
      <c r="J492" s="224"/>
      <c r="K492" s="224"/>
      <c r="L492" s="224"/>
      <c r="M492" s="224"/>
      <c r="N492" s="224"/>
      <c r="O492" s="224"/>
      <c r="P492" s="224"/>
      <c r="Q492" s="224"/>
    </row>
    <row r="493" spans="2:17">
      <c r="B493" s="224"/>
      <c r="C493" s="224"/>
      <c r="D493" s="224"/>
      <c r="E493" s="224"/>
      <c r="F493" s="224"/>
      <c r="G493" s="224"/>
      <c r="H493" s="224"/>
      <c r="I493" s="224"/>
      <c r="J493" s="224"/>
      <c r="K493" s="224"/>
      <c r="L493" s="224"/>
      <c r="M493" s="224"/>
      <c r="N493" s="224"/>
      <c r="O493" s="224"/>
      <c r="P493" s="224"/>
      <c r="Q493" s="224"/>
    </row>
    <row r="494" spans="2:17">
      <c r="B494" s="224"/>
      <c r="C494" s="224"/>
      <c r="D494" s="224"/>
      <c r="E494" s="224"/>
      <c r="F494" s="224"/>
      <c r="G494" s="224"/>
      <c r="H494" s="224"/>
      <c r="I494" s="224"/>
      <c r="J494" s="224"/>
      <c r="K494" s="224"/>
      <c r="L494" s="224"/>
      <c r="M494" s="224"/>
      <c r="N494" s="224"/>
      <c r="O494" s="224"/>
      <c r="P494" s="224"/>
      <c r="Q494" s="224"/>
    </row>
    <row r="495" spans="2:17">
      <c r="B495" s="224"/>
      <c r="C495" s="224"/>
      <c r="D495" s="224"/>
      <c r="E495" s="224"/>
      <c r="F495" s="224"/>
      <c r="G495" s="224"/>
      <c r="H495" s="224"/>
      <c r="I495" s="224"/>
      <c r="J495" s="224"/>
      <c r="K495" s="224"/>
      <c r="L495" s="224"/>
      <c r="M495" s="224"/>
      <c r="N495" s="224"/>
      <c r="O495" s="224"/>
      <c r="P495" s="224"/>
      <c r="Q495" s="224"/>
    </row>
    <row r="496" spans="2:17">
      <c r="B496" s="224"/>
      <c r="C496" s="224"/>
      <c r="D496" s="224"/>
      <c r="E496" s="224"/>
      <c r="F496" s="224"/>
      <c r="G496" s="224"/>
      <c r="H496" s="224"/>
      <c r="I496" s="224"/>
      <c r="J496" s="224"/>
      <c r="K496" s="224"/>
      <c r="L496" s="224"/>
      <c r="M496" s="224"/>
      <c r="N496" s="224"/>
      <c r="O496" s="224"/>
      <c r="P496" s="224"/>
      <c r="Q496" s="224"/>
    </row>
    <row r="497" spans="2:17">
      <c r="B497" s="224"/>
      <c r="C497" s="224"/>
      <c r="D497" s="224"/>
      <c r="E497" s="224"/>
      <c r="F497" s="224"/>
      <c r="G497" s="224"/>
      <c r="H497" s="224"/>
      <c r="I497" s="224"/>
      <c r="J497" s="224"/>
      <c r="K497" s="224"/>
      <c r="L497" s="224"/>
      <c r="M497" s="224"/>
      <c r="N497" s="224"/>
      <c r="O497" s="224"/>
      <c r="P497" s="224"/>
      <c r="Q497" s="224"/>
    </row>
    <row r="498" spans="2:17">
      <c r="B498" s="224"/>
      <c r="C498" s="224"/>
      <c r="D498" s="224"/>
      <c r="E498" s="224"/>
      <c r="F498" s="224"/>
      <c r="G498" s="224"/>
      <c r="H498" s="224"/>
      <c r="I498" s="224"/>
      <c r="J498" s="224"/>
      <c r="K498" s="224"/>
      <c r="L498" s="224"/>
      <c r="M498" s="224"/>
      <c r="N498" s="224"/>
      <c r="O498" s="224"/>
      <c r="P498" s="224"/>
      <c r="Q498" s="224"/>
    </row>
    <row r="499" spans="2:17">
      <c r="B499" s="224"/>
      <c r="C499" s="224"/>
      <c r="D499" s="224"/>
      <c r="E499" s="224"/>
      <c r="F499" s="224"/>
      <c r="G499" s="224"/>
      <c r="H499" s="224"/>
      <c r="I499" s="224"/>
      <c r="J499" s="224"/>
      <c r="K499" s="224"/>
      <c r="L499" s="224"/>
      <c r="M499" s="224"/>
      <c r="N499" s="224"/>
      <c r="O499" s="224"/>
      <c r="P499" s="224"/>
      <c r="Q499" s="224"/>
    </row>
    <row r="500" spans="2:17">
      <c r="B500" s="224"/>
      <c r="C500" s="224"/>
      <c r="D500" s="224"/>
      <c r="E500" s="224"/>
      <c r="F500" s="224"/>
      <c r="G500" s="224"/>
      <c r="H500" s="224"/>
      <c r="I500" s="224"/>
      <c r="J500" s="224"/>
      <c r="K500" s="224"/>
      <c r="L500" s="224"/>
      <c r="M500" s="224"/>
      <c r="N500" s="224"/>
      <c r="O500" s="224"/>
      <c r="P500" s="224"/>
      <c r="Q500" s="224"/>
    </row>
    <row r="501" spans="2:17">
      <c r="B501" s="224"/>
      <c r="C501" s="224"/>
      <c r="D501" s="224"/>
      <c r="E501" s="224"/>
      <c r="F501" s="224"/>
      <c r="G501" s="224"/>
      <c r="H501" s="224"/>
      <c r="I501" s="224"/>
      <c r="J501" s="224"/>
      <c r="K501" s="224"/>
      <c r="L501" s="224"/>
      <c r="M501" s="224"/>
      <c r="N501" s="224"/>
      <c r="O501" s="224"/>
      <c r="P501" s="224"/>
      <c r="Q501" s="224"/>
    </row>
    <row r="502" spans="2:17">
      <c r="B502" s="224"/>
      <c r="C502" s="224"/>
      <c r="D502" s="224"/>
      <c r="E502" s="224"/>
      <c r="F502" s="224"/>
      <c r="G502" s="224"/>
      <c r="H502" s="224"/>
      <c r="I502" s="224"/>
      <c r="J502" s="224"/>
      <c r="K502" s="224"/>
      <c r="L502" s="224"/>
      <c r="M502" s="224"/>
      <c r="N502" s="224"/>
      <c r="O502" s="224"/>
      <c r="P502" s="224"/>
      <c r="Q502" s="224"/>
    </row>
    <row r="503" spans="2:17">
      <c r="B503" s="224"/>
      <c r="C503" s="224"/>
      <c r="D503" s="224"/>
      <c r="E503" s="224"/>
      <c r="F503" s="224"/>
      <c r="G503" s="224"/>
      <c r="H503" s="224"/>
      <c r="I503" s="224"/>
      <c r="J503" s="224"/>
      <c r="K503" s="224"/>
      <c r="L503" s="224"/>
      <c r="M503" s="224"/>
      <c r="N503" s="224"/>
      <c r="O503" s="224"/>
      <c r="P503" s="224"/>
      <c r="Q503" s="224"/>
    </row>
    <row r="504" spans="2:17">
      <c r="B504" s="224"/>
      <c r="C504" s="224"/>
      <c r="D504" s="224"/>
      <c r="E504" s="224"/>
      <c r="F504" s="224"/>
      <c r="G504" s="224"/>
      <c r="H504" s="224"/>
      <c r="I504" s="224"/>
      <c r="J504" s="224"/>
      <c r="K504" s="224"/>
      <c r="L504" s="224"/>
      <c r="M504" s="224"/>
      <c r="N504" s="224"/>
      <c r="O504" s="224"/>
      <c r="P504" s="224"/>
      <c r="Q504" s="224"/>
    </row>
    <row r="505" spans="2:17">
      <c r="B505" s="224"/>
      <c r="C505" s="224"/>
      <c r="D505" s="224"/>
      <c r="E505" s="224"/>
      <c r="F505" s="224"/>
      <c r="G505" s="224"/>
      <c r="H505" s="224"/>
      <c r="I505" s="224"/>
      <c r="J505" s="224"/>
      <c r="K505" s="224"/>
      <c r="L505" s="224"/>
      <c r="M505" s="224"/>
      <c r="N505" s="224"/>
      <c r="O505" s="224"/>
      <c r="P505" s="224"/>
      <c r="Q505" s="224"/>
    </row>
    <row r="506" spans="2:17">
      <c r="B506" s="224"/>
      <c r="C506" s="224"/>
      <c r="D506" s="224"/>
      <c r="E506" s="224"/>
      <c r="F506" s="224"/>
      <c r="G506" s="224"/>
      <c r="H506" s="224"/>
      <c r="I506" s="224"/>
      <c r="J506" s="224"/>
      <c r="K506" s="224"/>
      <c r="L506" s="224"/>
      <c r="M506" s="224"/>
      <c r="N506" s="224"/>
      <c r="O506" s="224"/>
      <c r="P506" s="224"/>
      <c r="Q506" s="224"/>
    </row>
    <row r="507" spans="2:17">
      <c r="B507" s="224"/>
      <c r="C507" s="224"/>
      <c r="D507" s="224"/>
      <c r="E507" s="224"/>
      <c r="F507" s="224"/>
      <c r="G507" s="224"/>
      <c r="H507" s="224"/>
      <c r="I507" s="224"/>
      <c r="J507" s="224"/>
      <c r="K507" s="224"/>
      <c r="L507" s="224"/>
      <c r="M507" s="224"/>
      <c r="N507" s="224"/>
      <c r="O507" s="224"/>
      <c r="P507" s="224"/>
      <c r="Q507" s="224"/>
    </row>
    <row r="508" spans="2:17">
      <c r="B508" s="224"/>
      <c r="C508" s="224"/>
      <c r="D508" s="224"/>
      <c r="E508" s="224"/>
      <c r="F508" s="224"/>
      <c r="G508" s="224"/>
      <c r="H508" s="224"/>
      <c r="I508" s="224"/>
      <c r="J508" s="224"/>
      <c r="K508" s="224"/>
      <c r="L508" s="224"/>
      <c r="M508" s="224"/>
      <c r="N508" s="224"/>
      <c r="O508" s="224"/>
      <c r="P508" s="224"/>
      <c r="Q508" s="224"/>
    </row>
    <row r="509" spans="2:17">
      <c r="B509" s="224"/>
      <c r="C509" s="224"/>
      <c r="D509" s="224"/>
      <c r="E509" s="224"/>
      <c r="F509" s="224"/>
      <c r="G509" s="224"/>
      <c r="H509" s="224"/>
      <c r="I509" s="224"/>
      <c r="J509" s="224"/>
      <c r="K509" s="224"/>
      <c r="L509" s="224"/>
      <c r="M509" s="224"/>
      <c r="N509" s="224"/>
      <c r="O509" s="224"/>
      <c r="P509" s="224"/>
      <c r="Q509" s="224"/>
    </row>
    <row r="510" spans="2:17">
      <c r="B510" s="224"/>
      <c r="C510" s="224"/>
      <c r="D510" s="224"/>
      <c r="E510" s="224"/>
      <c r="F510" s="224"/>
      <c r="G510" s="224"/>
      <c r="H510" s="224"/>
      <c r="I510" s="224"/>
      <c r="J510" s="224"/>
      <c r="K510" s="224"/>
      <c r="L510" s="224"/>
      <c r="M510" s="224"/>
      <c r="N510" s="224"/>
      <c r="O510" s="224"/>
      <c r="P510" s="224"/>
      <c r="Q510" s="224"/>
    </row>
    <row r="511" spans="2:17">
      <c r="B511" s="224"/>
      <c r="C511" s="224"/>
      <c r="D511" s="224"/>
      <c r="E511" s="224"/>
      <c r="F511" s="224"/>
      <c r="G511" s="224"/>
      <c r="H511" s="224"/>
      <c r="I511" s="224"/>
      <c r="J511" s="224"/>
      <c r="K511" s="224"/>
      <c r="L511" s="224"/>
      <c r="M511" s="224"/>
      <c r="N511" s="224"/>
      <c r="O511" s="224"/>
      <c r="P511" s="224"/>
      <c r="Q511" s="224"/>
    </row>
    <row r="512" spans="2:17">
      <c r="B512" s="224"/>
      <c r="C512" s="224"/>
      <c r="D512" s="224"/>
      <c r="E512" s="224"/>
      <c r="F512" s="224"/>
      <c r="G512" s="224"/>
      <c r="H512" s="224"/>
      <c r="I512" s="224"/>
      <c r="J512" s="224"/>
      <c r="K512" s="224"/>
      <c r="L512" s="224"/>
      <c r="M512" s="224"/>
      <c r="N512" s="224"/>
      <c r="O512" s="224"/>
      <c r="P512" s="224"/>
      <c r="Q512" s="224"/>
    </row>
    <row r="513" spans="2:17">
      <c r="B513" s="224"/>
      <c r="C513" s="224"/>
      <c r="D513" s="224"/>
      <c r="E513" s="224"/>
      <c r="F513" s="224"/>
      <c r="G513" s="224"/>
      <c r="H513" s="224"/>
      <c r="I513" s="224"/>
      <c r="J513" s="224"/>
      <c r="K513" s="224"/>
      <c r="L513" s="224"/>
      <c r="M513" s="224"/>
      <c r="N513" s="224"/>
      <c r="O513" s="224"/>
      <c r="P513" s="224"/>
      <c r="Q513" s="224"/>
    </row>
    <row r="514" spans="2:17">
      <c r="B514" s="224"/>
      <c r="C514" s="224"/>
      <c r="D514" s="224"/>
      <c r="E514" s="224"/>
      <c r="F514" s="224"/>
      <c r="G514" s="224"/>
      <c r="H514" s="224"/>
      <c r="I514" s="224"/>
      <c r="J514" s="224"/>
      <c r="K514" s="224"/>
      <c r="L514" s="224"/>
      <c r="M514" s="224"/>
      <c r="N514" s="224"/>
      <c r="O514" s="224"/>
      <c r="P514" s="224"/>
      <c r="Q514" s="224"/>
    </row>
    <row r="515" spans="2:17">
      <c r="B515" s="224"/>
      <c r="C515" s="224"/>
      <c r="D515" s="224"/>
      <c r="E515" s="224"/>
      <c r="F515" s="224"/>
      <c r="G515" s="224"/>
      <c r="H515" s="224"/>
      <c r="I515" s="224"/>
      <c r="J515" s="224"/>
      <c r="K515" s="224"/>
      <c r="L515" s="224"/>
      <c r="M515" s="224"/>
      <c r="N515" s="224"/>
      <c r="O515" s="224"/>
      <c r="P515" s="224"/>
      <c r="Q515" s="224"/>
    </row>
    <row r="516" spans="2:17">
      <c r="B516" s="224"/>
      <c r="C516" s="224"/>
      <c r="D516" s="224"/>
      <c r="E516" s="224"/>
      <c r="F516" s="224"/>
      <c r="G516" s="224"/>
      <c r="H516" s="224"/>
      <c r="I516" s="224"/>
      <c r="J516" s="224"/>
      <c r="K516" s="224"/>
      <c r="L516" s="224"/>
      <c r="M516" s="224"/>
      <c r="N516" s="224"/>
      <c r="O516" s="224"/>
      <c r="P516" s="224"/>
      <c r="Q516" s="224"/>
    </row>
    <row r="517" spans="2:17">
      <c r="B517" s="224"/>
      <c r="C517" s="224"/>
      <c r="D517" s="224"/>
      <c r="E517" s="224"/>
      <c r="F517" s="224"/>
      <c r="G517" s="224"/>
      <c r="H517" s="224"/>
      <c r="I517" s="224"/>
      <c r="J517" s="224"/>
      <c r="K517" s="224"/>
      <c r="L517" s="224"/>
      <c r="M517" s="224"/>
      <c r="N517" s="224"/>
      <c r="O517" s="224"/>
      <c r="P517" s="224"/>
      <c r="Q517" s="224"/>
    </row>
    <row r="518" spans="2:17">
      <c r="B518" s="224"/>
      <c r="C518" s="224"/>
      <c r="D518" s="224"/>
      <c r="E518" s="224"/>
      <c r="F518" s="224"/>
      <c r="G518" s="224"/>
      <c r="H518" s="224"/>
      <c r="I518" s="224"/>
      <c r="J518" s="224"/>
      <c r="K518" s="224"/>
      <c r="L518" s="224"/>
      <c r="M518" s="224"/>
      <c r="N518" s="224"/>
      <c r="O518" s="224"/>
      <c r="P518" s="224"/>
      <c r="Q518" s="224"/>
    </row>
    <row r="519" spans="2:17">
      <c r="B519" s="224"/>
      <c r="C519" s="224"/>
      <c r="D519" s="224"/>
      <c r="E519" s="224"/>
      <c r="F519" s="224"/>
      <c r="G519" s="224"/>
      <c r="H519" s="224"/>
      <c r="I519" s="224"/>
      <c r="J519" s="224"/>
      <c r="K519" s="224"/>
      <c r="L519" s="224"/>
      <c r="M519" s="224"/>
      <c r="N519" s="224"/>
      <c r="O519" s="224"/>
      <c r="P519" s="224"/>
      <c r="Q519" s="224"/>
    </row>
    <row r="520" spans="2:17">
      <c r="B520" s="224"/>
      <c r="C520" s="224"/>
      <c r="D520" s="224"/>
      <c r="E520" s="224"/>
      <c r="F520" s="224"/>
      <c r="G520" s="224"/>
      <c r="H520" s="224"/>
      <c r="I520" s="224"/>
      <c r="J520" s="224"/>
      <c r="K520" s="224"/>
      <c r="L520" s="224"/>
      <c r="M520" s="224"/>
      <c r="N520" s="224"/>
      <c r="O520" s="224"/>
      <c r="P520" s="224"/>
      <c r="Q520" s="224"/>
    </row>
    <row r="521" spans="2:17">
      <c r="B521" s="224"/>
      <c r="C521" s="224"/>
      <c r="D521" s="224"/>
      <c r="E521" s="224"/>
      <c r="F521" s="224"/>
      <c r="G521" s="224"/>
      <c r="H521" s="224"/>
      <c r="I521" s="224"/>
      <c r="J521" s="224"/>
      <c r="K521" s="224"/>
      <c r="L521" s="224"/>
      <c r="M521" s="224"/>
      <c r="N521" s="224"/>
      <c r="O521" s="224"/>
      <c r="P521" s="224"/>
      <c r="Q521" s="224"/>
    </row>
    <row r="522" spans="2:17">
      <c r="B522" s="224"/>
      <c r="C522" s="224"/>
      <c r="D522" s="224"/>
      <c r="E522" s="224"/>
      <c r="F522" s="224"/>
      <c r="G522" s="224"/>
      <c r="H522" s="224"/>
      <c r="I522" s="224"/>
      <c r="J522" s="224"/>
      <c r="K522" s="224"/>
      <c r="L522" s="224"/>
      <c r="M522" s="224"/>
      <c r="N522" s="224"/>
      <c r="O522" s="224"/>
      <c r="P522" s="224"/>
      <c r="Q522" s="224"/>
    </row>
    <row r="523" spans="2:17">
      <c r="B523" s="224"/>
      <c r="C523" s="224"/>
      <c r="D523" s="224"/>
      <c r="E523" s="224"/>
      <c r="F523" s="224"/>
      <c r="G523" s="224"/>
      <c r="H523" s="224"/>
      <c r="I523" s="224"/>
      <c r="J523" s="224"/>
      <c r="K523" s="224"/>
      <c r="L523" s="224"/>
      <c r="M523" s="224"/>
      <c r="N523" s="224"/>
      <c r="O523" s="224"/>
      <c r="P523" s="224"/>
      <c r="Q523" s="224"/>
    </row>
    <row r="524" spans="2:17">
      <c r="B524" s="224"/>
      <c r="C524" s="224"/>
      <c r="D524" s="224"/>
      <c r="E524" s="224"/>
      <c r="F524" s="224"/>
      <c r="G524" s="224"/>
      <c r="H524" s="224"/>
      <c r="I524" s="224"/>
      <c r="J524" s="224"/>
      <c r="K524" s="224"/>
      <c r="L524" s="224"/>
      <c r="M524" s="224"/>
      <c r="N524" s="224"/>
      <c r="O524" s="224"/>
      <c r="P524" s="224"/>
      <c r="Q524" s="224"/>
    </row>
    <row r="525" spans="2:17">
      <c r="B525" s="224"/>
      <c r="C525" s="224"/>
      <c r="D525" s="224"/>
      <c r="E525" s="224"/>
      <c r="F525" s="224"/>
      <c r="G525" s="224"/>
      <c r="H525" s="224"/>
      <c r="I525" s="224"/>
      <c r="J525" s="224"/>
      <c r="K525" s="224"/>
      <c r="L525" s="224"/>
      <c r="M525" s="224"/>
      <c r="N525" s="224"/>
      <c r="O525" s="224"/>
      <c r="P525" s="224"/>
      <c r="Q525" s="224"/>
    </row>
    <row r="526" spans="2:17">
      <c r="B526" s="224"/>
      <c r="C526" s="224"/>
      <c r="D526" s="224"/>
      <c r="E526" s="224"/>
      <c r="F526" s="224"/>
      <c r="G526" s="224"/>
      <c r="H526" s="224"/>
      <c r="I526" s="224"/>
      <c r="J526" s="224"/>
      <c r="K526" s="224"/>
      <c r="L526" s="224"/>
      <c r="M526" s="224"/>
      <c r="N526" s="224"/>
      <c r="O526" s="224"/>
      <c r="P526" s="224"/>
      <c r="Q526" s="224"/>
    </row>
    <row r="527" spans="2:17">
      <c r="B527" s="224"/>
      <c r="C527" s="224"/>
      <c r="D527" s="224"/>
      <c r="E527" s="224"/>
      <c r="F527" s="224"/>
      <c r="G527" s="224"/>
      <c r="H527" s="224"/>
      <c r="I527" s="224"/>
      <c r="J527" s="224"/>
      <c r="K527" s="224"/>
      <c r="L527" s="224"/>
      <c r="M527" s="224"/>
      <c r="N527" s="224"/>
      <c r="O527" s="224"/>
      <c r="P527" s="224"/>
      <c r="Q527" s="224"/>
    </row>
    <row r="528" spans="2:17">
      <c r="B528" s="224"/>
      <c r="C528" s="224"/>
      <c r="D528" s="224"/>
      <c r="E528" s="224"/>
      <c r="F528" s="224"/>
      <c r="G528" s="224"/>
      <c r="H528" s="224"/>
      <c r="I528" s="224"/>
      <c r="J528" s="224"/>
      <c r="K528" s="224"/>
      <c r="L528" s="224"/>
      <c r="M528" s="224"/>
      <c r="N528" s="224"/>
      <c r="O528" s="224"/>
      <c r="P528" s="224"/>
      <c r="Q528" s="224"/>
    </row>
    <row r="529" spans="2:17">
      <c r="B529" s="224"/>
      <c r="C529" s="224"/>
      <c r="D529" s="224"/>
      <c r="E529" s="224"/>
      <c r="F529" s="224"/>
      <c r="G529" s="224"/>
      <c r="H529" s="224"/>
      <c r="I529" s="224"/>
      <c r="J529" s="224"/>
      <c r="K529" s="224"/>
      <c r="L529" s="224"/>
      <c r="M529" s="224"/>
      <c r="N529" s="224"/>
      <c r="O529" s="224"/>
      <c r="P529" s="224"/>
      <c r="Q529" s="224"/>
    </row>
    <row r="530" spans="2:17">
      <c r="B530" s="224"/>
      <c r="C530" s="224"/>
      <c r="D530" s="224"/>
      <c r="E530" s="224"/>
      <c r="F530" s="224"/>
      <c r="G530" s="224"/>
      <c r="H530" s="224"/>
      <c r="I530" s="224"/>
      <c r="J530" s="224"/>
      <c r="K530" s="224"/>
      <c r="L530" s="224"/>
      <c r="M530" s="224"/>
      <c r="N530" s="224"/>
      <c r="O530" s="224"/>
      <c r="P530" s="224"/>
      <c r="Q530" s="224"/>
    </row>
    <row r="531" spans="2:17">
      <c r="B531" s="224"/>
      <c r="C531" s="224"/>
      <c r="D531" s="224"/>
      <c r="E531" s="224"/>
      <c r="F531" s="224"/>
      <c r="G531" s="224"/>
      <c r="H531" s="224"/>
      <c r="I531" s="224"/>
      <c r="J531" s="224"/>
      <c r="K531" s="224"/>
      <c r="L531" s="224"/>
      <c r="M531" s="224"/>
      <c r="N531" s="224"/>
      <c r="O531" s="224"/>
      <c r="P531" s="224"/>
      <c r="Q531" s="224"/>
    </row>
    <row r="532" spans="2:17">
      <c r="B532" s="224"/>
      <c r="C532" s="224"/>
      <c r="D532" s="224"/>
      <c r="E532" s="224"/>
      <c r="F532" s="224"/>
      <c r="G532" s="224"/>
      <c r="H532" s="224"/>
      <c r="I532" s="224"/>
      <c r="J532" s="224"/>
      <c r="K532" s="224"/>
      <c r="L532" s="224"/>
      <c r="M532" s="224"/>
      <c r="N532" s="224"/>
      <c r="O532" s="224"/>
      <c r="P532" s="224"/>
      <c r="Q532" s="224"/>
    </row>
    <row r="533" spans="2:17">
      <c r="B533" s="224"/>
      <c r="C533" s="224"/>
      <c r="D533" s="224"/>
      <c r="E533" s="224"/>
      <c r="F533" s="224"/>
      <c r="G533" s="224"/>
      <c r="H533" s="224"/>
      <c r="I533" s="224"/>
      <c r="J533" s="224"/>
      <c r="K533" s="224"/>
      <c r="L533" s="224"/>
      <c r="M533" s="224"/>
      <c r="N533" s="224"/>
      <c r="O533" s="224"/>
      <c r="P533" s="224"/>
      <c r="Q533" s="224"/>
    </row>
    <row r="534" spans="2:17">
      <c r="B534" s="224"/>
      <c r="C534" s="224"/>
      <c r="D534" s="224"/>
      <c r="E534" s="224"/>
      <c r="F534" s="224"/>
      <c r="G534" s="224"/>
      <c r="H534" s="224"/>
      <c r="I534" s="224"/>
      <c r="J534" s="224"/>
      <c r="K534" s="224"/>
      <c r="L534" s="224"/>
      <c r="M534" s="224"/>
      <c r="N534" s="224"/>
      <c r="O534" s="224"/>
      <c r="P534" s="224"/>
      <c r="Q534" s="224"/>
    </row>
    <row r="535" spans="2:17">
      <c r="B535" s="224"/>
      <c r="C535" s="224"/>
      <c r="D535" s="224"/>
      <c r="E535" s="224"/>
      <c r="F535" s="224"/>
      <c r="G535" s="224"/>
      <c r="H535" s="224"/>
      <c r="I535" s="224"/>
      <c r="J535" s="224"/>
      <c r="K535" s="224"/>
      <c r="L535" s="224"/>
      <c r="M535" s="224"/>
      <c r="N535" s="224"/>
      <c r="O535" s="224"/>
      <c r="P535" s="224"/>
      <c r="Q535" s="224"/>
    </row>
    <row r="536" spans="2:17">
      <c r="B536" s="224"/>
      <c r="C536" s="224"/>
      <c r="D536" s="224"/>
      <c r="E536" s="224"/>
      <c r="F536" s="224"/>
      <c r="G536" s="224"/>
      <c r="H536" s="224"/>
      <c r="I536" s="224"/>
      <c r="J536" s="224"/>
      <c r="K536" s="224"/>
      <c r="L536" s="224"/>
      <c r="M536" s="224"/>
      <c r="N536" s="224"/>
      <c r="O536" s="224"/>
      <c r="P536" s="224"/>
      <c r="Q536" s="224"/>
    </row>
    <row r="537" spans="2:17">
      <c r="B537" s="224"/>
      <c r="C537" s="224"/>
      <c r="D537" s="224"/>
      <c r="E537" s="224"/>
      <c r="F537" s="224"/>
      <c r="G537" s="224"/>
      <c r="H537" s="224"/>
      <c r="I537" s="224"/>
      <c r="J537" s="224"/>
      <c r="K537" s="224"/>
      <c r="L537" s="224"/>
      <c r="M537" s="224"/>
      <c r="N537" s="224"/>
      <c r="O537" s="224"/>
      <c r="P537" s="224"/>
      <c r="Q537" s="224"/>
    </row>
    <row r="538" spans="2:17">
      <c r="B538" s="224"/>
      <c r="C538" s="224"/>
      <c r="D538" s="224"/>
      <c r="E538" s="224"/>
      <c r="F538" s="224"/>
      <c r="G538" s="224"/>
      <c r="H538" s="224"/>
      <c r="I538" s="224"/>
      <c r="J538" s="224"/>
      <c r="K538" s="224"/>
      <c r="L538" s="224"/>
      <c r="M538" s="224"/>
      <c r="N538" s="224"/>
      <c r="O538" s="224"/>
      <c r="P538" s="224"/>
      <c r="Q538" s="224"/>
    </row>
    <row r="539" spans="2:17">
      <c r="B539" s="224"/>
      <c r="C539" s="224"/>
      <c r="D539" s="224"/>
      <c r="E539" s="224"/>
      <c r="F539" s="224"/>
      <c r="G539" s="224"/>
      <c r="H539" s="224"/>
      <c r="I539" s="224"/>
      <c r="J539" s="224"/>
      <c r="K539" s="224"/>
      <c r="L539" s="224"/>
      <c r="M539" s="224"/>
      <c r="N539" s="224"/>
      <c r="O539" s="224"/>
      <c r="P539" s="224"/>
      <c r="Q539" s="224"/>
    </row>
    <row r="540" spans="2:17">
      <c r="B540" s="224"/>
      <c r="C540" s="224"/>
      <c r="D540" s="224"/>
      <c r="E540" s="224"/>
      <c r="F540" s="224"/>
      <c r="G540" s="224"/>
      <c r="H540" s="224"/>
      <c r="I540" s="224"/>
      <c r="J540" s="224"/>
      <c r="K540" s="224"/>
      <c r="L540" s="224"/>
      <c r="M540" s="224"/>
      <c r="N540" s="224"/>
      <c r="O540" s="224"/>
      <c r="P540" s="224"/>
      <c r="Q540" s="224"/>
    </row>
    <row r="541" spans="2:17">
      <c r="B541" s="224"/>
      <c r="C541" s="224"/>
      <c r="D541" s="224"/>
      <c r="E541" s="224"/>
      <c r="F541" s="224"/>
      <c r="G541" s="224"/>
      <c r="H541" s="224"/>
      <c r="I541" s="224"/>
      <c r="J541" s="224"/>
      <c r="K541" s="224"/>
      <c r="L541" s="224"/>
      <c r="M541" s="224"/>
      <c r="N541" s="224"/>
      <c r="O541" s="224"/>
      <c r="P541" s="224"/>
      <c r="Q541" s="224"/>
    </row>
    <row r="542" spans="2:17">
      <c r="B542" s="224"/>
      <c r="C542" s="224"/>
      <c r="D542" s="224"/>
      <c r="E542" s="224"/>
      <c r="F542" s="224"/>
      <c r="G542" s="224"/>
      <c r="H542" s="224"/>
      <c r="I542" s="224"/>
      <c r="J542" s="224"/>
      <c r="K542" s="224"/>
      <c r="L542" s="224"/>
      <c r="M542" s="224"/>
      <c r="N542" s="224"/>
      <c r="O542" s="224"/>
      <c r="P542" s="224"/>
      <c r="Q542" s="224"/>
    </row>
    <row r="543" spans="2:17">
      <c r="B543" s="224"/>
      <c r="C543" s="224"/>
      <c r="D543" s="224"/>
      <c r="E543" s="224"/>
      <c r="F543" s="224"/>
      <c r="G543" s="224"/>
      <c r="H543" s="224"/>
      <c r="I543" s="224"/>
      <c r="J543" s="224"/>
      <c r="K543" s="224"/>
      <c r="L543" s="224"/>
      <c r="M543" s="224"/>
      <c r="N543" s="224"/>
      <c r="O543" s="224"/>
      <c r="P543" s="224"/>
      <c r="Q543" s="224"/>
    </row>
    <row r="544" spans="2:17">
      <c r="B544" s="224"/>
      <c r="C544" s="224"/>
      <c r="D544" s="224"/>
      <c r="E544" s="224"/>
      <c r="F544" s="224"/>
      <c r="G544" s="224"/>
      <c r="H544" s="224"/>
      <c r="I544" s="224"/>
      <c r="J544" s="224"/>
      <c r="K544" s="224"/>
      <c r="L544" s="224"/>
      <c r="M544" s="224"/>
      <c r="N544" s="224"/>
      <c r="O544" s="224"/>
      <c r="P544" s="224"/>
      <c r="Q544" s="224"/>
    </row>
    <row r="545" spans="2:17">
      <c r="B545" s="224"/>
      <c r="C545" s="224"/>
      <c r="D545" s="224"/>
      <c r="E545" s="224"/>
      <c r="F545" s="224"/>
      <c r="G545" s="224"/>
      <c r="H545" s="224"/>
      <c r="I545" s="224"/>
      <c r="J545" s="224"/>
      <c r="K545" s="224"/>
      <c r="L545" s="224"/>
      <c r="M545" s="224"/>
      <c r="N545" s="224"/>
      <c r="O545" s="224"/>
      <c r="P545" s="224"/>
      <c r="Q545" s="224"/>
    </row>
    <row r="546" spans="2:17">
      <c r="B546" s="224"/>
      <c r="C546" s="224"/>
      <c r="D546" s="224"/>
      <c r="E546" s="224"/>
      <c r="F546" s="224"/>
      <c r="G546" s="224"/>
      <c r="H546" s="224"/>
      <c r="I546" s="224"/>
      <c r="J546" s="224"/>
      <c r="K546" s="224"/>
      <c r="L546" s="224"/>
      <c r="M546" s="224"/>
      <c r="N546" s="224"/>
      <c r="O546" s="224"/>
      <c r="P546" s="224"/>
      <c r="Q546" s="224"/>
    </row>
    <row r="547" spans="2:17">
      <c r="B547" s="224"/>
      <c r="C547" s="224"/>
      <c r="D547" s="224"/>
      <c r="E547" s="224"/>
      <c r="F547" s="224"/>
      <c r="G547" s="224"/>
      <c r="H547" s="224"/>
      <c r="I547" s="224"/>
      <c r="J547" s="224"/>
      <c r="K547" s="224"/>
      <c r="L547" s="224"/>
      <c r="M547" s="224"/>
      <c r="N547" s="224"/>
      <c r="O547" s="224"/>
      <c r="P547" s="224"/>
      <c r="Q547" s="224"/>
    </row>
    <row r="548" spans="2:17">
      <c r="B548" s="224"/>
      <c r="C548" s="224"/>
      <c r="D548" s="224"/>
      <c r="E548" s="224"/>
      <c r="F548" s="224"/>
      <c r="G548" s="224"/>
      <c r="H548" s="224"/>
      <c r="I548" s="224"/>
      <c r="J548" s="224"/>
      <c r="K548" s="224"/>
      <c r="L548" s="224"/>
      <c r="M548" s="224"/>
      <c r="N548" s="224"/>
      <c r="O548" s="224"/>
      <c r="P548" s="224"/>
      <c r="Q548" s="224"/>
    </row>
    <row r="549" spans="2:17">
      <c r="B549" s="224"/>
      <c r="C549" s="224"/>
      <c r="D549" s="224"/>
      <c r="E549" s="224"/>
      <c r="F549" s="224"/>
      <c r="G549" s="224"/>
      <c r="H549" s="224"/>
      <c r="I549" s="224"/>
      <c r="J549" s="224"/>
      <c r="K549" s="224"/>
      <c r="L549" s="224"/>
      <c r="M549" s="224"/>
      <c r="N549" s="224"/>
      <c r="O549" s="224"/>
      <c r="P549" s="224"/>
      <c r="Q549" s="224"/>
    </row>
    <row r="550" spans="2:17">
      <c r="B550" s="224"/>
      <c r="C550" s="224"/>
      <c r="D550" s="224"/>
      <c r="E550" s="224"/>
      <c r="F550" s="224"/>
      <c r="G550" s="224"/>
      <c r="H550" s="224"/>
      <c r="I550" s="224"/>
      <c r="J550" s="224"/>
      <c r="K550" s="224"/>
      <c r="L550" s="224"/>
      <c r="M550" s="224"/>
      <c r="N550" s="224"/>
      <c r="O550" s="224"/>
      <c r="P550" s="224"/>
      <c r="Q550" s="224"/>
    </row>
    <row r="551" spans="2:17">
      <c r="B551" s="224"/>
      <c r="C551" s="224"/>
      <c r="D551" s="224"/>
      <c r="E551" s="224"/>
      <c r="F551" s="224"/>
      <c r="G551" s="224"/>
      <c r="H551" s="224"/>
      <c r="I551" s="224"/>
      <c r="J551" s="224"/>
      <c r="K551" s="224"/>
      <c r="L551" s="224"/>
      <c r="M551" s="224"/>
      <c r="N551" s="224"/>
      <c r="O551" s="224"/>
      <c r="P551" s="224"/>
      <c r="Q551" s="224"/>
    </row>
    <row r="552" spans="2:17">
      <c r="B552" s="224"/>
      <c r="C552" s="224"/>
      <c r="D552" s="224"/>
      <c r="E552" s="224"/>
      <c r="F552" s="224"/>
      <c r="G552" s="224"/>
      <c r="H552" s="224"/>
      <c r="I552" s="224"/>
      <c r="J552" s="224"/>
      <c r="K552" s="224"/>
      <c r="L552" s="224"/>
      <c r="M552" s="224"/>
      <c r="N552" s="224"/>
      <c r="O552" s="224"/>
      <c r="P552" s="224"/>
      <c r="Q552" s="224"/>
    </row>
    <row r="553" spans="2:17">
      <c r="B553" s="224"/>
      <c r="C553" s="224"/>
      <c r="D553" s="224"/>
      <c r="E553" s="224"/>
      <c r="F553" s="224"/>
      <c r="G553" s="224"/>
      <c r="H553" s="224"/>
      <c r="I553" s="224"/>
      <c r="J553" s="224"/>
      <c r="K553" s="224"/>
      <c r="L553" s="224"/>
      <c r="M553" s="224"/>
      <c r="N553" s="224"/>
      <c r="O553" s="224"/>
      <c r="P553" s="224"/>
      <c r="Q553" s="224"/>
    </row>
    <row r="554" spans="2:17">
      <c r="B554" s="224"/>
      <c r="C554" s="224"/>
      <c r="D554" s="224"/>
      <c r="E554" s="224"/>
      <c r="F554" s="224"/>
      <c r="G554" s="224"/>
      <c r="H554" s="224"/>
      <c r="I554" s="224"/>
      <c r="J554" s="224"/>
      <c r="K554" s="224"/>
      <c r="L554" s="224"/>
      <c r="M554" s="224"/>
      <c r="N554" s="224"/>
      <c r="O554" s="224"/>
      <c r="P554" s="224"/>
      <c r="Q554" s="224"/>
    </row>
    <row r="555" spans="2:17">
      <c r="B555" s="224"/>
      <c r="C555" s="224"/>
      <c r="D555" s="224"/>
      <c r="E555" s="224"/>
      <c r="F555" s="224"/>
      <c r="G555" s="224"/>
      <c r="H555" s="224"/>
      <c r="I555" s="224"/>
      <c r="J555" s="224"/>
      <c r="K555" s="224"/>
      <c r="L555" s="224"/>
      <c r="M555" s="224"/>
      <c r="N555" s="224"/>
      <c r="O555" s="224"/>
      <c r="P555" s="224"/>
      <c r="Q555" s="224"/>
    </row>
    <row r="556" spans="2:17">
      <c r="B556" s="224"/>
      <c r="C556" s="224"/>
      <c r="D556" s="224"/>
      <c r="E556" s="224"/>
      <c r="F556" s="224"/>
      <c r="G556" s="224"/>
      <c r="H556" s="224"/>
      <c r="I556" s="224"/>
      <c r="J556" s="224"/>
      <c r="K556" s="224"/>
      <c r="L556" s="224"/>
      <c r="M556" s="224"/>
      <c r="N556" s="224"/>
      <c r="O556" s="224"/>
      <c r="P556" s="224"/>
      <c r="Q556" s="224"/>
    </row>
    <row r="557" spans="2:17">
      <c r="B557" s="224"/>
      <c r="C557" s="224"/>
      <c r="D557" s="224"/>
      <c r="E557" s="224"/>
      <c r="F557" s="224"/>
      <c r="G557" s="224"/>
      <c r="H557" s="224"/>
      <c r="I557" s="224"/>
      <c r="J557" s="224"/>
      <c r="K557" s="224"/>
      <c r="L557" s="224"/>
      <c r="M557" s="224"/>
      <c r="N557" s="224"/>
      <c r="O557" s="224"/>
      <c r="P557" s="224"/>
      <c r="Q557" s="224"/>
    </row>
    <row r="558" spans="2:17">
      <c r="B558" s="224"/>
      <c r="C558" s="224"/>
      <c r="D558" s="224"/>
      <c r="E558" s="224"/>
      <c r="F558" s="224"/>
      <c r="G558" s="224"/>
      <c r="H558" s="224"/>
      <c r="I558" s="224"/>
      <c r="J558" s="224"/>
      <c r="K558" s="224"/>
      <c r="L558" s="224"/>
      <c r="M558" s="224"/>
      <c r="N558" s="224"/>
      <c r="O558" s="224"/>
      <c r="P558" s="224"/>
      <c r="Q558" s="224"/>
    </row>
    <row r="559" spans="2:17">
      <c r="B559" s="224"/>
      <c r="C559" s="224"/>
      <c r="D559" s="224"/>
      <c r="E559" s="224"/>
      <c r="F559" s="224"/>
      <c r="G559" s="224"/>
      <c r="H559" s="224"/>
      <c r="I559" s="224"/>
      <c r="J559" s="224"/>
      <c r="K559" s="224"/>
      <c r="L559" s="224"/>
      <c r="M559" s="224"/>
      <c r="N559" s="224"/>
      <c r="O559" s="224"/>
      <c r="P559" s="224"/>
      <c r="Q559" s="224"/>
    </row>
    <row r="560" spans="2:17">
      <c r="B560" s="224"/>
      <c r="C560" s="224"/>
      <c r="D560" s="224"/>
      <c r="E560" s="224"/>
      <c r="F560" s="224"/>
      <c r="G560" s="224"/>
      <c r="H560" s="224"/>
      <c r="I560" s="224"/>
      <c r="J560" s="224"/>
      <c r="K560" s="224"/>
      <c r="L560" s="224"/>
      <c r="M560" s="224"/>
      <c r="N560" s="224"/>
      <c r="O560" s="224"/>
      <c r="P560" s="224"/>
      <c r="Q560" s="224"/>
    </row>
    <row r="561" spans="2:17">
      <c r="B561" s="224"/>
      <c r="C561" s="224"/>
      <c r="D561" s="224"/>
      <c r="E561" s="224"/>
      <c r="F561" s="224"/>
      <c r="G561" s="224"/>
      <c r="H561" s="224"/>
      <c r="I561" s="224"/>
      <c r="J561" s="224"/>
      <c r="K561" s="224"/>
      <c r="L561" s="224"/>
      <c r="M561" s="224"/>
      <c r="N561" s="224"/>
      <c r="O561" s="224"/>
      <c r="P561" s="224"/>
      <c r="Q561" s="224"/>
    </row>
    <row r="562" spans="2:17">
      <c r="B562" s="224"/>
      <c r="C562" s="224"/>
      <c r="D562" s="224"/>
      <c r="E562" s="224"/>
      <c r="F562" s="224"/>
      <c r="G562" s="224"/>
      <c r="H562" s="224"/>
      <c r="I562" s="224"/>
      <c r="J562" s="224"/>
      <c r="K562" s="224"/>
      <c r="L562" s="224"/>
      <c r="M562" s="224"/>
      <c r="N562" s="224"/>
      <c r="O562" s="224"/>
      <c r="P562" s="224"/>
      <c r="Q562" s="224"/>
    </row>
    <row r="563" spans="2:17">
      <c r="B563" s="224"/>
      <c r="C563" s="224"/>
      <c r="D563" s="224"/>
      <c r="E563" s="224"/>
      <c r="F563" s="224"/>
      <c r="G563" s="224"/>
      <c r="H563" s="224"/>
      <c r="I563" s="224"/>
      <c r="J563" s="224"/>
      <c r="K563" s="224"/>
      <c r="L563" s="224"/>
      <c r="M563" s="224"/>
      <c r="N563" s="224"/>
      <c r="O563" s="224"/>
      <c r="P563" s="224"/>
      <c r="Q563" s="224"/>
    </row>
    <row r="564" spans="2:17">
      <c r="B564" s="224"/>
      <c r="C564" s="224"/>
      <c r="D564" s="224"/>
      <c r="E564" s="224"/>
      <c r="F564" s="224"/>
      <c r="G564" s="224"/>
      <c r="H564" s="224"/>
      <c r="I564" s="224"/>
      <c r="J564" s="224"/>
      <c r="K564" s="224"/>
      <c r="L564" s="224"/>
      <c r="M564" s="224"/>
      <c r="N564" s="224"/>
      <c r="O564" s="224"/>
      <c r="P564" s="224"/>
      <c r="Q564" s="224"/>
    </row>
    <row r="565" spans="2:17">
      <c r="B565" s="224"/>
      <c r="C565" s="224"/>
      <c r="D565" s="224"/>
      <c r="E565" s="224"/>
      <c r="F565" s="224"/>
      <c r="G565" s="224"/>
      <c r="H565" s="224"/>
      <c r="I565" s="224"/>
      <c r="J565" s="224"/>
      <c r="K565" s="224"/>
      <c r="L565" s="224"/>
      <c r="M565" s="224"/>
      <c r="N565" s="224"/>
      <c r="O565" s="224"/>
      <c r="P565" s="224"/>
      <c r="Q565" s="224"/>
    </row>
    <row r="566" spans="2:17">
      <c r="B566" s="224"/>
      <c r="C566" s="224"/>
      <c r="D566" s="224"/>
      <c r="E566" s="224"/>
      <c r="F566" s="224"/>
      <c r="G566" s="224"/>
      <c r="H566" s="224"/>
      <c r="I566" s="224"/>
      <c r="J566" s="224"/>
      <c r="K566" s="224"/>
      <c r="L566" s="224"/>
      <c r="M566" s="224"/>
      <c r="N566" s="224"/>
      <c r="O566" s="224"/>
      <c r="P566" s="224"/>
      <c r="Q566" s="224"/>
    </row>
    <row r="567" spans="2:17">
      <c r="B567" s="224"/>
      <c r="C567" s="224"/>
      <c r="D567" s="224"/>
      <c r="E567" s="224"/>
      <c r="F567" s="224"/>
      <c r="G567" s="224"/>
      <c r="H567" s="224"/>
      <c r="I567" s="224"/>
      <c r="J567" s="224"/>
      <c r="K567" s="224"/>
      <c r="L567" s="224"/>
      <c r="M567" s="224"/>
      <c r="N567" s="224"/>
      <c r="O567" s="224"/>
      <c r="P567" s="224"/>
      <c r="Q567" s="224"/>
    </row>
    <row r="568" spans="2:17">
      <c r="B568" s="224"/>
      <c r="C568" s="224"/>
      <c r="D568" s="224"/>
      <c r="E568" s="224"/>
      <c r="F568" s="224"/>
      <c r="G568" s="224"/>
      <c r="H568" s="224"/>
      <c r="I568" s="224"/>
      <c r="J568" s="224"/>
      <c r="K568" s="224"/>
      <c r="L568" s="224"/>
      <c r="M568" s="224"/>
      <c r="N568" s="224"/>
      <c r="O568" s="224"/>
      <c r="P568" s="224"/>
      <c r="Q568" s="224"/>
    </row>
    <row r="569" spans="2:17">
      <c r="B569" s="224"/>
      <c r="C569" s="224"/>
      <c r="D569" s="224"/>
      <c r="E569" s="224"/>
      <c r="F569" s="224"/>
      <c r="G569" s="224"/>
      <c r="H569" s="224"/>
      <c r="I569" s="224"/>
      <c r="J569" s="224"/>
      <c r="K569" s="224"/>
      <c r="L569" s="224"/>
      <c r="M569" s="224"/>
      <c r="N569" s="224"/>
      <c r="O569" s="224"/>
      <c r="P569" s="224"/>
      <c r="Q569" s="224"/>
    </row>
    <row r="570" spans="2:17">
      <c r="B570" s="224"/>
      <c r="C570" s="224"/>
      <c r="D570" s="224"/>
      <c r="E570" s="224"/>
      <c r="F570" s="224"/>
      <c r="G570" s="224"/>
      <c r="H570" s="224"/>
      <c r="I570" s="224"/>
      <c r="J570" s="224"/>
      <c r="K570" s="224"/>
      <c r="L570" s="224"/>
      <c r="M570" s="224"/>
      <c r="N570" s="224"/>
      <c r="O570" s="224"/>
      <c r="P570" s="224"/>
      <c r="Q570" s="224"/>
    </row>
    <row r="571" spans="2:17">
      <c r="B571" s="224"/>
      <c r="C571" s="224"/>
      <c r="D571" s="224"/>
      <c r="E571" s="224"/>
      <c r="F571" s="224"/>
      <c r="G571" s="224"/>
      <c r="H571" s="224"/>
      <c r="I571" s="224"/>
      <c r="J571" s="224"/>
      <c r="K571" s="224"/>
      <c r="L571" s="224"/>
      <c r="M571" s="224"/>
      <c r="N571" s="224"/>
      <c r="O571" s="224"/>
      <c r="P571" s="224"/>
      <c r="Q571" s="224"/>
    </row>
    <row r="572" spans="2:17">
      <c r="B572" s="224"/>
      <c r="C572" s="224"/>
      <c r="D572" s="224"/>
      <c r="E572" s="224"/>
      <c r="F572" s="224"/>
      <c r="G572" s="224"/>
      <c r="H572" s="224"/>
      <c r="I572" s="224"/>
      <c r="J572" s="224"/>
      <c r="K572" s="224"/>
      <c r="L572" s="224"/>
      <c r="M572" s="224"/>
      <c r="N572" s="224"/>
      <c r="O572" s="224"/>
      <c r="P572" s="224"/>
      <c r="Q572" s="224"/>
    </row>
    <row r="573" spans="2:17">
      <c r="B573" s="224"/>
      <c r="C573" s="224"/>
      <c r="D573" s="224"/>
      <c r="E573" s="224"/>
      <c r="F573" s="224"/>
      <c r="G573" s="224"/>
      <c r="H573" s="224"/>
      <c r="I573" s="224"/>
      <c r="J573" s="224"/>
      <c r="K573" s="224"/>
      <c r="L573" s="224"/>
      <c r="M573" s="224"/>
      <c r="N573" s="224"/>
      <c r="O573" s="224"/>
      <c r="P573" s="224"/>
      <c r="Q573" s="224"/>
    </row>
    <row r="574" spans="2:17">
      <c r="B574" s="224"/>
      <c r="C574" s="224"/>
      <c r="D574" s="224"/>
      <c r="E574" s="224"/>
      <c r="F574" s="224"/>
      <c r="G574" s="224"/>
      <c r="H574" s="224"/>
      <c r="I574" s="224"/>
      <c r="J574" s="224"/>
      <c r="K574" s="224"/>
      <c r="L574" s="224"/>
      <c r="M574" s="224"/>
      <c r="N574" s="224"/>
      <c r="O574" s="224"/>
      <c r="P574" s="224"/>
      <c r="Q574" s="224"/>
    </row>
    <row r="575" spans="2:17">
      <c r="B575" s="224"/>
      <c r="C575" s="224"/>
      <c r="D575" s="224"/>
      <c r="E575" s="224"/>
      <c r="F575" s="224"/>
      <c r="G575" s="224"/>
      <c r="H575" s="224"/>
      <c r="I575" s="224"/>
      <c r="J575" s="224"/>
      <c r="K575" s="224"/>
      <c r="L575" s="224"/>
      <c r="M575" s="224"/>
      <c r="N575" s="224"/>
      <c r="O575" s="224"/>
      <c r="P575" s="224"/>
      <c r="Q575" s="224"/>
    </row>
    <row r="576" spans="2:17">
      <c r="B576" s="224"/>
      <c r="C576" s="224"/>
      <c r="D576" s="224"/>
      <c r="E576" s="224"/>
      <c r="F576" s="224"/>
      <c r="G576" s="224"/>
      <c r="H576" s="224"/>
      <c r="I576" s="224"/>
      <c r="J576" s="224"/>
      <c r="K576" s="224"/>
      <c r="L576" s="224"/>
      <c r="M576" s="224"/>
      <c r="N576" s="224"/>
      <c r="O576" s="224"/>
      <c r="P576" s="224"/>
      <c r="Q576" s="224"/>
    </row>
    <row r="577" spans="2:17">
      <c r="B577" s="224"/>
      <c r="C577" s="224"/>
      <c r="D577" s="224"/>
      <c r="E577" s="224"/>
      <c r="F577" s="224"/>
      <c r="G577" s="224"/>
      <c r="H577" s="224"/>
      <c r="I577" s="224"/>
      <c r="J577" s="224"/>
      <c r="K577" s="224"/>
      <c r="L577" s="224"/>
      <c r="M577" s="224"/>
      <c r="N577" s="224"/>
      <c r="O577" s="224"/>
      <c r="P577" s="224"/>
      <c r="Q577" s="224"/>
    </row>
    <row r="578" spans="2:17">
      <c r="B578" s="224"/>
      <c r="C578" s="224"/>
      <c r="D578" s="224"/>
      <c r="E578" s="224"/>
      <c r="F578" s="224"/>
      <c r="G578" s="224"/>
      <c r="H578" s="224"/>
      <c r="I578" s="224"/>
      <c r="J578" s="224"/>
      <c r="K578" s="224"/>
      <c r="L578" s="224"/>
      <c r="M578" s="224"/>
      <c r="N578" s="224"/>
      <c r="O578" s="224"/>
      <c r="P578" s="224"/>
      <c r="Q578" s="224"/>
    </row>
    <row r="579" spans="2:17">
      <c r="B579" s="224"/>
      <c r="C579" s="224"/>
      <c r="D579" s="224"/>
      <c r="E579" s="224"/>
      <c r="F579" s="224"/>
      <c r="G579" s="224"/>
      <c r="H579" s="224"/>
      <c r="I579" s="224"/>
      <c r="J579" s="224"/>
      <c r="K579" s="224"/>
      <c r="L579" s="224"/>
      <c r="M579" s="224"/>
      <c r="N579" s="224"/>
      <c r="O579" s="224"/>
      <c r="P579" s="224"/>
      <c r="Q579" s="224"/>
    </row>
    <row r="580" spans="2:17">
      <c r="B580" s="224"/>
      <c r="C580" s="224"/>
      <c r="D580" s="224"/>
      <c r="E580" s="224"/>
      <c r="F580" s="224"/>
      <c r="G580" s="224"/>
      <c r="H580" s="224"/>
      <c r="I580" s="224"/>
      <c r="J580" s="224"/>
      <c r="K580" s="224"/>
      <c r="L580" s="224"/>
      <c r="M580" s="224"/>
      <c r="N580" s="224"/>
      <c r="O580" s="224"/>
      <c r="P580" s="224"/>
      <c r="Q580" s="224"/>
    </row>
    <row r="581" spans="2:17">
      <c r="B581" s="224"/>
      <c r="C581" s="224"/>
      <c r="D581" s="224"/>
      <c r="E581" s="224"/>
      <c r="F581" s="224"/>
      <c r="G581" s="224"/>
      <c r="H581" s="224"/>
      <c r="I581" s="224"/>
      <c r="J581" s="224"/>
      <c r="K581" s="224"/>
      <c r="L581" s="224"/>
      <c r="M581" s="224"/>
      <c r="N581" s="224"/>
      <c r="O581" s="224"/>
      <c r="P581" s="224"/>
      <c r="Q581" s="224"/>
    </row>
    <row r="582" spans="2:17">
      <c r="B582" s="224"/>
      <c r="C582" s="224"/>
      <c r="D582" s="224"/>
      <c r="E582" s="224"/>
      <c r="F582" s="224"/>
      <c r="G582" s="224"/>
      <c r="H582" s="224"/>
      <c r="I582" s="224"/>
      <c r="J582" s="224"/>
      <c r="K582" s="224"/>
      <c r="L582" s="224"/>
      <c r="M582" s="224"/>
      <c r="N582" s="224"/>
      <c r="O582" s="224"/>
      <c r="P582" s="224"/>
      <c r="Q582" s="224"/>
    </row>
    <row r="583" spans="2:17">
      <c r="B583" s="224"/>
      <c r="C583" s="224"/>
      <c r="D583" s="224"/>
      <c r="E583" s="224"/>
      <c r="F583" s="224"/>
      <c r="G583" s="224"/>
      <c r="H583" s="224"/>
      <c r="I583" s="224"/>
      <c r="J583" s="224"/>
      <c r="K583" s="224"/>
      <c r="L583" s="224"/>
      <c r="M583" s="224"/>
      <c r="N583" s="224"/>
      <c r="O583" s="224"/>
      <c r="P583" s="224"/>
      <c r="Q583" s="224"/>
    </row>
    <row r="584" spans="2:17">
      <c r="B584" s="224"/>
      <c r="C584" s="224"/>
      <c r="D584" s="224"/>
      <c r="E584" s="224"/>
      <c r="F584" s="224"/>
      <c r="G584" s="224"/>
      <c r="H584" s="224"/>
      <c r="I584" s="224"/>
      <c r="J584" s="224"/>
      <c r="K584" s="224"/>
      <c r="L584" s="224"/>
      <c r="M584" s="224"/>
      <c r="N584" s="224"/>
      <c r="O584" s="224"/>
      <c r="P584" s="224"/>
      <c r="Q584" s="224"/>
    </row>
    <row r="585" spans="2:17">
      <c r="B585" s="224"/>
      <c r="C585" s="224"/>
      <c r="D585" s="224"/>
      <c r="E585" s="224"/>
      <c r="F585" s="224"/>
      <c r="G585" s="224"/>
      <c r="H585" s="224"/>
      <c r="I585" s="224"/>
      <c r="J585" s="224"/>
      <c r="K585" s="224"/>
      <c r="L585" s="224"/>
      <c r="M585" s="224"/>
      <c r="N585" s="224"/>
      <c r="O585" s="224"/>
      <c r="P585" s="224"/>
      <c r="Q585" s="224"/>
    </row>
    <row r="586" spans="2:17">
      <c r="B586" s="224"/>
      <c r="C586" s="224"/>
      <c r="D586" s="224"/>
      <c r="E586" s="224"/>
      <c r="F586" s="224"/>
      <c r="G586" s="224"/>
      <c r="H586" s="224"/>
      <c r="I586" s="224"/>
      <c r="J586" s="224"/>
      <c r="K586" s="224"/>
      <c r="L586" s="224"/>
      <c r="M586" s="224"/>
      <c r="N586" s="224"/>
      <c r="O586" s="224"/>
      <c r="P586" s="224"/>
      <c r="Q586" s="224"/>
    </row>
    <row r="587" spans="2:17">
      <c r="B587" s="224"/>
      <c r="C587" s="224"/>
      <c r="D587" s="224"/>
      <c r="E587" s="224"/>
      <c r="F587" s="224"/>
      <c r="G587" s="224"/>
      <c r="H587" s="224"/>
      <c r="I587" s="224"/>
      <c r="J587" s="224"/>
      <c r="K587" s="224"/>
      <c r="L587" s="224"/>
      <c r="M587" s="224"/>
      <c r="N587" s="224"/>
      <c r="O587" s="224"/>
      <c r="P587" s="224"/>
      <c r="Q587" s="224"/>
    </row>
    <row r="588" spans="2:17">
      <c r="B588" s="224"/>
      <c r="C588" s="224"/>
      <c r="D588" s="224"/>
      <c r="E588" s="224"/>
      <c r="F588" s="224"/>
      <c r="G588" s="224"/>
      <c r="H588" s="224"/>
      <c r="I588" s="224"/>
      <c r="J588" s="224"/>
      <c r="K588" s="224"/>
      <c r="L588" s="224"/>
      <c r="M588" s="224"/>
      <c r="N588" s="224"/>
      <c r="O588" s="224"/>
      <c r="P588" s="224"/>
      <c r="Q588" s="224"/>
    </row>
    <row r="589" spans="2:17">
      <c r="B589" s="224"/>
      <c r="C589" s="224"/>
      <c r="D589" s="224"/>
      <c r="E589" s="224"/>
      <c r="F589" s="224"/>
      <c r="G589" s="224"/>
      <c r="H589" s="224"/>
      <c r="I589" s="224"/>
      <c r="J589" s="224"/>
      <c r="K589" s="224"/>
      <c r="L589" s="224"/>
      <c r="M589" s="224"/>
      <c r="N589" s="224"/>
      <c r="O589" s="224"/>
      <c r="P589" s="224"/>
      <c r="Q589" s="224"/>
    </row>
    <row r="590" spans="2:17">
      <c r="B590" s="224"/>
      <c r="C590" s="224"/>
      <c r="D590" s="224"/>
      <c r="E590" s="224"/>
      <c r="F590" s="224"/>
      <c r="G590" s="224"/>
      <c r="H590" s="224"/>
      <c r="I590" s="224"/>
      <c r="J590" s="224"/>
      <c r="K590" s="224"/>
      <c r="L590" s="224"/>
      <c r="M590" s="224"/>
      <c r="N590" s="224"/>
      <c r="O590" s="224"/>
      <c r="P590" s="224"/>
      <c r="Q590" s="224"/>
    </row>
    <row r="591" spans="2:17">
      <c r="B591" s="224"/>
      <c r="C591" s="224"/>
      <c r="D591" s="224"/>
      <c r="E591" s="224"/>
      <c r="F591" s="224"/>
      <c r="G591" s="224"/>
      <c r="H591" s="224"/>
      <c r="I591" s="224"/>
      <c r="J591" s="224"/>
      <c r="K591" s="224"/>
      <c r="L591" s="224"/>
      <c r="M591" s="224"/>
      <c r="N591" s="224"/>
      <c r="O591" s="224"/>
      <c r="P591" s="224"/>
      <c r="Q591" s="224"/>
    </row>
    <row r="592" spans="2:17">
      <c r="B592" s="224"/>
      <c r="C592" s="224"/>
      <c r="D592" s="224"/>
      <c r="E592" s="224"/>
      <c r="F592" s="224"/>
      <c r="G592" s="224"/>
      <c r="H592" s="224"/>
      <c r="I592" s="224"/>
      <c r="J592" s="224"/>
      <c r="K592" s="224"/>
      <c r="L592" s="224"/>
      <c r="M592" s="224"/>
      <c r="N592" s="224"/>
      <c r="O592" s="224"/>
      <c r="P592" s="224"/>
      <c r="Q592" s="224"/>
    </row>
    <row r="593" spans="2:17">
      <c r="B593" s="224"/>
      <c r="C593" s="224"/>
      <c r="D593" s="224"/>
      <c r="E593" s="224"/>
      <c r="F593" s="224"/>
      <c r="G593" s="224"/>
      <c r="H593" s="224"/>
      <c r="I593" s="224"/>
      <c r="J593" s="224"/>
      <c r="K593" s="224"/>
      <c r="L593" s="224"/>
      <c r="M593" s="224"/>
      <c r="N593" s="224"/>
      <c r="O593" s="224"/>
      <c r="P593" s="224"/>
      <c r="Q593" s="224"/>
    </row>
    <row r="594" spans="2:17">
      <c r="B594" s="224"/>
      <c r="C594" s="224"/>
      <c r="D594" s="224"/>
      <c r="E594" s="224"/>
      <c r="F594" s="224"/>
      <c r="G594" s="224"/>
      <c r="H594" s="224"/>
      <c r="I594" s="224"/>
      <c r="J594" s="224"/>
      <c r="K594" s="224"/>
      <c r="L594" s="224"/>
      <c r="M594" s="224"/>
      <c r="N594" s="224"/>
      <c r="O594" s="224"/>
      <c r="P594" s="224"/>
      <c r="Q594" s="224"/>
    </row>
    <row r="595" spans="2:17">
      <c r="B595" s="224"/>
      <c r="C595" s="224"/>
      <c r="D595" s="224"/>
      <c r="E595" s="224"/>
      <c r="F595" s="224"/>
      <c r="G595" s="224"/>
      <c r="H595" s="224"/>
      <c r="I595" s="224"/>
      <c r="J595" s="224"/>
      <c r="K595" s="224"/>
      <c r="L595" s="224"/>
      <c r="M595" s="224"/>
      <c r="N595" s="224"/>
      <c r="O595" s="224"/>
      <c r="P595" s="224"/>
      <c r="Q595" s="224"/>
    </row>
    <row r="596" spans="2:17">
      <c r="B596" s="224"/>
      <c r="C596" s="224"/>
      <c r="D596" s="224"/>
      <c r="E596" s="224"/>
      <c r="F596" s="224"/>
      <c r="G596" s="224"/>
      <c r="H596" s="224"/>
      <c r="I596" s="224"/>
      <c r="J596" s="224"/>
      <c r="K596" s="224"/>
      <c r="L596" s="224"/>
      <c r="M596" s="224"/>
      <c r="N596" s="224"/>
      <c r="O596" s="224"/>
      <c r="P596" s="224"/>
      <c r="Q596" s="224"/>
    </row>
    <row r="597" spans="2:17">
      <c r="B597" s="224"/>
      <c r="C597" s="224"/>
      <c r="D597" s="224"/>
      <c r="E597" s="224"/>
      <c r="F597" s="224"/>
      <c r="G597" s="224"/>
      <c r="H597" s="224"/>
      <c r="I597" s="224"/>
      <c r="J597" s="224"/>
      <c r="K597" s="224"/>
      <c r="L597" s="224"/>
      <c r="M597" s="224"/>
      <c r="N597" s="224"/>
      <c r="O597" s="224"/>
      <c r="P597" s="224"/>
      <c r="Q597" s="224"/>
    </row>
    <row r="598" spans="2:17">
      <c r="B598" s="224"/>
      <c r="C598" s="224"/>
      <c r="D598" s="224"/>
      <c r="E598" s="224"/>
      <c r="F598" s="224"/>
      <c r="G598" s="224"/>
      <c r="H598" s="224"/>
      <c r="I598" s="224"/>
      <c r="J598" s="224"/>
      <c r="K598" s="224"/>
      <c r="L598" s="224"/>
      <c r="M598" s="224"/>
      <c r="N598" s="224"/>
      <c r="O598" s="224"/>
      <c r="P598" s="224"/>
      <c r="Q598" s="224"/>
    </row>
    <row r="599" spans="2:17">
      <c r="B599" s="224"/>
      <c r="C599" s="224"/>
      <c r="D599" s="224"/>
      <c r="E599" s="224"/>
      <c r="F599" s="224"/>
      <c r="G599" s="224"/>
      <c r="H599" s="224"/>
      <c r="I599" s="224"/>
      <c r="J599" s="224"/>
      <c r="K599" s="224"/>
      <c r="L599" s="224"/>
      <c r="M599" s="224"/>
      <c r="N599" s="224"/>
      <c r="O599" s="224"/>
      <c r="P599" s="224"/>
      <c r="Q599" s="224"/>
    </row>
    <row r="600" spans="2:17">
      <c r="B600" s="224"/>
      <c r="C600" s="224"/>
      <c r="D600" s="224"/>
      <c r="E600" s="224"/>
      <c r="F600" s="224"/>
      <c r="G600" s="224"/>
      <c r="H600" s="224"/>
      <c r="I600" s="224"/>
      <c r="J600" s="224"/>
      <c r="K600" s="224"/>
      <c r="L600" s="224"/>
      <c r="M600" s="224"/>
      <c r="N600" s="224"/>
      <c r="O600" s="224"/>
      <c r="P600" s="224"/>
      <c r="Q600" s="224"/>
    </row>
    <row r="601" spans="2:17">
      <c r="B601" s="224"/>
      <c r="C601" s="224"/>
      <c r="D601" s="224"/>
      <c r="E601" s="224"/>
      <c r="F601" s="224"/>
      <c r="G601" s="224"/>
      <c r="H601" s="224"/>
      <c r="I601" s="224"/>
      <c r="J601" s="224"/>
      <c r="K601" s="224"/>
      <c r="L601" s="224"/>
      <c r="M601" s="224"/>
      <c r="N601" s="224"/>
      <c r="O601" s="224"/>
      <c r="P601" s="224"/>
      <c r="Q601" s="224"/>
    </row>
    <row r="602" spans="2:17">
      <c r="B602" s="224"/>
      <c r="C602" s="224"/>
      <c r="D602" s="224"/>
      <c r="E602" s="224"/>
      <c r="F602" s="224"/>
      <c r="G602" s="224"/>
      <c r="H602" s="224"/>
      <c r="I602" s="224"/>
      <c r="J602" s="224"/>
      <c r="K602" s="224"/>
      <c r="L602" s="224"/>
      <c r="M602" s="224"/>
      <c r="N602" s="224"/>
      <c r="O602" s="224"/>
      <c r="P602" s="224"/>
      <c r="Q602" s="224"/>
    </row>
    <row r="603" spans="2:17">
      <c r="B603" s="224"/>
      <c r="C603" s="224"/>
      <c r="D603" s="224"/>
      <c r="E603" s="224"/>
      <c r="F603" s="224"/>
      <c r="G603" s="224"/>
      <c r="H603" s="224"/>
      <c r="I603" s="224"/>
      <c r="J603" s="224"/>
      <c r="K603" s="224"/>
      <c r="L603" s="224"/>
      <c r="M603" s="224"/>
      <c r="N603" s="224"/>
      <c r="O603" s="224"/>
      <c r="P603" s="224"/>
      <c r="Q603" s="224"/>
    </row>
    <row r="604" spans="2:17">
      <c r="B604" s="224"/>
      <c r="C604" s="224"/>
      <c r="D604" s="224"/>
      <c r="E604" s="224"/>
      <c r="F604" s="224"/>
      <c r="G604" s="224"/>
      <c r="H604" s="224"/>
      <c r="I604" s="224"/>
      <c r="J604" s="224"/>
      <c r="K604" s="224"/>
      <c r="L604" s="224"/>
      <c r="M604" s="224"/>
      <c r="N604" s="224"/>
      <c r="O604" s="224"/>
      <c r="P604" s="224"/>
      <c r="Q604" s="224"/>
    </row>
    <row r="605" spans="2:17">
      <c r="B605" s="224"/>
      <c r="C605" s="224"/>
      <c r="D605" s="224"/>
      <c r="E605" s="224"/>
      <c r="F605" s="224"/>
      <c r="G605" s="224"/>
      <c r="H605" s="224"/>
      <c r="I605" s="224"/>
      <c r="J605" s="224"/>
      <c r="K605" s="224"/>
      <c r="L605" s="224"/>
      <c r="M605" s="224"/>
      <c r="N605" s="224"/>
      <c r="O605" s="224"/>
      <c r="P605" s="224"/>
      <c r="Q605" s="224"/>
    </row>
    <row r="606" spans="2:17">
      <c r="B606" s="224"/>
      <c r="C606" s="224"/>
      <c r="D606" s="224"/>
      <c r="E606" s="224"/>
      <c r="F606" s="224"/>
      <c r="G606" s="224"/>
      <c r="H606" s="224"/>
      <c r="I606" s="224"/>
      <c r="J606" s="224"/>
      <c r="K606" s="224"/>
      <c r="L606" s="224"/>
      <c r="M606" s="224"/>
      <c r="N606" s="224"/>
      <c r="O606" s="224"/>
      <c r="P606" s="224"/>
      <c r="Q606" s="224"/>
    </row>
    <row r="607" spans="2:17">
      <c r="B607" s="224"/>
      <c r="C607" s="224"/>
      <c r="D607" s="224"/>
      <c r="E607" s="224"/>
      <c r="F607" s="224"/>
      <c r="G607" s="224"/>
      <c r="H607" s="224"/>
      <c r="I607" s="224"/>
      <c r="J607" s="224"/>
      <c r="K607" s="224"/>
      <c r="L607" s="224"/>
      <c r="M607" s="224"/>
      <c r="N607" s="224"/>
      <c r="O607" s="224"/>
      <c r="P607" s="224"/>
      <c r="Q607" s="224"/>
    </row>
    <row r="608" spans="2:17">
      <c r="B608" s="224"/>
      <c r="C608" s="224"/>
      <c r="D608" s="224"/>
      <c r="E608" s="224"/>
      <c r="F608" s="224"/>
      <c r="G608" s="224"/>
      <c r="H608" s="224"/>
      <c r="I608" s="224"/>
      <c r="J608" s="224"/>
      <c r="K608" s="224"/>
      <c r="L608" s="224"/>
      <c r="M608" s="224"/>
      <c r="N608" s="224"/>
      <c r="O608" s="224"/>
      <c r="P608" s="224"/>
      <c r="Q608" s="224"/>
    </row>
    <row r="609" spans="2:17">
      <c r="B609" s="224"/>
      <c r="C609" s="224"/>
      <c r="D609" s="224"/>
      <c r="E609" s="224"/>
      <c r="F609" s="224"/>
      <c r="G609" s="224"/>
      <c r="H609" s="224"/>
      <c r="I609" s="224"/>
      <c r="J609" s="224"/>
      <c r="K609" s="224"/>
      <c r="L609" s="224"/>
      <c r="M609" s="224"/>
      <c r="N609" s="224"/>
      <c r="O609" s="224"/>
      <c r="P609" s="224"/>
      <c r="Q609" s="224"/>
    </row>
    <row r="610" spans="2:17">
      <c r="B610" s="224"/>
      <c r="C610" s="224"/>
      <c r="D610" s="224"/>
      <c r="E610" s="224"/>
      <c r="F610" s="224"/>
      <c r="G610" s="224"/>
      <c r="H610" s="224"/>
      <c r="I610" s="224"/>
      <c r="J610" s="224"/>
      <c r="K610" s="224"/>
      <c r="L610" s="224"/>
      <c r="M610" s="224"/>
      <c r="N610" s="224"/>
      <c r="O610" s="224"/>
      <c r="P610" s="224"/>
      <c r="Q610" s="224"/>
    </row>
    <row r="611" spans="2:17">
      <c r="B611" s="224"/>
      <c r="C611" s="224"/>
      <c r="D611" s="224"/>
      <c r="E611" s="224"/>
      <c r="F611" s="224"/>
      <c r="G611" s="224"/>
      <c r="H611" s="224"/>
      <c r="I611" s="224"/>
      <c r="J611" s="224"/>
      <c r="K611" s="224"/>
      <c r="L611" s="224"/>
      <c r="M611" s="224"/>
      <c r="N611" s="224"/>
      <c r="O611" s="224"/>
      <c r="P611" s="224"/>
      <c r="Q611" s="224"/>
    </row>
    <row r="612" spans="2:17">
      <c r="B612" s="224"/>
      <c r="C612" s="224"/>
      <c r="D612" s="224"/>
      <c r="E612" s="224"/>
      <c r="F612" s="224"/>
      <c r="G612" s="224"/>
      <c r="H612" s="224"/>
      <c r="I612" s="224"/>
      <c r="J612" s="224"/>
      <c r="K612" s="224"/>
      <c r="L612" s="224"/>
      <c r="M612" s="224"/>
      <c r="N612" s="224"/>
      <c r="O612" s="224"/>
      <c r="P612" s="224"/>
      <c r="Q612" s="224"/>
    </row>
    <row r="613" spans="2:17">
      <c r="B613" s="224"/>
      <c r="C613" s="224"/>
      <c r="D613" s="224"/>
      <c r="E613" s="224"/>
      <c r="F613" s="224"/>
      <c r="G613" s="224"/>
      <c r="H613" s="224"/>
      <c r="I613" s="224"/>
      <c r="J613" s="224"/>
      <c r="K613" s="224"/>
      <c r="L613" s="224"/>
      <c r="M613" s="224"/>
      <c r="N613" s="224"/>
      <c r="O613" s="224"/>
      <c r="P613" s="224"/>
      <c r="Q613" s="224"/>
    </row>
    <row r="614" spans="2:17">
      <c r="B614" s="224"/>
      <c r="C614" s="224"/>
      <c r="D614" s="224"/>
      <c r="E614" s="224"/>
      <c r="F614" s="224"/>
      <c r="G614" s="224"/>
      <c r="H614" s="224"/>
      <c r="I614" s="224"/>
      <c r="J614" s="224"/>
      <c r="K614" s="224"/>
      <c r="L614" s="224"/>
      <c r="M614" s="224"/>
      <c r="N614" s="224"/>
      <c r="O614" s="224"/>
      <c r="P614" s="224"/>
      <c r="Q614" s="224"/>
    </row>
    <row r="615" spans="2:17">
      <c r="B615" s="224"/>
      <c r="C615" s="224"/>
      <c r="D615" s="224"/>
      <c r="E615" s="224"/>
      <c r="F615" s="224"/>
      <c r="G615" s="224"/>
      <c r="H615" s="224"/>
      <c r="I615" s="224"/>
      <c r="J615" s="224"/>
      <c r="K615" s="224"/>
      <c r="L615" s="224"/>
      <c r="M615" s="224"/>
      <c r="N615" s="224"/>
      <c r="O615" s="224"/>
      <c r="P615" s="224"/>
      <c r="Q615" s="224"/>
    </row>
    <row r="616" spans="2:17">
      <c r="B616" s="224"/>
      <c r="C616" s="224"/>
      <c r="D616" s="224"/>
      <c r="E616" s="224"/>
      <c r="F616" s="224"/>
      <c r="G616" s="224"/>
      <c r="H616" s="224"/>
      <c r="I616" s="224"/>
      <c r="J616" s="224"/>
      <c r="K616" s="224"/>
      <c r="L616" s="224"/>
      <c r="M616" s="224"/>
      <c r="N616" s="224"/>
      <c r="O616" s="224"/>
      <c r="P616" s="224"/>
      <c r="Q616" s="224"/>
    </row>
    <row r="617" spans="2:17">
      <c r="B617" s="224"/>
      <c r="C617" s="224"/>
      <c r="D617" s="224"/>
      <c r="E617" s="224"/>
      <c r="F617" s="224"/>
      <c r="G617" s="224"/>
      <c r="H617" s="224"/>
      <c r="I617" s="224"/>
      <c r="J617" s="224"/>
      <c r="K617" s="224"/>
      <c r="L617" s="224"/>
      <c r="M617" s="224"/>
      <c r="N617" s="224"/>
      <c r="O617" s="224"/>
      <c r="P617" s="224"/>
      <c r="Q617" s="224"/>
    </row>
    <row r="618" spans="2:17">
      <c r="B618" s="224"/>
      <c r="C618" s="224"/>
      <c r="D618" s="224"/>
      <c r="E618" s="224"/>
      <c r="F618" s="224"/>
      <c r="G618" s="224"/>
      <c r="H618" s="224"/>
      <c r="I618" s="224"/>
      <c r="J618" s="224"/>
      <c r="K618" s="224"/>
      <c r="L618" s="224"/>
      <c r="M618" s="224"/>
      <c r="N618" s="224"/>
      <c r="O618" s="224"/>
      <c r="P618" s="224"/>
      <c r="Q618" s="224"/>
    </row>
    <row r="619" spans="2:17">
      <c r="B619" s="224"/>
      <c r="C619" s="224"/>
      <c r="D619" s="224"/>
      <c r="E619" s="224"/>
      <c r="F619" s="224"/>
      <c r="G619" s="224"/>
      <c r="H619" s="224"/>
      <c r="I619" s="224"/>
      <c r="J619" s="224"/>
      <c r="K619" s="224"/>
      <c r="L619" s="224"/>
      <c r="M619" s="224"/>
      <c r="N619" s="224"/>
      <c r="O619" s="224"/>
      <c r="P619" s="224"/>
      <c r="Q619" s="224"/>
    </row>
    <row r="620" spans="2:17">
      <c r="B620" s="224"/>
      <c r="C620" s="224"/>
      <c r="D620" s="224"/>
      <c r="E620" s="224"/>
      <c r="F620" s="224"/>
      <c r="G620" s="224"/>
      <c r="H620" s="224"/>
      <c r="I620" s="224"/>
      <c r="J620" s="224"/>
      <c r="K620" s="224"/>
      <c r="L620" s="224"/>
      <c r="M620" s="224"/>
      <c r="N620" s="224"/>
      <c r="O620" s="224"/>
      <c r="P620" s="224"/>
      <c r="Q620" s="224"/>
    </row>
    <row r="621" spans="2:17">
      <c r="B621" s="224"/>
      <c r="C621" s="224"/>
      <c r="D621" s="224"/>
      <c r="E621" s="224"/>
      <c r="F621" s="224"/>
      <c r="G621" s="224"/>
      <c r="H621" s="224"/>
      <c r="I621" s="224"/>
      <c r="J621" s="224"/>
      <c r="K621" s="224"/>
      <c r="L621" s="224"/>
      <c r="M621" s="224"/>
      <c r="N621" s="224"/>
      <c r="O621" s="224"/>
      <c r="P621" s="224"/>
      <c r="Q621" s="224"/>
    </row>
    <row r="622" spans="2:17">
      <c r="B622" s="224"/>
      <c r="C622" s="224"/>
      <c r="D622" s="224"/>
      <c r="E622" s="224"/>
      <c r="F622" s="224"/>
      <c r="G622" s="224"/>
      <c r="H622" s="224"/>
      <c r="I622" s="224"/>
      <c r="J622" s="224"/>
      <c r="K622" s="224"/>
      <c r="L622" s="224"/>
      <c r="M622" s="224"/>
      <c r="N622" s="224"/>
      <c r="O622" s="224"/>
      <c r="P622" s="224"/>
      <c r="Q622" s="224"/>
    </row>
    <row r="623" spans="2:17">
      <c r="B623" s="224"/>
      <c r="C623" s="224"/>
      <c r="D623" s="224"/>
      <c r="E623" s="224"/>
      <c r="F623" s="224"/>
      <c r="G623" s="224"/>
      <c r="H623" s="224"/>
      <c r="I623" s="224"/>
      <c r="J623" s="224"/>
      <c r="K623" s="224"/>
      <c r="L623" s="224"/>
      <c r="M623" s="224"/>
      <c r="N623" s="224"/>
      <c r="O623" s="224"/>
      <c r="P623" s="224"/>
      <c r="Q623" s="224"/>
    </row>
    <row r="624" spans="2:17">
      <c r="B624" s="224"/>
      <c r="C624" s="224"/>
      <c r="D624" s="224"/>
      <c r="E624" s="224"/>
      <c r="F624" s="224"/>
      <c r="G624" s="224"/>
      <c r="H624" s="224"/>
      <c r="I624" s="224"/>
      <c r="J624" s="224"/>
      <c r="K624" s="224"/>
      <c r="L624" s="224"/>
      <c r="M624" s="224"/>
      <c r="N624" s="224"/>
      <c r="O624" s="224"/>
      <c r="P624" s="224"/>
      <c r="Q624" s="224"/>
    </row>
    <row r="625" spans="2:17">
      <c r="B625" s="224"/>
      <c r="C625" s="224"/>
      <c r="D625" s="224"/>
      <c r="E625" s="224"/>
      <c r="F625" s="224"/>
      <c r="G625" s="224"/>
      <c r="H625" s="224"/>
      <c r="I625" s="224"/>
      <c r="J625" s="224"/>
      <c r="K625" s="224"/>
      <c r="L625" s="224"/>
      <c r="M625" s="224"/>
      <c r="N625" s="224"/>
      <c r="O625" s="224"/>
      <c r="P625" s="224"/>
      <c r="Q625" s="224"/>
    </row>
    <row r="626" spans="2:17">
      <c r="B626" s="224"/>
      <c r="C626" s="224"/>
      <c r="D626" s="224"/>
      <c r="E626" s="224"/>
      <c r="F626" s="224"/>
      <c r="G626" s="224"/>
      <c r="H626" s="224"/>
      <c r="I626" s="224"/>
      <c r="J626" s="224"/>
      <c r="K626" s="224"/>
      <c r="L626" s="224"/>
      <c r="M626" s="224"/>
      <c r="N626" s="224"/>
      <c r="O626" s="224"/>
      <c r="P626" s="224"/>
      <c r="Q626" s="224"/>
    </row>
    <row r="627" spans="2:17">
      <c r="B627" s="224"/>
      <c r="C627" s="224"/>
      <c r="D627" s="224"/>
      <c r="E627" s="224"/>
      <c r="F627" s="224"/>
      <c r="G627" s="224"/>
      <c r="H627" s="224"/>
      <c r="I627" s="224"/>
      <c r="J627" s="224"/>
      <c r="K627" s="224"/>
      <c r="L627" s="224"/>
      <c r="M627" s="224"/>
      <c r="N627" s="224"/>
      <c r="O627" s="224"/>
      <c r="P627" s="224"/>
      <c r="Q627" s="224"/>
    </row>
    <row r="628" spans="2:17">
      <c r="B628" s="224"/>
      <c r="C628" s="224"/>
      <c r="D628" s="224"/>
      <c r="E628" s="224"/>
      <c r="F628" s="224"/>
      <c r="G628" s="224"/>
      <c r="H628" s="224"/>
      <c r="I628" s="224"/>
      <c r="J628" s="224"/>
      <c r="K628" s="224"/>
      <c r="L628" s="224"/>
      <c r="M628" s="224"/>
      <c r="N628" s="224"/>
      <c r="O628" s="224"/>
      <c r="P628" s="224"/>
      <c r="Q628" s="224"/>
    </row>
    <row r="629" spans="2:17">
      <c r="B629" s="224"/>
      <c r="C629" s="224"/>
      <c r="D629" s="224"/>
      <c r="E629" s="224"/>
      <c r="F629" s="224"/>
      <c r="G629" s="224"/>
      <c r="H629" s="224"/>
      <c r="I629" s="224"/>
      <c r="J629" s="224"/>
      <c r="K629" s="224"/>
      <c r="L629" s="224"/>
      <c r="M629" s="224"/>
      <c r="N629" s="224"/>
      <c r="O629" s="224"/>
      <c r="P629" s="224"/>
      <c r="Q629" s="224"/>
    </row>
    <row r="630" spans="2:17">
      <c r="B630" s="224"/>
      <c r="C630" s="224"/>
      <c r="D630" s="224"/>
      <c r="E630" s="224"/>
      <c r="F630" s="224"/>
      <c r="G630" s="224"/>
      <c r="H630" s="224"/>
      <c r="I630" s="224"/>
      <c r="J630" s="224"/>
      <c r="K630" s="224"/>
      <c r="L630" s="224"/>
      <c r="M630" s="224"/>
      <c r="N630" s="224"/>
      <c r="O630" s="224"/>
      <c r="P630" s="224"/>
      <c r="Q630" s="224"/>
    </row>
    <row r="631" spans="2:17">
      <c r="B631" s="224"/>
      <c r="C631" s="224"/>
      <c r="D631" s="224"/>
      <c r="E631" s="224"/>
      <c r="F631" s="224"/>
      <c r="G631" s="224"/>
      <c r="H631" s="224"/>
      <c r="I631" s="224"/>
      <c r="J631" s="224"/>
      <c r="K631" s="224"/>
      <c r="L631" s="224"/>
      <c r="M631" s="224"/>
      <c r="N631" s="224"/>
      <c r="O631" s="224"/>
      <c r="P631" s="224"/>
      <c r="Q631" s="224"/>
    </row>
    <row r="632" spans="2:17">
      <c r="B632" s="224"/>
      <c r="C632" s="224"/>
      <c r="D632" s="224"/>
      <c r="E632" s="224"/>
      <c r="F632" s="224"/>
      <c r="G632" s="224"/>
      <c r="H632" s="224"/>
      <c r="I632" s="224"/>
      <c r="J632" s="224"/>
      <c r="K632" s="224"/>
      <c r="L632" s="224"/>
      <c r="M632" s="224"/>
      <c r="N632" s="224"/>
      <c r="O632" s="224"/>
      <c r="P632" s="224"/>
      <c r="Q632" s="224"/>
    </row>
    <row r="633" spans="2:17">
      <c r="B633" s="224"/>
      <c r="C633" s="224"/>
      <c r="D633" s="224"/>
      <c r="E633" s="224"/>
      <c r="F633" s="224"/>
      <c r="G633" s="224"/>
      <c r="H633" s="224"/>
      <c r="I633" s="224"/>
      <c r="J633" s="224"/>
      <c r="K633" s="224"/>
      <c r="L633" s="224"/>
      <c r="M633" s="224"/>
      <c r="N633" s="224"/>
      <c r="O633" s="224"/>
      <c r="P633" s="224"/>
      <c r="Q633" s="224"/>
    </row>
    <row r="634" spans="2:17">
      <c r="B634" s="224"/>
      <c r="C634" s="224"/>
      <c r="D634" s="224"/>
      <c r="E634" s="224"/>
      <c r="F634" s="224"/>
      <c r="G634" s="224"/>
      <c r="H634" s="224"/>
      <c r="I634" s="224"/>
      <c r="J634" s="224"/>
      <c r="K634" s="224"/>
      <c r="L634" s="224"/>
      <c r="M634" s="224"/>
      <c r="N634" s="224"/>
      <c r="O634" s="224"/>
      <c r="P634" s="224"/>
      <c r="Q634" s="224"/>
    </row>
    <row r="635" spans="2:17">
      <c r="B635" s="224"/>
      <c r="C635" s="224"/>
      <c r="D635" s="224"/>
      <c r="E635" s="224"/>
      <c r="F635" s="224"/>
      <c r="G635" s="224"/>
      <c r="H635" s="224"/>
      <c r="I635" s="224"/>
      <c r="J635" s="224"/>
      <c r="K635" s="224"/>
      <c r="L635" s="224"/>
      <c r="M635" s="224"/>
      <c r="N635" s="224"/>
      <c r="O635" s="224"/>
      <c r="P635" s="224"/>
      <c r="Q635" s="224"/>
    </row>
    <row r="636" spans="2:17">
      <c r="B636" s="224"/>
      <c r="C636" s="224"/>
      <c r="D636" s="224"/>
      <c r="E636" s="224"/>
      <c r="F636" s="224"/>
      <c r="G636" s="224"/>
      <c r="H636" s="224"/>
      <c r="I636" s="224"/>
      <c r="J636" s="224"/>
      <c r="K636" s="224"/>
      <c r="L636" s="224"/>
      <c r="M636" s="224"/>
      <c r="N636" s="224"/>
      <c r="O636" s="224"/>
      <c r="P636" s="224"/>
      <c r="Q636" s="224"/>
    </row>
    <row r="637" spans="2:17">
      <c r="B637" s="224"/>
      <c r="C637" s="224"/>
      <c r="D637" s="224"/>
      <c r="E637" s="224"/>
      <c r="F637" s="224"/>
      <c r="G637" s="224"/>
      <c r="H637" s="224"/>
      <c r="I637" s="224"/>
      <c r="J637" s="224"/>
      <c r="K637" s="224"/>
      <c r="L637" s="224"/>
      <c r="M637" s="224"/>
      <c r="N637" s="224"/>
      <c r="O637" s="224"/>
      <c r="P637" s="224"/>
      <c r="Q637" s="224"/>
    </row>
    <row r="638" spans="2:17">
      <c r="B638" s="224"/>
      <c r="C638" s="224"/>
      <c r="D638" s="224"/>
      <c r="E638" s="224"/>
      <c r="F638" s="224"/>
      <c r="G638" s="224"/>
      <c r="H638" s="224"/>
      <c r="I638" s="224"/>
      <c r="J638" s="224"/>
      <c r="K638" s="224"/>
      <c r="L638" s="224"/>
      <c r="M638" s="224"/>
      <c r="N638" s="224"/>
      <c r="O638" s="224"/>
      <c r="P638" s="224"/>
      <c r="Q638" s="224"/>
    </row>
    <row r="639" spans="2:17">
      <c r="B639" s="224"/>
      <c r="C639" s="224"/>
      <c r="D639" s="224"/>
      <c r="E639" s="224"/>
      <c r="F639" s="224"/>
      <c r="G639" s="224"/>
      <c r="H639" s="224"/>
      <c r="I639" s="224"/>
      <c r="J639" s="224"/>
      <c r="K639" s="224"/>
      <c r="L639" s="224"/>
      <c r="M639" s="224"/>
      <c r="N639" s="224"/>
      <c r="O639" s="224"/>
      <c r="P639" s="224"/>
      <c r="Q639" s="224"/>
    </row>
    <row r="640" spans="2:17">
      <c r="B640" s="224"/>
      <c r="C640" s="224"/>
      <c r="D640" s="224"/>
      <c r="E640" s="224"/>
      <c r="F640" s="224"/>
      <c r="G640" s="224"/>
      <c r="H640" s="224"/>
      <c r="I640" s="224"/>
      <c r="J640" s="224"/>
      <c r="K640" s="224"/>
      <c r="L640" s="224"/>
      <c r="M640" s="224"/>
      <c r="N640" s="224"/>
      <c r="O640" s="224"/>
      <c r="P640" s="224"/>
      <c r="Q640" s="224"/>
    </row>
    <row r="641" spans="2:17">
      <c r="B641" s="224"/>
      <c r="C641" s="224"/>
      <c r="D641" s="224"/>
      <c r="E641" s="224"/>
      <c r="F641" s="224"/>
      <c r="G641" s="224"/>
      <c r="H641" s="224"/>
      <c r="I641" s="224"/>
      <c r="J641" s="224"/>
      <c r="K641" s="224"/>
      <c r="L641" s="224"/>
      <c r="M641" s="224"/>
      <c r="N641" s="224"/>
      <c r="O641" s="224"/>
      <c r="P641" s="224"/>
      <c r="Q641" s="224"/>
    </row>
    <row r="642" spans="2:17">
      <c r="B642" s="224"/>
      <c r="C642" s="224"/>
      <c r="D642" s="224"/>
      <c r="E642" s="224"/>
      <c r="F642" s="224"/>
      <c r="G642" s="224"/>
      <c r="H642" s="224"/>
      <c r="I642" s="224"/>
      <c r="J642" s="224"/>
      <c r="K642" s="224"/>
      <c r="L642" s="224"/>
      <c r="M642" s="224"/>
      <c r="N642" s="224"/>
      <c r="O642" s="224"/>
      <c r="P642" s="224"/>
      <c r="Q642" s="224"/>
    </row>
    <row r="643" spans="2:17">
      <c r="B643" s="224"/>
      <c r="C643" s="224"/>
      <c r="D643" s="224"/>
      <c r="E643" s="224"/>
      <c r="F643" s="224"/>
      <c r="G643" s="224"/>
      <c r="H643" s="224"/>
      <c r="I643" s="224"/>
      <c r="J643" s="224"/>
      <c r="K643" s="224"/>
      <c r="L643" s="224"/>
      <c r="M643" s="224"/>
      <c r="N643" s="224"/>
      <c r="O643" s="224"/>
      <c r="P643" s="224"/>
      <c r="Q643" s="224"/>
    </row>
    <row r="644" spans="2:17">
      <c r="B644" s="224"/>
      <c r="C644" s="224"/>
      <c r="D644" s="224"/>
      <c r="E644" s="224"/>
      <c r="F644" s="224"/>
      <c r="G644" s="224"/>
      <c r="H644" s="224"/>
      <c r="I644" s="224"/>
      <c r="J644" s="224"/>
      <c r="K644" s="224"/>
      <c r="L644" s="224"/>
      <c r="M644" s="224"/>
      <c r="N644" s="224"/>
      <c r="O644" s="224"/>
      <c r="P644" s="224"/>
      <c r="Q644" s="224"/>
    </row>
    <row r="645" spans="2:17">
      <c r="B645" s="224"/>
      <c r="C645" s="224"/>
      <c r="D645" s="224"/>
      <c r="E645" s="224"/>
      <c r="F645" s="224"/>
      <c r="G645" s="224"/>
      <c r="H645" s="224"/>
      <c r="I645" s="224"/>
      <c r="J645" s="224"/>
      <c r="K645" s="224"/>
      <c r="L645" s="224"/>
      <c r="M645" s="224"/>
      <c r="N645" s="224"/>
      <c r="O645" s="224"/>
      <c r="P645" s="224"/>
      <c r="Q645" s="224"/>
    </row>
    <row r="646" spans="2:17">
      <c r="B646" s="224"/>
      <c r="C646" s="224"/>
      <c r="D646" s="224"/>
      <c r="E646" s="224"/>
      <c r="F646" s="224"/>
      <c r="G646" s="224"/>
      <c r="H646" s="224"/>
      <c r="I646" s="224"/>
      <c r="J646" s="224"/>
      <c r="K646" s="224"/>
      <c r="L646" s="224"/>
      <c r="M646" s="224"/>
      <c r="N646" s="224"/>
      <c r="O646" s="224"/>
      <c r="P646" s="224"/>
      <c r="Q646" s="224"/>
    </row>
    <row r="647" spans="2:17">
      <c r="B647" s="224"/>
      <c r="C647" s="224"/>
      <c r="D647" s="224"/>
      <c r="E647" s="224"/>
      <c r="F647" s="224"/>
      <c r="G647" s="224"/>
      <c r="H647" s="224"/>
      <c r="I647" s="224"/>
      <c r="J647" s="224"/>
      <c r="K647" s="224"/>
      <c r="L647" s="224"/>
      <c r="M647" s="224"/>
      <c r="N647" s="224"/>
      <c r="O647" s="224"/>
      <c r="P647" s="224"/>
      <c r="Q647" s="224"/>
    </row>
    <row r="648" spans="2:17">
      <c r="B648" s="224"/>
      <c r="C648" s="224"/>
      <c r="D648" s="224"/>
      <c r="E648" s="224"/>
      <c r="F648" s="224"/>
      <c r="G648" s="224"/>
      <c r="H648" s="224"/>
      <c r="I648" s="224"/>
      <c r="J648" s="224"/>
      <c r="K648" s="224"/>
      <c r="L648" s="224"/>
      <c r="M648" s="224"/>
      <c r="N648" s="224"/>
      <c r="O648" s="224"/>
      <c r="P648" s="224"/>
      <c r="Q648" s="224"/>
    </row>
    <row r="649" spans="2:17">
      <c r="B649" s="224"/>
      <c r="C649" s="224"/>
      <c r="D649" s="224"/>
      <c r="E649" s="224"/>
      <c r="F649" s="224"/>
      <c r="G649" s="224"/>
      <c r="H649" s="224"/>
      <c r="I649" s="224"/>
      <c r="J649" s="224"/>
      <c r="K649" s="224"/>
      <c r="L649" s="224"/>
      <c r="M649" s="224"/>
      <c r="N649" s="224"/>
      <c r="O649" s="224"/>
      <c r="P649" s="224"/>
      <c r="Q649" s="224"/>
    </row>
    <row r="650" spans="2:17">
      <c r="B650" s="224"/>
      <c r="C650" s="224"/>
      <c r="D650" s="224"/>
      <c r="E650" s="224"/>
      <c r="F650" s="224"/>
      <c r="G650" s="224"/>
      <c r="H650" s="224"/>
      <c r="I650" s="224"/>
      <c r="J650" s="224"/>
      <c r="K650" s="224"/>
      <c r="L650" s="224"/>
      <c r="M650" s="224"/>
      <c r="N650" s="224"/>
      <c r="O650" s="224"/>
      <c r="P650" s="224"/>
      <c r="Q650" s="224"/>
    </row>
    <row r="651" spans="2:17">
      <c r="B651" s="224"/>
      <c r="C651" s="224"/>
      <c r="D651" s="224"/>
      <c r="E651" s="224"/>
      <c r="F651" s="224"/>
      <c r="G651" s="224"/>
      <c r="H651" s="224"/>
      <c r="I651" s="224"/>
      <c r="J651" s="224"/>
      <c r="K651" s="224"/>
      <c r="L651" s="224"/>
      <c r="M651" s="224"/>
      <c r="N651" s="224"/>
      <c r="O651" s="224"/>
      <c r="P651" s="224"/>
      <c r="Q651" s="224"/>
    </row>
    <row r="652" spans="2:17">
      <c r="B652" s="224"/>
      <c r="C652" s="224"/>
      <c r="D652" s="224"/>
      <c r="E652" s="224"/>
      <c r="F652" s="224"/>
      <c r="G652" s="224"/>
      <c r="H652" s="224"/>
      <c r="I652" s="224"/>
      <c r="J652" s="224"/>
      <c r="K652" s="224"/>
      <c r="L652" s="224"/>
      <c r="M652" s="224"/>
      <c r="N652" s="224"/>
      <c r="O652" s="224"/>
      <c r="P652" s="224"/>
      <c r="Q652" s="224"/>
    </row>
    <row r="653" spans="2:17">
      <c r="B653" s="224"/>
      <c r="C653" s="224"/>
      <c r="D653" s="224"/>
      <c r="E653" s="224"/>
      <c r="F653" s="224"/>
      <c r="G653" s="224"/>
      <c r="H653" s="224"/>
      <c r="I653" s="224"/>
      <c r="J653" s="224"/>
      <c r="K653" s="224"/>
      <c r="L653" s="224"/>
      <c r="M653" s="224"/>
      <c r="N653" s="224"/>
      <c r="O653" s="224"/>
      <c r="P653" s="224"/>
      <c r="Q653" s="224"/>
    </row>
    <row r="654" spans="2:17">
      <c r="B654" s="224"/>
      <c r="C654" s="224"/>
      <c r="D654" s="224"/>
      <c r="E654" s="224"/>
      <c r="F654" s="224"/>
      <c r="G654" s="224"/>
      <c r="H654" s="224"/>
      <c r="I654" s="224"/>
      <c r="J654" s="224"/>
      <c r="K654" s="224"/>
      <c r="L654" s="224"/>
      <c r="M654" s="224"/>
      <c r="N654" s="224"/>
      <c r="O654" s="224"/>
      <c r="P654" s="224"/>
      <c r="Q654" s="224"/>
    </row>
    <row r="655" spans="2:17">
      <c r="B655" s="224"/>
      <c r="C655" s="224"/>
      <c r="D655" s="224"/>
      <c r="E655" s="224"/>
      <c r="F655" s="224"/>
      <c r="G655" s="224"/>
      <c r="H655" s="224"/>
      <c r="I655" s="224"/>
      <c r="J655" s="224"/>
      <c r="K655" s="224"/>
      <c r="L655" s="224"/>
      <c r="M655" s="224"/>
      <c r="N655" s="224"/>
      <c r="O655" s="224"/>
      <c r="P655" s="224"/>
      <c r="Q655" s="224"/>
    </row>
    <row r="656" spans="2:17">
      <c r="B656" s="224"/>
      <c r="C656" s="224"/>
      <c r="D656" s="224"/>
      <c r="E656" s="224"/>
      <c r="F656" s="224"/>
      <c r="G656" s="224"/>
      <c r="H656" s="224"/>
      <c r="I656" s="224"/>
      <c r="J656" s="224"/>
      <c r="K656" s="224"/>
      <c r="L656" s="224"/>
      <c r="M656" s="224"/>
      <c r="N656" s="224"/>
      <c r="O656" s="224"/>
      <c r="P656" s="224"/>
      <c r="Q656" s="224"/>
    </row>
    <row r="657" spans="2:17">
      <c r="B657" s="224"/>
      <c r="C657" s="224"/>
      <c r="D657" s="224"/>
      <c r="E657" s="224"/>
      <c r="F657" s="224"/>
      <c r="G657" s="224"/>
      <c r="H657" s="224"/>
      <c r="I657" s="224"/>
      <c r="J657" s="224"/>
      <c r="K657" s="224"/>
      <c r="L657" s="224"/>
      <c r="M657" s="224"/>
      <c r="N657" s="224"/>
      <c r="O657" s="224"/>
      <c r="P657" s="224"/>
      <c r="Q657" s="224"/>
    </row>
    <row r="658" spans="2:17">
      <c r="B658" s="224"/>
      <c r="C658" s="224"/>
      <c r="D658" s="224"/>
      <c r="E658" s="224"/>
      <c r="F658" s="224"/>
      <c r="G658" s="224"/>
      <c r="H658" s="224"/>
      <c r="I658" s="224"/>
      <c r="J658" s="224"/>
      <c r="K658" s="224"/>
      <c r="L658" s="224"/>
      <c r="M658" s="224"/>
      <c r="N658" s="224"/>
      <c r="O658" s="224"/>
      <c r="P658" s="224"/>
      <c r="Q658" s="224"/>
    </row>
    <row r="659" spans="2:17">
      <c r="B659" s="224"/>
      <c r="C659" s="224"/>
      <c r="D659" s="224"/>
      <c r="E659" s="224"/>
      <c r="F659" s="224"/>
      <c r="G659" s="224"/>
      <c r="H659" s="224"/>
      <c r="I659" s="224"/>
      <c r="J659" s="224"/>
      <c r="K659" s="224"/>
      <c r="L659" s="224"/>
      <c r="M659" s="224"/>
      <c r="N659" s="224"/>
      <c r="O659" s="224"/>
      <c r="P659" s="224"/>
      <c r="Q659" s="224"/>
    </row>
    <row r="660" spans="2:17">
      <c r="B660" s="224"/>
      <c r="C660" s="224"/>
      <c r="D660" s="224"/>
      <c r="E660" s="224"/>
      <c r="F660" s="224"/>
      <c r="G660" s="224"/>
      <c r="H660" s="224"/>
      <c r="I660" s="224"/>
      <c r="J660" s="224"/>
      <c r="K660" s="224"/>
      <c r="L660" s="224"/>
      <c r="M660" s="224"/>
      <c r="N660" s="224"/>
      <c r="O660" s="224"/>
      <c r="P660" s="224"/>
      <c r="Q660" s="224"/>
    </row>
    <row r="661" spans="2:17">
      <c r="B661" s="224"/>
      <c r="C661" s="224"/>
      <c r="D661" s="224"/>
      <c r="E661" s="224"/>
      <c r="F661" s="224"/>
      <c r="G661" s="224"/>
      <c r="H661" s="224"/>
      <c r="I661" s="224"/>
      <c r="J661" s="224"/>
      <c r="K661" s="224"/>
      <c r="L661" s="224"/>
      <c r="M661" s="224"/>
      <c r="N661" s="224"/>
      <c r="O661" s="224"/>
      <c r="P661" s="224"/>
      <c r="Q661" s="224"/>
    </row>
    <row r="662" spans="2:17">
      <c r="B662" s="224"/>
      <c r="C662" s="224"/>
      <c r="D662" s="224"/>
      <c r="E662" s="224"/>
      <c r="F662" s="224"/>
      <c r="G662" s="224"/>
      <c r="H662" s="224"/>
      <c r="I662" s="224"/>
      <c r="J662" s="224"/>
      <c r="K662" s="224"/>
      <c r="L662" s="224"/>
      <c r="M662" s="224"/>
      <c r="N662" s="224"/>
      <c r="O662" s="224"/>
      <c r="P662" s="224"/>
      <c r="Q662" s="224"/>
    </row>
    <row r="663" spans="2:17">
      <c r="B663" s="224"/>
      <c r="C663" s="224"/>
      <c r="D663" s="224"/>
      <c r="E663" s="224"/>
      <c r="F663" s="224"/>
      <c r="G663" s="224"/>
      <c r="H663" s="224"/>
      <c r="I663" s="224"/>
      <c r="J663" s="224"/>
      <c r="K663" s="224"/>
      <c r="L663" s="224"/>
      <c r="M663" s="224"/>
      <c r="N663" s="224"/>
      <c r="O663" s="224"/>
      <c r="P663" s="224"/>
      <c r="Q663" s="224"/>
    </row>
    <row r="664" spans="2:17">
      <c r="B664" s="224"/>
      <c r="C664" s="224"/>
      <c r="D664" s="224"/>
      <c r="E664" s="224"/>
      <c r="F664" s="224"/>
      <c r="G664" s="224"/>
      <c r="H664" s="224"/>
      <c r="I664" s="224"/>
      <c r="J664" s="224"/>
      <c r="K664" s="224"/>
      <c r="L664" s="224"/>
      <c r="M664" s="224"/>
      <c r="N664" s="224"/>
      <c r="O664" s="224"/>
      <c r="P664" s="224"/>
      <c r="Q664" s="224"/>
    </row>
    <row r="665" spans="2:17">
      <c r="B665" s="224"/>
      <c r="C665" s="224"/>
      <c r="D665" s="224"/>
      <c r="E665" s="224"/>
      <c r="F665" s="224"/>
      <c r="G665" s="224"/>
      <c r="H665" s="224"/>
      <c r="I665" s="224"/>
      <c r="J665" s="224"/>
      <c r="K665" s="224"/>
      <c r="L665" s="224"/>
      <c r="M665" s="224"/>
      <c r="N665" s="224"/>
      <c r="O665" s="224"/>
      <c r="P665" s="224"/>
      <c r="Q665" s="224"/>
    </row>
    <row r="666" spans="2:17">
      <c r="B666" s="224"/>
      <c r="C666" s="224"/>
      <c r="D666" s="224"/>
      <c r="E666" s="224"/>
      <c r="F666" s="224"/>
      <c r="G666" s="224"/>
      <c r="H666" s="224"/>
      <c r="I666" s="224"/>
      <c r="J666" s="224"/>
      <c r="K666" s="224"/>
      <c r="L666" s="224"/>
      <c r="M666" s="224"/>
      <c r="N666" s="224"/>
      <c r="O666" s="224"/>
      <c r="P666" s="224"/>
      <c r="Q666" s="224"/>
    </row>
    <row r="667" spans="2:17">
      <c r="B667" s="224"/>
      <c r="C667" s="224"/>
      <c r="D667" s="224"/>
      <c r="E667" s="224"/>
      <c r="F667" s="224"/>
      <c r="G667" s="224"/>
      <c r="H667" s="224"/>
      <c r="I667" s="224"/>
      <c r="J667" s="224"/>
      <c r="K667" s="224"/>
      <c r="L667" s="224"/>
      <c r="M667" s="224"/>
      <c r="N667" s="224"/>
      <c r="O667" s="224"/>
      <c r="P667" s="224"/>
      <c r="Q667" s="224"/>
    </row>
    <row r="668" spans="2:17">
      <c r="B668" s="224"/>
      <c r="C668" s="224"/>
      <c r="D668" s="224"/>
      <c r="E668" s="224"/>
      <c r="F668" s="224"/>
      <c r="G668" s="224"/>
      <c r="H668" s="224"/>
      <c r="I668" s="224"/>
      <c r="J668" s="224"/>
      <c r="K668" s="224"/>
      <c r="L668" s="224"/>
      <c r="M668" s="224"/>
      <c r="N668" s="224"/>
      <c r="O668" s="224"/>
      <c r="P668" s="224"/>
      <c r="Q668" s="224"/>
    </row>
    <row r="669" spans="2:17">
      <c r="B669" s="224"/>
      <c r="C669" s="224"/>
      <c r="D669" s="224"/>
      <c r="E669" s="224"/>
      <c r="F669" s="224"/>
      <c r="G669" s="224"/>
      <c r="H669" s="224"/>
      <c r="I669" s="224"/>
      <c r="J669" s="224"/>
      <c r="K669" s="224"/>
      <c r="L669" s="224"/>
      <c r="M669" s="224"/>
      <c r="N669" s="224"/>
      <c r="O669" s="224"/>
      <c r="P669" s="224"/>
      <c r="Q669" s="224"/>
    </row>
    <row r="670" spans="2:17">
      <c r="B670" s="224"/>
      <c r="C670" s="224"/>
      <c r="D670" s="224"/>
      <c r="E670" s="224"/>
      <c r="F670" s="224"/>
      <c r="G670" s="224"/>
      <c r="H670" s="224"/>
      <c r="I670" s="224"/>
      <c r="J670" s="224"/>
      <c r="K670" s="224"/>
      <c r="L670" s="224"/>
      <c r="M670" s="224"/>
      <c r="N670" s="224"/>
      <c r="O670" s="224"/>
      <c r="P670" s="224"/>
      <c r="Q670" s="224"/>
    </row>
    <row r="671" spans="2:17">
      <c r="B671" s="224"/>
      <c r="C671" s="224"/>
      <c r="D671" s="224"/>
      <c r="E671" s="224"/>
      <c r="F671" s="224"/>
      <c r="G671" s="224"/>
      <c r="H671" s="224"/>
      <c r="I671" s="224"/>
      <c r="J671" s="224"/>
      <c r="K671" s="224"/>
      <c r="L671" s="224"/>
      <c r="M671" s="224"/>
      <c r="N671" s="224"/>
      <c r="O671" s="224"/>
      <c r="P671" s="224"/>
      <c r="Q671" s="224"/>
    </row>
    <row r="672" spans="2:17">
      <c r="B672" s="224"/>
      <c r="C672" s="224"/>
      <c r="D672" s="224"/>
      <c r="E672" s="224"/>
      <c r="F672" s="224"/>
      <c r="G672" s="224"/>
      <c r="H672" s="224"/>
      <c r="I672" s="224"/>
      <c r="J672" s="224"/>
      <c r="K672" s="224"/>
      <c r="L672" s="224"/>
      <c r="M672" s="224"/>
      <c r="N672" s="224"/>
      <c r="O672" s="224"/>
      <c r="P672" s="224"/>
      <c r="Q672" s="224"/>
    </row>
    <row r="673" spans="2:17">
      <c r="B673" s="224"/>
      <c r="C673" s="224"/>
      <c r="D673" s="224"/>
      <c r="E673" s="224"/>
      <c r="F673" s="224"/>
      <c r="G673" s="224"/>
      <c r="H673" s="224"/>
      <c r="I673" s="224"/>
      <c r="J673" s="224"/>
      <c r="K673" s="224"/>
      <c r="L673" s="224"/>
      <c r="M673" s="224"/>
      <c r="N673" s="224"/>
      <c r="O673" s="224"/>
      <c r="P673" s="224"/>
      <c r="Q673" s="224"/>
    </row>
    <row r="674" spans="2:17">
      <c r="B674" s="224"/>
      <c r="C674" s="224"/>
      <c r="D674" s="224"/>
      <c r="E674" s="224"/>
      <c r="F674" s="224"/>
      <c r="G674" s="224"/>
      <c r="H674" s="224"/>
      <c r="I674" s="224"/>
      <c r="J674" s="224"/>
      <c r="K674" s="224"/>
      <c r="L674" s="224"/>
      <c r="M674" s="224"/>
      <c r="N674" s="224"/>
      <c r="O674" s="224"/>
      <c r="P674" s="224"/>
      <c r="Q674" s="224"/>
    </row>
    <row r="675" spans="2:17">
      <c r="B675" s="224"/>
      <c r="C675" s="224"/>
      <c r="D675" s="224"/>
      <c r="E675" s="224"/>
      <c r="F675" s="224"/>
      <c r="G675" s="224"/>
      <c r="H675" s="224"/>
      <c r="I675" s="224"/>
      <c r="J675" s="224"/>
      <c r="K675" s="224"/>
      <c r="L675" s="224"/>
      <c r="M675" s="224"/>
      <c r="N675" s="224"/>
      <c r="O675" s="224"/>
      <c r="P675" s="224"/>
      <c r="Q675" s="224"/>
    </row>
    <row r="676" spans="2:17">
      <c r="B676" s="224"/>
      <c r="C676" s="224"/>
      <c r="D676" s="224"/>
      <c r="E676" s="224"/>
      <c r="F676" s="224"/>
      <c r="G676" s="224"/>
      <c r="H676" s="224"/>
      <c r="I676" s="224"/>
      <c r="J676" s="224"/>
      <c r="K676" s="224"/>
      <c r="L676" s="224"/>
      <c r="M676" s="224"/>
      <c r="N676" s="224"/>
      <c r="O676" s="224"/>
      <c r="P676" s="224"/>
      <c r="Q676" s="224"/>
    </row>
    <row r="677" spans="2:17">
      <c r="B677" s="224"/>
      <c r="C677" s="224"/>
      <c r="D677" s="224"/>
      <c r="E677" s="224"/>
      <c r="F677" s="224"/>
      <c r="G677" s="224"/>
      <c r="H677" s="224"/>
      <c r="I677" s="224"/>
      <c r="J677" s="224"/>
      <c r="K677" s="224"/>
      <c r="L677" s="224"/>
      <c r="M677" s="224"/>
      <c r="N677" s="224"/>
      <c r="O677" s="224"/>
      <c r="P677" s="224"/>
      <c r="Q677" s="224"/>
    </row>
    <row r="678" spans="2:17">
      <c r="B678" s="224"/>
      <c r="C678" s="224"/>
      <c r="D678" s="224"/>
      <c r="E678" s="224"/>
      <c r="F678" s="224"/>
      <c r="G678" s="224"/>
      <c r="H678" s="224"/>
      <c r="I678" s="224"/>
      <c r="J678" s="224"/>
      <c r="K678" s="224"/>
      <c r="L678" s="224"/>
      <c r="M678" s="224"/>
      <c r="N678" s="224"/>
      <c r="O678" s="224"/>
      <c r="P678" s="224"/>
      <c r="Q678" s="224"/>
    </row>
    <row r="679" spans="2:17">
      <c r="B679" s="224"/>
      <c r="C679" s="224"/>
      <c r="D679" s="224"/>
      <c r="E679" s="224"/>
      <c r="F679" s="224"/>
      <c r="G679" s="224"/>
      <c r="H679" s="224"/>
      <c r="I679" s="224"/>
      <c r="J679" s="224"/>
      <c r="K679" s="224"/>
      <c r="L679" s="224"/>
      <c r="M679" s="224"/>
      <c r="N679" s="224"/>
      <c r="O679" s="224"/>
      <c r="P679" s="224"/>
      <c r="Q679" s="224"/>
    </row>
    <row r="680" spans="2:17">
      <c r="B680" s="224"/>
      <c r="C680" s="224"/>
      <c r="D680" s="224"/>
      <c r="E680" s="224"/>
      <c r="F680" s="224"/>
      <c r="G680" s="224"/>
      <c r="H680" s="224"/>
      <c r="I680" s="224"/>
      <c r="J680" s="224"/>
      <c r="K680" s="224"/>
      <c r="L680" s="224"/>
      <c r="M680" s="224"/>
      <c r="N680" s="224"/>
      <c r="O680" s="224"/>
      <c r="P680" s="224"/>
      <c r="Q680" s="224"/>
    </row>
    <row r="681" spans="2:17">
      <c r="B681" s="224"/>
      <c r="C681" s="224"/>
      <c r="D681" s="224"/>
      <c r="E681" s="224"/>
      <c r="F681" s="224"/>
      <c r="G681" s="224"/>
      <c r="H681" s="224"/>
      <c r="I681" s="224"/>
      <c r="J681" s="224"/>
      <c r="K681" s="224"/>
      <c r="L681" s="224"/>
      <c r="M681" s="224"/>
      <c r="N681" s="224"/>
      <c r="O681" s="224"/>
      <c r="P681" s="224"/>
      <c r="Q681" s="224"/>
    </row>
    <row r="682" spans="2:17">
      <c r="B682" s="224"/>
      <c r="C682" s="224"/>
      <c r="D682" s="224"/>
      <c r="E682" s="224"/>
      <c r="F682" s="224"/>
      <c r="G682" s="224"/>
      <c r="H682" s="224"/>
      <c r="I682" s="224"/>
      <c r="J682" s="224"/>
      <c r="K682" s="224"/>
      <c r="L682" s="224"/>
      <c r="M682" s="224"/>
      <c r="N682" s="224"/>
      <c r="O682" s="224"/>
      <c r="P682" s="224"/>
      <c r="Q682" s="224"/>
    </row>
    <row r="683" spans="2:17">
      <c r="B683" s="224"/>
      <c r="C683" s="224"/>
      <c r="D683" s="224"/>
      <c r="E683" s="224"/>
      <c r="F683" s="224"/>
      <c r="G683" s="224"/>
      <c r="H683" s="224"/>
      <c r="I683" s="224"/>
      <c r="J683" s="224"/>
      <c r="K683" s="224"/>
      <c r="L683" s="224"/>
      <c r="M683" s="224"/>
      <c r="N683" s="224"/>
      <c r="O683" s="224"/>
      <c r="P683" s="224"/>
      <c r="Q683" s="224"/>
    </row>
    <row r="684" spans="2:17">
      <c r="B684" s="224"/>
      <c r="C684" s="224"/>
      <c r="D684" s="224"/>
      <c r="E684" s="224"/>
      <c r="F684" s="224"/>
      <c r="G684" s="224"/>
      <c r="H684" s="224"/>
      <c r="I684" s="224"/>
      <c r="J684" s="224"/>
      <c r="K684" s="224"/>
      <c r="L684" s="224"/>
      <c r="M684" s="224"/>
      <c r="N684" s="224"/>
      <c r="O684" s="224"/>
      <c r="P684" s="224"/>
      <c r="Q684" s="224"/>
    </row>
    <row r="685" spans="2:17">
      <c r="B685" s="224"/>
      <c r="C685" s="224"/>
      <c r="D685" s="224"/>
      <c r="E685" s="224"/>
      <c r="F685" s="224"/>
      <c r="G685" s="224"/>
      <c r="H685" s="224"/>
      <c r="I685" s="224"/>
      <c r="J685" s="224"/>
      <c r="K685" s="224"/>
      <c r="L685" s="224"/>
      <c r="M685" s="224"/>
      <c r="N685" s="224"/>
      <c r="O685" s="224"/>
      <c r="P685" s="224"/>
      <c r="Q685" s="224"/>
    </row>
    <row r="686" spans="2:17">
      <c r="B686" s="224"/>
      <c r="C686" s="224"/>
      <c r="D686" s="224"/>
      <c r="E686" s="224"/>
      <c r="F686" s="224"/>
      <c r="G686" s="224"/>
      <c r="H686" s="224"/>
      <c r="I686" s="224"/>
      <c r="J686" s="224"/>
      <c r="K686" s="224"/>
      <c r="L686" s="224"/>
      <c r="M686" s="224"/>
      <c r="N686" s="224"/>
      <c r="O686" s="224"/>
      <c r="P686" s="224"/>
      <c r="Q686" s="224"/>
    </row>
    <row r="687" spans="2:17">
      <c r="B687" s="224"/>
      <c r="C687" s="224"/>
      <c r="D687" s="224"/>
      <c r="E687" s="224"/>
      <c r="F687" s="224"/>
      <c r="G687" s="224"/>
      <c r="H687" s="224"/>
      <c r="I687" s="224"/>
      <c r="J687" s="224"/>
      <c r="K687" s="224"/>
      <c r="L687" s="224"/>
      <c r="M687" s="224"/>
      <c r="N687" s="224"/>
      <c r="O687" s="224"/>
      <c r="P687" s="224"/>
      <c r="Q687" s="224"/>
    </row>
    <row r="688" spans="2:17">
      <c r="B688" s="224"/>
      <c r="C688" s="224"/>
      <c r="D688" s="224"/>
      <c r="E688" s="224"/>
      <c r="F688" s="224"/>
      <c r="G688" s="224"/>
      <c r="H688" s="224"/>
      <c r="I688" s="224"/>
      <c r="J688" s="224"/>
      <c r="K688" s="224"/>
      <c r="L688" s="224"/>
      <c r="M688" s="224"/>
      <c r="N688" s="224"/>
      <c r="O688" s="224"/>
      <c r="P688" s="224"/>
      <c r="Q688" s="224"/>
    </row>
    <row r="689" spans="2:17">
      <c r="B689" s="224"/>
      <c r="C689" s="224"/>
      <c r="D689" s="224"/>
      <c r="E689" s="224"/>
      <c r="F689" s="224"/>
      <c r="G689" s="224"/>
      <c r="H689" s="224"/>
      <c r="I689" s="224"/>
      <c r="J689" s="224"/>
      <c r="K689" s="224"/>
      <c r="L689" s="224"/>
      <c r="M689" s="224"/>
      <c r="N689" s="224"/>
      <c r="O689" s="224"/>
      <c r="P689" s="224"/>
      <c r="Q689" s="224"/>
    </row>
    <row r="690" spans="2:17">
      <c r="B690" s="224"/>
      <c r="C690" s="224"/>
      <c r="D690" s="224"/>
      <c r="E690" s="224"/>
      <c r="F690" s="224"/>
      <c r="G690" s="224"/>
      <c r="H690" s="224"/>
      <c r="I690" s="224"/>
      <c r="J690" s="224"/>
      <c r="K690" s="224"/>
      <c r="L690" s="224"/>
      <c r="M690" s="224"/>
      <c r="N690" s="224"/>
      <c r="O690" s="224"/>
      <c r="P690" s="224"/>
      <c r="Q690" s="224"/>
    </row>
    <row r="691" spans="2:17">
      <c r="B691" s="224"/>
      <c r="C691" s="224"/>
      <c r="D691" s="224"/>
      <c r="E691" s="224"/>
      <c r="F691" s="224"/>
      <c r="G691" s="224"/>
      <c r="H691" s="224"/>
      <c r="I691" s="224"/>
      <c r="J691" s="224"/>
      <c r="K691" s="224"/>
      <c r="L691" s="224"/>
      <c r="M691" s="224"/>
      <c r="N691" s="224"/>
      <c r="O691" s="224"/>
      <c r="P691" s="224"/>
      <c r="Q691" s="224"/>
    </row>
    <row r="692" spans="2:17">
      <c r="B692" s="224"/>
      <c r="C692" s="224"/>
      <c r="D692" s="224"/>
      <c r="E692" s="224"/>
      <c r="F692" s="224"/>
      <c r="G692" s="224"/>
      <c r="H692" s="224"/>
      <c r="I692" s="224"/>
      <c r="J692" s="224"/>
      <c r="K692" s="224"/>
      <c r="L692" s="224"/>
      <c r="M692" s="224"/>
      <c r="N692" s="224"/>
      <c r="O692" s="224"/>
      <c r="P692" s="224"/>
      <c r="Q692" s="224"/>
    </row>
    <row r="693" spans="2:17">
      <c r="B693" s="224"/>
      <c r="C693" s="224"/>
      <c r="D693" s="224"/>
      <c r="E693" s="224"/>
      <c r="F693" s="224"/>
      <c r="G693" s="224"/>
      <c r="H693" s="224"/>
      <c r="I693" s="224"/>
      <c r="J693" s="224"/>
      <c r="K693" s="224"/>
      <c r="L693" s="224"/>
      <c r="M693" s="224"/>
      <c r="N693" s="224"/>
      <c r="O693" s="224"/>
      <c r="P693" s="224"/>
      <c r="Q693" s="224"/>
    </row>
    <row r="694" spans="2:17">
      <c r="B694" s="224"/>
      <c r="C694" s="224"/>
      <c r="D694" s="224"/>
      <c r="E694" s="224"/>
      <c r="F694" s="224"/>
      <c r="G694" s="224"/>
      <c r="H694" s="224"/>
      <c r="I694" s="224"/>
      <c r="J694" s="224"/>
      <c r="K694" s="224"/>
      <c r="L694" s="224"/>
      <c r="M694" s="224"/>
      <c r="N694" s="224"/>
      <c r="O694" s="224"/>
      <c r="P694" s="224"/>
      <c r="Q694" s="224"/>
    </row>
    <row r="695" spans="2:17">
      <c r="B695" s="224"/>
      <c r="C695" s="224"/>
      <c r="D695" s="224"/>
      <c r="E695" s="224"/>
      <c r="F695" s="224"/>
      <c r="G695" s="224"/>
      <c r="H695" s="224"/>
      <c r="I695" s="224"/>
      <c r="J695" s="224"/>
      <c r="K695" s="224"/>
      <c r="L695" s="224"/>
      <c r="M695" s="224"/>
      <c r="N695" s="224"/>
      <c r="O695" s="224"/>
      <c r="P695" s="224"/>
      <c r="Q695" s="224"/>
    </row>
    <row r="696" spans="2:17">
      <c r="B696" s="224"/>
      <c r="C696" s="224"/>
      <c r="D696" s="224"/>
      <c r="E696" s="224"/>
      <c r="F696" s="224"/>
      <c r="G696" s="224"/>
      <c r="H696" s="224"/>
      <c r="I696" s="224"/>
      <c r="J696" s="224"/>
      <c r="K696" s="224"/>
      <c r="L696" s="224"/>
      <c r="M696" s="224"/>
      <c r="N696" s="224"/>
      <c r="O696" s="224"/>
      <c r="P696" s="224"/>
      <c r="Q696" s="224"/>
    </row>
    <row r="697" spans="2:17">
      <c r="B697" s="224"/>
      <c r="C697" s="224"/>
      <c r="D697" s="224"/>
      <c r="E697" s="224"/>
      <c r="F697" s="224"/>
      <c r="G697" s="224"/>
      <c r="H697" s="224"/>
      <c r="I697" s="224"/>
      <c r="J697" s="224"/>
      <c r="K697" s="224"/>
      <c r="L697" s="224"/>
      <c r="M697" s="224"/>
      <c r="N697" s="224"/>
      <c r="O697" s="224"/>
      <c r="P697" s="224"/>
      <c r="Q697" s="224"/>
    </row>
    <row r="698" spans="2:17">
      <c r="B698" s="224"/>
      <c r="C698" s="224"/>
      <c r="D698" s="224"/>
      <c r="E698" s="224"/>
      <c r="F698" s="224"/>
      <c r="G698" s="224"/>
      <c r="H698" s="224"/>
      <c r="I698" s="224"/>
      <c r="J698" s="224"/>
      <c r="K698" s="224"/>
      <c r="L698" s="224"/>
      <c r="M698" s="224"/>
      <c r="N698" s="224"/>
      <c r="O698" s="224"/>
      <c r="P698" s="224"/>
      <c r="Q698" s="224"/>
    </row>
    <row r="699" spans="2:17">
      <c r="B699" s="224"/>
      <c r="C699" s="224"/>
      <c r="D699" s="224"/>
      <c r="E699" s="224"/>
      <c r="F699" s="224"/>
      <c r="G699" s="224"/>
      <c r="H699" s="224"/>
      <c r="I699" s="224"/>
      <c r="J699" s="224"/>
      <c r="K699" s="224"/>
      <c r="L699" s="224"/>
      <c r="M699" s="224"/>
      <c r="N699" s="224"/>
      <c r="O699" s="224"/>
      <c r="P699" s="224"/>
      <c r="Q699" s="224"/>
    </row>
    <row r="700" spans="2:17">
      <c r="B700" s="224"/>
      <c r="C700" s="224"/>
      <c r="D700" s="224"/>
      <c r="E700" s="224"/>
      <c r="F700" s="224"/>
      <c r="G700" s="224"/>
      <c r="H700" s="224"/>
      <c r="I700" s="224"/>
      <c r="J700" s="224"/>
      <c r="K700" s="224"/>
      <c r="L700" s="224"/>
      <c r="M700" s="224"/>
      <c r="N700" s="224"/>
      <c r="O700" s="224"/>
      <c r="P700" s="224"/>
      <c r="Q700" s="224"/>
    </row>
    <row r="701" spans="2:17">
      <c r="B701" s="224"/>
      <c r="C701" s="224"/>
      <c r="D701" s="224"/>
      <c r="E701" s="224"/>
      <c r="F701" s="224"/>
      <c r="G701" s="224"/>
      <c r="H701" s="224"/>
      <c r="I701" s="224"/>
      <c r="J701" s="224"/>
      <c r="K701" s="224"/>
      <c r="L701" s="224"/>
      <c r="M701" s="224"/>
      <c r="N701" s="224"/>
      <c r="O701" s="224"/>
      <c r="P701" s="224"/>
      <c r="Q701" s="224"/>
    </row>
    <row r="702" spans="2:17">
      <c r="B702" s="224"/>
      <c r="C702" s="224"/>
      <c r="D702" s="224"/>
      <c r="E702" s="224"/>
      <c r="F702" s="224"/>
      <c r="G702" s="224"/>
      <c r="H702" s="224"/>
      <c r="I702" s="224"/>
      <c r="J702" s="224"/>
      <c r="K702" s="224"/>
      <c r="L702" s="224"/>
      <c r="M702" s="224"/>
      <c r="N702" s="224"/>
      <c r="O702" s="224"/>
      <c r="P702" s="224"/>
      <c r="Q702" s="224"/>
    </row>
    <row r="703" spans="2:17">
      <c r="B703" s="224"/>
      <c r="C703" s="224"/>
      <c r="D703" s="224"/>
      <c r="E703" s="224"/>
      <c r="F703" s="224"/>
      <c r="G703" s="224"/>
      <c r="H703" s="224"/>
      <c r="I703" s="224"/>
      <c r="J703" s="224"/>
      <c r="K703" s="224"/>
      <c r="L703" s="224"/>
      <c r="M703" s="224"/>
      <c r="N703" s="224"/>
      <c r="O703" s="224"/>
      <c r="P703" s="224"/>
      <c r="Q703" s="224"/>
    </row>
    <row r="704" spans="2:17">
      <c r="B704" s="224"/>
      <c r="C704" s="224"/>
      <c r="D704" s="224"/>
      <c r="E704" s="224"/>
      <c r="F704" s="224"/>
      <c r="G704" s="224"/>
      <c r="H704" s="224"/>
      <c r="I704" s="224"/>
      <c r="J704" s="224"/>
      <c r="K704" s="224"/>
      <c r="L704" s="224"/>
      <c r="M704" s="224"/>
      <c r="N704" s="224"/>
      <c r="O704" s="224"/>
      <c r="P704" s="224"/>
      <c r="Q704" s="224"/>
    </row>
    <row r="705" spans="2:17">
      <c r="B705" s="224"/>
      <c r="C705" s="224"/>
      <c r="D705" s="224"/>
      <c r="E705" s="224"/>
      <c r="F705" s="224"/>
      <c r="G705" s="224"/>
      <c r="H705" s="224"/>
      <c r="I705" s="224"/>
      <c r="J705" s="224"/>
      <c r="K705" s="224"/>
      <c r="L705" s="224"/>
      <c r="M705" s="224"/>
      <c r="N705" s="224"/>
      <c r="O705" s="224"/>
      <c r="P705" s="224"/>
      <c r="Q705" s="224"/>
    </row>
    <row r="706" spans="2:17">
      <c r="B706" s="224"/>
      <c r="C706" s="224"/>
      <c r="D706" s="224"/>
      <c r="E706" s="224"/>
      <c r="F706" s="224"/>
      <c r="G706" s="224"/>
      <c r="H706" s="224"/>
      <c r="I706" s="224"/>
      <c r="J706" s="224"/>
      <c r="K706" s="224"/>
      <c r="L706" s="224"/>
      <c r="M706" s="224"/>
      <c r="N706" s="224"/>
      <c r="O706" s="224"/>
      <c r="P706" s="224"/>
      <c r="Q706" s="224"/>
    </row>
    <row r="707" spans="2:17">
      <c r="B707" s="224"/>
      <c r="C707" s="224"/>
      <c r="D707" s="224"/>
      <c r="E707" s="224"/>
      <c r="F707" s="224"/>
      <c r="G707" s="224"/>
      <c r="H707" s="224"/>
      <c r="I707" s="224"/>
      <c r="J707" s="224"/>
      <c r="K707" s="224"/>
      <c r="L707" s="224"/>
      <c r="M707" s="224"/>
      <c r="N707" s="224"/>
      <c r="O707" s="224"/>
      <c r="P707" s="224"/>
      <c r="Q707" s="224"/>
    </row>
    <row r="708" spans="2:17">
      <c r="B708" s="224"/>
      <c r="C708" s="224"/>
      <c r="D708" s="224"/>
      <c r="E708" s="224"/>
      <c r="F708" s="224"/>
      <c r="G708" s="224"/>
      <c r="H708" s="224"/>
      <c r="I708" s="224"/>
      <c r="J708" s="224"/>
      <c r="K708" s="224"/>
      <c r="L708" s="224"/>
      <c r="M708" s="224"/>
      <c r="N708" s="224"/>
      <c r="O708" s="224"/>
      <c r="P708" s="224"/>
      <c r="Q708" s="224"/>
    </row>
    <row r="709" spans="2:17">
      <c r="B709" s="224"/>
      <c r="C709" s="224"/>
      <c r="D709" s="224"/>
      <c r="E709" s="224"/>
      <c r="F709" s="224"/>
      <c r="G709" s="224"/>
      <c r="H709" s="224"/>
      <c r="I709" s="224"/>
      <c r="J709" s="224"/>
      <c r="K709" s="224"/>
      <c r="L709" s="224"/>
      <c r="M709" s="224"/>
      <c r="N709" s="224"/>
      <c r="O709" s="224"/>
      <c r="P709" s="224"/>
      <c r="Q709" s="224"/>
    </row>
    <row r="710" spans="2:17">
      <c r="B710" s="224"/>
      <c r="C710" s="224"/>
      <c r="D710" s="224"/>
      <c r="E710" s="224"/>
      <c r="F710" s="224"/>
      <c r="G710" s="224"/>
      <c r="H710" s="224"/>
      <c r="I710" s="224"/>
      <c r="J710" s="224"/>
      <c r="K710" s="224"/>
      <c r="L710" s="224"/>
      <c r="M710" s="224"/>
      <c r="N710" s="224"/>
      <c r="O710" s="224"/>
      <c r="P710" s="224"/>
      <c r="Q710" s="224"/>
    </row>
    <row r="711" spans="2:17">
      <c r="B711" s="224"/>
      <c r="C711" s="224"/>
      <c r="D711" s="224"/>
      <c r="E711" s="224"/>
      <c r="F711" s="224"/>
      <c r="G711" s="224"/>
      <c r="H711" s="224"/>
      <c r="I711" s="224"/>
      <c r="J711" s="224"/>
      <c r="K711" s="224"/>
      <c r="L711" s="224"/>
      <c r="M711" s="224"/>
      <c r="N711" s="224"/>
      <c r="O711" s="224"/>
      <c r="P711" s="224"/>
      <c r="Q711" s="224"/>
    </row>
    <row r="712" spans="2:17">
      <c r="B712" s="224"/>
      <c r="C712" s="224"/>
      <c r="D712" s="224"/>
      <c r="E712" s="224"/>
      <c r="F712" s="224"/>
      <c r="G712" s="224"/>
      <c r="H712" s="224"/>
      <c r="I712" s="224"/>
      <c r="J712" s="224"/>
      <c r="K712" s="224"/>
      <c r="L712" s="224"/>
      <c r="M712" s="224"/>
      <c r="N712" s="224"/>
      <c r="O712" s="224"/>
      <c r="P712" s="224"/>
      <c r="Q712" s="224"/>
    </row>
    <row r="713" spans="2:17">
      <c r="B713" s="224"/>
      <c r="C713" s="224"/>
      <c r="D713" s="224"/>
      <c r="E713" s="224"/>
      <c r="F713" s="224"/>
      <c r="G713" s="224"/>
      <c r="H713" s="224"/>
      <c r="I713" s="224"/>
      <c r="J713" s="224"/>
      <c r="K713" s="224"/>
      <c r="L713" s="224"/>
      <c r="M713" s="224"/>
      <c r="N713" s="224"/>
      <c r="O713" s="224"/>
      <c r="P713" s="224"/>
      <c r="Q713" s="224"/>
    </row>
    <row r="714" spans="2:17">
      <c r="B714" s="224"/>
      <c r="C714" s="224"/>
      <c r="D714" s="224"/>
      <c r="E714" s="224"/>
      <c r="F714" s="224"/>
      <c r="G714" s="224"/>
      <c r="H714" s="224"/>
      <c r="I714" s="224"/>
      <c r="J714" s="224"/>
      <c r="K714" s="224"/>
      <c r="L714" s="224"/>
      <c r="M714" s="224"/>
      <c r="N714" s="224"/>
      <c r="O714" s="224"/>
      <c r="P714" s="224"/>
      <c r="Q714" s="224"/>
    </row>
    <row r="715" spans="2:17">
      <c r="B715" s="224"/>
      <c r="C715" s="224"/>
      <c r="D715" s="224"/>
      <c r="E715" s="224"/>
      <c r="F715" s="224"/>
      <c r="G715" s="224"/>
      <c r="H715" s="224"/>
      <c r="I715" s="224"/>
      <c r="J715" s="224"/>
      <c r="K715" s="224"/>
      <c r="L715" s="224"/>
      <c r="M715" s="224"/>
      <c r="N715" s="224"/>
      <c r="O715" s="224"/>
      <c r="P715" s="224"/>
      <c r="Q715" s="224"/>
    </row>
    <row r="716" spans="2:17">
      <c r="B716" s="224"/>
      <c r="C716" s="224"/>
      <c r="D716" s="224"/>
      <c r="E716" s="224"/>
      <c r="F716" s="224"/>
      <c r="G716" s="224"/>
      <c r="H716" s="224"/>
      <c r="I716" s="224"/>
      <c r="J716" s="224"/>
      <c r="K716" s="224"/>
      <c r="L716" s="224"/>
      <c r="M716" s="224"/>
      <c r="N716" s="224"/>
      <c r="O716" s="224"/>
      <c r="P716" s="224"/>
      <c r="Q716" s="224"/>
    </row>
    <row r="717" spans="2:17">
      <c r="B717" s="224"/>
      <c r="C717" s="224"/>
      <c r="D717" s="224"/>
      <c r="E717" s="224"/>
      <c r="F717" s="224"/>
      <c r="G717" s="224"/>
      <c r="H717" s="224"/>
      <c r="I717" s="224"/>
      <c r="J717" s="224"/>
      <c r="K717" s="224"/>
      <c r="L717" s="224"/>
      <c r="M717" s="224"/>
      <c r="N717" s="224"/>
      <c r="O717" s="224"/>
      <c r="P717" s="224"/>
      <c r="Q717" s="224"/>
    </row>
    <row r="718" spans="2:17">
      <c r="B718" s="224"/>
      <c r="C718" s="224"/>
      <c r="D718" s="224"/>
      <c r="E718" s="224"/>
      <c r="F718" s="224"/>
      <c r="G718" s="224"/>
      <c r="H718" s="224"/>
      <c r="I718" s="224"/>
      <c r="J718" s="224"/>
      <c r="K718" s="224"/>
      <c r="L718" s="224"/>
      <c r="M718" s="224"/>
      <c r="N718" s="224"/>
      <c r="O718" s="224"/>
      <c r="P718" s="224"/>
      <c r="Q718" s="224"/>
    </row>
    <row r="719" spans="2:17">
      <c r="B719" s="224"/>
      <c r="C719" s="224"/>
      <c r="D719" s="224"/>
      <c r="E719" s="224"/>
      <c r="F719" s="224"/>
      <c r="G719" s="224"/>
      <c r="H719" s="224"/>
      <c r="I719" s="224"/>
      <c r="J719" s="224"/>
      <c r="K719" s="224"/>
      <c r="L719" s="224"/>
      <c r="M719" s="224"/>
      <c r="N719" s="224"/>
      <c r="O719" s="224"/>
      <c r="P719" s="224"/>
      <c r="Q719" s="224"/>
    </row>
    <row r="720" spans="2:17">
      <c r="B720" s="224"/>
      <c r="C720" s="224"/>
      <c r="D720" s="224"/>
      <c r="E720" s="224"/>
      <c r="F720" s="224"/>
      <c r="G720" s="224"/>
      <c r="H720" s="224"/>
      <c r="I720" s="224"/>
      <c r="J720" s="224"/>
      <c r="K720" s="224"/>
      <c r="L720" s="224"/>
      <c r="M720" s="224"/>
      <c r="N720" s="224"/>
      <c r="O720" s="224"/>
      <c r="P720" s="224"/>
      <c r="Q720" s="224"/>
    </row>
    <row r="721" spans="2:17">
      <c r="B721" s="224"/>
      <c r="C721" s="224"/>
      <c r="D721" s="224"/>
      <c r="E721" s="224"/>
      <c r="F721" s="224"/>
      <c r="G721" s="224"/>
      <c r="H721" s="224"/>
      <c r="I721" s="224"/>
      <c r="J721" s="224"/>
      <c r="K721" s="224"/>
      <c r="L721" s="224"/>
      <c r="M721" s="224"/>
      <c r="N721" s="224"/>
      <c r="O721" s="224"/>
      <c r="P721" s="224"/>
      <c r="Q721" s="224"/>
    </row>
    <row r="722" spans="2:17">
      <c r="B722" s="224"/>
      <c r="C722" s="224"/>
      <c r="D722" s="224"/>
      <c r="E722" s="224"/>
      <c r="F722" s="224"/>
      <c r="G722" s="224"/>
      <c r="H722" s="224"/>
      <c r="I722" s="224"/>
      <c r="J722" s="224"/>
      <c r="K722" s="224"/>
      <c r="L722" s="224"/>
      <c r="M722" s="224"/>
      <c r="N722" s="224"/>
      <c r="O722" s="224"/>
      <c r="P722" s="224"/>
      <c r="Q722" s="224"/>
    </row>
    <row r="723" spans="2:17">
      <c r="B723" s="224"/>
      <c r="C723" s="224"/>
      <c r="D723" s="224"/>
      <c r="E723" s="224"/>
      <c r="F723" s="224"/>
      <c r="G723" s="224"/>
      <c r="H723" s="224"/>
      <c r="I723" s="224"/>
      <c r="J723" s="224"/>
      <c r="K723" s="224"/>
      <c r="L723" s="224"/>
      <c r="M723" s="224"/>
      <c r="N723" s="224"/>
      <c r="O723" s="224"/>
      <c r="P723" s="224"/>
      <c r="Q723" s="224"/>
    </row>
    <row r="724" spans="2:17">
      <c r="B724" s="224"/>
      <c r="C724" s="224"/>
      <c r="D724" s="224"/>
      <c r="E724" s="224"/>
      <c r="F724" s="224"/>
      <c r="G724" s="224"/>
      <c r="H724" s="224"/>
      <c r="I724" s="224"/>
      <c r="J724" s="224"/>
      <c r="K724" s="224"/>
      <c r="L724" s="224"/>
      <c r="M724" s="224"/>
      <c r="N724" s="224"/>
      <c r="O724" s="224"/>
      <c r="P724" s="224"/>
      <c r="Q724" s="224"/>
    </row>
    <row r="725" spans="2:17">
      <c r="B725" s="224"/>
      <c r="C725" s="224"/>
      <c r="D725" s="224"/>
      <c r="E725" s="224"/>
      <c r="F725" s="224"/>
      <c r="G725" s="224"/>
      <c r="H725" s="224"/>
      <c r="I725" s="224"/>
      <c r="J725" s="224"/>
      <c r="K725" s="224"/>
      <c r="L725" s="224"/>
      <c r="M725" s="224"/>
      <c r="N725" s="224"/>
      <c r="O725" s="224"/>
      <c r="P725" s="224"/>
      <c r="Q725" s="224"/>
    </row>
    <row r="726" spans="2:17">
      <c r="B726" s="224"/>
      <c r="C726" s="224"/>
      <c r="D726" s="224"/>
      <c r="E726" s="224"/>
      <c r="F726" s="224"/>
      <c r="G726" s="224"/>
      <c r="H726" s="224"/>
      <c r="I726" s="224"/>
      <c r="J726" s="224"/>
      <c r="K726" s="224"/>
      <c r="L726" s="224"/>
      <c r="M726" s="224"/>
      <c r="N726" s="224"/>
      <c r="O726" s="224"/>
      <c r="P726" s="224"/>
      <c r="Q726" s="224"/>
    </row>
    <row r="727" spans="2:17">
      <c r="B727" s="224"/>
      <c r="C727" s="224"/>
      <c r="D727" s="224"/>
      <c r="E727" s="224"/>
      <c r="F727" s="224"/>
      <c r="G727" s="224"/>
      <c r="H727" s="224"/>
      <c r="I727" s="224"/>
      <c r="J727" s="224"/>
      <c r="K727" s="224"/>
      <c r="L727" s="224"/>
      <c r="M727" s="224"/>
      <c r="N727" s="224"/>
      <c r="O727" s="224"/>
      <c r="P727" s="224"/>
      <c r="Q727" s="224"/>
    </row>
    <row r="728" spans="2:17">
      <c r="B728" s="224"/>
      <c r="C728" s="224"/>
      <c r="D728" s="224"/>
      <c r="E728" s="224"/>
      <c r="F728" s="224"/>
      <c r="G728" s="224"/>
      <c r="H728" s="224"/>
      <c r="I728" s="224"/>
      <c r="J728" s="224"/>
      <c r="K728" s="224"/>
      <c r="L728" s="224"/>
      <c r="M728" s="224"/>
      <c r="N728" s="224"/>
      <c r="O728" s="224"/>
      <c r="P728" s="224"/>
      <c r="Q728" s="224"/>
    </row>
    <row r="729" spans="2:17">
      <c r="B729" s="224"/>
      <c r="C729" s="224"/>
      <c r="D729" s="224"/>
      <c r="E729" s="224"/>
      <c r="F729" s="224"/>
      <c r="G729" s="224"/>
      <c r="H729" s="224"/>
      <c r="I729" s="224"/>
      <c r="J729" s="224"/>
      <c r="K729" s="224"/>
      <c r="L729" s="224"/>
      <c r="M729" s="224"/>
      <c r="N729" s="224"/>
      <c r="O729" s="224"/>
      <c r="P729" s="224"/>
      <c r="Q729" s="224"/>
    </row>
    <row r="730" spans="2:17">
      <c r="B730" s="224"/>
      <c r="C730" s="224"/>
      <c r="D730" s="224"/>
      <c r="E730" s="224"/>
      <c r="F730" s="224"/>
      <c r="G730" s="224"/>
      <c r="H730" s="224"/>
      <c r="I730" s="224"/>
      <c r="J730" s="224"/>
      <c r="K730" s="224"/>
      <c r="L730" s="224"/>
      <c r="M730" s="224"/>
      <c r="N730" s="224"/>
      <c r="O730" s="224"/>
      <c r="P730" s="224"/>
      <c r="Q730" s="224"/>
    </row>
    <row r="731" spans="2:17">
      <c r="B731" s="224"/>
      <c r="C731" s="224"/>
      <c r="D731" s="224"/>
      <c r="E731" s="224"/>
      <c r="F731" s="224"/>
      <c r="G731" s="224"/>
      <c r="H731" s="224"/>
      <c r="I731" s="224"/>
      <c r="J731" s="224"/>
      <c r="K731" s="224"/>
      <c r="L731" s="224"/>
      <c r="M731" s="224"/>
      <c r="N731" s="224"/>
      <c r="O731" s="224"/>
      <c r="P731" s="224"/>
      <c r="Q731" s="224"/>
    </row>
    <row r="732" spans="2:17">
      <c r="B732" s="224"/>
      <c r="C732" s="224"/>
      <c r="D732" s="224"/>
      <c r="E732" s="224"/>
      <c r="F732" s="224"/>
      <c r="G732" s="224"/>
      <c r="H732" s="224"/>
      <c r="I732" s="224"/>
      <c r="J732" s="224"/>
      <c r="K732" s="224"/>
      <c r="L732" s="224"/>
      <c r="M732" s="224"/>
      <c r="N732" s="224"/>
      <c r="O732" s="224"/>
      <c r="P732" s="224"/>
      <c r="Q732" s="224"/>
    </row>
    <row r="733" spans="2:17">
      <c r="B733" s="224"/>
      <c r="C733" s="224"/>
      <c r="D733" s="224"/>
      <c r="E733" s="224"/>
      <c r="F733" s="224"/>
      <c r="G733" s="224"/>
      <c r="H733" s="224"/>
      <c r="I733" s="224"/>
      <c r="J733" s="224"/>
      <c r="K733" s="224"/>
      <c r="L733" s="224"/>
      <c r="M733" s="224"/>
      <c r="N733" s="224"/>
      <c r="O733" s="224"/>
      <c r="P733" s="224"/>
      <c r="Q733" s="224"/>
    </row>
    <row r="734" spans="2:17">
      <c r="B734" s="224"/>
      <c r="C734" s="224"/>
      <c r="D734" s="224"/>
      <c r="E734" s="224"/>
      <c r="F734" s="224"/>
      <c r="G734" s="224"/>
      <c r="H734" s="224"/>
      <c r="I734" s="224"/>
      <c r="J734" s="224"/>
      <c r="K734" s="224"/>
      <c r="L734" s="224"/>
      <c r="M734" s="224"/>
      <c r="N734" s="224"/>
      <c r="O734" s="224"/>
      <c r="P734" s="224"/>
      <c r="Q734" s="224"/>
    </row>
    <row r="735" spans="2:17">
      <c r="B735" s="224"/>
      <c r="C735" s="224"/>
      <c r="D735" s="224"/>
      <c r="E735" s="224"/>
      <c r="F735" s="224"/>
      <c r="G735" s="224"/>
      <c r="H735" s="224"/>
      <c r="I735" s="224"/>
      <c r="J735" s="224"/>
      <c r="K735" s="224"/>
      <c r="L735" s="224"/>
      <c r="M735" s="224"/>
      <c r="N735" s="224"/>
      <c r="O735" s="224"/>
      <c r="P735" s="224"/>
      <c r="Q735" s="224"/>
    </row>
    <row r="736" spans="2:17">
      <c r="B736" s="224"/>
      <c r="C736" s="224"/>
      <c r="D736" s="224"/>
      <c r="E736" s="224"/>
      <c r="F736" s="224"/>
      <c r="G736" s="224"/>
      <c r="H736" s="224"/>
      <c r="I736" s="224"/>
      <c r="J736" s="224"/>
      <c r="K736" s="224"/>
      <c r="L736" s="224"/>
      <c r="M736" s="224"/>
      <c r="N736" s="224"/>
      <c r="O736" s="224"/>
      <c r="P736" s="224"/>
      <c r="Q736" s="224"/>
    </row>
    <row r="737" spans="2:17">
      <c r="B737" s="224"/>
      <c r="C737" s="224"/>
      <c r="D737" s="224"/>
      <c r="E737" s="224"/>
      <c r="F737" s="224"/>
      <c r="G737" s="224"/>
      <c r="H737" s="224"/>
      <c r="I737" s="224"/>
      <c r="J737" s="224"/>
      <c r="K737" s="224"/>
      <c r="L737" s="224"/>
      <c r="M737" s="224"/>
      <c r="N737" s="224"/>
      <c r="O737" s="224"/>
      <c r="P737" s="224"/>
      <c r="Q737" s="224"/>
    </row>
    <row r="738" spans="2:17">
      <c r="B738" s="224"/>
      <c r="C738" s="224"/>
      <c r="D738" s="224"/>
      <c r="E738" s="224"/>
      <c r="F738" s="224"/>
      <c r="G738" s="224"/>
      <c r="H738" s="224"/>
      <c r="I738" s="224"/>
      <c r="J738" s="224"/>
      <c r="K738" s="224"/>
      <c r="L738" s="224"/>
      <c r="M738" s="224"/>
      <c r="N738" s="224"/>
      <c r="O738" s="224"/>
      <c r="P738" s="224"/>
      <c r="Q738" s="224"/>
    </row>
    <row r="739" spans="2:17">
      <c r="B739" s="224"/>
      <c r="C739" s="224"/>
      <c r="D739" s="224"/>
      <c r="E739" s="224"/>
      <c r="F739" s="224"/>
      <c r="G739" s="224"/>
      <c r="H739" s="224"/>
      <c r="I739" s="224"/>
      <c r="J739" s="224"/>
      <c r="K739" s="224"/>
      <c r="L739" s="224"/>
      <c r="M739" s="224"/>
      <c r="N739" s="224"/>
      <c r="O739" s="224"/>
      <c r="P739" s="224"/>
      <c r="Q739" s="224"/>
    </row>
    <row r="740" spans="2:17">
      <c r="B740" s="224"/>
      <c r="C740" s="224"/>
      <c r="D740" s="224"/>
      <c r="E740" s="224"/>
      <c r="F740" s="224"/>
      <c r="G740" s="224"/>
      <c r="H740" s="224"/>
      <c r="I740" s="224"/>
      <c r="J740" s="224"/>
      <c r="K740" s="224"/>
      <c r="L740" s="224"/>
      <c r="M740" s="224"/>
      <c r="N740" s="224"/>
      <c r="O740" s="224"/>
      <c r="P740" s="224"/>
      <c r="Q740" s="224"/>
    </row>
    <row r="741" spans="2:17">
      <c r="B741" s="224"/>
      <c r="C741" s="224"/>
      <c r="D741" s="224"/>
      <c r="E741" s="224"/>
      <c r="F741" s="224"/>
      <c r="G741" s="224"/>
      <c r="H741" s="224"/>
      <c r="I741" s="224"/>
      <c r="J741" s="224"/>
      <c r="K741" s="224"/>
      <c r="L741" s="224"/>
      <c r="M741" s="224"/>
      <c r="N741" s="224"/>
      <c r="O741" s="224"/>
      <c r="P741" s="224"/>
      <c r="Q741" s="224"/>
    </row>
    <row r="742" spans="2:17">
      <c r="B742" s="224"/>
      <c r="C742" s="224"/>
      <c r="D742" s="224"/>
      <c r="E742" s="224"/>
      <c r="F742" s="224"/>
      <c r="G742" s="224"/>
      <c r="H742" s="224"/>
      <c r="I742" s="224"/>
      <c r="J742" s="224"/>
      <c r="K742" s="224"/>
      <c r="L742" s="224"/>
      <c r="M742" s="224"/>
      <c r="N742" s="224"/>
      <c r="O742" s="224"/>
      <c r="P742" s="224"/>
      <c r="Q742" s="224"/>
    </row>
    <row r="743" spans="2:17">
      <c r="B743" s="224"/>
      <c r="C743" s="224"/>
      <c r="D743" s="224"/>
      <c r="E743" s="224"/>
      <c r="F743" s="224"/>
      <c r="G743" s="224"/>
      <c r="H743" s="224"/>
      <c r="I743" s="224"/>
      <c r="J743" s="224"/>
      <c r="K743" s="224"/>
      <c r="L743" s="224"/>
      <c r="M743" s="224"/>
      <c r="N743" s="224"/>
      <c r="O743" s="224"/>
      <c r="P743" s="224"/>
      <c r="Q743" s="224"/>
    </row>
    <row r="744" spans="2:17">
      <c r="B744" s="224"/>
      <c r="C744" s="224"/>
      <c r="D744" s="224"/>
      <c r="E744" s="224"/>
      <c r="F744" s="224"/>
      <c r="G744" s="224"/>
      <c r="H744" s="224"/>
      <c r="I744" s="224"/>
      <c r="J744" s="224"/>
      <c r="K744" s="224"/>
      <c r="L744" s="224"/>
      <c r="M744" s="224"/>
      <c r="N744" s="224"/>
      <c r="O744" s="224"/>
      <c r="P744" s="224"/>
      <c r="Q744" s="224"/>
    </row>
    <row r="745" spans="2:17">
      <c r="B745" s="224"/>
      <c r="C745" s="224"/>
      <c r="D745" s="224"/>
      <c r="E745" s="224"/>
      <c r="F745" s="224"/>
      <c r="G745" s="224"/>
      <c r="H745" s="224"/>
      <c r="I745" s="224"/>
      <c r="J745" s="224"/>
      <c r="K745" s="224"/>
      <c r="L745" s="224"/>
      <c r="M745" s="224"/>
      <c r="N745" s="224"/>
      <c r="O745" s="224"/>
      <c r="P745" s="224"/>
      <c r="Q745" s="224"/>
    </row>
    <row r="746" spans="2:17">
      <c r="B746" s="224"/>
      <c r="C746" s="224"/>
      <c r="D746" s="224"/>
      <c r="E746" s="224"/>
      <c r="F746" s="224"/>
      <c r="G746" s="224"/>
      <c r="H746" s="224"/>
      <c r="I746" s="224"/>
      <c r="J746" s="224"/>
      <c r="K746" s="224"/>
      <c r="L746" s="224"/>
      <c r="M746" s="224"/>
      <c r="N746" s="224"/>
      <c r="O746" s="224"/>
      <c r="P746" s="224"/>
      <c r="Q746" s="224"/>
    </row>
    <row r="747" spans="2:17">
      <c r="B747" s="224"/>
      <c r="C747" s="224"/>
      <c r="D747" s="224"/>
      <c r="E747" s="224"/>
      <c r="F747" s="224"/>
      <c r="G747" s="224"/>
      <c r="H747" s="224"/>
      <c r="I747" s="224"/>
      <c r="J747" s="224"/>
      <c r="K747" s="224"/>
      <c r="L747" s="224"/>
      <c r="M747" s="224"/>
      <c r="N747" s="224"/>
      <c r="O747" s="224"/>
      <c r="P747" s="224"/>
      <c r="Q747" s="224"/>
    </row>
    <row r="748" spans="2:17">
      <c r="B748" s="224"/>
      <c r="C748" s="224"/>
      <c r="D748" s="224"/>
      <c r="E748" s="224"/>
      <c r="F748" s="224"/>
      <c r="G748" s="224"/>
      <c r="H748" s="224"/>
      <c r="I748" s="224"/>
      <c r="J748" s="224"/>
      <c r="K748" s="224"/>
      <c r="L748" s="224"/>
      <c r="M748" s="224"/>
      <c r="N748" s="224"/>
      <c r="O748" s="224"/>
      <c r="P748" s="224"/>
      <c r="Q748" s="224"/>
    </row>
    <row r="749" spans="2:17">
      <c r="B749" s="224"/>
      <c r="C749" s="224"/>
      <c r="D749" s="224"/>
      <c r="E749" s="224"/>
      <c r="F749" s="224"/>
      <c r="G749" s="224"/>
      <c r="H749" s="224"/>
      <c r="I749" s="224"/>
      <c r="J749" s="224"/>
      <c r="K749" s="224"/>
      <c r="L749" s="224"/>
      <c r="M749" s="224"/>
      <c r="N749" s="224"/>
      <c r="O749" s="224"/>
      <c r="P749" s="224"/>
      <c r="Q749" s="224"/>
    </row>
    <row r="750" spans="2:17">
      <c r="B750" s="224"/>
      <c r="C750" s="224"/>
      <c r="D750" s="224"/>
      <c r="E750" s="224"/>
      <c r="F750" s="224"/>
      <c r="G750" s="224"/>
      <c r="H750" s="224"/>
      <c r="I750" s="224"/>
      <c r="J750" s="224"/>
      <c r="K750" s="224"/>
      <c r="L750" s="224"/>
      <c r="M750" s="224"/>
      <c r="N750" s="224"/>
      <c r="O750" s="224"/>
      <c r="P750" s="224"/>
      <c r="Q750" s="224"/>
    </row>
    <row r="751" spans="2:17">
      <c r="B751" s="224"/>
      <c r="C751" s="224"/>
      <c r="D751" s="224"/>
      <c r="E751" s="224"/>
      <c r="F751" s="224"/>
      <c r="G751" s="224"/>
      <c r="H751" s="224"/>
      <c r="I751" s="224"/>
      <c r="J751" s="224"/>
      <c r="K751" s="224"/>
      <c r="L751" s="224"/>
      <c r="M751" s="224"/>
      <c r="N751" s="224"/>
      <c r="O751" s="224"/>
      <c r="P751" s="224"/>
      <c r="Q751" s="224"/>
    </row>
    <row r="752" spans="2:17">
      <c r="B752" s="224"/>
      <c r="C752" s="224"/>
      <c r="D752" s="224"/>
      <c r="E752" s="224"/>
      <c r="F752" s="224"/>
      <c r="G752" s="224"/>
      <c r="H752" s="224"/>
      <c r="I752" s="224"/>
      <c r="J752" s="224"/>
      <c r="K752" s="224"/>
      <c r="L752" s="224"/>
      <c r="M752" s="224"/>
      <c r="N752" s="224"/>
      <c r="O752" s="224"/>
      <c r="P752" s="224"/>
      <c r="Q752" s="224"/>
    </row>
    <row r="753" spans="2:17">
      <c r="B753" s="224"/>
      <c r="C753" s="224"/>
      <c r="D753" s="224"/>
      <c r="E753" s="224"/>
      <c r="F753" s="224"/>
      <c r="G753" s="224"/>
      <c r="H753" s="224"/>
      <c r="I753" s="224"/>
      <c r="J753" s="224"/>
      <c r="K753" s="224"/>
      <c r="L753" s="224"/>
      <c r="M753" s="224"/>
      <c r="N753" s="224"/>
      <c r="O753" s="224"/>
      <c r="P753" s="224"/>
      <c r="Q753" s="224"/>
    </row>
    <row r="754" spans="2:17">
      <c r="B754" s="224"/>
      <c r="C754" s="224"/>
      <c r="D754" s="224"/>
      <c r="E754" s="224"/>
      <c r="F754" s="224"/>
      <c r="G754" s="224"/>
      <c r="H754" s="224"/>
      <c r="I754" s="224"/>
      <c r="J754" s="224"/>
      <c r="K754" s="224"/>
      <c r="L754" s="224"/>
      <c r="M754" s="224"/>
      <c r="N754" s="224"/>
      <c r="O754" s="224"/>
      <c r="P754" s="224"/>
      <c r="Q754" s="224"/>
    </row>
    <row r="755" spans="2:17">
      <c r="B755" s="224"/>
      <c r="C755" s="224"/>
      <c r="D755" s="224"/>
      <c r="E755" s="224"/>
      <c r="F755" s="224"/>
      <c r="G755" s="224"/>
      <c r="H755" s="224"/>
      <c r="I755" s="224"/>
      <c r="J755" s="224"/>
      <c r="K755" s="224"/>
      <c r="L755" s="224"/>
      <c r="M755" s="224"/>
      <c r="N755" s="224"/>
      <c r="O755" s="224"/>
      <c r="P755" s="224"/>
      <c r="Q755" s="224"/>
    </row>
    <row r="756" spans="2:17">
      <c r="B756" s="224"/>
      <c r="C756" s="224"/>
      <c r="D756" s="224"/>
      <c r="E756" s="224"/>
      <c r="F756" s="224"/>
      <c r="G756" s="224"/>
      <c r="H756" s="224"/>
      <c r="I756" s="224"/>
      <c r="J756" s="224"/>
      <c r="K756" s="224"/>
      <c r="L756" s="224"/>
      <c r="M756" s="224"/>
      <c r="N756" s="224"/>
      <c r="O756" s="224"/>
      <c r="P756" s="224"/>
      <c r="Q756" s="224"/>
    </row>
    <row r="757" spans="2:17">
      <c r="B757" s="224"/>
      <c r="C757" s="224"/>
      <c r="D757" s="224"/>
      <c r="E757" s="224"/>
      <c r="F757" s="224"/>
      <c r="G757" s="224"/>
      <c r="H757" s="224"/>
      <c r="I757" s="224"/>
      <c r="J757" s="224"/>
      <c r="K757" s="224"/>
      <c r="L757" s="224"/>
      <c r="M757" s="224"/>
      <c r="N757" s="224"/>
      <c r="O757" s="224"/>
      <c r="P757" s="224"/>
      <c r="Q757" s="224"/>
    </row>
    <row r="758" spans="2:17">
      <c r="B758" s="224"/>
      <c r="C758" s="224"/>
      <c r="D758" s="224"/>
      <c r="E758" s="224"/>
      <c r="F758" s="224"/>
      <c r="G758" s="224"/>
      <c r="H758" s="224"/>
      <c r="I758" s="224"/>
      <c r="J758" s="224"/>
      <c r="K758" s="224"/>
      <c r="L758" s="224"/>
      <c r="M758" s="224"/>
      <c r="N758" s="224"/>
      <c r="O758" s="224"/>
      <c r="P758" s="224"/>
      <c r="Q758" s="224"/>
    </row>
    <row r="759" spans="2:17">
      <c r="B759" s="224"/>
      <c r="C759" s="224"/>
      <c r="D759" s="224"/>
      <c r="E759" s="224"/>
      <c r="F759" s="224"/>
      <c r="G759" s="224"/>
      <c r="H759" s="224"/>
      <c r="I759" s="224"/>
      <c r="J759" s="224"/>
      <c r="K759" s="224"/>
      <c r="L759" s="224"/>
      <c r="M759" s="224"/>
      <c r="N759" s="224"/>
      <c r="O759" s="224"/>
      <c r="P759" s="224"/>
      <c r="Q759" s="224"/>
    </row>
    <row r="760" spans="2:17">
      <c r="B760" s="224"/>
      <c r="C760" s="224"/>
      <c r="D760" s="224"/>
      <c r="E760" s="224"/>
      <c r="F760" s="224"/>
      <c r="G760" s="224"/>
      <c r="H760" s="224"/>
      <c r="I760" s="224"/>
      <c r="J760" s="224"/>
      <c r="K760" s="224"/>
      <c r="L760" s="224"/>
      <c r="M760" s="224"/>
      <c r="N760" s="224"/>
      <c r="O760" s="224"/>
      <c r="P760" s="224"/>
      <c r="Q760" s="224"/>
    </row>
    <row r="761" spans="2:17">
      <c r="B761" s="224"/>
      <c r="C761" s="224"/>
      <c r="D761" s="224"/>
      <c r="E761" s="224"/>
      <c r="F761" s="224"/>
      <c r="G761" s="224"/>
      <c r="H761" s="224"/>
      <c r="I761" s="224"/>
      <c r="J761" s="224"/>
      <c r="K761" s="224"/>
      <c r="L761" s="224"/>
      <c r="M761" s="224"/>
      <c r="N761" s="224"/>
      <c r="O761" s="224"/>
      <c r="P761" s="224"/>
      <c r="Q761" s="224"/>
    </row>
    <row r="762" spans="2:17">
      <c r="B762" s="224"/>
      <c r="C762" s="224"/>
      <c r="D762" s="224"/>
      <c r="E762" s="224"/>
      <c r="F762" s="224"/>
      <c r="G762" s="224"/>
      <c r="H762" s="224"/>
      <c r="I762" s="224"/>
      <c r="J762" s="224"/>
      <c r="K762" s="224"/>
      <c r="L762" s="224"/>
      <c r="M762" s="224"/>
      <c r="N762" s="224"/>
      <c r="O762" s="224"/>
      <c r="P762" s="224"/>
      <c r="Q762" s="224"/>
    </row>
    <row r="763" spans="2:17">
      <c r="B763" s="224"/>
      <c r="C763" s="224"/>
      <c r="D763" s="224"/>
      <c r="E763" s="224"/>
      <c r="F763" s="224"/>
      <c r="G763" s="224"/>
      <c r="H763" s="224"/>
      <c r="I763" s="224"/>
      <c r="J763" s="224"/>
      <c r="K763" s="224"/>
      <c r="L763" s="224"/>
      <c r="M763" s="224"/>
      <c r="N763" s="224"/>
      <c r="O763" s="224"/>
      <c r="P763" s="224"/>
      <c r="Q763" s="224"/>
    </row>
    <row r="764" spans="2:17">
      <c r="B764" s="224"/>
      <c r="C764" s="224"/>
      <c r="D764" s="224"/>
      <c r="E764" s="224"/>
      <c r="F764" s="224"/>
      <c r="G764" s="224"/>
      <c r="H764" s="224"/>
      <c r="I764" s="224"/>
      <c r="J764" s="224"/>
      <c r="K764" s="224"/>
      <c r="L764" s="224"/>
      <c r="M764" s="224"/>
      <c r="N764" s="224"/>
      <c r="O764" s="224"/>
      <c r="P764" s="224"/>
      <c r="Q764" s="224"/>
    </row>
    <row r="765" spans="2:17">
      <c r="B765" s="224"/>
      <c r="C765" s="224"/>
      <c r="D765" s="224"/>
      <c r="E765" s="224"/>
      <c r="F765" s="224"/>
      <c r="G765" s="224"/>
      <c r="H765" s="224"/>
      <c r="I765" s="224"/>
      <c r="J765" s="224"/>
      <c r="K765" s="224"/>
      <c r="L765" s="224"/>
      <c r="M765" s="224"/>
      <c r="N765" s="224"/>
      <c r="O765" s="224"/>
      <c r="P765" s="224"/>
      <c r="Q765" s="224"/>
    </row>
    <row r="766" spans="2:17">
      <c r="B766" s="224"/>
      <c r="C766" s="224"/>
      <c r="D766" s="224"/>
      <c r="E766" s="224"/>
      <c r="F766" s="224"/>
      <c r="G766" s="224"/>
      <c r="H766" s="224"/>
      <c r="I766" s="224"/>
      <c r="J766" s="224"/>
      <c r="K766" s="224"/>
      <c r="L766" s="224"/>
      <c r="M766" s="224"/>
      <c r="N766" s="224"/>
      <c r="O766" s="224"/>
      <c r="P766" s="224"/>
      <c r="Q766" s="224"/>
    </row>
    <row r="767" spans="2:17">
      <c r="B767" s="224"/>
      <c r="C767" s="224"/>
      <c r="D767" s="224"/>
      <c r="E767" s="224"/>
      <c r="F767" s="224"/>
      <c r="G767" s="224"/>
      <c r="H767" s="224"/>
      <c r="I767" s="224"/>
      <c r="J767" s="224"/>
      <c r="K767" s="224"/>
      <c r="L767" s="224"/>
      <c r="M767" s="224"/>
      <c r="N767" s="224"/>
      <c r="O767" s="224"/>
      <c r="P767" s="224"/>
      <c r="Q767" s="224"/>
    </row>
    <row r="768" spans="2:17">
      <c r="B768" s="224"/>
      <c r="C768" s="224"/>
      <c r="D768" s="224"/>
      <c r="E768" s="224"/>
      <c r="F768" s="224"/>
      <c r="G768" s="224"/>
      <c r="H768" s="224"/>
      <c r="I768" s="224"/>
      <c r="J768" s="224"/>
      <c r="K768" s="224"/>
      <c r="L768" s="224"/>
      <c r="M768" s="224"/>
      <c r="N768" s="224"/>
      <c r="O768" s="224"/>
      <c r="P768" s="224"/>
      <c r="Q768" s="224"/>
    </row>
    <row r="769" spans="2:17">
      <c r="B769" s="224"/>
      <c r="C769" s="224"/>
      <c r="D769" s="224"/>
      <c r="E769" s="224"/>
      <c r="F769" s="224"/>
      <c r="G769" s="224"/>
      <c r="H769" s="224"/>
      <c r="I769" s="224"/>
      <c r="J769" s="224"/>
      <c r="K769" s="224"/>
      <c r="L769" s="224"/>
      <c r="M769" s="224"/>
      <c r="N769" s="224"/>
      <c r="O769" s="224"/>
      <c r="P769" s="224"/>
      <c r="Q769" s="224"/>
    </row>
    <row r="770" spans="2:17">
      <c r="B770" s="224"/>
      <c r="C770" s="224"/>
      <c r="D770" s="224"/>
      <c r="E770" s="224"/>
      <c r="F770" s="224"/>
      <c r="G770" s="224"/>
      <c r="H770" s="224"/>
      <c r="I770" s="224"/>
      <c r="J770" s="224"/>
      <c r="K770" s="224"/>
      <c r="L770" s="224"/>
      <c r="M770" s="224"/>
      <c r="N770" s="224"/>
      <c r="O770" s="224"/>
      <c r="P770" s="224"/>
      <c r="Q770" s="224"/>
    </row>
    <row r="771" spans="2:17">
      <c r="B771" s="224"/>
      <c r="C771" s="224"/>
      <c r="D771" s="224"/>
      <c r="E771" s="224"/>
      <c r="F771" s="224"/>
      <c r="G771" s="224"/>
      <c r="H771" s="224"/>
      <c r="I771" s="224"/>
      <c r="J771" s="224"/>
      <c r="K771" s="224"/>
      <c r="L771" s="224"/>
      <c r="M771" s="224"/>
      <c r="N771" s="224"/>
      <c r="O771" s="224"/>
      <c r="P771" s="224"/>
      <c r="Q771" s="224"/>
    </row>
    <row r="772" spans="2:17">
      <c r="B772" s="224"/>
      <c r="C772" s="224"/>
      <c r="D772" s="224"/>
      <c r="E772" s="224"/>
      <c r="F772" s="224"/>
      <c r="G772" s="224"/>
      <c r="H772" s="224"/>
      <c r="I772" s="224"/>
      <c r="J772" s="224"/>
      <c r="K772" s="224"/>
      <c r="L772" s="224"/>
      <c r="M772" s="224"/>
      <c r="N772" s="224"/>
      <c r="O772" s="224"/>
      <c r="P772" s="224"/>
      <c r="Q772" s="224"/>
    </row>
    <row r="773" spans="2:17">
      <c r="B773" s="224"/>
      <c r="C773" s="224"/>
      <c r="D773" s="224"/>
      <c r="E773" s="224"/>
      <c r="F773" s="224"/>
      <c r="G773" s="224"/>
      <c r="H773" s="224"/>
      <c r="I773" s="224"/>
      <c r="J773" s="224"/>
      <c r="K773" s="224"/>
      <c r="L773" s="224"/>
      <c r="M773" s="224"/>
      <c r="N773" s="224"/>
      <c r="O773" s="224"/>
      <c r="P773" s="224"/>
      <c r="Q773" s="224"/>
    </row>
    <row r="774" spans="2:17">
      <c r="B774" s="224"/>
      <c r="C774" s="224"/>
      <c r="D774" s="224"/>
      <c r="E774" s="224"/>
      <c r="F774" s="224"/>
      <c r="G774" s="224"/>
      <c r="H774" s="224"/>
      <c r="I774" s="224"/>
      <c r="J774" s="224"/>
      <c r="K774" s="224"/>
      <c r="L774" s="224"/>
      <c r="M774" s="224"/>
      <c r="N774" s="224"/>
      <c r="O774" s="224"/>
      <c r="P774" s="224"/>
      <c r="Q774" s="224"/>
    </row>
    <row r="775" spans="2:17">
      <c r="B775" s="224"/>
      <c r="C775" s="224"/>
      <c r="D775" s="224"/>
      <c r="E775" s="224"/>
      <c r="F775" s="224"/>
      <c r="G775" s="224"/>
      <c r="H775" s="224"/>
      <c r="I775" s="224"/>
      <c r="J775" s="224"/>
      <c r="K775" s="224"/>
      <c r="L775" s="224"/>
      <c r="M775" s="224"/>
      <c r="N775" s="224"/>
      <c r="O775" s="224"/>
      <c r="P775" s="224"/>
      <c r="Q775" s="224"/>
    </row>
    <row r="776" spans="2:17">
      <c r="B776" s="224"/>
      <c r="C776" s="224"/>
      <c r="D776" s="224"/>
      <c r="E776" s="224"/>
      <c r="F776" s="224"/>
      <c r="G776" s="224"/>
      <c r="H776" s="224"/>
      <c r="I776" s="224"/>
      <c r="J776" s="224"/>
      <c r="K776" s="224"/>
      <c r="L776" s="224"/>
      <c r="M776" s="224"/>
      <c r="N776" s="224"/>
      <c r="O776" s="224"/>
      <c r="P776" s="224"/>
      <c r="Q776" s="224"/>
    </row>
    <row r="777" spans="2:17">
      <c r="B777" s="224"/>
      <c r="C777" s="224"/>
      <c r="D777" s="224"/>
      <c r="E777" s="224"/>
      <c r="F777" s="224"/>
      <c r="G777" s="224"/>
      <c r="H777" s="224"/>
      <c r="I777" s="224"/>
      <c r="J777" s="224"/>
      <c r="K777" s="224"/>
      <c r="L777" s="224"/>
      <c r="M777" s="224"/>
      <c r="N777" s="224"/>
      <c r="O777" s="224"/>
      <c r="P777" s="224"/>
      <c r="Q777" s="224"/>
    </row>
    <row r="778" spans="2:17">
      <c r="B778" s="224"/>
      <c r="C778" s="224"/>
      <c r="D778" s="224"/>
      <c r="E778" s="224"/>
      <c r="F778" s="224"/>
      <c r="G778" s="224"/>
      <c r="H778" s="224"/>
      <c r="I778" s="224"/>
      <c r="J778" s="224"/>
      <c r="K778" s="224"/>
      <c r="L778" s="224"/>
      <c r="M778" s="224"/>
      <c r="N778" s="224"/>
      <c r="O778" s="224"/>
      <c r="P778" s="224"/>
      <c r="Q778" s="224"/>
    </row>
    <row r="779" spans="2:17">
      <c r="B779" s="224"/>
      <c r="C779" s="224"/>
      <c r="D779" s="224"/>
      <c r="E779" s="224"/>
      <c r="F779" s="224"/>
      <c r="G779" s="224"/>
      <c r="H779" s="224"/>
      <c r="I779" s="224"/>
      <c r="J779" s="224"/>
      <c r="K779" s="224"/>
      <c r="L779" s="224"/>
      <c r="M779" s="224"/>
      <c r="N779" s="224"/>
      <c r="O779" s="224"/>
      <c r="P779" s="224"/>
      <c r="Q779" s="224"/>
    </row>
    <row r="780" spans="2:17">
      <c r="B780" s="224"/>
      <c r="C780" s="224"/>
      <c r="D780" s="224"/>
      <c r="E780" s="224"/>
      <c r="F780" s="224"/>
      <c r="G780" s="224"/>
      <c r="H780" s="224"/>
      <c r="I780" s="224"/>
      <c r="J780" s="224"/>
      <c r="K780" s="224"/>
      <c r="L780" s="224"/>
      <c r="M780" s="224"/>
      <c r="N780" s="224"/>
      <c r="O780" s="224"/>
      <c r="P780" s="224"/>
      <c r="Q780" s="224"/>
    </row>
    <row r="781" spans="2:17">
      <c r="B781" s="224"/>
      <c r="C781" s="224"/>
      <c r="D781" s="224"/>
      <c r="E781" s="224"/>
      <c r="F781" s="224"/>
      <c r="G781" s="224"/>
      <c r="H781" s="224"/>
      <c r="I781" s="224"/>
      <c r="J781" s="224"/>
      <c r="K781" s="224"/>
      <c r="L781" s="224"/>
      <c r="M781" s="224"/>
      <c r="N781" s="224"/>
      <c r="O781" s="224"/>
      <c r="P781" s="224"/>
      <c r="Q781" s="224"/>
    </row>
    <row r="782" spans="2:17">
      <c r="B782" s="224"/>
      <c r="C782" s="224"/>
      <c r="D782" s="224"/>
      <c r="E782" s="224"/>
      <c r="F782" s="224"/>
      <c r="G782" s="224"/>
      <c r="H782" s="224"/>
      <c r="I782" s="224"/>
      <c r="J782" s="224"/>
      <c r="K782" s="224"/>
      <c r="L782" s="224"/>
      <c r="M782" s="224"/>
      <c r="N782" s="224"/>
      <c r="O782" s="224"/>
      <c r="P782" s="224"/>
      <c r="Q782" s="224"/>
    </row>
    <row r="783" spans="2:17">
      <c r="B783" s="224"/>
      <c r="C783" s="224"/>
      <c r="D783" s="224"/>
      <c r="E783" s="224"/>
      <c r="F783" s="224"/>
      <c r="G783" s="224"/>
      <c r="H783" s="224"/>
      <c r="I783" s="224"/>
      <c r="J783" s="224"/>
      <c r="K783" s="224"/>
      <c r="L783" s="224"/>
      <c r="M783" s="224"/>
      <c r="N783" s="224"/>
      <c r="O783" s="224"/>
      <c r="P783" s="224"/>
      <c r="Q783" s="224"/>
    </row>
    <row r="784" spans="2:17">
      <c r="B784" s="224"/>
      <c r="C784" s="224"/>
      <c r="D784" s="224"/>
      <c r="E784" s="224"/>
      <c r="F784" s="224"/>
      <c r="G784" s="224"/>
      <c r="H784" s="224"/>
      <c r="I784" s="224"/>
      <c r="J784" s="224"/>
      <c r="K784" s="224"/>
      <c r="L784" s="224"/>
      <c r="M784" s="224"/>
      <c r="N784" s="224"/>
      <c r="O784" s="224"/>
      <c r="P784" s="224"/>
      <c r="Q784" s="224"/>
    </row>
    <row r="785" spans="2:17">
      <c r="B785" s="224"/>
      <c r="C785" s="224"/>
      <c r="D785" s="224"/>
      <c r="E785" s="224"/>
      <c r="F785" s="224"/>
      <c r="G785" s="224"/>
      <c r="H785" s="224"/>
      <c r="I785" s="224"/>
      <c r="J785" s="224"/>
      <c r="K785" s="224"/>
      <c r="L785" s="224"/>
      <c r="M785" s="224"/>
      <c r="N785" s="224"/>
      <c r="O785" s="224"/>
      <c r="P785" s="224"/>
      <c r="Q785" s="224"/>
    </row>
    <row r="786" spans="2:17">
      <c r="B786" s="224"/>
      <c r="C786" s="224"/>
      <c r="D786" s="224"/>
      <c r="E786" s="224"/>
      <c r="F786" s="224"/>
      <c r="G786" s="224"/>
      <c r="H786" s="224"/>
      <c r="I786" s="224"/>
      <c r="J786" s="224"/>
      <c r="K786" s="224"/>
      <c r="L786" s="224"/>
      <c r="M786" s="224"/>
      <c r="N786" s="224"/>
      <c r="O786" s="224"/>
      <c r="P786" s="224"/>
      <c r="Q786" s="224"/>
    </row>
    <row r="787" spans="2:17">
      <c r="B787" s="224"/>
      <c r="C787" s="224"/>
      <c r="D787" s="224"/>
      <c r="E787" s="224"/>
      <c r="F787" s="224"/>
      <c r="G787" s="224"/>
      <c r="H787" s="224"/>
      <c r="I787" s="224"/>
      <c r="J787" s="224"/>
      <c r="K787" s="224"/>
      <c r="L787" s="224"/>
      <c r="M787" s="224"/>
      <c r="N787" s="224"/>
      <c r="O787" s="224"/>
      <c r="P787" s="224"/>
      <c r="Q787" s="224"/>
    </row>
    <row r="788" spans="2:17">
      <c r="B788" s="224"/>
      <c r="C788" s="224"/>
      <c r="D788" s="224"/>
      <c r="E788" s="224"/>
      <c r="F788" s="224"/>
      <c r="G788" s="224"/>
      <c r="H788" s="224"/>
      <c r="I788" s="224"/>
      <c r="J788" s="224"/>
      <c r="K788" s="224"/>
      <c r="L788" s="224"/>
      <c r="M788" s="224"/>
      <c r="N788" s="224"/>
      <c r="O788" s="224"/>
      <c r="P788" s="224"/>
      <c r="Q788" s="224"/>
    </row>
    <row r="789" spans="2:17">
      <c r="B789" s="224"/>
      <c r="C789" s="224"/>
      <c r="D789" s="224"/>
      <c r="E789" s="224"/>
      <c r="F789" s="224"/>
      <c r="G789" s="224"/>
      <c r="H789" s="224"/>
      <c r="I789" s="224"/>
      <c r="J789" s="224"/>
      <c r="K789" s="224"/>
      <c r="L789" s="224"/>
      <c r="M789" s="224"/>
      <c r="N789" s="224"/>
      <c r="O789" s="224"/>
      <c r="P789" s="224"/>
      <c r="Q789" s="224"/>
    </row>
    <row r="790" spans="2:17">
      <c r="B790" s="224"/>
      <c r="C790" s="224"/>
      <c r="D790" s="224"/>
      <c r="E790" s="224"/>
      <c r="F790" s="224"/>
      <c r="G790" s="224"/>
      <c r="H790" s="224"/>
      <c r="I790" s="224"/>
      <c r="J790" s="224"/>
      <c r="K790" s="224"/>
      <c r="L790" s="224"/>
      <c r="M790" s="224"/>
      <c r="N790" s="224"/>
      <c r="O790" s="224"/>
      <c r="P790" s="224"/>
      <c r="Q790" s="224"/>
    </row>
    <row r="791" spans="2:17">
      <c r="B791" s="224"/>
      <c r="C791" s="224"/>
      <c r="D791" s="224"/>
      <c r="E791" s="224"/>
      <c r="F791" s="224"/>
      <c r="G791" s="224"/>
      <c r="H791" s="224"/>
      <c r="I791" s="224"/>
      <c r="J791" s="224"/>
      <c r="K791" s="224"/>
      <c r="L791" s="224"/>
      <c r="M791" s="224"/>
      <c r="N791" s="224"/>
      <c r="O791" s="224"/>
      <c r="P791" s="224"/>
      <c r="Q791" s="224"/>
    </row>
    <row r="792" spans="2:17">
      <c r="B792" s="224"/>
      <c r="C792" s="224"/>
      <c r="D792" s="224"/>
      <c r="E792" s="224"/>
      <c r="F792" s="224"/>
      <c r="G792" s="224"/>
      <c r="H792" s="224"/>
      <c r="I792" s="224"/>
      <c r="J792" s="224"/>
      <c r="K792" s="224"/>
      <c r="L792" s="224"/>
      <c r="M792" s="224"/>
      <c r="N792" s="224"/>
      <c r="O792" s="224"/>
      <c r="P792" s="224"/>
      <c r="Q792" s="224"/>
    </row>
    <row r="793" spans="2:17">
      <c r="B793" s="224"/>
      <c r="C793" s="224"/>
      <c r="D793" s="224"/>
      <c r="E793" s="224"/>
      <c r="F793" s="224"/>
      <c r="G793" s="224"/>
      <c r="H793" s="224"/>
      <c r="I793" s="224"/>
      <c r="J793" s="224"/>
      <c r="K793" s="224"/>
      <c r="L793" s="224"/>
      <c r="M793" s="224"/>
      <c r="N793" s="224"/>
      <c r="O793" s="224"/>
      <c r="P793" s="224"/>
      <c r="Q793" s="224"/>
    </row>
    <row r="794" spans="2:17">
      <c r="B794" s="224"/>
      <c r="C794" s="224"/>
      <c r="D794" s="224"/>
      <c r="E794" s="224"/>
      <c r="F794" s="224"/>
      <c r="G794" s="224"/>
      <c r="H794" s="224"/>
      <c r="I794" s="224"/>
      <c r="J794" s="224"/>
      <c r="K794" s="224"/>
      <c r="L794" s="224"/>
      <c r="M794" s="224"/>
      <c r="N794" s="224"/>
      <c r="O794" s="224"/>
      <c r="P794" s="224"/>
      <c r="Q794" s="224"/>
    </row>
    <row r="795" spans="2:17">
      <c r="B795" s="224"/>
      <c r="C795" s="224"/>
      <c r="D795" s="224"/>
      <c r="E795" s="224"/>
      <c r="F795" s="224"/>
      <c r="G795" s="224"/>
      <c r="H795" s="224"/>
      <c r="I795" s="224"/>
      <c r="J795" s="224"/>
      <c r="K795" s="224"/>
      <c r="L795" s="224"/>
      <c r="M795" s="224"/>
      <c r="N795" s="224"/>
      <c r="O795" s="224"/>
      <c r="P795" s="224"/>
      <c r="Q795" s="224"/>
    </row>
    <row r="796" spans="2:17">
      <c r="B796" s="224"/>
      <c r="C796" s="224"/>
      <c r="D796" s="224"/>
      <c r="E796" s="224"/>
      <c r="F796" s="224"/>
      <c r="G796" s="224"/>
      <c r="H796" s="224"/>
      <c r="I796" s="224"/>
      <c r="J796" s="224"/>
      <c r="K796" s="224"/>
      <c r="L796" s="224"/>
      <c r="M796" s="224"/>
      <c r="N796" s="224"/>
      <c r="O796" s="224"/>
      <c r="P796" s="224"/>
      <c r="Q796" s="224"/>
    </row>
    <row r="797" spans="2:17">
      <c r="B797" s="224"/>
      <c r="C797" s="224"/>
      <c r="D797" s="224"/>
      <c r="E797" s="224"/>
      <c r="F797" s="224"/>
      <c r="G797" s="224"/>
      <c r="H797" s="224"/>
      <c r="I797" s="224"/>
      <c r="J797" s="224"/>
      <c r="K797" s="224"/>
      <c r="L797" s="224"/>
      <c r="M797" s="224"/>
      <c r="N797" s="224"/>
      <c r="O797" s="224"/>
      <c r="P797" s="224"/>
      <c r="Q797" s="224"/>
    </row>
    <row r="798" spans="2:17">
      <c r="B798" s="224"/>
      <c r="C798" s="224"/>
      <c r="D798" s="224"/>
      <c r="E798" s="224"/>
      <c r="F798" s="224"/>
      <c r="G798" s="224"/>
      <c r="H798" s="224"/>
      <c r="I798" s="224"/>
      <c r="J798" s="224"/>
      <c r="K798" s="224"/>
      <c r="L798" s="224"/>
      <c r="M798" s="224"/>
      <c r="N798" s="224"/>
      <c r="O798" s="224"/>
      <c r="P798" s="224"/>
      <c r="Q798" s="224"/>
    </row>
    <row r="799" spans="2:17">
      <c r="B799" s="224"/>
      <c r="C799" s="224"/>
      <c r="D799" s="224"/>
      <c r="E799" s="224"/>
      <c r="F799" s="224"/>
      <c r="G799" s="224"/>
      <c r="H799" s="224"/>
      <c r="I799" s="224"/>
      <c r="J799" s="224"/>
      <c r="K799" s="224"/>
      <c r="L799" s="224"/>
      <c r="M799" s="224"/>
      <c r="N799" s="224"/>
      <c r="O799" s="224"/>
      <c r="P799" s="224"/>
      <c r="Q799" s="224"/>
    </row>
    <row r="800" spans="2:17">
      <c r="B800" s="224"/>
      <c r="C800" s="224"/>
      <c r="D800" s="224"/>
      <c r="E800" s="224"/>
      <c r="F800" s="224"/>
      <c r="G800" s="224"/>
      <c r="H800" s="224"/>
      <c r="I800" s="224"/>
      <c r="J800" s="224"/>
      <c r="K800" s="224"/>
      <c r="L800" s="224"/>
      <c r="M800" s="224"/>
      <c r="N800" s="224"/>
      <c r="O800" s="224"/>
      <c r="P800" s="224"/>
      <c r="Q800" s="224"/>
    </row>
    <row r="801" spans="2:17">
      <c r="B801" s="224"/>
      <c r="C801" s="224"/>
      <c r="D801" s="224"/>
      <c r="E801" s="224"/>
      <c r="F801" s="224"/>
      <c r="G801" s="224"/>
      <c r="H801" s="224"/>
      <c r="I801" s="224"/>
      <c r="J801" s="224"/>
      <c r="K801" s="224"/>
      <c r="L801" s="224"/>
      <c r="M801" s="224"/>
      <c r="N801" s="224"/>
      <c r="O801" s="224"/>
      <c r="P801" s="224"/>
      <c r="Q801" s="224"/>
    </row>
    <row r="802" spans="2:17">
      <c r="B802" s="224"/>
      <c r="C802" s="224"/>
      <c r="D802" s="224"/>
      <c r="E802" s="224"/>
      <c r="F802" s="224"/>
      <c r="G802" s="224"/>
      <c r="H802" s="224"/>
      <c r="I802" s="224"/>
      <c r="J802" s="224"/>
      <c r="K802" s="224"/>
      <c r="L802" s="224"/>
      <c r="M802" s="224"/>
      <c r="N802" s="224"/>
      <c r="O802" s="224"/>
      <c r="P802" s="224"/>
      <c r="Q802" s="224"/>
    </row>
    <row r="803" spans="2:17">
      <c r="B803" s="224"/>
      <c r="C803" s="224"/>
      <c r="D803" s="224"/>
      <c r="E803" s="224"/>
      <c r="F803" s="224"/>
      <c r="G803" s="224"/>
      <c r="H803" s="224"/>
      <c r="I803" s="224"/>
      <c r="J803" s="224"/>
      <c r="K803" s="224"/>
      <c r="L803" s="224"/>
      <c r="M803" s="224"/>
      <c r="N803" s="224"/>
      <c r="O803" s="224"/>
      <c r="P803" s="224"/>
      <c r="Q803" s="224"/>
    </row>
    <row r="804" spans="2:17">
      <c r="B804" s="224"/>
      <c r="C804" s="224"/>
      <c r="D804" s="224"/>
      <c r="E804" s="224"/>
      <c r="F804" s="224"/>
      <c r="G804" s="224"/>
      <c r="H804" s="224"/>
      <c r="I804" s="224"/>
      <c r="J804" s="224"/>
      <c r="K804" s="224"/>
      <c r="L804" s="224"/>
      <c r="M804" s="224"/>
      <c r="N804" s="224"/>
      <c r="O804" s="224"/>
      <c r="P804" s="224"/>
      <c r="Q804" s="224"/>
    </row>
    <row r="805" spans="2:17">
      <c r="B805" s="224"/>
      <c r="C805" s="224"/>
      <c r="D805" s="224"/>
      <c r="E805" s="224"/>
      <c r="F805" s="224"/>
      <c r="G805" s="224"/>
      <c r="H805" s="224"/>
      <c r="I805" s="224"/>
      <c r="J805" s="224"/>
      <c r="K805" s="224"/>
      <c r="L805" s="224"/>
      <c r="M805" s="224"/>
      <c r="N805" s="224"/>
      <c r="O805" s="224"/>
      <c r="P805" s="224"/>
      <c r="Q805" s="224"/>
    </row>
    <row r="806" spans="2:17">
      <c r="B806" s="224"/>
      <c r="C806" s="224"/>
      <c r="D806" s="224"/>
      <c r="E806" s="224"/>
      <c r="F806" s="224"/>
      <c r="G806" s="224"/>
      <c r="H806" s="224"/>
      <c r="I806" s="224"/>
      <c r="J806" s="224"/>
      <c r="K806" s="224"/>
      <c r="L806" s="224"/>
      <c r="M806" s="224"/>
      <c r="N806" s="224"/>
      <c r="O806" s="224"/>
      <c r="P806" s="224"/>
      <c r="Q806" s="224"/>
    </row>
    <row r="807" spans="2:17">
      <c r="B807" s="224"/>
      <c r="C807" s="224"/>
      <c r="D807" s="224"/>
      <c r="E807" s="224"/>
      <c r="F807" s="224"/>
      <c r="G807" s="224"/>
      <c r="H807" s="224"/>
      <c r="I807" s="224"/>
      <c r="J807" s="224"/>
      <c r="K807" s="224"/>
      <c r="L807" s="224"/>
      <c r="M807" s="224"/>
      <c r="N807" s="224"/>
      <c r="O807" s="224"/>
      <c r="P807" s="224"/>
      <c r="Q807" s="224"/>
    </row>
    <row r="808" spans="2:17">
      <c r="B808" s="224"/>
      <c r="C808" s="224"/>
      <c r="D808" s="224"/>
      <c r="E808" s="224"/>
      <c r="F808" s="224"/>
      <c r="G808" s="224"/>
      <c r="H808" s="224"/>
      <c r="I808" s="224"/>
      <c r="J808" s="224"/>
      <c r="K808" s="224"/>
      <c r="L808" s="224"/>
      <c r="M808" s="224"/>
      <c r="N808" s="224"/>
      <c r="O808" s="224"/>
      <c r="P808" s="224"/>
      <c r="Q808" s="224"/>
    </row>
    <row r="809" spans="2:17">
      <c r="B809" s="224"/>
      <c r="C809" s="224"/>
      <c r="D809" s="224"/>
      <c r="E809" s="224"/>
      <c r="F809" s="224"/>
      <c r="G809" s="224"/>
      <c r="H809" s="224"/>
      <c r="I809" s="224"/>
      <c r="J809" s="224"/>
      <c r="K809" s="224"/>
      <c r="L809" s="224"/>
      <c r="M809" s="224"/>
      <c r="N809" s="224"/>
      <c r="O809" s="224"/>
      <c r="P809" s="224"/>
      <c r="Q809" s="224"/>
    </row>
    <row r="810" spans="2:17">
      <c r="B810" s="224"/>
      <c r="C810" s="224"/>
      <c r="D810" s="224"/>
      <c r="E810" s="224"/>
      <c r="F810" s="224"/>
      <c r="G810" s="224"/>
      <c r="H810" s="224"/>
      <c r="I810" s="224"/>
      <c r="J810" s="224"/>
      <c r="K810" s="224"/>
      <c r="L810" s="224"/>
      <c r="M810" s="224"/>
      <c r="N810" s="224"/>
      <c r="O810" s="224"/>
      <c r="P810" s="224"/>
      <c r="Q810" s="224"/>
    </row>
    <row r="811" spans="2:17">
      <c r="B811" s="224"/>
      <c r="C811" s="224"/>
      <c r="D811" s="224"/>
      <c r="E811" s="224"/>
      <c r="F811" s="224"/>
      <c r="G811" s="224"/>
      <c r="H811" s="224"/>
      <c r="I811" s="224"/>
      <c r="J811" s="224"/>
      <c r="K811" s="224"/>
      <c r="L811" s="224"/>
      <c r="M811" s="224"/>
      <c r="N811" s="224"/>
      <c r="O811" s="224"/>
      <c r="P811" s="224"/>
      <c r="Q811" s="224"/>
    </row>
    <row r="812" spans="2:17">
      <c r="B812" s="224"/>
      <c r="C812" s="224"/>
      <c r="D812" s="224"/>
      <c r="E812" s="224"/>
      <c r="F812" s="224"/>
      <c r="G812" s="224"/>
      <c r="H812" s="224"/>
      <c r="I812" s="224"/>
      <c r="J812" s="224"/>
      <c r="K812" s="224"/>
      <c r="L812" s="224"/>
      <c r="M812" s="224"/>
      <c r="N812" s="224"/>
      <c r="O812" s="224"/>
      <c r="P812" s="224"/>
      <c r="Q812" s="224"/>
    </row>
    <row r="813" spans="2:17">
      <c r="B813" s="224"/>
      <c r="C813" s="224"/>
      <c r="D813" s="224"/>
      <c r="E813" s="224"/>
      <c r="F813" s="224"/>
      <c r="G813" s="224"/>
      <c r="H813" s="224"/>
      <c r="I813" s="224"/>
      <c r="J813" s="224"/>
      <c r="K813" s="224"/>
      <c r="L813" s="224"/>
      <c r="M813" s="224"/>
      <c r="N813" s="224"/>
      <c r="O813" s="224"/>
      <c r="P813" s="224"/>
      <c r="Q813" s="224"/>
    </row>
    <row r="814" spans="2:17">
      <c r="B814" s="224"/>
      <c r="C814" s="224"/>
      <c r="D814" s="224"/>
      <c r="E814" s="224"/>
      <c r="F814" s="224"/>
      <c r="G814" s="224"/>
      <c r="H814" s="224"/>
      <c r="I814" s="224"/>
      <c r="J814" s="224"/>
      <c r="K814" s="224"/>
      <c r="L814" s="224"/>
      <c r="M814" s="224"/>
      <c r="N814" s="224"/>
      <c r="O814" s="224"/>
      <c r="P814" s="224"/>
      <c r="Q814" s="224"/>
    </row>
    <row r="815" spans="2:17">
      <c r="B815" s="224"/>
      <c r="C815" s="224"/>
      <c r="D815" s="224"/>
      <c r="E815" s="224"/>
      <c r="F815" s="224"/>
      <c r="G815" s="224"/>
      <c r="H815" s="224"/>
      <c r="I815" s="224"/>
      <c r="J815" s="224"/>
      <c r="K815" s="224"/>
      <c r="L815" s="224"/>
      <c r="M815" s="224"/>
      <c r="N815" s="224"/>
      <c r="O815" s="224"/>
      <c r="P815" s="224"/>
      <c r="Q815" s="224"/>
    </row>
    <row r="816" spans="2:17">
      <c r="B816" s="224"/>
      <c r="C816" s="224"/>
      <c r="D816" s="224"/>
      <c r="E816" s="224"/>
      <c r="F816" s="224"/>
      <c r="G816" s="224"/>
      <c r="H816" s="224"/>
      <c r="I816" s="224"/>
      <c r="J816" s="224"/>
      <c r="K816" s="224"/>
      <c r="L816" s="224"/>
      <c r="M816" s="224"/>
      <c r="N816" s="224"/>
      <c r="O816" s="224"/>
      <c r="P816" s="224"/>
      <c r="Q816" s="224"/>
    </row>
    <row r="817" spans="2:17">
      <c r="B817" s="224"/>
      <c r="C817" s="224"/>
      <c r="D817" s="224"/>
      <c r="E817" s="224"/>
      <c r="F817" s="224"/>
      <c r="G817" s="224"/>
      <c r="H817" s="224"/>
      <c r="I817" s="224"/>
      <c r="J817" s="224"/>
      <c r="K817" s="224"/>
      <c r="L817" s="224"/>
      <c r="M817" s="224"/>
      <c r="N817" s="224"/>
      <c r="O817" s="224"/>
      <c r="P817" s="224"/>
      <c r="Q817" s="224"/>
    </row>
    <row r="818" spans="2:17">
      <c r="B818" s="224"/>
      <c r="C818" s="224"/>
      <c r="D818" s="224"/>
      <c r="E818" s="224"/>
      <c r="F818" s="224"/>
      <c r="G818" s="224"/>
      <c r="H818" s="224"/>
      <c r="I818" s="224"/>
      <c r="J818" s="224"/>
      <c r="K818" s="224"/>
      <c r="L818" s="224"/>
      <c r="M818" s="224"/>
      <c r="N818" s="224"/>
      <c r="O818" s="224"/>
      <c r="P818" s="224"/>
      <c r="Q818" s="224"/>
    </row>
    <row r="819" spans="2:17">
      <c r="B819" s="224"/>
      <c r="C819" s="224"/>
      <c r="D819" s="224"/>
      <c r="E819" s="224"/>
      <c r="F819" s="224"/>
      <c r="G819" s="224"/>
      <c r="H819" s="224"/>
      <c r="I819" s="224"/>
      <c r="J819" s="224"/>
      <c r="K819" s="224"/>
      <c r="L819" s="224"/>
      <c r="M819" s="224"/>
      <c r="N819" s="224"/>
      <c r="O819" s="224"/>
      <c r="P819" s="224"/>
      <c r="Q819" s="224"/>
    </row>
    <row r="820" spans="2:17">
      <c r="B820" s="224"/>
      <c r="C820" s="224"/>
      <c r="D820" s="224"/>
      <c r="E820" s="224"/>
      <c r="F820" s="224"/>
      <c r="G820" s="224"/>
      <c r="H820" s="224"/>
      <c r="I820" s="224"/>
      <c r="J820" s="224"/>
      <c r="K820" s="224"/>
      <c r="L820" s="224"/>
      <c r="M820" s="224"/>
      <c r="N820" s="224"/>
      <c r="O820" s="224"/>
      <c r="P820" s="224"/>
      <c r="Q820" s="224"/>
    </row>
    <row r="821" spans="2:17">
      <c r="B821" s="224"/>
      <c r="C821" s="224"/>
      <c r="D821" s="224"/>
      <c r="E821" s="224"/>
      <c r="F821" s="224"/>
      <c r="G821" s="224"/>
      <c r="H821" s="224"/>
      <c r="I821" s="224"/>
      <c r="J821" s="224"/>
      <c r="K821" s="224"/>
      <c r="L821" s="224"/>
      <c r="M821" s="224"/>
      <c r="N821" s="224"/>
      <c r="O821" s="224"/>
      <c r="P821" s="224"/>
      <c r="Q821" s="224"/>
    </row>
    <row r="822" spans="2:17">
      <c r="B822" s="224"/>
      <c r="C822" s="224"/>
      <c r="D822" s="224"/>
      <c r="E822" s="224"/>
      <c r="F822" s="224"/>
      <c r="G822" s="224"/>
      <c r="H822" s="224"/>
      <c r="I822" s="224"/>
      <c r="J822" s="224"/>
      <c r="K822" s="224"/>
      <c r="L822" s="224"/>
      <c r="M822" s="224"/>
      <c r="N822" s="224"/>
      <c r="O822" s="224"/>
      <c r="P822" s="224"/>
      <c r="Q822" s="224"/>
    </row>
    <row r="823" spans="2:17">
      <c r="B823" s="224"/>
      <c r="C823" s="224"/>
      <c r="D823" s="224"/>
      <c r="E823" s="224"/>
      <c r="F823" s="224"/>
      <c r="G823" s="224"/>
      <c r="H823" s="224"/>
      <c r="I823" s="224"/>
      <c r="J823" s="224"/>
      <c r="K823" s="224"/>
      <c r="L823" s="224"/>
      <c r="M823" s="224"/>
      <c r="N823" s="224"/>
      <c r="O823" s="224"/>
      <c r="P823" s="224"/>
      <c r="Q823" s="224"/>
    </row>
    <row r="824" spans="2:17">
      <c r="B824" s="224"/>
      <c r="C824" s="224"/>
      <c r="D824" s="224"/>
      <c r="E824" s="224"/>
      <c r="F824" s="224"/>
      <c r="G824" s="224"/>
      <c r="H824" s="224"/>
      <c r="I824" s="224"/>
      <c r="J824" s="224"/>
      <c r="K824" s="224"/>
      <c r="L824" s="224"/>
      <c r="M824" s="224"/>
      <c r="N824" s="224"/>
      <c r="O824" s="224"/>
      <c r="P824" s="224"/>
      <c r="Q824" s="224"/>
    </row>
    <row r="825" spans="2:17">
      <c r="B825" s="224"/>
      <c r="C825" s="224"/>
      <c r="D825" s="224"/>
      <c r="E825" s="224"/>
      <c r="F825" s="224"/>
      <c r="G825" s="224"/>
      <c r="H825" s="224"/>
      <c r="I825" s="224"/>
      <c r="J825" s="224"/>
      <c r="K825" s="224"/>
      <c r="L825" s="224"/>
      <c r="M825" s="224"/>
      <c r="N825" s="224"/>
      <c r="O825" s="224"/>
      <c r="P825" s="224"/>
      <c r="Q825" s="224"/>
    </row>
    <row r="826" spans="2:17">
      <c r="B826" s="224"/>
      <c r="C826" s="224"/>
      <c r="D826" s="224"/>
      <c r="E826" s="224"/>
      <c r="F826" s="224"/>
      <c r="G826" s="224"/>
      <c r="H826" s="224"/>
      <c r="I826" s="224"/>
      <c r="J826" s="224"/>
      <c r="K826" s="224"/>
      <c r="L826" s="224"/>
      <c r="M826" s="224"/>
      <c r="N826" s="224"/>
      <c r="O826" s="224"/>
      <c r="P826" s="224"/>
      <c r="Q826" s="224"/>
    </row>
    <row r="827" spans="2:17">
      <c r="B827" s="224"/>
      <c r="C827" s="224"/>
      <c r="D827" s="224"/>
      <c r="E827" s="224"/>
      <c r="F827" s="224"/>
      <c r="G827" s="224"/>
      <c r="H827" s="224"/>
      <c r="I827" s="224"/>
      <c r="J827" s="224"/>
      <c r="K827" s="224"/>
      <c r="L827" s="224"/>
      <c r="M827" s="224"/>
      <c r="N827" s="224"/>
      <c r="O827" s="224"/>
      <c r="P827" s="224"/>
      <c r="Q827" s="224"/>
    </row>
    <row r="828" spans="2:17">
      <c r="B828" s="224"/>
      <c r="C828" s="224"/>
      <c r="D828" s="224"/>
      <c r="E828" s="224"/>
      <c r="F828" s="224"/>
      <c r="G828" s="224"/>
      <c r="H828" s="224"/>
      <c r="I828" s="224"/>
      <c r="J828" s="224"/>
      <c r="K828" s="224"/>
      <c r="L828" s="224"/>
      <c r="M828" s="224"/>
      <c r="N828" s="224"/>
      <c r="O828" s="224"/>
      <c r="P828" s="224"/>
      <c r="Q828" s="224"/>
    </row>
    <row r="829" spans="2:17">
      <c r="B829" s="224"/>
      <c r="C829" s="224"/>
      <c r="D829" s="224"/>
      <c r="E829" s="224"/>
      <c r="F829" s="224"/>
      <c r="G829" s="224"/>
      <c r="H829" s="224"/>
      <c r="I829" s="224"/>
      <c r="J829" s="224"/>
      <c r="K829" s="224"/>
      <c r="L829" s="224"/>
      <c r="M829" s="224"/>
      <c r="N829" s="224"/>
      <c r="O829" s="224"/>
      <c r="P829" s="224"/>
      <c r="Q829" s="224"/>
    </row>
    <row r="830" spans="2:17">
      <c r="B830" s="224"/>
      <c r="C830" s="224"/>
      <c r="D830" s="224"/>
      <c r="E830" s="224"/>
      <c r="F830" s="224"/>
      <c r="G830" s="224"/>
      <c r="H830" s="224"/>
      <c r="I830" s="224"/>
      <c r="J830" s="224"/>
      <c r="K830" s="224"/>
      <c r="L830" s="224"/>
      <c r="M830" s="224"/>
      <c r="N830" s="224"/>
      <c r="O830" s="224"/>
      <c r="P830" s="224"/>
      <c r="Q830" s="224"/>
    </row>
    <row r="831" spans="2:17">
      <c r="B831" s="224"/>
      <c r="C831" s="224"/>
      <c r="D831" s="224"/>
      <c r="E831" s="224"/>
      <c r="F831" s="224"/>
      <c r="G831" s="224"/>
      <c r="H831" s="224"/>
      <c r="I831" s="224"/>
      <c r="J831" s="224"/>
      <c r="K831" s="224"/>
      <c r="L831" s="224"/>
      <c r="M831" s="224"/>
      <c r="N831" s="224"/>
      <c r="O831" s="224"/>
      <c r="P831" s="224"/>
      <c r="Q831" s="224"/>
    </row>
    <row r="832" spans="2:17">
      <c r="B832" s="224"/>
      <c r="C832" s="224"/>
      <c r="D832" s="224"/>
      <c r="E832" s="224"/>
      <c r="F832" s="224"/>
      <c r="G832" s="224"/>
      <c r="H832" s="224"/>
      <c r="I832" s="224"/>
      <c r="J832" s="224"/>
      <c r="K832" s="224"/>
      <c r="L832" s="224"/>
      <c r="M832" s="224"/>
      <c r="N832" s="224"/>
      <c r="O832" s="224"/>
      <c r="P832" s="224"/>
      <c r="Q832" s="224"/>
    </row>
    <row r="833" spans="2:19">
      <c r="B833" s="224"/>
      <c r="C833" s="224"/>
      <c r="D833" s="224"/>
      <c r="E833" s="224"/>
      <c r="F833" s="224"/>
      <c r="G833" s="224"/>
      <c r="H833" s="224"/>
      <c r="I833" s="224"/>
      <c r="J833" s="224"/>
      <c r="K833" s="224"/>
      <c r="L833" s="224"/>
      <c r="M833" s="224"/>
      <c r="N833" s="224"/>
      <c r="O833" s="224"/>
      <c r="P833" s="224"/>
      <c r="Q833" s="224"/>
    </row>
    <row r="834" spans="2:19">
      <c r="B834" s="224"/>
      <c r="C834" s="224"/>
      <c r="D834" s="224"/>
      <c r="E834" s="224"/>
      <c r="F834" s="224"/>
      <c r="G834" s="224"/>
      <c r="H834" s="224"/>
      <c r="I834" s="224"/>
      <c r="J834" s="224"/>
      <c r="K834" s="224"/>
      <c r="L834" s="224"/>
      <c r="M834" s="224"/>
      <c r="N834" s="224"/>
      <c r="O834" s="224"/>
      <c r="P834" s="224"/>
      <c r="Q834" s="224"/>
    </row>
    <row r="835" spans="2:19">
      <c r="B835" s="224"/>
      <c r="C835" s="224"/>
      <c r="D835" s="224"/>
      <c r="E835" s="224"/>
      <c r="F835" s="224"/>
      <c r="G835" s="224"/>
      <c r="H835" s="224"/>
      <c r="I835" s="224"/>
      <c r="J835" s="224"/>
      <c r="K835" s="224"/>
      <c r="L835" s="224"/>
      <c r="M835" s="224"/>
      <c r="N835" s="224"/>
      <c r="O835" s="224"/>
      <c r="P835" s="224"/>
      <c r="Q835" s="224"/>
    </row>
    <row r="836" spans="2:19">
      <c r="B836" s="224"/>
      <c r="C836" s="224"/>
      <c r="D836" s="224"/>
      <c r="E836" s="224"/>
      <c r="F836" s="224"/>
      <c r="G836" s="224"/>
      <c r="H836" s="224"/>
      <c r="I836" s="224"/>
      <c r="J836" s="224"/>
      <c r="K836" s="224"/>
      <c r="L836" s="224"/>
      <c r="M836" s="224"/>
      <c r="N836" s="224"/>
      <c r="O836" s="224"/>
      <c r="P836" s="224"/>
      <c r="Q836" s="224"/>
    </row>
    <row r="837" spans="2:19">
      <c r="B837" s="224"/>
      <c r="C837" s="224"/>
      <c r="D837" s="224"/>
      <c r="E837" s="224"/>
      <c r="F837" s="224"/>
      <c r="G837" s="224"/>
      <c r="H837" s="224"/>
      <c r="I837" s="224"/>
      <c r="J837" s="224"/>
      <c r="K837" s="224"/>
      <c r="L837" s="224"/>
      <c r="M837" s="224"/>
      <c r="N837" s="224"/>
      <c r="O837" s="224"/>
      <c r="P837" s="224"/>
      <c r="Q837" s="224"/>
    </row>
    <row r="838" spans="2:19">
      <c r="B838" s="224"/>
      <c r="C838" s="224"/>
      <c r="D838" s="224"/>
      <c r="E838" s="224"/>
      <c r="F838" s="224"/>
      <c r="G838" s="224"/>
      <c r="H838" s="224"/>
      <c r="I838" s="224"/>
      <c r="J838" s="224"/>
      <c r="K838" s="224"/>
      <c r="L838" s="224"/>
      <c r="M838" s="224"/>
      <c r="N838" s="224"/>
      <c r="O838" s="224"/>
      <c r="P838" s="224"/>
      <c r="Q838" s="224"/>
    </row>
    <row r="839" spans="2:19">
      <c r="B839" s="224"/>
      <c r="C839" s="224"/>
      <c r="D839" s="224"/>
      <c r="E839" s="224"/>
      <c r="F839" s="224"/>
      <c r="G839" s="224"/>
      <c r="H839" s="224"/>
      <c r="I839" s="224"/>
      <c r="J839" s="224"/>
      <c r="K839" s="224"/>
      <c r="L839" s="224"/>
      <c r="M839" s="224"/>
      <c r="N839" s="224"/>
      <c r="O839" s="224"/>
      <c r="P839" s="224"/>
      <c r="Q839" s="224"/>
    </row>
    <row r="840" spans="2:19">
      <c r="B840" s="224"/>
      <c r="C840" s="224"/>
      <c r="D840" s="224"/>
      <c r="E840" s="224"/>
      <c r="F840" s="224"/>
      <c r="G840" s="224"/>
      <c r="H840" s="224"/>
      <c r="I840" s="224"/>
      <c r="J840" s="224"/>
      <c r="K840" s="224"/>
      <c r="L840" s="224"/>
      <c r="M840" s="224"/>
      <c r="N840" s="224"/>
      <c r="O840" s="224"/>
      <c r="P840" s="224"/>
      <c r="Q840" s="224"/>
    </row>
    <row r="841" spans="2:19">
      <c r="B841" s="224"/>
      <c r="C841" s="224"/>
      <c r="D841" s="224"/>
      <c r="E841" s="224"/>
      <c r="F841" s="224"/>
      <c r="G841" s="224"/>
      <c r="H841" s="224"/>
      <c r="I841" s="224"/>
      <c r="J841" s="224"/>
      <c r="K841" s="224"/>
      <c r="L841" s="224"/>
      <c r="M841" s="224"/>
      <c r="N841" s="224"/>
      <c r="O841" s="224"/>
      <c r="P841" s="224"/>
      <c r="Q841" s="224"/>
    </row>
    <row r="842" spans="2:19">
      <c r="B842" s="224"/>
      <c r="C842" s="224"/>
      <c r="D842" s="224"/>
      <c r="E842" s="224"/>
      <c r="F842" s="224"/>
      <c r="G842" s="224"/>
      <c r="H842" s="224"/>
      <c r="I842" s="224"/>
      <c r="J842" s="224"/>
      <c r="K842" s="224"/>
      <c r="L842" s="224"/>
      <c r="M842" s="224"/>
      <c r="N842" s="224"/>
      <c r="O842" s="224"/>
      <c r="P842" s="224"/>
      <c r="Q842" s="224"/>
    </row>
    <row r="843" spans="2:19">
      <c r="B843" s="224"/>
      <c r="C843" s="224"/>
      <c r="D843" s="224"/>
      <c r="E843" s="224"/>
      <c r="F843" s="224"/>
      <c r="G843" s="224"/>
      <c r="H843" s="224"/>
      <c r="I843" s="224"/>
      <c r="J843" s="224"/>
      <c r="K843" s="224"/>
      <c r="L843" s="224"/>
      <c r="M843" s="224"/>
      <c r="N843" s="224"/>
      <c r="O843" s="224"/>
      <c r="P843" s="224"/>
      <c r="Q843" s="224"/>
    </row>
    <row r="844" spans="2:19">
      <c r="B844" s="224"/>
      <c r="C844" s="224"/>
      <c r="D844" s="224"/>
      <c r="E844" s="224"/>
      <c r="F844" s="224"/>
      <c r="G844" s="224"/>
      <c r="H844" s="224"/>
      <c r="I844" s="224"/>
      <c r="J844" s="224"/>
      <c r="K844" s="224"/>
      <c r="L844" s="224"/>
      <c r="M844" s="224"/>
      <c r="N844" s="224"/>
      <c r="O844" s="224"/>
      <c r="P844" s="224"/>
      <c r="Q844" s="224"/>
    </row>
    <row r="845" spans="2:19">
      <c r="B845" s="224"/>
      <c r="C845" s="224"/>
      <c r="D845" s="224"/>
      <c r="E845" s="224"/>
      <c r="F845" s="224"/>
      <c r="G845" s="224"/>
      <c r="H845" s="224"/>
      <c r="I845" s="224"/>
      <c r="J845" s="224"/>
      <c r="K845" s="224"/>
      <c r="L845" s="224"/>
      <c r="M845" s="224"/>
      <c r="N845" s="224"/>
      <c r="O845" s="224"/>
      <c r="P845" s="224"/>
      <c r="Q845" s="224"/>
    </row>
    <row r="846" spans="2:19">
      <c r="B846" s="224"/>
      <c r="C846" s="224"/>
      <c r="D846" s="224"/>
      <c r="E846" s="224"/>
      <c r="F846" s="224"/>
      <c r="G846" s="224"/>
      <c r="H846" s="224"/>
      <c r="I846" s="224"/>
      <c r="J846" s="224"/>
      <c r="K846" s="224"/>
      <c r="L846" s="224"/>
      <c r="M846" s="224"/>
      <c r="N846" s="224"/>
      <c r="O846" s="224"/>
      <c r="P846" s="224"/>
      <c r="R846" s="225"/>
      <c r="S846" s="225"/>
    </row>
    <row r="847" spans="2:19">
      <c r="B847" s="224"/>
      <c r="C847" s="224"/>
      <c r="D847" s="224"/>
      <c r="E847" s="224"/>
      <c r="F847" s="224"/>
      <c r="G847" s="224"/>
      <c r="H847" s="224"/>
      <c r="I847" s="224"/>
      <c r="J847" s="224"/>
      <c r="K847" s="224"/>
      <c r="L847" s="224"/>
      <c r="M847" s="224"/>
      <c r="N847" s="224"/>
      <c r="O847" s="224"/>
      <c r="P847" s="224"/>
      <c r="R847" s="225"/>
      <c r="S847" s="225"/>
    </row>
  </sheetData>
  <sheetProtection algorithmName="SHA-512" hashValue="pET5jKpf1igjWodoZ6kBLdy+eNMiz967+dLUVvuIbv1+XN0dF+kuvC+qcc5bOTYeYp3frSx6CTLcClEhP67AOg==" saltValue="zLaPiucAAZ8+A+SwMiY+Vw==" spinCount="100000" sheet="1" objects="1" scenarios="1" selectLockedCells="1"/>
  <mergeCells count="26">
    <mergeCell ref="D115:F115"/>
    <mergeCell ref="D116:F116"/>
    <mergeCell ref="D127:F127"/>
    <mergeCell ref="D128:F128"/>
    <mergeCell ref="D130:F130"/>
    <mergeCell ref="D118:F118"/>
    <mergeCell ref="D119:F119"/>
    <mergeCell ref="D120:F120"/>
    <mergeCell ref="D121:F121"/>
    <mergeCell ref="D122:F122"/>
    <mergeCell ref="D123:F123"/>
    <mergeCell ref="D137:F137"/>
    <mergeCell ref="D138:F138"/>
    <mergeCell ref="D131:F131"/>
    <mergeCell ref="D132:F132"/>
    <mergeCell ref="D133:F133"/>
    <mergeCell ref="D135:F135"/>
    <mergeCell ref="D136:F136"/>
    <mergeCell ref="D146:F146"/>
    <mergeCell ref="D148:F148"/>
    <mergeCell ref="D140:F140"/>
    <mergeCell ref="D141:F141"/>
    <mergeCell ref="D143:F143"/>
    <mergeCell ref="D145:F145"/>
    <mergeCell ref="D142:F142"/>
    <mergeCell ref="D147:F147"/>
  </mergeCells>
  <phoneticPr fontId="11" type="noConversion"/>
  <conditionalFormatting sqref="V6:V104">
    <cfRule type="expression" dxfId="850" priority="2">
      <formula>"$C4=""Bestaande Situatie"""</formula>
    </cfRule>
  </conditionalFormatting>
  <conditionalFormatting sqref="W6:W104">
    <cfRule type="expression" dxfId="849" priority="52">
      <formula>"$C4=""Bestaande Situatie"""</formula>
    </cfRule>
  </conditionalFormatting>
  <conditionalFormatting sqref="X6:X104">
    <cfRule type="expression" dxfId="848" priority="3">
      <formula>"$C4=""Bestaande Situatie"""</formula>
    </cfRule>
  </conditionalFormatting>
  <conditionalFormatting sqref="AB6:AB104">
    <cfRule type="expression" dxfId="847" priority="4">
      <formula>"$C4=""Bestaande Situatie"""</formula>
    </cfRule>
  </conditionalFormatting>
  <conditionalFormatting sqref="AC6:AC104">
    <cfRule type="expression" dxfId="846" priority="32">
      <formula>"$C4=""Bestaande Situatie"""</formula>
    </cfRule>
  </conditionalFormatting>
  <conditionalFormatting sqref="AE6:AE104">
    <cfRule type="expression" dxfId="845" priority="16">
      <formula>"$C4=""Bestaande Situatie"""</formula>
    </cfRule>
  </conditionalFormatting>
  <conditionalFormatting sqref="AF6:AF104">
    <cfRule type="expression" dxfId="844" priority="1">
      <formula>"$C4=""Bestaande Situatie"""</formula>
    </cfRule>
  </conditionalFormatting>
  <dataValidations count="1">
    <dataValidation type="list" allowBlank="1" showInputMessage="1" showErrorMessage="1" sqref="F6:F104" xr:uid="{CD5D5C43-CEA0-4C1F-9058-1994F285CA25}">
      <formula1>INDIRECT(E6)</formula1>
    </dataValidation>
  </dataValidations>
  <pageMargins left="0.7" right="0.7" top="0.75" bottom="0.75" header="0.3" footer="0.3"/>
  <pageSetup orientation="portrait" r:id="rId1"/>
  <drawing r:id="rId2"/>
  <tableParts count="2">
    <tablePart r:id="rId3"/>
    <tablePart r:id="rId4"/>
  </tableParts>
  <extLst>
    <ext xmlns:x14="http://schemas.microsoft.com/office/spreadsheetml/2009/9/main" uri="{CCE6A557-97BC-4b89-ADB6-D9C93CAAB3DF}">
      <x14:dataValidations xmlns:xm="http://schemas.microsoft.com/office/excel/2006/main" count="8">
        <x14:dataValidation type="list" allowBlank="1" showInputMessage="1" showErrorMessage="1" xr:uid="{B25722C4-6F10-4EA1-91E2-3C4EDB16CF0B}">
          <x14:formula1>
            <xm:f>Lijsten!$X$2:$X$3</xm:f>
          </x14:formula1>
          <xm:sqref>C40:C104</xm:sqref>
        </x14:dataValidation>
        <x14:dataValidation type="list" allowBlank="1" showInputMessage="1" showErrorMessage="1" xr:uid="{D973C031-F885-45F2-82F6-B514644ED3BA}">
          <x14:formula1>
            <xm:f>Lijsten!$AD$2:$AD$6</xm:f>
          </x14:formula1>
          <xm:sqref>H2</xm:sqref>
        </x14:dataValidation>
        <x14:dataValidation type="list" allowBlank="1" showInputMessage="1" showErrorMessage="1" xr:uid="{8E7B73BA-4680-4611-AA93-17ACF950E5E5}">
          <x14:formula1>
            <xm:f>Lijsten!$R$2:$R$22</xm:f>
          </x14:formula1>
          <xm:sqref>W6:W104</xm:sqref>
        </x14:dataValidation>
        <x14:dataValidation type="list" allowBlank="1" showInputMessage="1" showErrorMessage="1" xr:uid="{8632A2FA-FB52-4D3C-B963-0E39640209DA}">
          <x14:formula1>
            <xm:f>Lijsten!$P$2:$P$16</xm:f>
          </x14:formula1>
          <xm:sqref>V21:V104 AF6:AF104</xm:sqref>
        </x14:dataValidation>
        <x14:dataValidation type="list" allowBlank="1" showInputMessage="1" showErrorMessage="1" xr:uid="{C584A323-384C-451E-8CAA-A9A1F4E86B97}">
          <x14:formula1>
            <xm:f>Lijsten!$A$2:$A$12</xm:f>
          </x14:formula1>
          <xm:sqref>E40:E104</xm:sqref>
        </x14:dataValidation>
        <x14:dataValidation type="list" allowBlank="1" showInputMessage="1" showErrorMessage="1" xr:uid="{579BDFD1-B4DD-4A4D-8D84-735AEEB60DBA}">
          <x14:formula1>
            <xm:f>Database!$A$2594:$A$2612</xm:f>
          </x14:formula1>
          <xm:sqref>AA21:AA104 AA13:AA14</xm:sqref>
        </x14:dataValidation>
        <x14:dataValidation type="list" allowBlank="1" showInputMessage="1" showErrorMessage="1" xr:uid="{839DD349-7611-4794-9D03-41DEA56D2581}">
          <x14:formula1>
            <xm:f>Database!$A$2617:$A$2625</xm:f>
          </x14:formula1>
          <xm:sqref>AG6:AG104</xm:sqref>
        </x14:dataValidation>
        <x14:dataValidation type="list" allowBlank="1" showInputMessage="1" showErrorMessage="1" xr:uid="{F407311F-F9B9-46BE-9E22-78D825E944B4}">
          <x14:formula1>
            <xm:f>Lijsten!$T$2:$T$16</xm:f>
          </x14:formula1>
          <xm:sqref>AB15:AB104 AB6:AB12 X21:X104</xm:sqref>
        </x14:dataValidation>
      </x14:dataValidations>
    </ext>
    <ext xmlns:x15="http://schemas.microsoft.com/office/spreadsheetml/2010/11/main" uri="{3A4CF648-6AED-40f4-86FF-DC5316D8AED3}">
      <x14:slicerList xmlns:x14="http://schemas.microsoft.com/office/spreadsheetml/2009/9/main">
        <x14:slicer r:id="rId5"/>
      </x14:slicerList>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D24A2D-A1BD-4248-8A01-2FA793EF2B3F}">
  <sheetPr codeName="Blad5"/>
  <dimension ref="B2:AC734"/>
  <sheetViews>
    <sheetView zoomScale="85" zoomScaleNormal="85" workbookViewId="0">
      <selection activeCell="V37" sqref="V37"/>
    </sheetView>
  </sheetViews>
  <sheetFormatPr defaultColWidth="10.85546875" defaultRowHeight="15"/>
  <cols>
    <col min="1" max="1" width="10.85546875" style="14"/>
    <col min="2" max="2" width="24.85546875" style="14" customWidth="1"/>
    <col min="3" max="3" width="28.28515625" style="14" customWidth="1"/>
    <col min="4" max="4" width="12.5703125" style="14" customWidth="1"/>
    <col min="5" max="7" width="10.85546875" style="14"/>
    <col min="8" max="8" width="11.7109375" style="14" bestFit="1" customWidth="1"/>
    <col min="9" max="9" width="14.140625" style="14" bestFit="1" customWidth="1"/>
    <col min="10" max="10" width="13.42578125" style="14" customWidth="1"/>
    <col min="11" max="11" width="11" style="14" bestFit="1" customWidth="1"/>
    <col min="12" max="12" width="12.85546875" style="14" customWidth="1"/>
    <col min="13" max="13" width="15.28515625" style="14" bestFit="1" customWidth="1"/>
    <col min="14" max="15" width="10.85546875" style="14"/>
    <col min="16" max="16" width="12" style="14" bestFit="1" customWidth="1"/>
    <col min="17" max="17" width="14.42578125" style="14" customWidth="1"/>
    <col min="18" max="18" width="10.85546875" style="14"/>
    <col min="19" max="19" width="11.28515625" style="14" bestFit="1" customWidth="1"/>
    <col min="20" max="21" width="10.85546875" style="14"/>
    <col min="22" max="22" width="15.28515625" style="14" bestFit="1" customWidth="1"/>
    <col min="23" max="16384" width="10.85546875" style="14"/>
  </cols>
  <sheetData>
    <row r="2" spans="2:29" ht="18">
      <c r="B2" s="110" t="s">
        <v>72</v>
      </c>
    </row>
    <row r="3" spans="2:29">
      <c r="B3" s="1" t="s">
        <v>214</v>
      </c>
      <c r="C3" s="1" t="s">
        <v>7</v>
      </c>
      <c r="D3" s="18" t="s">
        <v>74</v>
      </c>
      <c r="E3" s="19" t="s">
        <v>75</v>
      </c>
      <c r="F3" s="20" t="s">
        <v>76</v>
      </c>
      <c r="G3" s="18" t="s">
        <v>77</v>
      </c>
      <c r="H3" s="21" t="s">
        <v>78</v>
      </c>
      <c r="I3" s="22" t="s">
        <v>79</v>
      </c>
      <c r="J3" s="23" t="s">
        <v>80</v>
      </c>
      <c r="K3" s="24" t="s">
        <v>82</v>
      </c>
      <c r="L3" s="25" t="s">
        <v>83</v>
      </c>
      <c r="M3" s="26" t="s">
        <v>84</v>
      </c>
      <c r="N3" s="27" t="s">
        <v>85</v>
      </c>
      <c r="O3" s="28" t="s">
        <v>86</v>
      </c>
      <c r="P3" s="29" t="s">
        <v>87</v>
      </c>
      <c r="Q3" s="30" t="s">
        <v>88</v>
      </c>
      <c r="R3" s="29" t="s">
        <v>89</v>
      </c>
      <c r="S3" s="143" t="s">
        <v>90</v>
      </c>
      <c r="AA3" s="13" t="s">
        <v>329</v>
      </c>
      <c r="AB3" s="13" t="s">
        <v>330</v>
      </c>
      <c r="AC3" s="55"/>
    </row>
    <row r="4" spans="2:29">
      <c r="B4" s="272" t="str">
        <f>Optimalisatie!B6</f>
        <v xml:space="preserve">121110 - Opbreken trottoirband </v>
      </c>
      <c r="C4" s="9" t="str">
        <f>Optimalisatie!F6</f>
        <v>Trottoirband 130/150x250</v>
      </c>
      <c r="D4" s="9">
        <f>(IF(Optimalisatie!C6="Nieuwe Situatie",_xlfn.IFNA(IF(Optimalisatie!E6="Categorie_1_LCA_Producten",VLOOKUP(Inschrijf_MKI_Totaal[[#This Row],[Product]],Categorie_1_Producten[#All],8,FALSE)*(Optimalisatie!J6),VLOOKUP(Inschrijf_MKI_Totaal[[#This Row],[Product]]&amp;", "&amp;Inschrijf_MKI_Totaal[[#Headers],[A1]],Database_Productkaarten[#All],14,FALSE)*Optimalisatie!J6),Baseline_Backlog!D4),0))</f>
        <v>0</v>
      </c>
      <c r="E4" s="9">
        <f>(IF(Optimalisatie!C6="Nieuwe Situatie",_xlfn.IFNA(IF(Optimalisatie!E6="Categorie_1_LCA_Producten",VLOOKUP(Inschrijf_MKI_Totaal[[#This Row],[Product]],Categorie_1_Producten[#All],9,FALSE)*(Optimalisatie!J6),VLOOKUP(Inschrijf_MKI_Totaal[[#This Row],[Product]]&amp;", "&amp;Inschrijf_MKI_Totaal[[#Headers],[A2]],Database_Productkaarten[#All],14,FALSE)*Optimalisatie!J6),Baseline_Backlog!E4),0))</f>
        <v>0</v>
      </c>
      <c r="F4" s="9">
        <f>(IF(Optimalisatie!C6="Nieuwe Situatie",_xlfn.IFNA(IF(Optimalisatie!E6="Categorie_1_LCA_Producten",VLOOKUP(Inschrijf_MKI_Totaal[[#This Row],[Product]],Categorie_1_Producten[#All],10,FALSE)*(Optimalisatie!J6),VLOOKUP(Inschrijf_MKI_Totaal[[#This Row],[Product]]&amp;", "&amp;Inschrijf_MKI_Totaal[[#Headers],[A3]],Database_Productkaarten[#All],14,FALSE)*Optimalisatie!J6),Baseline_Backlog!F4),0))</f>
        <v>0</v>
      </c>
      <c r="G4" s="9">
        <f>(IF(Optimalisatie!C6="Nieuwe Situatie",_xlfn.IFNA(IF(Optimalisatie!E6="Categorie_1_LCA_Producten",VLOOKUP(Inschrijf_MKI_Totaal[[#This Row],[Product]],Categorie_1_Producten[#All],11,FALSE)*(Optimalisatie!J6),VLOOKUP(Inschrijf_MKI_Totaal[[#This Row],[Product]]&amp;", "&amp;Inschrijf_MKI_Totaal[[#Headers],[A1-A3]],Database_Productkaarten[#All],14,FALSE)*Optimalisatie!J6),Baseline_Backlog!G4),0))</f>
        <v>0</v>
      </c>
      <c r="H4" s="9">
        <f>(IF(Optimalisatie!C6="Nieuwe Situatie",_xlfn.IFNA(VLOOKUP(Optimalisatie!V6,Database_Transport[#All],7,FALSE)*((IF(Optimalisatie!R6=0,Baseline!Q6,Optimalisatie!R6))*Optimalisatie!U6),Baseline_Backlog!H4),0))</f>
        <v>0</v>
      </c>
      <c r="I4" s="9">
        <f>IF(Optimalisatie!C6="Nieuwe situatie",IF(_xlfn.IFNA((VLOOKUP(Optimalisatie!W6,Database_Asfalt_Aanlegset[#All],7,FALSE)*Optimalisatie!J6),0)+_xlfn.IFNA(VLOOKUP(Optimalisatie!X6,Database_Brandstoffen[#All],7,FALSE)*((Optimalisatie!J6/Optimalisatie!Z6)*Optimalisatie!Y6),0)&gt;0,_xlfn.IFNA((VLOOKUP(Optimalisatie!W6,Database_Asfalt_Aanlegset[#All],7,FALSE)*Optimalisatie!J6),0)+_xlfn.IFNA(VLOOKUP(Optimalisatie!X6,Database_Brandstoffen[#All],7,FALSE)*((Optimalisatie!J6/Optimalisatie!Z6)*Optimalisatie!Y6),0),(_xlfn.IFNA(VLOOKUP(Inschrijf_MKI_Totaal[[#This Row],[Product]]&amp;", "&amp;Inschrijf_MKI_Totaal[[#Headers],[A5]],Database_Productkaarten[#All],14,FALSE),0)*Optimalisatie!J6)),0)</f>
        <v>0</v>
      </c>
      <c r="J4" s="9"/>
      <c r="K4" s="9">
        <f>(IF(Optimalisatie!C6="Nieuwe Situatie",_xlfn.IFNA(SUM(Inschrijf_MKI_Totaal[[#This Row],[A1]:[B1]],Inschrijf_MKI_Totaal[[#This Row],[C1]:[D2]])*Optimalisatie!T6,0),0))</f>
        <v>0</v>
      </c>
      <c r="L4" s="9">
        <f>IF(Optimalisatie!C6="Bestaande situatie",IF(_xlfn.IFNA((VLOOKUP(Optimalisatie!AA6,Database_Asfalt_Verwijderset[#All],7,FALSE)*Optimalisatie!J6),0)+_xlfn.IFNA(VLOOKUP(Optimalisatie!AB6,Database_Brandstoffen[#All],7,FALSE)*((Optimalisatie!J6/Optimalisatie!AD6)*Optimalisatie!AC6),0)&gt;0,_xlfn.IFNA((VLOOKUP(Optimalisatie!AA6,Database_Asfalt_Verwijderset[#All],7,FALSE)*Optimalisatie!J6),0)+_xlfn.IFNA(VLOOKUP(Optimalisatie!AB6,Database_Brandstoffen[#All],7,FALSE)*((Optimalisatie!J6/Optimalisatie!AD6)*Optimalisatie!AC6),0),(_xlfn.IFNA(VLOOKUP(Inschrijf_MKI_Totaal[[#This Row],[Product]]&amp;", "&amp;Inschrijf_MKI_Totaal[[#Headers],[C1]],Database_Productkaarten[#All],14,FALSE),0)*Optimalisatie!J6)),0)</f>
        <v>372.26836443454044</v>
      </c>
      <c r="M4" s="9">
        <f>(IF(Optimalisatie!C6="Bestaande Situatie",_xlfn.IFNA(VLOOKUP(Optimalisatie!AF6,Database_Transport[#All],7,FALSE)*(Optimalisatie!R6*Optimalisatie!AE6),Baseline_Backlog!M4),0))</f>
        <v>46.173105085107004</v>
      </c>
      <c r="N4" s="9">
        <f>(IF(Optimalisatie!C6="Bestaande Situatie",_xlfn.IFNA(VLOOKUP(Optimalisatie!AG6,Database_Asfalt_Verwerkingsset[#All],7,FALSE)*(Optimalisatie!J6/VLOOKUP(Optimalisatie!AG6,Database_Asfalt_Verwerkingsset[#All],8,FALSE)),Baseline_Backlog!N4),0))</f>
        <v>76.503699999999995</v>
      </c>
      <c r="O4" s="9">
        <f>(IF(Optimalisatie!C6="Bestaande Situatie",_xlfn.IFNA(VLOOKUP(Inschrijf_MKI_Totaal[[#This Row],[Product]]&amp;", "&amp;Inschrijf_MKI_Totaal[[#Headers],[C4]],Database_Productkaarten[#All],14,FALSE),Baseline_Backlog!O4)*Optimalisatie!J6,0))</f>
        <v>2.0065500000000003</v>
      </c>
      <c r="P4" s="9">
        <f>(IF(Optimalisatie!C6="Bestaande Situatie",_xlfn.IFNA(IF(Optimalisatie!E6="Categorie_1_LCA_Producten",VLOOKUP(Inschrijf_MKI_Totaal[[#This Row],[Product]],Categorie_1_Producten[#All],12,FALSE)*(Optimalisatie!J6),VLOOKUP(Inschrijf_MKI_Totaal[[#This Row],[Product]]&amp;", "&amp;Inschrijf_MKI_Totaal[[#Headers],[D1]],Database_Productkaarten[#All],14,FALSE)*Optimalisatie!J6),Baseline_Backlog!P4),0))</f>
        <v>0</v>
      </c>
      <c r="Q4" s="9">
        <f>(IF(Optimalisatie!C6="Bestaande Situatie",_xlfn.IFNA(IF(Optimalisatie!E6="Categorie_1_LCA_Producten",VLOOKUP(Inschrijf_MKI_Totaal[[#This Row],[Product]],Categorie_1_Producten[#All],13,FALSE)*(Optimalisatie!J6),VLOOKUP(Inschrijf_MKI_Totaal[[#This Row],[Product]]&amp;", "&amp;Inschrijf_MKI_Totaal[[#Headers],[D2]],Database_Productkaarten[#All],14,FALSE)*Optimalisatie!J6),Baseline_Backlog!Q4),0))</f>
        <v>0</v>
      </c>
      <c r="R4" s="9">
        <f>(IF(Optimalisatie!C6="Bestaande Situatie",_xlfn.IFNA(IF(Optimalisatie!E6="Categorie_1_LCA_Producten",VLOOKUP(Inschrijf_MKI_Totaal[[#This Row],[Product]],Categorie_1_Producten[#All],13,FALSE)*(Optimalisatie!J6),VLOOKUP(Inschrijf_MKI_Totaal[[#This Row],[Product]]&amp;", "&amp;Inschrijf_MKI_Totaal[[#Headers],[D]],Database_Productkaarten[#All],14,FALSE)*Optimalisatie!J6),Baseline_Backlog!S4),0))</f>
        <v>-141.85990000000001</v>
      </c>
      <c r="S4" s="301">
        <f>SUM(Inschrijf_MKI_Totaal[[#This Row],[A1-A3]:[C4]])+Inschrijf_MKI_Totaal[[#This Row],[D]]</f>
        <v>355.0918195196474</v>
      </c>
      <c r="AA4" s="9">
        <f>_xlfn.IFNA((VLOOKUP(Optimalisatie!AA6,Database_Asfalt_Verwijderset[#All],7,FALSE)*Optimalisatie!J6),0)</f>
        <v>0</v>
      </c>
      <c r="AB4" s="9">
        <f>_xlfn.IFNA(VLOOKUP(Optimalisatie!AB6,Database_Overig_Materieel[#All],7,FALSE)*(Optimalisatie!J6/Optimalisatie!AD6),0)</f>
        <v>0</v>
      </c>
      <c r="AC4" s="332">
        <f>(_xlfn.IFNA(VLOOKUP(Inschrijf_MKI_Totaal[[#This Row],[Product]]&amp;", "&amp;Inschrijf_MKI_Totaal[[#Headers],[C1]],Database_Productkaarten[#All],14,FALSE),0)*Optimalisatie!J6)</f>
        <v>250.69135</v>
      </c>
    </row>
    <row r="5" spans="2:29">
      <c r="B5" s="272" t="str">
        <f>Optimalisatie!B7</f>
        <v>121120 - Opbreken RWS band</v>
      </c>
      <c r="C5" s="9" t="str">
        <f>Optimalisatie!F7</f>
        <v>RWSband 115/225x250</v>
      </c>
      <c r="D5" s="9">
        <f>(IF(Optimalisatie!C7="Nieuwe Situatie",_xlfn.IFNA(IF(Optimalisatie!E7="Categorie_1_LCA_Producten",VLOOKUP(Inschrijf_MKI_Totaal[[#This Row],[Product]],Categorie_1_Producten[#All],8,FALSE)*(Optimalisatie!J7),VLOOKUP(Inschrijf_MKI_Totaal[[#This Row],[Product]]&amp;", "&amp;Inschrijf_MKI_Totaal[[#Headers],[A1]],Database_Productkaarten[#All],14,FALSE)*Optimalisatie!J7),Baseline_Backlog!D5),0))</f>
        <v>0</v>
      </c>
      <c r="E5" s="9">
        <f>(IF(Optimalisatie!C7="Nieuwe Situatie",_xlfn.IFNA(IF(Optimalisatie!E7="Categorie_1_LCA_Producten",VLOOKUP(Inschrijf_MKI_Totaal[[#This Row],[Product]],Categorie_1_Producten[#All],9,FALSE)*(Optimalisatie!J7),VLOOKUP(Inschrijf_MKI_Totaal[[#This Row],[Product]]&amp;", "&amp;Inschrijf_MKI_Totaal[[#Headers],[A2]],Database_Productkaarten[#All],14,FALSE)*Optimalisatie!J7),Baseline_Backlog!E5),0))</f>
        <v>0</v>
      </c>
      <c r="F5" s="9">
        <f>(IF(Optimalisatie!C7="Nieuwe Situatie",_xlfn.IFNA(IF(Optimalisatie!E7="Categorie_1_LCA_Producten",VLOOKUP(Inschrijf_MKI_Totaal[[#This Row],[Product]],Categorie_1_Producten[#All],10,FALSE)*(Optimalisatie!J7),VLOOKUP(Inschrijf_MKI_Totaal[[#This Row],[Product]]&amp;", "&amp;Inschrijf_MKI_Totaal[[#Headers],[A3]],Database_Productkaarten[#All],14,FALSE)*Optimalisatie!J7),Baseline_Backlog!F5),0))</f>
        <v>0</v>
      </c>
      <c r="G5" s="9">
        <f>(IF(Optimalisatie!C7="Nieuwe Situatie",_xlfn.IFNA(IF(Optimalisatie!E7="Categorie_1_LCA_Producten",VLOOKUP(Inschrijf_MKI_Totaal[[#This Row],[Product]],Categorie_1_Producten[#All],11,FALSE)*(Optimalisatie!J7),VLOOKUP(Inschrijf_MKI_Totaal[[#This Row],[Product]]&amp;", "&amp;Inschrijf_MKI_Totaal[[#Headers],[A1-A3]],Database_Productkaarten[#All],14,FALSE)*Optimalisatie!J7),Baseline_Backlog!G5),0))</f>
        <v>0</v>
      </c>
      <c r="H5" s="9">
        <f>(IF(Optimalisatie!C7="Nieuwe Situatie",_xlfn.IFNA(VLOOKUP(Optimalisatie!V7,Database_Transport[#All],7,FALSE)*((IF(Optimalisatie!R7=0,Baseline!Q7,Optimalisatie!R7))*Optimalisatie!U7),Baseline_Backlog!H5),0))</f>
        <v>0</v>
      </c>
      <c r="I5" s="9">
        <f>IF(Optimalisatie!C7="Nieuwe situatie",IF(_xlfn.IFNA((VLOOKUP(Optimalisatie!W7,Database_Asfalt_Aanlegset[#All],7,FALSE)*Optimalisatie!J7),0)+_xlfn.IFNA(VLOOKUP(Optimalisatie!X7,Database_Brandstoffen[#All],7,FALSE)*((Optimalisatie!J7/Optimalisatie!Z7)*Optimalisatie!Y7),0)&gt;0,_xlfn.IFNA((VLOOKUP(Optimalisatie!W7,Database_Asfalt_Aanlegset[#All],7,FALSE)*Optimalisatie!J7),0)+_xlfn.IFNA(VLOOKUP(Optimalisatie!X7,Database_Brandstoffen[#All],7,FALSE)*((Optimalisatie!J7/Optimalisatie!Z7)*Optimalisatie!Y7),0),(_xlfn.IFNA(VLOOKUP(Inschrijf_MKI_Totaal[[#This Row],[Product]]&amp;", "&amp;Inschrijf_MKI_Totaal[[#Headers],[A5]],Database_Productkaarten[#All],14,FALSE),0)*Optimalisatie!J7)),0)</f>
        <v>0</v>
      </c>
      <c r="J5" s="9"/>
      <c r="K5" s="9">
        <f>(IF(Optimalisatie!C7="Nieuwe Situatie",_xlfn.IFNA(SUM(Inschrijf_MKI_Totaal[[#This Row],[A1]:[B1]],Inschrijf_MKI_Totaal[[#This Row],[C1]:[D2]])*Optimalisatie!T7,0),0))</f>
        <v>0</v>
      </c>
      <c r="L5" s="9">
        <f>IF(Optimalisatie!C7="Bestaande situatie",IF(_xlfn.IFNA((VLOOKUP(Optimalisatie!AA7,Database_Asfalt_Verwijderset[#All],7,FALSE)*Optimalisatie!J7),0)+_xlfn.IFNA(VLOOKUP(Optimalisatie!AB7,Database_Brandstoffen[#All],7,FALSE)*((Optimalisatie!J7/Optimalisatie!AD7)*Optimalisatie!AC7),0)&gt;0,_xlfn.IFNA((VLOOKUP(Optimalisatie!AA7,Database_Asfalt_Verwijderset[#All],7,FALSE)*Optimalisatie!J7),0)+_xlfn.IFNA(VLOOKUP(Optimalisatie!AB7,Database_Brandstoffen[#All],7,FALSE)*((Optimalisatie!J7/Optimalisatie!AD7)*Optimalisatie!AC7),0),(_xlfn.IFNA(VLOOKUP(Inschrijf_MKI_Totaal[[#This Row],[Product]]&amp;", "&amp;Inschrijf_MKI_Totaal[[#Headers],[C1]],Database_Productkaarten[#All],14,FALSE),0)*Optimalisatie!J7)),0)</f>
        <v>39.155385270194991</v>
      </c>
      <c r="M5" s="9">
        <f>(IF(Optimalisatie!C7="Bestaande Situatie",_xlfn.IFNA(VLOOKUP(Optimalisatie!AF7,Database_Transport[#All],7,FALSE)*(Optimalisatie!R7*Optimalisatie!AE7),Baseline_Backlog!M5),0))</f>
        <v>7.2761262766170001</v>
      </c>
      <c r="N5" s="9">
        <f>(IF(Optimalisatie!C7="Bestaande Situatie",_xlfn.IFNA(VLOOKUP(Optimalisatie!AG7,Database_Asfalt_Verwerkingsset[#All],7,FALSE)*(Optimalisatie!J7/VLOOKUP(Optimalisatie!AG7,Database_Asfalt_Verwerkingsset[#All],8,FALSE)),Baseline_Backlog!N5),0))</f>
        <v>12.0466</v>
      </c>
      <c r="O5" s="9">
        <f>(IF(Optimalisatie!C7="Bestaande Situatie",_xlfn.IFNA(VLOOKUP(Inschrijf_MKI_Totaal[[#This Row],[Product]]&amp;", "&amp;Inschrijf_MKI_Totaal[[#Headers],[C4]],Database_Productkaarten[#All],14,FALSE),Baseline_Backlog!O5)*Optimalisatie!J7,0))</f>
        <v>0.31490000000000001</v>
      </c>
      <c r="P5" s="9">
        <f>(IF(Optimalisatie!C7="Bestaande Situatie",_xlfn.IFNA(IF(Optimalisatie!E7="Categorie_1_LCA_Producten",VLOOKUP(Inschrijf_MKI_Totaal[[#This Row],[Product]],Categorie_1_Producten[#All],12,FALSE)*(Optimalisatie!J7),VLOOKUP(Inschrijf_MKI_Totaal[[#This Row],[Product]]&amp;", "&amp;Inschrijf_MKI_Totaal[[#Headers],[D1]],Database_Productkaarten[#All],14,FALSE)*Optimalisatie!J7),Baseline_Backlog!P5),0))</f>
        <v>0</v>
      </c>
      <c r="Q5" s="9">
        <f>(IF(Optimalisatie!C7="Bestaande Situatie",_xlfn.IFNA(IF(Optimalisatie!E7="Categorie_1_LCA_Producten",VLOOKUP(Inschrijf_MKI_Totaal[[#This Row],[Product]],Categorie_1_Producten[#All],13,FALSE)*(Optimalisatie!J7),VLOOKUP(Inschrijf_MKI_Totaal[[#This Row],[Product]]&amp;", "&amp;Inschrijf_MKI_Totaal[[#Headers],[D2]],Database_Productkaarten[#All],14,FALSE)*Optimalisatie!J7),Baseline_Backlog!Q5),0))</f>
        <v>0</v>
      </c>
      <c r="R5" s="9">
        <f>(IF(Optimalisatie!C7="Bestaande Situatie",_xlfn.IFNA(IF(Optimalisatie!E7="Categorie_1_LCA_Producten",VLOOKUP(Inschrijf_MKI_Totaal[[#This Row],[Product]],Categorie_1_Producten[#All],13,FALSE)*(Optimalisatie!J7),VLOOKUP(Inschrijf_MKI_Totaal[[#This Row],[Product]]&amp;", "&amp;Inschrijf_MKI_Totaal[[#Headers],[D]],Database_Productkaarten[#All],14,FALSE)*Optimalisatie!J7),Baseline_Backlog!S5),0))</f>
        <v>-22.471800000000002</v>
      </c>
      <c r="S5" s="301">
        <f>SUM(Inschrijf_MKI_Totaal[[#This Row],[A1-A3]:[C4]])+Inschrijf_MKI_Totaal[[#This Row],[D]]</f>
        <v>36.321211546811988</v>
      </c>
      <c r="AA5" s="9">
        <f>_xlfn.IFNA((VLOOKUP(Optimalisatie!AA7,Database_Asfalt_Verwijderset[#All],7,FALSE)*Optimalisatie!J7),0)</f>
        <v>0</v>
      </c>
      <c r="AB5" s="9">
        <f>_xlfn.IFNA(VLOOKUP(Optimalisatie!AB7,Database_Overig_Materieel[#All],7,FALSE)*(Optimalisatie!J7/Optimalisatie!AD7),0)</f>
        <v>0</v>
      </c>
      <c r="AC5" s="332">
        <f>(_xlfn.IFNA(VLOOKUP(Inschrijf_MKI_Totaal[[#This Row],[Product]]&amp;", "&amp;Inschrijf_MKI_Totaal[[#Headers],[C1]],Database_Productkaarten[#All],14,FALSE),0)*Optimalisatie!J7)</f>
        <v>26.367850000000001</v>
      </c>
    </row>
    <row r="6" spans="2:29">
      <c r="B6" s="272" t="str">
        <f>Optimalisatie!B8</f>
        <v>121140 - Opbreken Opsluitband</v>
      </c>
      <c r="C6" s="9" t="str">
        <f>Optimalisatie!F8</f>
        <v>Opsluitband 100x200</v>
      </c>
      <c r="D6" s="9">
        <f>(IF(Optimalisatie!C8="Nieuwe Situatie",_xlfn.IFNA(IF(Optimalisatie!E8="Categorie_1_LCA_Producten",VLOOKUP(Inschrijf_MKI_Totaal[[#This Row],[Product]],Categorie_1_Producten[#All],8,FALSE)*(Optimalisatie!J8),VLOOKUP(Inschrijf_MKI_Totaal[[#This Row],[Product]]&amp;", "&amp;Inschrijf_MKI_Totaal[[#Headers],[A1]],Database_Productkaarten[#All],14,FALSE)*Optimalisatie!J8),Baseline_Backlog!D6),0))</f>
        <v>0</v>
      </c>
      <c r="E6" s="9">
        <f>(IF(Optimalisatie!C8="Nieuwe Situatie",_xlfn.IFNA(IF(Optimalisatie!E8="Categorie_1_LCA_Producten",VLOOKUP(Inschrijf_MKI_Totaal[[#This Row],[Product]],Categorie_1_Producten[#All],9,FALSE)*(Optimalisatie!J8),VLOOKUP(Inschrijf_MKI_Totaal[[#This Row],[Product]]&amp;", "&amp;Inschrijf_MKI_Totaal[[#Headers],[A2]],Database_Productkaarten[#All],14,FALSE)*Optimalisatie!J8),Baseline_Backlog!E6),0))</f>
        <v>0</v>
      </c>
      <c r="F6" s="9">
        <f>(IF(Optimalisatie!C8="Nieuwe Situatie",_xlfn.IFNA(IF(Optimalisatie!E8="Categorie_1_LCA_Producten",VLOOKUP(Inschrijf_MKI_Totaal[[#This Row],[Product]],Categorie_1_Producten[#All],10,FALSE)*(Optimalisatie!J8),VLOOKUP(Inschrijf_MKI_Totaal[[#This Row],[Product]]&amp;", "&amp;Inschrijf_MKI_Totaal[[#Headers],[A3]],Database_Productkaarten[#All],14,FALSE)*Optimalisatie!J8),Baseline_Backlog!F6),0))</f>
        <v>0</v>
      </c>
      <c r="G6" s="9">
        <f>(IF(Optimalisatie!C8="Nieuwe Situatie",_xlfn.IFNA(IF(Optimalisatie!E8="Categorie_1_LCA_Producten",VLOOKUP(Inschrijf_MKI_Totaal[[#This Row],[Product]],Categorie_1_Producten[#All],11,FALSE)*(Optimalisatie!J8),VLOOKUP(Inschrijf_MKI_Totaal[[#This Row],[Product]]&amp;", "&amp;Inschrijf_MKI_Totaal[[#Headers],[A1-A3]],Database_Productkaarten[#All],14,FALSE)*Optimalisatie!J8),Baseline_Backlog!G6),0))</f>
        <v>0</v>
      </c>
      <c r="H6" s="9">
        <f>(IF(Optimalisatie!C8="Nieuwe Situatie",_xlfn.IFNA(VLOOKUP(Optimalisatie!V8,Database_Transport[#All],7,FALSE)*((IF(Optimalisatie!R8=0,Baseline!Q8,Optimalisatie!R8))*Optimalisatie!U8),Baseline_Backlog!H6),0))</f>
        <v>0</v>
      </c>
      <c r="I6" s="9">
        <f>IF(Optimalisatie!C8="Nieuwe situatie",IF(_xlfn.IFNA((VLOOKUP(Optimalisatie!W8,Database_Asfalt_Aanlegset[#All],7,FALSE)*Optimalisatie!J8),0)+_xlfn.IFNA(VLOOKUP(Optimalisatie!X8,Database_Brandstoffen[#All],7,FALSE)*((Optimalisatie!J8/Optimalisatie!Z8)*Optimalisatie!Y8),0)&gt;0,_xlfn.IFNA((VLOOKUP(Optimalisatie!W8,Database_Asfalt_Aanlegset[#All],7,FALSE)*Optimalisatie!J8),0)+_xlfn.IFNA(VLOOKUP(Optimalisatie!X8,Database_Brandstoffen[#All],7,FALSE)*((Optimalisatie!J8/Optimalisatie!Z8)*Optimalisatie!Y8),0),(_xlfn.IFNA(VLOOKUP(Inschrijf_MKI_Totaal[[#This Row],[Product]]&amp;", "&amp;Inschrijf_MKI_Totaal[[#Headers],[A5]],Database_Productkaarten[#All],14,FALSE),0)*Optimalisatie!J8)),0)</f>
        <v>0</v>
      </c>
      <c r="J6" s="9"/>
      <c r="K6" s="9">
        <f>(IF(Optimalisatie!C8="Nieuwe Situatie",_xlfn.IFNA(SUM(Inschrijf_MKI_Totaal[[#This Row],[A1]:[B1]],Inschrijf_MKI_Totaal[[#This Row],[C1]:[D2]])*Optimalisatie!T8,0),0))</f>
        <v>0</v>
      </c>
      <c r="L6" s="9">
        <f>IF(Optimalisatie!C8="Bestaande situatie",IF(_xlfn.IFNA((VLOOKUP(Optimalisatie!AA8,Database_Asfalt_Verwijderset[#All],7,FALSE)*Optimalisatie!J8),0)+_xlfn.IFNA(VLOOKUP(Optimalisatie!AB8,Database_Brandstoffen[#All],7,FALSE)*((Optimalisatie!J8/Optimalisatie!AD8)*Optimalisatie!AC8),0)&gt;0,_xlfn.IFNA((VLOOKUP(Optimalisatie!AA8,Database_Asfalt_Verwijderset[#All],7,FALSE)*Optimalisatie!J8),0)+_xlfn.IFNA(VLOOKUP(Optimalisatie!AB8,Database_Brandstoffen[#All],7,FALSE)*((Optimalisatie!J8/Optimalisatie!AD8)*Optimalisatie!AC8),0),(_xlfn.IFNA(VLOOKUP(Inschrijf_MKI_Totaal[[#This Row],[Product]]&amp;", "&amp;Inschrijf_MKI_Totaal[[#Headers],[C1]],Database_Productkaarten[#All],14,FALSE),0)*Optimalisatie!J8)),0)</f>
        <v>135.58282660724234</v>
      </c>
      <c r="M6" s="9">
        <f>(IF(Optimalisatie!C8="Bestaande Situatie",_xlfn.IFNA(VLOOKUP(Optimalisatie!AF8,Database_Transport[#All],7,FALSE)*(Optimalisatie!R8*Optimalisatie!AE8),Baseline_Backlog!M6),0))</f>
        <v>9.0765636161199996</v>
      </c>
      <c r="N6" s="9">
        <f>(IF(Optimalisatie!C8="Bestaande Situatie",_xlfn.IFNA(VLOOKUP(Optimalisatie!AG8,Database_Asfalt_Verwerkingsset[#All],7,FALSE)*(Optimalisatie!J8/VLOOKUP(Optimalisatie!AG8,Database_Asfalt_Verwerkingsset[#All],8,FALSE)),Baseline_Backlog!N6),0))</f>
        <v>8.7347999999999999</v>
      </c>
      <c r="O6" s="9">
        <f>(IF(Optimalisatie!C8="Bestaande Situatie",_xlfn.IFNA(VLOOKUP(Inschrijf_MKI_Totaal[[#This Row],[Product]]&amp;", "&amp;Inschrijf_MKI_Totaal[[#Headers],[C4]],Database_Productkaarten[#All],14,FALSE),Baseline_Backlog!O6)*Optimalisatie!J8,0))</f>
        <v>0.38279999999999997</v>
      </c>
      <c r="P6" s="9">
        <f>(IF(Optimalisatie!C8="Bestaande Situatie",_xlfn.IFNA(IF(Optimalisatie!E8="Categorie_1_LCA_Producten",VLOOKUP(Inschrijf_MKI_Totaal[[#This Row],[Product]],Categorie_1_Producten[#All],12,FALSE)*(Optimalisatie!J8),VLOOKUP(Inschrijf_MKI_Totaal[[#This Row],[Product]]&amp;", "&amp;Inschrijf_MKI_Totaal[[#Headers],[D1]],Database_Productkaarten[#All],14,FALSE)*Optimalisatie!J8),Baseline_Backlog!P6),0))</f>
        <v>0</v>
      </c>
      <c r="Q6" s="9">
        <f>(IF(Optimalisatie!C8="Bestaande Situatie",_xlfn.IFNA(IF(Optimalisatie!E8="Categorie_1_LCA_Producten",VLOOKUP(Inschrijf_MKI_Totaal[[#This Row],[Product]],Categorie_1_Producten[#All],13,FALSE)*(Optimalisatie!J8),VLOOKUP(Inschrijf_MKI_Totaal[[#This Row],[Product]]&amp;", "&amp;Inschrijf_MKI_Totaal[[#Headers],[D2]],Database_Productkaarten[#All],14,FALSE)*Optimalisatie!J8),Baseline_Backlog!Q6),0))</f>
        <v>0</v>
      </c>
      <c r="R6" s="9">
        <f>(IF(Optimalisatie!C8="Bestaande Situatie",_xlfn.IFNA(IF(Optimalisatie!E8="Categorie_1_LCA_Producten",VLOOKUP(Inschrijf_MKI_Totaal[[#This Row],[Product]],Categorie_1_Producten[#All],13,FALSE)*(Optimalisatie!J8),VLOOKUP(Inschrijf_MKI_Totaal[[#This Row],[Product]]&amp;", "&amp;Inschrijf_MKI_Totaal[[#Headers],[D]],Database_Productkaarten[#All],14,FALSE)*Optimalisatie!J8),Baseline_Backlog!S6),0))</f>
        <v>-27.387599999999999</v>
      </c>
      <c r="S6" s="301">
        <f>SUM(Inschrijf_MKI_Totaal[[#This Row],[A1-A3]:[C4]])+Inschrijf_MKI_Totaal[[#This Row],[D]]</f>
        <v>126.38939022336237</v>
      </c>
      <c r="AA6" s="9">
        <f>_xlfn.IFNA((VLOOKUP(Optimalisatie!AA8,Database_Asfalt_Verwijderset[#All],7,FALSE)*Optimalisatie!J8),0)</f>
        <v>0</v>
      </c>
      <c r="AB6" s="9">
        <f>_xlfn.IFNA(VLOOKUP(Optimalisatie!AB8,Database_Overig_Materieel[#All],7,FALSE)*(Optimalisatie!J8/Optimalisatie!AD8),0)</f>
        <v>0</v>
      </c>
      <c r="AC6" s="332">
        <f>(_xlfn.IFNA(VLOOKUP(Inschrijf_MKI_Totaal[[#This Row],[Product]]&amp;", "&amp;Inschrijf_MKI_Totaal[[#Headers],[C1]],Database_Productkaarten[#All],14,FALSE),0)*Optimalisatie!J8)</f>
        <v>91.292000000000002</v>
      </c>
    </row>
    <row r="7" spans="2:29">
      <c r="B7" s="272" t="str">
        <f>Optimalisatie!B9</f>
        <v>121310 - Opbreken betonstraatstenen</v>
      </c>
      <c r="C7" s="9" t="str">
        <f>Optimalisatie!F9</f>
        <v>Betonstraatsteen 210x105x80</v>
      </c>
      <c r="D7" s="9">
        <f>(IF(Optimalisatie!C9="Nieuwe Situatie",_xlfn.IFNA(IF(Optimalisatie!E9="Categorie_1_LCA_Producten",VLOOKUP(Inschrijf_MKI_Totaal[[#This Row],[Product]],Categorie_1_Producten[#All],8,FALSE)*(Optimalisatie!J9),VLOOKUP(Inschrijf_MKI_Totaal[[#This Row],[Product]]&amp;", "&amp;Inschrijf_MKI_Totaal[[#Headers],[A1]],Database_Productkaarten[#All],14,FALSE)*Optimalisatie!J9),Baseline_Backlog!D7),0))</f>
        <v>0</v>
      </c>
      <c r="E7" s="9">
        <f>(IF(Optimalisatie!C9="Nieuwe Situatie",_xlfn.IFNA(IF(Optimalisatie!E9="Categorie_1_LCA_Producten",VLOOKUP(Inschrijf_MKI_Totaal[[#This Row],[Product]],Categorie_1_Producten[#All],9,FALSE)*(Optimalisatie!J9),VLOOKUP(Inschrijf_MKI_Totaal[[#This Row],[Product]]&amp;", "&amp;Inschrijf_MKI_Totaal[[#Headers],[A2]],Database_Productkaarten[#All],14,FALSE)*Optimalisatie!J9),Baseline_Backlog!E7),0))</f>
        <v>0</v>
      </c>
      <c r="F7" s="9">
        <f>(IF(Optimalisatie!C9="Nieuwe Situatie",_xlfn.IFNA(IF(Optimalisatie!E9="Categorie_1_LCA_Producten",VLOOKUP(Inschrijf_MKI_Totaal[[#This Row],[Product]],Categorie_1_Producten[#All],10,FALSE)*(Optimalisatie!J9),VLOOKUP(Inschrijf_MKI_Totaal[[#This Row],[Product]]&amp;", "&amp;Inschrijf_MKI_Totaal[[#Headers],[A3]],Database_Productkaarten[#All],14,FALSE)*Optimalisatie!J9),Baseline_Backlog!F7),0))</f>
        <v>0</v>
      </c>
      <c r="G7" s="9">
        <f>(IF(Optimalisatie!C9="Nieuwe Situatie",_xlfn.IFNA(IF(Optimalisatie!E9="Categorie_1_LCA_Producten",VLOOKUP(Inschrijf_MKI_Totaal[[#This Row],[Product]],Categorie_1_Producten[#All],11,FALSE)*(Optimalisatie!J9),VLOOKUP(Inschrijf_MKI_Totaal[[#This Row],[Product]]&amp;", "&amp;Inschrijf_MKI_Totaal[[#Headers],[A1-A3]],Database_Productkaarten[#All],14,FALSE)*Optimalisatie!J9),Baseline_Backlog!G7),0))</f>
        <v>0</v>
      </c>
      <c r="H7" s="9">
        <f>(IF(Optimalisatie!C9="Nieuwe Situatie",_xlfn.IFNA(VLOOKUP(Optimalisatie!V9,Database_Transport[#All],7,FALSE)*((IF(Optimalisatie!R9=0,Baseline!Q9,Optimalisatie!R9))*Optimalisatie!U9),Baseline_Backlog!H7),0))</f>
        <v>0</v>
      </c>
      <c r="I7" s="9">
        <f>IF(Optimalisatie!C9="Nieuwe situatie",IF(_xlfn.IFNA((VLOOKUP(Optimalisatie!W9,Database_Asfalt_Aanlegset[#All],7,FALSE)*Optimalisatie!J9),0)+_xlfn.IFNA(VLOOKUP(Optimalisatie!X9,Database_Brandstoffen[#All],7,FALSE)*((Optimalisatie!J9/Optimalisatie!Z9)*Optimalisatie!Y9),0)&gt;0,_xlfn.IFNA((VLOOKUP(Optimalisatie!W9,Database_Asfalt_Aanlegset[#All],7,FALSE)*Optimalisatie!J9),0)+_xlfn.IFNA(VLOOKUP(Optimalisatie!X9,Database_Brandstoffen[#All],7,FALSE)*((Optimalisatie!J9/Optimalisatie!Z9)*Optimalisatie!Y9),0),(_xlfn.IFNA(VLOOKUP(Inschrijf_MKI_Totaal[[#This Row],[Product]]&amp;", "&amp;Inschrijf_MKI_Totaal[[#Headers],[A5]],Database_Productkaarten[#All],14,FALSE),0)*Optimalisatie!J9)),0)</f>
        <v>0</v>
      </c>
      <c r="J7" s="9"/>
      <c r="K7" s="9">
        <f>(IF(Optimalisatie!C9="Nieuwe Situatie",_xlfn.IFNA(SUM(Inschrijf_MKI_Totaal[[#This Row],[A1]:[B1]],Inschrijf_MKI_Totaal[[#This Row],[C1]:[D2]])*Optimalisatie!T9,0),0))</f>
        <v>0</v>
      </c>
      <c r="L7" s="9">
        <f>IF(Optimalisatie!C9="Bestaande situatie",IF(_xlfn.IFNA((VLOOKUP(Optimalisatie!AA9,Database_Asfalt_Verwijderset[#All],7,FALSE)*Optimalisatie!J9),0)+_xlfn.IFNA(VLOOKUP(Optimalisatie!AB9,Database_Brandstoffen[#All],7,FALSE)*((Optimalisatie!J9/Optimalisatie!AD9)*Optimalisatie!AC9),0)&gt;0,_xlfn.IFNA((VLOOKUP(Optimalisatie!AA9,Database_Asfalt_Verwijderset[#All],7,FALSE)*Optimalisatie!J9),0)+_xlfn.IFNA(VLOOKUP(Optimalisatie!AB9,Database_Brandstoffen[#All],7,FALSE)*((Optimalisatie!J9/Optimalisatie!AD9)*Optimalisatie!AC9),0),(_xlfn.IFNA(VLOOKUP(Inschrijf_MKI_Totaal[[#This Row],[Product]]&amp;", "&amp;Inschrijf_MKI_Totaal[[#Headers],[C1]],Database_Productkaarten[#All],14,FALSE),0)*Optimalisatie!J9)),0)</f>
        <v>187.01079532033427</v>
      </c>
      <c r="M7" s="9">
        <f>(IF(Optimalisatie!C9="Bestaande Situatie",_xlfn.IFNA(VLOOKUP(Optimalisatie!AF9,Database_Transport[#All],7,FALSE)*(Optimalisatie!R9*Optimalisatie!AE9),Baseline_Backlog!M7),0))</f>
        <v>49.417228509440008</v>
      </c>
      <c r="N7" s="9">
        <f>(IF(Optimalisatie!C9="Bestaande Situatie",_xlfn.IFNA(VLOOKUP(Optimalisatie!AG9,Database_Asfalt_Verwerkingsset[#All],7,FALSE)*(Optimalisatie!J9/VLOOKUP(Optimalisatie!AG9,Database_Asfalt_Verwerkingsset[#All],8,FALSE)),Baseline_Backlog!N7),0))</f>
        <v>46.0932624</v>
      </c>
      <c r="O7" s="9">
        <f>(IF(Optimalisatie!C9="Bestaande Situatie",_xlfn.IFNA(VLOOKUP(Inschrijf_MKI_Totaal[[#This Row],[Product]]&amp;", "&amp;Inschrijf_MKI_Totaal[[#Headers],[C4]],Database_Productkaarten[#All],14,FALSE),Baseline_Backlog!O7)*Optimalisatie!J9,0))</f>
        <v>2.1021425599999999</v>
      </c>
      <c r="P7" s="9">
        <f>(IF(Optimalisatie!C9="Bestaande Situatie",_xlfn.IFNA(IF(Optimalisatie!E9="Categorie_1_LCA_Producten",VLOOKUP(Inschrijf_MKI_Totaal[[#This Row],[Product]],Categorie_1_Producten[#All],12,FALSE)*(Optimalisatie!J9),VLOOKUP(Inschrijf_MKI_Totaal[[#This Row],[Product]]&amp;", "&amp;Inschrijf_MKI_Totaal[[#Headers],[D1]],Database_Productkaarten[#All],14,FALSE)*Optimalisatie!J9),Baseline_Backlog!P7),0))</f>
        <v>0</v>
      </c>
      <c r="Q7" s="9">
        <f>(IF(Optimalisatie!C9="Bestaande Situatie",_xlfn.IFNA(IF(Optimalisatie!E9="Categorie_1_LCA_Producten",VLOOKUP(Inschrijf_MKI_Totaal[[#This Row],[Product]],Categorie_1_Producten[#All],13,FALSE)*(Optimalisatie!J9),VLOOKUP(Inschrijf_MKI_Totaal[[#This Row],[Product]]&amp;", "&amp;Inschrijf_MKI_Totaal[[#Headers],[D2]],Database_Productkaarten[#All],14,FALSE)*Optimalisatie!J9),Baseline_Backlog!Q7),0))</f>
        <v>0</v>
      </c>
      <c r="R7" s="9">
        <f>(IF(Optimalisatie!C9="Bestaande Situatie",_xlfn.IFNA(IF(Optimalisatie!E9="Categorie_1_LCA_Producten",VLOOKUP(Inschrijf_MKI_Totaal[[#This Row],[Product]],Categorie_1_Producten[#All],13,FALSE)*(Optimalisatie!J9),VLOOKUP(Inschrijf_MKI_Totaal[[#This Row],[Product]]&amp;", "&amp;Inschrijf_MKI_Totaal[[#Headers],[D]],Database_Productkaarten[#All],14,FALSE)*Optimalisatie!J9),Baseline_Backlog!S7),0))</f>
        <v>-151.14076800000001</v>
      </c>
      <c r="S7" s="301">
        <f>SUM(Inschrijf_MKI_Totaal[[#This Row],[A1-A3]:[C4]])+Inschrijf_MKI_Totaal[[#This Row],[D]]</f>
        <v>133.48266078977426</v>
      </c>
      <c r="AA7" s="9">
        <f>_xlfn.IFNA((VLOOKUP(Optimalisatie!AA9,Database_Asfalt_Verwijderset[#All],7,FALSE)*Optimalisatie!J9),0)</f>
        <v>0</v>
      </c>
      <c r="AB7" s="9">
        <f>_xlfn.IFNA(VLOOKUP(Optimalisatie!AB9,Database_Overig_Materieel[#All],7,FALSE)*(Optimalisatie!J9/Optimalisatie!AD9),0)</f>
        <v>0</v>
      </c>
      <c r="AC7" s="332">
        <f>(_xlfn.IFNA(VLOOKUP(Inschrijf_MKI_Totaal[[#This Row],[Product]]&amp;", "&amp;Inschrijf_MKI_Totaal[[#Headers],[C1]],Database_Productkaarten[#All],14,FALSE),0)*Optimalisatie!J9)</f>
        <v>126.00246079999999</v>
      </c>
    </row>
    <row r="8" spans="2:29">
      <c r="B8" s="272" t="str">
        <f>Optimalisatie!B10</f>
        <v>121320 - Opbreken straatbakstenen en geschikt maken voor hergebruik</v>
      </c>
      <c r="C8" s="9" t="str">
        <f>Optimalisatie!F10</f>
        <v>Gebakken klinker keiformaat</v>
      </c>
      <c r="D8" s="9">
        <f>(IF(Optimalisatie!C10="Nieuwe Situatie",_xlfn.IFNA(IF(Optimalisatie!E10="Categorie_1_LCA_Producten",VLOOKUP(Inschrijf_MKI_Totaal[[#This Row],[Product]],Categorie_1_Producten[#All],8,FALSE)*(Optimalisatie!J10),VLOOKUP(Inschrijf_MKI_Totaal[[#This Row],[Product]]&amp;", "&amp;Inschrijf_MKI_Totaal[[#Headers],[A1]],Database_Productkaarten[#All],14,FALSE)*Optimalisatie!J10),Baseline_Backlog!D8),0))</f>
        <v>0</v>
      </c>
      <c r="E8" s="9">
        <f>(IF(Optimalisatie!C10="Nieuwe Situatie",_xlfn.IFNA(IF(Optimalisatie!E10="Categorie_1_LCA_Producten",VLOOKUP(Inschrijf_MKI_Totaal[[#This Row],[Product]],Categorie_1_Producten[#All],9,FALSE)*(Optimalisatie!J10),VLOOKUP(Inschrijf_MKI_Totaal[[#This Row],[Product]]&amp;", "&amp;Inschrijf_MKI_Totaal[[#Headers],[A2]],Database_Productkaarten[#All],14,FALSE)*Optimalisatie!J10),Baseline_Backlog!E8),0))</f>
        <v>0</v>
      </c>
      <c r="F8" s="9">
        <f>(IF(Optimalisatie!C10="Nieuwe Situatie",_xlfn.IFNA(IF(Optimalisatie!E10="Categorie_1_LCA_Producten",VLOOKUP(Inschrijf_MKI_Totaal[[#This Row],[Product]],Categorie_1_Producten[#All],10,FALSE)*(Optimalisatie!J10),VLOOKUP(Inschrijf_MKI_Totaal[[#This Row],[Product]]&amp;", "&amp;Inschrijf_MKI_Totaal[[#Headers],[A3]],Database_Productkaarten[#All],14,FALSE)*Optimalisatie!J10),Baseline_Backlog!F8),0))</f>
        <v>0</v>
      </c>
      <c r="G8" s="9">
        <f>(IF(Optimalisatie!C10="Nieuwe Situatie",_xlfn.IFNA(IF(Optimalisatie!E10="Categorie_1_LCA_Producten",VLOOKUP(Inschrijf_MKI_Totaal[[#This Row],[Product]],Categorie_1_Producten[#All],11,FALSE)*(Optimalisatie!J10),VLOOKUP(Inschrijf_MKI_Totaal[[#This Row],[Product]]&amp;", "&amp;Inschrijf_MKI_Totaal[[#Headers],[A1-A3]],Database_Productkaarten[#All],14,FALSE)*Optimalisatie!J10),Baseline_Backlog!G8),0))</f>
        <v>0</v>
      </c>
      <c r="H8" s="9">
        <f>(IF(Optimalisatie!C10="Nieuwe Situatie",_xlfn.IFNA(VLOOKUP(Optimalisatie!V10,Database_Transport[#All],7,FALSE)*((IF(Optimalisatie!R10=0,Baseline!Q10,Optimalisatie!R10))*Optimalisatie!U10),Baseline_Backlog!H8),0))</f>
        <v>0</v>
      </c>
      <c r="I8" s="9">
        <f>IF(Optimalisatie!C10="Nieuwe situatie",IF(_xlfn.IFNA((VLOOKUP(Optimalisatie!W10,Database_Asfalt_Aanlegset[#All],7,FALSE)*Optimalisatie!J10),0)+_xlfn.IFNA(VLOOKUP(Optimalisatie!X10,Database_Brandstoffen[#All],7,FALSE)*((Optimalisatie!J10/Optimalisatie!Z10)*Optimalisatie!Y10),0)&gt;0,_xlfn.IFNA((VLOOKUP(Optimalisatie!W10,Database_Asfalt_Aanlegset[#All],7,FALSE)*Optimalisatie!J10),0)+_xlfn.IFNA(VLOOKUP(Optimalisatie!X10,Database_Brandstoffen[#All],7,FALSE)*((Optimalisatie!J10/Optimalisatie!Z10)*Optimalisatie!Y10),0),(_xlfn.IFNA(VLOOKUP(Inschrijf_MKI_Totaal[[#This Row],[Product]]&amp;", "&amp;Inschrijf_MKI_Totaal[[#Headers],[A5]],Database_Productkaarten[#All],14,FALSE),0)*Optimalisatie!J10)),0)</f>
        <v>0</v>
      </c>
      <c r="J8" s="9"/>
      <c r="K8" s="9">
        <f>(IF(Optimalisatie!C10="Nieuwe Situatie",_xlfn.IFNA(SUM(Inschrijf_MKI_Totaal[[#This Row],[A1]:[B1]],Inschrijf_MKI_Totaal[[#This Row],[C1]:[D2]])*Optimalisatie!T10,0),0))</f>
        <v>0</v>
      </c>
      <c r="L8" s="9">
        <f>IF(Optimalisatie!C10="Bestaande situatie",IF(_xlfn.IFNA((VLOOKUP(Optimalisatie!AA10,Database_Asfalt_Verwijderset[#All],7,FALSE)*Optimalisatie!J10),0)+_xlfn.IFNA(VLOOKUP(Optimalisatie!AB10,Database_Brandstoffen[#All],7,FALSE)*((Optimalisatie!J10/Optimalisatie!AD10)*Optimalisatie!AC10),0)&gt;0,_xlfn.IFNA((VLOOKUP(Optimalisatie!AA10,Database_Asfalt_Verwijderset[#All],7,FALSE)*Optimalisatie!J10),0)+_xlfn.IFNA(VLOOKUP(Optimalisatie!AB10,Database_Brandstoffen[#All],7,FALSE)*((Optimalisatie!J10/Optimalisatie!AD10)*Optimalisatie!AC10),0),(_xlfn.IFNA(VLOOKUP(Inschrijf_MKI_Totaal[[#This Row],[Product]]&amp;", "&amp;Inschrijf_MKI_Totaal[[#Headers],[C1]],Database_Productkaarten[#All],14,FALSE),0)*Optimalisatie!J10)),0)</f>
        <v>530.70555720000004</v>
      </c>
      <c r="M8" s="9">
        <f>(IF(Optimalisatie!C10="Bestaande Situatie",_xlfn.IFNA(VLOOKUP(Optimalisatie!AF10,Database_Transport[#All],7,FALSE)*(Optimalisatie!R10*Optimalisatie!AE10),Baseline_Backlog!M8),0))</f>
        <v>208.94755035385003</v>
      </c>
      <c r="N8" s="9">
        <f>(IF(Optimalisatie!C10="Bestaande Situatie",_xlfn.IFNA(VLOOKUP(Optimalisatie!AG10,Database_Asfalt_Verwerkingsset[#All],7,FALSE)*(Optimalisatie!J10/VLOOKUP(Optimalisatie!AG10,Database_Asfalt_Verwerkingsset[#All],8,FALSE)),Baseline_Backlog!N8),0))</f>
        <v>191.065</v>
      </c>
      <c r="O8" s="9">
        <f>(IF(Optimalisatie!C10="Bestaande Situatie",_xlfn.IFNA(VLOOKUP(Inschrijf_MKI_Totaal[[#This Row],[Product]]&amp;", "&amp;Inschrijf_MKI_Totaal[[#Headers],[C4]],Database_Productkaarten[#All],14,FALSE),Baseline_Backlog!O8)*Optimalisatie!J10,0))</f>
        <v>0.50085000000000002</v>
      </c>
      <c r="P8" s="9">
        <f>(IF(Optimalisatie!C10="Bestaande Situatie",_xlfn.IFNA(IF(Optimalisatie!E10="Categorie_1_LCA_Producten",VLOOKUP(Inschrijf_MKI_Totaal[[#This Row],[Product]],Categorie_1_Producten[#All],12,FALSE)*(Optimalisatie!J10),VLOOKUP(Inschrijf_MKI_Totaal[[#This Row],[Product]]&amp;", "&amp;Inschrijf_MKI_Totaal[[#Headers],[D1]],Database_Productkaarten[#All],14,FALSE)*Optimalisatie!J10),Baseline_Backlog!P8),0))</f>
        <v>-20479.2</v>
      </c>
      <c r="Q8" s="9">
        <f>(IF(Optimalisatie!C10="Bestaande Situatie",_xlfn.IFNA(IF(Optimalisatie!E10="Categorie_1_LCA_Producten",VLOOKUP(Inschrijf_MKI_Totaal[[#This Row],[Product]],Categorie_1_Producten[#All],13,FALSE)*(Optimalisatie!J10),VLOOKUP(Inschrijf_MKI_Totaal[[#This Row],[Product]]&amp;", "&amp;Inschrijf_MKI_Totaal[[#Headers],[D2]],Database_Productkaarten[#All],14,FALSE)*Optimalisatie!J10),Baseline_Backlog!Q8),0))</f>
        <v>0</v>
      </c>
      <c r="R8" s="9">
        <f>(IF(Optimalisatie!C10="Bestaande Situatie",_xlfn.IFNA(IF(Optimalisatie!E10="Categorie_1_LCA_Producten",VLOOKUP(Inschrijf_MKI_Totaal[[#This Row],[Product]],Categorie_1_Producten[#All],13,FALSE)*(Optimalisatie!J10),VLOOKUP(Inschrijf_MKI_Totaal[[#This Row],[Product]]&amp;", "&amp;Inschrijf_MKI_Totaal[[#Headers],[D]],Database_Productkaarten[#All],14,FALSE)*Optimalisatie!J10),Baseline_Backlog!S8),0))</f>
        <v>-20479.2</v>
      </c>
      <c r="S8" s="301">
        <f>SUM(Inschrijf_MKI_Totaal[[#This Row],[A1-A3]:[C4]])+Inschrijf_MKI_Totaal[[#This Row],[D]]</f>
        <v>-19547.98104244615</v>
      </c>
      <c r="AA8" s="9">
        <f>_xlfn.IFNA((VLOOKUP(Optimalisatie!AA10,Database_Asfalt_Verwijderset[#All],7,FALSE)*Optimalisatie!J10),0)</f>
        <v>0</v>
      </c>
      <c r="AB8" s="9">
        <f>_xlfn.IFNA(VLOOKUP(Optimalisatie!AB10,Database_Overig_Materieel[#All],7,FALSE)*(Optimalisatie!J10/Optimalisatie!AD10),0)</f>
        <v>0</v>
      </c>
      <c r="AC8" s="332">
        <f>(_xlfn.IFNA(VLOOKUP(Inschrijf_MKI_Totaal[[#This Row],[Product]]&amp;", "&amp;Inschrijf_MKI_Totaal[[#Headers],[C1]],Database_Productkaarten[#All],14,FALSE),0)*Optimalisatie!J10)</f>
        <v>460.96750000000003</v>
      </c>
    </row>
    <row r="9" spans="2:29">
      <c r="B9" s="272" t="str">
        <f>Optimalisatie!B11</f>
        <v>121330 - Opbreken en afvoeren straatbakstenen</v>
      </c>
      <c r="C9" s="9" t="str">
        <f>Optimalisatie!F11</f>
        <v>Gebakken klinker keiformaat (hergebruik)</v>
      </c>
      <c r="D9" s="9">
        <f>(IF(Optimalisatie!C11="Nieuwe Situatie",_xlfn.IFNA(IF(Optimalisatie!E11="Categorie_1_LCA_Producten",VLOOKUP(Inschrijf_MKI_Totaal[[#This Row],[Product]],Categorie_1_Producten[#All],8,FALSE)*(Optimalisatie!J11),VLOOKUP(Inschrijf_MKI_Totaal[[#This Row],[Product]]&amp;", "&amp;Inschrijf_MKI_Totaal[[#Headers],[A1]],Database_Productkaarten[#All],14,FALSE)*Optimalisatie!J11),Baseline_Backlog!D9),0))</f>
        <v>0</v>
      </c>
      <c r="E9" s="9">
        <f>(IF(Optimalisatie!C11="Nieuwe Situatie",_xlfn.IFNA(IF(Optimalisatie!E11="Categorie_1_LCA_Producten",VLOOKUP(Inschrijf_MKI_Totaal[[#This Row],[Product]],Categorie_1_Producten[#All],9,FALSE)*(Optimalisatie!J11),VLOOKUP(Inschrijf_MKI_Totaal[[#This Row],[Product]]&amp;", "&amp;Inschrijf_MKI_Totaal[[#Headers],[A2]],Database_Productkaarten[#All],14,FALSE)*Optimalisatie!J11),Baseline_Backlog!E9),0))</f>
        <v>0</v>
      </c>
      <c r="F9" s="9">
        <f>(IF(Optimalisatie!C11="Nieuwe Situatie",_xlfn.IFNA(IF(Optimalisatie!E11="Categorie_1_LCA_Producten",VLOOKUP(Inschrijf_MKI_Totaal[[#This Row],[Product]],Categorie_1_Producten[#All],10,FALSE)*(Optimalisatie!J11),VLOOKUP(Inschrijf_MKI_Totaal[[#This Row],[Product]]&amp;", "&amp;Inschrijf_MKI_Totaal[[#Headers],[A3]],Database_Productkaarten[#All],14,FALSE)*Optimalisatie!J11),Baseline_Backlog!F9),0))</f>
        <v>0</v>
      </c>
      <c r="G9" s="9">
        <f>(IF(Optimalisatie!C11="Nieuwe Situatie",_xlfn.IFNA(IF(Optimalisatie!E11="Categorie_1_LCA_Producten",VLOOKUP(Inschrijf_MKI_Totaal[[#This Row],[Product]],Categorie_1_Producten[#All],11,FALSE)*(Optimalisatie!J11),VLOOKUP(Inschrijf_MKI_Totaal[[#This Row],[Product]]&amp;", "&amp;Inschrijf_MKI_Totaal[[#Headers],[A1-A3]],Database_Productkaarten[#All],14,FALSE)*Optimalisatie!J11),Baseline_Backlog!G9),0))</f>
        <v>0</v>
      </c>
      <c r="H9" s="9">
        <f>(IF(Optimalisatie!C11="Nieuwe Situatie",_xlfn.IFNA(VLOOKUP(Optimalisatie!V11,Database_Transport[#All],7,FALSE)*((IF(Optimalisatie!R11=0,Baseline!Q11,Optimalisatie!R11))*Optimalisatie!U11),Baseline_Backlog!H9),0))</f>
        <v>0</v>
      </c>
      <c r="I9" s="9">
        <f>IF(Optimalisatie!C11="Nieuwe situatie",IF(_xlfn.IFNA((VLOOKUP(Optimalisatie!W11,Database_Asfalt_Aanlegset[#All],7,FALSE)*Optimalisatie!J11),0)+_xlfn.IFNA(VLOOKUP(Optimalisatie!X11,Database_Brandstoffen[#All],7,FALSE)*((Optimalisatie!J11/Optimalisatie!Z11)*Optimalisatie!Y11),0)&gt;0,_xlfn.IFNA((VLOOKUP(Optimalisatie!W11,Database_Asfalt_Aanlegset[#All],7,FALSE)*Optimalisatie!J11),0)+_xlfn.IFNA(VLOOKUP(Optimalisatie!X11,Database_Brandstoffen[#All],7,FALSE)*((Optimalisatie!J11/Optimalisatie!Z11)*Optimalisatie!Y11),0),(_xlfn.IFNA(VLOOKUP(Inschrijf_MKI_Totaal[[#This Row],[Product]]&amp;", "&amp;Inschrijf_MKI_Totaal[[#Headers],[A5]],Database_Productkaarten[#All],14,FALSE),0)*Optimalisatie!J11)),0)</f>
        <v>0</v>
      </c>
      <c r="J9" s="9"/>
      <c r="K9" s="9">
        <f>(IF(Optimalisatie!C11="Nieuwe Situatie",_xlfn.IFNA(SUM(Inschrijf_MKI_Totaal[[#This Row],[A1]:[B1]],Inschrijf_MKI_Totaal[[#This Row],[C1]:[D2]])*Optimalisatie!T11,0),0))</f>
        <v>0</v>
      </c>
      <c r="L9" s="9">
        <f>IF(Optimalisatie!C11="Bestaande situatie",IF(_xlfn.IFNA((VLOOKUP(Optimalisatie!AA11,Database_Asfalt_Verwijderset[#All],7,FALSE)*Optimalisatie!J11),0)+_xlfn.IFNA(VLOOKUP(Optimalisatie!AB11,Database_Brandstoffen[#All],7,FALSE)*((Optimalisatie!J11/Optimalisatie!AD11)*Optimalisatie!AC11),0)&gt;0,_xlfn.IFNA((VLOOKUP(Optimalisatie!AA11,Database_Asfalt_Verwijderset[#All],7,FALSE)*Optimalisatie!J11),0)+_xlfn.IFNA(VLOOKUP(Optimalisatie!AB11,Database_Brandstoffen[#All],7,FALSE)*((Optimalisatie!J11/Optimalisatie!AD11)*Optimalisatie!AC11),0),(_xlfn.IFNA(VLOOKUP(Inschrijf_MKI_Totaal[[#This Row],[Product]]&amp;", "&amp;Inschrijf_MKI_Totaal[[#Headers],[C1]],Database_Productkaarten[#All],14,FALSE),0)*Optimalisatie!J11)),0)</f>
        <v>270.07334015999999</v>
      </c>
      <c r="M9" s="9">
        <f>(IF(Optimalisatie!C11="Bestaande Situatie",_xlfn.IFNA(VLOOKUP(Optimalisatie!AF11,Database_Transport[#All],7,FALSE)*(Optimalisatie!R11*Optimalisatie!AE11),Baseline_Backlog!M9),0))</f>
        <v>106.33233829328002</v>
      </c>
      <c r="N9" s="9">
        <f>(IF(Optimalisatie!C11="Bestaande Situatie",_xlfn.IFNA(VLOOKUP(Optimalisatie!AG11,Database_Asfalt_Verwerkingsset[#All],7,FALSE)*(Optimalisatie!J11/VLOOKUP(Optimalisatie!AG11,Database_Asfalt_Verwerkingsset[#All],8,FALSE)),Baseline_Backlog!N9),0))</f>
        <v>97.231999999999999</v>
      </c>
      <c r="O9" s="9">
        <f>(IF(Optimalisatie!C11="Bestaande Situatie",_xlfn.IFNA(VLOOKUP(Inschrijf_MKI_Totaal[[#This Row],[Product]]&amp;", "&amp;Inschrijf_MKI_Totaal[[#Headers],[C4]],Database_Productkaarten[#All],14,FALSE),Baseline_Backlog!O9)*Optimalisatie!J11,0))</f>
        <v>0.25488</v>
      </c>
      <c r="P9" s="9">
        <f>(IF(Optimalisatie!C11="Bestaande Situatie",_xlfn.IFNA(IF(Optimalisatie!E11="Categorie_1_LCA_Producten",VLOOKUP(Inschrijf_MKI_Totaal[[#This Row],[Product]],Categorie_1_Producten[#All],12,FALSE)*(Optimalisatie!J11),VLOOKUP(Inschrijf_MKI_Totaal[[#This Row],[Product]]&amp;", "&amp;Inschrijf_MKI_Totaal[[#Headers],[D1]],Database_Productkaarten[#All],14,FALSE)*Optimalisatie!J11),Baseline_Backlog!P9),0))</f>
        <v>0</v>
      </c>
      <c r="Q9" s="9">
        <f>(IF(Optimalisatie!C11="Bestaande Situatie",_xlfn.IFNA(IF(Optimalisatie!E11="Categorie_1_LCA_Producten",VLOOKUP(Inschrijf_MKI_Totaal[[#This Row],[Product]],Categorie_1_Producten[#All],13,FALSE)*(Optimalisatie!J11),VLOOKUP(Inschrijf_MKI_Totaal[[#This Row],[Product]]&amp;", "&amp;Inschrijf_MKI_Totaal[[#Headers],[D2]],Database_Productkaarten[#All],14,FALSE)*Optimalisatie!J11),Baseline_Backlog!Q9),0))</f>
        <v>0</v>
      </c>
      <c r="R9" s="9">
        <f>(IF(Optimalisatie!C11="Bestaande Situatie",_xlfn.IFNA(IF(Optimalisatie!E11="Categorie_1_LCA_Producten",VLOOKUP(Inschrijf_MKI_Totaal[[#This Row],[Product]],Categorie_1_Producten[#All],13,FALSE)*(Optimalisatie!J11),VLOOKUP(Inschrijf_MKI_Totaal[[#This Row],[Product]]&amp;", "&amp;Inschrijf_MKI_Totaal[[#Headers],[D]],Database_Productkaarten[#All],14,FALSE)*Optimalisatie!J11),Baseline_Backlog!S9),0))</f>
        <v>1105.3296</v>
      </c>
      <c r="S9" s="301">
        <f>SUM(Inschrijf_MKI_Totaal[[#This Row],[A1-A3]:[C4]])+Inschrijf_MKI_Totaal[[#This Row],[D]]</f>
        <v>1579.2221584532801</v>
      </c>
      <c r="AA9" s="9">
        <f>_xlfn.IFNA((VLOOKUP(Optimalisatie!AA11,Database_Asfalt_Verwijderset[#All],7,FALSE)*Optimalisatie!J11),0)</f>
        <v>0</v>
      </c>
      <c r="AB9" s="9">
        <f>_xlfn.IFNA(VLOOKUP(Optimalisatie!AB11,Database_Overig_Materieel[#All],7,FALSE)*(Optimalisatie!J11/Optimalisatie!AD11),0)</f>
        <v>0</v>
      </c>
      <c r="AC9" s="332">
        <f>(_xlfn.IFNA(VLOOKUP(Inschrijf_MKI_Totaal[[#This Row],[Product]]&amp;", "&amp;Inschrijf_MKI_Totaal[[#Headers],[C1]],Database_Productkaarten[#All],14,FALSE),0)*Optimalisatie!J11)</f>
        <v>234.584</v>
      </c>
    </row>
    <row r="10" spans="2:29">
      <c r="B10" s="272" t="str">
        <f>Optimalisatie!B12</f>
        <v>121340 - Opbreken betontegels 300x300x45mm</v>
      </c>
      <c r="C10" s="9" t="str">
        <f>Optimalisatie!F12</f>
        <v>Betontegel 300x300x45</v>
      </c>
      <c r="D10" s="9">
        <f>(IF(Optimalisatie!C12="Nieuwe Situatie",_xlfn.IFNA(IF(Optimalisatie!E12="Categorie_1_LCA_Producten",VLOOKUP(Inschrijf_MKI_Totaal[[#This Row],[Product]],Categorie_1_Producten[#All],8,FALSE)*(Optimalisatie!J12),VLOOKUP(Inschrijf_MKI_Totaal[[#This Row],[Product]]&amp;", "&amp;Inschrijf_MKI_Totaal[[#Headers],[A1]],Database_Productkaarten[#All],14,FALSE)*Optimalisatie!J12),Baseline_Backlog!D10),0))</f>
        <v>0</v>
      </c>
      <c r="E10" s="9">
        <f>(IF(Optimalisatie!C12="Nieuwe Situatie",_xlfn.IFNA(IF(Optimalisatie!E12="Categorie_1_LCA_Producten",VLOOKUP(Inschrijf_MKI_Totaal[[#This Row],[Product]],Categorie_1_Producten[#All],9,FALSE)*(Optimalisatie!J12),VLOOKUP(Inschrijf_MKI_Totaal[[#This Row],[Product]]&amp;", "&amp;Inschrijf_MKI_Totaal[[#Headers],[A2]],Database_Productkaarten[#All],14,FALSE)*Optimalisatie!J12),Baseline_Backlog!E10),0))</f>
        <v>0</v>
      </c>
      <c r="F10" s="9">
        <f>(IF(Optimalisatie!C12="Nieuwe Situatie",_xlfn.IFNA(IF(Optimalisatie!E12="Categorie_1_LCA_Producten",VLOOKUP(Inschrijf_MKI_Totaal[[#This Row],[Product]],Categorie_1_Producten[#All],10,FALSE)*(Optimalisatie!J12),VLOOKUP(Inschrijf_MKI_Totaal[[#This Row],[Product]]&amp;", "&amp;Inschrijf_MKI_Totaal[[#Headers],[A3]],Database_Productkaarten[#All],14,FALSE)*Optimalisatie!J12),Baseline_Backlog!F10),0))</f>
        <v>0</v>
      </c>
      <c r="G10" s="9">
        <f>(IF(Optimalisatie!C12="Nieuwe Situatie",_xlfn.IFNA(IF(Optimalisatie!E12="Categorie_1_LCA_Producten",VLOOKUP(Inschrijf_MKI_Totaal[[#This Row],[Product]],Categorie_1_Producten[#All],11,FALSE)*(Optimalisatie!J12),VLOOKUP(Inschrijf_MKI_Totaal[[#This Row],[Product]]&amp;", "&amp;Inschrijf_MKI_Totaal[[#Headers],[A1-A3]],Database_Productkaarten[#All],14,FALSE)*Optimalisatie!J12),Baseline_Backlog!G10),0))</f>
        <v>0</v>
      </c>
      <c r="H10" s="9">
        <f>(IF(Optimalisatie!C12="Nieuwe Situatie",_xlfn.IFNA(VLOOKUP(Optimalisatie!V12,Database_Transport[#All],7,FALSE)*((IF(Optimalisatie!R12=0,Baseline!Q12,Optimalisatie!R12))*Optimalisatie!U12),Baseline_Backlog!H10),0))</f>
        <v>0</v>
      </c>
      <c r="I10" s="9">
        <f>IF(Optimalisatie!C12="Nieuwe situatie",IF(_xlfn.IFNA((VLOOKUP(Optimalisatie!W12,Database_Asfalt_Aanlegset[#All],7,FALSE)*Optimalisatie!J12),0)+_xlfn.IFNA(VLOOKUP(Optimalisatie!X12,Database_Brandstoffen[#All],7,FALSE)*((Optimalisatie!J12/Optimalisatie!Z12)*Optimalisatie!Y12),0)&gt;0,_xlfn.IFNA((VLOOKUP(Optimalisatie!W12,Database_Asfalt_Aanlegset[#All],7,FALSE)*Optimalisatie!J12),0)+_xlfn.IFNA(VLOOKUP(Optimalisatie!X12,Database_Brandstoffen[#All],7,FALSE)*((Optimalisatie!J12/Optimalisatie!Z12)*Optimalisatie!Y12),0),(_xlfn.IFNA(VLOOKUP(Inschrijf_MKI_Totaal[[#This Row],[Product]]&amp;", "&amp;Inschrijf_MKI_Totaal[[#Headers],[A5]],Database_Productkaarten[#All],14,FALSE),0)*Optimalisatie!J12)),0)</f>
        <v>0</v>
      </c>
      <c r="J10" s="9"/>
      <c r="K10" s="9">
        <f>(IF(Optimalisatie!C12="Nieuwe Situatie",_xlfn.IFNA(SUM(Inschrijf_MKI_Totaal[[#This Row],[A1]:[B1]],Inschrijf_MKI_Totaal[[#This Row],[C1]:[D2]])*Optimalisatie!T12,0),0))</f>
        <v>0</v>
      </c>
      <c r="L10" s="9">
        <f>IF(Optimalisatie!C12="Bestaande situatie",IF(_xlfn.IFNA((VLOOKUP(Optimalisatie!AA12,Database_Asfalt_Verwijderset[#All],7,FALSE)*Optimalisatie!J12),0)+_xlfn.IFNA(VLOOKUP(Optimalisatie!AB12,Database_Brandstoffen[#All],7,FALSE)*((Optimalisatie!J12/Optimalisatie!AD12)*Optimalisatie!AC12),0)&gt;0,_xlfn.IFNA((VLOOKUP(Optimalisatie!AA12,Database_Asfalt_Verwijderset[#All],7,FALSE)*Optimalisatie!J12),0)+_xlfn.IFNA(VLOOKUP(Optimalisatie!AB12,Database_Brandstoffen[#All],7,FALSE)*((Optimalisatie!J12/Optimalisatie!AD12)*Optimalisatie!AC12),0),(_xlfn.IFNA(VLOOKUP(Inschrijf_MKI_Totaal[[#This Row],[Product]]&amp;", "&amp;Inschrijf_MKI_Totaal[[#Headers],[C1]],Database_Productkaarten[#All],14,FALSE),0)*Optimalisatie!J12)),0)</f>
        <v>1170.5706969582175</v>
      </c>
      <c r="M10" s="9">
        <f>(IF(Optimalisatie!C12="Bestaande Situatie",_xlfn.IFNA(VLOOKUP(Optimalisatie!AF12,Database_Transport[#All],7,FALSE)*(Optimalisatie!R12*Optimalisatie!AE12),Baseline_Backlog!M10),0))</f>
        <v>179.97795551939501</v>
      </c>
      <c r="N10" s="9">
        <f>(IF(Optimalisatie!C12="Bestaande Situatie",_xlfn.IFNA(VLOOKUP(Optimalisatie!AG12,Database_Asfalt_Verwerkingsset[#All],7,FALSE)*(Optimalisatie!J12/VLOOKUP(Optimalisatie!AG12,Database_Asfalt_Verwerkingsset[#All],8,FALSE)),Baseline_Backlog!N10),0))</f>
        <v>288.43200000000002</v>
      </c>
      <c r="O10" s="9">
        <f>(IF(Optimalisatie!C12="Bestaande Situatie",_xlfn.IFNA(VLOOKUP(Inschrijf_MKI_Totaal[[#This Row],[Product]]&amp;", "&amp;Inschrijf_MKI_Totaal[[#Headers],[C4]],Database_Productkaarten[#All],14,FALSE),Baseline_Backlog!O10)*Optimalisatie!J12,0))</f>
        <v>752.52710000000002</v>
      </c>
      <c r="P10" s="9">
        <f>(IF(Optimalisatie!C12="Bestaande Situatie",_xlfn.IFNA(IF(Optimalisatie!E12="Categorie_1_LCA_Producten",VLOOKUP(Inschrijf_MKI_Totaal[[#This Row],[Product]],Categorie_1_Producten[#All],12,FALSE)*(Optimalisatie!J12),VLOOKUP(Inschrijf_MKI_Totaal[[#This Row],[Product]]&amp;", "&amp;Inschrijf_MKI_Totaal[[#Headers],[D1]],Database_Productkaarten[#All],14,FALSE)*Optimalisatie!J12),Baseline_Backlog!P10),0))</f>
        <v>-537.80549999999994</v>
      </c>
      <c r="Q10" s="9">
        <f>(IF(Optimalisatie!C12="Bestaande Situatie",_xlfn.IFNA(IF(Optimalisatie!E12="Categorie_1_LCA_Producten",VLOOKUP(Inschrijf_MKI_Totaal[[#This Row],[Product]],Categorie_1_Producten[#All],13,FALSE)*(Optimalisatie!J12),VLOOKUP(Inschrijf_MKI_Totaal[[#This Row],[Product]]&amp;", "&amp;Inschrijf_MKI_Totaal[[#Headers],[D2]],Database_Productkaarten[#All],14,FALSE)*Optimalisatie!J12),Baseline_Backlog!Q10),0))</f>
        <v>0</v>
      </c>
      <c r="R10" s="9">
        <f>(IF(Optimalisatie!C12="Bestaande Situatie",_xlfn.IFNA(IF(Optimalisatie!E12="Categorie_1_LCA_Producten",VLOOKUP(Inschrijf_MKI_Totaal[[#This Row],[Product]],Categorie_1_Producten[#All],13,FALSE)*(Optimalisatie!J12),VLOOKUP(Inschrijf_MKI_Totaal[[#This Row],[Product]]&amp;", "&amp;Inschrijf_MKI_Totaal[[#Headers],[D]],Database_Productkaarten[#All],14,FALSE)*Optimalisatie!J12),Baseline_Backlog!S10),0))</f>
        <v>-537.80549999999994</v>
      </c>
      <c r="S10" s="301">
        <f>SUM(Inschrijf_MKI_Totaal[[#This Row],[A1-A3]:[C4]])+Inschrijf_MKI_Totaal[[#This Row],[D]]</f>
        <v>1853.7022524776125</v>
      </c>
      <c r="AA10" s="9">
        <f>_xlfn.IFNA((VLOOKUP(Optimalisatie!AA12,Database_Asfalt_Verwijderset[#All],7,FALSE)*Optimalisatie!J12),0)</f>
        <v>0</v>
      </c>
      <c r="AB10" s="9">
        <f>_xlfn.IFNA(VLOOKUP(Optimalisatie!AB12,Database_Overig_Materieel[#All],7,FALSE)*(Optimalisatie!J12/Optimalisatie!AD12),0)</f>
        <v>0</v>
      </c>
      <c r="AC10" s="332">
        <f>(_xlfn.IFNA(VLOOKUP(Inschrijf_MKI_Totaal[[#This Row],[Product]]&amp;", "&amp;Inschrijf_MKI_Totaal[[#Headers],[C1]],Database_Productkaarten[#All],14,FALSE),0)*Optimalisatie!J12)</f>
        <v>788.18050000000005</v>
      </c>
    </row>
    <row r="11" spans="2:29">
      <c r="B11" s="272" t="str">
        <f>Optimalisatie!B13</f>
        <v>121410 - Opbreken en afvoeren asfaltverharding zwart teervrij</v>
      </c>
      <c r="C11" s="9" t="str">
        <f>Optimalisatie!F13</f>
        <v>AC bin/base 50% PR - PCR 2.0</v>
      </c>
      <c r="D11" s="9">
        <f>(IF(Optimalisatie!C13="Nieuwe Situatie",_xlfn.IFNA(IF(Optimalisatie!E13="Categorie_1_LCA_Producten",VLOOKUP(Inschrijf_MKI_Totaal[[#This Row],[Product]],Categorie_1_Producten[#All],8,FALSE)*(Optimalisatie!J13),VLOOKUP(Inschrijf_MKI_Totaal[[#This Row],[Product]]&amp;", "&amp;Inschrijf_MKI_Totaal[[#Headers],[A1]],Database_Productkaarten[#All],14,FALSE)*Optimalisatie!J13),Baseline_Backlog!D11),0))</f>
        <v>0</v>
      </c>
      <c r="E11" s="9">
        <f>(IF(Optimalisatie!C13="Nieuwe Situatie",_xlfn.IFNA(IF(Optimalisatie!E13="Categorie_1_LCA_Producten",VLOOKUP(Inschrijf_MKI_Totaal[[#This Row],[Product]],Categorie_1_Producten[#All],9,FALSE)*(Optimalisatie!J13),VLOOKUP(Inschrijf_MKI_Totaal[[#This Row],[Product]]&amp;", "&amp;Inschrijf_MKI_Totaal[[#Headers],[A2]],Database_Productkaarten[#All],14,FALSE)*Optimalisatie!J13),Baseline_Backlog!E11),0))</f>
        <v>0</v>
      </c>
      <c r="F11" s="9">
        <f>(IF(Optimalisatie!C13="Nieuwe Situatie",_xlfn.IFNA(IF(Optimalisatie!E13="Categorie_1_LCA_Producten",VLOOKUP(Inschrijf_MKI_Totaal[[#This Row],[Product]],Categorie_1_Producten[#All],10,FALSE)*(Optimalisatie!J13),VLOOKUP(Inschrijf_MKI_Totaal[[#This Row],[Product]]&amp;", "&amp;Inschrijf_MKI_Totaal[[#Headers],[A3]],Database_Productkaarten[#All],14,FALSE)*Optimalisatie!J13),Baseline_Backlog!F11),0))</f>
        <v>0</v>
      </c>
      <c r="G11" s="9">
        <f>(IF(Optimalisatie!C13="Nieuwe Situatie",_xlfn.IFNA(IF(Optimalisatie!E13="Categorie_1_LCA_Producten",VLOOKUP(Inschrijf_MKI_Totaal[[#This Row],[Product]],Categorie_1_Producten[#All],11,FALSE)*(Optimalisatie!J13),VLOOKUP(Inschrijf_MKI_Totaal[[#This Row],[Product]]&amp;", "&amp;Inschrijf_MKI_Totaal[[#Headers],[A1-A3]],Database_Productkaarten[#All],14,FALSE)*Optimalisatie!J13),Baseline_Backlog!G11),0))</f>
        <v>0</v>
      </c>
      <c r="H11" s="9">
        <f>(IF(Optimalisatie!C13="Nieuwe Situatie",_xlfn.IFNA(VLOOKUP(Optimalisatie!V13,Database_Transport[#All],7,FALSE)*((IF(Optimalisatie!R13=0,Baseline!Q13,Optimalisatie!R13))*Optimalisatie!U13),Baseline_Backlog!H11),0))</f>
        <v>0</v>
      </c>
      <c r="I11" s="9">
        <f>IF(Optimalisatie!C13="Nieuwe situatie",IF(_xlfn.IFNA((VLOOKUP(Optimalisatie!W13,Database_Asfalt_Aanlegset[#All],7,FALSE)*Optimalisatie!J13),0)+_xlfn.IFNA(VLOOKUP(Optimalisatie!X13,Database_Brandstoffen[#All],7,FALSE)*((Optimalisatie!J13/Optimalisatie!Z13)*Optimalisatie!Y13),0)&gt;0,_xlfn.IFNA((VLOOKUP(Optimalisatie!W13,Database_Asfalt_Aanlegset[#All],7,FALSE)*Optimalisatie!J13),0)+_xlfn.IFNA(VLOOKUP(Optimalisatie!X13,Database_Brandstoffen[#All],7,FALSE)*((Optimalisatie!J13/Optimalisatie!Z13)*Optimalisatie!Y13),0),(_xlfn.IFNA(VLOOKUP(Inschrijf_MKI_Totaal[[#This Row],[Product]]&amp;", "&amp;Inschrijf_MKI_Totaal[[#Headers],[A5]],Database_Productkaarten[#All],14,FALSE),0)*Optimalisatie!J13)),0)</f>
        <v>0</v>
      </c>
      <c r="J11" s="9"/>
      <c r="K11" s="9">
        <f>(IF(Optimalisatie!C13="Nieuwe Situatie",_xlfn.IFNA(SUM(Inschrijf_MKI_Totaal[[#This Row],[A1]:[B1]],Inschrijf_MKI_Totaal[[#This Row],[C1]:[D2]])*Optimalisatie!T13,0),0))</f>
        <v>0</v>
      </c>
      <c r="L11" s="9">
        <f>IF(Optimalisatie!C13="Bestaande situatie",IF(_xlfn.IFNA((VLOOKUP(Optimalisatie!AA13,Database_Asfalt_Verwijderset[#All],7,FALSE)*Optimalisatie!J13),0)+_xlfn.IFNA(VLOOKUP(Optimalisatie!AB13,Database_Brandstoffen[#All],7,FALSE)*((Optimalisatie!J13/Optimalisatie!AD13)*Optimalisatie!AC13),0)&gt;0,_xlfn.IFNA((VLOOKUP(Optimalisatie!AA13,Database_Asfalt_Verwijderset[#All],7,FALSE)*Optimalisatie!J13),0)+_xlfn.IFNA(VLOOKUP(Optimalisatie!AB13,Database_Brandstoffen[#All],7,FALSE)*((Optimalisatie!J13/Optimalisatie!AD13)*Optimalisatie!AC13),0),(_xlfn.IFNA(VLOOKUP(Inschrijf_MKI_Totaal[[#This Row],[Product]]&amp;", "&amp;Inschrijf_MKI_Totaal[[#Headers],[C1]],Database_Productkaarten[#All],14,FALSE),0)*Optimalisatie!J13)),0)</f>
        <v>355.46707396930805</v>
      </c>
      <c r="M11" s="9">
        <f>(IF(Optimalisatie!C13="Bestaande Situatie",_xlfn.IFNA(VLOOKUP(Optimalisatie!AF13,Database_Transport[#All],7,FALSE)*(Optimalisatie!R13*Optimalisatie!AE13),Baseline_Backlog!M11),0))</f>
        <v>451.42060425000005</v>
      </c>
      <c r="N11" s="9">
        <f>(IF(Optimalisatie!C13="Bestaande Situatie",_xlfn.IFNA(VLOOKUP(Optimalisatie!AG13,Database_Asfalt_Verwerkingsset[#All],7,FALSE)*(Optimalisatie!J13/VLOOKUP(Optimalisatie!AG13,Database_Asfalt_Verwerkingsset[#All],8,FALSE)),Baseline_Backlog!N11),0))</f>
        <v>418.16240754244768</v>
      </c>
      <c r="O11" s="9">
        <f>(IF(Optimalisatie!C13="Bestaande Situatie",_xlfn.IFNA(VLOOKUP(Inschrijf_MKI_Totaal[[#This Row],[Product]]&amp;", "&amp;Inschrijf_MKI_Totaal[[#Headers],[C4]],Database_Productkaarten[#All],14,FALSE),Baseline_Backlog!O11)*Optimalisatie!J13,0))</f>
        <v>0</v>
      </c>
      <c r="P11" s="9">
        <f>(IF(Optimalisatie!C13="Bestaande Situatie",_xlfn.IFNA(IF(Optimalisatie!E13="Categorie_1_LCA_Producten",VLOOKUP(Inschrijf_MKI_Totaal[[#This Row],[Product]],Categorie_1_Producten[#All],12,FALSE)*(Optimalisatie!J13),VLOOKUP(Inschrijf_MKI_Totaal[[#This Row],[Product]]&amp;", "&amp;Inschrijf_MKI_Totaal[[#Headers],[D1]],Database_Productkaarten[#All],14,FALSE)*Optimalisatie!J13),Baseline_Backlog!P11),0))</f>
        <v>0</v>
      </c>
      <c r="Q11" s="9">
        <f>(IF(Optimalisatie!C13="Bestaande Situatie",_xlfn.IFNA(IF(Optimalisatie!E13="Categorie_1_LCA_Producten",VLOOKUP(Inschrijf_MKI_Totaal[[#This Row],[Product]],Categorie_1_Producten[#All],13,FALSE)*(Optimalisatie!J13),VLOOKUP(Inschrijf_MKI_Totaal[[#This Row],[Product]]&amp;", "&amp;Inschrijf_MKI_Totaal[[#Headers],[D2]],Database_Productkaarten[#All],14,FALSE)*Optimalisatie!J13),Baseline_Backlog!Q11),0))</f>
        <v>0</v>
      </c>
      <c r="R11" s="9">
        <f>(IF(Optimalisatie!C13="Bestaande Situatie",_xlfn.IFNA(IF(Optimalisatie!E13="Categorie_1_LCA_Producten",VLOOKUP(Inschrijf_MKI_Totaal[[#This Row],[Product]],Categorie_1_Producten[#All],13,FALSE)*(Optimalisatie!J13),VLOOKUP(Inschrijf_MKI_Totaal[[#This Row],[Product]]&amp;", "&amp;Inschrijf_MKI_Totaal[[#Headers],[D]],Database_Productkaarten[#All],14,FALSE)*Optimalisatie!J13),Baseline_Backlog!S11),0))</f>
        <v>-6105.0077760645981</v>
      </c>
      <c r="S11" s="301">
        <f>SUM(Inschrijf_MKI_Totaal[[#This Row],[A1-A3]:[C4]])+Inschrijf_MKI_Totaal[[#This Row],[D]]</f>
        <v>-4879.9576903028428</v>
      </c>
      <c r="AA11" s="9">
        <f>_xlfn.IFNA((VLOOKUP(Optimalisatie!AA13,Database_Asfalt_Verwijderset[#All],7,FALSE)*Optimalisatie!J13),0)</f>
        <v>355.46707396930805</v>
      </c>
      <c r="AB11" s="9">
        <f>_xlfn.IFNA(VLOOKUP(Optimalisatie!AB13,Database_Overig_Materieel[#All],7,FALSE)*(Optimalisatie!J13/Optimalisatie!AD13),0)</f>
        <v>0</v>
      </c>
      <c r="AC11" s="332">
        <f>(_xlfn.IFNA(VLOOKUP(Inschrijf_MKI_Totaal[[#This Row],[Product]]&amp;", "&amp;Inschrijf_MKI_Totaal[[#Headers],[C1]],Database_Productkaarten[#All],14,FALSE),0)*Optimalisatie!J13)</f>
        <v>829.15233184243698</v>
      </c>
    </row>
    <row r="12" spans="2:29">
      <c r="B12" s="272" t="str">
        <f>Optimalisatie!B14</f>
        <v>121420 - Opbreken en afvoeren asfaltverharding rood teervrij</v>
      </c>
      <c r="C12" s="9" t="str">
        <f>Optimalisatie!F14</f>
        <v>AC surf rood, met penbitumen - PCR 2.0</v>
      </c>
      <c r="D12" s="9">
        <f>(IF(Optimalisatie!C14="Nieuwe Situatie",_xlfn.IFNA(IF(Optimalisatie!E14="Categorie_1_LCA_Producten",VLOOKUP(Inschrijf_MKI_Totaal[[#This Row],[Product]],Categorie_1_Producten[#All],8,FALSE)*(Optimalisatie!J14),VLOOKUP(Inschrijf_MKI_Totaal[[#This Row],[Product]]&amp;", "&amp;Inschrijf_MKI_Totaal[[#Headers],[A1]],Database_Productkaarten[#All],14,FALSE)*Optimalisatie!J14),Baseline_Backlog!D12),0))</f>
        <v>0</v>
      </c>
      <c r="E12" s="9">
        <f>(IF(Optimalisatie!C14="Nieuwe Situatie",_xlfn.IFNA(IF(Optimalisatie!E14="Categorie_1_LCA_Producten",VLOOKUP(Inschrijf_MKI_Totaal[[#This Row],[Product]],Categorie_1_Producten[#All],9,FALSE)*(Optimalisatie!J14),VLOOKUP(Inschrijf_MKI_Totaal[[#This Row],[Product]]&amp;", "&amp;Inschrijf_MKI_Totaal[[#Headers],[A2]],Database_Productkaarten[#All],14,FALSE)*Optimalisatie!J14),Baseline_Backlog!E12),0))</f>
        <v>0</v>
      </c>
      <c r="F12" s="9">
        <f>(IF(Optimalisatie!C14="Nieuwe Situatie",_xlfn.IFNA(IF(Optimalisatie!E14="Categorie_1_LCA_Producten",VLOOKUP(Inschrijf_MKI_Totaal[[#This Row],[Product]],Categorie_1_Producten[#All],10,FALSE)*(Optimalisatie!J14),VLOOKUP(Inschrijf_MKI_Totaal[[#This Row],[Product]]&amp;", "&amp;Inschrijf_MKI_Totaal[[#Headers],[A3]],Database_Productkaarten[#All],14,FALSE)*Optimalisatie!J14),Baseline_Backlog!F12),0))</f>
        <v>0</v>
      </c>
      <c r="G12" s="9">
        <f>(IF(Optimalisatie!C14="Nieuwe Situatie",_xlfn.IFNA(IF(Optimalisatie!E14="Categorie_1_LCA_Producten",VLOOKUP(Inschrijf_MKI_Totaal[[#This Row],[Product]],Categorie_1_Producten[#All],11,FALSE)*(Optimalisatie!J14),VLOOKUP(Inschrijf_MKI_Totaal[[#This Row],[Product]]&amp;", "&amp;Inschrijf_MKI_Totaal[[#Headers],[A1-A3]],Database_Productkaarten[#All],14,FALSE)*Optimalisatie!J14),Baseline_Backlog!G12),0))</f>
        <v>0</v>
      </c>
      <c r="H12" s="9">
        <f>(IF(Optimalisatie!C14="Nieuwe Situatie",_xlfn.IFNA(VLOOKUP(Optimalisatie!V14,Database_Transport[#All],7,FALSE)*((IF(Optimalisatie!R14=0,Baseline!Q14,Optimalisatie!R14))*Optimalisatie!U14),Baseline_Backlog!H12),0))</f>
        <v>0</v>
      </c>
      <c r="I12" s="9">
        <f>IF(Optimalisatie!C14="Nieuwe situatie",IF(_xlfn.IFNA((VLOOKUP(Optimalisatie!W14,Database_Asfalt_Aanlegset[#All],7,FALSE)*Optimalisatie!J14),0)+_xlfn.IFNA(VLOOKUP(Optimalisatie!X14,Database_Brandstoffen[#All],7,FALSE)*((Optimalisatie!J14/Optimalisatie!Z14)*Optimalisatie!Y14),0)&gt;0,_xlfn.IFNA((VLOOKUP(Optimalisatie!W14,Database_Asfalt_Aanlegset[#All],7,FALSE)*Optimalisatie!J14),0)+_xlfn.IFNA(VLOOKUP(Optimalisatie!X14,Database_Brandstoffen[#All],7,FALSE)*((Optimalisatie!J14/Optimalisatie!Z14)*Optimalisatie!Y14),0),(_xlfn.IFNA(VLOOKUP(Inschrijf_MKI_Totaal[[#This Row],[Product]]&amp;", "&amp;Inschrijf_MKI_Totaal[[#Headers],[A5]],Database_Productkaarten[#All],14,FALSE),0)*Optimalisatie!J14)),0)</f>
        <v>0</v>
      </c>
      <c r="J12" s="9"/>
      <c r="K12" s="9">
        <f>(IF(Optimalisatie!C14="Nieuwe Situatie",_xlfn.IFNA(SUM(Inschrijf_MKI_Totaal[[#This Row],[A1]:[B1]],Inschrijf_MKI_Totaal[[#This Row],[C1]:[D2]])*Optimalisatie!T14,0),0))</f>
        <v>0</v>
      </c>
      <c r="L12" s="9">
        <f>IF(Optimalisatie!C14="Bestaande situatie",IF(_xlfn.IFNA((VLOOKUP(Optimalisatie!AA14,Database_Asfalt_Verwijderset[#All],7,FALSE)*Optimalisatie!J14),0)+_xlfn.IFNA(VLOOKUP(Optimalisatie!AB14,Database_Brandstoffen[#All],7,FALSE)*((Optimalisatie!J14/Optimalisatie!AD14)*Optimalisatie!AC14),0)&gt;0,_xlfn.IFNA((VLOOKUP(Optimalisatie!AA14,Database_Asfalt_Verwijderset[#All],7,FALSE)*Optimalisatie!J14),0)+_xlfn.IFNA(VLOOKUP(Optimalisatie!AB14,Database_Brandstoffen[#All],7,FALSE)*((Optimalisatie!J14/Optimalisatie!AD14)*Optimalisatie!AC14),0),(_xlfn.IFNA(VLOOKUP(Inschrijf_MKI_Totaal[[#This Row],[Product]]&amp;", "&amp;Inschrijf_MKI_Totaal[[#Headers],[C1]],Database_Productkaarten[#All],14,FALSE),0)*Optimalisatie!J14)),0)</f>
        <v>243.74885072181121</v>
      </c>
      <c r="M12" s="9">
        <f>(IF(Optimalisatie!C14="Bestaande Situatie",_xlfn.IFNA(VLOOKUP(Optimalisatie!AF14,Database_Transport[#All],7,FALSE)*(Optimalisatie!R14*Optimalisatie!AE14),Baseline_Backlog!M12),0))</f>
        <v>309.54555720000002</v>
      </c>
      <c r="N12" s="9">
        <f>(IF(Optimalisatie!C14="Bestaande Situatie",_xlfn.IFNA(VLOOKUP(Optimalisatie!AG14,Database_Asfalt_Verwerkingsset[#All],7,FALSE)*(Optimalisatie!J14/VLOOKUP(Optimalisatie!AG14,Database_Asfalt_Verwerkingsset[#All],8,FALSE)),Baseline_Backlog!N12),0))</f>
        <v>286.73993652465566</v>
      </c>
      <c r="O12" s="9">
        <f>(IF(Optimalisatie!C14="Bestaande Situatie",_xlfn.IFNA(VLOOKUP(Inschrijf_MKI_Totaal[[#This Row],[Product]]&amp;", "&amp;Inschrijf_MKI_Totaal[[#Headers],[C4]],Database_Productkaarten[#All],14,FALSE),Baseline_Backlog!O12)*Optimalisatie!J14,0))</f>
        <v>0</v>
      </c>
      <c r="P12" s="9">
        <f>(IF(Optimalisatie!C14="Bestaande Situatie",_xlfn.IFNA(IF(Optimalisatie!E14="Categorie_1_LCA_Producten",VLOOKUP(Inschrijf_MKI_Totaal[[#This Row],[Product]],Categorie_1_Producten[#All],12,FALSE)*(Optimalisatie!J14),VLOOKUP(Inschrijf_MKI_Totaal[[#This Row],[Product]]&amp;", "&amp;Inschrijf_MKI_Totaal[[#Headers],[D1]],Database_Productkaarten[#All],14,FALSE)*Optimalisatie!J14),Baseline_Backlog!P12),0))</f>
        <v>0</v>
      </c>
      <c r="Q12" s="9">
        <f>(IF(Optimalisatie!C14="Bestaande Situatie",_xlfn.IFNA(IF(Optimalisatie!E14="Categorie_1_LCA_Producten",VLOOKUP(Inschrijf_MKI_Totaal[[#This Row],[Product]],Categorie_1_Producten[#All],13,FALSE)*(Optimalisatie!J14),VLOOKUP(Inschrijf_MKI_Totaal[[#This Row],[Product]]&amp;", "&amp;Inschrijf_MKI_Totaal[[#Headers],[D2]],Database_Productkaarten[#All],14,FALSE)*Optimalisatie!J14),Baseline_Backlog!Q12),0))</f>
        <v>0</v>
      </c>
      <c r="R12" s="9">
        <f>(IF(Optimalisatie!C14="Bestaande Situatie",_xlfn.IFNA(IF(Optimalisatie!E14="Categorie_1_LCA_Producten",VLOOKUP(Inschrijf_MKI_Totaal[[#This Row],[Product]],Categorie_1_Producten[#All],13,FALSE)*(Optimalisatie!J14),VLOOKUP(Inschrijf_MKI_Totaal[[#This Row],[Product]]&amp;", "&amp;Inschrijf_MKI_Totaal[[#Headers],[D]],Database_Productkaarten[#All],14,FALSE)*Optimalisatie!J14),Baseline_Backlog!S12),0))</f>
        <v>-7862.3757990610584</v>
      </c>
      <c r="S12" s="301">
        <f>SUM(Inschrijf_MKI_Totaal[[#This Row],[A1-A3]:[C4]])+Inschrijf_MKI_Totaal[[#This Row],[D]]</f>
        <v>-7022.3414546145914</v>
      </c>
      <c r="AA12" s="9">
        <f>_xlfn.IFNA((VLOOKUP(Optimalisatie!AA14,Database_Asfalt_Verwijderset[#All],7,FALSE)*Optimalisatie!J14),0)</f>
        <v>243.74885072181121</v>
      </c>
      <c r="AB12" s="9">
        <f>_xlfn.IFNA(VLOOKUP(Optimalisatie!AB14,Database_Overig_Materieel[#All],7,FALSE)*(Optimalisatie!J14/Optimalisatie!AD14),0)</f>
        <v>0</v>
      </c>
      <c r="AC12" s="332">
        <f>(_xlfn.IFNA(VLOOKUP(Inschrijf_MKI_Totaal[[#This Row],[Product]]&amp;", "&amp;Inschrijf_MKI_Totaal[[#Headers],[C1]],Database_Productkaarten[#All],14,FALSE),0)*Optimalisatie!J14)</f>
        <v>243.74885172455615</v>
      </c>
    </row>
    <row r="13" spans="2:29">
      <c r="B13" s="272" t="str">
        <f>Optimalisatie!B15</f>
        <v>121510 - Opbreken fundering van menggranulaat, 400-200 mm dik</v>
      </c>
      <c r="C13" s="9" t="str">
        <f>Optimalisatie!F15</f>
        <v>Menggranulaat 300mm</v>
      </c>
      <c r="D13" s="9">
        <f>(IF(Optimalisatie!C15="Nieuwe Situatie",_xlfn.IFNA(IF(Optimalisatie!E15="Categorie_1_LCA_Producten",VLOOKUP(Inschrijf_MKI_Totaal[[#This Row],[Product]],Categorie_1_Producten[#All],8,FALSE)*(Optimalisatie!J15),VLOOKUP(Inschrijf_MKI_Totaal[[#This Row],[Product]]&amp;", "&amp;Inschrijf_MKI_Totaal[[#Headers],[A1]],Database_Productkaarten[#All],14,FALSE)*Optimalisatie!J15),Baseline_Backlog!D13),0))</f>
        <v>0</v>
      </c>
      <c r="E13" s="9">
        <f>(IF(Optimalisatie!C15="Nieuwe Situatie",_xlfn.IFNA(IF(Optimalisatie!E15="Categorie_1_LCA_Producten",VLOOKUP(Inschrijf_MKI_Totaal[[#This Row],[Product]],Categorie_1_Producten[#All],9,FALSE)*(Optimalisatie!J15),VLOOKUP(Inschrijf_MKI_Totaal[[#This Row],[Product]]&amp;", "&amp;Inschrijf_MKI_Totaal[[#Headers],[A2]],Database_Productkaarten[#All],14,FALSE)*Optimalisatie!J15),Baseline_Backlog!E13),0))</f>
        <v>0</v>
      </c>
      <c r="F13" s="9">
        <f>(IF(Optimalisatie!C15="Nieuwe Situatie",_xlfn.IFNA(IF(Optimalisatie!E15="Categorie_1_LCA_Producten",VLOOKUP(Inschrijf_MKI_Totaal[[#This Row],[Product]],Categorie_1_Producten[#All],10,FALSE)*(Optimalisatie!J15),VLOOKUP(Inschrijf_MKI_Totaal[[#This Row],[Product]]&amp;", "&amp;Inschrijf_MKI_Totaal[[#Headers],[A3]],Database_Productkaarten[#All],14,FALSE)*Optimalisatie!J15),Baseline_Backlog!F13),0))</f>
        <v>0</v>
      </c>
      <c r="G13" s="9">
        <f>(IF(Optimalisatie!C15="Nieuwe Situatie",_xlfn.IFNA(IF(Optimalisatie!E15="Categorie_1_LCA_Producten",VLOOKUP(Inschrijf_MKI_Totaal[[#This Row],[Product]],Categorie_1_Producten[#All],11,FALSE)*(Optimalisatie!J15),VLOOKUP(Inschrijf_MKI_Totaal[[#This Row],[Product]]&amp;", "&amp;Inschrijf_MKI_Totaal[[#Headers],[A1-A3]],Database_Productkaarten[#All],14,FALSE)*Optimalisatie!J15),Baseline_Backlog!G13),0))</f>
        <v>0</v>
      </c>
      <c r="H13" s="9">
        <f>(IF(Optimalisatie!C15="Nieuwe Situatie",_xlfn.IFNA(VLOOKUP(Optimalisatie!V15,Database_Transport[#All],7,FALSE)*((IF(Optimalisatie!R15=0,Baseline!Q15,Optimalisatie!R15))*Optimalisatie!U15),Baseline_Backlog!H13),0))</f>
        <v>0</v>
      </c>
      <c r="I13" s="9">
        <f>IF(Optimalisatie!C15="Nieuwe situatie",IF(_xlfn.IFNA((VLOOKUP(Optimalisatie!W15,Database_Asfalt_Aanlegset[#All],7,FALSE)*Optimalisatie!J15),0)+_xlfn.IFNA(VLOOKUP(Optimalisatie!X15,Database_Brandstoffen[#All],7,FALSE)*((Optimalisatie!J15/Optimalisatie!Z15)*Optimalisatie!Y15),0)&gt;0,_xlfn.IFNA((VLOOKUP(Optimalisatie!W15,Database_Asfalt_Aanlegset[#All],7,FALSE)*Optimalisatie!J15),0)+_xlfn.IFNA(VLOOKUP(Optimalisatie!X15,Database_Brandstoffen[#All],7,FALSE)*((Optimalisatie!J15/Optimalisatie!Z15)*Optimalisatie!Y15),0),(_xlfn.IFNA(VLOOKUP(Inschrijf_MKI_Totaal[[#This Row],[Product]]&amp;", "&amp;Inschrijf_MKI_Totaal[[#Headers],[A5]],Database_Productkaarten[#All],14,FALSE),0)*Optimalisatie!J15)),0)</f>
        <v>0</v>
      </c>
      <c r="J13" s="9"/>
      <c r="K13" s="9">
        <f>(IF(Optimalisatie!C15="Nieuwe Situatie",_xlfn.IFNA(SUM(Inschrijf_MKI_Totaal[[#This Row],[A1]:[B1]],Inschrijf_MKI_Totaal[[#This Row],[C1]:[D2]])*Optimalisatie!T15,0),0))</f>
        <v>0</v>
      </c>
      <c r="L13" s="9">
        <f>IF(Optimalisatie!C15="Bestaande situatie",IF(_xlfn.IFNA((VLOOKUP(Optimalisatie!AA15,Database_Asfalt_Verwijderset[#All],7,FALSE)*Optimalisatie!J15),0)+_xlfn.IFNA(VLOOKUP(Optimalisatie!AB15,Database_Brandstoffen[#All],7,FALSE)*((Optimalisatie!J15/Optimalisatie!AD15)*Optimalisatie!AC15),0)&gt;0,_xlfn.IFNA((VLOOKUP(Optimalisatie!AA15,Database_Asfalt_Verwijderset[#All],7,FALSE)*Optimalisatie!J15),0)+_xlfn.IFNA(VLOOKUP(Optimalisatie!AB15,Database_Brandstoffen[#All],7,FALSE)*((Optimalisatie!J15/Optimalisatie!AD15)*Optimalisatie!AC15),0),(_xlfn.IFNA(VLOOKUP(Inschrijf_MKI_Totaal[[#This Row],[Product]]&amp;", "&amp;Inschrijf_MKI_Totaal[[#Headers],[C1]],Database_Productkaarten[#All],14,FALSE),0)*Optimalisatie!J15)),0)</f>
        <v>274.17403000000002</v>
      </c>
      <c r="M13" s="9">
        <f>(IF(Optimalisatie!C15="Bestaande Situatie",_xlfn.IFNA(VLOOKUP(Optimalisatie!AF15,Database_Transport[#All],7,FALSE)*(Optimalisatie!R15*Optimalisatie!AE15),Baseline_Backlog!M13),0))</f>
        <v>385.64217334500006</v>
      </c>
      <c r="N13" s="9">
        <f>(IF(Optimalisatie!C15="Bestaande Situatie",_xlfn.IFNA(VLOOKUP(Optimalisatie!AG15,Database_Asfalt_Verwerkingsset[#All],7,FALSE)*(Optimalisatie!J15/VLOOKUP(Optimalisatie!AG15,Database_Asfalt_Verwerkingsset[#All],8,FALSE)),Baseline_Backlog!N13),0))</f>
        <v>375.97333333333336</v>
      </c>
      <c r="O13" s="9">
        <f>(IF(Optimalisatie!C15="Bestaande Situatie",_xlfn.IFNA(VLOOKUP(Inschrijf_MKI_Totaal[[#This Row],[Product]]&amp;", "&amp;Inschrijf_MKI_Totaal[[#Headers],[C4]],Database_Productkaarten[#All],14,FALSE),Baseline_Backlog!O13)*Optimalisatie!J15,0))</f>
        <v>16.675000000000001</v>
      </c>
      <c r="P13" s="9">
        <f>(IF(Optimalisatie!C15="Bestaande Situatie",_xlfn.IFNA(IF(Optimalisatie!E15="Categorie_1_LCA_Producten",VLOOKUP(Inschrijf_MKI_Totaal[[#This Row],[Product]],Categorie_1_Producten[#All],12,FALSE)*(Optimalisatie!J15),VLOOKUP(Inschrijf_MKI_Totaal[[#This Row],[Product]]&amp;", "&amp;Inschrijf_MKI_Totaal[[#Headers],[D1]],Database_Productkaarten[#All],14,FALSE)*Optimalisatie!J15),Baseline_Backlog!P13),0))</f>
        <v>0</v>
      </c>
      <c r="Q13" s="9">
        <f>(IF(Optimalisatie!C15="Bestaande Situatie",_xlfn.IFNA(IF(Optimalisatie!E15="Categorie_1_LCA_Producten",VLOOKUP(Inschrijf_MKI_Totaal[[#This Row],[Product]],Categorie_1_Producten[#All],13,FALSE)*(Optimalisatie!J15),VLOOKUP(Inschrijf_MKI_Totaal[[#This Row],[Product]]&amp;", "&amp;Inschrijf_MKI_Totaal[[#Headers],[D2]],Database_Productkaarten[#All],14,FALSE)*Optimalisatie!J15),Baseline_Backlog!Q13),0))</f>
        <v>0</v>
      </c>
      <c r="R13" s="9">
        <f>(IF(Optimalisatie!C15="Bestaande Situatie",_xlfn.IFNA(IF(Optimalisatie!E15="Categorie_1_LCA_Producten",VLOOKUP(Inschrijf_MKI_Totaal[[#This Row],[Product]],Categorie_1_Producten[#All],13,FALSE)*(Optimalisatie!J15),VLOOKUP(Inschrijf_MKI_Totaal[[#This Row],[Product]]&amp;", "&amp;Inschrijf_MKI_Totaal[[#Headers],[D]],Database_Productkaarten[#All],14,FALSE)*Optimalisatie!J15),Baseline_Backlog!S13),0))</f>
        <v>33.695</v>
      </c>
      <c r="S13" s="301">
        <f>SUM(Inschrijf_MKI_Totaal[[#This Row],[A1-A3]:[C4]])+Inschrijf_MKI_Totaal[[#This Row],[D]]</f>
        <v>1086.1595366783333</v>
      </c>
      <c r="AA13" s="9">
        <f>_xlfn.IFNA((VLOOKUP(Optimalisatie!AA15,Database_Asfalt_Verwijderset[#All],7,FALSE)*Optimalisatie!J15),0)</f>
        <v>0</v>
      </c>
      <c r="AB13" s="9">
        <f>_xlfn.IFNA(VLOOKUP(Optimalisatie!AB15,Database_Overig_Materieel[#All],7,FALSE)*(Optimalisatie!J15/Optimalisatie!AD15),0)</f>
        <v>0</v>
      </c>
      <c r="AC13" s="332">
        <f>(_xlfn.IFNA(VLOOKUP(Inschrijf_MKI_Totaal[[#This Row],[Product]]&amp;", "&amp;Inschrijf_MKI_Totaal[[#Headers],[C1]],Database_Productkaarten[#All],14,FALSE),0)*Optimalisatie!J15)</f>
        <v>238.24166666666667</v>
      </c>
    </row>
    <row r="14" spans="2:29">
      <c r="B14" s="272" t="str">
        <f>Optimalisatie!B16</f>
        <v>121520 - Opbreken fundering van slakken 200-400 mm dik</v>
      </c>
      <c r="C14" s="9" t="str">
        <f>Optimalisatie!F16</f>
        <v>Fosforslakmengsel 200mm</v>
      </c>
      <c r="D14" s="9">
        <f>(IF(Optimalisatie!C16="Nieuwe Situatie",_xlfn.IFNA(IF(Optimalisatie!E16="Categorie_1_LCA_Producten",VLOOKUP(Inschrijf_MKI_Totaal[[#This Row],[Product]],Categorie_1_Producten[#All],8,FALSE)*(Optimalisatie!J16),VLOOKUP(Inschrijf_MKI_Totaal[[#This Row],[Product]]&amp;", "&amp;Inschrijf_MKI_Totaal[[#Headers],[A1]],Database_Productkaarten[#All],14,FALSE)*Optimalisatie!J16),Baseline_Backlog!D14),0))</f>
        <v>0</v>
      </c>
      <c r="E14" s="9">
        <f>(IF(Optimalisatie!C16="Nieuwe Situatie",_xlfn.IFNA(IF(Optimalisatie!E16="Categorie_1_LCA_Producten",VLOOKUP(Inschrijf_MKI_Totaal[[#This Row],[Product]],Categorie_1_Producten[#All],9,FALSE)*(Optimalisatie!J16),VLOOKUP(Inschrijf_MKI_Totaal[[#This Row],[Product]]&amp;", "&amp;Inschrijf_MKI_Totaal[[#Headers],[A2]],Database_Productkaarten[#All],14,FALSE)*Optimalisatie!J16),Baseline_Backlog!E14),0))</f>
        <v>0</v>
      </c>
      <c r="F14" s="9">
        <f>(IF(Optimalisatie!C16="Nieuwe Situatie",_xlfn.IFNA(IF(Optimalisatie!E16="Categorie_1_LCA_Producten",VLOOKUP(Inschrijf_MKI_Totaal[[#This Row],[Product]],Categorie_1_Producten[#All],10,FALSE)*(Optimalisatie!J16),VLOOKUP(Inschrijf_MKI_Totaal[[#This Row],[Product]]&amp;", "&amp;Inschrijf_MKI_Totaal[[#Headers],[A3]],Database_Productkaarten[#All],14,FALSE)*Optimalisatie!J16),Baseline_Backlog!F14),0))</f>
        <v>0</v>
      </c>
      <c r="G14" s="9">
        <f>(IF(Optimalisatie!C16="Nieuwe Situatie",_xlfn.IFNA(IF(Optimalisatie!E16="Categorie_1_LCA_Producten",VLOOKUP(Inschrijf_MKI_Totaal[[#This Row],[Product]],Categorie_1_Producten[#All],11,FALSE)*(Optimalisatie!J16),VLOOKUP(Inschrijf_MKI_Totaal[[#This Row],[Product]]&amp;", "&amp;Inschrijf_MKI_Totaal[[#Headers],[A1-A3]],Database_Productkaarten[#All],14,FALSE)*Optimalisatie!J16),Baseline_Backlog!G14),0))</f>
        <v>0</v>
      </c>
      <c r="H14" s="9">
        <f>(IF(Optimalisatie!C16="Nieuwe Situatie",_xlfn.IFNA(VLOOKUP(Optimalisatie!V16,Database_Transport[#All],7,FALSE)*((IF(Optimalisatie!R16=0,Baseline!Q16,Optimalisatie!R16))*Optimalisatie!U16),Baseline_Backlog!H14),0))</f>
        <v>0</v>
      </c>
      <c r="I14" s="9">
        <f>IF(Optimalisatie!C16="Nieuwe situatie",IF(_xlfn.IFNA((VLOOKUP(Optimalisatie!W16,Database_Asfalt_Aanlegset[#All],7,FALSE)*Optimalisatie!J16),0)+_xlfn.IFNA(VLOOKUP(Optimalisatie!X16,Database_Brandstoffen[#All],7,FALSE)*((Optimalisatie!J16/Optimalisatie!Z16)*Optimalisatie!Y16),0)&gt;0,_xlfn.IFNA((VLOOKUP(Optimalisatie!W16,Database_Asfalt_Aanlegset[#All],7,FALSE)*Optimalisatie!J16),0)+_xlfn.IFNA(VLOOKUP(Optimalisatie!X16,Database_Brandstoffen[#All],7,FALSE)*((Optimalisatie!J16/Optimalisatie!Z16)*Optimalisatie!Y16),0),(_xlfn.IFNA(VLOOKUP(Inschrijf_MKI_Totaal[[#This Row],[Product]]&amp;", "&amp;Inschrijf_MKI_Totaal[[#Headers],[A5]],Database_Productkaarten[#All],14,FALSE),0)*Optimalisatie!J16)),0)</f>
        <v>0</v>
      </c>
      <c r="J14" s="9"/>
      <c r="K14" s="9">
        <f>(IF(Optimalisatie!C16="Nieuwe Situatie",_xlfn.IFNA(SUM(Inschrijf_MKI_Totaal[[#This Row],[A1]:[B1]],Inschrijf_MKI_Totaal[[#This Row],[C1]:[D2]])*Optimalisatie!T16,0),0))</f>
        <v>0</v>
      </c>
      <c r="L14" s="9">
        <f>IF(Optimalisatie!C16="Bestaande situatie",IF(_xlfn.IFNA((VLOOKUP(Optimalisatie!AA16,Database_Asfalt_Verwijderset[#All],7,FALSE)*Optimalisatie!J16),0)+_xlfn.IFNA(VLOOKUP(Optimalisatie!AB16,Database_Brandstoffen[#All],7,FALSE)*((Optimalisatie!J16/Optimalisatie!AD16)*Optimalisatie!AC16),0)&gt;0,_xlfn.IFNA((VLOOKUP(Optimalisatie!AA16,Database_Asfalt_Verwijderset[#All],7,FALSE)*Optimalisatie!J16),0)+_xlfn.IFNA(VLOOKUP(Optimalisatie!AB16,Database_Brandstoffen[#All],7,FALSE)*((Optimalisatie!J16/Optimalisatie!AD16)*Optimalisatie!AC16),0),(_xlfn.IFNA(VLOOKUP(Inschrijf_MKI_Totaal[[#This Row],[Product]]&amp;", "&amp;Inschrijf_MKI_Totaal[[#Headers],[C1]],Database_Productkaarten[#All],14,FALSE),0)*Optimalisatie!J16)),0)</f>
        <v>125.166405</v>
      </c>
      <c r="M14" s="9">
        <f>(IF(Optimalisatie!C16="Bestaande Situatie",_xlfn.IFNA(VLOOKUP(Optimalisatie!AF16,Database_Transport[#All],7,FALSE)*(Optimalisatie!R16*Optimalisatie!AE16),Baseline_Backlog!M14),0))</f>
        <v>168.53035892000005</v>
      </c>
      <c r="N14" s="9">
        <f>(IF(Optimalisatie!C16="Bestaande Situatie",_xlfn.IFNA(VLOOKUP(Optimalisatie!AG16,Database_Asfalt_Verwerkingsset[#All],7,FALSE)*(Optimalisatie!J16/VLOOKUP(Optimalisatie!AG16,Database_Asfalt_Verwerkingsset[#All],8,FALSE)),Baseline_Backlog!N14),0))</f>
        <v>0</v>
      </c>
      <c r="O14" s="9">
        <f>(IF(Optimalisatie!C16="Bestaande Situatie",_xlfn.IFNA(VLOOKUP(Inschrijf_MKI_Totaal[[#This Row],[Product]]&amp;", "&amp;Inschrijf_MKI_Totaal[[#Headers],[C4]],Database_Productkaarten[#All],14,FALSE),Baseline_Backlog!O14)*Optimalisatie!J16,0))</f>
        <v>7.2799999999999994</v>
      </c>
      <c r="P14" s="9">
        <f>(IF(Optimalisatie!C16="Bestaande Situatie",_xlfn.IFNA(IF(Optimalisatie!E16="Categorie_1_LCA_Producten",VLOOKUP(Inschrijf_MKI_Totaal[[#This Row],[Product]],Categorie_1_Producten[#All],12,FALSE)*(Optimalisatie!J16),VLOOKUP(Inschrijf_MKI_Totaal[[#This Row],[Product]]&amp;", "&amp;Inschrijf_MKI_Totaal[[#Headers],[D1]],Database_Productkaarten[#All],14,FALSE)*Optimalisatie!J16),Baseline_Backlog!P14),0))</f>
        <v>0</v>
      </c>
      <c r="Q14" s="9">
        <f>(IF(Optimalisatie!C16="Bestaande Situatie",_xlfn.IFNA(IF(Optimalisatie!E16="Categorie_1_LCA_Producten",VLOOKUP(Inschrijf_MKI_Totaal[[#This Row],[Product]],Categorie_1_Producten[#All],13,FALSE)*(Optimalisatie!J16),VLOOKUP(Inschrijf_MKI_Totaal[[#This Row],[Product]]&amp;", "&amp;Inschrijf_MKI_Totaal[[#Headers],[D2]],Database_Productkaarten[#All],14,FALSE)*Optimalisatie!J16),Baseline_Backlog!Q14),0))</f>
        <v>0</v>
      </c>
      <c r="R14" s="9">
        <f>(IF(Optimalisatie!C16="Bestaande Situatie",_xlfn.IFNA(IF(Optimalisatie!E16="Categorie_1_LCA_Producten",VLOOKUP(Inschrijf_MKI_Totaal[[#This Row],[Product]],Categorie_1_Producten[#All],13,FALSE)*(Optimalisatie!J16),VLOOKUP(Inschrijf_MKI_Totaal[[#This Row],[Product]]&amp;", "&amp;Inschrijf_MKI_Totaal[[#Headers],[D]],Database_Productkaarten[#All],14,FALSE)*Optimalisatie!J16),Baseline_Backlog!S14),0))</f>
        <v>14.735000000000001</v>
      </c>
      <c r="S14" s="301">
        <f>SUM(Inschrijf_MKI_Totaal[[#This Row],[A1-A3]:[C4]])+Inschrijf_MKI_Totaal[[#This Row],[D]]</f>
        <v>315.71176392000007</v>
      </c>
      <c r="AA14" s="9">
        <f>_xlfn.IFNA((VLOOKUP(Optimalisatie!AA16,Database_Asfalt_Verwijderset[#All],7,FALSE)*Optimalisatie!J16),0)</f>
        <v>0</v>
      </c>
      <c r="AB14" s="9">
        <f>_xlfn.IFNA(VLOOKUP(Optimalisatie!AB16,Database_Overig_Materieel[#All],7,FALSE)*(Optimalisatie!J16/Optimalisatie!AD16),0)</f>
        <v>0</v>
      </c>
      <c r="AC14" s="332">
        <f>(_xlfn.IFNA(VLOOKUP(Inschrijf_MKI_Totaal[[#This Row],[Product]]&amp;", "&amp;Inschrijf_MKI_Totaal[[#Headers],[C1]],Database_Productkaarten[#All],14,FALSE),0)*Optimalisatie!J16)</f>
        <v>108.76249999999999</v>
      </c>
    </row>
    <row r="15" spans="2:29">
      <c r="B15" s="272" t="str">
        <f>Optimalisatie!B17</f>
        <v>121310 - Verwijderen en afvoeren kolken, incl aansluitingen</v>
      </c>
      <c r="C15" s="9" t="str">
        <f>Optimalisatie!F17</f>
        <v>Kolk, Staal &amp; Beton</v>
      </c>
      <c r="D15" s="9">
        <f>(IF(Optimalisatie!C17="Nieuwe Situatie",_xlfn.IFNA(IF(Optimalisatie!E17="Categorie_1_LCA_Producten",VLOOKUP(Inschrijf_MKI_Totaal[[#This Row],[Product]],Categorie_1_Producten[#All],8,FALSE)*(Optimalisatie!J17),VLOOKUP(Inschrijf_MKI_Totaal[[#This Row],[Product]]&amp;", "&amp;Inschrijf_MKI_Totaal[[#Headers],[A1]],Database_Productkaarten[#All],14,FALSE)*Optimalisatie!J17),Baseline_Backlog!D15),0))</f>
        <v>0</v>
      </c>
      <c r="E15" s="9">
        <f>(IF(Optimalisatie!C17="Nieuwe Situatie",_xlfn.IFNA(IF(Optimalisatie!E17="Categorie_1_LCA_Producten",VLOOKUP(Inschrijf_MKI_Totaal[[#This Row],[Product]],Categorie_1_Producten[#All],9,FALSE)*(Optimalisatie!J17),VLOOKUP(Inschrijf_MKI_Totaal[[#This Row],[Product]]&amp;", "&amp;Inschrijf_MKI_Totaal[[#Headers],[A2]],Database_Productkaarten[#All],14,FALSE)*Optimalisatie!J17),Baseline_Backlog!E15),0))</f>
        <v>0</v>
      </c>
      <c r="F15" s="9">
        <f>(IF(Optimalisatie!C17="Nieuwe Situatie",_xlfn.IFNA(IF(Optimalisatie!E17="Categorie_1_LCA_Producten",VLOOKUP(Inschrijf_MKI_Totaal[[#This Row],[Product]],Categorie_1_Producten[#All],10,FALSE)*(Optimalisatie!J17),VLOOKUP(Inschrijf_MKI_Totaal[[#This Row],[Product]]&amp;", "&amp;Inschrijf_MKI_Totaal[[#Headers],[A3]],Database_Productkaarten[#All],14,FALSE)*Optimalisatie!J17),Baseline_Backlog!F15),0))</f>
        <v>0</v>
      </c>
      <c r="G15" s="9">
        <f>(IF(Optimalisatie!C17="Nieuwe Situatie",_xlfn.IFNA(IF(Optimalisatie!E17="Categorie_1_LCA_Producten",VLOOKUP(Inschrijf_MKI_Totaal[[#This Row],[Product]],Categorie_1_Producten[#All],11,FALSE)*(Optimalisatie!J17),VLOOKUP(Inschrijf_MKI_Totaal[[#This Row],[Product]]&amp;", "&amp;Inschrijf_MKI_Totaal[[#Headers],[A1-A3]],Database_Productkaarten[#All],14,FALSE)*Optimalisatie!J17),Baseline_Backlog!G15),0))</f>
        <v>0</v>
      </c>
      <c r="H15" s="9">
        <f>(IF(Optimalisatie!C17="Nieuwe Situatie",_xlfn.IFNA(VLOOKUP(Optimalisatie!V17,Database_Transport[#All],7,FALSE)*((IF(Optimalisatie!R17=0,Baseline!Q17,Optimalisatie!R17))*Optimalisatie!U17),Baseline_Backlog!H15),0))</f>
        <v>0</v>
      </c>
      <c r="I15" s="9">
        <f>IF(Optimalisatie!C17="Nieuwe situatie",IF(_xlfn.IFNA((VLOOKUP(Optimalisatie!W17,Database_Asfalt_Aanlegset[#All],7,FALSE)*Optimalisatie!J17),0)+_xlfn.IFNA(VLOOKUP(Optimalisatie!X17,Database_Brandstoffen[#All],7,FALSE)*((Optimalisatie!J17/Optimalisatie!Z17)*Optimalisatie!Y17),0)&gt;0,_xlfn.IFNA((VLOOKUP(Optimalisatie!W17,Database_Asfalt_Aanlegset[#All],7,FALSE)*Optimalisatie!J17),0)+_xlfn.IFNA(VLOOKUP(Optimalisatie!X17,Database_Brandstoffen[#All],7,FALSE)*((Optimalisatie!J17/Optimalisatie!Z17)*Optimalisatie!Y17),0),(_xlfn.IFNA(VLOOKUP(Inschrijf_MKI_Totaal[[#This Row],[Product]]&amp;", "&amp;Inschrijf_MKI_Totaal[[#Headers],[A5]],Database_Productkaarten[#All],14,FALSE),0)*Optimalisatie!J17)),0)</f>
        <v>0</v>
      </c>
      <c r="J15" s="9"/>
      <c r="K15" s="9">
        <f>(IF(Optimalisatie!C17="Nieuwe Situatie",_xlfn.IFNA(SUM(Inschrijf_MKI_Totaal[[#This Row],[A1]:[B1]],Inschrijf_MKI_Totaal[[#This Row],[C1]:[D2]])*Optimalisatie!T17,0),0))</f>
        <v>0</v>
      </c>
      <c r="L15" s="9">
        <f>IF(Optimalisatie!C17="Bestaande situatie",IF(_xlfn.IFNA((VLOOKUP(Optimalisatie!AA17,Database_Asfalt_Verwijderset[#All],7,FALSE)*Optimalisatie!J17),0)+_xlfn.IFNA(VLOOKUP(Optimalisatie!AB17,Database_Brandstoffen[#All],7,FALSE)*((Optimalisatie!J17/Optimalisatie!AD17)*Optimalisatie!AC17),0)&gt;0,_xlfn.IFNA((VLOOKUP(Optimalisatie!AA17,Database_Asfalt_Verwijderset[#All],7,FALSE)*Optimalisatie!J17),0)+_xlfn.IFNA(VLOOKUP(Optimalisatie!AB17,Database_Brandstoffen[#All],7,FALSE)*((Optimalisatie!J17/Optimalisatie!AD17)*Optimalisatie!AC17),0),(_xlfn.IFNA(VLOOKUP(Inschrijf_MKI_Totaal[[#This Row],[Product]]&amp;", "&amp;Inschrijf_MKI_Totaal[[#Headers],[C1]],Database_Productkaarten[#All],14,FALSE),0)*Optimalisatie!J17)),0)</f>
        <v>590.25282272980508</v>
      </c>
      <c r="M15" s="9">
        <f>(IF(Optimalisatie!C17="Bestaande Situatie",_xlfn.IFNA(VLOOKUP(Optimalisatie!AF17,Database_Transport[#All],7,FALSE)*(Optimalisatie!R17*Optimalisatie!AE17),Baseline_Backlog!M15),0))</f>
        <v>7.046233670074721</v>
      </c>
      <c r="N15" s="9">
        <f>(IF(Optimalisatie!C17="Bestaande Situatie",_xlfn.IFNA(VLOOKUP(Optimalisatie!AG17,Database_Asfalt_Verwerkingsset[#All],7,FALSE)*(Optimalisatie!J17/VLOOKUP(Optimalisatie!AG17,Database_Asfalt_Verwerkingsset[#All],8,FALSE)),Baseline_Backlog!N15),0))</f>
        <v>8.08</v>
      </c>
      <c r="O15" s="9">
        <f>(IF(Optimalisatie!C17="Bestaande Situatie",_xlfn.IFNA(VLOOKUP(Inschrijf_MKI_Totaal[[#This Row],[Product]]&amp;", "&amp;Inschrijf_MKI_Totaal[[#Headers],[C4]],Database_Productkaarten[#All],14,FALSE),Baseline_Backlog!O15)*Optimalisatie!J17,0))</f>
        <v>0</v>
      </c>
      <c r="P15" s="9">
        <f>(IF(Optimalisatie!C17="Bestaande Situatie",_xlfn.IFNA(IF(Optimalisatie!E17="Categorie_1_LCA_Producten",VLOOKUP(Inschrijf_MKI_Totaal[[#This Row],[Product]],Categorie_1_Producten[#All],12,FALSE)*(Optimalisatie!J17),VLOOKUP(Inschrijf_MKI_Totaal[[#This Row],[Product]]&amp;", "&amp;Inschrijf_MKI_Totaal[[#Headers],[D1]],Database_Productkaarten[#All],14,FALSE)*Optimalisatie!J17),Baseline_Backlog!P15),0))</f>
        <v>-763.56</v>
      </c>
      <c r="Q15" s="9">
        <f>(IF(Optimalisatie!C17="Bestaande Situatie",_xlfn.IFNA(IF(Optimalisatie!E17="Categorie_1_LCA_Producten",VLOOKUP(Inschrijf_MKI_Totaal[[#This Row],[Product]],Categorie_1_Producten[#All],13,FALSE)*(Optimalisatie!J17),VLOOKUP(Inschrijf_MKI_Totaal[[#This Row],[Product]]&amp;", "&amp;Inschrijf_MKI_Totaal[[#Headers],[D2]],Database_Productkaarten[#All],14,FALSE)*Optimalisatie!J17),Baseline_Backlog!Q15),0))</f>
        <v>0</v>
      </c>
      <c r="R15" s="9">
        <f>(IF(Optimalisatie!C17="Bestaande Situatie",_xlfn.IFNA(IF(Optimalisatie!E17="Categorie_1_LCA_Producten",VLOOKUP(Inschrijf_MKI_Totaal[[#This Row],[Product]],Categorie_1_Producten[#All],13,FALSE)*(Optimalisatie!J17),VLOOKUP(Inschrijf_MKI_Totaal[[#This Row],[Product]]&amp;", "&amp;Inschrijf_MKI_Totaal[[#Headers],[D]],Database_Productkaarten[#All],14,FALSE)*Optimalisatie!J17),Baseline_Backlog!S15),0))</f>
        <v>-763.56</v>
      </c>
      <c r="S15" s="301">
        <f>SUM(Inschrijf_MKI_Totaal[[#This Row],[A1-A3]:[C4]])+Inschrijf_MKI_Totaal[[#This Row],[D]]</f>
        <v>-158.18094360012014</v>
      </c>
      <c r="AA15" s="9">
        <f>_xlfn.IFNA((VLOOKUP(Optimalisatie!AA17,Database_Asfalt_Verwijderset[#All],7,FALSE)*Optimalisatie!J17),0)</f>
        <v>0</v>
      </c>
      <c r="AB15" s="9">
        <f>_xlfn.IFNA(VLOOKUP(Optimalisatie!AB17,Database_Overig_Materieel[#All],7,FALSE)*(Optimalisatie!J17/Optimalisatie!AD17),0)</f>
        <v>0</v>
      </c>
      <c r="AC15" s="332">
        <f>(_xlfn.IFNA(VLOOKUP(Inschrijf_MKI_Totaal[[#This Row],[Product]]&amp;", "&amp;Inschrijf_MKI_Totaal[[#Headers],[C1]],Database_Productkaarten[#All],14,FALSE),0)*Optimalisatie!J17)</f>
        <v>704.98</v>
      </c>
    </row>
    <row r="16" spans="2:29">
      <c r="B16" s="272" t="str">
        <f>Optimalisatie!B18</f>
        <v>210010 - Grond ontgraven uit cunet wegen en parkeervakken 0,25 m</v>
      </c>
      <c r="C16" s="9" t="str">
        <f>Optimalisatie!F18</f>
        <v>Ophoogmateriaal (Grond)</v>
      </c>
      <c r="D16" s="9">
        <f>(IF(Optimalisatie!C18="Nieuwe Situatie",_xlfn.IFNA(IF(Optimalisatie!E18="Categorie_1_LCA_Producten",VLOOKUP(Inschrijf_MKI_Totaal[[#This Row],[Product]],Categorie_1_Producten[#All],8,FALSE)*(Optimalisatie!J18),VLOOKUP(Inschrijf_MKI_Totaal[[#This Row],[Product]]&amp;", "&amp;Inschrijf_MKI_Totaal[[#Headers],[A1]],Database_Productkaarten[#All],14,FALSE)*Optimalisatie!J18),Baseline_Backlog!D16),0))</f>
        <v>0</v>
      </c>
      <c r="E16" s="9">
        <f>(IF(Optimalisatie!C18="Nieuwe Situatie",_xlfn.IFNA(IF(Optimalisatie!E18="Categorie_1_LCA_Producten",VLOOKUP(Inschrijf_MKI_Totaal[[#This Row],[Product]],Categorie_1_Producten[#All],9,FALSE)*(Optimalisatie!J18),VLOOKUP(Inschrijf_MKI_Totaal[[#This Row],[Product]]&amp;", "&amp;Inschrijf_MKI_Totaal[[#Headers],[A2]],Database_Productkaarten[#All],14,FALSE)*Optimalisatie!J18),Baseline_Backlog!E16),0))</f>
        <v>0</v>
      </c>
      <c r="F16" s="9">
        <f>(IF(Optimalisatie!C18="Nieuwe Situatie",_xlfn.IFNA(IF(Optimalisatie!E18="Categorie_1_LCA_Producten",VLOOKUP(Inschrijf_MKI_Totaal[[#This Row],[Product]],Categorie_1_Producten[#All],10,FALSE)*(Optimalisatie!J18),VLOOKUP(Inschrijf_MKI_Totaal[[#This Row],[Product]]&amp;", "&amp;Inschrijf_MKI_Totaal[[#Headers],[A3]],Database_Productkaarten[#All],14,FALSE)*Optimalisatie!J18),Baseline_Backlog!F16),0))</f>
        <v>0</v>
      </c>
      <c r="G16" s="9">
        <f>(IF(Optimalisatie!C18="Nieuwe Situatie",_xlfn.IFNA(IF(Optimalisatie!E18="Categorie_1_LCA_Producten",VLOOKUP(Inschrijf_MKI_Totaal[[#This Row],[Product]],Categorie_1_Producten[#All],11,FALSE)*(Optimalisatie!J18),VLOOKUP(Inschrijf_MKI_Totaal[[#This Row],[Product]]&amp;", "&amp;Inschrijf_MKI_Totaal[[#Headers],[A1-A3]],Database_Productkaarten[#All],14,FALSE)*Optimalisatie!J18),Baseline_Backlog!G16),0))</f>
        <v>0</v>
      </c>
      <c r="H16" s="9">
        <f>(IF(Optimalisatie!C18="Nieuwe Situatie",_xlfn.IFNA(VLOOKUP(Optimalisatie!V18,Database_Transport[#All],7,FALSE)*((IF(Optimalisatie!R18=0,Baseline!Q18,Optimalisatie!R18))*Optimalisatie!U18),Baseline_Backlog!H16),0))</f>
        <v>0</v>
      </c>
      <c r="I16" s="9">
        <f>IF(Optimalisatie!C18="Nieuwe situatie",IF(_xlfn.IFNA((VLOOKUP(Optimalisatie!W18,Database_Asfalt_Aanlegset[#All],7,FALSE)*Optimalisatie!J18),0)+_xlfn.IFNA(VLOOKUP(Optimalisatie!X18,Database_Brandstoffen[#All],7,FALSE)*((Optimalisatie!J18/Optimalisatie!Z18)*Optimalisatie!Y18),0)&gt;0,_xlfn.IFNA((VLOOKUP(Optimalisatie!W18,Database_Asfalt_Aanlegset[#All],7,FALSE)*Optimalisatie!J18),0)+_xlfn.IFNA(VLOOKUP(Optimalisatie!X18,Database_Brandstoffen[#All],7,FALSE)*((Optimalisatie!J18/Optimalisatie!Z18)*Optimalisatie!Y18),0),(_xlfn.IFNA(VLOOKUP(Inschrijf_MKI_Totaal[[#This Row],[Product]]&amp;", "&amp;Inschrijf_MKI_Totaal[[#Headers],[A5]],Database_Productkaarten[#All],14,FALSE),0)*Optimalisatie!J18)),0)</f>
        <v>0</v>
      </c>
      <c r="J16" s="9"/>
      <c r="K16" s="9">
        <f>(IF(Optimalisatie!C18="Nieuwe Situatie",_xlfn.IFNA(SUM(Inschrijf_MKI_Totaal[[#This Row],[A1]:[B1]],Inschrijf_MKI_Totaal[[#This Row],[C1]:[D2]])*Optimalisatie!T18,0),0))</f>
        <v>0</v>
      </c>
      <c r="L16" s="9">
        <f>IF(Optimalisatie!C18="Bestaande situatie",IF(_xlfn.IFNA((VLOOKUP(Optimalisatie!AA18,Database_Asfalt_Verwijderset[#All],7,FALSE)*Optimalisatie!J18),0)+_xlfn.IFNA(VLOOKUP(Optimalisatie!AB18,Database_Brandstoffen[#All],7,FALSE)*((Optimalisatie!J18/Optimalisatie!AD18)*Optimalisatie!AC18),0)&gt;0,_xlfn.IFNA((VLOOKUP(Optimalisatie!AA18,Database_Asfalt_Verwijderset[#All],7,FALSE)*Optimalisatie!J18),0)+_xlfn.IFNA(VLOOKUP(Optimalisatie!AB18,Database_Brandstoffen[#All],7,FALSE)*((Optimalisatie!J18/Optimalisatie!AD18)*Optimalisatie!AC18),0),(_xlfn.IFNA(VLOOKUP(Inschrijf_MKI_Totaal[[#This Row],[Product]]&amp;", "&amp;Inschrijf_MKI_Totaal[[#Headers],[C1]],Database_Productkaarten[#All],14,FALSE),0)*Optimalisatie!J18)),0)</f>
        <v>415.51456317333333</v>
      </c>
      <c r="M16" s="9">
        <f>(IF(Optimalisatie!C18="Bestaande Situatie",_xlfn.IFNA(VLOOKUP(Optimalisatie!AF18,Database_Transport[#All],7,FALSE)*(Optimalisatie!R18*Optimalisatie!AE18),Baseline_Backlog!M16),0))</f>
        <v>1402.8432682550001</v>
      </c>
      <c r="N16" s="9">
        <f>(IF(Optimalisatie!C18="Bestaande Situatie",_xlfn.IFNA(VLOOKUP(Optimalisatie!AG18,Database_Asfalt_Verwerkingsset[#All],7,FALSE)*(Optimalisatie!J18/VLOOKUP(Optimalisatie!AG18,Database_Asfalt_Verwerkingsset[#All],8,FALSE)),Baseline_Backlog!N16),0))</f>
        <v>0</v>
      </c>
      <c r="O16" s="9">
        <f>(IF(Optimalisatie!C18="Bestaande Situatie",_xlfn.IFNA(VLOOKUP(Inschrijf_MKI_Totaal[[#This Row],[Product]]&amp;", "&amp;Inschrijf_MKI_Totaal[[#Headers],[C4]],Database_Productkaarten[#All],14,FALSE),Baseline_Backlog!O16)*Optimalisatie!J18,0))</f>
        <v>60.641600000000004</v>
      </c>
      <c r="P16" s="9">
        <f>(IF(Optimalisatie!C18="Bestaande Situatie",_xlfn.IFNA(IF(Optimalisatie!E18="Categorie_1_LCA_Producten",VLOOKUP(Inschrijf_MKI_Totaal[[#This Row],[Product]],Categorie_1_Producten[#All],12,FALSE)*(Optimalisatie!J18),VLOOKUP(Inschrijf_MKI_Totaal[[#This Row],[Product]]&amp;", "&amp;Inschrijf_MKI_Totaal[[#Headers],[D1]],Database_Productkaarten[#All],14,FALSE)*Optimalisatie!J18),Baseline_Backlog!P16),0))</f>
        <v>0</v>
      </c>
      <c r="Q16" s="9">
        <f>(IF(Optimalisatie!C18="Bestaande Situatie",_xlfn.IFNA(IF(Optimalisatie!E18="Categorie_1_LCA_Producten",VLOOKUP(Inschrijf_MKI_Totaal[[#This Row],[Product]],Categorie_1_Producten[#All],13,FALSE)*(Optimalisatie!J18),VLOOKUP(Inschrijf_MKI_Totaal[[#This Row],[Product]]&amp;", "&amp;Inschrijf_MKI_Totaal[[#Headers],[D2]],Database_Productkaarten[#All],14,FALSE)*Optimalisatie!J18),Baseline_Backlog!Q16),0))</f>
        <v>0</v>
      </c>
      <c r="R16" s="9">
        <f>(IF(Optimalisatie!C18="Bestaande Situatie",_xlfn.IFNA(IF(Optimalisatie!E18="Categorie_1_LCA_Producten",VLOOKUP(Inschrijf_MKI_Totaal[[#This Row],[Product]],Categorie_1_Producten[#All],13,FALSE)*(Optimalisatie!J18),VLOOKUP(Inschrijf_MKI_Totaal[[#This Row],[Product]]&amp;", "&amp;Inschrijf_MKI_Totaal[[#Headers],[D]],Database_Productkaarten[#All],14,FALSE)*Optimalisatie!J18),Baseline_Backlog!S16),0))</f>
        <v>0</v>
      </c>
      <c r="S16" s="301">
        <f>SUM(Inschrijf_MKI_Totaal[[#This Row],[A1-A3]:[C4]])+Inschrijf_MKI_Totaal[[#This Row],[D]]</f>
        <v>1878.9994314283333</v>
      </c>
      <c r="AA16" s="9">
        <f>_xlfn.IFNA((VLOOKUP(Optimalisatie!AA18,Database_Asfalt_Verwijderset[#All],7,FALSE)*Optimalisatie!J18),0)</f>
        <v>0</v>
      </c>
      <c r="AB16" s="9">
        <f>_xlfn.IFNA(VLOOKUP(Optimalisatie!AB18,Database_Overig_Materieel[#All],7,FALSE)*(Optimalisatie!J18/Optimalisatie!AD18),0)</f>
        <v>0</v>
      </c>
      <c r="AC16" s="332">
        <f>(_xlfn.IFNA(VLOOKUP(Inschrijf_MKI_Totaal[[#This Row],[Product]]&amp;", "&amp;Inschrijf_MKI_Totaal[[#Headers],[C1]],Database_Productkaarten[#All],14,FALSE),0)*Optimalisatie!J18)</f>
        <v>361.03839999999997</v>
      </c>
    </row>
    <row r="17" spans="2:29">
      <c r="B17" s="272" t="str">
        <f>Optimalisatie!B19</f>
        <v>210020 - Grond ontgraven uit sleuf riolering (gerekend met 11,5m3/m1 riool)</v>
      </c>
      <c r="C17" s="9" t="str">
        <f>Optimalisatie!F19</f>
        <v>Ophoogmateriaal (Grond)</v>
      </c>
      <c r="D17" s="9">
        <f>(IF(Optimalisatie!C19="Nieuwe Situatie",_xlfn.IFNA(IF(Optimalisatie!E19="Categorie_1_LCA_Producten",VLOOKUP(Inschrijf_MKI_Totaal[[#This Row],[Product]],Categorie_1_Producten[#All],8,FALSE)*(Optimalisatie!J19),VLOOKUP(Inschrijf_MKI_Totaal[[#This Row],[Product]]&amp;", "&amp;Inschrijf_MKI_Totaal[[#Headers],[A1]],Database_Productkaarten[#All],14,FALSE)*Optimalisatie!J19),Baseline_Backlog!D17),0))</f>
        <v>0</v>
      </c>
      <c r="E17" s="9">
        <f>(IF(Optimalisatie!C19="Nieuwe Situatie",_xlfn.IFNA(IF(Optimalisatie!E19="Categorie_1_LCA_Producten",VLOOKUP(Inschrijf_MKI_Totaal[[#This Row],[Product]],Categorie_1_Producten[#All],9,FALSE)*(Optimalisatie!J19),VLOOKUP(Inschrijf_MKI_Totaal[[#This Row],[Product]]&amp;", "&amp;Inschrijf_MKI_Totaal[[#Headers],[A2]],Database_Productkaarten[#All],14,FALSE)*Optimalisatie!J19),Baseline_Backlog!E17),0))</f>
        <v>0</v>
      </c>
      <c r="F17" s="9">
        <f>(IF(Optimalisatie!C19="Nieuwe Situatie",_xlfn.IFNA(IF(Optimalisatie!E19="Categorie_1_LCA_Producten",VLOOKUP(Inschrijf_MKI_Totaal[[#This Row],[Product]],Categorie_1_Producten[#All],10,FALSE)*(Optimalisatie!J19),VLOOKUP(Inschrijf_MKI_Totaal[[#This Row],[Product]]&amp;", "&amp;Inschrijf_MKI_Totaal[[#Headers],[A3]],Database_Productkaarten[#All],14,FALSE)*Optimalisatie!J19),Baseline_Backlog!F17),0))</f>
        <v>0</v>
      </c>
      <c r="G17" s="9">
        <f>(IF(Optimalisatie!C19="Nieuwe Situatie",_xlfn.IFNA(IF(Optimalisatie!E19="Categorie_1_LCA_Producten",VLOOKUP(Inschrijf_MKI_Totaal[[#This Row],[Product]],Categorie_1_Producten[#All],11,FALSE)*(Optimalisatie!J19),VLOOKUP(Inschrijf_MKI_Totaal[[#This Row],[Product]]&amp;", "&amp;Inschrijf_MKI_Totaal[[#Headers],[A1-A3]],Database_Productkaarten[#All],14,FALSE)*Optimalisatie!J19),Baseline_Backlog!G17),0))</f>
        <v>0</v>
      </c>
      <c r="H17" s="9">
        <f>(IF(Optimalisatie!C19="Nieuwe Situatie",_xlfn.IFNA(VLOOKUP(Optimalisatie!V19,Database_Transport[#All],7,FALSE)*((IF(Optimalisatie!R19=0,Baseline!Q19,Optimalisatie!R19))*Optimalisatie!U19),Baseline_Backlog!H17),0))</f>
        <v>0</v>
      </c>
      <c r="I17" s="9">
        <f>IF(Optimalisatie!C19="Nieuwe situatie",IF(_xlfn.IFNA((VLOOKUP(Optimalisatie!W19,Database_Asfalt_Aanlegset[#All],7,FALSE)*Optimalisatie!J19),0)+_xlfn.IFNA(VLOOKUP(Optimalisatie!X19,Database_Brandstoffen[#All],7,FALSE)*((Optimalisatie!J19/Optimalisatie!Z19)*Optimalisatie!Y19),0)&gt;0,_xlfn.IFNA((VLOOKUP(Optimalisatie!W19,Database_Asfalt_Aanlegset[#All],7,FALSE)*Optimalisatie!J19),0)+_xlfn.IFNA(VLOOKUP(Optimalisatie!X19,Database_Brandstoffen[#All],7,FALSE)*((Optimalisatie!J19/Optimalisatie!Z19)*Optimalisatie!Y19),0),(_xlfn.IFNA(VLOOKUP(Inschrijf_MKI_Totaal[[#This Row],[Product]]&amp;", "&amp;Inschrijf_MKI_Totaal[[#Headers],[A5]],Database_Productkaarten[#All],14,FALSE),0)*Optimalisatie!J19)),0)</f>
        <v>0</v>
      </c>
      <c r="J17" s="9"/>
      <c r="K17" s="9">
        <f>(IF(Optimalisatie!C19="Nieuwe Situatie",_xlfn.IFNA(SUM(Inschrijf_MKI_Totaal[[#This Row],[A1]:[B1]],Inschrijf_MKI_Totaal[[#This Row],[C1]:[D2]])*Optimalisatie!T19,0),0))</f>
        <v>0</v>
      </c>
      <c r="L17" s="9">
        <f>IF(Optimalisatie!C19="Bestaande situatie",IF(_xlfn.IFNA((VLOOKUP(Optimalisatie!AA19,Database_Asfalt_Verwijderset[#All],7,FALSE)*Optimalisatie!J19),0)+_xlfn.IFNA(VLOOKUP(Optimalisatie!AB19,Database_Brandstoffen[#All],7,FALSE)*((Optimalisatie!J19/Optimalisatie!AD19)*Optimalisatie!AC19),0)&gt;0,_xlfn.IFNA((VLOOKUP(Optimalisatie!AA19,Database_Asfalt_Verwijderset[#All],7,FALSE)*Optimalisatie!J19),0)+_xlfn.IFNA(VLOOKUP(Optimalisatie!AB19,Database_Brandstoffen[#All],7,FALSE)*((Optimalisatie!J19/Optimalisatie!AD19)*Optimalisatie!AC19),0),(_xlfn.IFNA(VLOOKUP(Inschrijf_MKI_Totaal[[#This Row],[Product]]&amp;", "&amp;Inschrijf_MKI_Totaal[[#Headers],[C1]],Database_Productkaarten[#All],14,FALSE),0)*Optimalisatie!J19)),0)</f>
        <v>1564.3874987999998</v>
      </c>
      <c r="M17" s="9">
        <f>(IF(Optimalisatie!C19="Bestaande Situatie",_xlfn.IFNA(VLOOKUP(Optimalisatie!AF19,Database_Transport[#All],7,FALSE)*(Optimalisatie!R19*Optimalisatie!AE19),Baseline_Backlog!M17),0))</f>
        <v>1320.4052674312502</v>
      </c>
      <c r="N17" s="9">
        <f>(IF(Optimalisatie!C19="Bestaande Situatie",_xlfn.IFNA(VLOOKUP(Optimalisatie!AG19,Database_Asfalt_Verwerkingsset[#All],7,FALSE)*(Optimalisatie!J19/VLOOKUP(Optimalisatie!AG19,Database_Asfalt_Verwerkingsset[#All],8,FALSE)),Baseline_Backlog!N17),0))</f>
        <v>0</v>
      </c>
      <c r="O17" s="9">
        <f>(IF(Optimalisatie!C19="Bestaande Situatie",_xlfn.IFNA(VLOOKUP(Inschrijf_MKI_Totaal[[#This Row],[Product]]&amp;", "&amp;Inschrijf_MKI_Totaal[[#Headers],[C4]],Database_Productkaarten[#All],14,FALSE),Baseline_Backlog!O17)*Optimalisatie!J19,0))</f>
        <v>228.31200000000001</v>
      </c>
      <c r="P17" s="9">
        <f>(IF(Optimalisatie!C19="Bestaande Situatie",_xlfn.IFNA(IF(Optimalisatie!E19="Categorie_1_LCA_Producten",VLOOKUP(Inschrijf_MKI_Totaal[[#This Row],[Product]],Categorie_1_Producten[#All],12,FALSE)*(Optimalisatie!J19),VLOOKUP(Inschrijf_MKI_Totaal[[#This Row],[Product]]&amp;", "&amp;Inschrijf_MKI_Totaal[[#Headers],[D1]],Database_Productkaarten[#All],14,FALSE)*Optimalisatie!J19),Baseline_Backlog!P17),0))</f>
        <v>0</v>
      </c>
      <c r="Q17" s="9">
        <f>(IF(Optimalisatie!C19="Bestaande Situatie",_xlfn.IFNA(IF(Optimalisatie!E19="Categorie_1_LCA_Producten",VLOOKUP(Inschrijf_MKI_Totaal[[#This Row],[Product]],Categorie_1_Producten[#All],13,FALSE)*(Optimalisatie!J19),VLOOKUP(Inschrijf_MKI_Totaal[[#This Row],[Product]]&amp;", "&amp;Inschrijf_MKI_Totaal[[#Headers],[D2]],Database_Productkaarten[#All],14,FALSE)*Optimalisatie!J19),Baseline_Backlog!Q17),0))</f>
        <v>0</v>
      </c>
      <c r="R17" s="9">
        <f>(IF(Optimalisatie!C19="Bestaande Situatie",_xlfn.IFNA(IF(Optimalisatie!E19="Categorie_1_LCA_Producten",VLOOKUP(Inschrijf_MKI_Totaal[[#This Row],[Product]],Categorie_1_Producten[#All],13,FALSE)*(Optimalisatie!J19),VLOOKUP(Inschrijf_MKI_Totaal[[#This Row],[Product]]&amp;", "&amp;Inschrijf_MKI_Totaal[[#Headers],[D]],Database_Productkaarten[#All],14,FALSE)*Optimalisatie!J19),Baseline_Backlog!S17),0))</f>
        <v>0</v>
      </c>
      <c r="S17" s="301">
        <f>SUM(Inschrijf_MKI_Totaal[[#This Row],[A1-A3]:[C4]])+Inschrijf_MKI_Totaal[[#This Row],[D]]</f>
        <v>3113.1047662312499</v>
      </c>
      <c r="AA17" s="9">
        <f>_xlfn.IFNA((VLOOKUP(Optimalisatie!AA19,Database_Asfalt_Verwijderset[#All],7,FALSE)*Optimalisatie!J19),0)</f>
        <v>0</v>
      </c>
      <c r="AB17" s="9">
        <f>_xlfn.IFNA(VLOOKUP(Optimalisatie!AB19,Database_Overig_Materieel[#All],7,FALSE)*(Optimalisatie!J19/Optimalisatie!AD19),0)</f>
        <v>0</v>
      </c>
      <c r="AC17" s="332">
        <f>(_xlfn.IFNA(VLOOKUP(Inschrijf_MKI_Totaal[[#This Row],[Product]]&amp;", "&amp;Inschrijf_MKI_Totaal[[#Headers],[C1]],Database_Productkaarten[#All],14,FALSE),0)*Optimalisatie!J19)</f>
        <v>1359.288</v>
      </c>
    </row>
    <row r="18" spans="2:29">
      <c r="B18" s="272" t="str">
        <f>Optimalisatie!B20</f>
        <v>210030 - Grond ontgraven uit plantvak</v>
      </c>
      <c r="C18" s="9" t="str">
        <f>Optimalisatie!F20</f>
        <v>Ophoogmateriaal (Grond)</v>
      </c>
      <c r="D18" s="9">
        <f>(IF(Optimalisatie!C20="Nieuwe Situatie",_xlfn.IFNA(IF(Optimalisatie!E20="Categorie_1_LCA_Producten",VLOOKUP(Inschrijf_MKI_Totaal[[#This Row],[Product]],Categorie_1_Producten[#All],8,FALSE)*(Optimalisatie!J20),VLOOKUP(Inschrijf_MKI_Totaal[[#This Row],[Product]]&amp;", "&amp;Inschrijf_MKI_Totaal[[#Headers],[A1]],Database_Productkaarten[#All],14,FALSE)*Optimalisatie!J20),Baseline_Backlog!D18),0))</f>
        <v>0</v>
      </c>
      <c r="E18" s="9">
        <f>(IF(Optimalisatie!C20="Nieuwe Situatie",_xlfn.IFNA(IF(Optimalisatie!E20="Categorie_1_LCA_Producten",VLOOKUP(Inschrijf_MKI_Totaal[[#This Row],[Product]],Categorie_1_Producten[#All],9,FALSE)*(Optimalisatie!J20),VLOOKUP(Inschrijf_MKI_Totaal[[#This Row],[Product]]&amp;", "&amp;Inschrijf_MKI_Totaal[[#Headers],[A2]],Database_Productkaarten[#All],14,FALSE)*Optimalisatie!J20),Baseline_Backlog!E18),0))</f>
        <v>0</v>
      </c>
      <c r="F18" s="9">
        <f>(IF(Optimalisatie!C20="Nieuwe Situatie",_xlfn.IFNA(IF(Optimalisatie!E20="Categorie_1_LCA_Producten",VLOOKUP(Inschrijf_MKI_Totaal[[#This Row],[Product]],Categorie_1_Producten[#All],10,FALSE)*(Optimalisatie!J20),VLOOKUP(Inschrijf_MKI_Totaal[[#This Row],[Product]]&amp;", "&amp;Inschrijf_MKI_Totaal[[#Headers],[A3]],Database_Productkaarten[#All],14,FALSE)*Optimalisatie!J20),Baseline_Backlog!F18),0))</f>
        <v>0</v>
      </c>
      <c r="G18" s="9">
        <f>(IF(Optimalisatie!C20="Nieuwe Situatie",_xlfn.IFNA(IF(Optimalisatie!E20="Categorie_1_LCA_Producten",VLOOKUP(Inschrijf_MKI_Totaal[[#This Row],[Product]],Categorie_1_Producten[#All],11,FALSE)*(Optimalisatie!J20),VLOOKUP(Inschrijf_MKI_Totaal[[#This Row],[Product]]&amp;", "&amp;Inschrijf_MKI_Totaal[[#Headers],[A1-A3]],Database_Productkaarten[#All],14,FALSE)*Optimalisatie!J20),Baseline_Backlog!G18),0))</f>
        <v>0</v>
      </c>
      <c r="H18" s="9">
        <f>(IF(Optimalisatie!C20="Nieuwe Situatie",_xlfn.IFNA(VLOOKUP(Optimalisatie!V20,Database_Transport[#All],7,FALSE)*((IF(Optimalisatie!R20=0,Baseline!Q20,Optimalisatie!R20))*Optimalisatie!U20),Baseline_Backlog!H18),0))</f>
        <v>0</v>
      </c>
      <c r="I18" s="9">
        <f>IF(Optimalisatie!C20="Nieuwe situatie",IF(_xlfn.IFNA((VLOOKUP(Optimalisatie!W20,Database_Asfalt_Aanlegset[#All],7,FALSE)*Optimalisatie!J20),0)+_xlfn.IFNA(VLOOKUP(Optimalisatie!X20,Database_Brandstoffen[#All],7,FALSE)*((Optimalisatie!J20/Optimalisatie!Z20)*Optimalisatie!Y20),0)&gt;0,_xlfn.IFNA((VLOOKUP(Optimalisatie!W20,Database_Asfalt_Aanlegset[#All],7,FALSE)*Optimalisatie!J20),0)+_xlfn.IFNA(VLOOKUP(Optimalisatie!X20,Database_Brandstoffen[#All],7,FALSE)*((Optimalisatie!J20/Optimalisatie!Z20)*Optimalisatie!Y20),0),(_xlfn.IFNA(VLOOKUP(Inschrijf_MKI_Totaal[[#This Row],[Product]]&amp;", "&amp;Inschrijf_MKI_Totaal[[#Headers],[A5]],Database_Productkaarten[#All],14,FALSE),0)*Optimalisatie!J20)),0)</f>
        <v>0</v>
      </c>
      <c r="J18" s="9"/>
      <c r="K18" s="9">
        <f>(IF(Optimalisatie!C20="Nieuwe Situatie",_xlfn.IFNA(SUM(Inschrijf_MKI_Totaal[[#This Row],[A1]:[B1]],Inschrijf_MKI_Totaal[[#This Row],[C1]:[D2]])*Optimalisatie!T20,0),0))</f>
        <v>0</v>
      </c>
      <c r="L18" s="9">
        <f>IF(Optimalisatie!C20="Bestaande situatie",IF(_xlfn.IFNA((VLOOKUP(Optimalisatie!AA20,Database_Asfalt_Verwijderset[#All],7,FALSE)*Optimalisatie!J20),0)+_xlfn.IFNA(VLOOKUP(Optimalisatie!AB20,Database_Brandstoffen[#All],7,FALSE)*((Optimalisatie!J20/Optimalisatie!AD20)*Optimalisatie!AC20),0)&gt;0,_xlfn.IFNA((VLOOKUP(Optimalisatie!AA20,Database_Asfalt_Verwijderset[#All],7,FALSE)*Optimalisatie!J20),0)+_xlfn.IFNA(VLOOKUP(Optimalisatie!AB20,Database_Brandstoffen[#All],7,FALSE)*((Optimalisatie!J20/Optimalisatie!AD20)*Optimalisatie!AC20),0),(_xlfn.IFNA(VLOOKUP(Inschrijf_MKI_Totaal[[#This Row],[Product]]&amp;", "&amp;Inschrijf_MKI_Totaal[[#Headers],[C1]],Database_Productkaarten[#All],14,FALSE),0)*Optimalisatie!J20)),0)</f>
        <v>387.70322986133328</v>
      </c>
      <c r="M18" s="9">
        <f>(IF(Optimalisatie!C20="Bestaande Situatie",_xlfn.IFNA(VLOOKUP(Optimalisatie!AF20,Database_Transport[#All],7,FALSE)*(Optimalisatie!R20*Optimalisatie!AE20),Baseline_Backlog!M18),0))</f>
        <v>1308.9477825710001</v>
      </c>
      <c r="N18" s="9">
        <f>(IF(Optimalisatie!C20="Bestaande Situatie",_xlfn.IFNA(VLOOKUP(Optimalisatie!AG20,Database_Asfalt_Verwerkingsset[#All],7,FALSE)*(Optimalisatie!J20/VLOOKUP(Optimalisatie!AG20,Database_Asfalt_Verwerkingsset[#All],8,FALSE)),Baseline_Backlog!N18),0))</f>
        <v>0</v>
      </c>
      <c r="O18" s="9">
        <f>(IF(Optimalisatie!C20="Bestaande Situatie",_xlfn.IFNA(VLOOKUP(Inschrijf_MKI_Totaal[[#This Row],[Product]]&amp;", "&amp;Inschrijf_MKI_Totaal[[#Headers],[C4]],Database_Productkaarten[#All],14,FALSE),Baseline_Backlog!O18)*Optimalisatie!J20,0))</f>
        <v>56.582720000000002</v>
      </c>
      <c r="P18" s="9">
        <f>(IF(Optimalisatie!C20="Bestaande Situatie",_xlfn.IFNA(IF(Optimalisatie!E20="Categorie_1_LCA_Producten",VLOOKUP(Inschrijf_MKI_Totaal[[#This Row],[Product]],Categorie_1_Producten[#All],12,FALSE)*(Optimalisatie!J20),VLOOKUP(Inschrijf_MKI_Totaal[[#This Row],[Product]]&amp;", "&amp;Inschrijf_MKI_Totaal[[#Headers],[D1]],Database_Productkaarten[#All],14,FALSE)*Optimalisatie!J20),Baseline_Backlog!P18),0))</f>
        <v>0</v>
      </c>
      <c r="Q18" s="9">
        <f>(IF(Optimalisatie!C20="Bestaande Situatie",_xlfn.IFNA(IF(Optimalisatie!E20="Categorie_1_LCA_Producten",VLOOKUP(Inschrijf_MKI_Totaal[[#This Row],[Product]],Categorie_1_Producten[#All],13,FALSE)*(Optimalisatie!J20),VLOOKUP(Inschrijf_MKI_Totaal[[#This Row],[Product]]&amp;", "&amp;Inschrijf_MKI_Totaal[[#Headers],[D2]],Database_Productkaarten[#All],14,FALSE)*Optimalisatie!J20),Baseline_Backlog!Q18),0))</f>
        <v>0</v>
      </c>
      <c r="R18" s="9">
        <f>(IF(Optimalisatie!C20="Bestaande Situatie",_xlfn.IFNA(IF(Optimalisatie!E20="Categorie_1_LCA_Producten",VLOOKUP(Inschrijf_MKI_Totaal[[#This Row],[Product]],Categorie_1_Producten[#All],13,FALSE)*(Optimalisatie!J20),VLOOKUP(Inschrijf_MKI_Totaal[[#This Row],[Product]]&amp;", "&amp;Inschrijf_MKI_Totaal[[#Headers],[D]],Database_Productkaarten[#All],14,FALSE)*Optimalisatie!J20),Baseline_Backlog!S18),0))</f>
        <v>0</v>
      </c>
      <c r="S18" s="301">
        <f>SUM(Inschrijf_MKI_Totaal[[#This Row],[A1-A3]:[C4]])+Inschrijf_MKI_Totaal[[#This Row],[D]]</f>
        <v>1753.2337324323335</v>
      </c>
      <c r="AA18" s="9">
        <f>_xlfn.IFNA((VLOOKUP(Optimalisatie!AA20,Database_Asfalt_Verwijderset[#All],7,FALSE)*Optimalisatie!J20),0)</f>
        <v>0</v>
      </c>
      <c r="AB18" s="9">
        <f>_xlfn.IFNA(VLOOKUP(Optimalisatie!AB20,Database_Overig_Materieel[#All],7,FALSE)*(Optimalisatie!J20/Optimalisatie!AD20),0)</f>
        <v>0</v>
      </c>
      <c r="AC18" s="332">
        <f>(_xlfn.IFNA(VLOOKUP(Inschrijf_MKI_Totaal[[#This Row],[Product]]&amp;", "&amp;Inschrijf_MKI_Totaal[[#Headers],[C1]],Database_Productkaarten[#All],14,FALSE),0)*Optimalisatie!J20)</f>
        <v>336.87327999999997</v>
      </c>
    </row>
    <row r="19" spans="2:29">
      <c r="B19" s="272" t="str">
        <f>Optimalisatie!B21</f>
        <v>220010 - Grond verwerken in sleuf riolering</v>
      </c>
      <c r="C19" s="9" t="str">
        <f>Optimalisatie!F21</f>
        <v>Ophoogmateriaal (Grond)</v>
      </c>
      <c r="D19" s="9">
        <f>(IF(Optimalisatie!C21="Nieuwe Situatie",_xlfn.IFNA(IF(Optimalisatie!E21="Categorie_1_LCA_Producten",VLOOKUP(Inschrijf_MKI_Totaal[[#This Row],[Product]],Categorie_1_Producten[#All],8,FALSE)*(Optimalisatie!J21),VLOOKUP(Inschrijf_MKI_Totaal[[#This Row],[Product]]&amp;", "&amp;Inschrijf_MKI_Totaal[[#Headers],[A1]],Database_Productkaarten[#All],14,FALSE)*Optimalisatie!J21),Baseline_Backlog!D19),0))</f>
        <v>0</v>
      </c>
      <c r="E19" s="9">
        <f>(IF(Optimalisatie!C21="Nieuwe Situatie",_xlfn.IFNA(IF(Optimalisatie!E21="Categorie_1_LCA_Producten",VLOOKUP(Inschrijf_MKI_Totaal[[#This Row],[Product]],Categorie_1_Producten[#All],9,FALSE)*(Optimalisatie!J21),VLOOKUP(Inschrijf_MKI_Totaal[[#This Row],[Product]]&amp;", "&amp;Inschrijf_MKI_Totaal[[#Headers],[A2]],Database_Productkaarten[#All],14,FALSE)*Optimalisatie!J21),Baseline_Backlog!E19),0))</f>
        <v>0</v>
      </c>
      <c r="F19" s="9">
        <f>(IF(Optimalisatie!C21="Nieuwe Situatie",_xlfn.IFNA(IF(Optimalisatie!E21="Categorie_1_LCA_Producten",VLOOKUP(Inschrijf_MKI_Totaal[[#This Row],[Product]],Categorie_1_Producten[#All],10,FALSE)*(Optimalisatie!J21),VLOOKUP(Inschrijf_MKI_Totaal[[#This Row],[Product]]&amp;", "&amp;Inschrijf_MKI_Totaal[[#Headers],[A3]],Database_Productkaarten[#All],14,FALSE)*Optimalisatie!J21),Baseline_Backlog!F19),0))</f>
        <v>0</v>
      </c>
      <c r="G19" s="9">
        <f>(IF(Optimalisatie!C21="Nieuwe Situatie",_xlfn.IFNA(IF(Optimalisatie!E21="Categorie_1_LCA_Producten",VLOOKUP(Inschrijf_MKI_Totaal[[#This Row],[Product]],Categorie_1_Producten[#All],11,FALSE)*(Optimalisatie!J21),VLOOKUP(Inschrijf_MKI_Totaal[[#This Row],[Product]]&amp;", "&amp;Inschrijf_MKI_Totaal[[#Headers],[A1-A3]],Database_Productkaarten[#All],14,FALSE)*Optimalisatie!J21),Baseline_Backlog!G19),0))</f>
        <v>0</v>
      </c>
      <c r="H19" s="9">
        <f>(IF(Optimalisatie!C21="Nieuwe Situatie",_xlfn.IFNA(VLOOKUP(Optimalisatie!V21,Database_Transport[#All],7,FALSE)*((IF(Optimalisatie!R21=0,Baseline!Q21,Optimalisatie!R21))*Optimalisatie!U21),Baseline_Backlog!H19),0))</f>
        <v>1320.4052674312502</v>
      </c>
      <c r="I19" s="9">
        <f>IF(Optimalisatie!C21="Nieuwe situatie",IF(_xlfn.IFNA((VLOOKUP(Optimalisatie!W21,Database_Asfalt_Aanlegset[#All],7,FALSE)*Optimalisatie!J21),0)+_xlfn.IFNA(VLOOKUP(Optimalisatie!X21,Database_Brandstoffen[#All],7,FALSE)*((Optimalisatie!J21/Optimalisatie!Z21)*Optimalisatie!Y21),0)&gt;0,_xlfn.IFNA((VLOOKUP(Optimalisatie!W21,Database_Asfalt_Aanlegset[#All],7,FALSE)*Optimalisatie!J21),0)+_xlfn.IFNA(VLOOKUP(Optimalisatie!X21,Database_Brandstoffen[#All],7,FALSE)*((Optimalisatie!J21/Optimalisatie!Z21)*Optimalisatie!Y21),0),(_xlfn.IFNA(VLOOKUP(Inschrijf_MKI_Totaal[[#This Row],[Product]]&amp;", "&amp;Inschrijf_MKI_Totaal[[#Headers],[A5]],Database_Productkaarten[#All],14,FALSE),0)*Optimalisatie!J21)),0)</f>
        <v>3379.4929350000002</v>
      </c>
      <c r="J19" s="9"/>
      <c r="K19" s="9">
        <f>(IF(Optimalisatie!C21="Nieuwe Situatie",_xlfn.IFNA(SUM(Inschrijf_MKI_Totaal[[#This Row],[A1]:[B1]],Inschrijf_MKI_Totaal[[#This Row],[C1]:[D2]])*Optimalisatie!T21,0),0))</f>
        <v>0</v>
      </c>
      <c r="L19" s="9">
        <f>IF(Optimalisatie!C21="Bestaande situatie",IF(_xlfn.IFNA((VLOOKUP(Optimalisatie!AA21,Database_Asfalt_Verwijderset[#All],7,FALSE)*Optimalisatie!J21),0)+_xlfn.IFNA(VLOOKUP(Optimalisatie!AB21,Database_Brandstoffen[#All],7,FALSE)*((Optimalisatie!J21/Optimalisatie!AD21)*Optimalisatie!AC21),0)&gt;0,_xlfn.IFNA((VLOOKUP(Optimalisatie!AA21,Database_Asfalt_Verwijderset[#All],7,FALSE)*Optimalisatie!J21),0)+_xlfn.IFNA(VLOOKUP(Optimalisatie!AB21,Database_Brandstoffen[#All],7,FALSE)*((Optimalisatie!J21/Optimalisatie!AD21)*Optimalisatie!AC21),0),(_xlfn.IFNA(VLOOKUP(Inschrijf_MKI_Totaal[[#This Row],[Product]]&amp;", "&amp;Inschrijf_MKI_Totaal[[#Headers],[C1]],Database_Productkaarten[#All],14,FALSE),0)*Optimalisatie!J21)),0)</f>
        <v>0</v>
      </c>
      <c r="M19" s="9">
        <f>(IF(Optimalisatie!C21="Bestaande Situatie",_xlfn.IFNA(VLOOKUP(Optimalisatie!AF21,Database_Transport[#All],7,FALSE)*(Optimalisatie!R21*Optimalisatie!AE21),Baseline_Backlog!M19),0))</f>
        <v>0</v>
      </c>
      <c r="N19" s="9">
        <f>(IF(Optimalisatie!C21="Bestaande Situatie",_xlfn.IFNA(VLOOKUP(Optimalisatie!AG21,Database_Asfalt_Verwerkingsset[#All],7,FALSE)*(Optimalisatie!J21/VLOOKUP(Optimalisatie!AG21,Database_Asfalt_Verwerkingsset[#All],8,FALSE)),Baseline_Backlog!N19),0))</f>
        <v>0</v>
      </c>
      <c r="O19" s="9">
        <f>(IF(Optimalisatie!C21="Bestaande Situatie",_xlfn.IFNA(VLOOKUP(Inschrijf_MKI_Totaal[[#This Row],[Product]]&amp;", "&amp;Inschrijf_MKI_Totaal[[#Headers],[C4]],Database_Productkaarten[#All],14,FALSE),Baseline_Backlog!O19)*Optimalisatie!J21,0))</f>
        <v>0</v>
      </c>
      <c r="P19" s="9">
        <f>(IF(Optimalisatie!C21="Bestaande Situatie",_xlfn.IFNA(IF(Optimalisatie!E21="Categorie_1_LCA_Producten",VLOOKUP(Inschrijf_MKI_Totaal[[#This Row],[Product]],Categorie_1_Producten[#All],12,FALSE)*(Optimalisatie!J21),VLOOKUP(Inschrijf_MKI_Totaal[[#This Row],[Product]]&amp;", "&amp;Inschrijf_MKI_Totaal[[#Headers],[D1]],Database_Productkaarten[#All],14,FALSE)*Optimalisatie!J21),Baseline_Backlog!P19),0))</f>
        <v>0</v>
      </c>
      <c r="Q19" s="9">
        <f>(IF(Optimalisatie!C21="Bestaande Situatie",_xlfn.IFNA(IF(Optimalisatie!E21="Categorie_1_LCA_Producten",VLOOKUP(Inschrijf_MKI_Totaal[[#This Row],[Product]],Categorie_1_Producten[#All],13,FALSE)*(Optimalisatie!J21),VLOOKUP(Inschrijf_MKI_Totaal[[#This Row],[Product]]&amp;", "&amp;Inschrijf_MKI_Totaal[[#Headers],[D2]],Database_Productkaarten[#All],14,FALSE)*Optimalisatie!J21),Baseline_Backlog!Q19),0))</f>
        <v>0</v>
      </c>
      <c r="R19" s="9">
        <f>(IF(Optimalisatie!C21="Bestaande Situatie",_xlfn.IFNA(IF(Optimalisatie!E21="Categorie_1_LCA_Producten",VLOOKUP(Inschrijf_MKI_Totaal[[#This Row],[Product]],Categorie_1_Producten[#All],13,FALSE)*(Optimalisatie!J21),VLOOKUP(Inschrijf_MKI_Totaal[[#This Row],[Product]]&amp;", "&amp;Inschrijf_MKI_Totaal[[#Headers],[D]],Database_Productkaarten[#All],14,FALSE)*Optimalisatie!J21),Baseline_Backlog!S19),0))</f>
        <v>0</v>
      </c>
      <c r="S19" s="301">
        <f>SUM(Inschrijf_MKI_Totaal[[#This Row],[A1-A3]:[C4]])+Inschrijf_MKI_Totaal[[#This Row],[D]]</f>
        <v>4699.89820243125</v>
      </c>
      <c r="AA19" s="9">
        <f>_xlfn.IFNA((VLOOKUP(Optimalisatie!AA21,Database_Asfalt_Verwijderset[#All],7,FALSE)*Optimalisatie!J21),0)</f>
        <v>0</v>
      </c>
      <c r="AB19" s="9">
        <f>_xlfn.IFNA(VLOOKUP(Optimalisatie!AB21,Database_Overig_Materieel[#All],7,FALSE)*(Optimalisatie!J21/Optimalisatie!AD21),0)</f>
        <v>0</v>
      </c>
      <c r="AC19" s="332">
        <f>(_xlfn.IFNA(VLOOKUP(Inschrijf_MKI_Totaal[[#This Row],[Product]]&amp;", "&amp;Inschrijf_MKI_Totaal[[#Headers],[C1]],Database_Productkaarten[#All],14,FALSE),0)*Optimalisatie!J21)</f>
        <v>1359.288</v>
      </c>
    </row>
    <row r="20" spans="2:29">
      <c r="B20" s="272" t="str">
        <f>Optimalisatie!B22</f>
        <v>220020 - Leveren en aanbrengen zand voor zand (gemiddeld 100 mm)</v>
      </c>
      <c r="C20" s="9" t="str">
        <f>Optimalisatie!F22</f>
        <v>Ophoogmateriaal (Zand)</v>
      </c>
      <c r="D20" s="9">
        <f>(IF(Optimalisatie!C22="Nieuwe Situatie",_xlfn.IFNA(IF(Optimalisatie!E22="Categorie_1_LCA_Producten",VLOOKUP(Inschrijf_MKI_Totaal[[#This Row],[Product]],Categorie_1_Producten[#All],8,FALSE)*(Optimalisatie!J22),VLOOKUP(Inschrijf_MKI_Totaal[[#This Row],[Product]]&amp;", "&amp;Inschrijf_MKI_Totaal[[#Headers],[A1]],Database_Productkaarten[#All],14,FALSE)*Optimalisatie!J22),Baseline_Backlog!D20),0))</f>
        <v>0</v>
      </c>
      <c r="E20" s="9">
        <f>(IF(Optimalisatie!C22="Nieuwe Situatie",_xlfn.IFNA(IF(Optimalisatie!E22="Categorie_1_LCA_Producten",VLOOKUP(Inschrijf_MKI_Totaal[[#This Row],[Product]],Categorie_1_Producten[#All],9,FALSE)*(Optimalisatie!J22),VLOOKUP(Inschrijf_MKI_Totaal[[#This Row],[Product]]&amp;", "&amp;Inschrijf_MKI_Totaal[[#Headers],[A2]],Database_Productkaarten[#All],14,FALSE)*Optimalisatie!J22),Baseline_Backlog!E20),0))</f>
        <v>0</v>
      </c>
      <c r="F20" s="9">
        <f>(IF(Optimalisatie!C22="Nieuwe Situatie",_xlfn.IFNA(IF(Optimalisatie!E22="Categorie_1_LCA_Producten",VLOOKUP(Inschrijf_MKI_Totaal[[#This Row],[Product]],Categorie_1_Producten[#All],10,FALSE)*(Optimalisatie!J22),VLOOKUP(Inschrijf_MKI_Totaal[[#This Row],[Product]]&amp;", "&amp;Inschrijf_MKI_Totaal[[#Headers],[A3]],Database_Productkaarten[#All],14,FALSE)*Optimalisatie!J22),Baseline_Backlog!F20),0))</f>
        <v>0</v>
      </c>
      <c r="G20" s="9">
        <f>(IF(Optimalisatie!C22="Nieuwe Situatie",_xlfn.IFNA(IF(Optimalisatie!E22="Categorie_1_LCA_Producten",VLOOKUP(Inschrijf_MKI_Totaal[[#This Row],[Product]],Categorie_1_Producten[#All],11,FALSE)*(Optimalisatie!J22),VLOOKUP(Inschrijf_MKI_Totaal[[#This Row],[Product]]&amp;", "&amp;Inschrijf_MKI_Totaal[[#Headers],[A1-A3]],Database_Productkaarten[#All],14,FALSE)*Optimalisatie!J22),Baseline_Backlog!G20),0))</f>
        <v>5493.9290000000001</v>
      </c>
      <c r="H20" s="9">
        <f>(IF(Optimalisatie!C22="Nieuwe Situatie",_xlfn.IFNA(VLOOKUP(Optimalisatie!V22,Database_Transport[#All],7,FALSE)*((IF(Optimalisatie!R22=0,Baseline!Q22,Optimalisatie!R22))*Optimalisatie!U22),Baseline_Backlog!H20),0))</f>
        <v>631.98884595000004</v>
      </c>
      <c r="I20" s="9">
        <f>IF(Optimalisatie!C22="Nieuwe situatie",IF(_xlfn.IFNA((VLOOKUP(Optimalisatie!W22,Database_Asfalt_Aanlegset[#All],7,FALSE)*Optimalisatie!J22),0)+_xlfn.IFNA(VLOOKUP(Optimalisatie!X22,Database_Brandstoffen[#All],7,FALSE)*((Optimalisatie!J22/Optimalisatie!Z22)*Optimalisatie!Y22),0)&gt;0,_xlfn.IFNA((VLOOKUP(Optimalisatie!W22,Database_Asfalt_Aanlegset[#All],7,FALSE)*Optimalisatie!J22),0)+_xlfn.IFNA(VLOOKUP(Optimalisatie!X22,Database_Brandstoffen[#All],7,FALSE)*((Optimalisatie!J22/Optimalisatie!Z22)*Optimalisatie!Y22),0),(_xlfn.IFNA(VLOOKUP(Inschrijf_MKI_Totaal[[#This Row],[Product]]&amp;", "&amp;Inschrijf_MKI_Totaal[[#Headers],[A5]],Database_Productkaarten[#All],14,FALSE),0)*Optimalisatie!J22)),0)</f>
        <v>521.71925120000003</v>
      </c>
      <c r="J20" s="9"/>
      <c r="K20" s="9">
        <f>(IF(Optimalisatie!C22="Nieuwe Situatie",_xlfn.IFNA(SUM(Inschrijf_MKI_Totaal[[#This Row],[A1]:[B1]],Inschrijf_MKI_Totaal[[#This Row],[C1]:[D2]])*Optimalisatie!T22,0),0))</f>
        <v>0</v>
      </c>
      <c r="L20" s="9">
        <f>IF(Optimalisatie!C22="Bestaande situatie",IF(_xlfn.IFNA((VLOOKUP(Optimalisatie!AA22,Database_Asfalt_Verwijderset[#All],7,FALSE)*Optimalisatie!J22),0)+_xlfn.IFNA(VLOOKUP(Optimalisatie!AB22,Database_Brandstoffen[#All],7,FALSE)*((Optimalisatie!J22/Optimalisatie!AD22)*Optimalisatie!AC22),0)&gt;0,_xlfn.IFNA((VLOOKUP(Optimalisatie!AA22,Database_Asfalt_Verwijderset[#All],7,FALSE)*Optimalisatie!J22),0)+_xlfn.IFNA(VLOOKUP(Optimalisatie!AB22,Database_Brandstoffen[#All],7,FALSE)*((Optimalisatie!J22/Optimalisatie!AD22)*Optimalisatie!AC22),0),(_xlfn.IFNA(VLOOKUP(Inschrijf_MKI_Totaal[[#This Row],[Product]]&amp;", "&amp;Inschrijf_MKI_Totaal[[#Headers],[C1]],Database_Productkaarten[#All],14,FALSE),0)*Optimalisatie!J22)),0)</f>
        <v>0</v>
      </c>
      <c r="M20" s="9">
        <f>(IF(Optimalisatie!C22="Bestaande Situatie",_xlfn.IFNA(VLOOKUP(Optimalisatie!AF22,Database_Transport[#All],7,FALSE)*(Optimalisatie!R22*Optimalisatie!AE22),Baseline_Backlog!M20),0))</f>
        <v>0</v>
      </c>
      <c r="N20" s="9">
        <f>(IF(Optimalisatie!C22="Bestaande Situatie",_xlfn.IFNA(VLOOKUP(Optimalisatie!AG22,Database_Asfalt_Verwerkingsset[#All],7,FALSE)*(Optimalisatie!J22/VLOOKUP(Optimalisatie!AG22,Database_Asfalt_Verwerkingsset[#All],8,FALSE)),Baseline_Backlog!N20),0))</f>
        <v>0</v>
      </c>
      <c r="O20" s="9">
        <f>(IF(Optimalisatie!C22="Bestaande Situatie",_xlfn.IFNA(VLOOKUP(Inschrijf_MKI_Totaal[[#This Row],[Product]]&amp;", "&amp;Inschrijf_MKI_Totaal[[#Headers],[C4]],Database_Productkaarten[#All],14,FALSE),Baseline_Backlog!O20)*Optimalisatie!J22,0))</f>
        <v>0</v>
      </c>
      <c r="P20" s="9">
        <f>(IF(Optimalisatie!C22="Bestaande Situatie",_xlfn.IFNA(IF(Optimalisatie!E22="Categorie_1_LCA_Producten",VLOOKUP(Inschrijf_MKI_Totaal[[#This Row],[Product]],Categorie_1_Producten[#All],12,FALSE)*(Optimalisatie!J22),VLOOKUP(Inschrijf_MKI_Totaal[[#This Row],[Product]]&amp;", "&amp;Inschrijf_MKI_Totaal[[#Headers],[D1]],Database_Productkaarten[#All],14,FALSE)*Optimalisatie!J22),Baseline_Backlog!P20),0))</f>
        <v>0</v>
      </c>
      <c r="Q20" s="9">
        <f>(IF(Optimalisatie!C22="Bestaande Situatie",_xlfn.IFNA(IF(Optimalisatie!E22="Categorie_1_LCA_Producten",VLOOKUP(Inschrijf_MKI_Totaal[[#This Row],[Product]],Categorie_1_Producten[#All],13,FALSE)*(Optimalisatie!J22),VLOOKUP(Inschrijf_MKI_Totaal[[#This Row],[Product]]&amp;", "&amp;Inschrijf_MKI_Totaal[[#Headers],[D2]],Database_Productkaarten[#All],14,FALSE)*Optimalisatie!J22),Baseline_Backlog!Q20),0))</f>
        <v>0</v>
      </c>
      <c r="R20" s="9">
        <f>(IF(Optimalisatie!C22="Bestaande Situatie",_xlfn.IFNA(IF(Optimalisatie!E22="Categorie_1_LCA_Producten",VLOOKUP(Inschrijf_MKI_Totaal[[#This Row],[Product]],Categorie_1_Producten[#All],13,FALSE)*(Optimalisatie!J22),VLOOKUP(Inschrijf_MKI_Totaal[[#This Row],[Product]]&amp;", "&amp;Inschrijf_MKI_Totaal[[#Headers],[D]],Database_Productkaarten[#All],14,FALSE)*Optimalisatie!J22),Baseline_Backlog!S20),0))</f>
        <v>0</v>
      </c>
      <c r="S20" s="301">
        <f>SUM(Inschrijf_MKI_Totaal[[#This Row],[A1-A3]:[C4]])+Inschrijf_MKI_Totaal[[#This Row],[D]]</f>
        <v>6647.63709715</v>
      </c>
      <c r="AA20" s="9">
        <f>_xlfn.IFNA((VLOOKUP(Optimalisatie!AA22,Database_Asfalt_Verwijderset[#All],7,FALSE)*Optimalisatie!J22),0)</f>
        <v>0</v>
      </c>
      <c r="AB20" s="9">
        <f>_xlfn.IFNA(VLOOKUP(Optimalisatie!AB22,Database_Overig_Materieel[#All],7,FALSE)*(Optimalisatie!J22/Optimalisatie!AD22),0)</f>
        <v>0</v>
      </c>
      <c r="AC20" s="332">
        <f>(_xlfn.IFNA(VLOOKUP(Inschrijf_MKI_Totaal[[#This Row],[Product]]&amp;", "&amp;Inschrijf_MKI_Totaal[[#Headers],[C1]],Database_Productkaarten[#All],14,FALSE),0)*Optimalisatie!J22)</f>
        <v>91.923999999999992</v>
      </c>
    </row>
    <row r="21" spans="2:29">
      <c r="B21" s="272" t="str">
        <f>Optimalisatie!B23</f>
        <v>322020 - Leveren en aanbrengen rioolbuis van Beton Ø400mm</v>
      </c>
      <c r="C21" s="9" t="str">
        <f>Optimalisatie!F23</f>
        <v>Betonbuis 500 mm</v>
      </c>
      <c r="D21" s="9">
        <f>(IF(Optimalisatie!C23="Nieuwe Situatie",_xlfn.IFNA(IF(Optimalisatie!E23="Categorie_1_LCA_Producten",VLOOKUP(Inschrijf_MKI_Totaal[[#This Row],[Product]],Categorie_1_Producten[#All],8,FALSE)*(Optimalisatie!J23),VLOOKUP(Inschrijf_MKI_Totaal[[#This Row],[Product]]&amp;", "&amp;Inschrijf_MKI_Totaal[[#Headers],[A1]],Database_Productkaarten[#All],14,FALSE)*Optimalisatie!J23),Baseline_Backlog!D21),0))</f>
        <v>648</v>
      </c>
      <c r="E21" s="9">
        <f>(IF(Optimalisatie!C23="Nieuwe Situatie",_xlfn.IFNA(IF(Optimalisatie!E23="Categorie_1_LCA_Producten",VLOOKUP(Inschrijf_MKI_Totaal[[#This Row],[Product]],Categorie_1_Producten[#All],9,FALSE)*(Optimalisatie!J23),VLOOKUP(Inschrijf_MKI_Totaal[[#This Row],[Product]]&amp;", "&amp;Inschrijf_MKI_Totaal[[#Headers],[A2]],Database_Productkaarten[#All],14,FALSE)*Optimalisatie!J23),Baseline_Backlog!E21),0))</f>
        <v>0</v>
      </c>
      <c r="F21" s="9">
        <f>(IF(Optimalisatie!C23="Nieuwe Situatie",_xlfn.IFNA(IF(Optimalisatie!E23="Categorie_1_LCA_Producten",VLOOKUP(Inschrijf_MKI_Totaal[[#This Row],[Product]],Categorie_1_Producten[#All],10,FALSE)*(Optimalisatie!J23),VLOOKUP(Inschrijf_MKI_Totaal[[#This Row],[Product]]&amp;", "&amp;Inschrijf_MKI_Totaal[[#Headers],[A3]],Database_Productkaarten[#All],14,FALSE)*Optimalisatie!J23),Baseline_Backlog!F21),0))</f>
        <v>0</v>
      </c>
      <c r="G21" s="9">
        <f>(IF(Optimalisatie!C23="Nieuwe Situatie",_xlfn.IFNA(IF(Optimalisatie!E23="Categorie_1_LCA_Producten",VLOOKUP(Inschrijf_MKI_Totaal[[#This Row],[Product]],Categorie_1_Producten[#All],11,FALSE)*(Optimalisatie!J23),VLOOKUP(Inschrijf_MKI_Totaal[[#This Row],[Product]]&amp;", "&amp;Inschrijf_MKI_Totaal[[#Headers],[A1-A3]],Database_Productkaarten[#All],14,FALSE)*Optimalisatie!J23),Baseline_Backlog!G21),0))</f>
        <v>648</v>
      </c>
      <c r="H21" s="9">
        <f>(IF(Optimalisatie!C23="Nieuwe Situatie",_xlfn.IFNA(VLOOKUP(Optimalisatie!V23,Database_Transport[#All],7,FALSE)*((IF(Optimalisatie!R23=0,Baseline!Q23,Optimalisatie!R23))*Optimalisatie!U23),Baseline_Backlog!H21),0))</f>
        <v>33.843647587199996</v>
      </c>
      <c r="I21" s="9">
        <f>IF(Optimalisatie!C23="Nieuwe situatie",IF(_xlfn.IFNA((VLOOKUP(Optimalisatie!W23,Database_Asfalt_Aanlegset[#All],7,FALSE)*Optimalisatie!J23),0)+_xlfn.IFNA(VLOOKUP(Optimalisatie!X23,Database_Brandstoffen[#All],7,FALSE)*((Optimalisatie!J23/Optimalisatie!Z23)*Optimalisatie!Y23),0)&gt;0,_xlfn.IFNA((VLOOKUP(Optimalisatie!W23,Database_Asfalt_Aanlegset[#All],7,FALSE)*Optimalisatie!J23),0)+_xlfn.IFNA(VLOOKUP(Optimalisatie!X23,Database_Brandstoffen[#All],7,FALSE)*((Optimalisatie!J23/Optimalisatie!Z23)*Optimalisatie!Y23),0),(_xlfn.IFNA(VLOOKUP(Inschrijf_MKI_Totaal[[#This Row],[Product]]&amp;", "&amp;Inschrijf_MKI_Totaal[[#Headers],[A5]],Database_Productkaarten[#All],14,FALSE),0)*Optimalisatie!J23)),0)</f>
        <v>179.36852724233987</v>
      </c>
      <c r="J21" s="9"/>
      <c r="K21" s="9">
        <f>(IF(Optimalisatie!C23="Nieuwe Situatie",_xlfn.IFNA(SUM(Inschrijf_MKI_Totaal[[#This Row],[A1]:[B1]],Inschrijf_MKI_Totaal[[#This Row],[C1]:[D2]])*Optimalisatie!T23,0),0))</f>
        <v>0</v>
      </c>
      <c r="L21" s="9">
        <f>IF(Optimalisatie!C23="Bestaande situatie",IF(_xlfn.IFNA((VLOOKUP(Optimalisatie!AA23,Database_Asfalt_Verwijderset[#All],7,FALSE)*Optimalisatie!J23),0)+_xlfn.IFNA(VLOOKUP(Optimalisatie!AB23,Database_Brandstoffen[#All],7,FALSE)*((Optimalisatie!J23/Optimalisatie!AD23)*Optimalisatie!AC23),0)&gt;0,_xlfn.IFNA((VLOOKUP(Optimalisatie!AA23,Database_Asfalt_Verwijderset[#All],7,FALSE)*Optimalisatie!J23),0)+_xlfn.IFNA(VLOOKUP(Optimalisatie!AB23,Database_Brandstoffen[#All],7,FALSE)*((Optimalisatie!J23/Optimalisatie!AD23)*Optimalisatie!AC23),0),(_xlfn.IFNA(VLOOKUP(Inschrijf_MKI_Totaal[[#This Row],[Product]]&amp;", "&amp;Inschrijf_MKI_Totaal[[#Headers],[C1]],Database_Productkaarten[#All],14,FALSE),0)*Optimalisatie!J23)),0)</f>
        <v>0</v>
      </c>
      <c r="M21" s="9">
        <f>(IF(Optimalisatie!C23="Bestaande Situatie",_xlfn.IFNA(VLOOKUP(Optimalisatie!AF23,Database_Transport[#All],7,FALSE)*(Optimalisatie!R23*Optimalisatie!AE23),Baseline_Backlog!M21),0))</f>
        <v>0</v>
      </c>
      <c r="N21" s="9">
        <f>(IF(Optimalisatie!C23="Bestaande Situatie",_xlfn.IFNA(VLOOKUP(Optimalisatie!AG23,Database_Asfalt_Verwerkingsset[#All],7,FALSE)*(Optimalisatie!J23/VLOOKUP(Optimalisatie!AG23,Database_Asfalt_Verwerkingsset[#All],8,FALSE)),Baseline_Backlog!N21),0))</f>
        <v>0</v>
      </c>
      <c r="O21" s="9">
        <f>(IF(Optimalisatie!C23="Bestaande Situatie",_xlfn.IFNA(VLOOKUP(Inschrijf_MKI_Totaal[[#This Row],[Product]]&amp;", "&amp;Inschrijf_MKI_Totaal[[#Headers],[C4]],Database_Productkaarten[#All],14,FALSE),Baseline_Backlog!O21)*Optimalisatie!J23,0))</f>
        <v>0</v>
      </c>
      <c r="P21" s="9">
        <f>(IF(Optimalisatie!C23="Bestaande Situatie",_xlfn.IFNA(IF(Optimalisatie!E23="Categorie_1_LCA_Producten",VLOOKUP(Inschrijf_MKI_Totaal[[#This Row],[Product]],Categorie_1_Producten[#All],12,FALSE)*(Optimalisatie!J23),VLOOKUP(Inschrijf_MKI_Totaal[[#This Row],[Product]]&amp;", "&amp;Inschrijf_MKI_Totaal[[#Headers],[D1]],Database_Productkaarten[#All],14,FALSE)*Optimalisatie!J23),Baseline_Backlog!P21),0))</f>
        <v>0</v>
      </c>
      <c r="Q21" s="9">
        <f>(IF(Optimalisatie!C23="Bestaande Situatie",_xlfn.IFNA(IF(Optimalisatie!E23="Categorie_1_LCA_Producten",VLOOKUP(Inschrijf_MKI_Totaal[[#This Row],[Product]],Categorie_1_Producten[#All],13,FALSE)*(Optimalisatie!J23),VLOOKUP(Inschrijf_MKI_Totaal[[#This Row],[Product]]&amp;", "&amp;Inschrijf_MKI_Totaal[[#Headers],[D2]],Database_Productkaarten[#All],14,FALSE)*Optimalisatie!J23),Baseline_Backlog!Q21),0))</f>
        <v>0</v>
      </c>
      <c r="R21" s="9">
        <f>(IF(Optimalisatie!C23="Bestaande Situatie",_xlfn.IFNA(IF(Optimalisatie!E23="Categorie_1_LCA_Producten",VLOOKUP(Inschrijf_MKI_Totaal[[#This Row],[Product]],Categorie_1_Producten[#All],13,FALSE)*(Optimalisatie!J23),VLOOKUP(Inschrijf_MKI_Totaal[[#This Row],[Product]]&amp;", "&amp;Inschrijf_MKI_Totaal[[#Headers],[D]],Database_Productkaarten[#All],14,FALSE)*Optimalisatie!J23),Baseline_Backlog!S21),0))</f>
        <v>0</v>
      </c>
      <c r="S21" s="301">
        <f>SUM(Inschrijf_MKI_Totaal[[#This Row],[A1-A3]:[C4]])+Inschrijf_MKI_Totaal[[#This Row],[D]]</f>
        <v>861.21217482953978</v>
      </c>
      <c r="AA21" s="9">
        <f>_xlfn.IFNA((VLOOKUP(Optimalisatie!AA23,Database_Asfalt_Verwijderset[#All],7,FALSE)*Optimalisatie!J23),0)</f>
        <v>0</v>
      </c>
      <c r="AB21" s="9">
        <f>_xlfn.IFNA(VLOOKUP(Optimalisatie!AB23,Database_Overig_Materieel[#All],7,FALSE)*(Optimalisatie!J23/Optimalisatie!AD23),0)</f>
        <v>0</v>
      </c>
      <c r="AC21" s="332">
        <f>(_xlfn.IFNA(VLOOKUP(Inschrijf_MKI_Totaal[[#This Row],[Product]]&amp;", "&amp;Inschrijf_MKI_Totaal[[#Headers],[C1]],Database_Productkaarten[#All],14,FALSE),0)*Optimalisatie!J23)</f>
        <v>0</v>
      </c>
    </row>
    <row r="22" spans="2:29">
      <c r="B22" s="272" t="str">
        <f>Optimalisatie!B24</f>
        <v>322070 - Leveren en aanbrengen rioolbuis van Beton IT Ø400mm</v>
      </c>
      <c r="C22" s="9" t="str">
        <f>Optimalisatie!F24</f>
        <v>Betonbuis 500 mm</v>
      </c>
      <c r="D22" s="9">
        <f>(IF(Optimalisatie!C24="Nieuwe Situatie",_xlfn.IFNA(IF(Optimalisatie!E24="Categorie_1_LCA_Producten",VLOOKUP(Inschrijf_MKI_Totaal[[#This Row],[Product]],Categorie_1_Producten[#All],8,FALSE)*(Optimalisatie!J24),VLOOKUP(Inschrijf_MKI_Totaal[[#This Row],[Product]]&amp;", "&amp;Inschrijf_MKI_Totaal[[#Headers],[A1]],Database_Productkaarten[#All],14,FALSE)*Optimalisatie!J24),Baseline_Backlog!D22),0))</f>
        <v>513</v>
      </c>
      <c r="E22" s="9">
        <f>(IF(Optimalisatie!C24="Nieuwe Situatie",_xlfn.IFNA(IF(Optimalisatie!E24="Categorie_1_LCA_Producten",VLOOKUP(Inschrijf_MKI_Totaal[[#This Row],[Product]],Categorie_1_Producten[#All],9,FALSE)*(Optimalisatie!J24),VLOOKUP(Inschrijf_MKI_Totaal[[#This Row],[Product]]&amp;", "&amp;Inschrijf_MKI_Totaal[[#Headers],[A2]],Database_Productkaarten[#All],14,FALSE)*Optimalisatie!J24),Baseline_Backlog!E22),0))</f>
        <v>0</v>
      </c>
      <c r="F22" s="9">
        <f>(IF(Optimalisatie!C24="Nieuwe Situatie",_xlfn.IFNA(IF(Optimalisatie!E24="Categorie_1_LCA_Producten",VLOOKUP(Inschrijf_MKI_Totaal[[#This Row],[Product]],Categorie_1_Producten[#All],10,FALSE)*(Optimalisatie!J24),VLOOKUP(Inschrijf_MKI_Totaal[[#This Row],[Product]]&amp;", "&amp;Inschrijf_MKI_Totaal[[#Headers],[A3]],Database_Productkaarten[#All],14,FALSE)*Optimalisatie!J24),Baseline_Backlog!F22),0))</f>
        <v>0</v>
      </c>
      <c r="G22" s="9">
        <f>(IF(Optimalisatie!C24="Nieuwe Situatie",_xlfn.IFNA(IF(Optimalisatie!E24="Categorie_1_LCA_Producten",VLOOKUP(Inschrijf_MKI_Totaal[[#This Row],[Product]],Categorie_1_Producten[#All],11,FALSE)*(Optimalisatie!J24),VLOOKUP(Inschrijf_MKI_Totaal[[#This Row],[Product]]&amp;", "&amp;Inschrijf_MKI_Totaal[[#Headers],[A1-A3]],Database_Productkaarten[#All],14,FALSE)*Optimalisatie!J24),Baseline_Backlog!G22),0))</f>
        <v>513</v>
      </c>
      <c r="H22" s="9">
        <f>(IF(Optimalisatie!C24="Nieuwe Situatie",_xlfn.IFNA(VLOOKUP(Optimalisatie!V24,Database_Transport[#All],7,FALSE)*((IF(Optimalisatie!R24=0,Baseline!Q24,Optimalisatie!R24))*Optimalisatie!U24),Baseline_Backlog!H22),0))</f>
        <v>26.792887673199999</v>
      </c>
      <c r="I22" s="9">
        <f>IF(Optimalisatie!C24="Nieuwe situatie",IF(_xlfn.IFNA((VLOOKUP(Optimalisatie!W24,Database_Asfalt_Aanlegset[#All],7,FALSE)*Optimalisatie!J24),0)+_xlfn.IFNA(VLOOKUP(Optimalisatie!X24,Database_Brandstoffen[#All],7,FALSE)*((Optimalisatie!J24/Optimalisatie!Z24)*Optimalisatie!Y24),0)&gt;0,_xlfn.IFNA((VLOOKUP(Optimalisatie!W24,Database_Asfalt_Aanlegset[#All],7,FALSE)*Optimalisatie!J24),0)+_xlfn.IFNA(VLOOKUP(Optimalisatie!X24,Database_Brandstoffen[#All],7,FALSE)*((Optimalisatie!J24/Optimalisatie!Z24)*Optimalisatie!Y24),0),(_xlfn.IFNA(VLOOKUP(Inschrijf_MKI_Totaal[[#This Row],[Product]]&amp;", "&amp;Inschrijf_MKI_Totaal[[#Headers],[A5]],Database_Productkaarten[#All],14,FALSE),0)*Optimalisatie!J24)),0)</f>
        <v>142.00008406685239</v>
      </c>
      <c r="J22" s="9"/>
      <c r="K22" s="9">
        <f>(IF(Optimalisatie!C24="Nieuwe Situatie",_xlfn.IFNA(SUM(Inschrijf_MKI_Totaal[[#This Row],[A1]:[B1]],Inschrijf_MKI_Totaal[[#This Row],[C1]:[D2]])*Optimalisatie!T24,0),0))</f>
        <v>0</v>
      </c>
      <c r="L22" s="9">
        <f>IF(Optimalisatie!C24="Bestaande situatie",IF(_xlfn.IFNA((VLOOKUP(Optimalisatie!AA24,Database_Asfalt_Verwijderset[#All],7,FALSE)*Optimalisatie!J24),0)+_xlfn.IFNA(VLOOKUP(Optimalisatie!AB24,Database_Brandstoffen[#All],7,FALSE)*((Optimalisatie!J24/Optimalisatie!AD24)*Optimalisatie!AC24),0)&gt;0,_xlfn.IFNA((VLOOKUP(Optimalisatie!AA24,Database_Asfalt_Verwijderset[#All],7,FALSE)*Optimalisatie!J24),0)+_xlfn.IFNA(VLOOKUP(Optimalisatie!AB24,Database_Brandstoffen[#All],7,FALSE)*((Optimalisatie!J24/Optimalisatie!AD24)*Optimalisatie!AC24),0),(_xlfn.IFNA(VLOOKUP(Inschrijf_MKI_Totaal[[#This Row],[Product]]&amp;", "&amp;Inschrijf_MKI_Totaal[[#Headers],[C1]],Database_Productkaarten[#All],14,FALSE),0)*Optimalisatie!J24)),0)</f>
        <v>0</v>
      </c>
      <c r="M22" s="9">
        <f>(IF(Optimalisatie!C24="Bestaande Situatie",_xlfn.IFNA(VLOOKUP(Optimalisatie!AF24,Database_Transport[#All],7,FALSE)*(Optimalisatie!R24*Optimalisatie!AE24),Baseline_Backlog!M22),0))</f>
        <v>0</v>
      </c>
      <c r="N22" s="9">
        <f>(IF(Optimalisatie!C24="Bestaande Situatie",_xlfn.IFNA(VLOOKUP(Optimalisatie!AG24,Database_Asfalt_Verwerkingsset[#All],7,FALSE)*(Optimalisatie!J24/VLOOKUP(Optimalisatie!AG24,Database_Asfalt_Verwerkingsset[#All],8,FALSE)),Baseline_Backlog!N22),0))</f>
        <v>0</v>
      </c>
      <c r="O22" s="9">
        <f>(IF(Optimalisatie!C24="Bestaande Situatie",_xlfn.IFNA(VLOOKUP(Inschrijf_MKI_Totaal[[#This Row],[Product]]&amp;", "&amp;Inschrijf_MKI_Totaal[[#Headers],[C4]],Database_Productkaarten[#All],14,FALSE),Baseline_Backlog!O22)*Optimalisatie!J24,0))</f>
        <v>0</v>
      </c>
      <c r="P22" s="9">
        <f>(IF(Optimalisatie!C24="Bestaande Situatie",_xlfn.IFNA(IF(Optimalisatie!E24="Categorie_1_LCA_Producten",VLOOKUP(Inschrijf_MKI_Totaal[[#This Row],[Product]],Categorie_1_Producten[#All],12,FALSE)*(Optimalisatie!J24),VLOOKUP(Inschrijf_MKI_Totaal[[#This Row],[Product]]&amp;", "&amp;Inschrijf_MKI_Totaal[[#Headers],[D1]],Database_Productkaarten[#All],14,FALSE)*Optimalisatie!J24),Baseline_Backlog!P22),0))</f>
        <v>0</v>
      </c>
      <c r="Q22" s="9">
        <f>(IF(Optimalisatie!C24="Bestaande Situatie",_xlfn.IFNA(IF(Optimalisatie!E24="Categorie_1_LCA_Producten",VLOOKUP(Inschrijf_MKI_Totaal[[#This Row],[Product]],Categorie_1_Producten[#All],13,FALSE)*(Optimalisatie!J24),VLOOKUP(Inschrijf_MKI_Totaal[[#This Row],[Product]]&amp;", "&amp;Inschrijf_MKI_Totaal[[#Headers],[D2]],Database_Productkaarten[#All],14,FALSE)*Optimalisatie!J24),Baseline_Backlog!Q22),0))</f>
        <v>0</v>
      </c>
      <c r="R22" s="9">
        <f>(IF(Optimalisatie!C24="Bestaande Situatie",_xlfn.IFNA(IF(Optimalisatie!E24="Categorie_1_LCA_Producten",VLOOKUP(Inschrijf_MKI_Totaal[[#This Row],[Product]],Categorie_1_Producten[#All],13,FALSE)*(Optimalisatie!J24),VLOOKUP(Inschrijf_MKI_Totaal[[#This Row],[Product]]&amp;", "&amp;Inschrijf_MKI_Totaal[[#Headers],[D]],Database_Productkaarten[#All],14,FALSE)*Optimalisatie!J24),Baseline_Backlog!S22),0))</f>
        <v>0</v>
      </c>
      <c r="S22" s="301">
        <f>SUM(Inschrijf_MKI_Totaal[[#This Row],[A1-A3]:[C4]])+Inschrijf_MKI_Totaal[[#This Row],[D]]</f>
        <v>681.79297174005239</v>
      </c>
      <c r="AA22" s="9">
        <f>_xlfn.IFNA((VLOOKUP(Optimalisatie!AA24,Database_Asfalt_Verwijderset[#All],7,FALSE)*Optimalisatie!J24),0)</f>
        <v>0</v>
      </c>
      <c r="AB22" s="9">
        <f>_xlfn.IFNA(VLOOKUP(Optimalisatie!AB24,Database_Overig_Materieel[#All],7,FALSE)*(Optimalisatie!J24/Optimalisatie!AD24),0)</f>
        <v>0</v>
      </c>
      <c r="AC22" s="332">
        <f>(_xlfn.IFNA(VLOOKUP(Inschrijf_MKI_Totaal[[#This Row],[Product]]&amp;", "&amp;Inschrijf_MKI_Totaal[[#Headers],[C1]],Database_Productkaarten[#All],14,FALSE),0)*Optimalisatie!J24)</f>
        <v>0</v>
      </c>
    </row>
    <row r="23" spans="2:29">
      <c r="B23" s="272" t="str">
        <f>Optimalisatie!B25</f>
        <v>322100 - Leveren en aanbrengen rioolbuis van Beton IT Ø800mm</v>
      </c>
      <c r="C23" s="9" t="str">
        <f>Optimalisatie!F25</f>
        <v>Betonbuis 800 mm</v>
      </c>
      <c r="D23" s="9">
        <f>(IF(Optimalisatie!C25="Nieuwe Situatie",_xlfn.IFNA(IF(Optimalisatie!E25="Categorie_1_LCA_Producten",VLOOKUP(Inschrijf_MKI_Totaal[[#This Row],[Product]],Categorie_1_Producten[#All],8,FALSE)*(Optimalisatie!J25),VLOOKUP(Inschrijf_MKI_Totaal[[#This Row],[Product]]&amp;", "&amp;Inschrijf_MKI_Totaal[[#Headers],[A1]],Database_Productkaarten[#All],14,FALSE)*Optimalisatie!J25),Baseline_Backlog!D23),0))</f>
        <v>5825.0324999999993</v>
      </c>
      <c r="E23" s="9">
        <f>(IF(Optimalisatie!C25="Nieuwe Situatie",_xlfn.IFNA(IF(Optimalisatie!E25="Categorie_1_LCA_Producten",VLOOKUP(Inschrijf_MKI_Totaal[[#This Row],[Product]],Categorie_1_Producten[#All],9,FALSE)*(Optimalisatie!J25),VLOOKUP(Inschrijf_MKI_Totaal[[#This Row],[Product]]&amp;", "&amp;Inschrijf_MKI_Totaal[[#Headers],[A2]],Database_Productkaarten[#All],14,FALSE)*Optimalisatie!J25),Baseline_Backlog!E23),0))</f>
        <v>0</v>
      </c>
      <c r="F23" s="9">
        <f>(IF(Optimalisatie!C25="Nieuwe Situatie",_xlfn.IFNA(IF(Optimalisatie!E25="Categorie_1_LCA_Producten",VLOOKUP(Inschrijf_MKI_Totaal[[#This Row],[Product]],Categorie_1_Producten[#All],10,FALSE)*(Optimalisatie!J25),VLOOKUP(Inschrijf_MKI_Totaal[[#This Row],[Product]]&amp;", "&amp;Inschrijf_MKI_Totaal[[#Headers],[A3]],Database_Productkaarten[#All],14,FALSE)*Optimalisatie!J25),Baseline_Backlog!F23),0))</f>
        <v>0</v>
      </c>
      <c r="G23" s="9">
        <f>(IF(Optimalisatie!C25="Nieuwe Situatie",_xlfn.IFNA(IF(Optimalisatie!E25="Categorie_1_LCA_Producten",VLOOKUP(Inschrijf_MKI_Totaal[[#This Row],[Product]],Categorie_1_Producten[#All],11,FALSE)*(Optimalisatie!J25),VLOOKUP(Inschrijf_MKI_Totaal[[#This Row],[Product]]&amp;", "&amp;Inschrijf_MKI_Totaal[[#Headers],[A1-A3]],Database_Productkaarten[#All],14,FALSE)*Optimalisatie!J25),Baseline_Backlog!G23),0))</f>
        <v>5825.0324999999993</v>
      </c>
      <c r="H23" s="9">
        <f>(IF(Optimalisatie!C25="Nieuwe Situatie",_xlfn.IFNA(VLOOKUP(Optimalisatie!V25,Database_Transport[#All],7,FALSE)*((IF(Optimalisatie!R25=0,Baseline!Q25,Optimalisatie!R25))*Optimalisatie!U25),Baseline_Backlog!H23),0))</f>
        <v>258.3501614342</v>
      </c>
      <c r="I23" s="9">
        <f>IF(Optimalisatie!C25="Nieuwe situatie",IF(_xlfn.IFNA((VLOOKUP(Optimalisatie!W25,Database_Asfalt_Aanlegset[#All],7,FALSE)*Optimalisatie!J25),0)+_xlfn.IFNA(VLOOKUP(Optimalisatie!X25,Database_Brandstoffen[#All],7,FALSE)*((Optimalisatie!J25/Optimalisatie!Z25)*Optimalisatie!Y25),0)&gt;0,_xlfn.IFNA((VLOOKUP(Optimalisatie!W25,Database_Asfalt_Aanlegset[#All],7,FALSE)*Optimalisatie!J25),0)+_xlfn.IFNA(VLOOKUP(Optimalisatie!X25,Database_Brandstoffen[#All],7,FALSE)*((Optimalisatie!J25/Optimalisatie!Z25)*Optimalisatie!Y25),0),(_xlfn.IFNA(VLOOKUP(Inschrijf_MKI_Totaal[[#This Row],[Product]]&amp;", "&amp;Inschrijf_MKI_Totaal[[#Headers],[A5]],Database_Productkaarten[#All],14,FALSE),0)*Optimalisatie!J25)),0)</f>
        <v>1062.865290891365</v>
      </c>
      <c r="J23" s="9"/>
      <c r="K23" s="9">
        <f>(IF(Optimalisatie!C25="Nieuwe Situatie",_xlfn.IFNA(SUM(Inschrijf_MKI_Totaal[[#This Row],[A1]:[B1]],Inschrijf_MKI_Totaal[[#This Row],[C1]:[D2]])*Optimalisatie!T25,0),0))</f>
        <v>0</v>
      </c>
      <c r="L23" s="9">
        <f>IF(Optimalisatie!C25="Bestaande situatie",IF(_xlfn.IFNA((VLOOKUP(Optimalisatie!AA25,Database_Asfalt_Verwijderset[#All],7,FALSE)*Optimalisatie!J25),0)+_xlfn.IFNA(VLOOKUP(Optimalisatie!AB25,Database_Brandstoffen[#All],7,FALSE)*((Optimalisatie!J25/Optimalisatie!AD25)*Optimalisatie!AC25),0)&gt;0,_xlfn.IFNA((VLOOKUP(Optimalisatie!AA25,Database_Asfalt_Verwijderset[#All],7,FALSE)*Optimalisatie!J25),0)+_xlfn.IFNA(VLOOKUP(Optimalisatie!AB25,Database_Brandstoffen[#All],7,FALSE)*((Optimalisatie!J25/Optimalisatie!AD25)*Optimalisatie!AC25),0),(_xlfn.IFNA(VLOOKUP(Inschrijf_MKI_Totaal[[#This Row],[Product]]&amp;", "&amp;Inschrijf_MKI_Totaal[[#Headers],[C1]],Database_Productkaarten[#All],14,FALSE),0)*Optimalisatie!J25)),0)</f>
        <v>0</v>
      </c>
      <c r="M23" s="9">
        <f>(IF(Optimalisatie!C25="Bestaande Situatie",_xlfn.IFNA(VLOOKUP(Optimalisatie!AF25,Database_Transport[#All],7,FALSE)*(Optimalisatie!R25*Optimalisatie!AE25),Baseline_Backlog!M23),0))</f>
        <v>0</v>
      </c>
      <c r="N23" s="9">
        <f>(IF(Optimalisatie!C25="Bestaande Situatie",_xlfn.IFNA(VLOOKUP(Optimalisatie!AG25,Database_Asfalt_Verwerkingsset[#All],7,FALSE)*(Optimalisatie!J25/VLOOKUP(Optimalisatie!AG25,Database_Asfalt_Verwerkingsset[#All],8,FALSE)),Baseline_Backlog!N23),0))</f>
        <v>0</v>
      </c>
      <c r="O23" s="9">
        <f>(IF(Optimalisatie!C25="Bestaande Situatie",_xlfn.IFNA(VLOOKUP(Inschrijf_MKI_Totaal[[#This Row],[Product]]&amp;", "&amp;Inschrijf_MKI_Totaal[[#Headers],[C4]],Database_Productkaarten[#All],14,FALSE),Baseline_Backlog!O23)*Optimalisatie!J25,0))</f>
        <v>0</v>
      </c>
      <c r="P23" s="9">
        <f>(IF(Optimalisatie!C25="Bestaande Situatie",_xlfn.IFNA(IF(Optimalisatie!E25="Categorie_1_LCA_Producten",VLOOKUP(Inschrijf_MKI_Totaal[[#This Row],[Product]],Categorie_1_Producten[#All],12,FALSE)*(Optimalisatie!J25),VLOOKUP(Inschrijf_MKI_Totaal[[#This Row],[Product]]&amp;", "&amp;Inschrijf_MKI_Totaal[[#Headers],[D1]],Database_Productkaarten[#All],14,FALSE)*Optimalisatie!J25),Baseline_Backlog!P23),0))</f>
        <v>0</v>
      </c>
      <c r="Q23" s="9">
        <f>(IF(Optimalisatie!C25="Bestaande Situatie",_xlfn.IFNA(IF(Optimalisatie!E25="Categorie_1_LCA_Producten",VLOOKUP(Inschrijf_MKI_Totaal[[#This Row],[Product]],Categorie_1_Producten[#All],13,FALSE)*(Optimalisatie!J25),VLOOKUP(Inschrijf_MKI_Totaal[[#This Row],[Product]]&amp;", "&amp;Inschrijf_MKI_Totaal[[#Headers],[D2]],Database_Productkaarten[#All],14,FALSE)*Optimalisatie!J25),Baseline_Backlog!Q23),0))</f>
        <v>0</v>
      </c>
      <c r="R23" s="9">
        <f>(IF(Optimalisatie!C25="Bestaande Situatie",_xlfn.IFNA(IF(Optimalisatie!E25="Categorie_1_LCA_Producten",VLOOKUP(Inschrijf_MKI_Totaal[[#This Row],[Product]],Categorie_1_Producten[#All],13,FALSE)*(Optimalisatie!J25),VLOOKUP(Inschrijf_MKI_Totaal[[#This Row],[Product]]&amp;", "&amp;Inschrijf_MKI_Totaal[[#Headers],[D]],Database_Productkaarten[#All],14,FALSE)*Optimalisatie!J25),Baseline_Backlog!S23),0))</f>
        <v>0</v>
      </c>
      <c r="S23" s="301">
        <f>SUM(Inschrijf_MKI_Totaal[[#This Row],[A1-A3]:[C4]])+Inschrijf_MKI_Totaal[[#This Row],[D]]</f>
        <v>7146.2479523255643</v>
      </c>
      <c r="AA23" s="9">
        <f>_xlfn.IFNA((VLOOKUP(Optimalisatie!AA25,Database_Asfalt_Verwijderset[#All],7,FALSE)*Optimalisatie!J25),0)</f>
        <v>0</v>
      </c>
      <c r="AB23" s="9" t="e">
        <f>(VLOOKUP(Optimalisatie!AA25,Database_Asfalt_Verwijderset[#All],7,FALSE)*Optimalisatie!J25)</f>
        <v>#N/A</v>
      </c>
      <c r="AC23" s="332">
        <f>(_xlfn.IFNA(VLOOKUP(Inschrijf_MKI_Totaal[[#This Row],[Product]]&amp;", "&amp;Inschrijf_MKI_Totaal[[#Headers],[C1]],Database_Productkaarten[#All],14,FALSE),0)*Optimalisatie!J25)</f>
        <v>429.78449999999998</v>
      </c>
    </row>
    <row r="24" spans="2:29">
      <c r="B24" s="272" t="str">
        <f>Optimalisatie!B26</f>
        <v>330010 - Leveren en aanbrengen kolken</v>
      </c>
      <c r="C24" s="9" t="str">
        <f>Optimalisatie!F26</f>
        <v>Kolk, Staal &amp; Beton</v>
      </c>
      <c r="D24" s="9">
        <f>(IF(Optimalisatie!C26="Nieuwe Situatie",_xlfn.IFNA(IF(Optimalisatie!E26="Categorie_1_LCA_Producten",VLOOKUP(Inschrijf_MKI_Totaal[[#This Row],[Product]],Categorie_1_Producten[#All],8,FALSE)*(Optimalisatie!J26),VLOOKUP(Inschrijf_MKI_Totaal[[#This Row],[Product]]&amp;", "&amp;Inschrijf_MKI_Totaal[[#Headers],[A1]],Database_Productkaarten[#All],14,FALSE)*Optimalisatie!J26),Baseline_Backlog!D24),0))</f>
        <v>1567.52</v>
      </c>
      <c r="E24" s="9">
        <f>(IF(Optimalisatie!C26="Nieuwe Situatie",_xlfn.IFNA(IF(Optimalisatie!E26="Categorie_1_LCA_Producten",VLOOKUP(Inschrijf_MKI_Totaal[[#This Row],[Product]],Categorie_1_Producten[#All],9,FALSE)*(Optimalisatie!J26),VLOOKUP(Inschrijf_MKI_Totaal[[#This Row],[Product]]&amp;", "&amp;Inschrijf_MKI_Totaal[[#Headers],[A2]],Database_Productkaarten[#All],14,FALSE)*Optimalisatie!J26),Baseline_Backlog!E24),0))</f>
        <v>0</v>
      </c>
      <c r="F24" s="9">
        <f>(IF(Optimalisatie!C26="Nieuwe Situatie",_xlfn.IFNA(IF(Optimalisatie!E26="Categorie_1_LCA_Producten",VLOOKUP(Inschrijf_MKI_Totaal[[#This Row],[Product]],Categorie_1_Producten[#All],10,FALSE)*(Optimalisatie!J26),VLOOKUP(Inschrijf_MKI_Totaal[[#This Row],[Product]]&amp;", "&amp;Inschrijf_MKI_Totaal[[#Headers],[A3]],Database_Productkaarten[#All],14,FALSE)*Optimalisatie!J26),Baseline_Backlog!F24),0))</f>
        <v>0</v>
      </c>
      <c r="G24" s="9">
        <f>(IF(Optimalisatie!C26="Nieuwe Situatie",_xlfn.IFNA(IF(Optimalisatie!E26="Categorie_1_LCA_Producten",VLOOKUP(Inschrijf_MKI_Totaal[[#This Row],[Product]],Categorie_1_Producten[#All],11,FALSE)*(Optimalisatie!J26),VLOOKUP(Inschrijf_MKI_Totaal[[#This Row],[Product]]&amp;", "&amp;Inschrijf_MKI_Totaal[[#Headers],[A1-A3]],Database_Productkaarten[#All],14,FALSE)*Optimalisatie!J26),Baseline_Backlog!G24),0))</f>
        <v>1567.52</v>
      </c>
      <c r="H24" s="9">
        <f>(IF(Optimalisatie!C26="Nieuwe Situatie",_xlfn.IFNA(VLOOKUP(Optimalisatie!V26,Database_Transport[#All],7,FALSE)*((IF(Optimalisatie!R26=0,Baseline!Q26,Optimalisatie!R26))*Optimalisatie!U26),Baseline_Backlog!H24),0))</f>
        <v>17.615584175186804</v>
      </c>
      <c r="I24" s="9">
        <f>IF(Optimalisatie!C26="Nieuwe situatie",IF(_xlfn.IFNA((VLOOKUP(Optimalisatie!W26,Database_Asfalt_Aanlegset[#All],7,FALSE)*Optimalisatie!J26),0)+_xlfn.IFNA(VLOOKUP(Optimalisatie!X26,Database_Brandstoffen[#All],7,FALSE)*((Optimalisatie!J26/Optimalisatie!Z26)*Optimalisatie!Y26),0)&gt;0,_xlfn.IFNA((VLOOKUP(Optimalisatie!W26,Database_Asfalt_Aanlegset[#All],7,FALSE)*Optimalisatie!J26),0)+_xlfn.IFNA(VLOOKUP(Optimalisatie!X26,Database_Brandstoffen[#All],7,FALSE)*((Optimalisatie!J26/Optimalisatie!Z26)*Optimalisatie!Y26),0),(_xlfn.IFNA(VLOOKUP(Inschrijf_MKI_Totaal[[#This Row],[Product]]&amp;", "&amp;Inschrijf_MKI_Totaal[[#Headers],[A5]],Database_Productkaarten[#All],14,FALSE),0)*Optimalisatie!J26)),0)</f>
        <v>590.25282272980508</v>
      </c>
      <c r="J24" s="9"/>
      <c r="K24" s="9">
        <f>(IF(Optimalisatie!C26="Nieuwe Situatie",_xlfn.IFNA(SUM(Inschrijf_MKI_Totaal[[#This Row],[A1]:[B1]],Inschrijf_MKI_Totaal[[#This Row],[C1]:[D2]])*Optimalisatie!T26,0),0))</f>
        <v>0</v>
      </c>
      <c r="L24" s="9">
        <f>IF(Optimalisatie!C26="Bestaande situatie",IF(_xlfn.IFNA((VLOOKUP(Optimalisatie!AA26,Database_Asfalt_Verwijderset[#All],7,FALSE)*Optimalisatie!J26),0)+_xlfn.IFNA(VLOOKUP(Optimalisatie!AB26,Database_Brandstoffen[#All],7,FALSE)*((Optimalisatie!J26/Optimalisatie!AD26)*Optimalisatie!AC26),0)&gt;0,_xlfn.IFNA((VLOOKUP(Optimalisatie!AA26,Database_Asfalt_Verwijderset[#All],7,FALSE)*Optimalisatie!J26),0)+_xlfn.IFNA(VLOOKUP(Optimalisatie!AB26,Database_Brandstoffen[#All],7,FALSE)*((Optimalisatie!J26/Optimalisatie!AD26)*Optimalisatie!AC26),0),(_xlfn.IFNA(VLOOKUP(Inschrijf_MKI_Totaal[[#This Row],[Product]]&amp;", "&amp;Inschrijf_MKI_Totaal[[#Headers],[C1]],Database_Productkaarten[#All],14,FALSE),0)*Optimalisatie!J26)),0)</f>
        <v>0</v>
      </c>
      <c r="M24" s="9">
        <f>(IF(Optimalisatie!C26="Bestaande Situatie",_xlfn.IFNA(VLOOKUP(Optimalisatie!AF26,Database_Transport[#All],7,FALSE)*(Optimalisatie!R26*Optimalisatie!AE26),Baseline_Backlog!M24),0))</f>
        <v>0</v>
      </c>
      <c r="N24" s="9">
        <f>(IF(Optimalisatie!C26="Bestaande Situatie",_xlfn.IFNA(VLOOKUP(Optimalisatie!AG26,Database_Asfalt_Verwerkingsset[#All],7,FALSE)*(Optimalisatie!J26/VLOOKUP(Optimalisatie!AG26,Database_Asfalt_Verwerkingsset[#All],8,FALSE)),Baseline_Backlog!N24),0))</f>
        <v>0</v>
      </c>
      <c r="O24" s="9">
        <f>(IF(Optimalisatie!C26="Bestaande Situatie",_xlfn.IFNA(VLOOKUP(Inschrijf_MKI_Totaal[[#This Row],[Product]]&amp;", "&amp;Inschrijf_MKI_Totaal[[#Headers],[C4]],Database_Productkaarten[#All],14,FALSE),Baseline_Backlog!O24)*Optimalisatie!J26,0))</f>
        <v>0</v>
      </c>
      <c r="P24" s="9">
        <f>(IF(Optimalisatie!C26="Bestaande Situatie",_xlfn.IFNA(IF(Optimalisatie!E26="Categorie_1_LCA_Producten",VLOOKUP(Inschrijf_MKI_Totaal[[#This Row],[Product]],Categorie_1_Producten[#All],12,FALSE)*(Optimalisatie!J26),VLOOKUP(Inschrijf_MKI_Totaal[[#This Row],[Product]]&amp;", "&amp;Inschrijf_MKI_Totaal[[#Headers],[D1]],Database_Productkaarten[#All],14,FALSE)*Optimalisatie!J26),Baseline_Backlog!P24),0))</f>
        <v>0</v>
      </c>
      <c r="Q24" s="9">
        <f>(IF(Optimalisatie!C26="Bestaande Situatie",_xlfn.IFNA(IF(Optimalisatie!E26="Categorie_1_LCA_Producten",VLOOKUP(Inschrijf_MKI_Totaal[[#This Row],[Product]],Categorie_1_Producten[#All],13,FALSE)*(Optimalisatie!J26),VLOOKUP(Inschrijf_MKI_Totaal[[#This Row],[Product]]&amp;", "&amp;Inschrijf_MKI_Totaal[[#Headers],[D2]],Database_Productkaarten[#All],14,FALSE)*Optimalisatie!J26),Baseline_Backlog!Q24),0))</f>
        <v>0</v>
      </c>
      <c r="R24" s="9">
        <f>(IF(Optimalisatie!C26="Bestaande Situatie",_xlfn.IFNA(IF(Optimalisatie!E26="Categorie_1_LCA_Producten",VLOOKUP(Inschrijf_MKI_Totaal[[#This Row],[Product]],Categorie_1_Producten[#All],13,FALSE)*(Optimalisatie!J26),VLOOKUP(Inschrijf_MKI_Totaal[[#This Row],[Product]]&amp;", "&amp;Inschrijf_MKI_Totaal[[#Headers],[D]],Database_Productkaarten[#All],14,FALSE)*Optimalisatie!J26),Baseline_Backlog!S24),0))</f>
        <v>0</v>
      </c>
      <c r="S24" s="301">
        <f>SUM(Inschrijf_MKI_Totaal[[#This Row],[A1-A3]:[C4]])+Inschrijf_MKI_Totaal[[#This Row],[D]]</f>
        <v>2175.3884069049918</v>
      </c>
      <c r="AA24" s="9">
        <f>_xlfn.IFNA((VLOOKUP(Optimalisatie!AA26,Database_Asfalt_Verwijderset[#All],7,FALSE)*Optimalisatie!J26),0)</f>
        <v>0</v>
      </c>
      <c r="AB24" s="9" t="e">
        <f>(VLOOKUP(Optimalisatie!AA26,Database_Asfalt_Verwijderset[#All],7,FALSE)*Optimalisatie!J26)</f>
        <v>#N/A</v>
      </c>
      <c r="AC24" s="332">
        <f>(_xlfn.IFNA(VLOOKUP(Inschrijf_MKI_Totaal[[#This Row],[Product]]&amp;", "&amp;Inschrijf_MKI_Totaal[[#Headers],[C1]],Database_Productkaarten[#All],14,FALSE),0)*Optimalisatie!J26)</f>
        <v>704.98</v>
      </c>
    </row>
    <row r="25" spans="2:29">
      <c r="B25" s="272" t="str">
        <f>Optimalisatie!B27</f>
        <v>420010 - Leveren en aanbrengen fundering menggranulaat, (250mm dik)</v>
      </c>
      <c r="C25" s="9" t="str">
        <f>Optimalisatie!F27</f>
        <v>Menggranulaat 250mm</v>
      </c>
      <c r="D25" s="9">
        <f>(IF(Optimalisatie!C27="Nieuwe Situatie",_xlfn.IFNA(IF(Optimalisatie!E27="Categorie_1_LCA_Producten",VLOOKUP(Inschrijf_MKI_Totaal[[#This Row],[Product]],Categorie_1_Producten[#All],8,FALSE)*(Optimalisatie!J27),VLOOKUP(Inschrijf_MKI_Totaal[[#This Row],[Product]]&amp;", "&amp;Inschrijf_MKI_Totaal[[#Headers],[A1]],Database_Productkaarten[#All],14,FALSE)*Optimalisatie!J27),Baseline_Backlog!D25),0))</f>
        <v>0</v>
      </c>
      <c r="E25" s="9">
        <f>(IF(Optimalisatie!C27="Nieuwe Situatie",_xlfn.IFNA(IF(Optimalisatie!E27="Categorie_1_LCA_Producten",VLOOKUP(Inschrijf_MKI_Totaal[[#This Row],[Product]],Categorie_1_Producten[#All],9,FALSE)*(Optimalisatie!J27),VLOOKUP(Inschrijf_MKI_Totaal[[#This Row],[Product]]&amp;", "&amp;Inschrijf_MKI_Totaal[[#Headers],[A2]],Database_Productkaarten[#All],14,FALSE)*Optimalisatie!J27),Baseline_Backlog!E25),0))</f>
        <v>0</v>
      </c>
      <c r="F25" s="9">
        <f>(IF(Optimalisatie!C27="Nieuwe Situatie",_xlfn.IFNA(IF(Optimalisatie!E27="Categorie_1_LCA_Producten",VLOOKUP(Inschrijf_MKI_Totaal[[#This Row],[Product]],Categorie_1_Producten[#All],10,FALSE)*(Optimalisatie!J27),VLOOKUP(Inschrijf_MKI_Totaal[[#This Row],[Product]]&amp;", "&amp;Inschrijf_MKI_Totaal[[#Headers],[A3]],Database_Productkaarten[#All],14,FALSE)*Optimalisatie!J27),Baseline_Backlog!F25),0))</f>
        <v>0</v>
      </c>
      <c r="G25" s="9">
        <f>(IF(Optimalisatie!C27="Nieuwe Situatie",_xlfn.IFNA(IF(Optimalisatie!E27="Categorie_1_LCA_Producten",VLOOKUP(Inschrijf_MKI_Totaal[[#This Row],[Product]],Categorie_1_Producten[#All],11,FALSE)*(Optimalisatie!J27),VLOOKUP(Inschrijf_MKI_Totaal[[#This Row],[Product]]&amp;", "&amp;Inschrijf_MKI_Totaal[[#Headers],[A1-A3]],Database_Productkaarten[#All],14,FALSE)*Optimalisatie!J27),Baseline_Backlog!G25),0))</f>
        <v>0</v>
      </c>
      <c r="H25" s="9">
        <f>(IF(Optimalisatie!C27="Nieuwe Situatie",_xlfn.IFNA(VLOOKUP(Optimalisatie!V27,Database_Transport[#All],7,FALSE)*((IF(Optimalisatie!R27=0,Baseline!Q27,Optimalisatie!R27))*Optimalisatie!U27),Baseline_Backlog!H25),0))</f>
        <v>2045.5802238300003</v>
      </c>
      <c r="I25" s="9">
        <f>IF(Optimalisatie!C27="Nieuwe situatie",IF(_xlfn.IFNA((VLOOKUP(Optimalisatie!W27,Database_Asfalt_Aanlegset[#All],7,FALSE)*Optimalisatie!J27),0)+_xlfn.IFNA(VLOOKUP(Optimalisatie!X27,Database_Brandstoffen[#All],7,FALSE)*((Optimalisatie!J27/Optimalisatie!Z27)*Optimalisatie!Y27),0)&gt;0,_xlfn.IFNA((VLOOKUP(Optimalisatie!W27,Database_Asfalt_Aanlegset[#All],7,FALSE)*Optimalisatie!J27),0)+_xlfn.IFNA(VLOOKUP(Optimalisatie!X27,Database_Brandstoffen[#All],7,FALSE)*((Optimalisatie!J27/Optimalisatie!Z27)*Optimalisatie!Y27),0),(_xlfn.IFNA(VLOOKUP(Inschrijf_MKI_Totaal[[#This Row],[Product]]&amp;", "&amp;Inschrijf_MKI_Totaal[[#Headers],[A5]],Database_Productkaarten[#All],14,FALSE),0)*Optimalisatie!J27)),0)</f>
        <v>3490.3546080000001</v>
      </c>
      <c r="J25" s="9"/>
      <c r="K25" s="9">
        <f>(IF(Optimalisatie!C27="Nieuwe Situatie",_xlfn.IFNA(SUM(Inschrijf_MKI_Totaal[[#This Row],[A1]:[B1]],Inschrijf_MKI_Totaal[[#This Row],[C1]:[D2]])*Optimalisatie!T27,0),0))</f>
        <v>0</v>
      </c>
      <c r="L25" s="9">
        <f>IF(Optimalisatie!C27="Bestaande situatie",IF(_xlfn.IFNA((VLOOKUP(Optimalisatie!AA27,Database_Asfalt_Verwijderset[#All],7,FALSE)*Optimalisatie!J27),0)+_xlfn.IFNA(VLOOKUP(Optimalisatie!AB27,Database_Brandstoffen[#All],7,FALSE)*((Optimalisatie!J27/Optimalisatie!AD27)*Optimalisatie!AC27),0)&gt;0,_xlfn.IFNA((VLOOKUP(Optimalisatie!AA27,Database_Asfalt_Verwijderset[#All],7,FALSE)*Optimalisatie!J27),0)+_xlfn.IFNA(VLOOKUP(Optimalisatie!AB27,Database_Brandstoffen[#All],7,FALSE)*((Optimalisatie!J27/Optimalisatie!AD27)*Optimalisatie!AC27),0),(_xlfn.IFNA(VLOOKUP(Inschrijf_MKI_Totaal[[#This Row],[Product]]&amp;", "&amp;Inschrijf_MKI_Totaal[[#Headers],[C1]],Database_Productkaarten[#All],14,FALSE),0)*Optimalisatie!J27)),0)</f>
        <v>0</v>
      </c>
      <c r="M25" s="9">
        <f>(IF(Optimalisatie!C27="Bestaande Situatie",_xlfn.IFNA(VLOOKUP(Optimalisatie!AF27,Database_Transport[#All],7,FALSE)*(Optimalisatie!R27*Optimalisatie!AE27),Baseline_Backlog!M25),0))</f>
        <v>0</v>
      </c>
      <c r="N25" s="9">
        <f>(IF(Optimalisatie!C27="Bestaande Situatie",_xlfn.IFNA(VLOOKUP(Optimalisatie!AG27,Database_Asfalt_Verwerkingsset[#All],7,FALSE)*(Optimalisatie!J27/VLOOKUP(Optimalisatie!AG27,Database_Asfalt_Verwerkingsset[#All],8,FALSE)),Baseline_Backlog!N25),0))</f>
        <v>0</v>
      </c>
      <c r="O25" s="9">
        <f>(IF(Optimalisatie!C27="Bestaande Situatie",_xlfn.IFNA(VLOOKUP(Inschrijf_MKI_Totaal[[#This Row],[Product]]&amp;", "&amp;Inschrijf_MKI_Totaal[[#Headers],[C4]],Database_Productkaarten[#All],14,FALSE),Baseline_Backlog!O25)*Optimalisatie!J27,0))</f>
        <v>0</v>
      </c>
      <c r="P25" s="9">
        <f>(IF(Optimalisatie!C27="Bestaande Situatie",_xlfn.IFNA(IF(Optimalisatie!E27="Categorie_1_LCA_Producten",VLOOKUP(Inschrijf_MKI_Totaal[[#This Row],[Product]],Categorie_1_Producten[#All],12,FALSE)*(Optimalisatie!J27),VLOOKUP(Inschrijf_MKI_Totaal[[#This Row],[Product]]&amp;", "&amp;Inschrijf_MKI_Totaal[[#Headers],[D1]],Database_Productkaarten[#All],14,FALSE)*Optimalisatie!J27),Baseline_Backlog!P25),0))</f>
        <v>0</v>
      </c>
      <c r="Q25" s="9">
        <f>(IF(Optimalisatie!C27="Bestaande Situatie",_xlfn.IFNA(IF(Optimalisatie!E27="Categorie_1_LCA_Producten",VLOOKUP(Inschrijf_MKI_Totaal[[#This Row],[Product]],Categorie_1_Producten[#All],13,FALSE)*(Optimalisatie!J27),VLOOKUP(Inschrijf_MKI_Totaal[[#This Row],[Product]]&amp;", "&amp;Inschrijf_MKI_Totaal[[#Headers],[D2]],Database_Productkaarten[#All],14,FALSE)*Optimalisatie!J27),Baseline_Backlog!Q25),0))</f>
        <v>0</v>
      </c>
      <c r="R25" s="9">
        <f>(IF(Optimalisatie!C27="Bestaande Situatie",_xlfn.IFNA(IF(Optimalisatie!E27="Categorie_1_LCA_Producten",VLOOKUP(Inschrijf_MKI_Totaal[[#This Row],[Product]],Categorie_1_Producten[#All],13,FALSE)*(Optimalisatie!J27),VLOOKUP(Inschrijf_MKI_Totaal[[#This Row],[Product]]&amp;", "&amp;Inschrijf_MKI_Totaal[[#Headers],[D]],Database_Productkaarten[#All],14,FALSE)*Optimalisatie!J27),Baseline_Backlog!S25),0))</f>
        <v>0</v>
      </c>
      <c r="S25" s="301">
        <f>SUM(Inschrijf_MKI_Totaal[[#This Row],[A1-A3]:[C4]])+Inschrijf_MKI_Totaal[[#This Row],[D]]</f>
        <v>5535.9348318299999</v>
      </c>
      <c r="AA25" s="9">
        <f>_xlfn.IFNA((VLOOKUP(Optimalisatie!AA27,Database_Asfalt_Verwijderset[#All],7,FALSE)*Optimalisatie!J27),0)</f>
        <v>0</v>
      </c>
      <c r="AB25" s="9" t="e">
        <f>(VLOOKUP(Optimalisatie!AA27,Database_Asfalt_Verwijderset[#All],7,FALSE)*Optimalisatie!J27)</f>
        <v>#N/A</v>
      </c>
      <c r="AC25" s="332">
        <f>(_xlfn.IFNA(VLOOKUP(Inschrijf_MKI_Totaal[[#This Row],[Product]]&amp;", "&amp;Inschrijf_MKI_Totaal[[#Headers],[C1]],Database_Productkaarten[#All],14,FALSE),0)*Optimalisatie!J27)</f>
        <v>151.64600000000002</v>
      </c>
    </row>
    <row r="26" spans="2:29">
      <c r="B26" s="272" t="str">
        <f>Optimalisatie!B28</f>
        <v>430010 - Leveren en aanbrengen trottoirbanden 180/200x250</v>
      </c>
      <c r="C26" s="9" t="str">
        <f>Optimalisatie!F28</f>
        <v>Trottoirband 180/200x250</v>
      </c>
      <c r="D26" s="9">
        <f>(IF(Optimalisatie!C28="Nieuwe Situatie",_xlfn.IFNA(IF(Optimalisatie!E28="Categorie_1_LCA_Producten",VLOOKUP(Inschrijf_MKI_Totaal[[#This Row],[Product]],Categorie_1_Producten[#All],8,FALSE)*(Optimalisatie!J28),VLOOKUP(Inschrijf_MKI_Totaal[[#This Row],[Product]]&amp;", "&amp;Inschrijf_MKI_Totaal[[#Headers],[A1]],Database_Productkaarten[#All],14,FALSE)*Optimalisatie!J28),Baseline_Backlog!D26),0))</f>
        <v>0</v>
      </c>
      <c r="E26" s="9">
        <f>(IF(Optimalisatie!C28="Nieuwe Situatie",_xlfn.IFNA(IF(Optimalisatie!E28="Categorie_1_LCA_Producten",VLOOKUP(Inschrijf_MKI_Totaal[[#This Row],[Product]],Categorie_1_Producten[#All],9,FALSE)*(Optimalisatie!J28),VLOOKUP(Inschrijf_MKI_Totaal[[#This Row],[Product]]&amp;", "&amp;Inschrijf_MKI_Totaal[[#Headers],[A2]],Database_Productkaarten[#All],14,FALSE)*Optimalisatie!J28),Baseline_Backlog!E26),0))</f>
        <v>0</v>
      </c>
      <c r="F26" s="9">
        <f>(IF(Optimalisatie!C28="Nieuwe Situatie",_xlfn.IFNA(IF(Optimalisatie!E28="Categorie_1_LCA_Producten",VLOOKUP(Inschrijf_MKI_Totaal[[#This Row],[Product]],Categorie_1_Producten[#All],10,FALSE)*(Optimalisatie!J28),VLOOKUP(Inschrijf_MKI_Totaal[[#This Row],[Product]]&amp;", "&amp;Inschrijf_MKI_Totaal[[#Headers],[A3]],Database_Productkaarten[#All],14,FALSE)*Optimalisatie!J28),Baseline_Backlog!F26),0))</f>
        <v>0</v>
      </c>
      <c r="G26" s="9">
        <f>(IF(Optimalisatie!C28="Nieuwe Situatie",_xlfn.IFNA(IF(Optimalisatie!E28="Categorie_1_LCA_Producten",VLOOKUP(Inschrijf_MKI_Totaal[[#This Row],[Product]],Categorie_1_Producten[#All],11,FALSE)*(Optimalisatie!J28),VLOOKUP(Inschrijf_MKI_Totaal[[#This Row],[Product]]&amp;", "&amp;Inschrijf_MKI_Totaal[[#Headers],[A1-A3]],Database_Productkaarten[#All],14,FALSE)*Optimalisatie!J28),Baseline_Backlog!G26),0))</f>
        <v>50.371849999999995</v>
      </c>
      <c r="H26" s="9">
        <f>(IF(Optimalisatie!C28="Nieuwe Situatie",_xlfn.IFNA(VLOOKUP(Optimalisatie!V28,Database_Transport[#All],7,FALSE)*((IF(Optimalisatie!R28=0,Baseline!Q28,Optimalisatie!R28))*Optimalisatie!U28),Baseline_Backlog!H26),0))</f>
        <v>3.6454040971823756</v>
      </c>
      <c r="I26" s="9">
        <f>IF(Optimalisatie!C28="Nieuwe situatie",IF(_xlfn.IFNA((VLOOKUP(Optimalisatie!W28,Database_Asfalt_Aanlegset[#All],7,FALSE)*Optimalisatie!J28),0)+_xlfn.IFNA(VLOOKUP(Optimalisatie!X28,Database_Brandstoffen[#All],7,FALSE)*((Optimalisatie!J28/Optimalisatie!Z28)*Optimalisatie!Y28),0)&gt;0,_xlfn.IFNA((VLOOKUP(Optimalisatie!W28,Database_Asfalt_Aanlegset[#All],7,FALSE)*Optimalisatie!J28),0)+_xlfn.IFNA(VLOOKUP(Optimalisatie!X28,Database_Brandstoffen[#All],7,FALSE)*((Optimalisatie!J28/Optimalisatie!Z28)*Optimalisatie!Y28),0),(_xlfn.IFNA(VLOOKUP(Inschrijf_MKI_Totaal[[#This Row],[Product]]&amp;", "&amp;Inschrijf_MKI_Totaal[[#Headers],[A5]],Database_Productkaarten[#All],14,FALSE),0)*Optimalisatie!J28)),0)</f>
        <v>25.673244324512535</v>
      </c>
      <c r="J26" s="9"/>
      <c r="K26" s="9">
        <f>(IF(Optimalisatie!C28="Nieuwe Situatie",_xlfn.IFNA(SUM(Inschrijf_MKI_Totaal[[#This Row],[A1]:[B1]],Inschrijf_MKI_Totaal[[#This Row],[C1]:[D2]])*Optimalisatie!T28,0),0))</f>
        <v>0</v>
      </c>
      <c r="L26" s="9">
        <f>IF(Optimalisatie!C28="Bestaande situatie",IF(_xlfn.IFNA((VLOOKUP(Optimalisatie!AA28,Database_Asfalt_Verwijderset[#All],7,FALSE)*Optimalisatie!J28),0)+_xlfn.IFNA(VLOOKUP(Optimalisatie!AB28,Database_Brandstoffen[#All],7,FALSE)*((Optimalisatie!J28/Optimalisatie!AD28)*Optimalisatie!AC28),0)&gt;0,_xlfn.IFNA((VLOOKUP(Optimalisatie!AA28,Database_Asfalt_Verwijderset[#All],7,FALSE)*Optimalisatie!J28),0)+_xlfn.IFNA(VLOOKUP(Optimalisatie!AB28,Database_Brandstoffen[#All],7,FALSE)*((Optimalisatie!J28/Optimalisatie!AD28)*Optimalisatie!AC28),0),(_xlfn.IFNA(VLOOKUP(Inschrijf_MKI_Totaal[[#This Row],[Product]]&amp;", "&amp;Inschrijf_MKI_Totaal[[#Headers],[C1]],Database_Productkaarten[#All],14,FALSE),0)*Optimalisatie!J28)),0)</f>
        <v>0</v>
      </c>
      <c r="M26" s="9">
        <f>(IF(Optimalisatie!C28="Bestaande Situatie",_xlfn.IFNA(VLOOKUP(Optimalisatie!AF28,Database_Transport[#All],7,FALSE)*(Optimalisatie!R28*Optimalisatie!AE28),Baseline_Backlog!M26),0))</f>
        <v>0</v>
      </c>
      <c r="N26" s="9">
        <f>(IF(Optimalisatie!C28="Bestaande Situatie",_xlfn.IFNA(VLOOKUP(Optimalisatie!AG28,Database_Asfalt_Verwerkingsset[#All],7,FALSE)*(Optimalisatie!J28/VLOOKUP(Optimalisatie!AG28,Database_Asfalt_Verwerkingsset[#All],8,FALSE)),Baseline_Backlog!N26),0))</f>
        <v>0</v>
      </c>
      <c r="O26" s="9">
        <f>(IF(Optimalisatie!C28="Bestaande Situatie",_xlfn.IFNA(VLOOKUP(Inschrijf_MKI_Totaal[[#This Row],[Product]]&amp;", "&amp;Inschrijf_MKI_Totaal[[#Headers],[C4]],Database_Productkaarten[#All],14,FALSE),Baseline_Backlog!O26)*Optimalisatie!J28,0))</f>
        <v>0</v>
      </c>
      <c r="P26" s="9">
        <f>(IF(Optimalisatie!C28="Bestaande Situatie",_xlfn.IFNA(IF(Optimalisatie!E28="Categorie_1_LCA_Producten",VLOOKUP(Inschrijf_MKI_Totaal[[#This Row],[Product]],Categorie_1_Producten[#All],12,FALSE)*(Optimalisatie!J28),VLOOKUP(Inschrijf_MKI_Totaal[[#This Row],[Product]]&amp;", "&amp;Inschrijf_MKI_Totaal[[#Headers],[D1]],Database_Productkaarten[#All],14,FALSE)*Optimalisatie!J28),Baseline_Backlog!P26),0))</f>
        <v>0</v>
      </c>
      <c r="Q26" s="9">
        <f>(IF(Optimalisatie!C28="Bestaande Situatie",_xlfn.IFNA(IF(Optimalisatie!E28="Categorie_1_LCA_Producten",VLOOKUP(Inschrijf_MKI_Totaal[[#This Row],[Product]],Categorie_1_Producten[#All],13,FALSE)*(Optimalisatie!J28),VLOOKUP(Inschrijf_MKI_Totaal[[#This Row],[Product]]&amp;", "&amp;Inschrijf_MKI_Totaal[[#Headers],[D2]],Database_Productkaarten[#All],14,FALSE)*Optimalisatie!J28),Baseline_Backlog!Q26),0))</f>
        <v>0</v>
      </c>
      <c r="R26" s="9">
        <f>(IF(Optimalisatie!C28="Bestaande Situatie",_xlfn.IFNA(IF(Optimalisatie!E28="Categorie_1_LCA_Producten",VLOOKUP(Inschrijf_MKI_Totaal[[#This Row],[Product]],Categorie_1_Producten[#All],13,FALSE)*(Optimalisatie!J28),VLOOKUP(Inschrijf_MKI_Totaal[[#This Row],[Product]]&amp;", "&amp;Inschrijf_MKI_Totaal[[#Headers],[D]],Database_Productkaarten[#All],14,FALSE)*Optimalisatie!J28),Baseline_Backlog!S26),0))</f>
        <v>0</v>
      </c>
      <c r="S26" s="301">
        <f>SUM(Inschrijf_MKI_Totaal[[#This Row],[A1-A3]:[C4]])+Inschrijf_MKI_Totaal[[#This Row],[D]]</f>
        <v>79.690498421694912</v>
      </c>
      <c r="AA26" s="9">
        <f>_xlfn.IFNA((VLOOKUP(Optimalisatie!AA28,Database_Asfalt_Verwijderset[#All],7,FALSE)*Optimalisatie!J28),0)</f>
        <v>0</v>
      </c>
      <c r="AB26" s="9" t="e">
        <f>(VLOOKUP(Optimalisatie!AA28,Database_Asfalt_Verwijderset[#All],7,FALSE)*Optimalisatie!J28)</f>
        <v>#N/A</v>
      </c>
      <c r="AC26" s="332">
        <f>(_xlfn.IFNA(VLOOKUP(Inschrijf_MKI_Totaal[[#This Row],[Product]]&amp;", "&amp;Inschrijf_MKI_Totaal[[#Headers],[C1]],Database_Productkaarten[#All],14,FALSE),0)*Optimalisatie!J28)</f>
        <v>22.185850000000002</v>
      </c>
    </row>
    <row r="27" spans="2:29">
      <c r="B27" s="272" t="str">
        <f>Optimalisatie!B29</f>
        <v>430020 - Leveren en aanbrengen trottoirbanden 130/150x250</v>
      </c>
      <c r="C27" s="9" t="str">
        <f>Optimalisatie!F29</f>
        <v>Trottoirband 130/150x250</v>
      </c>
      <c r="D27" s="9">
        <f>(IF(Optimalisatie!C29="Nieuwe Situatie",_xlfn.IFNA(IF(Optimalisatie!E29="Categorie_1_LCA_Producten",VLOOKUP(Inschrijf_MKI_Totaal[[#This Row],[Product]],Categorie_1_Producten[#All],8,FALSE)*(Optimalisatie!J29),VLOOKUP(Inschrijf_MKI_Totaal[[#This Row],[Product]]&amp;", "&amp;Inschrijf_MKI_Totaal[[#Headers],[A1]],Database_Productkaarten[#All],14,FALSE)*Optimalisatie!J29),Baseline_Backlog!D27),0))</f>
        <v>0</v>
      </c>
      <c r="E27" s="9">
        <f>(IF(Optimalisatie!C29="Nieuwe Situatie",_xlfn.IFNA(IF(Optimalisatie!E29="Categorie_1_LCA_Producten",VLOOKUP(Inschrijf_MKI_Totaal[[#This Row],[Product]],Categorie_1_Producten[#All],9,FALSE)*(Optimalisatie!J29),VLOOKUP(Inschrijf_MKI_Totaal[[#This Row],[Product]]&amp;", "&amp;Inschrijf_MKI_Totaal[[#Headers],[A2]],Database_Productkaarten[#All],14,FALSE)*Optimalisatie!J29),Baseline_Backlog!E27),0))</f>
        <v>0</v>
      </c>
      <c r="F27" s="9">
        <f>(IF(Optimalisatie!C29="Nieuwe Situatie",_xlfn.IFNA(IF(Optimalisatie!E29="Categorie_1_LCA_Producten",VLOOKUP(Inschrijf_MKI_Totaal[[#This Row],[Product]],Categorie_1_Producten[#All],10,FALSE)*(Optimalisatie!J29),VLOOKUP(Inschrijf_MKI_Totaal[[#This Row],[Product]]&amp;", "&amp;Inschrijf_MKI_Totaal[[#Headers],[A3]],Database_Productkaarten[#All],14,FALSE)*Optimalisatie!J29),Baseline_Backlog!F27),0))</f>
        <v>0</v>
      </c>
      <c r="G27" s="9">
        <f>(IF(Optimalisatie!C29="Nieuwe Situatie",_xlfn.IFNA(IF(Optimalisatie!E29="Categorie_1_LCA_Producten",VLOOKUP(Inschrijf_MKI_Totaal[[#This Row],[Product]],Categorie_1_Producten[#All],11,FALSE)*(Optimalisatie!J29),VLOOKUP(Inschrijf_MKI_Totaal[[#This Row],[Product]]&amp;", "&amp;Inschrijf_MKI_Totaal[[#Headers],[A1-A3]],Database_Productkaarten[#All],14,FALSE)*Optimalisatie!J29),Baseline_Backlog!G27),0))</f>
        <v>185.47200000000001</v>
      </c>
      <c r="H27" s="9">
        <f>(IF(Optimalisatie!C29="Nieuwe Situatie",_xlfn.IFNA(VLOOKUP(Optimalisatie!V29,Database_Transport[#All],7,FALSE)*((IF(Optimalisatie!R29=0,Baseline!Q29,Optimalisatie!R29))*Optimalisatie!U29),Baseline_Backlog!H27),0))</f>
        <v>5.9184207695431503</v>
      </c>
      <c r="I27" s="9">
        <f>IF(Optimalisatie!C29="Nieuwe situatie",IF(_xlfn.IFNA((VLOOKUP(Optimalisatie!W29,Database_Asfalt_Aanlegset[#All],7,FALSE)*Optimalisatie!J29),0)+_xlfn.IFNA(VLOOKUP(Optimalisatie!X29,Database_Brandstoffen[#All],7,FALSE)*((Optimalisatie!J29/Optimalisatie!Z29)*Optimalisatie!Y29),0)&gt;0,_xlfn.IFNA((VLOOKUP(Optimalisatie!W29,Database_Asfalt_Aanlegset[#All],7,FALSE)*Optimalisatie!J29),0)+_xlfn.IFNA(VLOOKUP(Optimalisatie!X29,Database_Brandstoffen[#All],7,FALSE)*((Optimalisatie!J29/Optimalisatie!Z29)*Optimalisatie!Y29),0),(_xlfn.IFNA(VLOOKUP(Inschrijf_MKI_Totaal[[#This Row],[Product]]&amp;", "&amp;Inschrijf_MKI_Totaal[[#Headers],[A5]],Database_Productkaarten[#All],14,FALSE),0)*Optimalisatie!J29)),0)</f>
        <v>69.468778760445673</v>
      </c>
      <c r="J27" s="9"/>
      <c r="K27" s="9">
        <f>(IF(Optimalisatie!C29="Nieuwe Situatie",_xlfn.IFNA(SUM(Inschrijf_MKI_Totaal[[#This Row],[A1]:[B1]],Inschrijf_MKI_Totaal[[#This Row],[C1]:[D2]])*Optimalisatie!T29,0),0))</f>
        <v>0</v>
      </c>
      <c r="L27" s="9">
        <f>IF(Optimalisatie!C29="Bestaande situatie",IF(_xlfn.IFNA((VLOOKUP(Optimalisatie!AA29,Database_Asfalt_Verwijderset[#All],7,FALSE)*Optimalisatie!J29),0)+_xlfn.IFNA(VLOOKUP(Optimalisatie!AB29,Database_Brandstoffen[#All],7,FALSE)*((Optimalisatie!J29/Optimalisatie!AD29)*Optimalisatie!AC29),0)&gt;0,_xlfn.IFNA((VLOOKUP(Optimalisatie!AA29,Database_Asfalt_Verwijderset[#All],7,FALSE)*Optimalisatie!J29),0)+_xlfn.IFNA(VLOOKUP(Optimalisatie!AB29,Database_Brandstoffen[#All],7,FALSE)*((Optimalisatie!J29/Optimalisatie!AD29)*Optimalisatie!AC29),0),(_xlfn.IFNA(VLOOKUP(Inschrijf_MKI_Totaal[[#This Row],[Product]]&amp;", "&amp;Inschrijf_MKI_Totaal[[#Headers],[C1]],Database_Productkaarten[#All],14,FALSE),0)*Optimalisatie!J29)),0)</f>
        <v>0</v>
      </c>
      <c r="M27" s="9">
        <f>(IF(Optimalisatie!C29="Bestaande Situatie",_xlfn.IFNA(VLOOKUP(Optimalisatie!AF29,Database_Transport[#All],7,FALSE)*(Optimalisatie!R29*Optimalisatie!AE29),Baseline_Backlog!M27),0))</f>
        <v>0</v>
      </c>
      <c r="N27" s="9">
        <f>(IF(Optimalisatie!C29="Bestaande Situatie",_xlfn.IFNA(VLOOKUP(Optimalisatie!AG29,Database_Asfalt_Verwerkingsset[#All],7,FALSE)*(Optimalisatie!J29/VLOOKUP(Optimalisatie!AG29,Database_Asfalt_Verwerkingsset[#All],8,FALSE)),Baseline_Backlog!N27),0))</f>
        <v>0</v>
      </c>
      <c r="O27" s="9">
        <f>(IF(Optimalisatie!C29="Bestaande Situatie",_xlfn.IFNA(VLOOKUP(Inschrijf_MKI_Totaal[[#This Row],[Product]]&amp;", "&amp;Inschrijf_MKI_Totaal[[#Headers],[C4]],Database_Productkaarten[#All],14,FALSE),Baseline_Backlog!O27)*Optimalisatie!J29,0))</f>
        <v>0</v>
      </c>
      <c r="P27" s="9">
        <f>(IF(Optimalisatie!C29="Bestaande Situatie",_xlfn.IFNA(IF(Optimalisatie!E29="Categorie_1_LCA_Producten",VLOOKUP(Inschrijf_MKI_Totaal[[#This Row],[Product]],Categorie_1_Producten[#All],12,FALSE)*(Optimalisatie!J29),VLOOKUP(Inschrijf_MKI_Totaal[[#This Row],[Product]]&amp;", "&amp;Inschrijf_MKI_Totaal[[#Headers],[D1]],Database_Productkaarten[#All],14,FALSE)*Optimalisatie!J29),Baseline_Backlog!P27),0))</f>
        <v>0</v>
      </c>
      <c r="Q27" s="9">
        <f>(IF(Optimalisatie!C29="Bestaande Situatie",_xlfn.IFNA(IF(Optimalisatie!E29="Categorie_1_LCA_Producten",VLOOKUP(Inschrijf_MKI_Totaal[[#This Row],[Product]],Categorie_1_Producten[#All],13,FALSE)*(Optimalisatie!J29),VLOOKUP(Inschrijf_MKI_Totaal[[#This Row],[Product]]&amp;", "&amp;Inschrijf_MKI_Totaal[[#Headers],[D2]],Database_Productkaarten[#All],14,FALSE)*Optimalisatie!J29),Baseline_Backlog!Q27),0))</f>
        <v>0</v>
      </c>
      <c r="R27" s="9">
        <f>(IF(Optimalisatie!C29="Bestaande Situatie",_xlfn.IFNA(IF(Optimalisatie!E29="Categorie_1_LCA_Producten",VLOOKUP(Inschrijf_MKI_Totaal[[#This Row],[Product]],Categorie_1_Producten[#All],13,FALSE)*(Optimalisatie!J29),VLOOKUP(Inschrijf_MKI_Totaal[[#This Row],[Product]]&amp;", "&amp;Inschrijf_MKI_Totaal[[#Headers],[D]],Database_Productkaarten[#All],14,FALSE)*Optimalisatie!J29),Baseline_Backlog!S27),0))</f>
        <v>0</v>
      </c>
      <c r="S27" s="301">
        <f>SUM(Inschrijf_MKI_Totaal[[#This Row],[A1-A3]:[C4]])+Inschrijf_MKI_Totaal[[#This Row],[D]]</f>
        <v>260.85919952998881</v>
      </c>
      <c r="AA27" s="9">
        <f>_xlfn.IFNA((VLOOKUP(Optimalisatie!AA29,Database_Asfalt_Verwijderset[#All],7,FALSE)*Optimalisatie!J29),0)</f>
        <v>0</v>
      </c>
      <c r="AB27" s="9" t="e">
        <f>(VLOOKUP(Optimalisatie!AA29,Database_Asfalt_Verwijderset[#All],7,FALSE)*Optimalisatie!J29)</f>
        <v>#N/A</v>
      </c>
      <c r="AC27" s="332">
        <f>(_xlfn.IFNA(VLOOKUP(Inschrijf_MKI_Totaal[[#This Row],[Product]]&amp;", "&amp;Inschrijf_MKI_Totaal[[#Headers],[C1]],Database_Productkaarten[#All],14,FALSE),0)*Optimalisatie!J29)</f>
        <v>18.103300000000001</v>
      </c>
    </row>
    <row r="28" spans="2:29">
      <c r="B28" s="272" t="str">
        <f>Optimalisatie!B30</f>
        <v>430040 - Leveren en aanbrengen opsluitbanden 100x200</v>
      </c>
      <c r="C28" s="9" t="str">
        <f>Optimalisatie!F30</f>
        <v>Opsluitband 100x200</v>
      </c>
      <c r="D28" s="9">
        <f>(IF(Optimalisatie!C30="Nieuwe Situatie",_xlfn.IFNA(IF(Optimalisatie!E30="Categorie_1_LCA_Producten",VLOOKUP(Inschrijf_MKI_Totaal[[#This Row],[Product]],Categorie_1_Producten[#All],8,FALSE)*(Optimalisatie!J30),VLOOKUP(Inschrijf_MKI_Totaal[[#This Row],[Product]]&amp;", "&amp;Inschrijf_MKI_Totaal[[#Headers],[A1]],Database_Productkaarten[#All],14,FALSE)*Optimalisatie!J30),Baseline_Backlog!D28),0))</f>
        <v>444.14954999999992</v>
      </c>
      <c r="E28" s="9">
        <f>(IF(Optimalisatie!C30="Nieuwe Situatie",_xlfn.IFNA(IF(Optimalisatie!E30="Categorie_1_LCA_Producten",VLOOKUP(Inschrijf_MKI_Totaal[[#This Row],[Product]],Categorie_1_Producten[#All],9,FALSE)*(Optimalisatie!J30),VLOOKUP(Inschrijf_MKI_Totaal[[#This Row],[Product]]&amp;", "&amp;Inschrijf_MKI_Totaal[[#Headers],[A2]],Database_Productkaarten[#All],14,FALSE)*Optimalisatie!J30),Baseline_Backlog!E28),0))</f>
        <v>0</v>
      </c>
      <c r="F28" s="9">
        <f>(IF(Optimalisatie!C30="Nieuwe Situatie",_xlfn.IFNA(IF(Optimalisatie!E30="Categorie_1_LCA_Producten",VLOOKUP(Inschrijf_MKI_Totaal[[#This Row],[Product]],Categorie_1_Producten[#All],10,FALSE)*(Optimalisatie!J30),VLOOKUP(Inschrijf_MKI_Totaal[[#This Row],[Product]]&amp;", "&amp;Inschrijf_MKI_Totaal[[#Headers],[A3]],Database_Productkaarten[#All],14,FALSE)*Optimalisatie!J30),Baseline_Backlog!F28),0))</f>
        <v>0</v>
      </c>
      <c r="G28" s="9">
        <f>(IF(Optimalisatie!C30="Nieuwe Situatie",_xlfn.IFNA(IF(Optimalisatie!E30="Categorie_1_LCA_Producten",VLOOKUP(Inschrijf_MKI_Totaal[[#This Row],[Product]],Categorie_1_Producten[#All],11,FALSE)*(Optimalisatie!J30),VLOOKUP(Inschrijf_MKI_Totaal[[#This Row],[Product]]&amp;", "&amp;Inschrijf_MKI_Totaal[[#Headers],[A1-A3]],Database_Productkaarten[#All],14,FALSE)*Optimalisatie!J30),Baseline_Backlog!G28),0))</f>
        <v>638.26035000000002</v>
      </c>
      <c r="H28" s="9">
        <f>(IF(Optimalisatie!C30="Nieuwe Situatie",_xlfn.IFNA(VLOOKUP(Optimalisatie!V30,Database_Transport[#All],7,FALSE)*((IF(Optimalisatie!R30=0,Baseline!Q30,Optimalisatie!R30))*Optimalisatie!U30),Baseline_Backlog!H28),0))</f>
        <v>20.763617349850378</v>
      </c>
      <c r="I28" s="9">
        <f>IF(Optimalisatie!C30="Nieuwe situatie",IF(_xlfn.IFNA((VLOOKUP(Optimalisatie!W30,Database_Asfalt_Aanlegset[#All],7,FALSE)*Optimalisatie!J30),0)+_xlfn.IFNA(VLOOKUP(Optimalisatie!X30,Database_Brandstoffen[#All],7,FALSE)*((Optimalisatie!J30/Optimalisatie!Z30)*Optimalisatie!Y30),0)&gt;0,_xlfn.IFNA((VLOOKUP(Optimalisatie!W30,Database_Asfalt_Aanlegset[#All],7,FALSE)*Optimalisatie!J30),0)+_xlfn.IFNA(VLOOKUP(Optimalisatie!X30,Database_Brandstoffen[#All],7,FALSE)*((Optimalisatie!J30/Optimalisatie!Z30)*Optimalisatie!Y30),0),(_xlfn.IFNA(VLOOKUP(Inschrijf_MKI_Totaal[[#This Row],[Product]]&amp;", "&amp;Inschrijf_MKI_Totaal[[#Headers],[A5]],Database_Productkaarten[#All],14,FALSE),0)*Optimalisatie!J30)),0)</f>
        <v>401.37516617146395</v>
      </c>
      <c r="J28" s="9"/>
      <c r="K28" s="9">
        <f>(IF(Optimalisatie!C30="Nieuwe Situatie",_xlfn.IFNA(SUM(Inschrijf_MKI_Totaal[[#This Row],[A1]:[B1]],Inschrijf_MKI_Totaal[[#This Row],[C1]:[D2]])*Optimalisatie!T30,0),0))</f>
        <v>0</v>
      </c>
      <c r="L28" s="9">
        <f>IF(Optimalisatie!C30="Bestaande situatie",IF(_xlfn.IFNA((VLOOKUP(Optimalisatie!AA30,Database_Asfalt_Verwijderset[#All],7,FALSE)*Optimalisatie!J30),0)+_xlfn.IFNA(VLOOKUP(Optimalisatie!AB30,Database_Brandstoffen[#All],7,FALSE)*((Optimalisatie!J30/Optimalisatie!AD30)*Optimalisatie!AC30),0)&gt;0,_xlfn.IFNA((VLOOKUP(Optimalisatie!AA30,Database_Asfalt_Verwijderset[#All],7,FALSE)*Optimalisatie!J30),0)+_xlfn.IFNA(VLOOKUP(Optimalisatie!AB30,Database_Brandstoffen[#All],7,FALSE)*((Optimalisatie!J30/Optimalisatie!AD30)*Optimalisatie!AC30),0),(_xlfn.IFNA(VLOOKUP(Inschrijf_MKI_Totaal[[#This Row],[Product]]&amp;", "&amp;Inschrijf_MKI_Totaal[[#Headers],[C1]],Database_Productkaarten[#All],14,FALSE),0)*Optimalisatie!J30)),0)</f>
        <v>0</v>
      </c>
      <c r="M28" s="9">
        <f>(IF(Optimalisatie!C30="Bestaande Situatie",_xlfn.IFNA(VLOOKUP(Optimalisatie!AF30,Database_Transport[#All],7,FALSE)*(Optimalisatie!R30*Optimalisatie!AE30),Baseline_Backlog!M28),0))</f>
        <v>0</v>
      </c>
      <c r="N28" s="9">
        <f>(IF(Optimalisatie!C30="Bestaande Situatie",_xlfn.IFNA(VLOOKUP(Optimalisatie!AG30,Database_Asfalt_Verwerkingsset[#All],7,FALSE)*(Optimalisatie!J30/VLOOKUP(Optimalisatie!AG30,Database_Asfalt_Verwerkingsset[#All],8,FALSE)),Baseline_Backlog!N28),0))</f>
        <v>0</v>
      </c>
      <c r="O28" s="9">
        <f>(IF(Optimalisatie!C30="Bestaande Situatie",_xlfn.IFNA(VLOOKUP(Inschrijf_MKI_Totaal[[#This Row],[Product]]&amp;", "&amp;Inschrijf_MKI_Totaal[[#Headers],[C4]],Database_Productkaarten[#All],14,FALSE),Baseline_Backlog!O28)*Optimalisatie!J30,0))</f>
        <v>0</v>
      </c>
      <c r="P28" s="9">
        <f>(IF(Optimalisatie!C30="Bestaande Situatie",_xlfn.IFNA(IF(Optimalisatie!E30="Categorie_1_LCA_Producten",VLOOKUP(Inschrijf_MKI_Totaal[[#This Row],[Product]],Categorie_1_Producten[#All],12,FALSE)*(Optimalisatie!J30),VLOOKUP(Inschrijf_MKI_Totaal[[#This Row],[Product]]&amp;", "&amp;Inschrijf_MKI_Totaal[[#Headers],[D1]],Database_Productkaarten[#All],14,FALSE)*Optimalisatie!J30),Baseline_Backlog!P28),0))</f>
        <v>0</v>
      </c>
      <c r="Q28" s="9">
        <f>(IF(Optimalisatie!C30="Bestaande Situatie",_xlfn.IFNA(IF(Optimalisatie!E30="Categorie_1_LCA_Producten",VLOOKUP(Inschrijf_MKI_Totaal[[#This Row],[Product]],Categorie_1_Producten[#All],13,FALSE)*(Optimalisatie!J30),VLOOKUP(Inschrijf_MKI_Totaal[[#This Row],[Product]]&amp;", "&amp;Inschrijf_MKI_Totaal[[#Headers],[D2]],Database_Productkaarten[#All],14,FALSE)*Optimalisatie!J30),Baseline_Backlog!Q28),0))</f>
        <v>0</v>
      </c>
      <c r="R28" s="9">
        <f>(IF(Optimalisatie!C30="Bestaande Situatie",_xlfn.IFNA(IF(Optimalisatie!E30="Categorie_1_LCA_Producten",VLOOKUP(Inschrijf_MKI_Totaal[[#This Row],[Product]],Categorie_1_Producten[#All],13,FALSE)*(Optimalisatie!J30),VLOOKUP(Inschrijf_MKI_Totaal[[#This Row],[Product]]&amp;", "&amp;Inschrijf_MKI_Totaal[[#Headers],[D]],Database_Productkaarten[#All],14,FALSE)*Optimalisatie!J30),Baseline_Backlog!S28),0))</f>
        <v>0</v>
      </c>
      <c r="S28" s="301">
        <f>SUM(Inschrijf_MKI_Totaal[[#This Row],[A1-A3]:[C4]])+Inschrijf_MKI_Totaal[[#This Row],[D]]</f>
        <v>1060.3991335213143</v>
      </c>
      <c r="AA28" s="9">
        <f>_xlfn.IFNA((VLOOKUP(Optimalisatie!AA30,Database_Asfalt_Verwijderset[#All],7,FALSE)*Optimalisatie!J30),0)</f>
        <v>0</v>
      </c>
      <c r="AB28" s="9" t="e">
        <f>(VLOOKUP(Optimalisatie!AA30,Database_Asfalt_Verwijderset[#All],7,FALSE)*Optimalisatie!J30)</f>
        <v>#N/A</v>
      </c>
      <c r="AC28" s="332">
        <f>(_xlfn.IFNA(VLOOKUP(Inschrijf_MKI_Totaal[[#This Row],[Product]]&amp;", "&amp;Inschrijf_MKI_Totaal[[#Headers],[C1]],Database_Productkaarten[#All],14,FALSE),0)*Optimalisatie!J30)</f>
        <v>117.65650000000001</v>
      </c>
    </row>
    <row r="29" spans="2:29">
      <c r="B29" s="272" t="str">
        <f>Optimalisatie!B31</f>
        <v>430050 - Leveren en aanbrengen opsluitbanden 120x250</v>
      </c>
      <c r="C29" s="9" t="str">
        <f>Optimalisatie!F31</f>
        <v>Opsluitband 150x250</v>
      </c>
      <c r="D29" s="9">
        <f>(IF(Optimalisatie!C31="Nieuwe Situatie",_xlfn.IFNA(IF(Optimalisatie!E31="Categorie_1_LCA_Producten",VLOOKUP(Inschrijf_MKI_Totaal[[#This Row],[Product]],Categorie_1_Producten[#All],8,FALSE)*(Optimalisatie!J31),VLOOKUP(Inschrijf_MKI_Totaal[[#This Row],[Product]]&amp;", "&amp;Inschrijf_MKI_Totaal[[#Headers],[A1]],Database_Productkaarten[#All],14,FALSE)*Optimalisatie!J31),Baseline_Backlog!D29),0))</f>
        <v>779.86124999999993</v>
      </c>
      <c r="E29" s="9">
        <f>(IF(Optimalisatie!C31="Nieuwe Situatie",_xlfn.IFNA(IF(Optimalisatie!E31="Categorie_1_LCA_Producten",VLOOKUP(Inschrijf_MKI_Totaal[[#This Row],[Product]],Categorie_1_Producten[#All],9,FALSE)*(Optimalisatie!J31),VLOOKUP(Inschrijf_MKI_Totaal[[#This Row],[Product]]&amp;", "&amp;Inschrijf_MKI_Totaal[[#Headers],[A2]],Database_Productkaarten[#All],14,FALSE)*Optimalisatie!J31),Baseline_Backlog!E29),0))</f>
        <v>0</v>
      </c>
      <c r="F29" s="9">
        <f>(IF(Optimalisatie!C31="Nieuwe Situatie",_xlfn.IFNA(IF(Optimalisatie!E31="Categorie_1_LCA_Producten",VLOOKUP(Inschrijf_MKI_Totaal[[#This Row],[Product]],Categorie_1_Producten[#All],10,FALSE)*(Optimalisatie!J31),VLOOKUP(Inschrijf_MKI_Totaal[[#This Row],[Product]]&amp;", "&amp;Inschrijf_MKI_Totaal[[#Headers],[A3]],Database_Productkaarten[#All],14,FALSE)*Optimalisatie!J31),Baseline_Backlog!F29),0))</f>
        <v>0</v>
      </c>
      <c r="G29" s="9">
        <f>(IF(Optimalisatie!C31="Nieuwe Situatie",_xlfn.IFNA(IF(Optimalisatie!E31="Categorie_1_LCA_Producten",VLOOKUP(Inschrijf_MKI_Totaal[[#This Row],[Product]],Categorie_1_Producten[#All],11,FALSE)*(Optimalisatie!J31),VLOOKUP(Inschrijf_MKI_Totaal[[#This Row],[Product]]&amp;", "&amp;Inschrijf_MKI_Totaal[[#Headers],[A1-A3]],Database_Productkaarten[#All],14,FALSE)*Optimalisatie!J31),Baseline_Backlog!G29),0))</f>
        <v>1120.6912499999999</v>
      </c>
      <c r="H29" s="9">
        <f>(IF(Optimalisatie!C31="Nieuwe Situatie",_xlfn.IFNA(VLOOKUP(Optimalisatie!V31,Database_Transport[#All],7,FALSE)*((IF(Optimalisatie!R31=0,Baseline!Q31,Optimalisatie!R31))*Optimalisatie!U31),Baseline_Backlog!H29),0))</f>
        <v>36.457856550740637</v>
      </c>
      <c r="I29" s="9">
        <f>IF(Optimalisatie!C31="Nieuwe situatie",IF(_xlfn.IFNA((VLOOKUP(Optimalisatie!W31,Database_Asfalt_Aanlegset[#All],7,FALSE)*Optimalisatie!J31),0)+_xlfn.IFNA(VLOOKUP(Optimalisatie!X31,Database_Brandstoffen[#All],7,FALSE)*((Optimalisatie!J31/Optimalisatie!Z31)*Optimalisatie!Y31),0)&gt;0,_xlfn.IFNA((VLOOKUP(Optimalisatie!W31,Database_Asfalt_Aanlegset[#All],7,FALSE)*Optimalisatie!J31),0)+_xlfn.IFNA(VLOOKUP(Optimalisatie!X31,Database_Brandstoffen[#All],7,FALSE)*((Optimalisatie!J31/Optimalisatie!Z31)*Optimalisatie!Y31),0),(_xlfn.IFNA(VLOOKUP(Inschrijf_MKI_Totaal[[#This Row],[Product]]&amp;", "&amp;Inschrijf_MKI_Totaal[[#Headers],[A5]],Database_Productkaarten[#All],14,FALSE),0)*Optimalisatie!J31)),0)</f>
        <v>422.85343593314758</v>
      </c>
      <c r="J29" s="9"/>
      <c r="K29" s="9">
        <f>(IF(Optimalisatie!C31="Nieuwe Situatie",_xlfn.IFNA(SUM(Inschrijf_MKI_Totaal[[#This Row],[A1]:[B1]],Inschrijf_MKI_Totaal[[#This Row],[C1]:[D2]])*Optimalisatie!T31,0),0))</f>
        <v>0</v>
      </c>
      <c r="L29" s="9">
        <f>IF(Optimalisatie!C31="Bestaande situatie",IF(_xlfn.IFNA((VLOOKUP(Optimalisatie!AA31,Database_Asfalt_Verwijderset[#All],7,FALSE)*Optimalisatie!J31),0)+_xlfn.IFNA(VLOOKUP(Optimalisatie!AB31,Database_Brandstoffen[#All],7,FALSE)*((Optimalisatie!J31/Optimalisatie!AD31)*Optimalisatie!AC31),0)&gt;0,_xlfn.IFNA((VLOOKUP(Optimalisatie!AA31,Database_Asfalt_Verwijderset[#All],7,FALSE)*Optimalisatie!J31),0)+_xlfn.IFNA(VLOOKUP(Optimalisatie!AB31,Database_Brandstoffen[#All],7,FALSE)*((Optimalisatie!J31/Optimalisatie!AD31)*Optimalisatie!AC31),0),(_xlfn.IFNA(VLOOKUP(Inschrijf_MKI_Totaal[[#This Row],[Product]]&amp;", "&amp;Inschrijf_MKI_Totaal[[#Headers],[C1]],Database_Productkaarten[#All],14,FALSE),0)*Optimalisatie!J31)),0)</f>
        <v>0</v>
      </c>
      <c r="M29" s="9">
        <f>(IF(Optimalisatie!C31="Bestaande Situatie",_xlfn.IFNA(VLOOKUP(Optimalisatie!AF31,Database_Transport[#All],7,FALSE)*(Optimalisatie!R31*Optimalisatie!AE31),Baseline_Backlog!M29),0))</f>
        <v>0</v>
      </c>
      <c r="N29" s="9">
        <f>(IF(Optimalisatie!C31="Bestaande Situatie",_xlfn.IFNA(VLOOKUP(Optimalisatie!AG31,Database_Asfalt_Verwerkingsset[#All],7,FALSE)*(Optimalisatie!J31/VLOOKUP(Optimalisatie!AG31,Database_Asfalt_Verwerkingsset[#All],8,FALSE)),Baseline_Backlog!N29),0))</f>
        <v>0</v>
      </c>
      <c r="O29" s="9">
        <f>(IF(Optimalisatie!C31="Bestaande Situatie",_xlfn.IFNA(VLOOKUP(Inschrijf_MKI_Totaal[[#This Row],[Product]]&amp;", "&amp;Inschrijf_MKI_Totaal[[#Headers],[C4]],Database_Productkaarten[#All],14,FALSE),Baseline_Backlog!O29)*Optimalisatie!J31,0))</f>
        <v>0</v>
      </c>
      <c r="P29" s="9">
        <f>(IF(Optimalisatie!C31="Bestaande Situatie",_xlfn.IFNA(IF(Optimalisatie!E31="Categorie_1_LCA_Producten",VLOOKUP(Inschrijf_MKI_Totaal[[#This Row],[Product]],Categorie_1_Producten[#All],12,FALSE)*(Optimalisatie!J31),VLOOKUP(Inschrijf_MKI_Totaal[[#This Row],[Product]]&amp;", "&amp;Inschrijf_MKI_Totaal[[#Headers],[D1]],Database_Productkaarten[#All],14,FALSE)*Optimalisatie!J31),Baseline_Backlog!P29),0))</f>
        <v>0</v>
      </c>
      <c r="Q29" s="9">
        <f>(IF(Optimalisatie!C31="Bestaande Situatie",_xlfn.IFNA(IF(Optimalisatie!E31="Categorie_1_LCA_Producten",VLOOKUP(Inschrijf_MKI_Totaal[[#This Row],[Product]],Categorie_1_Producten[#All],13,FALSE)*(Optimalisatie!J31),VLOOKUP(Inschrijf_MKI_Totaal[[#This Row],[Product]]&amp;", "&amp;Inschrijf_MKI_Totaal[[#Headers],[D2]],Database_Productkaarten[#All],14,FALSE)*Optimalisatie!J31),Baseline_Backlog!Q29),0))</f>
        <v>0</v>
      </c>
      <c r="R29" s="9">
        <f>(IF(Optimalisatie!C31="Bestaande Situatie",_xlfn.IFNA(IF(Optimalisatie!E31="Categorie_1_LCA_Producten",VLOOKUP(Inschrijf_MKI_Totaal[[#This Row],[Product]],Categorie_1_Producten[#All],13,FALSE)*(Optimalisatie!J31),VLOOKUP(Inschrijf_MKI_Totaal[[#This Row],[Product]]&amp;", "&amp;Inschrijf_MKI_Totaal[[#Headers],[D]],Database_Productkaarten[#All],14,FALSE)*Optimalisatie!J31),Baseline_Backlog!S29),0))</f>
        <v>0</v>
      </c>
      <c r="S29" s="301">
        <f>SUM(Inschrijf_MKI_Totaal[[#This Row],[A1-A3]:[C4]])+Inschrijf_MKI_Totaal[[#This Row],[D]]</f>
        <v>1580.0025424838882</v>
      </c>
      <c r="AA29" s="9">
        <f>_xlfn.IFNA((VLOOKUP(Optimalisatie!AA31,Database_Asfalt_Verwijderset[#All],7,FALSE)*Optimalisatie!J31),0)</f>
        <v>0</v>
      </c>
      <c r="AB29" s="9" t="e">
        <f>(VLOOKUP(Optimalisatie!AA31,Database_Asfalt_Verwijderset[#All],7,FALSE)*Optimalisatie!J31)</f>
        <v>#N/A</v>
      </c>
      <c r="AC29" s="332">
        <f>(_xlfn.IFNA(VLOOKUP(Inschrijf_MKI_Totaal[[#This Row],[Product]]&amp;", "&amp;Inschrijf_MKI_Totaal[[#Headers],[C1]],Database_Productkaarten[#All],14,FALSE),0)*Optimalisatie!J31)</f>
        <v>206.58750000000001</v>
      </c>
    </row>
    <row r="30" spans="2:29">
      <c r="B30" s="272" t="str">
        <f>Optimalisatie!B32</f>
        <v>440010 - Aanbrengen straatbakstenen DF, Rood (rijweg)</v>
      </c>
      <c r="C30" s="9" t="str">
        <f>Optimalisatie!F32</f>
        <v>Baksteen</v>
      </c>
      <c r="D30" s="9">
        <f>(IF(Optimalisatie!C32="Nieuwe Situatie",_xlfn.IFNA(IF(Optimalisatie!E32="Categorie_1_LCA_Producten",VLOOKUP(Inschrijf_MKI_Totaal[[#This Row],[Product]],Categorie_1_Producten[#All],8,FALSE)*(Optimalisatie!J32),VLOOKUP(Inschrijf_MKI_Totaal[[#This Row],[Product]]&amp;", "&amp;Inschrijf_MKI_Totaal[[#Headers],[A1]],Database_Productkaarten[#All],14,FALSE)*Optimalisatie!J32),Baseline_Backlog!D30),0))</f>
        <v>0</v>
      </c>
      <c r="E30" s="9">
        <f>(IF(Optimalisatie!C32="Nieuwe Situatie",_xlfn.IFNA(IF(Optimalisatie!E32="Categorie_1_LCA_Producten",VLOOKUP(Inschrijf_MKI_Totaal[[#This Row],[Product]],Categorie_1_Producten[#All],9,FALSE)*(Optimalisatie!J32),VLOOKUP(Inschrijf_MKI_Totaal[[#This Row],[Product]]&amp;", "&amp;Inschrijf_MKI_Totaal[[#Headers],[A2]],Database_Productkaarten[#All],14,FALSE)*Optimalisatie!J32),Baseline_Backlog!E30),0))</f>
        <v>0</v>
      </c>
      <c r="F30" s="9">
        <f>(IF(Optimalisatie!C32="Nieuwe Situatie",_xlfn.IFNA(IF(Optimalisatie!E32="Categorie_1_LCA_Producten",VLOOKUP(Inschrijf_MKI_Totaal[[#This Row],[Product]],Categorie_1_Producten[#All],10,FALSE)*(Optimalisatie!J32),VLOOKUP(Inschrijf_MKI_Totaal[[#This Row],[Product]]&amp;", "&amp;Inschrijf_MKI_Totaal[[#Headers],[A3]],Database_Productkaarten[#All],14,FALSE)*Optimalisatie!J32),Baseline_Backlog!F30),0))</f>
        <v>0</v>
      </c>
      <c r="G30" s="9">
        <f>(IF(Optimalisatie!C32="Nieuwe Situatie",_xlfn.IFNA(IF(Optimalisatie!E32="Categorie_1_LCA_Producten",VLOOKUP(Inschrijf_MKI_Totaal[[#This Row],[Product]],Categorie_1_Producten[#All],11,FALSE)*(Optimalisatie!J32),VLOOKUP(Inschrijf_MKI_Totaal[[#This Row],[Product]]&amp;", "&amp;Inschrijf_MKI_Totaal[[#Headers],[A1-A3]],Database_Productkaarten[#All],14,FALSE)*Optimalisatie!J32),Baseline_Backlog!G30),0))</f>
        <v>14671.189049999999</v>
      </c>
      <c r="H30" s="9">
        <f>(IF(Optimalisatie!C32="Nieuwe Situatie",_xlfn.IFNA(VLOOKUP(Optimalisatie!V32,Database_Transport[#All],7,FALSE)*((IF(Optimalisatie!R32=0,Baseline!Q32,Optimalisatie!R32))*Optimalisatie!U32),Baseline_Backlog!H30),0))</f>
        <v>312.44324755490004</v>
      </c>
      <c r="I30" s="9">
        <f>IF(Optimalisatie!C32="Nieuwe situatie",IF(_xlfn.IFNA((VLOOKUP(Optimalisatie!W32,Database_Asfalt_Aanlegset[#All],7,FALSE)*Optimalisatie!J32),0)+_xlfn.IFNA(VLOOKUP(Optimalisatie!X32,Database_Brandstoffen[#All],7,FALSE)*((Optimalisatie!J32/Optimalisatie!Z32)*Optimalisatie!Y32),0)&gt;0,_xlfn.IFNA((VLOOKUP(Optimalisatie!W32,Database_Asfalt_Aanlegset[#All],7,FALSE)*Optimalisatie!J32),0)+_xlfn.IFNA(VLOOKUP(Optimalisatie!X32,Database_Brandstoffen[#All],7,FALSE)*((Optimalisatie!J32/Optimalisatie!Z32)*Optimalisatie!Y32),0),(_xlfn.IFNA(VLOOKUP(Inschrijf_MKI_Totaal[[#This Row],[Product]]&amp;", "&amp;Inschrijf_MKI_Totaal[[#Headers],[A5]],Database_Productkaarten[#All],14,FALSE),0)*Optimalisatie!J32)),0)</f>
        <v>3732.6374300670004</v>
      </c>
      <c r="J30" s="9"/>
      <c r="K30" s="9">
        <f>(IF(Optimalisatie!C32="Nieuwe Situatie",_xlfn.IFNA(SUM(Inschrijf_MKI_Totaal[[#This Row],[A1]:[B1]],Inschrijf_MKI_Totaal[[#This Row],[C1]:[D2]])*Optimalisatie!T32,0),0))</f>
        <v>0</v>
      </c>
      <c r="L30" s="9">
        <f>IF(Optimalisatie!C32="Bestaande situatie",IF(_xlfn.IFNA((VLOOKUP(Optimalisatie!AA32,Database_Asfalt_Verwijderset[#All],7,FALSE)*Optimalisatie!J32),0)+_xlfn.IFNA(VLOOKUP(Optimalisatie!AB32,Database_Brandstoffen[#All],7,FALSE)*((Optimalisatie!J32/Optimalisatie!AD32)*Optimalisatie!AC32),0)&gt;0,_xlfn.IFNA((VLOOKUP(Optimalisatie!AA32,Database_Asfalt_Verwijderset[#All],7,FALSE)*Optimalisatie!J32),0)+_xlfn.IFNA(VLOOKUP(Optimalisatie!AB32,Database_Brandstoffen[#All],7,FALSE)*((Optimalisatie!J32/Optimalisatie!AD32)*Optimalisatie!AC32),0),(_xlfn.IFNA(VLOOKUP(Inschrijf_MKI_Totaal[[#This Row],[Product]]&amp;", "&amp;Inschrijf_MKI_Totaal[[#Headers],[C1]],Database_Productkaarten[#All],14,FALSE),0)*Optimalisatie!J32)),0)</f>
        <v>0</v>
      </c>
      <c r="M30" s="9">
        <f>(IF(Optimalisatie!C32="Bestaande Situatie",_xlfn.IFNA(VLOOKUP(Optimalisatie!AF32,Database_Transport[#All],7,FALSE)*(Optimalisatie!R32*Optimalisatie!AE32),Baseline_Backlog!M30),0))</f>
        <v>0</v>
      </c>
      <c r="N30" s="9">
        <f>(IF(Optimalisatie!C32="Bestaande Situatie",_xlfn.IFNA(VLOOKUP(Optimalisatie!AG32,Database_Asfalt_Verwerkingsset[#All],7,FALSE)*(Optimalisatie!J32/VLOOKUP(Optimalisatie!AG32,Database_Asfalt_Verwerkingsset[#All],8,FALSE)),Baseline_Backlog!N30),0))</f>
        <v>0</v>
      </c>
      <c r="O30" s="9">
        <f>(IF(Optimalisatie!C32="Bestaande Situatie",_xlfn.IFNA(VLOOKUP(Inschrijf_MKI_Totaal[[#This Row],[Product]]&amp;", "&amp;Inschrijf_MKI_Totaal[[#Headers],[C4]],Database_Productkaarten[#All],14,FALSE),Baseline_Backlog!O30)*Optimalisatie!J32,0))</f>
        <v>0</v>
      </c>
      <c r="P30" s="9">
        <f>(IF(Optimalisatie!C32="Bestaande Situatie",_xlfn.IFNA(IF(Optimalisatie!E32="Categorie_1_LCA_Producten",VLOOKUP(Inschrijf_MKI_Totaal[[#This Row],[Product]],Categorie_1_Producten[#All],12,FALSE)*(Optimalisatie!J32),VLOOKUP(Inschrijf_MKI_Totaal[[#This Row],[Product]]&amp;", "&amp;Inschrijf_MKI_Totaal[[#Headers],[D1]],Database_Productkaarten[#All],14,FALSE)*Optimalisatie!J32),Baseline_Backlog!P30),0))</f>
        <v>0</v>
      </c>
      <c r="Q30" s="9">
        <f>(IF(Optimalisatie!C32="Bestaande Situatie",_xlfn.IFNA(IF(Optimalisatie!E32="Categorie_1_LCA_Producten",VLOOKUP(Inschrijf_MKI_Totaal[[#This Row],[Product]],Categorie_1_Producten[#All],13,FALSE)*(Optimalisatie!J32),VLOOKUP(Inschrijf_MKI_Totaal[[#This Row],[Product]]&amp;", "&amp;Inschrijf_MKI_Totaal[[#Headers],[D2]],Database_Productkaarten[#All],14,FALSE)*Optimalisatie!J32),Baseline_Backlog!Q30),0))</f>
        <v>0</v>
      </c>
      <c r="R30" s="9">
        <f>(IF(Optimalisatie!C32="Bestaande Situatie",_xlfn.IFNA(IF(Optimalisatie!E32="Categorie_1_LCA_Producten",VLOOKUP(Inschrijf_MKI_Totaal[[#This Row],[Product]],Categorie_1_Producten[#All],13,FALSE)*(Optimalisatie!J32),VLOOKUP(Inschrijf_MKI_Totaal[[#This Row],[Product]]&amp;", "&amp;Inschrijf_MKI_Totaal[[#Headers],[D]],Database_Productkaarten[#All],14,FALSE)*Optimalisatie!J32),Baseline_Backlog!S30),0))</f>
        <v>0</v>
      </c>
      <c r="S30" s="301">
        <f>SUM(Inschrijf_MKI_Totaal[[#This Row],[A1-A3]:[C4]])+Inschrijf_MKI_Totaal[[#This Row],[D]]</f>
        <v>18716.269727621901</v>
      </c>
      <c r="AA30" s="9">
        <f>_xlfn.IFNA((VLOOKUP(Optimalisatie!AA32,Database_Asfalt_Verwijderset[#All],7,FALSE)*Optimalisatie!J32),0)</f>
        <v>0</v>
      </c>
      <c r="AB30" s="9" t="e">
        <f>(VLOOKUP(Optimalisatie!AA32,Database_Asfalt_Verwijderset[#All],7,FALSE)*Optimalisatie!J32)</f>
        <v>#N/A</v>
      </c>
      <c r="AC30" s="332">
        <f>(_xlfn.IFNA(VLOOKUP(Inschrijf_MKI_Totaal[[#This Row],[Product]]&amp;", "&amp;Inschrijf_MKI_Totaal[[#Headers],[C1]],Database_Productkaarten[#All],14,FALSE),0)*Optimalisatie!J32)</f>
        <v>311.49579999999997</v>
      </c>
    </row>
    <row r="31" spans="2:29">
      <c r="B31" s="272" t="str">
        <f>Optimalisatie!B33</f>
        <v>440020 - Aanbrengen straatbakstenen DF, Geel (rijweg/ plein)</v>
      </c>
      <c r="C31" s="9" t="str">
        <f>Optimalisatie!F33</f>
        <v>Baksteen</v>
      </c>
      <c r="D31" s="9">
        <f>(IF(Optimalisatie!C33="Nieuwe Situatie",_xlfn.IFNA(IF(Optimalisatie!E33="Categorie_1_LCA_Producten",VLOOKUP(Inschrijf_MKI_Totaal[[#This Row],[Product]],Categorie_1_Producten[#All],8,FALSE)*(Optimalisatie!J33),VLOOKUP(Inschrijf_MKI_Totaal[[#This Row],[Product]]&amp;", "&amp;Inschrijf_MKI_Totaal[[#Headers],[A1]],Database_Productkaarten[#All],14,FALSE)*Optimalisatie!J33),Baseline_Backlog!D31),0))</f>
        <v>0</v>
      </c>
      <c r="E31" s="9">
        <f>(IF(Optimalisatie!C33="Nieuwe Situatie",_xlfn.IFNA(IF(Optimalisatie!E33="Categorie_1_LCA_Producten",VLOOKUP(Inschrijf_MKI_Totaal[[#This Row],[Product]],Categorie_1_Producten[#All],9,FALSE)*(Optimalisatie!J33),VLOOKUP(Inschrijf_MKI_Totaal[[#This Row],[Product]]&amp;", "&amp;Inschrijf_MKI_Totaal[[#Headers],[A2]],Database_Productkaarten[#All],14,FALSE)*Optimalisatie!J33),Baseline_Backlog!E31),0))</f>
        <v>0</v>
      </c>
      <c r="F31" s="9">
        <f>(IF(Optimalisatie!C33="Nieuwe Situatie",_xlfn.IFNA(IF(Optimalisatie!E33="Categorie_1_LCA_Producten",VLOOKUP(Inschrijf_MKI_Totaal[[#This Row],[Product]],Categorie_1_Producten[#All],10,FALSE)*(Optimalisatie!J33),VLOOKUP(Inschrijf_MKI_Totaal[[#This Row],[Product]]&amp;", "&amp;Inschrijf_MKI_Totaal[[#Headers],[A3]],Database_Productkaarten[#All],14,FALSE)*Optimalisatie!J33),Baseline_Backlog!F31),0))</f>
        <v>0</v>
      </c>
      <c r="G31" s="9">
        <f>(IF(Optimalisatie!C33="Nieuwe Situatie",_xlfn.IFNA(IF(Optimalisatie!E33="Categorie_1_LCA_Producten",VLOOKUP(Inschrijf_MKI_Totaal[[#This Row],[Product]],Categorie_1_Producten[#All],11,FALSE)*(Optimalisatie!J33),VLOOKUP(Inschrijf_MKI_Totaal[[#This Row],[Product]]&amp;", "&amp;Inschrijf_MKI_Totaal[[#Headers],[A1-A3]],Database_Productkaarten[#All],14,FALSE)*Optimalisatie!J33),Baseline_Backlog!G31),0))</f>
        <v>21719.91675</v>
      </c>
      <c r="H31" s="9">
        <f>(IF(Optimalisatie!C33="Nieuwe Situatie",_xlfn.IFNA(VLOOKUP(Optimalisatie!V33,Database_Transport[#All],7,FALSE)*((IF(Optimalisatie!R33=0,Baseline!Q33,Optimalisatie!R33))*Optimalisatie!U33),Baseline_Backlog!H31),0))</f>
        <v>462.55564582150004</v>
      </c>
      <c r="I31" s="9">
        <f>IF(Optimalisatie!C33="Nieuwe situatie",IF(_xlfn.IFNA((VLOOKUP(Optimalisatie!W33,Database_Asfalt_Aanlegset[#All],7,FALSE)*Optimalisatie!J33),0)+_xlfn.IFNA(VLOOKUP(Optimalisatie!X33,Database_Brandstoffen[#All],7,FALSE)*((Optimalisatie!J33/Optimalisatie!Z33)*Optimalisatie!Y33),0)&gt;0,_xlfn.IFNA((VLOOKUP(Optimalisatie!W33,Database_Asfalt_Aanlegset[#All],7,FALSE)*Optimalisatie!J33),0)+_xlfn.IFNA(VLOOKUP(Optimalisatie!X33,Database_Brandstoffen[#All],7,FALSE)*((Optimalisatie!J33/Optimalisatie!Z33)*Optimalisatie!Y33),0),(_xlfn.IFNA(VLOOKUP(Inschrijf_MKI_Totaal[[#This Row],[Product]]&amp;", "&amp;Inschrijf_MKI_Totaal[[#Headers],[A5]],Database_Productkaarten[#All],14,FALSE),0)*Optimalisatie!J33)),0)</f>
        <v>5525.9716143449996</v>
      </c>
      <c r="J31" s="9"/>
      <c r="K31" s="9">
        <f>(IF(Optimalisatie!C33="Nieuwe Situatie",_xlfn.IFNA(SUM(Inschrijf_MKI_Totaal[[#This Row],[A1]:[B1]],Inschrijf_MKI_Totaal[[#This Row],[C1]:[D2]])*Optimalisatie!T33,0),0))</f>
        <v>0</v>
      </c>
      <c r="L31" s="9">
        <f>IF(Optimalisatie!C33="Bestaande situatie",IF(_xlfn.IFNA((VLOOKUP(Optimalisatie!AA33,Database_Asfalt_Verwijderset[#All],7,FALSE)*Optimalisatie!J33),0)+_xlfn.IFNA(VLOOKUP(Optimalisatie!AB33,Database_Brandstoffen[#All],7,FALSE)*((Optimalisatie!J33/Optimalisatie!AD33)*Optimalisatie!AC33),0)&gt;0,_xlfn.IFNA((VLOOKUP(Optimalisatie!AA33,Database_Asfalt_Verwijderset[#All],7,FALSE)*Optimalisatie!J33),0)+_xlfn.IFNA(VLOOKUP(Optimalisatie!AB33,Database_Brandstoffen[#All],7,FALSE)*((Optimalisatie!J33/Optimalisatie!AD33)*Optimalisatie!AC33),0),(_xlfn.IFNA(VLOOKUP(Inschrijf_MKI_Totaal[[#This Row],[Product]]&amp;", "&amp;Inschrijf_MKI_Totaal[[#Headers],[C1]],Database_Productkaarten[#All],14,FALSE),0)*Optimalisatie!J33)),0)</f>
        <v>0</v>
      </c>
      <c r="M31" s="9">
        <f>(IF(Optimalisatie!C33="Bestaande Situatie",_xlfn.IFNA(VLOOKUP(Optimalisatie!AF33,Database_Transport[#All],7,FALSE)*(Optimalisatie!R33*Optimalisatie!AE33),Baseline_Backlog!M31),0))</f>
        <v>0</v>
      </c>
      <c r="N31" s="9">
        <f>(IF(Optimalisatie!C33="Bestaande Situatie",_xlfn.IFNA(VLOOKUP(Optimalisatie!AG33,Database_Asfalt_Verwerkingsset[#All],7,FALSE)*(Optimalisatie!J33/VLOOKUP(Optimalisatie!AG33,Database_Asfalt_Verwerkingsset[#All],8,FALSE)),Baseline_Backlog!N31),0))</f>
        <v>0</v>
      </c>
      <c r="O31" s="9">
        <f>(IF(Optimalisatie!C33="Bestaande Situatie",_xlfn.IFNA(VLOOKUP(Inschrijf_MKI_Totaal[[#This Row],[Product]]&amp;", "&amp;Inschrijf_MKI_Totaal[[#Headers],[C4]],Database_Productkaarten[#All],14,FALSE),Baseline_Backlog!O31)*Optimalisatie!J33,0))</f>
        <v>0</v>
      </c>
      <c r="P31" s="9">
        <f>(IF(Optimalisatie!C33="Bestaande Situatie",_xlfn.IFNA(IF(Optimalisatie!E33="Categorie_1_LCA_Producten",VLOOKUP(Inschrijf_MKI_Totaal[[#This Row],[Product]],Categorie_1_Producten[#All],12,FALSE)*(Optimalisatie!J33),VLOOKUP(Inschrijf_MKI_Totaal[[#This Row],[Product]]&amp;", "&amp;Inschrijf_MKI_Totaal[[#Headers],[D1]],Database_Productkaarten[#All],14,FALSE)*Optimalisatie!J33),Baseline_Backlog!P31),0))</f>
        <v>0</v>
      </c>
      <c r="Q31" s="9">
        <f>(IF(Optimalisatie!C33="Bestaande Situatie",_xlfn.IFNA(IF(Optimalisatie!E33="Categorie_1_LCA_Producten",VLOOKUP(Inschrijf_MKI_Totaal[[#This Row],[Product]],Categorie_1_Producten[#All],13,FALSE)*(Optimalisatie!J33),VLOOKUP(Inschrijf_MKI_Totaal[[#This Row],[Product]]&amp;", "&amp;Inschrijf_MKI_Totaal[[#Headers],[D2]],Database_Productkaarten[#All],14,FALSE)*Optimalisatie!J33),Baseline_Backlog!Q31),0))</f>
        <v>0</v>
      </c>
      <c r="R31" s="9">
        <f>(IF(Optimalisatie!C33="Bestaande Situatie",_xlfn.IFNA(IF(Optimalisatie!E33="Categorie_1_LCA_Producten",VLOOKUP(Inschrijf_MKI_Totaal[[#This Row],[Product]],Categorie_1_Producten[#All],13,FALSE)*(Optimalisatie!J33),VLOOKUP(Inschrijf_MKI_Totaal[[#This Row],[Product]]&amp;", "&amp;Inschrijf_MKI_Totaal[[#Headers],[D]],Database_Productkaarten[#All],14,FALSE)*Optimalisatie!J33),Baseline_Backlog!S31),0))</f>
        <v>0</v>
      </c>
      <c r="S31" s="301">
        <f>SUM(Inschrijf_MKI_Totaal[[#This Row],[A1-A3]:[C4]])+Inschrijf_MKI_Totaal[[#This Row],[D]]</f>
        <v>27708.444010166499</v>
      </c>
      <c r="AA31" s="9">
        <f>_xlfn.IFNA((VLOOKUP(Optimalisatie!AA33,Database_Asfalt_Verwijderset[#All],7,FALSE)*Optimalisatie!J33),0)</f>
        <v>0</v>
      </c>
      <c r="AB31" s="9" t="e">
        <f>(VLOOKUP(Optimalisatie!AA33,Database_Asfalt_Verwijderset[#All],7,FALSE)*Optimalisatie!J33)</f>
        <v>#N/A</v>
      </c>
      <c r="AC31" s="332">
        <f>(_xlfn.IFNA(VLOOKUP(Inschrijf_MKI_Totaal[[#This Row],[Product]]&amp;", "&amp;Inschrijf_MKI_Totaal[[#Headers],[C1]],Database_Productkaarten[#All],14,FALSE),0)*Optimalisatie!J33)</f>
        <v>461.15300000000002</v>
      </c>
    </row>
    <row r="32" spans="2:29">
      <c r="B32" s="272" t="str">
        <f>Optimalisatie!B34</f>
        <v>440030 - Aanbrengen straatbakstenen DF, Rood (parkeervakken)</v>
      </c>
      <c r="C32" s="9" t="str">
        <f>Optimalisatie!F34</f>
        <v>Baksteen</v>
      </c>
      <c r="D32" s="9">
        <f>(IF(Optimalisatie!C34="Nieuwe Situatie",_xlfn.IFNA(IF(Optimalisatie!E34="Categorie_1_LCA_Producten",VLOOKUP(Inschrijf_MKI_Totaal[[#This Row],[Product]],Categorie_1_Producten[#All],8,FALSE)*(Optimalisatie!J34),VLOOKUP(Inschrijf_MKI_Totaal[[#This Row],[Product]]&amp;", "&amp;Inschrijf_MKI_Totaal[[#Headers],[A1]],Database_Productkaarten[#All],14,FALSE)*Optimalisatie!J34),Baseline_Backlog!D32),0))</f>
        <v>0</v>
      </c>
      <c r="E32" s="9">
        <f>(IF(Optimalisatie!C34="Nieuwe Situatie",_xlfn.IFNA(IF(Optimalisatie!E34="Categorie_1_LCA_Producten",VLOOKUP(Inschrijf_MKI_Totaal[[#This Row],[Product]],Categorie_1_Producten[#All],9,FALSE)*(Optimalisatie!J34),VLOOKUP(Inschrijf_MKI_Totaal[[#This Row],[Product]]&amp;", "&amp;Inschrijf_MKI_Totaal[[#Headers],[A2]],Database_Productkaarten[#All],14,FALSE)*Optimalisatie!J34),Baseline_Backlog!E32),0))</f>
        <v>0</v>
      </c>
      <c r="F32" s="9">
        <f>(IF(Optimalisatie!C34="Nieuwe Situatie",_xlfn.IFNA(IF(Optimalisatie!E34="Categorie_1_LCA_Producten",VLOOKUP(Inschrijf_MKI_Totaal[[#This Row],[Product]],Categorie_1_Producten[#All],10,FALSE)*(Optimalisatie!J34),VLOOKUP(Inschrijf_MKI_Totaal[[#This Row],[Product]]&amp;", "&amp;Inschrijf_MKI_Totaal[[#Headers],[A3]],Database_Productkaarten[#All],14,FALSE)*Optimalisatie!J34),Baseline_Backlog!F32),0))</f>
        <v>0</v>
      </c>
      <c r="G32" s="9">
        <f>(IF(Optimalisatie!C34="Nieuwe Situatie",_xlfn.IFNA(IF(Optimalisatie!E34="Categorie_1_LCA_Producten",VLOOKUP(Inschrijf_MKI_Totaal[[#This Row],[Product]],Categorie_1_Producten[#All],11,FALSE)*(Optimalisatie!J34),VLOOKUP(Inschrijf_MKI_Totaal[[#This Row],[Product]]&amp;", "&amp;Inschrijf_MKI_Totaal[[#Headers],[A1-A3]],Database_Productkaarten[#All],14,FALSE)*Optimalisatie!J34),Baseline_Backlog!G32),0))</f>
        <v>1463.60625</v>
      </c>
      <c r="H32" s="9">
        <f>(IF(Optimalisatie!C34="Nieuwe Situatie",_xlfn.IFNA(VLOOKUP(Optimalisatie!V34,Database_Transport[#All],7,FALSE)*((IF(Optimalisatie!R34=0,Baseline!Q34,Optimalisatie!R34))*Optimalisatie!U34),Baseline_Backlog!H32),0))</f>
        <v>31.169517912500002</v>
      </c>
      <c r="I32" s="9">
        <f>IF(Optimalisatie!C34="Nieuwe situatie",IF(_xlfn.IFNA((VLOOKUP(Optimalisatie!W34,Database_Asfalt_Aanlegset[#All],7,FALSE)*Optimalisatie!J34),0)+_xlfn.IFNA(VLOOKUP(Optimalisatie!X34,Database_Brandstoffen[#All],7,FALSE)*((Optimalisatie!J34/Optimalisatie!Z34)*Optimalisatie!Y34),0)&gt;0,_xlfn.IFNA((VLOOKUP(Optimalisatie!W34,Database_Asfalt_Aanlegset[#All],7,FALSE)*Optimalisatie!J34),0)+_xlfn.IFNA(VLOOKUP(Optimalisatie!X34,Database_Brandstoffen[#All],7,FALSE)*((Optimalisatie!J34/Optimalisatie!Z34)*Optimalisatie!Y34),0),(_xlfn.IFNA(VLOOKUP(Inschrijf_MKI_Totaal[[#This Row],[Product]]&amp;", "&amp;Inschrijf_MKI_Totaal[[#Headers],[A5]],Database_Productkaarten[#All],14,FALSE),0)*Optimalisatie!J34)),0)</f>
        <v>372.37005487499994</v>
      </c>
      <c r="J32" s="9"/>
      <c r="K32" s="9">
        <f>(IF(Optimalisatie!C34="Nieuwe Situatie",_xlfn.IFNA(SUM(Inschrijf_MKI_Totaal[[#This Row],[A1]:[B1]],Inschrijf_MKI_Totaal[[#This Row],[C1]:[D2]])*Optimalisatie!T34,0),0))</f>
        <v>0</v>
      </c>
      <c r="L32" s="9">
        <f>IF(Optimalisatie!C34="Bestaande situatie",IF(_xlfn.IFNA((VLOOKUP(Optimalisatie!AA34,Database_Asfalt_Verwijderset[#All],7,FALSE)*Optimalisatie!J34),0)+_xlfn.IFNA(VLOOKUP(Optimalisatie!AB34,Database_Brandstoffen[#All],7,FALSE)*((Optimalisatie!J34/Optimalisatie!AD34)*Optimalisatie!AC34),0)&gt;0,_xlfn.IFNA((VLOOKUP(Optimalisatie!AA34,Database_Asfalt_Verwijderset[#All],7,FALSE)*Optimalisatie!J34),0)+_xlfn.IFNA(VLOOKUP(Optimalisatie!AB34,Database_Brandstoffen[#All],7,FALSE)*((Optimalisatie!J34/Optimalisatie!AD34)*Optimalisatie!AC34),0),(_xlfn.IFNA(VLOOKUP(Inschrijf_MKI_Totaal[[#This Row],[Product]]&amp;", "&amp;Inschrijf_MKI_Totaal[[#Headers],[C1]],Database_Productkaarten[#All],14,FALSE),0)*Optimalisatie!J34)),0)</f>
        <v>0</v>
      </c>
      <c r="M32" s="9">
        <f>(IF(Optimalisatie!C34="Bestaande Situatie",_xlfn.IFNA(VLOOKUP(Optimalisatie!AF34,Database_Transport[#All],7,FALSE)*(Optimalisatie!R34*Optimalisatie!AE34),Baseline_Backlog!M32),0))</f>
        <v>0</v>
      </c>
      <c r="N32" s="9">
        <f>(IF(Optimalisatie!C34="Bestaande Situatie",_xlfn.IFNA(VLOOKUP(Optimalisatie!AG34,Database_Asfalt_Verwerkingsset[#All],7,FALSE)*(Optimalisatie!J34/VLOOKUP(Optimalisatie!AG34,Database_Asfalt_Verwerkingsset[#All],8,FALSE)),Baseline_Backlog!N32),0))</f>
        <v>0</v>
      </c>
      <c r="O32" s="9">
        <f>(IF(Optimalisatie!C34="Bestaande Situatie",_xlfn.IFNA(VLOOKUP(Inschrijf_MKI_Totaal[[#This Row],[Product]]&amp;", "&amp;Inschrijf_MKI_Totaal[[#Headers],[C4]],Database_Productkaarten[#All],14,FALSE),Baseline_Backlog!O32)*Optimalisatie!J34,0))</f>
        <v>0</v>
      </c>
      <c r="P32" s="9">
        <f>(IF(Optimalisatie!C34="Bestaande Situatie",_xlfn.IFNA(IF(Optimalisatie!E34="Categorie_1_LCA_Producten",VLOOKUP(Inschrijf_MKI_Totaal[[#This Row],[Product]],Categorie_1_Producten[#All],12,FALSE)*(Optimalisatie!J34),VLOOKUP(Inschrijf_MKI_Totaal[[#This Row],[Product]]&amp;", "&amp;Inschrijf_MKI_Totaal[[#Headers],[D1]],Database_Productkaarten[#All],14,FALSE)*Optimalisatie!J34),Baseline_Backlog!P32),0))</f>
        <v>0</v>
      </c>
      <c r="Q32" s="9">
        <f>(IF(Optimalisatie!C34="Bestaande Situatie",_xlfn.IFNA(IF(Optimalisatie!E34="Categorie_1_LCA_Producten",VLOOKUP(Inschrijf_MKI_Totaal[[#This Row],[Product]],Categorie_1_Producten[#All],13,FALSE)*(Optimalisatie!J34),VLOOKUP(Inschrijf_MKI_Totaal[[#This Row],[Product]]&amp;", "&amp;Inschrijf_MKI_Totaal[[#Headers],[D2]],Database_Productkaarten[#All],14,FALSE)*Optimalisatie!J34),Baseline_Backlog!Q32),0))</f>
        <v>0</v>
      </c>
      <c r="R32" s="9">
        <f>(IF(Optimalisatie!C34="Bestaande Situatie",_xlfn.IFNA(IF(Optimalisatie!E34="Categorie_1_LCA_Producten",VLOOKUP(Inschrijf_MKI_Totaal[[#This Row],[Product]],Categorie_1_Producten[#All],13,FALSE)*(Optimalisatie!J34),VLOOKUP(Inschrijf_MKI_Totaal[[#This Row],[Product]]&amp;", "&amp;Inschrijf_MKI_Totaal[[#Headers],[D]],Database_Productkaarten[#All],14,FALSE)*Optimalisatie!J34),Baseline_Backlog!S32),0))</f>
        <v>0</v>
      </c>
      <c r="S32" s="301">
        <f>SUM(Inschrijf_MKI_Totaal[[#This Row],[A1-A3]:[C4]])+Inschrijf_MKI_Totaal[[#This Row],[D]]</f>
        <v>1867.1458227875</v>
      </c>
      <c r="AA32" s="9">
        <f>_xlfn.IFNA((VLOOKUP(Optimalisatie!AA34,Database_Asfalt_Verwijderset[#All],7,FALSE)*Optimalisatie!J34),0)</f>
        <v>0</v>
      </c>
      <c r="AB32" s="9" t="e">
        <f>(VLOOKUP(Optimalisatie!AA34,Database_Asfalt_Verwijderset[#All],7,FALSE)*Optimalisatie!J34)</f>
        <v>#N/A</v>
      </c>
      <c r="AC32" s="332">
        <f>(_xlfn.IFNA(VLOOKUP(Inschrijf_MKI_Totaal[[#This Row],[Product]]&amp;", "&amp;Inschrijf_MKI_Totaal[[#Headers],[C1]],Database_Productkaarten[#All],14,FALSE),0)*Optimalisatie!J34)</f>
        <v>31.074999999999999</v>
      </c>
    </row>
    <row r="33" spans="2:29">
      <c r="B33" s="272" t="str">
        <f>Optimalisatie!B35</f>
        <v>440040 - Aanbrengen straatbakstenen DF, Geel (parkeervakken)</v>
      </c>
      <c r="C33" s="9" t="str">
        <f>Optimalisatie!F35</f>
        <v>Baksteen</v>
      </c>
      <c r="D33" s="9">
        <f>(IF(Optimalisatie!C35="Nieuwe Situatie",_xlfn.IFNA(IF(Optimalisatie!E35="Categorie_1_LCA_Producten",VLOOKUP(Inschrijf_MKI_Totaal[[#This Row],[Product]],Categorie_1_Producten[#All],8,FALSE)*(Optimalisatie!J35),VLOOKUP(Inschrijf_MKI_Totaal[[#This Row],[Product]]&amp;", "&amp;Inschrijf_MKI_Totaal[[#Headers],[A1]],Database_Productkaarten[#All],14,FALSE)*Optimalisatie!J35),Baseline_Backlog!D33),0))</f>
        <v>0</v>
      </c>
      <c r="E33" s="9">
        <f>(IF(Optimalisatie!C35="Nieuwe Situatie",_xlfn.IFNA(IF(Optimalisatie!E35="Categorie_1_LCA_Producten",VLOOKUP(Inschrijf_MKI_Totaal[[#This Row],[Product]],Categorie_1_Producten[#All],9,FALSE)*(Optimalisatie!J35),VLOOKUP(Inschrijf_MKI_Totaal[[#This Row],[Product]]&amp;", "&amp;Inschrijf_MKI_Totaal[[#Headers],[A2]],Database_Productkaarten[#All],14,FALSE)*Optimalisatie!J35),Baseline_Backlog!E33),0))</f>
        <v>0</v>
      </c>
      <c r="F33" s="9">
        <f>(IF(Optimalisatie!C35="Nieuwe Situatie",_xlfn.IFNA(IF(Optimalisatie!E35="Categorie_1_LCA_Producten",VLOOKUP(Inschrijf_MKI_Totaal[[#This Row],[Product]],Categorie_1_Producten[#All],10,FALSE)*(Optimalisatie!J35),VLOOKUP(Inschrijf_MKI_Totaal[[#This Row],[Product]]&amp;", "&amp;Inschrijf_MKI_Totaal[[#Headers],[A3]],Database_Productkaarten[#All],14,FALSE)*Optimalisatie!J35),Baseline_Backlog!F33),0))</f>
        <v>0</v>
      </c>
      <c r="G33" s="9">
        <f>(IF(Optimalisatie!C35="Nieuwe Situatie",_xlfn.IFNA(IF(Optimalisatie!E35="Categorie_1_LCA_Producten",VLOOKUP(Inschrijf_MKI_Totaal[[#This Row],[Product]],Categorie_1_Producten[#All],11,FALSE)*(Optimalisatie!J35),VLOOKUP(Inschrijf_MKI_Totaal[[#This Row],[Product]]&amp;", "&amp;Inschrijf_MKI_Totaal[[#Headers],[A1-A3]],Database_Productkaarten[#All],14,FALSE)*Optimalisatie!J35),Baseline_Backlog!G33),0))</f>
        <v>1662.6567</v>
      </c>
      <c r="H33" s="9">
        <f>(IF(Optimalisatie!C35="Nieuwe Situatie",_xlfn.IFNA(VLOOKUP(Optimalisatie!V35,Database_Transport[#All],7,FALSE)*((IF(Optimalisatie!R35=0,Baseline!Q35,Optimalisatie!R35))*Optimalisatie!U35),Baseline_Backlog!H33),0))</f>
        <v>35.408572348600003</v>
      </c>
      <c r="I33" s="9">
        <f>IF(Optimalisatie!C35="Nieuwe situatie",IF(_xlfn.IFNA((VLOOKUP(Optimalisatie!W35,Database_Asfalt_Aanlegset[#All],7,FALSE)*Optimalisatie!J35),0)+_xlfn.IFNA(VLOOKUP(Optimalisatie!X35,Database_Brandstoffen[#All],7,FALSE)*((Optimalisatie!J35/Optimalisatie!Z35)*Optimalisatie!Y35),0)&gt;0,_xlfn.IFNA((VLOOKUP(Optimalisatie!W35,Database_Asfalt_Aanlegset[#All],7,FALSE)*Optimalisatie!J35),0)+_xlfn.IFNA(VLOOKUP(Optimalisatie!X35,Database_Brandstoffen[#All],7,FALSE)*((Optimalisatie!J35/Optimalisatie!Z35)*Optimalisatie!Y35),0),(_xlfn.IFNA(VLOOKUP(Inschrijf_MKI_Totaal[[#This Row],[Product]]&amp;", "&amp;Inschrijf_MKI_Totaal[[#Headers],[A5]],Database_Productkaarten[#All],14,FALSE),0)*Optimalisatie!J35)),0)</f>
        <v>423.01238233799995</v>
      </c>
      <c r="J33" s="9"/>
      <c r="K33" s="9">
        <f>(IF(Optimalisatie!C35="Nieuwe Situatie",_xlfn.IFNA(SUM(Inschrijf_MKI_Totaal[[#This Row],[A1]:[B1]],Inschrijf_MKI_Totaal[[#This Row],[C1]:[D2]])*Optimalisatie!T35,0),0))</f>
        <v>0</v>
      </c>
      <c r="L33" s="9">
        <f>IF(Optimalisatie!C35="Bestaande situatie",IF(_xlfn.IFNA((VLOOKUP(Optimalisatie!AA35,Database_Asfalt_Verwijderset[#All],7,FALSE)*Optimalisatie!J35),0)+_xlfn.IFNA(VLOOKUP(Optimalisatie!AB35,Database_Brandstoffen[#All],7,FALSE)*((Optimalisatie!J35/Optimalisatie!AD35)*Optimalisatie!AC35),0)&gt;0,_xlfn.IFNA((VLOOKUP(Optimalisatie!AA35,Database_Asfalt_Verwijderset[#All],7,FALSE)*Optimalisatie!J35),0)+_xlfn.IFNA(VLOOKUP(Optimalisatie!AB35,Database_Brandstoffen[#All],7,FALSE)*((Optimalisatie!J35/Optimalisatie!AD35)*Optimalisatie!AC35),0),(_xlfn.IFNA(VLOOKUP(Inschrijf_MKI_Totaal[[#This Row],[Product]]&amp;", "&amp;Inschrijf_MKI_Totaal[[#Headers],[C1]],Database_Productkaarten[#All],14,FALSE),0)*Optimalisatie!J35)),0)</f>
        <v>0</v>
      </c>
      <c r="M33" s="9">
        <f>(IF(Optimalisatie!C35="Bestaande Situatie",_xlfn.IFNA(VLOOKUP(Optimalisatie!AF35,Database_Transport[#All],7,FALSE)*(Optimalisatie!R35*Optimalisatie!AE35),Baseline_Backlog!M33),0))</f>
        <v>0</v>
      </c>
      <c r="N33" s="9">
        <f>(IF(Optimalisatie!C35="Bestaande Situatie",_xlfn.IFNA(VLOOKUP(Optimalisatie!AG35,Database_Asfalt_Verwerkingsset[#All],7,FALSE)*(Optimalisatie!J35/VLOOKUP(Optimalisatie!AG35,Database_Asfalt_Verwerkingsset[#All],8,FALSE)),Baseline_Backlog!N33),0))</f>
        <v>0</v>
      </c>
      <c r="O33" s="9">
        <f>(IF(Optimalisatie!C35="Bestaande Situatie",_xlfn.IFNA(VLOOKUP(Inschrijf_MKI_Totaal[[#This Row],[Product]]&amp;", "&amp;Inschrijf_MKI_Totaal[[#Headers],[C4]],Database_Productkaarten[#All],14,FALSE),Baseline_Backlog!O33)*Optimalisatie!J35,0))</f>
        <v>0</v>
      </c>
      <c r="P33" s="9">
        <f>(IF(Optimalisatie!C35="Bestaande Situatie",_xlfn.IFNA(IF(Optimalisatie!E35="Categorie_1_LCA_Producten",VLOOKUP(Inschrijf_MKI_Totaal[[#This Row],[Product]],Categorie_1_Producten[#All],12,FALSE)*(Optimalisatie!J35),VLOOKUP(Inschrijf_MKI_Totaal[[#This Row],[Product]]&amp;", "&amp;Inschrijf_MKI_Totaal[[#Headers],[D1]],Database_Productkaarten[#All],14,FALSE)*Optimalisatie!J35),Baseline_Backlog!P33),0))</f>
        <v>0</v>
      </c>
      <c r="Q33" s="9">
        <f>(IF(Optimalisatie!C35="Bestaande Situatie",_xlfn.IFNA(IF(Optimalisatie!E35="Categorie_1_LCA_Producten",VLOOKUP(Inschrijf_MKI_Totaal[[#This Row],[Product]],Categorie_1_Producten[#All],13,FALSE)*(Optimalisatie!J35),VLOOKUP(Inschrijf_MKI_Totaal[[#This Row],[Product]]&amp;", "&amp;Inschrijf_MKI_Totaal[[#Headers],[D2]],Database_Productkaarten[#All],14,FALSE)*Optimalisatie!J35),Baseline_Backlog!Q33),0))</f>
        <v>0</v>
      </c>
      <c r="R33" s="9">
        <f>(IF(Optimalisatie!C35="Bestaande Situatie",_xlfn.IFNA(IF(Optimalisatie!E35="Categorie_1_LCA_Producten",VLOOKUP(Inschrijf_MKI_Totaal[[#This Row],[Product]],Categorie_1_Producten[#All],13,FALSE)*(Optimalisatie!J35),VLOOKUP(Inschrijf_MKI_Totaal[[#This Row],[Product]]&amp;", "&amp;Inschrijf_MKI_Totaal[[#Headers],[D]],Database_Productkaarten[#All],14,FALSE)*Optimalisatie!J35),Baseline_Backlog!S33),0))</f>
        <v>0</v>
      </c>
      <c r="S33" s="301">
        <f>SUM(Inschrijf_MKI_Totaal[[#This Row],[A1-A3]:[C4]])+Inschrijf_MKI_Totaal[[#This Row],[D]]</f>
        <v>2121.0776546866</v>
      </c>
      <c r="AA33" s="9">
        <f>_xlfn.IFNA((VLOOKUP(Optimalisatie!AA35,Database_Asfalt_Verwijderset[#All],7,FALSE)*Optimalisatie!J35),0)</f>
        <v>0</v>
      </c>
      <c r="AB33" s="9" t="e">
        <f>(VLOOKUP(Optimalisatie!AA35,Database_Asfalt_Verwijderset[#All],7,FALSE)*Optimalisatie!J35)</f>
        <v>#N/A</v>
      </c>
      <c r="AC33" s="332">
        <f>(_xlfn.IFNA(VLOOKUP(Inschrijf_MKI_Totaal[[#This Row],[Product]]&amp;", "&amp;Inschrijf_MKI_Totaal[[#Headers],[C1]],Database_Productkaarten[#All],14,FALSE),0)*Optimalisatie!J35)</f>
        <v>35.301200000000001</v>
      </c>
    </row>
    <row r="34" spans="2:29">
      <c r="B34" s="272" t="str">
        <f>Optimalisatie!B36</f>
        <v>440050 - Leveren en aanbrengen open (grasbeton) verharding (parkeerplaats)</v>
      </c>
      <c r="C34" s="9" t="str">
        <f>Optimalisatie!F36</f>
        <v>Grasbetontegel CEM I 120 mm</v>
      </c>
      <c r="D34" s="9">
        <f>(IF(Optimalisatie!C36="Nieuwe Situatie",_xlfn.IFNA(IF(Optimalisatie!E36="Categorie_1_LCA_Producten",VLOOKUP(Inschrijf_MKI_Totaal[[#This Row],[Product]],Categorie_1_Producten[#All],8,FALSE)*(Optimalisatie!J36),VLOOKUP(Inschrijf_MKI_Totaal[[#This Row],[Product]]&amp;", "&amp;Inschrijf_MKI_Totaal[[#Headers],[A1]],Database_Productkaarten[#All],14,FALSE)*Optimalisatie!J36),Baseline_Backlog!D34),0))</f>
        <v>2080</v>
      </c>
      <c r="E34" s="9">
        <f>(IF(Optimalisatie!C36="Nieuwe Situatie",_xlfn.IFNA(IF(Optimalisatie!E36="Categorie_1_LCA_Producten",VLOOKUP(Inschrijf_MKI_Totaal[[#This Row],[Product]],Categorie_1_Producten[#All],9,FALSE)*(Optimalisatie!J36),VLOOKUP(Inschrijf_MKI_Totaal[[#This Row],[Product]]&amp;", "&amp;Inschrijf_MKI_Totaal[[#Headers],[A2]],Database_Productkaarten[#All],14,FALSE)*Optimalisatie!J36),Baseline_Backlog!E34),0))</f>
        <v>0</v>
      </c>
      <c r="F34" s="9">
        <f>(IF(Optimalisatie!C36="Nieuwe Situatie",_xlfn.IFNA(IF(Optimalisatie!E36="Categorie_1_LCA_Producten",VLOOKUP(Inschrijf_MKI_Totaal[[#This Row],[Product]],Categorie_1_Producten[#All],10,FALSE)*(Optimalisatie!J36),VLOOKUP(Inschrijf_MKI_Totaal[[#This Row],[Product]]&amp;", "&amp;Inschrijf_MKI_Totaal[[#Headers],[A3]],Database_Productkaarten[#All],14,FALSE)*Optimalisatie!J36),Baseline_Backlog!F34),0))</f>
        <v>0</v>
      </c>
      <c r="G34" s="9">
        <f>(IF(Optimalisatie!C36="Nieuwe Situatie",_xlfn.IFNA(IF(Optimalisatie!E36="Categorie_1_LCA_Producten",VLOOKUP(Inschrijf_MKI_Totaal[[#This Row],[Product]],Categorie_1_Producten[#All],11,FALSE)*(Optimalisatie!J36),VLOOKUP(Inschrijf_MKI_Totaal[[#This Row],[Product]]&amp;", "&amp;Inschrijf_MKI_Totaal[[#Headers],[A1-A3]],Database_Productkaarten[#All],14,FALSE)*Optimalisatie!J36),Baseline_Backlog!G34),0))</f>
        <v>2080</v>
      </c>
      <c r="H34" s="9">
        <f>(IF(Optimalisatie!C36="Nieuwe Situatie",_xlfn.IFNA(VLOOKUP(Optimalisatie!V36,Database_Transport[#All],7,FALSE)*((IF(Optimalisatie!R36=0,Baseline!Q36,Optimalisatie!R36))*Optimalisatie!U36),Baseline_Backlog!H34),0))</f>
        <v>83.633405576242509</v>
      </c>
      <c r="I34" s="9">
        <f>IF(Optimalisatie!C36="Nieuwe situatie",IF(_xlfn.IFNA((VLOOKUP(Optimalisatie!W36,Database_Asfalt_Aanlegset[#All],7,FALSE)*Optimalisatie!J36),0)+_xlfn.IFNA(VLOOKUP(Optimalisatie!X36,Database_Brandstoffen[#All],7,FALSE)*((Optimalisatie!J36/Optimalisatie!Z36)*Optimalisatie!Y36),0)&gt;0,_xlfn.IFNA((VLOOKUP(Optimalisatie!W36,Database_Asfalt_Aanlegset[#All],7,FALSE)*Optimalisatie!J36),0)+_xlfn.IFNA(VLOOKUP(Optimalisatie!X36,Database_Brandstoffen[#All],7,FALSE)*((Optimalisatie!J36/Optimalisatie!Z36)*Optimalisatie!Y36),0),(_xlfn.IFNA(VLOOKUP(Inschrijf_MKI_Totaal[[#This Row],[Product]]&amp;", "&amp;Inschrijf_MKI_Totaal[[#Headers],[A5]],Database_Productkaarten[#All],14,FALSE),0)*Optimalisatie!J36)),0)</f>
        <v>595.79208779999999</v>
      </c>
      <c r="J34" s="9"/>
      <c r="K34" s="9">
        <f>(IF(Optimalisatie!C36="Nieuwe Situatie",_xlfn.IFNA(SUM(Inschrijf_MKI_Totaal[[#This Row],[A1]:[B1]],Inschrijf_MKI_Totaal[[#This Row],[C1]:[D2]])*Optimalisatie!T36,0),0))</f>
        <v>0</v>
      </c>
      <c r="L34" s="9">
        <f>IF(Optimalisatie!C36="Bestaande situatie",IF(_xlfn.IFNA((VLOOKUP(Optimalisatie!AA36,Database_Asfalt_Verwijderset[#All],7,FALSE)*Optimalisatie!J36),0)+_xlfn.IFNA(VLOOKUP(Optimalisatie!AB36,Database_Brandstoffen[#All],7,FALSE)*((Optimalisatie!J36/Optimalisatie!AD36)*Optimalisatie!AC36),0)&gt;0,_xlfn.IFNA((VLOOKUP(Optimalisatie!AA36,Database_Asfalt_Verwijderset[#All],7,FALSE)*Optimalisatie!J36),0)+_xlfn.IFNA(VLOOKUP(Optimalisatie!AB36,Database_Brandstoffen[#All],7,FALSE)*((Optimalisatie!J36/Optimalisatie!AD36)*Optimalisatie!AC36),0),(_xlfn.IFNA(VLOOKUP(Inschrijf_MKI_Totaal[[#This Row],[Product]]&amp;", "&amp;Inschrijf_MKI_Totaal[[#Headers],[C1]],Database_Productkaarten[#All],14,FALSE),0)*Optimalisatie!J36)),0)</f>
        <v>0</v>
      </c>
      <c r="M34" s="9">
        <f>(IF(Optimalisatie!C36="Bestaande Situatie",_xlfn.IFNA(VLOOKUP(Optimalisatie!AF36,Database_Transport[#All],7,FALSE)*(Optimalisatie!R36*Optimalisatie!AE36),Baseline_Backlog!M34),0))</f>
        <v>0</v>
      </c>
      <c r="N34" s="9">
        <f>(IF(Optimalisatie!C36="Bestaande Situatie",_xlfn.IFNA(VLOOKUP(Optimalisatie!AG36,Database_Asfalt_Verwerkingsset[#All],7,FALSE)*(Optimalisatie!J36/VLOOKUP(Optimalisatie!AG36,Database_Asfalt_Verwerkingsset[#All],8,FALSE)),Baseline_Backlog!N34),0))</f>
        <v>0</v>
      </c>
      <c r="O34" s="9">
        <f>(IF(Optimalisatie!C36="Bestaande Situatie",_xlfn.IFNA(VLOOKUP(Inschrijf_MKI_Totaal[[#This Row],[Product]]&amp;", "&amp;Inschrijf_MKI_Totaal[[#Headers],[C4]],Database_Productkaarten[#All],14,FALSE),Baseline_Backlog!O34)*Optimalisatie!J36,0))</f>
        <v>0</v>
      </c>
      <c r="P34" s="9">
        <f>(IF(Optimalisatie!C36="Bestaande Situatie",_xlfn.IFNA(IF(Optimalisatie!E36="Categorie_1_LCA_Producten",VLOOKUP(Inschrijf_MKI_Totaal[[#This Row],[Product]],Categorie_1_Producten[#All],12,FALSE)*(Optimalisatie!J36),VLOOKUP(Inschrijf_MKI_Totaal[[#This Row],[Product]]&amp;", "&amp;Inschrijf_MKI_Totaal[[#Headers],[D1]],Database_Productkaarten[#All],14,FALSE)*Optimalisatie!J36),Baseline_Backlog!P34),0))</f>
        <v>0</v>
      </c>
      <c r="Q34" s="9">
        <f>(IF(Optimalisatie!C36="Bestaande Situatie",_xlfn.IFNA(IF(Optimalisatie!E36="Categorie_1_LCA_Producten",VLOOKUP(Inschrijf_MKI_Totaal[[#This Row],[Product]],Categorie_1_Producten[#All],13,FALSE)*(Optimalisatie!J36),VLOOKUP(Inschrijf_MKI_Totaal[[#This Row],[Product]]&amp;", "&amp;Inschrijf_MKI_Totaal[[#Headers],[D2]],Database_Productkaarten[#All],14,FALSE)*Optimalisatie!J36),Baseline_Backlog!Q34),0))</f>
        <v>0</v>
      </c>
      <c r="R34" s="9">
        <f>(IF(Optimalisatie!C36="Bestaande Situatie",_xlfn.IFNA(IF(Optimalisatie!E36="Categorie_1_LCA_Producten",VLOOKUP(Inschrijf_MKI_Totaal[[#This Row],[Product]],Categorie_1_Producten[#All],13,FALSE)*(Optimalisatie!J36),VLOOKUP(Inschrijf_MKI_Totaal[[#This Row],[Product]]&amp;", "&amp;Inschrijf_MKI_Totaal[[#Headers],[D]],Database_Productkaarten[#All],14,FALSE)*Optimalisatie!J36),Baseline_Backlog!S34),0))</f>
        <v>0</v>
      </c>
      <c r="S34" s="301">
        <f>SUM(Inschrijf_MKI_Totaal[[#This Row],[A1-A3]:[C4]])+Inschrijf_MKI_Totaal[[#This Row],[D]]</f>
        <v>2759.4254933762427</v>
      </c>
      <c r="AA34" s="9">
        <f>_xlfn.IFNA((VLOOKUP(Optimalisatie!AA36,Database_Asfalt_Verwijderset[#All],7,FALSE)*Optimalisatie!J36),0)</f>
        <v>0</v>
      </c>
      <c r="AB34" s="9" t="e">
        <f>(VLOOKUP(Optimalisatie!AA36,Database_Asfalt_Verwijderset[#All],7,FALSE)*Optimalisatie!J36)</f>
        <v>#N/A</v>
      </c>
      <c r="AC34" s="332">
        <f>(_xlfn.IFNA(VLOOKUP(Inschrijf_MKI_Totaal[[#This Row],[Product]]&amp;", "&amp;Inschrijf_MKI_Totaal[[#Headers],[C1]],Database_Productkaarten[#All],14,FALSE),0)*Optimalisatie!J36)</f>
        <v>160</v>
      </c>
    </row>
    <row r="35" spans="2:29">
      <c r="B35" s="272" t="str">
        <f>Optimalisatie!B37</f>
        <v>440060 - Aanbrengen straatbakstenen DF, Rood (trottoir)</v>
      </c>
      <c r="C35" s="9" t="str">
        <f>Optimalisatie!F37</f>
        <v>Baksteen</v>
      </c>
      <c r="D35" s="9">
        <f>(IF(Optimalisatie!C37="Nieuwe Situatie",_xlfn.IFNA(IF(Optimalisatie!E37="Categorie_1_LCA_Producten",VLOOKUP(Inschrijf_MKI_Totaal[[#This Row],[Product]],Categorie_1_Producten[#All],8,FALSE)*(Optimalisatie!J37),VLOOKUP(Inschrijf_MKI_Totaal[[#This Row],[Product]]&amp;", "&amp;Inschrijf_MKI_Totaal[[#Headers],[A1]],Database_Productkaarten[#All],14,FALSE)*Optimalisatie!J37),Baseline_Backlog!D35),0))</f>
        <v>0</v>
      </c>
      <c r="E35" s="9">
        <f>(IF(Optimalisatie!C37="Nieuwe Situatie",_xlfn.IFNA(IF(Optimalisatie!E37="Categorie_1_LCA_Producten",VLOOKUP(Inschrijf_MKI_Totaal[[#This Row],[Product]],Categorie_1_Producten[#All],9,FALSE)*(Optimalisatie!J37),VLOOKUP(Inschrijf_MKI_Totaal[[#This Row],[Product]]&amp;", "&amp;Inschrijf_MKI_Totaal[[#Headers],[A2]],Database_Productkaarten[#All],14,FALSE)*Optimalisatie!J37),Baseline_Backlog!E35),0))</f>
        <v>0</v>
      </c>
      <c r="F35" s="9">
        <f>(IF(Optimalisatie!C37="Nieuwe Situatie",_xlfn.IFNA(IF(Optimalisatie!E37="Categorie_1_LCA_Producten",VLOOKUP(Inschrijf_MKI_Totaal[[#This Row],[Product]],Categorie_1_Producten[#All],10,FALSE)*(Optimalisatie!J37),VLOOKUP(Inschrijf_MKI_Totaal[[#This Row],[Product]]&amp;", "&amp;Inschrijf_MKI_Totaal[[#Headers],[A3]],Database_Productkaarten[#All],14,FALSE)*Optimalisatie!J37),Baseline_Backlog!F35),0))</f>
        <v>0</v>
      </c>
      <c r="G35" s="9">
        <f>(IF(Optimalisatie!C37="Nieuwe Situatie",_xlfn.IFNA(IF(Optimalisatie!E37="Categorie_1_LCA_Producten",VLOOKUP(Inschrijf_MKI_Totaal[[#This Row],[Product]],Categorie_1_Producten[#All],11,FALSE)*(Optimalisatie!J37),VLOOKUP(Inschrijf_MKI_Totaal[[#This Row],[Product]]&amp;", "&amp;Inschrijf_MKI_Totaal[[#Headers],[A1-A3]],Database_Productkaarten[#All],14,FALSE)*Optimalisatie!J37),Baseline_Backlog!G35),0))</f>
        <v>10280.3703</v>
      </c>
      <c r="H35" s="9">
        <f>(IF(Optimalisatie!C37="Nieuwe Situatie",_xlfn.IFNA(VLOOKUP(Optimalisatie!V37,Database_Transport[#All],7,FALSE)*((IF(Optimalisatie!R37=0,Baseline!Q37,Optimalisatie!R37))*Optimalisatie!U37),Baseline_Backlog!H35),0))</f>
        <v>218.93469381740002</v>
      </c>
      <c r="I35" s="9">
        <f>IF(Optimalisatie!C37="Nieuwe situatie",IF(_xlfn.IFNA((VLOOKUP(Optimalisatie!W37,Database_Asfalt_Aanlegset[#All],7,FALSE)*Optimalisatie!J37),0)+_xlfn.IFNA(VLOOKUP(Optimalisatie!X37,Database_Brandstoffen[#All],7,FALSE)*((Optimalisatie!J37/Optimalisatie!Z37)*Optimalisatie!Y37),0)&gt;0,_xlfn.IFNA((VLOOKUP(Optimalisatie!W37,Database_Asfalt_Aanlegset[#All],7,FALSE)*Optimalisatie!J37),0)+_xlfn.IFNA(VLOOKUP(Optimalisatie!X37,Database_Brandstoffen[#All],7,FALSE)*((Optimalisatie!J37/Optimalisatie!Z37)*Optimalisatie!Y37),0),(_xlfn.IFNA(VLOOKUP(Inschrijf_MKI_Totaal[[#This Row],[Product]]&amp;", "&amp;Inschrijf_MKI_Totaal[[#Headers],[A5]],Database_Productkaarten[#All],14,FALSE),0)*Optimalisatie!J37)),0)</f>
        <v>2615.5272654419996</v>
      </c>
      <c r="J35" s="9"/>
      <c r="K35" s="9">
        <f>(IF(Optimalisatie!C37="Nieuwe Situatie",_xlfn.IFNA(SUM(Inschrijf_MKI_Totaal[[#This Row],[A1]:[B1]],Inschrijf_MKI_Totaal[[#This Row],[C1]:[D2]])*Optimalisatie!T37,0),0))</f>
        <v>0</v>
      </c>
      <c r="L35" s="9">
        <f>IF(Optimalisatie!C37="Bestaande situatie",IF(_xlfn.IFNA((VLOOKUP(Optimalisatie!AA37,Database_Asfalt_Verwijderset[#All],7,FALSE)*Optimalisatie!J37),0)+_xlfn.IFNA(VLOOKUP(Optimalisatie!AB37,Database_Brandstoffen[#All],7,FALSE)*((Optimalisatie!J37/Optimalisatie!AD37)*Optimalisatie!AC37),0)&gt;0,_xlfn.IFNA((VLOOKUP(Optimalisatie!AA37,Database_Asfalt_Verwijderset[#All],7,FALSE)*Optimalisatie!J37),0)+_xlfn.IFNA(VLOOKUP(Optimalisatie!AB37,Database_Brandstoffen[#All],7,FALSE)*((Optimalisatie!J37/Optimalisatie!AD37)*Optimalisatie!AC37),0),(_xlfn.IFNA(VLOOKUP(Inschrijf_MKI_Totaal[[#This Row],[Product]]&amp;", "&amp;Inschrijf_MKI_Totaal[[#Headers],[C1]],Database_Productkaarten[#All],14,FALSE),0)*Optimalisatie!J37)),0)</f>
        <v>0</v>
      </c>
      <c r="M35" s="9">
        <f>(IF(Optimalisatie!C37="Bestaande Situatie",_xlfn.IFNA(VLOOKUP(Optimalisatie!AF37,Database_Transport[#All],7,FALSE)*(Optimalisatie!R37*Optimalisatie!AE37),Baseline_Backlog!M35),0))</f>
        <v>0</v>
      </c>
      <c r="N35" s="9">
        <f>(IF(Optimalisatie!C37="Bestaande Situatie",_xlfn.IFNA(VLOOKUP(Optimalisatie!AG37,Database_Asfalt_Verwerkingsset[#All],7,FALSE)*(Optimalisatie!J37/VLOOKUP(Optimalisatie!AG37,Database_Asfalt_Verwerkingsset[#All],8,FALSE)),Baseline_Backlog!N35),0))</f>
        <v>0</v>
      </c>
      <c r="O35" s="9">
        <f>(IF(Optimalisatie!C37="Bestaande Situatie",_xlfn.IFNA(VLOOKUP(Inschrijf_MKI_Totaal[[#This Row],[Product]]&amp;", "&amp;Inschrijf_MKI_Totaal[[#Headers],[C4]],Database_Productkaarten[#All],14,FALSE),Baseline_Backlog!O35)*Optimalisatie!J37,0))</f>
        <v>0</v>
      </c>
      <c r="P35" s="9">
        <f>(IF(Optimalisatie!C37="Bestaande Situatie",_xlfn.IFNA(IF(Optimalisatie!E37="Categorie_1_LCA_Producten",VLOOKUP(Inschrijf_MKI_Totaal[[#This Row],[Product]],Categorie_1_Producten[#All],12,FALSE)*(Optimalisatie!J37),VLOOKUP(Inschrijf_MKI_Totaal[[#This Row],[Product]]&amp;", "&amp;Inschrijf_MKI_Totaal[[#Headers],[D1]],Database_Productkaarten[#All],14,FALSE)*Optimalisatie!J37),Baseline_Backlog!P35),0))</f>
        <v>0</v>
      </c>
      <c r="Q35" s="9">
        <f>(IF(Optimalisatie!C37="Bestaande Situatie",_xlfn.IFNA(IF(Optimalisatie!E37="Categorie_1_LCA_Producten",VLOOKUP(Inschrijf_MKI_Totaal[[#This Row],[Product]],Categorie_1_Producten[#All],13,FALSE)*(Optimalisatie!J37),VLOOKUP(Inschrijf_MKI_Totaal[[#This Row],[Product]]&amp;", "&amp;Inschrijf_MKI_Totaal[[#Headers],[D2]],Database_Productkaarten[#All],14,FALSE)*Optimalisatie!J37),Baseline_Backlog!Q35),0))</f>
        <v>0</v>
      </c>
      <c r="R35" s="9">
        <f>(IF(Optimalisatie!C37="Bestaande Situatie",_xlfn.IFNA(IF(Optimalisatie!E37="Categorie_1_LCA_Producten",VLOOKUP(Inschrijf_MKI_Totaal[[#This Row],[Product]],Categorie_1_Producten[#All],13,FALSE)*(Optimalisatie!J37),VLOOKUP(Inschrijf_MKI_Totaal[[#This Row],[Product]]&amp;", "&amp;Inschrijf_MKI_Totaal[[#Headers],[D]],Database_Productkaarten[#All],14,FALSE)*Optimalisatie!J37),Baseline_Backlog!S35),0))</f>
        <v>0</v>
      </c>
      <c r="S35" s="301">
        <f>SUM(Inschrijf_MKI_Totaal[[#This Row],[A1-A3]:[C4]])+Inschrijf_MKI_Totaal[[#This Row],[D]]</f>
        <v>13114.832259259401</v>
      </c>
      <c r="AA35" s="9">
        <f>_xlfn.IFNA((VLOOKUP(Optimalisatie!AA37,Database_Asfalt_Verwijderset[#All],7,FALSE)*Optimalisatie!J37),0)</f>
        <v>0</v>
      </c>
      <c r="AB35" s="9" t="e">
        <f>(VLOOKUP(Optimalisatie!AA37,Database_Asfalt_Verwijderset[#All],7,FALSE)*Optimalisatie!J37)</f>
        <v>#N/A</v>
      </c>
      <c r="AC35" s="332">
        <f>(_xlfn.IFNA(VLOOKUP(Inschrijf_MKI_Totaal[[#This Row],[Product]]&amp;", "&amp;Inschrijf_MKI_Totaal[[#Headers],[C1]],Database_Productkaarten[#All],14,FALSE),0)*Optimalisatie!J37)</f>
        <v>218.27080000000001</v>
      </c>
    </row>
    <row r="36" spans="2:29">
      <c r="B36" s="272" t="str">
        <f>Optimalisatie!B38</f>
        <v>440070 - Aanbrengen straatbakstenen DF, Geel (trottoir)</v>
      </c>
      <c r="C36" s="9" t="str">
        <f>Optimalisatie!F38</f>
        <v>Baksteen</v>
      </c>
      <c r="D36" s="9">
        <f>(IF(Optimalisatie!C38="Nieuwe Situatie",_xlfn.IFNA(IF(Optimalisatie!E38="Categorie_1_LCA_Producten",VLOOKUP(Inschrijf_MKI_Totaal[[#This Row],[Product]],Categorie_1_Producten[#All],8,FALSE)*(Optimalisatie!J38),VLOOKUP(Inschrijf_MKI_Totaal[[#This Row],[Product]]&amp;", "&amp;Inschrijf_MKI_Totaal[[#Headers],[A1]],Database_Productkaarten[#All],14,FALSE)*Optimalisatie!J38),Baseline_Backlog!D36),0))</f>
        <v>0</v>
      </c>
      <c r="E36" s="9">
        <f>(IF(Optimalisatie!C38="Nieuwe Situatie",_xlfn.IFNA(IF(Optimalisatie!E38="Categorie_1_LCA_Producten",VLOOKUP(Inschrijf_MKI_Totaal[[#This Row],[Product]],Categorie_1_Producten[#All],9,FALSE)*(Optimalisatie!J38),VLOOKUP(Inschrijf_MKI_Totaal[[#This Row],[Product]]&amp;", "&amp;Inschrijf_MKI_Totaal[[#Headers],[A2]],Database_Productkaarten[#All],14,FALSE)*Optimalisatie!J38),Baseline_Backlog!E36),0))</f>
        <v>0</v>
      </c>
      <c r="F36" s="9">
        <f>(IF(Optimalisatie!C38="Nieuwe Situatie",_xlfn.IFNA(IF(Optimalisatie!E38="Categorie_1_LCA_Producten",VLOOKUP(Inschrijf_MKI_Totaal[[#This Row],[Product]],Categorie_1_Producten[#All],10,FALSE)*(Optimalisatie!J38),VLOOKUP(Inschrijf_MKI_Totaal[[#This Row],[Product]]&amp;", "&amp;Inschrijf_MKI_Totaal[[#Headers],[A3]],Database_Productkaarten[#All],14,FALSE)*Optimalisatie!J38),Baseline_Backlog!F36),0))</f>
        <v>0</v>
      </c>
      <c r="G36" s="9">
        <f>(IF(Optimalisatie!C38="Nieuwe Situatie",_xlfn.IFNA(IF(Optimalisatie!E38="Categorie_1_LCA_Producten",VLOOKUP(Inschrijf_MKI_Totaal[[#This Row],[Product]],Categorie_1_Producten[#All],11,FALSE)*(Optimalisatie!J38),VLOOKUP(Inschrijf_MKI_Totaal[[#This Row],[Product]]&amp;", "&amp;Inschrijf_MKI_Totaal[[#Headers],[A1-A3]],Database_Productkaarten[#All],14,FALSE)*Optimalisatie!J38),Baseline_Backlog!G36),0))</f>
        <v>2693.0355</v>
      </c>
      <c r="H36" s="9">
        <f>(IF(Optimalisatie!C38="Nieuwe Situatie",_xlfn.IFNA(VLOOKUP(Optimalisatie!V38,Database_Transport[#All],7,FALSE)*((IF(Optimalisatie!R38=0,Baseline!Q38,Optimalisatie!R38))*Optimalisatie!U38),Baseline_Backlog!H36),0))</f>
        <v>57.351912959000003</v>
      </c>
      <c r="I36" s="9">
        <f>IF(Optimalisatie!C38="Nieuwe situatie",IF(_xlfn.IFNA((VLOOKUP(Optimalisatie!W38,Database_Asfalt_Aanlegset[#All],7,FALSE)*Optimalisatie!J38),0)+_xlfn.IFNA(VLOOKUP(Optimalisatie!X38,Database_Brandstoffen[#All],7,FALSE)*((Optimalisatie!J38/Optimalisatie!Z38)*Optimalisatie!Y38),0)&gt;0,_xlfn.IFNA((VLOOKUP(Optimalisatie!W38,Database_Asfalt_Aanlegset[#All],7,FALSE)*Optimalisatie!J38),0)+_xlfn.IFNA(VLOOKUP(Optimalisatie!X38,Database_Brandstoffen[#All],7,FALSE)*((Optimalisatie!J38/Optimalisatie!Z38)*Optimalisatie!Y38),0),(_xlfn.IFNA(VLOOKUP(Inschrijf_MKI_Totaal[[#This Row],[Product]]&amp;", "&amp;Inschrijf_MKI_Totaal[[#Headers],[A5]],Database_Productkaarten[#All],14,FALSE),0)*Optimalisatie!J38)),0)</f>
        <v>685.16090096999994</v>
      </c>
      <c r="J36" s="9"/>
      <c r="K36" s="9">
        <f>(IF(Optimalisatie!C38="Nieuwe Situatie",_xlfn.IFNA(SUM(Inschrijf_MKI_Totaal[[#This Row],[A1]:[B1]],Inschrijf_MKI_Totaal[[#This Row],[C1]:[D2]])*Optimalisatie!T38,0),0))</f>
        <v>0</v>
      </c>
      <c r="L36" s="9">
        <f>IF(Optimalisatie!C38="Bestaande situatie",IF(_xlfn.IFNA((VLOOKUP(Optimalisatie!AA38,Database_Asfalt_Verwijderset[#All],7,FALSE)*Optimalisatie!J38),0)+_xlfn.IFNA(VLOOKUP(Optimalisatie!AB38,Database_Brandstoffen[#All],7,FALSE)*((Optimalisatie!J38/Optimalisatie!AD38)*Optimalisatie!AC38),0)&gt;0,_xlfn.IFNA((VLOOKUP(Optimalisatie!AA38,Database_Asfalt_Verwijderset[#All],7,FALSE)*Optimalisatie!J38),0)+_xlfn.IFNA(VLOOKUP(Optimalisatie!AB38,Database_Brandstoffen[#All],7,FALSE)*((Optimalisatie!J38/Optimalisatie!AD38)*Optimalisatie!AC38),0),(_xlfn.IFNA(VLOOKUP(Inschrijf_MKI_Totaal[[#This Row],[Product]]&amp;", "&amp;Inschrijf_MKI_Totaal[[#Headers],[C1]],Database_Productkaarten[#All],14,FALSE),0)*Optimalisatie!J38)),0)</f>
        <v>0</v>
      </c>
      <c r="M36" s="9">
        <f>(IF(Optimalisatie!C38="Bestaande Situatie",_xlfn.IFNA(VLOOKUP(Optimalisatie!AF38,Database_Transport[#All],7,FALSE)*(Optimalisatie!R38*Optimalisatie!AE38),Baseline_Backlog!M36),0))</f>
        <v>0</v>
      </c>
      <c r="N36" s="9">
        <f>(IF(Optimalisatie!C38="Bestaande Situatie",_xlfn.IFNA(VLOOKUP(Optimalisatie!AG38,Database_Asfalt_Verwerkingsset[#All],7,FALSE)*(Optimalisatie!J38/VLOOKUP(Optimalisatie!AG38,Database_Asfalt_Verwerkingsset[#All],8,FALSE)),Baseline_Backlog!N36),0))</f>
        <v>0</v>
      </c>
      <c r="O36" s="9">
        <f>(IF(Optimalisatie!C38="Bestaande Situatie",_xlfn.IFNA(VLOOKUP(Inschrijf_MKI_Totaal[[#This Row],[Product]]&amp;", "&amp;Inschrijf_MKI_Totaal[[#Headers],[C4]],Database_Productkaarten[#All],14,FALSE),Baseline_Backlog!O36)*Optimalisatie!J38,0))</f>
        <v>0</v>
      </c>
      <c r="P36" s="9">
        <f>(IF(Optimalisatie!C38="Bestaande Situatie",_xlfn.IFNA(IF(Optimalisatie!E38="Categorie_1_LCA_Producten",VLOOKUP(Inschrijf_MKI_Totaal[[#This Row],[Product]],Categorie_1_Producten[#All],12,FALSE)*(Optimalisatie!J38),VLOOKUP(Inschrijf_MKI_Totaal[[#This Row],[Product]]&amp;", "&amp;Inschrijf_MKI_Totaal[[#Headers],[D1]],Database_Productkaarten[#All],14,FALSE)*Optimalisatie!J38),Baseline_Backlog!P36),0))</f>
        <v>0</v>
      </c>
      <c r="Q36" s="9">
        <f>(IF(Optimalisatie!C38="Bestaande Situatie",_xlfn.IFNA(IF(Optimalisatie!E38="Categorie_1_LCA_Producten",VLOOKUP(Inschrijf_MKI_Totaal[[#This Row],[Product]],Categorie_1_Producten[#All],13,FALSE)*(Optimalisatie!J38),VLOOKUP(Inschrijf_MKI_Totaal[[#This Row],[Product]]&amp;", "&amp;Inschrijf_MKI_Totaal[[#Headers],[D2]],Database_Productkaarten[#All],14,FALSE)*Optimalisatie!J38),Baseline_Backlog!Q36),0))</f>
        <v>0</v>
      </c>
      <c r="R36" s="9">
        <f>(IF(Optimalisatie!C38="Bestaande Situatie",_xlfn.IFNA(IF(Optimalisatie!E38="Categorie_1_LCA_Producten",VLOOKUP(Inschrijf_MKI_Totaal[[#This Row],[Product]],Categorie_1_Producten[#All],13,FALSE)*(Optimalisatie!J38),VLOOKUP(Inschrijf_MKI_Totaal[[#This Row],[Product]]&amp;", "&amp;Inschrijf_MKI_Totaal[[#Headers],[D]],Database_Productkaarten[#All],14,FALSE)*Optimalisatie!J38),Baseline_Backlog!S36),0))</f>
        <v>0</v>
      </c>
      <c r="S36" s="301">
        <f>SUM(Inschrijf_MKI_Totaal[[#This Row],[A1-A3]:[C4]])+Inschrijf_MKI_Totaal[[#This Row],[D]]</f>
        <v>3435.548313929</v>
      </c>
      <c r="AA36" s="9">
        <f>_xlfn.IFNA((VLOOKUP(Optimalisatie!AA38,Database_Asfalt_Verwijderset[#All],7,FALSE)*Optimalisatie!J38),0)</f>
        <v>0</v>
      </c>
      <c r="AB36" s="9" t="e">
        <f>(VLOOKUP(Optimalisatie!AA38,Database_Asfalt_Verwijderset[#All],7,FALSE)*Optimalisatie!J38)</f>
        <v>#N/A</v>
      </c>
      <c r="AC36" s="332">
        <f>(_xlfn.IFNA(VLOOKUP(Inschrijf_MKI_Totaal[[#This Row],[Product]]&amp;", "&amp;Inschrijf_MKI_Totaal[[#Headers],[C1]],Database_Productkaarten[#All],14,FALSE),0)*Optimalisatie!J38)</f>
        <v>57.177999999999997</v>
      </c>
    </row>
    <row r="37" spans="2:29">
      <c r="B37" s="272" t="str">
        <f>Optimalisatie!B39</f>
        <v>440090 - Aanbrengen straatbakstenen DF, Rood (drempelopgang)</v>
      </c>
      <c r="C37" s="9" t="str">
        <f>Optimalisatie!F39</f>
        <v>Baksteen</v>
      </c>
      <c r="D37" s="9">
        <f>(IF(Optimalisatie!C39="Nieuwe Situatie",_xlfn.IFNA(IF(Optimalisatie!E39="Categorie_1_LCA_Producten",VLOOKUP(Inschrijf_MKI_Totaal[[#This Row],[Product]],Categorie_1_Producten[#All],8,FALSE)*(Optimalisatie!J39),VLOOKUP(Inschrijf_MKI_Totaal[[#This Row],[Product]]&amp;", "&amp;Inschrijf_MKI_Totaal[[#Headers],[A1]],Database_Productkaarten[#All],14,FALSE)*Optimalisatie!J39),Baseline_Backlog!D37),0))</f>
        <v>0</v>
      </c>
      <c r="E37" s="9">
        <f>(IF(Optimalisatie!C39="Nieuwe Situatie",_xlfn.IFNA(IF(Optimalisatie!E39="Categorie_1_LCA_Producten",VLOOKUP(Inschrijf_MKI_Totaal[[#This Row],[Product]],Categorie_1_Producten[#All],9,FALSE)*(Optimalisatie!J39),VLOOKUP(Inschrijf_MKI_Totaal[[#This Row],[Product]]&amp;", "&amp;Inschrijf_MKI_Totaal[[#Headers],[A2]],Database_Productkaarten[#All],14,FALSE)*Optimalisatie!J39),Baseline_Backlog!E37),0))</f>
        <v>0</v>
      </c>
      <c r="F37" s="9">
        <f>(IF(Optimalisatie!C39="Nieuwe Situatie",_xlfn.IFNA(IF(Optimalisatie!E39="Categorie_1_LCA_Producten",VLOOKUP(Inschrijf_MKI_Totaal[[#This Row],[Product]],Categorie_1_Producten[#All],10,FALSE)*(Optimalisatie!J39),VLOOKUP(Inschrijf_MKI_Totaal[[#This Row],[Product]]&amp;", "&amp;Inschrijf_MKI_Totaal[[#Headers],[A3]],Database_Productkaarten[#All],14,FALSE)*Optimalisatie!J39),Baseline_Backlog!F37),0))</f>
        <v>0</v>
      </c>
      <c r="G37" s="9">
        <f>(IF(Optimalisatie!C39="Nieuwe Situatie",_xlfn.IFNA(IF(Optimalisatie!E39="Categorie_1_LCA_Producten",VLOOKUP(Inschrijf_MKI_Totaal[[#This Row],[Product]],Categorie_1_Producten[#All],11,FALSE)*(Optimalisatie!J39),VLOOKUP(Inschrijf_MKI_Totaal[[#This Row],[Product]]&amp;", "&amp;Inschrijf_MKI_Totaal[[#Headers],[A1-A3]],Database_Productkaarten[#All],14,FALSE)*Optimalisatie!J39),Baseline_Backlog!G37),0))</f>
        <v>526.89824999999996</v>
      </c>
      <c r="H37" s="9">
        <f>(IF(Optimalisatie!C39="Nieuwe Situatie",_xlfn.IFNA(VLOOKUP(Optimalisatie!V39,Database_Transport[#All],7,FALSE)*((IF(Optimalisatie!R39=0,Baseline!Q39,Optimalisatie!R39))*Optimalisatie!U39),Baseline_Backlog!H37),0))</f>
        <v>11.221026448500002</v>
      </c>
      <c r="I37" s="9">
        <f>IF(Optimalisatie!C39="Nieuwe situatie",IF(_xlfn.IFNA((VLOOKUP(Optimalisatie!W39,Database_Asfalt_Aanlegset[#All],7,FALSE)*Optimalisatie!J39),0)+_xlfn.IFNA(VLOOKUP(Optimalisatie!X39,Database_Brandstoffen[#All],7,FALSE)*((Optimalisatie!J39/Optimalisatie!Z39)*Optimalisatie!Y39),0)&gt;0,_xlfn.IFNA((VLOOKUP(Optimalisatie!W39,Database_Asfalt_Aanlegset[#All],7,FALSE)*Optimalisatie!J39),0)+_xlfn.IFNA(VLOOKUP(Optimalisatie!X39,Database_Brandstoffen[#All],7,FALSE)*((Optimalisatie!J39/Optimalisatie!Z39)*Optimalisatie!Y39),0),(_xlfn.IFNA(VLOOKUP(Inschrijf_MKI_Totaal[[#This Row],[Product]]&amp;", "&amp;Inschrijf_MKI_Totaal[[#Headers],[A5]],Database_Productkaarten[#All],14,FALSE),0)*Optimalisatie!J39)),0)</f>
        <v>134.05321975499999</v>
      </c>
      <c r="J37" s="9"/>
      <c r="K37" s="9">
        <f>(IF(Optimalisatie!C39="Nieuwe Situatie",_xlfn.IFNA(SUM(Inschrijf_MKI_Totaal[[#This Row],[A1]:[B1]],Inschrijf_MKI_Totaal[[#This Row],[C1]:[D2]])*Optimalisatie!T39,0),0))</f>
        <v>0</v>
      </c>
      <c r="L37" s="9">
        <f>IF(Optimalisatie!C39="Bestaande situatie",IF(_xlfn.IFNA((VLOOKUP(Optimalisatie!AA39,Database_Asfalt_Verwijderset[#All],7,FALSE)*Optimalisatie!J39),0)+_xlfn.IFNA(VLOOKUP(Optimalisatie!AB39,Database_Brandstoffen[#All],7,FALSE)*((Optimalisatie!J39/Optimalisatie!AD39)*Optimalisatie!AC39),0)&gt;0,_xlfn.IFNA((VLOOKUP(Optimalisatie!AA39,Database_Asfalt_Verwijderset[#All],7,FALSE)*Optimalisatie!J39),0)+_xlfn.IFNA(VLOOKUP(Optimalisatie!AB39,Database_Brandstoffen[#All],7,FALSE)*((Optimalisatie!J39/Optimalisatie!AD39)*Optimalisatie!AC39),0),(_xlfn.IFNA(VLOOKUP(Inschrijf_MKI_Totaal[[#This Row],[Product]]&amp;", "&amp;Inschrijf_MKI_Totaal[[#Headers],[C1]],Database_Productkaarten[#All],14,FALSE),0)*Optimalisatie!J39)),0)</f>
        <v>0</v>
      </c>
      <c r="M37" s="9">
        <f>(IF(Optimalisatie!C39="Bestaande Situatie",_xlfn.IFNA(VLOOKUP(Optimalisatie!AF39,Database_Transport[#All],7,FALSE)*(Optimalisatie!R39*Optimalisatie!AE39),Baseline_Backlog!M37),0))</f>
        <v>0</v>
      </c>
      <c r="N37" s="9">
        <f>(IF(Optimalisatie!C39="Bestaande Situatie",_xlfn.IFNA(VLOOKUP(Optimalisatie!AG39,Database_Asfalt_Verwerkingsset[#All],7,FALSE)*(Optimalisatie!J39/VLOOKUP(Optimalisatie!AG39,Database_Asfalt_Verwerkingsset[#All],8,FALSE)),Baseline_Backlog!N37),0))</f>
        <v>0</v>
      </c>
      <c r="O37" s="9">
        <f>(IF(Optimalisatie!C39="Bestaande Situatie",_xlfn.IFNA(VLOOKUP(Inschrijf_MKI_Totaal[[#This Row],[Product]]&amp;", "&amp;Inschrijf_MKI_Totaal[[#Headers],[C4]],Database_Productkaarten[#All],14,FALSE),Baseline_Backlog!O37)*Optimalisatie!J39,0))</f>
        <v>0</v>
      </c>
      <c r="P37" s="9">
        <f>(IF(Optimalisatie!C39="Bestaande Situatie",_xlfn.IFNA(IF(Optimalisatie!E39="Categorie_1_LCA_Producten",VLOOKUP(Inschrijf_MKI_Totaal[[#This Row],[Product]],Categorie_1_Producten[#All],12,FALSE)*(Optimalisatie!J39),VLOOKUP(Inschrijf_MKI_Totaal[[#This Row],[Product]]&amp;", "&amp;Inschrijf_MKI_Totaal[[#Headers],[D1]],Database_Productkaarten[#All],14,FALSE)*Optimalisatie!J39),Baseline_Backlog!P37),0))</f>
        <v>0</v>
      </c>
      <c r="Q37" s="9">
        <f>(IF(Optimalisatie!C39="Bestaande Situatie",_xlfn.IFNA(IF(Optimalisatie!E39="Categorie_1_LCA_Producten",VLOOKUP(Inschrijf_MKI_Totaal[[#This Row],[Product]],Categorie_1_Producten[#All],13,FALSE)*(Optimalisatie!J39),VLOOKUP(Inschrijf_MKI_Totaal[[#This Row],[Product]]&amp;", "&amp;Inschrijf_MKI_Totaal[[#Headers],[D2]],Database_Productkaarten[#All],14,FALSE)*Optimalisatie!J39),Baseline_Backlog!Q37),0))</f>
        <v>0</v>
      </c>
      <c r="R37" s="9">
        <f>(IF(Optimalisatie!C39="Bestaande Situatie",_xlfn.IFNA(IF(Optimalisatie!E39="Categorie_1_LCA_Producten",VLOOKUP(Inschrijf_MKI_Totaal[[#This Row],[Product]],Categorie_1_Producten[#All],13,FALSE)*(Optimalisatie!J39),VLOOKUP(Inschrijf_MKI_Totaal[[#This Row],[Product]]&amp;", "&amp;Inschrijf_MKI_Totaal[[#Headers],[D]],Database_Productkaarten[#All],14,FALSE)*Optimalisatie!J39),Baseline_Backlog!S37),0))</f>
        <v>0</v>
      </c>
      <c r="S37" s="301">
        <f>SUM(Inschrijf_MKI_Totaal[[#This Row],[A1-A3]:[C4]])+Inschrijf_MKI_Totaal[[#This Row],[D]]</f>
        <v>672.17249620349992</v>
      </c>
      <c r="AA37" s="9">
        <f>_xlfn.IFNA((VLOOKUP(Optimalisatie!AA39,Database_Asfalt_Verwijderset[#All],7,FALSE)*Optimalisatie!J39),0)</f>
        <v>0</v>
      </c>
      <c r="AB37" s="9" t="e">
        <f>(VLOOKUP(Optimalisatie!AA39,Database_Asfalt_Verwijderset[#All],7,FALSE)*Optimalisatie!J39)</f>
        <v>#N/A</v>
      </c>
      <c r="AC37" s="332">
        <f>(_xlfn.IFNA(VLOOKUP(Inschrijf_MKI_Totaal[[#This Row],[Product]]&amp;", "&amp;Inschrijf_MKI_Totaal[[#Headers],[C1]],Database_Productkaarten[#All],14,FALSE),0)*Optimalisatie!J39)</f>
        <v>11.186999999999999</v>
      </c>
    </row>
    <row r="38" spans="2:29" hidden="1">
      <c r="B38" s="272">
        <f>Optimalisatie!B40</f>
        <v>0</v>
      </c>
      <c r="C38" s="9">
        <f>Optimalisatie!F40</f>
        <v>0</v>
      </c>
      <c r="D38" s="9">
        <f>(IF(Optimalisatie!C40="Nieuwe Situatie",_xlfn.IFNA(IF(Optimalisatie!E40="Categorie_1_LCA_Producten",VLOOKUP(Inschrijf_MKI_Totaal[[#This Row],[Product]],Categorie_1_Producten[#All],8,FALSE)*(Optimalisatie!J40),VLOOKUP(Inschrijf_MKI_Totaal[[#This Row],[Product]]&amp;", "&amp;Inschrijf_MKI_Totaal[[#Headers],[A1]],Database_Productkaarten[#All],14,FALSE)*Optimalisatie!J40),Baseline_Backlog!D38),0))</f>
        <v>0</v>
      </c>
      <c r="E38" s="9">
        <f>(IF(Optimalisatie!C40="Nieuwe Situatie",_xlfn.IFNA(IF(Optimalisatie!E40="Categorie_1_LCA_Producten",VLOOKUP(Inschrijf_MKI_Totaal[[#This Row],[Product]],Categorie_1_Producten[#All],9,FALSE)*(Optimalisatie!J40),VLOOKUP(Inschrijf_MKI_Totaal[[#This Row],[Product]]&amp;", "&amp;Inschrijf_MKI_Totaal[[#Headers],[A2]],Database_Productkaarten[#All],14,FALSE)*Optimalisatie!J40),Baseline_Backlog!E38),0))</f>
        <v>0</v>
      </c>
      <c r="F38" s="9">
        <f>(IF(Optimalisatie!C40="Nieuwe Situatie",_xlfn.IFNA(IF(Optimalisatie!E40="Categorie_1_LCA_Producten",VLOOKUP(Inschrijf_MKI_Totaal[[#This Row],[Product]],Categorie_1_Producten[#All],10,FALSE)*(Optimalisatie!J40),VLOOKUP(Inschrijf_MKI_Totaal[[#This Row],[Product]]&amp;", "&amp;Inschrijf_MKI_Totaal[[#Headers],[A3]],Database_Productkaarten[#All],14,FALSE)*Optimalisatie!J40),Baseline_Backlog!F38),0))</f>
        <v>0</v>
      </c>
      <c r="G38" s="9">
        <f>(IF(Optimalisatie!C40="Nieuwe Situatie",_xlfn.IFNA(IF(Optimalisatie!E40="Categorie_1_LCA_Producten",VLOOKUP(Inschrijf_MKI_Totaal[[#This Row],[Product]],Categorie_1_Producten[#All],11,FALSE)*(Optimalisatie!J40),VLOOKUP(Inschrijf_MKI_Totaal[[#This Row],[Product]]&amp;", "&amp;Inschrijf_MKI_Totaal[[#Headers],[A1-A3]],Database_Productkaarten[#All],14,FALSE)*Optimalisatie!J40),Baseline_Backlog!G38),0))</f>
        <v>0</v>
      </c>
      <c r="H38" s="9">
        <f>(IF(Optimalisatie!C40="Nieuwe Situatie",_xlfn.IFNA(VLOOKUP(Optimalisatie!V40,Database_Transport[#All],7,FALSE)*((IF(Optimalisatie!R40=0,Baseline!Q40,Optimalisatie!R40))*Optimalisatie!U40),Baseline_Backlog!H38),0))</f>
        <v>0</v>
      </c>
      <c r="I38" s="9">
        <f>IF(Optimalisatie!C40="Nieuwe situatie",IF(_xlfn.IFNA((VLOOKUP(Optimalisatie!W40,Database_Asfalt_Aanlegset[#All],7,FALSE)*Optimalisatie!J40),0)+_xlfn.IFNA(VLOOKUP(Optimalisatie!X40,Database_Brandstoffen[#All],7,FALSE)*((Optimalisatie!J40/Optimalisatie!Z40)*Optimalisatie!Y40),0)&gt;0,_xlfn.IFNA((VLOOKUP(Optimalisatie!W40,Database_Asfalt_Aanlegset[#All],7,FALSE)*Optimalisatie!J40),0)+_xlfn.IFNA(VLOOKUP(Optimalisatie!X40,Database_Brandstoffen[#All],7,FALSE)*((Optimalisatie!J40/Optimalisatie!Z40)*Optimalisatie!Y40),0),(_xlfn.IFNA(VLOOKUP(Inschrijf_MKI_Totaal[[#This Row],[Product]]&amp;", "&amp;Inschrijf_MKI_Totaal[[#Headers],[A5]],Database_Productkaarten[#All],14,FALSE),0)*Optimalisatie!J40)),0)</f>
        <v>0</v>
      </c>
      <c r="J38" s="9"/>
      <c r="K38" s="9">
        <f>(IF(Optimalisatie!C40="Nieuwe Situatie",_xlfn.IFNA(SUM(Inschrijf_MKI_Totaal[[#This Row],[A1]:[B1]],Inschrijf_MKI_Totaal[[#This Row],[C1]:[D2]])*Optimalisatie!T40,0),0))</f>
        <v>0</v>
      </c>
      <c r="L38" s="9">
        <f>IF(Optimalisatie!C40="Bestaande situatie",IF(_xlfn.IFNA((VLOOKUP(Optimalisatie!AA40,Database_Asfalt_Verwijderset[#All],7,FALSE)*Optimalisatie!J40),0)+_xlfn.IFNA(VLOOKUP(Optimalisatie!AB40,Database_Brandstoffen[#All],7,FALSE)*((Optimalisatie!J40/Optimalisatie!AD40)*Optimalisatie!AC40),0)&gt;0,_xlfn.IFNA((VLOOKUP(Optimalisatie!AA40,Database_Asfalt_Verwijderset[#All],7,FALSE)*Optimalisatie!J40),0)+_xlfn.IFNA(VLOOKUP(Optimalisatie!AB40,Database_Brandstoffen[#All],7,FALSE)*((Optimalisatie!J40/Optimalisatie!AD40)*Optimalisatie!AC40),0),(_xlfn.IFNA(VLOOKUP(Inschrijf_MKI_Totaal[[#This Row],[Product]]&amp;", "&amp;Inschrijf_MKI_Totaal[[#Headers],[C1]],Database_Productkaarten[#All],14,FALSE),0)*Optimalisatie!J40)),0)</f>
        <v>0</v>
      </c>
      <c r="M38" s="9">
        <f>(IF(Optimalisatie!C40="Bestaande Situatie",_xlfn.IFNA(VLOOKUP(Optimalisatie!AF40,Database_Transport[#All],7,FALSE)*(Optimalisatie!R40*Optimalisatie!AE40),Baseline_Backlog!M38),0))</f>
        <v>0</v>
      </c>
      <c r="N38" s="9">
        <f>(IF(Optimalisatie!C40="Bestaande Situatie",_xlfn.IFNA(VLOOKUP(Optimalisatie!AG40,Database_Asfalt_Verwerkingsset[#All],7,FALSE)*(Optimalisatie!J40/VLOOKUP(Optimalisatie!AG40,Database_Asfalt_Verwerkingsset[#All],8,FALSE)),Baseline_Backlog!N38),0))</f>
        <v>0</v>
      </c>
      <c r="O38" s="9">
        <f>(IF(Optimalisatie!C40="Bestaande Situatie",_xlfn.IFNA(VLOOKUP(Inschrijf_MKI_Totaal[[#This Row],[Product]]&amp;", "&amp;Inschrijf_MKI_Totaal[[#Headers],[C4]],Database_Productkaarten[#All],14,FALSE),Baseline_Backlog!O38)*Optimalisatie!J40,0))</f>
        <v>0</v>
      </c>
      <c r="P38" s="9">
        <f>(IF(Optimalisatie!C40="Bestaande Situatie",_xlfn.IFNA(IF(Optimalisatie!E40="Categorie_1_LCA_Producten",VLOOKUP(Inschrijf_MKI_Totaal[[#This Row],[Product]],Categorie_1_Producten[#All],12,FALSE)*(Optimalisatie!J40),VLOOKUP(Inschrijf_MKI_Totaal[[#This Row],[Product]]&amp;", "&amp;Inschrijf_MKI_Totaal[[#Headers],[D1]],Database_Productkaarten[#All],14,FALSE)*Optimalisatie!J40),Baseline_Backlog!P38),0))</f>
        <v>0</v>
      </c>
      <c r="Q38" s="9">
        <f>(IF(Optimalisatie!C40="Bestaande Situatie",_xlfn.IFNA(IF(Optimalisatie!E40="Categorie_1_LCA_Producten",VLOOKUP(Inschrijf_MKI_Totaal[[#This Row],[Product]],Categorie_1_Producten[#All],13,FALSE)*(Optimalisatie!J40),VLOOKUP(Inschrijf_MKI_Totaal[[#This Row],[Product]]&amp;", "&amp;Inschrijf_MKI_Totaal[[#Headers],[D2]],Database_Productkaarten[#All],14,FALSE)*Optimalisatie!J40),Baseline_Backlog!Q38),0))</f>
        <v>0</v>
      </c>
      <c r="R38" s="9">
        <f>(IF(Optimalisatie!C40="Bestaande Situatie",_xlfn.IFNA(IF(Optimalisatie!E40="Categorie_1_LCA_Producten",VLOOKUP(Inschrijf_MKI_Totaal[[#This Row],[Product]],Categorie_1_Producten[#All],13,FALSE)*(Optimalisatie!J40),VLOOKUP(Inschrijf_MKI_Totaal[[#This Row],[Product]]&amp;", "&amp;Inschrijf_MKI_Totaal[[#Headers],[D]],Database_Productkaarten[#All],14,FALSE)*Optimalisatie!J40),Baseline_Backlog!S38),0))</f>
        <v>0</v>
      </c>
      <c r="S38" s="301">
        <f>SUM(Inschrijf_MKI_Totaal[[#This Row],[A1-A3]:[C4]])+Inschrijf_MKI_Totaal[[#This Row],[D]]</f>
        <v>0</v>
      </c>
      <c r="AA38" s="9">
        <f>_xlfn.IFNA((VLOOKUP(Optimalisatie!AA40,Database_Asfalt_Verwijderset[#All],7,FALSE)*Optimalisatie!J40),0)</f>
        <v>0</v>
      </c>
      <c r="AB38" s="9" t="e">
        <f>(VLOOKUP(Optimalisatie!AA40,Database_Asfalt_Verwijderset[#All],7,FALSE)*Optimalisatie!J40)</f>
        <v>#N/A</v>
      </c>
      <c r="AC38" s="332">
        <f>(_xlfn.IFNA(VLOOKUP(Inschrijf_MKI_Totaal[[#This Row],[Product]]&amp;", "&amp;Inschrijf_MKI_Totaal[[#Headers],[C1]],Database_Productkaarten[#All],14,FALSE),0)*Optimalisatie!J40)</f>
        <v>0</v>
      </c>
    </row>
    <row r="39" spans="2:29" hidden="1">
      <c r="B39" s="272">
        <f>Optimalisatie!B41</f>
        <v>0</v>
      </c>
      <c r="C39" s="9">
        <f>Optimalisatie!F41</f>
        <v>0</v>
      </c>
      <c r="D39" s="9">
        <f>(IF(Optimalisatie!C41="Nieuwe Situatie",_xlfn.IFNA(IF(Optimalisatie!E41="Categorie_1_LCA_Producten",VLOOKUP(Inschrijf_MKI_Totaal[[#This Row],[Product]],Categorie_1_Producten[#All],8,FALSE)*(Optimalisatie!J41),VLOOKUP(Inschrijf_MKI_Totaal[[#This Row],[Product]]&amp;", "&amp;Inschrijf_MKI_Totaal[[#Headers],[A1]],Database_Productkaarten[#All],14,FALSE)*Optimalisatie!J41),Baseline_Backlog!D39),0))</f>
        <v>0</v>
      </c>
      <c r="E39" s="9">
        <f>(IF(Optimalisatie!C41="Nieuwe Situatie",_xlfn.IFNA(IF(Optimalisatie!E41="Categorie_1_LCA_Producten",VLOOKUP(Inschrijf_MKI_Totaal[[#This Row],[Product]],Categorie_1_Producten[#All],9,FALSE)*(Optimalisatie!J41),VLOOKUP(Inschrijf_MKI_Totaal[[#This Row],[Product]]&amp;", "&amp;Inschrijf_MKI_Totaal[[#Headers],[A2]],Database_Productkaarten[#All],14,FALSE)*Optimalisatie!J41),Baseline_Backlog!E39),0))</f>
        <v>0</v>
      </c>
      <c r="F39" s="9">
        <f>(IF(Optimalisatie!C41="Nieuwe Situatie",_xlfn.IFNA(IF(Optimalisatie!E41="Categorie_1_LCA_Producten",VLOOKUP(Inschrijf_MKI_Totaal[[#This Row],[Product]],Categorie_1_Producten[#All],10,FALSE)*(Optimalisatie!J41),VLOOKUP(Inschrijf_MKI_Totaal[[#This Row],[Product]]&amp;", "&amp;Inschrijf_MKI_Totaal[[#Headers],[A3]],Database_Productkaarten[#All],14,FALSE)*Optimalisatie!J41),Baseline_Backlog!F39),0))</f>
        <v>0</v>
      </c>
      <c r="G39" s="9">
        <f>(IF(Optimalisatie!C41="Nieuwe Situatie",_xlfn.IFNA(IF(Optimalisatie!E41="Categorie_1_LCA_Producten",VLOOKUP(Inschrijf_MKI_Totaal[[#This Row],[Product]],Categorie_1_Producten[#All],11,FALSE)*(Optimalisatie!J41),VLOOKUP(Inschrijf_MKI_Totaal[[#This Row],[Product]]&amp;", "&amp;Inschrijf_MKI_Totaal[[#Headers],[A1-A3]],Database_Productkaarten[#All],14,FALSE)*Optimalisatie!J41),Baseline_Backlog!G39),0))</f>
        <v>0</v>
      </c>
      <c r="H39" s="9">
        <f>(IF(Optimalisatie!C41="Nieuwe Situatie",_xlfn.IFNA(VLOOKUP(Optimalisatie!V41,Database_Transport[#All],7,FALSE)*((IF(Optimalisatie!R41=0,Baseline!Q41,Optimalisatie!R41))*Optimalisatie!U41),Baseline_Backlog!H39),0))</f>
        <v>0</v>
      </c>
      <c r="I39" s="9">
        <f>IF(Optimalisatie!C41="Nieuwe situatie",IF(_xlfn.IFNA((VLOOKUP(Optimalisatie!W41,Database_Asfalt_Aanlegset[#All],7,FALSE)*Optimalisatie!J41),0)+_xlfn.IFNA(VLOOKUP(Optimalisatie!X41,Database_Brandstoffen[#All],7,FALSE)*((Optimalisatie!J41/Optimalisatie!Z41)*Optimalisatie!Y41),0)&gt;0,_xlfn.IFNA((VLOOKUP(Optimalisatie!W41,Database_Asfalt_Aanlegset[#All],7,FALSE)*Optimalisatie!J41),0)+_xlfn.IFNA(VLOOKUP(Optimalisatie!X41,Database_Brandstoffen[#All],7,FALSE)*((Optimalisatie!J41/Optimalisatie!Z41)*Optimalisatie!Y41),0),(_xlfn.IFNA(VLOOKUP(Inschrijf_MKI_Totaal[[#This Row],[Product]]&amp;", "&amp;Inschrijf_MKI_Totaal[[#Headers],[A5]],Database_Productkaarten[#All],14,FALSE),0)*Optimalisatie!J41)),0)</f>
        <v>0</v>
      </c>
      <c r="J39" s="9"/>
      <c r="K39" s="9">
        <f>(IF(Optimalisatie!C41="Nieuwe Situatie",_xlfn.IFNA(SUM(Inschrijf_MKI_Totaal[[#This Row],[A1]:[B1]],Inschrijf_MKI_Totaal[[#This Row],[C1]:[D2]])*Optimalisatie!T41,0),0))</f>
        <v>0</v>
      </c>
      <c r="L39" s="9">
        <f>IF(Optimalisatie!C41="Bestaande situatie",IF(_xlfn.IFNA((VLOOKUP(Optimalisatie!AA41,Database_Asfalt_Verwijderset[#All],7,FALSE)*Optimalisatie!J41),0)+_xlfn.IFNA(VLOOKUP(Optimalisatie!AB41,Database_Brandstoffen[#All],7,FALSE)*((Optimalisatie!J41/Optimalisatie!AD41)*Optimalisatie!AC41),0)&gt;0,_xlfn.IFNA((VLOOKUP(Optimalisatie!AA41,Database_Asfalt_Verwijderset[#All],7,FALSE)*Optimalisatie!J41),0)+_xlfn.IFNA(VLOOKUP(Optimalisatie!AB41,Database_Brandstoffen[#All],7,FALSE)*((Optimalisatie!J41/Optimalisatie!AD41)*Optimalisatie!AC41),0),(_xlfn.IFNA(VLOOKUP(Inschrijf_MKI_Totaal[[#This Row],[Product]]&amp;", "&amp;Inschrijf_MKI_Totaal[[#Headers],[C1]],Database_Productkaarten[#All],14,FALSE),0)*Optimalisatie!J41)),0)</f>
        <v>0</v>
      </c>
      <c r="M39" s="9">
        <f>(IF(Optimalisatie!C41="Bestaande Situatie",_xlfn.IFNA(VLOOKUP(Optimalisatie!AF41,Database_Transport[#All],7,FALSE)*(Optimalisatie!R41*Optimalisatie!AE41),Baseline_Backlog!M39),0))</f>
        <v>0</v>
      </c>
      <c r="N39" s="9">
        <f>(IF(Optimalisatie!C41="Bestaande Situatie",_xlfn.IFNA(VLOOKUP(Optimalisatie!AG41,Database_Asfalt_Verwerkingsset[#All],7,FALSE)*(Optimalisatie!J41/VLOOKUP(Optimalisatie!AG41,Database_Asfalt_Verwerkingsset[#All],8,FALSE)),Baseline_Backlog!N39),0))</f>
        <v>0</v>
      </c>
      <c r="O39" s="9">
        <f>(IF(Optimalisatie!C41="Bestaande Situatie",_xlfn.IFNA(VLOOKUP(Inschrijf_MKI_Totaal[[#This Row],[Product]]&amp;", "&amp;Inschrijf_MKI_Totaal[[#Headers],[C4]],Database_Productkaarten[#All],14,FALSE),Baseline_Backlog!O39)*Optimalisatie!J41,0))</f>
        <v>0</v>
      </c>
      <c r="P39" s="9">
        <f>(IF(Optimalisatie!C41="Bestaande Situatie",_xlfn.IFNA(IF(Optimalisatie!E41="Categorie_1_LCA_Producten",VLOOKUP(Inschrijf_MKI_Totaal[[#This Row],[Product]],Categorie_1_Producten[#All],12,FALSE)*(Optimalisatie!J41),VLOOKUP(Inschrijf_MKI_Totaal[[#This Row],[Product]]&amp;", "&amp;Inschrijf_MKI_Totaal[[#Headers],[D1]],Database_Productkaarten[#All],14,FALSE)*Optimalisatie!J41),Baseline_Backlog!P39),0))</f>
        <v>0</v>
      </c>
      <c r="Q39" s="9">
        <f>(IF(Optimalisatie!C41="Bestaande Situatie",_xlfn.IFNA(IF(Optimalisatie!E41="Categorie_1_LCA_Producten",VLOOKUP(Inschrijf_MKI_Totaal[[#This Row],[Product]],Categorie_1_Producten[#All],13,FALSE)*(Optimalisatie!J41),VLOOKUP(Inschrijf_MKI_Totaal[[#This Row],[Product]]&amp;", "&amp;Inschrijf_MKI_Totaal[[#Headers],[D2]],Database_Productkaarten[#All],14,FALSE)*Optimalisatie!J41),Baseline_Backlog!Q39),0))</f>
        <v>0</v>
      </c>
      <c r="R39" s="9">
        <f>(IF(Optimalisatie!C41="Bestaande Situatie",_xlfn.IFNA(IF(Optimalisatie!E41="Categorie_1_LCA_Producten",VLOOKUP(Inschrijf_MKI_Totaal[[#This Row],[Product]],Categorie_1_Producten[#All],13,FALSE)*(Optimalisatie!J41),VLOOKUP(Inschrijf_MKI_Totaal[[#This Row],[Product]]&amp;", "&amp;Inschrijf_MKI_Totaal[[#Headers],[D]],Database_Productkaarten[#All],14,FALSE)*Optimalisatie!J41),Baseline_Backlog!S39),0))</f>
        <v>0</v>
      </c>
      <c r="S39" s="301">
        <f>SUM(Inschrijf_MKI_Totaal[[#This Row],[A1-A3]:[C4]])+Inschrijf_MKI_Totaal[[#This Row],[D]]</f>
        <v>0</v>
      </c>
      <c r="AA39" s="9">
        <f>_xlfn.IFNA((VLOOKUP(Optimalisatie!AA41,Database_Asfalt_Verwijderset[#All],7,FALSE)*Optimalisatie!J41),0)</f>
        <v>0</v>
      </c>
      <c r="AB39" s="9" t="e">
        <f>(VLOOKUP(Optimalisatie!AA41,Database_Asfalt_Verwijderset[#All],7,FALSE)*Optimalisatie!J41)</f>
        <v>#N/A</v>
      </c>
      <c r="AC39" s="332">
        <f>(_xlfn.IFNA(VLOOKUP(Inschrijf_MKI_Totaal[[#This Row],[Product]]&amp;", "&amp;Inschrijf_MKI_Totaal[[#Headers],[C1]],Database_Productkaarten[#All],14,FALSE),0)*Optimalisatie!J41)</f>
        <v>0</v>
      </c>
    </row>
    <row r="40" spans="2:29" hidden="1">
      <c r="B40" s="272">
        <f>Optimalisatie!B42</f>
        <v>0</v>
      </c>
      <c r="C40" s="9">
        <f>Optimalisatie!F42</f>
        <v>0</v>
      </c>
      <c r="D40" s="9">
        <f>(IF(Optimalisatie!C42="Nieuwe Situatie",_xlfn.IFNA(IF(Optimalisatie!E42="Categorie_1_LCA_Producten",VLOOKUP(Inschrijf_MKI_Totaal[[#This Row],[Product]],Categorie_1_Producten[#All],8,FALSE)*(Optimalisatie!J42),VLOOKUP(Inschrijf_MKI_Totaal[[#This Row],[Product]]&amp;", "&amp;Inschrijf_MKI_Totaal[[#Headers],[A1]],Database_Productkaarten[#All],14,FALSE)*Optimalisatie!J42),Baseline_Backlog!D40),0))</f>
        <v>0</v>
      </c>
      <c r="E40" s="9">
        <f>(IF(Optimalisatie!C42="Nieuwe Situatie",_xlfn.IFNA(IF(Optimalisatie!E42="Categorie_1_LCA_Producten",VLOOKUP(Inschrijf_MKI_Totaal[[#This Row],[Product]],Categorie_1_Producten[#All],9,FALSE)*(Optimalisatie!J42),VLOOKUP(Inschrijf_MKI_Totaal[[#This Row],[Product]]&amp;", "&amp;Inschrijf_MKI_Totaal[[#Headers],[A2]],Database_Productkaarten[#All],14,FALSE)*Optimalisatie!J42),Baseline_Backlog!E40),0))</f>
        <v>0</v>
      </c>
      <c r="F40" s="9">
        <f>(IF(Optimalisatie!C42="Nieuwe Situatie",_xlfn.IFNA(IF(Optimalisatie!E42="Categorie_1_LCA_Producten",VLOOKUP(Inschrijf_MKI_Totaal[[#This Row],[Product]],Categorie_1_Producten[#All],10,FALSE)*(Optimalisatie!J42),VLOOKUP(Inschrijf_MKI_Totaal[[#This Row],[Product]]&amp;", "&amp;Inschrijf_MKI_Totaal[[#Headers],[A3]],Database_Productkaarten[#All],14,FALSE)*Optimalisatie!J42),Baseline_Backlog!F40),0))</f>
        <v>0</v>
      </c>
      <c r="G40" s="9">
        <f>(IF(Optimalisatie!C42="Nieuwe Situatie",_xlfn.IFNA(IF(Optimalisatie!E42="Categorie_1_LCA_Producten",VLOOKUP(Inschrijf_MKI_Totaal[[#This Row],[Product]],Categorie_1_Producten[#All],11,FALSE)*(Optimalisatie!J42),VLOOKUP(Inschrijf_MKI_Totaal[[#This Row],[Product]]&amp;", "&amp;Inschrijf_MKI_Totaal[[#Headers],[A1-A3]],Database_Productkaarten[#All],14,FALSE)*Optimalisatie!J42),Baseline_Backlog!G40),0))</f>
        <v>0</v>
      </c>
      <c r="H40" s="9">
        <f>(IF(Optimalisatie!C42="Nieuwe Situatie",_xlfn.IFNA(VLOOKUP(Optimalisatie!V42,Database_Transport[#All],7,FALSE)*((IF(Optimalisatie!R42=0,Baseline!Q42,Optimalisatie!R42))*Optimalisatie!U42),Baseline_Backlog!H40),0))</f>
        <v>0</v>
      </c>
      <c r="I40" s="9">
        <f>IF(Optimalisatie!C42="Nieuwe situatie",IF(_xlfn.IFNA((VLOOKUP(Optimalisatie!W42,Database_Asfalt_Aanlegset[#All],7,FALSE)*Optimalisatie!J42),0)+_xlfn.IFNA(VLOOKUP(Optimalisatie!X42,Database_Brandstoffen[#All],7,FALSE)*((Optimalisatie!J42/Optimalisatie!Z42)*Optimalisatie!Y42),0)&gt;0,_xlfn.IFNA((VLOOKUP(Optimalisatie!W42,Database_Asfalt_Aanlegset[#All],7,FALSE)*Optimalisatie!J42),0)+_xlfn.IFNA(VLOOKUP(Optimalisatie!X42,Database_Brandstoffen[#All],7,FALSE)*((Optimalisatie!J42/Optimalisatie!Z42)*Optimalisatie!Y42),0),(_xlfn.IFNA(VLOOKUP(Inschrijf_MKI_Totaal[[#This Row],[Product]]&amp;", "&amp;Inschrijf_MKI_Totaal[[#Headers],[A5]],Database_Productkaarten[#All],14,FALSE),0)*Optimalisatie!J42)),0)</f>
        <v>0</v>
      </c>
      <c r="J40" s="9"/>
      <c r="K40" s="9">
        <f>(IF(Optimalisatie!C42="Nieuwe Situatie",_xlfn.IFNA(SUM(Inschrijf_MKI_Totaal[[#This Row],[A1]:[B1]],Inschrijf_MKI_Totaal[[#This Row],[C1]:[D2]])*Optimalisatie!T42,0),0))</f>
        <v>0</v>
      </c>
      <c r="L40" s="9">
        <f>IF(Optimalisatie!C42="Bestaande situatie",IF(_xlfn.IFNA((VLOOKUP(Optimalisatie!AA42,Database_Asfalt_Verwijderset[#All],7,FALSE)*Optimalisatie!J42),0)+_xlfn.IFNA(VLOOKUP(Optimalisatie!AB42,Database_Brandstoffen[#All],7,FALSE)*((Optimalisatie!J42/Optimalisatie!AD42)*Optimalisatie!AC42),0)&gt;0,_xlfn.IFNA((VLOOKUP(Optimalisatie!AA42,Database_Asfalt_Verwijderset[#All],7,FALSE)*Optimalisatie!J42),0)+_xlfn.IFNA(VLOOKUP(Optimalisatie!AB42,Database_Brandstoffen[#All],7,FALSE)*((Optimalisatie!J42/Optimalisatie!AD42)*Optimalisatie!AC42),0),(_xlfn.IFNA(VLOOKUP(Inschrijf_MKI_Totaal[[#This Row],[Product]]&amp;", "&amp;Inschrijf_MKI_Totaal[[#Headers],[C1]],Database_Productkaarten[#All],14,FALSE),0)*Optimalisatie!J42)),0)</f>
        <v>0</v>
      </c>
      <c r="M40" s="9">
        <f>(IF(Optimalisatie!C42="Bestaande Situatie",_xlfn.IFNA(VLOOKUP(Optimalisatie!AF42,Database_Transport[#All],7,FALSE)*(Optimalisatie!R42*Optimalisatie!AE42),Baseline_Backlog!M40),0))</f>
        <v>0</v>
      </c>
      <c r="N40" s="9">
        <f>(IF(Optimalisatie!C42="Bestaande Situatie",_xlfn.IFNA(VLOOKUP(Optimalisatie!AG42,Database_Asfalt_Verwerkingsset[#All],7,FALSE)*(Optimalisatie!J42/VLOOKUP(Optimalisatie!AG42,Database_Asfalt_Verwerkingsset[#All],8,FALSE)),Baseline_Backlog!N40),0))</f>
        <v>0</v>
      </c>
      <c r="O40" s="9">
        <f>(IF(Optimalisatie!C42="Bestaande Situatie",_xlfn.IFNA(VLOOKUP(Inschrijf_MKI_Totaal[[#This Row],[Product]]&amp;", "&amp;Inschrijf_MKI_Totaal[[#Headers],[C4]],Database_Productkaarten[#All],14,FALSE),Baseline_Backlog!O40)*Optimalisatie!J42,0))</f>
        <v>0</v>
      </c>
      <c r="P40" s="9">
        <f>(IF(Optimalisatie!C42="Bestaande Situatie",_xlfn.IFNA(IF(Optimalisatie!E42="Categorie_1_LCA_Producten",VLOOKUP(Inschrijf_MKI_Totaal[[#This Row],[Product]],Categorie_1_Producten[#All],12,FALSE)*(Optimalisatie!J42),VLOOKUP(Inschrijf_MKI_Totaal[[#This Row],[Product]]&amp;", "&amp;Inschrijf_MKI_Totaal[[#Headers],[D1]],Database_Productkaarten[#All],14,FALSE)*Optimalisatie!J42),Baseline_Backlog!P40),0))</f>
        <v>0</v>
      </c>
      <c r="Q40" s="9">
        <f>(IF(Optimalisatie!C42="Bestaande Situatie",_xlfn.IFNA(IF(Optimalisatie!E42="Categorie_1_LCA_Producten",VLOOKUP(Inschrijf_MKI_Totaal[[#This Row],[Product]],Categorie_1_Producten[#All],13,FALSE)*(Optimalisatie!J42),VLOOKUP(Inschrijf_MKI_Totaal[[#This Row],[Product]]&amp;", "&amp;Inschrijf_MKI_Totaal[[#Headers],[D2]],Database_Productkaarten[#All],14,FALSE)*Optimalisatie!J42),Baseline_Backlog!Q40),0))</f>
        <v>0</v>
      </c>
      <c r="R40" s="9">
        <f>(IF(Optimalisatie!C42="Bestaande Situatie",_xlfn.IFNA(IF(Optimalisatie!E42="Categorie_1_LCA_Producten",VLOOKUP(Inschrijf_MKI_Totaal[[#This Row],[Product]],Categorie_1_Producten[#All],13,FALSE)*(Optimalisatie!J42),VLOOKUP(Inschrijf_MKI_Totaal[[#This Row],[Product]]&amp;", "&amp;Inschrijf_MKI_Totaal[[#Headers],[D]],Database_Productkaarten[#All],14,FALSE)*Optimalisatie!J42),Baseline_Backlog!S40),0))</f>
        <v>0</v>
      </c>
      <c r="S40" s="301">
        <f>SUM(Inschrijf_MKI_Totaal[[#This Row],[A1-A3]:[C4]])+Inschrijf_MKI_Totaal[[#This Row],[D]]</f>
        <v>0</v>
      </c>
      <c r="AA40" s="9">
        <f>_xlfn.IFNA((VLOOKUP(Optimalisatie!AA42,Database_Asfalt_Verwijderset[#All],7,FALSE)*Optimalisatie!J42),0)</f>
        <v>0</v>
      </c>
      <c r="AB40" s="9" t="e">
        <f>(VLOOKUP(Optimalisatie!AA42,Database_Asfalt_Verwijderset[#All],7,FALSE)*Optimalisatie!J42)</f>
        <v>#N/A</v>
      </c>
      <c r="AC40" s="332">
        <f>(_xlfn.IFNA(VLOOKUP(Inschrijf_MKI_Totaal[[#This Row],[Product]]&amp;", "&amp;Inschrijf_MKI_Totaal[[#Headers],[C1]],Database_Productkaarten[#All],14,FALSE),0)*Optimalisatie!J42)</f>
        <v>0</v>
      </c>
    </row>
    <row r="41" spans="2:29" hidden="1">
      <c r="B41" s="272">
        <f>Optimalisatie!B43</f>
        <v>0</v>
      </c>
      <c r="C41" s="9">
        <f>Optimalisatie!F43</f>
        <v>0</v>
      </c>
      <c r="D41" s="9">
        <f>(IF(Optimalisatie!C43="Nieuwe Situatie",_xlfn.IFNA(IF(Optimalisatie!E43="Categorie_1_LCA_Producten",VLOOKUP(Inschrijf_MKI_Totaal[[#This Row],[Product]],Categorie_1_Producten[#All],8,FALSE)*(Optimalisatie!J43),VLOOKUP(Inschrijf_MKI_Totaal[[#This Row],[Product]]&amp;", "&amp;Inschrijf_MKI_Totaal[[#Headers],[A1]],Database_Productkaarten[#All],14,FALSE)*Optimalisatie!J43),Baseline_Backlog!D41),0))</f>
        <v>0</v>
      </c>
      <c r="E41" s="9">
        <f>(IF(Optimalisatie!C43="Nieuwe Situatie",_xlfn.IFNA(IF(Optimalisatie!E43="Categorie_1_LCA_Producten",VLOOKUP(Inschrijf_MKI_Totaal[[#This Row],[Product]],Categorie_1_Producten[#All],9,FALSE)*(Optimalisatie!J43),VLOOKUP(Inschrijf_MKI_Totaal[[#This Row],[Product]]&amp;", "&amp;Inschrijf_MKI_Totaal[[#Headers],[A2]],Database_Productkaarten[#All],14,FALSE)*Optimalisatie!J43),Baseline_Backlog!E41),0))</f>
        <v>0</v>
      </c>
      <c r="F41" s="9">
        <f>(IF(Optimalisatie!C43="Nieuwe Situatie",_xlfn.IFNA(IF(Optimalisatie!E43="Categorie_1_LCA_Producten",VLOOKUP(Inschrijf_MKI_Totaal[[#This Row],[Product]],Categorie_1_Producten[#All],10,FALSE)*(Optimalisatie!J43),VLOOKUP(Inschrijf_MKI_Totaal[[#This Row],[Product]]&amp;", "&amp;Inschrijf_MKI_Totaal[[#Headers],[A3]],Database_Productkaarten[#All],14,FALSE)*Optimalisatie!J43),Baseline_Backlog!F41),0))</f>
        <v>0</v>
      </c>
      <c r="G41" s="9">
        <f>(IF(Optimalisatie!C43="Nieuwe Situatie",_xlfn.IFNA(IF(Optimalisatie!E43="Categorie_1_LCA_Producten",VLOOKUP(Inschrijf_MKI_Totaal[[#This Row],[Product]],Categorie_1_Producten[#All],11,FALSE)*(Optimalisatie!J43),VLOOKUP(Inschrijf_MKI_Totaal[[#This Row],[Product]]&amp;", "&amp;Inschrijf_MKI_Totaal[[#Headers],[A1-A3]],Database_Productkaarten[#All],14,FALSE)*Optimalisatie!J43),Baseline_Backlog!G41),0))</f>
        <v>0</v>
      </c>
      <c r="H41" s="9">
        <f>(IF(Optimalisatie!C43="Nieuwe Situatie",_xlfn.IFNA(VLOOKUP(Optimalisatie!V43,Database_Transport[#All],7,FALSE)*((IF(Optimalisatie!R43=0,Baseline!Q43,Optimalisatie!R43))*Optimalisatie!U43),Baseline_Backlog!H41),0))</f>
        <v>0</v>
      </c>
      <c r="I41" s="9">
        <f>IF(Optimalisatie!C43="Nieuwe situatie",IF(_xlfn.IFNA((VLOOKUP(Optimalisatie!W43,Database_Asfalt_Aanlegset[#All],7,FALSE)*Optimalisatie!J43),0)+_xlfn.IFNA(VLOOKUP(Optimalisatie!X43,Database_Brandstoffen[#All],7,FALSE)*((Optimalisatie!J43/Optimalisatie!Z43)*Optimalisatie!Y43),0)&gt;0,_xlfn.IFNA((VLOOKUP(Optimalisatie!W43,Database_Asfalt_Aanlegset[#All],7,FALSE)*Optimalisatie!J43),0)+_xlfn.IFNA(VLOOKUP(Optimalisatie!X43,Database_Brandstoffen[#All],7,FALSE)*((Optimalisatie!J43/Optimalisatie!Z43)*Optimalisatie!Y43),0),(_xlfn.IFNA(VLOOKUP(Inschrijf_MKI_Totaal[[#This Row],[Product]]&amp;", "&amp;Inschrijf_MKI_Totaal[[#Headers],[A5]],Database_Productkaarten[#All],14,FALSE),0)*Optimalisatie!J43)),0)</f>
        <v>0</v>
      </c>
      <c r="J41" s="9"/>
      <c r="K41" s="9">
        <f>(IF(Optimalisatie!C43="Nieuwe Situatie",_xlfn.IFNA(SUM(Inschrijf_MKI_Totaal[[#This Row],[A1]:[B1]],Inschrijf_MKI_Totaal[[#This Row],[C1]:[D2]])*Optimalisatie!T43,0),0))</f>
        <v>0</v>
      </c>
      <c r="L41" s="9">
        <f>IF(Optimalisatie!C43="Bestaande situatie",IF(_xlfn.IFNA((VLOOKUP(Optimalisatie!AA43,Database_Asfalt_Verwijderset[#All],7,FALSE)*Optimalisatie!J43),0)+_xlfn.IFNA(VLOOKUP(Optimalisatie!AB43,Database_Brandstoffen[#All],7,FALSE)*((Optimalisatie!J43/Optimalisatie!AD43)*Optimalisatie!AC43),0)&gt;0,_xlfn.IFNA((VLOOKUP(Optimalisatie!AA43,Database_Asfalt_Verwijderset[#All],7,FALSE)*Optimalisatie!J43),0)+_xlfn.IFNA(VLOOKUP(Optimalisatie!AB43,Database_Brandstoffen[#All],7,FALSE)*((Optimalisatie!J43/Optimalisatie!AD43)*Optimalisatie!AC43),0),(_xlfn.IFNA(VLOOKUP(Inschrijf_MKI_Totaal[[#This Row],[Product]]&amp;", "&amp;Inschrijf_MKI_Totaal[[#Headers],[C1]],Database_Productkaarten[#All],14,FALSE),0)*Optimalisatie!J43)),0)</f>
        <v>0</v>
      </c>
      <c r="M41" s="9">
        <f>(IF(Optimalisatie!C43="Bestaande Situatie",_xlfn.IFNA(VLOOKUP(Optimalisatie!AF43,Database_Transport[#All],7,FALSE)*(Optimalisatie!R43*Optimalisatie!AE43),Baseline_Backlog!M41),0))</f>
        <v>0</v>
      </c>
      <c r="N41" s="9">
        <f>(IF(Optimalisatie!C43="Bestaande Situatie",_xlfn.IFNA(VLOOKUP(Optimalisatie!AG43,Database_Asfalt_Verwerkingsset[#All],7,FALSE)*(Optimalisatie!J43/VLOOKUP(Optimalisatie!AG43,Database_Asfalt_Verwerkingsset[#All],8,FALSE)),Baseline_Backlog!N41),0))</f>
        <v>0</v>
      </c>
      <c r="O41" s="9">
        <f>(IF(Optimalisatie!C43="Bestaande Situatie",_xlfn.IFNA(VLOOKUP(Inschrijf_MKI_Totaal[[#This Row],[Product]]&amp;", "&amp;Inschrijf_MKI_Totaal[[#Headers],[C4]],Database_Productkaarten[#All],14,FALSE),Baseline_Backlog!O41)*Optimalisatie!J43,0))</f>
        <v>0</v>
      </c>
      <c r="P41" s="9">
        <f>(IF(Optimalisatie!C43="Bestaande Situatie",_xlfn.IFNA(IF(Optimalisatie!E43="Categorie_1_LCA_Producten",VLOOKUP(Inschrijf_MKI_Totaal[[#This Row],[Product]],Categorie_1_Producten[#All],12,FALSE)*(Optimalisatie!J43),VLOOKUP(Inschrijf_MKI_Totaal[[#This Row],[Product]]&amp;", "&amp;Inschrijf_MKI_Totaal[[#Headers],[D1]],Database_Productkaarten[#All],14,FALSE)*Optimalisatie!J43),Baseline_Backlog!P41),0))</f>
        <v>0</v>
      </c>
      <c r="Q41" s="9">
        <f>(IF(Optimalisatie!C43="Bestaande Situatie",_xlfn.IFNA(IF(Optimalisatie!E43="Categorie_1_LCA_Producten",VLOOKUP(Inschrijf_MKI_Totaal[[#This Row],[Product]],Categorie_1_Producten[#All],13,FALSE)*(Optimalisatie!J43),VLOOKUP(Inschrijf_MKI_Totaal[[#This Row],[Product]]&amp;", "&amp;Inschrijf_MKI_Totaal[[#Headers],[D2]],Database_Productkaarten[#All],14,FALSE)*Optimalisatie!J43),Baseline_Backlog!Q41),0))</f>
        <v>0</v>
      </c>
      <c r="R41" s="9">
        <f>(IF(Optimalisatie!C43="Bestaande Situatie",_xlfn.IFNA(IF(Optimalisatie!E43="Categorie_1_LCA_Producten",VLOOKUP(Inschrijf_MKI_Totaal[[#This Row],[Product]],Categorie_1_Producten[#All],13,FALSE)*(Optimalisatie!J43),VLOOKUP(Inschrijf_MKI_Totaal[[#This Row],[Product]]&amp;", "&amp;Inschrijf_MKI_Totaal[[#Headers],[D]],Database_Productkaarten[#All],14,FALSE)*Optimalisatie!J43),Baseline_Backlog!S41),0))</f>
        <v>0</v>
      </c>
      <c r="S41" s="301">
        <f>SUM(Inschrijf_MKI_Totaal[[#This Row],[A1-A3]:[C4]])+Inschrijf_MKI_Totaal[[#This Row],[D]]</f>
        <v>0</v>
      </c>
      <c r="AA41" s="9">
        <f>_xlfn.IFNA((VLOOKUP(Optimalisatie!AA43,Database_Asfalt_Verwijderset[#All],7,FALSE)*Optimalisatie!J43),0)</f>
        <v>0</v>
      </c>
      <c r="AB41" s="9" t="e">
        <f>(VLOOKUP(Optimalisatie!AA43,Database_Asfalt_Verwijderset[#All],7,FALSE)*Optimalisatie!J43)</f>
        <v>#N/A</v>
      </c>
      <c r="AC41" s="332">
        <f>(_xlfn.IFNA(VLOOKUP(Inschrijf_MKI_Totaal[[#This Row],[Product]]&amp;", "&amp;Inschrijf_MKI_Totaal[[#Headers],[C1]],Database_Productkaarten[#All],14,FALSE),0)*Optimalisatie!J43)</f>
        <v>0</v>
      </c>
    </row>
    <row r="42" spans="2:29" hidden="1">
      <c r="B42" s="272">
        <f>Optimalisatie!B44</f>
        <v>0</v>
      </c>
      <c r="C42" s="9">
        <f>Optimalisatie!F44</f>
        <v>0</v>
      </c>
      <c r="D42" s="9">
        <f>(IF(Optimalisatie!C44="Nieuwe Situatie",_xlfn.IFNA(IF(Optimalisatie!E44="Categorie_1_LCA_Producten",VLOOKUP(Inschrijf_MKI_Totaal[[#This Row],[Product]],Categorie_1_Producten[#All],8,FALSE)*(Optimalisatie!J44),VLOOKUP(Inschrijf_MKI_Totaal[[#This Row],[Product]]&amp;", "&amp;Inschrijf_MKI_Totaal[[#Headers],[A1]],Database_Productkaarten[#All],14,FALSE)*Optimalisatie!J44),Baseline_Backlog!D42),0))</f>
        <v>0</v>
      </c>
      <c r="E42" s="9">
        <f>(IF(Optimalisatie!C44="Nieuwe Situatie",_xlfn.IFNA(IF(Optimalisatie!E44="Categorie_1_LCA_Producten",VLOOKUP(Inschrijf_MKI_Totaal[[#This Row],[Product]],Categorie_1_Producten[#All],9,FALSE)*(Optimalisatie!J44),VLOOKUP(Inschrijf_MKI_Totaal[[#This Row],[Product]]&amp;", "&amp;Inschrijf_MKI_Totaal[[#Headers],[A2]],Database_Productkaarten[#All],14,FALSE)*Optimalisatie!J44),Baseline_Backlog!E42),0))</f>
        <v>0</v>
      </c>
      <c r="F42" s="9">
        <f>(IF(Optimalisatie!C44="Nieuwe Situatie",_xlfn.IFNA(IF(Optimalisatie!E44="Categorie_1_LCA_Producten",VLOOKUP(Inschrijf_MKI_Totaal[[#This Row],[Product]],Categorie_1_Producten[#All],10,FALSE)*(Optimalisatie!J44),VLOOKUP(Inschrijf_MKI_Totaal[[#This Row],[Product]]&amp;", "&amp;Inschrijf_MKI_Totaal[[#Headers],[A3]],Database_Productkaarten[#All],14,FALSE)*Optimalisatie!J44),Baseline_Backlog!F42),0))</f>
        <v>0</v>
      </c>
      <c r="G42" s="9">
        <f>(IF(Optimalisatie!C44="Nieuwe Situatie",_xlfn.IFNA(IF(Optimalisatie!E44="Categorie_1_LCA_Producten",VLOOKUP(Inschrijf_MKI_Totaal[[#This Row],[Product]],Categorie_1_Producten[#All],11,FALSE)*(Optimalisatie!J44),VLOOKUP(Inschrijf_MKI_Totaal[[#This Row],[Product]]&amp;", "&amp;Inschrijf_MKI_Totaal[[#Headers],[A1-A3]],Database_Productkaarten[#All],14,FALSE)*Optimalisatie!J44),Baseline_Backlog!G42),0))</f>
        <v>0</v>
      </c>
      <c r="H42" s="9">
        <f>(IF(Optimalisatie!C44="Nieuwe Situatie",_xlfn.IFNA(VLOOKUP(Optimalisatie!V44,Database_Transport[#All],7,FALSE)*((IF(Optimalisatie!R44=0,Baseline!Q44,Optimalisatie!R44))*Optimalisatie!U44),Baseline_Backlog!H42),0))</f>
        <v>0</v>
      </c>
      <c r="I42" s="9">
        <f>IF(Optimalisatie!C44="Nieuwe situatie",IF(_xlfn.IFNA((VLOOKUP(Optimalisatie!W44,Database_Asfalt_Aanlegset[#All],7,FALSE)*Optimalisatie!J44),0)+_xlfn.IFNA(VLOOKUP(Optimalisatie!X44,Database_Brandstoffen[#All],7,FALSE)*((Optimalisatie!J44/Optimalisatie!Z44)*Optimalisatie!Y44),0)&gt;0,_xlfn.IFNA((VLOOKUP(Optimalisatie!W44,Database_Asfalt_Aanlegset[#All],7,FALSE)*Optimalisatie!J44),0)+_xlfn.IFNA(VLOOKUP(Optimalisatie!X44,Database_Brandstoffen[#All],7,FALSE)*((Optimalisatie!J44/Optimalisatie!Z44)*Optimalisatie!Y44),0),(_xlfn.IFNA(VLOOKUP(Inschrijf_MKI_Totaal[[#This Row],[Product]]&amp;", "&amp;Inschrijf_MKI_Totaal[[#Headers],[A5]],Database_Productkaarten[#All],14,FALSE),0)*Optimalisatie!J44)),0)</f>
        <v>0</v>
      </c>
      <c r="J42" s="9"/>
      <c r="K42" s="9">
        <f>(IF(Optimalisatie!C44="Nieuwe Situatie",_xlfn.IFNA(SUM(Inschrijf_MKI_Totaal[[#This Row],[A1]:[B1]],Inschrijf_MKI_Totaal[[#This Row],[C1]:[D2]])*Optimalisatie!T44,0),0))</f>
        <v>0</v>
      </c>
      <c r="L42" s="9">
        <f>IF(Optimalisatie!C44="Bestaande situatie",IF(_xlfn.IFNA((VLOOKUP(Optimalisatie!AA44,Database_Asfalt_Verwijderset[#All],7,FALSE)*Optimalisatie!J44),0)+_xlfn.IFNA(VLOOKUP(Optimalisatie!AB44,Database_Brandstoffen[#All],7,FALSE)*((Optimalisatie!J44/Optimalisatie!AD44)*Optimalisatie!AC44),0)&gt;0,_xlfn.IFNA((VLOOKUP(Optimalisatie!AA44,Database_Asfalt_Verwijderset[#All],7,FALSE)*Optimalisatie!J44),0)+_xlfn.IFNA(VLOOKUP(Optimalisatie!AB44,Database_Brandstoffen[#All],7,FALSE)*((Optimalisatie!J44/Optimalisatie!AD44)*Optimalisatie!AC44),0),(_xlfn.IFNA(VLOOKUP(Inschrijf_MKI_Totaal[[#This Row],[Product]]&amp;", "&amp;Inschrijf_MKI_Totaal[[#Headers],[C1]],Database_Productkaarten[#All],14,FALSE),0)*Optimalisatie!J44)),0)</f>
        <v>0</v>
      </c>
      <c r="M42" s="9">
        <f>(IF(Optimalisatie!C44="Bestaande Situatie",_xlfn.IFNA(VLOOKUP(Optimalisatie!AF44,Database_Transport[#All],7,FALSE)*(Optimalisatie!R44*Optimalisatie!AE44),Baseline_Backlog!M42),0))</f>
        <v>0</v>
      </c>
      <c r="N42" s="9">
        <f>(IF(Optimalisatie!C44="Bestaande Situatie",_xlfn.IFNA(VLOOKUP(Optimalisatie!AG44,Database_Asfalt_Verwerkingsset[#All],7,FALSE)*(Optimalisatie!J44/VLOOKUP(Optimalisatie!AG44,Database_Asfalt_Verwerkingsset[#All],8,FALSE)),Baseline_Backlog!N42),0))</f>
        <v>0</v>
      </c>
      <c r="O42" s="9">
        <f>(IF(Optimalisatie!C44="Bestaande Situatie",_xlfn.IFNA(VLOOKUP(Inschrijf_MKI_Totaal[[#This Row],[Product]]&amp;", "&amp;Inschrijf_MKI_Totaal[[#Headers],[C4]],Database_Productkaarten[#All],14,FALSE),Baseline_Backlog!O42)*Optimalisatie!J44,0))</f>
        <v>0</v>
      </c>
      <c r="P42" s="9">
        <f>(IF(Optimalisatie!C44="Bestaande Situatie",_xlfn.IFNA(IF(Optimalisatie!E44="Categorie_1_LCA_Producten",VLOOKUP(Inschrijf_MKI_Totaal[[#This Row],[Product]],Categorie_1_Producten[#All],12,FALSE)*(Optimalisatie!J44),VLOOKUP(Inschrijf_MKI_Totaal[[#This Row],[Product]]&amp;", "&amp;Inschrijf_MKI_Totaal[[#Headers],[D1]],Database_Productkaarten[#All],14,FALSE)*Optimalisatie!J44),Baseline_Backlog!P42),0))</f>
        <v>0</v>
      </c>
      <c r="Q42" s="9">
        <f>(IF(Optimalisatie!C44="Bestaande Situatie",_xlfn.IFNA(IF(Optimalisatie!E44="Categorie_1_LCA_Producten",VLOOKUP(Inschrijf_MKI_Totaal[[#This Row],[Product]],Categorie_1_Producten[#All],13,FALSE)*(Optimalisatie!J44),VLOOKUP(Inschrijf_MKI_Totaal[[#This Row],[Product]]&amp;", "&amp;Inschrijf_MKI_Totaal[[#Headers],[D2]],Database_Productkaarten[#All],14,FALSE)*Optimalisatie!J44),Baseline_Backlog!Q42),0))</f>
        <v>0</v>
      </c>
      <c r="R42" s="9">
        <f>(IF(Optimalisatie!C44="Bestaande Situatie",_xlfn.IFNA(IF(Optimalisatie!E44="Categorie_1_LCA_Producten",VLOOKUP(Inschrijf_MKI_Totaal[[#This Row],[Product]],Categorie_1_Producten[#All],13,FALSE)*(Optimalisatie!J44),VLOOKUP(Inschrijf_MKI_Totaal[[#This Row],[Product]]&amp;", "&amp;Inschrijf_MKI_Totaal[[#Headers],[D]],Database_Productkaarten[#All],14,FALSE)*Optimalisatie!J44),Baseline_Backlog!S42),0))</f>
        <v>0</v>
      </c>
      <c r="S42" s="301">
        <f>SUM(Inschrijf_MKI_Totaal[[#This Row],[A1-A3]:[C4]])+Inschrijf_MKI_Totaal[[#This Row],[D]]</f>
        <v>0</v>
      </c>
      <c r="AA42" s="9">
        <f>_xlfn.IFNA((VLOOKUP(Optimalisatie!AA44,Database_Asfalt_Verwijderset[#All],7,FALSE)*Optimalisatie!J44),0)</f>
        <v>0</v>
      </c>
      <c r="AB42" s="9" t="e">
        <f>(VLOOKUP(Optimalisatie!AA44,Database_Asfalt_Verwijderset[#All],7,FALSE)*Optimalisatie!J44)</f>
        <v>#N/A</v>
      </c>
      <c r="AC42" s="332">
        <f>(_xlfn.IFNA(VLOOKUP(Inschrijf_MKI_Totaal[[#This Row],[Product]]&amp;", "&amp;Inschrijf_MKI_Totaal[[#Headers],[C1]],Database_Productkaarten[#All],14,FALSE),0)*Optimalisatie!J44)</f>
        <v>0</v>
      </c>
    </row>
    <row r="43" spans="2:29" hidden="1">
      <c r="B43" s="272">
        <f>Optimalisatie!B45</f>
        <v>0</v>
      </c>
      <c r="C43" s="9">
        <f>Optimalisatie!F45</f>
        <v>0</v>
      </c>
      <c r="D43" s="9">
        <f>(IF(Optimalisatie!C45="Nieuwe Situatie",_xlfn.IFNA(IF(Optimalisatie!E45="Categorie_1_LCA_Producten",VLOOKUP(Inschrijf_MKI_Totaal[[#This Row],[Product]],Categorie_1_Producten[#All],8,FALSE)*(Optimalisatie!J45),VLOOKUP(Inschrijf_MKI_Totaal[[#This Row],[Product]]&amp;", "&amp;Inschrijf_MKI_Totaal[[#Headers],[A1]],Database_Productkaarten[#All],14,FALSE)*Optimalisatie!J45),Baseline_Backlog!D43),0))</f>
        <v>0</v>
      </c>
      <c r="E43" s="9">
        <f>(IF(Optimalisatie!C45="Nieuwe Situatie",_xlfn.IFNA(IF(Optimalisatie!E45="Categorie_1_LCA_Producten",VLOOKUP(Inschrijf_MKI_Totaal[[#This Row],[Product]],Categorie_1_Producten[#All],9,FALSE)*(Optimalisatie!J45),VLOOKUP(Inschrijf_MKI_Totaal[[#This Row],[Product]]&amp;", "&amp;Inschrijf_MKI_Totaal[[#Headers],[A2]],Database_Productkaarten[#All],14,FALSE)*Optimalisatie!J45),Baseline_Backlog!E43),0))</f>
        <v>0</v>
      </c>
      <c r="F43" s="9">
        <f>(IF(Optimalisatie!C45="Nieuwe Situatie",_xlfn.IFNA(IF(Optimalisatie!E45="Categorie_1_LCA_Producten",VLOOKUP(Inschrijf_MKI_Totaal[[#This Row],[Product]],Categorie_1_Producten[#All],10,FALSE)*(Optimalisatie!J45),VLOOKUP(Inschrijf_MKI_Totaal[[#This Row],[Product]]&amp;", "&amp;Inschrijf_MKI_Totaal[[#Headers],[A3]],Database_Productkaarten[#All],14,FALSE)*Optimalisatie!J45),Baseline_Backlog!F43),0))</f>
        <v>0</v>
      </c>
      <c r="G43" s="9">
        <f>(IF(Optimalisatie!C45="Nieuwe Situatie",_xlfn.IFNA(IF(Optimalisatie!E45="Categorie_1_LCA_Producten",VLOOKUP(Inschrijf_MKI_Totaal[[#This Row],[Product]],Categorie_1_Producten[#All],11,FALSE)*(Optimalisatie!J45),VLOOKUP(Inschrijf_MKI_Totaal[[#This Row],[Product]]&amp;", "&amp;Inschrijf_MKI_Totaal[[#Headers],[A1-A3]],Database_Productkaarten[#All],14,FALSE)*Optimalisatie!J45),Baseline_Backlog!G43),0))</f>
        <v>0</v>
      </c>
      <c r="H43" s="9">
        <f>(IF(Optimalisatie!C45="Nieuwe Situatie",_xlfn.IFNA(VLOOKUP(Optimalisatie!V45,Database_Transport[#All],7,FALSE)*((IF(Optimalisatie!R45=0,Baseline!Q45,Optimalisatie!R45))*Optimalisatie!U45),Baseline_Backlog!H43),0))</f>
        <v>0</v>
      </c>
      <c r="I43" s="9">
        <f>IF(Optimalisatie!C45="Nieuwe situatie",IF(_xlfn.IFNA((VLOOKUP(Optimalisatie!W45,Database_Asfalt_Aanlegset[#All],7,FALSE)*Optimalisatie!J45),0)+_xlfn.IFNA(VLOOKUP(Optimalisatie!X45,Database_Brandstoffen[#All],7,FALSE)*((Optimalisatie!J45/Optimalisatie!Z45)*Optimalisatie!Y45),0)&gt;0,_xlfn.IFNA((VLOOKUP(Optimalisatie!W45,Database_Asfalt_Aanlegset[#All],7,FALSE)*Optimalisatie!J45),0)+_xlfn.IFNA(VLOOKUP(Optimalisatie!X45,Database_Brandstoffen[#All],7,FALSE)*((Optimalisatie!J45/Optimalisatie!Z45)*Optimalisatie!Y45),0),(_xlfn.IFNA(VLOOKUP(Inschrijf_MKI_Totaal[[#This Row],[Product]]&amp;", "&amp;Inschrijf_MKI_Totaal[[#Headers],[A5]],Database_Productkaarten[#All],14,FALSE),0)*Optimalisatie!J45)),0)</f>
        <v>0</v>
      </c>
      <c r="J43" s="9"/>
      <c r="K43" s="9">
        <f>(IF(Optimalisatie!C45="Nieuwe Situatie",_xlfn.IFNA(SUM(Inschrijf_MKI_Totaal[[#This Row],[A1]:[B1]],Inschrijf_MKI_Totaal[[#This Row],[C1]:[D2]])*Optimalisatie!T45,0),0))</f>
        <v>0</v>
      </c>
      <c r="L43" s="9">
        <f>IF(Optimalisatie!C45="Bestaande situatie",IF(_xlfn.IFNA((VLOOKUP(Optimalisatie!AA45,Database_Asfalt_Verwijderset[#All],7,FALSE)*Optimalisatie!J45),0)+_xlfn.IFNA(VLOOKUP(Optimalisatie!AB45,Database_Brandstoffen[#All],7,FALSE)*((Optimalisatie!J45/Optimalisatie!AD45)*Optimalisatie!AC45),0)&gt;0,_xlfn.IFNA((VLOOKUP(Optimalisatie!AA45,Database_Asfalt_Verwijderset[#All],7,FALSE)*Optimalisatie!J45),0)+_xlfn.IFNA(VLOOKUP(Optimalisatie!AB45,Database_Brandstoffen[#All],7,FALSE)*((Optimalisatie!J45/Optimalisatie!AD45)*Optimalisatie!AC45),0),(_xlfn.IFNA(VLOOKUP(Inschrijf_MKI_Totaal[[#This Row],[Product]]&amp;", "&amp;Inschrijf_MKI_Totaal[[#Headers],[C1]],Database_Productkaarten[#All],14,FALSE),0)*Optimalisatie!J45)),0)</f>
        <v>0</v>
      </c>
      <c r="M43" s="9">
        <f>(IF(Optimalisatie!C45="Bestaande Situatie",_xlfn.IFNA(VLOOKUP(Optimalisatie!AF45,Database_Transport[#All],7,FALSE)*(Optimalisatie!R45*Optimalisatie!AE45),Baseline_Backlog!M43),0))</f>
        <v>0</v>
      </c>
      <c r="N43" s="9">
        <f>(IF(Optimalisatie!C45="Bestaande Situatie",_xlfn.IFNA(VLOOKUP(Optimalisatie!AG45,Database_Asfalt_Verwerkingsset[#All],7,FALSE)*(Optimalisatie!J45/VLOOKUP(Optimalisatie!AG45,Database_Asfalt_Verwerkingsset[#All],8,FALSE)),Baseline_Backlog!N43),0))</f>
        <v>0</v>
      </c>
      <c r="O43" s="9">
        <f>(IF(Optimalisatie!C45="Bestaande Situatie",_xlfn.IFNA(VLOOKUP(Inschrijf_MKI_Totaal[[#This Row],[Product]]&amp;", "&amp;Inschrijf_MKI_Totaal[[#Headers],[C4]],Database_Productkaarten[#All],14,FALSE),Baseline_Backlog!O43)*Optimalisatie!J45,0))</f>
        <v>0</v>
      </c>
      <c r="P43" s="9">
        <f>(IF(Optimalisatie!C45="Bestaande Situatie",_xlfn.IFNA(IF(Optimalisatie!E45="Categorie_1_LCA_Producten",VLOOKUP(Inschrijf_MKI_Totaal[[#This Row],[Product]],Categorie_1_Producten[#All],12,FALSE)*(Optimalisatie!J45),VLOOKUP(Inschrijf_MKI_Totaal[[#This Row],[Product]]&amp;", "&amp;Inschrijf_MKI_Totaal[[#Headers],[D1]],Database_Productkaarten[#All],14,FALSE)*Optimalisatie!J45),Baseline_Backlog!P43),0))</f>
        <v>0</v>
      </c>
      <c r="Q43" s="9">
        <f>(IF(Optimalisatie!C45="Bestaande Situatie",_xlfn.IFNA(IF(Optimalisatie!E45="Categorie_1_LCA_Producten",VLOOKUP(Inschrijf_MKI_Totaal[[#This Row],[Product]],Categorie_1_Producten[#All],13,FALSE)*(Optimalisatie!J45),VLOOKUP(Inschrijf_MKI_Totaal[[#This Row],[Product]]&amp;", "&amp;Inschrijf_MKI_Totaal[[#Headers],[D2]],Database_Productkaarten[#All],14,FALSE)*Optimalisatie!J45),Baseline_Backlog!Q43),0))</f>
        <v>0</v>
      </c>
      <c r="R43" s="9">
        <f>(IF(Optimalisatie!C45="Bestaande Situatie",_xlfn.IFNA(IF(Optimalisatie!E45="Categorie_1_LCA_Producten",VLOOKUP(Inschrijf_MKI_Totaal[[#This Row],[Product]],Categorie_1_Producten[#All],13,FALSE)*(Optimalisatie!J45),VLOOKUP(Inschrijf_MKI_Totaal[[#This Row],[Product]]&amp;", "&amp;Inschrijf_MKI_Totaal[[#Headers],[D]],Database_Productkaarten[#All],14,FALSE)*Optimalisatie!J45),Baseline_Backlog!S43),0))</f>
        <v>0</v>
      </c>
      <c r="S43" s="301">
        <f>SUM(Inschrijf_MKI_Totaal[[#This Row],[A1-A3]:[C4]])+Inschrijf_MKI_Totaal[[#This Row],[D]]</f>
        <v>0</v>
      </c>
      <c r="AA43" s="9">
        <f>_xlfn.IFNA((VLOOKUP(Optimalisatie!AA45,Database_Asfalt_Verwijderset[#All],7,FALSE)*Optimalisatie!J45),0)</f>
        <v>0</v>
      </c>
      <c r="AB43" s="9" t="e">
        <f>(VLOOKUP(Optimalisatie!AA45,Database_Asfalt_Verwijderset[#All],7,FALSE)*Optimalisatie!J45)</f>
        <v>#N/A</v>
      </c>
      <c r="AC43" s="332">
        <f>(_xlfn.IFNA(VLOOKUP(Inschrijf_MKI_Totaal[[#This Row],[Product]]&amp;", "&amp;Inschrijf_MKI_Totaal[[#Headers],[C1]],Database_Productkaarten[#All],14,FALSE),0)*Optimalisatie!J45)</f>
        <v>0</v>
      </c>
    </row>
    <row r="44" spans="2:29" hidden="1">
      <c r="B44" s="272">
        <f>Optimalisatie!B46</f>
        <v>0</v>
      </c>
      <c r="C44" s="9">
        <f>Optimalisatie!F46</f>
        <v>0</v>
      </c>
      <c r="D44" s="9">
        <f>(IF(Optimalisatie!C46="Nieuwe Situatie",_xlfn.IFNA(IF(Optimalisatie!E46="Categorie_1_LCA_Producten",VLOOKUP(Inschrijf_MKI_Totaal[[#This Row],[Product]],Categorie_1_Producten[#All],8,FALSE)*(Optimalisatie!J46),VLOOKUP(Inschrijf_MKI_Totaal[[#This Row],[Product]]&amp;", "&amp;Inschrijf_MKI_Totaal[[#Headers],[A1]],Database_Productkaarten[#All],14,FALSE)*Optimalisatie!J46),Baseline_Backlog!D44),0))</f>
        <v>0</v>
      </c>
      <c r="E44" s="9">
        <f>(IF(Optimalisatie!C46="Nieuwe Situatie",_xlfn.IFNA(IF(Optimalisatie!E46="Categorie_1_LCA_Producten",VLOOKUP(Inschrijf_MKI_Totaal[[#This Row],[Product]],Categorie_1_Producten[#All],9,FALSE)*(Optimalisatie!J46),VLOOKUP(Inschrijf_MKI_Totaal[[#This Row],[Product]]&amp;", "&amp;Inschrijf_MKI_Totaal[[#Headers],[A2]],Database_Productkaarten[#All],14,FALSE)*Optimalisatie!J46),Baseline_Backlog!E44),0))</f>
        <v>0</v>
      </c>
      <c r="F44" s="9">
        <f>(IF(Optimalisatie!C46="Nieuwe Situatie",_xlfn.IFNA(IF(Optimalisatie!E46="Categorie_1_LCA_Producten",VLOOKUP(Inschrijf_MKI_Totaal[[#This Row],[Product]],Categorie_1_Producten[#All],10,FALSE)*(Optimalisatie!J46),VLOOKUP(Inschrijf_MKI_Totaal[[#This Row],[Product]]&amp;", "&amp;Inschrijf_MKI_Totaal[[#Headers],[A3]],Database_Productkaarten[#All],14,FALSE)*Optimalisatie!J46),Baseline_Backlog!F44),0))</f>
        <v>0</v>
      </c>
      <c r="G44" s="9">
        <f>(IF(Optimalisatie!C46="Nieuwe Situatie",_xlfn.IFNA(IF(Optimalisatie!E46="Categorie_1_LCA_Producten",VLOOKUP(Inschrijf_MKI_Totaal[[#This Row],[Product]],Categorie_1_Producten[#All],11,FALSE)*(Optimalisatie!J46),VLOOKUP(Inschrijf_MKI_Totaal[[#This Row],[Product]]&amp;", "&amp;Inschrijf_MKI_Totaal[[#Headers],[A1-A3]],Database_Productkaarten[#All],14,FALSE)*Optimalisatie!J46),Baseline_Backlog!G44),0))</f>
        <v>0</v>
      </c>
      <c r="H44" s="9">
        <f>(IF(Optimalisatie!C46="Nieuwe Situatie",_xlfn.IFNA(VLOOKUP(Optimalisatie!V46,Database_Transport[#All],7,FALSE)*((IF(Optimalisatie!R46=0,Baseline!Q46,Optimalisatie!R46))*Optimalisatie!U46),Baseline_Backlog!H44),0))</f>
        <v>0</v>
      </c>
      <c r="I44" s="9">
        <f>IF(Optimalisatie!C46="Nieuwe situatie",IF(_xlfn.IFNA((VLOOKUP(Optimalisatie!W46,Database_Asfalt_Aanlegset[#All],7,FALSE)*Optimalisatie!J46),0)+_xlfn.IFNA(VLOOKUP(Optimalisatie!X46,Database_Brandstoffen[#All],7,FALSE)*((Optimalisatie!J46/Optimalisatie!Z46)*Optimalisatie!Y46),0)&gt;0,_xlfn.IFNA((VLOOKUP(Optimalisatie!W46,Database_Asfalt_Aanlegset[#All],7,FALSE)*Optimalisatie!J46),0)+_xlfn.IFNA(VLOOKUP(Optimalisatie!X46,Database_Brandstoffen[#All],7,FALSE)*((Optimalisatie!J46/Optimalisatie!Z46)*Optimalisatie!Y46),0),(_xlfn.IFNA(VLOOKUP(Inschrijf_MKI_Totaal[[#This Row],[Product]]&amp;", "&amp;Inschrijf_MKI_Totaal[[#Headers],[A5]],Database_Productkaarten[#All],14,FALSE),0)*Optimalisatie!J46)),0)</f>
        <v>0</v>
      </c>
      <c r="J44" s="9"/>
      <c r="K44" s="9">
        <f>(IF(Optimalisatie!C46="Nieuwe Situatie",_xlfn.IFNA(SUM(Inschrijf_MKI_Totaal[[#This Row],[A1]:[B1]],Inschrijf_MKI_Totaal[[#This Row],[C1]:[D2]])*Optimalisatie!T46,0),0))</f>
        <v>0</v>
      </c>
      <c r="L44" s="9">
        <f>IF(Optimalisatie!C46="Bestaande situatie",IF(_xlfn.IFNA((VLOOKUP(Optimalisatie!AA46,Database_Asfalt_Verwijderset[#All],7,FALSE)*Optimalisatie!J46),0)+_xlfn.IFNA(VLOOKUP(Optimalisatie!AB46,Database_Brandstoffen[#All],7,FALSE)*((Optimalisatie!J46/Optimalisatie!AD46)*Optimalisatie!AC46),0)&gt;0,_xlfn.IFNA((VLOOKUP(Optimalisatie!AA46,Database_Asfalt_Verwijderset[#All],7,FALSE)*Optimalisatie!J46),0)+_xlfn.IFNA(VLOOKUP(Optimalisatie!AB46,Database_Brandstoffen[#All],7,FALSE)*((Optimalisatie!J46/Optimalisatie!AD46)*Optimalisatie!AC46),0),(_xlfn.IFNA(VLOOKUP(Inschrijf_MKI_Totaal[[#This Row],[Product]]&amp;", "&amp;Inschrijf_MKI_Totaal[[#Headers],[C1]],Database_Productkaarten[#All],14,FALSE),0)*Optimalisatie!J46)),0)</f>
        <v>0</v>
      </c>
      <c r="M44" s="9">
        <f>(IF(Optimalisatie!C46="Bestaande Situatie",_xlfn.IFNA(VLOOKUP(Optimalisatie!AF46,Database_Transport[#All],7,FALSE)*(Optimalisatie!R46*Optimalisatie!AE46),Baseline_Backlog!M44),0))</f>
        <v>0</v>
      </c>
      <c r="N44" s="9">
        <f>(IF(Optimalisatie!C46="Bestaande Situatie",_xlfn.IFNA(VLOOKUP(Optimalisatie!AG46,Database_Asfalt_Verwerkingsset[#All],7,FALSE)*(Optimalisatie!J46/VLOOKUP(Optimalisatie!AG46,Database_Asfalt_Verwerkingsset[#All],8,FALSE)),Baseline_Backlog!N44),0))</f>
        <v>0</v>
      </c>
      <c r="O44" s="9">
        <f>(IF(Optimalisatie!C46="Bestaande Situatie",_xlfn.IFNA(VLOOKUP(Inschrijf_MKI_Totaal[[#This Row],[Product]]&amp;", "&amp;Inschrijf_MKI_Totaal[[#Headers],[C4]],Database_Productkaarten[#All],14,FALSE),Baseline_Backlog!O44)*Optimalisatie!J46,0))</f>
        <v>0</v>
      </c>
      <c r="P44" s="9">
        <f>(IF(Optimalisatie!C46="Bestaande Situatie",_xlfn.IFNA(IF(Optimalisatie!E46="Categorie_1_LCA_Producten",VLOOKUP(Inschrijf_MKI_Totaal[[#This Row],[Product]],Categorie_1_Producten[#All],12,FALSE)*(Optimalisatie!J46),VLOOKUP(Inschrijf_MKI_Totaal[[#This Row],[Product]]&amp;", "&amp;Inschrijf_MKI_Totaal[[#Headers],[D1]],Database_Productkaarten[#All],14,FALSE)*Optimalisatie!J46),Baseline_Backlog!P44),0))</f>
        <v>0</v>
      </c>
      <c r="Q44" s="9">
        <f>(IF(Optimalisatie!C46="Bestaande Situatie",_xlfn.IFNA(IF(Optimalisatie!E46="Categorie_1_LCA_Producten",VLOOKUP(Inschrijf_MKI_Totaal[[#This Row],[Product]],Categorie_1_Producten[#All],13,FALSE)*(Optimalisatie!J46),VLOOKUP(Inschrijf_MKI_Totaal[[#This Row],[Product]]&amp;", "&amp;Inschrijf_MKI_Totaal[[#Headers],[D2]],Database_Productkaarten[#All],14,FALSE)*Optimalisatie!J46),Baseline_Backlog!Q44),0))</f>
        <v>0</v>
      </c>
      <c r="R44" s="9">
        <f>(IF(Optimalisatie!C46="Bestaande Situatie",_xlfn.IFNA(IF(Optimalisatie!E46="Categorie_1_LCA_Producten",VLOOKUP(Inschrijf_MKI_Totaal[[#This Row],[Product]],Categorie_1_Producten[#All],13,FALSE)*(Optimalisatie!J46),VLOOKUP(Inschrijf_MKI_Totaal[[#This Row],[Product]]&amp;", "&amp;Inschrijf_MKI_Totaal[[#Headers],[D]],Database_Productkaarten[#All],14,FALSE)*Optimalisatie!J46),Baseline_Backlog!S44),0))</f>
        <v>0</v>
      </c>
      <c r="S44" s="301">
        <f>SUM(Inschrijf_MKI_Totaal[[#This Row],[A1-A3]:[C4]])+Inschrijf_MKI_Totaal[[#This Row],[D]]</f>
        <v>0</v>
      </c>
      <c r="AA44" s="9">
        <f>_xlfn.IFNA((VLOOKUP(Optimalisatie!AA46,Database_Asfalt_Verwijderset[#All],7,FALSE)*Optimalisatie!J46),0)</f>
        <v>0</v>
      </c>
      <c r="AB44" s="9" t="e">
        <f>(VLOOKUP(Optimalisatie!AA46,Database_Asfalt_Verwijderset[#All],7,FALSE)*Optimalisatie!J46)</f>
        <v>#N/A</v>
      </c>
      <c r="AC44" s="332">
        <f>(_xlfn.IFNA(VLOOKUP(Inschrijf_MKI_Totaal[[#This Row],[Product]]&amp;", "&amp;Inschrijf_MKI_Totaal[[#Headers],[C1]],Database_Productkaarten[#All],14,FALSE),0)*Optimalisatie!J46)</f>
        <v>0</v>
      </c>
    </row>
    <row r="45" spans="2:29" hidden="1">
      <c r="B45" s="272">
        <f>Optimalisatie!B47</f>
        <v>0</v>
      </c>
      <c r="C45" s="9">
        <f>Optimalisatie!F47</f>
        <v>0</v>
      </c>
      <c r="D45" s="9">
        <f>(IF(Optimalisatie!C47="Nieuwe Situatie",_xlfn.IFNA(IF(Optimalisatie!E47="Categorie_1_LCA_Producten",VLOOKUP(Inschrijf_MKI_Totaal[[#This Row],[Product]],Categorie_1_Producten[#All],8,FALSE)*(Optimalisatie!J47),VLOOKUP(Inschrijf_MKI_Totaal[[#This Row],[Product]]&amp;", "&amp;Inschrijf_MKI_Totaal[[#Headers],[A1]],Database_Productkaarten[#All],14,FALSE)*Optimalisatie!J47),Baseline_Backlog!D45),0))</f>
        <v>0</v>
      </c>
      <c r="E45" s="9">
        <f>(IF(Optimalisatie!C47="Nieuwe Situatie",_xlfn.IFNA(IF(Optimalisatie!E47="Categorie_1_LCA_Producten",VLOOKUP(Inschrijf_MKI_Totaal[[#This Row],[Product]],Categorie_1_Producten[#All],9,FALSE)*(Optimalisatie!J47),VLOOKUP(Inschrijf_MKI_Totaal[[#This Row],[Product]]&amp;", "&amp;Inschrijf_MKI_Totaal[[#Headers],[A2]],Database_Productkaarten[#All],14,FALSE)*Optimalisatie!J47),Baseline_Backlog!E45),0))</f>
        <v>0</v>
      </c>
      <c r="F45" s="9">
        <f>(IF(Optimalisatie!C47="Nieuwe Situatie",_xlfn.IFNA(IF(Optimalisatie!E47="Categorie_1_LCA_Producten",VLOOKUP(Inschrijf_MKI_Totaal[[#This Row],[Product]],Categorie_1_Producten[#All],10,FALSE)*(Optimalisatie!J47),VLOOKUP(Inschrijf_MKI_Totaal[[#This Row],[Product]]&amp;", "&amp;Inschrijf_MKI_Totaal[[#Headers],[A3]],Database_Productkaarten[#All],14,FALSE)*Optimalisatie!J47),Baseline_Backlog!F45),0))</f>
        <v>0</v>
      </c>
      <c r="G45" s="9">
        <f>(IF(Optimalisatie!C47="Nieuwe Situatie",_xlfn.IFNA(IF(Optimalisatie!E47="Categorie_1_LCA_Producten",VLOOKUP(Inschrijf_MKI_Totaal[[#This Row],[Product]],Categorie_1_Producten[#All],11,FALSE)*(Optimalisatie!J47),VLOOKUP(Inschrijf_MKI_Totaal[[#This Row],[Product]]&amp;", "&amp;Inschrijf_MKI_Totaal[[#Headers],[A1-A3]],Database_Productkaarten[#All],14,FALSE)*Optimalisatie!J47),Baseline_Backlog!G45),0))</f>
        <v>0</v>
      </c>
      <c r="H45" s="9">
        <f>(IF(Optimalisatie!C47="Nieuwe Situatie",_xlfn.IFNA(VLOOKUP(Optimalisatie!V47,Database_Transport[#All],7,FALSE)*((IF(Optimalisatie!R47=0,Baseline!Q47,Optimalisatie!R47))*Optimalisatie!U47),Baseline_Backlog!H45),0))</f>
        <v>0</v>
      </c>
      <c r="I45" s="9">
        <f>IF(Optimalisatie!C47="Nieuwe situatie",IF(_xlfn.IFNA((VLOOKUP(Optimalisatie!W47,Database_Asfalt_Aanlegset[#All],7,FALSE)*Optimalisatie!J47),0)+_xlfn.IFNA(VLOOKUP(Optimalisatie!X47,Database_Brandstoffen[#All],7,FALSE)*((Optimalisatie!J47/Optimalisatie!Z47)*Optimalisatie!Y47),0)&gt;0,_xlfn.IFNA((VLOOKUP(Optimalisatie!W47,Database_Asfalt_Aanlegset[#All],7,FALSE)*Optimalisatie!J47),0)+_xlfn.IFNA(VLOOKUP(Optimalisatie!X47,Database_Brandstoffen[#All],7,FALSE)*((Optimalisatie!J47/Optimalisatie!Z47)*Optimalisatie!Y47),0),(_xlfn.IFNA(VLOOKUP(Inschrijf_MKI_Totaal[[#This Row],[Product]]&amp;", "&amp;Inschrijf_MKI_Totaal[[#Headers],[A5]],Database_Productkaarten[#All],14,FALSE),0)*Optimalisatie!J47)),0)</f>
        <v>0</v>
      </c>
      <c r="J45" s="9"/>
      <c r="K45" s="9">
        <f>(IF(Optimalisatie!C47="Nieuwe Situatie",_xlfn.IFNA(SUM(Inschrijf_MKI_Totaal[[#This Row],[A1]:[B1]],Inschrijf_MKI_Totaal[[#This Row],[C1]:[D2]])*Optimalisatie!T47,0),0))</f>
        <v>0</v>
      </c>
      <c r="L45" s="9">
        <f>IF(Optimalisatie!C47="Bestaande situatie",IF(_xlfn.IFNA((VLOOKUP(Optimalisatie!AA47,Database_Asfalt_Verwijderset[#All],7,FALSE)*Optimalisatie!J47),0)+_xlfn.IFNA(VLOOKUP(Optimalisatie!AB47,Database_Brandstoffen[#All],7,FALSE)*((Optimalisatie!J47/Optimalisatie!AD47)*Optimalisatie!AC47),0)&gt;0,_xlfn.IFNA((VLOOKUP(Optimalisatie!AA47,Database_Asfalt_Verwijderset[#All],7,FALSE)*Optimalisatie!J47),0)+_xlfn.IFNA(VLOOKUP(Optimalisatie!AB47,Database_Brandstoffen[#All],7,FALSE)*((Optimalisatie!J47/Optimalisatie!AD47)*Optimalisatie!AC47),0),(_xlfn.IFNA(VLOOKUP(Inschrijf_MKI_Totaal[[#This Row],[Product]]&amp;", "&amp;Inschrijf_MKI_Totaal[[#Headers],[C1]],Database_Productkaarten[#All],14,FALSE),0)*Optimalisatie!J47)),0)</f>
        <v>0</v>
      </c>
      <c r="M45" s="9">
        <f>(IF(Optimalisatie!C47="Bestaande Situatie",_xlfn.IFNA(VLOOKUP(Optimalisatie!AF47,Database_Transport[#All],7,FALSE)*(Optimalisatie!R47*Optimalisatie!AE47),Baseline_Backlog!M45),0))</f>
        <v>0</v>
      </c>
      <c r="N45" s="9">
        <f>(IF(Optimalisatie!C47="Bestaande Situatie",_xlfn.IFNA(VLOOKUP(Optimalisatie!AG47,Database_Asfalt_Verwerkingsset[#All],7,FALSE)*(Optimalisatie!J47/VLOOKUP(Optimalisatie!AG47,Database_Asfalt_Verwerkingsset[#All],8,FALSE)),Baseline_Backlog!N45),0))</f>
        <v>0</v>
      </c>
      <c r="O45" s="9">
        <f>(IF(Optimalisatie!C47="Bestaande Situatie",_xlfn.IFNA(VLOOKUP(Inschrijf_MKI_Totaal[[#This Row],[Product]]&amp;", "&amp;Inschrijf_MKI_Totaal[[#Headers],[C4]],Database_Productkaarten[#All],14,FALSE),Baseline_Backlog!O45)*Optimalisatie!J47,0))</f>
        <v>0</v>
      </c>
      <c r="P45" s="9">
        <f>(IF(Optimalisatie!C47="Bestaande Situatie",_xlfn.IFNA(IF(Optimalisatie!E47="Categorie_1_LCA_Producten",VLOOKUP(Inschrijf_MKI_Totaal[[#This Row],[Product]],Categorie_1_Producten[#All],12,FALSE)*(Optimalisatie!J47),VLOOKUP(Inschrijf_MKI_Totaal[[#This Row],[Product]]&amp;", "&amp;Inschrijf_MKI_Totaal[[#Headers],[D1]],Database_Productkaarten[#All],14,FALSE)*Optimalisatie!J47),Baseline_Backlog!P45),0))</f>
        <v>0</v>
      </c>
      <c r="Q45" s="9">
        <f>(IF(Optimalisatie!C47="Bestaande Situatie",_xlfn.IFNA(IF(Optimalisatie!E47="Categorie_1_LCA_Producten",VLOOKUP(Inschrijf_MKI_Totaal[[#This Row],[Product]],Categorie_1_Producten[#All],13,FALSE)*(Optimalisatie!J47),VLOOKUP(Inschrijf_MKI_Totaal[[#This Row],[Product]]&amp;", "&amp;Inschrijf_MKI_Totaal[[#Headers],[D2]],Database_Productkaarten[#All],14,FALSE)*Optimalisatie!J47),Baseline_Backlog!Q45),0))</f>
        <v>0</v>
      </c>
      <c r="R45" s="9">
        <f>(IF(Optimalisatie!C47="Bestaande Situatie",_xlfn.IFNA(IF(Optimalisatie!E47="Categorie_1_LCA_Producten",VLOOKUP(Inschrijf_MKI_Totaal[[#This Row],[Product]],Categorie_1_Producten[#All],13,FALSE)*(Optimalisatie!J47),VLOOKUP(Inschrijf_MKI_Totaal[[#This Row],[Product]]&amp;", "&amp;Inschrijf_MKI_Totaal[[#Headers],[D]],Database_Productkaarten[#All],14,FALSE)*Optimalisatie!J47),Baseline_Backlog!S45),0))</f>
        <v>0</v>
      </c>
      <c r="S45" s="301">
        <f>SUM(Inschrijf_MKI_Totaal[[#This Row],[A1-A3]:[C4]])+Inschrijf_MKI_Totaal[[#This Row],[D]]</f>
        <v>0</v>
      </c>
      <c r="AA45" s="9">
        <f>_xlfn.IFNA((VLOOKUP(Optimalisatie!AA47,Database_Asfalt_Verwijderset[#All],7,FALSE)*Optimalisatie!J47),0)</f>
        <v>0</v>
      </c>
      <c r="AB45" s="9" t="e">
        <f>(VLOOKUP(Optimalisatie!AA47,Database_Asfalt_Verwijderset[#All],7,FALSE)*Optimalisatie!J47)</f>
        <v>#N/A</v>
      </c>
      <c r="AC45" s="332">
        <f>(_xlfn.IFNA(VLOOKUP(Inschrijf_MKI_Totaal[[#This Row],[Product]]&amp;", "&amp;Inschrijf_MKI_Totaal[[#Headers],[C1]],Database_Productkaarten[#All],14,FALSE),0)*Optimalisatie!J47)</f>
        <v>0</v>
      </c>
    </row>
    <row r="46" spans="2:29" hidden="1">
      <c r="B46" s="272">
        <f>Optimalisatie!B48</f>
        <v>0</v>
      </c>
      <c r="C46" s="9">
        <f>Optimalisatie!F48</f>
        <v>0</v>
      </c>
      <c r="D46" s="9">
        <f>(IF(Optimalisatie!C48="Nieuwe Situatie",_xlfn.IFNA(IF(Optimalisatie!E48="Categorie_1_LCA_Producten",VLOOKUP(Inschrijf_MKI_Totaal[[#This Row],[Product]],Categorie_1_Producten[#All],8,FALSE)*(Optimalisatie!J48),VLOOKUP(Inschrijf_MKI_Totaal[[#This Row],[Product]]&amp;", "&amp;Inschrijf_MKI_Totaal[[#Headers],[A1]],Database_Productkaarten[#All],14,FALSE)*Optimalisatie!J48),Baseline_Backlog!D46),0))</f>
        <v>0</v>
      </c>
      <c r="E46" s="9">
        <f>(IF(Optimalisatie!C48="Nieuwe Situatie",_xlfn.IFNA(IF(Optimalisatie!E48="Categorie_1_LCA_Producten",VLOOKUP(Inschrijf_MKI_Totaal[[#This Row],[Product]],Categorie_1_Producten[#All],9,FALSE)*(Optimalisatie!J48),VLOOKUP(Inschrijf_MKI_Totaal[[#This Row],[Product]]&amp;", "&amp;Inschrijf_MKI_Totaal[[#Headers],[A2]],Database_Productkaarten[#All],14,FALSE)*Optimalisatie!J48),Baseline_Backlog!E46),0))</f>
        <v>0</v>
      </c>
      <c r="F46" s="9">
        <f>(IF(Optimalisatie!C48="Nieuwe Situatie",_xlfn.IFNA(IF(Optimalisatie!E48="Categorie_1_LCA_Producten",VLOOKUP(Inschrijf_MKI_Totaal[[#This Row],[Product]],Categorie_1_Producten[#All],10,FALSE)*(Optimalisatie!J48),VLOOKUP(Inschrijf_MKI_Totaal[[#This Row],[Product]]&amp;", "&amp;Inschrijf_MKI_Totaal[[#Headers],[A3]],Database_Productkaarten[#All],14,FALSE)*Optimalisatie!J48),Baseline_Backlog!F46),0))</f>
        <v>0</v>
      </c>
      <c r="G46" s="9">
        <f>(IF(Optimalisatie!C48="Nieuwe Situatie",_xlfn.IFNA(IF(Optimalisatie!E48="Categorie_1_LCA_Producten",VLOOKUP(Inschrijf_MKI_Totaal[[#This Row],[Product]],Categorie_1_Producten[#All],11,FALSE)*(Optimalisatie!J48),VLOOKUP(Inschrijf_MKI_Totaal[[#This Row],[Product]]&amp;", "&amp;Inschrijf_MKI_Totaal[[#Headers],[A1-A3]],Database_Productkaarten[#All],14,FALSE)*Optimalisatie!J48),Baseline_Backlog!G46),0))</f>
        <v>0</v>
      </c>
      <c r="H46" s="9">
        <f>(IF(Optimalisatie!C48="Nieuwe Situatie",_xlfn.IFNA(VLOOKUP(Optimalisatie!V48,Database_Transport[#All],7,FALSE)*((IF(Optimalisatie!R48=0,Baseline!Q48,Optimalisatie!R48))*Optimalisatie!U48),Baseline_Backlog!H46),0))</f>
        <v>0</v>
      </c>
      <c r="I46" s="9">
        <f>IF(Optimalisatie!C48="Nieuwe situatie",IF(_xlfn.IFNA((VLOOKUP(Optimalisatie!W48,Database_Asfalt_Aanlegset[#All],7,FALSE)*Optimalisatie!J48),0)+_xlfn.IFNA(VLOOKUP(Optimalisatie!X48,Database_Brandstoffen[#All],7,FALSE)*((Optimalisatie!J48/Optimalisatie!Z48)*Optimalisatie!Y48),0)&gt;0,_xlfn.IFNA((VLOOKUP(Optimalisatie!W48,Database_Asfalt_Aanlegset[#All],7,FALSE)*Optimalisatie!J48),0)+_xlfn.IFNA(VLOOKUP(Optimalisatie!X48,Database_Brandstoffen[#All],7,FALSE)*((Optimalisatie!J48/Optimalisatie!Z48)*Optimalisatie!Y48),0),(_xlfn.IFNA(VLOOKUP(Inschrijf_MKI_Totaal[[#This Row],[Product]]&amp;", "&amp;Inschrijf_MKI_Totaal[[#Headers],[A5]],Database_Productkaarten[#All],14,FALSE),0)*Optimalisatie!J48)),0)</f>
        <v>0</v>
      </c>
      <c r="J46" s="9"/>
      <c r="K46" s="9">
        <f>(IF(Optimalisatie!C48="Nieuwe Situatie",_xlfn.IFNA(SUM(Inschrijf_MKI_Totaal[[#This Row],[A1]:[B1]],Inschrijf_MKI_Totaal[[#This Row],[C1]:[D2]])*Optimalisatie!T48,0),0))</f>
        <v>0</v>
      </c>
      <c r="L46" s="9">
        <f>IF(Optimalisatie!C48="Bestaande situatie",IF(_xlfn.IFNA((VLOOKUP(Optimalisatie!AA48,Database_Asfalt_Verwijderset[#All],7,FALSE)*Optimalisatie!J48),0)+_xlfn.IFNA(VLOOKUP(Optimalisatie!AB48,Database_Brandstoffen[#All],7,FALSE)*((Optimalisatie!J48/Optimalisatie!AD48)*Optimalisatie!AC48),0)&gt;0,_xlfn.IFNA((VLOOKUP(Optimalisatie!AA48,Database_Asfalt_Verwijderset[#All],7,FALSE)*Optimalisatie!J48),0)+_xlfn.IFNA(VLOOKUP(Optimalisatie!AB48,Database_Brandstoffen[#All],7,FALSE)*((Optimalisatie!J48/Optimalisatie!AD48)*Optimalisatie!AC48),0),(_xlfn.IFNA(VLOOKUP(Inschrijf_MKI_Totaal[[#This Row],[Product]]&amp;", "&amp;Inschrijf_MKI_Totaal[[#Headers],[C1]],Database_Productkaarten[#All],14,FALSE),0)*Optimalisatie!J48)),0)</f>
        <v>0</v>
      </c>
      <c r="M46" s="9">
        <f>(IF(Optimalisatie!C48="Bestaande Situatie",_xlfn.IFNA(VLOOKUP(Optimalisatie!AF48,Database_Transport[#All],7,FALSE)*(Optimalisatie!R48*Optimalisatie!AE48),Baseline_Backlog!M46),0))</f>
        <v>0</v>
      </c>
      <c r="N46" s="9">
        <f>(IF(Optimalisatie!C48="Bestaande Situatie",_xlfn.IFNA(VLOOKUP(Optimalisatie!AG48,Database_Asfalt_Verwerkingsset[#All],7,FALSE)*(Optimalisatie!J48/VLOOKUP(Optimalisatie!AG48,Database_Asfalt_Verwerkingsset[#All],8,FALSE)),Baseline_Backlog!N46),0))</f>
        <v>0</v>
      </c>
      <c r="O46" s="9">
        <f>(IF(Optimalisatie!C48="Bestaande Situatie",_xlfn.IFNA(VLOOKUP(Inschrijf_MKI_Totaal[[#This Row],[Product]]&amp;", "&amp;Inschrijf_MKI_Totaal[[#Headers],[C4]],Database_Productkaarten[#All],14,FALSE),Baseline_Backlog!O46)*Optimalisatie!J48,0))</f>
        <v>0</v>
      </c>
      <c r="P46" s="9">
        <f>(IF(Optimalisatie!C48="Bestaande Situatie",_xlfn.IFNA(IF(Optimalisatie!E48="Categorie_1_LCA_Producten",VLOOKUP(Inschrijf_MKI_Totaal[[#This Row],[Product]],Categorie_1_Producten[#All],12,FALSE)*(Optimalisatie!J48),VLOOKUP(Inschrijf_MKI_Totaal[[#This Row],[Product]]&amp;", "&amp;Inschrijf_MKI_Totaal[[#Headers],[D1]],Database_Productkaarten[#All],14,FALSE)*Optimalisatie!J48),Baseline_Backlog!P46),0))</f>
        <v>0</v>
      </c>
      <c r="Q46" s="9">
        <f>(IF(Optimalisatie!C48="Bestaande Situatie",_xlfn.IFNA(IF(Optimalisatie!E48="Categorie_1_LCA_Producten",VLOOKUP(Inschrijf_MKI_Totaal[[#This Row],[Product]],Categorie_1_Producten[#All],13,FALSE)*(Optimalisatie!J48),VLOOKUP(Inschrijf_MKI_Totaal[[#This Row],[Product]]&amp;", "&amp;Inschrijf_MKI_Totaal[[#Headers],[D2]],Database_Productkaarten[#All],14,FALSE)*Optimalisatie!J48),Baseline_Backlog!Q46),0))</f>
        <v>0</v>
      </c>
      <c r="R46" s="9">
        <f>(IF(Optimalisatie!C48="Bestaande Situatie",_xlfn.IFNA(IF(Optimalisatie!E48="Categorie_1_LCA_Producten",VLOOKUP(Inschrijf_MKI_Totaal[[#This Row],[Product]],Categorie_1_Producten[#All],13,FALSE)*(Optimalisatie!J48),VLOOKUP(Inschrijf_MKI_Totaal[[#This Row],[Product]]&amp;", "&amp;Inschrijf_MKI_Totaal[[#Headers],[D]],Database_Productkaarten[#All],14,FALSE)*Optimalisatie!J48),Baseline_Backlog!S46),0))</f>
        <v>0</v>
      </c>
      <c r="S46" s="301">
        <f>SUM(Inschrijf_MKI_Totaal[[#This Row],[A1-A3]:[C4]])+Inschrijf_MKI_Totaal[[#This Row],[D]]</f>
        <v>0</v>
      </c>
      <c r="AA46" s="9">
        <f>_xlfn.IFNA((VLOOKUP(Optimalisatie!AA48,Database_Asfalt_Verwijderset[#All],7,FALSE)*Optimalisatie!J48),0)</f>
        <v>0</v>
      </c>
      <c r="AB46" s="9" t="e">
        <f>(VLOOKUP(Optimalisatie!AA48,Database_Asfalt_Verwijderset[#All],7,FALSE)*Optimalisatie!J48)</f>
        <v>#N/A</v>
      </c>
      <c r="AC46" s="332">
        <f>(_xlfn.IFNA(VLOOKUP(Inschrijf_MKI_Totaal[[#This Row],[Product]]&amp;", "&amp;Inschrijf_MKI_Totaal[[#Headers],[C1]],Database_Productkaarten[#All],14,FALSE),0)*Optimalisatie!J48)</f>
        <v>0</v>
      </c>
    </row>
    <row r="47" spans="2:29" hidden="1">
      <c r="B47" s="272">
        <f>Optimalisatie!B49</f>
        <v>0</v>
      </c>
      <c r="C47" s="9">
        <f>Optimalisatie!F49</f>
        <v>0</v>
      </c>
      <c r="D47" s="9">
        <f>(IF(Optimalisatie!C49="Nieuwe Situatie",_xlfn.IFNA(IF(Optimalisatie!E49="Categorie_1_LCA_Producten",VLOOKUP(Inschrijf_MKI_Totaal[[#This Row],[Product]],Categorie_1_Producten[#All],8,FALSE)*(Optimalisatie!J49),VLOOKUP(Inschrijf_MKI_Totaal[[#This Row],[Product]]&amp;", "&amp;Inschrijf_MKI_Totaal[[#Headers],[A1]],Database_Productkaarten[#All],14,FALSE)*Optimalisatie!J49),Baseline_Backlog!D47),0))</f>
        <v>0</v>
      </c>
      <c r="E47" s="9">
        <f>(IF(Optimalisatie!C49="Nieuwe Situatie",_xlfn.IFNA(IF(Optimalisatie!E49="Categorie_1_LCA_Producten",VLOOKUP(Inschrijf_MKI_Totaal[[#This Row],[Product]],Categorie_1_Producten[#All],9,FALSE)*(Optimalisatie!J49),VLOOKUP(Inschrijf_MKI_Totaal[[#This Row],[Product]]&amp;", "&amp;Inschrijf_MKI_Totaal[[#Headers],[A2]],Database_Productkaarten[#All],14,FALSE)*Optimalisatie!J49),Baseline_Backlog!E47),0))</f>
        <v>0</v>
      </c>
      <c r="F47" s="9">
        <f>(IF(Optimalisatie!C49="Nieuwe Situatie",_xlfn.IFNA(IF(Optimalisatie!E49="Categorie_1_LCA_Producten",VLOOKUP(Inschrijf_MKI_Totaal[[#This Row],[Product]],Categorie_1_Producten[#All],10,FALSE)*(Optimalisatie!J49),VLOOKUP(Inschrijf_MKI_Totaal[[#This Row],[Product]]&amp;", "&amp;Inschrijf_MKI_Totaal[[#Headers],[A3]],Database_Productkaarten[#All],14,FALSE)*Optimalisatie!J49),Baseline_Backlog!F47),0))</f>
        <v>0</v>
      </c>
      <c r="G47" s="9">
        <f>(IF(Optimalisatie!C49="Nieuwe Situatie",_xlfn.IFNA(IF(Optimalisatie!E49="Categorie_1_LCA_Producten",VLOOKUP(Inschrijf_MKI_Totaal[[#This Row],[Product]],Categorie_1_Producten[#All],11,FALSE)*(Optimalisatie!J49),VLOOKUP(Inschrijf_MKI_Totaal[[#This Row],[Product]]&amp;", "&amp;Inschrijf_MKI_Totaal[[#Headers],[A1-A3]],Database_Productkaarten[#All],14,FALSE)*Optimalisatie!J49),Baseline_Backlog!G47),0))</f>
        <v>0</v>
      </c>
      <c r="H47" s="9">
        <f>(IF(Optimalisatie!C49="Nieuwe Situatie",_xlfn.IFNA(VLOOKUP(Optimalisatie!V49,Database_Transport[#All],7,FALSE)*((IF(Optimalisatie!R49=0,Baseline!Q49,Optimalisatie!R49))*Optimalisatie!U49),Baseline_Backlog!H47),0))</f>
        <v>0</v>
      </c>
      <c r="I47" s="9">
        <f>IF(Optimalisatie!C49="Nieuwe situatie",IF(_xlfn.IFNA((VLOOKUP(Optimalisatie!W49,Database_Asfalt_Aanlegset[#All],7,FALSE)*Optimalisatie!J49),0)+_xlfn.IFNA(VLOOKUP(Optimalisatie!X49,Database_Brandstoffen[#All],7,FALSE)*((Optimalisatie!J49/Optimalisatie!Z49)*Optimalisatie!Y49),0)&gt;0,_xlfn.IFNA((VLOOKUP(Optimalisatie!W49,Database_Asfalt_Aanlegset[#All],7,FALSE)*Optimalisatie!J49),0)+_xlfn.IFNA(VLOOKUP(Optimalisatie!X49,Database_Brandstoffen[#All],7,FALSE)*((Optimalisatie!J49/Optimalisatie!Z49)*Optimalisatie!Y49),0),(_xlfn.IFNA(VLOOKUP(Inschrijf_MKI_Totaal[[#This Row],[Product]]&amp;", "&amp;Inschrijf_MKI_Totaal[[#Headers],[A5]],Database_Productkaarten[#All],14,FALSE),0)*Optimalisatie!J49)),0)</f>
        <v>0</v>
      </c>
      <c r="J47" s="9"/>
      <c r="K47" s="9">
        <f>(IF(Optimalisatie!C49="Nieuwe Situatie",_xlfn.IFNA(SUM(Inschrijf_MKI_Totaal[[#This Row],[A1]:[B1]],Inschrijf_MKI_Totaal[[#This Row],[C1]:[D2]])*Optimalisatie!T49,0),0))</f>
        <v>0</v>
      </c>
      <c r="L47" s="9">
        <f>IF(Optimalisatie!C49="Bestaande situatie",IF(_xlfn.IFNA((VLOOKUP(Optimalisatie!AA49,Database_Asfalt_Verwijderset[#All],7,FALSE)*Optimalisatie!J49),0)+_xlfn.IFNA(VLOOKUP(Optimalisatie!AB49,Database_Brandstoffen[#All],7,FALSE)*((Optimalisatie!J49/Optimalisatie!AD49)*Optimalisatie!AC49),0)&gt;0,_xlfn.IFNA((VLOOKUP(Optimalisatie!AA49,Database_Asfalt_Verwijderset[#All],7,FALSE)*Optimalisatie!J49),0)+_xlfn.IFNA(VLOOKUP(Optimalisatie!AB49,Database_Brandstoffen[#All],7,FALSE)*((Optimalisatie!J49/Optimalisatie!AD49)*Optimalisatie!AC49),0),(_xlfn.IFNA(VLOOKUP(Inschrijf_MKI_Totaal[[#This Row],[Product]]&amp;", "&amp;Inschrijf_MKI_Totaal[[#Headers],[C1]],Database_Productkaarten[#All],14,FALSE),0)*Optimalisatie!J49)),0)</f>
        <v>0</v>
      </c>
      <c r="M47" s="9">
        <f>(IF(Optimalisatie!C49="Bestaande Situatie",_xlfn.IFNA(VLOOKUP(Optimalisatie!AF49,Database_Transport[#All],7,FALSE)*(Optimalisatie!R49*Optimalisatie!AE49),Baseline_Backlog!M47),0))</f>
        <v>0</v>
      </c>
      <c r="N47" s="9">
        <f>(IF(Optimalisatie!C49="Bestaande Situatie",_xlfn.IFNA(VLOOKUP(Optimalisatie!AG49,Database_Asfalt_Verwerkingsset[#All],7,FALSE)*(Optimalisatie!J49/VLOOKUP(Optimalisatie!AG49,Database_Asfalt_Verwerkingsset[#All],8,FALSE)),Baseline_Backlog!N47),0))</f>
        <v>0</v>
      </c>
      <c r="O47" s="9">
        <f>(IF(Optimalisatie!C49="Bestaande Situatie",_xlfn.IFNA(VLOOKUP(Inschrijf_MKI_Totaal[[#This Row],[Product]]&amp;", "&amp;Inschrijf_MKI_Totaal[[#Headers],[C4]],Database_Productkaarten[#All],14,FALSE),Baseline_Backlog!O47)*Optimalisatie!J49,0))</f>
        <v>0</v>
      </c>
      <c r="P47" s="9">
        <f>(IF(Optimalisatie!C49="Bestaande Situatie",_xlfn.IFNA(IF(Optimalisatie!E49="Categorie_1_LCA_Producten",VLOOKUP(Inschrijf_MKI_Totaal[[#This Row],[Product]],Categorie_1_Producten[#All],12,FALSE)*(Optimalisatie!J49),VLOOKUP(Inschrijf_MKI_Totaal[[#This Row],[Product]]&amp;", "&amp;Inschrijf_MKI_Totaal[[#Headers],[D1]],Database_Productkaarten[#All],14,FALSE)*Optimalisatie!J49),Baseline_Backlog!P47),0))</f>
        <v>0</v>
      </c>
      <c r="Q47" s="9">
        <f>(IF(Optimalisatie!C49="Bestaande Situatie",_xlfn.IFNA(IF(Optimalisatie!E49="Categorie_1_LCA_Producten",VLOOKUP(Inschrijf_MKI_Totaal[[#This Row],[Product]],Categorie_1_Producten[#All],13,FALSE)*(Optimalisatie!J49),VLOOKUP(Inschrijf_MKI_Totaal[[#This Row],[Product]]&amp;", "&amp;Inschrijf_MKI_Totaal[[#Headers],[D2]],Database_Productkaarten[#All],14,FALSE)*Optimalisatie!J49),Baseline_Backlog!Q47),0))</f>
        <v>0</v>
      </c>
      <c r="R47" s="9">
        <f>(IF(Optimalisatie!C49="Bestaande Situatie",_xlfn.IFNA(IF(Optimalisatie!E49="Categorie_1_LCA_Producten",VLOOKUP(Inschrijf_MKI_Totaal[[#This Row],[Product]],Categorie_1_Producten[#All],13,FALSE)*(Optimalisatie!J49),VLOOKUP(Inschrijf_MKI_Totaal[[#This Row],[Product]]&amp;", "&amp;Inschrijf_MKI_Totaal[[#Headers],[D]],Database_Productkaarten[#All],14,FALSE)*Optimalisatie!J49),Baseline_Backlog!S47),0))</f>
        <v>0</v>
      </c>
      <c r="S47" s="301">
        <f>SUM(Inschrijf_MKI_Totaal[[#This Row],[A1-A3]:[C4]])+Inschrijf_MKI_Totaal[[#This Row],[D]]</f>
        <v>0</v>
      </c>
      <c r="AA47" s="9">
        <f>_xlfn.IFNA((VLOOKUP(Optimalisatie!AA49,Database_Asfalt_Verwijderset[#All],7,FALSE)*Optimalisatie!J49),0)</f>
        <v>0</v>
      </c>
      <c r="AB47" s="9" t="e">
        <f>(VLOOKUP(Optimalisatie!AA49,Database_Asfalt_Verwijderset[#All],7,FALSE)*Optimalisatie!J49)</f>
        <v>#N/A</v>
      </c>
      <c r="AC47" s="332">
        <f>(_xlfn.IFNA(VLOOKUP(Inschrijf_MKI_Totaal[[#This Row],[Product]]&amp;", "&amp;Inschrijf_MKI_Totaal[[#Headers],[C1]],Database_Productkaarten[#All],14,FALSE),0)*Optimalisatie!J49)</f>
        <v>0</v>
      </c>
    </row>
    <row r="48" spans="2:29" hidden="1">
      <c r="B48" s="272">
        <f>Optimalisatie!B50</f>
        <v>0</v>
      </c>
      <c r="C48" s="9">
        <f>Optimalisatie!F50</f>
        <v>0</v>
      </c>
      <c r="D48" s="9">
        <f>(IF(Optimalisatie!C50="Nieuwe Situatie",_xlfn.IFNA(IF(Optimalisatie!E50="Categorie_1_LCA_Producten",VLOOKUP(Inschrijf_MKI_Totaal[[#This Row],[Product]],Categorie_1_Producten[#All],8,FALSE)*(Optimalisatie!J50),VLOOKUP(Inschrijf_MKI_Totaal[[#This Row],[Product]]&amp;", "&amp;Inschrijf_MKI_Totaal[[#Headers],[A1]],Database_Productkaarten[#All],14,FALSE)*Optimalisatie!J50),Baseline_Backlog!D48),0))</f>
        <v>0</v>
      </c>
      <c r="E48" s="9">
        <f>(IF(Optimalisatie!C50="Nieuwe Situatie",_xlfn.IFNA(IF(Optimalisatie!E50="Categorie_1_LCA_Producten",VLOOKUP(Inschrijf_MKI_Totaal[[#This Row],[Product]],Categorie_1_Producten[#All],9,FALSE)*(Optimalisatie!J50),VLOOKUP(Inschrijf_MKI_Totaal[[#This Row],[Product]]&amp;", "&amp;Inschrijf_MKI_Totaal[[#Headers],[A2]],Database_Productkaarten[#All],14,FALSE)*Optimalisatie!J50),Baseline_Backlog!E48),0))</f>
        <v>0</v>
      </c>
      <c r="F48" s="9">
        <f>(IF(Optimalisatie!C50="Nieuwe Situatie",_xlfn.IFNA(IF(Optimalisatie!E50="Categorie_1_LCA_Producten",VLOOKUP(Inschrijf_MKI_Totaal[[#This Row],[Product]],Categorie_1_Producten[#All],10,FALSE)*(Optimalisatie!J50),VLOOKUP(Inschrijf_MKI_Totaal[[#This Row],[Product]]&amp;", "&amp;Inschrijf_MKI_Totaal[[#Headers],[A3]],Database_Productkaarten[#All],14,FALSE)*Optimalisatie!J50),Baseline_Backlog!F48),0))</f>
        <v>0</v>
      </c>
      <c r="G48" s="9">
        <f>(IF(Optimalisatie!C50="Nieuwe Situatie",_xlfn.IFNA(IF(Optimalisatie!E50="Categorie_1_LCA_Producten",VLOOKUP(Inschrijf_MKI_Totaal[[#This Row],[Product]],Categorie_1_Producten[#All],11,FALSE)*(Optimalisatie!J50),VLOOKUP(Inschrijf_MKI_Totaal[[#This Row],[Product]]&amp;", "&amp;Inschrijf_MKI_Totaal[[#Headers],[A1-A3]],Database_Productkaarten[#All],14,FALSE)*Optimalisatie!J50),Baseline_Backlog!G48),0))</f>
        <v>0</v>
      </c>
      <c r="H48" s="9">
        <f>(IF(Optimalisatie!C50="Nieuwe Situatie",_xlfn.IFNA(VLOOKUP(Optimalisatie!V50,Database_Transport[#All],7,FALSE)*((IF(Optimalisatie!R50=0,Baseline!Q50,Optimalisatie!R50))*Optimalisatie!U50),Baseline_Backlog!H48),0))</f>
        <v>0</v>
      </c>
      <c r="I48" s="9">
        <f>IF(Optimalisatie!C50="Nieuwe situatie",IF(_xlfn.IFNA((VLOOKUP(Optimalisatie!W50,Database_Asfalt_Aanlegset[#All],7,FALSE)*Optimalisatie!J50),0)+_xlfn.IFNA(VLOOKUP(Optimalisatie!X50,Database_Brandstoffen[#All],7,FALSE)*((Optimalisatie!J50/Optimalisatie!Z50)*Optimalisatie!Y50),0)&gt;0,_xlfn.IFNA((VLOOKUP(Optimalisatie!W50,Database_Asfalt_Aanlegset[#All],7,FALSE)*Optimalisatie!J50),0)+_xlfn.IFNA(VLOOKUP(Optimalisatie!X50,Database_Brandstoffen[#All],7,FALSE)*((Optimalisatie!J50/Optimalisatie!Z50)*Optimalisatie!Y50),0),(_xlfn.IFNA(VLOOKUP(Inschrijf_MKI_Totaal[[#This Row],[Product]]&amp;", "&amp;Inschrijf_MKI_Totaal[[#Headers],[A5]],Database_Productkaarten[#All],14,FALSE),0)*Optimalisatie!J50)),0)</f>
        <v>0</v>
      </c>
      <c r="J48" s="9"/>
      <c r="K48" s="9">
        <f>(IF(Optimalisatie!C50="Nieuwe Situatie",_xlfn.IFNA(SUM(Inschrijf_MKI_Totaal[[#This Row],[A1]:[B1]],Inschrijf_MKI_Totaal[[#This Row],[C1]:[D2]])*Optimalisatie!T50,0),0))</f>
        <v>0</v>
      </c>
      <c r="L48" s="9">
        <f>IF(Optimalisatie!C50="Bestaande situatie",IF(_xlfn.IFNA((VLOOKUP(Optimalisatie!AA50,Database_Asfalt_Verwijderset[#All],7,FALSE)*Optimalisatie!J50),0)+_xlfn.IFNA(VLOOKUP(Optimalisatie!AB50,Database_Brandstoffen[#All],7,FALSE)*((Optimalisatie!J50/Optimalisatie!AD50)*Optimalisatie!AC50),0)&gt;0,_xlfn.IFNA((VLOOKUP(Optimalisatie!AA50,Database_Asfalt_Verwijderset[#All],7,FALSE)*Optimalisatie!J50),0)+_xlfn.IFNA(VLOOKUP(Optimalisatie!AB50,Database_Brandstoffen[#All],7,FALSE)*((Optimalisatie!J50/Optimalisatie!AD50)*Optimalisatie!AC50),0),(_xlfn.IFNA(VLOOKUP(Inschrijf_MKI_Totaal[[#This Row],[Product]]&amp;", "&amp;Inschrijf_MKI_Totaal[[#Headers],[C1]],Database_Productkaarten[#All],14,FALSE),0)*Optimalisatie!J50)),0)</f>
        <v>0</v>
      </c>
      <c r="M48" s="9">
        <f>(IF(Optimalisatie!C50="Bestaande Situatie",_xlfn.IFNA(VLOOKUP(Optimalisatie!AF50,Database_Transport[#All],7,FALSE)*(Optimalisatie!R50*Optimalisatie!AE50),Baseline_Backlog!M48),0))</f>
        <v>0</v>
      </c>
      <c r="N48" s="9">
        <f>(IF(Optimalisatie!C50="Bestaande Situatie",_xlfn.IFNA(VLOOKUP(Optimalisatie!AG50,Database_Asfalt_Verwerkingsset[#All],7,FALSE)*(Optimalisatie!J50/VLOOKUP(Optimalisatie!AG50,Database_Asfalt_Verwerkingsset[#All],8,FALSE)),Baseline_Backlog!N48),0))</f>
        <v>0</v>
      </c>
      <c r="O48" s="9">
        <f>(IF(Optimalisatie!C50="Bestaande Situatie",_xlfn.IFNA(VLOOKUP(Inschrijf_MKI_Totaal[[#This Row],[Product]]&amp;", "&amp;Inschrijf_MKI_Totaal[[#Headers],[C4]],Database_Productkaarten[#All],14,FALSE),Baseline_Backlog!O48)*Optimalisatie!J50,0))</f>
        <v>0</v>
      </c>
      <c r="P48" s="9">
        <f>(IF(Optimalisatie!C50="Bestaande Situatie",_xlfn.IFNA(IF(Optimalisatie!E50="Categorie_1_LCA_Producten",VLOOKUP(Inschrijf_MKI_Totaal[[#This Row],[Product]],Categorie_1_Producten[#All],12,FALSE)*(Optimalisatie!J50),VLOOKUP(Inschrijf_MKI_Totaal[[#This Row],[Product]]&amp;", "&amp;Inschrijf_MKI_Totaal[[#Headers],[D1]],Database_Productkaarten[#All],14,FALSE)*Optimalisatie!J50),Baseline_Backlog!P48),0))</f>
        <v>0</v>
      </c>
      <c r="Q48" s="9">
        <f>(IF(Optimalisatie!C50="Bestaande Situatie",_xlfn.IFNA(IF(Optimalisatie!E50="Categorie_1_LCA_Producten",VLOOKUP(Inschrijf_MKI_Totaal[[#This Row],[Product]],Categorie_1_Producten[#All],13,FALSE)*(Optimalisatie!J50),VLOOKUP(Inschrijf_MKI_Totaal[[#This Row],[Product]]&amp;", "&amp;Inschrijf_MKI_Totaal[[#Headers],[D2]],Database_Productkaarten[#All],14,FALSE)*Optimalisatie!J50),Baseline_Backlog!Q48),0))</f>
        <v>0</v>
      </c>
      <c r="R48" s="9">
        <f>(IF(Optimalisatie!C50="Bestaande Situatie",_xlfn.IFNA(IF(Optimalisatie!E50="Categorie_1_LCA_Producten",VLOOKUP(Inschrijf_MKI_Totaal[[#This Row],[Product]],Categorie_1_Producten[#All],13,FALSE)*(Optimalisatie!J50),VLOOKUP(Inschrijf_MKI_Totaal[[#This Row],[Product]]&amp;", "&amp;Inschrijf_MKI_Totaal[[#Headers],[D]],Database_Productkaarten[#All],14,FALSE)*Optimalisatie!J50),Baseline_Backlog!S48),0))</f>
        <v>0</v>
      </c>
      <c r="S48" s="301">
        <f>SUM(Inschrijf_MKI_Totaal[[#This Row],[A1-A3]:[C4]])+Inschrijf_MKI_Totaal[[#This Row],[D]]</f>
        <v>0</v>
      </c>
      <c r="AA48" s="9">
        <f>_xlfn.IFNA((VLOOKUP(Optimalisatie!AA50,Database_Asfalt_Verwijderset[#All],7,FALSE)*Optimalisatie!J50),0)</f>
        <v>0</v>
      </c>
      <c r="AB48" s="9" t="e">
        <f>(VLOOKUP(Optimalisatie!AA50,Database_Asfalt_Verwijderset[#All],7,FALSE)*Optimalisatie!J50)</f>
        <v>#N/A</v>
      </c>
      <c r="AC48" s="332">
        <f>(_xlfn.IFNA(VLOOKUP(Inschrijf_MKI_Totaal[[#This Row],[Product]]&amp;", "&amp;Inschrijf_MKI_Totaal[[#Headers],[C1]],Database_Productkaarten[#All],14,FALSE),0)*Optimalisatie!J50)</f>
        <v>0</v>
      </c>
    </row>
    <row r="49" spans="2:29" hidden="1">
      <c r="B49" s="272">
        <f>Optimalisatie!B51</f>
        <v>0</v>
      </c>
      <c r="C49" s="9">
        <f>Optimalisatie!F51</f>
        <v>0</v>
      </c>
      <c r="D49" s="9">
        <f>(IF(Optimalisatie!C51="Nieuwe Situatie",_xlfn.IFNA(IF(Optimalisatie!E51="Categorie_1_LCA_Producten",VLOOKUP(Inschrijf_MKI_Totaal[[#This Row],[Product]],Categorie_1_Producten[#All],8,FALSE)*(Optimalisatie!J51),VLOOKUP(Inschrijf_MKI_Totaal[[#This Row],[Product]]&amp;", "&amp;Inschrijf_MKI_Totaal[[#Headers],[A1]],Database_Productkaarten[#All],14,FALSE)*Optimalisatie!J51),Baseline_Backlog!D49),0))</f>
        <v>0</v>
      </c>
      <c r="E49" s="9">
        <f>(IF(Optimalisatie!C51="Nieuwe Situatie",_xlfn.IFNA(IF(Optimalisatie!E51="Categorie_1_LCA_Producten",VLOOKUP(Inschrijf_MKI_Totaal[[#This Row],[Product]],Categorie_1_Producten[#All],9,FALSE)*(Optimalisatie!J51),VLOOKUP(Inschrijf_MKI_Totaal[[#This Row],[Product]]&amp;", "&amp;Inschrijf_MKI_Totaal[[#Headers],[A2]],Database_Productkaarten[#All],14,FALSE)*Optimalisatie!J51),Baseline_Backlog!E49),0))</f>
        <v>0</v>
      </c>
      <c r="F49" s="9">
        <f>(IF(Optimalisatie!C51="Nieuwe Situatie",_xlfn.IFNA(IF(Optimalisatie!E51="Categorie_1_LCA_Producten",VLOOKUP(Inschrijf_MKI_Totaal[[#This Row],[Product]],Categorie_1_Producten[#All],10,FALSE)*(Optimalisatie!J51),VLOOKUP(Inschrijf_MKI_Totaal[[#This Row],[Product]]&amp;", "&amp;Inschrijf_MKI_Totaal[[#Headers],[A3]],Database_Productkaarten[#All],14,FALSE)*Optimalisatie!J51),Baseline_Backlog!F49),0))</f>
        <v>0</v>
      </c>
      <c r="G49" s="9">
        <f>(IF(Optimalisatie!C51="Nieuwe Situatie",_xlfn.IFNA(IF(Optimalisatie!E51="Categorie_1_LCA_Producten",VLOOKUP(Inschrijf_MKI_Totaal[[#This Row],[Product]],Categorie_1_Producten[#All],11,FALSE)*(Optimalisatie!J51),VLOOKUP(Inschrijf_MKI_Totaal[[#This Row],[Product]]&amp;", "&amp;Inschrijf_MKI_Totaal[[#Headers],[A1-A3]],Database_Productkaarten[#All],14,FALSE)*Optimalisatie!J51),Baseline_Backlog!G49),0))</f>
        <v>0</v>
      </c>
      <c r="H49" s="9">
        <f>(IF(Optimalisatie!C51="Nieuwe Situatie",_xlfn.IFNA(VLOOKUP(Optimalisatie!V51,Database_Transport[#All],7,FALSE)*((IF(Optimalisatie!R51=0,Baseline!Q51,Optimalisatie!R51))*Optimalisatie!U51),Baseline_Backlog!H49),0))</f>
        <v>0</v>
      </c>
      <c r="I49" s="9">
        <f>IF(Optimalisatie!C51="Nieuwe situatie",IF(_xlfn.IFNA((VLOOKUP(Optimalisatie!W51,Database_Asfalt_Aanlegset[#All],7,FALSE)*Optimalisatie!J51),0)+_xlfn.IFNA(VLOOKUP(Optimalisatie!X51,Database_Brandstoffen[#All],7,FALSE)*((Optimalisatie!J51/Optimalisatie!Z51)*Optimalisatie!Y51),0)&gt;0,_xlfn.IFNA((VLOOKUP(Optimalisatie!W51,Database_Asfalt_Aanlegset[#All],7,FALSE)*Optimalisatie!J51),0)+_xlfn.IFNA(VLOOKUP(Optimalisatie!X51,Database_Brandstoffen[#All],7,FALSE)*((Optimalisatie!J51/Optimalisatie!Z51)*Optimalisatie!Y51),0),(_xlfn.IFNA(VLOOKUP(Inschrijf_MKI_Totaal[[#This Row],[Product]]&amp;", "&amp;Inschrijf_MKI_Totaal[[#Headers],[A5]],Database_Productkaarten[#All],14,FALSE),0)*Optimalisatie!J51)),0)</f>
        <v>0</v>
      </c>
      <c r="J49" s="9"/>
      <c r="K49" s="9">
        <f>(IF(Optimalisatie!C51="Nieuwe Situatie",_xlfn.IFNA(SUM(Inschrijf_MKI_Totaal[[#This Row],[A1]:[B1]],Inschrijf_MKI_Totaal[[#This Row],[C1]:[D2]])*Optimalisatie!T51,0),0))</f>
        <v>0</v>
      </c>
      <c r="L49" s="9">
        <f>IF(Optimalisatie!C51="Bestaande situatie",IF(_xlfn.IFNA((VLOOKUP(Optimalisatie!AA51,Database_Asfalt_Verwijderset[#All],7,FALSE)*Optimalisatie!J51),0)+_xlfn.IFNA(VLOOKUP(Optimalisatie!AB51,Database_Brandstoffen[#All],7,FALSE)*((Optimalisatie!J51/Optimalisatie!AD51)*Optimalisatie!AC51),0)&gt;0,_xlfn.IFNA((VLOOKUP(Optimalisatie!AA51,Database_Asfalt_Verwijderset[#All],7,FALSE)*Optimalisatie!J51),0)+_xlfn.IFNA(VLOOKUP(Optimalisatie!AB51,Database_Brandstoffen[#All],7,FALSE)*((Optimalisatie!J51/Optimalisatie!AD51)*Optimalisatie!AC51),0),(_xlfn.IFNA(VLOOKUP(Inschrijf_MKI_Totaal[[#This Row],[Product]]&amp;", "&amp;Inschrijf_MKI_Totaal[[#Headers],[C1]],Database_Productkaarten[#All],14,FALSE),0)*Optimalisatie!J51)),0)</f>
        <v>0</v>
      </c>
      <c r="M49" s="9">
        <f>(IF(Optimalisatie!C51="Bestaande Situatie",_xlfn.IFNA(VLOOKUP(Optimalisatie!AF51,Database_Transport[#All],7,FALSE)*(Optimalisatie!R51*Optimalisatie!AE51),Baseline_Backlog!M49),0))</f>
        <v>0</v>
      </c>
      <c r="N49" s="9">
        <f>(IF(Optimalisatie!C51="Bestaande Situatie",_xlfn.IFNA(VLOOKUP(Optimalisatie!AG51,Database_Asfalt_Verwerkingsset[#All],7,FALSE)*(Optimalisatie!J51/VLOOKUP(Optimalisatie!AG51,Database_Asfalt_Verwerkingsset[#All],8,FALSE)),Baseline_Backlog!N49),0))</f>
        <v>0</v>
      </c>
      <c r="O49" s="9">
        <f>(IF(Optimalisatie!C51="Bestaande Situatie",_xlfn.IFNA(VLOOKUP(Inschrijf_MKI_Totaal[[#This Row],[Product]]&amp;", "&amp;Inschrijf_MKI_Totaal[[#Headers],[C4]],Database_Productkaarten[#All],14,FALSE),Baseline_Backlog!O49)*Optimalisatie!J51,0))</f>
        <v>0</v>
      </c>
      <c r="P49" s="9">
        <f>(IF(Optimalisatie!C51="Bestaande Situatie",_xlfn.IFNA(IF(Optimalisatie!E51="Categorie_1_LCA_Producten",VLOOKUP(Inschrijf_MKI_Totaal[[#This Row],[Product]],Categorie_1_Producten[#All],12,FALSE)*(Optimalisatie!J51),VLOOKUP(Inschrijf_MKI_Totaal[[#This Row],[Product]]&amp;", "&amp;Inschrijf_MKI_Totaal[[#Headers],[D1]],Database_Productkaarten[#All],14,FALSE)*Optimalisatie!J51),Baseline_Backlog!P49),0))</f>
        <v>0</v>
      </c>
      <c r="Q49" s="9">
        <f>(IF(Optimalisatie!C51="Bestaande Situatie",_xlfn.IFNA(IF(Optimalisatie!E51="Categorie_1_LCA_Producten",VLOOKUP(Inschrijf_MKI_Totaal[[#This Row],[Product]],Categorie_1_Producten[#All],13,FALSE)*(Optimalisatie!J51),VLOOKUP(Inschrijf_MKI_Totaal[[#This Row],[Product]]&amp;", "&amp;Inschrijf_MKI_Totaal[[#Headers],[D2]],Database_Productkaarten[#All],14,FALSE)*Optimalisatie!J51),Baseline_Backlog!Q49),0))</f>
        <v>0</v>
      </c>
      <c r="R49" s="9">
        <f>(IF(Optimalisatie!C51="Bestaande Situatie",_xlfn.IFNA(IF(Optimalisatie!E51="Categorie_1_LCA_Producten",VLOOKUP(Inschrijf_MKI_Totaal[[#This Row],[Product]],Categorie_1_Producten[#All],13,FALSE)*(Optimalisatie!J51),VLOOKUP(Inschrijf_MKI_Totaal[[#This Row],[Product]]&amp;", "&amp;Inschrijf_MKI_Totaal[[#Headers],[D]],Database_Productkaarten[#All],14,FALSE)*Optimalisatie!J51),Baseline_Backlog!S49),0))</f>
        <v>0</v>
      </c>
      <c r="S49" s="301">
        <f>SUM(Inschrijf_MKI_Totaal[[#This Row],[A1-A3]:[C4]])+Inschrijf_MKI_Totaal[[#This Row],[D]]</f>
        <v>0</v>
      </c>
      <c r="AA49" s="9">
        <f>_xlfn.IFNA((VLOOKUP(Optimalisatie!AA51,Database_Asfalt_Verwijderset[#All],7,FALSE)*Optimalisatie!J51),0)</f>
        <v>0</v>
      </c>
      <c r="AB49" s="9" t="e">
        <f>(VLOOKUP(Optimalisatie!AA51,Database_Asfalt_Verwijderset[#All],7,FALSE)*Optimalisatie!J51)</f>
        <v>#N/A</v>
      </c>
      <c r="AC49" s="332">
        <f>(_xlfn.IFNA(VLOOKUP(Inschrijf_MKI_Totaal[[#This Row],[Product]]&amp;", "&amp;Inschrijf_MKI_Totaal[[#Headers],[C1]],Database_Productkaarten[#All],14,FALSE),0)*Optimalisatie!J51)</f>
        <v>0</v>
      </c>
    </row>
    <row r="50" spans="2:29" hidden="1">
      <c r="B50" s="272">
        <f>Optimalisatie!B52</f>
        <v>0</v>
      </c>
      <c r="C50" s="9">
        <f>Optimalisatie!F52</f>
        <v>0</v>
      </c>
      <c r="D50" s="9">
        <f>(IF(Optimalisatie!C52="Nieuwe Situatie",_xlfn.IFNA(IF(Optimalisatie!E52="Categorie_1_LCA_Producten",VLOOKUP(Inschrijf_MKI_Totaal[[#This Row],[Product]],Categorie_1_Producten[#All],8,FALSE)*(Optimalisatie!J52),VLOOKUP(Inschrijf_MKI_Totaal[[#This Row],[Product]]&amp;", "&amp;Inschrijf_MKI_Totaal[[#Headers],[A1]],Database_Productkaarten[#All],14,FALSE)*Optimalisatie!J52),Baseline_Backlog!D50),0))</f>
        <v>0</v>
      </c>
      <c r="E50" s="9">
        <f>(IF(Optimalisatie!C52="Nieuwe Situatie",_xlfn.IFNA(IF(Optimalisatie!E52="Categorie_1_LCA_Producten",VLOOKUP(Inschrijf_MKI_Totaal[[#This Row],[Product]],Categorie_1_Producten[#All],9,FALSE)*(Optimalisatie!J52),VLOOKUP(Inschrijf_MKI_Totaal[[#This Row],[Product]]&amp;", "&amp;Inschrijf_MKI_Totaal[[#Headers],[A2]],Database_Productkaarten[#All],14,FALSE)*Optimalisatie!J52),Baseline_Backlog!E50),0))</f>
        <v>0</v>
      </c>
      <c r="F50" s="9">
        <f>(IF(Optimalisatie!C52="Nieuwe Situatie",_xlfn.IFNA(IF(Optimalisatie!E52="Categorie_1_LCA_Producten",VLOOKUP(Inschrijf_MKI_Totaal[[#This Row],[Product]],Categorie_1_Producten[#All],10,FALSE)*(Optimalisatie!J52),VLOOKUP(Inschrijf_MKI_Totaal[[#This Row],[Product]]&amp;", "&amp;Inschrijf_MKI_Totaal[[#Headers],[A3]],Database_Productkaarten[#All],14,FALSE)*Optimalisatie!J52),Baseline_Backlog!F50),0))</f>
        <v>0</v>
      </c>
      <c r="G50" s="9">
        <f>(IF(Optimalisatie!C52="Nieuwe Situatie",_xlfn.IFNA(IF(Optimalisatie!E52="Categorie_1_LCA_Producten",VLOOKUP(Inschrijf_MKI_Totaal[[#This Row],[Product]],Categorie_1_Producten[#All],11,FALSE)*(Optimalisatie!J52),VLOOKUP(Inschrijf_MKI_Totaal[[#This Row],[Product]]&amp;", "&amp;Inschrijf_MKI_Totaal[[#Headers],[A1-A3]],Database_Productkaarten[#All],14,FALSE)*Optimalisatie!J52),Baseline_Backlog!G50),0))</f>
        <v>0</v>
      </c>
      <c r="H50" s="9">
        <f>(IF(Optimalisatie!C52="Nieuwe Situatie",_xlfn.IFNA(VLOOKUP(Optimalisatie!V52,Database_Transport[#All],7,FALSE)*((IF(Optimalisatie!R52=0,Baseline!Q52,Optimalisatie!R52))*Optimalisatie!U52),Baseline_Backlog!H50),0))</f>
        <v>0</v>
      </c>
      <c r="I50" s="9">
        <f>IF(Optimalisatie!C52="Nieuwe situatie",IF(_xlfn.IFNA((VLOOKUP(Optimalisatie!W52,Database_Asfalt_Aanlegset[#All],7,FALSE)*Optimalisatie!J52),0)+_xlfn.IFNA(VLOOKUP(Optimalisatie!X52,Database_Brandstoffen[#All],7,FALSE)*((Optimalisatie!J52/Optimalisatie!Z52)*Optimalisatie!Y52),0)&gt;0,_xlfn.IFNA((VLOOKUP(Optimalisatie!W52,Database_Asfalt_Aanlegset[#All],7,FALSE)*Optimalisatie!J52),0)+_xlfn.IFNA(VLOOKUP(Optimalisatie!X52,Database_Brandstoffen[#All],7,FALSE)*((Optimalisatie!J52/Optimalisatie!Z52)*Optimalisatie!Y52),0),(_xlfn.IFNA(VLOOKUP(Inschrijf_MKI_Totaal[[#This Row],[Product]]&amp;", "&amp;Inschrijf_MKI_Totaal[[#Headers],[A5]],Database_Productkaarten[#All],14,FALSE),0)*Optimalisatie!J52)),0)</f>
        <v>0</v>
      </c>
      <c r="J50" s="9"/>
      <c r="K50" s="9">
        <f>(IF(Optimalisatie!C52="Nieuwe Situatie",_xlfn.IFNA(SUM(Inschrijf_MKI_Totaal[[#This Row],[A1]:[B1]],Inschrijf_MKI_Totaal[[#This Row],[C1]:[D2]])*Optimalisatie!T52,0),0))</f>
        <v>0</v>
      </c>
      <c r="L50" s="9">
        <f>IF(Optimalisatie!C52="Bestaande situatie",IF(_xlfn.IFNA((VLOOKUP(Optimalisatie!AA52,Database_Asfalt_Verwijderset[#All],7,FALSE)*Optimalisatie!J52),0)+_xlfn.IFNA(VLOOKUP(Optimalisatie!AB52,Database_Brandstoffen[#All],7,FALSE)*((Optimalisatie!J52/Optimalisatie!AD52)*Optimalisatie!AC52),0)&gt;0,_xlfn.IFNA((VLOOKUP(Optimalisatie!AA52,Database_Asfalt_Verwijderset[#All],7,FALSE)*Optimalisatie!J52),0)+_xlfn.IFNA(VLOOKUP(Optimalisatie!AB52,Database_Brandstoffen[#All],7,FALSE)*((Optimalisatie!J52/Optimalisatie!AD52)*Optimalisatie!AC52),0),(_xlfn.IFNA(VLOOKUP(Inschrijf_MKI_Totaal[[#This Row],[Product]]&amp;", "&amp;Inschrijf_MKI_Totaal[[#Headers],[C1]],Database_Productkaarten[#All],14,FALSE),0)*Optimalisatie!J52)),0)</f>
        <v>0</v>
      </c>
      <c r="M50" s="9">
        <f>(IF(Optimalisatie!C52="Bestaande Situatie",_xlfn.IFNA(VLOOKUP(Optimalisatie!AF52,Database_Transport[#All],7,FALSE)*(Optimalisatie!R52*Optimalisatie!AE52),Baseline_Backlog!M50),0))</f>
        <v>0</v>
      </c>
      <c r="N50" s="9">
        <f>(IF(Optimalisatie!C52="Bestaande Situatie",_xlfn.IFNA(VLOOKUP(Optimalisatie!AG52,Database_Asfalt_Verwerkingsset[#All],7,FALSE)*(Optimalisatie!J52/VLOOKUP(Optimalisatie!AG52,Database_Asfalt_Verwerkingsset[#All],8,FALSE)),Baseline_Backlog!N50),0))</f>
        <v>0</v>
      </c>
      <c r="O50" s="9">
        <f>(IF(Optimalisatie!C52="Bestaande Situatie",_xlfn.IFNA(VLOOKUP(Inschrijf_MKI_Totaal[[#This Row],[Product]]&amp;", "&amp;Inschrijf_MKI_Totaal[[#Headers],[C4]],Database_Productkaarten[#All],14,FALSE),Baseline_Backlog!O50)*Optimalisatie!J52,0))</f>
        <v>0</v>
      </c>
      <c r="P50" s="9">
        <f>(IF(Optimalisatie!C52="Bestaande Situatie",_xlfn.IFNA(IF(Optimalisatie!E52="Categorie_1_LCA_Producten",VLOOKUP(Inschrijf_MKI_Totaal[[#This Row],[Product]],Categorie_1_Producten[#All],12,FALSE)*(Optimalisatie!J52),VLOOKUP(Inschrijf_MKI_Totaal[[#This Row],[Product]]&amp;", "&amp;Inschrijf_MKI_Totaal[[#Headers],[D1]],Database_Productkaarten[#All],14,FALSE)*Optimalisatie!J52),Baseline_Backlog!P50),0))</f>
        <v>0</v>
      </c>
      <c r="Q50" s="9">
        <f>(IF(Optimalisatie!C52="Bestaande Situatie",_xlfn.IFNA(IF(Optimalisatie!E52="Categorie_1_LCA_Producten",VLOOKUP(Inschrijf_MKI_Totaal[[#This Row],[Product]],Categorie_1_Producten[#All],13,FALSE)*(Optimalisatie!J52),VLOOKUP(Inschrijf_MKI_Totaal[[#This Row],[Product]]&amp;", "&amp;Inschrijf_MKI_Totaal[[#Headers],[D2]],Database_Productkaarten[#All],14,FALSE)*Optimalisatie!J52),Baseline_Backlog!Q50),0))</f>
        <v>0</v>
      </c>
      <c r="R50" s="9">
        <f>(IF(Optimalisatie!C52="Bestaande Situatie",_xlfn.IFNA(IF(Optimalisatie!E52="Categorie_1_LCA_Producten",VLOOKUP(Inschrijf_MKI_Totaal[[#This Row],[Product]],Categorie_1_Producten[#All],13,FALSE)*(Optimalisatie!J52),VLOOKUP(Inschrijf_MKI_Totaal[[#This Row],[Product]]&amp;", "&amp;Inschrijf_MKI_Totaal[[#Headers],[D]],Database_Productkaarten[#All],14,FALSE)*Optimalisatie!J52),Baseline_Backlog!S50),0))</f>
        <v>0</v>
      </c>
      <c r="S50" s="301">
        <f>SUM(Inschrijf_MKI_Totaal[[#This Row],[A1-A3]:[C4]])+Inschrijf_MKI_Totaal[[#This Row],[D]]</f>
        <v>0</v>
      </c>
      <c r="AA50" s="9">
        <f>_xlfn.IFNA((VLOOKUP(Optimalisatie!AA52,Database_Asfalt_Verwijderset[#All],7,FALSE)*Optimalisatie!J52),0)</f>
        <v>0</v>
      </c>
      <c r="AB50" s="9" t="e">
        <f>(VLOOKUP(Optimalisatie!AA52,Database_Asfalt_Verwijderset[#All],7,FALSE)*Optimalisatie!J52)</f>
        <v>#N/A</v>
      </c>
      <c r="AC50" s="332">
        <f>(_xlfn.IFNA(VLOOKUP(Inschrijf_MKI_Totaal[[#This Row],[Product]]&amp;", "&amp;Inschrijf_MKI_Totaal[[#Headers],[C1]],Database_Productkaarten[#All],14,FALSE),0)*Optimalisatie!J52)</f>
        <v>0</v>
      </c>
    </row>
    <row r="51" spans="2:29" hidden="1">
      <c r="B51" s="272">
        <f>Optimalisatie!B53</f>
        <v>0</v>
      </c>
      <c r="C51" s="9">
        <f>Optimalisatie!F53</f>
        <v>0</v>
      </c>
      <c r="D51" s="9">
        <f>(IF(Optimalisatie!C53="Nieuwe Situatie",_xlfn.IFNA(IF(Optimalisatie!E53="Categorie_1_LCA_Producten",VLOOKUP(Inschrijf_MKI_Totaal[[#This Row],[Product]],Categorie_1_Producten[#All],8,FALSE)*(Optimalisatie!J53),VLOOKUP(Inschrijf_MKI_Totaal[[#This Row],[Product]]&amp;", "&amp;Inschrijf_MKI_Totaal[[#Headers],[A1]],Database_Productkaarten[#All],14,FALSE)*Optimalisatie!J53),Baseline_Backlog!D51),0))</f>
        <v>0</v>
      </c>
      <c r="E51" s="9">
        <f>(IF(Optimalisatie!C53="Nieuwe Situatie",_xlfn.IFNA(IF(Optimalisatie!E53="Categorie_1_LCA_Producten",VLOOKUP(Inschrijf_MKI_Totaal[[#This Row],[Product]],Categorie_1_Producten[#All],9,FALSE)*(Optimalisatie!J53),VLOOKUP(Inschrijf_MKI_Totaal[[#This Row],[Product]]&amp;", "&amp;Inschrijf_MKI_Totaal[[#Headers],[A2]],Database_Productkaarten[#All],14,FALSE)*Optimalisatie!J53),Baseline_Backlog!E51),0))</f>
        <v>0</v>
      </c>
      <c r="F51" s="9">
        <f>(IF(Optimalisatie!C53="Nieuwe Situatie",_xlfn.IFNA(IF(Optimalisatie!E53="Categorie_1_LCA_Producten",VLOOKUP(Inschrijf_MKI_Totaal[[#This Row],[Product]],Categorie_1_Producten[#All],10,FALSE)*(Optimalisatie!J53),VLOOKUP(Inschrijf_MKI_Totaal[[#This Row],[Product]]&amp;", "&amp;Inschrijf_MKI_Totaal[[#Headers],[A3]],Database_Productkaarten[#All],14,FALSE)*Optimalisatie!J53),Baseline_Backlog!F51),0))</f>
        <v>0</v>
      </c>
      <c r="G51" s="9">
        <f>(IF(Optimalisatie!C53="Nieuwe Situatie",_xlfn.IFNA(IF(Optimalisatie!E53="Categorie_1_LCA_Producten",VLOOKUP(Inschrijf_MKI_Totaal[[#This Row],[Product]],Categorie_1_Producten[#All],11,FALSE)*(Optimalisatie!J53),VLOOKUP(Inschrijf_MKI_Totaal[[#This Row],[Product]]&amp;", "&amp;Inschrijf_MKI_Totaal[[#Headers],[A1-A3]],Database_Productkaarten[#All],14,FALSE)*Optimalisatie!J53),Baseline_Backlog!G51),0))</f>
        <v>0</v>
      </c>
      <c r="H51" s="9">
        <f>(IF(Optimalisatie!C53="Nieuwe Situatie",_xlfn.IFNA(VLOOKUP(Optimalisatie!V53,Database_Transport[#All],7,FALSE)*((IF(Optimalisatie!R53=0,Baseline!Q53,Optimalisatie!R53))*Optimalisatie!U53),Baseline_Backlog!H51),0))</f>
        <v>0</v>
      </c>
      <c r="I51" s="9">
        <f>IF(Optimalisatie!C53="Nieuwe situatie",IF(_xlfn.IFNA((VLOOKUP(Optimalisatie!W53,Database_Asfalt_Aanlegset[#All],7,FALSE)*Optimalisatie!J53),0)+_xlfn.IFNA(VLOOKUP(Optimalisatie!X53,Database_Brandstoffen[#All],7,FALSE)*((Optimalisatie!J53/Optimalisatie!Z53)*Optimalisatie!Y53),0)&gt;0,_xlfn.IFNA((VLOOKUP(Optimalisatie!W53,Database_Asfalt_Aanlegset[#All],7,FALSE)*Optimalisatie!J53),0)+_xlfn.IFNA(VLOOKUP(Optimalisatie!X53,Database_Brandstoffen[#All],7,FALSE)*((Optimalisatie!J53/Optimalisatie!Z53)*Optimalisatie!Y53),0),(_xlfn.IFNA(VLOOKUP(Inschrijf_MKI_Totaal[[#This Row],[Product]]&amp;", "&amp;Inschrijf_MKI_Totaal[[#Headers],[A5]],Database_Productkaarten[#All],14,FALSE),0)*Optimalisatie!J53)),0)</f>
        <v>0</v>
      </c>
      <c r="J51" s="9"/>
      <c r="K51" s="9">
        <f>(IF(Optimalisatie!C53="Nieuwe Situatie",_xlfn.IFNA(SUM(Inschrijf_MKI_Totaal[[#This Row],[A1]:[B1]],Inschrijf_MKI_Totaal[[#This Row],[C1]:[D2]])*Optimalisatie!T53,0),0))</f>
        <v>0</v>
      </c>
      <c r="L51" s="9">
        <f>IF(Optimalisatie!C53="Bestaande situatie",IF(_xlfn.IFNA((VLOOKUP(Optimalisatie!AA53,Database_Asfalt_Verwijderset[#All],7,FALSE)*Optimalisatie!J53),0)+_xlfn.IFNA(VLOOKUP(Optimalisatie!AB53,Database_Brandstoffen[#All],7,FALSE)*((Optimalisatie!J53/Optimalisatie!AD53)*Optimalisatie!AC53),0)&gt;0,_xlfn.IFNA((VLOOKUP(Optimalisatie!AA53,Database_Asfalt_Verwijderset[#All],7,FALSE)*Optimalisatie!J53),0)+_xlfn.IFNA(VLOOKUP(Optimalisatie!AB53,Database_Brandstoffen[#All],7,FALSE)*((Optimalisatie!J53/Optimalisatie!AD53)*Optimalisatie!AC53),0),(_xlfn.IFNA(VLOOKUP(Inschrijf_MKI_Totaal[[#This Row],[Product]]&amp;", "&amp;Inschrijf_MKI_Totaal[[#Headers],[C1]],Database_Productkaarten[#All],14,FALSE),0)*Optimalisatie!J53)),0)</f>
        <v>0</v>
      </c>
      <c r="M51" s="9">
        <f>(IF(Optimalisatie!C53="Bestaande Situatie",_xlfn.IFNA(VLOOKUP(Optimalisatie!AF53,Database_Transport[#All],7,FALSE)*(Optimalisatie!R53*Optimalisatie!AE53),Baseline_Backlog!M51),0))</f>
        <v>0</v>
      </c>
      <c r="N51" s="9">
        <f>(IF(Optimalisatie!C53="Bestaande Situatie",_xlfn.IFNA(VLOOKUP(Optimalisatie!AG53,Database_Asfalt_Verwerkingsset[#All],7,FALSE)*(Optimalisatie!J53/VLOOKUP(Optimalisatie!AG53,Database_Asfalt_Verwerkingsset[#All],8,FALSE)),Baseline_Backlog!N51),0))</f>
        <v>0</v>
      </c>
      <c r="O51" s="9">
        <f>(IF(Optimalisatie!C53="Bestaande Situatie",_xlfn.IFNA(VLOOKUP(Inschrijf_MKI_Totaal[[#This Row],[Product]]&amp;", "&amp;Inschrijf_MKI_Totaal[[#Headers],[C4]],Database_Productkaarten[#All],14,FALSE),Baseline_Backlog!O51)*Optimalisatie!J53,0))</f>
        <v>0</v>
      </c>
      <c r="P51" s="9">
        <f>(IF(Optimalisatie!C53="Bestaande Situatie",_xlfn.IFNA(IF(Optimalisatie!E53="Categorie_1_LCA_Producten",VLOOKUP(Inschrijf_MKI_Totaal[[#This Row],[Product]],Categorie_1_Producten[#All],12,FALSE)*(Optimalisatie!J53),VLOOKUP(Inschrijf_MKI_Totaal[[#This Row],[Product]]&amp;", "&amp;Inschrijf_MKI_Totaal[[#Headers],[D1]],Database_Productkaarten[#All],14,FALSE)*Optimalisatie!J53),Baseline_Backlog!P51),0))</f>
        <v>0</v>
      </c>
      <c r="Q51" s="9">
        <f>(IF(Optimalisatie!C53="Bestaande Situatie",_xlfn.IFNA(IF(Optimalisatie!E53="Categorie_1_LCA_Producten",VLOOKUP(Inschrijf_MKI_Totaal[[#This Row],[Product]],Categorie_1_Producten[#All],13,FALSE)*(Optimalisatie!J53),VLOOKUP(Inschrijf_MKI_Totaal[[#This Row],[Product]]&amp;", "&amp;Inschrijf_MKI_Totaal[[#Headers],[D2]],Database_Productkaarten[#All],14,FALSE)*Optimalisatie!J53),Baseline_Backlog!Q51),0))</f>
        <v>0</v>
      </c>
      <c r="R51" s="9">
        <f>(IF(Optimalisatie!C53="Bestaande Situatie",_xlfn.IFNA(IF(Optimalisatie!E53="Categorie_1_LCA_Producten",VLOOKUP(Inschrijf_MKI_Totaal[[#This Row],[Product]],Categorie_1_Producten[#All],13,FALSE)*(Optimalisatie!J53),VLOOKUP(Inschrijf_MKI_Totaal[[#This Row],[Product]]&amp;", "&amp;Inschrijf_MKI_Totaal[[#Headers],[D]],Database_Productkaarten[#All],14,FALSE)*Optimalisatie!J53),Baseline_Backlog!S51),0))</f>
        <v>0</v>
      </c>
      <c r="S51" s="301">
        <f>SUM(Inschrijf_MKI_Totaal[[#This Row],[A1-A3]:[C4]])+Inschrijf_MKI_Totaal[[#This Row],[D]]</f>
        <v>0</v>
      </c>
      <c r="AA51" s="9">
        <f>_xlfn.IFNA((VLOOKUP(Optimalisatie!AA53,Database_Asfalt_Verwijderset[#All],7,FALSE)*Optimalisatie!J53),0)</f>
        <v>0</v>
      </c>
      <c r="AB51" s="9" t="e">
        <f>(VLOOKUP(Optimalisatie!AA53,Database_Asfalt_Verwijderset[#All],7,FALSE)*Optimalisatie!J53)</f>
        <v>#N/A</v>
      </c>
      <c r="AC51" s="332">
        <f>(_xlfn.IFNA(VLOOKUP(Inschrijf_MKI_Totaal[[#This Row],[Product]]&amp;", "&amp;Inschrijf_MKI_Totaal[[#Headers],[C1]],Database_Productkaarten[#All],14,FALSE),0)*Optimalisatie!J53)</f>
        <v>0</v>
      </c>
    </row>
    <row r="52" spans="2:29" hidden="1">
      <c r="B52" s="272">
        <f>Optimalisatie!B54</f>
        <v>0</v>
      </c>
      <c r="C52" s="9">
        <f>Optimalisatie!F54</f>
        <v>0</v>
      </c>
      <c r="D52" s="9">
        <f>(IF(Optimalisatie!C54="Nieuwe Situatie",_xlfn.IFNA(IF(Optimalisatie!E54="Categorie_1_LCA_Producten",VLOOKUP(Inschrijf_MKI_Totaal[[#This Row],[Product]],Categorie_1_Producten[#All],8,FALSE)*(Optimalisatie!J54),VLOOKUP(Inschrijf_MKI_Totaal[[#This Row],[Product]]&amp;", "&amp;Inschrijf_MKI_Totaal[[#Headers],[A1]],Database_Productkaarten[#All],14,FALSE)*Optimalisatie!J54),Baseline_Backlog!D52),0))</f>
        <v>0</v>
      </c>
      <c r="E52" s="9">
        <f>(IF(Optimalisatie!C54="Nieuwe Situatie",_xlfn.IFNA(IF(Optimalisatie!E54="Categorie_1_LCA_Producten",VLOOKUP(Inschrijf_MKI_Totaal[[#This Row],[Product]],Categorie_1_Producten[#All],9,FALSE)*(Optimalisatie!J54),VLOOKUP(Inschrijf_MKI_Totaal[[#This Row],[Product]]&amp;", "&amp;Inschrijf_MKI_Totaal[[#Headers],[A2]],Database_Productkaarten[#All],14,FALSE)*Optimalisatie!J54),Baseline_Backlog!E52),0))</f>
        <v>0</v>
      </c>
      <c r="F52" s="9">
        <f>(IF(Optimalisatie!C54="Nieuwe Situatie",_xlfn.IFNA(IF(Optimalisatie!E54="Categorie_1_LCA_Producten",VLOOKUP(Inschrijf_MKI_Totaal[[#This Row],[Product]],Categorie_1_Producten[#All],10,FALSE)*(Optimalisatie!J54),VLOOKUP(Inschrijf_MKI_Totaal[[#This Row],[Product]]&amp;", "&amp;Inschrijf_MKI_Totaal[[#Headers],[A3]],Database_Productkaarten[#All],14,FALSE)*Optimalisatie!J54),Baseline_Backlog!F52),0))</f>
        <v>0</v>
      </c>
      <c r="G52" s="9">
        <f>(IF(Optimalisatie!C54="Nieuwe Situatie",_xlfn.IFNA(IF(Optimalisatie!E54="Categorie_1_LCA_Producten",VLOOKUP(Inschrijf_MKI_Totaal[[#This Row],[Product]],Categorie_1_Producten[#All],11,FALSE)*(Optimalisatie!J54),VLOOKUP(Inschrijf_MKI_Totaal[[#This Row],[Product]]&amp;", "&amp;Inschrijf_MKI_Totaal[[#Headers],[A1-A3]],Database_Productkaarten[#All],14,FALSE)*Optimalisatie!J54),Baseline_Backlog!G52),0))</f>
        <v>0</v>
      </c>
      <c r="H52" s="9">
        <f>(IF(Optimalisatie!C54="Nieuwe Situatie",_xlfn.IFNA(VLOOKUP(Optimalisatie!V54,Database_Transport[#All],7,FALSE)*((IF(Optimalisatie!R54=0,Baseline!Q54,Optimalisatie!R54))*Optimalisatie!U54),Baseline_Backlog!H52),0))</f>
        <v>0</v>
      </c>
      <c r="I52" s="9">
        <f>IF(Optimalisatie!C54="Nieuwe situatie",IF(_xlfn.IFNA((VLOOKUP(Optimalisatie!W54,Database_Asfalt_Aanlegset[#All],7,FALSE)*Optimalisatie!J54),0)+_xlfn.IFNA(VLOOKUP(Optimalisatie!X54,Database_Brandstoffen[#All],7,FALSE)*((Optimalisatie!J54/Optimalisatie!Z54)*Optimalisatie!Y54),0)&gt;0,_xlfn.IFNA((VLOOKUP(Optimalisatie!W54,Database_Asfalt_Aanlegset[#All],7,FALSE)*Optimalisatie!J54),0)+_xlfn.IFNA(VLOOKUP(Optimalisatie!X54,Database_Brandstoffen[#All],7,FALSE)*((Optimalisatie!J54/Optimalisatie!Z54)*Optimalisatie!Y54),0),(_xlfn.IFNA(VLOOKUP(Inschrijf_MKI_Totaal[[#This Row],[Product]]&amp;", "&amp;Inschrijf_MKI_Totaal[[#Headers],[A5]],Database_Productkaarten[#All],14,FALSE),0)*Optimalisatie!J54)),0)</f>
        <v>0</v>
      </c>
      <c r="J52" s="9"/>
      <c r="K52" s="9">
        <f>(IF(Optimalisatie!C54="Nieuwe Situatie",_xlfn.IFNA(SUM(Inschrijf_MKI_Totaal[[#This Row],[A1]:[B1]],Inschrijf_MKI_Totaal[[#This Row],[C1]:[D2]])*Optimalisatie!T54,0),0))</f>
        <v>0</v>
      </c>
      <c r="L52" s="9">
        <f>IF(Optimalisatie!C54="Bestaande situatie",IF(_xlfn.IFNA((VLOOKUP(Optimalisatie!AA54,Database_Asfalt_Verwijderset[#All],7,FALSE)*Optimalisatie!J54),0)+_xlfn.IFNA(VLOOKUP(Optimalisatie!AB54,Database_Brandstoffen[#All],7,FALSE)*((Optimalisatie!J54/Optimalisatie!AD54)*Optimalisatie!AC54),0)&gt;0,_xlfn.IFNA((VLOOKUP(Optimalisatie!AA54,Database_Asfalt_Verwijderset[#All],7,FALSE)*Optimalisatie!J54),0)+_xlfn.IFNA(VLOOKUP(Optimalisatie!AB54,Database_Brandstoffen[#All],7,FALSE)*((Optimalisatie!J54/Optimalisatie!AD54)*Optimalisatie!AC54),0),(_xlfn.IFNA(VLOOKUP(Inschrijf_MKI_Totaal[[#This Row],[Product]]&amp;", "&amp;Inschrijf_MKI_Totaal[[#Headers],[C1]],Database_Productkaarten[#All],14,FALSE),0)*Optimalisatie!J54)),0)</f>
        <v>0</v>
      </c>
      <c r="M52" s="9">
        <f>(IF(Optimalisatie!C54="Bestaande Situatie",_xlfn.IFNA(VLOOKUP(Optimalisatie!AF54,Database_Transport[#All],7,FALSE)*(Optimalisatie!R54*Optimalisatie!AE54),Baseline_Backlog!M52),0))</f>
        <v>0</v>
      </c>
      <c r="N52" s="9">
        <f>(IF(Optimalisatie!C54="Bestaande Situatie",_xlfn.IFNA(VLOOKUP(Optimalisatie!AG54,Database_Asfalt_Verwerkingsset[#All],7,FALSE)*(Optimalisatie!J54/VLOOKUP(Optimalisatie!AG54,Database_Asfalt_Verwerkingsset[#All],8,FALSE)),Baseline_Backlog!N52),0))</f>
        <v>0</v>
      </c>
      <c r="O52" s="9">
        <f>(IF(Optimalisatie!C54="Bestaande Situatie",_xlfn.IFNA(VLOOKUP(Inschrijf_MKI_Totaal[[#This Row],[Product]]&amp;", "&amp;Inschrijf_MKI_Totaal[[#Headers],[C4]],Database_Productkaarten[#All],14,FALSE),Baseline_Backlog!O52)*Optimalisatie!J54,0))</f>
        <v>0</v>
      </c>
      <c r="P52" s="9">
        <f>(IF(Optimalisatie!C54="Bestaande Situatie",_xlfn.IFNA(IF(Optimalisatie!E54="Categorie_1_LCA_Producten",VLOOKUP(Inschrijf_MKI_Totaal[[#This Row],[Product]],Categorie_1_Producten[#All],12,FALSE)*(Optimalisatie!J54),VLOOKUP(Inschrijf_MKI_Totaal[[#This Row],[Product]]&amp;", "&amp;Inschrijf_MKI_Totaal[[#Headers],[D1]],Database_Productkaarten[#All],14,FALSE)*Optimalisatie!J54),Baseline_Backlog!P52),0))</f>
        <v>0</v>
      </c>
      <c r="Q52" s="9">
        <f>(IF(Optimalisatie!C54="Bestaande Situatie",_xlfn.IFNA(IF(Optimalisatie!E54="Categorie_1_LCA_Producten",VLOOKUP(Inschrijf_MKI_Totaal[[#This Row],[Product]],Categorie_1_Producten[#All],13,FALSE)*(Optimalisatie!J54),VLOOKUP(Inschrijf_MKI_Totaal[[#This Row],[Product]]&amp;", "&amp;Inschrijf_MKI_Totaal[[#Headers],[D2]],Database_Productkaarten[#All],14,FALSE)*Optimalisatie!J54),Baseline_Backlog!Q52),0))</f>
        <v>0</v>
      </c>
      <c r="R52" s="9">
        <f>(IF(Optimalisatie!C54="Bestaande Situatie",_xlfn.IFNA(IF(Optimalisatie!E54="Categorie_1_LCA_Producten",VLOOKUP(Inschrijf_MKI_Totaal[[#This Row],[Product]],Categorie_1_Producten[#All],13,FALSE)*(Optimalisatie!J54),VLOOKUP(Inschrijf_MKI_Totaal[[#This Row],[Product]]&amp;", "&amp;Inschrijf_MKI_Totaal[[#Headers],[D]],Database_Productkaarten[#All],14,FALSE)*Optimalisatie!J54),Baseline_Backlog!S52),0))</f>
        <v>0</v>
      </c>
      <c r="S52" s="301">
        <f>SUM(Inschrijf_MKI_Totaal[[#This Row],[A1-A3]:[C4]])+Inschrijf_MKI_Totaal[[#This Row],[D]]</f>
        <v>0</v>
      </c>
      <c r="AA52" s="9">
        <f>_xlfn.IFNA((VLOOKUP(Optimalisatie!AA54,Database_Asfalt_Verwijderset[#All],7,FALSE)*Optimalisatie!J54),0)</f>
        <v>0</v>
      </c>
      <c r="AB52" s="9" t="e">
        <f>(VLOOKUP(Optimalisatie!AA54,Database_Asfalt_Verwijderset[#All],7,FALSE)*Optimalisatie!J54)</f>
        <v>#N/A</v>
      </c>
      <c r="AC52" s="332">
        <f>(_xlfn.IFNA(VLOOKUP(Inschrijf_MKI_Totaal[[#This Row],[Product]]&amp;", "&amp;Inschrijf_MKI_Totaal[[#Headers],[C1]],Database_Productkaarten[#All],14,FALSE),0)*Optimalisatie!J54)</f>
        <v>0</v>
      </c>
    </row>
    <row r="53" spans="2:29" hidden="1">
      <c r="B53" s="272">
        <f>Optimalisatie!B55</f>
        <v>0</v>
      </c>
      <c r="C53" s="9">
        <f>Optimalisatie!F55</f>
        <v>0</v>
      </c>
      <c r="D53" s="9">
        <f>(IF(Optimalisatie!C55="Nieuwe Situatie",_xlfn.IFNA(IF(Optimalisatie!E55="Categorie_1_LCA_Producten",VLOOKUP(Inschrijf_MKI_Totaal[[#This Row],[Product]],Categorie_1_Producten[#All],8,FALSE)*(Optimalisatie!J55),VLOOKUP(Inschrijf_MKI_Totaal[[#This Row],[Product]]&amp;", "&amp;Inschrijf_MKI_Totaal[[#Headers],[A1]],Database_Productkaarten[#All],14,FALSE)*Optimalisatie!J55),Baseline_Backlog!D53),0))</f>
        <v>0</v>
      </c>
      <c r="E53" s="9">
        <f>(IF(Optimalisatie!C55="Nieuwe Situatie",_xlfn.IFNA(IF(Optimalisatie!E55="Categorie_1_LCA_Producten",VLOOKUP(Inschrijf_MKI_Totaal[[#This Row],[Product]],Categorie_1_Producten[#All],9,FALSE)*(Optimalisatie!J55),VLOOKUP(Inschrijf_MKI_Totaal[[#This Row],[Product]]&amp;", "&amp;Inschrijf_MKI_Totaal[[#Headers],[A2]],Database_Productkaarten[#All],14,FALSE)*Optimalisatie!J55),Baseline_Backlog!E53),0))</f>
        <v>0</v>
      </c>
      <c r="F53" s="9">
        <f>(IF(Optimalisatie!C55="Nieuwe Situatie",_xlfn.IFNA(IF(Optimalisatie!E55="Categorie_1_LCA_Producten",VLOOKUP(Inschrijf_MKI_Totaal[[#This Row],[Product]],Categorie_1_Producten[#All],10,FALSE)*(Optimalisatie!J55),VLOOKUP(Inschrijf_MKI_Totaal[[#This Row],[Product]]&amp;", "&amp;Inschrijf_MKI_Totaal[[#Headers],[A3]],Database_Productkaarten[#All],14,FALSE)*Optimalisatie!J55),Baseline_Backlog!F53),0))</f>
        <v>0</v>
      </c>
      <c r="G53" s="9">
        <f>(IF(Optimalisatie!C55="Nieuwe Situatie",_xlfn.IFNA(IF(Optimalisatie!E55="Categorie_1_LCA_Producten",VLOOKUP(Inschrijf_MKI_Totaal[[#This Row],[Product]],Categorie_1_Producten[#All],11,FALSE)*(Optimalisatie!J55),VLOOKUP(Inschrijf_MKI_Totaal[[#This Row],[Product]]&amp;", "&amp;Inschrijf_MKI_Totaal[[#Headers],[A1-A3]],Database_Productkaarten[#All],14,FALSE)*Optimalisatie!J55),Baseline_Backlog!G53),0))</f>
        <v>0</v>
      </c>
      <c r="H53" s="9">
        <f>(IF(Optimalisatie!C55="Nieuwe Situatie",_xlfn.IFNA(VLOOKUP(Optimalisatie!V55,Database_Transport[#All],7,FALSE)*((IF(Optimalisatie!R55=0,Baseline!Q55,Optimalisatie!R55))*Optimalisatie!U55),Baseline_Backlog!H53),0))</f>
        <v>0</v>
      </c>
      <c r="I53" s="9">
        <f>IF(Optimalisatie!C55="Nieuwe situatie",IF(_xlfn.IFNA((VLOOKUP(Optimalisatie!W55,Database_Asfalt_Aanlegset[#All],7,FALSE)*Optimalisatie!J55),0)+_xlfn.IFNA(VLOOKUP(Optimalisatie!X55,Database_Brandstoffen[#All],7,FALSE)*((Optimalisatie!J55/Optimalisatie!Z55)*Optimalisatie!Y55),0)&gt;0,_xlfn.IFNA((VLOOKUP(Optimalisatie!W55,Database_Asfalt_Aanlegset[#All],7,FALSE)*Optimalisatie!J55),0)+_xlfn.IFNA(VLOOKUP(Optimalisatie!X55,Database_Brandstoffen[#All],7,FALSE)*((Optimalisatie!J55/Optimalisatie!Z55)*Optimalisatie!Y55),0),(_xlfn.IFNA(VLOOKUP(Inschrijf_MKI_Totaal[[#This Row],[Product]]&amp;", "&amp;Inschrijf_MKI_Totaal[[#Headers],[A5]],Database_Productkaarten[#All],14,FALSE),0)*Optimalisatie!J55)),0)</f>
        <v>0</v>
      </c>
      <c r="J53" s="9"/>
      <c r="K53" s="9">
        <f>(IF(Optimalisatie!C55="Nieuwe Situatie",_xlfn.IFNA(SUM(Inschrijf_MKI_Totaal[[#This Row],[A1]:[B1]],Inschrijf_MKI_Totaal[[#This Row],[C1]:[D2]])*Optimalisatie!T55,0),0))</f>
        <v>0</v>
      </c>
      <c r="L53" s="9">
        <f>IF(Optimalisatie!C55="Bestaande situatie",IF(_xlfn.IFNA((VLOOKUP(Optimalisatie!AA55,Database_Asfalt_Verwijderset[#All],7,FALSE)*Optimalisatie!J55),0)+_xlfn.IFNA(VLOOKUP(Optimalisatie!AB55,Database_Brandstoffen[#All],7,FALSE)*((Optimalisatie!J55/Optimalisatie!AD55)*Optimalisatie!AC55),0)&gt;0,_xlfn.IFNA((VLOOKUP(Optimalisatie!AA55,Database_Asfalt_Verwijderset[#All],7,FALSE)*Optimalisatie!J55),0)+_xlfn.IFNA(VLOOKUP(Optimalisatie!AB55,Database_Brandstoffen[#All],7,FALSE)*((Optimalisatie!J55/Optimalisatie!AD55)*Optimalisatie!AC55),0),(_xlfn.IFNA(VLOOKUP(Inschrijf_MKI_Totaal[[#This Row],[Product]]&amp;", "&amp;Inschrijf_MKI_Totaal[[#Headers],[C1]],Database_Productkaarten[#All],14,FALSE),0)*Optimalisatie!J55)),0)</f>
        <v>0</v>
      </c>
      <c r="M53" s="9">
        <f>(IF(Optimalisatie!C55="Bestaande Situatie",_xlfn.IFNA(VLOOKUP(Optimalisatie!AF55,Database_Transport[#All],7,FALSE)*(Optimalisatie!R55*Optimalisatie!AE55),Baseline_Backlog!M53),0))</f>
        <v>0</v>
      </c>
      <c r="N53" s="9">
        <f>(IF(Optimalisatie!C55="Bestaande Situatie",_xlfn.IFNA(VLOOKUP(Optimalisatie!AG55,Database_Asfalt_Verwerkingsset[#All],7,FALSE)*(Optimalisatie!J55/VLOOKUP(Optimalisatie!AG55,Database_Asfalt_Verwerkingsset[#All],8,FALSE)),Baseline_Backlog!N53),0))</f>
        <v>0</v>
      </c>
      <c r="O53" s="9">
        <f>(IF(Optimalisatie!C55="Bestaande Situatie",_xlfn.IFNA(VLOOKUP(Inschrijf_MKI_Totaal[[#This Row],[Product]]&amp;", "&amp;Inschrijf_MKI_Totaal[[#Headers],[C4]],Database_Productkaarten[#All],14,FALSE),Baseline_Backlog!O53)*Optimalisatie!J55,0))</f>
        <v>0</v>
      </c>
      <c r="P53" s="9">
        <f>(IF(Optimalisatie!C55="Bestaande Situatie",_xlfn.IFNA(IF(Optimalisatie!E55="Categorie_1_LCA_Producten",VLOOKUP(Inschrijf_MKI_Totaal[[#This Row],[Product]],Categorie_1_Producten[#All],12,FALSE)*(Optimalisatie!J55),VLOOKUP(Inschrijf_MKI_Totaal[[#This Row],[Product]]&amp;", "&amp;Inschrijf_MKI_Totaal[[#Headers],[D1]],Database_Productkaarten[#All],14,FALSE)*Optimalisatie!J55),Baseline_Backlog!P53),0))</f>
        <v>0</v>
      </c>
      <c r="Q53" s="9">
        <f>(IF(Optimalisatie!C55="Bestaande Situatie",_xlfn.IFNA(IF(Optimalisatie!E55="Categorie_1_LCA_Producten",VLOOKUP(Inschrijf_MKI_Totaal[[#This Row],[Product]],Categorie_1_Producten[#All],13,FALSE)*(Optimalisatie!J55),VLOOKUP(Inschrijf_MKI_Totaal[[#This Row],[Product]]&amp;", "&amp;Inschrijf_MKI_Totaal[[#Headers],[D2]],Database_Productkaarten[#All],14,FALSE)*Optimalisatie!J55),Baseline_Backlog!Q53),0))</f>
        <v>0</v>
      </c>
      <c r="R53" s="9">
        <f>(IF(Optimalisatie!C55="Bestaande Situatie",_xlfn.IFNA(IF(Optimalisatie!E55="Categorie_1_LCA_Producten",VLOOKUP(Inschrijf_MKI_Totaal[[#This Row],[Product]],Categorie_1_Producten[#All],13,FALSE)*(Optimalisatie!J55),VLOOKUP(Inschrijf_MKI_Totaal[[#This Row],[Product]]&amp;", "&amp;Inschrijf_MKI_Totaal[[#Headers],[D]],Database_Productkaarten[#All],14,FALSE)*Optimalisatie!J55),Baseline_Backlog!S53),0))</f>
        <v>0</v>
      </c>
      <c r="S53" s="301">
        <f>SUM(Inschrijf_MKI_Totaal[[#This Row],[A1-A3]:[C4]])+Inschrijf_MKI_Totaal[[#This Row],[D]]</f>
        <v>0</v>
      </c>
      <c r="AA53" s="9">
        <f>_xlfn.IFNA((VLOOKUP(Optimalisatie!AA55,Database_Asfalt_Verwijderset[#All],7,FALSE)*Optimalisatie!J55),0)</f>
        <v>0</v>
      </c>
      <c r="AB53" s="9" t="e">
        <f>(VLOOKUP(Optimalisatie!AA55,Database_Asfalt_Verwijderset[#All],7,FALSE)*Optimalisatie!J55)</f>
        <v>#N/A</v>
      </c>
      <c r="AC53" s="332">
        <f>(_xlfn.IFNA(VLOOKUP(Inschrijf_MKI_Totaal[[#This Row],[Product]]&amp;", "&amp;Inschrijf_MKI_Totaal[[#Headers],[C1]],Database_Productkaarten[#All],14,FALSE),0)*Optimalisatie!J55)</f>
        <v>0</v>
      </c>
    </row>
    <row r="54" spans="2:29" hidden="1">
      <c r="B54" s="272">
        <f>Optimalisatie!B56</f>
        <v>0</v>
      </c>
      <c r="C54" s="9">
        <f>Optimalisatie!F56</f>
        <v>0</v>
      </c>
      <c r="D54" s="9">
        <f>(IF(Optimalisatie!C56="Nieuwe Situatie",_xlfn.IFNA(IF(Optimalisatie!E56="Categorie_1_LCA_Producten",VLOOKUP(Inschrijf_MKI_Totaal[[#This Row],[Product]],Categorie_1_Producten[#All],8,FALSE)*(Optimalisatie!J56),VLOOKUP(Inschrijf_MKI_Totaal[[#This Row],[Product]]&amp;", "&amp;Inschrijf_MKI_Totaal[[#Headers],[A1]],Database_Productkaarten[#All],14,FALSE)*Optimalisatie!J56),Baseline_Backlog!D54),0))</f>
        <v>0</v>
      </c>
      <c r="E54" s="9">
        <f>(IF(Optimalisatie!C56="Nieuwe Situatie",_xlfn.IFNA(IF(Optimalisatie!E56="Categorie_1_LCA_Producten",VLOOKUP(Inschrijf_MKI_Totaal[[#This Row],[Product]],Categorie_1_Producten[#All],9,FALSE)*(Optimalisatie!J56),VLOOKUP(Inschrijf_MKI_Totaal[[#This Row],[Product]]&amp;", "&amp;Inschrijf_MKI_Totaal[[#Headers],[A2]],Database_Productkaarten[#All],14,FALSE)*Optimalisatie!J56),Baseline_Backlog!E54),0))</f>
        <v>0</v>
      </c>
      <c r="F54" s="9">
        <f>(IF(Optimalisatie!C56="Nieuwe Situatie",_xlfn.IFNA(IF(Optimalisatie!E56="Categorie_1_LCA_Producten",VLOOKUP(Inschrijf_MKI_Totaal[[#This Row],[Product]],Categorie_1_Producten[#All],10,FALSE)*(Optimalisatie!J56),VLOOKUP(Inschrijf_MKI_Totaal[[#This Row],[Product]]&amp;", "&amp;Inschrijf_MKI_Totaal[[#Headers],[A3]],Database_Productkaarten[#All],14,FALSE)*Optimalisatie!J56),Baseline_Backlog!F54),0))</f>
        <v>0</v>
      </c>
      <c r="G54" s="9">
        <f>(IF(Optimalisatie!C56="Nieuwe Situatie",_xlfn.IFNA(IF(Optimalisatie!E56="Categorie_1_LCA_Producten",VLOOKUP(Inschrijf_MKI_Totaal[[#This Row],[Product]],Categorie_1_Producten[#All],11,FALSE)*(Optimalisatie!J56),VLOOKUP(Inschrijf_MKI_Totaal[[#This Row],[Product]]&amp;", "&amp;Inschrijf_MKI_Totaal[[#Headers],[A1-A3]],Database_Productkaarten[#All],14,FALSE)*Optimalisatie!J56),Baseline_Backlog!G54),0))</f>
        <v>0</v>
      </c>
      <c r="H54" s="9">
        <f>(IF(Optimalisatie!C56="Nieuwe Situatie",_xlfn.IFNA(VLOOKUP(Optimalisatie!V56,Database_Transport[#All],7,FALSE)*((IF(Optimalisatie!R56=0,Baseline!Q56,Optimalisatie!R56))*Optimalisatie!U56),Baseline_Backlog!H54),0))</f>
        <v>0</v>
      </c>
      <c r="I54" s="9">
        <f>IF(Optimalisatie!C56="Nieuwe situatie",IF(_xlfn.IFNA((VLOOKUP(Optimalisatie!W56,Database_Asfalt_Aanlegset[#All],7,FALSE)*Optimalisatie!J56),0)+_xlfn.IFNA(VLOOKUP(Optimalisatie!X56,Database_Brandstoffen[#All],7,FALSE)*((Optimalisatie!J56/Optimalisatie!Z56)*Optimalisatie!Y56),0)&gt;0,_xlfn.IFNA((VLOOKUP(Optimalisatie!W56,Database_Asfalt_Aanlegset[#All],7,FALSE)*Optimalisatie!J56),0)+_xlfn.IFNA(VLOOKUP(Optimalisatie!X56,Database_Brandstoffen[#All],7,FALSE)*((Optimalisatie!J56/Optimalisatie!Z56)*Optimalisatie!Y56),0),(_xlfn.IFNA(VLOOKUP(Inschrijf_MKI_Totaal[[#This Row],[Product]]&amp;", "&amp;Inschrijf_MKI_Totaal[[#Headers],[A5]],Database_Productkaarten[#All],14,FALSE),0)*Optimalisatie!J56)),0)</f>
        <v>0</v>
      </c>
      <c r="J54" s="9"/>
      <c r="K54" s="9">
        <f>(IF(Optimalisatie!C56="Nieuwe Situatie",_xlfn.IFNA(SUM(Inschrijf_MKI_Totaal[[#This Row],[A1]:[B1]],Inschrijf_MKI_Totaal[[#This Row],[C1]:[D2]])*Optimalisatie!T56,0),0))</f>
        <v>0</v>
      </c>
      <c r="L54" s="9">
        <f>IF(Optimalisatie!C56="Bestaande situatie",IF(_xlfn.IFNA((VLOOKUP(Optimalisatie!AA56,Database_Asfalt_Verwijderset[#All],7,FALSE)*Optimalisatie!J56),0)+_xlfn.IFNA(VLOOKUP(Optimalisatie!AB56,Database_Brandstoffen[#All],7,FALSE)*((Optimalisatie!J56/Optimalisatie!AD56)*Optimalisatie!AC56),0)&gt;0,_xlfn.IFNA((VLOOKUP(Optimalisatie!AA56,Database_Asfalt_Verwijderset[#All],7,FALSE)*Optimalisatie!J56),0)+_xlfn.IFNA(VLOOKUP(Optimalisatie!AB56,Database_Brandstoffen[#All],7,FALSE)*((Optimalisatie!J56/Optimalisatie!AD56)*Optimalisatie!AC56),0),(_xlfn.IFNA(VLOOKUP(Inschrijf_MKI_Totaal[[#This Row],[Product]]&amp;", "&amp;Inschrijf_MKI_Totaal[[#Headers],[C1]],Database_Productkaarten[#All],14,FALSE),0)*Optimalisatie!J56)),0)</f>
        <v>0</v>
      </c>
      <c r="M54" s="9">
        <f>(IF(Optimalisatie!C56="Bestaande Situatie",_xlfn.IFNA(VLOOKUP(Optimalisatie!AF56,Database_Transport[#All],7,FALSE)*(Optimalisatie!R56*Optimalisatie!AE56),Baseline_Backlog!M54),0))</f>
        <v>0</v>
      </c>
      <c r="N54" s="9">
        <f>(IF(Optimalisatie!C56="Bestaande Situatie",_xlfn.IFNA(VLOOKUP(Optimalisatie!AG56,Database_Asfalt_Verwerkingsset[#All],7,FALSE)*(Optimalisatie!J56/VLOOKUP(Optimalisatie!AG56,Database_Asfalt_Verwerkingsset[#All],8,FALSE)),Baseline_Backlog!N54),0))</f>
        <v>0</v>
      </c>
      <c r="O54" s="9">
        <f>(IF(Optimalisatie!C56="Bestaande Situatie",_xlfn.IFNA(VLOOKUP(Inschrijf_MKI_Totaal[[#This Row],[Product]]&amp;", "&amp;Inschrijf_MKI_Totaal[[#Headers],[C4]],Database_Productkaarten[#All],14,FALSE),Baseline_Backlog!O54)*Optimalisatie!J56,0))</f>
        <v>0</v>
      </c>
      <c r="P54" s="9">
        <f>(IF(Optimalisatie!C56="Bestaande Situatie",_xlfn.IFNA(IF(Optimalisatie!E56="Categorie_1_LCA_Producten",VLOOKUP(Inschrijf_MKI_Totaal[[#This Row],[Product]],Categorie_1_Producten[#All],12,FALSE)*(Optimalisatie!J56),VLOOKUP(Inschrijf_MKI_Totaal[[#This Row],[Product]]&amp;", "&amp;Inschrijf_MKI_Totaal[[#Headers],[D1]],Database_Productkaarten[#All],14,FALSE)*Optimalisatie!J56),Baseline_Backlog!P54),0))</f>
        <v>0</v>
      </c>
      <c r="Q54" s="9">
        <f>(IF(Optimalisatie!C56="Bestaande Situatie",_xlfn.IFNA(IF(Optimalisatie!E56="Categorie_1_LCA_Producten",VLOOKUP(Inschrijf_MKI_Totaal[[#This Row],[Product]],Categorie_1_Producten[#All],13,FALSE)*(Optimalisatie!J56),VLOOKUP(Inschrijf_MKI_Totaal[[#This Row],[Product]]&amp;", "&amp;Inschrijf_MKI_Totaal[[#Headers],[D2]],Database_Productkaarten[#All],14,FALSE)*Optimalisatie!J56),Baseline_Backlog!Q54),0))</f>
        <v>0</v>
      </c>
      <c r="R54" s="9">
        <f>(IF(Optimalisatie!C56="Bestaande Situatie",_xlfn.IFNA(IF(Optimalisatie!E56="Categorie_1_LCA_Producten",VLOOKUP(Inschrijf_MKI_Totaal[[#This Row],[Product]],Categorie_1_Producten[#All],13,FALSE)*(Optimalisatie!J56),VLOOKUP(Inschrijf_MKI_Totaal[[#This Row],[Product]]&amp;", "&amp;Inschrijf_MKI_Totaal[[#Headers],[D]],Database_Productkaarten[#All],14,FALSE)*Optimalisatie!J56),Baseline_Backlog!S54),0))</f>
        <v>0</v>
      </c>
      <c r="S54" s="301">
        <f>SUM(Inschrijf_MKI_Totaal[[#This Row],[A1-A3]:[C4]])+Inschrijf_MKI_Totaal[[#This Row],[D]]</f>
        <v>0</v>
      </c>
      <c r="AA54" s="9">
        <f>_xlfn.IFNA((VLOOKUP(Optimalisatie!AA56,Database_Asfalt_Verwijderset[#All],7,FALSE)*Optimalisatie!J56),0)</f>
        <v>0</v>
      </c>
      <c r="AB54" s="9" t="e">
        <f>(VLOOKUP(Optimalisatie!AA56,Database_Asfalt_Verwijderset[#All],7,FALSE)*Optimalisatie!J56)</f>
        <v>#N/A</v>
      </c>
      <c r="AC54" s="332">
        <f>(_xlfn.IFNA(VLOOKUP(Inschrijf_MKI_Totaal[[#This Row],[Product]]&amp;", "&amp;Inschrijf_MKI_Totaal[[#Headers],[C1]],Database_Productkaarten[#All],14,FALSE),0)*Optimalisatie!J56)</f>
        <v>0</v>
      </c>
    </row>
    <row r="55" spans="2:29" hidden="1">
      <c r="B55" s="272">
        <f>Optimalisatie!B57</f>
        <v>0</v>
      </c>
      <c r="C55" s="9">
        <f>Optimalisatie!F57</f>
        <v>0</v>
      </c>
      <c r="D55" s="9">
        <f>(IF(Optimalisatie!C57="Nieuwe Situatie",_xlfn.IFNA(IF(Optimalisatie!E57="Categorie_1_LCA_Producten",VLOOKUP(Inschrijf_MKI_Totaal[[#This Row],[Product]],Categorie_1_Producten[#All],8,FALSE)*(Optimalisatie!J57),VLOOKUP(Inschrijf_MKI_Totaal[[#This Row],[Product]]&amp;", "&amp;Inschrijf_MKI_Totaal[[#Headers],[A1]],Database_Productkaarten[#All],14,FALSE)*Optimalisatie!J57),Baseline_Backlog!D55),0))</f>
        <v>0</v>
      </c>
      <c r="E55" s="9">
        <f>(IF(Optimalisatie!C57="Nieuwe Situatie",_xlfn.IFNA(IF(Optimalisatie!E57="Categorie_1_LCA_Producten",VLOOKUP(Inschrijf_MKI_Totaal[[#This Row],[Product]],Categorie_1_Producten[#All],9,FALSE)*(Optimalisatie!J57),VLOOKUP(Inschrijf_MKI_Totaal[[#This Row],[Product]]&amp;", "&amp;Inschrijf_MKI_Totaal[[#Headers],[A2]],Database_Productkaarten[#All],14,FALSE)*Optimalisatie!J57),Baseline_Backlog!E55),0))</f>
        <v>0</v>
      </c>
      <c r="F55" s="9">
        <f>(IF(Optimalisatie!C57="Nieuwe Situatie",_xlfn.IFNA(IF(Optimalisatie!E57="Categorie_1_LCA_Producten",VLOOKUP(Inschrijf_MKI_Totaal[[#This Row],[Product]],Categorie_1_Producten[#All],10,FALSE)*(Optimalisatie!J57),VLOOKUP(Inschrijf_MKI_Totaal[[#This Row],[Product]]&amp;", "&amp;Inschrijf_MKI_Totaal[[#Headers],[A3]],Database_Productkaarten[#All],14,FALSE)*Optimalisatie!J57),Baseline_Backlog!F55),0))</f>
        <v>0</v>
      </c>
      <c r="G55" s="9">
        <f>(IF(Optimalisatie!C57="Nieuwe Situatie",_xlfn.IFNA(IF(Optimalisatie!E57="Categorie_1_LCA_Producten",VLOOKUP(Inschrijf_MKI_Totaal[[#This Row],[Product]],Categorie_1_Producten[#All],11,FALSE)*(Optimalisatie!J57),VLOOKUP(Inschrijf_MKI_Totaal[[#This Row],[Product]]&amp;", "&amp;Inschrijf_MKI_Totaal[[#Headers],[A1-A3]],Database_Productkaarten[#All],14,FALSE)*Optimalisatie!J57),Baseline_Backlog!G55),0))</f>
        <v>0</v>
      </c>
      <c r="H55" s="9">
        <f>(IF(Optimalisatie!C57="Nieuwe Situatie",_xlfn.IFNA(VLOOKUP(Optimalisatie!V57,Database_Transport[#All],7,FALSE)*((IF(Optimalisatie!R57=0,Baseline!Q57,Optimalisatie!R57))*Optimalisatie!U57),Baseline_Backlog!H55),0))</f>
        <v>0</v>
      </c>
      <c r="I55" s="9">
        <f>IF(Optimalisatie!C57="Nieuwe situatie",IF(_xlfn.IFNA((VLOOKUP(Optimalisatie!W57,Database_Asfalt_Aanlegset[#All],7,FALSE)*Optimalisatie!J57),0)+_xlfn.IFNA(VLOOKUP(Optimalisatie!X57,Database_Brandstoffen[#All],7,FALSE)*((Optimalisatie!J57/Optimalisatie!Z57)*Optimalisatie!Y57),0)&gt;0,_xlfn.IFNA((VLOOKUP(Optimalisatie!W57,Database_Asfalt_Aanlegset[#All],7,FALSE)*Optimalisatie!J57),0)+_xlfn.IFNA(VLOOKUP(Optimalisatie!X57,Database_Brandstoffen[#All],7,FALSE)*((Optimalisatie!J57/Optimalisatie!Z57)*Optimalisatie!Y57),0),(_xlfn.IFNA(VLOOKUP(Inschrijf_MKI_Totaal[[#This Row],[Product]]&amp;", "&amp;Inschrijf_MKI_Totaal[[#Headers],[A5]],Database_Productkaarten[#All],14,FALSE),0)*Optimalisatie!J57)),0)</f>
        <v>0</v>
      </c>
      <c r="J55" s="9"/>
      <c r="K55" s="9">
        <f>(IF(Optimalisatie!C57="Nieuwe Situatie",_xlfn.IFNA(SUM(Inschrijf_MKI_Totaal[[#This Row],[A1]:[B1]],Inschrijf_MKI_Totaal[[#This Row],[C1]:[D2]])*Optimalisatie!T57,0),0))</f>
        <v>0</v>
      </c>
      <c r="L55" s="9">
        <f>IF(Optimalisatie!C57="Bestaande situatie",IF(_xlfn.IFNA((VLOOKUP(Optimalisatie!AA57,Database_Asfalt_Verwijderset[#All],7,FALSE)*Optimalisatie!J57),0)+_xlfn.IFNA(VLOOKUP(Optimalisatie!AB57,Database_Brandstoffen[#All],7,FALSE)*((Optimalisatie!J57/Optimalisatie!AD57)*Optimalisatie!AC57),0)&gt;0,_xlfn.IFNA((VLOOKUP(Optimalisatie!AA57,Database_Asfalt_Verwijderset[#All],7,FALSE)*Optimalisatie!J57),0)+_xlfn.IFNA(VLOOKUP(Optimalisatie!AB57,Database_Brandstoffen[#All],7,FALSE)*((Optimalisatie!J57/Optimalisatie!AD57)*Optimalisatie!AC57),0),(_xlfn.IFNA(VLOOKUP(Inschrijf_MKI_Totaal[[#This Row],[Product]]&amp;", "&amp;Inschrijf_MKI_Totaal[[#Headers],[C1]],Database_Productkaarten[#All],14,FALSE),0)*Optimalisatie!J57)),0)</f>
        <v>0</v>
      </c>
      <c r="M55" s="9">
        <f>(IF(Optimalisatie!C57="Bestaande Situatie",_xlfn.IFNA(VLOOKUP(Optimalisatie!AF57,Database_Transport[#All],7,FALSE)*(Optimalisatie!R57*Optimalisatie!AE57),Baseline_Backlog!M55),0))</f>
        <v>0</v>
      </c>
      <c r="N55" s="9">
        <f>(IF(Optimalisatie!C57="Bestaande Situatie",_xlfn.IFNA(VLOOKUP(Optimalisatie!AG57,Database_Asfalt_Verwerkingsset[#All],7,FALSE)*(Optimalisatie!J57/VLOOKUP(Optimalisatie!AG57,Database_Asfalt_Verwerkingsset[#All],8,FALSE)),Baseline_Backlog!N55),0))</f>
        <v>0</v>
      </c>
      <c r="O55" s="9">
        <f>(IF(Optimalisatie!C57="Bestaande Situatie",_xlfn.IFNA(VLOOKUP(Inschrijf_MKI_Totaal[[#This Row],[Product]]&amp;", "&amp;Inschrijf_MKI_Totaal[[#Headers],[C4]],Database_Productkaarten[#All],14,FALSE),Baseline_Backlog!O55)*Optimalisatie!J57,0))</f>
        <v>0</v>
      </c>
      <c r="P55" s="9">
        <f>(IF(Optimalisatie!C57="Bestaande Situatie",_xlfn.IFNA(IF(Optimalisatie!E57="Categorie_1_LCA_Producten",VLOOKUP(Inschrijf_MKI_Totaal[[#This Row],[Product]],Categorie_1_Producten[#All],12,FALSE)*(Optimalisatie!J57),VLOOKUP(Inschrijf_MKI_Totaal[[#This Row],[Product]]&amp;", "&amp;Inschrijf_MKI_Totaal[[#Headers],[D1]],Database_Productkaarten[#All],14,FALSE)*Optimalisatie!J57),Baseline_Backlog!P55),0))</f>
        <v>0</v>
      </c>
      <c r="Q55" s="9">
        <f>(IF(Optimalisatie!C57="Bestaande Situatie",_xlfn.IFNA(IF(Optimalisatie!E57="Categorie_1_LCA_Producten",VLOOKUP(Inschrijf_MKI_Totaal[[#This Row],[Product]],Categorie_1_Producten[#All],13,FALSE)*(Optimalisatie!J57),VLOOKUP(Inschrijf_MKI_Totaal[[#This Row],[Product]]&amp;", "&amp;Inschrijf_MKI_Totaal[[#Headers],[D2]],Database_Productkaarten[#All],14,FALSE)*Optimalisatie!J57),Baseline_Backlog!Q55),0))</f>
        <v>0</v>
      </c>
      <c r="R55" s="9">
        <f>(IF(Optimalisatie!C57="Bestaande Situatie",_xlfn.IFNA(IF(Optimalisatie!E57="Categorie_1_LCA_Producten",VLOOKUP(Inschrijf_MKI_Totaal[[#This Row],[Product]],Categorie_1_Producten[#All],13,FALSE)*(Optimalisatie!J57),VLOOKUP(Inschrijf_MKI_Totaal[[#This Row],[Product]]&amp;", "&amp;Inschrijf_MKI_Totaal[[#Headers],[D]],Database_Productkaarten[#All],14,FALSE)*Optimalisatie!J57),Baseline_Backlog!S55),0))</f>
        <v>0</v>
      </c>
      <c r="S55" s="301">
        <f>SUM(Inschrijf_MKI_Totaal[[#This Row],[A1-A3]:[C4]])+Inschrijf_MKI_Totaal[[#This Row],[D]]</f>
        <v>0</v>
      </c>
      <c r="AA55" s="9">
        <f>_xlfn.IFNA((VLOOKUP(Optimalisatie!AA57,Database_Asfalt_Verwijderset[#All],7,FALSE)*Optimalisatie!J57),0)</f>
        <v>0</v>
      </c>
      <c r="AB55" s="9" t="e">
        <f>(VLOOKUP(Optimalisatie!AA57,Database_Asfalt_Verwijderset[#All],7,FALSE)*Optimalisatie!J57)</f>
        <v>#N/A</v>
      </c>
      <c r="AC55" s="332">
        <f>(_xlfn.IFNA(VLOOKUP(Inschrijf_MKI_Totaal[[#This Row],[Product]]&amp;", "&amp;Inschrijf_MKI_Totaal[[#Headers],[C1]],Database_Productkaarten[#All],14,FALSE),0)*Optimalisatie!J57)</f>
        <v>0</v>
      </c>
    </row>
    <row r="56" spans="2:29" hidden="1">
      <c r="B56" s="272">
        <f>Optimalisatie!B58</f>
        <v>0</v>
      </c>
      <c r="C56" s="9">
        <f>Optimalisatie!F58</f>
        <v>0</v>
      </c>
      <c r="D56" s="9">
        <f>(IF(Optimalisatie!C58="Nieuwe Situatie",_xlfn.IFNA(IF(Optimalisatie!E58="Categorie_1_LCA_Producten",VLOOKUP(Inschrijf_MKI_Totaal[[#This Row],[Product]],Categorie_1_Producten[#All],8,FALSE)*(Optimalisatie!J58),VLOOKUP(Inschrijf_MKI_Totaal[[#This Row],[Product]]&amp;", "&amp;Inschrijf_MKI_Totaal[[#Headers],[A1]],Database_Productkaarten[#All],14,FALSE)*Optimalisatie!J58),Baseline_Backlog!D56),0))</f>
        <v>0</v>
      </c>
      <c r="E56" s="9">
        <f>(IF(Optimalisatie!C58="Nieuwe Situatie",_xlfn.IFNA(IF(Optimalisatie!E58="Categorie_1_LCA_Producten",VLOOKUP(Inschrijf_MKI_Totaal[[#This Row],[Product]],Categorie_1_Producten[#All],9,FALSE)*(Optimalisatie!J58),VLOOKUP(Inschrijf_MKI_Totaal[[#This Row],[Product]]&amp;", "&amp;Inschrijf_MKI_Totaal[[#Headers],[A2]],Database_Productkaarten[#All],14,FALSE)*Optimalisatie!J58),Baseline_Backlog!E56),0))</f>
        <v>0</v>
      </c>
      <c r="F56" s="9">
        <f>(IF(Optimalisatie!C58="Nieuwe Situatie",_xlfn.IFNA(IF(Optimalisatie!E58="Categorie_1_LCA_Producten",VLOOKUP(Inschrijf_MKI_Totaal[[#This Row],[Product]],Categorie_1_Producten[#All],10,FALSE)*(Optimalisatie!J58),VLOOKUP(Inschrijf_MKI_Totaal[[#This Row],[Product]]&amp;", "&amp;Inschrijf_MKI_Totaal[[#Headers],[A3]],Database_Productkaarten[#All],14,FALSE)*Optimalisatie!J58),Baseline_Backlog!F56),0))</f>
        <v>0</v>
      </c>
      <c r="G56" s="9">
        <f>(IF(Optimalisatie!C58="Nieuwe Situatie",_xlfn.IFNA(IF(Optimalisatie!E58="Categorie_1_LCA_Producten",VLOOKUP(Inschrijf_MKI_Totaal[[#This Row],[Product]],Categorie_1_Producten[#All],11,FALSE)*(Optimalisatie!J58),VLOOKUP(Inschrijf_MKI_Totaal[[#This Row],[Product]]&amp;", "&amp;Inschrijf_MKI_Totaal[[#Headers],[A1-A3]],Database_Productkaarten[#All],14,FALSE)*Optimalisatie!J58),Baseline_Backlog!G56),0))</f>
        <v>0</v>
      </c>
      <c r="H56" s="9">
        <f>(IF(Optimalisatie!C58="Nieuwe Situatie",_xlfn.IFNA(VLOOKUP(Optimalisatie!V58,Database_Transport[#All],7,FALSE)*((IF(Optimalisatie!R58=0,Baseline!Q58,Optimalisatie!R58))*Optimalisatie!U58),Baseline_Backlog!H56),0))</f>
        <v>0</v>
      </c>
      <c r="I56" s="9">
        <f>IF(Optimalisatie!C58="Nieuwe situatie",IF(_xlfn.IFNA((VLOOKUP(Optimalisatie!W58,Database_Asfalt_Aanlegset[#All],7,FALSE)*Optimalisatie!J58),0)+_xlfn.IFNA(VLOOKUP(Optimalisatie!X58,Database_Brandstoffen[#All],7,FALSE)*((Optimalisatie!J58/Optimalisatie!Z58)*Optimalisatie!Y58),0)&gt;0,_xlfn.IFNA((VLOOKUP(Optimalisatie!W58,Database_Asfalt_Aanlegset[#All],7,FALSE)*Optimalisatie!J58),0)+_xlfn.IFNA(VLOOKUP(Optimalisatie!X58,Database_Brandstoffen[#All],7,FALSE)*((Optimalisatie!J58/Optimalisatie!Z58)*Optimalisatie!Y58),0),(_xlfn.IFNA(VLOOKUP(Inschrijf_MKI_Totaal[[#This Row],[Product]]&amp;", "&amp;Inschrijf_MKI_Totaal[[#Headers],[A5]],Database_Productkaarten[#All],14,FALSE),0)*Optimalisatie!J58)),0)</f>
        <v>0</v>
      </c>
      <c r="J56" s="9"/>
      <c r="K56" s="9">
        <f>(IF(Optimalisatie!C58="Nieuwe Situatie",_xlfn.IFNA(SUM(Inschrijf_MKI_Totaal[[#This Row],[A1]:[B1]],Inschrijf_MKI_Totaal[[#This Row],[C1]:[D2]])*Optimalisatie!T58,0),0))</f>
        <v>0</v>
      </c>
      <c r="L56" s="9">
        <f>IF(Optimalisatie!C58="Bestaande situatie",IF(_xlfn.IFNA((VLOOKUP(Optimalisatie!AA58,Database_Asfalt_Verwijderset[#All],7,FALSE)*Optimalisatie!J58),0)+_xlfn.IFNA(VLOOKUP(Optimalisatie!AB58,Database_Brandstoffen[#All],7,FALSE)*((Optimalisatie!J58/Optimalisatie!AD58)*Optimalisatie!AC58),0)&gt;0,_xlfn.IFNA((VLOOKUP(Optimalisatie!AA58,Database_Asfalt_Verwijderset[#All],7,FALSE)*Optimalisatie!J58),0)+_xlfn.IFNA(VLOOKUP(Optimalisatie!AB58,Database_Brandstoffen[#All],7,FALSE)*((Optimalisatie!J58/Optimalisatie!AD58)*Optimalisatie!AC58),0),(_xlfn.IFNA(VLOOKUP(Inschrijf_MKI_Totaal[[#This Row],[Product]]&amp;", "&amp;Inschrijf_MKI_Totaal[[#Headers],[C1]],Database_Productkaarten[#All],14,FALSE),0)*Optimalisatie!J58)),0)</f>
        <v>0</v>
      </c>
      <c r="M56" s="9">
        <f>(IF(Optimalisatie!C58="Bestaande Situatie",_xlfn.IFNA(VLOOKUP(Optimalisatie!AF58,Database_Transport[#All],7,FALSE)*(Optimalisatie!R58*Optimalisatie!AE58),Baseline_Backlog!M56),0))</f>
        <v>0</v>
      </c>
      <c r="N56" s="9">
        <f>(IF(Optimalisatie!C58="Bestaande Situatie",_xlfn.IFNA(VLOOKUP(Optimalisatie!AG58,Database_Asfalt_Verwerkingsset[#All],7,FALSE)*(Optimalisatie!J58/VLOOKUP(Optimalisatie!AG58,Database_Asfalt_Verwerkingsset[#All],8,FALSE)),Baseline_Backlog!N56),0))</f>
        <v>0</v>
      </c>
      <c r="O56" s="9">
        <f>(IF(Optimalisatie!C58="Bestaande Situatie",_xlfn.IFNA(VLOOKUP(Inschrijf_MKI_Totaal[[#This Row],[Product]]&amp;", "&amp;Inschrijf_MKI_Totaal[[#Headers],[C4]],Database_Productkaarten[#All],14,FALSE),Baseline_Backlog!O56)*Optimalisatie!J58,0))</f>
        <v>0</v>
      </c>
      <c r="P56" s="9">
        <f>(IF(Optimalisatie!C58="Bestaande Situatie",_xlfn.IFNA(IF(Optimalisatie!E58="Categorie_1_LCA_Producten",VLOOKUP(Inschrijf_MKI_Totaal[[#This Row],[Product]],Categorie_1_Producten[#All],12,FALSE)*(Optimalisatie!J58),VLOOKUP(Inschrijf_MKI_Totaal[[#This Row],[Product]]&amp;", "&amp;Inschrijf_MKI_Totaal[[#Headers],[D1]],Database_Productkaarten[#All],14,FALSE)*Optimalisatie!J58),Baseline_Backlog!P56),0))</f>
        <v>0</v>
      </c>
      <c r="Q56" s="9">
        <f>(IF(Optimalisatie!C58="Bestaande Situatie",_xlfn.IFNA(IF(Optimalisatie!E58="Categorie_1_LCA_Producten",VLOOKUP(Inschrijf_MKI_Totaal[[#This Row],[Product]],Categorie_1_Producten[#All],13,FALSE)*(Optimalisatie!J58),VLOOKUP(Inschrijf_MKI_Totaal[[#This Row],[Product]]&amp;", "&amp;Inschrijf_MKI_Totaal[[#Headers],[D2]],Database_Productkaarten[#All],14,FALSE)*Optimalisatie!J58),Baseline_Backlog!Q56),0))</f>
        <v>0</v>
      </c>
      <c r="R56" s="9">
        <f>(IF(Optimalisatie!C58="Bestaande Situatie",_xlfn.IFNA(IF(Optimalisatie!E58="Categorie_1_LCA_Producten",VLOOKUP(Inschrijf_MKI_Totaal[[#This Row],[Product]],Categorie_1_Producten[#All],13,FALSE)*(Optimalisatie!J58),VLOOKUP(Inschrijf_MKI_Totaal[[#This Row],[Product]]&amp;", "&amp;Inschrijf_MKI_Totaal[[#Headers],[D]],Database_Productkaarten[#All],14,FALSE)*Optimalisatie!J58),Baseline_Backlog!S56),0))</f>
        <v>0</v>
      </c>
      <c r="S56" s="301">
        <f>SUM(Inschrijf_MKI_Totaal[[#This Row],[A1-A3]:[C4]])+Inschrijf_MKI_Totaal[[#This Row],[D]]</f>
        <v>0</v>
      </c>
      <c r="AA56" s="9">
        <f>_xlfn.IFNA((VLOOKUP(Optimalisatie!AA58,Database_Asfalt_Verwijderset[#All],7,FALSE)*Optimalisatie!J58),0)</f>
        <v>0</v>
      </c>
      <c r="AB56" s="9" t="e">
        <f>(VLOOKUP(Optimalisatie!AA58,Database_Asfalt_Verwijderset[#All],7,FALSE)*Optimalisatie!J58)</f>
        <v>#N/A</v>
      </c>
      <c r="AC56" s="332">
        <f>(_xlfn.IFNA(VLOOKUP(Inschrijf_MKI_Totaal[[#This Row],[Product]]&amp;", "&amp;Inschrijf_MKI_Totaal[[#Headers],[C1]],Database_Productkaarten[#All],14,FALSE),0)*Optimalisatie!J58)</f>
        <v>0</v>
      </c>
    </row>
    <row r="57" spans="2:29" hidden="1">
      <c r="B57" s="272">
        <f>Optimalisatie!B59</f>
        <v>0</v>
      </c>
      <c r="C57" s="9">
        <f>Optimalisatie!F59</f>
        <v>0</v>
      </c>
      <c r="D57" s="9">
        <f>(IF(Optimalisatie!C59="Nieuwe Situatie",_xlfn.IFNA(IF(Optimalisatie!E59="Categorie_1_LCA_Producten",VLOOKUP(Inschrijf_MKI_Totaal[[#This Row],[Product]],Categorie_1_Producten[#All],8,FALSE)*(Optimalisatie!J59),VLOOKUP(Inschrijf_MKI_Totaal[[#This Row],[Product]]&amp;", "&amp;Inschrijf_MKI_Totaal[[#Headers],[A1]],Database_Productkaarten[#All],14,FALSE)*Optimalisatie!J59),Baseline_Backlog!D57),0))</f>
        <v>0</v>
      </c>
      <c r="E57" s="9">
        <f>(IF(Optimalisatie!C59="Nieuwe Situatie",_xlfn.IFNA(IF(Optimalisatie!E59="Categorie_1_LCA_Producten",VLOOKUP(Inschrijf_MKI_Totaal[[#This Row],[Product]],Categorie_1_Producten[#All],9,FALSE)*(Optimalisatie!J59),VLOOKUP(Inschrijf_MKI_Totaal[[#This Row],[Product]]&amp;", "&amp;Inschrijf_MKI_Totaal[[#Headers],[A2]],Database_Productkaarten[#All],14,FALSE)*Optimalisatie!J59),Baseline_Backlog!E57),0))</f>
        <v>0</v>
      </c>
      <c r="F57" s="9">
        <f>(IF(Optimalisatie!C59="Nieuwe Situatie",_xlfn.IFNA(IF(Optimalisatie!E59="Categorie_1_LCA_Producten",VLOOKUP(Inschrijf_MKI_Totaal[[#This Row],[Product]],Categorie_1_Producten[#All],10,FALSE)*(Optimalisatie!J59),VLOOKUP(Inschrijf_MKI_Totaal[[#This Row],[Product]]&amp;", "&amp;Inschrijf_MKI_Totaal[[#Headers],[A3]],Database_Productkaarten[#All],14,FALSE)*Optimalisatie!J59),Baseline_Backlog!F57),0))</f>
        <v>0</v>
      </c>
      <c r="G57" s="9">
        <f>(IF(Optimalisatie!C59="Nieuwe Situatie",_xlfn.IFNA(IF(Optimalisatie!E59="Categorie_1_LCA_Producten",VLOOKUP(Inschrijf_MKI_Totaal[[#This Row],[Product]],Categorie_1_Producten[#All],11,FALSE)*(Optimalisatie!J59),VLOOKUP(Inschrijf_MKI_Totaal[[#This Row],[Product]]&amp;", "&amp;Inschrijf_MKI_Totaal[[#Headers],[A1-A3]],Database_Productkaarten[#All],14,FALSE)*Optimalisatie!J59),Baseline_Backlog!G57),0))</f>
        <v>0</v>
      </c>
      <c r="H57" s="9">
        <f>(IF(Optimalisatie!C59="Nieuwe Situatie",_xlfn.IFNA(VLOOKUP(Optimalisatie!V59,Database_Transport[#All],7,FALSE)*((IF(Optimalisatie!R59=0,Baseline!Q59,Optimalisatie!R59))*Optimalisatie!U59),Baseline_Backlog!H57),0))</f>
        <v>0</v>
      </c>
      <c r="I57" s="9">
        <f>IF(Optimalisatie!C59="Nieuwe situatie",IF(_xlfn.IFNA((VLOOKUP(Optimalisatie!W59,Database_Asfalt_Aanlegset[#All],7,FALSE)*Optimalisatie!J59),0)+_xlfn.IFNA(VLOOKUP(Optimalisatie!X59,Database_Brandstoffen[#All],7,FALSE)*((Optimalisatie!J59/Optimalisatie!Z59)*Optimalisatie!Y59),0)&gt;0,_xlfn.IFNA((VLOOKUP(Optimalisatie!W59,Database_Asfalt_Aanlegset[#All],7,FALSE)*Optimalisatie!J59),0)+_xlfn.IFNA(VLOOKUP(Optimalisatie!X59,Database_Brandstoffen[#All],7,FALSE)*((Optimalisatie!J59/Optimalisatie!Z59)*Optimalisatie!Y59),0),(_xlfn.IFNA(VLOOKUP(Inschrijf_MKI_Totaal[[#This Row],[Product]]&amp;", "&amp;Inschrijf_MKI_Totaal[[#Headers],[A5]],Database_Productkaarten[#All],14,FALSE),0)*Optimalisatie!J59)),0)</f>
        <v>0</v>
      </c>
      <c r="J57" s="9"/>
      <c r="K57" s="9">
        <f>(IF(Optimalisatie!C59="Nieuwe Situatie",_xlfn.IFNA(SUM(Inschrijf_MKI_Totaal[[#This Row],[A1]:[B1]],Inschrijf_MKI_Totaal[[#This Row],[C1]:[D2]])*Optimalisatie!T59,0),0))</f>
        <v>0</v>
      </c>
      <c r="L57" s="9">
        <f>IF(Optimalisatie!C59="Bestaande situatie",IF(_xlfn.IFNA((VLOOKUP(Optimalisatie!AA59,Database_Asfalt_Verwijderset[#All],7,FALSE)*Optimalisatie!J59),0)+_xlfn.IFNA(VLOOKUP(Optimalisatie!AB59,Database_Brandstoffen[#All],7,FALSE)*((Optimalisatie!J59/Optimalisatie!AD59)*Optimalisatie!AC59),0)&gt;0,_xlfn.IFNA((VLOOKUP(Optimalisatie!AA59,Database_Asfalt_Verwijderset[#All],7,FALSE)*Optimalisatie!J59),0)+_xlfn.IFNA(VLOOKUP(Optimalisatie!AB59,Database_Brandstoffen[#All],7,FALSE)*((Optimalisatie!J59/Optimalisatie!AD59)*Optimalisatie!AC59),0),(_xlfn.IFNA(VLOOKUP(Inschrijf_MKI_Totaal[[#This Row],[Product]]&amp;", "&amp;Inschrijf_MKI_Totaal[[#Headers],[C1]],Database_Productkaarten[#All],14,FALSE),0)*Optimalisatie!J59)),0)</f>
        <v>0</v>
      </c>
      <c r="M57" s="9">
        <f>(IF(Optimalisatie!C59="Bestaande Situatie",_xlfn.IFNA(VLOOKUP(Optimalisatie!AF59,Database_Transport[#All],7,FALSE)*(Optimalisatie!R59*Optimalisatie!AE59),Baseline_Backlog!M57),0))</f>
        <v>0</v>
      </c>
      <c r="N57" s="9">
        <f>(IF(Optimalisatie!C59="Bestaande Situatie",_xlfn.IFNA(VLOOKUP(Optimalisatie!AG59,Database_Asfalt_Verwerkingsset[#All],7,FALSE)*(Optimalisatie!J59/VLOOKUP(Optimalisatie!AG59,Database_Asfalt_Verwerkingsset[#All],8,FALSE)),Baseline_Backlog!N57),0))</f>
        <v>0</v>
      </c>
      <c r="O57" s="9">
        <f>(IF(Optimalisatie!C59="Bestaande Situatie",_xlfn.IFNA(VLOOKUP(Inschrijf_MKI_Totaal[[#This Row],[Product]]&amp;", "&amp;Inschrijf_MKI_Totaal[[#Headers],[C4]],Database_Productkaarten[#All],14,FALSE),Baseline_Backlog!O57)*Optimalisatie!J59,0))</f>
        <v>0</v>
      </c>
      <c r="P57" s="9">
        <f>(IF(Optimalisatie!C59="Bestaande Situatie",_xlfn.IFNA(IF(Optimalisatie!E59="Categorie_1_LCA_Producten",VLOOKUP(Inschrijf_MKI_Totaal[[#This Row],[Product]],Categorie_1_Producten[#All],12,FALSE)*(Optimalisatie!J59),VLOOKUP(Inschrijf_MKI_Totaal[[#This Row],[Product]]&amp;", "&amp;Inschrijf_MKI_Totaal[[#Headers],[D1]],Database_Productkaarten[#All],14,FALSE)*Optimalisatie!J59),Baseline_Backlog!P57),0))</f>
        <v>0</v>
      </c>
      <c r="Q57" s="9">
        <f>(IF(Optimalisatie!C59="Bestaande Situatie",_xlfn.IFNA(IF(Optimalisatie!E59="Categorie_1_LCA_Producten",VLOOKUP(Inschrijf_MKI_Totaal[[#This Row],[Product]],Categorie_1_Producten[#All],13,FALSE)*(Optimalisatie!J59),VLOOKUP(Inschrijf_MKI_Totaal[[#This Row],[Product]]&amp;", "&amp;Inschrijf_MKI_Totaal[[#Headers],[D2]],Database_Productkaarten[#All],14,FALSE)*Optimalisatie!J59),Baseline_Backlog!Q57),0))</f>
        <v>0</v>
      </c>
      <c r="R57" s="9">
        <f>(IF(Optimalisatie!C59="Bestaande Situatie",_xlfn.IFNA(IF(Optimalisatie!E59="Categorie_1_LCA_Producten",VLOOKUP(Inschrijf_MKI_Totaal[[#This Row],[Product]],Categorie_1_Producten[#All],13,FALSE)*(Optimalisatie!J59),VLOOKUP(Inschrijf_MKI_Totaal[[#This Row],[Product]]&amp;", "&amp;Inschrijf_MKI_Totaal[[#Headers],[D]],Database_Productkaarten[#All],14,FALSE)*Optimalisatie!J59),Baseline_Backlog!S57),0))</f>
        <v>0</v>
      </c>
      <c r="S57" s="301">
        <f>SUM(Inschrijf_MKI_Totaal[[#This Row],[A1-A3]:[C4]])+Inschrijf_MKI_Totaal[[#This Row],[D]]</f>
        <v>0</v>
      </c>
      <c r="AA57" s="9">
        <f>_xlfn.IFNA((VLOOKUP(Optimalisatie!AA59,Database_Asfalt_Verwijderset[#All],7,FALSE)*Optimalisatie!J59),0)</f>
        <v>0</v>
      </c>
      <c r="AB57" s="9" t="e">
        <f>(VLOOKUP(Optimalisatie!AA59,Database_Asfalt_Verwijderset[#All],7,FALSE)*Optimalisatie!J59)</f>
        <v>#N/A</v>
      </c>
      <c r="AC57" s="332">
        <f>(_xlfn.IFNA(VLOOKUP(Inschrijf_MKI_Totaal[[#This Row],[Product]]&amp;", "&amp;Inschrijf_MKI_Totaal[[#Headers],[C1]],Database_Productkaarten[#All],14,FALSE),0)*Optimalisatie!J59)</f>
        <v>0</v>
      </c>
    </row>
    <row r="58" spans="2:29" hidden="1">
      <c r="B58" s="272">
        <f>Optimalisatie!B60</f>
        <v>0</v>
      </c>
      <c r="C58" s="9">
        <f>Optimalisatie!F60</f>
        <v>0</v>
      </c>
      <c r="D58" s="9">
        <f>(IF(Optimalisatie!C60="Nieuwe Situatie",_xlfn.IFNA(IF(Optimalisatie!E60="Categorie_1_LCA_Producten",VLOOKUP(Inschrijf_MKI_Totaal[[#This Row],[Product]],Categorie_1_Producten[#All],8,FALSE)*(Optimalisatie!J60),VLOOKUP(Inschrijf_MKI_Totaal[[#This Row],[Product]]&amp;", "&amp;Inschrijf_MKI_Totaal[[#Headers],[A1]],Database_Productkaarten[#All],14,FALSE)*Optimalisatie!J60),Baseline_Backlog!D58),0))</f>
        <v>0</v>
      </c>
      <c r="E58" s="9">
        <f>(IF(Optimalisatie!C60="Nieuwe Situatie",_xlfn.IFNA(IF(Optimalisatie!E60="Categorie_1_LCA_Producten",VLOOKUP(Inschrijf_MKI_Totaal[[#This Row],[Product]],Categorie_1_Producten[#All],9,FALSE)*(Optimalisatie!J60),VLOOKUP(Inschrijf_MKI_Totaal[[#This Row],[Product]]&amp;", "&amp;Inschrijf_MKI_Totaal[[#Headers],[A2]],Database_Productkaarten[#All],14,FALSE)*Optimalisatie!J60),Baseline_Backlog!E58),0))</f>
        <v>0</v>
      </c>
      <c r="F58" s="9">
        <f>(IF(Optimalisatie!C60="Nieuwe Situatie",_xlfn.IFNA(IF(Optimalisatie!E60="Categorie_1_LCA_Producten",VLOOKUP(Inschrijf_MKI_Totaal[[#This Row],[Product]],Categorie_1_Producten[#All],10,FALSE)*(Optimalisatie!J60),VLOOKUP(Inschrijf_MKI_Totaal[[#This Row],[Product]]&amp;", "&amp;Inschrijf_MKI_Totaal[[#Headers],[A3]],Database_Productkaarten[#All],14,FALSE)*Optimalisatie!J60),Baseline_Backlog!F58),0))</f>
        <v>0</v>
      </c>
      <c r="G58" s="9">
        <f>(IF(Optimalisatie!C60="Nieuwe Situatie",_xlfn.IFNA(IF(Optimalisatie!E60="Categorie_1_LCA_Producten",VLOOKUP(Inschrijf_MKI_Totaal[[#This Row],[Product]],Categorie_1_Producten[#All],11,FALSE)*(Optimalisatie!J60),VLOOKUP(Inschrijf_MKI_Totaal[[#This Row],[Product]]&amp;", "&amp;Inschrijf_MKI_Totaal[[#Headers],[A1-A3]],Database_Productkaarten[#All],14,FALSE)*Optimalisatie!J60),Baseline_Backlog!G58),0))</f>
        <v>0</v>
      </c>
      <c r="H58" s="9">
        <f>(IF(Optimalisatie!C60="Nieuwe Situatie",_xlfn.IFNA(VLOOKUP(Optimalisatie!V60,Database_Transport[#All],7,FALSE)*((IF(Optimalisatie!R60=0,Baseline!Q60,Optimalisatie!R60))*Optimalisatie!U60),Baseline_Backlog!H58),0))</f>
        <v>0</v>
      </c>
      <c r="I58" s="9">
        <f>IF(Optimalisatie!C60="Nieuwe situatie",IF(_xlfn.IFNA((VLOOKUP(Optimalisatie!W60,Database_Asfalt_Aanlegset[#All],7,FALSE)*Optimalisatie!J60),0)+_xlfn.IFNA(VLOOKUP(Optimalisatie!X60,Database_Brandstoffen[#All],7,FALSE)*((Optimalisatie!J60/Optimalisatie!Z60)*Optimalisatie!Y60),0)&gt;0,_xlfn.IFNA((VLOOKUP(Optimalisatie!W60,Database_Asfalt_Aanlegset[#All],7,FALSE)*Optimalisatie!J60),0)+_xlfn.IFNA(VLOOKUP(Optimalisatie!X60,Database_Brandstoffen[#All],7,FALSE)*((Optimalisatie!J60/Optimalisatie!Z60)*Optimalisatie!Y60),0),(_xlfn.IFNA(VLOOKUP(Inschrijf_MKI_Totaal[[#This Row],[Product]]&amp;", "&amp;Inschrijf_MKI_Totaal[[#Headers],[A5]],Database_Productkaarten[#All],14,FALSE),0)*Optimalisatie!J60)),0)</f>
        <v>0</v>
      </c>
      <c r="J58" s="9"/>
      <c r="K58" s="9">
        <f>(IF(Optimalisatie!C60="Nieuwe Situatie",_xlfn.IFNA(SUM(Inschrijf_MKI_Totaal[[#This Row],[A1]:[B1]],Inschrijf_MKI_Totaal[[#This Row],[C1]:[D2]])*Optimalisatie!T60,0),0))</f>
        <v>0</v>
      </c>
      <c r="L58" s="9">
        <f>IF(Optimalisatie!C60="Bestaande situatie",IF(_xlfn.IFNA((VLOOKUP(Optimalisatie!AA60,Database_Asfalt_Verwijderset[#All],7,FALSE)*Optimalisatie!J60),0)+_xlfn.IFNA(VLOOKUP(Optimalisatie!AB60,Database_Brandstoffen[#All],7,FALSE)*((Optimalisatie!J60/Optimalisatie!AD60)*Optimalisatie!AC60),0)&gt;0,_xlfn.IFNA((VLOOKUP(Optimalisatie!AA60,Database_Asfalt_Verwijderset[#All],7,FALSE)*Optimalisatie!J60),0)+_xlfn.IFNA(VLOOKUP(Optimalisatie!AB60,Database_Brandstoffen[#All],7,FALSE)*((Optimalisatie!J60/Optimalisatie!AD60)*Optimalisatie!AC60),0),(_xlfn.IFNA(VLOOKUP(Inschrijf_MKI_Totaal[[#This Row],[Product]]&amp;", "&amp;Inschrijf_MKI_Totaal[[#Headers],[C1]],Database_Productkaarten[#All],14,FALSE),0)*Optimalisatie!J60)),0)</f>
        <v>0</v>
      </c>
      <c r="M58" s="9">
        <f>(IF(Optimalisatie!C60="Bestaande Situatie",_xlfn.IFNA(VLOOKUP(Optimalisatie!AF60,Database_Transport[#All],7,FALSE)*(Optimalisatie!R60*Optimalisatie!AE60),Baseline_Backlog!M58),0))</f>
        <v>0</v>
      </c>
      <c r="N58" s="9">
        <f>(IF(Optimalisatie!C60="Bestaande Situatie",_xlfn.IFNA(VLOOKUP(Optimalisatie!AG60,Database_Asfalt_Verwerkingsset[#All],7,FALSE)*(Optimalisatie!J60/VLOOKUP(Optimalisatie!AG60,Database_Asfalt_Verwerkingsset[#All],8,FALSE)),Baseline_Backlog!N58),0))</f>
        <v>0</v>
      </c>
      <c r="O58" s="9">
        <f>(IF(Optimalisatie!C60="Bestaande Situatie",_xlfn.IFNA(VLOOKUP(Inschrijf_MKI_Totaal[[#This Row],[Product]]&amp;", "&amp;Inschrijf_MKI_Totaal[[#Headers],[C4]],Database_Productkaarten[#All],14,FALSE),Baseline_Backlog!O58)*Optimalisatie!J60,0))</f>
        <v>0</v>
      </c>
      <c r="P58" s="9">
        <f>(IF(Optimalisatie!C60="Bestaande Situatie",_xlfn.IFNA(IF(Optimalisatie!E60="Categorie_1_LCA_Producten",VLOOKUP(Inschrijf_MKI_Totaal[[#This Row],[Product]],Categorie_1_Producten[#All],12,FALSE)*(Optimalisatie!J60),VLOOKUP(Inschrijf_MKI_Totaal[[#This Row],[Product]]&amp;", "&amp;Inschrijf_MKI_Totaal[[#Headers],[D1]],Database_Productkaarten[#All],14,FALSE)*Optimalisatie!J60),Baseline_Backlog!P58),0))</f>
        <v>0</v>
      </c>
      <c r="Q58" s="9">
        <f>(IF(Optimalisatie!C60="Bestaande Situatie",_xlfn.IFNA(IF(Optimalisatie!E60="Categorie_1_LCA_Producten",VLOOKUP(Inschrijf_MKI_Totaal[[#This Row],[Product]],Categorie_1_Producten[#All],13,FALSE)*(Optimalisatie!J60),VLOOKUP(Inschrijf_MKI_Totaal[[#This Row],[Product]]&amp;", "&amp;Inschrijf_MKI_Totaal[[#Headers],[D2]],Database_Productkaarten[#All],14,FALSE)*Optimalisatie!J60),Baseline_Backlog!Q58),0))</f>
        <v>0</v>
      </c>
      <c r="R58" s="9">
        <f>(IF(Optimalisatie!C60="Bestaande Situatie",_xlfn.IFNA(IF(Optimalisatie!E60="Categorie_1_LCA_Producten",VLOOKUP(Inschrijf_MKI_Totaal[[#This Row],[Product]],Categorie_1_Producten[#All],13,FALSE)*(Optimalisatie!J60),VLOOKUP(Inschrijf_MKI_Totaal[[#This Row],[Product]]&amp;", "&amp;Inschrijf_MKI_Totaal[[#Headers],[D]],Database_Productkaarten[#All],14,FALSE)*Optimalisatie!J60),Baseline_Backlog!S58),0))</f>
        <v>0</v>
      </c>
      <c r="S58" s="301">
        <f>SUM(Inschrijf_MKI_Totaal[[#This Row],[A1-A3]:[C4]])+Inschrijf_MKI_Totaal[[#This Row],[D]]</f>
        <v>0</v>
      </c>
      <c r="AA58" s="9">
        <f>_xlfn.IFNA((VLOOKUP(Optimalisatie!AA60,Database_Asfalt_Verwijderset[#All],7,FALSE)*Optimalisatie!J60),0)</f>
        <v>0</v>
      </c>
      <c r="AB58" s="9" t="e">
        <f>(VLOOKUP(Optimalisatie!AA60,Database_Asfalt_Verwijderset[#All],7,FALSE)*Optimalisatie!J60)</f>
        <v>#N/A</v>
      </c>
      <c r="AC58" s="332">
        <f>(_xlfn.IFNA(VLOOKUP(Inschrijf_MKI_Totaal[[#This Row],[Product]]&amp;", "&amp;Inschrijf_MKI_Totaal[[#Headers],[C1]],Database_Productkaarten[#All],14,FALSE),0)*Optimalisatie!J60)</f>
        <v>0</v>
      </c>
    </row>
    <row r="59" spans="2:29" hidden="1">
      <c r="B59" s="272">
        <f>Optimalisatie!B61</f>
        <v>0</v>
      </c>
      <c r="C59" s="9">
        <f>Optimalisatie!F61</f>
        <v>0</v>
      </c>
      <c r="D59" s="9">
        <f>(IF(Optimalisatie!C61="Nieuwe Situatie",_xlfn.IFNA(IF(Optimalisatie!E61="Categorie_1_LCA_Producten",VLOOKUP(Inschrijf_MKI_Totaal[[#This Row],[Product]],Categorie_1_Producten[#All],8,FALSE)*(Optimalisatie!J61),VLOOKUP(Inschrijf_MKI_Totaal[[#This Row],[Product]]&amp;", "&amp;Inschrijf_MKI_Totaal[[#Headers],[A1]],Database_Productkaarten[#All],14,FALSE)*Optimalisatie!J61),Baseline_Backlog!D59),0))</f>
        <v>0</v>
      </c>
      <c r="E59" s="9">
        <f>(IF(Optimalisatie!C61="Nieuwe Situatie",_xlfn.IFNA(IF(Optimalisatie!E61="Categorie_1_LCA_Producten",VLOOKUP(Inschrijf_MKI_Totaal[[#This Row],[Product]],Categorie_1_Producten[#All],9,FALSE)*(Optimalisatie!J61),VLOOKUP(Inschrijf_MKI_Totaal[[#This Row],[Product]]&amp;", "&amp;Inschrijf_MKI_Totaal[[#Headers],[A2]],Database_Productkaarten[#All],14,FALSE)*Optimalisatie!J61),Baseline_Backlog!E59),0))</f>
        <v>0</v>
      </c>
      <c r="F59" s="9">
        <f>(IF(Optimalisatie!C61="Nieuwe Situatie",_xlfn.IFNA(IF(Optimalisatie!E61="Categorie_1_LCA_Producten",VLOOKUP(Inschrijf_MKI_Totaal[[#This Row],[Product]],Categorie_1_Producten[#All],10,FALSE)*(Optimalisatie!J61),VLOOKUP(Inschrijf_MKI_Totaal[[#This Row],[Product]]&amp;", "&amp;Inschrijf_MKI_Totaal[[#Headers],[A3]],Database_Productkaarten[#All],14,FALSE)*Optimalisatie!J61),Baseline_Backlog!F59),0))</f>
        <v>0</v>
      </c>
      <c r="G59" s="9">
        <f>(IF(Optimalisatie!C61="Nieuwe Situatie",_xlfn.IFNA(IF(Optimalisatie!E61="Categorie_1_LCA_Producten",VLOOKUP(Inschrijf_MKI_Totaal[[#This Row],[Product]],Categorie_1_Producten[#All],11,FALSE)*(Optimalisatie!J61),VLOOKUP(Inschrijf_MKI_Totaal[[#This Row],[Product]]&amp;", "&amp;Inschrijf_MKI_Totaal[[#Headers],[A1-A3]],Database_Productkaarten[#All],14,FALSE)*Optimalisatie!J61),Baseline_Backlog!G59),0))</f>
        <v>0</v>
      </c>
      <c r="H59" s="9">
        <f>(IF(Optimalisatie!C61="Nieuwe Situatie",_xlfn.IFNA(VLOOKUP(Optimalisatie!V61,Database_Transport[#All],7,FALSE)*((IF(Optimalisatie!R61=0,Baseline!Q61,Optimalisatie!R61))*Optimalisatie!U61),Baseline_Backlog!H59),0))</f>
        <v>0</v>
      </c>
      <c r="I59" s="9">
        <f>IF(Optimalisatie!C61="Nieuwe situatie",IF(_xlfn.IFNA((VLOOKUP(Optimalisatie!W61,Database_Asfalt_Aanlegset[#All],7,FALSE)*Optimalisatie!J61),0)+_xlfn.IFNA(VLOOKUP(Optimalisatie!X61,Database_Brandstoffen[#All],7,FALSE)*((Optimalisatie!J61/Optimalisatie!Z61)*Optimalisatie!Y61),0)&gt;0,_xlfn.IFNA((VLOOKUP(Optimalisatie!W61,Database_Asfalt_Aanlegset[#All],7,FALSE)*Optimalisatie!J61),0)+_xlfn.IFNA(VLOOKUP(Optimalisatie!X61,Database_Brandstoffen[#All],7,FALSE)*((Optimalisatie!J61/Optimalisatie!Z61)*Optimalisatie!Y61),0),(_xlfn.IFNA(VLOOKUP(Inschrijf_MKI_Totaal[[#This Row],[Product]]&amp;", "&amp;Inschrijf_MKI_Totaal[[#Headers],[A5]],Database_Productkaarten[#All],14,FALSE),0)*Optimalisatie!J61)),0)</f>
        <v>0</v>
      </c>
      <c r="J59" s="9"/>
      <c r="K59" s="9">
        <f>(IF(Optimalisatie!C61="Nieuwe Situatie",_xlfn.IFNA(SUM(Inschrijf_MKI_Totaal[[#This Row],[A1]:[B1]],Inschrijf_MKI_Totaal[[#This Row],[C1]:[D2]])*Optimalisatie!T61,0),0))</f>
        <v>0</v>
      </c>
      <c r="L59" s="9">
        <f>IF(Optimalisatie!C61="Bestaande situatie",IF(_xlfn.IFNA((VLOOKUP(Optimalisatie!AA61,Database_Asfalt_Verwijderset[#All],7,FALSE)*Optimalisatie!J61),0)+_xlfn.IFNA(VLOOKUP(Optimalisatie!AB61,Database_Brandstoffen[#All],7,FALSE)*((Optimalisatie!J61/Optimalisatie!AD61)*Optimalisatie!AC61),0)&gt;0,_xlfn.IFNA((VLOOKUP(Optimalisatie!AA61,Database_Asfalt_Verwijderset[#All],7,FALSE)*Optimalisatie!J61),0)+_xlfn.IFNA(VLOOKUP(Optimalisatie!AB61,Database_Brandstoffen[#All],7,FALSE)*((Optimalisatie!J61/Optimalisatie!AD61)*Optimalisatie!AC61),0),(_xlfn.IFNA(VLOOKUP(Inschrijf_MKI_Totaal[[#This Row],[Product]]&amp;", "&amp;Inschrijf_MKI_Totaal[[#Headers],[C1]],Database_Productkaarten[#All],14,FALSE),0)*Optimalisatie!J61)),0)</f>
        <v>0</v>
      </c>
      <c r="M59" s="9">
        <f>(IF(Optimalisatie!C61="Bestaande Situatie",_xlfn.IFNA(VLOOKUP(Optimalisatie!AF61,Database_Transport[#All],7,FALSE)*(Optimalisatie!R61*Optimalisatie!AE61),Baseline_Backlog!M59),0))</f>
        <v>0</v>
      </c>
      <c r="N59" s="9">
        <f>(IF(Optimalisatie!C61="Bestaande Situatie",_xlfn.IFNA(VLOOKUP(Optimalisatie!AG61,Database_Asfalt_Verwerkingsset[#All],7,FALSE)*(Optimalisatie!J61/VLOOKUP(Optimalisatie!AG61,Database_Asfalt_Verwerkingsset[#All],8,FALSE)),Baseline_Backlog!N59),0))</f>
        <v>0</v>
      </c>
      <c r="O59" s="9">
        <f>(IF(Optimalisatie!C61="Bestaande Situatie",_xlfn.IFNA(VLOOKUP(Inschrijf_MKI_Totaal[[#This Row],[Product]]&amp;", "&amp;Inschrijf_MKI_Totaal[[#Headers],[C4]],Database_Productkaarten[#All],14,FALSE),Baseline_Backlog!O59)*Optimalisatie!J61,0))</f>
        <v>0</v>
      </c>
      <c r="P59" s="9">
        <f>(IF(Optimalisatie!C61="Bestaande Situatie",_xlfn.IFNA(IF(Optimalisatie!E61="Categorie_1_LCA_Producten",VLOOKUP(Inschrijf_MKI_Totaal[[#This Row],[Product]],Categorie_1_Producten[#All],12,FALSE)*(Optimalisatie!J61),VLOOKUP(Inschrijf_MKI_Totaal[[#This Row],[Product]]&amp;", "&amp;Inschrijf_MKI_Totaal[[#Headers],[D1]],Database_Productkaarten[#All],14,FALSE)*Optimalisatie!J61),Baseline_Backlog!P59),0))</f>
        <v>0</v>
      </c>
      <c r="Q59" s="9">
        <f>(IF(Optimalisatie!C61="Bestaande Situatie",_xlfn.IFNA(IF(Optimalisatie!E61="Categorie_1_LCA_Producten",VLOOKUP(Inschrijf_MKI_Totaal[[#This Row],[Product]],Categorie_1_Producten[#All],13,FALSE)*(Optimalisatie!J61),VLOOKUP(Inschrijf_MKI_Totaal[[#This Row],[Product]]&amp;", "&amp;Inschrijf_MKI_Totaal[[#Headers],[D2]],Database_Productkaarten[#All],14,FALSE)*Optimalisatie!J61),Baseline_Backlog!Q59),0))</f>
        <v>0</v>
      </c>
      <c r="R59" s="9">
        <f>(IF(Optimalisatie!C61="Bestaande Situatie",_xlfn.IFNA(IF(Optimalisatie!E61="Categorie_1_LCA_Producten",VLOOKUP(Inschrijf_MKI_Totaal[[#This Row],[Product]],Categorie_1_Producten[#All],13,FALSE)*(Optimalisatie!J61),VLOOKUP(Inschrijf_MKI_Totaal[[#This Row],[Product]]&amp;", "&amp;Inschrijf_MKI_Totaal[[#Headers],[D]],Database_Productkaarten[#All],14,FALSE)*Optimalisatie!J61),Baseline_Backlog!S59),0))</f>
        <v>0</v>
      </c>
      <c r="S59" s="301">
        <f>SUM(Inschrijf_MKI_Totaal[[#This Row],[A1-A3]:[C4]])+Inschrijf_MKI_Totaal[[#This Row],[D]]</f>
        <v>0</v>
      </c>
      <c r="AA59" s="9">
        <f>_xlfn.IFNA((VLOOKUP(Optimalisatie!AA61,Database_Asfalt_Verwijderset[#All],7,FALSE)*Optimalisatie!J61),0)</f>
        <v>0</v>
      </c>
      <c r="AB59" s="9" t="e">
        <f>(VLOOKUP(Optimalisatie!AA61,Database_Asfalt_Verwijderset[#All],7,FALSE)*Optimalisatie!J61)</f>
        <v>#N/A</v>
      </c>
      <c r="AC59" s="332">
        <f>(_xlfn.IFNA(VLOOKUP(Inschrijf_MKI_Totaal[[#This Row],[Product]]&amp;", "&amp;Inschrijf_MKI_Totaal[[#Headers],[C1]],Database_Productkaarten[#All],14,FALSE),0)*Optimalisatie!J61)</f>
        <v>0</v>
      </c>
    </row>
    <row r="60" spans="2:29" hidden="1">
      <c r="B60" s="272">
        <f>Optimalisatie!B62</f>
        <v>0</v>
      </c>
      <c r="C60" s="9">
        <f>Optimalisatie!F62</f>
        <v>0</v>
      </c>
      <c r="D60" s="9">
        <f>(IF(Optimalisatie!C62="Nieuwe Situatie",_xlfn.IFNA(IF(Optimalisatie!E62="Categorie_1_LCA_Producten",VLOOKUP(Inschrijf_MKI_Totaal[[#This Row],[Product]],Categorie_1_Producten[#All],8,FALSE)*(Optimalisatie!J62),VLOOKUP(Inschrijf_MKI_Totaal[[#This Row],[Product]]&amp;", "&amp;Inschrijf_MKI_Totaal[[#Headers],[A1]],Database_Productkaarten[#All],14,FALSE)*Optimalisatie!J62),Baseline_Backlog!D60),0))</f>
        <v>0</v>
      </c>
      <c r="E60" s="9">
        <f>(IF(Optimalisatie!C62="Nieuwe Situatie",_xlfn.IFNA(IF(Optimalisatie!E62="Categorie_1_LCA_Producten",VLOOKUP(Inschrijf_MKI_Totaal[[#This Row],[Product]],Categorie_1_Producten[#All],9,FALSE)*(Optimalisatie!J62),VLOOKUP(Inschrijf_MKI_Totaal[[#This Row],[Product]]&amp;", "&amp;Inschrijf_MKI_Totaal[[#Headers],[A2]],Database_Productkaarten[#All],14,FALSE)*Optimalisatie!J62),Baseline_Backlog!E60),0))</f>
        <v>0</v>
      </c>
      <c r="F60" s="9">
        <f>(IF(Optimalisatie!C62="Nieuwe Situatie",_xlfn.IFNA(IF(Optimalisatie!E62="Categorie_1_LCA_Producten",VLOOKUP(Inschrijf_MKI_Totaal[[#This Row],[Product]],Categorie_1_Producten[#All],10,FALSE)*(Optimalisatie!J62),VLOOKUP(Inschrijf_MKI_Totaal[[#This Row],[Product]]&amp;", "&amp;Inschrijf_MKI_Totaal[[#Headers],[A3]],Database_Productkaarten[#All],14,FALSE)*Optimalisatie!J62),Baseline_Backlog!F60),0))</f>
        <v>0</v>
      </c>
      <c r="G60" s="9">
        <f>(IF(Optimalisatie!C62="Nieuwe Situatie",_xlfn.IFNA(IF(Optimalisatie!E62="Categorie_1_LCA_Producten",VLOOKUP(Inschrijf_MKI_Totaal[[#This Row],[Product]],Categorie_1_Producten[#All],11,FALSE)*(Optimalisatie!J62),VLOOKUP(Inschrijf_MKI_Totaal[[#This Row],[Product]]&amp;", "&amp;Inschrijf_MKI_Totaal[[#Headers],[A1-A3]],Database_Productkaarten[#All],14,FALSE)*Optimalisatie!J62),Baseline_Backlog!G60),0))</f>
        <v>0</v>
      </c>
      <c r="H60" s="9">
        <f>(IF(Optimalisatie!C62="Nieuwe Situatie",_xlfn.IFNA(VLOOKUP(Optimalisatie!V62,Database_Transport[#All],7,FALSE)*((IF(Optimalisatie!R62=0,Baseline!Q62,Optimalisatie!R62))*Optimalisatie!U62),Baseline_Backlog!H60),0))</f>
        <v>0</v>
      </c>
      <c r="I60" s="9">
        <f>IF(Optimalisatie!C62="Nieuwe situatie",IF(_xlfn.IFNA((VLOOKUP(Optimalisatie!W62,Database_Asfalt_Aanlegset[#All],7,FALSE)*Optimalisatie!J62),0)+_xlfn.IFNA(VLOOKUP(Optimalisatie!X62,Database_Brandstoffen[#All],7,FALSE)*((Optimalisatie!J62/Optimalisatie!Z62)*Optimalisatie!Y62),0)&gt;0,_xlfn.IFNA((VLOOKUP(Optimalisatie!W62,Database_Asfalt_Aanlegset[#All],7,FALSE)*Optimalisatie!J62),0)+_xlfn.IFNA(VLOOKUP(Optimalisatie!X62,Database_Brandstoffen[#All],7,FALSE)*((Optimalisatie!J62/Optimalisatie!Z62)*Optimalisatie!Y62),0),(_xlfn.IFNA(VLOOKUP(Inschrijf_MKI_Totaal[[#This Row],[Product]]&amp;", "&amp;Inschrijf_MKI_Totaal[[#Headers],[A5]],Database_Productkaarten[#All],14,FALSE),0)*Optimalisatie!J62)),0)</f>
        <v>0</v>
      </c>
      <c r="J60" s="9"/>
      <c r="K60" s="9">
        <f>(IF(Optimalisatie!C62="Nieuwe Situatie",_xlfn.IFNA(SUM(Inschrijf_MKI_Totaal[[#This Row],[A1]:[B1]],Inschrijf_MKI_Totaal[[#This Row],[C1]:[D2]])*Optimalisatie!T62,0),0))</f>
        <v>0</v>
      </c>
      <c r="L60" s="9">
        <f>IF(Optimalisatie!C62="Bestaande situatie",IF(_xlfn.IFNA((VLOOKUP(Optimalisatie!AA62,Database_Asfalt_Verwijderset[#All],7,FALSE)*Optimalisatie!J62),0)+_xlfn.IFNA(VLOOKUP(Optimalisatie!AB62,Database_Brandstoffen[#All],7,FALSE)*((Optimalisatie!J62/Optimalisatie!AD62)*Optimalisatie!AC62),0)&gt;0,_xlfn.IFNA((VLOOKUP(Optimalisatie!AA62,Database_Asfalt_Verwijderset[#All],7,FALSE)*Optimalisatie!J62),0)+_xlfn.IFNA(VLOOKUP(Optimalisatie!AB62,Database_Brandstoffen[#All],7,FALSE)*((Optimalisatie!J62/Optimalisatie!AD62)*Optimalisatie!AC62),0),(_xlfn.IFNA(VLOOKUP(Inschrijf_MKI_Totaal[[#This Row],[Product]]&amp;", "&amp;Inschrijf_MKI_Totaal[[#Headers],[C1]],Database_Productkaarten[#All],14,FALSE),0)*Optimalisatie!J62)),0)</f>
        <v>0</v>
      </c>
      <c r="M60" s="9">
        <f>(IF(Optimalisatie!C62="Bestaande Situatie",_xlfn.IFNA(VLOOKUP(Optimalisatie!AF62,Database_Transport[#All],7,FALSE)*(Optimalisatie!R62*Optimalisatie!AE62),Baseline_Backlog!M60),0))</f>
        <v>0</v>
      </c>
      <c r="N60" s="9">
        <f>(IF(Optimalisatie!C62="Bestaande Situatie",_xlfn.IFNA(VLOOKUP(Optimalisatie!AG62,Database_Asfalt_Verwerkingsset[#All],7,FALSE)*(Optimalisatie!J62/VLOOKUP(Optimalisatie!AG62,Database_Asfalt_Verwerkingsset[#All],8,FALSE)),Baseline_Backlog!N60),0))</f>
        <v>0</v>
      </c>
      <c r="O60" s="9">
        <f>(IF(Optimalisatie!C62="Bestaande Situatie",_xlfn.IFNA(VLOOKUP(Inschrijf_MKI_Totaal[[#This Row],[Product]]&amp;", "&amp;Inschrijf_MKI_Totaal[[#Headers],[C4]],Database_Productkaarten[#All],14,FALSE),Baseline_Backlog!O60)*Optimalisatie!J62,0))</f>
        <v>0</v>
      </c>
      <c r="P60" s="9">
        <f>(IF(Optimalisatie!C62="Bestaande Situatie",_xlfn.IFNA(IF(Optimalisatie!E62="Categorie_1_LCA_Producten",VLOOKUP(Inschrijf_MKI_Totaal[[#This Row],[Product]],Categorie_1_Producten[#All],12,FALSE)*(Optimalisatie!J62),VLOOKUP(Inschrijf_MKI_Totaal[[#This Row],[Product]]&amp;", "&amp;Inschrijf_MKI_Totaal[[#Headers],[D1]],Database_Productkaarten[#All],14,FALSE)*Optimalisatie!J62),Baseline_Backlog!P60),0))</f>
        <v>0</v>
      </c>
      <c r="Q60" s="9">
        <f>(IF(Optimalisatie!C62="Bestaande Situatie",_xlfn.IFNA(IF(Optimalisatie!E62="Categorie_1_LCA_Producten",VLOOKUP(Inschrijf_MKI_Totaal[[#This Row],[Product]],Categorie_1_Producten[#All],13,FALSE)*(Optimalisatie!J62),VLOOKUP(Inschrijf_MKI_Totaal[[#This Row],[Product]]&amp;", "&amp;Inschrijf_MKI_Totaal[[#Headers],[D2]],Database_Productkaarten[#All],14,FALSE)*Optimalisatie!J62),Baseline_Backlog!Q60),0))</f>
        <v>0</v>
      </c>
      <c r="R60" s="9">
        <f>(IF(Optimalisatie!C62="Bestaande Situatie",_xlfn.IFNA(IF(Optimalisatie!E62="Categorie_1_LCA_Producten",VLOOKUP(Inschrijf_MKI_Totaal[[#This Row],[Product]],Categorie_1_Producten[#All],13,FALSE)*(Optimalisatie!J62),VLOOKUP(Inschrijf_MKI_Totaal[[#This Row],[Product]]&amp;", "&amp;Inschrijf_MKI_Totaal[[#Headers],[D]],Database_Productkaarten[#All],14,FALSE)*Optimalisatie!J62),Baseline_Backlog!S60),0))</f>
        <v>0</v>
      </c>
      <c r="S60" s="301">
        <f>SUM(Inschrijf_MKI_Totaal[[#This Row],[A1-A3]:[C4]])+Inschrijf_MKI_Totaal[[#This Row],[D]]</f>
        <v>0</v>
      </c>
      <c r="AA60" s="9">
        <f>_xlfn.IFNA((VLOOKUP(Optimalisatie!AA62,Database_Asfalt_Verwijderset[#All],7,FALSE)*Optimalisatie!J62),0)</f>
        <v>0</v>
      </c>
      <c r="AB60" s="9" t="e">
        <f>(VLOOKUP(Optimalisatie!AA62,Database_Asfalt_Verwijderset[#All],7,FALSE)*Optimalisatie!J62)</f>
        <v>#N/A</v>
      </c>
      <c r="AC60" s="332">
        <f>(_xlfn.IFNA(VLOOKUP(Inschrijf_MKI_Totaal[[#This Row],[Product]]&amp;", "&amp;Inschrijf_MKI_Totaal[[#Headers],[C1]],Database_Productkaarten[#All],14,FALSE),0)*Optimalisatie!J62)</f>
        <v>0</v>
      </c>
    </row>
    <row r="61" spans="2:29" hidden="1">
      <c r="B61" s="272">
        <f>Optimalisatie!B63</f>
        <v>0</v>
      </c>
      <c r="C61" s="9">
        <f>Optimalisatie!F63</f>
        <v>0</v>
      </c>
      <c r="D61" s="9">
        <f>(IF(Optimalisatie!C63="Nieuwe Situatie",_xlfn.IFNA(IF(Optimalisatie!E63="Categorie_1_LCA_Producten",VLOOKUP(Inschrijf_MKI_Totaal[[#This Row],[Product]],Categorie_1_Producten[#All],8,FALSE)*(Optimalisatie!J63),VLOOKUP(Inschrijf_MKI_Totaal[[#This Row],[Product]]&amp;", "&amp;Inschrijf_MKI_Totaal[[#Headers],[A1]],Database_Productkaarten[#All],14,FALSE)*Optimalisatie!J63),Baseline_Backlog!D61),0))</f>
        <v>0</v>
      </c>
      <c r="E61" s="9">
        <f>(IF(Optimalisatie!C63="Nieuwe Situatie",_xlfn.IFNA(IF(Optimalisatie!E63="Categorie_1_LCA_Producten",VLOOKUP(Inschrijf_MKI_Totaal[[#This Row],[Product]],Categorie_1_Producten[#All],9,FALSE)*(Optimalisatie!J63),VLOOKUP(Inschrijf_MKI_Totaal[[#This Row],[Product]]&amp;", "&amp;Inschrijf_MKI_Totaal[[#Headers],[A2]],Database_Productkaarten[#All],14,FALSE)*Optimalisatie!J63),Baseline_Backlog!E61),0))</f>
        <v>0</v>
      </c>
      <c r="F61" s="9">
        <f>(IF(Optimalisatie!C63="Nieuwe Situatie",_xlfn.IFNA(IF(Optimalisatie!E63="Categorie_1_LCA_Producten",VLOOKUP(Inschrijf_MKI_Totaal[[#This Row],[Product]],Categorie_1_Producten[#All],10,FALSE)*(Optimalisatie!J63),VLOOKUP(Inschrijf_MKI_Totaal[[#This Row],[Product]]&amp;", "&amp;Inschrijf_MKI_Totaal[[#Headers],[A3]],Database_Productkaarten[#All],14,FALSE)*Optimalisatie!J63),Baseline_Backlog!F61),0))</f>
        <v>0</v>
      </c>
      <c r="G61" s="9">
        <f>(IF(Optimalisatie!C63="Nieuwe Situatie",_xlfn.IFNA(IF(Optimalisatie!E63="Categorie_1_LCA_Producten",VLOOKUP(Inschrijf_MKI_Totaal[[#This Row],[Product]],Categorie_1_Producten[#All],11,FALSE)*(Optimalisatie!J63),VLOOKUP(Inschrijf_MKI_Totaal[[#This Row],[Product]]&amp;", "&amp;Inschrijf_MKI_Totaal[[#Headers],[A1-A3]],Database_Productkaarten[#All],14,FALSE)*Optimalisatie!J63),Baseline_Backlog!G61),0))</f>
        <v>0</v>
      </c>
      <c r="H61" s="9">
        <f>(IF(Optimalisatie!C63="Nieuwe Situatie",_xlfn.IFNA(VLOOKUP(Optimalisatie!V63,Database_Transport[#All],7,FALSE)*((IF(Optimalisatie!R63=0,Baseline!Q63,Optimalisatie!R63))*Optimalisatie!U63),Baseline_Backlog!H61),0))</f>
        <v>0</v>
      </c>
      <c r="I61" s="9">
        <f>IF(Optimalisatie!C63="Nieuwe situatie",IF(_xlfn.IFNA((VLOOKUP(Optimalisatie!W63,Database_Asfalt_Aanlegset[#All],7,FALSE)*Optimalisatie!J63),0)+_xlfn.IFNA(VLOOKUP(Optimalisatie!X63,Database_Brandstoffen[#All],7,FALSE)*((Optimalisatie!J63/Optimalisatie!Z63)*Optimalisatie!Y63),0)&gt;0,_xlfn.IFNA((VLOOKUP(Optimalisatie!W63,Database_Asfalt_Aanlegset[#All],7,FALSE)*Optimalisatie!J63),0)+_xlfn.IFNA(VLOOKUP(Optimalisatie!X63,Database_Brandstoffen[#All],7,FALSE)*((Optimalisatie!J63/Optimalisatie!Z63)*Optimalisatie!Y63),0),(_xlfn.IFNA(VLOOKUP(Inschrijf_MKI_Totaal[[#This Row],[Product]]&amp;", "&amp;Inschrijf_MKI_Totaal[[#Headers],[A5]],Database_Productkaarten[#All],14,FALSE),0)*Optimalisatie!J63)),0)</f>
        <v>0</v>
      </c>
      <c r="J61" s="9"/>
      <c r="K61" s="9">
        <f>(IF(Optimalisatie!C63="Nieuwe Situatie",_xlfn.IFNA(SUM(Inschrijf_MKI_Totaal[[#This Row],[A1]:[B1]],Inschrijf_MKI_Totaal[[#This Row],[C1]:[D2]])*Optimalisatie!T63,0),0))</f>
        <v>0</v>
      </c>
      <c r="L61" s="9">
        <f>IF(Optimalisatie!C63="Bestaande situatie",IF(_xlfn.IFNA((VLOOKUP(Optimalisatie!AA63,Database_Asfalt_Verwijderset[#All],7,FALSE)*Optimalisatie!J63),0)+_xlfn.IFNA(VLOOKUP(Optimalisatie!AB63,Database_Brandstoffen[#All],7,FALSE)*((Optimalisatie!J63/Optimalisatie!AD63)*Optimalisatie!AC63),0)&gt;0,_xlfn.IFNA((VLOOKUP(Optimalisatie!AA63,Database_Asfalt_Verwijderset[#All],7,FALSE)*Optimalisatie!J63),0)+_xlfn.IFNA(VLOOKUP(Optimalisatie!AB63,Database_Brandstoffen[#All],7,FALSE)*((Optimalisatie!J63/Optimalisatie!AD63)*Optimalisatie!AC63),0),(_xlfn.IFNA(VLOOKUP(Inschrijf_MKI_Totaal[[#This Row],[Product]]&amp;", "&amp;Inschrijf_MKI_Totaal[[#Headers],[C1]],Database_Productkaarten[#All],14,FALSE),0)*Optimalisatie!J63)),0)</f>
        <v>0</v>
      </c>
      <c r="M61" s="9">
        <f>(IF(Optimalisatie!C63="Bestaande Situatie",_xlfn.IFNA(VLOOKUP(Optimalisatie!AF63,Database_Transport[#All],7,FALSE)*(Optimalisatie!R63*Optimalisatie!AE63),Baseline_Backlog!M61),0))</f>
        <v>0</v>
      </c>
      <c r="N61" s="9">
        <f>(IF(Optimalisatie!C63="Bestaande Situatie",_xlfn.IFNA(VLOOKUP(Optimalisatie!AG63,Database_Asfalt_Verwerkingsset[#All],7,FALSE)*(Optimalisatie!J63/VLOOKUP(Optimalisatie!AG63,Database_Asfalt_Verwerkingsset[#All],8,FALSE)),Baseline_Backlog!N61),0))</f>
        <v>0</v>
      </c>
      <c r="O61" s="9">
        <f>(IF(Optimalisatie!C63="Bestaande Situatie",_xlfn.IFNA(VLOOKUP(Inschrijf_MKI_Totaal[[#This Row],[Product]]&amp;", "&amp;Inschrijf_MKI_Totaal[[#Headers],[C4]],Database_Productkaarten[#All],14,FALSE),Baseline_Backlog!O61)*Optimalisatie!J63,0))</f>
        <v>0</v>
      </c>
      <c r="P61" s="9">
        <f>(IF(Optimalisatie!C63="Bestaande Situatie",_xlfn.IFNA(IF(Optimalisatie!E63="Categorie_1_LCA_Producten",VLOOKUP(Inschrijf_MKI_Totaal[[#This Row],[Product]],Categorie_1_Producten[#All],12,FALSE)*(Optimalisatie!J63),VLOOKUP(Inschrijf_MKI_Totaal[[#This Row],[Product]]&amp;", "&amp;Inschrijf_MKI_Totaal[[#Headers],[D1]],Database_Productkaarten[#All],14,FALSE)*Optimalisatie!J63),Baseline_Backlog!P61),0))</f>
        <v>0</v>
      </c>
      <c r="Q61" s="9">
        <f>(IF(Optimalisatie!C63="Bestaande Situatie",_xlfn.IFNA(IF(Optimalisatie!E63="Categorie_1_LCA_Producten",VLOOKUP(Inschrijf_MKI_Totaal[[#This Row],[Product]],Categorie_1_Producten[#All],13,FALSE)*(Optimalisatie!J63),VLOOKUP(Inschrijf_MKI_Totaal[[#This Row],[Product]]&amp;", "&amp;Inschrijf_MKI_Totaal[[#Headers],[D2]],Database_Productkaarten[#All],14,FALSE)*Optimalisatie!J63),Baseline_Backlog!Q61),0))</f>
        <v>0</v>
      </c>
      <c r="R61" s="9">
        <f>(IF(Optimalisatie!C63="Bestaande Situatie",_xlfn.IFNA(IF(Optimalisatie!E63="Categorie_1_LCA_Producten",VLOOKUP(Inschrijf_MKI_Totaal[[#This Row],[Product]],Categorie_1_Producten[#All],13,FALSE)*(Optimalisatie!J63),VLOOKUP(Inschrijf_MKI_Totaal[[#This Row],[Product]]&amp;", "&amp;Inschrijf_MKI_Totaal[[#Headers],[D]],Database_Productkaarten[#All],14,FALSE)*Optimalisatie!J63),Baseline_Backlog!S61),0))</f>
        <v>0</v>
      </c>
      <c r="S61" s="301">
        <f>SUM(Inschrijf_MKI_Totaal[[#This Row],[A1-A3]:[C4]])+Inschrijf_MKI_Totaal[[#This Row],[D]]</f>
        <v>0</v>
      </c>
      <c r="AA61" s="9">
        <f>_xlfn.IFNA((VLOOKUP(Optimalisatie!AA63,Database_Asfalt_Verwijderset[#All],7,FALSE)*Optimalisatie!J63),0)</f>
        <v>0</v>
      </c>
      <c r="AB61" s="9" t="e">
        <f>(VLOOKUP(Optimalisatie!AA63,Database_Asfalt_Verwijderset[#All],7,FALSE)*Optimalisatie!J63)</f>
        <v>#N/A</v>
      </c>
      <c r="AC61" s="332">
        <f>(_xlfn.IFNA(VLOOKUP(Inschrijf_MKI_Totaal[[#This Row],[Product]]&amp;", "&amp;Inschrijf_MKI_Totaal[[#Headers],[C1]],Database_Productkaarten[#All],14,FALSE),0)*Optimalisatie!J63)</f>
        <v>0</v>
      </c>
    </row>
    <row r="62" spans="2:29" hidden="1">
      <c r="B62" s="272">
        <f>Optimalisatie!B64</f>
        <v>0</v>
      </c>
      <c r="C62" s="9">
        <f>Optimalisatie!F64</f>
        <v>0</v>
      </c>
      <c r="D62" s="9">
        <f>(IF(Optimalisatie!C64="Nieuwe Situatie",_xlfn.IFNA(IF(Optimalisatie!E64="Categorie_1_LCA_Producten",VLOOKUP(Inschrijf_MKI_Totaal[[#This Row],[Product]],Categorie_1_Producten[#All],8,FALSE)*(Optimalisatie!J64),VLOOKUP(Inschrijf_MKI_Totaal[[#This Row],[Product]]&amp;", "&amp;Inschrijf_MKI_Totaal[[#Headers],[A1]],Database_Productkaarten[#All],14,FALSE)*Optimalisatie!J64),Baseline_Backlog!D62),0))</f>
        <v>0</v>
      </c>
      <c r="E62" s="9">
        <f>(IF(Optimalisatie!C64="Nieuwe Situatie",_xlfn.IFNA(IF(Optimalisatie!E64="Categorie_1_LCA_Producten",VLOOKUP(Inschrijf_MKI_Totaal[[#This Row],[Product]],Categorie_1_Producten[#All],9,FALSE)*(Optimalisatie!J64),VLOOKUP(Inschrijf_MKI_Totaal[[#This Row],[Product]]&amp;", "&amp;Inschrijf_MKI_Totaal[[#Headers],[A2]],Database_Productkaarten[#All],14,FALSE)*Optimalisatie!J64),Baseline_Backlog!E62),0))</f>
        <v>0</v>
      </c>
      <c r="F62" s="9">
        <f>(IF(Optimalisatie!C64="Nieuwe Situatie",_xlfn.IFNA(IF(Optimalisatie!E64="Categorie_1_LCA_Producten",VLOOKUP(Inschrijf_MKI_Totaal[[#This Row],[Product]],Categorie_1_Producten[#All],10,FALSE)*(Optimalisatie!J64),VLOOKUP(Inschrijf_MKI_Totaal[[#This Row],[Product]]&amp;", "&amp;Inschrijf_MKI_Totaal[[#Headers],[A3]],Database_Productkaarten[#All],14,FALSE)*Optimalisatie!J64),Baseline_Backlog!F62),0))</f>
        <v>0</v>
      </c>
      <c r="G62" s="9">
        <f>(IF(Optimalisatie!C64="Nieuwe Situatie",_xlfn.IFNA(IF(Optimalisatie!E64="Categorie_1_LCA_Producten",VLOOKUP(Inschrijf_MKI_Totaal[[#This Row],[Product]],Categorie_1_Producten[#All],11,FALSE)*(Optimalisatie!J64),VLOOKUP(Inschrijf_MKI_Totaal[[#This Row],[Product]]&amp;", "&amp;Inschrijf_MKI_Totaal[[#Headers],[A1-A3]],Database_Productkaarten[#All],14,FALSE)*Optimalisatie!J64),Baseline_Backlog!G62),0))</f>
        <v>0</v>
      </c>
      <c r="H62" s="9">
        <f>(IF(Optimalisatie!C64="Nieuwe Situatie",_xlfn.IFNA(VLOOKUP(Optimalisatie!V64,Database_Transport[#All],7,FALSE)*((IF(Optimalisatie!R64=0,Baseline!Q64,Optimalisatie!R64))*Optimalisatie!U64),Baseline_Backlog!H62),0))</f>
        <v>0</v>
      </c>
      <c r="I62" s="9">
        <f>IF(Optimalisatie!C64="Nieuwe situatie",IF(_xlfn.IFNA((VLOOKUP(Optimalisatie!W64,Database_Asfalt_Aanlegset[#All],7,FALSE)*Optimalisatie!J64),0)+_xlfn.IFNA(VLOOKUP(Optimalisatie!X64,Database_Brandstoffen[#All],7,FALSE)*((Optimalisatie!J64/Optimalisatie!Z64)*Optimalisatie!Y64),0)&gt;0,_xlfn.IFNA((VLOOKUP(Optimalisatie!W64,Database_Asfalt_Aanlegset[#All],7,FALSE)*Optimalisatie!J64),0)+_xlfn.IFNA(VLOOKUP(Optimalisatie!X64,Database_Brandstoffen[#All],7,FALSE)*((Optimalisatie!J64/Optimalisatie!Z64)*Optimalisatie!Y64),0),(_xlfn.IFNA(VLOOKUP(Inschrijf_MKI_Totaal[[#This Row],[Product]]&amp;", "&amp;Inschrijf_MKI_Totaal[[#Headers],[A5]],Database_Productkaarten[#All],14,FALSE),0)*Optimalisatie!J64)),0)</f>
        <v>0</v>
      </c>
      <c r="J62" s="9"/>
      <c r="K62" s="9">
        <f>(IF(Optimalisatie!C64="Nieuwe Situatie",_xlfn.IFNA(SUM(Inschrijf_MKI_Totaal[[#This Row],[A1]:[B1]],Inschrijf_MKI_Totaal[[#This Row],[C1]:[D2]])*Optimalisatie!T64,0),0))</f>
        <v>0</v>
      </c>
      <c r="L62" s="9">
        <f>IF(Optimalisatie!C64="Bestaande situatie",IF(_xlfn.IFNA((VLOOKUP(Optimalisatie!AA64,Database_Asfalt_Verwijderset[#All],7,FALSE)*Optimalisatie!J64),0)+_xlfn.IFNA(VLOOKUP(Optimalisatie!AB64,Database_Brandstoffen[#All],7,FALSE)*((Optimalisatie!J64/Optimalisatie!AD64)*Optimalisatie!AC64),0)&gt;0,_xlfn.IFNA((VLOOKUP(Optimalisatie!AA64,Database_Asfalt_Verwijderset[#All],7,FALSE)*Optimalisatie!J64),0)+_xlfn.IFNA(VLOOKUP(Optimalisatie!AB64,Database_Brandstoffen[#All],7,FALSE)*((Optimalisatie!J64/Optimalisatie!AD64)*Optimalisatie!AC64),0),(_xlfn.IFNA(VLOOKUP(Inschrijf_MKI_Totaal[[#This Row],[Product]]&amp;", "&amp;Inschrijf_MKI_Totaal[[#Headers],[C1]],Database_Productkaarten[#All],14,FALSE),0)*Optimalisatie!J64)),0)</f>
        <v>0</v>
      </c>
      <c r="M62" s="9">
        <f>(IF(Optimalisatie!C64="Bestaande Situatie",_xlfn.IFNA(VLOOKUP(Optimalisatie!AF64,Database_Transport[#All],7,FALSE)*(Optimalisatie!R64*Optimalisatie!AE64),Baseline_Backlog!M62),0))</f>
        <v>0</v>
      </c>
      <c r="N62" s="9">
        <f>(IF(Optimalisatie!C64="Bestaande Situatie",_xlfn.IFNA(VLOOKUP(Optimalisatie!AG64,Database_Asfalt_Verwerkingsset[#All],7,FALSE)*(Optimalisatie!J64/VLOOKUP(Optimalisatie!AG64,Database_Asfalt_Verwerkingsset[#All],8,FALSE)),Baseline_Backlog!N62),0))</f>
        <v>0</v>
      </c>
      <c r="O62" s="9">
        <f>(IF(Optimalisatie!C64="Bestaande Situatie",_xlfn.IFNA(VLOOKUP(Inschrijf_MKI_Totaal[[#This Row],[Product]]&amp;", "&amp;Inschrijf_MKI_Totaal[[#Headers],[C4]],Database_Productkaarten[#All],14,FALSE),Baseline_Backlog!O62)*Optimalisatie!J64,0))</f>
        <v>0</v>
      </c>
      <c r="P62" s="9">
        <f>(IF(Optimalisatie!C64="Bestaande Situatie",_xlfn.IFNA(IF(Optimalisatie!E64="Categorie_1_LCA_Producten",VLOOKUP(Inschrijf_MKI_Totaal[[#This Row],[Product]],Categorie_1_Producten[#All],12,FALSE)*(Optimalisatie!J64),VLOOKUP(Inschrijf_MKI_Totaal[[#This Row],[Product]]&amp;", "&amp;Inschrijf_MKI_Totaal[[#Headers],[D1]],Database_Productkaarten[#All],14,FALSE)*Optimalisatie!J64),Baseline_Backlog!P62),0))</f>
        <v>0</v>
      </c>
      <c r="Q62" s="9">
        <f>(IF(Optimalisatie!C64="Bestaande Situatie",_xlfn.IFNA(IF(Optimalisatie!E64="Categorie_1_LCA_Producten",VLOOKUP(Inschrijf_MKI_Totaal[[#This Row],[Product]],Categorie_1_Producten[#All],13,FALSE)*(Optimalisatie!J64),VLOOKUP(Inschrijf_MKI_Totaal[[#This Row],[Product]]&amp;", "&amp;Inschrijf_MKI_Totaal[[#Headers],[D2]],Database_Productkaarten[#All],14,FALSE)*Optimalisatie!J64),Baseline_Backlog!Q62),0))</f>
        <v>0</v>
      </c>
      <c r="R62" s="9">
        <f>(IF(Optimalisatie!C64="Bestaande Situatie",_xlfn.IFNA(IF(Optimalisatie!E64="Categorie_1_LCA_Producten",VLOOKUP(Inschrijf_MKI_Totaal[[#This Row],[Product]],Categorie_1_Producten[#All],13,FALSE)*(Optimalisatie!J64),VLOOKUP(Inschrijf_MKI_Totaal[[#This Row],[Product]]&amp;", "&amp;Inschrijf_MKI_Totaal[[#Headers],[D]],Database_Productkaarten[#All],14,FALSE)*Optimalisatie!J64),Baseline_Backlog!S62),0))</f>
        <v>0</v>
      </c>
      <c r="S62" s="301">
        <f>SUM(Inschrijf_MKI_Totaal[[#This Row],[A1-A3]:[C4]])+Inschrijf_MKI_Totaal[[#This Row],[D]]</f>
        <v>0</v>
      </c>
      <c r="AA62" s="9">
        <f>_xlfn.IFNA((VLOOKUP(Optimalisatie!AA64,Database_Asfalt_Verwijderset[#All],7,FALSE)*Optimalisatie!J64),0)</f>
        <v>0</v>
      </c>
      <c r="AB62" s="9" t="e">
        <f>(VLOOKUP(Optimalisatie!AA64,Database_Asfalt_Verwijderset[#All],7,FALSE)*Optimalisatie!J64)</f>
        <v>#N/A</v>
      </c>
      <c r="AC62" s="332">
        <f>(_xlfn.IFNA(VLOOKUP(Inschrijf_MKI_Totaal[[#This Row],[Product]]&amp;", "&amp;Inschrijf_MKI_Totaal[[#Headers],[C1]],Database_Productkaarten[#All],14,FALSE),0)*Optimalisatie!J64)</f>
        <v>0</v>
      </c>
    </row>
    <row r="63" spans="2:29" hidden="1">
      <c r="B63" s="272">
        <f>Optimalisatie!B65</f>
        <v>0</v>
      </c>
      <c r="C63" s="9">
        <f>Optimalisatie!F65</f>
        <v>0</v>
      </c>
      <c r="D63" s="9">
        <f>(IF(Optimalisatie!C65="Nieuwe Situatie",_xlfn.IFNA(IF(Optimalisatie!E65="Categorie_1_LCA_Producten",VLOOKUP(Inschrijf_MKI_Totaal[[#This Row],[Product]],Categorie_1_Producten[#All],8,FALSE)*(Optimalisatie!J65),VLOOKUP(Inschrijf_MKI_Totaal[[#This Row],[Product]]&amp;", "&amp;Inschrijf_MKI_Totaal[[#Headers],[A1]],Database_Productkaarten[#All],14,FALSE)*Optimalisatie!J65),Baseline_Backlog!D63),0))</f>
        <v>0</v>
      </c>
      <c r="E63" s="9">
        <f>(IF(Optimalisatie!C65="Nieuwe Situatie",_xlfn.IFNA(IF(Optimalisatie!E65="Categorie_1_LCA_Producten",VLOOKUP(Inschrijf_MKI_Totaal[[#This Row],[Product]],Categorie_1_Producten[#All],9,FALSE)*(Optimalisatie!J65),VLOOKUP(Inschrijf_MKI_Totaal[[#This Row],[Product]]&amp;", "&amp;Inschrijf_MKI_Totaal[[#Headers],[A2]],Database_Productkaarten[#All],14,FALSE)*Optimalisatie!J65),Baseline_Backlog!E63),0))</f>
        <v>0</v>
      </c>
      <c r="F63" s="9">
        <f>(IF(Optimalisatie!C65="Nieuwe Situatie",_xlfn.IFNA(IF(Optimalisatie!E65="Categorie_1_LCA_Producten",VLOOKUP(Inschrijf_MKI_Totaal[[#This Row],[Product]],Categorie_1_Producten[#All],10,FALSE)*(Optimalisatie!J65),VLOOKUP(Inschrijf_MKI_Totaal[[#This Row],[Product]]&amp;", "&amp;Inschrijf_MKI_Totaal[[#Headers],[A3]],Database_Productkaarten[#All],14,FALSE)*Optimalisatie!J65),Baseline_Backlog!F63),0))</f>
        <v>0</v>
      </c>
      <c r="G63" s="9">
        <f>(IF(Optimalisatie!C65="Nieuwe Situatie",_xlfn.IFNA(IF(Optimalisatie!E65="Categorie_1_LCA_Producten",VLOOKUP(Inschrijf_MKI_Totaal[[#This Row],[Product]],Categorie_1_Producten[#All],11,FALSE)*(Optimalisatie!J65),VLOOKUP(Inschrijf_MKI_Totaal[[#This Row],[Product]]&amp;", "&amp;Inschrijf_MKI_Totaal[[#Headers],[A1-A3]],Database_Productkaarten[#All],14,FALSE)*Optimalisatie!J65),Baseline_Backlog!G63),0))</f>
        <v>0</v>
      </c>
      <c r="H63" s="9">
        <f>(IF(Optimalisatie!C65="Nieuwe Situatie",_xlfn.IFNA(VLOOKUP(Optimalisatie!V65,Database_Transport[#All],7,FALSE)*((IF(Optimalisatie!R65=0,Baseline!Q65,Optimalisatie!R65))*Optimalisatie!U65),Baseline_Backlog!H63),0))</f>
        <v>0</v>
      </c>
      <c r="I63" s="9">
        <f>IF(Optimalisatie!C65="Nieuwe situatie",IF(_xlfn.IFNA((VLOOKUP(Optimalisatie!W65,Database_Asfalt_Aanlegset[#All],7,FALSE)*Optimalisatie!J65),0)+_xlfn.IFNA(VLOOKUP(Optimalisatie!X65,Database_Brandstoffen[#All],7,FALSE)*((Optimalisatie!J65/Optimalisatie!Z65)*Optimalisatie!Y65),0)&gt;0,_xlfn.IFNA((VLOOKUP(Optimalisatie!W65,Database_Asfalt_Aanlegset[#All],7,FALSE)*Optimalisatie!J65),0)+_xlfn.IFNA(VLOOKUP(Optimalisatie!X65,Database_Brandstoffen[#All],7,FALSE)*((Optimalisatie!J65/Optimalisatie!Z65)*Optimalisatie!Y65),0),(_xlfn.IFNA(VLOOKUP(Inschrijf_MKI_Totaal[[#This Row],[Product]]&amp;", "&amp;Inschrijf_MKI_Totaal[[#Headers],[A5]],Database_Productkaarten[#All],14,FALSE),0)*Optimalisatie!J65)),0)</f>
        <v>0</v>
      </c>
      <c r="J63" s="9"/>
      <c r="K63" s="9">
        <f>(IF(Optimalisatie!C65="Nieuwe Situatie",_xlfn.IFNA(SUM(Inschrijf_MKI_Totaal[[#This Row],[A1]:[B1]],Inschrijf_MKI_Totaal[[#This Row],[C1]:[D2]])*Optimalisatie!T65,0),0))</f>
        <v>0</v>
      </c>
      <c r="L63" s="9">
        <f>IF(Optimalisatie!C65="Bestaande situatie",IF(_xlfn.IFNA((VLOOKUP(Optimalisatie!AA65,Database_Asfalt_Verwijderset[#All],7,FALSE)*Optimalisatie!J65),0)+_xlfn.IFNA(VLOOKUP(Optimalisatie!AB65,Database_Brandstoffen[#All],7,FALSE)*((Optimalisatie!J65/Optimalisatie!AD65)*Optimalisatie!AC65),0)&gt;0,_xlfn.IFNA((VLOOKUP(Optimalisatie!AA65,Database_Asfalt_Verwijderset[#All],7,FALSE)*Optimalisatie!J65),0)+_xlfn.IFNA(VLOOKUP(Optimalisatie!AB65,Database_Brandstoffen[#All],7,FALSE)*((Optimalisatie!J65/Optimalisatie!AD65)*Optimalisatie!AC65),0),(_xlfn.IFNA(VLOOKUP(Inschrijf_MKI_Totaal[[#This Row],[Product]]&amp;", "&amp;Inschrijf_MKI_Totaal[[#Headers],[C1]],Database_Productkaarten[#All],14,FALSE),0)*Optimalisatie!J65)),0)</f>
        <v>0</v>
      </c>
      <c r="M63" s="9">
        <f>(IF(Optimalisatie!C65="Bestaande Situatie",_xlfn.IFNA(VLOOKUP(Optimalisatie!AF65,Database_Transport[#All],7,FALSE)*(Optimalisatie!R65*Optimalisatie!AE65),Baseline_Backlog!M63),0))</f>
        <v>0</v>
      </c>
      <c r="N63" s="9">
        <f>(IF(Optimalisatie!C65="Bestaande Situatie",_xlfn.IFNA(VLOOKUP(Optimalisatie!AG65,Database_Asfalt_Verwerkingsset[#All],7,FALSE)*(Optimalisatie!J65/VLOOKUP(Optimalisatie!AG65,Database_Asfalt_Verwerkingsset[#All],8,FALSE)),Baseline_Backlog!N63),0))</f>
        <v>0</v>
      </c>
      <c r="O63" s="9">
        <f>(IF(Optimalisatie!C65="Bestaande Situatie",_xlfn.IFNA(VLOOKUP(Inschrijf_MKI_Totaal[[#This Row],[Product]]&amp;", "&amp;Inschrijf_MKI_Totaal[[#Headers],[C4]],Database_Productkaarten[#All],14,FALSE),Baseline_Backlog!O63)*Optimalisatie!J65,0))</f>
        <v>0</v>
      </c>
      <c r="P63" s="9">
        <f>(IF(Optimalisatie!C65="Bestaande Situatie",_xlfn.IFNA(IF(Optimalisatie!E65="Categorie_1_LCA_Producten",VLOOKUP(Inschrijf_MKI_Totaal[[#This Row],[Product]],Categorie_1_Producten[#All],12,FALSE)*(Optimalisatie!J65),VLOOKUP(Inschrijf_MKI_Totaal[[#This Row],[Product]]&amp;", "&amp;Inschrijf_MKI_Totaal[[#Headers],[D1]],Database_Productkaarten[#All],14,FALSE)*Optimalisatie!J65),Baseline_Backlog!P63),0))</f>
        <v>0</v>
      </c>
      <c r="Q63" s="9">
        <f>(IF(Optimalisatie!C65="Bestaande Situatie",_xlfn.IFNA(IF(Optimalisatie!E65="Categorie_1_LCA_Producten",VLOOKUP(Inschrijf_MKI_Totaal[[#This Row],[Product]],Categorie_1_Producten[#All],13,FALSE)*(Optimalisatie!J65),VLOOKUP(Inschrijf_MKI_Totaal[[#This Row],[Product]]&amp;", "&amp;Inschrijf_MKI_Totaal[[#Headers],[D2]],Database_Productkaarten[#All],14,FALSE)*Optimalisatie!J65),Baseline_Backlog!Q63),0))</f>
        <v>0</v>
      </c>
      <c r="R63" s="9">
        <f>(IF(Optimalisatie!C65="Bestaande Situatie",_xlfn.IFNA(IF(Optimalisatie!E65="Categorie_1_LCA_Producten",VLOOKUP(Inschrijf_MKI_Totaal[[#This Row],[Product]],Categorie_1_Producten[#All],13,FALSE)*(Optimalisatie!J65),VLOOKUP(Inschrijf_MKI_Totaal[[#This Row],[Product]]&amp;", "&amp;Inschrijf_MKI_Totaal[[#Headers],[D]],Database_Productkaarten[#All],14,FALSE)*Optimalisatie!J65),Baseline_Backlog!S63),0))</f>
        <v>0</v>
      </c>
      <c r="S63" s="301">
        <f>SUM(Inschrijf_MKI_Totaal[[#This Row],[A1-A3]:[C4]])+Inschrijf_MKI_Totaal[[#This Row],[D]]</f>
        <v>0</v>
      </c>
      <c r="AA63" s="9">
        <f>_xlfn.IFNA((VLOOKUP(Optimalisatie!AA65,Database_Asfalt_Verwijderset[#All],7,FALSE)*Optimalisatie!J65),0)</f>
        <v>0</v>
      </c>
      <c r="AB63" s="9" t="e">
        <f>(VLOOKUP(Optimalisatie!AA65,Database_Asfalt_Verwijderset[#All],7,FALSE)*Optimalisatie!J65)</f>
        <v>#N/A</v>
      </c>
      <c r="AC63" s="332">
        <f>(_xlfn.IFNA(VLOOKUP(Inschrijf_MKI_Totaal[[#This Row],[Product]]&amp;", "&amp;Inschrijf_MKI_Totaal[[#Headers],[C1]],Database_Productkaarten[#All],14,FALSE),0)*Optimalisatie!J65)</f>
        <v>0</v>
      </c>
    </row>
    <row r="64" spans="2:29" hidden="1">
      <c r="B64" s="272">
        <f>Optimalisatie!B66</f>
        <v>0</v>
      </c>
      <c r="C64" s="9">
        <f>Optimalisatie!F66</f>
        <v>0</v>
      </c>
      <c r="D64" s="9">
        <f>(IF(Optimalisatie!C66="Nieuwe Situatie",_xlfn.IFNA(IF(Optimalisatie!E66="Categorie_1_LCA_Producten",VLOOKUP(Inschrijf_MKI_Totaal[[#This Row],[Product]],Categorie_1_Producten[#All],8,FALSE)*(Optimalisatie!J66),VLOOKUP(Inschrijf_MKI_Totaal[[#This Row],[Product]]&amp;", "&amp;Inschrijf_MKI_Totaal[[#Headers],[A1]],Database_Productkaarten[#All],14,FALSE)*Optimalisatie!J66),Baseline_Backlog!D64),0))</f>
        <v>0</v>
      </c>
      <c r="E64" s="9">
        <f>(IF(Optimalisatie!C66="Nieuwe Situatie",_xlfn.IFNA(IF(Optimalisatie!E66="Categorie_1_LCA_Producten",VLOOKUP(Inschrijf_MKI_Totaal[[#This Row],[Product]],Categorie_1_Producten[#All],9,FALSE)*(Optimalisatie!J66),VLOOKUP(Inschrijf_MKI_Totaal[[#This Row],[Product]]&amp;", "&amp;Inschrijf_MKI_Totaal[[#Headers],[A2]],Database_Productkaarten[#All],14,FALSE)*Optimalisatie!J66),Baseline_Backlog!E64),0))</f>
        <v>0</v>
      </c>
      <c r="F64" s="9">
        <f>(IF(Optimalisatie!C66="Nieuwe Situatie",_xlfn.IFNA(IF(Optimalisatie!E66="Categorie_1_LCA_Producten",VLOOKUP(Inschrijf_MKI_Totaal[[#This Row],[Product]],Categorie_1_Producten[#All],10,FALSE)*(Optimalisatie!J66),VLOOKUP(Inschrijf_MKI_Totaal[[#This Row],[Product]]&amp;", "&amp;Inschrijf_MKI_Totaal[[#Headers],[A3]],Database_Productkaarten[#All],14,FALSE)*Optimalisatie!J66),Baseline_Backlog!F64),0))</f>
        <v>0</v>
      </c>
      <c r="G64" s="9">
        <f>(IF(Optimalisatie!C66="Nieuwe Situatie",_xlfn.IFNA(IF(Optimalisatie!E66="Categorie_1_LCA_Producten",VLOOKUP(Inschrijf_MKI_Totaal[[#This Row],[Product]],Categorie_1_Producten[#All],11,FALSE)*(Optimalisatie!J66),VLOOKUP(Inschrijf_MKI_Totaal[[#This Row],[Product]]&amp;", "&amp;Inschrijf_MKI_Totaal[[#Headers],[A1-A3]],Database_Productkaarten[#All],14,FALSE)*Optimalisatie!J66),Baseline_Backlog!G64),0))</f>
        <v>0</v>
      </c>
      <c r="H64" s="9">
        <f>(IF(Optimalisatie!C66="Nieuwe Situatie",_xlfn.IFNA(VLOOKUP(Optimalisatie!V66,Database_Transport[#All],7,FALSE)*((IF(Optimalisatie!R66=0,Baseline!Q66,Optimalisatie!R66))*Optimalisatie!U66),Baseline_Backlog!H64),0))</f>
        <v>0</v>
      </c>
      <c r="I64" s="9">
        <f>IF(Optimalisatie!C66="Nieuwe situatie",IF(_xlfn.IFNA((VLOOKUP(Optimalisatie!W66,Database_Asfalt_Aanlegset[#All],7,FALSE)*Optimalisatie!J66),0)+_xlfn.IFNA(VLOOKUP(Optimalisatie!X66,Database_Brandstoffen[#All],7,FALSE)*((Optimalisatie!J66/Optimalisatie!Z66)*Optimalisatie!Y66),0)&gt;0,_xlfn.IFNA((VLOOKUP(Optimalisatie!W66,Database_Asfalt_Aanlegset[#All],7,FALSE)*Optimalisatie!J66),0)+_xlfn.IFNA(VLOOKUP(Optimalisatie!X66,Database_Brandstoffen[#All],7,FALSE)*((Optimalisatie!J66/Optimalisatie!Z66)*Optimalisatie!Y66),0),(_xlfn.IFNA(VLOOKUP(Inschrijf_MKI_Totaal[[#This Row],[Product]]&amp;", "&amp;Inschrijf_MKI_Totaal[[#Headers],[A5]],Database_Productkaarten[#All],14,FALSE),0)*Optimalisatie!J66)),0)</f>
        <v>0</v>
      </c>
      <c r="J64" s="9"/>
      <c r="K64" s="9">
        <f>(IF(Optimalisatie!C66="Nieuwe Situatie",_xlfn.IFNA(SUM(Inschrijf_MKI_Totaal[[#This Row],[A1]:[B1]],Inschrijf_MKI_Totaal[[#This Row],[C1]:[D2]])*Optimalisatie!T66,0),0))</f>
        <v>0</v>
      </c>
      <c r="L64" s="9">
        <f>IF(Optimalisatie!C66="Bestaande situatie",IF(_xlfn.IFNA((VLOOKUP(Optimalisatie!AA66,Database_Asfalt_Verwijderset[#All],7,FALSE)*Optimalisatie!J66),0)+_xlfn.IFNA(VLOOKUP(Optimalisatie!AB66,Database_Brandstoffen[#All],7,FALSE)*((Optimalisatie!J66/Optimalisatie!AD66)*Optimalisatie!AC66),0)&gt;0,_xlfn.IFNA((VLOOKUP(Optimalisatie!AA66,Database_Asfalt_Verwijderset[#All],7,FALSE)*Optimalisatie!J66),0)+_xlfn.IFNA(VLOOKUP(Optimalisatie!AB66,Database_Brandstoffen[#All],7,FALSE)*((Optimalisatie!J66/Optimalisatie!AD66)*Optimalisatie!AC66),0),(_xlfn.IFNA(VLOOKUP(Inschrijf_MKI_Totaal[[#This Row],[Product]]&amp;", "&amp;Inschrijf_MKI_Totaal[[#Headers],[C1]],Database_Productkaarten[#All],14,FALSE),0)*Optimalisatie!J66)),0)</f>
        <v>0</v>
      </c>
      <c r="M64" s="9">
        <f>(IF(Optimalisatie!C66="Bestaande Situatie",_xlfn.IFNA(VLOOKUP(Optimalisatie!AF66,Database_Transport[#All],7,FALSE)*(Optimalisatie!R66*Optimalisatie!AE66),Baseline_Backlog!M64),0))</f>
        <v>0</v>
      </c>
      <c r="N64" s="9">
        <f>(IF(Optimalisatie!C66="Bestaande Situatie",_xlfn.IFNA(VLOOKUP(Optimalisatie!AG66,Database_Asfalt_Verwerkingsset[#All],7,FALSE)*(Optimalisatie!J66/VLOOKUP(Optimalisatie!AG66,Database_Asfalt_Verwerkingsset[#All],8,FALSE)),Baseline_Backlog!N64),0))</f>
        <v>0</v>
      </c>
      <c r="O64" s="9">
        <f>(IF(Optimalisatie!C66="Bestaande Situatie",_xlfn.IFNA(VLOOKUP(Inschrijf_MKI_Totaal[[#This Row],[Product]]&amp;", "&amp;Inschrijf_MKI_Totaal[[#Headers],[C4]],Database_Productkaarten[#All],14,FALSE),Baseline_Backlog!O64)*Optimalisatie!J66,0))</f>
        <v>0</v>
      </c>
      <c r="P64" s="9">
        <f>(IF(Optimalisatie!C66="Bestaande Situatie",_xlfn.IFNA(IF(Optimalisatie!E66="Categorie_1_LCA_Producten",VLOOKUP(Inschrijf_MKI_Totaal[[#This Row],[Product]],Categorie_1_Producten[#All],12,FALSE)*(Optimalisatie!J66),VLOOKUP(Inschrijf_MKI_Totaal[[#This Row],[Product]]&amp;", "&amp;Inschrijf_MKI_Totaal[[#Headers],[D1]],Database_Productkaarten[#All],14,FALSE)*Optimalisatie!J66),Baseline_Backlog!P64),0))</f>
        <v>0</v>
      </c>
      <c r="Q64" s="9">
        <f>(IF(Optimalisatie!C66="Bestaande Situatie",_xlfn.IFNA(IF(Optimalisatie!E66="Categorie_1_LCA_Producten",VLOOKUP(Inschrijf_MKI_Totaal[[#This Row],[Product]],Categorie_1_Producten[#All],13,FALSE)*(Optimalisatie!J66),VLOOKUP(Inschrijf_MKI_Totaal[[#This Row],[Product]]&amp;", "&amp;Inschrijf_MKI_Totaal[[#Headers],[D2]],Database_Productkaarten[#All],14,FALSE)*Optimalisatie!J66),Baseline_Backlog!Q64),0))</f>
        <v>0</v>
      </c>
      <c r="R64" s="9">
        <f>(IF(Optimalisatie!C66="Bestaande Situatie",_xlfn.IFNA(IF(Optimalisatie!E66="Categorie_1_LCA_Producten",VLOOKUP(Inschrijf_MKI_Totaal[[#This Row],[Product]],Categorie_1_Producten[#All],13,FALSE)*(Optimalisatie!J66),VLOOKUP(Inschrijf_MKI_Totaal[[#This Row],[Product]]&amp;", "&amp;Inschrijf_MKI_Totaal[[#Headers],[D]],Database_Productkaarten[#All],14,FALSE)*Optimalisatie!J66),Baseline_Backlog!S64),0))</f>
        <v>0</v>
      </c>
      <c r="S64" s="301">
        <f>SUM(Inschrijf_MKI_Totaal[[#This Row],[A1-A3]:[C4]])+Inschrijf_MKI_Totaal[[#This Row],[D]]</f>
        <v>0</v>
      </c>
      <c r="AA64" s="9">
        <f>_xlfn.IFNA((VLOOKUP(Optimalisatie!AA66,Database_Asfalt_Verwijderset[#All],7,FALSE)*Optimalisatie!J66),0)</f>
        <v>0</v>
      </c>
      <c r="AB64" s="9" t="e">
        <f>(VLOOKUP(Optimalisatie!AA66,Database_Asfalt_Verwijderset[#All],7,FALSE)*Optimalisatie!J66)</f>
        <v>#N/A</v>
      </c>
      <c r="AC64" s="332">
        <f>(_xlfn.IFNA(VLOOKUP(Inschrijf_MKI_Totaal[[#This Row],[Product]]&amp;", "&amp;Inschrijf_MKI_Totaal[[#Headers],[C1]],Database_Productkaarten[#All],14,FALSE),0)*Optimalisatie!J66)</f>
        <v>0</v>
      </c>
    </row>
    <row r="65" spans="2:29" hidden="1">
      <c r="B65" s="272">
        <f>Optimalisatie!B67</f>
        <v>0</v>
      </c>
      <c r="C65" s="9">
        <f>Optimalisatie!F67</f>
        <v>0</v>
      </c>
      <c r="D65" s="9">
        <f>(IF(Optimalisatie!C67="Nieuwe Situatie",_xlfn.IFNA(IF(Optimalisatie!E67="Categorie_1_LCA_Producten",VLOOKUP(Inschrijf_MKI_Totaal[[#This Row],[Product]],Categorie_1_Producten[#All],8,FALSE)*(Optimalisatie!J67),VLOOKUP(Inschrijf_MKI_Totaal[[#This Row],[Product]]&amp;", "&amp;Inschrijf_MKI_Totaal[[#Headers],[A1]],Database_Productkaarten[#All],14,FALSE)*Optimalisatie!J67),Baseline_Backlog!D65),0))</f>
        <v>0</v>
      </c>
      <c r="E65" s="9">
        <f>(IF(Optimalisatie!C67="Nieuwe Situatie",_xlfn.IFNA(IF(Optimalisatie!E67="Categorie_1_LCA_Producten",VLOOKUP(Inschrijf_MKI_Totaal[[#This Row],[Product]],Categorie_1_Producten[#All],9,FALSE)*(Optimalisatie!J67),VLOOKUP(Inschrijf_MKI_Totaal[[#This Row],[Product]]&amp;", "&amp;Inschrijf_MKI_Totaal[[#Headers],[A2]],Database_Productkaarten[#All],14,FALSE)*Optimalisatie!J67),Baseline_Backlog!E65),0))</f>
        <v>0</v>
      </c>
      <c r="F65" s="9">
        <f>(IF(Optimalisatie!C67="Nieuwe Situatie",_xlfn.IFNA(IF(Optimalisatie!E67="Categorie_1_LCA_Producten",VLOOKUP(Inschrijf_MKI_Totaal[[#This Row],[Product]],Categorie_1_Producten[#All],10,FALSE)*(Optimalisatie!J67),VLOOKUP(Inschrijf_MKI_Totaal[[#This Row],[Product]]&amp;", "&amp;Inschrijf_MKI_Totaal[[#Headers],[A3]],Database_Productkaarten[#All],14,FALSE)*Optimalisatie!J67),Baseline_Backlog!F65),0))</f>
        <v>0</v>
      </c>
      <c r="G65" s="9">
        <f>(IF(Optimalisatie!C67="Nieuwe Situatie",_xlfn.IFNA(IF(Optimalisatie!E67="Categorie_1_LCA_Producten",VLOOKUP(Inschrijf_MKI_Totaal[[#This Row],[Product]],Categorie_1_Producten[#All],11,FALSE)*(Optimalisatie!J67),VLOOKUP(Inschrijf_MKI_Totaal[[#This Row],[Product]]&amp;", "&amp;Inschrijf_MKI_Totaal[[#Headers],[A1-A3]],Database_Productkaarten[#All],14,FALSE)*Optimalisatie!J67),Baseline_Backlog!G65),0))</f>
        <v>0</v>
      </c>
      <c r="H65" s="9">
        <f>(IF(Optimalisatie!C67="Nieuwe Situatie",_xlfn.IFNA(VLOOKUP(Optimalisatie!V67,Database_Transport[#All],7,FALSE)*((IF(Optimalisatie!R67=0,Baseline!Q67,Optimalisatie!R67))*Optimalisatie!U67),Baseline_Backlog!H65),0))</f>
        <v>0</v>
      </c>
      <c r="I65" s="9">
        <f>IF(Optimalisatie!C67="Nieuwe situatie",IF(_xlfn.IFNA((VLOOKUP(Optimalisatie!W67,Database_Asfalt_Aanlegset[#All],7,FALSE)*Optimalisatie!J67),0)+_xlfn.IFNA(VLOOKUP(Optimalisatie!X67,Database_Brandstoffen[#All],7,FALSE)*((Optimalisatie!J67/Optimalisatie!Z67)*Optimalisatie!Y67),0)&gt;0,_xlfn.IFNA((VLOOKUP(Optimalisatie!W67,Database_Asfalt_Aanlegset[#All],7,FALSE)*Optimalisatie!J67),0)+_xlfn.IFNA(VLOOKUP(Optimalisatie!X67,Database_Brandstoffen[#All],7,FALSE)*((Optimalisatie!J67/Optimalisatie!Z67)*Optimalisatie!Y67),0),(_xlfn.IFNA(VLOOKUP(Inschrijf_MKI_Totaal[[#This Row],[Product]]&amp;", "&amp;Inschrijf_MKI_Totaal[[#Headers],[A5]],Database_Productkaarten[#All],14,FALSE),0)*Optimalisatie!J67)),0)</f>
        <v>0</v>
      </c>
      <c r="J65" s="9"/>
      <c r="K65" s="9">
        <f>(IF(Optimalisatie!C67="Nieuwe Situatie",_xlfn.IFNA(SUM(Inschrijf_MKI_Totaal[[#This Row],[A1]:[B1]],Inschrijf_MKI_Totaal[[#This Row],[C1]:[D2]])*Optimalisatie!T67,0),0))</f>
        <v>0</v>
      </c>
      <c r="L65" s="9">
        <f>IF(Optimalisatie!C67="Bestaande situatie",IF(_xlfn.IFNA((VLOOKUP(Optimalisatie!AA67,Database_Asfalt_Verwijderset[#All],7,FALSE)*Optimalisatie!J67),0)+_xlfn.IFNA(VLOOKUP(Optimalisatie!AB67,Database_Brandstoffen[#All],7,FALSE)*((Optimalisatie!J67/Optimalisatie!AD67)*Optimalisatie!AC67),0)&gt;0,_xlfn.IFNA((VLOOKUP(Optimalisatie!AA67,Database_Asfalt_Verwijderset[#All],7,FALSE)*Optimalisatie!J67),0)+_xlfn.IFNA(VLOOKUP(Optimalisatie!AB67,Database_Brandstoffen[#All],7,FALSE)*((Optimalisatie!J67/Optimalisatie!AD67)*Optimalisatie!AC67),0),(_xlfn.IFNA(VLOOKUP(Inschrijf_MKI_Totaal[[#This Row],[Product]]&amp;", "&amp;Inschrijf_MKI_Totaal[[#Headers],[C1]],Database_Productkaarten[#All],14,FALSE),0)*Optimalisatie!J67)),0)</f>
        <v>0</v>
      </c>
      <c r="M65" s="9">
        <f>(IF(Optimalisatie!C67="Bestaande Situatie",_xlfn.IFNA(VLOOKUP(Optimalisatie!AF67,Database_Transport[#All],7,FALSE)*(Optimalisatie!R67*Optimalisatie!AE67),Baseline_Backlog!M65),0))</f>
        <v>0</v>
      </c>
      <c r="N65" s="9">
        <f>(IF(Optimalisatie!C67="Bestaande Situatie",_xlfn.IFNA(VLOOKUP(Optimalisatie!AG67,Database_Asfalt_Verwerkingsset[#All],7,FALSE)*(Optimalisatie!J67/VLOOKUP(Optimalisatie!AG67,Database_Asfalt_Verwerkingsset[#All],8,FALSE)),Baseline_Backlog!N65),0))</f>
        <v>0</v>
      </c>
      <c r="O65" s="9">
        <f>(IF(Optimalisatie!C67="Bestaande Situatie",_xlfn.IFNA(VLOOKUP(Inschrijf_MKI_Totaal[[#This Row],[Product]]&amp;", "&amp;Inschrijf_MKI_Totaal[[#Headers],[C4]],Database_Productkaarten[#All],14,FALSE),Baseline_Backlog!O65)*Optimalisatie!J67,0))</f>
        <v>0</v>
      </c>
      <c r="P65" s="9">
        <f>(IF(Optimalisatie!C67="Bestaande Situatie",_xlfn.IFNA(IF(Optimalisatie!E67="Categorie_1_LCA_Producten",VLOOKUP(Inschrijf_MKI_Totaal[[#This Row],[Product]],Categorie_1_Producten[#All],12,FALSE)*(Optimalisatie!J67),VLOOKUP(Inschrijf_MKI_Totaal[[#This Row],[Product]]&amp;", "&amp;Inschrijf_MKI_Totaal[[#Headers],[D1]],Database_Productkaarten[#All],14,FALSE)*Optimalisatie!J67),Baseline_Backlog!P65),0))</f>
        <v>0</v>
      </c>
      <c r="Q65" s="9">
        <f>(IF(Optimalisatie!C67="Bestaande Situatie",_xlfn.IFNA(IF(Optimalisatie!E67="Categorie_1_LCA_Producten",VLOOKUP(Inschrijf_MKI_Totaal[[#This Row],[Product]],Categorie_1_Producten[#All],13,FALSE)*(Optimalisatie!J67),VLOOKUP(Inschrijf_MKI_Totaal[[#This Row],[Product]]&amp;", "&amp;Inschrijf_MKI_Totaal[[#Headers],[D2]],Database_Productkaarten[#All],14,FALSE)*Optimalisatie!J67),Baseline_Backlog!Q65),0))</f>
        <v>0</v>
      </c>
      <c r="R65" s="9">
        <f>(IF(Optimalisatie!C67="Bestaande Situatie",_xlfn.IFNA(IF(Optimalisatie!E67="Categorie_1_LCA_Producten",VLOOKUP(Inschrijf_MKI_Totaal[[#This Row],[Product]],Categorie_1_Producten[#All],13,FALSE)*(Optimalisatie!J67),VLOOKUP(Inschrijf_MKI_Totaal[[#This Row],[Product]]&amp;", "&amp;Inschrijf_MKI_Totaal[[#Headers],[D]],Database_Productkaarten[#All],14,FALSE)*Optimalisatie!J67),Baseline_Backlog!S65),0))</f>
        <v>0</v>
      </c>
      <c r="S65" s="301">
        <f>SUM(Inschrijf_MKI_Totaal[[#This Row],[A1-A3]:[C4]])+Inschrijf_MKI_Totaal[[#This Row],[D]]</f>
        <v>0</v>
      </c>
      <c r="AA65" s="9">
        <f>_xlfn.IFNA((VLOOKUP(Optimalisatie!AA67,Database_Asfalt_Verwijderset[#All],7,FALSE)*Optimalisatie!J67),0)</f>
        <v>0</v>
      </c>
      <c r="AB65" s="9" t="e">
        <f>(VLOOKUP(Optimalisatie!AA67,Database_Asfalt_Verwijderset[#All],7,FALSE)*Optimalisatie!J67)</f>
        <v>#N/A</v>
      </c>
      <c r="AC65" s="332">
        <f>(_xlfn.IFNA(VLOOKUP(Inschrijf_MKI_Totaal[[#This Row],[Product]]&amp;", "&amp;Inschrijf_MKI_Totaal[[#Headers],[C1]],Database_Productkaarten[#All],14,FALSE),0)*Optimalisatie!J67)</f>
        <v>0</v>
      </c>
    </row>
    <row r="66" spans="2:29" hidden="1">
      <c r="B66" s="272">
        <f>Optimalisatie!B68</f>
        <v>0</v>
      </c>
      <c r="C66" s="9">
        <f>Optimalisatie!F68</f>
        <v>0</v>
      </c>
      <c r="D66" s="9">
        <f>(IF(Optimalisatie!C68="Nieuwe Situatie",_xlfn.IFNA(IF(Optimalisatie!E68="Categorie_1_LCA_Producten",VLOOKUP(Inschrijf_MKI_Totaal[[#This Row],[Product]],Categorie_1_Producten[#All],8,FALSE)*(Optimalisatie!J68),VLOOKUP(Inschrijf_MKI_Totaal[[#This Row],[Product]]&amp;", "&amp;Inschrijf_MKI_Totaal[[#Headers],[A1]],Database_Productkaarten[#All],14,FALSE)*Optimalisatie!J68),Baseline_Backlog!D66),0))</f>
        <v>0</v>
      </c>
      <c r="E66" s="9">
        <f>(IF(Optimalisatie!C68="Nieuwe Situatie",_xlfn.IFNA(IF(Optimalisatie!E68="Categorie_1_LCA_Producten",VLOOKUP(Inschrijf_MKI_Totaal[[#This Row],[Product]],Categorie_1_Producten[#All],9,FALSE)*(Optimalisatie!J68),VLOOKUP(Inschrijf_MKI_Totaal[[#This Row],[Product]]&amp;", "&amp;Inschrijf_MKI_Totaal[[#Headers],[A2]],Database_Productkaarten[#All],14,FALSE)*Optimalisatie!J68),Baseline_Backlog!E66),0))</f>
        <v>0</v>
      </c>
      <c r="F66" s="9">
        <f>(IF(Optimalisatie!C68="Nieuwe Situatie",_xlfn.IFNA(IF(Optimalisatie!E68="Categorie_1_LCA_Producten",VLOOKUP(Inschrijf_MKI_Totaal[[#This Row],[Product]],Categorie_1_Producten[#All],10,FALSE)*(Optimalisatie!J68),VLOOKUP(Inschrijf_MKI_Totaal[[#This Row],[Product]]&amp;", "&amp;Inschrijf_MKI_Totaal[[#Headers],[A3]],Database_Productkaarten[#All],14,FALSE)*Optimalisatie!J68),Baseline_Backlog!F66),0))</f>
        <v>0</v>
      </c>
      <c r="G66" s="9">
        <f>(IF(Optimalisatie!C68="Nieuwe Situatie",_xlfn.IFNA(IF(Optimalisatie!E68="Categorie_1_LCA_Producten",VLOOKUP(Inschrijf_MKI_Totaal[[#This Row],[Product]],Categorie_1_Producten[#All],11,FALSE)*(Optimalisatie!J68),VLOOKUP(Inschrijf_MKI_Totaal[[#This Row],[Product]]&amp;", "&amp;Inschrijf_MKI_Totaal[[#Headers],[A1-A3]],Database_Productkaarten[#All],14,FALSE)*Optimalisatie!J68),Baseline_Backlog!G66),0))</f>
        <v>0</v>
      </c>
      <c r="H66" s="9">
        <f>(IF(Optimalisatie!C68="Nieuwe Situatie",_xlfn.IFNA(VLOOKUP(Optimalisatie!V68,Database_Transport[#All],7,FALSE)*((IF(Optimalisatie!R68=0,Baseline!Q68,Optimalisatie!R68))*Optimalisatie!U68),Baseline_Backlog!H66),0))</f>
        <v>0</v>
      </c>
      <c r="I66" s="9">
        <f>IF(Optimalisatie!C68="Nieuwe situatie",IF(_xlfn.IFNA((VLOOKUP(Optimalisatie!W68,Database_Asfalt_Aanlegset[#All],7,FALSE)*Optimalisatie!J68),0)+_xlfn.IFNA(VLOOKUP(Optimalisatie!X68,Database_Brandstoffen[#All],7,FALSE)*((Optimalisatie!J68/Optimalisatie!Z68)*Optimalisatie!Y68),0)&gt;0,_xlfn.IFNA((VLOOKUP(Optimalisatie!W68,Database_Asfalt_Aanlegset[#All],7,FALSE)*Optimalisatie!J68),0)+_xlfn.IFNA(VLOOKUP(Optimalisatie!X68,Database_Brandstoffen[#All],7,FALSE)*((Optimalisatie!J68/Optimalisatie!Z68)*Optimalisatie!Y68),0),(_xlfn.IFNA(VLOOKUP(Inschrijf_MKI_Totaal[[#This Row],[Product]]&amp;", "&amp;Inschrijf_MKI_Totaal[[#Headers],[A5]],Database_Productkaarten[#All],14,FALSE),0)*Optimalisatie!J68)),0)</f>
        <v>0</v>
      </c>
      <c r="J66" s="9"/>
      <c r="K66" s="9">
        <f>(IF(Optimalisatie!C68="Nieuwe Situatie",_xlfn.IFNA(SUM(Inschrijf_MKI_Totaal[[#This Row],[A1]:[B1]],Inschrijf_MKI_Totaal[[#This Row],[C1]:[D2]])*Optimalisatie!T68,0),0))</f>
        <v>0</v>
      </c>
      <c r="L66" s="9">
        <f>IF(Optimalisatie!C68="Bestaande situatie",IF(_xlfn.IFNA((VLOOKUP(Optimalisatie!AA68,Database_Asfalt_Verwijderset[#All],7,FALSE)*Optimalisatie!J68),0)+_xlfn.IFNA(VLOOKUP(Optimalisatie!AB68,Database_Brandstoffen[#All],7,FALSE)*((Optimalisatie!J68/Optimalisatie!AD68)*Optimalisatie!AC68),0)&gt;0,_xlfn.IFNA((VLOOKUP(Optimalisatie!AA68,Database_Asfalt_Verwijderset[#All],7,FALSE)*Optimalisatie!J68),0)+_xlfn.IFNA(VLOOKUP(Optimalisatie!AB68,Database_Brandstoffen[#All],7,FALSE)*((Optimalisatie!J68/Optimalisatie!AD68)*Optimalisatie!AC68),0),(_xlfn.IFNA(VLOOKUP(Inschrijf_MKI_Totaal[[#This Row],[Product]]&amp;", "&amp;Inschrijf_MKI_Totaal[[#Headers],[C1]],Database_Productkaarten[#All],14,FALSE),0)*Optimalisatie!J68)),0)</f>
        <v>0</v>
      </c>
      <c r="M66" s="9">
        <f>(IF(Optimalisatie!C68="Bestaande Situatie",_xlfn.IFNA(VLOOKUP(Optimalisatie!AF68,Database_Transport[#All],7,FALSE)*(Optimalisatie!R68*Optimalisatie!AE68),Baseline_Backlog!M66),0))</f>
        <v>0</v>
      </c>
      <c r="N66" s="9">
        <f>(IF(Optimalisatie!C68="Bestaande Situatie",_xlfn.IFNA(VLOOKUP(Optimalisatie!AG68,Database_Asfalt_Verwerkingsset[#All],7,FALSE)*(Optimalisatie!J68/VLOOKUP(Optimalisatie!AG68,Database_Asfalt_Verwerkingsset[#All],8,FALSE)),Baseline_Backlog!N66),0))</f>
        <v>0</v>
      </c>
      <c r="O66" s="9">
        <f>(IF(Optimalisatie!C68="Bestaande Situatie",_xlfn.IFNA(VLOOKUP(Inschrijf_MKI_Totaal[[#This Row],[Product]]&amp;", "&amp;Inschrijf_MKI_Totaal[[#Headers],[C4]],Database_Productkaarten[#All],14,FALSE),Baseline_Backlog!O66)*Optimalisatie!J68,0))</f>
        <v>0</v>
      </c>
      <c r="P66" s="9">
        <f>(IF(Optimalisatie!C68="Bestaande Situatie",_xlfn.IFNA(IF(Optimalisatie!E68="Categorie_1_LCA_Producten",VLOOKUP(Inschrijf_MKI_Totaal[[#This Row],[Product]],Categorie_1_Producten[#All],12,FALSE)*(Optimalisatie!J68),VLOOKUP(Inschrijf_MKI_Totaal[[#This Row],[Product]]&amp;", "&amp;Inschrijf_MKI_Totaal[[#Headers],[D1]],Database_Productkaarten[#All],14,FALSE)*Optimalisatie!J68),Baseline_Backlog!P66),0))</f>
        <v>0</v>
      </c>
      <c r="Q66" s="9">
        <f>(IF(Optimalisatie!C68="Bestaande Situatie",_xlfn.IFNA(IF(Optimalisatie!E68="Categorie_1_LCA_Producten",VLOOKUP(Inschrijf_MKI_Totaal[[#This Row],[Product]],Categorie_1_Producten[#All],13,FALSE)*(Optimalisatie!J68),VLOOKUP(Inschrijf_MKI_Totaal[[#This Row],[Product]]&amp;", "&amp;Inschrijf_MKI_Totaal[[#Headers],[D2]],Database_Productkaarten[#All],14,FALSE)*Optimalisatie!J68),Baseline_Backlog!Q66),0))</f>
        <v>0</v>
      </c>
      <c r="R66" s="9">
        <f>(IF(Optimalisatie!C68="Bestaande Situatie",_xlfn.IFNA(IF(Optimalisatie!E68="Categorie_1_LCA_Producten",VLOOKUP(Inschrijf_MKI_Totaal[[#This Row],[Product]],Categorie_1_Producten[#All],13,FALSE)*(Optimalisatie!J68),VLOOKUP(Inschrijf_MKI_Totaal[[#This Row],[Product]]&amp;", "&amp;Inschrijf_MKI_Totaal[[#Headers],[D]],Database_Productkaarten[#All],14,FALSE)*Optimalisatie!J68),Baseline_Backlog!S66),0))</f>
        <v>0</v>
      </c>
      <c r="S66" s="301">
        <f>SUM(Inschrijf_MKI_Totaal[[#This Row],[A1-A3]:[C4]])+Inschrijf_MKI_Totaal[[#This Row],[D]]</f>
        <v>0</v>
      </c>
      <c r="AA66" s="9">
        <f>_xlfn.IFNA((VLOOKUP(Optimalisatie!AA68,Database_Asfalt_Verwijderset[#All],7,FALSE)*Optimalisatie!J68),0)</f>
        <v>0</v>
      </c>
      <c r="AB66" s="9" t="e">
        <f>(VLOOKUP(Optimalisatie!AA68,Database_Asfalt_Verwijderset[#All],7,FALSE)*Optimalisatie!J68)</f>
        <v>#N/A</v>
      </c>
      <c r="AC66" s="332">
        <f>(_xlfn.IFNA(VLOOKUP(Inschrijf_MKI_Totaal[[#This Row],[Product]]&amp;", "&amp;Inschrijf_MKI_Totaal[[#Headers],[C1]],Database_Productkaarten[#All],14,FALSE),0)*Optimalisatie!J68)</f>
        <v>0</v>
      </c>
    </row>
    <row r="67" spans="2:29" hidden="1">
      <c r="B67" s="272">
        <f>Optimalisatie!B69</f>
        <v>0</v>
      </c>
      <c r="C67" s="9">
        <f>Optimalisatie!F69</f>
        <v>0</v>
      </c>
      <c r="D67" s="9">
        <f>(IF(Optimalisatie!C69="Nieuwe Situatie",_xlfn.IFNA(IF(Optimalisatie!E69="Categorie_1_LCA_Producten",VLOOKUP(Inschrijf_MKI_Totaal[[#This Row],[Product]],Categorie_1_Producten[#All],8,FALSE)*(Optimalisatie!J69),VLOOKUP(Inschrijf_MKI_Totaal[[#This Row],[Product]]&amp;", "&amp;Inschrijf_MKI_Totaal[[#Headers],[A1]],Database_Productkaarten[#All],14,FALSE)*Optimalisatie!J69),Baseline_Backlog!D67),0))</f>
        <v>0</v>
      </c>
      <c r="E67" s="9">
        <f>(IF(Optimalisatie!C69="Nieuwe Situatie",_xlfn.IFNA(IF(Optimalisatie!E69="Categorie_1_LCA_Producten",VLOOKUP(Inschrijf_MKI_Totaal[[#This Row],[Product]],Categorie_1_Producten[#All],9,FALSE)*(Optimalisatie!J69),VLOOKUP(Inschrijf_MKI_Totaal[[#This Row],[Product]]&amp;", "&amp;Inschrijf_MKI_Totaal[[#Headers],[A2]],Database_Productkaarten[#All],14,FALSE)*Optimalisatie!J69),Baseline_Backlog!E67),0))</f>
        <v>0</v>
      </c>
      <c r="F67" s="9">
        <f>(IF(Optimalisatie!C69="Nieuwe Situatie",_xlfn.IFNA(IF(Optimalisatie!E69="Categorie_1_LCA_Producten",VLOOKUP(Inschrijf_MKI_Totaal[[#This Row],[Product]],Categorie_1_Producten[#All],10,FALSE)*(Optimalisatie!J69),VLOOKUP(Inschrijf_MKI_Totaal[[#This Row],[Product]]&amp;", "&amp;Inschrijf_MKI_Totaal[[#Headers],[A3]],Database_Productkaarten[#All],14,FALSE)*Optimalisatie!J69),Baseline_Backlog!F67),0))</f>
        <v>0</v>
      </c>
      <c r="G67" s="9">
        <f>(IF(Optimalisatie!C69="Nieuwe Situatie",_xlfn.IFNA(IF(Optimalisatie!E69="Categorie_1_LCA_Producten",VLOOKUP(Inschrijf_MKI_Totaal[[#This Row],[Product]],Categorie_1_Producten[#All],11,FALSE)*(Optimalisatie!J69),VLOOKUP(Inschrijf_MKI_Totaal[[#This Row],[Product]]&amp;", "&amp;Inschrijf_MKI_Totaal[[#Headers],[A1-A3]],Database_Productkaarten[#All],14,FALSE)*Optimalisatie!J69),Baseline_Backlog!G67),0))</f>
        <v>0</v>
      </c>
      <c r="H67" s="9">
        <f>(IF(Optimalisatie!C69="Nieuwe Situatie",_xlfn.IFNA(VLOOKUP(Optimalisatie!V69,Database_Transport[#All],7,FALSE)*((IF(Optimalisatie!R69=0,Baseline!Q69,Optimalisatie!R69))*Optimalisatie!U69),Baseline_Backlog!H67),0))</f>
        <v>0</v>
      </c>
      <c r="I67" s="9">
        <f>IF(Optimalisatie!C69="Nieuwe situatie",IF(_xlfn.IFNA((VLOOKUP(Optimalisatie!W69,Database_Asfalt_Aanlegset[#All],7,FALSE)*Optimalisatie!J69),0)+_xlfn.IFNA(VLOOKUP(Optimalisatie!X69,Database_Brandstoffen[#All],7,FALSE)*((Optimalisatie!J69/Optimalisatie!Z69)*Optimalisatie!Y69),0)&gt;0,_xlfn.IFNA((VLOOKUP(Optimalisatie!W69,Database_Asfalt_Aanlegset[#All],7,FALSE)*Optimalisatie!J69),0)+_xlfn.IFNA(VLOOKUP(Optimalisatie!X69,Database_Brandstoffen[#All],7,FALSE)*((Optimalisatie!J69/Optimalisatie!Z69)*Optimalisatie!Y69),0),(_xlfn.IFNA(VLOOKUP(Inschrijf_MKI_Totaal[[#This Row],[Product]]&amp;", "&amp;Inschrijf_MKI_Totaal[[#Headers],[A5]],Database_Productkaarten[#All],14,FALSE),0)*Optimalisatie!J69)),0)</f>
        <v>0</v>
      </c>
      <c r="J67" s="9"/>
      <c r="K67" s="9">
        <f>(IF(Optimalisatie!C69="Nieuwe Situatie",_xlfn.IFNA(SUM(Inschrijf_MKI_Totaal[[#This Row],[A1]:[B1]],Inschrijf_MKI_Totaal[[#This Row],[C1]:[D2]])*Optimalisatie!T69,0),0))</f>
        <v>0</v>
      </c>
      <c r="L67" s="9">
        <f>IF(Optimalisatie!C69="Bestaande situatie",IF(_xlfn.IFNA((VLOOKUP(Optimalisatie!AA69,Database_Asfalt_Verwijderset[#All],7,FALSE)*Optimalisatie!J69),0)+_xlfn.IFNA(VLOOKUP(Optimalisatie!AB69,Database_Brandstoffen[#All],7,FALSE)*((Optimalisatie!J69/Optimalisatie!AD69)*Optimalisatie!AC69),0)&gt;0,_xlfn.IFNA((VLOOKUP(Optimalisatie!AA69,Database_Asfalt_Verwijderset[#All],7,FALSE)*Optimalisatie!J69),0)+_xlfn.IFNA(VLOOKUP(Optimalisatie!AB69,Database_Brandstoffen[#All],7,FALSE)*((Optimalisatie!J69/Optimalisatie!AD69)*Optimalisatie!AC69),0),(_xlfn.IFNA(VLOOKUP(Inschrijf_MKI_Totaal[[#This Row],[Product]]&amp;", "&amp;Inschrijf_MKI_Totaal[[#Headers],[C1]],Database_Productkaarten[#All],14,FALSE),0)*Optimalisatie!J69)),0)</f>
        <v>0</v>
      </c>
      <c r="M67" s="9">
        <f>(IF(Optimalisatie!C69="Bestaande Situatie",_xlfn.IFNA(VLOOKUP(Optimalisatie!AF69,Database_Transport[#All],7,FALSE)*(Optimalisatie!R69*Optimalisatie!AE69),Baseline_Backlog!M67),0))</f>
        <v>0</v>
      </c>
      <c r="N67" s="9">
        <f>(IF(Optimalisatie!C69="Bestaande Situatie",_xlfn.IFNA(VLOOKUP(Optimalisatie!AG69,Database_Asfalt_Verwerkingsset[#All],7,FALSE)*(Optimalisatie!J69/VLOOKUP(Optimalisatie!AG69,Database_Asfalt_Verwerkingsset[#All],8,FALSE)),Baseline_Backlog!N67),0))</f>
        <v>0</v>
      </c>
      <c r="O67" s="9">
        <f>(IF(Optimalisatie!C69="Bestaande Situatie",_xlfn.IFNA(VLOOKUP(Inschrijf_MKI_Totaal[[#This Row],[Product]]&amp;", "&amp;Inschrijf_MKI_Totaal[[#Headers],[C4]],Database_Productkaarten[#All],14,FALSE),Baseline_Backlog!O67)*Optimalisatie!J69,0))</f>
        <v>0</v>
      </c>
      <c r="P67" s="9">
        <f>(IF(Optimalisatie!C69="Bestaande Situatie",_xlfn.IFNA(IF(Optimalisatie!E69="Categorie_1_LCA_Producten",VLOOKUP(Inschrijf_MKI_Totaal[[#This Row],[Product]],Categorie_1_Producten[#All],12,FALSE)*(Optimalisatie!J69),VLOOKUP(Inschrijf_MKI_Totaal[[#This Row],[Product]]&amp;", "&amp;Inschrijf_MKI_Totaal[[#Headers],[D1]],Database_Productkaarten[#All],14,FALSE)*Optimalisatie!J69),Baseline_Backlog!P67),0))</f>
        <v>0</v>
      </c>
      <c r="Q67" s="9">
        <f>(IF(Optimalisatie!C69="Bestaande Situatie",_xlfn.IFNA(IF(Optimalisatie!E69="Categorie_1_LCA_Producten",VLOOKUP(Inschrijf_MKI_Totaal[[#This Row],[Product]],Categorie_1_Producten[#All],13,FALSE)*(Optimalisatie!J69),VLOOKUP(Inschrijf_MKI_Totaal[[#This Row],[Product]]&amp;", "&amp;Inschrijf_MKI_Totaal[[#Headers],[D2]],Database_Productkaarten[#All],14,FALSE)*Optimalisatie!J69),Baseline_Backlog!Q67),0))</f>
        <v>0</v>
      </c>
      <c r="R67" s="9">
        <f>(IF(Optimalisatie!C69="Bestaande Situatie",_xlfn.IFNA(IF(Optimalisatie!E69="Categorie_1_LCA_Producten",VLOOKUP(Inschrijf_MKI_Totaal[[#This Row],[Product]],Categorie_1_Producten[#All],13,FALSE)*(Optimalisatie!J69),VLOOKUP(Inschrijf_MKI_Totaal[[#This Row],[Product]]&amp;", "&amp;Inschrijf_MKI_Totaal[[#Headers],[D]],Database_Productkaarten[#All],14,FALSE)*Optimalisatie!J69),Baseline_Backlog!S67),0))</f>
        <v>0</v>
      </c>
      <c r="S67" s="301">
        <f>SUM(Inschrijf_MKI_Totaal[[#This Row],[A1-A3]:[C4]])+Inschrijf_MKI_Totaal[[#This Row],[D]]</f>
        <v>0</v>
      </c>
      <c r="AA67" s="9">
        <f>_xlfn.IFNA((VLOOKUP(Optimalisatie!AA69,Database_Asfalt_Verwijderset[#All],7,FALSE)*Optimalisatie!J69),0)</f>
        <v>0</v>
      </c>
      <c r="AB67" s="9" t="e">
        <f>(VLOOKUP(Optimalisatie!AA69,Database_Asfalt_Verwijderset[#All],7,FALSE)*Optimalisatie!J69)</f>
        <v>#N/A</v>
      </c>
      <c r="AC67" s="332">
        <f>(_xlfn.IFNA(VLOOKUP(Inschrijf_MKI_Totaal[[#This Row],[Product]]&amp;", "&amp;Inschrijf_MKI_Totaal[[#Headers],[C1]],Database_Productkaarten[#All],14,FALSE),0)*Optimalisatie!J69)</f>
        <v>0</v>
      </c>
    </row>
    <row r="68" spans="2:29" hidden="1">
      <c r="B68" s="272">
        <f>Optimalisatie!B70</f>
        <v>0</v>
      </c>
      <c r="C68" s="9">
        <f>Optimalisatie!F70</f>
        <v>0</v>
      </c>
      <c r="D68" s="9">
        <f>(IF(Optimalisatie!C70="Nieuwe Situatie",_xlfn.IFNA(IF(Optimalisatie!E70="Categorie_1_LCA_Producten",VLOOKUP(Inschrijf_MKI_Totaal[[#This Row],[Product]],Categorie_1_Producten[#All],8,FALSE)*(Optimalisatie!J70),VLOOKUP(Inschrijf_MKI_Totaal[[#This Row],[Product]]&amp;", "&amp;Inschrijf_MKI_Totaal[[#Headers],[A1]],Database_Productkaarten[#All],14,FALSE)*Optimalisatie!J70),Baseline_Backlog!D68),0))</f>
        <v>0</v>
      </c>
      <c r="E68" s="9">
        <f>(IF(Optimalisatie!C70="Nieuwe Situatie",_xlfn.IFNA(IF(Optimalisatie!E70="Categorie_1_LCA_Producten",VLOOKUP(Inschrijf_MKI_Totaal[[#This Row],[Product]],Categorie_1_Producten[#All],9,FALSE)*(Optimalisatie!J70),VLOOKUP(Inschrijf_MKI_Totaal[[#This Row],[Product]]&amp;", "&amp;Inschrijf_MKI_Totaal[[#Headers],[A2]],Database_Productkaarten[#All],14,FALSE)*Optimalisatie!J70),Baseline_Backlog!E68),0))</f>
        <v>0</v>
      </c>
      <c r="F68" s="9">
        <f>(IF(Optimalisatie!C70="Nieuwe Situatie",_xlfn.IFNA(IF(Optimalisatie!E70="Categorie_1_LCA_Producten",VLOOKUP(Inschrijf_MKI_Totaal[[#This Row],[Product]],Categorie_1_Producten[#All],10,FALSE)*(Optimalisatie!J70),VLOOKUP(Inschrijf_MKI_Totaal[[#This Row],[Product]]&amp;", "&amp;Inschrijf_MKI_Totaal[[#Headers],[A3]],Database_Productkaarten[#All],14,FALSE)*Optimalisatie!J70),Baseline_Backlog!F68),0))</f>
        <v>0</v>
      </c>
      <c r="G68" s="9">
        <f>(IF(Optimalisatie!C70="Nieuwe Situatie",_xlfn.IFNA(IF(Optimalisatie!E70="Categorie_1_LCA_Producten",VLOOKUP(Inschrijf_MKI_Totaal[[#This Row],[Product]],Categorie_1_Producten[#All],11,FALSE)*(Optimalisatie!J70),VLOOKUP(Inschrijf_MKI_Totaal[[#This Row],[Product]]&amp;", "&amp;Inschrijf_MKI_Totaal[[#Headers],[A1-A3]],Database_Productkaarten[#All],14,FALSE)*Optimalisatie!J70),Baseline_Backlog!G68),0))</f>
        <v>0</v>
      </c>
      <c r="H68" s="9">
        <f>(IF(Optimalisatie!C70="Nieuwe Situatie",_xlfn.IFNA(VLOOKUP(Optimalisatie!V70,Database_Transport[#All],7,FALSE)*((IF(Optimalisatie!R70=0,Baseline!Q70,Optimalisatie!R70))*Optimalisatie!U70),Baseline_Backlog!H68),0))</f>
        <v>0</v>
      </c>
      <c r="I68" s="9">
        <f>IF(Optimalisatie!C70="Nieuwe situatie",IF(_xlfn.IFNA((VLOOKUP(Optimalisatie!W70,Database_Asfalt_Aanlegset[#All],7,FALSE)*Optimalisatie!J70),0)+_xlfn.IFNA(VLOOKUP(Optimalisatie!X70,Database_Brandstoffen[#All],7,FALSE)*((Optimalisatie!J70/Optimalisatie!Z70)*Optimalisatie!Y70),0)&gt;0,_xlfn.IFNA((VLOOKUP(Optimalisatie!W70,Database_Asfalt_Aanlegset[#All],7,FALSE)*Optimalisatie!J70),0)+_xlfn.IFNA(VLOOKUP(Optimalisatie!X70,Database_Brandstoffen[#All],7,FALSE)*((Optimalisatie!J70/Optimalisatie!Z70)*Optimalisatie!Y70),0),(_xlfn.IFNA(VLOOKUP(Inschrijf_MKI_Totaal[[#This Row],[Product]]&amp;", "&amp;Inschrijf_MKI_Totaal[[#Headers],[A5]],Database_Productkaarten[#All],14,FALSE),0)*Optimalisatie!J70)),0)</f>
        <v>0</v>
      </c>
      <c r="J68" s="9"/>
      <c r="K68" s="9">
        <f>(IF(Optimalisatie!C70="Nieuwe Situatie",_xlfn.IFNA(SUM(Inschrijf_MKI_Totaal[[#This Row],[A1]:[B1]],Inschrijf_MKI_Totaal[[#This Row],[C1]:[D2]])*Optimalisatie!T70,0),0))</f>
        <v>0</v>
      </c>
      <c r="L68" s="9">
        <f>IF(Optimalisatie!C70="Bestaande situatie",IF(_xlfn.IFNA((VLOOKUP(Optimalisatie!AA70,Database_Asfalt_Verwijderset[#All],7,FALSE)*Optimalisatie!J70),0)+_xlfn.IFNA(VLOOKUP(Optimalisatie!AB70,Database_Brandstoffen[#All],7,FALSE)*((Optimalisatie!J70/Optimalisatie!AD70)*Optimalisatie!AC70),0)&gt;0,_xlfn.IFNA((VLOOKUP(Optimalisatie!AA70,Database_Asfalt_Verwijderset[#All],7,FALSE)*Optimalisatie!J70),0)+_xlfn.IFNA(VLOOKUP(Optimalisatie!AB70,Database_Brandstoffen[#All],7,FALSE)*((Optimalisatie!J70/Optimalisatie!AD70)*Optimalisatie!AC70),0),(_xlfn.IFNA(VLOOKUP(Inschrijf_MKI_Totaal[[#This Row],[Product]]&amp;", "&amp;Inschrijf_MKI_Totaal[[#Headers],[C1]],Database_Productkaarten[#All],14,FALSE),0)*Optimalisatie!J70)),0)</f>
        <v>0</v>
      </c>
      <c r="M68" s="9">
        <f>(IF(Optimalisatie!C70="Bestaande Situatie",_xlfn.IFNA(VLOOKUP(Optimalisatie!AF70,Database_Transport[#All],7,FALSE)*(Optimalisatie!R70*Optimalisatie!AE70),Baseline_Backlog!M68),0))</f>
        <v>0</v>
      </c>
      <c r="N68" s="9">
        <f>(IF(Optimalisatie!C70="Bestaande Situatie",_xlfn.IFNA(VLOOKUP(Optimalisatie!AG70,Database_Asfalt_Verwerkingsset[#All],7,FALSE)*(Optimalisatie!J70/VLOOKUP(Optimalisatie!AG70,Database_Asfalt_Verwerkingsset[#All],8,FALSE)),Baseline_Backlog!N68),0))</f>
        <v>0</v>
      </c>
      <c r="O68" s="9">
        <f>(IF(Optimalisatie!C70="Bestaande Situatie",_xlfn.IFNA(VLOOKUP(Inschrijf_MKI_Totaal[[#This Row],[Product]]&amp;", "&amp;Inschrijf_MKI_Totaal[[#Headers],[C4]],Database_Productkaarten[#All],14,FALSE),Baseline_Backlog!O68)*Optimalisatie!J70,0))</f>
        <v>0</v>
      </c>
      <c r="P68" s="9">
        <f>(IF(Optimalisatie!C70="Bestaande Situatie",_xlfn.IFNA(IF(Optimalisatie!E70="Categorie_1_LCA_Producten",VLOOKUP(Inschrijf_MKI_Totaal[[#This Row],[Product]],Categorie_1_Producten[#All],12,FALSE)*(Optimalisatie!J70),VLOOKUP(Inschrijf_MKI_Totaal[[#This Row],[Product]]&amp;", "&amp;Inschrijf_MKI_Totaal[[#Headers],[D1]],Database_Productkaarten[#All],14,FALSE)*Optimalisatie!J70),Baseline_Backlog!P68),0))</f>
        <v>0</v>
      </c>
      <c r="Q68" s="9">
        <f>(IF(Optimalisatie!C70="Bestaande Situatie",_xlfn.IFNA(IF(Optimalisatie!E70="Categorie_1_LCA_Producten",VLOOKUP(Inschrijf_MKI_Totaal[[#This Row],[Product]],Categorie_1_Producten[#All],13,FALSE)*(Optimalisatie!J70),VLOOKUP(Inschrijf_MKI_Totaal[[#This Row],[Product]]&amp;", "&amp;Inschrijf_MKI_Totaal[[#Headers],[D2]],Database_Productkaarten[#All],14,FALSE)*Optimalisatie!J70),Baseline_Backlog!Q68),0))</f>
        <v>0</v>
      </c>
      <c r="R68" s="9">
        <f>(IF(Optimalisatie!C70="Bestaande Situatie",_xlfn.IFNA(IF(Optimalisatie!E70="Categorie_1_LCA_Producten",VLOOKUP(Inschrijf_MKI_Totaal[[#This Row],[Product]],Categorie_1_Producten[#All],13,FALSE)*(Optimalisatie!J70),VLOOKUP(Inschrijf_MKI_Totaal[[#This Row],[Product]]&amp;", "&amp;Inschrijf_MKI_Totaal[[#Headers],[D]],Database_Productkaarten[#All],14,FALSE)*Optimalisatie!J70),Baseline_Backlog!S68),0))</f>
        <v>0</v>
      </c>
      <c r="S68" s="301">
        <f>SUM(Inschrijf_MKI_Totaal[[#This Row],[A1-A3]:[C4]])+Inschrijf_MKI_Totaal[[#This Row],[D]]</f>
        <v>0</v>
      </c>
      <c r="AA68" s="9">
        <f>_xlfn.IFNA((VLOOKUP(Optimalisatie!AA70,Database_Asfalt_Verwijderset[#All],7,FALSE)*Optimalisatie!J70),0)</f>
        <v>0</v>
      </c>
      <c r="AB68" s="9" t="e">
        <f>(VLOOKUP(Optimalisatie!AA70,Database_Asfalt_Verwijderset[#All],7,FALSE)*Optimalisatie!J70)</f>
        <v>#N/A</v>
      </c>
      <c r="AC68" s="332">
        <f>(_xlfn.IFNA(VLOOKUP(Inschrijf_MKI_Totaal[[#This Row],[Product]]&amp;", "&amp;Inschrijf_MKI_Totaal[[#Headers],[C1]],Database_Productkaarten[#All],14,FALSE),0)*Optimalisatie!J70)</f>
        <v>0</v>
      </c>
    </row>
    <row r="69" spans="2:29" hidden="1">
      <c r="B69" s="272">
        <f>Optimalisatie!B71</f>
        <v>0</v>
      </c>
      <c r="C69" s="9">
        <f>Optimalisatie!F71</f>
        <v>0</v>
      </c>
      <c r="D69" s="9">
        <f>(IF(Optimalisatie!C71="Nieuwe Situatie",_xlfn.IFNA(IF(Optimalisatie!E71="Categorie_1_LCA_Producten",VLOOKUP(Inschrijf_MKI_Totaal[[#This Row],[Product]],Categorie_1_Producten[#All],8,FALSE)*(Optimalisatie!J71),VLOOKUP(Inschrijf_MKI_Totaal[[#This Row],[Product]]&amp;", "&amp;Inschrijf_MKI_Totaal[[#Headers],[A1]],Database_Productkaarten[#All],14,FALSE)*Optimalisatie!J71),Baseline_Backlog!D69),0))</f>
        <v>0</v>
      </c>
      <c r="E69" s="9">
        <f>(IF(Optimalisatie!C71="Nieuwe Situatie",_xlfn.IFNA(IF(Optimalisatie!E71="Categorie_1_LCA_Producten",VLOOKUP(Inschrijf_MKI_Totaal[[#This Row],[Product]],Categorie_1_Producten[#All],9,FALSE)*(Optimalisatie!J71),VLOOKUP(Inschrijf_MKI_Totaal[[#This Row],[Product]]&amp;", "&amp;Inschrijf_MKI_Totaal[[#Headers],[A2]],Database_Productkaarten[#All],14,FALSE)*Optimalisatie!J71),Baseline_Backlog!E69),0))</f>
        <v>0</v>
      </c>
      <c r="F69" s="9">
        <f>(IF(Optimalisatie!C71="Nieuwe Situatie",_xlfn.IFNA(IF(Optimalisatie!E71="Categorie_1_LCA_Producten",VLOOKUP(Inschrijf_MKI_Totaal[[#This Row],[Product]],Categorie_1_Producten[#All],10,FALSE)*(Optimalisatie!J71),VLOOKUP(Inschrijf_MKI_Totaal[[#This Row],[Product]]&amp;", "&amp;Inschrijf_MKI_Totaal[[#Headers],[A3]],Database_Productkaarten[#All],14,FALSE)*Optimalisatie!J71),Baseline_Backlog!F69),0))</f>
        <v>0</v>
      </c>
      <c r="G69" s="9">
        <f>(IF(Optimalisatie!C71="Nieuwe Situatie",_xlfn.IFNA(IF(Optimalisatie!E71="Categorie_1_LCA_Producten",VLOOKUP(Inschrijf_MKI_Totaal[[#This Row],[Product]],Categorie_1_Producten[#All],11,FALSE)*(Optimalisatie!J71),VLOOKUP(Inschrijf_MKI_Totaal[[#This Row],[Product]]&amp;", "&amp;Inschrijf_MKI_Totaal[[#Headers],[A1-A3]],Database_Productkaarten[#All],14,FALSE)*Optimalisatie!J71),Baseline_Backlog!G69),0))</f>
        <v>0</v>
      </c>
      <c r="H69" s="9">
        <f>(IF(Optimalisatie!C71="Nieuwe Situatie",_xlfn.IFNA(VLOOKUP(Optimalisatie!V71,Database_Transport[#All],7,FALSE)*((IF(Optimalisatie!R71=0,Baseline!Q71,Optimalisatie!R71))*Optimalisatie!U71),Baseline_Backlog!H69),0))</f>
        <v>0</v>
      </c>
      <c r="I69" s="9">
        <f>IF(Optimalisatie!C71="Nieuwe situatie",IF(_xlfn.IFNA((VLOOKUP(Optimalisatie!W71,Database_Asfalt_Aanlegset[#All],7,FALSE)*Optimalisatie!J71),0)+_xlfn.IFNA(VLOOKUP(Optimalisatie!X71,Database_Brandstoffen[#All],7,FALSE)*((Optimalisatie!J71/Optimalisatie!Z71)*Optimalisatie!Y71),0)&gt;0,_xlfn.IFNA((VLOOKUP(Optimalisatie!W71,Database_Asfalt_Aanlegset[#All],7,FALSE)*Optimalisatie!J71),0)+_xlfn.IFNA(VLOOKUP(Optimalisatie!X71,Database_Brandstoffen[#All],7,FALSE)*((Optimalisatie!J71/Optimalisatie!Z71)*Optimalisatie!Y71),0),(_xlfn.IFNA(VLOOKUP(Inschrijf_MKI_Totaal[[#This Row],[Product]]&amp;", "&amp;Inschrijf_MKI_Totaal[[#Headers],[A5]],Database_Productkaarten[#All],14,FALSE),0)*Optimalisatie!J71)),0)</f>
        <v>0</v>
      </c>
      <c r="J69" s="9"/>
      <c r="K69" s="9">
        <f>(IF(Optimalisatie!C71="Nieuwe Situatie",_xlfn.IFNA(SUM(Inschrijf_MKI_Totaal[[#This Row],[A1]:[B1]],Inschrijf_MKI_Totaal[[#This Row],[C1]:[D2]])*Optimalisatie!T71,0),0))</f>
        <v>0</v>
      </c>
      <c r="L69" s="9">
        <f>IF(Optimalisatie!C71="Bestaande situatie",IF(_xlfn.IFNA((VLOOKUP(Optimalisatie!AA71,Database_Asfalt_Verwijderset[#All],7,FALSE)*Optimalisatie!J71),0)+_xlfn.IFNA(VLOOKUP(Optimalisatie!AB71,Database_Brandstoffen[#All],7,FALSE)*((Optimalisatie!J71/Optimalisatie!AD71)*Optimalisatie!AC71),0)&gt;0,_xlfn.IFNA((VLOOKUP(Optimalisatie!AA71,Database_Asfalt_Verwijderset[#All],7,FALSE)*Optimalisatie!J71),0)+_xlfn.IFNA(VLOOKUP(Optimalisatie!AB71,Database_Brandstoffen[#All],7,FALSE)*((Optimalisatie!J71/Optimalisatie!AD71)*Optimalisatie!AC71),0),(_xlfn.IFNA(VLOOKUP(Inschrijf_MKI_Totaal[[#This Row],[Product]]&amp;", "&amp;Inschrijf_MKI_Totaal[[#Headers],[C1]],Database_Productkaarten[#All],14,FALSE),0)*Optimalisatie!J71)),0)</f>
        <v>0</v>
      </c>
      <c r="M69" s="9">
        <f>(IF(Optimalisatie!C71="Bestaande Situatie",_xlfn.IFNA(VLOOKUP(Optimalisatie!AF71,Database_Transport[#All],7,FALSE)*(Optimalisatie!R71*Optimalisatie!AE71),Baseline_Backlog!M69),0))</f>
        <v>0</v>
      </c>
      <c r="N69" s="9">
        <f>(IF(Optimalisatie!C71="Bestaande Situatie",_xlfn.IFNA(VLOOKUP(Optimalisatie!AG71,Database_Asfalt_Verwerkingsset[#All],7,FALSE)*(Optimalisatie!J71/VLOOKUP(Optimalisatie!AG71,Database_Asfalt_Verwerkingsset[#All],8,FALSE)),Baseline_Backlog!N69),0))</f>
        <v>0</v>
      </c>
      <c r="O69" s="9">
        <f>(IF(Optimalisatie!C71="Bestaande Situatie",_xlfn.IFNA(VLOOKUP(Inschrijf_MKI_Totaal[[#This Row],[Product]]&amp;", "&amp;Inschrijf_MKI_Totaal[[#Headers],[C4]],Database_Productkaarten[#All],14,FALSE),Baseline_Backlog!O69)*Optimalisatie!J71,0))</f>
        <v>0</v>
      </c>
      <c r="P69" s="9">
        <f>(IF(Optimalisatie!C71="Bestaande Situatie",_xlfn.IFNA(IF(Optimalisatie!E71="Categorie_1_LCA_Producten",VLOOKUP(Inschrijf_MKI_Totaal[[#This Row],[Product]],Categorie_1_Producten[#All],12,FALSE)*(Optimalisatie!J71),VLOOKUP(Inschrijf_MKI_Totaal[[#This Row],[Product]]&amp;", "&amp;Inschrijf_MKI_Totaal[[#Headers],[D1]],Database_Productkaarten[#All],14,FALSE)*Optimalisatie!J71),Baseline_Backlog!P69),0))</f>
        <v>0</v>
      </c>
      <c r="Q69" s="9">
        <f>(IF(Optimalisatie!C71="Bestaande Situatie",_xlfn.IFNA(IF(Optimalisatie!E71="Categorie_1_LCA_Producten",VLOOKUP(Inschrijf_MKI_Totaal[[#This Row],[Product]],Categorie_1_Producten[#All],13,FALSE)*(Optimalisatie!J71),VLOOKUP(Inschrijf_MKI_Totaal[[#This Row],[Product]]&amp;", "&amp;Inschrijf_MKI_Totaal[[#Headers],[D2]],Database_Productkaarten[#All],14,FALSE)*Optimalisatie!J71),Baseline_Backlog!Q69),0))</f>
        <v>0</v>
      </c>
      <c r="R69" s="9">
        <f>(IF(Optimalisatie!C71="Bestaande Situatie",_xlfn.IFNA(IF(Optimalisatie!E71="Categorie_1_LCA_Producten",VLOOKUP(Inschrijf_MKI_Totaal[[#This Row],[Product]],Categorie_1_Producten[#All],13,FALSE)*(Optimalisatie!J71),VLOOKUP(Inschrijf_MKI_Totaal[[#This Row],[Product]]&amp;", "&amp;Inschrijf_MKI_Totaal[[#Headers],[D]],Database_Productkaarten[#All],14,FALSE)*Optimalisatie!J71),Baseline_Backlog!S69),0))</f>
        <v>0</v>
      </c>
      <c r="S69" s="301">
        <f>SUM(Inschrijf_MKI_Totaal[[#This Row],[A1-A3]:[C4]])+Inschrijf_MKI_Totaal[[#This Row],[D]]</f>
        <v>0</v>
      </c>
      <c r="AA69" s="9">
        <f>_xlfn.IFNA((VLOOKUP(Optimalisatie!AA71,Database_Asfalt_Verwijderset[#All],7,FALSE)*Optimalisatie!J71),0)</f>
        <v>0</v>
      </c>
      <c r="AB69" s="9" t="e">
        <f>(VLOOKUP(Optimalisatie!AA71,Database_Asfalt_Verwijderset[#All],7,FALSE)*Optimalisatie!J71)</f>
        <v>#N/A</v>
      </c>
      <c r="AC69" s="332">
        <f>(_xlfn.IFNA(VLOOKUP(Inschrijf_MKI_Totaal[[#This Row],[Product]]&amp;", "&amp;Inschrijf_MKI_Totaal[[#Headers],[C1]],Database_Productkaarten[#All],14,FALSE),0)*Optimalisatie!J71)</f>
        <v>0</v>
      </c>
    </row>
    <row r="70" spans="2:29" hidden="1">
      <c r="B70" s="272">
        <f>Optimalisatie!B72</f>
        <v>0</v>
      </c>
      <c r="C70" s="9">
        <f>Optimalisatie!F72</f>
        <v>0</v>
      </c>
      <c r="D70" s="9">
        <f>(IF(Optimalisatie!C72="Nieuwe Situatie",_xlfn.IFNA(IF(Optimalisatie!E72="Categorie_1_LCA_Producten",VLOOKUP(Inschrijf_MKI_Totaal[[#This Row],[Product]],Categorie_1_Producten[#All],8,FALSE)*(Optimalisatie!J72),VLOOKUP(Inschrijf_MKI_Totaal[[#This Row],[Product]]&amp;", "&amp;Inschrijf_MKI_Totaal[[#Headers],[A1]],Database_Productkaarten[#All],14,FALSE)*Optimalisatie!J72),Baseline_Backlog!D70),0))</f>
        <v>0</v>
      </c>
      <c r="E70" s="9">
        <f>(IF(Optimalisatie!C72="Nieuwe Situatie",_xlfn.IFNA(IF(Optimalisatie!E72="Categorie_1_LCA_Producten",VLOOKUP(Inschrijf_MKI_Totaal[[#This Row],[Product]],Categorie_1_Producten[#All],9,FALSE)*(Optimalisatie!J72),VLOOKUP(Inschrijf_MKI_Totaal[[#This Row],[Product]]&amp;", "&amp;Inschrijf_MKI_Totaal[[#Headers],[A2]],Database_Productkaarten[#All],14,FALSE)*Optimalisatie!J72),Baseline_Backlog!E70),0))</f>
        <v>0</v>
      </c>
      <c r="F70" s="9">
        <f>(IF(Optimalisatie!C72="Nieuwe Situatie",_xlfn.IFNA(IF(Optimalisatie!E72="Categorie_1_LCA_Producten",VLOOKUP(Inschrijf_MKI_Totaal[[#This Row],[Product]],Categorie_1_Producten[#All],10,FALSE)*(Optimalisatie!J72),VLOOKUP(Inschrijf_MKI_Totaal[[#This Row],[Product]]&amp;", "&amp;Inschrijf_MKI_Totaal[[#Headers],[A3]],Database_Productkaarten[#All],14,FALSE)*Optimalisatie!J72),Baseline_Backlog!F70),0))</f>
        <v>0</v>
      </c>
      <c r="G70" s="9">
        <f>(IF(Optimalisatie!C72="Nieuwe Situatie",_xlfn.IFNA(IF(Optimalisatie!E72="Categorie_1_LCA_Producten",VLOOKUP(Inschrijf_MKI_Totaal[[#This Row],[Product]],Categorie_1_Producten[#All],11,FALSE)*(Optimalisatie!J72),VLOOKUP(Inschrijf_MKI_Totaal[[#This Row],[Product]]&amp;", "&amp;Inschrijf_MKI_Totaal[[#Headers],[A1-A3]],Database_Productkaarten[#All],14,FALSE)*Optimalisatie!J72),Baseline_Backlog!G70),0))</f>
        <v>0</v>
      </c>
      <c r="H70" s="9">
        <f>(IF(Optimalisatie!C72="Nieuwe Situatie",_xlfn.IFNA(VLOOKUP(Optimalisatie!V72,Database_Transport[#All],7,FALSE)*((IF(Optimalisatie!R72=0,Baseline!Q72,Optimalisatie!R72))*Optimalisatie!U72),Baseline_Backlog!H70),0))</f>
        <v>0</v>
      </c>
      <c r="I70" s="9">
        <f>IF(Optimalisatie!C72="Nieuwe situatie",IF(_xlfn.IFNA((VLOOKUP(Optimalisatie!W72,Database_Asfalt_Aanlegset[#All],7,FALSE)*Optimalisatie!J72),0)+_xlfn.IFNA(VLOOKUP(Optimalisatie!X72,Database_Brandstoffen[#All],7,FALSE)*((Optimalisatie!J72/Optimalisatie!Z72)*Optimalisatie!Y72),0)&gt;0,_xlfn.IFNA((VLOOKUP(Optimalisatie!W72,Database_Asfalt_Aanlegset[#All],7,FALSE)*Optimalisatie!J72),0)+_xlfn.IFNA(VLOOKUP(Optimalisatie!X72,Database_Brandstoffen[#All],7,FALSE)*((Optimalisatie!J72/Optimalisatie!Z72)*Optimalisatie!Y72),0),(_xlfn.IFNA(VLOOKUP(Inschrijf_MKI_Totaal[[#This Row],[Product]]&amp;", "&amp;Inschrijf_MKI_Totaal[[#Headers],[A5]],Database_Productkaarten[#All],14,FALSE),0)*Optimalisatie!J72)),0)</f>
        <v>0</v>
      </c>
      <c r="J70" s="9"/>
      <c r="K70" s="9">
        <f>(IF(Optimalisatie!C72="Nieuwe Situatie",_xlfn.IFNA(SUM(Inschrijf_MKI_Totaal[[#This Row],[A1]:[B1]],Inschrijf_MKI_Totaal[[#This Row],[C1]:[D2]])*Optimalisatie!T72,0),0))</f>
        <v>0</v>
      </c>
      <c r="L70" s="9">
        <f>IF(Optimalisatie!C72="Bestaande situatie",IF(_xlfn.IFNA((VLOOKUP(Optimalisatie!AA72,Database_Asfalt_Verwijderset[#All],7,FALSE)*Optimalisatie!J72),0)+_xlfn.IFNA(VLOOKUP(Optimalisatie!AB72,Database_Brandstoffen[#All],7,FALSE)*((Optimalisatie!J72/Optimalisatie!AD72)*Optimalisatie!AC72),0)&gt;0,_xlfn.IFNA((VLOOKUP(Optimalisatie!AA72,Database_Asfalt_Verwijderset[#All],7,FALSE)*Optimalisatie!J72),0)+_xlfn.IFNA(VLOOKUP(Optimalisatie!AB72,Database_Brandstoffen[#All],7,FALSE)*((Optimalisatie!J72/Optimalisatie!AD72)*Optimalisatie!AC72),0),(_xlfn.IFNA(VLOOKUP(Inschrijf_MKI_Totaal[[#This Row],[Product]]&amp;", "&amp;Inschrijf_MKI_Totaal[[#Headers],[C1]],Database_Productkaarten[#All],14,FALSE),0)*Optimalisatie!J72)),0)</f>
        <v>0</v>
      </c>
      <c r="M70" s="9">
        <f>(IF(Optimalisatie!C72="Bestaande Situatie",_xlfn.IFNA(VLOOKUP(Optimalisatie!AF72,Database_Transport[#All],7,FALSE)*(Optimalisatie!R72*Optimalisatie!AE72),Baseline_Backlog!M70),0))</f>
        <v>0</v>
      </c>
      <c r="N70" s="9">
        <f>(IF(Optimalisatie!C72="Bestaande Situatie",_xlfn.IFNA(VLOOKUP(Optimalisatie!AG72,Database_Asfalt_Verwerkingsset[#All],7,FALSE)*(Optimalisatie!J72/VLOOKUP(Optimalisatie!AG72,Database_Asfalt_Verwerkingsset[#All],8,FALSE)),Baseline_Backlog!N70),0))</f>
        <v>0</v>
      </c>
      <c r="O70" s="9">
        <f>(IF(Optimalisatie!C72="Bestaande Situatie",_xlfn.IFNA(VLOOKUP(Inschrijf_MKI_Totaal[[#This Row],[Product]]&amp;", "&amp;Inschrijf_MKI_Totaal[[#Headers],[C4]],Database_Productkaarten[#All],14,FALSE),Baseline_Backlog!O70)*Optimalisatie!J72,0))</f>
        <v>0</v>
      </c>
      <c r="P70" s="9">
        <f>(IF(Optimalisatie!C72="Bestaande Situatie",_xlfn.IFNA(IF(Optimalisatie!E72="Categorie_1_LCA_Producten",VLOOKUP(Inschrijf_MKI_Totaal[[#This Row],[Product]],Categorie_1_Producten[#All],12,FALSE)*(Optimalisatie!J72),VLOOKUP(Inschrijf_MKI_Totaal[[#This Row],[Product]]&amp;", "&amp;Inschrijf_MKI_Totaal[[#Headers],[D1]],Database_Productkaarten[#All],14,FALSE)*Optimalisatie!J72),Baseline_Backlog!P70),0))</f>
        <v>0</v>
      </c>
      <c r="Q70" s="9">
        <f>(IF(Optimalisatie!C72="Bestaande Situatie",_xlfn.IFNA(IF(Optimalisatie!E72="Categorie_1_LCA_Producten",VLOOKUP(Inschrijf_MKI_Totaal[[#This Row],[Product]],Categorie_1_Producten[#All],13,FALSE)*(Optimalisatie!J72),VLOOKUP(Inschrijf_MKI_Totaal[[#This Row],[Product]]&amp;", "&amp;Inschrijf_MKI_Totaal[[#Headers],[D2]],Database_Productkaarten[#All],14,FALSE)*Optimalisatie!J72),Baseline_Backlog!Q70),0))</f>
        <v>0</v>
      </c>
      <c r="R70" s="9">
        <f>(IF(Optimalisatie!C72="Bestaande Situatie",_xlfn.IFNA(IF(Optimalisatie!E72="Categorie_1_LCA_Producten",VLOOKUP(Inschrijf_MKI_Totaal[[#This Row],[Product]],Categorie_1_Producten[#All],13,FALSE)*(Optimalisatie!J72),VLOOKUP(Inschrijf_MKI_Totaal[[#This Row],[Product]]&amp;", "&amp;Inschrijf_MKI_Totaal[[#Headers],[D]],Database_Productkaarten[#All],14,FALSE)*Optimalisatie!J72),Baseline_Backlog!S70),0))</f>
        <v>0</v>
      </c>
      <c r="S70" s="301">
        <f>SUM(Inschrijf_MKI_Totaal[[#This Row],[A1-A3]:[C4]])+Inschrijf_MKI_Totaal[[#This Row],[D]]</f>
        <v>0</v>
      </c>
      <c r="AA70" s="9">
        <f>_xlfn.IFNA((VLOOKUP(Optimalisatie!AA72,Database_Asfalt_Verwijderset[#All],7,FALSE)*Optimalisatie!J72),0)</f>
        <v>0</v>
      </c>
      <c r="AB70" s="9" t="e">
        <f>(VLOOKUP(Optimalisatie!AA72,Database_Asfalt_Verwijderset[#All],7,FALSE)*Optimalisatie!J72)</f>
        <v>#N/A</v>
      </c>
      <c r="AC70" s="332">
        <f>(_xlfn.IFNA(VLOOKUP(Inschrijf_MKI_Totaal[[#This Row],[Product]]&amp;", "&amp;Inschrijf_MKI_Totaal[[#Headers],[C1]],Database_Productkaarten[#All],14,FALSE),0)*Optimalisatie!J72)</f>
        <v>0</v>
      </c>
    </row>
    <row r="71" spans="2:29" hidden="1">
      <c r="B71" s="272">
        <f>Optimalisatie!B73</f>
        <v>0</v>
      </c>
      <c r="C71" s="9">
        <f>Optimalisatie!F73</f>
        <v>0</v>
      </c>
      <c r="D71" s="9">
        <f>(IF(Optimalisatie!C73="Nieuwe Situatie",_xlfn.IFNA(IF(Optimalisatie!E73="Categorie_1_LCA_Producten",VLOOKUP(Inschrijf_MKI_Totaal[[#This Row],[Product]],Categorie_1_Producten[#All],8,FALSE)*(Optimalisatie!J73),VLOOKUP(Inschrijf_MKI_Totaal[[#This Row],[Product]]&amp;", "&amp;Inschrijf_MKI_Totaal[[#Headers],[A1]],Database_Productkaarten[#All],14,FALSE)*Optimalisatie!J73),Baseline_Backlog!D71),0))</f>
        <v>0</v>
      </c>
      <c r="E71" s="9">
        <f>(IF(Optimalisatie!C73="Nieuwe Situatie",_xlfn.IFNA(IF(Optimalisatie!E73="Categorie_1_LCA_Producten",VLOOKUP(Inschrijf_MKI_Totaal[[#This Row],[Product]],Categorie_1_Producten[#All],9,FALSE)*(Optimalisatie!J73),VLOOKUP(Inschrijf_MKI_Totaal[[#This Row],[Product]]&amp;", "&amp;Inschrijf_MKI_Totaal[[#Headers],[A2]],Database_Productkaarten[#All],14,FALSE)*Optimalisatie!J73),Baseline_Backlog!E71),0))</f>
        <v>0</v>
      </c>
      <c r="F71" s="9">
        <f>(IF(Optimalisatie!C73="Nieuwe Situatie",_xlfn.IFNA(IF(Optimalisatie!E73="Categorie_1_LCA_Producten",VLOOKUP(Inschrijf_MKI_Totaal[[#This Row],[Product]],Categorie_1_Producten[#All],10,FALSE)*(Optimalisatie!J73),VLOOKUP(Inschrijf_MKI_Totaal[[#This Row],[Product]]&amp;", "&amp;Inschrijf_MKI_Totaal[[#Headers],[A3]],Database_Productkaarten[#All],14,FALSE)*Optimalisatie!J73),Baseline_Backlog!F71),0))</f>
        <v>0</v>
      </c>
      <c r="G71" s="9">
        <f>(IF(Optimalisatie!C73="Nieuwe Situatie",_xlfn.IFNA(IF(Optimalisatie!E73="Categorie_1_LCA_Producten",VLOOKUP(Inschrijf_MKI_Totaal[[#This Row],[Product]],Categorie_1_Producten[#All],11,FALSE)*(Optimalisatie!J73),VLOOKUP(Inschrijf_MKI_Totaal[[#This Row],[Product]]&amp;", "&amp;Inschrijf_MKI_Totaal[[#Headers],[A1-A3]],Database_Productkaarten[#All],14,FALSE)*Optimalisatie!J73),Baseline_Backlog!G71),0))</f>
        <v>0</v>
      </c>
      <c r="H71" s="9">
        <f>(IF(Optimalisatie!C73="Nieuwe Situatie",_xlfn.IFNA(VLOOKUP(Optimalisatie!V73,Database_Transport[#All],7,FALSE)*((IF(Optimalisatie!R73=0,Baseline!Q73,Optimalisatie!R73))*Optimalisatie!U73),Baseline_Backlog!H71),0))</f>
        <v>0</v>
      </c>
      <c r="I71" s="9">
        <f>IF(Optimalisatie!C73="Nieuwe situatie",IF(_xlfn.IFNA((VLOOKUP(Optimalisatie!W73,Database_Asfalt_Aanlegset[#All],7,FALSE)*Optimalisatie!J73),0)+_xlfn.IFNA(VLOOKUP(Optimalisatie!X73,Database_Brandstoffen[#All],7,FALSE)*((Optimalisatie!J73/Optimalisatie!Z73)*Optimalisatie!Y73),0)&gt;0,_xlfn.IFNA((VLOOKUP(Optimalisatie!W73,Database_Asfalt_Aanlegset[#All],7,FALSE)*Optimalisatie!J73),0)+_xlfn.IFNA(VLOOKUP(Optimalisatie!X73,Database_Brandstoffen[#All],7,FALSE)*((Optimalisatie!J73/Optimalisatie!Z73)*Optimalisatie!Y73),0),(_xlfn.IFNA(VLOOKUP(Inschrijf_MKI_Totaal[[#This Row],[Product]]&amp;", "&amp;Inschrijf_MKI_Totaal[[#Headers],[A5]],Database_Productkaarten[#All],14,FALSE),0)*Optimalisatie!J73)),0)</f>
        <v>0</v>
      </c>
      <c r="J71" s="9"/>
      <c r="K71" s="9">
        <f>(IF(Optimalisatie!C73="Nieuwe Situatie",_xlfn.IFNA(SUM(Inschrijf_MKI_Totaal[[#This Row],[A1]:[B1]],Inschrijf_MKI_Totaal[[#This Row],[C1]:[D2]])*Optimalisatie!T73,0),0))</f>
        <v>0</v>
      </c>
      <c r="L71" s="9">
        <f>IF(Optimalisatie!C73="Bestaande situatie",IF(_xlfn.IFNA((VLOOKUP(Optimalisatie!AA73,Database_Asfalt_Verwijderset[#All],7,FALSE)*Optimalisatie!J73),0)+_xlfn.IFNA(VLOOKUP(Optimalisatie!AB73,Database_Brandstoffen[#All],7,FALSE)*((Optimalisatie!J73/Optimalisatie!AD73)*Optimalisatie!AC73),0)&gt;0,_xlfn.IFNA((VLOOKUP(Optimalisatie!AA73,Database_Asfalt_Verwijderset[#All],7,FALSE)*Optimalisatie!J73),0)+_xlfn.IFNA(VLOOKUP(Optimalisatie!AB73,Database_Brandstoffen[#All],7,FALSE)*((Optimalisatie!J73/Optimalisatie!AD73)*Optimalisatie!AC73),0),(_xlfn.IFNA(VLOOKUP(Inschrijf_MKI_Totaal[[#This Row],[Product]]&amp;", "&amp;Inschrijf_MKI_Totaal[[#Headers],[C1]],Database_Productkaarten[#All],14,FALSE),0)*Optimalisatie!J73)),0)</f>
        <v>0</v>
      </c>
      <c r="M71" s="9">
        <f>(IF(Optimalisatie!C73="Bestaande Situatie",_xlfn.IFNA(VLOOKUP(Optimalisatie!AF73,Database_Transport[#All],7,FALSE)*(Optimalisatie!R73*Optimalisatie!AE73),Baseline_Backlog!M71),0))</f>
        <v>0</v>
      </c>
      <c r="N71" s="9">
        <f>(IF(Optimalisatie!C73="Bestaande Situatie",_xlfn.IFNA(VLOOKUP(Optimalisatie!AG73,Database_Asfalt_Verwerkingsset[#All],7,FALSE)*(Optimalisatie!J73/VLOOKUP(Optimalisatie!AG73,Database_Asfalt_Verwerkingsset[#All],8,FALSE)),Baseline_Backlog!N71),0))</f>
        <v>0</v>
      </c>
      <c r="O71" s="9">
        <f>(IF(Optimalisatie!C73="Bestaande Situatie",_xlfn.IFNA(VLOOKUP(Inschrijf_MKI_Totaal[[#This Row],[Product]]&amp;", "&amp;Inschrijf_MKI_Totaal[[#Headers],[C4]],Database_Productkaarten[#All],14,FALSE),Baseline_Backlog!O71)*Optimalisatie!J73,0))</f>
        <v>0</v>
      </c>
      <c r="P71" s="9">
        <f>(IF(Optimalisatie!C73="Bestaande Situatie",_xlfn.IFNA(IF(Optimalisatie!E73="Categorie_1_LCA_Producten",VLOOKUP(Inschrijf_MKI_Totaal[[#This Row],[Product]],Categorie_1_Producten[#All],12,FALSE)*(Optimalisatie!J73),VLOOKUP(Inschrijf_MKI_Totaal[[#This Row],[Product]]&amp;", "&amp;Inschrijf_MKI_Totaal[[#Headers],[D1]],Database_Productkaarten[#All],14,FALSE)*Optimalisatie!J73),Baseline_Backlog!P71),0))</f>
        <v>0</v>
      </c>
      <c r="Q71" s="9">
        <f>(IF(Optimalisatie!C73="Bestaande Situatie",_xlfn.IFNA(IF(Optimalisatie!E73="Categorie_1_LCA_Producten",VLOOKUP(Inschrijf_MKI_Totaal[[#This Row],[Product]],Categorie_1_Producten[#All],13,FALSE)*(Optimalisatie!J73),VLOOKUP(Inschrijf_MKI_Totaal[[#This Row],[Product]]&amp;", "&amp;Inschrijf_MKI_Totaal[[#Headers],[D2]],Database_Productkaarten[#All],14,FALSE)*Optimalisatie!J73),Baseline_Backlog!Q71),0))</f>
        <v>0</v>
      </c>
      <c r="R71" s="9">
        <f>(IF(Optimalisatie!C73="Bestaande Situatie",_xlfn.IFNA(IF(Optimalisatie!E73="Categorie_1_LCA_Producten",VLOOKUP(Inschrijf_MKI_Totaal[[#This Row],[Product]],Categorie_1_Producten[#All],13,FALSE)*(Optimalisatie!J73),VLOOKUP(Inschrijf_MKI_Totaal[[#This Row],[Product]]&amp;", "&amp;Inschrijf_MKI_Totaal[[#Headers],[D]],Database_Productkaarten[#All],14,FALSE)*Optimalisatie!J73),Baseline_Backlog!S71),0))</f>
        <v>0</v>
      </c>
      <c r="S71" s="301">
        <f>SUM(Inschrijf_MKI_Totaal[[#This Row],[A1-A3]:[C4]])+Inschrijf_MKI_Totaal[[#This Row],[D]]</f>
        <v>0</v>
      </c>
      <c r="AA71" s="9">
        <f>_xlfn.IFNA((VLOOKUP(Optimalisatie!AA73,Database_Asfalt_Verwijderset[#All],7,FALSE)*Optimalisatie!J73),0)</f>
        <v>0</v>
      </c>
      <c r="AB71" s="9" t="e">
        <f>(VLOOKUP(Optimalisatie!AA73,Database_Asfalt_Verwijderset[#All],7,FALSE)*Optimalisatie!J73)</f>
        <v>#N/A</v>
      </c>
      <c r="AC71" s="332">
        <f>(_xlfn.IFNA(VLOOKUP(Inschrijf_MKI_Totaal[[#This Row],[Product]]&amp;", "&amp;Inschrijf_MKI_Totaal[[#Headers],[C1]],Database_Productkaarten[#All],14,FALSE),0)*Optimalisatie!J73)</f>
        <v>0</v>
      </c>
    </row>
    <row r="72" spans="2:29" hidden="1">
      <c r="B72" s="272">
        <f>Optimalisatie!B74</f>
        <v>0</v>
      </c>
      <c r="C72" s="9">
        <f>Optimalisatie!F74</f>
        <v>0</v>
      </c>
      <c r="D72" s="9">
        <f>(IF(Optimalisatie!C74="Nieuwe Situatie",_xlfn.IFNA(IF(Optimalisatie!E74="Categorie_1_LCA_Producten",VLOOKUP(Inschrijf_MKI_Totaal[[#This Row],[Product]],Categorie_1_Producten[#All],8,FALSE)*(Optimalisatie!J74),VLOOKUP(Inschrijf_MKI_Totaal[[#This Row],[Product]]&amp;", "&amp;Inschrijf_MKI_Totaal[[#Headers],[A1]],Database_Productkaarten[#All],14,FALSE)*Optimalisatie!J74),Baseline_Backlog!D72),0))</f>
        <v>0</v>
      </c>
      <c r="E72" s="9">
        <f>(IF(Optimalisatie!C74="Nieuwe Situatie",_xlfn.IFNA(IF(Optimalisatie!E74="Categorie_1_LCA_Producten",VLOOKUP(Inschrijf_MKI_Totaal[[#This Row],[Product]],Categorie_1_Producten[#All],9,FALSE)*(Optimalisatie!J74),VLOOKUP(Inschrijf_MKI_Totaal[[#This Row],[Product]]&amp;", "&amp;Inschrijf_MKI_Totaal[[#Headers],[A2]],Database_Productkaarten[#All],14,FALSE)*Optimalisatie!J74),Baseline_Backlog!E72),0))</f>
        <v>0</v>
      </c>
      <c r="F72" s="9">
        <f>(IF(Optimalisatie!C74="Nieuwe Situatie",_xlfn.IFNA(IF(Optimalisatie!E74="Categorie_1_LCA_Producten",VLOOKUP(Inschrijf_MKI_Totaal[[#This Row],[Product]],Categorie_1_Producten[#All],10,FALSE)*(Optimalisatie!J74),VLOOKUP(Inschrijf_MKI_Totaal[[#This Row],[Product]]&amp;", "&amp;Inschrijf_MKI_Totaal[[#Headers],[A3]],Database_Productkaarten[#All],14,FALSE)*Optimalisatie!J74),Baseline_Backlog!F72),0))</f>
        <v>0</v>
      </c>
      <c r="G72" s="9">
        <f>(IF(Optimalisatie!C74="Nieuwe Situatie",_xlfn.IFNA(IF(Optimalisatie!E74="Categorie_1_LCA_Producten",VLOOKUP(Inschrijf_MKI_Totaal[[#This Row],[Product]],Categorie_1_Producten[#All],11,FALSE)*(Optimalisatie!J74),VLOOKUP(Inschrijf_MKI_Totaal[[#This Row],[Product]]&amp;", "&amp;Inschrijf_MKI_Totaal[[#Headers],[A1-A3]],Database_Productkaarten[#All],14,FALSE)*Optimalisatie!J74),Baseline_Backlog!G72),0))</f>
        <v>0</v>
      </c>
      <c r="H72" s="9">
        <f>(IF(Optimalisatie!C74="Nieuwe Situatie",_xlfn.IFNA(VLOOKUP(Optimalisatie!V74,Database_Transport[#All],7,FALSE)*((IF(Optimalisatie!R74=0,Baseline!Q74,Optimalisatie!R74))*Optimalisatie!U74),Baseline_Backlog!H72),0))</f>
        <v>0</v>
      </c>
      <c r="I72" s="9">
        <f>IF(Optimalisatie!C74="Nieuwe situatie",IF(_xlfn.IFNA((VLOOKUP(Optimalisatie!W74,Database_Asfalt_Aanlegset[#All],7,FALSE)*Optimalisatie!J74),0)+_xlfn.IFNA(VLOOKUP(Optimalisatie!X74,Database_Brandstoffen[#All],7,FALSE)*((Optimalisatie!J74/Optimalisatie!Z74)*Optimalisatie!Y74),0)&gt;0,_xlfn.IFNA((VLOOKUP(Optimalisatie!W74,Database_Asfalt_Aanlegset[#All],7,FALSE)*Optimalisatie!J74),0)+_xlfn.IFNA(VLOOKUP(Optimalisatie!X74,Database_Brandstoffen[#All],7,FALSE)*((Optimalisatie!J74/Optimalisatie!Z74)*Optimalisatie!Y74),0),(_xlfn.IFNA(VLOOKUP(Inschrijf_MKI_Totaal[[#This Row],[Product]]&amp;", "&amp;Inschrijf_MKI_Totaal[[#Headers],[A5]],Database_Productkaarten[#All],14,FALSE),0)*Optimalisatie!J74)),0)</f>
        <v>0</v>
      </c>
      <c r="J72" s="9"/>
      <c r="K72" s="9">
        <f>(IF(Optimalisatie!C74="Nieuwe Situatie",_xlfn.IFNA(SUM(Inschrijf_MKI_Totaal[[#This Row],[A1]:[B1]],Inschrijf_MKI_Totaal[[#This Row],[C1]:[D2]])*Optimalisatie!T74,0),0))</f>
        <v>0</v>
      </c>
      <c r="L72" s="9">
        <f>IF(Optimalisatie!C74="Bestaande situatie",IF(_xlfn.IFNA((VLOOKUP(Optimalisatie!AA74,Database_Asfalt_Verwijderset[#All],7,FALSE)*Optimalisatie!J74),0)+_xlfn.IFNA(VLOOKUP(Optimalisatie!AB74,Database_Brandstoffen[#All],7,FALSE)*((Optimalisatie!J74/Optimalisatie!AD74)*Optimalisatie!AC74),0)&gt;0,_xlfn.IFNA((VLOOKUP(Optimalisatie!AA74,Database_Asfalt_Verwijderset[#All],7,FALSE)*Optimalisatie!J74),0)+_xlfn.IFNA(VLOOKUP(Optimalisatie!AB74,Database_Brandstoffen[#All],7,FALSE)*((Optimalisatie!J74/Optimalisatie!AD74)*Optimalisatie!AC74),0),(_xlfn.IFNA(VLOOKUP(Inschrijf_MKI_Totaal[[#This Row],[Product]]&amp;", "&amp;Inschrijf_MKI_Totaal[[#Headers],[C1]],Database_Productkaarten[#All],14,FALSE),0)*Optimalisatie!J74)),0)</f>
        <v>0</v>
      </c>
      <c r="M72" s="9">
        <f>(IF(Optimalisatie!C74="Bestaande Situatie",_xlfn.IFNA(VLOOKUP(Optimalisatie!AF74,Database_Transport[#All],7,FALSE)*(Optimalisatie!R74*Optimalisatie!AE74),Baseline_Backlog!M72),0))</f>
        <v>0</v>
      </c>
      <c r="N72" s="9">
        <f>(IF(Optimalisatie!C74="Bestaande Situatie",_xlfn.IFNA(VLOOKUP(Optimalisatie!AG74,Database_Asfalt_Verwerkingsset[#All],7,FALSE)*(Optimalisatie!J74/VLOOKUP(Optimalisatie!AG74,Database_Asfalt_Verwerkingsset[#All],8,FALSE)),Baseline_Backlog!N72),0))</f>
        <v>0</v>
      </c>
      <c r="O72" s="9">
        <f>(IF(Optimalisatie!C74="Bestaande Situatie",_xlfn.IFNA(VLOOKUP(Inschrijf_MKI_Totaal[[#This Row],[Product]]&amp;", "&amp;Inschrijf_MKI_Totaal[[#Headers],[C4]],Database_Productkaarten[#All],14,FALSE),Baseline_Backlog!O72)*Optimalisatie!J74,0))</f>
        <v>0</v>
      </c>
      <c r="P72" s="9">
        <f>(IF(Optimalisatie!C74="Bestaande Situatie",_xlfn.IFNA(IF(Optimalisatie!E74="Categorie_1_LCA_Producten",VLOOKUP(Inschrijf_MKI_Totaal[[#This Row],[Product]],Categorie_1_Producten[#All],12,FALSE)*(Optimalisatie!J74),VLOOKUP(Inschrijf_MKI_Totaal[[#This Row],[Product]]&amp;", "&amp;Inschrijf_MKI_Totaal[[#Headers],[D1]],Database_Productkaarten[#All],14,FALSE)*Optimalisatie!J74),Baseline_Backlog!P72),0))</f>
        <v>0</v>
      </c>
      <c r="Q72" s="9">
        <f>(IF(Optimalisatie!C74="Bestaande Situatie",_xlfn.IFNA(IF(Optimalisatie!E74="Categorie_1_LCA_Producten",VLOOKUP(Inschrijf_MKI_Totaal[[#This Row],[Product]],Categorie_1_Producten[#All],13,FALSE)*(Optimalisatie!J74),VLOOKUP(Inschrijf_MKI_Totaal[[#This Row],[Product]]&amp;", "&amp;Inschrijf_MKI_Totaal[[#Headers],[D2]],Database_Productkaarten[#All],14,FALSE)*Optimalisatie!J74),Baseline_Backlog!Q72),0))</f>
        <v>0</v>
      </c>
      <c r="R72" s="9">
        <f>(IF(Optimalisatie!C74="Bestaande Situatie",_xlfn.IFNA(IF(Optimalisatie!E74="Categorie_1_LCA_Producten",VLOOKUP(Inschrijf_MKI_Totaal[[#This Row],[Product]],Categorie_1_Producten[#All],13,FALSE)*(Optimalisatie!J74),VLOOKUP(Inschrijf_MKI_Totaal[[#This Row],[Product]]&amp;", "&amp;Inschrijf_MKI_Totaal[[#Headers],[D]],Database_Productkaarten[#All],14,FALSE)*Optimalisatie!J74),Baseline_Backlog!S72),0))</f>
        <v>0</v>
      </c>
      <c r="S72" s="301">
        <f>SUM(Inschrijf_MKI_Totaal[[#This Row],[A1-A3]:[C4]])+Inschrijf_MKI_Totaal[[#This Row],[D]]</f>
        <v>0</v>
      </c>
      <c r="AA72" s="9">
        <f>_xlfn.IFNA((VLOOKUP(Optimalisatie!AA74,Database_Asfalt_Verwijderset[#All],7,FALSE)*Optimalisatie!J74),0)</f>
        <v>0</v>
      </c>
      <c r="AB72" s="9" t="e">
        <f>(VLOOKUP(Optimalisatie!AA74,Database_Asfalt_Verwijderset[#All],7,FALSE)*Optimalisatie!J74)</f>
        <v>#N/A</v>
      </c>
      <c r="AC72" s="332">
        <f>(_xlfn.IFNA(VLOOKUP(Inschrijf_MKI_Totaal[[#This Row],[Product]]&amp;", "&amp;Inschrijf_MKI_Totaal[[#Headers],[C1]],Database_Productkaarten[#All],14,FALSE),0)*Optimalisatie!J74)</f>
        <v>0</v>
      </c>
    </row>
    <row r="73" spans="2:29" hidden="1">
      <c r="B73" s="272">
        <f>Optimalisatie!B75</f>
        <v>0</v>
      </c>
      <c r="C73" s="9">
        <f>Optimalisatie!F75</f>
        <v>0</v>
      </c>
      <c r="D73" s="9">
        <f>(IF(Optimalisatie!C75="Nieuwe Situatie",_xlfn.IFNA(IF(Optimalisatie!E75="Categorie_1_LCA_Producten",VLOOKUP(Inschrijf_MKI_Totaal[[#This Row],[Product]],Categorie_1_Producten[#All],8,FALSE)*(Optimalisatie!J75),VLOOKUP(Inschrijf_MKI_Totaal[[#This Row],[Product]]&amp;", "&amp;Inschrijf_MKI_Totaal[[#Headers],[A1]],Database_Productkaarten[#All],14,FALSE)*Optimalisatie!J75),Baseline_Backlog!D73),0))</f>
        <v>0</v>
      </c>
      <c r="E73" s="9">
        <f>(IF(Optimalisatie!C75="Nieuwe Situatie",_xlfn.IFNA(IF(Optimalisatie!E75="Categorie_1_LCA_Producten",VLOOKUP(Inschrijf_MKI_Totaal[[#This Row],[Product]],Categorie_1_Producten[#All],9,FALSE)*(Optimalisatie!J75),VLOOKUP(Inschrijf_MKI_Totaal[[#This Row],[Product]]&amp;", "&amp;Inschrijf_MKI_Totaal[[#Headers],[A2]],Database_Productkaarten[#All],14,FALSE)*Optimalisatie!J75),Baseline_Backlog!E73),0))</f>
        <v>0</v>
      </c>
      <c r="F73" s="9">
        <f>(IF(Optimalisatie!C75="Nieuwe Situatie",_xlfn.IFNA(IF(Optimalisatie!E75="Categorie_1_LCA_Producten",VLOOKUP(Inschrijf_MKI_Totaal[[#This Row],[Product]],Categorie_1_Producten[#All],10,FALSE)*(Optimalisatie!J75),VLOOKUP(Inschrijf_MKI_Totaal[[#This Row],[Product]]&amp;", "&amp;Inschrijf_MKI_Totaal[[#Headers],[A3]],Database_Productkaarten[#All],14,FALSE)*Optimalisatie!J75),Baseline_Backlog!F73),0))</f>
        <v>0</v>
      </c>
      <c r="G73" s="9">
        <f>(IF(Optimalisatie!C75="Nieuwe Situatie",_xlfn.IFNA(IF(Optimalisatie!E75="Categorie_1_LCA_Producten",VLOOKUP(Inschrijf_MKI_Totaal[[#This Row],[Product]],Categorie_1_Producten[#All],11,FALSE)*(Optimalisatie!J75),VLOOKUP(Inschrijf_MKI_Totaal[[#This Row],[Product]]&amp;", "&amp;Inschrijf_MKI_Totaal[[#Headers],[A1-A3]],Database_Productkaarten[#All],14,FALSE)*Optimalisatie!J75),Baseline_Backlog!G73),0))</f>
        <v>0</v>
      </c>
      <c r="H73" s="9">
        <f>(IF(Optimalisatie!C75="Nieuwe Situatie",_xlfn.IFNA(VLOOKUP(Optimalisatie!V75,Database_Transport[#All],7,FALSE)*((IF(Optimalisatie!R75=0,Baseline!Q75,Optimalisatie!R75))*Optimalisatie!U75),Baseline_Backlog!H73),0))</f>
        <v>0</v>
      </c>
      <c r="I73" s="9">
        <f>IF(Optimalisatie!C75="Nieuwe situatie",IF(_xlfn.IFNA((VLOOKUP(Optimalisatie!W75,Database_Asfalt_Aanlegset[#All],7,FALSE)*Optimalisatie!J75),0)+_xlfn.IFNA(VLOOKUP(Optimalisatie!X75,Database_Brandstoffen[#All],7,FALSE)*((Optimalisatie!J75/Optimalisatie!Z75)*Optimalisatie!Y75),0)&gt;0,_xlfn.IFNA((VLOOKUP(Optimalisatie!W75,Database_Asfalt_Aanlegset[#All],7,FALSE)*Optimalisatie!J75),0)+_xlfn.IFNA(VLOOKUP(Optimalisatie!X75,Database_Brandstoffen[#All],7,FALSE)*((Optimalisatie!J75/Optimalisatie!Z75)*Optimalisatie!Y75),0),(_xlfn.IFNA(VLOOKUP(Inschrijf_MKI_Totaal[[#This Row],[Product]]&amp;", "&amp;Inschrijf_MKI_Totaal[[#Headers],[A5]],Database_Productkaarten[#All],14,FALSE),0)*Optimalisatie!J75)),0)</f>
        <v>0</v>
      </c>
      <c r="J73" s="9"/>
      <c r="K73" s="9">
        <f>(IF(Optimalisatie!C75="Nieuwe Situatie",_xlfn.IFNA(SUM(Inschrijf_MKI_Totaal[[#This Row],[A1]:[B1]],Inschrijf_MKI_Totaal[[#This Row],[C1]:[D2]])*Optimalisatie!T75,0),0))</f>
        <v>0</v>
      </c>
      <c r="L73" s="9">
        <f>IF(Optimalisatie!C75="Bestaande situatie",IF(_xlfn.IFNA((VLOOKUP(Optimalisatie!AA75,Database_Asfalt_Verwijderset[#All],7,FALSE)*Optimalisatie!J75),0)+_xlfn.IFNA(VLOOKUP(Optimalisatie!AB75,Database_Brandstoffen[#All],7,FALSE)*((Optimalisatie!J75/Optimalisatie!AD75)*Optimalisatie!AC75),0)&gt;0,_xlfn.IFNA((VLOOKUP(Optimalisatie!AA75,Database_Asfalt_Verwijderset[#All],7,FALSE)*Optimalisatie!J75),0)+_xlfn.IFNA(VLOOKUP(Optimalisatie!AB75,Database_Brandstoffen[#All],7,FALSE)*((Optimalisatie!J75/Optimalisatie!AD75)*Optimalisatie!AC75),0),(_xlfn.IFNA(VLOOKUP(Inschrijf_MKI_Totaal[[#This Row],[Product]]&amp;", "&amp;Inschrijf_MKI_Totaal[[#Headers],[C1]],Database_Productkaarten[#All],14,FALSE),0)*Optimalisatie!J75)),0)</f>
        <v>0</v>
      </c>
      <c r="M73" s="9">
        <f>(IF(Optimalisatie!C75="Bestaande Situatie",_xlfn.IFNA(VLOOKUP(Optimalisatie!AF75,Database_Transport[#All],7,FALSE)*(Optimalisatie!R75*Optimalisatie!AE75),Baseline_Backlog!M73),0))</f>
        <v>0</v>
      </c>
      <c r="N73" s="9">
        <f>(IF(Optimalisatie!C75="Bestaande Situatie",_xlfn.IFNA(VLOOKUP(Optimalisatie!AG75,Database_Asfalt_Verwerkingsset[#All],7,FALSE)*(Optimalisatie!J75/VLOOKUP(Optimalisatie!AG75,Database_Asfalt_Verwerkingsset[#All],8,FALSE)),Baseline_Backlog!N73),0))</f>
        <v>0</v>
      </c>
      <c r="O73" s="9">
        <f>(IF(Optimalisatie!C75="Bestaande Situatie",_xlfn.IFNA(VLOOKUP(Inschrijf_MKI_Totaal[[#This Row],[Product]]&amp;", "&amp;Inschrijf_MKI_Totaal[[#Headers],[C4]],Database_Productkaarten[#All],14,FALSE),Baseline_Backlog!O73)*Optimalisatie!J75,0))</f>
        <v>0</v>
      </c>
      <c r="P73" s="9">
        <f>(IF(Optimalisatie!C75="Bestaande Situatie",_xlfn.IFNA(IF(Optimalisatie!E75="Categorie_1_LCA_Producten",VLOOKUP(Inschrijf_MKI_Totaal[[#This Row],[Product]],Categorie_1_Producten[#All],12,FALSE)*(Optimalisatie!J75),VLOOKUP(Inschrijf_MKI_Totaal[[#This Row],[Product]]&amp;", "&amp;Inschrijf_MKI_Totaal[[#Headers],[D1]],Database_Productkaarten[#All],14,FALSE)*Optimalisatie!J75),Baseline_Backlog!P73),0))</f>
        <v>0</v>
      </c>
      <c r="Q73" s="9">
        <f>(IF(Optimalisatie!C75="Bestaande Situatie",_xlfn.IFNA(IF(Optimalisatie!E75="Categorie_1_LCA_Producten",VLOOKUP(Inschrijf_MKI_Totaal[[#This Row],[Product]],Categorie_1_Producten[#All],13,FALSE)*(Optimalisatie!J75),VLOOKUP(Inschrijf_MKI_Totaal[[#This Row],[Product]]&amp;", "&amp;Inschrijf_MKI_Totaal[[#Headers],[D2]],Database_Productkaarten[#All],14,FALSE)*Optimalisatie!J75),Baseline_Backlog!Q73),0))</f>
        <v>0</v>
      </c>
      <c r="R73" s="9">
        <f>(IF(Optimalisatie!C75="Bestaande Situatie",_xlfn.IFNA(IF(Optimalisatie!E75="Categorie_1_LCA_Producten",VLOOKUP(Inschrijf_MKI_Totaal[[#This Row],[Product]],Categorie_1_Producten[#All],13,FALSE)*(Optimalisatie!J75),VLOOKUP(Inschrijf_MKI_Totaal[[#This Row],[Product]]&amp;", "&amp;Inschrijf_MKI_Totaal[[#Headers],[D]],Database_Productkaarten[#All],14,FALSE)*Optimalisatie!J75),Baseline_Backlog!S73),0))</f>
        <v>0</v>
      </c>
      <c r="S73" s="301">
        <f>SUM(Inschrijf_MKI_Totaal[[#This Row],[A1-A3]:[C4]])+Inschrijf_MKI_Totaal[[#This Row],[D]]</f>
        <v>0</v>
      </c>
      <c r="AA73" s="9">
        <f>_xlfn.IFNA((VLOOKUP(Optimalisatie!AA75,Database_Asfalt_Verwijderset[#All],7,FALSE)*Optimalisatie!J75),0)</f>
        <v>0</v>
      </c>
      <c r="AB73" s="9" t="e">
        <f>(VLOOKUP(Optimalisatie!AA75,Database_Asfalt_Verwijderset[#All],7,FALSE)*Optimalisatie!J75)</f>
        <v>#N/A</v>
      </c>
      <c r="AC73" s="332">
        <f>(_xlfn.IFNA(VLOOKUP(Inschrijf_MKI_Totaal[[#This Row],[Product]]&amp;", "&amp;Inschrijf_MKI_Totaal[[#Headers],[C1]],Database_Productkaarten[#All],14,FALSE),0)*Optimalisatie!J75)</f>
        <v>0</v>
      </c>
    </row>
    <row r="74" spans="2:29" hidden="1">
      <c r="B74" s="272">
        <f>Optimalisatie!B76</f>
        <v>0</v>
      </c>
      <c r="C74" s="9">
        <f>Optimalisatie!F76</f>
        <v>0</v>
      </c>
      <c r="D74" s="9">
        <f>(IF(Optimalisatie!C76="Nieuwe Situatie",_xlfn.IFNA(IF(Optimalisatie!E76="Categorie_1_LCA_Producten",VLOOKUP(Inschrijf_MKI_Totaal[[#This Row],[Product]],Categorie_1_Producten[#All],8,FALSE)*(Optimalisatie!J76),VLOOKUP(Inschrijf_MKI_Totaal[[#This Row],[Product]]&amp;", "&amp;Inschrijf_MKI_Totaal[[#Headers],[A1]],Database_Productkaarten[#All],14,FALSE)*Optimalisatie!J76),Baseline_Backlog!D74),0))</f>
        <v>0</v>
      </c>
      <c r="E74" s="9">
        <f>(IF(Optimalisatie!C76="Nieuwe Situatie",_xlfn.IFNA(IF(Optimalisatie!E76="Categorie_1_LCA_Producten",VLOOKUP(Inschrijf_MKI_Totaal[[#This Row],[Product]],Categorie_1_Producten[#All],9,FALSE)*(Optimalisatie!J76),VLOOKUP(Inschrijf_MKI_Totaal[[#This Row],[Product]]&amp;", "&amp;Inschrijf_MKI_Totaal[[#Headers],[A2]],Database_Productkaarten[#All],14,FALSE)*Optimalisatie!J76),Baseline_Backlog!E74),0))</f>
        <v>0</v>
      </c>
      <c r="F74" s="9">
        <f>(IF(Optimalisatie!C76="Nieuwe Situatie",_xlfn.IFNA(IF(Optimalisatie!E76="Categorie_1_LCA_Producten",VLOOKUP(Inschrijf_MKI_Totaal[[#This Row],[Product]],Categorie_1_Producten[#All],10,FALSE)*(Optimalisatie!J76),VLOOKUP(Inschrijf_MKI_Totaal[[#This Row],[Product]]&amp;", "&amp;Inschrijf_MKI_Totaal[[#Headers],[A3]],Database_Productkaarten[#All],14,FALSE)*Optimalisatie!J76),Baseline_Backlog!F74),0))</f>
        <v>0</v>
      </c>
      <c r="G74" s="9">
        <f>(IF(Optimalisatie!C76="Nieuwe Situatie",_xlfn.IFNA(IF(Optimalisatie!E76="Categorie_1_LCA_Producten",VLOOKUP(Inschrijf_MKI_Totaal[[#This Row],[Product]],Categorie_1_Producten[#All],11,FALSE)*(Optimalisatie!J76),VLOOKUP(Inschrijf_MKI_Totaal[[#This Row],[Product]]&amp;", "&amp;Inschrijf_MKI_Totaal[[#Headers],[A1-A3]],Database_Productkaarten[#All],14,FALSE)*Optimalisatie!J76),Baseline_Backlog!G74),0))</f>
        <v>0</v>
      </c>
      <c r="H74" s="9">
        <f>(IF(Optimalisatie!C76="Nieuwe Situatie",_xlfn.IFNA(VLOOKUP(Optimalisatie!V76,Database_Transport[#All],7,FALSE)*((IF(Optimalisatie!R76=0,Baseline!Q76,Optimalisatie!R76))*Optimalisatie!U76),Baseline_Backlog!H74),0))</f>
        <v>0</v>
      </c>
      <c r="I74" s="9">
        <f>IF(Optimalisatie!C76="Nieuwe situatie",IF(_xlfn.IFNA((VLOOKUP(Optimalisatie!W76,Database_Asfalt_Aanlegset[#All],7,FALSE)*Optimalisatie!J76),0)+_xlfn.IFNA(VLOOKUP(Optimalisatie!X76,Database_Brandstoffen[#All],7,FALSE)*((Optimalisatie!J76/Optimalisatie!Z76)*Optimalisatie!Y76),0)&gt;0,_xlfn.IFNA((VLOOKUP(Optimalisatie!W76,Database_Asfalt_Aanlegset[#All],7,FALSE)*Optimalisatie!J76),0)+_xlfn.IFNA(VLOOKUP(Optimalisatie!X76,Database_Brandstoffen[#All],7,FALSE)*((Optimalisatie!J76/Optimalisatie!Z76)*Optimalisatie!Y76),0),(_xlfn.IFNA(VLOOKUP(Inschrijf_MKI_Totaal[[#This Row],[Product]]&amp;", "&amp;Inschrijf_MKI_Totaal[[#Headers],[A5]],Database_Productkaarten[#All],14,FALSE),0)*Optimalisatie!J76)),0)</f>
        <v>0</v>
      </c>
      <c r="J74" s="9"/>
      <c r="K74" s="9">
        <f>(IF(Optimalisatie!C76="Nieuwe Situatie",_xlfn.IFNA(SUM(Inschrijf_MKI_Totaal[[#This Row],[A1]:[B1]],Inschrijf_MKI_Totaal[[#This Row],[C1]:[D2]])*Optimalisatie!T76,0),0))</f>
        <v>0</v>
      </c>
      <c r="L74" s="9">
        <f>IF(Optimalisatie!C76="Bestaande situatie",IF(_xlfn.IFNA((VLOOKUP(Optimalisatie!AA76,Database_Asfalt_Verwijderset[#All],7,FALSE)*Optimalisatie!J76),0)+_xlfn.IFNA(VLOOKUP(Optimalisatie!AB76,Database_Brandstoffen[#All],7,FALSE)*((Optimalisatie!J76/Optimalisatie!AD76)*Optimalisatie!AC76),0)&gt;0,_xlfn.IFNA((VLOOKUP(Optimalisatie!AA76,Database_Asfalt_Verwijderset[#All],7,FALSE)*Optimalisatie!J76),0)+_xlfn.IFNA(VLOOKUP(Optimalisatie!AB76,Database_Brandstoffen[#All],7,FALSE)*((Optimalisatie!J76/Optimalisatie!AD76)*Optimalisatie!AC76),0),(_xlfn.IFNA(VLOOKUP(Inschrijf_MKI_Totaal[[#This Row],[Product]]&amp;", "&amp;Inschrijf_MKI_Totaal[[#Headers],[C1]],Database_Productkaarten[#All],14,FALSE),0)*Optimalisatie!J76)),0)</f>
        <v>0</v>
      </c>
      <c r="M74" s="9">
        <f>(IF(Optimalisatie!C76="Bestaande Situatie",_xlfn.IFNA(VLOOKUP(Optimalisatie!AF76,Database_Transport[#All],7,FALSE)*(Optimalisatie!R76*Optimalisatie!AE76),Baseline_Backlog!M74),0))</f>
        <v>0</v>
      </c>
      <c r="N74" s="9">
        <f>(IF(Optimalisatie!C76="Bestaande Situatie",_xlfn.IFNA(VLOOKUP(Optimalisatie!AG76,Database_Asfalt_Verwerkingsset[#All],7,FALSE)*(Optimalisatie!J76/VLOOKUP(Optimalisatie!AG76,Database_Asfalt_Verwerkingsset[#All],8,FALSE)),Baseline_Backlog!N74),0))</f>
        <v>0</v>
      </c>
      <c r="O74" s="9">
        <f>(IF(Optimalisatie!C76="Bestaande Situatie",_xlfn.IFNA(VLOOKUP(Inschrijf_MKI_Totaal[[#This Row],[Product]]&amp;", "&amp;Inschrijf_MKI_Totaal[[#Headers],[C4]],Database_Productkaarten[#All],14,FALSE),Baseline_Backlog!O74)*Optimalisatie!J76,0))</f>
        <v>0</v>
      </c>
      <c r="P74" s="9">
        <f>(IF(Optimalisatie!C76="Bestaande Situatie",_xlfn.IFNA(IF(Optimalisatie!E76="Categorie_1_LCA_Producten",VLOOKUP(Inschrijf_MKI_Totaal[[#This Row],[Product]],Categorie_1_Producten[#All],12,FALSE)*(Optimalisatie!J76),VLOOKUP(Inschrijf_MKI_Totaal[[#This Row],[Product]]&amp;", "&amp;Inschrijf_MKI_Totaal[[#Headers],[D1]],Database_Productkaarten[#All],14,FALSE)*Optimalisatie!J76),Baseline_Backlog!P74),0))</f>
        <v>0</v>
      </c>
      <c r="Q74" s="9">
        <f>(IF(Optimalisatie!C76="Bestaande Situatie",_xlfn.IFNA(IF(Optimalisatie!E76="Categorie_1_LCA_Producten",VLOOKUP(Inschrijf_MKI_Totaal[[#This Row],[Product]],Categorie_1_Producten[#All],13,FALSE)*(Optimalisatie!J76),VLOOKUP(Inschrijf_MKI_Totaal[[#This Row],[Product]]&amp;", "&amp;Inschrijf_MKI_Totaal[[#Headers],[D2]],Database_Productkaarten[#All],14,FALSE)*Optimalisatie!J76),Baseline_Backlog!Q74),0))</f>
        <v>0</v>
      </c>
      <c r="R74" s="9">
        <f>(IF(Optimalisatie!C76="Bestaande Situatie",_xlfn.IFNA(IF(Optimalisatie!E76="Categorie_1_LCA_Producten",VLOOKUP(Inschrijf_MKI_Totaal[[#This Row],[Product]],Categorie_1_Producten[#All],13,FALSE)*(Optimalisatie!J76),VLOOKUP(Inschrijf_MKI_Totaal[[#This Row],[Product]]&amp;", "&amp;Inschrijf_MKI_Totaal[[#Headers],[D]],Database_Productkaarten[#All],14,FALSE)*Optimalisatie!J76),Baseline_Backlog!S74),0))</f>
        <v>0</v>
      </c>
      <c r="S74" s="301">
        <f>SUM(Inschrijf_MKI_Totaal[[#This Row],[A1-A3]:[C4]])+Inschrijf_MKI_Totaal[[#This Row],[D]]</f>
        <v>0</v>
      </c>
      <c r="AA74" s="9">
        <f>_xlfn.IFNA((VLOOKUP(Optimalisatie!AA76,Database_Asfalt_Verwijderset[#All],7,FALSE)*Optimalisatie!J76),0)</f>
        <v>0</v>
      </c>
      <c r="AB74" s="9" t="e">
        <f>(VLOOKUP(Optimalisatie!AA76,Database_Asfalt_Verwijderset[#All],7,FALSE)*Optimalisatie!J76)</f>
        <v>#N/A</v>
      </c>
      <c r="AC74" s="332">
        <f>(_xlfn.IFNA(VLOOKUP(Inschrijf_MKI_Totaal[[#This Row],[Product]]&amp;", "&amp;Inschrijf_MKI_Totaal[[#Headers],[C1]],Database_Productkaarten[#All],14,FALSE),0)*Optimalisatie!J76)</f>
        <v>0</v>
      </c>
    </row>
    <row r="75" spans="2:29" hidden="1">
      <c r="B75" s="272">
        <f>Optimalisatie!B77</f>
        <v>0</v>
      </c>
      <c r="C75" s="9">
        <f>Optimalisatie!F77</f>
        <v>0</v>
      </c>
      <c r="D75" s="9">
        <f>(IF(Optimalisatie!C77="Nieuwe Situatie",_xlfn.IFNA(IF(Optimalisatie!E77="Categorie_1_LCA_Producten",VLOOKUP(Inschrijf_MKI_Totaal[[#This Row],[Product]],Categorie_1_Producten[#All],8,FALSE)*(Optimalisatie!J77),VLOOKUP(Inschrijf_MKI_Totaal[[#This Row],[Product]]&amp;", "&amp;Inschrijf_MKI_Totaal[[#Headers],[A1]],Database_Productkaarten[#All],14,FALSE)*Optimalisatie!J77),Baseline_Backlog!D75),0))</f>
        <v>0</v>
      </c>
      <c r="E75" s="9">
        <f>(IF(Optimalisatie!C77="Nieuwe Situatie",_xlfn.IFNA(IF(Optimalisatie!E77="Categorie_1_LCA_Producten",VLOOKUP(Inschrijf_MKI_Totaal[[#This Row],[Product]],Categorie_1_Producten[#All],9,FALSE)*(Optimalisatie!J77),VLOOKUP(Inschrijf_MKI_Totaal[[#This Row],[Product]]&amp;", "&amp;Inschrijf_MKI_Totaal[[#Headers],[A2]],Database_Productkaarten[#All],14,FALSE)*Optimalisatie!J77),Baseline_Backlog!E75),0))</f>
        <v>0</v>
      </c>
      <c r="F75" s="9">
        <f>(IF(Optimalisatie!C77="Nieuwe Situatie",_xlfn.IFNA(IF(Optimalisatie!E77="Categorie_1_LCA_Producten",VLOOKUP(Inschrijf_MKI_Totaal[[#This Row],[Product]],Categorie_1_Producten[#All],10,FALSE)*(Optimalisatie!J77),VLOOKUP(Inschrijf_MKI_Totaal[[#This Row],[Product]]&amp;", "&amp;Inschrijf_MKI_Totaal[[#Headers],[A3]],Database_Productkaarten[#All],14,FALSE)*Optimalisatie!J77),Baseline_Backlog!F75),0))</f>
        <v>0</v>
      </c>
      <c r="G75" s="9">
        <f>(IF(Optimalisatie!C77="Nieuwe Situatie",_xlfn.IFNA(IF(Optimalisatie!E77="Categorie_1_LCA_Producten",VLOOKUP(Inschrijf_MKI_Totaal[[#This Row],[Product]],Categorie_1_Producten[#All],11,FALSE)*(Optimalisatie!J77),VLOOKUP(Inschrijf_MKI_Totaal[[#This Row],[Product]]&amp;", "&amp;Inschrijf_MKI_Totaal[[#Headers],[A1-A3]],Database_Productkaarten[#All],14,FALSE)*Optimalisatie!J77),Baseline_Backlog!G75),0))</f>
        <v>0</v>
      </c>
      <c r="H75" s="9">
        <f>(IF(Optimalisatie!C77="Nieuwe Situatie",_xlfn.IFNA(VLOOKUP(Optimalisatie!V77,Database_Transport[#All],7,FALSE)*((IF(Optimalisatie!R77=0,Baseline!Q77,Optimalisatie!R77))*Optimalisatie!U77),Baseline_Backlog!H75),0))</f>
        <v>0</v>
      </c>
      <c r="I75" s="9">
        <f>IF(Optimalisatie!C77="Nieuwe situatie",IF(_xlfn.IFNA((VLOOKUP(Optimalisatie!W77,Database_Asfalt_Aanlegset[#All],7,FALSE)*Optimalisatie!J77),0)+_xlfn.IFNA(VLOOKUP(Optimalisatie!X77,Database_Brandstoffen[#All],7,FALSE)*((Optimalisatie!J77/Optimalisatie!Z77)*Optimalisatie!Y77),0)&gt;0,_xlfn.IFNA((VLOOKUP(Optimalisatie!W77,Database_Asfalt_Aanlegset[#All],7,FALSE)*Optimalisatie!J77),0)+_xlfn.IFNA(VLOOKUP(Optimalisatie!X77,Database_Brandstoffen[#All],7,FALSE)*((Optimalisatie!J77/Optimalisatie!Z77)*Optimalisatie!Y77),0),(_xlfn.IFNA(VLOOKUP(Inschrijf_MKI_Totaal[[#This Row],[Product]]&amp;", "&amp;Inschrijf_MKI_Totaal[[#Headers],[A5]],Database_Productkaarten[#All],14,FALSE),0)*Optimalisatie!J77)),0)</f>
        <v>0</v>
      </c>
      <c r="J75" s="9"/>
      <c r="K75" s="9">
        <f>(IF(Optimalisatie!C77="Nieuwe Situatie",_xlfn.IFNA(SUM(Inschrijf_MKI_Totaal[[#This Row],[A1]:[B1]],Inschrijf_MKI_Totaal[[#This Row],[C1]:[D2]])*Optimalisatie!T77,0),0))</f>
        <v>0</v>
      </c>
      <c r="L75" s="9">
        <f>IF(Optimalisatie!C77="Bestaande situatie",IF(_xlfn.IFNA((VLOOKUP(Optimalisatie!AA77,Database_Asfalt_Verwijderset[#All],7,FALSE)*Optimalisatie!J77),0)+_xlfn.IFNA(VLOOKUP(Optimalisatie!AB77,Database_Brandstoffen[#All],7,FALSE)*((Optimalisatie!J77/Optimalisatie!AD77)*Optimalisatie!AC77),0)&gt;0,_xlfn.IFNA((VLOOKUP(Optimalisatie!AA77,Database_Asfalt_Verwijderset[#All],7,FALSE)*Optimalisatie!J77),0)+_xlfn.IFNA(VLOOKUP(Optimalisatie!AB77,Database_Brandstoffen[#All],7,FALSE)*((Optimalisatie!J77/Optimalisatie!AD77)*Optimalisatie!AC77),0),(_xlfn.IFNA(VLOOKUP(Inschrijf_MKI_Totaal[[#This Row],[Product]]&amp;", "&amp;Inschrijf_MKI_Totaal[[#Headers],[C1]],Database_Productkaarten[#All],14,FALSE),0)*Optimalisatie!J77)),0)</f>
        <v>0</v>
      </c>
      <c r="M75" s="9">
        <f>(IF(Optimalisatie!C77="Bestaande Situatie",_xlfn.IFNA(VLOOKUP(Optimalisatie!AF77,Database_Transport[#All],7,FALSE)*(Optimalisatie!R77*Optimalisatie!AE77),Baseline_Backlog!M75),0))</f>
        <v>0</v>
      </c>
      <c r="N75" s="9">
        <f>(IF(Optimalisatie!C77="Bestaande Situatie",_xlfn.IFNA(VLOOKUP(Optimalisatie!AG77,Database_Asfalt_Verwerkingsset[#All],7,FALSE)*(Optimalisatie!J77/VLOOKUP(Optimalisatie!AG77,Database_Asfalt_Verwerkingsset[#All],8,FALSE)),Baseline_Backlog!N75),0))</f>
        <v>0</v>
      </c>
      <c r="O75" s="9">
        <f>(IF(Optimalisatie!C77="Bestaande Situatie",_xlfn.IFNA(VLOOKUP(Inschrijf_MKI_Totaal[[#This Row],[Product]]&amp;", "&amp;Inschrijf_MKI_Totaal[[#Headers],[C4]],Database_Productkaarten[#All],14,FALSE),Baseline_Backlog!O75)*Optimalisatie!J77,0))</f>
        <v>0</v>
      </c>
      <c r="P75" s="9">
        <f>(IF(Optimalisatie!C77="Bestaande Situatie",_xlfn.IFNA(IF(Optimalisatie!E77="Categorie_1_LCA_Producten",VLOOKUP(Inschrijf_MKI_Totaal[[#This Row],[Product]],Categorie_1_Producten[#All],12,FALSE)*(Optimalisatie!J77),VLOOKUP(Inschrijf_MKI_Totaal[[#This Row],[Product]]&amp;", "&amp;Inschrijf_MKI_Totaal[[#Headers],[D1]],Database_Productkaarten[#All],14,FALSE)*Optimalisatie!J77),Baseline_Backlog!P75),0))</f>
        <v>0</v>
      </c>
      <c r="Q75" s="9">
        <f>(IF(Optimalisatie!C77="Bestaande Situatie",_xlfn.IFNA(IF(Optimalisatie!E77="Categorie_1_LCA_Producten",VLOOKUP(Inschrijf_MKI_Totaal[[#This Row],[Product]],Categorie_1_Producten[#All],13,FALSE)*(Optimalisatie!J77),VLOOKUP(Inschrijf_MKI_Totaal[[#This Row],[Product]]&amp;", "&amp;Inschrijf_MKI_Totaal[[#Headers],[D2]],Database_Productkaarten[#All],14,FALSE)*Optimalisatie!J77),Baseline_Backlog!Q75),0))</f>
        <v>0</v>
      </c>
      <c r="R75" s="9">
        <f>(IF(Optimalisatie!C77="Bestaande Situatie",_xlfn.IFNA(IF(Optimalisatie!E77="Categorie_1_LCA_Producten",VLOOKUP(Inschrijf_MKI_Totaal[[#This Row],[Product]],Categorie_1_Producten[#All],13,FALSE)*(Optimalisatie!J77),VLOOKUP(Inschrijf_MKI_Totaal[[#This Row],[Product]]&amp;", "&amp;Inschrijf_MKI_Totaal[[#Headers],[D]],Database_Productkaarten[#All],14,FALSE)*Optimalisatie!J77),Baseline_Backlog!S75),0))</f>
        <v>0</v>
      </c>
      <c r="S75" s="301">
        <f>SUM(Inschrijf_MKI_Totaal[[#This Row],[A1-A3]:[C4]])+Inschrijf_MKI_Totaal[[#This Row],[D]]</f>
        <v>0</v>
      </c>
      <c r="AA75" s="9">
        <f>_xlfn.IFNA((VLOOKUP(Optimalisatie!AA77,Database_Asfalt_Verwijderset[#All],7,FALSE)*Optimalisatie!J77),0)</f>
        <v>0</v>
      </c>
      <c r="AB75" s="9" t="e">
        <f>(VLOOKUP(Optimalisatie!AA77,Database_Asfalt_Verwijderset[#All],7,FALSE)*Optimalisatie!J77)</f>
        <v>#N/A</v>
      </c>
      <c r="AC75" s="332">
        <f>(_xlfn.IFNA(VLOOKUP(Inschrijf_MKI_Totaal[[#This Row],[Product]]&amp;", "&amp;Inschrijf_MKI_Totaal[[#Headers],[C1]],Database_Productkaarten[#All],14,FALSE),0)*Optimalisatie!J77)</f>
        <v>0</v>
      </c>
    </row>
    <row r="76" spans="2:29" hidden="1">
      <c r="B76" s="272">
        <f>Optimalisatie!B78</f>
        <v>0</v>
      </c>
      <c r="C76" s="9">
        <f>Optimalisatie!F78</f>
        <v>0</v>
      </c>
      <c r="D76" s="9">
        <f>(IF(Optimalisatie!C78="Nieuwe Situatie",_xlfn.IFNA(IF(Optimalisatie!E78="Categorie_1_LCA_Producten",VLOOKUP(Inschrijf_MKI_Totaal[[#This Row],[Product]],Categorie_1_Producten[#All],8,FALSE)*(Optimalisatie!J78),VLOOKUP(Inschrijf_MKI_Totaal[[#This Row],[Product]]&amp;", "&amp;Inschrijf_MKI_Totaal[[#Headers],[A1]],Database_Productkaarten[#All],14,FALSE)*Optimalisatie!J78),Baseline_Backlog!D76),0))</f>
        <v>0</v>
      </c>
      <c r="E76" s="9">
        <f>(IF(Optimalisatie!C78="Nieuwe Situatie",_xlfn.IFNA(IF(Optimalisatie!E78="Categorie_1_LCA_Producten",VLOOKUP(Inschrijf_MKI_Totaal[[#This Row],[Product]],Categorie_1_Producten[#All],9,FALSE)*(Optimalisatie!J78),VLOOKUP(Inschrijf_MKI_Totaal[[#This Row],[Product]]&amp;", "&amp;Inschrijf_MKI_Totaal[[#Headers],[A2]],Database_Productkaarten[#All],14,FALSE)*Optimalisatie!J78),Baseline_Backlog!E76),0))</f>
        <v>0</v>
      </c>
      <c r="F76" s="9">
        <f>(IF(Optimalisatie!C78="Nieuwe Situatie",_xlfn.IFNA(IF(Optimalisatie!E78="Categorie_1_LCA_Producten",VLOOKUP(Inschrijf_MKI_Totaal[[#This Row],[Product]],Categorie_1_Producten[#All],10,FALSE)*(Optimalisatie!J78),VLOOKUP(Inschrijf_MKI_Totaal[[#This Row],[Product]]&amp;", "&amp;Inschrijf_MKI_Totaal[[#Headers],[A3]],Database_Productkaarten[#All],14,FALSE)*Optimalisatie!J78),Baseline_Backlog!F76),0))</f>
        <v>0</v>
      </c>
      <c r="G76" s="9">
        <f>(IF(Optimalisatie!C78="Nieuwe Situatie",_xlfn.IFNA(IF(Optimalisatie!E78="Categorie_1_LCA_Producten",VLOOKUP(Inschrijf_MKI_Totaal[[#This Row],[Product]],Categorie_1_Producten[#All],11,FALSE)*(Optimalisatie!J78),VLOOKUP(Inschrijf_MKI_Totaal[[#This Row],[Product]]&amp;", "&amp;Inschrijf_MKI_Totaal[[#Headers],[A1-A3]],Database_Productkaarten[#All],14,FALSE)*Optimalisatie!J78),Baseline_Backlog!G76),0))</f>
        <v>0</v>
      </c>
      <c r="H76" s="9">
        <f>(IF(Optimalisatie!C78="Nieuwe Situatie",_xlfn.IFNA(VLOOKUP(Optimalisatie!V78,Database_Transport[#All],7,FALSE)*((IF(Optimalisatie!R78=0,Baseline!Q78,Optimalisatie!R78))*Optimalisatie!U78),Baseline_Backlog!H76),0))</f>
        <v>0</v>
      </c>
      <c r="I76" s="9">
        <f>IF(Optimalisatie!C78="Nieuwe situatie",IF(_xlfn.IFNA((VLOOKUP(Optimalisatie!W78,Database_Asfalt_Aanlegset[#All],7,FALSE)*Optimalisatie!J78),0)+_xlfn.IFNA(VLOOKUP(Optimalisatie!X78,Database_Brandstoffen[#All],7,FALSE)*((Optimalisatie!J78/Optimalisatie!Z78)*Optimalisatie!Y78),0)&gt;0,_xlfn.IFNA((VLOOKUP(Optimalisatie!W78,Database_Asfalt_Aanlegset[#All],7,FALSE)*Optimalisatie!J78),0)+_xlfn.IFNA(VLOOKUP(Optimalisatie!X78,Database_Brandstoffen[#All],7,FALSE)*((Optimalisatie!J78/Optimalisatie!Z78)*Optimalisatie!Y78),0),(_xlfn.IFNA(VLOOKUP(Inschrijf_MKI_Totaal[[#This Row],[Product]]&amp;", "&amp;Inschrijf_MKI_Totaal[[#Headers],[A5]],Database_Productkaarten[#All],14,FALSE),0)*Optimalisatie!J78)),0)</f>
        <v>0</v>
      </c>
      <c r="J76" s="9"/>
      <c r="K76" s="9">
        <f>(IF(Optimalisatie!C78="Nieuwe Situatie",_xlfn.IFNA(SUM(Inschrijf_MKI_Totaal[[#This Row],[A1]:[B1]],Inschrijf_MKI_Totaal[[#This Row],[C1]:[D2]])*Optimalisatie!T78,0),0))</f>
        <v>0</v>
      </c>
      <c r="L76" s="9">
        <f>IF(Optimalisatie!C78="Bestaande situatie",IF(_xlfn.IFNA((VLOOKUP(Optimalisatie!AA78,Database_Asfalt_Verwijderset[#All],7,FALSE)*Optimalisatie!J78),0)+_xlfn.IFNA(VLOOKUP(Optimalisatie!AB78,Database_Brandstoffen[#All],7,FALSE)*((Optimalisatie!J78/Optimalisatie!AD78)*Optimalisatie!AC78),0)&gt;0,_xlfn.IFNA((VLOOKUP(Optimalisatie!AA78,Database_Asfalt_Verwijderset[#All],7,FALSE)*Optimalisatie!J78),0)+_xlfn.IFNA(VLOOKUP(Optimalisatie!AB78,Database_Brandstoffen[#All],7,FALSE)*((Optimalisatie!J78/Optimalisatie!AD78)*Optimalisatie!AC78),0),(_xlfn.IFNA(VLOOKUP(Inschrijf_MKI_Totaal[[#This Row],[Product]]&amp;", "&amp;Inschrijf_MKI_Totaal[[#Headers],[C1]],Database_Productkaarten[#All],14,FALSE),0)*Optimalisatie!J78)),0)</f>
        <v>0</v>
      </c>
      <c r="M76" s="9">
        <f>(IF(Optimalisatie!C78="Bestaande Situatie",_xlfn.IFNA(VLOOKUP(Optimalisatie!AF78,Database_Transport[#All],7,FALSE)*(Optimalisatie!R78*Optimalisatie!AE78),Baseline_Backlog!M76),0))</f>
        <v>0</v>
      </c>
      <c r="N76" s="9">
        <f>(IF(Optimalisatie!C78="Bestaande Situatie",_xlfn.IFNA(VLOOKUP(Optimalisatie!AG78,Database_Asfalt_Verwerkingsset[#All],7,FALSE)*(Optimalisatie!J78/VLOOKUP(Optimalisatie!AG78,Database_Asfalt_Verwerkingsset[#All],8,FALSE)),Baseline_Backlog!N76),0))</f>
        <v>0</v>
      </c>
      <c r="O76" s="9">
        <f>(IF(Optimalisatie!C78="Bestaande Situatie",_xlfn.IFNA(VLOOKUP(Inschrijf_MKI_Totaal[[#This Row],[Product]]&amp;", "&amp;Inschrijf_MKI_Totaal[[#Headers],[C4]],Database_Productkaarten[#All],14,FALSE),Baseline_Backlog!O76)*Optimalisatie!J78,0))</f>
        <v>0</v>
      </c>
      <c r="P76" s="9">
        <f>(IF(Optimalisatie!C78="Bestaande Situatie",_xlfn.IFNA(IF(Optimalisatie!E78="Categorie_1_LCA_Producten",VLOOKUP(Inschrijf_MKI_Totaal[[#This Row],[Product]],Categorie_1_Producten[#All],12,FALSE)*(Optimalisatie!J78),VLOOKUP(Inschrijf_MKI_Totaal[[#This Row],[Product]]&amp;", "&amp;Inschrijf_MKI_Totaal[[#Headers],[D1]],Database_Productkaarten[#All],14,FALSE)*Optimalisatie!J78),Baseline_Backlog!P76),0))</f>
        <v>0</v>
      </c>
      <c r="Q76" s="9">
        <f>(IF(Optimalisatie!C78="Bestaande Situatie",_xlfn.IFNA(IF(Optimalisatie!E78="Categorie_1_LCA_Producten",VLOOKUP(Inschrijf_MKI_Totaal[[#This Row],[Product]],Categorie_1_Producten[#All],13,FALSE)*(Optimalisatie!J78),VLOOKUP(Inschrijf_MKI_Totaal[[#This Row],[Product]]&amp;", "&amp;Inschrijf_MKI_Totaal[[#Headers],[D2]],Database_Productkaarten[#All],14,FALSE)*Optimalisatie!J78),Baseline_Backlog!Q76),0))</f>
        <v>0</v>
      </c>
      <c r="R76" s="9">
        <f>(IF(Optimalisatie!C78="Bestaande Situatie",_xlfn.IFNA(IF(Optimalisatie!E78="Categorie_1_LCA_Producten",VLOOKUP(Inschrijf_MKI_Totaal[[#This Row],[Product]],Categorie_1_Producten[#All],13,FALSE)*(Optimalisatie!J78),VLOOKUP(Inschrijf_MKI_Totaal[[#This Row],[Product]]&amp;", "&amp;Inschrijf_MKI_Totaal[[#Headers],[D]],Database_Productkaarten[#All],14,FALSE)*Optimalisatie!J78),Baseline_Backlog!S76),0))</f>
        <v>0</v>
      </c>
      <c r="S76" s="301">
        <f>SUM(Inschrijf_MKI_Totaal[[#This Row],[A1-A3]:[C4]])+Inschrijf_MKI_Totaal[[#This Row],[D]]</f>
        <v>0</v>
      </c>
      <c r="AA76" s="9">
        <f>_xlfn.IFNA((VLOOKUP(Optimalisatie!AA78,Database_Asfalt_Verwijderset[#All],7,FALSE)*Optimalisatie!J78),0)</f>
        <v>0</v>
      </c>
      <c r="AB76" s="9" t="e">
        <f>(VLOOKUP(Optimalisatie!AA78,Database_Asfalt_Verwijderset[#All],7,FALSE)*Optimalisatie!J78)</f>
        <v>#N/A</v>
      </c>
      <c r="AC76" s="332">
        <f>(_xlfn.IFNA(VLOOKUP(Inschrijf_MKI_Totaal[[#This Row],[Product]]&amp;", "&amp;Inschrijf_MKI_Totaal[[#Headers],[C1]],Database_Productkaarten[#All],14,FALSE),0)*Optimalisatie!J78)</f>
        <v>0</v>
      </c>
    </row>
    <row r="77" spans="2:29" hidden="1">
      <c r="B77" s="272">
        <f>Optimalisatie!B79</f>
        <v>0</v>
      </c>
      <c r="C77" s="9">
        <f>Optimalisatie!F79</f>
        <v>0</v>
      </c>
      <c r="D77" s="9">
        <f>(IF(Optimalisatie!C79="Nieuwe Situatie",_xlfn.IFNA(IF(Optimalisatie!E79="Categorie_1_LCA_Producten",VLOOKUP(Inschrijf_MKI_Totaal[[#This Row],[Product]],Categorie_1_Producten[#All],8,FALSE)*(Optimalisatie!J79),VLOOKUP(Inschrijf_MKI_Totaal[[#This Row],[Product]]&amp;", "&amp;Inschrijf_MKI_Totaal[[#Headers],[A1]],Database_Productkaarten[#All],14,FALSE)*Optimalisatie!J79),Baseline_Backlog!D77),0))</f>
        <v>0</v>
      </c>
      <c r="E77" s="9">
        <f>(IF(Optimalisatie!C79="Nieuwe Situatie",_xlfn.IFNA(IF(Optimalisatie!E79="Categorie_1_LCA_Producten",VLOOKUP(Inschrijf_MKI_Totaal[[#This Row],[Product]],Categorie_1_Producten[#All],9,FALSE)*(Optimalisatie!J79),VLOOKUP(Inschrijf_MKI_Totaal[[#This Row],[Product]]&amp;", "&amp;Inschrijf_MKI_Totaal[[#Headers],[A2]],Database_Productkaarten[#All],14,FALSE)*Optimalisatie!J79),Baseline_Backlog!E77),0))</f>
        <v>0</v>
      </c>
      <c r="F77" s="9">
        <f>(IF(Optimalisatie!C79="Nieuwe Situatie",_xlfn.IFNA(IF(Optimalisatie!E79="Categorie_1_LCA_Producten",VLOOKUP(Inschrijf_MKI_Totaal[[#This Row],[Product]],Categorie_1_Producten[#All],10,FALSE)*(Optimalisatie!J79),VLOOKUP(Inschrijf_MKI_Totaal[[#This Row],[Product]]&amp;", "&amp;Inschrijf_MKI_Totaal[[#Headers],[A3]],Database_Productkaarten[#All],14,FALSE)*Optimalisatie!J79),Baseline_Backlog!F77),0))</f>
        <v>0</v>
      </c>
      <c r="G77" s="9">
        <f>(IF(Optimalisatie!C79="Nieuwe Situatie",_xlfn.IFNA(IF(Optimalisatie!E79="Categorie_1_LCA_Producten",VLOOKUP(Inschrijf_MKI_Totaal[[#This Row],[Product]],Categorie_1_Producten[#All],11,FALSE)*(Optimalisatie!J79),VLOOKUP(Inschrijf_MKI_Totaal[[#This Row],[Product]]&amp;", "&amp;Inschrijf_MKI_Totaal[[#Headers],[A1-A3]],Database_Productkaarten[#All],14,FALSE)*Optimalisatie!J79),Baseline_Backlog!G77),0))</f>
        <v>0</v>
      </c>
      <c r="H77" s="9">
        <f>(IF(Optimalisatie!C79="Nieuwe Situatie",_xlfn.IFNA(VLOOKUP(Optimalisatie!V79,Database_Transport[#All],7,FALSE)*((IF(Optimalisatie!R79=0,Baseline!Q79,Optimalisatie!R79))*Optimalisatie!U79),Baseline_Backlog!H77),0))</f>
        <v>0</v>
      </c>
      <c r="I77" s="9">
        <f>IF(Optimalisatie!C79="Nieuwe situatie",IF(_xlfn.IFNA((VLOOKUP(Optimalisatie!W79,Database_Asfalt_Aanlegset[#All],7,FALSE)*Optimalisatie!J79),0)+_xlfn.IFNA(VLOOKUP(Optimalisatie!X79,Database_Brandstoffen[#All],7,FALSE)*((Optimalisatie!J79/Optimalisatie!Z79)*Optimalisatie!Y79),0)&gt;0,_xlfn.IFNA((VLOOKUP(Optimalisatie!W79,Database_Asfalt_Aanlegset[#All],7,FALSE)*Optimalisatie!J79),0)+_xlfn.IFNA(VLOOKUP(Optimalisatie!X79,Database_Brandstoffen[#All],7,FALSE)*((Optimalisatie!J79/Optimalisatie!Z79)*Optimalisatie!Y79),0),(_xlfn.IFNA(VLOOKUP(Inschrijf_MKI_Totaal[[#This Row],[Product]]&amp;", "&amp;Inschrijf_MKI_Totaal[[#Headers],[A5]],Database_Productkaarten[#All],14,FALSE),0)*Optimalisatie!J79)),0)</f>
        <v>0</v>
      </c>
      <c r="J77" s="9"/>
      <c r="K77" s="9">
        <f>(IF(Optimalisatie!C79="Nieuwe Situatie",_xlfn.IFNA(SUM(Inschrijf_MKI_Totaal[[#This Row],[A1]:[B1]],Inschrijf_MKI_Totaal[[#This Row],[C1]:[D2]])*Optimalisatie!T79,0),0))</f>
        <v>0</v>
      </c>
      <c r="L77" s="9">
        <f>IF(Optimalisatie!C79="Bestaande situatie",IF(_xlfn.IFNA((VLOOKUP(Optimalisatie!AA79,Database_Asfalt_Verwijderset[#All],7,FALSE)*Optimalisatie!J79),0)+_xlfn.IFNA(VLOOKUP(Optimalisatie!AB79,Database_Brandstoffen[#All],7,FALSE)*((Optimalisatie!J79/Optimalisatie!AD79)*Optimalisatie!AC79),0)&gt;0,_xlfn.IFNA((VLOOKUP(Optimalisatie!AA79,Database_Asfalt_Verwijderset[#All],7,FALSE)*Optimalisatie!J79),0)+_xlfn.IFNA(VLOOKUP(Optimalisatie!AB79,Database_Brandstoffen[#All],7,FALSE)*((Optimalisatie!J79/Optimalisatie!AD79)*Optimalisatie!AC79),0),(_xlfn.IFNA(VLOOKUP(Inschrijf_MKI_Totaal[[#This Row],[Product]]&amp;", "&amp;Inschrijf_MKI_Totaal[[#Headers],[C1]],Database_Productkaarten[#All],14,FALSE),0)*Optimalisatie!J79)),0)</f>
        <v>0</v>
      </c>
      <c r="M77" s="9">
        <f>(IF(Optimalisatie!C79="Bestaande Situatie",_xlfn.IFNA(VLOOKUP(Optimalisatie!AF79,Database_Transport[#All],7,FALSE)*(Optimalisatie!R79*Optimalisatie!AE79),Baseline_Backlog!M77),0))</f>
        <v>0</v>
      </c>
      <c r="N77" s="9">
        <f>(IF(Optimalisatie!C79="Bestaande Situatie",_xlfn.IFNA(VLOOKUP(Optimalisatie!AG79,Database_Asfalt_Verwerkingsset[#All],7,FALSE)*(Optimalisatie!J79/VLOOKUP(Optimalisatie!AG79,Database_Asfalt_Verwerkingsset[#All],8,FALSE)),Baseline_Backlog!N77),0))</f>
        <v>0</v>
      </c>
      <c r="O77" s="9">
        <f>(IF(Optimalisatie!C79="Bestaande Situatie",_xlfn.IFNA(VLOOKUP(Inschrijf_MKI_Totaal[[#This Row],[Product]]&amp;", "&amp;Inschrijf_MKI_Totaal[[#Headers],[C4]],Database_Productkaarten[#All],14,FALSE),Baseline_Backlog!O77)*Optimalisatie!J79,0))</f>
        <v>0</v>
      </c>
      <c r="P77" s="9">
        <f>(IF(Optimalisatie!C79="Bestaande Situatie",_xlfn.IFNA(IF(Optimalisatie!E79="Categorie_1_LCA_Producten",VLOOKUP(Inschrijf_MKI_Totaal[[#This Row],[Product]],Categorie_1_Producten[#All],12,FALSE)*(Optimalisatie!J79),VLOOKUP(Inschrijf_MKI_Totaal[[#This Row],[Product]]&amp;", "&amp;Inschrijf_MKI_Totaal[[#Headers],[D1]],Database_Productkaarten[#All],14,FALSE)*Optimalisatie!J79),Baseline_Backlog!P77),0))</f>
        <v>0</v>
      </c>
      <c r="Q77" s="9">
        <f>(IF(Optimalisatie!C79="Bestaande Situatie",_xlfn.IFNA(IF(Optimalisatie!E79="Categorie_1_LCA_Producten",VLOOKUP(Inschrijf_MKI_Totaal[[#This Row],[Product]],Categorie_1_Producten[#All],13,FALSE)*(Optimalisatie!J79),VLOOKUP(Inschrijf_MKI_Totaal[[#This Row],[Product]]&amp;", "&amp;Inschrijf_MKI_Totaal[[#Headers],[D2]],Database_Productkaarten[#All],14,FALSE)*Optimalisatie!J79),Baseline_Backlog!Q77),0))</f>
        <v>0</v>
      </c>
      <c r="R77" s="9">
        <f>(IF(Optimalisatie!C79="Bestaande Situatie",_xlfn.IFNA(IF(Optimalisatie!E79="Categorie_1_LCA_Producten",VLOOKUP(Inschrijf_MKI_Totaal[[#This Row],[Product]],Categorie_1_Producten[#All],13,FALSE)*(Optimalisatie!J79),VLOOKUP(Inschrijf_MKI_Totaal[[#This Row],[Product]]&amp;", "&amp;Inschrijf_MKI_Totaal[[#Headers],[D]],Database_Productkaarten[#All],14,FALSE)*Optimalisatie!J79),Baseline_Backlog!S77),0))</f>
        <v>0</v>
      </c>
      <c r="S77" s="301">
        <f>SUM(Inschrijf_MKI_Totaal[[#This Row],[A1-A3]:[C4]])+Inschrijf_MKI_Totaal[[#This Row],[D]]</f>
        <v>0</v>
      </c>
      <c r="AA77" s="9">
        <f>_xlfn.IFNA((VLOOKUP(Optimalisatie!AA79,Database_Asfalt_Verwijderset[#All],7,FALSE)*Optimalisatie!J79),0)</f>
        <v>0</v>
      </c>
      <c r="AB77" s="9" t="e">
        <f>(VLOOKUP(Optimalisatie!AA79,Database_Asfalt_Verwijderset[#All],7,FALSE)*Optimalisatie!J79)</f>
        <v>#N/A</v>
      </c>
      <c r="AC77" s="332">
        <f>(_xlfn.IFNA(VLOOKUP(Inschrijf_MKI_Totaal[[#This Row],[Product]]&amp;", "&amp;Inschrijf_MKI_Totaal[[#Headers],[C1]],Database_Productkaarten[#All],14,FALSE),0)*Optimalisatie!J79)</f>
        <v>0</v>
      </c>
    </row>
    <row r="78" spans="2:29" hidden="1">
      <c r="B78" s="272">
        <f>Optimalisatie!B80</f>
        <v>0</v>
      </c>
      <c r="C78" s="9">
        <f>Optimalisatie!F80</f>
        <v>0</v>
      </c>
      <c r="D78" s="9">
        <f>(IF(Optimalisatie!C80="Nieuwe Situatie",_xlfn.IFNA(IF(Optimalisatie!E80="Categorie_1_LCA_Producten",VLOOKUP(Inschrijf_MKI_Totaal[[#This Row],[Product]],Categorie_1_Producten[#All],8,FALSE)*(Optimalisatie!J80),VLOOKUP(Inschrijf_MKI_Totaal[[#This Row],[Product]]&amp;", "&amp;Inschrijf_MKI_Totaal[[#Headers],[A1]],Database_Productkaarten[#All],14,FALSE)*Optimalisatie!J80),Baseline_Backlog!D78),0))</f>
        <v>0</v>
      </c>
      <c r="E78" s="9">
        <f>(IF(Optimalisatie!C80="Nieuwe Situatie",_xlfn.IFNA(IF(Optimalisatie!E80="Categorie_1_LCA_Producten",VLOOKUP(Inschrijf_MKI_Totaal[[#This Row],[Product]],Categorie_1_Producten[#All],9,FALSE)*(Optimalisatie!J80),VLOOKUP(Inschrijf_MKI_Totaal[[#This Row],[Product]]&amp;", "&amp;Inschrijf_MKI_Totaal[[#Headers],[A2]],Database_Productkaarten[#All],14,FALSE)*Optimalisatie!J80),Baseline_Backlog!E78),0))</f>
        <v>0</v>
      </c>
      <c r="F78" s="9">
        <f>(IF(Optimalisatie!C80="Nieuwe Situatie",_xlfn.IFNA(IF(Optimalisatie!E80="Categorie_1_LCA_Producten",VLOOKUP(Inschrijf_MKI_Totaal[[#This Row],[Product]],Categorie_1_Producten[#All],10,FALSE)*(Optimalisatie!J80),VLOOKUP(Inschrijf_MKI_Totaal[[#This Row],[Product]]&amp;", "&amp;Inschrijf_MKI_Totaal[[#Headers],[A3]],Database_Productkaarten[#All],14,FALSE)*Optimalisatie!J80),Baseline_Backlog!F78),0))</f>
        <v>0</v>
      </c>
      <c r="G78" s="9">
        <f>(IF(Optimalisatie!C80="Nieuwe Situatie",_xlfn.IFNA(IF(Optimalisatie!E80="Categorie_1_LCA_Producten",VLOOKUP(Inschrijf_MKI_Totaal[[#This Row],[Product]],Categorie_1_Producten[#All],11,FALSE)*(Optimalisatie!J80),VLOOKUP(Inschrijf_MKI_Totaal[[#This Row],[Product]]&amp;", "&amp;Inschrijf_MKI_Totaal[[#Headers],[A1-A3]],Database_Productkaarten[#All],14,FALSE)*Optimalisatie!J80),Baseline_Backlog!G78),0))</f>
        <v>0</v>
      </c>
      <c r="H78" s="9">
        <f>(IF(Optimalisatie!C80="Nieuwe Situatie",_xlfn.IFNA(VLOOKUP(Optimalisatie!V80,Database_Transport[#All],7,FALSE)*((IF(Optimalisatie!R80=0,Baseline!Q80,Optimalisatie!R80))*Optimalisatie!U80),Baseline_Backlog!H78),0))</f>
        <v>0</v>
      </c>
      <c r="I78" s="9">
        <f>IF(Optimalisatie!C80="Nieuwe situatie",IF(_xlfn.IFNA((VLOOKUP(Optimalisatie!W80,Database_Asfalt_Aanlegset[#All],7,FALSE)*Optimalisatie!J80),0)+_xlfn.IFNA(VLOOKUP(Optimalisatie!X80,Database_Brandstoffen[#All],7,FALSE)*((Optimalisatie!J80/Optimalisatie!Z80)*Optimalisatie!Y80),0)&gt;0,_xlfn.IFNA((VLOOKUP(Optimalisatie!W80,Database_Asfalt_Aanlegset[#All],7,FALSE)*Optimalisatie!J80),0)+_xlfn.IFNA(VLOOKUP(Optimalisatie!X80,Database_Brandstoffen[#All],7,FALSE)*((Optimalisatie!J80/Optimalisatie!Z80)*Optimalisatie!Y80),0),(_xlfn.IFNA(VLOOKUP(Inschrijf_MKI_Totaal[[#This Row],[Product]]&amp;", "&amp;Inschrijf_MKI_Totaal[[#Headers],[A5]],Database_Productkaarten[#All],14,FALSE),0)*Optimalisatie!J80)),0)</f>
        <v>0</v>
      </c>
      <c r="J78" s="9"/>
      <c r="K78" s="9">
        <f>(IF(Optimalisatie!C80="Nieuwe Situatie",_xlfn.IFNA(SUM(Inschrijf_MKI_Totaal[[#This Row],[A1]:[B1]],Inschrijf_MKI_Totaal[[#This Row],[C1]:[D2]])*Optimalisatie!T80,0),0))</f>
        <v>0</v>
      </c>
      <c r="L78" s="9">
        <f>IF(Optimalisatie!C80="Bestaande situatie",IF(_xlfn.IFNA((VLOOKUP(Optimalisatie!AA80,Database_Asfalt_Verwijderset[#All],7,FALSE)*Optimalisatie!J80),0)+_xlfn.IFNA(VLOOKUP(Optimalisatie!AB80,Database_Brandstoffen[#All],7,FALSE)*((Optimalisatie!J80/Optimalisatie!AD80)*Optimalisatie!AC80),0)&gt;0,_xlfn.IFNA((VLOOKUP(Optimalisatie!AA80,Database_Asfalt_Verwijderset[#All],7,FALSE)*Optimalisatie!J80),0)+_xlfn.IFNA(VLOOKUP(Optimalisatie!AB80,Database_Brandstoffen[#All],7,FALSE)*((Optimalisatie!J80/Optimalisatie!AD80)*Optimalisatie!AC80),0),(_xlfn.IFNA(VLOOKUP(Inschrijf_MKI_Totaal[[#This Row],[Product]]&amp;", "&amp;Inschrijf_MKI_Totaal[[#Headers],[C1]],Database_Productkaarten[#All],14,FALSE),0)*Optimalisatie!J80)),0)</f>
        <v>0</v>
      </c>
      <c r="M78" s="9">
        <f>(IF(Optimalisatie!C80="Bestaande Situatie",_xlfn.IFNA(VLOOKUP(Optimalisatie!AF80,Database_Transport[#All],7,FALSE)*(Optimalisatie!R80*Optimalisatie!AE80),Baseline_Backlog!M78),0))</f>
        <v>0</v>
      </c>
      <c r="N78" s="9">
        <f>(IF(Optimalisatie!C80="Bestaande Situatie",_xlfn.IFNA(VLOOKUP(Optimalisatie!AG80,Database_Asfalt_Verwerkingsset[#All],7,FALSE)*(Optimalisatie!J80/VLOOKUP(Optimalisatie!AG80,Database_Asfalt_Verwerkingsset[#All],8,FALSE)),Baseline_Backlog!N78),0))</f>
        <v>0</v>
      </c>
      <c r="O78" s="9">
        <f>(IF(Optimalisatie!C80="Bestaande Situatie",_xlfn.IFNA(VLOOKUP(Inschrijf_MKI_Totaal[[#This Row],[Product]]&amp;", "&amp;Inschrijf_MKI_Totaal[[#Headers],[C4]],Database_Productkaarten[#All],14,FALSE),Baseline_Backlog!O78)*Optimalisatie!J80,0))</f>
        <v>0</v>
      </c>
      <c r="P78" s="9">
        <f>(IF(Optimalisatie!C80="Bestaande Situatie",_xlfn.IFNA(IF(Optimalisatie!E80="Categorie_1_LCA_Producten",VLOOKUP(Inschrijf_MKI_Totaal[[#This Row],[Product]],Categorie_1_Producten[#All],12,FALSE)*(Optimalisatie!J80),VLOOKUP(Inschrijf_MKI_Totaal[[#This Row],[Product]]&amp;", "&amp;Inschrijf_MKI_Totaal[[#Headers],[D1]],Database_Productkaarten[#All],14,FALSE)*Optimalisatie!J80),Baseline_Backlog!P78),0))</f>
        <v>0</v>
      </c>
      <c r="Q78" s="9">
        <f>(IF(Optimalisatie!C80="Bestaande Situatie",_xlfn.IFNA(IF(Optimalisatie!E80="Categorie_1_LCA_Producten",VLOOKUP(Inschrijf_MKI_Totaal[[#This Row],[Product]],Categorie_1_Producten[#All],13,FALSE)*(Optimalisatie!J80),VLOOKUP(Inschrijf_MKI_Totaal[[#This Row],[Product]]&amp;", "&amp;Inschrijf_MKI_Totaal[[#Headers],[D2]],Database_Productkaarten[#All],14,FALSE)*Optimalisatie!J80),Baseline_Backlog!Q78),0))</f>
        <v>0</v>
      </c>
      <c r="R78" s="9">
        <f>(IF(Optimalisatie!C80="Bestaande Situatie",_xlfn.IFNA(IF(Optimalisatie!E80="Categorie_1_LCA_Producten",VLOOKUP(Inschrijf_MKI_Totaal[[#This Row],[Product]],Categorie_1_Producten[#All],13,FALSE)*(Optimalisatie!J80),VLOOKUP(Inschrijf_MKI_Totaal[[#This Row],[Product]]&amp;", "&amp;Inschrijf_MKI_Totaal[[#Headers],[D]],Database_Productkaarten[#All],14,FALSE)*Optimalisatie!J80),Baseline_Backlog!S78),0))</f>
        <v>0</v>
      </c>
      <c r="S78" s="301">
        <f>SUM(Inschrijf_MKI_Totaal[[#This Row],[A1-A3]:[C4]])+Inschrijf_MKI_Totaal[[#This Row],[D]]</f>
        <v>0</v>
      </c>
      <c r="AA78" s="9">
        <f>_xlfn.IFNA((VLOOKUP(Optimalisatie!AA80,Database_Asfalt_Verwijderset[#All],7,FALSE)*Optimalisatie!J80),0)</f>
        <v>0</v>
      </c>
      <c r="AB78" s="9" t="e">
        <f>(VLOOKUP(Optimalisatie!AA80,Database_Asfalt_Verwijderset[#All],7,FALSE)*Optimalisatie!J80)</f>
        <v>#N/A</v>
      </c>
      <c r="AC78" s="332">
        <f>(_xlfn.IFNA(VLOOKUP(Inschrijf_MKI_Totaal[[#This Row],[Product]]&amp;", "&amp;Inschrijf_MKI_Totaal[[#Headers],[C1]],Database_Productkaarten[#All],14,FALSE),0)*Optimalisatie!J80)</f>
        <v>0</v>
      </c>
    </row>
    <row r="79" spans="2:29" hidden="1">
      <c r="B79" s="272">
        <f>Optimalisatie!B81</f>
        <v>0</v>
      </c>
      <c r="C79" s="9">
        <f>Optimalisatie!F81</f>
        <v>0</v>
      </c>
      <c r="D79" s="9">
        <f>(IF(Optimalisatie!C81="Nieuwe Situatie",_xlfn.IFNA(IF(Optimalisatie!E81="Categorie_1_LCA_Producten",VLOOKUP(Inschrijf_MKI_Totaal[[#This Row],[Product]],Categorie_1_Producten[#All],8,FALSE)*(Optimalisatie!J81),VLOOKUP(Inschrijf_MKI_Totaal[[#This Row],[Product]]&amp;", "&amp;Inschrijf_MKI_Totaal[[#Headers],[A1]],Database_Productkaarten[#All],14,FALSE)*Optimalisatie!J81),Baseline_Backlog!D79),0))</f>
        <v>0</v>
      </c>
      <c r="E79" s="9">
        <f>(IF(Optimalisatie!C81="Nieuwe Situatie",_xlfn.IFNA(IF(Optimalisatie!E81="Categorie_1_LCA_Producten",VLOOKUP(Inschrijf_MKI_Totaal[[#This Row],[Product]],Categorie_1_Producten[#All],9,FALSE)*(Optimalisatie!J81),VLOOKUP(Inschrijf_MKI_Totaal[[#This Row],[Product]]&amp;", "&amp;Inschrijf_MKI_Totaal[[#Headers],[A2]],Database_Productkaarten[#All],14,FALSE)*Optimalisatie!J81),Baseline_Backlog!E79),0))</f>
        <v>0</v>
      </c>
      <c r="F79" s="9">
        <f>(IF(Optimalisatie!C81="Nieuwe Situatie",_xlfn.IFNA(IF(Optimalisatie!E81="Categorie_1_LCA_Producten",VLOOKUP(Inschrijf_MKI_Totaal[[#This Row],[Product]],Categorie_1_Producten[#All],10,FALSE)*(Optimalisatie!J81),VLOOKUP(Inschrijf_MKI_Totaal[[#This Row],[Product]]&amp;", "&amp;Inschrijf_MKI_Totaal[[#Headers],[A3]],Database_Productkaarten[#All],14,FALSE)*Optimalisatie!J81),Baseline_Backlog!F79),0))</f>
        <v>0</v>
      </c>
      <c r="G79" s="9">
        <f>(IF(Optimalisatie!C81="Nieuwe Situatie",_xlfn.IFNA(IF(Optimalisatie!E81="Categorie_1_LCA_Producten",VLOOKUP(Inschrijf_MKI_Totaal[[#This Row],[Product]],Categorie_1_Producten[#All],11,FALSE)*(Optimalisatie!J81),VLOOKUP(Inschrijf_MKI_Totaal[[#This Row],[Product]]&amp;", "&amp;Inschrijf_MKI_Totaal[[#Headers],[A1-A3]],Database_Productkaarten[#All],14,FALSE)*Optimalisatie!J81),Baseline_Backlog!G79),0))</f>
        <v>0</v>
      </c>
      <c r="H79" s="9">
        <f>(IF(Optimalisatie!C81="Nieuwe Situatie",_xlfn.IFNA(VLOOKUP(Optimalisatie!V81,Database_Transport[#All],7,FALSE)*((IF(Optimalisatie!R81=0,Baseline!Q81,Optimalisatie!R81))*Optimalisatie!U81),Baseline_Backlog!H79),0))</f>
        <v>0</v>
      </c>
      <c r="I79" s="9">
        <f>IF(Optimalisatie!C81="Nieuwe situatie",IF(_xlfn.IFNA((VLOOKUP(Optimalisatie!W81,Database_Asfalt_Aanlegset[#All],7,FALSE)*Optimalisatie!J81),0)+_xlfn.IFNA(VLOOKUP(Optimalisatie!X81,Database_Brandstoffen[#All],7,FALSE)*((Optimalisatie!J81/Optimalisatie!Z81)*Optimalisatie!Y81),0)&gt;0,_xlfn.IFNA((VLOOKUP(Optimalisatie!W81,Database_Asfalt_Aanlegset[#All],7,FALSE)*Optimalisatie!J81),0)+_xlfn.IFNA(VLOOKUP(Optimalisatie!X81,Database_Brandstoffen[#All],7,FALSE)*((Optimalisatie!J81/Optimalisatie!Z81)*Optimalisatie!Y81),0),(_xlfn.IFNA(VLOOKUP(Inschrijf_MKI_Totaal[[#This Row],[Product]]&amp;", "&amp;Inschrijf_MKI_Totaal[[#Headers],[A5]],Database_Productkaarten[#All],14,FALSE),0)*Optimalisatie!J81)),0)</f>
        <v>0</v>
      </c>
      <c r="J79" s="9"/>
      <c r="K79" s="9">
        <f>(IF(Optimalisatie!C81="Nieuwe Situatie",_xlfn.IFNA(SUM(Inschrijf_MKI_Totaal[[#This Row],[A1]:[B1]],Inschrijf_MKI_Totaal[[#This Row],[C1]:[D2]])*Optimalisatie!T81,0),0))</f>
        <v>0</v>
      </c>
      <c r="L79" s="9">
        <f>IF(Optimalisatie!C81="Bestaande situatie",IF(_xlfn.IFNA((VLOOKUP(Optimalisatie!AA81,Database_Asfalt_Verwijderset[#All],7,FALSE)*Optimalisatie!J81),0)+_xlfn.IFNA(VLOOKUP(Optimalisatie!AB81,Database_Brandstoffen[#All],7,FALSE)*((Optimalisatie!J81/Optimalisatie!AD81)*Optimalisatie!AC81),0)&gt;0,_xlfn.IFNA((VLOOKUP(Optimalisatie!AA81,Database_Asfalt_Verwijderset[#All],7,FALSE)*Optimalisatie!J81),0)+_xlfn.IFNA(VLOOKUP(Optimalisatie!AB81,Database_Brandstoffen[#All],7,FALSE)*((Optimalisatie!J81/Optimalisatie!AD81)*Optimalisatie!AC81),0),(_xlfn.IFNA(VLOOKUP(Inschrijf_MKI_Totaal[[#This Row],[Product]]&amp;", "&amp;Inschrijf_MKI_Totaal[[#Headers],[C1]],Database_Productkaarten[#All],14,FALSE),0)*Optimalisatie!J81)),0)</f>
        <v>0</v>
      </c>
      <c r="M79" s="9">
        <f>(IF(Optimalisatie!C81="Bestaande Situatie",_xlfn.IFNA(VLOOKUP(Optimalisatie!AF81,Database_Transport[#All],7,FALSE)*(Optimalisatie!R81*Optimalisatie!AE81),Baseline_Backlog!M79),0))</f>
        <v>0</v>
      </c>
      <c r="N79" s="9">
        <f>(IF(Optimalisatie!C81="Bestaande Situatie",_xlfn.IFNA(VLOOKUP(Optimalisatie!AG81,Database_Asfalt_Verwerkingsset[#All],7,FALSE)*(Optimalisatie!J81/VLOOKUP(Optimalisatie!AG81,Database_Asfalt_Verwerkingsset[#All],8,FALSE)),Baseline_Backlog!N79),0))</f>
        <v>0</v>
      </c>
      <c r="O79" s="9">
        <f>(IF(Optimalisatie!C81="Bestaande Situatie",_xlfn.IFNA(VLOOKUP(Inschrijf_MKI_Totaal[[#This Row],[Product]]&amp;", "&amp;Inschrijf_MKI_Totaal[[#Headers],[C4]],Database_Productkaarten[#All],14,FALSE),Baseline_Backlog!O79)*Optimalisatie!J81,0))</f>
        <v>0</v>
      </c>
      <c r="P79" s="9">
        <f>(IF(Optimalisatie!C81="Bestaande Situatie",_xlfn.IFNA(IF(Optimalisatie!E81="Categorie_1_LCA_Producten",VLOOKUP(Inschrijf_MKI_Totaal[[#This Row],[Product]],Categorie_1_Producten[#All],12,FALSE)*(Optimalisatie!J81),VLOOKUP(Inschrijf_MKI_Totaal[[#This Row],[Product]]&amp;", "&amp;Inschrijf_MKI_Totaal[[#Headers],[D1]],Database_Productkaarten[#All],14,FALSE)*Optimalisatie!J81),Baseline_Backlog!P79),0))</f>
        <v>0</v>
      </c>
      <c r="Q79" s="9">
        <f>(IF(Optimalisatie!C81="Bestaande Situatie",_xlfn.IFNA(IF(Optimalisatie!E81="Categorie_1_LCA_Producten",VLOOKUP(Inschrijf_MKI_Totaal[[#This Row],[Product]],Categorie_1_Producten[#All],13,FALSE)*(Optimalisatie!J81),VLOOKUP(Inschrijf_MKI_Totaal[[#This Row],[Product]]&amp;", "&amp;Inschrijf_MKI_Totaal[[#Headers],[D2]],Database_Productkaarten[#All],14,FALSE)*Optimalisatie!J81),Baseline_Backlog!Q79),0))</f>
        <v>0</v>
      </c>
      <c r="R79" s="9">
        <f>(IF(Optimalisatie!C81="Bestaande Situatie",_xlfn.IFNA(IF(Optimalisatie!E81="Categorie_1_LCA_Producten",VLOOKUP(Inschrijf_MKI_Totaal[[#This Row],[Product]],Categorie_1_Producten[#All],13,FALSE)*(Optimalisatie!J81),VLOOKUP(Inschrijf_MKI_Totaal[[#This Row],[Product]]&amp;", "&amp;Inschrijf_MKI_Totaal[[#Headers],[D]],Database_Productkaarten[#All],14,FALSE)*Optimalisatie!J81),Baseline_Backlog!S79),0))</f>
        <v>0</v>
      </c>
      <c r="S79" s="301">
        <f>SUM(Inschrijf_MKI_Totaal[[#This Row],[A1-A3]:[C4]])+Inschrijf_MKI_Totaal[[#This Row],[D]]</f>
        <v>0</v>
      </c>
      <c r="AA79" s="9">
        <f>_xlfn.IFNA((VLOOKUP(Optimalisatie!AA81,Database_Asfalt_Verwijderset[#All],7,FALSE)*Optimalisatie!J81),0)</f>
        <v>0</v>
      </c>
      <c r="AB79" s="9" t="e">
        <f>(VLOOKUP(Optimalisatie!AA81,Database_Asfalt_Verwijderset[#All],7,FALSE)*Optimalisatie!J81)</f>
        <v>#N/A</v>
      </c>
      <c r="AC79" s="332">
        <f>(_xlfn.IFNA(VLOOKUP(Inschrijf_MKI_Totaal[[#This Row],[Product]]&amp;", "&amp;Inschrijf_MKI_Totaal[[#Headers],[C1]],Database_Productkaarten[#All],14,FALSE),0)*Optimalisatie!J81)</f>
        <v>0</v>
      </c>
    </row>
    <row r="80" spans="2:29" hidden="1">
      <c r="B80" s="272">
        <f>Optimalisatie!B82</f>
        <v>0</v>
      </c>
      <c r="C80" s="9">
        <f>Optimalisatie!F82</f>
        <v>0</v>
      </c>
      <c r="D80" s="9">
        <f>(IF(Optimalisatie!C82="Nieuwe Situatie",_xlfn.IFNA(IF(Optimalisatie!E82="Categorie_1_LCA_Producten",VLOOKUP(Inschrijf_MKI_Totaal[[#This Row],[Product]],Categorie_1_Producten[#All],8,FALSE)*(Optimalisatie!J82),VLOOKUP(Inschrijf_MKI_Totaal[[#This Row],[Product]]&amp;", "&amp;Inschrijf_MKI_Totaal[[#Headers],[A1]],Database_Productkaarten[#All],14,FALSE)*Optimalisatie!J82),Baseline_Backlog!D80),0))</f>
        <v>0</v>
      </c>
      <c r="E80" s="9">
        <f>(IF(Optimalisatie!C82="Nieuwe Situatie",_xlfn.IFNA(IF(Optimalisatie!E82="Categorie_1_LCA_Producten",VLOOKUP(Inschrijf_MKI_Totaal[[#This Row],[Product]],Categorie_1_Producten[#All],9,FALSE)*(Optimalisatie!J82),VLOOKUP(Inschrijf_MKI_Totaal[[#This Row],[Product]]&amp;", "&amp;Inschrijf_MKI_Totaal[[#Headers],[A2]],Database_Productkaarten[#All],14,FALSE)*Optimalisatie!J82),Baseline_Backlog!E80),0))</f>
        <v>0</v>
      </c>
      <c r="F80" s="9">
        <f>(IF(Optimalisatie!C82="Nieuwe Situatie",_xlfn.IFNA(IF(Optimalisatie!E82="Categorie_1_LCA_Producten",VLOOKUP(Inschrijf_MKI_Totaal[[#This Row],[Product]],Categorie_1_Producten[#All],10,FALSE)*(Optimalisatie!J82),VLOOKUP(Inschrijf_MKI_Totaal[[#This Row],[Product]]&amp;", "&amp;Inschrijf_MKI_Totaal[[#Headers],[A3]],Database_Productkaarten[#All],14,FALSE)*Optimalisatie!J82),Baseline_Backlog!F80),0))</f>
        <v>0</v>
      </c>
      <c r="G80" s="9">
        <f>(IF(Optimalisatie!C82="Nieuwe Situatie",_xlfn.IFNA(IF(Optimalisatie!E82="Categorie_1_LCA_Producten",VLOOKUP(Inschrijf_MKI_Totaal[[#This Row],[Product]],Categorie_1_Producten[#All],11,FALSE)*(Optimalisatie!J82),VLOOKUP(Inschrijf_MKI_Totaal[[#This Row],[Product]]&amp;", "&amp;Inschrijf_MKI_Totaal[[#Headers],[A1-A3]],Database_Productkaarten[#All],14,FALSE)*Optimalisatie!J82),Baseline_Backlog!G80),0))</f>
        <v>0</v>
      </c>
      <c r="H80" s="9">
        <f>(IF(Optimalisatie!C82="Nieuwe Situatie",_xlfn.IFNA(VLOOKUP(Optimalisatie!V82,Database_Transport[#All],7,FALSE)*((IF(Optimalisatie!R82=0,Baseline!Q82,Optimalisatie!R82))*Optimalisatie!U82),Baseline_Backlog!H80),0))</f>
        <v>0</v>
      </c>
      <c r="I80" s="9">
        <f>IF(Optimalisatie!C82="Nieuwe situatie",IF(_xlfn.IFNA((VLOOKUP(Optimalisatie!W82,Database_Asfalt_Aanlegset[#All],7,FALSE)*Optimalisatie!J82),0)+_xlfn.IFNA(VLOOKUP(Optimalisatie!X82,Database_Brandstoffen[#All],7,FALSE)*((Optimalisatie!J82/Optimalisatie!Z82)*Optimalisatie!Y82),0)&gt;0,_xlfn.IFNA((VLOOKUP(Optimalisatie!W82,Database_Asfalt_Aanlegset[#All],7,FALSE)*Optimalisatie!J82),0)+_xlfn.IFNA(VLOOKUP(Optimalisatie!X82,Database_Brandstoffen[#All],7,FALSE)*((Optimalisatie!J82/Optimalisatie!Z82)*Optimalisatie!Y82),0),(_xlfn.IFNA(VLOOKUP(Inschrijf_MKI_Totaal[[#This Row],[Product]]&amp;", "&amp;Inschrijf_MKI_Totaal[[#Headers],[A5]],Database_Productkaarten[#All],14,FALSE),0)*Optimalisatie!J82)),0)</f>
        <v>0</v>
      </c>
      <c r="J80" s="9"/>
      <c r="K80" s="9">
        <f>(IF(Optimalisatie!C82="Nieuwe Situatie",_xlfn.IFNA(SUM(Inschrijf_MKI_Totaal[[#This Row],[A1]:[B1]],Inschrijf_MKI_Totaal[[#This Row],[C1]:[D2]])*Optimalisatie!T82,0),0))</f>
        <v>0</v>
      </c>
      <c r="L80" s="9">
        <f>IF(Optimalisatie!C82="Bestaande situatie",IF(_xlfn.IFNA((VLOOKUP(Optimalisatie!AA82,Database_Asfalt_Verwijderset[#All],7,FALSE)*Optimalisatie!J82),0)+_xlfn.IFNA(VLOOKUP(Optimalisatie!AB82,Database_Brandstoffen[#All],7,FALSE)*((Optimalisatie!J82/Optimalisatie!AD82)*Optimalisatie!AC82),0)&gt;0,_xlfn.IFNA((VLOOKUP(Optimalisatie!AA82,Database_Asfalt_Verwijderset[#All],7,FALSE)*Optimalisatie!J82),0)+_xlfn.IFNA(VLOOKUP(Optimalisatie!AB82,Database_Brandstoffen[#All],7,FALSE)*((Optimalisatie!J82/Optimalisatie!AD82)*Optimalisatie!AC82),0),(_xlfn.IFNA(VLOOKUP(Inschrijf_MKI_Totaal[[#This Row],[Product]]&amp;", "&amp;Inschrijf_MKI_Totaal[[#Headers],[C1]],Database_Productkaarten[#All],14,FALSE),0)*Optimalisatie!J82)),0)</f>
        <v>0</v>
      </c>
      <c r="M80" s="9">
        <f>(IF(Optimalisatie!C82="Bestaande Situatie",_xlfn.IFNA(VLOOKUP(Optimalisatie!AF82,Database_Transport[#All],7,FALSE)*(Optimalisatie!R82*Optimalisatie!AE82),Baseline_Backlog!M80),0))</f>
        <v>0</v>
      </c>
      <c r="N80" s="9">
        <f>(IF(Optimalisatie!C82="Bestaande Situatie",_xlfn.IFNA(VLOOKUP(Optimalisatie!AG82,Database_Asfalt_Verwerkingsset[#All],7,FALSE)*(Optimalisatie!J82/VLOOKUP(Optimalisatie!AG82,Database_Asfalt_Verwerkingsset[#All],8,FALSE)),Baseline_Backlog!N80),0))</f>
        <v>0</v>
      </c>
      <c r="O80" s="9">
        <f>(IF(Optimalisatie!C82="Bestaande Situatie",_xlfn.IFNA(VLOOKUP(Inschrijf_MKI_Totaal[[#This Row],[Product]]&amp;", "&amp;Inschrijf_MKI_Totaal[[#Headers],[C4]],Database_Productkaarten[#All],14,FALSE),Baseline_Backlog!O80)*Optimalisatie!J82,0))</f>
        <v>0</v>
      </c>
      <c r="P80" s="9">
        <f>(IF(Optimalisatie!C82="Bestaande Situatie",_xlfn.IFNA(IF(Optimalisatie!E82="Categorie_1_LCA_Producten",VLOOKUP(Inschrijf_MKI_Totaal[[#This Row],[Product]],Categorie_1_Producten[#All],12,FALSE)*(Optimalisatie!J82),VLOOKUP(Inschrijf_MKI_Totaal[[#This Row],[Product]]&amp;", "&amp;Inschrijf_MKI_Totaal[[#Headers],[D1]],Database_Productkaarten[#All],14,FALSE)*Optimalisatie!J82),Baseline_Backlog!P80),0))</f>
        <v>0</v>
      </c>
      <c r="Q80" s="9">
        <f>(IF(Optimalisatie!C82="Bestaande Situatie",_xlfn.IFNA(IF(Optimalisatie!E82="Categorie_1_LCA_Producten",VLOOKUP(Inschrijf_MKI_Totaal[[#This Row],[Product]],Categorie_1_Producten[#All],13,FALSE)*(Optimalisatie!J82),VLOOKUP(Inschrijf_MKI_Totaal[[#This Row],[Product]]&amp;", "&amp;Inschrijf_MKI_Totaal[[#Headers],[D2]],Database_Productkaarten[#All],14,FALSE)*Optimalisatie!J82),Baseline_Backlog!Q80),0))</f>
        <v>0</v>
      </c>
      <c r="R80" s="9">
        <f>(IF(Optimalisatie!C82="Bestaande Situatie",_xlfn.IFNA(IF(Optimalisatie!E82="Categorie_1_LCA_Producten",VLOOKUP(Inschrijf_MKI_Totaal[[#This Row],[Product]],Categorie_1_Producten[#All],13,FALSE)*(Optimalisatie!J82),VLOOKUP(Inschrijf_MKI_Totaal[[#This Row],[Product]]&amp;", "&amp;Inschrijf_MKI_Totaal[[#Headers],[D]],Database_Productkaarten[#All],14,FALSE)*Optimalisatie!J82),Baseline_Backlog!S80),0))</f>
        <v>0</v>
      </c>
      <c r="S80" s="301">
        <f>SUM(Inschrijf_MKI_Totaal[[#This Row],[A1-A3]:[C4]])+Inschrijf_MKI_Totaal[[#This Row],[D]]</f>
        <v>0</v>
      </c>
      <c r="AA80" s="9">
        <f>_xlfn.IFNA((VLOOKUP(Optimalisatie!AA82,Database_Asfalt_Verwijderset[#All],7,FALSE)*Optimalisatie!J82),0)</f>
        <v>0</v>
      </c>
      <c r="AB80" s="9" t="e">
        <f>(VLOOKUP(Optimalisatie!AA82,Database_Asfalt_Verwijderset[#All],7,FALSE)*Optimalisatie!J82)</f>
        <v>#N/A</v>
      </c>
      <c r="AC80" s="332">
        <f>(_xlfn.IFNA(VLOOKUP(Inschrijf_MKI_Totaal[[#This Row],[Product]]&amp;", "&amp;Inschrijf_MKI_Totaal[[#Headers],[C1]],Database_Productkaarten[#All],14,FALSE),0)*Optimalisatie!J82)</f>
        <v>0</v>
      </c>
    </row>
    <row r="81" spans="2:29" hidden="1">
      <c r="B81" s="272">
        <f>Optimalisatie!B83</f>
        <v>0</v>
      </c>
      <c r="C81" s="9">
        <f>Optimalisatie!F83</f>
        <v>0</v>
      </c>
      <c r="D81" s="9">
        <f>(IF(Optimalisatie!C83="Nieuwe Situatie",_xlfn.IFNA(IF(Optimalisatie!E83="Categorie_1_LCA_Producten",VLOOKUP(Inschrijf_MKI_Totaal[[#This Row],[Product]],Categorie_1_Producten[#All],8,FALSE)*(Optimalisatie!J83),VLOOKUP(Inschrijf_MKI_Totaal[[#This Row],[Product]]&amp;", "&amp;Inschrijf_MKI_Totaal[[#Headers],[A1]],Database_Productkaarten[#All],14,FALSE)*Optimalisatie!J83),Baseline_Backlog!D81),0))</f>
        <v>0</v>
      </c>
      <c r="E81" s="9">
        <f>(IF(Optimalisatie!C83="Nieuwe Situatie",_xlfn.IFNA(IF(Optimalisatie!E83="Categorie_1_LCA_Producten",VLOOKUP(Inschrijf_MKI_Totaal[[#This Row],[Product]],Categorie_1_Producten[#All],9,FALSE)*(Optimalisatie!J83),VLOOKUP(Inschrijf_MKI_Totaal[[#This Row],[Product]]&amp;", "&amp;Inschrijf_MKI_Totaal[[#Headers],[A2]],Database_Productkaarten[#All],14,FALSE)*Optimalisatie!J83),Baseline_Backlog!E81),0))</f>
        <v>0</v>
      </c>
      <c r="F81" s="9">
        <f>(IF(Optimalisatie!C83="Nieuwe Situatie",_xlfn.IFNA(IF(Optimalisatie!E83="Categorie_1_LCA_Producten",VLOOKUP(Inschrijf_MKI_Totaal[[#This Row],[Product]],Categorie_1_Producten[#All],10,FALSE)*(Optimalisatie!J83),VLOOKUP(Inschrijf_MKI_Totaal[[#This Row],[Product]]&amp;", "&amp;Inschrijf_MKI_Totaal[[#Headers],[A3]],Database_Productkaarten[#All],14,FALSE)*Optimalisatie!J83),Baseline_Backlog!F81),0))</f>
        <v>0</v>
      </c>
      <c r="G81" s="9">
        <f>(IF(Optimalisatie!C83="Nieuwe Situatie",_xlfn.IFNA(IF(Optimalisatie!E83="Categorie_1_LCA_Producten",VLOOKUP(Inschrijf_MKI_Totaal[[#This Row],[Product]],Categorie_1_Producten[#All],11,FALSE)*(Optimalisatie!J83),VLOOKUP(Inschrijf_MKI_Totaal[[#This Row],[Product]]&amp;", "&amp;Inschrijf_MKI_Totaal[[#Headers],[A1-A3]],Database_Productkaarten[#All],14,FALSE)*Optimalisatie!J83),Baseline_Backlog!G81),0))</f>
        <v>0</v>
      </c>
      <c r="H81" s="9">
        <f>(IF(Optimalisatie!C83="Nieuwe Situatie",_xlfn.IFNA(VLOOKUP(Optimalisatie!V83,Database_Transport[#All],7,FALSE)*((IF(Optimalisatie!R83=0,Baseline!Q83,Optimalisatie!R83))*Optimalisatie!U83),Baseline_Backlog!H81),0))</f>
        <v>0</v>
      </c>
      <c r="I81" s="9">
        <f>IF(Optimalisatie!C83="Nieuwe situatie",IF(_xlfn.IFNA((VLOOKUP(Optimalisatie!W83,Database_Asfalt_Aanlegset[#All],7,FALSE)*Optimalisatie!J83),0)+_xlfn.IFNA(VLOOKUP(Optimalisatie!X83,Database_Brandstoffen[#All],7,FALSE)*((Optimalisatie!J83/Optimalisatie!Z83)*Optimalisatie!Y83),0)&gt;0,_xlfn.IFNA((VLOOKUP(Optimalisatie!W83,Database_Asfalt_Aanlegset[#All],7,FALSE)*Optimalisatie!J83),0)+_xlfn.IFNA(VLOOKUP(Optimalisatie!X83,Database_Brandstoffen[#All],7,FALSE)*((Optimalisatie!J83/Optimalisatie!Z83)*Optimalisatie!Y83),0),(_xlfn.IFNA(VLOOKUP(Inschrijf_MKI_Totaal[[#This Row],[Product]]&amp;", "&amp;Inschrijf_MKI_Totaal[[#Headers],[A5]],Database_Productkaarten[#All],14,FALSE),0)*Optimalisatie!J83)),0)</f>
        <v>0</v>
      </c>
      <c r="J81" s="9"/>
      <c r="K81" s="9">
        <f>(IF(Optimalisatie!C83="Nieuwe Situatie",_xlfn.IFNA(SUM(Inschrijf_MKI_Totaal[[#This Row],[A1]:[B1]],Inschrijf_MKI_Totaal[[#This Row],[C1]:[D2]])*Optimalisatie!T83,0),0))</f>
        <v>0</v>
      </c>
      <c r="L81" s="9">
        <f>IF(Optimalisatie!C83="Bestaande situatie",IF(_xlfn.IFNA((VLOOKUP(Optimalisatie!AA83,Database_Asfalt_Verwijderset[#All],7,FALSE)*Optimalisatie!J83),0)+_xlfn.IFNA(VLOOKUP(Optimalisatie!AB83,Database_Brandstoffen[#All],7,FALSE)*((Optimalisatie!J83/Optimalisatie!AD83)*Optimalisatie!AC83),0)&gt;0,_xlfn.IFNA((VLOOKUP(Optimalisatie!AA83,Database_Asfalt_Verwijderset[#All],7,FALSE)*Optimalisatie!J83),0)+_xlfn.IFNA(VLOOKUP(Optimalisatie!AB83,Database_Brandstoffen[#All],7,FALSE)*((Optimalisatie!J83/Optimalisatie!AD83)*Optimalisatie!AC83),0),(_xlfn.IFNA(VLOOKUP(Inschrijf_MKI_Totaal[[#This Row],[Product]]&amp;", "&amp;Inschrijf_MKI_Totaal[[#Headers],[C1]],Database_Productkaarten[#All],14,FALSE),0)*Optimalisatie!J83)),0)</f>
        <v>0</v>
      </c>
      <c r="M81" s="9">
        <f>(IF(Optimalisatie!C83="Bestaande Situatie",_xlfn.IFNA(VLOOKUP(Optimalisatie!AF83,Database_Transport[#All],7,FALSE)*(Optimalisatie!R83*Optimalisatie!AE83),Baseline_Backlog!M81),0))</f>
        <v>0</v>
      </c>
      <c r="N81" s="9">
        <f>(IF(Optimalisatie!C83="Bestaande Situatie",_xlfn.IFNA(VLOOKUP(Optimalisatie!AG83,Database_Asfalt_Verwerkingsset[#All],7,FALSE)*(Optimalisatie!J83/VLOOKUP(Optimalisatie!AG83,Database_Asfalt_Verwerkingsset[#All],8,FALSE)),Baseline_Backlog!N81),0))</f>
        <v>0</v>
      </c>
      <c r="O81" s="9">
        <f>(IF(Optimalisatie!C83="Bestaande Situatie",_xlfn.IFNA(VLOOKUP(Inschrijf_MKI_Totaal[[#This Row],[Product]]&amp;", "&amp;Inschrijf_MKI_Totaal[[#Headers],[C4]],Database_Productkaarten[#All],14,FALSE),Baseline_Backlog!O81)*Optimalisatie!J83,0))</f>
        <v>0</v>
      </c>
      <c r="P81" s="9">
        <f>(IF(Optimalisatie!C83="Bestaande Situatie",_xlfn.IFNA(IF(Optimalisatie!E83="Categorie_1_LCA_Producten",VLOOKUP(Inschrijf_MKI_Totaal[[#This Row],[Product]],Categorie_1_Producten[#All],12,FALSE)*(Optimalisatie!J83),VLOOKUP(Inschrijf_MKI_Totaal[[#This Row],[Product]]&amp;", "&amp;Inschrijf_MKI_Totaal[[#Headers],[D1]],Database_Productkaarten[#All],14,FALSE)*Optimalisatie!J83),Baseline_Backlog!P81),0))</f>
        <v>0</v>
      </c>
      <c r="Q81" s="9">
        <f>(IF(Optimalisatie!C83="Bestaande Situatie",_xlfn.IFNA(IF(Optimalisatie!E83="Categorie_1_LCA_Producten",VLOOKUP(Inschrijf_MKI_Totaal[[#This Row],[Product]],Categorie_1_Producten[#All],13,FALSE)*(Optimalisatie!J83),VLOOKUP(Inschrijf_MKI_Totaal[[#This Row],[Product]]&amp;", "&amp;Inschrijf_MKI_Totaal[[#Headers],[D2]],Database_Productkaarten[#All],14,FALSE)*Optimalisatie!J83),Baseline_Backlog!Q81),0))</f>
        <v>0</v>
      </c>
      <c r="R81" s="9">
        <f>(IF(Optimalisatie!C83="Bestaande Situatie",_xlfn.IFNA(IF(Optimalisatie!E83="Categorie_1_LCA_Producten",VLOOKUP(Inschrijf_MKI_Totaal[[#This Row],[Product]],Categorie_1_Producten[#All],13,FALSE)*(Optimalisatie!J83),VLOOKUP(Inschrijf_MKI_Totaal[[#This Row],[Product]]&amp;", "&amp;Inschrijf_MKI_Totaal[[#Headers],[D]],Database_Productkaarten[#All],14,FALSE)*Optimalisatie!J83),Baseline_Backlog!S81),0))</f>
        <v>0</v>
      </c>
      <c r="S81" s="301">
        <f>SUM(Inschrijf_MKI_Totaal[[#This Row],[A1-A3]:[C4]])+Inschrijf_MKI_Totaal[[#This Row],[D]]</f>
        <v>0</v>
      </c>
      <c r="AA81" s="9">
        <f>_xlfn.IFNA((VLOOKUP(Optimalisatie!AA83,Database_Asfalt_Verwijderset[#All],7,FALSE)*Optimalisatie!J83),0)</f>
        <v>0</v>
      </c>
      <c r="AB81" s="9" t="e">
        <f>(VLOOKUP(Optimalisatie!AA83,Database_Asfalt_Verwijderset[#All],7,FALSE)*Optimalisatie!J83)</f>
        <v>#N/A</v>
      </c>
      <c r="AC81" s="332">
        <f>(_xlfn.IFNA(VLOOKUP(Inschrijf_MKI_Totaal[[#This Row],[Product]]&amp;", "&amp;Inschrijf_MKI_Totaal[[#Headers],[C1]],Database_Productkaarten[#All],14,FALSE),0)*Optimalisatie!J83)</f>
        <v>0</v>
      </c>
    </row>
    <row r="82" spans="2:29" hidden="1">
      <c r="B82" s="272">
        <f>Optimalisatie!B84</f>
        <v>0</v>
      </c>
      <c r="C82" s="9">
        <f>Optimalisatie!F84</f>
        <v>0</v>
      </c>
      <c r="D82" s="9">
        <f>(IF(Optimalisatie!C84="Nieuwe Situatie",_xlfn.IFNA(IF(Optimalisatie!E84="Categorie_1_LCA_Producten",VLOOKUP(Inschrijf_MKI_Totaal[[#This Row],[Product]],Categorie_1_Producten[#All],8,FALSE)*(Optimalisatie!J84),VLOOKUP(Inschrijf_MKI_Totaal[[#This Row],[Product]]&amp;", "&amp;Inschrijf_MKI_Totaal[[#Headers],[A1]],Database_Productkaarten[#All],14,FALSE)*Optimalisatie!J84),Baseline_Backlog!D82),0))</f>
        <v>0</v>
      </c>
      <c r="E82" s="9">
        <f>(IF(Optimalisatie!C84="Nieuwe Situatie",_xlfn.IFNA(IF(Optimalisatie!E84="Categorie_1_LCA_Producten",VLOOKUP(Inschrijf_MKI_Totaal[[#This Row],[Product]],Categorie_1_Producten[#All],9,FALSE)*(Optimalisatie!J84),VLOOKUP(Inschrijf_MKI_Totaal[[#This Row],[Product]]&amp;", "&amp;Inschrijf_MKI_Totaal[[#Headers],[A2]],Database_Productkaarten[#All],14,FALSE)*Optimalisatie!J84),Baseline_Backlog!E82),0))</f>
        <v>0</v>
      </c>
      <c r="F82" s="9">
        <f>(IF(Optimalisatie!C84="Nieuwe Situatie",_xlfn.IFNA(IF(Optimalisatie!E84="Categorie_1_LCA_Producten",VLOOKUP(Inschrijf_MKI_Totaal[[#This Row],[Product]],Categorie_1_Producten[#All],10,FALSE)*(Optimalisatie!J84),VLOOKUP(Inschrijf_MKI_Totaal[[#This Row],[Product]]&amp;", "&amp;Inschrijf_MKI_Totaal[[#Headers],[A3]],Database_Productkaarten[#All],14,FALSE)*Optimalisatie!J84),Baseline_Backlog!F82),0))</f>
        <v>0</v>
      </c>
      <c r="G82" s="9">
        <f>(IF(Optimalisatie!C84="Nieuwe Situatie",_xlfn.IFNA(IF(Optimalisatie!E84="Categorie_1_LCA_Producten",VLOOKUP(Inschrijf_MKI_Totaal[[#This Row],[Product]],Categorie_1_Producten[#All],11,FALSE)*(Optimalisatie!J84),VLOOKUP(Inschrijf_MKI_Totaal[[#This Row],[Product]]&amp;", "&amp;Inschrijf_MKI_Totaal[[#Headers],[A1-A3]],Database_Productkaarten[#All],14,FALSE)*Optimalisatie!J84),Baseline_Backlog!G82),0))</f>
        <v>0</v>
      </c>
      <c r="H82" s="9">
        <f>(IF(Optimalisatie!C84="Nieuwe Situatie",_xlfn.IFNA(VLOOKUP(Optimalisatie!V84,Database_Transport[#All],7,FALSE)*((IF(Optimalisatie!R84=0,Baseline!Q84,Optimalisatie!R84))*Optimalisatie!U84),Baseline_Backlog!H82),0))</f>
        <v>0</v>
      </c>
      <c r="I82" s="9">
        <f>IF(Optimalisatie!C84="Nieuwe situatie",IF(_xlfn.IFNA((VLOOKUP(Optimalisatie!W84,Database_Asfalt_Aanlegset[#All],7,FALSE)*Optimalisatie!J84),0)+_xlfn.IFNA(VLOOKUP(Optimalisatie!X84,Database_Brandstoffen[#All],7,FALSE)*((Optimalisatie!J84/Optimalisatie!Z84)*Optimalisatie!Y84),0)&gt;0,_xlfn.IFNA((VLOOKUP(Optimalisatie!W84,Database_Asfalt_Aanlegset[#All],7,FALSE)*Optimalisatie!J84),0)+_xlfn.IFNA(VLOOKUP(Optimalisatie!X84,Database_Brandstoffen[#All],7,FALSE)*((Optimalisatie!J84/Optimalisatie!Z84)*Optimalisatie!Y84),0),(_xlfn.IFNA(VLOOKUP(Inschrijf_MKI_Totaal[[#This Row],[Product]]&amp;", "&amp;Inschrijf_MKI_Totaal[[#Headers],[A5]],Database_Productkaarten[#All],14,FALSE),0)*Optimalisatie!J84)),0)</f>
        <v>0</v>
      </c>
      <c r="J82" s="9"/>
      <c r="K82" s="9">
        <f>(IF(Optimalisatie!C84="Nieuwe Situatie",_xlfn.IFNA(SUM(Inschrijf_MKI_Totaal[[#This Row],[A1]:[B1]],Inschrijf_MKI_Totaal[[#This Row],[C1]:[D2]])*Optimalisatie!T84,0),0))</f>
        <v>0</v>
      </c>
      <c r="L82" s="9">
        <f>IF(Optimalisatie!C84="Bestaande situatie",IF(_xlfn.IFNA((VLOOKUP(Optimalisatie!AA84,Database_Asfalt_Verwijderset[#All],7,FALSE)*Optimalisatie!J84),0)+_xlfn.IFNA(VLOOKUP(Optimalisatie!AB84,Database_Brandstoffen[#All],7,FALSE)*((Optimalisatie!J84/Optimalisatie!AD84)*Optimalisatie!AC84),0)&gt;0,_xlfn.IFNA((VLOOKUP(Optimalisatie!AA84,Database_Asfalt_Verwijderset[#All],7,FALSE)*Optimalisatie!J84),0)+_xlfn.IFNA(VLOOKUP(Optimalisatie!AB84,Database_Brandstoffen[#All],7,FALSE)*((Optimalisatie!J84/Optimalisatie!AD84)*Optimalisatie!AC84),0),(_xlfn.IFNA(VLOOKUP(Inschrijf_MKI_Totaal[[#This Row],[Product]]&amp;", "&amp;Inschrijf_MKI_Totaal[[#Headers],[C1]],Database_Productkaarten[#All],14,FALSE),0)*Optimalisatie!J84)),0)</f>
        <v>0</v>
      </c>
      <c r="M82" s="9">
        <f>(IF(Optimalisatie!C84="Bestaande Situatie",_xlfn.IFNA(VLOOKUP(Optimalisatie!AF84,Database_Transport[#All],7,FALSE)*(Optimalisatie!R84*Optimalisatie!AE84),Baseline_Backlog!M82),0))</f>
        <v>0</v>
      </c>
      <c r="N82" s="9">
        <f>(IF(Optimalisatie!C84="Bestaande Situatie",_xlfn.IFNA(VLOOKUP(Optimalisatie!AG84,Database_Asfalt_Verwerkingsset[#All],7,FALSE)*(Optimalisatie!J84/VLOOKUP(Optimalisatie!AG84,Database_Asfalt_Verwerkingsset[#All],8,FALSE)),Baseline_Backlog!N82),0))</f>
        <v>0</v>
      </c>
      <c r="O82" s="9">
        <f>(IF(Optimalisatie!C84="Bestaande Situatie",_xlfn.IFNA(VLOOKUP(Inschrijf_MKI_Totaal[[#This Row],[Product]]&amp;", "&amp;Inschrijf_MKI_Totaal[[#Headers],[C4]],Database_Productkaarten[#All],14,FALSE),Baseline_Backlog!O82)*Optimalisatie!J84,0))</f>
        <v>0</v>
      </c>
      <c r="P82" s="9">
        <f>(IF(Optimalisatie!C84="Bestaande Situatie",_xlfn.IFNA(IF(Optimalisatie!E84="Categorie_1_LCA_Producten",VLOOKUP(Inschrijf_MKI_Totaal[[#This Row],[Product]],Categorie_1_Producten[#All],12,FALSE)*(Optimalisatie!J84),VLOOKUP(Inschrijf_MKI_Totaal[[#This Row],[Product]]&amp;", "&amp;Inschrijf_MKI_Totaal[[#Headers],[D1]],Database_Productkaarten[#All],14,FALSE)*Optimalisatie!J84),Baseline_Backlog!P82),0))</f>
        <v>0</v>
      </c>
      <c r="Q82" s="9">
        <f>(IF(Optimalisatie!C84="Bestaande Situatie",_xlfn.IFNA(IF(Optimalisatie!E84="Categorie_1_LCA_Producten",VLOOKUP(Inschrijf_MKI_Totaal[[#This Row],[Product]],Categorie_1_Producten[#All],13,FALSE)*(Optimalisatie!J84),VLOOKUP(Inschrijf_MKI_Totaal[[#This Row],[Product]]&amp;", "&amp;Inschrijf_MKI_Totaal[[#Headers],[D2]],Database_Productkaarten[#All],14,FALSE)*Optimalisatie!J84),Baseline_Backlog!Q82),0))</f>
        <v>0</v>
      </c>
      <c r="R82" s="9">
        <f>(IF(Optimalisatie!C84="Bestaande Situatie",_xlfn.IFNA(IF(Optimalisatie!E84="Categorie_1_LCA_Producten",VLOOKUP(Inschrijf_MKI_Totaal[[#This Row],[Product]],Categorie_1_Producten[#All],13,FALSE)*(Optimalisatie!J84),VLOOKUP(Inschrijf_MKI_Totaal[[#This Row],[Product]]&amp;", "&amp;Inschrijf_MKI_Totaal[[#Headers],[D]],Database_Productkaarten[#All],14,FALSE)*Optimalisatie!J84),Baseline_Backlog!S82),0))</f>
        <v>0</v>
      </c>
      <c r="S82" s="301">
        <f>SUM(Inschrijf_MKI_Totaal[[#This Row],[A1-A3]:[C4]])+Inschrijf_MKI_Totaal[[#This Row],[D]]</f>
        <v>0</v>
      </c>
      <c r="AA82" s="9">
        <f>_xlfn.IFNA((VLOOKUP(Optimalisatie!AA84,Database_Asfalt_Verwijderset[#All],7,FALSE)*Optimalisatie!J84),0)</f>
        <v>0</v>
      </c>
      <c r="AB82" s="9" t="e">
        <f>(VLOOKUP(Optimalisatie!AA84,Database_Asfalt_Verwijderset[#All],7,FALSE)*Optimalisatie!J84)</f>
        <v>#N/A</v>
      </c>
      <c r="AC82" s="332">
        <f>(_xlfn.IFNA(VLOOKUP(Inschrijf_MKI_Totaal[[#This Row],[Product]]&amp;", "&amp;Inschrijf_MKI_Totaal[[#Headers],[C1]],Database_Productkaarten[#All],14,FALSE),0)*Optimalisatie!J84)</f>
        <v>0</v>
      </c>
    </row>
    <row r="83" spans="2:29" hidden="1">
      <c r="B83" s="272">
        <f>Optimalisatie!B85</f>
        <v>0</v>
      </c>
      <c r="C83" s="9">
        <f>Optimalisatie!F85</f>
        <v>0</v>
      </c>
      <c r="D83" s="9">
        <f>(IF(Optimalisatie!C85="Nieuwe Situatie",_xlfn.IFNA(IF(Optimalisatie!E85="Categorie_1_LCA_Producten",VLOOKUP(Inschrijf_MKI_Totaal[[#This Row],[Product]],Categorie_1_Producten[#All],8,FALSE)*(Optimalisatie!J85),VLOOKUP(Inschrijf_MKI_Totaal[[#This Row],[Product]]&amp;", "&amp;Inschrijf_MKI_Totaal[[#Headers],[A1]],Database_Productkaarten[#All],14,FALSE)*Optimalisatie!J85),Baseline_Backlog!D83),0))</f>
        <v>0</v>
      </c>
      <c r="E83" s="9">
        <f>(IF(Optimalisatie!C85="Nieuwe Situatie",_xlfn.IFNA(IF(Optimalisatie!E85="Categorie_1_LCA_Producten",VLOOKUP(Inschrijf_MKI_Totaal[[#This Row],[Product]],Categorie_1_Producten[#All],9,FALSE)*(Optimalisatie!J85),VLOOKUP(Inschrijf_MKI_Totaal[[#This Row],[Product]]&amp;", "&amp;Inschrijf_MKI_Totaal[[#Headers],[A2]],Database_Productkaarten[#All],14,FALSE)*Optimalisatie!J85),Baseline_Backlog!E83),0))</f>
        <v>0</v>
      </c>
      <c r="F83" s="9">
        <f>(IF(Optimalisatie!C85="Nieuwe Situatie",_xlfn.IFNA(IF(Optimalisatie!E85="Categorie_1_LCA_Producten",VLOOKUP(Inschrijf_MKI_Totaal[[#This Row],[Product]],Categorie_1_Producten[#All],10,FALSE)*(Optimalisatie!J85),VLOOKUP(Inschrijf_MKI_Totaal[[#This Row],[Product]]&amp;", "&amp;Inschrijf_MKI_Totaal[[#Headers],[A3]],Database_Productkaarten[#All],14,FALSE)*Optimalisatie!J85),Baseline_Backlog!F83),0))</f>
        <v>0</v>
      </c>
      <c r="G83" s="9">
        <f>(IF(Optimalisatie!C85="Nieuwe Situatie",_xlfn.IFNA(IF(Optimalisatie!E85="Categorie_1_LCA_Producten",VLOOKUP(Inschrijf_MKI_Totaal[[#This Row],[Product]],Categorie_1_Producten[#All],11,FALSE)*(Optimalisatie!J85),VLOOKUP(Inschrijf_MKI_Totaal[[#This Row],[Product]]&amp;", "&amp;Inschrijf_MKI_Totaal[[#Headers],[A1-A3]],Database_Productkaarten[#All],14,FALSE)*Optimalisatie!J85),Baseline_Backlog!G83),0))</f>
        <v>0</v>
      </c>
      <c r="H83" s="9">
        <f>(IF(Optimalisatie!C85="Nieuwe Situatie",_xlfn.IFNA(VLOOKUP(Optimalisatie!V85,Database_Transport[#All],7,FALSE)*((IF(Optimalisatie!R85=0,Baseline!Q85,Optimalisatie!R85))*Optimalisatie!U85),Baseline_Backlog!H83),0))</f>
        <v>0</v>
      </c>
      <c r="I83" s="9">
        <f>IF(Optimalisatie!C85="Nieuwe situatie",IF(_xlfn.IFNA((VLOOKUP(Optimalisatie!W85,Database_Asfalt_Aanlegset[#All],7,FALSE)*Optimalisatie!J85),0)+_xlfn.IFNA(VLOOKUP(Optimalisatie!X85,Database_Brandstoffen[#All],7,FALSE)*((Optimalisatie!J85/Optimalisatie!Z85)*Optimalisatie!Y85),0)&gt;0,_xlfn.IFNA((VLOOKUP(Optimalisatie!W85,Database_Asfalt_Aanlegset[#All],7,FALSE)*Optimalisatie!J85),0)+_xlfn.IFNA(VLOOKUP(Optimalisatie!X85,Database_Brandstoffen[#All],7,FALSE)*((Optimalisatie!J85/Optimalisatie!Z85)*Optimalisatie!Y85),0),(_xlfn.IFNA(VLOOKUP(Inschrijf_MKI_Totaal[[#This Row],[Product]]&amp;", "&amp;Inschrijf_MKI_Totaal[[#Headers],[A5]],Database_Productkaarten[#All],14,FALSE),0)*Optimalisatie!J85)),0)</f>
        <v>0</v>
      </c>
      <c r="J83" s="9"/>
      <c r="K83" s="9">
        <f>(IF(Optimalisatie!C85="Nieuwe Situatie",_xlfn.IFNA(SUM(Inschrijf_MKI_Totaal[[#This Row],[A1]:[B1]],Inschrijf_MKI_Totaal[[#This Row],[C1]:[D2]])*Optimalisatie!T85,0),0))</f>
        <v>0</v>
      </c>
      <c r="L83" s="9">
        <f>IF(Optimalisatie!C85="Bestaande situatie",IF(_xlfn.IFNA((VLOOKUP(Optimalisatie!AA85,Database_Asfalt_Verwijderset[#All],7,FALSE)*Optimalisatie!J85),0)+_xlfn.IFNA(VLOOKUP(Optimalisatie!AB85,Database_Brandstoffen[#All],7,FALSE)*((Optimalisatie!J85/Optimalisatie!AD85)*Optimalisatie!AC85),0)&gt;0,_xlfn.IFNA((VLOOKUP(Optimalisatie!AA85,Database_Asfalt_Verwijderset[#All],7,FALSE)*Optimalisatie!J85),0)+_xlfn.IFNA(VLOOKUP(Optimalisatie!AB85,Database_Brandstoffen[#All],7,FALSE)*((Optimalisatie!J85/Optimalisatie!AD85)*Optimalisatie!AC85),0),(_xlfn.IFNA(VLOOKUP(Inschrijf_MKI_Totaal[[#This Row],[Product]]&amp;", "&amp;Inschrijf_MKI_Totaal[[#Headers],[C1]],Database_Productkaarten[#All],14,FALSE),0)*Optimalisatie!J85)),0)</f>
        <v>0</v>
      </c>
      <c r="M83" s="9">
        <f>(IF(Optimalisatie!C85="Bestaande Situatie",_xlfn.IFNA(VLOOKUP(Optimalisatie!AF85,Database_Transport[#All],7,FALSE)*(Optimalisatie!R85*Optimalisatie!AE85),Baseline_Backlog!M83),0))</f>
        <v>0</v>
      </c>
      <c r="N83" s="9">
        <f>(IF(Optimalisatie!C85="Bestaande Situatie",_xlfn.IFNA(VLOOKUP(Optimalisatie!AG85,Database_Asfalt_Verwerkingsset[#All],7,FALSE)*(Optimalisatie!J85/VLOOKUP(Optimalisatie!AG85,Database_Asfalt_Verwerkingsset[#All],8,FALSE)),Baseline_Backlog!N83),0))</f>
        <v>0</v>
      </c>
      <c r="O83" s="9">
        <f>(IF(Optimalisatie!C85="Bestaande Situatie",_xlfn.IFNA(VLOOKUP(Inschrijf_MKI_Totaal[[#This Row],[Product]]&amp;", "&amp;Inschrijf_MKI_Totaal[[#Headers],[C4]],Database_Productkaarten[#All],14,FALSE),Baseline_Backlog!O83)*Optimalisatie!J85,0))</f>
        <v>0</v>
      </c>
      <c r="P83" s="9">
        <f>(IF(Optimalisatie!C85="Bestaande Situatie",_xlfn.IFNA(IF(Optimalisatie!E85="Categorie_1_LCA_Producten",VLOOKUP(Inschrijf_MKI_Totaal[[#This Row],[Product]],Categorie_1_Producten[#All],12,FALSE)*(Optimalisatie!J85),VLOOKUP(Inschrijf_MKI_Totaal[[#This Row],[Product]]&amp;", "&amp;Inschrijf_MKI_Totaal[[#Headers],[D1]],Database_Productkaarten[#All],14,FALSE)*Optimalisatie!J85),Baseline_Backlog!P83),0))</f>
        <v>0</v>
      </c>
      <c r="Q83" s="9">
        <f>(IF(Optimalisatie!C85="Bestaande Situatie",_xlfn.IFNA(IF(Optimalisatie!E85="Categorie_1_LCA_Producten",VLOOKUP(Inschrijf_MKI_Totaal[[#This Row],[Product]],Categorie_1_Producten[#All],13,FALSE)*(Optimalisatie!J85),VLOOKUP(Inschrijf_MKI_Totaal[[#This Row],[Product]]&amp;", "&amp;Inschrijf_MKI_Totaal[[#Headers],[D2]],Database_Productkaarten[#All],14,FALSE)*Optimalisatie!J85),Baseline_Backlog!Q83),0))</f>
        <v>0</v>
      </c>
      <c r="R83" s="9">
        <f>(IF(Optimalisatie!C85="Bestaande Situatie",_xlfn.IFNA(IF(Optimalisatie!E85="Categorie_1_LCA_Producten",VLOOKUP(Inschrijf_MKI_Totaal[[#This Row],[Product]],Categorie_1_Producten[#All],13,FALSE)*(Optimalisatie!J85),VLOOKUP(Inschrijf_MKI_Totaal[[#This Row],[Product]]&amp;", "&amp;Inschrijf_MKI_Totaal[[#Headers],[D]],Database_Productkaarten[#All],14,FALSE)*Optimalisatie!J85),Baseline_Backlog!S83),0))</f>
        <v>0</v>
      </c>
      <c r="S83" s="301">
        <f>SUM(Inschrijf_MKI_Totaal[[#This Row],[A1-A3]:[C4]])+Inschrijf_MKI_Totaal[[#This Row],[D]]</f>
        <v>0</v>
      </c>
      <c r="AA83" s="9">
        <f>_xlfn.IFNA((VLOOKUP(Optimalisatie!AA85,Database_Asfalt_Verwijderset[#All],7,FALSE)*Optimalisatie!J85),0)</f>
        <v>0</v>
      </c>
      <c r="AB83" s="9" t="e">
        <f>(VLOOKUP(Optimalisatie!AA85,Database_Asfalt_Verwijderset[#All],7,FALSE)*Optimalisatie!J85)</f>
        <v>#N/A</v>
      </c>
      <c r="AC83" s="332">
        <f>(_xlfn.IFNA(VLOOKUP(Inschrijf_MKI_Totaal[[#This Row],[Product]]&amp;", "&amp;Inschrijf_MKI_Totaal[[#Headers],[C1]],Database_Productkaarten[#All],14,FALSE),0)*Optimalisatie!J85)</f>
        <v>0</v>
      </c>
    </row>
    <row r="84" spans="2:29" hidden="1">
      <c r="B84" s="272">
        <f>Optimalisatie!B86</f>
        <v>0</v>
      </c>
      <c r="C84" s="9">
        <f>Optimalisatie!F86</f>
        <v>0</v>
      </c>
      <c r="D84" s="9">
        <f>(IF(Optimalisatie!C86="Nieuwe Situatie",_xlfn.IFNA(IF(Optimalisatie!E86="Categorie_1_LCA_Producten",VLOOKUP(Inschrijf_MKI_Totaal[[#This Row],[Product]],Categorie_1_Producten[#All],8,FALSE)*(Optimalisatie!J86),VLOOKUP(Inschrijf_MKI_Totaal[[#This Row],[Product]]&amp;", "&amp;Inschrijf_MKI_Totaal[[#Headers],[A1]],Database_Productkaarten[#All],14,FALSE)*Optimalisatie!J86),Baseline_Backlog!D84),0))</f>
        <v>0</v>
      </c>
      <c r="E84" s="9">
        <f>(IF(Optimalisatie!C86="Nieuwe Situatie",_xlfn.IFNA(IF(Optimalisatie!E86="Categorie_1_LCA_Producten",VLOOKUP(Inschrijf_MKI_Totaal[[#This Row],[Product]],Categorie_1_Producten[#All],9,FALSE)*(Optimalisatie!J86),VLOOKUP(Inschrijf_MKI_Totaal[[#This Row],[Product]]&amp;", "&amp;Inschrijf_MKI_Totaal[[#Headers],[A2]],Database_Productkaarten[#All],14,FALSE)*Optimalisatie!J86),Baseline_Backlog!E84),0))</f>
        <v>0</v>
      </c>
      <c r="F84" s="9">
        <f>(IF(Optimalisatie!C86="Nieuwe Situatie",_xlfn.IFNA(IF(Optimalisatie!E86="Categorie_1_LCA_Producten",VLOOKUP(Inschrijf_MKI_Totaal[[#This Row],[Product]],Categorie_1_Producten[#All],10,FALSE)*(Optimalisatie!J86),VLOOKUP(Inschrijf_MKI_Totaal[[#This Row],[Product]]&amp;", "&amp;Inschrijf_MKI_Totaal[[#Headers],[A3]],Database_Productkaarten[#All],14,FALSE)*Optimalisatie!J86),Baseline_Backlog!F84),0))</f>
        <v>0</v>
      </c>
      <c r="G84" s="9">
        <f>(IF(Optimalisatie!C86="Nieuwe Situatie",_xlfn.IFNA(IF(Optimalisatie!E86="Categorie_1_LCA_Producten",VLOOKUP(Inschrijf_MKI_Totaal[[#This Row],[Product]],Categorie_1_Producten[#All],11,FALSE)*(Optimalisatie!J86),VLOOKUP(Inschrijf_MKI_Totaal[[#This Row],[Product]]&amp;", "&amp;Inschrijf_MKI_Totaal[[#Headers],[A1-A3]],Database_Productkaarten[#All],14,FALSE)*Optimalisatie!J86),Baseline_Backlog!G84),0))</f>
        <v>0</v>
      </c>
      <c r="H84" s="9">
        <f>(IF(Optimalisatie!C86="Nieuwe Situatie",_xlfn.IFNA(VLOOKUP(Optimalisatie!V86,Database_Transport[#All],7,FALSE)*((IF(Optimalisatie!R86=0,Baseline!Q86,Optimalisatie!R86))*Optimalisatie!U86),Baseline_Backlog!H84),0))</f>
        <v>0</v>
      </c>
      <c r="I84" s="9">
        <f>IF(Optimalisatie!C86="Nieuwe situatie",IF(_xlfn.IFNA((VLOOKUP(Optimalisatie!W86,Database_Asfalt_Aanlegset[#All],7,FALSE)*Optimalisatie!J86),0)+_xlfn.IFNA(VLOOKUP(Optimalisatie!X86,Database_Brandstoffen[#All],7,FALSE)*((Optimalisatie!J86/Optimalisatie!Z86)*Optimalisatie!Y86),0)&gt;0,_xlfn.IFNA((VLOOKUP(Optimalisatie!W86,Database_Asfalt_Aanlegset[#All],7,FALSE)*Optimalisatie!J86),0)+_xlfn.IFNA(VLOOKUP(Optimalisatie!X86,Database_Brandstoffen[#All],7,FALSE)*((Optimalisatie!J86/Optimalisatie!Z86)*Optimalisatie!Y86),0),(_xlfn.IFNA(VLOOKUP(Inschrijf_MKI_Totaal[[#This Row],[Product]]&amp;", "&amp;Inschrijf_MKI_Totaal[[#Headers],[A5]],Database_Productkaarten[#All],14,FALSE),0)*Optimalisatie!J86)),0)</f>
        <v>0</v>
      </c>
      <c r="J84" s="9"/>
      <c r="K84" s="9">
        <f>(IF(Optimalisatie!C86="Nieuwe Situatie",_xlfn.IFNA(SUM(Inschrijf_MKI_Totaal[[#This Row],[A1]:[B1]],Inschrijf_MKI_Totaal[[#This Row],[C1]:[D2]])*Optimalisatie!T86,0),0))</f>
        <v>0</v>
      </c>
      <c r="L84" s="9">
        <f>IF(Optimalisatie!C86="Bestaande situatie",IF(_xlfn.IFNA((VLOOKUP(Optimalisatie!AA86,Database_Asfalt_Verwijderset[#All],7,FALSE)*Optimalisatie!J86),0)+_xlfn.IFNA(VLOOKUP(Optimalisatie!AB86,Database_Brandstoffen[#All],7,FALSE)*((Optimalisatie!J86/Optimalisatie!AD86)*Optimalisatie!AC86),0)&gt;0,_xlfn.IFNA((VLOOKUP(Optimalisatie!AA86,Database_Asfalt_Verwijderset[#All],7,FALSE)*Optimalisatie!J86),0)+_xlfn.IFNA(VLOOKUP(Optimalisatie!AB86,Database_Brandstoffen[#All],7,FALSE)*((Optimalisatie!J86/Optimalisatie!AD86)*Optimalisatie!AC86),0),(_xlfn.IFNA(VLOOKUP(Inschrijf_MKI_Totaal[[#This Row],[Product]]&amp;", "&amp;Inschrijf_MKI_Totaal[[#Headers],[C1]],Database_Productkaarten[#All],14,FALSE),0)*Optimalisatie!J86)),0)</f>
        <v>0</v>
      </c>
      <c r="M84" s="9">
        <f>(IF(Optimalisatie!C86="Bestaande Situatie",_xlfn.IFNA(VLOOKUP(Optimalisatie!AF86,Database_Transport[#All],7,FALSE)*(Optimalisatie!R86*Optimalisatie!AE86),Baseline_Backlog!M84),0))</f>
        <v>0</v>
      </c>
      <c r="N84" s="9">
        <f>(IF(Optimalisatie!C86="Bestaande Situatie",_xlfn.IFNA(VLOOKUP(Optimalisatie!AG86,Database_Asfalt_Verwerkingsset[#All],7,FALSE)*(Optimalisatie!J86/VLOOKUP(Optimalisatie!AG86,Database_Asfalt_Verwerkingsset[#All],8,FALSE)),Baseline_Backlog!N84),0))</f>
        <v>0</v>
      </c>
      <c r="O84" s="9">
        <f>(IF(Optimalisatie!C86="Bestaande Situatie",_xlfn.IFNA(VLOOKUP(Inschrijf_MKI_Totaal[[#This Row],[Product]]&amp;", "&amp;Inschrijf_MKI_Totaal[[#Headers],[C4]],Database_Productkaarten[#All],14,FALSE),Baseline_Backlog!O84)*Optimalisatie!J86,0))</f>
        <v>0</v>
      </c>
      <c r="P84" s="9">
        <f>(IF(Optimalisatie!C86="Bestaande Situatie",_xlfn.IFNA(IF(Optimalisatie!E86="Categorie_1_LCA_Producten",VLOOKUP(Inschrijf_MKI_Totaal[[#This Row],[Product]],Categorie_1_Producten[#All],12,FALSE)*(Optimalisatie!J86),VLOOKUP(Inschrijf_MKI_Totaal[[#This Row],[Product]]&amp;", "&amp;Inschrijf_MKI_Totaal[[#Headers],[D1]],Database_Productkaarten[#All],14,FALSE)*Optimalisatie!J86),Baseline_Backlog!P84),0))</f>
        <v>0</v>
      </c>
      <c r="Q84" s="9">
        <f>(IF(Optimalisatie!C86="Bestaande Situatie",_xlfn.IFNA(IF(Optimalisatie!E86="Categorie_1_LCA_Producten",VLOOKUP(Inschrijf_MKI_Totaal[[#This Row],[Product]],Categorie_1_Producten[#All],13,FALSE)*(Optimalisatie!J86),VLOOKUP(Inschrijf_MKI_Totaal[[#This Row],[Product]]&amp;", "&amp;Inschrijf_MKI_Totaal[[#Headers],[D2]],Database_Productkaarten[#All],14,FALSE)*Optimalisatie!J86),Baseline_Backlog!Q84),0))</f>
        <v>0</v>
      </c>
      <c r="R84" s="9">
        <f>(IF(Optimalisatie!C86="Bestaande Situatie",_xlfn.IFNA(IF(Optimalisatie!E86="Categorie_1_LCA_Producten",VLOOKUP(Inschrijf_MKI_Totaal[[#This Row],[Product]],Categorie_1_Producten[#All],13,FALSE)*(Optimalisatie!J86),VLOOKUP(Inschrijf_MKI_Totaal[[#This Row],[Product]]&amp;", "&amp;Inschrijf_MKI_Totaal[[#Headers],[D]],Database_Productkaarten[#All],14,FALSE)*Optimalisatie!J86),Baseline_Backlog!S84),0))</f>
        <v>0</v>
      </c>
      <c r="S84" s="301">
        <f>SUM(Inschrijf_MKI_Totaal[[#This Row],[A1-A3]:[C4]])+Inschrijf_MKI_Totaal[[#This Row],[D]]</f>
        <v>0</v>
      </c>
      <c r="AA84" s="9">
        <f>_xlfn.IFNA((VLOOKUP(Optimalisatie!AA86,Database_Asfalt_Verwijderset[#All],7,FALSE)*Optimalisatie!J86),0)</f>
        <v>0</v>
      </c>
      <c r="AB84" s="9" t="e">
        <f>(VLOOKUP(Optimalisatie!AA86,Database_Asfalt_Verwijderset[#All],7,FALSE)*Optimalisatie!J86)</f>
        <v>#N/A</v>
      </c>
      <c r="AC84" s="332">
        <f>(_xlfn.IFNA(VLOOKUP(Inschrijf_MKI_Totaal[[#This Row],[Product]]&amp;", "&amp;Inschrijf_MKI_Totaal[[#Headers],[C1]],Database_Productkaarten[#All],14,FALSE),0)*Optimalisatie!J86)</f>
        <v>0</v>
      </c>
    </row>
    <row r="85" spans="2:29" hidden="1">
      <c r="B85" s="272">
        <f>Optimalisatie!B87</f>
        <v>0</v>
      </c>
      <c r="C85" s="9">
        <f>Optimalisatie!F87</f>
        <v>0</v>
      </c>
      <c r="D85" s="9">
        <f>(IF(Optimalisatie!C87="Nieuwe Situatie",_xlfn.IFNA(IF(Optimalisatie!E87="Categorie_1_LCA_Producten",VLOOKUP(Inschrijf_MKI_Totaal[[#This Row],[Product]],Categorie_1_Producten[#All],8,FALSE)*(Optimalisatie!J87),VLOOKUP(Inschrijf_MKI_Totaal[[#This Row],[Product]]&amp;", "&amp;Inschrijf_MKI_Totaal[[#Headers],[A1]],Database_Productkaarten[#All],14,FALSE)*Optimalisatie!J87),Baseline_Backlog!D85),0))</f>
        <v>0</v>
      </c>
      <c r="E85" s="9">
        <f>(IF(Optimalisatie!C87="Nieuwe Situatie",_xlfn.IFNA(IF(Optimalisatie!E87="Categorie_1_LCA_Producten",VLOOKUP(Inschrijf_MKI_Totaal[[#This Row],[Product]],Categorie_1_Producten[#All],9,FALSE)*(Optimalisatie!J87),VLOOKUP(Inschrijf_MKI_Totaal[[#This Row],[Product]]&amp;", "&amp;Inschrijf_MKI_Totaal[[#Headers],[A2]],Database_Productkaarten[#All],14,FALSE)*Optimalisatie!J87),Baseline_Backlog!E85),0))</f>
        <v>0</v>
      </c>
      <c r="F85" s="9">
        <f>(IF(Optimalisatie!C87="Nieuwe Situatie",_xlfn.IFNA(IF(Optimalisatie!E87="Categorie_1_LCA_Producten",VLOOKUP(Inschrijf_MKI_Totaal[[#This Row],[Product]],Categorie_1_Producten[#All],10,FALSE)*(Optimalisatie!J87),VLOOKUP(Inschrijf_MKI_Totaal[[#This Row],[Product]]&amp;", "&amp;Inschrijf_MKI_Totaal[[#Headers],[A3]],Database_Productkaarten[#All],14,FALSE)*Optimalisatie!J87),Baseline_Backlog!F85),0))</f>
        <v>0</v>
      </c>
      <c r="G85" s="9">
        <f>(IF(Optimalisatie!C87="Nieuwe Situatie",_xlfn.IFNA(IF(Optimalisatie!E87="Categorie_1_LCA_Producten",VLOOKUP(Inschrijf_MKI_Totaal[[#This Row],[Product]],Categorie_1_Producten[#All],11,FALSE)*(Optimalisatie!J87),VLOOKUP(Inschrijf_MKI_Totaal[[#This Row],[Product]]&amp;", "&amp;Inschrijf_MKI_Totaal[[#Headers],[A1-A3]],Database_Productkaarten[#All],14,FALSE)*Optimalisatie!J87),Baseline_Backlog!G85),0))</f>
        <v>0</v>
      </c>
      <c r="H85" s="9">
        <f>(IF(Optimalisatie!C87="Nieuwe Situatie",_xlfn.IFNA(VLOOKUP(Optimalisatie!V87,Database_Transport[#All],7,FALSE)*((IF(Optimalisatie!R87=0,Baseline!Q87,Optimalisatie!R87))*Optimalisatie!U87),Baseline_Backlog!H85),0))</f>
        <v>0</v>
      </c>
      <c r="I85" s="9">
        <f>IF(Optimalisatie!C87="Nieuwe situatie",IF(_xlfn.IFNA((VLOOKUP(Optimalisatie!W87,Database_Asfalt_Aanlegset[#All],7,FALSE)*Optimalisatie!J87),0)+_xlfn.IFNA(VLOOKUP(Optimalisatie!X87,Database_Brandstoffen[#All],7,FALSE)*((Optimalisatie!J87/Optimalisatie!Z87)*Optimalisatie!Y87),0)&gt;0,_xlfn.IFNA((VLOOKUP(Optimalisatie!W87,Database_Asfalt_Aanlegset[#All],7,FALSE)*Optimalisatie!J87),0)+_xlfn.IFNA(VLOOKUP(Optimalisatie!X87,Database_Brandstoffen[#All],7,FALSE)*((Optimalisatie!J87/Optimalisatie!Z87)*Optimalisatie!Y87),0),(_xlfn.IFNA(VLOOKUP(Inschrijf_MKI_Totaal[[#This Row],[Product]]&amp;", "&amp;Inschrijf_MKI_Totaal[[#Headers],[A5]],Database_Productkaarten[#All],14,FALSE),0)*Optimalisatie!J87)),0)</f>
        <v>0</v>
      </c>
      <c r="J85" s="9"/>
      <c r="K85" s="9">
        <f>(IF(Optimalisatie!C87="Nieuwe Situatie",_xlfn.IFNA(SUM(Inschrijf_MKI_Totaal[[#This Row],[A1]:[B1]],Inschrijf_MKI_Totaal[[#This Row],[C1]:[D2]])*Optimalisatie!T87,0),0))</f>
        <v>0</v>
      </c>
      <c r="L85" s="9">
        <f>IF(Optimalisatie!C87="Bestaande situatie",IF(_xlfn.IFNA((VLOOKUP(Optimalisatie!AA87,Database_Asfalt_Verwijderset[#All],7,FALSE)*Optimalisatie!J87),0)+_xlfn.IFNA(VLOOKUP(Optimalisatie!AB87,Database_Brandstoffen[#All],7,FALSE)*((Optimalisatie!J87/Optimalisatie!AD87)*Optimalisatie!AC87),0)&gt;0,_xlfn.IFNA((VLOOKUP(Optimalisatie!AA87,Database_Asfalt_Verwijderset[#All],7,FALSE)*Optimalisatie!J87),0)+_xlfn.IFNA(VLOOKUP(Optimalisatie!AB87,Database_Brandstoffen[#All],7,FALSE)*((Optimalisatie!J87/Optimalisatie!AD87)*Optimalisatie!AC87),0),(_xlfn.IFNA(VLOOKUP(Inschrijf_MKI_Totaal[[#This Row],[Product]]&amp;", "&amp;Inschrijf_MKI_Totaal[[#Headers],[C1]],Database_Productkaarten[#All],14,FALSE),0)*Optimalisatie!J87)),0)</f>
        <v>0</v>
      </c>
      <c r="M85" s="9">
        <f>(IF(Optimalisatie!C87="Bestaande Situatie",_xlfn.IFNA(VLOOKUP(Optimalisatie!AF87,Database_Transport[#All],7,FALSE)*(Optimalisatie!R87*Optimalisatie!AE87),Baseline_Backlog!M85),0))</f>
        <v>0</v>
      </c>
      <c r="N85" s="9">
        <f>(IF(Optimalisatie!C87="Bestaande Situatie",_xlfn.IFNA(VLOOKUP(Optimalisatie!AG87,Database_Asfalt_Verwerkingsset[#All],7,FALSE)*(Optimalisatie!J87/VLOOKUP(Optimalisatie!AG87,Database_Asfalt_Verwerkingsset[#All],8,FALSE)),Baseline_Backlog!N85),0))</f>
        <v>0</v>
      </c>
      <c r="O85" s="9">
        <f>(IF(Optimalisatie!C87="Bestaande Situatie",_xlfn.IFNA(VLOOKUP(Inschrijf_MKI_Totaal[[#This Row],[Product]]&amp;", "&amp;Inschrijf_MKI_Totaal[[#Headers],[C4]],Database_Productkaarten[#All],14,FALSE),Baseline_Backlog!O85)*Optimalisatie!J87,0))</f>
        <v>0</v>
      </c>
      <c r="P85" s="9">
        <f>(IF(Optimalisatie!C87="Bestaande Situatie",_xlfn.IFNA(IF(Optimalisatie!E87="Categorie_1_LCA_Producten",VLOOKUP(Inschrijf_MKI_Totaal[[#This Row],[Product]],Categorie_1_Producten[#All],12,FALSE)*(Optimalisatie!J87),VLOOKUP(Inschrijf_MKI_Totaal[[#This Row],[Product]]&amp;", "&amp;Inschrijf_MKI_Totaal[[#Headers],[D1]],Database_Productkaarten[#All],14,FALSE)*Optimalisatie!J87),Baseline_Backlog!P85),0))</f>
        <v>0</v>
      </c>
      <c r="Q85" s="9">
        <f>(IF(Optimalisatie!C87="Bestaande Situatie",_xlfn.IFNA(IF(Optimalisatie!E87="Categorie_1_LCA_Producten",VLOOKUP(Inschrijf_MKI_Totaal[[#This Row],[Product]],Categorie_1_Producten[#All],13,FALSE)*(Optimalisatie!J87),VLOOKUP(Inschrijf_MKI_Totaal[[#This Row],[Product]]&amp;", "&amp;Inschrijf_MKI_Totaal[[#Headers],[D2]],Database_Productkaarten[#All],14,FALSE)*Optimalisatie!J87),Baseline_Backlog!Q85),0))</f>
        <v>0</v>
      </c>
      <c r="R85" s="9">
        <f>(IF(Optimalisatie!C87="Bestaande Situatie",_xlfn.IFNA(IF(Optimalisatie!E87="Categorie_1_LCA_Producten",VLOOKUP(Inschrijf_MKI_Totaal[[#This Row],[Product]],Categorie_1_Producten[#All],13,FALSE)*(Optimalisatie!J87),VLOOKUP(Inschrijf_MKI_Totaal[[#This Row],[Product]]&amp;", "&amp;Inschrijf_MKI_Totaal[[#Headers],[D]],Database_Productkaarten[#All],14,FALSE)*Optimalisatie!J87),Baseline_Backlog!S85),0))</f>
        <v>0</v>
      </c>
      <c r="S85" s="301">
        <f>SUM(Inschrijf_MKI_Totaal[[#This Row],[A1-A3]:[C4]])+Inschrijf_MKI_Totaal[[#This Row],[D]]</f>
        <v>0</v>
      </c>
      <c r="AA85" s="9">
        <f>_xlfn.IFNA((VLOOKUP(Optimalisatie!AA87,Database_Asfalt_Verwijderset[#All],7,FALSE)*Optimalisatie!J87),0)</f>
        <v>0</v>
      </c>
      <c r="AB85" s="9" t="e">
        <f>(VLOOKUP(Optimalisatie!AA87,Database_Asfalt_Verwijderset[#All],7,FALSE)*Optimalisatie!J87)</f>
        <v>#N/A</v>
      </c>
      <c r="AC85" s="332">
        <f>(_xlfn.IFNA(VLOOKUP(Inschrijf_MKI_Totaal[[#This Row],[Product]]&amp;", "&amp;Inschrijf_MKI_Totaal[[#Headers],[C1]],Database_Productkaarten[#All],14,FALSE),0)*Optimalisatie!J87)</f>
        <v>0</v>
      </c>
    </row>
    <row r="86" spans="2:29" hidden="1">
      <c r="B86" s="272">
        <f>Optimalisatie!B88</f>
        <v>0</v>
      </c>
      <c r="C86" s="9">
        <f>Optimalisatie!F88</f>
        <v>0</v>
      </c>
      <c r="D86" s="9">
        <f>(IF(Optimalisatie!C88="Nieuwe Situatie",_xlfn.IFNA(IF(Optimalisatie!E88="Categorie_1_LCA_Producten",VLOOKUP(Inschrijf_MKI_Totaal[[#This Row],[Product]],Categorie_1_Producten[#All],8,FALSE)*(Optimalisatie!J88),VLOOKUP(Inschrijf_MKI_Totaal[[#This Row],[Product]]&amp;", "&amp;Inschrijf_MKI_Totaal[[#Headers],[A1]],Database_Productkaarten[#All],14,FALSE)*Optimalisatie!J88),Baseline_Backlog!D86),0))</f>
        <v>0</v>
      </c>
      <c r="E86" s="9">
        <f>(IF(Optimalisatie!C88="Nieuwe Situatie",_xlfn.IFNA(IF(Optimalisatie!E88="Categorie_1_LCA_Producten",VLOOKUP(Inschrijf_MKI_Totaal[[#This Row],[Product]],Categorie_1_Producten[#All],9,FALSE)*(Optimalisatie!J88),VLOOKUP(Inschrijf_MKI_Totaal[[#This Row],[Product]]&amp;", "&amp;Inschrijf_MKI_Totaal[[#Headers],[A2]],Database_Productkaarten[#All],14,FALSE)*Optimalisatie!J88),Baseline_Backlog!E86),0))</f>
        <v>0</v>
      </c>
      <c r="F86" s="9">
        <f>(IF(Optimalisatie!C88="Nieuwe Situatie",_xlfn.IFNA(IF(Optimalisatie!E88="Categorie_1_LCA_Producten",VLOOKUP(Inschrijf_MKI_Totaal[[#This Row],[Product]],Categorie_1_Producten[#All],10,FALSE)*(Optimalisatie!J88),VLOOKUP(Inschrijf_MKI_Totaal[[#This Row],[Product]]&amp;", "&amp;Inschrijf_MKI_Totaal[[#Headers],[A3]],Database_Productkaarten[#All],14,FALSE)*Optimalisatie!J88),Baseline_Backlog!F86),0))</f>
        <v>0</v>
      </c>
      <c r="G86" s="9">
        <f>(IF(Optimalisatie!C88="Nieuwe Situatie",_xlfn.IFNA(IF(Optimalisatie!E88="Categorie_1_LCA_Producten",VLOOKUP(Inschrijf_MKI_Totaal[[#This Row],[Product]],Categorie_1_Producten[#All],11,FALSE)*(Optimalisatie!J88),VLOOKUP(Inschrijf_MKI_Totaal[[#This Row],[Product]]&amp;", "&amp;Inschrijf_MKI_Totaal[[#Headers],[A1-A3]],Database_Productkaarten[#All],14,FALSE)*Optimalisatie!J88),Baseline_Backlog!G86),0))</f>
        <v>0</v>
      </c>
      <c r="H86" s="9">
        <f>(IF(Optimalisatie!C88="Nieuwe Situatie",_xlfn.IFNA(VLOOKUP(Optimalisatie!V88,Database_Transport[#All],7,FALSE)*((IF(Optimalisatie!R88=0,Baseline!Q88,Optimalisatie!R88))*Optimalisatie!U88),Baseline_Backlog!H86),0))</f>
        <v>0</v>
      </c>
      <c r="I86" s="9">
        <f>IF(Optimalisatie!C88="Nieuwe situatie",IF(_xlfn.IFNA((VLOOKUP(Optimalisatie!W88,Database_Asfalt_Aanlegset[#All],7,FALSE)*Optimalisatie!J88),0)+_xlfn.IFNA(VLOOKUP(Optimalisatie!X88,Database_Brandstoffen[#All],7,FALSE)*((Optimalisatie!J88/Optimalisatie!Z88)*Optimalisatie!Y88),0)&gt;0,_xlfn.IFNA((VLOOKUP(Optimalisatie!W88,Database_Asfalt_Aanlegset[#All],7,FALSE)*Optimalisatie!J88),0)+_xlfn.IFNA(VLOOKUP(Optimalisatie!X88,Database_Brandstoffen[#All],7,FALSE)*((Optimalisatie!J88/Optimalisatie!Z88)*Optimalisatie!Y88),0),(_xlfn.IFNA(VLOOKUP(Inschrijf_MKI_Totaal[[#This Row],[Product]]&amp;", "&amp;Inschrijf_MKI_Totaal[[#Headers],[A5]],Database_Productkaarten[#All],14,FALSE),0)*Optimalisatie!J88)),0)</f>
        <v>0</v>
      </c>
      <c r="J86" s="9"/>
      <c r="K86" s="9">
        <f>(IF(Optimalisatie!C88="Nieuwe Situatie",_xlfn.IFNA(SUM(Inschrijf_MKI_Totaal[[#This Row],[A1]:[B1]],Inschrijf_MKI_Totaal[[#This Row],[C1]:[D2]])*Optimalisatie!T88,0),0))</f>
        <v>0</v>
      </c>
      <c r="L86" s="9">
        <f>IF(Optimalisatie!C88="Bestaande situatie",IF(_xlfn.IFNA((VLOOKUP(Optimalisatie!AA88,Database_Asfalt_Verwijderset[#All],7,FALSE)*Optimalisatie!J88),0)+_xlfn.IFNA(VLOOKUP(Optimalisatie!AB88,Database_Brandstoffen[#All],7,FALSE)*((Optimalisatie!J88/Optimalisatie!AD88)*Optimalisatie!AC88),0)&gt;0,_xlfn.IFNA((VLOOKUP(Optimalisatie!AA88,Database_Asfalt_Verwijderset[#All],7,FALSE)*Optimalisatie!J88),0)+_xlfn.IFNA(VLOOKUP(Optimalisatie!AB88,Database_Brandstoffen[#All],7,FALSE)*((Optimalisatie!J88/Optimalisatie!AD88)*Optimalisatie!AC88),0),(_xlfn.IFNA(VLOOKUP(Inschrijf_MKI_Totaal[[#This Row],[Product]]&amp;", "&amp;Inschrijf_MKI_Totaal[[#Headers],[C1]],Database_Productkaarten[#All],14,FALSE),0)*Optimalisatie!J88)),0)</f>
        <v>0</v>
      </c>
      <c r="M86" s="9">
        <f>(IF(Optimalisatie!C88="Bestaande Situatie",_xlfn.IFNA(VLOOKUP(Optimalisatie!AF88,Database_Transport[#All],7,FALSE)*(Optimalisatie!R88*Optimalisatie!AE88),Baseline_Backlog!M86),0))</f>
        <v>0</v>
      </c>
      <c r="N86" s="9">
        <f>(IF(Optimalisatie!C88="Bestaande Situatie",_xlfn.IFNA(VLOOKUP(Optimalisatie!AG88,Database_Asfalt_Verwerkingsset[#All],7,FALSE)*(Optimalisatie!J88/VLOOKUP(Optimalisatie!AG88,Database_Asfalt_Verwerkingsset[#All],8,FALSE)),Baseline_Backlog!N86),0))</f>
        <v>0</v>
      </c>
      <c r="O86" s="9">
        <f>(IF(Optimalisatie!C88="Bestaande Situatie",_xlfn.IFNA(VLOOKUP(Inschrijf_MKI_Totaal[[#This Row],[Product]]&amp;", "&amp;Inschrijf_MKI_Totaal[[#Headers],[C4]],Database_Productkaarten[#All],14,FALSE),Baseline_Backlog!O86)*Optimalisatie!J88,0))</f>
        <v>0</v>
      </c>
      <c r="P86" s="9">
        <f>(IF(Optimalisatie!C88="Bestaande Situatie",_xlfn.IFNA(IF(Optimalisatie!E88="Categorie_1_LCA_Producten",VLOOKUP(Inschrijf_MKI_Totaal[[#This Row],[Product]],Categorie_1_Producten[#All],12,FALSE)*(Optimalisatie!J88),VLOOKUP(Inschrijf_MKI_Totaal[[#This Row],[Product]]&amp;", "&amp;Inschrijf_MKI_Totaal[[#Headers],[D1]],Database_Productkaarten[#All],14,FALSE)*Optimalisatie!J88),Baseline_Backlog!P86),0))</f>
        <v>0</v>
      </c>
      <c r="Q86" s="9">
        <f>(IF(Optimalisatie!C88="Bestaande Situatie",_xlfn.IFNA(IF(Optimalisatie!E88="Categorie_1_LCA_Producten",VLOOKUP(Inschrijf_MKI_Totaal[[#This Row],[Product]],Categorie_1_Producten[#All],13,FALSE)*(Optimalisatie!J88),VLOOKUP(Inschrijf_MKI_Totaal[[#This Row],[Product]]&amp;", "&amp;Inschrijf_MKI_Totaal[[#Headers],[D2]],Database_Productkaarten[#All],14,FALSE)*Optimalisatie!J88),Baseline_Backlog!Q86),0))</f>
        <v>0</v>
      </c>
      <c r="R86" s="9">
        <f>(IF(Optimalisatie!C88="Bestaande Situatie",_xlfn.IFNA(IF(Optimalisatie!E88="Categorie_1_LCA_Producten",VLOOKUP(Inschrijf_MKI_Totaal[[#This Row],[Product]],Categorie_1_Producten[#All],13,FALSE)*(Optimalisatie!J88),VLOOKUP(Inschrijf_MKI_Totaal[[#This Row],[Product]]&amp;", "&amp;Inschrijf_MKI_Totaal[[#Headers],[D]],Database_Productkaarten[#All],14,FALSE)*Optimalisatie!J88),Baseline_Backlog!S86),0))</f>
        <v>0</v>
      </c>
      <c r="S86" s="301">
        <f>SUM(Inschrijf_MKI_Totaal[[#This Row],[A1-A3]:[C4]])+Inschrijf_MKI_Totaal[[#This Row],[D]]</f>
        <v>0</v>
      </c>
      <c r="AA86" s="9">
        <f>_xlfn.IFNA((VLOOKUP(Optimalisatie!AA88,Database_Asfalt_Verwijderset[#All],7,FALSE)*Optimalisatie!J88),0)</f>
        <v>0</v>
      </c>
      <c r="AB86" s="9" t="e">
        <f>(VLOOKUP(Optimalisatie!AA88,Database_Asfalt_Verwijderset[#All],7,FALSE)*Optimalisatie!J88)</f>
        <v>#N/A</v>
      </c>
      <c r="AC86" s="332">
        <f>(_xlfn.IFNA(VLOOKUP(Inschrijf_MKI_Totaal[[#This Row],[Product]]&amp;", "&amp;Inschrijf_MKI_Totaal[[#Headers],[C1]],Database_Productkaarten[#All],14,FALSE),0)*Optimalisatie!J88)</f>
        <v>0</v>
      </c>
    </row>
    <row r="87" spans="2:29" hidden="1">
      <c r="B87" s="272">
        <f>Optimalisatie!B89</f>
        <v>0</v>
      </c>
      <c r="C87" s="9">
        <f>Optimalisatie!F89</f>
        <v>0</v>
      </c>
      <c r="D87" s="9">
        <f>(IF(Optimalisatie!C89="Nieuwe Situatie",_xlfn.IFNA(IF(Optimalisatie!E89="Categorie_1_LCA_Producten",VLOOKUP(Inschrijf_MKI_Totaal[[#This Row],[Product]],Categorie_1_Producten[#All],8,FALSE)*(Optimalisatie!J89),VLOOKUP(Inschrijf_MKI_Totaal[[#This Row],[Product]]&amp;", "&amp;Inschrijf_MKI_Totaal[[#Headers],[A1]],Database_Productkaarten[#All],14,FALSE)*Optimalisatie!J89),Baseline_Backlog!D87),0))</f>
        <v>0</v>
      </c>
      <c r="E87" s="9">
        <f>(IF(Optimalisatie!C89="Nieuwe Situatie",_xlfn.IFNA(IF(Optimalisatie!E89="Categorie_1_LCA_Producten",VLOOKUP(Inschrijf_MKI_Totaal[[#This Row],[Product]],Categorie_1_Producten[#All],9,FALSE)*(Optimalisatie!J89),VLOOKUP(Inschrijf_MKI_Totaal[[#This Row],[Product]]&amp;", "&amp;Inschrijf_MKI_Totaal[[#Headers],[A2]],Database_Productkaarten[#All],14,FALSE)*Optimalisatie!J89),Baseline_Backlog!E87),0))</f>
        <v>0</v>
      </c>
      <c r="F87" s="9">
        <f>(IF(Optimalisatie!C89="Nieuwe Situatie",_xlfn.IFNA(IF(Optimalisatie!E89="Categorie_1_LCA_Producten",VLOOKUP(Inschrijf_MKI_Totaal[[#This Row],[Product]],Categorie_1_Producten[#All],10,FALSE)*(Optimalisatie!J89),VLOOKUP(Inschrijf_MKI_Totaal[[#This Row],[Product]]&amp;", "&amp;Inschrijf_MKI_Totaal[[#Headers],[A3]],Database_Productkaarten[#All],14,FALSE)*Optimalisatie!J89),Baseline_Backlog!F87),0))</f>
        <v>0</v>
      </c>
      <c r="G87" s="9">
        <f>(IF(Optimalisatie!C89="Nieuwe Situatie",_xlfn.IFNA(IF(Optimalisatie!E89="Categorie_1_LCA_Producten",VLOOKUP(Inschrijf_MKI_Totaal[[#This Row],[Product]],Categorie_1_Producten[#All],11,FALSE)*(Optimalisatie!J89),VLOOKUP(Inschrijf_MKI_Totaal[[#This Row],[Product]]&amp;", "&amp;Inschrijf_MKI_Totaal[[#Headers],[A1-A3]],Database_Productkaarten[#All],14,FALSE)*Optimalisatie!J89),Baseline_Backlog!G87),0))</f>
        <v>0</v>
      </c>
      <c r="H87" s="9">
        <f>(IF(Optimalisatie!C89="Nieuwe Situatie",_xlfn.IFNA(VLOOKUP(Optimalisatie!V89,Database_Transport[#All],7,FALSE)*((IF(Optimalisatie!R89=0,Baseline!Q89,Optimalisatie!R89))*Optimalisatie!U89),Baseline_Backlog!H87),0))</f>
        <v>0</v>
      </c>
      <c r="I87" s="9">
        <f>IF(Optimalisatie!C89="Nieuwe situatie",IF(_xlfn.IFNA((VLOOKUP(Optimalisatie!W89,Database_Asfalt_Aanlegset[#All],7,FALSE)*Optimalisatie!J89),0)+_xlfn.IFNA(VLOOKUP(Optimalisatie!X89,Database_Brandstoffen[#All],7,FALSE)*((Optimalisatie!J89/Optimalisatie!Z89)*Optimalisatie!Y89),0)&gt;0,_xlfn.IFNA((VLOOKUP(Optimalisatie!W89,Database_Asfalt_Aanlegset[#All],7,FALSE)*Optimalisatie!J89),0)+_xlfn.IFNA(VLOOKUP(Optimalisatie!X89,Database_Brandstoffen[#All],7,FALSE)*((Optimalisatie!J89/Optimalisatie!Z89)*Optimalisatie!Y89),0),(_xlfn.IFNA(VLOOKUP(Inschrijf_MKI_Totaal[[#This Row],[Product]]&amp;", "&amp;Inschrijf_MKI_Totaal[[#Headers],[A5]],Database_Productkaarten[#All],14,FALSE),0)*Optimalisatie!J89)),0)</f>
        <v>0</v>
      </c>
      <c r="J87" s="9"/>
      <c r="K87" s="9">
        <f>(IF(Optimalisatie!C89="Nieuwe Situatie",_xlfn.IFNA(SUM(Inschrijf_MKI_Totaal[[#This Row],[A1]:[B1]],Inschrijf_MKI_Totaal[[#This Row],[C1]:[D2]])*Optimalisatie!T89,0),0))</f>
        <v>0</v>
      </c>
      <c r="L87" s="9">
        <f>IF(Optimalisatie!C89="Bestaande situatie",IF(_xlfn.IFNA((VLOOKUP(Optimalisatie!AA89,Database_Asfalt_Verwijderset[#All],7,FALSE)*Optimalisatie!J89),0)+_xlfn.IFNA(VLOOKUP(Optimalisatie!AB89,Database_Brandstoffen[#All],7,FALSE)*((Optimalisatie!J89/Optimalisatie!AD89)*Optimalisatie!AC89),0)&gt;0,_xlfn.IFNA((VLOOKUP(Optimalisatie!AA89,Database_Asfalt_Verwijderset[#All],7,FALSE)*Optimalisatie!J89),0)+_xlfn.IFNA(VLOOKUP(Optimalisatie!AB89,Database_Brandstoffen[#All],7,FALSE)*((Optimalisatie!J89/Optimalisatie!AD89)*Optimalisatie!AC89),0),(_xlfn.IFNA(VLOOKUP(Inschrijf_MKI_Totaal[[#This Row],[Product]]&amp;", "&amp;Inschrijf_MKI_Totaal[[#Headers],[C1]],Database_Productkaarten[#All],14,FALSE),0)*Optimalisatie!J89)),0)</f>
        <v>0</v>
      </c>
      <c r="M87" s="9">
        <f>(IF(Optimalisatie!C89="Bestaande Situatie",_xlfn.IFNA(VLOOKUP(Optimalisatie!AF89,Database_Transport[#All],7,FALSE)*(Optimalisatie!R89*Optimalisatie!AE89),Baseline_Backlog!M87),0))</f>
        <v>0</v>
      </c>
      <c r="N87" s="9">
        <f>(IF(Optimalisatie!C89="Bestaande Situatie",_xlfn.IFNA(VLOOKUP(Optimalisatie!AG89,Database_Asfalt_Verwerkingsset[#All],7,FALSE)*(Optimalisatie!J89/VLOOKUP(Optimalisatie!AG89,Database_Asfalt_Verwerkingsset[#All],8,FALSE)),Baseline_Backlog!N87),0))</f>
        <v>0</v>
      </c>
      <c r="O87" s="9">
        <f>(IF(Optimalisatie!C89="Bestaande Situatie",_xlfn.IFNA(VLOOKUP(Inschrijf_MKI_Totaal[[#This Row],[Product]]&amp;", "&amp;Inschrijf_MKI_Totaal[[#Headers],[C4]],Database_Productkaarten[#All],14,FALSE),Baseline_Backlog!O87)*Optimalisatie!J89,0))</f>
        <v>0</v>
      </c>
      <c r="P87" s="9">
        <f>(IF(Optimalisatie!C89="Bestaande Situatie",_xlfn.IFNA(IF(Optimalisatie!E89="Categorie_1_LCA_Producten",VLOOKUP(Inschrijf_MKI_Totaal[[#This Row],[Product]],Categorie_1_Producten[#All],12,FALSE)*(Optimalisatie!J89),VLOOKUP(Inschrijf_MKI_Totaal[[#This Row],[Product]]&amp;", "&amp;Inschrijf_MKI_Totaal[[#Headers],[D1]],Database_Productkaarten[#All],14,FALSE)*Optimalisatie!J89),Baseline_Backlog!P87),0))</f>
        <v>0</v>
      </c>
      <c r="Q87" s="9">
        <f>(IF(Optimalisatie!C89="Bestaande Situatie",_xlfn.IFNA(IF(Optimalisatie!E89="Categorie_1_LCA_Producten",VLOOKUP(Inschrijf_MKI_Totaal[[#This Row],[Product]],Categorie_1_Producten[#All],13,FALSE)*(Optimalisatie!J89),VLOOKUP(Inschrijf_MKI_Totaal[[#This Row],[Product]]&amp;", "&amp;Inschrijf_MKI_Totaal[[#Headers],[D2]],Database_Productkaarten[#All],14,FALSE)*Optimalisatie!J89),Baseline_Backlog!Q87),0))</f>
        <v>0</v>
      </c>
      <c r="R87" s="9">
        <f>(IF(Optimalisatie!C89="Bestaande Situatie",_xlfn.IFNA(IF(Optimalisatie!E89="Categorie_1_LCA_Producten",VLOOKUP(Inschrijf_MKI_Totaal[[#This Row],[Product]],Categorie_1_Producten[#All],13,FALSE)*(Optimalisatie!J89),VLOOKUP(Inschrijf_MKI_Totaal[[#This Row],[Product]]&amp;", "&amp;Inschrijf_MKI_Totaal[[#Headers],[D]],Database_Productkaarten[#All],14,FALSE)*Optimalisatie!J89),Baseline_Backlog!S87),0))</f>
        <v>0</v>
      </c>
      <c r="S87" s="301">
        <f>SUM(Inschrijf_MKI_Totaal[[#This Row],[A1-A3]:[C4]])+Inschrijf_MKI_Totaal[[#This Row],[D]]</f>
        <v>0</v>
      </c>
      <c r="AA87" s="9">
        <f>_xlfn.IFNA((VLOOKUP(Optimalisatie!AA89,Database_Asfalt_Verwijderset[#All],7,FALSE)*Optimalisatie!J89),0)</f>
        <v>0</v>
      </c>
      <c r="AB87" s="9" t="e">
        <f>(VLOOKUP(Optimalisatie!AA89,Database_Asfalt_Verwijderset[#All],7,FALSE)*Optimalisatie!J89)</f>
        <v>#N/A</v>
      </c>
      <c r="AC87" s="332">
        <f>(_xlfn.IFNA(VLOOKUP(Inschrijf_MKI_Totaal[[#This Row],[Product]]&amp;", "&amp;Inschrijf_MKI_Totaal[[#Headers],[C1]],Database_Productkaarten[#All],14,FALSE),0)*Optimalisatie!J89)</f>
        <v>0</v>
      </c>
    </row>
    <row r="88" spans="2:29" hidden="1">
      <c r="B88" s="272">
        <f>Optimalisatie!B90</f>
        <v>0</v>
      </c>
      <c r="C88" s="9">
        <f>Optimalisatie!F90</f>
        <v>0</v>
      </c>
      <c r="D88" s="9">
        <f>(IF(Optimalisatie!C90="Nieuwe Situatie",_xlfn.IFNA(IF(Optimalisatie!E90="Categorie_1_LCA_Producten",VLOOKUP(Inschrijf_MKI_Totaal[[#This Row],[Product]],Categorie_1_Producten[#All],8,FALSE)*(Optimalisatie!J90),VLOOKUP(Inschrijf_MKI_Totaal[[#This Row],[Product]]&amp;", "&amp;Inschrijf_MKI_Totaal[[#Headers],[A1]],Database_Productkaarten[#All],14,FALSE)*Optimalisatie!J90),Baseline_Backlog!D88),0))</f>
        <v>0</v>
      </c>
      <c r="E88" s="9">
        <f>(IF(Optimalisatie!C90="Nieuwe Situatie",_xlfn.IFNA(IF(Optimalisatie!E90="Categorie_1_LCA_Producten",VLOOKUP(Inschrijf_MKI_Totaal[[#This Row],[Product]],Categorie_1_Producten[#All],9,FALSE)*(Optimalisatie!J90),VLOOKUP(Inschrijf_MKI_Totaal[[#This Row],[Product]]&amp;", "&amp;Inschrijf_MKI_Totaal[[#Headers],[A2]],Database_Productkaarten[#All],14,FALSE)*Optimalisatie!J90),Baseline_Backlog!E88),0))</f>
        <v>0</v>
      </c>
      <c r="F88" s="9">
        <f>(IF(Optimalisatie!C90="Nieuwe Situatie",_xlfn.IFNA(IF(Optimalisatie!E90="Categorie_1_LCA_Producten",VLOOKUP(Inschrijf_MKI_Totaal[[#This Row],[Product]],Categorie_1_Producten[#All],10,FALSE)*(Optimalisatie!J90),VLOOKUP(Inschrijf_MKI_Totaal[[#This Row],[Product]]&amp;", "&amp;Inschrijf_MKI_Totaal[[#Headers],[A3]],Database_Productkaarten[#All],14,FALSE)*Optimalisatie!J90),Baseline_Backlog!F88),0))</f>
        <v>0</v>
      </c>
      <c r="G88" s="9">
        <f>(IF(Optimalisatie!C90="Nieuwe Situatie",_xlfn.IFNA(IF(Optimalisatie!E90="Categorie_1_LCA_Producten",VLOOKUP(Inschrijf_MKI_Totaal[[#This Row],[Product]],Categorie_1_Producten[#All],11,FALSE)*(Optimalisatie!J90),VLOOKUP(Inschrijf_MKI_Totaal[[#This Row],[Product]]&amp;", "&amp;Inschrijf_MKI_Totaal[[#Headers],[A1-A3]],Database_Productkaarten[#All],14,FALSE)*Optimalisatie!J90),Baseline_Backlog!G88),0))</f>
        <v>0</v>
      </c>
      <c r="H88" s="9">
        <f>(IF(Optimalisatie!C90="Nieuwe Situatie",_xlfn.IFNA(VLOOKUP(Optimalisatie!V90,Database_Transport[#All],7,FALSE)*((IF(Optimalisatie!R90=0,Baseline!Q90,Optimalisatie!R90))*Optimalisatie!U90),Baseline_Backlog!H88),0))</f>
        <v>0</v>
      </c>
      <c r="I88" s="9">
        <f>IF(Optimalisatie!C90="Nieuwe situatie",IF(_xlfn.IFNA((VLOOKUP(Optimalisatie!W90,Database_Asfalt_Aanlegset[#All],7,FALSE)*Optimalisatie!J90),0)+_xlfn.IFNA(VLOOKUP(Optimalisatie!X90,Database_Brandstoffen[#All],7,FALSE)*((Optimalisatie!J90/Optimalisatie!Z90)*Optimalisatie!Y90),0)&gt;0,_xlfn.IFNA((VLOOKUP(Optimalisatie!W90,Database_Asfalt_Aanlegset[#All],7,FALSE)*Optimalisatie!J90),0)+_xlfn.IFNA(VLOOKUP(Optimalisatie!X90,Database_Brandstoffen[#All],7,FALSE)*((Optimalisatie!J90/Optimalisatie!Z90)*Optimalisatie!Y90),0),(_xlfn.IFNA(VLOOKUP(Inschrijf_MKI_Totaal[[#This Row],[Product]]&amp;", "&amp;Inschrijf_MKI_Totaal[[#Headers],[A5]],Database_Productkaarten[#All],14,FALSE),0)*Optimalisatie!J90)),0)</f>
        <v>0</v>
      </c>
      <c r="J88" s="9"/>
      <c r="K88" s="9">
        <f>(IF(Optimalisatie!C90="Nieuwe Situatie",_xlfn.IFNA(SUM(Inschrijf_MKI_Totaal[[#This Row],[A1]:[B1]],Inschrijf_MKI_Totaal[[#This Row],[C1]:[D2]])*Optimalisatie!T90,0),0))</f>
        <v>0</v>
      </c>
      <c r="L88" s="9">
        <f>IF(Optimalisatie!C90="Bestaande situatie",IF(_xlfn.IFNA((VLOOKUP(Optimalisatie!AA90,Database_Asfalt_Verwijderset[#All],7,FALSE)*Optimalisatie!J90),0)+_xlfn.IFNA(VLOOKUP(Optimalisatie!AB90,Database_Brandstoffen[#All],7,FALSE)*((Optimalisatie!J90/Optimalisatie!AD90)*Optimalisatie!AC90),0)&gt;0,_xlfn.IFNA((VLOOKUP(Optimalisatie!AA90,Database_Asfalt_Verwijderset[#All],7,FALSE)*Optimalisatie!J90),0)+_xlfn.IFNA(VLOOKUP(Optimalisatie!AB90,Database_Brandstoffen[#All],7,FALSE)*((Optimalisatie!J90/Optimalisatie!AD90)*Optimalisatie!AC90),0),(_xlfn.IFNA(VLOOKUP(Inschrijf_MKI_Totaal[[#This Row],[Product]]&amp;", "&amp;Inschrijf_MKI_Totaal[[#Headers],[C1]],Database_Productkaarten[#All],14,FALSE),0)*Optimalisatie!J90)),0)</f>
        <v>0</v>
      </c>
      <c r="M88" s="9">
        <f>(IF(Optimalisatie!C90="Bestaande Situatie",_xlfn.IFNA(VLOOKUP(Optimalisatie!AF90,Database_Transport[#All],7,FALSE)*(Optimalisatie!R90*Optimalisatie!AE90),Baseline_Backlog!M88),0))</f>
        <v>0</v>
      </c>
      <c r="N88" s="9">
        <f>(IF(Optimalisatie!C90="Bestaande Situatie",_xlfn.IFNA(VLOOKUP(Optimalisatie!AG90,Database_Asfalt_Verwerkingsset[#All],7,FALSE)*(Optimalisatie!J90/VLOOKUP(Optimalisatie!AG90,Database_Asfalt_Verwerkingsset[#All],8,FALSE)),Baseline_Backlog!N88),0))</f>
        <v>0</v>
      </c>
      <c r="O88" s="9">
        <f>(IF(Optimalisatie!C90="Bestaande Situatie",_xlfn.IFNA(VLOOKUP(Inschrijf_MKI_Totaal[[#This Row],[Product]]&amp;", "&amp;Inschrijf_MKI_Totaal[[#Headers],[C4]],Database_Productkaarten[#All],14,FALSE),Baseline_Backlog!O88)*Optimalisatie!J90,0))</f>
        <v>0</v>
      </c>
      <c r="P88" s="9">
        <f>(IF(Optimalisatie!C90="Bestaande Situatie",_xlfn.IFNA(IF(Optimalisatie!E90="Categorie_1_LCA_Producten",VLOOKUP(Inschrijf_MKI_Totaal[[#This Row],[Product]],Categorie_1_Producten[#All],12,FALSE)*(Optimalisatie!J90),VLOOKUP(Inschrijf_MKI_Totaal[[#This Row],[Product]]&amp;", "&amp;Inschrijf_MKI_Totaal[[#Headers],[D1]],Database_Productkaarten[#All],14,FALSE)*Optimalisatie!J90),Baseline_Backlog!P88),0))</f>
        <v>0</v>
      </c>
      <c r="Q88" s="9">
        <f>(IF(Optimalisatie!C90="Bestaande Situatie",_xlfn.IFNA(IF(Optimalisatie!E90="Categorie_1_LCA_Producten",VLOOKUP(Inschrijf_MKI_Totaal[[#This Row],[Product]],Categorie_1_Producten[#All],13,FALSE)*(Optimalisatie!J90),VLOOKUP(Inschrijf_MKI_Totaal[[#This Row],[Product]]&amp;", "&amp;Inschrijf_MKI_Totaal[[#Headers],[D2]],Database_Productkaarten[#All],14,FALSE)*Optimalisatie!J90),Baseline_Backlog!Q88),0))</f>
        <v>0</v>
      </c>
      <c r="R88" s="9">
        <f>(IF(Optimalisatie!C90="Bestaande Situatie",_xlfn.IFNA(IF(Optimalisatie!E90="Categorie_1_LCA_Producten",VLOOKUP(Inschrijf_MKI_Totaal[[#This Row],[Product]],Categorie_1_Producten[#All],13,FALSE)*(Optimalisatie!J90),VLOOKUP(Inschrijf_MKI_Totaal[[#This Row],[Product]]&amp;", "&amp;Inschrijf_MKI_Totaal[[#Headers],[D]],Database_Productkaarten[#All],14,FALSE)*Optimalisatie!J90),Baseline_Backlog!S88),0))</f>
        <v>0</v>
      </c>
      <c r="S88" s="301">
        <f>SUM(Inschrijf_MKI_Totaal[[#This Row],[A1-A3]:[C4]])+Inschrijf_MKI_Totaal[[#This Row],[D]]</f>
        <v>0</v>
      </c>
      <c r="AA88" s="9">
        <f>_xlfn.IFNA((VLOOKUP(Optimalisatie!AA90,Database_Asfalt_Verwijderset[#All],7,FALSE)*Optimalisatie!J90),0)</f>
        <v>0</v>
      </c>
      <c r="AB88" s="9" t="e">
        <f>(VLOOKUP(Optimalisatie!AA90,Database_Asfalt_Verwijderset[#All],7,FALSE)*Optimalisatie!J90)</f>
        <v>#N/A</v>
      </c>
      <c r="AC88" s="332">
        <f>(_xlfn.IFNA(VLOOKUP(Inschrijf_MKI_Totaal[[#This Row],[Product]]&amp;", "&amp;Inschrijf_MKI_Totaal[[#Headers],[C1]],Database_Productkaarten[#All],14,FALSE),0)*Optimalisatie!J90)</f>
        <v>0</v>
      </c>
    </row>
    <row r="89" spans="2:29" hidden="1">
      <c r="B89" s="272">
        <f>Optimalisatie!B91</f>
        <v>0</v>
      </c>
      <c r="C89" s="9">
        <f>Optimalisatie!F91</f>
        <v>0</v>
      </c>
      <c r="D89" s="9">
        <f>(IF(Optimalisatie!C91="Nieuwe Situatie",_xlfn.IFNA(IF(Optimalisatie!E91="Categorie_1_LCA_Producten",VLOOKUP(Inschrijf_MKI_Totaal[[#This Row],[Product]],Categorie_1_Producten[#All],8,FALSE)*(Optimalisatie!J91),VLOOKUP(Inschrijf_MKI_Totaal[[#This Row],[Product]]&amp;", "&amp;Inschrijf_MKI_Totaal[[#Headers],[A1]],Database_Productkaarten[#All],14,FALSE)*Optimalisatie!J91),Baseline_Backlog!D89),0))</f>
        <v>0</v>
      </c>
      <c r="E89" s="9">
        <f>(IF(Optimalisatie!C91="Nieuwe Situatie",_xlfn.IFNA(IF(Optimalisatie!E91="Categorie_1_LCA_Producten",VLOOKUP(Inschrijf_MKI_Totaal[[#This Row],[Product]],Categorie_1_Producten[#All],9,FALSE)*(Optimalisatie!J91),VLOOKUP(Inschrijf_MKI_Totaal[[#This Row],[Product]]&amp;", "&amp;Inschrijf_MKI_Totaal[[#Headers],[A2]],Database_Productkaarten[#All],14,FALSE)*Optimalisatie!J91),Baseline_Backlog!E89),0))</f>
        <v>0</v>
      </c>
      <c r="F89" s="9">
        <f>(IF(Optimalisatie!C91="Nieuwe Situatie",_xlfn.IFNA(IF(Optimalisatie!E91="Categorie_1_LCA_Producten",VLOOKUP(Inschrijf_MKI_Totaal[[#This Row],[Product]],Categorie_1_Producten[#All],10,FALSE)*(Optimalisatie!J91),VLOOKUP(Inschrijf_MKI_Totaal[[#This Row],[Product]]&amp;", "&amp;Inschrijf_MKI_Totaal[[#Headers],[A3]],Database_Productkaarten[#All],14,FALSE)*Optimalisatie!J91),Baseline_Backlog!F89),0))</f>
        <v>0</v>
      </c>
      <c r="G89" s="9">
        <f>(IF(Optimalisatie!C91="Nieuwe Situatie",_xlfn.IFNA(IF(Optimalisatie!E91="Categorie_1_LCA_Producten",VLOOKUP(Inschrijf_MKI_Totaal[[#This Row],[Product]],Categorie_1_Producten[#All],11,FALSE)*(Optimalisatie!J91),VLOOKUP(Inschrijf_MKI_Totaal[[#This Row],[Product]]&amp;", "&amp;Inschrijf_MKI_Totaal[[#Headers],[A1-A3]],Database_Productkaarten[#All],14,FALSE)*Optimalisatie!J91),Baseline_Backlog!G89),0))</f>
        <v>0</v>
      </c>
      <c r="H89" s="9">
        <f>(IF(Optimalisatie!C91="Nieuwe Situatie",_xlfn.IFNA(VLOOKUP(Optimalisatie!V91,Database_Transport[#All],7,FALSE)*((IF(Optimalisatie!R91=0,Baseline!Q91,Optimalisatie!R91))*Optimalisatie!U91),Baseline_Backlog!H89),0))</f>
        <v>0</v>
      </c>
      <c r="I89" s="9">
        <f>IF(Optimalisatie!C91="Nieuwe situatie",IF(_xlfn.IFNA((VLOOKUP(Optimalisatie!W91,Database_Asfalt_Aanlegset[#All],7,FALSE)*Optimalisatie!J91),0)+_xlfn.IFNA(VLOOKUP(Optimalisatie!X91,Database_Brandstoffen[#All],7,FALSE)*((Optimalisatie!J91/Optimalisatie!Z91)*Optimalisatie!Y91),0)&gt;0,_xlfn.IFNA((VLOOKUP(Optimalisatie!W91,Database_Asfalt_Aanlegset[#All],7,FALSE)*Optimalisatie!J91),0)+_xlfn.IFNA(VLOOKUP(Optimalisatie!X91,Database_Brandstoffen[#All],7,FALSE)*((Optimalisatie!J91/Optimalisatie!Z91)*Optimalisatie!Y91),0),(_xlfn.IFNA(VLOOKUP(Inschrijf_MKI_Totaal[[#This Row],[Product]]&amp;", "&amp;Inschrijf_MKI_Totaal[[#Headers],[A5]],Database_Productkaarten[#All],14,FALSE),0)*Optimalisatie!J91)),0)</f>
        <v>0</v>
      </c>
      <c r="J89" s="9"/>
      <c r="K89" s="9">
        <f>(IF(Optimalisatie!C91="Nieuwe Situatie",_xlfn.IFNA(SUM(Inschrijf_MKI_Totaal[[#This Row],[A1]:[B1]],Inschrijf_MKI_Totaal[[#This Row],[C1]:[D2]])*Optimalisatie!T91,0),0))</f>
        <v>0</v>
      </c>
      <c r="L89" s="9">
        <f>IF(Optimalisatie!C91="Bestaande situatie",IF(_xlfn.IFNA((VLOOKUP(Optimalisatie!AA91,Database_Asfalt_Verwijderset[#All],7,FALSE)*Optimalisatie!J91),0)+_xlfn.IFNA(VLOOKUP(Optimalisatie!AB91,Database_Brandstoffen[#All],7,FALSE)*((Optimalisatie!J91/Optimalisatie!AD91)*Optimalisatie!AC91),0)&gt;0,_xlfn.IFNA((VLOOKUP(Optimalisatie!AA91,Database_Asfalt_Verwijderset[#All],7,FALSE)*Optimalisatie!J91),0)+_xlfn.IFNA(VLOOKUP(Optimalisatie!AB91,Database_Brandstoffen[#All],7,FALSE)*((Optimalisatie!J91/Optimalisatie!AD91)*Optimalisatie!AC91),0),(_xlfn.IFNA(VLOOKUP(Inschrijf_MKI_Totaal[[#This Row],[Product]]&amp;", "&amp;Inschrijf_MKI_Totaal[[#Headers],[C1]],Database_Productkaarten[#All],14,FALSE),0)*Optimalisatie!J91)),0)</f>
        <v>0</v>
      </c>
      <c r="M89" s="9">
        <f>(IF(Optimalisatie!C91="Bestaande Situatie",_xlfn.IFNA(VLOOKUP(Optimalisatie!AF91,Database_Transport[#All],7,FALSE)*(Optimalisatie!R91*Optimalisatie!AE91),Baseline_Backlog!M89),0))</f>
        <v>0</v>
      </c>
      <c r="N89" s="9">
        <f>(IF(Optimalisatie!C91="Bestaande Situatie",_xlfn.IFNA(VLOOKUP(Optimalisatie!AG91,Database_Asfalt_Verwerkingsset[#All],7,FALSE)*(Optimalisatie!J91/VLOOKUP(Optimalisatie!AG91,Database_Asfalt_Verwerkingsset[#All],8,FALSE)),Baseline_Backlog!N89),0))</f>
        <v>0</v>
      </c>
      <c r="O89" s="9">
        <f>(IF(Optimalisatie!C91="Bestaande Situatie",_xlfn.IFNA(VLOOKUP(Inschrijf_MKI_Totaal[[#This Row],[Product]]&amp;", "&amp;Inschrijf_MKI_Totaal[[#Headers],[C4]],Database_Productkaarten[#All],14,FALSE),Baseline_Backlog!O89)*Optimalisatie!J91,0))</f>
        <v>0</v>
      </c>
      <c r="P89" s="9">
        <f>(IF(Optimalisatie!C91="Bestaande Situatie",_xlfn.IFNA(IF(Optimalisatie!E91="Categorie_1_LCA_Producten",VLOOKUP(Inschrijf_MKI_Totaal[[#This Row],[Product]],Categorie_1_Producten[#All],12,FALSE)*(Optimalisatie!J91),VLOOKUP(Inschrijf_MKI_Totaal[[#This Row],[Product]]&amp;", "&amp;Inschrijf_MKI_Totaal[[#Headers],[D1]],Database_Productkaarten[#All],14,FALSE)*Optimalisatie!J91),Baseline_Backlog!P89),0))</f>
        <v>0</v>
      </c>
      <c r="Q89" s="9">
        <f>(IF(Optimalisatie!C91="Bestaande Situatie",_xlfn.IFNA(IF(Optimalisatie!E91="Categorie_1_LCA_Producten",VLOOKUP(Inschrijf_MKI_Totaal[[#This Row],[Product]],Categorie_1_Producten[#All],13,FALSE)*(Optimalisatie!J91),VLOOKUP(Inschrijf_MKI_Totaal[[#This Row],[Product]]&amp;", "&amp;Inschrijf_MKI_Totaal[[#Headers],[D2]],Database_Productkaarten[#All],14,FALSE)*Optimalisatie!J91),Baseline_Backlog!Q89),0))</f>
        <v>0</v>
      </c>
      <c r="R89" s="9">
        <f>(IF(Optimalisatie!C91="Bestaande Situatie",_xlfn.IFNA(IF(Optimalisatie!E91="Categorie_1_LCA_Producten",VLOOKUP(Inschrijf_MKI_Totaal[[#This Row],[Product]],Categorie_1_Producten[#All],13,FALSE)*(Optimalisatie!J91),VLOOKUP(Inschrijf_MKI_Totaal[[#This Row],[Product]]&amp;", "&amp;Inschrijf_MKI_Totaal[[#Headers],[D]],Database_Productkaarten[#All],14,FALSE)*Optimalisatie!J91),Baseline_Backlog!S89),0))</f>
        <v>0</v>
      </c>
      <c r="S89" s="301">
        <f>SUM(Inschrijf_MKI_Totaal[[#This Row],[A1-A3]:[C4]])+Inschrijf_MKI_Totaal[[#This Row],[D]]</f>
        <v>0</v>
      </c>
      <c r="AA89" s="9">
        <f>_xlfn.IFNA((VLOOKUP(Optimalisatie!AA91,Database_Asfalt_Verwijderset[#All],7,FALSE)*Optimalisatie!J91),0)</f>
        <v>0</v>
      </c>
      <c r="AB89" s="9" t="e">
        <f>(VLOOKUP(Optimalisatie!AA91,Database_Asfalt_Verwijderset[#All],7,FALSE)*Optimalisatie!J91)</f>
        <v>#N/A</v>
      </c>
      <c r="AC89" s="332">
        <f>(_xlfn.IFNA(VLOOKUP(Inschrijf_MKI_Totaal[[#This Row],[Product]]&amp;", "&amp;Inschrijf_MKI_Totaal[[#Headers],[C1]],Database_Productkaarten[#All],14,FALSE),0)*Optimalisatie!J91)</f>
        <v>0</v>
      </c>
    </row>
    <row r="90" spans="2:29" hidden="1">
      <c r="B90" s="272">
        <f>Optimalisatie!B92</f>
        <v>0</v>
      </c>
      <c r="C90" s="9">
        <f>Optimalisatie!F92</f>
        <v>0</v>
      </c>
      <c r="D90" s="9">
        <f>(IF(Optimalisatie!C92="Nieuwe Situatie",_xlfn.IFNA(IF(Optimalisatie!E92="Categorie_1_LCA_Producten",VLOOKUP(Inschrijf_MKI_Totaal[[#This Row],[Product]],Categorie_1_Producten[#All],8,FALSE)*(Optimalisatie!J92),VLOOKUP(Inschrijf_MKI_Totaal[[#This Row],[Product]]&amp;", "&amp;Inschrijf_MKI_Totaal[[#Headers],[A1]],Database_Productkaarten[#All],14,FALSE)*Optimalisatie!J92),Baseline_Backlog!D90),0))</f>
        <v>0</v>
      </c>
      <c r="E90" s="9">
        <f>(IF(Optimalisatie!C92="Nieuwe Situatie",_xlfn.IFNA(IF(Optimalisatie!E92="Categorie_1_LCA_Producten",VLOOKUP(Inschrijf_MKI_Totaal[[#This Row],[Product]],Categorie_1_Producten[#All],9,FALSE)*(Optimalisatie!J92),VLOOKUP(Inschrijf_MKI_Totaal[[#This Row],[Product]]&amp;", "&amp;Inschrijf_MKI_Totaal[[#Headers],[A2]],Database_Productkaarten[#All],14,FALSE)*Optimalisatie!J92),Baseline_Backlog!E90),0))</f>
        <v>0</v>
      </c>
      <c r="F90" s="9">
        <f>(IF(Optimalisatie!C92="Nieuwe Situatie",_xlfn.IFNA(IF(Optimalisatie!E92="Categorie_1_LCA_Producten",VLOOKUP(Inschrijf_MKI_Totaal[[#This Row],[Product]],Categorie_1_Producten[#All],10,FALSE)*(Optimalisatie!J92),VLOOKUP(Inschrijf_MKI_Totaal[[#This Row],[Product]]&amp;", "&amp;Inschrijf_MKI_Totaal[[#Headers],[A3]],Database_Productkaarten[#All],14,FALSE)*Optimalisatie!J92),Baseline_Backlog!F90),0))</f>
        <v>0</v>
      </c>
      <c r="G90" s="9">
        <f>(IF(Optimalisatie!C92="Nieuwe Situatie",_xlfn.IFNA(IF(Optimalisatie!E92="Categorie_1_LCA_Producten",VLOOKUP(Inschrijf_MKI_Totaal[[#This Row],[Product]],Categorie_1_Producten[#All],11,FALSE)*(Optimalisatie!J92),VLOOKUP(Inschrijf_MKI_Totaal[[#This Row],[Product]]&amp;", "&amp;Inschrijf_MKI_Totaal[[#Headers],[A1-A3]],Database_Productkaarten[#All],14,FALSE)*Optimalisatie!J92),Baseline_Backlog!G90),0))</f>
        <v>0</v>
      </c>
      <c r="H90" s="9">
        <f>(IF(Optimalisatie!C92="Nieuwe Situatie",_xlfn.IFNA(VLOOKUP(Optimalisatie!V92,Database_Transport[#All],7,FALSE)*((IF(Optimalisatie!R92=0,Baseline!Q92,Optimalisatie!R92))*Optimalisatie!U92),Baseline_Backlog!H90),0))</f>
        <v>0</v>
      </c>
      <c r="I90" s="9">
        <f>IF(Optimalisatie!C92="Nieuwe situatie",IF(_xlfn.IFNA((VLOOKUP(Optimalisatie!W92,Database_Asfalt_Aanlegset[#All],7,FALSE)*Optimalisatie!J92),0)+_xlfn.IFNA(VLOOKUP(Optimalisatie!X92,Database_Brandstoffen[#All],7,FALSE)*((Optimalisatie!J92/Optimalisatie!Z92)*Optimalisatie!Y92),0)&gt;0,_xlfn.IFNA((VLOOKUP(Optimalisatie!W92,Database_Asfalt_Aanlegset[#All],7,FALSE)*Optimalisatie!J92),0)+_xlfn.IFNA(VLOOKUP(Optimalisatie!X92,Database_Brandstoffen[#All],7,FALSE)*((Optimalisatie!J92/Optimalisatie!Z92)*Optimalisatie!Y92),0),(_xlfn.IFNA(VLOOKUP(Inschrijf_MKI_Totaal[[#This Row],[Product]]&amp;", "&amp;Inschrijf_MKI_Totaal[[#Headers],[A5]],Database_Productkaarten[#All],14,FALSE),0)*Optimalisatie!J92)),0)</f>
        <v>0</v>
      </c>
      <c r="J90" s="9"/>
      <c r="K90" s="9">
        <f>(IF(Optimalisatie!C92="Nieuwe Situatie",_xlfn.IFNA(SUM(Inschrijf_MKI_Totaal[[#This Row],[A1]:[B1]],Inschrijf_MKI_Totaal[[#This Row],[C1]:[D2]])*Optimalisatie!T92,0),0))</f>
        <v>0</v>
      </c>
      <c r="L90" s="9">
        <f>IF(Optimalisatie!C92="Bestaande situatie",IF(_xlfn.IFNA((VLOOKUP(Optimalisatie!AA92,Database_Asfalt_Verwijderset[#All],7,FALSE)*Optimalisatie!J92),0)+_xlfn.IFNA(VLOOKUP(Optimalisatie!AB92,Database_Brandstoffen[#All],7,FALSE)*((Optimalisatie!J92/Optimalisatie!AD92)*Optimalisatie!AC92),0)&gt;0,_xlfn.IFNA((VLOOKUP(Optimalisatie!AA92,Database_Asfalt_Verwijderset[#All],7,FALSE)*Optimalisatie!J92),0)+_xlfn.IFNA(VLOOKUP(Optimalisatie!AB92,Database_Brandstoffen[#All],7,FALSE)*((Optimalisatie!J92/Optimalisatie!AD92)*Optimalisatie!AC92),0),(_xlfn.IFNA(VLOOKUP(Inschrijf_MKI_Totaal[[#This Row],[Product]]&amp;", "&amp;Inschrijf_MKI_Totaal[[#Headers],[C1]],Database_Productkaarten[#All],14,FALSE),0)*Optimalisatie!J92)),0)</f>
        <v>0</v>
      </c>
      <c r="M90" s="9">
        <f>(IF(Optimalisatie!C92="Bestaande Situatie",_xlfn.IFNA(VLOOKUP(Optimalisatie!AF92,Database_Transport[#All],7,FALSE)*(Optimalisatie!R92*Optimalisatie!AE92),Baseline_Backlog!M90),0))</f>
        <v>0</v>
      </c>
      <c r="N90" s="9">
        <f>(IF(Optimalisatie!C92="Bestaande Situatie",_xlfn.IFNA(VLOOKUP(Optimalisatie!AG92,Database_Asfalt_Verwerkingsset[#All],7,FALSE)*(Optimalisatie!J92/VLOOKUP(Optimalisatie!AG92,Database_Asfalt_Verwerkingsset[#All],8,FALSE)),Baseline_Backlog!N90),0))</f>
        <v>0</v>
      </c>
      <c r="O90" s="9">
        <f>(IF(Optimalisatie!C92="Bestaande Situatie",_xlfn.IFNA(VLOOKUP(Inschrijf_MKI_Totaal[[#This Row],[Product]]&amp;", "&amp;Inschrijf_MKI_Totaal[[#Headers],[C4]],Database_Productkaarten[#All],14,FALSE),Baseline_Backlog!O90)*Optimalisatie!J92,0))</f>
        <v>0</v>
      </c>
      <c r="P90" s="9">
        <f>(IF(Optimalisatie!C92="Bestaande Situatie",_xlfn.IFNA(IF(Optimalisatie!E92="Categorie_1_LCA_Producten",VLOOKUP(Inschrijf_MKI_Totaal[[#This Row],[Product]],Categorie_1_Producten[#All],12,FALSE)*(Optimalisatie!J92),VLOOKUP(Inschrijf_MKI_Totaal[[#This Row],[Product]]&amp;", "&amp;Inschrijf_MKI_Totaal[[#Headers],[D1]],Database_Productkaarten[#All],14,FALSE)*Optimalisatie!J92),Baseline_Backlog!P90),0))</f>
        <v>0</v>
      </c>
      <c r="Q90" s="9">
        <f>(IF(Optimalisatie!C92="Bestaande Situatie",_xlfn.IFNA(IF(Optimalisatie!E92="Categorie_1_LCA_Producten",VLOOKUP(Inschrijf_MKI_Totaal[[#This Row],[Product]],Categorie_1_Producten[#All],13,FALSE)*(Optimalisatie!J92),VLOOKUP(Inschrijf_MKI_Totaal[[#This Row],[Product]]&amp;", "&amp;Inschrijf_MKI_Totaal[[#Headers],[D2]],Database_Productkaarten[#All],14,FALSE)*Optimalisatie!J92),Baseline_Backlog!Q90),0))</f>
        <v>0</v>
      </c>
      <c r="R90" s="9">
        <f>(IF(Optimalisatie!C92="Bestaande Situatie",_xlfn.IFNA(IF(Optimalisatie!E92="Categorie_1_LCA_Producten",VLOOKUP(Inschrijf_MKI_Totaal[[#This Row],[Product]],Categorie_1_Producten[#All],13,FALSE)*(Optimalisatie!J92),VLOOKUP(Inschrijf_MKI_Totaal[[#This Row],[Product]]&amp;", "&amp;Inschrijf_MKI_Totaal[[#Headers],[D]],Database_Productkaarten[#All],14,FALSE)*Optimalisatie!J92),Baseline_Backlog!S90),0))</f>
        <v>0</v>
      </c>
      <c r="S90" s="301">
        <f>SUM(Inschrijf_MKI_Totaal[[#This Row],[A1-A3]:[C4]])+Inschrijf_MKI_Totaal[[#This Row],[D]]</f>
        <v>0</v>
      </c>
      <c r="AA90" s="9">
        <f>_xlfn.IFNA((VLOOKUP(Optimalisatie!AA92,Database_Asfalt_Verwijderset[#All],7,FALSE)*Optimalisatie!J92),0)</f>
        <v>0</v>
      </c>
      <c r="AB90" s="9" t="e">
        <f>(VLOOKUP(Optimalisatie!AA92,Database_Asfalt_Verwijderset[#All],7,FALSE)*Optimalisatie!J92)</f>
        <v>#N/A</v>
      </c>
      <c r="AC90" s="332">
        <f>(_xlfn.IFNA(VLOOKUP(Inschrijf_MKI_Totaal[[#This Row],[Product]]&amp;", "&amp;Inschrijf_MKI_Totaal[[#Headers],[C1]],Database_Productkaarten[#All],14,FALSE),0)*Optimalisatie!J92)</f>
        <v>0</v>
      </c>
    </row>
    <row r="91" spans="2:29" hidden="1">
      <c r="B91" s="272">
        <f>Optimalisatie!B93</f>
        <v>0</v>
      </c>
      <c r="C91" s="9">
        <f>Optimalisatie!F93</f>
        <v>0</v>
      </c>
      <c r="D91" s="9">
        <f>(IF(Optimalisatie!C93="Nieuwe Situatie",_xlfn.IFNA(IF(Optimalisatie!E93="Categorie_1_LCA_Producten",VLOOKUP(Inschrijf_MKI_Totaal[[#This Row],[Product]],Categorie_1_Producten[#All],8,FALSE)*(Optimalisatie!J93),VLOOKUP(Inschrijf_MKI_Totaal[[#This Row],[Product]]&amp;", "&amp;Inschrijf_MKI_Totaal[[#Headers],[A1]],Database_Productkaarten[#All],14,FALSE)*Optimalisatie!J93),Baseline_Backlog!D91),0))</f>
        <v>0</v>
      </c>
      <c r="E91" s="9">
        <f>(IF(Optimalisatie!C93="Nieuwe Situatie",_xlfn.IFNA(IF(Optimalisatie!E93="Categorie_1_LCA_Producten",VLOOKUP(Inschrijf_MKI_Totaal[[#This Row],[Product]],Categorie_1_Producten[#All],9,FALSE)*(Optimalisatie!J93),VLOOKUP(Inschrijf_MKI_Totaal[[#This Row],[Product]]&amp;", "&amp;Inschrijf_MKI_Totaal[[#Headers],[A2]],Database_Productkaarten[#All],14,FALSE)*Optimalisatie!J93),Baseline_Backlog!E91),0))</f>
        <v>0</v>
      </c>
      <c r="F91" s="9">
        <f>(IF(Optimalisatie!C93="Nieuwe Situatie",_xlfn.IFNA(IF(Optimalisatie!E93="Categorie_1_LCA_Producten",VLOOKUP(Inschrijf_MKI_Totaal[[#This Row],[Product]],Categorie_1_Producten[#All],10,FALSE)*(Optimalisatie!J93),VLOOKUP(Inschrijf_MKI_Totaal[[#This Row],[Product]]&amp;", "&amp;Inschrijf_MKI_Totaal[[#Headers],[A3]],Database_Productkaarten[#All],14,FALSE)*Optimalisatie!J93),Baseline_Backlog!F91),0))</f>
        <v>0</v>
      </c>
      <c r="G91" s="9">
        <f>(IF(Optimalisatie!C93="Nieuwe Situatie",_xlfn.IFNA(IF(Optimalisatie!E93="Categorie_1_LCA_Producten",VLOOKUP(Inschrijf_MKI_Totaal[[#This Row],[Product]],Categorie_1_Producten[#All],11,FALSE)*(Optimalisatie!J93),VLOOKUP(Inschrijf_MKI_Totaal[[#This Row],[Product]]&amp;", "&amp;Inschrijf_MKI_Totaal[[#Headers],[A1-A3]],Database_Productkaarten[#All],14,FALSE)*Optimalisatie!J93),Baseline_Backlog!G91),0))</f>
        <v>0</v>
      </c>
      <c r="H91" s="9">
        <f>(IF(Optimalisatie!C93="Nieuwe Situatie",_xlfn.IFNA(VLOOKUP(Optimalisatie!V93,Database_Transport[#All],7,FALSE)*((IF(Optimalisatie!R93=0,Baseline!Q93,Optimalisatie!R93))*Optimalisatie!U93),Baseline_Backlog!H91),0))</f>
        <v>0</v>
      </c>
      <c r="I91" s="9">
        <f>IF(Optimalisatie!C93="Nieuwe situatie",IF(_xlfn.IFNA((VLOOKUP(Optimalisatie!W93,Database_Asfalt_Aanlegset[#All],7,FALSE)*Optimalisatie!J93),0)+_xlfn.IFNA(VLOOKUP(Optimalisatie!X93,Database_Brandstoffen[#All],7,FALSE)*((Optimalisatie!J93/Optimalisatie!Z93)*Optimalisatie!Y93),0)&gt;0,_xlfn.IFNA((VLOOKUP(Optimalisatie!W93,Database_Asfalt_Aanlegset[#All],7,FALSE)*Optimalisatie!J93),0)+_xlfn.IFNA(VLOOKUP(Optimalisatie!X93,Database_Brandstoffen[#All],7,FALSE)*((Optimalisatie!J93/Optimalisatie!Z93)*Optimalisatie!Y93),0),(_xlfn.IFNA(VLOOKUP(Inschrijf_MKI_Totaal[[#This Row],[Product]]&amp;", "&amp;Inschrijf_MKI_Totaal[[#Headers],[A5]],Database_Productkaarten[#All],14,FALSE),0)*Optimalisatie!J93)),0)</f>
        <v>0</v>
      </c>
      <c r="J91" s="9"/>
      <c r="K91" s="9">
        <f>(IF(Optimalisatie!C93="Nieuwe Situatie",_xlfn.IFNA(SUM(Inschrijf_MKI_Totaal[[#This Row],[A1]:[B1]],Inschrijf_MKI_Totaal[[#This Row],[C1]:[D2]])*Optimalisatie!T93,0),0))</f>
        <v>0</v>
      </c>
      <c r="L91" s="9">
        <f>IF(Optimalisatie!C93="Bestaande situatie",IF(_xlfn.IFNA((VLOOKUP(Optimalisatie!AA93,Database_Asfalt_Verwijderset[#All],7,FALSE)*Optimalisatie!J93),0)+_xlfn.IFNA(VLOOKUP(Optimalisatie!AB93,Database_Brandstoffen[#All],7,FALSE)*((Optimalisatie!J93/Optimalisatie!AD93)*Optimalisatie!AC93),0)&gt;0,_xlfn.IFNA((VLOOKUP(Optimalisatie!AA93,Database_Asfalt_Verwijderset[#All],7,FALSE)*Optimalisatie!J93),0)+_xlfn.IFNA(VLOOKUP(Optimalisatie!AB93,Database_Brandstoffen[#All],7,FALSE)*((Optimalisatie!J93/Optimalisatie!AD93)*Optimalisatie!AC93),0),(_xlfn.IFNA(VLOOKUP(Inschrijf_MKI_Totaal[[#This Row],[Product]]&amp;", "&amp;Inschrijf_MKI_Totaal[[#Headers],[C1]],Database_Productkaarten[#All],14,FALSE),0)*Optimalisatie!J93)),0)</f>
        <v>0</v>
      </c>
      <c r="M91" s="9">
        <f>(IF(Optimalisatie!C93="Bestaande Situatie",_xlfn.IFNA(VLOOKUP(Optimalisatie!AF93,Database_Transport[#All],7,FALSE)*(Optimalisatie!R93*Optimalisatie!AE93),Baseline_Backlog!M91),0))</f>
        <v>0</v>
      </c>
      <c r="N91" s="9">
        <f>(IF(Optimalisatie!C93="Bestaande Situatie",_xlfn.IFNA(VLOOKUP(Optimalisatie!AG93,Database_Asfalt_Verwerkingsset[#All],7,FALSE)*(Optimalisatie!J93/VLOOKUP(Optimalisatie!AG93,Database_Asfalt_Verwerkingsset[#All],8,FALSE)),Baseline_Backlog!N91),0))</f>
        <v>0</v>
      </c>
      <c r="O91" s="9">
        <f>(IF(Optimalisatie!C93="Bestaande Situatie",_xlfn.IFNA(VLOOKUP(Inschrijf_MKI_Totaal[[#This Row],[Product]]&amp;", "&amp;Inschrijf_MKI_Totaal[[#Headers],[C4]],Database_Productkaarten[#All],14,FALSE),Baseline_Backlog!O91)*Optimalisatie!J93,0))</f>
        <v>0</v>
      </c>
      <c r="P91" s="9">
        <f>(IF(Optimalisatie!C93="Bestaande Situatie",_xlfn.IFNA(IF(Optimalisatie!E93="Categorie_1_LCA_Producten",VLOOKUP(Inschrijf_MKI_Totaal[[#This Row],[Product]],Categorie_1_Producten[#All],12,FALSE)*(Optimalisatie!J93),VLOOKUP(Inschrijf_MKI_Totaal[[#This Row],[Product]]&amp;", "&amp;Inschrijf_MKI_Totaal[[#Headers],[D1]],Database_Productkaarten[#All],14,FALSE)*Optimalisatie!J93),Baseline_Backlog!P91),0))</f>
        <v>0</v>
      </c>
      <c r="Q91" s="9">
        <f>(IF(Optimalisatie!C93="Bestaande Situatie",_xlfn.IFNA(IF(Optimalisatie!E93="Categorie_1_LCA_Producten",VLOOKUP(Inschrijf_MKI_Totaal[[#This Row],[Product]],Categorie_1_Producten[#All],13,FALSE)*(Optimalisatie!J93),VLOOKUP(Inschrijf_MKI_Totaal[[#This Row],[Product]]&amp;", "&amp;Inschrijf_MKI_Totaal[[#Headers],[D2]],Database_Productkaarten[#All],14,FALSE)*Optimalisatie!J93),Baseline_Backlog!Q91),0))</f>
        <v>0</v>
      </c>
      <c r="R91" s="9">
        <f>(IF(Optimalisatie!C93="Bestaande Situatie",_xlfn.IFNA(IF(Optimalisatie!E93="Categorie_1_LCA_Producten",VLOOKUP(Inschrijf_MKI_Totaal[[#This Row],[Product]],Categorie_1_Producten[#All],13,FALSE)*(Optimalisatie!J93),VLOOKUP(Inschrijf_MKI_Totaal[[#This Row],[Product]]&amp;", "&amp;Inschrijf_MKI_Totaal[[#Headers],[D]],Database_Productkaarten[#All],14,FALSE)*Optimalisatie!J93),Baseline_Backlog!S91),0))</f>
        <v>0</v>
      </c>
      <c r="S91" s="301">
        <f>SUM(Inschrijf_MKI_Totaal[[#This Row],[A1-A3]:[C4]])+Inschrijf_MKI_Totaal[[#This Row],[D]]</f>
        <v>0</v>
      </c>
      <c r="AA91" s="9">
        <f>_xlfn.IFNA((VLOOKUP(Optimalisatie!AA93,Database_Asfalt_Verwijderset[#All],7,FALSE)*Optimalisatie!J93),0)</f>
        <v>0</v>
      </c>
      <c r="AB91" s="9" t="e">
        <f>(VLOOKUP(Optimalisatie!AA93,Database_Asfalt_Verwijderset[#All],7,FALSE)*Optimalisatie!J93)</f>
        <v>#N/A</v>
      </c>
      <c r="AC91" s="332">
        <f>(_xlfn.IFNA(VLOOKUP(Inschrijf_MKI_Totaal[[#This Row],[Product]]&amp;", "&amp;Inschrijf_MKI_Totaal[[#Headers],[C1]],Database_Productkaarten[#All],14,FALSE),0)*Optimalisatie!J93)</f>
        <v>0</v>
      </c>
    </row>
    <row r="92" spans="2:29" hidden="1">
      <c r="B92" s="272">
        <f>Optimalisatie!B94</f>
        <v>0</v>
      </c>
      <c r="C92" s="9">
        <f>Optimalisatie!F94</f>
        <v>0</v>
      </c>
      <c r="D92" s="9">
        <f>(IF(Optimalisatie!C94="Nieuwe Situatie",_xlfn.IFNA(IF(Optimalisatie!E94="Categorie_1_LCA_Producten",VLOOKUP(Inschrijf_MKI_Totaal[[#This Row],[Product]],Categorie_1_Producten[#All],8,FALSE)*(Optimalisatie!J94),VLOOKUP(Inschrijf_MKI_Totaal[[#This Row],[Product]]&amp;", "&amp;Inschrijf_MKI_Totaal[[#Headers],[A1]],Database_Productkaarten[#All],14,FALSE)*Optimalisatie!J94),Baseline_Backlog!D92),0))</f>
        <v>0</v>
      </c>
      <c r="E92" s="9">
        <f>(IF(Optimalisatie!C94="Nieuwe Situatie",_xlfn.IFNA(IF(Optimalisatie!E94="Categorie_1_LCA_Producten",VLOOKUP(Inschrijf_MKI_Totaal[[#This Row],[Product]],Categorie_1_Producten[#All],9,FALSE)*(Optimalisatie!J94),VLOOKUP(Inschrijf_MKI_Totaal[[#This Row],[Product]]&amp;", "&amp;Inschrijf_MKI_Totaal[[#Headers],[A2]],Database_Productkaarten[#All],14,FALSE)*Optimalisatie!J94),Baseline_Backlog!E92),0))</f>
        <v>0</v>
      </c>
      <c r="F92" s="9">
        <f>(IF(Optimalisatie!C94="Nieuwe Situatie",_xlfn.IFNA(IF(Optimalisatie!E94="Categorie_1_LCA_Producten",VLOOKUP(Inschrijf_MKI_Totaal[[#This Row],[Product]],Categorie_1_Producten[#All],10,FALSE)*(Optimalisatie!J94),VLOOKUP(Inschrijf_MKI_Totaal[[#This Row],[Product]]&amp;", "&amp;Inschrijf_MKI_Totaal[[#Headers],[A3]],Database_Productkaarten[#All],14,FALSE)*Optimalisatie!J94),Baseline_Backlog!F92),0))</f>
        <v>0</v>
      </c>
      <c r="G92" s="9">
        <f>(IF(Optimalisatie!C94="Nieuwe Situatie",_xlfn.IFNA(IF(Optimalisatie!E94="Categorie_1_LCA_Producten",VLOOKUP(Inschrijf_MKI_Totaal[[#This Row],[Product]],Categorie_1_Producten[#All],11,FALSE)*(Optimalisatie!J94),VLOOKUP(Inschrijf_MKI_Totaal[[#This Row],[Product]]&amp;", "&amp;Inschrijf_MKI_Totaal[[#Headers],[A1-A3]],Database_Productkaarten[#All],14,FALSE)*Optimalisatie!J94),Baseline_Backlog!G92),0))</f>
        <v>0</v>
      </c>
      <c r="H92" s="9">
        <f>(IF(Optimalisatie!C94="Nieuwe Situatie",_xlfn.IFNA(VLOOKUP(Optimalisatie!V94,Database_Transport[#All],7,FALSE)*((IF(Optimalisatie!R94=0,Baseline!Q94,Optimalisatie!R94))*Optimalisatie!U94),Baseline_Backlog!H92),0))</f>
        <v>0</v>
      </c>
      <c r="I92" s="9">
        <f>IF(Optimalisatie!C94="Nieuwe situatie",IF(_xlfn.IFNA((VLOOKUP(Optimalisatie!W94,Database_Asfalt_Aanlegset[#All],7,FALSE)*Optimalisatie!J94),0)+_xlfn.IFNA(VLOOKUP(Optimalisatie!X94,Database_Brandstoffen[#All],7,FALSE)*((Optimalisatie!J94/Optimalisatie!Z94)*Optimalisatie!Y94),0)&gt;0,_xlfn.IFNA((VLOOKUP(Optimalisatie!W94,Database_Asfalt_Aanlegset[#All],7,FALSE)*Optimalisatie!J94),0)+_xlfn.IFNA(VLOOKUP(Optimalisatie!X94,Database_Brandstoffen[#All],7,FALSE)*((Optimalisatie!J94/Optimalisatie!Z94)*Optimalisatie!Y94),0),(_xlfn.IFNA(VLOOKUP(Inschrijf_MKI_Totaal[[#This Row],[Product]]&amp;", "&amp;Inschrijf_MKI_Totaal[[#Headers],[A5]],Database_Productkaarten[#All],14,FALSE),0)*Optimalisatie!J94)),0)</f>
        <v>0</v>
      </c>
      <c r="J92" s="9"/>
      <c r="K92" s="9">
        <f>(IF(Optimalisatie!C94="Nieuwe Situatie",_xlfn.IFNA(SUM(Inschrijf_MKI_Totaal[[#This Row],[A1]:[B1]],Inschrijf_MKI_Totaal[[#This Row],[C1]:[D2]])*Optimalisatie!T94,0),0))</f>
        <v>0</v>
      </c>
      <c r="L92" s="9">
        <f>IF(Optimalisatie!C94="Bestaande situatie",IF(_xlfn.IFNA((VLOOKUP(Optimalisatie!AA94,Database_Asfalt_Verwijderset[#All],7,FALSE)*Optimalisatie!J94),0)+_xlfn.IFNA(VLOOKUP(Optimalisatie!AB94,Database_Brandstoffen[#All],7,FALSE)*((Optimalisatie!J94/Optimalisatie!AD94)*Optimalisatie!AC94),0)&gt;0,_xlfn.IFNA((VLOOKUP(Optimalisatie!AA94,Database_Asfalt_Verwijderset[#All],7,FALSE)*Optimalisatie!J94),0)+_xlfn.IFNA(VLOOKUP(Optimalisatie!AB94,Database_Brandstoffen[#All],7,FALSE)*((Optimalisatie!J94/Optimalisatie!AD94)*Optimalisatie!AC94),0),(_xlfn.IFNA(VLOOKUP(Inschrijf_MKI_Totaal[[#This Row],[Product]]&amp;", "&amp;Inschrijf_MKI_Totaal[[#Headers],[C1]],Database_Productkaarten[#All],14,FALSE),0)*Optimalisatie!J94)),0)</f>
        <v>0</v>
      </c>
      <c r="M92" s="9">
        <f>(IF(Optimalisatie!C94="Bestaande Situatie",_xlfn.IFNA(VLOOKUP(Optimalisatie!AF94,Database_Transport[#All],7,FALSE)*(Optimalisatie!R94*Optimalisatie!AE94),Baseline_Backlog!M92),0))</f>
        <v>0</v>
      </c>
      <c r="N92" s="9">
        <f>(IF(Optimalisatie!C94="Bestaande Situatie",_xlfn.IFNA(VLOOKUP(Optimalisatie!AG94,Database_Asfalt_Verwerkingsset[#All],7,FALSE)*(Optimalisatie!J94/VLOOKUP(Optimalisatie!AG94,Database_Asfalt_Verwerkingsset[#All],8,FALSE)),Baseline_Backlog!N92),0))</f>
        <v>0</v>
      </c>
      <c r="O92" s="9">
        <f>(IF(Optimalisatie!C94="Bestaande Situatie",_xlfn.IFNA(VLOOKUP(Inschrijf_MKI_Totaal[[#This Row],[Product]]&amp;", "&amp;Inschrijf_MKI_Totaal[[#Headers],[C4]],Database_Productkaarten[#All],14,FALSE),Baseline_Backlog!O92)*Optimalisatie!J94,0))</f>
        <v>0</v>
      </c>
      <c r="P92" s="9">
        <f>(IF(Optimalisatie!C94="Bestaande Situatie",_xlfn.IFNA(IF(Optimalisatie!E94="Categorie_1_LCA_Producten",VLOOKUP(Inschrijf_MKI_Totaal[[#This Row],[Product]],Categorie_1_Producten[#All],12,FALSE)*(Optimalisatie!J94),VLOOKUP(Inschrijf_MKI_Totaal[[#This Row],[Product]]&amp;", "&amp;Inschrijf_MKI_Totaal[[#Headers],[D1]],Database_Productkaarten[#All],14,FALSE)*Optimalisatie!J94),Baseline_Backlog!P92),0))</f>
        <v>0</v>
      </c>
      <c r="Q92" s="9">
        <f>(IF(Optimalisatie!C94="Bestaande Situatie",_xlfn.IFNA(IF(Optimalisatie!E94="Categorie_1_LCA_Producten",VLOOKUP(Inschrijf_MKI_Totaal[[#This Row],[Product]],Categorie_1_Producten[#All],13,FALSE)*(Optimalisatie!J94),VLOOKUP(Inschrijf_MKI_Totaal[[#This Row],[Product]]&amp;", "&amp;Inschrijf_MKI_Totaal[[#Headers],[D2]],Database_Productkaarten[#All],14,FALSE)*Optimalisatie!J94),Baseline_Backlog!Q92),0))</f>
        <v>0</v>
      </c>
      <c r="R92" s="9">
        <f>(IF(Optimalisatie!C94="Bestaande Situatie",_xlfn.IFNA(IF(Optimalisatie!E94="Categorie_1_LCA_Producten",VLOOKUP(Inschrijf_MKI_Totaal[[#This Row],[Product]],Categorie_1_Producten[#All],13,FALSE)*(Optimalisatie!J94),VLOOKUP(Inschrijf_MKI_Totaal[[#This Row],[Product]]&amp;", "&amp;Inschrijf_MKI_Totaal[[#Headers],[D]],Database_Productkaarten[#All],14,FALSE)*Optimalisatie!J94),Baseline_Backlog!S92),0))</f>
        <v>0</v>
      </c>
      <c r="S92" s="301">
        <f>SUM(Inschrijf_MKI_Totaal[[#This Row],[A1-A3]:[C4]])+Inschrijf_MKI_Totaal[[#This Row],[D]]</f>
        <v>0</v>
      </c>
      <c r="AA92" s="9">
        <f>_xlfn.IFNA((VLOOKUP(Optimalisatie!AA94,Database_Asfalt_Verwijderset[#All],7,FALSE)*Optimalisatie!J94),0)</f>
        <v>0</v>
      </c>
      <c r="AB92" s="9" t="e">
        <f>(VLOOKUP(Optimalisatie!AA94,Database_Asfalt_Verwijderset[#All],7,FALSE)*Optimalisatie!J94)</f>
        <v>#N/A</v>
      </c>
      <c r="AC92" s="332">
        <f>(_xlfn.IFNA(VLOOKUP(Inschrijf_MKI_Totaal[[#This Row],[Product]]&amp;", "&amp;Inschrijf_MKI_Totaal[[#Headers],[C1]],Database_Productkaarten[#All],14,FALSE),0)*Optimalisatie!J94)</f>
        <v>0</v>
      </c>
    </row>
    <row r="93" spans="2:29" hidden="1">
      <c r="B93" s="272">
        <f>Optimalisatie!B95</f>
        <v>0</v>
      </c>
      <c r="C93" s="9">
        <f>Optimalisatie!F95</f>
        <v>0</v>
      </c>
      <c r="D93" s="9">
        <f>(IF(Optimalisatie!C95="Nieuwe Situatie",_xlfn.IFNA(IF(Optimalisatie!E95="Categorie_1_LCA_Producten",VLOOKUP(Inschrijf_MKI_Totaal[[#This Row],[Product]],Categorie_1_Producten[#All],8,FALSE)*(Optimalisatie!J95),VLOOKUP(Inschrijf_MKI_Totaal[[#This Row],[Product]]&amp;", "&amp;Inschrijf_MKI_Totaal[[#Headers],[A1]],Database_Productkaarten[#All],14,FALSE)*Optimalisatie!J95),Baseline_Backlog!D93),0))</f>
        <v>0</v>
      </c>
      <c r="E93" s="9">
        <f>(IF(Optimalisatie!C95="Nieuwe Situatie",_xlfn.IFNA(IF(Optimalisatie!E95="Categorie_1_LCA_Producten",VLOOKUP(Inschrijf_MKI_Totaal[[#This Row],[Product]],Categorie_1_Producten[#All],9,FALSE)*(Optimalisatie!J95),VLOOKUP(Inschrijf_MKI_Totaal[[#This Row],[Product]]&amp;", "&amp;Inschrijf_MKI_Totaal[[#Headers],[A2]],Database_Productkaarten[#All],14,FALSE)*Optimalisatie!J95),Baseline_Backlog!E93),0))</f>
        <v>0</v>
      </c>
      <c r="F93" s="9">
        <f>(IF(Optimalisatie!C95="Nieuwe Situatie",_xlfn.IFNA(IF(Optimalisatie!E95="Categorie_1_LCA_Producten",VLOOKUP(Inschrijf_MKI_Totaal[[#This Row],[Product]],Categorie_1_Producten[#All],10,FALSE)*(Optimalisatie!J95),VLOOKUP(Inschrijf_MKI_Totaal[[#This Row],[Product]]&amp;", "&amp;Inschrijf_MKI_Totaal[[#Headers],[A3]],Database_Productkaarten[#All],14,FALSE)*Optimalisatie!J95),Baseline_Backlog!F93),0))</f>
        <v>0</v>
      </c>
      <c r="G93" s="9">
        <f>(IF(Optimalisatie!C95="Nieuwe Situatie",_xlfn.IFNA(IF(Optimalisatie!E95="Categorie_1_LCA_Producten",VLOOKUP(Inschrijf_MKI_Totaal[[#This Row],[Product]],Categorie_1_Producten[#All],11,FALSE)*(Optimalisatie!J95),VLOOKUP(Inschrijf_MKI_Totaal[[#This Row],[Product]]&amp;", "&amp;Inschrijf_MKI_Totaal[[#Headers],[A1-A3]],Database_Productkaarten[#All],14,FALSE)*Optimalisatie!J95),Baseline_Backlog!G93),0))</f>
        <v>0</v>
      </c>
      <c r="H93" s="9">
        <f>(IF(Optimalisatie!C95="Nieuwe Situatie",_xlfn.IFNA(VLOOKUP(Optimalisatie!V95,Database_Transport[#All],7,FALSE)*((IF(Optimalisatie!R95=0,Baseline!Q95,Optimalisatie!R95))*Optimalisatie!U95),Baseline_Backlog!H93),0))</f>
        <v>0</v>
      </c>
      <c r="I93" s="9">
        <f>IF(Optimalisatie!C95="Nieuwe situatie",IF(_xlfn.IFNA((VLOOKUP(Optimalisatie!W95,Database_Asfalt_Aanlegset[#All],7,FALSE)*Optimalisatie!J95),0)+_xlfn.IFNA(VLOOKUP(Optimalisatie!X95,Database_Brandstoffen[#All],7,FALSE)*((Optimalisatie!J95/Optimalisatie!Z95)*Optimalisatie!Y95),0)&gt;0,_xlfn.IFNA((VLOOKUP(Optimalisatie!W95,Database_Asfalt_Aanlegset[#All],7,FALSE)*Optimalisatie!J95),0)+_xlfn.IFNA(VLOOKUP(Optimalisatie!X95,Database_Brandstoffen[#All],7,FALSE)*((Optimalisatie!J95/Optimalisatie!Z95)*Optimalisatie!Y95),0),(_xlfn.IFNA(VLOOKUP(Inschrijf_MKI_Totaal[[#This Row],[Product]]&amp;", "&amp;Inschrijf_MKI_Totaal[[#Headers],[A5]],Database_Productkaarten[#All],14,FALSE),0)*Optimalisatie!J95)),0)</f>
        <v>0</v>
      </c>
      <c r="J93" s="9"/>
      <c r="K93" s="9">
        <f>(IF(Optimalisatie!C95="Nieuwe Situatie",_xlfn.IFNA(SUM(Inschrijf_MKI_Totaal[[#This Row],[A1]:[B1]],Inschrijf_MKI_Totaal[[#This Row],[C1]:[D2]])*Optimalisatie!T95,0),0))</f>
        <v>0</v>
      </c>
      <c r="L93" s="9">
        <f>IF(Optimalisatie!C95="Bestaande situatie",IF(_xlfn.IFNA((VLOOKUP(Optimalisatie!AA95,Database_Asfalt_Verwijderset[#All],7,FALSE)*Optimalisatie!J95),0)+_xlfn.IFNA(VLOOKUP(Optimalisatie!AB95,Database_Brandstoffen[#All],7,FALSE)*((Optimalisatie!J95/Optimalisatie!AD95)*Optimalisatie!AC95),0)&gt;0,_xlfn.IFNA((VLOOKUP(Optimalisatie!AA95,Database_Asfalt_Verwijderset[#All],7,FALSE)*Optimalisatie!J95),0)+_xlfn.IFNA(VLOOKUP(Optimalisatie!AB95,Database_Brandstoffen[#All],7,FALSE)*((Optimalisatie!J95/Optimalisatie!AD95)*Optimalisatie!AC95),0),(_xlfn.IFNA(VLOOKUP(Inschrijf_MKI_Totaal[[#This Row],[Product]]&amp;", "&amp;Inschrijf_MKI_Totaal[[#Headers],[C1]],Database_Productkaarten[#All],14,FALSE),0)*Optimalisatie!J95)),0)</f>
        <v>0</v>
      </c>
      <c r="M93" s="9">
        <f>(IF(Optimalisatie!C95="Bestaande Situatie",_xlfn.IFNA(VLOOKUP(Optimalisatie!AF95,Database_Transport[#All],7,FALSE)*(Optimalisatie!R95*Optimalisatie!AE95),Baseline_Backlog!M93),0))</f>
        <v>0</v>
      </c>
      <c r="N93" s="9">
        <f>(IF(Optimalisatie!C95="Bestaande Situatie",_xlfn.IFNA(VLOOKUP(Optimalisatie!AG95,Database_Asfalt_Verwerkingsset[#All],7,FALSE)*(Optimalisatie!J95/VLOOKUP(Optimalisatie!AG95,Database_Asfalt_Verwerkingsset[#All],8,FALSE)),Baseline_Backlog!N93),0))</f>
        <v>0</v>
      </c>
      <c r="O93" s="9">
        <f>(IF(Optimalisatie!C95="Bestaande Situatie",_xlfn.IFNA(VLOOKUP(Inschrijf_MKI_Totaal[[#This Row],[Product]]&amp;", "&amp;Inschrijf_MKI_Totaal[[#Headers],[C4]],Database_Productkaarten[#All],14,FALSE),Baseline_Backlog!O93)*Optimalisatie!J95,0))</f>
        <v>0</v>
      </c>
      <c r="P93" s="9">
        <f>(IF(Optimalisatie!C95="Bestaande Situatie",_xlfn.IFNA(IF(Optimalisatie!E95="Categorie_1_LCA_Producten",VLOOKUP(Inschrijf_MKI_Totaal[[#This Row],[Product]],Categorie_1_Producten[#All],12,FALSE)*(Optimalisatie!J95),VLOOKUP(Inschrijf_MKI_Totaal[[#This Row],[Product]]&amp;", "&amp;Inschrijf_MKI_Totaal[[#Headers],[D1]],Database_Productkaarten[#All],14,FALSE)*Optimalisatie!J95),Baseline_Backlog!P93),0))</f>
        <v>0</v>
      </c>
      <c r="Q93" s="9">
        <f>(IF(Optimalisatie!C95="Bestaande Situatie",_xlfn.IFNA(IF(Optimalisatie!E95="Categorie_1_LCA_Producten",VLOOKUP(Inschrijf_MKI_Totaal[[#This Row],[Product]],Categorie_1_Producten[#All],13,FALSE)*(Optimalisatie!J95),VLOOKUP(Inschrijf_MKI_Totaal[[#This Row],[Product]]&amp;", "&amp;Inschrijf_MKI_Totaal[[#Headers],[D2]],Database_Productkaarten[#All],14,FALSE)*Optimalisatie!J95),Baseline_Backlog!Q93),0))</f>
        <v>0</v>
      </c>
      <c r="R93" s="9">
        <f>(IF(Optimalisatie!C95="Bestaande Situatie",_xlfn.IFNA(IF(Optimalisatie!E95="Categorie_1_LCA_Producten",VLOOKUP(Inschrijf_MKI_Totaal[[#This Row],[Product]],Categorie_1_Producten[#All],13,FALSE)*(Optimalisatie!J95),VLOOKUP(Inschrijf_MKI_Totaal[[#This Row],[Product]]&amp;", "&amp;Inschrijf_MKI_Totaal[[#Headers],[D]],Database_Productkaarten[#All],14,FALSE)*Optimalisatie!J95),Baseline_Backlog!S93),0))</f>
        <v>0</v>
      </c>
      <c r="S93" s="301">
        <f>SUM(Inschrijf_MKI_Totaal[[#This Row],[A1-A3]:[C4]])+Inschrijf_MKI_Totaal[[#This Row],[D]]</f>
        <v>0</v>
      </c>
      <c r="AA93" s="9">
        <f>_xlfn.IFNA((VLOOKUP(Optimalisatie!AA95,Database_Asfalt_Verwijderset[#All],7,FALSE)*Optimalisatie!J95),0)</f>
        <v>0</v>
      </c>
      <c r="AB93" s="9" t="e">
        <f>(VLOOKUP(Optimalisatie!AA95,Database_Asfalt_Verwijderset[#All],7,FALSE)*Optimalisatie!J95)</f>
        <v>#N/A</v>
      </c>
      <c r="AC93" s="332">
        <f>(_xlfn.IFNA(VLOOKUP(Inschrijf_MKI_Totaal[[#This Row],[Product]]&amp;", "&amp;Inschrijf_MKI_Totaal[[#Headers],[C1]],Database_Productkaarten[#All],14,FALSE),0)*Optimalisatie!J95)</f>
        <v>0</v>
      </c>
    </row>
    <row r="94" spans="2:29" hidden="1">
      <c r="B94" s="272">
        <f>Optimalisatie!B96</f>
        <v>0</v>
      </c>
      <c r="C94" s="9">
        <f>Optimalisatie!F96</f>
        <v>0</v>
      </c>
      <c r="D94" s="9">
        <f>(IF(Optimalisatie!C96="Nieuwe Situatie",_xlfn.IFNA(IF(Optimalisatie!E96="Categorie_1_LCA_Producten",VLOOKUP(Inschrijf_MKI_Totaal[[#This Row],[Product]],Categorie_1_Producten[#All],8,FALSE)*(Optimalisatie!J96),VLOOKUP(Inschrijf_MKI_Totaal[[#This Row],[Product]]&amp;", "&amp;Inschrijf_MKI_Totaal[[#Headers],[A1]],Database_Productkaarten[#All],14,FALSE)*Optimalisatie!J96),Baseline_Backlog!D94),0))</f>
        <v>0</v>
      </c>
      <c r="E94" s="9">
        <f>(IF(Optimalisatie!C96="Nieuwe Situatie",_xlfn.IFNA(IF(Optimalisatie!E96="Categorie_1_LCA_Producten",VLOOKUP(Inschrijf_MKI_Totaal[[#This Row],[Product]],Categorie_1_Producten[#All],9,FALSE)*(Optimalisatie!J96),VLOOKUP(Inschrijf_MKI_Totaal[[#This Row],[Product]]&amp;", "&amp;Inschrijf_MKI_Totaal[[#Headers],[A2]],Database_Productkaarten[#All],14,FALSE)*Optimalisatie!J96),Baseline_Backlog!E94),0))</f>
        <v>0</v>
      </c>
      <c r="F94" s="9">
        <f>(IF(Optimalisatie!C96="Nieuwe Situatie",_xlfn.IFNA(IF(Optimalisatie!E96="Categorie_1_LCA_Producten",VLOOKUP(Inschrijf_MKI_Totaal[[#This Row],[Product]],Categorie_1_Producten[#All],10,FALSE)*(Optimalisatie!J96),VLOOKUP(Inschrijf_MKI_Totaal[[#This Row],[Product]]&amp;", "&amp;Inschrijf_MKI_Totaal[[#Headers],[A3]],Database_Productkaarten[#All],14,FALSE)*Optimalisatie!J96),Baseline_Backlog!F94),0))</f>
        <v>0</v>
      </c>
      <c r="G94" s="9">
        <f>(IF(Optimalisatie!C96="Nieuwe Situatie",_xlfn.IFNA(IF(Optimalisatie!E96="Categorie_1_LCA_Producten",VLOOKUP(Inschrijf_MKI_Totaal[[#This Row],[Product]],Categorie_1_Producten[#All],11,FALSE)*(Optimalisatie!J96),VLOOKUP(Inschrijf_MKI_Totaal[[#This Row],[Product]]&amp;", "&amp;Inschrijf_MKI_Totaal[[#Headers],[A1-A3]],Database_Productkaarten[#All],14,FALSE)*Optimalisatie!J96),Baseline_Backlog!G94),0))</f>
        <v>0</v>
      </c>
      <c r="H94" s="9">
        <f>(IF(Optimalisatie!C96="Nieuwe Situatie",_xlfn.IFNA(VLOOKUP(Optimalisatie!V96,Database_Transport[#All],7,FALSE)*((IF(Optimalisatie!R96=0,Baseline!Q96,Optimalisatie!R96))*Optimalisatie!U96),Baseline_Backlog!H94),0))</f>
        <v>0</v>
      </c>
      <c r="I94" s="9">
        <f>IF(Optimalisatie!C96="Nieuwe situatie",IF(_xlfn.IFNA((VLOOKUP(Optimalisatie!W96,Database_Asfalt_Aanlegset[#All],7,FALSE)*Optimalisatie!J96),0)+_xlfn.IFNA(VLOOKUP(Optimalisatie!X96,Database_Brandstoffen[#All],7,FALSE)*((Optimalisatie!J96/Optimalisatie!Z96)*Optimalisatie!Y96),0)&gt;0,_xlfn.IFNA((VLOOKUP(Optimalisatie!W96,Database_Asfalt_Aanlegset[#All],7,FALSE)*Optimalisatie!J96),0)+_xlfn.IFNA(VLOOKUP(Optimalisatie!X96,Database_Brandstoffen[#All],7,FALSE)*((Optimalisatie!J96/Optimalisatie!Z96)*Optimalisatie!Y96),0),(_xlfn.IFNA(VLOOKUP(Inschrijf_MKI_Totaal[[#This Row],[Product]]&amp;", "&amp;Inschrijf_MKI_Totaal[[#Headers],[A5]],Database_Productkaarten[#All],14,FALSE),0)*Optimalisatie!J96)),0)</f>
        <v>0</v>
      </c>
      <c r="J94" s="9"/>
      <c r="K94" s="9">
        <f>(IF(Optimalisatie!C96="Nieuwe Situatie",_xlfn.IFNA(SUM(Inschrijf_MKI_Totaal[[#This Row],[A1]:[B1]],Inschrijf_MKI_Totaal[[#This Row],[C1]:[D2]])*Optimalisatie!T96,0),0))</f>
        <v>0</v>
      </c>
      <c r="L94" s="9">
        <f>IF(Optimalisatie!C96="Bestaande situatie",IF(_xlfn.IFNA((VLOOKUP(Optimalisatie!AA96,Database_Asfalt_Verwijderset[#All],7,FALSE)*Optimalisatie!J96),0)+_xlfn.IFNA(VLOOKUP(Optimalisatie!AB96,Database_Brandstoffen[#All],7,FALSE)*((Optimalisatie!J96/Optimalisatie!AD96)*Optimalisatie!AC96),0)&gt;0,_xlfn.IFNA((VLOOKUP(Optimalisatie!AA96,Database_Asfalt_Verwijderset[#All],7,FALSE)*Optimalisatie!J96),0)+_xlfn.IFNA(VLOOKUP(Optimalisatie!AB96,Database_Brandstoffen[#All],7,FALSE)*((Optimalisatie!J96/Optimalisatie!AD96)*Optimalisatie!AC96),0),(_xlfn.IFNA(VLOOKUP(Inschrijf_MKI_Totaal[[#This Row],[Product]]&amp;", "&amp;Inschrijf_MKI_Totaal[[#Headers],[C1]],Database_Productkaarten[#All],14,FALSE),0)*Optimalisatie!J96)),0)</f>
        <v>0</v>
      </c>
      <c r="M94" s="9">
        <f>(IF(Optimalisatie!C96="Bestaande Situatie",_xlfn.IFNA(VLOOKUP(Optimalisatie!AF96,Database_Transport[#All],7,FALSE)*(Optimalisatie!R96*Optimalisatie!AE96),Baseline_Backlog!M94),0))</f>
        <v>0</v>
      </c>
      <c r="N94" s="9">
        <f>(IF(Optimalisatie!C96="Bestaande Situatie",_xlfn.IFNA(VLOOKUP(Optimalisatie!AG96,Database_Asfalt_Verwerkingsset[#All],7,FALSE)*(Optimalisatie!J96/VLOOKUP(Optimalisatie!AG96,Database_Asfalt_Verwerkingsset[#All],8,FALSE)),Baseline_Backlog!N94),0))</f>
        <v>0</v>
      </c>
      <c r="O94" s="9">
        <f>(IF(Optimalisatie!C96="Bestaande Situatie",_xlfn.IFNA(VLOOKUP(Inschrijf_MKI_Totaal[[#This Row],[Product]]&amp;", "&amp;Inschrijf_MKI_Totaal[[#Headers],[C4]],Database_Productkaarten[#All],14,FALSE),Baseline_Backlog!O94)*Optimalisatie!J96,0))</f>
        <v>0</v>
      </c>
      <c r="P94" s="9">
        <f>(IF(Optimalisatie!C96="Bestaande Situatie",_xlfn.IFNA(IF(Optimalisatie!E96="Categorie_1_LCA_Producten",VLOOKUP(Inschrijf_MKI_Totaal[[#This Row],[Product]],Categorie_1_Producten[#All],12,FALSE)*(Optimalisatie!J96),VLOOKUP(Inschrijf_MKI_Totaal[[#This Row],[Product]]&amp;", "&amp;Inschrijf_MKI_Totaal[[#Headers],[D1]],Database_Productkaarten[#All],14,FALSE)*Optimalisatie!J96),Baseline_Backlog!P94),0))</f>
        <v>0</v>
      </c>
      <c r="Q94" s="9">
        <f>(IF(Optimalisatie!C96="Bestaande Situatie",_xlfn.IFNA(IF(Optimalisatie!E96="Categorie_1_LCA_Producten",VLOOKUP(Inschrijf_MKI_Totaal[[#This Row],[Product]],Categorie_1_Producten[#All],13,FALSE)*(Optimalisatie!J96),VLOOKUP(Inschrijf_MKI_Totaal[[#This Row],[Product]]&amp;", "&amp;Inschrijf_MKI_Totaal[[#Headers],[D2]],Database_Productkaarten[#All],14,FALSE)*Optimalisatie!J96),Baseline_Backlog!Q94),0))</f>
        <v>0</v>
      </c>
      <c r="R94" s="9">
        <f>(IF(Optimalisatie!C96="Bestaande Situatie",_xlfn.IFNA(IF(Optimalisatie!E96="Categorie_1_LCA_Producten",VLOOKUP(Inschrijf_MKI_Totaal[[#This Row],[Product]],Categorie_1_Producten[#All],13,FALSE)*(Optimalisatie!J96),VLOOKUP(Inschrijf_MKI_Totaal[[#This Row],[Product]]&amp;", "&amp;Inschrijf_MKI_Totaal[[#Headers],[D]],Database_Productkaarten[#All],14,FALSE)*Optimalisatie!J96),Baseline_Backlog!S94),0))</f>
        <v>0</v>
      </c>
      <c r="S94" s="301">
        <f>SUM(Inschrijf_MKI_Totaal[[#This Row],[A1-A3]:[C4]])+Inschrijf_MKI_Totaal[[#This Row],[D]]</f>
        <v>0</v>
      </c>
      <c r="AA94" s="9">
        <f>_xlfn.IFNA((VLOOKUP(Optimalisatie!AA96,Database_Asfalt_Verwijderset[#All],7,FALSE)*Optimalisatie!J96),0)</f>
        <v>0</v>
      </c>
      <c r="AB94" s="9" t="e">
        <f>(VLOOKUP(Optimalisatie!AA96,Database_Asfalt_Verwijderset[#All],7,FALSE)*Optimalisatie!J96)</f>
        <v>#N/A</v>
      </c>
      <c r="AC94" s="332">
        <f>(_xlfn.IFNA(VLOOKUP(Inschrijf_MKI_Totaal[[#This Row],[Product]]&amp;", "&amp;Inschrijf_MKI_Totaal[[#Headers],[C1]],Database_Productkaarten[#All],14,FALSE),0)*Optimalisatie!J96)</f>
        <v>0</v>
      </c>
    </row>
    <row r="95" spans="2:29" hidden="1">
      <c r="B95" s="272">
        <f>Optimalisatie!B97</f>
        <v>0</v>
      </c>
      <c r="C95" s="9">
        <f>Optimalisatie!F97</f>
        <v>0</v>
      </c>
      <c r="D95" s="9">
        <f>(IF(Optimalisatie!C97="Nieuwe Situatie",_xlfn.IFNA(IF(Optimalisatie!E97="Categorie_1_LCA_Producten",VLOOKUP(Inschrijf_MKI_Totaal[[#This Row],[Product]],Categorie_1_Producten[#All],8,FALSE)*(Optimalisatie!J97),VLOOKUP(Inschrijf_MKI_Totaal[[#This Row],[Product]]&amp;", "&amp;Inschrijf_MKI_Totaal[[#Headers],[A1]],Database_Productkaarten[#All],14,FALSE)*Optimalisatie!J97),Baseline_Backlog!D95),0))</f>
        <v>0</v>
      </c>
      <c r="E95" s="9">
        <f>(IF(Optimalisatie!C97="Nieuwe Situatie",_xlfn.IFNA(IF(Optimalisatie!E97="Categorie_1_LCA_Producten",VLOOKUP(Inschrijf_MKI_Totaal[[#This Row],[Product]],Categorie_1_Producten[#All],9,FALSE)*(Optimalisatie!J97),VLOOKUP(Inschrijf_MKI_Totaal[[#This Row],[Product]]&amp;", "&amp;Inschrijf_MKI_Totaal[[#Headers],[A2]],Database_Productkaarten[#All],14,FALSE)*Optimalisatie!J97),Baseline_Backlog!E95),0))</f>
        <v>0</v>
      </c>
      <c r="F95" s="9">
        <f>(IF(Optimalisatie!C97="Nieuwe Situatie",_xlfn.IFNA(IF(Optimalisatie!E97="Categorie_1_LCA_Producten",VLOOKUP(Inschrijf_MKI_Totaal[[#This Row],[Product]],Categorie_1_Producten[#All],10,FALSE)*(Optimalisatie!J97),VLOOKUP(Inschrijf_MKI_Totaal[[#This Row],[Product]]&amp;", "&amp;Inschrijf_MKI_Totaal[[#Headers],[A3]],Database_Productkaarten[#All],14,FALSE)*Optimalisatie!J97),Baseline_Backlog!F95),0))</f>
        <v>0</v>
      </c>
      <c r="G95" s="9">
        <f>(IF(Optimalisatie!C97="Nieuwe Situatie",_xlfn.IFNA(IF(Optimalisatie!E97="Categorie_1_LCA_Producten",VLOOKUP(Inschrijf_MKI_Totaal[[#This Row],[Product]],Categorie_1_Producten[#All],11,FALSE)*(Optimalisatie!J97),VLOOKUP(Inschrijf_MKI_Totaal[[#This Row],[Product]]&amp;", "&amp;Inschrijf_MKI_Totaal[[#Headers],[A1-A3]],Database_Productkaarten[#All],14,FALSE)*Optimalisatie!J97),Baseline_Backlog!G95),0))</f>
        <v>0</v>
      </c>
      <c r="H95" s="9">
        <f>(IF(Optimalisatie!C97="Nieuwe Situatie",_xlfn.IFNA(VLOOKUP(Optimalisatie!V97,Database_Transport[#All],7,FALSE)*((IF(Optimalisatie!R97=0,Baseline!Q97,Optimalisatie!R97))*Optimalisatie!U97),Baseline_Backlog!H95),0))</f>
        <v>0</v>
      </c>
      <c r="I95" s="9">
        <f>IF(Optimalisatie!C97="Nieuwe situatie",IF(_xlfn.IFNA((VLOOKUP(Optimalisatie!W97,Database_Asfalt_Aanlegset[#All],7,FALSE)*Optimalisatie!J97),0)+_xlfn.IFNA(VLOOKUP(Optimalisatie!X97,Database_Brandstoffen[#All],7,FALSE)*((Optimalisatie!J97/Optimalisatie!Z97)*Optimalisatie!Y97),0)&gt;0,_xlfn.IFNA((VLOOKUP(Optimalisatie!W97,Database_Asfalt_Aanlegset[#All],7,FALSE)*Optimalisatie!J97),0)+_xlfn.IFNA(VLOOKUP(Optimalisatie!X97,Database_Brandstoffen[#All],7,FALSE)*((Optimalisatie!J97/Optimalisatie!Z97)*Optimalisatie!Y97),0),(_xlfn.IFNA(VLOOKUP(Inschrijf_MKI_Totaal[[#This Row],[Product]]&amp;", "&amp;Inschrijf_MKI_Totaal[[#Headers],[A5]],Database_Productkaarten[#All],14,FALSE),0)*Optimalisatie!J97)),0)</f>
        <v>0</v>
      </c>
      <c r="J95" s="9"/>
      <c r="K95" s="9">
        <f>(IF(Optimalisatie!C97="Nieuwe Situatie",_xlfn.IFNA(SUM(Inschrijf_MKI_Totaal[[#This Row],[A1]:[B1]],Inschrijf_MKI_Totaal[[#This Row],[C1]:[D2]])*Optimalisatie!T97,0),0))</f>
        <v>0</v>
      </c>
      <c r="L95" s="9">
        <f>IF(Optimalisatie!C97="Bestaande situatie",IF(_xlfn.IFNA((VLOOKUP(Optimalisatie!AA97,Database_Asfalt_Verwijderset[#All],7,FALSE)*Optimalisatie!J97),0)+_xlfn.IFNA(VLOOKUP(Optimalisatie!AB97,Database_Brandstoffen[#All],7,FALSE)*((Optimalisatie!J97/Optimalisatie!AD97)*Optimalisatie!AC97),0)&gt;0,_xlfn.IFNA((VLOOKUP(Optimalisatie!AA97,Database_Asfalt_Verwijderset[#All],7,FALSE)*Optimalisatie!J97),0)+_xlfn.IFNA(VLOOKUP(Optimalisatie!AB97,Database_Brandstoffen[#All],7,FALSE)*((Optimalisatie!J97/Optimalisatie!AD97)*Optimalisatie!AC97),0),(_xlfn.IFNA(VLOOKUP(Inschrijf_MKI_Totaal[[#This Row],[Product]]&amp;", "&amp;Inschrijf_MKI_Totaal[[#Headers],[C1]],Database_Productkaarten[#All],14,FALSE),0)*Optimalisatie!J97)),0)</f>
        <v>0</v>
      </c>
      <c r="M95" s="9">
        <f>(IF(Optimalisatie!C97="Bestaande Situatie",_xlfn.IFNA(VLOOKUP(Optimalisatie!AF97,Database_Transport[#All],7,FALSE)*(Optimalisatie!R97*Optimalisatie!AE97),Baseline_Backlog!M95),0))</f>
        <v>0</v>
      </c>
      <c r="N95" s="9">
        <f>(IF(Optimalisatie!C97="Bestaande Situatie",_xlfn.IFNA(VLOOKUP(Optimalisatie!AG97,Database_Asfalt_Verwerkingsset[#All],7,FALSE)*(Optimalisatie!J97/VLOOKUP(Optimalisatie!AG97,Database_Asfalt_Verwerkingsset[#All],8,FALSE)),Baseline_Backlog!N95),0))</f>
        <v>0</v>
      </c>
      <c r="O95" s="9">
        <f>(IF(Optimalisatie!C97="Bestaande Situatie",_xlfn.IFNA(VLOOKUP(Inschrijf_MKI_Totaal[[#This Row],[Product]]&amp;", "&amp;Inschrijf_MKI_Totaal[[#Headers],[C4]],Database_Productkaarten[#All],14,FALSE),Baseline_Backlog!O95)*Optimalisatie!J97,0))</f>
        <v>0</v>
      </c>
      <c r="P95" s="9">
        <f>(IF(Optimalisatie!C97="Bestaande Situatie",_xlfn.IFNA(IF(Optimalisatie!E97="Categorie_1_LCA_Producten",VLOOKUP(Inschrijf_MKI_Totaal[[#This Row],[Product]],Categorie_1_Producten[#All],12,FALSE)*(Optimalisatie!J97),VLOOKUP(Inschrijf_MKI_Totaal[[#This Row],[Product]]&amp;", "&amp;Inschrijf_MKI_Totaal[[#Headers],[D1]],Database_Productkaarten[#All],14,FALSE)*Optimalisatie!J97),Baseline_Backlog!P95),0))</f>
        <v>0</v>
      </c>
      <c r="Q95" s="9">
        <f>(IF(Optimalisatie!C97="Bestaande Situatie",_xlfn.IFNA(IF(Optimalisatie!E97="Categorie_1_LCA_Producten",VLOOKUP(Inschrijf_MKI_Totaal[[#This Row],[Product]],Categorie_1_Producten[#All],13,FALSE)*(Optimalisatie!J97),VLOOKUP(Inschrijf_MKI_Totaal[[#This Row],[Product]]&amp;", "&amp;Inschrijf_MKI_Totaal[[#Headers],[D2]],Database_Productkaarten[#All],14,FALSE)*Optimalisatie!J97),Baseline_Backlog!Q95),0))</f>
        <v>0</v>
      </c>
      <c r="R95" s="9">
        <f>(IF(Optimalisatie!C97="Bestaande Situatie",_xlfn.IFNA(IF(Optimalisatie!E97="Categorie_1_LCA_Producten",VLOOKUP(Inschrijf_MKI_Totaal[[#This Row],[Product]],Categorie_1_Producten[#All],13,FALSE)*(Optimalisatie!J97),VLOOKUP(Inschrijf_MKI_Totaal[[#This Row],[Product]]&amp;", "&amp;Inschrijf_MKI_Totaal[[#Headers],[D]],Database_Productkaarten[#All],14,FALSE)*Optimalisatie!J97),Baseline_Backlog!S95),0))</f>
        <v>0</v>
      </c>
      <c r="S95" s="301">
        <f>SUM(Inschrijf_MKI_Totaal[[#This Row],[A1-A3]:[C4]])+Inschrijf_MKI_Totaal[[#This Row],[D]]</f>
        <v>0</v>
      </c>
      <c r="AA95" s="9">
        <f>_xlfn.IFNA((VLOOKUP(Optimalisatie!AA97,Database_Asfalt_Verwijderset[#All],7,FALSE)*Optimalisatie!J97),0)</f>
        <v>0</v>
      </c>
      <c r="AB95" s="9" t="e">
        <f>(VLOOKUP(Optimalisatie!AA97,Database_Asfalt_Verwijderset[#All],7,FALSE)*Optimalisatie!J97)</f>
        <v>#N/A</v>
      </c>
      <c r="AC95" s="332">
        <f>(_xlfn.IFNA(VLOOKUP(Inschrijf_MKI_Totaal[[#This Row],[Product]]&amp;", "&amp;Inschrijf_MKI_Totaal[[#Headers],[C1]],Database_Productkaarten[#All],14,FALSE),0)*Optimalisatie!J97)</f>
        <v>0</v>
      </c>
    </row>
    <row r="96" spans="2:29" hidden="1">
      <c r="B96" s="272">
        <f>Optimalisatie!B98</f>
        <v>0</v>
      </c>
      <c r="C96" s="9">
        <f>Optimalisatie!F98</f>
        <v>0</v>
      </c>
      <c r="D96" s="9">
        <f>(IF(Optimalisatie!C98="Nieuwe Situatie",_xlfn.IFNA(IF(Optimalisatie!E98="Categorie_1_LCA_Producten",VLOOKUP(Inschrijf_MKI_Totaal[[#This Row],[Product]],Categorie_1_Producten[#All],8,FALSE)*(Optimalisatie!J98),VLOOKUP(Inschrijf_MKI_Totaal[[#This Row],[Product]]&amp;", "&amp;Inschrijf_MKI_Totaal[[#Headers],[A1]],Database_Productkaarten[#All],14,FALSE)*Optimalisatie!J98),Baseline_Backlog!D96),0))</f>
        <v>0</v>
      </c>
      <c r="E96" s="9">
        <f>(IF(Optimalisatie!C98="Nieuwe Situatie",_xlfn.IFNA(IF(Optimalisatie!E98="Categorie_1_LCA_Producten",VLOOKUP(Inschrijf_MKI_Totaal[[#This Row],[Product]],Categorie_1_Producten[#All],9,FALSE)*(Optimalisatie!J98),VLOOKUP(Inschrijf_MKI_Totaal[[#This Row],[Product]]&amp;", "&amp;Inschrijf_MKI_Totaal[[#Headers],[A2]],Database_Productkaarten[#All],14,FALSE)*Optimalisatie!J98),Baseline_Backlog!E96),0))</f>
        <v>0</v>
      </c>
      <c r="F96" s="9">
        <f>(IF(Optimalisatie!C98="Nieuwe Situatie",_xlfn.IFNA(IF(Optimalisatie!E98="Categorie_1_LCA_Producten",VLOOKUP(Inschrijf_MKI_Totaal[[#This Row],[Product]],Categorie_1_Producten[#All],10,FALSE)*(Optimalisatie!J98),VLOOKUP(Inschrijf_MKI_Totaal[[#This Row],[Product]]&amp;", "&amp;Inschrijf_MKI_Totaal[[#Headers],[A3]],Database_Productkaarten[#All],14,FALSE)*Optimalisatie!J98),Baseline_Backlog!F96),0))</f>
        <v>0</v>
      </c>
      <c r="G96" s="9">
        <f>(IF(Optimalisatie!C98="Nieuwe Situatie",_xlfn.IFNA(IF(Optimalisatie!E98="Categorie_1_LCA_Producten",VLOOKUP(Inschrijf_MKI_Totaal[[#This Row],[Product]],Categorie_1_Producten[#All],11,FALSE)*(Optimalisatie!J98),VLOOKUP(Inschrijf_MKI_Totaal[[#This Row],[Product]]&amp;", "&amp;Inschrijf_MKI_Totaal[[#Headers],[A1-A3]],Database_Productkaarten[#All],14,FALSE)*Optimalisatie!J98),Baseline_Backlog!G96),0))</f>
        <v>0</v>
      </c>
      <c r="H96" s="9">
        <f>(IF(Optimalisatie!C98="Nieuwe Situatie",_xlfn.IFNA(VLOOKUP(Optimalisatie!V98,Database_Transport[#All],7,FALSE)*((IF(Optimalisatie!R98=0,Baseline!Q98,Optimalisatie!R98))*Optimalisatie!U98),Baseline_Backlog!H96),0))</f>
        <v>0</v>
      </c>
      <c r="I96" s="9">
        <f>IF(Optimalisatie!C98="Nieuwe situatie",IF(_xlfn.IFNA((VLOOKUP(Optimalisatie!W98,Database_Asfalt_Aanlegset[#All],7,FALSE)*Optimalisatie!J98),0)+_xlfn.IFNA(VLOOKUP(Optimalisatie!X98,Database_Brandstoffen[#All],7,FALSE)*((Optimalisatie!J98/Optimalisatie!Z98)*Optimalisatie!Y98),0)&gt;0,_xlfn.IFNA((VLOOKUP(Optimalisatie!W98,Database_Asfalt_Aanlegset[#All],7,FALSE)*Optimalisatie!J98),0)+_xlfn.IFNA(VLOOKUP(Optimalisatie!X98,Database_Brandstoffen[#All],7,FALSE)*((Optimalisatie!J98/Optimalisatie!Z98)*Optimalisatie!Y98),0),(_xlfn.IFNA(VLOOKUP(Inschrijf_MKI_Totaal[[#This Row],[Product]]&amp;", "&amp;Inschrijf_MKI_Totaal[[#Headers],[A5]],Database_Productkaarten[#All],14,FALSE),0)*Optimalisatie!J98)),0)</f>
        <v>0</v>
      </c>
      <c r="J96" s="9"/>
      <c r="K96" s="9">
        <f>(IF(Optimalisatie!C98="Nieuwe Situatie",_xlfn.IFNA(SUM(Inschrijf_MKI_Totaal[[#This Row],[A1]:[B1]],Inschrijf_MKI_Totaal[[#This Row],[C1]:[D2]])*Optimalisatie!T98,0),0))</f>
        <v>0</v>
      </c>
      <c r="L96" s="9">
        <f>IF(Optimalisatie!C98="Bestaande situatie",IF(_xlfn.IFNA((VLOOKUP(Optimalisatie!AA98,Database_Asfalt_Verwijderset[#All],7,FALSE)*Optimalisatie!J98),0)+_xlfn.IFNA(VLOOKUP(Optimalisatie!AB98,Database_Brandstoffen[#All],7,FALSE)*((Optimalisatie!J98/Optimalisatie!AD98)*Optimalisatie!AC98),0)&gt;0,_xlfn.IFNA((VLOOKUP(Optimalisatie!AA98,Database_Asfalt_Verwijderset[#All],7,FALSE)*Optimalisatie!J98),0)+_xlfn.IFNA(VLOOKUP(Optimalisatie!AB98,Database_Brandstoffen[#All],7,FALSE)*((Optimalisatie!J98/Optimalisatie!AD98)*Optimalisatie!AC98),0),(_xlfn.IFNA(VLOOKUP(Inschrijf_MKI_Totaal[[#This Row],[Product]]&amp;", "&amp;Inschrijf_MKI_Totaal[[#Headers],[C1]],Database_Productkaarten[#All],14,FALSE),0)*Optimalisatie!J98)),0)</f>
        <v>0</v>
      </c>
      <c r="M96" s="9">
        <f>(IF(Optimalisatie!C98="Bestaande Situatie",_xlfn.IFNA(VLOOKUP(Optimalisatie!AF98,Database_Transport[#All],7,FALSE)*(Optimalisatie!R98*Optimalisatie!AE98),Baseline_Backlog!M96),0))</f>
        <v>0</v>
      </c>
      <c r="N96" s="9">
        <f>(IF(Optimalisatie!C98="Bestaande Situatie",_xlfn.IFNA(VLOOKUP(Optimalisatie!AG98,Database_Asfalt_Verwerkingsset[#All],7,FALSE)*(Optimalisatie!J98/VLOOKUP(Optimalisatie!AG98,Database_Asfalt_Verwerkingsset[#All],8,FALSE)),Baseline_Backlog!N96),0))</f>
        <v>0</v>
      </c>
      <c r="O96" s="9">
        <f>(IF(Optimalisatie!C98="Bestaande Situatie",_xlfn.IFNA(VLOOKUP(Inschrijf_MKI_Totaal[[#This Row],[Product]]&amp;", "&amp;Inschrijf_MKI_Totaal[[#Headers],[C4]],Database_Productkaarten[#All],14,FALSE),Baseline_Backlog!O96)*Optimalisatie!J98,0))</f>
        <v>0</v>
      </c>
      <c r="P96" s="9">
        <f>(IF(Optimalisatie!C98="Bestaande Situatie",_xlfn.IFNA(IF(Optimalisatie!E98="Categorie_1_LCA_Producten",VLOOKUP(Inschrijf_MKI_Totaal[[#This Row],[Product]],Categorie_1_Producten[#All],12,FALSE)*(Optimalisatie!J98),VLOOKUP(Inschrijf_MKI_Totaal[[#This Row],[Product]]&amp;", "&amp;Inschrijf_MKI_Totaal[[#Headers],[D1]],Database_Productkaarten[#All],14,FALSE)*Optimalisatie!J98),Baseline_Backlog!P96),0))</f>
        <v>0</v>
      </c>
      <c r="Q96" s="9">
        <f>(IF(Optimalisatie!C98="Bestaande Situatie",_xlfn.IFNA(IF(Optimalisatie!E98="Categorie_1_LCA_Producten",VLOOKUP(Inschrijf_MKI_Totaal[[#This Row],[Product]],Categorie_1_Producten[#All],13,FALSE)*(Optimalisatie!J98),VLOOKUP(Inschrijf_MKI_Totaal[[#This Row],[Product]]&amp;", "&amp;Inschrijf_MKI_Totaal[[#Headers],[D2]],Database_Productkaarten[#All],14,FALSE)*Optimalisatie!J98),Baseline_Backlog!Q96),0))</f>
        <v>0</v>
      </c>
      <c r="R96" s="9">
        <f>(IF(Optimalisatie!C98="Bestaande Situatie",_xlfn.IFNA(IF(Optimalisatie!E98="Categorie_1_LCA_Producten",VLOOKUP(Inschrijf_MKI_Totaal[[#This Row],[Product]],Categorie_1_Producten[#All],13,FALSE)*(Optimalisatie!J98),VLOOKUP(Inschrijf_MKI_Totaal[[#This Row],[Product]]&amp;", "&amp;Inschrijf_MKI_Totaal[[#Headers],[D]],Database_Productkaarten[#All],14,FALSE)*Optimalisatie!J98),Baseline_Backlog!S96),0))</f>
        <v>0</v>
      </c>
      <c r="S96" s="301">
        <f>SUM(Inschrijf_MKI_Totaal[[#This Row],[A1-A3]:[C4]])+Inschrijf_MKI_Totaal[[#This Row],[D]]</f>
        <v>0</v>
      </c>
      <c r="AA96" s="9">
        <f>_xlfn.IFNA((VLOOKUP(Optimalisatie!AA98,Database_Asfalt_Verwijderset[#All],7,FALSE)*Optimalisatie!J98),0)</f>
        <v>0</v>
      </c>
      <c r="AB96" s="9" t="e">
        <f>(VLOOKUP(Optimalisatie!AA98,Database_Asfalt_Verwijderset[#All],7,FALSE)*Optimalisatie!J98)</f>
        <v>#N/A</v>
      </c>
      <c r="AC96" s="332">
        <f>(_xlfn.IFNA(VLOOKUP(Inschrijf_MKI_Totaal[[#This Row],[Product]]&amp;", "&amp;Inschrijf_MKI_Totaal[[#Headers],[C1]],Database_Productkaarten[#All],14,FALSE),0)*Optimalisatie!J98)</f>
        <v>0</v>
      </c>
    </row>
    <row r="97" spans="2:29" hidden="1">
      <c r="B97" s="272">
        <f>Optimalisatie!B99</f>
        <v>0</v>
      </c>
      <c r="C97" s="9">
        <f>Optimalisatie!F99</f>
        <v>0</v>
      </c>
      <c r="D97" s="9">
        <f>(IF(Optimalisatie!C99="Nieuwe Situatie",_xlfn.IFNA(IF(Optimalisatie!E99="Categorie_1_LCA_Producten",VLOOKUP(Inschrijf_MKI_Totaal[[#This Row],[Product]],Categorie_1_Producten[#All],8,FALSE)*(Optimalisatie!J99),VLOOKUP(Inschrijf_MKI_Totaal[[#This Row],[Product]]&amp;", "&amp;Inschrijf_MKI_Totaal[[#Headers],[A1]],Database_Productkaarten[#All],14,FALSE)*Optimalisatie!J99),Baseline_Backlog!D97),0))</f>
        <v>0</v>
      </c>
      <c r="E97" s="9">
        <f>(IF(Optimalisatie!C99="Nieuwe Situatie",_xlfn.IFNA(IF(Optimalisatie!E99="Categorie_1_LCA_Producten",VLOOKUP(Inschrijf_MKI_Totaal[[#This Row],[Product]],Categorie_1_Producten[#All],9,FALSE)*(Optimalisatie!J99),VLOOKUP(Inschrijf_MKI_Totaal[[#This Row],[Product]]&amp;", "&amp;Inschrijf_MKI_Totaal[[#Headers],[A2]],Database_Productkaarten[#All],14,FALSE)*Optimalisatie!J99),Baseline_Backlog!E97),0))</f>
        <v>0</v>
      </c>
      <c r="F97" s="9">
        <f>(IF(Optimalisatie!C99="Nieuwe Situatie",_xlfn.IFNA(IF(Optimalisatie!E99="Categorie_1_LCA_Producten",VLOOKUP(Inschrijf_MKI_Totaal[[#This Row],[Product]],Categorie_1_Producten[#All],10,FALSE)*(Optimalisatie!J99),VLOOKUP(Inschrijf_MKI_Totaal[[#This Row],[Product]]&amp;", "&amp;Inschrijf_MKI_Totaal[[#Headers],[A3]],Database_Productkaarten[#All],14,FALSE)*Optimalisatie!J99),Baseline_Backlog!F97),0))</f>
        <v>0</v>
      </c>
      <c r="G97" s="9">
        <f>(IF(Optimalisatie!C99="Nieuwe Situatie",_xlfn.IFNA(IF(Optimalisatie!E99="Categorie_1_LCA_Producten",VLOOKUP(Inschrijf_MKI_Totaal[[#This Row],[Product]],Categorie_1_Producten[#All],11,FALSE)*(Optimalisatie!J99),VLOOKUP(Inschrijf_MKI_Totaal[[#This Row],[Product]]&amp;", "&amp;Inschrijf_MKI_Totaal[[#Headers],[A1-A3]],Database_Productkaarten[#All],14,FALSE)*Optimalisatie!J99),Baseline_Backlog!G97),0))</f>
        <v>0</v>
      </c>
      <c r="H97" s="9">
        <f>(IF(Optimalisatie!C99="Nieuwe Situatie",_xlfn.IFNA(VLOOKUP(Optimalisatie!V99,Database_Transport[#All],7,FALSE)*((IF(Optimalisatie!R99=0,Baseline!Q99,Optimalisatie!R99))*Optimalisatie!U99),Baseline_Backlog!H97),0))</f>
        <v>0</v>
      </c>
      <c r="I97" s="9">
        <f>IF(Optimalisatie!C99="Nieuwe situatie",IF(_xlfn.IFNA((VLOOKUP(Optimalisatie!W99,Database_Asfalt_Aanlegset[#All],7,FALSE)*Optimalisatie!J99),0)+_xlfn.IFNA(VLOOKUP(Optimalisatie!X99,Database_Brandstoffen[#All],7,FALSE)*((Optimalisatie!J99/Optimalisatie!Z99)*Optimalisatie!Y99),0)&gt;0,_xlfn.IFNA((VLOOKUP(Optimalisatie!W99,Database_Asfalt_Aanlegset[#All],7,FALSE)*Optimalisatie!J99),0)+_xlfn.IFNA(VLOOKUP(Optimalisatie!X99,Database_Brandstoffen[#All],7,FALSE)*((Optimalisatie!J99/Optimalisatie!Z99)*Optimalisatie!Y99),0),(_xlfn.IFNA(VLOOKUP(Inschrijf_MKI_Totaal[[#This Row],[Product]]&amp;", "&amp;Inschrijf_MKI_Totaal[[#Headers],[A5]],Database_Productkaarten[#All],14,FALSE),0)*Optimalisatie!J99)),0)</f>
        <v>0</v>
      </c>
      <c r="J97" s="9"/>
      <c r="K97" s="9">
        <f>(IF(Optimalisatie!C99="Nieuwe Situatie",_xlfn.IFNA(SUM(Inschrijf_MKI_Totaal[[#This Row],[A1]:[B1]],Inschrijf_MKI_Totaal[[#This Row],[C1]:[D2]])*Optimalisatie!T99,0),0))</f>
        <v>0</v>
      </c>
      <c r="L97" s="9">
        <f>IF(Optimalisatie!C99="Bestaande situatie",IF(_xlfn.IFNA((VLOOKUP(Optimalisatie!AA99,Database_Asfalt_Verwijderset[#All],7,FALSE)*Optimalisatie!J99),0)+_xlfn.IFNA(VLOOKUP(Optimalisatie!AB99,Database_Brandstoffen[#All],7,FALSE)*((Optimalisatie!J99/Optimalisatie!AD99)*Optimalisatie!AC99),0)&gt;0,_xlfn.IFNA((VLOOKUP(Optimalisatie!AA99,Database_Asfalt_Verwijderset[#All],7,FALSE)*Optimalisatie!J99),0)+_xlfn.IFNA(VLOOKUP(Optimalisatie!AB99,Database_Brandstoffen[#All],7,FALSE)*((Optimalisatie!J99/Optimalisatie!AD99)*Optimalisatie!AC99),0),(_xlfn.IFNA(VLOOKUP(Inschrijf_MKI_Totaal[[#This Row],[Product]]&amp;", "&amp;Inschrijf_MKI_Totaal[[#Headers],[C1]],Database_Productkaarten[#All],14,FALSE),0)*Optimalisatie!J99)),0)</f>
        <v>0</v>
      </c>
      <c r="M97" s="9">
        <f>(IF(Optimalisatie!C99="Bestaande Situatie",_xlfn.IFNA(VLOOKUP(Optimalisatie!AF99,Database_Transport[#All],7,FALSE)*(Optimalisatie!R99*Optimalisatie!AE99),Baseline_Backlog!M97),0))</f>
        <v>0</v>
      </c>
      <c r="N97" s="9">
        <f>(IF(Optimalisatie!C99="Bestaande Situatie",_xlfn.IFNA(VLOOKUP(Optimalisatie!AG99,Database_Asfalt_Verwerkingsset[#All],7,FALSE)*(Optimalisatie!J99/VLOOKUP(Optimalisatie!AG99,Database_Asfalt_Verwerkingsset[#All],8,FALSE)),Baseline_Backlog!N97),0))</f>
        <v>0</v>
      </c>
      <c r="O97" s="9">
        <f>(IF(Optimalisatie!C99="Bestaande Situatie",_xlfn.IFNA(VLOOKUP(Inschrijf_MKI_Totaal[[#This Row],[Product]]&amp;", "&amp;Inschrijf_MKI_Totaal[[#Headers],[C4]],Database_Productkaarten[#All],14,FALSE),Baseline_Backlog!O97)*Optimalisatie!J99,0))</f>
        <v>0</v>
      </c>
      <c r="P97" s="9">
        <f>(IF(Optimalisatie!C99="Bestaande Situatie",_xlfn.IFNA(IF(Optimalisatie!E99="Categorie_1_LCA_Producten",VLOOKUP(Inschrijf_MKI_Totaal[[#This Row],[Product]],Categorie_1_Producten[#All],12,FALSE)*(Optimalisatie!J99),VLOOKUP(Inschrijf_MKI_Totaal[[#This Row],[Product]]&amp;", "&amp;Inschrijf_MKI_Totaal[[#Headers],[D1]],Database_Productkaarten[#All],14,FALSE)*Optimalisatie!J99),Baseline_Backlog!P97),0))</f>
        <v>0</v>
      </c>
      <c r="Q97" s="9">
        <f>(IF(Optimalisatie!C99="Bestaande Situatie",_xlfn.IFNA(IF(Optimalisatie!E99="Categorie_1_LCA_Producten",VLOOKUP(Inschrijf_MKI_Totaal[[#This Row],[Product]],Categorie_1_Producten[#All],13,FALSE)*(Optimalisatie!J99),VLOOKUP(Inschrijf_MKI_Totaal[[#This Row],[Product]]&amp;", "&amp;Inschrijf_MKI_Totaal[[#Headers],[D2]],Database_Productkaarten[#All],14,FALSE)*Optimalisatie!J99),Baseline_Backlog!Q97),0))</f>
        <v>0</v>
      </c>
      <c r="R97" s="9">
        <f>(IF(Optimalisatie!C99="Bestaande Situatie",_xlfn.IFNA(IF(Optimalisatie!E99="Categorie_1_LCA_Producten",VLOOKUP(Inschrijf_MKI_Totaal[[#This Row],[Product]],Categorie_1_Producten[#All],13,FALSE)*(Optimalisatie!J99),VLOOKUP(Inschrijf_MKI_Totaal[[#This Row],[Product]]&amp;", "&amp;Inschrijf_MKI_Totaal[[#Headers],[D]],Database_Productkaarten[#All],14,FALSE)*Optimalisatie!J99),Baseline_Backlog!S97),0))</f>
        <v>0</v>
      </c>
      <c r="S97" s="301">
        <f>SUM(Inschrijf_MKI_Totaal[[#This Row],[A1-A3]:[C4]])+Inschrijf_MKI_Totaal[[#This Row],[D]]</f>
        <v>0</v>
      </c>
      <c r="AA97" s="9">
        <f>_xlfn.IFNA((VLOOKUP(Optimalisatie!AA99,Database_Asfalt_Verwijderset[#All],7,FALSE)*Optimalisatie!J99),0)</f>
        <v>0</v>
      </c>
      <c r="AB97" s="9" t="e">
        <f>(VLOOKUP(Optimalisatie!AA99,Database_Asfalt_Verwijderset[#All],7,FALSE)*Optimalisatie!J99)</f>
        <v>#N/A</v>
      </c>
      <c r="AC97" s="332">
        <f>(_xlfn.IFNA(VLOOKUP(Inschrijf_MKI_Totaal[[#This Row],[Product]]&amp;", "&amp;Inschrijf_MKI_Totaal[[#Headers],[C1]],Database_Productkaarten[#All],14,FALSE),0)*Optimalisatie!J99)</f>
        <v>0</v>
      </c>
    </row>
    <row r="98" spans="2:29" hidden="1">
      <c r="B98" s="272">
        <f>Optimalisatie!B100</f>
        <v>0</v>
      </c>
      <c r="C98" s="9">
        <f>Optimalisatie!F100</f>
        <v>0</v>
      </c>
      <c r="D98" s="9">
        <f>(IF(Optimalisatie!C100="Nieuwe Situatie",_xlfn.IFNA(IF(Optimalisatie!E100="Categorie_1_LCA_Producten",VLOOKUP(Inschrijf_MKI_Totaal[[#This Row],[Product]],Categorie_1_Producten[#All],8,FALSE)*(Optimalisatie!J100),VLOOKUP(Inschrijf_MKI_Totaal[[#This Row],[Product]]&amp;", "&amp;Inschrijf_MKI_Totaal[[#Headers],[A1]],Database_Productkaarten[#All],14,FALSE)*Optimalisatie!J100),Baseline_Backlog!D98),0))</f>
        <v>0</v>
      </c>
      <c r="E98" s="9">
        <f>(IF(Optimalisatie!C100="Nieuwe Situatie",_xlfn.IFNA(IF(Optimalisatie!E100="Categorie_1_LCA_Producten",VLOOKUP(Inschrijf_MKI_Totaal[[#This Row],[Product]],Categorie_1_Producten[#All],9,FALSE)*(Optimalisatie!J100),VLOOKUP(Inschrijf_MKI_Totaal[[#This Row],[Product]]&amp;", "&amp;Inschrijf_MKI_Totaal[[#Headers],[A2]],Database_Productkaarten[#All],14,FALSE)*Optimalisatie!J100),Baseline_Backlog!E98),0))</f>
        <v>0</v>
      </c>
      <c r="F98" s="9">
        <f>(IF(Optimalisatie!C100="Nieuwe Situatie",_xlfn.IFNA(IF(Optimalisatie!E100="Categorie_1_LCA_Producten",VLOOKUP(Inschrijf_MKI_Totaal[[#This Row],[Product]],Categorie_1_Producten[#All],10,FALSE)*(Optimalisatie!J100),VLOOKUP(Inschrijf_MKI_Totaal[[#This Row],[Product]]&amp;", "&amp;Inschrijf_MKI_Totaal[[#Headers],[A3]],Database_Productkaarten[#All],14,FALSE)*Optimalisatie!J100),Baseline_Backlog!F98),0))</f>
        <v>0</v>
      </c>
      <c r="G98" s="9">
        <f>(IF(Optimalisatie!C100="Nieuwe Situatie",_xlfn.IFNA(IF(Optimalisatie!E100="Categorie_1_LCA_Producten",VLOOKUP(Inschrijf_MKI_Totaal[[#This Row],[Product]],Categorie_1_Producten[#All],11,FALSE)*(Optimalisatie!J100),VLOOKUP(Inschrijf_MKI_Totaal[[#This Row],[Product]]&amp;", "&amp;Inschrijf_MKI_Totaal[[#Headers],[A1-A3]],Database_Productkaarten[#All],14,FALSE)*Optimalisatie!J100),Baseline_Backlog!G98),0))</f>
        <v>0</v>
      </c>
      <c r="H98" s="9">
        <f>(IF(Optimalisatie!C100="Nieuwe Situatie",_xlfn.IFNA(VLOOKUP(Optimalisatie!V100,Database_Transport[#All],7,FALSE)*((IF(Optimalisatie!R100=0,Baseline!Q100,Optimalisatie!R100))*Optimalisatie!U100),Baseline_Backlog!H98),0))</f>
        <v>0</v>
      </c>
      <c r="I98" s="9">
        <f>IF(Optimalisatie!C100="Nieuwe situatie",IF(_xlfn.IFNA((VLOOKUP(Optimalisatie!W100,Database_Asfalt_Aanlegset[#All],7,FALSE)*Optimalisatie!J100),0)+_xlfn.IFNA(VLOOKUP(Optimalisatie!X100,Database_Brandstoffen[#All],7,FALSE)*((Optimalisatie!J100/Optimalisatie!Z100)*Optimalisatie!Y100),0)&gt;0,_xlfn.IFNA((VLOOKUP(Optimalisatie!W100,Database_Asfalt_Aanlegset[#All],7,FALSE)*Optimalisatie!J100),0)+_xlfn.IFNA(VLOOKUP(Optimalisatie!X100,Database_Brandstoffen[#All],7,FALSE)*((Optimalisatie!J100/Optimalisatie!Z100)*Optimalisatie!Y100),0),(_xlfn.IFNA(VLOOKUP(Inschrijf_MKI_Totaal[[#This Row],[Product]]&amp;", "&amp;Inschrijf_MKI_Totaal[[#Headers],[A5]],Database_Productkaarten[#All],14,FALSE),0)*Optimalisatie!J100)),0)</f>
        <v>0</v>
      </c>
      <c r="J98" s="9"/>
      <c r="K98" s="9">
        <f>(IF(Optimalisatie!C100="Nieuwe Situatie",_xlfn.IFNA(SUM(Inschrijf_MKI_Totaal[[#This Row],[A1]:[B1]],Inschrijf_MKI_Totaal[[#This Row],[C1]:[D2]])*Optimalisatie!T100,0),0))</f>
        <v>0</v>
      </c>
      <c r="L98" s="9">
        <f>IF(Optimalisatie!C100="Bestaande situatie",IF(_xlfn.IFNA((VLOOKUP(Optimalisatie!AA100,Database_Asfalt_Verwijderset[#All],7,FALSE)*Optimalisatie!J100),0)+_xlfn.IFNA(VLOOKUP(Optimalisatie!AB100,Database_Brandstoffen[#All],7,FALSE)*((Optimalisatie!J100/Optimalisatie!AD100)*Optimalisatie!AC100),0)&gt;0,_xlfn.IFNA((VLOOKUP(Optimalisatie!AA100,Database_Asfalt_Verwijderset[#All],7,FALSE)*Optimalisatie!J100),0)+_xlfn.IFNA(VLOOKUP(Optimalisatie!AB100,Database_Brandstoffen[#All],7,FALSE)*((Optimalisatie!J100/Optimalisatie!AD100)*Optimalisatie!AC100),0),(_xlfn.IFNA(VLOOKUP(Inschrijf_MKI_Totaal[[#This Row],[Product]]&amp;", "&amp;Inschrijf_MKI_Totaal[[#Headers],[C1]],Database_Productkaarten[#All],14,FALSE),0)*Optimalisatie!J100)),0)</f>
        <v>0</v>
      </c>
      <c r="M98" s="9">
        <f>(IF(Optimalisatie!C100="Bestaande Situatie",_xlfn.IFNA(VLOOKUP(Optimalisatie!AF100,Database_Transport[#All],7,FALSE)*(Optimalisatie!R100*Optimalisatie!AE100),Baseline_Backlog!M98),0))</f>
        <v>0</v>
      </c>
      <c r="N98" s="9">
        <f>(IF(Optimalisatie!C100="Bestaande Situatie",_xlfn.IFNA(VLOOKUP(Optimalisatie!AG100,Database_Asfalt_Verwerkingsset[#All],7,FALSE)*(Optimalisatie!J100/VLOOKUP(Optimalisatie!AG100,Database_Asfalt_Verwerkingsset[#All],8,FALSE)),Baseline_Backlog!N98),0))</f>
        <v>0</v>
      </c>
      <c r="O98" s="9">
        <f>(IF(Optimalisatie!C100="Bestaande Situatie",_xlfn.IFNA(VLOOKUP(Inschrijf_MKI_Totaal[[#This Row],[Product]]&amp;", "&amp;Inschrijf_MKI_Totaal[[#Headers],[C4]],Database_Productkaarten[#All],14,FALSE),Baseline_Backlog!O98)*Optimalisatie!J100,0))</f>
        <v>0</v>
      </c>
      <c r="P98" s="9">
        <f>(IF(Optimalisatie!C100="Bestaande Situatie",_xlfn.IFNA(IF(Optimalisatie!E100="Categorie_1_LCA_Producten",VLOOKUP(Inschrijf_MKI_Totaal[[#This Row],[Product]],Categorie_1_Producten[#All],12,FALSE)*(Optimalisatie!J100),VLOOKUP(Inschrijf_MKI_Totaal[[#This Row],[Product]]&amp;", "&amp;Inschrijf_MKI_Totaal[[#Headers],[D1]],Database_Productkaarten[#All],14,FALSE)*Optimalisatie!J100),Baseline_Backlog!P98),0))</f>
        <v>0</v>
      </c>
      <c r="Q98" s="9">
        <f>(IF(Optimalisatie!C100="Bestaande Situatie",_xlfn.IFNA(IF(Optimalisatie!E100="Categorie_1_LCA_Producten",VLOOKUP(Inschrijf_MKI_Totaal[[#This Row],[Product]],Categorie_1_Producten[#All],13,FALSE)*(Optimalisatie!J100),VLOOKUP(Inschrijf_MKI_Totaal[[#This Row],[Product]]&amp;", "&amp;Inschrijf_MKI_Totaal[[#Headers],[D2]],Database_Productkaarten[#All],14,FALSE)*Optimalisatie!J100),Baseline_Backlog!Q98),0))</f>
        <v>0</v>
      </c>
      <c r="R98" s="9">
        <f>(IF(Optimalisatie!C100="Bestaande Situatie",_xlfn.IFNA(IF(Optimalisatie!E100="Categorie_1_LCA_Producten",VLOOKUP(Inschrijf_MKI_Totaal[[#This Row],[Product]],Categorie_1_Producten[#All],13,FALSE)*(Optimalisatie!J100),VLOOKUP(Inschrijf_MKI_Totaal[[#This Row],[Product]]&amp;", "&amp;Inschrijf_MKI_Totaal[[#Headers],[D]],Database_Productkaarten[#All],14,FALSE)*Optimalisatie!J100),Baseline_Backlog!S98),0))</f>
        <v>0</v>
      </c>
      <c r="S98" s="301">
        <f>SUM(Inschrijf_MKI_Totaal[[#This Row],[A1-A3]:[C4]])+Inschrijf_MKI_Totaal[[#This Row],[D]]</f>
        <v>0</v>
      </c>
      <c r="AA98" s="9">
        <f>_xlfn.IFNA((VLOOKUP(Optimalisatie!AA100,Database_Asfalt_Verwijderset[#All],7,FALSE)*Optimalisatie!J100),0)</f>
        <v>0</v>
      </c>
      <c r="AB98" s="9" t="e">
        <f>(VLOOKUP(Optimalisatie!AA100,Database_Asfalt_Verwijderset[#All],7,FALSE)*Optimalisatie!J100)</f>
        <v>#N/A</v>
      </c>
      <c r="AC98" s="332">
        <f>(_xlfn.IFNA(VLOOKUP(Inschrijf_MKI_Totaal[[#This Row],[Product]]&amp;", "&amp;Inschrijf_MKI_Totaal[[#Headers],[C1]],Database_Productkaarten[#All],14,FALSE),0)*Optimalisatie!J100)</f>
        <v>0</v>
      </c>
    </row>
    <row r="99" spans="2:29" hidden="1">
      <c r="B99" s="272">
        <f>Optimalisatie!B101</f>
        <v>0</v>
      </c>
      <c r="C99" s="9">
        <f>Optimalisatie!F101</f>
        <v>0</v>
      </c>
      <c r="D99" s="9">
        <f>(IF(Optimalisatie!C101="Nieuwe Situatie",_xlfn.IFNA(IF(Optimalisatie!E101="Categorie_1_LCA_Producten",VLOOKUP(Inschrijf_MKI_Totaal[[#This Row],[Product]],Categorie_1_Producten[#All],8,FALSE)*(Optimalisatie!J101),VLOOKUP(Inschrijf_MKI_Totaal[[#This Row],[Product]]&amp;", "&amp;Inschrijf_MKI_Totaal[[#Headers],[A1]],Database_Productkaarten[#All],14,FALSE)*Optimalisatie!J101),Baseline_Backlog!D99),0))</f>
        <v>0</v>
      </c>
      <c r="E99" s="9">
        <f>(IF(Optimalisatie!C101="Nieuwe Situatie",_xlfn.IFNA(IF(Optimalisatie!E101="Categorie_1_LCA_Producten",VLOOKUP(Inschrijf_MKI_Totaal[[#This Row],[Product]],Categorie_1_Producten[#All],9,FALSE)*(Optimalisatie!J101),VLOOKUP(Inschrijf_MKI_Totaal[[#This Row],[Product]]&amp;", "&amp;Inschrijf_MKI_Totaal[[#Headers],[A2]],Database_Productkaarten[#All],14,FALSE)*Optimalisatie!J101),Baseline_Backlog!E99),0))</f>
        <v>0</v>
      </c>
      <c r="F99" s="9">
        <f>(IF(Optimalisatie!C101="Nieuwe Situatie",_xlfn.IFNA(IF(Optimalisatie!E101="Categorie_1_LCA_Producten",VLOOKUP(Inschrijf_MKI_Totaal[[#This Row],[Product]],Categorie_1_Producten[#All],10,FALSE)*(Optimalisatie!J101),VLOOKUP(Inschrijf_MKI_Totaal[[#This Row],[Product]]&amp;", "&amp;Inschrijf_MKI_Totaal[[#Headers],[A3]],Database_Productkaarten[#All],14,FALSE)*Optimalisatie!J101),Baseline_Backlog!F99),0))</f>
        <v>0</v>
      </c>
      <c r="G99" s="9">
        <f>(IF(Optimalisatie!C101="Nieuwe Situatie",_xlfn.IFNA(IF(Optimalisatie!E101="Categorie_1_LCA_Producten",VLOOKUP(Inschrijf_MKI_Totaal[[#This Row],[Product]],Categorie_1_Producten[#All],11,FALSE)*(Optimalisatie!J101),VLOOKUP(Inschrijf_MKI_Totaal[[#This Row],[Product]]&amp;", "&amp;Inschrijf_MKI_Totaal[[#Headers],[A1-A3]],Database_Productkaarten[#All],14,FALSE)*Optimalisatie!J101),Baseline_Backlog!G99),0))</f>
        <v>0</v>
      </c>
      <c r="H99" s="9">
        <f>(IF(Optimalisatie!C101="Nieuwe Situatie",_xlfn.IFNA(VLOOKUP(Optimalisatie!V101,Database_Transport[#All],7,FALSE)*((IF(Optimalisatie!R101=0,Baseline!Q101,Optimalisatie!R101))*Optimalisatie!U101),Baseline_Backlog!H99),0))</f>
        <v>0</v>
      </c>
      <c r="I99" s="9">
        <f>IF(Optimalisatie!C101="Nieuwe situatie",IF(_xlfn.IFNA((VLOOKUP(Optimalisatie!W101,Database_Asfalt_Aanlegset[#All],7,FALSE)*Optimalisatie!J101),0)+_xlfn.IFNA(VLOOKUP(Optimalisatie!X101,Database_Brandstoffen[#All],7,FALSE)*((Optimalisatie!J101/Optimalisatie!Z101)*Optimalisatie!Y101),0)&gt;0,_xlfn.IFNA((VLOOKUP(Optimalisatie!W101,Database_Asfalt_Aanlegset[#All],7,FALSE)*Optimalisatie!J101),0)+_xlfn.IFNA(VLOOKUP(Optimalisatie!X101,Database_Brandstoffen[#All],7,FALSE)*((Optimalisatie!J101/Optimalisatie!Z101)*Optimalisatie!Y101),0),(_xlfn.IFNA(VLOOKUP(Inschrijf_MKI_Totaal[[#This Row],[Product]]&amp;", "&amp;Inschrijf_MKI_Totaal[[#Headers],[A5]],Database_Productkaarten[#All],14,FALSE),0)*Optimalisatie!J101)),0)</f>
        <v>0</v>
      </c>
      <c r="J99" s="9"/>
      <c r="K99" s="9">
        <f>(IF(Optimalisatie!C101="Nieuwe Situatie",_xlfn.IFNA(SUM(Inschrijf_MKI_Totaal[[#This Row],[A1]:[B1]],Inschrijf_MKI_Totaal[[#This Row],[C1]:[D2]])*Optimalisatie!T101,0),0))</f>
        <v>0</v>
      </c>
      <c r="L99" s="9">
        <f>IF(Optimalisatie!C101="Bestaande situatie",IF(_xlfn.IFNA((VLOOKUP(Optimalisatie!AA101,Database_Asfalt_Verwijderset[#All],7,FALSE)*Optimalisatie!J101),0)+_xlfn.IFNA(VLOOKUP(Optimalisatie!AB101,Database_Brandstoffen[#All],7,FALSE)*((Optimalisatie!J101/Optimalisatie!AD101)*Optimalisatie!AC101),0)&gt;0,_xlfn.IFNA((VLOOKUP(Optimalisatie!AA101,Database_Asfalt_Verwijderset[#All],7,FALSE)*Optimalisatie!J101),0)+_xlfn.IFNA(VLOOKUP(Optimalisatie!AB101,Database_Brandstoffen[#All],7,FALSE)*((Optimalisatie!J101/Optimalisatie!AD101)*Optimalisatie!AC101),0),(_xlfn.IFNA(VLOOKUP(Inschrijf_MKI_Totaal[[#This Row],[Product]]&amp;", "&amp;Inschrijf_MKI_Totaal[[#Headers],[C1]],Database_Productkaarten[#All],14,FALSE),0)*Optimalisatie!J101)),0)</f>
        <v>0</v>
      </c>
      <c r="M99" s="9">
        <f>(IF(Optimalisatie!C101="Bestaande Situatie",_xlfn.IFNA(VLOOKUP(Optimalisatie!AF101,Database_Transport[#All],7,FALSE)*(Optimalisatie!R101*Optimalisatie!AE101),Baseline_Backlog!M99),0))</f>
        <v>0</v>
      </c>
      <c r="N99" s="9">
        <f>(IF(Optimalisatie!C101="Bestaande Situatie",_xlfn.IFNA(VLOOKUP(Optimalisatie!AG101,Database_Asfalt_Verwerkingsset[#All],7,FALSE)*(Optimalisatie!J101/VLOOKUP(Optimalisatie!AG101,Database_Asfalt_Verwerkingsset[#All],8,FALSE)),Baseline_Backlog!N99),0))</f>
        <v>0</v>
      </c>
      <c r="O99" s="9">
        <f>(IF(Optimalisatie!C101="Bestaande Situatie",_xlfn.IFNA(VLOOKUP(Inschrijf_MKI_Totaal[[#This Row],[Product]]&amp;", "&amp;Inschrijf_MKI_Totaal[[#Headers],[C4]],Database_Productkaarten[#All],14,FALSE),Baseline_Backlog!O99)*Optimalisatie!J101,0))</f>
        <v>0</v>
      </c>
      <c r="P99" s="9">
        <f>(IF(Optimalisatie!C101="Bestaande Situatie",_xlfn.IFNA(IF(Optimalisatie!E101="Categorie_1_LCA_Producten",VLOOKUP(Inschrijf_MKI_Totaal[[#This Row],[Product]],Categorie_1_Producten[#All],12,FALSE)*(Optimalisatie!J101),VLOOKUP(Inschrijf_MKI_Totaal[[#This Row],[Product]]&amp;", "&amp;Inschrijf_MKI_Totaal[[#Headers],[D1]],Database_Productkaarten[#All],14,FALSE)*Optimalisatie!J101),Baseline_Backlog!P99),0))</f>
        <v>0</v>
      </c>
      <c r="Q99" s="9">
        <f>(IF(Optimalisatie!C101="Bestaande Situatie",_xlfn.IFNA(IF(Optimalisatie!E101="Categorie_1_LCA_Producten",VLOOKUP(Inschrijf_MKI_Totaal[[#This Row],[Product]],Categorie_1_Producten[#All],13,FALSE)*(Optimalisatie!J101),VLOOKUP(Inschrijf_MKI_Totaal[[#This Row],[Product]]&amp;", "&amp;Inschrijf_MKI_Totaal[[#Headers],[D2]],Database_Productkaarten[#All],14,FALSE)*Optimalisatie!J101),Baseline_Backlog!Q99),0))</f>
        <v>0</v>
      </c>
      <c r="R99" s="9">
        <f>(IF(Optimalisatie!C101="Bestaande Situatie",_xlfn.IFNA(IF(Optimalisatie!E101="Categorie_1_LCA_Producten",VLOOKUP(Inschrijf_MKI_Totaal[[#This Row],[Product]],Categorie_1_Producten[#All],13,FALSE)*(Optimalisatie!J101),VLOOKUP(Inschrijf_MKI_Totaal[[#This Row],[Product]]&amp;", "&amp;Inschrijf_MKI_Totaal[[#Headers],[D]],Database_Productkaarten[#All],14,FALSE)*Optimalisatie!J101),Baseline_Backlog!S99),0))</f>
        <v>0</v>
      </c>
      <c r="S99" s="301">
        <f>SUM(Inschrijf_MKI_Totaal[[#This Row],[A1-A3]:[C4]])+Inschrijf_MKI_Totaal[[#This Row],[D]]</f>
        <v>0</v>
      </c>
      <c r="AA99" s="9">
        <f>_xlfn.IFNA((VLOOKUP(Optimalisatie!AA101,Database_Asfalt_Verwijderset[#All],7,FALSE)*Optimalisatie!J101),0)</f>
        <v>0</v>
      </c>
      <c r="AB99" s="9" t="e">
        <f>(VLOOKUP(Optimalisatie!AA101,Database_Asfalt_Verwijderset[#All],7,FALSE)*Optimalisatie!J101)</f>
        <v>#N/A</v>
      </c>
      <c r="AC99" s="332">
        <f>(_xlfn.IFNA(VLOOKUP(Inschrijf_MKI_Totaal[[#This Row],[Product]]&amp;", "&amp;Inschrijf_MKI_Totaal[[#Headers],[C1]],Database_Productkaarten[#All],14,FALSE),0)*Optimalisatie!J101)</f>
        <v>0</v>
      </c>
    </row>
    <row r="100" spans="2:29" hidden="1">
      <c r="B100" s="272">
        <f>Optimalisatie!B102</f>
        <v>0</v>
      </c>
      <c r="C100" s="9">
        <f>Optimalisatie!F102</f>
        <v>0</v>
      </c>
      <c r="D100" s="9">
        <f>(IF(Optimalisatie!C102="Nieuwe Situatie",_xlfn.IFNA(IF(Optimalisatie!E102="Categorie_1_LCA_Producten",VLOOKUP(Inschrijf_MKI_Totaal[[#This Row],[Product]],Categorie_1_Producten[#All],8,FALSE)*(Optimalisatie!J102),VLOOKUP(Inschrijf_MKI_Totaal[[#This Row],[Product]]&amp;", "&amp;Inschrijf_MKI_Totaal[[#Headers],[A1]],Database_Productkaarten[#All],14,FALSE)*Optimalisatie!J102),Baseline_Backlog!D100),0))</f>
        <v>0</v>
      </c>
      <c r="E100" s="9">
        <f>(IF(Optimalisatie!C102="Nieuwe Situatie",_xlfn.IFNA(IF(Optimalisatie!E102="Categorie_1_LCA_Producten",VLOOKUP(Inschrijf_MKI_Totaal[[#This Row],[Product]],Categorie_1_Producten[#All],9,FALSE)*(Optimalisatie!J102),VLOOKUP(Inschrijf_MKI_Totaal[[#This Row],[Product]]&amp;", "&amp;Inschrijf_MKI_Totaal[[#Headers],[A2]],Database_Productkaarten[#All],14,FALSE)*Optimalisatie!J102),Baseline_Backlog!E100),0))</f>
        <v>0</v>
      </c>
      <c r="F100" s="9">
        <f>(IF(Optimalisatie!C102="Nieuwe Situatie",_xlfn.IFNA(IF(Optimalisatie!E102="Categorie_1_LCA_Producten",VLOOKUP(Inschrijf_MKI_Totaal[[#This Row],[Product]],Categorie_1_Producten[#All],10,FALSE)*(Optimalisatie!J102),VLOOKUP(Inschrijf_MKI_Totaal[[#This Row],[Product]]&amp;", "&amp;Inschrijf_MKI_Totaal[[#Headers],[A3]],Database_Productkaarten[#All],14,FALSE)*Optimalisatie!J102),Baseline_Backlog!F100),0))</f>
        <v>0</v>
      </c>
      <c r="G100" s="9">
        <f>(IF(Optimalisatie!C102="Nieuwe Situatie",_xlfn.IFNA(IF(Optimalisatie!E102="Categorie_1_LCA_Producten",VLOOKUP(Inschrijf_MKI_Totaal[[#This Row],[Product]],Categorie_1_Producten[#All],11,FALSE)*(Optimalisatie!J102),VLOOKUP(Inschrijf_MKI_Totaal[[#This Row],[Product]]&amp;", "&amp;Inschrijf_MKI_Totaal[[#Headers],[A1-A3]],Database_Productkaarten[#All],14,FALSE)*Optimalisatie!J102),Baseline_Backlog!G100),0))</f>
        <v>0</v>
      </c>
      <c r="H100" s="9">
        <f>(IF(Optimalisatie!C102="Nieuwe Situatie",_xlfn.IFNA(VLOOKUP(Optimalisatie!V102,Database_Transport[#All],7,FALSE)*((IF(Optimalisatie!R102=0,Baseline!Q102,Optimalisatie!R102))*Optimalisatie!U102),Baseline_Backlog!H100),0))</f>
        <v>0</v>
      </c>
      <c r="I100" s="9">
        <f>IF(Optimalisatie!C102="Nieuwe situatie",IF(_xlfn.IFNA((VLOOKUP(Optimalisatie!W102,Database_Asfalt_Aanlegset[#All],7,FALSE)*Optimalisatie!J102),0)+_xlfn.IFNA(VLOOKUP(Optimalisatie!X102,Database_Brandstoffen[#All],7,FALSE)*((Optimalisatie!J102/Optimalisatie!Z102)*Optimalisatie!Y102),0)&gt;0,_xlfn.IFNA((VLOOKUP(Optimalisatie!W102,Database_Asfalt_Aanlegset[#All],7,FALSE)*Optimalisatie!J102),0)+_xlfn.IFNA(VLOOKUP(Optimalisatie!X102,Database_Brandstoffen[#All],7,FALSE)*((Optimalisatie!J102/Optimalisatie!Z102)*Optimalisatie!Y102),0),(_xlfn.IFNA(VLOOKUP(Inschrijf_MKI_Totaal[[#This Row],[Product]]&amp;", "&amp;Inschrijf_MKI_Totaal[[#Headers],[A5]],Database_Productkaarten[#All],14,FALSE),0)*Optimalisatie!J102)),0)</f>
        <v>0</v>
      </c>
      <c r="J100" s="9"/>
      <c r="K100" s="9">
        <f>(IF(Optimalisatie!C102="Nieuwe Situatie",_xlfn.IFNA(SUM(Inschrijf_MKI_Totaal[[#This Row],[A1]:[B1]],Inschrijf_MKI_Totaal[[#This Row],[C1]:[D2]])*Optimalisatie!T102,0),0))</f>
        <v>0</v>
      </c>
      <c r="L100" s="9">
        <f>IF(Optimalisatie!C102="Bestaande situatie",IF(_xlfn.IFNA((VLOOKUP(Optimalisatie!AA102,Database_Asfalt_Verwijderset[#All],7,FALSE)*Optimalisatie!J102),0)+_xlfn.IFNA(VLOOKUP(Optimalisatie!AB102,Database_Brandstoffen[#All],7,FALSE)*((Optimalisatie!J102/Optimalisatie!AD102)*Optimalisatie!AC102),0)&gt;0,_xlfn.IFNA((VLOOKUP(Optimalisatie!AA102,Database_Asfalt_Verwijderset[#All],7,FALSE)*Optimalisatie!J102),0)+_xlfn.IFNA(VLOOKUP(Optimalisatie!AB102,Database_Brandstoffen[#All],7,FALSE)*((Optimalisatie!J102/Optimalisatie!AD102)*Optimalisatie!AC102),0),(_xlfn.IFNA(VLOOKUP(Inschrijf_MKI_Totaal[[#This Row],[Product]]&amp;", "&amp;Inschrijf_MKI_Totaal[[#Headers],[C1]],Database_Productkaarten[#All],14,FALSE),0)*Optimalisatie!J102)),0)</f>
        <v>0</v>
      </c>
      <c r="M100" s="9">
        <f>(IF(Optimalisatie!C102="Bestaande Situatie",_xlfn.IFNA(VLOOKUP(Optimalisatie!AF102,Database_Transport[#All],7,FALSE)*(Optimalisatie!R102*Optimalisatie!AE102),Baseline_Backlog!M100),0))</f>
        <v>0</v>
      </c>
      <c r="N100" s="9">
        <f>(IF(Optimalisatie!C102="Bestaande Situatie",_xlfn.IFNA(VLOOKUP(Optimalisatie!AG102,Database_Asfalt_Verwerkingsset[#All],7,FALSE)*(Optimalisatie!J102/VLOOKUP(Optimalisatie!AG102,Database_Asfalt_Verwerkingsset[#All],8,FALSE)),Baseline_Backlog!N100),0))</f>
        <v>0</v>
      </c>
      <c r="O100" s="9">
        <f>(IF(Optimalisatie!C102="Bestaande Situatie",_xlfn.IFNA(VLOOKUP(Inschrijf_MKI_Totaal[[#This Row],[Product]]&amp;", "&amp;Inschrijf_MKI_Totaal[[#Headers],[C4]],Database_Productkaarten[#All],14,FALSE),Baseline_Backlog!O100)*Optimalisatie!J102,0))</f>
        <v>0</v>
      </c>
      <c r="P100" s="9">
        <f>(IF(Optimalisatie!C102="Bestaande Situatie",_xlfn.IFNA(IF(Optimalisatie!E102="Categorie_1_LCA_Producten",VLOOKUP(Inschrijf_MKI_Totaal[[#This Row],[Product]],Categorie_1_Producten[#All],12,FALSE)*(Optimalisatie!J102),VLOOKUP(Inschrijf_MKI_Totaal[[#This Row],[Product]]&amp;", "&amp;Inschrijf_MKI_Totaal[[#Headers],[D1]],Database_Productkaarten[#All],14,FALSE)*Optimalisatie!J102),Baseline_Backlog!P100),0))</f>
        <v>0</v>
      </c>
      <c r="Q100" s="9">
        <f>(IF(Optimalisatie!C102="Bestaande Situatie",_xlfn.IFNA(IF(Optimalisatie!E102="Categorie_1_LCA_Producten",VLOOKUP(Inschrijf_MKI_Totaal[[#This Row],[Product]],Categorie_1_Producten[#All],13,FALSE)*(Optimalisatie!J102),VLOOKUP(Inschrijf_MKI_Totaal[[#This Row],[Product]]&amp;", "&amp;Inschrijf_MKI_Totaal[[#Headers],[D2]],Database_Productkaarten[#All],14,FALSE)*Optimalisatie!J102),Baseline_Backlog!Q100),0))</f>
        <v>0</v>
      </c>
      <c r="R100" s="9">
        <f>(IF(Optimalisatie!C102="Bestaande Situatie",_xlfn.IFNA(IF(Optimalisatie!E102="Categorie_1_LCA_Producten",VLOOKUP(Inschrijf_MKI_Totaal[[#This Row],[Product]],Categorie_1_Producten[#All],13,FALSE)*(Optimalisatie!J102),VLOOKUP(Inschrijf_MKI_Totaal[[#This Row],[Product]]&amp;", "&amp;Inschrijf_MKI_Totaal[[#Headers],[D]],Database_Productkaarten[#All],14,FALSE)*Optimalisatie!J102),Baseline_Backlog!S100),0))</f>
        <v>0</v>
      </c>
      <c r="S100" s="301">
        <f>SUM(Inschrijf_MKI_Totaal[[#This Row],[A1-A3]:[C4]])+Inschrijf_MKI_Totaal[[#This Row],[D]]</f>
        <v>0</v>
      </c>
      <c r="AA100" s="9">
        <f>_xlfn.IFNA((VLOOKUP(Optimalisatie!AA102,Database_Asfalt_Verwijderset[#All],7,FALSE)*Optimalisatie!J102),0)</f>
        <v>0</v>
      </c>
      <c r="AB100" s="9" t="e">
        <f>(VLOOKUP(Optimalisatie!AA102,Database_Asfalt_Verwijderset[#All],7,FALSE)*Optimalisatie!J102)</f>
        <v>#N/A</v>
      </c>
      <c r="AC100" s="332">
        <f>(_xlfn.IFNA(VLOOKUP(Inschrijf_MKI_Totaal[[#This Row],[Product]]&amp;", "&amp;Inschrijf_MKI_Totaal[[#Headers],[C1]],Database_Productkaarten[#All],14,FALSE),0)*Optimalisatie!J102)</f>
        <v>0</v>
      </c>
    </row>
    <row r="101" spans="2:29" hidden="1">
      <c r="B101" s="272">
        <f>Optimalisatie!B103</f>
        <v>0</v>
      </c>
      <c r="C101" s="9">
        <f>Optimalisatie!F103</f>
        <v>0</v>
      </c>
      <c r="D101" s="9">
        <f>(IF(Optimalisatie!C103="Nieuwe Situatie",_xlfn.IFNA(IF(Optimalisatie!E103="Categorie_1_LCA_Producten",VLOOKUP(Inschrijf_MKI_Totaal[[#This Row],[Product]],Categorie_1_Producten[#All],8,FALSE)*(Optimalisatie!J103),VLOOKUP(Inschrijf_MKI_Totaal[[#This Row],[Product]]&amp;", "&amp;Inschrijf_MKI_Totaal[[#Headers],[A1]],Database_Productkaarten[#All],14,FALSE)*Optimalisatie!J103),Baseline_Backlog!D101),0))</f>
        <v>0</v>
      </c>
      <c r="E101" s="9">
        <f>(IF(Optimalisatie!C103="Nieuwe Situatie",_xlfn.IFNA(IF(Optimalisatie!E103="Categorie_1_LCA_Producten",VLOOKUP(Inschrijf_MKI_Totaal[[#This Row],[Product]],Categorie_1_Producten[#All],9,FALSE)*(Optimalisatie!J103),VLOOKUP(Inschrijf_MKI_Totaal[[#This Row],[Product]]&amp;", "&amp;Inschrijf_MKI_Totaal[[#Headers],[A2]],Database_Productkaarten[#All],14,FALSE)*Optimalisatie!J103),Baseline_Backlog!E101),0))</f>
        <v>0</v>
      </c>
      <c r="F101" s="9">
        <f>(IF(Optimalisatie!C103="Nieuwe Situatie",_xlfn.IFNA(IF(Optimalisatie!E103="Categorie_1_LCA_Producten",VLOOKUP(Inschrijf_MKI_Totaal[[#This Row],[Product]],Categorie_1_Producten[#All],10,FALSE)*(Optimalisatie!J103),VLOOKUP(Inschrijf_MKI_Totaal[[#This Row],[Product]]&amp;", "&amp;Inschrijf_MKI_Totaal[[#Headers],[A3]],Database_Productkaarten[#All],14,FALSE)*Optimalisatie!J103),Baseline_Backlog!F101),0))</f>
        <v>0</v>
      </c>
      <c r="G101" s="9">
        <f>(IF(Optimalisatie!C103="Nieuwe Situatie",_xlfn.IFNA(IF(Optimalisatie!E103="Categorie_1_LCA_Producten",VLOOKUP(Inschrijf_MKI_Totaal[[#This Row],[Product]],Categorie_1_Producten[#All],11,FALSE)*(Optimalisatie!J103),VLOOKUP(Inschrijf_MKI_Totaal[[#This Row],[Product]]&amp;", "&amp;Inschrijf_MKI_Totaal[[#Headers],[A1-A3]],Database_Productkaarten[#All],14,FALSE)*Optimalisatie!J103),Baseline_Backlog!G101),0))</f>
        <v>0</v>
      </c>
      <c r="H101" s="9">
        <f>(IF(Optimalisatie!C103="Nieuwe Situatie",_xlfn.IFNA(VLOOKUP(Optimalisatie!V103,Database_Transport[#All],7,FALSE)*((IF(Optimalisatie!R103=0,Baseline!Q103,Optimalisatie!R103))*Optimalisatie!U103),Baseline_Backlog!H101),0))</f>
        <v>0</v>
      </c>
      <c r="I101" s="9">
        <f>IF(Optimalisatie!C103="Nieuwe situatie",IF(_xlfn.IFNA((VLOOKUP(Optimalisatie!W103,Database_Asfalt_Aanlegset[#All],7,FALSE)*Optimalisatie!J103),0)+_xlfn.IFNA(VLOOKUP(Optimalisatie!X103,Database_Brandstoffen[#All],7,FALSE)*((Optimalisatie!J103/Optimalisatie!Z103)*Optimalisatie!Y103),0)&gt;0,_xlfn.IFNA((VLOOKUP(Optimalisatie!W103,Database_Asfalt_Aanlegset[#All],7,FALSE)*Optimalisatie!J103),0)+_xlfn.IFNA(VLOOKUP(Optimalisatie!X103,Database_Brandstoffen[#All],7,FALSE)*((Optimalisatie!J103/Optimalisatie!Z103)*Optimalisatie!Y103),0),(_xlfn.IFNA(VLOOKUP(Inschrijf_MKI_Totaal[[#This Row],[Product]]&amp;", "&amp;Inschrijf_MKI_Totaal[[#Headers],[A5]],Database_Productkaarten[#All],14,FALSE),0)*Optimalisatie!J103)),0)</f>
        <v>0</v>
      </c>
      <c r="J101" s="9"/>
      <c r="K101" s="9">
        <f>(IF(Optimalisatie!C103="Nieuwe Situatie",_xlfn.IFNA(SUM(Inschrijf_MKI_Totaal[[#This Row],[A1]:[B1]],Inschrijf_MKI_Totaal[[#This Row],[C1]:[D2]])*Optimalisatie!T103,0),0))</f>
        <v>0</v>
      </c>
      <c r="L101" s="9">
        <f>IF(Optimalisatie!C103="Bestaande situatie",IF(_xlfn.IFNA((VLOOKUP(Optimalisatie!AA103,Database_Asfalt_Verwijderset[#All],7,FALSE)*Optimalisatie!J103),0)+_xlfn.IFNA(VLOOKUP(Optimalisatie!AB103,Database_Brandstoffen[#All],7,FALSE)*((Optimalisatie!J103/Optimalisatie!AD103)*Optimalisatie!AC103),0)&gt;0,_xlfn.IFNA((VLOOKUP(Optimalisatie!AA103,Database_Asfalt_Verwijderset[#All],7,FALSE)*Optimalisatie!J103),0)+_xlfn.IFNA(VLOOKUP(Optimalisatie!AB103,Database_Brandstoffen[#All],7,FALSE)*((Optimalisatie!J103/Optimalisatie!AD103)*Optimalisatie!AC103),0),(_xlfn.IFNA(VLOOKUP(Inschrijf_MKI_Totaal[[#This Row],[Product]]&amp;", "&amp;Inschrijf_MKI_Totaal[[#Headers],[C1]],Database_Productkaarten[#All],14,FALSE),0)*Optimalisatie!J103)),0)</f>
        <v>0</v>
      </c>
      <c r="M101" s="9">
        <f>(IF(Optimalisatie!C103="Bestaande Situatie",_xlfn.IFNA(VLOOKUP(Optimalisatie!AF103,Database_Transport[#All],7,FALSE)*(Optimalisatie!R103*Optimalisatie!AE103),Baseline_Backlog!M101),0))</f>
        <v>0</v>
      </c>
      <c r="N101" s="9">
        <f>(IF(Optimalisatie!C103="Bestaande Situatie",_xlfn.IFNA(VLOOKUP(Optimalisatie!AG103,Database_Asfalt_Verwerkingsset[#All],7,FALSE)*(Optimalisatie!J103/VLOOKUP(Optimalisatie!AG103,Database_Asfalt_Verwerkingsset[#All],8,FALSE)),Baseline_Backlog!N101),0))</f>
        <v>0</v>
      </c>
      <c r="O101" s="9">
        <f>(IF(Optimalisatie!C103="Bestaande Situatie",_xlfn.IFNA(VLOOKUP(Inschrijf_MKI_Totaal[[#This Row],[Product]]&amp;", "&amp;Inschrijf_MKI_Totaal[[#Headers],[C4]],Database_Productkaarten[#All],14,FALSE),Baseline_Backlog!O101)*Optimalisatie!J103,0))</f>
        <v>0</v>
      </c>
      <c r="P101" s="9">
        <f>(IF(Optimalisatie!C103="Bestaande Situatie",_xlfn.IFNA(IF(Optimalisatie!E103="Categorie_1_LCA_Producten",VLOOKUP(Inschrijf_MKI_Totaal[[#This Row],[Product]],Categorie_1_Producten[#All],12,FALSE)*(Optimalisatie!J103),VLOOKUP(Inschrijf_MKI_Totaal[[#This Row],[Product]]&amp;", "&amp;Inschrijf_MKI_Totaal[[#Headers],[D1]],Database_Productkaarten[#All],14,FALSE)*Optimalisatie!J103),Baseline_Backlog!P101),0))</f>
        <v>0</v>
      </c>
      <c r="Q101" s="9">
        <f>(IF(Optimalisatie!C103="Bestaande Situatie",_xlfn.IFNA(IF(Optimalisatie!E103="Categorie_1_LCA_Producten",VLOOKUP(Inschrijf_MKI_Totaal[[#This Row],[Product]],Categorie_1_Producten[#All],13,FALSE)*(Optimalisatie!J103),VLOOKUP(Inschrijf_MKI_Totaal[[#This Row],[Product]]&amp;", "&amp;Inschrijf_MKI_Totaal[[#Headers],[D2]],Database_Productkaarten[#All],14,FALSE)*Optimalisatie!J103),Baseline_Backlog!Q101),0))</f>
        <v>0</v>
      </c>
      <c r="R101" s="9">
        <f>(IF(Optimalisatie!C103="Bestaande Situatie",_xlfn.IFNA(IF(Optimalisatie!E103="Categorie_1_LCA_Producten",VLOOKUP(Inschrijf_MKI_Totaal[[#This Row],[Product]],Categorie_1_Producten[#All],13,FALSE)*(Optimalisatie!J103),VLOOKUP(Inschrijf_MKI_Totaal[[#This Row],[Product]]&amp;", "&amp;Inschrijf_MKI_Totaal[[#Headers],[D]],Database_Productkaarten[#All],14,FALSE)*Optimalisatie!J103),Baseline_Backlog!S101),0))</f>
        <v>0</v>
      </c>
      <c r="S101" s="301">
        <f>SUM(Inschrijf_MKI_Totaal[[#This Row],[A1-A3]:[C4]])+Inschrijf_MKI_Totaal[[#This Row],[D]]</f>
        <v>0</v>
      </c>
      <c r="AA101" s="9">
        <f>_xlfn.IFNA((VLOOKUP(Optimalisatie!AA103,Database_Asfalt_Verwijderset[#All],7,FALSE)*Optimalisatie!J103),0)</f>
        <v>0</v>
      </c>
      <c r="AB101" s="9" t="e">
        <f>(VLOOKUP(Optimalisatie!AA103,Database_Asfalt_Verwijderset[#All],7,FALSE)*Optimalisatie!J103)</f>
        <v>#N/A</v>
      </c>
      <c r="AC101" s="332">
        <f>(_xlfn.IFNA(VLOOKUP(Inschrijf_MKI_Totaal[[#This Row],[Product]]&amp;", "&amp;Inschrijf_MKI_Totaal[[#Headers],[C1]],Database_Productkaarten[#All],14,FALSE),0)*Optimalisatie!J103)</f>
        <v>0</v>
      </c>
    </row>
    <row r="102" spans="2:29" hidden="1">
      <c r="B102" s="272">
        <f>Optimalisatie!B104</f>
        <v>0</v>
      </c>
      <c r="C102" s="9">
        <f>Optimalisatie!F104</f>
        <v>0</v>
      </c>
      <c r="D102" s="9">
        <f>(IF(Optimalisatie!C104="Nieuwe Situatie",_xlfn.IFNA(IF(Optimalisatie!E104="Categorie_1_LCA_Producten",VLOOKUP(Inschrijf_MKI_Totaal[[#This Row],[Product]],Categorie_1_Producten[#All],8,FALSE)*(Optimalisatie!J104),VLOOKUP(Inschrijf_MKI_Totaal[[#This Row],[Product]]&amp;", "&amp;Inschrijf_MKI_Totaal[[#Headers],[A1]],Database_Productkaarten[#All],14,FALSE)*Optimalisatie!J104),Baseline_Backlog!D102),0))</f>
        <v>0</v>
      </c>
      <c r="E102" s="9">
        <f>(IF(Optimalisatie!C104="Nieuwe Situatie",_xlfn.IFNA(IF(Optimalisatie!E104="Categorie_1_LCA_Producten",VLOOKUP(Inschrijf_MKI_Totaal[[#This Row],[Product]],Categorie_1_Producten[#All],9,FALSE)*(Optimalisatie!J104),VLOOKUP(Inschrijf_MKI_Totaal[[#This Row],[Product]]&amp;", "&amp;Inschrijf_MKI_Totaal[[#Headers],[A2]],Database_Productkaarten[#All],14,FALSE)*Optimalisatie!J104),Baseline_Backlog!E102),0))</f>
        <v>0</v>
      </c>
      <c r="F102" s="9">
        <f>(IF(Optimalisatie!C104="Nieuwe Situatie",_xlfn.IFNA(IF(Optimalisatie!E104="Categorie_1_LCA_Producten",VLOOKUP(Inschrijf_MKI_Totaal[[#This Row],[Product]],Categorie_1_Producten[#All],10,FALSE)*(Optimalisatie!J104),VLOOKUP(Inschrijf_MKI_Totaal[[#This Row],[Product]]&amp;", "&amp;Inschrijf_MKI_Totaal[[#Headers],[A3]],Database_Productkaarten[#All],14,FALSE)*Optimalisatie!J104),Baseline_Backlog!F102),0))</f>
        <v>0</v>
      </c>
      <c r="G102" s="9">
        <f>(IF(Optimalisatie!C104="Nieuwe Situatie",_xlfn.IFNA(IF(Optimalisatie!E104="Categorie_1_LCA_Producten",VLOOKUP(Inschrijf_MKI_Totaal[[#This Row],[Product]],Categorie_1_Producten[#All],11,FALSE)*(Optimalisatie!J104),VLOOKUP(Inschrijf_MKI_Totaal[[#This Row],[Product]]&amp;", "&amp;Inschrijf_MKI_Totaal[[#Headers],[A1-A3]],Database_Productkaarten[#All],14,FALSE)*Optimalisatie!J104),Baseline_Backlog!G102),0))</f>
        <v>0</v>
      </c>
      <c r="H102" s="9">
        <f>(IF(Optimalisatie!C104="Nieuwe Situatie",_xlfn.IFNA(VLOOKUP(Optimalisatie!V104,Database_Transport[#All],7,FALSE)*((IF(Optimalisatie!R104=0,Baseline!Q104,Optimalisatie!R104))*Optimalisatie!U104),Baseline_Backlog!H102),0))</f>
        <v>0</v>
      </c>
      <c r="I102" s="9">
        <f>IF(Optimalisatie!C104="Nieuwe situatie",IF(_xlfn.IFNA((VLOOKUP(Optimalisatie!W104,Database_Asfalt_Aanlegset[#All],7,FALSE)*Optimalisatie!J104),0)+_xlfn.IFNA(VLOOKUP(Optimalisatie!X104,Database_Brandstoffen[#All],7,FALSE)*((Optimalisatie!J104/Optimalisatie!Z104)*Optimalisatie!Y104),0)&gt;0,_xlfn.IFNA((VLOOKUP(Optimalisatie!W104,Database_Asfalt_Aanlegset[#All],7,FALSE)*Optimalisatie!J104),0)+_xlfn.IFNA(VLOOKUP(Optimalisatie!X104,Database_Brandstoffen[#All],7,FALSE)*((Optimalisatie!J104/Optimalisatie!Z104)*Optimalisatie!Y104),0),(_xlfn.IFNA(VLOOKUP(Inschrijf_MKI_Totaal[[#This Row],[Product]]&amp;", "&amp;Inschrijf_MKI_Totaal[[#Headers],[A5]],Database_Productkaarten[#All],14,FALSE),0)*Optimalisatie!J104)),0)</f>
        <v>0</v>
      </c>
      <c r="J102" s="9"/>
      <c r="K102" s="9">
        <f>(IF(Optimalisatie!C104="Nieuwe Situatie",_xlfn.IFNA(SUM(Inschrijf_MKI_Totaal[[#This Row],[A1]:[B1]],Inschrijf_MKI_Totaal[[#This Row],[C1]:[D2]])*Optimalisatie!T104,0),0))</f>
        <v>0</v>
      </c>
      <c r="L102" s="9">
        <f>IF(Optimalisatie!C104="Bestaande situatie",IF(_xlfn.IFNA((VLOOKUP(Optimalisatie!AA104,Database_Asfalt_Verwijderset[#All],7,FALSE)*Optimalisatie!J104),0)+_xlfn.IFNA(VLOOKUP(Optimalisatie!AB104,Database_Brandstoffen[#All],7,FALSE)*((Optimalisatie!J104/Optimalisatie!AD104)*Optimalisatie!AC104),0)&gt;0,_xlfn.IFNA((VLOOKUP(Optimalisatie!AA104,Database_Asfalt_Verwijderset[#All],7,FALSE)*Optimalisatie!J104),0)+_xlfn.IFNA(VLOOKUP(Optimalisatie!AB104,Database_Brandstoffen[#All],7,FALSE)*((Optimalisatie!J104/Optimalisatie!AD104)*Optimalisatie!AC104),0),(_xlfn.IFNA(VLOOKUP(Inschrijf_MKI_Totaal[[#This Row],[Product]]&amp;", "&amp;Inschrijf_MKI_Totaal[[#Headers],[C1]],Database_Productkaarten[#All],14,FALSE),0)*Optimalisatie!J104)),0)</f>
        <v>0</v>
      </c>
      <c r="M102" s="9">
        <f>(IF(Optimalisatie!C104="Bestaande Situatie",_xlfn.IFNA(VLOOKUP(Optimalisatie!AF104,Database_Transport[#All],7,FALSE)*(Optimalisatie!R104*Optimalisatie!AE104),Baseline_Backlog!M102),0))</f>
        <v>0</v>
      </c>
      <c r="N102" s="9">
        <f>(IF(Optimalisatie!C104="Bestaande Situatie",_xlfn.IFNA(VLOOKUP(Optimalisatie!AG104,Database_Asfalt_Verwerkingsset[#All],7,FALSE)*(Optimalisatie!J104/VLOOKUP(Optimalisatie!AG104,Database_Asfalt_Verwerkingsset[#All],8,FALSE)),Baseline_Backlog!N102),0))</f>
        <v>0</v>
      </c>
      <c r="O102" s="9">
        <f>(IF(Optimalisatie!C104="Bestaande Situatie",_xlfn.IFNA(VLOOKUP(Inschrijf_MKI_Totaal[[#This Row],[Product]]&amp;", "&amp;Inschrijf_MKI_Totaal[[#Headers],[C4]],Database_Productkaarten[#All],14,FALSE),Baseline_Backlog!O102)*Optimalisatie!J104,0))</f>
        <v>0</v>
      </c>
      <c r="P102" s="9">
        <f>(IF(Optimalisatie!C104="Bestaande Situatie",_xlfn.IFNA(IF(Optimalisatie!E104="Categorie_1_LCA_Producten",VLOOKUP(Inschrijf_MKI_Totaal[[#This Row],[Product]],Categorie_1_Producten[#All],12,FALSE)*(Optimalisatie!J104),VLOOKUP(Inschrijf_MKI_Totaal[[#This Row],[Product]]&amp;", "&amp;Inschrijf_MKI_Totaal[[#Headers],[D1]],Database_Productkaarten[#All],14,FALSE)*Optimalisatie!J104),Baseline_Backlog!P102),0))</f>
        <v>0</v>
      </c>
      <c r="Q102" s="9">
        <f>(IF(Optimalisatie!C104="Bestaande Situatie",_xlfn.IFNA(IF(Optimalisatie!E104="Categorie_1_LCA_Producten",VLOOKUP(Inschrijf_MKI_Totaal[[#This Row],[Product]],Categorie_1_Producten[#All],13,FALSE)*(Optimalisatie!J104),VLOOKUP(Inschrijf_MKI_Totaal[[#This Row],[Product]]&amp;", "&amp;Inschrijf_MKI_Totaal[[#Headers],[D2]],Database_Productkaarten[#All],14,FALSE)*Optimalisatie!J104),Baseline_Backlog!Q102),0))</f>
        <v>0</v>
      </c>
      <c r="R102" s="9">
        <f>(IF(Optimalisatie!C104="Bestaande Situatie",_xlfn.IFNA(IF(Optimalisatie!E104="Categorie_1_LCA_Producten",VLOOKUP(Inschrijf_MKI_Totaal[[#This Row],[Product]],Categorie_1_Producten[#All],13,FALSE)*(Optimalisatie!J104),VLOOKUP(Inschrijf_MKI_Totaal[[#This Row],[Product]]&amp;", "&amp;Inschrijf_MKI_Totaal[[#Headers],[D]],Database_Productkaarten[#All],14,FALSE)*Optimalisatie!J104),Baseline_Backlog!S102),0))</f>
        <v>0</v>
      </c>
      <c r="S102" s="301">
        <f>SUM(Inschrijf_MKI_Totaal[[#This Row],[A1-A3]:[C4]])+Inschrijf_MKI_Totaal[[#This Row],[D]]</f>
        <v>0</v>
      </c>
      <c r="AA102" s="9">
        <f>_xlfn.IFNA((VLOOKUP(Optimalisatie!AA104,Database_Asfalt_Verwijderset[#All],7,FALSE)*Optimalisatie!J104),0)</f>
        <v>0</v>
      </c>
      <c r="AB102" s="9" t="e">
        <f>(VLOOKUP(Optimalisatie!AA104,Database_Asfalt_Verwijderset[#All],7,FALSE)*Optimalisatie!J104)</f>
        <v>#N/A</v>
      </c>
      <c r="AC102" s="332">
        <f>(_xlfn.IFNA(VLOOKUP(Inschrijf_MKI_Totaal[[#This Row],[Product]]&amp;", "&amp;Inschrijf_MKI_Totaal[[#Headers],[C1]],Database_Productkaarten[#All],14,FALSE),0)*Optimalisatie!J104)</f>
        <v>0</v>
      </c>
    </row>
    <row r="103" spans="2:29" hidden="1">
      <c r="B103" s="272">
        <f>Optimalisatie!B105</f>
        <v>0</v>
      </c>
      <c r="C103" s="9">
        <f>Optimalisatie!F105</f>
        <v>0</v>
      </c>
      <c r="D103" s="9">
        <f>(IF(Optimalisatie!C105="Nieuwe Situatie",_xlfn.IFNA(IF(Optimalisatie!E105="Categorie_1_LCA_Producten",VLOOKUP(Inschrijf_MKI_Totaal[[#This Row],[Product]],Categorie_1_Producten[#All],8,FALSE)*(Optimalisatie!J105),VLOOKUP(Inschrijf_MKI_Totaal[[#This Row],[Product]]&amp;", "&amp;Inschrijf_MKI_Totaal[[#Headers],[A1]],Database_Productkaarten[#All],14,FALSE)*Optimalisatie!J105),Baseline_Backlog!D103),0))</f>
        <v>0</v>
      </c>
      <c r="E103" s="9">
        <f>(IF(Optimalisatie!C105="Nieuwe Situatie",_xlfn.IFNA(IF(Optimalisatie!E105="Categorie_1_LCA_Producten",VLOOKUP(Inschrijf_MKI_Totaal[[#This Row],[Product]],Categorie_1_Producten[#All],9,FALSE)*(Optimalisatie!J105),VLOOKUP(Inschrijf_MKI_Totaal[[#This Row],[Product]]&amp;", "&amp;Inschrijf_MKI_Totaal[[#Headers],[A2]],Database_Productkaarten[#All],14,FALSE)*Optimalisatie!J105),Baseline_Backlog!E103),0))</f>
        <v>0</v>
      </c>
      <c r="F103" s="9">
        <f>(IF(Optimalisatie!C105="Nieuwe Situatie",_xlfn.IFNA(IF(Optimalisatie!E105="Categorie_1_LCA_Producten",VLOOKUP(Inschrijf_MKI_Totaal[[#This Row],[Product]],Categorie_1_Producten[#All],10,FALSE)*(Optimalisatie!J105),VLOOKUP(Inschrijf_MKI_Totaal[[#This Row],[Product]]&amp;", "&amp;Inschrijf_MKI_Totaal[[#Headers],[A3]],Database_Productkaarten[#All],14,FALSE)*Optimalisatie!J105),Baseline_Backlog!F103),0))</f>
        <v>0</v>
      </c>
      <c r="G103" s="9">
        <f>(IF(Optimalisatie!C105="Nieuwe Situatie",_xlfn.IFNA(IF(Optimalisatie!E105="Categorie_1_LCA_Producten",VLOOKUP(Inschrijf_MKI_Totaal[[#This Row],[Product]],Categorie_1_Producten[#All],11,FALSE)*(Optimalisatie!J105),VLOOKUP(Inschrijf_MKI_Totaal[[#This Row],[Product]]&amp;", "&amp;Inschrijf_MKI_Totaal[[#Headers],[A1-A3]],Database_Productkaarten[#All],14,FALSE)*Optimalisatie!J105),Baseline_Backlog!G103),0))</f>
        <v>0</v>
      </c>
      <c r="H103" s="9">
        <f>(IF(Optimalisatie!C105="Nieuwe Situatie",_xlfn.IFNA(VLOOKUP(Optimalisatie!V105,Database_Transport[#All],7,FALSE)*((IF(Optimalisatie!R105=0,Baseline!Q105,Optimalisatie!R105))*Optimalisatie!U105),Baseline_Backlog!H103),0))</f>
        <v>0</v>
      </c>
      <c r="I103" s="9">
        <f>IF(Optimalisatie!C105="Nieuwe situatie",IF(_xlfn.IFNA((VLOOKUP(Optimalisatie!W105,Database_Asfalt_Aanlegset[#All],7,FALSE)*Optimalisatie!J105),0)+_xlfn.IFNA(VLOOKUP(Optimalisatie!X105,Database_Brandstoffen[#All],7,FALSE)*((Optimalisatie!J105/Optimalisatie!Z105)*Optimalisatie!Y105),0)&gt;0,_xlfn.IFNA((VLOOKUP(Optimalisatie!W105,Database_Asfalt_Aanlegset[#All],7,FALSE)*Optimalisatie!J105),0)+_xlfn.IFNA(VLOOKUP(Optimalisatie!X105,Database_Brandstoffen[#All],7,FALSE)*((Optimalisatie!J105/Optimalisatie!Z105)*Optimalisatie!Y105),0),(_xlfn.IFNA(VLOOKUP(Inschrijf_MKI_Totaal[[#This Row],[Product]]&amp;", "&amp;Inschrijf_MKI_Totaal[[#Headers],[A5]],Database_Productkaarten[#All],14,FALSE),0)*Optimalisatie!J105)),0)</f>
        <v>0</v>
      </c>
      <c r="J103" s="9"/>
      <c r="K103" s="9">
        <f>(IF(Optimalisatie!C105="Nieuwe Situatie",_xlfn.IFNA(SUM(Inschrijf_MKI_Totaal[[#This Row],[A1]:[B1]],Inschrijf_MKI_Totaal[[#This Row],[C1]:[D2]])*Optimalisatie!T105,0),0))</f>
        <v>0</v>
      </c>
      <c r="L103" s="9">
        <f>IF(Optimalisatie!C105="Bestaande situatie",IF(_xlfn.IFNA((VLOOKUP(Optimalisatie!AA105,Database_Asfalt_Verwijderset[#All],7,FALSE)*Optimalisatie!J105),0)+_xlfn.IFNA(VLOOKUP(Optimalisatie!AB105,Database_Brandstoffen[#All],7,FALSE)*((Optimalisatie!J105/Optimalisatie!AD105)*Optimalisatie!AC105),0)&gt;0,_xlfn.IFNA((VLOOKUP(Optimalisatie!AA105,Database_Asfalt_Verwijderset[#All],7,FALSE)*Optimalisatie!J105),0)+_xlfn.IFNA(VLOOKUP(Optimalisatie!AB105,Database_Brandstoffen[#All],7,FALSE)*((Optimalisatie!J105/Optimalisatie!AD105)*Optimalisatie!AC105),0),(_xlfn.IFNA(VLOOKUP(Inschrijf_MKI_Totaal[[#This Row],[Product]]&amp;", "&amp;Inschrijf_MKI_Totaal[[#Headers],[C1]],Database_Productkaarten[#All],14,FALSE),0)*Optimalisatie!J105)),0)</f>
        <v>0</v>
      </c>
      <c r="M103" s="9">
        <f>(IF(Optimalisatie!C105="Bestaande Situatie",_xlfn.IFNA(VLOOKUP(Optimalisatie!AD105,Database_Transport[#All],7,FALSE)*(Optimalisatie!R105*Optimalisatie!AC105),Baseline_Backlog!M103),0))</f>
        <v>0</v>
      </c>
      <c r="N103" s="9">
        <f>(IF(Optimalisatie!C105="Bestaande Situatie",_xlfn.IFNA(VLOOKUP(Optimalisatie!AE105,Database_Asfalt_Verwerkingsset[#All],7,FALSE)*(Optimalisatie!J105/VLOOKUP(Optimalisatie!AE105,Database_Asfalt_Verwerkingsset[#All],8,FALSE)),Baseline_Backlog!N103),0))</f>
        <v>0</v>
      </c>
      <c r="O103" s="9">
        <f>(IF(Optimalisatie!C105="Bestaande Situatie",_xlfn.IFNA(VLOOKUP(Inschrijf_MKI_Totaal[[#This Row],[Product]]&amp;", "&amp;Inschrijf_MKI_Totaal[[#Headers],[C4]],Database_Productkaarten[#All],14,FALSE),Baseline_Backlog!O103)*Optimalisatie!J105,0))</f>
        <v>0</v>
      </c>
      <c r="P103" s="9">
        <f>(IF(Optimalisatie!C105="Bestaande Situatie",_xlfn.IFNA(IF(Optimalisatie!E105="Categorie_1_LCA_Producten",VLOOKUP(Inschrijf_MKI_Totaal[[#This Row],[Product]],Categorie_1_Producten[#All],12,FALSE)*(Optimalisatie!J105),VLOOKUP(Inschrijf_MKI_Totaal[[#This Row],[Product]]&amp;", "&amp;Inschrijf_MKI_Totaal[[#Headers],[D1]],Database_Productkaarten[#All],14,FALSE)*Optimalisatie!J105),Baseline_Backlog!P103),0))</f>
        <v>0</v>
      </c>
      <c r="Q103" s="9">
        <f>(IF(Optimalisatie!C105="Bestaande Situatie",_xlfn.IFNA(IF(Optimalisatie!E105="Categorie_1_LCA_Producten",VLOOKUP(Inschrijf_MKI_Totaal[[#This Row],[Product]],Categorie_1_Producten[#All],13,FALSE)*(Optimalisatie!J105),VLOOKUP(Inschrijf_MKI_Totaal[[#This Row],[Product]]&amp;", "&amp;Inschrijf_MKI_Totaal[[#Headers],[D2]],Database_Productkaarten[#All],14,FALSE)*Optimalisatie!J105),Baseline_Backlog!Q103),0))</f>
        <v>0</v>
      </c>
      <c r="R103" s="9">
        <f>(IF(Optimalisatie!C105="Bestaande Situatie",_xlfn.IFNA(IF(Optimalisatie!E105="Categorie_1_LCA_Producten",VLOOKUP(Inschrijf_MKI_Totaal[[#This Row],[Product]],Categorie_1_Producten[#All],13,FALSE)*(Optimalisatie!J105),VLOOKUP(Inschrijf_MKI_Totaal[[#This Row],[Product]]&amp;", "&amp;Inschrijf_MKI_Totaal[[#Headers],[D]],Database_Productkaarten[#All],14,FALSE)*Optimalisatie!J105),Baseline_Backlog!S103),0))</f>
        <v>0</v>
      </c>
      <c r="S103" s="301">
        <f>SUM(Inschrijf_MKI_Totaal[[#This Row],[A1-A3]:[C4]])+Inschrijf_MKI_Totaal[[#This Row],[D]]</f>
        <v>0</v>
      </c>
      <c r="AA103" s="9">
        <f>_xlfn.IFNA((VLOOKUP(Optimalisatie!Z105,Database_Asfalt_Verwijderset[#All],7,FALSE)*Optimalisatie!J105),0)</f>
        <v>0</v>
      </c>
      <c r="AB103" s="9" t="e">
        <f>(VLOOKUP(Optimalisatie!Z105,Database_Asfalt_Verwijderset[#All],7,FALSE)*Optimalisatie!J105)</f>
        <v>#N/A</v>
      </c>
      <c r="AC103" s="332">
        <f>(_xlfn.IFNA(VLOOKUP(Inschrijf_MKI_Totaal[[#This Row],[Product]]&amp;", "&amp;Inschrijf_MKI_Totaal[[#Headers],[C1]],Database_Productkaarten[#All],14,FALSE),0)*Optimalisatie!J105)</f>
        <v>0</v>
      </c>
    </row>
    <row r="104" spans="2:29">
      <c r="B104" s="1" t="s">
        <v>90</v>
      </c>
      <c r="C104"/>
      <c r="D104" s="90">
        <f>SUBTOTAL(109,Inschrijf_MKI_Totaal[A1])</f>
        <v>11857.5633</v>
      </c>
      <c r="E104" s="90">
        <f>SUBTOTAL(109,Inschrijf_MKI_Totaal[A2])</f>
        <v>0</v>
      </c>
      <c r="F104" s="90">
        <f>SUBTOTAL(109,Inschrijf_MKI_Totaal[A3])</f>
        <v>0</v>
      </c>
      <c r="G104" s="90">
        <f>SUBTOTAL(109,Inschrijf_MKI_Totaal[A1-A3])</f>
        <v>71139.94975</v>
      </c>
      <c r="H104" s="90">
        <f>SUBTOTAL(109,Inschrijf_MKI_Totaal[A4])</f>
        <v>5614.0799392869967</v>
      </c>
      <c r="I104" s="90">
        <f>SUBTOTAL(109,Inschrijf_MKI_Totaal[A5])</f>
        <v>24369.94909991193</v>
      </c>
      <c r="J104" s="90">
        <f>SUBTOTAL(109,Inschrijf_MKI_Totaal[B1])</f>
        <v>0</v>
      </c>
      <c r="K104" s="90">
        <f>SUBTOTAL(109,Inschrijf_MKI_Totaal[B4])</f>
        <v>0</v>
      </c>
      <c r="L104" s="90">
        <f>SUBTOTAL(109,Inschrijf_MKI_Totaal[C1])</f>
        <v>6661.7814402061194</v>
      </c>
      <c r="M104" s="90">
        <f>SUBTOTAL(109,Inschrijf_MKI_Totaal[C2])</f>
        <v>5961.5821132961337</v>
      </c>
      <c r="N104" s="90">
        <f>SUBTOTAL(109,Inschrijf_MKI_Totaal[C3])</f>
        <v>1809.0630398004366</v>
      </c>
      <c r="O104" s="90">
        <f>SUBTOTAL(109,Inschrijf_MKI_Totaal[C4])</f>
        <v>1127.5805425600001</v>
      </c>
      <c r="P104" s="90">
        <f>SUBTOTAL(109,Inschrijf_MKI_Totaal[D1])</f>
        <v>-21780.565500000001</v>
      </c>
      <c r="Q104" s="90">
        <f>SUBTOTAL(109,Inschrijf_MKI_Totaal[D2])</f>
        <v>0</v>
      </c>
      <c r="R104" s="90">
        <f>SUBTOTAL(109,Inschrijf_MKI_Totaal[D])</f>
        <v>-34937.049543125657</v>
      </c>
      <c r="S104" s="90">
        <f>SUBTOTAL(109,Inschrijf_MKI_Totaal[Totaal])</f>
        <v>81746.936381935957</v>
      </c>
      <c r="AA104" s="1"/>
      <c r="AB104" s="1"/>
      <c r="AC104" s="1"/>
    </row>
    <row r="105" spans="2:29">
      <c r="B105" s="13"/>
      <c r="D105" s="125"/>
      <c r="E105" s="125"/>
      <c r="F105" s="125"/>
      <c r="G105" s="125"/>
      <c r="H105" s="125"/>
      <c r="I105" s="125"/>
      <c r="J105" s="125"/>
      <c r="K105" s="125"/>
      <c r="L105" s="125"/>
      <c r="M105" s="125"/>
      <c r="N105" s="125"/>
      <c r="O105" s="125"/>
      <c r="P105" s="125"/>
    </row>
    <row r="107" spans="2:29" ht="18">
      <c r="B107" s="110" t="s">
        <v>106</v>
      </c>
      <c r="C107" s="110"/>
      <c r="D107" s="110"/>
    </row>
    <row r="108" spans="2:29">
      <c r="B108" s="1" t="s">
        <v>214</v>
      </c>
      <c r="C108" s="1" t="s">
        <v>7</v>
      </c>
      <c r="D108" s="18" t="s">
        <v>74</v>
      </c>
      <c r="E108" s="19" t="s">
        <v>75</v>
      </c>
      <c r="F108" s="20" t="s">
        <v>76</v>
      </c>
      <c r="G108" s="18" t="s">
        <v>77</v>
      </c>
      <c r="H108" s="21" t="s">
        <v>78</v>
      </c>
      <c r="I108" s="22" t="s">
        <v>79</v>
      </c>
      <c r="J108" s="23" t="s">
        <v>80</v>
      </c>
      <c r="K108" s="24" t="s">
        <v>82</v>
      </c>
      <c r="L108" s="25" t="s">
        <v>83</v>
      </c>
      <c r="M108" s="26" t="s">
        <v>84</v>
      </c>
      <c r="N108" s="27" t="s">
        <v>85</v>
      </c>
      <c r="O108" s="28" t="s">
        <v>86</v>
      </c>
      <c r="P108" s="29" t="s">
        <v>87</v>
      </c>
      <c r="Q108" s="30" t="s">
        <v>88</v>
      </c>
      <c r="R108" s="29" t="s">
        <v>89</v>
      </c>
      <c r="S108" s="143" t="s">
        <v>90</v>
      </c>
    </row>
    <row r="109" spans="2:29">
      <c r="B109" s="208" t="str">
        <f>Optimalisatie!B6</f>
        <v xml:space="preserve">121110 - Opbreken trottoirband </v>
      </c>
      <c r="C109" s="1" t="str">
        <f>Optimalisatie!F6</f>
        <v>Trottoirband 130/150x250</v>
      </c>
      <c r="D109" s="91">
        <f>(IF(Optimalisatie!C6="Nieuwe Situatie",_xlfn.IFNA(IF(Optimalisatie!E6="Categorie_1_LCA_Producten",VLOOKUP(Inschrijf_CO2_Totaal[[#This Row],[Product]],Categorie_1_Producten[#All],14,FALSE)*(Optimalisatie!J6),VLOOKUP(Inschrijf_CO2_Totaal[[#This Row],[Product]]&amp;", "&amp;Inschrijf_CO2_Totaal[[#Headers],[A1]],Database_Productkaarten[#All],18,FALSE)*Optimalisatie!J6),Baseline_Backlog!D109),0))</f>
        <v>0</v>
      </c>
      <c r="E109" s="91">
        <f>(IF(Optimalisatie!C6="Nieuwe Situatie",_xlfn.IFNA(IF(Optimalisatie!E6="Categorie_1_LCA_Producten",VLOOKUP(Inschrijf_CO2_Totaal[[#This Row],[Product]],Categorie_1_Producten[#All],15,FALSE)*(Optimalisatie!J6),VLOOKUP(Inschrijf_CO2_Totaal[[#This Row],[Product]]&amp;", "&amp;Inschrijf_CO2_Totaal[[#Headers],[A2]],Database_Productkaarten[#All],18,FALSE)*Optimalisatie!J6),Baseline_Backlog!E109),0))</f>
        <v>0</v>
      </c>
      <c r="F109" s="91">
        <f>(IF(Optimalisatie!C6="Nieuwe Situatie",_xlfn.IFNA(IF(Optimalisatie!E6="Categorie_1_LCA_Producten",VLOOKUP(Inschrijf_CO2_Totaal[[#This Row],[Product]],Categorie_1_Producten[#All],16,FALSE)*(Optimalisatie!J6),VLOOKUP(Inschrijf_CO2_Totaal[[#This Row],[Product]]&amp;", "&amp;Inschrijf_CO2_Totaal[[#Headers],[A3]],Database_Productkaarten[#All],18,FALSE)*Optimalisatie!J6),Baseline_Backlog!F109),0))</f>
        <v>0</v>
      </c>
      <c r="G109" s="91">
        <f>(IF(Optimalisatie!C6="Nieuwe Situatie",_xlfn.IFNA(IF(Optimalisatie!E6="Categorie_1_LCA_Producten",VLOOKUP(Inschrijf_CO2_Totaal[[#This Row],[Product]],Categorie_1_Producten[#All],19,FALSE)*(Optimalisatie!J6),VLOOKUP(Inschrijf_CO2_Totaal[[#This Row],[Product]]&amp;", "&amp;Inschrijf_CO2_Totaal[[#Headers],[A1-A3]],Database_Productkaarten[#All],18,FALSE)*Optimalisatie!J6),Baseline_Backlog!G109),0))</f>
        <v>0</v>
      </c>
      <c r="H109" s="91">
        <f>(IF(Optimalisatie!C6="Nieuwe Situatie",_xlfn.IFNA(VLOOKUP(Optimalisatie!V6,Database_Transport[#All],12,FALSE)*(Optimalisatie!R6*Optimalisatie!U6),Baseline_Backlog!H109),0))</f>
        <v>0</v>
      </c>
      <c r="I109" s="91">
        <f>IF(Optimalisatie!C6="Nieuwe situatie",IF(_xlfn.IFNA((VLOOKUP(Optimalisatie!W6,Database_Asfalt_Aanlegset[#All],12,FALSE)*Optimalisatie!J6),0)+_xlfn.IFNA(VLOOKUP(Optimalisatie!X6,Database_Brandstoffen[#All],12,FALSE)*((Optimalisatie!J6/Optimalisatie!Z6)*Optimalisatie!Y6),0)&gt;0,_xlfn.IFNA((VLOOKUP(Optimalisatie!W6,Database_Asfalt_Aanlegset[#All],12,FALSE)*Optimalisatie!J6),0)+_xlfn.IFNA(VLOOKUP(Optimalisatie!X6,Database_Brandstoffen[#All],12,FALSE)*((Optimalisatie!J6/Optimalisatie!Z6)*Optimalisatie!Y6),0),(_xlfn.IFNA(VLOOKUP(Inschrijf_CO2_Totaal[[#This Row],[Product]]&amp;", "&amp;Inschrijf_MKI_Totaal[[#Headers],[A5]],Database_Productkaarten[#All],18,FALSE),0)*Optimalisatie!J6)),0)</f>
        <v>0</v>
      </c>
      <c r="J109" s="91">
        <f>(IF(Optimalisatie!C6="Nieuwe Situatie",_xlfn.IFNA(IF(Optimalisatie!E6="Categorie_1_LCA_Producten",VLOOKUP(Inschrijf_CO2_Totaal[[#This Row],[Product]],Categorie_1_Producten[#All],20,FALSE)*(Optimalisatie!R6),VLOOKUP(Inschrijf_CO2_Totaal[[#This Row],[Product]]&amp;", "&amp;Inschrijf_CO2_Totaal[[#Headers],[B1]],Database_Productkaarten[#All],18,FALSE)*Optimalisatie!J6),Baseline_Backlog!J109),0))</f>
        <v>0</v>
      </c>
      <c r="K109" s="91">
        <f>(IF(Optimalisatie!C6="Nieuwe Situatie",_xlfn.IFNA(SUM(Inschrijf_CO2_Totaal[[#This Row],[A1]:[B1]],Inschrijf_CO2_Totaal[[#This Row],[C1]:[D2]])*Optimalisatie!T6,0),0))</f>
        <v>0</v>
      </c>
      <c r="L109" s="91">
        <f>IF(Optimalisatie!C6="Bestaande situatie",IF(_xlfn.IFNA((VLOOKUP(Optimalisatie!AA6,Database_Asfalt_Verwijderset[#All],12,FALSE)*Optimalisatie!J6),0)+_xlfn.IFNA(VLOOKUP(Optimalisatie!AB6,Database_Brandstoffen[#All],12,FALSE)*((Optimalisatie!J6/Optimalisatie!AD6)*Optimalisatie!AC6),0)&gt;0,_xlfn.IFNA((VLOOKUP(Optimalisatie!AA6,Database_Asfalt_Verwijderset[#All],12,FALSE)*Optimalisatie!J6),0)+_xlfn.IFNA(VLOOKUP(Optimalisatie!AB6,Database_Brandstoffen[#All],12,FALSE)*((Optimalisatie!J6/Optimalisatie!AD6)*Optimalisatie!AC6),0),(_xlfn.IFNA(VLOOKUP(Inschrijf_CO2_Totaal[[#This Row],[Product]]&amp;", "&amp;Inschrijf_MKI_Totaal[[#Headers],[C1]],Database_Productkaarten[#All],18,FALSE),0)*Optimalisatie!J6)),0)</f>
        <v>3514.075206424513</v>
      </c>
      <c r="M109" s="91">
        <f>(IF(Optimalisatie!C6="Bestaande Situatie",_xlfn.IFNA(VLOOKUP(Optimalisatie!AF6,Database_Transport[#All],12,FALSE)*(Optimalisatie!R6*Optimalisatie!AE6),Baseline_Backlog!M109),0))</f>
        <v>481.49156249375994</v>
      </c>
      <c r="N109" s="91">
        <f>(IF(Optimalisatie!C6="Bestaande Situatie",_xlfn.IFNA(VLOOKUP(Optimalisatie!AG6,Database_Asfalt_Verwerkingsset[#All],12,FALSE)*(Optimalisatie!J6/VLOOKUP(Optimalisatie!AG6,Database_Asfalt_Verwerkingsset[#All],12,FALSE)),Baseline_Backlog!N109),0))</f>
        <v>429.57209750000004</v>
      </c>
      <c r="O109" s="91">
        <f>(IF(Optimalisatie!C6="Bestaande Situatie",_xlfn.IFNA(VLOOKUP(Inschrijf_CO2_Totaal[[#This Row],[Product]]&amp;", "&amp;Inschrijf_CO2_Totaal[[#Headers],[C4]],Database_Productkaarten[#All],18,FALSE)*Optimalisatie!J6,Baseline_Backlog!O109),0))</f>
        <v>14.530564321000002</v>
      </c>
      <c r="P109" s="91">
        <f>(IF(Optimalisatie!C6="Bestaande Situatie",_xlfn.IFNA(IF(Optimalisatie!E6="Categorie_1_LCA_Producten",VLOOKUP(Inschrijf_CO2_Totaal[[#This Row],[Product]],Categorie_1_Producten[#All],18,FALSE)*(Optimalisatie!J6),VLOOKUP(Inschrijf_CO2_Totaal[[#This Row],[Product]]&amp;", "&amp;Inschrijf_CO2_Totaal[[#Headers],[D1]],Database_Productkaarten[#All],18,FALSE)*Optimalisatie!J6),Baseline_Backlog!P109),0))</f>
        <v>0</v>
      </c>
      <c r="Q109" s="91">
        <f>(IF(Optimalisatie!C6="Bestaande Situatie",_xlfn.IFNA(IF(Optimalisatie!E6="Categorie_1_LCA_Producten",VLOOKUP(Inschrijf_CO2_Totaal[[#This Row],[Product]],Categorie_1_Producten[#All],19,FALSE)*(Optimalisatie!J6),VLOOKUP(Inschrijf_CO2_Totaal[[#This Row],[Product]]&amp;", "&amp;Inschrijf_CO2_Totaal[[#Headers],[D2]],Database_Productkaarten[#All],18,FALSE)*Optimalisatie!J6),Baseline_Backlog!Q109),0))</f>
        <v>0</v>
      </c>
      <c r="R109" s="91">
        <f>(IF(Optimalisatie!C6="Bestaande Situatie",_xlfn.IFNA(IF(Optimalisatie!E6="Categorie_1_LCA_Producten",VLOOKUP(Inschrijf_CO2_Totaal[[#This Row],[Product]],Categorie_1_Producten[#All],21,FALSE)*(Optimalisatie!J6),VLOOKUP(Inschrijf_CO2_Totaal[[#This Row],[Product]]&amp;", "&amp;Inschrijf_CO2_Totaal[[#Headers],[D]],Database_Productkaarten[#All],18,FALSE)*Optimalisatie!J6),Baseline_Backlog!S109),0))</f>
        <v>-1081.07050415</v>
      </c>
      <c r="S109" s="91">
        <f>SUM(Inschrijf_CO2_Totaal[[#This Row],[A1-A3]:[C4]])+Inschrijf_CO2_Totaal[[#This Row],[D]]</f>
        <v>3358.5989265892736</v>
      </c>
    </row>
    <row r="110" spans="2:29">
      <c r="B110" s="208" t="str">
        <f>Optimalisatie!B7</f>
        <v>121120 - Opbreken RWS band</v>
      </c>
      <c r="C110" s="1" t="str">
        <f>Optimalisatie!F7</f>
        <v>RWSband 115/225x250</v>
      </c>
      <c r="D110" s="91">
        <f>(IF(Optimalisatie!C7="Nieuwe Situatie",_xlfn.IFNA(IF(Optimalisatie!E7="Categorie_1_LCA_Producten",VLOOKUP(Inschrijf_CO2_Totaal[[#This Row],[Product]],Categorie_1_Producten[#All],14,FALSE)*(Optimalisatie!J7),VLOOKUP(Inschrijf_CO2_Totaal[[#This Row],[Product]]&amp;", "&amp;Inschrijf_CO2_Totaal[[#Headers],[A1]],Database_Productkaarten[#All],18,FALSE)*Optimalisatie!J7),Baseline_Backlog!D110),0))</f>
        <v>0</v>
      </c>
      <c r="E110" s="91">
        <f>(IF(Optimalisatie!C7="Nieuwe Situatie",_xlfn.IFNA(IF(Optimalisatie!E7="Categorie_1_LCA_Producten",VLOOKUP(Inschrijf_CO2_Totaal[[#This Row],[Product]],Categorie_1_Producten[#All],15,FALSE)*(Optimalisatie!J7),VLOOKUP(Inschrijf_CO2_Totaal[[#This Row],[Product]]&amp;", "&amp;Inschrijf_CO2_Totaal[[#Headers],[A2]],Database_Productkaarten[#All],18,FALSE)*Optimalisatie!J7),Baseline_Backlog!E110),0))</f>
        <v>0</v>
      </c>
      <c r="F110" s="91">
        <f>(IF(Optimalisatie!C7="Nieuwe Situatie",_xlfn.IFNA(IF(Optimalisatie!E7="Categorie_1_LCA_Producten",VLOOKUP(Inschrijf_CO2_Totaal[[#This Row],[Product]],Categorie_1_Producten[#All],16,FALSE)*(Optimalisatie!J7),VLOOKUP(Inschrijf_CO2_Totaal[[#This Row],[Product]]&amp;", "&amp;Inschrijf_CO2_Totaal[[#Headers],[A3]],Database_Productkaarten[#All],18,FALSE)*Optimalisatie!J7),Baseline_Backlog!F110),0))</f>
        <v>0</v>
      </c>
      <c r="G110" s="91">
        <f>(IF(Optimalisatie!C7="Nieuwe Situatie",_xlfn.IFNA(IF(Optimalisatie!E7="Categorie_1_LCA_Producten",VLOOKUP(Inschrijf_CO2_Totaal[[#This Row],[Product]],Categorie_1_Producten[#All],19,FALSE)*(Optimalisatie!J7),VLOOKUP(Inschrijf_CO2_Totaal[[#This Row],[Product]]&amp;", "&amp;Inschrijf_CO2_Totaal[[#Headers],[A1-A3]],Database_Productkaarten[#All],18,FALSE)*Optimalisatie!J7),Baseline_Backlog!G110),0))</f>
        <v>0</v>
      </c>
      <c r="H110" s="91">
        <f>(IF(Optimalisatie!C7="Nieuwe Situatie",_xlfn.IFNA(VLOOKUP(Optimalisatie!V7,Database_Transport[#All],12,FALSE)*(Optimalisatie!R7*Optimalisatie!U7),Baseline_Backlog!H110),0))</f>
        <v>0</v>
      </c>
      <c r="I110" s="91">
        <f>IF(Optimalisatie!C7="Nieuwe situatie",IF(_xlfn.IFNA((VLOOKUP(Optimalisatie!W7,Database_Asfalt_Aanlegset[#All],12,FALSE)*Optimalisatie!J7),0)+_xlfn.IFNA(VLOOKUP(Optimalisatie!X7,Database_Brandstoffen[#All],12,FALSE)*((Optimalisatie!J7/Optimalisatie!Z7)*Optimalisatie!Y7),0)&gt;0,_xlfn.IFNA((VLOOKUP(Optimalisatie!W7,Database_Asfalt_Aanlegset[#All],12,FALSE)*Optimalisatie!J7),0)+_xlfn.IFNA(VLOOKUP(Optimalisatie!X7,Database_Brandstoffen[#All],12,FALSE)*((Optimalisatie!J7/Optimalisatie!Z7)*Optimalisatie!Y7),0),(_xlfn.IFNA(VLOOKUP(Inschrijf_CO2_Totaal[[#This Row],[Product]]&amp;", "&amp;Inschrijf_MKI_Totaal[[#Headers],[A5]],Database_Productkaarten[#All],18,FALSE),0)*Optimalisatie!J7)),0)</f>
        <v>0</v>
      </c>
      <c r="J110" s="91">
        <f>(IF(Optimalisatie!C7="Nieuwe Situatie",_xlfn.IFNA(IF(Optimalisatie!E7="Categorie_1_LCA_Producten",VLOOKUP(Inschrijf_CO2_Totaal[[#This Row],[Product]],Categorie_1_Producten[#All],20,FALSE)*(Optimalisatie!R7),VLOOKUP(Inschrijf_CO2_Totaal[[#This Row],[Product]]&amp;", "&amp;Inschrijf_CO2_Totaal[[#Headers],[B1]],Database_Productkaarten[#All],18,FALSE)*Optimalisatie!J7),Baseline_Backlog!J110),0))</f>
        <v>0</v>
      </c>
      <c r="K110" s="91">
        <f>(IF(Optimalisatie!C7="Nieuwe Situatie",_xlfn.IFNA(SUM(Inschrijf_CO2_Totaal[[#This Row],[A1]:[B1]],Inschrijf_CO2_Totaal[[#This Row],[C1]:[D2]])*Optimalisatie!T7,0),0))</f>
        <v>0</v>
      </c>
      <c r="L110" s="91">
        <f>IF(Optimalisatie!C7="Bestaande situatie",IF(_xlfn.IFNA((VLOOKUP(Optimalisatie!AA7,Database_Asfalt_Verwijderset[#All],12,FALSE)*Optimalisatie!J7),0)+_xlfn.IFNA(VLOOKUP(Optimalisatie!AB7,Database_Brandstoffen[#All],12,FALSE)*((Optimalisatie!J7/Optimalisatie!AD7)*Optimalisatie!AC7),0)&gt;0,_xlfn.IFNA((VLOOKUP(Optimalisatie!AA7,Database_Asfalt_Verwijderset[#All],12,FALSE)*Optimalisatie!J7),0)+_xlfn.IFNA(VLOOKUP(Optimalisatie!AB7,Database_Brandstoffen[#All],12,FALSE)*((Optimalisatie!J7/Optimalisatie!AD7)*Optimalisatie!AC7),0),(_xlfn.IFNA(VLOOKUP(Inschrijf_CO2_Totaal[[#This Row],[Product]]&amp;", "&amp;Inschrijf_MKI_Totaal[[#Headers],[C1]],Database_Productkaarten[#All],18,FALSE),0)*Optimalisatie!J7)),0)</f>
        <v>369.61230585626743</v>
      </c>
      <c r="M110" s="91">
        <f>(IF(Optimalisatie!C7="Bestaande Situatie",_xlfn.IFNA(VLOOKUP(Optimalisatie!AF7,Database_Transport[#All],12,FALSE)*(Optimalisatie!R7*Optimalisatie!AE7),Baseline_Backlog!M110),0))</f>
        <v>75.875196250559995</v>
      </c>
      <c r="N110" s="91">
        <f>(IF(Optimalisatie!C7="Bestaande Situatie",_xlfn.IFNA(VLOOKUP(Optimalisatie!AG7,Database_Asfalt_Verwerkingsset[#All],12,FALSE)*(Optimalisatie!J7/VLOOKUP(Optimalisatie!AG7,Database_Asfalt_Verwerkingsset[#All],12,FALSE)),Baseline_Backlog!N110),0))</f>
        <v>66.345440150000002</v>
      </c>
      <c r="O110" s="91">
        <f>(IF(Optimalisatie!C7="Bestaande Situatie",_xlfn.IFNA(VLOOKUP(Inschrijf_CO2_Totaal[[#This Row],[Product]]&amp;", "&amp;Inschrijf_CO2_Totaal[[#Headers],[C4]],Database_Productkaarten[#All],18,FALSE)*Optimalisatie!J7,Baseline_Backlog!O110),0))</f>
        <v>2.2441791369999997</v>
      </c>
      <c r="P110" s="91">
        <f>(IF(Optimalisatie!C7="Bestaande Situatie",_xlfn.IFNA(IF(Optimalisatie!E7="Categorie_1_LCA_Producten",VLOOKUP(Inschrijf_CO2_Totaal[[#This Row],[Product]],Categorie_1_Producten[#All],18,FALSE)*(Optimalisatie!J7),VLOOKUP(Inschrijf_CO2_Totaal[[#This Row],[Product]]&amp;", "&amp;Inschrijf_CO2_Totaal[[#Headers],[D1]],Database_Productkaarten[#All],18,FALSE)*Optimalisatie!J7),Baseline_Backlog!P110),0))</f>
        <v>0</v>
      </c>
      <c r="Q110" s="91">
        <f>(IF(Optimalisatie!C7="Bestaande Situatie",_xlfn.IFNA(IF(Optimalisatie!E7="Categorie_1_LCA_Producten",VLOOKUP(Inschrijf_CO2_Totaal[[#This Row],[Product]],Categorie_1_Producten[#All],19,FALSE)*(Optimalisatie!J7),VLOOKUP(Inschrijf_CO2_Totaal[[#This Row],[Product]]&amp;", "&amp;Inschrijf_CO2_Totaal[[#Headers],[D2]],Database_Productkaarten[#All],18,FALSE)*Optimalisatie!J7),Baseline_Backlog!Q110),0))</f>
        <v>0</v>
      </c>
      <c r="R110" s="91">
        <f>(IF(Optimalisatie!C7="Bestaande Situatie",_xlfn.IFNA(IF(Optimalisatie!E7="Categorie_1_LCA_Producten",VLOOKUP(Inschrijf_CO2_Totaal[[#This Row],[Product]],Categorie_1_Producten[#All],21,FALSE)*(Optimalisatie!J7),VLOOKUP(Inschrijf_CO2_Totaal[[#This Row],[Product]]&amp;", "&amp;Inschrijf_CO2_Totaal[[#Headers],[D]],Database_Productkaarten[#All],18,FALSE)*Optimalisatie!J7),Baseline_Backlog!S110),0))</f>
        <v>-166.54264705</v>
      </c>
      <c r="S110" s="91">
        <f>SUM(Inschrijf_CO2_Totaal[[#This Row],[A1-A3]:[C4]])+Inschrijf_CO2_Totaal[[#This Row],[D]]</f>
        <v>347.53447434382736</v>
      </c>
    </row>
    <row r="111" spans="2:29">
      <c r="B111" s="208" t="str">
        <f>Optimalisatie!B8</f>
        <v>121140 - Opbreken Opsluitband</v>
      </c>
      <c r="C111" s="1" t="str">
        <f>Optimalisatie!F8</f>
        <v>Opsluitband 100x200</v>
      </c>
      <c r="D111" s="91">
        <f>(IF(Optimalisatie!C8="Nieuwe Situatie",_xlfn.IFNA(IF(Optimalisatie!E8="Categorie_1_LCA_Producten",VLOOKUP(Inschrijf_CO2_Totaal[[#This Row],[Product]],Categorie_1_Producten[#All],14,FALSE)*(Optimalisatie!J8),VLOOKUP(Inschrijf_CO2_Totaal[[#This Row],[Product]]&amp;", "&amp;Inschrijf_CO2_Totaal[[#Headers],[A1]],Database_Productkaarten[#All],18,FALSE)*Optimalisatie!J8),Baseline_Backlog!D111),0))</f>
        <v>0</v>
      </c>
      <c r="E111" s="91">
        <f>(IF(Optimalisatie!C8="Nieuwe Situatie",_xlfn.IFNA(IF(Optimalisatie!E8="Categorie_1_LCA_Producten",VLOOKUP(Inschrijf_CO2_Totaal[[#This Row],[Product]],Categorie_1_Producten[#All],15,FALSE)*(Optimalisatie!J8),VLOOKUP(Inschrijf_CO2_Totaal[[#This Row],[Product]]&amp;", "&amp;Inschrijf_CO2_Totaal[[#Headers],[A2]],Database_Productkaarten[#All],18,FALSE)*Optimalisatie!J8),Baseline_Backlog!E111),0))</f>
        <v>0</v>
      </c>
      <c r="F111" s="91">
        <f>(IF(Optimalisatie!C8="Nieuwe Situatie",_xlfn.IFNA(IF(Optimalisatie!E8="Categorie_1_LCA_Producten",VLOOKUP(Inschrijf_CO2_Totaal[[#This Row],[Product]],Categorie_1_Producten[#All],16,FALSE)*(Optimalisatie!J8),VLOOKUP(Inschrijf_CO2_Totaal[[#This Row],[Product]]&amp;", "&amp;Inschrijf_CO2_Totaal[[#Headers],[A3]],Database_Productkaarten[#All],18,FALSE)*Optimalisatie!J8),Baseline_Backlog!F111),0))</f>
        <v>0</v>
      </c>
      <c r="G111" s="91">
        <f>(IF(Optimalisatie!C8="Nieuwe Situatie",_xlfn.IFNA(IF(Optimalisatie!E8="Categorie_1_LCA_Producten",VLOOKUP(Inschrijf_CO2_Totaal[[#This Row],[Product]],Categorie_1_Producten[#All],19,FALSE)*(Optimalisatie!J8),VLOOKUP(Inschrijf_CO2_Totaal[[#This Row],[Product]]&amp;", "&amp;Inschrijf_CO2_Totaal[[#Headers],[A1-A3]],Database_Productkaarten[#All],18,FALSE)*Optimalisatie!J8),Baseline_Backlog!G111),0))</f>
        <v>0</v>
      </c>
      <c r="H111" s="91">
        <f>(IF(Optimalisatie!C8="Nieuwe Situatie",_xlfn.IFNA(VLOOKUP(Optimalisatie!V8,Database_Transport[#All],12,FALSE)*(Optimalisatie!R8*Optimalisatie!U8),Baseline_Backlog!H111),0))</f>
        <v>0</v>
      </c>
      <c r="I111" s="91">
        <f>IF(Optimalisatie!C8="Nieuwe situatie",IF(_xlfn.IFNA((VLOOKUP(Optimalisatie!W8,Database_Asfalt_Aanlegset[#All],12,FALSE)*Optimalisatie!J8),0)+_xlfn.IFNA(VLOOKUP(Optimalisatie!X8,Database_Brandstoffen[#All],12,FALSE)*((Optimalisatie!J8/Optimalisatie!Z8)*Optimalisatie!Y8),0)&gt;0,_xlfn.IFNA((VLOOKUP(Optimalisatie!W8,Database_Asfalt_Aanlegset[#All],12,FALSE)*Optimalisatie!J8),0)+_xlfn.IFNA(VLOOKUP(Optimalisatie!X8,Database_Brandstoffen[#All],12,FALSE)*((Optimalisatie!J8/Optimalisatie!Z8)*Optimalisatie!Y8),0),(_xlfn.IFNA(VLOOKUP(Inschrijf_CO2_Totaal[[#This Row],[Product]]&amp;", "&amp;Inschrijf_MKI_Totaal[[#Headers],[A5]],Database_Productkaarten[#All],18,FALSE),0)*Optimalisatie!J8)),0)</f>
        <v>0</v>
      </c>
      <c r="J111" s="91">
        <f>(IF(Optimalisatie!C8="Nieuwe Situatie",_xlfn.IFNA(IF(Optimalisatie!E8="Categorie_1_LCA_Producten",VLOOKUP(Inschrijf_CO2_Totaal[[#This Row],[Product]],Categorie_1_Producten[#All],20,FALSE)*(Optimalisatie!R8),VLOOKUP(Inschrijf_CO2_Totaal[[#This Row],[Product]]&amp;", "&amp;Inschrijf_CO2_Totaal[[#Headers],[B1]],Database_Productkaarten[#All],18,FALSE)*Optimalisatie!J8),Baseline_Backlog!J111),0))</f>
        <v>0</v>
      </c>
      <c r="K111" s="91">
        <f>(IF(Optimalisatie!C8="Nieuwe Situatie",_xlfn.IFNA(SUM(Inschrijf_CO2_Totaal[[#This Row],[A1]:[B1]],Inschrijf_CO2_Totaal[[#This Row],[C1]:[D2]])*Optimalisatie!T8,0),0))</f>
        <v>0</v>
      </c>
      <c r="L111" s="91">
        <f>IF(Optimalisatie!C8="Bestaande situatie",IF(_xlfn.IFNA((VLOOKUP(Optimalisatie!AA8,Database_Asfalt_Verwijderset[#All],12,FALSE)*Optimalisatie!J8),0)+_xlfn.IFNA(VLOOKUP(Optimalisatie!AB8,Database_Brandstoffen[#All],12,FALSE)*((Optimalisatie!J8/Optimalisatie!AD8)*Optimalisatie!AC8),0)&gt;0,_xlfn.IFNA((VLOOKUP(Optimalisatie!AA8,Database_Asfalt_Verwijderset[#All],12,FALSE)*Optimalisatie!J8),0)+_xlfn.IFNA(VLOOKUP(Optimalisatie!AB8,Database_Brandstoffen[#All],12,FALSE)*((Optimalisatie!J8/Optimalisatie!AD8)*Optimalisatie!AC8),0),(_xlfn.IFNA(VLOOKUP(Inschrijf_CO2_Totaal[[#This Row],[Product]]&amp;", "&amp;Inschrijf_MKI_Totaal[[#Headers],[C1]],Database_Productkaarten[#All],18,FALSE),0)*Optimalisatie!J8)),0)</f>
        <v>1279.8515665470752</v>
      </c>
      <c r="M111" s="91">
        <f>(IF(Optimalisatie!C8="Bestaande Situatie",_xlfn.IFNA(VLOOKUP(Optimalisatie!AF8,Database_Transport[#All],12,FALSE)*(Optimalisatie!R8*Optimalisatie!AE8),Baseline_Backlog!M111),0))</f>
        <v>94.650095321599991</v>
      </c>
      <c r="N111" s="91">
        <f>(IF(Optimalisatie!C8="Bestaande Situatie",_xlfn.IFNA(VLOOKUP(Optimalisatie!AG8,Database_Asfalt_Verwerkingsset[#All],12,FALSE)*(Optimalisatie!J8/VLOOKUP(Optimalisatie!AG8,Database_Asfalt_Verwerkingsset[#All],12,FALSE)),Baseline_Backlog!N111),0))</f>
        <v>82.257039559999996</v>
      </c>
      <c r="O111" s="91">
        <f>(IF(Optimalisatie!C8="Bestaande Situatie",_xlfn.IFNA(VLOOKUP(Inschrijf_CO2_Totaal[[#This Row],[Product]]&amp;", "&amp;Inschrijf_CO2_Totaal[[#Headers],[C4]],Database_Productkaarten[#All],18,FALSE)*Optimalisatie!J8,Baseline_Backlog!O111),0))</f>
        <v>2.7823996639999997</v>
      </c>
      <c r="P111" s="91">
        <f>(IF(Optimalisatie!C8="Bestaande Situatie",_xlfn.IFNA(IF(Optimalisatie!E8="Categorie_1_LCA_Producten",VLOOKUP(Inschrijf_CO2_Totaal[[#This Row],[Product]],Categorie_1_Producten[#All],18,FALSE)*(Optimalisatie!J8),VLOOKUP(Inschrijf_CO2_Totaal[[#This Row],[Product]]&amp;", "&amp;Inschrijf_CO2_Totaal[[#Headers],[D1]],Database_Productkaarten[#All],18,FALSE)*Optimalisatie!J8),Baseline_Backlog!P111),0))</f>
        <v>0</v>
      </c>
      <c r="Q111" s="91">
        <f>(IF(Optimalisatie!C8="Bestaande Situatie",_xlfn.IFNA(IF(Optimalisatie!E8="Categorie_1_LCA_Producten",VLOOKUP(Inschrijf_CO2_Totaal[[#This Row],[Product]],Categorie_1_Producten[#All],19,FALSE)*(Optimalisatie!J8),VLOOKUP(Inschrijf_CO2_Totaal[[#This Row],[Product]]&amp;", "&amp;Inschrijf_CO2_Totaal[[#Headers],[D2]],Database_Productkaarten[#All],18,FALSE)*Optimalisatie!J8),Baseline_Backlog!Q111),0))</f>
        <v>0</v>
      </c>
      <c r="R111" s="91">
        <f>(IF(Optimalisatie!C8="Bestaande Situatie",_xlfn.IFNA(IF(Optimalisatie!E8="Categorie_1_LCA_Producten",VLOOKUP(Inschrijf_CO2_Totaal[[#This Row],[Product]],Categorie_1_Producten[#All],21,FALSE)*(Optimalisatie!J8),VLOOKUP(Inschrijf_CO2_Totaal[[#This Row],[Product]]&amp;", "&amp;Inschrijf_CO2_Totaal[[#Headers],[D]],Database_Productkaarten[#All],18,FALSE)*Optimalisatie!J8),Baseline_Backlog!S111),0))</f>
        <v>-206.7196328</v>
      </c>
      <c r="S111" s="91">
        <f>SUM(Inschrijf_CO2_Totaal[[#This Row],[A1-A3]:[C4]])+Inschrijf_CO2_Totaal[[#This Row],[D]]</f>
        <v>1252.8214682926753</v>
      </c>
    </row>
    <row r="112" spans="2:29">
      <c r="B112" s="208" t="str">
        <f>Optimalisatie!B9</f>
        <v>121310 - Opbreken betonstraatstenen</v>
      </c>
      <c r="C112" s="1" t="str">
        <f>Optimalisatie!F9</f>
        <v>Betonstraatsteen 210x105x80</v>
      </c>
      <c r="D112" s="91">
        <f>(IF(Optimalisatie!C9="Nieuwe Situatie",_xlfn.IFNA(IF(Optimalisatie!E9="Categorie_1_LCA_Producten",VLOOKUP(Inschrijf_CO2_Totaal[[#This Row],[Product]],Categorie_1_Producten[#All],14,FALSE)*(Optimalisatie!J9),VLOOKUP(Inschrijf_CO2_Totaal[[#This Row],[Product]]&amp;", "&amp;Inschrijf_CO2_Totaal[[#Headers],[A1]],Database_Productkaarten[#All],18,FALSE)*Optimalisatie!J9),Baseline_Backlog!D112),0))</f>
        <v>0</v>
      </c>
      <c r="E112" s="91">
        <f>(IF(Optimalisatie!C9="Nieuwe Situatie",_xlfn.IFNA(IF(Optimalisatie!E9="Categorie_1_LCA_Producten",VLOOKUP(Inschrijf_CO2_Totaal[[#This Row],[Product]],Categorie_1_Producten[#All],15,FALSE)*(Optimalisatie!J9),VLOOKUP(Inschrijf_CO2_Totaal[[#This Row],[Product]]&amp;", "&amp;Inschrijf_CO2_Totaal[[#Headers],[A2]],Database_Productkaarten[#All],18,FALSE)*Optimalisatie!J9),Baseline_Backlog!E112),0))</f>
        <v>0</v>
      </c>
      <c r="F112" s="91">
        <f>(IF(Optimalisatie!C9="Nieuwe Situatie",_xlfn.IFNA(IF(Optimalisatie!E9="Categorie_1_LCA_Producten",VLOOKUP(Inschrijf_CO2_Totaal[[#This Row],[Product]],Categorie_1_Producten[#All],16,FALSE)*(Optimalisatie!J9),VLOOKUP(Inschrijf_CO2_Totaal[[#This Row],[Product]]&amp;", "&amp;Inschrijf_CO2_Totaal[[#Headers],[A3]],Database_Productkaarten[#All],18,FALSE)*Optimalisatie!J9),Baseline_Backlog!F112),0))</f>
        <v>0</v>
      </c>
      <c r="G112" s="91">
        <f>(IF(Optimalisatie!C9="Nieuwe Situatie",_xlfn.IFNA(IF(Optimalisatie!E9="Categorie_1_LCA_Producten",VLOOKUP(Inschrijf_CO2_Totaal[[#This Row],[Product]],Categorie_1_Producten[#All],19,FALSE)*(Optimalisatie!J9),VLOOKUP(Inschrijf_CO2_Totaal[[#This Row],[Product]]&amp;", "&amp;Inschrijf_CO2_Totaal[[#Headers],[A1-A3]],Database_Productkaarten[#All],18,FALSE)*Optimalisatie!J9),Baseline_Backlog!G112),0))</f>
        <v>0</v>
      </c>
      <c r="H112" s="91">
        <f>(IF(Optimalisatie!C9="Nieuwe Situatie",_xlfn.IFNA(VLOOKUP(Optimalisatie!V9,Database_Transport[#All],12,FALSE)*(Optimalisatie!R9*Optimalisatie!U9),Baseline_Backlog!H112),0))</f>
        <v>0</v>
      </c>
      <c r="I112" s="91">
        <f>IF(Optimalisatie!C9="Nieuwe situatie",IF(_xlfn.IFNA((VLOOKUP(Optimalisatie!W9,Database_Asfalt_Aanlegset[#All],12,FALSE)*Optimalisatie!J9),0)+_xlfn.IFNA(VLOOKUP(Optimalisatie!X9,Database_Brandstoffen[#All],12,FALSE)*((Optimalisatie!J9/Optimalisatie!Z9)*Optimalisatie!Y9),0)&gt;0,_xlfn.IFNA((VLOOKUP(Optimalisatie!W9,Database_Asfalt_Aanlegset[#All],12,FALSE)*Optimalisatie!J9),0)+_xlfn.IFNA(VLOOKUP(Optimalisatie!X9,Database_Brandstoffen[#All],12,FALSE)*((Optimalisatie!J9/Optimalisatie!Z9)*Optimalisatie!Y9),0),(_xlfn.IFNA(VLOOKUP(Inschrijf_CO2_Totaal[[#This Row],[Product]]&amp;", "&amp;Inschrijf_MKI_Totaal[[#Headers],[A5]],Database_Productkaarten[#All],18,FALSE),0)*Optimalisatie!J9)),0)</f>
        <v>0</v>
      </c>
      <c r="J112" s="91">
        <f>(IF(Optimalisatie!C9="Nieuwe Situatie",_xlfn.IFNA(IF(Optimalisatie!E9="Categorie_1_LCA_Producten",VLOOKUP(Inschrijf_CO2_Totaal[[#This Row],[Product]],Categorie_1_Producten[#All],20,FALSE)*(Optimalisatie!R9),VLOOKUP(Inschrijf_CO2_Totaal[[#This Row],[Product]]&amp;", "&amp;Inschrijf_CO2_Totaal[[#Headers],[B1]],Database_Productkaarten[#All],18,FALSE)*Optimalisatie!J9),Baseline_Backlog!J112),0))</f>
        <v>0</v>
      </c>
      <c r="K112" s="91">
        <f>(IF(Optimalisatie!C9="Nieuwe Situatie",_xlfn.IFNA(SUM(Inschrijf_CO2_Totaal[[#This Row],[A1]:[B1]],Inschrijf_CO2_Totaal[[#This Row],[C1]:[D2]])*Optimalisatie!T9,0),0))</f>
        <v>0</v>
      </c>
      <c r="L112" s="91">
        <f>IF(Optimalisatie!C9="Bestaande situatie",IF(_xlfn.IFNA((VLOOKUP(Optimalisatie!AA9,Database_Asfalt_Verwijderset[#All],12,FALSE)*Optimalisatie!J9),0)+_xlfn.IFNA(VLOOKUP(Optimalisatie!AB9,Database_Brandstoffen[#All],12,FALSE)*((Optimalisatie!J9/Optimalisatie!AD9)*Optimalisatie!AC9),0)&gt;0,_xlfn.IFNA((VLOOKUP(Optimalisatie!AA9,Database_Asfalt_Verwijderset[#All],12,FALSE)*Optimalisatie!J9),0)+_xlfn.IFNA(VLOOKUP(Optimalisatie!AB9,Database_Brandstoffen[#All],12,FALSE)*((Optimalisatie!J9/Optimalisatie!AD9)*Optimalisatie!AC9),0),(_xlfn.IFNA(VLOOKUP(Inschrijf_CO2_Totaal[[#This Row],[Product]]&amp;", "&amp;Inschrijf_MKI_Totaal[[#Headers],[C1]],Database_Productkaarten[#All],18,FALSE),0)*Optimalisatie!J9)),0)</f>
        <v>1765.3125055821729</v>
      </c>
      <c r="M112" s="91">
        <f>(IF(Optimalisatie!C9="Bestaande Situatie",_xlfn.IFNA(VLOOKUP(Optimalisatie!AF9,Database_Transport[#All],12,FALSE)*(Optimalisatie!R9*Optimalisatie!AE9),Baseline_Backlog!M112),0))</f>
        <v>515.32117073920006</v>
      </c>
      <c r="N112" s="91">
        <f>(IF(Optimalisatie!C9="Bestaande Situatie",_xlfn.IFNA(VLOOKUP(Optimalisatie!AG9,Database_Asfalt_Verwerkingsset[#All],12,FALSE)*(Optimalisatie!J9/VLOOKUP(Optimalisatie!AG9,Database_Asfalt_Verwerkingsset[#All],12,FALSE)),Baseline_Backlog!N112),0))</f>
        <v>453.83193599999998</v>
      </c>
      <c r="O112" s="91">
        <f>(IF(Optimalisatie!C9="Bestaande Situatie",_xlfn.IFNA(VLOOKUP(Inschrijf_CO2_Totaal[[#This Row],[Product]]&amp;", "&amp;Inschrijf_CO2_Totaal[[#Headers],[C4]],Database_Productkaarten[#All],18,FALSE)*Optimalisatie!J9,Baseline_Backlog!O112),0))</f>
        <v>15.35117056</v>
      </c>
      <c r="P112" s="91">
        <f>(IF(Optimalisatie!C9="Bestaande Situatie",_xlfn.IFNA(IF(Optimalisatie!E9="Categorie_1_LCA_Producten",VLOOKUP(Inschrijf_CO2_Totaal[[#This Row],[Product]],Categorie_1_Producten[#All],18,FALSE)*(Optimalisatie!J9),VLOOKUP(Inschrijf_CO2_Totaal[[#This Row],[Product]]&amp;", "&amp;Inschrijf_CO2_Totaal[[#Headers],[D1]],Database_Productkaarten[#All],18,FALSE)*Optimalisatie!J9),Baseline_Backlog!P112),0))</f>
        <v>0</v>
      </c>
      <c r="Q112" s="91">
        <f>(IF(Optimalisatie!C9="Bestaande Situatie",_xlfn.IFNA(IF(Optimalisatie!E9="Categorie_1_LCA_Producten",VLOOKUP(Inschrijf_CO2_Totaal[[#This Row],[Product]],Categorie_1_Producten[#All],19,FALSE)*(Optimalisatie!J9),VLOOKUP(Inschrijf_CO2_Totaal[[#This Row],[Product]]&amp;", "&amp;Inschrijf_CO2_Totaal[[#Headers],[D2]],Database_Productkaarten[#All],18,FALSE)*Optimalisatie!J9),Baseline_Backlog!Q112),0))</f>
        <v>0</v>
      </c>
      <c r="R112" s="91">
        <f>(IF(Optimalisatie!C9="Bestaande Situatie",_xlfn.IFNA(IF(Optimalisatie!E9="Categorie_1_LCA_Producten",VLOOKUP(Inschrijf_CO2_Totaal[[#This Row],[Product]],Categorie_1_Producten[#All],21,FALSE)*(Optimalisatie!J9),VLOOKUP(Inschrijf_CO2_Totaal[[#This Row],[Product]]&amp;", "&amp;Inschrijf_CO2_Totaal[[#Headers],[D]],Database_Productkaarten[#All],18,FALSE)*Optimalisatie!J9),Baseline_Backlog!S112),0))</f>
        <v>-1244.928784</v>
      </c>
      <c r="S112" s="91">
        <f>SUM(Inschrijf_CO2_Totaal[[#This Row],[A1-A3]:[C4]])+Inschrijf_CO2_Totaal[[#This Row],[D]]</f>
        <v>1504.8879988813731</v>
      </c>
    </row>
    <row r="113" spans="2:19">
      <c r="B113" s="208" t="str">
        <f>Optimalisatie!B10</f>
        <v>121320 - Opbreken straatbakstenen en geschikt maken voor hergebruik</v>
      </c>
      <c r="C113" s="1" t="str">
        <f>Optimalisatie!F10</f>
        <v>Gebakken klinker keiformaat</v>
      </c>
      <c r="D113" s="91">
        <f>(IF(Optimalisatie!C10="Nieuwe Situatie",_xlfn.IFNA(IF(Optimalisatie!E10="Categorie_1_LCA_Producten",VLOOKUP(Inschrijf_CO2_Totaal[[#This Row],[Product]],Categorie_1_Producten[#All],14,FALSE)*(Optimalisatie!J10),VLOOKUP(Inschrijf_CO2_Totaal[[#This Row],[Product]]&amp;", "&amp;Inschrijf_CO2_Totaal[[#Headers],[A1]],Database_Productkaarten[#All],18,FALSE)*Optimalisatie!J10),Baseline_Backlog!D113),0))</f>
        <v>0</v>
      </c>
      <c r="E113" s="91">
        <f>(IF(Optimalisatie!C10="Nieuwe Situatie",_xlfn.IFNA(IF(Optimalisatie!E10="Categorie_1_LCA_Producten",VLOOKUP(Inschrijf_CO2_Totaal[[#This Row],[Product]],Categorie_1_Producten[#All],15,FALSE)*(Optimalisatie!J10),VLOOKUP(Inschrijf_CO2_Totaal[[#This Row],[Product]]&amp;", "&amp;Inschrijf_CO2_Totaal[[#Headers],[A2]],Database_Productkaarten[#All],18,FALSE)*Optimalisatie!J10),Baseline_Backlog!E113),0))</f>
        <v>0</v>
      </c>
      <c r="F113" s="91">
        <f>(IF(Optimalisatie!C10="Nieuwe Situatie",_xlfn.IFNA(IF(Optimalisatie!E10="Categorie_1_LCA_Producten",VLOOKUP(Inschrijf_CO2_Totaal[[#This Row],[Product]],Categorie_1_Producten[#All],16,FALSE)*(Optimalisatie!J10),VLOOKUP(Inschrijf_CO2_Totaal[[#This Row],[Product]]&amp;", "&amp;Inschrijf_CO2_Totaal[[#Headers],[A3]],Database_Productkaarten[#All],18,FALSE)*Optimalisatie!J10),Baseline_Backlog!F113),0))</f>
        <v>0</v>
      </c>
      <c r="G113" s="91">
        <f>(IF(Optimalisatie!C10="Nieuwe Situatie",_xlfn.IFNA(IF(Optimalisatie!E10="Categorie_1_LCA_Producten",VLOOKUP(Inschrijf_CO2_Totaal[[#This Row],[Product]],Categorie_1_Producten[#All],19,FALSE)*(Optimalisatie!J10),VLOOKUP(Inschrijf_CO2_Totaal[[#This Row],[Product]]&amp;", "&amp;Inschrijf_CO2_Totaal[[#Headers],[A1-A3]],Database_Productkaarten[#All],18,FALSE)*Optimalisatie!J10),Baseline_Backlog!G113),0))</f>
        <v>0</v>
      </c>
      <c r="H113" s="91">
        <f>(IF(Optimalisatie!C10="Nieuwe Situatie",_xlfn.IFNA(VLOOKUP(Optimalisatie!V10,Database_Transport[#All],12,FALSE)*(Optimalisatie!R10*Optimalisatie!U10),Baseline_Backlog!H113),0))</f>
        <v>0</v>
      </c>
      <c r="I113" s="91">
        <f>IF(Optimalisatie!C10="Nieuwe situatie",IF(_xlfn.IFNA((VLOOKUP(Optimalisatie!W10,Database_Asfalt_Aanlegset[#All],12,FALSE)*Optimalisatie!J10),0)+_xlfn.IFNA(VLOOKUP(Optimalisatie!X10,Database_Brandstoffen[#All],12,FALSE)*((Optimalisatie!J10/Optimalisatie!Z10)*Optimalisatie!Y10),0)&gt;0,_xlfn.IFNA((VLOOKUP(Optimalisatie!W10,Database_Asfalt_Aanlegset[#All],12,FALSE)*Optimalisatie!J10),0)+_xlfn.IFNA(VLOOKUP(Optimalisatie!X10,Database_Brandstoffen[#All],12,FALSE)*((Optimalisatie!J10/Optimalisatie!Z10)*Optimalisatie!Y10),0),(_xlfn.IFNA(VLOOKUP(Inschrijf_CO2_Totaal[[#This Row],[Product]]&amp;", "&amp;Inschrijf_MKI_Totaal[[#Headers],[A5]],Database_Productkaarten[#All],18,FALSE),0)*Optimalisatie!J10)),0)</f>
        <v>0</v>
      </c>
      <c r="J113" s="91">
        <f>(IF(Optimalisatie!C10="Nieuwe Situatie",_xlfn.IFNA(IF(Optimalisatie!E10="Categorie_1_LCA_Producten",VLOOKUP(Inschrijf_CO2_Totaal[[#This Row],[Product]],Categorie_1_Producten[#All],20,FALSE)*(Optimalisatie!R10),VLOOKUP(Inschrijf_CO2_Totaal[[#This Row],[Product]]&amp;", "&amp;Inschrijf_CO2_Totaal[[#Headers],[B1]],Database_Productkaarten[#All],18,FALSE)*Optimalisatie!J10),Baseline_Backlog!J113),0))</f>
        <v>0</v>
      </c>
      <c r="K113" s="91">
        <f>(IF(Optimalisatie!C10="Nieuwe Situatie",_xlfn.IFNA(SUM(Inschrijf_CO2_Totaal[[#This Row],[A1]:[B1]],Inschrijf_CO2_Totaal[[#This Row],[C1]:[D2]])*Optimalisatie!T10,0),0))</f>
        <v>0</v>
      </c>
      <c r="L113" s="91">
        <f>IF(Optimalisatie!C10="Bestaande situatie",IF(_xlfn.IFNA((VLOOKUP(Optimalisatie!AA10,Database_Asfalt_Verwijderset[#All],12,FALSE)*Optimalisatie!J10),0)+_xlfn.IFNA(VLOOKUP(Optimalisatie!AB10,Database_Brandstoffen[#All],12,FALSE)*((Optimalisatie!J10/Optimalisatie!AD10)*Optimalisatie!AC10),0)&gt;0,_xlfn.IFNA((VLOOKUP(Optimalisatie!AA10,Database_Asfalt_Verwijderset[#All],12,FALSE)*Optimalisatie!J10),0)+_xlfn.IFNA(VLOOKUP(Optimalisatie!AB10,Database_Brandstoffen[#All],12,FALSE)*((Optimalisatie!J10/Optimalisatie!AD10)*Optimalisatie!AC10),0),(_xlfn.IFNA(VLOOKUP(Inschrijf_CO2_Totaal[[#This Row],[Product]]&amp;", "&amp;Inschrijf_MKI_Totaal[[#Headers],[C1]],Database_Productkaarten[#All],18,FALSE),0)*Optimalisatie!J10)),0)</f>
        <v>5009.6635079400003</v>
      </c>
      <c r="M113" s="91">
        <f>(IF(Optimalisatie!C10="Bestaande Situatie",_xlfn.IFNA(VLOOKUP(Optimalisatie!AF10,Database_Transport[#All],12,FALSE)*(Optimalisatie!R10*Optimalisatie!AE10),Baseline_Backlog!M113),0))</f>
        <v>2178.8979171679998</v>
      </c>
      <c r="N113" s="91">
        <f>(IF(Optimalisatie!C10="Bestaande Situatie",_xlfn.IFNA(VLOOKUP(Optimalisatie!AG10,Database_Asfalt_Verwerkingsset[#All],12,FALSE)*(Optimalisatie!J10/VLOOKUP(Optimalisatie!AG10,Database_Asfalt_Verwerkingsset[#All],12,FALSE)),Baseline_Backlog!N113),0))</f>
        <v>53.794999999999995</v>
      </c>
      <c r="O113" s="91">
        <f>(IF(Optimalisatie!C10="Bestaande Situatie",_xlfn.IFNA(VLOOKUP(Inschrijf_CO2_Totaal[[#This Row],[Product]]&amp;", "&amp;Inschrijf_CO2_Totaal[[#Headers],[C4]],Database_Productkaarten[#All],18,FALSE)*Optimalisatie!J10,Baseline_Backlog!O113),0))</f>
        <v>35.244999999999997</v>
      </c>
      <c r="P113" s="91">
        <f>(IF(Optimalisatie!C10="Bestaande Situatie",_xlfn.IFNA(IF(Optimalisatie!E10="Categorie_1_LCA_Producten",VLOOKUP(Inschrijf_CO2_Totaal[[#This Row],[Product]],Categorie_1_Producten[#All],18,FALSE)*(Optimalisatie!J10),VLOOKUP(Inschrijf_CO2_Totaal[[#This Row],[Product]]&amp;", "&amp;Inschrijf_CO2_Totaal[[#Headers],[D1]],Database_Productkaarten[#All],18,FALSE)*Optimalisatie!J10),Baseline_Backlog!P113),0))</f>
        <v>-200480.05250000002</v>
      </c>
      <c r="Q113" s="91">
        <f>(IF(Optimalisatie!C10="Bestaande Situatie",_xlfn.IFNA(IF(Optimalisatie!E10="Categorie_1_LCA_Producten",VLOOKUP(Inschrijf_CO2_Totaal[[#This Row],[Product]],Categorie_1_Producten[#All],19,FALSE)*(Optimalisatie!J10),VLOOKUP(Inschrijf_CO2_Totaal[[#This Row],[Product]]&amp;", "&amp;Inschrijf_CO2_Totaal[[#Headers],[D2]],Database_Productkaarten[#All],18,FALSE)*Optimalisatie!J10),Baseline_Backlog!Q113),0))</f>
        <v>0</v>
      </c>
      <c r="R113" s="91">
        <f>(IF(Optimalisatie!C10="Bestaande Situatie",_xlfn.IFNA(IF(Optimalisatie!E10="Categorie_1_LCA_Producten",VLOOKUP(Inschrijf_CO2_Totaal[[#This Row],[Product]],Categorie_1_Producten[#All],21,FALSE)*(Optimalisatie!J10),VLOOKUP(Inschrijf_CO2_Totaal[[#This Row],[Product]]&amp;", "&amp;Inschrijf_CO2_Totaal[[#Headers],[D]],Database_Productkaarten[#All],18,FALSE)*Optimalisatie!J10),Baseline_Backlog!S113),0))</f>
        <v>-200480.05250000002</v>
      </c>
      <c r="S113" s="91">
        <f>SUM(Inschrijf_CO2_Totaal[[#This Row],[A1-A3]:[C4]])+Inschrijf_CO2_Totaal[[#This Row],[D]]</f>
        <v>-193202.45107489201</v>
      </c>
    </row>
    <row r="114" spans="2:19">
      <c r="B114" s="208" t="str">
        <f>Optimalisatie!B11</f>
        <v>121330 - Opbreken en afvoeren straatbakstenen</v>
      </c>
      <c r="C114" s="1" t="str">
        <f>Optimalisatie!F11</f>
        <v>Gebakken klinker keiformaat (hergebruik)</v>
      </c>
      <c r="D114" s="91">
        <f>(IF(Optimalisatie!C11="Nieuwe Situatie",_xlfn.IFNA(IF(Optimalisatie!E11="Categorie_1_LCA_Producten",VLOOKUP(Inschrijf_CO2_Totaal[[#This Row],[Product]],Categorie_1_Producten[#All],14,FALSE)*(Optimalisatie!J11),VLOOKUP(Inschrijf_CO2_Totaal[[#This Row],[Product]]&amp;", "&amp;Inschrijf_CO2_Totaal[[#Headers],[A1]],Database_Productkaarten[#All],18,FALSE)*Optimalisatie!J11),Baseline_Backlog!D114),0))</f>
        <v>0</v>
      </c>
      <c r="E114" s="91">
        <f>(IF(Optimalisatie!C11="Nieuwe Situatie",_xlfn.IFNA(IF(Optimalisatie!E11="Categorie_1_LCA_Producten",VLOOKUP(Inschrijf_CO2_Totaal[[#This Row],[Product]],Categorie_1_Producten[#All],15,FALSE)*(Optimalisatie!J11),VLOOKUP(Inschrijf_CO2_Totaal[[#This Row],[Product]]&amp;", "&amp;Inschrijf_CO2_Totaal[[#Headers],[A2]],Database_Productkaarten[#All],18,FALSE)*Optimalisatie!J11),Baseline_Backlog!E114),0))</f>
        <v>0</v>
      </c>
      <c r="F114" s="91">
        <f>(IF(Optimalisatie!C11="Nieuwe Situatie",_xlfn.IFNA(IF(Optimalisatie!E11="Categorie_1_LCA_Producten",VLOOKUP(Inschrijf_CO2_Totaal[[#This Row],[Product]],Categorie_1_Producten[#All],16,FALSE)*(Optimalisatie!J11),VLOOKUP(Inschrijf_CO2_Totaal[[#This Row],[Product]]&amp;", "&amp;Inschrijf_CO2_Totaal[[#Headers],[A3]],Database_Productkaarten[#All],18,FALSE)*Optimalisatie!J11),Baseline_Backlog!F114),0))</f>
        <v>0</v>
      </c>
      <c r="G114" s="91">
        <f>(IF(Optimalisatie!C11="Nieuwe Situatie",_xlfn.IFNA(IF(Optimalisatie!E11="Categorie_1_LCA_Producten",VLOOKUP(Inschrijf_CO2_Totaal[[#This Row],[Product]],Categorie_1_Producten[#All],19,FALSE)*(Optimalisatie!J11),VLOOKUP(Inschrijf_CO2_Totaal[[#This Row],[Product]]&amp;", "&amp;Inschrijf_CO2_Totaal[[#Headers],[A1-A3]],Database_Productkaarten[#All],18,FALSE)*Optimalisatie!J11),Baseline_Backlog!G114),0))</f>
        <v>0</v>
      </c>
      <c r="H114" s="91">
        <f>(IF(Optimalisatie!C11="Nieuwe Situatie",_xlfn.IFNA(VLOOKUP(Optimalisatie!V11,Database_Transport[#All],12,FALSE)*(Optimalisatie!R11*Optimalisatie!U11),Baseline_Backlog!H114),0))</f>
        <v>0</v>
      </c>
      <c r="I114" s="91">
        <f>IF(Optimalisatie!C11="Nieuwe situatie",IF(_xlfn.IFNA((VLOOKUP(Optimalisatie!W11,Database_Asfalt_Aanlegset[#All],12,FALSE)*Optimalisatie!J11),0)+_xlfn.IFNA(VLOOKUP(Optimalisatie!X11,Database_Brandstoffen[#All],12,FALSE)*((Optimalisatie!J11/Optimalisatie!Z11)*Optimalisatie!Y11),0)&gt;0,_xlfn.IFNA((VLOOKUP(Optimalisatie!W11,Database_Asfalt_Aanlegset[#All],12,FALSE)*Optimalisatie!J11),0)+_xlfn.IFNA(VLOOKUP(Optimalisatie!X11,Database_Brandstoffen[#All],12,FALSE)*((Optimalisatie!J11/Optimalisatie!Z11)*Optimalisatie!Y11),0),(_xlfn.IFNA(VLOOKUP(Inschrijf_CO2_Totaal[[#This Row],[Product]]&amp;", "&amp;Inschrijf_MKI_Totaal[[#Headers],[A5]],Database_Productkaarten[#All],18,FALSE),0)*Optimalisatie!J11)),0)</f>
        <v>0</v>
      </c>
      <c r="J114" s="91">
        <f>(IF(Optimalisatie!C11="Nieuwe Situatie",_xlfn.IFNA(IF(Optimalisatie!E11="Categorie_1_LCA_Producten",VLOOKUP(Inschrijf_CO2_Totaal[[#This Row],[Product]],Categorie_1_Producten[#All],20,FALSE)*(Optimalisatie!R11),VLOOKUP(Inschrijf_CO2_Totaal[[#This Row],[Product]]&amp;", "&amp;Inschrijf_CO2_Totaal[[#Headers],[B1]],Database_Productkaarten[#All],18,FALSE)*Optimalisatie!J11),Baseline_Backlog!J114),0))</f>
        <v>0</v>
      </c>
      <c r="K114" s="91">
        <f>(IF(Optimalisatie!C11="Nieuwe Situatie",_xlfn.IFNA(SUM(Inschrijf_CO2_Totaal[[#This Row],[A1]:[B1]],Inschrijf_CO2_Totaal[[#This Row],[C1]:[D2]])*Optimalisatie!T11,0),0))</f>
        <v>0</v>
      </c>
      <c r="L114" s="91">
        <f>IF(Optimalisatie!C11="Bestaande situatie",IF(_xlfn.IFNA((VLOOKUP(Optimalisatie!AA11,Database_Asfalt_Verwijderset[#All],12,FALSE)*Optimalisatie!J11),0)+_xlfn.IFNA(VLOOKUP(Optimalisatie!AB11,Database_Brandstoffen[#All],12,FALSE)*((Optimalisatie!J11/Optimalisatie!AD11)*Optimalisatie!AC11),0)&gt;0,_xlfn.IFNA((VLOOKUP(Optimalisatie!AA11,Database_Asfalt_Verwijderset[#All],12,FALSE)*Optimalisatie!J11),0)+_xlfn.IFNA(VLOOKUP(Optimalisatie!AB11,Database_Brandstoffen[#All],12,FALSE)*((Optimalisatie!J11/Optimalisatie!AD11)*Optimalisatie!AC11),0),(_xlfn.IFNA(VLOOKUP(Inschrijf_CO2_Totaal[[#This Row],[Product]]&amp;", "&amp;Inschrijf_MKI_Totaal[[#Headers],[C1]],Database_Productkaarten[#All],18,FALSE),0)*Optimalisatie!J11)),0)</f>
        <v>2549.392103232</v>
      </c>
      <c r="M114" s="91">
        <f>(IF(Optimalisatie!C11="Bestaande Situatie",_xlfn.IFNA(VLOOKUP(Optimalisatie!AF11,Database_Transport[#All],12,FALSE)*(Optimalisatie!R11*Optimalisatie!AE11),Baseline_Backlog!M114),0))</f>
        <v>1108.8299912704001</v>
      </c>
      <c r="N114" s="91">
        <f>(IF(Optimalisatie!C11="Bestaande Situatie",_xlfn.IFNA(VLOOKUP(Optimalisatie!AG11,Database_Asfalt_Verwerkingsset[#All],12,FALSE)*(Optimalisatie!J11/VLOOKUP(Optimalisatie!AG11,Database_Asfalt_Verwerkingsset[#All],12,FALSE)),Baseline_Backlog!N114),0))</f>
        <v>27.375999999999998</v>
      </c>
      <c r="O114" s="91">
        <f>(IF(Optimalisatie!C11="Bestaande Situatie",_xlfn.IFNA(VLOOKUP(Inschrijf_CO2_Totaal[[#This Row],[Product]]&amp;", "&amp;Inschrijf_CO2_Totaal[[#Headers],[C4]],Database_Productkaarten[#All],18,FALSE)*Optimalisatie!J11,Baseline_Backlog!O114),0))</f>
        <v>17.936</v>
      </c>
      <c r="P114" s="91">
        <f>(IF(Optimalisatie!C11="Bestaande Situatie",_xlfn.IFNA(IF(Optimalisatie!E11="Categorie_1_LCA_Producten",VLOOKUP(Inschrijf_CO2_Totaal[[#This Row],[Product]],Categorie_1_Producten[#All],18,FALSE)*(Optimalisatie!J11),VLOOKUP(Inschrijf_CO2_Totaal[[#This Row],[Product]]&amp;", "&amp;Inschrijf_CO2_Totaal[[#Headers],[D1]],Database_Productkaarten[#All],18,FALSE)*Optimalisatie!J11),Baseline_Backlog!P114),0))</f>
        <v>0</v>
      </c>
      <c r="Q114" s="91">
        <f>(IF(Optimalisatie!C11="Bestaande Situatie",_xlfn.IFNA(IF(Optimalisatie!E11="Categorie_1_LCA_Producten",VLOOKUP(Inschrijf_CO2_Totaal[[#This Row],[Product]],Categorie_1_Producten[#All],19,FALSE)*(Optimalisatie!J11),VLOOKUP(Inschrijf_CO2_Totaal[[#This Row],[Product]]&amp;", "&amp;Inschrijf_CO2_Totaal[[#Headers],[D2]],Database_Productkaarten[#All],18,FALSE)*Optimalisatie!J11),Baseline_Backlog!Q114),0))</f>
        <v>0</v>
      </c>
      <c r="R114" s="91">
        <f>(IF(Optimalisatie!C11="Bestaande Situatie",_xlfn.IFNA(IF(Optimalisatie!E11="Categorie_1_LCA_Producten",VLOOKUP(Inschrijf_CO2_Totaal[[#This Row],[Product]],Categorie_1_Producten[#All],21,FALSE)*(Optimalisatie!J11),VLOOKUP(Inschrijf_CO2_Totaal[[#This Row],[Product]]&amp;", "&amp;Inschrijf_CO2_Totaal[[#Headers],[D]],Database_Productkaarten[#All],18,FALSE)*Optimalisatie!J11),Baseline_Backlog!S114),0))</f>
        <v>10824.376</v>
      </c>
      <c r="S114" s="91">
        <f>SUM(Inschrijf_CO2_Totaal[[#This Row],[A1-A3]:[C4]])+Inschrijf_CO2_Totaal[[#This Row],[D]]</f>
        <v>14527.9100945024</v>
      </c>
    </row>
    <row r="115" spans="2:19">
      <c r="B115" s="208" t="str">
        <f>Optimalisatie!B12</f>
        <v>121340 - Opbreken betontegels 300x300x45mm</v>
      </c>
      <c r="C115" s="1" t="str">
        <f>Optimalisatie!F12</f>
        <v>Betontegel 300x300x45</v>
      </c>
      <c r="D115" s="91">
        <f>(IF(Optimalisatie!C12="Nieuwe Situatie",_xlfn.IFNA(IF(Optimalisatie!E12="Categorie_1_LCA_Producten",VLOOKUP(Inschrijf_CO2_Totaal[[#This Row],[Product]],Categorie_1_Producten[#All],14,FALSE)*(Optimalisatie!J12),VLOOKUP(Inschrijf_CO2_Totaal[[#This Row],[Product]]&amp;", "&amp;Inschrijf_CO2_Totaal[[#Headers],[A1]],Database_Productkaarten[#All],18,FALSE)*Optimalisatie!J12),Baseline_Backlog!D115),0))</f>
        <v>0</v>
      </c>
      <c r="E115" s="91">
        <f>(IF(Optimalisatie!C12="Nieuwe Situatie",_xlfn.IFNA(IF(Optimalisatie!E12="Categorie_1_LCA_Producten",VLOOKUP(Inschrijf_CO2_Totaal[[#This Row],[Product]],Categorie_1_Producten[#All],15,FALSE)*(Optimalisatie!J12),VLOOKUP(Inschrijf_CO2_Totaal[[#This Row],[Product]]&amp;", "&amp;Inschrijf_CO2_Totaal[[#Headers],[A2]],Database_Productkaarten[#All],18,FALSE)*Optimalisatie!J12),Baseline_Backlog!E115),0))</f>
        <v>0</v>
      </c>
      <c r="F115" s="91">
        <f>(IF(Optimalisatie!C12="Nieuwe Situatie",_xlfn.IFNA(IF(Optimalisatie!E12="Categorie_1_LCA_Producten",VLOOKUP(Inschrijf_CO2_Totaal[[#This Row],[Product]],Categorie_1_Producten[#All],16,FALSE)*(Optimalisatie!J12),VLOOKUP(Inschrijf_CO2_Totaal[[#This Row],[Product]]&amp;", "&amp;Inschrijf_CO2_Totaal[[#Headers],[A3]],Database_Productkaarten[#All],18,FALSE)*Optimalisatie!J12),Baseline_Backlog!F115),0))</f>
        <v>0</v>
      </c>
      <c r="G115" s="91">
        <f>(IF(Optimalisatie!C12="Nieuwe Situatie",_xlfn.IFNA(IF(Optimalisatie!E12="Categorie_1_LCA_Producten",VLOOKUP(Inschrijf_CO2_Totaal[[#This Row],[Product]],Categorie_1_Producten[#All],19,FALSE)*(Optimalisatie!J12),VLOOKUP(Inschrijf_CO2_Totaal[[#This Row],[Product]]&amp;", "&amp;Inschrijf_CO2_Totaal[[#Headers],[A1-A3]],Database_Productkaarten[#All],18,FALSE)*Optimalisatie!J12),Baseline_Backlog!G115),0))</f>
        <v>0</v>
      </c>
      <c r="H115" s="91">
        <f>(IF(Optimalisatie!C12="Nieuwe Situatie",_xlfn.IFNA(VLOOKUP(Optimalisatie!V12,Database_Transport[#All],12,FALSE)*(Optimalisatie!R12*Optimalisatie!U12),Baseline_Backlog!H115),0))</f>
        <v>0</v>
      </c>
      <c r="I115" s="91">
        <f>IF(Optimalisatie!C12="Nieuwe situatie",IF(_xlfn.IFNA((VLOOKUP(Optimalisatie!W12,Database_Asfalt_Aanlegset[#All],12,FALSE)*Optimalisatie!J12),0)+_xlfn.IFNA(VLOOKUP(Optimalisatie!X12,Database_Brandstoffen[#All],12,FALSE)*((Optimalisatie!J12/Optimalisatie!Z12)*Optimalisatie!Y12),0)&gt;0,_xlfn.IFNA((VLOOKUP(Optimalisatie!W12,Database_Asfalt_Aanlegset[#All],12,FALSE)*Optimalisatie!J12),0)+_xlfn.IFNA(VLOOKUP(Optimalisatie!X12,Database_Brandstoffen[#All],12,FALSE)*((Optimalisatie!J12/Optimalisatie!Z12)*Optimalisatie!Y12),0),(_xlfn.IFNA(VLOOKUP(Inschrijf_CO2_Totaal[[#This Row],[Product]]&amp;", "&amp;Inschrijf_MKI_Totaal[[#Headers],[A5]],Database_Productkaarten[#All],18,FALSE),0)*Optimalisatie!J12)),0)</f>
        <v>0</v>
      </c>
      <c r="J115" s="91">
        <f>(IF(Optimalisatie!C12="Nieuwe Situatie",_xlfn.IFNA(IF(Optimalisatie!E12="Categorie_1_LCA_Producten",VLOOKUP(Inschrijf_CO2_Totaal[[#This Row],[Product]],Categorie_1_Producten[#All],20,FALSE)*(Optimalisatie!R12),VLOOKUP(Inschrijf_CO2_Totaal[[#This Row],[Product]]&amp;", "&amp;Inschrijf_CO2_Totaal[[#Headers],[B1]],Database_Productkaarten[#All],18,FALSE)*Optimalisatie!J12),Baseline_Backlog!J115),0))</f>
        <v>0</v>
      </c>
      <c r="K115" s="91">
        <f>(IF(Optimalisatie!C12="Nieuwe Situatie",_xlfn.IFNA(SUM(Inschrijf_CO2_Totaal[[#This Row],[A1]:[B1]],Inschrijf_CO2_Totaal[[#This Row],[C1]:[D2]])*Optimalisatie!T12,0),0))</f>
        <v>0</v>
      </c>
      <c r="L115" s="91">
        <f>IF(Optimalisatie!C12="Bestaande situatie",IF(_xlfn.IFNA((VLOOKUP(Optimalisatie!AA12,Database_Asfalt_Verwijderset[#All],12,FALSE)*Optimalisatie!J12),0)+_xlfn.IFNA(VLOOKUP(Optimalisatie!AB12,Database_Brandstoffen[#All],12,FALSE)*((Optimalisatie!J12/Optimalisatie!AD12)*Optimalisatie!AC12),0)&gt;0,_xlfn.IFNA((VLOOKUP(Optimalisatie!AA12,Database_Asfalt_Verwijderset[#All],12,FALSE)*Optimalisatie!J12),0)+_xlfn.IFNA(VLOOKUP(Optimalisatie!AB12,Database_Brandstoffen[#All],12,FALSE)*((Optimalisatie!J12/Optimalisatie!AD12)*Optimalisatie!AC12),0),(_xlfn.IFNA(VLOOKUP(Inschrijf_CO2_Totaal[[#This Row],[Product]]&amp;", "&amp;Inschrijf_MKI_Totaal[[#Headers],[C1]],Database_Productkaarten[#All],18,FALSE),0)*Optimalisatie!J12)),0)</f>
        <v>11049.752964628413</v>
      </c>
      <c r="M115" s="91">
        <f>(IF(Optimalisatie!C12="Bestaande Situatie",_xlfn.IFNA(VLOOKUP(Optimalisatie!AF12,Database_Transport[#All],12,FALSE)*(Optimalisatie!R12*Optimalisatie!AE12),Baseline_Backlog!M115),0))</f>
        <v>1876.8039718735997</v>
      </c>
      <c r="N115" s="91">
        <f>(IF(Optimalisatie!C12="Bestaande Situatie",_xlfn.IFNA(VLOOKUP(Optimalisatie!AG12,Database_Asfalt_Verwerkingsset[#All],12,FALSE)*(Optimalisatie!J12/VLOOKUP(Optimalisatie!AG12,Database_Asfalt_Verwerkingsset[#All],12,FALSE)),Baseline_Backlog!N115),0))</f>
        <v>1578.52053445</v>
      </c>
      <c r="O115" s="91">
        <f>(IF(Optimalisatie!C12="Bestaande Situatie",_xlfn.IFNA(VLOOKUP(Inschrijf_CO2_Totaal[[#This Row],[Product]]&amp;", "&amp;Inschrijf_CO2_Totaal[[#Headers],[C4]],Database_Productkaarten[#All],18,FALSE)*Optimalisatie!J12,Baseline_Backlog!O115),0))</f>
        <v>53.394517819000008</v>
      </c>
      <c r="P115" s="91">
        <f>(IF(Optimalisatie!C12="Bestaande Situatie",_xlfn.IFNA(IF(Optimalisatie!E12="Categorie_1_LCA_Producten",VLOOKUP(Inschrijf_CO2_Totaal[[#This Row],[Product]],Categorie_1_Producten[#All],18,FALSE)*(Optimalisatie!J12),VLOOKUP(Inschrijf_CO2_Totaal[[#This Row],[Product]]&amp;", "&amp;Inschrijf_CO2_Totaal[[#Headers],[D1]],Database_Productkaarten[#All],18,FALSE)*Optimalisatie!J12),Baseline_Backlog!P115),0))</f>
        <v>0</v>
      </c>
      <c r="Q115" s="91">
        <f>(IF(Optimalisatie!C12="Bestaande Situatie",_xlfn.IFNA(IF(Optimalisatie!E12="Categorie_1_LCA_Producten",VLOOKUP(Inschrijf_CO2_Totaal[[#This Row],[Product]],Categorie_1_Producten[#All],19,FALSE)*(Optimalisatie!J12),VLOOKUP(Inschrijf_CO2_Totaal[[#This Row],[Product]]&amp;", "&amp;Inschrijf_CO2_Totaal[[#Headers],[D2]],Database_Productkaarten[#All],18,FALSE)*Optimalisatie!J12),Baseline_Backlog!Q115),0))</f>
        <v>0</v>
      </c>
      <c r="R115" s="91">
        <f>(IF(Optimalisatie!C12="Bestaande Situatie",_xlfn.IFNA(IF(Optimalisatie!E12="Categorie_1_LCA_Producten",VLOOKUP(Inschrijf_CO2_Totaal[[#This Row],[Product]],Categorie_1_Producten[#All],21,FALSE)*(Optimalisatie!J12),VLOOKUP(Inschrijf_CO2_Totaal[[#This Row],[Product]]&amp;", "&amp;Inschrijf_CO2_Totaal[[#Headers],[D]],Database_Productkaarten[#All],18,FALSE)*Optimalisatie!J12),Baseline_Backlog!S115),0))</f>
        <v>-3962.1548307500002</v>
      </c>
      <c r="S115" s="91">
        <f>SUM(Inschrijf_CO2_Totaal[[#This Row],[A1-A3]:[C4]])+Inschrijf_CO2_Totaal[[#This Row],[D]]</f>
        <v>10596.317158021013</v>
      </c>
    </row>
    <row r="116" spans="2:19">
      <c r="B116" s="208" t="str">
        <f>Optimalisatie!B13</f>
        <v>121410 - Opbreken en afvoeren asfaltverharding zwart teervrij</v>
      </c>
      <c r="C116" s="1" t="str">
        <f>Optimalisatie!F13</f>
        <v>AC bin/base 50% PR - PCR 2.0</v>
      </c>
      <c r="D116" s="91">
        <f>(IF(Optimalisatie!C13="Nieuwe Situatie",_xlfn.IFNA(IF(Optimalisatie!E13="Categorie_1_LCA_Producten",VLOOKUP(Inschrijf_CO2_Totaal[[#This Row],[Product]],Categorie_1_Producten[#All],14,FALSE)*(Optimalisatie!J13),VLOOKUP(Inschrijf_CO2_Totaal[[#This Row],[Product]]&amp;", "&amp;Inschrijf_CO2_Totaal[[#Headers],[A1]],Database_Productkaarten[#All],18,FALSE)*Optimalisatie!J13),Baseline_Backlog!D116),0))</f>
        <v>0</v>
      </c>
      <c r="E116" s="91">
        <f>(IF(Optimalisatie!C13="Nieuwe Situatie",_xlfn.IFNA(IF(Optimalisatie!E13="Categorie_1_LCA_Producten",VLOOKUP(Inschrijf_CO2_Totaal[[#This Row],[Product]],Categorie_1_Producten[#All],15,FALSE)*(Optimalisatie!J13),VLOOKUP(Inschrijf_CO2_Totaal[[#This Row],[Product]]&amp;", "&amp;Inschrijf_CO2_Totaal[[#Headers],[A2]],Database_Productkaarten[#All],18,FALSE)*Optimalisatie!J13),Baseline_Backlog!E116),0))</f>
        <v>0</v>
      </c>
      <c r="F116" s="91">
        <f>(IF(Optimalisatie!C13="Nieuwe Situatie",_xlfn.IFNA(IF(Optimalisatie!E13="Categorie_1_LCA_Producten",VLOOKUP(Inschrijf_CO2_Totaal[[#This Row],[Product]],Categorie_1_Producten[#All],16,FALSE)*(Optimalisatie!J13),VLOOKUP(Inschrijf_CO2_Totaal[[#This Row],[Product]]&amp;", "&amp;Inschrijf_CO2_Totaal[[#Headers],[A3]],Database_Productkaarten[#All],18,FALSE)*Optimalisatie!J13),Baseline_Backlog!F116),0))</f>
        <v>0</v>
      </c>
      <c r="G116" s="91">
        <f>(IF(Optimalisatie!C13="Nieuwe Situatie",_xlfn.IFNA(IF(Optimalisatie!E13="Categorie_1_LCA_Producten",VLOOKUP(Inschrijf_CO2_Totaal[[#This Row],[Product]],Categorie_1_Producten[#All],19,FALSE)*(Optimalisatie!J13),VLOOKUP(Inschrijf_CO2_Totaal[[#This Row],[Product]]&amp;", "&amp;Inschrijf_CO2_Totaal[[#Headers],[A1-A3]],Database_Productkaarten[#All],18,FALSE)*Optimalisatie!J13),Baseline_Backlog!G116),0))</f>
        <v>0</v>
      </c>
      <c r="H116" s="91">
        <f>(IF(Optimalisatie!C13="Nieuwe Situatie",_xlfn.IFNA(VLOOKUP(Optimalisatie!V13,Database_Transport[#All],12,FALSE)*(Optimalisatie!R13*Optimalisatie!U13),Baseline_Backlog!H116),0))</f>
        <v>0</v>
      </c>
      <c r="I116" s="91">
        <f>IF(Optimalisatie!C13="Nieuwe situatie",IF(_xlfn.IFNA((VLOOKUP(Optimalisatie!W13,Database_Asfalt_Aanlegset[#All],12,FALSE)*Optimalisatie!J13),0)+_xlfn.IFNA(VLOOKUP(Optimalisatie!X13,Database_Brandstoffen[#All],12,FALSE)*((Optimalisatie!J13/Optimalisatie!Z13)*Optimalisatie!Y13),0)&gt;0,_xlfn.IFNA((VLOOKUP(Optimalisatie!W13,Database_Asfalt_Aanlegset[#All],12,FALSE)*Optimalisatie!J13),0)+_xlfn.IFNA(VLOOKUP(Optimalisatie!X13,Database_Brandstoffen[#All],12,FALSE)*((Optimalisatie!J13/Optimalisatie!Z13)*Optimalisatie!Y13),0),(_xlfn.IFNA(VLOOKUP(Inschrijf_CO2_Totaal[[#This Row],[Product]]&amp;", "&amp;Inschrijf_MKI_Totaal[[#Headers],[A5]],Database_Productkaarten[#All],18,FALSE),0)*Optimalisatie!J13)),0)</f>
        <v>0</v>
      </c>
      <c r="J116" s="91">
        <f>(IF(Optimalisatie!C13="Nieuwe Situatie",_xlfn.IFNA(IF(Optimalisatie!E13="Categorie_1_LCA_Producten",VLOOKUP(Inschrijf_CO2_Totaal[[#This Row],[Product]],Categorie_1_Producten[#All],20,FALSE)*(Optimalisatie!R13),VLOOKUP(Inschrijf_CO2_Totaal[[#This Row],[Product]]&amp;", "&amp;Inschrijf_CO2_Totaal[[#Headers],[B1]],Database_Productkaarten[#All],18,FALSE)*Optimalisatie!J13),Baseline_Backlog!J116),0))</f>
        <v>0</v>
      </c>
      <c r="K116" s="91">
        <f>(IF(Optimalisatie!C13="Nieuwe Situatie",_xlfn.IFNA(SUM(Inschrijf_CO2_Totaal[[#This Row],[A1]:[B1]],Inschrijf_CO2_Totaal[[#This Row],[C1]:[D2]])*Optimalisatie!T13,0),0))</f>
        <v>0</v>
      </c>
      <c r="L116" s="91">
        <f>IF(Optimalisatie!C13="Bestaande situatie",IF(_xlfn.IFNA((VLOOKUP(Optimalisatie!AA13,Database_Asfalt_Verwijderset[#All],12,FALSE)*Optimalisatie!J13),0)+_xlfn.IFNA(VLOOKUP(Optimalisatie!AB13,Database_Brandstoffen[#All],12,FALSE)*((Optimalisatie!J13/Optimalisatie!AD13)*Optimalisatie!AC13),0)&gt;0,_xlfn.IFNA((VLOOKUP(Optimalisatie!AA13,Database_Asfalt_Verwijderset[#All],12,FALSE)*Optimalisatie!J13),0)+_xlfn.IFNA(VLOOKUP(Optimalisatie!AB13,Database_Brandstoffen[#All],12,FALSE)*((Optimalisatie!J13/Optimalisatie!AD13)*Optimalisatie!AC13),0),(_xlfn.IFNA(VLOOKUP(Inschrijf_CO2_Totaal[[#This Row],[Product]]&amp;", "&amp;Inschrijf_MKI_Totaal[[#Headers],[C1]],Database_Productkaarten[#All],18,FALSE),0)*Optimalisatie!J13)),0)</f>
        <v>3777.9391125000002</v>
      </c>
      <c r="M116" s="91">
        <f>(IF(Optimalisatie!C13="Bestaande Situatie",_xlfn.IFNA(VLOOKUP(Optimalisatie!AF13,Database_Transport[#All],12,FALSE)*(Optimalisatie!R13*Optimalisatie!AE13),Baseline_Backlog!M116),0))</f>
        <v>4707.3986399999994</v>
      </c>
      <c r="N116" s="91">
        <f>(IF(Optimalisatie!C13="Bestaande Situatie",_xlfn.IFNA(VLOOKUP(Optimalisatie!AG13,Database_Asfalt_Verwerkingsset[#All],12,FALSE)*(Optimalisatie!J13/VLOOKUP(Optimalisatie!AG13,Database_Asfalt_Verwerkingsset[#All],12,FALSE)),Baseline_Backlog!N116),0))</f>
        <v>4235.8711247428273</v>
      </c>
      <c r="O116" s="91">
        <f>(IF(Optimalisatie!C13="Bestaande Situatie",_xlfn.IFNA(VLOOKUP(Inschrijf_CO2_Totaal[[#This Row],[Product]]&amp;", "&amp;Inschrijf_CO2_Totaal[[#Headers],[C4]],Database_Productkaarten[#All],18,FALSE)*Optimalisatie!J13,Baseline_Backlog!O116),0))</f>
        <v>0</v>
      </c>
      <c r="P116" s="91">
        <f>(IF(Optimalisatie!C13="Bestaande Situatie",_xlfn.IFNA(IF(Optimalisatie!E13="Categorie_1_LCA_Producten",VLOOKUP(Inschrijf_CO2_Totaal[[#This Row],[Product]],Categorie_1_Producten[#All],18,FALSE)*(Optimalisatie!J13),VLOOKUP(Inschrijf_CO2_Totaal[[#This Row],[Product]]&amp;", "&amp;Inschrijf_CO2_Totaal[[#Headers],[D1]],Database_Productkaarten[#All],18,FALSE)*Optimalisatie!J13),Baseline_Backlog!P116),0))</f>
        <v>0</v>
      </c>
      <c r="Q116" s="91">
        <f>(IF(Optimalisatie!C13="Bestaande Situatie",_xlfn.IFNA(IF(Optimalisatie!E13="Categorie_1_LCA_Producten",VLOOKUP(Inschrijf_CO2_Totaal[[#This Row],[Product]],Categorie_1_Producten[#All],19,FALSE)*(Optimalisatie!J13),VLOOKUP(Inschrijf_CO2_Totaal[[#This Row],[Product]]&amp;", "&amp;Inschrijf_CO2_Totaal[[#Headers],[D2]],Database_Productkaarten[#All],18,FALSE)*Optimalisatie!J13),Baseline_Backlog!Q116),0))</f>
        <v>0</v>
      </c>
      <c r="R116" s="91">
        <f>(IF(Optimalisatie!C13="Bestaande Situatie",_xlfn.IFNA(IF(Optimalisatie!E13="Categorie_1_LCA_Producten",VLOOKUP(Inschrijf_CO2_Totaal[[#This Row],[Product]],Categorie_1_Producten[#All],21,FALSE)*(Optimalisatie!J13),VLOOKUP(Inschrijf_CO2_Totaal[[#This Row],[Product]]&amp;", "&amp;Inschrijf_CO2_Totaal[[#Headers],[D]],Database_Productkaarten[#All],18,FALSE)*Optimalisatie!J13),Baseline_Backlog!S116),0))</f>
        <v>-45426.748472472675</v>
      </c>
      <c r="S116" s="91">
        <f>SUM(Inschrijf_CO2_Totaal[[#This Row],[A1-A3]:[C4]])+Inschrijf_CO2_Totaal[[#This Row],[D]]</f>
        <v>-32705.53959522985</v>
      </c>
    </row>
    <row r="117" spans="2:19">
      <c r="B117" s="208" t="str">
        <f>Optimalisatie!B14</f>
        <v>121420 - Opbreken en afvoeren asfaltverharding rood teervrij</v>
      </c>
      <c r="C117" s="1" t="str">
        <f>Optimalisatie!F14</f>
        <v>AC surf rood, met penbitumen - PCR 2.0</v>
      </c>
      <c r="D117" s="91">
        <f>(IF(Optimalisatie!C14="Nieuwe Situatie",_xlfn.IFNA(IF(Optimalisatie!E14="Categorie_1_LCA_Producten",VLOOKUP(Inschrijf_CO2_Totaal[[#This Row],[Product]],Categorie_1_Producten[#All],14,FALSE)*(Optimalisatie!J14),VLOOKUP(Inschrijf_CO2_Totaal[[#This Row],[Product]]&amp;", "&amp;Inschrijf_CO2_Totaal[[#Headers],[A1]],Database_Productkaarten[#All],18,FALSE)*Optimalisatie!J14),Baseline_Backlog!D117),0))</f>
        <v>0</v>
      </c>
      <c r="E117" s="91">
        <f>(IF(Optimalisatie!C14="Nieuwe Situatie",_xlfn.IFNA(IF(Optimalisatie!E14="Categorie_1_LCA_Producten",VLOOKUP(Inschrijf_CO2_Totaal[[#This Row],[Product]],Categorie_1_Producten[#All],15,FALSE)*(Optimalisatie!J14),VLOOKUP(Inschrijf_CO2_Totaal[[#This Row],[Product]]&amp;", "&amp;Inschrijf_CO2_Totaal[[#Headers],[A2]],Database_Productkaarten[#All],18,FALSE)*Optimalisatie!J14),Baseline_Backlog!E117),0))</f>
        <v>0</v>
      </c>
      <c r="F117" s="91">
        <f>(IF(Optimalisatie!C14="Nieuwe Situatie",_xlfn.IFNA(IF(Optimalisatie!E14="Categorie_1_LCA_Producten",VLOOKUP(Inschrijf_CO2_Totaal[[#This Row],[Product]],Categorie_1_Producten[#All],16,FALSE)*(Optimalisatie!J14),VLOOKUP(Inschrijf_CO2_Totaal[[#This Row],[Product]]&amp;", "&amp;Inschrijf_CO2_Totaal[[#Headers],[A3]],Database_Productkaarten[#All],18,FALSE)*Optimalisatie!J14),Baseline_Backlog!F117),0))</f>
        <v>0</v>
      </c>
      <c r="G117" s="91">
        <f>(IF(Optimalisatie!C14="Nieuwe Situatie",_xlfn.IFNA(IF(Optimalisatie!E14="Categorie_1_LCA_Producten",VLOOKUP(Inschrijf_CO2_Totaal[[#This Row],[Product]],Categorie_1_Producten[#All],19,FALSE)*(Optimalisatie!J14),VLOOKUP(Inschrijf_CO2_Totaal[[#This Row],[Product]]&amp;", "&amp;Inschrijf_CO2_Totaal[[#Headers],[A1-A3]],Database_Productkaarten[#All],18,FALSE)*Optimalisatie!J14),Baseline_Backlog!G117),0))</f>
        <v>0</v>
      </c>
      <c r="H117" s="91">
        <f>(IF(Optimalisatie!C14="Nieuwe Situatie",_xlfn.IFNA(VLOOKUP(Optimalisatie!V14,Database_Transport[#All],12,FALSE)*(Optimalisatie!R14*Optimalisatie!U14),Baseline_Backlog!H117),0))</f>
        <v>0</v>
      </c>
      <c r="I117" s="91">
        <f>IF(Optimalisatie!C14="Nieuwe situatie",IF(_xlfn.IFNA((VLOOKUP(Optimalisatie!W14,Database_Asfalt_Aanlegset[#All],12,FALSE)*Optimalisatie!J14),0)+_xlfn.IFNA(VLOOKUP(Optimalisatie!X14,Database_Brandstoffen[#All],12,FALSE)*((Optimalisatie!J14/Optimalisatie!Z14)*Optimalisatie!Y14),0)&gt;0,_xlfn.IFNA((VLOOKUP(Optimalisatie!W14,Database_Asfalt_Aanlegset[#All],12,FALSE)*Optimalisatie!J14),0)+_xlfn.IFNA(VLOOKUP(Optimalisatie!X14,Database_Brandstoffen[#All],12,FALSE)*((Optimalisatie!J14/Optimalisatie!Z14)*Optimalisatie!Y14),0),(_xlfn.IFNA(VLOOKUP(Inschrijf_CO2_Totaal[[#This Row],[Product]]&amp;", "&amp;Inschrijf_MKI_Totaal[[#Headers],[A5]],Database_Productkaarten[#All],18,FALSE),0)*Optimalisatie!J14)),0)</f>
        <v>0</v>
      </c>
      <c r="J117" s="91">
        <f>(IF(Optimalisatie!C14="Nieuwe Situatie",_xlfn.IFNA(IF(Optimalisatie!E14="Categorie_1_LCA_Producten",VLOOKUP(Inschrijf_CO2_Totaal[[#This Row],[Product]],Categorie_1_Producten[#All],20,FALSE)*(Optimalisatie!R14),VLOOKUP(Inschrijf_CO2_Totaal[[#This Row],[Product]]&amp;", "&amp;Inschrijf_CO2_Totaal[[#Headers],[B1]],Database_Productkaarten[#All],18,FALSE)*Optimalisatie!J14),Baseline_Backlog!J117),0))</f>
        <v>0</v>
      </c>
      <c r="K117" s="91">
        <f>(IF(Optimalisatie!C14="Nieuwe Situatie",_xlfn.IFNA(SUM(Inschrijf_CO2_Totaal[[#This Row],[A1]:[B1]],Inschrijf_CO2_Totaal[[#This Row],[C1]:[D2]])*Optimalisatie!T14,0),0))</f>
        <v>0</v>
      </c>
      <c r="L117" s="91">
        <f>IF(Optimalisatie!C14="Bestaande situatie",IF(_xlfn.IFNA((VLOOKUP(Optimalisatie!AA14,Database_Asfalt_Verwijderset[#All],12,FALSE)*Optimalisatie!J14),0)+_xlfn.IFNA(VLOOKUP(Optimalisatie!AB14,Database_Brandstoffen[#All],12,FALSE)*((Optimalisatie!J14/Optimalisatie!AD14)*Optimalisatie!AC14),0)&gt;0,_xlfn.IFNA((VLOOKUP(Optimalisatie!AA14,Database_Asfalt_Verwijderset[#All],12,FALSE)*Optimalisatie!J14),0)+_xlfn.IFNA(VLOOKUP(Optimalisatie!AB14,Database_Brandstoffen[#All],12,FALSE)*((Optimalisatie!J14/Optimalisatie!AD14)*Optimalisatie!AC14),0),(_xlfn.IFNA(VLOOKUP(Inschrijf_CO2_Totaal[[#This Row],[Product]]&amp;", "&amp;Inschrijf_MKI_Totaal[[#Headers],[C1]],Database_Productkaarten[#All],18,FALSE),0)*Optimalisatie!J14)),0)</f>
        <v>2590.58682</v>
      </c>
      <c r="M117" s="91">
        <f>(IF(Optimalisatie!C14="Bestaande Situatie",_xlfn.IFNA(VLOOKUP(Optimalisatie!AF14,Database_Transport[#All],12,FALSE)*(Optimalisatie!R14*Optimalisatie!AE14),Baseline_Backlog!M117),0))</f>
        <v>3227.9304959999999</v>
      </c>
      <c r="N117" s="91">
        <f>(IF(Optimalisatie!C14="Bestaande Situatie",_xlfn.IFNA(VLOOKUP(Optimalisatie!AG14,Database_Asfalt_Verwerkingsset[#All],12,FALSE)*(Optimalisatie!J14/VLOOKUP(Optimalisatie!AG14,Database_Asfalt_Verwerkingsset[#All],12,FALSE)),Baseline_Backlog!N117),0))</f>
        <v>2904.5973426422579</v>
      </c>
      <c r="O117" s="91">
        <f>(IF(Optimalisatie!C14="Bestaande Situatie",_xlfn.IFNA(VLOOKUP(Inschrijf_CO2_Totaal[[#This Row],[Product]]&amp;", "&amp;Inschrijf_CO2_Totaal[[#Headers],[C4]],Database_Productkaarten[#All],18,FALSE)*Optimalisatie!J14,Baseline_Backlog!O117),0))</f>
        <v>0</v>
      </c>
      <c r="P117" s="91">
        <f>(IF(Optimalisatie!C14="Bestaande Situatie",_xlfn.IFNA(IF(Optimalisatie!E14="Categorie_1_LCA_Producten",VLOOKUP(Inschrijf_CO2_Totaal[[#This Row],[Product]],Categorie_1_Producten[#All],18,FALSE)*(Optimalisatie!J14),VLOOKUP(Inschrijf_CO2_Totaal[[#This Row],[Product]]&amp;", "&amp;Inschrijf_CO2_Totaal[[#Headers],[D1]],Database_Productkaarten[#All],18,FALSE)*Optimalisatie!J14),Baseline_Backlog!P117),0))</f>
        <v>0</v>
      </c>
      <c r="Q117" s="91">
        <f>(IF(Optimalisatie!C14="Bestaande Situatie",_xlfn.IFNA(IF(Optimalisatie!E14="Categorie_1_LCA_Producten",VLOOKUP(Inschrijf_CO2_Totaal[[#This Row],[Product]],Categorie_1_Producten[#All],19,FALSE)*(Optimalisatie!J14),VLOOKUP(Inschrijf_CO2_Totaal[[#This Row],[Product]]&amp;", "&amp;Inschrijf_CO2_Totaal[[#Headers],[D2]],Database_Productkaarten[#All],18,FALSE)*Optimalisatie!J14),Baseline_Backlog!Q117),0))</f>
        <v>0</v>
      </c>
      <c r="R117" s="91">
        <f>(IF(Optimalisatie!C14="Bestaande Situatie",_xlfn.IFNA(IF(Optimalisatie!E14="Categorie_1_LCA_Producten",VLOOKUP(Inschrijf_CO2_Totaal[[#This Row],[Product]],Categorie_1_Producten[#All],21,FALSE)*(Optimalisatie!J14),VLOOKUP(Inschrijf_CO2_Totaal[[#This Row],[Product]]&amp;", "&amp;Inschrijf_CO2_Totaal[[#Headers],[D]],Database_Productkaarten[#All],18,FALSE)*Optimalisatie!J14),Baseline_Backlog!S117),0))</f>
        <v>-58458.21544991358</v>
      </c>
      <c r="S117" s="91">
        <f>SUM(Inschrijf_CO2_Totaal[[#This Row],[A1-A3]:[C4]])+Inschrijf_CO2_Totaal[[#This Row],[D]]</f>
        <v>-49735.100791271325</v>
      </c>
    </row>
    <row r="118" spans="2:19">
      <c r="B118" s="208" t="str">
        <f>Optimalisatie!B15</f>
        <v>121510 - Opbreken fundering van menggranulaat, 400-200 mm dik</v>
      </c>
      <c r="C118" s="1" t="str">
        <f>Optimalisatie!F15</f>
        <v>Menggranulaat 300mm</v>
      </c>
      <c r="D118" s="91">
        <f>(IF(Optimalisatie!C15="Nieuwe Situatie",_xlfn.IFNA(IF(Optimalisatie!E15="Categorie_1_LCA_Producten",VLOOKUP(Inschrijf_CO2_Totaal[[#This Row],[Product]],Categorie_1_Producten[#All],14,FALSE)*(Optimalisatie!J15),VLOOKUP(Inschrijf_CO2_Totaal[[#This Row],[Product]]&amp;", "&amp;Inschrijf_CO2_Totaal[[#Headers],[A1]],Database_Productkaarten[#All],18,FALSE)*Optimalisatie!J15),Baseline_Backlog!D118),0))</f>
        <v>0</v>
      </c>
      <c r="E118" s="91">
        <f>(IF(Optimalisatie!C15="Nieuwe Situatie",_xlfn.IFNA(IF(Optimalisatie!E15="Categorie_1_LCA_Producten",VLOOKUP(Inschrijf_CO2_Totaal[[#This Row],[Product]],Categorie_1_Producten[#All],15,FALSE)*(Optimalisatie!J15),VLOOKUP(Inschrijf_CO2_Totaal[[#This Row],[Product]]&amp;", "&amp;Inschrijf_CO2_Totaal[[#Headers],[A2]],Database_Productkaarten[#All],18,FALSE)*Optimalisatie!J15),Baseline_Backlog!E118),0))</f>
        <v>0</v>
      </c>
      <c r="F118" s="91">
        <f>(IF(Optimalisatie!C15="Nieuwe Situatie",_xlfn.IFNA(IF(Optimalisatie!E15="Categorie_1_LCA_Producten",VLOOKUP(Inschrijf_CO2_Totaal[[#This Row],[Product]],Categorie_1_Producten[#All],16,FALSE)*(Optimalisatie!J15),VLOOKUP(Inschrijf_CO2_Totaal[[#This Row],[Product]]&amp;", "&amp;Inschrijf_CO2_Totaal[[#Headers],[A3]],Database_Productkaarten[#All],18,FALSE)*Optimalisatie!J15),Baseline_Backlog!F118),0))</f>
        <v>0</v>
      </c>
      <c r="G118" s="91">
        <f>(IF(Optimalisatie!C15="Nieuwe Situatie",_xlfn.IFNA(IF(Optimalisatie!E15="Categorie_1_LCA_Producten",VLOOKUP(Inschrijf_CO2_Totaal[[#This Row],[Product]],Categorie_1_Producten[#All],19,FALSE)*(Optimalisatie!J15),VLOOKUP(Inschrijf_CO2_Totaal[[#This Row],[Product]]&amp;", "&amp;Inschrijf_CO2_Totaal[[#Headers],[A1-A3]],Database_Productkaarten[#All],18,FALSE)*Optimalisatie!J15),Baseline_Backlog!G118),0))</f>
        <v>0</v>
      </c>
      <c r="H118" s="91">
        <f>(IF(Optimalisatie!C15="Nieuwe Situatie",_xlfn.IFNA(VLOOKUP(Optimalisatie!V15,Database_Transport[#All],12,FALSE)*(Optimalisatie!R15*Optimalisatie!U15),Baseline_Backlog!H118),0))</f>
        <v>0</v>
      </c>
      <c r="I118" s="91">
        <f>IF(Optimalisatie!C15="Nieuwe situatie",IF(_xlfn.IFNA((VLOOKUP(Optimalisatie!W15,Database_Asfalt_Aanlegset[#All],12,FALSE)*Optimalisatie!J15),0)+_xlfn.IFNA(VLOOKUP(Optimalisatie!X15,Database_Brandstoffen[#All],12,FALSE)*((Optimalisatie!J15/Optimalisatie!Z15)*Optimalisatie!Y15),0)&gt;0,_xlfn.IFNA((VLOOKUP(Optimalisatie!W15,Database_Asfalt_Aanlegset[#All],12,FALSE)*Optimalisatie!J15),0)+_xlfn.IFNA(VLOOKUP(Optimalisatie!X15,Database_Brandstoffen[#All],12,FALSE)*((Optimalisatie!J15/Optimalisatie!Z15)*Optimalisatie!Y15),0),(_xlfn.IFNA(VLOOKUP(Inschrijf_CO2_Totaal[[#This Row],[Product]]&amp;", "&amp;Inschrijf_MKI_Totaal[[#Headers],[A5]],Database_Productkaarten[#All],18,FALSE),0)*Optimalisatie!J15)),0)</f>
        <v>0</v>
      </c>
      <c r="J118" s="91">
        <f>(IF(Optimalisatie!C15="Nieuwe Situatie",_xlfn.IFNA(IF(Optimalisatie!E15="Categorie_1_LCA_Producten",VLOOKUP(Inschrijf_CO2_Totaal[[#This Row],[Product]],Categorie_1_Producten[#All],20,FALSE)*(Optimalisatie!R15),VLOOKUP(Inschrijf_CO2_Totaal[[#This Row],[Product]]&amp;", "&amp;Inschrijf_CO2_Totaal[[#Headers],[B1]],Database_Productkaarten[#All],18,FALSE)*Optimalisatie!J15),Baseline_Backlog!J118),0))</f>
        <v>0</v>
      </c>
      <c r="K118" s="91">
        <f>(IF(Optimalisatie!C15="Nieuwe Situatie",_xlfn.IFNA(SUM(Inschrijf_CO2_Totaal[[#This Row],[A1]:[B1]],Inschrijf_CO2_Totaal[[#This Row],[C1]:[D2]])*Optimalisatie!T15,0),0))</f>
        <v>0</v>
      </c>
      <c r="L118" s="91">
        <f>IF(Optimalisatie!C15="Bestaande situatie",IF(_xlfn.IFNA((VLOOKUP(Optimalisatie!AA15,Database_Asfalt_Verwijderset[#All],12,FALSE)*Optimalisatie!J15),0)+_xlfn.IFNA(VLOOKUP(Optimalisatie!AB15,Database_Brandstoffen[#All],12,FALSE)*((Optimalisatie!J15/Optimalisatie!AD15)*Optimalisatie!AC15),0)&gt;0,_xlfn.IFNA((VLOOKUP(Optimalisatie!AA15,Database_Asfalt_Verwijderset[#All],12,FALSE)*Optimalisatie!J15),0)+_xlfn.IFNA(VLOOKUP(Optimalisatie!AB15,Database_Brandstoffen[#All],12,FALSE)*((Optimalisatie!J15/Optimalisatie!AD15)*Optimalisatie!AC15),0),(_xlfn.IFNA(VLOOKUP(Inschrijf_CO2_Totaal[[#This Row],[Product]]&amp;", "&amp;Inschrijf_MKI_Totaal[[#Headers],[C1]],Database_Productkaarten[#All],18,FALSE),0)*Optimalisatie!J15)),0)</f>
        <v>2588.1010934999999</v>
      </c>
      <c r="M118" s="91">
        <f>(IF(Optimalisatie!C15="Bestaande Situatie",_xlfn.IFNA(VLOOKUP(Optimalisatie!AF15,Database_Transport[#All],12,FALSE)*(Optimalisatie!R15*Optimalisatie!AE15),Baseline_Backlog!M118),0))</f>
        <v>4021.4634096</v>
      </c>
      <c r="N118" s="91">
        <f>(IF(Optimalisatie!C15="Bestaande Situatie",_xlfn.IFNA(VLOOKUP(Optimalisatie!AG15,Database_Asfalt_Verwerkingsset[#All],12,FALSE)*(Optimalisatie!J15/VLOOKUP(Optimalisatie!AG15,Database_Asfalt_Verwerkingsset[#All],12,FALSE)),Baseline_Backlog!N118),0))</f>
        <v>0</v>
      </c>
      <c r="O118" s="91">
        <f>(IF(Optimalisatie!C15="Bestaande Situatie",_xlfn.IFNA(VLOOKUP(Inschrijf_CO2_Totaal[[#This Row],[Product]]&amp;", "&amp;Inschrijf_CO2_Totaal[[#Headers],[C4]],Database_Productkaarten[#All],18,FALSE)*Optimalisatie!J15,Baseline_Backlog!O118),0))</f>
        <v>118.45</v>
      </c>
      <c r="P118" s="91">
        <f>(IF(Optimalisatie!C15="Bestaande Situatie",_xlfn.IFNA(IF(Optimalisatie!E15="Categorie_1_LCA_Producten",VLOOKUP(Inschrijf_CO2_Totaal[[#This Row],[Product]],Categorie_1_Producten[#All],18,FALSE)*(Optimalisatie!J15),VLOOKUP(Inschrijf_CO2_Totaal[[#This Row],[Product]]&amp;", "&amp;Inschrijf_CO2_Totaal[[#Headers],[D1]],Database_Productkaarten[#All],18,FALSE)*Optimalisatie!J15),Baseline_Backlog!P118),0))</f>
        <v>0</v>
      </c>
      <c r="Q118" s="91">
        <f>(IF(Optimalisatie!C15="Bestaande Situatie",_xlfn.IFNA(IF(Optimalisatie!E15="Categorie_1_LCA_Producten",VLOOKUP(Inschrijf_CO2_Totaal[[#This Row],[Product]],Categorie_1_Producten[#All],19,FALSE)*(Optimalisatie!J15),VLOOKUP(Inschrijf_CO2_Totaal[[#This Row],[Product]]&amp;", "&amp;Inschrijf_CO2_Totaal[[#Headers],[D2]],Database_Productkaarten[#All],18,FALSE)*Optimalisatie!J15),Baseline_Backlog!Q118),0))</f>
        <v>0</v>
      </c>
      <c r="R118" s="91">
        <f>(IF(Optimalisatie!C15="Bestaande Situatie",_xlfn.IFNA(IF(Optimalisatie!E15="Categorie_1_LCA_Producten",VLOOKUP(Inschrijf_CO2_Totaal[[#This Row],[Product]],Categorie_1_Producten[#All],21,FALSE)*(Optimalisatie!J15),VLOOKUP(Inschrijf_CO2_Totaal[[#This Row],[Product]]&amp;", "&amp;Inschrijf_CO2_Totaal[[#Headers],[D]],Database_Productkaarten[#All],18,FALSE)*Optimalisatie!J15),Baseline_Backlog!S118),0))</f>
        <v>94.300000000000011</v>
      </c>
      <c r="S118" s="91">
        <f>SUM(Inschrijf_CO2_Totaal[[#This Row],[A1-A3]:[C4]])+Inschrijf_CO2_Totaal[[#This Row],[D]]</f>
        <v>6822.3145031000004</v>
      </c>
    </row>
    <row r="119" spans="2:19">
      <c r="B119" s="208" t="str">
        <f>Optimalisatie!B16</f>
        <v>121520 - Opbreken fundering van slakken 200-400 mm dik</v>
      </c>
      <c r="C119" s="1" t="str">
        <f>Optimalisatie!F16</f>
        <v>Fosforslakmengsel 200mm</v>
      </c>
      <c r="D119" s="91">
        <f>(IF(Optimalisatie!C16="Nieuwe Situatie",_xlfn.IFNA(IF(Optimalisatie!E16="Categorie_1_LCA_Producten",VLOOKUP(Inschrijf_CO2_Totaal[[#This Row],[Product]],Categorie_1_Producten[#All],14,FALSE)*(Optimalisatie!J16),VLOOKUP(Inschrijf_CO2_Totaal[[#This Row],[Product]]&amp;", "&amp;Inschrijf_CO2_Totaal[[#Headers],[A1]],Database_Productkaarten[#All],18,FALSE)*Optimalisatie!J16),Baseline_Backlog!D119),0))</f>
        <v>0</v>
      </c>
      <c r="E119" s="91">
        <f>(IF(Optimalisatie!C16="Nieuwe Situatie",_xlfn.IFNA(IF(Optimalisatie!E16="Categorie_1_LCA_Producten",VLOOKUP(Inschrijf_CO2_Totaal[[#This Row],[Product]],Categorie_1_Producten[#All],15,FALSE)*(Optimalisatie!J16),VLOOKUP(Inschrijf_CO2_Totaal[[#This Row],[Product]]&amp;", "&amp;Inschrijf_CO2_Totaal[[#Headers],[A2]],Database_Productkaarten[#All],18,FALSE)*Optimalisatie!J16),Baseline_Backlog!E119),0))</f>
        <v>0</v>
      </c>
      <c r="F119" s="91">
        <f>(IF(Optimalisatie!C16="Nieuwe Situatie",_xlfn.IFNA(IF(Optimalisatie!E16="Categorie_1_LCA_Producten",VLOOKUP(Inschrijf_CO2_Totaal[[#This Row],[Product]],Categorie_1_Producten[#All],16,FALSE)*(Optimalisatie!J16),VLOOKUP(Inschrijf_CO2_Totaal[[#This Row],[Product]]&amp;", "&amp;Inschrijf_CO2_Totaal[[#Headers],[A3]],Database_Productkaarten[#All],18,FALSE)*Optimalisatie!J16),Baseline_Backlog!F119),0))</f>
        <v>0</v>
      </c>
      <c r="G119" s="91">
        <f>(IF(Optimalisatie!C16="Nieuwe Situatie",_xlfn.IFNA(IF(Optimalisatie!E16="Categorie_1_LCA_Producten",VLOOKUP(Inschrijf_CO2_Totaal[[#This Row],[Product]],Categorie_1_Producten[#All],19,FALSE)*(Optimalisatie!J16),VLOOKUP(Inschrijf_CO2_Totaal[[#This Row],[Product]]&amp;", "&amp;Inschrijf_CO2_Totaal[[#Headers],[A1-A3]],Database_Productkaarten[#All],18,FALSE)*Optimalisatie!J16),Baseline_Backlog!G119),0))</f>
        <v>0</v>
      </c>
      <c r="H119" s="91">
        <f>(IF(Optimalisatie!C16="Nieuwe Situatie",_xlfn.IFNA(VLOOKUP(Optimalisatie!V16,Database_Transport[#All],12,FALSE)*(Optimalisatie!R16*Optimalisatie!U16),Baseline_Backlog!H119),0))</f>
        <v>0</v>
      </c>
      <c r="I119" s="91">
        <f>IF(Optimalisatie!C16="Nieuwe situatie",IF(_xlfn.IFNA((VLOOKUP(Optimalisatie!W16,Database_Asfalt_Aanlegset[#All],12,FALSE)*Optimalisatie!J16),0)+_xlfn.IFNA(VLOOKUP(Optimalisatie!X16,Database_Brandstoffen[#All],12,FALSE)*((Optimalisatie!J16/Optimalisatie!Z16)*Optimalisatie!Y16),0)&gt;0,_xlfn.IFNA((VLOOKUP(Optimalisatie!W16,Database_Asfalt_Aanlegset[#All],12,FALSE)*Optimalisatie!J16),0)+_xlfn.IFNA(VLOOKUP(Optimalisatie!X16,Database_Brandstoffen[#All],12,FALSE)*((Optimalisatie!J16/Optimalisatie!Z16)*Optimalisatie!Y16),0),(_xlfn.IFNA(VLOOKUP(Inschrijf_CO2_Totaal[[#This Row],[Product]]&amp;", "&amp;Inschrijf_MKI_Totaal[[#Headers],[A5]],Database_Productkaarten[#All],18,FALSE),0)*Optimalisatie!J16)),0)</f>
        <v>0</v>
      </c>
      <c r="J119" s="91">
        <f>(IF(Optimalisatie!C16="Nieuwe Situatie",_xlfn.IFNA(IF(Optimalisatie!E16="Categorie_1_LCA_Producten",VLOOKUP(Inschrijf_CO2_Totaal[[#This Row],[Product]],Categorie_1_Producten[#All],20,FALSE)*(Optimalisatie!R16),VLOOKUP(Inschrijf_CO2_Totaal[[#This Row],[Product]]&amp;", "&amp;Inschrijf_CO2_Totaal[[#Headers],[B1]],Database_Productkaarten[#All],18,FALSE)*Optimalisatie!J16),Baseline_Backlog!J119),0))</f>
        <v>0</v>
      </c>
      <c r="K119" s="91">
        <f>(IF(Optimalisatie!C16="Nieuwe Situatie",_xlfn.IFNA(SUM(Inschrijf_CO2_Totaal[[#This Row],[A1]:[B1]],Inschrijf_CO2_Totaal[[#This Row],[C1]:[D2]])*Optimalisatie!T16,0),0))</f>
        <v>0</v>
      </c>
      <c r="L119" s="91">
        <f>IF(Optimalisatie!C16="Bestaande situatie",IF(_xlfn.IFNA((VLOOKUP(Optimalisatie!AA16,Database_Asfalt_Verwijderset[#All],12,FALSE)*Optimalisatie!J16),0)+_xlfn.IFNA(VLOOKUP(Optimalisatie!AB16,Database_Brandstoffen[#All],12,FALSE)*((Optimalisatie!J16/Optimalisatie!AD16)*Optimalisatie!AC16),0)&gt;0,_xlfn.IFNA((VLOOKUP(Optimalisatie!AA16,Database_Asfalt_Verwijderset[#All],12,FALSE)*Optimalisatie!J16),0)+_xlfn.IFNA(VLOOKUP(Optimalisatie!AB16,Database_Brandstoffen[#All],12,FALSE)*((Optimalisatie!J16/Optimalisatie!AD16)*Optimalisatie!AC16),0),(_xlfn.IFNA(VLOOKUP(Inschrijf_CO2_Totaal[[#This Row],[Product]]&amp;", "&amp;Inschrijf_MKI_Totaal[[#Headers],[C1]],Database_Productkaarten[#All],18,FALSE),0)*Optimalisatie!J16)),0)</f>
        <v>1181.5244122500001</v>
      </c>
      <c r="M119" s="91">
        <f>(IF(Optimalisatie!C16="Bestaande Situatie",_xlfn.IFNA(VLOOKUP(Optimalisatie!AF16,Database_Transport[#All],12,FALSE)*(Optimalisatie!R16*Optimalisatie!AE16),Baseline_Backlog!M119),0))</f>
        <v>1757.4288256000002</v>
      </c>
      <c r="N119" s="91">
        <f>(IF(Optimalisatie!C16="Bestaande Situatie",_xlfn.IFNA(VLOOKUP(Optimalisatie!AG16,Database_Asfalt_Verwerkingsset[#All],12,FALSE)*(Optimalisatie!J16/VLOOKUP(Optimalisatie!AG16,Database_Asfalt_Verwerkingsset[#All],12,FALSE)),Baseline_Backlog!N119),0))</f>
        <v>0</v>
      </c>
      <c r="O119" s="91">
        <f>(IF(Optimalisatie!C16="Bestaande Situatie",_xlfn.IFNA(VLOOKUP(Inschrijf_CO2_Totaal[[#This Row],[Product]]&amp;", "&amp;Inschrijf_CO2_Totaal[[#Headers],[C4]],Database_Productkaarten[#All],18,FALSE)*Optimalisatie!J16,Baseline_Backlog!O119),0))</f>
        <v>51.800000000000004</v>
      </c>
      <c r="P119" s="91">
        <f>(IF(Optimalisatie!C16="Bestaande Situatie",_xlfn.IFNA(IF(Optimalisatie!E16="Categorie_1_LCA_Producten",VLOOKUP(Inschrijf_CO2_Totaal[[#This Row],[Product]],Categorie_1_Producten[#All],18,FALSE)*(Optimalisatie!J16),VLOOKUP(Inschrijf_CO2_Totaal[[#This Row],[Product]]&amp;", "&amp;Inschrijf_CO2_Totaal[[#Headers],[D1]],Database_Productkaarten[#All],18,FALSE)*Optimalisatie!J16),Baseline_Backlog!P119),0))</f>
        <v>0</v>
      </c>
      <c r="Q119" s="91">
        <f>(IF(Optimalisatie!C16="Bestaande Situatie",_xlfn.IFNA(IF(Optimalisatie!E16="Categorie_1_LCA_Producten",VLOOKUP(Inschrijf_CO2_Totaal[[#This Row],[Product]],Categorie_1_Producten[#All],19,FALSE)*(Optimalisatie!J16),VLOOKUP(Inschrijf_CO2_Totaal[[#This Row],[Product]]&amp;", "&amp;Inschrijf_CO2_Totaal[[#Headers],[D2]],Database_Productkaarten[#All],18,FALSE)*Optimalisatie!J16),Baseline_Backlog!Q119),0))</f>
        <v>0</v>
      </c>
      <c r="R119" s="91">
        <f>(IF(Optimalisatie!C16="Bestaande Situatie",_xlfn.IFNA(IF(Optimalisatie!E16="Categorie_1_LCA_Producten",VLOOKUP(Inschrijf_CO2_Totaal[[#This Row],[Product]],Categorie_1_Producten[#All],21,FALSE)*(Optimalisatie!J16),VLOOKUP(Inschrijf_CO2_Totaal[[#This Row],[Product]]&amp;", "&amp;Inschrijf_CO2_Totaal[[#Headers],[D]],Database_Productkaarten[#All],18,FALSE)*Optimalisatie!J16),Baseline_Backlog!S119),0))</f>
        <v>41.125</v>
      </c>
      <c r="S119" s="91">
        <f>SUM(Inschrijf_CO2_Totaal[[#This Row],[A1-A3]:[C4]])+Inschrijf_CO2_Totaal[[#This Row],[D]]</f>
        <v>3031.8782378500005</v>
      </c>
    </row>
    <row r="120" spans="2:19">
      <c r="B120" s="208" t="str">
        <f>Optimalisatie!B17</f>
        <v>121310 - Verwijderen en afvoeren kolken, incl aansluitingen</v>
      </c>
      <c r="C120" s="1" t="str">
        <f>Optimalisatie!F17</f>
        <v>Kolk, Staal &amp; Beton</v>
      </c>
      <c r="D120" s="91">
        <f>(IF(Optimalisatie!C17="Nieuwe Situatie",_xlfn.IFNA(IF(Optimalisatie!E17="Categorie_1_LCA_Producten",VLOOKUP(Inschrijf_CO2_Totaal[[#This Row],[Product]],Categorie_1_Producten[#All],14,FALSE)*(Optimalisatie!J17),VLOOKUP(Inschrijf_CO2_Totaal[[#This Row],[Product]]&amp;", "&amp;Inschrijf_CO2_Totaal[[#Headers],[A1]],Database_Productkaarten[#All],18,FALSE)*Optimalisatie!J17),Baseline_Backlog!D120),0))</f>
        <v>0</v>
      </c>
      <c r="E120" s="91">
        <f>(IF(Optimalisatie!C17="Nieuwe Situatie",_xlfn.IFNA(IF(Optimalisatie!E17="Categorie_1_LCA_Producten",VLOOKUP(Inschrijf_CO2_Totaal[[#This Row],[Product]],Categorie_1_Producten[#All],15,FALSE)*(Optimalisatie!J17),VLOOKUP(Inschrijf_CO2_Totaal[[#This Row],[Product]]&amp;", "&amp;Inschrijf_CO2_Totaal[[#Headers],[A2]],Database_Productkaarten[#All],18,FALSE)*Optimalisatie!J17),Baseline_Backlog!E120),0))</f>
        <v>0</v>
      </c>
      <c r="F120" s="91">
        <f>(IF(Optimalisatie!C17="Nieuwe Situatie",_xlfn.IFNA(IF(Optimalisatie!E17="Categorie_1_LCA_Producten",VLOOKUP(Inschrijf_CO2_Totaal[[#This Row],[Product]],Categorie_1_Producten[#All],16,FALSE)*(Optimalisatie!J17),VLOOKUP(Inschrijf_CO2_Totaal[[#This Row],[Product]]&amp;", "&amp;Inschrijf_CO2_Totaal[[#Headers],[A3]],Database_Productkaarten[#All],18,FALSE)*Optimalisatie!J17),Baseline_Backlog!F120),0))</f>
        <v>0</v>
      </c>
      <c r="G120" s="91">
        <f>(IF(Optimalisatie!C17="Nieuwe Situatie",_xlfn.IFNA(IF(Optimalisatie!E17="Categorie_1_LCA_Producten",VLOOKUP(Inschrijf_CO2_Totaal[[#This Row],[Product]],Categorie_1_Producten[#All],19,FALSE)*(Optimalisatie!J17),VLOOKUP(Inschrijf_CO2_Totaal[[#This Row],[Product]]&amp;", "&amp;Inschrijf_CO2_Totaal[[#Headers],[A1-A3]],Database_Productkaarten[#All],18,FALSE)*Optimalisatie!J17),Baseline_Backlog!G120),0))</f>
        <v>0</v>
      </c>
      <c r="H120" s="91">
        <f>(IF(Optimalisatie!C17="Nieuwe Situatie",_xlfn.IFNA(VLOOKUP(Optimalisatie!V17,Database_Transport[#All],12,FALSE)*(Optimalisatie!R17*Optimalisatie!U17),Baseline_Backlog!H120),0))</f>
        <v>0</v>
      </c>
      <c r="I120" s="91">
        <f>IF(Optimalisatie!C17="Nieuwe situatie",IF(_xlfn.IFNA((VLOOKUP(Optimalisatie!W17,Database_Asfalt_Aanlegset[#All],12,FALSE)*Optimalisatie!J17),0)+_xlfn.IFNA(VLOOKUP(Optimalisatie!X17,Database_Brandstoffen[#All],12,FALSE)*((Optimalisatie!J17/Optimalisatie!Z17)*Optimalisatie!Y17),0)&gt;0,_xlfn.IFNA((VLOOKUP(Optimalisatie!W17,Database_Asfalt_Aanlegset[#All],12,FALSE)*Optimalisatie!J17),0)+_xlfn.IFNA(VLOOKUP(Optimalisatie!X17,Database_Brandstoffen[#All],12,FALSE)*((Optimalisatie!J17/Optimalisatie!Z17)*Optimalisatie!Y17),0),(_xlfn.IFNA(VLOOKUP(Inschrijf_CO2_Totaal[[#This Row],[Product]]&amp;", "&amp;Inschrijf_MKI_Totaal[[#Headers],[A5]],Database_Productkaarten[#All],18,FALSE),0)*Optimalisatie!J17)),0)</f>
        <v>0</v>
      </c>
      <c r="J120" s="91">
        <f>(IF(Optimalisatie!C17="Nieuwe Situatie",_xlfn.IFNA(IF(Optimalisatie!E17="Categorie_1_LCA_Producten",VLOOKUP(Inschrijf_CO2_Totaal[[#This Row],[Product]],Categorie_1_Producten[#All],20,FALSE)*(Optimalisatie!R17),VLOOKUP(Inschrijf_CO2_Totaal[[#This Row],[Product]]&amp;", "&amp;Inschrijf_CO2_Totaal[[#Headers],[B1]],Database_Productkaarten[#All],18,FALSE)*Optimalisatie!J17),Baseline_Backlog!J120),0))</f>
        <v>0</v>
      </c>
      <c r="K120" s="91">
        <f>(IF(Optimalisatie!C17="Nieuwe Situatie",_xlfn.IFNA(SUM(Inschrijf_CO2_Totaal[[#This Row],[A1]:[B1]],Inschrijf_CO2_Totaal[[#This Row],[C1]:[D2]])*Optimalisatie!T17,0),0))</f>
        <v>0</v>
      </c>
      <c r="L120" s="91">
        <f>IF(Optimalisatie!C17="Bestaande situatie",IF(_xlfn.IFNA((VLOOKUP(Optimalisatie!AA17,Database_Asfalt_Verwijderset[#All],12,FALSE)*Optimalisatie!J17),0)+_xlfn.IFNA(VLOOKUP(Optimalisatie!AB17,Database_Brandstoffen[#All],12,FALSE)*((Optimalisatie!J17/Optimalisatie!AD17)*Optimalisatie!AC17),0)&gt;0,_xlfn.IFNA((VLOOKUP(Optimalisatie!AA17,Database_Asfalt_Verwijderset[#All],12,FALSE)*Optimalisatie!J17),0)+_xlfn.IFNA(VLOOKUP(Optimalisatie!AB17,Database_Brandstoffen[#All],12,FALSE)*((Optimalisatie!J17/Optimalisatie!AD17)*Optimalisatie!AC17),0),(_xlfn.IFNA(VLOOKUP(Inschrijf_CO2_Totaal[[#This Row],[Product]]&amp;", "&amp;Inschrijf_MKI_Totaal[[#Headers],[C1]],Database_Productkaarten[#All],18,FALSE),0)*Optimalisatie!J17)),0)</f>
        <v>5571.7675957437323</v>
      </c>
      <c r="M120" s="91">
        <f>(IF(Optimalisatie!C17="Bestaande Situatie",_xlfn.IFNA(VLOOKUP(Optimalisatie!AF17,Database_Transport[#All],12,FALSE)*(Optimalisatie!R17*Optimalisatie!AE17),Baseline_Backlog!M120),0))</f>
        <v>73.477884002969603</v>
      </c>
      <c r="N120" s="91">
        <f>(IF(Optimalisatie!C17="Bestaande Situatie",_xlfn.IFNA(VLOOKUP(Optimalisatie!AG17,Database_Asfalt_Verwerkingsset[#All],12,FALSE)*(Optimalisatie!J17/VLOOKUP(Optimalisatie!AG17,Database_Asfalt_Verwerkingsset[#All],12,FALSE)),Baseline_Backlog!N120),0))</f>
        <v>1678.5072234000002</v>
      </c>
      <c r="O120" s="91">
        <f>(IF(Optimalisatie!C17="Bestaande Situatie",_xlfn.IFNA(VLOOKUP(Inschrijf_CO2_Totaal[[#This Row],[Product]]&amp;", "&amp;Inschrijf_CO2_Totaal[[#Headers],[C4]],Database_Productkaarten[#All],18,FALSE)*Optimalisatie!J17,Baseline_Backlog!O120),0))</f>
        <v>3.3020828900000003</v>
      </c>
      <c r="P120" s="91">
        <f>(IF(Optimalisatie!C17="Bestaande Situatie",_xlfn.IFNA(IF(Optimalisatie!E17="Categorie_1_LCA_Producten",VLOOKUP(Inschrijf_CO2_Totaal[[#This Row],[Product]],Categorie_1_Producten[#All],18,FALSE)*(Optimalisatie!J17),VLOOKUP(Inschrijf_CO2_Totaal[[#This Row],[Product]]&amp;", "&amp;Inschrijf_CO2_Totaal[[#Headers],[D1]],Database_Productkaarten[#All],18,FALSE)*Optimalisatie!J17),Baseline_Backlog!P120),0))</f>
        <v>-6387.24</v>
      </c>
      <c r="Q120" s="91">
        <f>(IF(Optimalisatie!C17="Bestaande Situatie",_xlfn.IFNA(IF(Optimalisatie!E17="Categorie_1_LCA_Producten",VLOOKUP(Inschrijf_CO2_Totaal[[#This Row],[Product]],Categorie_1_Producten[#All],19,FALSE)*(Optimalisatie!J17),VLOOKUP(Inschrijf_CO2_Totaal[[#This Row],[Product]]&amp;", "&amp;Inschrijf_CO2_Totaal[[#Headers],[D2]],Database_Productkaarten[#All],18,FALSE)*Optimalisatie!J17),Baseline_Backlog!Q120),0))</f>
        <v>0</v>
      </c>
      <c r="R120" s="91">
        <f>(IF(Optimalisatie!C17="Bestaande Situatie",_xlfn.IFNA(IF(Optimalisatie!E17="Categorie_1_LCA_Producten",VLOOKUP(Inschrijf_CO2_Totaal[[#This Row],[Product]],Categorie_1_Producten[#All],21,FALSE)*(Optimalisatie!J17),VLOOKUP(Inschrijf_CO2_Totaal[[#This Row],[Product]]&amp;", "&amp;Inschrijf_CO2_Totaal[[#Headers],[D]],Database_Productkaarten[#All],18,FALSE)*Optimalisatie!J17),Baseline_Backlog!S120),0))</f>
        <v>-8698.96234</v>
      </c>
      <c r="S120" s="91">
        <f>SUM(Inschrijf_CO2_Totaal[[#This Row],[A1-A3]:[C4]])+Inschrijf_CO2_Totaal[[#This Row],[D]]</f>
        <v>-1371.9075539632986</v>
      </c>
    </row>
    <row r="121" spans="2:19">
      <c r="B121" s="208" t="str">
        <f>Optimalisatie!B18</f>
        <v>210010 - Grond ontgraven uit cunet wegen en parkeervakken 0,25 m</v>
      </c>
      <c r="C121" s="1" t="str">
        <f>Optimalisatie!F18</f>
        <v>Ophoogmateriaal (Grond)</v>
      </c>
      <c r="D121" s="91">
        <f>(IF(Optimalisatie!C18="Nieuwe Situatie",_xlfn.IFNA(IF(Optimalisatie!E18="Categorie_1_LCA_Producten",VLOOKUP(Inschrijf_CO2_Totaal[[#This Row],[Product]],Categorie_1_Producten[#All],14,FALSE)*(Optimalisatie!J18),VLOOKUP(Inschrijf_CO2_Totaal[[#This Row],[Product]]&amp;", "&amp;Inschrijf_CO2_Totaal[[#Headers],[A1]],Database_Productkaarten[#All],18,FALSE)*Optimalisatie!J18),Baseline_Backlog!D121),0))</f>
        <v>0</v>
      </c>
      <c r="E121" s="91">
        <f>(IF(Optimalisatie!C18="Nieuwe Situatie",_xlfn.IFNA(IF(Optimalisatie!E18="Categorie_1_LCA_Producten",VLOOKUP(Inschrijf_CO2_Totaal[[#This Row],[Product]],Categorie_1_Producten[#All],15,FALSE)*(Optimalisatie!J18),VLOOKUP(Inschrijf_CO2_Totaal[[#This Row],[Product]]&amp;", "&amp;Inschrijf_CO2_Totaal[[#Headers],[A2]],Database_Productkaarten[#All],18,FALSE)*Optimalisatie!J18),Baseline_Backlog!E121),0))</f>
        <v>0</v>
      </c>
      <c r="F121" s="91">
        <f>(IF(Optimalisatie!C18="Nieuwe Situatie",_xlfn.IFNA(IF(Optimalisatie!E18="Categorie_1_LCA_Producten",VLOOKUP(Inschrijf_CO2_Totaal[[#This Row],[Product]],Categorie_1_Producten[#All],16,FALSE)*(Optimalisatie!J18),VLOOKUP(Inschrijf_CO2_Totaal[[#This Row],[Product]]&amp;", "&amp;Inschrijf_CO2_Totaal[[#Headers],[A3]],Database_Productkaarten[#All],18,FALSE)*Optimalisatie!J18),Baseline_Backlog!F121),0))</f>
        <v>0</v>
      </c>
      <c r="G121" s="91">
        <f>(IF(Optimalisatie!C18="Nieuwe Situatie",_xlfn.IFNA(IF(Optimalisatie!E18="Categorie_1_LCA_Producten",VLOOKUP(Inschrijf_CO2_Totaal[[#This Row],[Product]],Categorie_1_Producten[#All],19,FALSE)*(Optimalisatie!J18),VLOOKUP(Inschrijf_CO2_Totaal[[#This Row],[Product]]&amp;", "&amp;Inschrijf_CO2_Totaal[[#Headers],[A1-A3]],Database_Productkaarten[#All],18,FALSE)*Optimalisatie!J18),Baseline_Backlog!G121),0))</f>
        <v>0</v>
      </c>
      <c r="H121" s="91">
        <f>(IF(Optimalisatie!C18="Nieuwe Situatie",_xlfn.IFNA(VLOOKUP(Optimalisatie!V18,Database_Transport[#All],12,FALSE)*(Optimalisatie!R18*Optimalisatie!U18),Baseline_Backlog!H121),0))</f>
        <v>0</v>
      </c>
      <c r="I121" s="91">
        <f>IF(Optimalisatie!C18="Nieuwe situatie",IF(_xlfn.IFNA((VLOOKUP(Optimalisatie!W18,Database_Asfalt_Aanlegset[#All],12,FALSE)*Optimalisatie!J18),0)+_xlfn.IFNA(VLOOKUP(Optimalisatie!X18,Database_Brandstoffen[#All],12,FALSE)*((Optimalisatie!J18/Optimalisatie!Z18)*Optimalisatie!Y18),0)&gt;0,_xlfn.IFNA((VLOOKUP(Optimalisatie!W18,Database_Asfalt_Aanlegset[#All],12,FALSE)*Optimalisatie!J18),0)+_xlfn.IFNA(VLOOKUP(Optimalisatie!X18,Database_Brandstoffen[#All],12,FALSE)*((Optimalisatie!J18/Optimalisatie!Z18)*Optimalisatie!Y18),0),(_xlfn.IFNA(VLOOKUP(Inschrijf_CO2_Totaal[[#This Row],[Product]]&amp;", "&amp;Inschrijf_MKI_Totaal[[#Headers],[A5]],Database_Productkaarten[#All],18,FALSE),0)*Optimalisatie!J18)),0)</f>
        <v>0</v>
      </c>
      <c r="J121" s="91">
        <f>(IF(Optimalisatie!C18="Nieuwe Situatie",_xlfn.IFNA(IF(Optimalisatie!E18="Categorie_1_LCA_Producten",VLOOKUP(Inschrijf_CO2_Totaal[[#This Row],[Product]],Categorie_1_Producten[#All],20,FALSE)*(Optimalisatie!R18),VLOOKUP(Inschrijf_CO2_Totaal[[#This Row],[Product]]&amp;", "&amp;Inschrijf_CO2_Totaal[[#Headers],[B1]],Database_Productkaarten[#All],18,FALSE)*Optimalisatie!J18),Baseline_Backlog!J121),0))</f>
        <v>0</v>
      </c>
      <c r="K121" s="91">
        <f>(IF(Optimalisatie!C18="Nieuwe Situatie",_xlfn.IFNA(SUM(Inschrijf_CO2_Totaal[[#This Row],[A1]:[B1]],Inschrijf_CO2_Totaal[[#This Row],[C1]:[D2]])*Optimalisatie!T18,0),0))</f>
        <v>0</v>
      </c>
      <c r="L121" s="91">
        <f>IF(Optimalisatie!C18="Bestaande situatie",IF(_xlfn.IFNA((VLOOKUP(Optimalisatie!AA18,Database_Asfalt_Verwijderset[#All],12,FALSE)*Optimalisatie!J18),0)+_xlfn.IFNA(VLOOKUP(Optimalisatie!AB18,Database_Brandstoffen[#All],12,FALSE)*((Optimalisatie!J18/Optimalisatie!AD18)*Optimalisatie!AC18),0)&gt;0,_xlfn.IFNA((VLOOKUP(Optimalisatie!AA18,Database_Asfalt_Verwijderset[#All],12,FALSE)*Optimalisatie!J18),0)+_xlfn.IFNA(VLOOKUP(Optimalisatie!AB18,Database_Brandstoffen[#All],12,FALSE)*((Optimalisatie!J18/Optimalisatie!AD18)*Optimalisatie!AC18),0),(_xlfn.IFNA(VLOOKUP(Inschrijf_CO2_Totaal[[#This Row],[Product]]&amp;", "&amp;Inschrijf_MKI_Totaal[[#Headers],[C1]],Database_Productkaarten[#All],18,FALSE),0)*Optimalisatie!J18)),0)</f>
        <v>3922.3032732679994</v>
      </c>
      <c r="M121" s="91">
        <f>(IF(Optimalisatie!C18="Bestaande Situatie",_xlfn.IFNA(VLOOKUP(Optimalisatie!AF18,Database_Transport[#All],12,FALSE)*(Optimalisatie!R18*Optimalisatie!AE18),Baseline_Backlog!M121),0))</f>
        <v>14628.801678399999</v>
      </c>
      <c r="N121" s="91">
        <f>(IF(Optimalisatie!C18="Bestaande Situatie",_xlfn.IFNA(VLOOKUP(Optimalisatie!AG18,Database_Asfalt_Verwerkingsset[#All],12,FALSE)*(Optimalisatie!J18/VLOOKUP(Optimalisatie!AG18,Database_Asfalt_Verwerkingsset[#All],12,FALSE)),Baseline_Backlog!N121),0))</f>
        <v>0</v>
      </c>
      <c r="O121" s="91">
        <f>(IF(Optimalisatie!C18="Bestaande Situatie",_xlfn.IFNA(VLOOKUP(Inschrijf_CO2_Totaal[[#This Row],[Product]]&amp;", "&amp;Inschrijf_CO2_Totaal[[#Headers],[C4]],Database_Productkaarten[#All],18,FALSE)*Optimalisatie!J18,Baseline_Backlog!O121),0))</f>
        <v>451.8</v>
      </c>
      <c r="P121" s="91">
        <f>(IF(Optimalisatie!C18="Bestaande Situatie",_xlfn.IFNA(IF(Optimalisatie!E18="Categorie_1_LCA_Producten",VLOOKUP(Inschrijf_CO2_Totaal[[#This Row],[Product]],Categorie_1_Producten[#All],18,FALSE)*(Optimalisatie!J18),VLOOKUP(Inschrijf_CO2_Totaal[[#This Row],[Product]]&amp;", "&amp;Inschrijf_CO2_Totaal[[#Headers],[D1]],Database_Productkaarten[#All],18,FALSE)*Optimalisatie!J18),Baseline_Backlog!P121),0))</f>
        <v>0</v>
      </c>
      <c r="Q121" s="91">
        <f>(IF(Optimalisatie!C18="Bestaande Situatie",_xlfn.IFNA(IF(Optimalisatie!E18="Categorie_1_LCA_Producten",VLOOKUP(Inschrijf_CO2_Totaal[[#This Row],[Product]],Categorie_1_Producten[#All],19,FALSE)*(Optimalisatie!J18),VLOOKUP(Inschrijf_CO2_Totaal[[#This Row],[Product]]&amp;", "&amp;Inschrijf_CO2_Totaal[[#Headers],[D2]],Database_Productkaarten[#All],18,FALSE)*Optimalisatie!J18),Baseline_Backlog!Q121),0))</f>
        <v>0</v>
      </c>
      <c r="R121" s="91">
        <f>(IF(Optimalisatie!C18="Bestaande Situatie",_xlfn.IFNA(IF(Optimalisatie!E18="Categorie_1_LCA_Producten",VLOOKUP(Inschrijf_CO2_Totaal[[#This Row],[Product]],Categorie_1_Producten[#All],21,FALSE)*(Optimalisatie!J18),VLOOKUP(Inschrijf_CO2_Totaal[[#This Row],[Product]]&amp;", "&amp;Inschrijf_CO2_Totaal[[#Headers],[D]],Database_Productkaarten[#All],18,FALSE)*Optimalisatie!J18),Baseline_Backlog!S121),0))</f>
        <v>0</v>
      </c>
      <c r="S121" s="91">
        <f>SUM(Inschrijf_CO2_Totaal[[#This Row],[A1-A3]:[C4]])+Inschrijf_CO2_Totaal[[#This Row],[D]]</f>
        <v>19002.904951667999</v>
      </c>
    </row>
    <row r="122" spans="2:19">
      <c r="B122" s="208" t="str">
        <f>Optimalisatie!B19</f>
        <v>210020 - Grond ontgraven uit sleuf riolering (gerekend met 11,5m3/m1 riool)</v>
      </c>
      <c r="C122" s="1" t="str">
        <f>Optimalisatie!F19</f>
        <v>Ophoogmateriaal (Grond)</v>
      </c>
      <c r="D122" s="91">
        <f>(IF(Optimalisatie!C19="Nieuwe Situatie",_xlfn.IFNA(IF(Optimalisatie!E19="Categorie_1_LCA_Producten",VLOOKUP(Inschrijf_CO2_Totaal[[#This Row],[Product]],Categorie_1_Producten[#All],14,FALSE)*(Optimalisatie!J19),VLOOKUP(Inschrijf_CO2_Totaal[[#This Row],[Product]]&amp;", "&amp;Inschrijf_CO2_Totaal[[#Headers],[A1]],Database_Productkaarten[#All],18,FALSE)*Optimalisatie!J19),Baseline_Backlog!D122),0))</f>
        <v>0</v>
      </c>
      <c r="E122" s="91">
        <f>(IF(Optimalisatie!C19="Nieuwe Situatie",_xlfn.IFNA(IF(Optimalisatie!E19="Categorie_1_LCA_Producten",VLOOKUP(Inschrijf_CO2_Totaal[[#This Row],[Product]],Categorie_1_Producten[#All],15,FALSE)*(Optimalisatie!J19),VLOOKUP(Inschrijf_CO2_Totaal[[#This Row],[Product]]&amp;", "&amp;Inschrijf_CO2_Totaal[[#Headers],[A2]],Database_Productkaarten[#All],18,FALSE)*Optimalisatie!J19),Baseline_Backlog!E122),0))</f>
        <v>0</v>
      </c>
      <c r="F122" s="91">
        <f>(IF(Optimalisatie!C19="Nieuwe Situatie",_xlfn.IFNA(IF(Optimalisatie!E19="Categorie_1_LCA_Producten",VLOOKUP(Inschrijf_CO2_Totaal[[#This Row],[Product]],Categorie_1_Producten[#All],16,FALSE)*(Optimalisatie!J19),VLOOKUP(Inschrijf_CO2_Totaal[[#This Row],[Product]]&amp;", "&amp;Inschrijf_CO2_Totaal[[#Headers],[A3]],Database_Productkaarten[#All],18,FALSE)*Optimalisatie!J19),Baseline_Backlog!F122),0))</f>
        <v>0</v>
      </c>
      <c r="G122" s="91">
        <f>(IF(Optimalisatie!C19="Nieuwe Situatie",_xlfn.IFNA(IF(Optimalisatie!E19="Categorie_1_LCA_Producten",VLOOKUP(Inschrijf_CO2_Totaal[[#This Row],[Product]],Categorie_1_Producten[#All],19,FALSE)*(Optimalisatie!J19),VLOOKUP(Inschrijf_CO2_Totaal[[#This Row],[Product]]&amp;", "&amp;Inschrijf_CO2_Totaal[[#Headers],[A1-A3]],Database_Productkaarten[#All],18,FALSE)*Optimalisatie!J19),Baseline_Backlog!G122),0))</f>
        <v>0</v>
      </c>
      <c r="H122" s="91">
        <f>(IF(Optimalisatie!C19="Nieuwe Situatie",_xlfn.IFNA(VLOOKUP(Optimalisatie!V19,Database_Transport[#All],12,FALSE)*(Optimalisatie!R19*Optimalisatie!U19),Baseline_Backlog!H122),0))</f>
        <v>0</v>
      </c>
      <c r="I122" s="91">
        <f>IF(Optimalisatie!C19="Nieuwe situatie",IF(_xlfn.IFNA((VLOOKUP(Optimalisatie!W19,Database_Asfalt_Aanlegset[#All],12,FALSE)*Optimalisatie!J19),0)+_xlfn.IFNA(VLOOKUP(Optimalisatie!X19,Database_Brandstoffen[#All],12,FALSE)*((Optimalisatie!J19/Optimalisatie!Z19)*Optimalisatie!Y19),0)&gt;0,_xlfn.IFNA((VLOOKUP(Optimalisatie!W19,Database_Asfalt_Aanlegset[#All],12,FALSE)*Optimalisatie!J19),0)+_xlfn.IFNA(VLOOKUP(Optimalisatie!X19,Database_Brandstoffen[#All],12,FALSE)*((Optimalisatie!J19/Optimalisatie!Z19)*Optimalisatie!Y19),0),(_xlfn.IFNA(VLOOKUP(Inschrijf_CO2_Totaal[[#This Row],[Product]]&amp;", "&amp;Inschrijf_MKI_Totaal[[#Headers],[A5]],Database_Productkaarten[#All],18,FALSE),0)*Optimalisatie!J19)),0)</f>
        <v>0</v>
      </c>
      <c r="J122" s="91">
        <f>(IF(Optimalisatie!C19="Nieuwe Situatie",_xlfn.IFNA(IF(Optimalisatie!E19="Categorie_1_LCA_Producten",VLOOKUP(Inschrijf_CO2_Totaal[[#This Row],[Product]],Categorie_1_Producten[#All],20,FALSE)*(Optimalisatie!R19),VLOOKUP(Inschrijf_CO2_Totaal[[#This Row],[Product]]&amp;", "&amp;Inschrijf_CO2_Totaal[[#Headers],[B1]],Database_Productkaarten[#All],18,FALSE)*Optimalisatie!J19),Baseline_Backlog!J122),0))</f>
        <v>0</v>
      </c>
      <c r="K122" s="91">
        <f>(IF(Optimalisatie!C19="Nieuwe Situatie",_xlfn.IFNA(SUM(Inschrijf_CO2_Totaal[[#This Row],[A1]:[B1]],Inschrijf_CO2_Totaal[[#This Row],[C1]:[D2]])*Optimalisatie!T19,0),0))</f>
        <v>0</v>
      </c>
      <c r="L122" s="91">
        <f>IF(Optimalisatie!C19="Bestaande situatie",IF(_xlfn.IFNA((VLOOKUP(Optimalisatie!AA19,Database_Asfalt_Verwijderset[#All],12,FALSE)*Optimalisatie!J19),0)+_xlfn.IFNA(VLOOKUP(Optimalisatie!AB19,Database_Brandstoffen[#All],12,FALSE)*((Optimalisatie!J19/Optimalisatie!AD19)*Optimalisatie!AC19),0)&gt;0,_xlfn.IFNA((VLOOKUP(Optimalisatie!AA19,Database_Asfalt_Verwijderset[#All],12,FALSE)*Optimalisatie!J19),0)+_xlfn.IFNA(VLOOKUP(Optimalisatie!AB19,Database_Brandstoffen[#All],12,FALSE)*((Optimalisatie!J19/Optimalisatie!AD19)*Optimalisatie!AC19),0),(_xlfn.IFNA(VLOOKUP(Inschrijf_CO2_Totaal[[#This Row],[Product]]&amp;", "&amp;Inschrijf_MKI_Totaal[[#Headers],[C1]],Database_Productkaarten[#All],18,FALSE),0)*Optimalisatie!J19)),0)</f>
        <v>14767.237423259998</v>
      </c>
      <c r="M122" s="91">
        <f>(IF(Optimalisatie!C19="Bestaande Situatie",_xlfn.IFNA(VLOOKUP(Optimalisatie!AF19,Database_Transport[#All],12,FALSE)*(Optimalisatie!R19*Optimalisatie!AE19),Baseline_Backlog!M122),0))</f>
        <v>13769.141022</v>
      </c>
      <c r="N122" s="91">
        <f>(IF(Optimalisatie!C19="Bestaande Situatie",_xlfn.IFNA(VLOOKUP(Optimalisatie!AG19,Database_Asfalt_Verwerkingsset[#All],12,FALSE)*(Optimalisatie!J19/VLOOKUP(Optimalisatie!AG19,Database_Asfalt_Verwerkingsset[#All],12,FALSE)),Baseline_Backlog!N122),0))</f>
        <v>0</v>
      </c>
      <c r="O122" s="91">
        <f>(IF(Optimalisatie!C19="Bestaande Situatie",_xlfn.IFNA(VLOOKUP(Inschrijf_CO2_Totaal[[#This Row],[Product]]&amp;", "&amp;Inschrijf_CO2_Totaal[[#Headers],[C4]],Database_Productkaarten[#All],18,FALSE)*Optimalisatie!J19,Baseline_Backlog!O122),0))</f>
        <v>1701</v>
      </c>
      <c r="P122" s="91">
        <f>(IF(Optimalisatie!C19="Bestaande Situatie",_xlfn.IFNA(IF(Optimalisatie!E19="Categorie_1_LCA_Producten",VLOOKUP(Inschrijf_CO2_Totaal[[#This Row],[Product]],Categorie_1_Producten[#All],18,FALSE)*(Optimalisatie!J19),VLOOKUP(Inschrijf_CO2_Totaal[[#This Row],[Product]]&amp;", "&amp;Inschrijf_CO2_Totaal[[#Headers],[D1]],Database_Productkaarten[#All],18,FALSE)*Optimalisatie!J19),Baseline_Backlog!P122),0))</f>
        <v>0</v>
      </c>
      <c r="Q122" s="91">
        <f>(IF(Optimalisatie!C19="Bestaande Situatie",_xlfn.IFNA(IF(Optimalisatie!E19="Categorie_1_LCA_Producten",VLOOKUP(Inschrijf_CO2_Totaal[[#This Row],[Product]],Categorie_1_Producten[#All],19,FALSE)*(Optimalisatie!J19),VLOOKUP(Inschrijf_CO2_Totaal[[#This Row],[Product]]&amp;", "&amp;Inschrijf_CO2_Totaal[[#Headers],[D2]],Database_Productkaarten[#All],18,FALSE)*Optimalisatie!J19),Baseline_Backlog!Q122),0))</f>
        <v>0</v>
      </c>
      <c r="R122" s="91">
        <f>(IF(Optimalisatie!C19="Bestaande Situatie",_xlfn.IFNA(IF(Optimalisatie!E19="Categorie_1_LCA_Producten",VLOOKUP(Inschrijf_CO2_Totaal[[#This Row],[Product]],Categorie_1_Producten[#All],21,FALSE)*(Optimalisatie!J19),VLOOKUP(Inschrijf_CO2_Totaal[[#This Row],[Product]]&amp;", "&amp;Inschrijf_CO2_Totaal[[#Headers],[D]],Database_Productkaarten[#All],18,FALSE)*Optimalisatie!J19),Baseline_Backlog!S122),0))</f>
        <v>0</v>
      </c>
      <c r="S122" s="91">
        <f>SUM(Inschrijf_CO2_Totaal[[#This Row],[A1-A3]:[C4]])+Inschrijf_CO2_Totaal[[#This Row],[D]]</f>
        <v>30237.378445259998</v>
      </c>
    </row>
    <row r="123" spans="2:19">
      <c r="B123" s="208" t="str">
        <f>Optimalisatie!B20</f>
        <v>210030 - Grond ontgraven uit plantvak</v>
      </c>
      <c r="C123" s="1" t="str">
        <f>Optimalisatie!F20</f>
        <v>Ophoogmateriaal (Grond)</v>
      </c>
      <c r="D123" s="91">
        <f>(IF(Optimalisatie!C20="Nieuwe Situatie",_xlfn.IFNA(IF(Optimalisatie!E20="Categorie_1_LCA_Producten",VLOOKUP(Inschrijf_CO2_Totaal[[#This Row],[Product]],Categorie_1_Producten[#All],14,FALSE)*(Optimalisatie!J20),VLOOKUP(Inschrijf_CO2_Totaal[[#This Row],[Product]]&amp;", "&amp;Inschrijf_CO2_Totaal[[#Headers],[A1]],Database_Productkaarten[#All],18,FALSE)*Optimalisatie!J20),Baseline_Backlog!D123),0))</f>
        <v>0</v>
      </c>
      <c r="E123" s="91">
        <f>(IF(Optimalisatie!C20="Nieuwe Situatie",_xlfn.IFNA(IF(Optimalisatie!E20="Categorie_1_LCA_Producten",VLOOKUP(Inschrijf_CO2_Totaal[[#This Row],[Product]],Categorie_1_Producten[#All],15,FALSE)*(Optimalisatie!J20),VLOOKUP(Inschrijf_CO2_Totaal[[#This Row],[Product]]&amp;", "&amp;Inschrijf_CO2_Totaal[[#Headers],[A2]],Database_Productkaarten[#All],18,FALSE)*Optimalisatie!J20),Baseline_Backlog!E123),0))</f>
        <v>0</v>
      </c>
      <c r="F123" s="91">
        <f>(IF(Optimalisatie!C20="Nieuwe Situatie",_xlfn.IFNA(IF(Optimalisatie!E20="Categorie_1_LCA_Producten",VLOOKUP(Inschrijf_CO2_Totaal[[#This Row],[Product]],Categorie_1_Producten[#All],16,FALSE)*(Optimalisatie!J20),VLOOKUP(Inschrijf_CO2_Totaal[[#This Row],[Product]]&amp;", "&amp;Inschrijf_CO2_Totaal[[#Headers],[A3]],Database_Productkaarten[#All],18,FALSE)*Optimalisatie!J20),Baseline_Backlog!F123),0))</f>
        <v>0</v>
      </c>
      <c r="G123" s="91">
        <f>(IF(Optimalisatie!C20="Nieuwe Situatie",_xlfn.IFNA(IF(Optimalisatie!E20="Categorie_1_LCA_Producten",VLOOKUP(Inschrijf_CO2_Totaal[[#This Row],[Product]],Categorie_1_Producten[#All],19,FALSE)*(Optimalisatie!J20),VLOOKUP(Inschrijf_CO2_Totaal[[#This Row],[Product]]&amp;", "&amp;Inschrijf_CO2_Totaal[[#Headers],[A1-A3]],Database_Productkaarten[#All],18,FALSE)*Optimalisatie!J20),Baseline_Backlog!G123),0))</f>
        <v>0</v>
      </c>
      <c r="H123" s="91">
        <f>(IF(Optimalisatie!C20="Nieuwe Situatie",_xlfn.IFNA(VLOOKUP(Optimalisatie!V20,Database_Transport[#All],12,FALSE)*(Optimalisatie!R20*Optimalisatie!U20),Baseline_Backlog!H123),0))</f>
        <v>0</v>
      </c>
      <c r="I123" s="91">
        <f>IF(Optimalisatie!C20="Nieuwe situatie",IF(_xlfn.IFNA((VLOOKUP(Optimalisatie!W20,Database_Asfalt_Aanlegset[#All],12,FALSE)*Optimalisatie!J20),0)+_xlfn.IFNA(VLOOKUP(Optimalisatie!X20,Database_Brandstoffen[#All],12,FALSE)*((Optimalisatie!J20/Optimalisatie!Z20)*Optimalisatie!Y20),0)&gt;0,_xlfn.IFNA((VLOOKUP(Optimalisatie!W20,Database_Asfalt_Aanlegset[#All],12,FALSE)*Optimalisatie!J20),0)+_xlfn.IFNA(VLOOKUP(Optimalisatie!X20,Database_Brandstoffen[#All],12,FALSE)*((Optimalisatie!J20/Optimalisatie!Z20)*Optimalisatie!Y20),0),(_xlfn.IFNA(VLOOKUP(Inschrijf_CO2_Totaal[[#This Row],[Product]]&amp;", "&amp;Inschrijf_MKI_Totaal[[#Headers],[A5]],Database_Productkaarten[#All],18,FALSE),0)*Optimalisatie!J20)),0)</f>
        <v>0</v>
      </c>
      <c r="J123" s="91">
        <f>(IF(Optimalisatie!C20="Nieuwe Situatie",_xlfn.IFNA(IF(Optimalisatie!E20="Categorie_1_LCA_Producten",VLOOKUP(Inschrijf_CO2_Totaal[[#This Row],[Product]],Categorie_1_Producten[#All],20,FALSE)*(Optimalisatie!R20),VLOOKUP(Inschrijf_CO2_Totaal[[#This Row],[Product]]&amp;", "&amp;Inschrijf_CO2_Totaal[[#Headers],[B1]],Database_Productkaarten[#All],18,FALSE)*Optimalisatie!J20),Baseline_Backlog!J123),0))</f>
        <v>0</v>
      </c>
      <c r="K123" s="91">
        <f>(IF(Optimalisatie!C20="Nieuwe Situatie",_xlfn.IFNA(SUM(Inschrijf_CO2_Totaal[[#This Row],[A1]:[B1]],Inschrijf_CO2_Totaal[[#This Row],[C1]:[D2]])*Optimalisatie!T20,0),0))</f>
        <v>0</v>
      </c>
      <c r="L123" s="91">
        <f>IF(Optimalisatie!C20="Bestaande situatie",IF(_xlfn.IFNA((VLOOKUP(Optimalisatie!AA20,Database_Asfalt_Verwijderset[#All],12,FALSE)*Optimalisatie!J20),0)+_xlfn.IFNA(VLOOKUP(Optimalisatie!AB20,Database_Brandstoffen[#All],12,FALSE)*((Optimalisatie!J20/Optimalisatie!AD20)*Optimalisatie!AC20),0)&gt;0,_xlfn.IFNA((VLOOKUP(Optimalisatie!AA20,Database_Asfalt_Verwijderset[#All],12,FALSE)*Optimalisatie!J20),0)+_xlfn.IFNA(VLOOKUP(Optimalisatie!AB20,Database_Brandstoffen[#All],12,FALSE)*((Optimalisatie!J20/Optimalisatie!AD20)*Optimalisatie!AC20),0),(_xlfn.IFNA(VLOOKUP(Inschrijf_CO2_Totaal[[#This Row],[Product]]&amp;", "&amp;Inschrijf_MKI_Totaal[[#Headers],[C1]],Database_Productkaarten[#All],18,FALSE),0)*Optimalisatie!J20)),0)</f>
        <v>3659.7746079655994</v>
      </c>
      <c r="M123" s="91">
        <f>(IF(Optimalisatie!C20="Bestaande Situatie",_xlfn.IFNA(VLOOKUP(Optimalisatie!AF20,Database_Transport[#All],12,FALSE)*(Optimalisatie!R20*Optimalisatie!AE20),Baseline_Backlog!M123),0))</f>
        <v>13649.662761279998</v>
      </c>
      <c r="N123" s="91">
        <f>(IF(Optimalisatie!C20="Bestaande Situatie",_xlfn.IFNA(VLOOKUP(Optimalisatie!AG20,Database_Asfalt_Verwerkingsset[#All],12,FALSE)*(Optimalisatie!J20/VLOOKUP(Optimalisatie!AG20,Database_Asfalt_Verwerkingsset[#All],12,FALSE)),Baseline_Backlog!N123),0))</f>
        <v>0</v>
      </c>
      <c r="O123" s="91">
        <f>(IF(Optimalisatie!C20="Bestaande Situatie",_xlfn.IFNA(VLOOKUP(Inschrijf_CO2_Totaal[[#This Row],[Product]]&amp;", "&amp;Inschrijf_CO2_Totaal[[#Headers],[C4]],Database_Productkaarten[#All],18,FALSE)*Optimalisatie!J20,Baseline_Backlog!O123),0))</f>
        <v>421.56</v>
      </c>
      <c r="P123" s="91">
        <f>(IF(Optimalisatie!C20="Bestaande Situatie",_xlfn.IFNA(IF(Optimalisatie!E20="Categorie_1_LCA_Producten",VLOOKUP(Inschrijf_CO2_Totaal[[#This Row],[Product]],Categorie_1_Producten[#All],18,FALSE)*(Optimalisatie!J20),VLOOKUP(Inschrijf_CO2_Totaal[[#This Row],[Product]]&amp;", "&amp;Inschrijf_CO2_Totaal[[#Headers],[D1]],Database_Productkaarten[#All],18,FALSE)*Optimalisatie!J20),Baseline_Backlog!P123),0))</f>
        <v>0</v>
      </c>
      <c r="Q123" s="91">
        <f>(IF(Optimalisatie!C20="Bestaande Situatie",_xlfn.IFNA(IF(Optimalisatie!E20="Categorie_1_LCA_Producten",VLOOKUP(Inschrijf_CO2_Totaal[[#This Row],[Product]],Categorie_1_Producten[#All],19,FALSE)*(Optimalisatie!J20),VLOOKUP(Inschrijf_CO2_Totaal[[#This Row],[Product]]&amp;", "&amp;Inschrijf_CO2_Totaal[[#Headers],[D2]],Database_Productkaarten[#All],18,FALSE)*Optimalisatie!J20),Baseline_Backlog!Q123),0))</f>
        <v>0</v>
      </c>
      <c r="R123" s="91">
        <f>(IF(Optimalisatie!C20="Bestaande Situatie",_xlfn.IFNA(IF(Optimalisatie!E20="Categorie_1_LCA_Producten",VLOOKUP(Inschrijf_CO2_Totaal[[#This Row],[Product]],Categorie_1_Producten[#All],21,FALSE)*(Optimalisatie!J20),VLOOKUP(Inschrijf_CO2_Totaal[[#This Row],[Product]]&amp;", "&amp;Inschrijf_CO2_Totaal[[#Headers],[D]],Database_Productkaarten[#All],18,FALSE)*Optimalisatie!J20),Baseline_Backlog!S123),0))</f>
        <v>0</v>
      </c>
      <c r="S123" s="91">
        <f>SUM(Inschrijf_CO2_Totaal[[#This Row],[A1-A3]:[C4]])+Inschrijf_CO2_Totaal[[#This Row],[D]]</f>
        <v>17730.997369245601</v>
      </c>
    </row>
    <row r="124" spans="2:19">
      <c r="B124" s="208" t="str">
        <f>Optimalisatie!B21</f>
        <v>220010 - Grond verwerken in sleuf riolering</v>
      </c>
      <c r="C124" s="1" t="str">
        <f>Optimalisatie!F21</f>
        <v>Ophoogmateriaal (Grond)</v>
      </c>
      <c r="D124" s="91">
        <f>(IF(Optimalisatie!C21="Nieuwe Situatie",_xlfn.IFNA(IF(Optimalisatie!E21="Categorie_1_LCA_Producten",VLOOKUP(Inschrijf_CO2_Totaal[[#This Row],[Product]],Categorie_1_Producten[#All],14,FALSE)*(Optimalisatie!J21),VLOOKUP(Inschrijf_CO2_Totaal[[#This Row],[Product]]&amp;", "&amp;Inschrijf_CO2_Totaal[[#Headers],[A1]],Database_Productkaarten[#All],18,FALSE)*Optimalisatie!J21),Baseline_Backlog!D124),0))</f>
        <v>0</v>
      </c>
      <c r="E124" s="91">
        <f>(IF(Optimalisatie!C21="Nieuwe Situatie",_xlfn.IFNA(IF(Optimalisatie!E21="Categorie_1_LCA_Producten",VLOOKUP(Inschrijf_CO2_Totaal[[#This Row],[Product]],Categorie_1_Producten[#All],15,FALSE)*(Optimalisatie!J21),VLOOKUP(Inschrijf_CO2_Totaal[[#This Row],[Product]]&amp;", "&amp;Inschrijf_CO2_Totaal[[#Headers],[A2]],Database_Productkaarten[#All],18,FALSE)*Optimalisatie!J21),Baseline_Backlog!E124),0))</f>
        <v>0</v>
      </c>
      <c r="F124" s="91">
        <f>(IF(Optimalisatie!C21="Nieuwe Situatie",_xlfn.IFNA(IF(Optimalisatie!E21="Categorie_1_LCA_Producten",VLOOKUP(Inschrijf_CO2_Totaal[[#This Row],[Product]],Categorie_1_Producten[#All],16,FALSE)*(Optimalisatie!J21),VLOOKUP(Inschrijf_CO2_Totaal[[#This Row],[Product]]&amp;", "&amp;Inschrijf_CO2_Totaal[[#Headers],[A3]],Database_Productkaarten[#All],18,FALSE)*Optimalisatie!J21),Baseline_Backlog!F124),0))</f>
        <v>0</v>
      </c>
      <c r="G124" s="91">
        <f>(IF(Optimalisatie!C21="Nieuwe Situatie",_xlfn.IFNA(IF(Optimalisatie!E21="Categorie_1_LCA_Producten",VLOOKUP(Inschrijf_CO2_Totaal[[#This Row],[Product]],Categorie_1_Producten[#All],19,FALSE)*(Optimalisatie!J21),VLOOKUP(Inschrijf_CO2_Totaal[[#This Row],[Product]]&amp;", "&amp;Inschrijf_CO2_Totaal[[#Headers],[A1-A3]],Database_Productkaarten[#All],18,FALSE)*Optimalisatie!J21),Baseline_Backlog!G124),0))</f>
        <v>0</v>
      </c>
      <c r="H124" s="91">
        <f>(IF(Optimalisatie!C21="Nieuwe Situatie",_xlfn.IFNA(VLOOKUP(Optimalisatie!V21,Database_Transport[#All],12,FALSE)*(Optimalisatie!R21*Optimalisatie!U21),Baseline_Backlog!H124),0))</f>
        <v>13769.141022</v>
      </c>
      <c r="I124" s="91">
        <f>IF(Optimalisatie!C21="Nieuwe situatie",IF(_xlfn.IFNA((VLOOKUP(Optimalisatie!W21,Database_Asfalt_Aanlegset[#All],12,FALSE)*Optimalisatie!J21),0)+_xlfn.IFNA(VLOOKUP(Optimalisatie!X21,Database_Brandstoffen[#All],12,FALSE)*((Optimalisatie!J21/Optimalisatie!Z21)*Optimalisatie!Y21),0)&gt;0,_xlfn.IFNA((VLOOKUP(Optimalisatie!W21,Database_Asfalt_Aanlegset[#All],12,FALSE)*Optimalisatie!J21),0)+_xlfn.IFNA(VLOOKUP(Optimalisatie!X21,Database_Brandstoffen[#All],12,FALSE)*((Optimalisatie!J21/Optimalisatie!Z21)*Optimalisatie!Y21),0),(_xlfn.IFNA(VLOOKUP(Inschrijf_CO2_Totaal[[#This Row],[Product]]&amp;", "&amp;Inschrijf_MKI_Totaal[[#Headers],[A5]],Database_Productkaarten[#All],18,FALSE),0)*Optimalisatie!J21)),0)</f>
        <v>31901.159130749998</v>
      </c>
      <c r="J124" s="91">
        <f>(IF(Optimalisatie!C21="Nieuwe Situatie",_xlfn.IFNA(IF(Optimalisatie!E21="Categorie_1_LCA_Producten",VLOOKUP(Inschrijf_CO2_Totaal[[#This Row],[Product]],Categorie_1_Producten[#All],20,FALSE)*(Optimalisatie!R21),VLOOKUP(Inschrijf_CO2_Totaal[[#This Row],[Product]]&amp;", "&amp;Inschrijf_CO2_Totaal[[#Headers],[B1]],Database_Productkaarten[#All],18,FALSE)*Optimalisatie!J21),Baseline_Backlog!J124),0))</f>
        <v>0</v>
      </c>
      <c r="K124" s="91">
        <f>(IF(Optimalisatie!C21="Nieuwe Situatie",_xlfn.IFNA(SUM(Inschrijf_CO2_Totaal[[#This Row],[A1]:[B1]],Inschrijf_CO2_Totaal[[#This Row],[C1]:[D2]])*Optimalisatie!T21,0),0))</f>
        <v>0</v>
      </c>
      <c r="L124" s="91">
        <f>IF(Optimalisatie!C21="Bestaande situatie",IF(_xlfn.IFNA((VLOOKUP(Optimalisatie!AA21,Database_Asfalt_Verwijderset[#All],12,FALSE)*Optimalisatie!J21),0)+_xlfn.IFNA(VLOOKUP(Optimalisatie!AB21,Database_Brandstoffen[#All],12,FALSE)*((Optimalisatie!J21/Optimalisatie!AD21)*Optimalisatie!AC21),0)&gt;0,_xlfn.IFNA((VLOOKUP(Optimalisatie!AA21,Database_Asfalt_Verwijderset[#All],12,FALSE)*Optimalisatie!J21),0)+_xlfn.IFNA(VLOOKUP(Optimalisatie!AB21,Database_Brandstoffen[#All],12,FALSE)*((Optimalisatie!J21/Optimalisatie!AD21)*Optimalisatie!AC21),0),(_xlfn.IFNA(VLOOKUP(Inschrijf_CO2_Totaal[[#This Row],[Product]]&amp;", "&amp;Inschrijf_MKI_Totaal[[#Headers],[C1]],Database_Productkaarten[#All],18,FALSE),0)*Optimalisatie!J21)),0)</f>
        <v>0</v>
      </c>
      <c r="M124" s="91">
        <f>(IF(Optimalisatie!C21="Bestaande Situatie",_xlfn.IFNA(VLOOKUP(Optimalisatie!AF21,Database_Transport[#All],12,FALSE)*(Optimalisatie!R21*Optimalisatie!AE21),Baseline_Backlog!M124),0))</f>
        <v>0</v>
      </c>
      <c r="N124" s="91">
        <f>(IF(Optimalisatie!C21="Bestaande Situatie",_xlfn.IFNA(VLOOKUP(Optimalisatie!AG21,Database_Asfalt_Verwerkingsset[#All],12,FALSE)*(Optimalisatie!J21/VLOOKUP(Optimalisatie!AG21,Database_Asfalt_Verwerkingsset[#All],12,FALSE)),Baseline_Backlog!N124),0))</f>
        <v>0</v>
      </c>
      <c r="O124" s="91">
        <f>(IF(Optimalisatie!C21="Bestaande Situatie",_xlfn.IFNA(VLOOKUP(Inschrijf_CO2_Totaal[[#This Row],[Product]]&amp;", "&amp;Inschrijf_CO2_Totaal[[#Headers],[C4]],Database_Productkaarten[#All],18,FALSE)*Optimalisatie!J21,Baseline_Backlog!O124),0))</f>
        <v>0</v>
      </c>
      <c r="P124" s="91">
        <f>(IF(Optimalisatie!C21="Bestaande Situatie",_xlfn.IFNA(IF(Optimalisatie!E21="Categorie_1_LCA_Producten",VLOOKUP(Inschrijf_CO2_Totaal[[#This Row],[Product]],Categorie_1_Producten[#All],18,FALSE)*(Optimalisatie!J21),VLOOKUP(Inschrijf_CO2_Totaal[[#This Row],[Product]]&amp;", "&amp;Inschrijf_CO2_Totaal[[#Headers],[D1]],Database_Productkaarten[#All],18,FALSE)*Optimalisatie!J21),Baseline_Backlog!P124),0))</f>
        <v>0</v>
      </c>
      <c r="Q124" s="91">
        <f>(IF(Optimalisatie!C21="Bestaande Situatie",_xlfn.IFNA(IF(Optimalisatie!E21="Categorie_1_LCA_Producten",VLOOKUP(Inschrijf_CO2_Totaal[[#This Row],[Product]],Categorie_1_Producten[#All],19,FALSE)*(Optimalisatie!J21),VLOOKUP(Inschrijf_CO2_Totaal[[#This Row],[Product]]&amp;", "&amp;Inschrijf_CO2_Totaal[[#Headers],[D2]],Database_Productkaarten[#All],18,FALSE)*Optimalisatie!J21),Baseline_Backlog!Q124),0))</f>
        <v>0</v>
      </c>
      <c r="R124" s="91">
        <f>(IF(Optimalisatie!C21="Bestaande Situatie",_xlfn.IFNA(IF(Optimalisatie!E21="Categorie_1_LCA_Producten",VLOOKUP(Inschrijf_CO2_Totaal[[#This Row],[Product]],Categorie_1_Producten[#All],21,FALSE)*(Optimalisatie!J21),VLOOKUP(Inschrijf_CO2_Totaal[[#This Row],[Product]]&amp;", "&amp;Inschrijf_CO2_Totaal[[#Headers],[D]],Database_Productkaarten[#All],18,FALSE)*Optimalisatie!J21),Baseline_Backlog!S124),0))</f>
        <v>0</v>
      </c>
      <c r="S124" s="91">
        <f>SUM(Inschrijf_CO2_Totaal[[#This Row],[A1-A3]:[C4]])+Inschrijf_CO2_Totaal[[#This Row],[D]]</f>
        <v>45670.300152750002</v>
      </c>
    </row>
    <row r="125" spans="2:19">
      <c r="B125" s="208" t="str">
        <f>Optimalisatie!B22</f>
        <v>220020 - Leveren en aanbrengen zand voor zand (gemiddeld 100 mm)</v>
      </c>
      <c r="C125" s="1" t="str">
        <f>Optimalisatie!F22</f>
        <v>Ophoogmateriaal (Zand)</v>
      </c>
      <c r="D125" s="91">
        <f>(IF(Optimalisatie!C22="Nieuwe Situatie",_xlfn.IFNA(IF(Optimalisatie!E22="Categorie_1_LCA_Producten",VLOOKUP(Inschrijf_CO2_Totaal[[#This Row],[Product]],Categorie_1_Producten[#All],14,FALSE)*(Optimalisatie!J22),VLOOKUP(Inschrijf_CO2_Totaal[[#This Row],[Product]]&amp;", "&amp;Inschrijf_CO2_Totaal[[#Headers],[A1]],Database_Productkaarten[#All],18,FALSE)*Optimalisatie!J22),Baseline_Backlog!D125),0))</f>
        <v>0</v>
      </c>
      <c r="E125" s="91">
        <f>(IF(Optimalisatie!C22="Nieuwe Situatie",_xlfn.IFNA(IF(Optimalisatie!E22="Categorie_1_LCA_Producten",VLOOKUP(Inschrijf_CO2_Totaal[[#This Row],[Product]],Categorie_1_Producten[#All],15,FALSE)*(Optimalisatie!J22),VLOOKUP(Inschrijf_CO2_Totaal[[#This Row],[Product]]&amp;", "&amp;Inschrijf_CO2_Totaal[[#Headers],[A2]],Database_Productkaarten[#All],18,FALSE)*Optimalisatie!J22),Baseline_Backlog!E125),0))</f>
        <v>0</v>
      </c>
      <c r="F125" s="91">
        <f>(IF(Optimalisatie!C22="Nieuwe Situatie",_xlfn.IFNA(IF(Optimalisatie!E22="Categorie_1_LCA_Producten",VLOOKUP(Inschrijf_CO2_Totaal[[#This Row],[Product]],Categorie_1_Producten[#All],16,FALSE)*(Optimalisatie!J22),VLOOKUP(Inschrijf_CO2_Totaal[[#This Row],[Product]]&amp;", "&amp;Inschrijf_CO2_Totaal[[#Headers],[A3]],Database_Productkaarten[#All],18,FALSE)*Optimalisatie!J22),Baseline_Backlog!F125),0))</f>
        <v>0</v>
      </c>
      <c r="G125" s="91">
        <f>(IF(Optimalisatie!C22="Nieuwe Situatie",_xlfn.IFNA(IF(Optimalisatie!E22="Categorie_1_LCA_Producten",VLOOKUP(Inschrijf_CO2_Totaal[[#This Row],[Product]],Categorie_1_Producten[#All],19,FALSE)*(Optimalisatie!J22),VLOOKUP(Inschrijf_CO2_Totaal[[#This Row],[Product]]&amp;", "&amp;Inschrijf_CO2_Totaal[[#Headers],[A1-A3]],Database_Productkaarten[#All],18,FALSE)*Optimalisatie!J22),Baseline_Backlog!G125),0))</f>
        <v>43120</v>
      </c>
      <c r="H125" s="91">
        <f>(IF(Optimalisatie!C22="Nieuwe Situatie",_xlfn.IFNA(VLOOKUP(Optimalisatie!V22,Database_Transport[#All],12,FALSE)*(Optimalisatie!R22*Optimalisatie!U22),Baseline_Backlog!H125),0))</f>
        <v>6590.3580959999999</v>
      </c>
      <c r="I125" s="91">
        <f>IF(Optimalisatie!C22="Nieuwe situatie",IF(_xlfn.IFNA((VLOOKUP(Optimalisatie!W22,Database_Asfalt_Aanlegset[#All],12,FALSE)*Optimalisatie!J22),0)+_xlfn.IFNA(VLOOKUP(Optimalisatie!X22,Database_Brandstoffen[#All],12,FALSE)*((Optimalisatie!J22/Optimalisatie!Z22)*Optimalisatie!Y22),0)&gt;0,_xlfn.IFNA((VLOOKUP(Optimalisatie!W22,Database_Asfalt_Aanlegset[#All],12,FALSE)*Optimalisatie!J22),0)+_xlfn.IFNA(VLOOKUP(Optimalisatie!X22,Database_Brandstoffen[#All],12,FALSE)*((Optimalisatie!J22/Optimalisatie!Z22)*Optimalisatie!Y22),0),(_xlfn.IFNA(VLOOKUP(Inschrijf_CO2_Totaal[[#This Row],[Product]]&amp;", "&amp;Inschrijf_MKI_Totaal[[#Headers],[A5]],Database_Productkaarten[#All],18,FALSE),0)*Optimalisatie!J22)),0)</f>
        <v>4924.8361142399999</v>
      </c>
      <c r="J125" s="91">
        <f>(IF(Optimalisatie!C22="Nieuwe Situatie",_xlfn.IFNA(IF(Optimalisatie!E22="Categorie_1_LCA_Producten",VLOOKUP(Inschrijf_CO2_Totaal[[#This Row],[Product]],Categorie_1_Producten[#All],20,FALSE)*(Optimalisatie!R22),VLOOKUP(Inschrijf_CO2_Totaal[[#This Row],[Product]]&amp;", "&amp;Inschrijf_CO2_Totaal[[#Headers],[B1]],Database_Productkaarten[#All],18,FALSE)*Optimalisatie!J22),Baseline_Backlog!J125),0))</f>
        <v>0</v>
      </c>
      <c r="K125" s="91">
        <f>(IF(Optimalisatie!C22="Nieuwe Situatie",_xlfn.IFNA(SUM(Inschrijf_CO2_Totaal[[#This Row],[A1]:[B1]],Inschrijf_CO2_Totaal[[#This Row],[C1]:[D2]])*Optimalisatie!T22,0),0))</f>
        <v>0</v>
      </c>
      <c r="L125" s="91">
        <f>IF(Optimalisatie!C22="Bestaande situatie",IF(_xlfn.IFNA((VLOOKUP(Optimalisatie!AA22,Database_Asfalt_Verwijderset[#All],12,FALSE)*Optimalisatie!J22),0)+_xlfn.IFNA(VLOOKUP(Optimalisatie!AB22,Database_Brandstoffen[#All],12,FALSE)*((Optimalisatie!J22/Optimalisatie!AD22)*Optimalisatie!AC22),0)&gt;0,_xlfn.IFNA((VLOOKUP(Optimalisatie!AA22,Database_Asfalt_Verwijderset[#All],12,FALSE)*Optimalisatie!J22),0)+_xlfn.IFNA(VLOOKUP(Optimalisatie!AB22,Database_Brandstoffen[#All],12,FALSE)*((Optimalisatie!J22/Optimalisatie!AD22)*Optimalisatie!AC22),0),(_xlfn.IFNA(VLOOKUP(Inschrijf_CO2_Totaal[[#This Row],[Product]]&amp;", "&amp;Inschrijf_MKI_Totaal[[#Headers],[C1]],Database_Productkaarten[#All],18,FALSE),0)*Optimalisatie!J22)),0)</f>
        <v>0</v>
      </c>
      <c r="M125" s="91">
        <f>(IF(Optimalisatie!C22="Bestaande Situatie",_xlfn.IFNA(VLOOKUP(Optimalisatie!AF22,Database_Transport[#All],12,FALSE)*(Optimalisatie!R22*Optimalisatie!AE22),Baseline_Backlog!M125),0))</f>
        <v>0</v>
      </c>
      <c r="N125" s="91">
        <f>(IF(Optimalisatie!C22="Bestaande Situatie",_xlfn.IFNA(VLOOKUP(Optimalisatie!AG22,Database_Asfalt_Verwerkingsset[#All],12,FALSE)*(Optimalisatie!J22/VLOOKUP(Optimalisatie!AG22,Database_Asfalt_Verwerkingsset[#All],12,FALSE)),Baseline_Backlog!N125),0))</f>
        <v>0</v>
      </c>
      <c r="O125" s="91">
        <f>(IF(Optimalisatie!C22="Bestaande Situatie",_xlfn.IFNA(VLOOKUP(Inschrijf_CO2_Totaal[[#This Row],[Product]]&amp;", "&amp;Inschrijf_CO2_Totaal[[#Headers],[C4]],Database_Productkaarten[#All],18,FALSE)*Optimalisatie!J22,Baseline_Backlog!O125),0))</f>
        <v>0</v>
      </c>
      <c r="P125" s="91">
        <f>(IF(Optimalisatie!C22="Bestaande Situatie",_xlfn.IFNA(IF(Optimalisatie!E22="Categorie_1_LCA_Producten",VLOOKUP(Inschrijf_CO2_Totaal[[#This Row],[Product]],Categorie_1_Producten[#All],18,FALSE)*(Optimalisatie!J22),VLOOKUP(Inschrijf_CO2_Totaal[[#This Row],[Product]]&amp;", "&amp;Inschrijf_CO2_Totaal[[#Headers],[D1]],Database_Productkaarten[#All],18,FALSE)*Optimalisatie!J22),Baseline_Backlog!P125),0))</f>
        <v>0</v>
      </c>
      <c r="Q125" s="91">
        <f>(IF(Optimalisatie!C22="Bestaande Situatie",_xlfn.IFNA(IF(Optimalisatie!E22="Categorie_1_LCA_Producten",VLOOKUP(Inschrijf_CO2_Totaal[[#This Row],[Product]],Categorie_1_Producten[#All],19,FALSE)*(Optimalisatie!J22),VLOOKUP(Inschrijf_CO2_Totaal[[#This Row],[Product]]&amp;", "&amp;Inschrijf_CO2_Totaal[[#Headers],[D2]],Database_Productkaarten[#All],18,FALSE)*Optimalisatie!J22),Baseline_Backlog!Q125),0))</f>
        <v>0</v>
      </c>
      <c r="R125" s="91">
        <f>(IF(Optimalisatie!C22="Bestaande Situatie",_xlfn.IFNA(IF(Optimalisatie!E22="Categorie_1_LCA_Producten",VLOOKUP(Inschrijf_CO2_Totaal[[#This Row],[Product]],Categorie_1_Producten[#All],21,FALSE)*(Optimalisatie!J22),VLOOKUP(Inschrijf_CO2_Totaal[[#This Row],[Product]]&amp;", "&amp;Inschrijf_CO2_Totaal[[#Headers],[D]],Database_Productkaarten[#All],18,FALSE)*Optimalisatie!J22),Baseline_Backlog!S125),0))</f>
        <v>0</v>
      </c>
      <c r="S125" s="91">
        <f>SUM(Inschrijf_CO2_Totaal[[#This Row],[A1-A3]:[C4]])+Inschrijf_CO2_Totaal[[#This Row],[D]]</f>
        <v>54635.194210239999</v>
      </c>
    </row>
    <row r="126" spans="2:19">
      <c r="B126" s="208" t="str">
        <f>Optimalisatie!B23</f>
        <v>322020 - Leveren en aanbrengen rioolbuis van Beton Ø400mm</v>
      </c>
      <c r="C126" s="1" t="str">
        <f>Optimalisatie!F23</f>
        <v>Betonbuis 500 mm</v>
      </c>
      <c r="D126" s="91">
        <f>(IF(Optimalisatie!C23="Nieuwe Situatie",_xlfn.IFNA(IF(Optimalisatie!E23="Categorie_1_LCA_Producten",VLOOKUP(Inschrijf_CO2_Totaal[[#This Row],[Product]],Categorie_1_Producten[#All],14,FALSE)*(Optimalisatie!J23),VLOOKUP(Inschrijf_CO2_Totaal[[#This Row],[Product]]&amp;", "&amp;Inschrijf_CO2_Totaal[[#Headers],[A1]],Database_Productkaarten[#All],18,FALSE)*Optimalisatie!J23),Baseline_Backlog!D126),0))</f>
        <v>7724.5000799999998</v>
      </c>
      <c r="E126" s="91">
        <f>(IF(Optimalisatie!C23="Nieuwe Situatie",_xlfn.IFNA(IF(Optimalisatie!E23="Categorie_1_LCA_Producten",VLOOKUP(Inschrijf_CO2_Totaal[[#This Row],[Product]],Categorie_1_Producten[#All],15,FALSE)*(Optimalisatie!J23),VLOOKUP(Inschrijf_CO2_Totaal[[#This Row],[Product]]&amp;", "&amp;Inschrijf_CO2_Totaal[[#Headers],[A2]],Database_Productkaarten[#All],18,FALSE)*Optimalisatie!J23),Baseline_Backlog!E126),0))</f>
        <v>549.109824</v>
      </c>
      <c r="F126" s="91">
        <f>(IF(Optimalisatie!C23="Nieuwe Situatie",_xlfn.IFNA(IF(Optimalisatie!E23="Categorie_1_LCA_Producten",VLOOKUP(Inschrijf_CO2_Totaal[[#This Row],[Product]],Categorie_1_Producten[#All],16,FALSE)*(Optimalisatie!J23),VLOOKUP(Inschrijf_CO2_Totaal[[#This Row],[Product]]&amp;", "&amp;Inschrijf_CO2_Totaal[[#Headers],[A3]],Database_Productkaarten[#All],18,FALSE)*Optimalisatie!J23),Baseline_Backlog!F126),0))</f>
        <v>487.04236800000001</v>
      </c>
      <c r="G126" s="91">
        <f>(IF(Optimalisatie!C23="Nieuwe Situatie",_xlfn.IFNA(IF(Optimalisatie!E23="Categorie_1_LCA_Producten",VLOOKUP(Inschrijf_CO2_Totaal[[#This Row],[Product]],Categorie_1_Producten[#All],19,FALSE)*(Optimalisatie!J23),VLOOKUP(Inschrijf_CO2_Totaal[[#This Row],[Product]]&amp;", "&amp;Inschrijf_CO2_Totaal[[#Headers],[A1-A3]],Database_Productkaarten[#All],18,FALSE)*Optimalisatie!J23),Baseline_Backlog!G126),0))</f>
        <v>8760.6522719999994</v>
      </c>
      <c r="H126" s="91">
        <f>(IF(Optimalisatie!C23="Nieuwe Situatie",_xlfn.IFNA(VLOOKUP(Optimalisatie!V23,Database_Transport[#All],12,FALSE)*(Optimalisatie!R23*Optimalisatie!U23),Baseline_Backlog!H126),0))</f>
        <v>352.92040089599988</v>
      </c>
      <c r="I126" s="91">
        <f>IF(Optimalisatie!C23="Nieuwe situatie",IF(_xlfn.IFNA((VLOOKUP(Optimalisatie!W23,Database_Asfalt_Aanlegset[#All],12,FALSE)*Optimalisatie!J23),0)+_xlfn.IFNA(VLOOKUP(Optimalisatie!X23,Database_Brandstoffen[#All],12,FALSE)*((Optimalisatie!J23/Optimalisatie!Z23)*Optimalisatie!Y23),0)&gt;0,_xlfn.IFNA((VLOOKUP(Optimalisatie!W23,Database_Asfalt_Aanlegset[#All],12,FALSE)*Optimalisatie!J23),0)+_xlfn.IFNA(VLOOKUP(Optimalisatie!X23,Database_Brandstoffen[#All],12,FALSE)*((Optimalisatie!J23/Optimalisatie!Z23)*Optimalisatie!Y23),0),(_xlfn.IFNA(VLOOKUP(Inschrijf_CO2_Totaal[[#This Row],[Product]]&amp;", "&amp;Inschrijf_MKI_Totaal[[#Headers],[A5]],Database_Productkaarten[#All],18,FALSE),0)*Optimalisatie!J23)),0)</f>
        <v>1693.1723310752091</v>
      </c>
      <c r="J126" s="91">
        <f>(IF(Optimalisatie!C23="Nieuwe Situatie",_xlfn.IFNA(IF(Optimalisatie!E23="Categorie_1_LCA_Producten",VLOOKUP(Inschrijf_CO2_Totaal[[#This Row],[Product]],Categorie_1_Producten[#All],20,FALSE)*(Optimalisatie!R23),VLOOKUP(Inschrijf_CO2_Totaal[[#This Row],[Product]]&amp;", "&amp;Inschrijf_CO2_Totaal[[#Headers],[B1]],Database_Productkaarten[#All],18,FALSE)*Optimalisatie!J23),Baseline_Backlog!J126),0))</f>
        <v>0</v>
      </c>
      <c r="K126" s="91">
        <f>(IF(Optimalisatie!C23="Nieuwe Situatie",_xlfn.IFNA(SUM(Inschrijf_CO2_Totaal[[#This Row],[A1]:[B1]],Inschrijf_CO2_Totaal[[#This Row],[C1]:[D2]])*Optimalisatie!T23,0),0))</f>
        <v>0</v>
      </c>
      <c r="L126" s="91">
        <f>IF(Optimalisatie!C23="Bestaande situatie",IF(_xlfn.IFNA((VLOOKUP(Optimalisatie!AA23,Database_Asfalt_Verwijderset[#All],12,FALSE)*Optimalisatie!J23),0)+_xlfn.IFNA(VLOOKUP(Optimalisatie!AB23,Database_Brandstoffen[#All],12,FALSE)*((Optimalisatie!J23/Optimalisatie!AD23)*Optimalisatie!AC23),0)&gt;0,_xlfn.IFNA((VLOOKUP(Optimalisatie!AA23,Database_Asfalt_Verwijderset[#All],12,FALSE)*Optimalisatie!J23),0)+_xlfn.IFNA(VLOOKUP(Optimalisatie!AB23,Database_Brandstoffen[#All],12,FALSE)*((Optimalisatie!J23/Optimalisatie!AD23)*Optimalisatie!AC23),0),(_xlfn.IFNA(VLOOKUP(Inschrijf_CO2_Totaal[[#This Row],[Product]]&amp;", "&amp;Inschrijf_MKI_Totaal[[#Headers],[C1]],Database_Productkaarten[#All],18,FALSE),0)*Optimalisatie!J23)),0)</f>
        <v>0</v>
      </c>
      <c r="M126" s="91">
        <f>(IF(Optimalisatie!C23="Bestaande Situatie",_xlfn.IFNA(VLOOKUP(Optimalisatie!AF23,Database_Transport[#All],12,FALSE)*(Optimalisatie!R23*Optimalisatie!AE23),Baseline_Backlog!M126),0))</f>
        <v>0</v>
      </c>
      <c r="N126" s="91">
        <f>(IF(Optimalisatie!C23="Bestaande Situatie",_xlfn.IFNA(VLOOKUP(Optimalisatie!AG23,Database_Asfalt_Verwerkingsset[#All],12,FALSE)*(Optimalisatie!J23/VLOOKUP(Optimalisatie!AG23,Database_Asfalt_Verwerkingsset[#All],12,FALSE)),Baseline_Backlog!N126),0))</f>
        <v>0</v>
      </c>
      <c r="O126" s="91">
        <f>(IF(Optimalisatie!C23="Bestaande Situatie",_xlfn.IFNA(VLOOKUP(Inschrijf_CO2_Totaal[[#This Row],[Product]]&amp;", "&amp;Inschrijf_CO2_Totaal[[#Headers],[C4]],Database_Productkaarten[#All],18,FALSE)*Optimalisatie!J23,Baseline_Backlog!O126),0))</f>
        <v>0</v>
      </c>
      <c r="P126" s="91">
        <f>(IF(Optimalisatie!C23="Bestaande Situatie",_xlfn.IFNA(IF(Optimalisatie!E23="Categorie_1_LCA_Producten",VLOOKUP(Inschrijf_CO2_Totaal[[#This Row],[Product]],Categorie_1_Producten[#All],18,FALSE)*(Optimalisatie!J23),VLOOKUP(Inschrijf_CO2_Totaal[[#This Row],[Product]]&amp;", "&amp;Inschrijf_CO2_Totaal[[#Headers],[D1]],Database_Productkaarten[#All],18,FALSE)*Optimalisatie!J23),Baseline_Backlog!P126),0))</f>
        <v>0</v>
      </c>
      <c r="Q126" s="91">
        <f>(IF(Optimalisatie!C23="Bestaande Situatie",_xlfn.IFNA(IF(Optimalisatie!E23="Categorie_1_LCA_Producten",VLOOKUP(Inschrijf_CO2_Totaal[[#This Row],[Product]],Categorie_1_Producten[#All],19,FALSE)*(Optimalisatie!J23),VLOOKUP(Inschrijf_CO2_Totaal[[#This Row],[Product]]&amp;", "&amp;Inschrijf_CO2_Totaal[[#Headers],[D2]],Database_Productkaarten[#All],18,FALSE)*Optimalisatie!J23),Baseline_Backlog!Q126),0))</f>
        <v>0</v>
      </c>
      <c r="R126" s="91">
        <f>(IF(Optimalisatie!C23="Bestaande Situatie",_xlfn.IFNA(IF(Optimalisatie!E23="Categorie_1_LCA_Producten",VLOOKUP(Inschrijf_CO2_Totaal[[#This Row],[Product]],Categorie_1_Producten[#All],21,FALSE)*(Optimalisatie!J23),VLOOKUP(Inschrijf_CO2_Totaal[[#This Row],[Product]]&amp;", "&amp;Inschrijf_CO2_Totaal[[#Headers],[D]],Database_Productkaarten[#All],18,FALSE)*Optimalisatie!J23),Baseline_Backlog!S126),0))</f>
        <v>0</v>
      </c>
      <c r="S126" s="91">
        <f>SUM(Inschrijf_CO2_Totaal[[#This Row],[A1-A3]:[C4]])+Inschrijf_CO2_Totaal[[#This Row],[D]]</f>
        <v>10806.745003971209</v>
      </c>
    </row>
    <row r="127" spans="2:19">
      <c r="B127" s="208" t="str">
        <f>Optimalisatie!B24</f>
        <v>322070 - Leveren en aanbrengen rioolbuis van Beton IT Ø400mm</v>
      </c>
      <c r="C127" s="1" t="str">
        <f>Optimalisatie!F24</f>
        <v>Betonbuis 500 mm</v>
      </c>
      <c r="D127" s="91">
        <f>(IF(Optimalisatie!C24="Nieuwe Situatie",_xlfn.IFNA(IF(Optimalisatie!E24="Categorie_1_LCA_Producten",VLOOKUP(Inschrijf_CO2_Totaal[[#This Row],[Product]],Categorie_1_Producten[#All],14,FALSE)*(Optimalisatie!J24),VLOOKUP(Inschrijf_CO2_Totaal[[#This Row],[Product]]&amp;", "&amp;Inschrijf_CO2_Totaal[[#Headers],[A1]],Database_Productkaarten[#All],18,FALSE)*Optimalisatie!J24),Baseline_Backlog!D127),0))</f>
        <v>6115.2292299999999</v>
      </c>
      <c r="E127" s="91">
        <f>(IF(Optimalisatie!C24="Nieuwe Situatie",_xlfn.IFNA(IF(Optimalisatie!E24="Categorie_1_LCA_Producten",VLOOKUP(Inschrijf_CO2_Totaal[[#This Row],[Product]],Categorie_1_Producten[#All],15,FALSE)*(Optimalisatie!J24),VLOOKUP(Inschrijf_CO2_Totaal[[#This Row],[Product]]&amp;", "&amp;Inschrijf_CO2_Totaal[[#Headers],[A2]],Database_Productkaarten[#All],18,FALSE)*Optimalisatie!J24),Baseline_Backlog!E127),0))</f>
        <v>434.71194399999996</v>
      </c>
      <c r="F127" s="91">
        <f>(IF(Optimalisatie!C24="Nieuwe Situatie",_xlfn.IFNA(IF(Optimalisatie!E24="Categorie_1_LCA_Producten",VLOOKUP(Inschrijf_CO2_Totaal[[#This Row],[Product]],Categorie_1_Producten[#All],16,FALSE)*(Optimalisatie!J24),VLOOKUP(Inschrijf_CO2_Totaal[[#This Row],[Product]]&amp;", "&amp;Inschrijf_CO2_Totaal[[#Headers],[A3]],Database_Productkaarten[#All],18,FALSE)*Optimalisatie!J24),Baseline_Backlog!F127),0))</f>
        <v>385.57520799999998</v>
      </c>
      <c r="G127" s="91">
        <f>(IF(Optimalisatie!C24="Nieuwe Situatie",_xlfn.IFNA(IF(Optimalisatie!E24="Categorie_1_LCA_Producten",VLOOKUP(Inschrijf_CO2_Totaal[[#This Row],[Product]],Categorie_1_Producten[#All],19,FALSE)*(Optimalisatie!J24),VLOOKUP(Inschrijf_CO2_Totaal[[#This Row],[Product]]&amp;", "&amp;Inschrijf_CO2_Totaal[[#Headers],[A1-A3]],Database_Productkaarten[#All],18,FALSE)*Optimalisatie!J24),Baseline_Backlog!G127),0))</f>
        <v>6935.5163819999998</v>
      </c>
      <c r="H127" s="91">
        <f>(IF(Optimalisatie!C24="Nieuwe Situatie",_xlfn.IFNA(VLOOKUP(Optimalisatie!V24,Database_Transport[#All],12,FALSE)*(Optimalisatie!R24*Optimalisatie!U24),Baseline_Backlog!H127),0))</f>
        <v>279.39531737599992</v>
      </c>
      <c r="I127" s="91">
        <f>IF(Optimalisatie!C24="Nieuwe situatie",IF(_xlfn.IFNA((VLOOKUP(Optimalisatie!W24,Database_Asfalt_Aanlegset[#All],12,FALSE)*Optimalisatie!J24),0)+_xlfn.IFNA(VLOOKUP(Optimalisatie!X24,Database_Brandstoffen[#All],12,FALSE)*((Optimalisatie!J24/Optimalisatie!Z24)*Optimalisatie!Y24),0)&gt;0,_xlfn.IFNA((VLOOKUP(Optimalisatie!W24,Database_Asfalt_Aanlegset[#All],12,FALSE)*Optimalisatie!J24),0)+_xlfn.IFNA(VLOOKUP(Optimalisatie!X24,Database_Brandstoffen[#All],12,FALSE)*((Optimalisatie!J24/Optimalisatie!Z24)*Optimalisatie!Y24),0),(_xlfn.IFNA(VLOOKUP(Inschrijf_CO2_Totaal[[#This Row],[Product]]&amp;", "&amp;Inschrijf_MKI_Totaal[[#Headers],[A5]],Database_Productkaarten[#All],18,FALSE),0)*Optimalisatie!J24)),0)</f>
        <v>1340.4280954345404</v>
      </c>
      <c r="J127" s="91">
        <f>(IF(Optimalisatie!C24="Nieuwe Situatie",_xlfn.IFNA(IF(Optimalisatie!E24="Categorie_1_LCA_Producten",VLOOKUP(Inschrijf_CO2_Totaal[[#This Row],[Product]],Categorie_1_Producten[#All],20,FALSE)*(Optimalisatie!R24),VLOOKUP(Inschrijf_CO2_Totaal[[#This Row],[Product]]&amp;", "&amp;Inschrijf_CO2_Totaal[[#Headers],[B1]],Database_Productkaarten[#All],18,FALSE)*Optimalisatie!J24),Baseline_Backlog!J127),0))</f>
        <v>0</v>
      </c>
      <c r="K127" s="91">
        <f>(IF(Optimalisatie!C24="Nieuwe Situatie",_xlfn.IFNA(SUM(Inschrijf_CO2_Totaal[[#This Row],[A1]:[B1]],Inschrijf_CO2_Totaal[[#This Row],[C1]:[D2]])*Optimalisatie!T24,0),0))</f>
        <v>0</v>
      </c>
      <c r="L127" s="91">
        <f>IF(Optimalisatie!C24="Bestaande situatie",IF(_xlfn.IFNA((VLOOKUP(Optimalisatie!AA24,Database_Asfalt_Verwijderset[#All],12,FALSE)*Optimalisatie!J24),0)+_xlfn.IFNA(VLOOKUP(Optimalisatie!AB24,Database_Brandstoffen[#All],12,FALSE)*((Optimalisatie!J24/Optimalisatie!AD24)*Optimalisatie!AC24),0)&gt;0,_xlfn.IFNA((VLOOKUP(Optimalisatie!AA24,Database_Asfalt_Verwijderset[#All],12,FALSE)*Optimalisatie!J24),0)+_xlfn.IFNA(VLOOKUP(Optimalisatie!AB24,Database_Brandstoffen[#All],12,FALSE)*((Optimalisatie!J24/Optimalisatie!AD24)*Optimalisatie!AC24),0),(_xlfn.IFNA(VLOOKUP(Inschrijf_CO2_Totaal[[#This Row],[Product]]&amp;", "&amp;Inschrijf_MKI_Totaal[[#Headers],[C1]],Database_Productkaarten[#All],18,FALSE),0)*Optimalisatie!J24)),0)</f>
        <v>0</v>
      </c>
      <c r="M127" s="91">
        <f>(IF(Optimalisatie!C24="Bestaande Situatie",_xlfn.IFNA(VLOOKUP(Optimalisatie!AF24,Database_Transport[#All],12,FALSE)*(Optimalisatie!R24*Optimalisatie!AE24),Baseline_Backlog!M127),0))</f>
        <v>0</v>
      </c>
      <c r="N127" s="91">
        <f>(IF(Optimalisatie!C24="Bestaande Situatie",_xlfn.IFNA(VLOOKUP(Optimalisatie!AG24,Database_Asfalt_Verwerkingsset[#All],12,FALSE)*(Optimalisatie!J24/VLOOKUP(Optimalisatie!AG24,Database_Asfalt_Verwerkingsset[#All],12,FALSE)),Baseline_Backlog!N127),0))</f>
        <v>0</v>
      </c>
      <c r="O127" s="91">
        <f>(IF(Optimalisatie!C24="Bestaande Situatie",_xlfn.IFNA(VLOOKUP(Inschrijf_CO2_Totaal[[#This Row],[Product]]&amp;", "&amp;Inschrijf_CO2_Totaal[[#Headers],[C4]],Database_Productkaarten[#All],18,FALSE)*Optimalisatie!J24,Baseline_Backlog!O127),0))</f>
        <v>0</v>
      </c>
      <c r="P127" s="91">
        <f>(IF(Optimalisatie!C24="Bestaande Situatie",_xlfn.IFNA(IF(Optimalisatie!E24="Categorie_1_LCA_Producten",VLOOKUP(Inschrijf_CO2_Totaal[[#This Row],[Product]],Categorie_1_Producten[#All],18,FALSE)*(Optimalisatie!J24),VLOOKUP(Inschrijf_CO2_Totaal[[#This Row],[Product]]&amp;", "&amp;Inschrijf_CO2_Totaal[[#Headers],[D1]],Database_Productkaarten[#All],18,FALSE)*Optimalisatie!J24),Baseline_Backlog!P127),0))</f>
        <v>0</v>
      </c>
      <c r="Q127" s="91">
        <f>(IF(Optimalisatie!C24="Bestaande Situatie",_xlfn.IFNA(IF(Optimalisatie!E24="Categorie_1_LCA_Producten",VLOOKUP(Inschrijf_CO2_Totaal[[#This Row],[Product]],Categorie_1_Producten[#All],19,FALSE)*(Optimalisatie!J24),VLOOKUP(Inschrijf_CO2_Totaal[[#This Row],[Product]]&amp;", "&amp;Inschrijf_CO2_Totaal[[#Headers],[D2]],Database_Productkaarten[#All],18,FALSE)*Optimalisatie!J24),Baseline_Backlog!Q127),0))</f>
        <v>0</v>
      </c>
      <c r="R127" s="91">
        <f>(IF(Optimalisatie!C24="Bestaande Situatie",_xlfn.IFNA(IF(Optimalisatie!E24="Categorie_1_LCA_Producten",VLOOKUP(Inschrijf_CO2_Totaal[[#This Row],[Product]],Categorie_1_Producten[#All],21,FALSE)*(Optimalisatie!J24),VLOOKUP(Inschrijf_CO2_Totaal[[#This Row],[Product]]&amp;", "&amp;Inschrijf_CO2_Totaal[[#Headers],[D]],Database_Productkaarten[#All],18,FALSE)*Optimalisatie!J24),Baseline_Backlog!S127),0))</f>
        <v>0</v>
      </c>
      <c r="S127" s="91">
        <f>SUM(Inschrijf_CO2_Totaal[[#This Row],[A1-A3]:[C4]])+Inschrijf_CO2_Totaal[[#This Row],[D]]</f>
        <v>8555.3397948105412</v>
      </c>
    </row>
    <row r="128" spans="2:19">
      <c r="B128" s="208" t="str">
        <f>Optimalisatie!B25</f>
        <v>322100 - Leveren en aanbrengen rioolbuis van Beton IT Ø800mm</v>
      </c>
      <c r="C128" s="1" t="str">
        <f>Optimalisatie!F25</f>
        <v>Betonbuis 800 mm</v>
      </c>
      <c r="D128" s="91">
        <f>(IF(Optimalisatie!C25="Nieuwe Situatie",_xlfn.IFNA(IF(Optimalisatie!E25="Categorie_1_LCA_Producten",VLOOKUP(Inschrijf_CO2_Totaal[[#This Row],[Product]],Categorie_1_Producten[#All],14,FALSE)*(Optimalisatie!J25),VLOOKUP(Inschrijf_CO2_Totaal[[#This Row],[Product]]&amp;", "&amp;Inschrijf_CO2_Totaal[[#Headers],[A1]],Database_Productkaarten[#All],18,FALSE)*Optimalisatie!J25),Baseline_Backlog!D128),0))</f>
        <v>70330.370884999997</v>
      </c>
      <c r="E128" s="91">
        <f>(IF(Optimalisatie!C25="Nieuwe Situatie",_xlfn.IFNA(IF(Optimalisatie!E25="Categorie_1_LCA_Producten",VLOOKUP(Inschrijf_CO2_Totaal[[#This Row],[Product]],Categorie_1_Producten[#All],15,FALSE)*(Optimalisatie!J25),VLOOKUP(Inschrijf_CO2_Totaal[[#This Row],[Product]]&amp;", "&amp;Inschrijf_CO2_Totaal[[#Headers],[A2]],Database_Productkaarten[#All],18,FALSE)*Optimalisatie!J25),Baseline_Backlog!E128),0))</f>
        <v>4991.0973534999994</v>
      </c>
      <c r="F128" s="91">
        <f>(IF(Optimalisatie!C25="Nieuwe Situatie",_xlfn.IFNA(IF(Optimalisatie!E25="Categorie_1_LCA_Producten",VLOOKUP(Inschrijf_CO2_Totaal[[#This Row],[Product]],Categorie_1_Producten[#All],16,FALSE)*(Optimalisatie!J25),VLOOKUP(Inschrijf_CO2_Totaal[[#This Row],[Product]]&amp;", "&amp;Inschrijf_CO2_Totaal[[#Headers],[A3]],Database_Productkaarten[#All],18,FALSE)*Optimalisatie!J25),Baseline_Backlog!F128),0))</f>
        <v>4426.2311055</v>
      </c>
      <c r="G128" s="91">
        <f>(IF(Optimalisatie!C25="Nieuwe Situatie",_xlfn.IFNA(IF(Optimalisatie!E25="Categorie_1_LCA_Producten",VLOOKUP(Inschrijf_CO2_Totaal[[#This Row],[Product]],Categorie_1_Producten[#All],19,FALSE)*(Optimalisatie!J25),VLOOKUP(Inschrijf_CO2_Totaal[[#This Row],[Product]]&amp;", "&amp;Inschrijf_CO2_Totaal[[#Headers],[A1-A3]],Database_Productkaarten[#All],18,FALSE)*Optimalisatie!J25),Baseline_Backlog!G128),0))</f>
        <v>79747.699343999993</v>
      </c>
      <c r="H128" s="91">
        <f>(IF(Optimalisatie!C25="Nieuwe Situatie",_xlfn.IFNA(VLOOKUP(Optimalisatie!V25,Database_Transport[#All],12,FALSE)*(Optimalisatie!R25*Optimalisatie!U25),Baseline_Backlog!H128),0))</f>
        <v>2694.0666578559994</v>
      </c>
      <c r="I128" s="91">
        <f>IF(Optimalisatie!C25="Nieuwe situatie",IF(_xlfn.IFNA((VLOOKUP(Optimalisatie!W25,Database_Asfalt_Aanlegset[#All],12,FALSE)*Optimalisatie!J25),0)+_xlfn.IFNA(VLOOKUP(Optimalisatie!X25,Database_Brandstoffen[#All],12,FALSE)*((Optimalisatie!J25/Optimalisatie!Z25)*Optimalisatie!Y25),0)&gt;0,_xlfn.IFNA((VLOOKUP(Optimalisatie!W25,Database_Asfalt_Aanlegset[#All],12,FALSE)*Optimalisatie!J25),0)+_xlfn.IFNA(VLOOKUP(Optimalisatie!X25,Database_Brandstoffen[#All],12,FALSE)*((Optimalisatie!J25/Optimalisatie!Z25)*Optimalisatie!Y25),0),(_xlfn.IFNA(VLOOKUP(Inschrijf_CO2_Totaal[[#This Row],[Product]]&amp;", "&amp;Inschrijf_MKI_Totaal[[#Headers],[A5]],Database_Productkaarten[#All],18,FALSE),0)*Optimalisatie!J25)),0)</f>
        <v>10033.053902293872</v>
      </c>
      <c r="J128" s="91">
        <f>(IF(Optimalisatie!C25="Nieuwe Situatie",_xlfn.IFNA(IF(Optimalisatie!E25="Categorie_1_LCA_Producten",VLOOKUP(Inschrijf_CO2_Totaal[[#This Row],[Product]],Categorie_1_Producten[#All],20,FALSE)*(Optimalisatie!R25),VLOOKUP(Inschrijf_CO2_Totaal[[#This Row],[Product]]&amp;", "&amp;Inschrijf_CO2_Totaal[[#Headers],[B1]],Database_Productkaarten[#All],18,FALSE)*Optimalisatie!J25),Baseline_Backlog!J128),0))</f>
        <v>0</v>
      </c>
      <c r="K128" s="91">
        <f>(IF(Optimalisatie!C25="Nieuwe Situatie",_xlfn.IFNA(SUM(Inschrijf_CO2_Totaal[[#This Row],[A1]:[B1]],Inschrijf_CO2_Totaal[[#This Row],[C1]:[D2]])*Optimalisatie!T25,0),0))</f>
        <v>0</v>
      </c>
      <c r="L128" s="91">
        <f>IF(Optimalisatie!C25="Bestaande situatie",IF(_xlfn.IFNA((VLOOKUP(Optimalisatie!AA25,Database_Asfalt_Verwijderset[#All],12,FALSE)*Optimalisatie!J25),0)+_xlfn.IFNA(VLOOKUP(Optimalisatie!AB25,Database_Brandstoffen[#All],12,FALSE)*((Optimalisatie!J25/Optimalisatie!AD25)*Optimalisatie!AC25),0)&gt;0,_xlfn.IFNA((VLOOKUP(Optimalisatie!AA25,Database_Asfalt_Verwijderset[#All],12,FALSE)*Optimalisatie!J25),0)+_xlfn.IFNA(VLOOKUP(Optimalisatie!AB25,Database_Brandstoffen[#All],12,FALSE)*((Optimalisatie!J25/Optimalisatie!AD25)*Optimalisatie!AC25),0),(_xlfn.IFNA(VLOOKUP(Inschrijf_CO2_Totaal[[#This Row],[Product]]&amp;", "&amp;Inschrijf_MKI_Totaal[[#Headers],[C1]],Database_Productkaarten[#All],18,FALSE),0)*Optimalisatie!J25)),0)</f>
        <v>0</v>
      </c>
      <c r="M128" s="91">
        <f>(IF(Optimalisatie!C25="Bestaande Situatie",_xlfn.IFNA(VLOOKUP(Optimalisatie!AF25,Database_Transport[#All],12,FALSE)*(Optimalisatie!R25*Optimalisatie!AE25),Baseline_Backlog!M128),0))</f>
        <v>0</v>
      </c>
      <c r="N128" s="91">
        <f>(IF(Optimalisatie!C25="Bestaande Situatie",_xlfn.IFNA(VLOOKUP(Optimalisatie!AG25,Database_Asfalt_Verwerkingsset[#All],12,FALSE)*(Optimalisatie!J25/VLOOKUP(Optimalisatie!AG25,Database_Asfalt_Verwerkingsset[#All],12,FALSE)),Baseline_Backlog!N128),0))</f>
        <v>0</v>
      </c>
      <c r="O128" s="91">
        <f>(IF(Optimalisatie!C25="Bestaande Situatie",_xlfn.IFNA(VLOOKUP(Inschrijf_CO2_Totaal[[#This Row],[Product]]&amp;", "&amp;Inschrijf_CO2_Totaal[[#Headers],[C4]],Database_Productkaarten[#All],18,FALSE)*Optimalisatie!J25,Baseline_Backlog!O128),0))</f>
        <v>0</v>
      </c>
      <c r="P128" s="91">
        <f>(IF(Optimalisatie!C25="Bestaande Situatie",_xlfn.IFNA(IF(Optimalisatie!E25="Categorie_1_LCA_Producten",VLOOKUP(Inschrijf_CO2_Totaal[[#This Row],[Product]],Categorie_1_Producten[#All],18,FALSE)*(Optimalisatie!J25),VLOOKUP(Inschrijf_CO2_Totaal[[#This Row],[Product]]&amp;", "&amp;Inschrijf_CO2_Totaal[[#Headers],[D1]],Database_Productkaarten[#All],18,FALSE)*Optimalisatie!J25),Baseline_Backlog!P128),0))</f>
        <v>0</v>
      </c>
      <c r="Q128" s="91">
        <f>(IF(Optimalisatie!C25="Bestaande Situatie",_xlfn.IFNA(IF(Optimalisatie!E25="Categorie_1_LCA_Producten",VLOOKUP(Inschrijf_CO2_Totaal[[#This Row],[Product]],Categorie_1_Producten[#All],19,FALSE)*(Optimalisatie!J25),VLOOKUP(Inschrijf_CO2_Totaal[[#This Row],[Product]]&amp;", "&amp;Inschrijf_CO2_Totaal[[#Headers],[D2]],Database_Productkaarten[#All],18,FALSE)*Optimalisatie!J25),Baseline_Backlog!Q128),0))</f>
        <v>0</v>
      </c>
      <c r="R128" s="91">
        <f>(IF(Optimalisatie!C25="Bestaande Situatie",_xlfn.IFNA(IF(Optimalisatie!E25="Categorie_1_LCA_Producten",VLOOKUP(Inschrijf_CO2_Totaal[[#This Row],[Product]],Categorie_1_Producten[#All],21,FALSE)*(Optimalisatie!J25),VLOOKUP(Inschrijf_CO2_Totaal[[#This Row],[Product]]&amp;", "&amp;Inschrijf_CO2_Totaal[[#Headers],[D]],Database_Productkaarten[#All],18,FALSE)*Optimalisatie!J25),Baseline_Backlog!S128),0))</f>
        <v>0</v>
      </c>
      <c r="S128" s="91">
        <f>SUM(Inschrijf_CO2_Totaal[[#This Row],[A1-A3]:[C4]])+Inschrijf_CO2_Totaal[[#This Row],[D]]</f>
        <v>92474.819904149874</v>
      </c>
    </row>
    <row r="129" spans="2:19">
      <c r="B129" s="208" t="str">
        <f>Optimalisatie!B26</f>
        <v>330010 - Leveren en aanbrengen kolken</v>
      </c>
      <c r="C129" s="1" t="str">
        <f>Optimalisatie!F26</f>
        <v>Kolk, Staal &amp; Beton</v>
      </c>
      <c r="D129" s="91">
        <f>(IF(Optimalisatie!C26="Nieuwe Situatie",_xlfn.IFNA(IF(Optimalisatie!E26="Categorie_1_LCA_Producten",VLOOKUP(Inschrijf_CO2_Totaal[[#This Row],[Product]],Categorie_1_Producten[#All],14,FALSE)*(Optimalisatie!J26),VLOOKUP(Inschrijf_CO2_Totaal[[#This Row],[Product]]&amp;", "&amp;Inschrijf_CO2_Totaal[[#Headers],[A1]],Database_Productkaarten[#All],18,FALSE)*Optimalisatie!J26),Baseline_Backlog!D129),0))</f>
        <v>13196.442041999999</v>
      </c>
      <c r="E129" s="91">
        <f>(IF(Optimalisatie!C26="Nieuwe Situatie",_xlfn.IFNA(IF(Optimalisatie!E26="Categorie_1_LCA_Producten",VLOOKUP(Inschrijf_CO2_Totaal[[#This Row],[Product]],Categorie_1_Producten[#All],15,FALSE)*(Optimalisatie!J26),VLOOKUP(Inschrijf_CO2_Totaal[[#This Row],[Product]]&amp;", "&amp;Inschrijf_CO2_Totaal[[#Headers],[A2]],Database_Productkaarten[#All],18,FALSE)*Optimalisatie!J26),Baseline_Backlog!E129),0))</f>
        <v>353.24804540000002</v>
      </c>
      <c r="F129" s="91">
        <f>(IF(Optimalisatie!C26="Nieuwe Situatie",_xlfn.IFNA(IF(Optimalisatie!E26="Categorie_1_LCA_Producten",VLOOKUP(Inschrijf_CO2_Totaal[[#This Row],[Product]],Categorie_1_Producten[#All],16,FALSE)*(Optimalisatie!J26),VLOOKUP(Inschrijf_CO2_Totaal[[#This Row],[Product]]&amp;", "&amp;Inschrijf_CO2_Totaal[[#Headers],[A3]],Database_Productkaarten[#All],18,FALSE)*Optimalisatie!J26),Baseline_Backlog!F129),0))</f>
        <v>223.99927460000001</v>
      </c>
      <c r="G129" s="91">
        <f>(IF(Optimalisatie!C26="Nieuwe Situatie",_xlfn.IFNA(IF(Optimalisatie!E26="Categorie_1_LCA_Producten",VLOOKUP(Inschrijf_CO2_Totaal[[#This Row],[Product]],Categorie_1_Producten[#All],19,FALSE)*(Optimalisatie!J26),VLOOKUP(Inschrijf_CO2_Totaal[[#This Row],[Product]]&amp;", "&amp;Inschrijf_CO2_Totaal[[#Headers],[A1-A3]],Database_Productkaarten[#All],18,FALSE)*Optimalisatie!J26),Baseline_Backlog!G129),0))</f>
        <v>13773.689361999997</v>
      </c>
      <c r="H129" s="91">
        <f>(IF(Optimalisatie!C26="Nieuwe Situatie",_xlfn.IFNA(VLOOKUP(Optimalisatie!V26,Database_Transport[#All],12,FALSE)*(Optimalisatie!R26*Optimalisatie!U26),Baseline_Backlog!H129),0))</f>
        <v>183.69471000742402</v>
      </c>
      <c r="I129" s="91">
        <f>IF(Optimalisatie!C26="Nieuwe situatie",IF(_xlfn.IFNA((VLOOKUP(Optimalisatie!W26,Database_Asfalt_Aanlegset[#All],12,FALSE)*Optimalisatie!J26),0)+_xlfn.IFNA(VLOOKUP(Optimalisatie!X26,Database_Brandstoffen[#All],12,FALSE)*((Optimalisatie!J26/Optimalisatie!Z26)*Optimalisatie!Y26),0)&gt;0,_xlfn.IFNA((VLOOKUP(Optimalisatie!W26,Database_Asfalt_Aanlegset[#All],12,FALSE)*Optimalisatie!J26),0)+_xlfn.IFNA(VLOOKUP(Optimalisatie!X26,Database_Brandstoffen[#All],12,FALSE)*((Optimalisatie!J26/Optimalisatie!Z26)*Optimalisatie!Y26),0),(_xlfn.IFNA(VLOOKUP(Inschrijf_CO2_Totaal[[#This Row],[Product]]&amp;", "&amp;Inschrijf_MKI_Totaal[[#Headers],[A5]],Database_Productkaarten[#All],18,FALSE),0)*Optimalisatie!J26)),0)</f>
        <v>5571.7675957437323</v>
      </c>
      <c r="J129" s="91">
        <f>(IF(Optimalisatie!C26="Nieuwe Situatie",_xlfn.IFNA(IF(Optimalisatie!E26="Categorie_1_LCA_Producten",VLOOKUP(Inschrijf_CO2_Totaal[[#This Row],[Product]],Categorie_1_Producten[#All],20,FALSE)*(Optimalisatie!R26),VLOOKUP(Inschrijf_CO2_Totaal[[#This Row],[Product]]&amp;", "&amp;Inschrijf_CO2_Totaal[[#Headers],[B1]],Database_Productkaarten[#All],18,FALSE)*Optimalisatie!J26),Baseline_Backlog!J129),0))</f>
        <v>0</v>
      </c>
      <c r="K129" s="91">
        <f>(IF(Optimalisatie!C26="Nieuwe Situatie",_xlfn.IFNA(SUM(Inschrijf_CO2_Totaal[[#This Row],[A1]:[B1]],Inschrijf_CO2_Totaal[[#This Row],[C1]:[D2]])*Optimalisatie!T26,0),0))</f>
        <v>0</v>
      </c>
      <c r="L129" s="91">
        <f>IF(Optimalisatie!C26="Bestaande situatie",IF(_xlfn.IFNA((VLOOKUP(Optimalisatie!AA26,Database_Asfalt_Verwijderset[#All],12,FALSE)*Optimalisatie!J26),0)+_xlfn.IFNA(VLOOKUP(Optimalisatie!AB26,Database_Brandstoffen[#All],12,FALSE)*((Optimalisatie!J26/Optimalisatie!AD26)*Optimalisatie!AC26),0)&gt;0,_xlfn.IFNA((VLOOKUP(Optimalisatie!AA26,Database_Asfalt_Verwijderset[#All],12,FALSE)*Optimalisatie!J26),0)+_xlfn.IFNA(VLOOKUP(Optimalisatie!AB26,Database_Brandstoffen[#All],12,FALSE)*((Optimalisatie!J26/Optimalisatie!AD26)*Optimalisatie!AC26),0),(_xlfn.IFNA(VLOOKUP(Inschrijf_CO2_Totaal[[#This Row],[Product]]&amp;", "&amp;Inschrijf_MKI_Totaal[[#Headers],[C1]],Database_Productkaarten[#All],18,FALSE),0)*Optimalisatie!J26)),0)</f>
        <v>0</v>
      </c>
      <c r="M129" s="91">
        <f>(IF(Optimalisatie!C26="Bestaande Situatie",_xlfn.IFNA(VLOOKUP(Optimalisatie!AF26,Database_Transport[#All],12,FALSE)*(Optimalisatie!R26*Optimalisatie!AE26),Baseline_Backlog!M129),0))</f>
        <v>0</v>
      </c>
      <c r="N129" s="91">
        <f>(IF(Optimalisatie!C26="Bestaande Situatie",_xlfn.IFNA(VLOOKUP(Optimalisatie!AG26,Database_Asfalt_Verwerkingsset[#All],12,FALSE)*(Optimalisatie!J26/VLOOKUP(Optimalisatie!AG26,Database_Asfalt_Verwerkingsset[#All],12,FALSE)),Baseline_Backlog!N129),0))</f>
        <v>0</v>
      </c>
      <c r="O129" s="91">
        <f>(IF(Optimalisatie!C26="Bestaande Situatie",_xlfn.IFNA(VLOOKUP(Inschrijf_CO2_Totaal[[#This Row],[Product]]&amp;", "&amp;Inschrijf_CO2_Totaal[[#Headers],[C4]],Database_Productkaarten[#All],18,FALSE)*Optimalisatie!J26,Baseline_Backlog!O129),0))</f>
        <v>0</v>
      </c>
      <c r="P129" s="91">
        <f>(IF(Optimalisatie!C26="Bestaande Situatie",_xlfn.IFNA(IF(Optimalisatie!E26="Categorie_1_LCA_Producten",VLOOKUP(Inschrijf_CO2_Totaal[[#This Row],[Product]],Categorie_1_Producten[#All],18,FALSE)*(Optimalisatie!J26),VLOOKUP(Inschrijf_CO2_Totaal[[#This Row],[Product]]&amp;", "&amp;Inschrijf_CO2_Totaal[[#Headers],[D1]],Database_Productkaarten[#All],18,FALSE)*Optimalisatie!J26),Baseline_Backlog!P129),0))</f>
        <v>0</v>
      </c>
      <c r="Q129" s="91">
        <f>(IF(Optimalisatie!C26="Bestaande Situatie",_xlfn.IFNA(IF(Optimalisatie!E26="Categorie_1_LCA_Producten",VLOOKUP(Inschrijf_CO2_Totaal[[#This Row],[Product]],Categorie_1_Producten[#All],19,FALSE)*(Optimalisatie!J26),VLOOKUP(Inschrijf_CO2_Totaal[[#This Row],[Product]]&amp;", "&amp;Inschrijf_CO2_Totaal[[#Headers],[D2]],Database_Productkaarten[#All],18,FALSE)*Optimalisatie!J26),Baseline_Backlog!Q129),0))</f>
        <v>0</v>
      </c>
      <c r="R129" s="91">
        <f>(IF(Optimalisatie!C26="Bestaande Situatie",_xlfn.IFNA(IF(Optimalisatie!E26="Categorie_1_LCA_Producten",VLOOKUP(Inschrijf_CO2_Totaal[[#This Row],[Product]],Categorie_1_Producten[#All],21,FALSE)*(Optimalisatie!J26),VLOOKUP(Inschrijf_CO2_Totaal[[#This Row],[Product]]&amp;", "&amp;Inschrijf_CO2_Totaal[[#Headers],[D]],Database_Productkaarten[#All],18,FALSE)*Optimalisatie!J26),Baseline_Backlog!S129),0))</f>
        <v>0</v>
      </c>
      <c r="S129" s="91">
        <f>SUM(Inschrijf_CO2_Totaal[[#This Row],[A1-A3]:[C4]])+Inschrijf_CO2_Totaal[[#This Row],[D]]</f>
        <v>19529.151667751154</v>
      </c>
    </row>
    <row r="130" spans="2:19">
      <c r="B130" s="208" t="str">
        <f>Optimalisatie!B27</f>
        <v>420010 - Leveren en aanbrengen fundering menggranulaat, (250mm dik)</v>
      </c>
      <c r="C130" s="1" t="str">
        <f>Optimalisatie!F27</f>
        <v>Menggranulaat 250mm</v>
      </c>
      <c r="D130" s="91">
        <f>(IF(Optimalisatie!C27="Nieuwe Situatie",_xlfn.IFNA(IF(Optimalisatie!E27="Categorie_1_LCA_Producten",VLOOKUP(Inschrijf_CO2_Totaal[[#This Row],[Product]],Categorie_1_Producten[#All],14,FALSE)*(Optimalisatie!J27),VLOOKUP(Inschrijf_CO2_Totaal[[#This Row],[Product]]&amp;", "&amp;Inschrijf_CO2_Totaal[[#Headers],[A1]],Database_Productkaarten[#All],18,FALSE)*Optimalisatie!J27),Baseline_Backlog!D130),0))</f>
        <v>0</v>
      </c>
      <c r="E130" s="91">
        <f>(IF(Optimalisatie!C27="Nieuwe Situatie",_xlfn.IFNA(IF(Optimalisatie!E27="Categorie_1_LCA_Producten",VLOOKUP(Inschrijf_CO2_Totaal[[#This Row],[Product]],Categorie_1_Producten[#All],15,FALSE)*(Optimalisatie!J27),VLOOKUP(Inschrijf_CO2_Totaal[[#This Row],[Product]]&amp;", "&amp;Inschrijf_CO2_Totaal[[#Headers],[A2]],Database_Productkaarten[#All],18,FALSE)*Optimalisatie!J27),Baseline_Backlog!E130),0))</f>
        <v>0</v>
      </c>
      <c r="F130" s="91">
        <f>(IF(Optimalisatie!C27="Nieuwe Situatie",_xlfn.IFNA(IF(Optimalisatie!E27="Categorie_1_LCA_Producten",VLOOKUP(Inschrijf_CO2_Totaal[[#This Row],[Product]],Categorie_1_Producten[#All],16,FALSE)*(Optimalisatie!J27),VLOOKUP(Inschrijf_CO2_Totaal[[#This Row],[Product]]&amp;", "&amp;Inschrijf_CO2_Totaal[[#Headers],[A3]],Database_Productkaarten[#All],18,FALSE)*Optimalisatie!J27),Baseline_Backlog!F130),0))</f>
        <v>0</v>
      </c>
      <c r="G130" s="91">
        <f>(IF(Optimalisatie!C27="Nieuwe Situatie",_xlfn.IFNA(IF(Optimalisatie!E27="Categorie_1_LCA_Producten",VLOOKUP(Inschrijf_CO2_Totaal[[#This Row],[Product]],Categorie_1_Producten[#All],19,FALSE)*(Optimalisatie!J27),VLOOKUP(Inschrijf_CO2_Totaal[[#This Row],[Product]]&amp;", "&amp;Inschrijf_CO2_Totaal[[#Headers],[A1-A3]],Database_Productkaarten[#All],18,FALSE)*Optimalisatie!J27),Baseline_Backlog!G130),0))</f>
        <v>0</v>
      </c>
      <c r="H130" s="91">
        <f>(IF(Optimalisatie!C27="Nieuwe Situatie",_xlfn.IFNA(VLOOKUP(Optimalisatie!V27,Database_Transport[#All],12,FALSE)*(Optimalisatie!R27*Optimalisatie!U27),Baseline_Backlog!H130),0))</f>
        <v>21331.240694399999</v>
      </c>
      <c r="I130" s="91">
        <f>IF(Optimalisatie!C27="Nieuwe situatie",IF(_xlfn.IFNA((VLOOKUP(Optimalisatie!W27,Database_Asfalt_Aanlegset[#All],12,FALSE)*Optimalisatie!J27),0)+_xlfn.IFNA(VLOOKUP(Optimalisatie!X27,Database_Brandstoffen[#All],12,FALSE)*((Optimalisatie!J27/Optimalisatie!Z27)*Optimalisatie!Y27),0)&gt;0,_xlfn.IFNA((VLOOKUP(Optimalisatie!W27,Database_Asfalt_Aanlegset[#All],12,FALSE)*Optimalisatie!J27),0)+_xlfn.IFNA(VLOOKUP(Optimalisatie!X27,Database_Brandstoffen[#All],12,FALSE)*((Optimalisatie!J27/Optimalisatie!Z27)*Optimalisatie!Y27),0),(_xlfn.IFNA(VLOOKUP(Inschrijf_CO2_Totaal[[#This Row],[Product]]&amp;", "&amp;Inschrijf_MKI_Totaal[[#Headers],[A5]],Database_Productkaarten[#All],18,FALSE),0)*Optimalisatie!J27)),0)</f>
        <v>32947.652181600002</v>
      </c>
      <c r="J130" s="91">
        <f>(IF(Optimalisatie!C27="Nieuwe Situatie",_xlfn.IFNA(IF(Optimalisatie!E27="Categorie_1_LCA_Producten",VLOOKUP(Inschrijf_CO2_Totaal[[#This Row],[Product]],Categorie_1_Producten[#All],20,FALSE)*(Optimalisatie!R27),VLOOKUP(Inschrijf_CO2_Totaal[[#This Row],[Product]]&amp;", "&amp;Inschrijf_CO2_Totaal[[#Headers],[B1]],Database_Productkaarten[#All],18,FALSE)*Optimalisatie!J27),Baseline_Backlog!J130),0))</f>
        <v>0</v>
      </c>
      <c r="K130" s="91">
        <f>(IF(Optimalisatie!C27="Nieuwe Situatie",_xlfn.IFNA(SUM(Inschrijf_CO2_Totaal[[#This Row],[A1]:[B1]],Inschrijf_CO2_Totaal[[#This Row],[C1]:[D2]])*Optimalisatie!T27,0),0))</f>
        <v>0</v>
      </c>
      <c r="L130" s="91">
        <f>IF(Optimalisatie!C27="Bestaande situatie",IF(_xlfn.IFNA((VLOOKUP(Optimalisatie!AA27,Database_Asfalt_Verwijderset[#All],12,FALSE)*Optimalisatie!J27),0)+_xlfn.IFNA(VLOOKUP(Optimalisatie!AB27,Database_Brandstoffen[#All],12,FALSE)*((Optimalisatie!J27/Optimalisatie!AD27)*Optimalisatie!AC27),0)&gt;0,_xlfn.IFNA((VLOOKUP(Optimalisatie!AA27,Database_Asfalt_Verwijderset[#All],12,FALSE)*Optimalisatie!J27),0)+_xlfn.IFNA(VLOOKUP(Optimalisatie!AB27,Database_Brandstoffen[#All],12,FALSE)*((Optimalisatie!J27/Optimalisatie!AD27)*Optimalisatie!AC27),0),(_xlfn.IFNA(VLOOKUP(Inschrijf_CO2_Totaal[[#This Row],[Product]]&amp;", "&amp;Inschrijf_MKI_Totaal[[#Headers],[C1]],Database_Productkaarten[#All],18,FALSE),0)*Optimalisatie!J27)),0)</f>
        <v>0</v>
      </c>
      <c r="M130" s="91">
        <f>(IF(Optimalisatie!C27="Bestaande Situatie",_xlfn.IFNA(VLOOKUP(Optimalisatie!AF27,Database_Transport[#All],12,FALSE)*(Optimalisatie!R27*Optimalisatie!AE27),Baseline_Backlog!M130),0))</f>
        <v>0</v>
      </c>
      <c r="N130" s="91">
        <f>(IF(Optimalisatie!C27="Bestaande Situatie",_xlfn.IFNA(VLOOKUP(Optimalisatie!AG27,Database_Asfalt_Verwerkingsset[#All],12,FALSE)*(Optimalisatie!J27/VLOOKUP(Optimalisatie!AG27,Database_Asfalt_Verwerkingsset[#All],12,FALSE)),Baseline_Backlog!N130),0))</f>
        <v>0</v>
      </c>
      <c r="O130" s="91">
        <f>(IF(Optimalisatie!C27="Bestaande Situatie",_xlfn.IFNA(VLOOKUP(Inschrijf_CO2_Totaal[[#This Row],[Product]]&amp;", "&amp;Inschrijf_CO2_Totaal[[#Headers],[C4]],Database_Productkaarten[#All],18,FALSE)*Optimalisatie!J27,Baseline_Backlog!O130),0))</f>
        <v>0</v>
      </c>
      <c r="P130" s="91">
        <f>(IF(Optimalisatie!C27="Bestaande Situatie",_xlfn.IFNA(IF(Optimalisatie!E27="Categorie_1_LCA_Producten",VLOOKUP(Inschrijf_CO2_Totaal[[#This Row],[Product]],Categorie_1_Producten[#All],18,FALSE)*(Optimalisatie!J27),VLOOKUP(Inschrijf_CO2_Totaal[[#This Row],[Product]]&amp;", "&amp;Inschrijf_CO2_Totaal[[#Headers],[D1]],Database_Productkaarten[#All],18,FALSE)*Optimalisatie!J27),Baseline_Backlog!P130),0))</f>
        <v>0</v>
      </c>
      <c r="Q130" s="91">
        <f>(IF(Optimalisatie!C27="Bestaande Situatie",_xlfn.IFNA(IF(Optimalisatie!E27="Categorie_1_LCA_Producten",VLOOKUP(Inschrijf_CO2_Totaal[[#This Row],[Product]],Categorie_1_Producten[#All],19,FALSE)*(Optimalisatie!J27),VLOOKUP(Inschrijf_CO2_Totaal[[#This Row],[Product]]&amp;", "&amp;Inschrijf_CO2_Totaal[[#Headers],[D2]],Database_Productkaarten[#All],18,FALSE)*Optimalisatie!J27),Baseline_Backlog!Q130),0))</f>
        <v>0</v>
      </c>
      <c r="R130" s="91">
        <f>(IF(Optimalisatie!C27="Bestaande Situatie",_xlfn.IFNA(IF(Optimalisatie!E27="Categorie_1_LCA_Producten",VLOOKUP(Inschrijf_CO2_Totaal[[#This Row],[Product]],Categorie_1_Producten[#All],21,FALSE)*(Optimalisatie!J27),VLOOKUP(Inschrijf_CO2_Totaal[[#This Row],[Product]]&amp;", "&amp;Inschrijf_CO2_Totaal[[#Headers],[D]],Database_Productkaarten[#All],18,FALSE)*Optimalisatie!J27),Baseline_Backlog!S130),0))</f>
        <v>0</v>
      </c>
      <c r="S130" s="91">
        <f>SUM(Inschrijf_CO2_Totaal[[#This Row],[A1-A3]:[C4]])+Inschrijf_CO2_Totaal[[#This Row],[D]]</f>
        <v>54278.892875999998</v>
      </c>
    </row>
    <row r="131" spans="2:19">
      <c r="B131" s="208" t="str">
        <f>Optimalisatie!B28</f>
        <v>430010 - Leveren en aanbrengen trottoirbanden 180/200x250</v>
      </c>
      <c r="C131" s="1" t="str">
        <f>Optimalisatie!F28</f>
        <v>Trottoirband 180/200x250</v>
      </c>
      <c r="D131" s="91">
        <f>(IF(Optimalisatie!C28="Nieuwe Situatie",_xlfn.IFNA(IF(Optimalisatie!E28="Categorie_1_LCA_Producten",VLOOKUP(Inschrijf_CO2_Totaal[[#This Row],[Product]],Categorie_1_Producten[#All],14,FALSE)*(Optimalisatie!J28),VLOOKUP(Inschrijf_CO2_Totaal[[#This Row],[Product]]&amp;", "&amp;Inschrijf_CO2_Totaal[[#Headers],[A1]],Database_Productkaarten[#All],18,FALSE)*Optimalisatie!J28),Baseline_Backlog!D131),0))</f>
        <v>1173.73236</v>
      </c>
      <c r="E131" s="91">
        <f>(IF(Optimalisatie!C28="Nieuwe Situatie",_xlfn.IFNA(IF(Optimalisatie!E28="Categorie_1_LCA_Producten",VLOOKUP(Inschrijf_CO2_Totaal[[#This Row],[Product]],Categorie_1_Producten[#All],15,FALSE)*(Optimalisatie!J28),VLOOKUP(Inschrijf_CO2_Totaal[[#This Row],[Product]]&amp;", "&amp;Inschrijf_CO2_Totaal[[#Headers],[A2]],Database_Productkaarten[#All],18,FALSE)*Optimalisatie!J28),Baseline_Backlog!E131),0))</f>
        <v>68.908917466666665</v>
      </c>
      <c r="F131" s="91">
        <f>(IF(Optimalisatie!C28="Nieuwe Situatie",_xlfn.IFNA(IF(Optimalisatie!E28="Categorie_1_LCA_Producten",VLOOKUP(Inschrijf_CO2_Totaal[[#This Row],[Product]],Categorie_1_Producten[#All],16,FALSE)*(Optimalisatie!J28),VLOOKUP(Inschrijf_CO2_Totaal[[#This Row],[Product]]&amp;", "&amp;Inschrijf_CO2_Totaal[[#Headers],[A3]],Database_Productkaarten[#All],18,FALSE)*Optimalisatie!J28),Baseline_Backlog!F131),0))</f>
        <v>62.875574400000005</v>
      </c>
      <c r="G131" s="91">
        <f>(IF(Optimalisatie!C28="Nieuwe Situatie",_xlfn.IFNA(IF(Optimalisatie!E28="Categorie_1_LCA_Producten",VLOOKUP(Inschrijf_CO2_Totaal[[#This Row],[Product]],Categorie_1_Producten[#All],19,FALSE)*(Optimalisatie!J28),VLOOKUP(Inschrijf_CO2_Totaal[[#This Row],[Product]]&amp;", "&amp;Inschrijf_CO2_Totaal[[#Headers],[A1-A3]],Database_Productkaarten[#All],18,FALSE)*Optimalisatie!J28),Baseline_Backlog!G131),0))</f>
        <v>1305.5168518666667</v>
      </c>
      <c r="H131" s="91">
        <f>(IF(Optimalisatie!C28="Nieuwe Situatie",_xlfn.IFNA(VLOOKUP(Optimalisatie!V28,Database_Transport[#All],12,FALSE)*(Optimalisatie!R28*Optimalisatie!U28),Baseline_Backlog!H131),0))</f>
        <v>38.014149393639997</v>
      </c>
      <c r="I131" s="91">
        <f>IF(Optimalisatie!C28="Nieuwe situatie",IF(_xlfn.IFNA((VLOOKUP(Optimalisatie!W28,Database_Asfalt_Aanlegset[#All],12,FALSE)*Optimalisatie!J28),0)+_xlfn.IFNA(VLOOKUP(Optimalisatie!X28,Database_Brandstoffen[#All],12,FALSE)*((Optimalisatie!J28/Optimalisatie!Z28)*Optimalisatie!Y28),0)&gt;0,_xlfn.IFNA((VLOOKUP(Optimalisatie!W28,Database_Asfalt_Aanlegset[#All],12,FALSE)*Optimalisatie!J28),0)+_xlfn.IFNA(VLOOKUP(Optimalisatie!X28,Database_Brandstoffen[#All],12,FALSE)*((Optimalisatie!J28/Optimalisatie!Z28)*Optimalisatie!Y28),0),(_xlfn.IFNA(VLOOKUP(Inschrijf_CO2_Totaal[[#This Row],[Product]]&amp;", "&amp;Inschrijf_MKI_Totaal[[#Headers],[A5]],Database_Productkaarten[#All],18,FALSE),0)*Optimalisatie!J28)),0)</f>
        <v>242.34589873433146</v>
      </c>
      <c r="J131" s="91">
        <f>(IF(Optimalisatie!C28="Nieuwe Situatie",_xlfn.IFNA(IF(Optimalisatie!E28="Categorie_1_LCA_Producten",VLOOKUP(Inschrijf_CO2_Totaal[[#This Row],[Product]],Categorie_1_Producten[#All],20,FALSE)*(Optimalisatie!R28),VLOOKUP(Inschrijf_CO2_Totaal[[#This Row],[Product]]&amp;", "&amp;Inschrijf_CO2_Totaal[[#Headers],[B1]],Database_Productkaarten[#All],18,FALSE)*Optimalisatie!J28),Baseline_Backlog!J131),0))</f>
        <v>0</v>
      </c>
      <c r="K131" s="91">
        <f>(IF(Optimalisatie!C28="Nieuwe Situatie",_xlfn.IFNA(SUM(Inschrijf_CO2_Totaal[[#This Row],[A1]:[B1]],Inschrijf_CO2_Totaal[[#This Row],[C1]:[D2]])*Optimalisatie!T28,0),0))</f>
        <v>0</v>
      </c>
      <c r="L131" s="91">
        <f>IF(Optimalisatie!C28="Bestaande situatie",IF(_xlfn.IFNA((VLOOKUP(Optimalisatie!AA28,Database_Asfalt_Verwijderset[#All],12,FALSE)*Optimalisatie!J28),0)+_xlfn.IFNA(VLOOKUP(Optimalisatie!AB28,Database_Brandstoffen[#All],12,FALSE)*((Optimalisatie!J28/Optimalisatie!AD28)*Optimalisatie!AC28),0)&gt;0,_xlfn.IFNA((VLOOKUP(Optimalisatie!AA28,Database_Asfalt_Verwijderset[#All],12,FALSE)*Optimalisatie!J28),0)+_xlfn.IFNA(VLOOKUP(Optimalisatie!AB28,Database_Brandstoffen[#All],12,FALSE)*((Optimalisatie!J28/Optimalisatie!AD28)*Optimalisatie!AC28),0),(_xlfn.IFNA(VLOOKUP(Inschrijf_CO2_Totaal[[#This Row],[Product]]&amp;", "&amp;Inschrijf_MKI_Totaal[[#Headers],[C1]],Database_Productkaarten[#All],18,FALSE),0)*Optimalisatie!J28)),0)</f>
        <v>0</v>
      </c>
      <c r="M131" s="91">
        <f>(IF(Optimalisatie!C28="Bestaande Situatie",_xlfn.IFNA(VLOOKUP(Optimalisatie!AF28,Database_Transport[#All],12,FALSE)*(Optimalisatie!R28*Optimalisatie!AE28),Baseline_Backlog!M131),0))</f>
        <v>0</v>
      </c>
      <c r="N131" s="91">
        <f>(IF(Optimalisatie!C28="Bestaande Situatie",_xlfn.IFNA(VLOOKUP(Optimalisatie!AG28,Database_Asfalt_Verwerkingsset[#All],12,FALSE)*(Optimalisatie!J28/VLOOKUP(Optimalisatie!AG28,Database_Asfalt_Verwerkingsset[#All],12,FALSE)),Baseline_Backlog!N131),0))</f>
        <v>0</v>
      </c>
      <c r="O131" s="91">
        <f>(IF(Optimalisatie!C28="Bestaande Situatie",_xlfn.IFNA(VLOOKUP(Inschrijf_CO2_Totaal[[#This Row],[Product]]&amp;", "&amp;Inschrijf_CO2_Totaal[[#Headers],[C4]],Database_Productkaarten[#All],18,FALSE)*Optimalisatie!J28,Baseline_Backlog!O131),0))</f>
        <v>0</v>
      </c>
      <c r="P131" s="91">
        <f>(IF(Optimalisatie!C28="Bestaande Situatie",_xlfn.IFNA(IF(Optimalisatie!E28="Categorie_1_LCA_Producten",VLOOKUP(Inschrijf_CO2_Totaal[[#This Row],[Product]],Categorie_1_Producten[#All],18,FALSE)*(Optimalisatie!J28),VLOOKUP(Inschrijf_CO2_Totaal[[#This Row],[Product]]&amp;", "&amp;Inschrijf_CO2_Totaal[[#Headers],[D1]],Database_Productkaarten[#All],18,FALSE)*Optimalisatie!J28),Baseline_Backlog!P131),0))</f>
        <v>0</v>
      </c>
      <c r="Q131" s="91">
        <f>(IF(Optimalisatie!C28="Bestaande Situatie",_xlfn.IFNA(IF(Optimalisatie!E28="Categorie_1_LCA_Producten",VLOOKUP(Inschrijf_CO2_Totaal[[#This Row],[Product]],Categorie_1_Producten[#All],19,FALSE)*(Optimalisatie!J28),VLOOKUP(Inschrijf_CO2_Totaal[[#This Row],[Product]]&amp;", "&amp;Inschrijf_CO2_Totaal[[#Headers],[D2]],Database_Productkaarten[#All],18,FALSE)*Optimalisatie!J28),Baseline_Backlog!Q131),0))</f>
        <v>0</v>
      </c>
      <c r="R131" s="91">
        <f>(IF(Optimalisatie!C28="Bestaande Situatie",_xlfn.IFNA(IF(Optimalisatie!E28="Categorie_1_LCA_Producten",VLOOKUP(Inschrijf_CO2_Totaal[[#This Row],[Product]],Categorie_1_Producten[#All],21,FALSE)*(Optimalisatie!J28),VLOOKUP(Inschrijf_CO2_Totaal[[#This Row],[Product]]&amp;", "&amp;Inschrijf_CO2_Totaal[[#Headers],[D]],Database_Productkaarten[#All],18,FALSE)*Optimalisatie!J28),Baseline_Backlog!S131),0))</f>
        <v>0</v>
      </c>
      <c r="S131" s="91">
        <f>SUM(Inschrijf_CO2_Totaal[[#This Row],[A1-A3]:[C4]])+Inschrijf_CO2_Totaal[[#This Row],[D]]</f>
        <v>1585.8768999946383</v>
      </c>
    </row>
    <row r="132" spans="2:19">
      <c r="B132" s="208" t="str">
        <f>Optimalisatie!B29</f>
        <v>430020 - Leveren en aanbrengen trottoirbanden 130/150x250</v>
      </c>
      <c r="C132" s="1" t="str">
        <f>Optimalisatie!F29</f>
        <v>Trottoirband 130/150x250</v>
      </c>
      <c r="D132" s="91">
        <f>(IF(Optimalisatie!C29="Nieuwe Situatie",_xlfn.IFNA(IF(Optimalisatie!E29="Categorie_1_LCA_Producten",VLOOKUP(Inschrijf_CO2_Totaal[[#This Row],[Product]],Categorie_1_Producten[#All],14,FALSE)*(Optimalisatie!J29),VLOOKUP(Inschrijf_CO2_Totaal[[#This Row],[Product]]&amp;", "&amp;Inschrijf_CO2_Totaal[[#Headers],[A1]],Database_Productkaarten[#All],18,FALSE)*Optimalisatie!J29),Baseline_Backlog!D132),0))</f>
        <v>2381.9862600000001</v>
      </c>
      <c r="E132" s="91">
        <f>(IF(Optimalisatie!C29="Nieuwe Situatie",_xlfn.IFNA(IF(Optimalisatie!E29="Categorie_1_LCA_Producten",VLOOKUP(Inschrijf_CO2_Totaal[[#This Row],[Product]],Categorie_1_Producten[#All],15,FALSE)*(Optimalisatie!J29),VLOOKUP(Inschrijf_CO2_Totaal[[#This Row],[Product]]&amp;", "&amp;Inschrijf_CO2_Totaal[[#Headers],[A2]],Database_Productkaarten[#All],18,FALSE)*Optimalisatie!J29),Baseline_Backlog!E132),0))</f>
        <v>139.84456779999999</v>
      </c>
      <c r="F132" s="91">
        <f>(IF(Optimalisatie!C29="Nieuwe Situatie",_xlfn.IFNA(IF(Optimalisatie!E29="Categorie_1_LCA_Producten",VLOOKUP(Inschrijf_CO2_Totaal[[#This Row],[Product]],Categorie_1_Producten[#All],16,FALSE)*(Optimalisatie!J29),VLOOKUP(Inschrijf_CO2_Totaal[[#This Row],[Product]]&amp;", "&amp;Inschrijf_CO2_Totaal[[#Headers],[A3]],Database_Productkaarten[#All],18,FALSE)*Optimalisatie!J29),Baseline_Backlog!F132),0))</f>
        <v>127.60043040000001</v>
      </c>
      <c r="G132" s="91">
        <f>(IF(Optimalisatie!C29="Nieuwe Situatie",_xlfn.IFNA(IF(Optimalisatie!E29="Categorie_1_LCA_Producten",VLOOKUP(Inschrijf_CO2_Totaal[[#This Row],[Product]],Categorie_1_Producten[#All],19,FALSE)*(Optimalisatie!J29),VLOOKUP(Inschrijf_CO2_Totaal[[#This Row],[Product]]&amp;", "&amp;Inschrijf_CO2_Totaal[[#Headers],[A1-A3]],Database_Productkaarten[#All],18,FALSE)*Optimalisatie!J29),Baseline_Backlog!G132),0))</f>
        <v>2649.4312582000002</v>
      </c>
      <c r="H132" s="91">
        <f>(IF(Optimalisatie!C29="Nieuwe Situatie",_xlfn.IFNA(VLOOKUP(Optimalisatie!V29,Database_Transport[#All],12,FALSE)*(Optimalisatie!R29*Optimalisatie!U29),Baseline_Backlog!H132),0))</f>
        <v>61.71708960379199</v>
      </c>
      <c r="I132" s="91">
        <f>IF(Optimalisatie!C29="Nieuwe situatie",IF(_xlfn.IFNA((VLOOKUP(Optimalisatie!W29,Database_Asfalt_Aanlegset[#All],12,FALSE)*Optimalisatie!J29),0)+_xlfn.IFNA(VLOOKUP(Optimalisatie!X29,Database_Brandstoffen[#All],12,FALSE)*((Optimalisatie!J29/Optimalisatie!Z29)*Optimalisatie!Y29),0)&gt;0,_xlfn.IFNA((VLOOKUP(Optimalisatie!W29,Database_Asfalt_Aanlegset[#All],12,FALSE)*Optimalisatie!J29),0)+_xlfn.IFNA(VLOOKUP(Optimalisatie!X29,Database_Brandstoffen[#All],12,FALSE)*((Optimalisatie!J29/Optimalisatie!Z29)*Optimalisatie!Y29),0),(_xlfn.IFNA(VLOOKUP(Inschrijf_CO2_Totaal[[#This Row],[Product]]&amp;", "&amp;Inschrijf_MKI_Totaal[[#Headers],[A5]],Database_Productkaarten[#All],18,FALSE),0)*Optimalisatie!J29)),0)</f>
        <v>655.75949069289686</v>
      </c>
      <c r="J132" s="91">
        <f>(IF(Optimalisatie!C29="Nieuwe Situatie",_xlfn.IFNA(IF(Optimalisatie!E29="Categorie_1_LCA_Producten",VLOOKUP(Inschrijf_CO2_Totaal[[#This Row],[Product]],Categorie_1_Producten[#All],20,FALSE)*(Optimalisatie!R29),VLOOKUP(Inschrijf_CO2_Totaal[[#This Row],[Product]]&amp;", "&amp;Inschrijf_CO2_Totaal[[#Headers],[B1]],Database_Productkaarten[#All],18,FALSE)*Optimalisatie!J29),Baseline_Backlog!J132),0))</f>
        <v>0</v>
      </c>
      <c r="K132" s="91">
        <f>(IF(Optimalisatie!C29="Nieuwe Situatie",_xlfn.IFNA(SUM(Inschrijf_CO2_Totaal[[#This Row],[A1]:[B1]],Inschrijf_CO2_Totaal[[#This Row],[C1]:[D2]])*Optimalisatie!T29,0),0))</f>
        <v>0</v>
      </c>
      <c r="L132" s="91">
        <f>IF(Optimalisatie!C29="Bestaande situatie",IF(_xlfn.IFNA((VLOOKUP(Optimalisatie!AA29,Database_Asfalt_Verwijderset[#All],12,FALSE)*Optimalisatie!J29),0)+_xlfn.IFNA(VLOOKUP(Optimalisatie!AB29,Database_Brandstoffen[#All],12,FALSE)*((Optimalisatie!J29/Optimalisatie!AD29)*Optimalisatie!AC29),0)&gt;0,_xlfn.IFNA((VLOOKUP(Optimalisatie!AA29,Database_Asfalt_Verwijderset[#All],12,FALSE)*Optimalisatie!J29),0)+_xlfn.IFNA(VLOOKUP(Optimalisatie!AB29,Database_Brandstoffen[#All],12,FALSE)*((Optimalisatie!J29/Optimalisatie!AD29)*Optimalisatie!AC29),0),(_xlfn.IFNA(VLOOKUP(Inschrijf_CO2_Totaal[[#This Row],[Product]]&amp;", "&amp;Inschrijf_MKI_Totaal[[#Headers],[C1]],Database_Productkaarten[#All],18,FALSE),0)*Optimalisatie!J29)),0)</f>
        <v>0</v>
      </c>
      <c r="M132" s="91">
        <f>(IF(Optimalisatie!C29="Bestaande Situatie",_xlfn.IFNA(VLOOKUP(Optimalisatie!AF29,Database_Transport[#All],12,FALSE)*(Optimalisatie!R29*Optimalisatie!AE29),Baseline_Backlog!M132),0))</f>
        <v>0</v>
      </c>
      <c r="N132" s="91">
        <f>(IF(Optimalisatie!C29="Bestaande Situatie",_xlfn.IFNA(VLOOKUP(Optimalisatie!AG29,Database_Asfalt_Verwerkingsset[#All],12,FALSE)*(Optimalisatie!J29/VLOOKUP(Optimalisatie!AG29,Database_Asfalt_Verwerkingsset[#All],12,FALSE)),Baseline_Backlog!N132),0))</f>
        <v>0</v>
      </c>
      <c r="O132" s="91">
        <f>(IF(Optimalisatie!C29="Bestaande Situatie",_xlfn.IFNA(VLOOKUP(Inschrijf_CO2_Totaal[[#This Row],[Product]]&amp;", "&amp;Inschrijf_CO2_Totaal[[#Headers],[C4]],Database_Productkaarten[#All],18,FALSE)*Optimalisatie!J29,Baseline_Backlog!O132),0))</f>
        <v>0</v>
      </c>
      <c r="P132" s="91">
        <f>(IF(Optimalisatie!C29="Bestaande Situatie",_xlfn.IFNA(IF(Optimalisatie!E29="Categorie_1_LCA_Producten",VLOOKUP(Inschrijf_CO2_Totaal[[#This Row],[Product]],Categorie_1_Producten[#All],18,FALSE)*(Optimalisatie!J29),VLOOKUP(Inschrijf_CO2_Totaal[[#This Row],[Product]]&amp;", "&amp;Inschrijf_CO2_Totaal[[#Headers],[D1]],Database_Productkaarten[#All],18,FALSE)*Optimalisatie!J29),Baseline_Backlog!P132),0))</f>
        <v>0</v>
      </c>
      <c r="Q132" s="91">
        <f>(IF(Optimalisatie!C29="Bestaande Situatie",_xlfn.IFNA(IF(Optimalisatie!E29="Categorie_1_LCA_Producten",VLOOKUP(Inschrijf_CO2_Totaal[[#This Row],[Product]],Categorie_1_Producten[#All],19,FALSE)*(Optimalisatie!J29),VLOOKUP(Inschrijf_CO2_Totaal[[#This Row],[Product]]&amp;", "&amp;Inschrijf_CO2_Totaal[[#Headers],[D2]],Database_Productkaarten[#All],18,FALSE)*Optimalisatie!J29),Baseline_Backlog!Q132),0))</f>
        <v>0</v>
      </c>
      <c r="R132" s="91">
        <f>(IF(Optimalisatie!C29="Bestaande Situatie",_xlfn.IFNA(IF(Optimalisatie!E29="Categorie_1_LCA_Producten",VLOOKUP(Inschrijf_CO2_Totaal[[#This Row],[Product]],Categorie_1_Producten[#All],21,FALSE)*(Optimalisatie!J29),VLOOKUP(Inschrijf_CO2_Totaal[[#This Row],[Product]]&amp;", "&amp;Inschrijf_CO2_Totaal[[#Headers],[D]],Database_Productkaarten[#All],18,FALSE)*Optimalisatie!J29),Baseline_Backlog!S132),0))</f>
        <v>0</v>
      </c>
      <c r="S132" s="91">
        <f>SUM(Inschrijf_CO2_Totaal[[#This Row],[A1-A3]:[C4]])+Inschrijf_CO2_Totaal[[#This Row],[D]]</f>
        <v>3366.9078384966888</v>
      </c>
    </row>
    <row r="133" spans="2:19">
      <c r="B133" s="208" t="str">
        <f>Optimalisatie!B30</f>
        <v>430040 - Leveren en aanbrengen opsluitbanden 100x200</v>
      </c>
      <c r="C133" s="1" t="str">
        <f>Optimalisatie!F30</f>
        <v>Opsluitband 100x200</v>
      </c>
      <c r="D133" s="91">
        <f>(IF(Optimalisatie!C30="Nieuwe Situatie",_xlfn.IFNA(IF(Optimalisatie!E30="Categorie_1_LCA_Producten",VLOOKUP(Inschrijf_CO2_Totaal[[#This Row],[Product]],Categorie_1_Producten[#All],14,FALSE)*(Optimalisatie!J30),VLOOKUP(Inschrijf_CO2_Totaal[[#This Row],[Product]]&amp;", "&amp;Inschrijf_CO2_Totaal[[#Headers],[A1]],Database_Productkaarten[#All],18,FALSE)*Optimalisatie!J30),Baseline_Backlog!D133),0))</f>
        <v>8148.9004024999995</v>
      </c>
      <c r="E133" s="91">
        <f>(IF(Optimalisatie!C30="Nieuwe Situatie",_xlfn.IFNA(IF(Optimalisatie!E30="Categorie_1_LCA_Producten",VLOOKUP(Inschrijf_CO2_Totaal[[#This Row],[Product]],Categorie_1_Producten[#All],15,FALSE)*(Optimalisatie!J30),VLOOKUP(Inschrijf_CO2_Totaal[[#This Row],[Product]]&amp;", "&amp;Inschrijf_CO2_Totaal[[#Headers],[A2]],Database_Productkaarten[#All],18,FALSE)*Optimalisatie!J30),Baseline_Backlog!E133),0))</f>
        <v>478.41562275000001</v>
      </c>
      <c r="F133" s="91">
        <f>(IF(Optimalisatie!C30="Nieuwe Situatie",_xlfn.IFNA(IF(Optimalisatie!E30="Categorie_1_LCA_Producten",VLOOKUP(Inschrijf_CO2_Totaal[[#This Row],[Product]],Categorie_1_Producten[#All],16,FALSE)*(Optimalisatie!J30),VLOOKUP(Inschrijf_CO2_Totaal[[#This Row],[Product]]&amp;", "&amp;Inschrijf_CO2_Totaal[[#Headers],[A3]],Database_Productkaarten[#All],18,FALSE)*Optimalisatie!J30),Baseline_Backlog!F133),0))</f>
        <v>436.52778584999999</v>
      </c>
      <c r="G133" s="91">
        <f>(IF(Optimalisatie!C30="Nieuwe Situatie",_xlfn.IFNA(IF(Optimalisatie!E30="Categorie_1_LCA_Producten",VLOOKUP(Inschrijf_CO2_Totaal[[#This Row],[Product]],Categorie_1_Producten[#All],19,FALSE)*(Optimalisatie!J30),VLOOKUP(Inschrijf_CO2_Totaal[[#This Row],[Product]]&amp;", "&amp;Inschrijf_CO2_Totaal[[#Headers],[A1-A3]],Database_Productkaarten[#All],18,FALSE)*Optimalisatie!J30),Baseline_Backlog!G133),0))</f>
        <v>9063.8438110999996</v>
      </c>
      <c r="H133" s="91">
        <f>(IF(Optimalisatie!C30="Nieuwe Situatie",_xlfn.IFNA(VLOOKUP(Optimalisatie!V30,Database_Transport[#All],12,FALSE)*(Optimalisatie!R30*Optimalisatie!U30),Baseline_Backlog!H133),0))</f>
        <v>216.52229241187999</v>
      </c>
      <c r="I133" s="91">
        <f>IF(Optimalisatie!C30="Nieuwe situatie",IF(_xlfn.IFNA((VLOOKUP(Optimalisatie!W30,Database_Asfalt_Aanlegset[#All],12,FALSE)*Optimalisatie!J30),0)+_xlfn.IFNA(VLOOKUP(Optimalisatie!X30,Database_Brandstoffen[#All],12,FALSE)*((Optimalisatie!J30/Optimalisatie!Z30)*Optimalisatie!Y30),0)&gt;0,_xlfn.IFNA((VLOOKUP(Optimalisatie!W30,Database_Asfalt_Aanlegset[#All],12,FALSE)*Optimalisatie!J30),0)+_xlfn.IFNA(VLOOKUP(Optimalisatie!X30,Database_Brandstoffen[#All],12,FALSE)*((Optimalisatie!J30/Optimalisatie!Z30)*Optimalisatie!Y30),0),(_xlfn.IFNA(VLOOKUP(Inschrijf_CO2_Totaal[[#This Row],[Product]]&amp;", "&amp;Inschrijf_MKI_Totaal[[#Headers],[A5]],Database_Productkaarten[#All],18,FALSE),0)*Optimalisatie!J30)),0)</f>
        <v>3788.8326128922931</v>
      </c>
      <c r="J133" s="91">
        <f>(IF(Optimalisatie!C30="Nieuwe Situatie",_xlfn.IFNA(IF(Optimalisatie!E30="Categorie_1_LCA_Producten",VLOOKUP(Inschrijf_CO2_Totaal[[#This Row],[Product]],Categorie_1_Producten[#All],20,FALSE)*(Optimalisatie!R30),VLOOKUP(Inschrijf_CO2_Totaal[[#This Row],[Product]]&amp;", "&amp;Inschrijf_CO2_Totaal[[#Headers],[B1]],Database_Productkaarten[#All],18,FALSE)*Optimalisatie!J30),Baseline_Backlog!J133),0))</f>
        <v>0</v>
      </c>
      <c r="K133" s="91">
        <f>(IF(Optimalisatie!C30="Nieuwe Situatie",_xlfn.IFNA(SUM(Inschrijf_CO2_Totaal[[#This Row],[A1]:[B1]],Inschrijf_CO2_Totaal[[#This Row],[C1]:[D2]])*Optimalisatie!T30,0),0))</f>
        <v>0</v>
      </c>
      <c r="L133" s="91">
        <f>IF(Optimalisatie!C30="Bestaande situatie",IF(_xlfn.IFNA((VLOOKUP(Optimalisatie!AA30,Database_Asfalt_Verwijderset[#All],12,FALSE)*Optimalisatie!J30),0)+_xlfn.IFNA(VLOOKUP(Optimalisatie!AB30,Database_Brandstoffen[#All],12,FALSE)*((Optimalisatie!J30/Optimalisatie!AD30)*Optimalisatie!AC30),0)&gt;0,_xlfn.IFNA((VLOOKUP(Optimalisatie!AA30,Database_Asfalt_Verwijderset[#All],12,FALSE)*Optimalisatie!J30),0)+_xlfn.IFNA(VLOOKUP(Optimalisatie!AB30,Database_Brandstoffen[#All],12,FALSE)*((Optimalisatie!J30/Optimalisatie!AD30)*Optimalisatie!AC30),0),(_xlfn.IFNA(VLOOKUP(Inschrijf_CO2_Totaal[[#This Row],[Product]]&amp;", "&amp;Inschrijf_MKI_Totaal[[#Headers],[C1]],Database_Productkaarten[#All],18,FALSE),0)*Optimalisatie!J30)),0)</f>
        <v>0</v>
      </c>
      <c r="M133" s="91">
        <f>(IF(Optimalisatie!C30="Bestaande Situatie",_xlfn.IFNA(VLOOKUP(Optimalisatie!AF30,Database_Transport[#All],12,FALSE)*(Optimalisatie!R30*Optimalisatie!AE30),Baseline_Backlog!M133),0))</f>
        <v>0</v>
      </c>
      <c r="N133" s="91">
        <f>(IF(Optimalisatie!C30="Bestaande Situatie",_xlfn.IFNA(VLOOKUP(Optimalisatie!AG30,Database_Asfalt_Verwerkingsset[#All],12,FALSE)*(Optimalisatie!J30/VLOOKUP(Optimalisatie!AG30,Database_Asfalt_Verwerkingsset[#All],12,FALSE)),Baseline_Backlog!N133),0))</f>
        <v>0</v>
      </c>
      <c r="O133" s="91">
        <f>(IF(Optimalisatie!C30="Bestaande Situatie",_xlfn.IFNA(VLOOKUP(Inschrijf_CO2_Totaal[[#This Row],[Product]]&amp;", "&amp;Inschrijf_CO2_Totaal[[#Headers],[C4]],Database_Productkaarten[#All],18,FALSE)*Optimalisatie!J30,Baseline_Backlog!O133),0))</f>
        <v>0</v>
      </c>
      <c r="P133" s="91">
        <f>(IF(Optimalisatie!C30="Bestaande Situatie",_xlfn.IFNA(IF(Optimalisatie!E30="Categorie_1_LCA_Producten",VLOOKUP(Inschrijf_CO2_Totaal[[#This Row],[Product]],Categorie_1_Producten[#All],18,FALSE)*(Optimalisatie!J30),VLOOKUP(Inschrijf_CO2_Totaal[[#This Row],[Product]]&amp;", "&amp;Inschrijf_CO2_Totaal[[#Headers],[D1]],Database_Productkaarten[#All],18,FALSE)*Optimalisatie!J30),Baseline_Backlog!P133),0))</f>
        <v>0</v>
      </c>
      <c r="Q133" s="91">
        <f>(IF(Optimalisatie!C30="Bestaande Situatie",_xlfn.IFNA(IF(Optimalisatie!E30="Categorie_1_LCA_Producten",VLOOKUP(Inschrijf_CO2_Totaal[[#This Row],[Product]],Categorie_1_Producten[#All],19,FALSE)*(Optimalisatie!J30),VLOOKUP(Inschrijf_CO2_Totaal[[#This Row],[Product]]&amp;", "&amp;Inschrijf_CO2_Totaal[[#Headers],[D2]],Database_Productkaarten[#All],18,FALSE)*Optimalisatie!J30),Baseline_Backlog!Q133),0))</f>
        <v>0</v>
      </c>
      <c r="R133" s="91">
        <f>(IF(Optimalisatie!C30="Bestaande Situatie",_xlfn.IFNA(IF(Optimalisatie!E30="Categorie_1_LCA_Producten",VLOOKUP(Inschrijf_CO2_Totaal[[#This Row],[Product]],Categorie_1_Producten[#All],21,FALSE)*(Optimalisatie!J30),VLOOKUP(Inschrijf_CO2_Totaal[[#This Row],[Product]]&amp;", "&amp;Inschrijf_CO2_Totaal[[#Headers],[D]],Database_Productkaarten[#All],18,FALSE)*Optimalisatie!J30),Baseline_Backlog!S133),0))</f>
        <v>0</v>
      </c>
      <c r="S133" s="91">
        <f>SUM(Inschrijf_CO2_Totaal[[#This Row],[A1-A3]:[C4]])+Inschrijf_CO2_Totaal[[#This Row],[D]]</f>
        <v>13069.198716404173</v>
      </c>
    </row>
    <row r="134" spans="2:19">
      <c r="B134" s="208" t="str">
        <f>Optimalisatie!B31</f>
        <v>430050 - Leveren en aanbrengen opsluitbanden 120x250</v>
      </c>
      <c r="C134" s="1" t="str">
        <f>Optimalisatie!F31</f>
        <v>Opsluitband 150x250</v>
      </c>
      <c r="D134" s="91">
        <f>(IF(Optimalisatie!C31="Nieuwe Situatie",_xlfn.IFNA(IF(Optimalisatie!E31="Categorie_1_LCA_Producten",VLOOKUP(Inschrijf_CO2_Totaal[[#This Row],[Product]],Categorie_1_Producten[#All],14,FALSE)*(Optimalisatie!J31),VLOOKUP(Inschrijf_CO2_Totaal[[#This Row],[Product]]&amp;", "&amp;Inschrijf_CO2_Totaal[[#Headers],[A1]],Database_Productkaarten[#All],18,FALSE)*Optimalisatie!J31),Baseline_Backlog!D134),0))</f>
        <v>0</v>
      </c>
      <c r="E134" s="91">
        <f>(IF(Optimalisatie!C31="Nieuwe Situatie",_xlfn.IFNA(IF(Optimalisatie!E31="Categorie_1_LCA_Producten",VLOOKUP(Inschrijf_CO2_Totaal[[#This Row],[Product]],Categorie_1_Producten[#All],15,FALSE)*(Optimalisatie!J31),VLOOKUP(Inschrijf_CO2_Totaal[[#This Row],[Product]]&amp;", "&amp;Inschrijf_CO2_Totaal[[#Headers],[A2]],Database_Productkaarten[#All],18,FALSE)*Optimalisatie!J31),Baseline_Backlog!E134),0))</f>
        <v>14308.269937499997</v>
      </c>
      <c r="F134" s="91">
        <f>(IF(Optimalisatie!C31="Nieuwe Situatie",_xlfn.IFNA(IF(Optimalisatie!E31="Categorie_1_LCA_Producten",VLOOKUP(Inschrijf_CO2_Totaal[[#This Row],[Product]],Categorie_1_Producten[#All],16,FALSE)*(Optimalisatie!J31),VLOOKUP(Inschrijf_CO2_Totaal[[#This Row],[Product]]&amp;", "&amp;Inschrijf_CO2_Totaal[[#Headers],[A3]],Database_Productkaarten[#All],18,FALSE)*Optimalisatie!J31),Baseline_Backlog!F134),0))</f>
        <v>840.02743124999984</v>
      </c>
      <c r="G134" s="91">
        <f>(IF(Optimalisatie!C31="Nieuwe Situatie",_xlfn.IFNA(IF(Optimalisatie!E31="Categorie_1_LCA_Producten",VLOOKUP(Inschrijf_CO2_Totaal[[#This Row],[Product]],Categorie_1_Producten[#All],19,FALSE)*(Optimalisatie!J31),VLOOKUP(Inschrijf_CO2_Totaal[[#This Row],[Product]]&amp;", "&amp;Inschrijf_CO2_Totaal[[#Headers],[A1-A3]],Database_Productkaarten[#All],18,FALSE)*Optimalisatie!J31),Baseline_Backlog!G134),0))</f>
        <v>15148.297368749998</v>
      </c>
      <c r="H134" s="91">
        <f>(IF(Optimalisatie!C31="Nieuwe Situatie",_xlfn.IFNA(VLOOKUP(Optimalisatie!V31,Database_Transport[#All],12,FALSE)*(Optimalisatie!R31*Optimalisatie!U31),Baseline_Backlog!H134),0))</f>
        <v>380.18128266300005</v>
      </c>
      <c r="I134" s="91">
        <f>IF(Optimalisatie!C31="Nieuwe situatie",IF(_xlfn.IFNA((VLOOKUP(Optimalisatie!W31,Database_Asfalt_Aanlegset[#All],12,FALSE)*Optimalisatie!J31),0)+_xlfn.IFNA(VLOOKUP(Optimalisatie!X31,Database_Brandstoffen[#All],12,FALSE)*((Optimalisatie!J31/Optimalisatie!Z31)*Optimalisatie!Y31),0)&gt;0,_xlfn.IFNA((VLOOKUP(Optimalisatie!W31,Database_Asfalt_Aanlegset[#All],12,FALSE)*Optimalisatie!J31),0)+_xlfn.IFNA(VLOOKUP(Optimalisatie!X31,Database_Brandstoffen[#All],12,FALSE)*((Optimalisatie!J31/Optimalisatie!Z31)*Optimalisatie!Y31),0),(_xlfn.IFNA(VLOOKUP(Inschrijf_CO2_Totaal[[#This Row],[Product]]&amp;", "&amp;Inschrijf_MKI_Totaal[[#Headers],[A5]],Database_Productkaarten[#All],18,FALSE),0)*Optimalisatie!J31)),0)</f>
        <v>3991.579508565459</v>
      </c>
      <c r="J134" s="91">
        <f>(IF(Optimalisatie!C31="Nieuwe Situatie",_xlfn.IFNA(IF(Optimalisatie!E31="Categorie_1_LCA_Producten",VLOOKUP(Inschrijf_CO2_Totaal[[#This Row],[Product]],Categorie_1_Producten[#All],20,FALSE)*(Optimalisatie!R31),VLOOKUP(Inschrijf_CO2_Totaal[[#This Row],[Product]]&amp;", "&amp;Inschrijf_CO2_Totaal[[#Headers],[B1]],Database_Productkaarten[#All],18,FALSE)*Optimalisatie!J31),Baseline_Backlog!J134),0))</f>
        <v>2124.3480299999997</v>
      </c>
      <c r="K134" s="91">
        <f>(IF(Optimalisatie!C31="Nieuwe Situatie",_xlfn.IFNA(SUM(Inschrijf_CO2_Totaal[[#This Row],[A1]:[B1]],Inschrijf_CO2_Totaal[[#This Row],[C1]:[D2]])*Optimalisatie!T31,0),0))</f>
        <v>0</v>
      </c>
      <c r="L134" s="91">
        <f>IF(Optimalisatie!C31="Bestaande situatie",IF(_xlfn.IFNA((VLOOKUP(Optimalisatie!AA31,Database_Asfalt_Verwijderset[#All],12,FALSE)*Optimalisatie!J31),0)+_xlfn.IFNA(VLOOKUP(Optimalisatie!AB31,Database_Brandstoffen[#All],12,FALSE)*((Optimalisatie!J31/Optimalisatie!AD31)*Optimalisatie!AC31),0)&gt;0,_xlfn.IFNA((VLOOKUP(Optimalisatie!AA31,Database_Asfalt_Verwijderset[#All],12,FALSE)*Optimalisatie!J31),0)+_xlfn.IFNA(VLOOKUP(Optimalisatie!AB31,Database_Brandstoffen[#All],12,FALSE)*((Optimalisatie!J31/Optimalisatie!AD31)*Optimalisatie!AC31),0),(_xlfn.IFNA(VLOOKUP(Inschrijf_CO2_Totaal[[#This Row],[Product]]&amp;", "&amp;Inschrijf_MKI_Totaal[[#Headers],[C1]],Database_Productkaarten[#All],18,FALSE),0)*Optimalisatie!J31)),0)</f>
        <v>0</v>
      </c>
      <c r="M134" s="91">
        <f>(IF(Optimalisatie!C31="Bestaande Situatie",_xlfn.IFNA(VLOOKUP(Optimalisatie!AF31,Database_Transport[#All],12,FALSE)*(Optimalisatie!R31*Optimalisatie!AE31),Baseline_Backlog!M134),0))</f>
        <v>0</v>
      </c>
      <c r="N134" s="91">
        <f>(IF(Optimalisatie!C31="Bestaande Situatie",_xlfn.IFNA(VLOOKUP(Optimalisatie!AG31,Database_Asfalt_Verwerkingsset[#All],12,FALSE)*(Optimalisatie!J31/VLOOKUP(Optimalisatie!AG31,Database_Asfalt_Verwerkingsset[#All],12,FALSE)),Baseline_Backlog!N134),0))</f>
        <v>0</v>
      </c>
      <c r="O134" s="91">
        <f>(IF(Optimalisatie!C31="Bestaande Situatie",_xlfn.IFNA(VLOOKUP(Inschrijf_CO2_Totaal[[#This Row],[Product]]&amp;", "&amp;Inschrijf_CO2_Totaal[[#Headers],[C4]],Database_Productkaarten[#All],18,FALSE)*Optimalisatie!J31,Baseline_Backlog!O134),0))</f>
        <v>0</v>
      </c>
      <c r="P134" s="91">
        <f>(IF(Optimalisatie!C31="Bestaande Situatie",_xlfn.IFNA(IF(Optimalisatie!E31="Categorie_1_LCA_Producten",VLOOKUP(Inschrijf_CO2_Totaal[[#This Row],[Product]],Categorie_1_Producten[#All],18,FALSE)*(Optimalisatie!J31),VLOOKUP(Inschrijf_CO2_Totaal[[#This Row],[Product]]&amp;", "&amp;Inschrijf_CO2_Totaal[[#Headers],[D1]],Database_Productkaarten[#All],18,FALSE)*Optimalisatie!J31),Baseline_Backlog!P134),0))</f>
        <v>0</v>
      </c>
      <c r="Q134" s="91">
        <f>(IF(Optimalisatie!C31="Bestaande Situatie",_xlfn.IFNA(IF(Optimalisatie!E31="Categorie_1_LCA_Producten",VLOOKUP(Inschrijf_CO2_Totaal[[#This Row],[Product]],Categorie_1_Producten[#All],19,FALSE)*(Optimalisatie!J31),VLOOKUP(Inschrijf_CO2_Totaal[[#This Row],[Product]]&amp;", "&amp;Inschrijf_CO2_Totaal[[#Headers],[D2]],Database_Productkaarten[#All],18,FALSE)*Optimalisatie!J31),Baseline_Backlog!Q134),0))</f>
        <v>0</v>
      </c>
      <c r="R134" s="91">
        <f>(IF(Optimalisatie!C31="Bestaande Situatie",_xlfn.IFNA(IF(Optimalisatie!E31="Categorie_1_LCA_Producten",VLOOKUP(Inschrijf_CO2_Totaal[[#This Row],[Product]],Categorie_1_Producten[#All],21,FALSE)*(Optimalisatie!J31),VLOOKUP(Inschrijf_CO2_Totaal[[#This Row],[Product]]&amp;", "&amp;Inschrijf_CO2_Totaal[[#Headers],[D]],Database_Productkaarten[#All],18,FALSE)*Optimalisatie!J31),Baseline_Backlog!S134),0))</f>
        <v>0</v>
      </c>
      <c r="S134" s="91">
        <f>SUM(Inschrijf_CO2_Totaal[[#This Row],[A1-A3]:[C4]])+Inschrijf_CO2_Totaal[[#This Row],[D]]</f>
        <v>21644.406189978457</v>
      </c>
    </row>
    <row r="135" spans="2:19">
      <c r="B135" s="208" t="str">
        <f>Optimalisatie!B32</f>
        <v>440010 - Aanbrengen straatbakstenen DF, Rood (rijweg)</v>
      </c>
      <c r="C135" s="1" t="str">
        <f>Optimalisatie!F32</f>
        <v>Baksteen</v>
      </c>
      <c r="D135" s="91">
        <f>(IF(Optimalisatie!C32="Nieuwe Situatie",_xlfn.IFNA(IF(Optimalisatie!E32="Categorie_1_LCA_Producten",VLOOKUP(Inschrijf_CO2_Totaal[[#This Row],[Product]],Categorie_1_Producten[#All],14,FALSE)*(Optimalisatie!J32),VLOOKUP(Inschrijf_CO2_Totaal[[#This Row],[Product]]&amp;", "&amp;Inschrijf_CO2_Totaal[[#Headers],[A1]],Database_Productkaarten[#All],18,FALSE)*Optimalisatie!J32),Baseline_Backlog!D135),0))</f>
        <v>0</v>
      </c>
      <c r="E135" s="91">
        <f>(IF(Optimalisatie!C32="Nieuwe Situatie",_xlfn.IFNA(IF(Optimalisatie!E32="Categorie_1_LCA_Producten",VLOOKUP(Inschrijf_CO2_Totaal[[#This Row],[Product]],Categorie_1_Producten[#All],15,FALSE)*(Optimalisatie!J32),VLOOKUP(Inschrijf_CO2_Totaal[[#This Row],[Product]]&amp;", "&amp;Inschrijf_CO2_Totaal[[#Headers],[A2]],Database_Productkaarten[#All],18,FALSE)*Optimalisatie!J32),Baseline_Backlog!E135),0))</f>
        <v>0</v>
      </c>
      <c r="F135" s="91">
        <f>(IF(Optimalisatie!C32="Nieuwe Situatie",_xlfn.IFNA(IF(Optimalisatie!E32="Categorie_1_LCA_Producten",VLOOKUP(Inschrijf_CO2_Totaal[[#This Row],[Product]],Categorie_1_Producten[#All],16,FALSE)*(Optimalisatie!J32),VLOOKUP(Inschrijf_CO2_Totaal[[#This Row],[Product]]&amp;", "&amp;Inschrijf_CO2_Totaal[[#Headers],[A3]],Database_Productkaarten[#All],18,FALSE)*Optimalisatie!J32),Baseline_Backlog!F135),0))</f>
        <v>0</v>
      </c>
      <c r="G135" s="91">
        <f>(IF(Optimalisatie!C32="Nieuwe Situatie",_xlfn.IFNA(IF(Optimalisatie!E32="Categorie_1_LCA_Producten",VLOOKUP(Inschrijf_CO2_Totaal[[#This Row],[Product]],Categorie_1_Producten[#All],19,FALSE)*(Optimalisatie!J32),VLOOKUP(Inschrijf_CO2_Totaal[[#This Row],[Product]]&amp;", "&amp;Inschrijf_CO2_Totaal[[#Headers],[A1-A3]],Database_Productkaarten[#All],18,FALSE)*Optimalisatie!J32),Baseline_Backlog!G135),0))</f>
        <v>78312.5</v>
      </c>
      <c r="H135" s="91">
        <f>(IF(Optimalisatie!C32="Nieuwe Situatie",_xlfn.IFNA(VLOOKUP(Optimalisatie!V32,Database_Transport[#All],12,FALSE)*(Optimalisatie!R32*Optimalisatie!U32),Baseline_Backlog!H135),0))</f>
        <v>3258.1475120319997</v>
      </c>
      <c r="I135" s="91">
        <f>IF(Optimalisatie!C32="Nieuwe situatie",IF(_xlfn.IFNA((VLOOKUP(Optimalisatie!W32,Database_Asfalt_Aanlegset[#All],12,FALSE)*Optimalisatie!J32),0)+_xlfn.IFNA(VLOOKUP(Optimalisatie!X32,Database_Brandstoffen[#All],12,FALSE)*((Optimalisatie!J32/Optimalisatie!Z32)*Optimalisatie!Y32),0)&gt;0,_xlfn.IFNA((VLOOKUP(Optimalisatie!W32,Database_Asfalt_Aanlegset[#All],12,FALSE)*Optimalisatie!J32),0)+_xlfn.IFNA(VLOOKUP(Optimalisatie!X32,Database_Brandstoffen[#All],12,FALSE)*((Optimalisatie!J32/Optimalisatie!Z32)*Optimalisatie!Y32),0),(_xlfn.IFNA(VLOOKUP(Inschrijf_CO2_Totaal[[#This Row],[Product]]&amp;", "&amp;Inschrijf_MKI_Totaal[[#Headers],[A5]],Database_Productkaarten[#All],18,FALSE),0)*Optimalisatie!J32)),0)</f>
        <v>35234.712107472151</v>
      </c>
      <c r="J135" s="91">
        <f>(IF(Optimalisatie!C32="Nieuwe Situatie",_xlfn.IFNA(IF(Optimalisatie!E32="Categorie_1_LCA_Producten",VLOOKUP(Inschrijf_CO2_Totaal[[#This Row],[Product]],Categorie_1_Producten[#All],20,FALSE)*(Optimalisatie!R32),VLOOKUP(Inschrijf_CO2_Totaal[[#This Row],[Product]]&amp;", "&amp;Inschrijf_CO2_Totaal[[#Headers],[B1]],Database_Productkaarten[#All],18,FALSE)*Optimalisatie!J32),Baseline_Backlog!J135),0))</f>
        <v>0</v>
      </c>
      <c r="K135" s="91">
        <f>(IF(Optimalisatie!C32="Nieuwe Situatie",_xlfn.IFNA(SUM(Inschrijf_CO2_Totaal[[#This Row],[A1]:[B1]],Inschrijf_CO2_Totaal[[#This Row],[C1]:[D2]])*Optimalisatie!T32,0),0))</f>
        <v>0</v>
      </c>
      <c r="L135" s="91">
        <f>IF(Optimalisatie!C32="Bestaande situatie",IF(_xlfn.IFNA((VLOOKUP(Optimalisatie!AA32,Database_Asfalt_Verwijderset[#All],12,FALSE)*Optimalisatie!J32),0)+_xlfn.IFNA(VLOOKUP(Optimalisatie!AB32,Database_Brandstoffen[#All],12,FALSE)*((Optimalisatie!J32/Optimalisatie!AD32)*Optimalisatie!AC32),0)&gt;0,_xlfn.IFNA((VLOOKUP(Optimalisatie!AA32,Database_Asfalt_Verwijderset[#All],12,FALSE)*Optimalisatie!J32),0)+_xlfn.IFNA(VLOOKUP(Optimalisatie!AB32,Database_Brandstoffen[#All],12,FALSE)*((Optimalisatie!J32/Optimalisatie!AD32)*Optimalisatie!AC32),0),(_xlfn.IFNA(VLOOKUP(Inschrijf_CO2_Totaal[[#This Row],[Product]]&amp;", "&amp;Inschrijf_MKI_Totaal[[#Headers],[C1]],Database_Productkaarten[#All],18,FALSE),0)*Optimalisatie!J32)),0)</f>
        <v>0</v>
      </c>
      <c r="M135" s="91">
        <f>(IF(Optimalisatie!C32="Bestaande Situatie",_xlfn.IFNA(VLOOKUP(Optimalisatie!AF32,Database_Transport[#All],12,FALSE)*(Optimalisatie!R32*Optimalisatie!AE32),Baseline_Backlog!M135),0))</f>
        <v>0</v>
      </c>
      <c r="N135" s="91">
        <f>(IF(Optimalisatie!C32="Bestaande Situatie",_xlfn.IFNA(VLOOKUP(Optimalisatie!AG32,Database_Asfalt_Verwerkingsset[#All],12,FALSE)*(Optimalisatie!J32/VLOOKUP(Optimalisatie!AG32,Database_Asfalt_Verwerkingsset[#All],12,FALSE)),Baseline_Backlog!N135),0))</f>
        <v>0</v>
      </c>
      <c r="O135" s="91">
        <f>(IF(Optimalisatie!C32="Bestaande Situatie",_xlfn.IFNA(VLOOKUP(Inschrijf_CO2_Totaal[[#This Row],[Product]]&amp;", "&amp;Inschrijf_CO2_Totaal[[#Headers],[C4]],Database_Productkaarten[#All],18,FALSE)*Optimalisatie!J32,Baseline_Backlog!O135),0))</f>
        <v>0</v>
      </c>
      <c r="P135" s="91">
        <f>(IF(Optimalisatie!C32="Bestaande Situatie",_xlfn.IFNA(IF(Optimalisatie!E32="Categorie_1_LCA_Producten",VLOOKUP(Inschrijf_CO2_Totaal[[#This Row],[Product]],Categorie_1_Producten[#All],18,FALSE)*(Optimalisatie!J32),VLOOKUP(Inschrijf_CO2_Totaal[[#This Row],[Product]]&amp;", "&amp;Inschrijf_CO2_Totaal[[#Headers],[D1]],Database_Productkaarten[#All],18,FALSE)*Optimalisatie!J32),Baseline_Backlog!P135),0))</f>
        <v>0</v>
      </c>
      <c r="Q135" s="91">
        <f>(IF(Optimalisatie!C32="Bestaande Situatie",_xlfn.IFNA(IF(Optimalisatie!E32="Categorie_1_LCA_Producten",VLOOKUP(Inschrijf_CO2_Totaal[[#This Row],[Product]],Categorie_1_Producten[#All],19,FALSE)*(Optimalisatie!J32),VLOOKUP(Inschrijf_CO2_Totaal[[#This Row],[Product]]&amp;", "&amp;Inschrijf_CO2_Totaal[[#Headers],[D2]],Database_Productkaarten[#All],18,FALSE)*Optimalisatie!J32),Baseline_Backlog!Q135),0))</f>
        <v>0</v>
      </c>
      <c r="R135" s="91">
        <f>(IF(Optimalisatie!C32="Bestaande Situatie",_xlfn.IFNA(IF(Optimalisatie!E32="Categorie_1_LCA_Producten",VLOOKUP(Inschrijf_CO2_Totaal[[#This Row],[Product]],Categorie_1_Producten[#All],21,FALSE)*(Optimalisatie!J32),VLOOKUP(Inschrijf_CO2_Totaal[[#This Row],[Product]]&amp;", "&amp;Inschrijf_CO2_Totaal[[#Headers],[D]],Database_Productkaarten[#All],18,FALSE)*Optimalisatie!J32),Baseline_Backlog!S135),0))</f>
        <v>0</v>
      </c>
      <c r="S135" s="91">
        <f>SUM(Inschrijf_CO2_Totaal[[#This Row],[A1-A3]:[C4]])+Inschrijf_CO2_Totaal[[#This Row],[D]]</f>
        <v>116805.35961950415</v>
      </c>
    </row>
    <row r="136" spans="2:19">
      <c r="B136" s="208" t="str">
        <f>Optimalisatie!B33</f>
        <v>440020 - Aanbrengen straatbakstenen DF, Geel (rijweg/ plein)</v>
      </c>
      <c r="C136" s="1" t="str">
        <f>Optimalisatie!F33</f>
        <v>Baksteen</v>
      </c>
      <c r="D136" s="91">
        <f>(IF(Optimalisatie!C33="Nieuwe Situatie",_xlfn.IFNA(IF(Optimalisatie!E33="Categorie_1_LCA_Producten",VLOOKUP(Inschrijf_CO2_Totaal[[#This Row],[Product]],Categorie_1_Producten[#All],14,FALSE)*(Optimalisatie!J33),VLOOKUP(Inschrijf_CO2_Totaal[[#This Row],[Product]]&amp;", "&amp;Inschrijf_CO2_Totaal[[#Headers],[A1]],Database_Productkaarten[#All],18,FALSE)*Optimalisatie!J33),Baseline_Backlog!D136),0))</f>
        <v>0</v>
      </c>
      <c r="E136" s="91">
        <f>(IF(Optimalisatie!C33="Nieuwe Situatie",_xlfn.IFNA(IF(Optimalisatie!E33="Categorie_1_LCA_Producten",VLOOKUP(Inschrijf_CO2_Totaal[[#This Row],[Product]],Categorie_1_Producten[#All],15,FALSE)*(Optimalisatie!J33),VLOOKUP(Inschrijf_CO2_Totaal[[#This Row],[Product]]&amp;", "&amp;Inschrijf_CO2_Totaal[[#Headers],[A2]],Database_Productkaarten[#All],18,FALSE)*Optimalisatie!J33),Baseline_Backlog!E136),0))</f>
        <v>0</v>
      </c>
      <c r="F136" s="91">
        <f>(IF(Optimalisatie!C33="Nieuwe Situatie",_xlfn.IFNA(IF(Optimalisatie!E33="Categorie_1_LCA_Producten",VLOOKUP(Inschrijf_CO2_Totaal[[#This Row],[Product]],Categorie_1_Producten[#All],16,FALSE)*(Optimalisatie!J33),VLOOKUP(Inschrijf_CO2_Totaal[[#This Row],[Product]]&amp;", "&amp;Inschrijf_CO2_Totaal[[#Headers],[A3]],Database_Productkaarten[#All],18,FALSE)*Optimalisatie!J33),Baseline_Backlog!F136),0))</f>
        <v>0</v>
      </c>
      <c r="G136" s="91">
        <f>(IF(Optimalisatie!C33="Nieuwe Situatie",_xlfn.IFNA(IF(Optimalisatie!E33="Categorie_1_LCA_Producten",VLOOKUP(Inschrijf_CO2_Totaal[[#This Row],[Product]],Categorie_1_Producten[#All],19,FALSE)*(Optimalisatie!J33),VLOOKUP(Inschrijf_CO2_Totaal[[#This Row],[Product]]&amp;", "&amp;Inschrijf_CO2_Totaal[[#Headers],[A1-A3]],Database_Productkaarten[#All],18,FALSE)*Optimalisatie!J33),Baseline_Backlog!G136),0))</f>
        <v>115937.5</v>
      </c>
      <c r="H136" s="91">
        <f>(IF(Optimalisatie!C33="Nieuwe Situatie",_xlfn.IFNA(VLOOKUP(Optimalisatie!V33,Database_Transport[#All],12,FALSE)*(Optimalisatie!R33*Optimalisatie!U33),Baseline_Backlog!H136),0))</f>
        <v>4823.5144731199998</v>
      </c>
      <c r="I136" s="91">
        <f>IF(Optimalisatie!C33="Nieuwe situatie",IF(_xlfn.IFNA((VLOOKUP(Optimalisatie!W33,Database_Asfalt_Aanlegset[#All],12,FALSE)*Optimalisatie!J33),0)+_xlfn.IFNA(VLOOKUP(Optimalisatie!X33,Database_Brandstoffen[#All],12,FALSE)*((Optimalisatie!J33/Optimalisatie!Z33)*Optimalisatie!Y33),0)&gt;0,_xlfn.IFNA((VLOOKUP(Optimalisatie!W33,Database_Asfalt_Aanlegset[#All],12,FALSE)*Optimalisatie!J33),0)+_xlfn.IFNA(VLOOKUP(Optimalisatie!X33,Database_Brandstoffen[#All],12,FALSE)*((Optimalisatie!J33/Optimalisatie!Z33)*Optimalisatie!Y33),0),(_xlfn.IFNA(VLOOKUP(Inschrijf_CO2_Totaal[[#This Row],[Product]]&amp;", "&amp;Inschrijf_MKI_Totaal[[#Headers],[A5]],Database_Productkaarten[#All],18,FALSE),0)*Optimalisatie!J33)),0)</f>
        <v>52163.121276425241</v>
      </c>
      <c r="J136" s="91">
        <f>(IF(Optimalisatie!C33="Nieuwe Situatie",_xlfn.IFNA(IF(Optimalisatie!E33="Categorie_1_LCA_Producten",VLOOKUP(Inschrijf_CO2_Totaal[[#This Row],[Product]],Categorie_1_Producten[#All],20,FALSE)*(Optimalisatie!R33),VLOOKUP(Inschrijf_CO2_Totaal[[#This Row],[Product]]&amp;", "&amp;Inschrijf_CO2_Totaal[[#Headers],[B1]],Database_Productkaarten[#All],18,FALSE)*Optimalisatie!J33),Baseline_Backlog!J136),0))</f>
        <v>0</v>
      </c>
      <c r="K136" s="91">
        <f>(IF(Optimalisatie!C33="Nieuwe Situatie",_xlfn.IFNA(SUM(Inschrijf_CO2_Totaal[[#This Row],[A1]:[B1]],Inschrijf_CO2_Totaal[[#This Row],[C1]:[D2]])*Optimalisatie!T33,0),0))</f>
        <v>0</v>
      </c>
      <c r="L136" s="91">
        <f>IF(Optimalisatie!C33="Bestaande situatie",IF(_xlfn.IFNA((VLOOKUP(Optimalisatie!AA33,Database_Asfalt_Verwijderset[#All],12,FALSE)*Optimalisatie!J33),0)+_xlfn.IFNA(VLOOKUP(Optimalisatie!AB33,Database_Brandstoffen[#All],12,FALSE)*((Optimalisatie!J33/Optimalisatie!AD33)*Optimalisatie!AC33),0)&gt;0,_xlfn.IFNA((VLOOKUP(Optimalisatie!AA33,Database_Asfalt_Verwijderset[#All],12,FALSE)*Optimalisatie!J33),0)+_xlfn.IFNA(VLOOKUP(Optimalisatie!AB33,Database_Brandstoffen[#All],12,FALSE)*((Optimalisatie!J33/Optimalisatie!AD33)*Optimalisatie!AC33),0),(_xlfn.IFNA(VLOOKUP(Inschrijf_CO2_Totaal[[#This Row],[Product]]&amp;", "&amp;Inschrijf_MKI_Totaal[[#Headers],[C1]],Database_Productkaarten[#All],18,FALSE),0)*Optimalisatie!J33)),0)</f>
        <v>0</v>
      </c>
      <c r="M136" s="91">
        <f>(IF(Optimalisatie!C33="Bestaande Situatie",_xlfn.IFNA(VLOOKUP(Optimalisatie!AF33,Database_Transport[#All],12,FALSE)*(Optimalisatie!R33*Optimalisatie!AE33),Baseline_Backlog!M136),0))</f>
        <v>0</v>
      </c>
      <c r="N136" s="91">
        <f>(IF(Optimalisatie!C33="Bestaande Situatie",_xlfn.IFNA(VLOOKUP(Optimalisatie!AG33,Database_Asfalt_Verwerkingsset[#All],12,FALSE)*(Optimalisatie!J33/VLOOKUP(Optimalisatie!AG33,Database_Asfalt_Verwerkingsset[#All],12,FALSE)),Baseline_Backlog!N136),0))</f>
        <v>0</v>
      </c>
      <c r="O136" s="91">
        <f>(IF(Optimalisatie!C33="Bestaande Situatie",_xlfn.IFNA(VLOOKUP(Inschrijf_CO2_Totaal[[#This Row],[Product]]&amp;", "&amp;Inschrijf_CO2_Totaal[[#Headers],[C4]],Database_Productkaarten[#All],18,FALSE)*Optimalisatie!J33,Baseline_Backlog!O136),0))</f>
        <v>0</v>
      </c>
      <c r="P136" s="91">
        <f>(IF(Optimalisatie!C33="Bestaande Situatie",_xlfn.IFNA(IF(Optimalisatie!E33="Categorie_1_LCA_Producten",VLOOKUP(Inschrijf_CO2_Totaal[[#This Row],[Product]],Categorie_1_Producten[#All],18,FALSE)*(Optimalisatie!J33),VLOOKUP(Inschrijf_CO2_Totaal[[#This Row],[Product]]&amp;", "&amp;Inschrijf_CO2_Totaal[[#Headers],[D1]],Database_Productkaarten[#All],18,FALSE)*Optimalisatie!J33),Baseline_Backlog!P136),0))</f>
        <v>0</v>
      </c>
      <c r="Q136" s="91">
        <f>(IF(Optimalisatie!C33="Bestaande Situatie",_xlfn.IFNA(IF(Optimalisatie!E33="Categorie_1_LCA_Producten",VLOOKUP(Inschrijf_CO2_Totaal[[#This Row],[Product]],Categorie_1_Producten[#All],19,FALSE)*(Optimalisatie!J33),VLOOKUP(Inschrijf_CO2_Totaal[[#This Row],[Product]]&amp;", "&amp;Inschrijf_CO2_Totaal[[#Headers],[D2]],Database_Productkaarten[#All],18,FALSE)*Optimalisatie!J33),Baseline_Backlog!Q136),0))</f>
        <v>0</v>
      </c>
      <c r="R136" s="91">
        <f>(IF(Optimalisatie!C33="Bestaande Situatie",_xlfn.IFNA(IF(Optimalisatie!E33="Categorie_1_LCA_Producten",VLOOKUP(Inschrijf_CO2_Totaal[[#This Row],[Product]],Categorie_1_Producten[#All],21,FALSE)*(Optimalisatie!J33),VLOOKUP(Inschrijf_CO2_Totaal[[#This Row],[Product]]&amp;", "&amp;Inschrijf_CO2_Totaal[[#Headers],[D]],Database_Productkaarten[#All],18,FALSE)*Optimalisatie!J33),Baseline_Backlog!S136),0))</f>
        <v>0</v>
      </c>
      <c r="S136" s="91">
        <f>SUM(Inschrijf_CO2_Totaal[[#This Row],[A1-A3]:[C4]])+Inschrijf_CO2_Totaal[[#This Row],[D]]</f>
        <v>172924.13574954524</v>
      </c>
    </row>
    <row r="137" spans="2:19">
      <c r="B137" s="208" t="str">
        <f>Optimalisatie!B34</f>
        <v>440030 - Aanbrengen straatbakstenen DF, Rood (parkeervakken)</v>
      </c>
      <c r="C137" s="1" t="str">
        <f>Optimalisatie!F34</f>
        <v>Baksteen</v>
      </c>
      <c r="D137" s="91">
        <f>(IF(Optimalisatie!C34="Nieuwe Situatie",_xlfn.IFNA(IF(Optimalisatie!E34="Categorie_1_LCA_Producten",VLOOKUP(Inschrijf_CO2_Totaal[[#This Row],[Product]],Categorie_1_Producten[#All],14,FALSE)*(Optimalisatie!J34),VLOOKUP(Inschrijf_CO2_Totaal[[#This Row],[Product]]&amp;", "&amp;Inschrijf_CO2_Totaal[[#Headers],[A1]],Database_Productkaarten[#All],18,FALSE)*Optimalisatie!J34),Baseline_Backlog!D137),0))</f>
        <v>0</v>
      </c>
      <c r="E137" s="91">
        <f>(IF(Optimalisatie!C34="Nieuwe Situatie",_xlfn.IFNA(IF(Optimalisatie!E34="Categorie_1_LCA_Producten",VLOOKUP(Inschrijf_CO2_Totaal[[#This Row],[Product]],Categorie_1_Producten[#All],15,FALSE)*(Optimalisatie!J34),VLOOKUP(Inschrijf_CO2_Totaal[[#This Row],[Product]]&amp;", "&amp;Inschrijf_CO2_Totaal[[#Headers],[A2]],Database_Productkaarten[#All],18,FALSE)*Optimalisatie!J34),Baseline_Backlog!E137),0))</f>
        <v>0</v>
      </c>
      <c r="F137" s="91">
        <f>(IF(Optimalisatie!C34="Nieuwe Situatie",_xlfn.IFNA(IF(Optimalisatie!E34="Categorie_1_LCA_Producten",VLOOKUP(Inschrijf_CO2_Totaal[[#This Row],[Product]],Categorie_1_Producten[#All],16,FALSE)*(Optimalisatie!J34),VLOOKUP(Inschrijf_CO2_Totaal[[#This Row],[Product]]&amp;", "&amp;Inschrijf_CO2_Totaal[[#Headers],[A3]],Database_Productkaarten[#All],18,FALSE)*Optimalisatie!J34),Baseline_Backlog!F137),0))</f>
        <v>0</v>
      </c>
      <c r="G137" s="91">
        <f>(IF(Optimalisatie!C34="Nieuwe Situatie",_xlfn.IFNA(IF(Optimalisatie!E34="Categorie_1_LCA_Producten",VLOOKUP(Inschrijf_CO2_Totaal[[#This Row],[Product]],Categorie_1_Producten[#All],19,FALSE)*(Optimalisatie!J34),VLOOKUP(Inschrijf_CO2_Totaal[[#This Row],[Product]]&amp;", "&amp;Inschrijf_CO2_Totaal[[#Headers],[A1-A3]],Database_Productkaarten[#All],18,FALSE)*Optimalisatie!J34),Baseline_Backlog!G137),0))</f>
        <v>7812.5</v>
      </c>
      <c r="H137" s="91">
        <f>(IF(Optimalisatie!C34="Nieuwe Situatie",_xlfn.IFNA(VLOOKUP(Optimalisatie!V34,Database_Transport[#All],12,FALSE)*(Optimalisatie!R34*Optimalisatie!U34),Baseline_Backlog!H137),0))</f>
        <v>325.03466799999995</v>
      </c>
      <c r="I137" s="91">
        <f>IF(Optimalisatie!C34="Nieuwe situatie",IF(_xlfn.IFNA((VLOOKUP(Optimalisatie!W34,Database_Asfalt_Aanlegset[#All],12,FALSE)*Optimalisatie!J34),0)+_xlfn.IFNA(VLOOKUP(Optimalisatie!X34,Database_Brandstoffen[#All],12,FALSE)*((Optimalisatie!J34/Optimalisatie!Z34)*Optimalisatie!Y34),0)&gt;0,_xlfn.IFNA((VLOOKUP(Optimalisatie!W34,Database_Asfalt_Aanlegset[#All],12,FALSE)*Optimalisatie!J34),0)+_xlfn.IFNA(VLOOKUP(Optimalisatie!X34,Database_Brandstoffen[#All],12,FALSE)*((Optimalisatie!J34/Optimalisatie!Z34)*Optimalisatie!Y34),0),(_xlfn.IFNA(VLOOKUP(Inschrijf_CO2_Totaal[[#This Row],[Product]]&amp;", "&amp;Inschrijf_MKI_Totaal[[#Headers],[A5]],Database_Productkaarten[#All],18,FALSE),0)*Optimalisatie!J34)),0)</f>
        <v>3515.0351264437495</v>
      </c>
      <c r="J137" s="91">
        <f>(IF(Optimalisatie!C34="Nieuwe Situatie",_xlfn.IFNA(IF(Optimalisatie!E34="Categorie_1_LCA_Producten",VLOOKUP(Inschrijf_CO2_Totaal[[#This Row],[Product]],Categorie_1_Producten[#All],20,FALSE)*(Optimalisatie!R34),VLOOKUP(Inschrijf_CO2_Totaal[[#This Row],[Product]]&amp;", "&amp;Inschrijf_CO2_Totaal[[#Headers],[B1]],Database_Productkaarten[#All],18,FALSE)*Optimalisatie!J34),Baseline_Backlog!J137),0))</f>
        <v>0</v>
      </c>
      <c r="K137" s="91">
        <f>(IF(Optimalisatie!C34="Nieuwe Situatie",_xlfn.IFNA(SUM(Inschrijf_CO2_Totaal[[#This Row],[A1]:[B1]],Inschrijf_CO2_Totaal[[#This Row],[C1]:[D2]])*Optimalisatie!T34,0),0))</f>
        <v>0</v>
      </c>
      <c r="L137" s="91">
        <f>IF(Optimalisatie!C34="Bestaande situatie",IF(_xlfn.IFNA((VLOOKUP(Optimalisatie!AA34,Database_Asfalt_Verwijderset[#All],12,FALSE)*Optimalisatie!J34),0)+_xlfn.IFNA(VLOOKUP(Optimalisatie!AB34,Database_Brandstoffen[#All],12,FALSE)*((Optimalisatie!J34/Optimalisatie!AD34)*Optimalisatie!AC34),0)&gt;0,_xlfn.IFNA((VLOOKUP(Optimalisatie!AA34,Database_Asfalt_Verwijderset[#All],12,FALSE)*Optimalisatie!J34),0)+_xlfn.IFNA(VLOOKUP(Optimalisatie!AB34,Database_Brandstoffen[#All],12,FALSE)*((Optimalisatie!J34/Optimalisatie!AD34)*Optimalisatie!AC34),0),(_xlfn.IFNA(VLOOKUP(Inschrijf_CO2_Totaal[[#This Row],[Product]]&amp;", "&amp;Inschrijf_MKI_Totaal[[#Headers],[C1]],Database_Productkaarten[#All],18,FALSE),0)*Optimalisatie!J34)),0)</f>
        <v>0</v>
      </c>
      <c r="M137" s="91">
        <f>(IF(Optimalisatie!C34="Bestaande Situatie",_xlfn.IFNA(VLOOKUP(Optimalisatie!AF34,Database_Transport[#All],12,FALSE)*(Optimalisatie!R34*Optimalisatie!AE34),Baseline_Backlog!M137),0))</f>
        <v>0</v>
      </c>
      <c r="N137" s="91">
        <f>(IF(Optimalisatie!C34="Bestaande Situatie",_xlfn.IFNA(VLOOKUP(Optimalisatie!AG34,Database_Asfalt_Verwerkingsset[#All],12,FALSE)*(Optimalisatie!J34/VLOOKUP(Optimalisatie!AG34,Database_Asfalt_Verwerkingsset[#All],12,FALSE)),Baseline_Backlog!N137),0))</f>
        <v>0</v>
      </c>
      <c r="O137" s="91">
        <f>(IF(Optimalisatie!C34="Bestaande Situatie",_xlfn.IFNA(VLOOKUP(Inschrijf_CO2_Totaal[[#This Row],[Product]]&amp;", "&amp;Inschrijf_CO2_Totaal[[#Headers],[C4]],Database_Productkaarten[#All],18,FALSE)*Optimalisatie!J34,Baseline_Backlog!O137),0))</f>
        <v>0</v>
      </c>
      <c r="P137" s="91">
        <f>(IF(Optimalisatie!C34="Bestaande Situatie",_xlfn.IFNA(IF(Optimalisatie!E34="Categorie_1_LCA_Producten",VLOOKUP(Inschrijf_CO2_Totaal[[#This Row],[Product]],Categorie_1_Producten[#All],18,FALSE)*(Optimalisatie!J34),VLOOKUP(Inschrijf_CO2_Totaal[[#This Row],[Product]]&amp;", "&amp;Inschrijf_CO2_Totaal[[#Headers],[D1]],Database_Productkaarten[#All],18,FALSE)*Optimalisatie!J34),Baseline_Backlog!P137),0))</f>
        <v>0</v>
      </c>
      <c r="Q137" s="91">
        <f>(IF(Optimalisatie!C34="Bestaande Situatie",_xlfn.IFNA(IF(Optimalisatie!E34="Categorie_1_LCA_Producten",VLOOKUP(Inschrijf_CO2_Totaal[[#This Row],[Product]],Categorie_1_Producten[#All],19,FALSE)*(Optimalisatie!J34),VLOOKUP(Inschrijf_CO2_Totaal[[#This Row],[Product]]&amp;", "&amp;Inschrijf_CO2_Totaal[[#Headers],[D2]],Database_Productkaarten[#All],18,FALSE)*Optimalisatie!J34),Baseline_Backlog!Q137),0))</f>
        <v>0</v>
      </c>
      <c r="R137" s="91">
        <f>(IF(Optimalisatie!C34="Bestaande Situatie",_xlfn.IFNA(IF(Optimalisatie!E34="Categorie_1_LCA_Producten",VLOOKUP(Inschrijf_CO2_Totaal[[#This Row],[Product]],Categorie_1_Producten[#All],21,FALSE)*(Optimalisatie!J34),VLOOKUP(Inschrijf_CO2_Totaal[[#This Row],[Product]]&amp;", "&amp;Inschrijf_CO2_Totaal[[#Headers],[D]],Database_Productkaarten[#All],18,FALSE)*Optimalisatie!J34),Baseline_Backlog!S137),0))</f>
        <v>0</v>
      </c>
      <c r="S137" s="91">
        <f>SUM(Inschrijf_CO2_Totaal[[#This Row],[A1-A3]:[C4]])+Inschrijf_CO2_Totaal[[#This Row],[D]]</f>
        <v>11652.569794443749</v>
      </c>
    </row>
    <row r="138" spans="2:19">
      <c r="B138" s="208" t="str">
        <f>Optimalisatie!B35</f>
        <v>440040 - Aanbrengen straatbakstenen DF, Geel (parkeervakken)</v>
      </c>
      <c r="C138" s="1" t="str">
        <f>Optimalisatie!F35</f>
        <v>Baksteen</v>
      </c>
      <c r="D138" s="91">
        <f>(IF(Optimalisatie!C35="Nieuwe Situatie",_xlfn.IFNA(IF(Optimalisatie!E35="Categorie_1_LCA_Producten",VLOOKUP(Inschrijf_CO2_Totaal[[#This Row],[Product]],Categorie_1_Producten[#All],14,FALSE)*(Optimalisatie!J35),VLOOKUP(Inschrijf_CO2_Totaal[[#This Row],[Product]]&amp;", "&amp;Inschrijf_CO2_Totaal[[#Headers],[A1]],Database_Productkaarten[#All],18,FALSE)*Optimalisatie!J35),Baseline_Backlog!D138),0))</f>
        <v>0</v>
      </c>
      <c r="E138" s="91">
        <f>(IF(Optimalisatie!C35="Nieuwe Situatie",_xlfn.IFNA(IF(Optimalisatie!E35="Categorie_1_LCA_Producten",VLOOKUP(Inschrijf_CO2_Totaal[[#This Row],[Product]],Categorie_1_Producten[#All],15,FALSE)*(Optimalisatie!J35),VLOOKUP(Inschrijf_CO2_Totaal[[#This Row],[Product]]&amp;", "&amp;Inschrijf_CO2_Totaal[[#Headers],[A2]],Database_Productkaarten[#All],18,FALSE)*Optimalisatie!J35),Baseline_Backlog!E138),0))</f>
        <v>0</v>
      </c>
      <c r="F138" s="91">
        <f>(IF(Optimalisatie!C35="Nieuwe Situatie",_xlfn.IFNA(IF(Optimalisatie!E35="Categorie_1_LCA_Producten",VLOOKUP(Inschrijf_CO2_Totaal[[#This Row],[Product]],Categorie_1_Producten[#All],16,FALSE)*(Optimalisatie!J35),VLOOKUP(Inschrijf_CO2_Totaal[[#This Row],[Product]]&amp;", "&amp;Inschrijf_CO2_Totaal[[#Headers],[A3]],Database_Productkaarten[#All],18,FALSE)*Optimalisatie!J35),Baseline_Backlog!F138),0))</f>
        <v>0</v>
      </c>
      <c r="G138" s="91">
        <f>(IF(Optimalisatie!C35="Nieuwe Situatie",_xlfn.IFNA(IF(Optimalisatie!E35="Categorie_1_LCA_Producten",VLOOKUP(Inschrijf_CO2_Totaal[[#This Row],[Product]],Categorie_1_Producten[#All],19,FALSE)*(Optimalisatie!J35),VLOOKUP(Inschrijf_CO2_Totaal[[#This Row],[Product]]&amp;", "&amp;Inschrijf_CO2_Totaal[[#Headers],[A1-A3]],Database_Productkaarten[#All],18,FALSE)*Optimalisatie!J35),Baseline_Backlog!G138),0))</f>
        <v>8875</v>
      </c>
      <c r="H138" s="91">
        <f>(IF(Optimalisatie!C35="Nieuwe Situatie",_xlfn.IFNA(VLOOKUP(Optimalisatie!V35,Database_Transport[#All],12,FALSE)*(Optimalisatie!R35*Optimalisatie!U35),Baseline_Backlog!H138),0))</f>
        <v>369.23938284799999</v>
      </c>
      <c r="I138" s="91">
        <f>IF(Optimalisatie!C35="Nieuwe situatie",IF(_xlfn.IFNA((VLOOKUP(Optimalisatie!W35,Database_Asfalt_Aanlegset[#All],12,FALSE)*Optimalisatie!J35),0)+_xlfn.IFNA(VLOOKUP(Optimalisatie!X35,Database_Brandstoffen[#All],12,FALSE)*((Optimalisatie!J35/Optimalisatie!Z35)*Optimalisatie!Y35),0)&gt;0,_xlfn.IFNA((VLOOKUP(Optimalisatie!W35,Database_Asfalt_Aanlegset[#All],12,FALSE)*Optimalisatie!J35),0)+_xlfn.IFNA(VLOOKUP(Optimalisatie!X35,Database_Brandstoffen[#All],12,FALSE)*((Optimalisatie!J35/Optimalisatie!Z35)*Optimalisatie!Y35),0),(_xlfn.IFNA(VLOOKUP(Inschrijf_CO2_Totaal[[#This Row],[Product]]&amp;", "&amp;Inschrijf_MKI_Totaal[[#Headers],[A5]],Database_Productkaarten[#All],18,FALSE),0)*Optimalisatie!J35)),0)</f>
        <v>3993.0799036400995</v>
      </c>
      <c r="J138" s="91">
        <f>(IF(Optimalisatie!C35="Nieuwe Situatie",_xlfn.IFNA(IF(Optimalisatie!E35="Categorie_1_LCA_Producten",VLOOKUP(Inschrijf_CO2_Totaal[[#This Row],[Product]],Categorie_1_Producten[#All],20,FALSE)*(Optimalisatie!R35),VLOOKUP(Inschrijf_CO2_Totaal[[#This Row],[Product]]&amp;", "&amp;Inschrijf_CO2_Totaal[[#Headers],[B1]],Database_Productkaarten[#All],18,FALSE)*Optimalisatie!J35),Baseline_Backlog!J138),0))</f>
        <v>0</v>
      </c>
      <c r="K138" s="91">
        <f>(IF(Optimalisatie!C35="Nieuwe Situatie",_xlfn.IFNA(SUM(Inschrijf_CO2_Totaal[[#This Row],[A1]:[B1]],Inschrijf_CO2_Totaal[[#This Row],[C1]:[D2]])*Optimalisatie!T35,0),0))</f>
        <v>0</v>
      </c>
      <c r="L138" s="91">
        <f>IF(Optimalisatie!C35="Bestaande situatie",IF(_xlfn.IFNA((VLOOKUP(Optimalisatie!AA35,Database_Asfalt_Verwijderset[#All],12,FALSE)*Optimalisatie!J35),0)+_xlfn.IFNA(VLOOKUP(Optimalisatie!AB35,Database_Brandstoffen[#All],12,FALSE)*((Optimalisatie!J35/Optimalisatie!AD35)*Optimalisatie!AC35),0)&gt;0,_xlfn.IFNA((VLOOKUP(Optimalisatie!AA35,Database_Asfalt_Verwijderset[#All],12,FALSE)*Optimalisatie!J35),0)+_xlfn.IFNA(VLOOKUP(Optimalisatie!AB35,Database_Brandstoffen[#All],12,FALSE)*((Optimalisatie!J35/Optimalisatie!AD35)*Optimalisatie!AC35),0),(_xlfn.IFNA(VLOOKUP(Inschrijf_CO2_Totaal[[#This Row],[Product]]&amp;", "&amp;Inschrijf_MKI_Totaal[[#Headers],[C1]],Database_Productkaarten[#All],18,FALSE),0)*Optimalisatie!J35)),0)</f>
        <v>0</v>
      </c>
      <c r="M138" s="91">
        <f>(IF(Optimalisatie!C35="Bestaande Situatie",_xlfn.IFNA(VLOOKUP(Optimalisatie!AF35,Database_Transport[#All],12,FALSE)*(Optimalisatie!R35*Optimalisatie!AE35),Baseline_Backlog!M138),0))</f>
        <v>0</v>
      </c>
      <c r="N138" s="91">
        <f>(IF(Optimalisatie!C35="Bestaande Situatie",_xlfn.IFNA(VLOOKUP(Optimalisatie!AG35,Database_Asfalt_Verwerkingsset[#All],12,FALSE)*(Optimalisatie!J35/VLOOKUP(Optimalisatie!AG35,Database_Asfalt_Verwerkingsset[#All],12,FALSE)),Baseline_Backlog!N138),0))</f>
        <v>0</v>
      </c>
      <c r="O138" s="91">
        <f>(IF(Optimalisatie!C35="Bestaande Situatie",_xlfn.IFNA(VLOOKUP(Inschrijf_CO2_Totaal[[#This Row],[Product]]&amp;", "&amp;Inschrijf_CO2_Totaal[[#Headers],[C4]],Database_Productkaarten[#All],18,FALSE)*Optimalisatie!J35,Baseline_Backlog!O138),0))</f>
        <v>0</v>
      </c>
      <c r="P138" s="91">
        <f>(IF(Optimalisatie!C35="Bestaande Situatie",_xlfn.IFNA(IF(Optimalisatie!E35="Categorie_1_LCA_Producten",VLOOKUP(Inschrijf_CO2_Totaal[[#This Row],[Product]],Categorie_1_Producten[#All],18,FALSE)*(Optimalisatie!J35),VLOOKUP(Inschrijf_CO2_Totaal[[#This Row],[Product]]&amp;", "&amp;Inschrijf_CO2_Totaal[[#Headers],[D1]],Database_Productkaarten[#All],18,FALSE)*Optimalisatie!J35),Baseline_Backlog!P138),0))</f>
        <v>0</v>
      </c>
      <c r="Q138" s="91">
        <f>(IF(Optimalisatie!C35="Bestaande Situatie",_xlfn.IFNA(IF(Optimalisatie!E35="Categorie_1_LCA_Producten",VLOOKUP(Inschrijf_CO2_Totaal[[#This Row],[Product]],Categorie_1_Producten[#All],19,FALSE)*(Optimalisatie!J35),VLOOKUP(Inschrijf_CO2_Totaal[[#This Row],[Product]]&amp;", "&amp;Inschrijf_CO2_Totaal[[#Headers],[D2]],Database_Productkaarten[#All],18,FALSE)*Optimalisatie!J35),Baseline_Backlog!Q138),0))</f>
        <v>0</v>
      </c>
      <c r="R138" s="91">
        <f>(IF(Optimalisatie!C35="Bestaande Situatie",_xlfn.IFNA(IF(Optimalisatie!E35="Categorie_1_LCA_Producten",VLOOKUP(Inschrijf_CO2_Totaal[[#This Row],[Product]],Categorie_1_Producten[#All],21,FALSE)*(Optimalisatie!J35),VLOOKUP(Inschrijf_CO2_Totaal[[#This Row],[Product]]&amp;", "&amp;Inschrijf_CO2_Totaal[[#Headers],[D]],Database_Productkaarten[#All],18,FALSE)*Optimalisatie!J35),Baseline_Backlog!S138),0))</f>
        <v>0</v>
      </c>
      <c r="S138" s="91">
        <f>SUM(Inschrijf_CO2_Totaal[[#This Row],[A1-A3]:[C4]])+Inschrijf_CO2_Totaal[[#This Row],[D]]</f>
        <v>13237.319286488098</v>
      </c>
    </row>
    <row r="139" spans="2:19">
      <c r="B139" s="208" t="str">
        <f>Optimalisatie!B36</f>
        <v>440050 - Leveren en aanbrengen open (grasbeton) verharding (parkeerplaats)</v>
      </c>
      <c r="C139" s="1" t="str">
        <f>Optimalisatie!F36</f>
        <v>Grasbetontegel CEM I 120 mm</v>
      </c>
      <c r="D139" s="91">
        <f>(IF(Optimalisatie!C36="Nieuwe Situatie",_xlfn.IFNA(IF(Optimalisatie!E36="Categorie_1_LCA_Producten",VLOOKUP(Inschrijf_CO2_Totaal[[#This Row],[Product]],Categorie_1_Producten[#All],14,FALSE)*(Optimalisatie!J36),VLOOKUP(Inschrijf_CO2_Totaal[[#This Row],[Product]]&amp;", "&amp;Inschrijf_CO2_Totaal[[#Headers],[A1]],Database_Productkaarten[#All],18,FALSE)*Optimalisatie!J36),Baseline_Backlog!D139),0))</f>
        <v>29600</v>
      </c>
      <c r="E139" s="91">
        <f>(IF(Optimalisatie!C36="Nieuwe Situatie",_xlfn.IFNA(IF(Optimalisatie!E36="Categorie_1_LCA_Producten",VLOOKUP(Inschrijf_CO2_Totaal[[#This Row],[Product]],Categorie_1_Producten[#All],15,FALSE)*(Optimalisatie!J36),VLOOKUP(Inschrijf_CO2_Totaal[[#This Row],[Product]]&amp;", "&amp;Inschrijf_CO2_Totaal[[#Headers],[A2]],Database_Productkaarten[#All],18,FALSE)*Optimalisatie!J36),Baseline_Backlog!E139),0))</f>
        <v>0</v>
      </c>
      <c r="F139" s="91">
        <f>(IF(Optimalisatie!C36="Nieuwe Situatie",_xlfn.IFNA(IF(Optimalisatie!E36="Categorie_1_LCA_Producten",VLOOKUP(Inschrijf_CO2_Totaal[[#This Row],[Product]],Categorie_1_Producten[#All],16,FALSE)*(Optimalisatie!J36),VLOOKUP(Inschrijf_CO2_Totaal[[#This Row],[Product]]&amp;", "&amp;Inschrijf_CO2_Totaal[[#Headers],[A3]],Database_Productkaarten[#All],18,FALSE)*Optimalisatie!J36),Baseline_Backlog!F139),0))</f>
        <v>0</v>
      </c>
      <c r="G139" s="91">
        <f>(IF(Optimalisatie!C36="Nieuwe Situatie",_xlfn.IFNA(IF(Optimalisatie!E36="Categorie_1_LCA_Producten",VLOOKUP(Inschrijf_CO2_Totaal[[#This Row],[Product]],Categorie_1_Producten[#All],19,FALSE)*(Optimalisatie!J36),VLOOKUP(Inschrijf_CO2_Totaal[[#This Row],[Product]]&amp;", "&amp;Inschrijf_CO2_Totaal[[#Headers],[A1-A3]],Database_Productkaarten[#All],18,FALSE)*Optimalisatie!J36),Baseline_Backlog!G139),0))</f>
        <v>29600</v>
      </c>
      <c r="H139" s="91">
        <f>(IF(Optimalisatie!C36="Nieuwe Situatie",_xlfn.IFNA(VLOOKUP(Optimalisatie!V36,Database_Transport[#All],12,FALSE)*(Optimalisatie!R36*Optimalisatie!U36),Baseline_Backlog!H139),0))</f>
        <v>872.12629632239987</v>
      </c>
      <c r="I139" s="91">
        <f>IF(Optimalisatie!C36="Nieuwe situatie",IF(_xlfn.IFNA((VLOOKUP(Optimalisatie!W36,Database_Asfalt_Aanlegset[#All],12,FALSE)*Optimalisatie!J36),0)+_xlfn.IFNA(VLOOKUP(Optimalisatie!X36,Database_Brandstoffen[#All],12,FALSE)*((Optimalisatie!J36/Optimalisatie!Z36)*Optimalisatie!Y36),0)&gt;0,_xlfn.IFNA((VLOOKUP(Optimalisatie!W36,Database_Asfalt_Aanlegset[#All],12,FALSE)*Optimalisatie!J36),0)+_xlfn.IFNA(VLOOKUP(Optimalisatie!X36,Database_Brandstoffen[#All],12,FALSE)*((Optimalisatie!J36/Optimalisatie!Z36)*Optimalisatie!Y36),0),(_xlfn.IFNA(VLOOKUP(Inschrijf_CO2_Totaal[[#This Row],[Product]]&amp;", "&amp;Inschrijf_MKI_Totaal[[#Headers],[A5]],Database_Productkaarten[#All],18,FALSE),0)*Optimalisatie!J36)),0)</f>
        <v>5624.0562023099992</v>
      </c>
      <c r="J139" s="91">
        <f>(IF(Optimalisatie!C36="Nieuwe Situatie",_xlfn.IFNA(IF(Optimalisatie!E36="Categorie_1_LCA_Producten",VLOOKUP(Inschrijf_CO2_Totaal[[#This Row],[Product]],Categorie_1_Producten[#All],20,FALSE)*(Optimalisatie!R36),VLOOKUP(Inschrijf_CO2_Totaal[[#This Row],[Product]]&amp;", "&amp;Inschrijf_CO2_Totaal[[#Headers],[B1]],Database_Productkaarten[#All],18,FALSE)*Optimalisatie!J36),Baseline_Backlog!J139),0))</f>
        <v>0</v>
      </c>
      <c r="K139" s="91">
        <f>(IF(Optimalisatie!C36="Nieuwe Situatie",_xlfn.IFNA(SUM(Inschrijf_CO2_Totaal[[#This Row],[A1]:[B1]],Inschrijf_CO2_Totaal[[#This Row],[C1]:[D2]])*Optimalisatie!T36,0),0))</f>
        <v>0</v>
      </c>
      <c r="L139" s="91">
        <f>IF(Optimalisatie!C36="Bestaande situatie",IF(_xlfn.IFNA((VLOOKUP(Optimalisatie!AA36,Database_Asfalt_Verwijderset[#All],12,FALSE)*Optimalisatie!J36),0)+_xlfn.IFNA(VLOOKUP(Optimalisatie!AB36,Database_Brandstoffen[#All],12,FALSE)*((Optimalisatie!J36/Optimalisatie!AD36)*Optimalisatie!AC36),0)&gt;0,_xlfn.IFNA((VLOOKUP(Optimalisatie!AA36,Database_Asfalt_Verwijderset[#All],12,FALSE)*Optimalisatie!J36),0)+_xlfn.IFNA(VLOOKUP(Optimalisatie!AB36,Database_Brandstoffen[#All],12,FALSE)*((Optimalisatie!J36/Optimalisatie!AD36)*Optimalisatie!AC36),0),(_xlfn.IFNA(VLOOKUP(Inschrijf_CO2_Totaal[[#This Row],[Product]]&amp;", "&amp;Inschrijf_MKI_Totaal[[#Headers],[C1]],Database_Productkaarten[#All],18,FALSE),0)*Optimalisatie!J36)),0)</f>
        <v>0</v>
      </c>
      <c r="M139" s="91">
        <f>(IF(Optimalisatie!C36="Bestaande Situatie",_xlfn.IFNA(VLOOKUP(Optimalisatie!AF36,Database_Transport[#All],12,FALSE)*(Optimalisatie!R36*Optimalisatie!AE36),Baseline_Backlog!M139),0))</f>
        <v>0</v>
      </c>
      <c r="N139" s="91">
        <f>(IF(Optimalisatie!C36="Bestaande Situatie",_xlfn.IFNA(VLOOKUP(Optimalisatie!AG36,Database_Asfalt_Verwerkingsset[#All],12,FALSE)*(Optimalisatie!J36/VLOOKUP(Optimalisatie!AG36,Database_Asfalt_Verwerkingsset[#All],12,FALSE)),Baseline_Backlog!N139),0))</f>
        <v>0</v>
      </c>
      <c r="O139" s="91">
        <f>(IF(Optimalisatie!C36="Bestaande Situatie",_xlfn.IFNA(VLOOKUP(Inschrijf_CO2_Totaal[[#This Row],[Product]]&amp;", "&amp;Inschrijf_CO2_Totaal[[#Headers],[C4]],Database_Productkaarten[#All],18,FALSE)*Optimalisatie!J36,Baseline_Backlog!O139),0))</f>
        <v>0</v>
      </c>
      <c r="P139" s="91">
        <f>(IF(Optimalisatie!C36="Bestaande Situatie",_xlfn.IFNA(IF(Optimalisatie!E36="Categorie_1_LCA_Producten",VLOOKUP(Inschrijf_CO2_Totaal[[#This Row],[Product]],Categorie_1_Producten[#All],18,FALSE)*(Optimalisatie!J36),VLOOKUP(Inschrijf_CO2_Totaal[[#This Row],[Product]]&amp;", "&amp;Inschrijf_CO2_Totaal[[#Headers],[D1]],Database_Productkaarten[#All],18,FALSE)*Optimalisatie!J36),Baseline_Backlog!P139),0))</f>
        <v>0</v>
      </c>
      <c r="Q139" s="91">
        <f>(IF(Optimalisatie!C36="Bestaande Situatie",_xlfn.IFNA(IF(Optimalisatie!E36="Categorie_1_LCA_Producten",VLOOKUP(Inschrijf_CO2_Totaal[[#This Row],[Product]],Categorie_1_Producten[#All],19,FALSE)*(Optimalisatie!J36),VLOOKUP(Inschrijf_CO2_Totaal[[#This Row],[Product]]&amp;", "&amp;Inschrijf_CO2_Totaal[[#Headers],[D2]],Database_Productkaarten[#All],18,FALSE)*Optimalisatie!J36),Baseline_Backlog!Q139),0))</f>
        <v>0</v>
      </c>
      <c r="R139" s="91">
        <f>(IF(Optimalisatie!C36="Bestaande Situatie",_xlfn.IFNA(IF(Optimalisatie!E36="Categorie_1_LCA_Producten",VLOOKUP(Inschrijf_CO2_Totaal[[#This Row],[Product]],Categorie_1_Producten[#All],21,FALSE)*(Optimalisatie!J36),VLOOKUP(Inschrijf_CO2_Totaal[[#This Row],[Product]]&amp;", "&amp;Inschrijf_CO2_Totaal[[#Headers],[D]],Database_Productkaarten[#All],18,FALSE)*Optimalisatie!J36),Baseline_Backlog!S139),0))</f>
        <v>0</v>
      </c>
      <c r="S139" s="91">
        <f>SUM(Inschrijf_CO2_Totaal[[#This Row],[A1-A3]:[C4]])+Inschrijf_CO2_Totaal[[#This Row],[D]]</f>
        <v>36096.182498632399</v>
      </c>
    </row>
    <row r="140" spans="2:19">
      <c r="B140" s="208" t="str">
        <f>Optimalisatie!B37</f>
        <v>440060 - Aanbrengen straatbakstenen DF, Rood (trottoir)</v>
      </c>
      <c r="C140" s="1" t="str">
        <f>Optimalisatie!F37</f>
        <v>Baksteen</v>
      </c>
      <c r="D140" s="91">
        <f>(IF(Optimalisatie!C37="Nieuwe Situatie",_xlfn.IFNA(IF(Optimalisatie!E37="Categorie_1_LCA_Producten",VLOOKUP(Inschrijf_CO2_Totaal[[#This Row],[Product]],Categorie_1_Producten[#All],14,FALSE)*(Optimalisatie!J37),VLOOKUP(Inschrijf_CO2_Totaal[[#This Row],[Product]]&amp;", "&amp;Inschrijf_CO2_Totaal[[#Headers],[A1]],Database_Productkaarten[#All],18,FALSE)*Optimalisatie!J37),Baseline_Backlog!D140),0))</f>
        <v>0</v>
      </c>
      <c r="E140" s="91">
        <f>(IF(Optimalisatie!C37="Nieuwe Situatie",_xlfn.IFNA(IF(Optimalisatie!E37="Categorie_1_LCA_Producten",VLOOKUP(Inschrijf_CO2_Totaal[[#This Row],[Product]],Categorie_1_Producten[#All],15,FALSE)*(Optimalisatie!J37),VLOOKUP(Inschrijf_CO2_Totaal[[#This Row],[Product]]&amp;", "&amp;Inschrijf_CO2_Totaal[[#Headers],[A2]],Database_Productkaarten[#All],18,FALSE)*Optimalisatie!J37),Baseline_Backlog!E140),0))</f>
        <v>0</v>
      </c>
      <c r="F140" s="91">
        <f>(IF(Optimalisatie!C37="Nieuwe Situatie",_xlfn.IFNA(IF(Optimalisatie!E37="Categorie_1_LCA_Producten",VLOOKUP(Inschrijf_CO2_Totaal[[#This Row],[Product]],Categorie_1_Producten[#All],16,FALSE)*(Optimalisatie!J37),VLOOKUP(Inschrijf_CO2_Totaal[[#This Row],[Product]]&amp;", "&amp;Inschrijf_CO2_Totaal[[#Headers],[A3]],Database_Productkaarten[#All],18,FALSE)*Optimalisatie!J37),Baseline_Backlog!F140),0))</f>
        <v>0</v>
      </c>
      <c r="G140" s="91">
        <f>(IF(Optimalisatie!C37="Nieuwe Situatie",_xlfn.IFNA(IF(Optimalisatie!E37="Categorie_1_LCA_Producten",VLOOKUP(Inschrijf_CO2_Totaal[[#This Row],[Product]],Categorie_1_Producten[#All],19,FALSE)*(Optimalisatie!J37),VLOOKUP(Inschrijf_CO2_Totaal[[#This Row],[Product]]&amp;", "&amp;Inschrijf_CO2_Totaal[[#Headers],[A1-A3]],Database_Productkaarten[#All],18,FALSE)*Optimalisatie!J37),Baseline_Backlog!G140),0))</f>
        <v>54875</v>
      </c>
      <c r="H140" s="91">
        <f>(IF(Optimalisatie!C37="Nieuwe Situatie",_xlfn.IFNA(VLOOKUP(Optimalisatie!V37,Database_Transport[#All],12,FALSE)*(Optimalisatie!R37*Optimalisatie!U37),Baseline_Backlog!H140),0))</f>
        <v>2283.0435080319999</v>
      </c>
      <c r="I140" s="91">
        <f>IF(Optimalisatie!C37="Nieuwe situatie",IF(_xlfn.IFNA((VLOOKUP(Optimalisatie!W37,Database_Asfalt_Aanlegset[#All],12,FALSE)*Optimalisatie!J37),0)+_xlfn.IFNA(VLOOKUP(Optimalisatie!X37,Database_Brandstoffen[#All],12,FALSE)*((Optimalisatie!J37/Optimalisatie!Z37)*Optimalisatie!Y37),0)&gt;0,_xlfn.IFNA((VLOOKUP(Optimalisatie!W37,Database_Asfalt_Aanlegset[#All],12,FALSE)*Optimalisatie!J37),0)+_xlfn.IFNA(VLOOKUP(Optimalisatie!X37,Database_Brandstoffen[#All],12,FALSE)*((Optimalisatie!J37/Optimalisatie!Z37)*Optimalisatie!Y37),0),(_xlfn.IFNA(VLOOKUP(Inschrijf_CO2_Totaal[[#This Row],[Product]]&amp;", "&amp;Inschrijf_MKI_Totaal[[#Headers],[A5]],Database_Productkaarten[#All],18,FALSE),0)*Optimalisatie!J37)),0)</f>
        <v>24689.606728140894</v>
      </c>
      <c r="J140" s="91">
        <f>(IF(Optimalisatie!C37="Nieuwe Situatie",_xlfn.IFNA(IF(Optimalisatie!E37="Categorie_1_LCA_Producten",VLOOKUP(Inschrijf_CO2_Totaal[[#This Row],[Product]],Categorie_1_Producten[#All],20,FALSE)*(Optimalisatie!R37),VLOOKUP(Inschrijf_CO2_Totaal[[#This Row],[Product]]&amp;", "&amp;Inschrijf_CO2_Totaal[[#Headers],[B1]],Database_Productkaarten[#All],18,FALSE)*Optimalisatie!J37),Baseline_Backlog!J140),0))</f>
        <v>0</v>
      </c>
      <c r="K140" s="91">
        <f>(IF(Optimalisatie!C37="Nieuwe Situatie",_xlfn.IFNA(SUM(Inschrijf_CO2_Totaal[[#This Row],[A1]:[B1]],Inschrijf_CO2_Totaal[[#This Row],[C1]:[D2]])*Optimalisatie!T37,0),0))</f>
        <v>0</v>
      </c>
      <c r="L140" s="91">
        <f>IF(Optimalisatie!C37="Bestaande situatie",IF(_xlfn.IFNA((VLOOKUP(Optimalisatie!AA37,Database_Asfalt_Verwijderset[#All],12,FALSE)*Optimalisatie!J37),0)+_xlfn.IFNA(VLOOKUP(Optimalisatie!AB37,Database_Brandstoffen[#All],12,FALSE)*((Optimalisatie!J37/Optimalisatie!AD37)*Optimalisatie!AC37),0)&gt;0,_xlfn.IFNA((VLOOKUP(Optimalisatie!AA37,Database_Asfalt_Verwijderset[#All],12,FALSE)*Optimalisatie!J37),0)+_xlfn.IFNA(VLOOKUP(Optimalisatie!AB37,Database_Brandstoffen[#All],12,FALSE)*((Optimalisatie!J37/Optimalisatie!AD37)*Optimalisatie!AC37),0),(_xlfn.IFNA(VLOOKUP(Inschrijf_CO2_Totaal[[#This Row],[Product]]&amp;", "&amp;Inschrijf_MKI_Totaal[[#Headers],[C1]],Database_Productkaarten[#All],18,FALSE),0)*Optimalisatie!J37)),0)</f>
        <v>0</v>
      </c>
      <c r="M140" s="91">
        <f>(IF(Optimalisatie!C37="Bestaande Situatie",_xlfn.IFNA(VLOOKUP(Optimalisatie!AF37,Database_Transport[#All],12,FALSE)*(Optimalisatie!R37*Optimalisatie!AE37),Baseline_Backlog!M140),0))</f>
        <v>0</v>
      </c>
      <c r="N140" s="91">
        <f>(IF(Optimalisatie!C37="Bestaande Situatie",_xlfn.IFNA(VLOOKUP(Optimalisatie!AG37,Database_Asfalt_Verwerkingsset[#All],12,FALSE)*(Optimalisatie!J37/VLOOKUP(Optimalisatie!AG37,Database_Asfalt_Verwerkingsset[#All],12,FALSE)),Baseline_Backlog!N140),0))</f>
        <v>0</v>
      </c>
      <c r="O140" s="91">
        <f>(IF(Optimalisatie!C37="Bestaande Situatie",_xlfn.IFNA(VLOOKUP(Inschrijf_CO2_Totaal[[#This Row],[Product]]&amp;", "&amp;Inschrijf_CO2_Totaal[[#Headers],[C4]],Database_Productkaarten[#All],18,FALSE)*Optimalisatie!J37,Baseline_Backlog!O140),0))</f>
        <v>0</v>
      </c>
      <c r="P140" s="91">
        <f>(IF(Optimalisatie!C37="Bestaande Situatie",_xlfn.IFNA(IF(Optimalisatie!E37="Categorie_1_LCA_Producten",VLOOKUP(Inschrijf_CO2_Totaal[[#This Row],[Product]],Categorie_1_Producten[#All],18,FALSE)*(Optimalisatie!J37),VLOOKUP(Inschrijf_CO2_Totaal[[#This Row],[Product]]&amp;", "&amp;Inschrijf_CO2_Totaal[[#Headers],[D1]],Database_Productkaarten[#All],18,FALSE)*Optimalisatie!J37),Baseline_Backlog!P140),0))</f>
        <v>0</v>
      </c>
      <c r="Q140" s="91">
        <f>(IF(Optimalisatie!C37="Bestaande Situatie",_xlfn.IFNA(IF(Optimalisatie!E37="Categorie_1_LCA_Producten",VLOOKUP(Inschrijf_CO2_Totaal[[#This Row],[Product]],Categorie_1_Producten[#All],19,FALSE)*(Optimalisatie!J37),VLOOKUP(Inschrijf_CO2_Totaal[[#This Row],[Product]]&amp;", "&amp;Inschrijf_CO2_Totaal[[#Headers],[D2]],Database_Productkaarten[#All],18,FALSE)*Optimalisatie!J37),Baseline_Backlog!Q140),0))</f>
        <v>0</v>
      </c>
      <c r="R140" s="91">
        <f>(IF(Optimalisatie!C37="Bestaande Situatie",_xlfn.IFNA(IF(Optimalisatie!E37="Categorie_1_LCA_Producten",VLOOKUP(Inschrijf_CO2_Totaal[[#This Row],[Product]],Categorie_1_Producten[#All],21,FALSE)*(Optimalisatie!J37),VLOOKUP(Inschrijf_CO2_Totaal[[#This Row],[Product]]&amp;", "&amp;Inschrijf_CO2_Totaal[[#Headers],[D]],Database_Productkaarten[#All],18,FALSE)*Optimalisatie!J37),Baseline_Backlog!S140),0))</f>
        <v>0</v>
      </c>
      <c r="S140" s="91">
        <f>SUM(Inschrijf_CO2_Totaal[[#This Row],[A1-A3]:[C4]])+Inschrijf_CO2_Totaal[[#This Row],[D]]</f>
        <v>81847.650236172893</v>
      </c>
    </row>
    <row r="141" spans="2:19">
      <c r="B141" s="208" t="str">
        <f>Optimalisatie!B38</f>
        <v>440070 - Aanbrengen straatbakstenen DF, Geel (trottoir)</v>
      </c>
      <c r="C141" s="1" t="str">
        <f>Optimalisatie!F38</f>
        <v>Baksteen</v>
      </c>
      <c r="D141" s="91">
        <f>(IF(Optimalisatie!C38="Nieuwe Situatie",_xlfn.IFNA(IF(Optimalisatie!E38="Categorie_1_LCA_Producten",VLOOKUP(Inschrijf_CO2_Totaal[[#This Row],[Product]],Categorie_1_Producten[#All],14,FALSE)*(Optimalisatie!J38),VLOOKUP(Inschrijf_CO2_Totaal[[#This Row],[Product]]&amp;", "&amp;Inschrijf_CO2_Totaal[[#Headers],[A1]],Database_Productkaarten[#All],18,FALSE)*Optimalisatie!J38),Baseline_Backlog!D141),0))</f>
        <v>0</v>
      </c>
      <c r="E141" s="91">
        <f>(IF(Optimalisatie!C38="Nieuwe Situatie",_xlfn.IFNA(IF(Optimalisatie!E38="Categorie_1_LCA_Producten",VLOOKUP(Inschrijf_CO2_Totaal[[#This Row],[Product]],Categorie_1_Producten[#All],15,FALSE)*(Optimalisatie!J38),VLOOKUP(Inschrijf_CO2_Totaal[[#This Row],[Product]]&amp;", "&amp;Inschrijf_CO2_Totaal[[#Headers],[A2]],Database_Productkaarten[#All],18,FALSE)*Optimalisatie!J38),Baseline_Backlog!E141),0))</f>
        <v>0</v>
      </c>
      <c r="F141" s="91">
        <f>(IF(Optimalisatie!C38="Nieuwe Situatie",_xlfn.IFNA(IF(Optimalisatie!E38="Categorie_1_LCA_Producten",VLOOKUP(Inschrijf_CO2_Totaal[[#This Row],[Product]],Categorie_1_Producten[#All],16,FALSE)*(Optimalisatie!J38),VLOOKUP(Inschrijf_CO2_Totaal[[#This Row],[Product]]&amp;", "&amp;Inschrijf_CO2_Totaal[[#Headers],[A3]],Database_Productkaarten[#All],18,FALSE)*Optimalisatie!J38),Baseline_Backlog!F141),0))</f>
        <v>0</v>
      </c>
      <c r="G141" s="91">
        <f>(IF(Optimalisatie!C38="Nieuwe Situatie",_xlfn.IFNA(IF(Optimalisatie!E38="Categorie_1_LCA_Producten",VLOOKUP(Inschrijf_CO2_Totaal[[#This Row],[Product]],Categorie_1_Producten[#All],19,FALSE)*(Optimalisatie!J38),VLOOKUP(Inschrijf_CO2_Totaal[[#This Row],[Product]]&amp;", "&amp;Inschrijf_CO2_Totaal[[#Headers],[A1-A3]],Database_Productkaarten[#All],18,FALSE)*Optimalisatie!J38),Baseline_Backlog!G141),0))</f>
        <v>14375</v>
      </c>
      <c r="H141" s="91">
        <f>(IF(Optimalisatie!C38="Nieuwe Situatie",_xlfn.IFNA(VLOOKUP(Optimalisatie!V38,Database_Transport[#All],12,FALSE)*(Optimalisatie!R38*Optimalisatie!U38),Baseline_Backlog!H141),0))</f>
        <v>598.06378911999991</v>
      </c>
      <c r="I141" s="91">
        <f>IF(Optimalisatie!C38="Nieuwe situatie",IF(_xlfn.IFNA((VLOOKUP(Optimalisatie!W38,Database_Asfalt_Aanlegset[#All],12,FALSE)*Optimalisatie!J38),0)+_xlfn.IFNA(VLOOKUP(Optimalisatie!X38,Database_Brandstoffen[#All],12,FALSE)*((Optimalisatie!J38/Optimalisatie!Z38)*Optimalisatie!Y38),0)&gt;0,_xlfn.IFNA((VLOOKUP(Optimalisatie!W38,Database_Asfalt_Aanlegset[#All],12,FALSE)*Optimalisatie!J38),0)+_xlfn.IFNA(VLOOKUP(Optimalisatie!X38,Database_Brandstoffen[#All],12,FALSE)*((Optimalisatie!J38/Optimalisatie!Z38)*Optimalisatie!Y38),0),(_xlfn.IFNA(VLOOKUP(Inschrijf_CO2_Totaal[[#This Row],[Product]]&amp;", "&amp;Inschrijf_MKI_Totaal[[#Headers],[A5]],Database_Productkaarten[#All],18,FALSE),0)*Optimalisatie!J38)),0)</f>
        <v>6467.6646326564996</v>
      </c>
      <c r="J141" s="91">
        <f>(IF(Optimalisatie!C38="Nieuwe Situatie",_xlfn.IFNA(IF(Optimalisatie!E38="Categorie_1_LCA_Producten",VLOOKUP(Inschrijf_CO2_Totaal[[#This Row],[Product]],Categorie_1_Producten[#All],20,FALSE)*(Optimalisatie!R38),VLOOKUP(Inschrijf_CO2_Totaal[[#This Row],[Product]]&amp;", "&amp;Inschrijf_CO2_Totaal[[#Headers],[B1]],Database_Productkaarten[#All],18,FALSE)*Optimalisatie!J38),Baseline_Backlog!J141),0))</f>
        <v>0</v>
      </c>
      <c r="K141" s="91">
        <f>(IF(Optimalisatie!C38="Nieuwe Situatie",_xlfn.IFNA(SUM(Inschrijf_CO2_Totaal[[#This Row],[A1]:[B1]],Inschrijf_CO2_Totaal[[#This Row],[C1]:[D2]])*Optimalisatie!T38,0),0))</f>
        <v>0</v>
      </c>
      <c r="L141" s="91">
        <f>IF(Optimalisatie!C38="Bestaande situatie",IF(_xlfn.IFNA((VLOOKUP(Optimalisatie!AA38,Database_Asfalt_Verwijderset[#All],12,FALSE)*Optimalisatie!J38),0)+_xlfn.IFNA(VLOOKUP(Optimalisatie!AB38,Database_Brandstoffen[#All],12,FALSE)*((Optimalisatie!J38/Optimalisatie!AD38)*Optimalisatie!AC38),0)&gt;0,_xlfn.IFNA((VLOOKUP(Optimalisatie!AA38,Database_Asfalt_Verwijderset[#All],12,FALSE)*Optimalisatie!J38),0)+_xlfn.IFNA(VLOOKUP(Optimalisatie!AB38,Database_Brandstoffen[#All],12,FALSE)*((Optimalisatie!J38/Optimalisatie!AD38)*Optimalisatie!AC38),0),(_xlfn.IFNA(VLOOKUP(Inschrijf_CO2_Totaal[[#This Row],[Product]]&amp;", "&amp;Inschrijf_MKI_Totaal[[#Headers],[C1]],Database_Productkaarten[#All],18,FALSE),0)*Optimalisatie!J38)),0)</f>
        <v>0</v>
      </c>
      <c r="M141" s="91">
        <f>(IF(Optimalisatie!C38="Bestaande Situatie",_xlfn.IFNA(VLOOKUP(Optimalisatie!AF38,Database_Transport[#All],12,FALSE)*(Optimalisatie!R38*Optimalisatie!AE38),Baseline_Backlog!M141),0))</f>
        <v>0</v>
      </c>
      <c r="N141" s="91">
        <f>(IF(Optimalisatie!C38="Bestaande Situatie",_xlfn.IFNA(VLOOKUP(Optimalisatie!AG38,Database_Asfalt_Verwerkingsset[#All],12,FALSE)*(Optimalisatie!J38/VLOOKUP(Optimalisatie!AG38,Database_Asfalt_Verwerkingsset[#All],12,FALSE)),Baseline_Backlog!N141),0))</f>
        <v>0</v>
      </c>
      <c r="O141" s="91">
        <f>(IF(Optimalisatie!C38="Bestaande Situatie",_xlfn.IFNA(VLOOKUP(Inschrijf_CO2_Totaal[[#This Row],[Product]]&amp;", "&amp;Inschrijf_CO2_Totaal[[#Headers],[C4]],Database_Productkaarten[#All],18,FALSE)*Optimalisatie!J38,Baseline_Backlog!O141),0))</f>
        <v>0</v>
      </c>
      <c r="P141" s="91">
        <f>(IF(Optimalisatie!C38="Bestaande Situatie",_xlfn.IFNA(IF(Optimalisatie!E38="Categorie_1_LCA_Producten",VLOOKUP(Inschrijf_CO2_Totaal[[#This Row],[Product]],Categorie_1_Producten[#All],18,FALSE)*(Optimalisatie!J38),VLOOKUP(Inschrijf_CO2_Totaal[[#This Row],[Product]]&amp;", "&amp;Inschrijf_CO2_Totaal[[#Headers],[D1]],Database_Productkaarten[#All],18,FALSE)*Optimalisatie!J38),Baseline_Backlog!P141),0))</f>
        <v>0</v>
      </c>
      <c r="Q141" s="91">
        <f>(IF(Optimalisatie!C38="Bestaande Situatie",_xlfn.IFNA(IF(Optimalisatie!E38="Categorie_1_LCA_Producten",VLOOKUP(Inschrijf_CO2_Totaal[[#This Row],[Product]],Categorie_1_Producten[#All],19,FALSE)*(Optimalisatie!J38),VLOOKUP(Inschrijf_CO2_Totaal[[#This Row],[Product]]&amp;", "&amp;Inschrijf_CO2_Totaal[[#Headers],[D2]],Database_Productkaarten[#All],18,FALSE)*Optimalisatie!J38),Baseline_Backlog!Q141),0))</f>
        <v>0</v>
      </c>
      <c r="R141" s="91">
        <f>(IF(Optimalisatie!C38="Bestaande Situatie",_xlfn.IFNA(IF(Optimalisatie!E38="Categorie_1_LCA_Producten",VLOOKUP(Inschrijf_CO2_Totaal[[#This Row],[Product]],Categorie_1_Producten[#All],21,FALSE)*(Optimalisatie!J38),VLOOKUP(Inschrijf_CO2_Totaal[[#This Row],[Product]]&amp;", "&amp;Inschrijf_CO2_Totaal[[#Headers],[D]],Database_Productkaarten[#All],18,FALSE)*Optimalisatie!J38),Baseline_Backlog!S141),0))</f>
        <v>0</v>
      </c>
      <c r="S141" s="91">
        <f>SUM(Inschrijf_CO2_Totaal[[#This Row],[A1-A3]:[C4]])+Inschrijf_CO2_Totaal[[#This Row],[D]]</f>
        <v>21440.728421776501</v>
      </c>
    </row>
    <row r="142" spans="2:19">
      <c r="B142" s="208" t="str">
        <f>Optimalisatie!B39</f>
        <v>440090 - Aanbrengen straatbakstenen DF, Rood (drempelopgang)</v>
      </c>
      <c r="C142" s="1" t="str">
        <f>Optimalisatie!F39</f>
        <v>Baksteen</v>
      </c>
      <c r="D142" s="91">
        <f>(IF(Optimalisatie!C39="Nieuwe Situatie",_xlfn.IFNA(IF(Optimalisatie!E39="Categorie_1_LCA_Producten",VLOOKUP(Inschrijf_CO2_Totaal[[#This Row],[Product]],Categorie_1_Producten[#All],14,FALSE)*(Optimalisatie!J39),VLOOKUP(Inschrijf_CO2_Totaal[[#This Row],[Product]]&amp;", "&amp;Inschrijf_CO2_Totaal[[#Headers],[A1]],Database_Productkaarten[#All],18,FALSE)*Optimalisatie!J39),Baseline_Backlog!D142),0))</f>
        <v>0</v>
      </c>
      <c r="E142" s="91">
        <f>(IF(Optimalisatie!C39="Nieuwe Situatie",_xlfn.IFNA(IF(Optimalisatie!E39="Categorie_1_LCA_Producten",VLOOKUP(Inschrijf_CO2_Totaal[[#This Row],[Product]],Categorie_1_Producten[#All],15,FALSE)*(Optimalisatie!J39),VLOOKUP(Inschrijf_CO2_Totaal[[#This Row],[Product]]&amp;", "&amp;Inschrijf_CO2_Totaal[[#Headers],[A2]],Database_Productkaarten[#All],18,FALSE)*Optimalisatie!J39),Baseline_Backlog!E142),0))</f>
        <v>0</v>
      </c>
      <c r="F142" s="91">
        <f>(IF(Optimalisatie!C39="Nieuwe Situatie",_xlfn.IFNA(IF(Optimalisatie!E39="Categorie_1_LCA_Producten",VLOOKUP(Inschrijf_CO2_Totaal[[#This Row],[Product]],Categorie_1_Producten[#All],16,FALSE)*(Optimalisatie!J39),VLOOKUP(Inschrijf_CO2_Totaal[[#This Row],[Product]]&amp;", "&amp;Inschrijf_CO2_Totaal[[#Headers],[A3]],Database_Productkaarten[#All],18,FALSE)*Optimalisatie!J39),Baseline_Backlog!F142),0))</f>
        <v>0</v>
      </c>
      <c r="G142" s="91">
        <f>(IF(Optimalisatie!C39="Nieuwe Situatie",_xlfn.IFNA(IF(Optimalisatie!E39="Categorie_1_LCA_Producten",VLOOKUP(Inschrijf_CO2_Totaal[[#This Row],[Product]],Categorie_1_Producten[#All],19,FALSE)*(Optimalisatie!J39),VLOOKUP(Inschrijf_CO2_Totaal[[#This Row],[Product]]&amp;", "&amp;Inschrijf_CO2_Totaal[[#Headers],[A1-A3]],Database_Productkaarten[#All],18,FALSE)*Optimalisatie!J39),Baseline_Backlog!G142),0))</f>
        <v>2812.5</v>
      </c>
      <c r="H142" s="91">
        <f>(IF(Optimalisatie!C39="Nieuwe Situatie",_xlfn.IFNA(VLOOKUP(Optimalisatie!V39,Database_Transport[#All],12,FALSE)*(Optimalisatie!R39*Optimalisatie!U39),Baseline_Backlog!H142),0))</f>
        <v>117.01248047999999</v>
      </c>
      <c r="I142" s="91">
        <f>IF(Optimalisatie!C39="Nieuwe situatie",IF(_xlfn.IFNA((VLOOKUP(Optimalisatie!W39,Database_Asfalt_Aanlegset[#All],12,FALSE)*Optimalisatie!J39),0)+_xlfn.IFNA(VLOOKUP(Optimalisatie!X39,Database_Brandstoffen[#All],12,FALSE)*((Optimalisatie!J39/Optimalisatie!Z39)*Optimalisatie!Y39),0)&gt;0,_xlfn.IFNA((VLOOKUP(Optimalisatie!W39,Database_Asfalt_Aanlegset[#All],12,FALSE)*Optimalisatie!J39),0)+_xlfn.IFNA(VLOOKUP(Optimalisatie!X39,Database_Brandstoffen[#All],12,FALSE)*((Optimalisatie!J39/Optimalisatie!Z39)*Optimalisatie!Y39),0),(_xlfn.IFNA(VLOOKUP(Inschrijf_CO2_Totaal[[#This Row],[Product]]&amp;", "&amp;Inschrijf_MKI_Totaal[[#Headers],[A5]],Database_Productkaarten[#All],18,FALSE),0)*Optimalisatie!J39)),0)</f>
        <v>1265.41264551975</v>
      </c>
      <c r="J142" s="91">
        <f>(IF(Optimalisatie!C39="Nieuwe Situatie",_xlfn.IFNA(IF(Optimalisatie!E39="Categorie_1_LCA_Producten",VLOOKUP(Inschrijf_CO2_Totaal[[#This Row],[Product]],Categorie_1_Producten[#All],20,FALSE)*(Optimalisatie!R39),VLOOKUP(Inschrijf_CO2_Totaal[[#This Row],[Product]]&amp;", "&amp;Inschrijf_CO2_Totaal[[#Headers],[B1]],Database_Productkaarten[#All],18,FALSE)*Optimalisatie!J39),Baseline_Backlog!J142),0))</f>
        <v>0</v>
      </c>
      <c r="K142" s="91">
        <f>(IF(Optimalisatie!C39="Nieuwe Situatie",_xlfn.IFNA(SUM(Inschrijf_CO2_Totaal[[#This Row],[A1]:[B1]],Inschrijf_CO2_Totaal[[#This Row],[C1]:[D2]])*Optimalisatie!T39,0),0))</f>
        <v>0</v>
      </c>
      <c r="L142" s="91">
        <f>IF(Optimalisatie!C39="Bestaande situatie",IF(_xlfn.IFNA((VLOOKUP(Optimalisatie!AA39,Database_Asfalt_Verwijderset[#All],12,FALSE)*Optimalisatie!J39),0)+_xlfn.IFNA(VLOOKUP(Optimalisatie!AB39,Database_Brandstoffen[#All],12,FALSE)*((Optimalisatie!J39/Optimalisatie!AD39)*Optimalisatie!AC39),0)&gt;0,_xlfn.IFNA((VLOOKUP(Optimalisatie!AA39,Database_Asfalt_Verwijderset[#All],12,FALSE)*Optimalisatie!J39),0)+_xlfn.IFNA(VLOOKUP(Optimalisatie!AB39,Database_Brandstoffen[#All],12,FALSE)*((Optimalisatie!J39/Optimalisatie!AD39)*Optimalisatie!AC39),0),(_xlfn.IFNA(VLOOKUP(Inschrijf_CO2_Totaal[[#This Row],[Product]]&amp;", "&amp;Inschrijf_MKI_Totaal[[#Headers],[C1]],Database_Productkaarten[#All],18,FALSE),0)*Optimalisatie!J39)),0)</f>
        <v>0</v>
      </c>
      <c r="M142" s="91">
        <f>(IF(Optimalisatie!C39="Bestaande Situatie",_xlfn.IFNA(VLOOKUP(Optimalisatie!AF39,Database_Transport[#All],12,FALSE)*(Optimalisatie!R39*Optimalisatie!AE39),Baseline_Backlog!M142),0))</f>
        <v>0</v>
      </c>
      <c r="N142" s="91">
        <f>(IF(Optimalisatie!C39="Bestaande Situatie",_xlfn.IFNA(VLOOKUP(Optimalisatie!AG39,Database_Asfalt_Verwerkingsset[#All],12,FALSE)*(Optimalisatie!J39/VLOOKUP(Optimalisatie!AG39,Database_Asfalt_Verwerkingsset[#All],12,FALSE)),Baseline_Backlog!N142),0))</f>
        <v>0</v>
      </c>
      <c r="O142" s="91">
        <f>(IF(Optimalisatie!C39="Bestaande Situatie",_xlfn.IFNA(VLOOKUP(Inschrijf_CO2_Totaal[[#This Row],[Product]]&amp;", "&amp;Inschrijf_CO2_Totaal[[#Headers],[C4]],Database_Productkaarten[#All],18,FALSE)*Optimalisatie!J39,Baseline_Backlog!O142),0))</f>
        <v>0</v>
      </c>
      <c r="P142" s="91">
        <f>(IF(Optimalisatie!C39="Bestaande Situatie",_xlfn.IFNA(IF(Optimalisatie!E39="Categorie_1_LCA_Producten",VLOOKUP(Inschrijf_CO2_Totaal[[#This Row],[Product]],Categorie_1_Producten[#All],18,FALSE)*(Optimalisatie!J39),VLOOKUP(Inschrijf_CO2_Totaal[[#This Row],[Product]]&amp;", "&amp;Inschrijf_CO2_Totaal[[#Headers],[D1]],Database_Productkaarten[#All],18,FALSE)*Optimalisatie!J39),Baseline_Backlog!P142),0))</f>
        <v>0</v>
      </c>
      <c r="Q142" s="91">
        <f>(IF(Optimalisatie!C39="Bestaande Situatie",_xlfn.IFNA(IF(Optimalisatie!E39="Categorie_1_LCA_Producten",VLOOKUP(Inschrijf_CO2_Totaal[[#This Row],[Product]],Categorie_1_Producten[#All],19,FALSE)*(Optimalisatie!J39),VLOOKUP(Inschrijf_CO2_Totaal[[#This Row],[Product]]&amp;", "&amp;Inschrijf_CO2_Totaal[[#Headers],[D2]],Database_Productkaarten[#All],18,FALSE)*Optimalisatie!J39),Baseline_Backlog!Q142),0))</f>
        <v>0</v>
      </c>
      <c r="R142" s="91">
        <f>(IF(Optimalisatie!C39="Bestaande Situatie",_xlfn.IFNA(IF(Optimalisatie!E39="Categorie_1_LCA_Producten",VLOOKUP(Inschrijf_CO2_Totaal[[#This Row],[Product]],Categorie_1_Producten[#All],21,FALSE)*(Optimalisatie!J39),VLOOKUP(Inschrijf_CO2_Totaal[[#This Row],[Product]]&amp;", "&amp;Inschrijf_CO2_Totaal[[#Headers],[D]],Database_Productkaarten[#All],18,FALSE)*Optimalisatie!J39),Baseline_Backlog!S142),0))</f>
        <v>0</v>
      </c>
      <c r="S142" s="91">
        <f>SUM(Inschrijf_CO2_Totaal[[#This Row],[A1-A3]:[C4]])+Inschrijf_CO2_Totaal[[#This Row],[D]]</f>
        <v>4194.92512599975</v>
      </c>
    </row>
    <row r="143" spans="2:19">
      <c r="B143" s="208">
        <f>Optimalisatie!B40</f>
        <v>0</v>
      </c>
      <c r="C143" s="1">
        <f>Optimalisatie!F40</f>
        <v>0</v>
      </c>
      <c r="D143" s="91">
        <f>(IF(Optimalisatie!C40="Nieuwe Situatie",_xlfn.IFNA(IF(Optimalisatie!E40="Categorie_1_LCA_Producten",VLOOKUP(Inschrijf_CO2_Totaal[[#This Row],[Product]],Categorie_1_Producten[#All],14,FALSE)*(Optimalisatie!J40),VLOOKUP(Inschrijf_CO2_Totaal[[#This Row],[Product]]&amp;", "&amp;Inschrijf_CO2_Totaal[[#Headers],[A1]],Database_Productkaarten[#All],18,FALSE)*Optimalisatie!J40),Baseline_Backlog!D143),0))</f>
        <v>0</v>
      </c>
      <c r="E143" s="91">
        <f>(IF(Optimalisatie!C40="Nieuwe Situatie",_xlfn.IFNA(IF(Optimalisatie!E40="Categorie_1_LCA_Producten",VLOOKUP(Inschrijf_CO2_Totaal[[#This Row],[Product]],Categorie_1_Producten[#All],15,FALSE)*(Optimalisatie!J40),VLOOKUP(Inschrijf_CO2_Totaal[[#This Row],[Product]]&amp;", "&amp;Inschrijf_CO2_Totaal[[#Headers],[A2]],Database_Productkaarten[#All],18,FALSE)*Optimalisatie!J40),Baseline_Backlog!E143),0))</f>
        <v>0</v>
      </c>
      <c r="F143" s="91">
        <f>(IF(Optimalisatie!C40="Nieuwe Situatie",_xlfn.IFNA(IF(Optimalisatie!E40="Categorie_1_LCA_Producten",VLOOKUP(Inschrijf_CO2_Totaal[[#This Row],[Product]],Categorie_1_Producten[#All],16,FALSE)*(Optimalisatie!J40),VLOOKUP(Inschrijf_CO2_Totaal[[#This Row],[Product]]&amp;", "&amp;Inschrijf_CO2_Totaal[[#Headers],[A3]],Database_Productkaarten[#All],18,FALSE)*Optimalisatie!J40),Baseline_Backlog!F143),0))</f>
        <v>0</v>
      </c>
      <c r="G143" s="91">
        <f>(IF(Optimalisatie!C40="Nieuwe Situatie",_xlfn.IFNA(IF(Optimalisatie!E40="Categorie_1_LCA_Producten",VLOOKUP(Inschrijf_CO2_Totaal[[#This Row],[Product]],Categorie_1_Producten[#All],19,FALSE)*(Optimalisatie!J40),VLOOKUP(Inschrijf_CO2_Totaal[[#This Row],[Product]]&amp;", "&amp;Inschrijf_CO2_Totaal[[#Headers],[A1-A3]],Database_Productkaarten[#All],18,FALSE)*Optimalisatie!J40),Baseline_Backlog!G143),0))</f>
        <v>0</v>
      </c>
      <c r="H143" s="91">
        <f>(IF(Optimalisatie!C40="Nieuwe Situatie",_xlfn.IFNA(VLOOKUP(Optimalisatie!V40,Database_Transport[#All],12,FALSE)*(Optimalisatie!R40*Optimalisatie!U40),Baseline_Backlog!H143),0))</f>
        <v>0</v>
      </c>
      <c r="I143" s="91">
        <f>IF(Optimalisatie!C40="Nieuwe situatie",IF(_xlfn.IFNA((VLOOKUP(Optimalisatie!W40,Database_Asfalt_Aanlegset[#All],12,FALSE)*Optimalisatie!J40),0)+_xlfn.IFNA(VLOOKUP(Optimalisatie!X40,Database_Brandstoffen[#All],12,FALSE)*((Optimalisatie!J40/Optimalisatie!Z40)*Optimalisatie!Y40),0)&gt;0,_xlfn.IFNA((VLOOKUP(Optimalisatie!W40,Database_Asfalt_Aanlegset[#All],12,FALSE)*Optimalisatie!J40),0)+_xlfn.IFNA(VLOOKUP(Optimalisatie!X40,Database_Brandstoffen[#All],12,FALSE)*((Optimalisatie!J40/Optimalisatie!Z40)*Optimalisatie!Y40),0),(_xlfn.IFNA(VLOOKUP(Inschrijf_CO2_Totaal[[#This Row],[Product]]&amp;", "&amp;Inschrijf_MKI_Totaal[[#Headers],[A5]],Database_Productkaarten[#All],18,FALSE),0)*Optimalisatie!J40)),0)</f>
        <v>0</v>
      </c>
      <c r="J143" s="91">
        <f>(IF(Optimalisatie!C40="Nieuwe Situatie",_xlfn.IFNA(IF(Optimalisatie!E40="Categorie_1_LCA_Producten",VLOOKUP(Inschrijf_CO2_Totaal[[#This Row],[Product]],Categorie_1_Producten[#All],20,FALSE)*(Optimalisatie!R40),VLOOKUP(Inschrijf_CO2_Totaal[[#This Row],[Product]]&amp;", "&amp;Inschrijf_CO2_Totaal[[#Headers],[B1]],Database_Productkaarten[#All],18,FALSE)*Optimalisatie!J40),Baseline_Backlog!J143),0))</f>
        <v>0</v>
      </c>
      <c r="K143" s="91">
        <f>(IF(Optimalisatie!C40="Nieuwe Situatie",_xlfn.IFNA(SUM(Inschrijf_CO2_Totaal[[#This Row],[A1]:[B1]],Inschrijf_CO2_Totaal[[#This Row],[C1]:[D2]])*Optimalisatie!T40,0),0))</f>
        <v>0</v>
      </c>
      <c r="L143" s="91">
        <f>IF(Optimalisatie!C40="Bestaande situatie",IF(_xlfn.IFNA((VLOOKUP(Optimalisatie!AA40,Database_Asfalt_Verwijderset[#All],12,FALSE)*Optimalisatie!J40),0)+_xlfn.IFNA(VLOOKUP(Optimalisatie!AB40,Database_Brandstoffen[#All],12,FALSE)*((Optimalisatie!J40/Optimalisatie!AD40)*Optimalisatie!AC40),0)&gt;0,_xlfn.IFNA((VLOOKUP(Optimalisatie!AA40,Database_Asfalt_Verwijderset[#All],12,FALSE)*Optimalisatie!J40),0)+_xlfn.IFNA(VLOOKUP(Optimalisatie!AB40,Database_Brandstoffen[#All],12,FALSE)*((Optimalisatie!J40/Optimalisatie!AD40)*Optimalisatie!AC40),0),(_xlfn.IFNA(VLOOKUP(Inschrijf_CO2_Totaal[[#This Row],[Product]]&amp;", "&amp;Inschrijf_MKI_Totaal[[#Headers],[C1]],Database_Productkaarten[#All],18,FALSE),0)*Optimalisatie!J40)),0)</f>
        <v>0</v>
      </c>
      <c r="M143" s="91">
        <f>(IF(Optimalisatie!C40="Bestaande Situatie",_xlfn.IFNA(VLOOKUP(Optimalisatie!AF40,Database_Transport[#All],12,FALSE)*(Optimalisatie!R40*Optimalisatie!AE40),Baseline_Backlog!M143),0))</f>
        <v>0</v>
      </c>
      <c r="N143" s="91">
        <f>(IF(Optimalisatie!C40="Bestaande Situatie",_xlfn.IFNA(VLOOKUP(Optimalisatie!AG40,Database_Asfalt_Verwerkingsset[#All],12,FALSE)*(Optimalisatie!J40/VLOOKUP(Optimalisatie!AG40,Database_Asfalt_Verwerkingsset[#All],12,FALSE)),Baseline_Backlog!N143),0))</f>
        <v>0</v>
      </c>
      <c r="O143" s="91">
        <f>(IF(Optimalisatie!C40="Bestaande Situatie",_xlfn.IFNA(VLOOKUP(Inschrijf_CO2_Totaal[[#This Row],[Product]]&amp;", "&amp;Inschrijf_CO2_Totaal[[#Headers],[C4]],Database_Productkaarten[#All],18,FALSE)*Optimalisatie!J40,Baseline_Backlog!O143),0))</f>
        <v>0</v>
      </c>
      <c r="P143" s="91">
        <f>(IF(Optimalisatie!C40="Bestaande Situatie",_xlfn.IFNA(IF(Optimalisatie!E40="Categorie_1_LCA_Producten",VLOOKUP(Inschrijf_CO2_Totaal[[#This Row],[Product]],Categorie_1_Producten[#All],18,FALSE)*(Optimalisatie!J40),VLOOKUP(Inschrijf_CO2_Totaal[[#This Row],[Product]]&amp;", "&amp;Inschrijf_CO2_Totaal[[#Headers],[D1]],Database_Productkaarten[#All],18,FALSE)*Optimalisatie!J40),Baseline_Backlog!P143),0))</f>
        <v>0</v>
      </c>
      <c r="Q143" s="91">
        <f>(IF(Optimalisatie!C40="Bestaande Situatie",_xlfn.IFNA(IF(Optimalisatie!E40="Categorie_1_LCA_Producten",VLOOKUP(Inschrijf_CO2_Totaal[[#This Row],[Product]],Categorie_1_Producten[#All],19,FALSE)*(Optimalisatie!J40),VLOOKUP(Inschrijf_CO2_Totaal[[#This Row],[Product]]&amp;", "&amp;Inschrijf_CO2_Totaal[[#Headers],[D2]],Database_Productkaarten[#All],18,FALSE)*Optimalisatie!J40),Baseline_Backlog!Q143),0))</f>
        <v>0</v>
      </c>
      <c r="R143" s="91">
        <f>(IF(Optimalisatie!C40="Bestaande Situatie",_xlfn.IFNA(IF(Optimalisatie!E40="Categorie_1_LCA_Producten",VLOOKUP(Inschrijf_CO2_Totaal[[#This Row],[Product]],Categorie_1_Producten[#All],21,FALSE)*(Optimalisatie!J40),VLOOKUP(Inschrijf_CO2_Totaal[[#This Row],[Product]]&amp;", "&amp;Inschrijf_CO2_Totaal[[#Headers],[D]],Database_Productkaarten[#All],18,FALSE)*Optimalisatie!J40),Baseline_Backlog!S143),0))</f>
        <v>0</v>
      </c>
      <c r="S143" s="91">
        <f>SUM(Inschrijf_CO2_Totaal[[#This Row],[A1-A3]:[C4]])+Inschrijf_CO2_Totaal[[#This Row],[D]]</f>
        <v>0</v>
      </c>
    </row>
    <row r="144" spans="2:19">
      <c r="B144" s="208">
        <f>Optimalisatie!B41</f>
        <v>0</v>
      </c>
      <c r="C144" s="1">
        <f>Optimalisatie!F41</f>
        <v>0</v>
      </c>
      <c r="D144" s="91">
        <f>(IF(Optimalisatie!C41="Nieuwe Situatie",_xlfn.IFNA(IF(Optimalisatie!E41="Categorie_1_LCA_Producten",VLOOKUP(Inschrijf_CO2_Totaal[[#This Row],[Product]],Categorie_1_Producten[#All],14,FALSE)*(Optimalisatie!J41),VLOOKUP(Inschrijf_CO2_Totaal[[#This Row],[Product]]&amp;", "&amp;Inschrijf_CO2_Totaal[[#Headers],[A1]],Database_Productkaarten[#All],18,FALSE)*Optimalisatie!J41),Baseline_Backlog!D144),0))</f>
        <v>0</v>
      </c>
      <c r="E144" s="91">
        <f>(IF(Optimalisatie!C41="Nieuwe Situatie",_xlfn.IFNA(IF(Optimalisatie!E41="Categorie_1_LCA_Producten",VLOOKUP(Inschrijf_CO2_Totaal[[#This Row],[Product]],Categorie_1_Producten[#All],15,FALSE)*(Optimalisatie!J41),VLOOKUP(Inschrijf_CO2_Totaal[[#This Row],[Product]]&amp;", "&amp;Inschrijf_CO2_Totaal[[#Headers],[A2]],Database_Productkaarten[#All],18,FALSE)*Optimalisatie!J41),Baseline_Backlog!E144),0))</f>
        <v>0</v>
      </c>
      <c r="F144" s="91">
        <f>(IF(Optimalisatie!C41="Nieuwe Situatie",_xlfn.IFNA(IF(Optimalisatie!E41="Categorie_1_LCA_Producten",VLOOKUP(Inschrijf_CO2_Totaal[[#This Row],[Product]],Categorie_1_Producten[#All],16,FALSE)*(Optimalisatie!J41),VLOOKUP(Inschrijf_CO2_Totaal[[#This Row],[Product]]&amp;", "&amp;Inschrijf_CO2_Totaal[[#Headers],[A3]],Database_Productkaarten[#All],18,FALSE)*Optimalisatie!J41),Baseline_Backlog!F144),0))</f>
        <v>0</v>
      </c>
      <c r="G144" s="91">
        <f>(IF(Optimalisatie!C41="Nieuwe Situatie",_xlfn.IFNA(IF(Optimalisatie!E41="Categorie_1_LCA_Producten",VLOOKUP(Inschrijf_CO2_Totaal[[#This Row],[Product]],Categorie_1_Producten[#All],19,FALSE)*(Optimalisatie!J41),VLOOKUP(Inschrijf_CO2_Totaal[[#This Row],[Product]]&amp;", "&amp;Inschrijf_CO2_Totaal[[#Headers],[A1-A3]],Database_Productkaarten[#All],18,FALSE)*Optimalisatie!J41),Baseline_Backlog!G144),0))</f>
        <v>0</v>
      </c>
      <c r="H144" s="91">
        <f>(IF(Optimalisatie!C41="Nieuwe Situatie",_xlfn.IFNA(VLOOKUP(Optimalisatie!V41,Database_Transport[#All],12,FALSE)*(Optimalisatie!R41*Optimalisatie!U41),Baseline_Backlog!H144),0))</f>
        <v>0</v>
      </c>
      <c r="I144" s="91">
        <f>IF(Optimalisatie!C41="Nieuwe situatie",IF(_xlfn.IFNA((VLOOKUP(Optimalisatie!W41,Database_Asfalt_Aanlegset[#All],12,FALSE)*Optimalisatie!J41),0)+_xlfn.IFNA(VLOOKUP(Optimalisatie!X41,Database_Brandstoffen[#All],12,FALSE)*((Optimalisatie!J41/Optimalisatie!Z41)*Optimalisatie!Y41),0)&gt;0,_xlfn.IFNA((VLOOKUP(Optimalisatie!W41,Database_Asfalt_Aanlegset[#All],12,FALSE)*Optimalisatie!J41),0)+_xlfn.IFNA(VLOOKUP(Optimalisatie!X41,Database_Brandstoffen[#All],12,FALSE)*((Optimalisatie!J41/Optimalisatie!Z41)*Optimalisatie!Y41),0),(_xlfn.IFNA(VLOOKUP(Inschrijf_CO2_Totaal[[#This Row],[Product]]&amp;", "&amp;Inschrijf_MKI_Totaal[[#Headers],[A5]],Database_Productkaarten[#All],18,FALSE),0)*Optimalisatie!J41)),0)</f>
        <v>0</v>
      </c>
      <c r="J144" s="91">
        <f>(IF(Optimalisatie!C41="Nieuwe Situatie",_xlfn.IFNA(IF(Optimalisatie!E41="Categorie_1_LCA_Producten",VLOOKUP(Inschrijf_CO2_Totaal[[#This Row],[Product]],Categorie_1_Producten[#All],20,FALSE)*(Optimalisatie!R41),VLOOKUP(Inschrijf_CO2_Totaal[[#This Row],[Product]]&amp;", "&amp;Inschrijf_CO2_Totaal[[#Headers],[B1]],Database_Productkaarten[#All],18,FALSE)*Optimalisatie!J41),Baseline_Backlog!J144),0))</f>
        <v>0</v>
      </c>
      <c r="K144" s="91">
        <f>(IF(Optimalisatie!C41="Nieuwe Situatie",_xlfn.IFNA(SUM(Inschrijf_CO2_Totaal[[#This Row],[A1]:[B1]],Inschrijf_CO2_Totaal[[#This Row],[C1]:[D2]])*Optimalisatie!T41,0),0))</f>
        <v>0</v>
      </c>
      <c r="L144" s="91">
        <f>IF(Optimalisatie!C41="Bestaande situatie",IF(_xlfn.IFNA((VLOOKUP(Optimalisatie!AA41,Database_Asfalt_Verwijderset[#All],12,FALSE)*Optimalisatie!J41),0)+_xlfn.IFNA(VLOOKUP(Optimalisatie!AB41,Database_Brandstoffen[#All],12,FALSE)*((Optimalisatie!J41/Optimalisatie!AD41)*Optimalisatie!AC41),0)&gt;0,_xlfn.IFNA((VLOOKUP(Optimalisatie!AA41,Database_Asfalt_Verwijderset[#All],12,FALSE)*Optimalisatie!J41),0)+_xlfn.IFNA(VLOOKUP(Optimalisatie!AB41,Database_Brandstoffen[#All],12,FALSE)*((Optimalisatie!J41/Optimalisatie!AD41)*Optimalisatie!AC41),0),(_xlfn.IFNA(VLOOKUP(Inschrijf_CO2_Totaal[[#This Row],[Product]]&amp;", "&amp;Inschrijf_MKI_Totaal[[#Headers],[C1]],Database_Productkaarten[#All],18,FALSE),0)*Optimalisatie!J41)),0)</f>
        <v>0</v>
      </c>
      <c r="M144" s="91">
        <f>(IF(Optimalisatie!C41="Bestaande Situatie",_xlfn.IFNA(VLOOKUP(Optimalisatie!AF41,Database_Transport[#All],12,FALSE)*(Optimalisatie!R41*Optimalisatie!AE41),Baseline_Backlog!M144),0))</f>
        <v>0</v>
      </c>
      <c r="N144" s="91">
        <f>(IF(Optimalisatie!C41="Bestaande Situatie",_xlfn.IFNA(VLOOKUP(Optimalisatie!AG41,Database_Asfalt_Verwerkingsset[#All],12,FALSE)*(Optimalisatie!J41/VLOOKUP(Optimalisatie!AG41,Database_Asfalt_Verwerkingsset[#All],12,FALSE)),Baseline_Backlog!N144),0))</f>
        <v>0</v>
      </c>
      <c r="O144" s="91">
        <f>(IF(Optimalisatie!C41="Bestaande Situatie",_xlfn.IFNA(VLOOKUP(Inschrijf_CO2_Totaal[[#This Row],[Product]]&amp;", "&amp;Inschrijf_CO2_Totaal[[#Headers],[C4]],Database_Productkaarten[#All],18,FALSE)*Optimalisatie!J41,Baseline_Backlog!O144),0))</f>
        <v>0</v>
      </c>
      <c r="P144" s="91">
        <f>(IF(Optimalisatie!C41="Bestaande Situatie",_xlfn.IFNA(IF(Optimalisatie!E41="Categorie_1_LCA_Producten",VLOOKUP(Inschrijf_CO2_Totaal[[#This Row],[Product]],Categorie_1_Producten[#All],18,FALSE)*(Optimalisatie!J41),VLOOKUP(Inschrijf_CO2_Totaal[[#This Row],[Product]]&amp;", "&amp;Inschrijf_CO2_Totaal[[#Headers],[D1]],Database_Productkaarten[#All],18,FALSE)*Optimalisatie!J41),Baseline_Backlog!P144),0))</f>
        <v>0</v>
      </c>
      <c r="Q144" s="91">
        <f>(IF(Optimalisatie!C41="Bestaande Situatie",_xlfn.IFNA(IF(Optimalisatie!E41="Categorie_1_LCA_Producten",VLOOKUP(Inschrijf_CO2_Totaal[[#This Row],[Product]],Categorie_1_Producten[#All],19,FALSE)*(Optimalisatie!J41),VLOOKUP(Inschrijf_CO2_Totaal[[#This Row],[Product]]&amp;", "&amp;Inschrijf_CO2_Totaal[[#Headers],[D2]],Database_Productkaarten[#All],18,FALSE)*Optimalisatie!J41),Baseline_Backlog!Q144),0))</f>
        <v>0</v>
      </c>
      <c r="R144" s="91">
        <f>(IF(Optimalisatie!C41="Bestaande Situatie",_xlfn.IFNA(IF(Optimalisatie!E41="Categorie_1_LCA_Producten",VLOOKUP(Inschrijf_CO2_Totaal[[#This Row],[Product]],Categorie_1_Producten[#All],21,FALSE)*(Optimalisatie!J41),VLOOKUP(Inschrijf_CO2_Totaal[[#This Row],[Product]]&amp;", "&amp;Inschrijf_CO2_Totaal[[#Headers],[D]],Database_Productkaarten[#All],18,FALSE)*Optimalisatie!J41),Baseline_Backlog!S144),0))</f>
        <v>0</v>
      </c>
      <c r="S144" s="91">
        <f>SUM(Inschrijf_CO2_Totaal[[#This Row],[A1-A3]:[C4]])+Inschrijf_CO2_Totaal[[#This Row],[D]]</f>
        <v>0</v>
      </c>
    </row>
    <row r="145" spans="2:19">
      <c r="B145" s="208">
        <f>Optimalisatie!B42</f>
        <v>0</v>
      </c>
      <c r="C145" s="1">
        <f>Optimalisatie!F42</f>
        <v>0</v>
      </c>
      <c r="D145" s="91">
        <f>(IF(Optimalisatie!C42="Nieuwe Situatie",_xlfn.IFNA(IF(Optimalisatie!E42="Categorie_1_LCA_Producten",VLOOKUP(Inschrijf_CO2_Totaal[[#This Row],[Product]],Categorie_1_Producten[#All],14,FALSE)*(Optimalisatie!J42),VLOOKUP(Inschrijf_CO2_Totaal[[#This Row],[Product]]&amp;", "&amp;Inschrijf_CO2_Totaal[[#Headers],[A1]],Database_Productkaarten[#All],18,FALSE)*Optimalisatie!J42),Baseline_Backlog!D145),0))</f>
        <v>0</v>
      </c>
      <c r="E145" s="91">
        <f>(IF(Optimalisatie!C42="Nieuwe Situatie",_xlfn.IFNA(IF(Optimalisatie!E42="Categorie_1_LCA_Producten",VLOOKUP(Inschrijf_CO2_Totaal[[#This Row],[Product]],Categorie_1_Producten[#All],15,FALSE)*(Optimalisatie!J42),VLOOKUP(Inschrijf_CO2_Totaal[[#This Row],[Product]]&amp;", "&amp;Inschrijf_CO2_Totaal[[#Headers],[A2]],Database_Productkaarten[#All],18,FALSE)*Optimalisatie!J42),Baseline_Backlog!E145),0))</f>
        <v>0</v>
      </c>
      <c r="F145" s="91">
        <f>(IF(Optimalisatie!C42="Nieuwe Situatie",_xlfn.IFNA(IF(Optimalisatie!E42="Categorie_1_LCA_Producten",VLOOKUP(Inschrijf_CO2_Totaal[[#This Row],[Product]],Categorie_1_Producten[#All],16,FALSE)*(Optimalisatie!J42),VLOOKUP(Inschrijf_CO2_Totaal[[#This Row],[Product]]&amp;", "&amp;Inschrijf_CO2_Totaal[[#Headers],[A3]],Database_Productkaarten[#All],18,FALSE)*Optimalisatie!J42),Baseline_Backlog!F145),0))</f>
        <v>0</v>
      </c>
      <c r="G145" s="91">
        <f>(IF(Optimalisatie!C42="Nieuwe Situatie",_xlfn.IFNA(IF(Optimalisatie!E42="Categorie_1_LCA_Producten",VLOOKUP(Inschrijf_CO2_Totaal[[#This Row],[Product]],Categorie_1_Producten[#All],19,FALSE)*(Optimalisatie!J42),VLOOKUP(Inschrijf_CO2_Totaal[[#This Row],[Product]]&amp;", "&amp;Inschrijf_CO2_Totaal[[#Headers],[A1-A3]],Database_Productkaarten[#All],18,FALSE)*Optimalisatie!J42),Baseline_Backlog!G145),0))</f>
        <v>0</v>
      </c>
      <c r="H145" s="91">
        <f>(IF(Optimalisatie!C42="Nieuwe Situatie",_xlfn.IFNA(VLOOKUP(Optimalisatie!V42,Database_Transport[#All],12,FALSE)*(Optimalisatie!R42*Optimalisatie!U42),Baseline_Backlog!H145),0))</f>
        <v>0</v>
      </c>
      <c r="I145" s="91">
        <f>IF(Optimalisatie!C42="Nieuwe situatie",IF(_xlfn.IFNA((VLOOKUP(Optimalisatie!W42,Database_Asfalt_Aanlegset[#All],12,FALSE)*Optimalisatie!J42),0)+_xlfn.IFNA(VLOOKUP(Optimalisatie!X42,Database_Brandstoffen[#All],12,FALSE)*((Optimalisatie!J42/Optimalisatie!Z42)*Optimalisatie!Y42),0)&gt;0,_xlfn.IFNA((VLOOKUP(Optimalisatie!W42,Database_Asfalt_Aanlegset[#All],12,FALSE)*Optimalisatie!J42),0)+_xlfn.IFNA(VLOOKUP(Optimalisatie!X42,Database_Brandstoffen[#All],12,FALSE)*((Optimalisatie!J42/Optimalisatie!Z42)*Optimalisatie!Y42),0),(_xlfn.IFNA(VLOOKUP(Inschrijf_CO2_Totaal[[#This Row],[Product]]&amp;", "&amp;Inschrijf_MKI_Totaal[[#Headers],[A5]],Database_Productkaarten[#All],18,FALSE),0)*Optimalisatie!J42)),0)</f>
        <v>0</v>
      </c>
      <c r="J145" s="91">
        <f>(IF(Optimalisatie!C42="Nieuwe Situatie",_xlfn.IFNA(IF(Optimalisatie!E42="Categorie_1_LCA_Producten",VLOOKUP(Inschrijf_CO2_Totaal[[#This Row],[Product]],Categorie_1_Producten[#All],20,FALSE)*(Optimalisatie!R42),VLOOKUP(Inschrijf_CO2_Totaal[[#This Row],[Product]]&amp;", "&amp;Inschrijf_CO2_Totaal[[#Headers],[B1]],Database_Productkaarten[#All],18,FALSE)*Optimalisatie!J42),Baseline_Backlog!J145),0))</f>
        <v>0</v>
      </c>
      <c r="K145" s="91">
        <f>(IF(Optimalisatie!C42="Nieuwe Situatie",_xlfn.IFNA(SUM(Inschrijf_CO2_Totaal[[#This Row],[A1]:[B1]],Inschrijf_CO2_Totaal[[#This Row],[C1]:[D2]])*Optimalisatie!T42,0),0))</f>
        <v>0</v>
      </c>
      <c r="L145" s="91">
        <f>IF(Optimalisatie!C42="Bestaande situatie",IF(_xlfn.IFNA((VLOOKUP(Optimalisatie!AA42,Database_Asfalt_Verwijderset[#All],12,FALSE)*Optimalisatie!J42),0)+_xlfn.IFNA(VLOOKUP(Optimalisatie!AB42,Database_Brandstoffen[#All],12,FALSE)*((Optimalisatie!J42/Optimalisatie!AD42)*Optimalisatie!AC42),0)&gt;0,_xlfn.IFNA((VLOOKUP(Optimalisatie!AA42,Database_Asfalt_Verwijderset[#All],12,FALSE)*Optimalisatie!J42),0)+_xlfn.IFNA(VLOOKUP(Optimalisatie!AB42,Database_Brandstoffen[#All],12,FALSE)*((Optimalisatie!J42/Optimalisatie!AD42)*Optimalisatie!AC42),0),(_xlfn.IFNA(VLOOKUP(Inschrijf_CO2_Totaal[[#This Row],[Product]]&amp;", "&amp;Inschrijf_MKI_Totaal[[#Headers],[C1]],Database_Productkaarten[#All],18,FALSE),0)*Optimalisatie!J42)),0)</f>
        <v>0</v>
      </c>
      <c r="M145" s="91">
        <f>(IF(Optimalisatie!C42="Bestaande Situatie",_xlfn.IFNA(VLOOKUP(Optimalisatie!AF42,Database_Transport[#All],12,FALSE)*(Optimalisatie!R42*Optimalisatie!AE42),Baseline_Backlog!M145),0))</f>
        <v>0</v>
      </c>
      <c r="N145" s="91">
        <f>(IF(Optimalisatie!C42="Bestaande Situatie",_xlfn.IFNA(VLOOKUP(Optimalisatie!AG42,Database_Asfalt_Verwerkingsset[#All],12,FALSE)*(Optimalisatie!J42/VLOOKUP(Optimalisatie!AG42,Database_Asfalt_Verwerkingsset[#All],12,FALSE)),Baseline_Backlog!N145),0))</f>
        <v>0</v>
      </c>
      <c r="O145" s="91">
        <f>(IF(Optimalisatie!C42="Bestaande Situatie",_xlfn.IFNA(VLOOKUP(Inschrijf_CO2_Totaal[[#This Row],[Product]]&amp;", "&amp;Inschrijf_CO2_Totaal[[#Headers],[C4]],Database_Productkaarten[#All],18,FALSE)*Optimalisatie!J42,Baseline_Backlog!O145),0))</f>
        <v>0</v>
      </c>
      <c r="P145" s="91">
        <f>(IF(Optimalisatie!C42="Bestaande Situatie",_xlfn.IFNA(IF(Optimalisatie!E42="Categorie_1_LCA_Producten",VLOOKUP(Inschrijf_CO2_Totaal[[#This Row],[Product]],Categorie_1_Producten[#All],18,FALSE)*(Optimalisatie!J42),VLOOKUP(Inschrijf_CO2_Totaal[[#This Row],[Product]]&amp;", "&amp;Inschrijf_CO2_Totaal[[#Headers],[D1]],Database_Productkaarten[#All],18,FALSE)*Optimalisatie!J42),Baseline_Backlog!P145),0))</f>
        <v>0</v>
      </c>
      <c r="Q145" s="91">
        <f>(IF(Optimalisatie!C42="Bestaande Situatie",_xlfn.IFNA(IF(Optimalisatie!E42="Categorie_1_LCA_Producten",VLOOKUP(Inschrijf_CO2_Totaal[[#This Row],[Product]],Categorie_1_Producten[#All],19,FALSE)*(Optimalisatie!J42),VLOOKUP(Inschrijf_CO2_Totaal[[#This Row],[Product]]&amp;", "&amp;Inschrijf_CO2_Totaal[[#Headers],[D2]],Database_Productkaarten[#All],18,FALSE)*Optimalisatie!J42),Baseline_Backlog!Q145),0))</f>
        <v>0</v>
      </c>
      <c r="R145" s="91">
        <f>(IF(Optimalisatie!C42="Bestaande Situatie",_xlfn.IFNA(IF(Optimalisatie!E42="Categorie_1_LCA_Producten",VLOOKUP(Inschrijf_CO2_Totaal[[#This Row],[Product]],Categorie_1_Producten[#All],21,FALSE)*(Optimalisatie!J42),VLOOKUP(Inschrijf_CO2_Totaal[[#This Row],[Product]]&amp;", "&amp;Inschrijf_CO2_Totaal[[#Headers],[D]],Database_Productkaarten[#All],18,FALSE)*Optimalisatie!J42),Baseline_Backlog!S145),0))</f>
        <v>0</v>
      </c>
      <c r="S145" s="91">
        <f>SUM(Inschrijf_CO2_Totaal[[#This Row],[A1-A3]:[C4]])+Inschrijf_CO2_Totaal[[#This Row],[D]]</f>
        <v>0</v>
      </c>
    </row>
    <row r="146" spans="2:19">
      <c r="B146" s="208">
        <f>Optimalisatie!B43</f>
        <v>0</v>
      </c>
      <c r="C146" s="1">
        <f>Optimalisatie!F43</f>
        <v>0</v>
      </c>
      <c r="D146" s="91">
        <f>(IF(Optimalisatie!C43="Nieuwe Situatie",_xlfn.IFNA(IF(Optimalisatie!E43="Categorie_1_LCA_Producten",VLOOKUP(Inschrijf_CO2_Totaal[[#This Row],[Product]],Categorie_1_Producten[#All],14,FALSE)*(Optimalisatie!J43),VLOOKUP(Inschrijf_CO2_Totaal[[#This Row],[Product]]&amp;", "&amp;Inschrijf_CO2_Totaal[[#Headers],[A1]],Database_Productkaarten[#All],18,FALSE)*Optimalisatie!J43),Baseline_Backlog!D146),0))</f>
        <v>0</v>
      </c>
      <c r="E146" s="91">
        <f>(IF(Optimalisatie!C43="Nieuwe Situatie",_xlfn.IFNA(IF(Optimalisatie!E43="Categorie_1_LCA_Producten",VLOOKUP(Inschrijf_CO2_Totaal[[#This Row],[Product]],Categorie_1_Producten[#All],15,FALSE)*(Optimalisatie!J43),VLOOKUP(Inschrijf_CO2_Totaal[[#This Row],[Product]]&amp;", "&amp;Inschrijf_CO2_Totaal[[#Headers],[A2]],Database_Productkaarten[#All],18,FALSE)*Optimalisatie!J43),Baseline_Backlog!E146),0))</f>
        <v>0</v>
      </c>
      <c r="F146" s="91">
        <f>(IF(Optimalisatie!C43="Nieuwe Situatie",_xlfn.IFNA(IF(Optimalisatie!E43="Categorie_1_LCA_Producten",VLOOKUP(Inschrijf_CO2_Totaal[[#This Row],[Product]],Categorie_1_Producten[#All],16,FALSE)*(Optimalisatie!J43),VLOOKUP(Inschrijf_CO2_Totaal[[#This Row],[Product]]&amp;", "&amp;Inschrijf_CO2_Totaal[[#Headers],[A3]],Database_Productkaarten[#All],18,FALSE)*Optimalisatie!J43),Baseline_Backlog!F146),0))</f>
        <v>0</v>
      </c>
      <c r="G146" s="91">
        <f>(IF(Optimalisatie!C43="Nieuwe Situatie",_xlfn.IFNA(IF(Optimalisatie!E43="Categorie_1_LCA_Producten",VLOOKUP(Inschrijf_CO2_Totaal[[#This Row],[Product]],Categorie_1_Producten[#All],19,FALSE)*(Optimalisatie!J43),VLOOKUP(Inschrijf_CO2_Totaal[[#This Row],[Product]]&amp;", "&amp;Inschrijf_CO2_Totaal[[#Headers],[A1-A3]],Database_Productkaarten[#All],18,FALSE)*Optimalisatie!J43),Baseline_Backlog!G146),0))</f>
        <v>0</v>
      </c>
      <c r="H146" s="91">
        <f>(IF(Optimalisatie!C43="Nieuwe Situatie",_xlfn.IFNA(VLOOKUP(Optimalisatie!V43,Database_Transport[#All],12,FALSE)*(Optimalisatie!R43*Optimalisatie!U43),Baseline_Backlog!H146),0))</f>
        <v>0</v>
      </c>
      <c r="I146" s="91">
        <f>IF(Optimalisatie!C43="Nieuwe situatie",IF(_xlfn.IFNA((VLOOKUP(Optimalisatie!W43,Database_Asfalt_Aanlegset[#All],12,FALSE)*Optimalisatie!J43),0)+_xlfn.IFNA(VLOOKUP(Optimalisatie!X43,Database_Brandstoffen[#All],12,FALSE)*((Optimalisatie!J43/Optimalisatie!Z43)*Optimalisatie!Y43),0)&gt;0,_xlfn.IFNA((VLOOKUP(Optimalisatie!W43,Database_Asfalt_Aanlegset[#All],12,FALSE)*Optimalisatie!J43),0)+_xlfn.IFNA(VLOOKUP(Optimalisatie!X43,Database_Brandstoffen[#All],12,FALSE)*((Optimalisatie!J43/Optimalisatie!Z43)*Optimalisatie!Y43),0),(_xlfn.IFNA(VLOOKUP(Inschrijf_CO2_Totaal[[#This Row],[Product]]&amp;", "&amp;Inschrijf_MKI_Totaal[[#Headers],[A5]],Database_Productkaarten[#All],18,FALSE),0)*Optimalisatie!J43)),0)</f>
        <v>0</v>
      </c>
      <c r="J146" s="91">
        <f>(IF(Optimalisatie!C43="Nieuwe Situatie",_xlfn.IFNA(IF(Optimalisatie!E43="Categorie_1_LCA_Producten",VLOOKUP(Inschrijf_CO2_Totaal[[#This Row],[Product]],Categorie_1_Producten[#All],20,FALSE)*(Optimalisatie!R43),VLOOKUP(Inschrijf_CO2_Totaal[[#This Row],[Product]]&amp;", "&amp;Inschrijf_CO2_Totaal[[#Headers],[B1]],Database_Productkaarten[#All],18,FALSE)*Optimalisatie!J43),Baseline_Backlog!J146),0))</f>
        <v>0</v>
      </c>
      <c r="K146" s="91">
        <f>(IF(Optimalisatie!C43="Nieuwe Situatie",_xlfn.IFNA(SUM(Inschrijf_CO2_Totaal[[#This Row],[A1]:[B1]],Inschrijf_CO2_Totaal[[#This Row],[C1]:[D2]])*Optimalisatie!T43,0),0))</f>
        <v>0</v>
      </c>
      <c r="L146" s="91">
        <f>IF(Optimalisatie!C43="Bestaande situatie",IF(_xlfn.IFNA((VLOOKUP(Optimalisatie!AA43,Database_Asfalt_Verwijderset[#All],12,FALSE)*Optimalisatie!J43),0)+_xlfn.IFNA(VLOOKUP(Optimalisatie!AB43,Database_Brandstoffen[#All],12,FALSE)*((Optimalisatie!J43/Optimalisatie!AD43)*Optimalisatie!AC43),0)&gt;0,_xlfn.IFNA((VLOOKUP(Optimalisatie!AA43,Database_Asfalt_Verwijderset[#All],12,FALSE)*Optimalisatie!J43),0)+_xlfn.IFNA(VLOOKUP(Optimalisatie!AB43,Database_Brandstoffen[#All],12,FALSE)*((Optimalisatie!J43/Optimalisatie!AD43)*Optimalisatie!AC43),0),(_xlfn.IFNA(VLOOKUP(Inschrijf_CO2_Totaal[[#This Row],[Product]]&amp;", "&amp;Inschrijf_MKI_Totaal[[#Headers],[C1]],Database_Productkaarten[#All],18,FALSE),0)*Optimalisatie!J43)),0)</f>
        <v>0</v>
      </c>
      <c r="M146" s="91">
        <f>(IF(Optimalisatie!C43="Bestaande Situatie",_xlfn.IFNA(VLOOKUP(Optimalisatie!AF43,Database_Transport[#All],12,FALSE)*(Optimalisatie!R43*Optimalisatie!AE43),Baseline_Backlog!M146),0))</f>
        <v>0</v>
      </c>
      <c r="N146" s="91">
        <f>(IF(Optimalisatie!C43="Bestaande Situatie",_xlfn.IFNA(VLOOKUP(Optimalisatie!AG43,Database_Asfalt_Verwerkingsset[#All],12,FALSE)*(Optimalisatie!J43/VLOOKUP(Optimalisatie!AG43,Database_Asfalt_Verwerkingsset[#All],12,FALSE)),Baseline_Backlog!N146),0))</f>
        <v>0</v>
      </c>
      <c r="O146" s="91">
        <f>(IF(Optimalisatie!C43="Bestaande Situatie",_xlfn.IFNA(VLOOKUP(Inschrijf_CO2_Totaal[[#This Row],[Product]]&amp;", "&amp;Inschrijf_CO2_Totaal[[#Headers],[C4]],Database_Productkaarten[#All],18,FALSE)*Optimalisatie!J43,Baseline_Backlog!O146),0))</f>
        <v>0</v>
      </c>
      <c r="P146" s="91">
        <f>(IF(Optimalisatie!C43="Bestaande Situatie",_xlfn.IFNA(IF(Optimalisatie!E43="Categorie_1_LCA_Producten",VLOOKUP(Inschrijf_CO2_Totaal[[#This Row],[Product]],Categorie_1_Producten[#All],18,FALSE)*(Optimalisatie!J43),VLOOKUP(Inschrijf_CO2_Totaal[[#This Row],[Product]]&amp;", "&amp;Inschrijf_CO2_Totaal[[#Headers],[D1]],Database_Productkaarten[#All],18,FALSE)*Optimalisatie!J43),Baseline_Backlog!P146),0))</f>
        <v>0</v>
      </c>
      <c r="Q146" s="91">
        <f>(IF(Optimalisatie!C43="Bestaande Situatie",_xlfn.IFNA(IF(Optimalisatie!E43="Categorie_1_LCA_Producten",VLOOKUP(Inschrijf_CO2_Totaal[[#This Row],[Product]],Categorie_1_Producten[#All],19,FALSE)*(Optimalisatie!J43),VLOOKUP(Inschrijf_CO2_Totaal[[#This Row],[Product]]&amp;", "&amp;Inschrijf_CO2_Totaal[[#Headers],[D2]],Database_Productkaarten[#All],18,FALSE)*Optimalisatie!J43),Baseline_Backlog!Q146),0))</f>
        <v>0</v>
      </c>
      <c r="R146" s="91">
        <f>(IF(Optimalisatie!C43="Bestaande Situatie",_xlfn.IFNA(IF(Optimalisatie!E43="Categorie_1_LCA_Producten",VLOOKUP(Inschrijf_CO2_Totaal[[#This Row],[Product]],Categorie_1_Producten[#All],21,FALSE)*(Optimalisatie!J43),VLOOKUP(Inschrijf_CO2_Totaal[[#This Row],[Product]]&amp;", "&amp;Inschrijf_CO2_Totaal[[#Headers],[D]],Database_Productkaarten[#All],18,FALSE)*Optimalisatie!J43),Baseline_Backlog!S146),0))</f>
        <v>0</v>
      </c>
      <c r="S146" s="91">
        <f>SUM(Inschrijf_CO2_Totaal[[#This Row],[A1-A3]:[C4]])+Inschrijf_CO2_Totaal[[#This Row],[D]]</f>
        <v>0</v>
      </c>
    </row>
    <row r="147" spans="2:19">
      <c r="B147" s="208">
        <f>Optimalisatie!B44</f>
        <v>0</v>
      </c>
      <c r="C147" s="1">
        <f>Optimalisatie!F44</f>
        <v>0</v>
      </c>
      <c r="D147" s="91">
        <f>(IF(Optimalisatie!C44="Nieuwe Situatie",_xlfn.IFNA(IF(Optimalisatie!E44="Categorie_1_LCA_Producten",VLOOKUP(Inschrijf_CO2_Totaal[[#This Row],[Product]],Categorie_1_Producten[#All],14,FALSE)*(Optimalisatie!J44),VLOOKUP(Inschrijf_CO2_Totaal[[#This Row],[Product]]&amp;", "&amp;Inschrijf_CO2_Totaal[[#Headers],[A1]],Database_Productkaarten[#All],18,FALSE)*Optimalisatie!J44),Baseline_Backlog!D147),0))</f>
        <v>0</v>
      </c>
      <c r="E147" s="91">
        <f>(IF(Optimalisatie!C44="Nieuwe Situatie",_xlfn.IFNA(IF(Optimalisatie!E44="Categorie_1_LCA_Producten",VLOOKUP(Inschrijf_CO2_Totaal[[#This Row],[Product]],Categorie_1_Producten[#All],15,FALSE)*(Optimalisatie!J44),VLOOKUP(Inschrijf_CO2_Totaal[[#This Row],[Product]]&amp;", "&amp;Inschrijf_CO2_Totaal[[#Headers],[A2]],Database_Productkaarten[#All],18,FALSE)*Optimalisatie!J44),Baseline_Backlog!E147),0))</f>
        <v>0</v>
      </c>
      <c r="F147" s="91">
        <f>(IF(Optimalisatie!C44="Nieuwe Situatie",_xlfn.IFNA(IF(Optimalisatie!E44="Categorie_1_LCA_Producten",VLOOKUP(Inschrijf_CO2_Totaal[[#This Row],[Product]],Categorie_1_Producten[#All],16,FALSE)*(Optimalisatie!J44),VLOOKUP(Inschrijf_CO2_Totaal[[#This Row],[Product]]&amp;", "&amp;Inschrijf_CO2_Totaal[[#Headers],[A3]],Database_Productkaarten[#All],18,FALSE)*Optimalisatie!J44),Baseline_Backlog!F147),0))</f>
        <v>0</v>
      </c>
      <c r="G147" s="91">
        <f>(IF(Optimalisatie!C44="Nieuwe Situatie",_xlfn.IFNA(IF(Optimalisatie!E44="Categorie_1_LCA_Producten",VLOOKUP(Inschrijf_CO2_Totaal[[#This Row],[Product]],Categorie_1_Producten[#All],19,FALSE)*(Optimalisatie!J44),VLOOKUP(Inschrijf_CO2_Totaal[[#This Row],[Product]]&amp;", "&amp;Inschrijf_CO2_Totaal[[#Headers],[A1-A3]],Database_Productkaarten[#All],18,FALSE)*Optimalisatie!J44),Baseline_Backlog!G147),0))</f>
        <v>0</v>
      </c>
      <c r="H147" s="91">
        <f>(IF(Optimalisatie!C44="Nieuwe Situatie",_xlfn.IFNA(VLOOKUP(Optimalisatie!V44,Database_Transport[#All],12,FALSE)*(Optimalisatie!R44*Optimalisatie!U44),Baseline_Backlog!H147),0))</f>
        <v>0</v>
      </c>
      <c r="I147" s="91">
        <f>IF(Optimalisatie!C44="Nieuwe situatie",IF(_xlfn.IFNA((VLOOKUP(Optimalisatie!W44,Database_Asfalt_Aanlegset[#All],12,FALSE)*Optimalisatie!J44),0)+_xlfn.IFNA(VLOOKUP(Optimalisatie!X44,Database_Brandstoffen[#All],12,FALSE)*((Optimalisatie!J44/Optimalisatie!Z44)*Optimalisatie!Y44),0)&gt;0,_xlfn.IFNA((VLOOKUP(Optimalisatie!W44,Database_Asfalt_Aanlegset[#All],12,FALSE)*Optimalisatie!J44),0)+_xlfn.IFNA(VLOOKUP(Optimalisatie!X44,Database_Brandstoffen[#All],12,FALSE)*((Optimalisatie!J44/Optimalisatie!Z44)*Optimalisatie!Y44),0),(_xlfn.IFNA(VLOOKUP(Inschrijf_CO2_Totaal[[#This Row],[Product]]&amp;", "&amp;Inschrijf_MKI_Totaal[[#Headers],[A5]],Database_Productkaarten[#All],18,FALSE),0)*Optimalisatie!J44)),0)</f>
        <v>0</v>
      </c>
      <c r="J147" s="91">
        <f>(IF(Optimalisatie!C44="Nieuwe Situatie",_xlfn.IFNA(IF(Optimalisatie!E44="Categorie_1_LCA_Producten",VLOOKUP(Inschrijf_CO2_Totaal[[#This Row],[Product]],Categorie_1_Producten[#All],20,FALSE)*(Optimalisatie!R44),VLOOKUP(Inschrijf_CO2_Totaal[[#This Row],[Product]]&amp;", "&amp;Inschrijf_CO2_Totaal[[#Headers],[B1]],Database_Productkaarten[#All],18,FALSE)*Optimalisatie!J44),Baseline_Backlog!J147),0))</f>
        <v>0</v>
      </c>
      <c r="K147" s="91">
        <f>(IF(Optimalisatie!C44="Nieuwe Situatie",_xlfn.IFNA(SUM(Inschrijf_CO2_Totaal[[#This Row],[A1]:[B1]],Inschrijf_CO2_Totaal[[#This Row],[C1]:[D2]])*Optimalisatie!T44,0),0))</f>
        <v>0</v>
      </c>
      <c r="L147" s="91">
        <f>IF(Optimalisatie!C44="Bestaande situatie",IF(_xlfn.IFNA((VLOOKUP(Optimalisatie!AA44,Database_Asfalt_Verwijderset[#All],12,FALSE)*Optimalisatie!J44),0)+_xlfn.IFNA(VLOOKUP(Optimalisatie!AB44,Database_Brandstoffen[#All],12,FALSE)*((Optimalisatie!J44/Optimalisatie!AD44)*Optimalisatie!AC44),0)&gt;0,_xlfn.IFNA((VLOOKUP(Optimalisatie!AA44,Database_Asfalt_Verwijderset[#All],12,FALSE)*Optimalisatie!J44),0)+_xlfn.IFNA(VLOOKUP(Optimalisatie!AB44,Database_Brandstoffen[#All],12,FALSE)*((Optimalisatie!J44/Optimalisatie!AD44)*Optimalisatie!AC44),0),(_xlfn.IFNA(VLOOKUP(Inschrijf_CO2_Totaal[[#This Row],[Product]]&amp;", "&amp;Inschrijf_MKI_Totaal[[#Headers],[C1]],Database_Productkaarten[#All],18,FALSE),0)*Optimalisatie!J44)),0)</f>
        <v>0</v>
      </c>
      <c r="M147" s="91">
        <f>(IF(Optimalisatie!C44="Bestaande Situatie",_xlfn.IFNA(VLOOKUP(Optimalisatie!AF44,Database_Transport[#All],12,FALSE)*(Optimalisatie!R44*Optimalisatie!AE44),Baseline_Backlog!M147),0))</f>
        <v>0</v>
      </c>
      <c r="N147" s="91">
        <f>(IF(Optimalisatie!C44="Bestaande Situatie",_xlfn.IFNA(VLOOKUP(Optimalisatie!AG44,Database_Asfalt_Verwerkingsset[#All],12,FALSE)*(Optimalisatie!J44/VLOOKUP(Optimalisatie!AG44,Database_Asfalt_Verwerkingsset[#All],12,FALSE)),Baseline_Backlog!N147),0))</f>
        <v>0</v>
      </c>
      <c r="O147" s="91">
        <f>(IF(Optimalisatie!C44="Bestaande Situatie",_xlfn.IFNA(VLOOKUP(Inschrijf_CO2_Totaal[[#This Row],[Product]]&amp;", "&amp;Inschrijf_CO2_Totaal[[#Headers],[C4]],Database_Productkaarten[#All],18,FALSE)*Optimalisatie!J44,Baseline_Backlog!O147),0))</f>
        <v>0</v>
      </c>
      <c r="P147" s="91">
        <f>(IF(Optimalisatie!C44="Bestaande Situatie",_xlfn.IFNA(IF(Optimalisatie!E44="Categorie_1_LCA_Producten",VLOOKUP(Inschrijf_CO2_Totaal[[#This Row],[Product]],Categorie_1_Producten[#All],18,FALSE)*(Optimalisatie!J44),VLOOKUP(Inschrijf_CO2_Totaal[[#This Row],[Product]]&amp;", "&amp;Inschrijf_CO2_Totaal[[#Headers],[D1]],Database_Productkaarten[#All],18,FALSE)*Optimalisatie!J44),Baseline_Backlog!P147),0))</f>
        <v>0</v>
      </c>
      <c r="Q147" s="91">
        <f>(IF(Optimalisatie!C44="Bestaande Situatie",_xlfn.IFNA(IF(Optimalisatie!E44="Categorie_1_LCA_Producten",VLOOKUP(Inschrijf_CO2_Totaal[[#This Row],[Product]],Categorie_1_Producten[#All],19,FALSE)*(Optimalisatie!J44),VLOOKUP(Inschrijf_CO2_Totaal[[#This Row],[Product]]&amp;", "&amp;Inschrijf_CO2_Totaal[[#Headers],[D2]],Database_Productkaarten[#All],18,FALSE)*Optimalisatie!J44),Baseline_Backlog!Q147),0))</f>
        <v>0</v>
      </c>
      <c r="R147" s="91">
        <f>(IF(Optimalisatie!C44="Bestaande Situatie",_xlfn.IFNA(IF(Optimalisatie!E44="Categorie_1_LCA_Producten",VLOOKUP(Inschrijf_CO2_Totaal[[#This Row],[Product]],Categorie_1_Producten[#All],21,FALSE)*(Optimalisatie!J44),VLOOKUP(Inschrijf_CO2_Totaal[[#This Row],[Product]]&amp;", "&amp;Inschrijf_CO2_Totaal[[#Headers],[D]],Database_Productkaarten[#All],18,FALSE)*Optimalisatie!J44),Baseline_Backlog!S147),0))</f>
        <v>0</v>
      </c>
      <c r="S147" s="91">
        <f>SUM(Inschrijf_CO2_Totaal[[#This Row],[A1-A3]:[C4]])+Inschrijf_CO2_Totaal[[#This Row],[D]]</f>
        <v>0</v>
      </c>
    </row>
    <row r="148" spans="2:19">
      <c r="B148" s="208">
        <f>Optimalisatie!B45</f>
        <v>0</v>
      </c>
      <c r="C148" s="1">
        <f>Optimalisatie!F45</f>
        <v>0</v>
      </c>
      <c r="D148" s="91">
        <f>(IF(Optimalisatie!C45="Nieuwe Situatie",_xlfn.IFNA(IF(Optimalisatie!E45="Categorie_1_LCA_Producten",VLOOKUP(Inschrijf_CO2_Totaal[[#This Row],[Product]],Categorie_1_Producten[#All],14,FALSE)*(Optimalisatie!J45),VLOOKUP(Inschrijf_CO2_Totaal[[#This Row],[Product]]&amp;", "&amp;Inschrijf_CO2_Totaal[[#Headers],[A1]],Database_Productkaarten[#All],18,FALSE)*Optimalisatie!J45),Baseline_Backlog!D148),0))</f>
        <v>0</v>
      </c>
      <c r="E148" s="91">
        <f>(IF(Optimalisatie!C45="Nieuwe Situatie",_xlfn.IFNA(IF(Optimalisatie!E45="Categorie_1_LCA_Producten",VLOOKUP(Inschrijf_CO2_Totaal[[#This Row],[Product]],Categorie_1_Producten[#All],15,FALSE)*(Optimalisatie!J45),VLOOKUP(Inschrijf_CO2_Totaal[[#This Row],[Product]]&amp;", "&amp;Inschrijf_CO2_Totaal[[#Headers],[A2]],Database_Productkaarten[#All],18,FALSE)*Optimalisatie!J45),Baseline_Backlog!E148),0))</f>
        <v>0</v>
      </c>
      <c r="F148" s="91">
        <f>(IF(Optimalisatie!C45="Nieuwe Situatie",_xlfn.IFNA(IF(Optimalisatie!E45="Categorie_1_LCA_Producten",VLOOKUP(Inschrijf_CO2_Totaal[[#This Row],[Product]],Categorie_1_Producten[#All],16,FALSE)*(Optimalisatie!J45),VLOOKUP(Inschrijf_CO2_Totaal[[#This Row],[Product]]&amp;", "&amp;Inschrijf_CO2_Totaal[[#Headers],[A3]],Database_Productkaarten[#All],18,FALSE)*Optimalisatie!J45),Baseline_Backlog!F148),0))</f>
        <v>0</v>
      </c>
      <c r="G148" s="91">
        <f>(IF(Optimalisatie!C45="Nieuwe Situatie",_xlfn.IFNA(IF(Optimalisatie!E45="Categorie_1_LCA_Producten",VLOOKUP(Inschrijf_CO2_Totaal[[#This Row],[Product]],Categorie_1_Producten[#All],19,FALSE)*(Optimalisatie!J45),VLOOKUP(Inschrijf_CO2_Totaal[[#This Row],[Product]]&amp;", "&amp;Inschrijf_CO2_Totaal[[#Headers],[A1-A3]],Database_Productkaarten[#All],18,FALSE)*Optimalisatie!J45),Baseline_Backlog!G148),0))</f>
        <v>0</v>
      </c>
      <c r="H148" s="91">
        <f>(IF(Optimalisatie!C45="Nieuwe Situatie",_xlfn.IFNA(VLOOKUP(Optimalisatie!V45,Database_Transport[#All],12,FALSE)*(Optimalisatie!R45*Optimalisatie!U45),Baseline_Backlog!H148),0))</f>
        <v>0</v>
      </c>
      <c r="I148" s="91">
        <f>IF(Optimalisatie!C45="Nieuwe situatie",IF(_xlfn.IFNA((VLOOKUP(Optimalisatie!W45,Database_Asfalt_Aanlegset[#All],12,FALSE)*Optimalisatie!J45),0)+_xlfn.IFNA(VLOOKUP(Optimalisatie!X45,Database_Brandstoffen[#All],12,FALSE)*((Optimalisatie!J45/Optimalisatie!Z45)*Optimalisatie!Y45),0)&gt;0,_xlfn.IFNA((VLOOKUP(Optimalisatie!W45,Database_Asfalt_Aanlegset[#All],12,FALSE)*Optimalisatie!J45),0)+_xlfn.IFNA(VLOOKUP(Optimalisatie!X45,Database_Brandstoffen[#All],12,FALSE)*((Optimalisatie!J45/Optimalisatie!Z45)*Optimalisatie!Y45),0),(_xlfn.IFNA(VLOOKUP(Inschrijf_CO2_Totaal[[#This Row],[Product]]&amp;", "&amp;Inschrijf_MKI_Totaal[[#Headers],[A5]],Database_Productkaarten[#All],18,FALSE),0)*Optimalisatie!J45)),0)</f>
        <v>0</v>
      </c>
      <c r="J148" s="91">
        <f>(IF(Optimalisatie!C45="Nieuwe Situatie",_xlfn.IFNA(IF(Optimalisatie!E45="Categorie_1_LCA_Producten",VLOOKUP(Inschrijf_CO2_Totaal[[#This Row],[Product]],Categorie_1_Producten[#All],20,FALSE)*(Optimalisatie!R45),VLOOKUP(Inschrijf_CO2_Totaal[[#This Row],[Product]]&amp;", "&amp;Inschrijf_CO2_Totaal[[#Headers],[B1]],Database_Productkaarten[#All],18,FALSE)*Optimalisatie!J45),Baseline_Backlog!J148),0))</f>
        <v>0</v>
      </c>
      <c r="K148" s="91">
        <f>(IF(Optimalisatie!C45="Nieuwe Situatie",_xlfn.IFNA(SUM(Inschrijf_CO2_Totaal[[#This Row],[A1]:[B1]],Inschrijf_CO2_Totaal[[#This Row],[C1]:[D2]])*Optimalisatie!T45,0),0))</f>
        <v>0</v>
      </c>
      <c r="L148" s="91">
        <f>IF(Optimalisatie!C45="Bestaande situatie",IF(_xlfn.IFNA((VLOOKUP(Optimalisatie!AA45,Database_Asfalt_Verwijderset[#All],12,FALSE)*Optimalisatie!J45),0)+_xlfn.IFNA(VLOOKUP(Optimalisatie!AB45,Database_Brandstoffen[#All],12,FALSE)*((Optimalisatie!J45/Optimalisatie!AD45)*Optimalisatie!AC45),0)&gt;0,_xlfn.IFNA((VLOOKUP(Optimalisatie!AA45,Database_Asfalt_Verwijderset[#All],12,FALSE)*Optimalisatie!J45),0)+_xlfn.IFNA(VLOOKUP(Optimalisatie!AB45,Database_Brandstoffen[#All],12,FALSE)*((Optimalisatie!J45/Optimalisatie!AD45)*Optimalisatie!AC45),0),(_xlfn.IFNA(VLOOKUP(Inschrijf_CO2_Totaal[[#This Row],[Product]]&amp;", "&amp;Inschrijf_MKI_Totaal[[#Headers],[C1]],Database_Productkaarten[#All],18,FALSE),0)*Optimalisatie!J45)),0)</f>
        <v>0</v>
      </c>
      <c r="M148" s="91">
        <f>(IF(Optimalisatie!C45="Bestaande Situatie",_xlfn.IFNA(VLOOKUP(Optimalisatie!AF45,Database_Transport[#All],12,FALSE)*(Optimalisatie!R45*Optimalisatie!AE45),Baseline_Backlog!M148),0))</f>
        <v>0</v>
      </c>
      <c r="N148" s="91">
        <f>(IF(Optimalisatie!C45="Bestaande Situatie",_xlfn.IFNA(VLOOKUP(Optimalisatie!AG45,Database_Asfalt_Verwerkingsset[#All],12,FALSE)*(Optimalisatie!J45/VLOOKUP(Optimalisatie!AG45,Database_Asfalt_Verwerkingsset[#All],12,FALSE)),Baseline_Backlog!N148),0))</f>
        <v>0</v>
      </c>
      <c r="O148" s="91">
        <f>(IF(Optimalisatie!C45="Bestaande Situatie",_xlfn.IFNA(VLOOKUP(Inschrijf_CO2_Totaal[[#This Row],[Product]]&amp;", "&amp;Inschrijf_CO2_Totaal[[#Headers],[C4]],Database_Productkaarten[#All],18,FALSE)*Optimalisatie!J45,Baseline_Backlog!O148),0))</f>
        <v>0</v>
      </c>
      <c r="P148" s="91">
        <f>(IF(Optimalisatie!C45="Bestaande Situatie",_xlfn.IFNA(IF(Optimalisatie!E45="Categorie_1_LCA_Producten",VLOOKUP(Inschrijf_CO2_Totaal[[#This Row],[Product]],Categorie_1_Producten[#All],18,FALSE)*(Optimalisatie!J45),VLOOKUP(Inschrijf_CO2_Totaal[[#This Row],[Product]]&amp;", "&amp;Inschrijf_CO2_Totaal[[#Headers],[D1]],Database_Productkaarten[#All],18,FALSE)*Optimalisatie!J45),Baseline_Backlog!P148),0))</f>
        <v>0</v>
      </c>
      <c r="Q148" s="91">
        <f>(IF(Optimalisatie!C45="Bestaande Situatie",_xlfn.IFNA(IF(Optimalisatie!E45="Categorie_1_LCA_Producten",VLOOKUP(Inschrijf_CO2_Totaal[[#This Row],[Product]],Categorie_1_Producten[#All],19,FALSE)*(Optimalisatie!J45),VLOOKUP(Inschrijf_CO2_Totaal[[#This Row],[Product]]&amp;", "&amp;Inschrijf_CO2_Totaal[[#Headers],[D2]],Database_Productkaarten[#All],18,FALSE)*Optimalisatie!J45),Baseline_Backlog!Q148),0))</f>
        <v>0</v>
      </c>
      <c r="R148" s="91">
        <f>(IF(Optimalisatie!C45="Bestaande Situatie",_xlfn.IFNA(IF(Optimalisatie!E45="Categorie_1_LCA_Producten",VLOOKUP(Inschrijf_CO2_Totaal[[#This Row],[Product]],Categorie_1_Producten[#All],21,FALSE)*(Optimalisatie!J45),VLOOKUP(Inschrijf_CO2_Totaal[[#This Row],[Product]]&amp;", "&amp;Inschrijf_CO2_Totaal[[#Headers],[D]],Database_Productkaarten[#All],18,FALSE)*Optimalisatie!J45),Baseline_Backlog!S148),0))</f>
        <v>0</v>
      </c>
      <c r="S148" s="91">
        <f>SUM(Inschrijf_CO2_Totaal[[#This Row],[A1-A3]:[C4]])+Inschrijf_CO2_Totaal[[#This Row],[D]]</f>
        <v>0</v>
      </c>
    </row>
    <row r="149" spans="2:19">
      <c r="B149" s="208">
        <f>Optimalisatie!B46</f>
        <v>0</v>
      </c>
      <c r="C149" s="1">
        <f>Optimalisatie!F46</f>
        <v>0</v>
      </c>
      <c r="D149" s="91">
        <f>(IF(Optimalisatie!C46="Nieuwe Situatie",_xlfn.IFNA(IF(Optimalisatie!E46="Categorie_1_LCA_Producten",VLOOKUP(Inschrijf_CO2_Totaal[[#This Row],[Product]],Categorie_1_Producten[#All],14,FALSE)*(Optimalisatie!J46),VLOOKUP(Inschrijf_CO2_Totaal[[#This Row],[Product]]&amp;", "&amp;Inschrijf_CO2_Totaal[[#Headers],[A1]],Database_Productkaarten[#All],18,FALSE)*Optimalisatie!J46),Baseline_Backlog!D149),0))</f>
        <v>0</v>
      </c>
      <c r="E149" s="91">
        <f>(IF(Optimalisatie!C46="Nieuwe Situatie",_xlfn.IFNA(IF(Optimalisatie!E46="Categorie_1_LCA_Producten",VLOOKUP(Inschrijf_CO2_Totaal[[#This Row],[Product]],Categorie_1_Producten[#All],15,FALSE)*(Optimalisatie!J46),VLOOKUP(Inschrijf_CO2_Totaal[[#This Row],[Product]]&amp;", "&amp;Inschrijf_CO2_Totaal[[#Headers],[A2]],Database_Productkaarten[#All],18,FALSE)*Optimalisatie!J46),Baseline_Backlog!E149),0))</f>
        <v>0</v>
      </c>
      <c r="F149" s="91">
        <f>(IF(Optimalisatie!C46="Nieuwe Situatie",_xlfn.IFNA(IF(Optimalisatie!E46="Categorie_1_LCA_Producten",VLOOKUP(Inschrijf_CO2_Totaal[[#This Row],[Product]],Categorie_1_Producten[#All],16,FALSE)*(Optimalisatie!J46),VLOOKUP(Inschrijf_CO2_Totaal[[#This Row],[Product]]&amp;", "&amp;Inschrijf_CO2_Totaal[[#Headers],[A3]],Database_Productkaarten[#All],18,FALSE)*Optimalisatie!J46),Baseline_Backlog!F149),0))</f>
        <v>0</v>
      </c>
      <c r="G149" s="91">
        <f>(IF(Optimalisatie!C46="Nieuwe Situatie",_xlfn.IFNA(IF(Optimalisatie!E46="Categorie_1_LCA_Producten",VLOOKUP(Inschrijf_CO2_Totaal[[#This Row],[Product]],Categorie_1_Producten[#All],19,FALSE)*(Optimalisatie!J46),VLOOKUP(Inschrijf_CO2_Totaal[[#This Row],[Product]]&amp;", "&amp;Inschrijf_CO2_Totaal[[#Headers],[A1-A3]],Database_Productkaarten[#All],18,FALSE)*Optimalisatie!J46),Baseline_Backlog!G149),0))</f>
        <v>0</v>
      </c>
      <c r="H149" s="91">
        <f>(IF(Optimalisatie!C46="Nieuwe Situatie",_xlfn.IFNA(VLOOKUP(Optimalisatie!V46,Database_Transport[#All],12,FALSE)*(Optimalisatie!R46*Optimalisatie!U46),Baseline_Backlog!H149),0))</f>
        <v>0</v>
      </c>
      <c r="I149" s="91">
        <f>IF(Optimalisatie!C46="Nieuwe situatie",IF(_xlfn.IFNA((VLOOKUP(Optimalisatie!W46,Database_Asfalt_Aanlegset[#All],12,FALSE)*Optimalisatie!J46),0)+_xlfn.IFNA(VLOOKUP(Optimalisatie!X46,Database_Brandstoffen[#All],12,FALSE)*((Optimalisatie!J46/Optimalisatie!Z46)*Optimalisatie!Y46),0)&gt;0,_xlfn.IFNA((VLOOKUP(Optimalisatie!W46,Database_Asfalt_Aanlegset[#All],12,FALSE)*Optimalisatie!J46),0)+_xlfn.IFNA(VLOOKUP(Optimalisatie!X46,Database_Brandstoffen[#All],12,FALSE)*((Optimalisatie!J46/Optimalisatie!Z46)*Optimalisatie!Y46),0),(_xlfn.IFNA(VLOOKUP(Inschrijf_CO2_Totaal[[#This Row],[Product]]&amp;", "&amp;Inschrijf_MKI_Totaal[[#Headers],[A5]],Database_Productkaarten[#All],18,FALSE),0)*Optimalisatie!J46)),0)</f>
        <v>0</v>
      </c>
      <c r="J149" s="91">
        <f>(IF(Optimalisatie!C46="Nieuwe Situatie",_xlfn.IFNA(IF(Optimalisatie!E46="Categorie_1_LCA_Producten",VLOOKUP(Inschrijf_CO2_Totaal[[#This Row],[Product]],Categorie_1_Producten[#All],20,FALSE)*(Optimalisatie!R46),VLOOKUP(Inschrijf_CO2_Totaal[[#This Row],[Product]]&amp;", "&amp;Inschrijf_CO2_Totaal[[#Headers],[B1]],Database_Productkaarten[#All],18,FALSE)*Optimalisatie!J46),Baseline_Backlog!J149),0))</f>
        <v>0</v>
      </c>
      <c r="K149" s="91">
        <f>(IF(Optimalisatie!C46="Nieuwe Situatie",_xlfn.IFNA(SUM(Inschrijf_CO2_Totaal[[#This Row],[A1]:[B1]],Inschrijf_CO2_Totaal[[#This Row],[C1]:[D2]])*Optimalisatie!T46,0),0))</f>
        <v>0</v>
      </c>
      <c r="L149" s="91">
        <f>IF(Optimalisatie!C46="Bestaande situatie",IF(_xlfn.IFNA((VLOOKUP(Optimalisatie!AA46,Database_Asfalt_Verwijderset[#All],12,FALSE)*Optimalisatie!J46),0)+_xlfn.IFNA(VLOOKUP(Optimalisatie!AB46,Database_Brandstoffen[#All],12,FALSE)*((Optimalisatie!J46/Optimalisatie!AD46)*Optimalisatie!AC46),0)&gt;0,_xlfn.IFNA((VLOOKUP(Optimalisatie!AA46,Database_Asfalt_Verwijderset[#All],12,FALSE)*Optimalisatie!J46),0)+_xlfn.IFNA(VLOOKUP(Optimalisatie!AB46,Database_Brandstoffen[#All],12,FALSE)*((Optimalisatie!J46/Optimalisatie!AD46)*Optimalisatie!AC46),0),(_xlfn.IFNA(VLOOKUP(Inschrijf_CO2_Totaal[[#This Row],[Product]]&amp;", "&amp;Inschrijf_MKI_Totaal[[#Headers],[C1]],Database_Productkaarten[#All],18,FALSE),0)*Optimalisatie!J46)),0)</f>
        <v>0</v>
      </c>
      <c r="M149" s="91">
        <f>(IF(Optimalisatie!C46="Bestaande Situatie",_xlfn.IFNA(VLOOKUP(Optimalisatie!AF46,Database_Transport[#All],12,FALSE)*(Optimalisatie!R46*Optimalisatie!AE46),Baseline_Backlog!M149),0))</f>
        <v>0</v>
      </c>
      <c r="N149" s="91">
        <f>(IF(Optimalisatie!C46="Bestaande Situatie",_xlfn.IFNA(VLOOKUP(Optimalisatie!AG46,Database_Asfalt_Verwerkingsset[#All],12,FALSE)*(Optimalisatie!J46/VLOOKUP(Optimalisatie!AG46,Database_Asfalt_Verwerkingsset[#All],12,FALSE)),Baseline_Backlog!N149),0))</f>
        <v>0</v>
      </c>
      <c r="O149" s="91">
        <f>(IF(Optimalisatie!C46="Bestaande Situatie",_xlfn.IFNA(VLOOKUP(Inschrijf_CO2_Totaal[[#This Row],[Product]]&amp;", "&amp;Inschrijf_CO2_Totaal[[#Headers],[C4]],Database_Productkaarten[#All],18,FALSE)*Optimalisatie!J46,Baseline_Backlog!O149),0))</f>
        <v>0</v>
      </c>
      <c r="P149" s="91">
        <f>(IF(Optimalisatie!C46="Bestaande Situatie",_xlfn.IFNA(IF(Optimalisatie!E46="Categorie_1_LCA_Producten",VLOOKUP(Inschrijf_CO2_Totaal[[#This Row],[Product]],Categorie_1_Producten[#All],18,FALSE)*(Optimalisatie!J46),VLOOKUP(Inschrijf_CO2_Totaal[[#This Row],[Product]]&amp;", "&amp;Inschrijf_CO2_Totaal[[#Headers],[D1]],Database_Productkaarten[#All],18,FALSE)*Optimalisatie!J46),Baseline_Backlog!P149),0))</f>
        <v>0</v>
      </c>
      <c r="Q149" s="91">
        <f>(IF(Optimalisatie!C46="Bestaande Situatie",_xlfn.IFNA(IF(Optimalisatie!E46="Categorie_1_LCA_Producten",VLOOKUP(Inschrijf_CO2_Totaal[[#This Row],[Product]],Categorie_1_Producten[#All],19,FALSE)*(Optimalisatie!J46),VLOOKUP(Inschrijf_CO2_Totaal[[#This Row],[Product]]&amp;", "&amp;Inschrijf_CO2_Totaal[[#Headers],[D2]],Database_Productkaarten[#All],18,FALSE)*Optimalisatie!J46),Baseline_Backlog!Q149),0))</f>
        <v>0</v>
      </c>
      <c r="R149" s="91">
        <f>(IF(Optimalisatie!C46="Bestaande Situatie",_xlfn.IFNA(IF(Optimalisatie!E46="Categorie_1_LCA_Producten",VLOOKUP(Inschrijf_CO2_Totaal[[#This Row],[Product]],Categorie_1_Producten[#All],21,FALSE)*(Optimalisatie!J46),VLOOKUP(Inschrijf_CO2_Totaal[[#This Row],[Product]]&amp;", "&amp;Inschrijf_CO2_Totaal[[#Headers],[D]],Database_Productkaarten[#All],18,FALSE)*Optimalisatie!J46),Baseline_Backlog!S149),0))</f>
        <v>0</v>
      </c>
      <c r="S149" s="91">
        <f>SUM(Inschrijf_CO2_Totaal[[#This Row],[A1-A3]:[C4]])+Inschrijf_CO2_Totaal[[#This Row],[D]]</f>
        <v>0</v>
      </c>
    </row>
    <row r="150" spans="2:19">
      <c r="B150" s="208">
        <f>Optimalisatie!B47</f>
        <v>0</v>
      </c>
      <c r="C150" s="1">
        <f>Optimalisatie!F47</f>
        <v>0</v>
      </c>
      <c r="D150" s="91">
        <f>(IF(Optimalisatie!C47="Nieuwe Situatie",_xlfn.IFNA(IF(Optimalisatie!E47="Categorie_1_LCA_Producten",VLOOKUP(Inschrijf_CO2_Totaal[[#This Row],[Product]],Categorie_1_Producten[#All],14,FALSE)*(Optimalisatie!J47),VLOOKUP(Inschrijf_CO2_Totaal[[#This Row],[Product]]&amp;", "&amp;Inschrijf_CO2_Totaal[[#Headers],[A1]],Database_Productkaarten[#All],18,FALSE)*Optimalisatie!J47),Baseline_Backlog!D150),0))</f>
        <v>0</v>
      </c>
      <c r="E150" s="91">
        <f>(IF(Optimalisatie!C47="Nieuwe Situatie",_xlfn.IFNA(IF(Optimalisatie!E47="Categorie_1_LCA_Producten",VLOOKUP(Inschrijf_CO2_Totaal[[#This Row],[Product]],Categorie_1_Producten[#All],15,FALSE)*(Optimalisatie!J47),VLOOKUP(Inschrijf_CO2_Totaal[[#This Row],[Product]]&amp;", "&amp;Inschrijf_CO2_Totaal[[#Headers],[A2]],Database_Productkaarten[#All],18,FALSE)*Optimalisatie!J47),Baseline_Backlog!E150),0))</f>
        <v>0</v>
      </c>
      <c r="F150" s="91">
        <f>(IF(Optimalisatie!C47="Nieuwe Situatie",_xlfn.IFNA(IF(Optimalisatie!E47="Categorie_1_LCA_Producten",VLOOKUP(Inschrijf_CO2_Totaal[[#This Row],[Product]],Categorie_1_Producten[#All],16,FALSE)*(Optimalisatie!J47),VLOOKUP(Inschrijf_CO2_Totaal[[#This Row],[Product]]&amp;", "&amp;Inschrijf_CO2_Totaal[[#Headers],[A3]],Database_Productkaarten[#All],18,FALSE)*Optimalisatie!J47),Baseline_Backlog!F150),0))</f>
        <v>0</v>
      </c>
      <c r="G150" s="91">
        <f>(IF(Optimalisatie!C47="Nieuwe Situatie",_xlfn.IFNA(IF(Optimalisatie!E47="Categorie_1_LCA_Producten",VLOOKUP(Inschrijf_CO2_Totaal[[#This Row],[Product]],Categorie_1_Producten[#All],19,FALSE)*(Optimalisatie!J47),VLOOKUP(Inschrijf_CO2_Totaal[[#This Row],[Product]]&amp;", "&amp;Inschrijf_CO2_Totaal[[#Headers],[A1-A3]],Database_Productkaarten[#All],18,FALSE)*Optimalisatie!J47),Baseline_Backlog!G150),0))</f>
        <v>0</v>
      </c>
      <c r="H150" s="91">
        <f>(IF(Optimalisatie!C47="Nieuwe Situatie",_xlfn.IFNA(VLOOKUP(Optimalisatie!V47,Database_Transport[#All],12,FALSE)*(Optimalisatie!R47*Optimalisatie!U47),Baseline_Backlog!H150),0))</f>
        <v>0</v>
      </c>
      <c r="I150" s="91">
        <f>IF(Optimalisatie!C47="Nieuwe situatie",IF(_xlfn.IFNA((VLOOKUP(Optimalisatie!W47,Database_Asfalt_Aanlegset[#All],12,FALSE)*Optimalisatie!J47),0)+_xlfn.IFNA(VLOOKUP(Optimalisatie!X47,Database_Brandstoffen[#All],12,FALSE)*((Optimalisatie!J47/Optimalisatie!Z47)*Optimalisatie!Y47),0)&gt;0,_xlfn.IFNA((VLOOKUP(Optimalisatie!W47,Database_Asfalt_Aanlegset[#All],12,FALSE)*Optimalisatie!J47),0)+_xlfn.IFNA(VLOOKUP(Optimalisatie!X47,Database_Brandstoffen[#All],12,FALSE)*((Optimalisatie!J47/Optimalisatie!Z47)*Optimalisatie!Y47),0),(_xlfn.IFNA(VLOOKUP(Inschrijf_CO2_Totaal[[#This Row],[Product]]&amp;", "&amp;Inschrijf_MKI_Totaal[[#Headers],[A5]],Database_Productkaarten[#All],18,FALSE),0)*Optimalisatie!J47)),0)</f>
        <v>0</v>
      </c>
      <c r="J150" s="91">
        <f>(IF(Optimalisatie!C47="Nieuwe Situatie",_xlfn.IFNA(IF(Optimalisatie!E47="Categorie_1_LCA_Producten",VLOOKUP(Inschrijf_CO2_Totaal[[#This Row],[Product]],Categorie_1_Producten[#All],20,FALSE)*(Optimalisatie!R47),VLOOKUP(Inschrijf_CO2_Totaal[[#This Row],[Product]]&amp;", "&amp;Inschrijf_CO2_Totaal[[#Headers],[B1]],Database_Productkaarten[#All],18,FALSE)*Optimalisatie!J47),Baseline_Backlog!J150),0))</f>
        <v>0</v>
      </c>
      <c r="K150" s="91">
        <f>(IF(Optimalisatie!C47="Nieuwe Situatie",_xlfn.IFNA(SUM(Inschrijf_CO2_Totaal[[#This Row],[A1]:[B1]],Inschrijf_CO2_Totaal[[#This Row],[C1]:[D2]])*Optimalisatie!T47,0),0))</f>
        <v>0</v>
      </c>
      <c r="L150" s="91">
        <f>IF(Optimalisatie!C47="Bestaande situatie",IF(_xlfn.IFNA((VLOOKUP(Optimalisatie!AA47,Database_Asfalt_Verwijderset[#All],12,FALSE)*Optimalisatie!J47),0)+_xlfn.IFNA(VLOOKUP(Optimalisatie!AB47,Database_Brandstoffen[#All],12,FALSE)*((Optimalisatie!J47/Optimalisatie!AD47)*Optimalisatie!AC47),0)&gt;0,_xlfn.IFNA((VLOOKUP(Optimalisatie!AA47,Database_Asfalt_Verwijderset[#All],12,FALSE)*Optimalisatie!J47),0)+_xlfn.IFNA(VLOOKUP(Optimalisatie!AB47,Database_Brandstoffen[#All],12,FALSE)*((Optimalisatie!J47/Optimalisatie!AD47)*Optimalisatie!AC47),0),(_xlfn.IFNA(VLOOKUP(Inschrijf_CO2_Totaal[[#This Row],[Product]]&amp;", "&amp;Inschrijf_MKI_Totaal[[#Headers],[C1]],Database_Productkaarten[#All],18,FALSE),0)*Optimalisatie!J47)),0)</f>
        <v>0</v>
      </c>
      <c r="M150" s="91">
        <f>(IF(Optimalisatie!C47="Bestaande Situatie",_xlfn.IFNA(VLOOKUP(Optimalisatie!AF47,Database_Transport[#All],12,FALSE)*(Optimalisatie!R47*Optimalisatie!AE47),Baseline_Backlog!M150),0))</f>
        <v>0</v>
      </c>
      <c r="N150" s="91">
        <f>(IF(Optimalisatie!C47="Bestaande Situatie",_xlfn.IFNA(VLOOKUP(Optimalisatie!AG47,Database_Asfalt_Verwerkingsset[#All],12,FALSE)*(Optimalisatie!J47/VLOOKUP(Optimalisatie!AG47,Database_Asfalt_Verwerkingsset[#All],12,FALSE)),Baseline_Backlog!N150),0))</f>
        <v>0</v>
      </c>
      <c r="O150" s="91">
        <f>(IF(Optimalisatie!C47="Bestaande Situatie",_xlfn.IFNA(VLOOKUP(Inschrijf_CO2_Totaal[[#This Row],[Product]]&amp;", "&amp;Inschrijf_CO2_Totaal[[#Headers],[C4]],Database_Productkaarten[#All],18,FALSE)*Optimalisatie!J47,Baseline_Backlog!O150),0))</f>
        <v>0</v>
      </c>
      <c r="P150" s="91">
        <f>(IF(Optimalisatie!C47="Bestaande Situatie",_xlfn.IFNA(IF(Optimalisatie!E47="Categorie_1_LCA_Producten",VLOOKUP(Inschrijf_CO2_Totaal[[#This Row],[Product]],Categorie_1_Producten[#All],18,FALSE)*(Optimalisatie!J47),VLOOKUP(Inschrijf_CO2_Totaal[[#This Row],[Product]]&amp;", "&amp;Inschrijf_CO2_Totaal[[#Headers],[D1]],Database_Productkaarten[#All],18,FALSE)*Optimalisatie!J47),Baseline_Backlog!P150),0))</f>
        <v>0</v>
      </c>
      <c r="Q150" s="91">
        <f>(IF(Optimalisatie!C47="Bestaande Situatie",_xlfn.IFNA(IF(Optimalisatie!E47="Categorie_1_LCA_Producten",VLOOKUP(Inschrijf_CO2_Totaal[[#This Row],[Product]],Categorie_1_Producten[#All],19,FALSE)*(Optimalisatie!J47),VLOOKUP(Inschrijf_CO2_Totaal[[#This Row],[Product]]&amp;", "&amp;Inschrijf_CO2_Totaal[[#Headers],[D2]],Database_Productkaarten[#All],18,FALSE)*Optimalisatie!J47),Baseline_Backlog!Q150),0))</f>
        <v>0</v>
      </c>
      <c r="R150" s="91">
        <f>(IF(Optimalisatie!C47="Bestaande Situatie",_xlfn.IFNA(IF(Optimalisatie!E47="Categorie_1_LCA_Producten",VLOOKUP(Inschrijf_CO2_Totaal[[#This Row],[Product]],Categorie_1_Producten[#All],21,FALSE)*(Optimalisatie!J47),VLOOKUP(Inschrijf_CO2_Totaal[[#This Row],[Product]]&amp;", "&amp;Inschrijf_CO2_Totaal[[#Headers],[D]],Database_Productkaarten[#All],18,FALSE)*Optimalisatie!J47),Baseline_Backlog!S150),0))</f>
        <v>0</v>
      </c>
      <c r="S150" s="91">
        <f>SUM(Inschrijf_CO2_Totaal[[#This Row],[A1-A3]:[C4]])+Inschrijf_CO2_Totaal[[#This Row],[D]]</f>
        <v>0</v>
      </c>
    </row>
    <row r="151" spans="2:19">
      <c r="B151" s="208">
        <f>Optimalisatie!B48</f>
        <v>0</v>
      </c>
      <c r="C151" s="1">
        <f>Optimalisatie!F48</f>
        <v>0</v>
      </c>
      <c r="D151" s="91">
        <f>(IF(Optimalisatie!C48="Nieuwe Situatie",_xlfn.IFNA(IF(Optimalisatie!E48="Categorie_1_LCA_Producten",VLOOKUP(Inschrijf_CO2_Totaal[[#This Row],[Product]],Categorie_1_Producten[#All],14,FALSE)*(Optimalisatie!J48),VLOOKUP(Inschrijf_CO2_Totaal[[#This Row],[Product]]&amp;", "&amp;Inschrijf_CO2_Totaal[[#Headers],[A1]],Database_Productkaarten[#All],18,FALSE)*Optimalisatie!J48),Baseline_Backlog!D151),0))</f>
        <v>0</v>
      </c>
      <c r="E151" s="91">
        <f>(IF(Optimalisatie!C48="Nieuwe Situatie",_xlfn.IFNA(IF(Optimalisatie!E48="Categorie_1_LCA_Producten",VLOOKUP(Inschrijf_CO2_Totaal[[#This Row],[Product]],Categorie_1_Producten[#All],15,FALSE)*(Optimalisatie!J48),VLOOKUP(Inschrijf_CO2_Totaal[[#This Row],[Product]]&amp;", "&amp;Inschrijf_CO2_Totaal[[#Headers],[A2]],Database_Productkaarten[#All],18,FALSE)*Optimalisatie!J48),Baseline_Backlog!E151),0))</f>
        <v>0</v>
      </c>
      <c r="F151" s="91">
        <f>(IF(Optimalisatie!C48="Nieuwe Situatie",_xlfn.IFNA(IF(Optimalisatie!E48="Categorie_1_LCA_Producten",VLOOKUP(Inschrijf_CO2_Totaal[[#This Row],[Product]],Categorie_1_Producten[#All],16,FALSE)*(Optimalisatie!J48),VLOOKUP(Inschrijf_CO2_Totaal[[#This Row],[Product]]&amp;", "&amp;Inschrijf_CO2_Totaal[[#Headers],[A3]],Database_Productkaarten[#All],18,FALSE)*Optimalisatie!J48),Baseline_Backlog!F151),0))</f>
        <v>0</v>
      </c>
      <c r="G151" s="91">
        <f>(IF(Optimalisatie!C48="Nieuwe Situatie",_xlfn.IFNA(IF(Optimalisatie!E48="Categorie_1_LCA_Producten",VLOOKUP(Inschrijf_CO2_Totaal[[#This Row],[Product]],Categorie_1_Producten[#All],19,FALSE)*(Optimalisatie!J48),VLOOKUP(Inschrijf_CO2_Totaal[[#This Row],[Product]]&amp;", "&amp;Inschrijf_CO2_Totaal[[#Headers],[A1-A3]],Database_Productkaarten[#All],18,FALSE)*Optimalisatie!J48),Baseline_Backlog!G151),0))</f>
        <v>0</v>
      </c>
      <c r="H151" s="91">
        <f>(IF(Optimalisatie!C48="Nieuwe Situatie",_xlfn.IFNA(VLOOKUP(Optimalisatie!V48,Database_Transport[#All],12,FALSE)*(Optimalisatie!R48*Optimalisatie!U48),Baseline_Backlog!H151),0))</f>
        <v>0</v>
      </c>
      <c r="I151" s="91">
        <f>IF(Optimalisatie!C48="Nieuwe situatie",IF(_xlfn.IFNA((VLOOKUP(Optimalisatie!W48,Database_Asfalt_Aanlegset[#All],12,FALSE)*Optimalisatie!J48),0)+_xlfn.IFNA(VLOOKUP(Optimalisatie!X48,Database_Brandstoffen[#All],12,FALSE)*((Optimalisatie!J48/Optimalisatie!Z48)*Optimalisatie!Y48),0)&gt;0,_xlfn.IFNA((VLOOKUP(Optimalisatie!W48,Database_Asfalt_Aanlegset[#All],12,FALSE)*Optimalisatie!J48),0)+_xlfn.IFNA(VLOOKUP(Optimalisatie!X48,Database_Brandstoffen[#All],12,FALSE)*((Optimalisatie!J48/Optimalisatie!Z48)*Optimalisatie!Y48),0),(_xlfn.IFNA(VLOOKUP(Inschrijf_CO2_Totaal[[#This Row],[Product]]&amp;", "&amp;Inschrijf_MKI_Totaal[[#Headers],[A5]],Database_Productkaarten[#All],18,FALSE),0)*Optimalisatie!J48)),0)</f>
        <v>0</v>
      </c>
      <c r="J151" s="91">
        <f>(IF(Optimalisatie!C48="Nieuwe Situatie",_xlfn.IFNA(IF(Optimalisatie!E48="Categorie_1_LCA_Producten",VLOOKUP(Inschrijf_CO2_Totaal[[#This Row],[Product]],Categorie_1_Producten[#All],20,FALSE)*(Optimalisatie!R48),VLOOKUP(Inschrijf_CO2_Totaal[[#This Row],[Product]]&amp;", "&amp;Inschrijf_CO2_Totaal[[#Headers],[B1]],Database_Productkaarten[#All],18,FALSE)*Optimalisatie!J48),Baseline_Backlog!J151),0))</f>
        <v>0</v>
      </c>
      <c r="K151" s="91">
        <f>(IF(Optimalisatie!C48="Nieuwe Situatie",_xlfn.IFNA(SUM(Inschrijf_CO2_Totaal[[#This Row],[A1]:[B1]],Inschrijf_CO2_Totaal[[#This Row],[C1]:[D2]])*Optimalisatie!T48,0),0))</f>
        <v>0</v>
      </c>
      <c r="L151" s="91">
        <f>IF(Optimalisatie!C48="Bestaande situatie",IF(_xlfn.IFNA((VLOOKUP(Optimalisatie!AA48,Database_Asfalt_Verwijderset[#All],12,FALSE)*Optimalisatie!J48),0)+_xlfn.IFNA(VLOOKUP(Optimalisatie!AB48,Database_Brandstoffen[#All],12,FALSE)*((Optimalisatie!J48/Optimalisatie!AD48)*Optimalisatie!AC48),0)&gt;0,_xlfn.IFNA((VLOOKUP(Optimalisatie!AA48,Database_Asfalt_Verwijderset[#All],12,FALSE)*Optimalisatie!J48),0)+_xlfn.IFNA(VLOOKUP(Optimalisatie!AB48,Database_Brandstoffen[#All],12,FALSE)*((Optimalisatie!J48/Optimalisatie!AD48)*Optimalisatie!AC48),0),(_xlfn.IFNA(VLOOKUP(Inschrijf_CO2_Totaal[[#This Row],[Product]]&amp;", "&amp;Inschrijf_MKI_Totaal[[#Headers],[C1]],Database_Productkaarten[#All],18,FALSE),0)*Optimalisatie!J48)),0)</f>
        <v>0</v>
      </c>
      <c r="M151" s="91">
        <f>(IF(Optimalisatie!C48="Bestaande Situatie",_xlfn.IFNA(VLOOKUP(Optimalisatie!AF48,Database_Transport[#All],12,FALSE)*(Optimalisatie!R48*Optimalisatie!AE48),Baseline_Backlog!M151),0))</f>
        <v>0</v>
      </c>
      <c r="N151" s="91">
        <f>(IF(Optimalisatie!C48="Bestaande Situatie",_xlfn.IFNA(VLOOKUP(Optimalisatie!AG48,Database_Asfalt_Verwerkingsset[#All],12,FALSE)*(Optimalisatie!J48/VLOOKUP(Optimalisatie!AG48,Database_Asfalt_Verwerkingsset[#All],12,FALSE)),Baseline_Backlog!N151),0))</f>
        <v>0</v>
      </c>
      <c r="O151" s="91">
        <f>(IF(Optimalisatie!C48="Bestaande Situatie",_xlfn.IFNA(VLOOKUP(Inschrijf_CO2_Totaal[[#This Row],[Product]]&amp;", "&amp;Inschrijf_CO2_Totaal[[#Headers],[C4]],Database_Productkaarten[#All],18,FALSE)*Optimalisatie!J48,Baseline_Backlog!O151),0))</f>
        <v>0</v>
      </c>
      <c r="P151" s="91">
        <f>(IF(Optimalisatie!C48="Bestaande Situatie",_xlfn.IFNA(IF(Optimalisatie!E48="Categorie_1_LCA_Producten",VLOOKUP(Inschrijf_CO2_Totaal[[#This Row],[Product]],Categorie_1_Producten[#All],18,FALSE)*(Optimalisatie!J48),VLOOKUP(Inschrijf_CO2_Totaal[[#This Row],[Product]]&amp;", "&amp;Inschrijf_CO2_Totaal[[#Headers],[D1]],Database_Productkaarten[#All],18,FALSE)*Optimalisatie!J48),Baseline_Backlog!P151),0))</f>
        <v>0</v>
      </c>
      <c r="Q151" s="91">
        <f>(IF(Optimalisatie!C48="Bestaande Situatie",_xlfn.IFNA(IF(Optimalisatie!E48="Categorie_1_LCA_Producten",VLOOKUP(Inschrijf_CO2_Totaal[[#This Row],[Product]],Categorie_1_Producten[#All],19,FALSE)*(Optimalisatie!J48),VLOOKUP(Inschrijf_CO2_Totaal[[#This Row],[Product]]&amp;", "&amp;Inschrijf_CO2_Totaal[[#Headers],[D2]],Database_Productkaarten[#All],18,FALSE)*Optimalisatie!J48),Baseline_Backlog!Q151),0))</f>
        <v>0</v>
      </c>
      <c r="R151" s="91">
        <f>(IF(Optimalisatie!C48="Bestaande Situatie",_xlfn.IFNA(IF(Optimalisatie!E48="Categorie_1_LCA_Producten",VLOOKUP(Inschrijf_CO2_Totaal[[#This Row],[Product]],Categorie_1_Producten[#All],21,FALSE)*(Optimalisatie!J48),VLOOKUP(Inschrijf_CO2_Totaal[[#This Row],[Product]]&amp;", "&amp;Inschrijf_CO2_Totaal[[#Headers],[D]],Database_Productkaarten[#All],18,FALSE)*Optimalisatie!J48),Baseline_Backlog!S151),0))</f>
        <v>0</v>
      </c>
      <c r="S151" s="91">
        <f>SUM(Inschrijf_CO2_Totaal[[#This Row],[A1-A3]:[C4]])+Inschrijf_CO2_Totaal[[#This Row],[D]]</f>
        <v>0</v>
      </c>
    </row>
    <row r="152" spans="2:19">
      <c r="B152" s="208">
        <f>Optimalisatie!B49</f>
        <v>0</v>
      </c>
      <c r="C152" s="1">
        <f>Optimalisatie!F49</f>
        <v>0</v>
      </c>
      <c r="D152" s="91">
        <f>(IF(Optimalisatie!C49="Nieuwe Situatie",_xlfn.IFNA(IF(Optimalisatie!E49="Categorie_1_LCA_Producten",VLOOKUP(Inschrijf_CO2_Totaal[[#This Row],[Product]],Categorie_1_Producten[#All],14,FALSE)*(Optimalisatie!J49),VLOOKUP(Inschrijf_CO2_Totaal[[#This Row],[Product]]&amp;", "&amp;Inschrijf_CO2_Totaal[[#Headers],[A1]],Database_Productkaarten[#All],18,FALSE)*Optimalisatie!J49),Baseline_Backlog!D152),0))</f>
        <v>0</v>
      </c>
      <c r="E152" s="91">
        <f>(IF(Optimalisatie!C49="Nieuwe Situatie",_xlfn.IFNA(IF(Optimalisatie!E49="Categorie_1_LCA_Producten",VLOOKUP(Inschrijf_CO2_Totaal[[#This Row],[Product]],Categorie_1_Producten[#All],15,FALSE)*(Optimalisatie!J49),VLOOKUP(Inschrijf_CO2_Totaal[[#This Row],[Product]]&amp;", "&amp;Inschrijf_CO2_Totaal[[#Headers],[A2]],Database_Productkaarten[#All],18,FALSE)*Optimalisatie!J49),Baseline_Backlog!E152),0))</f>
        <v>0</v>
      </c>
      <c r="F152" s="91">
        <f>(IF(Optimalisatie!C49="Nieuwe Situatie",_xlfn.IFNA(IF(Optimalisatie!E49="Categorie_1_LCA_Producten",VLOOKUP(Inschrijf_CO2_Totaal[[#This Row],[Product]],Categorie_1_Producten[#All],16,FALSE)*(Optimalisatie!J49),VLOOKUP(Inschrijf_CO2_Totaal[[#This Row],[Product]]&amp;", "&amp;Inschrijf_CO2_Totaal[[#Headers],[A3]],Database_Productkaarten[#All],18,FALSE)*Optimalisatie!J49),Baseline_Backlog!F152),0))</f>
        <v>0</v>
      </c>
      <c r="G152" s="91">
        <f>(IF(Optimalisatie!C49="Nieuwe Situatie",_xlfn.IFNA(IF(Optimalisatie!E49="Categorie_1_LCA_Producten",VLOOKUP(Inschrijf_CO2_Totaal[[#This Row],[Product]],Categorie_1_Producten[#All],19,FALSE)*(Optimalisatie!J49),VLOOKUP(Inschrijf_CO2_Totaal[[#This Row],[Product]]&amp;", "&amp;Inschrijf_CO2_Totaal[[#Headers],[A1-A3]],Database_Productkaarten[#All],18,FALSE)*Optimalisatie!J49),Baseline_Backlog!G152),0))</f>
        <v>0</v>
      </c>
      <c r="H152" s="91">
        <f>(IF(Optimalisatie!C49="Nieuwe Situatie",_xlfn.IFNA(VLOOKUP(Optimalisatie!V49,Database_Transport[#All],12,FALSE)*(Optimalisatie!R49*Optimalisatie!U49),Baseline_Backlog!H152),0))</f>
        <v>0</v>
      </c>
      <c r="I152" s="91">
        <f>IF(Optimalisatie!C49="Nieuwe situatie",IF(_xlfn.IFNA((VLOOKUP(Optimalisatie!W49,Database_Asfalt_Aanlegset[#All],12,FALSE)*Optimalisatie!J49),0)+_xlfn.IFNA(VLOOKUP(Optimalisatie!X49,Database_Brandstoffen[#All],12,FALSE)*((Optimalisatie!J49/Optimalisatie!Z49)*Optimalisatie!Y49),0)&gt;0,_xlfn.IFNA((VLOOKUP(Optimalisatie!W49,Database_Asfalt_Aanlegset[#All],12,FALSE)*Optimalisatie!J49),0)+_xlfn.IFNA(VLOOKUP(Optimalisatie!X49,Database_Brandstoffen[#All],12,FALSE)*((Optimalisatie!J49/Optimalisatie!Z49)*Optimalisatie!Y49),0),(_xlfn.IFNA(VLOOKUP(Inschrijf_CO2_Totaal[[#This Row],[Product]]&amp;", "&amp;Inschrijf_MKI_Totaal[[#Headers],[A5]],Database_Productkaarten[#All],18,FALSE),0)*Optimalisatie!J49)),0)</f>
        <v>0</v>
      </c>
      <c r="J152" s="91">
        <f>(IF(Optimalisatie!C49="Nieuwe Situatie",_xlfn.IFNA(IF(Optimalisatie!E49="Categorie_1_LCA_Producten",VLOOKUP(Inschrijf_CO2_Totaal[[#This Row],[Product]],Categorie_1_Producten[#All],20,FALSE)*(Optimalisatie!R49),VLOOKUP(Inschrijf_CO2_Totaal[[#This Row],[Product]]&amp;", "&amp;Inschrijf_CO2_Totaal[[#Headers],[B1]],Database_Productkaarten[#All],18,FALSE)*Optimalisatie!J49),Baseline_Backlog!J152),0))</f>
        <v>0</v>
      </c>
      <c r="K152" s="91">
        <f>(IF(Optimalisatie!C49="Nieuwe Situatie",_xlfn.IFNA(SUM(Inschrijf_CO2_Totaal[[#This Row],[A1]:[B1]],Inschrijf_CO2_Totaal[[#This Row],[C1]:[D2]])*Optimalisatie!T49,0),0))</f>
        <v>0</v>
      </c>
      <c r="L152" s="91">
        <f>IF(Optimalisatie!C49="Bestaande situatie",IF(_xlfn.IFNA((VLOOKUP(Optimalisatie!AA49,Database_Asfalt_Verwijderset[#All],12,FALSE)*Optimalisatie!J49),0)+_xlfn.IFNA(VLOOKUP(Optimalisatie!AB49,Database_Brandstoffen[#All],12,FALSE)*((Optimalisatie!J49/Optimalisatie!AD49)*Optimalisatie!AC49),0)&gt;0,_xlfn.IFNA((VLOOKUP(Optimalisatie!AA49,Database_Asfalt_Verwijderset[#All],12,FALSE)*Optimalisatie!J49),0)+_xlfn.IFNA(VLOOKUP(Optimalisatie!AB49,Database_Brandstoffen[#All],12,FALSE)*((Optimalisatie!J49/Optimalisatie!AD49)*Optimalisatie!AC49),0),(_xlfn.IFNA(VLOOKUP(Inschrijf_CO2_Totaal[[#This Row],[Product]]&amp;", "&amp;Inschrijf_MKI_Totaal[[#Headers],[C1]],Database_Productkaarten[#All],18,FALSE),0)*Optimalisatie!J49)),0)</f>
        <v>0</v>
      </c>
      <c r="M152" s="91">
        <f>(IF(Optimalisatie!C49="Bestaande Situatie",_xlfn.IFNA(VLOOKUP(Optimalisatie!AF49,Database_Transport[#All],12,FALSE)*(Optimalisatie!R49*Optimalisatie!AE49),Baseline_Backlog!M152),0))</f>
        <v>0</v>
      </c>
      <c r="N152" s="91">
        <f>(IF(Optimalisatie!C49="Bestaande Situatie",_xlfn.IFNA(VLOOKUP(Optimalisatie!AG49,Database_Asfalt_Verwerkingsset[#All],12,FALSE)*(Optimalisatie!J49/VLOOKUP(Optimalisatie!AG49,Database_Asfalt_Verwerkingsset[#All],12,FALSE)),Baseline_Backlog!N152),0))</f>
        <v>0</v>
      </c>
      <c r="O152" s="91">
        <f>(IF(Optimalisatie!C49="Bestaande Situatie",_xlfn.IFNA(VLOOKUP(Inschrijf_CO2_Totaal[[#This Row],[Product]]&amp;", "&amp;Inschrijf_CO2_Totaal[[#Headers],[C4]],Database_Productkaarten[#All],18,FALSE)*Optimalisatie!J49,Baseline_Backlog!O152),0))</f>
        <v>0</v>
      </c>
      <c r="P152" s="91">
        <f>(IF(Optimalisatie!C49="Bestaande Situatie",_xlfn.IFNA(IF(Optimalisatie!E49="Categorie_1_LCA_Producten",VLOOKUP(Inschrijf_CO2_Totaal[[#This Row],[Product]],Categorie_1_Producten[#All],18,FALSE)*(Optimalisatie!J49),VLOOKUP(Inschrijf_CO2_Totaal[[#This Row],[Product]]&amp;", "&amp;Inschrijf_CO2_Totaal[[#Headers],[D1]],Database_Productkaarten[#All],18,FALSE)*Optimalisatie!J49),Baseline_Backlog!P152),0))</f>
        <v>0</v>
      </c>
      <c r="Q152" s="91">
        <f>(IF(Optimalisatie!C49="Bestaande Situatie",_xlfn.IFNA(IF(Optimalisatie!E49="Categorie_1_LCA_Producten",VLOOKUP(Inschrijf_CO2_Totaal[[#This Row],[Product]],Categorie_1_Producten[#All],19,FALSE)*(Optimalisatie!J49),VLOOKUP(Inschrijf_CO2_Totaal[[#This Row],[Product]]&amp;", "&amp;Inschrijf_CO2_Totaal[[#Headers],[D2]],Database_Productkaarten[#All],18,FALSE)*Optimalisatie!J49),Baseline_Backlog!Q152),0))</f>
        <v>0</v>
      </c>
      <c r="R152" s="91">
        <f>(IF(Optimalisatie!C49="Bestaande Situatie",_xlfn.IFNA(IF(Optimalisatie!E49="Categorie_1_LCA_Producten",VLOOKUP(Inschrijf_CO2_Totaal[[#This Row],[Product]],Categorie_1_Producten[#All],21,FALSE)*(Optimalisatie!J49),VLOOKUP(Inschrijf_CO2_Totaal[[#This Row],[Product]]&amp;", "&amp;Inschrijf_CO2_Totaal[[#Headers],[D]],Database_Productkaarten[#All],18,FALSE)*Optimalisatie!J49),Baseline_Backlog!S152),0))</f>
        <v>0</v>
      </c>
      <c r="S152" s="91">
        <f>SUM(Inschrijf_CO2_Totaal[[#This Row],[A1-A3]:[C4]])+Inschrijf_CO2_Totaal[[#This Row],[D]]</f>
        <v>0</v>
      </c>
    </row>
    <row r="153" spans="2:19">
      <c r="B153" s="208">
        <f>Optimalisatie!B50</f>
        <v>0</v>
      </c>
      <c r="C153" s="1">
        <f>Optimalisatie!F50</f>
        <v>0</v>
      </c>
      <c r="D153" s="91">
        <f>(IF(Optimalisatie!C50="Nieuwe Situatie",_xlfn.IFNA(IF(Optimalisatie!E50="Categorie_1_LCA_Producten",VLOOKUP(Inschrijf_CO2_Totaal[[#This Row],[Product]],Categorie_1_Producten[#All],14,FALSE)*(Optimalisatie!J50),VLOOKUP(Inschrijf_CO2_Totaal[[#This Row],[Product]]&amp;", "&amp;Inschrijf_CO2_Totaal[[#Headers],[A1]],Database_Productkaarten[#All],18,FALSE)*Optimalisatie!J50),Baseline_Backlog!D153),0))</f>
        <v>0</v>
      </c>
      <c r="E153" s="91">
        <f>(IF(Optimalisatie!C50="Nieuwe Situatie",_xlfn.IFNA(IF(Optimalisatie!E50="Categorie_1_LCA_Producten",VLOOKUP(Inschrijf_CO2_Totaal[[#This Row],[Product]],Categorie_1_Producten[#All],15,FALSE)*(Optimalisatie!J50),VLOOKUP(Inschrijf_CO2_Totaal[[#This Row],[Product]]&amp;", "&amp;Inschrijf_CO2_Totaal[[#Headers],[A2]],Database_Productkaarten[#All],18,FALSE)*Optimalisatie!J50),Baseline_Backlog!E153),0))</f>
        <v>0</v>
      </c>
      <c r="F153" s="91">
        <f>(IF(Optimalisatie!C50="Nieuwe Situatie",_xlfn.IFNA(IF(Optimalisatie!E50="Categorie_1_LCA_Producten",VLOOKUP(Inschrijf_CO2_Totaal[[#This Row],[Product]],Categorie_1_Producten[#All],16,FALSE)*(Optimalisatie!J50),VLOOKUP(Inschrijf_CO2_Totaal[[#This Row],[Product]]&amp;", "&amp;Inschrijf_CO2_Totaal[[#Headers],[A3]],Database_Productkaarten[#All],18,FALSE)*Optimalisatie!J50),Baseline_Backlog!F153),0))</f>
        <v>0</v>
      </c>
      <c r="G153" s="91">
        <f>(IF(Optimalisatie!C50="Nieuwe Situatie",_xlfn.IFNA(IF(Optimalisatie!E50="Categorie_1_LCA_Producten",VLOOKUP(Inschrijf_CO2_Totaal[[#This Row],[Product]],Categorie_1_Producten[#All],19,FALSE)*(Optimalisatie!J50),VLOOKUP(Inschrijf_CO2_Totaal[[#This Row],[Product]]&amp;", "&amp;Inschrijf_CO2_Totaal[[#Headers],[A1-A3]],Database_Productkaarten[#All],18,FALSE)*Optimalisatie!J50),Baseline_Backlog!G153),0))</f>
        <v>0</v>
      </c>
      <c r="H153" s="91">
        <f>(IF(Optimalisatie!C50="Nieuwe Situatie",_xlfn.IFNA(VLOOKUP(Optimalisatie!V50,Database_Transport[#All],12,FALSE)*(Optimalisatie!R50*Optimalisatie!U50),Baseline_Backlog!H153),0))</f>
        <v>0</v>
      </c>
      <c r="I153" s="91">
        <f>IF(Optimalisatie!C50="Nieuwe situatie",IF(_xlfn.IFNA((VLOOKUP(Optimalisatie!W50,Database_Asfalt_Aanlegset[#All],12,FALSE)*Optimalisatie!J50),0)+_xlfn.IFNA(VLOOKUP(Optimalisatie!X50,Database_Brandstoffen[#All],12,FALSE)*((Optimalisatie!J50/Optimalisatie!Z50)*Optimalisatie!Y50),0)&gt;0,_xlfn.IFNA((VLOOKUP(Optimalisatie!W50,Database_Asfalt_Aanlegset[#All],12,FALSE)*Optimalisatie!J50),0)+_xlfn.IFNA(VLOOKUP(Optimalisatie!X50,Database_Brandstoffen[#All],12,FALSE)*((Optimalisatie!J50/Optimalisatie!Z50)*Optimalisatie!Y50),0),(_xlfn.IFNA(VLOOKUP(Inschrijf_CO2_Totaal[[#This Row],[Product]]&amp;", "&amp;Inschrijf_MKI_Totaal[[#Headers],[A5]],Database_Productkaarten[#All],18,FALSE),0)*Optimalisatie!J50)),0)</f>
        <v>0</v>
      </c>
      <c r="J153" s="91">
        <f>(IF(Optimalisatie!C50="Nieuwe Situatie",_xlfn.IFNA(IF(Optimalisatie!E50="Categorie_1_LCA_Producten",VLOOKUP(Inschrijf_CO2_Totaal[[#This Row],[Product]],Categorie_1_Producten[#All],20,FALSE)*(Optimalisatie!R50),VLOOKUP(Inschrijf_CO2_Totaal[[#This Row],[Product]]&amp;", "&amp;Inschrijf_CO2_Totaal[[#Headers],[B1]],Database_Productkaarten[#All],18,FALSE)*Optimalisatie!J50),Baseline_Backlog!J153),0))</f>
        <v>0</v>
      </c>
      <c r="K153" s="91">
        <f>(IF(Optimalisatie!C50="Nieuwe Situatie",_xlfn.IFNA(SUM(Inschrijf_CO2_Totaal[[#This Row],[A1]:[B1]],Inschrijf_CO2_Totaal[[#This Row],[C1]:[D2]])*Optimalisatie!T50,0),0))</f>
        <v>0</v>
      </c>
      <c r="L153" s="91">
        <f>IF(Optimalisatie!C50="Bestaande situatie",IF(_xlfn.IFNA((VLOOKUP(Optimalisatie!AA50,Database_Asfalt_Verwijderset[#All],12,FALSE)*Optimalisatie!J50),0)+_xlfn.IFNA(VLOOKUP(Optimalisatie!AB50,Database_Brandstoffen[#All],12,FALSE)*((Optimalisatie!J50/Optimalisatie!AD50)*Optimalisatie!AC50),0)&gt;0,_xlfn.IFNA((VLOOKUP(Optimalisatie!AA50,Database_Asfalt_Verwijderset[#All],12,FALSE)*Optimalisatie!J50),0)+_xlfn.IFNA(VLOOKUP(Optimalisatie!AB50,Database_Brandstoffen[#All],12,FALSE)*((Optimalisatie!J50/Optimalisatie!AD50)*Optimalisatie!AC50),0),(_xlfn.IFNA(VLOOKUP(Inschrijf_CO2_Totaal[[#This Row],[Product]]&amp;", "&amp;Inschrijf_MKI_Totaal[[#Headers],[C1]],Database_Productkaarten[#All],18,FALSE),0)*Optimalisatie!J50)),0)</f>
        <v>0</v>
      </c>
      <c r="M153" s="91">
        <f>(IF(Optimalisatie!C50="Bestaande Situatie",_xlfn.IFNA(VLOOKUP(Optimalisatie!AF50,Database_Transport[#All],12,FALSE)*(Optimalisatie!R50*Optimalisatie!AE50),Baseline_Backlog!M153),0))</f>
        <v>0</v>
      </c>
      <c r="N153" s="91">
        <f>(IF(Optimalisatie!C50="Bestaande Situatie",_xlfn.IFNA(VLOOKUP(Optimalisatie!AG50,Database_Asfalt_Verwerkingsset[#All],12,FALSE)*(Optimalisatie!J50/VLOOKUP(Optimalisatie!AG50,Database_Asfalt_Verwerkingsset[#All],12,FALSE)),Baseline_Backlog!N153),0))</f>
        <v>0</v>
      </c>
      <c r="O153" s="91">
        <f>(IF(Optimalisatie!C50="Bestaande Situatie",_xlfn.IFNA(VLOOKUP(Inschrijf_CO2_Totaal[[#This Row],[Product]]&amp;", "&amp;Inschrijf_CO2_Totaal[[#Headers],[C4]],Database_Productkaarten[#All],18,FALSE)*Optimalisatie!J50,Baseline_Backlog!O153),0))</f>
        <v>0</v>
      </c>
      <c r="P153" s="91">
        <f>(IF(Optimalisatie!C50="Bestaande Situatie",_xlfn.IFNA(IF(Optimalisatie!E50="Categorie_1_LCA_Producten",VLOOKUP(Inschrijf_CO2_Totaal[[#This Row],[Product]],Categorie_1_Producten[#All],18,FALSE)*(Optimalisatie!J50),VLOOKUP(Inschrijf_CO2_Totaal[[#This Row],[Product]]&amp;", "&amp;Inschrijf_CO2_Totaal[[#Headers],[D1]],Database_Productkaarten[#All],18,FALSE)*Optimalisatie!J50),Baseline_Backlog!P153),0))</f>
        <v>0</v>
      </c>
      <c r="Q153" s="91">
        <f>(IF(Optimalisatie!C50="Bestaande Situatie",_xlfn.IFNA(IF(Optimalisatie!E50="Categorie_1_LCA_Producten",VLOOKUP(Inschrijf_CO2_Totaal[[#This Row],[Product]],Categorie_1_Producten[#All],19,FALSE)*(Optimalisatie!J50),VLOOKUP(Inschrijf_CO2_Totaal[[#This Row],[Product]]&amp;", "&amp;Inschrijf_CO2_Totaal[[#Headers],[D2]],Database_Productkaarten[#All],18,FALSE)*Optimalisatie!J50),Baseline_Backlog!Q153),0))</f>
        <v>0</v>
      </c>
      <c r="R153" s="91">
        <f>(IF(Optimalisatie!C50="Bestaande Situatie",_xlfn.IFNA(IF(Optimalisatie!E50="Categorie_1_LCA_Producten",VLOOKUP(Inschrijf_CO2_Totaal[[#This Row],[Product]],Categorie_1_Producten[#All],21,FALSE)*(Optimalisatie!J50),VLOOKUP(Inschrijf_CO2_Totaal[[#This Row],[Product]]&amp;", "&amp;Inschrijf_CO2_Totaal[[#Headers],[D]],Database_Productkaarten[#All],18,FALSE)*Optimalisatie!J50),Baseline_Backlog!S153),0))</f>
        <v>0</v>
      </c>
      <c r="S153" s="91">
        <f>SUM(Inschrijf_CO2_Totaal[[#This Row],[A1-A3]:[C4]])+Inschrijf_CO2_Totaal[[#This Row],[D]]</f>
        <v>0</v>
      </c>
    </row>
    <row r="154" spans="2:19">
      <c r="B154" s="208">
        <f>Optimalisatie!B51</f>
        <v>0</v>
      </c>
      <c r="C154" s="1">
        <f>Optimalisatie!F51</f>
        <v>0</v>
      </c>
      <c r="D154" s="91">
        <f>(IF(Optimalisatie!C51="Nieuwe Situatie",_xlfn.IFNA(IF(Optimalisatie!E51="Categorie_1_LCA_Producten",VLOOKUP(Inschrijf_CO2_Totaal[[#This Row],[Product]],Categorie_1_Producten[#All],14,FALSE)*(Optimalisatie!J51),VLOOKUP(Inschrijf_CO2_Totaal[[#This Row],[Product]]&amp;", "&amp;Inschrijf_CO2_Totaal[[#Headers],[A1]],Database_Productkaarten[#All],18,FALSE)*Optimalisatie!J51),Baseline_Backlog!D154),0))</f>
        <v>0</v>
      </c>
      <c r="E154" s="91">
        <f>(IF(Optimalisatie!C51="Nieuwe Situatie",_xlfn.IFNA(IF(Optimalisatie!E51="Categorie_1_LCA_Producten",VLOOKUP(Inschrijf_CO2_Totaal[[#This Row],[Product]],Categorie_1_Producten[#All],15,FALSE)*(Optimalisatie!J51),VLOOKUP(Inschrijf_CO2_Totaal[[#This Row],[Product]]&amp;", "&amp;Inschrijf_CO2_Totaal[[#Headers],[A2]],Database_Productkaarten[#All],18,FALSE)*Optimalisatie!J51),Baseline_Backlog!E154),0))</f>
        <v>0</v>
      </c>
      <c r="F154" s="91">
        <f>(IF(Optimalisatie!C51="Nieuwe Situatie",_xlfn.IFNA(IF(Optimalisatie!E51="Categorie_1_LCA_Producten",VLOOKUP(Inschrijf_CO2_Totaal[[#This Row],[Product]],Categorie_1_Producten[#All],16,FALSE)*(Optimalisatie!J51),VLOOKUP(Inschrijf_CO2_Totaal[[#This Row],[Product]]&amp;", "&amp;Inschrijf_CO2_Totaal[[#Headers],[A3]],Database_Productkaarten[#All],18,FALSE)*Optimalisatie!J51),Baseline_Backlog!F154),0))</f>
        <v>0</v>
      </c>
      <c r="G154" s="91">
        <f>(IF(Optimalisatie!C51="Nieuwe Situatie",_xlfn.IFNA(IF(Optimalisatie!E51="Categorie_1_LCA_Producten",VLOOKUP(Inschrijf_CO2_Totaal[[#This Row],[Product]],Categorie_1_Producten[#All],19,FALSE)*(Optimalisatie!J51),VLOOKUP(Inschrijf_CO2_Totaal[[#This Row],[Product]]&amp;", "&amp;Inschrijf_CO2_Totaal[[#Headers],[A1-A3]],Database_Productkaarten[#All],18,FALSE)*Optimalisatie!J51),Baseline_Backlog!G154),0))</f>
        <v>0</v>
      </c>
      <c r="H154" s="91">
        <f>(IF(Optimalisatie!C51="Nieuwe Situatie",_xlfn.IFNA(VLOOKUP(Optimalisatie!V51,Database_Transport[#All],12,FALSE)*(Optimalisatie!R51*Optimalisatie!U51),Baseline_Backlog!H154),0))</f>
        <v>0</v>
      </c>
      <c r="I154" s="91">
        <f>IF(Optimalisatie!C51="Nieuwe situatie",IF(_xlfn.IFNA((VLOOKUP(Optimalisatie!W51,Database_Asfalt_Aanlegset[#All],12,FALSE)*Optimalisatie!J51),0)+_xlfn.IFNA(VLOOKUP(Optimalisatie!X51,Database_Brandstoffen[#All],12,FALSE)*((Optimalisatie!J51/Optimalisatie!Z51)*Optimalisatie!Y51),0)&gt;0,_xlfn.IFNA((VLOOKUP(Optimalisatie!W51,Database_Asfalt_Aanlegset[#All],12,FALSE)*Optimalisatie!J51),0)+_xlfn.IFNA(VLOOKUP(Optimalisatie!X51,Database_Brandstoffen[#All],12,FALSE)*((Optimalisatie!J51/Optimalisatie!Z51)*Optimalisatie!Y51),0),(_xlfn.IFNA(VLOOKUP(Inschrijf_CO2_Totaal[[#This Row],[Product]]&amp;", "&amp;Inschrijf_MKI_Totaal[[#Headers],[A5]],Database_Productkaarten[#All],18,FALSE),0)*Optimalisatie!J51)),0)</f>
        <v>0</v>
      </c>
      <c r="J154" s="91">
        <f>(IF(Optimalisatie!C51="Nieuwe Situatie",_xlfn.IFNA(IF(Optimalisatie!E51="Categorie_1_LCA_Producten",VLOOKUP(Inschrijf_CO2_Totaal[[#This Row],[Product]],Categorie_1_Producten[#All],20,FALSE)*(Optimalisatie!R51),VLOOKUP(Inschrijf_CO2_Totaal[[#This Row],[Product]]&amp;", "&amp;Inschrijf_CO2_Totaal[[#Headers],[B1]],Database_Productkaarten[#All],18,FALSE)*Optimalisatie!J51),Baseline_Backlog!J154),0))</f>
        <v>0</v>
      </c>
      <c r="K154" s="91">
        <f>(IF(Optimalisatie!C51="Nieuwe Situatie",_xlfn.IFNA(SUM(Inschrijf_CO2_Totaal[[#This Row],[A1]:[B1]],Inschrijf_CO2_Totaal[[#This Row],[C1]:[D2]])*Optimalisatie!T51,0),0))</f>
        <v>0</v>
      </c>
      <c r="L154" s="91">
        <f>IF(Optimalisatie!C51="Bestaande situatie",IF(_xlfn.IFNA((VLOOKUP(Optimalisatie!AA51,Database_Asfalt_Verwijderset[#All],12,FALSE)*Optimalisatie!J51),0)+_xlfn.IFNA(VLOOKUP(Optimalisatie!AB51,Database_Brandstoffen[#All],12,FALSE)*((Optimalisatie!J51/Optimalisatie!AD51)*Optimalisatie!AC51),0)&gt;0,_xlfn.IFNA((VLOOKUP(Optimalisatie!AA51,Database_Asfalt_Verwijderset[#All],12,FALSE)*Optimalisatie!J51),0)+_xlfn.IFNA(VLOOKUP(Optimalisatie!AB51,Database_Brandstoffen[#All],12,FALSE)*((Optimalisatie!J51/Optimalisatie!AD51)*Optimalisatie!AC51),0),(_xlfn.IFNA(VLOOKUP(Inschrijf_CO2_Totaal[[#This Row],[Product]]&amp;", "&amp;Inschrijf_MKI_Totaal[[#Headers],[C1]],Database_Productkaarten[#All],18,FALSE),0)*Optimalisatie!J51)),0)</f>
        <v>0</v>
      </c>
      <c r="M154" s="91">
        <f>(IF(Optimalisatie!C51="Bestaande Situatie",_xlfn.IFNA(VLOOKUP(Optimalisatie!AF51,Database_Transport[#All],12,FALSE)*(Optimalisatie!R51*Optimalisatie!AE51),Baseline_Backlog!M154),0))</f>
        <v>0</v>
      </c>
      <c r="N154" s="91">
        <f>(IF(Optimalisatie!C51="Bestaande Situatie",_xlfn.IFNA(VLOOKUP(Optimalisatie!AG51,Database_Asfalt_Verwerkingsset[#All],12,FALSE)*(Optimalisatie!J51/VLOOKUP(Optimalisatie!AG51,Database_Asfalt_Verwerkingsset[#All],12,FALSE)),Baseline_Backlog!N154),0))</f>
        <v>0</v>
      </c>
      <c r="O154" s="91">
        <f>(IF(Optimalisatie!C51="Bestaande Situatie",_xlfn.IFNA(VLOOKUP(Inschrijf_CO2_Totaal[[#This Row],[Product]]&amp;", "&amp;Inschrijf_CO2_Totaal[[#Headers],[C4]],Database_Productkaarten[#All],18,FALSE)*Optimalisatie!J51,Baseline_Backlog!O154),0))</f>
        <v>0</v>
      </c>
      <c r="P154" s="91">
        <f>(IF(Optimalisatie!C51="Bestaande Situatie",_xlfn.IFNA(IF(Optimalisatie!E51="Categorie_1_LCA_Producten",VLOOKUP(Inschrijf_CO2_Totaal[[#This Row],[Product]],Categorie_1_Producten[#All],18,FALSE)*(Optimalisatie!J51),VLOOKUP(Inschrijf_CO2_Totaal[[#This Row],[Product]]&amp;", "&amp;Inschrijf_CO2_Totaal[[#Headers],[D1]],Database_Productkaarten[#All],18,FALSE)*Optimalisatie!J51),Baseline_Backlog!P154),0))</f>
        <v>0</v>
      </c>
      <c r="Q154" s="91">
        <f>(IF(Optimalisatie!C51="Bestaande Situatie",_xlfn.IFNA(IF(Optimalisatie!E51="Categorie_1_LCA_Producten",VLOOKUP(Inschrijf_CO2_Totaal[[#This Row],[Product]],Categorie_1_Producten[#All],19,FALSE)*(Optimalisatie!J51),VLOOKUP(Inschrijf_CO2_Totaal[[#This Row],[Product]]&amp;", "&amp;Inschrijf_CO2_Totaal[[#Headers],[D2]],Database_Productkaarten[#All],18,FALSE)*Optimalisatie!J51),Baseline_Backlog!Q154),0))</f>
        <v>0</v>
      </c>
      <c r="R154" s="91">
        <f>(IF(Optimalisatie!C51="Bestaande Situatie",_xlfn.IFNA(IF(Optimalisatie!E51="Categorie_1_LCA_Producten",VLOOKUP(Inschrijf_CO2_Totaal[[#This Row],[Product]],Categorie_1_Producten[#All],21,FALSE)*(Optimalisatie!J51),VLOOKUP(Inschrijf_CO2_Totaal[[#This Row],[Product]]&amp;", "&amp;Inschrijf_CO2_Totaal[[#Headers],[D]],Database_Productkaarten[#All],18,FALSE)*Optimalisatie!J51),Baseline_Backlog!S154),0))</f>
        <v>0</v>
      </c>
      <c r="S154" s="91">
        <f>SUM(Inschrijf_CO2_Totaal[[#This Row],[A1-A3]:[C4]])+Inschrijf_CO2_Totaal[[#This Row],[D]]</f>
        <v>0</v>
      </c>
    </row>
    <row r="155" spans="2:19">
      <c r="B155" s="208">
        <f>Optimalisatie!B52</f>
        <v>0</v>
      </c>
      <c r="C155" s="1">
        <f>Optimalisatie!F52</f>
        <v>0</v>
      </c>
      <c r="D155" s="91">
        <f>(IF(Optimalisatie!C52="Nieuwe Situatie",_xlfn.IFNA(IF(Optimalisatie!E52="Categorie_1_LCA_Producten",VLOOKUP(Inschrijf_CO2_Totaal[[#This Row],[Product]],Categorie_1_Producten[#All],14,FALSE)*(Optimalisatie!J52),VLOOKUP(Inschrijf_CO2_Totaal[[#This Row],[Product]]&amp;", "&amp;Inschrijf_CO2_Totaal[[#Headers],[A1]],Database_Productkaarten[#All],18,FALSE)*Optimalisatie!J52),Baseline_Backlog!D155),0))</f>
        <v>0</v>
      </c>
      <c r="E155" s="91">
        <f>(IF(Optimalisatie!C52="Nieuwe Situatie",_xlfn.IFNA(IF(Optimalisatie!E52="Categorie_1_LCA_Producten",VLOOKUP(Inschrijf_CO2_Totaal[[#This Row],[Product]],Categorie_1_Producten[#All],15,FALSE)*(Optimalisatie!J52),VLOOKUP(Inschrijf_CO2_Totaal[[#This Row],[Product]]&amp;", "&amp;Inschrijf_CO2_Totaal[[#Headers],[A2]],Database_Productkaarten[#All],18,FALSE)*Optimalisatie!J52),Baseline_Backlog!E155),0))</f>
        <v>0</v>
      </c>
      <c r="F155" s="91">
        <f>(IF(Optimalisatie!C52="Nieuwe Situatie",_xlfn.IFNA(IF(Optimalisatie!E52="Categorie_1_LCA_Producten",VLOOKUP(Inschrijf_CO2_Totaal[[#This Row],[Product]],Categorie_1_Producten[#All],16,FALSE)*(Optimalisatie!J52),VLOOKUP(Inschrijf_CO2_Totaal[[#This Row],[Product]]&amp;", "&amp;Inschrijf_CO2_Totaal[[#Headers],[A3]],Database_Productkaarten[#All],18,FALSE)*Optimalisatie!J52),Baseline_Backlog!F155),0))</f>
        <v>0</v>
      </c>
      <c r="G155" s="91">
        <f>(IF(Optimalisatie!C52="Nieuwe Situatie",_xlfn.IFNA(IF(Optimalisatie!E52="Categorie_1_LCA_Producten",VLOOKUP(Inschrijf_CO2_Totaal[[#This Row],[Product]],Categorie_1_Producten[#All],19,FALSE)*(Optimalisatie!J52),VLOOKUP(Inschrijf_CO2_Totaal[[#This Row],[Product]]&amp;", "&amp;Inschrijf_CO2_Totaal[[#Headers],[A1-A3]],Database_Productkaarten[#All],18,FALSE)*Optimalisatie!J52),Baseline_Backlog!G155),0))</f>
        <v>0</v>
      </c>
      <c r="H155" s="91">
        <f>(IF(Optimalisatie!C52="Nieuwe Situatie",_xlfn.IFNA(VLOOKUP(Optimalisatie!V52,Database_Transport[#All],12,FALSE)*(Optimalisatie!R52*Optimalisatie!U52),Baseline_Backlog!H155),0))</f>
        <v>0</v>
      </c>
      <c r="I155" s="91">
        <f>IF(Optimalisatie!C52="Nieuwe situatie",IF(_xlfn.IFNA((VLOOKUP(Optimalisatie!W52,Database_Asfalt_Aanlegset[#All],12,FALSE)*Optimalisatie!J52),0)+_xlfn.IFNA(VLOOKUP(Optimalisatie!X52,Database_Brandstoffen[#All],12,FALSE)*((Optimalisatie!J52/Optimalisatie!Z52)*Optimalisatie!Y52),0)&gt;0,_xlfn.IFNA((VLOOKUP(Optimalisatie!W52,Database_Asfalt_Aanlegset[#All],12,FALSE)*Optimalisatie!J52),0)+_xlfn.IFNA(VLOOKUP(Optimalisatie!X52,Database_Brandstoffen[#All],12,FALSE)*((Optimalisatie!J52/Optimalisatie!Z52)*Optimalisatie!Y52),0),(_xlfn.IFNA(VLOOKUP(Inschrijf_CO2_Totaal[[#This Row],[Product]]&amp;", "&amp;Inschrijf_MKI_Totaal[[#Headers],[A5]],Database_Productkaarten[#All],18,FALSE),0)*Optimalisatie!J52)),0)</f>
        <v>0</v>
      </c>
      <c r="J155" s="91">
        <f>(IF(Optimalisatie!C52="Nieuwe Situatie",_xlfn.IFNA(IF(Optimalisatie!E52="Categorie_1_LCA_Producten",VLOOKUP(Inschrijf_CO2_Totaal[[#This Row],[Product]],Categorie_1_Producten[#All],20,FALSE)*(Optimalisatie!R52),VLOOKUP(Inschrijf_CO2_Totaal[[#This Row],[Product]]&amp;", "&amp;Inschrijf_CO2_Totaal[[#Headers],[B1]],Database_Productkaarten[#All],18,FALSE)*Optimalisatie!J52),Baseline_Backlog!J155),0))</f>
        <v>0</v>
      </c>
      <c r="K155" s="91">
        <f>(IF(Optimalisatie!C52="Nieuwe Situatie",_xlfn.IFNA(SUM(Inschrijf_CO2_Totaal[[#This Row],[A1]:[B1]],Inschrijf_CO2_Totaal[[#This Row],[C1]:[D2]])*Optimalisatie!T52,0),0))</f>
        <v>0</v>
      </c>
      <c r="L155" s="91">
        <f>IF(Optimalisatie!C52="Bestaande situatie",IF(_xlfn.IFNA((VLOOKUP(Optimalisatie!AA52,Database_Asfalt_Verwijderset[#All],12,FALSE)*Optimalisatie!J52),0)+_xlfn.IFNA(VLOOKUP(Optimalisatie!AB52,Database_Brandstoffen[#All],12,FALSE)*((Optimalisatie!J52/Optimalisatie!AD52)*Optimalisatie!AC52),0)&gt;0,_xlfn.IFNA((VLOOKUP(Optimalisatie!AA52,Database_Asfalt_Verwijderset[#All],12,FALSE)*Optimalisatie!J52),0)+_xlfn.IFNA(VLOOKUP(Optimalisatie!AB52,Database_Brandstoffen[#All],12,FALSE)*((Optimalisatie!J52/Optimalisatie!AD52)*Optimalisatie!AC52),0),(_xlfn.IFNA(VLOOKUP(Inschrijf_CO2_Totaal[[#This Row],[Product]]&amp;", "&amp;Inschrijf_MKI_Totaal[[#Headers],[C1]],Database_Productkaarten[#All],18,FALSE),0)*Optimalisatie!J52)),0)</f>
        <v>0</v>
      </c>
      <c r="M155" s="91">
        <f>(IF(Optimalisatie!C52="Bestaande Situatie",_xlfn.IFNA(VLOOKUP(Optimalisatie!AF52,Database_Transport[#All],12,FALSE)*(Optimalisatie!R52*Optimalisatie!AE52),Baseline_Backlog!M155),0))</f>
        <v>0</v>
      </c>
      <c r="N155" s="91">
        <f>(IF(Optimalisatie!C52="Bestaande Situatie",_xlfn.IFNA(VLOOKUP(Optimalisatie!AG52,Database_Asfalt_Verwerkingsset[#All],12,FALSE)*(Optimalisatie!J52/VLOOKUP(Optimalisatie!AG52,Database_Asfalt_Verwerkingsset[#All],12,FALSE)),Baseline_Backlog!N155),0))</f>
        <v>0</v>
      </c>
      <c r="O155" s="91">
        <f>(IF(Optimalisatie!C52="Bestaande Situatie",_xlfn.IFNA(VLOOKUP(Inschrijf_CO2_Totaal[[#This Row],[Product]]&amp;", "&amp;Inschrijf_CO2_Totaal[[#Headers],[C4]],Database_Productkaarten[#All],18,FALSE)*Optimalisatie!J52,Baseline_Backlog!O155),0))</f>
        <v>0</v>
      </c>
      <c r="P155" s="91">
        <f>(IF(Optimalisatie!C52="Bestaande Situatie",_xlfn.IFNA(IF(Optimalisatie!E52="Categorie_1_LCA_Producten",VLOOKUP(Inschrijf_CO2_Totaal[[#This Row],[Product]],Categorie_1_Producten[#All],18,FALSE)*(Optimalisatie!J52),VLOOKUP(Inschrijf_CO2_Totaal[[#This Row],[Product]]&amp;", "&amp;Inschrijf_CO2_Totaal[[#Headers],[D1]],Database_Productkaarten[#All],18,FALSE)*Optimalisatie!J52),Baseline_Backlog!P155),0))</f>
        <v>0</v>
      </c>
      <c r="Q155" s="91">
        <f>(IF(Optimalisatie!C52="Bestaande Situatie",_xlfn.IFNA(IF(Optimalisatie!E52="Categorie_1_LCA_Producten",VLOOKUP(Inschrijf_CO2_Totaal[[#This Row],[Product]],Categorie_1_Producten[#All],19,FALSE)*(Optimalisatie!J52),VLOOKUP(Inschrijf_CO2_Totaal[[#This Row],[Product]]&amp;", "&amp;Inschrijf_CO2_Totaal[[#Headers],[D2]],Database_Productkaarten[#All],18,FALSE)*Optimalisatie!J52),Baseline_Backlog!Q155),0))</f>
        <v>0</v>
      </c>
      <c r="R155" s="91">
        <f>(IF(Optimalisatie!C52="Bestaande Situatie",_xlfn.IFNA(IF(Optimalisatie!E52="Categorie_1_LCA_Producten",VLOOKUP(Inschrijf_CO2_Totaal[[#This Row],[Product]],Categorie_1_Producten[#All],21,FALSE)*(Optimalisatie!J52),VLOOKUP(Inschrijf_CO2_Totaal[[#This Row],[Product]]&amp;", "&amp;Inschrijf_CO2_Totaal[[#Headers],[D]],Database_Productkaarten[#All],18,FALSE)*Optimalisatie!J52),Baseline_Backlog!S155),0))</f>
        <v>0</v>
      </c>
      <c r="S155" s="91">
        <f>SUM(Inschrijf_CO2_Totaal[[#This Row],[A1-A3]:[C4]])+Inschrijf_CO2_Totaal[[#This Row],[D]]</f>
        <v>0</v>
      </c>
    </row>
    <row r="156" spans="2:19">
      <c r="B156" s="208">
        <f>Optimalisatie!B53</f>
        <v>0</v>
      </c>
      <c r="C156" s="1">
        <f>Optimalisatie!F53</f>
        <v>0</v>
      </c>
      <c r="D156" s="91">
        <f>(IF(Optimalisatie!C53="Nieuwe Situatie",_xlfn.IFNA(IF(Optimalisatie!E53="Categorie_1_LCA_Producten",VLOOKUP(Inschrijf_CO2_Totaal[[#This Row],[Product]],Categorie_1_Producten[#All],14,FALSE)*(Optimalisatie!J53),VLOOKUP(Inschrijf_CO2_Totaal[[#This Row],[Product]]&amp;", "&amp;Inschrijf_CO2_Totaal[[#Headers],[A1]],Database_Productkaarten[#All],18,FALSE)*Optimalisatie!J53),Baseline_Backlog!D156),0))</f>
        <v>0</v>
      </c>
      <c r="E156" s="91">
        <f>(IF(Optimalisatie!C53="Nieuwe Situatie",_xlfn.IFNA(IF(Optimalisatie!E53="Categorie_1_LCA_Producten",VLOOKUP(Inschrijf_CO2_Totaal[[#This Row],[Product]],Categorie_1_Producten[#All],15,FALSE)*(Optimalisatie!J53),VLOOKUP(Inschrijf_CO2_Totaal[[#This Row],[Product]]&amp;", "&amp;Inschrijf_CO2_Totaal[[#Headers],[A2]],Database_Productkaarten[#All],18,FALSE)*Optimalisatie!J53),Baseline_Backlog!E156),0))</f>
        <v>0</v>
      </c>
      <c r="F156" s="91">
        <f>(IF(Optimalisatie!C53="Nieuwe Situatie",_xlfn.IFNA(IF(Optimalisatie!E53="Categorie_1_LCA_Producten",VLOOKUP(Inschrijf_CO2_Totaal[[#This Row],[Product]],Categorie_1_Producten[#All],16,FALSE)*(Optimalisatie!J53),VLOOKUP(Inschrijf_CO2_Totaal[[#This Row],[Product]]&amp;", "&amp;Inschrijf_CO2_Totaal[[#Headers],[A3]],Database_Productkaarten[#All],18,FALSE)*Optimalisatie!J53),Baseline_Backlog!F156),0))</f>
        <v>0</v>
      </c>
      <c r="G156" s="91">
        <f>(IF(Optimalisatie!C53="Nieuwe Situatie",_xlfn.IFNA(IF(Optimalisatie!E53="Categorie_1_LCA_Producten",VLOOKUP(Inschrijf_CO2_Totaal[[#This Row],[Product]],Categorie_1_Producten[#All],19,FALSE)*(Optimalisatie!J53),VLOOKUP(Inschrijf_CO2_Totaal[[#This Row],[Product]]&amp;", "&amp;Inschrijf_CO2_Totaal[[#Headers],[A1-A3]],Database_Productkaarten[#All],18,FALSE)*Optimalisatie!J53),Baseline_Backlog!G156),0))</f>
        <v>0</v>
      </c>
      <c r="H156" s="91">
        <f>(IF(Optimalisatie!C53="Nieuwe Situatie",_xlfn.IFNA(VLOOKUP(Optimalisatie!V53,Database_Transport[#All],12,FALSE)*(Optimalisatie!R53*Optimalisatie!U53),Baseline_Backlog!H156),0))</f>
        <v>0</v>
      </c>
      <c r="I156" s="91">
        <f>IF(Optimalisatie!C53="Nieuwe situatie",IF(_xlfn.IFNA((VLOOKUP(Optimalisatie!W53,Database_Asfalt_Aanlegset[#All],12,FALSE)*Optimalisatie!J53),0)+_xlfn.IFNA(VLOOKUP(Optimalisatie!X53,Database_Brandstoffen[#All],12,FALSE)*((Optimalisatie!J53/Optimalisatie!Z53)*Optimalisatie!Y53),0)&gt;0,_xlfn.IFNA((VLOOKUP(Optimalisatie!W53,Database_Asfalt_Aanlegset[#All],12,FALSE)*Optimalisatie!J53),0)+_xlfn.IFNA(VLOOKUP(Optimalisatie!X53,Database_Brandstoffen[#All],12,FALSE)*((Optimalisatie!J53/Optimalisatie!Z53)*Optimalisatie!Y53),0),(_xlfn.IFNA(VLOOKUP(Inschrijf_CO2_Totaal[[#This Row],[Product]]&amp;", "&amp;Inschrijf_MKI_Totaal[[#Headers],[A5]],Database_Productkaarten[#All],18,FALSE),0)*Optimalisatie!J53)),0)</f>
        <v>0</v>
      </c>
      <c r="J156" s="91">
        <f>(IF(Optimalisatie!C53="Nieuwe Situatie",_xlfn.IFNA(IF(Optimalisatie!E53="Categorie_1_LCA_Producten",VLOOKUP(Inschrijf_CO2_Totaal[[#This Row],[Product]],Categorie_1_Producten[#All],20,FALSE)*(Optimalisatie!R53),VLOOKUP(Inschrijf_CO2_Totaal[[#This Row],[Product]]&amp;", "&amp;Inschrijf_CO2_Totaal[[#Headers],[B1]],Database_Productkaarten[#All],18,FALSE)*Optimalisatie!J53),Baseline_Backlog!J156),0))</f>
        <v>0</v>
      </c>
      <c r="K156" s="91">
        <f>(IF(Optimalisatie!C53="Nieuwe Situatie",_xlfn.IFNA(SUM(Inschrijf_CO2_Totaal[[#This Row],[A1]:[B1]],Inschrijf_CO2_Totaal[[#This Row],[C1]:[D2]])*Optimalisatie!T53,0),0))</f>
        <v>0</v>
      </c>
      <c r="L156" s="91">
        <f>IF(Optimalisatie!C53="Bestaande situatie",IF(_xlfn.IFNA((VLOOKUP(Optimalisatie!AA53,Database_Asfalt_Verwijderset[#All],12,FALSE)*Optimalisatie!J53),0)+_xlfn.IFNA(VLOOKUP(Optimalisatie!AB53,Database_Brandstoffen[#All],12,FALSE)*((Optimalisatie!J53/Optimalisatie!AD53)*Optimalisatie!AC53),0)&gt;0,_xlfn.IFNA((VLOOKUP(Optimalisatie!AA53,Database_Asfalt_Verwijderset[#All],12,FALSE)*Optimalisatie!J53),0)+_xlfn.IFNA(VLOOKUP(Optimalisatie!AB53,Database_Brandstoffen[#All],12,FALSE)*((Optimalisatie!J53/Optimalisatie!AD53)*Optimalisatie!AC53),0),(_xlfn.IFNA(VLOOKUP(Inschrijf_CO2_Totaal[[#This Row],[Product]]&amp;", "&amp;Inschrijf_MKI_Totaal[[#Headers],[C1]],Database_Productkaarten[#All],18,FALSE),0)*Optimalisatie!J53)),0)</f>
        <v>0</v>
      </c>
      <c r="M156" s="91">
        <f>(IF(Optimalisatie!C53="Bestaande Situatie",_xlfn.IFNA(VLOOKUP(Optimalisatie!AF53,Database_Transport[#All],12,FALSE)*(Optimalisatie!R53*Optimalisatie!AE53),Baseline_Backlog!M156),0))</f>
        <v>0</v>
      </c>
      <c r="N156" s="91">
        <f>(IF(Optimalisatie!C53="Bestaande Situatie",_xlfn.IFNA(VLOOKUP(Optimalisatie!AG53,Database_Asfalt_Verwerkingsset[#All],12,FALSE)*(Optimalisatie!J53/VLOOKUP(Optimalisatie!AG53,Database_Asfalt_Verwerkingsset[#All],12,FALSE)),Baseline_Backlog!N156),0))</f>
        <v>0</v>
      </c>
      <c r="O156" s="91">
        <f>(IF(Optimalisatie!C53="Bestaande Situatie",_xlfn.IFNA(VLOOKUP(Inschrijf_CO2_Totaal[[#This Row],[Product]]&amp;", "&amp;Inschrijf_CO2_Totaal[[#Headers],[C4]],Database_Productkaarten[#All],18,FALSE)*Optimalisatie!J53,Baseline_Backlog!O156),0))</f>
        <v>0</v>
      </c>
      <c r="P156" s="91">
        <f>(IF(Optimalisatie!C53="Bestaande Situatie",_xlfn.IFNA(IF(Optimalisatie!E53="Categorie_1_LCA_Producten",VLOOKUP(Inschrijf_CO2_Totaal[[#This Row],[Product]],Categorie_1_Producten[#All],18,FALSE)*(Optimalisatie!J53),VLOOKUP(Inschrijf_CO2_Totaal[[#This Row],[Product]]&amp;", "&amp;Inschrijf_CO2_Totaal[[#Headers],[D1]],Database_Productkaarten[#All],18,FALSE)*Optimalisatie!J53),Baseline_Backlog!P156),0))</f>
        <v>0</v>
      </c>
      <c r="Q156" s="91">
        <f>(IF(Optimalisatie!C53="Bestaande Situatie",_xlfn.IFNA(IF(Optimalisatie!E53="Categorie_1_LCA_Producten",VLOOKUP(Inschrijf_CO2_Totaal[[#This Row],[Product]],Categorie_1_Producten[#All],19,FALSE)*(Optimalisatie!J53),VLOOKUP(Inschrijf_CO2_Totaal[[#This Row],[Product]]&amp;", "&amp;Inschrijf_CO2_Totaal[[#Headers],[D2]],Database_Productkaarten[#All],18,FALSE)*Optimalisatie!J53),Baseline_Backlog!Q156),0))</f>
        <v>0</v>
      </c>
      <c r="R156" s="91">
        <f>(IF(Optimalisatie!C53="Bestaande Situatie",_xlfn.IFNA(IF(Optimalisatie!E53="Categorie_1_LCA_Producten",VLOOKUP(Inschrijf_CO2_Totaal[[#This Row],[Product]],Categorie_1_Producten[#All],21,FALSE)*(Optimalisatie!J53),VLOOKUP(Inschrijf_CO2_Totaal[[#This Row],[Product]]&amp;", "&amp;Inschrijf_CO2_Totaal[[#Headers],[D]],Database_Productkaarten[#All],18,FALSE)*Optimalisatie!J53),Baseline_Backlog!S156),0))</f>
        <v>0</v>
      </c>
      <c r="S156" s="91">
        <f>SUM(Inschrijf_CO2_Totaal[[#This Row],[A1-A3]:[C4]])+Inschrijf_CO2_Totaal[[#This Row],[D]]</f>
        <v>0</v>
      </c>
    </row>
    <row r="157" spans="2:19">
      <c r="B157" s="208">
        <f>Optimalisatie!B54</f>
        <v>0</v>
      </c>
      <c r="C157" s="1">
        <f>Optimalisatie!F54</f>
        <v>0</v>
      </c>
      <c r="D157" s="91">
        <f>(IF(Optimalisatie!C54="Nieuwe Situatie",_xlfn.IFNA(IF(Optimalisatie!E54="Categorie_1_LCA_Producten",VLOOKUP(Inschrijf_CO2_Totaal[[#This Row],[Product]],Categorie_1_Producten[#All],14,FALSE)*(Optimalisatie!J54),VLOOKUP(Inschrijf_CO2_Totaal[[#This Row],[Product]]&amp;", "&amp;Inschrijf_CO2_Totaal[[#Headers],[A1]],Database_Productkaarten[#All],18,FALSE)*Optimalisatie!J54),Baseline_Backlog!D157),0))</f>
        <v>0</v>
      </c>
      <c r="E157" s="91">
        <f>(IF(Optimalisatie!C54="Nieuwe Situatie",_xlfn.IFNA(IF(Optimalisatie!E54="Categorie_1_LCA_Producten",VLOOKUP(Inschrijf_CO2_Totaal[[#This Row],[Product]],Categorie_1_Producten[#All],15,FALSE)*(Optimalisatie!J54),VLOOKUP(Inschrijf_CO2_Totaal[[#This Row],[Product]]&amp;", "&amp;Inschrijf_CO2_Totaal[[#Headers],[A2]],Database_Productkaarten[#All],18,FALSE)*Optimalisatie!J54),Baseline_Backlog!E157),0))</f>
        <v>0</v>
      </c>
      <c r="F157" s="91">
        <f>(IF(Optimalisatie!C54="Nieuwe Situatie",_xlfn.IFNA(IF(Optimalisatie!E54="Categorie_1_LCA_Producten",VLOOKUP(Inschrijf_CO2_Totaal[[#This Row],[Product]],Categorie_1_Producten[#All],16,FALSE)*(Optimalisatie!J54),VLOOKUP(Inschrijf_CO2_Totaal[[#This Row],[Product]]&amp;", "&amp;Inschrijf_CO2_Totaal[[#Headers],[A3]],Database_Productkaarten[#All],18,FALSE)*Optimalisatie!J54),Baseline_Backlog!F157),0))</f>
        <v>0</v>
      </c>
      <c r="G157" s="91">
        <f>(IF(Optimalisatie!C54="Nieuwe Situatie",_xlfn.IFNA(IF(Optimalisatie!E54="Categorie_1_LCA_Producten",VLOOKUP(Inschrijf_CO2_Totaal[[#This Row],[Product]],Categorie_1_Producten[#All],19,FALSE)*(Optimalisatie!J54),VLOOKUP(Inschrijf_CO2_Totaal[[#This Row],[Product]]&amp;", "&amp;Inschrijf_CO2_Totaal[[#Headers],[A1-A3]],Database_Productkaarten[#All],18,FALSE)*Optimalisatie!J54),Baseline_Backlog!G157),0))</f>
        <v>0</v>
      </c>
      <c r="H157" s="91">
        <f>(IF(Optimalisatie!C54="Nieuwe Situatie",_xlfn.IFNA(VLOOKUP(Optimalisatie!V54,Database_Transport[#All],12,FALSE)*(Optimalisatie!R54*Optimalisatie!U54),Baseline_Backlog!H157),0))</f>
        <v>0</v>
      </c>
      <c r="I157" s="91">
        <f>IF(Optimalisatie!C54="Nieuwe situatie",IF(_xlfn.IFNA((VLOOKUP(Optimalisatie!W54,Database_Asfalt_Aanlegset[#All],12,FALSE)*Optimalisatie!J54),0)+_xlfn.IFNA(VLOOKUP(Optimalisatie!X54,Database_Brandstoffen[#All],12,FALSE)*((Optimalisatie!J54/Optimalisatie!Z54)*Optimalisatie!Y54),0)&gt;0,_xlfn.IFNA((VLOOKUP(Optimalisatie!W54,Database_Asfalt_Aanlegset[#All],12,FALSE)*Optimalisatie!J54),0)+_xlfn.IFNA(VLOOKUP(Optimalisatie!X54,Database_Brandstoffen[#All],12,FALSE)*((Optimalisatie!J54/Optimalisatie!Z54)*Optimalisatie!Y54),0),(_xlfn.IFNA(VLOOKUP(Inschrijf_CO2_Totaal[[#This Row],[Product]]&amp;", "&amp;Inschrijf_MKI_Totaal[[#Headers],[A5]],Database_Productkaarten[#All],18,FALSE),0)*Optimalisatie!J54)),0)</f>
        <v>0</v>
      </c>
      <c r="J157" s="91">
        <f>(IF(Optimalisatie!C54="Nieuwe Situatie",_xlfn.IFNA(IF(Optimalisatie!E54="Categorie_1_LCA_Producten",VLOOKUP(Inschrijf_CO2_Totaal[[#This Row],[Product]],Categorie_1_Producten[#All],20,FALSE)*(Optimalisatie!R54),VLOOKUP(Inschrijf_CO2_Totaal[[#This Row],[Product]]&amp;", "&amp;Inschrijf_CO2_Totaal[[#Headers],[B1]],Database_Productkaarten[#All],18,FALSE)*Optimalisatie!J54),Baseline_Backlog!J157),0))</f>
        <v>0</v>
      </c>
      <c r="K157" s="91">
        <f>(IF(Optimalisatie!C54="Nieuwe Situatie",_xlfn.IFNA(SUM(Inschrijf_CO2_Totaal[[#This Row],[A1]:[B1]],Inschrijf_CO2_Totaal[[#This Row],[C1]:[D2]])*Optimalisatie!T54,0),0))</f>
        <v>0</v>
      </c>
      <c r="L157" s="91">
        <f>IF(Optimalisatie!C54="Bestaande situatie",IF(_xlfn.IFNA((VLOOKUP(Optimalisatie!AA54,Database_Asfalt_Verwijderset[#All],12,FALSE)*Optimalisatie!J54),0)+_xlfn.IFNA(VLOOKUP(Optimalisatie!AB54,Database_Brandstoffen[#All],12,FALSE)*((Optimalisatie!J54/Optimalisatie!AD54)*Optimalisatie!AC54),0)&gt;0,_xlfn.IFNA((VLOOKUP(Optimalisatie!AA54,Database_Asfalt_Verwijderset[#All],12,FALSE)*Optimalisatie!J54),0)+_xlfn.IFNA(VLOOKUP(Optimalisatie!AB54,Database_Brandstoffen[#All],12,FALSE)*((Optimalisatie!J54/Optimalisatie!AD54)*Optimalisatie!AC54),0),(_xlfn.IFNA(VLOOKUP(Inschrijf_CO2_Totaal[[#This Row],[Product]]&amp;", "&amp;Inschrijf_MKI_Totaal[[#Headers],[C1]],Database_Productkaarten[#All],18,FALSE),0)*Optimalisatie!J54)),0)</f>
        <v>0</v>
      </c>
      <c r="M157" s="91">
        <f>(IF(Optimalisatie!C54="Bestaande Situatie",_xlfn.IFNA(VLOOKUP(Optimalisatie!AF54,Database_Transport[#All],12,FALSE)*(Optimalisatie!R54*Optimalisatie!AE54),Baseline_Backlog!M157),0))</f>
        <v>0</v>
      </c>
      <c r="N157" s="91">
        <f>(IF(Optimalisatie!C54="Bestaande Situatie",_xlfn.IFNA(VLOOKUP(Optimalisatie!AG54,Database_Asfalt_Verwerkingsset[#All],12,FALSE)*(Optimalisatie!J54/VLOOKUP(Optimalisatie!AG54,Database_Asfalt_Verwerkingsset[#All],12,FALSE)),Baseline_Backlog!N157),0))</f>
        <v>0</v>
      </c>
      <c r="O157" s="91">
        <f>(IF(Optimalisatie!C54="Bestaande Situatie",_xlfn.IFNA(VLOOKUP(Inschrijf_CO2_Totaal[[#This Row],[Product]]&amp;", "&amp;Inschrijf_CO2_Totaal[[#Headers],[C4]],Database_Productkaarten[#All],18,FALSE)*Optimalisatie!J54,Baseline_Backlog!O157),0))</f>
        <v>0</v>
      </c>
      <c r="P157" s="91">
        <f>(IF(Optimalisatie!C54="Bestaande Situatie",_xlfn.IFNA(IF(Optimalisatie!E54="Categorie_1_LCA_Producten",VLOOKUP(Inschrijf_CO2_Totaal[[#This Row],[Product]],Categorie_1_Producten[#All],18,FALSE)*(Optimalisatie!J54),VLOOKUP(Inschrijf_CO2_Totaal[[#This Row],[Product]]&amp;", "&amp;Inschrijf_CO2_Totaal[[#Headers],[D1]],Database_Productkaarten[#All],18,FALSE)*Optimalisatie!J54),Baseline_Backlog!P157),0))</f>
        <v>0</v>
      </c>
      <c r="Q157" s="91">
        <f>(IF(Optimalisatie!C54="Bestaande Situatie",_xlfn.IFNA(IF(Optimalisatie!E54="Categorie_1_LCA_Producten",VLOOKUP(Inschrijf_CO2_Totaal[[#This Row],[Product]],Categorie_1_Producten[#All],19,FALSE)*(Optimalisatie!J54),VLOOKUP(Inschrijf_CO2_Totaal[[#This Row],[Product]]&amp;", "&amp;Inschrijf_CO2_Totaal[[#Headers],[D2]],Database_Productkaarten[#All],18,FALSE)*Optimalisatie!J54),Baseline_Backlog!Q157),0))</f>
        <v>0</v>
      </c>
      <c r="R157" s="91">
        <f>(IF(Optimalisatie!C54="Bestaande Situatie",_xlfn.IFNA(IF(Optimalisatie!E54="Categorie_1_LCA_Producten",VLOOKUP(Inschrijf_CO2_Totaal[[#This Row],[Product]],Categorie_1_Producten[#All],21,FALSE)*(Optimalisatie!J54),VLOOKUP(Inschrijf_CO2_Totaal[[#This Row],[Product]]&amp;", "&amp;Inschrijf_CO2_Totaal[[#Headers],[D]],Database_Productkaarten[#All],18,FALSE)*Optimalisatie!J54),Baseline_Backlog!S157),0))</f>
        <v>0</v>
      </c>
      <c r="S157" s="91">
        <f>SUM(Inschrijf_CO2_Totaal[[#This Row],[A1-A3]:[C4]])+Inschrijf_CO2_Totaal[[#This Row],[D]]</f>
        <v>0</v>
      </c>
    </row>
    <row r="158" spans="2:19">
      <c r="B158" s="208">
        <f>Optimalisatie!B55</f>
        <v>0</v>
      </c>
      <c r="C158" s="1">
        <f>Optimalisatie!F55</f>
        <v>0</v>
      </c>
      <c r="D158" s="91">
        <f>(IF(Optimalisatie!C55="Nieuwe Situatie",_xlfn.IFNA(IF(Optimalisatie!E55="Categorie_1_LCA_Producten",VLOOKUP(Inschrijf_CO2_Totaal[[#This Row],[Product]],Categorie_1_Producten[#All],14,FALSE)*(Optimalisatie!J55),VLOOKUP(Inschrijf_CO2_Totaal[[#This Row],[Product]]&amp;", "&amp;Inschrijf_CO2_Totaal[[#Headers],[A1]],Database_Productkaarten[#All],18,FALSE)*Optimalisatie!J55),Baseline_Backlog!D158),0))</f>
        <v>0</v>
      </c>
      <c r="E158" s="91">
        <f>(IF(Optimalisatie!C55="Nieuwe Situatie",_xlfn.IFNA(IF(Optimalisatie!E55="Categorie_1_LCA_Producten",VLOOKUP(Inschrijf_CO2_Totaal[[#This Row],[Product]],Categorie_1_Producten[#All],15,FALSE)*(Optimalisatie!J55),VLOOKUP(Inschrijf_CO2_Totaal[[#This Row],[Product]]&amp;", "&amp;Inschrijf_CO2_Totaal[[#Headers],[A2]],Database_Productkaarten[#All],18,FALSE)*Optimalisatie!J55),Baseline_Backlog!E158),0))</f>
        <v>0</v>
      </c>
      <c r="F158" s="91">
        <f>(IF(Optimalisatie!C55="Nieuwe Situatie",_xlfn.IFNA(IF(Optimalisatie!E55="Categorie_1_LCA_Producten",VLOOKUP(Inschrijf_CO2_Totaal[[#This Row],[Product]],Categorie_1_Producten[#All],16,FALSE)*(Optimalisatie!J55),VLOOKUP(Inschrijf_CO2_Totaal[[#This Row],[Product]]&amp;", "&amp;Inschrijf_CO2_Totaal[[#Headers],[A3]],Database_Productkaarten[#All],18,FALSE)*Optimalisatie!J55),Baseline_Backlog!F158),0))</f>
        <v>0</v>
      </c>
      <c r="G158" s="91">
        <f>(IF(Optimalisatie!C55="Nieuwe Situatie",_xlfn.IFNA(IF(Optimalisatie!E55="Categorie_1_LCA_Producten",VLOOKUP(Inschrijf_CO2_Totaal[[#This Row],[Product]],Categorie_1_Producten[#All],19,FALSE)*(Optimalisatie!J55),VLOOKUP(Inschrijf_CO2_Totaal[[#This Row],[Product]]&amp;", "&amp;Inschrijf_CO2_Totaal[[#Headers],[A1-A3]],Database_Productkaarten[#All],18,FALSE)*Optimalisatie!J55),Baseline_Backlog!G158),0))</f>
        <v>0</v>
      </c>
      <c r="H158" s="91">
        <f>(IF(Optimalisatie!C55="Nieuwe Situatie",_xlfn.IFNA(VLOOKUP(Optimalisatie!V55,Database_Transport[#All],12,FALSE)*(Optimalisatie!R55*Optimalisatie!U55),Baseline_Backlog!H158),0))</f>
        <v>0</v>
      </c>
      <c r="I158" s="91">
        <f>IF(Optimalisatie!C55="Nieuwe situatie",IF(_xlfn.IFNA((VLOOKUP(Optimalisatie!W55,Database_Asfalt_Aanlegset[#All],12,FALSE)*Optimalisatie!J55),0)+_xlfn.IFNA(VLOOKUP(Optimalisatie!X55,Database_Brandstoffen[#All],12,FALSE)*((Optimalisatie!J55/Optimalisatie!Z55)*Optimalisatie!Y55),0)&gt;0,_xlfn.IFNA((VLOOKUP(Optimalisatie!W55,Database_Asfalt_Aanlegset[#All],12,FALSE)*Optimalisatie!J55),0)+_xlfn.IFNA(VLOOKUP(Optimalisatie!X55,Database_Brandstoffen[#All],12,FALSE)*((Optimalisatie!J55/Optimalisatie!Z55)*Optimalisatie!Y55),0),(_xlfn.IFNA(VLOOKUP(Inschrijf_CO2_Totaal[[#This Row],[Product]]&amp;", "&amp;Inschrijf_MKI_Totaal[[#Headers],[A5]],Database_Productkaarten[#All],18,FALSE),0)*Optimalisatie!J55)),0)</f>
        <v>0</v>
      </c>
      <c r="J158" s="91">
        <f>(IF(Optimalisatie!C55="Nieuwe Situatie",_xlfn.IFNA(IF(Optimalisatie!E55="Categorie_1_LCA_Producten",VLOOKUP(Inschrijf_CO2_Totaal[[#This Row],[Product]],Categorie_1_Producten[#All],20,FALSE)*(Optimalisatie!R55),VLOOKUP(Inschrijf_CO2_Totaal[[#This Row],[Product]]&amp;", "&amp;Inschrijf_CO2_Totaal[[#Headers],[B1]],Database_Productkaarten[#All],18,FALSE)*Optimalisatie!J55),Baseline_Backlog!J158),0))</f>
        <v>0</v>
      </c>
      <c r="K158" s="91">
        <f>(IF(Optimalisatie!C55="Nieuwe Situatie",_xlfn.IFNA(SUM(Inschrijf_CO2_Totaal[[#This Row],[A1]:[B1]],Inschrijf_CO2_Totaal[[#This Row],[C1]:[D2]])*Optimalisatie!T55,0),0))</f>
        <v>0</v>
      </c>
      <c r="L158" s="91">
        <f>IF(Optimalisatie!C55="Bestaande situatie",IF(_xlfn.IFNA((VLOOKUP(Optimalisatie!AA55,Database_Asfalt_Verwijderset[#All],12,FALSE)*Optimalisatie!J55),0)+_xlfn.IFNA(VLOOKUP(Optimalisatie!AB55,Database_Brandstoffen[#All],12,FALSE)*((Optimalisatie!J55/Optimalisatie!AD55)*Optimalisatie!AC55),0)&gt;0,_xlfn.IFNA((VLOOKUP(Optimalisatie!AA55,Database_Asfalt_Verwijderset[#All],12,FALSE)*Optimalisatie!J55),0)+_xlfn.IFNA(VLOOKUP(Optimalisatie!AB55,Database_Brandstoffen[#All],12,FALSE)*((Optimalisatie!J55/Optimalisatie!AD55)*Optimalisatie!AC55),0),(_xlfn.IFNA(VLOOKUP(Inschrijf_CO2_Totaal[[#This Row],[Product]]&amp;", "&amp;Inschrijf_MKI_Totaal[[#Headers],[C1]],Database_Productkaarten[#All],18,FALSE),0)*Optimalisatie!J55)),0)</f>
        <v>0</v>
      </c>
      <c r="M158" s="91">
        <f>(IF(Optimalisatie!C55="Bestaande Situatie",_xlfn.IFNA(VLOOKUP(Optimalisatie!AF55,Database_Transport[#All],12,FALSE)*(Optimalisatie!R55*Optimalisatie!AE55),Baseline_Backlog!M158),0))</f>
        <v>0</v>
      </c>
      <c r="N158" s="91">
        <f>(IF(Optimalisatie!C55="Bestaande Situatie",_xlfn.IFNA(VLOOKUP(Optimalisatie!AG55,Database_Asfalt_Verwerkingsset[#All],12,FALSE)*(Optimalisatie!J55/VLOOKUP(Optimalisatie!AG55,Database_Asfalt_Verwerkingsset[#All],12,FALSE)),Baseline_Backlog!N158),0))</f>
        <v>0</v>
      </c>
      <c r="O158" s="91">
        <f>(IF(Optimalisatie!C55="Bestaande Situatie",_xlfn.IFNA(VLOOKUP(Inschrijf_CO2_Totaal[[#This Row],[Product]]&amp;", "&amp;Inschrijf_CO2_Totaal[[#Headers],[C4]],Database_Productkaarten[#All],18,FALSE)*Optimalisatie!J55,Baseline_Backlog!O158),0))</f>
        <v>0</v>
      </c>
      <c r="P158" s="91">
        <f>(IF(Optimalisatie!C55="Bestaande Situatie",_xlfn.IFNA(IF(Optimalisatie!E55="Categorie_1_LCA_Producten",VLOOKUP(Inschrijf_CO2_Totaal[[#This Row],[Product]],Categorie_1_Producten[#All],18,FALSE)*(Optimalisatie!J55),VLOOKUP(Inschrijf_CO2_Totaal[[#This Row],[Product]]&amp;", "&amp;Inschrijf_CO2_Totaal[[#Headers],[D1]],Database_Productkaarten[#All],18,FALSE)*Optimalisatie!J55),Baseline_Backlog!P158),0))</f>
        <v>0</v>
      </c>
      <c r="Q158" s="91">
        <f>(IF(Optimalisatie!C55="Bestaande Situatie",_xlfn.IFNA(IF(Optimalisatie!E55="Categorie_1_LCA_Producten",VLOOKUP(Inschrijf_CO2_Totaal[[#This Row],[Product]],Categorie_1_Producten[#All],19,FALSE)*(Optimalisatie!J55),VLOOKUP(Inschrijf_CO2_Totaal[[#This Row],[Product]]&amp;", "&amp;Inschrijf_CO2_Totaal[[#Headers],[D2]],Database_Productkaarten[#All],18,FALSE)*Optimalisatie!J55),Baseline_Backlog!Q158),0))</f>
        <v>0</v>
      </c>
      <c r="R158" s="91">
        <f>(IF(Optimalisatie!C55="Bestaande Situatie",_xlfn.IFNA(IF(Optimalisatie!E55="Categorie_1_LCA_Producten",VLOOKUP(Inschrijf_CO2_Totaal[[#This Row],[Product]],Categorie_1_Producten[#All],21,FALSE)*(Optimalisatie!J55),VLOOKUP(Inschrijf_CO2_Totaal[[#This Row],[Product]]&amp;", "&amp;Inschrijf_CO2_Totaal[[#Headers],[D]],Database_Productkaarten[#All],18,FALSE)*Optimalisatie!J55),Baseline_Backlog!S158),0))</f>
        <v>0</v>
      </c>
      <c r="S158" s="91">
        <f>SUM(Inschrijf_CO2_Totaal[[#This Row],[A1-A3]:[C4]])+Inschrijf_CO2_Totaal[[#This Row],[D]]</f>
        <v>0</v>
      </c>
    </row>
    <row r="159" spans="2:19">
      <c r="B159" s="208">
        <f>Optimalisatie!B56</f>
        <v>0</v>
      </c>
      <c r="C159" s="1">
        <f>Optimalisatie!F56</f>
        <v>0</v>
      </c>
      <c r="D159" s="91">
        <f>(IF(Optimalisatie!C56="Nieuwe Situatie",_xlfn.IFNA(IF(Optimalisatie!E56="Categorie_1_LCA_Producten",VLOOKUP(Inschrijf_CO2_Totaal[[#This Row],[Product]],Categorie_1_Producten[#All],14,FALSE)*(Optimalisatie!J56),VLOOKUP(Inschrijf_CO2_Totaal[[#This Row],[Product]]&amp;", "&amp;Inschrijf_CO2_Totaal[[#Headers],[A1]],Database_Productkaarten[#All],18,FALSE)*Optimalisatie!J56),Baseline_Backlog!D159),0))</f>
        <v>0</v>
      </c>
      <c r="E159" s="91">
        <f>(IF(Optimalisatie!C56="Nieuwe Situatie",_xlfn.IFNA(IF(Optimalisatie!E56="Categorie_1_LCA_Producten",VLOOKUP(Inschrijf_CO2_Totaal[[#This Row],[Product]],Categorie_1_Producten[#All],15,FALSE)*(Optimalisatie!J56),VLOOKUP(Inschrijf_CO2_Totaal[[#This Row],[Product]]&amp;", "&amp;Inschrijf_CO2_Totaal[[#Headers],[A2]],Database_Productkaarten[#All],18,FALSE)*Optimalisatie!J56),Baseline_Backlog!E159),0))</f>
        <v>0</v>
      </c>
      <c r="F159" s="91">
        <f>(IF(Optimalisatie!C56="Nieuwe Situatie",_xlfn.IFNA(IF(Optimalisatie!E56="Categorie_1_LCA_Producten",VLOOKUP(Inschrijf_CO2_Totaal[[#This Row],[Product]],Categorie_1_Producten[#All],16,FALSE)*(Optimalisatie!J56),VLOOKUP(Inschrijf_CO2_Totaal[[#This Row],[Product]]&amp;", "&amp;Inschrijf_CO2_Totaal[[#Headers],[A3]],Database_Productkaarten[#All],18,FALSE)*Optimalisatie!J56),Baseline_Backlog!F159),0))</f>
        <v>0</v>
      </c>
      <c r="G159" s="91">
        <f>(IF(Optimalisatie!C56="Nieuwe Situatie",_xlfn.IFNA(IF(Optimalisatie!E56="Categorie_1_LCA_Producten",VLOOKUP(Inschrijf_CO2_Totaal[[#This Row],[Product]],Categorie_1_Producten[#All],19,FALSE)*(Optimalisatie!J56),VLOOKUP(Inschrijf_CO2_Totaal[[#This Row],[Product]]&amp;", "&amp;Inschrijf_CO2_Totaal[[#Headers],[A1-A3]],Database_Productkaarten[#All],18,FALSE)*Optimalisatie!J56),Baseline_Backlog!G159),0))</f>
        <v>0</v>
      </c>
      <c r="H159" s="91">
        <f>(IF(Optimalisatie!C56="Nieuwe Situatie",_xlfn.IFNA(VLOOKUP(Optimalisatie!V56,Database_Transport[#All],12,FALSE)*(Optimalisatie!R56*Optimalisatie!U56),Baseline_Backlog!H159),0))</f>
        <v>0</v>
      </c>
      <c r="I159" s="91">
        <f>IF(Optimalisatie!C56="Nieuwe situatie",IF(_xlfn.IFNA((VLOOKUP(Optimalisatie!W56,Database_Asfalt_Aanlegset[#All],12,FALSE)*Optimalisatie!J56),0)+_xlfn.IFNA(VLOOKUP(Optimalisatie!X56,Database_Brandstoffen[#All],12,FALSE)*((Optimalisatie!J56/Optimalisatie!Z56)*Optimalisatie!Y56),0)&gt;0,_xlfn.IFNA((VLOOKUP(Optimalisatie!W56,Database_Asfalt_Aanlegset[#All],12,FALSE)*Optimalisatie!J56),0)+_xlfn.IFNA(VLOOKUP(Optimalisatie!X56,Database_Brandstoffen[#All],12,FALSE)*((Optimalisatie!J56/Optimalisatie!Z56)*Optimalisatie!Y56),0),(_xlfn.IFNA(VLOOKUP(Inschrijf_CO2_Totaal[[#This Row],[Product]]&amp;", "&amp;Inschrijf_MKI_Totaal[[#Headers],[A5]],Database_Productkaarten[#All],18,FALSE),0)*Optimalisatie!J56)),0)</f>
        <v>0</v>
      </c>
      <c r="J159" s="91">
        <f>(IF(Optimalisatie!C56="Nieuwe Situatie",_xlfn.IFNA(IF(Optimalisatie!E56="Categorie_1_LCA_Producten",VLOOKUP(Inschrijf_CO2_Totaal[[#This Row],[Product]],Categorie_1_Producten[#All],20,FALSE)*(Optimalisatie!R56),VLOOKUP(Inschrijf_CO2_Totaal[[#This Row],[Product]]&amp;", "&amp;Inschrijf_CO2_Totaal[[#Headers],[B1]],Database_Productkaarten[#All],18,FALSE)*Optimalisatie!J56),Baseline_Backlog!J159),0))</f>
        <v>0</v>
      </c>
      <c r="K159" s="91">
        <f>(IF(Optimalisatie!C56="Nieuwe Situatie",_xlfn.IFNA(SUM(Inschrijf_CO2_Totaal[[#This Row],[A1]:[B1]],Inschrijf_CO2_Totaal[[#This Row],[C1]:[D2]])*Optimalisatie!T56,0),0))</f>
        <v>0</v>
      </c>
      <c r="L159" s="91">
        <f>IF(Optimalisatie!C56="Bestaande situatie",IF(_xlfn.IFNA((VLOOKUP(Optimalisatie!AA56,Database_Asfalt_Verwijderset[#All],12,FALSE)*Optimalisatie!J56),0)+_xlfn.IFNA(VLOOKUP(Optimalisatie!AB56,Database_Brandstoffen[#All],12,FALSE)*((Optimalisatie!J56/Optimalisatie!AD56)*Optimalisatie!AC56),0)&gt;0,_xlfn.IFNA((VLOOKUP(Optimalisatie!AA56,Database_Asfalt_Verwijderset[#All],12,FALSE)*Optimalisatie!J56),0)+_xlfn.IFNA(VLOOKUP(Optimalisatie!AB56,Database_Brandstoffen[#All],12,FALSE)*((Optimalisatie!J56/Optimalisatie!AD56)*Optimalisatie!AC56),0),(_xlfn.IFNA(VLOOKUP(Inschrijf_CO2_Totaal[[#This Row],[Product]]&amp;", "&amp;Inschrijf_MKI_Totaal[[#Headers],[C1]],Database_Productkaarten[#All],18,FALSE),0)*Optimalisatie!J56)),0)</f>
        <v>0</v>
      </c>
      <c r="M159" s="91">
        <f>(IF(Optimalisatie!C56="Bestaande Situatie",_xlfn.IFNA(VLOOKUP(Optimalisatie!AF56,Database_Transport[#All],12,FALSE)*(Optimalisatie!R56*Optimalisatie!AE56),Baseline_Backlog!M159),0))</f>
        <v>0</v>
      </c>
      <c r="N159" s="91">
        <f>(IF(Optimalisatie!C56="Bestaande Situatie",_xlfn.IFNA(VLOOKUP(Optimalisatie!AG56,Database_Asfalt_Verwerkingsset[#All],12,FALSE)*(Optimalisatie!J56/VLOOKUP(Optimalisatie!AG56,Database_Asfalt_Verwerkingsset[#All],12,FALSE)),Baseline_Backlog!N159),0))</f>
        <v>0</v>
      </c>
      <c r="O159" s="91">
        <f>(IF(Optimalisatie!C56="Bestaande Situatie",_xlfn.IFNA(VLOOKUP(Inschrijf_CO2_Totaal[[#This Row],[Product]]&amp;", "&amp;Inschrijf_CO2_Totaal[[#Headers],[C4]],Database_Productkaarten[#All],18,FALSE)*Optimalisatie!J56,Baseline_Backlog!O159),0))</f>
        <v>0</v>
      </c>
      <c r="P159" s="91">
        <f>(IF(Optimalisatie!C56="Bestaande Situatie",_xlfn.IFNA(IF(Optimalisatie!E56="Categorie_1_LCA_Producten",VLOOKUP(Inschrijf_CO2_Totaal[[#This Row],[Product]],Categorie_1_Producten[#All],18,FALSE)*(Optimalisatie!J56),VLOOKUP(Inschrijf_CO2_Totaal[[#This Row],[Product]]&amp;", "&amp;Inschrijf_CO2_Totaal[[#Headers],[D1]],Database_Productkaarten[#All],18,FALSE)*Optimalisatie!J56),Baseline_Backlog!P159),0))</f>
        <v>0</v>
      </c>
      <c r="Q159" s="91">
        <f>(IF(Optimalisatie!C56="Bestaande Situatie",_xlfn.IFNA(IF(Optimalisatie!E56="Categorie_1_LCA_Producten",VLOOKUP(Inschrijf_CO2_Totaal[[#This Row],[Product]],Categorie_1_Producten[#All],19,FALSE)*(Optimalisatie!J56),VLOOKUP(Inschrijf_CO2_Totaal[[#This Row],[Product]]&amp;", "&amp;Inschrijf_CO2_Totaal[[#Headers],[D2]],Database_Productkaarten[#All],18,FALSE)*Optimalisatie!J56),Baseline_Backlog!Q159),0))</f>
        <v>0</v>
      </c>
      <c r="R159" s="91">
        <f>(IF(Optimalisatie!C56="Bestaande Situatie",_xlfn.IFNA(IF(Optimalisatie!E56="Categorie_1_LCA_Producten",VLOOKUP(Inschrijf_CO2_Totaal[[#This Row],[Product]],Categorie_1_Producten[#All],21,FALSE)*(Optimalisatie!J56),VLOOKUP(Inschrijf_CO2_Totaal[[#This Row],[Product]]&amp;", "&amp;Inschrijf_CO2_Totaal[[#Headers],[D]],Database_Productkaarten[#All],18,FALSE)*Optimalisatie!J56),Baseline_Backlog!S159),0))</f>
        <v>0</v>
      </c>
      <c r="S159" s="91">
        <f>SUM(Inschrijf_CO2_Totaal[[#This Row],[A1-A3]:[C4]])+Inschrijf_CO2_Totaal[[#This Row],[D]]</f>
        <v>0</v>
      </c>
    </row>
    <row r="160" spans="2:19">
      <c r="B160" s="208">
        <f>Optimalisatie!B57</f>
        <v>0</v>
      </c>
      <c r="C160" s="1">
        <f>Optimalisatie!F57</f>
        <v>0</v>
      </c>
      <c r="D160" s="91">
        <f>(IF(Optimalisatie!C57="Nieuwe Situatie",_xlfn.IFNA(IF(Optimalisatie!E57="Categorie_1_LCA_Producten",VLOOKUP(Inschrijf_CO2_Totaal[[#This Row],[Product]],Categorie_1_Producten[#All],14,FALSE)*(Optimalisatie!J57),VLOOKUP(Inschrijf_CO2_Totaal[[#This Row],[Product]]&amp;", "&amp;Inschrijf_CO2_Totaal[[#Headers],[A1]],Database_Productkaarten[#All],18,FALSE)*Optimalisatie!J57),Baseline_Backlog!D160),0))</f>
        <v>0</v>
      </c>
      <c r="E160" s="91">
        <f>(IF(Optimalisatie!C57="Nieuwe Situatie",_xlfn.IFNA(IF(Optimalisatie!E57="Categorie_1_LCA_Producten",VLOOKUP(Inschrijf_CO2_Totaal[[#This Row],[Product]],Categorie_1_Producten[#All],15,FALSE)*(Optimalisatie!J57),VLOOKUP(Inschrijf_CO2_Totaal[[#This Row],[Product]]&amp;", "&amp;Inschrijf_CO2_Totaal[[#Headers],[A2]],Database_Productkaarten[#All],18,FALSE)*Optimalisatie!J57),Baseline_Backlog!E160),0))</f>
        <v>0</v>
      </c>
      <c r="F160" s="91">
        <f>(IF(Optimalisatie!C57="Nieuwe Situatie",_xlfn.IFNA(IF(Optimalisatie!E57="Categorie_1_LCA_Producten",VLOOKUP(Inschrijf_CO2_Totaal[[#This Row],[Product]],Categorie_1_Producten[#All],16,FALSE)*(Optimalisatie!J57),VLOOKUP(Inschrijf_CO2_Totaal[[#This Row],[Product]]&amp;", "&amp;Inschrijf_CO2_Totaal[[#Headers],[A3]],Database_Productkaarten[#All],18,FALSE)*Optimalisatie!J57),Baseline_Backlog!F160),0))</f>
        <v>0</v>
      </c>
      <c r="G160" s="91">
        <f>(IF(Optimalisatie!C57="Nieuwe Situatie",_xlfn.IFNA(IF(Optimalisatie!E57="Categorie_1_LCA_Producten",VLOOKUP(Inschrijf_CO2_Totaal[[#This Row],[Product]],Categorie_1_Producten[#All],19,FALSE)*(Optimalisatie!J57),VLOOKUP(Inschrijf_CO2_Totaal[[#This Row],[Product]]&amp;", "&amp;Inschrijf_CO2_Totaal[[#Headers],[A1-A3]],Database_Productkaarten[#All],18,FALSE)*Optimalisatie!J57),Baseline_Backlog!G160),0))</f>
        <v>0</v>
      </c>
      <c r="H160" s="91">
        <f>(IF(Optimalisatie!C57="Nieuwe Situatie",_xlfn.IFNA(VLOOKUP(Optimalisatie!V57,Database_Transport[#All],12,FALSE)*(Optimalisatie!R57*Optimalisatie!U57),Baseline_Backlog!H160),0))</f>
        <v>0</v>
      </c>
      <c r="I160" s="91">
        <f>IF(Optimalisatie!C57="Nieuwe situatie",IF(_xlfn.IFNA((VLOOKUP(Optimalisatie!W57,Database_Asfalt_Aanlegset[#All],12,FALSE)*Optimalisatie!J57),0)+_xlfn.IFNA(VLOOKUP(Optimalisatie!X57,Database_Brandstoffen[#All],12,FALSE)*((Optimalisatie!J57/Optimalisatie!Z57)*Optimalisatie!Y57),0)&gt;0,_xlfn.IFNA((VLOOKUP(Optimalisatie!W57,Database_Asfalt_Aanlegset[#All],12,FALSE)*Optimalisatie!J57),0)+_xlfn.IFNA(VLOOKUP(Optimalisatie!X57,Database_Brandstoffen[#All],12,FALSE)*((Optimalisatie!J57/Optimalisatie!Z57)*Optimalisatie!Y57),0),(_xlfn.IFNA(VLOOKUP(Inschrijf_CO2_Totaal[[#This Row],[Product]]&amp;", "&amp;Inschrijf_MKI_Totaal[[#Headers],[A5]],Database_Productkaarten[#All],18,FALSE),0)*Optimalisatie!J57)),0)</f>
        <v>0</v>
      </c>
      <c r="J160" s="91">
        <f>(IF(Optimalisatie!C57="Nieuwe Situatie",_xlfn.IFNA(IF(Optimalisatie!E57="Categorie_1_LCA_Producten",VLOOKUP(Inschrijf_CO2_Totaal[[#This Row],[Product]],Categorie_1_Producten[#All],20,FALSE)*(Optimalisatie!R57),VLOOKUP(Inschrijf_CO2_Totaal[[#This Row],[Product]]&amp;", "&amp;Inschrijf_CO2_Totaal[[#Headers],[B1]],Database_Productkaarten[#All],18,FALSE)*Optimalisatie!J57),Baseline_Backlog!J160),0))</f>
        <v>0</v>
      </c>
      <c r="K160" s="91">
        <f>(IF(Optimalisatie!C57="Nieuwe Situatie",_xlfn.IFNA(SUM(Inschrijf_CO2_Totaal[[#This Row],[A1]:[B1]],Inschrijf_CO2_Totaal[[#This Row],[C1]:[D2]])*Optimalisatie!T57,0),0))</f>
        <v>0</v>
      </c>
      <c r="L160" s="91">
        <f>IF(Optimalisatie!C57="Bestaande situatie",IF(_xlfn.IFNA((VLOOKUP(Optimalisatie!AA57,Database_Asfalt_Verwijderset[#All],12,FALSE)*Optimalisatie!J57),0)+_xlfn.IFNA(VLOOKUP(Optimalisatie!AB57,Database_Brandstoffen[#All],12,FALSE)*((Optimalisatie!J57/Optimalisatie!AD57)*Optimalisatie!AC57),0)&gt;0,_xlfn.IFNA((VLOOKUP(Optimalisatie!AA57,Database_Asfalt_Verwijderset[#All],12,FALSE)*Optimalisatie!J57),0)+_xlfn.IFNA(VLOOKUP(Optimalisatie!AB57,Database_Brandstoffen[#All],12,FALSE)*((Optimalisatie!J57/Optimalisatie!AD57)*Optimalisatie!AC57),0),(_xlfn.IFNA(VLOOKUP(Inschrijf_CO2_Totaal[[#This Row],[Product]]&amp;", "&amp;Inschrijf_MKI_Totaal[[#Headers],[C1]],Database_Productkaarten[#All],18,FALSE),0)*Optimalisatie!J57)),0)</f>
        <v>0</v>
      </c>
      <c r="M160" s="91">
        <f>(IF(Optimalisatie!C57="Bestaande Situatie",_xlfn.IFNA(VLOOKUP(Optimalisatie!AF57,Database_Transport[#All],12,FALSE)*(Optimalisatie!R57*Optimalisatie!AE57),Baseline_Backlog!M160),0))</f>
        <v>0</v>
      </c>
      <c r="N160" s="91">
        <f>(IF(Optimalisatie!C57="Bestaande Situatie",_xlfn.IFNA(VLOOKUP(Optimalisatie!AG57,Database_Asfalt_Verwerkingsset[#All],12,FALSE)*(Optimalisatie!J57/VLOOKUP(Optimalisatie!AG57,Database_Asfalt_Verwerkingsset[#All],12,FALSE)),Baseline_Backlog!N160),0))</f>
        <v>0</v>
      </c>
      <c r="O160" s="91">
        <f>(IF(Optimalisatie!C57="Bestaande Situatie",_xlfn.IFNA(VLOOKUP(Inschrijf_CO2_Totaal[[#This Row],[Product]]&amp;", "&amp;Inschrijf_CO2_Totaal[[#Headers],[C4]],Database_Productkaarten[#All],18,FALSE)*Optimalisatie!J57,Baseline_Backlog!O160),0))</f>
        <v>0</v>
      </c>
      <c r="P160" s="91">
        <f>(IF(Optimalisatie!C57="Bestaande Situatie",_xlfn.IFNA(IF(Optimalisatie!E57="Categorie_1_LCA_Producten",VLOOKUP(Inschrijf_CO2_Totaal[[#This Row],[Product]],Categorie_1_Producten[#All],18,FALSE)*(Optimalisatie!J57),VLOOKUP(Inschrijf_CO2_Totaal[[#This Row],[Product]]&amp;", "&amp;Inschrijf_CO2_Totaal[[#Headers],[D1]],Database_Productkaarten[#All],18,FALSE)*Optimalisatie!J57),Baseline_Backlog!P160),0))</f>
        <v>0</v>
      </c>
      <c r="Q160" s="91">
        <f>(IF(Optimalisatie!C57="Bestaande Situatie",_xlfn.IFNA(IF(Optimalisatie!E57="Categorie_1_LCA_Producten",VLOOKUP(Inschrijf_CO2_Totaal[[#This Row],[Product]],Categorie_1_Producten[#All],19,FALSE)*(Optimalisatie!J57),VLOOKUP(Inschrijf_CO2_Totaal[[#This Row],[Product]]&amp;", "&amp;Inschrijf_CO2_Totaal[[#Headers],[D2]],Database_Productkaarten[#All],18,FALSE)*Optimalisatie!J57),Baseline_Backlog!Q160),0))</f>
        <v>0</v>
      </c>
      <c r="R160" s="91">
        <f>(IF(Optimalisatie!C57="Bestaande Situatie",_xlfn.IFNA(IF(Optimalisatie!E57="Categorie_1_LCA_Producten",VLOOKUP(Inschrijf_CO2_Totaal[[#This Row],[Product]],Categorie_1_Producten[#All],21,FALSE)*(Optimalisatie!J57),VLOOKUP(Inschrijf_CO2_Totaal[[#This Row],[Product]]&amp;", "&amp;Inschrijf_CO2_Totaal[[#Headers],[D]],Database_Productkaarten[#All],18,FALSE)*Optimalisatie!J57),Baseline_Backlog!S160),0))</f>
        <v>0</v>
      </c>
      <c r="S160" s="91">
        <f>SUM(Inschrijf_CO2_Totaal[[#This Row],[A1-A3]:[C4]])+Inschrijf_CO2_Totaal[[#This Row],[D]]</f>
        <v>0</v>
      </c>
    </row>
    <row r="161" spans="2:19">
      <c r="B161" s="208">
        <f>Optimalisatie!B58</f>
        <v>0</v>
      </c>
      <c r="C161" s="1">
        <f>Optimalisatie!F58</f>
        <v>0</v>
      </c>
      <c r="D161" s="91">
        <f>(IF(Optimalisatie!C58="Nieuwe Situatie",_xlfn.IFNA(IF(Optimalisatie!E58="Categorie_1_LCA_Producten",VLOOKUP(Inschrijf_CO2_Totaal[[#This Row],[Product]],Categorie_1_Producten[#All],14,FALSE)*(Optimalisatie!J58),VLOOKUP(Inschrijf_CO2_Totaal[[#This Row],[Product]]&amp;", "&amp;Inschrijf_CO2_Totaal[[#Headers],[A1]],Database_Productkaarten[#All],18,FALSE)*Optimalisatie!J58),Baseline_Backlog!D161),0))</f>
        <v>0</v>
      </c>
      <c r="E161" s="91">
        <f>(IF(Optimalisatie!C58="Nieuwe Situatie",_xlfn.IFNA(IF(Optimalisatie!E58="Categorie_1_LCA_Producten",VLOOKUP(Inschrijf_CO2_Totaal[[#This Row],[Product]],Categorie_1_Producten[#All],15,FALSE)*(Optimalisatie!J58),VLOOKUP(Inschrijf_CO2_Totaal[[#This Row],[Product]]&amp;", "&amp;Inschrijf_CO2_Totaal[[#Headers],[A2]],Database_Productkaarten[#All],18,FALSE)*Optimalisatie!J58),Baseline_Backlog!E161),0))</f>
        <v>0</v>
      </c>
      <c r="F161" s="91">
        <f>(IF(Optimalisatie!C58="Nieuwe Situatie",_xlfn.IFNA(IF(Optimalisatie!E58="Categorie_1_LCA_Producten",VLOOKUP(Inschrijf_CO2_Totaal[[#This Row],[Product]],Categorie_1_Producten[#All],16,FALSE)*(Optimalisatie!J58),VLOOKUP(Inschrijf_CO2_Totaal[[#This Row],[Product]]&amp;", "&amp;Inschrijf_CO2_Totaal[[#Headers],[A3]],Database_Productkaarten[#All],18,FALSE)*Optimalisatie!J58),Baseline_Backlog!F161),0))</f>
        <v>0</v>
      </c>
      <c r="G161" s="91">
        <f>(IF(Optimalisatie!C58="Nieuwe Situatie",_xlfn.IFNA(IF(Optimalisatie!E58="Categorie_1_LCA_Producten",VLOOKUP(Inschrijf_CO2_Totaal[[#This Row],[Product]],Categorie_1_Producten[#All],19,FALSE)*(Optimalisatie!J58),VLOOKUP(Inschrijf_CO2_Totaal[[#This Row],[Product]]&amp;", "&amp;Inschrijf_CO2_Totaal[[#Headers],[A1-A3]],Database_Productkaarten[#All],18,FALSE)*Optimalisatie!J58),Baseline_Backlog!G161),0))</f>
        <v>0</v>
      </c>
      <c r="H161" s="91">
        <f>(IF(Optimalisatie!C58="Nieuwe Situatie",_xlfn.IFNA(VLOOKUP(Optimalisatie!V58,Database_Transport[#All],12,FALSE)*(Optimalisatie!R58*Optimalisatie!U58),Baseline_Backlog!H161),0))</f>
        <v>0</v>
      </c>
      <c r="I161" s="91">
        <f>IF(Optimalisatie!C58="Nieuwe situatie",IF(_xlfn.IFNA((VLOOKUP(Optimalisatie!W58,Database_Asfalt_Aanlegset[#All],12,FALSE)*Optimalisatie!J58),0)+_xlfn.IFNA(VLOOKUP(Optimalisatie!X58,Database_Brandstoffen[#All],12,FALSE)*((Optimalisatie!J58/Optimalisatie!Z58)*Optimalisatie!Y58),0)&gt;0,_xlfn.IFNA((VLOOKUP(Optimalisatie!W58,Database_Asfalt_Aanlegset[#All],12,FALSE)*Optimalisatie!J58),0)+_xlfn.IFNA(VLOOKUP(Optimalisatie!X58,Database_Brandstoffen[#All],12,FALSE)*((Optimalisatie!J58/Optimalisatie!Z58)*Optimalisatie!Y58),0),(_xlfn.IFNA(VLOOKUP(Inschrijf_CO2_Totaal[[#This Row],[Product]]&amp;", "&amp;Inschrijf_MKI_Totaal[[#Headers],[A5]],Database_Productkaarten[#All],18,FALSE),0)*Optimalisatie!J58)),0)</f>
        <v>0</v>
      </c>
      <c r="J161" s="91">
        <f>(IF(Optimalisatie!C58="Nieuwe Situatie",_xlfn.IFNA(IF(Optimalisatie!E58="Categorie_1_LCA_Producten",VLOOKUP(Inschrijf_CO2_Totaal[[#This Row],[Product]],Categorie_1_Producten[#All],20,FALSE)*(Optimalisatie!R58),VLOOKUP(Inschrijf_CO2_Totaal[[#This Row],[Product]]&amp;", "&amp;Inschrijf_CO2_Totaal[[#Headers],[B1]],Database_Productkaarten[#All],18,FALSE)*Optimalisatie!J58),Baseline_Backlog!J161),0))</f>
        <v>0</v>
      </c>
      <c r="K161" s="91">
        <f>(IF(Optimalisatie!C58="Nieuwe Situatie",_xlfn.IFNA(SUM(Inschrijf_CO2_Totaal[[#This Row],[A1]:[B1]],Inschrijf_CO2_Totaal[[#This Row],[C1]:[D2]])*Optimalisatie!T58,0),0))</f>
        <v>0</v>
      </c>
      <c r="L161" s="91">
        <f>IF(Optimalisatie!C58="Bestaande situatie",IF(_xlfn.IFNA((VLOOKUP(Optimalisatie!AA58,Database_Asfalt_Verwijderset[#All],12,FALSE)*Optimalisatie!J58),0)+_xlfn.IFNA(VLOOKUP(Optimalisatie!AB58,Database_Brandstoffen[#All],12,FALSE)*((Optimalisatie!J58/Optimalisatie!AD58)*Optimalisatie!AC58),0)&gt;0,_xlfn.IFNA((VLOOKUP(Optimalisatie!AA58,Database_Asfalt_Verwijderset[#All],12,FALSE)*Optimalisatie!J58),0)+_xlfn.IFNA(VLOOKUP(Optimalisatie!AB58,Database_Brandstoffen[#All],12,FALSE)*((Optimalisatie!J58/Optimalisatie!AD58)*Optimalisatie!AC58),0),(_xlfn.IFNA(VLOOKUP(Inschrijf_CO2_Totaal[[#This Row],[Product]]&amp;", "&amp;Inschrijf_MKI_Totaal[[#Headers],[C1]],Database_Productkaarten[#All],18,FALSE),0)*Optimalisatie!J58)),0)</f>
        <v>0</v>
      </c>
      <c r="M161" s="91">
        <f>(IF(Optimalisatie!C58="Bestaande Situatie",_xlfn.IFNA(VLOOKUP(Optimalisatie!AF58,Database_Transport[#All],12,FALSE)*(Optimalisatie!R58*Optimalisatie!AE58),Baseline_Backlog!M161),0))</f>
        <v>0</v>
      </c>
      <c r="N161" s="91">
        <f>(IF(Optimalisatie!C58="Bestaande Situatie",_xlfn.IFNA(VLOOKUP(Optimalisatie!AG58,Database_Asfalt_Verwerkingsset[#All],12,FALSE)*(Optimalisatie!J58/VLOOKUP(Optimalisatie!AG58,Database_Asfalt_Verwerkingsset[#All],12,FALSE)),Baseline_Backlog!N161),0))</f>
        <v>0</v>
      </c>
      <c r="O161" s="91">
        <f>(IF(Optimalisatie!C58="Bestaande Situatie",_xlfn.IFNA(VLOOKUP(Inschrijf_CO2_Totaal[[#This Row],[Product]]&amp;", "&amp;Inschrijf_CO2_Totaal[[#Headers],[C4]],Database_Productkaarten[#All],18,FALSE)*Optimalisatie!J58,Baseline_Backlog!O161),0))</f>
        <v>0</v>
      </c>
      <c r="P161" s="91">
        <f>(IF(Optimalisatie!C58="Bestaande Situatie",_xlfn.IFNA(IF(Optimalisatie!E58="Categorie_1_LCA_Producten",VLOOKUP(Inschrijf_CO2_Totaal[[#This Row],[Product]],Categorie_1_Producten[#All],18,FALSE)*(Optimalisatie!J58),VLOOKUP(Inschrijf_CO2_Totaal[[#This Row],[Product]]&amp;", "&amp;Inschrijf_CO2_Totaal[[#Headers],[D1]],Database_Productkaarten[#All],18,FALSE)*Optimalisatie!J58),Baseline_Backlog!P161),0))</f>
        <v>0</v>
      </c>
      <c r="Q161" s="91">
        <f>(IF(Optimalisatie!C58="Bestaande Situatie",_xlfn.IFNA(IF(Optimalisatie!E58="Categorie_1_LCA_Producten",VLOOKUP(Inschrijf_CO2_Totaal[[#This Row],[Product]],Categorie_1_Producten[#All],19,FALSE)*(Optimalisatie!J58),VLOOKUP(Inschrijf_CO2_Totaal[[#This Row],[Product]]&amp;", "&amp;Inschrijf_CO2_Totaal[[#Headers],[D2]],Database_Productkaarten[#All],18,FALSE)*Optimalisatie!J58),Baseline_Backlog!Q161),0))</f>
        <v>0</v>
      </c>
      <c r="R161" s="91">
        <f>(IF(Optimalisatie!C58="Bestaande Situatie",_xlfn.IFNA(IF(Optimalisatie!E58="Categorie_1_LCA_Producten",VLOOKUP(Inschrijf_CO2_Totaal[[#This Row],[Product]],Categorie_1_Producten[#All],21,FALSE)*(Optimalisatie!J58),VLOOKUP(Inschrijf_CO2_Totaal[[#This Row],[Product]]&amp;", "&amp;Inschrijf_CO2_Totaal[[#Headers],[D]],Database_Productkaarten[#All],18,FALSE)*Optimalisatie!J58),Baseline_Backlog!S161),0))</f>
        <v>0</v>
      </c>
      <c r="S161" s="91">
        <f>SUM(Inschrijf_CO2_Totaal[[#This Row],[A1-A3]:[C4]])+Inschrijf_CO2_Totaal[[#This Row],[D]]</f>
        <v>0</v>
      </c>
    </row>
    <row r="162" spans="2:19">
      <c r="B162" s="208">
        <f>Optimalisatie!B59</f>
        <v>0</v>
      </c>
      <c r="C162" s="1">
        <f>Optimalisatie!F59</f>
        <v>0</v>
      </c>
      <c r="D162" s="91">
        <f>(IF(Optimalisatie!C59="Nieuwe Situatie",_xlfn.IFNA(IF(Optimalisatie!E59="Categorie_1_LCA_Producten",VLOOKUP(Inschrijf_CO2_Totaal[[#This Row],[Product]],Categorie_1_Producten[#All],14,FALSE)*(Optimalisatie!J59),VLOOKUP(Inschrijf_CO2_Totaal[[#This Row],[Product]]&amp;", "&amp;Inschrijf_CO2_Totaal[[#Headers],[A1]],Database_Productkaarten[#All],18,FALSE)*Optimalisatie!J59),Baseline_Backlog!D162),0))</f>
        <v>0</v>
      </c>
      <c r="E162" s="91">
        <f>(IF(Optimalisatie!C59="Nieuwe Situatie",_xlfn.IFNA(IF(Optimalisatie!E59="Categorie_1_LCA_Producten",VLOOKUP(Inschrijf_CO2_Totaal[[#This Row],[Product]],Categorie_1_Producten[#All],15,FALSE)*(Optimalisatie!J59),VLOOKUP(Inschrijf_CO2_Totaal[[#This Row],[Product]]&amp;", "&amp;Inschrijf_CO2_Totaal[[#Headers],[A2]],Database_Productkaarten[#All],18,FALSE)*Optimalisatie!J59),Baseline_Backlog!E162),0))</f>
        <v>0</v>
      </c>
      <c r="F162" s="91">
        <f>(IF(Optimalisatie!C59="Nieuwe Situatie",_xlfn.IFNA(IF(Optimalisatie!E59="Categorie_1_LCA_Producten",VLOOKUP(Inschrijf_CO2_Totaal[[#This Row],[Product]],Categorie_1_Producten[#All],16,FALSE)*(Optimalisatie!J59),VLOOKUP(Inschrijf_CO2_Totaal[[#This Row],[Product]]&amp;", "&amp;Inschrijf_CO2_Totaal[[#Headers],[A3]],Database_Productkaarten[#All],18,FALSE)*Optimalisatie!J59),Baseline_Backlog!F162),0))</f>
        <v>0</v>
      </c>
      <c r="G162" s="91">
        <f>(IF(Optimalisatie!C59="Nieuwe Situatie",_xlfn.IFNA(IF(Optimalisatie!E59="Categorie_1_LCA_Producten",VLOOKUP(Inschrijf_CO2_Totaal[[#This Row],[Product]],Categorie_1_Producten[#All],19,FALSE)*(Optimalisatie!J59),VLOOKUP(Inschrijf_CO2_Totaal[[#This Row],[Product]]&amp;", "&amp;Inschrijf_CO2_Totaal[[#Headers],[A1-A3]],Database_Productkaarten[#All],18,FALSE)*Optimalisatie!J59),Baseline_Backlog!G162),0))</f>
        <v>0</v>
      </c>
      <c r="H162" s="91">
        <f>(IF(Optimalisatie!C59="Nieuwe Situatie",_xlfn.IFNA(VLOOKUP(Optimalisatie!V59,Database_Transport[#All],12,FALSE)*(Optimalisatie!R59*Optimalisatie!U59),Baseline_Backlog!H162),0))</f>
        <v>0</v>
      </c>
      <c r="I162" s="91">
        <f>IF(Optimalisatie!C59="Nieuwe situatie",IF(_xlfn.IFNA((VLOOKUP(Optimalisatie!W59,Database_Asfalt_Aanlegset[#All],12,FALSE)*Optimalisatie!J59),0)+_xlfn.IFNA(VLOOKUP(Optimalisatie!X59,Database_Brandstoffen[#All],12,FALSE)*((Optimalisatie!J59/Optimalisatie!Z59)*Optimalisatie!Y59),0)&gt;0,_xlfn.IFNA((VLOOKUP(Optimalisatie!W59,Database_Asfalt_Aanlegset[#All],12,FALSE)*Optimalisatie!J59),0)+_xlfn.IFNA(VLOOKUP(Optimalisatie!X59,Database_Brandstoffen[#All],12,FALSE)*((Optimalisatie!J59/Optimalisatie!Z59)*Optimalisatie!Y59),0),(_xlfn.IFNA(VLOOKUP(Inschrijf_CO2_Totaal[[#This Row],[Product]]&amp;", "&amp;Inschrijf_MKI_Totaal[[#Headers],[A5]],Database_Productkaarten[#All],18,FALSE),0)*Optimalisatie!J59)),0)</f>
        <v>0</v>
      </c>
      <c r="J162" s="91">
        <f>(IF(Optimalisatie!C59="Nieuwe Situatie",_xlfn.IFNA(IF(Optimalisatie!E59="Categorie_1_LCA_Producten",VLOOKUP(Inschrijf_CO2_Totaal[[#This Row],[Product]],Categorie_1_Producten[#All],20,FALSE)*(Optimalisatie!R59),VLOOKUP(Inschrijf_CO2_Totaal[[#This Row],[Product]]&amp;", "&amp;Inschrijf_CO2_Totaal[[#Headers],[B1]],Database_Productkaarten[#All],18,FALSE)*Optimalisatie!J59),Baseline_Backlog!J162),0))</f>
        <v>0</v>
      </c>
      <c r="K162" s="91">
        <f>(IF(Optimalisatie!C59="Nieuwe Situatie",_xlfn.IFNA(SUM(Inschrijf_CO2_Totaal[[#This Row],[A1]:[B1]],Inschrijf_CO2_Totaal[[#This Row],[C1]:[D2]])*Optimalisatie!T59,0),0))</f>
        <v>0</v>
      </c>
      <c r="L162" s="91">
        <f>IF(Optimalisatie!C59="Bestaande situatie",IF(_xlfn.IFNA((VLOOKUP(Optimalisatie!AA59,Database_Asfalt_Verwijderset[#All],12,FALSE)*Optimalisatie!J59),0)+_xlfn.IFNA(VLOOKUP(Optimalisatie!AB59,Database_Brandstoffen[#All],12,FALSE)*((Optimalisatie!J59/Optimalisatie!AD59)*Optimalisatie!AC59),0)&gt;0,_xlfn.IFNA((VLOOKUP(Optimalisatie!AA59,Database_Asfalt_Verwijderset[#All],12,FALSE)*Optimalisatie!J59),0)+_xlfn.IFNA(VLOOKUP(Optimalisatie!AB59,Database_Brandstoffen[#All],12,FALSE)*((Optimalisatie!J59/Optimalisatie!AD59)*Optimalisatie!AC59),0),(_xlfn.IFNA(VLOOKUP(Inschrijf_CO2_Totaal[[#This Row],[Product]]&amp;", "&amp;Inschrijf_MKI_Totaal[[#Headers],[C1]],Database_Productkaarten[#All],18,FALSE),0)*Optimalisatie!J59)),0)</f>
        <v>0</v>
      </c>
      <c r="M162" s="91">
        <f>(IF(Optimalisatie!C59="Bestaande Situatie",_xlfn.IFNA(VLOOKUP(Optimalisatie!AF59,Database_Transport[#All],12,FALSE)*(Optimalisatie!R59*Optimalisatie!AE59),Baseline_Backlog!M162),0))</f>
        <v>0</v>
      </c>
      <c r="N162" s="91">
        <f>(IF(Optimalisatie!C59="Bestaande Situatie",_xlfn.IFNA(VLOOKUP(Optimalisatie!AG59,Database_Asfalt_Verwerkingsset[#All],12,FALSE)*(Optimalisatie!J59/VLOOKUP(Optimalisatie!AG59,Database_Asfalt_Verwerkingsset[#All],12,FALSE)),Baseline_Backlog!N162),0))</f>
        <v>0</v>
      </c>
      <c r="O162" s="91">
        <f>(IF(Optimalisatie!C59="Bestaande Situatie",_xlfn.IFNA(VLOOKUP(Inschrijf_CO2_Totaal[[#This Row],[Product]]&amp;", "&amp;Inschrijf_CO2_Totaal[[#Headers],[C4]],Database_Productkaarten[#All],18,FALSE)*Optimalisatie!J59,Baseline_Backlog!O162),0))</f>
        <v>0</v>
      </c>
      <c r="P162" s="91">
        <f>(IF(Optimalisatie!C59="Bestaande Situatie",_xlfn.IFNA(IF(Optimalisatie!E59="Categorie_1_LCA_Producten",VLOOKUP(Inschrijf_CO2_Totaal[[#This Row],[Product]],Categorie_1_Producten[#All],18,FALSE)*(Optimalisatie!J59),VLOOKUP(Inschrijf_CO2_Totaal[[#This Row],[Product]]&amp;", "&amp;Inschrijf_CO2_Totaal[[#Headers],[D1]],Database_Productkaarten[#All],18,FALSE)*Optimalisatie!J59),Baseline_Backlog!P162),0))</f>
        <v>0</v>
      </c>
      <c r="Q162" s="91">
        <f>(IF(Optimalisatie!C59="Bestaande Situatie",_xlfn.IFNA(IF(Optimalisatie!E59="Categorie_1_LCA_Producten",VLOOKUP(Inschrijf_CO2_Totaal[[#This Row],[Product]],Categorie_1_Producten[#All],19,FALSE)*(Optimalisatie!J59),VLOOKUP(Inschrijf_CO2_Totaal[[#This Row],[Product]]&amp;", "&amp;Inschrijf_CO2_Totaal[[#Headers],[D2]],Database_Productkaarten[#All],18,FALSE)*Optimalisatie!J59),Baseline_Backlog!Q162),0))</f>
        <v>0</v>
      </c>
      <c r="R162" s="91">
        <f>(IF(Optimalisatie!C59="Bestaande Situatie",_xlfn.IFNA(IF(Optimalisatie!E59="Categorie_1_LCA_Producten",VLOOKUP(Inschrijf_CO2_Totaal[[#This Row],[Product]],Categorie_1_Producten[#All],21,FALSE)*(Optimalisatie!J59),VLOOKUP(Inschrijf_CO2_Totaal[[#This Row],[Product]]&amp;", "&amp;Inschrijf_CO2_Totaal[[#Headers],[D]],Database_Productkaarten[#All],18,FALSE)*Optimalisatie!J59),Baseline_Backlog!S162),0))</f>
        <v>0</v>
      </c>
      <c r="S162" s="91">
        <f>SUM(Inschrijf_CO2_Totaal[[#This Row],[A1-A3]:[C4]])+Inschrijf_CO2_Totaal[[#This Row],[D]]</f>
        <v>0</v>
      </c>
    </row>
    <row r="163" spans="2:19">
      <c r="B163" s="208">
        <f>Optimalisatie!B60</f>
        <v>0</v>
      </c>
      <c r="C163" s="1">
        <f>Optimalisatie!F60</f>
        <v>0</v>
      </c>
      <c r="D163" s="91">
        <f>(IF(Optimalisatie!C60="Nieuwe Situatie",_xlfn.IFNA(IF(Optimalisatie!E60="Categorie_1_LCA_Producten",VLOOKUP(Inschrijf_CO2_Totaal[[#This Row],[Product]],Categorie_1_Producten[#All],14,FALSE)*(Optimalisatie!J60),VLOOKUP(Inschrijf_CO2_Totaal[[#This Row],[Product]]&amp;", "&amp;Inschrijf_CO2_Totaal[[#Headers],[A1]],Database_Productkaarten[#All],18,FALSE)*Optimalisatie!J60),Baseline_Backlog!D163),0))</f>
        <v>0</v>
      </c>
      <c r="E163" s="91">
        <f>(IF(Optimalisatie!C60="Nieuwe Situatie",_xlfn.IFNA(IF(Optimalisatie!E60="Categorie_1_LCA_Producten",VLOOKUP(Inschrijf_CO2_Totaal[[#This Row],[Product]],Categorie_1_Producten[#All],15,FALSE)*(Optimalisatie!J60),VLOOKUP(Inschrijf_CO2_Totaal[[#This Row],[Product]]&amp;", "&amp;Inschrijf_CO2_Totaal[[#Headers],[A2]],Database_Productkaarten[#All],18,FALSE)*Optimalisatie!J60),Baseline_Backlog!E163),0))</f>
        <v>0</v>
      </c>
      <c r="F163" s="91">
        <f>(IF(Optimalisatie!C60="Nieuwe Situatie",_xlfn.IFNA(IF(Optimalisatie!E60="Categorie_1_LCA_Producten",VLOOKUP(Inschrijf_CO2_Totaal[[#This Row],[Product]],Categorie_1_Producten[#All],16,FALSE)*(Optimalisatie!J60),VLOOKUP(Inschrijf_CO2_Totaal[[#This Row],[Product]]&amp;", "&amp;Inschrijf_CO2_Totaal[[#Headers],[A3]],Database_Productkaarten[#All],18,FALSE)*Optimalisatie!J60),Baseline_Backlog!F163),0))</f>
        <v>0</v>
      </c>
      <c r="G163" s="91">
        <f>(IF(Optimalisatie!C60="Nieuwe Situatie",_xlfn.IFNA(IF(Optimalisatie!E60="Categorie_1_LCA_Producten",VLOOKUP(Inschrijf_CO2_Totaal[[#This Row],[Product]],Categorie_1_Producten[#All],19,FALSE)*(Optimalisatie!J60),VLOOKUP(Inschrijf_CO2_Totaal[[#This Row],[Product]]&amp;", "&amp;Inschrijf_CO2_Totaal[[#Headers],[A1-A3]],Database_Productkaarten[#All],18,FALSE)*Optimalisatie!J60),Baseline_Backlog!G163),0))</f>
        <v>0</v>
      </c>
      <c r="H163" s="91">
        <f>(IF(Optimalisatie!C60="Nieuwe Situatie",_xlfn.IFNA(VLOOKUP(Optimalisatie!V60,Database_Transport[#All],12,FALSE)*(Optimalisatie!R60*Optimalisatie!U60),Baseline_Backlog!H163),0))</f>
        <v>0</v>
      </c>
      <c r="I163" s="91">
        <f>IF(Optimalisatie!C60="Nieuwe situatie",IF(_xlfn.IFNA((VLOOKUP(Optimalisatie!W60,Database_Asfalt_Aanlegset[#All],12,FALSE)*Optimalisatie!J60),0)+_xlfn.IFNA(VLOOKUP(Optimalisatie!X60,Database_Brandstoffen[#All],12,FALSE)*((Optimalisatie!J60/Optimalisatie!Z60)*Optimalisatie!Y60),0)&gt;0,_xlfn.IFNA((VLOOKUP(Optimalisatie!W60,Database_Asfalt_Aanlegset[#All],12,FALSE)*Optimalisatie!J60),0)+_xlfn.IFNA(VLOOKUP(Optimalisatie!X60,Database_Brandstoffen[#All],12,FALSE)*((Optimalisatie!J60/Optimalisatie!Z60)*Optimalisatie!Y60),0),(_xlfn.IFNA(VLOOKUP(Inschrijf_CO2_Totaal[[#This Row],[Product]]&amp;", "&amp;Inschrijf_MKI_Totaal[[#Headers],[A5]],Database_Productkaarten[#All],18,FALSE),0)*Optimalisatie!J60)),0)</f>
        <v>0</v>
      </c>
      <c r="J163" s="91">
        <f>(IF(Optimalisatie!C60="Nieuwe Situatie",_xlfn.IFNA(IF(Optimalisatie!E60="Categorie_1_LCA_Producten",VLOOKUP(Inschrijf_CO2_Totaal[[#This Row],[Product]],Categorie_1_Producten[#All],20,FALSE)*(Optimalisatie!R60),VLOOKUP(Inschrijf_CO2_Totaal[[#This Row],[Product]]&amp;", "&amp;Inschrijf_CO2_Totaal[[#Headers],[B1]],Database_Productkaarten[#All],18,FALSE)*Optimalisatie!J60),Baseline_Backlog!J163),0))</f>
        <v>0</v>
      </c>
      <c r="K163" s="91">
        <f>(IF(Optimalisatie!C60="Nieuwe Situatie",_xlfn.IFNA(SUM(Inschrijf_CO2_Totaal[[#This Row],[A1]:[B1]],Inschrijf_CO2_Totaal[[#This Row],[C1]:[D2]])*Optimalisatie!T60,0),0))</f>
        <v>0</v>
      </c>
      <c r="L163" s="91">
        <f>IF(Optimalisatie!C60="Bestaande situatie",IF(_xlfn.IFNA((VLOOKUP(Optimalisatie!AA60,Database_Asfalt_Verwijderset[#All],12,FALSE)*Optimalisatie!J60),0)+_xlfn.IFNA(VLOOKUP(Optimalisatie!AB60,Database_Brandstoffen[#All],12,FALSE)*((Optimalisatie!J60/Optimalisatie!AD60)*Optimalisatie!AC60),0)&gt;0,_xlfn.IFNA((VLOOKUP(Optimalisatie!AA60,Database_Asfalt_Verwijderset[#All],12,FALSE)*Optimalisatie!J60),0)+_xlfn.IFNA(VLOOKUP(Optimalisatie!AB60,Database_Brandstoffen[#All],12,FALSE)*((Optimalisatie!J60/Optimalisatie!AD60)*Optimalisatie!AC60),0),(_xlfn.IFNA(VLOOKUP(Inschrijf_CO2_Totaal[[#This Row],[Product]]&amp;", "&amp;Inschrijf_MKI_Totaal[[#Headers],[C1]],Database_Productkaarten[#All],18,FALSE),0)*Optimalisatie!J60)),0)</f>
        <v>0</v>
      </c>
      <c r="M163" s="91">
        <f>(IF(Optimalisatie!C60="Bestaande Situatie",_xlfn.IFNA(VLOOKUP(Optimalisatie!AF60,Database_Transport[#All],12,FALSE)*(Optimalisatie!R60*Optimalisatie!AE60),Baseline_Backlog!M163),0))</f>
        <v>0</v>
      </c>
      <c r="N163" s="91">
        <f>(IF(Optimalisatie!C60="Bestaande Situatie",_xlfn.IFNA(VLOOKUP(Optimalisatie!AG60,Database_Asfalt_Verwerkingsset[#All],12,FALSE)*(Optimalisatie!J60/VLOOKUP(Optimalisatie!AG60,Database_Asfalt_Verwerkingsset[#All],12,FALSE)),Baseline_Backlog!N163),0))</f>
        <v>0</v>
      </c>
      <c r="O163" s="91">
        <f>(IF(Optimalisatie!C60="Bestaande Situatie",_xlfn.IFNA(VLOOKUP(Inschrijf_CO2_Totaal[[#This Row],[Product]]&amp;", "&amp;Inschrijf_CO2_Totaal[[#Headers],[C4]],Database_Productkaarten[#All],18,FALSE)*Optimalisatie!J60,Baseline_Backlog!O163),0))</f>
        <v>0</v>
      </c>
      <c r="P163" s="91">
        <f>(IF(Optimalisatie!C60="Bestaande Situatie",_xlfn.IFNA(IF(Optimalisatie!E60="Categorie_1_LCA_Producten",VLOOKUP(Inschrijf_CO2_Totaal[[#This Row],[Product]],Categorie_1_Producten[#All],18,FALSE)*(Optimalisatie!J60),VLOOKUP(Inschrijf_CO2_Totaal[[#This Row],[Product]]&amp;", "&amp;Inschrijf_CO2_Totaal[[#Headers],[D1]],Database_Productkaarten[#All],18,FALSE)*Optimalisatie!J60),Baseline_Backlog!P163),0))</f>
        <v>0</v>
      </c>
      <c r="Q163" s="91">
        <f>(IF(Optimalisatie!C60="Bestaande Situatie",_xlfn.IFNA(IF(Optimalisatie!E60="Categorie_1_LCA_Producten",VLOOKUP(Inschrijf_CO2_Totaal[[#This Row],[Product]],Categorie_1_Producten[#All],19,FALSE)*(Optimalisatie!J60),VLOOKUP(Inschrijf_CO2_Totaal[[#This Row],[Product]]&amp;", "&amp;Inschrijf_CO2_Totaal[[#Headers],[D2]],Database_Productkaarten[#All],18,FALSE)*Optimalisatie!J60),Baseline_Backlog!Q163),0))</f>
        <v>0</v>
      </c>
      <c r="R163" s="91">
        <f>(IF(Optimalisatie!C60="Bestaande Situatie",_xlfn.IFNA(IF(Optimalisatie!E60="Categorie_1_LCA_Producten",VLOOKUP(Inschrijf_CO2_Totaal[[#This Row],[Product]],Categorie_1_Producten[#All],21,FALSE)*(Optimalisatie!J60),VLOOKUP(Inschrijf_CO2_Totaal[[#This Row],[Product]]&amp;", "&amp;Inschrijf_CO2_Totaal[[#Headers],[D]],Database_Productkaarten[#All],18,FALSE)*Optimalisatie!J60),Baseline_Backlog!S163),0))</f>
        <v>0</v>
      </c>
      <c r="S163" s="91">
        <f>SUM(Inschrijf_CO2_Totaal[[#This Row],[A1-A3]:[C4]])+Inschrijf_CO2_Totaal[[#This Row],[D]]</f>
        <v>0</v>
      </c>
    </row>
    <row r="164" spans="2:19">
      <c r="B164" s="208">
        <f>Optimalisatie!B61</f>
        <v>0</v>
      </c>
      <c r="C164" s="1">
        <f>Optimalisatie!F61</f>
        <v>0</v>
      </c>
      <c r="D164" s="91">
        <f>(IF(Optimalisatie!C61="Nieuwe Situatie",_xlfn.IFNA(IF(Optimalisatie!E61="Categorie_1_LCA_Producten",VLOOKUP(Inschrijf_CO2_Totaal[[#This Row],[Product]],Categorie_1_Producten[#All],14,FALSE)*(Optimalisatie!J61),VLOOKUP(Inschrijf_CO2_Totaal[[#This Row],[Product]]&amp;", "&amp;Inschrijf_CO2_Totaal[[#Headers],[A1]],Database_Productkaarten[#All],18,FALSE)*Optimalisatie!J61),Baseline_Backlog!D164),0))</f>
        <v>0</v>
      </c>
      <c r="E164" s="91">
        <f>(IF(Optimalisatie!C61="Nieuwe Situatie",_xlfn.IFNA(IF(Optimalisatie!E61="Categorie_1_LCA_Producten",VLOOKUP(Inschrijf_CO2_Totaal[[#This Row],[Product]],Categorie_1_Producten[#All],15,FALSE)*(Optimalisatie!J61),VLOOKUP(Inschrijf_CO2_Totaal[[#This Row],[Product]]&amp;", "&amp;Inschrijf_CO2_Totaal[[#Headers],[A2]],Database_Productkaarten[#All],18,FALSE)*Optimalisatie!J61),Baseline_Backlog!E164),0))</f>
        <v>0</v>
      </c>
      <c r="F164" s="91">
        <f>(IF(Optimalisatie!C61="Nieuwe Situatie",_xlfn.IFNA(IF(Optimalisatie!E61="Categorie_1_LCA_Producten",VLOOKUP(Inschrijf_CO2_Totaal[[#This Row],[Product]],Categorie_1_Producten[#All],16,FALSE)*(Optimalisatie!J61),VLOOKUP(Inschrijf_CO2_Totaal[[#This Row],[Product]]&amp;", "&amp;Inschrijf_CO2_Totaal[[#Headers],[A3]],Database_Productkaarten[#All],18,FALSE)*Optimalisatie!J61),Baseline_Backlog!F164),0))</f>
        <v>0</v>
      </c>
      <c r="G164" s="91">
        <f>(IF(Optimalisatie!C61="Nieuwe Situatie",_xlfn.IFNA(IF(Optimalisatie!E61="Categorie_1_LCA_Producten",VLOOKUP(Inschrijf_CO2_Totaal[[#This Row],[Product]],Categorie_1_Producten[#All],19,FALSE)*(Optimalisatie!J61),VLOOKUP(Inschrijf_CO2_Totaal[[#This Row],[Product]]&amp;", "&amp;Inschrijf_CO2_Totaal[[#Headers],[A1-A3]],Database_Productkaarten[#All],18,FALSE)*Optimalisatie!J61),Baseline_Backlog!G164),0))</f>
        <v>0</v>
      </c>
      <c r="H164" s="91">
        <f>(IF(Optimalisatie!C61="Nieuwe Situatie",_xlfn.IFNA(VLOOKUP(Optimalisatie!V61,Database_Transport[#All],12,FALSE)*(Optimalisatie!R61*Optimalisatie!U61),Baseline_Backlog!H164),0))</f>
        <v>0</v>
      </c>
      <c r="I164" s="91">
        <f>IF(Optimalisatie!C61="Nieuwe situatie",IF(_xlfn.IFNA((VLOOKUP(Optimalisatie!W61,Database_Asfalt_Aanlegset[#All],12,FALSE)*Optimalisatie!J61),0)+_xlfn.IFNA(VLOOKUP(Optimalisatie!X61,Database_Brandstoffen[#All],12,FALSE)*((Optimalisatie!J61/Optimalisatie!Z61)*Optimalisatie!Y61),0)&gt;0,_xlfn.IFNA((VLOOKUP(Optimalisatie!W61,Database_Asfalt_Aanlegset[#All],12,FALSE)*Optimalisatie!J61),0)+_xlfn.IFNA(VLOOKUP(Optimalisatie!X61,Database_Brandstoffen[#All],12,FALSE)*((Optimalisatie!J61/Optimalisatie!Z61)*Optimalisatie!Y61),0),(_xlfn.IFNA(VLOOKUP(Inschrijf_CO2_Totaal[[#This Row],[Product]]&amp;", "&amp;Inschrijf_MKI_Totaal[[#Headers],[A5]],Database_Productkaarten[#All],18,FALSE),0)*Optimalisatie!J61)),0)</f>
        <v>0</v>
      </c>
      <c r="J164" s="91">
        <f>(IF(Optimalisatie!C61="Nieuwe Situatie",_xlfn.IFNA(IF(Optimalisatie!E61="Categorie_1_LCA_Producten",VLOOKUP(Inschrijf_CO2_Totaal[[#This Row],[Product]],Categorie_1_Producten[#All],20,FALSE)*(Optimalisatie!R61),VLOOKUP(Inschrijf_CO2_Totaal[[#This Row],[Product]]&amp;", "&amp;Inschrijf_CO2_Totaal[[#Headers],[B1]],Database_Productkaarten[#All],18,FALSE)*Optimalisatie!J61),Baseline_Backlog!J164),0))</f>
        <v>0</v>
      </c>
      <c r="K164" s="91">
        <f>(IF(Optimalisatie!C61="Nieuwe Situatie",_xlfn.IFNA(SUM(Inschrijf_CO2_Totaal[[#This Row],[A1]:[B1]],Inschrijf_CO2_Totaal[[#This Row],[C1]:[D2]])*Optimalisatie!T61,0),0))</f>
        <v>0</v>
      </c>
      <c r="L164" s="91">
        <f>IF(Optimalisatie!C61="Bestaande situatie",IF(_xlfn.IFNA((VLOOKUP(Optimalisatie!AA61,Database_Asfalt_Verwijderset[#All],12,FALSE)*Optimalisatie!J61),0)+_xlfn.IFNA(VLOOKUP(Optimalisatie!AB61,Database_Brandstoffen[#All],12,FALSE)*((Optimalisatie!J61/Optimalisatie!AD61)*Optimalisatie!AC61),0)&gt;0,_xlfn.IFNA((VLOOKUP(Optimalisatie!AA61,Database_Asfalt_Verwijderset[#All],12,FALSE)*Optimalisatie!J61),0)+_xlfn.IFNA(VLOOKUP(Optimalisatie!AB61,Database_Brandstoffen[#All],12,FALSE)*((Optimalisatie!J61/Optimalisatie!AD61)*Optimalisatie!AC61),0),(_xlfn.IFNA(VLOOKUP(Inschrijf_CO2_Totaal[[#This Row],[Product]]&amp;", "&amp;Inschrijf_MKI_Totaal[[#Headers],[C1]],Database_Productkaarten[#All],18,FALSE),0)*Optimalisatie!J61)),0)</f>
        <v>0</v>
      </c>
      <c r="M164" s="91">
        <f>(IF(Optimalisatie!C61="Bestaande Situatie",_xlfn.IFNA(VLOOKUP(Optimalisatie!AF61,Database_Transport[#All],12,FALSE)*(Optimalisatie!R61*Optimalisatie!AE61),Baseline_Backlog!M164),0))</f>
        <v>0</v>
      </c>
      <c r="N164" s="91">
        <f>(IF(Optimalisatie!C61="Bestaande Situatie",_xlfn.IFNA(VLOOKUP(Optimalisatie!AG61,Database_Asfalt_Verwerkingsset[#All],12,FALSE)*(Optimalisatie!J61/VLOOKUP(Optimalisatie!AG61,Database_Asfalt_Verwerkingsset[#All],12,FALSE)),Baseline_Backlog!N164),0))</f>
        <v>0</v>
      </c>
      <c r="O164" s="91">
        <f>(IF(Optimalisatie!C61="Bestaande Situatie",_xlfn.IFNA(VLOOKUP(Inschrijf_CO2_Totaal[[#This Row],[Product]]&amp;", "&amp;Inschrijf_CO2_Totaal[[#Headers],[C4]],Database_Productkaarten[#All],18,FALSE)*Optimalisatie!J61,Baseline_Backlog!O164),0))</f>
        <v>0</v>
      </c>
      <c r="P164" s="91">
        <f>(IF(Optimalisatie!C61="Bestaande Situatie",_xlfn.IFNA(IF(Optimalisatie!E61="Categorie_1_LCA_Producten",VLOOKUP(Inschrijf_CO2_Totaal[[#This Row],[Product]],Categorie_1_Producten[#All],18,FALSE)*(Optimalisatie!J61),VLOOKUP(Inschrijf_CO2_Totaal[[#This Row],[Product]]&amp;", "&amp;Inschrijf_CO2_Totaal[[#Headers],[D1]],Database_Productkaarten[#All],18,FALSE)*Optimalisatie!J61),Baseline_Backlog!P164),0))</f>
        <v>0</v>
      </c>
      <c r="Q164" s="91">
        <f>(IF(Optimalisatie!C61="Bestaande Situatie",_xlfn.IFNA(IF(Optimalisatie!E61="Categorie_1_LCA_Producten",VLOOKUP(Inschrijf_CO2_Totaal[[#This Row],[Product]],Categorie_1_Producten[#All],19,FALSE)*(Optimalisatie!J61),VLOOKUP(Inschrijf_CO2_Totaal[[#This Row],[Product]]&amp;", "&amp;Inschrijf_CO2_Totaal[[#Headers],[D2]],Database_Productkaarten[#All],18,FALSE)*Optimalisatie!J61),Baseline_Backlog!Q164),0))</f>
        <v>0</v>
      </c>
      <c r="R164" s="91">
        <f>(IF(Optimalisatie!C61="Bestaande Situatie",_xlfn.IFNA(IF(Optimalisatie!E61="Categorie_1_LCA_Producten",VLOOKUP(Inschrijf_CO2_Totaal[[#This Row],[Product]],Categorie_1_Producten[#All],21,FALSE)*(Optimalisatie!J61),VLOOKUP(Inschrijf_CO2_Totaal[[#This Row],[Product]]&amp;", "&amp;Inschrijf_CO2_Totaal[[#Headers],[D]],Database_Productkaarten[#All],18,FALSE)*Optimalisatie!J61),Baseline_Backlog!S164),0))</f>
        <v>0</v>
      </c>
      <c r="S164" s="91">
        <f>SUM(Inschrijf_CO2_Totaal[[#This Row],[A1-A3]:[C4]])+Inschrijf_CO2_Totaal[[#This Row],[D]]</f>
        <v>0</v>
      </c>
    </row>
    <row r="165" spans="2:19">
      <c r="B165" s="208">
        <f>Optimalisatie!B62</f>
        <v>0</v>
      </c>
      <c r="C165" s="1">
        <f>Optimalisatie!F62</f>
        <v>0</v>
      </c>
      <c r="D165" s="91">
        <f>(IF(Optimalisatie!C62="Nieuwe Situatie",_xlfn.IFNA(IF(Optimalisatie!E62="Categorie_1_LCA_Producten",VLOOKUP(Inschrijf_CO2_Totaal[[#This Row],[Product]],Categorie_1_Producten[#All],14,FALSE)*(Optimalisatie!J62),VLOOKUP(Inschrijf_CO2_Totaal[[#This Row],[Product]]&amp;", "&amp;Inschrijf_CO2_Totaal[[#Headers],[A1]],Database_Productkaarten[#All],18,FALSE)*Optimalisatie!J62),Baseline_Backlog!D165),0))</f>
        <v>0</v>
      </c>
      <c r="E165" s="91">
        <f>(IF(Optimalisatie!C62="Nieuwe Situatie",_xlfn.IFNA(IF(Optimalisatie!E62="Categorie_1_LCA_Producten",VLOOKUP(Inschrijf_CO2_Totaal[[#This Row],[Product]],Categorie_1_Producten[#All],15,FALSE)*(Optimalisatie!J62),VLOOKUP(Inschrijf_CO2_Totaal[[#This Row],[Product]]&amp;", "&amp;Inschrijf_CO2_Totaal[[#Headers],[A2]],Database_Productkaarten[#All],18,FALSE)*Optimalisatie!J62),Baseline_Backlog!E165),0))</f>
        <v>0</v>
      </c>
      <c r="F165" s="91">
        <f>(IF(Optimalisatie!C62="Nieuwe Situatie",_xlfn.IFNA(IF(Optimalisatie!E62="Categorie_1_LCA_Producten",VLOOKUP(Inschrijf_CO2_Totaal[[#This Row],[Product]],Categorie_1_Producten[#All],16,FALSE)*(Optimalisatie!J62),VLOOKUP(Inschrijf_CO2_Totaal[[#This Row],[Product]]&amp;", "&amp;Inschrijf_CO2_Totaal[[#Headers],[A3]],Database_Productkaarten[#All],18,FALSE)*Optimalisatie!J62),Baseline_Backlog!F165),0))</f>
        <v>0</v>
      </c>
      <c r="G165" s="91">
        <f>(IF(Optimalisatie!C62="Nieuwe Situatie",_xlfn.IFNA(IF(Optimalisatie!E62="Categorie_1_LCA_Producten",VLOOKUP(Inschrijf_CO2_Totaal[[#This Row],[Product]],Categorie_1_Producten[#All],19,FALSE)*(Optimalisatie!J62),VLOOKUP(Inschrijf_CO2_Totaal[[#This Row],[Product]]&amp;", "&amp;Inschrijf_CO2_Totaal[[#Headers],[A1-A3]],Database_Productkaarten[#All],18,FALSE)*Optimalisatie!J62),Baseline_Backlog!G165),0))</f>
        <v>0</v>
      </c>
      <c r="H165" s="91">
        <f>(IF(Optimalisatie!C62="Nieuwe Situatie",_xlfn.IFNA(VLOOKUP(Optimalisatie!V62,Database_Transport[#All],12,FALSE)*(Optimalisatie!R62*Optimalisatie!U62),Baseline_Backlog!H165),0))</f>
        <v>0</v>
      </c>
      <c r="I165" s="91">
        <f>IF(Optimalisatie!C62="Nieuwe situatie",IF(_xlfn.IFNA((VLOOKUP(Optimalisatie!W62,Database_Asfalt_Aanlegset[#All],12,FALSE)*Optimalisatie!J62),0)+_xlfn.IFNA(VLOOKUP(Optimalisatie!X62,Database_Brandstoffen[#All],12,FALSE)*((Optimalisatie!J62/Optimalisatie!Z62)*Optimalisatie!Y62),0)&gt;0,_xlfn.IFNA((VLOOKUP(Optimalisatie!W62,Database_Asfalt_Aanlegset[#All],12,FALSE)*Optimalisatie!J62),0)+_xlfn.IFNA(VLOOKUP(Optimalisatie!X62,Database_Brandstoffen[#All],12,FALSE)*((Optimalisatie!J62/Optimalisatie!Z62)*Optimalisatie!Y62),0),(_xlfn.IFNA(VLOOKUP(Inschrijf_CO2_Totaal[[#This Row],[Product]]&amp;", "&amp;Inschrijf_MKI_Totaal[[#Headers],[A5]],Database_Productkaarten[#All],18,FALSE),0)*Optimalisatie!J62)),0)</f>
        <v>0</v>
      </c>
      <c r="J165" s="91">
        <f>(IF(Optimalisatie!C62="Nieuwe Situatie",_xlfn.IFNA(IF(Optimalisatie!E62="Categorie_1_LCA_Producten",VLOOKUP(Inschrijf_CO2_Totaal[[#This Row],[Product]],Categorie_1_Producten[#All],20,FALSE)*(Optimalisatie!R62),VLOOKUP(Inschrijf_CO2_Totaal[[#This Row],[Product]]&amp;", "&amp;Inschrijf_CO2_Totaal[[#Headers],[B1]],Database_Productkaarten[#All],18,FALSE)*Optimalisatie!J62),Baseline_Backlog!J165),0))</f>
        <v>0</v>
      </c>
      <c r="K165" s="91">
        <f>(IF(Optimalisatie!C62="Nieuwe Situatie",_xlfn.IFNA(SUM(Inschrijf_CO2_Totaal[[#This Row],[A1]:[B1]],Inschrijf_CO2_Totaal[[#This Row],[C1]:[D2]])*Optimalisatie!T62,0),0))</f>
        <v>0</v>
      </c>
      <c r="L165" s="91">
        <f>IF(Optimalisatie!C62="Bestaande situatie",IF(_xlfn.IFNA((VLOOKUP(Optimalisatie!AA62,Database_Asfalt_Verwijderset[#All],12,FALSE)*Optimalisatie!J62),0)+_xlfn.IFNA(VLOOKUP(Optimalisatie!AB62,Database_Brandstoffen[#All],12,FALSE)*((Optimalisatie!J62/Optimalisatie!AD62)*Optimalisatie!AC62),0)&gt;0,_xlfn.IFNA((VLOOKUP(Optimalisatie!AA62,Database_Asfalt_Verwijderset[#All],12,FALSE)*Optimalisatie!J62),0)+_xlfn.IFNA(VLOOKUP(Optimalisatie!AB62,Database_Brandstoffen[#All],12,FALSE)*((Optimalisatie!J62/Optimalisatie!AD62)*Optimalisatie!AC62),0),(_xlfn.IFNA(VLOOKUP(Inschrijf_CO2_Totaal[[#This Row],[Product]]&amp;", "&amp;Inschrijf_MKI_Totaal[[#Headers],[C1]],Database_Productkaarten[#All],18,FALSE),0)*Optimalisatie!J62)),0)</f>
        <v>0</v>
      </c>
      <c r="M165" s="91">
        <f>(IF(Optimalisatie!C62="Bestaande Situatie",_xlfn.IFNA(VLOOKUP(Optimalisatie!AF62,Database_Transport[#All],12,FALSE)*(Optimalisatie!R62*Optimalisatie!AE62),Baseline_Backlog!M165),0))</f>
        <v>0</v>
      </c>
      <c r="N165" s="91">
        <f>(IF(Optimalisatie!C62="Bestaande Situatie",_xlfn.IFNA(VLOOKUP(Optimalisatie!AG62,Database_Asfalt_Verwerkingsset[#All],12,FALSE)*(Optimalisatie!J62/VLOOKUP(Optimalisatie!AG62,Database_Asfalt_Verwerkingsset[#All],12,FALSE)),Baseline_Backlog!N165),0))</f>
        <v>0</v>
      </c>
      <c r="O165" s="91">
        <f>(IF(Optimalisatie!C62="Bestaande Situatie",_xlfn.IFNA(VLOOKUP(Inschrijf_CO2_Totaal[[#This Row],[Product]]&amp;", "&amp;Inschrijf_CO2_Totaal[[#Headers],[C4]],Database_Productkaarten[#All],18,FALSE)*Optimalisatie!J62,Baseline_Backlog!O165),0))</f>
        <v>0</v>
      </c>
      <c r="P165" s="91">
        <f>(IF(Optimalisatie!C62="Bestaande Situatie",_xlfn.IFNA(IF(Optimalisatie!E62="Categorie_1_LCA_Producten",VLOOKUP(Inschrijf_CO2_Totaal[[#This Row],[Product]],Categorie_1_Producten[#All],18,FALSE)*(Optimalisatie!J62),VLOOKUP(Inschrijf_CO2_Totaal[[#This Row],[Product]]&amp;", "&amp;Inschrijf_CO2_Totaal[[#Headers],[D1]],Database_Productkaarten[#All],18,FALSE)*Optimalisatie!J62),Baseline_Backlog!P165),0))</f>
        <v>0</v>
      </c>
      <c r="Q165" s="91">
        <f>(IF(Optimalisatie!C62="Bestaande Situatie",_xlfn.IFNA(IF(Optimalisatie!E62="Categorie_1_LCA_Producten",VLOOKUP(Inschrijf_CO2_Totaal[[#This Row],[Product]],Categorie_1_Producten[#All],19,FALSE)*(Optimalisatie!J62),VLOOKUP(Inschrijf_CO2_Totaal[[#This Row],[Product]]&amp;", "&amp;Inschrijf_CO2_Totaal[[#Headers],[D2]],Database_Productkaarten[#All],18,FALSE)*Optimalisatie!J62),Baseline_Backlog!Q165),0))</f>
        <v>0</v>
      </c>
      <c r="R165" s="91">
        <f>(IF(Optimalisatie!C62="Bestaande Situatie",_xlfn.IFNA(IF(Optimalisatie!E62="Categorie_1_LCA_Producten",VLOOKUP(Inschrijf_CO2_Totaal[[#This Row],[Product]],Categorie_1_Producten[#All],21,FALSE)*(Optimalisatie!J62),VLOOKUP(Inschrijf_CO2_Totaal[[#This Row],[Product]]&amp;", "&amp;Inschrijf_CO2_Totaal[[#Headers],[D]],Database_Productkaarten[#All],18,FALSE)*Optimalisatie!J62),Baseline_Backlog!S165),0))</f>
        <v>0</v>
      </c>
      <c r="S165" s="91">
        <f>SUM(Inschrijf_CO2_Totaal[[#This Row],[A1-A3]:[C4]])+Inschrijf_CO2_Totaal[[#This Row],[D]]</f>
        <v>0</v>
      </c>
    </row>
    <row r="166" spans="2:19">
      <c r="B166" s="208">
        <f>Optimalisatie!B63</f>
        <v>0</v>
      </c>
      <c r="C166" s="1">
        <f>Optimalisatie!F63</f>
        <v>0</v>
      </c>
      <c r="D166" s="91">
        <f>(IF(Optimalisatie!C63="Nieuwe Situatie",_xlfn.IFNA(IF(Optimalisatie!E63="Categorie_1_LCA_Producten",VLOOKUP(Inschrijf_CO2_Totaal[[#This Row],[Product]],Categorie_1_Producten[#All],14,FALSE)*(Optimalisatie!J63),VLOOKUP(Inschrijf_CO2_Totaal[[#This Row],[Product]]&amp;", "&amp;Inschrijf_CO2_Totaal[[#Headers],[A1]],Database_Productkaarten[#All],18,FALSE)*Optimalisatie!J63),Baseline_Backlog!D166),0))</f>
        <v>0</v>
      </c>
      <c r="E166" s="91">
        <f>(IF(Optimalisatie!C63="Nieuwe Situatie",_xlfn.IFNA(IF(Optimalisatie!E63="Categorie_1_LCA_Producten",VLOOKUP(Inschrijf_CO2_Totaal[[#This Row],[Product]],Categorie_1_Producten[#All],15,FALSE)*(Optimalisatie!J63),VLOOKUP(Inschrijf_CO2_Totaal[[#This Row],[Product]]&amp;", "&amp;Inschrijf_CO2_Totaal[[#Headers],[A2]],Database_Productkaarten[#All],18,FALSE)*Optimalisatie!J63),Baseline_Backlog!E166),0))</f>
        <v>0</v>
      </c>
      <c r="F166" s="91">
        <f>(IF(Optimalisatie!C63="Nieuwe Situatie",_xlfn.IFNA(IF(Optimalisatie!E63="Categorie_1_LCA_Producten",VLOOKUP(Inschrijf_CO2_Totaal[[#This Row],[Product]],Categorie_1_Producten[#All],16,FALSE)*(Optimalisatie!J63),VLOOKUP(Inschrijf_CO2_Totaal[[#This Row],[Product]]&amp;", "&amp;Inschrijf_CO2_Totaal[[#Headers],[A3]],Database_Productkaarten[#All],18,FALSE)*Optimalisatie!J63),Baseline_Backlog!F166),0))</f>
        <v>0</v>
      </c>
      <c r="G166" s="91">
        <f>(IF(Optimalisatie!C63="Nieuwe Situatie",_xlfn.IFNA(IF(Optimalisatie!E63="Categorie_1_LCA_Producten",VLOOKUP(Inschrijf_CO2_Totaal[[#This Row],[Product]],Categorie_1_Producten[#All],19,FALSE)*(Optimalisatie!J63),VLOOKUP(Inschrijf_CO2_Totaal[[#This Row],[Product]]&amp;", "&amp;Inschrijf_CO2_Totaal[[#Headers],[A1-A3]],Database_Productkaarten[#All],18,FALSE)*Optimalisatie!J63),Baseline_Backlog!G166),0))</f>
        <v>0</v>
      </c>
      <c r="H166" s="91">
        <f>(IF(Optimalisatie!C63="Nieuwe Situatie",_xlfn.IFNA(VLOOKUP(Optimalisatie!V63,Database_Transport[#All],12,FALSE)*(Optimalisatie!R63*Optimalisatie!U63),Baseline_Backlog!H166),0))</f>
        <v>0</v>
      </c>
      <c r="I166" s="91">
        <f>IF(Optimalisatie!C63="Nieuwe situatie",IF(_xlfn.IFNA((VLOOKUP(Optimalisatie!W63,Database_Asfalt_Aanlegset[#All],12,FALSE)*Optimalisatie!J63),0)+_xlfn.IFNA(VLOOKUP(Optimalisatie!X63,Database_Brandstoffen[#All],12,FALSE)*((Optimalisatie!J63/Optimalisatie!Z63)*Optimalisatie!Y63),0)&gt;0,_xlfn.IFNA((VLOOKUP(Optimalisatie!W63,Database_Asfalt_Aanlegset[#All],12,FALSE)*Optimalisatie!J63),0)+_xlfn.IFNA(VLOOKUP(Optimalisatie!X63,Database_Brandstoffen[#All],12,FALSE)*((Optimalisatie!J63/Optimalisatie!Z63)*Optimalisatie!Y63),0),(_xlfn.IFNA(VLOOKUP(Inschrijf_CO2_Totaal[[#This Row],[Product]]&amp;", "&amp;Inschrijf_MKI_Totaal[[#Headers],[A5]],Database_Productkaarten[#All],18,FALSE),0)*Optimalisatie!J63)),0)</f>
        <v>0</v>
      </c>
      <c r="J166" s="91">
        <f>(IF(Optimalisatie!C63="Nieuwe Situatie",_xlfn.IFNA(IF(Optimalisatie!E63="Categorie_1_LCA_Producten",VLOOKUP(Inschrijf_CO2_Totaal[[#This Row],[Product]],Categorie_1_Producten[#All],20,FALSE)*(Optimalisatie!R63),VLOOKUP(Inschrijf_CO2_Totaal[[#This Row],[Product]]&amp;", "&amp;Inschrijf_CO2_Totaal[[#Headers],[B1]],Database_Productkaarten[#All],18,FALSE)*Optimalisatie!J63),Baseline_Backlog!J166),0))</f>
        <v>0</v>
      </c>
      <c r="K166" s="91">
        <f>(IF(Optimalisatie!C63="Nieuwe Situatie",_xlfn.IFNA(SUM(Inschrijf_CO2_Totaal[[#This Row],[A1]:[B1]],Inschrijf_CO2_Totaal[[#This Row],[C1]:[D2]])*Optimalisatie!T63,0),0))</f>
        <v>0</v>
      </c>
      <c r="L166" s="91">
        <f>IF(Optimalisatie!C63="Bestaande situatie",IF(_xlfn.IFNA((VLOOKUP(Optimalisatie!AA63,Database_Asfalt_Verwijderset[#All],12,FALSE)*Optimalisatie!J63),0)+_xlfn.IFNA(VLOOKUP(Optimalisatie!AB63,Database_Brandstoffen[#All],12,FALSE)*((Optimalisatie!J63/Optimalisatie!AD63)*Optimalisatie!AC63),0)&gt;0,_xlfn.IFNA((VLOOKUP(Optimalisatie!AA63,Database_Asfalt_Verwijderset[#All],12,FALSE)*Optimalisatie!J63),0)+_xlfn.IFNA(VLOOKUP(Optimalisatie!AB63,Database_Brandstoffen[#All],12,FALSE)*((Optimalisatie!J63/Optimalisatie!AD63)*Optimalisatie!AC63),0),(_xlfn.IFNA(VLOOKUP(Inschrijf_CO2_Totaal[[#This Row],[Product]]&amp;", "&amp;Inschrijf_MKI_Totaal[[#Headers],[C1]],Database_Productkaarten[#All],18,FALSE),0)*Optimalisatie!J63)),0)</f>
        <v>0</v>
      </c>
      <c r="M166" s="91">
        <f>(IF(Optimalisatie!C63="Bestaande Situatie",_xlfn.IFNA(VLOOKUP(Optimalisatie!AF63,Database_Transport[#All],12,FALSE)*(Optimalisatie!R63*Optimalisatie!AE63),Baseline_Backlog!M166),0))</f>
        <v>0</v>
      </c>
      <c r="N166" s="91">
        <f>(IF(Optimalisatie!C63="Bestaande Situatie",_xlfn.IFNA(VLOOKUP(Optimalisatie!AG63,Database_Asfalt_Verwerkingsset[#All],12,FALSE)*(Optimalisatie!J63/VLOOKUP(Optimalisatie!AG63,Database_Asfalt_Verwerkingsset[#All],12,FALSE)),Baseline_Backlog!N166),0))</f>
        <v>0</v>
      </c>
      <c r="O166" s="91">
        <f>(IF(Optimalisatie!C63="Bestaande Situatie",_xlfn.IFNA(VLOOKUP(Inschrijf_CO2_Totaal[[#This Row],[Product]]&amp;", "&amp;Inschrijf_CO2_Totaal[[#Headers],[C4]],Database_Productkaarten[#All],18,FALSE)*Optimalisatie!J63,Baseline_Backlog!O166),0))</f>
        <v>0</v>
      </c>
      <c r="P166" s="91">
        <f>(IF(Optimalisatie!C63="Bestaande Situatie",_xlfn.IFNA(IF(Optimalisatie!E63="Categorie_1_LCA_Producten",VLOOKUP(Inschrijf_CO2_Totaal[[#This Row],[Product]],Categorie_1_Producten[#All],18,FALSE)*(Optimalisatie!J63),VLOOKUP(Inschrijf_CO2_Totaal[[#This Row],[Product]]&amp;", "&amp;Inschrijf_CO2_Totaal[[#Headers],[D1]],Database_Productkaarten[#All],18,FALSE)*Optimalisatie!J63),Baseline_Backlog!P166),0))</f>
        <v>0</v>
      </c>
      <c r="Q166" s="91">
        <f>(IF(Optimalisatie!C63="Bestaande Situatie",_xlfn.IFNA(IF(Optimalisatie!E63="Categorie_1_LCA_Producten",VLOOKUP(Inschrijf_CO2_Totaal[[#This Row],[Product]],Categorie_1_Producten[#All],19,FALSE)*(Optimalisatie!J63),VLOOKUP(Inschrijf_CO2_Totaal[[#This Row],[Product]]&amp;", "&amp;Inschrijf_CO2_Totaal[[#Headers],[D2]],Database_Productkaarten[#All],18,FALSE)*Optimalisatie!J63),Baseline_Backlog!Q166),0))</f>
        <v>0</v>
      </c>
      <c r="R166" s="91">
        <f>(IF(Optimalisatie!C63="Bestaande Situatie",_xlfn.IFNA(IF(Optimalisatie!E63="Categorie_1_LCA_Producten",VLOOKUP(Inschrijf_CO2_Totaal[[#This Row],[Product]],Categorie_1_Producten[#All],21,FALSE)*(Optimalisatie!J63),VLOOKUP(Inschrijf_CO2_Totaal[[#This Row],[Product]]&amp;", "&amp;Inschrijf_CO2_Totaal[[#Headers],[D]],Database_Productkaarten[#All],18,FALSE)*Optimalisatie!J63),Baseline_Backlog!S166),0))</f>
        <v>0</v>
      </c>
      <c r="S166" s="91">
        <f>SUM(Inschrijf_CO2_Totaal[[#This Row],[A1-A3]:[C4]])+Inschrijf_CO2_Totaal[[#This Row],[D]]</f>
        <v>0</v>
      </c>
    </row>
    <row r="167" spans="2:19">
      <c r="B167" s="208">
        <f>Optimalisatie!B64</f>
        <v>0</v>
      </c>
      <c r="C167" s="1">
        <f>Optimalisatie!F64</f>
        <v>0</v>
      </c>
      <c r="D167" s="91">
        <f>(IF(Optimalisatie!C64="Nieuwe Situatie",_xlfn.IFNA(IF(Optimalisatie!E64="Categorie_1_LCA_Producten",VLOOKUP(Inschrijf_CO2_Totaal[[#This Row],[Product]],Categorie_1_Producten[#All],14,FALSE)*(Optimalisatie!J64),VLOOKUP(Inschrijf_CO2_Totaal[[#This Row],[Product]]&amp;", "&amp;Inschrijf_CO2_Totaal[[#Headers],[A1]],Database_Productkaarten[#All],18,FALSE)*Optimalisatie!J64),Baseline_Backlog!D167),0))</f>
        <v>0</v>
      </c>
      <c r="E167" s="91">
        <f>(IF(Optimalisatie!C64="Nieuwe Situatie",_xlfn.IFNA(IF(Optimalisatie!E64="Categorie_1_LCA_Producten",VLOOKUP(Inschrijf_CO2_Totaal[[#This Row],[Product]],Categorie_1_Producten[#All],15,FALSE)*(Optimalisatie!J64),VLOOKUP(Inschrijf_CO2_Totaal[[#This Row],[Product]]&amp;", "&amp;Inschrijf_CO2_Totaal[[#Headers],[A2]],Database_Productkaarten[#All],18,FALSE)*Optimalisatie!J64),Baseline_Backlog!E167),0))</f>
        <v>0</v>
      </c>
      <c r="F167" s="91">
        <f>(IF(Optimalisatie!C64="Nieuwe Situatie",_xlfn.IFNA(IF(Optimalisatie!E64="Categorie_1_LCA_Producten",VLOOKUP(Inschrijf_CO2_Totaal[[#This Row],[Product]],Categorie_1_Producten[#All],16,FALSE)*(Optimalisatie!J64),VLOOKUP(Inschrijf_CO2_Totaal[[#This Row],[Product]]&amp;", "&amp;Inschrijf_CO2_Totaal[[#Headers],[A3]],Database_Productkaarten[#All],18,FALSE)*Optimalisatie!J64),Baseline_Backlog!F167),0))</f>
        <v>0</v>
      </c>
      <c r="G167" s="91">
        <f>(IF(Optimalisatie!C64="Nieuwe Situatie",_xlfn.IFNA(IF(Optimalisatie!E64="Categorie_1_LCA_Producten",VLOOKUP(Inschrijf_CO2_Totaal[[#This Row],[Product]],Categorie_1_Producten[#All],19,FALSE)*(Optimalisatie!J64),VLOOKUP(Inschrijf_CO2_Totaal[[#This Row],[Product]]&amp;", "&amp;Inschrijf_CO2_Totaal[[#Headers],[A1-A3]],Database_Productkaarten[#All],18,FALSE)*Optimalisatie!J64),Baseline_Backlog!G167),0))</f>
        <v>0</v>
      </c>
      <c r="H167" s="91">
        <f>(IF(Optimalisatie!C64="Nieuwe Situatie",_xlfn.IFNA(VLOOKUP(Optimalisatie!V64,Database_Transport[#All],12,FALSE)*(Optimalisatie!R64*Optimalisatie!U64),Baseline_Backlog!H167),0))</f>
        <v>0</v>
      </c>
      <c r="I167" s="91">
        <f>IF(Optimalisatie!C64="Nieuwe situatie",IF(_xlfn.IFNA((VLOOKUP(Optimalisatie!W64,Database_Asfalt_Aanlegset[#All],12,FALSE)*Optimalisatie!J64),0)+_xlfn.IFNA(VLOOKUP(Optimalisatie!X64,Database_Brandstoffen[#All],12,FALSE)*((Optimalisatie!J64/Optimalisatie!Z64)*Optimalisatie!Y64),0)&gt;0,_xlfn.IFNA((VLOOKUP(Optimalisatie!W64,Database_Asfalt_Aanlegset[#All],12,FALSE)*Optimalisatie!J64),0)+_xlfn.IFNA(VLOOKUP(Optimalisatie!X64,Database_Brandstoffen[#All],12,FALSE)*((Optimalisatie!J64/Optimalisatie!Z64)*Optimalisatie!Y64),0),(_xlfn.IFNA(VLOOKUP(Inschrijf_CO2_Totaal[[#This Row],[Product]]&amp;", "&amp;Inschrijf_MKI_Totaal[[#Headers],[A5]],Database_Productkaarten[#All],18,FALSE),0)*Optimalisatie!J64)),0)</f>
        <v>0</v>
      </c>
      <c r="J167" s="91">
        <f>(IF(Optimalisatie!C64="Nieuwe Situatie",_xlfn.IFNA(IF(Optimalisatie!E64="Categorie_1_LCA_Producten",VLOOKUP(Inschrijf_CO2_Totaal[[#This Row],[Product]],Categorie_1_Producten[#All],20,FALSE)*(Optimalisatie!R64),VLOOKUP(Inschrijf_CO2_Totaal[[#This Row],[Product]]&amp;", "&amp;Inschrijf_CO2_Totaal[[#Headers],[B1]],Database_Productkaarten[#All],18,FALSE)*Optimalisatie!J64),Baseline_Backlog!J167),0))</f>
        <v>0</v>
      </c>
      <c r="K167" s="91">
        <f>(IF(Optimalisatie!C64="Nieuwe Situatie",_xlfn.IFNA(SUM(Inschrijf_CO2_Totaal[[#This Row],[A1]:[B1]],Inschrijf_CO2_Totaal[[#This Row],[C1]:[D2]])*Optimalisatie!T64,0),0))</f>
        <v>0</v>
      </c>
      <c r="L167" s="91">
        <f>IF(Optimalisatie!C64="Bestaande situatie",IF(_xlfn.IFNA((VLOOKUP(Optimalisatie!AA64,Database_Asfalt_Verwijderset[#All],12,FALSE)*Optimalisatie!J64),0)+_xlfn.IFNA(VLOOKUP(Optimalisatie!AB64,Database_Brandstoffen[#All],12,FALSE)*((Optimalisatie!J64/Optimalisatie!AD64)*Optimalisatie!AC64),0)&gt;0,_xlfn.IFNA((VLOOKUP(Optimalisatie!AA64,Database_Asfalt_Verwijderset[#All],12,FALSE)*Optimalisatie!J64),0)+_xlfn.IFNA(VLOOKUP(Optimalisatie!AB64,Database_Brandstoffen[#All],12,FALSE)*((Optimalisatie!J64/Optimalisatie!AD64)*Optimalisatie!AC64),0),(_xlfn.IFNA(VLOOKUP(Inschrijf_CO2_Totaal[[#This Row],[Product]]&amp;", "&amp;Inschrijf_MKI_Totaal[[#Headers],[C1]],Database_Productkaarten[#All],18,FALSE),0)*Optimalisatie!J64)),0)</f>
        <v>0</v>
      </c>
      <c r="M167" s="91">
        <f>(IF(Optimalisatie!C64="Bestaande Situatie",_xlfn.IFNA(VLOOKUP(Optimalisatie!AF64,Database_Transport[#All],12,FALSE)*(Optimalisatie!R64*Optimalisatie!AE64),Baseline_Backlog!M167),0))</f>
        <v>0</v>
      </c>
      <c r="N167" s="91">
        <f>(IF(Optimalisatie!C64="Bestaande Situatie",_xlfn.IFNA(VLOOKUP(Optimalisatie!AG64,Database_Asfalt_Verwerkingsset[#All],12,FALSE)*(Optimalisatie!J64/VLOOKUP(Optimalisatie!AG64,Database_Asfalt_Verwerkingsset[#All],12,FALSE)),Baseline_Backlog!N167),0))</f>
        <v>0</v>
      </c>
      <c r="O167" s="91">
        <f>(IF(Optimalisatie!C64="Bestaande Situatie",_xlfn.IFNA(VLOOKUP(Inschrijf_CO2_Totaal[[#This Row],[Product]]&amp;", "&amp;Inschrijf_CO2_Totaal[[#Headers],[C4]],Database_Productkaarten[#All],18,FALSE)*Optimalisatie!J64,Baseline_Backlog!O167),0))</f>
        <v>0</v>
      </c>
      <c r="P167" s="91">
        <f>(IF(Optimalisatie!C64="Bestaande Situatie",_xlfn.IFNA(IF(Optimalisatie!E64="Categorie_1_LCA_Producten",VLOOKUP(Inschrijf_CO2_Totaal[[#This Row],[Product]],Categorie_1_Producten[#All],18,FALSE)*(Optimalisatie!J64),VLOOKUP(Inschrijf_CO2_Totaal[[#This Row],[Product]]&amp;", "&amp;Inschrijf_CO2_Totaal[[#Headers],[D1]],Database_Productkaarten[#All],18,FALSE)*Optimalisatie!J64),Baseline_Backlog!P167),0))</f>
        <v>0</v>
      </c>
      <c r="Q167" s="91">
        <f>(IF(Optimalisatie!C64="Bestaande Situatie",_xlfn.IFNA(IF(Optimalisatie!E64="Categorie_1_LCA_Producten",VLOOKUP(Inschrijf_CO2_Totaal[[#This Row],[Product]],Categorie_1_Producten[#All],19,FALSE)*(Optimalisatie!J64),VLOOKUP(Inschrijf_CO2_Totaal[[#This Row],[Product]]&amp;", "&amp;Inschrijf_CO2_Totaal[[#Headers],[D2]],Database_Productkaarten[#All],18,FALSE)*Optimalisatie!J64),Baseline_Backlog!Q167),0))</f>
        <v>0</v>
      </c>
      <c r="R167" s="91">
        <f>(IF(Optimalisatie!C64="Bestaande Situatie",_xlfn.IFNA(IF(Optimalisatie!E64="Categorie_1_LCA_Producten",VLOOKUP(Inschrijf_CO2_Totaal[[#This Row],[Product]],Categorie_1_Producten[#All],21,FALSE)*(Optimalisatie!J64),VLOOKUP(Inschrijf_CO2_Totaal[[#This Row],[Product]]&amp;", "&amp;Inschrijf_CO2_Totaal[[#Headers],[D]],Database_Productkaarten[#All],18,FALSE)*Optimalisatie!J64),Baseline_Backlog!S167),0))</f>
        <v>0</v>
      </c>
      <c r="S167" s="91">
        <f>SUM(Inschrijf_CO2_Totaal[[#This Row],[A1-A3]:[C4]])+Inschrijf_CO2_Totaal[[#This Row],[D]]</f>
        <v>0</v>
      </c>
    </row>
    <row r="168" spans="2:19">
      <c r="B168" s="208">
        <f>Optimalisatie!B65</f>
        <v>0</v>
      </c>
      <c r="C168" s="1">
        <f>Optimalisatie!F65</f>
        <v>0</v>
      </c>
      <c r="D168" s="91">
        <f>(IF(Optimalisatie!C65="Nieuwe Situatie",_xlfn.IFNA(IF(Optimalisatie!E65="Categorie_1_LCA_Producten",VLOOKUP(Inschrijf_CO2_Totaal[[#This Row],[Product]],Categorie_1_Producten[#All],14,FALSE)*(Optimalisatie!J65),VLOOKUP(Inschrijf_CO2_Totaal[[#This Row],[Product]]&amp;", "&amp;Inschrijf_CO2_Totaal[[#Headers],[A1]],Database_Productkaarten[#All],18,FALSE)*Optimalisatie!J65),Baseline_Backlog!D168),0))</f>
        <v>0</v>
      </c>
      <c r="E168" s="91">
        <f>(IF(Optimalisatie!C65="Nieuwe Situatie",_xlfn.IFNA(IF(Optimalisatie!E65="Categorie_1_LCA_Producten",VLOOKUP(Inschrijf_CO2_Totaal[[#This Row],[Product]],Categorie_1_Producten[#All],15,FALSE)*(Optimalisatie!J65),VLOOKUP(Inschrijf_CO2_Totaal[[#This Row],[Product]]&amp;", "&amp;Inschrijf_CO2_Totaal[[#Headers],[A2]],Database_Productkaarten[#All],18,FALSE)*Optimalisatie!J65),Baseline_Backlog!E168),0))</f>
        <v>0</v>
      </c>
      <c r="F168" s="91">
        <f>(IF(Optimalisatie!C65="Nieuwe Situatie",_xlfn.IFNA(IF(Optimalisatie!E65="Categorie_1_LCA_Producten",VLOOKUP(Inschrijf_CO2_Totaal[[#This Row],[Product]],Categorie_1_Producten[#All],16,FALSE)*(Optimalisatie!J65),VLOOKUP(Inschrijf_CO2_Totaal[[#This Row],[Product]]&amp;", "&amp;Inschrijf_CO2_Totaal[[#Headers],[A3]],Database_Productkaarten[#All],18,FALSE)*Optimalisatie!J65),Baseline_Backlog!F168),0))</f>
        <v>0</v>
      </c>
      <c r="G168" s="91">
        <f>(IF(Optimalisatie!C65="Nieuwe Situatie",_xlfn.IFNA(IF(Optimalisatie!E65="Categorie_1_LCA_Producten",VLOOKUP(Inschrijf_CO2_Totaal[[#This Row],[Product]],Categorie_1_Producten[#All],19,FALSE)*(Optimalisatie!J65),VLOOKUP(Inschrijf_CO2_Totaal[[#This Row],[Product]]&amp;", "&amp;Inschrijf_CO2_Totaal[[#Headers],[A1-A3]],Database_Productkaarten[#All],18,FALSE)*Optimalisatie!J65),Baseline_Backlog!G168),0))</f>
        <v>0</v>
      </c>
      <c r="H168" s="91">
        <f>(IF(Optimalisatie!C65="Nieuwe Situatie",_xlfn.IFNA(VLOOKUP(Optimalisatie!V65,Database_Transport[#All],12,FALSE)*(Optimalisatie!R65*Optimalisatie!U65),Baseline_Backlog!H168),0))</f>
        <v>0</v>
      </c>
      <c r="I168" s="91">
        <f>IF(Optimalisatie!C65="Nieuwe situatie",IF(_xlfn.IFNA((VLOOKUP(Optimalisatie!W65,Database_Asfalt_Aanlegset[#All],12,FALSE)*Optimalisatie!J65),0)+_xlfn.IFNA(VLOOKUP(Optimalisatie!X65,Database_Brandstoffen[#All],12,FALSE)*((Optimalisatie!J65/Optimalisatie!Z65)*Optimalisatie!Y65),0)&gt;0,_xlfn.IFNA((VLOOKUP(Optimalisatie!W65,Database_Asfalt_Aanlegset[#All],12,FALSE)*Optimalisatie!J65),0)+_xlfn.IFNA(VLOOKUP(Optimalisatie!X65,Database_Brandstoffen[#All],12,FALSE)*((Optimalisatie!J65/Optimalisatie!Z65)*Optimalisatie!Y65),0),(_xlfn.IFNA(VLOOKUP(Inschrijf_CO2_Totaal[[#This Row],[Product]]&amp;", "&amp;Inschrijf_MKI_Totaal[[#Headers],[A5]],Database_Productkaarten[#All],18,FALSE),0)*Optimalisatie!J65)),0)</f>
        <v>0</v>
      </c>
      <c r="J168" s="91">
        <f>(IF(Optimalisatie!C65="Nieuwe Situatie",_xlfn.IFNA(IF(Optimalisatie!E65="Categorie_1_LCA_Producten",VLOOKUP(Inschrijf_CO2_Totaal[[#This Row],[Product]],Categorie_1_Producten[#All],20,FALSE)*(Optimalisatie!R65),VLOOKUP(Inschrijf_CO2_Totaal[[#This Row],[Product]]&amp;", "&amp;Inschrijf_CO2_Totaal[[#Headers],[B1]],Database_Productkaarten[#All],18,FALSE)*Optimalisatie!J65),Baseline_Backlog!J168),0))</f>
        <v>0</v>
      </c>
      <c r="K168" s="91">
        <f>(IF(Optimalisatie!C65="Nieuwe Situatie",_xlfn.IFNA(SUM(Inschrijf_CO2_Totaal[[#This Row],[A1]:[B1]],Inschrijf_CO2_Totaal[[#This Row],[C1]:[D2]])*Optimalisatie!T65,0),0))</f>
        <v>0</v>
      </c>
      <c r="L168" s="91">
        <f>IF(Optimalisatie!C65="Bestaande situatie",IF(_xlfn.IFNA((VLOOKUP(Optimalisatie!AA65,Database_Asfalt_Verwijderset[#All],12,FALSE)*Optimalisatie!J65),0)+_xlfn.IFNA(VLOOKUP(Optimalisatie!AB65,Database_Brandstoffen[#All],12,FALSE)*((Optimalisatie!J65/Optimalisatie!AD65)*Optimalisatie!AC65),0)&gt;0,_xlfn.IFNA((VLOOKUP(Optimalisatie!AA65,Database_Asfalt_Verwijderset[#All],12,FALSE)*Optimalisatie!J65),0)+_xlfn.IFNA(VLOOKUP(Optimalisatie!AB65,Database_Brandstoffen[#All],12,FALSE)*((Optimalisatie!J65/Optimalisatie!AD65)*Optimalisatie!AC65),0),(_xlfn.IFNA(VLOOKUP(Inschrijf_CO2_Totaal[[#This Row],[Product]]&amp;", "&amp;Inschrijf_MKI_Totaal[[#Headers],[C1]],Database_Productkaarten[#All],18,FALSE),0)*Optimalisatie!J65)),0)</f>
        <v>0</v>
      </c>
      <c r="M168" s="91">
        <f>(IF(Optimalisatie!C65="Bestaande Situatie",_xlfn.IFNA(VLOOKUP(Optimalisatie!AF65,Database_Transport[#All],12,FALSE)*(Optimalisatie!R65*Optimalisatie!AE65),Baseline_Backlog!M168),0))</f>
        <v>0</v>
      </c>
      <c r="N168" s="91">
        <f>(IF(Optimalisatie!C65="Bestaande Situatie",_xlfn.IFNA(VLOOKUP(Optimalisatie!AG65,Database_Asfalt_Verwerkingsset[#All],12,FALSE)*(Optimalisatie!J65/VLOOKUP(Optimalisatie!AG65,Database_Asfalt_Verwerkingsset[#All],12,FALSE)),Baseline_Backlog!N168),0))</f>
        <v>0</v>
      </c>
      <c r="O168" s="91">
        <f>(IF(Optimalisatie!C65="Bestaande Situatie",_xlfn.IFNA(VLOOKUP(Inschrijf_CO2_Totaal[[#This Row],[Product]]&amp;", "&amp;Inschrijf_CO2_Totaal[[#Headers],[C4]],Database_Productkaarten[#All],18,FALSE)*Optimalisatie!J65,Baseline_Backlog!O168),0))</f>
        <v>0</v>
      </c>
      <c r="P168" s="91">
        <f>(IF(Optimalisatie!C65="Bestaande Situatie",_xlfn.IFNA(IF(Optimalisatie!E65="Categorie_1_LCA_Producten",VLOOKUP(Inschrijf_CO2_Totaal[[#This Row],[Product]],Categorie_1_Producten[#All],18,FALSE)*(Optimalisatie!J65),VLOOKUP(Inschrijf_CO2_Totaal[[#This Row],[Product]]&amp;", "&amp;Inschrijf_CO2_Totaal[[#Headers],[D1]],Database_Productkaarten[#All],18,FALSE)*Optimalisatie!J65),Baseline_Backlog!P168),0))</f>
        <v>0</v>
      </c>
      <c r="Q168" s="91">
        <f>(IF(Optimalisatie!C65="Bestaande Situatie",_xlfn.IFNA(IF(Optimalisatie!E65="Categorie_1_LCA_Producten",VLOOKUP(Inschrijf_CO2_Totaal[[#This Row],[Product]],Categorie_1_Producten[#All],19,FALSE)*(Optimalisatie!J65),VLOOKUP(Inschrijf_CO2_Totaal[[#This Row],[Product]]&amp;", "&amp;Inschrijf_CO2_Totaal[[#Headers],[D2]],Database_Productkaarten[#All],18,FALSE)*Optimalisatie!J65),Baseline_Backlog!Q168),0))</f>
        <v>0</v>
      </c>
      <c r="R168" s="91">
        <f>(IF(Optimalisatie!C65="Bestaande Situatie",_xlfn.IFNA(IF(Optimalisatie!E65="Categorie_1_LCA_Producten",VLOOKUP(Inschrijf_CO2_Totaal[[#This Row],[Product]],Categorie_1_Producten[#All],21,FALSE)*(Optimalisatie!J65),VLOOKUP(Inschrijf_CO2_Totaal[[#This Row],[Product]]&amp;", "&amp;Inschrijf_CO2_Totaal[[#Headers],[D]],Database_Productkaarten[#All],18,FALSE)*Optimalisatie!J65),Baseline_Backlog!S168),0))</f>
        <v>0</v>
      </c>
      <c r="S168" s="91">
        <f>SUM(Inschrijf_CO2_Totaal[[#This Row],[A1-A3]:[C4]])+Inschrijf_CO2_Totaal[[#This Row],[D]]</f>
        <v>0</v>
      </c>
    </row>
    <row r="169" spans="2:19">
      <c r="B169" s="208">
        <f>Optimalisatie!B66</f>
        <v>0</v>
      </c>
      <c r="C169" s="1">
        <f>Optimalisatie!F66</f>
        <v>0</v>
      </c>
      <c r="D169" s="91">
        <f>(IF(Optimalisatie!C66="Nieuwe Situatie",_xlfn.IFNA(IF(Optimalisatie!E66="Categorie_1_LCA_Producten",VLOOKUP(Inschrijf_CO2_Totaal[[#This Row],[Product]],Categorie_1_Producten[#All],14,FALSE)*(Optimalisatie!J66),VLOOKUP(Inschrijf_CO2_Totaal[[#This Row],[Product]]&amp;", "&amp;Inschrijf_CO2_Totaal[[#Headers],[A1]],Database_Productkaarten[#All],18,FALSE)*Optimalisatie!J66),Baseline_Backlog!D169),0))</f>
        <v>0</v>
      </c>
      <c r="E169" s="91">
        <f>(IF(Optimalisatie!C66="Nieuwe Situatie",_xlfn.IFNA(IF(Optimalisatie!E66="Categorie_1_LCA_Producten",VLOOKUP(Inschrijf_CO2_Totaal[[#This Row],[Product]],Categorie_1_Producten[#All],15,FALSE)*(Optimalisatie!J66),VLOOKUP(Inschrijf_CO2_Totaal[[#This Row],[Product]]&amp;", "&amp;Inschrijf_CO2_Totaal[[#Headers],[A2]],Database_Productkaarten[#All],18,FALSE)*Optimalisatie!J66),Baseline_Backlog!E169),0))</f>
        <v>0</v>
      </c>
      <c r="F169" s="91">
        <f>(IF(Optimalisatie!C66="Nieuwe Situatie",_xlfn.IFNA(IF(Optimalisatie!E66="Categorie_1_LCA_Producten",VLOOKUP(Inschrijf_CO2_Totaal[[#This Row],[Product]],Categorie_1_Producten[#All],16,FALSE)*(Optimalisatie!J66),VLOOKUP(Inschrijf_CO2_Totaal[[#This Row],[Product]]&amp;", "&amp;Inschrijf_CO2_Totaal[[#Headers],[A3]],Database_Productkaarten[#All],18,FALSE)*Optimalisatie!J66),Baseline_Backlog!F169),0))</f>
        <v>0</v>
      </c>
      <c r="G169" s="91">
        <f>(IF(Optimalisatie!C66="Nieuwe Situatie",_xlfn.IFNA(IF(Optimalisatie!E66="Categorie_1_LCA_Producten",VLOOKUP(Inschrijf_CO2_Totaal[[#This Row],[Product]],Categorie_1_Producten[#All],19,FALSE)*(Optimalisatie!J66),VLOOKUP(Inschrijf_CO2_Totaal[[#This Row],[Product]]&amp;", "&amp;Inschrijf_CO2_Totaal[[#Headers],[A1-A3]],Database_Productkaarten[#All],18,FALSE)*Optimalisatie!J66),Baseline_Backlog!G169),0))</f>
        <v>0</v>
      </c>
      <c r="H169" s="91">
        <f>(IF(Optimalisatie!C66="Nieuwe Situatie",_xlfn.IFNA(VLOOKUP(Optimalisatie!V66,Database_Transport[#All],12,FALSE)*(Optimalisatie!R66*Optimalisatie!U66),Baseline_Backlog!H169),0))</f>
        <v>0</v>
      </c>
      <c r="I169" s="91">
        <f>IF(Optimalisatie!C66="Nieuwe situatie",IF(_xlfn.IFNA((VLOOKUP(Optimalisatie!W66,Database_Asfalt_Aanlegset[#All],12,FALSE)*Optimalisatie!J66),0)+_xlfn.IFNA(VLOOKUP(Optimalisatie!X66,Database_Brandstoffen[#All],12,FALSE)*((Optimalisatie!J66/Optimalisatie!Z66)*Optimalisatie!Y66),0)&gt;0,_xlfn.IFNA((VLOOKUP(Optimalisatie!W66,Database_Asfalt_Aanlegset[#All],12,FALSE)*Optimalisatie!J66),0)+_xlfn.IFNA(VLOOKUP(Optimalisatie!X66,Database_Brandstoffen[#All],12,FALSE)*((Optimalisatie!J66/Optimalisatie!Z66)*Optimalisatie!Y66),0),(_xlfn.IFNA(VLOOKUP(Inschrijf_CO2_Totaal[[#This Row],[Product]]&amp;", "&amp;Inschrijf_MKI_Totaal[[#Headers],[A5]],Database_Productkaarten[#All],18,FALSE),0)*Optimalisatie!J66)),0)</f>
        <v>0</v>
      </c>
      <c r="J169" s="91">
        <f>(IF(Optimalisatie!C66="Nieuwe Situatie",_xlfn.IFNA(IF(Optimalisatie!E66="Categorie_1_LCA_Producten",VLOOKUP(Inschrijf_CO2_Totaal[[#This Row],[Product]],Categorie_1_Producten[#All],20,FALSE)*(Optimalisatie!R66),VLOOKUP(Inschrijf_CO2_Totaal[[#This Row],[Product]]&amp;", "&amp;Inschrijf_CO2_Totaal[[#Headers],[B1]],Database_Productkaarten[#All],18,FALSE)*Optimalisatie!J66),Baseline_Backlog!J169),0))</f>
        <v>0</v>
      </c>
      <c r="K169" s="91">
        <f>(IF(Optimalisatie!C66="Nieuwe Situatie",_xlfn.IFNA(SUM(Inschrijf_CO2_Totaal[[#This Row],[A1]:[B1]],Inschrijf_CO2_Totaal[[#This Row],[C1]:[D2]])*Optimalisatie!T66,0),0))</f>
        <v>0</v>
      </c>
      <c r="L169" s="91">
        <f>IF(Optimalisatie!C66="Bestaande situatie",IF(_xlfn.IFNA((VLOOKUP(Optimalisatie!AA66,Database_Asfalt_Verwijderset[#All],12,FALSE)*Optimalisatie!J66),0)+_xlfn.IFNA(VLOOKUP(Optimalisatie!AB66,Database_Brandstoffen[#All],12,FALSE)*((Optimalisatie!J66/Optimalisatie!AD66)*Optimalisatie!AC66),0)&gt;0,_xlfn.IFNA((VLOOKUP(Optimalisatie!AA66,Database_Asfalt_Verwijderset[#All],12,FALSE)*Optimalisatie!J66),0)+_xlfn.IFNA(VLOOKUP(Optimalisatie!AB66,Database_Brandstoffen[#All],12,FALSE)*((Optimalisatie!J66/Optimalisatie!AD66)*Optimalisatie!AC66),0),(_xlfn.IFNA(VLOOKUP(Inschrijf_CO2_Totaal[[#This Row],[Product]]&amp;", "&amp;Inschrijf_MKI_Totaal[[#Headers],[C1]],Database_Productkaarten[#All],18,FALSE),0)*Optimalisatie!J66)),0)</f>
        <v>0</v>
      </c>
      <c r="M169" s="91">
        <f>(IF(Optimalisatie!C66="Bestaande Situatie",_xlfn.IFNA(VLOOKUP(Optimalisatie!AF66,Database_Transport[#All],12,FALSE)*(Optimalisatie!R66*Optimalisatie!AE66),Baseline_Backlog!M169),0))</f>
        <v>0</v>
      </c>
      <c r="N169" s="91">
        <f>(IF(Optimalisatie!C66="Bestaande Situatie",_xlfn.IFNA(VLOOKUP(Optimalisatie!AG66,Database_Asfalt_Verwerkingsset[#All],12,FALSE)*(Optimalisatie!J66/VLOOKUP(Optimalisatie!AG66,Database_Asfalt_Verwerkingsset[#All],12,FALSE)),Baseline_Backlog!N169),0))</f>
        <v>0</v>
      </c>
      <c r="O169" s="91">
        <f>(IF(Optimalisatie!C66="Bestaande Situatie",_xlfn.IFNA(VLOOKUP(Inschrijf_CO2_Totaal[[#This Row],[Product]]&amp;", "&amp;Inschrijf_CO2_Totaal[[#Headers],[C4]],Database_Productkaarten[#All],18,FALSE)*Optimalisatie!J66,Baseline_Backlog!O169),0))</f>
        <v>0</v>
      </c>
      <c r="P169" s="91">
        <f>(IF(Optimalisatie!C66="Bestaande Situatie",_xlfn.IFNA(IF(Optimalisatie!E66="Categorie_1_LCA_Producten",VLOOKUP(Inschrijf_CO2_Totaal[[#This Row],[Product]],Categorie_1_Producten[#All],18,FALSE)*(Optimalisatie!J66),VLOOKUP(Inschrijf_CO2_Totaal[[#This Row],[Product]]&amp;", "&amp;Inschrijf_CO2_Totaal[[#Headers],[D1]],Database_Productkaarten[#All],18,FALSE)*Optimalisatie!J66),Baseline_Backlog!P169),0))</f>
        <v>0</v>
      </c>
      <c r="Q169" s="91">
        <f>(IF(Optimalisatie!C66="Bestaande Situatie",_xlfn.IFNA(IF(Optimalisatie!E66="Categorie_1_LCA_Producten",VLOOKUP(Inschrijf_CO2_Totaal[[#This Row],[Product]],Categorie_1_Producten[#All],19,FALSE)*(Optimalisatie!J66),VLOOKUP(Inschrijf_CO2_Totaal[[#This Row],[Product]]&amp;", "&amp;Inschrijf_CO2_Totaal[[#Headers],[D2]],Database_Productkaarten[#All],18,FALSE)*Optimalisatie!J66),Baseline_Backlog!Q169),0))</f>
        <v>0</v>
      </c>
      <c r="R169" s="91">
        <f>(IF(Optimalisatie!C66="Bestaande Situatie",_xlfn.IFNA(IF(Optimalisatie!E66="Categorie_1_LCA_Producten",VLOOKUP(Inschrijf_CO2_Totaal[[#This Row],[Product]],Categorie_1_Producten[#All],21,FALSE)*(Optimalisatie!J66),VLOOKUP(Inschrijf_CO2_Totaal[[#This Row],[Product]]&amp;", "&amp;Inschrijf_CO2_Totaal[[#Headers],[D]],Database_Productkaarten[#All],18,FALSE)*Optimalisatie!J66),Baseline_Backlog!S169),0))</f>
        <v>0</v>
      </c>
      <c r="S169" s="91">
        <f>SUM(Inschrijf_CO2_Totaal[[#This Row],[A1-A3]:[C4]])+Inschrijf_CO2_Totaal[[#This Row],[D]]</f>
        <v>0</v>
      </c>
    </row>
    <row r="170" spans="2:19">
      <c r="B170" s="208">
        <f>Optimalisatie!B67</f>
        <v>0</v>
      </c>
      <c r="C170" s="1">
        <f>Optimalisatie!F67</f>
        <v>0</v>
      </c>
      <c r="D170" s="91">
        <f>(IF(Optimalisatie!C67="Nieuwe Situatie",_xlfn.IFNA(IF(Optimalisatie!E67="Categorie_1_LCA_Producten",VLOOKUP(Inschrijf_CO2_Totaal[[#This Row],[Product]],Categorie_1_Producten[#All],14,FALSE)*(Optimalisatie!J67),VLOOKUP(Inschrijf_CO2_Totaal[[#This Row],[Product]]&amp;", "&amp;Inschrijf_CO2_Totaal[[#Headers],[A1]],Database_Productkaarten[#All],18,FALSE)*Optimalisatie!J67),Baseline_Backlog!D170),0))</f>
        <v>0</v>
      </c>
      <c r="E170" s="91">
        <f>(IF(Optimalisatie!C67="Nieuwe Situatie",_xlfn.IFNA(IF(Optimalisatie!E67="Categorie_1_LCA_Producten",VLOOKUP(Inschrijf_CO2_Totaal[[#This Row],[Product]],Categorie_1_Producten[#All],15,FALSE)*(Optimalisatie!J67),VLOOKUP(Inschrijf_CO2_Totaal[[#This Row],[Product]]&amp;", "&amp;Inschrijf_CO2_Totaal[[#Headers],[A2]],Database_Productkaarten[#All],18,FALSE)*Optimalisatie!J67),Baseline_Backlog!E170),0))</f>
        <v>0</v>
      </c>
      <c r="F170" s="91">
        <f>(IF(Optimalisatie!C67="Nieuwe Situatie",_xlfn.IFNA(IF(Optimalisatie!E67="Categorie_1_LCA_Producten",VLOOKUP(Inschrijf_CO2_Totaal[[#This Row],[Product]],Categorie_1_Producten[#All],16,FALSE)*(Optimalisatie!J67),VLOOKUP(Inschrijf_CO2_Totaal[[#This Row],[Product]]&amp;", "&amp;Inschrijf_CO2_Totaal[[#Headers],[A3]],Database_Productkaarten[#All],18,FALSE)*Optimalisatie!J67),Baseline_Backlog!F170),0))</f>
        <v>0</v>
      </c>
      <c r="G170" s="91">
        <f>(IF(Optimalisatie!C67="Nieuwe Situatie",_xlfn.IFNA(IF(Optimalisatie!E67="Categorie_1_LCA_Producten",VLOOKUP(Inschrijf_CO2_Totaal[[#This Row],[Product]],Categorie_1_Producten[#All],19,FALSE)*(Optimalisatie!J67),VLOOKUP(Inschrijf_CO2_Totaal[[#This Row],[Product]]&amp;", "&amp;Inschrijf_CO2_Totaal[[#Headers],[A1-A3]],Database_Productkaarten[#All],18,FALSE)*Optimalisatie!J67),Baseline_Backlog!G170),0))</f>
        <v>0</v>
      </c>
      <c r="H170" s="91">
        <f>(IF(Optimalisatie!C67="Nieuwe Situatie",_xlfn.IFNA(VLOOKUP(Optimalisatie!V67,Database_Transport[#All],12,FALSE)*(Optimalisatie!R67*Optimalisatie!U67),Baseline_Backlog!H170),0))</f>
        <v>0</v>
      </c>
      <c r="I170" s="91">
        <f>IF(Optimalisatie!C67="Nieuwe situatie",IF(_xlfn.IFNA((VLOOKUP(Optimalisatie!W67,Database_Asfalt_Aanlegset[#All],12,FALSE)*Optimalisatie!J67),0)+_xlfn.IFNA(VLOOKUP(Optimalisatie!X67,Database_Brandstoffen[#All],12,FALSE)*((Optimalisatie!J67/Optimalisatie!Z67)*Optimalisatie!Y67),0)&gt;0,_xlfn.IFNA((VLOOKUP(Optimalisatie!W67,Database_Asfalt_Aanlegset[#All],12,FALSE)*Optimalisatie!J67),0)+_xlfn.IFNA(VLOOKUP(Optimalisatie!X67,Database_Brandstoffen[#All],12,FALSE)*((Optimalisatie!J67/Optimalisatie!Z67)*Optimalisatie!Y67),0),(_xlfn.IFNA(VLOOKUP(Inschrijf_CO2_Totaal[[#This Row],[Product]]&amp;", "&amp;Inschrijf_MKI_Totaal[[#Headers],[A5]],Database_Productkaarten[#All],18,FALSE),0)*Optimalisatie!J67)),0)</f>
        <v>0</v>
      </c>
      <c r="J170" s="91">
        <f>(IF(Optimalisatie!C67="Nieuwe Situatie",_xlfn.IFNA(IF(Optimalisatie!E67="Categorie_1_LCA_Producten",VLOOKUP(Inschrijf_CO2_Totaal[[#This Row],[Product]],Categorie_1_Producten[#All],20,FALSE)*(Optimalisatie!R67),VLOOKUP(Inschrijf_CO2_Totaal[[#This Row],[Product]]&amp;", "&amp;Inschrijf_CO2_Totaal[[#Headers],[B1]],Database_Productkaarten[#All],18,FALSE)*Optimalisatie!J67),Baseline_Backlog!J170),0))</f>
        <v>0</v>
      </c>
      <c r="K170" s="91">
        <f>(IF(Optimalisatie!C67="Nieuwe Situatie",_xlfn.IFNA(SUM(Inschrijf_CO2_Totaal[[#This Row],[A1]:[B1]],Inschrijf_CO2_Totaal[[#This Row],[C1]:[D2]])*Optimalisatie!T67,0),0))</f>
        <v>0</v>
      </c>
      <c r="L170" s="91">
        <f>IF(Optimalisatie!C67="Bestaande situatie",IF(_xlfn.IFNA((VLOOKUP(Optimalisatie!AA67,Database_Asfalt_Verwijderset[#All],12,FALSE)*Optimalisatie!J67),0)+_xlfn.IFNA(VLOOKUP(Optimalisatie!AB67,Database_Brandstoffen[#All],12,FALSE)*((Optimalisatie!J67/Optimalisatie!AD67)*Optimalisatie!AC67),0)&gt;0,_xlfn.IFNA((VLOOKUP(Optimalisatie!AA67,Database_Asfalt_Verwijderset[#All],12,FALSE)*Optimalisatie!J67),0)+_xlfn.IFNA(VLOOKUP(Optimalisatie!AB67,Database_Brandstoffen[#All],12,FALSE)*((Optimalisatie!J67/Optimalisatie!AD67)*Optimalisatie!AC67),0),(_xlfn.IFNA(VLOOKUP(Inschrijf_CO2_Totaal[[#This Row],[Product]]&amp;", "&amp;Inschrijf_MKI_Totaal[[#Headers],[C1]],Database_Productkaarten[#All],18,FALSE),0)*Optimalisatie!J67)),0)</f>
        <v>0</v>
      </c>
      <c r="M170" s="91">
        <f>(IF(Optimalisatie!C67="Bestaande Situatie",_xlfn.IFNA(VLOOKUP(Optimalisatie!AF67,Database_Transport[#All],12,FALSE)*(Optimalisatie!R67*Optimalisatie!AE67),Baseline_Backlog!M170),0))</f>
        <v>0</v>
      </c>
      <c r="N170" s="91">
        <f>(IF(Optimalisatie!C67="Bestaande Situatie",_xlfn.IFNA(VLOOKUP(Optimalisatie!AG67,Database_Asfalt_Verwerkingsset[#All],12,FALSE)*(Optimalisatie!J67/VLOOKUP(Optimalisatie!AG67,Database_Asfalt_Verwerkingsset[#All],12,FALSE)),Baseline_Backlog!N170),0))</f>
        <v>0</v>
      </c>
      <c r="O170" s="91">
        <f>(IF(Optimalisatie!C67="Bestaande Situatie",_xlfn.IFNA(VLOOKUP(Inschrijf_CO2_Totaal[[#This Row],[Product]]&amp;", "&amp;Inschrijf_CO2_Totaal[[#Headers],[C4]],Database_Productkaarten[#All],18,FALSE)*Optimalisatie!J67,Baseline_Backlog!O170),0))</f>
        <v>0</v>
      </c>
      <c r="P170" s="91">
        <f>(IF(Optimalisatie!C67="Bestaande Situatie",_xlfn.IFNA(IF(Optimalisatie!E67="Categorie_1_LCA_Producten",VLOOKUP(Inschrijf_CO2_Totaal[[#This Row],[Product]],Categorie_1_Producten[#All],18,FALSE)*(Optimalisatie!J67),VLOOKUP(Inschrijf_CO2_Totaal[[#This Row],[Product]]&amp;", "&amp;Inschrijf_CO2_Totaal[[#Headers],[D1]],Database_Productkaarten[#All],18,FALSE)*Optimalisatie!J67),Baseline_Backlog!P170),0))</f>
        <v>0</v>
      </c>
      <c r="Q170" s="91">
        <f>(IF(Optimalisatie!C67="Bestaande Situatie",_xlfn.IFNA(IF(Optimalisatie!E67="Categorie_1_LCA_Producten",VLOOKUP(Inschrijf_CO2_Totaal[[#This Row],[Product]],Categorie_1_Producten[#All],19,FALSE)*(Optimalisatie!J67),VLOOKUP(Inschrijf_CO2_Totaal[[#This Row],[Product]]&amp;", "&amp;Inschrijf_CO2_Totaal[[#Headers],[D2]],Database_Productkaarten[#All],18,FALSE)*Optimalisatie!J67),Baseline_Backlog!Q170),0))</f>
        <v>0</v>
      </c>
      <c r="R170" s="91">
        <f>(IF(Optimalisatie!C67="Bestaande Situatie",_xlfn.IFNA(IF(Optimalisatie!E67="Categorie_1_LCA_Producten",VLOOKUP(Inschrijf_CO2_Totaal[[#This Row],[Product]],Categorie_1_Producten[#All],21,FALSE)*(Optimalisatie!J67),VLOOKUP(Inschrijf_CO2_Totaal[[#This Row],[Product]]&amp;", "&amp;Inschrijf_CO2_Totaal[[#Headers],[D]],Database_Productkaarten[#All],18,FALSE)*Optimalisatie!J67),Baseline_Backlog!S170),0))</f>
        <v>0</v>
      </c>
      <c r="S170" s="91">
        <f>SUM(Inschrijf_CO2_Totaal[[#This Row],[A1-A3]:[C4]])+Inschrijf_CO2_Totaal[[#This Row],[D]]</f>
        <v>0</v>
      </c>
    </row>
    <row r="171" spans="2:19">
      <c r="B171" s="208">
        <f>Optimalisatie!B68</f>
        <v>0</v>
      </c>
      <c r="C171" s="1">
        <f>Optimalisatie!F68</f>
        <v>0</v>
      </c>
      <c r="D171" s="91">
        <f>(IF(Optimalisatie!C68="Nieuwe Situatie",_xlfn.IFNA(IF(Optimalisatie!E68="Categorie_1_LCA_Producten",VLOOKUP(Inschrijf_CO2_Totaal[[#This Row],[Product]],Categorie_1_Producten[#All],14,FALSE)*(Optimalisatie!J68),VLOOKUP(Inschrijf_CO2_Totaal[[#This Row],[Product]]&amp;", "&amp;Inschrijf_CO2_Totaal[[#Headers],[A1]],Database_Productkaarten[#All],18,FALSE)*Optimalisatie!J68),Baseline_Backlog!D171),0))</f>
        <v>0</v>
      </c>
      <c r="E171" s="91">
        <f>(IF(Optimalisatie!C68="Nieuwe Situatie",_xlfn.IFNA(IF(Optimalisatie!E68="Categorie_1_LCA_Producten",VLOOKUP(Inschrijf_CO2_Totaal[[#This Row],[Product]],Categorie_1_Producten[#All],15,FALSE)*(Optimalisatie!J68),VLOOKUP(Inschrijf_CO2_Totaal[[#This Row],[Product]]&amp;", "&amp;Inschrijf_CO2_Totaal[[#Headers],[A2]],Database_Productkaarten[#All],18,FALSE)*Optimalisatie!J68),Baseline_Backlog!E171),0))</f>
        <v>0</v>
      </c>
      <c r="F171" s="91">
        <f>(IF(Optimalisatie!C68="Nieuwe Situatie",_xlfn.IFNA(IF(Optimalisatie!E68="Categorie_1_LCA_Producten",VLOOKUP(Inschrijf_CO2_Totaal[[#This Row],[Product]],Categorie_1_Producten[#All],16,FALSE)*(Optimalisatie!J68),VLOOKUP(Inschrijf_CO2_Totaal[[#This Row],[Product]]&amp;", "&amp;Inschrijf_CO2_Totaal[[#Headers],[A3]],Database_Productkaarten[#All],18,FALSE)*Optimalisatie!J68),Baseline_Backlog!F171),0))</f>
        <v>0</v>
      </c>
      <c r="G171" s="91">
        <f>(IF(Optimalisatie!C68="Nieuwe Situatie",_xlfn.IFNA(IF(Optimalisatie!E68="Categorie_1_LCA_Producten",VLOOKUP(Inschrijf_CO2_Totaal[[#This Row],[Product]],Categorie_1_Producten[#All],19,FALSE)*(Optimalisatie!J68),VLOOKUP(Inschrijf_CO2_Totaal[[#This Row],[Product]]&amp;", "&amp;Inschrijf_CO2_Totaal[[#Headers],[A1-A3]],Database_Productkaarten[#All],18,FALSE)*Optimalisatie!J68),Baseline_Backlog!G171),0))</f>
        <v>0</v>
      </c>
      <c r="H171" s="91">
        <f>(IF(Optimalisatie!C68="Nieuwe Situatie",_xlfn.IFNA(VLOOKUP(Optimalisatie!V68,Database_Transport[#All],12,FALSE)*(Optimalisatie!R68*Optimalisatie!U68),Baseline_Backlog!H171),0))</f>
        <v>0</v>
      </c>
      <c r="I171" s="91">
        <f>IF(Optimalisatie!C68="Nieuwe situatie",IF(_xlfn.IFNA((VLOOKUP(Optimalisatie!W68,Database_Asfalt_Aanlegset[#All],12,FALSE)*Optimalisatie!J68),0)+_xlfn.IFNA(VLOOKUP(Optimalisatie!X68,Database_Brandstoffen[#All],12,FALSE)*((Optimalisatie!J68/Optimalisatie!Z68)*Optimalisatie!Y68),0)&gt;0,_xlfn.IFNA((VLOOKUP(Optimalisatie!W68,Database_Asfalt_Aanlegset[#All],12,FALSE)*Optimalisatie!J68),0)+_xlfn.IFNA(VLOOKUP(Optimalisatie!X68,Database_Brandstoffen[#All],12,FALSE)*((Optimalisatie!J68/Optimalisatie!Z68)*Optimalisatie!Y68),0),(_xlfn.IFNA(VLOOKUP(Inschrijf_CO2_Totaal[[#This Row],[Product]]&amp;", "&amp;Inschrijf_MKI_Totaal[[#Headers],[A5]],Database_Productkaarten[#All],18,FALSE),0)*Optimalisatie!J68)),0)</f>
        <v>0</v>
      </c>
      <c r="J171" s="91">
        <f>(IF(Optimalisatie!C68="Nieuwe Situatie",_xlfn.IFNA(IF(Optimalisatie!E68="Categorie_1_LCA_Producten",VLOOKUP(Inschrijf_CO2_Totaal[[#This Row],[Product]],Categorie_1_Producten[#All],20,FALSE)*(Optimalisatie!R68),VLOOKUP(Inschrijf_CO2_Totaal[[#This Row],[Product]]&amp;", "&amp;Inschrijf_CO2_Totaal[[#Headers],[B1]],Database_Productkaarten[#All],18,FALSE)*Optimalisatie!J68),Baseline_Backlog!J171),0))</f>
        <v>0</v>
      </c>
      <c r="K171" s="91">
        <f>(IF(Optimalisatie!C68="Nieuwe Situatie",_xlfn.IFNA(SUM(Inschrijf_CO2_Totaal[[#This Row],[A1]:[B1]],Inschrijf_CO2_Totaal[[#This Row],[C1]:[D2]])*Optimalisatie!T68,0),0))</f>
        <v>0</v>
      </c>
      <c r="L171" s="91">
        <f>IF(Optimalisatie!C68="Bestaande situatie",IF(_xlfn.IFNA((VLOOKUP(Optimalisatie!AA68,Database_Asfalt_Verwijderset[#All],12,FALSE)*Optimalisatie!J68),0)+_xlfn.IFNA(VLOOKUP(Optimalisatie!AB68,Database_Brandstoffen[#All],12,FALSE)*((Optimalisatie!J68/Optimalisatie!AD68)*Optimalisatie!AC68),0)&gt;0,_xlfn.IFNA((VLOOKUP(Optimalisatie!AA68,Database_Asfalt_Verwijderset[#All],12,FALSE)*Optimalisatie!J68),0)+_xlfn.IFNA(VLOOKUP(Optimalisatie!AB68,Database_Brandstoffen[#All],12,FALSE)*((Optimalisatie!J68/Optimalisatie!AD68)*Optimalisatie!AC68),0),(_xlfn.IFNA(VLOOKUP(Inschrijf_CO2_Totaal[[#This Row],[Product]]&amp;", "&amp;Inschrijf_MKI_Totaal[[#Headers],[C1]],Database_Productkaarten[#All],18,FALSE),0)*Optimalisatie!J68)),0)</f>
        <v>0</v>
      </c>
      <c r="M171" s="91">
        <f>(IF(Optimalisatie!C68="Bestaande Situatie",_xlfn.IFNA(VLOOKUP(Optimalisatie!AF68,Database_Transport[#All],12,FALSE)*(Optimalisatie!R68*Optimalisatie!AE68),Baseline_Backlog!M171),0))</f>
        <v>0</v>
      </c>
      <c r="N171" s="91">
        <f>(IF(Optimalisatie!C68="Bestaande Situatie",_xlfn.IFNA(VLOOKUP(Optimalisatie!AG68,Database_Asfalt_Verwerkingsset[#All],12,FALSE)*(Optimalisatie!J68/VLOOKUP(Optimalisatie!AG68,Database_Asfalt_Verwerkingsset[#All],12,FALSE)),Baseline_Backlog!N171),0))</f>
        <v>0</v>
      </c>
      <c r="O171" s="91">
        <f>(IF(Optimalisatie!C68="Bestaande Situatie",_xlfn.IFNA(VLOOKUP(Inschrijf_CO2_Totaal[[#This Row],[Product]]&amp;", "&amp;Inschrijf_CO2_Totaal[[#Headers],[C4]],Database_Productkaarten[#All],18,FALSE)*Optimalisatie!J68,Baseline_Backlog!O171),0))</f>
        <v>0</v>
      </c>
      <c r="P171" s="91">
        <f>(IF(Optimalisatie!C68="Bestaande Situatie",_xlfn.IFNA(IF(Optimalisatie!E68="Categorie_1_LCA_Producten",VLOOKUP(Inschrijf_CO2_Totaal[[#This Row],[Product]],Categorie_1_Producten[#All],18,FALSE)*(Optimalisatie!J68),VLOOKUP(Inschrijf_CO2_Totaal[[#This Row],[Product]]&amp;", "&amp;Inschrijf_CO2_Totaal[[#Headers],[D1]],Database_Productkaarten[#All],18,FALSE)*Optimalisatie!J68),Baseline_Backlog!P171),0))</f>
        <v>0</v>
      </c>
      <c r="Q171" s="91">
        <f>(IF(Optimalisatie!C68="Bestaande Situatie",_xlfn.IFNA(IF(Optimalisatie!E68="Categorie_1_LCA_Producten",VLOOKUP(Inschrijf_CO2_Totaal[[#This Row],[Product]],Categorie_1_Producten[#All],19,FALSE)*(Optimalisatie!J68),VLOOKUP(Inschrijf_CO2_Totaal[[#This Row],[Product]]&amp;", "&amp;Inschrijf_CO2_Totaal[[#Headers],[D2]],Database_Productkaarten[#All],18,FALSE)*Optimalisatie!J68),Baseline_Backlog!Q171),0))</f>
        <v>0</v>
      </c>
      <c r="R171" s="91">
        <f>(IF(Optimalisatie!C68="Bestaande Situatie",_xlfn.IFNA(IF(Optimalisatie!E68="Categorie_1_LCA_Producten",VLOOKUP(Inschrijf_CO2_Totaal[[#This Row],[Product]],Categorie_1_Producten[#All],21,FALSE)*(Optimalisatie!J68),VLOOKUP(Inschrijf_CO2_Totaal[[#This Row],[Product]]&amp;", "&amp;Inschrijf_CO2_Totaal[[#Headers],[D]],Database_Productkaarten[#All],18,FALSE)*Optimalisatie!J68),Baseline_Backlog!S171),0))</f>
        <v>0</v>
      </c>
      <c r="S171" s="91">
        <f>SUM(Inschrijf_CO2_Totaal[[#This Row],[A1-A3]:[C4]])+Inschrijf_CO2_Totaal[[#This Row],[D]]</f>
        <v>0</v>
      </c>
    </row>
    <row r="172" spans="2:19">
      <c r="B172" s="208">
        <f>Optimalisatie!B69</f>
        <v>0</v>
      </c>
      <c r="C172" s="1">
        <f>Optimalisatie!F69</f>
        <v>0</v>
      </c>
      <c r="D172" s="91">
        <f>(IF(Optimalisatie!C69="Nieuwe Situatie",_xlfn.IFNA(IF(Optimalisatie!E69="Categorie_1_LCA_Producten",VLOOKUP(Inschrijf_CO2_Totaal[[#This Row],[Product]],Categorie_1_Producten[#All],14,FALSE)*(Optimalisatie!J69),VLOOKUP(Inschrijf_CO2_Totaal[[#This Row],[Product]]&amp;", "&amp;Inschrijf_CO2_Totaal[[#Headers],[A1]],Database_Productkaarten[#All],18,FALSE)*Optimalisatie!J69),Baseline_Backlog!D172),0))</f>
        <v>0</v>
      </c>
      <c r="E172" s="91">
        <f>(IF(Optimalisatie!C69="Nieuwe Situatie",_xlfn.IFNA(IF(Optimalisatie!E69="Categorie_1_LCA_Producten",VLOOKUP(Inschrijf_CO2_Totaal[[#This Row],[Product]],Categorie_1_Producten[#All],15,FALSE)*(Optimalisatie!J69),VLOOKUP(Inschrijf_CO2_Totaal[[#This Row],[Product]]&amp;", "&amp;Inschrijf_CO2_Totaal[[#Headers],[A2]],Database_Productkaarten[#All],18,FALSE)*Optimalisatie!J69),Baseline_Backlog!E172),0))</f>
        <v>0</v>
      </c>
      <c r="F172" s="91">
        <f>(IF(Optimalisatie!C69="Nieuwe Situatie",_xlfn.IFNA(IF(Optimalisatie!E69="Categorie_1_LCA_Producten",VLOOKUP(Inschrijf_CO2_Totaal[[#This Row],[Product]],Categorie_1_Producten[#All],16,FALSE)*(Optimalisatie!J69),VLOOKUP(Inschrijf_CO2_Totaal[[#This Row],[Product]]&amp;", "&amp;Inschrijf_CO2_Totaal[[#Headers],[A3]],Database_Productkaarten[#All],18,FALSE)*Optimalisatie!J69),Baseline_Backlog!F172),0))</f>
        <v>0</v>
      </c>
      <c r="G172" s="91">
        <f>(IF(Optimalisatie!C69="Nieuwe Situatie",_xlfn.IFNA(IF(Optimalisatie!E69="Categorie_1_LCA_Producten",VLOOKUP(Inschrijf_CO2_Totaal[[#This Row],[Product]],Categorie_1_Producten[#All],19,FALSE)*(Optimalisatie!J69),VLOOKUP(Inschrijf_CO2_Totaal[[#This Row],[Product]]&amp;", "&amp;Inschrijf_CO2_Totaal[[#Headers],[A1-A3]],Database_Productkaarten[#All],18,FALSE)*Optimalisatie!J69),Baseline_Backlog!G172),0))</f>
        <v>0</v>
      </c>
      <c r="H172" s="91">
        <f>(IF(Optimalisatie!C69="Nieuwe Situatie",_xlfn.IFNA(VLOOKUP(Optimalisatie!V69,Database_Transport[#All],12,FALSE)*(Optimalisatie!R69*Optimalisatie!U69),Baseline_Backlog!H172),0))</f>
        <v>0</v>
      </c>
      <c r="I172" s="91">
        <f>IF(Optimalisatie!C69="Nieuwe situatie",IF(_xlfn.IFNA((VLOOKUP(Optimalisatie!W69,Database_Asfalt_Aanlegset[#All],12,FALSE)*Optimalisatie!J69),0)+_xlfn.IFNA(VLOOKUP(Optimalisatie!X69,Database_Brandstoffen[#All],12,FALSE)*((Optimalisatie!J69/Optimalisatie!Z69)*Optimalisatie!Y69),0)&gt;0,_xlfn.IFNA((VLOOKUP(Optimalisatie!W69,Database_Asfalt_Aanlegset[#All],12,FALSE)*Optimalisatie!J69),0)+_xlfn.IFNA(VLOOKUP(Optimalisatie!X69,Database_Brandstoffen[#All],12,FALSE)*((Optimalisatie!J69/Optimalisatie!Z69)*Optimalisatie!Y69),0),(_xlfn.IFNA(VLOOKUP(Inschrijf_CO2_Totaal[[#This Row],[Product]]&amp;", "&amp;Inschrijf_MKI_Totaal[[#Headers],[A5]],Database_Productkaarten[#All],18,FALSE),0)*Optimalisatie!J69)),0)</f>
        <v>0</v>
      </c>
      <c r="J172" s="91">
        <f>(IF(Optimalisatie!C69="Nieuwe Situatie",_xlfn.IFNA(IF(Optimalisatie!E69="Categorie_1_LCA_Producten",VLOOKUP(Inschrijf_CO2_Totaal[[#This Row],[Product]],Categorie_1_Producten[#All],20,FALSE)*(Optimalisatie!R69),VLOOKUP(Inschrijf_CO2_Totaal[[#This Row],[Product]]&amp;", "&amp;Inschrijf_CO2_Totaal[[#Headers],[B1]],Database_Productkaarten[#All],18,FALSE)*Optimalisatie!J69),Baseline_Backlog!J172),0))</f>
        <v>0</v>
      </c>
      <c r="K172" s="91">
        <f>(IF(Optimalisatie!C69="Nieuwe Situatie",_xlfn.IFNA(SUM(Inschrijf_CO2_Totaal[[#This Row],[A1]:[B1]],Inschrijf_CO2_Totaal[[#This Row],[C1]:[D2]])*Optimalisatie!T69,0),0))</f>
        <v>0</v>
      </c>
      <c r="L172" s="91">
        <f>IF(Optimalisatie!C69="Bestaande situatie",IF(_xlfn.IFNA((VLOOKUP(Optimalisatie!AA69,Database_Asfalt_Verwijderset[#All],12,FALSE)*Optimalisatie!J69),0)+_xlfn.IFNA(VLOOKUP(Optimalisatie!AB69,Database_Brandstoffen[#All],12,FALSE)*((Optimalisatie!J69/Optimalisatie!AD69)*Optimalisatie!AC69),0)&gt;0,_xlfn.IFNA((VLOOKUP(Optimalisatie!AA69,Database_Asfalt_Verwijderset[#All],12,FALSE)*Optimalisatie!J69),0)+_xlfn.IFNA(VLOOKUP(Optimalisatie!AB69,Database_Brandstoffen[#All],12,FALSE)*((Optimalisatie!J69/Optimalisatie!AD69)*Optimalisatie!AC69),0),(_xlfn.IFNA(VLOOKUP(Inschrijf_CO2_Totaal[[#This Row],[Product]]&amp;", "&amp;Inschrijf_MKI_Totaal[[#Headers],[C1]],Database_Productkaarten[#All],18,FALSE),0)*Optimalisatie!J69)),0)</f>
        <v>0</v>
      </c>
      <c r="M172" s="91">
        <f>(IF(Optimalisatie!C69="Bestaande Situatie",_xlfn.IFNA(VLOOKUP(Optimalisatie!AF69,Database_Transport[#All],12,FALSE)*(Optimalisatie!R69*Optimalisatie!AE69),Baseline_Backlog!M172),0))</f>
        <v>0</v>
      </c>
      <c r="N172" s="91">
        <f>(IF(Optimalisatie!C69="Bestaande Situatie",_xlfn.IFNA(VLOOKUP(Optimalisatie!AG69,Database_Asfalt_Verwerkingsset[#All],12,FALSE)*(Optimalisatie!J69/VLOOKUP(Optimalisatie!AG69,Database_Asfalt_Verwerkingsset[#All],12,FALSE)),Baseline_Backlog!N172),0))</f>
        <v>0</v>
      </c>
      <c r="O172" s="91">
        <f>(IF(Optimalisatie!C69="Bestaande Situatie",_xlfn.IFNA(VLOOKUP(Inschrijf_CO2_Totaal[[#This Row],[Product]]&amp;", "&amp;Inschrijf_CO2_Totaal[[#Headers],[C4]],Database_Productkaarten[#All],18,FALSE)*Optimalisatie!J69,Baseline_Backlog!O172),0))</f>
        <v>0</v>
      </c>
      <c r="P172" s="91">
        <f>(IF(Optimalisatie!C69="Bestaande Situatie",_xlfn.IFNA(IF(Optimalisatie!E69="Categorie_1_LCA_Producten",VLOOKUP(Inschrijf_CO2_Totaal[[#This Row],[Product]],Categorie_1_Producten[#All],18,FALSE)*(Optimalisatie!J69),VLOOKUP(Inschrijf_CO2_Totaal[[#This Row],[Product]]&amp;", "&amp;Inschrijf_CO2_Totaal[[#Headers],[D1]],Database_Productkaarten[#All],18,FALSE)*Optimalisatie!J69),Baseline_Backlog!P172),0))</f>
        <v>0</v>
      </c>
      <c r="Q172" s="91">
        <f>(IF(Optimalisatie!C69="Bestaande Situatie",_xlfn.IFNA(IF(Optimalisatie!E69="Categorie_1_LCA_Producten",VLOOKUP(Inschrijf_CO2_Totaal[[#This Row],[Product]],Categorie_1_Producten[#All],19,FALSE)*(Optimalisatie!J69),VLOOKUP(Inschrijf_CO2_Totaal[[#This Row],[Product]]&amp;", "&amp;Inschrijf_CO2_Totaal[[#Headers],[D2]],Database_Productkaarten[#All],18,FALSE)*Optimalisatie!J69),Baseline_Backlog!Q172),0))</f>
        <v>0</v>
      </c>
      <c r="R172" s="91">
        <f>(IF(Optimalisatie!C69="Bestaande Situatie",_xlfn.IFNA(IF(Optimalisatie!E69="Categorie_1_LCA_Producten",VLOOKUP(Inschrijf_CO2_Totaal[[#This Row],[Product]],Categorie_1_Producten[#All],21,FALSE)*(Optimalisatie!J69),VLOOKUP(Inschrijf_CO2_Totaal[[#This Row],[Product]]&amp;", "&amp;Inschrijf_CO2_Totaal[[#Headers],[D]],Database_Productkaarten[#All],18,FALSE)*Optimalisatie!J69),Baseline_Backlog!S172),0))</f>
        <v>0</v>
      </c>
      <c r="S172" s="91">
        <f>SUM(Inschrijf_CO2_Totaal[[#This Row],[A1-A3]:[C4]])+Inschrijf_CO2_Totaal[[#This Row],[D]]</f>
        <v>0</v>
      </c>
    </row>
    <row r="173" spans="2:19">
      <c r="B173" s="208">
        <f>Optimalisatie!B70</f>
        <v>0</v>
      </c>
      <c r="C173" s="1">
        <f>Optimalisatie!F70</f>
        <v>0</v>
      </c>
      <c r="D173" s="91">
        <f>(IF(Optimalisatie!C70="Nieuwe Situatie",_xlfn.IFNA(IF(Optimalisatie!E70="Categorie_1_LCA_Producten",VLOOKUP(Inschrijf_CO2_Totaal[[#This Row],[Product]],Categorie_1_Producten[#All],14,FALSE)*(Optimalisatie!J70),VLOOKUP(Inschrijf_CO2_Totaal[[#This Row],[Product]]&amp;", "&amp;Inschrijf_CO2_Totaal[[#Headers],[A1]],Database_Productkaarten[#All],18,FALSE)*Optimalisatie!J70),Baseline_Backlog!D173),0))</f>
        <v>0</v>
      </c>
      <c r="E173" s="91">
        <f>(IF(Optimalisatie!C70="Nieuwe Situatie",_xlfn.IFNA(IF(Optimalisatie!E70="Categorie_1_LCA_Producten",VLOOKUP(Inschrijf_CO2_Totaal[[#This Row],[Product]],Categorie_1_Producten[#All],15,FALSE)*(Optimalisatie!J70),VLOOKUP(Inschrijf_CO2_Totaal[[#This Row],[Product]]&amp;", "&amp;Inschrijf_CO2_Totaal[[#Headers],[A2]],Database_Productkaarten[#All],18,FALSE)*Optimalisatie!J70),Baseline_Backlog!E173),0))</f>
        <v>0</v>
      </c>
      <c r="F173" s="91">
        <f>(IF(Optimalisatie!C70="Nieuwe Situatie",_xlfn.IFNA(IF(Optimalisatie!E70="Categorie_1_LCA_Producten",VLOOKUP(Inschrijf_CO2_Totaal[[#This Row],[Product]],Categorie_1_Producten[#All],16,FALSE)*(Optimalisatie!J70),VLOOKUP(Inschrijf_CO2_Totaal[[#This Row],[Product]]&amp;", "&amp;Inschrijf_CO2_Totaal[[#Headers],[A3]],Database_Productkaarten[#All],18,FALSE)*Optimalisatie!J70),Baseline_Backlog!F173),0))</f>
        <v>0</v>
      </c>
      <c r="G173" s="91">
        <f>(IF(Optimalisatie!C70="Nieuwe Situatie",_xlfn.IFNA(IF(Optimalisatie!E70="Categorie_1_LCA_Producten",VLOOKUP(Inschrijf_CO2_Totaal[[#This Row],[Product]],Categorie_1_Producten[#All],19,FALSE)*(Optimalisatie!J70),VLOOKUP(Inschrijf_CO2_Totaal[[#This Row],[Product]]&amp;", "&amp;Inschrijf_CO2_Totaal[[#Headers],[A1-A3]],Database_Productkaarten[#All],18,FALSE)*Optimalisatie!J70),Baseline_Backlog!G173),0))</f>
        <v>0</v>
      </c>
      <c r="H173" s="91">
        <f>(IF(Optimalisatie!C70="Nieuwe Situatie",_xlfn.IFNA(VLOOKUP(Optimalisatie!V70,Database_Transport[#All],12,FALSE)*(Optimalisatie!R70*Optimalisatie!U70),Baseline_Backlog!H173),0))</f>
        <v>0</v>
      </c>
      <c r="I173" s="91">
        <f>IF(Optimalisatie!C70="Nieuwe situatie",IF(_xlfn.IFNA((VLOOKUP(Optimalisatie!W70,Database_Asfalt_Aanlegset[#All],12,FALSE)*Optimalisatie!J70),0)+_xlfn.IFNA(VLOOKUP(Optimalisatie!X70,Database_Brandstoffen[#All],12,FALSE)*((Optimalisatie!J70/Optimalisatie!Z70)*Optimalisatie!Y70),0)&gt;0,_xlfn.IFNA((VLOOKUP(Optimalisatie!W70,Database_Asfalt_Aanlegset[#All],12,FALSE)*Optimalisatie!J70),0)+_xlfn.IFNA(VLOOKUP(Optimalisatie!X70,Database_Brandstoffen[#All],12,FALSE)*((Optimalisatie!J70/Optimalisatie!Z70)*Optimalisatie!Y70),0),(_xlfn.IFNA(VLOOKUP(Inschrijf_CO2_Totaal[[#This Row],[Product]]&amp;", "&amp;Inschrijf_MKI_Totaal[[#Headers],[A5]],Database_Productkaarten[#All],18,FALSE),0)*Optimalisatie!J70)),0)</f>
        <v>0</v>
      </c>
      <c r="J173" s="91">
        <f>(IF(Optimalisatie!C70="Nieuwe Situatie",_xlfn.IFNA(IF(Optimalisatie!E70="Categorie_1_LCA_Producten",VLOOKUP(Inschrijf_CO2_Totaal[[#This Row],[Product]],Categorie_1_Producten[#All],20,FALSE)*(Optimalisatie!R70),VLOOKUP(Inschrijf_CO2_Totaal[[#This Row],[Product]]&amp;", "&amp;Inschrijf_CO2_Totaal[[#Headers],[B1]],Database_Productkaarten[#All],18,FALSE)*Optimalisatie!J70),Baseline_Backlog!J173),0))</f>
        <v>0</v>
      </c>
      <c r="K173" s="91">
        <f>(IF(Optimalisatie!C70="Nieuwe Situatie",_xlfn.IFNA(SUM(Inschrijf_CO2_Totaal[[#This Row],[A1]:[B1]],Inschrijf_CO2_Totaal[[#This Row],[C1]:[D2]])*Optimalisatie!T70,0),0))</f>
        <v>0</v>
      </c>
      <c r="L173" s="91">
        <f>IF(Optimalisatie!C70="Bestaande situatie",IF(_xlfn.IFNA((VLOOKUP(Optimalisatie!AA70,Database_Asfalt_Verwijderset[#All],12,FALSE)*Optimalisatie!J70),0)+_xlfn.IFNA(VLOOKUP(Optimalisatie!AB70,Database_Brandstoffen[#All],12,FALSE)*((Optimalisatie!J70/Optimalisatie!AD70)*Optimalisatie!AC70),0)&gt;0,_xlfn.IFNA((VLOOKUP(Optimalisatie!AA70,Database_Asfalt_Verwijderset[#All],12,FALSE)*Optimalisatie!J70),0)+_xlfn.IFNA(VLOOKUP(Optimalisatie!AB70,Database_Brandstoffen[#All],12,FALSE)*((Optimalisatie!J70/Optimalisatie!AD70)*Optimalisatie!AC70),0),(_xlfn.IFNA(VLOOKUP(Inschrijf_CO2_Totaal[[#This Row],[Product]]&amp;", "&amp;Inschrijf_MKI_Totaal[[#Headers],[C1]],Database_Productkaarten[#All],18,FALSE),0)*Optimalisatie!J70)),0)</f>
        <v>0</v>
      </c>
      <c r="M173" s="91">
        <f>(IF(Optimalisatie!C70="Bestaande Situatie",_xlfn.IFNA(VLOOKUP(Optimalisatie!AF70,Database_Transport[#All],12,FALSE)*(Optimalisatie!R70*Optimalisatie!AE70),Baseline_Backlog!M173),0))</f>
        <v>0</v>
      </c>
      <c r="N173" s="91">
        <f>(IF(Optimalisatie!C70="Bestaande Situatie",_xlfn.IFNA(VLOOKUP(Optimalisatie!AG70,Database_Asfalt_Verwerkingsset[#All],12,FALSE)*(Optimalisatie!J70/VLOOKUP(Optimalisatie!AG70,Database_Asfalt_Verwerkingsset[#All],12,FALSE)),Baseline_Backlog!N173),0))</f>
        <v>0</v>
      </c>
      <c r="O173" s="91">
        <f>(IF(Optimalisatie!C70="Bestaande Situatie",_xlfn.IFNA(VLOOKUP(Inschrijf_CO2_Totaal[[#This Row],[Product]]&amp;", "&amp;Inschrijf_CO2_Totaal[[#Headers],[C4]],Database_Productkaarten[#All],18,FALSE)*Optimalisatie!J70,Baseline_Backlog!O173),0))</f>
        <v>0</v>
      </c>
      <c r="P173" s="91">
        <f>(IF(Optimalisatie!C70="Bestaande Situatie",_xlfn.IFNA(IF(Optimalisatie!E70="Categorie_1_LCA_Producten",VLOOKUP(Inschrijf_CO2_Totaal[[#This Row],[Product]],Categorie_1_Producten[#All],18,FALSE)*(Optimalisatie!J70),VLOOKUP(Inschrijf_CO2_Totaal[[#This Row],[Product]]&amp;", "&amp;Inschrijf_CO2_Totaal[[#Headers],[D1]],Database_Productkaarten[#All],18,FALSE)*Optimalisatie!J70),Baseline_Backlog!P173),0))</f>
        <v>0</v>
      </c>
      <c r="Q173" s="91">
        <f>(IF(Optimalisatie!C70="Bestaande Situatie",_xlfn.IFNA(IF(Optimalisatie!E70="Categorie_1_LCA_Producten",VLOOKUP(Inschrijf_CO2_Totaal[[#This Row],[Product]],Categorie_1_Producten[#All],19,FALSE)*(Optimalisatie!J70),VLOOKUP(Inschrijf_CO2_Totaal[[#This Row],[Product]]&amp;", "&amp;Inschrijf_CO2_Totaal[[#Headers],[D2]],Database_Productkaarten[#All],18,FALSE)*Optimalisatie!J70),Baseline_Backlog!Q173),0))</f>
        <v>0</v>
      </c>
      <c r="R173" s="91">
        <f>(IF(Optimalisatie!C70="Bestaande Situatie",_xlfn.IFNA(IF(Optimalisatie!E70="Categorie_1_LCA_Producten",VLOOKUP(Inschrijf_CO2_Totaal[[#This Row],[Product]],Categorie_1_Producten[#All],21,FALSE)*(Optimalisatie!J70),VLOOKUP(Inschrijf_CO2_Totaal[[#This Row],[Product]]&amp;", "&amp;Inschrijf_CO2_Totaal[[#Headers],[D]],Database_Productkaarten[#All],18,FALSE)*Optimalisatie!J70),Baseline_Backlog!S173),0))</f>
        <v>0</v>
      </c>
      <c r="S173" s="91">
        <f>SUM(Inschrijf_CO2_Totaal[[#This Row],[A1-A3]:[C4]])+Inschrijf_CO2_Totaal[[#This Row],[D]]</f>
        <v>0</v>
      </c>
    </row>
    <row r="174" spans="2:19">
      <c r="B174" s="208">
        <f>Optimalisatie!B71</f>
        <v>0</v>
      </c>
      <c r="C174" s="1">
        <f>Optimalisatie!F71</f>
        <v>0</v>
      </c>
      <c r="D174" s="91">
        <f>(IF(Optimalisatie!C71="Nieuwe Situatie",_xlfn.IFNA(IF(Optimalisatie!E71="Categorie_1_LCA_Producten",VLOOKUP(Inschrijf_CO2_Totaal[[#This Row],[Product]],Categorie_1_Producten[#All],14,FALSE)*(Optimalisatie!J71),VLOOKUP(Inschrijf_CO2_Totaal[[#This Row],[Product]]&amp;", "&amp;Inschrijf_CO2_Totaal[[#Headers],[A1]],Database_Productkaarten[#All],18,FALSE)*Optimalisatie!J71),Baseline_Backlog!D174),0))</f>
        <v>0</v>
      </c>
      <c r="E174" s="91">
        <f>(IF(Optimalisatie!C71="Nieuwe Situatie",_xlfn.IFNA(IF(Optimalisatie!E71="Categorie_1_LCA_Producten",VLOOKUP(Inschrijf_CO2_Totaal[[#This Row],[Product]],Categorie_1_Producten[#All],15,FALSE)*(Optimalisatie!J71),VLOOKUP(Inschrijf_CO2_Totaal[[#This Row],[Product]]&amp;", "&amp;Inschrijf_CO2_Totaal[[#Headers],[A2]],Database_Productkaarten[#All],18,FALSE)*Optimalisatie!J71),Baseline_Backlog!E174),0))</f>
        <v>0</v>
      </c>
      <c r="F174" s="91">
        <f>(IF(Optimalisatie!C71="Nieuwe Situatie",_xlfn.IFNA(IF(Optimalisatie!E71="Categorie_1_LCA_Producten",VLOOKUP(Inschrijf_CO2_Totaal[[#This Row],[Product]],Categorie_1_Producten[#All],16,FALSE)*(Optimalisatie!J71),VLOOKUP(Inschrijf_CO2_Totaal[[#This Row],[Product]]&amp;", "&amp;Inschrijf_CO2_Totaal[[#Headers],[A3]],Database_Productkaarten[#All],18,FALSE)*Optimalisatie!J71),Baseline_Backlog!F174),0))</f>
        <v>0</v>
      </c>
      <c r="G174" s="91">
        <f>(IF(Optimalisatie!C71="Nieuwe Situatie",_xlfn.IFNA(IF(Optimalisatie!E71="Categorie_1_LCA_Producten",VLOOKUP(Inschrijf_CO2_Totaal[[#This Row],[Product]],Categorie_1_Producten[#All],19,FALSE)*(Optimalisatie!J71),VLOOKUP(Inschrijf_CO2_Totaal[[#This Row],[Product]]&amp;", "&amp;Inschrijf_CO2_Totaal[[#Headers],[A1-A3]],Database_Productkaarten[#All],18,FALSE)*Optimalisatie!J71),Baseline_Backlog!G174),0))</f>
        <v>0</v>
      </c>
      <c r="H174" s="91">
        <f>(IF(Optimalisatie!C71="Nieuwe Situatie",_xlfn.IFNA(VLOOKUP(Optimalisatie!V71,Database_Transport[#All],12,FALSE)*(Optimalisatie!R71*Optimalisatie!U71),Baseline_Backlog!H174),0))</f>
        <v>0</v>
      </c>
      <c r="I174" s="91">
        <f>IF(Optimalisatie!C71="Nieuwe situatie",IF(_xlfn.IFNA((VLOOKUP(Optimalisatie!W71,Database_Asfalt_Aanlegset[#All],12,FALSE)*Optimalisatie!J71),0)+_xlfn.IFNA(VLOOKUP(Optimalisatie!X71,Database_Brandstoffen[#All],12,FALSE)*((Optimalisatie!J71/Optimalisatie!Z71)*Optimalisatie!Y71),0)&gt;0,_xlfn.IFNA((VLOOKUP(Optimalisatie!W71,Database_Asfalt_Aanlegset[#All],12,FALSE)*Optimalisatie!J71),0)+_xlfn.IFNA(VLOOKUP(Optimalisatie!X71,Database_Brandstoffen[#All],12,FALSE)*((Optimalisatie!J71/Optimalisatie!Z71)*Optimalisatie!Y71),0),(_xlfn.IFNA(VLOOKUP(Inschrijf_CO2_Totaal[[#This Row],[Product]]&amp;", "&amp;Inschrijf_MKI_Totaal[[#Headers],[A5]],Database_Productkaarten[#All],18,FALSE),0)*Optimalisatie!J71)),0)</f>
        <v>0</v>
      </c>
      <c r="J174" s="91">
        <f>(IF(Optimalisatie!C71="Nieuwe Situatie",_xlfn.IFNA(IF(Optimalisatie!E71="Categorie_1_LCA_Producten",VLOOKUP(Inschrijf_CO2_Totaal[[#This Row],[Product]],Categorie_1_Producten[#All],20,FALSE)*(Optimalisatie!R71),VLOOKUP(Inschrijf_CO2_Totaal[[#This Row],[Product]]&amp;", "&amp;Inschrijf_CO2_Totaal[[#Headers],[B1]],Database_Productkaarten[#All],18,FALSE)*Optimalisatie!J71),Baseline_Backlog!J174),0))</f>
        <v>0</v>
      </c>
      <c r="K174" s="91">
        <f>(IF(Optimalisatie!C71="Nieuwe Situatie",_xlfn.IFNA(SUM(Inschrijf_CO2_Totaal[[#This Row],[A1]:[B1]],Inschrijf_CO2_Totaal[[#This Row],[C1]:[D2]])*Optimalisatie!T71,0),0))</f>
        <v>0</v>
      </c>
      <c r="L174" s="91">
        <f>IF(Optimalisatie!C71="Bestaande situatie",IF(_xlfn.IFNA((VLOOKUP(Optimalisatie!AA71,Database_Asfalt_Verwijderset[#All],12,FALSE)*Optimalisatie!J71),0)+_xlfn.IFNA(VLOOKUP(Optimalisatie!AB71,Database_Brandstoffen[#All],12,FALSE)*((Optimalisatie!J71/Optimalisatie!AD71)*Optimalisatie!AC71),0)&gt;0,_xlfn.IFNA((VLOOKUP(Optimalisatie!AA71,Database_Asfalt_Verwijderset[#All],12,FALSE)*Optimalisatie!J71),0)+_xlfn.IFNA(VLOOKUP(Optimalisatie!AB71,Database_Brandstoffen[#All],12,FALSE)*((Optimalisatie!J71/Optimalisatie!AD71)*Optimalisatie!AC71),0),(_xlfn.IFNA(VLOOKUP(Inschrijf_CO2_Totaal[[#This Row],[Product]]&amp;", "&amp;Inschrijf_MKI_Totaal[[#Headers],[C1]],Database_Productkaarten[#All],18,FALSE),0)*Optimalisatie!J71)),0)</f>
        <v>0</v>
      </c>
      <c r="M174" s="91">
        <f>(IF(Optimalisatie!C71="Bestaande Situatie",_xlfn.IFNA(VLOOKUP(Optimalisatie!AF71,Database_Transport[#All],12,FALSE)*(Optimalisatie!R71*Optimalisatie!AE71),Baseline_Backlog!M174),0))</f>
        <v>0</v>
      </c>
      <c r="N174" s="91">
        <f>(IF(Optimalisatie!C71="Bestaande Situatie",_xlfn.IFNA(VLOOKUP(Optimalisatie!AG71,Database_Asfalt_Verwerkingsset[#All],12,FALSE)*(Optimalisatie!J71/VLOOKUP(Optimalisatie!AG71,Database_Asfalt_Verwerkingsset[#All],12,FALSE)),Baseline_Backlog!N174),0))</f>
        <v>0</v>
      </c>
      <c r="O174" s="91">
        <f>(IF(Optimalisatie!C71="Bestaande Situatie",_xlfn.IFNA(VLOOKUP(Inschrijf_CO2_Totaal[[#This Row],[Product]]&amp;", "&amp;Inschrijf_CO2_Totaal[[#Headers],[C4]],Database_Productkaarten[#All],18,FALSE)*Optimalisatie!J71,Baseline_Backlog!O174),0))</f>
        <v>0</v>
      </c>
      <c r="P174" s="91">
        <f>(IF(Optimalisatie!C71="Bestaande Situatie",_xlfn.IFNA(IF(Optimalisatie!E71="Categorie_1_LCA_Producten",VLOOKUP(Inschrijf_CO2_Totaal[[#This Row],[Product]],Categorie_1_Producten[#All],18,FALSE)*(Optimalisatie!J71),VLOOKUP(Inschrijf_CO2_Totaal[[#This Row],[Product]]&amp;", "&amp;Inschrijf_CO2_Totaal[[#Headers],[D1]],Database_Productkaarten[#All],18,FALSE)*Optimalisatie!J71),Baseline_Backlog!P174),0))</f>
        <v>0</v>
      </c>
      <c r="Q174" s="91">
        <f>(IF(Optimalisatie!C71="Bestaande Situatie",_xlfn.IFNA(IF(Optimalisatie!E71="Categorie_1_LCA_Producten",VLOOKUP(Inschrijf_CO2_Totaal[[#This Row],[Product]],Categorie_1_Producten[#All],19,FALSE)*(Optimalisatie!J71),VLOOKUP(Inschrijf_CO2_Totaal[[#This Row],[Product]]&amp;", "&amp;Inschrijf_CO2_Totaal[[#Headers],[D2]],Database_Productkaarten[#All],18,FALSE)*Optimalisatie!J71),Baseline_Backlog!Q174),0))</f>
        <v>0</v>
      </c>
      <c r="R174" s="91">
        <f>(IF(Optimalisatie!C71="Bestaande Situatie",_xlfn.IFNA(IF(Optimalisatie!E71="Categorie_1_LCA_Producten",VLOOKUP(Inschrijf_CO2_Totaal[[#This Row],[Product]],Categorie_1_Producten[#All],21,FALSE)*(Optimalisatie!J71),VLOOKUP(Inschrijf_CO2_Totaal[[#This Row],[Product]]&amp;", "&amp;Inschrijf_CO2_Totaal[[#Headers],[D]],Database_Productkaarten[#All],18,FALSE)*Optimalisatie!J71),Baseline_Backlog!S174),0))</f>
        <v>0</v>
      </c>
      <c r="S174" s="91">
        <f>SUM(Inschrijf_CO2_Totaal[[#This Row],[A1-A3]:[C4]])+Inschrijf_CO2_Totaal[[#This Row],[D]]</f>
        <v>0</v>
      </c>
    </row>
    <row r="175" spans="2:19">
      <c r="B175" s="208">
        <f>Optimalisatie!B72</f>
        <v>0</v>
      </c>
      <c r="C175" s="1">
        <f>Optimalisatie!F72</f>
        <v>0</v>
      </c>
      <c r="D175" s="91">
        <f>(IF(Optimalisatie!C72="Nieuwe Situatie",_xlfn.IFNA(IF(Optimalisatie!E72="Categorie_1_LCA_Producten",VLOOKUP(Inschrijf_CO2_Totaal[[#This Row],[Product]],Categorie_1_Producten[#All],14,FALSE)*(Optimalisatie!J72),VLOOKUP(Inschrijf_CO2_Totaal[[#This Row],[Product]]&amp;", "&amp;Inschrijf_CO2_Totaal[[#Headers],[A1]],Database_Productkaarten[#All],18,FALSE)*Optimalisatie!J72),Baseline_Backlog!D175),0))</f>
        <v>0</v>
      </c>
      <c r="E175" s="91">
        <f>(IF(Optimalisatie!C72="Nieuwe Situatie",_xlfn.IFNA(IF(Optimalisatie!E72="Categorie_1_LCA_Producten",VLOOKUP(Inschrijf_CO2_Totaal[[#This Row],[Product]],Categorie_1_Producten[#All],15,FALSE)*(Optimalisatie!J72),VLOOKUP(Inschrijf_CO2_Totaal[[#This Row],[Product]]&amp;", "&amp;Inschrijf_CO2_Totaal[[#Headers],[A2]],Database_Productkaarten[#All],18,FALSE)*Optimalisatie!J72),Baseline_Backlog!E175),0))</f>
        <v>0</v>
      </c>
      <c r="F175" s="91">
        <f>(IF(Optimalisatie!C72="Nieuwe Situatie",_xlfn.IFNA(IF(Optimalisatie!E72="Categorie_1_LCA_Producten",VLOOKUP(Inschrijf_CO2_Totaal[[#This Row],[Product]],Categorie_1_Producten[#All],16,FALSE)*(Optimalisatie!J72),VLOOKUP(Inschrijf_CO2_Totaal[[#This Row],[Product]]&amp;", "&amp;Inschrijf_CO2_Totaal[[#Headers],[A3]],Database_Productkaarten[#All],18,FALSE)*Optimalisatie!J72),Baseline_Backlog!F175),0))</f>
        <v>0</v>
      </c>
      <c r="G175" s="91">
        <f>(IF(Optimalisatie!C72="Nieuwe Situatie",_xlfn.IFNA(IF(Optimalisatie!E72="Categorie_1_LCA_Producten",VLOOKUP(Inschrijf_CO2_Totaal[[#This Row],[Product]],Categorie_1_Producten[#All],19,FALSE)*(Optimalisatie!J72),VLOOKUP(Inschrijf_CO2_Totaal[[#This Row],[Product]]&amp;", "&amp;Inschrijf_CO2_Totaal[[#Headers],[A1-A3]],Database_Productkaarten[#All],18,FALSE)*Optimalisatie!J72),Baseline_Backlog!G175),0))</f>
        <v>0</v>
      </c>
      <c r="H175" s="91">
        <f>(IF(Optimalisatie!C72="Nieuwe Situatie",_xlfn.IFNA(VLOOKUP(Optimalisatie!V72,Database_Transport[#All],12,FALSE)*(Optimalisatie!R72*Optimalisatie!U72),Baseline_Backlog!H175),0))</f>
        <v>0</v>
      </c>
      <c r="I175" s="91">
        <f>IF(Optimalisatie!C72="Nieuwe situatie",IF(_xlfn.IFNA((VLOOKUP(Optimalisatie!W72,Database_Asfalt_Aanlegset[#All],12,FALSE)*Optimalisatie!J72),0)+_xlfn.IFNA(VLOOKUP(Optimalisatie!X72,Database_Brandstoffen[#All],12,FALSE)*((Optimalisatie!J72/Optimalisatie!Z72)*Optimalisatie!Y72),0)&gt;0,_xlfn.IFNA((VLOOKUP(Optimalisatie!W72,Database_Asfalt_Aanlegset[#All],12,FALSE)*Optimalisatie!J72),0)+_xlfn.IFNA(VLOOKUP(Optimalisatie!X72,Database_Brandstoffen[#All],12,FALSE)*((Optimalisatie!J72/Optimalisatie!Z72)*Optimalisatie!Y72),0),(_xlfn.IFNA(VLOOKUP(Inschrijf_CO2_Totaal[[#This Row],[Product]]&amp;", "&amp;Inschrijf_MKI_Totaal[[#Headers],[A5]],Database_Productkaarten[#All],18,FALSE),0)*Optimalisatie!J72)),0)</f>
        <v>0</v>
      </c>
      <c r="J175" s="91">
        <f>(IF(Optimalisatie!C72="Nieuwe Situatie",_xlfn.IFNA(IF(Optimalisatie!E72="Categorie_1_LCA_Producten",VLOOKUP(Inschrijf_CO2_Totaal[[#This Row],[Product]],Categorie_1_Producten[#All],20,FALSE)*(Optimalisatie!R72),VLOOKUP(Inschrijf_CO2_Totaal[[#This Row],[Product]]&amp;", "&amp;Inschrijf_CO2_Totaal[[#Headers],[B1]],Database_Productkaarten[#All],18,FALSE)*Optimalisatie!J72),Baseline_Backlog!J175),0))</f>
        <v>0</v>
      </c>
      <c r="K175" s="91">
        <f>(IF(Optimalisatie!C72="Nieuwe Situatie",_xlfn.IFNA(SUM(Inschrijf_CO2_Totaal[[#This Row],[A1]:[B1]],Inschrijf_CO2_Totaal[[#This Row],[C1]:[D2]])*Optimalisatie!T72,0),0))</f>
        <v>0</v>
      </c>
      <c r="L175" s="91">
        <f>IF(Optimalisatie!C72="Bestaande situatie",IF(_xlfn.IFNA((VLOOKUP(Optimalisatie!AA72,Database_Asfalt_Verwijderset[#All],12,FALSE)*Optimalisatie!J72),0)+_xlfn.IFNA(VLOOKUP(Optimalisatie!AB72,Database_Brandstoffen[#All],12,FALSE)*((Optimalisatie!J72/Optimalisatie!AD72)*Optimalisatie!AC72),0)&gt;0,_xlfn.IFNA((VLOOKUP(Optimalisatie!AA72,Database_Asfalt_Verwijderset[#All],12,FALSE)*Optimalisatie!J72),0)+_xlfn.IFNA(VLOOKUP(Optimalisatie!AB72,Database_Brandstoffen[#All],12,FALSE)*((Optimalisatie!J72/Optimalisatie!AD72)*Optimalisatie!AC72),0),(_xlfn.IFNA(VLOOKUP(Inschrijf_CO2_Totaal[[#This Row],[Product]]&amp;", "&amp;Inschrijf_MKI_Totaal[[#Headers],[C1]],Database_Productkaarten[#All],18,FALSE),0)*Optimalisatie!J72)),0)</f>
        <v>0</v>
      </c>
      <c r="M175" s="91">
        <f>(IF(Optimalisatie!C72="Bestaande Situatie",_xlfn.IFNA(VLOOKUP(Optimalisatie!AF72,Database_Transport[#All],12,FALSE)*(Optimalisatie!R72*Optimalisatie!AE72),Baseline_Backlog!M175),0))</f>
        <v>0</v>
      </c>
      <c r="N175" s="91">
        <f>(IF(Optimalisatie!C72="Bestaande Situatie",_xlfn.IFNA(VLOOKUP(Optimalisatie!AG72,Database_Asfalt_Verwerkingsset[#All],12,FALSE)*(Optimalisatie!J72/VLOOKUP(Optimalisatie!AG72,Database_Asfalt_Verwerkingsset[#All],12,FALSE)),Baseline_Backlog!N175),0))</f>
        <v>0</v>
      </c>
      <c r="O175" s="91">
        <f>(IF(Optimalisatie!C72="Bestaande Situatie",_xlfn.IFNA(VLOOKUP(Inschrijf_CO2_Totaal[[#This Row],[Product]]&amp;", "&amp;Inschrijf_CO2_Totaal[[#Headers],[C4]],Database_Productkaarten[#All],18,FALSE)*Optimalisatie!J72,Baseline_Backlog!O175),0))</f>
        <v>0</v>
      </c>
      <c r="P175" s="91">
        <f>(IF(Optimalisatie!C72="Bestaande Situatie",_xlfn.IFNA(IF(Optimalisatie!E72="Categorie_1_LCA_Producten",VLOOKUP(Inschrijf_CO2_Totaal[[#This Row],[Product]],Categorie_1_Producten[#All],18,FALSE)*(Optimalisatie!J72),VLOOKUP(Inschrijf_CO2_Totaal[[#This Row],[Product]]&amp;", "&amp;Inschrijf_CO2_Totaal[[#Headers],[D1]],Database_Productkaarten[#All],18,FALSE)*Optimalisatie!J72),Baseline_Backlog!P175),0))</f>
        <v>0</v>
      </c>
      <c r="Q175" s="91">
        <f>(IF(Optimalisatie!C72="Bestaande Situatie",_xlfn.IFNA(IF(Optimalisatie!E72="Categorie_1_LCA_Producten",VLOOKUP(Inschrijf_CO2_Totaal[[#This Row],[Product]],Categorie_1_Producten[#All],19,FALSE)*(Optimalisatie!J72),VLOOKUP(Inschrijf_CO2_Totaal[[#This Row],[Product]]&amp;", "&amp;Inschrijf_CO2_Totaal[[#Headers],[D2]],Database_Productkaarten[#All],18,FALSE)*Optimalisatie!J72),Baseline_Backlog!Q175),0))</f>
        <v>0</v>
      </c>
      <c r="R175" s="91">
        <f>(IF(Optimalisatie!C72="Bestaande Situatie",_xlfn.IFNA(IF(Optimalisatie!E72="Categorie_1_LCA_Producten",VLOOKUP(Inschrijf_CO2_Totaal[[#This Row],[Product]],Categorie_1_Producten[#All],21,FALSE)*(Optimalisatie!J72),VLOOKUP(Inschrijf_CO2_Totaal[[#This Row],[Product]]&amp;", "&amp;Inschrijf_CO2_Totaal[[#Headers],[D]],Database_Productkaarten[#All],18,FALSE)*Optimalisatie!J72),Baseline_Backlog!S175),0))</f>
        <v>0</v>
      </c>
      <c r="S175" s="91">
        <f>SUM(Inschrijf_CO2_Totaal[[#This Row],[A1-A3]:[C4]])+Inschrijf_CO2_Totaal[[#This Row],[D]]</f>
        <v>0</v>
      </c>
    </row>
    <row r="176" spans="2:19">
      <c r="B176" s="208">
        <f>Optimalisatie!B73</f>
        <v>0</v>
      </c>
      <c r="C176" s="1">
        <f>Optimalisatie!F73</f>
        <v>0</v>
      </c>
      <c r="D176" s="91">
        <f>(IF(Optimalisatie!C73="Nieuwe Situatie",_xlfn.IFNA(IF(Optimalisatie!E73="Categorie_1_LCA_Producten",VLOOKUP(Inschrijf_CO2_Totaal[[#This Row],[Product]],Categorie_1_Producten[#All],14,FALSE)*(Optimalisatie!J73),VLOOKUP(Inschrijf_CO2_Totaal[[#This Row],[Product]]&amp;", "&amp;Inschrijf_CO2_Totaal[[#Headers],[A1]],Database_Productkaarten[#All],18,FALSE)*Optimalisatie!J73),Baseline_Backlog!D176),0))</f>
        <v>0</v>
      </c>
      <c r="E176" s="91">
        <f>(IF(Optimalisatie!C73="Nieuwe Situatie",_xlfn.IFNA(IF(Optimalisatie!E73="Categorie_1_LCA_Producten",VLOOKUP(Inschrijf_CO2_Totaal[[#This Row],[Product]],Categorie_1_Producten[#All],15,FALSE)*(Optimalisatie!J73),VLOOKUP(Inschrijf_CO2_Totaal[[#This Row],[Product]]&amp;", "&amp;Inschrijf_CO2_Totaal[[#Headers],[A2]],Database_Productkaarten[#All],18,FALSE)*Optimalisatie!J73),Baseline_Backlog!E176),0))</f>
        <v>0</v>
      </c>
      <c r="F176" s="91">
        <f>(IF(Optimalisatie!C73="Nieuwe Situatie",_xlfn.IFNA(IF(Optimalisatie!E73="Categorie_1_LCA_Producten",VLOOKUP(Inschrijf_CO2_Totaal[[#This Row],[Product]],Categorie_1_Producten[#All],16,FALSE)*(Optimalisatie!J73),VLOOKUP(Inschrijf_CO2_Totaal[[#This Row],[Product]]&amp;", "&amp;Inschrijf_CO2_Totaal[[#Headers],[A3]],Database_Productkaarten[#All],18,FALSE)*Optimalisatie!J73),Baseline_Backlog!F176),0))</f>
        <v>0</v>
      </c>
      <c r="G176" s="91">
        <f>(IF(Optimalisatie!C73="Nieuwe Situatie",_xlfn.IFNA(IF(Optimalisatie!E73="Categorie_1_LCA_Producten",VLOOKUP(Inschrijf_CO2_Totaal[[#This Row],[Product]],Categorie_1_Producten[#All],19,FALSE)*(Optimalisatie!J73),VLOOKUP(Inschrijf_CO2_Totaal[[#This Row],[Product]]&amp;", "&amp;Inschrijf_CO2_Totaal[[#Headers],[A1-A3]],Database_Productkaarten[#All],18,FALSE)*Optimalisatie!J73),Baseline_Backlog!G176),0))</f>
        <v>0</v>
      </c>
      <c r="H176" s="91">
        <f>(IF(Optimalisatie!C73="Nieuwe Situatie",_xlfn.IFNA(VLOOKUP(Optimalisatie!V73,Database_Transport[#All],12,FALSE)*(Optimalisatie!R73*Optimalisatie!U73),Baseline_Backlog!H176),0))</f>
        <v>0</v>
      </c>
      <c r="I176" s="91">
        <f>IF(Optimalisatie!C73="Nieuwe situatie",IF(_xlfn.IFNA((VLOOKUP(Optimalisatie!W73,Database_Asfalt_Aanlegset[#All],12,FALSE)*Optimalisatie!J73),0)+_xlfn.IFNA(VLOOKUP(Optimalisatie!X73,Database_Brandstoffen[#All],12,FALSE)*((Optimalisatie!J73/Optimalisatie!Z73)*Optimalisatie!Y73),0)&gt;0,_xlfn.IFNA((VLOOKUP(Optimalisatie!W73,Database_Asfalt_Aanlegset[#All],12,FALSE)*Optimalisatie!J73),0)+_xlfn.IFNA(VLOOKUP(Optimalisatie!X73,Database_Brandstoffen[#All],12,FALSE)*((Optimalisatie!J73/Optimalisatie!Z73)*Optimalisatie!Y73),0),(_xlfn.IFNA(VLOOKUP(Inschrijf_CO2_Totaal[[#This Row],[Product]]&amp;", "&amp;Inschrijf_MKI_Totaal[[#Headers],[A5]],Database_Productkaarten[#All],18,FALSE),0)*Optimalisatie!J73)),0)</f>
        <v>0</v>
      </c>
      <c r="J176" s="91">
        <f>(IF(Optimalisatie!C73="Nieuwe Situatie",_xlfn.IFNA(IF(Optimalisatie!E73="Categorie_1_LCA_Producten",VLOOKUP(Inschrijf_CO2_Totaal[[#This Row],[Product]],Categorie_1_Producten[#All],20,FALSE)*(Optimalisatie!R73),VLOOKUP(Inschrijf_CO2_Totaal[[#This Row],[Product]]&amp;", "&amp;Inschrijf_CO2_Totaal[[#Headers],[B1]],Database_Productkaarten[#All],18,FALSE)*Optimalisatie!J73),Baseline_Backlog!J176),0))</f>
        <v>0</v>
      </c>
      <c r="K176" s="91">
        <f>(IF(Optimalisatie!C73="Nieuwe Situatie",_xlfn.IFNA(SUM(Inschrijf_CO2_Totaal[[#This Row],[A1]:[B1]],Inschrijf_CO2_Totaal[[#This Row],[C1]:[D2]])*Optimalisatie!T73,0),0))</f>
        <v>0</v>
      </c>
      <c r="L176" s="91">
        <f>IF(Optimalisatie!C73="Bestaande situatie",IF(_xlfn.IFNA((VLOOKUP(Optimalisatie!AA73,Database_Asfalt_Verwijderset[#All],12,FALSE)*Optimalisatie!J73),0)+_xlfn.IFNA(VLOOKUP(Optimalisatie!AB73,Database_Brandstoffen[#All],12,FALSE)*((Optimalisatie!J73/Optimalisatie!AD73)*Optimalisatie!AC73),0)&gt;0,_xlfn.IFNA((VLOOKUP(Optimalisatie!AA73,Database_Asfalt_Verwijderset[#All],12,FALSE)*Optimalisatie!J73),0)+_xlfn.IFNA(VLOOKUP(Optimalisatie!AB73,Database_Brandstoffen[#All],12,FALSE)*((Optimalisatie!J73/Optimalisatie!AD73)*Optimalisatie!AC73),0),(_xlfn.IFNA(VLOOKUP(Inschrijf_CO2_Totaal[[#This Row],[Product]]&amp;", "&amp;Inschrijf_MKI_Totaal[[#Headers],[C1]],Database_Productkaarten[#All],18,FALSE),0)*Optimalisatie!J73)),0)</f>
        <v>0</v>
      </c>
      <c r="M176" s="91">
        <f>(IF(Optimalisatie!C73="Bestaande Situatie",_xlfn.IFNA(VLOOKUP(Optimalisatie!AF73,Database_Transport[#All],12,FALSE)*(Optimalisatie!R73*Optimalisatie!AE73),Baseline_Backlog!M176),0))</f>
        <v>0</v>
      </c>
      <c r="N176" s="91">
        <f>(IF(Optimalisatie!C73="Bestaande Situatie",_xlfn.IFNA(VLOOKUP(Optimalisatie!AG73,Database_Asfalt_Verwerkingsset[#All],12,FALSE)*(Optimalisatie!J73/VLOOKUP(Optimalisatie!AG73,Database_Asfalt_Verwerkingsset[#All],12,FALSE)),Baseline_Backlog!N176),0))</f>
        <v>0</v>
      </c>
      <c r="O176" s="91">
        <f>(IF(Optimalisatie!C73="Bestaande Situatie",_xlfn.IFNA(VLOOKUP(Inschrijf_CO2_Totaal[[#This Row],[Product]]&amp;", "&amp;Inschrijf_CO2_Totaal[[#Headers],[C4]],Database_Productkaarten[#All],18,FALSE)*Optimalisatie!J73,Baseline_Backlog!O176),0))</f>
        <v>0</v>
      </c>
      <c r="P176" s="91">
        <f>(IF(Optimalisatie!C73="Bestaande Situatie",_xlfn.IFNA(IF(Optimalisatie!E73="Categorie_1_LCA_Producten",VLOOKUP(Inschrijf_CO2_Totaal[[#This Row],[Product]],Categorie_1_Producten[#All],18,FALSE)*(Optimalisatie!J73),VLOOKUP(Inschrijf_CO2_Totaal[[#This Row],[Product]]&amp;", "&amp;Inschrijf_CO2_Totaal[[#Headers],[D1]],Database_Productkaarten[#All],18,FALSE)*Optimalisatie!J73),Baseline_Backlog!P176),0))</f>
        <v>0</v>
      </c>
      <c r="Q176" s="91">
        <f>(IF(Optimalisatie!C73="Bestaande Situatie",_xlfn.IFNA(IF(Optimalisatie!E73="Categorie_1_LCA_Producten",VLOOKUP(Inschrijf_CO2_Totaal[[#This Row],[Product]],Categorie_1_Producten[#All],19,FALSE)*(Optimalisatie!J73),VLOOKUP(Inschrijf_CO2_Totaal[[#This Row],[Product]]&amp;", "&amp;Inschrijf_CO2_Totaal[[#Headers],[D2]],Database_Productkaarten[#All],18,FALSE)*Optimalisatie!J73),Baseline_Backlog!Q176),0))</f>
        <v>0</v>
      </c>
      <c r="R176" s="91">
        <f>(IF(Optimalisatie!C73="Bestaande Situatie",_xlfn.IFNA(IF(Optimalisatie!E73="Categorie_1_LCA_Producten",VLOOKUP(Inschrijf_CO2_Totaal[[#This Row],[Product]],Categorie_1_Producten[#All],21,FALSE)*(Optimalisatie!J73),VLOOKUP(Inschrijf_CO2_Totaal[[#This Row],[Product]]&amp;", "&amp;Inschrijf_CO2_Totaal[[#Headers],[D]],Database_Productkaarten[#All],18,FALSE)*Optimalisatie!J73),Baseline_Backlog!S176),0))</f>
        <v>0</v>
      </c>
      <c r="S176" s="91">
        <f>SUM(Inschrijf_CO2_Totaal[[#This Row],[A1-A3]:[C4]])+Inschrijf_CO2_Totaal[[#This Row],[D]]</f>
        <v>0</v>
      </c>
    </row>
    <row r="177" spans="2:19">
      <c r="B177" s="208">
        <f>Optimalisatie!B74</f>
        <v>0</v>
      </c>
      <c r="C177" s="1">
        <f>Optimalisatie!F74</f>
        <v>0</v>
      </c>
      <c r="D177" s="91">
        <f>(IF(Optimalisatie!C74="Nieuwe Situatie",_xlfn.IFNA(IF(Optimalisatie!E74="Categorie_1_LCA_Producten",VLOOKUP(Inschrijf_CO2_Totaal[[#This Row],[Product]],Categorie_1_Producten[#All],14,FALSE)*(Optimalisatie!J74),VLOOKUP(Inschrijf_CO2_Totaal[[#This Row],[Product]]&amp;", "&amp;Inschrijf_CO2_Totaal[[#Headers],[A1]],Database_Productkaarten[#All],18,FALSE)*Optimalisatie!J74),Baseline_Backlog!D177),0))</f>
        <v>0</v>
      </c>
      <c r="E177" s="91">
        <f>(IF(Optimalisatie!C74="Nieuwe Situatie",_xlfn.IFNA(IF(Optimalisatie!E74="Categorie_1_LCA_Producten",VLOOKUP(Inschrijf_CO2_Totaal[[#This Row],[Product]],Categorie_1_Producten[#All],15,FALSE)*(Optimalisatie!J74),VLOOKUP(Inschrijf_CO2_Totaal[[#This Row],[Product]]&amp;", "&amp;Inschrijf_CO2_Totaal[[#Headers],[A2]],Database_Productkaarten[#All],18,FALSE)*Optimalisatie!J74),Baseline_Backlog!E177),0))</f>
        <v>0</v>
      </c>
      <c r="F177" s="91">
        <f>(IF(Optimalisatie!C74="Nieuwe Situatie",_xlfn.IFNA(IF(Optimalisatie!E74="Categorie_1_LCA_Producten",VLOOKUP(Inschrijf_CO2_Totaal[[#This Row],[Product]],Categorie_1_Producten[#All],16,FALSE)*(Optimalisatie!J74),VLOOKUP(Inschrijf_CO2_Totaal[[#This Row],[Product]]&amp;", "&amp;Inschrijf_CO2_Totaal[[#Headers],[A3]],Database_Productkaarten[#All],18,FALSE)*Optimalisatie!J74),Baseline_Backlog!F177),0))</f>
        <v>0</v>
      </c>
      <c r="G177" s="91">
        <f>(IF(Optimalisatie!C74="Nieuwe Situatie",_xlfn.IFNA(IF(Optimalisatie!E74="Categorie_1_LCA_Producten",VLOOKUP(Inschrijf_CO2_Totaal[[#This Row],[Product]],Categorie_1_Producten[#All],19,FALSE)*(Optimalisatie!J74),VLOOKUP(Inschrijf_CO2_Totaal[[#This Row],[Product]]&amp;", "&amp;Inschrijf_CO2_Totaal[[#Headers],[A1-A3]],Database_Productkaarten[#All],18,FALSE)*Optimalisatie!J74),Baseline_Backlog!G177),0))</f>
        <v>0</v>
      </c>
      <c r="H177" s="91">
        <f>(IF(Optimalisatie!C74="Nieuwe Situatie",_xlfn.IFNA(VLOOKUP(Optimalisatie!V74,Database_Transport[#All],12,FALSE)*(Optimalisatie!R74*Optimalisatie!U74),Baseline_Backlog!H177),0))</f>
        <v>0</v>
      </c>
      <c r="I177" s="91">
        <f>IF(Optimalisatie!C74="Nieuwe situatie",IF(_xlfn.IFNA((VLOOKUP(Optimalisatie!W74,Database_Asfalt_Aanlegset[#All],12,FALSE)*Optimalisatie!J74),0)+_xlfn.IFNA(VLOOKUP(Optimalisatie!X74,Database_Brandstoffen[#All],12,FALSE)*((Optimalisatie!J74/Optimalisatie!Z74)*Optimalisatie!Y74),0)&gt;0,_xlfn.IFNA((VLOOKUP(Optimalisatie!W74,Database_Asfalt_Aanlegset[#All],12,FALSE)*Optimalisatie!J74),0)+_xlfn.IFNA(VLOOKUP(Optimalisatie!X74,Database_Brandstoffen[#All],12,FALSE)*((Optimalisatie!J74/Optimalisatie!Z74)*Optimalisatie!Y74),0),(_xlfn.IFNA(VLOOKUP(Inschrijf_CO2_Totaal[[#This Row],[Product]]&amp;", "&amp;Inschrijf_MKI_Totaal[[#Headers],[A5]],Database_Productkaarten[#All],18,FALSE),0)*Optimalisatie!J74)),0)</f>
        <v>0</v>
      </c>
      <c r="J177" s="91">
        <f>(IF(Optimalisatie!C74="Nieuwe Situatie",_xlfn.IFNA(IF(Optimalisatie!E74="Categorie_1_LCA_Producten",VLOOKUP(Inschrijf_CO2_Totaal[[#This Row],[Product]],Categorie_1_Producten[#All],20,FALSE)*(Optimalisatie!R74),VLOOKUP(Inschrijf_CO2_Totaal[[#This Row],[Product]]&amp;", "&amp;Inschrijf_CO2_Totaal[[#Headers],[B1]],Database_Productkaarten[#All],18,FALSE)*Optimalisatie!J74),Baseline_Backlog!J177),0))</f>
        <v>0</v>
      </c>
      <c r="K177" s="91">
        <f>(IF(Optimalisatie!C74="Nieuwe Situatie",_xlfn.IFNA(SUM(Inschrijf_CO2_Totaal[[#This Row],[A1]:[B1]],Inschrijf_CO2_Totaal[[#This Row],[C1]:[D2]])*Optimalisatie!T74,0),0))</f>
        <v>0</v>
      </c>
      <c r="L177" s="91">
        <f>IF(Optimalisatie!C74="Bestaande situatie",IF(_xlfn.IFNA((VLOOKUP(Optimalisatie!AA74,Database_Asfalt_Verwijderset[#All],12,FALSE)*Optimalisatie!J74),0)+_xlfn.IFNA(VLOOKUP(Optimalisatie!AB74,Database_Brandstoffen[#All],12,FALSE)*((Optimalisatie!J74/Optimalisatie!AD74)*Optimalisatie!AC74),0)&gt;0,_xlfn.IFNA((VLOOKUP(Optimalisatie!AA74,Database_Asfalt_Verwijderset[#All],12,FALSE)*Optimalisatie!J74),0)+_xlfn.IFNA(VLOOKUP(Optimalisatie!AB74,Database_Brandstoffen[#All],12,FALSE)*((Optimalisatie!J74/Optimalisatie!AD74)*Optimalisatie!AC74),0),(_xlfn.IFNA(VLOOKUP(Inschrijf_CO2_Totaal[[#This Row],[Product]]&amp;", "&amp;Inschrijf_MKI_Totaal[[#Headers],[C1]],Database_Productkaarten[#All],18,FALSE),0)*Optimalisatie!J74)),0)</f>
        <v>0</v>
      </c>
      <c r="M177" s="91">
        <f>(IF(Optimalisatie!C74="Bestaande Situatie",_xlfn.IFNA(VLOOKUP(Optimalisatie!AF74,Database_Transport[#All],12,FALSE)*(Optimalisatie!R74*Optimalisatie!AE74),Baseline_Backlog!M177),0))</f>
        <v>0</v>
      </c>
      <c r="N177" s="91">
        <f>(IF(Optimalisatie!C74="Bestaande Situatie",_xlfn.IFNA(VLOOKUP(Optimalisatie!AG74,Database_Asfalt_Verwerkingsset[#All],12,FALSE)*(Optimalisatie!J74/VLOOKUP(Optimalisatie!AG74,Database_Asfalt_Verwerkingsset[#All],12,FALSE)),Baseline_Backlog!N177),0))</f>
        <v>0</v>
      </c>
      <c r="O177" s="91">
        <f>(IF(Optimalisatie!C74="Bestaande Situatie",_xlfn.IFNA(VLOOKUP(Inschrijf_CO2_Totaal[[#This Row],[Product]]&amp;", "&amp;Inschrijf_CO2_Totaal[[#Headers],[C4]],Database_Productkaarten[#All],18,FALSE)*Optimalisatie!J74,Baseline_Backlog!O177),0))</f>
        <v>0</v>
      </c>
      <c r="P177" s="91">
        <f>(IF(Optimalisatie!C74="Bestaande Situatie",_xlfn.IFNA(IF(Optimalisatie!E74="Categorie_1_LCA_Producten",VLOOKUP(Inschrijf_CO2_Totaal[[#This Row],[Product]],Categorie_1_Producten[#All],18,FALSE)*(Optimalisatie!J74),VLOOKUP(Inschrijf_CO2_Totaal[[#This Row],[Product]]&amp;", "&amp;Inschrijf_CO2_Totaal[[#Headers],[D1]],Database_Productkaarten[#All],18,FALSE)*Optimalisatie!J74),Baseline_Backlog!P177),0))</f>
        <v>0</v>
      </c>
      <c r="Q177" s="91">
        <f>(IF(Optimalisatie!C74="Bestaande Situatie",_xlfn.IFNA(IF(Optimalisatie!E74="Categorie_1_LCA_Producten",VLOOKUP(Inschrijf_CO2_Totaal[[#This Row],[Product]],Categorie_1_Producten[#All],19,FALSE)*(Optimalisatie!J74),VLOOKUP(Inschrijf_CO2_Totaal[[#This Row],[Product]]&amp;", "&amp;Inschrijf_CO2_Totaal[[#Headers],[D2]],Database_Productkaarten[#All],18,FALSE)*Optimalisatie!J74),Baseline_Backlog!Q177),0))</f>
        <v>0</v>
      </c>
      <c r="R177" s="91">
        <f>(IF(Optimalisatie!C74="Bestaande Situatie",_xlfn.IFNA(IF(Optimalisatie!E74="Categorie_1_LCA_Producten",VLOOKUP(Inschrijf_CO2_Totaal[[#This Row],[Product]],Categorie_1_Producten[#All],21,FALSE)*(Optimalisatie!J74),VLOOKUP(Inschrijf_CO2_Totaal[[#This Row],[Product]]&amp;", "&amp;Inschrijf_CO2_Totaal[[#Headers],[D]],Database_Productkaarten[#All],18,FALSE)*Optimalisatie!J74),Baseline_Backlog!S177),0))</f>
        <v>0</v>
      </c>
      <c r="S177" s="91">
        <f>SUM(Inschrijf_CO2_Totaal[[#This Row],[A1-A3]:[C4]])+Inschrijf_CO2_Totaal[[#This Row],[D]]</f>
        <v>0</v>
      </c>
    </row>
    <row r="178" spans="2:19">
      <c r="B178" s="208">
        <f>Optimalisatie!B75</f>
        <v>0</v>
      </c>
      <c r="C178" s="1">
        <f>Optimalisatie!F75</f>
        <v>0</v>
      </c>
      <c r="D178" s="91">
        <f>(IF(Optimalisatie!C75="Nieuwe Situatie",_xlfn.IFNA(IF(Optimalisatie!E75="Categorie_1_LCA_Producten",VLOOKUP(Inschrijf_CO2_Totaal[[#This Row],[Product]],Categorie_1_Producten[#All],14,FALSE)*(Optimalisatie!J75),VLOOKUP(Inschrijf_CO2_Totaal[[#This Row],[Product]]&amp;", "&amp;Inschrijf_CO2_Totaal[[#Headers],[A1]],Database_Productkaarten[#All],18,FALSE)*Optimalisatie!J75),Baseline_Backlog!D178),0))</f>
        <v>0</v>
      </c>
      <c r="E178" s="91">
        <f>(IF(Optimalisatie!C75="Nieuwe Situatie",_xlfn.IFNA(IF(Optimalisatie!E75="Categorie_1_LCA_Producten",VLOOKUP(Inschrijf_CO2_Totaal[[#This Row],[Product]],Categorie_1_Producten[#All],15,FALSE)*(Optimalisatie!J75),VLOOKUP(Inschrijf_CO2_Totaal[[#This Row],[Product]]&amp;", "&amp;Inschrijf_CO2_Totaal[[#Headers],[A2]],Database_Productkaarten[#All],18,FALSE)*Optimalisatie!J75),Baseline_Backlog!E178),0))</f>
        <v>0</v>
      </c>
      <c r="F178" s="91">
        <f>(IF(Optimalisatie!C75="Nieuwe Situatie",_xlfn.IFNA(IF(Optimalisatie!E75="Categorie_1_LCA_Producten",VLOOKUP(Inschrijf_CO2_Totaal[[#This Row],[Product]],Categorie_1_Producten[#All],16,FALSE)*(Optimalisatie!J75),VLOOKUP(Inschrijf_CO2_Totaal[[#This Row],[Product]]&amp;", "&amp;Inschrijf_CO2_Totaal[[#Headers],[A3]],Database_Productkaarten[#All],18,FALSE)*Optimalisatie!J75),Baseline_Backlog!F178),0))</f>
        <v>0</v>
      </c>
      <c r="G178" s="91">
        <f>(IF(Optimalisatie!C75="Nieuwe Situatie",_xlfn.IFNA(IF(Optimalisatie!E75="Categorie_1_LCA_Producten",VLOOKUP(Inschrijf_CO2_Totaal[[#This Row],[Product]],Categorie_1_Producten[#All],19,FALSE)*(Optimalisatie!J75),VLOOKUP(Inschrijf_CO2_Totaal[[#This Row],[Product]]&amp;", "&amp;Inschrijf_CO2_Totaal[[#Headers],[A1-A3]],Database_Productkaarten[#All],18,FALSE)*Optimalisatie!J75),Baseline_Backlog!G178),0))</f>
        <v>0</v>
      </c>
      <c r="H178" s="91">
        <f>(IF(Optimalisatie!C75="Nieuwe Situatie",_xlfn.IFNA(VLOOKUP(Optimalisatie!V75,Database_Transport[#All],12,FALSE)*(Optimalisatie!R75*Optimalisatie!U75),Baseline_Backlog!H178),0))</f>
        <v>0</v>
      </c>
      <c r="I178" s="91">
        <f>IF(Optimalisatie!C75="Nieuwe situatie",IF(_xlfn.IFNA((VLOOKUP(Optimalisatie!W75,Database_Asfalt_Aanlegset[#All],12,FALSE)*Optimalisatie!J75),0)+_xlfn.IFNA(VLOOKUP(Optimalisatie!X75,Database_Brandstoffen[#All],12,FALSE)*((Optimalisatie!J75/Optimalisatie!Z75)*Optimalisatie!Y75),0)&gt;0,_xlfn.IFNA((VLOOKUP(Optimalisatie!W75,Database_Asfalt_Aanlegset[#All],12,FALSE)*Optimalisatie!J75),0)+_xlfn.IFNA(VLOOKUP(Optimalisatie!X75,Database_Brandstoffen[#All],12,FALSE)*((Optimalisatie!J75/Optimalisatie!Z75)*Optimalisatie!Y75),0),(_xlfn.IFNA(VLOOKUP(Inschrijf_CO2_Totaal[[#This Row],[Product]]&amp;", "&amp;Inschrijf_MKI_Totaal[[#Headers],[A5]],Database_Productkaarten[#All],18,FALSE),0)*Optimalisatie!J75)),0)</f>
        <v>0</v>
      </c>
      <c r="J178" s="91">
        <f>(IF(Optimalisatie!C75="Nieuwe Situatie",_xlfn.IFNA(IF(Optimalisatie!E75="Categorie_1_LCA_Producten",VLOOKUP(Inschrijf_CO2_Totaal[[#This Row],[Product]],Categorie_1_Producten[#All],20,FALSE)*(Optimalisatie!R75),VLOOKUP(Inschrijf_CO2_Totaal[[#This Row],[Product]]&amp;", "&amp;Inschrijf_CO2_Totaal[[#Headers],[B1]],Database_Productkaarten[#All],18,FALSE)*Optimalisatie!J75),Baseline_Backlog!J178),0))</f>
        <v>0</v>
      </c>
      <c r="K178" s="91">
        <f>(IF(Optimalisatie!C75="Nieuwe Situatie",_xlfn.IFNA(SUM(Inschrijf_CO2_Totaal[[#This Row],[A1]:[B1]],Inschrijf_CO2_Totaal[[#This Row],[C1]:[D2]])*Optimalisatie!T75,0),0))</f>
        <v>0</v>
      </c>
      <c r="L178" s="91">
        <f>IF(Optimalisatie!C75="Bestaande situatie",IF(_xlfn.IFNA((VLOOKUP(Optimalisatie!AA75,Database_Asfalt_Verwijderset[#All],12,FALSE)*Optimalisatie!J75),0)+_xlfn.IFNA(VLOOKUP(Optimalisatie!AB75,Database_Brandstoffen[#All],12,FALSE)*((Optimalisatie!J75/Optimalisatie!AD75)*Optimalisatie!AC75),0)&gt;0,_xlfn.IFNA((VLOOKUP(Optimalisatie!AA75,Database_Asfalt_Verwijderset[#All],12,FALSE)*Optimalisatie!J75),0)+_xlfn.IFNA(VLOOKUP(Optimalisatie!AB75,Database_Brandstoffen[#All],12,FALSE)*((Optimalisatie!J75/Optimalisatie!AD75)*Optimalisatie!AC75),0),(_xlfn.IFNA(VLOOKUP(Inschrijf_CO2_Totaal[[#This Row],[Product]]&amp;", "&amp;Inschrijf_MKI_Totaal[[#Headers],[C1]],Database_Productkaarten[#All],18,FALSE),0)*Optimalisatie!J75)),0)</f>
        <v>0</v>
      </c>
      <c r="M178" s="91">
        <f>(IF(Optimalisatie!C75="Bestaande Situatie",_xlfn.IFNA(VLOOKUP(Optimalisatie!AF75,Database_Transport[#All],12,FALSE)*(Optimalisatie!R75*Optimalisatie!AE75),Baseline_Backlog!M178),0))</f>
        <v>0</v>
      </c>
      <c r="N178" s="91">
        <f>(IF(Optimalisatie!C75="Bestaande Situatie",_xlfn.IFNA(VLOOKUP(Optimalisatie!AG75,Database_Asfalt_Verwerkingsset[#All],12,FALSE)*(Optimalisatie!J75/VLOOKUP(Optimalisatie!AG75,Database_Asfalt_Verwerkingsset[#All],12,FALSE)),Baseline_Backlog!N178),0))</f>
        <v>0</v>
      </c>
      <c r="O178" s="91">
        <f>(IF(Optimalisatie!C75="Bestaande Situatie",_xlfn.IFNA(VLOOKUP(Inschrijf_CO2_Totaal[[#This Row],[Product]]&amp;", "&amp;Inschrijf_CO2_Totaal[[#Headers],[C4]],Database_Productkaarten[#All],18,FALSE)*Optimalisatie!J75,Baseline_Backlog!O178),0))</f>
        <v>0</v>
      </c>
      <c r="P178" s="91">
        <f>(IF(Optimalisatie!C75="Bestaande Situatie",_xlfn.IFNA(IF(Optimalisatie!E75="Categorie_1_LCA_Producten",VLOOKUP(Inschrijf_CO2_Totaal[[#This Row],[Product]],Categorie_1_Producten[#All],18,FALSE)*(Optimalisatie!J75),VLOOKUP(Inschrijf_CO2_Totaal[[#This Row],[Product]]&amp;", "&amp;Inschrijf_CO2_Totaal[[#Headers],[D1]],Database_Productkaarten[#All],18,FALSE)*Optimalisatie!J75),Baseline_Backlog!P178),0))</f>
        <v>0</v>
      </c>
      <c r="Q178" s="91">
        <f>(IF(Optimalisatie!C75="Bestaande Situatie",_xlfn.IFNA(IF(Optimalisatie!E75="Categorie_1_LCA_Producten",VLOOKUP(Inschrijf_CO2_Totaal[[#This Row],[Product]],Categorie_1_Producten[#All],19,FALSE)*(Optimalisatie!J75),VLOOKUP(Inschrijf_CO2_Totaal[[#This Row],[Product]]&amp;", "&amp;Inschrijf_CO2_Totaal[[#Headers],[D2]],Database_Productkaarten[#All],18,FALSE)*Optimalisatie!J75),Baseline_Backlog!Q178),0))</f>
        <v>0</v>
      </c>
      <c r="R178" s="91">
        <f>(IF(Optimalisatie!C75="Bestaande Situatie",_xlfn.IFNA(IF(Optimalisatie!E75="Categorie_1_LCA_Producten",VLOOKUP(Inschrijf_CO2_Totaal[[#This Row],[Product]],Categorie_1_Producten[#All],21,FALSE)*(Optimalisatie!J75),VLOOKUP(Inschrijf_CO2_Totaal[[#This Row],[Product]]&amp;", "&amp;Inschrijf_CO2_Totaal[[#Headers],[D]],Database_Productkaarten[#All],18,FALSE)*Optimalisatie!J75),Baseline_Backlog!S178),0))</f>
        <v>0</v>
      </c>
      <c r="S178" s="91">
        <f>SUM(Inschrijf_CO2_Totaal[[#This Row],[A1-A3]:[C4]])+Inschrijf_CO2_Totaal[[#This Row],[D]]</f>
        <v>0</v>
      </c>
    </row>
    <row r="179" spans="2:19">
      <c r="B179" s="208">
        <f>Optimalisatie!B76</f>
        <v>0</v>
      </c>
      <c r="C179" s="1">
        <f>Optimalisatie!F76</f>
        <v>0</v>
      </c>
      <c r="D179" s="91">
        <f>(IF(Optimalisatie!C76="Nieuwe Situatie",_xlfn.IFNA(IF(Optimalisatie!E76="Categorie_1_LCA_Producten",VLOOKUP(Inschrijf_CO2_Totaal[[#This Row],[Product]],Categorie_1_Producten[#All],14,FALSE)*(Optimalisatie!J76),VLOOKUP(Inschrijf_CO2_Totaal[[#This Row],[Product]]&amp;", "&amp;Inschrijf_CO2_Totaal[[#Headers],[A1]],Database_Productkaarten[#All],18,FALSE)*Optimalisatie!J76),Baseline_Backlog!D179),0))</f>
        <v>0</v>
      </c>
      <c r="E179" s="91">
        <f>(IF(Optimalisatie!C76="Nieuwe Situatie",_xlfn.IFNA(IF(Optimalisatie!E76="Categorie_1_LCA_Producten",VLOOKUP(Inschrijf_CO2_Totaal[[#This Row],[Product]],Categorie_1_Producten[#All],15,FALSE)*(Optimalisatie!J76),VLOOKUP(Inschrijf_CO2_Totaal[[#This Row],[Product]]&amp;", "&amp;Inschrijf_CO2_Totaal[[#Headers],[A2]],Database_Productkaarten[#All],18,FALSE)*Optimalisatie!J76),Baseline_Backlog!E179),0))</f>
        <v>0</v>
      </c>
      <c r="F179" s="91">
        <f>(IF(Optimalisatie!C76="Nieuwe Situatie",_xlfn.IFNA(IF(Optimalisatie!E76="Categorie_1_LCA_Producten",VLOOKUP(Inschrijf_CO2_Totaal[[#This Row],[Product]],Categorie_1_Producten[#All],16,FALSE)*(Optimalisatie!J76),VLOOKUP(Inschrijf_CO2_Totaal[[#This Row],[Product]]&amp;", "&amp;Inschrijf_CO2_Totaal[[#Headers],[A3]],Database_Productkaarten[#All],18,FALSE)*Optimalisatie!J76),Baseline_Backlog!F179),0))</f>
        <v>0</v>
      </c>
      <c r="G179" s="91">
        <f>(IF(Optimalisatie!C76="Nieuwe Situatie",_xlfn.IFNA(IF(Optimalisatie!E76="Categorie_1_LCA_Producten",VLOOKUP(Inschrijf_CO2_Totaal[[#This Row],[Product]],Categorie_1_Producten[#All],19,FALSE)*(Optimalisatie!J76),VLOOKUP(Inschrijf_CO2_Totaal[[#This Row],[Product]]&amp;", "&amp;Inschrijf_CO2_Totaal[[#Headers],[A1-A3]],Database_Productkaarten[#All],18,FALSE)*Optimalisatie!J76),Baseline_Backlog!G179),0))</f>
        <v>0</v>
      </c>
      <c r="H179" s="91">
        <f>(IF(Optimalisatie!C76="Nieuwe Situatie",_xlfn.IFNA(VLOOKUP(Optimalisatie!V76,Database_Transport[#All],12,FALSE)*(Optimalisatie!R76*Optimalisatie!U76),Baseline_Backlog!H179),0))</f>
        <v>0</v>
      </c>
      <c r="I179" s="91">
        <f>IF(Optimalisatie!C76="Nieuwe situatie",IF(_xlfn.IFNA((VLOOKUP(Optimalisatie!W76,Database_Asfalt_Aanlegset[#All],12,FALSE)*Optimalisatie!J76),0)+_xlfn.IFNA(VLOOKUP(Optimalisatie!X76,Database_Brandstoffen[#All],12,FALSE)*((Optimalisatie!J76/Optimalisatie!Z76)*Optimalisatie!Y76),0)&gt;0,_xlfn.IFNA((VLOOKUP(Optimalisatie!W76,Database_Asfalt_Aanlegset[#All],12,FALSE)*Optimalisatie!J76),0)+_xlfn.IFNA(VLOOKUP(Optimalisatie!X76,Database_Brandstoffen[#All],12,FALSE)*((Optimalisatie!J76/Optimalisatie!Z76)*Optimalisatie!Y76),0),(_xlfn.IFNA(VLOOKUP(Inschrijf_CO2_Totaal[[#This Row],[Product]]&amp;", "&amp;Inschrijf_MKI_Totaal[[#Headers],[A5]],Database_Productkaarten[#All],18,FALSE),0)*Optimalisatie!J76)),0)</f>
        <v>0</v>
      </c>
      <c r="J179" s="91">
        <f>(IF(Optimalisatie!C76="Nieuwe Situatie",_xlfn.IFNA(IF(Optimalisatie!E76="Categorie_1_LCA_Producten",VLOOKUP(Inschrijf_CO2_Totaal[[#This Row],[Product]],Categorie_1_Producten[#All],20,FALSE)*(Optimalisatie!R76),VLOOKUP(Inschrijf_CO2_Totaal[[#This Row],[Product]]&amp;", "&amp;Inschrijf_CO2_Totaal[[#Headers],[B1]],Database_Productkaarten[#All],18,FALSE)*Optimalisatie!J76),Baseline_Backlog!J179),0))</f>
        <v>0</v>
      </c>
      <c r="K179" s="91">
        <f>(IF(Optimalisatie!C76="Nieuwe Situatie",_xlfn.IFNA(SUM(Inschrijf_CO2_Totaal[[#This Row],[A1]:[B1]],Inschrijf_CO2_Totaal[[#This Row],[C1]:[D2]])*Optimalisatie!T76,0),0))</f>
        <v>0</v>
      </c>
      <c r="L179" s="91">
        <f>IF(Optimalisatie!C76="Bestaande situatie",IF(_xlfn.IFNA((VLOOKUP(Optimalisatie!AA76,Database_Asfalt_Verwijderset[#All],12,FALSE)*Optimalisatie!J76),0)+_xlfn.IFNA(VLOOKUP(Optimalisatie!AB76,Database_Brandstoffen[#All],12,FALSE)*((Optimalisatie!J76/Optimalisatie!AD76)*Optimalisatie!AC76),0)&gt;0,_xlfn.IFNA((VLOOKUP(Optimalisatie!AA76,Database_Asfalt_Verwijderset[#All],12,FALSE)*Optimalisatie!J76),0)+_xlfn.IFNA(VLOOKUP(Optimalisatie!AB76,Database_Brandstoffen[#All],12,FALSE)*((Optimalisatie!J76/Optimalisatie!AD76)*Optimalisatie!AC76),0),(_xlfn.IFNA(VLOOKUP(Inschrijf_CO2_Totaal[[#This Row],[Product]]&amp;", "&amp;Inschrijf_MKI_Totaal[[#Headers],[C1]],Database_Productkaarten[#All],18,FALSE),0)*Optimalisatie!J76)),0)</f>
        <v>0</v>
      </c>
      <c r="M179" s="91">
        <f>(IF(Optimalisatie!C76="Bestaande Situatie",_xlfn.IFNA(VLOOKUP(Optimalisatie!AF76,Database_Transport[#All],12,FALSE)*(Optimalisatie!R76*Optimalisatie!AE76),Baseline_Backlog!M179),0))</f>
        <v>0</v>
      </c>
      <c r="N179" s="91">
        <f>(IF(Optimalisatie!C76="Bestaande Situatie",_xlfn.IFNA(VLOOKUP(Optimalisatie!AG76,Database_Asfalt_Verwerkingsset[#All],12,FALSE)*(Optimalisatie!J76/VLOOKUP(Optimalisatie!AG76,Database_Asfalt_Verwerkingsset[#All],12,FALSE)),Baseline_Backlog!N179),0))</f>
        <v>0</v>
      </c>
      <c r="O179" s="91">
        <f>(IF(Optimalisatie!C76="Bestaande Situatie",_xlfn.IFNA(VLOOKUP(Inschrijf_CO2_Totaal[[#This Row],[Product]]&amp;", "&amp;Inschrijf_CO2_Totaal[[#Headers],[C4]],Database_Productkaarten[#All],18,FALSE)*Optimalisatie!J76,Baseline_Backlog!O179),0))</f>
        <v>0</v>
      </c>
      <c r="P179" s="91">
        <f>(IF(Optimalisatie!C76="Bestaande Situatie",_xlfn.IFNA(IF(Optimalisatie!E76="Categorie_1_LCA_Producten",VLOOKUP(Inschrijf_CO2_Totaal[[#This Row],[Product]],Categorie_1_Producten[#All],18,FALSE)*(Optimalisatie!J76),VLOOKUP(Inschrijf_CO2_Totaal[[#This Row],[Product]]&amp;", "&amp;Inschrijf_CO2_Totaal[[#Headers],[D1]],Database_Productkaarten[#All],18,FALSE)*Optimalisatie!J76),Baseline_Backlog!P179),0))</f>
        <v>0</v>
      </c>
      <c r="Q179" s="91">
        <f>(IF(Optimalisatie!C76="Bestaande Situatie",_xlfn.IFNA(IF(Optimalisatie!E76="Categorie_1_LCA_Producten",VLOOKUP(Inschrijf_CO2_Totaal[[#This Row],[Product]],Categorie_1_Producten[#All],19,FALSE)*(Optimalisatie!J76),VLOOKUP(Inschrijf_CO2_Totaal[[#This Row],[Product]]&amp;", "&amp;Inschrijf_CO2_Totaal[[#Headers],[D2]],Database_Productkaarten[#All],18,FALSE)*Optimalisatie!J76),Baseline_Backlog!Q179),0))</f>
        <v>0</v>
      </c>
      <c r="R179" s="91">
        <f>(IF(Optimalisatie!C76="Bestaande Situatie",_xlfn.IFNA(IF(Optimalisatie!E76="Categorie_1_LCA_Producten",VLOOKUP(Inschrijf_CO2_Totaal[[#This Row],[Product]],Categorie_1_Producten[#All],21,FALSE)*(Optimalisatie!J76),VLOOKUP(Inschrijf_CO2_Totaal[[#This Row],[Product]]&amp;", "&amp;Inschrijf_CO2_Totaal[[#Headers],[D]],Database_Productkaarten[#All],18,FALSE)*Optimalisatie!J76),Baseline_Backlog!S179),0))</f>
        <v>0</v>
      </c>
      <c r="S179" s="91">
        <f>SUM(Inschrijf_CO2_Totaal[[#This Row],[A1-A3]:[C4]])+Inschrijf_CO2_Totaal[[#This Row],[D]]</f>
        <v>0</v>
      </c>
    </row>
    <row r="180" spans="2:19">
      <c r="B180" s="208">
        <f>Optimalisatie!B77</f>
        <v>0</v>
      </c>
      <c r="C180" s="1">
        <f>Optimalisatie!F77</f>
        <v>0</v>
      </c>
      <c r="D180" s="91">
        <f>(IF(Optimalisatie!C77="Nieuwe Situatie",_xlfn.IFNA(IF(Optimalisatie!E77="Categorie_1_LCA_Producten",VLOOKUP(Inschrijf_CO2_Totaal[[#This Row],[Product]],Categorie_1_Producten[#All],14,FALSE)*(Optimalisatie!J77),VLOOKUP(Inschrijf_CO2_Totaal[[#This Row],[Product]]&amp;", "&amp;Inschrijf_CO2_Totaal[[#Headers],[A1]],Database_Productkaarten[#All],18,FALSE)*Optimalisatie!J77),Baseline_Backlog!D180),0))</f>
        <v>0</v>
      </c>
      <c r="E180" s="91">
        <f>(IF(Optimalisatie!C77="Nieuwe Situatie",_xlfn.IFNA(IF(Optimalisatie!E77="Categorie_1_LCA_Producten",VLOOKUP(Inschrijf_CO2_Totaal[[#This Row],[Product]],Categorie_1_Producten[#All],15,FALSE)*(Optimalisatie!J77),VLOOKUP(Inschrijf_CO2_Totaal[[#This Row],[Product]]&amp;", "&amp;Inschrijf_CO2_Totaal[[#Headers],[A2]],Database_Productkaarten[#All],18,FALSE)*Optimalisatie!J77),Baseline_Backlog!E180),0))</f>
        <v>0</v>
      </c>
      <c r="F180" s="91">
        <f>(IF(Optimalisatie!C77="Nieuwe Situatie",_xlfn.IFNA(IF(Optimalisatie!E77="Categorie_1_LCA_Producten",VLOOKUP(Inschrijf_CO2_Totaal[[#This Row],[Product]],Categorie_1_Producten[#All],16,FALSE)*(Optimalisatie!J77),VLOOKUP(Inschrijf_CO2_Totaal[[#This Row],[Product]]&amp;", "&amp;Inschrijf_CO2_Totaal[[#Headers],[A3]],Database_Productkaarten[#All],18,FALSE)*Optimalisatie!J77),Baseline_Backlog!F180),0))</f>
        <v>0</v>
      </c>
      <c r="G180" s="91">
        <f>(IF(Optimalisatie!C77="Nieuwe Situatie",_xlfn.IFNA(IF(Optimalisatie!E77="Categorie_1_LCA_Producten",VLOOKUP(Inschrijf_CO2_Totaal[[#This Row],[Product]],Categorie_1_Producten[#All],19,FALSE)*(Optimalisatie!J77),VLOOKUP(Inschrijf_CO2_Totaal[[#This Row],[Product]]&amp;", "&amp;Inschrijf_CO2_Totaal[[#Headers],[A1-A3]],Database_Productkaarten[#All],18,FALSE)*Optimalisatie!J77),Baseline_Backlog!G180),0))</f>
        <v>0</v>
      </c>
      <c r="H180" s="91">
        <f>(IF(Optimalisatie!C77="Nieuwe Situatie",_xlfn.IFNA(VLOOKUP(Optimalisatie!V77,Database_Transport[#All],12,FALSE)*(Optimalisatie!R77*Optimalisatie!U77),Baseline_Backlog!H180),0))</f>
        <v>0</v>
      </c>
      <c r="I180" s="91">
        <f>IF(Optimalisatie!C77="Nieuwe situatie",IF(_xlfn.IFNA((VLOOKUP(Optimalisatie!W77,Database_Asfalt_Aanlegset[#All],12,FALSE)*Optimalisatie!J77),0)+_xlfn.IFNA(VLOOKUP(Optimalisatie!X77,Database_Brandstoffen[#All],12,FALSE)*((Optimalisatie!J77/Optimalisatie!Z77)*Optimalisatie!Y77),0)&gt;0,_xlfn.IFNA((VLOOKUP(Optimalisatie!W77,Database_Asfalt_Aanlegset[#All],12,FALSE)*Optimalisatie!J77),0)+_xlfn.IFNA(VLOOKUP(Optimalisatie!X77,Database_Brandstoffen[#All],12,FALSE)*((Optimalisatie!J77/Optimalisatie!Z77)*Optimalisatie!Y77),0),(_xlfn.IFNA(VLOOKUP(Inschrijf_CO2_Totaal[[#This Row],[Product]]&amp;", "&amp;Inschrijf_MKI_Totaal[[#Headers],[A5]],Database_Productkaarten[#All],18,FALSE),0)*Optimalisatie!J77)),0)</f>
        <v>0</v>
      </c>
      <c r="J180" s="91">
        <f>(IF(Optimalisatie!C77="Nieuwe Situatie",_xlfn.IFNA(IF(Optimalisatie!E77="Categorie_1_LCA_Producten",VLOOKUP(Inschrijf_CO2_Totaal[[#This Row],[Product]],Categorie_1_Producten[#All],20,FALSE)*(Optimalisatie!R77),VLOOKUP(Inschrijf_CO2_Totaal[[#This Row],[Product]]&amp;", "&amp;Inschrijf_CO2_Totaal[[#Headers],[B1]],Database_Productkaarten[#All],18,FALSE)*Optimalisatie!J77),Baseline_Backlog!J180),0))</f>
        <v>0</v>
      </c>
      <c r="K180" s="91">
        <f>(IF(Optimalisatie!C77="Nieuwe Situatie",_xlfn.IFNA(SUM(Inschrijf_CO2_Totaal[[#This Row],[A1]:[B1]],Inschrijf_CO2_Totaal[[#This Row],[C1]:[D2]])*Optimalisatie!T77,0),0))</f>
        <v>0</v>
      </c>
      <c r="L180" s="91">
        <f>IF(Optimalisatie!C77="Bestaande situatie",IF(_xlfn.IFNA((VLOOKUP(Optimalisatie!AA77,Database_Asfalt_Verwijderset[#All],12,FALSE)*Optimalisatie!J77),0)+_xlfn.IFNA(VLOOKUP(Optimalisatie!AB77,Database_Brandstoffen[#All],12,FALSE)*((Optimalisatie!J77/Optimalisatie!AD77)*Optimalisatie!AC77),0)&gt;0,_xlfn.IFNA((VLOOKUP(Optimalisatie!AA77,Database_Asfalt_Verwijderset[#All],12,FALSE)*Optimalisatie!J77),0)+_xlfn.IFNA(VLOOKUP(Optimalisatie!AB77,Database_Brandstoffen[#All],12,FALSE)*((Optimalisatie!J77/Optimalisatie!AD77)*Optimalisatie!AC77),0),(_xlfn.IFNA(VLOOKUP(Inschrijf_CO2_Totaal[[#This Row],[Product]]&amp;", "&amp;Inschrijf_MKI_Totaal[[#Headers],[C1]],Database_Productkaarten[#All],18,FALSE),0)*Optimalisatie!J77)),0)</f>
        <v>0</v>
      </c>
      <c r="M180" s="91">
        <f>(IF(Optimalisatie!C77="Bestaande Situatie",_xlfn.IFNA(VLOOKUP(Optimalisatie!AF77,Database_Transport[#All],12,FALSE)*(Optimalisatie!R77*Optimalisatie!AE77),Baseline_Backlog!M180),0))</f>
        <v>0</v>
      </c>
      <c r="N180" s="91">
        <f>(IF(Optimalisatie!C77="Bestaande Situatie",_xlfn.IFNA(VLOOKUP(Optimalisatie!AG77,Database_Asfalt_Verwerkingsset[#All],12,FALSE)*(Optimalisatie!J77/VLOOKUP(Optimalisatie!AG77,Database_Asfalt_Verwerkingsset[#All],12,FALSE)),Baseline_Backlog!N180),0))</f>
        <v>0</v>
      </c>
      <c r="O180" s="91">
        <f>(IF(Optimalisatie!C77="Bestaande Situatie",_xlfn.IFNA(VLOOKUP(Inschrijf_CO2_Totaal[[#This Row],[Product]]&amp;", "&amp;Inschrijf_CO2_Totaal[[#Headers],[C4]],Database_Productkaarten[#All],18,FALSE)*Optimalisatie!J77,Baseline_Backlog!O180),0))</f>
        <v>0</v>
      </c>
      <c r="P180" s="91">
        <f>(IF(Optimalisatie!C77="Bestaande Situatie",_xlfn.IFNA(IF(Optimalisatie!E77="Categorie_1_LCA_Producten",VLOOKUP(Inschrijf_CO2_Totaal[[#This Row],[Product]],Categorie_1_Producten[#All],18,FALSE)*(Optimalisatie!J77),VLOOKUP(Inschrijf_CO2_Totaal[[#This Row],[Product]]&amp;", "&amp;Inschrijf_CO2_Totaal[[#Headers],[D1]],Database_Productkaarten[#All],18,FALSE)*Optimalisatie!J77),Baseline_Backlog!P180),0))</f>
        <v>0</v>
      </c>
      <c r="Q180" s="91">
        <f>(IF(Optimalisatie!C77="Bestaande Situatie",_xlfn.IFNA(IF(Optimalisatie!E77="Categorie_1_LCA_Producten",VLOOKUP(Inschrijf_CO2_Totaal[[#This Row],[Product]],Categorie_1_Producten[#All],19,FALSE)*(Optimalisatie!J77),VLOOKUP(Inschrijf_CO2_Totaal[[#This Row],[Product]]&amp;", "&amp;Inschrijf_CO2_Totaal[[#Headers],[D2]],Database_Productkaarten[#All],18,FALSE)*Optimalisatie!J77),Baseline_Backlog!Q180),0))</f>
        <v>0</v>
      </c>
      <c r="R180" s="91">
        <f>(IF(Optimalisatie!C77="Bestaande Situatie",_xlfn.IFNA(IF(Optimalisatie!E77="Categorie_1_LCA_Producten",VLOOKUP(Inschrijf_CO2_Totaal[[#This Row],[Product]],Categorie_1_Producten[#All],21,FALSE)*(Optimalisatie!J77),VLOOKUP(Inschrijf_CO2_Totaal[[#This Row],[Product]]&amp;", "&amp;Inschrijf_CO2_Totaal[[#Headers],[D]],Database_Productkaarten[#All],18,FALSE)*Optimalisatie!J77),Baseline_Backlog!S180),0))</f>
        <v>0</v>
      </c>
      <c r="S180" s="91">
        <f>SUM(Inschrijf_CO2_Totaal[[#This Row],[A1-A3]:[C4]])+Inschrijf_CO2_Totaal[[#This Row],[D]]</f>
        <v>0</v>
      </c>
    </row>
    <row r="181" spans="2:19">
      <c r="B181" s="208">
        <f>Optimalisatie!B78</f>
        <v>0</v>
      </c>
      <c r="C181" s="1">
        <f>Optimalisatie!F78</f>
        <v>0</v>
      </c>
      <c r="D181" s="91">
        <f>(IF(Optimalisatie!C78="Nieuwe Situatie",_xlfn.IFNA(IF(Optimalisatie!E78="Categorie_1_LCA_Producten",VLOOKUP(Inschrijf_CO2_Totaal[[#This Row],[Product]],Categorie_1_Producten[#All],14,FALSE)*(Optimalisatie!J78),VLOOKUP(Inschrijf_CO2_Totaal[[#This Row],[Product]]&amp;", "&amp;Inschrijf_CO2_Totaal[[#Headers],[A1]],Database_Productkaarten[#All],18,FALSE)*Optimalisatie!J78),Baseline_Backlog!D181),0))</f>
        <v>0</v>
      </c>
      <c r="E181" s="91">
        <f>(IF(Optimalisatie!C78="Nieuwe Situatie",_xlfn.IFNA(IF(Optimalisatie!E78="Categorie_1_LCA_Producten",VLOOKUP(Inschrijf_CO2_Totaal[[#This Row],[Product]],Categorie_1_Producten[#All],15,FALSE)*(Optimalisatie!J78),VLOOKUP(Inschrijf_CO2_Totaal[[#This Row],[Product]]&amp;", "&amp;Inschrijf_CO2_Totaal[[#Headers],[A2]],Database_Productkaarten[#All],18,FALSE)*Optimalisatie!J78),Baseline_Backlog!E181),0))</f>
        <v>0</v>
      </c>
      <c r="F181" s="91">
        <f>(IF(Optimalisatie!C78="Nieuwe Situatie",_xlfn.IFNA(IF(Optimalisatie!E78="Categorie_1_LCA_Producten",VLOOKUP(Inschrijf_CO2_Totaal[[#This Row],[Product]],Categorie_1_Producten[#All],16,FALSE)*(Optimalisatie!J78),VLOOKUP(Inschrijf_CO2_Totaal[[#This Row],[Product]]&amp;", "&amp;Inschrijf_CO2_Totaal[[#Headers],[A3]],Database_Productkaarten[#All],18,FALSE)*Optimalisatie!J78),Baseline_Backlog!F181),0))</f>
        <v>0</v>
      </c>
      <c r="G181" s="91">
        <f>(IF(Optimalisatie!C78="Nieuwe Situatie",_xlfn.IFNA(IF(Optimalisatie!E78="Categorie_1_LCA_Producten",VLOOKUP(Inschrijf_CO2_Totaal[[#This Row],[Product]],Categorie_1_Producten[#All],19,FALSE)*(Optimalisatie!J78),VLOOKUP(Inschrijf_CO2_Totaal[[#This Row],[Product]]&amp;", "&amp;Inschrijf_CO2_Totaal[[#Headers],[A1-A3]],Database_Productkaarten[#All],18,FALSE)*Optimalisatie!J78),Baseline_Backlog!G181),0))</f>
        <v>0</v>
      </c>
      <c r="H181" s="91">
        <f>(IF(Optimalisatie!C78="Nieuwe Situatie",_xlfn.IFNA(VLOOKUP(Optimalisatie!V78,Database_Transport[#All],12,FALSE)*(Optimalisatie!R78*Optimalisatie!U78),Baseline_Backlog!H181),0))</f>
        <v>0</v>
      </c>
      <c r="I181" s="91">
        <f>IF(Optimalisatie!C78="Nieuwe situatie",IF(_xlfn.IFNA((VLOOKUP(Optimalisatie!W78,Database_Asfalt_Aanlegset[#All],12,FALSE)*Optimalisatie!J78),0)+_xlfn.IFNA(VLOOKUP(Optimalisatie!X78,Database_Brandstoffen[#All],12,FALSE)*((Optimalisatie!J78/Optimalisatie!Z78)*Optimalisatie!Y78),0)&gt;0,_xlfn.IFNA((VLOOKUP(Optimalisatie!W78,Database_Asfalt_Aanlegset[#All],12,FALSE)*Optimalisatie!J78),0)+_xlfn.IFNA(VLOOKUP(Optimalisatie!X78,Database_Brandstoffen[#All],12,FALSE)*((Optimalisatie!J78/Optimalisatie!Z78)*Optimalisatie!Y78),0),(_xlfn.IFNA(VLOOKUP(Inschrijf_CO2_Totaal[[#This Row],[Product]]&amp;", "&amp;Inschrijf_MKI_Totaal[[#Headers],[A5]],Database_Productkaarten[#All],18,FALSE),0)*Optimalisatie!J78)),0)</f>
        <v>0</v>
      </c>
      <c r="J181" s="91">
        <f>(IF(Optimalisatie!C78="Nieuwe Situatie",_xlfn.IFNA(IF(Optimalisatie!E78="Categorie_1_LCA_Producten",VLOOKUP(Inschrijf_CO2_Totaal[[#This Row],[Product]],Categorie_1_Producten[#All],20,FALSE)*(Optimalisatie!R78),VLOOKUP(Inschrijf_CO2_Totaal[[#This Row],[Product]]&amp;", "&amp;Inschrijf_CO2_Totaal[[#Headers],[B1]],Database_Productkaarten[#All],18,FALSE)*Optimalisatie!J78),Baseline_Backlog!J181),0))</f>
        <v>0</v>
      </c>
      <c r="K181" s="91">
        <f>(IF(Optimalisatie!C78="Nieuwe Situatie",_xlfn.IFNA(SUM(Inschrijf_CO2_Totaal[[#This Row],[A1]:[B1]],Inschrijf_CO2_Totaal[[#This Row],[C1]:[D2]])*Optimalisatie!T78,0),0))</f>
        <v>0</v>
      </c>
      <c r="L181" s="91">
        <f>IF(Optimalisatie!C78="Bestaande situatie",IF(_xlfn.IFNA((VLOOKUP(Optimalisatie!AA78,Database_Asfalt_Verwijderset[#All],12,FALSE)*Optimalisatie!J78),0)+_xlfn.IFNA(VLOOKUP(Optimalisatie!AB78,Database_Brandstoffen[#All],12,FALSE)*((Optimalisatie!J78/Optimalisatie!AD78)*Optimalisatie!AC78),0)&gt;0,_xlfn.IFNA((VLOOKUP(Optimalisatie!AA78,Database_Asfalt_Verwijderset[#All],12,FALSE)*Optimalisatie!J78),0)+_xlfn.IFNA(VLOOKUP(Optimalisatie!AB78,Database_Brandstoffen[#All],12,FALSE)*((Optimalisatie!J78/Optimalisatie!AD78)*Optimalisatie!AC78),0),(_xlfn.IFNA(VLOOKUP(Inschrijf_CO2_Totaal[[#This Row],[Product]]&amp;", "&amp;Inschrijf_MKI_Totaal[[#Headers],[C1]],Database_Productkaarten[#All],18,FALSE),0)*Optimalisatie!J78)),0)</f>
        <v>0</v>
      </c>
      <c r="M181" s="91">
        <f>(IF(Optimalisatie!C78="Bestaande Situatie",_xlfn.IFNA(VLOOKUP(Optimalisatie!AF78,Database_Transport[#All],12,FALSE)*(Optimalisatie!R78*Optimalisatie!AE78),Baseline_Backlog!M181),0))</f>
        <v>0</v>
      </c>
      <c r="N181" s="91">
        <f>(IF(Optimalisatie!C78="Bestaande Situatie",_xlfn.IFNA(VLOOKUP(Optimalisatie!AG78,Database_Asfalt_Verwerkingsset[#All],12,FALSE)*(Optimalisatie!J78/VLOOKUP(Optimalisatie!AG78,Database_Asfalt_Verwerkingsset[#All],12,FALSE)),Baseline_Backlog!N181),0))</f>
        <v>0</v>
      </c>
      <c r="O181" s="91">
        <f>(IF(Optimalisatie!C78="Bestaande Situatie",_xlfn.IFNA(VLOOKUP(Inschrijf_CO2_Totaal[[#This Row],[Product]]&amp;", "&amp;Inschrijf_CO2_Totaal[[#Headers],[C4]],Database_Productkaarten[#All],18,FALSE)*Optimalisatie!J78,Baseline_Backlog!O181),0))</f>
        <v>0</v>
      </c>
      <c r="P181" s="91">
        <f>(IF(Optimalisatie!C78="Bestaande Situatie",_xlfn.IFNA(IF(Optimalisatie!E78="Categorie_1_LCA_Producten",VLOOKUP(Inschrijf_CO2_Totaal[[#This Row],[Product]],Categorie_1_Producten[#All],18,FALSE)*(Optimalisatie!J78),VLOOKUP(Inschrijf_CO2_Totaal[[#This Row],[Product]]&amp;", "&amp;Inschrijf_CO2_Totaal[[#Headers],[D1]],Database_Productkaarten[#All],18,FALSE)*Optimalisatie!J78),Baseline_Backlog!P181),0))</f>
        <v>0</v>
      </c>
      <c r="Q181" s="91">
        <f>(IF(Optimalisatie!C78="Bestaande Situatie",_xlfn.IFNA(IF(Optimalisatie!E78="Categorie_1_LCA_Producten",VLOOKUP(Inschrijf_CO2_Totaal[[#This Row],[Product]],Categorie_1_Producten[#All],19,FALSE)*(Optimalisatie!J78),VLOOKUP(Inschrijf_CO2_Totaal[[#This Row],[Product]]&amp;", "&amp;Inschrijf_CO2_Totaal[[#Headers],[D2]],Database_Productkaarten[#All],18,FALSE)*Optimalisatie!J78),Baseline_Backlog!Q181),0))</f>
        <v>0</v>
      </c>
      <c r="R181" s="91">
        <f>(IF(Optimalisatie!C78="Bestaande Situatie",_xlfn.IFNA(IF(Optimalisatie!E78="Categorie_1_LCA_Producten",VLOOKUP(Inschrijf_CO2_Totaal[[#This Row],[Product]],Categorie_1_Producten[#All],21,FALSE)*(Optimalisatie!J78),VLOOKUP(Inschrijf_CO2_Totaal[[#This Row],[Product]]&amp;", "&amp;Inschrijf_CO2_Totaal[[#Headers],[D]],Database_Productkaarten[#All],18,FALSE)*Optimalisatie!J78),Baseline_Backlog!S181),0))</f>
        <v>0</v>
      </c>
      <c r="S181" s="91">
        <f>SUM(Inschrijf_CO2_Totaal[[#This Row],[A1-A3]:[C4]])+Inschrijf_CO2_Totaal[[#This Row],[D]]</f>
        <v>0</v>
      </c>
    </row>
    <row r="182" spans="2:19">
      <c r="B182" s="208">
        <f>Optimalisatie!B79</f>
        <v>0</v>
      </c>
      <c r="C182" s="1">
        <f>Optimalisatie!F79</f>
        <v>0</v>
      </c>
      <c r="D182" s="91">
        <f>(IF(Optimalisatie!C79="Nieuwe Situatie",_xlfn.IFNA(IF(Optimalisatie!E79="Categorie_1_LCA_Producten",VLOOKUP(Inschrijf_CO2_Totaal[[#This Row],[Product]],Categorie_1_Producten[#All],14,FALSE)*(Optimalisatie!J79),VLOOKUP(Inschrijf_CO2_Totaal[[#This Row],[Product]]&amp;", "&amp;Inschrijf_CO2_Totaal[[#Headers],[A1]],Database_Productkaarten[#All],18,FALSE)*Optimalisatie!J79),Baseline_Backlog!D182),0))</f>
        <v>0</v>
      </c>
      <c r="E182" s="91">
        <f>(IF(Optimalisatie!C79="Nieuwe Situatie",_xlfn.IFNA(IF(Optimalisatie!E79="Categorie_1_LCA_Producten",VLOOKUP(Inschrijf_CO2_Totaal[[#This Row],[Product]],Categorie_1_Producten[#All],15,FALSE)*(Optimalisatie!J79),VLOOKUP(Inschrijf_CO2_Totaal[[#This Row],[Product]]&amp;", "&amp;Inschrijf_CO2_Totaal[[#Headers],[A2]],Database_Productkaarten[#All],18,FALSE)*Optimalisatie!J79),Baseline_Backlog!E182),0))</f>
        <v>0</v>
      </c>
      <c r="F182" s="91">
        <f>(IF(Optimalisatie!C79="Nieuwe Situatie",_xlfn.IFNA(IF(Optimalisatie!E79="Categorie_1_LCA_Producten",VLOOKUP(Inschrijf_CO2_Totaal[[#This Row],[Product]],Categorie_1_Producten[#All],16,FALSE)*(Optimalisatie!J79),VLOOKUP(Inschrijf_CO2_Totaal[[#This Row],[Product]]&amp;", "&amp;Inschrijf_CO2_Totaal[[#Headers],[A3]],Database_Productkaarten[#All],18,FALSE)*Optimalisatie!J79),Baseline_Backlog!F182),0))</f>
        <v>0</v>
      </c>
      <c r="G182" s="91">
        <f>(IF(Optimalisatie!C79="Nieuwe Situatie",_xlfn.IFNA(IF(Optimalisatie!E79="Categorie_1_LCA_Producten",VLOOKUP(Inschrijf_CO2_Totaal[[#This Row],[Product]],Categorie_1_Producten[#All],19,FALSE)*(Optimalisatie!J79),VLOOKUP(Inschrijf_CO2_Totaal[[#This Row],[Product]]&amp;", "&amp;Inschrijf_CO2_Totaal[[#Headers],[A1-A3]],Database_Productkaarten[#All],18,FALSE)*Optimalisatie!J79),Baseline_Backlog!G182),0))</f>
        <v>0</v>
      </c>
      <c r="H182" s="91">
        <f>(IF(Optimalisatie!C79="Nieuwe Situatie",_xlfn.IFNA(VLOOKUP(Optimalisatie!V79,Database_Transport[#All],12,FALSE)*(Optimalisatie!R79*Optimalisatie!U79),Baseline_Backlog!H182),0))</f>
        <v>0</v>
      </c>
      <c r="I182" s="91">
        <f>IF(Optimalisatie!C79="Nieuwe situatie",IF(_xlfn.IFNA((VLOOKUP(Optimalisatie!W79,Database_Asfalt_Aanlegset[#All],12,FALSE)*Optimalisatie!J79),0)+_xlfn.IFNA(VLOOKUP(Optimalisatie!X79,Database_Brandstoffen[#All],12,FALSE)*((Optimalisatie!J79/Optimalisatie!Z79)*Optimalisatie!Y79),0)&gt;0,_xlfn.IFNA((VLOOKUP(Optimalisatie!W79,Database_Asfalt_Aanlegset[#All],12,FALSE)*Optimalisatie!J79),0)+_xlfn.IFNA(VLOOKUP(Optimalisatie!X79,Database_Brandstoffen[#All],12,FALSE)*((Optimalisatie!J79/Optimalisatie!Z79)*Optimalisatie!Y79),0),(_xlfn.IFNA(VLOOKUP(Inschrijf_CO2_Totaal[[#This Row],[Product]]&amp;", "&amp;Inschrijf_MKI_Totaal[[#Headers],[A5]],Database_Productkaarten[#All],18,FALSE),0)*Optimalisatie!J79)),0)</f>
        <v>0</v>
      </c>
      <c r="J182" s="91">
        <f>(IF(Optimalisatie!C79="Nieuwe Situatie",_xlfn.IFNA(IF(Optimalisatie!E79="Categorie_1_LCA_Producten",VLOOKUP(Inschrijf_CO2_Totaal[[#This Row],[Product]],Categorie_1_Producten[#All],20,FALSE)*(Optimalisatie!R79),VLOOKUP(Inschrijf_CO2_Totaal[[#This Row],[Product]]&amp;", "&amp;Inschrijf_CO2_Totaal[[#Headers],[B1]],Database_Productkaarten[#All],18,FALSE)*Optimalisatie!J79),Baseline_Backlog!J182),0))</f>
        <v>0</v>
      </c>
      <c r="K182" s="91">
        <f>(IF(Optimalisatie!C79="Nieuwe Situatie",_xlfn.IFNA(SUM(Inschrijf_CO2_Totaal[[#This Row],[A1]:[B1]],Inschrijf_CO2_Totaal[[#This Row],[C1]:[D2]])*Optimalisatie!T79,0),0))</f>
        <v>0</v>
      </c>
      <c r="L182" s="91">
        <f>IF(Optimalisatie!C79="Bestaande situatie",IF(_xlfn.IFNA((VLOOKUP(Optimalisatie!AA79,Database_Asfalt_Verwijderset[#All],12,FALSE)*Optimalisatie!J79),0)+_xlfn.IFNA(VLOOKUP(Optimalisatie!AB79,Database_Brandstoffen[#All],12,FALSE)*((Optimalisatie!J79/Optimalisatie!AD79)*Optimalisatie!AC79),0)&gt;0,_xlfn.IFNA((VLOOKUP(Optimalisatie!AA79,Database_Asfalt_Verwijderset[#All],12,FALSE)*Optimalisatie!J79),0)+_xlfn.IFNA(VLOOKUP(Optimalisatie!AB79,Database_Brandstoffen[#All],12,FALSE)*((Optimalisatie!J79/Optimalisatie!AD79)*Optimalisatie!AC79),0),(_xlfn.IFNA(VLOOKUP(Inschrijf_CO2_Totaal[[#This Row],[Product]]&amp;", "&amp;Inschrijf_MKI_Totaal[[#Headers],[C1]],Database_Productkaarten[#All],18,FALSE),0)*Optimalisatie!J79)),0)</f>
        <v>0</v>
      </c>
      <c r="M182" s="91">
        <f>(IF(Optimalisatie!C79="Bestaande Situatie",_xlfn.IFNA(VLOOKUP(Optimalisatie!AF79,Database_Transport[#All],12,FALSE)*(Optimalisatie!R79*Optimalisatie!AE79),Baseline_Backlog!M182),0))</f>
        <v>0</v>
      </c>
      <c r="N182" s="91">
        <f>(IF(Optimalisatie!C79="Bestaande Situatie",_xlfn.IFNA(VLOOKUP(Optimalisatie!AG79,Database_Asfalt_Verwerkingsset[#All],12,FALSE)*(Optimalisatie!J79/VLOOKUP(Optimalisatie!AG79,Database_Asfalt_Verwerkingsset[#All],12,FALSE)),Baseline_Backlog!N182),0))</f>
        <v>0</v>
      </c>
      <c r="O182" s="91">
        <f>(IF(Optimalisatie!C79="Bestaande Situatie",_xlfn.IFNA(VLOOKUP(Inschrijf_CO2_Totaal[[#This Row],[Product]]&amp;", "&amp;Inschrijf_CO2_Totaal[[#Headers],[C4]],Database_Productkaarten[#All],18,FALSE)*Optimalisatie!J79,Baseline_Backlog!O182),0))</f>
        <v>0</v>
      </c>
      <c r="P182" s="91">
        <f>(IF(Optimalisatie!C79="Bestaande Situatie",_xlfn.IFNA(IF(Optimalisatie!E79="Categorie_1_LCA_Producten",VLOOKUP(Inschrijf_CO2_Totaal[[#This Row],[Product]],Categorie_1_Producten[#All],18,FALSE)*(Optimalisatie!J79),VLOOKUP(Inschrijf_CO2_Totaal[[#This Row],[Product]]&amp;", "&amp;Inschrijf_CO2_Totaal[[#Headers],[D1]],Database_Productkaarten[#All],18,FALSE)*Optimalisatie!J79),Baseline_Backlog!P182),0))</f>
        <v>0</v>
      </c>
      <c r="Q182" s="91">
        <f>(IF(Optimalisatie!C79="Bestaande Situatie",_xlfn.IFNA(IF(Optimalisatie!E79="Categorie_1_LCA_Producten",VLOOKUP(Inschrijf_CO2_Totaal[[#This Row],[Product]],Categorie_1_Producten[#All],19,FALSE)*(Optimalisatie!J79),VLOOKUP(Inschrijf_CO2_Totaal[[#This Row],[Product]]&amp;", "&amp;Inschrijf_CO2_Totaal[[#Headers],[D2]],Database_Productkaarten[#All],18,FALSE)*Optimalisatie!J79),Baseline_Backlog!Q182),0))</f>
        <v>0</v>
      </c>
      <c r="R182" s="91">
        <f>(IF(Optimalisatie!C79="Bestaande Situatie",_xlfn.IFNA(IF(Optimalisatie!E79="Categorie_1_LCA_Producten",VLOOKUP(Inschrijf_CO2_Totaal[[#This Row],[Product]],Categorie_1_Producten[#All],21,FALSE)*(Optimalisatie!J79),VLOOKUP(Inschrijf_CO2_Totaal[[#This Row],[Product]]&amp;", "&amp;Inschrijf_CO2_Totaal[[#Headers],[D]],Database_Productkaarten[#All],18,FALSE)*Optimalisatie!J79),Baseline_Backlog!S182),0))</f>
        <v>0</v>
      </c>
      <c r="S182" s="91">
        <f>SUM(Inschrijf_CO2_Totaal[[#This Row],[A1-A3]:[C4]])+Inschrijf_CO2_Totaal[[#This Row],[D]]</f>
        <v>0</v>
      </c>
    </row>
    <row r="183" spans="2:19">
      <c r="B183" s="208">
        <f>Optimalisatie!B80</f>
        <v>0</v>
      </c>
      <c r="C183" s="1">
        <f>Optimalisatie!F80</f>
        <v>0</v>
      </c>
      <c r="D183" s="91">
        <f>(IF(Optimalisatie!C80="Nieuwe Situatie",_xlfn.IFNA(IF(Optimalisatie!E80="Categorie_1_LCA_Producten",VLOOKUP(Inschrijf_CO2_Totaal[[#This Row],[Product]],Categorie_1_Producten[#All],14,FALSE)*(Optimalisatie!J80),VLOOKUP(Inschrijf_CO2_Totaal[[#This Row],[Product]]&amp;", "&amp;Inschrijf_CO2_Totaal[[#Headers],[A1]],Database_Productkaarten[#All],18,FALSE)*Optimalisatie!J80),Baseline_Backlog!D183),0))</f>
        <v>0</v>
      </c>
      <c r="E183" s="91">
        <f>(IF(Optimalisatie!C80="Nieuwe Situatie",_xlfn.IFNA(IF(Optimalisatie!E80="Categorie_1_LCA_Producten",VLOOKUP(Inschrijf_CO2_Totaal[[#This Row],[Product]],Categorie_1_Producten[#All],15,FALSE)*(Optimalisatie!J80),VLOOKUP(Inschrijf_CO2_Totaal[[#This Row],[Product]]&amp;", "&amp;Inschrijf_CO2_Totaal[[#Headers],[A2]],Database_Productkaarten[#All],18,FALSE)*Optimalisatie!J80),Baseline_Backlog!E183),0))</f>
        <v>0</v>
      </c>
      <c r="F183" s="91">
        <f>(IF(Optimalisatie!C80="Nieuwe Situatie",_xlfn.IFNA(IF(Optimalisatie!E80="Categorie_1_LCA_Producten",VLOOKUP(Inschrijf_CO2_Totaal[[#This Row],[Product]],Categorie_1_Producten[#All],16,FALSE)*(Optimalisatie!J80),VLOOKUP(Inschrijf_CO2_Totaal[[#This Row],[Product]]&amp;", "&amp;Inschrijf_CO2_Totaal[[#Headers],[A3]],Database_Productkaarten[#All],18,FALSE)*Optimalisatie!J80),Baseline_Backlog!F183),0))</f>
        <v>0</v>
      </c>
      <c r="G183" s="91">
        <f>(IF(Optimalisatie!C80="Nieuwe Situatie",_xlfn.IFNA(IF(Optimalisatie!E80="Categorie_1_LCA_Producten",VLOOKUP(Inschrijf_CO2_Totaal[[#This Row],[Product]],Categorie_1_Producten[#All],19,FALSE)*(Optimalisatie!J80),VLOOKUP(Inschrijf_CO2_Totaal[[#This Row],[Product]]&amp;", "&amp;Inschrijf_CO2_Totaal[[#Headers],[A1-A3]],Database_Productkaarten[#All],18,FALSE)*Optimalisatie!J80),Baseline_Backlog!G183),0))</f>
        <v>0</v>
      </c>
      <c r="H183" s="91">
        <f>(IF(Optimalisatie!C80="Nieuwe Situatie",_xlfn.IFNA(VLOOKUP(Optimalisatie!V80,Database_Transport[#All],12,FALSE)*(Optimalisatie!R80*Optimalisatie!U80),Baseline_Backlog!H183),0))</f>
        <v>0</v>
      </c>
      <c r="I183" s="91">
        <f>IF(Optimalisatie!C80="Nieuwe situatie",IF(_xlfn.IFNA((VLOOKUP(Optimalisatie!W80,Database_Asfalt_Aanlegset[#All],12,FALSE)*Optimalisatie!J80),0)+_xlfn.IFNA(VLOOKUP(Optimalisatie!X80,Database_Brandstoffen[#All],12,FALSE)*((Optimalisatie!J80/Optimalisatie!Z80)*Optimalisatie!Y80),0)&gt;0,_xlfn.IFNA((VLOOKUP(Optimalisatie!W80,Database_Asfalt_Aanlegset[#All],12,FALSE)*Optimalisatie!J80),0)+_xlfn.IFNA(VLOOKUP(Optimalisatie!X80,Database_Brandstoffen[#All],12,FALSE)*((Optimalisatie!J80/Optimalisatie!Z80)*Optimalisatie!Y80),0),(_xlfn.IFNA(VLOOKUP(Inschrijf_CO2_Totaal[[#This Row],[Product]]&amp;", "&amp;Inschrijf_MKI_Totaal[[#Headers],[A5]],Database_Productkaarten[#All],18,FALSE),0)*Optimalisatie!J80)),0)</f>
        <v>0</v>
      </c>
      <c r="J183" s="91">
        <f>(IF(Optimalisatie!C80="Nieuwe Situatie",_xlfn.IFNA(IF(Optimalisatie!E80="Categorie_1_LCA_Producten",VLOOKUP(Inschrijf_CO2_Totaal[[#This Row],[Product]],Categorie_1_Producten[#All],20,FALSE)*(Optimalisatie!R80),VLOOKUP(Inschrijf_CO2_Totaal[[#This Row],[Product]]&amp;", "&amp;Inschrijf_CO2_Totaal[[#Headers],[B1]],Database_Productkaarten[#All],18,FALSE)*Optimalisatie!J80),Baseline_Backlog!J183),0))</f>
        <v>0</v>
      </c>
      <c r="K183" s="91">
        <f>(IF(Optimalisatie!C80="Nieuwe Situatie",_xlfn.IFNA(SUM(Inschrijf_CO2_Totaal[[#This Row],[A1]:[B1]],Inschrijf_CO2_Totaal[[#This Row],[C1]:[D2]])*Optimalisatie!T80,0),0))</f>
        <v>0</v>
      </c>
      <c r="L183" s="91">
        <f>IF(Optimalisatie!C80="Bestaande situatie",IF(_xlfn.IFNA((VLOOKUP(Optimalisatie!AA80,Database_Asfalt_Verwijderset[#All],12,FALSE)*Optimalisatie!J80),0)+_xlfn.IFNA(VLOOKUP(Optimalisatie!AB80,Database_Brandstoffen[#All],12,FALSE)*((Optimalisatie!J80/Optimalisatie!AD80)*Optimalisatie!AC80),0)&gt;0,_xlfn.IFNA((VLOOKUP(Optimalisatie!AA80,Database_Asfalt_Verwijderset[#All],12,FALSE)*Optimalisatie!J80),0)+_xlfn.IFNA(VLOOKUP(Optimalisatie!AB80,Database_Brandstoffen[#All],12,FALSE)*((Optimalisatie!J80/Optimalisatie!AD80)*Optimalisatie!AC80),0),(_xlfn.IFNA(VLOOKUP(Inschrijf_CO2_Totaal[[#This Row],[Product]]&amp;", "&amp;Inschrijf_MKI_Totaal[[#Headers],[C1]],Database_Productkaarten[#All],18,FALSE),0)*Optimalisatie!J80)),0)</f>
        <v>0</v>
      </c>
      <c r="M183" s="91">
        <f>(IF(Optimalisatie!C80="Bestaande Situatie",_xlfn.IFNA(VLOOKUP(Optimalisatie!AF80,Database_Transport[#All],12,FALSE)*(Optimalisatie!R80*Optimalisatie!AE80),Baseline_Backlog!M183),0))</f>
        <v>0</v>
      </c>
      <c r="N183" s="91">
        <f>(IF(Optimalisatie!C80="Bestaande Situatie",_xlfn.IFNA(VLOOKUP(Optimalisatie!AG80,Database_Asfalt_Verwerkingsset[#All],12,FALSE)*(Optimalisatie!J80/VLOOKUP(Optimalisatie!AG80,Database_Asfalt_Verwerkingsset[#All],12,FALSE)),Baseline_Backlog!N183),0))</f>
        <v>0</v>
      </c>
      <c r="O183" s="91">
        <f>(IF(Optimalisatie!C80="Bestaande Situatie",_xlfn.IFNA(VLOOKUP(Inschrijf_CO2_Totaal[[#This Row],[Product]]&amp;", "&amp;Inschrijf_CO2_Totaal[[#Headers],[C4]],Database_Productkaarten[#All],18,FALSE)*Optimalisatie!J80,Baseline_Backlog!O183),0))</f>
        <v>0</v>
      </c>
      <c r="P183" s="91">
        <f>(IF(Optimalisatie!C80="Bestaande Situatie",_xlfn.IFNA(IF(Optimalisatie!E80="Categorie_1_LCA_Producten",VLOOKUP(Inschrijf_CO2_Totaal[[#This Row],[Product]],Categorie_1_Producten[#All],18,FALSE)*(Optimalisatie!J80),VLOOKUP(Inschrijf_CO2_Totaal[[#This Row],[Product]]&amp;", "&amp;Inschrijf_CO2_Totaal[[#Headers],[D1]],Database_Productkaarten[#All],18,FALSE)*Optimalisatie!J80),Baseline_Backlog!P183),0))</f>
        <v>0</v>
      </c>
      <c r="Q183" s="91">
        <f>(IF(Optimalisatie!C80="Bestaande Situatie",_xlfn.IFNA(IF(Optimalisatie!E80="Categorie_1_LCA_Producten",VLOOKUP(Inschrijf_CO2_Totaal[[#This Row],[Product]],Categorie_1_Producten[#All],19,FALSE)*(Optimalisatie!J80),VLOOKUP(Inschrijf_CO2_Totaal[[#This Row],[Product]]&amp;", "&amp;Inschrijf_CO2_Totaal[[#Headers],[D2]],Database_Productkaarten[#All],18,FALSE)*Optimalisatie!J80),Baseline_Backlog!Q183),0))</f>
        <v>0</v>
      </c>
      <c r="R183" s="91">
        <f>(IF(Optimalisatie!C80="Bestaande Situatie",_xlfn.IFNA(IF(Optimalisatie!E80="Categorie_1_LCA_Producten",VLOOKUP(Inschrijf_CO2_Totaal[[#This Row],[Product]],Categorie_1_Producten[#All],21,FALSE)*(Optimalisatie!J80),VLOOKUP(Inschrijf_CO2_Totaal[[#This Row],[Product]]&amp;", "&amp;Inschrijf_CO2_Totaal[[#Headers],[D]],Database_Productkaarten[#All],18,FALSE)*Optimalisatie!J80),Baseline_Backlog!S183),0))</f>
        <v>0</v>
      </c>
      <c r="S183" s="91">
        <f>SUM(Inschrijf_CO2_Totaal[[#This Row],[A1-A3]:[C4]])+Inschrijf_CO2_Totaal[[#This Row],[D]]</f>
        <v>0</v>
      </c>
    </row>
    <row r="184" spans="2:19">
      <c r="B184" s="208">
        <f>Optimalisatie!B81</f>
        <v>0</v>
      </c>
      <c r="C184" s="1">
        <f>Optimalisatie!F81</f>
        <v>0</v>
      </c>
      <c r="D184" s="91">
        <f>(IF(Optimalisatie!C81="Nieuwe Situatie",_xlfn.IFNA(IF(Optimalisatie!E81="Categorie_1_LCA_Producten",VLOOKUP(Inschrijf_CO2_Totaal[[#This Row],[Product]],Categorie_1_Producten[#All],14,FALSE)*(Optimalisatie!J81),VLOOKUP(Inschrijf_CO2_Totaal[[#This Row],[Product]]&amp;", "&amp;Inschrijf_CO2_Totaal[[#Headers],[A1]],Database_Productkaarten[#All],18,FALSE)*Optimalisatie!J81),Baseline_Backlog!D184),0))</f>
        <v>0</v>
      </c>
      <c r="E184" s="91">
        <f>(IF(Optimalisatie!C81="Nieuwe Situatie",_xlfn.IFNA(IF(Optimalisatie!E81="Categorie_1_LCA_Producten",VLOOKUP(Inschrijf_CO2_Totaal[[#This Row],[Product]],Categorie_1_Producten[#All],15,FALSE)*(Optimalisatie!J81),VLOOKUP(Inschrijf_CO2_Totaal[[#This Row],[Product]]&amp;", "&amp;Inschrijf_CO2_Totaal[[#Headers],[A2]],Database_Productkaarten[#All],18,FALSE)*Optimalisatie!J81),Baseline_Backlog!E184),0))</f>
        <v>0</v>
      </c>
      <c r="F184" s="91">
        <f>(IF(Optimalisatie!C81="Nieuwe Situatie",_xlfn.IFNA(IF(Optimalisatie!E81="Categorie_1_LCA_Producten",VLOOKUP(Inschrijf_CO2_Totaal[[#This Row],[Product]],Categorie_1_Producten[#All],16,FALSE)*(Optimalisatie!J81),VLOOKUP(Inschrijf_CO2_Totaal[[#This Row],[Product]]&amp;", "&amp;Inschrijf_CO2_Totaal[[#Headers],[A3]],Database_Productkaarten[#All],18,FALSE)*Optimalisatie!J81),Baseline_Backlog!F184),0))</f>
        <v>0</v>
      </c>
      <c r="G184" s="91">
        <f>(IF(Optimalisatie!C81="Nieuwe Situatie",_xlfn.IFNA(IF(Optimalisatie!E81="Categorie_1_LCA_Producten",VLOOKUP(Inschrijf_CO2_Totaal[[#This Row],[Product]],Categorie_1_Producten[#All],19,FALSE)*(Optimalisatie!J81),VLOOKUP(Inschrijf_CO2_Totaal[[#This Row],[Product]]&amp;", "&amp;Inschrijf_CO2_Totaal[[#Headers],[A1-A3]],Database_Productkaarten[#All],18,FALSE)*Optimalisatie!J81),Baseline_Backlog!G184),0))</f>
        <v>0</v>
      </c>
      <c r="H184" s="91">
        <f>(IF(Optimalisatie!C81="Nieuwe Situatie",_xlfn.IFNA(VLOOKUP(Optimalisatie!V81,Database_Transport[#All],12,FALSE)*(Optimalisatie!R81*Optimalisatie!U81),Baseline_Backlog!H184),0))</f>
        <v>0</v>
      </c>
      <c r="I184" s="91">
        <f>IF(Optimalisatie!C81="Nieuwe situatie",IF(_xlfn.IFNA((VLOOKUP(Optimalisatie!W81,Database_Asfalt_Aanlegset[#All],12,FALSE)*Optimalisatie!J81),0)+_xlfn.IFNA(VLOOKUP(Optimalisatie!X81,Database_Brandstoffen[#All],12,FALSE)*((Optimalisatie!J81/Optimalisatie!Z81)*Optimalisatie!Y81),0)&gt;0,_xlfn.IFNA((VLOOKUP(Optimalisatie!W81,Database_Asfalt_Aanlegset[#All],12,FALSE)*Optimalisatie!J81),0)+_xlfn.IFNA(VLOOKUP(Optimalisatie!X81,Database_Brandstoffen[#All],12,FALSE)*((Optimalisatie!J81/Optimalisatie!Z81)*Optimalisatie!Y81),0),(_xlfn.IFNA(VLOOKUP(Inschrijf_CO2_Totaal[[#This Row],[Product]]&amp;", "&amp;Inschrijf_MKI_Totaal[[#Headers],[A5]],Database_Productkaarten[#All],18,FALSE),0)*Optimalisatie!J81)),0)</f>
        <v>0</v>
      </c>
      <c r="J184" s="91">
        <f>(IF(Optimalisatie!C81="Nieuwe Situatie",_xlfn.IFNA(IF(Optimalisatie!E81="Categorie_1_LCA_Producten",VLOOKUP(Inschrijf_CO2_Totaal[[#This Row],[Product]],Categorie_1_Producten[#All],20,FALSE)*(Optimalisatie!R81),VLOOKUP(Inschrijf_CO2_Totaal[[#This Row],[Product]]&amp;", "&amp;Inschrijf_CO2_Totaal[[#Headers],[B1]],Database_Productkaarten[#All],18,FALSE)*Optimalisatie!J81),Baseline_Backlog!J184),0))</f>
        <v>0</v>
      </c>
      <c r="K184" s="91">
        <f>(IF(Optimalisatie!C81="Nieuwe Situatie",_xlfn.IFNA(SUM(Inschrijf_CO2_Totaal[[#This Row],[A1]:[B1]],Inschrijf_CO2_Totaal[[#This Row],[C1]:[D2]])*Optimalisatie!T81,0),0))</f>
        <v>0</v>
      </c>
      <c r="L184" s="91">
        <f>IF(Optimalisatie!C81="Bestaande situatie",IF(_xlfn.IFNA((VLOOKUP(Optimalisatie!AA81,Database_Asfalt_Verwijderset[#All],12,FALSE)*Optimalisatie!J81),0)+_xlfn.IFNA(VLOOKUP(Optimalisatie!AB81,Database_Brandstoffen[#All],12,FALSE)*((Optimalisatie!J81/Optimalisatie!AD81)*Optimalisatie!AC81),0)&gt;0,_xlfn.IFNA((VLOOKUP(Optimalisatie!AA81,Database_Asfalt_Verwijderset[#All],12,FALSE)*Optimalisatie!J81),0)+_xlfn.IFNA(VLOOKUP(Optimalisatie!AB81,Database_Brandstoffen[#All],12,FALSE)*((Optimalisatie!J81/Optimalisatie!AD81)*Optimalisatie!AC81),0),(_xlfn.IFNA(VLOOKUP(Inschrijf_CO2_Totaal[[#This Row],[Product]]&amp;", "&amp;Inschrijf_MKI_Totaal[[#Headers],[C1]],Database_Productkaarten[#All],18,FALSE),0)*Optimalisatie!J81)),0)</f>
        <v>0</v>
      </c>
      <c r="M184" s="91">
        <f>(IF(Optimalisatie!C81="Bestaande Situatie",_xlfn.IFNA(VLOOKUP(Optimalisatie!AF81,Database_Transport[#All],12,FALSE)*(Optimalisatie!R81*Optimalisatie!AE81),Baseline_Backlog!M184),0))</f>
        <v>0</v>
      </c>
      <c r="N184" s="91">
        <f>(IF(Optimalisatie!C81="Bestaande Situatie",_xlfn.IFNA(VLOOKUP(Optimalisatie!AG81,Database_Asfalt_Verwerkingsset[#All],12,FALSE)*(Optimalisatie!J81/VLOOKUP(Optimalisatie!AG81,Database_Asfalt_Verwerkingsset[#All],12,FALSE)),Baseline_Backlog!N184),0))</f>
        <v>0</v>
      </c>
      <c r="O184" s="91">
        <f>(IF(Optimalisatie!C81="Bestaande Situatie",_xlfn.IFNA(VLOOKUP(Inschrijf_CO2_Totaal[[#This Row],[Product]]&amp;", "&amp;Inschrijf_CO2_Totaal[[#Headers],[C4]],Database_Productkaarten[#All],18,FALSE)*Optimalisatie!J81,Baseline_Backlog!O184),0))</f>
        <v>0</v>
      </c>
      <c r="P184" s="91">
        <f>(IF(Optimalisatie!C81="Bestaande Situatie",_xlfn.IFNA(IF(Optimalisatie!E81="Categorie_1_LCA_Producten",VLOOKUP(Inschrijf_CO2_Totaal[[#This Row],[Product]],Categorie_1_Producten[#All],18,FALSE)*(Optimalisatie!J81),VLOOKUP(Inschrijf_CO2_Totaal[[#This Row],[Product]]&amp;", "&amp;Inschrijf_CO2_Totaal[[#Headers],[D1]],Database_Productkaarten[#All],18,FALSE)*Optimalisatie!J81),Baseline_Backlog!P184),0))</f>
        <v>0</v>
      </c>
      <c r="Q184" s="91">
        <f>(IF(Optimalisatie!C81="Bestaande Situatie",_xlfn.IFNA(IF(Optimalisatie!E81="Categorie_1_LCA_Producten",VLOOKUP(Inschrijf_CO2_Totaal[[#This Row],[Product]],Categorie_1_Producten[#All],19,FALSE)*(Optimalisatie!J81),VLOOKUP(Inschrijf_CO2_Totaal[[#This Row],[Product]]&amp;", "&amp;Inschrijf_CO2_Totaal[[#Headers],[D2]],Database_Productkaarten[#All],18,FALSE)*Optimalisatie!J81),Baseline_Backlog!Q184),0))</f>
        <v>0</v>
      </c>
      <c r="R184" s="91">
        <f>(IF(Optimalisatie!C81="Bestaande Situatie",_xlfn.IFNA(IF(Optimalisatie!E81="Categorie_1_LCA_Producten",VLOOKUP(Inschrijf_CO2_Totaal[[#This Row],[Product]],Categorie_1_Producten[#All],21,FALSE)*(Optimalisatie!J81),VLOOKUP(Inschrijf_CO2_Totaal[[#This Row],[Product]]&amp;", "&amp;Inschrijf_CO2_Totaal[[#Headers],[D]],Database_Productkaarten[#All],18,FALSE)*Optimalisatie!J81),Baseline_Backlog!S184),0))</f>
        <v>0</v>
      </c>
      <c r="S184" s="91">
        <f>SUM(Inschrijf_CO2_Totaal[[#This Row],[A1-A3]:[C4]])+Inschrijf_CO2_Totaal[[#This Row],[D]]</f>
        <v>0</v>
      </c>
    </row>
    <row r="185" spans="2:19">
      <c r="B185" s="208">
        <f>Optimalisatie!B82</f>
        <v>0</v>
      </c>
      <c r="C185" s="1">
        <f>Optimalisatie!F82</f>
        <v>0</v>
      </c>
      <c r="D185" s="91">
        <f>(IF(Optimalisatie!C82="Nieuwe Situatie",_xlfn.IFNA(IF(Optimalisatie!E82="Categorie_1_LCA_Producten",VLOOKUP(Inschrijf_CO2_Totaal[[#This Row],[Product]],Categorie_1_Producten[#All],14,FALSE)*(Optimalisatie!J82),VLOOKUP(Inschrijf_CO2_Totaal[[#This Row],[Product]]&amp;", "&amp;Inschrijf_CO2_Totaal[[#Headers],[A1]],Database_Productkaarten[#All],18,FALSE)*Optimalisatie!J82),Baseline_Backlog!D185),0))</f>
        <v>0</v>
      </c>
      <c r="E185" s="91">
        <f>(IF(Optimalisatie!C82="Nieuwe Situatie",_xlfn.IFNA(IF(Optimalisatie!E82="Categorie_1_LCA_Producten",VLOOKUP(Inschrijf_CO2_Totaal[[#This Row],[Product]],Categorie_1_Producten[#All],15,FALSE)*(Optimalisatie!J82),VLOOKUP(Inschrijf_CO2_Totaal[[#This Row],[Product]]&amp;", "&amp;Inschrijf_CO2_Totaal[[#Headers],[A2]],Database_Productkaarten[#All],18,FALSE)*Optimalisatie!J82),Baseline_Backlog!E185),0))</f>
        <v>0</v>
      </c>
      <c r="F185" s="91">
        <f>(IF(Optimalisatie!C82="Nieuwe Situatie",_xlfn.IFNA(IF(Optimalisatie!E82="Categorie_1_LCA_Producten",VLOOKUP(Inschrijf_CO2_Totaal[[#This Row],[Product]],Categorie_1_Producten[#All],16,FALSE)*(Optimalisatie!J82),VLOOKUP(Inschrijf_CO2_Totaal[[#This Row],[Product]]&amp;", "&amp;Inschrijf_CO2_Totaal[[#Headers],[A3]],Database_Productkaarten[#All],18,FALSE)*Optimalisatie!J82),Baseline_Backlog!F185),0))</f>
        <v>0</v>
      </c>
      <c r="G185" s="91">
        <f>(IF(Optimalisatie!C82="Nieuwe Situatie",_xlfn.IFNA(IF(Optimalisatie!E82="Categorie_1_LCA_Producten",VLOOKUP(Inschrijf_CO2_Totaal[[#This Row],[Product]],Categorie_1_Producten[#All],19,FALSE)*(Optimalisatie!J82),VLOOKUP(Inschrijf_CO2_Totaal[[#This Row],[Product]]&amp;", "&amp;Inschrijf_CO2_Totaal[[#Headers],[A1-A3]],Database_Productkaarten[#All],18,FALSE)*Optimalisatie!J82),Baseline_Backlog!G185),0))</f>
        <v>0</v>
      </c>
      <c r="H185" s="91">
        <f>(IF(Optimalisatie!C82="Nieuwe Situatie",_xlfn.IFNA(VLOOKUP(Optimalisatie!V82,Database_Transport[#All],12,FALSE)*(Optimalisatie!R82*Optimalisatie!U82),Baseline_Backlog!H185),0))</f>
        <v>0</v>
      </c>
      <c r="I185" s="91">
        <f>IF(Optimalisatie!C82="Nieuwe situatie",IF(_xlfn.IFNA((VLOOKUP(Optimalisatie!W82,Database_Asfalt_Aanlegset[#All],12,FALSE)*Optimalisatie!J82),0)+_xlfn.IFNA(VLOOKUP(Optimalisatie!X82,Database_Brandstoffen[#All],12,FALSE)*((Optimalisatie!J82/Optimalisatie!Z82)*Optimalisatie!Y82),0)&gt;0,_xlfn.IFNA((VLOOKUP(Optimalisatie!W82,Database_Asfalt_Aanlegset[#All],12,FALSE)*Optimalisatie!J82),0)+_xlfn.IFNA(VLOOKUP(Optimalisatie!X82,Database_Brandstoffen[#All],12,FALSE)*((Optimalisatie!J82/Optimalisatie!Z82)*Optimalisatie!Y82),0),(_xlfn.IFNA(VLOOKUP(Inschrijf_CO2_Totaal[[#This Row],[Product]]&amp;", "&amp;Inschrijf_MKI_Totaal[[#Headers],[A5]],Database_Productkaarten[#All],18,FALSE),0)*Optimalisatie!J82)),0)</f>
        <v>0</v>
      </c>
      <c r="J185" s="91">
        <f>(IF(Optimalisatie!C82="Nieuwe Situatie",_xlfn.IFNA(IF(Optimalisatie!E82="Categorie_1_LCA_Producten",VLOOKUP(Inschrijf_CO2_Totaal[[#This Row],[Product]],Categorie_1_Producten[#All],20,FALSE)*(Optimalisatie!R82),VLOOKUP(Inschrijf_CO2_Totaal[[#This Row],[Product]]&amp;", "&amp;Inschrijf_CO2_Totaal[[#Headers],[B1]],Database_Productkaarten[#All],18,FALSE)*Optimalisatie!J82),Baseline_Backlog!J185),0))</f>
        <v>0</v>
      </c>
      <c r="K185" s="91">
        <f>(IF(Optimalisatie!C82="Nieuwe Situatie",_xlfn.IFNA(SUM(Inschrijf_CO2_Totaal[[#This Row],[A1]:[B1]],Inschrijf_CO2_Totaal[[#This Row],[C1]:[D2]])*Optimalisatie!T82,0),0))</f>
        <v>0</v>
      </c>
      <c r="L185" s="91">
        <f>IF(Optimalisatie!C82="Bestaande situatie",IF(_xlfn.IFNA((VLOOKUP(Optimalisatie!AA82,Database_Asfalt_Verwijderset[#All],12,FALSE)*Optimalisatie!J82),0)+_xlfn.IFNA(VLOOKUP(Optimalisatie!AB82,Database_Brandstoffen[#All],12,FALSE)*((Optimalisatie!J82/Optimalisatie!AD82)*Optimalisatie!AC82),0)&gt;0,_xlfn.IFNA((VLOOKUP(Optimalisatie!AA82,Database_Asfalt_Verwijderset[#All],12,FALSE)*Optimalisatie!J82),0)+_xlfn.IFNA(VLOOKUP(Optimalisatie!AB82,Database_Brandstoffen[#All],12,FALSE)*((Optimalisatie!J82/Optimalisatie!AD82)*Optimalisatie!AC82),0),(_xlfn.IFNA(VLOOKUP(Inschrijf_CO2_Totaal[[#This Row],[Product]]&amp;", "&amp;Inschrijf_MKI_Totaal[[#Headers],[C1]],Database_Productkaarten[#All],18,FALSE),0)*Optimalisatie!J82)),0)</f>
        <v>0</v>
      </c>
      <c r="M185" s="91">
        <f>(IF(Optimalisatie!C82="Bestaande Situatie",_xlfn.IFNA(VLOOKUP(Optimalisatie!AF82,Database_Transport[#All],12,FALSE)*(Optimalisatie!R82*Optimalisatie!AE82),Baseline_Backlog!M185),0))</f>
        <v>0</v>
      </c>
      <c r="N185" s="91">
        <f>(IF(Optimalisatie!C82="Bestaande Situatie",_xlfn.IFNA(VLOOKUP(Optimalisatie!AG82,Database_Asfalt_Verwerkingsset[#All],12,FALSE)*(Optimalisatie!J82/VLOOKUP(Optimalisatie!AG82,Database_Asfalt_Verwerkingsset[#All],12,FALSE)),Baseline_Backlog!N185),0))</f>
        <v>0</v>
      </c>
      <c r="O185" s="91">
        <f>(IF(Optimalisatie!C82="Bestaande Situatie",_xlfn.IFNA(VLOOKUP(Inschrijf_CO2_Totaal[[#This Row],[Product]]&amp;", "&amp;Inschrijf_CO2_Totaal[[#Headers],[C4]],Database_Productkaarten[#All],18,FALSE)*Optimalisatie!J82,Baseline_Backlog!O185),0))</f>
        <v>0</v>
      </c>
      <c r="P185" s="91">
        <f>(IF(Optimalisatie!C82="Bestaande Situatie",_xlfn.IFNA(IF(Optimalisatie!E82="Categorie_1_LCA_Producten",VLOOKUP(Inschrijf_CO2_Totaal[[#This Row],[Product]],Categorie_1_Producten[#All],18,FALSE)*(Optimalisatie!J82),VLOOKUP(Inschrijf_CO2_Totaal[[#This Row],[Product]]&amp;", "&amp;Inschrijf_CO2_Totaal[[#Headers],[D1]],Database_Productkaarten[#All],18,FALSE)*Optimalisatie!J82),Baseline_Backlog!P185),0))</f>
        <v>0</v>
      </c>
      <c r="Q185" s="91">
        <f>(IF(Optimalisatie!C82="Bestaande Situatie",_xlfn.IFNA(IF(Optimalisatie!E82="Categorie_1_LCA_Producten",VLOOKUP(Inschrijf_CO2_Totaal[[#This Row],[Product]],Categorie_1_Producten[#All],19,FALSE)*(Optimalisatie!J82),VLOOKUP(Inschrijf_CO2_Totaal[[#This Row],[Product]]&amp;", "&amp;Inschrijf_CO2_Totaal[[#Headers],[D2]],Database_Productkaarten[#All],18,FALSE)*Optimalisatie!J82),Baseline_Backlog!Q185),0))</f>
        <v>0</v>
      </c>
      <c r="R185" s="91">
        <f>(IF(Optimalisatie!C82="Bestaande Situatie",_xlfn.IFNA(IF(Optimalisatie!E82="Categorie_1_LCA_Producten",VLOOKUP(Inschrijf_CO2_Totaal[[#This Row],[Product]],Categorie_1_Producten[#All],21,FALSE)*(Optimalisatie!J82),VLOOKUP(Inschrijf_CO2_Totaal[[#This Row],[Product]]&amp;", "&amp;Inschrijf_CO2_Totaal[[#Headers],[D]],Database_Productkaarten[#All],18,FALSE)*Optimalisatie!J82),Baseline_Backlog!S185),0))</f>
        <v>0</v>
      </c>
      <c r="S185" s="91">
        <f>SUM(Inschrijf_CO2_Totaal[[#This Row],[A1-A3]:[C4]])+Inschrijf_CO2_Totaal[[#This Row],[D]]</f>
        <v>0</v>
      </c>
    </row>
    <row r="186" spans="2:19">
      <c r="B186" s="208">
        <f>Optimalisatie!B83</f>
        <v>0</v>
      </c>
      <c r="C186" s="1">
        <f>Optimalisatie!F83</f>
        <v>0</v>
      </c>
      <c r="D186" s="91">
        <f>(IF(Optimalisatie!C83="Nieuwe Situatie",_xlfn.IFNA(IF(Optimalisatie!E83="Categorie_1_LCA_Producten",VLOOKUP(Inschrijf_CO2_Totaal[[#This Row],[Product]],Categorie_1_Producten[#All],14,FALSE)*(Optimalisatie!J83),VLOOKUP(Inschrijf_CO2_Totaal[[#This Row],[Product]]&amp;", "&amp;Inschrijf_CO2_Totaal[[#Headers],[A1]],Database_Productkaarten[#All],18,FALSE)*Optimalisatie!J83),Baseline_Backlog!D186),0))</f>
        <v>0</v>
      </c>
      <c r="E186" s="91">
        <f>(IF(Optimalisatie!C83="Nieuwe Situatie",_xlfn.IFNA(IF(Optimalisatie!E83="Categorie_1_LCA_Producten",VLOOKUP(Inschrijf_CO2_Totaal[[#This Row],[Product]],Categorie_1_Producten[#All],15,FALSE)*(Optimalisatie!J83),VLOOKUP(Inschrijf_CO2_Totaal[[#This Row],[Product]]&amp;", "&amp;Inschrijf_CO2_Totaal[[#Headers],[A2]],Database_Productkaarten[#All],18,FALSE)*Optimalisatie!J83),Baseline_Backlog!E186),0))</f>
        <v>0</v>
      </c>
      <c r="F186" s="91">
        <f>(IF(Optimalisatie!C83="Nieuwe Situatie",_xlfn.IFNA(IF(Optimalisatie!E83="Categorie_1_LCA_Producten",VLOOKUP(Inschrijf_CO2_Totaal[[#This Row],[Product]],Categorie_1_Producten[#All],16,FALSE)*(Optimalisatie!J83),VLOOKUP(Inschrijf_CO2_Totaal[[#This Row],[Product]]&amp;", "&amp;Inschrijf_CO2_Totaal[[#Headers],[A3]],Database_Productkaarten[#All],18,FALSE)*Optimalisatie!J83),Baseline_Backlog!F186),0))</f>
        <v>0</v>
      </c>
      <c r="G186" s="91">
        <f>(IF(Optimalisatie!C83="Nieuwe Situatie",_xlfn.IFNA(IF(Optimalisatie!E83="Categorie_1_LCA_Producten",VLOOKUP(Inschrijf_CO2_Totaal[[#This Row],[Product]],Categorie_1_Producten[#All],19,FALSE)*(Optimalisatie!J83),VLOOKUP(Inschrijf_CO2_Totaal[[#This Row],[Product]]&amp;", "&amp;Inschrijf_CO2_Totaal[[#Headers],[A1-A3]],Database_Productkaarten[#All],18,FALSE)*Optimalisatie!J83),Baseline_Backlog!G186),0))</f>
        <v>0</v>
      </c>
      <c r="H186" s="91">
        <f>(IF(Optimalisatie!C83="Nieuwe Situatie",_xlfn.IFNA(VLOOKUP(Optimalisatie!V83,Database_Transport[#All],12,FALSE)*(Optimalisatie!R83*Optimalisatie!U83),Baseline_Backlog!H186),0))</f>
        <v>0</v>
      </c>
      <c r="I186" s="91">
        <f>IF(Optimalisatie!C83="Nieuwe situatie",IF(_xlfn.IFNA((VLOOKUP(Optimalisatie!W83,Database_Asfalt_Aanlegset[#All],12,FALSE)*Optimalisatie!J83),0)+_xlfn.IFNA(VLOOKUP(Optimalisatie!X83,Database_Brandstoffen[#All],12,FALSE)*((Optimalisatie!J83/Optimalisatie!Z83)*Optimalisatie!Y83),0)&gt;0,_xlfn.IFNA((VLOOKUP(Optimalisatie!W83,Database_Asfalt_Aanlegset[#All],12,FALSE)*Optimalisatie!J83),0)+_xlfn.IFNA(VLOOKUP(Optimalisatie!X83,Database_Brandstoffen[#All],12,FALSE)*((Optimalisatie!J83/Optimalisatie!Z83)*Optimalisatie!Y83),0),(_xlfn.IFNA(VLOOKUP(Inschrijf_CO2_Totaal[[#This Row],[Product]]&amp;", "&amp;Inschrijf_MKI_Totaal[[#Headers],[A5]],Database_Productkaarten[#All],18,FALSE),0)*Optimalisatie!J83)),0)</f>
        <v>0</v>
      </c>
      <c r="J186" s="91">
        <f>(IF(Optimalisatie!C83="Nieuwe Situatie",_xlfn.IFNA(IF(Optimalisatie!E83="Categorie_1_LCA_Producten",VLOOKUP(Inschrijf_CO2_Totaal[[#This Row],[Product]],Categorie_1_Producten[#All],20,FALSE)*(Optimalisatie!R83),VLOOKUP(Inschrijf_CO2_Totaal[[#This Row],[Product]]&amp;", "&amp;Inschrijf_CO2_Totaal[[#Headers],[B1]],Database_Productkaarten[#All],18,FALSE)*Optimalisatie!J83),Baseline_Backlog!J186),0))</f>
        <v>0</v>
      </c>
      <c r="K186" s="91">
        <f>(IF(Optimalisatie!C83="Nieuwe Situatie",_xlfn.IFNA(SUM(Inschrijf_CO2_Totaal[[#This Row],[A1]:[B1]],Inschrijf_CO2_Totaal[[#This Row],[C1]:[D2]])*Optimalisatie!T83,0),0))</f>
        <v>0</v>
      </c>
      <c r="L186" s="91">
        <f>IF(Optimalisatie!C83="Bestaande situatie",IF(_xlfn.IFNA((VLOOKUP(Optimalisatie!AA83,Database_Asfalt_Verwijderset[#All],12,FALSE)*Optimalisatie!J83),0)+_xlfn.IFNA(VLOOKUP(Optimalisatie!AB83,Database_Brandstoffen[#All],12,FALSE)*((Optimalisatie!J83/Optimalisatie!AD83)*Optimalisatie!AC83),0)&gt;0,_xlfn.IFNA((VLOOKUP(Optimalisatie!AA83,Database_Asfalt_Verwijderset[#All],12,FALSE)*Optimalisatie!J83),0)+_xlfn.IFNA(VLOOKUP(Optimalisatie!AB83,Database_Brandstoffen[#All],12,FALSE)*((Optimalisatie!J83/Optimalisatie!AD83)*Optimalisatie!AC83),0),(_xlfn.IFNA(VLOOKUP(Inschrijf_CO2_Totaal[[#This Row],[Product]]&amp;", "&amp;Inschrijf_MKI_Totaal[[#Headers],[C1]],Database_Productkaarten[#All],18,FALSE),0)*Optimalisatie!J83)),0)</f>
        <v>0</v>
      </c>
      <c r="M186" s="91">
        <f>(IF(Optimalisatie!C83="Bestaande Situatie",_xlfn.IFNA(VLOOKUP(Optimalisatie!AF83,Database_Transport[#All],12,FALSE)*(Optimalisatie!R83*Optimalisatie!AE83),Baseline_Backlog!M186),0))</f>
        <v>0</v>
      </c>
      <c r="N186" s="91">
        <f>(IF(Optimalisatie!C83="Bestaande Situatie",_xlfn.IFNA(VLOOKUP(Optimalisatie!AG83,Database_Asfalt_Verwerkingsset[#All],12,FALSE)*(Optimalisatie!J83/VLOOKUP(Optimalisatie!AG83,Database_Asfalt_Verwerkingsset[#All],12,FALSE)),Baseline_Backlog!N186),0))</f>
        <v>0</v>
      </c>
      <c r="O186" s="91">
        <f>(IF(Optimalisatie!C83="Bestaande Situatie",_xlfn.IFNA(VLOOKUP(Inschrijf_CO2_Totaal[[#This Row],[Product]]&amp;", "&amp;Inschrijf_CO2_Totaal[[#Headers],[C4]],Database_Productkaarten[#All],18,FALSE)*Optimalisatie!J83,Baseline_Backlog!O186),0))</f>
        <v>0</v>
      </c>
      <c r="P186" s="91">
        <f>(IF(Optimalisatie!C83="Bestaande Situatie",_xlfn.IFNA(IF(Optimalisatie!E83="Categorie_1_LCA_Producten",VLOOKUP(Inschrijf_CO2_Totaal[[#This Row],[Product]],Categorie_1_Producten[#All],18,FALSE)*(Optimalisatie!J83),VLOOKUP(Inschrijf_CO2_Totaal[[#This Row],[Product]]&amp;", "&amp;Inschrijf_CO2_Totaal[[#Headers],[D1]],Database_Productkaarten[#All],18,FALSE)*Optimalisatie!J83),Baseline_Backlog!P186),0))</f>
        <v>0</v>
      </c>
      <c r="Q186" s="91">
        <f>(IF(Optimalisatie!C83="Bestaande Situatie",_xlfn.IFNA(IF(Optimalisatie!E83="Categorie_1_LCA_Producten",VLOOKUP(Inschrijf_CO2_Totaal[[#This Row],[Product]],Categorie_1_Producten[#All],19,FALSE)*(Optimalisatie!J83),VLOOKUP(Inschrijf_CO2_Totaal[[#This Row],[Product]]&amp;", "&amp;Inschrijf_CO2_Totaal[[#Headers],[D2]],Database_Productkaarten[#All],18,FALSE)*Optimalisatie!J83),Baseline_Backlog!Q186),0))</f>
        <v>0</v>
      </c>
      <c r="R186" s="91">
        <f>(IF(Optimalisatie!C83="Bestaande Situatie",_xlfn.IFNA(IF(Optimalisatie!E83="Categorie_1_LCA_Producten",VLOOKUP(Inschrijf_CO2_Totaal[[#This Row],[Product]],Categorie_1_Producten[#All],21,FALSE)*(Optimalisatie!J83),VLOOKUP(Inschrijf_CO2_Totaal[[#This Row],[Product]]&amp;", "&amp;Inschrijf_CO2_Totaal[[#Headers],[D]],Database_Productkaarten[#All],18,FALSE)*Optimalisatie!J83),Baseline_Backlog!S186),0))</f>
        <v>0</v>
      </c>
      <c r="S186" s="91">
        <f>SUM(Inschrijf_CO2_Totaal[[#This Row],[A1-A3]:[C4]])+Inschrijf_CO2_Totaal[[#This Row],[D]]</f>
        <v>0</v>
      </c>
    </row>
    <row r="187" spans="2:19">
      <c r="B187" s="208">
        <f>Optimalisatie!B84</f>
        <v>0</v>
      </c>
      <c r="C187" s="1">
        <f>Optimalisatie!F84</f>
        <v>0</v>
      </c>
      <c r="D187" s="91">
        <f>(IF(Optimalisatie!C84="Nieuwe Situatie",_xlfn.IFNA(IF(Optimalisatie!E84="Categorie_1_LCA_Producten",VLOOKUP(Inschrijf_CO2_Totaal[[#This Row],[Product]],Categorie_1_Producten[#All],14,FALSE)*(Optimalisatie!J84),VLOOKUP(Inschrijf_CO2_Totaal[[#This Row],[Product]]&amp;", "&amp;Inschrijf_CO2_Totaal[[#Headers],[A1]],Database_Productkaarten[#All],18,FALSE)*Optimalisatie!J84),Baseline_Backlog!D187),0))</f>
        <v>0</v>
      </c>
      <c r="E187" s="91">
        <f>(IF(Optimalisatie!C84="Nieuwe Situatie",_xlfn.IFNA(IF(Optimalisatie!E84="Categorie_1_LCA_Producten",VLOOKUP(Inschrijf_CO2_Totaal[[#This Row],[Product]],Categorie_1_Producten[#All],15,FALSE)*(Optimalisatie!J84),VLOOKUP(Inschrijf_CO2_Totaal[[#This Row],[Product]]&amp;", "&amp;Inschrijf_CO2_Totaal[[#Headers],[A2]],Database_Productkaarten[#All],18,FALSE)*Optimalisatie!J84),Baseline_Backlog!E187),0))</f>
        <v>0</v>
      </c>
      <c r="F187" s="91">
        <f>(IF(Optimalisatie!C84="Nieuwe Situatie",_xlfn.IFNA(IF(Optimalisatie!E84="Categorie_1_LCA_Producten",VLOOKUP(Inschrijf_CO2_Totaal[[#This Row],[Product]],Categorie_1_Producten[#All],16,FALSE)*(Optimalisatie!J84),VLOOKUP(Inschrijf_CO2_Totaal[[#This Row],[Product]]&amp;", "&amp;Inschrijf_CO2_Totaal[[#Headers],[A3]],Database_Productkaarten[#All],18,FALSE)*Optimalisatie!J84),Baseline_Backlog!F187),0))</f>
        <v>0</v>
      </c>
      <c r="G187" s="91">
        <f>(IF(Optimalisatie!C84="Nieuwe Situatie",_xlfn.IFNA(IF(Optimalisatie!E84="Categorie_1_LCA_Producten",VLOOKUP(Inschrijf_CO2_Totaal[[#This Row],[Product]],Categorie_1_Producten[#All],19,FALSE)*(Optimalisatie!J84),VLOOKUP(Inschrijf_CO2_Totaal[[#This Row],[Product]]&amp;", "&amp;Inschrijf_CO2_Totaal[[#Headers],[A1-A3]],Database_Productkaarten[#All],18,FALSE)*Optimalisatie!J84),Baseline_Backlog!G187),0))</f>
        <v>0</v>
      </c>
      <c r="H187" s="91">
        <f>(IF(Optimalisatie!C84="Nieuwe Situatie",_xlfn.IFNA(VLOOKUP(Optimalisatie!V84,Database_Transport[#All],12,FALSE)*(Optimalisatie!R84*Optimalisatie!U84),Baseline_Backlog!H187),0))</f>
        <v>0</v>
      </c>
      <c r="I187" s="91">
        <f>IF(Optimalisatie!C84="Nieuwe situatie",IF(_xlfn.IFNA((VLOOKUP(Optimalisatie!W84,Database_Asfalt_Aanlegset[#All],12,FALSE)*Optimalisatie!J84),0)+_xlfn.IFNA(VLOOKUP(Optimalisatie!X84,Database_Brandstoffen[#All],12,FALSE)*((Optimalisatie!J84/Optimalisatie!Z84)*Optimalisatie!Y84),0)&gt;0,_xlfn.IFNA((VLOOKUP(Optimalisatie!W84,Database_Asfalt_Aanlegset[#All],12,FALSE)*Optimalisatie!J84),0)+_xlfn.IFNA(VLOOKUP(Optimalisatie!X84,Database_Brandstoffen[#All],12,FALSE)*((Optimalisatie!J84/Optimalisatie!Z84)*Optimalisatie!Y84),0),(_xlfn.IFNA(VLOOKUP(Inschrijf_CO2_Totaal[[#This Row],[Product]]&amp;", "&amp;Inschrijf_MKI_Totaal[[#Headers],[A5]],Database_Productkaarten[#All],18,FALSE),0)*Optimalisatie!J84)),0)</f>
        <v>0</v>
      </c>
      <c r="J187" s="91">
        <f>(IF(Optimalisatie!C84="Nieuwe Situatie",_xlfn.IFNA(IF(Optimalisatie!E84="Categorie_1_LCA_Producten",VLOOKUP(Inschrijf_CO2_Totaal[[#This Row],[Product]],Categorie_1_Producten[#All],20,FALSE)*(Optimalisatie!R84),VLOOKUP(Inschrijf_CO2_Totaal[[#This Row],[Product]]&amp;", "&amp;Inschrijf_CO2_Totaal[[#Headers],[B1]],Database_Productkaarten[#All],18,FALSE)*Optimalisatie!J84),Baseline_Backlog!J187),0))</f>
        <v>0</v>
      </c>
      <c r="K187" s="91">
        <f>(IF(Optimalisatie!C84="Nieuwe Situatie",_xlfn.IFNA(SUM(Inschrijf_CO2_Totaal[[#This Row],[A1]:[B1]],Inschrijf_CO2_Totaal[[#This Row],[C1]:[D2]])*Optimalisatie!T84,0),0))</f>
        <v>0</v>
      </c>
      <c r="L187" s="91">
        <f>IF(Optimalisatie!C84="Bestaande situatie",IF(_xlfn.IFNA((VLOOKUP(Optimalisatie!AA84,Database_Asfalt_Verwijderset[#All],12,FALSE)*Optimalisatie!J84),0)+_xlfn.IFNA(VLOOKUP(Optimalisatie!AB84,Database_Brandstoffen[#All],12,FALSE)*((Optimalisatie!J84/Optimalisatie!AD84)*Optimalisatie!AC84),0)&gt;0,_xlfn.IFNA((VLOOKUP(Optimalisatie!AA84,Database_Asfalt_Verwijderset[#All],12,FALSE)*Optimalisatie!J84),0)+_xlfn.IFNA(VLOOKUP(Optimalisatie!AB84,Database_Brandstoffen[#All],12,FALSE)*((Optimalisatie!J84/Optimalisatie!AD84)*Optimalisatie!AC84),0),(_xlfn.IFNA(VLOOKUP(Inschrijf_CO2_Totaal[[#This Row],[Product]]&amp;", "&amp;Inschrijf_MKI_Totaal[[#Headers],[C1]],Database_Productkaarten[#All],18,FALSE),0)*Optimalisatie!J84)),0)</f>
        <v>0</v>
      </c>
      <c r="M187" s="91">
        <f>(IF(Optimalisatie!C84="Bestaande Situatie",_xlfn.IFNA(VLOOKUP(Optimalisatie!AF84,Database_Transport[#All],12,FALSE)*(Optimalisatie!R84*Optimalisatie!AE84),Baseline_Backlog!M187),0))</f>
        <v>0</v>
      </c>
      <c r="N187" s="91">
        <f>(IF(Optimalisatie!C84="Bestaande Situatie",_xlfn.IFNA(VLOOKUP(Optimalisatie!AG84,Database_Asfalt_Verwerkingsset[#All],12,FALSE)*(Optimalisatie!J84/VLOOKUP(Optimalisatie!AG84,Database_Asfalt_Verwerkingsset[#All],12,FALSE)),Baseline_Backlog!N187),0))</f>
        <v>0</v>
      </c>
      <c r="O187" s="91">
        <f>(IF(Optimalisatie!C84="Bestaande Situatie",_xlfn.IFNA(VLOOKUP(Inschrijf_CO2_Totaal[[#This Row],[Product]]&amp;", "&amp;Inschrijf_CO2_Totaal[[#Headers],[C4]],Database_Productkaarten[#All],18,FALSE)*Optimalisatie!J84,Baseline_Backlog!O187),0))</f>
        <v>0</v>
      </c>
      <c r="P187" s="91">
        <f>(IF(Optimalisatie!C84="Bestaande Situatie",_xlfn.IFNA(IF(Optimalisatie!E84="Categorie_1_LCA_Producten",VLOOKUP(Inschrijf_CO2_Totaal[[#This Row],[Product]],Categorie_1_Producten[#All],18,FALSE)*(Optimalisatie!J84),VLOOKUP(Inschrijf_CO2_Totaal[[#This Row],[Product]]&amp;", "&amp;Inschrijf_CO2_Totaal[[#Headers],[D1]],Database_Productkaarten[#All],18,FALSE)*Optimalisatie!J84),Baseline_Backlog!P187),0))</f>
        <v>0</v>
      </c>
      <c r="Q187" s="91">
        <f>(IF(Optimalisatie!C84="Bestaande Situatie",_xlfn.IFNA(IF(Optimalisatie!E84="Categorie_1_LCA_Producten",VLOOKUP(Inschrijf_CO2_Totaal[[#This Row],[Product]],Categorie_1_Producten[#All],19,FALSE)*(Optimalisatie!J84),VLOOKUP(Inschrijf_CO2_Totaal[[#This Row],[Product]]&amp;", "&amp;Inschrijf_CO2_Totaal[[#Headers],[D2]],Database_Productkaarten[#All],18,FALSE)*Optimalisatie!J84),Baseline_Backlog!Q187),0))</f>
        <v>0</v>
      </c>
      <c r="R187" s="91">
        <f>(IF(Optimalisatie!C84="Bestaande Situatie",_xlfn.IFNA(IF(Optimalisatie!E84="Categorie_1_LCA_Producten",VLOOKUP(Inschrijf_CO2_Totaal[[#This Row],[Product]],Categorie_1_Producten[#All],21,FALSE)*(Optimalisatie!J84),VLOOKUP(Inschrijf_CO2_Totaal[[#This Row],[Product]]&amp;", "&amp;Inschrijf_CO2_Totaal[[#Headers],[D]],Database_Productkaarten[#All],18,FALSE)*Optimalisatie!J84),Baseline_Backlog!S187),0))</f>
        <v>0</v>
      </c>
      <c r="S187" s="91">
        <f>SUM(Inschrijf_CO2_Totaal[[#This Row],[A1-A3]:[C4]])+Inschrijf_CO2_Totaal[[#This Row],[D]]</f>
        <v>0</v>
      </c>
    </row>
    <row r="188" spans="2:19">
      <c r="B188" s="208">
        <f>Optimalisatie!B85</f>
        <v>0</v>
      </c>
      <c r="C188" s="1">
        <f>Optimalisatie!F85</f>
        <v>0</v>
      </c>
      <c r="D188" s="91">
        <f>(IF(Optimalisatie!C85="Nieuwe Situatie",_xlfn.IFNA(IF(Optimalisatie!E85="Categorie_1_LCA_Producten",VLOOKUP(Inschrijf_CO2_Totaal[[#This Row],[Product]],Categorie_1_Producten[#All],14,FALSE)*(Optimalisatie!J85),VLOOKUP(Inschrijf_CO2_Totaal[[#This Row],[Product]]&amp;", "&amp;Inschrijf_CO2_Totaal[[#Headers],[A1]],Database_Productkaarten[#All],18,FALSE)*Optimalisatie!J85),Baseline_Backlog!D188),0))</f>
        <v>0</v>
      </c>
      <c r="E188" s="91">
        <f>(IF(Optimalisatie!C85="Nieuwe Situatie",_xlfn.IFNA(IF(Optimalisatie!E85="Categorie_1_LCA_Producten",VLOOKUP(Inschrijf_CO2_Totaal[[#This Row],[Product]],Categorie_1_Producten[#All],15,FALSE)*(Optimalisatie!J85),VLOOKUP(Inschrijf_CO2_Totaal[[#This Row],[Product]]&amp;", "&amp;Inschrijf_CO2_Totaal[[#Headers],[A2]],Database_Productkaarten[#All],18,FALSE)*Optimalisatie!J85),Baseline_Backlog!E188),0))</f>
        <v>0</v>
      </c>
      <c r="F188" s="91">
        <f>(IF(Optimalisatie!C85="Nieuwe Situatie",_xlfn.IFNA(IF(Optimalisatie!E85="Categorie_1_LCA_Producten",VLOOKUP(Inschrijf_CO2_Totaal[[#This Row],[Product]],Categorie_1_Producten[#All],16,FALSE)*(Optimalisatie!J85),VLOOKUP(Inschrijf_CO2_Totaal[[#This Row],[Product]]&amp;", "&amp;Inschrijf_CO2_Totaal[[#Headers],[A3]],Database_Productkaarten[#All],18,FALSE)*Optimalisatie!J85),Baseline_Backlog!F188),0))</f>
        <v>0</v>
      </c>
      <c r="G188" s="91">
        <f>(IF(Optimalisatie!C85="Nieuwe Situatie",_xlfn.IFNA(IF(Optimalisatie!E85="Categorie_1_LCA_Producten",VLOOKUP(Inschrijf_CO2_Totaal[[#This Row],[Product]],Categorie_1_Producten[#All],19,FALSE)*(Optimalisatie!J85),VLOOKUP(Inschrijf_CO2_Totaal[[#This Row],[Product]]&amp;", "&amp;Inschrijf_CO2_Totaal[[#Headers],[A1-A3]],Database_Productkaarten[#All],18,FALSE)*Optimalisatie!J85),Baseline_Backlog!G188),0))</f>
        <v>0</v>
      </c>
      <c r="H188" s="91">
        <f>(IF(Optimalisatie!C85="Nieuwe Situatie",_xlfn.IFNA(VLOOKUP(Optimalisatie!V85,Database_Transport[#All],12,FALSE)*(Optimalisatie!R85*Optimalisatie!U85),Baseline_Backlog!H188),0))</f>
        <v>0</v>
      </c>
      <c r="I188" s="91">
        <f>IF(Optimalisatie!C85="Nieuwe situatie",IF(_xlfn.IFNA((VLOOKUP(Optimalisatie!W85,Database_Asfalt_Aanlegset[#All],12,FALSE)*Optimalisatie!J85),0)+_xlfn.IFNA(VLOOKUP(Optimalisatie!X85,Database_Brandstoffen[#All],12,FALSE)*((Optimalisatie!J85/Optimalisatie!Z85)*Optimalisatie!Y85),0)&gt;0,_xlfn.IFNA((VLOOKUP(Optimalisatie!W85,Database_Asfalt_Aanlegset[#All],12,FALSE)*Optimalisatie!J85),0)+_xlfn.IFNA(VLOOKUP(Optimalisatie!X85,Database_Brandstoffen[#All],12,FALSE)*((Optimalisatie!J85/Optimalisatie!Z85)*Optimalisatie!Y85),0),(_xlfn.IFNA(VLOOKUP(Inschrijf_CO2_Totaal[[#This Row],[Product]]&amp;", "&amp;Inschrijf_MKI_Totaal[[#Headers],[A5]],Database_Productkaarten[#All],18,FALSE),0)*Optimalisatie!J85)),0)</f>
        <v>0</v>
      </c>
      <c r="J188" s="91">
        <f>(IF(Optimalisatie!C85="Nieuwe Situatie",_xlfn.IFNA(IF(Optimalisatie!E85="Categorie_1_LCA_Producten",VLOOKUP(Inschrijf_CO2_Totaal[[#This Row],[Product]],Categorie_1_Producten[#All],20,FALSE)*(Optimalisatie!R85),VLOOKUP(Inschrijf_CO2_Totaal[[#This Row],[Product]]&amp;", "&amp;Inschrijf_CO2_Totaal[[#Headers],[B1]],Database_Productkaarten[#All],18,FALSE)*Optimalisatie!J85),Baseline_Backlog!J188),0))</f>
        <v>0</v>
      </c>
      <c r="K188" s="91">
        <f>(IF(Optimalisatie!C85="Nieuwe Situatie",_xlfn.IFNA(SUM(Inschrijf_CO2_Totaal[[#This Row],[A1]:[B1]],Inschrijf_CO2_Totaal[[#This Row],[C1]:[D2]])*Optimalisatie!T85,0),0))</f>
        <v>0</v>
      </c>
      <c r="L188" s="91">
        <f>IF(Optimalisatie!C85="Bestaande situatie",IF(_xlfn.IFNA((VLOOKUP(Optimalisatie!AA85,Database_Asfalt_Verwijderset[#All],12,FALSE)*Optimalisatie!J85),0)+_xlfn.IFNA(VLOOKUP(Optimalisatie!AB85,Database_Brandstoffen[#All],12,FALSE)*((Optimalisatie!J85/Optimalisatie!AD85)*Optimalisatie!AC85),0)&gt;0,_xlfn.IFNA((VLOOKUP(Optimalisatie!AA85,Database_Asfalt_Verwijderset[#All],12,FALSE)*Optimalisatie!J85),0)+_xlfn.IFNA(VLOOKUP(Optimalisatie!AB85,Database_Brandstoffen[#All],12,FALSE)*((Optimalisatie!J85/Optimalisatie!AD85)*Optimalisatie!AC85),0),(_xlfn.IFNA(VLOOKUP(Inschrijf_CO2_Totaal[[#This Row],[Product]]&amp;", "&amp;Inschrijf_MKI_Totaal[[#Headers],[C1]],Database_Productkaarten[#All],18,FALSE),0)*Optimalisatie!J85)),0)</f>
        <v>0</v>
      </c>
      <c r="M188" s="91">
        <f>(IF(Optimalisatie!C85="Bestaande Situatie",_xlfn.IFNA(VLOOKUP(Optimalisatie!AF85,Database_Transport[#All],12,FALSE)*(Optimalisatie!R85*Optimalisatie!AE85),Baseline_Backlog!M188),0))</f>
        <v>0</v>
      </c>
      <c r="N188" s="91">
        <f>(IF(Optimalisatie!C85="Bestaande Situatie",_xlfn.IFNA(VLOOKUP(Optimalisatie!AG85,Database_Asfalt_Verwerkingsset[#All],12,FALSE)*(Optimalisatie!J85/VLOOKUP(Optimalisatie!AG85,Database_Asfalt_Verwerkingsset[#All],12,FALSE)),Baseline_Backlog!N188),0))</f>
        <v>0</v>
      </c>
      <c r="O188" s="91">
        <f>(IF(Optimalisatie!C85="Bestaande Situatie",_xlfn.IFNA(VLOOKUP(Inschrijf_CO2_Totaal[[#This Row],[Product]]&amp;", "&amp;Inschrijf_CO2_Totaal[[#Headers],[C4]],Database_Productkaarten[#All],18,FALSE)*Optimalisatie!J85,Baseline_Backlog!O188),0))</f>
        <v>0</v>
      </c>
      <c r="P188" s="91">
        <f>(IF(Optimalisatie!C85="Bestaande Situatie",_xlfn.IFNA(IF(Optimalisatie!E85="Categorie_1_LCA_Producten",VLOOKUP(Inschrijf_CO2_Totaal[[#This Row],[Product]],Categorie_1_Producten[#All],18,FALSE)*(Optimalisatie!J85),VLOOKUP(Inschrijf_CO2_Totaal[[#This Row],[Product]]&amp;", "&amp;Inschrijf_CO2_Totaal[[#Headers],[D1]],Database_Productkaarten[#All],18,FALSE)*Optimalisatie!J85),Baseline_Backlog!P188),0))</f>
        <v>0</v>
      </c>
      <c r="Q188" s="91">
        <f>(IF(Optimalisatie!C85="Bestaande Situatie",_xlfn.IFNA(IF(Optimalisatie!E85="Categorie_1_LCA_Producten",VLOOKUP(Inschrijf_CO2_Totaal[[#This Row],[Product]],Categorie_1_Producten[#All],19,FALSE)*(Optimalisatie!J85),VLOOKUP(Inschrijf_CO2_Totaal[[#This Row],[Product]]&amp;", "&amp;Inschrijf_CO2_Totaal[[#Headers],[D2]],Database_Productkaarten[#All],18,FALSE)*Optimalisatie!J85),Baseline_Backlog!Q188),0))</f>
        <v>0</v>
      </c>
      <c r="R188" s="91">
        <f>(IF(Optimalisatie!C85="Bestaande Situatie",_xlfn.IFNA(IF(Optimalisatie!E85="Categorie_1_LCA_Producten",VLOOKUP(Inschrijf_CO2_Totaal[[#This Row],[Product]],Categorie_1_Producten[#All],21,FALSE)*(Optimalisatie!J85),VLOOKUP(Inschrijf_CO2_Totaal[[#This Row],[Product]]&amp;", "&amp;Inschrijf_CO2_Totaal[[#Headers],[D]],Database_Productkaarten[#All],18,FALSE)*Optimalisatie!J85),Baseline_Backlog!S188),0))</f>
        <v>0</v>
      </c>
      <c r="S188" s="91">
        <f>SUM(Inschrijf_CO2_Totaal[[#This Row],[A1-A3]:[C4]])+Inschrijf_CO2_Totaal[[#This Row],[D]]</f>
        <v>0</v>
      </c>
    </row>
    <row r="189" spans="2:19">
      <c r="B189" s="208">
        <f>Optimalisatie!B86</f>
        <v>0</v>
      </c>
      <c r="C189" s="1">
        <f>Optimalisatie!F86</f>
        <v>0</v>
      </c>
      <c r="D189" s="91">
        <f>(IF(Optimalisatie!C86="Nieuwe Situatie",_xlfn.IFNA(IF(Optimalisatie!E86="Categorie_1_LCA_Producten",VLOOKUP(Inschrijf_CO2_Totaal[[#This Row],[Product]],Categorie_1_Producten[#All],14,FALSE)*(Optimalisatie!J86),VLOOKUP(Inschrijf_CO2_Totaal[[#This Row],[Product]]&amp;", "&amp;Inschrijf_CO2_Totaal[[#Headers],[A1]],Database_Productkaarten[#All],18,FALSE)*Optimalisatie!J86),Baseline_Backlog!D189),0))</f>
        <v>0</v>
      </c>
      <c r="E189" s="91">
        <f>(IF(Optimalisatie!C86="Nieuwe Situatie",_xlfn.IFNA(IF(Optimalisatie!E86="Categorie_1_LCA_Producten",VLOOKUP(Inschrijf_CO2_Totaal[[#This Row],[Product]],Categorie_1_Producten[#All],15,FALSE)*(Optimalisatie!J86),VLOOKUP(Inschrijf_CO2_Totaal[[#This Row],[Product]]&amp;", "&amp;Inschrijf_CO2_Totaal[[#Headers],[A2]],Database_Productkaarten[#All],18,FALSE)*Optimalisatie!J86),Baseline_Backlog!E189),0))</f>
        <v>0</v>
      </c>
      <c r="F189" s="91">
        <f>(IF(Optimalisatie!C86="Nieuwe Situatie",_xlfn.IFNA(IF(Optimalisatie!E86="Categorie_1_LCA_Producten",VLOOKUP(Inschrijf_CO2_Totaal[[#This Row],[Product]],Categorie_1_Producten[#All],16,FALSE)*(Optimalisatie!J86),VLOOKUP(Inschrijf_CO2_Totaal[[#This Row],[Product]]&amp;", "&amp;Inschrijf_CO2_Totaal[[#Headers],[A3]],Database_Productkaarten[#All],18,FALSE)*Optimalisatie!J86),Baseline_Backlog!F189),0))</f>
        <v>0</v>
      </c>
      <c r="G189" s="91">
        <f>(IF(Optimalisatie!C86="Nieuwe Situatie",_xlfn.IFNA(IF(Optimalisatie!E86="Categorie_1_LCA_Producten",VLOOKUP(Inschrijf_CO2_Totaal[[#This Row],[Product]],Categorie_1_Producten[#All],19,FALSE)*(Optimalisatie!J86),VLOOKUP(Inschrijf_CO2_Totaal[[#This Row],[Product]]&amp;", "&amp;Inschrijf_CO2_Totaal[[#Headers],[A1-A3]],Database_Productkaarten[#All],18,FALSE)*Optimalisatie!J86),Baseline_Backlog!G189),0))</f>
        <v>0</v>
      </c>
      <c r="H189" s="91">
        <f>(IF(Optimalisatie!C86="Nieuwe Situatie",_xlfn.IFNA(VLOOKUP(Optimalisatie!V86,Database_Transport[#All],12,FALSE)*(Optimalisatie!R86*Optimalisatie!U86),Baseline_Backlog!H189),0))</f>
        <v>0</v>
      </c>
      <c r="I189" s="91">
        <f>IF(Optimalisatie!C86="Nieuwe situatie",IF(_xlfn.IFNA((VLOOKUP(Optimalisatie!W86,Database_Asfalt_Aanlegset[#All],12,FALSE)*Optimalisatie!J86),0)+_xlfn.IFNA(VLOOKUP(Optimalisatie!X86,Database_Brandstoffen[#All],12,FALSE)*((Optimalisatie!J86/Optimalisatie!Z86)*Optimalisatie!Y86),0)&gt;0,_xlfn.IFNA((VLOOKUP(Optimalisatie!W86,Database_Asfalt_Aanlegset[#All],12,FALSE)*Optimalisatie!J86),0)+_xlfn.IFNA(VLOOKUP(Optimalisatie!X86,Database_Brandstoffen[#All],12,FALSE)*((Optimalisatie!J86/Optimalisatie!Z86)*Optimalisatie!Y86),0),(_xlfn.IFNA(VLOOKUP(Inschrijf_CO2_Totaal[[#This Row],[Product]]&amp;", "&amp;Inschrijf_MKI_Totaal[[#Headers],[A5]],Database_Productkaarten[#All],18,FALSE),0)*Optimalisatie!J86)),0)</f>
        <v>0</v>
      </c>
      <c r="J189" s="91">
        <f>(IF(Optimalisatie!C86="Nieuwe Situatie",_xlfn.IFNA(IF(Optimalisatie!E86="Categorie_1_LCA_Producten",VLOOKUP(Inschrijf_CO2_Totaal[[#This Row],[Product]],Categorie_1_Producten[#All],20,FALSE)*(Optimalisatie!R86),VLOOKUP(Inschrijf_CO2_Totaal[[#This Row],[Product]]&amp;", "&amp;Inschrijf_CO2_Totaal[[#Headers],[B1]],Database_Productkaarten[#All],18,FALSE)*Optimalisatie!J86),Baseline_Backlog!J189),0))</f>
        <v>0</v>
      </c>
      <c r="K189" s="91">
        <f>(IF(Optimalisatie!C86="Nieuwe Situatie",_xlfn.IFNA(SUM(Inschrijf_CO2_Totaal[[#This Row],[A1]:[B1]],Inschrijf_CO2_Totaal[[#This Row],[C1]:[D2]])*Optimalisatie!T86,0),0))</f>
        <v>0</v>
      </c>
      <c r="L189" s="91">
        <f>IF(Optimalisatie!C86="Bestaande situatie",IF(_xlfn.IFNA((VLOOKUP(Optimalisatie!AA86,Database_Asfalt_Verwijderset[#All],12,FALSE)*Optimalisatie!J86),0)+_xlfn.IFNA(VLOOKUP(Optimalisatie!AB86,Database_Brandstoffen[#All],12,FALSE)*((Optimalisatie!J86/Optimalisatie!AD86)*Optimalisatie!AC86),0)&gt;0,_xlfn.IFNA((VLOOKUP(Optimalisatie!AA86,Database_Asfalt_Verwijderset[#All],12,FALSE)*Optimalisatie!J86),0)+_xlfn.IFNA(VLOOKUP(Optimalisatie!AB86,Database_Brandstoffen[#All],12,FALSE)*((Optimalisatie!J86/Optimalisatie!AD86)*Optimalisatie!AC86),0),(_xlfn.IFNA(VLOOKUP(Inschrijf_CO2_Totaal[[#This Row],[Product]]&amp;", "&amp;Inschrijf_MKI_Totaal[[#Headers],[C1]],Database_Productkaarten[#All],18,FALSE),0)*Optimalisatie!J86)),0)</f>
        <v>0</v>
      </c>
      <c r="M189" s="91">
        <f>(IF(Optimalisatie!C86="Bestaande Situatie",_xlfn.IFNA(VLOOKUP(Optimalisatie!AF86,Database_Transport[#All],12,FALSE)*(Optimalisatie!R86*Optimalisatie!AE86),Baseline_Backlog!M189),0))</f>
        <v>0</v>
      </c>
      <c r="N189" s="91">
        <f>(IF(Optimalisatie!C86="Bestaande Situatie",_xlfn.IFNA(VLOOKUP(Optimalisatie!AG86,Database_Asfalt_Verwerkingsset[#All],12,FALSE)*(Optimalisatie!J86/VLOOKUP(Optimalisatie!AG86,Database_Asfalt_Verwerkingsset[#All],12,FALSE)),Baseline_Backlog!N189),0))</f>
        <v>0</v>
      </c>
      <c r="O189" s="91">
        <f>(IF(Optimalisatie!C86="Bestaande Situatie",_xlfn.IFNA(VLOOKUP(Inschrijf_CO2_Totaal[[#This Row],[Product]]&amp;", "&amp;Inschrijf_CO2_Totaal[[#Headers],[C4]],Database_Productkaarten[#All],18,FALSE)*Optimalisatie!J86,Baseline_Backlog!O189),0))</f>
        <v>0</v>
      </c>
      <c r="P189" s="91">
        <f>(IF(Optimalisatie!C86="Bestaande Situatie",_xlfn.IFNA(IF(Optimalisatie!E86="Categorie_1_LCA_Producten",VLOOKUP(Inschrijf_CO2_Totaal[[#This Row],[Product]],Categorie_1_Producten[#All],18,FALSE)*(Optimalisatie!J86),VLOOKUP(Inschrijf_CO2_Totaal[[#This Row],[Product]]&amp;", "&amp;Inschrijf_CO2_Totaal[[#Headers],[D1]],Database_Productkaarten[#All],18,FALSE)*Optimalisatie!J86),Baseline_Backlog!P189),0))</f>
        <v>0</v>
      </c>
      <c r="Q189" s="91">
        <f>(IF(Optimalisatie!C86="Bestaande Situatie",_xlfn.IFNA(IF(Optimalisatie!E86="Categorie_1_LCA_Producten",VLOOKUP(Inschrijf_CO2_Totaal[[#This Row],[Product]],Categorie_1_Producten[#All],19,FALSE)*(Optimalisatie!J86),VLOOKUP(Inschrijf_CO2_Totaal[[#This Row],[Product]]&amp;", "&amp;Inschrijf_CO2_Totaal[[#Headers],[D2]],Database_Productkaarten[#All],18,FALSE)*Optimalisatie!J86),Baseline_Backlog!Q189),0))</f>
        <v>0</v>
      </c>
      <c r="R189" s="91">
        <f>(IF(Optimalisatie!C86="Bestaande Situatie",_xlfn.IFNA(IF(Optimalisatie!E86="Categorie_1_LCA_Producten",VLOOKUP(Inschrijf_CO2_Totaal[[#This Row],[Product]],Categorie_1_Producten[#All],21,FALSE)*(Optimalisatie!J86),VLOOKUP(Inschrijf_CO2_Totaal[[#This Row],[Product]]&amp;", "&amp;Inschrijf_CO2_Totaal[[#Headers],[D]],Database_Productkaarten[#All],18,FALSE)*Optimalisatie!J86),Baseline_Backlog!S189),0))</f>
        <v>0</v>
      </c>
      <c r="S189" s="91">
        <f>SUM(Inschrijf_CO2_Totaal[[#This Row],[A1-A3]:[C4]])+Inschrijf_CO2_Totaal[[#This Row],[D]]</f>
        <v>0</v>
      </c>
    </row>
    <row r="190" spans="2:19">
      <c r="B190" s="208">
        <f>Optimalisatie!B87</f>
        <v>0</v>
      </c>
      <c r="C190" s="1">
        <f>Optimalisatie!F87</f>
        <v>0</v>
      </c>
      <c r="D190" s="91">
        <f>(IF(Optimalisatie!C87="Nieuwe Situatie",_xlfn.IFNA(IF(Optimalisatie!E87="Categorie_1_LCA_Producten",VLOOKUP(Inschrijf_CO2_Totaal[[#This Row],[Product]],Categorie_1_Producten[#All],14,FALSE)*(Optimalisatie!J87),VLOOKUP(Inschrijf_CO2_Totaal[[#This Row],[Product]]&amp;", "&amp;Inschrijf_CO2_Totaal[[#Headers],[A1]],Database_Productkaarten[#All],18,FALSE)*Optimalisatie!J87),Baseline_Backlog!D190),0))</f>
        <v>0</v>
      </c>
      <c r="E190" s="91">
        <f>(IF(Optimalisatie!C87="Nieuwe Situatie",_xlfn.IFNA(IF(Optimalisatie!E87="Categorie_1_LCA_Producten",VLOOKUP(Inschrijf_CO2_Totaal[[#This Row],[Product]],Categorie_1_Producten[#All],15,FALSE)*(Optimalisatie!J87),VLOOKUP(Inschrijf_CO2_Totaal[[#This Row],[Product]]&amp;", "&amp;Inschrijf_CO2_Totaal[[#Headers],[A2]],Database_Productkaarten[#All],18,FALSE)*Optimalisatie!J87),Baseline_Backlog!E190),0))</f>
        <v>0</v>
      </c>
      <c r="F190" s="91">
        <f>(IF(Optimalisatie!C87="Nieuwe Situatie",_xlfn.IFNA(IF(Optimalisatie!E87="Categorie_1_LCA_Producten",VLOOKUP(Inschrijf_CO2_Totaal[[#This Row],[Product]],Categorie_1_Producten[#All],16,FALSE)*(Optimalisatie!J87),VLOOKUP(Inschrijf_CO2_Totaal[[#This Row],[Product]]&amp;", "&amp;Inschrijf_CO2_Totaal[[#Headers],[A3]],Database_Productkaarten[#All],18,FALSE)*Optimalisatie!J87),Baseline_Backlog!F190),0))</f>
        <v>0</v>
      </c>
      <c r="G190" s="91">
        <f>(IF(Optimalisatie!C87="Nieuwe Situatie",_xlfn.IFNA(IF(Optimalisatie!E87="Categorie_1_LCA_Producten",VLOOKUP(Inschrijf_CO2_Totaal[[#This Row],[Product]],Categorie_1_Producten[#All],19,FALSE)*(Optimalisatie!J87),VLOOKUP(Inschrijf_CO2_Totaal[[#This Row],[Product]]&amp;", "&amp;Inschrijf_CO2_Totaal[[#Headers],[A1-A3]],Database_Productkaarten[#All],18,FALSE)*Optimalisatie!J87),Baseline_Backlog!G190),0))</f>
        <v>0</v>
      </c>
      <c r="H190" s="91">
        <f>(IF(Optimalisatie!C87="Nieuwe Situatie",_xlfn.IFNA(VLOOKUP(Optimalisatie!V87,Database_Transport[#All],12,FALSE)*(Optimalisatie!R87*Optimalisatie!U87),Baseline_Backlog!H190),0))</f>
        <v>0</v>
      </c>
      <c r="I190" s="91">
        <f>IF(Optimalisatie!C87="Nieuwe situatie",IF(_xlfn.IFNA((VLOOKUP(Optimalisatie!W87,Database_Asfalt_Aanlegset[#All],12,FALSE)*Optimalisatie!J87),0)+_xlfn.IFNA(VLOOKUP(Optimalisatie!X87,Database_Brandstoffen[#All],12,FALSE)*((Optimalisatie!J87/Optimalisatie!Z87)*Optimalisatie!Y87),0)&gt;0,_xlfn.IFNA((VLOOKUP(Optimalisatie!W87,Database_Asfalt_Aanlegset[#All],12,FALSE)*Optimalisatie!J87),0)+_xlfn.IFNA(VLOOKUP(Optimalisatie!X87,Database_Brandstoffen[#All],12,FALSE)*((Optimalisatie!J87/Optimalisatie!Z87)*Optimalisatie!Y87),0),(_xlfn.IFNA(VLOOKUP(Inschrijf_CO2_Totaal[[#This Row],[Product]]&amp;", "&amp;Inschrijf_MKI_Totaal[[#Headers],[A5]],Database_Productkaarten[#All],18,FALSE),0)*Optimalisatie!J87)),0)</f>
        <v>0</v>
      </c>
      <c r="J190" s="91">
        <f>(IF(Optimalisatie!C87="Nieuwe Situatie",_xlfn.IFNA(IF(Optimalisatie!E87="Categorie_1_LCA_Producten",VLOOKUP(Inschrijf_CO2_Totaal[[#This Row],[Product]],Categorie_1_Producten[#All],20,FALSE)*(Optimalisatie!R87),VLOOKUP(Inschrijf_CO2_Totaal[[#This Row],[Product]]&amp;", "&amp;Inschrijf_CO2_Totaal[[#Headers],[B1]],Database_Productkaarten[#All],18,FALSE)*Optimalisatie!J87),Baseline_Backlog!J190),0))</f>
        <v>0</v>
      </c>
      <c r="K190" s="91">
        <f>(IF(Optimalisatie!C87="Nieuwe Situatie",_xlfn.IFNA(SUM(Inschrijf_CO2_Totaal[[#This Row],[A1]:[B1]],Inschrijf_CO2_Totaal[[#This Row],[C1]:[D2]])*Optimalisatie!T87,0),0))</f>
        <v>0</v>
      </c>
      <c r="L190" s="91">
        <f>IF(Optimalisatie!C87="Bestaande situatie",IF(_xlfn.IFNA((VLOOKUP(Optimalisatie!AA87,Database_Asfalt_Verwijderset[#All],12,FALSE)*Optimalisatie!J87),0)+_xlfn.IFNA(VLOOKUP(Optimalisatie!AB87,Database_Brandstoffen[#All],12,FALSE)*((Optimalisatie!J87/Optimalisatie!AD87)*Optimalisatie!AC87),0)&gt;0,_xlfn.IFNA((VLOOKUP(Optimalisatie!AA87,Database_Asfalt_Verwijderset[#All],12,FALSE)*Optimalisatie!J87),0)+_xlfn.IFNA(VLOOKUP(Optimalisatie!AB87,Database_Brandstoffen[#All],12,FALSE)*((Optimalisatie!J87/Optimalisatie!AD87)*Optimalisatie!AC87),0),(_xlfn.IFNA(VLOOKUP(Inschrijf_CO2_Totaal[[#This Row],[Product]]&amp;", "&amp;Inschrijf_MKI_Totaal[[#Headers],[C1]],Database_Productkaarten[#All],18,FALSE),0)*Optimalisatie!J87)),0)</f>
        <v>0</v>
      </c>
      <c r="M190" s="91">
        <f>(IF(Optimalisatie!C87="Bestaande Situatie",_xlfn.IFNA(VLOOKUP(Optimalisatie!AF87,Database_Transport[#All],12,FALSE)*(Optimalisatie!R87*Optimalisatie!AE87),Baseline_Backlog!M190),0))</f>
        <v>0</v>
      </c>
      <c r="N190" s="91">
        <f>(IF(Optimalisatie!C87="Bestaande Situatie",_xlfn.IFNA(VLOOKUP(Optimalisatie!AG87,Database_Asfalt_Verwerkingsset[#All],12,FALSE)*(Optimalisatie!J87/VLOOKUP(Optimalisatie!AG87,Database_Asfalt_Verwerkingsset[#All],12,FALSE)),Baseline_Backlog!N190),0))</f>
        <v>0</v>
      </c>
      <c r="O190" s="91">
        <f>(IF(Optimalisatie!C87="Bestaande Situatie",_xlfn.IFNA(VLOOKUP(Inschrijf_CO2_Totaal[[#This Row],[Product]]&amp;", "&amp;Inschrijf_CO2_Totaal[[#Headers],[C4]],Database_Productkaarten[#All],18,FALSE)*Optimalisatie!J87,Baseline_Backlog!O190),0))</f>
        <v>0</v>
      </c>
      <c r="P190" s="91">
        <f>(IF(Optimalisatie!C87="Bestaande Situatie",_xlfn.IFNA(IF(Optimalisatie!E87="Categorie_1_LCA_Producten",VLOOKUP(Inschrijf_CO2_Totaal[[#This Row],[Product]],Categorie_1_Producten[#All],18,FALSE)*(Optimalisatie!J87),VLOOKUP(Inschrijf_CO2_Totaal[[#This Row],[Product]]&amp;", "&amp;Inschrijf_CO2_Totaal[[#Headers],[D1]],Database_Productkaarten[#All],18,FALSE)*Optimalisatie!J87),Baseline_Backlog!P190),0))</f>
        <v>0</v>
      </c>
      <c r="Q190" s="91">
        <f>(IF(Optimalisatie!C87="Bestaande Situatie",_xlfn.IFNA(IF(Optimalisatie!E87="Categorie_1_LCA_Producten",VLOOKUP(Inschrijf_CO2_Totaal[[#This Row],[Product]],Categorie_1_Producten[#All],19,FALSE)*(Optimalisatie!J87),VLOOKUP(Inschrijf_CO2_Totaal[[#This Row],[Product]]&amp;", "&amp;Inschrijf_CO2_Totaal[[#Headers],[D2]],Database_Productkaarten[#All],18,FALSE)*Optimalisatie!J87),Baseline_Backlog!Q190),0))</f>
        <v>0</v>
      </c>
      <c r="R190" s="91">
        <f>(IF(Optimalisatie!C87="Bestaande Situatie",_xlfn.IFNA(IF(Optimalisatie!E87="Categorie_1_LCA_Producten",VLOOKUP(Inschrijf_CO2_Totaal[[#This Row],[Product]],Categorie_1_Producten[#All],21,FALSE)*(Optimalisatie!J87),VLOOKUP(Inschrijf_CO2_Totaal[[#This Row],[Product]]&amp;", "&amp;Inschrijf_CO2_Totaal[[#Headers],[D]],Database_Productkaarten[#All],18,FALSE)*Optimalisatie!J87),Baseline_Backlog!S190),0))</f>
        <v>0</v>
      </c>
      <c r="S190" s="91">
        <f>SUM(Inschrijf_CO2_Totaal[[#This Row],[A1-A3]:[C4]])+Inschrijf_CO2_Totaal[[#This Row],[D]]</f>
        <v>0</v>
      </c>
    </row>
    <row r="191" spans="2:19">
      <c r="B191" s="208">
        <f>Optimalisatie!B88</f>
        <v>0</v>
      </c>
      <c r="C191" s="1">
        <f>Optimalisatie!F88</f>
        <v>0</v>
      </c>
      <c r="D191" s="91">
        <f>(IF(Optimalisatie!C88="Nieuwe Situatie",_xlfn.IFNA(IF(Optimalisatie!E88="Categorie_1_LCA_Producten",VLOOKUP(Inschrijf_CO2_Totaal[[#This Row],[Product]],Categorie_1_Producten[#All],14,FALSE)*(Optimalisatie!J88),VLOOKUP(Inschrijf_CO2_Totaal[[#This Row],[Product]]&amp;", "&amp;Inschrijf_CO2_Totaal[[#Headers],[A1]],Database_Productkaarten[#All],18,FALSE)*Optimalisatie!J88),Baseline_Backlog!D191),0))</f>
        <v>0</v>
      </c>
      <c r="E191" s="91">
        <f>(IF(Optimalisatie!C88="Nieuwe Situatie",_xlfn.IFNA(IF(Optimalisatie!E88="Categorie_1_LCA_Producten",VLOOKUP(Inschrijf_CO2_Totaal[[#This Row],[Product]],Categorie_1_Producten[#All],15,FALSE)*(Optimalisatie!J88),VLOOKUP(Inschrijf_CO2_Totaal[[#This Row],[Product]]&amp;", "&amp;Inschrijf_CO2_Totaal[[#Headers],[A2]],Database_Productkaarten[#All],18,FALSE)*Optimalisatie!J88),Baseline_Backlog!E191),0))</f>
        <v>0</v>
      </c>
      <c r="F191" s="91">
        <f>(IF(Optimalisatie!C88="Nieuwe Situatie",_xlfn.IFNA(IF(Optimalisatie!E88="Categorie_1_LCA_Producten",VLOOKUP(Inschrijf_CO2_Totaal[[#This Row],[Product]],Categorie_1_Producten[#All],16,FALSE)*(Optimalisatie!J88),VLOOKUP(Inschrijf_CO2_Totaal[[#This Row],[Product]]&amp;", "&amp;Inschrijf_CO2_Totaal[[#Headers],[A3]],Database_Productkaarten[#All],18,FALSE)*Optimalisatie!J88),Baseline_Backlog!F191),0))</f>
        <v>0</v>
      </c>
      <c r="G191" s="91">
        <f>(IF(Optimalisatie!C88="Nieuwe Situatie",_xlfn.IFNA(IF(Optimalisatie!E88="Categorie_1_LCA_Producten",VLOOKUP(Inschrijf_CO2_Totaal[[#This Row],[Product]],Categorie_1_Producten[#All],19,FALSE)*(Optimalisatie!J88),VLOOKUP(Inschrijf_CO2_Totaal[[#This Row],[Product]]&amp;", "&amp;Inschrijf_CO2_Totaal[[#Headers],[A1-A3]],Database_Productkaarten[#All],18,FALSE)*Optimalisatie!J88),Baseline_Backlog!G191),0))</f>
        <v>0</v>
      </c>
      <c r="H191" s="91">
        <f>(IF(Optimalisatie!C88="Nieuwe Situatie",_xlfn.IFNA(VLOOKUP(Optimalisatie!V88,Database_Transport[#All],12,FALSE)*(Optimalisatie!R88*Optimalisatie!U88),Baseline_Backlog!H191),0))</f>
        <v>0</v>
      </c>
      <c r="I191" s="91">
        <f>IF(Optimalisatie!C88="Nieuwe situatie",IF(_xlfn.IFNA((VLOOKUP(Optimalisatie!W88,Database_Asfalt_Aanlegset[#All],12,FALSE)*Optimalisatie!J88),0)+_xlfn.IFNA(VLOOKUP(Optimalisatie!X88,Database_Brandstoffen[#All],12,FALSE)*((Optimalisatie!J88/Optimalisatie!Z88)*Optimalisatie!Y88),0)&gt;0,_xlfn.IFNA((VLOOKUP(Optimalisatie!W88,Database_Asfalt_Aanlegset[#All],12,FALSE)*Optimalisatie!J88),0)+_xlfn.IFNA(VLOOKUP(Optimalisatie!X88,Database_Brandstoffen[#All],12,FALSE)*((Optimalisatie!J88/Optimalisatie!Z88)*Optimalisatie!Y88),0),(_xlfn.IFNA(VLOOKUP(Inschrijf_CO2_Totaal[[#This Row],[Product]]&amp;", "&amp;Inschrijf_MKI_Totaal[[#Headers],[A5]],Database_Productkaarten[#All],18,FALSE),0)*Optimalisatie!J88)),0)</f>
        <v>0</v>
      </c>
      <c r="J191" s="91">
        <f>(IF(Optimalisatie!C88="Nieuwe Situatie",_xlfn.IFNA(IF(Optimalisatie!E88="Categorie_1_LCA_Producten",VLOOKUP(Inschrijf_CO2_Totaal[[#This Row],[Product]],Categorie_1_Producten[#All],20,FALSE)*(Optimalisatie!R88),VLOOKUP(Inschrijf_CO2_Totaal[[#This Row],[Product]]&amp;", "&amp;Inschrijf_CO2_Totaal[[#Headers],[B1]],Database_Productkaarten[#All],18,FALSE)*Optimalisatie!J88),Baseline_Backlog!J191),0))</f>
        <v>0</v>
      </c>
      <c r="K191" s="91">
        <f>(IF(Optimalisatie!C88="Nieuwe Situatie",_xlfn.IFNA(SUM(Inschrijf_CO2_Totaal[[#This Row],[A1]:[B1]],Inschrijf_CO2_Totaal[[#This Row],[C1]:[D2]])*Optimalisatie!T88,0),0))</f>
        <v>0</v>
      </c>
      <c r="L191" s="91">
        <f>IF(Optimalisatie!C88="Bestaande situatie",IF(_xlfn.IFNA((VLOOKUP(Optimalisatie!AA88,Database_Asfalt_Verwijderset[#All],12,FALSE)*Optimalisatie!J88),0)+_xlfn.IFNA(VLOOKUP(Optimalisatie!AB88,Database_Brandstoffen[#All],12,FALSE)*((Optimalisatie!J88/Optimalisatie!AD88)*Optimalisatie!AC88),0)&gt;0,_xlfn.IFNA((VLOOKUP(Optimalisatie!AA88,Database_Asfalt_Verwijderset[#All],12,FALSE)*Optimalisatie!J88),0)+_xlfn.IFNA(VLOOKUP(Optimalisatie!AB88,Database_Brandstoffen[#All],12,FALSE)*((Optimalisatie!J88/Optimalisatie!AD88)*Optimalisatie!AC88),0),(_xlfn.IFNA(VLOOKUP(Inschrijf_CO2_Totaal[[#This Row],[Product]]&amp;", "&amp;Inschrijf_MKI_Totaal[[#Headers],[C1]],Database_Productkaarten[#All],18,FALSE),0)*Optimalisatie!J88)),0)</f>
        <v>0</v>
      </c>
      <c r="M191" s="91">
        <f>(IF(Optimalisatie!C88="Bestaande Situatie",_xlfn.IFNA(VLOOKUP(Optimalisatie!AF88,Database_Transport[#All],12,FALSE)*(Optimalisatie!R88*Optimalisatie!AE88),Baseline_Backlog!M191),0))</f>
        <v>0</v>
      </c>
      <c r="N191" s="91">
        <f>(IF(Optimalisatie!C88="Bestaande Situatie",_xlfn.IFNA(VLOOKUP(Optimalisatie!AG88,Database_Asfalt_Verwerkingsset[#All],12,FALSE)*(Optimalisatie!J88/VLOOKUP(Optimalisatie!AG88,Database_Asfalt_Verwerkingsset[#All],12,FALSE)),Baseline_Backlog!N191),0))</f>
        <v>0</v>
      </c>
      <c r="O191" s="91">
        <f>(IF(Optimalisatie!C88="Bestaande Situatie",_xlfn.IFNA(VLOOKUP(Inschrijf_CO2_Totaal[[#This Row],[Product]]&amp;", "&amp;Inschrijf_CO2_Totaal[[#Headers],[C4]],Database_Productkaarten[#All],18,FALSE)*Optimalisatie!J88,Baseline_Backlog!O191),0))</f>
        <v>0</v>
      </c>
      <c r="P191" s="91">
        <f>(IF(Optimalisatie!C88="Bestaande Situatie",_xlfn.IFNA(IF(Optimalisatie!E88="Categorie_1_LCA_Producten",VLOOKUP(Inschrijf_CO2_Totaal[[#This Row],[Product]],Categorie_1_Producten[#All],18,FALSE)*(Optimalisatie!J88),VLOOKUP(Inschrijf_CO2_Totaal[[#This Row],[Product]]&amp;", "&amp;Inschrijf_CO2_Totaal[[#Headers],[D1]],Database_Productkaarten[#All],18,FALSE)*Optimalisatie!J88),Baseline_Backlog!P191),0))</f>
        <v>0</v>
      </c>
      <c r="Q191" s="91">
        <f>(IF(Optimalisatie!C88="Bestaande Situatie",_xlfn.IFNA(IF(Optimalisatie!E88="Categorie_1_LCA_Producten",VLOOKUP(Inschrijf_CO2_Totaal[[#This Row],[Product]],Categorie_1_Producten[#All],19,FALSE)*(Optimalisatie!J88),VLOOKUP(Inschrijf_CO2_Totaal[[#This Row],[Product]]&amp;", "&amp;Inschrijf_CO2_Totaal[[#Headers],[D2]],Database_Productkaarten[#All],18,FALSE)*Optimalisatie!J88),Baseline_Backlog!Q191),0))</f>
        <v>0</v>
      </c>
      <c r="R191" s="91">
        <f>(IF(Optimalisatie!C88="Bestaande Situatie",_xlfn.IFNA(IF(Optimalisatie!E88="Categorie_1_LCA_Producten",VLOOKUP(Inschrijf_CO2_Totaal[[#This Row],[Product]],Categorie_1_Producten[#All],21,FALSE)*(Optimalisatie!J88),VLOOKUP(Inschrijf_CO2_Totaal[[#This Row],[Product]]&amp;", "&amp;Inschrijf_CO2_Totaal[[#Headers],[D]],Database_Productkaarten[#All],18,FALSE)*Optimalisatie!J88),Baseline_Backlog!S191),0))</f>
        <v>0</v>
      </c>
      <c r="S191" s="91">
        <f>SUM(Inschrijf_CO2_Totaal[[#This Row],[A1-A3]:[C4]])+Inschrijf_CO2_Totaal[[#This Row],[D]]</f>
        <v>0</v>
      </c>
    </row>
    <row r="192" spans="2:19">
      <c r="B192" s="208">
        <f>Optimalisatie!B89</f>
        <v>0</v>
      </c>
      <c r="C192" s="1">
        <f>Optimalisatie!F89</f>
        <v>0</v>
      </c>
      <c r="D192" s="91">
        <f>(IF(Optimalisatie!C89="Nieuwe Situatie",_xlfn.IFNA(IF(Optimalisatie!E89="Categorie_1_LCA_Producten",VLOOKUP(Inschrijf_CO2_Totaal[[#This Row],[Product]],Categorie_1_Producten[#All],14,FALSE)*(Optimalisatie!J89),VLOOKUP(Inschrijf_CO2_Totaal[[#This Row],[Product]]&amp;", "&amp;Inschrijf_CO2_Totaal[[#Headers],[A1]],Database_Productkaarten[#All],18,FALSE)*Optimalisatie!J89),Baseline_Backlog!D192),0))</f>
        <v>0</v>
      </c>
      <c r="E192" s="91">
        <f>(IF(Optimalisatie!C89="Nieuwe Situatie",_xlfn.IFNA(IF(Optimalisatie!E89="Categorie_1_LCA_Producten",VLOOKUP(Inschrijf_CO2_Totaal[[#This Row],[Product]],Categorie_1_Producten[#All],15,FALSE)*(Optimalisatie!J89),VLOOKUP(Inschrijf_CO2_Totaal[[#This Row],[Product]]&amp;", "&amp;Inschrijf_CO2_Totaal[[#Headers],[A2]],Database_Productkaarten[#All],18,FALSE)*Optimalisatie!J89),Baseline_Backlog!E192),0))</f>
        <v>0</v>
      </c>
      <c r="F192" s="91">
        <f>(IF(Optimalisatie!C89="Nieuwe Situatie",_xlfn.IFNA(IF(Optimalisatie!E89="Categorie_1_LCA_Producten",VLOOKUP(Inschrijf_CO2_Totaal[[#This Row],[Product]],Categorie_1_Producten[#All],16,FALSE)*(Optimalisatie!J89),VLOOKUP(Inschrijf_CO2_Totaal[[#This Row],[Product]]&amp;", "&amp;Inschrijf_CO2_Totaal[[#Headers],[A3]],Database_Productkaarten[#All],18,FALSE)*Optimalisatie!J89),Baseline_Backlog!F192),0))</f>
        <v>0</v>
      </c>
      <c r="G192" s="91">
        <f>(IF(Optimalisatie!C89="Nieuwe Situatie",_xlfn.IFNA(IF(Optimalisatie!E89="Categorie_1_LCA_Producten",VLOOKUP(Inschrijf_CO2_Totaal[[#This Row],[Product]],Categorie_1_Producten[#All],19,FALSE)*(Optimalisatie!J89),VLOOKUP(Inschrijf_CO2_Totaal[[#This Row],[Product]]&amp;", "&amp;Inschrijf_CO2_Totaal[[#Headers],[A1-A3]],Database_Productkaarten[#All],18,FALSE)*Optimalisatie!J89),Baseline_Backlog!G192),0))</f>
        <v>0</v>
      </c>
      <c r="H192" s="91">
        <f>(IF(Optimalisatie!C89="Nieuwe Situatie",_xlfn.IFNA(VLOOKUP(Optimalisatie!V89,Database_Transport[#All],12,FALSE)*(Optimalisatie!R89*Optimalisatie!U89),Baseline_Backlog!H192),0))</f>
        <v>0</v>
      </c>
      <c r="I192" s="91">
        <f>IF(Optimalisatie!C89="Nieuwe situatie",IF(_xlfn.IFNA((VLOOKUP(Optimalisatie!W89,Database_Asfalt_Aanlegset[#All],12,FALSE)*Optimalisatie!J89),0)+_xlfn.IFNA(VLOOKUP(Optimalisatie!X89,Database_Brandstoffen[#All],12,FALSE)*((Optimalisatie!J89/Optimalisatie!Z89)*Optimalisatie!Y89),0)&gt;0,_xlfn.IFNA((VLOOKUP(Optimalisatie!W89,Database_Asfalt_Aanlegset[#All],12,FALSE)*Optimalisatie!J89),0)+_xlfn.IFNA(VLOOKUP(Optimalisatie!X89,Database_Brandstoffen[#All],12,FALSE)*((Optimalisatie!J89/Optimalisatie!Z89)*Optimalisatie!Y89),0),(_xlfn.IFNA(VLOOKUP(Inschrijf_CO2_Totaal[[#This Row],[Product]]&amp;", "&amp;Inschrijf_MKI_Totaal[[#Headers],[A5]],Database_Productkaarten[#All],18,FALSE),0)*Optimalisatie!J89)),0)</f>
        <v>0</v>
      </c>
      <c r="J192" s="91">
        <f>(IF(Optimalisatie!C89="Nieuwe Situatie",_xlfn.IFNA(IF(Optimalisatie!E89="Categorie_1_LCA_Producten",VLOOKUP(Inschrijf_CO2_Totaal[[#This Row],[Product]],Categorie_1_Producten[#All],20,FALSE)*(Optimalisatie!R89),VLOOKUP(Inschrijf_CO2_Totaal[[#This Row],[Product]]&amp;", "&amp;Inschrijf_CO2_Totaal[[#Headers],[B1]],Database_Productkaarten[#All],18,FALSE)*Optimalisatie!J89),Baseline_Backlog!J192),0))</f>
        <v>0</v>
      </c>
      <c r="K192" s="91">
        <f>(IF(Optimalisatie!C89="Nieuwe Situatie",_xlfn.IFNA(SUM(Inschrijf_CO2_Totaal[[#This Row],[A1]:[B1]],Inschrijf_CO2_Totaal[[#This Row],[C1]:[D2]])*Optimalisatie!T89,0),0))</f>
        <v>0</v>
      </c>
      <c r="L192" s="91">
        <f>IF(Optimalisatie!C89="Bestaande situatie",IF(_xlfn.IFNA((VLOOKUP(Optimalisatie!AA89,Database_Asfalt_Verwijderset[#All],12,FALSE)*Optimalisatie!J89),0)+_xlfn.IFNA(VLOOKUP(Optimalisatie!AB89,Database_Brandstoffen[#All],12,FALSE)*((Optimalisatie!J89/Optimalisatie!AD89)*Optimalisatie!AC89),0)&gt;0,_xlfn.IFNA((VLOOKUP(Optimalisatie!AA89,Database_Asfalt_Verwijderset[#All],12,FALSE)*Optimalisatie!J89),0)+_xlfn.IFNA(VLOOKUP(Optimalisatie!AB89,Database_Brandstoffen[#All],12,FALSE)*((Optimalisatie!J89/Optimalisatie!AD89)*Optimalisatie!AC89),0),(_xlfn.IFNA(VLOOKUP(Inschrijf_CO2_Totaal[[#This Row],[Product]]&amp;", "&amp;Inschrijf_MKI_Totaal[[#Headers],[C1]],Database_Productkaarten[#All],18,FALSE),0)*Optimalisatie!J89)),0)</f>
        <v>0</v>
      </c>
      <c r="M192" s="91">
        <f>(IF(Optimalisatie!C89="Bestaande Situatie",_xlfn.IFNA(VLOOKUP(Optimalisatie!AF89,Database_Transport[#All],12,FALSE)*(Optimalisatie!R89*Optimalisatie!AE89),Baseline_Backlog!M192),0))</f>
        <v>0</v>
      </c>
      <c r="N192" s="91">
        <f>(IF(Optimalisatie!C89="Bestaande Situatie",_xlfn.IFNA(VLOOKUP(Optimalisatie!AG89,Database_Asfalt_Verwerkingsset[#All],12,FALSE)*(Optimalisatie!J89/VLOOKUP(Optimalisatie!AG89,Database_Asfalt_Verwerkingsset[#All],12,FALSE)),Baseline_Backlog!N192),0))</f>
        <v>0</v>
      </c>
      <c r="O192" s="91">
        <f>(IF(Optimalisatie!C89="Bestaande Situatie",_xlfn.IFNA(VLOOKUP(Inschrijf_CO2_Totaal[[#This Row],[Product]]&amp;", "&amp;Inschrijf_CO2_Totaal[[#Headers],[C4]],Database_Productkaarten[#All],18,FALSE)*Optimalisatie!J89,Baseline_Backlog!O192),0))</f>
        <v>0</v>
      </c>
      <c r="P192" s="91">
        <f>(IF(Optimalisatie!C89="Bestaande Situatie",_xlfn.IFNA(IF(Optimalisatie!E89="Categorie_1_LCA_Producten",VLOOKUP(Inschrijf_CO2_Totaal[[#This Row],[Product]],Categorie_1_Producten[#All],18,FALSE)*(Optimalisatie!J89),VLOOKUP(Inschrijf_CO2_Totaal[[#This Row],[Product]]&amp;", "&amp;Inschrijf_CO2_Totaal[[#Headers],[D1]],Database_Productkaarten[#All],18,FALSE)*Optimalisatie!J89),Baseline_Backlog!P192),0))</f>
        <v>0</v>
      </c>
      <c r="Q192" s="91">
        <f>(IF(Optimalisatie!C89="Bestaande Situatie",_xlfn.IFNA(IF(Optimalisatie!E89="Categorie_1_LCA_Producten",VLOOKUP(Inschrijf_CO2_Totaal[[#This Row],[Product]],Categorie_1_Producten[#All],19,FALSE)*(Optimalisatie!J89),VLOOKUP(Inschrijf_CO2_Totaal[[#This Row],[Product]]&amp;", "&amp;Inschrijf_CO2_Totaal[[#Headers],[D2]],Database_Productkaarten[#All],18,FALSE)*Optimalisatie!J89),Baseline_Backlog!Q192),0))</f>
        <v>0</v>
      </c>
      <c r="R192" s="91">
        <f>(IF(Optimalisatie!C89="Bestaande Situatie",_xlfn.IFNA(IF(Optimalisatie!E89="Categorie_1_LCA_Producten",VLOOKUP(Inschrijf_CO2_Totaal[[#This Row],[Product]],Categorie_1_Producten[#All],21,FALSE)*(Optimalisatie!J89),VLOOKUP(Inschrijf_CO2_Totaal[[#This Row],[Product]]&amp;", "&amp;Inschrijf_CO2_Totaal[[#Headers],[D]],Database_Productkaarten[#All],18,FALSE)*Optimalisatie!J89),Baseline_Backlog!S192),0))</f>
        <v>0</v>
      </c>
      <c r="S192" s="91">
        <f>SUM(Inschrijf_CO2_Totaal[[#This Row],[A1-A3]:[C4]])+Inschrijf_CO2_Totaal[[#This Row],[D]]</f>
        <v>0</v>
      </c>
    </row>
    <row r="193" spans="2:19">
      <c r="B193" s="208">
        <f>Optimalisatie!B90</f>
        <v>0</v>
      </c>
      <c r="C193" s="1">
        <f>Optimalisatie!F90</f>
        <v>0</v>
      </c>
      <c r="D193" s="91">
        <f>(IF(Optimalisatie!C90="Nieuwe Situatie",_xlfn.IFNA(IF(Optimalisatie!E90="Categorie_1_LCA_Producten",VLOOKUP(Inschrijf_CO2_Totaal[[#This Row],[Product]],Categorie_1_Producten[#All],14,FALSE)*(Optimalisatie!J90),VLOOKUP(Inschrijf_CO2_Totaal[[#This Row],[Product]]&amp;", "&amp;Inschrijf_CO2_Totaal[[#Headers],[A1]],Database_Productkaarten[#All],18,FALSE)*Optimalisatie!J90),Baseline_Backlog!D193),0))</f>
        <v>0</v>
      </c>
      <c r="E193" s="91">
        <f>(IF(Optimalisatie!C90="Nieuwe Situatie",_xlfn.IFNA(IF(Optimalisatie!E90="Categorie_1_LCA_Producten",VLOOKUP(Inschrijf_CO2_Totaal[[#This Row],[Product]],Categorie_1_Producten[#All],15,FALSE)*(Optimalisatie!J90),VLOOKUP(Inschrijf_CO2_Totaal[[#This Row],[Product]]&amp;", "&amp;Inschrijf_CO2_Totaal[[#Headers],[A2]],Database_Productkaarten[#All],18,FALSE)*Optimalisatie!J90),Baseline_Backlog!E193),0))</f>
        <v>0</v>
      </c>
      <c r="F193" s="91">
        <f>(IF(Optimalisatie!C90="Nieuwe Situatie",_xlfn.IFNA(IF(Optimalisatie!E90="Categorie_1_LCA_Producten",VLOOKUP(Inschrijf_CO2_Totaal[[#This Row],[Product]],Categorie_1_Producten[#All],16,FALSE)*(Optimalisatie!J90),VLOOKUP(Inschrijf_CO2_Totaal[[#This Row],[Product]]&amp;", "&amp;Inschrijf_CO2_Totaal[[#Headers],[A3]],Database_Productkaarten[#All],18,FALSE)*Optimalisatie!J90),Baseline_Backlog!F193),0))</f>
        <v>0</v>
      </c>
      <c r="G193" s="91">
        <f>(IF(Optimalisatie!C90="Nieuwe Situatie",_xlfn.IFNA(IF(Optimalisatie!E90="Categorie_1_LCA_Producten",VLOOKUP(Inschrijf_CO2_Totaal[[#This Row],[Product]],Categorie_1_Producten[#All],19,FALSE)*(Optimalisatie!J90),VLOOKUP(Inschrijf_CO2_Totaal[[#This Row],[Product]]&amp;", "&amp;Inschrijf_CO2_Totaal[[#Headers],[A1-A3]],Database_Productkaarten[#All],18,FALSE)*Optimalisatie!J90),Baseline_Backlog!G193),0))</f>
        <v>0</v>
      </c>
      <c r="H193" s="91">
        <f>(IF(Optimalisatie!C90="Nieuwe Situatie",_xlfn.IFNA(VLOOKUP(Optimalisatie!V90,Database_Transport[#All],12,FALSE)*(Optimalisatie!R90*Optimalisatie!U90),Baseline_Backlog!H193),0))</f>
        <v>0</v>
      </c>
      <c r="I193" s="91">
        <f>IF(Optimalisatie!C90="Nieuwe situatie",IF(_xlfn.IFNA((VLOOKUP(Optimalisatie!W90,Database_Asfalt_Aanlegset[#All],12,FALSE)*Optimalisatie!J90),0)+_xlfn.IFNA(VLOOKUP(Optimalisatie!X90,Database_Brandstoffen[#All],12,FALSE)*((Optimalisatie!J90/Optimalisatie!Z90)*Optimalisatie!Y90),0)&gt;0,_xlfn.IFNA((VLOOKUP(Optimalisatie!W90,Database_Asfalt_Aanlegset[#All],12,FALSE)*Optimalisatie!J90),0)+_xlfn.IFNA(VLOOKUP(Optimalisatie!X90,Database_Brandstoffen[#All],12,FALSE)*((Optimalisatie!J90/Optimalisatie!Z90)*Optimalisatie!Y90),0),(_xlfn.IFNA(VLOOKUP(Inschrijf_CO2_Totaal[[#This Row],[Product]]&amp;", "&amp;Inschrijf_MKI_Totaal[[#Headers],[A5]],Database_Productkaarten[#All],18,FALSE),0)*Optimalisatie!J90)),0)</f>
        <v>0</v>
      </c>
      <c r="J193" s="91">
        <f>(IF(Optimalisatie!C90="Nieuwe Situatie",_xlfn.IFNA(IF(Optimalisatie!E90="Categorie_1_LCA_Producten",VLOOKUP(Inschrijf_CO2_Totaal[[#This Row],[Product]],Categorie_1_Producten[#All],20,FALSE)*(Optimalisatie!R90),VLOOKUP(Inschrijf_CO2_Totaal[[#This Row],[Product]]&amp;", "&amp;Inschrijf_CO2_Totaal[[#Headers],[B1]],Database_Productkaarten[#All],18,FALSE)*Optimalisatie!J90),Baseline_Backlog!J193),0))</f>
        <v>0</v>
      </c>
      <c r="K193" s="91">
        <f>(IF(Optimalisatie!C90="Nieuwe Situatie",_xlfn.IFNA(SUM(Inschrijf_CO2_Totaal[[#This Row],[A1]:[B1]],Inschrijf_CO2_Totaal[[#This Row],[C1]:[D2]])*Optimalisatie!T90,0),0))</f>
        <v>0</v>
      </c>
      <c r="L193" s="91">
        <f>IF(Optimalisatie!C90="Bestaande situatie",IF(_xlfn.IFNA((VLOOKUP(Optimalisatie!AA90,Database_Asfalt_Verwijderset[#All],12,FALSE)*Optimalisatie!J90),0)+_xlfn.IFNA(VLOOKUP(Optimalisatie!AB90,Database_Brandstoffen[#All],12,FALSE)*((Optimalisatie!J90/Optimalisatie!AD90)*Optimalisatie!AC90),0)&gt;0,_xlfn.IFNA((VLOOKUP(Optimalisatie!AA90,Database_Asfalt_Verwijderset[#All],12,FALSE)*Optimalisatie!J90),0)+_xlfn.IFNA(VLOOKUP(Optimalisatie!AB90,Database_Brandstoffen[#All],12,FALSE)*((Optimalisatie!J90/Optimalisatie!AD90)*Optimalisatie!AC90),0),(_xlfn.IFNA(VLOOKUP(Inschrijf_CO2_Totaal[[#This Row],[Product]]&amp;", "&amp;Inschrijf_MKI_Totaal[[#Headers],[C1]],Database_Productkaarten[#All],18,FALSE),0)*Optimalisatie!J90)),0)</f>
        <v>0</v>
      </c>
      <c r="M193" s="91">
        <f>(IF(Optimalisatie!C90="Bestaande Situatie",_xlfn.IFNA(VLOOKUP(Optimalisatie!AF90,Database_Transport[#All],12,FALSE)*(Optimalisatie!R90*Optimalisatie!AE90),Baseline_Backlog!M193),0))</f>
        <v>0</v>
      </c>
      <c r="N193" s="91">
        <f>(IF(Optimalisatie!C90="Bestaande Situatie",_xlfn.IFNA(VLOOKUP(Optimalisatie!AG90,Database_Asfalt_Verwerkingsset[#All],12,FALSE)*(Optimalisatie!J90/VLOOKUP(Optimalisatie!AG90,Database_Asfalt_Verwerkingsset[#All],12,FALSE)),Baseline_Backlog!N193),0))</f>
        <v>0</v>
      </c>
      <c r="O193" s="91">
        <f>(IF(Optimalisatie!C90="Bestaande Situatie",_xlfn.IFNA(VLOOKUP(Inschrijf_CO2_Totaal[[#This Row],[Product]]&amp;", "&amp;Inschrijf_CO2_Totaal[[#Headers],[C4]],Database_Productkaarten[#All],18,FALSE)*Optimalisatie!J90,Baseline_Backlog!O193),0))</f>
        <v>0</v>
      </c>
      <c r="P193" s="91">
        <f>(IF(Optimalisatie!C90="Bestaande Situatie",_xlfn.IFNA(IF(Optimalisatie!E90="Categorie_1_LCA_Producten",VLOOKUP(Inschrijf_CO2_Totaal[[#This Row],[Product]],Categorie_1_Producten[#All],18,FALSE)*(Optimalisatie!J90),VLOOKUP(Inschrijf_CO2_Totaal[[#This Row],[Product]]&amp;", "&amp;Inschrijf_CO2_Totaal[[#Headers],[D1]],Database_Productkaarten[#All],18,FALSE)*Optimalisatie!J90),Baseline_Backlog!P193),0))</f>
        <v>0</v>
      </c>
      <c r="Q193" s="91">
        <f>(IF(Optimalisatie!C90="Bestaande Situatie",_xlfn.IFNA(IF(Optimalisatie!E90="Categorie_1_LCA_Producten",VLOOKUP(Inschrijf_CO2_Totaal[[#This Row],[Product]],Categorie_1_Producten[#All],19,FALSE)*(Optimalisatie!J90),VLOOKUP(Inschrijf_CO2_Totaal[[#This Row],[Product]]&amp;", "&amp;Inschrijf_CO2_Totaal[[#Headers],[D2]],Database_Productkaarten[#All],18,FALSE)*Optimalisatie!J90),Baseline_Backlog!Q193),0))</f>
        <v>0</v>
      </c>
      <c r="R193" s="91">
        <f>(IF(Optimalisatie!C90="Bestaande Situatie",_xlfn.IFNA(IF(Optimalisatie!E90="Categorie_1_LCA_Producten",VLOOKUP(Inschrijf_CO2_Totaal[[#This Row],[Product]],Categorie_1_Producten[#All],21,FALSE)*(Optimalisatie!J90),VLOOKUP(Inschrijf_CO2_Totaal[[#This Row],[Product]]&amp;", "&amp;Inschrijf_CO2_Totaal[[#Headers],[D]],Database_Productkaarten[#All],18,FALSE)*Optimalisatie!J90),Baseline_Backlog!S193),0))</f>
        <v>0</v>
      </c>
      <c r="S193" s="91">
        <f>SUM(Inschrijf_CO2_Totaal[[#This Row],[A1-A3]:[C4]])+Inschrijf_CO2_Totaal[[#This Row],[D]]</f>
        <v>0</v>
      </c>
    </row>
    <row r="194" spans="2:19">
      <c r="B194" s="208">
        <f>Optimalisatie!B91</f>
        <v>0</v>
      </c>
      <c r="C194" s="1">
        <f>Optimalisatie!F91</f>
        <v>0</v>
      </c>
      <c r="D194" s="91">
        <f>(IF(Optimalisatie!C91="Nieuwe Situatie",_xlfn.IFNA(IF(Optimalisatie!E91="Categorie_1_LCA_Producten",VLOOKUP(Inschrijf_CO2_Totaal[[#This Row],[Product]],Categorie_1_Producten[#All],14,FALSE)*(Optimalisatie!J91),VLOOKUP(Inschrijf_CO2_Totaal[[#This Row],[Product]]&amp;", "&amp;Inschrijf_CO2_Totaal[[#Headers],[A1]],Database_Productkaarten[#All],18,FALSE)*Optimalisatie!J91),Baseline_Backlog!D194),0))</f>
        <v>0</v>
      </c>
      <c r="E194" s="91">
        <f>(IF(Optimalisatie!C91="Nieuwe Situatie",_xlfn.IFNA(IF(Optimalisatie!E91="Categorie_1_LCA_Producten",VLOOKUP(Inschrijf_CO2_Totaal[[#This Row],[Product]],Categorie_1_Producten[#All],15,FALSE)*(Optimalisatie!J91),VLOOKUP(Inschrijf_CO2_Totaal[[#This Row],[Product]]&amp;", "&amp;Inschrijf_CO2_Totaal[[#Headers],[A2]],Database_Productkaarten[#All],18,FALSE)*Optimalisatie!J91),Baseline_Backlog!E194),0))</f>
        <v>0</v>
      </c>
      <c r="F194" s="91">
        <f>(IF(Optimalisatie!C91="Nieuwe Situatie",_xlfn.IFNA(IF(Optimalisatie!E91="Categorie_1_LCA_Producten",VLOOKUP(Inschrijf_CO2_Totaal[[#This Row],[Product]],Categorie_1_Producten[#All],16,FALSE)*(Optimalisatie!J91),VLOOKUP(Inschrijf_CO2_Totaal[[#This Row],[Product]]&amp;", "&amp;Inschrijf_CO2_Totaal[[#Headers],[A3]],Database_Productkaarten[#All],18,FALSE)*Optimalisatie!J91),Baseline_Backlog!F194),0))</f>
        <v>0</v>
      </c>
      <c r="G194" s="91">
        <f>(IF(Optimalisatie!C91="Nieuwe Situatie",_xlfn.IFNA(IF(Optimalisatie!E91="Categorie_1_LCA_Producten",VLOOKUP(Inschrijf_CO2_Totaal[[#This Row],[Product]],Categorie_1_Producten[#All],19,FALSE)*(Optimalisatie!J91),VLOOKUP(Inschrijf_CO2_Totaal[[#This Row],[Product]]&amp;", "&amp;Inschrijf_CO2_Totaal[[#Headers],[A1-A3]],Database_Productkaarten[#All],18,FALSE)*Optimalisatie!J91),Baseline_Backlog!G194),0))</f>
        <v>0</v>
      </c>
      <c r="H194" s="91">
        <f>(IF(Optimalisatie!C91="Nieuwe Situatie",_xlfn.IFNA(VLOOKUP(Optimalisatie!V91,Database_Transport[#All],12,FALSE)*(Optimalisatie!R91*Optimalisatie!U91),Baseline_Backlog!H194),0))</f>
        <v>0</v>
      </c>
      <c r="I194" s="91">
        <f>IF(Optimalisatie!C91="Nieuwe situatie",IF(_xlfn.IFNA((VLOOKUP(Optimalisatie!W91,Database_Asfalt_Aanlegset[#All],12,FALSE)*Optimalisatie!J91),0)+_xlfn.IFNA(VLOOKUP(Optimalisatie!X91,Database_Brandstoffen[#All],12,FALSE)*((Optimalisatie!J91/Optimalisatie!Z91)*Optimalisatie!Y91),0)&gt;0,_xlfn.IFNA((VLOOKUP(Optimalisatie!W91,Database_Asfalt_Aanlegset[#All],12,FALSE)*Optimalisatie!J91),0)+_xlfn.IFNA(VLOOKUP(Optimalisatie!X91,Database_Brandstoffen[#All],12,FALSE)*((Optimalisatie!J91/Optimalisatie!Z91)*Optimalisatie!Y91),0),(_xlfn.IFNA(VLOOKUP(Inschrijf_CO2_Totaal[[#This Row],[Product]]&amp;", "&amp;Inschrijf_MKI_Totaal[[#Headers],[A5]],Database_Productkaarten[#All],18,FALSE),0)*Optimalisatie!J91)),0)</f>
        <v>0</v>
      </c>
      <c r="J194" s="91">
        <f>(IF(Optimalisatie!C91="Nieuwe Situatie",_xlfn.IFNA(IF(Optimalisatie!E91="Categorie_1_LCA_Producten",VLOOKUP(Inschrijf_CO2_Totaal[[#This Row],[Product]],Categorie_1_Producten[#All],20,FALSE)*(Optimalisatie!R91),VLOOKUP(Inschrijf_CO2_Totaal[[#This Row],[Product]]&amp;", "&amp;Inschrijf_CO2_Totaal[[#Headers],[B1]],Database_Productkaarten[#All],18,FALSE)*Optimalisatie!J91),Baseline_Backlog!J194),0))</f>
        <v>0</v>
      </c>
      <c r="K194" s="91">
        <f>(IF(Optimalisatie!C91="Nieuwe Situatie",_xlfn.IFNA(SUM(Inschrijf_CO2_Totaal[[#This Row],[A1]:[B1]],Inschrijf_CO2_Totaal[[#This Row],[C1]:[D2]])*Optimalisatie!T91,0),0))</f>
        <v>0</v>
      </c>
      <c r="L194" s="91">
        <f>IF(Optimalisatie!C91="Bestaande situatie",IF(_xlfn.IFNA((VLOOKUP(Optimalisatie!AA91,Database_Asfalt_Verwijderset[#All],12,FALSE)*Optimalisatie!J91),0)+_xlfn.IFNA(VLOOKUP(Optimalisatie!AB91,Database_Brandstoffen[#All],12,FALSE)*((Optimalisatie!J91/Optimalisatie!AD91)*Optimalisatie!AC91),0)&gt;0,_xlfn.IFNA((VLOOKUP(Optimalisatie!AA91,Database_Asfalt_Verwijderset[#All],12,FALSE)*Optimalisatie!J91),0)+_xlfn.IFNA(VLOOKUP(Optimalisatie!AB91,Database_Brandstoffen[#All],12,FALSE)*((Optimalisatie!J91/Optimalisatie!AD91)*Optimalisatie!AC91),0),(_xlfn.IFNA(VLOOKUP(Inschrijf_CO2_Totaal[[#This Row],[Product]]&amp;", "&amp;Inschrijf_MKI_Totaal[[#Headers],[C1]],Database_Productkaarten[#All],18,FALSE),0)*Optimalisatie!J91)),0)</f>
        <v>0</v>
      </c>
      <c r="M194" s="91">
        <f>(IF(Optimalisatie!C91="Bestaande Situatie",_xlfn.IFNA(VLOOKUP(Optimalisatie!AF91,Database_Transport[#All],12,FALSE)*(Optimalisatie!R91*Optimalisatie!AE91),Baseline_Backlog!M194),0))</f>
        <v>0</v>
      </c>
      <c r="N194" s="91">
        <f>(IF(Optimalisatie!C91="Bestaande Situatie",_xlfn.IFNA(VLOOKUP(Optimalisatie!AG91,Database_Asfalt_Verwerkingsset[#All],12,FALSE)*(Optimalisatie!J91/VLOOKUP(Optimalisatie!AG91,Database_Asfalt_Verwerkingsset[#All],12,FALSE)),Baseline_Backlog!N194),0))</f>
        <v>0</v>
      </c>
      <c r="O194" s="91">
        <f>(IF(Optimalisatie!C91="Bestaande Situatie",_xlfn.IFNA(VLOOKUP(Inschrijf_CO2_Totaal[[#This Row],[Product]]&amp;", "&amp;Inschrijf_CO2_Totaal[[#Headers],[C4]],Database_Productkaarten[#All],18,FALSE)*Optimalisatie!J91,Baseline_Backlog!O194),0))</f>
        <v>0</v>
      </c>
      <c r="P194" s="91">
        <f>(IF(Optimalisatie!C91="Bestaande Situatie",_xlfn.IFNA(IF(Optimalisatie!E91="Categorie_1_LCA_Producten",VLOOKUP(Inschrijf_CO2_Totaal[[#This Row],[Product]],Categorie_1_Producten[#All],18,FALSE)*(Optimalisatie!J91),VLOOKUP(Inschrijf_CO2_Totaal[[#This Row],[Product]]&amp;", "&amp;Inschrijf_CO2_Totaal[[#Headers],[D1]],Database_Productkaarten[#All],18,FALSE)*Optimalisatie!J91),Baseline_Backlog!P194),0))</f>
        <v>0</v>
      </c>
      <c r="Q194" s="91">
        <f>(IF(Optimalisatie!C91="Bestaande Situatie",_xlfn.IFNA(IF(Optimalisatie!E91="Categorie_1_LCA_Producten",VLOOKUP(Inschrijf_CO2_Totaal[[#This Row],[Product]],Categorie_1_Producten[#All],19,FALSE)*(Optimalisatie!J91),VLOOKUP(Inschrijf_CO2_Totaal[[#This Row],[Product]]&amp;", "&amp;Inschrijf_CO2_Totaal[[#Headers],[D2]],Database_Productkaarten[#All],18,FALSE)*Optimalisatie!J91),Baseline_Backlog!Q194),0))</f>
        <v>0</v>
      </c>
      <c r="R194" s="91">
        <f>(IF(Optimalisatie!C91="Bestaande Situatie",_xlfn.IFNA(IF(Optimalisatie!E91="Categorie_1_LCA_Producten",VLOOKUP(Inschrijf_CO2_Totaal[[#This Row],[Product]],Categorie_1_Producten[#All],21,FALSE)*(Optimalisatie!J91),VLOOKUP(Inschrijf_CO2_Totaal[[#This Row],[Product]]&amp;", "&amp;Inschrijf_CO2_Totaal[[#Headers],[D]],Database_Productkaarten[#All],18,FALSE)*Optimalisatie!J91),Baseline_Backlog!S194),0))</f>
        <v>0</v>
      </c>
      <c r="S194" s="91">
        <f>SUM(Inschrijf_CO2_Totaal[[#This Row],[A1-A3]:[C4]])+Inschrijf_CO2_Totaal[[#This Row],[D]]</f>
        <v>0</v>
      </c>
    </row>
    <row r="195" spans="2:19">
      <c r="B195" s="208">
        <f>Optimalisatie!B92</f>
        <v>0</v>
      </c>
      <c r="C195" s="1">
        <f>Optimalisatie!F92</f>
        <v>0</v>
      </c>
      <c r="D195" s="91">
        <f>(IF(Optimalisatie!C92="Nieuwe Situatie",_xlfn.IFNA(IF(Optimalisatie!E92="Categorie_1_LCA_Producten",VLOOKUP(Inschrijf_CO2_Totaal[[#This Row],[Product]],Categorie_1_Producten[#All],14,FALSE)*(Optimalisatie!J92),VLOOKUP(Inschrijf_CO2_Totaal[[#This Row],[Product]]&amp;", "&amp;Inschrijf_CO2_Totaal[[#Headers],[A1]],Database_Productkaarten[#All],18,FALSE)*Optimalisatie!J92),Baseline_Backlog!D195),0))</f>
        <v>0</v>
      </c>
      <c r="E195" s="91">
        <f>(IF(Optimalisatie!C92="Nieuwe Situatie",_xlfn.IFNA(IF(Optimalisatie!E92="Categorie_1_LCA_Producten",VLOOKUP(Inschrijf_CO2_Totaal[[#This Row],[Product]],Categorie_1_Producten[#All],15,FALSE)*(Optimalisatie!J92),VLOOKUP(Inschrijf_CO2_Totaal[[#This Row],[Product]]&amp;", "&amp;Inschrijf_CO2_Totaal[[#Headers],[A2]],Database_Productkaarten[#All],18,FALSE)*Optimalisatie!J92),Baseline_Backlog!E195),0))</f>
        <v>0</v>
      </c>
      <c r="F195" s="91">
        <f>(IF(Optimalisatie!C92="Nieuwe Situatie",_xlfn.IFNA(IF(Optimalisatie!E92="Categorie_1_LCA_Producten",VLOOKUP(Inschrijf_CO2_Totaal[[#This Row],[Product]],Categorie_1_Producten[#All],16,FALSE)*(Optimalisatie!J92),VLOOKUP(Inschrijf_CO2_Totaal[[#This Row],[Product]]&amp;", "&amp;Inschrijf_CO2_Totaal[[#Headers],[A3]],Database_Productkaarten[#All],18,FALSE)*Optimalisatie!J92),Baseline_Backlog!F195),0))</f>
        <v>0</v>
      </c>
      <c r="G195" s="91">
        <f>(IF(Optimalisatie!C92="Nieuwe Situatie",_xlfn.IFNA(IF(Optimalisatie!E92="Categorie_1_LCA_Producten",VLOOKUP(Inschrijf_CO2_Totaal[[#This Row],[Product]],Categorie_1_Producten[#All],19,FALSE)*(Optimalisatie!J92),VLOOKUP(Inschrijf_CO2_Totaal[[#This Row],[Product]]&amp;", "&amp;Inschrijf_CO2_Totaal[[#Headers],[A1-A3]],Database_Productkaarten[#All],18,FALSE)*Optimalisatie!J92),Baseline_Backlog!G195),0))</f>
        <v>0</v>
      </c>
      <c r="H195" s="91">
        <f>(IF(Optimalisatie!C92="Nieuwe Situatie",_xlfn.IFNA(VLOOKUP(Optimalisatie!V92,Database_Transport[#All],12,FALSE)*(Optimalisatie!R92*Optimalisatie!U92),Baseline_Backlog!H195),0))</f>
        <v>0</v>
      </c>
      <c r="I195" s="91">
        <f>IF(Optimalisatie!C92="Nieuwe situatie",IF(_xlfn.IFNA((VLOOKUP(Optimalisatie!W92,Database_Asfalt_Aanlegset[#All],12,FALSE)*Optimalisatie!J92),0)+_xlfn.IFNA(VLOOKUP(Optimalisatie!X92,Database_Brandstoffen[#All],12,FALSE)*((Optimalisatie!J92/Optimalisatie!Z92)*Optimalisatie!Y92),0)&gt;0,_xlfn.IFNA((VLOOKUP(Optimalisatie!W92,Database_Asfalt_Aanlegset[#All],12,FALSE)*Optimalisatie!J92),0)+_xlfn.IFNA(VLOOKUP(Optimalisatie!X92,Database_Brandstoffen[#All],12,FALSE)*((Optimalisatie!J92/Optimalisatie!Z92)*Optimalisatie!Y92),0),(_xlfn.IFNA(VLOOKUP(Inschrijf_CO2_Totaal[[#This Row],[Product]]&amp;", "&amp;Inschrijf_MKI_Totaal[[#Headers],[A5]],Database_Productkaarten[#All],18,FALSE),0)*Optimalisatie!J92)),0)</f>
        <v>0</v>
      </c>
      <c r="J195" s="91">
        <f>(IF(Optimalisatie!C92="Nieuwe Situatie",_xlfn.IFNA(IF(Optimalisatie!E92="Categorie_1_LCA_Producten",VLOOKUP(Inschrijf_CO2_Totaal[[#This Row],[Product]],Categorie_1_Producten[#All],20,FALSE)*(Optimalisatie!R92),VLOOKUP(Inschrijf_CO2_Totaal[[#This Row],[Product]]&amp;", "&amp;Inschrijf_CO2_Totaal[[#Headers],[B1]],Database_Productkaarten[#All],18,FALSE)*Optimalisatie!J92),Baseline_Backlog!J195),0))</f>
        <v>0</v>
      </c>
      <c r="K195" s="91">
        <f>(IF(Optimalisatie!C92="Nieuwe Situatie",_xlfn.IFNA(SUM(Inschrijf_CO2_Totaal[[#This Row],[A1]:[B1]],Inschrijf_CO2_Totaal[[#This Row],[C1]:[D2]])*Optimalisatie!T92,0),0))</f>
        <v>0</v>
      </c>
      <c r="L195" s="91">
        <f>IF(Optimalisatie!C92="Bestaande situatie",IF(_xlfn.IFNA((VLOOKUP(Optimalisatie!AA92,Database_Asfalt_Verwijderset[#All],12,FALSE)*Optimalisatie!J92),0)+_xlfn.IFNA(VLOOKUP(Optimalisatie!AB92,Database_Brandstoffen[#All],12,FALSE)*((Optimalisatie!J92/Optimalisatie!AD92)*Optimalisatie!AC92),0)&gt;0,_xlfn.IFNA((VLOOKUP(Optimalisatie!AA92,Database_Asfalt_Verwijderset[#All],12,FALSE)*Optimalisatie!J92),0)+_xlfn.IFNA(VLOOKUP(Optimalisatie!AB92,Database_Brandstoffen[#All],12,FALSE)*((Optimalisatie!J92/Optimalisatie!AD92)*Optimalisatie!AC92),0),(_xlfn.IFNA(VLOOKUP(Inschrijf_CO2_Totaal[[#This Row],[Product]]&amp;", "&amp;Inschrijf_MKI_Totaal[[#Headers],[C1]],Database_Productkaarten[#All],18,FALSE),0)*Optimalisatie!J92)),0)</f>
        <v>0</v>
      </c>
      <c r="M195" s="91">
        <f>(IF(Optimalisatie!C92="Bestaande Situatie",_xlfn.IFNA(VLOOKUP(Optimalisatie!AF92,Database_Transport[#All],12,FALSE)*(Optimalisatie!R92*Optimalisatie!AE92),Baseline_Backlog!M195),0))</f>
        <v>0</v>
      </c>
      <c r="N195" s="91">
        <f>(IF(Optimalisatie!C92="Bestaande Situatie",_xlfn.IFNA(VLOOKUP(Optimalisatie!AG92,Database_Asfalt_Verwerkingsset[#All],12,FALSE)*(Optimalisatie!J92/VLOOKUP(Optimalisatie!AG92,Database_Asfalt_Verwerkingsset[#All],12,FALSE)),Baseline_Backlog!N195),0))</f>
        <v>0</v>
      </c>
      <c r="O195" s="91">
        <f>(IF(Optimalisatie!C92="Bestaande Situatie",_xlfn.IFNA(VLOOKUP(Inschrijf_CO2_Totaal[[#This Row],[Product]]&amp;", "&amp;Inschrijf_CO2_Totaal[[#Headers],[C4]],Database_Productkaarten[#All],18,FALSE)*Optimalisatie!J92,Baseline_Backlog!O195),0))</f>
        <v>0</v>
      </c>
      <c r="P195" s="91">
        <f>(IF(Optimalisatie!C92="Bestaande Situatie",_xlfn.IFNA(IF(Optimalisatie!E92="Categorie_1_LCA_Producten",VLOOKUP(Inschrijf_CO2_Totaal[[#This Row],[Product]],Categorie_1_Producten[#All],18,FALSE)*(Optimalisatie!J92),VLOOKUP(Inschrijf_CO2_Totaal[[#This Row],[Product]]&amp;", "&amp;Inschrijf_CO2_Totaal[[#Headers],[D1]],Database_Productkaarten[#All],18,FALSE)*Optimalisatie!J92),Baseline_Backlog!P195),0))</f>
        <v>0</v>
      </c>
      <c r="Q195" s="91">
        <f>(IF(Optimalisatie!C92="Bestaande Situatie",_xlfn.IFNA(IF(Optimalisatie!E92="Categorie_1_LCA_Producten",VLOOKUP(Inschrijf_CO2_Totaal[[#This Row],[Product]],Categorie_1_Producten[#All],19,FALSE)*(Optimalisatie!J92),VLOOKUP(Inschrijf_CO2_Totaal[[#This Row],[Product]]&amp;", "&amp;Inschrijf_CO2_Totaal[[#Headers],[D2]],Database_Productkaarten[#All],18,FALSE)*Optimalisatie!J92),Baseline_Backlog!Q195),0))</f>
        <v>0</v>
      </c>
      <c r="R195" s="91">
        <f>(IF(Optimalisatie!C92="Bestaande Situatie",_xlfn.IFNA(IF(Optimalisatie!E92="Categorie_1_LCA_Producten",VLOOKUP(Inschrijf_CO2_Totaal[[#This Row],[Product]],Categorie_1_Producten[#All],21,FALSE)*(Optimalisatie!J92),VLOOKUP(Inschrijf_CO2_Totaal[[#This Row],[Product]]&amp;", "&amp;Inschrijf_CO2_Totaal[[#Headers],[D]],Database_Productkaarten[#All],18,FALSE)*Optimalisatie!J92),Baseline_Backlog!S195),0))</f>
        <v>0</v>
      </c>
      <c r="S195" s="91">
        <f>SUM(Inschrijf_CO2_Totaal[[#This Row],[A1-A3]:[C4]])+Inschrijf_CO2_Totaal[[#This Row],[D]]</f>
        <v>0</v>
      </c>
    </row>
    <row r="196" spans="2:19">
      <c r="B196" s="208">
        <f>Optimalisatie!B93</f>
        <v>0</v>
      </c>
      <c r="C196" s="1">
        <f>Optimalisatie!F93</f>
        <v>0</v>
      </c>
      <c r="D196" s="91">
        <f>(IF(Optimalisatie!C93="Nieuwe Situatie",_xlfn.IFNA(IF(Optimalisatie!E93="Categorie_1_LCA_Producten",VLOOKUP(Inschrijf_CO2_Totaal[[#This Row],[Product]],Categorie_1_Producten[#All],14,FALSE)*(Optimalisatie!J93),VLOOKUP(Inschrijf_CO2_Totaal[[#This Row],[Product]]&amp;", "&amp;Inschrijf_CO2_Totaal[[#Headers],[A1]],Database_Productkaarten[#All],18,FALSE)*Optimalisatie!J93),Baseline_Backlog!D196),0))</f>
        <v>0</v>
      </c>
      <c r="E196" s="91">
        <f>(IF(Optimalisatie!C93="Nieuwe Situatie",_xlfn.IFNA(IF(Optimalisatie!E93="Categorie_1_LCA_Producten",VLOOKUP(Inschrijf_CO2_Totaal[[#This Row],[Product]],Categorie_1_Producten[#All],15,FALSE)*(Optimalisatie!J93),VLOOKUP(Inschrijf_CO2_Totaal[[#This Row],[Product]]&amp;", "&amp;Inschrijf_CO2_Totaal[[#Headers],[A2]],Database_Productkaarten[#All],18,FALSE)*Optimalisatie!J93),Baseline_Backlog!E196),0))</f>
        <v>0</v>
      </c>
      <c r="F196" s="91">
        <f>(IF(Optimalisatie!C93="Nieuwe Situatie",_xlfn.IFNA(IF(Optimalisatie!E93="Categorie_1_LCA_Producten",VLOOKUP(Inschrijf_CO2_Totaal[[#This Row],[Product]],Categorie_1_Producten[#All],16,FALSE)*(Optimalisatie!J93),VLOOKUP(Inschrijf_CO2_Totaal[[#This Row],[Product]]&amp;", "&amp;Inschrijf_CO2_Totaal[[#Headers],[A3]],Database_Productkaarten[#All],18,FALSE)*Optimalisatie!J93),Baseline_Backlog!F196),0))</f>
        <v>0</v>
      </c>
      <c r="G196" s="91">
        <f>(IF(Optimalisatie!C93="Nieuwe Situatie",_xlfn.IFNA(IF(Optimalisatie!E93="Categorie_1_LCA_Producten",VLOOKUP(Inschrijf_CO2_Totaal[[#This Row],[Product]],Categorie_1_Producten[#All],19,FALSE)*(Optimalisatie!J93),VLOOKUP(Inschrijf_CO2_Totaal[[#This Row],[Product]]&amp;", "&amp;Inschrijf_CO2_Totaal[[#Headers],[A1-A3]],Database_Productkaarten[#All],18,FALSE)*Optimalisatie!J93),Baseline_Backlog!G196),0))</f>
        <v>0</v>
      </c>
      <c r="H196" s="91">
        <f>(IF(Optimalisatie!C93="Nieuwe Situatie",_xlfn.IFNA(VLOOKUP(Optimalisatie!V93,Database_Transport[#All],12,FALSE)*(Optimalisatie!R93*Optimalisatie!U93),Baseline_Backlog!H196),0))</f>
        <v>0</v>
      </c>
      <c r="I196" s="91">
        <f>IF(Optimalisatie!C93="Nieuwe situatie",IF(_xlfn.IFNA((VLOOKUP(Optimalisatie!W93,Database_Asfalt_Aanlegset[#All],12,FALSE)*Optimalisatie!J93),0)+_xlfn.IFNA(VLOOKUP(Optimalisatie!X93,Database_Brandstoffen[#All],12,FALSE)*((Optimalisatie!J93/Optimalisatie!Z93)*Optimalisatie!Y93),0)&gt;0,_xlfn.IFNA((VLOOKUP(Optimalisatie!W93,Database_Asfalt_Aanlegset[#All],12,FALSE)*Optimalisatie!J93),0)+_xlfn.IFNA(VLOOKUP(Optimalisatie!X93,Database_Brandstoffen[#All],12,FALSE)*((Optimalisatie!J93/Optimalisatie!Z93)*Optimalisatie!Y93),0),(_xlfn.IFNA(VLOOKUP(Inschrijf_CO2_Totaal[[#This Row],[Product]]&amp;", "&amp;Inschrijf_MKI_Totaal[[#Headers],[A5]],Database_Productkaarten[#All],18,FALSE),0)*Optimalisatie!J93)),0)</f>
        <v>0</v>
      </c>
      <c r="J196" s="91">
        <f>(IF(Optimalisatie!C93="Nieuwe Situatie",_xlfn.IFNA(IF(Optimalisatie!E93="Categorie_1_LCA_Producten",VLOOKUP(Inschrijf_CO2_Totaal[[#This Row],[Product]],Categorie_1_Producten[#All],20,FALSE)*(Optimalisatie!R93),VLOOKUP(Inschrijf_CO2_Totaal[[#This Row],[Product]]&amp;", "&amp;Inschrijf_CO2_Totaal[[#Headers],[B1]],Database_Productkaarten[#All],18,FALSE)*Optimalisatie!J93),Baseline_Backlog!J196),0))</f>
        <v>0</v>
      </c>
      <c r="K196" s="91">
        <f>(IF(Optimalisatie!C93="Nieuwe Situatie",_xlfn.IFNA(SUM(Inschrijf_CO2_Totaal[[#This Row],[A1]:[B1]],Inschrijf_CO2_Totaal[[#This Row],[C1]:[D2]])*Optimalisatie!T93,0),0))</f>
        <v>0</v>
      </c>
      <c r="L196" s="91">
        <f>IF(Optimalisatie!C93="Bestaande situatie",IF(_xlfn.IFNA((VLOOKUP(Optimalisatie!AA93,Database_Asfalt_Verwijderset[#All],12,FALSE)*Optimalisatie!J93),0)+_xlfn.IFNA(VLOOKUP(Optimalisatie!AB93,Database_Brandstoffen[#All],12,FALSE)*((Optimalisatie!J93/Optimalisatie!AD93)*Optimalisatie!AC93),0)&gt;0,_xlfn.IFNA((VLOOKUP(Optimalisatie!AA93,Database_Asfalt_Verwijderset[#All],12,FALSE)*Optimalisatie!J93),0)+_xlfn.IFNA(VLOOKUP(Optimalisatie!AB93,Database_Brandstoffen[#All],12,FALSE)*((Optimalisatie!J93/Optimalisatie!AD93)*Optimalisatie!AC93),0),(_xlfn.IFNA(VLOOKUP(Inschrijf_CO2_Totaal[[#This Row],[Product]]&amp;", "&amp;Inschrijf_MKI_Totaal[[#Headers],[C1]],Database_Productkaarten[#All],18,FALSE),0)*Optimalisatie!J93)),0)</f>
        <v>0</v>
      </c>
      <c r="M196" s="91">
        <f>(IF(Optimalisatie!C93="Bestaande Situatie",_xlfn.IFNA(VLOOKUP(Optimalisatie!AF93,Database_Transport[#All],12,FALSE)*(Optimalisatie!R93*Optimalisatie!AE93),Baseline_Backlog!M196),0))</f>
        <v>0</v>
      </c>
      <c r="N196" s="91">
        <f>(IF(Optimalisatie!C93="Bestaande Situatie",_xlfn.IFNA(VLOOKUP(Optimalisatie!AG93,Database_Asfalt_Verwerkingsset[#All],12,FALSE)*(Optimalisatie!J93/VLOOKUP(Optimalisatie!AG93,Database_Asfalt_Verwerkingsset[#All],12,FALSE)),Baseline_Backlog!N196),0))</f>
        <v>0</v>
      </c>
      <c r="O196" s="91">
        <f>(IF(Optimalisatie!C93="Bestaande Situatie",_xlfn.IFNA(VLOOKUP(Inschrijf_CO2_Totaal[[#This Row],[Product]]&amp;", "&amp;Inschrijf_CO2_Totaal[[#Headers],[C4]],Database_Productkaarten[#All],18,FALSE)*Optimalisatie!J93,Baseline_Backlog!O196),0))</f>
        <v>0</v>
      </c>
      <c r="P196" s="91">
        <f>(IF(Optimalisatie!C93="Bestaande Situatie",_xlfn.IFNA(IF(Optimalisatie!E93="Categorie_1_LCA_Producten",VLOOKUP(Inschrijf_CO2_Totaal[[#This Row],[Product]],Categorie_1_Producten[#All],18,FALSE)*(Optimalisatie!J93),VLOOKUP(Inschrijf_CO2_Totaal[[#This Row],[Product]]&amp;", "&amp;Inschrijf_CO2_Totaal[[#Headers],[D1]],Database_Productkaarten[#All],18,FALSE)*Optimalisatie!J93),Baseline_Backlog!P196),0))</f>
        <v>0</v>
      </c>
      <c r="Q196" s="91">
        <f>(IF(Optimalisatie!C93="Bestaande Situatie",_xlfn.IFNA(IF(Optimalisatie!E93="Categorie_1_LCA_Producten",VLOOKUP(Inschrijf_CO2_Totaal[[#This Row],[Product]],Categorie_1_Producten[#All],19,FALSE)*(Optimalisatie!J93),VLOOKUP(Inschrijf_CO2_Totaal[[#This Row],[Product]]&amp;", "&amp;Inschrijf_CO2_Totaal[[#Headers],[D2]],Database_Productkaarten[#All],18,FALSE)*Optimalisatie!J93),Baseline_Backlog!Q196),0))</f>
        <v>0</v>
      </c>
      <c r="R196" s="91">
        <f>(IF(Optimalisatie!C93="Bestaande Situatie",_xlfn.IFNA(IF(Optimalisatie!E93="Categorie_1_LCA_Producten",VLOOKUP(Inschrijf_CO2_Totaal[[#This Row],[Product]],Categorie_1_Producten[#All],21,FALSE)*(Optimalisatie!J93),VLOOKUP(Inschrijf_CO2_Totaal[[#This Row],[Product]]&amp;", "&amp;Inschrijf_CO2_Totaal[[#Headers],[D]],Database_Productkaarten[#All],18,FALSE)*Optimalisatie!J93),Baseline_Backlog!S196),0))</f>
        <v>0</v>
      </c>
      <c r="S196" s="91">
        <f>SUM(Inschrijf_CO2_Totaal[[#This Row],[A1-A3]:[C4]])+Inschrijf_CO2_Totaal[[#This Row],[D]]</f>
        <v>0</v>
      </c>
    </row>
    <row r="197" spans="2:19">
      <c r="B197" s="208">
        <f>Optimalisatie!B94</f>
        <v>0</v>
      </c>
      <c r="C197" s="1">
        <f>Optimalisatie!F94</f>
        <v>0</v>
      </c>
      <c r="D197" s="91">
        <f>(IF(Optimalisatie!C94="Nieuwe Situatie",_xlfn.IFNA(IF(Optimalisatie!E94="Categorie_1_LCA_Producten",VLOOKUP(Inschrijf_CO2_Totaal[[#This Row],[Product]],Categorie_1_Producten[#All],14,FALSE)*(Optimalisatie!J94),VLOOKUP(Inschrijf_CO2_Totaal[[#This Row],[Product]]&amp;", "&amp;Inschrijf_CO2_Totaal[[#Headers],[A1]],Database_Productkaarten[#All],18,FALSE)*Optimalisatie!J94),Baseline_Backlog!D197),0))</f>
        <v>0</v>
      </c>
      <c r="E197" s="91">
        <f>(IF(Optimalisatie!C94="Nieuwe Situatie",_xlfn.IFNA(IF(Optimalisatie!E94="Categorie_1_LCA_Producten",VLOOKUP(Inschrijf_CO2_Totaal[[#This Row],[Product]],Categorie_1_Producten[#All],15,FALSE)*(Optimalisatie!J94),VLOOKUP(Inschrijf_CO2_Totaal[[#This Row],[Product]]&amp;", "&amp;Inschrijf_CO2_Totaal[[#Headers],[A2]],Database_Productkaarten[#All],18,FALSE)*Optimalisatie!J94),Baseline_Backlog!E197),0))</f>
        <v>0</v>
      </c>
      <c r="F197" s="91">
        <f>(IF(Optimalisatie!C94="Nieuwe Situatie",_xlfn.IFNA(IF(Optimalisatie!E94="Categorie_1_LCA_Producten",VLOOKUP(Inschrijf_CO2_Totaal[[#This Row],[Product]],Categorie_1_Producten[#All],16,FALSE)*(Optimalisatie!J94),VLOOKUP(Inschrijf_CO2_Totaal[[#This Row],[Product]]&amp;", "&amp;Inschrijf_CO2_Totaal[[#Headers],[A3]],Database_Productkaarten[#All],18,FALSE)*Optimalisatie!J94),Baseline_Backlog!F197),0))</f>
        <v>0</v>
      </c>
      <c r="G197" s="91">
        <f>(IF(Optimalisatie!C94="Nieuwe Situatie",_xlfn.IFNA(IF(Optimalisatie!E94="Categorie_1_LCA_Producten",VLOOKUP(Inschrijf_CO2_Totaal[[#This Row],[Product]],Categorie_1_Producten[#All],19,FALSE)*(Optimalisatie!J94),VLOOKUP(Inschrijf_CO2_Totaal[[#This Row],[Product]]&amp;", "&amp;Inschrijf_CO2_Totaal[[#Headers],[A1-A3]],Database_Productkaarten[#All],18,FALSE)*Optimalisatie!J94),Baseline_Backlog!G197),0))</f>
        <v>0</v>
      </c>
      <c r="H197" s="91">
        <f>(IF(Optimalisatie!C94="Nieuwe Situatie",_xlfn.IFNA(VLOOKUP(Optimalisatie!V94,Database_Transport[#All],12,FALSE)*(Optimalisatie!R94*Optimalisatie!U94),Baseline_Backlog!H197),0))</f>
        <v>0</v>
      </c>
      <c r="I197" s="91">
        <f>IF(Optimalisatie!C94="Nieuwe situatie",IF(_xlfn.IFNA((VLOOKUP(Optimalisatie!W94,Database_Asfalt_Aanlegset[#All],12,FALSE)*Optimalisatie!J94),0)+_xlfn.IFNA(VLOOKUP(Optimalisatie!X94,Database_Brandstoffen[#All],12,FALSE)*((Optimalisatie!J94/Optimalisatie!Z94)*Optimalisatie!Y94),0)&gt;0,_xlfn.IFNA((VLOOKUP(Optimalisatie!W94,Database_Asfalt_Aanlegset[#All],12,FALSE)*Optimalisatie!J94),0)+_xlfn.IFNA(VLOOKUP(Optimalisatie!X94,Database_Brandstoffen[#All],12,FALSE)*((Optimalisatie!J94/Optimalisatie!Z94)*Optimalisatie!Y94),0),(_xlfn.IFNA(VLOOKUP(Inschrijf_CO2_Totaal[[#This Row],[Product]]&amp;", "&amp;Inschrijf_MKI_Totaal[[#Headers],[A5]],Database_Productkaarten[#All],18,FALSE),0)*Optimalisatie!J94)),0)</f>
        <v>0</v>
      </c>
      <c r="J197" s="91">
        <f>(IF(Optimalisatie!C94="Nieuwe Situatie",_xlfn.IFNA(IF(Optimalisatie!E94="Categorie_1_LCA_Producten",VLOOKUP(Inschrijf_CO2_Totaal[[#This Row],[Product]],Categorie_1_Producten[#All],20,FALSE)*(Optimalisatie!R94),VLOOKUP(Inschrijf_CO2_Totaal[[#This Row],[Product]]&amp;", "&amp;Inschrijf_CO2_Totaal[[#Headers],[B1]],Database_Productkaarten[#All],18,FALSE)*Optimalisatie!J94),Baseline_Backlog!J197),0))</f>
        <v>0</v>
      </c>
      <c r="K197" s="91">
        <f>(IF(Optimalisatie!C94="Nieuwe Situatie",_xlfn.IFNA(SUM(Inschrijf_CO2_Totaal[[#This Row],[A1]:[B1]],Inschrijf_CO2_Totaal[[#This Row],[C1]:[D2]])*Optimalisatie!T94,0),0))</f>
        <v>0</v>
      </c>
      <c r="L197" s="91">
        <f>IF(Optimalisatie!C94="Bestaande situatie",IF(_xlfn.IFNA((VLOOKUP(Optimalisatie!AA94,Database_Asfalt_Verwijderset[#All],12,FALSE)*Optimalisatie!J94),0)+_xlfn.IFNA(VLOOKUP(Optimalisatie!AB94,Database_Brandstoffen[#All],12,FALSE)*((Optimalisatie!J94/Optimalisatie!AD94)*Optimalisatie!AC94),0)&gt;0,_xlfn.IFNA((VLOOKUP(Optimalisatie!AA94,Database_Asfalt_Verwijderset[#All],12,FALSE)*Optimalisatie!J94),0)+_xlfn.IFNA(VLOOKUP(Optimalisatie!AB94,Database_Brandstoffen[#All],12,FALSE)*((Optimalisatie!J94/Optimalisatie!AD94)*Optimalisatie!AC94),0),(_xlfn.IFNA(VLOOKUP(Inschrijf_CO2_Totaal[[#This Row],[Product]]&amp;", "&amp;Inschrijf_MKI_Totaal[[#Headers],[C1]],Database_Productkaarten[#All],18,FALSE),0)*Optimalisatie!J94)),0)</f>
        <v>0</v>
      </c>
      <c r="M197" s="91">
        <f>(IF(Optimalisatie!C94="Bestaande Situatie",_xlfn.IFNA(VLOOKUP(Optimalisatie!AF94,Database_Transport[#All],12,FALSE)*(Optimalisatie!R94*Optimalisatie!AE94),Baseline_Backlog!M197),0))</f>
        <v>0</v>
      </c>
      <c r="N197" s="91">
        <f>(IF(Optimalisatie!C94="Bestaande Situatie",_xlfn.IFNA(VLOOKUP(Optimalisatie!AG94,Database_Asfalt_Verwerkingsset[#All],12,FALSE)*(Optimalisatie!J94/VLOOKUP(Optimalisatie!AG94,Database_Asfalt_Verwerkingsset[#All],12,FALSE)),Baseline_Backlog!N197),0))</f>
        <v>0</v>
      </c>
      <c r="O197" s="91">
        <f>(IF(Optimalisatie!C94="Bestaande Situatie",_xlfn.IFNA(VLOOKUP(Inschrijf_CO2_Totaal[[#This Row],[Product]]&amp;", "&amp;Inschrijf_CO2_Totaal[[#Headers],[C4]],Database_Productkaarten[#All],18,FALSE)*Optimalisatie!J94,Baseline_Backlog!O197),0))</f>
        <v>0</v>
      </c>
      <c r="P197" s="91">
        <f>(IF(Optimalisatie!C94="Bestaande Situatie",_xlfn.IFNA(IF(Optimalisatie!E94="Categorie_1_LCA_Producten",VLOOKUP(Inschrijf_CO2_Totaal[[#This Row],[Product]],Categorie_1_Producten[#All],18,FALSE)*(Optimalisatie!J94),VLOOKUP(Inschrijf_CO2_Totaal[[#This Row],[Product]]&amp;", "&amp;Inschrijf_CO2_Totaal[[#Headers],[D1]],Database_Productkaarten[#All],18,FALSE)*Optimalisatie!J94),Baseline_Backlog!P197),0))</f>
        <v>0</v>
      </c>
      <c r="Q197" s="91">
        <f>(IF(Optimalisatie!C94="Bestaande Situatie",_xlfn.IFNA(IF(Optimalisatie!E94="Categorie_1_LCA_Producten",VLOOKUP(Inschrijf_CO2_Totaal[[#This Row],[Product]],Categorie_1_Producten[#All],19,FALSE)*(Optimalisatie!J94),VLOOKUP(Inschrijf_CO2_Totaal[[#This Row],[Product]]&amp;", "&amp;Inschrijf_CO2_Totaal[[#Headers],[D2]],Database_Productkaarten[#All],18,FALSE)*Optimalisatie!J94),Baseline_Backlog!Q197),0))</f>
        <v>0</v>
      </c>
      <c r="R197" s="91">
        <f>(IF(Optimalisatie!C94="Bestaande Situatie",_xlfn.IFNA(IF(Optimalisatie!E94="Categorie_1_LCA_Producten",VLOOKUP(Inschrijf_CO2_Totaal[[#This Row],[Product]],Categorie_1_Producten[#All],21,FALSE)*(Optimalisatie!J94),VLOOKUP(Inschrijf_CO2_Totaal[[#This Row],[Product]]&amp;", "&amp;Inschrijf_CO2_Totaal[[#Headers],[D]],Database_Productkaarten[#All],18,FALSE)*Optimalisatie!J94),Baseline_Backlog!S197),0))</f>
        <v>0</v>
      </c>
      <c r="S197" s="91">
        <f>SUM(Inschrijf_CO2_Totaal[[#This Row],[A1-A3]:[C4]])+Inschrijf_CO2_Totaal[[#This Row],[D]]</f>
        <v>0</v>
      </c>
    </row>
    <row r="198" spans="2:19">
      <c r="B198" s="208">
        <f>Optimalisatie!B95</f>
        <v>0</v>
      </c>
      <c r="C198" s="1">
        <f>Optimalisatie!F95</f>
        <v>0</v>
      </c>
      <c r="D198" s="91">
        <f>(IF(Optimalisatie!C95="Nieuwe Situatie",_xlfn.IFNA(IF(Optimalisatie!E95="Categorie_1_LCA_Producten",VLOOKUP(Inschrijf_CO2_Totaal[[#This Row],[Product]],Categorie_1_Producten[#All],14,FALSE)*(Optimalisatie!J95),VLOOKUP(Inschrijf_CO2_Totaal[[#This Row],[Product]]&amp;", "&amp;Inschrijf_CO2_Totaal[[#Headers],[A1]],Database_Productkaarten[#All],18,FALSE)*Optimalisatie!J95),Baseline_Backlog!D198),0))</f>
        <v>0</v>
      </c>
      <c r="E198" s="91">
        <f>(IF(Optimalisatie!C95="Nieuwe Situatie",_xlfn.IFNA(IF(Optimalisatie!E95="Categorie_1_LCA_Producten",VLOOKUP(Inschrijf_CO2_Totaal[[#This Row],[Product]],Categorie_1_Producten[#All],15,FALSE)*(Optimalisatie!J95),VLOOKUP(Inschrijf_CO2_Totaal[[#This Row],[Product]]&amp;", "&amp;Inschrijf_CO2_Totaal[[#Headers],[A2]],Database_Productkaarten[#All],18,FALSE)*Optimalisatie!J95),Baseline_Backlog!E198),0))</f>
        <v>0</v>
      </c>
      <c r="F198" s="91">
        <f>(IF(Optimalisatie!C95="Nieuwe Situatie",_xlfn.IFNA(IF(Optimalisatie!E95="Categorie_1_LCA_Producten",VLOOKUP(Inschrijf_CO2_Totaal[[#This Row],[Product]],Categorie_1_Producten[#All],16,FALSE)*(Optimalisatie!J95),VLOOKUP(Inschrijf_CO2_Totaal[[#This Row],[Product]]&amp;", "&amp;Inschrijf_CO2_Totaal[[#Headers],[A3]],Database_Productkaarten[#All],18,FALSE)*Optimalisatie!J95),Baseline_Backlog!F198),0))</f>
        <v>0</v>
      </c>
      <c r="G198" s="91">
        <f>(IF(Optimalisatie!C95="Nieuwe Situatie",_xlfn.IFNA(IF(Optimalisatie!E95="Categorie_1_LCA_Producten",VLOOKUP(Inschrijf_CO2_Totaal[[#This Row],[Product]],Categorie_1_Producten[#All],19,FALSE)*(Optimalisatie!J95),VLOOKUP(Inschrijf_CO2_Totaal[[#This Row],[Product]]&amp;", "&amp;Inschrijf_CO2_Totaal[[#Headers],[A1-A3]],Database_Productkaarten[#All],18,FALSE)*Optimalisatie!J95),Baseline_Backlog!G198),0))</f>
        <v>0</v>
      </c>
      <c r="H198" s="91">
        <f>(IF(Optimalisatie!C95="Nieuwe Situatie",_xlfn.IFNA(VLOOKUP(Optimalisatie!V95,Database_Transport[#All],12,FALSE)*(Optimalisatie!R95*Optimalisatie!U95),Baseline_Backlog!H198),0))</f>
        <v>0</v>
      </c>
      <c r="I198" s="91">
        <f>IF(Optimalisatie!C95="Nieuwe situatie",IF(_xlfn.IFNA((VLOOKUP(Optimalisatie!W95,Database_Asfalt_Aanlegset[#All],12,FALSE)*Optimalisatie!J95),0)+_xlfn.IFNA(VLOOKUP(Optimalisatie!X95,Database_Brandstoffen[#All],12,FALSE)*((Optimalisatie!J95/Optimalisatie!Z95)*Optimalisatie!Y95),0)&gt;0,_xlfn.IFNA((VLOOKUP(Optimalisatie!W95,Database_Asfalt_Aanlegset[#All],12,FALSE)*Optimalisatie!J95),0)+_xlfn.IFNA(VLOOKUP(Optimalisatie!X95,Database_Brandstoffen[#All],12,FALSE)*((Optimalisatie!J95/Optimalisatie!Z95)*Optimalisatie!Y95),0),(_xlfn.IFNA(VLOOKUP(Inschrijf_CO2_Totaal[[#This Row],[Product]]&amp;", "&amp;Inschrijf_MKI_Totaal[[#Headers],[A5]],Database_Productkaarten[#All],18,FALSE),0)*Optimalisatie!J95)),0)</f>
        <v>0</v>
      </c>
      <c r="J198" s="91">
        <f>(IF(Optimalisatie!C95="Nieuwe Situatie",_xlfn.IFNA(IF(Optimalisatie!E95="Categorie_1_LCA_Producten",VLOOKUP(Inschrijf_CO2_Totaal[[#This Row],[Product]],Categorie_1_Producten[#All],20,FALSE)*(Optimalisatie!R95),VLOOKUP(Inschrijf_CO2_Totaal[[#This Row],[Product]]&amp;", "&amp;Inschrijf_CO2_Totaal[[#Headers],[B1]],Database_Productkaarten[#All],18,FALSE)*Optimalisatie!J95),Baseline_Backlog!J198),0))</f>
        <v>0</v>
      </c>
      <c r="K198" s="91">
        <f>(IF(Optimalisatie!C95="Nieuwe Situatie",_xlfn.IFNA(SUM(Inschrijf_CO2_Totaal[[#This Row],[A1]:[B1]],Inschrijf_CO2_Totaal[[#This Row],[C1]:[D2]])*Optimalisatie!T95,0),0))</f>
        <v>0</v>
      </c>
      <c r="L198" s="91">
        <f>IF(Optimalisatie!C95="Bestaande situatie",IF(_xlfn.IFNA((VLOOKUP(Optimalisatie!AA95,Database_Asfalt_Verwijderset[#All],12,FALSE)*Optimalisatie!J95),0)+_xlfn.IFNA(VLOOKUP(Optimalisatie!AB95,Database_Brandstoffen[#All],12,FALSE)*((Optimalisatie!J95/Optimalisatie!AD95)*Optimalisatie!AC95),0)&gt;0,_xlfn.IFNA((VLOOKUP(Optimalisatie!AA95,Database_Asfalt_Verwijderset[#All],12,FALSE)*Optimalisatie!J95),0)+_xlfn.IFNA(VLOOKUP(Optimalisatie!AB95,Database_Brandstoffen[#All],12,FALSE)*((Optimalisatie!J95/Optimalisatie!AD95)*Optimalisatie!AC95),0),(_xlfn.IFNA(VLOOKUP(Inschrijf_CO2_Totaal[[#This Row],[Product]]&amp;", "&amp;Inschrijf_MKI_Totaal[[#Headers],[C1]],Database_Productkaarten[#All],18,FALSE),0)*Optimalisatie!J95)),0)</f>
        <v>0</v>
      </c>
      <c r="M198" s="91">
        <f>(IF(Optimalisatie!C95="Bestaande Situatie",_xlfn.IFNA(VLOOKUP(Optimalisatie!AF95,Database_Transport[#All],12,FALSE)*(Optimalisatie!R95*Optimalisatie!AE95),Baseline_Backlog!M198),0))</f>
        <v>0</v>
      </c>
      <c r="N198" s="91">
        <f>(IF(Optimalisatie!C95="Bestaande Situatie",_xlfn.IFNA(VLOOKUP(Optimalisatie!AG95,Database_Asfalt_Verwerkingsset[#All],12,FALSE)*(Optimalisatie!J95/VLOOKUP(Optimalisatie!AG95,Database_Asfalt_Verwerkingsset[#All],12,FALSE)),Baseline_Backlog!N198),0))</f>
        <v>0</v>
      </c>
      <c r="O198" s="91">
        <f>(IF(Optimalisatie!C95="Bestaande Situatie",_xlfn.IFNA(VLOOKUP(Inschrijf_CO2_Totaal[[#This Row],[Product]]&amp;", "&amp;Inschrijf_CO2_Totaal[[#Headers],[C4]],Database_Productkaarten[#All],18,FALSE)*Optimalisatie!J95,Baseline_Backlog!O198),0))</f>
        <v>0</v>
      </c>
      <c r="P198" s="91">
        <f>(IF(Optimalisatie!C95="Bestaande Situatie",_xlfn.IFNA(IF(Optimalisatie!E95="Categorie_1_LCA_Producten",VLOOKUP(Inschrijf_CO2_Totaal[[#This Row],[Product]],Categorie_1_Producten[#All],18,FALSE)*(Optimalisatie!J95),VLOOKUP(Inschrijf_CO2_Totaal[[#This Row],[Product]]&amp;", "&amp;Inschrijf_CO2_Totaal[[#Headers],[D1]],Database_Productkaarten[#All],18,FALSE)*Optimalisatie!J95),Baseline_Backlog!P198),0))</f>
        <v>0</v>
      </c>
      <c r="Q198" s="91">
        <f>(IF(Optimalisatie!C95="Bestaande Situatie",_xlfn.IFNA(IF(Optimalisatie!E95="Categorie_1_LCA_Producten",VLOOKUP(Inschrijf_CO2_Totaal[[#This Row],[Product]],Categorie_1_Producten[#All],19,FALSE)*(Optimalisatie!J95),VLOOKUP(Inschrijf_CO2_Totaal[[#This Row],[Product]]&amp;", "&amp;Inschrijf_CO2_Totaal[[#Headers],[D2]],Database_Productkaarten[#All],18,FALSE)*Optimalisatie!J95),Baseline_Backlog!Q198),0))</f>
        <v>0</v>
      </c>
      <c r="R198" s="91">
        <f>(IF(Optimalisatie!C95="Bestaande Situatie",_xlfn.IFNA(IF(Optimalisatie!E95="Categorie_1_LCA_Producten",VLOOKUP(Inschrijf_CO2_Totaal[[#This Row],[Product]],Categorie_1_Producten[#All],21,FALSE)*(Optimalisatie!J95),VLOOKUP(Inschrijf_CO2_Totaal[[#This Row],[Product]]&amp;", "&amp;Inschrijf_CO2_Totaal[[#Headers],[D]],Database_Productkaarten[#All],18,FALSE)*Optimalisatie!J95),Baseline_Backlog!S198),0))</f>
        <v>0</v>
      </c>
      <c r="S198" s="91">
        <f>SUM(Inschrijf_CO2_Totaal[[#This Row],[A1-A3]:[C4]])+Inschrijf_CO2_Totaal[[#This Row],[D]]</f>
        <v>0</v>
      </c>
    </row>
    <row r="199" spans="2:19">
      <c r="B199" s="208">
        <f>Optimalisatie!B96</f>
        <v>0</v>
      </c>
      <c r="C199" s="1">
        <f>Optimalisatie!F96</f>
        <v>0</v>
      </c>
      <c r="D199" s="91">
        <f>(IF(Optimalisatie!C96="Nieuwe Situatie",_xlfn.IFNA(IF(Optimalisatie!E96="Categorie_1_LCA_Producten",VLOOKUP(Inschrijf_CO2_Totaal[[#This Row],[Product]],Categorie_1_Producten[#All],14,FALSE)*(Optimalisatie!J96),VLOOKUP(Inschrijf_CO2_Totaal[[#This Row],[Product]]&amp;", "&amp;Inschrijf_CO2_Totaal[[#Headers],[A1]],Database_Productkaarten[#All],18,FALSE)*Optimalisatie!J96),Baseline_Backlog!D199),0))</f>
        <v>0</v>
      </c>
      <c r="E199" s="91">
        <f>(IF(Optimalisatie!C96="Nieuwe Situatie",_xlfn.IFNA(IF(Optimalisatie!E96="Categorie_1_LCA_Producten",VLOOKUP(Inschrijf_CO2_Totaal[[#This Row],[Product]],Categorie_1_Producten[#All],15,FALSE)*(Optimalisatie!J96),VLOOKUP(Inschrijf_CO2_Totaal[[#This Row],[Product]]&amp;", "&amp;Inschrijf_CO2_Totaal[[#Headers],[A2]],Database_Productkaarten[#All],18,FALSE)*Optimalisatie!J96),Baseline_Backlog!E199),0))</f>
        <v>0</v>
      </c>
      <c r="F199" s="91">
        <f>(IF(Optimalisatie!C96="Nieuwe Situatie",_xlfn.IFNA(IF(Optimalisatie!E96="Categorie_1_LCA_Producten",VLOOKUP(Inschrijf_CO2_Totaal[[#This Row],[Product]],Categorie_1_Producten[#All],16,FALSE)*(Optimalisatie!J96),VLOOKUP(Inschrijf_CO2_Totaal[[#This Row],[Product]]&amp;", "&amp;Inschrijf_CO2_Totaal[[#Headers],[A3]],Database_Productkaarten[#All],18,FALSE)*Optimalisatie!J96),Baseline_Backlog!F199),0))</f>
        <v>0</v>
      </c>
      <c r="G199" s="91">
        <f>(IF(Optimalisatie!C96="Nieuwe Situatie",_xlfn.IFNA(IF(Optimalisatie!E96="Categorie_1_LCA_Producten",VLOOKUP(Inschrijf_CO2_Totaal[[#This Row],[Product]],Categorie_1_Producten[#All],19,FALSE)*(Optimalisatie!J96),VLOOKUP(Inschrijf_CO2_Totaal[[#This Row],[Product]]&amp;", "&amp;Inschrijf_CO2_Totaal[[#Headers],[A1-A3]],Database_Productkaarten[#All],18,FALSE)*Optimalisatie!J96),Baseline_Backlog!G199),0))</f>
        <v>0</v>
      </c>
      <c r="H199" s="91">
        <f>(IF(Optimalisatie!C96="Nieuwe Situatie",_xlfn.IFNA(VLOOKUP(Optimalisatie!V96,Database_Transport[#All],12,FALSE)*(Optimalisatie!R96*Optimalisatie!U96),Baseline_Backlog!H199),0))</f>
        <v>0</v>
      </c>
      <c r="I199" s="91">
        <f>IF(Optimalisatie!C96="Nieuwe situatie",IF(_xlfn.IFNA((VLOOKUP(Optimalisatie!W96,Database_Asfalt_Aanlegset[#All],12,FALSE)*Optimalisatie!J96),0)+_xlfn.IFNA(VLOOKUP(Optimalisatie!X96,Database_Brandstoffen[#All],12,FALSE)*((Optimalisatie!J96/Optimalisatie!Z96)*Optimalisatie!Y96),0)&gt;0,_xlfn.IFNA((VLOOKUP(Optimalisatie!W96,Database_Asfalt_Aanlegset[#All],12,FALSE)*Optimalisatie!J96),0)+_xlfn.IFNA(VLOOKUP(Optimalisatie!X96,Database_Brandstoffen[#All],12,FALSE)*((Optimalisatie!J96/Optimalisatie!Z96)*Optimalisatie!Y96),0),(_xlfn.IFNA(VLOOKUP(Inschrijf_CO2_Totaal[[#This Row],[Product]]&amp;", "&amp;Inschrijf_MKI_Totaal[[#Headers],[A5]],Database_Productkaarten[#All],18,FALSE),0)*Optimalisatie!J96)),0)</f>
        <v>0</v>
      </c>
      <c r="J199" s="91">
        <f>(IF(Optimalisatie!C96="Nieuwe Situatie",_xlfn.IFNA(IF(Optimalisatie!E96="Categorie_1_LCA_Producten",VLOOKUP(Inschrijf_CO2_Totaal[[#This Row],[Product]],Categorie_1_Producten[#All],20,FALSE)*(Optimalisatie!R96),VLOOKUP(Inschrijf_CO2_Totaal[[#This Row],[Product]]&amp;", "&amp;Inschrijf_CO2_Totaal[[#Headers],[B1]],Database_Productkaarten[#All],18,FALSE)*Optimalisatie!J96),Baseline_Backlog!J199),0))</f>
        <v>0</v>
      </c>
      <c r="K199" s="91">
        <f>(IF(Optimalisatie!C96="Nieuwe Situatie",_xlfn.IFNA(SUM(Inschrijf_CO2_Totaal[[#This Row],[A1]:[B1]],Inschrijf_CO2_Totaal[[#This Row],[C1]:[D2]])*Optimalisatie!T96,0),0))</f>
        <v>0</v>
      </c>
      <c r="L199" s="91">
        <f>IF(Optimalisatie!C96="Bestaande situatie",IF(_xlfn.IFNA((VLOOKUP(Optimalisatie!AA96,Database_Asfalt_Verwijderset[#All],12,FALSE)*Optimalisatie!J96),0)+_xlfn.IFNA(VLOOKUP(Optimalisatie!AB96,Database_Brandstoffen[#All],12,FALSE)*((Optimalisatie!J96/Optimalisatie!AD96)*Optimalisatie!AC96),0)&gt;0,_xlfn.IFNA((VLOOKUP(Optimalisatie!AA96,Database_Asfalt_Verwijderset[#All],12,FALSE)*Optimalisatie!J96),0)+_xlfn.IFNA(VLOOKUP(Optimalisatie!AB96,Database_Brandstoffen[#All],12,FALSE)*((Optimalisatie!J96/Optimalisatie!AD96)*Optimalisatie!AC96),0),(_xlfn.IFNA(VLOOKUP(Inschrijf_CO2_Totaal[[#This Row],[Product]]&amp;", "&amp;Inschrijf_MKI_Totaal[[#Headers],[C1]],Database_Productkaarten[#All],18,FALSE),0)*Optimalisatie!J96)),0)</f>
        <v>0</v>
      </c>
      <c r="M199" s="91">
        <f>(IF(Optimalisatie!C96="Bestaande Situatie",_xlfn.IFNA(VLOOKUP(Optimalisatie!AF96,Database_Transport[#All],12,FALSE)*(Optimalisatie!R96*Optimalisatie!AE96),Baseline_Backlog!M199),0))</f>
        <v>0</v>
      </c>
      <c r="N199" s="91">
        <f>(IF(Optimalisatie!C96="Bestaande Situatie",_xlfn.IFNA(VLOOKUP(Optimalisatie!AG96,Database_Asfalt_Verwerkingsset[#All],12,FALSE)*(Optimalisatie!J96/VLOOKUP(Optimalisatie!AG96,Database_Asfalt_Verwerkingsset[#All],12,FALSE)),Baseline_Backlog!N199),0))</f>
        <v>0</v>
      </c>
      <c r="O199" s="91">
        <f>(IF(Optimalisatie!C96="Bestaande Situatie",_xlfn.IFNA(VLOOKUP(Inschrijf_CO2_Totaal[[#This Row],[Product]]&amp;", "&amp;Inschrijf_CO2_Totaal[[#Headers],[C4]],Database_Productkaarten[#All],18,FALSE)*Optimalisatie!J96,Baseline_Backlog!O199),0))</f>
        <v>0</v>
      </c>
      <c r="P199" s="91">
        <f>(IF(Optimalisatie!C96="Bestaande Situatie",_xlfn.IFNA(IF(Optimalisatie!E96="Categorie_1_LCA_Producten",VLOOKUP(Inschrijf_CO2_Totaal[[#This Row],[Product]],Categorie_1_Producten[#All],18,FALSE)*(Optimalisatie!J96),VLOOKUP(Inschrijf_CO2_Totaal[[#This Row],[Product]]&amp;", "&amp;Inschrijf_CO2_Totaal[[#Headers],[D1]],Database_Productkaarten[#All],18,FALSE)*Optimalisatie!J96),Baseline_Backlog!P199),0))</f>
        <v>0</v>
      </c>
      <c r="Q199" s="91">
        <f>(IF(Optimalisatie!C96="Bestaande Situatie",_xlfn.IFNA(IF(Optimalisatie!E96="Categorie_1_LCA_Producten",VLOOKUP(Inschrijf_CO2_Totaal[[#This Row],[Product]],Categorie_1_Producten[#All],19,FALSE)*(Optimalisatie!J96),VLOOKUP(Inschrijf_CO2_Totaal[[#This Row],[Product]]&amp;", "&amp;Inschrijf_CO2_Totaal[[#Headers],[D2]],Database_Productkaarten[#All],18,FALSE)*Optimalisatie!J96),Baseline_Backlog!Q199),0))</f>
        <v>0</v>
      </c>
      <c r="R199" s="91">
        <f>(IF(Optimalisatie!C96="Bestaande Situatie",_xlfn.IFNA(IF(Optimalisatie!E96="Categorie_1_LCA_Producten",VLOOKUP(Inschrijf_CO2_Totaal[[#This Row],[Product]],Categorie_1_Producten[#All],21,FALSE)*(Optimalisatie!J96),VLOOKUP(Inschrijf_CO2_Totaal[[#This Row],[Product]]&amp;", "&amp;Inschrijf_CO2_Totaal[[#Headers],[D]],Database_Productkaarten[#All],18,FALSE)*Optimalisatie!J96),Baseline_Backlog!S199),0))</f>
        <v>0</v>
      </c>
      <c r="S199" s="91">
        <f>SUM(Inschrijf_CO2_Totaal[[#This Row],[A1-A3]:[C4]])+Inschrijf_CO2_Totaal[[#This Row],[D]]</f>
        <v>0</v>
      </c>
    </row>
    <row r="200" spans="2:19">
      <c r="B200" s="208">
        <f>Optimalisatie!B97</f>
        <v>0</v>
      </c>
      <c r="C200" s="1">
        <f>Optimalisatie!F97</f>
        <v>0</v>
      </c>
      <c r="D200" s="91">
        <f>(IF(Optimalisatie!C97="Nieuwe Situatie",_xlfn.IFNA(IF(Optimalisatie!E97="Categorie_1_LCA_Producten",VLOOKUP(Inschrijf_CO2_Totaal[[#This Row],[Product]],Categorie_1_Producten[#All],14,FALSE)*(Optimalisatie!J97),VLOOKUP(Inschrijf_CO2_Totaal[[#This Row],[Product]]&amp;", "&amp;Inschrijf_CO2_Totaal[[#Headers],[A1]],Database_Productkaarten[#All],18,FALSE)*Optimalisatie!J97),Baseline_Backlog!D200),0))</f>
        <v>0</v>
      </c>
      <c r="E200" s="91">
        <f>(IF(Optimalisatie!C97="Nieuwe Situatie",_xlfn.IFNA(IF(Optimalisatie!E97="Categorie_1_LCA_Producten",VLOOKUP(Inschrijf_CO2_Totaal[[#This Row],[Product]],Categorie_1_Producten[#All],15,FALSE)*(Optimalisatie!J97),VLOOKUP(Inschrijf_CO2_Totaal[[#This Row],[Product]]&amp;", "&amp;Inschrijf_CO2_Totaal[[#Headers],[A2]],Database_Productkaarten[#All],18,FALSE)*Optimalisatie!J97),Baseline_Backlog!E200),0))</f>
        <v>0</v>
      </c>
      <c r="F200" s="91">
        <f>(IF(Optimalisatie!C97="Nieuwe Situatie",_xlfn.IFNA(IF(Optimalisatie!E97="Categorie_1_LCA_Producten",VLOOKUP(Inschrijf_CO2_Totaal[[#This Row],[Product]],Categorie_1_Producten[#All],16,FALSE)*(Optimalisatie!J97),VLOOKUP(Inschrijf_CO2_Totaal[[#This Row],[Product]]&amp;", "&amp;Inschrijf_CO2_Totaal[[#Headers],[A3]],Database_Productkaarten[#All],18,FALSE)*Optimalisatie!J97),Baseline_Backlog!F200),0))</f>
        <v>0</v>
      </c>
      <c r="G200" s="91">
        <f>(IF(Optimalisatie!C97="Nieuwe Situatie",_xlfn.IFNA(IF(Optimalisatie!E97="Categorie_1_LCA_Producten",VLOOKUP(Inschrijf_CO2_Totaal[[#This Row],[Product]],Categorie_1_Producten[#All],19,FALSE)*(Optimalisatie!J97),VLOOKUP(Inschrijf_CO2_Totaal[[#This Row],[Product]]&amp;", "&amp;Inschrijf_CO2_Totaal[[#Headers],[A1-A3]],Database_Productkaarten[#All],18,FALSE)*Optimalisatie!J97),Baseline_Backlog!G200),0))</f>
        <v>0</v>
      </c>
      <c r="H200" s="91">
        <f>(IF(Optimalisatie!C97="Nieuwe Situatie",_xlfn.IFNA(VLOOKUP(Optimalisatie!V97,Database_Transport[#All],12,FALSE)*(Optimalisatie!R97*Optimalisatie!U97),Baseline_Backlog!H200),0))</f>
        <v>0</v>
      </c>
      <c r="I200" s="91">
        <f>IF(Optimalisatie!C97="Nieuwe situatie",IF(_xlfn.IFNA((VLOOKUP(Optimalisatie!W97,Database_Asfalt_Aanlegset[#All],12,FALSE)*Optimalisatie!J97),0)+_xlfn.IFNA(VLOOKUP(Optimalisatie!X97,Database_Brandstoffen[#All],12,FALSE)*((Optimalisatie!J97/Optimalisatie!Z97)*Optimalisatie!Y97),0)&gt;0,_xlfn.IFNA((VLOOKUP(Optimalisatie!W97,Database_Asfalt_Aanlegset[#All],12,FALSE)*Optimalisatie!J97),0)+_xlfn.IFNA(VLOOKUP(Optimalisatie!X97,Database_Brandstoffen[#All],12,FALSE)*((Optimalisatie!J97/Optimalisatie!Z97)*Optimalisatie!Y97),0),(_xlfn.IFNA(VLOOKUP(Inschrijf_CO2_Totaal[[#This Row],[Product]]&amp;", "&amp;Inschrijf_MKI_Totaal[[#Headers],[A5]],Database_Productkaarten[#All],18,FALSE),0)*Optimalisatie!J97)),0)</f>
        <v>0</v>
      </c>
      <c r="J200" s="91">
        <f>(IF(Optimalisatie!C97="Nieuwe Situatie",_xlfn.IFNA(IF(Optimalisatie!E97="Categorie_1_LCA_Producten",VLOOKUP(Inschrijf_CO2_Totaal[[#This Row],[Product]],Categorie_1_Producten[#All],20,FALSE)*(Optimalisatie!R97),VLOOKUP(Inschrijf_CO2_Totaal[[#This Row],[Product]]&amp;", "&amp;Inschrijf_CO2_Totaal[[#Headers],[B1]],Database_Productkaarten[#All],18,FALSE)*Optimalisatie!J97),Baseline_Backlog!J200),0))</f>
        <v>0</v>
      </c>
      <c r="K200" s="91">
        <f>(IF(Optimalisatie!C97="Nieuwe Situatie",_xlfn.IFNA(SUM(Inschrijf_CO2_Totaal[[#This Row],[A1]:[B1]],Inschrijf_CO2_Totaal[[#This Row],[C1]:[D2]])*Optimalisatie!T97,0),0))</f>
        <v>0</v>
      </c>
      <c r="L200" s="91">
        <f>IF(Optimalisatie!C97="Bestaande situatie",IF(_xlfn.IFNA((VLOOKUP(Optimalisatie!AA97,Database_Asfalt_Verwijderset[#All],12,FALSE)*Optimalisatie!J97),0)+_xlfn.IFNA(VLOOKUP(Optimalisatie!AB97,Database_Brandstoffen[#All],12,FALSE)*((Optimalisatie!J97/Optimalisatie!AD97)*Optimalisatie!AC97),0)&gt;0,_xlfn.IFNA((VLOOKUP(Optimalisatie!AA97,Database_Asfalt_Verwijderset[#All],12,FALSE)*Optimalisatie!J97),0)+_xlfn.IFNA(VLOOKUP(Optimalisatie!AB97,Database_Brandstoffen[#All],12,FALSE)*((Optimalisatie!J97/Optimalisatie!AD97)*Optimalisatie!AC97),0),(_xlfn.IFNA(VLOOKUP(Inschrijf_CO2_Totaal[[#This Row],[Product]]&amp;", "&amp;Inschrijf_MKI_Totaal[[#Headers],[C1]],Database_Productkaarten[#All],18,FALSE),0)*Optimalisatie!J97)),0)</f>
        <v>0</v>
      </c>
      <c r="M200" s="91">
        <f>(IF(Optimalisatie!C97="Bestaande Situatie",_xlfn.IFNA(VLOOKUP(Optimalisatie!AF97,Database_Transport[#All],12,FALSE)*(Optimalisatie!R97*Optimalisatie!AE97),Baseline_Backlog!M200),0))</f>
        <v>0</v>
      </c>
      <c r="N200" s="91">
        <f>(IF(Optimalisatie!C97="Bestaande Situatie",_xlfn.IFNA(VLOOKUP(Optimalisatie!AG97,Database_Asfalt_Verwerkingsset[#All],12,FALSE)*(Optimalisatie!J97/VLOOKUP(Optimalisatie!AG97,Database_Asfalt_Verwerkingsset[#All],12,FALSE)),Baseline_Backlog!N200),0))</f>
        <v>0</v>
      </c>
      <c r="O200" s="91">
        <f>(IF(Optimalisatie!C97="Bestaande Situatie",_xlfn.IFNA(VLOOKUP(Inschrijf_CO2_Totaal[[#This Row],[Product]]&amp;", "&amp;Inschrijf_CO2_Totaal[[#Headers],[C4]],Database_Productkaarten[#All],18,FALSE)*Optimalisatie!J97,Baseline_Backlog!O200),0))</f>
        <v>0</v>
      </c>
      <c r="P200" s="91">
        <f>(IF(Optimalisatie!C97="Bestaande Situatie",_xlfn.IFNA(IF(Optimalisatie!E97="Categorie_1_LCA_Producten",VLOOKUP(Inschrijf_CO2_Totaal[[#This Row],[Product]],Categorie_1_Producten[#All],18,FALSE)*(Optimalisatie!J97),VLOOKUP(Inschrijf_CO2_Totaal[[#This Row],[Product]]&amp;", "&amp;Inschrijf_CO2_Totaal[[#Headers],[D1]],Database_Productkaarten[#All],18,FALSE)*Optimalisatie!J97),Baseline_Backlog!P200),0))</f>
        <v>0</v>
      </c>
      <c r="Q200" s="91">
        <f>(IF(Optimalisatie!C97="Bestaande Situatie",_xlfn.IFNA(IF(Optimalisatie!E97="Categorie_1_LCA_Producten",VLOOKUP(Inschrijf_CO2_Totaal[[#This Row],[Product]],Categorie_1_Producten[#All],19,FALSE)*(Optimalisatie!J97),VLOOKUP(Inschrijf_CO2_Totaal[[#This Row],[Product]]&amp;", "&amp;Inschrijf_CO2_Totaal[[#Headers],[D2]],Database_Productkaarten[#All],18,FALSE)*Optimalisatie!J97),Baseline_Backlog!Q200),0))</f>
        <v>0</v>
      </c>
      <c r="R200" s="91">
        <f>(IF(Optimalisatie!C97="Bestaande Situatie",_xlfn.IFNA(IF(Optimalisatie!E97="Categorie_1_LCA_Producten",VLOOKUP(Inschrijf_CO2_Totaal[[#This Row],[Product]],Categorie_1_Producten[#All],21,FALSE)*(Optimalisatie!J97),VLOOKUP(Inschrijf_CO2_Totaal[[#This Row],[Product]]&amp;", "&amp;Inschrijf_CO2_Totaal[[#Headers],[D]],Database_Productkaarten[#All],18,FALSE)*Optimalisatie!J97),Baseline_Backlog!S200),0))</f>
        <v>0</v>
      </c>
      <c r="S200" s="91">
        <f>SUM(Inschrijf_CO2_Totaal[[#This Row],[A1-A3]:[C4]])+Inschrijf_CO2_Totaal[[#This Row],[D]]</f>
        <v>0</v>
      </c>
    </row>
    <row r="201" spans="2:19">
      <c r="B201" s="208">
        <f>Optimalisatie!B98</f>
        <v>0</v>
      </c>
      <c r="C201" s="1">
        <f>Optimalisatie!F98</f>
        <v>0</v>
      </c>
      <c r="D201" s="91">
        <f>(IF(Optimalisatie!C98="Nieuwe Situatie",_xlfn.IFNA(IF(Optimalisatie!E98="Categorie_1_LCA_Producten",VLOOKUP(Inschrijf_CO2_Totaal[[#This Row],[Product]],Categorie_1_Producten[#All],14,FALSE)*(Optimalisatie!J98),VLOOKUP(Inschrijf_CO2_Totaal[[#This Row],[Product]]&amp;", "&amp;Inschrijf_CO2_Totaal[[#Headers],[A1]],Database_Productkaarten[#All],18,FALSE)*Optimalisatie!J98),Baseline_Backlog!D201),0))</f>
        <v>0</v>
      </c>
      <c r="E201" s="91">
        <f>(IF(Optimalisatie!C98="Nieuwe Situatie",_xlfn.IFNA(IF(Optimalisatie!E98="Categorie_1_LCA_Producten",VLOOKUP(Inschrijf_CO2_Totaal[[#This Row],[Product]],Categorie_1_Producten[#All],15,FALSE)*(Optimalisatie!J98),VLOOKUP(Inschrijf_CO2_Totaal[[#This Row],[Product]]&amp;", "&amp;Inschrijf_CO2_Totaal[[#Headers],[A2]],Database_Productkaarten[#All],18,FALSE)*Optimalisatie!J98),Baseline_Backlog!E201),0))</f>
        <v>0</v>
      </c>
      <c r="F201" s="91">
        <f>(IF(Optimalisatie!C98="Nieuwe Situatie",_xlfn.IFNA(IF(Optimalisatie!E98="Categorie_1_LCA_Producten",VLOOKUP(Inschrijf_CO2_Totaal[[#This Row],[Product]],Categorie_1_Producten[#All],16,FALSE)*(Optimalisatie!J98),VLOOKUP(Inschrijf_CO2_Totaal[[#This Row],[Product]]&amp;", "&amp;Inschrijf_CO2_Totaal[[#Headers],[A3]],Database_Productkaarten[#All],18,FALSE)*Optimalisatie!J98),Baseline_Backlog!F201),0))</f>
        <v>0</v>
      </c>
      <c r="G201" s="91">
        <f>(IF(Optimalisatie!C98="Nieuwe Situatie",_xlfn.IFNA(IF(Optimalisatie!E98="Categorie_1_LCA_Producten",VLOOKUP(Inschrijf_CO2_Totaal[[#This Row],[Product]],Categorie_1_Producten[#All],19,FALSE)*(Optimalisatie!J98),VLOOKUP(Inschrijf_CO2_Totaal[[#This Row],[Product]]&amp;", "&amp;Inschrijf_CO2_Totaal[[#Headers],[A1-A3]],Database_Productkaarten[#All],18,FALSE)*Optimalisatie!J98),Baseline_Backlog!G201),0))</f>
        <v>0</v>
      </c>
      <c r="H201" s="91">
        <f>(IF(Optimalisatie!C98="Nieuwe Situatie",_xlfn.IFNA(VLOOKUP(Optimalisatie!V98,Database_Transport[#All],12,FALSE)*(Optimalisatie!R98*Optimalisatie!U98),Baseline_Backlog!H201),0))</f>
        <v>0</v>
      </c>
      <c r="I201" s="91">
        <f>IF(Optimalisatie!C98="Nieuwe situatie",IF(_xlfn.IFNA((VLOOKUP(Optimalisatie!W98,Database_Asfalt_Aanlegset[#All],12,FALSE)*Optimalisatie!J98),0)+_xlfn.IFNA(VLOOKUP(Optimalisatie!X98,Database_Brandstoffen[#All],12,FALSE)*((Optimalisatie!J98/Optimalisatie!Z98)*Optimalisatie!Y98),0)&gt;0,_xlfn.IFNA((VLOOKUP(Optimalisatie!W98,Database_Asfalt_Aanlegset[#All],12,FALSE)*Optimalisatie!J98),0)+_xlfn.IFNA(VLOOKUP(Optimalisatie!X98,Database_Brandstoffen[#All],12,FALSE)*((Optimalisatie!J98/Optimalisatie!Z98)*Optimalisatie!Y98),0),(_xlfn.IFNA(VLOOKUP(Inschrijf_CO2_Totaal[[#This Row],[Product]]&amp;", "&amp;Inschrijf_MKI_Totaal[[#Headers],[A5]],Database_Productkaarten[#All],18,FALSE),0)*Optimalisatie!J98)),0)</f>
        <v>0</v>
      </c>
      <c r="J201" s="91">
        <f>(IF(Optimalisatie!C98="Nieuwe Situatie",_xlfn.IFNA(IF(Optimalisatie!E98="Categorie_1_LCA_Producten",VLOOKUP(Inschrijf_CO2_Totaal[[#This Row],[Product]],Categorie_1_Producten[#All],20,FALSE)*(Optimalisatie!R98),VLOOKUP(Inschrijf_CO2_Totaal[[#This Row],[Product]]&amp;", "&amp;Inschrijf_CO2_Totaal[[#Headers],[B1]],Database_Productkaarten[#All],18,FALSE)*Optimalisatie!J98),Baseline_Backlog!J201),0))</f>
        <v>0</v>
      </c>
      <c r="K201" s="91">
        <f>(IF(Optimalisatie!C98="Nieuwe Situatie",_xlfn.IFNA(SUM(Inschrijf_CO2_Totaal[[#This Row],[A1]:[B1]],Inschrijf_CO2_Totaal[[#This Row],[C1]:[D2]])*Optimalisatie!T98,0),0))</f>
        <v>0</v>
      </c>
      <c r="L201" s="91">
        <f>IF(Optimalisatie!C98="Bestaande situatie",IF(_xlfn.IFNA((VLOOKUP(Optimalisatie!AA98,Database_Asfalt_Verwijderset[#All],12,FALSE)*Optimalisatie!J98),0)+_xlfn.IFNA(VLOOKUP(Optimalisatie!AB98,Database_Brandstoffen[#All],12,FALSE)*((Optimalisatie!J98/Optimalisatie!AD98)*Optimalisatie!AC98),0)&gt;0,_xlfn.IFNA((VLOOKUP(Optimalisatie!AA98,Database_Asfalt_Verwijderset[#All],12,FALSE)*Optimalisatie!J98),0)+_xlfn.IFNA(VLOOKUP(Optimalisatie!AB98,Database_Brandstoffen[#All],12,FALSE)*((Optimalisatie!J98/Optimalisatie!AD98)*Optimalisatie!AC98),0),(_xlfn.IFNA(VLOOKUP(Inschrijf_CO2_Totaal[[#This Row],[Product]]&amp;", "&amp;Inschrijf_MKI_Totaal[[#Headers],[C1]],Database_Productkaarten[#All],18,FALSE),0)*Optimalisatie!J98)),0)</f>
        <v>0</v>
      </c>
      <c r="M201" s="91">
        <f>(IF(Optimalisatie!C98="Bestaande Situatie",_xlfn.IFNA(VLOOKUP(Optimalisatie!AF98,Database_Transport[#All],12,FALSE)*(Optimalisatie!R98*Optimalisatie!AE98),Baseline_Backlog!M201),0))</f>
        <v>0</v>
      </c>
      <c r="N201" s="91">
        <f>(IF(Optimalisatie!C98="Bestaande Situatie",_xlfn.IFNA(VLOOKUP(Optimalisatie!AG98,Database_Asfalt_Verwerkingsset[#All],12,FALSE)*(Optimalisatie!J98/VLOOKUP(Optimalisatie!AG98,Database_Asfalt_Verwerkingsset[#All],12,FALSE)),Baseline_Backlog!N201),0))</f>
        <v>0</v>
      </c>
      <c r="O201" s="91">
        <f>(IF(Optimalisatie!C98="Bestaande Situatie",_xlfn.IFNA(VLOOKUP(Inschrijf_CO2_Totaal[[#This Row],[Product]]&amp;", "&amp;Inschrijf_CO2_Totaal[[#Headers],[C4]],Database_Productkaarten[#All],18,FALSE)*Optimalisatie!J98,Baseline_Backlog!O201),0))</f>
        <v>0</v>
      </c>
      <c r="P201" s="91">
        <f>(IF(Optimalisatie!C98="Bestaande Situatie",_xlfn.IFNA(IF(Optimalisatie!E98="Categorie_1_LCA_Producten",VLOOKUP(Inschrijf_CO2_Totaal[[#This Row],[Product]],Categorie_1_Producten[#All],18,FALSE)*(Optimalisatie!J98),VLOOKUP(Inschrijf_CO2_Totaal[[#This Row],[Product]]&amp;", "&amp;Inschrijf_CO2_Totaal[[#Headers],[D1]],Database_Productkaarten[#All],18,FALSE)*Optimalisatie!J98),Baseline_Backlog!P201),0))</f>
        <v>0</v>
      </c>
      <c r="Q201" s="91">
        <f>(IF(Optimalisatie!C98="Bestaande Situatie",_xlfn.IFNA(IF(Optimalisatie!E98="Categorie_1_LCA_Producten",VLOOKUP(Inschrijf_CO2_Totaal[[#This Row],[Product]],Categorie_1_Producten[#All],19,FALSE)*(Optimalisatie!J98),VLOOKUP(Inschrijf_CO2_Totaal[[#This Row],[Product]]&amp;", "&amp;Inschrijf_CO2_Totaal[[#Headers],[D2]],Database_Productkaarten[#All],18,FALSE)*Optimalisatie!J98),Baseline_Backlog!Q201),0))</f>
        <v>0</v>
      </c>
      <c r="R201" s="91">
        <f>(IF(Optimalisatie!C98="Bestaande Situatie",_xlfn.IFNA(IF(Optimalisatie!E98="Categorie_1_LCA_Producten",VLOOKUP(Inschrijf_CO2_Totaal[[#This Row],[Product]],Categorie_1_Producten[#All],21,FALSE)*(Optimalisatie!J98),VLOOKUP(Inschrijf_CO2_Totaal[[#This Row],[Product]]&amp;", "&amp;Inschrijf_CO2_Totaal[[#Headers],[D]],Database_Productkaarten[#All],18,FALSE)*Optimalisatie!J98),Baseline_Backlog!S201),0))</f>
        <v>0</v>
      </c>
      <c r="S201" s="91">
        <f>SUM(Inschrijf_CO2_Totaal[[#This Row],[A1-A3]:[C4]])+Inschrijf_CO2_Totaal[[#This Row],[D]]</f>
        <v>0</v>
      </c>
    </row>
    <row r="202" spans="2:19">
      <c r="B202" s="208">
        <f>Optimalisatie!B99</f>
        <v>0</v>
      </c>
      <c r="C202" s="1">
        <f>Optimalisatie!F99</f>
        <v>0</v>
      </c>
      <c r="D202" s="91">
        <f>(IF(Optimalisatie!C99="Nieuwe Situatie",_xlfn.IFNA(IF(Optimalisatie!E99="Categorie_1_LCA_Producten",VLOOKUP(Inschrijf_CO2_Totaal[[#This Row],[Product]],Categorie_1_Producten[#All],14,FALSE)*(Optimalisatie!J99),VLOOKUP(Inschrijf_CO2_Totaal[[#This Row],[Product]]&amp;", "&amp;Inschrijf_CO2_Totaal[[#Headers],[A1]],Database_Productkaarten[#All],18,FALSE)*Optimalisatie!J99),Baseline_Backlog!D202),0))</f>
        <v>0</v>
      </c>
      <c r="E202" s="91">
        <f>(IF(Optimalisatie!C99="Nieuwe Situatie",_xlfn.IFNA(IF(Optimalisatie!E99="Categorie_1_LCA_Producten",VLOOKUP(Inschrijf_CO2_Totaal[[#This Row],[Product]],Categorie_1_Producten[#All],15,FALSE)*(Optimalisatie!J99),VLOOKUP(Inschrijf_CO2_Totaal[[#This Row],[Product]]&amp;", "&amp;Inschrijf_CO2_Totaal[[#Headers],[A2]],Database_Productkaarten[#All],18,FALSE)*Optimalisatie!J99),Baseline_Backlog!E202),0))</f>
        <v>0</v>
      </c>
      <c r="F202" s="91">
        <f>(IF(Optimalisatie!C99="Nieuwe Situatie",_xlfn.IFNA(IF(Optimalisatie!E99="Categorie_1_LCA_Producten",VLOOKUP(Inschrijf_CO2_Totaal[[#This Row],[Product]],Categorie_1_Producten[#All],16,FALSE)*(Optimalisatie!J99),VLOOKUP(Inschrijf_CO2_Totaal[[#This Row],[Product]]&amp;", "&amp;Inschrijf_CO2_Totaal[[#Headers],[A3]],Database_Productkaarten[#All],18,FALSE)*Optimalisatie!J99),Baseline_Backlog!F202),0))</f>
        <v>0</v>
      </c>
      <c r="G202" s="91">
        <f>(IF(Optimalisatie!C99="Nieuwe Situatie",_xlfn.IFNA(IF(Optimalisatie!E99="Categorie_1_LCA_Producten",VLOOKUP(Inschrijf_CO2_Totaal[[#This Row],[Product]],Categorie_1_Producten[#All],19,FALSE)*(Optimalisatie!J99),VLOOKUP(Inschrijf_CO2_Totaal[[#This Row],[Product]]&amp;", "&amp;Inschrijf_CO2_Totaal[[#Headers],[A1-A3]],Database_Productkaarten[#All],18,FALSE)*Optimalisatie!J99),Baseline_Backlog!G202),0))</f>
        <v>0</v>
      </c>
      <c r="H202" s="91">
        <f>(IF(Optimalisatie!C99="Nieuwe Situatie",_xlfn.IFNA(VLOOKUP(Optimalisatie!V99,Database_Transport[#All],12,FALSE)*(Optimalisatie!R99*Optimalisatie!U99),Baseline_Backlog!H202),0))</f>
        <v>0</v>
      </c>
      <c r="I202" s="91">
        <f>IF(Optimalisatie!C99="Nieuwe situatie",IF(_xlfn.IFNA((VLOOKUP(Optimalisatie!W99,Database_Asfalt_Aanlegset[#All],12,FALSE)*Optimalisatie!J99),0)+_xlfn.IFNA(VLOOKUP(Optimalisatie!X99,Database_Brandstoffen[#All],12,FALSE)*((Optimalisatie!J99/Optimalisatie!Z99)*Optimalisatie!Y99),0)&gt;0,_xlfn.IFNA((VLOOKUP(Optimalisatie!W99,Database_Asfalt_Aanlegset[#All],12,FALSE)*Optimalisatie!J99),0)+_xlfn.IFNA(VLOOKUP(Optimalisatie!X99,Database_Brandstoffen[#All],12,FALSE)*((Optimalisatie!J99/Optimalisatie!Z99)*Optimalisatie!Y99),0),(_xlfn.IFNA(VLOOKUP(Inschrijf_CO2_Totaal[[#This Row],[Product]]&amp;", "&amp;Inschrijf_MKI_Totaal[[#Headers],[A5]],Database_Productkaarten[#All],18,FALSE),0)*Optimalisatie!J99)),0)</f>
        <v>0</v>
      </c>
      <c r="J202" s="91">
        <f>(IF(Optimalisatie!C99="Nieuwe Situatie",_xlfn.IFNA(IF(Optimalisatie!E99="Categorie_1_LCA_Producten",VLOOKUP(Inschrijf_CO2_Totaal[[#This Row],[Product]],Categorie_1_Producten[#All],20,FALSE)*(Optimalisatie!R99),VLOOKUP(Inschrijf_CO2_Totaal[[#This Row],[Product]]&amp;", "&amp;Inschrijf_CO2_Totaal[[#Headers],[B1]],Database_Productkaarten[#All],18,FALSE)*Optimalisatie!J99),Baseline_Backlog!J202),0))</f>
        <v>0</v>
      </c>
      <c r="K202" s="91">
        <f>(IF(Optimalisatie!C99="Nieuwe Situatie",_xlfn.IFNA(SUM(Inschrijf_CO2_Totaal[[#This Row],[A1]:[B1]],Inschrijf_CO2_Totaal[[#This Row],[C1]:[D2]])*Optimalisatie!T99,0),0))</f>
        <v>0</v>
      </c>
      <c r="L202" s="91">
        <f>IF(Optimalisatie!C99="Bestaande situatie",IF(_xlfn.IFNA((VLOOKUP(Optimalisatie!AA99,Database_Asfalt_Verwijderset[#All],12,FALSE)*Optimalisatie!J99),0)+_xlfn.IFNA(VLOOKUP(Optimalisatie!AB99,Database_Brandstoffen[#All],12,FALSE)*((Optimalisatie!J99/Optimalisatie!AD99)*Optimalisatie!AC99),0)&gt;0,_xlfn.IFNA((VLOOKUP(Optimalisatie!AA99,Database_Asfalt_Verwijderset[#All],12,FALSE)*Optimalisatie!J99),0)+_xlfn.IFNA(VLOOKUP(Optimalisatie!AB99,Database_Brandstoffen[#All],12,FALSE)*((Optimalisatie!J99/Optimalisatie!AD99)*Optimalisatie!AC99),0),(_xlfn.IFNA(VLOOKUP(Inschrijf_CO2_Totaal[[#This Row],[Product]]&amp;", "&amp;Inschrijf_MKI_Totaal[[#Headers],[C1]],Database_Productkaarten[#All],18,FALSE),0)*Optimalisatie!J99)),0)</f>
        <v>0</v>
      </c>
      <c r="M202" s="91">
        <f>(IF(Optimalisatie!C99="Bestaande Situatie",_xlfn.IFNA(VLOOKUP(Optimalisatie!AF99,Database_Transport[#All],12,FALSE)*(Optimalisatie!R99*Optimalisatie!AE99),Baseline_Backlog!M202),0))</f>
        <v>0</v>
      </c>
      <c r="N202" s="91">
        <f>(IF(Optimalisatie!C99="Bestaande Situatie",_xlfn.IFNA(VLOOKUP(Optimalisatie!AG99,Database_Asfalt_Verwerkingsset[#All],12,FALSE)*(Optimalisatie!J99/VLOOKUP(Optimalisatie!AG99,Database_Asfalt_Verwerkingsset[#All],12,FALSE)),Baseline_Backlog!N202),0))</f>
        <v>0</v>
      </c>
      <c r="O202" s="91">
        <f>(IF(Optimalisatie!C99="Bestaande Situatie",_xlfn.IFNA(VLOOKUP(Inschrijf_CO2_Totaal[[#This Row],[Product]]&amp;", "&amp;Inschrijf_CO2_Totaal[[#Headers],[C4]],Database_Productkaarten[#All],18,FALSE)*Optimalisatie!J99,Baseline_Backlog!O202),0))</f>
        <v>0</v>
      </c>
      <c r="P202" s="91">
        <f>(IF(Optimalisatie!C99="Bestaande Situatie",_xlfn.IFNA(IF(Optimalisatie!E99="Categorie_1_LCA_Producten",VLOOKUP(Inschrijf_CO2_Totaal[[#This Row],[Product]],Categorie_1_Producten[#All],18,FALSE)*(Optimalisatie!J99),VLOOKUP(Inschrijf_CO2_Totaal[[#This Row],[Product]]&amp;", "&amp;Inschrijf_CO2_Totaal[[#Headers],[D1]],Database_Productkaarten[#All],18,FALSE)*Optimalisatie!J99),Baseline_Backlog!P202),0))</f>
        <v>0</v>
      </c>
      <c r="Q202" s="91">
        <f>(IF(Optimalisatie!C99="Bestaande Situatie",_xlfn.IFNA(IF(Optimalisatie!E99="Categorie_1_LCA_Producten",VLOOKUP(Inschrijf_CO2_Totaal[[#This Row],[Product]],Categorie_1_Producten[#All],19,FALSE)*(Optimalisatie!J99),VLOOKUP(Inschrijf_CO2_Totaal[[#This Row],[Product]]&amp;", "&amp;Inschrijf_CO2_Totaal[[#Headers],[D2]],Database_Productkaarten[#All],18,FALSE)*Optimalisatie!J99),Baseline_Backlog!Q202),0))</f>
        <v>0</v>
      </c>
      <c r="R202" s="91">
        <f>(IF(Optimalisatie!C99="Bestaande Situatie",_xlfn.IFNA(IF(Optimalisatie!E99="Categorie_1_LCA_Producten",VLOOKUP(Inschrijf_CO2_Totaal[[#This Row],[Product]],Categorie_1_Producten[#All],21,FALSE)*(Optimalisatie!J99),VLOOKUP(Inschrijf_CO2_Totaal[[#This Row],[Product]]&amp;", "&amp;Inschrijf_CO2_Totaal[[#Headers],[D]],Database_Productkaarten[#All],18,FALSE)*Optimalisatie!J99),Baseline_Backlog!S202),0))</f>
        <v>0</v>
      </c>
      <c r="S202" s="91">
        <f>SUM(Inschrijf_CO2_Totaal[[#This Row],[A1-A3]:[C4]])+Inschrijf_CO2_Totaal[[#This Row],[D]]</f>
        <v>0</v>
      </c>
    </row>
    <row r="203" spans="2:19">
      <c r="B203" s="208">
        <f>Optimalisatie!B100</f>
        <v>0</v>
      </c>
      <c r="C203" s="1">
        <f>Optimalisatie!F100</f>
        <v>0</v>
      </c>
      <c r="D203" s="91">
        <f>(IF(Optimalisatie!C100="Nieuwe Situatie",_xlfn.IFNA(IF(Optimalisatie!E100="Categorie_1_LCA_Producten",VLOOKUP(Inschrijf_CO2_Totaal[[#This Row],[Product]],Categorie_1_Producten[#All],14,FALSE)*(Optimalisatie!J100),VLOOKUP(Inschrijf_CO2_Totaal[[#This Row],[Product]]&amp;", "&amp;Inschrijf_CO2_Totaal[[#Headers],[A1]],Database_Productkaarten[#All],18,FALSE)*Optimalisatie!J100),Baseline_Backlog!D203),0))</f>
        <v>0</v>
      </c>
      <c r="E203" s="91">
        <f>(IF(Optimalisatie!C100="Nieuwe Situatie",_xlfn.IFNA(IF(Optimalisatie!E100="Categorie_1_LCA_Producten",VLOOKUP(Inschrijf_CO2_Totaal[[#This Row],[Product]],Categorie_1_Producten[#All],15,FALSE)*(Optimalisatie!J100),VLOOKUP(Inschrijf_CO2_Totaal[[#This Row],[Product]]&amp;", "&amp;Inschrijf_CO2_Totaal[[#Headers],[A2]],Database_Productkaarten[#All],18,FALSE)*Optimalisatie!J100),Baseline_Backlog!E203),0))</f>
        <v>0</v>
      </c>
      <c r="F203" s="91">
        <f>(IF(Optimalisatie!C100="Nieuwe Situatie",_xlfn.IFNA(IF(Optimalisatie!E100="Categorie_1_LCA_Producten",VLOOKUP(Inschrijf_CO2_Totaal[[#This Row],[Product]],Categorie_1_Producten[#All],16,FALSE)*(Optimalisatie!J100),VLOOKUP(Inschrijf_CO2_Totaal[[#This Row],[Product]]&amp;", "&amp;Inschrijf_CO2_Totaal[[#Headers],[A3]],Database_Productkaarten[#All],18,FALSE)*Optimalisatie!J100),Baseline_Backlog!F203),0))</f>
        <v>0</v>
      </c>
      <c r="G203" s="91">
        <f>(IF(Optimalisatie!C100="Nieuwe Situatie",_xlfn.IFNA(IF(Optimalisatie!E100="Categorie_1_LCA_Producten",VLOOKUP(Inschrijf_CO2_Totaal[[#This Row],[Product]],Categorie_1_Producten[#All],19,FALSE)*(Optimalisatie!J100),VLOOKUP(Inschrijf_CO2_Totaal[[#This Row],[Product]]&amp;", "&amp;Inschrijf_CO2_Totaal[[#Headers],[A1-A3]],Database_Productkaarten[#All],18,FALSE)*Optimalisatie!J100),Baseline_Backlog!G203),0))</f>
        <v>0</v>
      </c>
      <c r="H203" s="91">
        <f>(IF(Optimalisatie!C100="Nieuwe Situatie",_xlfn.IFNA(VLOOKUP(Optimalisatie!V100,Database_Transport[#All],12,FALSE)*(Optimalisatie!R100*Optimalisatie!U100),Baseline_Backlog!H203),0))</f>
        <v>0</v>
      </c>
      <c r="I203" s="91">
        <f>IF(Optimalisatie!C100="Nieuwe situatie",IF(_xlfn.IFNA((VLOOKUP(Optimalisatie!W100,Database_Asfalt_Aanlegset[#All],12,FALSE)*Optimalisatie!J100),0)+_xlfn.IFNA(VLOOKUP(Optimalisatie!X100,Database_Brandstoffen[#All],12,FALSE)*((Optimalisatie!J100/Optimalisatie!Z100)*Optimalisatie!Y100),0)&gt;0,_xlfn.IFNA((VLOOKUP(Optimalisatie!W100,Database_Asfalt_Aanlegset[#All],12,FALSE)*Optimalisatie!J100),0)+_xlfn.IFNA(VLOOKUP(Optimalisatie!X100,Database_Brandstoffen[#All],12,FALSE)*((Optimalisatie!J100/Optimalisatie!Z100)*Optimalisatie!Y100),0),(_xlfn.IFNA(VLOOKUP(Inschrijf_CO2_Totaal[[#This Row],[Product]]&amp;", "&amp;Inschrijf_MKI_Totaal[[#Headers],[A5]],Database_Productkaarten[#All],18,FALSE),0)*Optimalisatie!J100)),0)</f>
        <v>0</v>
      </c>
      <c r="J203" s="91">
        <f>(IF(Optimalisatie!C100="Nieuwe Situatie",_xlfn.IFNA(IF(Optimalisatie!E100="Categorie_1_LCA_Producten",VLOOKUP(Inschrijf_CO2_Totaal[[#This Row],[Product]],Categorie_1_Producten[#All],20,FALSE)*(Optimalisatie!R100),VLOOKUP(Inschrijf_CO2_Totaal[[#This Row],[Product]]&amp;", "&amp;Inschrijf_CO2_Totaal[[#Headers],[B1]],Database_Productkaarten[#All],18,FALSE)*Optimalisatie!J100),Baseline_Backlog!J203),0))</f>
        <v>0</v>
      </c>
      <c r="K203" s="91">
        <f>(IF(Optimalisatie!C100="Nieuwe Situatie",_xlfn.IFNA(SUM(Inschrijf_CO2_Totaal[[#This Row],[A1]:[B1]],Inschrijf_CO2_Totaal[[#This Row],[C1]:[D2]])*Optimalisatie!T100,0),0))</f>
        <v>0</v>
      </c>
      <c r="L203" s="91">
        <f>IF(Optimalisatie!C100="Bestaande situatie",IF(_xlfn.IFNA((VLOOKUP(Optimalisatie!AA100,Database_Asfalt_Verwijderset[#All],12,FALSE)*Optimalisatie!J100),0)+_xlfn.IFNA(VLOOKUP(Optimalisatie!AB100,Database_Brandstoffen[#All],12,FALSE)*((Optimalisatie!J100/Optimalisatie!AD100)*Optimalisatie!AC100),0)&gt;0,_xlfn.IFNA((VLOOKUP(Optimalisatie!AA100,Database_Asfalt_Verwijderset[#All],12,FALSE)*Optimalisatie!J100),0)+_xlfn.IFNA(VLOOKUP(Optimalisatie!AB100,Database_Brandstoffen[#All],12,FALSE)*((Optimalisatie!J100/Optimalisatie!AD100)*Optimalisatie!AC100),0),(_xlfn.IFNA(VLOOKUP(Inschrijf_CO2_Totaal[[#This Row],[Product]]&amp;", "&amp;Inschrijf_MKI_Totaal[[#Headers],[C1]],Database_Productkaarten[#All],18,FALSE),0)*Optimalisatie!J100)),0)</f>
        <v>0</v>
      </c>
      <c r="M203" s="91">
        <f>(IF(Optimalisatie!C100="Bestaande Situatie",_xlfn.IFNA(VLOOKUP(Optimalisatie!AF100,Database_Transport[#All],12,FALSE)*(Optimalisatie!R100*Optimalisatie!AE100),Baseline_Backlog!M203),0))</f>
        <v>0</v>
      </c>
      <c r="N203" s="91">
        <f>(IF(Optimalisatie!C100="Bestaande Situatie",_xlfn.IFNA(VLOOKUP(Optimalisatie!AG100,Database_Asfalt_Verwerkingsset[#All],12,FALSE)*(Optimalisatie!J100/VLOOKUP(Optimalisatie!AG100,Database_Asfalt_Verwerkingsset[#All],12,FALSE)),Baseline_Backlog!N203),0))</f>
        <v>0</v>
      </c>
      <c r="O203" s="91">
        <f>(IF(Optimalisatie!C100="Bestaande Situatie",_xlfn.IFNA(VLOOKUP(Inschrijf_CO2_Totaal[[#This Row],[Product]]&amp;", "&amp;Inschrijf_CO2_Totaal[[#Headers],[C4]],Database_Productkaarten[#All],18,FALSE)*Optimalisatie!J100,Baseline_Backlog!O203),0))</f>
        <v>0</v>
      </c>
      <c r="P203" s="91">
        <f>(IF(Optimalisatie!C100="Bestaande Situatie",_xlfn.IFNA(IF(Optimalisatie!E100="Categorie_1_LCA_Producten",VLOOKUP(Inschrijf_CO2_Totaal[[#This Row],[Product]],Categorie_1_Producten[#All],18,FALSE)*(Optimalisatie!J100),VLOOKUP(Inschrijf_CO2_Totaal[[#This Row],[Product]]&amp;", "&amp;Inschrijf_CO2_Totaal[[#Headers],[D1]],Database_Productkaarten[#All],18,FALSE)*Optimalisatie!J100),Baseline_Backlog!P203),0))</f>
        <v>0</v>
      </c>
      <c r="Q203" s="91">
        <f>(IF(Optimalisatie!C100="Bestaande Situatie",_xlfn.IFNA(IF(Optimalisatie!E100="Categorie_1_LCA_Producten",VLOOKUP(Inschrijf_CO2_Totaal[[#This Row],[Product]],Categorie_1_Producten[#All],19,FALSE)*(Optimalisatie!J100),VLOOKUP(Inschrijf_CO2_Totaal[[#This Row],[Product]]&amp;", "&amp;Inschrijf_CO2_Totaal[[#Headers],[D2]],Database_Productkaarten[#All],18,FALSE)*Optimalisatie!J100),Baseline_Backlog!Q203),0))</f>
        <v>0</v>
      </c>
      <c r="R203" s="91">
        <f>(IF(Optimalisatie!C100="Bestaande Situatie",_xlfn.IFNA(IF(Optimalisatie!E100="Categorie_1_LCA_Producten",VLOOKUP(Inschrijf_CO2_Totaal[[#This Row],[Product]],Categorie_1_Producten[#All],21,FALSE)*(Optimalisatie!J100),VLOOKUP(Inschrijf_CO2_Totaal[[#This Row],[Product]]&amp;", "&amp;Inschrijf_CO2_Totaal[[#Headers],[D]],Database_Productkaarten[#All],18,FALSE)*Optimalisatie!J100),Baseline_Backlog!S203),0))</f>
        <v>0</v>
      </c>
      <c r="S203" s="91">
        <f>SUM(Inschrijf_CO2_Totaal[[#This Row],[A1-A3]:[C4]])+Inschrijf_CO2_Totaal[[#This Row],[D]]</f>
        <v>0</v>
      </c>
    </row>
    <row r="204" spans="2:19">
      <c r="B204" s="208">
        <f>Optimalisatie!B101</f>
        <v>0</v>
      </c>
      <c r="C204" s="1">
        <f>Optimalisatie!F101</f>
        <v>0</v>
      </c>
      <c r="D204" s="91">
        <f>(IF(Optimalisatie!C101="Nieuwe Situatie",_xlfn.IFNA(IF(Optimalisatie!E101="Categorie_1_LCA_Producten",VLOOKUP(Inschrijf_CO2_Totaal[[#This Row],[Product]],Categorie_1_Producten[#All],14,FALSE)*(Optimalisatie!J101),VLOOKUP(Inschrijf_CO2_Totaal[[#This Row],[Product]]&amp;", "&amp;Inschrijf_CO2_Totaal[[#Headers],[A1]],Database_Productkaarten[#All],18,FALSE)*Optimalisatie!J101),Baseline_Backlog!D204),0))</f>
        <v>0</v>
      </c>
      <c r="E204" s="91">
        <f>(IF(Optimalisatie!C101="Nieuwe Situatie",_xlfn.IFNA(IF(Optimalisatie!E101="Categorie_1_LCA_Producten",VLOOKUP(Inschrijf_CO2_Totaal[[#This Row],[Product]],Categorie_1_Producten[#All],15,FALSE)*(Optimalisatie!J101),VLOOKUP(Inschrijf_CO2_Totaal[[#This Row],[Product]]&amp;", "&amp;Inschrijf_CO2_Totaal[[#Headers],[A2]],Database_Productkaarten[#All],18,FALSE)*Optimalisatie!J101),Baseline_Backlog!E204),0))</f>
        <v>0</v>
      </c>
      <c r="F204" s="91">
        <f>(IF(Optimalisatie!C101="Nieuwe Situatie",_xlfn.IFNA(IF(Optimalisatie!E101="Categorie_1_LCA_Producten",VLOOKUP(Inschrijf_CO2_Totaal[[#This Row],[Product]],Categorie_1_Producten[#All],16,FALSE)*(Optimalisatie!J101),VLOOKUP(Inschrijf_CO2_Totaal[[#This Row],[Product]]&amp;", "&amp;Inschrijf_CO2_Totaal[[#Headers],[A3]],Database_Productkaarten[#All],18,FALSE)*Optimalisatie!J101),Baseline_Backlog!F204),0))</f>
        <v>0</v>
      </c>
      <c r="G204" s="91">
        <f>(IF(Optimalisatie!C101="Nieuwe Situatie",_xlfn.IFNA(IF(Optimalisatie!E101="Categorie_1_LCA_Producten",VLOOKUP(Inschrijf_CO2_Totaal[[#This Row],[Product]],Categorie_1_Producten[#All],19,FALSE)*(Optimalisatie!J101),VLOOKUP(Inschrijf_CO2_Totaal[[#This Row],[Product]]&amp;", "&amp;Inschrijf_CO2_Totaal[[#Headers],[A1-A3]],Database_Productkaarten[#All],18,FALSE)*Optimalisatie!J101),Baseline_Backlog!G204),0))</f>
        <v>0</v>
      </c>
      <c r="H204" s="91">
        <f>(IF(Optimalisatie!C101="Nieuwe Situatie",_xlfn.IFNA(VLOOKUP(Optimalisatie!V101,Database_Transport[#All],12,FALSE)*(Optimalisatie!R101*Optimalisatie!U101),Baseline_Backlog!H204),0))</f>
        <v>0</v>
      </c>
      <c r="I204" s="91">
        <f>IF(Optimalisatie!C101="Nieuwe situatie",IF(_xlfn.IFNA((VLOOKUP(Optimalisatie!W101,Database_Asfalt_Aanlegset[#All],12,FALSE)*Optimalisatie!J101),0)+_xlfn.IFNA(VLOOKUP(Optimalisatie!X101,Database_Brandstoffen[#All],12,FALSE)*((Optimalisatie!J101/Optimalisatie!Z101)*Optimalisatie!Y101),0)&gt;0,_xlfn.IFNA((VLOOKUP(Optimalisatie!W101,Database_Asfalt_Aanlegset[#All],12,FALSE)*Optimalisatie!J101),0)+_xlfn.IFNA(VLOOKUP(Optimalisatie!X101,Database_Brandstoffen[#All],12,FALSE)*((Optimalisatie!J101/Optimalisatie!Z101)*Optimalisatie!Y101),0),(_xlfn.IFNA(VLOOKUP(Inschrijf_CO2_Totaal[[#This Row],[Product]]&amp;", "&amp;Inschrijf_MKI_Totaal[[#Headers],[A5]],Database_Productkaarten[#All],18,FALSE),0)*Optimalisatie!J101)),0)</f>
        <v>0</v>
      </c>
      <c r="J204" s="91">
        <f>(IF(Optimalisatie!C101="Nieuwe Situatie",_xlfn.IFNA(IF(Optimalisatie!E101="Categorie_1_LCA_Producten",VLOOKUP(Inschrijf_CO2_Totaal[[#This Row],[Product]],Categorie_1_Producten[#All],20,FALSE)*(Optimalisatie!R101),VLOOKUP(Inschrijf_CO2_Totaal[[#This Row],[Product]]&amp;", "&amp;Inschrijf_CO2_Totaal[[#Headers],[B1]],Database_Productkaarten[#All],18,FALSE)*Optimalisatie!J101),Baseline_Backlog!J204),0))</f>
        <v>0</v>
      </c>
      <c r="K204" s="91">
        <f>(IF(Optimalisatie!C101="Nieuwe Situatie",_xlfn.IFNA(SUM(Inschrijf_CO2_Totaal[[#This Row],[A1]:[B1]],Inschrijf_CO2_Totaal[[#This Row],[C1]:[D2]])*Optimalisatie!T101,0),0))</f>
        <v>0</v>
      </c>
      <c r="L204" s="91">
        <f>IF(Optimalisatie!C101="Bestaande situatie",IF(_xlfn.IFNA((VLOOKUP(Optimalisatie!AA101,Database_Asfalt_Verwijderset[#All],12,FALSE)*Optimalisatie!J101),0)+_xlfn.IFNA(VLOOKUP(Optimalisatie!AB101,Database_Brandstoffen[#All],12,FALSE)*((Optimalisatie!J101/Optimalisatie!AD101)*Optimalisatie!AC101),0)&gt;0,_xlfn.IFNA((VLOOKUP(Optimalisatie!AA101,Database_Asfalt_Verwijderset[#All],12,FALSE)*Optimalisatie!J101),0)+_xlfn.IFNA(VLOOKUP(Optimalisatie!AB101,Database_Brandstoffen[#All],12,FALSE)*((Optimalisatie!J101/Optimalisatie!AD101)*Optimalisatie!AC101),0),(_xlfn.IFNA(VLOOKUP(Inschrijf_CO2_Totaal[[#This Row],[Product]]&amp;", "&amp;Inschrijf_MKI_Totaal[[#Headers],[C1]],Database_Productkaarten[#All],18,FALSE),0)*Optimalisatie!J101)),0)</f>
        <v>0</v>
      </c>
      <c r="M204" s="91">
        <f>(IF(Optimalisatie!C101="Bestaande Situatie",_xlfn.IFNA(VLOOKUP(Optimalisatie!AF101,Database_Transport[#All],12,FALSE)*(Optimalisatie!R101*Optimalisatie!AE101),Baseline_Backlog!M204),0))</f>
        <v>0</v>
      </c>
      <c r="N204" s="91">
        <f>(IF(Optimalisatie!C101="Bestaande Situatie",_xlfn.IFNA(VLOOKUP(Optimalisatie!AG101,Database_Asfalt_Verwerkingsset[#All],12,FALSE)*(Optimalisatie!J101/VLOOKUP(Optimalisatie!AG101,Database_Asfalt_Verwerkingsset[#All],12,FALSE)),Baseline_Backlog!N204),0))</f>
        <v>0</v>
      </c>
      <c r="O204" s="91">
        <f>(IF(Optimalisatie!C101="Bestaande Situatie",_xlfn.IFNA(VLOOKUP(Inschrijf_CO2_Totaal[[#This Row],[Product]]&amp;", "&amp;Inschrijf_CO2_Totaal[[#Headers],[C4]],Database_Productkaarten[#All],18,FALSE)*Optimalisatie!J101,Baseline_Backlog!O204),0))</f>
        <v>0</v>
      </c>
      <c r="P204" s="91">
        <f>(IF(Optimalisatie!C101="Bestaande Situatie",_xlfn.IFNA(IF(Optimalisatie!E101="Categorie_1_LCA_Producten",VLOOKUP(Inschrijf_CO2_Totaal[[#This Row],[Product]],Categorie_1_Producten[#All],18,FALSE)*(Optimalisatie!J101),VLOOKUP(Inschrijf_CO2_Totaal[[#This Row],[Product]]&amp;", "&amp;Inschrijf_CO2_Totaal[[#Headers],[D1]],Database_Productkaarten[#All],18,FALSE)*Optimalisatie!J101),Baseline_Backlog!P204),0))</f>
        <v>0</v>
      </c>
      <c r="Q204" s="91">
        <f>(IF(Optimalisatie!C101="Bestaande Situatie",_xlfn.IFNA(IF(Optimalisatie!E101="Categorie_1_LCA_Producten",VLOOKUP(Inschrijf_CO2_Totaal[[#This Row],[Product]],Categorie_1_Producten[#All],19,FALSE)*(Optimalisatie!J101),VLOOKUP(Inschrijf_CO2_Totaal[[#This Row],[Product]]&amp;", "&amp;Inschrijf_CO2_Totaal[[#Headers],[D2]],Database_Productkaarten[#All],18,FALSE)*Optimalisatie!J101),Baseline_Backlog!Q204),0))</f>
        <v>0</v>
      </c>
      <c r="R204" s="91">
        <f>(IF(Optimalisatie!C101="Bestaande Situatie",_xlfn.IFNA(IF(Optimalisatie!E101="Categorie_1_LCA_Producten",VLOOKUP(Inschrijf_CO2_Totaal[[#This Row],[Product]],Categorie_1_Producten[#All],21,FALSE)*(Optimalisatie!J101),VLOOKUP(Inschrijf_CO2_Totaal[[#This Row],[Product]]&amp;", "&amp;Inschrijf_CO2_Totaal[[#Headers],[D]],Database_Productkaarten[#All],18,FALSE)*Optimalisatie!J101),Baseline_Backlog!S204),0))</f>
        <v>0</v>
      </c>
      <c r="S204" s="91">
        <f>SUM(Inschrijf_CO2_Totaal[[#This Row],[A1-A3]:[C4]])+Inschrijf_CO2_Totaal[[#This Row],[D]]</f>
        <v>0</v>
      </c>
    </row>
    <row r="205" spans="2:19">
      <c r="B205" s="208">
        <f>Optimalisatie!B102</f>
        <v>0</v>
      </c>
      <c r="C205" s="1">
        <f>Optimalisatie!F102</f>
        <v>0</v>
      </c>
      <c r="D205" s="91">
        <f>(IF(Optimalisatie!C102="Nieuwe Situatie",_xlfn.IFNA(IF(Optimalisatie!E102="Categorie_1_LCA_Producten",VLOOKUP(Inschrijf_CO2_Totaal[[#This Row],[Product]],Categorie_1_Producten[#All],14,FALSE)*(Optimalisatie!J102),VLOOKUP(Inschrijf_CO2_Totaal[[#This Row],[Product]]&amp;", "&amp;Inschrijf_CO2_Totaal[[#Headers],[A1]],Database_Productkaarten[#All],18,FALSE)*Optimalisatie!J102),Baseline_Backlog!D205),0))</f>
        <v>0</v>
      </c>
      <c r="E205" s="91">
        <f>(IF(Optimalisatie!C102="Nieuwe Situatie",_xlfn.IFNA(IF(Optimalisatie!E102="Categorie_1_LCA_Producten",VLOOKUP(Inschrijf_CO2_Totaal[[#This Row],[Product]],Categorie_1_Producten[#All],15,FALSE)*(Optimalisatie!J102),VLOOKUP(Inschrijf_CO2_Totaal[[#This Row],[Product]]&amp;", "&amp;Inschrijf_CO2_Totaal[[#Headers],[A2]],Database_Productkaarten[#All],18,FALSE)*Optimalisatie!J102),Baseline_Backlog!E205),0))</f>
        <v>0</v>
      </c>
      <c r="F205" s="91">
        <f>(IF(Optimalisatie!C102="Nieuwe Situatie",_xlfn.IFNA(IF(Optimalisatie!E102="Categorie_1_LCA_Producten",VLOOKUP(Inschrijf_CO2_Totaal[[#This Row],[Product]],Categorie_1_Producten[#All],16,FALSE)*(Optimalisatie!J102),VLOOKUP(Inschrijf_CO2_Totaal[[#This Row],[Product]]&amp;", "&amp;Inschrijf_CO2_Totaal[[#Headers],[A3]],Database_Productkaarten[#All],18,FALSE)*Optimalisatie!J102),Baseline_Backlog!F205),0))</f>
        <v>0</v>
      </c>
      <c r="G205" s="91">
        <f>(IF(Optimalisatie!C102="Nieuwe Situatie",_xlfn.IFNA(IF(Optimalisatie!E102="Categorie_1_LCA_Producten",VLOOKUP(Inschrijf_CO2_Totaal[[#This Row],[Product]],Categorie_1_Producten[#All],19,FALSE)*(Optimalisatie!J102),VLOOKUP(Inschrijf_CO2_Totaal[[#This Row],[Product]]&amp;", "&amp;Inschrijf_CO2_Totaal[[#Headers],[A1-A3]],Database_Productkaarten[#All],18,FALSE)*Optimalisatie!J102),Baseline_Backlog!G205),0))</f>
        <v>0</v>
      </c>
      <c r="H205" s="91">
        <f>(IF(Optimalisatie!C102="Nieuwe Situatie",_xlfn.IFNA(VLOOKUP(Optimalisatie!V102,Database_Transport[#All],12,FALSE)*(Optimalisatie!R102*Optimalisatie!U102),Baseline_Backlog!H205),0))</f>
        <v>0</v>
      </c>
      <c r="I205" s="91">
        <f>IF(Optimalisatie!C102="Nieuwe situatie",IF(_xlfn.IFNA((VLOOKUP(Optimalisatie!W102,Database_Asfalt_Aanlegset[#All],12,FALSE)*Optimalisatie!J102),0)+_xlfn.IFNA(VLOOKUP(Optimalisatie!X102,Database_Brandstoffen[#All],12,FALSE)*((Optimalisatie!J102/Optimalisatie!Z102)*Optimalisatie!Y102),0)&gt;0,_xlfn.IFNA((VLOOKUP(Optimalisatie!W102,Database_Asfalt_Aanlegset[#All],12,FALSE)*Optimalisatie!J102),0)+_xlfn.IFNA(VLOOKUP(Optimalisatie!X102,Database_Brandstoffen[#All],12,FALSE)*((Optimalisatie!J102/Optimalisatie!Z102)*Optimalisatie!Y102),0),(_xlfn.IFNA(VLOOKUP(Inschrijf_CO2_Totaal[[#This Row],[Product]]&amp;", "&amp;Inschrijf_MKI_Totaal[[#Headers],[A5]],Database_Productkaarten[#All],18,FALSE),0)*Optimalisatie!J102)),0)</f>
        <v>0</v>
      </c>
      <c r="J205" s="91">
        <f>(IF(Optimalisatie!C102="Nieuwe Situatie",_xlfn.IFNA(IF(Optimalisatie!E102="Categorie_1_LCA_Producten",VLOOKUP(Inschrijf_CO2_Totaal[[#This Row],[Product]],Categorie_1_Producten[#All],20,FALSE)*(Optimalisatie!R102),VLOOKUP(Inschrijf_CO2_Totaal[[#This Row],[Product]]&amp;", "&amp;Inschrijf_CO2_Totaal[[#Headers],[B1]],Database_Productkaarten[#All],18,FALSE)*Optimalisatie!J102),Baseline_Backlog!J205),0))</f>
        <v>0</v>
      </c>
      <c r="K205" s="91">
        <f>(IF(Optimalisatie!C102="Nieuwe Situatie",_xlfn.IFNA(SUM(Inschrijf_CO2_Totaal[[#This Row],[A1]:[B1]],Inschrijf_CO2_Totaal[[#This Row],[C1]:[D2]])*Optimalisatie!T102,0),0))</f>
        <v>0</v>
      </c>
      <c r="L205" s="91">
        <f>IF(Optimalisatie!C102="Bestaande situatie",IF(_xlfn.IFNA((VLOOKUP(Optimalisatie!AA102,Database_Asfalt_Verwijderset[#All],12,FALSE)*Optimalisatie!J102),0)+_xlfn.IFNA(VLOOKUP(Optimalisatie!AB102,Database_Brandstoffen[#All],12,FALSE)*((Optimalisatie!J102/Optimalisatie!AD102)*Optimalisatie!AC102),0)&gt;0,_xlfn.IFNA((VLOOKUP(Optimalisatie!AA102,Database_Asfalt_Verwijderset[#All],12,FALSE)*Optimalisatie!J102),0)+_xlfn.IFNA(VLOOKUP(Optimalisatie!AB102,Database_Brandstoffen[#All],12,FALSE)*((Optimalisatie!J102/Optimalisatie!AD102)*Optimalisatie!AC102),0),(_xlfn.IFNA(VLOOKUP(Inschrijf_CO2_Totaal[[#This Row],[Product]]&amp;", "&amp;Inschrijf_MKI_Totaal[[#Headers],[C1]],Database_Productkaarten[#All],18,FALSE),0)*Optimalisatie!J102)),0)</f>
        <v>0</v>
      </c>
      <c r="M205" s="91">
        <f>(IF(Optimalisatie!C102="Bestaande Situatie",_xlfn.IFNA(VLOOKUP(Optimalisatie!AF102,Database_Transport[#All],12,FALSE)*(Optimalisatie!R102*Optimalisatie!AE102),Baseline_Backlog!M205),0))</f>
        <v>0</v>
      </c>
      <c r="N205" s="91">
        <f>(IF(Optimalisatie!C102="Bestaande Situatie",_xlfn.IFNA(VLOOKUP(Optimalisatie!AG102,Database_Asfalt_Verwerkingsset[#All],12,FALSE)*(Optimalisatie!J102/VLOOKUP(Optimalisatie!AG102,Database_Asfalt_Verwerkingsset[#All],12,FALSE)),Baseline_Backlog!N205),0))</f>
        <v>0</v>
      </c>
      <c r="O205" s="91">
        <f>(IF(Optimalisatie!C102="Bestaande Situatie",_xlfn.IFNA(VLOOKUP(Inschrijf_CO2_Totaal[[#This Row],[Product]]&amp;", "&amp;Inschrijf_CO2_Totaal[[#Headers],[C4]],Database_Productkaarten[#All],18,FALSE)*Optimalisatie!J102,Baseline_Backlog!O205),0))</f>
        <v>0</v>
      </c>
      <c r="P205" s="91">
        <f>(IF(Optimalisatie!C102="Bestaande Situatie",_xlfn.IFNA(IF(Optimalisatie!E102="Categorie_1_LCA_Producten",VLOOKUP(Inschrijf_CO2_Totaal[[#This Row],[Product]],Categorie_1_Producten[#All],18,FALSE)*(Optimalisatie!J102),VLOOKUP(Inschrijf_CO2_Totaal[[#This Row],[Product]]&amp;", "&amp;Inschrijf_CO2_Totaal[[#Headers],[D1]],Database_Productkaarten[#All],18,FALSE)*Optimalisatie!J102),Baseline_Backlog!P205),0))</f>
        <v>0</v>
      </c>
      <c r="Q205" s="91">
        <f>(IF(Optimalisatie!C102="Bestaande Situatie",_xlfn.IFNA(IF(Optimalisatie!E102="Categorie_1_LCA_Producten",VLOOKUP(Inschrijf_CO2_Totaal[[#This Row],[Product]],Categorie_1_Producten[#All],19,FALSE)*(Optimalisatie!J102),VLOOKUP(Inschrijf_CO2_Totaal[[#This Row],[Product]]&amp;", "&amp;Inschrijf_CO2_Totaal[[#Headers],[D2]],Database_Productkaarten[#All],18,FALSE)*Optimalisatie!J102),Baseline_Backlog!Q205),0))</f>
        <v>0</v>
      </c>
      <c r="R205" s="91">
        <f>(IF(Optimalisatie!C102="Bestaande Situatie",_xlfn.IFNA(IF(Optimalisatie!E102="Categorie_1_LCA_Producten",VLOOKUP(Inschrijf_CO2_Totaal[[#This Row],[Product]],Categorie_1_Producten[#All],21,FALSE)*(Optimalisatie!J102),VLOOKUP(Inschrijf_CO2_Totaal[[#This Row],[Product]]&amp;", "&amp;Inschrijf_CO2_Totaal[[#Headers],[D]],Database_Productkaarten[#All],18,FALSE)*Optimalisatie!J102),Baseline_Backlog!S205),0))</f>
        <v>0</v>
      </c>
      <c r="S205" s="91">
        <f>SUM(Inschrijf_CO2_Totaal[[#This Row],[A1-A3]:[C4]])+Inschrijf_CO2_Totaal[[#This Row],[D]]</f>
        <v>0</v>
      </c>
    </row>
    <row r="206" spans="2:19">
      <c r="B206" s="208">
        <f>Optimalisatie!B103</f>
        <v>0</v>
      </c>
      <c r="C206" s="1">
        <f>Optimalisatie!F103</f>
        <v>0</v>
      </c>
      <c r="D206" s="91">
        <f>(IF(Optimalisatie!C103="Nieuwe Situatie",_xlfn.IFNA(IF(Optimalisatie!E103="Categorie_1_LCA_Producten",VLOOKUP(Inschrijf_CO2_Totaal[[#This Row],[Product]],Categorie_1_Producten[#All],14,FALSE)*(Optimalisatie!J103),VLOOKUP(Inschrijf_CO2_Totaal[[#This Row],[Product]]&amp;", "&amp;Inschrijf_CO2_Totaal[[#Headers],[A1]],Database_Productkaarten[#All],18,FALSE)*Optimalisatie!J103),Baseline_Backlog!D206),0))</f>
        <v>0</v>
      </c>
      <c r="E206" s="91">
        <f>(IF(Optimalisatie!C103="Nieuwe Situatie",_xlfn.IFNA(IF(Optimalisatie!E103="Categorie_1_LCA_Producten",VLOOKUP(Inschrijf_CO2_Totaal[[#This Row],[Product]],Categorie_1_Producten[#All],15,FALSE)*(Optimalisatie!J103),VLOOKUP(Inschrijf_CO2_Totaal[[#This Row],[Product]]&amp;", "&amp;Inschrijf_CO2_Totaal[[#Headers],[A2]],Database_Productkaarten[#All],18,FALSE)*Optimalisatie!J103),Baseline_Backlog!E206),0))</f>
        <v>0</v>
      </c>
      <c r="F206" s="91">
        <f>(IF(Optimalisatie!C103="Nieuwe Situatie",_xlfn.IFNA(IF(Optimalisatie!E103="Categorie_1_LCA_Producten",VLOOKUP(Inschrijf_CO2_Totaal[[#This Row],[Product]],Categorie_1_Producten[#All],16,FALSE)*(Optimalisatie!J103),VLOOKUP(Inschrijf_CO2_Totaal[[#This Row],[Product]]&amp;", "&amp;Inschrijf_CO2_Totaal[[#Headers],[A3]],Database_Productkaarten[#All],18,FALSE)*Optimalisatie!J103),Baseline_Backlog!F206),0))</f>
        <v>0</v>
      </c>
      <c r="G206" s="91">
        <f>(IF(Optimalisatie!C103="Nieuwe Situatie",_xlfn.IFNA(IF(Optimalisatie!E103="Categorie_1_LCA_Producten",VLOOKUP(Inschrijf_CO2_Totaal[[#This Row],[Product]],Categorie_1_Producten[#All],19,FALSE)*(Optimalisatie!J103),VLOOKUP(Inschrijf_CO2_Totaal[[#This Row],[Product]]&amp;", "&amp;Inschrijf_CO2_Totaal[[#Headers],[A1-A3]],Database_Productkaarten[#All],18,FALSE)*Optimalisatie!J103),Baseline_Backlog!G206),0))</f>
        <v>0</v>
      </c>
      <c r="H206" s="91">
        <f>(IF(Optimalisatie!C103="Nieuwe Situatie",_xlfn.IFNA(VLOOKUP(Optimalisatie!V103,Database_Transport[#All],12,FALSE)*(Optimalisatie!R103*Optimalisatie!U103),Baseline_Backlog!H206),0))</f>
        <v>0</v>
      </c>
      <c r="I206" s="91">
        <f>IF(Optimalisatie!C103="Nieuwe situatie",IF(_xlfn.IFNA((VLOOKUP(Optimalisatie!W103,Database_Asfalt_Aanlegset[#All],12,FALSE)*Optimalisatie!J103),0)+_xlfn.IFNA(VLOOKUP(Optimalisatie!X103,Database_Brandstoffen[#All],12,FALSE)*((Optimalisatie!J103/Optimalisatie!Z103)*Optimalisatie!Y103),0)&gt;0,_xlfn.IFNA((VLOOKUP(Optimalisatie!W103,Database_Asfalt_Aanlegset[#All],12,FALSE)*Optimalisatie!J103),0)+_xlfn.IFNA(VLOOKUP(Optimalisatie!X103,Database_Brandstoffen[#All],12,FALSE)*((Optimalisatie!J103/Optimalisatie!Z103)*Optimalisatie!Y103),0),(_xlfn.IFNA(VLOOKUP(Inschrijf_CO2_Totaal[[#This Row],[Product]]&amp;", "&amp;Inschrijf_MKI_Totaal[[#Headers],[A5]],Database_Productkaarten[#All],18,FALSE),0)*Optimalisatie!J103)),0)</f>
        <v>0</v>
      </c>
      <c r="J206" s="91">
        <f>(IF(Optimalisatie!C103="Nieuwe Situatie",_xlfn.IFNA(IF(Optimalisatie!E103="Categorie_1_LCA_Producten",VLOOKUP(Inschrijf_CO2_Totaal[[#This Row],[Product]],Categorie_1_Producten[#All],20,FALSE)*(Optimalisatie!R103),VLOOKUP(Inschrijf_CO2_Totaal[[#This Row],[Product]]&amp;", "&amp;Inschrijf_CO2_Totaal[[#Headers],[B1]],Database_Productkaarten[#All],18,FALSE)*Optimalisatie!J103),Baseline_Backlog!J206),0))</f>
        <v>0</v>
      </c>
      <c r="K206" s="91">
        <f>(IF(Optimalisatie!C103="Nieuwe Situatie",_xlfn.IFNA(SUM(Inschrijf_CO2_Totaal[[#This Row],[A1]:[B1]],Inschrijf_CO2_Totaal[[#This Row],[C1]:[D2]])*Optimalisatie!T103,0),0))</f>
        <v>0</v>
      </c>
      <c r="L206" s="91">
        <f>IF(Optimalisatie!C103="Bestaande situatie",IF(_xlfn.IFNA((VLOOKUP(Optimalisatie!AA103,Database_Asfalt_Verwijderset[#All],12,FALSE)*Optimalisatie!J103),0)+_xlfn.IFNA(VLOOKUP(Optimalisatie!AB103,Database_Brandstoffen[#All],12,FALSE)*((Optimalisatie!J103/Optimalisatie!AD103)*Optimalisatie!AC103),0)&gt;0,_xlfn.IFNA((VLOOKUP(Optimalisatie!AA103,Database_Asfalt_Verwijderset[#All],12,FALSE)*Optimalisatie!J103),0)+_xlfn.IFNA(VLOOKUP(Optimalisatie!AB103,Database_Brandstoffen[#All],12,FALSE)*((Optimalisatie!J103/Optimalisatie!AD103)*Optimalisatie!AC103),0),(_xlfn.IFNA(VLOOKUP(Inschrijf_CO2_Totaal[[#This Row],[Product]]&amp;", "&amp;Inschrijf_MKI_Totaal[[#Headers],[C1]],Database_Productkaarten[#All],18,FALSE),0)*Optimalisatie!J103)),0)</f>
        <v>0</v>
      </c>
      <c r="M206" s="91">
        <f>(IF(Optimalisatie!C103="Bestaande Situatie",_xlfn.IFNA(VLOOKUP(Optimalisatie!AF103,Database_Transport[#All],12,FALSE)*(Optimalisatie!R103*Optimalisatie!AE103),Baseline_Backlog!M206),0))</f>
        <v>0</v>
      </c>
      <c r="N206" s="91">
        <f>(IF(Optimalisatie!C103="Bestaande Situatie",_xlfn.IFNA(VLOOKUP(Optimalisatie!AG103,Database_Asfalt_Verwerkingsset[#All],12,FALSE)*(Optimalisatie!J103/VLOOKUP(Optimalisatie!AG103,Database_Asfalt_Verwerkingsset[#All],12,FALSE)),Baseline_Backlog!N206),0))</f>
        <v>0</v>
      </c>
      <c r="O206" s="91">
        <f>(IF(Optimalisatie!C103="Bestaande Situatie",_xlfn.IFNA(VLOOKUP(Inschrijf_CO2_Totaal[[#This Row],[Product]]&amp;", "&amp;Inschrijf_CO2_Totaal[[#Headers],[C4]],Database_Productkaarten[#All],18,FALSE)*Optimalisatie!J103,Baseline_Backlog!O206),0))</f>
        <v>0</v>
      </c>
      <c r="P206" s="91">
        <f>(IF(Optimalisatie!C103="Bestaande Situatie",_xlfn.IFNA(IF(Optimalisatie!E103="Categorie_1_LCA_Producten",VLOOKUP(Inschrijf_CO2_Totaal[[#This Row],[Product]],Categorie_1_Producten[#All],18,FALSE)*(Optimalisatie!J103),VLOOKUP(Inschrijf_CO2_Totaal[[#This Row],[Product]]&amp;", "&amp;Inschrijf_CO2_Totaal[[#Headers],[D1]],Database_Productkaarten[#All],18,FALSE)*Optimalisatie!J103),Baseline_Backlog!P206),0))</f>
        <v>0</v>
      </c>
      <c r="Q206" s="91">
        <f>(IF(Optimalisatie!C103="Bestaande Situatie",_xlfn.IFNA(IF(Optimalisatie!E103="Categorie_1_LCA_Producten",VLOOKUP(Inschrijf_CO2_Totaal[[#This Row],[Product]],Categorie_1_Producten[#All],19,FALSE)*(Optimalisatie!J103),VLOOKUP(Inschrijf_CO2_Totaal[[#This Row],[Product]]&amp;", "&amp;Inschrijf_CO2_Totaal[[#Headers],[D2]],Database_Productkaarten[#All],18,FALSE)*Optimalisatie!J103),Baseline_Backlog!Q206),0))</f>
        <v>0</v>
      </c>
      <c r="R206" s="91">
        <f>(IF(Optimalisatie!C103="Bestaande Situatie",_xlfn.IFNA(IF(Optimalisatie!E103="Categorie_1_LCA_Producten",VLOOKUP(Inschrijf_CO2_Totaal[[#This Row],[Product]],Categorie_1_Producten[#All],21,FALSE)*(Optimalisatie!J103),VLOOKUP(Inschrijf_CO2_Totaal[[#This Row],[Product]]&amp;", "&amp;Inschrijf_CO2_Totaal[[#Headers],[D]],Database_Productkaarten[#All],18,FALSE)*Optimalisatie!J103),Baseline_Backlog!S206),0))</f>
        <v>0</v>
      </c>
      <c r="S206" s="91">
        <f>SUM(Inschrijf_CO2_Totaal[[#This Row],[A1-A3]:[C4]])+Inschrijf_CO2_Totaal[[#This Row],[D]]</f>
        <v>0</v>
      </c>
    </row>
    <row r="207" spans="2:19">
      <c r="B207" s="208">
        <f>Optimalisatie!B104</f>
        <v>0</v>
      </c>
      <c r="C207" s="1">
        <f>Optimalisatie!F104</f>
        <v>0</v>
      </c>
      <c r="D207" s="91">
        <f>(IF(Optimalisatie!C104="Nieuwe Situatie",_xlfn.IFNA(IF(Optimalisatie!E104="Categorie_1_LCA_Producten",VLOOKUP(Inschrijf_CO2_Totaal[[#This Row],[Product]],Categorie_1_Producten[#All],14,FALSE)*(Optimalisatie!J104),VLOOKUP(Inschrijf_CO2_Totaal[[#This Row],[Product]]&amp;", "&amp;Inschrijf_CO2_Totaal[[#Headers],[A1]],Database_Productkaarten[#All],18,FALSE)*Optimalisatie!J104),Baseline_Backlog!D207),0))</f>
        <v>0</v>
      </c>
      <c r="E207" s="91">
        <f>(IF(Optimalisatie!C104="Nieuwe Situatie",_xlfn.IFNA(IF(Optimalisatie!E104="Categorie_1_LCA_Producten",VLOOKUP(Inschrijf_CO2_Totaal[[#This Row],[Product]],Categorie_1_Producten[#All],15,FALSE)*(Optimalisatie!J104),VLOOKUP(Inschrijf_CO2_Totaal[[#This Row],[Product]]&amp;", "&amp;Inschrijf_CO2_Totaal[[#Headers],[A2]],Database_Productkaarten[#All],18,FALSE)*Optimalisatie!J104),Baseline_Backlog!E207),0))</f>
        <v>0</v>
      </c>
      <c r="F207" s="91">
        <f>(IF(Optimalisatie!C104="Nieuwe Situatie",_xlfn.IFNA(IF(Optimalisatie!E104="Categorie_1_LCA_Producten",VLOOKUP(Inschrijf_CO2_Totaal[[#This Row],[Product]],Categorie_1_Producten[#All],16,FALSE)*(Optimalisatie!J104),VLOOKUP(Inschrijf_CO2_Totaal[[#This Row],[Product]]&amp;", "&amp;Inschrijf_CO2_Totaal[[#Headers],[A3]],Database_Productkaarten[#All],18,FALSE)*Optimalisatie!J104),Baseline_Backlog!F207),0))</f>
        <v>0</v>
      </c>
      <c r="G207" s="91">
        <f>(IF(Optimalisatie!C104="Nieuwe Situatie",_xlfn.IFNA(IF(Optimalisatie!E104="Categorie_1_LCA_Producten",VLOOKUP(Inschrijf_CO2_Totaal[[#This Row],[Product]],Categorie_1_Producten[#All],19,FALSE)*(Optimalisatie!J104),VLOOKUP(Inschrijf_CO2_Totaal[[#This Row],[Product]]&amp;", "&amp;Inschrijf_CO2_Totaal[[#Headers],[A1-A3]],Database_Productkaarten[#All],18,FALSE)*Optimalisatie!J104),Baseline_Backlog!G207),0))</f>
        <v>0</v>
      </c>
      <c r="H207" s="91">
        <f>(IF(Optimalisatie!C104="Nieuwe Situatie",_xlfn.IFNA(VLOOKUP(Optimalisatie!V104,Database_Transport[#All],12,FALSE)*(Optimalisatie!R104*Optimalisatie!U104),Baseline_Backlog!H207),0))</f>
        <v>0</v>
      </c>
      <c r="I207" s="91">
        <f>IF(Optimalisatie!C104="Nieuwe situatie",IF(_xlfn.IFNA((VLOOKUP(Optimalisatie!W104,Database_Asfalt_Aanlegset[#All],12,FALSE)*Optimalisatie!J104),0)+_xlfn.IFNA(VLOOKUP(Optimalisatie!X104,Database_Brandstoffen[#All],12,FALSE)*((Optimalisatie!J104/Optimalisatie!Z104)*Optimalisatie!Y104),0)&gt;0,_xlfn.IFNA((VLOOKUP(Optimalisatie!W104,Database_Asfalt_Aanlegset[#All],12,FALSE)*Optimalisatie!J104),0)+_xlfn.IFNA(VLOOKUP(Optimalisatie!X104,Database_Brandstoffen[#All],12,FALSE)*((Optimalisatie!J104/Optimalisatie!Z104)*Optimalisatie!Y104),0),(_xlfn.IFNA(VLOOKUP(Inschrijf_CO2_Totaal[[#This Row],[Product]]&amp;", "&amp;Inschrijf_MKI_Totaal[[#Headers],[A5]],Database_Productkaarten[#All],18,FALSE),0)*Optimalisatie!J104)),0)</f>
        <v>0</v>
      </c>
      <c r="J207" s="91">
        <f>(IF(Optimalisatie!C104="Nieuwe Situatie",_xlfn.IFNA(IF(Optimalisatie!E104="Categorie_1_LCA_Producten",VLOOKUP(Inschrijf_CO2_Totaal[[#This Row],[Product]],Categorie_1_Producten[#All],20,FALSE)*(Optimalisatie!R104),VLOOKUP(Inschrijf_CO2_Totaal[[#This Row],[Product]]&amp;", "&amp;Inschrijf_CO2_Totaal[[#Headers],[B1]],Database_Productkaarten[#All],18,FALSE)*Optimalisatie!J104),Baseline_Backlog!J207),0))</f>
        <v>0</v>
      </c>
      <c r="K207" s="91">
        <f>(IF(Optimalisatie!C104="Nieuwe Situatie",_xlfn.IFNA(SUM(Inschrijf_CO2_Totaal[[#This Row],[A1]:[B1]],Inschrijf_CO2_Totaal[[#This Row],[C1]:[D2]])*Optimalisatie!T104,0),0))</f>
        <v>0</v>
      </c>
      <c r="L207" s="91">
        <f>IF(Optimalisatie!C104="Bestaande situatie",IF(_xlfn.IFNA((VLOOKUP(Optimalisatie!AA104,Database_Asfalt_Verwijderset[#All],12,FALSE)*Optimalisatie!J104),0)+_xlfn.IFNA(VLOOKUP(Optimalisatie!AB104,Database_Brandstoffen[#All],12,FALSE)*((Optimalisatie!J104/Optimalisatie!AD104)*Optimalisatie!AC104),0)&gt;0,_xlfn.IFNA((VLOOKUP(Optimalisatie!AA104,Database_Asfalt_Verwijderset[#All],12,FALSE)*Optimalisatie!J104),0)+_xlfn.IFNA(VLOOKUP(Optimalisatie!AB104,Database_Brandstoffen[#All],12,FALSE)*((Optimalisatie!J104/Optimalisatie!AD104)*Optimalisatie!AC104),0),(_xlfn.IFNA(VLOOKUP(Inschrijf_CO2_Totaal[[#This Row],[Product]]&amp;", "&amp;Inschrijf_MKI_Totaal[[#Headers],[C1]],Database_Productkaarten[#All],18,FALSE),0)*Optimalisatie!J104)),0)</f>
        <v>0</v>
      </c>
      <c r="M207" s="91">
        <f>(IF(Optimalisatie!C104="Bestaande Situatie",_xlfn.IFNA(VLOOKUP(Optimalisatie!AF104,Database_Transport[#All],12,FALSE)*(Optimalisatie!R104*Optimalisatie!AE104),Baseline_Backlog!M207),0))</f>
        <v>0</v>
      </c>
      <c r="N207" s="91">
        <f>(IF(Optimalisatie!C104="Bestaande Situatie",_xlfn.IFNA(VLOOKUP(Optimalisatie!AG104,Database_Asfalt_Verwerkingsset[#All],12,FALSE)*(Optimalisatie!J104/VLOOKUP(Optimalisatie!AG104,Database_Asfalt_Verwerkingsset[#All],12,FALSE)),Baseline_Backlog!N207),0))</f>
        <v>0</v>
      </c>
      <c r="O207" s="91">
        <f>(IF(Optimalisatie!C104="Bestaande Situatie",_xlfn.IFNA(VLOOKUP(Inschrijf_CO2_Totaal[[#This Row],[Product]]&amp;", "&amp;Inschrijf_CO2_Totaal[[#Headers],[C4]],Database_Productkaarten[#All],18,FALSE)*Optimalisatie!J104,Baseline_Backlog!O207),0))</f>
        <v>0</v>
      </c>
      <c r="P207" s="91">
        <f>(IF(Optimalisatie!C104="Bestaande Situatie",_xlfn.IFNA(IF(Optimalisatie!E104="Categorie_1_LCA_Producten",VLOOKUP(Inschrijf_CO2_Totaal[[#This Row],[Product]],Categorie_1_Producten[#All],18,FALSE)*(Optimalisatie!J104),VLOOKUP(Inschrijf_CO2_Totaal[[#This Row],[Product]]&amp;", "&amp;Inschrijf_CO2_Totaal[[#Headers],[D1]],Database_Productkaarten[#All],18,FALSE)*Optimalisatie!J104),Baseline_Backlog!P207),0))</f>
        <v>0</v>
      </c>
      <c r="Q207" s="91">
        <f>(IF(Optimalisatie!C104="Bestaande Situatie",_xlfn.IFNA(IF(Optimalisatie!E104="Categorie_1_LCA_Producten",VLOOKUP(Inschrijf_CO2_Totaal[[#This Row],[Product]],Categorie_1_Producten[#All],19,FALSE)*(Optimalisatie!J104),VLOOKUP(Inschrijf_CO2_Totaal[[#This Row],[Product]]&amp;", "&amp;Inschrijf_CO2_Totaal[[#Headers],[D2]],Database_Productkaarten[#All],18,FALSE)*Optimalisatie!J104),Baseline_Backlog!Q207),0))</f>
        <v>0</v>
      </c>
      <c r="R207" s="91">
        <f>(IF(Optimalisatie!C104="Bestaande Situatie",_xlfn.IFNA(IF(Optimalisatie!E104="Categorie_1_LCA_Producten",VLOOKUP(Inschrijf_CO2_Totaal[[#This Row],[Product]],Categorie_1_Producten[#All],21,FALSE)*(Optimalisatie!J104),VLOOKUP(Inschrijf_CO2_Totaal[[#This Row],[Product]]&amp;", "&amp;Inschrijf_CO2_Totaal[[#Headers],[D]],Database_Productkaarten[#All],18,FALSE)*Optimalisatie!J104),Baseline_Backlog!S207),0))</f>
        <v>0</v>
      </c>
      <c r="S207" s="91">
        <f>SUM(Inschrijf_CO2_Totaal[[#This Row],[A1-A3]:[C4]])+Inschrijf_CO2_Totaal[[#This Row],[D]]</f>
        <v>0</v>
      </c>
    </row>
    <row r="208" spans="2:19">
      <c r="B208" s="208">
        <f>Optimalisatie!B105</f>
        <v>0</v>
      </c>
      <c r="C208" s="1">
        <f>Optimalisatie!F105</f>
        <v>0</v>
      </c>
      <c r="D208" s="91">
        <f>(IF(Optimalisatie!C105="Nieuwe Situatie",_xlfn.IFNA(IF(Optimalisatie!E105="Categorie_1_LCA_Producten",VLOOKUP(Inschrijf_CO2_Totaal[[#This Row],[Product]],Categorie_1_Producten[#All],14,FALSE)*(Optimalisatie!J105),VLOOKUP(Inschrijf_CO2_Totaal[[#This Row],[Product]]&amp;", "&amp;Inschrijf_CO2_Totaal[[#Headers],[A1]],Database_Productkaarten[#All],18,FALSE)*Optimalisatie!J105),Baseline_Backlog!D208),0))</f>
        <v>0</v>
      </c>
      <c r="E208" s="91">
        <f>(IF(Optimalisatie!C105="Nieuwe Situatie",_xlfn.IFNA(IF(Optimalisatie!E105="Categorie_1_LCA_Producten",VLOOKUP(Inschrijf_CO2_Totaal[[#This Row],[Product]],Categorie_1_Producten[#All],15,FALSE)*(Optimalisatie!J105),VLOOKUP(Inschrijf_CO2_Totaal[[#This Row],[Product]]&amp;", "&amp;Inschrijf_CO2_Totaal[[#Headers],[A2]],Database_Productkaarten[#All],18,FALSE)*Optimalisatie!J105),Baseline_Backlog!E208),0))</f>
        <v>0</v>
      </c>
      <c r="F208" s="91">
        <f>(IF(Optimalisatie!C105="Nieuwe Situatie",_xlfn.IFNA(IF(Optimalisatie!E105="Categorie_1_LCA_Producten",VLOOKUP(Inschrijf_CO2_Totaal[[#This Row],[Product]],Categorie_1_Producten[#All],16,FALSE)*(Optimalisatie!J105),VLOOKUP(Inschrijf_CO2_Totaal[[#This Row],[Product]]&amp;", "&amp;Inschrijf_CO2_Totaal[[#Headers],[A3]],Database_Productkaarten[#All],18,FALSE)*Optimalisatie!J105),Baseline_Backlog!F208),0))</f>
        <v>0</v>
      </c>
      <c r="G208" s="91">
        <f>(IF(Optimalisatie!C105="Nieuwe Situatie",_xlfn.IFNA(IF(Optimalisatie!E105="Categorie_1_LCA_Producten",VLOOKUP(Inschrijf_CO2_Totaal[[#This Row],[Product]],Categorie_1_Producten[#All],19,FALSE)*(Optimalisatie!J105),VLOOKUP(Inschrijf_CO2_Totaal[[#This Row],[Product]]&amp;", "&amp;Inschrijf_CO2_Totaal[[#Headers],[A1-A3]],Database_Productkaarten[#All],18,FALSE)*Optimalisatie!J105),Baseline_Backlog!G208),0))</f>
        <v>0</v>
      </c>
      <c r="H208" s="91">
        <f>(IF(Optimalisatie!C105="Nieuwe Situatie",_xlfn.IFNA(VLOOKUP(Optimalisatie!V105,Database_Transport[#All],12,FALSE)*(Optimalisatie!R105*Optimalisatie!U105),Baseline_Backlog!H208),0))</f>
        <v>0</v>
      </c>
      <c r="I208" s="91">
        <f>IF(Optimalisatie!C105="Nieuwe situatie",IF(_xlfn.IFNA((VLOOKUP(Optimalisatie!W105,Database_Asfalt_Aanlegset[#All],12,FALSE)*Optimalisatie!J105),0)+_xlfn.IFNA(VLOOKUP(Optimalisatie!X105,Database_Brandstoffen[#All],12,FALSE)*((Optimalisatie!J105/Optimalisatie!Z105)*Optimalisatie!Y105),0)&gt;0,_xlfn.IFNA((VLOOKUP(Optimalisatie!W105,Database_Asfalt_Aanlegset[#All],12,FALSE)*Optimalisatie!J105),0)+_xlfn.IFNA(VLOOKUP(Optimalisatie!X105,Database_Brandstoffen[#All],12,FALSE)*((Optimalisatie!J105/Optimalisatie!Z105)*Optimalisatie!Y105),0),(_xlfn.IFNA(VLOOKUP(Inschrijf_CO2_Totaal[[#This Row],[Product]]&amp;", "&amp;Inschrijf_MKI_Totaal[[#Headers],[A5]],Database_Productkaarten[#All],18,FALSE),0)*Optimalisatie!J105)),0)</f>
        <v>0</v>
      </c>
      <c r="J208" s="91">
        <f>(IF(Optimalisatie!C105="Nieuwe Situatie",_xlfn.IFNA(IF(Optimalisatie!E105="Categorie_1_LCA_Producten",VLOOKUP(Inschrijf_CO2_Totaal[[#This Row],[Product]],Categorie_1_Producten[#All],20,FALSE)*(Optimalisatie!R105),VLOOKUP(Inschrijf_CO2_Totaal[[#This Row],[Product]]&amp;", "&amp;Inschrijf_CO2_Totaal[[#Headers],[B1]],Database_Productkaarten[#All],18,FALSE)*Optimalisatie!J105),Baseline_Backlog!J208),0))</f>
        <v>0</v>
      </c>
      <c r="K208" s="91">
        <f>(IF(Optimalisatie!C105="Nieuwe Situatie",_xlfn.IFNA(SUM(Inschrijf_CO2_Totaal[[#This Row],[A1]:[B1]],Inschrijf_CO2_Totaal[[#This Row],[C1]:[D2]])*Optimalisatie!T105,0),0))</f>
        <v>0</v>
      </c>
      <c r="L208" s="91">
        <f>IF(Optimalisatie!C105="Bestaande situatie",IF(_xlfn.IFNA((VLOOKUP(Optimalisatie!AA105,Database_Asfalt_Verwijderset[#All],12,FALSE)*Optimalisatie!J105),0)+_xlfn.IFNA(VLOOKUP(Optimalisatie!AB105,Database_Brandstoffen[#All],12,FALSE)*((Optimalisatie!J105/Optimalisatie!AD105)*Optimalisatie!AC105),0)&gt;0,_xlfn.IFNA((VLOOKUP(Optimalisatie!AA105,Database_Asfalt_Verwijderset[#All],12,FALSE)*Optimalisatie!J105),0)+_xlfn.IFNA(VLOOKUP(Optimalisatie!AB105,Database_Brandstoffen[#All],12,FALSE)*((Optimalisatie!J105/Optimalisatie!AD105)*Optimalisatie!AC105),0),(_xlfn.IFNA(VLOOKUP(Inschrijf_CO2_Totaal[[#This Row],[Product]]&amp;", "&amp;Inschrijf_MKI_Totaal[[#Headers],[C1]],Database_Productkaarten[#All],18,FALSE),0)*Optimalisatie!J105)),0)</f>
        <v>0</v>
      </c>
      <c r="M208" s="91">
        <f>(IF(Optimalisatie!C105="Bestaande Situatie",_xlfn.IFNA(VLOOKUP(Optimalisatie!AD105,Database_Transport[#All],12,FALSE)*(Optimalisatie!R105*Optimalisatie!AC105),Baseline_Backlog!M208),0))</f>
        <v>0</v>
      </c>
      <c r="N208" s="91">
        <f>(IF(Optimalisatie!C105="Bestaande Situatie",_xlfn.IFNA(VLOOKUP(Optimalisatie!AE105,Database_Asfalt_Verwerkingsset[#All],12,FALSE)*(Optimalisatie!J105/VLOOKUP(Optimalisatie!AE105,Database_Asfalt_Verwerkingsset[#All],12,FALSE)),Baseline_Backlog!N208),0))</f>
        <v>0</v>
      </c>
      <c r="O208" s="91">
        <f>(IF(Optimalisatie!C105="Bestaande Situatie",_xlfn.IFNA(VLOOKUP(Inschrijf_CO2_Totaal[[#This Row],[Product]]&amp;", "&amp;Inschrijf_CO2_Totaal[[#Headers],[C4]],Database_Productkaarten[#All],18,FALSE)*Optimalisatie!J105,Baseline_Backlog!O208),0))</f>
        <v>0</v>
      </c>
      <c r="P208" s="91">
        <f>(IF(Optimalisatie!C105="Bestaande Situatie",_xlfn.IFNA(IF(Optimalisatie!E105="Categorie_1_LCA_Producten",VLOOKUP(Inschrijf_CO2_Totaal[[#This Row],[Product]],Categorie_1_Producten[#All],18,FALSE)*(Optimalisatie!J105),VLOOKUP(Inschrijf_CO2_Totaal[[#This Row],[Product]]&amp;", "&amp;Inschrijf_CO2_Totaal[[#Headers],[D1]],Database_Productkaarten[#All],18,FALSE)*Optimalisatie!J105),Baseline_Backlog!P208),0))</f>
        <v>0</v>
      </c>
      <c r="Q208" s="91">
        <f>(IF(Optimalisatie!C105="Bestaande Situatie",_xlfn.IFNA(IF(Optimalisatie!E105="Categorie_1_LCA_Producten",VLOOKUP(Inschrijf_CO2_Totaal[[#This Row],[Product]],Categorie_1_Producten[#All],19,FALSE)*(Optimalisatie!J105),VLOOKUP(Inschrijf_CO2_Totaal[[#This Row],[Product]]&amp;", "&amp;Inschrijf_CO2_Totaal[[#Headers],[D2]],Database_Productkaarten[#All],18,FALSE)*Optimalisatie!J105),Baseline_Backlog!Q208),0))</f>
        <v>0</v>
      </c>
      <c r="R208" s="91">
        <f>(IF(Optimalisatie!C105="Bestaande Situatie",_xlfn.IFNA(IF(Optimalisatie!E105="Categorie_1_LCA_Producten",VLOOKUP(Inschrijf_CO2_Totaal[[#This Row],[Product]],Categorie_1_Producten[#All],21,FALSE)*(Optimalisatie!J105),VLOOKUP(Inschrijf_CO2_Totaal[[#This Row],[Product]]&amp;", "&amp;Inschrijf_CO2_Totaal[[#Headers],[D]],Database_Productkaarten[#All],18,FALSE)*Optimalisatie!J105),Baseline_Backlog!S208),0))</f>
        <v>0</v>
      </c>
      <c r="S208" s="91">
        <f>SUM(Inschrijf_CO2_Totaal[[#This Row],[A1-A3]:[C4]])+Inschrijf_CO2_Totaal[[#This Row],[D]]</f>
        <v>0</v>
      </c>
    </row>
    <row r="209" spans="2:19">
      <c r="B209" s="1" t="s">
        <v>90</v>
      </c>
      <c r="C209" s="1"/>
      <c r="D209" s="61">
        <f>SUBTOTAL(109,Inschrijf_CO2_Totaal[A1])</f>
        <v>138671.16125949999</v>
      </c>
      <c r="E209" s="61">
        <f>SUBTOTAL(109,Inschrijf_CO2_Totaal[A2])</f>
        <v>21323.606212416664</v>
      </c>
      <c r="F209" s="61">
        <f>SUBTOTAL(109,Inschrijf_CO2_Totaal[A3])</f>
        <v>6989.8791779999992</v>
      </c>
      <c r="G209" s="61">
        <f>SUBTOTAL(109,Inschrijf_CO2_Totaal[A1-A3])</f>
        <v>493104.64664991666</v>
      </c>
      <c r="H209" s="61">
        <f>SUBTOTAL(109,Inschrijf_CO2_Totaal[A4])</f>
        <v>58543.43382256214</v>
      </c>
      <c r="I209" s="61">
        <f>SUBTOTAL(109,Inschrijf_CO2_Totaal[A5])</f>
        <v>230043.27548463069</v>
      </c>
      <c r="J209" s="61">
        <f>SUBTOTAL(109,Inschrijf_CO2_Totaal[B1])</f>
        <v>2124.3480299999997</v>
      </c>
      <c r="K209" s="61">
        <f>SUBTOTAL(109,Inschrijf_CO2_Totaal[B4])</f>
        <v>0</v>
      </c>
      <c r="L209" s="61">
        <f>SUBTOTAL(109,Inschrijf_CO2_Totaal[C1])</f>
        <v>63596.894498697773</v>
      </c>
      <c r="M209" s="61">
        <f>SUBTOTAL(109,Inschrijf_CO2_Totaal[C2])</f>
        <v>62167.174622000086</v>
      </c>
      <c r="N209" s="61">
        <f>SUBTOTAL(109,Inschrijf_CO2_Totaal[C3])</f>
        <v>11510.673738445086</v>
      </c>
      <c r="O209" s="61">
        <f>SUBTOTAL(109,Inschrijf_CO2_Totaal[C4])</f>
        <v>2889.3959143910001</v>
      </c>
      <c r="P209" s="61">
        <f>SUBTOTAL(109,Inschrijf_CO2_Totaal[D1])</f>
        <v>-206867.29250000001</v>
      </c>
      <c r="Q209" s="61">
        <f>SUBTOTAL(109,Inschrijf_CO2_Totaal[D2])</f>
        <v>0</v>
      </c>
      <c r="R209" s="61">
        <f>SUBTOTAL(109,Inschrijf_CO2_Totaal[D])</f>
        <v>-308765.59416113631</v>
      </c>
      <c r="S209" s="141">
        <f>SUBTOTAL(109,Inschrijf_CO2_Totaal[Totaal])</f>
        <v>615214.24859950726</v>
      </c>
    </row>
    <row r="212" spans="2:19" ht="18">
      <c r="B212" s="110" t="s">
        <v>323</v>
      </c>
      <c r="C212" s="110"/>
      <c r="D212" s="110"/>
    </row>
    <row r="213" spans="2:19" ht="15.75" thickBot="1">
      <c r="B213" s="49" t="s">
        <v>214</v>
      </c>
      <c r="C213" s="50" t="s">
        <v>7</v>
      </c>
      <c r="D213" s="58" t="s">
        <v>109</v>
      </c>
      <c r="E213" s="59" t="s">
        <v>110</v>
      </c>
      <c r="F213" s="59" t="s">
        <v>331</v>
      </c>
      <c r="G213" s="59" t="s">
        <v>332</v>
      </c>
      <c r="H213" s="58" t="s">
        <v>333</v>
      </c>
      <c r="I213" s="59" t="s">
        <v>334</v>
      </c>
      <c r="J213" s="59" t="s">
        <v>335</v>
      </c>
      <c r="K213" s="145" t="s">
        <v>116</v>
      </c>
      <c r="L213" s="145" t="s">
        <v>117</v>
      </c>
      <c r="M213" s="145" t="s">
        <v>118</v>
      </c>
    </row>
    <row r="214" spans="2:19" ht="15.75" thickTop="1">
      <c r="B214" s="209" t="str">
        <f>Optimalisatie!B6</f>
        <v xml:space="preserve">121110 - Opbreken trottoirband </v>
      </c>
      <c r="C214" s="51" t="str">
        <f>Optimalisatie!F6</f>
        <v>Trottoirband 130/150x250</v>
      </c>
      <c r="D214" s="93">
        <f>Optimalisatie!R6</f>
        <v>268.49549999999999</v>
      </c>
      <c r="E214" s="60">
        <f>_xlfn.IFNA(IF(Optimalisatie!E6="Categorie_1_LCA_Producten",VLOOKUP(Optimalisatie!F6,Categorie_1_Producten[#All],6,FALSE),VLOOKUP(Optimalisatie!F6&amp;", "&amp;"Totaal",Database_Productkaarten[#All],64,FALSE)),Referentie_Materiaal_Totaal[[#This Row],[% Secundair]])</f>
        <v>0.11150652431791222</v>
      </c>
      <c r="F214" s="94">
        <f>Inschrijf_Materiaal_Totaal[[#This Row],[Hoeveelheid '[ton']]]*(1-Inschrijf_Materiaal_Totaal[[#This Row],[% Secundair]])</f>
        <v>238.5565</v>
      </c>
      <c r="G214" s="94">
        <f>Inschrijf_Materiaal_Totaal[[#This Row],[Hoeveelheid '[ton']]]*Inschrijf_Materiaal_Totaal[[#This Row],[% Secundair]]</f>
        <v>29.939</v>
      </c>
      <c r="H214" s="128">
        <f>Optimalisatie!R6*Optimalisatie!T6</f>
        <v>0</v>
      </c>
      <c r="I214" s="128">
        <f>Inschrijf_Materiaal_Totaal[[#This Row],[Hoeveelheid Vervangingen '[ton']]]*(1-Inschrijf_Materiaal_Totaal[[#This Row],[% Secundair]])</f>
        <v>0</v>
      </c>
      <c r="J214" s="128">
        <f>Inschrijf_Materiaal_Totaal[[#This Row],[Primair materiaalverbruik Vervangingen]]*Inschrijf_Materiaal_Totaal[[#This Row],[% Secundair]]</f>
        <v>0</v>
      </c>
      <c r="K214" s="128">
        <f>Inschrijf_Materiaal_Totaal[[#This Row],[Primair materiaalverbruik]]+Inschrijf_Materiaal_Totaal[[#This Row],[Primair materiaalverbruik Vervangingen]]</f>
        <v>238.5565</v>
      </c>
      <c r="L214" s="128">
        <f>Inschrijf_Materiaal_Totaal[[#This Row],[Secundair Materiaalverbruik]]+Inschrijf_Materiaal_Totaal[[#This Row],[Secundair Materiaalverbruik Vervangingen]]</f>
        <v>29.939</v>
      </c>
      <c r="M214" s="128">
        <f>Inschrijf_Materiaal_Totaal[[#This Row],[Totaal Primair Materieelgebruik]]+Inschrijf_Materiaal_Totaal[[#This Row],[Totaal Secundair Materieelgebruik]]</f>
        <v>268.49549999999999</v>
      </c>
    </row>
    <row r="215" spans="2:19">
      <c r="B215" s="209" t="str">
        <f>Optimalisatie!B7</f>
        <v>121120 - Opbreken RWS band</v>
      </c>
      <c r="C215" s="51" t="str">
        <f>Optimalisatie!F7</f>
        <v>RWSband 115/225x250</v>
      </c>
      <c r="D215" s="93">
        <f>Optimalisatie!R7</f>
        <v>42.310499999999998</v>
      </c>
      <c r="E215" s="60">
        <f>_xlfn.IFNA(IF(Optimalisatie!E7="Categorie_1_LCA_Producten",VLOOKUP(Optimalisatie!F7,Categorie_1_Producten[#All],6,FALSE),VLOOKUP(Optimalisatie!F7&amp;", "&amp;"Totaal",Database_Productkaarten[#All],64,FALSE)),Referentie_Materiaal_Totaal[[#This Row],[% Secundair]])</f>
        <v>0.11163895486935867</v>
      </c>
      <c r="F215" s="94">
        <f>Inschrijf_Materiaal_Totaal[[#This Row],[Hoeveelheid '[ton']]]*(1-Inschrijf_Materiaal_Totaal[[#This Row],[% Secundair]])</f>
        <v>37.586999999999996</v>
      </c>
      <c r="G215" s="94">
        <f>Inschrijf_Materiaal_Totaal[[#This Row],[Hoeveelheid '[ton']]]*Inschrijf_Materiaal_Totaal[[#This Row],[% Secundair]]</f>
        <v>4.7234999999999996</v>
      </c>
      <c r="H215" s="128">
        <f>Optimalisatie!R7*Optimalisatie!T7</f>
        <v>0</v>
      </c>
      <c r="I215" s="128">
        <f>Inschrijf_Materiaal_Totaal[[#This Row],[Hoeveelheid Vervangingen '[ton']]]*(1-Inschrijf_Materiaal_Totaal[[#This Row],[% Secundair]])</f>
        <v>0</v>
      </c>
      <c r="J215" s="128">
        <f>Inschrijf_Materiaal_Totaal[[#This Row],[Primair materiaalverbruik Vervangingen]]*Inschrijf_Materiaal_Totaal[[#This Row],[% Secundair]]</f>
        <v>0</v>
      </c>
      <c r="K215" s="128">
        <f>Inschrijf_Materiaal_Totaal[[#This Row],[Primair materiaalverbruik]]+Inschrijf_Materiaal_Totaal[[#This Row],[Primair materiaalverbruik Vervangingen]]</f>
        <v>37.586999999999996</v>
      </c>
      <c r="L215" s="128">
        <f>Inschrijf_Materiaal_Totaal[[#This Row],[Secundair Materiaalverbruik]]+Inschrijf_Materiaal_Totaal[[#This Row],[Secundair Materiaalverbruik Vervangingen]]</f>
        <v>4.7234999999999996</v>
      </c>
      <c r="M215" s="128">
        <f>Inschrijf_Materiaal_Totaal[[#This Row],[Totaal Primair Materieelgebruik]]+Inschrijf_Materiaal_Totaal[[#This Row],[Totaal Secundair Materieelgebruik]]</f>
        <v>42.310499999999998</v>
      </c>
    </row>
    <row r="216" spans="2:19">
      <c r="B216" s="209" t="str">
        <f>Optimalisatie!B8</f>
        <v>121140 - Opbreken Opsluitband</v>
      </c>
      <c r="C216" s="51" t="str">
        <f>Optimalisatie!F8</f>
        <v>Opsluitband 100x200</v>
      </c>
      <c r="D216" s="93">
        <f>Optimalisatie!R8</f>
        <v>52.78</v>
      </c>
      <c r="E216" s="60">
        <f>_xlfn.IFNA(IF(Optimalisatie!E8="Categorie_1_LCA_Producten",VLOOKUP(Optimalisatie!F8,Categorie_1_Producten[#All],6,FALSE),VLOOKUP(Optimalisatie!F8&amp;", "&amp;"Totaal",Database_Productkaarten[#All],64,FALSE)),Referentie_Materiaal_Totaal[[#This Row],[% Secundair]])</f>
        <v>0</v>
      </c>
      <c r="F216" s="94">
        <f>Inschrijf_Materiaal_Totaal[[#This Row],[Hoeveelheid '[ton']]]*(1-Inschrijf_Materiaal_Totaal[[#This Row],[% Secundair]])</f>
        <v>52.78</v>
      </c>
      <c r="G216" s="94">
        <f>Inschrijf_Materiaal_Totaal[[#This Row],[Hoeveelheid '[ton']]]*Inschrijf_Materiaal_Totaal[[#This Row],[% Secundair]]</f>
        <v>0</v>
      </c>
      <c r="H216" s="128">
        <f>Optimalisatie!R8*Optimalisatie!T8</f>
        <v>0</v>
      </c>
      <c r="I216" s="128">
        <f>Inschrijf_Materiaal_Totaal[[#This Row],[Hoeveelheid Vervangingen '[ton']]]*(1-Inschrijf_Materiaal_Totaal[[#This Row],[% Secundair]])</f>
        <v>0</v>
      </c>
      <c r="J216" s="128">
        <f>Inschrijf_Materiaal_Totaal[[#This Row],[Primair materiaalverbruik Vervangingen]]*Inschrijf_Materiaal_Totaal[[#This Row],[% Secundair]]</f>
        <v>0</v>
      </c>
      <c r="K216" s="128">
        <f>Inschrijf_Materiaal_Totaal[[#This Row],[Primair materiaalverbruik]]+Inschrijf_Materiaal_Totaal[[#This Row],[Primair materiaalverbruik Vervangingen]]</f>
        <v>52.78</v>
      </c>
      <c r="L216" s="128">
        <f>Inschrijf_Materiaal_Totaal[[#This Row],[Secundair Materiaalverbruik]]+Inschrijf_Materiaal_Totaal[[#This Row],[Secundair Materiaalverbruik Vervangingen]]</f>
        <v>0</v>
      </c>
      <c r="M216" s="128">
        <f>Inschrijf_Materiaal_Totaal[[#This Row],[Totaal Primair Materieelgebruik]]+Inschrijf_Materiaal_Totaal[[#This Row],[Totaal Secundair Materieelgebruik]]</f>
        <v>52.78</v>
      </c>
    </row>
    <row r="217" spans="2:19">
      <c r="B217" s="209" t="str">
        <f>Optimalisatie!B9</f>
        <v>121310 - Opbreken betonstraatstenen</v>
      </c>
      <c r="C217" s="51" t="str">
        <f>Optimalisatie!F9</f>
        <v>Betonstraatsteen 210x105x80</v>
      </c>
      <c r="D217" s="93">
        <f>Optimalisatie!R9</f>
        <v>287.36</v>
      </c>
      <c r="E217" s="60">
        <f>_xlfn.IFNA(IF(Optimalisatie!E9="Categorie_1_LCA_Producten",VLOOKUP(Optimalisatie!F9,Categorie_1_Producten[#All],6,FALSE),VLOOKUP(Optimalisatie!F9&amp;", "&amp;"Totaal",Database_Productkaarten[#All],64,FALSE)),Referentie_Materiaal_Totaal[[#This Row],[% Secundair]])</f>
        <v>5.7906458797327399E-2</v>
      </c>
      <c r="F217" s="94">
        <f>Inschrijf_Materiaal_Totaal[[#This Row],[Hoeveelheid '[ton']]]*(1-Inschrijf_Materiaal_Totaal[[#This Row],[% Secundair]])</f>
        <v>270.72000000000003</v>
      </c>
      <c r="G217" s="94">
        <f>Inschrijf_Materiaal_Totaal[[#This Row],[Hoeveelheid '[ton']]]*Inschrijf_Materiaal_Totaal[[#This Row],[% Secundair]]</f>
        <v>16.64</v>
      </c>
      <c r="H217" s="128">
        <f>Optimalisatie!R9*Optimalisatie!T9</f>
        <v>0</v>
      </c>
      <c r="I217" s="128">
        <f>Inschrijf_Materiaal_Totaal[[#This Row],[Hoeveelheid Vervangingen '[ton']]]*(1-Inschrijf_Materiaal_Totaal[[#This Row],[% Secundair]])</f>
        <v>0</v>
      </c>
      <c r="J217" s="128">
        <f>Inschrijf_Materiaal_Totaal[[#This Row],[Primair materiaalverbruik Vervangingen]]*Inschrijf_Materiaal_Totaal[[#This Row],[% Secundair]]</f>
        <v>0</v>
      </c>
      <c r="K217" s="128">
        <f>Inschrijf_Materiaal_Totaal[[#This Row],[Primair materiaalverbruik]]+Inschrijf_Materiaal_Totaal[[#This Row],[Primair materiaalverbruik Vervangingen]]</f>
        <v>270.72000000000003</v>
      </c>
      <c r="L217" s="128">
        <f>Inschrijf_Materiaal_Totaal[[#This Row],[Secundair Materiaalverbruik]]+Inschrijf_Materiaal_Totaal[[#This Row],[Secundair Materiaalverbruik Vervangingen]]</f>
        <v>16.64</v>
      </c>
      <c r="M217" s="128">
        <f>Inschrijf_Materiaal_Totaal[[#This Row],[Totaal Primair Materieelgebruik]]+Inschrijf_Materiaal_Totaal[[#This Row],[Totaal Secundair Materieelgebruik]]</f>
        <v>287.36</v>
      </c>
    </row>
    <row r="218" spans="2:19">
      <c r="B218" s="209" t="str">
        <f>Optimalisatie!B10</f>
        <v>121320 - Opbreken straatbakstenen en geschikt maken voor hergebruik</v>
      </c>
      <c r="C218" s="51" t="str">
        <f>Optimalisatie!F10</f>
        <v>Gebakken klinker keiformaat</v>
      </c>
      <c r="D218" s="93">
        <f>Optimalisatie!R10</f>
        <v>1215.0250000000001</v>
      </c>
      <c r="E218" s="60">
        <f>_xlfn.IFNA(IF(Optimalisatie!E10="Categorie_1_LCA_Producten",VLOOKUP(Optimalisatie!F10,Categorie_1_Producten[#All],6,FALSE),VLOOKUP(Optimalisatie!F10&amp;", "&amp;"Totaal",Database_Productkaarten[#All],64,FALSE)),Referentie_Materiaal_Totaal[[#This Row],[% Secundair]])</f>
        <v>0</v>
      </c>
      <c r="F218" s="94">
        <f>Inschrijf_Materiaal_Totaal[[#This Row],[Hoeveelheid '[ton']]]*(1-Inschrijf_Materiaal_Totaal[[#This Row],[% Secundair]])</f>
        <v>1215.0250000000001</v>
      </c>
      <c r="G218" s="94">
        <f>Inschrijf_Materiaal_Totaal[[#This Row],[Hoeveelheid '[ton']]]*Inschrijf_Materiaal_Totaal[[#This Row],[% Secundair]]</f>
        <v>0</v>
      </c>
      <c r="H218" s="128">
        <f>Optimalisatie!R10*Optimalisatie!T10</f>
        <v>0</v>
      </c>
      <c r="I218" s="128">
        <f>Inschrijf_Materiaal_Totaal[[#This Row],[Hoeveelheid Vervangingen '[ton']]]*(1-Inschrijf_Materiaal_Totaal[[#This Row],[% Secundair]])</f>
        <v>0</v>
      </c>
      <c r="J218" s="128">
        <f>Inschrijf_Materiaal_Totaal[[#This Row],[Primair materiaalverbruik Vervangingen]]*Inschrijf_Materiaal_Totaal[[#This Row],[% Secundair]]</f>
        <v>0</v>
      </c>
      <c r="K218" s="128">
        <f>Inschrijf_Materiaal_Totaal[[#This Row],[Primair materiaalverbruik]]+Inschrijf_Materiaal_Totaal[[#This Row],[Primair materiaalverbruik Vervangingen]]</f>
        <v>1215.0250000000001</v>
      </c>
      <c r="L218" s="128">
        <f>Inschrijf_Materiaal_Totaal[[#This Row],[Secundair Materiaalverbruik]]+Inschrijf_Materiaal_Totaal[[#This Row],[Secundair Materiaalverbruik Vervangingen]]</f>
        <v>0</v>
      </c>
      <c r="M218" s="128">
        <f>Inschrijf_Materiaal_Totaal[[#This Row],[Totaal Primair Materieelgebruik]]+Inschrijf_Materiaal_Totaal[[#This Row],[Totaal Secundair Materieelgebruik]]</f>
        <v>1215.0250000000001</v>
      </c>
    </row>
    <row r="219" spans="2:19">
      <c r="B219" s="209" t="str">
        <f>Optimalisatie!B11</f>
        <v>121330 - Opbreken en afvoeren straatbakstenen</v>
      </c>
      <c r="C219" s="51" t="str">
        <f>Optimalisatie!F11</f>
        <v>Gebakken klinker keiformaat (hergebruik)</v>
      </c>
      <c r="D219" s="93">
        <f>Optimalisatie!R11</f>
        <v>618.32000000000005</v>
      </c>
      <c r="E219" s="60">
        <f>_xlfn.IFNA(IF(Optimalisatie!E11="Categorie_1_LCA_Producten",VLOOKUP(Optimalisatie!F11,Categorie_1_Producten[#All],6,FALSE),VLOOKUP(Optimalisatie!F11&amp;", "&amp;"Totaal",Database_Productkaarten[#All],64,FALSE)),Referentie_Materiaal_Totaal[[#This Row],[% Secundair]])</f>
        <v>1</v>
      </c>
      <c r="F219" s="94">
        <f>Inschrijf_Materiaal_Totaal[[#This Row],[Hoeveelheid '[ton']]]*(1-Inschrijf_Materiaal_Totaal[[#This Row],[% Secundair]])</f>
        <v>0</v>
      </c>
      <c r="G219" s="94">
        <f>Inschrijf_Materiaal_Totaal[[#This Row],[Hoeveelheid '[ton']]]*Inschrijf_Materiaal_Totaal[[#This Row],[% Secundair]]</f>
        <v>618.32000000000005</v>
      </c>
      <c r="H219" s="128">
        <f>Optimalisatie!R11*Optimalisatie!T11</f>
        <v>0</v>
      </c>
      <c r="I219" s="128">
        <f>Inschrijf_Materiaal_Totaal[[#This Row],[Hoeveelheid Vervangingen '[ton']]]*(1-Inschrijf_Materiaal_Totaal[[#This Row],[% Secundair]])</f>
        <v>0</v>
      </c>
      <c r="J219" s="128">
        <f>Inschrijf_Materiaal_Totaal[[#This Row],[Primair materiaalverbruik Vervangingen]]*Inschrijf_Materiaal_Totaal[[#This Row],[% Secundair]]</f>
        <v>0</v>
      </c>
      <c r="K219" s="128">
        <f>Inschrijf_Materiaal_Totaal[[#This Row],[Primair materiaalverbruik]]+Inschrijf_Materiaal_Totaal[[#This Row],[Primair materiaalverbruik Vervangingen]]</f>
        <v>0</v>
      </c>
      <c r="L219" s="128">
        <f>Inschrijf_Materiaal_Totaal[[#This Row],[Secundair Materiaalverbruik]]+Inschrijf_Materiaal_Totaal[[#This Row],[Secundair Materiaalverbruik Vervangingen]]</f>
        <v>618.32000000000005</v>
      </c>
      <c r="M219" s="128">
        <f>Inschrijf_Materiaal_Totaal[[#This Row],[Totaal Primair Materieelgebruik]]+Inschrijf_Materiaal_Totaal[[#This Row],[Totaal Secundair Materieelgebruik]]</f>
        <v>618.32000000000005</v>
      </c>
    </row>
    <row r="220" spans="2:19">
      <c r="B220" s="209" t="str">
        <f>Optimalisatie!B12</f>
        <v>121340 - Opbreken betontegels 300x300x45mm</v>
      </c>
      <c r="C220" s="51" t="str">
        <f>Optimalisatie!F12</f>
        <v>Betontegel 300x300x45</v>
      </c>
      <c r="D220" s="93">
        <f>Optimalisatie!R12</f>
        <v>1046.5674999999999</v>
      </c>
      <c r="E220" s="60">
        <f>_xlfn.IFNA(IF(Optimalisatie!E12="Categorie_1_LCA_Producten",VLOOKUP(Optimalisatie!F12,Categorie_1_Producten[#All],6,FALSE),VLOOKUP(Optimalisatie!F12&amp;", "&amp;"Totaal",Database_Productkaarten[#All],64,FALSE)),Referentie_Materiaal_Totaal[[#This Row],[% Secundair]])</f>
        <v>0.11177052423343224</v>
      </c>
      <c r="F220" s="94">
        <f>Inschrijf_Materiaal_Totaal[[#This Row],[Hoeveelheid '[ton']]]*(1-Inschrijf_Materiaal_Totaal[[#This Row],[% Secundair]])</f>
        <v>929.59210187932729</v>
      </c>
      <c r="G220" s="94">
        <f>Inschrijf_Materiaal_Totaal[[#This Row],[Hoeveelheid '[ton']]]*Inschrijf_Materiaal_Totaal[[#This Row],[% Secundair]]</f>
        <v>116.97539812067258</v>
      </c>
      <c r="H220" s="128">
        <f>Optimalisatie!R12*Optimalisatie!T12</f>
        <v>0</v>
      </c>
      <c r="I220" s="128">
        <f>Inschrijf_Materiaal_Totaal[[#This Row],[Hoeveelheid Vervangingen '[ton']]]*(1-Inschrijf_Materiaal_Totaal[[#This Row],[% Secundair]])</f>
        <v>0</v>
      </c>
      <c r="J220" s="128">
        <f>Inschrijf_Materiaal_Totaal[[#This Row],[Primair materiaalverbruik Vervangingen]]*Inschrijf_Materiaal_Totaal[[#This Row],[% Secundair]]</f>
        <v>0</v>
      </c>
      <c r="K220" s="128">
        <f>Inschrijf_Materiaal_Totaal[[#This Row],[Primair materiaalverbruik]]+Inschrijf_Materiaal_Totaal[[#This Row],[Primair materiaalverbruik Vervangingen]]</f>
        <v>929.59210187932729</v>
      </c>
      <c r="L220" s="128">
        <f>Inschrijf_Materiaal_Totaal[[#This Row],[Secundair Materiaalverbruik]]+Inschrijf_Materiaal_Totaal[[#This Row],[Secundair Materiaalverbruik Vervangingen]]</f>
        <v>116.97539812067258</v>
      </c>
      <c r="M220" s="128">
        <f>Inschrijf_Materiaal_Totaal[[#This Row],[Totaal Primair Materieelgebruik]]+Inschrijf_Materiaal_Totaal[[#This Row],[Totaal Secundair Materieelgebruik]]</f>
        <v>1046.5674999999999</v>
      </c>
    </row>
    <row r="221" spans="2:19">
      <c r="B221" s="209" t="str">
        <f>Optimalisatie!B13</f>
        <v>121410 - Opbreken en afvoeren asfaltverharding zwart teervrij</v>
      </c>
      <c r="C221" s="51" t="str">
        <f>Optimalisatie!F13</f>
        <v>AC bin/base 50% PR - PCR 2.0</v>
      </c>
      <c r="D221" s="93">
        <f>Optimalisatie!R13</f>
        <v>2625</v>
      </c>
      <c r="E221" s="60">
        <f>_xlfn.IFNA(IF(Optimalisatie!E13="Categorie_1_LCA_Producten",VLOOKUP(Optimalisatie!F13,Categorie_1_Producten[#All],6,FALSE),VLOOKUP(Optimalisatie!F13&amp;", "&amp;"Totaal",Database_Productkaarten[#All],64,FALSE)),Referentie_Materiaal_Totaal[[#This Row],[% Secundair]])</f>
        <v>0.5</v>
      </c>
      <c r="F221" s="94">
        <f>Inschrijf_Materiaal_Totaal[[#This Row],[Hoeveelheid '[ton']]]*(1-Inschrijf_Materiaal_Totaal[[#This Row],[% Secundair]])</f>
        <v>1312.5</v>
      </c>
      <c r="G221" s="94">
        <f>Inschrijf_Materiaal_Totaal[[#This Row],[Hoeveelheid '[ton']]]*Inschrijf_Materiaal_Totaal[[#This Row],[% Secundair]]</f>
        <v>1312.5</v>
      </c>
      <c r="H221" s="128">
        <f>Optimalisatie!R13*Optimalisatie!T13</f>
        <v>0</v>
      </c>
      <c r="I221" s="128">
        <f>Inschrijf_Materiaal_Totaal[[#This Row],[Hoeveelheid Vervangingen '[ton']]]*(1-Inschrijf_Materiaal_Totaal[[#This Row],[% Secundair]])</f>
        <v>0</v>
      </c>
      <c r="J221" s="128">
        <f>Inschrijf_Materiaal_Totaal[[#This Row],[Primair materiaalverbruik Vervangingen]]*Inschrijf_Materiaal_Totaal[[#This Row],[% Secundair]]</f>
        <v>0</v>
      </c>
      <c r="K221" s="128">
        <f>Inschrijf_Materiaal_Totaal[[#This Row],[Primair materiaalverbruik]]+Inschrijf_Materiaal_Totaal[[#This Row],[Primair materiaalverbruik Vervangingen]]</f>
        <v>1312.5</v>
      </c>
      <c r="L221" s="128">
        <f>Inschrijf_Materiaal_Totaal[[#This Row],[Secundair Materiaalverbruik]]+Inschrijf_Materiaal_Totaal[[#This Row],[Secundair Materiaalverbruik Vervangingen]]</f>
        <v>1312.5</v>
      </c>
      <c r="M221" s="128">
        <f>Inschrijf_Materiaal_Totaal[[#This Row],[Totaal Primair Materieelgebruik]]+Inschrijf_Materiaal_Totaal[[#This Row],[Totaal Secundair Materieelgebruik]]</f>
        <v>2625</v>
      </c>
    </row>
    <row r="222" spans="2:19">
      <c r="B222" s="209" t="str">
        <f>Optimalisatie!B14</f>
        <v>121420 - Opbreken en afvoeren asfaltverharding rood teervrij</v>
      </c>
      <c r="C222" s="51" t="str">
        <f>Optimalisatie!F14</f>
        <v>AC surf rood, met penbitumen - PCR 2.0</v>
      </c>
      <c r="D222" s="93">
        <f>Optimalisatie!R14</f>
        <v>1800</v>
      </c>
      <c r="E222" s="60">
        <f>_xlfn.IFNA(IF(Optimalisatie!E14="Categorie_1_LCA_Producten",VLOOKUP(Optimalisatie!F14,Categorie_1_Producten[#All],6,FALSE),VLOOKUP(Optimalisatie!F14&amp;", "&amp;"Totaal",Database_Productkaarten[#All],64,FALSE)),Referentie_Materiaal_Totaal[[#This Row],[% Secundair]])</f>
        <v>0</v>
      </c>
      <c r="F222" s="94">
        <f>Inschrijf_Materiaal_Totaal[[#This Row],[Hoeveelheid '[ton']]]*(1-Inschrijf_Materiaal_Totaal[[#This Row],[% Secundair]])</f>
        <v>1800</v>
      </c>
      <c r="G222" s="94">
        <f>Inschrijf_Materiaal_Totaal[[#This Row],[Hoeveelheid '[ton']]]*Inschrijf_Materiaal_Totaal[[#This Row],[% Secundair]]</f>
        <v>0</v>
      </c>
      <c r="H222" s="128">
        <f>Optimalisatie!R14*Optimalisatie!T14</f>
        <v>0</v>
      </c>
      <c r="I222" s="128">
        <f>Inschrijf_Materiaal_Totaal[[#This Row],[Hoeveelheid Vervangingen '[ton']]]*(1-Inschrijf_Materiaal_Totaal[[#This Row],[% Secundair]])</f>
        <v>0</v>
      </c>
      <c r="J222" s="128">
        <f>Inschrijf_Materiaal_Totaal[[#This Row],[Primair materiaalverbruik Vervangingen]]*Inschrijf_Materiaal_Totaal[[#This Row],[% Secundair]]</f>
        <v>0</v>
      </c>
      <c r="K222" s="128">
        <f>Inschrijf_Materiaal_Totaal[[#This Row],[Primair materiaalverbruik]]+Inschrijf_Materiaal_Totaal[[#This Row],[Primair materiaalverbruik Vervangingen]]</f>
        <v>1800</v>
      </c>
      <c r="L222" s="128">
        <f>Inschrijf_Materiaal_Totaal[[#This Row],[Secundair Materiaalverbruik]]+Inschrijf_Materiaal_Totaal[[#This Row],[Secundair Materiaalverbruik Vervangingen]]</f>
        <v>0</v>
      </c>
      <c r="M222" s="128">
        <f>Inschrijf_Materiaal_Totaal[[#This Row],[Totaal Primair Materieelgebruik]]+Inschrijf_Materiaal_Totaal[[#This Row],[Totaal Secundair Materieelgebruik]]</f>
        <v>1800</v>
      </c>
    </row>
    <row r="223" spans="2:19">
      <c r="B223" s="209" t="str">
        <f>Optimalisatie!B15</f>
        <v>121510 - Opbreken fundering van menggranulaat, 400-200 mm dik</v>
      </c>
      <c r="C223" s="51" t="str">
        <f>Optimalisatie!F15</f>
        <v>Menggranulaat 300mm</v>
      </c>
      <c r="D223" s="93">
        <f>Optimalisatie!R15</f>
        <v>2242.5</v>
      </c>
      <c r="E223" s="60">
        <f>_xlfn.IFNA(IF(Optimalisatie!E15="Categorie_1_LCA_Producten",VLOOKUP(Optimalisatie!F15,Categorie_1_Producten[#All],6,FALSE),VLOOKUP(Optimalisatie!F15&amp;", "&amp;"Totaal",Database_Productkaarten[#All],64,FALSE)),Referentie_Materiaal_Totaal[[#This Row],[% Secundair]])</f>
        <v>1</v>
      </c>
      <c r="F223" s="94">
        <f>Inschrijf_Materiaal_Totaal[[#This Row],[Hoeveelheid '[ton']]]*(1-Inschrijf_Materiaal_Totaal[[#This Row],[% Secundair]])</f>
        <v>0</v>
      </c>
      <c r="G223" s="94">
        <f>Inschrijf_Materiaal_Totaal[[#This Row],[Hoeveelheid '[ton']]]*Inschrijf_Materiaal_Totaal[[#This Row],[% Secundair]]</f>
        <v>2242.5</v>
      </c>
      <c r="H223" s="128">
        <f>Optimalisatie!R15*Optimalisatie!T15</f>
        <v>0</v>
      </c>
      <c r="I223" s="128">
        <f>Inschrijf_Materiaal_Totaal[[#This Row],[Hoeveelheid Vervangingen '[ton']]]*(1-Inschrijf_Materiaal_Totaal[[#This Row],[% Secundair]])</f>
        <v>0</v>
      </c>
      <c r="J223" s="128">
        <f>Inschrijf_Materiaal_Totaal[[#This Row],[Primair materiaalverbruik Vervangingen]]*Inschrijf_Materiaal_Totaal[[#This Row],[% Secundair]]</f>
        <v>0</v>
      </c>
      <c r="K223" s="128">
        <f>Inschrijf_Materiaal_Totaal[[#This Row],[Primair materiaalverbruik]]+Inschrijf_Materiaal_Totaal[[#This Row],[Primair materiaalverbruik Vervangingen]]</f>
        <v>0</v>
      </c>
      <c r="L223" s="128">
        <f>Inschrijf_Materiaal_Totaal[[#This Row],[Secundair Materiaalverbruik]]+Inschrijf_Materiaal_Totaal[[#This Row],[Secundair Materiaalverbruik Vervangingen]]</f>
        <v>2242.5</v>
      </c>
      <c r="M223" s="128">
        <f>Inschrijf_Materiaal_Totaal[[#This Row],[Totaal Primair Materieelgebruik]]+Inschrijf_Materiaal_Totaal[[#This Row],[Totaal Secundair Materieelgebruik]]</f>
        <v>2242.5</v>
      </c>
    </row>
    <row r="224" spans="2:19">
      <c r="B224" s="209" t="str">
        <f>Optimalisatie!B16</f>
        <v>121520 - Opbreken fundering van slakken 200-400 mm dik</v>
      </c>
      <c r="C224" s="51" t="str">
        <f>Optimalisatie!F16</f>
        <v>Fosforslakmengsel 200mm</v>
      </c>
      <c r="D224" s="93">
        <f>Optimalisatie!R16</f>
        <v>980.00000000000011</v>
      </c>
      <c r="E224" s="60">
        <f>_xlfn.IFNA(IF(Optimalisatie!E16="Categorie_1_LCA_Producten",VLOOKUP(Optimalisatie!F16,Categorie_1_Producten[#All],6,FALSE),VLOOKUP(Optimalisatie!F16&amp;", "&amp;"Totaal",Database_Productkaarten[#All],64,FALSE)),Referentie_Materiaal_Totaal[[#This Row],[% Secundair]])</f>
        <v>1</v>
      </c>
      <c r="F224" s="94">
        <f>Inschrijf_Materiaal_Totaal[[#This Row],[Hoeveelheid '[ton']]]*(1-Inschrijf_Materiaal_Totaal[[#This Row],[% Secundair]])</f>
        <v>0</v>
      </c>
      <c r="G224" s="94">
        <f>Inschrijf_Materiaal_Totaal[[#This Row],[Hoeveelheid '[ton']]]*Inschrijf_Materiaal_Totaal[[#This Row],[% Secundair]]</f>
        <v>980.00000000000011</v>
      </c>
      <c r="H224" s="128">
        <f>Optimalisatie!R16*Optimalisatie!T16</f>
        <v>0</v>
      </c>
      <c r="I224" s="128">
        <f>Inschrijf_Materiaal_Totaal[[#This Row],[Hoeveelheid Vervangingen '[ton']]]*(1-Inschrijf_Materiaal_Totaal[[#This Row],[% Secundair]])</f>
        <v>0</v>
      </c>
      <c r="J224" s="128">
        <f>Inschrijf_Materiaal_Totaal[[#This Row],[Primair materiaalverbruik Vervangingen]]*Inschrijf_Materiaal_Totaal[[#This Row],[% Secundair]]</f>
        <v>0</v>
      </c>
      <c r="K224" s="128">
        <f>Inschrijf_Materiaal_Totaal[[#This Row],[Primair materiaalverbruik]]+Inschrijf_Materiaal_Totaal[[#This Row],[Primair materiaalverbruik Vervangingen]]</f>
        <v>0</v>
      </c>
      <c r="L224" s="128">
        <f>Inschrijf_Materiaal_Totaal[[#This Row],[Secundair Materiaalverbruik]]+Inschrijf_Materiaal_Totaal[[#This Row],[Secundair Materiaalverbruik Vervangingen]]</f>
        <v>980.00000000000011</v>
      </c>
      <c r="M224" s="128">
        <f>Inschrijf_Materiaal_Totaal[[#This Row],[Totaal Primair Materieelgebruik]]+Inschrijf_Materiaal_Totaal[[#This Row],[Totaal Secundair Materieelgebruik]]</f>
        <v>980.00000000000011</v>
      </c>
    </row>
    <row r="225" spans="2:13">
      <c r="B225" s="209" t="str">
        <f>Optimalisatie!B17</f>
        <v>121310 - Verwijderen en afvoeren kolken, incl aansluitingen</v>
      </c>
      <c r="C225" s="51" t="str">
        <f>Optimalisatie!F17</f>
        <v>Kolk, Staal &amp; Beton</v>
      </c>
      <c r="D225" s="93">
        <f>Optimalisatie!R17</f>
        <v>40.973680000000002</v>
      </c>
      <c r="E225" s="60">
        <f>_xlfn.IFNA(IF(Optimalisatie!E17="Categorie_1_LCA_Producten",VLOOKUP(Optimalisatie!F17,Categorie_1_Producten[#All],6,FALSE),VLOOKUP(Optimalisatie!F17&amp;", "&amp;"Totaal",Database_Productkaarten[#All],64,FALSE)),Referentie_Materiaal_Totaal[[#This Row],[% Secundair]])</f>
        <v>0</v>
      </c>
      <c r="F225" s="94">
        <f>Inschrijf_Materiaal_Totaal[[#This Row],[Hoeveelheid '[ton']]]*(1-Inschrijf_Materiaal_Totaal[[#This Row],[% Secundair]])</f>
        <v>40.973680000000002</v>
      </c>
      <c r="G225" s="94">
        <f>Inschrijf_Materiaal_Totaal[[#This Row],[Hoeveelheid '[ton']]]*Inschrijf_Materiaal_Totaal[[#This Row],[% Secundair]]</f>
        <v>0</v>
      </c>
      <c r="H225" s="128">
        <f>Optimalisatie!R17*Optimalisatie!T17</f>
        <v>0</v>
      </c>
      <c r="I225" s="128">
        <f>Inschrijf_Materiaal_Totaal[[#This Row],[Hoeveelheid Vervangingen '[ton']]]*(1-Inschrijf_Materiaal_Totaal[[#This Row],[% Secundair]])</f>
        <v>0</v>
      </c>
      <c r="J225" s="128">
        <f>Inschrijf_Materiaal_Totaal[[#This Row],[Primair materiaalverbruik Vervangingen]]*Inschrijf_Materiaal_Totaal[[#This Row],[% Secundair]]</f>
        <v>0</v>
      </c>
      <c r="K225" s="128">
        <f>Inschrijf_Materiaal_Totaal[[#This Row],[Primair materiaalverbruik]]+Inschrijf_Materiaal_Totaal[[#This Row],[Primair materiaalverbruik Vervangingen]]</f>
        <v>40.973680000000002</v>
      </c>
      <c r="L225" s="128">
        <f>Inschrijf_Materiaal_Totaal[[#This Row],[Secundair Materiaalverbruik]]+Inschrijf_Materiaal_Totaal[[#This Row],[Secundair Materiaalverbruik Vervangingen]]</f>
        <v>0</v>
      </c>
      <c r="M225" s="128">
        <f>Inschrijf_Materiaal_Totaal[[#This Row],[Totaal Primair Materieelgebruik]]+Inschrijf_Materiaal_Totaal[[#This Row],[Totaal Secundair Materieelgebruik]]</f>
        <v>40.973680000000002</v>
      </c>
    </row>
    <row r="226" spans="2:13">
      <c r="B226" s="209" t="str">
        <f>Optimalisatie!B18</f>
        <v>210010 - Grond ontgraven uit cunet wegen en parkeervakken 0,25 m</v>
      </c>
      <c r="C226" s="51" t="str">
        <f>Optimalisatie!F18</f>
        <v>Ophoogmateriaal (Grond)</v>
      </c>
      <c r="D226" s="93">
        <f>Optimalisatie!R18</f>
        <v>8157.5</v>
      </c>
      <c r="E226" s="60">
        <f>_xlfn.IFNA(IF(Optimalisatie!E18="Categorie_1_LCA_Producten",VLOOKUP(Optimalisatie!F18,Categorie_1_Producten[#All],6,FALSE),VLOOKUP(Optimalisatie!F18&amp;", "&amp;"Totaal",Database_Productkaarten[#All],64,FALSE)),Referentie_Materiaal_Totaal[[#This Row],[% Secundair]])</f>
        <v>1</v>
      </c>
      <c r="F226" s="94">
        <f>Inschrijf_Materiaal_Totaal[[#This Row],[Hoeveelheid '[ton']]]*(1-Inschrijf_Materiaal_Totaal[[#This Row],[% Secundair]])</f>
        <v>0</v>
      </c>
      <c r="G226" s="94">
        <f>Inschrijf_Materiaal_Totaal[[#This Row],[Hoeveelheid '[ton']]]*Inschrijf_Materiaal_Totaal[[#This Row],[% Secundair]]</f>
        <v>8157.5</v>
      </c>
      <c r="H226" s="128">
        <f>Optimalisatie!R18*Optimalisatie!T18</f>
        <v>0</v>
      </c>
      <c r="I226" s="128">
        <f>Inschrijf_Materiaal_Totaal[[#This Row],[Hoeveelheid Vervangingen '[ton']]]*(1-Inschrijf_Materiaal_Totaal[[#This Row],[% Secundair]])</f>
        <v>0</v>
      </c>
      <c r="J226" s="128">
        <f>Inschrijf_Materiaal_Totaal[[#This Row],[Primair materiaalverbruik Vervangingen]]*Inschrijf_Materiaal_Totaal[[#This Row],[% Secundair]]</f>
        <v>0</v>
      </c>
      <c r="K226" s="128">
        <f>Inschrijf_Materiaal_Totaal[[#This Row],[Primair materiaalverbruik]]+Inschrijf_Materiaal_Totaal[[#This Row],[Primair materiaalverbruik Vervangingen]]</f>
        <v>0</v>
      </c>
      <c r="L226" s="128">
        <f>Inschrijf_Materiaal_Totaal[[#This Row],[Secundair Materiaalverbruik]]+Inschrijf_Materiaal_Totaal[[#This Row],[Secundair Materiaalverbruik Vervangingen]]</f>
        <v>8157.5</v>
      </c>
      <c r="M226" s="128">
        <f>Inschrijf_Materiaal_Totaal[[#This Row],[Totaal Primair Materieelgebruik]]+Inschrijf_Materiaal_Totaal[[#This Row],[Totaal Secundair Materieelgebruik]]</f>
        <v>8157.5</v>
      </c>
    </row>
    <row r="227" spans="2:13">
      <c r="B227" s="209" t="str">
        <f>Optimalisatie!B19</f>
        <v>210020 - Grond ontgraven uit sleuf riolering (gerekend met 11,5m3/m1 riool)</v>
      </c>
      <c r="C227" s="51" t="str">
        <f>Optimalisatie!F19</f>
        <v>Ophoogmateriaal (Grond)</v>
      </c>
      <c r="D227" s="93">
        <f>Optimalisatie!R19</f>
        <v>30712.5</v>
      </c>
      <c r="E227" s="60">
        <f>_xlfn.IFNA(IF(Optimalisatie!E19="Categorie_1_LCA_Producten",VLOOKUP(Optimalisatie!F19,Categorie_1_Producten[#All],6,FALSE),VLOOKUP(Optimalisatie!F19&amp;", "&amp;"Totaal",Database_Productkaarten[#All],64,FALSE)),Referentie_Materiaal_Totaal[[#This Row],[% Secundair]])</f>
        <v>1</v>
      </c>
      <c r="F227" s="94">
        <f>Inschrijf_Materiaal_Totaal[[#This Row],[Hoeveelheid '[ton']]]*(1-Inschrijf_Materiaal_Totaal[[#This Row],[% Secundair]])</f>
        <v>0</v>
      </c>
      <c r="G227" s="94">
        <f>Inschrijf_Materiaal_Totaal[[#This Row],[Hoeveelheid '[ton']]]*Inschrijf_Materiaal_Totaal[[#This Row],[% Secundair]]</f>
        <v>30712.5</v>
      </c>
      <c r="H227" s="128">
        <f>Optimalisatie!R19*Optimalisatie!T19</f>
        <v>0</v>
      </c>
      <c r="I227" s="128">
        <f>Inschrijf_Materiaal_Totaal[[#This Row],[Hoeveelheid Vervangingen '[ton']]]*(1-Inschrijf_Materiaal_Totaal[[#This Row],[% Secundair]])</f>
        <v>0</v>
      </c>
      <c r="J227" s="128">
        <f>Inschrijf_Materiaal_Totaal[[#This Row],[Primair materiaalverbruik Vervangingen]]*Inschrijf_Materiaal_Totaal[[#This Row],[% Secundair]]</f>
        <v>0</v>
      </c>
      <c r="K227" s="128">
        <f>Inschrijf_Materiaal_Totaal[[#This Row],[Primair materiaalverbruik]]+Inschrijf_Materiaal_Totaal[[#This Row],[Primair materiaalverbruik Vervangingen]]</f>
        <v>0</v>
      </c>
      <c r="L227" s="128">
        <f>Inschrijf_Materiaal_Totaal[[#This Row],[Secundair Materiaalverbruik]]+Inschrijf_Materiaal_Totaal[[#This Row],[Secundair Materiaalverbruik Vervangingen]]</f>
        <v>30712.5</v>
      </c>
      <c r="M227" s="128">
        <f>Inschrijf_Materiaal_Totaal[[#This Row],[Totaal Primair Materieelgebruik]]+Inschrijf_Materiaal_Totaal[[#This Row],[Totaal Secundair Materieelgebruik]]</f>
        <v>30712.5</v>
      </c>
    </row>
    <row r="228" spans="2:13">
      <c r="B228" s="209" t="str">
        <f>Optimalisatie!B20</f>
        <v>210030 - Grond ontgraven uit plantvak</v>
      </c>
      <c r="C228" s="51" t="str">
        <f>Optimalisatie!F20</f>
        <v>Ophoogmateriaal (Grond)</v>
      </c>
      <c r="D228" s="93">
        <f>Optimalisatie!R20</f>
        <v>7611.5</v>
      </c>
      <c r="E228" s="60">
        <f>_xlfn.IFNA(IF(Optimalisatie!E20="Categorie_1_LCA_Producten",VLOOKUP(Optimalisatie!F20,Categorie_1_Producten[#All],6,FALSE),VLOOKUP(Optimalisatie!F20&amp;", "&amp;"Totaal",Database_Productkaarten[#All],64,FALSE)),Referentie_Materiaal_Totaal[[#This Row],[% Secundair]])</f>
        <v>1</v>
      </c>
      <c r="F228" s="94">
        <f>Inschrijf_Materiaal_Totaal[[#This Row],[Hoeveelheid '[ton']]]*(1-Inschrijf_Materiaal_Totaal[[#This Row],[% Secundair]])</f>
        <v>0</v>
      </c>
      <c r="G228" s="94">
        <f>Inschrijf_Materiaal_Totaal[[#This Row],[Hoeveelheid '[ton']]]*Inschrijf_Materiaal_Totaal[[#This Row],[% Secundair]]</f>
        <v>7611.5</v>
      </c>
      <c r="H228" s="128">
        <f>Optimalisatie!R20*Optimalisatie!T20</f>
        <v>0</v>
      </c>
      <c r="I228" s="128">
        <f>Inschrijf_Materiaal_Totaal[[#This Row],[Hoeveelheid Vervangingen '[ton']]]*(1-Inschrijf_Materiaal_Totaal[[#This Row],[% Secundair]])</f>
        <v>0</v>
      </c>
      <c r="J228" s="128">
        <f>Inschrijf_Materiaal_Totaal[[#This Row],[Primair materiaalverbruik Vervangingen]]*Inschrijf_Materiaal_Totaal[[#This Row],[% Secundair]]</f>
        <v>0</v>
      </c>
      <c r="K228" s="128">
        <f>Inschrijf_Materiaal_Totaal[[#This Row],[Primair materiaalverbruik]]+Inschrijf_Materiaal_Totaal[[#This Row],[Primair materiaalverbruik Vervangingen]]</f>
        <v>0</v>
      </c>
      <c r="L228" s="128">
        <f>Inschrijf_Materiaal_Totaal[[#This Row],[Secundair Materiaalverbruik]]+Inschrijf_Materiaal_Totaal[[#This Row],[Secundair Materiaalverbruik Vervangingen]]</f>
        <v>7611.5</v>
      </c>
      <c r="M228" s="128">
        <f>Inschrijf_Materiaal_Totaal[[#This Row],[Totaal Primair Materieelgebruik]]+Inschrijf_Materiaal_Totaal[[#This Row],[Totaal Secundair Materieelgebruik]]</f>
        <v>7611.5</v>
      </c>
    </row>
    <row r="229" spans="2:13">
      <c r="B229" s="209" t="str">
        <f>Optimalisatie!B21</f>
        <v>220010 - Grond verwerken in sleuf riolering</v>
      </c>
      <c r="C229" s="51" t="str">
        <f>Optimalisatie!F21</f>
        <v>Ophoogmateriaal (Grond)</v>
      </c>
      <c r="D229" s="93">
        <f>Optimalisatie!R21</f>
        <v>30712.5</v>
      </c>
      <c r="E229" s="60">
        <f>_xlfn.IFNA(IF(Optimalisatie!E21="Categorie_1_LCA_Producten",VLOOKUP(Optimalisatie!F21,Categorie_1_Producten[#All],6,FALSE),VLOOKUP(Optimalisatie!F21&amp;", "&amp;"Totaal",Database_Productkaarten[#All],64,FALSE)),Referentie_Materiaal_Totaal[[#This Row],[% Secundair]])</f>
        <v>1</v>
      </c>
      <c r="F229" s="94">
        <f>Inschrijf_Materiaal_Totaal[[#This Row],[Hoeveelheid '[ton']]]*(1-Inschrijf_Materiaal_Totaal[[#This Row],[% Secundair]])</f>
        <v>0</v>
      </c>
      <c r="G229" s="94">
        <f>Inschrijf_Materiaal_Totaal[[#This Row],[Hoeveelheid '[ton']]]*Inschrijf_Materiaal_Totaal[[#This Row],[% Secundair]]</f>
        <v>30712.5</v>
      </c>
      <c r="H229" s="128">
        <f>Optimalisatie!R21*Optimalisatie!T21</f>
        <v>0</v>
      </c>
      <c r="I229" s="128">
        <f>Inschrijf_Materiaal_Totaal[[#This Row],[Hoeveelheid Vervangingen '[ton']]]*(1-Inschrijf_Materiaal_Totaal[[#This Row],[% Secundair]])</f>
        <v>0</v>
      </c>
      <c r="J229" s="128">
        <f>Inschrijf_Materiaal_Totaal[[#This Row],[Primair materiaalverbruik Vervangingen]]*Inschrijf_Materiaal_Totaal[[#This Row],[% Secundair]]</f>
        <v>0</v>
      </c>
      <c r="K229" s="128">
        <f>Inschrijf_Materiaal_Totaal[[#This Row],[Primair materiaalverbruik]]+Inschrijf_Materiaal_Totaal[[#This Row],[Primair materiaalverbruik Vervangingen]]</f>
        <v>0</v>
      </c>
      <c r="L229" s="128">
        <f>Inschrijf_Materiaal_Totaal[[#This Row],[Secundair Materiaalverbruik]]+Inschrijf_Materiaal_Totaal[[#This Row],[Secundair Materiaalverbruik Vervangingen]]</f>
        <v>30712.5</v>
      </c>
      <c r="M229" s="128">
        <f>Inschrijf_Materiaal_Totaal[[#This Row],[Totaal Primair Materieelgebruik]]+Inschrijf_Materiaal_Totaal[[#This Row],[Totaal Secundair Materieelgebruik]]</f>
        <v>30712.5</v>
      </c>
    </row>
    <row r="230" spans="2:13">
      <c r="B230" s="209" t="str">
        <f>Optimalisatie!B22</f>
        <v>220020 - Leveren en aanbrengen zand voor zand (gemiddeld 100 mm)</v>
      </c>
      <c r="C230" s="51" t="str">
        <f>Optimalisatie!F22</f>
        <v>Ophoogmateriaal (Zand)</v>
      </c>
      <c r="D230" s="93">
        <f>Optimalisatie!R22</f>
        <v>3675</v>
      </c>
      <c r="E230" s="60">
        <f>_xlfn.IFNA(IF(Optimalisatie!E22="Categorie_1_LCA_Producten",VLOOKUP(Optimalisatie!F22,Categorie_1_Producten[#All],6,FALSE),VLOOKUP(Optimalisatie!F22&amp;", "&amp;"Totaal",Database_Productkaarten[#All],64,FALSE)),Referentie_Materiaal_Totaal[[#This Row],[% Secundair]])</f>
        <v>0</v>
      </c>
      <c r="F230" s="94">
        <f>Inschrijf_Materiaal_Totaal[[#This Row],[Hoeveelheid '[ton']]]*(1-Inschrijf_Materiaal_Totaal[[#This Row],[% Secundair]])</f>
        <v>3675</v>
      </c>
      <c r="G230" s="94">
        <f>Inschrijf_Materiaal_Totaal[[#This Row],[Hoeveelheid '[ton']]]*Inschrijf_Materiaal_Totaal[[#This Row],[% Secundair]]</f>
        <v>0</v>
      </c>
      <c r="H230" s="128">
        <f>Optimalisatie!R22*Optimalisatie!T22</f>
        <v>0</v>
      </c>
      <c r="I230" s="128">
        <f>Inschrijf_Materiaal_Totaal[[#This Row],[Hoeveelheid Vervangingen '[ton']]]*(1-Inschrijf_Materiaal_Totaal[[#This Row],[% Secundair]])</f>
        <v>0</v>
      </c>
      <c r="J230" s="128">
        <f>Inschrijf_Materiaal_Totaal[[#This Row],[Primair materiaalverbruik Vervangingen]]*Inschrijf_Materiaal_Totaal[[#This Row],[% Secundair]]</f>
        <v>0</v>
      </c>
      <c r="K230" s="128">
        <f>Inschrijf_Materiaal_Totaal[[#This Row],[Primair materiaalverbruik]]+Inschrijf_Materiaal_Totaal[[#This Row],[Primair materiaalverbruik Vervangingen]]</f>
        <v>3675</v>
      </c>
      <c r="L230" s="128">
        <f>Inschrijf_Materiaal_Totaal[[#This Row],[Secundair Materiaalverbruik]]+Inschrijf_Materiaal_Totaal[[#This Row],[Secundair Materiaalverbruik Vervangingen]]</f>
        <v>0</v>
      </c>
      <c r="M230" s="128">
        <f>Inschrijf_Materiaal_Totaal[[#This Row],[Totaal Primair Materieelgebruik]]+Inschrijf_Materiaal_Totaal[[#This Row],[Totaal Secundair Materieelgebruik]]</f>
        <v>3675</v>
      </c>
    </row>
    <row r="231" spans="2:13">
      <c r="B231" s="209" t="str">
        <f>Optimalisatie!B23</f>
        <v>322020 - Leveren en aanbrengen rioolbuis van Beton Ø400mm</v>
      </c>
      <c r="C231" s="51" t="str">
        <f>Optimalisatie!F23</f>
        <v>Betonbuis 500 mm</v>
      </c>
      <c r="D231" s="93">
        <f>Optimalisatie!R23</f>
        <v>78.719999999999985</v>
      </c>
      <c r="E231" s="60">
        <f>_xlfn.IFNA(IF(Optimalisatie!E23="Categorie_1_LCA_Producten",VLOOKUP(Optimalisatie!F23,Categorie_1_Producten[#All],6,FALSE),VLOOKUP(Optimalisatie!F23&amp;", "&amp;"Totaal",Database_Productkaarten[#All],64,FALSE)),Referentie_Materiaal_Totaal[[#This Row],[% Secundair]])</f>
        <v>0</v>
      </c>
      <c r="F231" s="94">
        <f>Inschrijf_Materiaal_Totaal[[#This Row],[Hoeveelheid '[ton']]]*(1-Inschrijf_Materiaal_Totaal[[#This Row],[% Secundair]])</f>
        <v>78.719999999999985</v>
      </c>
      <c r="G231" s="94">
        <f>Inschrijf_Materiaal_Totaal[[#This Row],[Hoeveelheid '[ton']]]*Inschrijf_Materiaal_Totaal[[#This Row],[% Secundair]]</f>
        <v>0</v>
      </c>
      <c r="H231" s="128">
        <f>Optimalisatie!R23*Optimalisatie!T23</f>
        <v>0</v>
      </c>
      <c r="I231" s="128">
        <f>Inschrijf_Materiaal_Totaal[[#This Row],[Hoeveelheid Vervangingen '[ton']]]*(1-Inschrijf_Materiaal_Totaal[[#This Row],[% Secundair]])</f>
        <v>0</v>
      </c>
      <c r="J231" s="128">
        <f>Inschrijf_Materiaal_Totaal[[#This Row],[Primair materiaalverbruik Vervangingen]]*Inschrijf_Materiaal_Totaal[[#This Row],[% Secundair]]</f>
        <v>0</v>
      </c>
      <c r="K231" s="128">
        <f>Inschrijf_Materiaal_Totaal[[#This Row],[Primair materiaalverbruik]]+Inschrijf_Materiaal_Totaal[[#This Row],[Primair materiaalverbruik Vervangingen]]</f>
        <v>78.719999999999985</v>
      </c>
      <c r="L231" s="128">
        <f>Inschrijf_Materiaal_Totaal[[#This Row],[Secundair Materiaalverbruik]]+Inschrijf_Materiaal_Totaal[[#This Row],[Secundair Materiaalverbruik Vervangingen]]</f>
        <v>0</v>
      </c>
      <c r="M231" s="128">
        <f>Inschrijf_Materiaal_Totaal[[#This Row],[Totaal Primair Materieelgebruik]]+Inschrijf_Materiaal_Totaal[[#This Row],[Totaal Secundair Materieelgebruik]]</f>
        <v>78.719999999999985</v>
      </c>
    </row>
    <row r="232" spans="2:13">
      <c r="B232" s="209" t="str">
        <f>Optimalisatie!B24</f>
        <v>322070 - Leveren en aanbrengen rioolbuis van Beton IT Ø400mm</v>
      </c>
      <c r="C232" s="51" t="str">
        <f>Optimalisatie!F24</f>
        <v>Betonbuis 500 mm</v>
      </c>
      <c r="D232" s="93">
        <f>Optimalisatie!R24</f>
        <v>62.319999999999993</v>
      </c>
      <c r="E232" s="60">
        <f>_xlfn.IFNA(IF(Optimalisatie!E24="Categorie_1_LCA_Producten",VLOOKUP(Optimalisatie!F24,Categorie_1_Producten[#All],6,FALSE),VLOOKUP(Optimalisatie!F24&amp;", "&amp;"Totaal",Database_Productkaarten[#All],64,FALSE)),Referentie_Materiaal_Totaal[[#This Row],[% Secundair]])</f>
        <v>0</v>
      </c>
      <c r="F232" s="94">
        <f>Inschrijf_Materiaal_Totaal[[#This Row],[Hoeveelheid '[ton']]]*(1-Inschrijf_Materiaal_Totaal[[#This Row],[% Secundair]])</f>
        <v>62.319999999999993</v>
      </c>
      <c r="G232" s="94">
        <f>Inschrijf_Materiaal_Totaal[[#This Row],[Hoeveelheid '[ton']]]*Inschrijf_Materiaal_Totaal[[#This Row],[% Secundair]]</f>
        <v>0</v>
      </c>
      <c r="H232" s="128">
        <f>Optimalisatie!R24*Optimalisatie!T24</f>
        <v>0</v>
      </c>
      <c r="I232" s="128">
        <f>Inschrijf_Materiaal_Totaal[[#This Row],[Hoeveelheid Vervangingen '[ton']]]*(1-Inschrijf_Materiaal_Totaal[[#This Row],[% Secundair]])</f>
        <v>0</v>
      </c>
      <c r="J232" s="128">
        <f>Inschrijf_Materiaal_Totaal[[#This Row],[Primair materiaalverbruik Vervangingen]]*Inschrijf_Materiaal_Totaal[[#This Row],[% Secundair]]</f>
        <v>0</v>
      </c>
      <c r="K232" s="128">
        <f>Inschrijf_Materiaal_Totaal[[#This Row],[Primair materiaalverbruik]]+Inschrijf_Materiaal_Totaal[[#This Row],[Primair materiaalverbruik Vervangingen]]</f>
        <v>62.319999999999993</v>
      </c>
      <c r="L232" s="128">
        <f>Inschrijf_Materiaal_Totaal[[#This Row],[Secundair Materiaalverbruik]]+Inschrijf_Materiaal_Totaal[[#This Row],[Secundair Materiaalverbruik Vervangingen]]</f>
        <v>0</v>
      </c>
      <c r="M232" s="128">
        <f>Inschrijf_Materiaal_Totaal[[#This Row],[Totaal Primair Materieelgebruik]]+Inschrijf_Materiaal_Totaal[[#This Row],[Totaal Secundair Materieelgebruik]]</f>
        <v>62.319999999999993</v>
      </c>
    </row>
    <row r="233" spans="2:13">
      <c r="B233" s="209" t="str">
        <f>Optimalisatie!B25</f>
        <v>322100 - Leveren en aanbrengen rioolbuis van Beton IT Ø800mm</v>
      </c>
      <c r="C233" s="51" t="str">
        <f>Optimalisatie!F25</f>
        <v>Betonbuis 800 mm</v>
      </c>
      <c r="D233" s="93">
        <f>Optimalisatie!R25</f>
        <v>600.91999999999996</v>
      </c>
      <c r="E233" s="60">
        <f>_xlfn.IFNA(IF(Optimalisatie!E25="Categorie_1_LCA_Producten",VLOOKUP(Optimalisatie!F25,Categorie_1_Producten[#All],6,FALSE),VLOOKUP(Optimalisatie!F25&amp;", "&amp;"Totaal",Database_Productkaarten[#All],64,FALSE)),Referentie_Materiaal_Totaal[[#This Row],[% Secundair]])</f>
        <v>0</v>
      </c>
      <c r="F233" s="94">
        <f>Inschrijf_Materiaal_Totaal[[#This Row],[Hoeveelheid '[ton']]]*(1-Inschrijf_Materiaal_Totaal[[#This Row],[% Secundair]])</f>
        <v>600.91999999999996</v>
      </c>
      <c r="G233" s="94">
        <f>Inschrijf_Materiaal_Totaal[[#This Row],[Hoeveelheid '[ton']]]*Inschrijf_Materiaal_Totaal[[#This Row],[% Secundair]]</f>
        <v>0</v>
      </c>
      <c r="H233" s="128">
        <f>Optimalisatie!R25*Optimalisatie!T25</f>
        <v>0</v>
      </c>
      <c r="I233" s="128">
        <f>Inschrijf_Materiaal_Totaal[[#This Row],[Hoeveelheid Vervangingen '[ton']]]*(1-Inschrijf_Materiaal_Totaal[[#This Row],[% Secundair]])</f>
        <v>0</v>
      </c>
      <c r="J233" s="128">
        <f>Inschrijf_Materiaal_Totaal[[#This Row],[Primair materiaalverbruik Vervangingen]]*Inschrijf_Materiaal_Totaal[[#This Row],[% Secundair]]</f>
        <v>0</v>
      </c>
      <c r="K233" s="128">
        <f>Inschrijf_Materiaal_Totaal[[#This Row],[Primair materiaalverbruik]]+Inschrijf_Materiaal_Totaal[[#This Row],[Primair materiaalverbruik Vervangingen]]</f>
        <v>600.91999999999996</v>
      </c>
      <c r="L233" s="128">
        <f>Inschrijf_Materiaal_Totaal[[#This Row],[Secundair Materiaalverbruik]]+Inschrijf_Materiaal_Totaal[[#This Row],[Secundair Materiaalverbruik Vervangingen]]</f>
        <v>0</v>
      </c>
      <c r="M233" s="128">
        <f>Inschrijf_Materiaal_Totaal[[#This Row],[Totaal Primair Materieelgebruik]]+Inschrijf_Materiaal_Totaal[[#This Row],[Totaal Secundair Materieelgebruik]]</f>
        <v>600.91999999999996</v>
      </c>
    </row>
    <row r="234" spans="2:13">
      <c r="B234" s="209" t="str">
        <f>Optimalisatie!B26</f>
        <v>330010 - Leveren en aanbrengen kolken</v>
      </c>
      <c r="C234" s="51" t="str">
        <f>Optimalisatie!F26</f>
        <v>Kolk, Staal &amp; Beton</v>
      </c>
      <c r="D234" s="93">
        <f>Optimalisatie!R26</f>
        <v>40.973680000000002</v>
      </c>
      <c r="E234" s="60">
        <f>_xlfn.IFNA(IF(Optimalisatie!E26="Categorie_1_LCA_Producten",VLOOKUP(Optimalisatie!F26,Categorie_1_Producten[#All],6,FALSE),VLOOKUP(Optimalisatie!F26&amp;", "&amp;"Totaal",Database_Productkaarten[#All],64,FALSE)),Referentie_Materiaal_Totaal[[#This Row],[% Secundair]])</f>
        <v>0</v>
      </c>
      <c r="F234" s="94">
        <f>Inschrijf_Materiaal_Totaal[[#This Row],[Hoeveelheid '[ton']]]*(1-Inschrijf_Materiaal_Totaal[[#This Row],[% Secundair]])</f>
        <v>40.973680000000002</v>
      </c>
      <c r="G234" s="94">
        <f>Inschrijf_Materiaal_Totaal[[#This Row],[Hoeveelheid '[ton']]]*Inschrijf_Materiaal_Totaal[[#This Row],[% Secundair]]</f>
        <v>0</v>
      </c>
      <c r="H234" s="128">
        <f>Optimalisatie!R26*Optimalisatie!T26</f>
        <v>0</v>
      </c>
      <c r="I234" s="128">
        <f>Inschrijf_Materiaal_Totaal[[#This Row],[Hoeveelheid Vervangingen '[ton']]]*(1-Inschrijf_Materiaal_Totaal[[#This Row],[% Secundair]])</f>
        <v>0</v>
      </c>
      <c r="J234" s="128">
        <f>Inschrijf_Materiaal_Totaal[[#This Row],[Primair materiaalverbruik Vervangingen]]*Inschrijf_Materiaal_Totaal[[#This Row],[% Secundair]]</f>
        <v>0</v>
      </c>
      <c r="K234" s="128">
        <f>Inschrijf_Materiaal_Totaal[[#This Row],[Primair materiaalverbruik]]+Inschrijf_Materiaal_Totaal[[#This Row],[Primair materiaalverbruik Vervangingen]]</f>
        <v>40.973680000000002</v>
      </c>
      <c r="L234" s="128">
        <f>Inschrijf_Materiaal_Totaal[[#This Row],[Secundair Materiaalverbruik]]+Inschrijf_Materiaal_Totaal[[#This Row],[Secundair Materiaalverbruik Vervangingen]]</f>
        <v>0</v>
      </c>
      <c r="M234" s="128">
        <f>Inschrijf_Materiaal_Totaal[[#This Row],[Totaal Primair Materieelgebruik]]+Inschrijf_Materiaal_Totaal[[#This Row],[Totaal Secundair Materieelgebruik]]</f>
        <v>40.973680000000002</v>
      </c>
    </row>
    <row r="235" spans="2:13">
      <c r="B235" s="209" t="str">
        <f>Optimalisatie!B27</f>
        <v>420010 - Leveren en aanbrengen fundering menggranulaat, (250mm dik)</v>
      </c>
      <c r="C235" s="51" t="str">
        <f>Optimalisatie!F27</f>
        <v>Menggranulaat 250mm</v>
      </c>
      <c r="D235" s="93">
        <f>Optimalisatie!R27</f>
        <v>11895</v>
      </c>
      <c r="E235" s="60">
        <f>_xlfn.IFNA(IF(Optimalisatie!E27="Categorie_1_LCA_Producten",VLOOKUP(Optimalisatie!F27,Categorie_1_Producten[#All],6,FALSE),VLOOKUP(Optimalisatie!F27&amp;", "&amp;"Totaal",Database_Productkaarten[#All],64,FALSE)),Referentie_Materiaal_Totaal[[#This Row],[% Secundair]])</f>
        <v>1</v>
      </c>
      <c r="F235" s="94">
        <f>Inschrijf_Materiaal_Totaal[[#This Row],[Hoeveelheid '[ton']]]*(1-Inschrijf_Materiaal_Totaal[[#This Row],[% Secundair]])</f>
        <v>0</v>
      </c>
      <c r="G235" s="94">
        <f>Inschrijf_Materiaal_Totaal[[#This Row],[Hoeveelheid '[ton']]]*Inschrijf_Materiaal_Totaal[[#This Row],[% Secundair]]</f>
        <v>11895</v>
      </c>
      <c r="H235" s="128">
        <f>Optimalisatie!R27*Optimalisatie!T27</f>
        <v>0</v>
      </c>
      <c r="I235" s="128">
        <f>Inschrijf_Materiaal_Totaal[[#This Row],[Hoeveelheid Vervangingen '[ton']]]*(1-Inschrijf_Materiaal_Totaal[[#This Row],[% Secundair]])</f>
        <v>0</v>
      </c>
      <c r="J235" s="128">
        <f>Inschrijf_Materiaal_Totaal[[#This Row],[Primair materiaalverbruik Vervangingen]]*Inschrijf_Materiaal_Totaal[[#This Row],[% Secundair]]</f>
        <v>0</v>
      </c>
      <c r="K235" s="128">
        <f>Inschrijf_Materiaal_Totaal[[#This Row],[Primair materiaalverbruik]]+Inschrijf_Materiaal_Totaal[[#This Row],[Primair materiaalverbruik Vervangingen]]</f>
        <v>0</v>
      </c>
      <c r="L235" s="128">
        <f>Inschrijf_Materiaal_Totaal[[#This Row],[Secundair Materiaalverbruik]]+Inschrijf_Materiaal_Totaal[[#This Row],[Secundair Materiaalverbruik Vervangingen]]</f>
        <v>11895</v>
      </c>
      <c r="M235" s="128">
        <f>Inschrijf_Materiaal_Totaal[[#This Row],[Totaal Primair Materieelgebruik]]+Inschrijf_Materiaal_Totaal[[#This Row],[Totaal Secundair Materieelgebruik]]</f>
        <v>11895</v>
      </c>
    </row>
    <row r="236" spans="2:13">
      <c r="B236" s="209" t="str">
        <f>Optimalisatie!B28</f>
        <v>430010 - Leveren en aanbrengen trottoirbanden 180/200x250</v>
      </c>
      <c r="C236" s="51" t="str">
        <f>Optimalisatie!F28</f>
        <v>Trottoirband 180/200x250</v>
      </c>
      <c r="D236" s="93">
        <f>Optimalisatie!R28</f>
        <v>11.942500000000001</v>
      </c>
      <c r="E236" s="60">
        <f>_xlfn.IFNA(IF(Optimalisatie!E28="Categorie_1_LCA_Producten",VLOOKUP(Optimalisatie!F28,Categorie_1_Producten[#All],6,FALSE),VLOOKUP(Optimalisatie!F28&amp;", "&amp;"Totaal",Database_Productkaarten[#All],64,FALSE)),Referentie_Materiaal_Totaal[[#This Row],[% Secundair]])</f>
        <v>0.11150652431791222</v>
      </c>
      <c r="F236" s="94">
        <f>Inschrijf_Materiaal_Totaal[[#This Row],[Hoeveelheid '[ton']]]*(1-Inschrijf_Materiaal_Totaal[[#This Row],[% Secundair]])</f>
        <v>10.610833333333334</v>
      </c>
      <c r="G236" s="94">
        <f>Inschrijf_Materiaal_Totaal[[#This Row],[Hoeveelheid '[ton']]]*Inschrijf_Materiaal_Totaal[[#This Row],[% Secundair]]</f>
        <v>1.3316666666666668</v>
      </c>
      <c r="H236" s="128">
        <f>Optimalisatie!R28*Optimalisatie!T28</f>
        <v>0</v>
      </c>
      <c r="I236" s="128">
        <f>Inschrijf_Materiaal_Totaal[[#This Row],[Hoeveelheid Vervangingen '[ton']]]*(1-Inschrijf_Materiaal_Totaal[[#This Row],[% Secundair]])</f>
        <v>0</v>
      </c>
      <c r="J236" s="128">
        <f>Inschrijf_Materiaal_Totaal[[#This Row],[Primair materiaalverbruik Vervangingen]]*Inschrijf_Materiaal_Totaal[[#This Row],[% Secundair]]</f>
        <v>0</v>
      </c>
      <c r="K236" s="128">
        <f>Inschrijf_Materiaal_Totaal[[#This Row],[Primair materiaalverbruik]]+Inschrijf_Materiaal_Totaal[[#This Row],[Primair materiaalverbruik Vervangingen]]</f>
        <v>10.610833333333334</v>
      </c>
      <c r="L236" s="128">
        <f>Inschrijf_Materiaal_Totaal[[#This Row],[Secundair Materiaalverbruik]]+Inschrijf_Materiaal_Totaal[[#This Row],[Secundair Materiaalverbruik Vervangingen]]</f>
        <v>1.3316666666666668</v>
      </c>
      <c r="M236" s="128">
        <f>Inschrijf_Materiaal_Totaal[[#This Row],[Totaal Primair Materieelgebruik]]+Inschrijf_Materiaal_Totaal[[#This Row],[Totaal Secundair Materieelgebruik]]</f>
        <v>11.942500000000001</v>
      </c>
    </row>
    <row r="237" spans="2:13">
      <c r="B237" s="209" t="str">
        <f>Optimalisatie!B29</f>
        <v>430020 - Leveren en aanbrengen trottoirbanden 130/150x250</v>
      </c>
      <c r="C237" s="51" t="str">
        <f>Optimalisatie!F29</f>
        <v>Trottoirband 130/150x250</v>
      </c>
      <c r="D237" s="93">
        <f>Optimalisatie!R29</f>
        <v>19.388999999999999</v>
      </c>
      <c r="E237" s="60">
        <f>_xlfn.IFNA(IF(Optimalisatie!E29="Categorie_1_LCA_Producten",VLOOKUP(Optimalisatie!F29,Categorie_1_Producten[#All],6,FALSE),VLOOKUP(Optimalisatie!F29&amp;", "&amp;"Totaal",Database_Productkaarten[#All],64,FALSE)),Referentie_Materiaal_Totaal[[#This Row],[% Secundair]])</f>
        <v>0.11150652431791222</v>
      </c>
      <c r="F237" s="94">
        <f>Inschrijf_Materiaal_Totaal[[#This Row],[Hoeveelheid '[ton']]]*(1-Inschrijf_Materiaal_Totaal[[#This Row],[% Secundair]])</f>
        <v>17.227</v>
      </c>
      <c r="G237" s="94">
        <f>Inschrijf_Materiaal_Totaal[[#This Row],[Hoeveelheid '[ton']]]*Inschrijf_Materiaal_Totaal[[#This Row],[% Secundair]]</f>
        <v>2.1619999999999999</v>
      </c>
      <c r="H237" s="128">
        <f>Optimalisatie!R29*Optimalisatie!T29</f>
        <v>0</v>
      </c>
      <c r="I237" s="128">
        <f>Inschrijf_Materiaal_Totaal[[#This Row],[Hoeveelheid Vervangingen '[ton']]]*(1-Inschrijf_Materiaal_Totaal[[#This Row],[% Secundair]])</f>
        <v>0</v>
      </c>
      <c r="J237" s="128">
        <f>Inschrijf_Materiaal_Totaal[[#This Row],[Primair materiaalverbruik Vervangingen]]*Inschrijf_Materiaal_Totaal[[#This Row],[% Secundair]]</f>
        <v>0</v>
      </c>
      <c r="K237" s="128">
        <f>Inschrijf_Materiaal_Totaal[[#This Row],[Primair materiaalverbruik]]+Inschrijf_Materiaal_Totaal[[#This Row],[Primair materiaalverbruik Vervangingen]]</f>
        <v>17.227</v>
      </c>
      <c r="L237" s="128">
        <f>Inschrijf_Materiaal_Totaal[[#This Row],[Secundair Materiaalverbruik]]+Inschrijf_Materiaal_Totaal[[#This Row],[Secundair Materiaalverbruik Vervangingen]]</f>
        <v>2.1619999999999999</v>
      </c>
      <c r="M237" s="128">
        <f>Inschrijf_Materiaal_Totaal[[#This Row],[Totaal Primair Materieelgebruik]]+Inschrijf_Materiaal_Totaal[[#This Row],[Totaal Secundair Materieelgebruik]]</f>
        <v>19.388999999999999</v>
      </c>
    </row>
    <row r="238" spans="2:13">
      <c r="B238" s="209" t="str">
        <f>Optimalisatie!B30</f>
        <v>430040 - Leveren en aanbrengen opsluitbanden 100x200</v>
      </c>
      <c r="C238" s="51" t="str">
        <f>Optimalisatie!F30</f>
        <v>Opsluitband 100x200</v>
      </c>
      <c r="D238" s="93">
        <f>Optimalisatie!R30</f>
        <v>68.022499999999994</v>
      </c>
      <c r="E238" s="60">
        <f>_xlfn.IFNA(IF(Optimalisatie!E30="Categorie_1_LCA_Producten",VLOOKUP(Optimalisatie!F30,Categorie_1_Producten[#All],6,FALSE),VLOOKUP(Optimalisatie!F30&amp;", "&amp;"Totaal",Database_Productkaarten[#All],64,FALSE)),Referentie_Materiaal_Totaal[[#This Row],[% Secundair]])</f>
        <v>0</v>
      </c>
      <c r="F238" s="94">
        <f>Inschrijf_Materiaal_Totaal[[#This Row],[Hoeveelheid '[ton']]]*(1-Inschrijf_Materiaal_Totaal[[#This Row],[% Secundair]])</f>
        <v>68.022499999999994</v>
      </c>
      <c r="G238" s="94">
        <f>Inschrijf_Materiaal_Totaal[[#This Row],[Hoeveelheid '[ton']]]*Inschrijf_Materiaal_Totaal[[#This Row],[% Secundair]]</f>
        <v>0</v>
      </c>
      <c r="H238" s="128">
        <f>Optimalisatie!R30*Optimalisatie!T30</f>
        <v>0</v>
      </c>
      <c r="I238" s="128">
        <f>Inschrijf_Materiaal_Totaal[[#This Row],[Hoeveelheid Vervangingen '[ton']]]*(1-Inschrijf_Materiaal_Totaal[[#This Row],[% Secundair]])</f>
        <v>0</v>
      </c>
      <c r="J238" s="128">
        <f>Inschrijf_Materiaal_Totaal[[#This Row],[Primair materiaalverbruik Vervangingen]]*Inschrijf_Materiaal_Totaal[[#This Row],[% Secundair]]</f>
        <v>0</v>
      </c>
      <c r="K238" s="128">
        <f>Inschrijf_Materiaal_Totaal[[#This Row],[Primair materiaalverbruik]]+Inschrijf_Materiaal_Totaal[[#This Row],[Primair materiaalverbruik Vervangingen]]</f>
        <v>68.022499999999994</v>
      </c>
      <c r="L238" s="128">
        <f>Inschrijf_Materiaal_Totaal[[#This Row],[Secundair Materiaalverbruik]]+Inschrijf_Materiaal_Totaal[[#This Row],[Secundair Materiaalverbruik Vervangingen]]</f>
        <v>0</v>
      </c>
      <c r="M238" s="128">
        <f>Inschrijf_Materiaal_Totaal[[#This Row],[Totaal Primair Materieelgebruik]]+Inschrijf_Materiaal_Totaal[[#This Row],[Totaal Secundair Materieelgebruik]]</f>
        <v>68.022499999999994</v>
      </c>
    </row>
    <row r="239" spans="2:13">
      <c r="B239" s="209" t="str">
        <f>Optimalisatie!B31</f>
        <v>430050 - Leveren en aanbrengen opsluitbanden 120x250</v>
      </c>
      <c r="C239" s="51" t="str">
        <f>Optimalisatie!F31</f>
        <v>Opsluitband 150x250</v>
      </c>
      <c r="D239" s="93">
        <f>Optimalisatie!R31</f>
        <v>119.43750000000001</v>
      </c>
      <c r="E239" s="60">
        <f>_xlfn.IFNA(IF(Optimalisatie!E31="Categorie_1_LCA_Producten",VLOOKUP(Optimalisatie!F31,Categorie_1_Producten[#All],6,FALSE),VLOOKUP(Optimalisatie!F31&amp;", "&amp;"Totaal",Database_Productkaarten[#All],64,FALSE)),Referentie_Materiaal_Totaal[[#This Row],[% Secundair]])</f>
        <v>0</v>
      </c>
      <c r="F239" s="94">
        <f>Inschrijf_Materiaal_Totaal[[#This Row],[Hoeveelheid '[ton']]]*(1-Inschrijf_Materiaal_Totaal[[#This Row],[% Secundair]])</f>
        <v>119.43750000000001</v>
      </c>
      <c r="G239" s="94">
        <f>Inschrijf_Materiaal_Totaal[[#This Row],[Hoeveelheid '[ton']]]*Inschrijf_Materiaal_Totaal[[#This Row],[% Secundair]]</f>
        <v>0</v>
      </c>
      <c r="H239" s="128">
        <f>Optimalisatie!R31*Optimalisatie!T31</f>
        <v>0</v>
      </c>
      <c r="I239" s="128">
        <f>Inschrijf_Materiaal_Totaal[[#This Row],[Hoeveelheid Vervangingen '[ton']]]*(1-Inschrijf_Materiaal_Totaal[[#This Row],[% Secundair]])</f>
        <v>0</v>
      </c>
      <c r="J239" s="128">
        <f>Inschrijf_Materiaal_Totaal[[#This Row],[Primair materiaalverbruik Vervangingen]]*Inschrijf_Materiaal_Totaal[[#This Row],[% Secundair]]</f>
        <v>0</v>
      </c>
      <c r="K239" s="128">
        <f>Inschrijf_Materiaal_Totaal[[#This Row],[Primair materiaalverbruik]]+Inschrijf_Materiaal_Totaal[[#This Row],[Primair materiaalverbruik Vervangingen]]</f>
        <v>119.43750000000001</v>
      </c>
      <c r="L239" s="128">
        <f>Inschrijf_Materiaal_Totaal[[#This Row],[Secundair Materiaalverbruik]]+Inschrijf_Materiaal_Totaal[[#This Row],[Secundair Materiaalverbruik Vervangingen]]</f>
        <v>0</v>
      </c>
      <c r="M239" s="128">
        <f>Inschrijf_Materiaal_Totaal[[#This Row],[Totaal Primair Materieelgebruik]]+Inschrijf_Materiaal_Totaal[[#This Row],[Totaal Secundair Materieelgebruik]]</f>
        <v>119.43750000000001</v>
      </c>
    </row>
    <row r="240" spans="2:13">
      <c r="B240" s="209" t="str">
        <f>Optimalisatie!B32</f>
        <v>440010 - Aanbrengen straatbakstenen DF, Rood (rijweg)</v>
      </c>
      <c r="C240" s="51" t="str">
        <f>Optimalisatie!F32</f>
        <v>Baksteen</v>
      </c>
      <c r="D240" s="93">
        <f>Optimalisatie!R32</f>
        <v>454.21249999999998</v>
      </c>
      <c r="E240" s="60">
        <f>_xlfn.IFNA(IF(Optimalisatie!E32="Categorie_1_LCA_Producten",VLOOKUP(Optimalisatie!F32,Categorie_1_Producten[#All],6,FALSE),VLOOKUP(Optimalisatie!F32&amp;", "&amp;"Totaal",Database_Productkaarten[#All],64,FALSE)),Referentie_Materiaal_Totaal[[#This Row],[% Secundair]])</f>
        <v>0</v>
      </c>
      <c r="F240" s="94">
        <f>Inschrijf_Materiaal_Totaal[[#This Row],[Hoeveelheid '[ton']]]*(1-Inschrijf_Materiaal_Totaal[[#This Row],[% Secundair]])</f>
        <v>454.21249999999998</v>
      </c>
      <c r="G240" s="94">
        <f>Inschrijf_Materiaal_Totaal[[#This Row],[Hoeveelheid '[ton']]]*Inschrijf_Materiaal_Totaal[[#This Row],[% Secundair]]</f>
        <v>0</v>
      </c>
      <c r="H240" s="128">
        <f>Optimalisatie!R32*Optimalisatie!T32</f>
        <v>0</v>
      </c>
      <c r="I240" s="128">
        <f>Inschrijf_Materiaal_Totaal[[#This Row],[Hoeveelheid Vervangingen '[ton']]]*(1-Inschrijf_Materiaal_Totaal[[#This Row],[% Secundair]])</f>
        <v>0</v>
      </c>
      <c r="J240" s="128">
        <f>Inschrijf_Materiaal_Totaal[[#This Row],[Primair materiaalverbruik Vervangingen]]*Inschrijf_Materiaal_Totaal[[#This Row],[% Secundair]]</f>
        <v>0</v>
      </c>
      <c r="K240" s="128">
        <f>Inschrijf_Materiaal_Totaal[[#This Row],[Primair materiaalverbruik]]+Inschrijf_Materiaal_Totaal[[#This Row],[Primair materiaalverbruik Vervangingen]]</f>
        <v>454.21249999999998</v>
      </c>
      <c r="L240" s="128">
        <f>Inschrijf_Materiaal_Totaal[[#This Row],[Secundair Materiaalverbruik]]+Inschrijf_Materiaal_Totaal[[#This Row],[Secundair Materiaalverbruik Vervangingen]]</f>
        <v>0</v>
      </c>
      <c r="M240" s="128">
        <f>Inschrijf_Materiaal_Totaal[[#This Row],[Totaal Primair Materieelgebruik]]+Inschrijf_Materiaal_Totaal[[#This Row],[Totaal Secundair Materieelgebruik]]</f>
        <v>454.21249999999998</v>
      </c>
    </row>
    <row r="241" spans="2:13">
      <c r="B241" s="209" t="str">
        <f>Optimalisatie!B33</f>
        <v>440020 - Aanbrengen straatbakstenen DF, Geel (rijweg/ plein)</v>
      </c>
      <c r="C241" s="51" t="str">
        <f>Optimalisatie!F33</f>
        <v>Baksteen</v>
      </c>
      <c r="D241" s="93">
        <f>Optimalisatie!R33</f>
        <v>672.4375</v>
      </c>
      <c r="E241" s="60">
        <f>_xlfn.IFNA(IF(Optimalisatie!E33="Categorie_1_LCA_Producten",VLOOKUP(Optimalisatie!F33,Categorie_1_Producten[#All],6,FALSE),VLOOKUP(Optimalisatie!F33&amp;", "&amp;"Totaal",Database_Productkaarten[#All],64,FALSE)),Referentie_Materiaal_Totaal[[#This Row],[% Secundair]])</f>
        <v>0</v>
      </c>
      <c r="F241" s="94">
        <f>Inschrijf_Materiaal_Totaal[[#This Row],[Hoeveelheid '[ton']]]*(1-Inschrijf_Materiaal_Totaal[[#This Row],[% Secundair]])</f>
        <v>672.4375</v>
      </c>
      <c r="G241" s="94">
        <f>Inschrijf_Materiaal_Totaal[[#This Row],[Hoeveelheid '[ton']]]*Inschrijf_Materiaal_Totaal[[#This Row],[% Secundair]]</f>
        <v>0</v>
      </c>
      <c r="H241" s="128">
        <f>Optimalisatie!R33*Optimalisatie!T33</f>
        <v>0</v>
      </c>
      <c r="I241" s="128">
        <f>Inschrijf_Materiaal_Totaal[[#This Row],[Hoeveelheid Vervangingen '[ton']]]*(1-Inschrijf_Materiaal_Totaal[[#This Row],[% Secundair]])</f>
        <v>0</v>
      </c>
      <c r="J241" s="128">
        <f>Inschrijf_Materiaal_Totaal[[#This Row],[Primair materiaalverbruik Vervangingen]]*Inschrijf_Materiaal_Totaal[[#This Row],[% Secundair]]</f>
        <v>0</v>
      </c>
      <c r="K241" s="128">
        <f>Inschrijf_Materiaal_Totaal[[#This Row],[Primair materiaalverbruik]]+Inschrijf_Materiaal_Totaal[[#This Row],[Primair materiaalverbruik Vervangingen]]</f>
        <v>672.4375</v>
      </c>
      <c r="L241" s="128">
        <f>Inschrijf_Materiaal_Totaal[[#This Row],[Secundair Materiaalverbruik]]+Inschrijf_Materiaal_Totaal[[#This Row],[Secundair Materiaalverbruik Vervangingen]]</f>
        <v>0</v>
      </c>
      <c r="M241" s="128">
        <f>Inschrijf_Materiaal_Totaal[[#This Row],[Totaal Primair Materieelgebruik]]+Inschrijf_Materiaal_Totaal[[#This Row],[Totaal Secundair Materieelgebruik]]</f>
        <v>672.4375</v>
      </c>
    </row>
    <row r="242" spans="2:13">
      <c r="B242" s="209" t="str">
        <f>Optimalisatie!B34</f>
        <v>440030 - Aanbrengen straatbakstenen DF, Rood (parkeervakken)</v>
      </c>
      <c r="C242" s="51" t="str">
        <f>Optimalisatie!F34</f>
        <v>Baksteen</v>
      </c>
      <c r="D242" s="93">
        <f>Optimalisatie!R34</f>
        <v>45.3125</v>
      </c>
      <c r="E242" s="60">
        <f>_xlfn.IFNA(IF(Optimalisatie!E34="Categorie_1_LCA_Producten",VLOOKUP(Optimalisatie!F34,Categorie_1_Producten[#All],6,FALSE),VLOOKUP(Optimalisatie!F34&amp;", "&amp;"Totaal",Database_Productkaarten[#All],64,FALSE)),Referentie_Materiaal_Totaal[[#This Row],[% Secundair]])</f>
        <v>0</v>
      </c>
      <c r="F242" s="94">
        <f>Inschrijf_Materiaal_Totaal[[#This Row],[Hoeveelheid '[ton']]]*(1-Inschrijf_Materiaal_Totaal[[#This Row],[% Secundair]])</f>
        <v>45.3125</v>
      </c>
      <c r="G242" s="94">
        <f>Inschrijf_Materiaal_Totaal[[#This Row],[Hoeveelheid '[ton']]]*Inschrijf_Materiaal_Totaal[[#This Row],[% Secundair]]</f>
        <v>0</v>
      </c>
      <c r="H242" s="128">
        <f>Optimalisatie!R34*Optimalisatie!T34</f>
        <v>0</v>
      </c>
      <c r="I242" s="128">
        <f>Inschrijf_Materiaal_Totaal[[#This Row],[Hoeveelheid Vervangingen '[ton']]]*(1-Inschrijf_Materiaal_Totaal[[#This Row],[% Secundair]])</f>
        <v>0</v>
      </c>
      <c r="J242" s="128">
        <f>Inschrijf_Materiaal_Totaal[[#This Row],[Primair materiaalverbruik Vervangingen]]*Inschrijf_Materiaal_Totaal[[#This Row],[% Secundair]]</f>
        <v>0</v>
      </c>
      <c r="K242" s="128">
        <f>Inschrijf_Materiaal_Totaal[[#This Row],[Primair materiaalverbruik]]+Inschrijf_Materiaal_Totaal[[#This Row],[Primair materiaalverbruik Vervangingen]]</f>
        <v>45.3125</v>
      </c>
      <c r="L242" s="128">
        <f>Inschrijf_Materiaal_Totaal[[#This Row],[Secundair Materiaalverbruik]]+Inschrijf_Materiaal_Totaal[[#This Row],[Secundair Materiaalverbruik Vervangingen]]</f>
        <v>0</v>
      </c>
      <c r="M242" s="128">
        <f>Inschrijf_Materiaal_Totaal[[#This Row],[Totaal Primair Materieelgebruik]]+Inschrijf_Materiaal_Totaal[[#This Row],[Totaal Secundair Materieelgebruik]]</f>
        <v>45.3125</v>
      </c>
    </row>
    <row r="243" spans="2:13">
      <c r="B243" s="209" t="str">
        <f>Optimalisatie!B35</f>
        <v>440040 - Aanbrengen straatbakstenen DF, Geel (parkeervakken)</v>
      </c>
      <c r="C243" s="51" t="str">
        <f>Optimalisatie!F35</f>
        <v>Baksteen</v>
      </c>
      <c r="D243" s="93">
        <f>Optimalisatie!R35</f>
        <v>51.474999999999994</v>
      </c>
      <c r="E243" s="60">
        <f>_xlfn.IFNA(IF(Optimalisatie!E35="Categorie_1_LCA_Producten",VLOOKUP(Optimalisatie!F35,Categorie_1_Producten[#All],6,FALSE),VLOOKUP(Optimalisatie!F35&amp;", "&amp;"Totaal",Database_Productkaarten[#All],64,FALSE)),Referentie_Materiaal_Totaal[[#This Row],[% Secundair]])</f>
        <v>0</v>
      </c>
      <c r="F243" s="94">
        <f>Inschrijf_Materiaal_Totaal[[#This Row],[Hoeveelheid '[ton']]]*(1-Inschrijf_Materiaal_Totaal[[#This Row],[% Secundair]])</f>
        <v>51.474999999999994</v>
      </c>
      <c r="G243" s="94">
        <f>Inschrijf_Materiaal_Totaal[[#This Row],[Hoeveelheid '[ton']]]*Inschrijf_Materiaal_Totaal[[#This Row],[% Secundair]]</f>
        <v>0</v>
      </c>
      <c r="H243" s="128">
        <f>Optimalisatie!R35*Optimalisatie!T35</f>
        <v>0</v>
      </c>
      <c r="I243" s="128">
        <f>Inschrijf_Materiaal_Totaal[[#This Row],[Hoeveelheid Vervangingen '[ton']]]*(1-Inschrijf_Materiaal_Totaal[[#This Row],[% Secundair]])</f>
        <v>0</v>
      </c>
      <c r="J243" s="128">
        <f>Inschrijf_Materiaal_Totaal[[#This Row],[Primair materiaalverbruik Vervangingen]]*Inschrijf_Materiaal_Totaal[[#This Row],[% Secundair]]</f>
        <v>0</v>
      </c>
      <c r="K243" s="128">
        <f>Inschrijf_Materiaal_Totaal[[#This Row],[Primair materiaalverbruik]]+Inschrijf_Materiaal_Totaal[[#This Row],[Primair materiaalverbruik Vervangingen]]</f>
        <v>51.474999999999994</v>
      </c>
      <c r="L243" s="128">
        <f>Inschrijf_Materiaal_Totaal[[#This Row],[Secundair Materiaalverbruik]]+Inschrijf_Materiaal_Totaal[[#This Row],[Secundair Materiaalverbruik Vervangingen]]</f>
        <v>0</v>
      </c>
      <c r="M243" s="128">
        <f>Inschrijf_Materiaal_Totaal[[#This Row],[Totaal Primair Materieelgebruik]]+Inschrijf_Materiaal_Totaal[[#This Row],[Totaal Secundair Materieelgebruik]]</f>
        <v>51.474999999999994</v>
      </c>
    </row>
    <row r="244" spans="2:13">
      <c r="B244" s="209" t="str">
        <f>Optimalisatie!B36</f>
        <v>440050 - Leveren en aanbrengen open (grasbeton) verharding (parkeerplaats)</v>
      </c>
      <c r="C244" s="51" t="str">
        <f>Optimalisatie!F36</f>
        <v>Grasbetontegel CEM I 120 mm</v>
      </c>
      <c r="D244" s="93">
        <f>Optimalisatie!R36</f>
        <v>194.53049999999999</v>
      </c>
      <c r="E244" s="60">
        <f>_xlfn.IFNA(IF(Optimalisatie!E36="Categorie_1_LCA_Producten",VLOOKUP(Optimalisatie!F36,Categorie_1_Producten[#All],6,FALSE),VLOOKUP(Optimalisatie!F36&amp;", "&amp;"Totaal",Database_Productkaarten[#All],64,FALSE)),Referentie_Materiaal_Totaal[[#This Row],[% Secundair]])</f>
        <v>0</v>
      </c>
      <c r="F244" s="94">
        <f>Inschrijf_Materiaal_Totaal[[#This Row],[Hoeveelheid '[ton']]]*(1-Inschrijf_Materiaal_Totaal[[#This Row],[% Secundair]])</f>
        <v>194.53049999999999</v>
      </c>
      <c r="G244" s="94">
        <f>Inschrijf_Materiaal_Totaal[[#This Row],[Hoeveelheid '[ton']]]*Inschrijf_Materiaal_Totaal[[#This Row],[% Secundair]]</f>
        <v>0</v>
      </c>
      <c r="H244" s="128">
        <f>Optimalisatie!R36*Optimalisatie!T36</f>
        <v>0</v>
      </c>
      <c r="I244" s="128">
        <f>Inschrijf_Materiaal_Totaal[[#This Row],[Hoeveelheid Vervangingen '[ton']]]*(1-Inschrijf_Materiaal_Totaal[[#This Row],[% Secundair]])</f>
        <v>0</v>
      </c>
      <c r="J244" s="128">
        <f>Inschrijf_Materiaal_Totaal[[#This Row],[Primair materiaalverbruik Vervangingen]]*Inschrijf_Materiaal_Totaal[[#This Row],[% Secundair]]</f>
        <v>0</v>
      </c>
      <c r="K244" s="128">
        <f>Inschrijf_Materiaal_Totaal[[#This Row],[Primair materiaalverbruik]]+Inschrijf_Materiaal_Totaal[[#This Row],[Primair materiaalverbruik Vervangingen]]</f>
        <v>194.53049999999999</v>
      </c>
      <c r="L244" s="128">
        <f>Inschrijf_Materiaal_Totaal[[#This Row],[Secundair Materiaalverbruik]]+Inschrijf_Materiaal_Totaal[[#This Row],[Secundair Materiaalverbruik Vervangingen]]</f>
        <v>0</v>
      </c>
      <c r="M244" s="128">
        <f>Inschrijf_Materiaal_Totaal[[#This Row],[Totaal Primair Materieelgebruik]]+Inschrijf_Materiaal_Totaal[[#This Row],[Totaal Secundair Materieelgebruik]]</f>
        <v>194.53049999999999</v>
      </c>
    </row>
    <row r="245" spans="2:13">
      <c r="B245" s="209" t="str">
        <f>Optimalisatie!B37</f>
        <v>440060 - Aanbrengen straatbakstenen DF, Rood (trottoir)</v>
      </c>
      <c r="C245" s="51" t="str">
        <f>Optimalisatie!F37</f>
        <v>Baksteen</v>
      </c>
      <c r="D245" s="93">
        <f>Optimalisatie!R37</f>
        <v>318.27499999999998</v>
      </c>
      <c r="E245" s="60">
        <f>_xlfn.IFNA(IF(Optimalisatie!E37="Categorie_1_LCA_Producten",VLOOKUP(Optimalisatie!F37,Categorie_1_Producten[#All],6,FALSE),VLOOKUP(Optimalisatie!F37&amp;", "&amp;"Totaal",Database_Productkaarten[#All],64,FALSE)),Referentie_Materiaal_Totaal[[#This Row],[% Secundair]])</f>
        <v>0</v>
      </c>
      <c r="F245" s="94">
        <f>Inschrijf_Materiaal_Totaal[[#This Row],[Hoeveelheid '[ton']]]*(1-Inschrijf_Materiaal_Totaal[[#This Row],[% Secundair]])</f>
        <v>318.27499999999998</v>
      </c>
      <c r="G245" s="94">
        <f>Inschrijf_Materiaal_Totaal[[#This Row],[Hoeveelheid '[ton']]]*Inschrijf_Materiaal_Totaal[[#This Row],[% Secundair]]</f>
        <v>0</v>
      </c>
      <c r="H245" s="128">
        <f>Optimalisatie!R37*Optimalisatie!T37</f>
        <v>0</v>
      </c>
      <c r="I245" s="128">
        <f>Inschrijf_Materiaal_Totaal[[#This Row],[Hoeveelheid Vervangingen '[ton']]]*(1-Inschrijf_Materiaal_Totaal[[#This Row],[% Secundair]])</f>
        <v>0</v>
      </c>
      <c r="J245" s="128">
        <f>Inschrijf_Materiaal_Totaal[[#This Row],[Primair materiaalverbruik Vervangingen]]*Inschrijf_Materiaal_Totaal[[#This Row],[% Secundair]]</f>
        <v>0</v>
      </c>
      <c r="K245" s="128">
        <f>Inschrijf_Materiaal_Totaal[[#This Row],[Primair materiaalverbruik]]+Inschrijf_Materiaal_Totaal[[#This Row],[Primair materiaalverbruik Vervangingen]]</f>
        <v>318.27499999999998</v>
      </c>
      <c r="L245" s="128">
        <f>Inschrijf_Materiaal_Totaal[[#This Row],[Secundair Materiaalverbruik]]+Inschrijf_Materiaal_Totaal[[#This Row],[Secundair Materiaalverbruik Vervangingen]]</f>
        <v>0</v>
      </c>
      <c r="M245" s="128">
        <f>Inschrijf_Materiaal_Totaal[[#This Row],[Totaal Primair Materieelgebruik]]+Inschrijf_Materiaal_Totaal[[#This Row],[Totaal Secundair Materieelgebruik]]</f>
        <v>318.27499999999998</v>
      </c>
    </row>
    <row r="246" spans="2:13">
      <c r="B246" s="209" t="str">
        <f>Optimalisatie!B38</f>
        <v>440070 - Aanbrengen straatbakstenen DF, Geel (trottoir)</v>
      </c>
      <c r="C246" s="51" t="str">
        <f>Optimalisatie!F38</f>
        <v>Baksteen</v>
      </c>
      <c r="D246" s="93">
        <f>Optimalisatie!R38</f>
        <v>83.375</v>
      </c>
      <c r="E246" s="60">
        <f>_xlfn.IFNA(IF(Optimalisatie!E38="Categorie_1_LCA_Producten",VLOOKUP(Optimalisatie!F38,Categorie_1_Producten[#All],6,FALSE),VLOOKUP(Optimalisatie!F38&amp;", "&amp;"Totaal",Database_Productkaarten[#All],64,FALSE)),Referentie_Materiaal_Totaal[[#This Row],[% Secundair]])</f>
        <v>0</v>
      </c>
      <c r="F246" s="94">
        <f>Inschrijf_Materiaal_Totaal[[#This Row],[Hoeveelheid '[ton']]]*(1-Inschrijf_Materiaal_Totaal[[#This Row],[% Secundair]])</f>
        <v>83.375</v>
      </c>
      <c r="G246" s="94">
        <f>Inschrijf_Materiaal_Totaal[[#This Row],[Hoeveelheid '[ton']]]*Inschrijf_Materiaal_Totaal[[#This Row],[% Secundair]]</f>
        <v>0</v>
      </c>
      <c r="H246" s="128">
        <f>Optimalisatie!R38*Optimalisatie!T38</f>
        <v>0</v>
      </c>
      <c r="I246" s="128">
        <f>Inschrijf_Materiaal_Totaal[[#This Row],[Hoeveelheid Vervangingen '[ton']]]*(1-Inschrijf_Materiaal_Totaal[[#This Row],[% Secundair]])</f>
        <v>0</v>
      </c>
      <c r="J246" s="128">
        <f>Inschrijf_Materiaal_Totaal[[#This Row],[Primair materiaalverbruik Vervangingen]]*Inschrijf_Materiaal_Totaal[[#This Row],[% Secundair]]</f>
        <v>0</v>
      </c>
      <c r="K246" s="128">
        <f>Inschrijf_Materiaal_Totaal[[#This Row],[Primair materiaalverbruik]]+Inschrijf_Materiaal_Totaal[[#This Row],[Primair materiaalverbruik Vervangingen]]</f>
        <v>83.375</v>
      </c>
      <c r="L246" s="128">
        <f>Inschrijf_Materiaal_Totaal[[#This Row],[Secundair Materiaalverbruik]]+Inschrijf_Materiaal_Totaal[[#This Row],[Secundair Materiaalverbruik Vervangingen]]</f>
        <v>0</v>
      </c>
      <c r="M246" s="128">
        <f>Inschrijf_Materiaal_Totaal[[#This Row],[Totaal Primair Materieelgebruik]]+Inschrijf_Materiaal_Totaal[[#This Row],[Totaal Secundair Materieelgebruik]]</f>
        <v>83.375</v>
      </c>
    </row>
    <row r="247" spans="2:13">
      <c r="B247" s="209" t="str">
        <f>Optimalisatie!B39</f>
        <v>440090 - Aanbrengen straatbakstenen DF, Rood (drempelopgang)</v>
      </c>
      <c r="C247" s="51" t="str">
        <f>Optimalisatie!F39</f>
        <v>Baksteen</v>
      </c>
      <c r="D247" s="93">
        <f>Optimalisatie!R39</f>
        <v>16.3125</v>
      </c>
      <c r="E247" s="60">
        <f>_xlfn.IFNA(IF(Optimalisatie!E39="Categorie_1_LCA_Producten",VLOOKUP(Optimalisatie!F39,Categorie_1_Producten[#All],6,FALSE),VLOOKUP(Optimalisatie!F39&amp;", "&amp;"Totaal",Database_Productkaarten[#All],64,FALSE)),Referentie_Materiaal_Totaal[[#This Row],[% Secundair]])</f>
        <v>0</v>
      </c>
      <c r="F247" s="94">
        <f>Inschrijf_Materiaal_Totaal[[#This Row],[Hoeveelheid '[ton']]]*(1-Inschrijf_Materiaal_Totaal[[#This Row],[% Secundair]])</f>
        <v>16.3125</v>
      </c>
      <c r="G247" s="94">
        <f>Inschrijf_Materiaal_Totaal[[#This Row],[Hoeveelheid '[ton']]]*Inschrijf_Materiaal_Totaal[[#This Row],[% Secundair]]</f>
        <v>0</v>
      </c>
      <c r="H247" s="128">
        <f>Optimalisatie!R39*Optimalisatie!T39</f>
        <v>0</v>
      </c>
      <c r="I247" s="128">
        <f>Inschrijf_Materiaal_Totaal[[#This Row],[Hoeveelheid Vervangingen '[ton']]]*(1-Inschrijf_Materiaal_Totaal[[#This Row],[% Secundair]])</f>
        <v>0</v>
      </c>
      <c r="J247" s="128">
        <f>Inschrijf_Materiaal_Totaal[[#This Row],[Primair materiaalverbruik Vervangingen]]*Inschrijf_Materiaal_Totaal[[#This Row],[% Secundair]]</f>
        <v>0</v>
      </c>
      <c r="K247" s="128">
        <f>Inschrijf_Materiaal_Totaal[[#This Row],[Primair materiaalverbruik]]+Inschrijf_Materiaal_Totaal[[#This Row],[Primair materiaalverbruik Vervangingen]]</f>
        <v>16.3125</v>
      </c>
      <c r="L247" s="128">
        <f>Inschrijf_Materiaal_Totaal[[#This Row],[Secundair Materiaalverbruik]]+Inschrijf_Materiaal_Totaal[[#This Row],[Secundair Materiaalverbruik Vervangingen]]</f>
        <v>0</v>
      </c>
      <c r="M247" s="128">
        <f>Inschrijf_Materiaal_Totaal[[#This Row],[Totaal Primair Materieelgebruik]]+Inschrijf_Materiaal_Totaal[[#This Row],[Totaal Secundair Materieelgebruik]]</f>
        <v>16.3125</v>
      </c>
    </row>
    <row r="248" spans="2:13">
      <c r="B248" s="209">
        <f>Optimalisatie!B40</f>
        <v>0</v>
      </c>
      <c r="C248" s="51">
        <f>Optimalisatie!F40</f>
        <v>0</v>
      </c>
      <c r="D248" s="93">
        <f>Optimalisatie!R40</f>
        <v>0</v>
      </c>
      <c r="E248" s="60">
        <f>_xlfn.IFNA(IF(Optimalisatie!E40="Categorie_1_LCA_Producten",VLOOKUP(Optimalisatie!F40,Categorie_1_Producten[#All],6,FALSE),VLOOKUP(Optimalisatie!F40&amp;", "&amp;"Totaal",Database_Productkaarten[#All],64,FALSE)),Referentie_Materiaal_Totaal[[#This Row],[% Secundair]])</f>
        <v>0</v>
      </c>
      <c r="F248" s="94">
        <f>Inschrijf_Materiaal_Totaal[[#This Row],[Hoeveelheid '[ton']]]*(1-Inschrijf_Materiaal_Totaal[[#This Row],[% Secundair]])</f>
        <v>0</v>
      </c>
      <c r="G248" s="94">
        <f>Inschrijf_Materiaal_Totaal[[#This Row],[Hoeveelheid '[ton']]]*Inschrijf_Materiaal_Totaal[[#This Row],[% Secundair]]</f>
        <v>0</v>
      </c>
      <c r="H248" s="128">
        <f>Optimalisatie!R40*Optimalisatie!T40</f>
        <v>0</v>
      </c>
      <c r="I248" s="128">
        <f>Inschrijf_Materiaal_Totaal[[#This Row],[Hoeveelheid Vervangingen '[ton']]]*(1-Inschrijf_Materiaal_Totaal[[#This Row],[% Secundair]])</f>
        <v>0</v>
      </c>
      <c r="J248" s="128">
        <f>Inschrijf_Materiaal_Totaal[[#This Row],[Primair materiaalverbruik Vervangingen]]*Inschrijf_Materiaal_Totaal[[#This Row],[% Secundair]]</f>
        <v>0</v>
      </c>
      <c r="K248" s="128">
        <f>Inschrijf_Materiaal_Totaal[[#This Row],[Primair materiaalverbruik]]+Inschrijf_Materiaal_Totaal[[#This Row],[Primair materiaalverbruik Vervangingen]]</f>
        <v>0</v>
      </c>
      <c r="L248" s="128">
        <f>Inschrijf_Materiaal_Totaal[[#This Row],[Secundair Materiaalverbruik]]+Inschrijf_Materiaal_Totaal[[#This Row],[Secundair Materiaalverbruik Vervangingen]]</f>
        <v>0</v>
      </c>
      <c r="M248" s="128">
        <f>Inschrijf_Materiaal_Totaal[[#This Row],[Totaal Primair Materieelgebruik]]+Inschrijf_Materiaal_Totaal[[#This Row],[Totaal Secundair Materieelgebruik]]</f>
        <v>0</v>
      </c>
    </row>
    <row r="249" spans="2:13">
      <c r="B249" s="209">
        <f>Optimalisatie!B41</f>
        <v>0</v>
      </c>
      <c r="C249" s="51">
        <f>Optimalisatie!F41</f>
        <v>0</v>
      </c>
      <c r="D249" s="93">
        <f>Optimalisatie!R41</f>
        <v>0</v>
      </c>
      <c r="E249" s="60">
        <f>_xlfn.IFNA(IF(Optimalisatie!E41="Categorie_1_LCA_Producten",VLOOKUP(Optimalisatie!F41,Categorie_1_Producten[#All],6,FALSE),VLOOKUP(Optimalisatie!F41&amp;", "&amp;"Totaal",Database_Productkaarten[#All],64,FALSE)),Referentie_Materiaal_Totaal[[#This Row],[% Secundair]])</f>
        <v>0</v>
      </c>
      <c r="F249" s="94">
        <f>Inschrijf_Materiaal_Totaal[[#This Row],[Hoeveelheid '[ton']]]*(1-Inschrijf_Materiaal_Totaal[[#This Row],[% Secundair]])</f>
        <v>0</v>
      </c>
      <c r="G249" s="94">
        <f>Inschrijf_Materiaal_Totaal[[#This Row],[Hoeveelheid '[ton']]]*Inschrijf_Materiaal_Totaal[[#This Row],[% Secundair]]</f>
        <v>0</v>
      </c>
      <c r="H249" s="128">
        <f>Optimalisatie!R41*Optimalisatie!T41</f>
        <v>0</v>
      </c>
      <c r="I249" s="128">
        <f>Inschrijf_Materiaal_Totaal[[#This Row],[Hoeveelheid Vervangingen '[ton']]]*(1-Inschrijf_Materiaal_Totaal[[#This Row],[% Secundair]])</f>
        <v>0</v>
      </c>
      <c r="J249" s="128">
        <f>Inschrijf_Materiaal_Totaal[[#This Row],[Primair materiaalverbruik Vervangingen]]*Inschrijf_Materiaal_Totaal[[#This Row],[% Secundair]]</f>
        <v>0</v>
      </c>
      <c r="K249" s="128">
        <f>Inschrijf_Materiaal_Totaal[[#This Row],[Primair materiaalverbruik]]+Inschrijf_Materiaal_Totaal[[#This Row],[Primair materiaalverbruik Vervangingen]]</f>
        <v>0</v>
      </c>
      <c r="L249" s="128">
        <f>Inschrijf_Materiaal_Totaal[[#This Row],[Secundair Materiaalverbruik]]+Inschrijf_Materiaal_Totaal[[#This Row],[Secundair Materiaalverbruik Vervangingen]]</f>
        <v>0</v>
      </c>
      <c r="M249" s="128">
        <f>Inschrijf_Materiaal_Totaal[[#This Row],[Totaal Primair Materieelgebruik]]+Inschrijf_Materiaal_Totaal[[#This Row],[Totaal Secundair Materieelgebruik]]</f>
        <v>0</v>
      </c>
    </row>
    <row r="250" spans="2:13">
      <c r="B250" s="209">
        <f>Optimalisatie!B42</f>
        <v>0</v>
      </c>
      <c r="C250" s="51">
        <f>Optimalisatie!F42</f>
        <v>0</v>
      </c>
      <c r="D250" s="93">
        <f>Optimalisatie!R42</f>
        <v>0</v>
      </c>
      <c r="E250" s="60">
        <f>_xlfn.IFNA(IF(Optimalisatie!E42="Categorie_1_LCA_Producten",VLOOKUP(Optimalisatie!F42,Categorie_1_Producten[#All],6,FALSE),VLOOKUP(Optimalisatie!F42&amp;", "&amp;"Totaal",Database_Productkaarten[#All],64,FALSE)),Referentie_Materiaal_Totaal[[#This Row],[% Secundair]])</f>
        <v>0</v>
      </c>
      <c r="F250" s="94">
        <f>Inschrijf_Materiaal_Totaal[[#This Row],[Hoeveelheid '[ton']]]*(1-Inschrijf_Materiaal_Totaal[[#This Row],[% Secundair]])</f>
        <v>0</v>
      </c>
      <c r="G250" s="94">
        <f>Inschrijf_Materiaal_Totaal[[#This Row],[Hoeveelheid '[ton']]]*Inschrijf_Materiaal_Totaal[[#This Row],[% Secundair]]</f>
        <v>0</v>
      </c>
      <c r="H250" s="128">
        <f>Optimalisatie!R42*Optimalisatie!T42</f>
        <v>0</v>
      </c>
      <c r="I250" s="128">
        <f>Inschrijf_Materiaal_Totaal[[#This Row],[Hoeveelheid Vervangingen '[ton']]]*(1-Inschrijf_Materiaal_Totaal[[#This Row],[% Secundair]])</f>
        <v>0</v>
      </c>
      <c r="J250" s="128">
        <f>Inschrijf_Materiaal_Totaal[[#This Row],[Primair materiaalverbruik Vervangingen]]*Inschrijf_Materiaal_Totaal[[#This Row],[% Secundair]]</f>
        <v>0</v>
      </c>
      <c r="K250" s="128">
        <f>Inschrijf_Materiaal_Totaal[[#This Row],[Primair materiaalverbruik]]+Inschrijf_Materiaal_Totaal[[#This Row],[Primair materiaalverbruik Vervangingen]]</f>
        <v>0</v>
      </c>
      <c r="L250" s="128">
        <f>Inschrijf_Materiaal_Totaal[[#This Row],[Secundair Materiaalverbruik]]+Inschrijf_Materiaal_Totaal[[#This Row],[Secundair Materiaalverbruik Vervangingen]]</f>
        <v>0</v>
      </c>
      <c r="M250" s="128">
        <f>Inschrijf_Materiaal_Totaal[[#This Row],[Totaal Primair Materieelgebruik]]+Inschrijf_Materiaal_Totaal[[#This Row],[Totaal Secundair Materieelgebruik]]</f>
        <v>0</v>
      </c>
    </row>
    <row r="251" spans="2:13">
      <c r="B251" s="209">
        <f>Optimalisatie!B43</f>
        <v>0</v>
      </c>
      <c r="C251" s="51">
        <f>Optimalisatie!F43</f>
        <v>0</v>
      </c>
      <c r="D251" s="93">
        <f>Optimalisatie!R43</f>
        <v>0</v>
      </c>
      <c r="E251" s="60">
        <f>_xlfn.IFNA(IF(Optimalisatie!E43="Categorie_1_LCA_Producten",VLOOKUP(Optimalisatie!F43,Categorie_1_Producten[#All],6,FALSE),VLOOKUP(Optimalisatie!F43&amp;", "&amp;"Totaal",Database_Productkaarten[#All],64,FALSE)),Referentie_Materiaal_Totaal[[#This Row],[% Secundair]])</f>
        <v>0</v>
      </c>
      <c r="F251" s="94">
        <f>Inschrijf_Materiaal_Totaal[[#This Row],[Hoeveelheid '[ton']]]*(1-Inschrijf_Materiaal_Totaal[[#This Row],[% Secundair]])</f>
        <v>0</v>
      </c>
      <c r="G251" s="94">
        <f>Inschrijf_Materiaal_Totaal[[#This Row],[Hoeveelheid '[ton']]]*Inschrijf_Materiaal_Totaal[[#This Row],[% Secundair]]</f>
        <v>0</v>
      </c>
      <c r="H251" s="128">
        <f>Optimalisatie!R43*Optimalisatie!T43</f>
        <v>0</v>
      </c>
      <c r="I251" s="128">
        <f>Inschrijf_Materiaal_Totaal[[#This Row],[Hoeveelheid Vervangingen '[ton']]]*(1-Inschrijf_Materiaal_Totaal[[#This Row],[% Secundair]])</f>
        <v>0</v>
      </c>
      <c r="J251" s="128">
        <f>Inschrijf_Materiaal_Totaal[[#This Row],[Primair materiaalverbruik Vervangingen]]*Inschrijf_Materiaal_Totaal[[#This Row],[% Secundair]]</f>
        <v>0</v>
      </c>
      <c r="K251" s="128">
        <f>Inschrijf_Materiaal_Totaal[[#This Row],[Primair materiaalverbruik]]+Inschrijf_Materiaal_Totaal[[#This Row],[Primair materiaalverbruik Vervangingen]]</f>
        <v>0</v>
      </c>
      <c r="L251" s="128">
        <f>Inschrijf_Materiaal_Totaal[[#This Row],[Secundair Materiaalverbruik]]+Inschrijf_Materiaal_Totaal[[#This Row],[Secundair Materiaalverbruik Vervangingen]]</f>
        <v>0</v>
      </c>
      <c r="M251" s="128">
        <f>Inschrijf_Materiaal_Totaal[[#This Row],[Totaal Primair Materieelgebruik]]+Inschrijf_Materiaal_Totaal[[#This Row],[Totaal Secundair Materieelgebruik]]</f>
        <v>0</v>
      </c>
    </row>
    <row r="252" spans="2:13">
      <c r="B252" s="209">
        <f>Optimalisatie!B44</f>
        <v>0</v>
      </c>
      <c r="C252" s="51">
        <f>Optimalisatie!F44</f>
        <v>0</v>
      </c>
      <c r="D252" s="93">
        <f>Optimalisatie!R44</f>
        <v>0</v>
      </c>
      <c r="E252" s="60">
        <f>_xlfn.IFNA(IF(Optimalisatie!E44="Categorie_1_LCA_Producten",VLOOKUP(Optimalisatie!F44,Categorie_1_Producten[#All],6,FALSE),VLOOKUP(Optimalisatie!F44&amp;", "&amp;"Totaal",Database_Productkaarten[#All],64,FALSE)),Referentie_Materiaal_Totaal[[#This Row],[% Secundair]])</f>
        <v>0</v>
      </c>
      <c r="F252" s="94">
        <f>Inschrijf_Materiaal_Totaal[[#This Row],[Hoeveelheid '[ton']]]*(1-Inschrijf_Materiaal_Totaal[[#This Row],[% Secundair]])</f>
        <v>0</v>
      </c>
      <c r="G252" s="94">
        <f>Inschrijf_Materiaal_Totaal[[#This Row],[Hoeveelheid '[ton']]]*Inschrijf_Materiaal_Totaal[[#This Row],[% Secundair]]</f>
        <v>0</v>
      </c>
      <c r="H252" s="128">
        <f>Optimalisatie!R44*Optimalisatie!T44</f>
        <v>0</v>
      </c>
      <c r="I252" s="128">
        <f>Inschrijf_Materiaal_Totaal[[#This Row],[Hoeveelheid Vervangingen '[ton']]]*(1-Inschrijf_Materiaal_Totaal[[#This Row],[% Secundair]])</f>
        <v>0</v>
      </c>
      <c r="J252" s="128">
        <f>Inschrijf_Materiaal_Totaal[[#This Row],[Primair materiaalverbruik Vervangingen]]*Inschrijf_Materiaal_Totaal[[#This Row],[% Secundair]]</f>
        <v>0</v>
      </c>
      <c r="K252" s="128">
        <f>Inschrijf_Materiaal_Totaal[[#This Row],[Primair materiaalverbruik]]+Inschrijf_Materiaal_Totaal[[#This Row],[Primair materiaalverbruik Vervangingen]]</f>
        <v>0</v>
      </c>
      <c r="L252" s="128">
        <f>Inschrijf_Materiaal_Totaal[[#This Row],[Secundair Materiaalverbruik]]+Inschrijf_Materiaal_Totaal[[#This Row],[Secundair Materiaalverbruik Vervangingen]]</f>
        <v>0</v>
      </c>
      <c r="M252" s="128">
        <f>Inschrijf_Materiaal_Totaal[[#This Row],[Totaal Primair Materieelgebruik]]+Inschrijf_Materiaal_Totaal[[#This Row],[Totaal Secundair Materieelgebruik]]</f>
        <v>0</v>
      </c>
    </row>
    <row r="253" spans="2:13">
      <c r="B253" s="209">
        <f>Optimalisatie!B45</f>
        <v>0</v>
      </c>
      <c r="C253" s="51">
        <f>Optimalisatie!F45</f>
        <v>0</v>
      </c>
      <c r="D253" s="93">
        <f>Optimalisatie!R45</f>
        <v>0</v>
      </c>
      <c r="E253" s="60">
        <f>_xlfn.IFNA(IF(Optimalisatie!E45="Categorie_1_LCA_Producten",VLOOKUP(Optimalisatie!F45,Categorie_1_Producten[#All],6,FALSE),VLOOKUP(Optimalisatie!F45&amp;", "&amp;"Totaal",Database_Productkaarten[#All],64,FALSE)),Referentie_Materiaal_Totaal[[#This Row],[% Secundair]])</f>
        <v>0</v>
      </c>
      <c r="F253" s="94">
        <f>Inschrijf_Materiaal_Totaal[[#This Row],[Hoeveelheid '[ton']]]*(1-Inschrijf_Materiaal_Totaal[[#This Row],[% Secundair]])</f>
        <v>0</v>
      </c>
      <c r="G253" s="94">
        <f>Inschrijf_Materiaal_Totaal[[#This Row],[Hoeveelheid '[ton']]]*Inschrijf_Materiaal_Totaal[[#This Row],[% Secundair]]</f>
        <v>0</v>
      </c>
      <c r="H253" s="128">
        <f>Optimalisatie!R45*Optimalisatie!T45</f>
        <v>0</v>
      </c>
      <c r="I253" s="128">
        <f>Inschrijf_Materiaal_Totaal[[#This Row],[Hoeveelheid Vervangingen '[ton']]]*(1-Inschrijf_Materiaal_Totaal[[#This Row],[% Secundair]])</f>
        <v>0</v>
      </c>
      <c r="J253" s="128">
        <f>Inschrijf_Materiaal_Totaal[[#This Row],[Primair materiaalverbruik Vervangingen]]*Inschrijf_Materiaal_Totaal[[#This Row],[% Secundair]]</f>
        <v>0</v>
      </c>
      <c r="K253" s="128">
        <f>Inschrijf_Materiaal_Totaal[[#This Row],[Primair materiaalverbruik]]+Inschrijf_Materiaal_Totaal[[#This Row],[Primair materiaalverbruik Vervangingen]]</f>
        <v>0</v>
      </c>
      <c r="L253" s="128">
        <f>Inschrijf_Materiaal_Totaal[[#This Row],[Secundair Materiaalverbruik]]+Inschrijf_Materiaal_Totaal[[#This Row],[Secundair Materiaalverbruik Vervangingen]]</f>
        <v>0</v>
      </c>
      <c r="M253" s="128">
        <f>Inschrijf_Materiaal_Totaal[[#This Row],[Totaal Primair Materieelgebruik]]+Inschrijf_Materiaal_Totaal[[#This Row],[Totaal Secundair Materieelgebruik]]</f>
        <v>0</v>
      </c>
    </row>
    <row r="254" spans="2:13">
      <c r="B254" s="209">
        <f>Optimalisatie!B46</f>
        <v>0</v>
      </c>
      <c r="C254" s="51">
        <f>Optimalisatie!F46</f>
        <v>0</v>
      </c>
      <c r="D254" s="93">
        <f>Optimalisatie!R46</f>
        <v>0</v>
      </c>
      <c r="E254" s="60">
        <f>_xlfn.IFNA(IF(Optimalisatie!E46="Categorie_1_LCA_Producten",VLOOKUP(Optimalisatie!F46,Categorie_1_Producten[#All],6,FALSE),VLOOKUP(Optimalisatie!F46&amp;", "&amp;"Totaal",Database_Productkaarten[#All],64,FALSE)),Referentie_Materiaal_Totaal[[#This Row],[% Secundair]])</f>
        <v>0</v>
      </c>
      <c r="F254" s="94">
        <f>Inschrijf_Materiaal_Totaal[[#This Row],[Hoeveelheid '[ton']]]*(1-Inschrijf_Materiaal_Totaal[[#This Row],[% Secundair]])</f>
        <v>0</v>
      </c>
      <c r="G254" s="94">
        <f>Inschrijf_Materiaal_Totaal[[#This Row],[Hoeveelheid '[ton']]]*Inschrijf_Materiaal_Totaal[[#This Row],[% Secundair]]</f>
        <v>0</v>
      </c>
      <c r="H254" s="128">
        <f>Optimalisatie!R46*Optimalisatie!T46</f>
        <v>0</v>
      </c>
      <c r="I254" s="128">
        <f>Inschrijf_Materiaal_Totaal[[#This Row],[Hoeveelheid Vervangingen '[ton']]]*(1-Inschrijf_Materiaal_Totaal[[#This Row],[% Secundair]])</f>
        <v>0</v>
      </c>
      <c r="J254" s="128">
        <f>Inschrijf_Materiaal_Totaal[[#This Row],[Primair materiaalverbruik Vervangingen]]*Inschrijf_Materiaal_Totaal[[#This Row],[% Secundair]]</f>
        <v>0</v>
      </c>
      <c r="K254" s="128">
        <f>Inschrijf_Materiaal_Totaal[[#This Row],[Primair materiaalverbruik]]+Inschrijf_Materiaal_Totaal[[#This Row],[Primair materiaalverbruik Vervangingen]]</f>
        <v>0</v>
      </c>
      <c r="L254" s="128">
        <f>Inschrijf_Materiaal_Totaal[[#This Row],[Secundair Materiaalverbruik]]+Inschrijf_Materiaal_Totaal[[#This Row],[Secundair Materiaalverbruik Vervangingen]]</f>
        <v>0</v>
      </c>
      <c r="M254" s="128">
        <f>Inschrijf_Materiaal_Totaal[[#This Row],[Totaal Primair Materieelgebruik]]+Inschrijf_Materiaal_Totaal[[#This Row],[Totaal Secundair Materieelgebruik]]</f>
        <v>0</v>
      </c>
    </row>
    <row r="255" spans="2:13">
      <c r="B255" s="209">
        <f>Optimalisatie!B47</f>
        <v>0</v>
      </c>
      <c r="C255" s="51">
        <f>Optimalisatie!F47</f>
        <v>0</v>
      </c>
      <c r="D255" s="93">
        <f>Optimalisatie!R47</f>
        <v>0</v>
      </c>
      <c r="E255" s="60">
        <f>_xlfn.IFNA(IF(Optimalisatie!E47="Categorie_1_LCA_Producten",VLOOKUP(Optimalisatie!F47,Categorie_1_Producten[#All],6,FALSE),VLOOKUP(Optimalisatie!F47&amp;", "&amp;"Totaal",Database_Productkaarten[#All],64,FALSE)),Referentie_Materiaal_Totaal[[#This Row],[% Secundair]])</f>
        <v>0</v>
      </c>
      <c r="F255" s="94">
        <f>Inschrijf_Materiaal_Totaal[[#This Row],[Hoeveelheid '[ton']]]*(1-Inschrijf_Materiaal_Totaal[[#This Row],[% Secundair]])</f>
        <v>0</v>
      </c>
      <c r="G255" s="94">
        <f>Inschrijf_Materiaal_Totaal[[#This Row],[Hoeveelheid '[ton']]]*Inschrijf_Materiaal_Totaal[[#This Row],[% Secundair]]</f>
        <v>0</v>
      </c>
      <c r="H255" s="128">
        <f>Optimalisatie!R47*Optimalisatie!T47</f>
        <v>0</v>
      </c>
      <c r="I255" s="128">
        <f>Inschrijf_Materiaal_Totaal[[#This Row],[Hoeveelheid Vervangingen '[ton']]]*(1-Inschrijf_Materiaal_Totaal[[#This Row],[% Secundair]])</f>
        <v>0</v>
      </c>
      <c r="J255" s="128">
        <f>Inschrijf_Materiaal_Totaal[[#This Row],[Primair materiaalverbruik Vervangingen]]*Inschrijf_Materiaal_Totaal[[#This Row],[% Secundair]]</f>
        <v>0</v>
      </c>
      <c r="K255" s="128">
        <f>Inschrijf_Materiaal_Totaal[[#This Row],[Primair materiaalverbruik]]+Inschrijf_Materiaal_Totaal[[#This Row],[Primair materiaalverbruik Vervangingen]]</f>
        <v>0</v>
      </c>
      <c r="L255" s="128">
        <f>Inschrijf_Materiaal_Totaal[[#This Row],[Secundair Materiaalverbruik]]+Inschrijf_Materiaal_Totaal[[#This Row],[Secundair Materiaalverbruik Vervangingen]]</f>
        <v>0</v>
      </c>
      <c r="M255" s="128">
        <f>Inschrijf_Materiaal_Totaal[[#This Row],[Totaal Primair Materieelgebruik]]+Inschrijf_Materiaal_Totaal[[#This Row],[Totaal Secundair Materieelgebruik]]</f>
        <v>0</v>
      </c>
    </row>
    <row r="256" spans="2:13">
      <c r="B256" s="209">
        <f>Optimalisatie!B48</f>
        <v>0</v>
      </c>
      <c r="C256" s="51">
        <f>Optimalisatie!F48</f>
        <v>0</v>
      </c>
      <c r="D256" s="93">
        <f>Optimalisatie!R48</f>
        <v>0</v>
      </c>
      <c r="E256" s="60">
        <f>_xlfn.IFNA(IF(Optimalisatie!E48="Categorie_1_LCA_Producten",VLOOKUP(Optimalisatie!F48,Categorie_1_Producten[#All],6,FALSE),VLOOKUP(Optimalisatie!F48&amp;", "&amp;"Totaal",Database_Productkaarten[#All],64,FALSE)),Referentie_Materiaal_Totaal[[#This Row],[% Secundair]])</f>
        <v>0</v>
      </c>
      <c r="F256" s="94">
        <f>Inschrijf_Materiaal_Totaal[[#This Row],[Hoeveelheid '[ton']]]*(1-Inschrijf_Materiaal_Totaal[[#This Row],[% Secundair]])</f>
        <v>0</v>
      </c>
      <c r="G256" s="94">
        <f>Inschrijf_Materiaal_Totaal[[#This Row],[Hoeveelheid '[ton']]]*Inschrijf_Materiaal_Totaal[[#This Row],[% Secundair]]</f>
        <v>0</v>
      </c>
      <c r="H256" s="128">
        <f>Optimalisatie!R48*Optimalisatie!T48</f>
        <v>0</v>
      </c>
      <c r="I256" s="128">
        <f>Inschrijf_Materiaal_Totaal[[#This Row],[Hoeveelheid Vervangingen '[ton']]]*(1-Inschrijf_Materiaal_Totaal[[#This Row],[% Secundair]])</f>
        <v>0</v>
      </c>
      <c r="J256" s="128">
        <f>Inschrijf_Materiaal_Totaal[[#This Row],[Primair materiaalverbruik Vervangingen]]*Inschrijf_Materiaal_Totaal[[#This Row],[% Secundair]]</f>
        <v>0</v>
      </c>
      <c r="K256" s="128">
        <f>Inschrijf_Materiaal_Totaal[[#This Row],[Primair materiaalverbruik]]+Inschrijf_Materiaal_Totaal[[#This Row],[Primair materiaalverbruik Vervangingen]]</f>
        <v>0</v>
      </c>
      <c r="L256" s="128">
        <f>Inschrijf_Materiaal_Totaal[[#This Row],[Secundair Materiaalverbruik]]+Inschrijf_Materiaal_Totaal[[#This Row],[Secundair Materiaalverbruik Vervangingen]]</f>
        <v>0</v>
      </c>
      <c r="M256" s="128">
        <f>Inschrijf_Materiaal_Totaal[[#This Row],[Totaal Primair Materieelgebruik]]+Inschrijf_Materiaal_Totaal[[#This Row],[Totaal Secundair Materieelgebruik]]</f>
        <v>0</v>
      </c>
    </row>
    <row r="257" spans="2:13">
      <c r="B257" s="209">
        <f>Optimalisatie!B49</f>
        <v>0</v>
      </c>
      <c r="C257" s="51">
        <f>Optimalisatie!F49</f>
        <v>0</v>
      </c>
      <c r="D257" s="93">
        <f>Optimalisatie!R49</f>
        <v>0</v>
      </c>
      <c r="E257" s="60">
        <f>_xlfn.IFNA(IF(Optimalisatie!E49="Categorie_1_LCA_Producten",VLOOKUP(Optimalisatie!F49,Categorie_1_Producten[#All],6,FALSE),VLOOKUP(Optimalisatie!F49&amp;", "&amp;"Totaal",Database_Productkaarten[#All],64,FALSE)),Referentie_Materiaal_Totaal[[#This Row],[% Secundair]])</f>
        <v>0</v>
      </c>
      <c r="F257" s="94">
        <f>Inschrijf_Materiaal_Totaal[[#This Row],[Hoeveelheid '[ton']]]*(1-Inschrijf_Materiaal_Totaal[[#This Row],[% Secundair]])</f>
        <v>0</v>
      </c>
      <c r="G257" s="94">
        <f>Inschrijf_Materiaal_Totaal[[#This Row],[Hoeveelheid '[ton']]]*Inschrijf_Materiaal_Totaal[[#This Row],[% Secundair]]</f>
        <v>0</v>
      </c>
      <c r="H257" s="128">
        <f>Optimalisatie!R49*Optimalisatie!T49</f>
        <v>0</v>
      </c>
      <c r="I257" s="128">
        <f>Inschrijf_Materiaal_Totaal[[#This Row],[Hoeveelheid Vervangingen '[ton']]]*(1-Inschrijf_Materiaal_Totaal[[#This Row],[% Secundair]])</f>
        <v>0</v>
      </c>
      <c r="J257" s="128">
        <f>Inschrijf_Materiaal_Totaal[[#This Row],[Primair materiaalverbruik Vervangingen]]*Inschrijf_Materiaal_Totaal[[#This Row],[% Secundair]]</f>
        <v>0</v>
      </c>
      <c r="K257" s="128">
        <f>Inschrijf_Materiaal_Totaal[[#This Row],[Primair materiaalverbruik]]+Inschrijf_Materiaal_Totaal[[#This Row],[Primair materiaalverbruik Vervangingen]]</f>
        <v>0</v>
      </c>
      <c r="L257" s="128">
        <f>Inschrijf_Materiaal_Totaal[[#This Row],[Secundair Materiaalverbruik]]+Inschrijf_Materiaal_Totaal[[#This Row],[Secundair Materiaalverbruik Vervangingen]]</f>
        <v>0</v>
      </c>
      <c r="M257" s="128">
        <f>Inschrijf_Materiaal_Totaal[[#This Row],[Totaal Primair Materieelgebruik]]+Inschrijf_Materiaal_Totaal[[#This Row],[Totaal Secundair Materieelgebruik]]</f>
        <v>0</v>
      </c>
    </row>
    <row r="258" spans="2:13">
      <c r="B258" s="209">
        <f>Optimalisatie!B50</f>
        <v>0</v>
      </c>
      <c r="C258" s="51">
        <f>Optimalisatie!F50</f>
        <v>0</v>
      </c>
      <c r="D258" s="93">
        <f>Optimalisatie!R50</f>
        <v>0</v>
      </c>
      <c r="E258" s="60">
        <f>_xlfn.IFNA(IF(Optimalisatie!E50="Categorie_1_LCA_Producten",VLOOKUP(Optimalisatie!F50,Categorie_1_Producten[#All],6,FALSE),VLOOKUP(Optimalisatie!F50&amp;", "&amp;"Totaal",Database_Productkaarten[#All],64,FALSE)),Referentie_Materiaal_Totaal[[#This Row],[% Secundair]])</f>
        <v>0</v>
      </c>
      <c r="F258" s="94">
        <f>Inschrijf_Materiaal_Totaal[[#This Row],[Hoeveelheid '[ton']]]*(1-Inschrijf_Materiaal_Totaal[[#This Row],[% Secundair]])</f>
        <v>0</v>
      </c>
      <c r="G258" s="94">
        <f>Inschrijf_Materiaal_Totaal[[#This Row],[Hoeveelheid '[ton']]]*Inschrijf_Materiaal_Totaal[[#This Row],[% Secundair]]</f>
        <v>0</v>
      </c>
      <c r="H258" s="128">
        <f>Optimalisatie!R50*Optimalisatie!T50</f>
        <v>0</v>
      </c>
      <c r="I258" s="128">
        <f>Inschrijf_Materiaal_Totaal[[#This Row],[Hoeveelheid Vervangingen '[ton']]]*(1-Inschrijf_Materiaal_Totaal[[#This Row],[% Secundair]])</f>
        <v>0</v>
      </c>
      <c r="J258" s="128">
        <f>Inschrijf_Materiaal_Totaal[[#This Row],[Primair materiaalverbruik Vervangingen]]*Inschrijf_Materiaal_Totaal[[#This Row],[% Secundair]]</f>
        <v>0</v>
      </c>
      <c r="K258" s="128">
        <f>Inschrijf_Materiaal_Totaal[[#This Row],[Primair materiaalverbruik]]+Inschrijf_Materiaal_Totaal[[#This Row],[Primair materiaalverbruik Vervangingen]]</f>
        <v>0</v>
      </c>
      <c r="L258" s="128">
        <f>Inschrijf_Materiaal_Totaal[[#This Row],[Secundair Materiaalverbruik]]+Inschrijf_Materiaal_Totaal[[#This Row],[Secundair Materiaalverbruik Vervangingen]]</f>
        <v>0</v>
      </c>
      <c r="M258" s="128">
        <f>Inschrijf_Materiaal_Totaal[[#This Row],[Totaal Primair Materieelgebruik]]+Inschrijf_Materiaal_Totaal[[#This Row],[Totaal Secundair Materieelgebruik]]</f>
        <v>0</v>
      </c>
    </row>
    <row r="259" spans="2:13">
      <c r="B259" s="209">
        <f>Optimalisatie!B51</f>
        <v>0</v>
      </c>
      <c r="C259" s="51">
        <f>Optimalisatie!F51</f>
        <v>0</v>
      </c>
      <c r="D259" s="93">
        <f>Optimalisatie!R51</f>
        <v>0</v>
      </c>
      <c r="E259" s="60">
        <f>_xlfn.IFNA(IF(Optimalisatie!E51="Categorie_1_LCA_Producten",VLOOKUP(Optimalisatie!F51,Categorie_1_Producten[#All],6,FALSE),VLOOKUP(Optimalisatie!F51&amp;", "&amp;"Totaal",Database_Productkaarten[#All],64,FALSE)),Referentie_Materiaal_Totaal[[#This Row],[% Secundair]])</f>
        <v>0</v>
      </c>
      <c r="F259" s="94">
        <f>Inschrijf_Materiaal_Totaal[[#This Row],[Hoeveelheid '[ton']]]*(1-Inschrijf_Materiaal_Totaal[[#This Row],[% Secundair]])</f>
        <v>0</v>
      </c>
      <c r="G259" s="94">
        <f>Inschrijf_Materiaal_Totaal[[#This Row],[Hoeveelheid '[ton']]]*Inschrijf_Materiaal_Totaal[[#This Row],[% Secundair]]</f>
        <v>0</v>
      </c>
      <c r="H259" s="128">
        <f>Optimalisatie!R51*Optimalisatie!T51</f>
        <v>0</v>
      </c>
      <c r="I259" s="128">
        <f>Inschrijf_Materiaal_Totaal[[#This Row],[Hoeveelheid Vervangingen '[ton']]]*(1-Inschrijf_Materiaal_Totaal[[#This Row],[% Secundair]])</f>
        <v>0</v>
      </c>
      <c r="J259" s="128">
        <f>Inschrijf_Materiaal_Totaal[[#This Row],[Primair materiaalverbruik Vervangingen]]*Inschrijf_Materiaal_Totaal[[#This Row],[% Secundair]]</f>
        <v>0</v>
      </c>
      <c r="K259" s="128">
        <f>Inschrijf_Materiaal_Totaal[[#This Row],[Primair materiaalverbruik]]+Inschrijf_Materiaal_Totaal[[#This Row],[Primair materiaalverbruik Vervangingen]]</f>
        <v>0</v>
      </c>
      <c r="L259" s="128">
        <f>Inschrijf_Materiaal_Totaal[[#This Row],[Secundair Materiaalverbruik]]+Inschrijf_Materiaal_Totaal[[#This Row],[Secundair Materiaalverbruik Vervangingen]]</f>
        <v>0</v>
      </c>
      <c r="M259" s="128">
        <f>Inschrijf_Materiaal_Totaal[[#This Row],[Totaal Primair Materieelgebruik]]+Inschrijf_Materiaal_Totaal[[#This Row],[Totaal Secundair Materieelgebruik]]</f>
        <v>0</v>
      </c>
    </row>
    <row r="260" spans="2:13">
      <c r="B260" s="209">
        <f>Optimalisatie!B52</f>
        <v>0</v>
      </c>
      <c r="C260" s="51">
        <f>Optimalisatie!F52</f>
        <v>0</v>
      </c>
      <c r="D260" s="93">
        <f>Optimalisatie!R52</f>
        <v>0</v>
      </c>
      <c r="E260" s="60">
        <f>_xlfn.IFNA(IF(Optimalisatie!E52="Categorie_1_LCA_Producten",VLOOKUP(Optimalisatie!F52,Categorie_1_Producten[#All],6,FALSE),VLOOKUP(Optimalisatie!F52&amp;", "&amp;"Totaal",Database_Productkaarten[#All],64,FALSE)),Referentie_Materiaal_Totaal[[#This Row],[% Secundair]])</f>
        <v>0</v>
      </c>
      <c r="F260" s="94">
        <f>Inschrijf_Materiaal_Totaal[[#This Row],[Hoeveelheid '[ton']]]*(1-Inschrijf_Materiaal_Totaal[[#This Row],[% Secundair]])</f>
        <v>0</v>
      </c>
      <c r="G260" s="94">
        <f>Inschrijf_Materiaal_Totaal[[#This Row],[Hoeveelheid '[ton']]]*Inschrijf_Materiaal_Totaal[[#This Row],[% Secundair]]</f>
        <v>0</v>
      </c>
      <c r="H260" s="128">
        <f>Optimalisatie!R52*Optimalisatie!T52</f>
        <v>0</v>
      </c>
      <c r="I260" s="128">
        <f>Inschrijf_Materiaal_Totaal[[#This Row],[Hoeveelheid Vervangingen '[ton']]]*(1-Inschrijf_Materiaal_Totaal[[#This Row],[% Secundair]])</f>
        <v>0</v>
      </c>
      <c r="J260" s="128">
        <f>Inschrijf_Materiaal_Totaal[[#This Row],[Primair materiaalverbruik Vervangingen]]*Inschrijf_Materiaal_Totaal[[#This Row],[% Secundair]]</f>
        <v>0</v>
      </c>
      <c r="K260" s="128">
        <f>Inschrijf_Materiaal_Totaal[[#This Row],[Primair materiaalverbruik]]+Inschrijf_Materiaal_Totaal[[#This Row],[Primair materiaalverbruik Vervangingen]]</f>
        <v>0</v>
      </c>
      <c r="L260" s="128">
        <f>Inschrijf_Materiaal_Totaal[[#This Row],[Secundair Materiaalverbruik]]+Inschrijf_Materiaal_Totaal[[#This Row],[Secundair Materiaalverbruik Vervangingen]]</f>
        <v>0</v>
      </c>
      <c r="M260" s="128">
        <f>Inschrijf_Materiaal_Totaal[[#This Row],[Totaal Primair Materieelgebruik]]+Inschrijf_Materiaal_Totaal[[#This Row],[Totaal Secundair Materieelgebruik]]</f>
        <v>0</v>
      </c>
    </row>
    <row r="261" spans="2:13">
      <c r="B261" s="209">
        <f>Optimalisatie!B53</f>
        <v>0</v>
      </c>
      <c r="C261" s="51">
        <f>Optimalisatie!F53</f>
        <v>0</v>
      </c>
      <c r="D261" s="93">
        <f>Optimalisatie!R53</f>
        <v>0</v>
      </c>
      <c r="E261" s="60">
        <f>_xlfn.IFNA(IF(Optimalisatie!E53="Categorie_1_LCA_Producten",VLOOKUP(Optimalisatie!F53,Categorie_1_Producten[#All],6,FALSE),VLOOKUP(Optimalisatie!F53&amp;", "&amp;"Totaal",Database_Productkaarten[#All],64,FALSE)),Referentie_Materiaal_Totaal[[#This Row],[% Secundair]])</f>
        <v>0</v>
      </c>
      <c r="F261" s="94">
        <f>Inschrijf_Materiaal_Totaal[[#This Row],[Hoeveelheid '[ton']]]*(1-Inschrijf_Materiaal_Totaal[[#This Row],[% Secundair]])</f>
        <v>0</v>
      </c>
      <c r="G261" s="94">
        <f>Inschrijf_Materiaal_Totaal[[#This Row],[Hoeveelheid '[ton']]]*Inschrijf_Materiaal_Totaal[[#This Row],[% Secundair]]</f>
        <v>0</v>
      </c>
      <c r="H261" s="128">
        <f>Optimalisatie!R53*Optimalisatie!T53</f>
        <v>0</v>
      </c>
      <c r="I261" s="128">
        <f>Inschrijf_Materiaal_Totaal[[#This Row],[Hoeveelheid Vervangingen '[ton']]]*(1-Inschrijf_Materiaal_Totaal[[#This Row],[% Secundair]])</f>
        <v>0</v>
      </c>
      <c r="J261" s="128">
        <f>Inschrijf_Materiaal_Totaal[[#This Row],[Primair materiaalverbruik Vervangingen]]*Inschrijf_Materiaal_Totaal[[#This Row],[% Secundair]]</f>
        <v>0</v>
      </c>
      <c r="K261" s="128">
        <f>Inschrijf_Materiaal_Totaal[[#This Row],[Primair materiaalverbruik]]+Inschrijf_Materiaal_Totaal[[#This Row],[Primair materiaalverbruik Vervangingen]]</f>
        <v>0</v>
      </c>
      <c r="L261" s="128">
        <f>Inschrijf_Materiaal_Totaal[[#This Row],[Secundair Materiaalverbruik]]+Inschrijf_Materiaal_Totaal[[#This Row],[Secundair Materiaalverbruik Vervangingen]]</f>
        <v>0</v>
      </c>
      <c r="M261" s="128">
        <f>Inschrijf_Materiaal_Totaal[[#This Row],[Totaal Primair Materieelgebruik]]+Inschrijf_Materiaal_Totaal[[#This Row],[Totaal Secundair Materieelgebruik]]</f>
        <v>0</v>
      </c>
    </row>
    <row r="262" spans="2:13">
      <c r="B262" s="209">
        <f>Optimalisatie!B54</f>
        <v>0</v>
      </c>
      <c r="C262" s="51">
        <f>Optimalisatie!F54</f>
        <v>0</v>
      </c>
      <c r="D262" s="93">
        <f>Optimalisatie!R54</f>
        <v>0</v>
      </c>
      <c r="E262" s="60">
        <f>_xlfn.IFNA(IF(Optimalisatie!E54="Categorie_1_LCA_Producten",VLOOKUP(Optimalisatie!F54,Categorie_1_Producten[#All],6,FALSE),VLOOKUP(Optimalisatie!F54&amp;", "&amp;"Totaal",Database_Productkaarten[#All],64,FALSE)),Referentie_Materiaal_Totaal[[#This Row],[% Secundair]])</f>
        <v>0</v>
      </c>
      <c r="F262" s="94">
        <f>Inschrijf_Materiaal_Totaal[[#This Row],[Hoeveelheid '[ton']]]*(1-Inschrijf_Materiaal_Totaal[[#This Row],[% Secundair]])</f>
        <v>0</v>
      </c>
      <c r="G262" s="94">
        <f>Inschrijf_Materiaal_Totaal[[#This Row],[Hoeveelheid '[ton']]]*Inschrijf_Materiaal_Totaal[[#This Row],[% Secundair]]</f>
        <v>0</v>
      </c>
      <c r="H262" s="128">
        <f>Optimalisatie!R54*Optimalisatie!T54</f>
        <v>0</v>
      </c>
      <c r="I262" s="128">
        <f>Inschrijf_Materiaal_Totaal[[#This Row],[Hoeveelheid Vervangingen '[ton']]]*(1-Inschrijf_Materiaal_Totaal[[#This Row],[% Secundair]])</f>
        <v>0</v>
      </c>
      <c r="J262" s="128">
        <f>Inschrijf_Materiaal_Totaal[[#This Row],[Primair materiaalverbruik Vervangingen]]*Inschrijf_Materiaal_Totaal[[#This Row],[% Secundair]]</f>
        <v>0</v>
      </c>
      <c r="K262" s="128">
        <f>Inschrijf_Materiaal_Totaal[[#This Row],[Primair materiaalverbruik]]+Inschrijf_Materiaal_Totaal[[#This Row],[Primair materiaalverbruik Vervangingen]]</f>
        <v>0</v>
      </c>
      <c r="L262" s="128">
        <f>Inschrijf_Materiaal_Totaal[[#This Row],[Secundair Materiaalverbruik]]+Inschrijf_Materiaal_Totaal[[#This Row],[Secundair Materiaalverbruik Vervangingen]]</f>
        <v>0</v>
      </c>
      <c r="M262" s="128">
        <f>Inschrijf_Materiaal_Totaal[[#This Row],[Totaal Primair Materieelgebruik]]+Inschrijf_Materiaal_Totaal[[#This Row],[Totaal Secundair Materieelgebruik]]</f>
        <v>0</v>
      </c>
    </row>
    <row r="263" spans="2:13">
      <c r="B263" s="209">
        <f>Optimalisatie!B55</f>
        <v>0</v>
      </c>
      <c r="C263" s="51">
        <f>Optimalisatie!F55</f>
        <v>0</v>
      </c>
      <c r="D263" s="93">
        <f>Optimalisatie!R55</f>
        <v>0</v>
      </c>
      <c r="E263" s="60">
        <f>_xlfn.IFNA(IF(Optimalisatie!E55="Categorie_1_LCA_Producten",VLOOKUP(Optimalisatie!F55,Categorie_1_Producten[#All],6,FALSE),VLOOKUP(Optimalisatie!F55&amp;", "&amp;"Totaal",Database_Productkaarten[#All],64,FALSE)),Referentie_Materiaal_Totaal[[#This Row],[% Secundair]])</f>
        <v>0</v>
      </c>
      <c r="F263" s="94">
        <f>Inschrijf_Materiaal_Totaal[[#This Row],[Hoeveelheid '[ton']]]*(1-Inschrijf_Materiaal_Totaal[[#This Row],[% Secundair]])</f>
        <v>0</v>
      </c>
      <c r="G263" s="94">
        <f>Inschrijf_Materiaal_Totaal[[#This Row],[Hoeveelheid '[ton']]]*Inschrijf_Materiaal_Totaal[[#This Row],[% Secundair]]</f>
        <v>0</v>
      </c>
      <c r="H263" s="128">
        <f>Optimalisatie!R55*Optimalisatie!T55</f>
        <v>0</v>
      </c>
      <c r="I263" s="128">
        <f>Inschrijf_Materiaal_Totaal[[#This Row],[Hoeveelheid Vervangingen '[ton']]]*(1-Inschrijf_Materiaal_Totaal[[#This Row],[% Secundair]])</f>
        <v>0</v>
      </c>
      <c r="J263" s="128">
        <f>Inschrijf_Materiaal_Totaal[[#This Row],[Primair materiaalverbruik Vervangingen]]*Inschrijf_Materiaal_Totaal[[#This Row],[% Secundair]]</f>
        <v>0</v>
      </c>
      <c r="K263" s="128">
        <f>Inschrijf_Materiaal_Totaal[[#This Row],[Primair materiaalverbruik]]+Inschrijf_Materiaal_Totaal[[#This Row],[Primair materiaalverbruik Vervangingen]]</f>
        <v>0</v>
      </c>
      <c r="L263" s="128">
        <f>Inschrijf_Materiaal_Totaal[[#This Row],[Secundair Materiaalverbruik]]+Inschrijf_Materiaal_Totaal[[#This Row],[Secundair Materiaalverbruik Vervangingen]]</f>
        <v>0</v>
      </c>
      <c r="M263" s="128">
        <f>Inschrijf_Materiaal_Totaal[[#This Row],[Totaal Primair Materieelgebruik]]+Inschrijf_Materiaal_Totaal[[#This Row],[Totaal Secundair Materieelgebruik]]</f>
        <v>0</v>
      </c>
    </row>
    <row r="264" spans="2:13">
      <c r="B264" s="209">
        <f>Optimalisatie!B56</f>
        <v>0</v>
      </c>
      <c r="C264" s="51">
        <f>Optimalisatie!F56</f>
        <v>0</v>
      </c>
      <c r="D264" s="93">
        <f>Optimalisatie!R56</f>
        <v>0</v>
      </c>
      <c r="E264" s="60">
        <f>_xlfn.IFNA(IF(Optimalisatie!E56="Categorie_1_LCA_Producten",VLOOKUP(Optimalisatie!F56,Categorie_1_Producten[#All],6,FALSE),VLOOKUP(Optimalisatie!F56&amp;", "&amp;"Totaal",Database_Productkaarten[#All],64,FALSE)),Referentie_Materiaal_Totaal[[#This Row],[% Secundair]])</f>
        <v>0</v>
      </c>
      <c r="F264" s="94">
        <f>Inschrijf_Materiaal_Totaal[[#This Row],[Hoeveelheid '[ton']]]*(1-Inschrijf_Materiaal_Totaal[[#This Row],[% Secundair]])</f>
        <v>0</v>
      </c>
      <c r="G264" s="94">
        <f>Inschrijf_Materiaal_Totaal[[#This Row],[Hoeveelheid '[ton']]]*Inschrijf_Materiaal_Totaal[[#This Row],[% Secundair]]</f>
        <v>0</v>
      </c>
      <c r="H264" s="128">
        <f>Optimalisatie!R56*Optimalisatie!T56</f>
        <v>0</v>
      </c>
      <c r="I264" s="128">
        <f>Inschrijf_Materiaal_Totaal[[#This Row],[Hoeveelheid Vervangingen '[ton']]]*(1-Inschrijf_Materiaal_Totaal[[#This Row],[% Secundair]])</f>
        <v>0</v>
      </c>
      <c r="J264" s="128">
        <f>Inschrijf_Materiaal_Totaal[[#This Row],[Primair materiaalverbruik Vervangingen]]*Inschrijf_Materiaal_Totaal[[#This Row],[% Secundair]]</f>
        <v>0</v>
      </c>
      <c r="K264" s="128">
        <f>Inschrijf_Materiaal_Totaal[[#This Row],[Primair materiaalverbruik]]+Inschrijf_Materiaal_Totaal[[#This Row],[Primair materiaalverbruik Vervangingen]]</f>
        <v>0</v>
      </c>
      <c r="L264" s="128">
        <f>Inschrijf_Materiaal_Totaal[[#This Row],[Secundair Materiaalverbruik]]+Inschrijf_Materiaal_Totaal[[#This Row],[Secundair Materiaalverbruik Vervangingen]]</f>
        <v>0</v>
      </c>
      <c r="M264" s="128">
        <f>Inschrijf_Materiaal_Totaal[[#This Row],[Totaal Primair Materieelgebruik]]+Inschrijf_Materiaal_Totaal[[#This Row],[Totaal Secundair Materieelgebruik]]</f>
        <v>0</v>
      </c>
    </row>
    <row r="265" spans="2:13">
      <c r="B265" s="209">
        <f>Optimalisatie!B57</f>
        <v>0</v>
      </c>
      <c r="C265" s="51">
        <f>Optimalisatie!F57</f>
        <v>0</v>
      </c>
      <c r="D265" s="93">
        <f>Optimalisatie!R57</f>
        <v>0</v>
      </c>
      <c r="E265" s="60">
        <f>_xlfn.IFNA(IF(Optimalisatie!E57="Categorie_1_LCA_Producten",VLOOKUP(Optimalisatie!F57,Categorie_1_Producten[#All],6,FALSE),VLOOKUP(Optimalisatie!F57&amp;", "&amp;"Totaal",Database_Productkaarten[#All],64,FALSE)),Referentie_Materiaal_Totaal[[#This Row],[% Secundair]])</f>
        <v>0</v>
      </c>
      <c r="F265" s="94">
        <f>Inschrijf_Materiaal_Totaal[[#This Row],[Hoeveelheid '[ton']]]*(1-Inschrijf_Materiaal_Totaal[[#This Row],[% Secundair]])</f>
        <v>0</v>
      </c>
      <c r="G265" s="94">
        <f>Inschrijf_Materiaal_Totaal[[#This Row],[Hoeveelheid '[ton']]]*Inschrijf_Materiaal_Totaal[[#This Row],[% Secundair]]</f>
        <v>0</v>
      </c>
      <c r="H265" s="128">
        <f>Optimalisatie!R57*Optimalisatie!T57</f>
        <v>0</v>
      </c>
      <c r="I265" s="128">
        <f>Inschrijf_Materiaal_Totaal[[#This Row],[Hoeveelheid Vervangingen '[ton']]]*(1-Inschrijf_Materiaal_Totaal[[#This Row],[% Secundair]])</f>
        <v>0</v>
      </c>
      <c r="J265" s="128">
        <f>Inschrijf_Materiaal_Totaal[[#This Row],[Primair materiaalverbruik Vervangingen]]*Inschrijf_Materiaal_Totaal[[#This Row],[% Secundair]]</f>
        <v>0</v>
      </c>
      <c r="K265" s="128">
        <f>Inschrijf_Materiaal_Totaal[[#This Row],[Primair materiaalverbruik]]+Inschrijf_Materiaal_Totaal[[#This Row],[Primair materiaalverbruik Vervangingen]]</f>
        <v>0</v>
      </c>
      <c r="L265" s="128">
        <f>Inschrijf_Materiaal_Totaal[[#This Row],[Secundair Materiaalverbruik]]+Inschrijf_Materiaal_Totaal[[#This Row],[Secundair Materiaalverbruik Vervangingen]]</f>
        <v>0</v>
      </c>
      <c r="M265" s="128">
        <f>Inschrijf_Materiaal_Totaal[[#This Row],[Totaal Primair Materieelgebruik]]+Inschrijf_Materiaal_Totaal[[#This Row],[Totaal Secundair Materieelgebruik]]</f>
        <v>0</v>
      </c>
    </row>
    <row r="266" spans="2:13">
      <c r="B266" s="209">
        <f>Optimalisatie!B58</f>
        <v>0</v>
      </c>
      <c r="C266" s="51">
        <f>Optimalisatie!F58</f>
        <v>0</v>
      </c>
      <c r="D266" s="93">
        <f>Optimalisatie!R58</f>
        <v>0</v>
      </c>
      <c r="E266" s="60">
        <f>_xlfn.IFNA(IF(Optimalisatie!E58="Categorie_1_LCA_Producten",VLOOKUP(Optimalisatie!F58,Categorie_1_Producten[#All],6,FALSE),VLOOKUP(Optimalisatie!F58&amp;", "&amp;"Totaal",Database_Productkaarten[#All],64,FALSE)),Referentie_Materiaal_Totaal[[#This Row],[% Secundair]])</f>
        <v>0</v>
      </c>
      <c r="F266" s="94">
        <f>Inschrijf_Materiaal_Totaal[[#This Row],[Hoeveelheid '[ton']]]*(1-Inschrijf_Materiaal_Totaal[[#This Row],[% Secundair]])</f>
        <v>0</v>
      </c>
      <c r="G266" s="94">
        <f>Inschrijf_Materiaal_Totaal[[#This Row],[Hoeveelheid '[ton']]]*Inschrijf_Materiaal_Totaal[[#This Row],[% Secundair]]</f>
        <v>0</v>
      </c>
      <c r="H266" s="128">
        <f>Optimalisatie!R58*Optimalisatie!T58</f>
        <v>0</v>
      </c>
      <c r="I266" s="128">
        <f>Inschrijf_Materiaal_Totaal[[#This Row],[Hoeveelheid Vervangingen '[ton']]]*(1-Inschrijf_Materiaal_Totaal[[#This Row],[% Secundair]])</f>
        <v>0</v>
      </c>
      <c r="J266" s="128">
        <f>Inschrijf_Materiaal_Totaal[[#This Row],[Primair materiaalverbruik Vervangingen]]*Inschrijf_Materiaal_Totaal[[#This Row],[% Secundair]]</f>
        <v>0</v>
      </c>
      <c r="K266" s="128">
        <f>Inschrijf_Materiaal_Totaal[[#This Row],[Primair materiaalverbruik]]+Inschrijf_Materiaal_Totaal[[#This Row],[Primair materiaalverbruik Vervangingen]]</f>
        <v>0</v>
      </c>
      <c r="L266" s="128">
        <f>Inschrijf_Materiaal_Totaal[[#This Row],[Secundair Materiaalverbruik]]+Inschrijf_Materiaal_Totaal[[#This Row],[Secundair Materiaalverbruik Vervangingen]]</f>
        <v>0</v>
      </c>
      <c r="M266" s="128">
        <f>Inschrijf_Materiaal_Totaal[[#This Row],[Totaal Primair Materieelgebruik]]+Inschrijf_Materiaal_Totaal[[#This Row],[Totaal Secundair Materieelgebruik]]</f>
        <v>0</v>
      </c>
    </row>
    <row r="267" spans="2:13">
      <c r="B267" s="209">
        <f>Optimalisatie!B59</f>
        <v>0</v>
      </c>
      <c r="C267" s="51">
        <f>Optimalisatie!F59</f>
        <v>0</v>
      </c>
      <c r="D267" s="93">
        <f>Optimalisatie!R59</f>
        <v>0</v>
      </c>
      <c r="E267" s="60">
        <f>_xlfn.IFNA(IF(Optimalisatie!E59="Categorie_1_LCA_Producten",VLOOKUP(Optimalisatie!F59,Categorie_1_Producten[#All],6,FALSE),VLOOKUP(Optimalisatie!F59&amp;", "&amp;"Totaal",Database_Productkaarten[#All],64,FALSE)),Referentie_Materiaal_Totaal[[#This Row],[% Secundair]])</f>
        <v>0</v>
      </c>
      <c r="F267" s="94">
        <f>Inschrijf_Materiaal_Totaal[[#This Row],[Hoeveelheid '[ton']]]*(1-Inschrijf_Materiaal_Totaal[[#This Row],[% Secundair]])</f>
        <v>0</v>
      </c>
      <c r="G267" s="94">
        <f>Inschrijf_Materiaal_Totaal[[#This Row],[Hoeveelheid '[ton']]]*Inschrijf_Materiaal_Totaal[[#This Row],[% Secundair]]</f>
        <v>0</v>
      </c>
      <c r="H267" s="128">
        <f>Optimalisatie!R59*Optimalisatie!T59</f>
        <v>0</v>
      </c>
      <c r="I267" s="128">
        <f>Inschrijf_Materiaal_Totaal[[#This Row],[Hoeveelheid Vervangingen '[ton']]]*(1-Inschrijf_Materiaal_Totaal[[#This Row],[% Secundair]])</f>
        <v>0</v>
      </c>
      <c r="J267" s="128">
        <f>Inschrijf_Materiaal_Totaal[[#This Row],[Primair materiaalverbruik Vervangingen]]*Inschrijf_Materiaal_Totaal[[#This Row],[% Secundair]]</f>
        <v>0</v>
      </c>
      <c r="K267" s="128">
        <f>Inschrijf_Materiaal_Totaal[[#This Row],[Primair materiaalverbruik]]+Inschrijf_Materiaal_Totaal[[#This Row],[Primair materiaalverbruik Vervangingen]]</f>
        <v>0</v>
      </c>
      <c r="L267" s="128">
        <f>Inschrijf_Materiaal_Totaal[[#This Row],[Secundair Materiaalverbruik]]+Inschrijf_Materiaal_Totaal[[#This Row],[Secundair Materiaalverbruik Vervangingen]]</f>
        <v>0</v>
      </c>
      <c r="M267" s="128">
        <f>Inschrijf_Materiaal_Totaal[[#This Row],[Totaal Primair Materieelgebruik]]+Inschrijf_Materiaal_Totaal[[#This Row],[Totaal Secundair Materieelgebruik]]</f>
        <v>0</v>
      </c>
    </row>
    <row r="268" spans="2:13">
      <c r="B268" s="209">
        <f>Optimalisatie!B60</f>
        <v>0</v>
      </c>
      <c r="C268" s="51">
        <f>Optimalisatie!F60</f>
        <v>0</v>
      </c>
      <c r="D268" s="93">
        <f>Optimalisatie!R60</f>
        <v>0</v>
      </c>
      <c r="E268" s="60">
        <f>_xlfn.IFNA(IF(Optimalisatie!E60="Categorie_1_LCA_Producten",VLOOKUP(Optimalisatie!F60,Categorie_1_Producten[#All],6,FALSE),VLOOKUP(Optimalisatie!F60&amp;", "&amp;"Totaal",Database_Productkaarten[#All],64,FALSE)),Referentie_Materiaal_Totaal[[#This Row],[% Secundair]])</f>
        <v>0</v>
      </c>
      <c r="F268" s="94">
        <f>Inschrijf_Materiaal_Totaal[[#This Row],[Hoeveelheid '[ton']]]*(1-Inschrijf_Materiaal_Totaal[[#This Row],[% Secundair]])</f>
        <v>0</v>
      </c>
      <c r="G268" s="94">
        <f>Inschrijf_Materiaal_Totaal[[#This Row],[Hoeveelheid '[ton']]]*Inschrijf_Materiaal_Totaal[[#This Row],[% Secundair]]</f>
        <v>0</v>
      </c>
      <c r="H268" s="128">
        <f>Optimalisatie!R60*Optimalisatie!T60</f>
        <v>0</v>
      </c>
      <c r="I268" s="128">
        <f>Inschrijf_Materiaal_Totaal[[#This Row],[Hoeveelheid Vervangingen '[ton']]]*(1-Inschrijf_Materiaal_Totaal[[#This Row],[% Secundair]])</f>
        <v>0</v>
      </c>
      <c r="J268" s="128">
        <f>Inschrijf_Materiaal_Totaal[[#This Row],[Primair materiaalverbruik Vervangingen]]*Inschrijf_Materiaal_Totaal[[#This Row],[% Secundair]]</f>
        <v>0</v>
      </c>
      <c r="K268" s="128">
        <f>Inschrijf_Materiaal_Totaal[[#This Row],[Primair materiaalverbruik]]+Inschrijf_Materiaal_Totaal[[#This Row],[Primair materiaalverbruik Vervangingen]]</f>
        <v>0</v>
      </c>
      <c r="L268" s="128">
        <f>Inschrijf_Materiaal_Totaal[[#This Row],[Secundair Materiaalverbruik]]+Inschrijf_Materiaal_Totaal[[#This Row],[Secundair Materiaalverbruik Vervangingen]]</f>
        <v>0</v>
      </c>
      <c r="M268" s="128">
        <f>Inschrijf_Materiaal_Totaal[[#This Row],[Totaal Primair Materieelgebruik]]+Inschrijf_Materiaal_Totaal[[#This Row],[Totaal Secundair Materieelgebruik]]</f>
        <v>0</v>
      </c>
    </row>
    <row r="269" spans="2:13">
      <c r="B269" s="209">
        <f>Optimalisatie!B61</f>
        <v>0</v>
      </c>
      <c r="C269" s="51">
        <f>Optimalisatie!F61</f>
        <v>0</v>
      </c>
      <c r="D269" s="93">
        <f>Optimalisatie!R61</f>
        <v>0</v>
      </c>
      <c r="E269" s="60">
        <f>_xlfn.IFNA(IF(Optimalisatie!E61="Categorie_1_LCA_Producten",VLOOKUP(Optimalisatie!F61,Categorie_1_Producten[#All],6,FALSE),VLOOKUP(Optimalisatie!F61&amp;", "&amp;"Totaal",Database_Productkaarten[#All],64,FALSE)),Referentie_Materiaal_Totaal[[#This Row],[% Secundair]])</f>
        <v>0</v>
      </c>
      <c r="F269" s="94">
        <f>Inschrijf_Materiaal_Totaal[[#This Row],[Hoeveelheid '[ton']]]*(1-Inschrijf_Materiaal_Totaal[[#This Row],[% Secundair]])</f>
        <v>0</v>
      </c>
      <c r="G269" s="94">
        <f>Inschrijf_Materiaal_Totaal[[#This Row],[Hoeveelheid '[ton']]]*Inschrijf_Materiaal_Totaal[[#This Row],[% Secundair]]</f>
        <v>0</v>
      </c>
      <c r="H269" s="128">
        <f>Optimalisatie!R61*Optimalisatie!T61</f>
        <v>0</v>
      </c>
      <c r="I269" s="128">
        <f>Inschrijf_Materiaal_Totaal[[#This Row],[Hoeveelheid Vervangingen '[ton']]]*(1-Inschrijf_Materiaal_Totaal[[#This Row],[% Secundair]])</f>
        <v>0</v>
      </c>
      <c r="J269" s="128">
        <f>Inschrijf_Materiaal_Totaal[[#This Row],[Primair materiaalverbruik Vervangingen]]*Inschrijf_Materiaal_Totaal[[#This Row],[% Secundair]]</f>
        <v>0</v>
      </c>
      <c r="K269" s="128">
        <f>Inschrijf_Materiaal_Totaal[[#This Row],[Primair materiaalverbruik]]+Inschrijf_Materiaal_Totaal[[#This Row],[Primair materiaalverbruik Vervangingen]]</f>
        <v>0</v>
      </c>
      <c r="L269" s="128">
        <f>Inschrijf_Materiaal_Totaal[[#This Row],[Secundair Materiaalverbruik]]+Inschrijf_Materiaal_Totaal[[#This Row],[Secundair Materiaalverbruik Vervangingen]]</f>
        <v>0</v>
      </c>
      <c r="M269" s="128">
        <f>Inschrijf_Materiaal_Totaal[[#This Row],[Totaal Primair Materieelgebruik]]+Inschrijf_Materiaal_Totaal[[#This Row],[Totaal Secundair Materieelgebruik]]</f>
        <v>0</v>
      </c>
    </row>
    <row r="270" spans="2:13">
      <c r="B270" s="209">
        <f>Optimalisatie!B62</f>
        <v>0</v>
      </c>
      <c r="C270" s="51">
        <f>Optimalisatie!F62</f>
        <v>0</v>
      </c>
      <c r="D270" s="93">
        <f>Optimalisatie!R62</f>
        <v>0</v>
      </c>
      <c r="E270" s="60">
        <f>_xlfn.IFNA(IF(Optimalisatie!E62="Categorie_1_LCA_Producten",VLOOKUP(Optimalisatie!F62,Categorie_1_Producten[#All],6,FALSE),VLOOKUP(Optimalisatie!F62&amp;", "&amp;"Totaal",Database_Productkaarten[#All],64,FALSE)),Referentie_Materiaal_Totaal[[#This Row],[% Secundair]])</f>
        <v>0</v>
      </c>
      <c r="F270" s="94">
        <f>Inschrijf_Materiaal_Totaal[[#This Row],[Hoeveelheid '[ton']]]*(1-Inschrijf_Materiaal_Totaal[[#This Row],[% Secundair]])</f>
        <v>0</v>
      </c>
      <c r="G270" s="94">
        <f>Inschrijf_Materiaal_Totaal[[#This Row],[Hoeveelheid '[ton']]]*Inschrijf_Materiaal_Totaal[[#This Row],[% Secundair]]</f>
        <v>0</v>
      </c>
      <c r="H270" s="128">
        <f>Optimalisatie!R62*Optimalisatie!T62</f>
        <v>0</v>
      </c>
      <c r="I270" s="128">
        <f>Inschrijf_Materiaal_Totaal[[#This Row],[Hoeveelheid Vervangingen '[ton']]]*(1-Inschrijf_Materiaal_Totaal[[#This Row],[% Secundair]])</f>
        <v>0</v>
      </c>
      <c r="J270" s="128">
        <f>Inschrijf_Materiaal_Totaal[[#This Row],[Primair materiaalverbruik Vervangingen]]*Inschrijf_Materiaal_Totaal[[#This Row],[% Secundair]]</f>
        <v>0</v>
      </c>
      <c r="K270" s="128">
        <f>Inschrijf_Materiaal_Totaal[[#This Row],[Primair materiaalverbruik]]+Inschrijf_Materiaal_Totaal[[#This Row],[Primair materiaalverbruik Vervangingen]]</f>
        <v>0</v>
      </c>
      <c r="L270" s="128">
        <f>Inschrijf_Materiaal_Totaal[[#This Row],[Secundair Materiaalverbruik]]+Inschrijf_Materiaal_Totaal[[#This Row],[Secundair Materiaalverbruik Vervangingen]]</f>
        <v>0</v>
      </c>
      <c r="M270" s="128">
        <f>Inschrijf_Materiaal_Totaal[[#This Row],[Totaal Primair Materieelgebruik]]+Inschrijf_Materiaal_Totaal[[#This Row],[Totaal Secundair Materieelgebruik]]</f>
        <v>0</v>
      </c>
    </row>
    <row r="271" spans="2:13">
      <c r="B271" s="209">
        <f>Optimalisatie!B63</f>
        <v>0</v>
      </c>
      <c r="C271" s="51">
        <f>Optimalisatie!F63</f>
        <v>0</v>
      </c>
      <c r="D271" s="93">
        <f>Optimalisatie!R63</f>
        <v>0</v>
      </c>
      <c r="E271" s="60">
        <f>_xlfn.IFNA(IF(Optimalisatie!E63="Categorie_1_LCA_Producten",VLOOKUP(Optimalisatie!F63,Categorie_1_Producten[#All],6,FALSE),VLOOKUP(Optimalisatie!F63&amp;", "&amp;"Totaal",Database_Productkaarten[#All],64,FALSE)),Referentie_Materiaal_Totaal[[#This Row],[% Secundair]])</f>
        <v>0</v>
      </c>
      <c r="F271" s="94">
        <f>Inschrijf_Materiaal_Totaal[[#This Row],[Hoeveelheid '[ton']]]*(1-Inschrijf_Materiaal_Totaal[[#This Row],[% Secundair]])</f>
        <v>0</v>
      </c>
      <c r="G271" s="94">
        <f>Inschrijf_Materiaal_Totaal[[#This Row],[Hoeveelheid '[ton']]]*Inschrijf_Materiaal_Totaal[[#This Row],[% Secundair]]</f>
        <v>0</v>
      </c>
      <c r="H271" s="128">
        <f>Optimalisatie!R63*Optimalisatie!T63</f>
        <v>0</v>
      </c>
      <c r="I271" s="128">
        <f>Inschrijf_Materiaal_Totaal[[#This Row],[Hoeveelheid Vervangingen '[ton']]]*(1-Inschrijf_Materiaal_Totaal[[#This Row],[% Secundair]])</f>
        <v>0</v>
      </c>
      <c r="J271" s="128">
        <f>Inschrijf_Materiaal_Totaal[[#This Row],[Primair materiaalverbruik Vervangingen]]*Inschrijf_Materiaal_Totaal[[#This Row],[% Secundair]]</f>
        <v>0</v>
      </c>
      <c r="K271" s="128">
        <f>Inschrijf_Materiaal_Totaal[[#This Row],[Primair materiaalverbruik]]+Inschrijf_Materiaal_Totaal[[#This Row],[Primair materiaalverbruik Vervangingen]]</f>
        <v>0</v>
      </c>
      <c r="L271" s="128">
        <f>Inschrijf_Materiaal_Totaal[[#This Row],[Secundair Materiaalverbruik]]+Inschrijf_Materiaal_Totaal[[#This Row],[Secundair Materiaalverbruik Vervangingen]]</f>
        <v>0</v>
      </c>
      <c r="M271" s="128">
        <f>Inschrijf_Materiaal_Totaal[[#This Row],[Totaal Primair Materieelgebruik]]+Inschrijf_Materiaal_Totaal[[#This Row],[Totaal Secundair Materieelgebruik]]</f>
        <v>0</v>
      </c>
    </row>
    <row r="272" spans="2:13">
      <c r="B272" s="209">
        <f>Optimalisatie!B64</f>
        <v>0</v>
      </c>
      <c r="C272" s="51">
        <f>Optimalisatie!F64</f>
        <v>0</v>
      </c>
      <c r="D272" s="93">
        <f>Optimalisatie!R64</f>
        <v>0</v>
      </c>
      <c r="E272" s="60">
        <f>_xlfn.IFNA(IF(Optimalisatie!E64="Categorie_1_LCA_Producten",VLOOKUP(Optimalisatie!F64,Categorie_1_Producten[#All],6,FALSE),VLOOKUP(Optimalisatie!F64&amp;", "&amp;"Totaal",Database_Productkaarten[#All],64,FALSE)),Referentie_Materiaal_Totaal[[#This Row],[% Secundair]])</f>
        <v>0</v>
      </c>
      <c r="F272" s="94">
        <f>Inschrijf_Materiaal_Totaal[[#This Row],[Hoeveelheid '[ton']]]*(1-Inschrijf_Materiaal_Totaal[[#This Row],[% Secundair]])</f>
        <v>0</v>
      </c>
      <c r="G272" s="94">
        <f>Inschrijf_Materiaal_Totaal[[#This Row],[Hoeveelheid '[ton']]]*Inschrijf_Materiaal_Totaal[[#This Row],[% Secundair]]</f>
        <v>0</v>
      </c>
      <c r="H272" s="128">
        <f>Optimalisatie!R64*Optimalisatie!T64</f>
        <v>0</v>
      </c>
      <c r="I272" s="128">
        <f>Inschrijf_Materiaal_Totaal[[#This Row],[Hoeveelheid Vervangingen '[ton']]]*(1-Inschrijf_Materiaal_Totaal[[#This Row],[% Secundair]])</f>
        <v>0</v>
      </c>
      <c r="J272" s="128">
        <f>Inschrijf_Materiaal_Totaal[[#This Row],[Primair materiaalverbruik Vervangingen]]*Inschrijf_Materiaal_Totaal[[#This Row],[% Secundair]]</f>
        <v>0</v>
      </c>
      <c r="K272" s="128">
        <f>Inschrijf_Materiaal_Totaal[[#This Row],[Primair materiaalverbruik]]+Inschrijf_Materiaal_Totaal[[#This Row],[Primair materiaalverbruik Vervangingen]]</f>
        <v>0</v>
      </c>
      <c r="L272" s="128">
        <f>Inschrijf_Materiaal_Totaal[[#This Row],[Secundair Materiaalverbruik]]+Inschrijf_Materiaal_Totaal[[#This Row],[Secundair Materiaalverbruik Vervangingen]]</f>
        <v>0</v>
      </c>
      <c r="M272" s="128">
        <f>Inschrijf_Materiaal_Totaal[[#This Row],[Totaal Primair Materieelgebruik]]+Inschrijf_Materiaal_Totaal[[#This Row],[Totaal Secundair Materieelgebruik]]</f>
        <v>0</v>
      </c>
    </row>
    <row r="273" spans="2:13">
      <c r="B273" s="209">
        <f>Optimalisatie!B65</f>
        <v>0</v>
      </c>
      <c r="C273" s="51">
        <f>Optimalisatie!F65</f>
        <v>0</v>
      </c>
      <c r="D273" s="93">
        <f>Optimalisatie!R65</f>
        <v>0</v>
      </c>
      <c r="E273" s="60">
        <f>_xlfn.IFNA(IF(Optimalisatie!E65="Categorie_1_LCA_Producten",VLOOKUP(Optimalisatie!F65,Categorie_1_Producten[#All],6,FALSE),VLOOKUP(Optimalisatie!F65&amp;", "&amp;"Totaal",Database_Productkaarten[#All],64,FALSE)),Referentie_Materiaal_Totaal[[#This Row],[% Secundair]])</f>
        <v>0</v>
      </c>
      <c r="F273" s="94">
        <f>Inschrijf_Materiaal_Totaal[[#This Row],[Hoeveelheid '[ton']]]*(1-Inschrijf_Materiaal_Totaal[[#This Row],[% Secundair]])</f>
        <v>0</v>
      </c>
      <c r="G273" s="94">
        <f>Inschrijf_Materiaal_Totaal[[#This Row],[Hoeveelheid '[ton']]]*Inschrijf_Materiaal_Totaal[[#This Row],[% Secundair]]</f>
        <v>0</v>
      </c>
      <c r="H273" s="128">
        <f>Optimalisatie!R65*Optimalisatie!T65</f>
        <v>0</v>
      </c>
      <c r="I273" s="128">
        <f>Inschrijf_Materiaal_Totaal[[#This Row],[Hoeveelheid Vervangingen '[ton']]]*(1-Inschrijf_Materiaal_Totaal[[#This Row],[% Secundair]])</f>
        <v>0</v>
      </c>
      <c r="J273" s="128">
        <f>Inschrijf_Materiaal_Totaal[[#This Row],[Primair materiaalverbruik Vervangingen]]*Inschrijf_Materiaal_Totaal[[#This Row],[% Secundair]]</f>
        <v>0</v>
      </c>
      <c r="K273" s="128">
        <f>Inschrijf_Materiaal_Totaal[[#This Row],[Primair materiaalverbruik]]+Inschrijf_Materiaal_Totaal[[#This Row],[Primair materiaalverbruik Vervangingen]]</f>
        <v>0</v>
      </c>
      <c r="L273" s="128">
        <f>Inschrijf_Materiaal_Totaal[[#This Row],[Secundair Materiaalverbruik]]+Inschrijf_Materiaal_Totaal[[#This Row],[Secundair Materiaalverbruik Vervangingen]]</f>
        <v>0</v>
      </c>
      <c r="M273" s="128">
        <f>Inschrijf_Materiaal_Totaal[[#This Row],[Totaal Primair Materieelgebruik]]+Inschrijf_Materiaal_Totaal[[#This Row],[Totaal Secundair Materieelgebruik]]</f>
        <v>0</v>
      </c>
    </row>
    <row r="274" spans="2:13">
      <c r="B274" s="209">
        <f>Optimalisatie!B66</f>
        <v>0</v>
      </c>
      <c r="C274" s="51">
        <f>Optimalisatie!F66</f>
        <v>0</v>
      </c>
      <c r="D274" s="93">
        <f>Optimalisatie!R66</f>
        <v>0</v>
      </c>
      <c r="E274" s="60">
        <f>_xlfn.IFNA(IF(Optimalisatie!E66="Categorie_1_LCA_Producten",VLOOKUP(Optimalisatie!F66,Categorie_1_Producten[#All],6,FALSE),VLOOKUP(Optimalisatie!F66&amp;", "&amp;"Totaal",Database_Productkaarten[#All],64,FALSE)),Referentie_Materiaal_Totaal[[#This Row],[% Secundair]])</f>
        <v>0</v>
      </c>
      <c r="F274" s="94">
        <f>Inschrijf_Materiaal_Totaal[[#This Row],[Hoeveelheid '[ton']]]*(1-Inschrijf_Materiaal_Totaal[[#This Row],[% Secundair]])</f>
        <v>0</v>
      </c>
      <c r="G274" s="94">
        <f>Inschrijf_Materiaal_Totaal[[#This Row],[Hoeveelheid '[ton']]]*Inschrijf_Materiaal_Totaal[[#This Row],[% Secundair]]</f>
        <v>0</v>
      </c>
      <c r="H274" s="128">
        <f>Optimalisatie!R66*Optimalisatie!T66</f>
        <v>0</v>
      </c>
      <c r="I274" s="128">
        <f>Inschrijf_Materiaal_Totaal[[#This Row],[Hoeveelheid Vervangingen '[ton']]]*(1-Inschrijf_Materiaal_Totaal[[#This Row],[% Secundair]])</f>
        <v>0</v>
      </c>
      <c r="J274" s="128">
        <f>Inschrijf_Materiaal_Totaal[[#This Row],[Primair materiaalverbruik Vervangingen]]*Inschrijf_Materiaal_Totaal[[#This Row],[% Secundair]]</f>
        <v>0</v>
      </c>
      <c r="K274" s="128">
        <f>Inschrijf_Materiaal_Totaal[[#This Row],[Primair materiaalverbruik]]+Inschrijf_Materiaal_Totaal[[#This Row],[Primair materiaalverbruik Vervangingen]]</f>
        <v>0</v>
      </c>
      <c r="L274" s="128">
        <f>Inschrijf_Materiaal_Totaal[[#This Row],[Secundair Materiaalverbruik]]+Inschrijf_Materiaal_Totaal[[#This Row],[Secundair Materiaalverbruik Vervangingen]]</f>
        <v>0</v>
      </c>
      <c r="M274" s="128">
        <f>Inschrijf_Materiaal_Totaal[[#This Row],[Totaal Primair Materieelgebruik]]+Inschrijf_Materiaal_Totaal[[#This Row],[Totaal Secundair Materieelgebruik]]</f>
        <v>0</v>
      </c>
    </row>
    <row r="275" spans="2:13">
      <c r="B275" s="209">
        <f>Optimalisatie!B67</f>
        <v>0</v>
      </c>
      <c r="C275" s="51">
        <f>Optimalisatie!F67</f>
        <v>0</v>
      </c>
      <c r="D275" s="93">
        <f>Optimalisatie!R67</f>
        <v>0</v>
      </c>
      <c r="E275" s="60">
        <f>_xlfn.IFNA(IF(Optimalisatie!E67="Categorie_1_LCA_Producten",VLOOKUP(Optimalisatie!F67,Categorie_1_Producten[#All],6,FALSE),VLOOKUP(Optimalisatie!F67&amp;", "&amp;"Totaal",Database_Productkaarten[#All],64,FALSE)),Referentie_Materiaal_Totaal[[#This Row],[% Secundair]])</f>
        <v>0</v>
      </c>
      <c r="F275" s="94">
        <f>Inschrijf_Materiaal_Totaal[[#This Row],[Hoeveelheid '[ton']]]*(1-Inschrijf_Materiaal_Totaal[[#This Row],[% Secundair]])</f>
        <v>0</v>
      </c>
      <c r="G275" s="94">
        <f>Inschrijf_Materiaal_Totaal[[#This Row],[Hoeveelheid '[ton']]]*Inschrijf_Materiaal_Totaal[[#This Row],[% Secundair]]</f>
        <v>0</v>
      </c>
      <c r="H275" s="128">
        <f>Optimalisatie!R67*Optimalisatie!T67</f>
        <v>0</v>
      </c>
      <c r="I275" s="128">
        <f>Inschrijf_Materiaal_Totaal[[#This Row],[Hoeveelheid Vervangingen '[ton']]]*(1-Inschrijf_Materiaal_Totaal[[#This Row],[% Secundair]])</f>
        <v>0</v>
      </c>
      <c r="J275" s="128">
        <f>Inschrijf_Materiaal_Totaal[[#This Row],[Primair materiaalverbruik Vervangingen]]*Inschrijf_Materiaal_Totaal[[#This Row],[% Secundair]]</f>
        <v>0</v>
      </c>
      <c r="K275" s="128">
        <f>Inschrijf_Materiaal_Totaal[[#This Row],[Primair materiaalverbruik]]+Inschrijf_Materiaal_Totaal[[#This Row],[Primair materiaalverbruik Vervangingen]]</f>
        <v>0</v>
      </c>
      <c r="L275" s="128">
        <f>Inschrijf_Materiaal_Totaal[[#This Row],[Secundair Materiaalverbruik]]+Inschrijf_Materiaal_Totaal[[#This Row],[Secundair Materiaalverbruik Vervangingen]]</f>
        <v>0</v>
      </c>
      <c r="M275" s="128">
        <f>Inschrijf_Materiaal_Totaal[[#This Row],[Totaal Primair Materieelgebruik]]+Inschrijf_Materiaal_Totaal[[#This Row],[Totaal Secundair Materieelgebruik]]</f>
        <v>0</v>
      </c>
    </row>
    <row r="276" spans="2:13">
      <c r="B276" s="209">
        <f>Optimalisatie!B68</f>
        <v>0</v>
      </c>
      <c r="C276" s="51">
        <f>Optimalisatie!F68</f>
        <v>0</v>
      </c>
      <c r="D276" s="93">
        <f>Optimalisatie!R68</f>
        <v>0</v>
      </c>
      <c r="E276" s="60">
        <f>_xlfn.IFNA(IF(Optimalisatie!E68="Categorie_1_LCA_Producten",VLOOKUP(Optimalisatie!F68,Categorie_1_Producten[#All],6,FALSE),VLOOKUP(Optimalisatie!F68&amp;", "&amp;"Totaal",Database_Productkaarten[#All],64,FALSE)),Referentie_Materiaal_Totaal[[#This Row],[% Secundair]])</f>
        <v>0</v>
      </c>
      <c r="F276" s="94">
        <f>Inschrijf_Materiaal_Totaal[[#This Row],[Hoeveelheid '[ton']]]*(1-Inschrijf_Materiaal_Totaal[[#This Row],[% Secundair]])</f>
        <v>0</v>
      </c>
      <c r="G276" s="94">
        <f>Inschrijf_Materiaal_Totaal[[#This Row],[Hoeveelheid '[ton']]]*Inschrijf_Materiaal_Totaal[[#This Row],[% Secundair]]</f>
        <v>0</v>
      </c>
      <c r="H276" s="128">
        <f>Optimalisatie!R68*Optimalisatie!T68</f>
        <v>0</v>
      </c>
      <c r="I276" s="128">
        <f>Inschrijf_Materiaal_Totaal[[#This Row],[Hoeveelheid Vervangingen '[ton']]]*(1-Inschrijf_Materiaal_Totaal[[#This Row],[% Secundair]])</f>
        <v>0</v>
      </c>
      <c r="J276" s="128">
        <f>Inschrijf_Materiaal_Totaal[[#This Row],[Primair materiaalverbruik Vervangingen]]*Inschrijf_Materiaal_Totaal[[#This Row],[% Secundair]]</f>
        <v>0</v>
      </c>
      <c r="K276" s="128">
        <f>Inschrijf_Materiaal_Totaal[[#This Row],[Primair materiaalverbruik]]+Inschrijf_Materiaal_Totaal[[#This Row],[Primair materiaalverbruik Vervangingen]]</f>
        <v>0</v>
      </c>
      <c r="L276" s="128">
        <f>Inschrijf_Materiaal_Totaal[[#This Row],[Secundair Materiaalverbruik]]+Inschrijf_Materiaal_Totaal[[#This Row],[Secundair Materiaalverbruik Vervangingen]]</f>
        <v>0</v>
      </c>
      <c r="M276" s="128">
        <f>Inschrijf_Materiaal_Totaal[[#This Row],[Totaal Primair Materieelgebruik]]+Inschrijf_Materiaal_Totaal[[#This Row],[Totaal Secundair Materieelgebruik]]</f>
        <v>0</v>
      </c>
    </row>
    <row r="277" spans="2:13">
      <c r="B277" s="209">
        <f>Optimalisatie!B69</f>
        <v>0</v>
      </c>
      <c r="C277" s="51">
        <f>Optimalisatie!F69</f>
        <v>0</v>
      </c>
      <c r="D277" s="93">
        <f>Optimalisatie!R69</f>
        <v>0</v>
      </c>
      <c r="E277" s="60">
        <f>_xlfn.IFNA(IF(Optimalisatie!E69="Categorie_1_LCA_Producten",VLOOKUP(Optimalisatie!F69,Categorie_1_Producten[#All],6,FALSE),VLOOKUP(Optimalisatie!F69&amp;", "&amp;"Totaal",Database_Productkaarten[#All],64,FALSE)),Referentie_Materiaal_Totaal[[#This Row],[% Secundair]])</f>
        <v>0</v>
      </c>
      <c r="F277" s="94">
        <f>Inschrijf_Materiaal_Totaal[[#This Row],[Hoeveelheid '[ton']]]*(1-Inschrijf_Materiaal_Totaal[[#This Row],[% Secundair]])</f>
        <v>0</v>
      </c>
      <c r="G277" s="94">
        <f>Inschrijf_Materiaal_Totaal[[#This Row],[Hoeveelheid '[ton']]]*Inschrijf_Materiaal_Totaal[[#This Row],[% Secundair]]</f>
        <v>0</v>
      </c>
      <c r="H277" s="128">
        <f>Optimalisatie!R69*Optimalisatie!T69</f>
        <v>0</v>
      </c>
      <c r="I277" s="128">
        <f>Inschrijf_Materiaal_Totaal[[#This Row],[Hoeveelheid Vervangingen '[ton']]]*(1-Inschrijf_Materiaal_Totaal[[#This Row],[% Secundair]])</f>
        <v>0</v>
      </c>
      <c r="J277" s="128">
        <f>Inschrijf_Materiaal_Totaal[[#This Row],[Primair materiaalverbruik Vervangingen]]*Inschrijf_Materiaal_Totaal[[#This Row],[% Secundair]]</f>
        <v>0</v>
      </c>
      <c r="K277" s="128">
        <f>Inschrijf_Materiaal_Totaal[[#This Row],[Primair materiaalverbruik]]+Inschrijf_Materiaal_Totaal[[#This Row],[Primair materiaalverbruik Vervangingen]]</f>
        <v>0</v>
      </c>
      <c r="L277" s="128">
        <f>Inschrijf_Materiaal_Totaal[[#This Row],[Secundair Materiaalverbruik]]+Inschrijf_Materiaal_Totaal[[#This Row],[Secundair Materiaalverbruik Vervangingen]]</f>
        <v>0</v>
      </c>
      <c r="M277" s="128">
        <f>Inschrijf_Materiaal_Totaal[[#This Row],[Totaal Primair Materieelgebruik]]+Inschrijf_Materiaal_Totaal[[#This Row],[Totaal Secundair Materieelgebruik]]</f>
        <v>0</v>
      </c>
    </row>
    <row r="278" spans="2:13">
      <c r="B278" s="209">
        <f>Optimalisatie!B70</f>
        <v>0</v>
      </c>
      <c r="C278" s="51">
        <f>Optimalisatie!F70</f>
        <v>0</v>
      </c>
      <c r="D278" s="93">
        <f>Optimalisatie!R70</f>
        <v>0</v>
      </c>
      <c r="E278" s="60">
        <f>_xlfn.IFNA(IF(Optimalisatie!E70="Categorie_1_LCA_Producten",VLOOKUP(Optimalisatie!F70,Categorie_1_Producten[#All],6,FALSE),VLOOKUP(Optimalisatie!F70&amp;", "&amp;"Totaal",Database_Productkaarten[#All],64,FALSE)),Referentie_Materiaal_Totaal[[#This Row],[% Secundair]])</f>
        <v>0</v>
      </c>
      <c r="F278" s="94">
        <f>Inschrijf_Materiaal_Totaal[[#This Row],[Hoeveelheid '[ton']]]*(1-Inschrijf_Materiaal_Totaal[[#This Row],[% Secundair]])</f>
        <v>0</v>
      </c>
      <c r="G278" s="94">
        <f>Inschrijf_Materiaal_Totaal[[#This Row],[Hoeveelheid '[ton']]]*Inschrijf_Materiaal_Totaal[[#This Row],[% Secundair]]</f>
        <v>0</v>
      </c>
      <c r="H278" s="128">
        <f>Optimalisatie!R70*Optimalisatie!T70</f>
        <v>0</v>
      </c>
      <c r="I278" s="128">
        <f>Inschrijf_Materiaal_Totaal[[#This Row],[Hoeveelheid Vervangingen '[ton']]]*(1-Inschrijf_Materiaal_Totaal[[#This Row],[% Secundair]])</f>
        <v>0</v>
      </c>
      <c r="J278" s="128">
        <f>Inschrijf_Materiaal_Totaal[[#This Row],[Primair materiaalverbruik Vervangingen]]*Inschrijf_Materiaal_Totaal[[#This Row],[% Secundair]]</f>
        <v>0</v>
      </c>
      <c r="K278" s="128">
        <f>Inschrijf_Materiaal_Totaal[[#This Row],[Primair materiaalverbruik]]+Inschrijf_Materiaal_Totaal[[#This Row],[Primair materiaalverbruik Vervangingen]]</f>
        <v>0</v>
      </c>
      <c r="L278" s="128">
        <f>Inschrijf_Materiaal_Totaal[[#This Row],[Secundair Materiaalverbruik]]+Inschrijf_Materiaal_Totaal[[#This Row],[Secundair Materiaalverbruik Vervangingen]]</f>
        <v>0</v>
      </c>
      <c r="M278" s="128">
        <f>Inschrijf_Materiaal_Totaal[[#This Row],[Totaal Primair Materieelgebruik]]+Inschrijf_Materiaal_Totaal[[#This Row],[Totaal Secundair Materieelgebruik]]</f>
        <v>0</v>
      </c>
    </row>
    <row r="279" spans="2:13">
      <c r="B279" s="209">
        <f>Optimalisatie!B71</f>
        <v>0</v>
      </c>
      <c r="C279" s="51">
        <f>Optimalisatie!F71</f>
        <v>0</v>
      </c>
      <c r="D279" s="93">
        <f>Optimalisatie!R71</f>
        <v>0</v>
      </c>
      <c r="E279" s="60">
        <f>_xlfn.IFNA(IF(Optimalisatie!E71="Categorie_1_LCA_Producten",VLOOKUP(Optimalisatie!F71,Categorie_1_Producten[#All],6,FALSE),VLOOKUP(Optimalisatie!F71&amp;", "&amp;"Totaal",Database_Productkaarten[#All],64,FALSE)),Referentie_Materiaal_Totaal[[#This Row],[% Secundair]])</f>
        <v>0</v>
      </c>
      <c r="F279" s="94">
        <f>Inschrijf_Materiaal_Totaal[[#This Row],[Hoeveelheid '[ton']]]*(1-Inschrijf_Materiaal_Totaal[[#This Row],[% Secundair]])</f>
        <v>0</v>
      </c>
      <c r="G279" s="94">
        <f>Inschrijf_Materiaal_Totaal[[#This Row],[Hoeveelheid '[ton']]]*Inschrijf_Materiaal_Totaal[[#This Row],[% Secundair]]</f>
        <v>0</v>
      </c>
      <c r="H279" s="128">
        <f>Optimalisatie!R71*Optimalisatie!T71</f>
        <v>0</v>
      </c>
      <c r="I279" s="128">
        <f>Inschrijf_Materiaal_Totaal[[#This Row],[Hoeveelheid Vervangingen '[ton']]]*(1-Inschrijf_Materiaal_Totaal[[#This Row],[% Secundair]])</f>
        <v>0</v>
      </c>
      <c r="J279" s="128">
        <f>Inschrijf_Materiaal_Totaal[[#This Row],[Primair materiaalverbruik Vervangingen]]*Inschrijf_Materiaal_Totaal[[#This Row],[% Secundair]]</f>
        <v>0</v>
      </c>
      <c r="K279" s="128">
        <f>Inschrijf_Materiaal_Totaal[[#This Row],[Primair materiaalverbruik]]+Inschrijf_Materiaal_Totaal[[#This Row],[Primair materiaalverbruik Vervangingen]]</f>
        <v>0</v>
      </c>
      <c r="L279" s="128">
        <f>Inschrijf_Materiaal_Totaal[[#This Row],[Secundair Materiaalverbruik]]+Inschrijf_Materiaal_Totaal[[#This Row],[Secundair Materiaalverbruik Vervangingen]]</f>
        <v>0</v>
      </c>
      <c r="M279" s="128">
        <f>Inschrijf_Materiaal_Totaal[[#This Row],[Totaal Primair Materieelgebruik]]+Inschrijf_Materiaal_Totaal[[#This Row],[Totaal Secundair Materieelgebruik]]</f>
        <v>0</v>
      </c>
    </row>
    <row r="280" spans="2:13">
      <c r="B280" s="209">
        <f>Optimalisatie!B72</f>
        <v>0</v>
      </c>
      <c r="C280" s="51">
        <f>Optimalisatie!F72</f>
        <v>0</v>
      </c>
      <c r="D280" s="93">
        <f>Optimalisatie!R72</f>
        <v>0</v>
      </c>
      <c r="E280" s="60">
        <f>_xlfn.IFNA(IF(Optimalisatie!E72="Categorie_1_LCA_Producten",VLOOKUP(Optimalisatie!F72,Categorie_1_Producten[#All],6,FALSE),VLOOKUP(Optimalisatie!F72&amp;", "&amp;"Totaal",Database_Productkaarten[#All],64,FALSE)),Referentie_Materiaal_Totaal[[#This Row],[% Secundair]])</f>
        <v>0</v>
      </c>
      <c r="F280" s="94">
        <f>Inschrijf_Materiaal_Totaal[[#This Row],[Hoeveelheid '[ton']]]*(1-Inschrijf_Materiaal_Totaal[[#This Row],[% Secundair]])</f>
        <v>0</v>
      </c>
      <c r="G280" s="94">
        <f>Inschrijf_Materiaal_Totaal[[#This Row],[Hoeveelheid '[ton']]]*Inschrijf_Materiaal_Totaal[[#This Row],[% Secundair]]</f>
        <v>0</v>
      </c>
      <c r="H280" s="128">
        <f>Optimalisatie!R72*Optimalisatie!T72</f>
        <v>0</v>
      </c>
      <c r="I280" s="128">
        <f>Inschrijf_Materiaal_Totaal[[#This Row],[Hoeveelheid Vervangingen '[ton']]]*(1-Inschrijf_Materiaal_Totaal[[#This Row],[% Secundair]])</f>
        <v>0</v>
      </c>
      <c r="J280" s="128">
        <f>Inschrijf_Materiaal_Totaal[[#This Row],[Primair materiaalverbruik Vervangingen]]*Inschrijf_Materiaal_Totaal[[#This Row],[% Secundair]]</f>
        <v>0</v>
      </c>
      <c r="K280" s="128">
        <f>Inschrijf_Materiaal_Totaal[[#This Row],[Primair materiaalverbruik]]+Inschrijf_Materiaal_Totaal[[#This Row],[Primair materiaalverbruik Vervangingen]]</f>
        <v>0</v>
      </c>
      <c r="L280" s="128">
        <f>Inschrijf_Materiaal_Totaal[[#This Row],[Secundair Materiaalverbruik]]+Inschrijf_Materiaal_Totaal[[#This Row],[Secundair Materiaalverbruik Vervangingen]]</f>
        <v>0</v>
      </c>
      <c r="M280" s="128">
        <f>Inschrijf_Materiaal_Totaal[[#This Row],[Totaal Primair Materieelgebruik]]+Inschrijf_Materiaal_Totaal[[#This Row],[Totaal Secundair Materieelgebruik]]</f>
        <v>0</v>
      </c>
    </row>
    <row r="281" spans="2:13">
      <c r="B281" s="209">
        <f>Optimalisatie!B73</f>
        <v>0</v>
      </c>
      <c r="C281" s="51">
        <f>Optimalisatie!F73</f>
        <v>0</v>
      </c>
      <c r="D281" s="93">
        <f>Optimalisatie!R73</f>
        <v>0</v>
      </c>
      <c r="E281" s="60">
        <f>_xlfn.IFNA(IF(Optimalisatie!E73="Categorie_1_LCA_Producten",VLOOKUP(Optimalisatie!F73,Categorie_1_Producten[#All],6,FALSE),VLOOKUP(Optimalisatie!F73&amp;", "&amp;"Totaal",Database_Productkaarten[#All],64,FALSE)),Referentie_Materiaal_Totaal[[#This Row],[% Secundair]])</f>
        <v>0</v>
      </c>
      <c r="F281" s="94">
        <f>Inschrijf_Materiaal_Totaal[[#This Row],[Hoeveelheid '[ton']]]*(1-Inschrijf_Materiaal_Totaal[[#This Row],[% Secundair]])</f>
        <v>0</v>
      </c>
      <c r="G281" s="94">
        <f>Inschrijf_Materiaal_Totaal[[#This Row],[Hoeveelheid '[ton']]]*Inschrijf_Materiaal_Totaal[[#This Row],[% Secundair]]</f>
        <v>0</v>
      </c>
      <c r="H281" s="128">
        <f>Optimalisatie!R73*Optimalisatie!T73</f>
        <v>0</v>
      </c>
      <c r="I281" s="128">
        <f>Inschrijf_Materiaal_Totaal[[#This Row],[Hoeveelheid Vervangingen '[ton']]]*(1-Inschrijf_Materiaal_Totaal[[#This Row],[% Secundair]])</f>
        <v>0</v>
      </c>
      <c r="J281" s="128">
        <f>Inschrijf_Materiaal_Totaal[[#This Row],[Primair materiaalverbruik Vervangingen]]*Inschrijf_Materiaal_Totaal[[#This Row],[% Secundair]]</f>
        <v>0</v>
      </c>
      <c r="K281" s="128">
        <f>Inschrijf_Materiaal_Totaal[[#This Row],[Primair materiaalverbruik]]+Inschrijf_Materiaal_Totaal[[#This Row],[Primair materiaalverbruik Vervangingen]]</f>
        <v>0</v>
      </c>
      <c r="L281" s="128">
        <f>Inschrijf_Materiaal_Totaal[[#This Row],[Secundair Materiaalverbruik]]+Inschrijf_Materiaal_Totaal[[#This Row],[Secundair Materiaalverbruik Vervangingen]]</f>
        <v>0</v>
      </c>
      <c r="M281" s="128">
        <f>Inschrijf_Materiaal_Totaal[[#This Row],[Totaal Primair Materieelgebruik]]+Inschrijf_Materiaal_Totaal[[#This Row],[Totaal Secundair Materieelgebruik]]</f>
        <v>0</v>
      </c>
    </row>
    <row r="282" spans="2:13">
      <c r="B282" s="209">
        <f>Optimalisatie!B74</f>
        <v>0</v>
      </c>
      <c r="C282" s="51">
        <f>Optimalisatie!F74</f>
        <v>0</v>
      </c>
      <c r="D282" s="93">
        <f>Optimalisatie!R74</f>
        <v>0</v>
      </c>
      <c r="E282" s="60">
        <f>_xlfn.IFNA(IF(Optimalisatie!E74="Categorie_1_LCA_Producten",VLOOKUP(Optimalisatie!F74,Categorie_1_Producten[#All],6,FALSE),VLOOKUP(Optimalisatie!F74&amp;", "&amp;"Totaal",Database_Productkaarten[#All],64,FALSE)),Referentie_Materiaal_Totaal[[#This Row],[% Secundair]])</f>
        <v>0</v>
      </c>
      <c r="F282" s="94">
        <f>Inschrijf_Materiaal_Totaal[[#This Row],[Hoeveelheid '[ton']]]*(1-Inschrijf_Materiaal_Totaal[[#This Row],[% Secundair]])</f>
        <v>0</v>
      </c>
      <c r="G282" s="94">
        <f>Inschrijf_Materiaal_Totaal[[#This Row],[Hoeveelheid '[ton']]]*Inschrijf_Materiaal_Totaal[[#This Row],[% Secundair]]</f>
        <v>0</v>
      </c>
      <c r="H282" s="128">
        <f>Optimalisatie!R74*Optimalisatie!T74</f>
        <v>0</v>
      </c>
      <c r="I282" s="128">
        <f>Inschrijf_Materiaal_Totaal[[#This Row],[Hoeveelheid Vervangingen '[ton']]]*(1-Inschrijf_Materiaal_Totaal[[#This Row],[% Secundair]])</f>
        <v>0</v>
      </c>
      <c r="J282" s="128">
        <f>Inschrijf_Materiaal_Totaal[[#This Row],[Primair materiaalverbruik Vervangingen]]*Inschrijf_Materiaal_Totaal[[#This Row],[% Secundair]]</f>
        <v>0</v>
      </c>
      <c r="K282" s="128">
        <f>Inschrijf_Materiaal_Totaal[[#This Row],[Primair materiaalverbruik]]+Inschrijf_Materiaal_Totaal[[#This Row],[Primair materiaalverbruik Vervangingen]]</f>
        <v>0</v>
      </c>
      <c r="L282" s="128">
        <f>Inschrijf_Materiaal_Totaal[[#This Row],[Secundair Materiaalverbruik]]+Inschrijf_Materiaal_Totaal[[#This Row],[Secundair Materiaalverbruik Vervangingen]]</f>
        <v>0</v>
      </c>
      <c r="M282" s="128">
        <f>Inschrijf_Materiaal_Totaal[[#This Row],[Totaal Primair Materieelgebruik]]+Inschrijf_Materiaal_Totaal[[#This Row],[Totaal Secundair Materieelgebruik]]</f>
        <v>0</v>
      </c>
    </row>
    <row r="283" spans="2:13">
      <c r="B283" s="209">
        <f>Optimalisatie!B75</f>
        <v>0</v>
      </c>
      <c r="C283" s="51">
        <f>Optimalisatie!F75</f>
        <v>0</v>
      </c>
      <c r="D283" s="93">
        <f>Optimalisatie!R75</f>
        <v>0</v>
      </c>
      <c r="E283" s="60">
        <f>_xlfn.IFNA(IF(Optimalisatie!E75="Categorie_1_LCA_Producten",VLOOKUP(Optimalisatie!F75,Categorie_1_Producten[#All],6,FALSE),VLOOKUP(Optimalisatie!F75&amp;", "&amp;"Totaal",Database_Productkaarten[#All],64,FALSE)),Referentie_Materiaal_Totaal[[#This Row],[% Secundair]])</f>
        <v>0</v>
      </c>
      <c r="F283" s="94">
        <f>Inschrijf_Materiaal_Totaal[[#This Row],[Hoeveelheid '[ton']]]*(1-Inschrijf_Materiaal_Totaal[[#This Row],[% Secundair]])</f>
        <v>0</v>
      </c>
      <c r="G283" s="94">
        <f>Inschrijf_Materiaal_Totaal[[#This Row],[Hoeveelheid '[ton']]]*Inschrijf_Materiaal_Totaal[[#This Row],[% Secundair]]</f>
        <v>0</v>
      </c>
      <c r="H283" s="128">
        <f>Optimalisatie!R75*Optimalisatie!T75</f>
        <v>0</v>
      </c>
      <c r="I283" s="128">
        <f>Inschrijf_Materiaal_Totaal[[#This Row],[Hoeveelheid Vervangingen '[ton']]]*(1-Inschrijf_Materiaal_Totaal[[#This Row],[% Secundair]])</f>
        <v>0</v>
      </c>
      <c r="J283" s="128">
        <f>Inschrijf_Materiaal_Totaal[[#This Row],[Primair materiaalverbruik Vervangingen]]*Inschrijf_Materiaal_Totaal[[#This Row],[% Secundair]]</f>
        <v>0</v>
      </c>
      <c r="K283" s="128">
        <f>Inschrijf_Materiaal_Totaal[[#This Row],[Primair materiaalverbruik]]+Inschrijf_Materiaal_Totaal[[#This Row],[Primair materiaalverbruik Vervangingen]]</f>
        <v>0</v>
      </c>
      <c r="L283" s="128">
        <f>Inschrijf_Materiaal_Totaal[[#This Row],[Secundair Materiaalverbruik]]+Inschrijf_Materiaal_Totaal[[#This Row],[Secundair Materiaalverbruik Vervangingen]]</f>
        <v>0</v>
      </c>
      <c r="M283" s="128">
        <f>Inschrijf_Materiaal_Totaal[[#This Row],[Totaal Primair Materieelgebruik]]+Inschrijf_Materiaal_Totaal[[#This Row],[Totaal Secundair Materieelgebruik]]</f>
        <v>0</v>
      </c>
    </row>
    <row r="284" spans="2:13">
      <c r="B284" s="209">
        <f>Optimalisatie!B76</f>
        <v>0</v>
      </c>
      <c r="C284" s="51">
        <f>Optimalisatie!F76</f>
        <v>0</v>
      </c>
      <c r="D284" s="93">
        <f>Optimalisatie!R76</f>
        <v>0</v>
      </c>
      <c r="E284" s="60">
        <f>_xlfn.IFNA(IF(Optimalisatie!E76="Categorie_1_LCA_Producten",VLOOKUP(Optimalisatie!F76,Categorie_1_Producten[#All],6,FALSE),VLOOKUP(Optimalisatie!F76&amp;", "&amp;"Totaal",Database_Productkaarten[#All],64,FALSE)),Referentie_Materiaal_Totaal[[#This Row],[% Secundair]])</f>
        <v>0</v>
      </c>
      <c r="F284" s="94">
        <f>Inschrijf_Materiaal_Totaal[[#This Row],[Hoeveelheid '[ton']]]*(1-Inschrijf_Materiaal_Totaal[[#This Row],[% Secundair]])</f>
        <v>0</v>
      </c>
      <c r="G284" s="94">
        <f>Inschrijf_Materiaal_Totaal[[#This Row],[Hoeveelheid '[ton']]]*Inschrijf_Materiaal_Totaal[[#This Row],[% Secundair]]</f>
        <v>0</v>
      </c>
      <c r="H284" s="128">
        <f>Optimalisatie!R76*Optimalisatie!T76</f>
        <v>0</v>
      </c>
      <c r="I284" s="128">
        <f>Inschrijf_Materiaal_Totaal[[#This Row],[Hoeveelheid Vervangingen '[ton']]]*(1-Inschrijf_Materiaal_Totaal[[#This Row],[% Secundair]])</f>
        <v>0</v>
      </c>
      <c r="J284" s="128">
        <f>Inschrijf_Materiaal_Totaal[[#This Row],[Primair materiaalverbruik Vervangingen]]*Inschrijf_Materiaal_Totaal[[#This Row],[% Secundair]]</f>
        <v>0</v>
      </c>
      <c r="K284" s="128">
        <f>Inschrijf_Materiaal_Totaal[[#This Row],[Primair materiaalverbruik]]+Inschrijf_Materiaal_Totaal[[#This Row],[Primair materiaalverbruik Vervangingen]]</f>
        <v>0</v>
      </c>
      <c r="L284" s="128">
        <f>Inschrijf_Materiaal_Totaal[[#This Row],[Secundair Materiaalverbruik]]+Inschrijf_Materiaal_Totaal[[#This Row],[Secundair Materiaalverbruik Vervangingen]]</f>
        <v>0</v>
      </c>
      <c r="M284" s="128">
        <f>Inschrijf_Materiaal_Totaal[[#This Row],[Totaal Primair Materieelgebruik]]+Inschrijf_Materiaal_Totaal[[#This Row],[Totaal Secundair Materieelgebruik]]</f>
        <v>0</v>
      </c>
    </row>
    <row r="285" spans="2:13">
      <c r="B285" s="209">
        <f>Optimalisatie!B77</f>
        <v>0</v>
      </c>
      <c r="C285" s="51">
        <f>Optimalisatie!F77</f>
        <v>0</v>
      </c>
      <c r="D285" s="93">
        <f>Optimalisatie!R77</f>
        <v>0</v>
      </c>
      <c r="E285" s="60">
        <f>_xlfn.IFNA(IF(Optimalisatie!E77="Categorie_1_LCA_Producten",VLOOKUP(Optimalisatie!F77,Categorie_1_Producten[#All],6,FALSE),VLOOKUP(Optimalisatie!F77&amp;", "&amp;"Totaal",Database_Productkaarten[#All],64,FALSE)),Referentie_Materiaal_Totaal[[#This Row],[% Secundair]])</f>
        <v>0</v>
      </c>
      <c r="F285" s="94">
        <f>Inschrijf_Materiaal_Totaal[[#This Row],[Hoeveelheid '[ton']]]*(1-Inschrijf_Materiaal_Totaal[[#This Row],[% Secundair]])</f>
        <v>0</v>
      </c>
      <c r="G285" s="94">
        <f>Inschrijf_Materiaal_Totaal[[#This Row],[Hoeveelheid '[ton']]]*Inschrijf_Materiaal_Totaal[[#This Row],[% Secundair]]</f>
        <v>0</v>
      </c>
      <c r="H285" s="128">
        <f>Optimalisatie!R77*Optimalisatie!T77</f>
        <v>0</v>
      </c>
      <c r="I285" s="128">
        <f>Inschrijf_Materiaal_Totaal[[#This Row],[Hoeveelheid Vervangingen '[ton']]]*(1-Inschrijf_Materiaal_Totaal[[#This Row],[% Secundair]])</f>
        <v>0</v>
      </c>
      <c r="J285" s="128">
        <f>Inschrijf_Materiaal_Totaal[[#This Row],[Primair materiaalverbruik Vervangingen]]*Inschrijf_Materiaal_Totaal[[#This Row],[% Secundair]]</f>
        <v>0</v>
      </c>
      <c r="K285" s="128">
        <f>Inschrijf_Materiaal_Totaal[[#This Row],[Primair materiaalverbruik]]+Inschrijf_Materiaal_Totaal[[#This Row],[Primair materiaalverbruik Vervangingen]]</f>
        <v>0</v>
      </c>
      <c r="L285" s="128">
        <f>Inschrijf_Materiaal_Totaal[[#This Row],[Secundair Materiaalverbruik]]+Inschrijf_Materiaal_Totaal[[#This Row],[Secundair Materiaalverbruik Vervangingen]]</f>
        <v>0</v>
      </c>
      <c r="M285" s="128">
        <f>Inschrijf_Materiaal_Totaal[[#This Row],[Totaal Primair Materieelgebruik]]+Inschrijf_Materiaal_Totaal[[#This Row],[Totaal Secundair Materieelgebruik]]</f>
        <v>0</v>
      </c>
    </row>
    <row r="286" spans="2:13">
      <c r="B286" s="209">
        <f>Optimalisatie!B78</f>
        <v>0</v>
      </c>
      <c r="C286" s="51">
        <f>Optimalisatie!F78</f>
        <v>0</v>
      </c>
      <c r="D286" s="93">
        <f>Optimalisatie!R78</f>
        <v>0</v>
      </c>
      <c r="E286" s="60">
        <f>_xlfn.IFNA(IF(Optimalisatie!E78="Categorie_1_LCA_Producten",VLOOKUP(Optimalisatie!F78,Categorie_1_Producten[#All],6,FALSE),VLOOKUP(Optimalisatie!F78&amp;", "&amp;"Totaal",Database_Productkaarten[#All],64,FALSE)),Referentie_Materiaal_Totaal[[#This Row],[% Secundair]])</f>
        <v>0</v>
      </c>
      <c r="F286" s="94">
        <f>Inschrijf_Materiaal_Totaal[[#This Row],[Hoeveelheid '[ton']]]*(1-Inschrijf_Materiaal_Totaal[[#This Row],[% Secundair]])</f>
        <v>0</v>
      </c>
      <c r="G286" s="94">
        <f>Inschrijf_Materiaal_Totaal[[#This Row],[Hoeveelheid '[ton']]]*Inschrijf_Materiaal_Totaal[[#This Row],[% Secundair]]</f>
        <v>0</v>
      </c>
      <c r="H286" s="128">
        <f>Optimalisatie!R78*Optimalisatie!T78</f>
        <v>0</v>
      </c>
      <c r="I286" s="128">
        <f>Inschrijf_Materiaal_Totaal[[#This Row],[Hoeveelheid Vervangingen '[ton']]]*(1-Inschrijf_Materiaal_Totaal[[#This Row],[% Secundair]])</f>
        <v>0</v>
      </c>
      <c r="J286" s="128">
        <f>Inschrijf_Materiaal_Totaal[[#This Row],[Primair materiaalverbruik Vervangingen]]*Inschrijf_Materiaal_Totaal[[#This Row],[% Secundair]]</f>
        <v>0</v>
      </c>
      <c r="K286" s="128">
        <f>Inschrijf_Materiaal_Totaal[[#This Row],[Primair materiaalverbruik]]+Inschrijf_Materiaal_Totaal[[#This Row],[Primair materiaalverbruik Vervangingen]]</f>
        <v>0</v>
      </c>
      <c r="L286" s="128">
        <f>Inschrijf_Materiaal_Totaal[[#This Row],[Secundair Materiaalverbruik]]+Inschrijf_Materiaal_Totaal[[#This Row],[Secundair Materiaalverbruik Vervangingen]]</f>
        <v>0</v>
      </c>
      <c r="M286" s="128">
        <f>Inschrijf_Materiaal_Totaal[[#This Row],[Totaal Primair Materieelgebruik]]+Inschrijf_Materiaal_Totaal[[#This Row],[Totaal Secundair Materieelgebruik]]</f>
        <v>0</v>
      </c>
    </row>
    <row r="287" spans="2:13">
      <c r="B287" s="209">
        <f>Optimalisatie!B79</f>
        <v>0</v>
      </c>
      <c r="C287" s="51">
        <f>Optimalisatie!F79</f>
        <v>0</v>
      </c>
      <c r="D287" s="93">
        <f>Optimalisatie!R79</f>
        <v>0</v>
      </c>
      <c r="E287" s="60">
        <f>_xlfn.IFNA(IF(Optimalisatie!E79="Categorie_1_LCA_Producten",VLOOKUP(Optimalisatie!F79,Categorie_1_Producten[#All],6,FALSE),VLOOKUP(Optimalisatie!F79&amp;", "&amp;"Totaal",Database_Productkaarten[#All],64,FALSE)),Referentie_Materiaal_Totaal[[#This Row],[% Secundair]])</f>
        <v>0</v>
      </c>
      <c r="F287" s="94">
        <f>Inschrijf_Materiaal_Totaal[[#This Row],[Hoeveelheid '[ton']]]*(1-Inschrijf_Materiaal_Totaal[[#This Row],[% Secundair]])</f>
        <v>0</v>
      </c>
      <c r="G287" s="94">
        <f>Inschrijf_Materiaal_Totaal[[#This Row],[Hoeveelheid '[ton']]]*Inschrijf_Materiaal_Totaal[[#This Row],[% Secundair]]</f>
        <v>0</v>
      </c>
      <c r="H287" s="128">
        <f>Optimalisatie!R79*Optimalisatie!T79</f>
        <v>0</v>
      </c>
      <c r="I287" s="128">
        <f>Inschrijf_Materiaal_Totaal[[#This Row],[Hoeveelheid Vervangingen '[ton']]]*(1-Inschrijf_Materiaal_Totaal[[#This Row],[% Secundair]])</f>
        <v>0</v>
      </c>
      <c r="J287" s="128">
        <f>Inschrijf_Materiaal_Totaal[[#This Row],[Primair materiaalverbruik Vervangingen]]*Inschrijf_Materiaal_Totaal[[#This Row],[% Secundair]]</f>
        <v>0</v>
      </c>
      <c r="K287" s="128">
        <f>Inschrijf_Materiaal_Totaal[[#This Row],[Primair materiaalverbruik]]+Inschrijf_Materiaal_Totaal[[#This Row],[Primair materiaalverbruik Vervangingen]]</f>
        <v>0</v>
      </c>
      <c r="L287" s="128">
        <f>Inschrijf_Materiaal_Totaal[[#This Row],[Secundair Materiaalverbruik]]+Inschrijf_Materiaal_Totaal[[#This Row],[Secundair Materiaalverbruik Vervangingen]]</f>
        <v>0</v>
      </c>
      <c r="M287" s="128">
        <f>Inschrijf_Materiaal_Totaal[[#This Row],[Totaal Primair Materieelgebruik]]+Inschrijf_Materiaal_Totaal[[#This Row],[Totaal Secundair Materieelgebruik]]</f>
        <v>0</v>
      </c>
    </row>
    <row r="288" spans="2:13">
      <c r="B288" s="209">
        <f>Optimalisatie!B80</f>
        <v>0</v>
      </c>
      <c r="C288" s="51">
        <f>Optimalisatie!F80</f>
        <v>0</v>
      </c>
      <c r="D288" s="93">
        <f>Optimalisatie!R80</f>
        <v>0</v>
      </c>
      <c r="E288" s="60">
        <f>_xlfn.IFNA(IF(Optimalisatie!E80="Categorie_1_LCA_Producten",VLOOKUP(Optimalisatie!F80,Categorie_1_Producten[#All],6,FALSE),VLOOKUP(Optimalisatie!F80&amp;", "&amp;"Totaal",Database_Productkaarten[#All],64,FALSE)),Referentie_Materiaal_Totaal[[#This Row],[% Secundair]])</f>
        <v>0</v>
      </c>
      <c r="F288" s="94">
        <f>Inschrijf_Materiaal_Totaal[[#This Row],[Hoeveelheid '[ton']]]*(1-Inschrijf_Materiaal_Totaal[[#This Row],[% Secundair]])</f>
        <v>0</v>
      </c>
      <c r="G288" s="94">
        <f>Inschrijf_Materiaal_Totaal[[#This Row],[Hoeveelheid '[ton']]]*Inschrijf_Materiaal_Totaal[[#This Row],[% Secundair]]</f>
        <v>0</v>
      </c>
      <c r="H288" s="128">
        <f>Optimalisatie!R80*Optimalisatie!T80</f>
        <v>0</v>
      </c>
      <c r="I288" s="128">
        <f>Inschrijf_Materiaal_Totaal[[#This Row],[Hoeveelheid Vervangingen '[ton']]]*(1-Inschrijf_Materiaal_Totaal[[#This Row],[% Secundair]])</f>
        <v>0</v>
      </c>
      <c r="J288" s="128">
        <f>Inschrijf_Materiaal_Totaal[[#This Row],[Primair materiaalverbruik Vervangingen]]*Inschrijf_Materiaal_Totaal[[#This Row],[% Secundair]]</f>
        <v>0</v>
      </c>
      <c r="K288" s="128">
        <f>Inschrijf_Materiaal_Totaal[[#This Row],[Primair materiaalverbruik]]+Inschrijf_Materiaal_Totaal[[#This Row],[Primair materiaalverbruik Vervangingen]]</f>
        <v>0</v>
      </c>
      <c r="L288" s="128">
        <f>Inschrijf_Materiaal_Totaal[[#This Row],[Secundair Materiaalverbruik]]+Inschrijf_Materiaal_Totaal[[#This Row],[Secundair Materiaalverbruik Vervangingen]]</f>
        <v>0</v>
      </c>
      <c r="M288" s="128">
        <f>Inschrijf_Materiaal_Totaal[[#This Row],[Totaal Primair Materieelgebruik]]+Inschrijf_Materiaal_Totaal[[#This Row],[Totaal Secundair Materieelgebruik]]</f>
        <v>0</v>
      </c>
    </row>
    <row r="289" spans="2:13">
      <c r="B289" s="209">
        <f>Optimalisatie!B81</f>
        <v>0</v>
      </c>
      <c r="C289" s="51">
        <f>Optimalisatie!F81</f>
        <v>0</v>
      </c>
      <c r="D289" s="93">
        <f>Optimalisatie!R81</f>
        <v>0</v>
      </c>
      <c r="E289" s="60">
        <f>_xlfn.IFNA(IF(Optimalisatie!E81="Categorie_1_LCA_Producten",VLOOKUP(Optimalisatie!F81,Categorie_1_Producten[#All],6,FALSE),VLOOKUP(Optimalisatie!F81&amp;", "&amp;"Totaal",Database_Productkaarten[#All],64,FALSE)),Referentie_Materiaal_Totaal[[#This Row],[% Secundair]])</f>
        <v>0</v>
      </c>
      <c r="F289" s="94">
        <f>Inschrijf_Materiaal_Totaal[[#This Row],[Hoeveelheid '[ton']]]*(1-Inschrijf_Materiaal_Totaal[[#This Row],[% Secundair]])</f>
        <v>0</v>
      </c>
      <c r="G289" s="94">
        <f>Inschrijf_Materiaal_Totaal[[#This Row],[Hoeveelheid '[ton']]]*Inschrijf_Materiaal_Totaal[[#This Row],[% Secundair]]</f>
        <v>0</v>
      </c>
      <c r="H289" s="128">
        <f>Optimalisatie!R81*Optimalisatie!T81</f>
        <v>0</v>
      </c>
      <c r="I289" s="128">
        <f>Inschrijf_Materiaal_Totaal[[#This Row],[Hoeveelheid Vervangingen '[ton']]]*(1-Inschrijf_Materiaal_Totaal[[#This Row],[% Secundair]])</f>
        <v>0</v>
      </c>
      <c r="J289" s="128">
        <f>Inschrijf_Materiaal_Totaal[[#This Row],[Primair materiaalverbruik Vervangingen]]*Inschrijf_Materiaal_Totaal[[#This Row],[% Secundair]]</f>
        <v>0</v>
      </c>
      <c r="K289" s="128">
        <f>Inschrijf_Materiaal_Totaal[[#This Row],[Primair materiaalverbruik]]+Inschrijf_Materiaal_Totaal[[#This Row],[Primair materiaalverbruik Vervangingen]]</f>
        <v>0</v>
      </c>
      <c r="L289" s="128">
        <f>Inschrijf_Materiaal_Totaal[[#This Row],[Secundair Materiaalverbruik]]+Inschrijf_Materiaal_Totaal[[#This Row],[Secundair Materiaalverbruik Vervangingen]]</f>
        <v>0</v>
      </c>
      <c r="M289" s="128">
        <f>Inschrijf_Materiaal_Totaal[[#This Row],[Totaal Primair Materieelgebruik]]+Inschrijf_Materiaal_Totaal[[#This Row],[Totaal Secundair Materieelgebruik]]</f>
        <v>0</v>
      </c>
    </row>
    <row r="290" spans="2:13">
      <c r="B290" s="209">
        <f>Optimalisatie!B82</f>
        <v>0</v>
      </c>
      <c r="C290" s="51">
        <f>Optimalisatie!F82</f>
        <v>0</v>
      </c>
      <c r="D290" s="93">
        <f>Optimalisatie!R82</f>
        <v>0</v>
      </c>
      <c r="E290" s="60">
        <f>_xlfn.IFNA(IF(Optimalisatie!E82="Categorie_1_LCA_Producten",VLOOKUP(Optimalisatie!F82,Categorie_1_Producten[#All],6,FALSE),VLOOKUP(Optimalisatie!F82&amp;", "&amp;"Totaal",Database_Productkaarten[#All],64,FALSE)),Referentie_Materiaal_Totaal[[#This Row],[% Secundair]])</f>
        <v>0</v>
      </c>
      <c r="F290" s="94">
        <f>Inschrijf_Materiaal_Totaal[[#This Row],[Hoeveelheid '[ton']]]*(1-Inschrijf_Materiaal_Totaal[[#This Row],[% Secundair]])</f>
        <v>0</v>
      </c>
      <c r="G290" s="94">
        <f>Inschrijf_Materiaal_Totaal[[#This Row],[Hoeveelheid '[ton']]]*Inschrijf_Materiaal_Totaal[[#This Row],[% Secundair]]</f>
        <v>0</v>
      </c>
      <c r="H290" s="128">
        <f>Optimalisatie!R82*Optimalisatie!T82</f>
        <v>0</v>
      </c>
      <c r="I290" s="128">
        <f>Inschrijf_Materiaal_Totaal[[#This Row],[Hoeveelheid Vervangingen '[ton']]]*(1-Inschrijf_Materiaal_Totaal[[#This Row],[% Secundair]])</f>
        <v>0</v>
      </c>
      <c r="J290" s="128">
        <f>Inschrijf_Materiaal_Totaal[[#This Row],[Primair materiaalverbruik Vervangingen]]*Inschrijf_Materiaal_Totaal[[#This Row],[% Secundair]]</f>
        <v>0</v>
      </c>
      <c r="K290" s="128">
        <f>Inschrijf_Materiaal_Totaal[[#This Row],[Primair materiaalverbruik]]+Inschrijf_Materiaal_Totaal[[#This Row],[Primair materiaalverbruik Vervangingen]]</f>
        <v>0</v>
      </c>
      <c r="L290" s="128">
        <f>Inschrijf_Materiaal_Totaal[[#This Row],[Secundair Materiaalverbruik]]+Inschrijf_Materiaal_Totaal[[#This Row],[Secundair Materiaalverbruik Vervangingen]]</f>
        <v>0</v>
      </c>
      <c r="M290" s="128">
        <f>Inschrijf_Materiaal_Totaal[[#This Row],[Totaal Primair Materieelgebruik]]+Inschrijf_Materiaal_Totaal[[#This Row],[Totaal Secundair Materieelgebruik]]</f>
        <v>0</v>
      </c>
    </row>
    <row r="291" spans="2:13">
      <c r="B291" s="209">
        <f>Optimalisatie!B83</f>
        <v>0</v>
      </c>
      <c r="C291" s="51">
        <f>Optimalisatie!F83</f>
        <v>0</v>
      </c>
      <c r="D291" s="93">
        <f>Optimalisatie!R83</f>
        <v>0</v>
      </c>
      <c r="E291" s="60">
        <f>_xlfn.IFNA(IF(Optimalisatie!E83="Categorie_1_LCA_Producten",VLOOKUP(Optimalisatie!F83,Categorie_1_Producten[#All],6,FALSE),VLOOKUP(Optimalisatie!F83&amp;", "&amp;"Totaal",Database_Productkaarten[#All],64,FALSE)),Referentie_Materiaal_Totaal[[#This Row],[% Secundair]])</f>
        <v>0</v>
      </c>
      <c r="F291" s="94">
        <f>Inschrijf_Materiaal_Totaal[[#This Row],[Hoeveelheid '[ton']]]*(1-Inschrijf_Materiaal_Totaal[[#This Row],[% Secundair]])</f>
        <v>0</v>
      </c>
      <c r="G291" s="94">
        <f>Inschrijf_Materiaal_Totaal[[#This Row],[Hoeveelheid '[ton']]]*Inschrijf_Materiaal_Totaal[[#This Row],[% Secundair]]</f>
        <v>0</v>
      </c>
      <c r="H291" s="128">
        <f>Optimalisatie!R83*Optimalisatie!T83</f>
        <v>0</v>
      </c>
      <c r="I291" s="128">
        <f>Inschrijf_Materiaal_Totaal[[#This Row],[Hoeveelheid Vervangingen '[ton']]]*(1-Inschrijf_Materiaal_Totaal[[#This Row],[% Secundair]])</f>
        <v>0</v>
      </c>
      <c r="J291" s="128">
        <f>Inschrijf_Materiaal_Totaal[[#This Row],[Primair materiaalverbruik Vervangingen]]*Inschrijf_Materiaal_Totaal[[#This Row],[% Secundair]]</f>
        <v>0</v>
      </c>
      <c r="K291" s="128">
        <f>Inschrijf_Materiaal_Totaal[[#This Row],[Primair materiaalverbruik]]+Inschrijf_Materiaal_Totaal[[#This Row],[Primair materiaalverbruik Vervangingen]]</f>
        <v>0</v>
      </c>
      <c r="L291" s="128">
        <f>Inschrijf_Materiaal_Totaal[[#This Row],[Secundair Materiaalverbruik]]+Inschrijf_Materiaal_Totaal[[#This Row],[Secundair Materiaalverbruik Vervangingen]]</f>
        <v>0</v>
      </c>
      <c r="M291" s="128">
        <f>Inschrijf_Materiaal_Totaal[[#This Row],[Totaal Primair Materieelgebruik]]+Inschrijf_Materiaal_Totaal[[#This Row],[Totaal Secundair Materieelgebruik]]</f>
        <v>0</v>
      </c>
    </row>
    <row r="292" spans="2:13">
      <c r="B292" s="209">
        <f>Optimalisatie!B84</f>
        <v>0</v>
      </c>
      <c r="C292" s="51">
        <f>Optimalisatie!F84</f>
        <v>0</v>
      </c>
      <c r="D292" s="93">
        <f>Optimalisatie!R84</f>
        <v>0</v>
      </c>
      <c r="E292" s="60">
        <f>_xlfn.IFNA(IF(Optimalisatie!E84="Categorie_1_LCA_Producten",VLOOKUP(Optimalisatie!F84,Categorie_1_Producten[#All],6,FALSE),VLOOKUP(Optimalisatie!F84&amp;", "&amp;"Totaal",Database_Productkaarten[#All],64,FALSE)),Referentie_Materiaal_Totaal[[#This Row],[% Secundair]])</f>
        <v>0</v>
      </c>
      <c r="F292" s="94">
        <f>Inschrijf_Materiaal_Totaal[[#This Row],[Hoeveelheid '[ton']]]*(1-Inschrijf_Materiaal_Totaal[[#This Row],[% Secundair]])</f>
        <v>0</v>
      </c>
      <c r="G292" s="94">
        <f>Inschrijf_Materiaal_Totaal[[#This Row],[Hoeveelheid '[ton']]]*Inschrijf_Materiaal_Totaal[[#This Row],[% Secundair]]</f>
        <v>0</v>
      </c>
      <c r="H292" s="128">
        <f>Optimalisatie!R84*Optimalisatie!T84</f>
        <v>0</v>
      </c>
      <c r="I292" s="128">
        <f>Inschrijf_Materiaal_Totaal[[#This Row],[Hoeveelheid Vervangingen '[ton']]]*(1-Inschrijf_Materiaal_Totaal[[#This Row],[% Secundair]])</f>
        <v>0</v>
      </c>
      <c r="J292" s="128">
        <f>Inschrijf_Materiaal_Totaal[[#This Row],[Primair materiaalverbruik Vervangingen]]*Inschrijf_Materiaal_Totaal[[#This Row],[% Secundair]]</f>
        <v>0</v>
      </c>
      <c r="K292" s="128">
        <f>Inschrijf_Materiaal_Totaal[[#This Row],[Primair materiaalverbruik]]+Inschrijf_Materiaal_Totaal[[#This Row],[Primair materiaalverbruik Vervangingen]]</f>
        <v>0</v>
      </c>
      <c r="L292" s="128">
        <f>Inschrijf_Materiaal_Totaal[[#This Row],[Secundair Materiaalverbruik]]+Inschrijf_Materiaal_Totaal[[#This Row],[Secundair Materiaalverbruik Vervangingen]]</f>
        <v>0</v>
      </c>
      <c r="M292" s="128">
        <f>Inschrijf_Materiaal_Totaal[[#This Row],[Totaal Primair Materieelgebruik]]+Inschrijf_Materiaal_Totaal[[#This Row],[Totaal Secundair Materieelgebruik]]</f>
        <v>0</v>
      </c>
    </row>
    <row r="293" spans="2:13">
      <c r="B293" s="209">
        <f>Optimalisatie!B85</f>
        <v>0</v>
      </c>
      <c r="C293" s="51">
        <f>Optimalisatie!F85</f>
        <v>0</v>
      </c>
      <c r="D293" s="93">
        <f>Optimalisatie!R85</f>
        <v>0</v>
      </c>
      <c r="E293" s="60">
        <f>_xlfn.IFNA(IF(Optimalisatie!E85="Categorie_1_LCA_Producten",VLOOKUP(Optimalisatie!F85,Categorie_1_Producten[#All],6,FALSE),VLOOKUP(Optimalisatie!F85&amp;", "&amp;"Totaal",Database_Productkaarten[#All],64,FALSE)),Referentie_Materiaal_Totaal[[#This Row],[% Secundair]])</f>
        <v>0</v>
      </c>
      <c r="F293" s="94">
        <f>Inschrijf_Materiaal_Totaal[[#This Row],[Hoeveelheid '[ton']]]*(1-Inschrijf_Materiaal_Totaal[[#This Row],[% Secundair]])</f>
        <v>0</v>
      </c>
      <c r="G293" s="94">
        <f>Inschrijf_Materiaal_Totaal[[#This Row],[Hoeveelheid '[ton']]]*Inschrijf_Materiaal_Totaal[[#This Row],[% Secundair]]</f>
        <v>0</v>
      </c>
      <c r="H293" s="128">
        <f>Optimalisatie!R85*Optimalisatie!T85</f>
        <v>0</v>
      </c>
      <c r="I293" s="128">
        <f>Inschrijf_Materiaal_Totaal[[#This Row],[Hoeveelheid Vervangingen '[ton']]]*(1-Inschrijf_Materiaal_Totaal[[#This Row],[% Secundair]])</f>
        <v>0</v>
      </c>
      <c r="J293" s="128">
        <f>Inschrijf_Materiaal_Totaal[[#This Row],[Primair materiaalverbruik Vervangingen]]*Inschrijf_Materiaal_Totaal[[#This Row],[% Secundair]]</f>
        <v>0</v>
      </c>
      <c r="K293" s="128">
        <f>Inschrijf_Materiaal_Totaal[[#This Row],[Primair materiaalverbruik]]+Inschrijf_Materiaal_Totaal[[#This Row],[Primair materiaalverbruik Vervangingen]]</f>
        <v>0</v>
      </c>
      <c r="L293" s="128">
        <f>Inschrijf_Materiaal_Totaal[[#This Row],[Secundair Materiaalverbruik]]+Inschrijf_Materiaal_Totaal[[#This Row],[Secundair Materiaalverbruik Vervangingen]]</f>
        <v>0</v>
      </c>
      <c r="M293" s="128">
        <f>Inschrijf_Materiaal_Totaal[[#This Row],[Totaal Primair Materieelgebruik]]+Inschrijf_Materiaal_Totaal[[#This Row],[Totaal Secundair Materieelgebruik]]</f>
        <v>0</v>
      </c>
    </row>
    <row r="294" spans="2:13">
      <c r="B294" s="209">
        <f>Optimalisatie!B86</f>
        <v>0</v>
      </c>
      <c r="C294" s="51">
        <f>Optimalisatie!F86</f>
        <v>0</v>
      </c>
      <c r="D294" s="93">
        <f>Optimalisatie!R86</f>
        <v>0</v>
      </c>
      <c r="E294" s="60">
        <f>_xlfn.IFNA(IF(Optimalisatie!E86="Categorie_1_LCA_Producten",VLOOKUP(Optimalisatie!F86,Categorie_1_Producten[#All],6,FALSE),VLOOKUP(Optimalisatie!F86&amp;", "&amp;"Totaal",Database_Productkaarten[#All],64,FALSE)),Referentie_Materiaal_Totaal[[#This Row],[% Secundair]])</f>
        <v>0</v>
      </c>
      <c r="F294" s="94">
        <f>Inschrijf_Materiaal_Totaal[[#This Row],[Hoeveelheid '[ton']]]*(1-Inschrijf_Materiaal_Totaal[[#This Row],[% Secundair]])</f>
        <v>0</v>
      </c>
      <c r="G294" s="94">
        <f>Inschrijf_Materiaal_Totaal[[#This Row],[Hoeveelheid '[ton']]]*Inschrijf_Materiaal_Totaal[[#This Row],[% Secundair]]</f>
        <v>0</v>
      </c>
      <c r="H294" s="128">
        <f>Optimalisatie!R86*Optimalisatie!T86</f>
        <v>0</v>
      </c>
      <c r="I294" s="128">
        <f>Inschrijf_Materiaal_Totaal[[#This Row],[Hoeveelheid Vervangingen '[ton']]]*(1-Inschrijf_Materiaal_Totaal[[#This Row],[% Secundair]])</f>
        <v>0</v>
      </c>
      <c r="J294" s="128">
        <f>Inschrijf_Materiaal_Totaal[[#This Row],[Primair materiaalverbruik Vervangingen]]*Inschrijf_Materiaal_Totaal[[#This Row],[% Secundair]]</f>
        <v>0</v>
      </c>
      <c r="K294" s="128">
        <f>Inschrijf_Materiaal_Totaal[[#This Row],[Primair materiaalverbruik]]+Inschrijf_Materiaal_Totaal[[#This Row],[Primair materiaalverbruik Vervangingen]]</f>
        <v>0</v>
      </c>
      <c r="L294" s="128">
        <f>Inschrijf_Materiaal_Totaal[[#This Row],[Secundair Materiaalverbruik]]+Inschrijf_Materiaal_Totaal[[#This Row],[Secundair Materiaalverbruik Vervangingen]]</f>
        <v>0</v>
      </c>
      <c r="M294" s="128">
        <f>Inschrijf_Materiaal_Totaal[[#This Row],[Totaal Primair Materieelgebruik]]+Inschrijf_Materiaal_Totaal[[#This Row],[Totaal Secundair Materieelgebruik]]</f>
        <v>0</v>
      </c>
    </row>
    <row r="295" spans="2:13">
      <c r="B295" s="209">
        <f>Optimalisatie!B87</f>
        <v>0</v>
      </c>
      <c r="C295" s="51">
        <f>Optimalisatie!F87</f>
        <v>0</v>
      </c>
      <c r="D295" s="93">
        <f>Optimalisatie!R87</f>
        <v>0</v>
      </c>
      <c r="E295" s="60">
        <f>_xlfn.IFNA(IF(Optimalisatie!E87="Categorie_1_LCA_Producten",VLOOKUP(Optimalisatie!F87,Categorie_1_Producten[#All],6,FALSE),VLOOKUP(Optimalisatie!F87&amp;", "&amp;"Totaal",Database_Productkaarten[#All],64,FALSE)),Referentie_Materiaal_Totaal[[#This Row],[% Secundair]])</f>
        <v>0</v>
      </c>
      <c r="F295" s="94">
        <f>Inschrijf_Materiaal_Totaal[[#This Row],[Hoeveelheid '[ton']]]*(1-Inschrijf_Materiaal_Totaal[[#This Row],[% Secundair]])</f>
        <v>0</v>
      </c>
      <c r="G295" s="94">
        <f>Inschrijf_Materiaal_Totaal[[#This Row],[Hoeveelheid '[ton']]]*Inschrijf_Materiaal_Totaal[[#This Row],[% Secundair]]</f>
        <v>0</v>
      </c>
      <c r="H295" s="128">
        <f>Optimalisatie!R87*Optimalisatie!T87</f>
        <v>0</v>
      </c>
      <c r="I295" s="128">
        <f>Inschrijf_Materiaal_Totaal[[#This Row],[Hoeveelheid Vervangingen '[ton']]]*(1-Inschrijf_Materiaal_Totaal[[#This Row],[% Secundair]])</f>
        <v>0</v>
      </c>
      <c r="J295" s="128">
        <f>Inschrijf_Materiaal_Totaal[[#This Row],[Primair materiaalverbruik Vervangingen]]*Inschrijf_Materiaal_Totaal[[#This Row],[% Secundair]]</f>
        <v>0</v>
      </c>
      <c r="K295" s="128">
        <f>Inschrijf_Materiaal_Totaal[[#This Row],[Primair materiaalverbruik]]+Inschrijf_Materiaal_Totaal[[#This Row],[Primair materiaalverbruik Vervangingen]]</f>
        <v>0</v>
      </c>
      <c r="L295" s="128">
        <f>Inschrijf_Materiaal_Totaal[[#This Row],[Secundair Materiaalverbruik]]+Inschrijf_Materiaal_Totaal[[#This Row],[Secundair Materiaalverbruik Vervangingen]]</f>
        <v>0</v>
      </c>
      <c r="M295" s="128">
        <f>Inschrijf_Materiaal_Totaal[[#This Row],[Totaal Primair Materieelgebruik]]+Inschrijf_Materiaal_Totaal[[#This Row],[Totaal Secundair Materieelgebruik]]</f>
        <v>0</v>
      </c>
    </row>
    <row r="296" spans="2:13">
      <c r="B296" s="209">
        <f>Optimalisatie!B88</f>
        <v>0</v>
      </c>
      <c r="C296" s="51">
        <f>Optimalisatie!F88</f>
        <v>0</v>
      </c>
      <c r="D296" s="93">
        <f>Optimalisatie!R88</f>
        <v>0</v>
      </c>
      <c r="E296" s="60">
        <f>_xlfn.IFNA(IF(Optimalisatie!E88="Categorie_1_LCA_Producten",VLOOKUP(Optimalisatie!F88,Categorie_1_Producten[#All],6,FALSE),VLOOKUP(Optimalisatie!F88&amp;", "&amp;"Totaal",Database_Productkaarten[#All],64,FALSE)),Referentie_Materiaal_Totaal[[#This Row],[% Secundair]])</f>
        <v>0</v>
      </c>
      <c r="F296" s="94">
        <f>Inschrijf_Materiaal_Totaal[[#This Row],[Hoeveelheid '[ton']]]*(1-Inschrijf_Materiaal_Totaal[[#This Row],[% Secundair]])</f>
        <v>0</v>
      </c>
      <c r="G296" s="94">
        <f>Inschrijf_Materiaal_Totaal[[#This Row],[Hoeveelheid '[ton']]]*Inschrijf_Materiaal_Totaal[[#This Row],[% Secundair]]</f>
        <v>0</v>
      </c>
      <c r="H296" s="128">
        <f>Optimalisatie!R88*Optimalisatie!T88</f>
        <v>0</v>
      </c>
      <c r="I296" s="128">
        <f>Inschrijf_Materiaal_Totaal[[#This Row],[Hoeveelheid Vervangingen '[ton']]]*(1-Inschrijf_Materiaal_Totaal[[#This Row],[% Secundair]])</f>
        <v>0</v>
      </c>
      <c r="J296" s="128">
        <f>Inschrijf_Materiaal_Totaal[[#This Row],[Primair materiaalverbruik Vervangingen]]*Inschrijf_Materiaal_Totaal[[#This Row],[% Secundair]]</f>
        <v>0</v>
      </c>
      <c r="K296" s="128">
        <f>Inschrijf_Materiaal_Totaal[[#This Row],[Primair materiaalverbruik]]+Inschrijf_Materiaal_Totaal[[#This Row],[Primair materiaalverbruik Vervangingen]]</f>
        <v>0</v>
      </c>
      <c r="L296" s="128">
        <f>Inschrijf_Materiaal_Totaal[[#This Row],[Secundair Materiaalverbruik]]+Inschrijf_Materiaal_Totaal[[#This Row],[Secundair Materiaalverbruik Vervangingen]]</f>
        <v>0</v>
      </c>
      <c r="M296" s="128">
        <f>Inschrijf_Materiaal_Totaal[[#This Row],[Totaal Primair Materieelgebruik]]+Inschrijf_Materiaal_Totaal[[#This Row],[Totaal Secundair Materieelgebruik]]</f>
        <v>0</v>
      </c>
    </row>
    <row r="297" spans="2:13">
      <c r="B297" s="209">
        <f>Optimalisatie!B89</f>
        <v>0</v>
      </c>
      <c r="C297" s="51">
        <f>Optimalisatie!F89</f>
        <v>0</v>
      </c>
      <c r="D297" s="93">
        <f>Optimalisatie!R89</f>
        <v>0</v>
      </c>
      <c r="E297" s="60">
        <f>_xlfn.IFNA(IF(Optimalisatie!E89="Categorie_1_LCA_Producten",VLOOKUP(Optimalisatie!F89,Categorie_1_Producten[#All],6,FALSE),VLOOKUP(Optimalisatie!F89&amp;", "&amp;"Totaal",Database_Productkaarten[#All],64,FALSE)),Referentie_Materiaal_Totaal[[#This Row],[% Secundair]])</f>
        <v>0</v>
      </c>
      <c r="F297" s="94">
        <f>Inschrijf_Materiaal_Totaal[[#This Row],[Hoeveelheid '[ton']]]*(1-Inschrijf_Materiaal_Totaal[[#This Row],[% Secundair]])</f>
        <v>0</v>
      </c>
      <c r="G297" s="94">
        <f>Inschrijf_Materiaal_Totaal[[#This Row],[Hoeveelheid '[ton']]]*Inschrijf_Materiaal_Totaal[[#This Row],[% Secundair]]</f>
        <v>0</v>
      </c>
      <c r="H297" s="128">
        <f>Optimalisatie!R89*Optimalisatie!T89</f>
        <v>0</v>
      </c>
      <c r="I297" s="128">
        <f>Inschrijf_Materiaal_Totaal[[#This Row],[Hoeveelheid Vervangingen '[ton']]]*(1-Inschrijf_Materiaal_Totaal[[#This Row],[% Secundair]])</f>
        <v>0</v>
      </c>
      <c r="J297" s="128">
        <f>Inschrijf_Materiaal_Totaal[[#This Row],[Primair materiaalverbruik Vervangingen]]*Inschrijf_Materiaal_Totaal[[#This Row],[% Secundair]]</f>
        <v>0</v>
      </c>
      <c r="K297" s="128">
        <f>Inschrijf_Materiaal_Totaal[[#This Row],[Primair materiaalverbruik]]+Inschrijf_Materiaal_Totaal[[#This Row],[Primair materiaalverbruik Vervangingen]]</f>
        <v>0</v>
      </c>
      <c r="L297" s="128">
        <f>Inschrijf_Materiaal_Totaal[[#This Row],[Secundair Materiaalverbruik]]+Inschrijf_Materiaal_Totaal[[#This Row],[Secundair Materiaalverbruik Vervangingen]]</f>
        <v>0</v>
      </c>
      <c r="M297" s="128">
        <f>Inschrijf_Materiaal_Totaal[[#This Row],[Totaal Primair Materieelgebruik]]+Inschrijf_Materiaal_Totaal[[#This Row],[Totaal Secundair Materieelgebruik]]</f>
        <v>0</v>
      </c>
    </row>
    <row r="298" spans="2:13">
      <c r="B298" s="209">
        <f>Optimalisatie!B90</f>
        <v>0</v>
      </c>
      <c r="C298" s="51">
        <f>Optimalisatie!F90</f>
        <v>0</v>
      </c>
      <c r="D298" s="93">
        <f>Optimalisatie!R90</f>
        <v>0</v>
      </c>
      <c r="E298" s="60">
        <f>_xlfn.IFNA(IF(Optimalisatie!E90="Categorie_1_LCA_Producten",VLOOKUP(Optimalisatie!F90,Categorie_1_Producten[#All],6,FALSE),VLOOKUP(Optimalisatie!F90&amp;", "&amp;"Totaal",Database_Productkaarten[#All],64,FALSE)),Referentie_Materiaal_Totaal[[#This Row],[% Secundair]])</f>
        <v>0</v>
      </c>
      <c r="F298" s="94">
        <f>Inschrijf_Materiaal_Totaal[[#This Row],[Hoeveelheid '[ton']]]*(1-Inschrijf_Materiaal_Totaal[[#This Row],[% Secundair]])</f>
        <v>0</v>
      </c>
      <c r="G298" s="94">
        <f>Inschrijf_Materiaal_Totaal[[#This Row],[Hoeveelheid '[ton']]]*Inschrijf_Materiaal_Totaal[[#This Row],[% Secundair]]</f>
        <v>0</v>
      </c>
      <c r="H298" s="128">
        <f>Optimalisatie!R90*Optimalisatie!T90</f>
        <v>0</v>
      </c>
      <c r="I298" s="128">
        <f>Inschrijf_Materiaal_Totaal[[#This Row],[Hoeveelheid Vervangingen '[ton']]]*(1-Inschrijf_Materiaal_Totaal[[#This Row],[% Secundair]])</f>
        <v>0</v>
      </c>
      <c r="J298" s="128">
        <f>Inschrijf_Materiaal_Totaal[[#This Row],[Primair materiaalverbruik Vervangingen]]*Inschrijf_Materiaal_Totaal[[#This Row],[% Secundair]]</f>
        <v>0</v>
      </c>
      <c r="K298" s="128">
        <f>Inschrijf_Materiaal_Totaal[[#This Row],[Primair materiaalverbruik]]+Inschrijf_Materiaal_Totaal[[#This Row],[Primair materiaalverbruik Vervangingen]]</f>
        <v>0</v>
      </c>
      <c r="L298" s="128">
        <f>Inschrijf_Materiaal_Totaal[[#This Row],[Secundair Materiaalverbruik]]+Inschrijf_Materiaal_Totaal[[#This Row],[Secundair Materiaalverbruik Vervangingen]]</f>
        <v>0</v>
      </c>
      <c r="M298" s="128">
        <f>Inschrijf_Materiaal_Totaal[[#This Row],[Totaal Primair Materieelgebruik]]+Inschrijf_Materiaal_Totaal[[#This Row],[Totaal Secundair Materieelgebruik]]</f>
        <v>0</v>
      </c>
    </row>
    <row r="299" spans="2:13">
      <c r="B299" s="209">
        <f>Optimalisatie!B91</f>
        <v>0</v>
      </c>
      <c r="C299" s="51">
        <f>Optimalisatie!F91</f>
        <v>0</v>
      </c>
      <c r="D299" s="93">
        <f>Optimalisatie!R91</f>
        <v>0</v>
      </c>
      <c r="E299" s="60">
        <f>_xlfn.IFNA(IF(Optimalisatie!E91="Categorie_1_LCA_Producten",VLOOKUP(Optimalisatie!F91,Categorie_1_Producten[#All],6,FALSE),VLOOKUP(Optimalisatie!F91&amp;", "&amp;"Totaal",Database_Productkaarten[#All],64,FALSE)),Referentie_Materiaal_Totaal[[#This Row],[% Secundair]])</f>
        <v>0</v>
      </c>
      <c r="F299" s="94">
        <f>Inschrijf_Materiaal_Totaal[[#This Row],[Hoeveelheid '[ton']]]*(1-Inschrijf_Materiaal_Totaal[[#This Row],[% Secundair]])</f>
        <v>0</v>
      </c>
      <c r="G299" s="94">
        <f>Inschrijf_Materiaal_Totaal[[#This Row],[Hoeveelheid '[ton']]]*Inschrijf_Materiaal_Totaal[[#This Row],[% Secundair]]</f>
        <v>0</v>
      </c>
      <c r="H299" s="128">
        <f>Optimalisatie!R91*Optimalisatie!T91</f>
        <v>0</v>
      </c>
      <c r="I299" s="128">
        <f>Inschrijf_Materiaal_Totaal[[#This Row],[Hoeveelheid Vervangingen '[ton']]]*(1-Inschrijf_Materiaal_Totaal[[#This Row],[% Secundair]])</f>
        <v>0</v>
      </c>
      <c r="J299" s="128">
        <f>Inschrijf_Materiaal_Totaal[[#This Row],[Primair materiaalverbruik Vervangingen]]*Inschrijf_Materiaal_Totaal[[#This Row],[% Secundair]]</f>
        <v>0</v>
      </c>
      <c r="K299" s="128">
        <f>Inschrijf_Materiaal_Totaal[[#This Row],[Primair materiaalverbruik]]+Inschrijf_Materiaal_Totaal[[#This Row],[Primair materiaalverbruik Vervangingen]]</f>
        <v>0</v>
      </c>
      <c r="L299" s="128">
        <f>Inschrijf_Materiaal_Totaal[[#This Row],[Secundair Materiaalverbruik]]+Inschrijf_Materiaal_Totaal[[#This Row],[Secundair Materiaalverbruik Vervangingen]]</f>
        <v>0</v>
      </c>
      <c r="M299" s="128">
        <f>Inschrijf_Materiaal_Totaal[[#This Row],[Totaal Primair Materieelgebruik]]+Inschrijf_Materiaal_Totaal[[#This Row],[Totaal Secundair Materieelgebruik]]</f>
        <v>0</v>
      </c>
    </row>
    <row r="300" spans="2:13">
      <c r="B300" s="209">
        <f>Optimalisatie!B92</f>
        <v>0</v>
      </c>
      <c r="C300" s="51">
        <f>Optimalisatie!F92</f>
        <v>0</v>
      </c>
      <c r="D300" s="93">
        <f>Optimalisatie!R92</f>
        <v>0</v>
      </c>
      <c r="E300" s="60">
        <f>_xlfn.IFNA(IF(Optimalisatie!E92="Categorie_1_LCA_Producten",VLOOKUP(Optimalisatie!F92,Categorie_1_Producten[#All],6,FALSE),VLOOKUP(Optimalisatie!F92&amp;", "&amp;"Totaal",Database_Productkaarten[#All],64,FALSE)),Referentie_Materiaal_Totaal[[#This Row],[% Secundair]])</f>
        <v>0</v>
      </c>
      <c r="F300" s="94">
        <f>Inschrijf_Materiaal_Totaal[[#This Row],[Hoeveelheid '[ton']]]*(1-Inschrijf_Materiaal_Totaal[[#This Row],[% Secundair]])</f>
        <v>0</v>
      </c>
      <c r="G300" s="94">
        <f>Inschrijf_Materiaal_Totaal[[#This Row],[Hoeveelheid '[ton']]]*Inschrijf_Materiaal_Totaal[[#This Row],[% Secundair]]</f>
        <v>0</v>
      </c>
      <c r="H300" s="128">
        <f>Optimalisatie!R92*Optimalisatie!T92</f>
        <v>0</v>
      </c>
      <c r="I300" s="128">
        <f>Inschrijf_Materiaal_Totaal[[#This Row],[Hoeveelheid Vervangingen '[ton']]]*(1-Inschrijf_Materiaal_Totaal[[#This Row],[% Secundair]])</f>
        <v>0</v>
      </c>
      <c r="J300" s="128">
        <f>Inschrijf_Materiaal_Totaal[[#This Row],[Primair materiaalverbruik Vervangingen]]*Inschrijf_Materiaal_Totaal[[#This Row],[% Secundair]]</f>
        <v>0</v>
      </c>
      <c r="K300" s="128">
        <f>Inschrijf_Materiaal_Totaal[[#This Row],[Primair materiaalverbruik]]+Inschrijf_Materiaal_Totaal[[#This Row],[Primair materiaalverbruik Vervangingen]]</f>
        <v>0</v>
      </c>
      <c r="L300" s="128">
        <f>Inschrijf_Materiaal_Totaal[[#This Row],[Secundair Materiaalverbruik]]+Inschrijf_Materiaal_Totaal[[#This Row],[Secundair Materiaalverbruik Vervangingen]]</f>
        <v>0</v>
      </c>
      <c r="M300" s="128">
        <f>Inschrijf_Materiaal_Totaal[[#This Row],[Totaal Primair Materieelgebruik]]+Inschrijf_Materiaal_Totaal[[#This Row],[Totaal Secundair Materieelgebruik]]</f>
        <v>0</v>
      </c>
    </row>
    <row r="301" spans="2:13">
      <c r="B301" s="209">
        <f>Optimalisatie!B93</f>
        <v>0</v>
      </c>
      <c r="C301" s="51">
        <f>Optimalisatie!F93</f>
        <v>0</v>
      </c>
      <c r="D301" s="93">
        <f>Optimalisatie!R93</f>
        <v>0</v>
      </c>
      <c r="E301" s="60">
        <f>_xlfn.IFNA(IF(Optimalisatie!E93="Categorie_1_LCA_Producten",VLOOKUP(Optimalisatie!F93,Categorie_1_Producten[#All],6,FALSE),VLOOKUP(Optimalisatie!F93&amp;", "&amp;"Totaal",Database_Productkaarten[#All],64,FALSE)),Referentie_Materiaal_Totaal[[#This Row],[% Secundair]])</f>
        <v>0</v>
      </c>
      <c r="F301" s="94">
        <f>Inschrijf_Materiaal_Totaal[[#This Row],[Hoeveelheid '[ton']]]*(1-Inschrijf_Materiaal_Totaal[[#This Row],[% Secundair]])</f>
        <v>0</v>
      </c>
      <c r="G301" s="94">
        <f>Inschrijf_Materiaal_Totaal[[#This Row],[Hoeveelheid '[ton']]]*Inschrijf_Materiaal_Totaal[[#This Row],[% Secundair]]</f>
        <v>0</v>
      </c>
      <c r="H301" s="128">
        <f>Optimalisatie!R93*Optimalisatie!T93</f>
        <v>0</v>
      </c>
      <c r="I301" s="128">
        <f>Inschrijf_Materiaal_Totaal[[#This Row],[Hoeveelheid Vervangingen '[ton']]]*(1-Inschrijf_Materiaal_Totaal[[#This Row],[% Secundair]])</f>
        <v>0</v>
      </c>
      <c r="J301" s="128">
        <f>Inschrijf_Materiaal_Totaal[[#This Row],[Primair materiaalverbruik Vervangingen]]*Inschrijf_Materiaal_Totaal[[#This Row],[% Secundair]]</f>
        <v>0</v>
      </c>
      <c r="K301" s="128">
        <f>Inschrijf_Materiaal_Totaal[[#This Row],[Primair materiaalverbruik]]+Inschrijf_Materiaal_Totaal[[#This Row],[Primair materiaalverbruik Vervangingen]]</f>
        <v>0</v>
      </c>
      <c r="L301" s="128">
        <f>Inschrijf_Materiaal_Totaal[[#This Row],[Secundair Materiaalverbruik]]+Inschrijf_Materiaal_Totaal[[#This Row],[Secundair Materiaalverbruik Vervangingen]]</f>
        <v>0</v>
      </c>
      <c r="M301" s="128">
        <f>Inschrijf_Materiaal_Totaal[[#This Row],[Totaal Primair Materieelgebruik]]+Inschrijf_Materiaal_Totaal[[#This Row],[Totaal Secundair Materieelgebruik]]</f>
        <v>0</v>
      </c>
    </row>
    <row r="302" spans="2:13">
      <c r="B302" s="209">
        <f>Optimalisatie!B94</f>
        <v>0</v>
      </c>
      <c r="C302" s="51">
        <f>Optimalisatie!F94</f>
        <v>0</v>
      </c>
      <c r="D302" s="93">
        <f>Optimalisatie!R94</f>
        <v>0</v>
      </c>
      <c r="E302" s="60">
        <f>_xlfn.IFNA(IF(Optimalisatie!E94="Categorie_1_LCA_Producten",VLOOKUP(Optimalisatie!F94,Categorie_1_Producten[#All],6,FALSE),VLOOKUP(Optimalisatie!F94&amp;", "&amp;"Totaal",Database_Productkaarten[#All],64,FALSE)),Referentie_Materiaal_Totaal[[#This Row],[% Secundair]])</f>
        <v>0</v>
      </c>
      <c r="F302" s="94">
        <f>Inschrijf_Materiaal_Totaal[[#This Row],[Hoeveelheid '[ton']]]*(1-Inschrijf_Materiaal_Totaal[[#This Row],[% Secundair]])</f>
        <v>0</v>
      </c>
      <c r="G302" s="94">
        <f>Inschrijf_Materiaal_Totaal[[#This Row],[Hoeveelheid '[ton']]]*Inschrijf_Materiaal_Totaal[[#This Row],[% Secundair]]</f>
        <v>0</v>
      </c>
      <c r="H302" s="128">
        <f>Optimalisatie!R94*Optimalisatie!T94</f>
        <v>0</v>
      </c>
      <c r="I302" s="128">
        <f>Inschrijf_Materiaal_Totaal[[#This Row],[Hoeveelheid Vervangingen '[ton']]]*(1-Inschrijf_Materiaal_Totaal[[#This Row],[% Secundair]])</f>
        <v>0</v>
      </c>
      <c r="J302" s="128">
        <f>Inschrijf_Materiaal_Totaal[[#This Row],[Primair materiaalverbruik Vervangingen]]*Inschrijf_Materiaal_Totaal[[#This Row],[% Secundair]]</f>
        <v>0</v>
      </c>
      <c r="K302" s="128">
        <f>Inschrijf_Materiaal_Totaal[[#This Row],[Primair materiaalverbruik]]+Inschrijf_Materiaal_Totaal[[#This Row],[Primair materiaalverbruik Vervangingen]]</f>
        <v>0</v>
      </c>
      <c r="L302" s="128">
        <f>Inschrijf_Materiaal_Totaal[[#This Row],[Secundair Materiaalverbruik]]+Inschrijf_Materiaal_Totaal[[#This Row],[Secundair Materiaalverbruik Vervangingen]]</f>
        <v>0</v>
      </c>
      <c r="M302" s="128">
        <f>Inschrijf_Materiaal_Totaal[[#This Row],[Totaal Primair Materieelgebruik]]+Inschrijf_Materiaal_Totaal[[#This Row],[Totaal Secundair Materieelgebruik]]</f>
        <v>0</v>
      </c>
    </row>
    <row r="303" spans="2:13">
      <c r="B303" s="209">
        <f>Optimalisatie!B95</f>
        <v>0</v>
      </c>
      <c r="C303" s="51">
        <f>Optimalisatie!F95</f>
        <v>0</v>
      </c>
      <c r="D303" s="93">
        <f>Optimalisatie!R95</f>
        <v>0</v>
      </c>
      <c r="E303" s="60">
        <f>_xlfn.IFNA(IF(Optimalisatie!E95="Categorie_1_LCA_Producten",VLOOKUP(Optimalisatie!F95,Categorie_1_Producten[#All],6,FALSE),VLOOKUP(Optimalisatie!F95&amp;", "&amp;"Totaal",Database_Productkaarten[#All],64,FALSE)),Referentie_Materiaal_Totaal[[#This Row],[% Secundair]])</f>
        <v>0</v>
      </c>
      <c r="F303" s="94">
        <f>Inschrijf_Materiaal_Totaal[[#This Row],[Hoeveelheid '[ton']]]*(1-Inschrijf_Materiaal_Totaal[[#This Row],[% Secundair]])</f>
        <v>0</v>
      </c>
      <c r="G303" s="94">
        <f>Inschrijf_Materiaal_Totaal[[#This Row],[Hoeveelheid '[ton']]]*Inschrijf_Materiaal_Totaal[[#This Row],[% Secundair]]</f>
        <v>0</v>
      </c>
      <c r="H303" s="128">
        <f>Optimalisatie!R95*Optimalisatie!T95</f>
        <v>0</v>
      </c>
      <c r="I303" s="128">
        <f>Inschrijf_Materiaal_Totaal[[#This Row],[Hoeveelheid Vervangingen '[ton']]]*(1-Inschrijf_Materiaal_Totaal[[#This Row],[% Secundair]])</f>
        <v>0</v>
      </c>
      <c r="J303" s="128">
        <f>Inschrijf_Materiaal_Totaal[[#This Row],[Primair materiaalverbruik Vervangingen]]*Inschrijf_Materiaal_Totaal[[#This Row],[% Secundair]]</f>
        <v>0</v>
      </c>
      <c r="K303" s="128">
        <f>Inschrijf_Materiaal_Totaal[[#This Row],[Primair materiaalverbruik]]+Inschrijf_Materiaal_Totaal[[#This Row],[Primair materiaalverbruik Vervangingen]]</f>
        <v>0</v>
      </c>
      <c r="L303" s="128">
        <f>Inschrijf_Materiaal_Totaal[[#This Row],[Secundair Materiaalverbruik]]+Inschrijf_Materiaal_Totaal[[#This Row],[Secundair Materiaalverbruik Vervangingen]]</f>
        <v>0</v>
      </c>
      <c r="M303" s="128">
        <f>Inschrijf_Materiaal_Totaal[[#This Row],[Totaal Primair Materieelgebruik]]+Inschrijf_Materiaal_Totaal[[#This Row],[Totaal Secundair Materieelgebruik]]</f>
        <v>0</v>
      </c>
    </row>
    <row r="304" spans="2:13">
      <c r="B304" s="209">
        <f>Optimalisatie!B96</f>
        <v>0</v>
      </c>
      <c r="C304" s="51">
        <f>Optimalisatie!F96</f>
        <v>0</v>
      </c>
      <c r="D304" s="93">
        <f>Optimalisatie!R96</f>
        <v>0</v>
      </c>
      <c r="E304" s="60">
        <f>_xlfn.IFNA(IF(Optimalisatie!E96="Categorie_1_LCA_Producten",VLOOKUP(Optimalisatie!F96,Categorie_1_Producten[#All],6,FALSE),VLOOKUP(Optimalisatie!F96&amp;", "&amp;"Totaal",Database_Productkaarten[#All],64,FALSE)),Referentie_Materiaal_Totaal[[#This Row],[% Secundair]])</f>
        <v>0</v>
      </c>
      <c r="F304" s="94">
        <f>Inschrijf_Materiaal_Totaal[[#This Row],[Hoeveelheid '[ton']]]*(1-Inschrijf_Materiaal_Totaal[[#This Row],[% Secundair]])</f>
        <v>0</v>
      </c>
      <c r="G304" s="94">
        <f>Inschrijf_Materiaal_Totaal[[#This Row],[Hoeveelheid '[ton']]]*Inschrijf_Materiaal_Totaal[[#This Row],[% Secundair]]</f>
        <v>0</v>
      </c>
      <c r="H304" s="128">
        <f>Optimalisatie!R96*Optimalisatie!T96</f>
        <v>0</v>
      </c>
      <c r="I304" s="128">
        <f>Inschrijf_Materiaal_Totaal[[#This Row],[Hoeveelheid Vervangingen '[ton']]]*(1-Inschrijf_Materiaal_Totaal[[#This Row],[% Secundair]])</f>
        <v>0</v>
      </c>
      <c r="J304" s="128">
        <f>Inschrijf_Materiaal_Totaal[[#This Row],[Primair materiaalverbruik Vervangingen]]*Inschrijf_Materiaal_Totaal[[#This Row],[% Secundair]]</f>
        <v>0</v>
      </c>
      <c r="K304" s="128">
        <f>Inschrijf_Materiaal_Totaal[[#This Row],[Primair materiaalverbruik]]+Inschrijf_Materiaal_Totaal[[#This Row],[Primair materiaalverbruik Vervangingen]]</f>
        <v>0</v>
      </c>
      <c r="L304" s="128">
        <f>Inschrijf_Materiaal_Totaal[[#This Row],[Secundair Materiaalverbruik]]+Inschrijf_Materiaal_Totaal[[#This Row],[Secundair Materiaalverbruik Vervangingen]]</f>
        <v>0</v>
      </c>
      <c r="M304" s="128">
        <f>Inschrijf_Materiaal_Totaal[[#This Row],[Totaal Primair Materieelgebruik]]+Inschrijf_Materiaal_Totaal[[#This Row],[Totaal Secundair Materieelgebruik]]</f>
        <v>0</v>
      </c>
    </row>
    <row r="305" spans="2:19">
      <c r="B305" s="209">
        <f>Optimalisatie!B97</f>
        <v>0</v>
      </c>
      <c r="C305" s="51">
        <f>Optimalisatie!F97</f>
        <v>0</v>
      </c>
      <c r="D305" s="93">
        <f>Optimalisatie!R97</f>
        <v>0</v>
      </c>
      <c r="E305" s="60">
        <f>_xlfn.IFNA(IF(Optimalisatie!E97="Categorie_1_LCA_Producten",VLOOKUP(Optimalisatie!F97,Categorie_1_Producten[#All],6,FALSE),VLOOKUP(Optimalisatie!F97&amp;", "&amp;"Totaal",Database_Productkaarten[#All],64,FALSE)),Referentie_Materiaal_Totaal[[#This Row],[% Secundair]])</f>
        <v>0</v>
      </c>
      <c r="F305" s="94">
        <f>Inschrijf_Materiaal_Totaal[[#This Row],[Hoeveelheid '[ton']]]*(1-Inschrijf_Materiaal_Totaal[[#This Row],[% Secundair]])</f>
        <v>0</v>
      </c>
      <c r="G305" s="94">
        <f>Inschrijf_Materiaal_Totaal[[#This Row],[Hoeveelheid '[ton']]]*Inschrijf_Materiaal_Totaal[[#This Row],[% Secundair]]</f>
        <v>0</v>
      </c>
      <c r="H305" s="128">
        <f>Optimalisatie!R97*Optimalisatie!T97</f>
        <v>0</v>
      </c>
      <c r="I305" s="128">
        <f>Inschrijf_Materiaal_Totaal[[#This Row],[Hoeveelheid Vervangingen '[ton']]]*(1-Inschrijf_Materiaal_Totaal[[#This Row],[% Secundair]])</f>
        <v>0</v>
      </c>
      <c r="J305" s="128">
        <f>Inschrijf_Materiaal_Totaal[[#This Row],[Primair materiaalverbruik Vervangingen]]*Inschrijf_Materiaal_Totaal[[#This Row],[% Secundair]]</f>
        <v>0</v>
      </c>
      <c r="K305" s="128">
        <f>Inschrijf_Materiaal_Totaal[[#This Row],[Primair materiaalverbruik]]+Inschrijf_Materiaal_Totaal[[#This Row],[Primair materiaalverbruik Vervangingen]]</f>
        <v>0</v>
      </c>
      <c r="L305" s="128">
        <f>Inschrijf_Materiaal_Totaal[[#This Row],[Secundair Materiaalverbruik]]+Inschrijf_Materiaal_Totaal[[#This Row],[Secundair Materiaalverbruik Vervangingen]]</f>
        <v>0</v>
      </c>
      <c r="M305" s="128">
        <f>Inschrijf_Materiaal_Totaal[[#This Row],[Totaal Primair Materieelgebruik]]+Inschrijf_Materiaal_Totaal[[#This Row],[Totaal Secundair Materieelgebruik]]</f>
        <v>0</v>
      </c>
    </row>
    <row r="306" spans="2:19">
      <c r="B306" s="209">
        <f>Optimalisatie!B98</f>
        <v>0</v>
      </c>
      <c r="C306" s="51">
        <f>Optimalisatie!F98</f>
        <v>0</v>
      </c>
      <c r="D306" s="93">
        <f>Optimalisatie!R98</f>
        <v>0</v>
      </c>
      <c r="E306" s="60">
        <f>_xlfn.IFNA(IF(Optimalisatie!E98="Categorie_1_LCA_Producten",VLOOKUP(Optimalisatie!F98,Categorie_1_Producten[#All],6,FALSE),VLOOKUP(Optimalisatie!F98&amp;", "&amp;"Totaal",Database_Productkaarten[#All],64,FALSE)),Referentie_Materiaal_Totaal[[#This Row],[% Secundair]])</f>
        <v>0</v>
      </c>
      <c r="F306" s="94">
        <f>Inschrijf_Materiaal_Totaal[[#This Row],[Hoeveelheid '[ton']]]*(1-Inschrijf_Materiaal_Totaal[[#This Row],[% Secundair]])</f>
        <v>0</v>
      </c>
      <c r="G306" s="94">
        <f>Inschrijf_Materiaal_Totaal[[#This Row],[Hoeveelheid '[ton']]]*Inschrijf_Materiaal_Totaal[[#This Row],[% Secundair]]</f>
        <v>0</v>
      </c>
      <c r="H306" s="128">
        <f>Optimalisatie!R98*Optimalisatie!T98</f>
        <v>0</v>
      </c>
      <c r="I306" s="128">
        <f>Inschrijf_Materiaal_Totaal[[#This Row],[Hoeveelheid Vervangingen '[ton']]]*(1-Inschrijf_Materiaal_Totaal[[#This Row],[% Secundair]])</f>
        <v>0</v>
      </c>
      <c r="J306" s="128">
        <f>Inschrijf_Materiaal_Totaal[[#This Row],[Primair materiaalverbruik Vervangingen]]*Inschrijf_Materiaal_Totaal[[#This Row],[% Secundair]]</f>
        <v>0</v>
      </c>
      <c r="K306" s="128">
        <f>Inschrijf_Materiaal_Totaal[[#This Row],[Primair materiaalverbruik]]+Inschrijf_Materiaal_Totaal[[#This Row],[Primair materiaalverbruik Vervangingen]]</f>
        <v>0</v>
      </c>
      <c r="L306" s="128">
        <f>Inschrijf_Materiaal_Totaal[[#This Row],[Secundair Materiaalverbruik]]+Inschrijf_Materiaal_Totaal[[#This Row],[Secundair Materiaalverbruik Vervangingen]]</f>
        <v>0</v>
      </c>
      <c r="M306" s="128">
        <f>Inschrijf_Materiaal_Totaal[[#This Row],[Totaal Primair Materieelgebruik]]+Inschrijf_Materiaal_Totaal[[#This Row],[Totaal Secundair Materieelgebruik]]</f>
        <v>0</v>
      </c>
    </row>
    <row r="307" spans="2:19">
      <c r="B307" s="209">
        <f>Optimalisatie!B99</f>
        <v>0</v>
      </c>
      <c r="C307" s="51">
        <f>Optimalisatie!F99</f>
        <v>0</v>
      </c>
      <c r="D307" s="93">
        <f>Optimalisatie!R99</f>
        <v>0</v>
      </c>
      <c r="E307" s="60">
        <f>_xlfn.IFNA(IF(Optimalisatie!E99="Categorie_1_LCA_Producten",VLOOKUP(Optimalisatie!F99,Categorie_1_Producten[#All],6,FALSE),VLOOKUP(Optimalisatie!F99&amp;", "&amp;"Totaal",Database_Productkaarten[#All],64,FALSE)),Referentie_Materiaal_Totaal[[#This Row],[% Secundair]])</f>
        <v>0</v>
      </c>
      <c r="F307" s="94">
        <f>Inschrijf_Materiaal_Totaal[[#This Row],[Hoeveelheid '[ton']]]*(1-Inschrijf_Materiaal_Totaal[[#This Row],[% Secundair]])</f>
        <v>0</v>
      </c>
      <c r="G307" s="94">
        <f>Inschrijf_Materiaal_Totaal[[#This Row],[Hoeveelheid '[ton']]]*Inschrijf_Materiaal_Totaal[[#This Row],[% Secundair]]</f>
        <v>0</v>
      </c>
      <c r="H307" s="128">
        <f>Optimalisatie!R99*Optimalisatie!T99</f>
        <v>0</v>
      </c>
      <c r="I307" s="128">
        <f>Inschrijf_Materiaal_Totaal[[#This Row],[Hoeveelheid Vervangingen '[ton']]]*(1-Inschrijf_Materiaal_Totaal[[#This Row],[% Secundair]])</f>
        <v>0</v>
      </c>
      <c r="J307" s="128">
        <f>Inschrijf_Materiaal_Totaal[[#This Row],[Primair materiaalverbruik Vervangingen]]*Inschrijf_Materiaal_Totaal[[#This Row],[% Secundair]]</f>
        <v>0</v>
      </c>
      <c r="K307" s="128">
        <f>Inschrijf_Materiaal_Totaal[[#This Row],[Primair materiaalverbruik]]+Inschrijf_Materiaal_Totaal[[#This Row],[Primair materiaalverbruik Vervangingen]]</f>
        <v>0</v>
      </c>
      <c r="L307" s="128">
        <f>Inschrijf_Materiaal_Totaal[[#This Row],[Secundair Materiaalverbruik]]+Inschrijf_Materiaal_Totaal[[#This Row],[Secundair Materiaalverbruik Vervangingen]]</f>
        <v>0</v>
      </c>
      <c r="M307" s="128">
        <f>Inschrijf_Materiaal_Totaal[[#This Row],[Totaal Primair Materieelgebruik]]+Inschrijf_Materiaal_Totaal[[#This Row],[Totaal Secundair Materieelgebruik]]</f>
        <v>0</v>
      </c>
    </row>
    <row r="308" spans="2:19">
      <c r="B308" s="209">
        <f>Optimalisatie!B100</f>
        <v>0</v>
      </c>
      <c r="C308" s="51">
        <f>Optimalisatie!F100</f>
        <v>0</v>
      </c>
      <c r="D308" s="93">
        <f>Optimalisatie!R100</f>
        <v>0</v>
      </c>
      <c r="E308" s="60">
        <f>_xlfn.IFNA(IF(Optimalisatie!E100="Categorie_1_LCA_Producten",VLOOKUP(Optimalisatie!F100,Categorie_1_Producten[#All],6,FALSE),VLOOKUP(Optimalisatie!F100&amp;", "&amp;"Totaal",Database_Productkaarten[#All],64,FALSE)),Referentie_Materiaal_Totaal[[#This Row],[% Secundair]])</f>
        <v>0</v>
      </c>
      <c r="F308" s="94">
        <f>Inschrijf_Materiaal_Totaal[[#This Row],[Hoeveelheid '[ton']]]*(1-Inschrijf_Materiaal_Totaal[[#This Row],[% Secundair]])</f>
        <v>0</v>
      </c>
      <c r="G308" s="94">
        <f>Inschrijf_Materiaal_Totaal[[#This Row],[Hoeveelheid '[ton']]]*Inschrijf_Materiaal_Totaal[[#This Row],[% Secundair]]</f>
        <v>0</v>
      </c>
      <c r="H308" s="128">
        <f>Optimalisatie!R100*Optimalisatie!T100</f>
        <v>0</v>
      </c>
      <c r="I308" s="128">
        <f>Inschrijf_Materiaal_Totaal[[#This Row],[Hoeveelheid Vervangingen '[ton']]]*(1-Inschrijf_Materiaal_Totaal[[#This Row],[% Secundair]])</f>
        <v>0</v>
      </c>
      <c r="J308" s="128">
        <f>Inschrijf_Materiaal_Totaal[[#This Row],[Primair materiaalverbruik Vervangingen]]*Inschrijf_Materiaal_Totaal[[#This Row],[% Secundair]]</f>
        <v>0</v>
      </c>
      <c r="K308" s="128">
        <f>Inschrijf_Materiaal_Totaal[[#This Row],[Primair materiaalverbruik]]+Inschrijf_Materiaal_Totaal[[#This Row],[Primair materiaalverbruik Vervangingen]]</f>
        <v>0</v>
      </c>
      <c r="L308" s="128">
        <f>Inschrijf_Materiaal_Totaal[[#This Row],[Secundair Materiaalverbruik]]+Inschrijf_Materiaal_Totaal[[#This Row],[Secundair Materiaalverbruik Vervangingen]]</f>
        <v>0</v>
      </c>
      <c r="M308" s="128">
        <f>Inschrijf_Materiaal_Totaal[[#This Row],[Totaal Primair Materieelgebruik]]+Inschrijf_Materiaal_Totaal[[#This Row],[Totaal Secundair Materieelgebruik]]</f>
        <v>0</v>
      </c>
    </row>
    <row r="309" spans="2:19">
      <c r="B309" s="209">
        <f>Optimalisatie!B101</f>
        <v>0</v>
      </c>
      <c r="C309" s="51">
        <f>Optimalisatie!F101</f>
        <v>0</v>
      </c>
      <c r="D309" s="93">
        <f>Optimalisatie!R101</f>
        <v>0</v>
      </c>
      <c r="E309" s="60">
        <f>_xlfn.IFNA(IF(Optimalisatie!E101="Categorie_1_LCA_Producten",VLOOKUP(Optimalisatie!F101,Categorie_1_Producten[#All],6,FALSE),VLOOKUP(Optimalisatie!F101&amp;", "&amp;"Totaal",Database_Productkaarten[#All],64,FALSE)),Referentie_Materiaal_Totaal[[#This Row],[% Secundair]])</f>
        <v>0</v>
      </c>
      <c r="F309" s="94">
        <f>Inschrijf_Materiaal_Totaal[[#This Row],[Hoeveelheid '[ton']]]*(1-Inschrijf_Materiaal_Totaal[[#This Row],[% Secundair]])</f>
        <v>0</v>
      </c>
      <c r="G309" s="94">
        <f>Inschrijf_Materiaal_Totaal[[#This Row],[Hoeveelheid '[ton']]]*Inschrijf_Materiaal_Totaal[[#This Row],[% Secundair]]</f>
        <v>0</v>
      </c>
      <c r="H309" s="128">
        <f>Optimalisatie!R101*Optimalisatie!T101</f>
        <v>0</v>
      </c>
      <c r="I309" s="128">
        <f>Inschrijf_Materiaal_Totaal[[#This Row],[Hoeveelheid Vervangingen '[ton']]]*(1-Inschrijf_Materiaal_Totaal[[#This Row],[% Secundair]])</f>
        <v>0</v>
      </c>
      <c r="J309" s="128">
        <f>Inschrijf_Materiaal_Totaal[[#This Row],[Primair materiaalverbruik Vervangingen]]*Inschrijf_Materiaal_Totaal[[#This Row],[% Secundair]]</f>
        <v>0</v>
      </c>
      <c r="K309" s="128">
        <f>Inschrijf_Materiaal_Totaal[[#This Row],[Primair materiaalverbruik]]+Inschrijf_Materiaal_Totaal[[#This Row],[Primair materiaalverbruik Vervangingen]]</f>
        <v>0</v>
      </c>
      <c r="L309" s="128">
        <f>Inschrijf_Materiaal_Totaal[[#This Row],[Secundair Materiaalverbruik]]+Inschrijf_Materiaal_Totaal[[#This Row],[Secundair Materiaalverbruik Vervangingen]]</f>
        <v>0</v>
      </c>
      <c r="M309" s="128">
        <f>Inschrijf_Materiaal_Totaal[[#This Row],[Totaal Primair Materieelgebruik]]+Inschrijf_Materiaal_Totaal[[#This Row],[Totaal Secundair Materieelgebruik]]</f>
        <v>0</v>
      </c>
    </row>
    <row r="310" spans="2:19">
      <c r="B310" s="209">
        <f>Optimalisatie!B102</f>
        <v>0</v>
      </c>
      <c r="C310" s="51">
        <f>Optimalisatie!F102</f>
        <v>0</v>
      </c>
      <c r="D310" s="93">
        <f>Optimalisatie!R102</f>
        <v>0</v>
      </c>
      <c r="E310" s="60">
        <f>_xlfn.IFNA(IF(Optimalisatie!E102="Categorie_1_LCA_Producten",VLOOKUP(Optimalisatie!F102,Categorie_1_Producten[#All],6,FALSE),VLOOKUP(Optimalisatie!F102&amp;", "&amp;"Totaal",Database_Productkaarten[#All],64,FALSE)),Referentie_Materiaal_Totaal[[#This Row],[% Secundair]])</f>
        <v>0</v>
      </c>
      <c r="F310" s="94">
        <f>Inschrijf_Materiaal_Totaal[[#This Row],[Hoeveelheid '[ton']]]*(1-Inschrijf_Materiaal_Totaal[[#This Row],[% Secundair]])</f>
        <v>0</v>
      </c>
      <c r="G310" s="94">
        <f>Inschrijf_Materiaal_Totaal[[#This Row],[Hoeveelheid '[ton']]]*Inschrijf_Materiaal_Totaal[[#This Row],[% Secundair]]</f>
        <v>0</v>
      </c>
      <c r="H310" s="128">
        <f>Optimalisatie!R102*Optimalisatie!T102</f>
        <v>0</v>
      </c>
      <c r="I310" s="128">
        <f>Inschrijf_Materiaal_Totaal[[#This Row],[Hoeveelheid Vervangingen '[ton']]]*(1-Inschrijf_Materiaal_Totaal[[#This Row],[% Secundair]])</f>
        <v>0</v>
      </c>
      <c r="J310" s="128">
        <f>Inschrijf_Materiaal_Totaal[[#This Row],[Primair materiaalverbruik Vervangingen]]*Inschrijf_Materiaal_Totaal[[#This Row],[% Secundair]]</f>
        <v>0</v>
      </c>
      <c r="K310" s="128">
        <f>Inschrijf_Materiaal_Totaal[[#This Row],[Primair materiaalverbruik]]+Inschrijf_Materiaal_Totaal[[#This Row],[Primair materiaalverbruik Vervangingen]]</f>
        <v>0</v>
      </c>
      <c r="L310" s="128">
        <f>Inschrijf_Materiaal_Totaal[[#This Row],[Secundair Materiaalverbruik]]+Inschrijf_Materiaal_Totaal[[#This Row],[Secundair Materiaalverbruik Vervangingen]]</f>
        <v>0</v>
      </c>
      <c r="M310" s="128">
        <f>Inschrijf_Materiaal_Totaal[[#This Row],[Totaal Primair Materieelgebruik]]+Inschrijf_Materiaal_Totaal[[#This Row],[Totaal Secundair Materieelgebruik]]</f>
        <v>0</v>
      </c>
    </row>
    <row r="311" spans="2:19">
      <c r="B311" s="209">
        <f>Optimalisatie!B103</f>
        <v>0</v>
      </c>
      <c r="C311" s="51">
        <f>Optimalisatie!F103</f>
        <v>0</v>
      </c>
      <c r="D311" s="93">
        <f>Optimalisatie!R103</f>
        <v>0</v>
      </c>
      <c r="E311" s="60">
        <f>_xlfn.IFNA(IF(Optimalisatie!E103="Categorie_1_LCA_Producten",VLOOKUP(Optimalisatie!F103,Categorie_1_Producten[#All],6,FALSE),VLOOKUP(Optimalisatie!F103&amp;", "&amp;"Totaal",Database_Productkaarten[#All],64,FALSE)),Referentie_Materiaal_Totaal[[#This Row],[% Secundair]])</f>
        <v>0</v>
      </c>
      <c r="F311" s="94">
        <f>Inschrijf_Materiaal_Totaal[[#This Row],[Hoeveelheid '[ton']]]*(1-Inschrijf_Materiaal_Totaal[[#This Row],[% Secundair]])</f>
        <v>0</v>
      </c>
      <c r="G311" s="94">
        <f>Inschrijf_Materiaal_Totaal[[#This Row],[Hoeveelheid '[ton']]]*Inschrijf_Materiaal_Totaal[[#This Row],[% Secundair]]</f>
        <v>0</v>
      </c>
      <c r="H311" s="128">
        <f>Optimalisatie!R103*Optimalisatie!T103</f>
        <v>0</v>
      </c>
      <c r="I311" s="128">
        <f>Inschrijf_Materiaal_Totaal[[#This Row],[Hoeveelheid Vervangingen '[ton']]]*(1-Inschrijf_Materiaal_Totaal[[#This Row],[% Secundair]])</f>
        <v>0</v>
      </c>
      <c r="J311" s="128">
        <f>Inschrijf_Materiaal_Totaal[[#This Row],[Primair materiaalverbruik Vervangingen]]*Inschrijf_Materiaal_Totaal[[#This Row],[% Secundair]]</f>
        <v>0</v>
      </c>
      <c r="K311" s="128">
        <f>Inschrijf_Materiaal_Totaal[[#This Row],[Primair materiaalverbruik]]+Inschrijf_Materiaal_Totaal[[#This Row],[Primair materiaalverbruik Vervangingen]]</f>
        <v>0</v>
      </c>
      <c r="L311" s="128">
        <f>Inschrijf_Materiaal_Totaal[[#This Row],[Secundair Materiaalverbruik]]+Inschrijf_Materiaal_Totaal[[#This Row],[Secundair Materiaalverbruik Vervangingen]]</f>
        <v>0</v>
      </c>
      <c r="M311" s="128">
        <f>Inschrijf_Materiaal_Totaal[[#This Row],[Totaal Primair Materieelgebruik]]+Inschrijf_Materiaal_Totaal[[#This Row],[Totaal Secundair Materieelgebruik]]</f>
        <v>0</v>
      </c>
    </row>
    <row r="312" spans="2:19">
      <c r="B312" s="209">
        <f>Optimalisatie!B104</f>
        <v>0</v>
      </c>
      <c r="C312" s="51">
        <f>Optimalisatie!F104</f>
        <v>0</v>
      </c>
      <c r="D312" s="93">
        <f>Optimalisatie!R104</f>
        <v>0</v>
      </c>
      <c r="E312" s="60">
        <f>_xlfn.IFNA(IF(Optimalisatie!E104="Categorie_1_LCA_Producten",VLOOKUP(Optimalisatie!F104,Categorie_1_Producten[#All],6,FALSE),VLOOKUP(Optimalisatie!F104&amp;", "&amp;"Totaal",Database_Productkaarten[#All],64,FALSE)),Referentie_Materiaal_Totaal[[#This Row],[% Secundair]])</f>
        <v>0</v>
      </c>
      <c r="F312" s="94">
        <f>Inschrijf_Materiaal_Totaal[[#This Row],[Hoeveelheid '[ton']]]*(1-Inschrijf_Materiaal_Totaal[[#This Row],[% Secundair]])</f>
        <v>0</v>
      </c>
      <c r="G312" s="94">
        <f>Inschrijf_Materiaal_Totaal[[#This Row],[Hoeveelheid '[ton']]]*Inschrijf_Materiaal_Totaal[[#This Row],[% Secundair]]</f>
        <v>0</v>
      </c>
      <c r="H312" s="128">
        <f>Optimalisatie!R104*Optimalisatie!T104</f>
        <v>0</v>
      </c>
      <c r="I312" s="128">
        <f>Inschrijf_Materiaal_Totaal[[#This Row],[Hoeveelheid Vervangingen '[ton']]]*(1-Inschrijf_Materiaal_Totaal[[#This Row],[% Secundair]])</f>
        <v>0</v>
      </c>
      <c r="J312" s="128">
        <f>Inschrijf_Materiaal_Totaal[[#This Row],[Primair materiaalverbruik Vervangingen]]*Inschrijf_Materiaal_Totaal[[#This Row],[% Secundair]]</f>
        <v>0</v>
      </c>
      <c r="K312" s="128">
        <f>Inschrijf_Materiaal_Totaal[[#This Row],[Primair materiaalverbruik]]+Inschrijf_Materiaal_Totaal[[#This Row],[Primair materiaalverbruik Vervangingen]]</f>
        <v>0</v>
      </c>
      <c r="L312" s="128">
        <f>Inschrijf_Materiaal_Totaal[[#This Row],[Secundair Materiaalverbruik]]+Inschrijf_Materiaal_Totaal[[#This Row],[Secundair Materiaalverbruik Vervangingen]]</f>
        <v>0</v>
      </c>
      <c r="M312" s="128">
        <f>Inschrijf_Materiaal_Totaal[[#This Row],[Totaal Primair Materieelgebruik]]+Inschrijf_Materiaal_Totaal[[#This Row],[Totaal Secundair Materieelgebruik]]</f>
        <v>0</v>
      </c>
    </row>
    <row r="313" spans="2:19" ht="15.75" thickBot="1">
      <c r="B313" s="209">
        <f>Optimalisatie!B105</f>
        <v>0</v>
      </c>
      <c r="C313" s="51">
        <f>Optimalisatie!F105</f>
        <v>0</v>
      </c>
      <c r="D313" s="93">
        <f>Optimalisatie!R105</f>
        <v>0</v>
      </c>
      <c r="E313" s="60">
        <f>_xlfn.IFNA(IF(Optimalisatie!E105="Categorie_1_LCA_Producten",VLOOKUP(Optimalisatie!F105,Categorie_1_Producten[#All],6,FALSE),VLOOKUP(Optimalisatie!F105&amp;", "&amp;"Totaal",Database_Productkaarten[#All],64,FALSE)),Referentie_Materiaal_Totaal[[#This Row],[% Secundair]])</f>
        <v>0</v>
      </c>
      <c r="F313" s="94">
        <f>Inschrijf_Materiaal_Totaal[[#This Row],[Hoeveelheid '[ton']]]*(1-Inschrijf_Materiaal_Totaal[[#This Row],[% Secundair]])</f>
        <v>0</v>
      </c>
      <c r="G313" s="94">
        <f>Inschrijf_Materiaal_Totaal[[#This Row],[Hoeveelheid '[ton']]]*Inschrijf_Materiaal_Totaal[[#This Row],[% Secundair]]</f>
        <v>0</v>
      </c>
      <c r="H313" s="128">
        <f>Optimalisatie!R105*Optimalisatie!T105</f>
        <v>0</v>
      </c>
      <c r="I313" s="128">
        <f>Inschrijf_Materiaal_Totaal[[#This Row],[Hoeveelheid Vervangingen '[ton']]]*(1-Inschrijf_Materiaal_Totaal[[#This Row],[% Secundair]])</f>
        <v>0</v>
      </c>
      <c r="J313" s="128">
        <f>Inschrijf_Materiaal_Totaal[[#This Row],[Primair materiaalverbruik Vervangingen]]*Inschrijf_Materiaal_Totaal[[#This Row],[% Secundair]]</f>
        <v>0</v>
      </c>
      <c r="K313" s="128">
        <f>Inschrijf_Materiaal_Totaal[[#This Row],[Primair materiaalverbruik]]+Inschrijf_Materiaal_Totaal[[#This Row],[Primair materiaalverbruik Vervangingen]]</f>
        <v>0</v>
      </c>
      <c r="L313" s="128">
        <f>Inschrijf_Materiaal_Totaal[[#This Row],[Secundair Materiaalverbruik]]+Inschrijf_Materiaal_Totaal[[#This Row],[Secundair Materiaalverbruik Vervangingen]]</f>
        <v>0</v>
      </c>
      <c r="M313" s="128">
        <f>Inschrijf_Materiaal_Totaal[[#This Row],[Totaal Primair Materieelgebruik]]+Inschrijf_Materiaal_Totaal[[#This Row],[Totaal Secundair Materieelgebruik]]</f>
        <v>0</v>
      </c>
    </row>
    <row r="314" spans="2:19" ht="15.75" thickTop="1">
      <c r="B314" s="52" t="s">
        <v>90</v>
      </c>
      <c r="C314" s="53"/>
      <c r="D314" s="80">
        <f>SUBTOTAL(109,Inschrijf_Materiaal_Totaal[Hoeveelheid '[ton']])</f>
        <v>106820.98785999999</v>
      </c>
      <c r="E314" s="53"/>
      <c r="F314" s="80">
        <f>SUBTOTAL(109,Inschrijf_Materiaal_Totaal[Primair materiaalverbruik])</f>
        <v>12406.89629521266</v>
      </c>
      <c r="G314" s="80">
        <f>SUBTOTAL(109,Inschrijf_Materiaal_Totaal[Secundair Materiaalverbruik])</f>
        <v>94414.091564787333</v>
      </c>
      <c r="H314" s="80">
        <f>SUBTOTAL(109,Inschrijf_Materiaal_Totaal[Hoeveelheid Vervangingen '[ton']])</f>
        <v>0</v>
      </c>
      <c r="I314" s="80">
        <f>SUBTOTAL(109,Inschrijf_Materiaal_Totaal[Primair materiaalverbruik Vervangingen])</f>
        <v>0</v>
      </c>
      <c r="J314" s="131">
        <f>SUBTOTAL(109,Inschrijf_Materiaal_Totaal[Secundair Materiaalverbruik Vervangingen])</f>
        <v>0</v>
      </c>
      <c r="K314" s="131">
        <f>SUBTOTAL(109,Inschrijf_Materiaal_Totaal[Totaal Primair Materieelgebruik])</f>
        <v>12406.89629521266</v>
      </c>
      <c r="L314" s="131">
        <f>SUBTOTAL(109,Inschrijf_Materiaal_Totaal[Totaal Secundair Materieelgebruik])</f>
        <v>94414.091564787333</v>
      </c>
      <c r="M314" s="131">
        <f>SUBTOTAL(109,Inschrijf_Materiaal_Totaal[Totaal Materieelgebruik])</f>
        <v>106820.98785999999</v>
      </c>
    </row>
    <row r="317" spans="2:19" ht="18">
      <c r="B317" s="110" t="s">
        <v>336</v>
      </c>
      <c r="C317" s="110"/>
      <c r="D317" s="110"/>
    </row>
    <row r="318" spans="2:19">
      <c r="B318" s="1" t="s">
        <v>214</v>
      </c>
      <c r="C318" s="1" t="s">
        <v>7</v>
      </c>
      <c r="D318" s="18" t="s">
        <v>74</v>
      </c>
      <c r="E318" s="19" t="s">
        <v>75</v>
      </c>
      <c r="F318" s="20" t="s">
        <v>76</v>
      </c>
      <c r="G318" s="18" t="s">
        <v>77</v>
      </c>
      <c r="H318" s="21" t="s">
        <v>78</v>
      </c>
      <c r="I318" s="22" t="s">
        <v>79</v>
      </c>
      <c r="J318" s="23" t="s">
        <v>80</v>
      </c>
      <c r="K318" s="24" t="s">
        <v>82</v>
      </c>
      <c r="L318" s="25" t="s">
        <v>83</v>
      </c>
      <c r="M318" s="26" t="s">
        <v>84</v>
      </c>
      <c r="N318" s="27" t="s">
        <v>85</v>
      </c>
      <c r="O318" s="28" t="s">
        <v>86</v>
      </c>
      <c r="P318" s="29" t="s">
        <v>87</v>
      </c>
      <c r="Q318" s="30" t="s">
        <v>88</v>
      </c>
      <c r="R318" s="29" t="s">
        <v>89</v>
      </c>
      <c r="S318" s="143" t="s">
        <v>90</v>
      </c>
    </row>
    <row r="319" spans="2:19">
      <c r="B319" s="208" t="str">
        <f>Optimalisatie!B6</f>
        <v xml:space="preserve">121110 - Opbreken trottoirband </v>
      </c>
      <c r="C319" s="1" t="str">
        <f>Optimalisatie!F6</f>
        <v>Trottoirband 130/150x250</v>
      </c>
      <c r="D319" s="91">
        <f>(IF(Optimalisatie!C6="Nieuwe Situatie",_xlfn.IFNA(IF(Optimalisatie!E6="Categorie_1_LCA_Producten",VLOOKUP(Inschrijf_Hernieuwbare_Energie_Totaal[[#This Row],[Product]],Categorie_1_Producten[#All],20,FALSE)*(Optimalisatie!J6),VLOOKUP(Inschrijf_Hernieuwbare_Energie_Totaal[[#This Row],[Product]]&amp;", "&amp;Inschrijf_Hernieuwbare_Energie_Totaal[[#Headers],[A1]],Database_Productkaarten[#All],48,FALSE)*Optimalisatie!J6),Baseline_Backlog!D319),0))</f>
        <v>0</v>
      </c>
      <c r="E319" s="91">
        <f>(IF(Optimalisatie!C6="Nieuwe Situatie",_xlfn.IFNA(IF(Optimalisatie!E6="Categorie_1_LCA_Producten",VLOOKUP(Inschrijf_Hernieuwbare_Energie_Totaal[[#This Row],[Product]],Categorie_1_Producten[#All],21,FALSE)*(Optimalisatie!J6),VLOOKUP(Inschrijf_Hernieuwbare_Energie_Totaal[[#This Row],[Product]]&amp;", "&amp;Inschrijf_Hernieuwbare_Energie_Totaal[[#Headers],[A2]],Database_Productkaarten[#All],48,FALSE)*Optimalisatie!J6),Baseline_Backlog!E319),0))</f>
        <v>0</v>
      </c>
      <c r="F319" s="91">
        <f>(IF(Optimalisatie!C6="Nieuwe Situatie",_xlfn.IFNA(IF(Optimalisatie!E6="Categorie_1_LCA_Producten",VLOOKUP(Inschrijf_Hernieuwbare_Energie_Totaal[[#This Row],[Product]],Categorie_1_Producten[#All],22,FALSE)*(Optimalisatie!J6),VLOOKUP(Inschrijf_Hernieuwbare_Energie_Totaal[[#This Row],[Product]]&amp;", "&amp;Inschrijf_Hernieuwbare_Energie_Totaal[[#Headers],[A3]],Database_Productkaarten[#All],48,FALSE)*Optimalisatie!J6),Baseline_Backlog!F319),0))</f>
        <v>0</v>
      </c>
      <c r="G319" s="91">
        <f>(IF(Optimalisatie!C6="Nieuwe Situatie",_xlfn.IFNA(IF(Optimalisatie!E6="Categorie_1_LCA_Producten",VLOOKUP(Inschrijf_Hernieuwbare_Energie_Totaal[[#This Row],[Product]],Categorie_1_Producten[#All],27,FALSE)*(Optimalisatie!J6),VLOOKUP(Inschrijf_Hernieuwbare_Energie_Totaal[[#This Row],[Product]]&amp;", "&amp;Inschrijf_Hernieuwbare_Energie_Totaal[[#Headers],[A1-A3]],Database_Productkaarten[#All],48,FALSE)*Optimalisatie!J6),Baseline_Backlog!G319),0))</f>
        <v>0</v>
      </c>
      <c r="H319" s="91">
        <f>(IF(Optimalisatie!C6="Nieuwe Situatie",_xlfn.IFNA(VLOOKUP(Optimalisatie!V6,Database_Transport[#All],42,FALSE)*(Optimalisatie!R6*Optimalisatie!U6),Baseline_Backlog!H319),0))</f>
        <v>0</v>
      </c>
      <c r="I319" s="91">
        <f>IF(Optimalisatie!C6="Nieuwe situatie",IF(_xlfn.IFNA((VLOOKUP(Optimalisatie!W6,Database_Asfalt_Aanlegset[#All],42,FALSE)*Optimalisatie!J6),0)+_xlfn.IFNA(VLOOKUP(Optimalisatie!X6,Database_Brandstoffen[#All],42,FALSE)*((Optimalisatie!J6/Optimalisatie!Z6)*Optimalisatie!Y6),0)&gt;0,_xlfn.IFNA((VLOOKUP(Optimalisatie!W6,Database_Asfalt_Aanlegset[#All],42,FALSE)*Optimalisatie!J6),0)+_xlfn.IFNA(VLOOKUP(Optimalisatie!X6,Database_Brandstoffen[#All],42,FALSE)*((Optimalisatie!J6/Optimalisatie!Z6)*Optimalisatie!Y6),0),(_xlfn.IFNA(VLOOKUP(Inschrijf_Hernieuwbare_Energie_Totaal[[#This Row],[Product]]&amp;", "&amp;Inschrijf_MKI_Totaal[[#Headers],[A5]],Database_Productkaarten[#All],48,FALSE),0)*Optimalisatie!J6)),0)</f>
        <v>0</v>
      </c>
      <c r="J319" s="91">
        <f>(IF(Optimalisatie!C6="Nieuwe Situatie",_xlfn.IFNA(IF(Optimalisatie!E6="Categorie_1_LCA_Producten",VLOOKUP(Inschrijf_Hernieuwbare_Energie_Totaal[[#This Row],[Product]],Categorie_1_Producten[#All],28,FALSE)*(Optimalisatie!R6),VLOOKUP(Inschrijf_Hernieuwbare_Energie_Totaal[[#This Row],[Product]]&amp;", "&amp;Inschrijf_Hernieuwbare_Energie_Totaal[[#Headers],[B1]],Database_Productkaarten[#All],47,FALSE)*Optimalisatie!J6),Baseline_Backlog!J319),0))</f>
        <v>0</v>
      </c>
      <c r="K319" s="91">
        <f>(IF(Optimalisatie!C6="Nieuwe Situatie",_xlfn.IFNA(SUM(Inschrijf_Hernieuwbare_Energie_Totaal[[#This Row],[A1]:[B1]],Inschrijf_Hernieuwbare_Energie_Totaal[[#This Row],[C1]:[D2]])*Optimalisatie!T6,0),0))</f>
        <v>0</v>
      </c>
      <c r="L319" s="91">
        <f>IF(Optimalisatie!C6="Bestaande situatie",IF(_xlfn.IFNA((VLOOKUP(Optimalisatie!AA6,Database_Asfalt_Verwijderset[#All],42,FALSE)*Optimalisatie!J6),0)+_xlfn.IFNA(VLOOKUP(Optimalisatie!AB6,Database_Brandstoffen[#All],42,FALSE)*((Optimalisatie!J6/Optimalisatie!AD6)*Optimalisatie!AC6),0)&gt;0,_xlfn.IFNA((VLOOKUP(Optimalisatie!AA6,Database_Asfalt_Verwijderset[#All],42,FALSE)*Optimalisatie!J6),0)+_xlfn.IFNA(VLOOKUP(Optimalisatie!AB6,Database_Brandstoffen[#All],42,FALSE)*((Optimalisatie!J6/Optimalisatie!AD6)*Optimalisatie!AC6),0),(_xlfn.IFNA(VLOOKUP(Inschrijf_Hernieuwbare_Energie_Totaal[[#This Row],[Product]]&amp;", "&amp;Inschrijf_MKI_Totaal[[#Headers],[C1]],Database_Productkaarten[#All],48,FALSE),0)*Optimalisatie!J6)),0)</f>
        <v>580.48464925704741</v>
      </c>
      <c r="M319" s="91">
        <f>(IF(Optimalisatie!C6="Bestaande Situatie",_xlfn.IFNA(VLOOKUP(Optimalisatie!AF6,Database_Transport[#All],42,FALSE)*(Optimalisatie!R6*Optimalisatie!AE6),Baseline_Backlog!M319),0))</f>
        <v>76.386201852870002</v>
      </c>
      <c r="N319" s="91">
        <f>(IF(Optimalisatie!C6="Bestaande Situatie",_xlfn.IFNA(VLOOKUP(Optimalisatie!AG6,Database_Asfalt_Verwerkingsset[#All],42,FALSE)*(Optimalisatie!J6/VLOOKUP(Optimalisatie!AG6,Database_Asfalt_Verwerkingsset[#All],42,FALSE)),Baseline_Backlog!N319),0))</f>
        <v>348.5573546</v>
      </c>
      <c r="O319" s="91">
        <f>(IF(Optimalisatie!C6="Bestaande Situatie",_xlfn.IFNA(VLOOKUP(Inschrijf_Hernieuwbare_Energie_Totaal[[#This Row],[Product]]&amp;", "&amp;Inschrijf_MKI_Totaal[[#Headers],[C4]],Database_Productkaarten[#All],48,FALSE)*Optimalisatie!J6,Baseline_Backlog!O319),0))</f>
        <v>10.592053198999999</v>
      </c>
      <c r="P319" s="91">
        <f>(IF(Optimalisatie!C6="Bestaande Situatie",_xlfn.IFNA(IF(Optimalisatie!E6="Categorie_1_LCA_Producten",VLOOKUP(Inschrijf_Hernieuwbare_Energie_Totaal[[#This Row],[Product]],Categorie_1_Producten[#All],24,FALSE)*(Optimalisatie!J6),VLOOKUP(Inschrijf_Hernieuwbare_Energie_Totaal[[#This Row],[Product]]&amp;", "&amp;Inschrijf_Hernieuwbare_Energie_Totaal[[#Headers],[D1]],Database_Productkaarten[#All],48,FALSE)*Optimalisatie!J6),Baseline_Backlog!P319),0))</f>
        <v>0</v>
      </c>
      <c r="Q319" s="91">
        <f>(IF(Optimalisatie!C6="Bestaande Situatie",_xlfn.IFNA(IF(Optimalisatie!E6="Categorie_1_LCA_Producten",VLOOKUP(Inschrijf_Hernieuwbare_Energie_Totaal[[#This Row],[Product]],Categorie_1_Producten[#All],25,FALSE)*(Optimalisatie!J6),VLOOKUP(Inschrijf_Hernieuwbare_Energie_Totaal[[#This Row],[Product]]&amp;", "&amp;Inschrijf_Hernieuwbare_Energie_Totaal[[#Headers],[D2]],Database_Productkaarten[#All],48,FALSE)*Optimalisatie!J6),Baseline_Backlog!Q319),0))</f>
        <v>0</v>
      </c>
      <c r="R319" s="91">
        <f>(IF(Optimalisatie!C6="Bestaande Situatie",_xlfn.IFNA(IF(Optimalisatie!E6="Categorie_1_LCA_Producten",VLOOKUP(Inschrijf_Hernieuwbare_Energie_Totaal[[#This Row],[Product]],Categorie_1_Producten[#All],29,FALSE)*(Optimalisatie!J6),VLOOKUP(Inschrijf_Hernieuwbare_Energie_Totaal[[#This Row],[Product]]&amp;", "&amp;Inschrijf_Hernieuwbare_Energie_Totaal[[#Headers],[D]],Database_Productkaarten[#All],48,FALSE)*Optimalisatie!J6),Baseline_Backlog!S319),0))</f>
        <v>-879.67607455000007</v>
      </c>
      <c r="S319" s="91">
        <f>SUM(Inschrijf_Hernieuwbare_Energie_Totaal[[#This Row],[A1-A3]:[C4]])+Inschrijf_Hernieuwbare_Energie_Totaal[[#This Row],[D]]</f>
        <v>136.34418435891735</v>
      </c>
    </row>
    <row r="320" spans="2:19">
      <c r="B320" s="208" t="str">
        <f>Optimalisatie!B7</f>
        <v>121120 - Opbreken RWS band</v>
      </c>
      <c r="C320" s="1" t="str">
        <f>Optimalisatie!F7</f>
        <v>RWSband 115/225x250</v>
      </c>
      <c r="D320" s="91">
        <f>(IF(Optimalisatie!C7="Nieuwe Situatie",_xlfn.IFNA(IF(Optimalisatie!E7="Categorie_1_LCA_Producten",VLOOKUP(Inschrijf_Hernieuwbare_Energie_Totaal[[#This Row],[Product]],Categorie_1_Producten[#All],20,FALSE)*(Optimalisatie!J7),VLOOKUP(Inschrijf_Hernieuwbare_Energie_Totaal[[#This Row],[Product]]&amp;", "&amp;Inschrijf_Hernieuwbare_Energie_Totaal[[#Headers],[A1]],Database_Productkaarten[#All],48,FALSE)*Optimalisatie!J7),Baseline_Backlog!D320),0))</f>
        <v>0</v>
      </c>
      <c r="E320" s="91">
        <f>(IF(Optimalisatie!C7="Nieuwe Situatie",_xlfn.IFNA(IF(Optimalisatie!E7="Categorie_1_LCA_Producten",VLOOKUP(Inschrijf_Hernieuwbare_Energie_Totaal[[#This Row],[Product]],Categorie_1_Producten[#All],21,FALSE)*(Optimalisatie!J7),VLOOKUP(Inschrijf_Hernieuwbare_Energie_Totaal[[#This Row],[Product]]&amp;", "&amp;Inschrijf_Hernieuwbare_Energie_Totaal[[#Headers],[A2]],Database_Productkaarten[#All],48,FALSE)*Optimalisatie!J7),Baseline_Backlog!E320),0))</f>
        <v>0</v>
      </c>
      <c r="F320" s="91">
        <f>(IF(Optimalisatie!C7="Nieuwe Situatie",_xlfn.IFNA(IF(Optimalisatie!E7="Categorie_1_LCA_Producten",VLOOKUP(Inschrijf_Hernieuwbare_Energie_Totaal[[#This Row],[Product]],Categorie_1_Producten[#All],22,FALSE)*(Optimalisatie!J7),VLOOKUP(Inschrijf_Hernieuwbare_Energie_Totaal[[#This Row],[Product]]&amp;", "&amp;Inschrijf_Hernieuwbare_Energie_Totaal[[#Headers],[A3]],Database_Productkaarten[#All],48,FALSE)*Optimalisatie!J7),Baseline_Backlog!F320),0))</f>
        <v>0</v>
      </c>
      <c r="G320" s="91">
        <f>(IF(Optimalisatie!C7="Nieuwe Situatie",_xlfn.IFNA(IF(Optimalisatie!E7="Categorie_1_LCA_Producten",VLOOKUP(Inschrijf_Hernieuwbare_Energie_Totaal[[#This Row],[Product]],Categorie_1_Producten[#All],27,FALSE)*(Optimalisatie!J7),VLOOKUP(Inschrijf_Hernieuwbare_Energie_Totaal[[#This Row],[Product]]&amp;", "&amp;Inschrijf_Hernieuwbare_Energie_Totaal[[#Headers],[A1-A3]],Database_Productkaarten[#All],48,FALSE)*Optimalisatie!J7),Baseline_Backlog!G320),0))</f>
        <v>0</v>
      </c>
      <c r="H320" s="91">
        <f>(IF(Optimalisatie!C7="Nieuwe Situatie",_xlfn.IFNA(VLOOKUP(Optimalisatie!V7,Database_Transport[#All],42,FALSE)*(Optimalisatie!R7*Optimalisatie!U7),Baseline_Backlog!H320),0))</f>
        <v>0</v>
      </c>
      <c r="I320" s="91">
        <f>IF(Optimalisatie!C7="Nieuwe situatie",IF(_xlfn.IFNA((VLOOKUP(Optimalisatie!W7,Database_Asfalt_Aanlegset[#All],42,FALSE)*Optimalisatie!J7),0)+_xlfn.IFNA(VLOOKUP(Optimalisatie!X7,Database_Brandstoffen[#All],42,FALSE)*((Optimalisatie!J7/Optimalisatie!Z7)*Optimalisatie!Y7),0)&gt;0,_xlfn.IFNA((VLOOKUP(Optimalisatie!W7,Database_Asfalt_Aanlegset[#All],42,FALSE)*Optimalisatie!J7),0)+_xlfn.IFNA(VLOOKUP(Optimalisatie!X7,Database_Brandstoffen[#All],42,FALSE)*((Optimalisatie!J7/Optimalisatie!Z7)*Optimalisatie!Y7),0),(_xlfn.IFNA(VLOOKUP(Inschrijf_Hernieuwbare_Energie_Totaal[[#This Row],[Product]]&amp;", "&amp;Inschrijf_MKI_Totaal[[#Headers],[A5]],Database_Productkaarten[#All],48,FALSE),0)*Optimalisatie!J7)),0)</f>
        <v>0</v>
      </c>
      <c r="J320" s="91">
        <f>(IF(Optimalisatie!C7="Nieuwe Situatie",_xlfn.IFNA(IF(Optimalisatie!E7="Categorie_1_LCA_Producten",VLOOKUP(Inschrijf_Hernieuwbare_Energie_Totaal[[#This Row],[Product]],Categorie_1_Producten[#All],28,FALSE)*(Optimalisatie!R7),VLOOKUP(Inschrijf_Hernieuwbare_Energie_Totaal[[#This Row],[Product]]&amp;", "&amp;Inschrijf_Hernieuwbare_Energie_Totaal[[#Headers],[B1]],Database_Productkaarten[#All],47,FALSE)*Optimalisatie!J7),Baseline_Backlog!J320),0))</f>
        <v>0</v>
      </c>
      <c r="K320" s="91">
        <f>(IF(Optimalisatie!C7="Nieuwe Situatie",_xlfn.IFNA(SUM(Inschrijf_Hernieuwbare_Energie_Totaal[[#This Row],[A1]:[B1]],Inschrijf_Hernieuwbare_Energie_Totaal[[#This Row],[C1]:[D2]])*Optimalisatie!T7,0),0))</f>
        <v>0</v>
      </c>
      <c r="L320" s="91">
        <f>IF(Optimalisatie!C7="Bestaande situatie",IF(_xlfn.IFNA((VLOOKUP(Optimalisatie!AA7,Database_Asfalt_Verwijderset[#All],42,FALSE)*Optimalisatie!J7),0)+_xlfn.IFNA(VLOOKUP(Optimalisatie!AB7,Database_Brandstoffen[#All],42,FALSE)*((Optimalisatie!J7/Optimalisatie!AD7)*Optimalisatie!AC7),0)&gt;0,_xlfn.IFNA((VLOOKUP(Optimalisatie!AA7,Database_Asfalt_Verwijderset[#All],42,FALSE)*Optimalisatie!J7),0)+_xlfn.IFNA(VLOOKUP(Optimalisatie!AB7,Database_Brandstoffen[#All],42,FALSE)*((Optimalisatie!J7/Optimalisatie!AD7)*Optimalisatie!AC7),0),(_xlfn.IFNA(VLOOKUP(Inschrijf_Hernieuwbare_Energie_Totaal[[#This Row],[Product]]&amp;", "&amp;Inschrijf_MKI_Totaal[[#Headers],[C1]],Database_Productkaarten[#All],48,FALSE),0)*Optimalisatie!J7)),0)</f>
        <v>61.055685243676876</v>
      </c>
      <c r="M320" s="91">
        <f>(IF(Optimalisatie!C7="Bestaande Situatie",_xlfn.IFNA(VLOOKUP(Optimalisatie!AF7,Database_Transport[#All],42,FALSE)*(Optimalisatie!R7*Optimalisatie!AE7),Baseline_Backlog!M320),0))</f>
        <v>12.037216241969999</v>
      </c>
      <c r="N320" s="91">
        <f>(IF(Optimalisatie!C7="Bestaande Situatie",_xlfn.IFNA(VLOOKUP(Optimalisatie!AG7,Database_Asfalt_Verwerkingsset[#All],42,FALSE)*(Optimalisatie!J7/VLOOKUP(Optimalisatie!AG7,Database_Asfalt_Verwerkingsset[#All],42,FALSE)),Baseline_Backlog!N320),0))</f>
        <v>53.833089650000005</v>
      </c>
      <c r="O320" s="91">
        <f>(IF(Optimalisatie!C7="Bestaande Situatie",_xlfn.IFNA(VLOOKUP(Inschrijf_Hernieuwbare_Energie_Totaal[[#This Row],[Product]]&amp;", "&amp;Inschrijf_MKI_Totaal[[#Headers],[C4]],Database_Productkaarten[#All],48,FALSE)*Optimalisatie!J7,Baseline_Backlog!O320),0))</f>
        <v>1.63589411</v>
      </c>
      <c r="P320" s="91">
        <f>(IF(Optimalisatie!C7="Bestaande Situatie",_xlfn.IFNA(IF(Optimalisatie!E7="Categorie_1_LCA_Producten",VLOOKUP(Inschrijf_Hernieuwbare_Energie_Totaal[[#This Row],[Product]],Categorie_1_Producten[#All],24,FALSE)*(Optimalisatie!J7),VLOOKUP(Inschrijf_Hernieuwbare_Energie_Totaal[[#This Row],[Product]]&amp;", "&amp;Inschrijf_Hernieuwbare_Energie_Totaal[[#Headers],[D1]],Database_Productkaarten[#All],48,FALSE)*Optimalisatie!J7),Baseline_Backlog!P320),0))</f>
        <v>0</v>
      </c>
      <c r="Q320" s="91">
        <f>(IF(Optimalisatie!C7="Bestaande Situatie",_xlfn.IFNA(IF(Optimalisatie!E7="Categorie_1_LCA_Producten",VLOOKUP(Inschrijf_Hernieuwbare_Energie_Totaal[[#This Row],[Product]],Categorie_1_Producten[#All],25,FALSE)*(Optimalisatie!J7),VLOOKUP(Inschrijf_Hernieuwbare_Energie_Totaal[[#This Row],[Product]]&amp;", "&amp;Inschrijf_Hernieuwbare_Energie_Totaal[[#Headers],[D2]],Database_Productkaarten[#All],48,FALSE)*Optimalisatie!J7),Baseline_Backlog!Q320),0))</f>
        <v>0</v>
      </c>
      <c r="R320" s="91">
        <f>(IF(Optimalisatie!C7="Bestaande Situatie",_xlfn.IFNA(IF(Optimalisatie!E7="Categorie_1_LCA_Producten",VLOOKUP(Inschrijf_Hernieuwbare_Energie_Totaal[[#This Row],[Product]],Categorie_1_Producten[#All],29,FALSE)*(Optimalisatie!J7),VLOOKUP(Inschrijf_Hernieuwbare_Energie_Totaal[[#This Row],[Product]]&amp;", "&amp;Inschrijf_Hernieuwbare_Energie_Totaal[[#Headers],[D]],Database_Productkaarten[#All],48,FALSE)*Optimalisatie!J7),Baseline_Backlog!S320),0))</f>
        <v>-135.51713795000001</v>
      </c>
      <c r="S320" s="91">
        <f>SUM(Inschrijf_Hernieuwbare_Energie_Totaal[[#This Row],[A1-A3]:[C4]])+Inschrijf_Hernieuwbare_Energie_Totaal[[#This Row],[D]]</f>
        <v>-6.9552527043531143</v>
      </c>
    </row>
    <row r="321" spans="2:19">
      <c r="B321" s="208" t="str">
        <f>Optimalisatie!B8</f>
        <v>121140 - Opbreken Opsluitband</v>
      </c>
      <c r="C321" s="1" t="str">
        <f>Optimalisatie!F8</f>
        <v>Opsluitband 100x200</v>
      </c>
      <c r="D321" s="91">
        <f>(IF(Optimalisatie!C8="Nieuwe Situatie",_xlfn.IFNA(IF(Optimalisatie!E8="Categorie_1_LCA_Producten",VLOOKUP(Inschrijf_Hernieuwbare_Energie_Totaal[[#This Row],[Product]],Categorie_1_Producten[#All],20,FALSE)*(Optimalisatie!J8),VLOOKUP(Inschrijf_Hernieuwbare_Energie_Totaal[[#This Row],[Product]]&amp;", "&amp;Inschrijf_Hernieuwbare_Energie_Totaal[[#Headers],[A1]],Database_Productkaarten[#All],48,FALSE)*Optimalisatie!J8),Baseline_Backlog!D321),0))</f>
        <v>0</v>
      </c>
      <c r="E321" s="91">
        <f>(IF(Optimalisatie!C8="Nieuwe Situatie",_xlfn.IFNA(IF(Optimalisatie!E8="Categorie_1_LCA_Producten",VLOOKUP(Inschrijf_Hernieuwbare_Energie_Totaal[[#This Row],[Product]],Categorie_1_Producten[#All],21,FALSE)*(Optimalisatie!J8),VLOOKUP(Inschrijf_Hernieuwbare_Energie_Totaal[[#This Row],[Product]]&amp;", "&amp;Inschrijf_Hernieuwbare_Energie_Totaal[[#Headers],[A2]],Database_Productkaarten[#All],48,FALSE)*Optimalisatie!J8),Baseline_Backlog!E321),0))</f>
        <v>0</v>
      </c>
      <c r="F321" s="91">
        <f>(IF(Optimalisatie!C8="Nieuwe Situatie",_xlfn.IFNA(IF(Optimalisatie!E8="Categorie_1_LCA_Producten",VLOOKUP(Inschrijf_Hernieuwbare_Energie_Totaal[[#This Row],[Product]],Categorie_1_Producten[#All],22,FALSE)*(Optimalisatie!J8),VLOOKUP(Inschrijf_Hernieuwbare_Energie_Totaal[[#This Row],[Product]]&amp;", "&amp;Inschrijf_Hernieuwbare_Energie_Totaal[[#Headers],[A3]],Database_Productkaarten[#All],48,FALSE)*Optimalisatie!J8),Baseline_Backlog!F321),0))</f>
        <v>0</v>
      </c>
      <c r="G321" s="91">
        <f>(IF(Optimalisatie!C8="Nieuwe Situatie",_xlfn.IFNA(IF(Optimalisatie!E8="Categorie_1_LCA_Producten",VLOOKUP(Inschrijf_Hernieuwbare_Energie_Totaal[[#This Row],[Product]],Categorie_1_Producten[#All],27,FALSE)*(Optimalisatie!J8),VLOOKUP(Inschrijf_Hernieuwbare_Energie_Totaal[[#This Row],[Product]]&amp;", "&amp;Inschrijf_Hernieuwbare_Energie_Totaal[[#Headers],[A1-A3]],Database_Productkaarten[#All],48,FALSE)*Optimalisatie!J8),Baseline_Backlog!G321),0))</f>
        <v>0</v>
      </c>
      <c r="H321" s="91">
        <f>(IF(Optimalisatie!C8="Nieuwe Situatie",_xlfn.IFNA(VLOOKUP(Optimalisatie!V8,Database_Transport[#All],42,FALSE)*(Optimalisatie!R8*Optimalisatie!U8),Baseline_Backlog!H321),0))</f>
        <v>0</v>
      </c>
      <c r="I321" s="91">
        <f>IF(Optimalisatie!C8="Nieuwe situatie",IF(_xlfn.IFNA((VLOOKUP(Optimalisatie!W8,Database_Asfalt_Aanlegset[#All],42,FALSE)*Optimalisatie!J8),0)+_xlfn.IFNA(VLOOKUP(Optimalisatie!X8,Database_Brandstoffen[#All],42,FALSE)*((Optimalisatie!J8/Optimalisatie!Z8)*Optimalisatie!Y8),0)&gt;0,_xlfn.IFNA((VLOOKUP(Optimalisatie!W8,Database_Asfalt_Aanlegset[#All],42,FALSE)*Optimalisatie!J8),0)+_xlfn.IFNA(VLOOKUP(Optimalisatie!X8,Database_Brandstoffen[#All],42,FALSE)*((Optimalisatie!J8/Optimalisatie!Z8)*Optimalisatie!Y8),0),(_xlfn.IFNA(VLOOKUP(Inschrijf_Hernieuwbare_Energie_Totaal[[#This Row],[Product]]&amp;", "&amp;Inschrijf_MKI_Totaal[[#Headers],[A5]],Database_Productkaarten[#All],48,FALSE),0)*Optimalisatie!J8)),0)</f>
        <v>0</v>
      </c>
      <c r="J321" s="91">
        <f>(IF(Optimalisatie!C8="Nieuwe Situatie",_xlfn.IFNA(IF(Optimalisatie!E8="Categorie_1_LCA_Producten",VLOOKUP(Inschrijf_Hernieuwbare_Energie_Totaal[[#This Row],[Product]],Categorie_1_Producten[#All],28,FALSE)*(Optimalisatie!R8),VLOOKUP(Inschrijf_Hernieuwbare_Energie_Totaal[[#This Row],[Product]]&amp;", "&amp;Inschrijf_Hernieuwbare_Energie_Totaal[[#Headers],[B1]],Database_Productkaarten[#All],47,FALSE)*Optimalisatie!J8),Baseline_Backlog!J321),0))</f>
        <v>0</v>
      </c>
      <c r="K321" s="91">
        <f>(IF(Optimalisatie!C8="Nieuwe Situatie",_xlfn.IFNA(SUM(Inschrijf_Hernieuwbare_Energie_Totaal[[#This Row],[A1]:[B1]],Inschrijf_Hernieuwbare_Energie_Totaal[[#This Row],[C1]:[D2]])*Optimalisatie!T8,0),0))</f>
        <v>0</v>
      </c>
      <c r="L321" s="91">
        <f>IF(Optimalisatie!C8="Bestaande situatie",IF(_xlfn.IFNA((VLOOKUP(Optimalisatie!AA8,Database_Asfalt_Verwijderset[#All],42,FALSE)*Optimalisatie!J8),0)+_xlfn.IFNA(VLOOKUP(Optimalisatie!AB8,Database_Brandstoffen[#All],42,FALSE)*((Optimalisatie!J8/Optimalisatie!AD8)*Optimalisatie!AC8),0)&gt;0,_xlfn.IFNA((VLOOKUP(Optimalisatie!AA8,Database_Asfalt_Verwijderset[#All],42,FALSE)*Optimalisatie!J8),0)+_xlfn.IFNA(VLOOKUP(Optimalisatie!AB8,Database_Brandstoffen[#All],42,FALSE)*((Optimalisatie!J8/Optimalisatie!AD8)*Optimalisatie!AC8),0),(_xlfn.IFNA(VLOOKUP(Inschrijf_Hernieuwbare_Energie_Totaal[[#This Row],[Product]]&amp;", "&amp;Inschrijf_MKI_Totaal[[#Headers],[C1]],Database_Productkaarten[#All],48,FALSE),0)*Optimalisatie!J8)),0)</f>
        <v>211.41670114228413</v>
      </c>
      <c r="M321" s="91">
        <f>(IF(Optimalisatie!C8="Bestaande Situatie",_xlfn.IFNA(VLOOKUP(Optimalisatie!AF8,Database_Transport[#All],42,FALSE)*(Optimalisatie!R8*Optimalisatie!AE8),Baseline_Backlog!M321),0))</f>
        <v>15.0157590492</v>
      </c>
      <c r="N321" s="91">
        <f>(IF(Optimalisatie!C8="Bestaande Situatie",_xlfn.IFNA(VLOOKUP(Optimalisatie!AG8,Database_Asfalt_Verwerkingsset[#All],42,FALSE)*(Optimalisatie!J8/VLOOKUP(Optimalisatie!AG8,Database_Asfalt_Verwerkingsset[#All],42,FALSE)),Baseline_Backlog!N321),0))</f>
        <v>66.743853799999997</v>
      </c>
      <c r="O321" s="91">
        <f>(IF(Optimalisatie!C8="Bestaande Situatie",_xlfn.IFNA(VLOOKUP(Inschrijf_Hernieuwbare_Energie_Totaal[[#This Row],[Product]]&amp;", "&amp;Inschrijf_MKI_Totaal[[#Headers],[C4]],Database_Productkaarten[#All],48,FALSE)*Optimalisatie!J8,Baseline_Backlog!O321),0))</f>
        <v>2.0282298400000003</v>
      </c>
      <c r="P321" s="91">
        <f>(IF(Optimalisatie!C8="Bestaande Situatie",_xlfn.IFNA(IF(Optimalisatie!E8="Categorie_1_LCA_Producten",VLOOKUP(Inschrijf_Hernieuwbare_Energie_Totaal[[#This Row],[Product]],Categorie_1_Producten[#All],24,FALSE)*(Optimalisatie!J8),VLOOKUP(Inschrijf_Hernieuwbare_Energie_Totaal[[#This Row],[Product]]&amp;", "&amp;Inschrijf_Hernieuwbare_Energie_Totaal[[#Headers],[D1]],Database_Productkaarten[#All],48,FALSE)*Optimalisatie!J8),Baseline_Backlog!P321),0))</f>
        <v>0</v>
      </c>
      <c r="Q321" s="91">
        <f>(IF(Optimalisatie!C8="Bestaande Situatie",_xlfn.IFNA(IF(Optimalisatie!E8="Categorie_1_LCA_Producten",VLOOKUP(Inschrijf_Hernieuwbare_Energie_Totaal[[#This Row],[Product]],Categorie_1_Producten[#All],25,FALSE)*(Optimalisatie!J8),VLOOKUP(Inschrijf_Hernieuwbare_Energie_Totaal[[#This Row],[Product]]&amp;", "&amp;Inschrijf_Hernieuwbare_Energie_Totaal[[#Headers],[D2]],Database_Productkaarten[#All],48,FALSE)*Optimalisatie!J8),Baseline_Backlog!Q321),0))</f>
        <v>0</v>
      </c>
      <c r="R321" s="91">
        <f>(IF(Optimalisatie!C8="Bestaande Situatie",_xlfn.IFNA(IF(Optimalisatie!E8="Categorie_1_LCA_Producten",VLOOKUP(Inschrijf_Hernieuwbare_Energie_Totaal[[#This Row],[Product]],Categorie_1_Producten[#All],29,FALSE)*(Optimalisatie!J8),VLOOKUP(Inschrijf_Hernieuwbare_Energie_Totaal[[#This Row],[Product]]&amp;", "&amp;Inschrijf_Hernieuwbare_Energie_Totaal[[#Headers],[D]],Database_Productkaarten[#All],48,FALSE)*Optimalisatie!J8),Baseline_Backlog!S321),0))</f>
        <v>-168.20948879999997</v>
      </c>
      <c r="S321" s="91">
        <f>SUM(Inschrijf_Hernieuwbare_Energie_Totaal[[#This Row],[A1-A3]:[C4]])+Inschrijf_Hernieuwbare_Energie_Totaal[[#This Row],[D]]</f>
        <v>126.99505503148413</v>
      </c>
    </row>
    <row r="322" spans="2:19">
      <c r="B322" s="208" t="str">
        <f>Optimalisatie!B9</f>
        <v>121310 - Opbreken betonstraatstenen</v>
      </c>
      <c r="C322" s="1" t="str">
        <f>Optimalisatie!F9</f>
        <v>Betonstraatsteen 210x105x80</v>
      </c>
      <c r="D322" s="91">
        <f>(IF(Optimalisatie!C9="Nieuwe Situatie",_xlfn.IFNA(IF(Optimalisatie!E9="Categorie_1_LCA_Producten",VLOOKUP(Inschrijf_Hernieuwbare_Energie_Totaal[[#This Row],[Product]],Categorie_1_Producten[#All],20,FALSE)*(Optimalisatie!J9),VLOOKUP(Inschrijf_Hernieuwbare_Energie_Totaal[[#This Row],[Product]]&amp;", "&amp;Inschrijf_Hernieuwbare_Energie_Totaal[[#Headers],[A1]],Database_Productkaarten[#All],48,FALSE)*Optimalisatie!J9),Baseline_Backlog!D322),0))</f>
        <v>0</v>
      </c>
      <c r="E322" s="91">
        <f>(IF(Optimalisatie!C9="Nieuwe Situatie",_xlfn.IFNA(IF(Optimalisatie!E9="Categorie_1_LCA_Producten",VLOOKUP(Inschrijf_Hernieuwbare_Energie_Totaal[[#This Row],[Product]],Categorie_1_Producten[#All],21,FALSE)*(Optimalisatie!J9),VLOOKUP(Inschrijf_Hernieuwbare_Energie_Totaal[[#This Row],[Product]]&amp;", "&amp;Inschrijf_Hernieuwbare_Energie_Totaal[[#Headers],[A2]],Database_Productkaarten[#All],48,FALSE)*Optimalisatie!J9),Baseline_Backlog!E322),0))</f>
        <v>0</v>
      </c>
      <c r="F322" s="91">
        <f>(IF(Optimalisatie!C9="Nieuwe Situatie",_xlfn.IFNA(IF(Optimalisatie!E9="Categorie_1_LCA_Producten",VLOOKUP(Inschrijf_Hernieuwbare_Energie_Totaal[[#This Row],[Product]],Categorie_1_Producten[#All],22,FALSE)*(Optimalisatie!J9),VLOOKUP(Inschrijf_Hernieuwbare_Energie_Totaal[[#This Row],[Product]]&amp;", "&amp;Inschrijf_Hernieuwbare_Energie_Totaal[[#Headers],[A3]],Database_Productkaarten[#All],48,FALSE)*Optimalisatie!J9),Baseline_Backlog!F322),0))</f>
        <v>0</v>
      </c>
      <c r="G322" s="91">
        <f>(IF(Optimalisatie!C9="Nieuwe Situatie",_xlfn.IFNA(IF(Optimalisatie!E9="Categorie_1_LCA_Producten",VLOOKUP(Inschrijf_Hernieuwbare_Energie_Totaal[[#This Row],[Product]],Categorie_1_Producten[#All],27,FALSE)*(Optimalisatie!J9),VLOOKUP(Inschrijf_Hernieuwbare_Energie_Totaal[[#This Row],[Product]]&amp;", "&amp;Inschrijf_Hernieuwbare_Energie_Totaal[[#Headers],[A1-A3]],Database_Productkaarten[#All],48,FALSE)*Optimalisatie!J9),Baseline_Backlog!G322),0))</f>
        <v>0</v>
      </c>
      <c r="H322" s="91">
        <f>(IF(Optimalisatie!C9="Nieuwe Situatie",_xlfn.IFNA(VLOOKUP(Optimalisatie!V9,Database_Transport[#All],42,FALSE)*(Optimalisatie!R9*Optimalisatie!U9),Baseline_Backlog!H322),0))</f>
        <v>0</v>
      </c>
      <c r="I322" s="91">
        <f>IF(Optimalisatie!C9="Nieuwe situatie",IF(_xlfn.IFNA((VLOOKUP(Optimalisatie!W9,Database_Asfalt_Aanlegset[#All],42,FALSE)*Optimalisatie!J9),0)+_xlfn.IFNA(VLOOKUP(Optimalisatie!X9,Database_Brandstoffen[#All],42,FALSE)*((Optimalisatie!J9/Optimalisatie!Z9)*Optimalisatie!Y9),0)&gt;0,_xlfn.IFNA((VLOOKUP(Optimalisatie!W9,Database_Asfalt_Aanlegset[#All],42,FALSE)*Optimalisatie!J9),0)+_xlfn.IFNA(VLOOKUP(Optimalisatie!X9,Database_Brandstoffen[#All],42,FALSE)*((Optimalisatie!J9/Optimalisatie!Z9)*Optimalisatie!Y9),0),(_xlfn.IFNA(VLOOKUP(Inschrijf_Hernieuwbare_Energie_Totaal[[#This Row],[Product]]&amp;", "&amp;Inschrijf_MKI_Totaal[[#Headers],[A5]],Database_Productkaarten[#All],48,FALSE),0)*Optimalisatie!J9)),0)</f>
        <v>0</v>
      </c>
      <c r="J322" s="91">
        <f>(IF(Optimalisatie!C9="Nieuwe Situatie",_xlfn.IFNA(IF(Optimalisatie!E9="Categorie_1_LCA_Producten",VLOOKUP(Inschrijf_Hernieuwbare_Energie_Totaal[[#This Row],[Product]],Categorie_1_Producten[#All],28,FALSE)*(Optimalisatie!R9),VLOOKUP(Inschrijf_Hernieuwbare_Energie_Totaal[[#This Row],[Product]]&amp;", "&amp;Inschrijf_Hernieuwbare_Energie_Totaal[[#Headers],[B1]],Database_Productkaarten[#All],47,FALSE)*Optimalisatie!J9),Baseline_Backlog!J322),0))</f>
        <v>0</v>
      </c>
      <c r="K322" s="91">
        <f>(IF(Optimalisatie!C9="Nieuwe Situatie",_xlfn.IFNA(SUM(Inschrijf_Hernieuwbare_Energie_Totaal[[#This Row],[A1]:[B1]],Inschrijf_Hernieuwbare_Energie_Totaal[[#This Row],[C1]:[D2]])*Optimalisatie!T9,0),0))</f>
        <v>0</v>
      </c>
      <c r="L322" s="91">
        <f>IF(Optimalisatie!C9="Bestaande situatie",IF(_xlfn.IFNA((VLOOKUP(Optimalisatie!AA9,Database_Asfalt_Verwijderset[#All],42,FALSE)*Optimalisatie!J9),0)+_xlfn.IFNA(VLOOKUP(Optimalisatie!AB9,Database_Brandstoffen[#All],42,FALSE)*((Optimalisatie!J9/Optimalisatie!AD9)*Optimalisatie!AC9),0)&gt;0,_xlfn.IFNA((VLOOKUP(Optimalisatie!AA9,Database_Asfalt_Verwijderset[#All],42,FALSE)*Optimalisatie!J9),0)+_xlfn.IFNA(VLOOKUP(Optimalisatie!AB9,Database_Brandstoffen[#All],42,FALSE)*((Optimalisatie!J9/Optimalisatie!AD9)*Optimalisatie!AC9),0),(_xlfn.IFNA(VLOOKUP(Inschrijf_Hernieuwbare_Energie_Totaal[[#This Row],[Product]]&amp;", "&amp;Inschrijf_MKI_Totaal[[#Headers],[C1]],Database_Productkaarten[#All],48,FALSE),0)*Optimalisatie!J9)),0)</f>
        <v>291.60924295487467</v>
      </c>
      <c r="M322" s="91">
        <f>(IF(Optimalisatie!C9="Bestaande Situatie",_xlfn.IFNA(VLOOKUP(Optimalisatie!AF9,Database_Transport[#All],42,FALSE)*(Optimalisatie!R9*Optimalisatie!AE9),Baseline_Backlog!M322),0))</f>
        <v>81.753098150400007</v>
      </c>
      <c r="N322" s="91">
        <f>(IF(Optimalisatie!C9="Bestaande Situatie",_xlfn.IFNA(VLOOKUP(Optimalisatie!AG9,Database_Asfalt_Verwerkingsset[#All],42,FALSE)*(Optimalisatie!J9/VLOOKUP(Optimalisatie!AG9,Database_Asfalt_Verwerkingsset[#All],42,FALSE)),Baseline_Backlog!N322),0))</f>
        <v>368.24195199999997</v>
      </c>
      <c r="O322" s="91">
        <f>(IF(Optimalisatie!C9="Bestaande Situatie",_xlfn.IFNA(VLOOKUP(Inschrijf_Hernieuwbare_Energie_Totaal[[#This Row],[Product]]&amp;", "&amp;Inschrijf_MKI_Totaal[[#Headers],[C4]],Database_Productkaarten[#All],48,FALSE)*Optimalisatie!J9,Baseline_Backlog!O322),0))</f>
        <v>11.19023408</v>
      </c>
      <c r="P322" s="91">
        <f>(IF(Optimalisatie!C9="Bestaande Situatie",_xlfn.IFNA(IF(Optimalisatie!E9="Categorie_1_LCA_Producten",VLOOKUP(Inschrijf_Hernieuwbare_Energie_Totaal[[#This Row],[Product]],Categorie_1_Producten[#All],24,FALSE)*(Optimalisatie!J9),VLOOKUP(Inschrijf_Hernieuwbare_Energie_Totaal[[#This Row],[Product]]&amp;", "&amp;Inschrijf_Hernieuwbare_Energie_Totaal[[#Headers],[D1]],Database_Productkaarten[#All],48,FALSE)*Optimalisatie!J9),Baseline_Backlog!P322),0))</f>
        <v>0</v>
      </c>
      <c r="Q322" s="91">
        <f>(IF(Optimalisatie!C9="Bestaande Situatie",_xlfn.IFNA(IF(Optimalisatie!E9="Categorie_1_LCA_Producten",VLOOKUP(Inschrijf_Hernieuwbare_Energie_Totaal[[#This Row],[Product]],Categorie_1_Producten[#All],25,FALSE)*(Optimalisatie!J9),VLOOKUP(Inschrijf_Hernieuwbare_Energie_Totaal[[#This Row],[Product]]&amp;", "&amp;Inschrijf_Hernieuwbare_Energie_Totaal[[#Headers],[D2]],Database_Productkaarten[#All],48,FALSE)*Optimalisatie!J9),Baseline_Backlog!Q322),0))</f>
        <v>0</v>
      </c>
      <c r="R322" s="91">
        <f>(IF(Optimalisatie!C9="Bestaande Situatie",_xlfn.IFNA(IF(Optimalisatie!E9="Categorie_1_LCA_Producten",VLOOKUP(Inschrijf_Hernieuwbare_Energie_Totaal[[#This Row],[Product]],Categorie_1_Producten[#All],29,FALSE)*(Optimalisatie!J9),VLOOKUP(Inschrijf_Hernieuwbare_Energie_Totaal[[#This Row],[Product]]&amp;", "&amp;Inschrijf_Hernieuwbare_Energie_Totaal[[#Headers],[D]],Database_Productkaarten[#All],48,FALSE)*Optimalisatie!J9),Baseline_Backlog!S322),0))</f>
        <v>-1013.008928</v>
      </c>
      <c r="S322" s="91">
        <f>SUM(Inschrijf_Hernieuwbare_Energie_Totaal[[#This Row],[A1-A3]:[C4]])+Inschrijf_Hernieuwbare_Energie_Totaal[[#This Row],[D]]</f>
        <v>-260.21440081472531</v>
      </c>
    </row>
    <row r="323" spans="2:19">
      <c r="B323" s="208" t="str">
        <f>Optimalisatie!B10</f>
        <v>121320 - Opbreken straatbakstenen en geschikt maken voor hergebruik</v>
      </c>
      <c r="C323" s="1" t="str">
        <f>Optimalisatie!F10</f>
        <v>Gebakken klinker keiformaat</v>
      </c>
      <c r="D323" s="91">
        <f>(IF(Optimalisatie!C10="Nieuwe Situatie",_xlfn.IFNA(IF(Optimalisatie!E10="Categorie_1_LCA_Producten",VLOOKUP(Inschrijf_Hernieuwbare_Energie_Totaal[[#This Row],[Product]],Categorie_1_Producten[#All],20,FALSE)*(Optimalisatie!J10),VLOOKUP(Inschrijf_Hernieuwbare_Energie_Totaal[[#This Row],[Product]]&amp;", "&amp;Inschrijf_Hernieuwbare_Energie_Totaal[[#Headers],[A1]],Database_Productkaarten[#All],48,FALSE)*Optimalisatie!J10),Baseline_Backlog!D323),0))</f>
        <v>0</v>
      </c>
      <c r="E323" s="91">
        <f>(IF(Optimalisatie!C10="Nieuwe Situatie",_xlfn.IFNA(IF(Optimalisatie!E10="Categorie_1_LCA_Producten",VLOOKUP(Inschrijf_Hernieuwbare_Energie_Totaal[[#This Row],[Product]],Categorie_1_Producten[#All],21,FALSE)*(Optimalisatie!J10),VLOOKUP(Inschrijf_Hernieuwbare_Energie_Totaal[[#This Row],[Product]]&amp;", "&amp;Inschrijf_Hernieuwbare_Energie_Totaal[[#Headers],[A2]],Database_Productkaarten[#All],48,FALSE)*Optimalisatie!J10),Baseline_Backlog!E323),0))</f>
        <v>0</v>
      </c>
      <c r="F323" s="91">
        <f>(IF(Optimalisatie!C10="Nieuwe Situatie",_xlfn.IFNA(IF(Optimalisatie!E10="Categorie_1_LCA_Producten",VLOOKUP(Inschrijf_Hernieuwbare_Energie_Totaal[[#This Row],[Product]],Categorie_1_Producten[#All],22,FALSE)*(Optimalisatie!J10),VLOOKUP(Inschrijf_Hernieuwbare_Energie_Totaal[[#This Row],[Product]]&amp;", "&amp;Inschrijf_Hernieuwbare_Energie_Totaal[[#Headers],[A3]],Database_Productkaarten[#All],48,FALSE)*Optimalisatie!J10),Baseline_Backlog!F323),0))</f>
        <v>0</v>
      </c>
      <c r="G323" s="91">
        <f>(IF(Optimalisatie!C10="Nieuwe Situatie",_xlfn.IFNA(IF(Optimalisatie!E10="Categorie_1_LCA_Producten",VLOOKUP(Inschrijf_Hernieuwbare_Energie_Totaal[[#This Row],[Product]],Categorie_1_Producten[#All],27,FALSE)*(Optimalisatie!J10),VLOOKUP(Inschrijf_Hernieuwbare_Energie_Totaal[[#This Row],[Product]]&amp;", "&amp;Inschrijf_Hernieuwbare_Energie_Totaal[[#Headers],[A1-A3]],Database_Productkaarten[#All],48,FALSE)*Optimalisatie!J10),Baseline_Backlog!G323),0))</f>
        <v>0</v>
      </c>
      <c r="H323" s="91">
        <f>(IF(Optimalisatie!C10="Nieuwe Situatie",_xlfn.IFNA(VLOOKUP(Optimalisatie!V10,Database_Transport[#All],42,FALSE)*(Optimalisatie!R10*Optimalisatie!U10),Baseline_Backlog!H323),0))</f>
        <v>0</v>
      </c>
      <c r="I323" s="91">
        <f>IF(Optimalisatie!C10="Nieuwe situatie",IF(_xlfn.IFNA((VLOOKUP(Optimalisatie!W10,Database_Asfalt_Aanlegset[#All],42,FALSE)*Optimalisatie!J10),0)+_xlfn.IFNA(VLOOKUP(Optimalisatie!X10,Database_Brandstoffen[#All],42,FALSE)*((Optimalisatie!J10/Optimalisatie!Z10)*Optimalisatie!Y10),0)&gt;0,_xlfn.IFNA((VLOOKUP(Optimalisatie!W10,Database_Asfalt_Aanlegset[#All],42,FALSE)*Optimalisatie!J10),0)+_xlfn.IFNA(VLOOKUP(Optimalisatie!X10,Database_Brandstoffen[#All],42,FALSE)*((Optimalisatie!J10/Optimalisatie!Z10)*Optimalisatie!Y10),0),(_xlfn.IFNA(VLOOKUP(Inschrijf_Hernieuwbare_Energie_Totaal[[#This Row],[Product]]&amp;", "&amp;Inschrijf_MKI_Totaal[[#Headers],[A5]],Database_Productkaarten[#All],48,FALSE),0)*Optimalisatie!J10)),0)</f>
        <v>0</v>
      </c>
      <c r="J323" s="91">
        <f>(IF(Optimalisatie!C10="Nieuwe Situatie",_xlfn.IFNA(IF(Optimalisatie!E10="Categorie_1_LCA_Producten",VLOOKUP(Inschrijf_Hernieuwbare_Energie_Totaal[[#This Row],[Product]],Categorie_1_Producten[#All],28,FALSE)*(Optimalisatie!R10),VLOOKUP(Inschrijf_Hernieuwbare_Energie_Totaal[[#This Row],[Product]]&amp;", "&amp;Inschrijf_Hernieuwbare_Energie_Totaal[[#Headers],[B1]],Database_Productkaarten[#All],47,FALSE)*Optimalisatie!J10),Baseline_Backlog!J323),0))</f>
        <v>0</v>
      </c>
      <c r="K323" s="91">
        <f>(IF(Optimalisatie!C10="Nieuwe Situatie",_xlfn.IFNA(SUM(Inschrijf_Hernieuwbare_Energie_Totaal[[#This Row],[A1]:[B1]],Inschrijf_Hernieuwbare_Energie_Totaal[[#This Row],[C1]:[D2]])*Optimalisatie!T10,0),0))</f>
        <v>0</v>
      </c>
      <c r="L323" s="91">
        <f>IF(Optimalisatie!C10="Bestaande situatie",IF(_xlfn.IFNA((VLOOKUP(Optimalisatie!AA10,Database_Asfalt_Verwijderset[#All],42,FALSE)*Optimalisatie!J10),0)+_xlfn.IFNA(VLOOKUP(Optimalisatie!AB10,Database_Brandstoffen[#All],42,FALSE)*((Optimalisatie!J10/Optimalisatie!AD10)*Optimalisatie!AC10),0)&gt;0,_xlfn.IFNA((VLOOKUP(Optimalisatie!AA10,Database_Asfalt_Verwijderset[#All],42,FALSE)*Optimalisatie!J10),0)+_xlfn.IFNA(VLOOKUP(Optimalisatie!AB10,Database_Brandstoffen[#All],42,FALSE)*((Optimalisatie!J10/Optimalisatie!AD10)*Optimalisatie!AC10),0),(_xlfn.IFNA(VLOOKUP(Inschrijf_Hernieuwbare_Energie_Totaal[[#This Row],[Product]]&amp;", "&amp;Inschrijf_MKI_Totaal[[#Headers],[C1]],Database_Productkaarten[#All],48,FALSE),0)*Optimalisatie!J10)),0)</f>
        <v>827.53856803799999</v>
      </c>
      <c r="M323" s="91">
        <f>(IF(Optimalisatie!C10="Bestaande Situatie",_xlfn.IFNA(VLOOKUP(Optimalisatie!AF10,Database_Transport[#All],42,FALSE)*(Optimalisatie!R10*Optimalisatie!AE10),Baseline_Backlog!M323),0))</f>
        <v>345.67113752850003</v>
      </c>
      <c r="N323" s="91">
        <f>(IF(Optimalisatie!C10="Bestaande Situatie",_xlfn.IFNA(VLOOKUP(Optimalisatie!AG10,Database_Asfalt_Verwerkingsset[#All],42,FALSE)*(Optimalisatie!J10/VLOOKUP(Optimalisatie!AG10,Database_Asfalt_Verwerkingsset[#All],42,FALSE)),Baseline_Backlog!N323),0))</f>
        <v>43.777999999999999</v>
      </c>
      <c r="O323" s="91">
        <f>(IF(Optimalisatie!C10="Bestaande Situatie",_xlfn.IFNA(VLOOKUP(Inschrijf_Hernieuwbare_Energie_Totaal[[#This Row],[Product]]&amp;", "&amp;Inschrijf_MKI_Totaal[[#Headers],[C4]],Database_Productkaarten[#All],48,FALSE)*Optimalisatie!J10,Baseline_Backlog!O323),0))</f>
        <v>0.44241750000000002</v>
      </c>
      <c r="P323" s="91">
        <f>(IF(Optimalisatie!C10="Bestaande Situatie",_xlfn.IFNA(IF(Optimalisatie!E10="Categorie_1_LCA_Producten",VLOOKUP(Inschrijf_Hernieuwbare_Energie_Totaal[[#This Row],[Product]],Categorie_1_Producten[#All],24,FALSE)*(Optimalisatie!J10),VLOOKUP(Inschrijf_Hernieuwbare_Energie_Totaal[[#This Row],[Product]]&amp;", "&amp;Inschrijf_Hernieuwbare_Energie_Totaal[[#Headers],[D1]],Database_Productkaarten[#All],48,FALSE)*Optimalisatie!J10),Baseline_Backlog!P323),0))</f>
        <v>-116865</v>
      </c>
      <c r="Q323" s="91">
        <f>(IF(Optimalisatie!C10="Bestaande Situatie",_xlfn.IFNA(IF(Optimalisatie!E10="Categorie_1_LCA_Producten",VLOOKUP(Inschrijf_Hernieuwbare_Energie_Totaal[[#This Row],[Product]],Categorie_1_Producten[#All],25,FALSE)*(Optimalisatie!J10),VLOOKUP(Inschrijf_Hernieuwbare_Energie_Totaal[[#This Row],[Product]]&amp;", "&amp;Inschrijf_Hernieuwbare_Energie_Totaal[[#Headers],[D2]],Database_Productkaarten[#All],48,FALSE)*Optimalisatie!J10),Baseline_Backlog!Q323),0))</f>
        <v>0</v>
      </c>
      <c r="R323" s="91">
        <f>(IF(Optimalisatie!C10="Bestaande Situatie",_xlfn.IFNA(IF(Optimalisatie!E10="Categorie_1_LCA_Producten",VLOOKUP(Inschrijf_Hernieuwbare_Energie_Totaal[[#This Row],[Product]],Categorie_1_Producten[#All],29,FALSE)*(Optimalisatie!J10),VLOOKUP(Inschrijf_Hernieuwbare_Energie_Totaal[[#This Row],[Product]]&amp;", "&amp;Inschrijf_Hernieuwbare_Energie_Totaal[[#Headers],[D]],Database_Productkaarten[#All],48,FALSE)*Optimalisatie!J10),Baseline_Backlog!S323),0))</f>
        <v>-116865</v>
      </c>
      <c r="S323" s="91">
        <f>SUM(Inschrijf_Hernieuwbare_Energie_Totaal[[#This Row],[A1-A3]:[C4]])+Inschrijf_Hernieuwbare_Energie_Totaal[[#This Row],[D]]</f>
        <v>-115647.5698769335</v>
      </c>
    </row>
    <row r="324" spans="2:19">
      <c r="B324" s="208" t="str">
        <f>Optimalisatie!B11</f>
        <v>121330 - Opbreken en afvoeren straatbakstenen</v>
      </c>
      <c r="C324" s="1" t="str">
        <f>Optimalisatie!F11</f>
        <v>Gebakken klinker keiformaat (hergebruik)</v>
      </c>
      <c r="D324" s="91">
        <f>(IF(Optimalisatie!C11="Nieuwe Situatie",_xlfn.IFNA(IF(Optimalisatie!E11="Categorie_1_LCA_Producten",VLOOKUP(Inschrijf_Hernieuwbare_Energie_Totaal[[#This Row],[Product]],Categorie_1_Producten[#All],20,FALSE)*(Optimalisatie!J11),VLOOKUP(Inschrijf_Hernieuwbare_Energie_Totaal[[#This Row],[Product]]&amp;", "&amp;Inschrijf_Hernieuwbare_Energie_Totaal[[#Headers],[A1]],Database_Productkaarten[#All],48,FALSE)*Optimalisatie!J11),Baseline_Backlog!D324),0))</f>
        <v>0</v>
      </c>
      <c r="E324" s="91">
        <f>(IF(Optimalisatie!C11="Nieuwe Situatie",_xlfn.IFNA(IF(Optimalisatie!E11="Categorie_1_LCA_Producten",VLOOKUP(Inschrijf_Hernieuwbare_Energie_Totaal[[#This Row],[Product]],Categorie_1_Producten[#All],21,FALSE)*(Optimalisatie!J11),VLOOKUP(Inschrijf_Hernieuwbare_Energie_Totaal[[#This Row],[Product]]&amp;", "&amp;Inschrijf_Hernieuwbare_Energie_Totaal[[#Headers],[A2]],Database_Productkaarten[#All],48,FALSE)*Optimalisatie!J11),Baseline_Backlog!E324),0))</f>
        <v>0</v>
      </c>
      <c r="F324" s="91">
        <f>(IF(Optimalisatie!C11="Nieuwe Situatie",_xlfn.IFNA(IF(Optimalisatie!E11="Categorie_1_LCA_Producten",VLOOKUP(Inschrijf_Hernieuwbare_Energie_Totaal[[#This Row],[Product]],Categorie_1_Producten[#All],22,FALSE)*(Optimalisatie!J11),VLOOKUP(Inschrijf_Hernieuwbare_Energie_Totaal[[#This Row],[Product]]&amp;", "&amp;Inschrijf_Hernieuwbare_Energie_Totaal[[#Headers],[A3]],Database_Productkaarten[#All],48,FALSE)*Optimalisatie!J11),Baseline_Backlog!F324),0))</f>
        <v>0</v>
      </c>
      <c r="G324" s="91">
        <f>(IF(Optimalisatie!C11="Nieuwe Situatie",_xlfn.IFNA(IF(Optimalisatie!E11="Categorie_1_LCA_Producten",VLOOKUP(Inschrijf_Hernieuwbare_Energie_Totaal[[#This Row],[Product]],Categorie_1_Producten[#All],27,FALSE)*(Optimalisatie!J11),VLOOKUP(Inschrijf_Hernieuwbare_Energie_Totaal[[#This Row],[Product]]&amp;", "&amp;Inschrijf_Hernieuwbare_Energie_Totaal[[#Headers],[A1-A3]],Database_Productkaarten[#All],48,FALSE)*Optimalisatie!J11),Baseline_Backlog!G324),0))</f>
        <v>0</v>
      </c>
      <c r="H324" s="91">
        <f>(IF(Optimalisatie!C11="Nieuwe Situatie",_xlfn.IFNA(VLOOKUP(Optimalisatie!V11,Database_Transport[#All],42,FALSE)*(Optimalisatie!R11*Optimalisatie!U11),Baseline_Backlog!H324),0))</f>
        <v>0</v>
      </c>
      <c r="I324" s="91">
        <f>IF(Optimalisatie!C11="Nieuwe situatie",IF(_xlfn.IFNA((VLOOKUP(Optimalisatie!W11,Database_Asfalt_Aanlegset[#All],42,FALSE)*Optimalisatie!J11),0)+_xlfn.IFNA(VLOOKUP(Optimalisatie!X11,Database_Brandstoffen[#All],42,FALSE)*((Optimalisatie!J11/Optimalisatie!Z11)*Optimalisatie!Y11),0)&gt;0,_xlfn.IFNA((VLOOKUP(Optimalisatie!W11,Database_Asfalt_Aanlegset[#All],42,FALSE)*Optimalisatie!J11),0)+_xlfn.IFNA(VLOOKUP(Optimalisatie!X11,Database_Brandstoffen[#All],42,FALSE)*((Optimalisatie!J11/Optimalisatie!Z11)*Optimalisatie!Y11),0),(_xlfn.IFNA(VLOOKUP(Inschrijf_Hernieuwbare_Energie_Totaal[[#This Row],[Product]]&amp;", "&amp;Inschrijf_MKI_Totaal[[#Headers],[A5]],Database_Productkaarten[#All],48,FALSE),0)*Optimalisatie!J11)),0)</f>
        <v>0</v>
      </c>
      <c r="J324" s="91">
        <f>(IF(Optimalisatie!C11="Nieuwe Situatie",_xlfn.IFNA(IF(Optimalisatie!E11="Categorie_1_LCA_Producten",VLOOKUP(Inschrijf_Hernieuwbare_Energie_Totaal[[#This Row],[Product]],Categorie_1_Producten[#All],28,FALSE)*(Optimalisatie!R11),VLOOKUP(Inschrijf_Hernieuwbare_Energie_Totaal[[#This Row],[Product]]&amp;", "&amp;Inschrijf_Hernieuwbare_Energie_Totaal[[#Headers],[B1]],Database_Productkaarten[#All],47,FALSE)*Optimalisatie!J11),Baseline_Backlog!J324),0))</f>
        <v>0</v>
      </c>
      <c r="K324" s="91">
        <f>(IF(Optimalisatie!C11="Nieuwe Situatie",_xlfn.IFNA(SUM(Inschrijf_Hernieuwbare_Energie_Totaal[[#This Row],[A1]:[B1]],Inschrijf_Hernieuwbare_Energie_Totaal[[#This Row],[C1]:[D2]])*Optimalisatie!T11,0),0))</f>
        <v>0</v>
      </c>
      <c r="L324" s="91">
        <f>IF(Optimalisatie!C11="Bestaande situatie",IF(_xlfn.IFNA((VLOOKUP(Optimalisatie!AA11,Database_Asfalt_Verwijderset[#All],42,FALSE)*Optimalisatie!J11),0)+_xlfn.IFNA(VLOOKUP(Optimalisatie!AB11,Database_Brandstoffen[#All],42,FALSE)*((Optimalisatie!J11/Optimalisatie!AD11)*Optimalisatie!AC11),0)&gt;0,_xlfn.IFNA((VLOOKUP(Optimalisatie!AA11,Database_Asfalt_Verwijderset[#All],42,FALSE)*Optimalisatie!J11),0)+_xlfn.IFNA(VLOOKUP(Optimalisatie!AB11,Database_Brandstoffen[#All],42,FALSE)*((Optimalisatie!J11/Optimalisatie!AD11)*Optimalisatie!AC11),0),(_xlfn.IFNA(VLOOKUP(Inschrijf_Hernieuwbare_Energie_Totaal[[#This Row],[Product]]&amp;", "&amp;Inschrijf_MKI_Totaal[[#Headers],[C1]],Database_Productkaarten[#All],48,FALSE),0)*Optimalisatie!J11)),0)</f>
        <v>421.13013920639992</v>
      </c>
      <c r="M324" s="91">
        <f>(IF(Optimalisatie!C11="Bestaande Situatie",_xlfn.IFNA(VLOOKUP(Optimalisatie!AF11,Database_Transport[#All],42,FALSE)*(Optimalisatie!R11*Optimalisatie!AE11),Baseline_Backlog!M324),0))</f>
        <v>175.91027160480002</v>
      </c>
      <c r="N324" s="91">
        <f>(IF(Optimalisatie!C11="Bestaande Situatie",_xlfn.IFNA(VLOOKUP(Optimalisatie!AG11,Database_Asfalt_Verwerkingsset[#All],42,FALSE)*(Optimalisatie!J11/VLOOKUP(Optimalisatie!AG11,Database_Asfalt_Verwerkingsset[#All],42,FALSE)),Baseline_Backlog!N324),0))</f>
        <v>22.278400000000001</v>
      </c>
      <c r="O324" s="91">
        <f>(IF(Optimalisatie!C11="Bestaande Situatie",_xlfn.IFNA(VLOOKUP(Inschrijf_Hernieuwbare_Energie_Totaal[[#This Row],[Product]]&amp;", "&amp;Inschrijf_MKI_Totaal[[#Headers],[C4]],Database_Productkaarten[#All],48,FALSE)*Optimalisatie!J11,Baseline_Backlog!O324),0))</f>
        <v>0.22514400000000001</v>
      </c>
      <c r="P324" s="91">
        <f>(IF(Optimalisatie!C11="Bestaande Situatie",_xlfn.IFNA(IF(Optimalisatie!E11="Categorie_1_LCA_Producten",VLOOKUP(Inschrijf_Hernieuwbare_Energie_Totaal[[#This Row],[Product]],Categorie_1_Producten[#All],24,FALSE)*(Optimalisatie!J11),VLOOKUP(Inschrijf_Hernieuwbare_Energie_Totaal[[#This Row],[Product]]&amp;", "&amp;Inschrijf_Hernieuwbare_Energie_Totaal[[#Headers],[D1]],Database_Productkaarten[#All],48,FALSE)*Optimalisatie!J11),Baseline_Backlog!P324),0))</f>
        <v>0</v>
      </c>
      <c r="Q324" s="91">
        <f>(IF(Optimalisatie!C11="Bestaande Situatie",_xlfn.IFNA(IF(Optimalisatie!E11="Categorie_1_LCA_Producten",VLOOKUP(Inschrijf_Hernieuwbare_Energie_Totaal[[#This Row],[Product]],Categorie_1_Producten[#All],25,FALSE)*(Optimalisatie!J11),VLOOKUP(Inschrijf_Hernieuwbare_Energie_Totaal[[#This Row],[Product]]&amp;", "&amp;Inschrijf_Hernieuwbare_Energie_Totaal[[#Headers],[D2]],Database_Productkaarten[#All],48,FALSE)*Optimalisatie!J11),Baseline_Backlog!Q324),0))</f>
        <v>0</v>
      </c>
      <c r="R324" s="91">
        <f>(IF(Optimalisatie!C11="Bestaande Situatie",_xlfn.IFNA(IF(Optimalisatie!E11="Categorie_1_LCA_Producten",VLOOKUP(Inschrijf_Hernieuwbare_Energie_Totaal[[#This Row],[Product]],Categorie_1_Producten[#All],29,FALSE)*(Optimalisatie!J11),VLOOKUP(Inschrijf_Hernieuwbare_Energie_Totaal[[#This Row],[Product]]&amp;", "&amp;Inschrijf_Hernieuwbare_Energie_Totaal[[#Headers],[D]],Database_Productkaarten[#All],48,FALSE)*Optimalisatie!J11),Baseline_Backlog!S324),0))</f>
        <v>6230.4000000000005</v>
      </c>
      <c r="S324" s="91">
        <f>SUM(Inschrijf_Hernieuwbare_Energie_Totaal[[#This Row],[A1-A3]:[C4]])+Inschrijf_Hernieuwbare_Energie_Totaal[[#This Row],[D]]</f>
        <v>6849.9439548112005</v>
      </c>
    </row>
    <row r="325" spans="2:19">
      <c r="B325" s="208" t="str">
        <f>Optimalisatie!B12</f>
        <v>121340 - Opbreken betontegels 300x300x45mm</v>
      </c>
      <c r="C325" s="1" t="str">
        <f>Optimalisatie!F12</f>
        <v>Betontegel 300x300x45</v>
      </c>
      <c r="D325" s="91">
        <f>(IF(Optimalisatie!C12="Nieuwe Situatie",_xlfn.IFNA(IF(Optimalisatie!E12="Categorie_1_LCA_Producten",VLOOKUP(Inschrijf_Hernieuwbare_Energie_Totaal[[#This Row],[Product]],Categorie_1_Producten[#All],20,FALSE)*(Optimalisatie!J12),VLOOKUP(Inschrijf_Hernieuwbare_Energie_Totaal[[#This Row],[Product]]&amp;", "&amp;Inschrijf_Hernieuwbare_Energie_Totaal[[#Headers],[A1]],Database_Productkaarten[#All],48,FALSE)*Optimalisatie!J12),Baseline_Backlog!D325),0))</f>
        <v>0</v>
      </c>
      <c r="E325" s="91">
        <f>(IF(Optimalisatie!C12="Nieuwe Situatie",_xlfn.IFNA(IF(Optimalisatie!E12="Categorie_1_LCA_Producten",VLOOKUP(Inschrijf_Hernieuwbare_Energie_Totaal[[#This Row],[Product]],Categorie_1_Producten[#All],21,FALSE)*(Optimalisatie!J12),VLOOKUP(Inschrijf_Hernieuwbare_Energie_Totaal[[#This Row],[Product]]&amp;", "&amp;Inschrijf_Hernieuwbare_Energie_Totaal[[#Headers],[A2]],Database_Productkaarten[#All],48,FALSE)*Optimalisatie!J12),Baseline_Backlog!E325),0))</f>
        <v>0</v>
      </c>
      <c r="F325" s="91">
        <f>(IF(Optimalisatie!C12="Nieuwe Situatie",_xlfn.IFNA(IF(Optimalisatie!E12="Categorie_1_LCA_Producten",VLOOKUP(Inschrijf_Hernieuwbare_Energie_Totaal[[#This Row],[Product]],Categorie_1_Producten[#All],22,FALSE)*(Optimalisatie!J12),VLOOKUP(Inschrijf_Hernieuwbare_Energie_Totaal[[#This Row],[Product]]&amp;", "&amp;Inschrijf_Hernieuwbare_Energie_Totaal[[#Headers],[A3]],Database_Productkaarten[#All],48,FALSE)*Optimalisatie!J12),Baseline_Backlog!F325),0))</f>
        <v>0</v>
      </c>
      <c r="G325" s="91">
        <f>(IF(Optimalisatie!C12="Nieuwe Situatie",_xlfn.IFNA(IF(Optimalisatie!E12="Categorie_1_LCA_Producten",VLOOKUP(Inschrijf_Hernieuwbare_Energie_Totaal[[#This Row],[Product]],Categorie_1_Producten[#All],27,FALSE)*(Optimalisatie!J12),VLOOKUP(Inschrijf_Hernieuwbare_Energie_Totaal[[#This Row],[Product]]&amp;", "&amp;Inschrijf_Hernieuwbare_Energie_Totaal[[#Headers],[A1-A3]],Database_Productkaarten[#All],48,FALSE)*Optimalisatie!J12),Baseline_Backlog!G325),0))</f>
        <v>0</v>
      </c>
      <c r="H325" s="91">
        <f>(IF(Optimalisatie!C12="Nieuwe Situatie",_xlfn.IFNA(VLOOKUP(Optimalisatie!V12,Database_Transport[#All],42,FALSE)*(Optimalisatie!R12*Optimalisatie!U12),Baseline_Backlog!H325),0))</f>
        <v>0</v>
      </c>
      <c r="I325" s="91">
        <f>IF(Optimalisatie!C12="Nieuwe situatie",IF(_xlfn.IFNA((VLOOKUP(Optimalisatie!W12,Database_Asfalt_Aanlegset[#All],42,FALSE)*Optimalisatie!J12),0)+_xlfn.IFNA(VLOOKUP(Optimalisatie!X12,Database_Brandstoffen[#All],42,FALSE)*((Optimalisatie!J12/Optimalisatie!Z12)*Optimalisatie!Y12),0)&gt;0,_xlfn.IFNA((VLOOKUP(Optimalisatie!W12,Database_Asfalt_Aanlegset[#All],42,FALSE)*Optimalisatie!J12),0)+_xlfn.IFNA(VLOOKUP(Optimalisatie!X12,Database_Brandstoffen[#All],42,FALSE)*((Optimalisatie!J12/Optimalisatie!Z12)*Optimalisatie!Y12),0),(_xlfn.IFNA(VLOOKUP(Inschrijf_Hernieuwbare_Energie_Totaal[[#This Row],[Product]]&amp;", "&amp;Inschrijf_MKI_Totaal[[#Headers],[A5]],Database_Productkaarten[#All],48,FALSE),0)*Optimalisatie!J12)),0)</f>
        <v>0</v>
      </c>
      <c r="J325" s="91">
        <f>(IF(Optimalisatie!C12="Nieuwe Situatie",_xlfn.IFNA(IF(Optimalisatie!E12="Categorie_1_LCA_Producten",VLOOKUP(Inschrijf_Hernieuwbare_Energie_Totaal[[#This Row],[Product]],Categorie_1_Producten[#All],28,FALSE)*(Optimalisatie!R12),VLOOKUP(Inschrijf_Hernieuwbare_Energie_Totaal[[#This Row],[Product]]&amp;", "&amp;Inschrijf_Hernieuwbare_Energie_Totaal[[#Headers],[B1]],Database_Productkaarten[#All],47,FALSE)*Optimalisatie!J12),Baseline_Backlog!J325),0))</f>
        <v>0</v>
      </c>
      <c r="K325" s="91">
        <f>(IF(Optimalisatie!C12="Nieuwe Situatie",_xlfn.IFNA(SUM(Inschrijf_Hernieuwbare_Energie_Totaal[[#This Row],[A1]:[B1]],Inschrijf_Hernieuwbare_Energie_Totaal[[#This Row],[C1]:[D2]])*Optimalisatie!T12,0),0))</f>
        <v>0</v>
      </c>
      <c r="L325" s="91">
        <f>IF(Optimalisatie!C12="Bestaande situatie",IF(_xlfn.IFNA((VLOOKUP(Optimalisatie!AA12,Database_Asfalt_Verwijderset[#All],42,FALSE)*Optimalisatie!J12),0)+_xlfn.IFNA(VLOOKUP(Optimalisatie!AB12,Database_Brandstoffen[#All],42,FALSE)*((Optimalisatie!J12/Optimalisatie!AD12)*Optimalisatie!AC12),0)&gt;0,_xlfn.IFNA((VLOOKUP(Optimalisatie!AA12,Database_Asfalt_Verwijderset[#All],42,FALSE)*Optimalisatie!J12),0)+_xlfn.IFNA(VLOOKUP(Optimalisatie!AB12,Database_Brandstoffen[#All],42,FALSE)*((Optimalisatie!J12/Optimalisatie!AD12)*Optimalisatie!AC12),0),(_xlfn.IFNA(VLOOKUP(Inschrijf_Hernieuwbare_Energie_Totaal[[#This Row],[Product]]&amp;", "&amp;Inschrijf_MKI_Totaal[[#Headers],[C1]],Database_Productkaarten[#All],48,FALSE),0)*Optimalisatie!J12)),0)</f>
        <v>1825.2916051206685</v>
      </c>
      <c r="M325" s="91">
        <f>(IF(Optimalisatie!C12="Bestaande Situatie",_xlfn.IFNA(VLOOKUP(Optimalisatie!AF12,Database_Transport[#All],42,FALSE)*(Optimalisatie!R12*Optimalisatie!AE12),Baseline_Backlog!M325),0))</f>
        <v>297.74546056694999</v>
      </c>
      <c r="N325" s="91">
        <f>(IF(Optimalisatie!C12="Bestaande Situatie",_xlfn.IFNA(VLOOKUP(Optimalisatie!AG12,Database_Asfalt_Verwerkingsset[#All],42,FALSE)*(Optimalisatie!J12/VLOOKUP(Optimalisatie!AG12,Database_Asfalt_Verwerkingsset[#All],42,FALSE)),Baseline_Backlog!N325),0))</f>
        <v>1280.8210540499999</v>
      </c>
      <c r="O325" s="91">
        <f>(IF(Optimalisatie!C12="Bestaande Situatie",_xlfn.IFNA(VLOOKUP(Inschrijf_Hernieuwbare_Energie_Totaal[[#This Row],[Product]]&amp;", "&amp;Inschrijf_MKI_Totaal[[#Headers],[C4]],Database_Productkaarten[#All],48,FALSE)*Optimalisatie!J12,Baseline_Backlog!O325),0))</f>
        <v>38.921928449500001</v>
      </c>
      <c r="P325" s="91">
        <f>(IF(Optimalisatie!C12="Bestaande Situatie",_xlfn.IFNA(IF(Optimalisatie!E12="Categorie_1_LCA_Producten",VLOOKUP(Inschrijf_Hernieuwbare_Energie_Totaal[[#This Row],[Product]],Categorie_1_Producten[#All],24,FALSE)*(Optimalisatie!J12),VLOOKUP(Inschrijf_Hernieuwbare_Energie_Totaal[[#This Row],[Product]]&amp;", "&amp;Inschrijf_Hernieuwbare_Energie_Totaal[[#Headers],[D1]],Database_Productkaarten[#All],48,FALSE)*Optimalisatie!J12),Baseline_Backlog!P325),0))</f>
        <v>0</v>
      </c>
      <c r="Q325" s="91">
        <f>(IF(Optimalisatie!C12="Bestaande Situatie",_xlfn.IFNA(IF(Optimalisatie!E12="Categorie_1_LCA_Producten",VLOOKUP(Inschrijf_Hernieuwbare_Energie_Totaal[[#This Row],[Product]],Categorie_1_Producten[#All],25,FALSE)*(Optimalisatie!J12),VLOOKUP(Inschrijf_Hernieuwbare_Energie_Totaal[[#This Row],[Product]]&amp;", "&amp;Inschrijf_Hernieuwbare_Energie_Totaal[[#Headers],[D2]],Database_Productkaarten[#All],48,FALSE)*Optimalisatie!J12),Baseline_Backlog!Q325),0))</f>
        <v>0</v>
      </c>
      <c r="R325" s="91">
        <f>(IF(Optimalisatie!C12="Bestaande Situatie",_xlfn.IFNA(IF(Optimalisatie!E12="Categorie_1_LCA_Producten",VLOOKUP(Inschrijf_Hernieuwbare_Energie_Totaal[[#This Row],[Product]],Categorie_1_Producten[#All],29,FALSE)*(Optimalisatie!J12),VLOOKUP(Inschrijf_Hernieuwbare_Energie_Totaal[[#This Row],[Product]]&amp;", "&amp;Inschrijf_Hernieuwbare_Energie_Totaal[[#Headers],[D]],Database_Productkaarten[#All],48,FALSE)*Optimalisatie!J12),Baseline_Backlog!S325),0))</f>
        <v>-3224.0384144</v>
      </c>
      <c r="S325" s="91">
        <f>SUM(Inschrijf_Hernieuwbare_Energie_Totaal[[#This Row],[A1-A3]:[C4]])+Inschrijf_Hernieuwbare_Energie_Totaal[[#This Row],[D]]</f>
        <v>218.74163378711819</v>
      </c>
    </row>
    <row r="326" spans="2:19">
      <c r="B326" s="208" t="str">
        <f>Optimalisatie!B13</f>
        <v>121410 - Opbreken en afvoeren asfaltverharding zwart teervrij</v>
      </c>
      <c r="C326" s="1" t="str">
        <f>Optimalisatie!F13</f>
        <v>AC bin/base 50% PR - PCR 2.0</v>
      </c>
      <c r="D326" s="91">
        <f>(IF(Optimalisatie!C13="Nieuwe Situatie",_xlfn.IFNA(IF(Optimalisatie!E13="Categorie_1_LCA_Producten",VLOOKUP(Inschrijf_Hernieuwbare_Energie_Totaal[[#This Row],[Product]],Categorie_1_Producten[#All],20,FALSE)*(Optimalisatie!J13),VLOOKUP(Inschrijf_Hernieuwbare_Energie_Totaal[[#This Row],[Product]]&amp;", "&amp;Inschrijf_Hernieuwbare_Energie_Totaal[[#Headers],[A1]],Database_Productkaarten[#All],48,FALSE)*Optimalisatie!J13),Baseline_Backlog!D326),0))</f>
        <v>0</v>
      </c>
      <c r="E326" s="91">
        <f>(IF(Optimalisatie!C13="Nieuwe Situatie",_xlfn.IFNA(IF(Optimalisatie!E13="Categorie_1_LCA_Producten",VLOOKUP(Inschrijf_Hernieuwbare_Energie_Totaal[[#This Row],[Product]],Categorie_1_Producten[#All],21,FALSE)*(Optimalisatie!J13),VLOOKUP(Inschrijf_Hernieuwbare_Energie_Totaal[[#This Row],[Product]]&amp;", "&amp;Inschrijf_Hernieuwbare_Energie_Totaal[[#Headers],[A2]],Database_Productkaarten[#All],48,FALSE)*Optimalisatie!J13),Baseline_Backlog!E326),0))</f>
        <v>0</v>
      </c>
      <c r="F326" s="91">
        <f>(IF(Optimalisatie!C13="Nieuwe Situatie",_xlfn.IFNA(IF(Optimalisatie!E13="Categorie_1_LCA_Producten",VLOOKUP(Inschrijf_Hernieuwbare_Energie_Totaal[[#This Row],[Product]],Categorie_1_Producten[#All],22,FALSE)*(Optimalisatie!J13),VLOOKUP(Inschrijf_Hernieuwbare_Energie_Totaal[[#This Row],[Product]]&amp;", "&amp;Inschrijf_Hernieuwbare_Energie_Totaal[[#Headers],[A3]],Database_Productkaarten[#All],48,FALSE)*Optimalisatie!J13),Baseline_Backlog!F326),0))</f>
        <v>0</v>
      </c>
      <c r="G326" s="91">
        <f>(IF(Optimalisatie!C13="Nieuwe Situatie",_xlfn.IFNA(IF(Optimalisatie!E13="Categorie_1_LCA_Producten",VLOOKUP(Inschrijf_Hernieuwbare_Energie_Totaal[[#This Row],[Product]],Categorie_1_Producten[#All],27,FALSE)*(Optimalisatie!J13),VLOOKUP(Inschrijf_Hernieuwbare_Energie_Totaal[[#This Row],[Product]]&amp;", "&amp;Inschrijf_Hernieuwbare_Energie_Totaal[[#Headers],[A1-A3]],Database_Productkaarten[#All],48,FALSE)*Optimalisatie!J13),Baseline_Backlog!G326),0))</f>
        <v>0</v>
      </c>
      <c r="H326" s="91">
        <f>(IF(Optimalisatie!C13="Nieuwe Situatie",_xlfn.IFNA(VLOOKUP(Optimalisatie!V13,Database_Transport[#All],42,FALSE)*(Optimalisatie!R13*Optimalisatie!U13),Baseline_Backlog!H326),0))</f>
        <v>0</v>
      </c>
      <c r="I326" s="91">
        <f>IF(Optimalisatie!C13="Nieuwe situatie",IF(_xlfn.IFNA((VLOOKUP(Optimalisatie!W13,Database_Asfalt_Aanlegset[#All],42,FALSE)*Optimalisatie!J13),0)+_xlfn.IFNA(VLOOKUP(Optimalisatie!X13,Database_Brandstoffen[#All],42,FALSE)*((Optimalisatie!J13/Optimalisatie!Z13)*Optimalisatie!Y13),0)&gt;0,_xlfn.IFNA((VLOOKUP(Optimalisatie!W13,Database_Asfalt_Aanlegset[#All],42,FALSE)*Optimalisatie!J13),0)+_xlfn.IFNA(VLOOKUP(Optimalisatie!X13,Database_Brandstoffen[#All],42,FALSE)*((Optimalisatie!J13/Optimalisatie!Z13)*Optimalisatie!Y13),0),(_xlfn.IFNA(VLOOKUP(Inschrijf_Hernieuwbare_Energie_Totaal[[#This Row],[Product]]&amp;", "&amp;Inschrijf_MKI_Totaal[[#Headers],[A5]],Database_Productkaarten[#All],48,FALSE),0)*Optimalisatie!J13)),0)</f>
        <v>0</v>
      </c>
      <c r="J326" s="91">
        <f>(IF(Optimalisatie!C13="Nieuwe Situatie",_xlfn.IFNA(IF(Optimalisatie!E13="Categorie_1_LCA_Producten",VLOOKUP(Inschrijf_Hernieuwbare_Energie_Totaal[[#This Row],[Product]],Categorie_1_Producten[#All],28,FALSE)*(Optimalisatie!R13),VLOOKUP(Inschrijf_Hernieuwbare_Energie_Totaal[[#This Row],[Product]]&amp;", "&amp;Inschrijf_Hernieuwbare_Energie_Totaal[[#Headers],[B1]],Database_Productkaarten[#All],47,FALSE)*Optimalisatie!J13),Baseline_Backlog!J326),0))</f>
        <v>0</v>
      </c>
      <c r="K326" s="91">
        <f>(IF(Optimalisatie!C13="Nieuwe Situatie",_xlfn.IFNA(SUM(Inschrijf_Hernieuwbare_Energie_Totaal[[#This Row],[A1]:[B1]],Inschrijf_Hernieuwbare_Energie_Totaal[[#This Row],[C1]:[D2]])*Optimalisatie!T13,0),0))</f>
        <v>0</v>
      </c>
      <c r="L326" s="91">
        <f>IF(Optimalisatie!C13="Bestaande situatie",IF(_xlfn.IFNA((VLOOKUP(Optimalisatie!AA13,Database_Asfalt_Verwijderset[#All],42,FALSE)*Optimalisatie!J13),0)+_xlfn.IFNA(VLOOKUP(Optimalisatie!AB13,Database_Brandstoffen[#All],42,FALSE)*((Optimalisatie!J13/Optimalisatie!AD13)*Optimalisatie!AC13),0)&gt;0,_xlfn.IFNA((VLOOKUP(Optimalisatie!AA13,Database_Asfalt_Verwijderset[#All],42,FALSE)*Optimalisatie!J13),0)+_xlfn.IFNA(VLOOKUP(Optimalisatie!AB13,Database_Brandstoffen[#All],42,FALSE)*((Optimalisatie!J13/Optimalisatie!AD13)*Optimalisatie!AC13),0),(_xlfn.IFNA(VLOOKUP(Inschrijf_Hernieuwbare_Energie_Totaal[[#This Row],[Product]]&amp;", "&amp;Inschrijf_MKI_Totaal[[#Headers],[C1]],Database_Productkaarten[#All],48,FALSE),0)*Optimalisatie!J13)),0)</f>
        <v>215.436640125</v>
      </c>
      <c r="M326" s="91">
        <f>(IF(Optimalisatie!C13="Bestaande Situatie",_xlfn.IFNA(VLOOKUP(Optimalisatie!AF13,Database_Transport[#All],42,FALSE)*(Optimalisatie!R13*Optimalisatie!AE13),Baseline_Backlog!M326),0))</f>
        <v>746.80499250000003</v>
      </c>
      <c r="N326" s="91">
        <f>(IF(Optimalisatie!C13="Bestaande Situatie",_xlfn.IFNA(VLOOKUP(Optimalisatie!AG13,Database_Asfalt_Verwerkingsset[#All],42,FALSE)*(Optimalisatie!J13/VLOOKUP(Optimalisatie!AG13,Database_Asfalt_Verwerkingsset[#All],42,FALSE)),Baseline_Backlog!N326),0))</f>
        <v>241.54880321325678</v>
      </c>
      <c r="O326" s="91">
        <f>(IF(Optimalisatie!C13="Bestaande Situatie",_xlfn.IFNA(VLOOKUP(Inschrijf_Hernieuwbare_Energie_Totaal[[#This Row],[Product]]&amp;", "&amp;Inschrijf_MKI_Totaal[[#Headers],[C4]],Database_Productkaarten[#All],48,FALSE)*Optimalisatie!J13,Baseline_Backlog!O326),0))</f>
        <v>0</v>
      </c>
      <c r="P326" s="91">
        <f>(IF(Optimalisatie!C13="Bestaande Situatie",_xlfn.IFNA(IF(Optimalisatie!E13="Categorie_1_LCA_Producten",VLOOKUP(Inschrijf_Hernieuwbare_Energie_Totaal[[#This Row],[Product]],Categorie_1_Producten[#All],24,FALSE)*(Optimalisatie!J13),VLOOKUP(Inschrijf_Hernieuwbare_Energie_Totaal[[#This Row],[Product]]&amp;", "&amp;Inschrijf_Hernieuwbare_Energie_Totaal[[#Headers],[D1]],Database_Productkaarten[#All],48,FALSE)*Optimalisatie!J13),Baseline_Backlog!P326),0))</f>
        <v>0</v>
      </c>
      <c r="Q326" s="91">
        <f>(IF(Optimalisatie!C13="Bestaande Situatie",_xlfn.IFNA(IF(Optimalisatie!E13="Categorie_1_LCA_Producten",VLOOKUP(Inschrijf_Hernieuwbare_Energie_Totaal[[#This Row],[Product]],Categorie_1_Producten[#All],25,FALSE)*(Optimalisatie!J13),VLOOKUP(Inschrijf_Hernieuwbare_Energie_Totaal[[#This Row],[Product]]&amp;", "&amp;Inschrijf_Hernieuwbare_Energie_Totaal[[#Headers],[D2]],Database_Productkaarten[#All],48,FALSE)*Optimalisatie!J13),Baseline_Backlog!Q326),0))</f>
        <v>0</v>
      </c>
      <c r="R326" s="91">
        <f>(IF(Optimalisatie!C13="Bestaande Situatie",_xlfn.IFNA(IF(Optimalisatie!E13="Categorie_1_LCA_Producten",VLOOKUP(Inschrijf_Hernieuwbare_Energie_Totaal[[#This Row],[Product]],Categorie_1_Producten[#All],29,FALSE)*(Optimalisatie!J13),VLOOKUP(Inschrijf_Hernieuwbare_Energie_Totaal[[#This Row],[Product]]&amp;", "&amp;Inschrijf_Hernieuwbare_Energie_Totaal[[#Headers],[D]],Database_Productkaarten[#All],48,FALSE)*Optimalisatie!J13),Baseline_Backlog!S326),0))</f>
        <v>-21578.60025649676</v>
      </c>
      <c r="S326" s="91">
        <f>SUM(Inschrijf_Hernieuwbare_Energie_Totaal[[#This Row],[A1-A3]:[C4]])+Inschrijf_Hernieuwbare_Energie_Totaal[[#This Row],[D]]</f>
        <v>-20374.809820658502</v>
      </c>
    </row>
    <row r="327" spans="2:19">
      <c r="B327" s="208" t="str">
        <f>Optimalisatie!B14</f>
        <v>121420 - Opbreken en afvoeren asfaltverharding rood teervrij</v>
      </c>
      <c r="C327" s="1" t="str">
        <f>Optimalisatie!F14</f>
        <v>AC surf rood, met penbitumen - PCR 2.0</v>
      </c>
      <c r="D327" s="91">
        <f>(IF(Optimalisatie!C14="Nieuwe Situatie",_xlfn.IFNA(IF(Optimalisatie!E14="Categorie_1_LCA_Producten",VLOOKUP(Inschrijf_Hernieuwbare_Energie_Totaal[[#This Row],[Product]],Categorie_1_Producten[#All],20,FALSE)*(Optimalisatie!J14),VLOOKUP(Inschrijf_Hernieuwbare_Energie_Totaal[[#This Row],[Product]]&amp;", "&amp;Inschrijf_Hernieuwbare_Energie_Totaal[[#Headers],[A1]],Database_Productkaarten[#All],48,FALSE)*Optimalisatie!J14),Baseline_Backlog!D327),0))</f>
        <v>0</v>
      </c>
      <c r="E327" s="91">
        <f>(IF(Optimalisatie!C14="Nieuwe Situatie",_xlfn.IFNA(IF(Optimalisatie!E14="Categorie_1_LCA_Producten",VLOOKUP(Inschrijf_Hernieuwbare_Energie_Totaal[[#This Row],[Product]],Categorie_1_Producten[#All],21,FALSE)*(Optimalisatie!J14),VLOOKUP(Inschrijf_Hernieuwbare_Energie_Totaal[[#This Row],[Product]]&amp;", "&amp;Inschrijf_Hernieuwbare_Energie_Totaal[[#Headers],[A2]],Database_Productkaarten[#All],48,FALSE)*Optimalisatie!J14),Baseline_Backlog!E327),0))</f>
        <v>0</v>
      </c>
      <c r="F327" s="91">
        <f>(IF(Optimalisatie!C14="Nieuwe Situatie",_xlfn.IFNA(IF(Optimalisatie!E14="Categorie_1_LCA_Producten",VLOOKUP(Inschrijf_Hernieuwbare_Energie_Totaal[[#This Row],[Product]],Categorie_1_Producten[#All],22,FALSE)*(Optimalisatie!J14),VLOOKUP(Inschrijf_Hernieuwbare_Energie_Totaal[[#This Row],[Product]]&amp;", "&amp;Inschrijf_Hernieuwbare_Energie_Totaal[[#Headers],[A3]],Database_Productkaarten[#All],48,FALSE)*Optimalisatie!J14),Baseline_Backlog!F327),0))</f>
        <v>0</v>
      </c>
      <c r="G327" s="91">
        <f>(IF(Optimalisatie!C14="Nieuwe Situatie",_xlfn.IFNA(IF(Optimalisatie!E14="Categorie_1_LCA_Producten",VLOOKUP(Inschrijf_Hernieuwbare_Energie_Totaal[[#This Row],[Product]],Categorie_1_Producten[#All],27,FALSE)*(Optimalisatie!J14),VLOOKUP(Inschrijf_Hernieuwbare_Energie_Totaal[[#This Row],[Product]]&amp;", "&amp;Inschrijf_Hernieuwbare_Energie_Totaal[[#Headers],[A1-A3]],Database_Productkaarten[#All],48,FALSE)*Optimalisatie!J14),Baseline_Backlog!G327),0))</f>
        <v>0</v>
      </c>
      <c r="H327" s="91">
        <f>(IF(Optimalisatie!C14="Nieuwe Situatie",_xlfn.IFNA(VLOOKUP(Optimalisatie!V14,Database_Transport[#All],42,FALSE)*(Optimalisatie!R14*Optimalisatie!U14),Baseline_Backlog!H327),0))</f>
        <v>0</v>
      </c>
      <c r="I327" s="91">
        <f>IF(Optimalisatie!C14="Nieuwe situatie",IF(_xlfn.IFNA((VLOOKUP(Optimalisatie!W14,Database_Asfalt_Aanlegset[#All],42,FALSE)*Optimalisatie!J14),0)+_xlfn.IFNA(VLOOKUP(Optimalisatie!X14,Database_Brandstoffen[#All],42,FALSE)*((Optimalisatie!J14/Optimalisatie!Z14)*Optimalisatie!Y14),0)&gt;0,_xlfn.IFNA((VLOOKUP(Optimalisatie!W14,Database_Asfalt_Aanlegset[#All],42,FALSE)*Optimalisatie!J14),0)+_xlfn.IFNA(VLOOKUP(Optimalisatie!X14,Database_Brandstoffen[#All],42,FALSE)*((Optimalisatie!J14/Optimalisatie!Z14)*Optimalisatie!Y14),0),(_xlfn.IFNA(VLOOKUP(Inschrijf_Hernieuwbare_Energie_Totaal[[#This Row],[Product]]&amp;", "&amp;Inschrijf_MKI_Totaal[[#Headers],[A5]],Database_Productkaarten[#All],48,FALSE),0)*Optimalisatie!J14)),0)</f>
        <v>0</v>
      </c>
      <c r="J327" s="91">
        <f>(IF(Optimalisatie!C14="Nieuwe Situatie",_xlfn.IFNA(IF(Optimalisatie!E14="Categorie_1_LCA_Producten",VLOOKUP(Inschrijf_Hernieuwbare_Energie_Totaal[[#This Row],[Product]],Categorie_1_Producten[#All],28,FALSE)*(Optimalisatie!R14),VLOOKUP(Inschrijf_Hernieuwbare_Energie_Totaal[[#This Row],[Product]]&amp;", "&amp;Inschrijf_Hernieuwbare_Energie_Totaal[[#Headers],[B1]],Database_Productkaarten[#All],47,FALSE)*Optimalisatie!J14),Baseline_Backlog!J327),0))</f>
        <v>0</v>
      </c>
      <c r="K327" s="91">
        <f>(IF(Optimalisatie!C14="Nieuwe Situatie",_xlfn.IFNA(SUM(Inschrijf_Hernieuwbare_Energie_Totaal[[#This Row],[A1]:[B1]],Inschrijf_Hernieuwbare_Energie_Totaal[[#This Row],[C1]:[D2]])*Optimalisatie!T14,0),0))</f>
        <v>0</v>
      </c>
      <c r="L327" s="91">
        <f>IF(Optimalisatie!C14="Bestaande situatie",IF(_xlfn.IFNA((VLOOKUP(Optimalisatie!AA14,Database_Asfalt_Verwijderset[#All],42,FALSE)*Optimalisatie!J14),0)+_xlfn.IFNA(VLOOKUP(Optimalisatie!AB14,Database_Brandstoffen[#All],42,FALSE)*((Optimalisatie!J14/Optimalisatie!AD14)*Optimalisatie!AC14),0)&gt;0,_xlfn.IFNA((VLOOKUP(Optimalisatie!AA14,Database_Asfalt_Verwijderset[#All],42,FALSE)*Optimalisatie!J14),0)+_xlfn.IFNA(VLOOKUP(Optimalisatie!AB14,Database_Brandstoffen[#All],42,FALSE)*((Optimalisatie!J14/Optimalisatie!AD14)*Optimalisatie!AC14),0),(_xlfn.IFNA(VLOOKUP(Inschrijf_Hernieuwbare_Energie_Totaal[[#This Row],[Product]]&amp;", "&amp;Inschrijf_MKI_Totaal[[#Headers],[C1]],Database_Productkaarten[#All],48,FALSE),0)*Optimalisatie!J14)),0)</f>
        <v>147.72798179999998</v>
      </c>
      <c r="M327" s="91">
        <f>(IF(Optimalisatie!C14="Bestaande Situatie",_xlfn.IFNA(VLOOKUP(Optimalisatie!AF14,Database_Transport[#All],42,FALSE)*(Optimalisatie!R14*Optimalisatie!AE14),Baseline_Backlog!M327),0))</f>
        <v>512.09485200000006</v>
      </c>
      <c r="N327" s="91">
        <f>(IF(Optimalisatie!C14="Bestaande Situatie",_xlfn.IFNA(VLOOKUP(Optimalisatie!AG14,Database_Asfalt_Verwerkingsset[#All],42,FALSE)*(Optimalisatie!J14/VLOOKUP(Optimalisatie!AG14,Database_Asfalt_Verwerkingsset[#All],42,FALSE)),Baseline_Backlog!N327),0))</f>
        <v>165.63346505507556</v>
      </c>
      <c r="O327" s="91">
        <f>(IF(Optimalisatie!C14="Bestaande Situatie",_xlfn.IFNA(VLOOKUP(Inschrijf_Hernieuwbare_Energie_Totaal[[#This Row],[Product]]&amp;", "&amp;Inschrijf_MKI_Totaal[[#Headers],[C4]],Database_Productkaarten[#All],48,FALSE)*Optimalisatie!J14,Baseline_Backlog!O327),0))</f>
        <v>0</v>
      </c>
      <c r="P327" s="91">
        <f>(IF(Optimalisatie!C14="Bestaande Situatie",_xlfn.IFNA(IF(Optimalisatie!E14="Categorie_1_LCA_Producten",VLOOKUP(Inschrijf_Hernieuwbare_Energie_Totaal[[#This Row],[Product]],Categorie_1_Producten[#All],24,FALSE)*(Optimalisatie!J14),VLOOKUP(Inschrijf_Hernieuwbare_Energie_Totaal[[#This Row],[Product]]&amp;", "&amp;Inschrijf_Hernieuwbare_Energie_Totaal[[#Headers],[D1]],Database_Productkaarten[#All],48,FALSE)*Optimalisatie!J14),Baseline_Backlog!P327),0))</f>
        <v>0</v>
      </c>
      <c r="Q327" s="91">
        <f>(IF(Optimalisatie!C14="Bestaande Situatie",_xlfn.IFNA(IF(Optimalisatie!E14="Categorie_1_LCA_Producten",VLOOKUP(Inschrijf_Hernieuwbare_Energie_Totaal[[#This Row],[Product]],Categorie_1_Producten[#All],25,FALSE)*(Optimalisatie!J14),VLOOKUP(Inschrijf_Hernieuwbare_Energie_Totaal[[#This Row],[Product]]&amp;", "&amp;Inschrijf_Hernieuwbare_Energie_Totaal[[#Headers],[D2]],Database_Productkaarten[#All],48,FALSE)*Optimalisatie!J14),Baseline_Backlog!Q327),0))</f>
        <v>0</v>
      </c>
      <c r="R327" s="91">
        <f>(IF(Optimalisatie!C14="Bestaande Situatie",_xlfn.IFNA(IF(Optimalisatie!E14="Categorie_1_LCA_Producten",VLOOKUP(Inschrijf_Hernieuwbare_Energie_Totaal[[#This Row],[Product]],Categorie_1_Producten[#All],29,FALSE)*(Optimalisatie!J14),VLOOKUP(Inschrijf_Hernieuwbare_Energie_Totaal[[#This Row],[Product]]&amp;", "&amp;Inschrijf_Hernieuwbare_Energie_Totaal[[#Headers],[D]],Database_Productkaarten[#All],48,FALSE)*Optimalisatie!J14),Baseline_Backlog!S327),0))</f>
        <v>-29272.816887728222</v>
      </c>
      <c r="S327" s="91">
        <f>SUM(Inschrijf_Hernieuwbare_Energie_Totaal[[#This Row],[A1-A3]:[C4]])+Inschrijf_Hernieuwbare_Energie_Totaal[[#This Row],[D]]</f>
        <v>-28447.360588873147</v>
      </c>
    </row>
    <row r="328" spans="2:19">
      <c r="B328" s="208" t="str">
        <f>Optimalisatie!B15</f>
        <v>121510 - Opbreken fundering van menggranulaat, 400-200 mm dik</v>
      </c>
      <c r="C328" s="1" t="str">
        <f>Optimalisatie!F15</f>
        <v>Menggranulaat 300mm</v>
      </c>
      <c r="D328" s="91">
        <f>(IF(Optimalisatie!C15="Nieuwe Situatie",_xlfn.IFNA(IF(Optimalisatie!E15="Categorie_1_LCA_Producten",VLOOKUP(Inschrijf_Hernieuwbare_Energie_Totaal[[#This Row],[Product]],Categorie_1_Producten[#All],20,FALSE)*(Optimalisatie!J15),VLOOKUP(Inschrijf_Hernieuwbare_Energie_Totaal[[#This Row],[Product]]&amp;", "&amp;Inschrijf_Hernieuwbare_Energie_Totaal[[#Headers],[A1]],Database_Productkaarten[#All],48,FALSE)*Optimalisatie!J15),Baseline_Backlog!D328),0))</f>
        <v>0</v>
      </c>
      <c r="E328" s="91">
        <f>(IF(Optimalisatie!C15="Nieuwe Situatie",_xlfn.IFNA(IF(Optimalisatie!E15="Categorie_1_LCA_Producten",VLOOKUP(Inschrijf_Hernieuwbare_Energie_Totaal[[#This Row],[Product]],Categorie_1_Producten[#All],21,FALSE)*(Optimalisatie!J15),VLOOKUP(Inschrijf_Hernieuwbare_Energie_Totaal[[#This Row],[Product]]&amp;", "&amp;Inschrijf_Hernieuwbare_Energie_Totaal[[#Headers],[A2]],Database_Productkaarten[#All],48,FALSE)*Optimalisatie!J15),Baseline_Backlog!E328),0))</f>
        <v>0</v>
      </c>
      <c r="F328" s="91">
        <f>(IF(Optimalisatie!C15="Nieuwe Situatie",_xlfn.IFNA(IF(Optimalisatie!E15="Categorie_1_LCA_Producten",VLOOKUP(Inschrijf_Hernieuwbare_Energie_Totaal[[#This Row],[Product]],Categorie_1_Producten[#All],22,FALSE)*(Optimalisatie!J15),VLOOKUP(Inschrijf_Hernieuwbare_Energie_Totaal[[#This Row],[Product]]&amp;", "&amp;Inschrijf_Hernieuwbare_Energie_Totaal[[#Headers],[A3]],Database_Productkaarten[#All],48,FALSE)*Optimalisatie!J15),Baseline_Backlog!F328),0))</f>
        <v>0</v>
      </c>
      <c r="G328" s="91">
        <f>(IF(Optimalisatie!C15="Nieuwe Situatie",_xlfn.IFNA(IF(Optimalisatie!E15="Categorie_1_LCA_Producten",VLOOKUP(Inschrijf_Hernieuwbare_Energie_Totaal[[#This Row],[Product]],Categorie_1_Producten[#All],27,FALSE)*(Optimalisatie!J15),VLOOKUP(Inschrijf_Hernieuwbare_Energie_Totaal[[#This Row],[Product]]&amp;", "&amp;Inschrijf_Hernieuwbare_Energie_Totaal[[#Headers],[A1-A3]],Database_Productkaarten[#All],48,FALSE)*Optimalisatie!J15),Baseline_Backlog!G328),0))</f>
        <v>0</v>
      </c>
      <c r="H328" s="91">
        <f>(IF(Optimalisatie!C15="Nieuwe Situatie",_xlfn.IFNA(VLOOKUP(Optimalisatie!V15,Database_Transport[#All],42,FALSE)*(Optimalisatie!R15*Optimalisatie!U15),Baseline_Backlog!H328),0))</f>
        <v>0</v>
      </c>
      <c r="I328" s="91">
        <f>IF(Optimalisatie!C15="Nieuwe situatie",IF(_xlfn.IFNA((VLOOKUP(Optimalisatie!W15,Database_Asfalt_Aanlegset[#All],42,FALSE)*Optimalisatie!J15),0)+_xlfn.IFNA(VLOOKUP(Optimalisatie!X15,Database_Brandstoffen[#All],42,FALSE)*((Optimalisatie!J15/Optimalisatie!Z15)*Optimalisatie!Y15),0)&gt;0,_xlfn.IFNA((VLOOKUP(Optimalisatie!W15,Database_Asfalt_Aanlegset[#All],42,FALSE)*Optimalisatie!J15),0)+_xlfn.IFNA(VLOOKUP(Optimalisatie!X15,Database_Brandstoffen[#All],42,FALSE)*((Optimalisatie!J15/Optimalisatie!Z15)*Optimalisatie!Y15),0),(_xlfn.IFNA(VLOOKUP(Inschrijf_Hernieuwbare_Energie_Totaal[[#This Row],[Product]]&amp;", "&amp;Inschrijf_MKI_Totaal[[#Headers],[A5]],Database_Productkaarten[#All],48,FALSE),0)*Optimalisatie!J15)),0)</f>
        <v>0</v>
      </c>
      <c r="J328" s="91">
        <f>(IF(Optimalisatie!C15="Nieuwe Situatie",_xlfn.IFNA(IF(Optimalisatie!E15="Categorie_1_LCA_Producten",VLOOKUP(Inschrijf_Hernieuwbare_Energie_Totaal[[#This Row],[Product]],Categorie_1_Producten[#All],28,FALSE)*(Optimalisatie!R15),VLOOKUP(Inschrijf_Hernieuwbare_Energie_Totaal[[#This Row],[Product]]&amp;", "&amp;Inschrijf_Hernieuwbare_Energie_Totaal[[#Headers],[B1]],Database_Productkaarten[#All],47,FALSE)*Optimalisatie!J15),Baseline_Backlog!J328),0))</f>
        <v>0</v>
      </c>
      <c r="K328" s="91">
        <f>(IF(Optimalisatie!C15="Nieuwe Situatie",_xlfn.IFNA(SUM(Inschrijf_Hernieuwbare_Energie_Totaal[[#This Row],[A1]:[B1]],Inschrijf_Hernieuwbare_Energie_Totaal[[#This Row],[C1]:[D2]])*Optimalisatie!T15,0),0))</f>
        <v>0</v>
      </c>
      <c r="L328" s="91">
        <f>IF(Optimalisatie!C15="Bestaande situatie",IF(_xlfn.IFNA((VLOOKUP(Optimalisatie!AA15,Database_Asfalt_Verwijderset[#All],42,FALSE)*Optimalisatie!J15),0)+_xlfn.IFNA(VLOOKUP(Optimalisatie!AB15,Database_Brandstoffen[#All],42,FALSE)*((Optimalisatie!J15/Optimalisatie!AD15)*Optimalisatie!AC15),0)&gt;0,_xlfn.IFNA((VLOOKUP(Optimalisatie!AA15,Database_Asfalt_Verwijderset[#All],42,FALSE)*Optimalisatie!J15),0)+_xlfn.IFNA(VLOOKUP(Optimalisatie!AB15,Database_Brandstoffen[#All],42,FALSE)*((Optimalisatie!J15/Optimalisatie!AD15)*Optimalisatie!AC15),0),(_xlfn.IFNA(VLOOKUP(Inschrijf_Hernieuwbare_Energie_Totaal[[#This Row],[Product]]&amp;", "&amp;Inschrijf_MKI_Totaal[[#Headers],[C1]],Database_Productkaarten[#All],48,FALSE),0)*Optimalisatie!J15)),0)</f>
        <v>427.52441744999999</v>
      </c>
      <c r="M328" s="91">
        <f>(IF(Optimalisatie!C15="Bestaande Situatie",_xlfn.IFNA(VLOOKUP(Optimalisatie!AF15,Database_Transport[#All],42,FALSE)*(Optimalisatie!R15*Optimalisatie!AE15),Baseline_Backlog!M328),0))</f>
        <v>637.98483644999999</v>
      </c>
      <c r="N328" s="91">
        <f>(IF(Optimalisatie!C15="Bestaande Situatie",_xlfn.IFNA(VLOOKUP(Optimalisatie!AG15,Database_Asfalt_Verwerkingsset[#All],42,FALSE)*(Optimalisatie!J15/VLOOKUP(Optimalisatie!AG15,Database_Asfalt_Verwerkingsset[#All],42,FALSE)),Baseline_Backlog!N328),0))</f>
        <v>0</v>
      </c>
      <c r="O328" s="91">
        <f>(IF(Optimalisatie!C15="Bestaande Situatie",_xlfn.IFNA(VLOOKUP(Inschrijf_Hernieuwbare_Energie_Totaal[[#This Row],[Product]]&amp;", "&amp;Inschrijf_MKI_Totaal[[#Headers],[C4]],Database_Productkaarten[#All],48,FALSE)*Optimalisatie!J15,Baseline_Backlog!O328),0))</f>
        <v>29.785</v>
      </c>
      <c r="P328" s="91">
        <f>(IF(Optimalisatie!C15="Bestaande Situatie",_xlfn.IFNA(IF(Optimalisatie!E15="Categorie_1_LCA_Producten",VLOOKUP(Inschrijf_Hernieuwbare_Energie_Totaal[[#This Row],[Product]],Categorie_1_Producten[#All],24,FALSE)*(Optimalisatie!J15),VLOOKUP(Inschrijf_Hernieuwbare_Energie_Totaal[[#This Row],[Product]]&amp;", "&amp;Inschrijf_Hernieuwbare_Energie_Totaal[[#Headers],[D1]],Database_Productkaarten[#All],48,FALSE)*Optimalisatie!J15),Baseline_Backlog!P328),0))</f>
        <v>0</v>
      </c>
      <c r="Q328" s="91">
        <f>(IF(Optimalisatie!C15="Bestaande Situatie",_xlfn.IFNA(IF(Optimalisatie!E15="Categorie_1_LCA_Producten",VLOOKUP(Inschrijf_Hernieuwbare_Energie_Totaal[[#This Row],[Product]],Categorie_1_Producten[#All],25,FALSE)*(Optimalisatie!J15),VLOOKUP(Inschrijf_Hernieuwbare_Energie_Totaal[[#This Row],[Product]]&amp;", "&amp;Inschrijf_Hernieuwbare_Energie_Totaal[[#Headers],[D2]],Database_Productkaarten[#All],48,FALSE)*Optimalisatie!J15),Baseline_Backlog!Q328),0))</f>
        <v>0</v>
      </c>
      <c r="R328" s="91">
        <f>(IF(Optimalisatie!C15="Bestaande Situatie",_xlfn.IFNA(IF(Optimalisatie!E15="Categorie_1_LCA_Producten",VLOOKUP(Inschrijf_Hernieuwbare_Energie_Totaal[[#This Row],[Product]],Categorie_1_Producten[#All],29,FALSE)*(Optimalisatie!J15),VLOOKUP(Inschrijf_Hernieuwbare_Energie_Totaal[[#This Row],[Product]]&amp;", "&amp;Inschrijf_Hernieuwbare_Energie_Totaal[[#Headers],[D]],Database_Productkaarten[#All],48,FALSE)*Optimalisatie!J15),Baseline_Backlog!S328),0))</f>
        <v>79.350000000000009</v>
      </c>
      <c r="S328" s="91">
        <f>SUM(Inschrijf_Hernieuwbare_Energie_Totaal[[#This Row],[A1-A3]:[C4]])+Inschrijf_Hernieuwbare_Energie_Totaal[[#This Row],[D]]</f>
        <v>1174.6442539</v>
      </c>
    </row>
    <row r="329" spans="2:19">
      <c r="B329" s="208" t="str">
        <f>Optimalisatie!B16</f>
        <v>121520 - Opbreken fundering van slakken 200-400 mm dik</v>
      </c>
      <c r="C329" s="1" t="str">
        <f>Optimalisatie!F16</f>
        <v>Fosforslakmengsel 200mm</v>
      </c>
      <c r="D329" s="91">
        <f>(IF(Optimalisatie!C16="Nieuwe Situatie",_xlfn.IFNA(IF(Optimalisatie!E16="Categorie_1_LCA_Producten",VLOOKUP(Inschrijf_Hernieuwbare_Energie_Totaal[[#This Row],[Product]],Categorie_1_Producten[#All],20,FALSE)*(Optimalisatie!J16),VLOOKUP(Inschrijf_Hernieuwbare_Energie_Totaal[[#This Row],[Product]]&amp;", "&amp;Inschrijf_Hernieuwbare_Energie_Totaal[[#Headers],[A1]],Database_Productkaarten[#All],48,FALSE)*Optimalisatie!J16),Baseline_Backlog!D329),0))</f>
        <v>0</v>
      </c>
      <c r="E329" s="91">
        <f>(IF(Optimalisatie!C16="Nieuwe Situatie",_xlfn.IFNA(IF(Optimalisatie!E16="Categorie_1_LCA_Producten",VLOOKUP(Inschrijf_Hernieuwbare_Energie_Totaal[[#This Row],[Product]],Categorie_1_Producten[#All],21,FALSE)*(Optimalisatie!J16),VLOOKUP(Inschrijf_Hernieuwbare_Energie_Totaal[[#This Row],[Product]]&amp;", "&amp;Inschrijf_Hernieuwbare_Energie_Totaal[[#Headers],[A2]],Database_Productkaarten[#All],48,FALSE)*Optimalisatie!J16),Baseline_Backlog!E329),0))</f>
        <v>0</v>
      </c>
      <c r="F329" s="91">
        <f>(IF(Optimalisatie!C16="Nieuwe Situatie",_xlfn.IFNA(IF(Optimalisatie!E16="Categorie_1_LCA_Producten",VLOOKUP(Inschrijf_Hernieuwbare_Energie_Totaal[[#This Row],[Product]],Categorie_1_Producten[#All],22,FALSE)*(Optimalisatie!J16),VLOOKUP(Inschrijf_Hernieuwbare_Energie_Totaal[[#This Row],[Product]]&amp;", "&amp;Inschrijf_Hernieuwbare_Energie_Totaal[[#Headers],[A3]],Database_Productkaarten[#All],48,FALSE)*Optimalisatie!J16),Baseline_Backlog!F329),0))</f>
        <v>0</v>
      </c>
      <c r="G329" s="91">
        <f>(IF(Optimalisatie!C16="Nieuwe Situatie",_xlfn.IFNA(IF(Optimalisatie!E16="Categorie_1_LCA_Producten",VLOOKUP(Inschrijf_Hernieuwbare_Energie_Totaal[[#This Row],[Product]],Categorie_1_Producten[#All],27,FALSE)*(Optimalisatie!J16),VLOOKUP(Inschrijf_Hernieuwbare_Energie_Totaal[[#This Row],[Product]]&amp;", "&amp;Inschrijf_Hernieuwbare_Energie_Totaal[[#Headers],[A1-A3]],Database_Productkaarten[#All],48,FALSE)*Optimalisatie!J16),Baseline_Backlog!G329),0))</f>
        <v>0</v>
      </c>
      <c r="H329" s="91">
        <f>(IF(Optimalisatie!C16="Nieuwe Situatie",_xlfn.IFNA(VLOOKUP(Optimalisatie!V16,Database_Transport[#All],42,FALSE)*(Optimalisatie!R16*Optimalisatie!U16),Baseline_Backlog!H329),0))</f>
        <v>0</v>
      </c>
      <c r="I329" s="91">
        <f>IF(Optimalisatie!C16="Nieuwe situatie",IF(_xlfn.IFNA((VLOOKUP(Optimalisatie!W16,Database_Asfalt_Aanlegset[#All],42,FALSE)*Optimalisatie!J16),0)+_xlfn.IFNA(VLOOKUP(Optimalisatie!X16,Database_Brandstoffen[#All],42,FALSE)*((Optimalisatie!J16/Optimalisatie!Z16)*Optimalisatie!Y16),0)&gt;0,_xlfn.IFNA((VLOOKUP(Optimalisatie!W16,Database_Asfalt_Aanlegset[#All],42,FALSE)*Optimalisatie!J16),0)+_xlfn.IFNA(VLOOKUP(Optimalisatie!X16,Database_Brandstoffen[#All],42,FALSE)*((Optimalisatie!J16/Optimalisatie!Z16)*Optimalisatie!Y16),0),(_xlfn.IFNA(VLOOKUP(Inschrijf_Hernieuwbare_Energie_Totaal[[#This Row],[Product]]&amp;", "&amp;Inschrijf_MKI_Totaal[[#Headers],[A5]],Database_Productkaarten[#All],48,FALSE),0)*Optimalisatie!J16)),0)</f>
        <v>0</v>
      </c>
      <c r="J329" s="91">
        <f>(IF(Optimalisatie!C16="Nieuwe Situatie",_xlfn.IFNA(IF(Optimalisatie!E16="Categorie_1_LCA_Producten",VLOOKUP(Inschrijf_Hernieuwbare_Energie_Totaal[[#This Row],[Product]],Categorie_1_Producten[#All],28,FALSE)*(Optimalisatie!R16),VLOOKUP(Inschrijf_Hernieuwbare_Energie_Totaal[[#This Row],[Product]]&amp;", "&amp;Inschrijf_Hernieuwbare_Energie_Totaal[[#Headers],[B1]],Database_Productkaarten[#All],47,FALSE)*Optimalisatie!J16),Baseline_Backlog!J329),0))</f>
        <v>0</v>
      </c>
      <c r="K329" s="91">
        <f>(IF(Optimalisatie!C16="Nieuwe Situatie",_xlfn.IFNA(SUM(Inschrijf_Hernieuwbare_Energie_Totaal[[#This Row],[A1]:[B1]],Inschrijf_Hernieuwbare_Energie_Totaal[[#This Row],[C1]:[D2]])*Optimalisatie!T16,0),0))</f>
        <v>0</v>
      </c>
      <c r="L329" s="91">
        <f>IF(Optimalisatie!C16="Bestaande situatie",IF(_xlfn.IFNA((VLOOKUP(Optimalisatie!AA16,Database_Asfalt_Verwijderset[#All],42,FALSE)*Optimalisatie!J16),0)+_xlfn.IFNA(VLOOKUP(Optimalisatie!AB16,Database_Brandstoffen[#All],42,FALSE)*((Optimalisatie!J16/Optimalisatie!AD16)*Optimalisatie!AC16),0)&gt;0,_xlfn.IFNA((VLOOKUP(Optimalisatie!AA16,Database_Asfalt_Verwijderset[#All],42,FALSE)*Optimalisatie!J16),0)+_xlfn.IFNA(VLOOKUP(Optimalisatie!AB16,Database_Brandstoffen[#All],42,FALSE)*((Optimalisatie!J16/Optimalisatie!AD16)*Optimalisatie!AC16),0),(_xlfn.IFNA(VLOOKUP(Inschrijf_Hernieuwbare_Energie_Totaal[[#This Row],[Product]]&amp;", "&amp;Inschrijf_MKI_Totaal[[#Headers],[C1]],Database_Productkaarten[#All],48,FALSE),0)*Optimalisatie!J16)),0)</f>
        <v>195.17419057499998</v>
      </c>
      <c r="M329" s="91">
        <f>(IF(Optimalisatie!C16="Bestaande Situatie",_xlfn.IFNA(VLOOKUP(Optimalisatie!AF16,Database_Transport[#All],42,FALSE)*(Optimalisatie!R16*Optimalisatie!AE16),Baseline_Backlog!M329),0))</f>
        <v>278.80719720000008</v>
      </c>
      <c r="N329" s="91">
        <f>(IF(Optimalisatie!C16="Bestaande Situatie",_xlfn.IFNA(VLOOKUP(Optimalisatie!AG16,Database_Asfalt_Verwerkingsset[#All],42,FALSE)*(Optimalisatie!J16/VLOOKUP(Optimalisatie!AG16,Database_Asfalt_Verwerkingsset[#All],42,FALSE)),Baseline_Backlog!N329),0))</f>
        <v>0</v>
      </c>
      <c r="O329" s="91">
        <f>(IF(Optimalisatie!C16="Bestaande Situatie",_xlfn.IFNA(VLOOKUP(Inschrijf_Hernieuwbare_Energie_Totaal[[#This Row],[Product]]&amp;", "&amp;Inschrijf_MKI_Totaal[[#Headers],[C4]],Database_Productkaarten[#All],48,FALSE)*Optimalisatie!J16,Baseline_Backlog!O329),0))</f>
        <v>13.020000000000001</v>
      </c>
      <c r="P329" s="91">
        <f>(IF(Optimalisatie!C16="Bestaande Situatie",_xlfn.IFNA(IF(Optimalisatie!E16="Categorie_1_LCA_Producten",VLOOKUP(Inschrijf_Hernieuwbare_Energie_Totaal[[#This Row],[Product]],Categorie_1_Producten[#All],24,FALSE)*(Optimalisatie!J16),VLOOKUP(Inschrijf_Hernieuwbare_Energie_Totaal[[#This Row],[Product]]&amp;", "&amp;Inschrijf_Hernieuwbare_Energie_Totaal[[#Headers],[D1]],Database_Productkaarten[#All],48,FALSE)*Optimalisatie!J16),Baseline_Backlog!P329),0))</f>
        <v>0</v>
      </c>
      <c r="Q329" s="91">
        <f>(IF(Optimalisatie!C16="Bestaande Situatie",_xlfn.IFNA(IF(Optimalisatie!E16="Categorie_1_LCA_Producten",VLOOKUP(Inschrijf_Hernieuwbare_Energie_Totaal[[#This Row],[Product]],Categorie_1_Producten[#All],25,FALSE)*(Optimalisatie!J16),VLOOKUP(Inschrijf_Hernieuwbare_Energie_Totaal[[#This Row],[Product]]&amp;", "&amp;Inschrijf_Hernieuwbare_Energie_Totaal[[#Headers],[D2]],Database_Productkaarten[#All],48,FALSE)*Optimalisatie!J16),Baseline_Backlog!Q329),0))</f>
        <v>0</v>
      </c>
      <c r="R329" s="91">
        <f>(IF(Optimalisatie!C16="Bestaande Situatie",_xlfn.IFNA(IF(Optimalisatie!E16="Categorie_1_LCA_Producten",VLOOKUP(Inschrijf_Hernieuwbare_Energie_Totaal[[#This Row],[Product]],Categorie_1_Producten[#All],29,FALSE)*(Optimalisatie!J16),VLOOKUP(Inschrijf_Hernieuwbare_Energie_Totaal[[#This Row],[Product]]&amp;", "&amp;Inschrijf_Hernieuwbare_Energie_Totaal[[#Headers],[D]],Database_Productkaarten[#All],48,FALSE)*Optimalisatie!J16),Baseline_Backlog!S329),0))</f>
        <v>34.650000000000006</v>
      </c>
      <c r="S329" s="91">
        <f>SUM(Inschrijf_Hernieuwbare_Energie_Totaal[[#This Row],[A1-A3]:[C4]])+Inschrijf_Hernieuwbare_Energie_Totaal[[#This Row],[D]]</f>
        <v>521.65138777499999</v>
      </c>
    </row>
    <row r="330" spans="2:19">
      <c r="B330" s="208" t="str">
        <f>Optimalisatie!B17</f>
        <v>121310 - Verwijderen en afvoeren kolken, incl aansluitingen</v>
      </c>
      <c r="C330" s="1" t="str">
        <f>Optimalisatie!F17</f>
        <v>Kolk, Staal &amp; Beton</v>
      </c>
      <c r="D330" s="91">
        <f>(IF(Optimalisatie!C17="Nieuwe Situatie",_xlfn.IFNA(IF(Optimalisatie!E17="Categorie_1_LCA_Producten",VLOOKUP(Inschrijf_Hernieuwbare_Energie_Totaal[[#This Row],[Product]],Categorie_1_Producten[#All],20,FALSE)*(Optimalisatie!J17),VLOOKUP(Inschrijf_Hernieuwbare_Energie_Totaal[[#This Row],[Product]]&amp;", "&amp;Inschrijf_Hernieuwbare_Energie_Totaal[[#Headers],[A1]],Database_Productkaarten[#All],48,FALSE)*Optimalisatie!J17),Baseline_Backlog!D330),0))</f>
        <v>0</v>
      </c>
      <c r="E330" s="91">
        <f>(IF(Optimalisatie!C17="Nieuwe Situatie",_xlfn.IFNA(IF(Optimalisatie!E17="Categorie_1_LCA_Producten",VLOOKUP(Inschrijf_Hernieuwbare_Energie_Totaal[[#This Row],[Product]],Categorie_1_Producten[#All],21,FALSE)*(Optimalisatie!J17),VLOOKUP(Inschrijf_Hernieuwbare_Energie_Totaal[[#This Row],[Product]]&amp;", "&amp;Inschrijf_Hernieuwbare_Energie_Totaal[[#Headers],[A2]],Database_Productkaarten[#All],48,FALSE)*Optimalisatie!J17),Baseline_Backlog!E330),0))</f>
        <v>0</v>
      </c>
      <c r="F330" s="91">
        <f>(IF(Optimalisatie!C17="Nieuwe Situatie",_xlfn.IFNA(IF(Optimalisatie!E17="Categorie_1_LCA_Producten",VLOOKUP(Inschrijf_Hernieuwbare_Energie_Totaal[[#This Row],[Product]],Categorie_1_Producten[#All],22,FALSE)*(Optimalisatie!J17),VLOOKUP(Inschrijf_Hernieuwbare_Energie_Totaal[[#This Row],[Product]]&amp;", "&amp;Inschrijf_Hernieuwbare_Energie_Totaal[[#Headers],[A3]],Database_Productkaarten[#All],48,FALSE)*Optimalisatie!J17),Baseline_Backlog!F330),0))</f>
        <v>0</v>
      </c>
      <c r="G330" s="91">
        <f>(IF(Optimalisatie!C17="Nieuwe Situatie",_xlfn.IFNA(IF(Optimalisatie!E17="Categorie_1_LCA_Producten",VLOOKUP(Inschrijf_Hernieuwbare_Energie_Totaal[[#This Row],[Product]],Categorie_1_Producten[#All],27,FALSE)*(Optimalisatie!J17),VLOOKUP(Inschrijf_Hernieuwbare_Energie_Totaal[[#This Row],[Product]]&amp;", "&amp;Inschrijf_Hernieuwbare_Energie_Totaal[[#Headers],[A1-A3]],Database_Productkaarten[#All],48,FALSE)*Optimalisatie!J17),Baseline_Backlog!G330),0))</f>
        <v>0</v>
      </c>
      <c r="H330" s="91">
        <f>(IF(Optimalisatie!C17="Nieuwe Situatie",_xlfn.IFNA(VLOOKUP(Optimalisatie!V17,Database_Transport[#All],42,FALSE)*(Optimalisatie!R17*Optimalisatie!U17),Baseline_Backlog!H330),0))</f>
        <v>0</v>
      </c>
      <c r="I330" s="91">
        <f>IF(Optimalisatie!C17="Nieuwe situatie",IF(_xlfn.IFNA((VLOOKUP(Optimalisatie!W17,Database_Asfalt_Aanlegset[#All],42,FALSE)*Optimalisatie!J17),0)+_xlfn.IFNA(VLOOKUP(Optimalisatie!X17,Database_Brandstoffen[#All],42,FALSE)*((Optimalisatie!J17/Optimalisatie!Z17)*Optimalisatie!Y17),0)&gt;0,_xlfn.IFNA((VLOOKUP(Optimalisatie!W17,Database_Asfalt_Aanlegset[#All],42,FALSE)*Optimalisatie!J17),0)+_xlfn.IFNA(VLOOKUP(Optimalisatie!X17,Database_Brandstoffen[#All],42,FALSE)*((Optimalisatie!J17/Optimalisatie!Z17)*Optimalisatie!Y17),0),(_xlfn.IFNA(VLOOKUP(Inschrijf_Hernieuwbare_Energie_Totaal[[#This Row],[Product]]&amp;", "&amp;Inschrijf_MKI_Totaal[[#Headers],[A5]],Database_Productkaarten[#All],48,FALSE),0)*Optimalisatie!J17)),0)</f>
        <v>0</v>
      </c>
      <c r="J330" s="91">
        <f>(IF(Optimalisatie!C17="Nieuwe Situatie",_xlfn.IFNA(IF(Optimalisatie!E17="Categorie_1_LCA_Producten",VLOOKUP(Inschrijf_Hernieuwbare_Energie_Totaal[[#This Row],[Product]],Categorie_1_Producten[#All],28,FALSE)*(Optimalisatie!R17),VLOOKUP(Inschrijf_Hernieuwbare_Energie_Totaal[[#This Row],[Product]]&amp;", "&amp;Inschrijf_Hernieuwbare_Energie_Totaal[[#Headers],[B1]],Database_Productkaarten[#All],47,FALSE)*Optimalisatie!J17),Baseline_Backlog!J330),0))</f>
        <v>0</v>
      </c>
      <c r="K330" s="91">
        <f>(IF(Optimalisatie!C17="Nieuwe Situatie",_xlfn.IFNA(SUM(Inschrijf_Hernieuwbare_Energie_Totaal[[#This Row],[A1]:[B1]],Inschrijf_Hernieuwbare_Energie_Totaal[[#This Row],[C1]:[D2]])*Optimalisatie!T17,0),0))</f>
        <v>0</v>
      </c>
      <c r="L330" s="91">
        <f>IF(Optimalisatie!C17="Bestaande situatie",IF(_xlfn.IFNA((VLOOKUP(Optimalisatie!AA17,Database_Asfalt_Verwijderset[#All],42,FALSE)*Optimalisatie!J17),0)+_xlfn.IFNA(VLOOKUP(Optimalisatie!AB17,Database_Brandstoffen[#All],42,FALSE)*((Optimalisatie!J17/Optimalisatie!AD17)*Optimalisatie!AC17),0)&gt;0,_xlfn.IFNA((VLOOKUP(Optimalisatie!AA17,Database_Asfalt_Verwijderset[#All],42,FALSE)*Optimalisatie!J17),0)+_xlfn.IFNA(VLOOKUP(Optimalisatie!AB17,Database_Brandstoffen[#All],42,FALSE)*((Optimalisatie!J17/Optimalisatie!AD17)*Optimalisatie!AC17),0),(_xlfn.IFNA(VLOOKUP(Inschrijf_Hernieuwbare_Energie_Totaal[[#This Row],[Product]]&amp;", "&amp;Inschrijf_MKI_Totaal[[#Headers],[C1]],Database_Productkaarten[#All],48,FALSE),0)*Optimalisatie!J17)),0)</f>
        <v>920.39167307632306</v>
      </c>
      <c r="M330" s="91">
        <f>(IF(Optimalisatie!C17="Bestaande Situatie",_xlfn.IFNA(VLOOKUP(Optimalisatie!AF17,Database_Transport[#All],42,FALSE)*(Optimalisatie!R17*Optimalisatie!AE17),Baseline_Backlog!M330),0))</f>
        <v>11.656894775275202</v>
      </c>
      <c r="N330" s="91">
        <f>(IF(Optimalisatie!C17="Bestaande Situatie",_xlfn.IFNA(VLOOKUP(Optimalisatie!AG17,Database_Asfalt_Verwerkingsset[#All],42,FALSE)*(Optimalisatie!J17/VLOOKUP(Optimalisatie!AG17,Database_Asfalt_Verwerkingsset[#All],42,FALSE)),Baseline_Backlog!N330),0))</f>
        <v>57.410068519999996</v>
      </c>
      <c r="O330" s="91">
        <f>(IF(Optimalisatie!C17="Bestaande Situatie",_xlfn.IFNA(VLOOKUP(Inschrijf_Hernieuwbare_Energie_Totaal[[#This Row],[Product]]&amp;", "&amp;Inschrijf_MKI_Totaal[[#Headers],[C4]],Database_Productkaarten[#All],48,FALSE)*Optimalisatie!J17,Baseline_Backlog!O330),0))</f>
        <v>2.4070530080000001</v>
      </c>
      <c r="P330" s="91">
        <f>(IF(Optimalisatie!C17="Bestaande Situatie",_xlfn.IFNA(IF(Optimalisatie!E17="Categorie_1_LCA_Producten",VLOOKUP(Inschrijf_Hernieuwbare_Energie_Totaal[[#This Row],[Product]],Categorie_1_Producten[#All],24,FALSE)*(Optimalisatie!J17),VLOOKUP(Inschrijf_Hernieuwbare_Energie_Totaal[[#This Row],[Product]]&amp;", "&amp;Inschrijf_Hernieuwbare_Energie_Totaal[[#Headers],[D1]],Database_Productkaarten[#All],48,FALSE)*Optimalisatie!J17),Baseline_Backlog!P330),0))</f>
        <v>0</v>
      </c>
      <c r="Q330" s="91">
        <f>(IF(Optimalisatie!C17="Bestaande Situatie",_xlfn.IFNA(IF(Optimalisatie!E17="Categorie_1_LCA_Producten",VLOOKUP(Inschrijf_Hernieuwbare_Energie_Totaal[[#This Row],[Product]],Categorie_1_Producten[#All],25,FALSE)*(Optimalisatie!J17),VLOOKUP(Inschrijf_Hernieuwbare_Energie_Totaal[[#This Row],[Product]]&amp;", "&amp;Inschrijf_Hernieuwbare_Energie_Totaal[[#Headers],[D2]],Database_Productkaarten[#All],48,FALSE)*Optimalisatie!J17),Baseline_Backlog!Q330),0))</f>
        <v>0</v>
      </c>
      <c r="R330" s="91">
        <f>(IF(Optimalisatie!C17="Bestaande Situatie",_xlfn.IFNA(IF(Optimalisatie!E17="Categorie_1_LCA_Producten",VLOOKUP(Inschrijf_Hernieuwbare_Energie_Totaal[[#This Row],[Product]],Categorie_1_Producten[#All],29,FALSE)*(Optimalisatie!J17),VLOOKUP(Inschrijf_Hernieuwbare_Energie_Totaal[[#This Row],[Product]]&amp;", "&amp;Inschrijf_Hernieuwbare_Energie_Totaal[[#Headers],[D]],Database_Productkaarten[#All],48,FALSE)*Optimalisatie!J17),Baseline_Backlog!S330),0))</f>
        <v>-1692.9861996000002</v>
      </c>
      <c r="S330" s="91">
        <f>SUM(Inschrijf_Hernieuwbare_Energie_Totaal[[#This Row],[A1-A3]:[C4]])+Inschrijf_Hernieuwbare_Energie_Totaal[[#This Row],[D]]</f>
        <v>-701.12051022040191</v>
      </c>
    </row>
    <row r="331" spans="2:19">
      <c r="B331" s="208" t="str">
        <f>Optimalisatie!B18</f>
        <v>210010 - Grond ontgraven uit cunet wegen en parkeervakken 0,25 m</v>
      </c>
      <c r="C331" s="1" t="str">
        <f>Optimalisatie!F18</f>
        <v>Ophoogmateriaal (Grond)</v>
      </c>
      <c r="D331" s="91">
        <f>(IF(Optimalisatie!C18="Nieuwe Situatie",_xlfn.IFNA(IF(Optimalisatie!E18="Categorie_1_LCA_Producten",VLOOKUP(Inschrijf_Hernieuwbare_Energie_Totaal[[#This Row],[Product]],Categorie_1_Producten[#All],20,FALSE)*(Optimalisatie!J18),VLOOKUP(Inschrijf_Hernieuwbare_Energie_Totaal[[#This Row],[Product]]&amp;", "&amp;Inschrijf_Hernieuwbare_Energie_Totaal[[#Headers],[A1]],Database_Productkaarten[#All],48,FALSE)*Optimalisatie!J18),Baseline_Backlog!D331),0))</f>
        <v>0</v>
      </c>
      <c r="E331" s="91">
        <f>(IF(Optimalisatie!C18="Nieuwe Situatie",_xlfn.IFNA(IF(Optimalisatie!E18="Categorie_1_LCA_Producten",VLOOKUP(Inschrijf_Hernieuwbare_Energie_Totaal[[#This Row],[Product]],Categorie_1_Producten[#All],21,FALSE)*(Optimalisatie!J18),VLOOKUP(Inschrijf_Hernieuwbare_Energie_Totaal[[#This Row],[Product]]&amp;", "&amp;Inschrijf_Hernieuwbare_Energie_Totaal[[#Headers],[A2]],Database_Productkaarten[#All],48,FALSE)*Optimalisatie!J18),Baseline_Backlog!E331),0))</f>
        <v>0</v>
      </c>
      <c r="F331" s="91">
        <f>(IF(Optimalisatie!C18="Nieuwe Situatie",_xlfn.IFNA(IF(Optimalisatie!E18="Categorie_1_LCA_Producten",VLOOKUP(Inschrijf_Hernieuwbare_Energie_Totaal[[#This Row],[Product]],Categorie_1_Producten[#All],22,FALSE)*(Optimalisatie!J18),VLOOKUP(Inschrijf_Hernieuwbare_Energie_Totaal[[#This Row],[Product]]&amp;", "&amp;Inschrijf_Hernieuwbare_Energie_Totaal[[#Headers],[A3]],Database_Productkaarten[#All],48,FALSE)*Optimalisatie!J18),Baseline_Backlog!F331),0))</f>
        <v>0</v>
      </c>
      <c r="G331" s="91">
        <f>(IF(Optimalisatie!C18="Nieuwe Situatie",_xlfn.IFNA(IF(Optimalisatie!E18="Categorie_1_LCA_Producten",VLOOKUP(Inschrijf_Hernieuwbare_Energie_Totaal[[#This Row],[Product]],Categorie_1_Producten[#All],27,FALSE)*(Optimalisatie!J18),VLOOKUP(Inschrijf_Hernieuwbare_Energie_Totaal[[#This Row],[Product]]&amp;", "&amp;Inschrijf_Hernieuwbare_Energie_Totaal[[#Headers],[A1-A3]],Database_Productkaarten[#All],48,FALSE)*Optimalisatie!J18),Baseline_Backlog!G331),0))</f>
        <v>0</v>
      </c>
      <c r="H331" s="91">
        <f>(IF(Optimalisatie!C18="Nieuwe Situatie",_xlfn.IFNA(VLOOKUP(Optimalisatie!V18,Database_Transport[#All],42,FALSE)*(Optimalisatie!R18*Optimalisatie!U18),Baseline_Backlog!H331),0))</f>
        <v>0</v>
      </c>
      <c r="I331" s="91">
        <f>IF(Optimalisatie!C18="Nieuwe situatie",IF(_xlfn.IFNA((VLOOKUP(Optimalisatie!W18,Database_Asfalt_Aanlegset[#All],42,FALSE)*Optimalisatie!J18),0)+_xlfn.IFNA(VLOOKUP(Optimalisatie!X18,Database_Brandstoffen[#All],42,FALSE)*((Optimalisatie!J18/Optimalisatie!Z18)*Optimalisatie!Y18),0)&gt;0,_xlfn.IFNA((VLOOKUP(Optimalisatie!W18,Database_Asfalt_Aanlegset[#All],42,FALSE)*Optimalisatie!J18),0)+_xlfn.IFNA(VLOOKUP(Optimalisatie!X18,Database_Brandstoffen[#All],42,FALSE)*((Optimalisatie!J18/Optimalisatie!Z18)*Optimalisatie!Y18),0),(_xlfn.IFNA(VLOOKUP(Inschrijf_Hernieuwbare_Energie_Totaal[[#This Row],[Product]]&amp;", "&amp;Inschrijf_MKI_Totaal[[#Headers],[A5]],Database_Productkaarten[#All],48,FALSE),0)*Optimalisatie!J18)),0)</f>
        <v>0</v>
      </c>
      <c r="J331" s="91">
        <f>(IF(Optimalisatie!C18="Nieuwe Situatie",_xlfn.IFNA(IF(Optimalisatie!E18="Categorie_1_LCA_Producten",VLOOKUP(Inschrijf_Hernieuwbare_Energie_Totaal[[#This Row],[Product]],Categorie_1_Producten[#All],28,FALSE)*(Optimalisatie!R18),VLOOKUP(Inschrijf_Hernieuwbare_Energie_Totaal[[#This Row],[Product]]&amp;", "&amp;Inschrijf_Hernieuwbare_Energie_Totaal[[#Headers],[B1]],Database_Productkaarten[#All],47,FALSE)*Optimalisatie!J18),Baseline_Backlog!J331),0))</f>
        <v>0</v>
      </c>
      <c r="K331" s="91">
        <f>(IF(Optimalisatie!C18="Nieuwe Situatie",_xlfn.IFNA(SUM(Inschrijf_Hernieuwbare_Energie_Totaal[[#This Row],[A1]:[B1]],Inschrijf_Hernieuwbare_Energie_Totaal[[#This Row],[C1]:[D2]])*Optimalisatie!T18,0),0))</f>
        <v>0</v>
      </c>
      <c r="L331" s="91">
        <f>IF(Optimalisatie!C18="Bestaande situatie",IF(_xlfn.IFNA((VLOOKUP(Optimalisatie!AA18,Database_Asfalt_Verwijderset[#All],42,FALSE)*Optimalisatie!J18),0)+_xlfn.IFNA(VLOOKUP(Optimalisatie!AB18,Database_Brandstoffen[#All],42,FALSE)*((Optimalisatie!J18/Optimalisatie!AD18)*Optimalisatie!AC18),0)&gt;0,_xlfn.IFNA((VLOOKUP(Optimalisatie!AA18,Database_Asfalt_Verwijderset[#All],42,FALSE)*Optimalisatie!J18),0)+_xlfn.IFNA(VLOOKUP(Optimalisatie!AB18,Database_Brandstoffen[#All],42,FALSE)*((Optimalisatie!J18/Optimalisatie!AD18)*Optimalisatie!AC18),0),(_xlfn.IFNA(VLOOKUP(Inschrijf_Hernieuwbare_Energie_Totaal[[#This Row],[Product]]&amp;", "&amp;Inschrijf_MKI_Totaal[[#Headers],[C1]],Database_Productkaarten[#All],48,FALSE),0)*Optimalisatie!J18)),0)</f>
        <v>647.91921234359995</v>
      </c>
      <c r="M331" s="91">
        <f>(IF(Optimalisatie!C18="Bestaande Situatie",_xlfn.IFNA(VLOOKUP(Optimalisatie!AF18,Database_Transport[#All],42,FALSE)*(Optimalisatie!R18*Optimalisatie!AE18),Baseline_Backlog!M331),0))</f>
        <v>2320.7854195499999</v>
      </c>
      <c r="N331" s="91">
        <f>(IF(Optimalisatie!C18="Bestaande Situatie",_xlfn.IFNA(VLOOKUP(Optimalisatie!AG18,Database_Asfalt_Verwerkingsset[#All],42,FALSE)*(Optimalisatie!J18/VLOOKUP(Optimalisatie!AG18,Database_Asfalt_Verwerkingsset[#All],42,FALSE)),Baseline_Backlog!N331),0))</f>
        <v>0</v>
      </c>
      <c r="O331" s="91">
        <f>(IF(Optimalisatie!C18="Bestaande Situatie",_xlfn.IFNA(VLOOKUP(Inschrijf_Hernieuwbare_Energie_Totaal[[#This Row],[Product]]&amp;", "&amp;Inschrijf_MKI_Totaal[[#Headers],[C4]],Database_Productkaarten[#All],48,FALSE)*Optimalisatie!J18,Baseline_Backlog!O331),0))</f>
        <v>108.432</v>
      </c>
      <c r="P331" s="91">
        <f>(IF(Optimalisatie!C18="Bestaande Situatie",_xlfn.IFNA(IF(Optimalisatie!E18="Categorie_1_LCA_Producten",VLOOKUP(Inschrijf_Hernieuwbare_Energie_Totaal[[#This Row],[Product]],Categorie_1_Producten[#All],24,FALSE)*(Optimalisatie!J18),VLOOKUP(Inschrijf_Hernieuwbare_Energie_Totaal[[#This Row],[Product]]&amp;", "&amp;Inschrijf_Hernieuwbare_Energie_Totaal[[#Headers],[D1]],Database_Productkaarten[#All],48,FALSE)*Optimalisatie!J18),Baseline_Backlog!P331),0))</f>
        <v>0</v>
      </c>
      <c r="Q331" s="91">
        <f>(IF(Optimalisatie!C18="Bestaande Situatie",_xlfn.IFNA(IF(Optimalisatie!E18="Categorie_1_LCA_Producten",VLOOKUP(Inschrijf_Hernieuwbare_Energie_Totaal[[#This Row],[Product]],Categorie_1_Producten[#All],25,FALSE)*(Optimalisatie!J18),VLOOKUP(Inschrijf_Hernieuwbare_Energie_Totaal[[#This Row],[Product]]&amp;", "&amp;Inschrijf_Hernieuwbare_Energie_Totaal[[#Headers],[D2]],Database_Productkaarten[#All],48,FALSE)*Optimalisatie!J18),Baseline_Backlog!Q331),0))</f>
        <v>0</v>
      </c>
      <c r="R331" s="91">
        <f>(IF(Optimalisatie!C18="Bestaande Situatie",_xlfn.IFNA(IF(Optimalisatie!E18="Categorie_1_LCA_Producten",VLOOKUP(Inschrijf_Hernieuwbare_Energie_Totaal[[#This Row],[Product]],Categorie_1_Producten[#All],29,FALSE)*(Optimalisatie!J18),VLOOKUP(Inschrijf_Hernieuwbare_Energie_Totaal[[#This Row],[Product]]&amp;", "&amp;Inschrijf_Hernieuwbare_Energie_Totaal[[#Headers],[D]],Database_Productkaarten[#All],48,FALSE)*Optimalisatie!J18),Baseline_Backlog!S331),0))</f>
        <v>0</v>
      </c>
      <c r="S331" s="91">
        <f>SUM(Inschrijf_Hernieuwbare_Energie_Totaal[[#This Row],[A1-A3]:[C4]])+Inschrijf_Hernieuwbare_Energie_Totaal[[#This Row],[D]]</f>
        <v>3077.1366318935998</v>
      </c>
    </row>
    <row r="332" spans="2:19">
      <c r="B332" s="208" t="str">
        <f>Optimalisatie!B19</f>
        <v>210020 - Grond ontgraven uit sleuf riolering (gerekend met 11,5m3/m1 riool)</v>
      </c>
      <c r="C332" s="1" t="str">
        <f>Optimalisatie!F19</f>
        <v>Ophoogmateriaal (Grond)</v>
      </c>
      <c r="D332" s="91">
        <f>(IF(Optimalisatie!C19="Nieuwe Situatie",_xlfn.IFNA(IF(Optimalisatie!E19="Categorie_1_LCA_Producten",VLOOKUP(Inschrijf_Hernieuwbare_Energie_Totaal[[#This Row],[Product]],Categorie_1_Producten[#All],20,FALSE)*(Optimalisatie!J19),VLOOKUP(Inschrijf_Hernieuwbare_Energie_Totaal[[#This Row],[Product]]&amp;", "&amp;Inschrijf_Hernieuwbare_Energie_Totaal[[#Headers],[A1]],Database_Productkaarten[#All],48,FALSE)*Optimalisatie!J19),Baseline_Backlog!D332),0))</f>
        <v>0</v>
      </c>
      <c r="E332" s="91">
        <f>(IF(Optimalisatie!C19="Nieuwe Situatie",_xlfn.IFNA(IF(Optimalisatie!E19="Categorie_1_LCA_Producten",VLOOKUP(Inschrijf_Hernieuwbare_Energie_Totaal[[#This Row],[Product]],Categorie_1_Producten[#All],21,FALSE)*(Optimalisatie!J19),VLOOKUP(Inschrijf_Hernieuwbare_Energie_Totaal[[#This Row],[Product]]&amp;", "&amp;Inschrijf_Hernieuwbare_Energie_Totaal[[#Headers],[A2]],Database_Productkaarten[#All],48,FALSE)*Optimalisatie!J19),Baseline_Backlog!E332),0))</f>
        <v>0</v>
      </c>
      <c r="F332" s="91">
        <f>(IF(Optimalisatie!C19="Nieuwe Situatie",_xlfn.IFNA(IF(Optimalisatie!E19="Categorie_1_LCA_Producten",VLOOKUP(Inschrijf_Hernieuwbare_Energie_Totaal[[#This Row],[Product]],Categorie_1_Producten[#All],22,FALSE)*(Optimalisatie!J19),VLOOKUP(Inschrijf_Hernieuwbare_Energie_Totaal[[#This Row],[Product]]&amp;", "&amp;Inschrijf_Hernieuwbare_Energie_Totaal[[#Headers],[A3]],Database_Productkaarten[#All],48,FALSE)*Optimalisatie!J19),Baseline_Backlog!F332),0))</f>
        <v>0</v>
      </c>
      <c r="G332" s="91">
        <f>(IF(Optimalisatie!C19="Nieuwe Situatie",_xlfn.IFNA(IF(Optimalisatie!E19="Categorie_1_LCA_Producten",VLOOKUP(Inschrijf_Hernieuwbare_Energie_Totaal[[#This Row],[Product]],Categorie_1_Producten[#All],27,FALSE)*(Optimalisatie!J19),VLOOKUP(Inschrijf_Hernieuwbare_Energie_Totaal[[#This Row],[Product]]&amp;", "&amp;Inschrijf_Hernieuwbare_Energie_Totaal[[#Headers],[A1-A3]],Database_Productkaarten[#All],48,FALSE)*Optimalisatie!J19),Baseline_Backlog!G332),0))</f>
        <v>0</v>
      </c>
      <c r="H332" s="91">
        <f>(IF(Optimalisatie!C19="Nieuwe Situatie",_xlfn.IFNA(VLOOKUP(Optimalisatie!V19,Database_Transport[#All],42,FALSE)*(Optimalisatie!R19*Optimalisatie!U19),Baseline_Backlog!H332),0))</f>
        <v>0</v>
      </c>
      <c r="I332" s="91">
        <f>IF(Optimalisatie!C19="Nieuwe situatie",IF(_xlfn.IFNA((VLOOKUP(Optimalisatie!W19,Database_Asfalt_Aanlegset[#All],42,FALSE)*Optimalisatie!J19),0)+_xlfn.IFNA(VLOOKUP(Optimalisatie!X19,Database_Brandstoffen[#All],42,FALSE)*((Optimalisatie!J19/Optimalisatie!Z19)*Optimalisatie!Y19),0)&gt;0,_xlfn.IFNA((VLOOKUP(Optimalisatie!W19,Database_Asfalt_Aanlegset[#All],42,FALSE)*Optimalisatie!J19),0)+_xlfn.IFNA(VLOOKUP(Optimalisatie!X19,Database_Brandstoffen[#All],42,FALSE)*((Optimalisatie!J19/Optimalisatie!Z19)*Optimalisatie!Y19),0),(_xlfn.IFNA(VLOOKUP(Inschrijf_Hernieuwbare_Energie_Totaal[[#This Row],[Product]]&amp;", "&amp;Inschrijf_MKI_Totaal[[#Headers],[A5]],Database_Productkaarten[#All],48,FALSE),0)*Optimalisatie!J19)),0)</f>
        <v>0</v>
      </c>
      <c r="J332" s="91">
        <f>(IF(Optimalisatie!C19="Nieuwe Situatie",_xlfn.IFNA(IF(Optimalisatie!E19="Categorie_1_LCA_Producten",VLOOKUP(Inschrijf_Hernieuwbare_Energie_Totaal[[#This Row],[Product]],Categorie_1_Producten[#All],28,FALSE)*(Optimalisatie!R19),VLOOKUP(Inschrijf_Hernieuwbare_Energie_Totaal[[#This Row],[Product]]&amp;", "&amp;Inschrijf_Hernieuwbare_Energie_Totaal[[#Headers],[B1]],Database_Productkaarten[#All],47,FALSE)*Optimalisatie!J19),Baseline_Backlog!J332),0))</f>
        <v>0</v>
      </c>
      <c r="K332" s="91">
        <f>(IF(Optimalisatie!C19="Nieuwe Situatie",_xlfn.IFNA(SUM(Inschrijf_Hernieuwbare_Energie_Totaal[[#This Row],[A1]:[B1]],Inschrijf_Hernieuwbare_Energie_Totaal[[#This Row],[C1]:[D2]])*Optimalisatie!T19,0),0))</f>
        <v>0</v>
      </c>
      <c r="L332" s="91">
        <f>IF(Optimalisatie!C19="Bestaande situatie",IF(_xlfn.IFNA((VLOOKUP(Optimalisatie!AA19,Database_Asfalt_Verwijderset[#All],42,FALSE)*Optimalisatie!J19),0)+_xlfn.IFNA(VLOOKUP(Optimalisatie!AB19,Database_Brandstoffen[#All],42,FALSE)*((Optimalisatie!J19/Optimalisatie!AD19)*Optimalisatie!AC19),0)&gt;0,_xlfn.IFNA((VLOOKUP(Optimalisatie!AA19,Database_Asfalt_Verwijderset[#All],42,FALSE)*Optimalisatie!J19),0)+_xlfn.IFNA(VLOOKUP(Optimalisatie!AB19,Database_Brandstoffen[#All],42,FALSE)*((Optimalisatie!J19/Optimalisatie!AD19)*Optimalisatie!AC19),0),(_xlfn.IFNA(VLOOKUP(Inschrijf_Hernieuwbare_Energie_Totaal[[#This Row],[Product]]&amp;", "&amp;Inschrijf_MKI_Totaal[[#Headers],[C1]],Database_Productkaarten[#All],48,FALSE),0)*Optimalisatie!J19)),0)</f>
        <v>2439.3771142019996</v>
      </c>
      <c r="M332" s="91">
        <f>(IF(Optimalisatie!C19="Bestaande Situatie",_xlfn.IFNA(VLOOKUP(Optimalisatie!AF19,Database_Transport[#All],42,FALSE)*(Optimalisatie!R19*Optimalisatie!AE19),Baseline_Backlog!M332),0))</f>
        <v>2184.4046030625</v>
      </c>
      <c r="N332" s="91">
        <f>(IF(Optimalisatie!C19="Bestaande Situatie",_xlfn.IFNA(VLOOKUP(Optimalisatie!AG19,Database_Asfalt_Verwerkingsset[#All],42,FALSE)*(Optimalisatie!J19/VLOOKUP(Optimalisatie!AG19,Database_Asfalt_Verwerkingsset[#All],42,FALSE)),Baseline_Backlog!N332),0))</f>
        <v>0</v>
      </c>
      <c r="O332" s="91">
        <f>(IF(Optimalisatie!C19="Bestaande Situatie",_xlfn.IFNA(VLOOKUP(Inschrijf_Hernieuwbare_Energie_Totaal[[#This Row],[Product]]&amp;", "&amp;Inschrijf_MKI_Totaal[[#Headers],[C4]],Database_Productkaarten[#All],48,FALSE)*Optimalisatie!J19,Baseline_Backlog!O332),0))</f>
        <v>408.24</v>
      </c>
      <c r="P332" s="91">
        <f>(IF(Optimalisatie!C19="Bestaande Situatie",_xlfn.IFNA(IF(Optimalisatie!E19="Categorie_1_LCA_Producten",VLOOKUP(Inschrijf_Hernieuwbare_Energie_Totaal[[#This Row],[Product]],Categorie_1_Producten[#All],24,FALSE)*(Optimalisatie!J19),VLOOKUP(Inschrijf_Hernieuwbare_Energie_Totaal[[#This Row],[Product]]&amp;", "&amp;Inschrijf_Hernieuwbare_Energie_Totaal[[#Headers],[D1]],Database_Productkaarten[#All],48,FALSE)*Optimalisatie!J19),Baseline_Backlog!P332),0))</f>
        <v>0</v>
      </c>
      <c r="Q332" s="91">
        <f>(IF(Optimalisatie!C19="Bestaande Situatie",_xlfn.IFNA(IF(Optimalisatie!E19="Categorie_1_LCA_Producten",VLOOKUP(Inschrijf_Hernieuwbare_Energie_Totaal[[#This Row],[Product]],Categorie_1_Producten[#All],25,FALSE)*(Optimalisatie!J19),VLOOKUP(Inschrijf_Hernieuwbare_Energie_Totaal[[#This Row],[Product]]&amp;", "&amp;Inschrijf_Hernieuwbare_Energie_Totaal[[#Headers],[D2]],Database_Productkaarten[#All],48,FALSE)*Optimalisatie!J19),Baseline_Backlog!Q332),0))</f>
        <v>0</v>
      </c>
      <c r="R332" s="91">
        <f>(IF(Optimalisatie!C19="Bestaande Situatie",_xlfn.IFNA(IF(Optimalisatie!E19="Categorie_1_LCA_Producten",VLOOKUP(Inschrijf_Hernieuwbare_Energie_Totaal[[#This Row],[Product]],Categorie_1_Producten[#All],29,FALSE)*(Optimalisatie!J19),VLOOKUP(Inschrijf_Hernieuwbare_Energie_Totaal[[#This Row],[Product]]&amp;", "&amp;Inschrijf_Hernieuwbare_Energie_Totaal[[#Headers],[D]],Database_Productkaarten[#All],48,FALSE)*Optimalisatie!J19),Baseline_Backlog!S332),0))</f>
        <v>0</v>
      </c>
      <c r="S332" s="91">
        <f>SUM(Inschrijf_Hernieuwbare_Energie_Totaal[[#This Row],[A1-A3]:[C4]])+Inschrijf_Hernieuwbare_Energie_Totaal[[#This Row],[D]]</f>
        <v>5032.0217172644989</v>
      </c>
    </row>
    <row r="333" spans="2:19">
      <c r="B333" s="208" t="str">
        <f>Optimalisatie!B20</f>
        <v>210030 - Grond ontgraven uit plantvak</v>
      </c>
      <c r="C333" s="1" t="str">
        <f>Optimalisatie!F20</f>
        <v>Ophoogmateriaal (Grond)</v>
      </c>
      <c r="D333" s="91">
        <f>(IF(Optimalisatie!C20="Nieuwe Situatie",_xlfn.IFNA(IF(Optimalisatie!E20="Categorie_1_LCA_Producten",VLOOKUP(Inschrijf_Hernieuwbare_Energie_Totaal[[#This Row],[Product]],Categorie_1_Producten[#All],20,FALSE)*(Optimalisatie!J20),VLOOKUP(Inschrijf_Hernieuwbare_Energie_Totaal[[#This Row],[Product]]&amp;", "&amp;Inschrijf_Hernieuwbare_Energie_Totaal[[#Headers],[A1]],Database_Productkaarten[#All],48,FALSE)*Optimalisatie!J20),Baseline_Backlog!D333),0))</f>
        <v>0</v>
      </c>
      <c r="E333" s="91">
        <f>(IF(Optimalisatie!C20="Nieuwe Situatie",_xlfn.IFNA(IF(Optimalisatie!E20="Categorie_1_LCA_Producten",VLOOKUP(Inschrijf_Hernieuwbare_Energie_Totaal[[#This Row],[Product]],Categorie_1_Producten[#All],21,FALSE)*(Optimalisatie!J20),VLOOKUP(Inschrijf_Hernieuwbare_Energie_Totaal[[#This Row],[Product]]&amp;", "&amp;Inschrijf_Hernieuwbare_Energie_Totaal[[#Headers],[A2]],Database_Productkaarten[#All],48,FALSE)*Optimalisatie!J20),Baseline_Backlog!E333),0))</f>
        <v>0</v>
      </c>
      <c r="F333" s="91">
        <f>(IF(Optimalisatie!C20="Nieuwe Situatie",_xlfn.IFNA(IF(Optimalisatie!E20="Categorie_1_LCA_Producten",VLOOKUP(Inschrijf_Hernieuwbare_Energie_Totaal[[#This Row],[Product]],Categorie_1_Producten[#All],22,FALSE)*(Optimalisatie!J20),VLOOKUP(Inschrijf_Hernieuwbare_Energie_Totaal[[#This Row],[Product]]&amp;", "&amp;Inschrijf_Hernieuwbare_Energie_Totaal[[#Headers],[A3]],Database_Productkaarten[#All],48,FALSE)*Optimalisatie!J20),Baseline_Backlog!F333),0))</f>
        <v>0</v>
      </c>
      <c r="G333" s="91">
        <f>(IF(Optimalisatie!C20="Nieuwe Situatie",_xlfn.IFNA(IF(Optimalisatie!E20="Categorie_1_LCA_Producten",VLOOKUP(Inschrijf_Hernieuwbare_Energie_Totaal[[#This Row],[Product]],Categorie_1_Producten[#All],27,FALSE)*(Optimalisatie!J20),VLOOKUP(Inschrijf_Hernieuwbare_Energie_Totaal[[#This Row],[Product]]&amp;", "&amp;Inschrijf_Hernieuwbare_Energie_Totaal[[#Headers],[A1-A3]],Database_Productkaarten[#All],48,FALSE)*Optimalisatie!J20),Baseline_Backlog!G333),0))</f>
        <v>0</v>
      </c>
      <c r="H333" s="91">
        <f>(IF(Optimalisatie!C20="Nieuwe Situatie",_xlfn.IFNA(VLOOKUP(Optimalisatie!V20,Database_Transport[#All],42,FALSE)*(Optimalisatie!R20*Optimalisatie!U20),Baseline_Backlog!H333),0))</f>
        <v>0</v>
      </c>
      <c r="I333" s="91">
        <f>IF(Optimalisatie!C20="Nieuwe situatie",IF(_xlfn.IFNA((VLOOKUP(Optimalisatie!W20,Database_Asfalt_Aanlegset[#All],42,FALSE)*Optimalisatie!J20),0)+_xlfn.IFNA(VLOOKUP(Optimalisatie!X20,Database_Brandstoffen[#All],42,FALSE)*((Optimalisatie!J20/Optimalisatie!Z20)*Optimalisatie!Y20),0)&gt;0,_xlfn.IFNA((VLOOKUP(Optimalisatie!W20,Database_Asfalt_Aanlegset[#All],42,FALSE)*Optimalisatie!J20),0)+_xlfn.IFNA(VLOOKUP(Optimalisatie!X20,Database_Brandstoffen[#All],42,FALSE)*((Optimalisatie!J20/Optimalisatie!Z20)*Optimalisatie!Y20),0),(_xlfn.IFNA(VLOOKUP(Inschrijf_Hernieuwbare_Energie_Totaal[[#This Row],[Product]]&amp;", "&amp;Inschrijf_MKI_Totaal[[#Headers],[A5]],Database_Productkaarten[#All],48,FALSE),0)*Optimalisatie!J20)),0)</f>
        <v>0</v>
      </c>
      <c r="J333" s="91">
        <f>(IF(Optimalisatie!C20="Nieuwe Situatie",_xlfn.IFNA(IF(Optimalisatie!E20="Categorie_1_LCA_Producten",VLOOKUP(Inschrijf_Hernieuwbare_Energie_Totaal[[#This Row],[Product]],Categorie_1_Producten[#All],28,FALSE)*(Optimalisatie!R20),VLOOKUP(Inschrijf_Hernieuwbare_Energie_Totaal[[#This Row],[Product]]&amp;", "&amp;Inschrijf_Hernieuwbare_Energie_Totaal[[#Headers],[B1]],Database_Productkaarten[#All],47,FALSE)*Optimalisatie!J20),Baseline_Backlog!J333),0))</f>
        <v>0</v>
      </c>
      <c r="K333" s="91">
        <f>(IF(Optimalisatie!C20="Nieuwe Situatie",_xlfn.IFNA(SUM(Inschrijf_Hernieuwbare_Energie_Totaal[[#This Row],[A1]:[B1]],Inschrijf_Hernieuwbare_Energie_Totaal[[#This Row],[C1]:[D2]])*Optimalisatie!T20,0),0))</f>
        <v>0</v>
      </c>
      <c r="L333" s="91">
        <f>IF(Optimalisatie!C20="Bestaande situatie",IF(_xlfn.IFNA((VLOOKUP(Optimalisatie!AA20,Database_Asfalt_Verwijderset[#All],42,FALSE)*Optimalisatie!J20),0)+_xlfn.IFNA(VLOOKUP(Optimalisatie!AB20,Database_Brandstoffen[#All],42,FALSE)*((Optimalisatie!J20/Optimalisatie!AD20)*Optimalisatie!AC20),0)&gt;0,_xlfn.IFNA((VLOOKUP(Optimalisatie!AA20,Database_Asfalt_Verwijderset[#All],42,FALSE)*Optimalisatie!J20),0)+_xlfn.IFNA(VLOOKUP(Optimalisatie!AB20,Database_Brandstoffen[#All],42,FALSE)*((Optimalisatie!J20/Optimalisatie!AD20)*Optimalisatie!AC20),0),(_xlfn.IFNA(VLOOKUP(Inschrijf_Hernieuwbare_Energie_Totaal[[#This Row],[Product]]&amp;", "&amp;Inschrijf_MKI_Totaal[[#Headers],[C1]],Database_Productkaarten[#All],48,FALSE),0)*Optimalisatie!J20)),0)</f>
        <v>604.55250809111988</v>
      </c>
      <c r="M333" s="91">
        <f>(IF(Optimalisatie!C20="Bestaande Situatie",_xlfn.IFNA(VLOOKUP(Optimalisatie!AF20,Database_Transport[#All],42,FALSE)*(Optimalisatie!R20*Optimalisatie!AE20),Baseline_Backlog!M333),0))</f>
        <v>2165.44998111</v>
      </c>
      <c r="N333" s="91">
        <f>(IF(Optimalisatie!C20="Bestaande Situatie",_xlfn.IFNA(VLOOKUP(Optimalisatie!AG20,Database_Asfalt_Verwerkingsset[#All],42,FALSE)*(Optimalisatie!J20/VLOOKUP(Optimalisatie!AG20,Database_Asfalt_Verwerkingsset[#All],42,FALSE)),Baseline_Backlog!N333),0))</f>
        <v>0</v>
      </c>
      <c r="O333" s="91">
        <f>(IF(Optimalisatie!C20="Bestaande Situatie",_xlfn.IFNA(VLOOKUP(Inschrijf_Hernieuwbare_Energie_Totaal[[#This Row],[Product]]&amp;", "&amp;Inschrijf_MKI_Totaal[[#Headers],[C4]],Database_Productkaarten[#All],48,FALSE)*Optimalisatie!J20,Baseline_Backlog!O333),0))</f>
        <v>101.17440000000001</v>
      </c>
      <c r="P333" s="91">
        <f>(IF(Optimalisatie!C20="Bestaande Situatie",_xlfn.IFNA(IF(Optimalisatie!E20="Categorie_1_LCA_Producten",VLOOKUP(Inschrijf_Hernieuwbare_Energie_Totaal[[#This Row],[Product]],Categorie_1_Producten[#All],24,FALSE)*(Optimalisatie!J20),VLOOKUP(Inschrijf_Hernieuwbare_Energie_Totaal[[#This Row],[Product]]&amp;", "&amp;Inschrijf_Hernieuwbare_Energie_Totaal[[#Headers],[D1]],Database_Productkaarten[#All],48,FALSE)*Optimalisatie!J20),Baseline_Backlog!P333),0))</f>
        <v>0</v>
      </c>
      <c r="Q333" s="91">
        <f>(IF(Optimalisatie!C20="Bestaande Situatie",_xlfn.IFNA(IF(Optimalisatie!E20="Categorie_1_LCA_Producten",VLOOKUP(Inschrijf_Hernieuwbare_Energie_Totaal[[#This Row],[Product]],Categorie_1_Producten[#All],25,FALSE)*(Optimalisatie!J20),VLOOKUP(Inschrijf_Hernieuwbare_Energie_Totaal[[#This Row],[Product]]&amp;", "&amp;Inschrijf_Hernieuwbare_Energie_Totaal[[#Headers],[D2]],Database_Productkaarten[#All],48,FALSE)*Optimalisatie!J20),Baseline_Backlog!Q333),0))</f>
        <v>0</v>
      </c>
      <c r="R333" s="91">
        <f>(IF(Optimalisatie!C20="Bestaande Situatie",_xlfn.IFNA(IF(Optimalisatie!E20="Categorie_1_LCA_Producten",VLOOKUP(Inschrijf_Hernieuwbare_Energie_Totaal[[#This Row],[Product]],Categorie_1_Producten[#All],29,FALSE)*(Optimalisatie!J20),VLOOKUP(Inschrijf_Hernieuwbare_Energie_Totaal[[#This Row],[Product]]&amp;", "&amp;Inschrijf_Hernieuwbare_Energie_Totaal[[#Headers],[D]],Database_Productkaarten[#All],48,FALSE)*Optimalisatie!J20),Baseline_Backlog!S333),0))</f>
        <v>0</v>
      </c>
      <c r="S333" s="91">
        <f>SUM(Inschrijf_Hernieuwbare_Energie_Totaal[[#This Row],[A1-A3]:[C4]])+Inschrijf_Hernieuwbare_Energie_Totaal[[#This Row],[D]]</f>
        <v>2871.1768892011196</v>
      </c>
    </row>
    <row r="334" spans="2:19">
      <c r="B334" s="208" t="str">
        <f>Optimalisatie!B21</f>
        <v>220010 - Grond verwerken in sleuf riolering</v>
      </c>
      <c r="C334" s="1" t="str">
        <f>Optimalisatie!F21</f>
        <v>Ophoogmateriaal (Grond)</v>
      </c>
      <c r="D334" s="91">
        <f>(IF(Optimalisatie!C21="Nieuwe Situatie",_xlfn.IFNA(IF(Optimalisatie!E21="Categorie_1_LCA_Producten",VLOOKUP(Inschrijf_Hernieuwbare_Energie_Totaal[[#This Row],[Product]],Categorie_1_Producten[#All],20,FALSE)*(Optimalisatie!J21),VLOOKUP(Inschrijf_Hernieuwbare_Energie_Totaal[[#This Row],[Product]]&amp;", "&amp;Inschrijf_Hernieuwbare_Energie_Totaal[[#Headers],[A1]],Database_Productkaarten[#All],48,FALSE)*Optimalisatie!J21),Baseline_Backlog!D334),0))</f>
        <v>0</v>
      </c>
      <c r="E334" s="91">
        <f>(IF(Optimalisatie!C21="Nieuwe Situatie",_xlfn.IFNA(IF(Optimalisatie!E21="Categorie_1_LCA_Producten",VLOOKUP(Inschrijf_Hernieuwbare_Energie_Totaal[[#This Row],[Product]],Categorie_1_Producten[#All],21,FALSE)*(Optimalisatie!J21),VLOOKUP(Inschrijf_Hernieuwbare_Energie_Totaal[[#This Row],[Product]]&amp;", "&amp;Inschrijf_Hernieuwbare_Energie_Totaal[[#Headers],[A2]],Database_Productkaarten[#All],48,FALSE)*Optimalisatie!J21),Baseline_Backlog!E334),0))</f>
        <v>0</v>
      </c>
      <c r="F334" s="91">
        <f>(IF(Optimalisatie!C21="Nieuwe Situatie",_xlfn.IFNA(IF(Optimalisatie!E21="Categorie_1_LCA_Producten",VLOOKUP(Inschrijf_Hernieuwbare_Energie_Totaal[[#This Row],[Product]],Categorie_1_Producten[#All],22,FALSE)*(Optimalisatie!J21),VLOOKUP(Inschrijf_Hernieuwbare_Energie_Totaal[[#This Row],[Product]]&amp;", "&amp;Inschrijf_Hernieuwbare_Energie_Totaal[[#Headers],[A3]],Database_Productkaarten[#All],48,FALSE)*Optimalisatie!J21),Baseline_Backlog!F334),0))</f>
        <v>0</v>
      </c>
      <c r="G334" s="91">
        <f>(IF(Optimalisatie!C21="Nieuwe Situatie",_xlfn.IFNA(IF(Optimalisatie!E21="Categorie_1_LCA_Producten",VLOOKUP(Inschrijf_Hernieuwbare_Energie_Totaal[[#This Row],[Product]],Categorie_1_Producten[#All],27,FALSE)*(Optimalisatie!J21),VLOOKUP(Inschrijf_Hernieuwbare_Energie_Totaal[[#This Row],[Product]]&amp;", "&amp;Inschrijf_Hernieuwbare_Energie_Totaal[[#Headers],[A1-A3]],Database_Productkaarten[#All],48,FALSE)*Optimalisatie!J21),Baseline_Backlog!G334),0))</f>
        <v>0</v>
      </c>
      <c r="H334" s="91">
        <f>(IF(Optimalisatie!C21="Nieuwe Situatie",_xlfn.IFNA(VLOOKUP(Optimalisatie!V21,Database_Transport[#All],42,FALSE)*(Optimalisatie!R21*Optimalisatie!U21),Baseline_Backlog!H334),0))</f>
        <v>2184.4046030625</v>
      </c>
      <c r="I334" s="91">
        <f>IF(Optimalisatie!C21="Nieuwe situatie",IF(_xlfn.IFNA((VLOOKUP(Optimalisatie!W21,Database_Asfalt_Aanlegset[#All],42,FALSE)*Optimalisatie!J21),0)+_xlfn.IFNA(VLOOKUP(Optimalisatie!X21,Database_Brandstoffen[#All],42,FALSE)*((Optimalisatie!J21/Optimalisatie!Z21)*Optimalisatie!Y21),0)&gt;0,_xlfn.IFNA((VLOOKUP(Optimalisatie!W21,Database_Asfalt_Aanlegset[#All],42,FALSE)*Optimalisatie!J21),0)+_xlfn.IFNA(VLOOKUP(Optimalisatie!X21,Database_Brandstoffen[#All],42,FALSE)*((Optimalisatie!J21/Optimalisatie!Z21)*Optimalisatie!Y21),0),(_xlfn.IFNA(VLOOKUP(Inschrijf_Hernieuwbare_Energie_Totaal[[#This Row],[Product]]&amp;", "&amp;Inschrijf_MKI_Totaal[[#Headers],[A5]],Database_Productkaarten[#All],48,FALSE),0)*Optimalisatie!J21)),0)</f>
        <v>5269.7031455249999</v>
      </c>
      <c r="J334" s="91">
        <f>(IF(Optimalisatie!C21="Nieuwe Situatie",_xlfn.IFNA(IF(Optimalisatie!E21="Categorie_1_LCA_Producten",VLOOKUP(Inschrijf_Hernieuwbare_Energie_Totaal[[#This Row],[Product]],Categorie_1_Producten[#All],28,FALSE)*(Optimalisatie!R21),VLOOKUP(Inschrijf_Hernieuwbare_Energie_Totaal[[#This Row],[Product]]&amp;", "&amp;Inschrijf_Hernieuwbare_Energie_Totaal[[#Headers],[B1]],Database_Productkaarten[#All],47,FALSE)*Optimalisatie!J21),Baseline_Backlog!J334),0))</f>
        <v>0</v>
      </c>
      <c r="K334" s="91">
        <f>(IF(Optimalisatie!C21="Nieuwe Situatie",_xlfn.IFNA(SUM(Inschrijf_Hernieuwbare_Energie_Totaal[[#This Row],[A1]:[B1]],Inschrijf_Hernieuwbare_Energie_Totaal[[#This Row],[C1]:[D2]])*Optimalisatie!T21,0),0))</f>
        <v>0</v>
      </c>
      <c r="L334" s="91">
        <f>IF(Optimalisatie!C21="Bestaande situatie",IF(_xlfn.IFNA((VLOOKUP(Optimalisatie!AA21,Database_Asfalt_Verwijderset[#All],42,FALSE)*Optimalisatie!J21),0)+_xlfn.IFNA(VLOOKUP(Optimalisatie!AB21,Database_Brandstoffen[#All],42,FALSE)*((Optimalisatie!J21/Optimalisatie!AD21)*Optimalisatie!AC21),0)&gt;0,_xlfn.IFNA((VLOOKUP(Optimalisatie!AA21,Database_Asfalt_Verwijderset[#All],42,FALSE)*Optimalisatie!J21),0)+_xlfn.IFNA(VLOOKUP(Optimalisatie!AB21,Database_Brandstoffen[#All],42,FALSE)*((Optimalisatie!J21/Optimalisatie!AD21)*Optimalisatie!AC21),0),(_xlfn.IFNA(VLOOKUP(Inschrijf_Hernieuwbare_Energie_Totaal[[#This Row],[Product]]&amp;", "&amp;Inschrijf_MKI_Totaal[[#Headers],[C1]],Database_Productkaarten[#All],48,FALSE),0)*Optimalisatie!J21)),0)</f>
        <v>0</v>
      </c>
      <c r="M334" s="91">
        <f>(IF(Optimalisatie!C21="Bestaande Situatie",_xlfn.IFNA(VLOOKUP(Optimalisatie!AF21,Database_Transport[#All],42,FALSE)*(Optimalisatie!R21*Optimalisatie!AE21),Baseline_Backlog!M334),0))</f>
        <v>0</v>
      </c>
      <c r="N334" s="91">
        <f>(IF(Optimalisatie!C21="Bestaande Situatie",_xlfn.IFNA(VLOOKUP(Optimalisatie!AG21,Database_Asfalt_Verwerkingsset[#All],42,FALSE)*(Optimalisatie!J21/VLOOKUP(Optimalisatie!AG21,Database_Asfalt_Verwerkingsset[#All],42,FALSE)),Baseline_Backlog!N334),0))</f>
        <v>0</v>
      </c>
      <c r="O334" s="91">
        <f>(IF(Optimalisatie!C21="Bestaande Situatie",_xlfn.IFNA(VLOOKUP(Inschrijf_Hernieuwbare_Energie_Totaal[[#This Row],[Product]]&amp;", "&amp;Inschrijf_MKI_Totaal[[#Headers],[C4]],Database_Productkaarten[#All],48,FALSE)*Optimalisatie!J21,Baseline_Backlog!O334),0))</f>
        <v>0</v>
      </c>
      <c r="P334" s="91">
        <f>(IF(Optimalisatie!C21="Bestaande Situatie",_xlfn.IFNA(IF(Optimalisatie!E21="Categorie_1_LCA_Producten",VLOOKUP(Inschrijf_Hernieuwbare_Energie_Totaal[[#This Row],[Product]],Categorie_1_Producten[#All],24,FALSE)*(Optimalisatie!J21),VLOOKUP(Inschrijf_Hernieuwbare_Energie_Totaal[[#This Row],[Product]]&amp;", "&amp;Inschrijf_Hernieuwbare_Energie_Totaal[[#Headers],[D1]],Database_Productkaarten[#All],48,FALSE)*Optimalisatie!J21),Baseline_Backlog!P334),0))</f>
        <v>0</v>
      </c>
      <c r="Q334" s="91">
        <f>(IF(Optimalisatie!C21="Bestaande Situatie",_xlfn.IFNA(IF(Optimalisatie!E21="Categorie_1_LCA_Producten",VLOOKUP(Inschrijf_Hernieuwbare_Energie_Totaal[[#This Row],[Product]],Categorie_1_Producten[#All],25,FALSE)*(Optimalisatie!J21),VLOOKUP(Inschrijf_Hernieuwbare_Energie_Totaal[[#This Row],[Product]]&amp;", "&amp;Inschrijf_Hernieuwbare_Energie_Totaal[[#Headers],[D2]],Database_Productkaarten[#All],48,FALSE)*Optimalisatie!J21),Baseline_Backlog!Q334),0))</f>
        <v>0</v>
      </c>
      <c r="R334" s="91">
        <f>(IF(Optimalisatie!C21="Bestaande Situatie",_xlfn.IFNA(IF(Optimalisatie!E21="Categorie_1_LCA_Producten",VLOOKUP(Inschrijf_Hernieuwbare_Energie_Totaal[[#This Row],[Product]],Categorie_1_Producten[#All],29,FALSE)*(Optimalisatie!J21),VLOOKUP(Inschrijf_Hernieuwbare_Energie_Totaal[[#This Row],[Product]]&amp;", "&amp;Inschrijf_Hernieuwbare_Energie_Totaal[[#Headers],[D]],Database_Productkaarten[#All],48,FALSE)*Optimalisatie!J21),Baseline_Backlog!S334),0))</f>
        <v>0</v>
      </c>
      <c r="S334" s="91">
        <f>SUM(Inschrijf_Hernieuwbare_Energie_Totaal[[#This Row],[A1-A3]:[C4]])+Inschrijf_Hernieuwbare_Energie_Totaal[[#This Row],[D]]</f>
        <v>7454.1077485874994</v>
      </c>
    </row>
    <row r="335" spans="2:19">
      <c r="B335" s="208" t="str">
        <f>Optimalisatie!B22</f>
        <v>220020 - Leveren en aanbrengen zand voor zand (gemiddeld 100 mm)</v>
      </c>
      <c r="C335" s="1" t="str">
        <f>Optimalisatie!F22</f>
        <v>Ophoogmateriaal (Zand)</v>
      </c>
      <c r="D335" s="91">
        <f>(IF(Optimalisatie!C22="Nieuwe Situatie",_xlfn.IFNA(IF(Optimalisatie!E22="Categorie_1_LCA_Producten",VLOOKUP(Inschrijf_Hernieuwbare_Energie_Totaal[[#This Row],[Product]],Categorie_1_Producten[#All],20,FALSE)*(Optimalisatie!J22),VLOOKUP(Inschrijf_Hernieuwbare_Energie_Totaal[[#This Row],[Product]]&amp;", "&amp;Inschrijf_Hernieuwbare_Energie_Totaal[[#Headers],[A1]],Database_Productkaarten[#All],48,FALSE)*Optimalisatie!J22),Baseline_Backlog!D335),0))</f>
        <v>0</v>
      </c>
      <c r="E335" s="91">
        <f>(IF(Optimalisatie!C22="Nieuwe Situatie",_xlfn.IFNA(IF(Optimalisatie!E22="Categorie_1_LCA_Producten",VLOOKUP(Inschrijf_Hernieuwbare_Energie_Totaal[[#This Row],[Product]],Categorie_1_Producten[#All],21,FALSE)*(Optimalisatie!J22),VLOOKUP(Inschrijf_Hernieuwbare_Energie_Totaal[[#This Row],[Product]]&amp;", "&amp;Inschrijf_Hernieuwbare_Energie_Totaal[[#Headers],[A2]],Database_Productkaarten[#All],48,FALSE)*Optimalisatie!J22),Baseline_Backlog!E335),0))</f>
        <v>0</v>
      </c>
      <c r="F335" s="91">
        <f>(IF(Optimalisatie!C22="Nieuwe Situatie",_xlfn.IFNA(IF(Optimalisatie!E22="Categorie_1_LCA_Producten",VLOOKUP(Inschrijf_Hernieuwbare_Energie_Totaal[[#This Row],[Product]],Categorie_1_Producten[#All],22,FALSE)*(Optimalisatie!J22),VLOOKUP(Inschrijf_Hernieuwbare_Energie_Totaal[[#This Row],[Product]]&amp;", "&amp;Inschrijf_Hernieuwbare_Energie_Totaal[[#Headers],[A3]],Database_Productkaarten[#All],48,FALSE)*Optimalisatie!J22),Baseline_Backlog!F335),0))</f>
        <v>0</v>
      </c>
      <c r="G335" s="91">
        <f>(IF(Optimalisatie!C22="Nieuwe Situatie",_xlfn.IFNA(IF(Optimalisatie!E22="Categorie_1_LCA_Producten",VLOOKUP(Inschrijf_Hernieuwbare_Energie_Totaal[[#This Row],[Product]],Categorie_1_Producten[#All],27,FALSE)*(Optimalisatie!J22),VLOOKUP(Inschrijf_Hernieuwbare_Energie_Totaal[[#This Row],[Product]]&amp;", "&amp;Inschrijf_Hernieuwbare_Energie_Totaal[[#Headers],[A1-A3]],Database_Productkaarten[#All],48,FALSE)*Optimalisatie!J22),Baseline_Backlog!G335),0))</f>
        <v>20800.5</v>
      </c>
      <c r="H335" s="91">
        <f>(IF(Optimalisatie!C22="Nieuwe Situatie",_xlfn.IFNA(VLOOKUP(Optimalisatie!V22,Database_Transport[#All],42,FALSE)*(Optimalisatie!R22*Optimalisatie!U22),Baseline_Backlog!H335),0))</f>
        <v>1045.5269895000001</v>
      </c>
      <c r="I335" s="91">
        <f>IF(Optimalisatie!C22="Nieuwe situatie",IF(_xlfn.IFNA((VLOOKUP(Optimalisatie!W22,Database_Asfalt_Aanlegset[#All],42,FALSE)*Optimalisatie!J22),0)+_xlfn.IFNA(VLOOKUP(Optimalisatie!X22,Database_Brandstoffen[#All],42,FALSE)*((Optimalisatie!J22/Optimalisatie!Z22)*Optimalisatie!Y22),0)&gt;0,_xlfn.IFNA((VLOOKUP(Optimalisatie!W22,Database_Asfalt_Aanlegset[#All],42,FALSE)*Optimalisatie!J22),0)+_xlfn.IFNA(VLOOKUP(Optimalisatie!X22,Database_Brandstoffen[#All],42,FALSE)*((Optimalisatie!J22/Optimalisatie!Z22)*Optimalisatie!Y22),0),(_xlfn.IFNA(VLOOKUP(Inschrijf_Hernieuwbare_Energie_Totaal[[#This Row],[Product]]&amp;", "&amp;Inschrijf_MKI_Totaal[[#Headers],[A5]],Database_Productkaarten[#All],48,FALSE),0)*Optimalisatie!J22)),0)</f>
        <v>813.52606204799997</v>
      </c>
      <c r="J335" s="91">
        <f>(IF(Optimalisatie!C22="Nieuwe Situatie",_xlfn.IFNA(IF(Optimalisatie!E22="Categorie_1_LCA_Producten",VLOOKUP(Inschrijf_Hernieuwbare_Energie_Totaal[[#This Row],[Product]],Categorie_1_Producten[#All],28,FALSE)*(Optimalisatie!R22),VLOOKUP(Inschrijf_Hernieuwbare_Energie_Totaal[[#This Row],[Product]]&amp;", "&amp;Inschrijf_Hernieuwbare_Energie_Totaal[[#Headers],[B1]],Database_Productkaarten[#All],47,FALSE)*Optimalisatie!J22),Baseline_Backlog!J335),0))</f>
        <v>0</v>
      </c>
      <c r="K335" s="91">
        <f>(IF(Optimalisatie!C22="Nieuwe Situatie",_xlfn.IFNA(SUM(Inschrijf_Hernieuwbare_Energie_Totaal[[#This Row],[A1]:[B1]],Inschrijf_Hernieuwbare_Energie_Totaal[[#This Row],[C1]:[D2]])*Optimalisatie!T22,0),0))</f>
        <v>0</v>
      </c>
      <c r="L335" s="91">
        <f>IF(Optimalisatie!C22="Bestaande situatie",IF(_xlfn.IFNA((VLOOKUP(Optimalisatie!AA22,Database_Asfalt_Verwijderset[#All],42,FALSE)*Optimalisatie!J22),0)+_xlfn.IFNA(VLOOKUP(Optimalisatie!AB22,Database_Brandstoffen[#All],42,FALSE)*((Optimalisatie!J22/Optimalisatie!AD22)*Optimalisatie!AC22),0)&gt;0,_xlfn.IFNA((VLOOKUP(Optimalisatie!AA22,Database_Asfalt_Verwijderset[#All],42,FALSE)*Optimalisatie!J22),0)+_xlfn.IFNA(VLOOKUP(Optimalisatie!AB22,Database_Brandstoffen[#All],42,FALSE)*((Optimalisatie!J22/Optimalisatie!AD22)*Optimalisatie!AC22),0),(_xlfn.IFNA(VLOOKUP(Inschrijf_Hernieuwbare_Energie_Totaal[[#This Row],[Product]]&amp;", "&amp;Inschrijf_MKI_Totaal[[#Headers],[C1]],Database_Productkaarten[#All],48,FALSE),0)*Optimalisatie!J22)),0)</f>
        <v>0</v>
      </c>
      <c r="M335" s="91">
        <f>(IF(Optimalisatie!C22="Bestaande Situatie",_xlfn.IFNA(VLOOKUP(Optimalisatie!AF22,Database_Transport[#All],42,FALSE)*(Optimalisatie!R22*Optimalisatie!AE22),Baseline_Backlog!M335),0))</f>
        <v>0</v>
      </c>
      <c r="N335" s="91">
        <f>(IF(Optimalisatie!C22="Bestaande Situatie",_xlfn.IFNA(VLOOKUP(Optimalisatie!AG22,Database_Asfalt_Verwerkingsset[#All],42,FALSE)*(Optimalisatie!J22/VLOOKUP(Optimalisatie!AG22,Database_Asfalt_Verwerkingsset[#All],42,FALSE)),Baseline_Backlog!N335),0))</f>
        <v>0</v>
      </c>
      <c r="O335" s="91">
        <f>(IF(Optimalisatie!C22="Bestaande Situatie",_xlfn.IFNA(VLOOKUP(Inschrijf_Hernieuwbare_Energie_Totaal[[#This Row],[Product]]&amp;", "&amp;Inschrijf_MKI_Totaal[[#Headers],[C4]],Database_Productkaarten[#All],48,FALSE)*Optimalisatie!J22,Baseline_Backlog!O335),0))</f>
        <v>0</v>
      </c>
      <c r="P335" s="91">
        <f>(IF(Optimalisatie!C22="Bestaande Situatie",_xlfn.IFNA(IF(Optimalisatie!E22="Categorie_1_LCA_Producten",VLOOKUP(Inschrijf_Hernieuwbare_Energie_Totaal[[#This Row],[Product]],Categorie_1_Producten[#All],24,FALSE)*(Optimalisatie!J22),VLOOKUP(Inschrijf_Hernieuwbare_Energie_Totaal[[#This Row],[Product]]&amp;", "&amp;Inschrijf_Hernieuwbare_Energie_Totaal[[#Headers],[D1]],Database_Productkaarten[#All],48,FALSE)*Optimalisatie!J22),Baseline_Backlog!P335),0))</f>
        <v>0</v>
      </c>
      <c r="Q335" s="91">
        <f>(IF(Optimalisatie!C22="Bestaande Situatie",_xlfn.IFNA(IF(Optimalisatie!E22="Categorie_1_LCA_Producten",VLOOKUP(Inschrijf_Hernieuwbare_Energie_Totaal[[#This Row],[Product]],Categorie_1_Producten[#All],25,FALSE)*(Optimalisatie!J22),VLOOKUP(Inschrijf_Hernieuwbare_Energie_Totaal[[#This Row],[Product]]&amp;", "&amp;Inschrijf_Hernieuwbare_Energie_Totaal[[#Headers],[D2]],Database_Productkaarten[#All],48,FALSE)*Optimalisatie!J22),Baseline_Backlog!Q335),0))</f>
        <v>0</v>
      </c>
      <c r="R335" s="91">
        <f>(IF(Optimalisatie!C22="Bestaande Situatie",_xlfn.IFNA(IF(Optimalisatie!E22="Categorie_1_LCA_Producten",VLOOKUP(Inschrijf_Hernieuwbare_Energie_Totaal[[#This Row],[Product]],Categorie_1_Producten[#All],29,FALSE)*(Optimalisatie!J22),VLOOKUP(Inschrijf_Hernieuwbare_Energie_Totaal[[#This Row],[Product]]&amp;", "&amp;Inschrijf_Hernieuwbare_Energie_Totaal[[#Headers],[D]],Database_Productkaarten[#All],48,FALSE)*Optimalisatie!J22),Baseline_Backlog!S335),0))</f>
        <v>0</v>
      </c>
      <c r="S335" s="91">
        <f>SUM(Inschrijf_Hernieuwbare_Energie_Totaal[[#This Row],[A1-A3]:[C4]])+Inschrijf_Hernieuwbare_Energie_Totaal[[#This Row],[D]]</f>
        <v>22659.553051548002</v>
      </c>
    </row>
    <row r="336" spans="2:19">
      <c r="B336" s="208" t="str">
        <f>Optimalisatie!B23</f>
        <v>322020 - Leveren en aanbrengen rioolbuis van Beton Ø400mm</v>
      </c>
      <c r="C336" s="1" t="str">
        <f>Optimalisatie!F23</f>
        <v>Betonbuis 500 mm</v>
      </c>
      <c r="D336" s="91">
        <f>(IF(Optimalisatie!C23="Nieuwe Situatie",_xlfn.IFNA(IF(Optimalisatie!E23="Categorie_1_LCA_Producten",VLOOKUP(Inschrijf_Hernieuwbare_Energie_Totaal[[#This Row],[Product]],Categorie_1_Producten[#All],20,FALSE)*(Optimalisatie!J23),VLOOKUP(Inschrijf_Hernieuwbare_Energie_Totaal[[#This Row],[Product]]&amp;", "&amp;Inschrijf_Hernieuwbare_Energie_Totaal[[#Headers],[A1]],Database_Productkaarten[#All],48,FALSE)*Optimalisatie!J23),Baseline_Backlog!D336),0))</f>
        <v>6241.5871200000001</v>
      </c>
      <c r="E336" s="91">
        <f>(IF(Optimalisatie!C23="Nieuwe Situatie",_xlfn.IFNA(IF(Optimalisatie!E23="Categorie_1_LCA_Producten",VLOOKUP(Inschrijf_Hernieuwbare_Energie_Totaal[[#This Row],[Product]],Categorie_1_Producten[#All],21,FALSE)*(Optimalisatie!J23),VLOOKUP(Inschrijf_Hernieuwbare_Energie_Totaal[[#This Row],[Product]]&amp;", "&amp;Inschrijf_Hernieuwbare_Energie_Totaal[[#Headers],[A2]],Database_Productkaarten[#All],48,FALSE)*Optimalisatie!J23),Baseline_Backlog!E336),0))</f>
        <v>115.6346904</v>
      </c>
      <c r="F336" s="91">
        <f>(IF(Optimalisatie!C23="Nieuwe Situatie",_xlfn.IFNA(IF(Optimalisatie!E23="Categorie_1_LCA_Producten",VLOOKUP(Inschrijf_Hernieuwbare_Energie_Totaal[[#This Row],[Product]],Categorie_1_Producten[#All],22,FALSE)*(Optimalisatie!J23),VLOOKUP(Inschrijf_Hernieuwbare_Energie_Totaal[[#This Row],[Product]]&amp;", "&amp;Inschrijf_Hernieuwbare_Energie_Totaal[[#Headers],[A3]],Database_Productkaarten[#All],48,FALSE)*Optimalisatie!J23),Baseline_Backlog!F336),0))</f>
        <v>616.73858399999995</v>
      </c>
      <c r="G336" s="91">
        <f>(IF(Optimalisatie!C23="Nieuwe Situatie",_xlfn.IFNA(IF(Optimalisatie!E23="Categorie_1_LCA_Producten",VLOOKUP(Inschrijf_Hernieuwbare_Energie_Totaal[[#This Row],[Product]],Categorie_1_Producten[#All],27,FALSE)*(Optimalisatie!J23),VLOOKUP(Inschrijf_Hernieuwbare_Energie_Totaal[[#This Row],[Product]]&amp;", "&amp;Inschrijf_Hernieuwbare_Energie_Totaal[[#Headers],[A1-A3]],Database_Productkaarten[#All],48,FALSE)*Optimalisatie!J23),Baseline_Backlog!G336),0))</f>
        <v>6973.960394400001</v>
      </c>
      <c r="H336" s="91">
        <f>(IF(Optimalisatie!C23="Nieuwe Situatie",_xlfn.IFNA(VLOOKUP(Optimalisatie!V23,Database_Transport[#All],42,FALSE)*(Optimalisatie!R23*Optimalisatie!U23),Baseline_Backlog!H336),0))</f>
        <v>55.989037151999987</v>
      </c>
      <c r="I336" s="91">
        <f>IF(Optimalisatie!C23="Nieuwe situatie",IF(_xlfn.IFNA((VLOOKUP(Optimalisatie!W23,Database_Asfalt_Aanlegset[#All],42,FALSE)*Optimalisatie!J23),0)+_xlfn.IFNA(VLOOKUP(Optimalisatie!X23,Database_Brandstoffen[#All],42,FALSE)*((Optimalisatie!J23/Optimalisatie!Z23)*Optimalisatie!Y23),0)&gt;0,_xlfn.IFNA((VLOOKUP(Optimalisatie!W23,Database_Asfalt_Aanlegset[#All],42,FALSE)*Optimalisatie!J23),0)+_xlfn.IFNA(VLOOKUP(Optimalisatie!X23,Database_Brandstoffen[#All],42,FALSE)*((Optimalisatie!J23/Optimalisatie!Z23)*Optimalisatie!Y23),0),(_xlfn.IFNA(VLOOKUP(Inschrijf_Hernieuwbare_Energie_Totaal[[#This Row],[Product]]&amp;", "&amp;Inschrijf_MKI_Totaal[[#Headers],[A5]],Database_Productkaarten[#All],48,FALSE),0)*Optimalisatie!J23)),0)</f>
        <v>279.69251908412258</v>
      </c>
      <c r="J336" s="91">
        <f>(IF(Optimalisatie!C23="Nieuwe Situatie",_xlfn.IFNA(IF(Optimalisatie!E23="Categorie_1_LCA_Producten",VLOOKUP(Inschrijf_Hernieuwbare_Energie_Totaal[[#This Row],[Product]],Categorie_1_Producten[#All],28,FALSE)*(Optimalisatie!R23),VLOOKUP(Inschrijf_Hernieuwbare_Energie_Totaal[[#This Row],[Product]]&amp;", "&amp;Inschrijf_Hernieuwbare_Energie_Totaal[[#Headers],[B1]],Database_Productkaarten[#All],47,FALSE)*Optimalisatie!J23),Baseline_Backlog!J336),0))</f>
        <v>0</v>
      </c>
      <c r="K336" s="91">
        <f>(IF(Optimalisatie!C23="Nieuwe Situatie",_xlfn.IFNA(SUM(Inschrijf_Hernieuwbare_Energie_Totaal[[#This Row],[A1]:[B1]],Inschrijf_Hernieuwbare_Energie_Totaal[[#This Row],[C1]:[D2]])*Optimalisatie!T23,0),0))</f>
        <v>0</v>
      </c>
      <c r="L336" s="91">
        <f>IF(Optimalisatie!C23="Bestaande situatie",IF(_xlfn.IFNA((VLOOKUP(Optimalisatie!AA23,Database_Asfalt_Verwijderset[#All],42,FALSE)*Optimalisatie!J23),0)+_xlfn.IFNA(VLOOKUP(Optimalisatie!AB23,Database_Brandstoffen[#All],42,FALSE)*((Optimalisatie!J23/Optimalisatie!AD23)*Optimalisatie!AC23),0)&gt;0,_xlfn.IFNA((VLOOKUP(Optimalisatie!AA23,Database_Asfalt_Verwijderset[#All],42,FALSE)*Optimalisatie!J23),0)+_xlfn.IFNA(VLOOKUP(Optimalisatie!AB23,Database_Brandstoffen[#All],42,FALSE)*((Optimalisatie!J23/Optimalisatie!AD23)*Optimalisatie!AC23),0),(_xlfn.IFNA(VLOOKUP(Inschrijf_Hernieuwbare_Energie_Totaal[[#This Row],[Product]]&amp;", "&amp;Inschrijf_MKI_Totaal[[#Headers],[C1]],Database_Productkaarten[#All],48,FALSE),0)*Optimalisatie!J23)),0)</f>
        <v>0</v>
      </c>
      <c r="M336" s="91">
        <f>(IF(Optimalisatie!C23="Bestaande Situatie",_xlfn.IFNA(VLOOKUP(Optimalisatie!AF23,Database_Transport[#All],42,FALSE)*(Optimalisatie!R23*Optimalisatie!AE23),Baseline_Backlog!M336),0))</f>
        <v>0</v>
      </c>
      <c r="N336" s="91">
        <f>(IF(Optimalisatie!C23="Bestaande Situatie",_xlfn.IFNA(VLOOKUP(Optimalisatie!AG23,Database_Asfalt_Verwerkingsset[#All],42,FALSE)*(Optimalisatie!J23/VLOOKUP(Optimalisatie!AG23,Database_Asfalt_Verwerkingsset[#All],42,FALSE)),Baseline_Backlog!N336),0))</f>
        <v>0</v>
      </c>
      <c r="O336" s="91">
        <f>(IF(Optimalisatie!C23="Bestaande Situatie",_xlfn.IFNA(VLOOKUP(Inschrijf_Hernieuwbare_Energie_Totaal[[#This Row],[Product]]&amp;", "&amp;Inschrijf_MKI_Totaal[[#Headers],[C4]],Database_Productkaarten[#All],48,FALSE)*Optimalisatie!J23,Baseline_Backlog!O336),0))</f>
        <v>0</v>
      </c>
      <c r="P336" s="91">
        <f>(IF(Optimalisatie!C23="Bestaande Situatie",_xlfn.IFNA(IF(Optimalisatie!E23="Categorie_1_LCA_Producten",VLOOKUP(Inschrijf_Hernieuwbare_Energie_Totaal[[#This Row],[Product]],Categorie_1_Producten[#All],24,FALSE)*(Optimalisatie!J23),VLOOKUP(Inschrijf_Hernieuwbare_Energie_Totaal[[#This Row],[Product]]&amp;", "&amp;Inschrijf_Hernieuwbare_Energie_Totaal[[#Headers],[D1]],Database_Productkaarten[#All],48,FALSE)*Optimalisatie!J23),Baseline_Backlog!P336),0))</f>
        <v>0</v>
      </c>
      <c r="Q336" s="91">
        <f>(IF(Optimalisatie!C23="Bestaande Situatie",_xlfn.IFNA(IF(Optimalisatie!E23="Categorie_1_LCA_Producten",VLOOKUP(Inschrijf_Hernieuwbare_Energie_Totaal[[#This Row],[Product]],Categorie_1_Producten[#All],25,FALSE)*(Optimalisatie!J23),VLOOKUP(Inschrijf_Hernieuwbare_Energie_Totaal[[#This Row],[Product]]&amp;", "&amp;Inschrijf_Hernieuwbare_Energie_Totaal[[#Headers],[D2]],Database_Productkaarten[#All],48,FALSE)*Optimalisatie!J23),Baseline_Backlog!Q336),0))</f>
        <v>0</v>
      </c>
      <c r="R336" s="91">
        <f>(IF(Optimalisatie!C23="Bestaande Situatie",_xlfn.IFNA(IF(Optimalisatie!E23="Categorie_1_LCA_Producten",VLOOKUP(Inschrijf_Hernieuwbare_Energie_Totaal[[#This Row],[Product]],Categorie_1_Producten[#All],29,FALSE)*(Optimalisatie!J23),VLOOKUP(Inschrijf_Hernieuwbare_Energie_Totaal[[#This Row],[Product]]&amp;", "&amp;Inschrijf_Hernieuwbare_Energie_Totaal[[#Headers],[D]],Database_Productkaarten[#All],48,FALSE)*Optimalisatie!J23),Baseline_Backlog!S336),0))</f>
        <v>0</v>
      </c>
      <c r="S336" s="91">
        <f>SUM(Inschrijf_Hernieuwbare_Energie_Totaal[[#This Row],[A1-A3]:[C4]])+Inschrijf_Hernieuwbare_Energie_Totaal[[#This Row],[D]]</f>
        <v>7309.6419506361235</v>
      </c>
    </row>
    <row r="337" spans="2:19">
      <c r="B337" s="208" t="str">
        <f>Optimalisatie!B24</f>
        <v>322070 - Leveren en aanbrengen rioolbuis van Beton IT Ø400mm</v>
      </c>
      <c r="C337" s="1" t="str">
        <f>Optimalisatie!F24</f>
        <v>Betonbuis 500 mm</v>
      </c>
      <c r="D337" s="91">
        <f>(IF(Optimalisatie!C24="Nieuwe Situatie",_xlfn.IFNA(IF(Optimalisatie!E24="Categorie_1_LCA_Producten",VLOOKUP(Inschrijf_Hernieuwbare_Energie_Totaal[[#This Row],[Product]],Categorie_1_Producten[#All],20,FALSE)*(Optimalisatie!J24),VLOOKUP(Inschrijf_Hernieuwbare_Energie_Totaal[[#This Row],[Product]]&amp;", "&amp;Inschrijf_Hernieuwbare_Energie_Totaal[[#Headers],[A1]],Database_Productkaarten[#All],48,FALSE)*Optimalisatie!J24),Baseline_Backlog!D337),0))</f>
        <v>4941.2564700000003</v>
      </c>
      <c r="E337" s="91">
        <f>(IF(Optimalisatie!C24="Nieuwe Situatie",_xlfn.IFNA(IF(Optimalisatie!E24="Categorie_1_LCA_Producten",VLOOKUP(Inschrijf_Hernieuwbare_Energie_Totaal[[#This Row],[Product]],Categorie_1_Producten[#All],21,FALSE)*(Optimalisatie!J24),VLOOKUP(Inschrijf_Hernieuwbare_Energie_Totaal[[#This Row],[Product]]&amp;", "&amp;Inschrijf_Hernieuwbare_Energie_Totaal[[#Headers],[A2]],Database_Productkaarten[#All],48,FALSE)*Optimalisatie!J24),Baseline_Backlog!E337),0))</f>
        <v>91.544129900000001</v>
      </c>
      <c r="F337" s="91">
        <f>(IF(Optimalisatie!C24="Nieuwe Situatie",_xlfn.IFNA(IF(Optimalisatie!E24="Categorie_1_LCA_Producten",VLOOKUP(Inschrijf_Hernieuwbare_Energie_Totaal[[#This Row],[Product]],Categorie_1_Producten[#All],22,FALSE)*(Optimalisatie!J24),VLOOKUP(Inschrijf_Hernieuwbare_Energie_Totaal[[#This Row],[Product]]&amp;", "&amp;Inschrijf_Hernieuwbare_Energie_Totaal[[#Headers],[A3]],Database_Productkaarten[#All],48,FALSE)*Optimalisatie!J24),Baseline_Backlog!F337),0))</f>
        <v>488.25137899999999</v>
      </c>
      <c r="G337" s="91">
        <f>(IF(Optimalisatie!C24="Nieuwe Situatie",_xlfn.IFNA(IF(Optimalisatie!E24="Categorie_1_LCA_Producten",VLOOKUP(Inschrijf_Hernieuwbare_Energie_Totaal[[#This Row],[Product]],Categorie_1_Producten[#All],27,FALSE)*(Optimalisatie!J24),VLOOKUP(Inschrijf_Hernieuwbare_Energie_Totaal[[#This Row],[Product]]&amp;", "&amp;Inschrijf_Hernieuwbare_Energie_Totaal[[#Headers],[A1-A3]],Database_Productkaarten[#All],48,FALSE)*Optimalisatie!J24),Baseline_Backlog!G337),0))</f>
        <v>5521.0519789000009</v>
      </c>
      <c r="H337" s="91">
        <f>(IF(Optimalisatie!C24="Nieuwe Situatie",_xlfn.IFNA(VLOOKUP(Optimalisatie!V24,Database_Transport[#All],42,FALSE)*(Optimalisatie!R24*Optimalisatie!U24),Baseline_Backlog!H337),0))</f>
        <v>44.324654411999994</v>
      </c>
      <c r="I337" s="91">
        <f>IF(Optimalisatie!C24="Nieuwe situatie",IF(_xlfn.IFNA((VLOOKUP(Optimalisatie!W24,Database_Asfalt_Aanlegset[#All],42,FALSE)*Optimalisatie!J24),0)+_xlfn.IFNA(VLOOKUP(Optimalisatie!X24,Database_Brandstoffen[#All],42,FALSE)*((Optimalisatie!J24/Optimalisatie!Z24)*Optimalisatie!Y24),0)&gt;0,_xlfn.IFNA((VLOOKUP(Optimalisatie!W24,Database_Asfalt_Aanlegset[#All],42,FALSE)*Optimalisatie!J24),0)+_xlfn.IFNA(VLOOKUP(Optimalisatie!X24,Database_Brandstoffen[#All],42,FALSE)*((Optimalisatie!J24/Optimalisatie!Z24)*Optimalisatie!Y24),0),(_xlfn.IFNA(VLOOKUP(Inschrijf_Hernieuwbare_Energie_Totaal[[#This Row],[Product]]&amp;", "&amp;Inschrijf_MKI_Totaal[[#Headers],[A5]],Database_Productkaarten[#All],48,FALSE),0)*Optimalisatie!J24)),0)</f>
        <v>221.42324427493037</v>
      </c>
      <c r="J337" s="91">
        <f>(IF(Optimalisatie!C24="Nieuwe Situatie",_xlfn.IFNA(IF(Optimalisatie!E24="Categorie_1_LCA_Producten",VLOOKUP(Inschrijf_Hernieuwbare_Energie_Totaal[[#This Row],[Product]],Categorie_1_Producten[#All],28,FALSE)*(Optimalisatie!R24),VLOOKUP(Inschrijf_Hernieuwbare_Energie_Totaal[[#This Row],[Product]]&amp;", "&amp;Inschrijf_Hernieuwbare_Energie_Totaal[[#Headers],[B1]],Database_Productkaarten[#All],47,FALSE)*Optimalisatie!J24),Baseline_Backlog!J337),0))</f>
        <v>0</v>
      </c>
      <c r="K337" s="91">
        <f>(IF(Optimalisatie!C24="Nieuwe Situatie",_xlfn.IFNA(SUM(Inschrijf_Hernieuwbare_Energie_Totaal[[#This Row],[A1]:[B1]],Inschrijf_Hernieuwbare_Energie_Totaal[[#This Row],[C1]:[D2]])*Optimalisatie!T24,0),0))</f>
        <v>0</v>
      </c>
      <c r="L337" s="91">
        <f>IF(Optimalisatie!C24="Bestaande situatie",IF(_xlfn.IFNA((VLOOKUP(Optimalisatie!AA24,Database_Asfalt_Verwijderset[#All],42,FALSE)*Optimalisatie!J24),0)+_xlfn.IFNA(VLOOKUP(Optimalisatie!AB24,Database_Brandstoffen[#All],42,FALSE)*((Optimalisatie!J24/Optimalisatie!AD24)*Optimalisatie!AC24),0)&gt;0,_xlfn.IFNA((VLOOKUP(Optimalisatie!AA24,Database_Asfalt_Verwijderset[#All],42,FALSE)*Optimalisatie!J24),0)+_xlfn.IFNA(VLOOKUP(Optimalisatie!AB24,Database_Brandstoffen[#All],42,FALSE)*((Optimalisatie!J24/Optimalisatie!AD24)*Optimalisatie!AC24),0),(_xlfn.IFNA(VLOOKUP(Inschrijf_Hernieuwbare_Energie_Totaal[[#This Row],[Product]]&amp;", "&amp;Inschrijf_MKI_Totaal[[#Headers],[C1]],Database_Productkaarten[#All],48,FALSE),0)*Optimalisatie!J24)),0)</f>
        <v>0</v>
      </c>
      <c r="M337" s="91">
        <f>(IF(Optimalisatie!C24="Bestaande Situatie",_xlfn.IFNA(VLOOKUP(Optimalisatie!AF24,Database_Transport[#All],42,FALSE)*(Optimalisatie!R24*Optimalisatie!AE24),Baseline_Backlog!M337),0))</f>
        <v>0</v>
      </c>
      <c r="N337" s="91">
        <f>(IF(Optimalisatie!C24="Bestaande Situatie",_xlfn.IFNA(VLOOKUP(Optimalisatie!AG24,Database_Asfalt_Verwerkingsset[#All],42,FALSE)*(Optimalisatie!J24/VLOOKUP(Optimalisatie!AG24,Database_Asfalt_Verwerkingsset[#All],42,FALSE)),Baseline_Backlog!N337),0))</f>
        <v>0</v>
      </c>
      <c r="O337" s="91">
        <f>(IF(Optimalisatie!C24="Bestaande Situatie",_xlfn.IFNA(VLOOKUP(Inschrijf_Hernieuwbare_Energie_Totaal[[#This Row],[Product]]&amp;", "&amp;Inschrijf_MKI_Totaal[[#Headers],[C4]],Database_Productkaarten[#All],48,FALSE)*Optimalisatie!J24,Baseline_Backlog!O337),0))</f>
        <v>0</v>
      </c>
      <c r="P337" s="91">
        <f>(IF(Optimalisatie!C24="Bestaande Situatie",_xlfn.IFNA(IF(Optimalisatie!E24="Categorie_1_LCA_Producten",VLOOKUP(Inschrijf_Hernieuwbare_Energie_Totaal[[#This Row],[Product]],Categorie_1_Producten[#All],24,FALSE)*(Optimalisatie!J24),VLOOKUP(Inschrijf_Hernieuwbare_Energie_Totaal[[#This Row],[Product]]&amp;", "&amp;Inschrijf_Hernieuwbare_Energie_Totaal[[#Headers],[D1]],Database_Productkaarten[#All],48,FALSE)*Optimalisatie!J24),Baseline_Backlog!P337),0))</f>
        <v>0</v>
      </c>
      <c r="Q337" s="91">
        <f>(IF(Optimalisatie!C24="Bestaande Situatie",_xlfn.IFNA(IF(Optimalisatie!E24="Categorie_1_LCA_Producten",VLOOKUP(Inschrijf_Hernieuwbare_Energie_Totaal[[#This Row],[Product]],Categorie_1_Producten[#All],25,FALSE)*(Optimalisatie!J24),VLOOKUP(Inschrijf_Hernieuwbare_Energie_Totaal[[#This Row],[Product]]&amp;", "&amp;Inschrijf_Hernieuwbare_Energie_Totaal[[#Headers],[D2]],Database_Productkaarten[#All],48,FALSE)*Optimalisatie!J24),Baseline_Backlog!Q337),0))</f>
        <v>0</v>
      </c>
      <c r="R337" s="91">
        <f>(IF(Optimalisatie!C24="Bestaande Situatie",_xlfn.IFNA(IF(Optimalisatie!E24="Categorie_1_LCA_Producten",VLOOKUP(Inschrijf_Hernieuwbare_Energie_Totaal[[#This Row],[Product]],Categorie_1_Producten[#All],29,FALSE)*(Optimalisatie!J24),VLOOKUP(Inschrijf_Hernieuwbare_Energie_Totaal[[#This Row],[Product]]&amp;", "&amp;Inschrijf_Hernieuwbare_Energie_Totaal[[#Headers],[D]],Database_Productkaarten[#All],48,FALSE)*Optimalisatie!J24),Baseline_Backlog!S337),0))</f>
        <v>0</v>
      </c>
      <c r="S337" s="91">
        <f>SUM(Inschrijf_Hernieuwbare_Energie_Totaal[[#This Row],[A1-A3]:[C4]])+Inschrijf_Hernieuwbare_Energie_Totaal[[#This Row],[D]]</f>
        <v>5786.7998775869319</v>
      </c>
    </row>
    <row r="338" spans="2:19">
      <c r="B338" s="208" t="str">
        <f>Optimalisatie!B25</f>
        <v>322100 - Leveren en aanbrengen rioolbuis van Beton IT Ø800mm</v>
      </c>
      <c r="C338" s="1" t="str">
        <f>Optimalisatie!F25</f>
        <v>Betonbuis 800 mm</v>
      </c>
      <c r="D338" s="91">
        <f>(IF(Optimalisatie!C25="Nieuwe Situatie",_xlfn.IFNA(IF(Optimalisatie!E25="Categorie_1_LCA_Producten",VLOOKUP(Inschrijf_Hernieuwbare_Energie_Totaal[[#This Row],[Product]],Categorie_1_Producten[#All],20,FALSE)*(Optimalisatie!J25),VLOOKUP(Inschrijf_Hernieuwbare_Energie_Totaal[[#This Row],[Product]]&amp;", "&amp;Inschrijf_Hernieuwbare_Energie_Totaal[[#Headers],[A1]],Database_Productkaarten[#All],48,FALSE)*Optimalisatie!J25),Baseline_Backlog!D338),0))</f>
        <v>56857.528189999997</v>
      </c>
      <c r="E338" s="91">
        <f>(IF(Optimalisatie!C25="Nieuwe Situatie",_xlfn.IFNA(IF(Optimalisatie!E25="Categorie_1_LCA_Producten",VLOOKUP(Inschrijf_Hernieuwbare_Energie_Totaal[[#This Row],[Product]],Categorie_1_Producten[#All],21,FALSE)*(Optimalisatie!J25),VLOOKUP(Inschrijf_Hernieuwbare_Energie_Totaal[[#This Row],[Product]]&amp;", "&amp;Inschrijf_Hernieuwbare_Energie_Totaal[[#Headers],[A2]],Database_Productkaarten[#All],48,FALSE)*Optimalisatie!J25),Baseline_Backlog!E338),0))</f>
        <v>1051.0538775</v>
      </c>
      <c r="F338" s="91">
        <f>(IF(Optimalisatie!C25="Nieuwe Situatie",_xlfn.IFNA(IF(Optimalisatie!E25="Categorie_1_LCA_Producten",VLOOKUP(Inschrijf_Hernieuwbare_Energie_Totaal[[#This Row],[Product]],Categorie_1_Producten[#All],22,FALSE)*(Optimalisatie!J25),VLOOKUP(Inschrijf_Hernieuwbare_Energie_Totaal[[#This Row],[Product]]&amp;", "&amp;Inschrijf_Hernieuwbare_Energie_Totaal[[#Headers],[A3]],Database_Productkaarten[#All],48,FALSE)*Optimalisatie!J25),Baseline_Backlog!F338),0))</f>
        <v>5604.9077210000005</v>
      </c>
      <c r="G338" s="91">
        <f>(IF(Optimalisatie!C25="Nieuwe Situatie",_xlfn.IFNA(IF(Optimalisatie!E25="Categorie_1_LCA_Producten",VLOOKUP(Inschrijf_Hernieuwbare_Energie_Totaal[[#This Row],[Product]],Categorie_1_Producten[#All],27,FALSE)*(Optimalisatie!J25),VLOOKUP(Inschrijf_Hernieuwbare_Energie_Totaal[[#This Row],[Product]]&amp;", "&amp;Inschrijf_Hernieuwbare_Energie_Totaal[[#Headers],[A1-A3]],Database_Productkaarten[#All],48,FALSE)*Optimalisatie!J25),Baseline_Backlog!G338),0))</f>
        <v>63513.489788499995</v>
      </c>
      <c r="H338" s="91">
        <f>(IF(Optimalisatie!C25="Nieuwe Situatie",_xlfn.IFNA(VLOOKUP(Optimalisatie!V25,Database_Transport[#All],42,FALSE)*(Optimalisatie!R25*Optimalisatie!U25),Baseline_Backlog!H338),0))</f>
        <v>427.40005342199998</v>
      </c>
      <c r="I338" s="91">
        <f>IF(Optimalisatie!C25="Nieuwe situatie",IF(_xlfn.IFNA((VLOOKUP(Optimalisatie!W25,Database_Asfalt_Aanlegset[#All],42,FALSE)*Optimalisatie!J25),0)+_xlfn.IFNA(VLOOKUP(Optimalisatie!X25,Database_Brandstoffen[#All],42,FALSE)*((Optimalisatie!J25/Optimalisatie!Z25)*Optimalisatie!Y25),0)&gt;0,_xlfn.IFNA((VLOOKUP(Optimalisatie!W25,Database_Asfalt_Aanlegset[#All],42,FALSE)*Optimalisatie!J25),0)+_xlfn.IFNA(VLOOKUP(Optimalisatie!X25,Database_Brandstoffen[#All],42,FALSE)*((Optimalisatie!J25/Optimalisatie!Z25)*Optimalisatie!Y25),0),(_xlfn.IFNA(VLOOKUP(Inschrijf_Hernieuwbare_Energie_Totaal[[#This Row],[Product]]&amp;", "&amp;Inschrijf_MKI_Totaal[[#Headers],[A5]],Database_Productkaarten[#All],48,FALSE),0)*Optimalisatie!J25)),0)</f>
        <v>1657.3446592157381</v>
      </c>
      <c r="J338" s="91">
        <f>(IF(Optimalisatie!C25="Nieuwe Situatie",_xlfn.IFNA(IF(Optimalisatie!E25="Categorie_1_LCA_Producten",VLOOKUP(Inschrijf_Hernieuwbare_Energie_Totaal[[#This Row],[Product]],Categorie_1_Producten[#All],28,FALSE)*(Optimalisatie!R25),VLOOKUP(Inschrijf_Hernieuwbare_Energie_Totaal[[#This Row],[Product]]&amp;", "&amp;Inschrijf_Hernieuwbare_Energie_Totaal[[#Headers],[B1]],Database_Productkaarten[#All],47,FALSE)*Optimalisatie!J25),Baseline_Backlog!J338),0))</f>
        <v>0</v>
      </c>
      <c r="K338" s="91">
        <f>(IF(Optimalisatie!C25="Nieuwe Situatie",_xlfn.IFNA(SUM(Inschrijf_Hernieuwbare_Energie_Totaal[[#This Row],[A1]:[B1]],Inschrijf_Hernieuwbare_Energie_Totaal[[#This Row],[C1]:[D2]])*Optimalisatie!T25,0),0))</f>
        <v>0</v>
      </c>
      <c r="L338" s="91">
        <f>IF(Optimalisatie!C25="Bestaande situatie",IF(_xlfn.IFNA((VLOOKUP(Optimalisatie!AA25,Database_Asfalt_Verwijderset[#All],42,FALSE)*Optimalisatie!J25),0)+_xlfn.IFNA(VLOOKUP(Optimalisatie!AB25,Database_Brandstoffen[#All],42,FALSE)*((Optimalisatie!J25/Optimalisatie!AD25)*Optimalisatie!AC25),0)&gt;0,_xlfn.IFNA((VLOOKUP(Optimalisatie!AA25,Database_Asfalt_Verwijderset[#All],42,FALSE)*Optimalisatie!J25),0)+_xlfn.IFNA(VLOOKUP(Optimalisatie!AB25,Database_Brandstoffen[#All],42,FALSE)*((Optimalisatie!J25/Optimalisatie!AD25)*Optimalisatie!AC25),0),(_xlfn.IFNA(VLOOKUP(Inschrijf_Hernieuwbare_Energie_Totaal[[#This Row],[Product]]&amp;", "&amp;Inschrijf_MKI_Totaal[[#Headers],[C1]],Database_Productkaarten[#All],48,FALSE),0)*Optimalisatie!J25)),0)</f>
        <v>0</v>
      </c>
      <c r="M338" s="91">
        <f>(IF(Optimalisatie!C25="Bestaande Situatie",_xlfn.IFNA(VLOOKUP(Optimalisatie!AF25,Database_Transport[#All],42,FALSE)*(Optimalisatie!R25*Optimalisatie!AE25),Baseline_Backlog!M338),0))</f>
        <v>0</v>
      </c>
      <c r="N338" s="91">
        <f>(IF(Optimalisatie!C25="Bestaande Situatie",_xlfn.IFNA(VLOOKUP(Optimalisatie!AG25,Database_Asfalt_Verwerkingsset[#All],42,FALSE)*(Optimalisatie!J25/VLOOKUP(Optimalisatie!AG25,Database_Asfalt_Verwerkingsset[#All],42,FALSE)),Baseline_Backlog!N338),0))</f>
        <v>0</v>
      </c>
      <c r="O338" s="91">
        <f>(IF(Optimalisatie!C25="Bestaande Situatie",_xlfn.IFNA(VLOOKUP(Inschrijf_Hernieuwbare_Energie_Totaal[[#This Row],[Product]]&amp;", "&amp;Inschrijf_MKI_Totaal[[#Headers],[C4]],Database_Productkaarten[#All],48,FALSE)*Optimalisatie!J25,Baseline_Backlog!O338),0))</f>
        <v>0</v>
      </c>
      <c r="P338" s="91">
        <f>(IF(Optimalisatie!C25="Bestaande Situatie",_xlfn.IFNA(IF(Optimalisatie!E25="Categorie_1_LCA_Producten",VLOOKUP(Inschrijf_Hernieuwbare_Energie_Totaal[[#This Row],[Product]],Categorie_1_Producten[#All],24,FALSE)*(Optimalisatie!J25),VLOOKUP(Inschrijf_Hernieuwbare_Energie_Totaal[[#This Row],[Product]]&amp;", "&amp;Inschrijf_Hernieuwbare_Energie_Totaal[[#Headers],[D1]],Database_Productkaarten[#All],48,FALSE)*Optimalisatie!J25),Baseline_Backlog!P338),0))</f>
        <v>0</v>
      </c>
      <c r="Q338" s="91">
        <f>(IF(Optimalisatie!C25="Bestaande Situatie",_xlfn.IFNA(IF(Optimalisatie!E25="Categorie_1_LCA_Producten",VLOOKUP(Inschrijf_Hernieuwbare_Energie_Totaal[[#This Row],[Product]],Categorie_1_Producten[#All],25,FALSE)*(Optimalisatie!J25),VLOOKUP(Inschrijf_Hernieuwbare_Energie_Totaal[[#This Row],[Product]]&amp;", "&amp;Inschrijf_Hernieuwbare_Energie_Totaal[[#Headers],[D2]],Database_Productkaarten[#All],48,FALSE)*Optimalisatie!J25),Baseline_Backlog!Q338),0))</f>
        <v>0</v>
      </c>
      <c r="R338" s="91">
        <f>(IF(Optimalisatie!C25="Bestaande Situatie",_xlfn.IFNA(IF(Optimalisatie!E25="Categorie_1_LCA_Producten",VLOOKUP(Inschrijf_Hernieuwbare_Energie_Totaal[[#This Row],[Product]],Categorie_1_Producten[#All],29,FALSE)*(Optimalisatie!J25),VLOOKUP(Inschrijf_Hernieuwbare_Energie_Totaal[[#This Row],[Product]]&amp;", "&amp;Inschrijf_Hernieuwbare_Energie_Totaal[[#Headers],[D]],Database_Productkaarten[#All],48,FALSE)*Optimalisatie!J25),Baseline_Backlog!S338),0))</f>
        <v>0</v>
      </c>
      <c r="S338" s="91">
        <f>SUM(Inschrijf_Hernieuwbare_Energie_Totaal[[#This Row],[A1-A3]:[C4]])+Inschrijf_Hernieuwbare_Energie_Totaal[[#This Row],[D]]</f>
        <v>65598.234501137733</v>
      </c>
    </row>
    <row r="339" spans="2:19">
      <c r="B339" s="208" t="str">
        <f>Optimalisatie!B26</f>
        <v>330010 - Leveren en aanbrengen kolken</v>
      </c>
      <c r="C339" s="1" t="str">
        <f>Optimalisatie!F26</f>
        <v>Kolk, Staal &amp; Beton</v>
      </c>
      <c r="D339" s="91">
        <f>(IF(Optimalisatie!C26="Nieuwe Situatie",_xlfn.IFNA(IF(Optimalisatie!E26="Categorie_1_LCA_Producten",VLOOKUP(Inschrijf_Hernieuwbare_Energie_Totaal[[#This Row],[Product]],Categorie_1_Producten[#All],20,FALSE)*(Optimalisatie!J26),VLOOKUP(Inschrijf_Hernieuwbare_Energie_Totaal[[#This Row],[Product]]&amp;", "&amp;Inschrijf_Hernieuwbare_Energie_Totaal[[#Headers],[A1]],Database_Productkaarten[#All],48,FALSE)*Optimalisatie!J26),Baseline_Backlog!D339),0))</f>
        <v>7201.3525200000004</v>
      </c>
      <c r="E339" s="91">
        <f>(IF(Optimalisatie!C26="Nieuwe Situatie",_xlfn.IFNA(IF(Optimalisatie!E26="Categorie_1_LCA_Producten",VLOOKUP(Inschrijf_Hernieuwbare_Energie_Totaal[[#This Row],[Product]],Categorie_1_Producten[#All],21,FALSE)*(Optimalisatie!J26),VLOOKUP(Inschrijf_Hernieuwbare_Energie_Totaal[[#This Row],[Product]]&amp;", "&amp;Inschrijf_Hernieuwbare_Energie_Totaal[[#Headers],[A2]],Database_Productkaarten[#All],48,FALSE)*Optimalisatie!J26),Baseline_Backlog!E339),0))</f>
        <v>74.388994699999998</v>
      </c>
      <c r="F339" s="91">
        <f>(IF(Optimalisatie!C26="Nieuwe Situatie",_xlfn.IFNA(IF(Optimalisatie!E26="Categorie_1_LCA_Producten",VLOOKUP(Inschrijf_Hernieuwbare_Energie_Totaal[[#This Row],[Product]],Categorie_1_Producten[#All],22,FALSE)*(Optimalisatie!J26),VLOOKUP(Inschrijf_Hernieuwbare_Energie_Totaal[[#This Row],[Product]]&amp;", "&amp;Inschrijf_Hernieuwbare_Energie_Totaal[[#Headers],[A3]],Database_Productkaarten[#All],48,FALSE)*Optimalisatie!J26),Baseline_Backlog!F339),0))</f>
        <v>283.64882419999998</v>
      </c>
      <c r="G339" s="91">
        <f>(IF(Optimalisatie!C26="Nieuwe Situatie",_xlfn.IFNA(IF(Optimalisatie!E26="Categorie_1_LCA_Producten",VLOOKUP(Inschrijf_Hernieuwbare_Energie_Totaal[[#This Row],[Product]],Categorie_1_Producten[#All],27,FALSE)*(Optimalisatie!J26),VLOOKUP(Inschrijf_Hernieuwbare_Energie_Totaal[[#This Row],[Product]]&amp;", "&amp;Inschrijf_Hernieuwbare_Energie_Totaal[[#Headers],[A1-A3]],Database_Productkaarten[#All],48,FALSE)*Optimalisatie!J26),Baseline_Backlog!G339),0))</f>
        <v>7559.3903389000006</v>
      </c>
      <c r="H339" s="91">
        <f>(IF(Optimalisatie!C26="Nieuwe Situatie",_xlfn.IFNA(VLOOKUP(Optimalisatie!V26,Database_Transport[#All],42,FALSE)*(Optimalisatie!R26*Optimalisatie!U26),Baseline_Backlog!H339),0))</f>
        <v>29.142236938188002</v>
      </c>
      <c r="I339" s="91">
        <f>IF(Optimalisatie!C26="Nieuwe situatie",IF(_xlfn.IFNA((VLOOKUP(Optimalisatie!W26,Database_Asfalt_Aanlegset[#All],42,FALSE)*Optimalisatie!J26),0)+_xlfn.IFNA(VLOOKUP(Optimalisatie!X26,Database_Brandstoffen[#All],42,FALSE)*((Optimalisatie!J26/Optimalisatie!Z26)*Optimalisatie!Y26),0)&gt;0,_xlfn.IFNA((VLOOKUP(Optimalisatie!W26,Database_Asfalt_Aanlegset[#All],42,FALSE)*Optimalisatie!J26),0)+_xlfn.IFNA(VLOOKUP(Optimalisatie!X26,Database_Brandstoffen[#All],42,FALSE)*((Optimalisatie!J26/Optimalisatie!Z26)*Optimalisatie!Y26),0),(_xlfn.IFNA(VLOOKUP(Inschrijf_Hernieuwbare_Energie_Totaal[[#This Row],[Product]]&amp;", "&amp;Inschrijf_MKI_Totaal[[#Headers],[A5]],Database_Productkaarten[#All],48,FALSE),0)*Optimalisatie!J26)),0)</f>
        <v>920.39167307632306</v>
      </c>
      <c r="J339" s="91">
        <f>(IF(Optimalisatie!C26="Nieuwe Situatie",_xlfn.IFNA(IF(Optimalisatie!E26="Categorie_1_LCA_Producten",VLOOKUP(Inschrijf_Hernieuwbare_Energie_Totaal[[#This Row],[Product]],Categorie_1_Producten[#All],28,FALSE)*(Optimalisatie!R26),VLOOKUP(Inschrijf_Hernieuwbare_Energie_Totaal[[#This Row],[Product]]&amp;", "&amp;Inschrijf_Hernieuwbare_Energie_Totaal[[#Headers],[B1]],Database_Productkaarten[#All],47,FALSE)*Optimalisatie!J26),Baseline_Backlog!J339),0))</f>
        <v>0</v>
      </c>
      <c r="K339" s="91">
        <f>(IF(Optimalisatie!C26="Nieuwe Situatie",_xlfn.IFNA(SUM(Inschrijf_Hernieuwbare_Energie_Totaal[[#This Row],[A1]:[B1]],Inschrijf_Hernieuwbare_Energie_Totaal[[#This Row],[C1]:[D2]])*Optimalisatie!T26,0),0))</f>
        <v>0</v>
      </c>
      <c r="L339" s="91">
        <f>IF(Optimalisatie!C26="Bestaande situatie",IF(_xlfn.IFNA((VLOOKUP(Optimalisatie!AA26,Database_Asfalt_Verwijderset[#All],42,FALSE)*Optimalisatie!J26),0)+_xlfn.IFNA(VLOOKUP(Optimalisatie!AB26,Database_Brandstoffen[#All],42,FALSE)*((Optimalisatie!J26/Optimalisatie!AD26)*Optimalisatie!AC26),0)&gt;0,_xlfn.IFNA((VLOOKUP(Optimalisatie!AA26,Database_Asfalt_Verwijderset[#All],42,FALSE)*Optimalisatie!J26),0)+_xlfn.IFNA(VLOOKUP(Optimalisatie!AB26,Database_Brandstoffen[#All],42,FALSE)*((Optimalisatie!J26/Optimalisatie!AD26)*Optimalisatie!AC26),0),(_xlfn.IFNA(VLOOKUP(Inschrijf_Hernieuwbare_Energie_Totaal[[#This Row],[Product]]&amp;", "&amp;Inschrijf_MKI_Totaal[[#Headers],[C1]],Database_Productkaarten[#All],48,FALSE),0)*Optimalisatie!J26)),0)</f>
        <v>0</v>
      </c>
      <c r="M339" s="91">
        <f>(IF(Optimalisatie!C26="Bestaande Situatie",_xlfn.IFNA(VLOOKUP(Optimalisatie!AF26,Database_Transport[#All],42,FALSE)*(Optimalisatie!R26*Optimalisatie!AE26),Baseline_Backlog!M339),0))</f>
        <v>0</v>
      </c>
      <c r="N339" s="91">
        <f>(IF(Optimalisatie!C26="Bestaande Situatie",_xlfn.IFNA(VLOOKUP(Optimalisatie!AG26,Database_Asfalt_Verwerkingsset[#All],42,FALSE)*(Optimalisatie!J26/VLOOKUP(Optimalisatie!AG26,Database_Asfalt_Verwerkingsset[#All],42,FALSE)),Baseline_Backlog!N339),0))</f>
        <v>0</v>
      </c>
      <c r="O339" s="91">
        <f>(IF(Optimalisatie!C26="Bestaande Situatie",_xlfn.IFNA(VLOOKUP(Inschrijf_Hernieuwbare_Energie_Totaal[[#This Row],[Product]]&amp;", "&amp;Inschrijf_MKI_Totaal[[#Headers],[C4]],Database_Productkaarten[#All],48,FALSE)*Optimalisatie!J26,Baseline_Backlog!O339),0))</f>
        <v>0</v>
      </c>
      <c r="P339" s="91">
        <f>(IF(Optimalisatie!C26="Bestaande Situatie",_xlfn.IFNA(IF(Optimalisatie!E26="Categorie_1_LCA_Producten",VLOOKUP(Inschrijf_Hernieuwbare_Energie_Totaal[[#This Row],[Product]],Categorie_1_Producten[#All],24,FALSE)*(Optimalisatie!J26),VLOOKUP(Inschrijf_Hernieuwbare_Energie_Totaal[[#This Row],[Product]]&amp;", "&amp;Inschrijf_Hernieuwbare_Energie_Totaal[[#Headers],[D1]],Database_Productkaarten[#All],48,FALSE)*Optimalisatie!J26),Baseline_Backlog!P339),0))</f>
        <v>0</v>
      </c>
      <c r="Q339" s="91">
        <f>(IF(Optimalisatie!C26="Bestaande Situatie",_xlfn.IFNA(IF(Optimalisatie!E26="Categorie_1_LCA_Producten",VLOOKUP(Inschrijf_Hernieuwbare_Energie_Totaal[[#This Row],[Product]],Categorie_1_Producten[#All],25,FALSE)*(Optimalisatie!J26),VLOOKUP(Inschrijf_Hernieuwbare_Energie_Totaal[[#This Row],[Product]]&amp;", "&amp;Inschrijf_Hernieuwbare_Energie_Totaal[[#Headers],[D2]],Database_Productkaarten[#All],48,FALSE)*Optimalisatie!J26),Baseline_Backlog!Q339),0))</f>
        <v>0</v>
      </c>
      <c r="R339" s="91">
        <f>(IF(Optimalisatie!C26="Bestaande Situatie",_xlfn.IFNA(IF(Optimalisatie!E26="Categorie_1_LCA_Producten",VLOOKUP(Inschrijf_Hernieuwbare_Energie_Totaal[[#This Row],[Product]],Categorie_1_Producten[#All],29,FALSE)*(Optimalisatie!J26),VLOOKUP(Inschrijf_Hernieuwbare_Energie_Totaal[[#This Row],[Product]]&amp;", "&amp;Inschrijf_Hernieuwbare_Energie_Totaal[[#Headers],[D]],Database_Productkaarten[#All],48,FALSE)*Optimalisatie!J26),Baseline_Backlog!S339),0))</f>
        <v>0</v>
      </c>
      <c r="S339" s="91">
        <f>SUM(Inschrijf_Hernieuwbare_Energie_Totaal[[#This Row],[A1-A3]:[C4]])+Inschrijf_Hernieuwbare_Energie_Totaal[[#This Row],[D]]</f>
        <v>8508.9242489145108</v>
      </c>
    </row>
    <row r="340" spans="2:19">
      <c r="B340" s="208" t="str">
        <f>Optimalisatie!B27</f>
        <v>420010 - Leveren en aanbrengen fundering menggranulaat, (250mm dik)</v>
      </c>
      <c r="C340" s="1" t="str">
        <f>Optimalisatie!F27</f>
        <v>Menggranulaat 250mm</v>
      </c>
      <c r="D340" s="91">
        <f>(IF(Optimalisatie!C27="Nieuwe Situatie",_xlfn.IFNA(IF(Optimalisatie!E27="Categorie_1_LCA_Producten",VLOOKUP(Inschrijf_Hernieuwbare_Energie_Totaal[[#This Row],[Product]],Categorie_1_Producten[#All],20,FALSE)*(Optimalisatie!J27),VLOOKUP(Inschrijf_Hernieuwbare_Energie_Totaal[[#This Row],[Product]]&amp;", "&amp;Inschrijf_Hernieuwbare_Energie_Totaal[[#Headers],[A1]],Database_Productkaarten[#All],48,FALSE)*Optimalisatie!J27),Baseline_Backlog!D340),0))</f>
        <v>0</v>
      </c>
      <c r="E340" s="91">
        <f>(IF(Optimalisatie!C27="Nieuwe Situatie",_xlfn.IFNA(IF(Optimalisatie!E27="Categorie_1_LCA_Producten",VLOOKUP(Inschrijf_Hernieuwbare_Energie_Totaal[[#This Row],[Product]],Categorie_1_Producten[#All],21,FALSE)*(Optimalisatie!J27),VLOOKUP(Inschrijf_Hernieuwbare_Energie_Totaal[[#This Row],[Product]]&amp;", "&amp;Inschrijf_Hernieuwbare_Energie_Totaal[[#Headers],[A2]],Database_Productkaarten[#All],48,FALSE)*Optimalisatie!J27),Baseline_Backlog!E340),0))</f>
        <v>0</v>
      </c>
      <c r="F340" s="91">
        <f>(IF(Optimalisatie!C27="Nieuwe Situatie",_xlfn.IFNA(IF(Optimalisatie!E27="Categorie_1_LCA_Producten",VLOOKUP(Inschrijf_Hernieuwbare_Energie_Totaal[[#This Row],[Product]],Categorie_1_Producten[#All],22,FALSE)*(Optimalisatie!J27),VLOOKUP(Inschrijf_Hernieuwbare_Energie_Totaal[[#This Row],[Product]]&amp;", "&amp;Inschrijf_Hernieuwbare_Energie_Totaal[[#Headers],[A3]],Database_Productkaarten[#All],48,FALSE)*Optimalisatie!J27),Baseline_Backlog!F340),0))</f>
        <v>0</v>
      </c>
      <c r="G340" s="91">
        <f>(IF(Optimalisatie!C27="Nieuwe Situatie",_xlfn.IFNA(IF(Optimalisatie!E27="Categorie_1_LCA_Producten",VLOOKUP(Inschrijf_Hernieuwbare_Energie_Totaal[[#This Row],[Product]],Categorie_1_Producten[#All],27,FALSE)*(Optimalisatie!J27),VLOOKUP(Inschrijf_Hernieuwbare_Energie_Totaal[[#This Row],[Product]]&amp;", "&amp;Inschrijf_Hernieuwbare_Energie_Totaal[[#Headers],[A1-A3]],Database_Productkaarten[#All],48,FALSE)*Optimalisatie!J27),Baseline_Backlog!G340),0))</f>
        <v>0</v>
      </c>
      <c r="H340" s="91">
        <f>(IF(Optimalisatie!C27="Nieuwe Situatie",_xlfn.IFNA(VLOOKUP(Optimalisatie!V27,Database_Transport[#All],42,FALSE)*(Optimalisatie!R27*Optimalisatie!U27),Baseline_Backlog!H340),0))</f>
        <v>3384.0934803</v>
      </c>
      <c r="I340" s="91">
        <f>IF(Optimalisatie!C27="Nieuwe situatie",IF(_xlfn.IFNA((VLOOKUP(Optimalisatie!W27,Database_Asfalt_Aanlegset[#All],42,FALSE)*Optimalisatie!J27),0)+_xlfn.IFNA(VLOOKUP(Optimalisatie!X27,Database_Brandstoffen[#All],42,FALSE)*((Optimalisatie!J27/Optimalisatie!Z27)*Optimalisatie!Y27),0)&gt;0,_xlfn.IFNA((VLOOKUP(Optimalisatie!W27,Database_Asfalt_Aanlegset[#All],42,FALSE)*Optimalisatie!J27),0)+_xlfn.IFNA(VLOOKUP(Optimalisatie!X27,Database_Brandstoffen[#All],42,FALSE)*((Optimalisatie!J27/Optimalisatie!Z27)*Optimalisatie!Y27),0),(_xlfn.IFNA(VLOOKUP(Inschrijf_Hernieuwbare_Energie_Totaal[[#This Row],[Product]]&amp;", "&amp;Inschrijf_MKI_Totaal[[#Headers],[A5]],Database_Productkaarten[#All],48,FALSE),0)*Optimalisatie!J27)),0)</f>
        <v>5442.57171432</v>
      </c>
      <c r="J340" s="91">
        <f>(IF(Optimalisatie!C27="Nieuwe Situatie",_xlfn.IFNA(IF(Optimalisatie!E27="Categorie_1_LCA_Producten",VLOOKUP(Inschrijf_Hernieuwbare_Energie_Totaal[[#This Row],[Product]],Categorie_1_Producten[#All],28,FALSE)*(Optimalisatie!R27),VLOOKUP(Inschrijf_Hernieuwbare_Energie_Totaal[[#This Row],[Product]]&amp;", "&amp;Inschrijf_Hernieuwbare_Energie_Totaal[[#Headers],[B1]],Database_Productkaarten[#All],47,FALSE)*Optimalisatie!J27),Baseline_Backlog!J340),0))</f>
        <v>0</v>
      </c>
      <c r="K340" s="91">
        <f>(IF(Optimalisatie!C27="Nieuwe Situatie",_xlfn.IFNA(SUM(Inschrijf_Hernieuwbare_Energie_Totaal[[#This Row],[A1]:[B1]],Inschrijf_Hernieuwbare_Energie_Totaal[[#This Row],[C1]:[D2]])*Optimalisatie!T27,0),0))</f>
        <v>0</v>
      </c>
      <c r="L340" s="91">
        <f>IF(Optimalisatie!C27="Bestaande situatie",IF(_xlfn.IFNA((VLOOKUP(Optimalisatie!AA27,Database_Asfalt_Verwijderset[#All],42,FALSE)*Optimalisatie!J27),0)+_xlfn.IFNA(VLOOKUP(Optimalisatie!AB27,Database_Brandstoffen[#All],42,FALSE)*((Optimalisatie!J27/Optimalisatie!AD27)*Optimalisatie!AC27),0)&gt;0,_xlfn.IFNA((VLOOKUP(Optimalisatie!AA27,Database_Asfalt_Verwijderset[#All],42,FALSE)*Optimalisatie!J27),0)+_xlfn.IFNA(VLOOKUP(Optimalisatie!AB27,Database_Brandstoffen[#All],42,FALSE)*((Optimalisatie!J27/Optimalisatie!AD27)*Optimalisatie!AC27),0),(_xlfn.IFNA(VLOOKUP(Inschrijf_Hernieuwbare_Energie_Totaal[[#This Row],[Product]]&amp;", "&amp;Inschrijf_MKI_Totaal[[#Headers],[C1]],Database_Productkaarten[#All],48,FALSE),0)*Optimalisatie!J27)),0)</f>
        <v>0</v>
      </c>
      <c r="M340" s="91">
        <f>(IF(Optimalisatie!C27="Bestaande Situatie",_xlfn.IFNA(VLOOKUP(Optimalisatie!AF27,Database_Transport[#All],42,FALSE)*(Optimalisatie!R27*Optimalisatie!AE27),Baseline_Backlog!M340),0))</f>
        <v>0</v>
      </c>
      <c r="N340" s="91">
        <f>(IF(Optimalisatie!C27="Bestaande Situatie",_xlfn.IFNA(VLOOKUP(Optimalisatie!AG27,Database_Asfalt_Verwerkingsset[#All],42,FALSE)*(Optimalisatie!J27/VLOOKUP(Optimalisatie!AG27,Database_Asfalt_Verwerkingsset[#All],42,FALSE)),Baseline_Backlog!N340),0))</f>
        <v>0</v>
      </c>
      <c r="O340" s="91">
        <f>(IF(Optimalisatie!C27="Bestaande Situatie",_xlfn.IFNA(VLOOKUP(Inschrijf_Hernieuwbare_Energie_Totaal[[#This Row],[Product]]&amp;", "&amp;Inschrijf_MKI_Totaal[[#Headers],[C4]],Database_Productkaarten[#All],48,FALSE)*Optimalisatie!J27,Baseline_Backlog!O340),0))</f>
        <v>0</v>
      </c>
      <c r="P340" s="91">
        <f>(IF(Optimalisatie!C27="Bestaande Situatie",_xlfn.IFNA(IF(Optimalisatie!E27="Categorie_1_LCA_Producten",VLOOKUP(Inschrijf_Hernieuwbare_Energie_Totaal[[#This Row],[Product]],Categorie_1_Producten[#All],24,FALSE)*(Optimalisatie!J27),VLOOKUP(Inschrijf_Hernieuwbare_Energie_Totaal[[#This Row],[Product]]&amp;", "&amp;Inschrijf_Hernieuwbare_Energie_Totaal[[#Headers],[D1]],Database_Productkaarten[#All],48,FALSE)*Optimalisatie!J27),Baseline_Backlog!P340),0))</f>
        <v>0</v>
      </c>
      <c r="Q340" s="91">
        <f>(IF(Optimalisatie!C27="Bestaande Situatie",_xlfn.IFNA(IF(Optimalisatie!E27="Categorie_1_LCA_Producten",VLOOKUP(Inschrijf_Hernieuwbare_Energie_Totaal[[#This Row],[Product]],Categorie_1_Producten[#All],25,FALSE)*(Optimalisatie!J27),VLOOKUP(Inschrijf_Hernieuwbare_Energie_Totaal[[#This Row],[Product]]&amp;", "&amp;Inschrijf_Hernieuwbare_Energie_Totaal[[#Headers],[D2]],Database_Productkaarten[#All],48,FALSE)*Optimalisatie!J27),Baseline_Backlog!Q340),0))</f>
        <v>0</v>
      </c>
      <c r="R340" s="91">
        <f>(IF(Optimalisatie!C27="Bestaande Situatie",_xlfn.IFNA(IF(Optimalisatie!E27="Categorie_1_LCA_Producten",VLOOKUP(Inschrijf_Hernieuwbare_Energie_Totaal[[#This Row],[Product]],Categorie_1_Producten[#All],29,FALSE)*(Optimalisatie!J27),VLOOKUP(Inschrijf_Hernieuwbare_Energie_Totaal[[#This Row],[Product]]&amp;", "&amp;Inschrijf_Hernieuwbare_Energie_Totaal[[#Headers],[D]],Database_Productkaarten[#All],48,FALSE)*Optimalisatie!J27),Baseline_Backlog!S340),0))</f>
        <v>0</v>
      </c>
      <c r="S340" s="91">
        <f>SUM(Inschrijf_Hernieuwbare_Energie_Totaal[[#This Row],[A1-A3]:[C4]])+Inschrijf_Hernieuwbare_Energie_Totaal[[#This Row],[D]]</f>
        <v>8826.66519462</v>
      </c>
    </row>
    <row r="341" spans="2:19">
      <c r="B341" s="208" t="str">
        <f>Optimalisatie!B28</f>
        <v>430010 - Leveren en aanbrengen trottoirbanden 180/200x250</v>
      </c>
      <c r="C341" s="1" t="str">
        <f>Optimalisatie!F28</f>
        <v>Trottoirband 180/200x250</v>
      </c>
      <c r="D341" s="91">
        <f>(IF(Optimalisatie!C28="Nieuwe Situatie",_xlfn.IFNA(IF(Optimalisatie!E28="Categorie_1_LCA_Producten",VLOOKUP(Inschrijf_Hernieuwbare_Energie_Totaal[[#This Row],[Product]],Categorie_1_Producten[#All],20,FALSE)*(Optimalisatie!J28),VLOOKUP(Inschrijf_Hernieuwbare_Energie_Totaal[[#This Row],[Product]]&amp;", "&amp;Inschrijf_Hernieuwbare_Energie_Totaal[[#Headers],[A1]],Database_Productkaarten[#All],48,FALSE)*Optimalisatie!J28),Baseline_Backlog!D341),0))</f>
        <v>1336.1643294230771</v>
      </c>
      <c r="E341" s="91">
        <f>(IF(Optimalisatie!C28="Nieuwe Situatie",_xlfn.IFNA(IF(Optimalisatie!E28="Categorie_1_LCA_Producten",VLOOKUP(Inschrijf_Hernieuwbare_Energie_Totaal[[#This Row],[Product]],Categorie_1_Producten[#All],21,FALSE)*(Optimalisatie!J28),VLOOKUP(Inschrijf_Hernieuwbare_Energie_Totaal[[#This Row],[Product]]&amp;", "&amp;Inschrijf_Hernieuwbare_Energie_Totaal[[#Headers],[A2]],Database_Productkaarten[#All],48,FALSE)*Optimalisatie!J28),Baseline_Backlog!E341),0))</f>
        <v>18.83669798076923</v>
      </c>
      <c r="F341" s="91">
        <f>(IF(Optimalisatie!C28="Nieuwe Situatie",_xlfn.IFNA(IF(Optimalisatie!E28="Categorie_1_LCA_Producten",VLOOKUP(Inschrijf_Hernieuwbare_Energie_Totaal[[#This Row],[Product]],Categorie_1_Producten[#All],22,FALSE)*(Optimalisatie!J28),VLOOKUP(Inschrijf_Hernieuwbare_Energie_Totaal[[#This Row],[Product]]&amp;", "&amp;Inschrijf_Hernieuwbare_Energie_Totaal[[#Headers],[A3]],Database_Productkaarten[#All],48,FALSE)*Optimalisatie!J28),Baseline_Backlog!F341),0))</f>
        <v>103.35149705769231</v>
      </c>
      <c r="G341" s="91">
        <f>(IF(Optimalisatie!C28="Nieuwe Situatie",_xlfn.IFNA(IF(Optimalisatie!E28="Categorie_1_LCA_Producten",VLOOKUP(Inschrijf_Hernieuwbare_Energie_Totaal[[#This Row],[Product]],Categorie_1_Producten[#All],27,FALSE)*(Optimalisatie!J28),VLOOKUP(Inschrijf_Hernieuwbare_Energie_Totaal[[#This Row],[Product]]&amp;", "&amp;Inschrijf_Hernieuwbare_Energie_Totaal[[#Headers],[A1-A3]],Database_Productkaarten[#All],48,FALSE)*Optimalisatie!J28),Baseline_Backlog!G341),0))</f>
        <v>1458.3525244615387</v>
      </c>
      <c r="H341" s="91">
        <f>(IF(Optimalisatie!C28="Nieuwe Situatie",_xlfn.IFNA(VLOOKUP(Optimalisatie!V28,Database_Transport[#All],42,FALSE)*(Optimalisatie!R28*Optimalisatie!U28),Baseline_Backlog!H341),0))</f>
        <v>6.0307525926487502</v>
      </c>
      <c r="I341" s="91">
        <f>IF(Optimalisatie!C28="Nieuwe situatie",IF(_xlfn.IFNA((VLOOKUP(Optimalisatie!W28,Database_Asfalt_Aanlegset[#All],42,FALSE)*Optimalisatie!J28),0)+_xlfn.IFNA(VLOOKUP(Optimalisatie!X28,Database_Brandstoffen[#All],42,FALSE)*((Optimalisatie!J28/Optimalisatie!Z28)*Optimalisatie!Y28),0)&gt;0,_xlfn.IFNA((VLOOKUP(Optimalisatie!W28,Database_Asfalt_Aanlegset[#All],42,FALSE)*Optimalisatie!J28),0)+_xlfn.IFNA(VLOOKUP(Optimalisatie!X28,Database_Brandstoffen[#All],42,FALSE)*((Optimalisatie!J28/Optimalisatie!Z28)*Optimalisatie!Y28),0),(_xlfn.IFNA(VLOOKUP(Inschrijf_Hernieuwbare_Energie_Totaal[[#This Row],[Product]]&amp;", "&amp;Inschrijf_MKI_Totaal[[#Headers],[A5]],Database_Productkaarten[#All],48,FALSE),0)*Optimalisatie!J28)),0)</f>
        <v>40.032744253307797</v>
      </c>
      <c r="J341" s="91">
        <f>(IF(Optimalisatie!C28="Nieuwe Situatie",_xlfn.IFNA(IF(Optimalisatie!E28="Categorie_1_LCA_Producten",VLOOKUP(Inschrijf_Hernieuwbare_Energie_Totaal[[#This Row],[Product]],Categorie_1_Producten[#All],28,FALSE)*(Optimalisatie!R28),VLOOKUP(Inschrijf_Hernieuwbare_Energie_Totaal[[#This Row],[Product]]&amp;", "&amp;Inschrijf_Hernieuwbare_Energie_Totaal[[#Headers],[B1]],Database_Productkaarten[#All],47,FALSE)*Optimalisatie!J28),Baseline_Backlog!J341),0))</f>
        <v>0</v>
      </c>
      <c r="K341" s="91">
        <f>(IF(Optimalisatie!C28="Nieuwe Situatie",_xlfn.IFNA(SUM(Inschrijf_Hernieuwbare_Energie_Totaal[[#This Row],[A1]:[B1]],Inschrijf_Hernieuwbare_Energie_Totaal[[#This Row],[C1]:[D2]])*Optimalisatie!T28,0),0))</f>
        <v>0</v>
      </c>
      <c r="L341" s="91">
        <f>IF(Optimalisatie!C28="Bestaande situatie",IF(_xlfn.IFNA((VLOOKUP(Optimalisatie!AA28,Database_Asfalt_Verwijderset[#All],42,FALSE)*Optimalisatie!J28),0)+_xlfn.IFNA(VLOOKUP(Optimalisatie!AB28,Database_Brandstoffen[#All],42,FALSE)*((Optimalisatie!J28/Optimalisatie!AD28)*Optimalisatie!AC28),0)&gt;0,_xlfn.IFNA((VLOOKUP(Optimalisatie!AA28,Database_Asfalt_Verwijderset[#All],42,FALSE)*Optimalisatie!J28),0)+_xlfn.IFNA(VLOOKUP(Optimalisatie!AB28,Database_Brandstoffen[#All],42,FALSE)*((Optimalisatie!J28/Optimalisatie!AD28)*Optimalisatie!AC28),0),(_xlfn.IFNA(VLOOKUP(Inschrijf_Hernieuwbare_Energie_Totaal[[#This Row],[Product]]&amp;", "&amp;Inschrijf_MKI_Totaal[[#Headers],[C1]],Database_Productkaarten[#All],48,FALSE),0)*Optimalisatie!J28)),0)</f>
        <v>0</v>
      </c>
      <c r="M341" s="91">
        <f>(IF(Optimalisatie!C28="Bestaande Situatie",_xlfn.IFNA(VLOOKUP(Optimalisatie!AF28,Database_Transport[#All],42,FALSE)*(Optimalisatie!R28*Optimalisatie!AE28),Baseline_Backlog!M341),0))</f>
        <v>0</v>
      </c>
      <c r="N341" s="91">
        <f>(IF(Optimalisatie!C28="Bestaande Situatie",_xlfn.IFNA(VLOOKUP(Optimalisatie!AG28,Database_Asfalt_Verwerkingsset[#All],42,FALSE)*(Optimalisatie!J28/VLOOKUP(Optimalisatie!AG28,Database_Asfalt_Verwerkingsset[#All],42,FALSE)),Baseline_Backlog!N341),0))</f>
        <v>0</v>
      </c>
      <c r="O341" s="91">
        <f>(IF(Optimalisatie!C28="Bestaande Situatie",_xlfn.IFNA(VLOOKUP(Inschrijf_Hernieuwbare_Energie_Totaal[[#This Row],[Product]]&amp;", "&amp;Inschrijf_MKI_Totaal[[#Headers],[C4]],Database_Productkaarten[#All],48,FALSE)*Optimalisatie!J28,Baseline_Backlog!O341),0))</f>
        <v>0</v>
      </c>
      <c r="P341" s="91">
        <f>(IF(Optimalisatie!C28="Bestaande Situatie",_xlfn.IFNA(IF(Optimalisatie!E28="Categorie_1_LCA_Producten",VLOOKUP(Inschrijf_Hernieuwbare_Energie_Totaal[[#This Row],[Product]],Categorie_1_Producten[#All],24,FALSE)*(Optimalisatie!J28),VLOOKUP(Inschrijf_Hernieuwbare_Energie_Totaal[[#This Row],[Product]]&amp;", "&amp;Inschrijf_Hernieuwbare_Energie_Totaal[[#Headers],[D1]],Database_Productkaarten[#All],48,FALSE)*Optimalisatie!J28),Baseline_Backlog!P341),0))</f>
        <v>0</v>
      </c>
      <c r="Q341" s="91">
        <f>(IF(Optimalisatie!C28="Bestaande Situatie",_xlfn.IFNA(IF(Optimalisatie!E28="Categorie_1_LCA_Producten",VLOOKUP(Inschrijf_Hernieuwbare_Energie_Totaal[[#This Row],[Product]],Categorie_1_Producten[#All],25,FALSE)*(Optimalisatie!J28),VLOOKUP(Inschrijf_Hernieuwbare_Energie_Totaal[[#This Row],[Product]]&amp;", "&amp;Inschrijf_Hernieuwbare_Energie_Totaal[[#Headers],[D2]],Database_Productkaarten[#All],48,FALSE)*Optimalisatie!J28),Baseline_Backlog!Q341),0))</f>
        <v>0</v>
      </c>
      <c r="R341" s="91">
        <f>(IF(Optimalisatie!C28="Bestaande Situatie",_xlfn.IFNA(IF(Optimalisatie!E28="Categorie_1_LCA_Producten",VLOOKUP(Inschrijf_Hernieuwbare_Energie_Totaal[[#This Row],[Product]],Categorie_1_Producten[#All],29,FALSE)*(Optimalisatie!J28),VLOOKUP(Inschrijf_Hernieuwbare_Energie_Totaal[[#This Row],[Product]]&amp;", "&amp;Inschrijf_Hernieuwbare_Energie_Totaal[[#Headers],[D]],Database_Productkaarten[#All],48,FALSE)*Optimalisatie!J28),Baseline_Backlog!S341),0))</f>
        <v>0</v>
      </c>
      <c r="S341" s="91">
        <f>SUM(Inschrijf_Hernieuwbare_Energie_Totaal[[#This Row],[A1-A3]:[C4]])+Inschrijf_Hernieuwbare_Energie_Totaal[[#This Row],[D]]</f>
        <v>1504.4160213074952</v>
      </c>
    </row>
    <row r="342" spans="2:19">
      <c r="B342" s="208" t="str">
        <f>Optimalisatie!B29</f>
        <v>430020 - Leveren en aanbrengen trottoirbanden 130/150x250</v>
      </c>
      <c r="C342" s="1" t="str">
        <f>Optimalisatie!F29</f>
        <v>Trottoirband 130/150x250</v>
      </c>
      <c r="D342" s="91">
        <f>(IF(Optimalisatie!C29="Nieuwe Situatie",_xlfn.IFNA(IF(Optimalisatie!E29="Categorie_1_LCA_Producten",VLOOKUP(Inschrijf_Hernieuwbare_Energie_Totaal[[#This Row],[Product]],Categorie_1_Producten[#All],20,FALSE)*(Optimalisatie!J29),VLOOKUP(Inschrijf_Hernieuwbare_Energie_Totaal[[#This Row],[Product]]&amp;", "&amp;Inschrijf_Hernieuwbare_Energie_Totaal[[#Headers],[A1]],Database_Productkaarten[#All],48,FALSE)*Optimalisatie!J29),Baseline_Backlog!D342),0))</f>
        <v>2088.957566</v>
      </c>
      <c r="E342" s="91">
        <f>(IF(Optimalisatie!C29="Nieuwe Situatie",_xlfn.IFNA(IF(Optimalisatie!E29="Categorie_1_LCA_Producten",VLOOKUP(Inschrijf_Hernieuwbare_Energie_Totaal[[#This Row],[Product]],Categorie_1_Producten[#All],21,FALSE)*(Optimalisatie!J29),VLOOKUP(Inschrijf_Hernieuwbare_Energie_Totaal[[#This Row],[Product]]&amp;", "&amp;Inschrijf_Hernieuwbare_Energie_Totaal[[#Headers],[A2]],Database_Productkaarten[#All],48,FALSE)*Optimalisatie!J29),Baseline_Backlog!E342),0))</f>
        <v>29.449268999999997</v>
      </c>
      <c r="F342" s="91">
        <f>(IF(Optimalisatie!C29="Nieuwe Situatie",_xlfn.IFNA(IF(Optimalisatie!E29="Categorie_1_LCA_Producten",VLOOKUP(Inschrijf_Hernieuwbare_Energie_Totaal[[#This Row],[Product]],Categorie_1_Producten[#All],22,FALSE)*(Optimalisatie!J29),VLOOKUP(Inschrijf_Hernieuwbare_Energie_Totaal[[#This Row],[Product]]&amp;", "&amp;Inschrijf_Hernieuwbare_Energie_Totaal[[#Headers],[A3]],Database_Productkaarten[#All],48,FALSE)*Optimalisatie!J29),Baseline_Backlog!F342),0))</f>
        <v>161.57959540000002</v>
      </c>
      <c r="G342" s="91">
        <f>(IF(Optimalisatie!C29="Nieuwe Situatie",_xlfn.IFNA(IF(Optimalisatie!E29="Categorie_1_LCA_Producten",VLOOKUP(Inschrijf_Hernieuwbare_Energie_Totaal[[#This Row],[Product]],Categorie_1_Producten[#All],27,FALSE)*(Optimalisatie!J29),VLOOKUP(Inschrijf_Hernieuwbare_Energie_Totaal[[#This Row],[Product]]&amp;", "&amp;Inschrijf_Hernieuwbare_Energie_Totaal[[#Headers],[A1-A3]],Database_Productkaarten[#All],48,FALSE)*Optimalisatie!J29),Baseline_Backlog!G342),0))</f>
        <v>2279.9864304000002</v>
      </c>
      <c r="H342" s="91">
        <f>(IF(Optimalisatie!C29="Nieuwe Situatie",_xlfn.IFNA(VLOOKUP(Optimalisatie!V29,Database_Transport[#All],42,FALSE)*(Optimalisatie!R29*Optimalisatie!U29),Baseline_Backlog!H342),0))</f>
        <v>9.7911042092414995</v>
      </c>
      <c r="I342" s="91">
        <f>IF(Optimalisatie!C29="Nieuwe situatie",IF(_xlfn.IFNA((VLOOKUP(Optimalisatie!W29,Database_Asfalt_Aanlegset[#All],42,FALSE)*Optimalisatie!J29),0)+_xlfn.IFNA(VLOOKUP(Optimalisatie!X29,Database_Brandstoffen[#All],42,FALSE)*((Optimalisatie!J29/Optimalisatie!Z29)*Optimalisatie!Y29),0)&gt;0,_xlfn.IFNA((VLOOKUP(Optimalisatie!W29,Database_Asfalt_Aanlegset[#All],42,FALSE)*Optimalisatie!J29),0)+_xlfn.IFNA(VLOOKUP(Optimalisatie!X29,Database_Brandstoffen[#All],42,FALSE)*((Optimalisatie!J29/Optimalisatie!Z29)*Optimalisatie!Y29),0),(_xlfn.IFNA(VLOOKUP(Inschrijf_Hernieuwbare_Energie_Totaal[[#This Row],[Product]]&amp;", "&amp;Inschrijf_MKI_Totaal[[#Headers],[A5]],Database_Productkaarten[#All],48,FALSE),0)*Optimalisatie!J29)),0)</f>
        <v>108.32389621483286</v>
      </c>
      <c r="J342" s="91">
        <f>(IF(Optimalisatie!C29="Nieuwe Situatie",_xlfn.IFNA(IF(Optimalisatie!E29="Categorie_1_LCA_Producten",VLOOKUP(Inschrijf_Hernieuwbare_Energie_Totaal[[#This Row],[Product]],Categorie_1_Producten[#All],28,FALSE)*(Optimalisatie!R29),VLOOKUP(Inschrijf_Hernieuwbare_Energie_Totaal[[#This Row],[Product]]&amp;", "&amp;Inschrijf_Hernieuwbare_Energie_Totaal[[#Headers],[B1]],Database_Productkaarten[#All],47,FALSE)*Optimalisatie!J29),Baseline_Backlog!J342),0))</f>
        <v>0</v>
      </c>
      <c r="K342" s="91">
        <f>(IF(Optimalisatie!C29="Nieuwe Situatie",_xlfn.IFNA(SUM(Inschrijf_Hernieuwbare_Energie_Totaal[[#This Row],[A1]:[B1]],Inschrijf_Hernieuwbare_Energie_Totaal[[#This Row],[C1]:[D2]])*Optimalisatie!T29,0),0))</f>
        <v>0</v>
      </c>
      <c r="L342" s="91">
        <f>IF(Optimalisatie!C29="Bestaande situatie",IF(_xlfn.IFNA((VLOOKUP(Optimalisatie!AA29,Database_Asfalt_Verwijderset[#All],42,FALSE)*Optimalisatie!J29),0)+_xlfn.IFNA(VLOOKUP(Optimalisatie!AB29,Database_Brandstoffen[#All],42,FALSE)*((Optimalisatie!J29/Optimalisatie!AD29)*Optimalisatie!AC29),0)&gt;0,_xlfn.IFNA((VLOOKUP(Optimalisatie!AA29,Database_Asfalt_Verwijderset[#All],42,FALSE)*Optimalisatie!J29),0)+_xlfn.IFNA(VLOOKUP(Optimalisatie!AB29,Database_Brandstoffen[#All],42,FALSE)*((Optimalisatie!J29/Optimalisatie!AD29)*Optimalisatie!AC29),0),(_xlfn.IFNA(VLOOKUP(Inschrijf_Hernieuwbare_Energie_Totaal[[#This Row],[Product]]&amp;", "&amp;Inschrijf_MKI_Totaal[[#Headers],[C1]],Database_Productkaarten[#All],48,FALSE),0)*Optimalisatie!J29)),0)</f>
        <v>0</v>
      </c>
      <c r="M342" s="91">
        <f>(IF(Optimalisatie!C29="Bestaande Situatie",_xlfn.IFNA(VLOOKUP(Optimalisatie!AF29,Database_Transport[#All],42,FALSE)*(Optimalisatie!R29*Optimalisatie!AE29),Baseline_Backlog!M342),0))</f>
        <v>0</v>
      </c>
      <c r="N342" s="91">
        <f>(IF(Optimalisatie!C29="Bestaande Situatie",_xlfn.IFNA(VLOOKUP(Optimalisatie!AG29,Database_Asfalt_Verwerkingsset[#All],42,FALSE)*(Optimalisatie!J29/VLOOKUP(Optimalisatie!AG29,Database_Asfalt_Verwerkingsset[#All],42,FALSE)),Baseline_Backlog!N342),0))</f>
        <v>0</v>
      </c>
      <c r="O342" s="91">
        <f>(IF(Optimalisatie!C29="Bestaande Situatie",_xlfn.IFNA(VLOOKUP(Inschrijf_Hernieuwbare_Energie_Totaal[[#This Row],[Product]]&amp;", "&amp;Inschrijf_MKI_Totaal[[#Headers],[C4]],Database_Productkaarten[#All],48,FALSE)*Optimalisatie!J29,Baseline_Backlog!O342),0))</f>
        <v>0</v>
      </c>
      <c r="P342" s="91">
        <f>(IF(Optimalisatie!C29="Bestaande Situatie",_xlfn.IFNA(IF(Optimalisatie!E29="Categorie_1_LCA_Producten",VLOOKUP(Inschrijf_Hernieuwbare_Energie_Totaal[[#This Row],[Product]],Categorie_1_Producten[#All],24,FALSE)*(Optimalisatie!J29),VLOOKUP(Inschrijf_Hernieuwbare_Energie_Totaal[[#This Row],[Product]]&amp;", "&amp;Inschrijf_Hernieuwbare_Energie_Totaal[[#Headers],[D1]],Database_Productkaarten[#All],48,FALSE)*Optimalisatie!J29),Baseline_Backlog!P342),0))</f>
        <v>0</v>
      </c>
      <c r="Q342" s="91">
        <f>(IF(Optimalisatie!C29="Bestaande Situatie",_xlfn.IFNA(IF(Optimalisatie!E29="Categorie_1_LCA_Producten",VLOOKUP(Inschrijf_Hernieuwbare_Energie_Totaal[[#This Row],[Product]],Categorie_1_Producten[#All],25,FALSE)*(Optimalisatie!J29),VLOOKUP(Inschrijf_Hernieuwbare_Energie_Totaal[[#This Row],[Product]]&amp;", "&amp;Inschrijf_Hernieuwbare_Energie_Totaal[[#Headers],[D2]],Database_Productkaarten[#All],48,FALSE)*Optimalisatie!J29),Baseline_Backlog!Q342),0))</f>
        <v>0</v>
      </c>
      <c r="R342" s="91">
        <f>(IF(Optimalisatie!C29="Bestaande Situatie",_xlfn.IFNA(IF(Optimalisatie!E29="Categorie_1_LCA_Producten",VLOOKUP(Inschrijf_Hernieuwbare_Energie_Totaal[[#This Row],[Product]],Categorie_1_Producten[#All],29,FALSE)*(Optimalisatie!J29),VLOOKUP(Inschrijf_Hernieuwbare_Energie_Totaal[[#This Row],[Product]]&amp;", "&amp;Inschrijf_Hernieuwbare_Energie_Totaal[[#Headers],[D]],Database_Productkaarten[#All],48,FALSE)*Optimalisatie!J29),Baseline_Backlog!S342),0))</f>
        <v>0</v>
      </c>
      <c r="S342" s="91">
        <f>SUM(Inschrijf_Hernieuwbare_Energie_Totaal[[#This Row],[A1-A3]:[C4]])+Inschrijf_Hernieuwbare_Energie_Totaal[[#This Row],[D]]</f>
        <v>2398.1014308240747</v>
      </c>
    </row>
    <row r="343" spans="2:19">
      <c r="B343" s="208" t="str">
        <f>Optimalisatie!B30</f>
        <v>430040 - Leveren en aanbrengen opsluitbanden 100x200</v>
      </c>
      <c r="C343" s="1" t="str">
        <f>Optimalisatie!F30</f>
        <v>Opsluitband 100x200</v>
      </c>
      <c r="D343" s="91">
        <f>(IF(Optimalisatie!C30="Nieuwe Situatie",_xlfn.IFNA(IF(Optimalisatie!E30="Categorie_1_LCA_Producten",VLOOKUP(Inschrijf_Hernieuwbare_Energie_Totaal[[#This Row],[Product]],Categorie_1_Producten[#All],20,FALSE)*(Optimalisatie!J30),VLOOKUP(Inschrijf_Hernieuwbare_Energie_Totaal[[#This Row],[Product]]&amp;", "&amp;Inschrijf_Hernieuwbare_Energie_Totaal[[#Headers],[A1]],Database_Productkaarten[#All],48,FALSE)*Optimalisatie!J30),Baseline_Backlog!D343),0))</f>
        <v>7146.4338335000002</v>
      </c>
      <c r="E343" s="91">
        <f>(IF(Optimalisatie!C30="Nieuwe Situatie",_xlfn.IFNA(IF(Optimalisatie!E30="Categorie_1_LCA_Producten",VLOOKUP(Inschrijf_Hernieuwbare_Energie_Totaal[[#This Row],[Product]],Categorie_1_Producten[#All],21,FALSE)*(Optimalisatie!J30),VLOOKUP(Inschrijf_Hernieuwbare_Energie_Totaal[[#This Row],[Product]]&amp;", "&amp;Inschrijf_Hernieuwbare_Energie_Totaal[[#Headers],[A2]],Database_Productkaarten[#All],48,FALSE)*Optimalisatie!J30),Baseline_Backlog!E343),0))</f>
        <v>100.74750283</v>
      </c>
      <c r="F343" s="91">
        <f>(IF(Optimalisatie!C30="Nieuwe Situatie",_xlfn.IFNA(IF(Optimalisatie!E30="Categorie_1_LCA_Producten",VLOOKUP(Inschrijf_Hernieuwbare_Energie_Totaal[[#This Row],[Product]],Categorie_1_Producten[#All],22,FALSE)*(Optimalisatie!J30),VLOOKUP(Inschrijf_Hernieuwbare_Energie_Totaal[[#This Row],[Product]]&amp;", "&amp;Inschrijf_Hernieuwbare_Energie_Totaal[[#Headers],[A3]],Database_Productkaarten[#All],48,FALSE)*Optimalisatie!J30),Baseline_Backlog!F343),0))</f>
        <v>552.77230320000001</v>
      </c>
      <c r="G343" s="91">
        <f>(IF(Optimalisatie!C30="Nieuwe Situatie",_xlfn.IFNA(IF(Optimalisatie!E30="Categorie_1_LCA_Producten",VLOOKUP(Inschrijf_Hernieuwbare_Energie_Totaal[[#This Row],[Product]],Categorie_1_Producten[#All],27,FALSE)*(Optimalisatie!J30),VLOOKUP(Inschrijf_Hernieuwbare_Energie_Totaal[[#This Row],[Product]]&amp;", "&amp;Inschrijf_Hernieuwbare_Energie_Totaal[[#Headers],[A1-A3]],Database_Productkaarten[#All],48,FALSE)*Optimalisatie!J30),Baseline_Backlog!G343),0))</f>
        <v>7799.9536395300011</v>
      </c>
      <c r="H343" s="91">
        <f>(IF(Optimalisatie!C30="Nieuwe Situatie",_xlfn.IFNA(VLOOKUP(Optimalisatie!V30,Database_Transport[#All],42,FALSE)*(Optimalisatie!R30*Optimalisatie!U30),Baseline_Backlog!H343),0))</f>
        <v>34.350166902528748</v>
      </c>
      <c r="I343" s="91">
        <f>IF(Optimalisatie!C30="Nieuwe situatie",IF(_xlfn.IFNA((VLOOKUP(Optimalisatie!W30,Database_Asfalt_Aanlegset[#All],42,FALSE)*Optimalisatie!J30),0)+_xlfn.IFNA(VLOOKUP(Optimalisatie!X30,Database_Brandstoffen[#All],42,FALSE)*((Optimalisatie!J30/Optimalisatie!Z30)*Optimalisatie!Y30),0)&gt;0,_xlfn.IFNA((VLOOKUP(Optimalisatie!W30,Database_Asfalt_Aanlegset[#All],42,FALSE)*Optimalisatie!J30),0)+_xlfn.IFNA(VLOOKUP(Optimalisatie!X30,Database_Brandstoffen[#All],42,FALSE)*((Optimalisatie!J30/Optimalisatie!Z30)*Optimalisatie!Y30),0),(_xlfn.IFNA(VLOOKUP(Inschrijf_Hernieuwbare_Energie_Totaal[[#This Row],[Product]]&amp;", "&amp;Inschrijf_MKI_Totaal[[#Headers],[A5]],Database_Productkaarten[#All],48,FALSE),0)*Optimalisatie!J30)),0)</f>
        <v>625.87140035236757</v>
      </c>
      <c r="J343" s="91">
        <f>(IF(Optimalisatie!C30="Nieuwe Situatie",_xlfn.IFNA(IF(Optimalisatie!E30="Categorie_1_LCA_Producten",VLOOKUP(Inschrijf_Hernieuwbare_Energie_Totaal[[#This Row],[Product]],Categorie_1_Producten[#All],28,FALSE)*(Optimalisatie!R30),VLOOKUP(Inschrijf_Hernieuwbare_Energie_Totaal[[#This Row],[Product]]&amp;", "&amp;Inschrijf_Hernieuwbare_Energie_Totaal[[#Headers],[B1]],Database_Productkaarten[#All],47,FALSE)*Optimalisatie!J30),Baseline_Backlog!J343),0))</f>
        <v>0</v>
      </c>
      <c r="K343" s="91">
        <f>(IF(Optimalisatie!C30="Nieuwe Situatie",_xlfn.IFNA(SUM(Inschrijf_Hernieuwbare_Energie_Totaal[[#This Row],[A1]:[B1]],Inschrijf_Hernieuwbare_Energie_Totaal[[#This Row],[C1]:[D2]])*Optimalisatie!T30,0),0))</f>
        <v>0</v>
      </c>
      <c r="L343" s="91">
        <f>IF(Optimalisatie!C30="Bestaande situatie",IF(_xlfn.IFNA((VLOOKUP(Optimalisatie!AA30,Database_Asfalt_Verwijderset[#All],42,FALSE)*Optimalisatie!J30),0)+_xlfn.IFNA(VLOOKUP(Optimalisatie!AB30,Database_Brandstoffen[#All],42,FALSE)*((Optimalisatie!J30/Optimalisatie!AD30)*Optimalisatie!AC30),0)&gt;0,_xlfn.IFNA((VLOOKUP(Optimalisatie!AA30,Database_Asfalt_Verwijderset[#All],42,FALSE)*Optimalisatie!J30),0)+_xlfn.IFNA(VLOOKUP(Optimalisatie!AB30,Database_Brandstoffen[#All],42,FALSE)*((Optimalisatie!J30/Optimalisatie!AD30)*Optimalisatie!AC30),0),(_xlfn.IFNA(VLOOKUP(Inschrijf_Hernieuwbare_Energie_Totaal[[#This Row],[Product]]&amp;", "&amp;Inschrijf_MKI_Totaal[[#Headers],[C1]],Database_Productkaarten[#All],48,FALSE),0)*Optimalisatie!J30)),0)</f>
        <v>0</v>
      </c>
      <c r="M343" s="91">
        <f>(IF(Optimalisatie!C30="Bestaande Situatie",_xlfn.IFNA(VLOOKUP(Optimalisatie!AF30,Database_Transport[#All],42,FALSE)*(Optimalisatie!R30*Optimalisatie!AE30),Baseline_Backlog!M343),0))</f>
        <v>0</v>
      </c>
      <c r="N343" s="91">
        <f>(IF(Optimalisatie!C30="Bestaande Situatie",_xlfn.IFNA(VLOOKUP(Optimalisatie!AG30,Database_Asfalt_Verwerkingsset[#All],42,FALSE)*(Optimalisatie!J30/VLOOKUP(Optimalisatie!AG30,Database_Asfalt_Verwerkingsset[#All],42,FALSE)),Baseline_Backlog!N343),0))</f>
        <v>0</v>
      </c>
      <c r="O343" s="91">
        <f>(IF(Optimalisatie!C30="Bestaande Situatie",_xlfn.IFNA(VLOOKUP(Inschrijf_Hernieuwbare_Energie_Totaal[[#This Row],[Product]]&amp;", "&amp;Inschrijf_MKI_Totaal[[#Headers],[C4]],Database_Productkaarten[#All],48,FALSE)*Optimalisatie!J30,Baseline_Backlog!O343),0))</f>
        <v>0</v>
      </c>
      <c r="P343" s="91">
        <f>(IF(Optimalisatie!C30="Bestaande Situatie",_xlfn.IFNA(IF(Optimalisatie!E30="Categorie_1_LCA_Producten",VLOOKUP(Inschrijf_Hernieuwbare_Energie_Totaal[[#This Row],[Product]],Categorie_1_Producten[#All],24,FALSE)*(Optimalisatie!J30),VLOOKUP(Inschrijf_Hernieuwbare_Energie_Totaal[[#This Row],[Product]]&amp;", "&amp;Inschrijf_Hernieuwbare_Energie_Totaal[[#Headers],[D1]],Database_Productkaarten[#All],48,FALSE)*Optimalisatie!J30),Baseline_Backlog!P343),0))</f>
        <v>0</v>
      </c>
      <c r="Q343" s="91">
        <f>(IF(Optimalisatie!C30="Bestaande Situatie",_xlfn.IFNA(IF(Optimalisatie!E30="Categorie_1_LCA_Producten",VLOOKUP(Inschrijf_Hernieuwbare_Energie_Totaal[[#This Row],[Product]],Categorie_1_Producten[#All],25,FALSE)*(Optimalisatie!J30),VLOOKUP(Inschrijf_Hernieuwbare_Energie_Totaal[[#This Row],[Product]]&amp;", "&amp;Inschrijf_Hernieuwbare_Energie_Totaal[[#Headers],[D2]],Database_Productkaarten[#All],48,FALSE)*Optimalisatie!J30),Baseline_Backlog!Q343),0))</f>
        <v>0</v>
      </c>
      <c r="R343" s="91">
        <f>(IF(Optimalisatie!C30="Bestaande Situatie",_xlfn.IFNA(IF(Optimalisatie!E30="Categorie_1_LCA_Producten",VLOOKUP(Inschrijf_Hernieuwbare_Energie_Totaal[[#This Row],[Product]],Categorie_1_Producten[#All],29,FALSE)*(Optimalisatie!J30),VLOOKUP(Inschrijf_Hernieuwbare_Energie_Totaal[[#This Row],[Product]]&amp;", "&amp;Inschrijf_Hernieuwbare_Energie_Totaal[[#Headers],[D]],Database_Productkaarten[#All],48,FALSE)*Optimalisatie!J30),Baseline_Backlog!S343),0))</f>
        <v>0</v>
      </c>
      <c r="S343" s="91">
        <f>SUM(Inschrijf_Hernieuwbare_Energie_Totaal[[#This Row],[A1-A3]:[C4]])+Inschrijf_Hernieuwbare_Energie_Totaal[[#This Row],[D]]</f>
        <v>8460.1752067848975</v>
      </c>
    </row>
    <row r="344" spans="2:19">
      <c r="B344" s="208" t="str">
        <f>Optimalisatie!B31</f>
        <v>430050 - Leveren en aanbrengen opsluitbanden 120x250</v>
      </c>
      <c r="C344" s="1" t="str">
        <f>Optimalisatie!F31</f>
        <v>Opsluitband 150x250</v>
      </c>
      <c r="D344" s="91">
        <f>(IF(Optimalisatie!C31="Nieuwe Situatie",_xlfn.IFNA(IF(Optimalisatie!E31="Categorie_1_LCA_Producten",VLOOKUP(Inschrijf_Hernieuwbare_Energie_Totaal[[#This Row],[Product]],Categorie_1_Producten[#All],20,FALSE)*(Optimalisatie!J31),VLOOKUP(Inschrijf_Hernieuwbare_Energie_Totaal[[#This Row],[Product]]&amp;", "&amp;Inschrijf_Hernieuwbare_Energie_Totaal[[#Headers],[A1]],Database_Productkaarten[#All],48,FALSE)*Optimalisatie!J31),Baseline_Backlog!D344),0))</f>
        <v>12548.0861625</v>
      </c>
      <c r="E344" s="91">
        <f>(IF(Optimalisatie!C31="Nieuwe Situatie",_xlfn.IFNA(IF(Optimalisatie!E31="Categorie_1_LCA_Producten",VLOOKUP(Inschrijf_Hernieuwbare_Energie_Totaal[[#This Row],[Product]],Categorie_1_Producten[#All],21,FALSE)*(Optimalisatie!J31),VLOOKUP(Inschrijf_Hernieuwbare_Energie_Totaal[[#This Row],[Product]]&amp;", "&amp;Inschrijf_Hernieuwbare_Energie_Totaal[[#Headers],[A2]],Database_Productkaarten[#All],48,FALSE)*Optimalisatie!J31),Baseline_Backlog!E344),0))</f>
        <v>176.89778925000002</v>
      </c>
      <c r="F344" s="91">
        <f>(IF(Optimalisatie!C31="Nieuwe Situatie",_xlfn.IFNA(IF(Optimalisatie!E31="Categorie_1_LCA_Producten",VLOOKUP(Inschrijf_Hernieuwbare_Energie_Totaal[[#This Row],[Product]],Categorie_1_Producten[#All],22,FALSE)*(Optimalisatie!J31),VLOOKUP(Inschrijf_Hernieuwbare_Energie_Totaal[[#This Row],[Product]]&amp;", "&amp;Inschrijf_Hernieuwbare_Energie_Totaal[[#Headers],[A3]],Database_Productkaarten[#All],48,FALSE)*Optimalisatie!J31),Baseline_Backlog!F344),0))</f>
        <v>970.58681999999999</v>
      </c>
      <c r="G344" s="91">
        <f>(IF(Optimalisatie!C31="Nieuwe Situatie",_xlfn.IFNA(IF(Optimalisatie!E31="Categorie_1_LCA_Producten",VLOOKUP(Inschrijf_Hernieuwbare_Energie_Totaal[[#This Row],[Product]],Categorie_1_Producten[#All],27,FALSE)*(Optimalisatie!J31),VLOOKUP(Inschrijf_Hernieuwbare_Energie_Totaal[[#This Row],[Product]]&amp;", "&amp;Inschrijf_Hernieuwbare_Energie_Totaal[[#Headers],[A1-A3]],Database_Productkaarten[#All],48,FALSE)*Optimalisatie!J31),Baseline_Backlog!G344),0))</f>
        <v>13695.570771750001</v>
      </c>
      <c r="H344" s="91">
        <f>(IF(Optimalisatie!C31="Nieuwe Situatie",_xlfn.IFNA(VLOOKUP(Optimalisatie!V31,Database_Transport[#All],42,FALSE)*(Optimalisatie!R31*Optimalisatie!U31),Baseline_Backlog!H344),0))</f>
        <v>60.313838206781263</v>
      </c>
      <c r="I344" s="91">
        <f>IF(Optimalisatie!C31="Nieuwe situatie",IF(_xlfn.IFNA((VLOOKUP(Optimalisatie!W31,Database_Asfalt_Aanlegset[#All],42,FALSE)*Optimalisatie!J31),0)+_xlfn.IFNA(VLOOKUP(Optimalisatie!X31,Database_Brandstoffen[#All],42,FALSE)*((Optimalisatie!J31/Optimalisatie!Z31)*Optimalisatie!Y31),0)&gt;0,_xlfn.IFNA((VLOOKUP(Optimalisatie!W31,Database_Asfalt_Aanlegset[#All],42,FALSE)*Optimalisatie!J31),0)+_xlfn.IFNA(VLOOKUP(Optimalisatie!X31,Database_Brandstoffen[#All],42,FALSE)*((Optimalisatie!J31/Optimalisatie!Z31)*Optimalisatie!Y31),0),(_xlfn.IFNA(VLOOKUP(Inschrijf_Hernieuwbare_Energie_Totaal[[#This Row],[Product]]&amp;", "&amp;Inschrijf_MKI_Totaal[[#Headers],[A5]],Database_Productkaarten[#All],48,FALSE),0)*Optimalisatie!J31)),0)</f>
        <v>659.36284652506959</v>
      </c>
      <c r="J344" s="91">
        <f>(IF(Optimalisatie!C31="Nieuwe Situatie",_xlfn.IFNA(IF(Optimalisatie!E31="Categorie_1_LCA_Producten",VLOOKUP(Inschrijf_Hernieuwbare_Energie_Totaal[[#This Row],[Product]],Categorie_1_Producten[#All],28,FALSE)*(Optimalisatie!R31),VLOOKUP(Inschrijf_Hernieuwbare_Energie_Totaal[[#This Row],[Product]]&amp;", "&amp;Inschrijf_Hernieuwbare_Energie_Totaal[[#Headers],[B1]],Database_Productkaarten[#All],47,FALSE)*Optimalisatie!J31),Baseline_Backlog!J344),0))</f>
        <v>0</v>
      </c>
      <c r="K344" s="91">
        <f>(IF(Optimalisatie!C31="Nieuwe Situatie",_xlfn.IFNA(SUM(Inschrijf_Hernieuwbare_Energie_Totaal[[#This Row],[A1]:[B1]],Inschrijf_Hernieuwbare_Energie_Totaal[[#This Row],[C1]:[D2]])*Optimalisatie!T31,0),0))</f>
        <v>0</v>
      </c>
      <c r="L344" s="91">
        <f>IF(Optimalisatie!C31="Bestaande situatie",IF(_xlfn.IFNA((VLOOKUP(Optimalisatie!AA31,Database_Asfalt_Verwijderset[#All],42,FALSE)*Optimalisatie!J31),0)+_xlfn.IFNA(VLOOKUP(Optimalisatie!AB31,Database_Brandstoffen[#All],42,FALSE)*((Optimalisatie!J31/Optimalisatie!AD31)*Optimalisatie!AC31),0)&gt;0,_xlfn.IFNA((VLOOKUP(Optimalisatie!AA31,Database_Asfalt_Verwijderset[#All],42,FALSE)*Optimalisatie!J31),0)+_xlfn.IFNA(VLOOKUP(Optimalisatie!AB31,Database_Brandstoffen[#All],42,FALSE)*((Optimalisatie!J31/Optimalisatie!AD31)*Optimalisatie!AC31),0),(_xlfn.IFNA(VLOOKUP(Inschrijf_Hernieuwbare_Energie_Totaal[[#This Row],[Product]]&amp;", "&amp;Inschrijf_MKI_Totaal[[#Headers],[C1]],Database_Productkaarten[#All],48,FALSE),0)*Optimalisatie!J31)),0)</f>
        <v>0</v>
      </c>
      <c r="M344" s="91">
        <f>(IF(Optimalisatie!C31="Bestaande Situatie",_xlfn.IFNA(VLOOKUP(Optimalisatie!AF31,Database_Transport[#All],42,FALSE)*(Optimalisatie!R31*Optimalisatie!AE31),Baseline_Backlog!M344),0))</f>
        <v>0</v>
      </c>
      <c r="N344" s="91">
        <f>(IF(Optimalisatie!C31="Bestaande Situatie",_xlfn.IFNA(VLOOKUP(Optimalisatie!AG31,Database_Asfalt_Verwerkingsset[#All],42,FALSE)*(Optimalisatie!J31/VLOOKUP(Optimalisatie!AG31,Database_Asfalt_Verwerkingsset[#All],42,FALSE)),Baseline_Backlog!N344),0))</f>
        <v>0</v>
      </c>
      <c r="O344" s="91">
        <f>(IF(Optimalisatie!C31="Bestaande Situatie",_xlfn.IFNA(VLOOKUP(Inschrijf_Hernieuwbare_Energie_Totaal[[#This Row],[Product]]&amp;", "&amp;Inschrijf_MKI_Totaal[[#Headers],[C4]],Database_Productkaarten[#All],48,FALSE)*Optimalisatie!J31,Baseline_Backlog!O344),0))</f>
        <v>0</v>
      </c>
      <c r="P344" s="91">
        <f>(IF(Optimalisatie!C31="Bestaande Situatie",_xlfn.IFNA(IF(Optimalisatie!E31="Categorie_1_LCA_Producten",VLOOKUP(Inschrijf_Hernieuwbare_Energie_Totaal[[#This Row],[Product]],Categorie_1_Producten[#All],24,FALSE)*(Optimalisatie!J31),VLOOKUP(Inschrijf_Hernieuwbare_Energie_Totaal[[#This Row],[Product]]&amp;", "&amp;Inschrijf_Hernieuwbare_Energie_Totaal[[#Headers],[D1]],Database_Productkaarten[#All],48,FALSE)*Optimalisatie!J31),Baseline_Backlog!P344),0))</f>
        <v>0</v>
      </c>
      <c r="Q344" s="91">
        <f>(IF(Optimalisatie!C31="Bestaande Situatie",_xlfn.IFNA(IF(Optimalisatie!E31="Categorie_1_LCA_Producten",VLOOKUP(Inschrijf_Hernieuwbare_Energie_Totaal[[#This Row],[Product]],Categorie_1_Producten[#All],25,FALSE)*(Optimalisatie!J31),VLOOKUP(Inschrijf_Hernieuwbare_Energie_Totaal[[#This Row],[Product]]&amp;", "&amp;Inschrijf_Hernieuwbare_Energie_Totaal[[#Headers],[D2]],Database_Productkaarten[#All],48,FALSE)*Optimalisatie!J31),Baseline_Backlog!Q344),0))</f>
        <v>0</v>
      </c>
      <c r="R344" s="91">
        <f>(IF(Optimalisatie!C31="Bestaande Situatie",_xlfn.IFNA(IF(Optimalisatie!E31="Categorie_1_LCA_Producten",VLOOKUP(Inschrijf_Hernieuwbare_Energie_Totaal[[#This Row],[Product]],Categorie_1_Producten[#All],29,FALSE)*(Optimalisatie!J31),VLOOKUP(Inschrijf_Hernieuwbare_Energie_Totaal[[#This Row],[Product]]&amp;", "&amp;Inschrijf_Hernieuwbare_Energie_Totaal[[#Headers],[D]],Database_Productkaarten[#All],48,FALSE)*Optimalisatie!J31),Baseline_Backlog!S344),0))</f>
        <v>0</v>
      </c>
      <c r="S344" s="91">
        <f>SUM(Inschrijf_Hernieuwbare_Energie_Totaal[[#This Row],[A1-A3]:[C4]])+Inschrijf_Hernieuwbare_Energie_Totaal[[#This Row],[D]]</f>
        <v>14415.247456481851</v>
      </c>
    </row>
    <row r="345" spans="2:19">
      <c r="B345" s="208" t="str">
        <f>Optimalisatie!B32</f>
        <v>440010 - Aanbrengen straatbakstenen DF, Rood (rijweg)</v>
      </c>
      <c r="C345" s="1" t="str">
        <f>Optimalisatie!F32</f>
        <v>Baksteen</v>
      </c>
      <c r="D345" s="91">
        <f>(IF(Optimalisatie!C32="Nieuwe Situatie",_xlfn.IFNA(IF(Optimalisatie!E32="Categorie_1_LCA_Producten",VLOOKUP(Inschrijf_Hernieuwbare_Energie_Totaal[[#This Row],[Product]],Categorie_1_Producten[#All],20,FALSE)*(Optimalisatie!J32),VLOOKUP(Inschrijf_Hernieuwbare_Energie_Totaal[[#This Row],[Product]]&amp;", "&amp;Inschrijf_Hernieuwbare_Energie_Totaal[[#Headers],[A1]],Database_Productkaarten[#All],48,FALSE)*Optimalisatie!J32),Baseline_Backlog!D345),0))</f>
        <v>0</v>
      </c>
      <c r="E345" s="91">
        <f>(IF(Optimalisatie!C32="Nieuwe Situatie",_xlfn.IFNA(IF(Optimalisatie!E32="Categorie_1_LCA_Producten",VLOOKUP(Inschrijf_Hernieuwbare_Energie_Totaal[[#This Row],[Product]],Categorie_1_Producten[#All],21,FALSE)*(Optimalisatie!J32),VLOOKUP(Inschrijf_Hernieuwbare_Energie_Totaal[[#This Row],[Product]]&amp;", "&amp;Inschrijf_Hernieuwbare_Energie_Totaal[[#Headers],[A2]],Database_Productkaarten[#All],48,FALSE)*Optimalisatie!J32),Baseline_Backlog!E345),0))</f>
        <v>0</v>
      </c>
      <c r="F345" s="91">
        <f>(IF(Optimalisatie!C32="Nieuwe Situatie",_xlfn.IFNA(IF(Optimalisatie!E32="Categorie_1_LCA_Producten",VLOOKUP(Inschrijf_Hernieuwbare_Energie_Totaal[[#This Row],[Product]],Categorie_1_Producten[#All],22,FALSE)*(Optimalisatie!J32),VLOOKUP(Inschrijf_Hernieuwbare_Energie_Totaal[[#This Row],[Product]]&amp;", "&amp;Inschrijf_Hernieuwbare_Energie_Totaal[[#Headers],[A3]],Database_Productkaarten[#All],48,FALSE)*Optimalisatie!J32),Baseline_Backlog!F345),0))</f>
        <v>0</v>
      </c>
      <c r="G345" s="91">
        <f>(IF(Optimalisatie!C32="Nieuwe Situatie",_xlfn.IFNA(IF(Optimalisatie!E32="Categorie_1_LCA_Producten",VLOOKUP(Inschrijf_Hernieuwbare_Energie_Totaal[[#This Row],[Product]],Categorie_1_Producten[#All],27,FALSE)*(Optimalisatie!J32),VLOOKUP(Inschrijf_Hernieuwbare_Energie_Totaal[[#This Row],[Product]]&amp;", "&amp;Inschrijf_Hernieuwbare_Energie_Totaal[[#Headers],[A1-A3]],Database_Productkaarten[#All],48,FALSE)*Optimalisatie!J32),Baseline_Backlog!G345),0))</f>
        <v>57575.35</v>
      </c>
      <c r="H345" s="91">
        <f>(IF(Optimalisatie!C32="Nieuwe Situatie",_xlfn.IFNA(VLOOKUP(Optimalisatie!V32,Database_Transport[#All],42,FALSE)*(Optimalisatie!R32*Optimalisatie!U32),Baseline_Backlog!H345),0))</f>
        <v>516.88862880900001</v>
      </c>
      <c r="I345" s="91">
        <f>IF(Optimalisatie!C32="Nieuwe situatie",IF(_xlfn.IFNA((VLOOKUP(Optimalisatie!W32,Database_Asfalt_Aanlegset[#All],42,FALSE)*Optimalisatie!J32),0)+_xlfn.IFNA(VLOOKUP(Optimalisatie!X32,Database_Brandstoffen[#All],42,FALSE)*((Optimalisatie!J32/Optimalisatie!Z32)*Optimalisatie!Y32),0)&gt;0,_xlfn.IFNA((VLOOKUP(Optimalisatie!W32,Database_Asfalt_Aanlegset[#All],42,FALSE)*Optimalisatie!J32),0)+_xlfn.IFNA(VLOOKUP(Optimalisatie!X32,Database_Brandstoffen[#All],42,FALSE)*((Optimalisatie!J32/Optimalisatie!Z32)*Optimalisatie!Y32),0),(_xlfn.IFNA(VLOOKUP(Inschrijf_Hernieuwbare_Energie_Totaal[[#This Row],[Product]]&amp;", "&amp;Inschrijf_MKI_Totaal[[#Headers],[A5]],Database_Productkaarten[#All],48,FALSE),0)*Optimalisatie!J32)),0)</f>
        <v>5820.3676068133054</v>
      </c>
      <c r="J345" s="91">
        <f>(IF(Optimalisatie!C32="Nieuwe Situatie",_xlfn.IFNA(IF(Optimalisatie!E32="Categorie_1_LCA_Producten",VLOOKUP(Inschrijf_Hernieuwbare_Energie_Totaal[[#This Row],[Product]],Categorie_1_Producten[#All],28,FALSE)*(Optimalisatie!R32),VLOOKUP(Inschrijf_Hernieuwbare_Energie_Totaal[[#This Row],[Product]]&amp;", "&amp;Inschrijf_Hernieuwbare_Energie_Totaal[[#Headers],[B1]],Database_Productkaarten[#All],47,FALSE)*Optimalisatie!J32),Baseline_Backlog!J345),0))</f>
        <v>0</v>
      </c>
      <c r="K345" s="91">
        <f>(IF(Optimalisatie!C32="Nieuwe Situatie",_xlfn.IFNA(SUM(Inschrijf_Hernieuwbare_Energie_Totaal[[#This Row],[A1]:[B1]],Inschrijf_Hernieuwbare_Energie_Totaal[[#This Row],[C1]:[D2]])*Optimalisatie!T32,0),0))</f>
        <v>0</v>
      </c>
      <c r="L345" s="91">
        <f>IF(Optimalisatie!C32="Bestaande situatie",IF(_xlfn.IFNA((VLOOKUP(Optimalisatie!AA32,Database_Asfalt_Verwijderset[#All],42,FALSE)*Optimalisatie!J32),0)+_xlfn.IFNA(VLOOKUP(Optimalisatie!AB32,Database_Brandstoffen[#All],42,FALSE)*((Optimalisatie!J32/Optimalisatie!AD32)*Optimalisatie!AC32),0)&gt;0,_xlfn.IFNA((VLOOKUP(Optimalisatie!AA32,Database_Asfalt_Verwijderset[#All],42,FALSE)*Optimalisatie!J32),0)+_xlfn.IFNA(VLOOKUP(Optimalisatie!AB32,Database_Brandstoffen[#All],42,FALSE)*((Optimalisatie!J32/Optimalisatie!AD32)*Optimalisatie!AC32),0),(_xlfn.IFNA(VLOOKUP(Inschrijf_Hernieuwbare_Energie_Totaal[[#This Row],[Product]]&amp;", "&amp;Inschrijf_MKI_Totaal[[#Headers],[C1]],Database_Productkaarten[#All],48,FALSE),0)*Optimalisatie!J32)),0)</f>
        <v>0</v>
      </c>
      <c r="M345" s="91">
        <f>(IF(Optimalisatie!C32="Bestaande Situatie",_xlfn.IFNA(VLOOKUP(Optimalisatie!AF32,Database_Transport[#All],42,FALSE)*(Optimalisatie!R32*Optimalisatie!AE32),Baseline_Backlog!M345),0))</f>
        <v>0</v>
      </c>
      <c r="N345" s="91">
        <f>(IF(Optimalisatie!C32="Bestaande Situatie",_xlfn.IFNA(VLOOKUP(Optimalisatie!AG32,Database_Asfalt_Verwerkingsset[#All],42,FALSE)*(Optimalisatie!J32/VLOOKUP(Optimalisatie!AG32,Database_Asfalt_Verwerkingsset[#All],42,FALSE)),Baseline_Backlog!N345),0))</f>
        <v>0</v>
      </c>
      <c r="O345" s="91">
        <f>(IF(Optimalisatie!C32="Bestaande Situatie",_xlfn.IFNA(VLOOKUP(Inschrijf_Hernieuwbare_Energie_Totaal[[#This Row],[Product]]&amp;", "&amp;Inschrijf_MKI_Totaal[[#Headers],[C4]],Database_Productkaarten[#All],48,FALSE)*Optimalisatie!J32,Baseline_Backlog!O345),0))</f>
        <v>0</v>
      </c>
      <c r="P345" s="91">
        <f>(IF(Optimalisatie!C32="Bestaande Situatie",_xlfn.IFNA(IF(Optimalisatie!E32="Categorie_1_LCA_Producten",VLOOKUP(Inschrijf_Hernieuwbare_Energie_Totaal[[#This Row],[Product]],Categorie_1_Producten[#All],24,FALSE)*(Optimalisatie!J32),VLOOKUP(Inschrijf_Hernieuwbare_Energie_Totaal[[#This Row],[Product]]&amp;", "&amp;Inschrijf_Hernieuwbare_Energie_Totaal[[#Headers],[D1]],Database_Productkaarten[#All],48,FALSE)*Optimalisatie!J32),Baseline_Backlog!P345),0))</f>
        <v>0</v>
      </c>
      <c r="Q345" s="91">
        <f>(IF(Optimalisatie!C32="Bestaande Situatie",_xlfn.IFNA(IF(Optimalisatie!E32="Categorie_1_LCA_Producten",VLOOKUP(Inschrijf_Hernieuwbare_Energie_Totaal[[#This Row],[Product]],Categorie_1_Producten[#All],25,FALSE)*(Optimalisatie!J32),VLOOKUP(Inschrijf_Hernieuwbare_Energie_Totaal[[#This Row],[Product]]&amp;", "&amp;Inschrijf_Hernieuwbare_Energie_Totaal[[#Headers],[D2]],Database_Productkaarten[#All],48,FALSE)*Optimalisatie!J32),Baseline_Backlog!Q345),0))</f>
        <v>0</v>
      </c>
      <c r="R345" s="91">
        <f>(IF(Optimalisatie!C32="Bestaande Situatie",_xlfn.IFNA(IF(Optimalisatie!E32="Categorie_1_LCA_Producten",VLOOKUP(Inschrijf_Hernieuwbare_Energie_Totaal[[#This Row],[Product]],Categorie_1_Producten[#All],29,FALSE)*(Optimalisatie!J32),VLOOKUP(Inschrijf_Hernieuwbare_Energie_Totaal[[#This Row],[Product]]&amp;", "&amp;Inschrijf_Hernieuwbare_Energie_Totaal[[#Headers],[D]],Database_Productkaarten[#All],48,FALSE)*Optimalisatie!J32),Baseline_Backlog!S345),0))</f>
        <v>0</v>
      </c>
      <c r="S345" s="91">
        <f>SUM(Inschrijf_Hernieuwbare_Energie_Totaal[[#This Row],[A1-A3]:[C4]])+Inschrijf_Hernieuwbare_Energie_Totaal[[#This Row],[D]]</f>
        <v>63912.606235622305</v>
      </c>
    </row>
    <row r="346" spans="2:19">
      <c r="B346" s="208" t="str">
        <f>Optimalisatie!B33</f>
        <v>440020 - Aanbrengen straatbakstenen DF, Geel (rijweg/ plein)</v>
      </c>
      <c r="C346" s="1" t="str">
        <f>Optimalisatie!F33</f>
        <v>Baksteen</v>
      </c>
      <c r="D346" s="91">
        <f>(IF(Optimalisatie!C33="Nieuwe Situatie",_xlfn.IFNA(IF(Optimalisatie!E33="Categorie_1_LCA_Producten",VLOOKUP(Inschrijf_Hernieuwbare_Energie_Totaal[[#This Row],[Product]],Categorie_1_Producten[#All],20,FALSE)*(Optimalisatie!J33),VLOOKUP(Inschrijf_Hernieuwbare_Energie_Totaal[[#This Row],[Product]]&amp;", "&amp;Inschrijf_Hernieuwbare_Energie_Totaal[[#Headers],[A1]],Database_Productkaarten[#All],48,FALSE)*Optimalisatie!J33),Baseline_Backlog!D346),0))</f>
        <v>0</v>
      </c>
      <c r="E346" s="91">
        <f>(IF(Optimalisatie!C33="Nieuwe Situatie",_xlfn.IFNA(IF(Optimalisatie!E33="Categorie_1_LCA_Producten",VLOOKUP(Inschrijf_Hernieuwbare_Energie_Totaal[[#This Row],[Product]],Categorie_1_Producten[#All],21,FALSE)*(Optimalisatie!J33),VLOOKUP(Inschrijf_Hernieuwbare_Energie_Totaal[[#This Row],[Product]]&amp;", "&amp;Inschrijf_Hernieuwbare_Energie_Totaal[[#Headers],[A2]],Database_Productkaarten[#All],48,FALSE)*Optimalisatie!J33),Baseline_Backlog!E346),0))</f>
        <v>0</v>
      </c>
      <c r="F346" s="91">
        <f>(IF(Optimalisatie!C33="Nieuwe Situatie",_xlfn.IFNA(IF(Optimalisatie!E33="Categorie_1_LCA_Producten",VLOOKUP(Inschrijf_Hernieuwbare_Energie_Totaal[[#This Row],[Product]],Categorie_1_Producten[#All],22,FALSE)*(Optimalisatie!J33),VLOOKUP(Inschrijf_Hernieuwbare_Energie_Totaal[[#This Row],[Product]]&amp;", "&amp;Inschrijf_Hernieuwbare_Energie_Totaal[[#Headers],[A3]],Database_Productkaarten[#All],48,FALSE)*Optimalisatie!J33),Baseline_Backlog!F346),0))</f>
        <v>0</v>
      </c>
      <c r="G346" s="91">
        <f>(IF(Optimalisatie!C33="Nieuwe Situatie",_xlfn.IFNA(IF(Optimalisatie!E33="Categorie_1_LCA_Producten",VLOOKUP(Inschrijf_Hernieuwbare_Energie_Totaal[[#This Row],[Product]],Categorie_1_Producten[#All],27,FALSE)*(Optimalisatie!J33),VLOOKUP(Inschrijf_Hernieuwbare_Energie_Totaal[[#This Row],[Product]]&amp;", "&amp;Inschrijf_Hernieuwbare_Energie_Totaal[[#Headers],[A1-A3]],Database_Productkaarten[#All],48,FALSE)*Optimalisatie!J33),Baseline_Backlog!G346),0))</f>
        <v>85237.25</v>
      </c>
      <c r="H346" s="91">
        <f>(IF(Optimalisatie!C33="Nieuwe Situatie",_xlfn.IFNA(VLOOKUP(Optimalisatie!V33,Database_Transport[#All],42,FALSE)*(Optimalisatie!R33*Optimalisatie!U33),Baseline_Backlog!H346),0))</f>
        <v>765.22618231500007</v>
      </c>
      <c r="I346" s="91">
        <f>IF(Optimalisatie!C33="Nieuwe situatie",IF(_xlfn.IFNA((VLOOKUP(Optimalisatie!W33,Database_Asfalt_Aanlegset[#All],42,FALSE)*Optimalisatie!J33),0)+_xlfn.IFNA(VLOOKUP(Optimalisatie!X33,Database_Brandstoffen[#All],42,FALSE)*((Optimalisatie!J33/Optimalisatie!Z33)*Optimalisatie!Y33),0)&gt;0,_xlfn.IFNA((VLOOKUP(Optimalisatie!W33,Database_Asfalt_Aanlegset[#All],42,FALSE)*Optimalisatie!J33),0)+_xlfn.IFNA(VLOOKUP(Optimalisatie!X33,Database_Brandstoffen[#All],42,FALSE)*((Optimalisatie!J33/Optimalisatie!Z33)*Optimalisatie!Y33),0),(_xlfn.IFNA(VLOOKUP(Inschrijf_Hernieuwbare_Energie_Totaal[[#This Row],[Product]]&amp;", "&amp;Inschrijf_MKI_Totaal[[#Headers],[A5]],Database_Productkaarten[#All],48,FALSE),0)*Optimalisatie!J33)),0)</f>
        <v>8616.7453396956735</v>
      </c>
      <c r="J346" s="91">
        <f>(IF(Optimalisatie!C33="Nieuwe Situatie",_xlfn.IFNA(IF(Optimalisatie!E33="Categorie_1_LCA_Producten",VLOOKUP(Inschrijf_Hernieuwbare_Energie_Totaal[[#This Row],[Product]],Categorie_1_Producten[#All],28,FALSE)*(Optimalisatie!R33),VLOOKUP(Inschrijf_Hernieuwbare_Energie_Totaal[[#This Row],[Product]]&amp;", "&amp;Inschrijf_Hernieuwbare_Energie_Totaal[[#Headers],[B1]],Database_Productkaarten[#All],47,FALSE)*Optimalisatie!J33),Baseline_Backlog!J346),0))</f>
        <v>0</v>
      </c>
      <c r="K346" s="91">
        <f>(IF(Optimalisatie!C33="Nieuwe Situatie",_xlfn.IFNA(SUM(Inschrijf_Hernieuwbare_Energie_Totaal[[#This Row],[A1]:[B1]],Inschrijf_Hernieuwbare_Energie_Totaal[[#This Row],[C1]:[D2]])*Optimalisatie!T33,0),0))</f>
        <v>0</v>
      </c>
      <c r="L346" s="91">
        <f>IF(Optimalisatie!C33="Bestaande situatie",IF(_xlfn.IFNA((VLOOKUP(Optimalisatie!AA33,Database_Asfalt_Verwijderset[#All],42,FALSE)*Optimalisatie!J33),0)+_xlfn.IFNA(VLOOKUP(Optimalisatie!AB33,Database_Brandstoffen[#All],42,FALSE)*((Optimalisatie!J33/Optimalisatie!AD33)*Optimalisatie!AC33),0)&gt;0,_xlfn.IFNA((VLOOKUP(Optimalisatie!AA33,Database_Asfalt_Verwijderset[#All],42,FALSE)*Optimalisatie!J33),0)+_xlfn.IFNA(VLOOKUP(Optimalisatie!AB33,Database_Brandstoffen[#All],42,FALSE)*((Optimalisatie!J33/Optimalisatie!AD33)*Optimalisatie!AC33),0),(_xlfn.IFNA(VLOOKUP(Inschrijf_Hernieuwbare_Energie_Totaal[[#This Row],[Product]]&amp;", "&amp;Inschrijf_MKI_Totaal[[#Headers],[C1]],Database_Productkaarten[#All],48,FALSE),0)*Optimalisatie!J33)),0)</f>
        <v>0</v>
      </c>
      <c r="M346" s="91">
        <f>(IF(Optimalisatie!C33="Bestaande Situatie",_xlfn.IFNA(VLOOKUP(Optimalisatie!AF33,Database_Transport[#All],42,FALSE)*(Optimalisatie!R33*Optimalisatie!AE33),Baseline_Backlog!M346),0))</f>
        <v>0</v>
      </c>
      <c r="N346" s="91">
        <f>(IF(Optimalisatie!C33="Bestaande Situatie",_xlfn.IFNA(VLOOKUP(Optimalisatie!AG33,Database_Asfalt_Verwerkingsset[#All],42,FALSE)*(Optimalisatie!J33/VLOOKUP(Optimalisatie!AG33,Database_Asfalt_Verwerkingsset[#All],42,FALSE)),Baseline_Backlog!N346),0))</f>
        <v>0</v>
      </c>
      <c r="O346" s="91">
        <f>(IF(Optimalisatie!C33="Bestaande Situatie",_xlfn.IFNA(VLOOKUP(Inschrijf_Hernieuwbare_Energie_Totaal[[#This Row],[Product]]&amp;", "&amp;Inschrijf_MKI_Totaal[[#Headers],[C4]],Database_Productkaarten[#All],48,FALSE)*Optimalisatie!J33,Baseline_Backlog!O346),0))</f>
        <v>0</v>
      </c>
      <c r="P346" s="91">
        <f>(IF(Optimalisatie!C33="Bestaande Situatie",_xlfn.IFNA(IF(Optimalisatie!E33="Categorie_1_LCA_Producten",VLOOKUP(Inschrijf_Hernieuwbare_Energie_Totaal[[#This Row],[Product]],Categorie_1_Producten[#All],24,FALSE)*(Optimalisatie!J33),VLOOKUP(Inschrijf_Hernieuwbare_Energie_Totaal[[#This Row],[Product]]&amp;", "&amp;Inschrijf_Hernieuwbare_Energie_Totaal[[#Headers],[D1]],Database_Productkaarten[#All],48,FALSE)*Optimalisatie!J33),Baseline_Backlog!P346),0))</f>
        <v>0</v>
      </c>
      <c r="Q346" s="91">
        <f>(IF(Optimalisatie!C33="Bestaande Situatie",_xlfn.IFNA(IF(Optimalisatie!E33="Categorie_1_LCA_Producten",VLOOKUP(Inschrijf_Hernieuwbare_Energie_Totaal[[#This Row],[Product]],Categorie_1_Producten[#All],25,FALSE)*(Optimalisatie!J33),VLOOKUP(Inschrijf_Hernieuwbare_Energie_Totaal[[#This Row],[Product]]&amp;", "&amp;Inschrijf_Hernieuwbare_Energie_Totaal[[#Headers],[D2]],Database_Productkaarten[#All],48,FALSE)*Optimalisatie!J33),Baseline_Backlog!Q346),0))</f>
        <v>0</v>
      </c>
      <c r="R346" s="91">
        <f>(IF(Optimalisatie!C33="Bestaande Situatie",_xlfn.IFNA(IF(Optimalisatie!E33="Categorie_1_LCA_Producten",VLOOKUP(Inschrijf_Hernieuwbare_Energie_Totaal[[#This Row],[Product]],Categorie_1_Producten[#All],29,FALSE)*(Optimalisatie!J33),VLOOKUP(Inschrijf_Hernieuwbare_Energie_Totaal[[#This Row],[Product]]&amp;", "&amp;Inschrijf_Hernieuwbare_Energie_Totaal[[#Headers],[D]],Database_Productkaarten[#All],48,FALSE)*Optimalisatie!J33),Baseline_Backlog!S346),0))</f>
        <v>0</v>
      </c>
      <c r="S346" s="91">
        <f>SUM(Inschrijf_Hernieuwbare_Energie_Totaal[[#This Row],[A1-A3]:[C4]])+Inschrijf_Hernieuwbare_Energie_Totaal[[#This Row],[D]]</f>
        <v>94619.221522010674</v>
      </c>
    </row>
    <row r="347" spans="2:19">
      <c r="B347" s="208" t="str">
        <f>Optimalisatie!B34</f>
        <v>440030 - Aanbrengen straatbakstenen DF, Rood (parkeervakken)</v>
      </c>
      <c r="C347" s="1" t="str">
        <f>Optimalisatie!F34</f>
        <v>Baksteen</v>
      </c>
      <c r="D347" s="91">
        <f>(IF(Optimalisatie!C34="Nieuwe Situatie",_xlfn.IFNA(IF(Optimalisatie!E34="Categorie_1_LCA_Producten",VLOOKUP(Inschrijf_Hernieuwbare_Energie_Totaal[[#This Row],[Product]],Categorie_1_Producten[#All],20,FALSE)*(Optimalisatie!J34),VLOOKUP(Inschrijf_Hernieuwbare_Energie_Totaal[[#This Row],[Product]]&amp;", "&amp;Inschrijf_Hernieuwbare_Energie_Totaal[[#Headers],[A1]],Database_Productkaarten[#All],48,FALSE)*Optimalisatie!J34),Baseline_Backlog!D347),0))</f>
        <v>0</v>
      </c>
      <c r="E347" s="91">
        <f>(IF(Optimalisatie!C34="Nieuwe Situatie",_xlfn.IFNA(IF(Optimalisatie!E34="Categorie_1_LCA_Producten",VLOOKUP(Inschrijf_Hernieuwbare_Energie_Totaal[[#This Row],[Product]],Categorie_1_Producten[#All],21,FALSE)*(Optimalisatie!J34),VLOOKUP(Inschrijf_Hernieuwbare_Energie_Totaal[[#This Row],[Product]]&amp;", "&amp;Inschrijf_Hernieuwbare_Energie_Totaal[[#Headers],[A2]],Database_Productkaarten[#All],48,FALSE)*Optimalisatie!J34),Baseline_Backlog!E347),0))</f>
        <v>0</v>
      </c>
      <c r="F347" s="91">
        <f>(IF(Optimalisatie!C34="Nieuwe Situatie",_xlfn.IFNA(IF(Optimalisatie!E34="Categorie_1_LCA_Producten",VLOOKUP(Inschrijf_Hernieuwbare_Energie_Totaal[[#This Row],[Product]],Categorie_1_Producten[#All],22,FALSE)*(Optimalisatie!J34),VLOOKUP(Inschrijf_Hernieuwbare_Energie_Totaal[[#This Row],[Product]]&amp;", "&amp;Inschrijf_Hernieuwbare_Energie_Totaal[[#Headers],[A3]],Database_Productkaarten[#All],48,FALSE)*Optimalisatie!J34),Baseline_Backlog!F347),0))</f>
        <v>0</v>
      </c>
      <c r="G347" s="91">
        <f>(IF(Optimalisatie!C34="Nieuwe Situatie",_xlfn.IFNA(IF(Optimalisatie!E34="Categorie_1_LCA_Producten",VLOOKUP(Inschrijf_Hernieuwbare_Energie_Totaal[[#This Row],[Product]],Categorie_1_Producten[#All],27,FALSE)*(Optimalisatie!J34),VLOOKUP(Inschrijf_Hernieuwbare_Energie_Totaal[[#This Row],[Product]]&amp;", "&amp;Inschrijf_Hernieuwbare_Energie_Totaal[[#Headers],[A1-A3]],Database_Productkaarten[#All],48,FALSE)*Optimalisatie!J34),Baseline_Backlog!G347),0))</f>
        <v>5743.75</v>
      </c>
      <c r="H347" s="91">
        <f>(IF(Optimalisatie!C34="Nieuwe Situatie",_xlfn.IFNA(VLOOKUP(Optimalisatie!V34,Database_Transport[#All],42,FALSE)*(Optimalisatie!R34*Optimalisatie!U34),Baseline_Backlog!H347),0))</f>
        <v>51.565106624999999</v>
      </c>
      <c r="I347" s="91">
        <f>IF(Optimalisatie!C34="Nieuwe situatie",IF(_xlfn.IFNA((VLOOKUP(Optimalisatie!W34,Database_Asfalt_Aanlegset[#All],42,FALSE)*Optimalisatie!J34),0)+_xlfn.IFNA(VLOOKUP(Optimalisatie!X34,Database_Brandstoffen[#All],42,FALSE)*((Optimalisatie!J34/Optimalisatie!Z34)*Optimalisatie!Y34),0)&gt;0,_xlfn.IFNA((VLOOKUP(Optimalisatie!W34,Database_Asfalt_Aanlegset[#All],42,FALSE)*Optimalisatie!J34),0)+_xlfn.IFNA(VLOOKUP(Optimalisatie!X34,Database_Brandstoffen[#All],42,FALSE)*((Optimalisatie!J34/Optimalisatie!Z34)*Optimalisatie!Y34),0),(_xlfn.IFNA(VLOOKUP(Inschrijf_Hernieuwbare_Energie_Totaal[[#This Row],[Product]]&amp;", "&amp;Inschrijf_MKI_Totaal[[#Headers],[A5]],Database_Productkaarten[#All],48,FALSE),0)*Optimalisatie!J34)),0)</f>
        <v>580.64321696062495</v>
      </c>
      <c r="J347" s="91">
        <f>(IF(Optimalisatie!C34="Nieuwe Situatie",_xlfn.IFNA(IF(Optimalisatie!E34="Categorie_1_LCA_Producten",VLOOKUP(Inschrijf_Hernieuwbare_Energie_Totaal[[#This Row],[Product]],Categorie_1_Producten[#All],28,FALSE)*(Optimalisatie!R34),VLOOKUP(Inschrijf_Hernieuwbare_Energie_Totaal[[#This Row],[Product]]&amp;", "&amp;Inschrijf_Hernieuwbare_Energie_Totaal[[#Headers],[B1]],Database_Productkaarten[#All],47,FALSE)*Optimalisatie!J34),Baseline_Backlog!J347),0))</f>
        <v>0</v>
      </c>
      <c r="K347" s="91">
        <f>(IF(Optimalisatie!C34="Nieuwe Situatie",_xlfn.IFNA(SUM(Inschrijf_Hernieuwbare_Energie_Totaal[[#This Row],[A1]:[B1]],Inschrijf_Hernieuwbare_Energie_Totaal[[#This Row],[C1]:[D2]])*Optimalisatie!T34,0),0))</f>
        <v>0</v>
      </c>
      <c r="L347" s="91">
        <f>IF(Optimalisatie!C34="Bestaande situatie",IF(_xlfn.IFNA((VLOOKUP(Optimalisatie!AA34,Database_Asfalt_Verwijderset[#All],42,FALSE)*Optimalisatie!J34),0)+_xlfn.IFNA(VLOOKUP(Optimalisatie!AB34,Database_Brandstoffen[#All],42,FALSE)*((Optimalisatie!J34/Optimalisatie!AD34)*Optimalisatie!AC34),0)&gt;0,_xlfn.IFNA((VLOOKUP(Optimalisatie!AA34,Database_Asfalt_Verwijderset[#All],42,FALSE)*Optimalisatie!J34),0)+_xlfn.IFNA(VLOOKUP(Optimalisatie!AB34,Database_Brandstoffen[#All],42,FALSE)*((Optimalisatie!J34/Optimalisatie!AD34)*Optimalisatie!AC34),0),(_xlfn.IFNA(VLOOKUP(Inschrijf_Hernieuwbare_Energie_Totaal[[#This Row],[Product]]&amp;", "&amp;Inschrijf_MKI_Totaal[[#Headers],[C1]],Database_Productkaarten[#All],48,FALSE),0)*Optimalisatie!J34)),0)</f>
        <v>0</v>
      </c>
      <c r="M347" s="91">
        <f>(IF(Optimalisatie!C34="Bestaande Situatie",_xlfn.IFNA(VLOOKUP(Optimalisatie!AF34,Database_Transport[#All],42,FALSE)*(Optimalisatie!R34*Optimalisatie!AE34),Baseline_Backlog!M347),0))</f>
        <v>0</v>
      </c>
      <c r="N347" s="91">
        <f>(IF(Optimalisatie!C34="Bestaande Situatie",_xlfn.IFNA(VLOOKUP(Optimalisatie!AG34,Database_Asfalt_Verwerkingsset[#All],42,FALSE)*(Optimalisatie!J34/VLOOKUP(Optimalisatie!AG34,Database_Asfalt_Verwerkingsset[#All],42,FALSE)),Baseline_Backlog!N347),0))</f>
        <v>0</v>
      </c>
      <c r="O347" s="91">
        <f>(IF(Optimalisatie!C34="Bestaande Situatie",_xlfn.IFNA(VLOOKUP(Inschrijf_Hernieuwbare_Energie_Totaal[[#This Row],[Product]]&amp;", "&amp;Inschrijf_MKI_Totaal[[#Headers],[C4]],Database_Productkaarten[#All],48,FALSE)*Optimalisatie!J34,Baseline_Backlog!O347),0))</f>
        <v>0</v>
      </c>
      <c r="P347" s="91">
        <f>(IF(Optimalisatie!C34="Bestaande Situatie",_xlfn.IFNA(IF(Optimalisatie!E34="Categorie_1_LCA_Producten",VLOOKUP(Inschrijf_Hernieuwbare_Energie_Totaal[[#This Row],[Product]],Categorie_1_Producten[#All],24,FALSE)*(Optimalisatie!J34),VLOOKUP(Inschrijf_Hernieuwbare_Energie_Totaal[[#This Row],[Product]]&amp;", "&amp;Inschrijf_Hernieuwbare_Energie_Totaal[[#Headers],[D1]],Database_Productkaarten[#All],48,FALSE)*Optimalisatie!J34),Baseline_Backlog!P347),0))</f>
        <v>0</v>
      </c>
      <c r="Q347" s="91">
        <f>(IF(Optimalisatie!C34="Bestaande Situatie",_xlfn.IFNA(IF(Optimalisatie!E34="Categorie_1_LCA_Producten",VLOOKUP(Inschrijf_Hernieuwbare_Energie_Totaal[[#This Row],[Product]],Categorie_1_Producten[#All],25,FALSE)*(Optimalisatie!J34),VLOOKUP(Inschrijf_Hernieuwbare_Energie_Totaal[[#This Row],[Product]]&amp;", "&amp;Inschrijf_Hernieuwbare_Energie_Totaal[[#Headers],[D2]],Database_Productkaarten[#All],48,FALSE)*Optimalisatie!J34),Baseline_Backlog!Q347),0))</f>
        <v>0</v>
      </c>
      <c r="R347" s="91">
        <f>(IF(Optimalisatie!C34="Bestaande Situatie",_xlfn.IFNA(IF(Optimalisatie!E34="Categorie_1_LCA_Producten",VLOOKUP(Inschrijf_Hernieuwbare_Energie_Totaal[[#This Row],[Product]],Categorie_1_Producten[#All],29,FALSE)*(Optimalisatie!J34),VLOOKUP(Inschrijf_Hernieuwbare_Energie_Totaal[[#This Row],[Product]]&amp;", "&amp;Inschrijf_Hernieuwbare_Energie_Totaal[[#Headers],[D]],Database_Productkaarten[#All],48,FALSE)*Optimalisatie!J34),Baseline_Backlog!S347),0))</f>
        <v>0</v>
      </c>
      <c r="S347" s="91">
        <f>SUM(Inschrijf_Hernieuwbare_Energie_Totaal[[#This Row],[A1-A3]:[C4]])+Inschrijf_Hernieuwbare_Energie_Totaal[[#This Row],[D]]</f>
        <v>6375.9583235856253</v>
      </c>
    </row>
    <row r="348" spans="2:19">
      <c r="B348" s="208" t="str">
        <f>Optimalisatie!B35</f>
        <v>440040 - Aanbrengen straatbakstenen DF, Geel (parkeervakken)</v>
      </c>
      <c r="C348" s="1" t="str">
        <f>Optimalisatie!F35</f>
        <v>Baksteen</v>
      </c>
      <c r="D348" s="91">
        <f>(IF(Optimalisatie!C35="Nieuwe Situatie",_xlfn.IFNA(IF(Optimalisatie!E35="Categorie_1_LCA_Producten",VLOOKUP(Inschrijf_Hernieuwbare_Energie_Totaal[[#This Row],[Product]],Categorie_1_Producten[#All],20,FALSE)*(Optimalisatie!J35),VLOOKUP(Inschrijf_Hernieuwbare_Energie_Totaal[[#This Row],[Product]]&amp;", "&amp;Inschrijf_Hernieuwbare_Energie_Totaal[[#Headers],[A1]],Database_Productkaarten[#All],48,FALSE)*Optimalisatie!J35),Baseline_Backlog!D348),0))</f>
        <v>0</v>
      </c>
      <c r="E348" s="91">
        <f>(IF(Optimalisatie!C35="Nieuwe Situatie",_xlfn.IFNA(IF(Optimalisatie!E35="Categorie_1_LCA_Producten",VLOOKUP(Inschrijf_Hernieuwbare_Energie_Totaal[[#This Row],[Product]],Categorie_1_Producten[#All],21,FALSE)*(Optimalisatie!J35),VLOOKUP(Inschrijf_Hernieuwbare_Energie_Totaal[[#This Row],[Product]]&amp;", "&amp;Inschrijf_Hernieuwbare_Energie_Totaal[[#Headers],[A2]],Database_Productkaarten[#All],48,FALSE)*Optimalisatie!J35),Baseline_Backlog!E348),0))</f>
        <v>0</v>
      </c>
      <c r="F348" s="91">
        <f>(IF(Optimalisatie!C35="Nieuwe Situatie",_xlfn.IFNA(IF(Optimalisatie!E35="Categorie_1_LCA_Producten",VLOOKUP(Inschrijf_Hernieuwbare_Energie_Totaal[[#This Row],[Product]],Categorie_1_Producten[#All],22,FALSE)*(Optimalisatie!J35),VLOOKUP(Inschrijf_Hernieuwbare_Energie_Totaal[[#This Row],[Product]]&amp;", "&amp;Inschrijf_Hernieuwbare_Energie_Totaal[[#Headers],[A3]],Database_Productkaarten[#All],48,FALSE)*Optimalisatie!J35),Baseline_Backlog!F348),0))</f>
        <v>0</v>
      </c>
      <c r="G348" s="91">
        <f>(IF(Optimalisatie!C35="Nieuwe Situatie",_xlfn.IFNA(IF(Optimalisatie!E35="Categorie_1_LCA_Producten",VLOOKUP(Inschrijf_Hernieuwbare_Energie_Totaal[[#This Row],[Product]],Categorie_1_Producten[#All],27,FALSE)*(Optimalisatie!J35),VLOOKUP(Inschrijf_Hernieuwbare_Energie_Totaal[[#This Row],[Product]]&amp;", "&amp;Inschrijf_Hernieuwbare_Energie_Totaal[[#Headers],[A1-A3]],Database_Productkaarten[#All],48,FALSE)*Optimalisatie!J35),Baseline_Backlog!G348),0))</f>
        <v>6524.9</v>
      </c>
      <c r="H348" s="91">
        <f>(IF(Optimalisatie!C35="Nieuwe Situatie",_xlfn.IFNA(VLOOKUP(Optimalisatie!V35,Database_Transport[#All],42,FALSE)*(Optimalisatie!R35*Optimalisatie!U35),Baseline_Backlog!H348),0))</f>
        <v>58.577961126000005</v>
      </c>
      <c r="I348" s="91">
        <f>IF(Optimalisatie!C35="Nieuwe situatie",IF(_xlfn.IFNA((VLOOKUP(Optimalisatie!W35,Database_Asfalt_Aanlegset[#All],42,FALSE)*Optimalisatie!J35),0)+_xlfn.IFNA(VLOOKUP(Optimalisatie!X35,Database_Brandstoffen[#All],42,FALSE)*((Optimalisatie!J35/Optimalisatie!Z35)*Optimalisatie!Y35),0)&gt;0,_xlfn.IFNA((VLOOKUP(Optimalisatie!W35,Database_Asfalt_Aanlegset[#All],42,FALSE)*Optimalisatie!J35),0)+_xlfn.IFNA(VLOOKUP(Optimalisatie!X35,Database_Brandstoffen[#All],42,FALSE)*((Optimalisatie!J35/Optimalisatie!Z35)*Optimalisatie!Y35),0),(_xlfn.IFNA(VLOOKUP(Inschrijf_Hernieuwbare_Energie_Totaal[[#This Row],[Product]]&amp;", "&amp;Inschrijf_MKI_Totaal[[#Headers],[A5]],Database_Productkaarten[#All],48,FALSE),0)*Optimalisatie!J35)),0)</f>
        <v>659.61069446726992</v>
      </c>
      <c r="J348" s="91">
        <f>(IF(Optimalisatie!C35="Nieuwe Situatie",_xlfn.IFNA(IF(Optimalisatie!E35="Categorie_1_LCA_Producten",VLOOKUP(Inschrijf_Hernieuwbare_Energie_Totaal[[#This Row],[Product]],Categorie_1_Producten[#All],28,FALSE)*(Optimalisatie!R35),VLOOKUP(Inschrijf_Hernieuwbare_Energie_Totaal[[#This Row],[Product]]&amp;", "&amp;Inschrijf_Hernieuwbare_Energie_Totaal[[#Headers],[B1]],Database_Productkaarten[#All],47,FALSE)*Optimalisatie!J35),Baseline_Backlog!J348),0))</f>
        <v>0</v>
      </c>
      <c r="K348" s="91">
        <f>(IF(Optimalisatie!C35="Nieuwe Situatie",_xlfn.IFNA(SUM(Inschrijf_Hernieuwbare_Energie_Totaal[[#This Row],[A1]:[B1]],Inschrijf_Hernieuwbare_Energie_Totaal[[#This Row],[C1]:[D2]])*Optimalisatie!T35,0),0))</f>
        <v>0</v>
      </c>
      <c r="L348" s="91">
        <f>IF(Optimalisatie!C35="Bestaande situatie",IF(_xlfn.IFNA((VLOOKUP(Optimalisatie!AA35,Database_Asfalt_Verwijderset[#All],42,FALSE)*Optimalisatie!J35),0)+_xlfn.IFNA(VLOOKUP(Optimalisatie!AB35,Database_Brandstoffen[#All],42,FALSE)*((Optimalisatie!J35/Optimalisatie!AD35)*Optimalisatie!AC35),0)&gt;0,_xlfn.IFNA((VLOOKUP(Optimalisatie!AA35,Database_Asfalt_Verwijderset[#All],42,FALSE)*Optimalisatie!J35),0)+_xlfn.IFNA(VLOOKUP(Optimalisatie!AB35,Database_Brandstoffen[#All],42,FALSE)*((Optimalisatie!J35/Optimalisatie!AD35)*Optimalisatie!AC35),0),(_xlfn.IFNA(VLOOKUP(Inschrijf_Hernieuwbare_Energie_Totaal[[#This Row],[Product]]&amp;", "&amp;Inschrijf_MKI_Totaal[[#Headers],[C1]],Database_Productkaarten[#All],48,FALSE),0)*Optimalisatie!J35)),0)</f>
        <v>0</v>
      </c>
      <c r="M348" s="91">
        <f>(IF(Optimalisatie!C35="Bestaande Situatie",_xlfn.IFNA(VLOOKUP(Optimalisatie!AF35,Database_Transport[#All],42,FALSE)*(Optimalisatie!R35*Optimalisatie!AE35),Baseline_Backlog!M348),0))</f>
        <v>0</v>
      </c>
      <c r="N348" s="91">
        <f>(IF(Optimalisatie!C35="Bestaande Situatie",_xlfn.IFNA(VLOOKUP(Optimalisatie!AG35,Database_Asfalt_Verwerkingsset[#All],42,FALSE)*(Optimalisatie!J35/VLOOKUP(Optimalisatie!AG35,Database_Asfalt_Verwerkingsset[#All],42,FALSE)),Baseline_Backlog!N348),0))</f>
        <v>0</v>
      </c>
      <c r="O348" s="91">
        <f>(IF(Optimalisatie!C35="Bestaande Situatie",_xlfn.IFNA(VLOOKUP(Inschrijf_Hernieuwbare_Energie_Totaal[[#This Row],[Product]]&amp;", "&amp;Inschrijf_MKI_Totaal[[#Headers],[C4]],Database_Productkaarten[#All],48,FALSE)*Optimalisatie!J35,Baseline_Backlog!O348),0))</f>
        <v>0</v>
      </c>
      <c r="P348" s="91">
        <f>(IF(Optimalisatie!C35="Bestaande Situatie",_xlfn.IFNA(IF(Optimalisatie!E35="Categorie_1_LCA_Producten",VLOOKUP(Inschrijf_Hernieuwbare_Energie_Totaal[[#This Row],[Product]],Categorie_1_Producten[#All],24,FALSE)*(Optimalisatie!J35),VLOOKUP(Inschrijf_Hernieuwbare_Energie_Totaal[[#This Row],[Product]]&amp;", "&amp;Inschrijf_Hernieuwbare_Energie_Totaal[[#Headers],[D1]],Database_Productkaarten[#All],48,FALSE)*Optimalisatie!J35),Baseline_Backlog!P348),0))</f>
        <v>0</v>
      </c>
      <c r="Q348" s="91">
        <f>(IF(Optimalisatie!C35="Bestaande Situatie",_xlfn.IFNA(IF(Optimalisatie!E35="Categorie_1_LCA_Producten",VLOOKUP(Inschrijf_Hernieuwbare_Energie_Totaal[[#This Row],[Product]],Categorie_1_Producten[#All],25,FALSE)*(Optimalisatie!J35),VLOOKUP(Inschrijf_Hernieuwbare_Energie_Totaal[[#This Row],[Product]]&amp;", "&amp;Inschrijf_Hernieuwbare_Energie_Totaal[[#Headers],[D2]],Database_Productkaarten[#All],48,FALSE)*Optimalisatie!J35),Baseline_Backlog!Q348),0))</f>
        <v>0</v>
      </c>
      <c r="R348" s="91">
        <f>(IF(Optimalisatie!C35="Bestaande Situatie",_xlfn.IFNA(IF(Optimalisatie!E35="Categorie_1_LCA_Producten",VLOOKUP(Inschrijf_Hernieuwbare_Energie_Totaal[[#This Row],[Product]],Categorie_1_Producten[#All],29,FALSE)*(Optimalisatie!J35),VLOOKUP(Inschrijf_Hernieuwbare_Energie_Totaal[[#This Row],[Product]]&amp;", "&amp;Inschrijf_Hernieuwbare_Energie_Totaal[[#Headers],[D]],Database_Productkaarten[#All],48,FALSE)*Optimalisatie!J35),Baseline_Backlog!S348),0))</f>
        <v>0</v>
      </c>
      <c r="S348" s="91">
        <f>SUM(Inschrijf_Hernieuwbare_Energie_Totaal[[#This Row],[A1-A3]:[C4]])+Inschrijf_Hernieuwbare_Energie_Totaal[[#This Row],[D]]</f>
        <v>7243.0886555932702</v>
      </c>
    </row>
    <row r="349" spans="2:19">
      <c r="B349" s="208" t="str">
        <f>Optimalisatie!B36</f>
        <v>440050 - Leveren en aanbrengen open (grasbeton) verharding (parkeerplaats)</v>
      </c>
      <c r="C349" s="1" t="str">
        <f>Optimalisatie!F36</f>
        <v>Grasbetontegel CEM I 120 mm</v>
      </c>
      <c r="D349" s="91">
        <f>(IF(Optimalisatie!C36="Nieuwe Situatie",_xlfn.IFNA(IF(Optimalisatie!E36="Categorie_1_LCA_Producten",VLOOKUP(Inschrijf_Hernieuwbare_Energie_Totaal[[#This Row],[Product]],Categorie_1_Producten[#All],20,FALSE)*(Optimalisatie!J36),VLOOKUP(Inschrijf_Hernieuwbare_Energie_Totaal[[#This Row],[Product]]&amp;", "&amp;Inschrijf_Hernieuwbare_Energie_Totaal[[#Headers],[A1]],Database_Productkaarten[#All],48,FALSE)*Optimalisatie!J36),Baseline_Backlog!D349),0))</f>
        <v>5740</v>
      </c>
      <c r="E349" s="91">
        <f>(IF(Optimalisatie!C36="Nieuwe Situatie",_xlfn.IFNA(IF(Optimalisatie!E36="Categorie_1_LCA_Producten",VLOOKUP(Inschrijf_Hernieuwbare_Energie_Totaal[[#This Row],[Product]],Categorie_1_Producten[#All],21,FALSE)*(Optimalisatie!J36),VLOOKUP(Inschrijf_Hernieuwbare_Energie_Totaal[[#This Row],[Product]]&amp;", "&amp;Inschrijf_Hernieuwbare_Energie_Totaal[[#Headers],[A2]],Database_Productkaarten[#All],48,FALSE)*Optimalisatie!J36),Baseline_Backlog!E349),0))</f>
        <v>0</v>
      </c>
      <c r="F349" s="91">
        <f>(IF(Optimalisatie!C36="Nieuwe Situatie",_xlfn.IFNA(IF(Optimalisatie!E36="Categorie_1_LCA_Producten",VLOOKUP(Inschrijf_Hernieuwbare_Energie_Totaal[[#This Row],[Product]],Categorie_1_Producten[#All],22,FALSE)*(Optimalisatie!J36),VLOOKUP(Inschrijf_Hernieuwbare_Energie_Totaal[[#This Row],[Product]]&amp;", "&amp;Inschrijf_Hernieuwbare_Energie_Totaal[[#Headers],[A3]],Database_Productkaarten[#All],48,FALSE)*Optimalisatie!J36),Baseline_Backlog!F349),0))</f>
        <v>0</v>
      </c>
      <c r="G349" s="91">
        <f>(IF(Optimalisatie!C36="Nieuwe Situatie",_xlfn.IFNA(IF(Optimalisatie!E36="Categorie_1_LCA_Producten",VLOOKUP(Inschrijf_Hernieuwbare_Energie_Totaal[[#This Row],[Product]],Categorie_1_Producten[#All],27,FALSE)*(Optimalisatie!J36),VLOOKUP(Inschrijf_Hernieuwbare_Energie_Totaal[[#This Row],[Product]]&amp;", "&amp;Inschrijf_Hernieuwbare_Energie_Totaal[[#Headers],[A1-A3]],Database_Productkaarten[#All],48,FALSE)*Optimalisatie!J36),Baseline_Backlog!G349),0))</f>
        <v>5740</v>
      </c>
      <c r="H349" s="91">
        <f>(IF(Optimalisatie!C36="Nieuwe Situatie",_xlfn.IFNA(VLOOKUP(Optimalisatie!V36,Database_Transport[#All],42,FALSE)*(Optimalisatie!R36*Optimalisatie!U36),Baseline_Backlog!H349),0))</f>
        <v>138.35842723192499</v>
      </c>
      <c r="I349" s="91">
        <f>IF(Optimalisatie!C36="Nieuwe situatie",IF(_xlfn.IFNA((VLOOKUP(Optimalisatie!W36,Database_Asfalt_Aanlegset[#All],42,FALSE)*Optimalisatie!J36),0)+_xlfn.IFNA(VLOOKUP(Optimalisatie!X36,Database_Brandstoffen[#All],42,FALSE)*((Optimalisatie!J36/Optimalisatie!Z36)*Optimalisatie!Y36),0)&gt;0,_xlfn.IFNA((VLOOKUP(Optimalisatie!W36,Database_Asfalt_Aanlegset[#All],42,FALSE)*Optimalisatie!J36),0)+_xlfn.IFNA(VLOOKUP(Optimalisatie!X36,Database_Brandstoffen[#All],42,FALSE)*((Optimalisatie!J36/Optimalisatie!Z36)*Optimalisatie!Y36),0),(_xlfn.IFNA(VLOOKUP(Inschrijf_Hernieuwbare_Energie_Totaal[[#This Row],[Product]]&amp;", "&amp;Inschrijf_MKI_Totaal[[#Headers],[A5]],Database_Productkaarten[#All],48,FALSE),0)*Optimalisatie!J36)),0)</f>
        <v>929.02914713699988</v>
      </c>
      <c r="J349" s="91">
        <f>(IF(Optimalisatie!C36="Nieuwe Situatie",_xlfn.IFNA(IF(Optimalisatie!E36="Categorie_1_LCA_Producten",VLOOKUP(Inschrijf_Hernieuwbare_Energie_Totaal[[#This Row],[Product]],Categorie_1_Producten[#All],28,FALSE)*(Optimalisatie!R36),VLOOKUP(Inschrijf_Hernieuwbare_Energie_Totaal[[#This Row],[Product]]&amp;", "&amp;Inschrijf_Hernieuwbare_Energie_Totaal[[#Headers],[B1]],Database_Productkaarten[#All],47,FALSE)*Optimalisatie!J36),Baseline_Backlog!J349),0))</f>
        <v>0</v>
      </c>
      <c r="K349" s="91">
        <f>(IF(Optimalisatie!C36="Nieuwe Situatie",_xlfn.IFNA(SUM(Inschrijf_Hernieuwbare_Energie_Totaal[[#This Row],[A1]:[B1]],Inschrijf_Hernieuwbare_Energie_Totaal[[#This Row],[C1]:[D2]])*Optimalisatie!T36,0),0))</f>
        <v>0</v>
      </c>
      <c r="L349" s="91">
        <f>IF(Optimalisatie!C36="Bestaande situatie",IF(_xlfn.IFNA((VLOOKUP(Optimalisatie!AA36,Database_Asfalt_Verwijderset[#All],42,FALSE)*Optimalisatie!J36),0)+_xlfn.IFNA(VLOOKUP(Optimalisatie!AB36,Database_Brandstoffen[#All],42,FALSE)*((Optimalisatie!J36/Optimalisatie!AD36)*Optimalisatie!AC36),0)&gt;0,_xlfn.IFNA((VLOOKUP(Optimalisatie!AA36,Database_Asfalt_Verwijderset[#All],42,FALSE)*Optimalisatie!J36),0)+_xlfn.IFNA(VLOOKUP(Optimalisatie!AB36,Database_Brandstoffen[#All],42,FALSE)*((Optimalisatie!J36/Optimalisatie!AD36)*Optimalisatie!AC36),0),(_xlfn.IFNA(VLOOKUP(Inschrijf_Hernieuwbare_Energie_Totaal[[#This Row],[Product]]&amp;", "&amp;Inschrijf_MKI_Totaal[[#Headers],[C1]],Database_Productkaarten[#All],48,FALSE),0)*Optimalisatie!J36)),0)</f>
        <v>0</v>
      </c>
      <c r="M349" s="91">
        <f>(IF(Optimalisatie!C36="Bestaande Situatie",_xlfn.IFNA(VLOOKUP(Optimalisatie!AF36,Database_Transport[#All],42,FALSE)*(Optimalisatie!R36*Optimalisatie!AE36),Baseline_Backlog!M349),0))</f>
        <v>0</v>
      </c>
      <c r="N349" s="91">
        <f>(IF(Optimalisatie!C36="Bestaande Situatie",_xlfn.IFNA(VLOOKUP(Optimalisatie!AG36,Database_Asfalt_Verwerkingsset[#All],42,FALSE)*(Optimalisatie!J36/VLOOKUP(Optimalisatie!AG36,Database_Asfalt_Verwerkingsset[#All],42,FALSE)),Baseline_Backlog!N349),0))</f>
        <v>0</v>
      </c>
      <c r="O349" s="91">
        <f>(IF(Optimalisatie!C36="Bestaande Situatie",_xlfn.IFNA(VLOOKUP(Inschrijf_Hernieuwbare_Energie_Totaal[[#This Row],[Product]]&amp;", "&amp;Inschrijf_MKI_Totaal[[#Headers],[C4]],Database_Productkaarten[#All],48,FALSE)*Optimalisatie!J36,Baseline_Backlog!O349),0))</f>
        <v>0</v>
      </c>
      <c r="P349" s="91">
        <f>(IF(Optimalisatie!C36="Bestaande Situatie",_xlfn.IFNA(IF(Optimalisatie!E36="Categorie_1_LCA_Producten",VLOOKUP(Inschrijf_Hernieuwbare_Energie_Totaal[[#This Row],[Product]],Categorie_1_Producten[#All],24,FALSE)*(Optimalisatie!J36),VLOOKUP(Inschrijf_Hernieuwbare_Energie_Totaal[[#This Row],[Product]]&amp;", "&amp;Inschrijf_Hernieuwbare_Energie_Totaal[[#Headers],[D1]],Database_Productkaarten[#All],48,FALSE)*Optimalisatie!J36),Baseline_Backlog!P349),0))</f>
        <v>0</v>
      </c>
      <c r="Q349" s="91">
        <f>(IF(Optimalisatie!C36="Bestaande Situatie",_xlfn.IFNA(IF(Optimalisatie!E36="Categorie_1_LCA_Producten",VLOOKUP(Inschrijf_Hernieuwbare_Energie_Totaal[[#This Row],[Product]],Categorie_1_Producten[#All],25,FALSE)*(Optimalisatie!J36),VLOOKUP(Inschrijf_Hernieuwbare_Energie_Totaal[[#This Row],[Product]]&amp;", "&amp;Inschrijf_Hernieuwbare_Energie_Totaal[[#Headers],[D2]],Database_Productkaarten[#All],48,FALSE)*Optimalisatie!J36),Baseline_Backlog!Q349),0))</f>
        <v>0</v>
      </c>
      <c r="R349" s="91">
        <f>(IF(Optimalisatie!C36="Bestaande Situatie",_xlfn.IFNA(IF(Optimalisatie!E36="Categorie_1_LCA_Producten",VLOOKUP(Inschrijf_Hernieuwbare_Energie_Totaal[[#This Row],[Product]],Categorie_1_Producten[#All],29,FALSE)*(Optimalisatie!J36),VLOOKUP(Inschrijf_Hernieuwbare_Energie_Totaal[[#This Row],[Product]]&amp;", "&amp;Inschrijf_Hernieuwbare_Energie_Totaal[[#Headers],[D]],Database_Productkaarten[#All],48,FALSE)*Optimalisatie!J36),Baseline_Backlog!S349),0))</f>
        <v>0</v>
      </c>
      <c r="S349" s="91">
        <f>SUM(Inschrijf_Hernieuwbare_Energie_Totaal[[#This Row],[A1-A3]:[C4]])+Inschrijf_Hernieuwbare_Energie_Totaal[[#This Row],[D]]</f>
        <v>6807.387574368925</v>
      </c>
    </row>
    <row r="350" spans="2:19">
      <c r="B350" s="208" t="str">
        <f>Optimalisatie!B37</f>
        <v>440060 - Aanbrengen straatbakstenen DF, Rood (trottoir)</v>
      </c>
      <c r="C350" s="1" t="str">
        <f>Optimalisatie!F37</f>
        <v>Baksteen</v>
      </c>
      <c r="D350" s="91">
        <f>(IF(Optimalisatie!C37="Nieuwe Situatie",_xlfn.IFNA(IF(Optimalisatie!E37="Categorie_1_LCA_Producten",VLOOKUP(Inschrijf_Hernieuwbare_Energie_Totaal[[#This Row],[Product]],Categorie_1_Producten[#All],20,FALSE)*(Optimalisatie!J37),VLOOKUP(Inschrijf_Hernieuwbare_Energie_Totaal[[#This Row],[Product]]&amp;", "&amp;Inschrijf_Hernieuwbare_Energie_Totaal[[#Headers],[A1]],Database_Productkaarten[#All],48,FALSE)*Optimalisatie!J37),Baseline_Backlog!D350),0))</f>
        <v>0</v>
      </c>
      <c r="E350" s="91">
        <f>(IF(Optimalisatie!C37="Nieuwe Situatie",_xlfn.IFNA(IF(Optimalisatie!E37="Categorie_1_LCA_Producten",VLOOKUP(Inschrijf_Hernieuwbare_Energie_Totaal[[#This Row],[Product]],Categorie_1_Producten[#All],21,FALSE)*(Optimalisatie!J37),VLOOKUP(Inschrijf_Hernieuwbare_Energie_Totaal[[#This Row],[Product]]&amp;", "&amp;Inschrijf_Hernieuwbare_Energie_Totaal[[#Headers],[A2]],Database_Productkaarten[#All],48,FALSE)*Optimalisatie!J37),Baseline_Backlog!E350),0))</f>
        <v>0</v>
      </c>
      <c r="F350" s="91">
        <f>(IF(Optimalisatie!C37="Nieuwe Situatie",_xlfn.IFNA(IF(Optimalisatie!E37="Categorie_1_LCA_Producten",VLOOKUP(Inschrijf_Hernieuwbare_Energie_Totaal[[#This Row],[Product]],Categorie_1_Producten[#All],22,FALSE)*(Optimalisatie!J37),VLOOKUP(Inschrijf_Hernieuwbare_Energie_Totaal[[#This Row],[Product]]&amp;", "&amp;Inschrijf_Hernieuwbare_Energie_Totaal[[#Headers],[A3]],Database_Productkaarten[#All],48,FALSE)*Optimalisatie!J37),Baseline_Backlog!F350),0))</f>
        <v>0</v>
      </c>
      <c r="G350" s="91">
        <f>(IF(Optimalisatie!C37="Nieuwe Situatie",_xlfn.IFNA(IF(Optimalisatie!E37="Categorie_1_LCA_Producten",VLOOKUP(Inschrijf_Hernieuwbare_Energie_Totaal[[#This Row],[Product]],Categorie_1_Producten[#All],27,FALSE)*(Optimalisatie!J37),VLOOKUP(Inschrijf_Hernieuwbare_Energie_Totaal[[#This Row],[Product]]&amp;", "&amp;Inschrijf_Hernieuwbare_Energie_Totaal[[#Headers],[A1-A3]],Database_Productkaarten[#All],48,FALSE)*Optimalisatie!J37),Baseline_Backlog!G350),0))</f>
        <v>40344.1</v>
      </c>
      <c r="H350" s="91">
        <f>(IF(Optimalisatie!C37="Nieuwe Situatie",_xlfn.IFNA(VLOOKUP(Optimalisatie!V37,Database_Transport[#All],42,FALSE)*(Optimalisatie!R37*Optimalisatie!U37),Baseline_Backlog!H350),0))</f>
        <v>362.19330893400002</v>
      </c>
      <c r="I350" s="91">
        <f>IF(Optimalisatie!C37="Nieuwe situatie",IF(_xlfn.IFNA((VLOOKUP(Optimalisatie!W37,Database_Asfalt_Aanlegset[#All],42,FALSE)*Optimalisatie!J37),0)+_xlfn.IFNA(VLOOKUP(Optimalisatie!X37,Database_Brandstoffen[#All],42,FALSE)*((Optimalisatie!J37/Optimalisatie!Z37)*Optimalisatie!Y37),0)&gt;0,_xlfn.IFNA((VLOOKUP(Optimalisatie!W37,Database_Asfalt_Aanlegset[#All],42,FALSE)*Optimalisatie!J37),0)+_xlfn.IFNA(VLOOKUP(Optimalisatie!X37,Database_Brandstoffen[#All],42,FALSE)*((Optimalisatie!J37/Optimalisatie!Z37)*Optimalisatie!Y37),0),(_xlfn.IFNA(VLOOKUP(Inschrijf_Hernieuwbare_Energie_Totaal[[#This Row],[Product]]&amp;", "&amp;Inschrijf_MKI_Totaal[[#Headers],[A5]],Database_Productkaarten[#All],48,FALSE),0)*Optimalisatie!J37)),0)</f>
        <v>4078.4379559314293</v>
      </c>
      <c r="J350" s="91">
        <f>(IF(Optimalisatie!C37="Nieuwe Situatie",_xlfn.IFNA(IF(Optimalisatie!E37="Categorie_1_LCA_Producten",VLOOKUP(Inschrijf_Hernieuwbare_Energie_Totaal[[#This Row],[Product]],Categorie_1_Producten[#All],28,FALSE)*(Optimalisatie!R37),VLOOKUP(Inschrijf_Hernieuwbare_Energie_Totaal[[#This Row],[Product]]&amp;", "&amp;Inschrijf_Hernieuwbare_Energie_Totaal[[#Headers],[B1]],Database_Productkaarten[#All],47,FALSE)*Optimalisatie!J37),Baseline_Backlog!J350),0))</f>
        <v>0</v>
      </c>
      <c r="K350" s="91">
        <f>(IF(Optimalisatie!C37="Nieuwe Situatie",_xlfn.IFNA(SUM(Inschrijf_Hernieuwbare_Energie_Totaal[[#This Row],[A1]:[B1]],Inschrijf_Hernieuwbare_Energie_Totaal[[#This Row],[C1]:[D2]])*Optimalisatie!T37,0),0))</f>
        <v>0</v>
      </c>
      <c r="L350" s="91">
        <f>IF(Optimalisatie!C37="Bestaande situatie",IF(_xlfn.IFNA((VLOOKUP(Optimalisatie!AA37,Database_Asfalt_Verwijderset[#All],42,FALSE)*Optimalisatie!J37),0)+_xlfn.IFNA(VLOOKUP(Optimalisatie!AB37,Database_Brandstoffen[#All],42,FALSE)*((Optimalisatie!J37/Optimalisatie!AD37)*Optimalisatie!AC37),0)&gt;0,_xlfn.IFNA((VLOOKUP(Optimalisatie!AA37,Database_Asfalt_Verwijderset[#All],42,FALSE)*Optimalisatie!J37),0)+_xlfn.IFNA(VLOOKUP(Optimalisatie!AB37,Database_Brandstoffen[#All],42,FALSE)*((Optimalisatie!J37/Optimalisatie!AD37)*Optimalisatie!AC37),0),(_xlfn.IFNA(VLOOKUP(Inschrijf_Hernieuwbare_Energie_Totaal[[#This Row],[Product]]&amp;", "&amp;Inschrijf_MKI_Totaal[[#Headers],[C1]],Database_Productkaarten[#All],48,FALSE),0)*Optimalisatie!J37)),0)</f>
        <v>0</v>
      </c>
      <c r="M350" s="91">
        <f>(IF(Optimalisatie!C37="Bestaande Situatie",_xlfn.IFNA(VLOOKUP(Optimalisatie!AF37,Database_Transport[#All],42,FALSE)*(Optimalisatie!R37*Optimalisatie!AE37),Baseline_Backlog!M350),0))</f>
        <v>0</v>
      </c>
      <c r="N350" s="91">
        <f>(IF(Optimalisatie!C37="Bestaande Situatie",_xlfn.IFNA(VLOOKUP(Optimalisatie!AG37,Database_Asfalt_Verwerkingsset[#All],42,FALSE)*(Optimalisatie!J37/VLOOKUP(Optimalisatie!AG37,Database_Asfalt_Verwerkingsset[#All],42,FALSE)),Baseline_Backlog!N350),0))</f>
        <v>0</v>
      </c>
      <c r="O350" s="91">
        <f>(IF(Optimalisatie!C37="Bestaande Situatie",_xlfn.IFNA(VLOOKUP(Inschrijf_Hernieuwbare_Energie_Totaal[[#This Row],[Product]]&amp;", "&amp;Inschrijf_MKI_Totaal[[#Headers],[C4]],Database_Productkaarten[#All],48,FALSE)*Optimalisatie!J37,Baseline_Backlog!O350),0))</f>
        <v>0</v>
      </c>
      <c r="P350" s="91">
        <f>(IF(Optimalisatie!C37="Bestaande Situatie",_xlfn.IFNA(IF(Optimalisatie!E37="Categorie_1_LCA_Producten",VLOOKUP(Inschrijf_Hernieuwbare_Energie_Totaal[[#This Row],[Product]],Categorie_1_Producten[#All],24,FALSE)*(Optimalisatie!J37),VLOOKUP(Inschrijf_Hernieuwbare_Energie_Totaal[[#This Row],[Product]]&amp;", "&amp;Inschrijf_Hernieuwbare_Energie_Totaal[[#Headers],[D1]],Database_Productkaarten[#All],48,FALSE)*Optimalisatie!J37),Baseline_Backlog!P350),0))</f>
        <v>0</v>
      </c>
      <c r="Q350" s="91">
        <f>(IF(Optimalisatie!C37="Bestaande Situatie",_xlfn.IFNA(IF(Optimalisatie!E37="Categorie_1_LCA_Producten",VLOOKUP(Inschrijf_Hernieuwbare_Energie_Totaal[[#This Row],[Product]],Categorie_1_Producten[#All],25,FALSE)*(Optimalisatie!J37),VLOOKUP(Inschrijf_Hernieuwbare_Energie_Totaal[[#This Row],[Product]]&amp;", "&amp;Inschrijf_Hernieuwbare_Energie_Totaal[[#Headers],[D2]],Database_Productkaarten[#All],48,FALSE)*Optimalisatie!J37),Baseline_Backlog!Q350),0))</f>
        <v>0</v>
      </c>
      <c r="R350" s="91">
        <f>(IF(Optimalisatie!C37="Bestaande Situatie",_xlfn.IFNA(IF(Optimalisatie!E37="Categorie_1_LCA_Producten",VLOOKUP(Inschrijf_Hernieuwbare_Energie_Totaal[[#This Row],[Product]],Categorie_1_Producten[#All],29,FALSE)*(Optimalisatie!J37),VLOOKUP(Inschrijf_Hernieuwbare_Energie_Totaal[[#This Row],[Product]]&amp;", "&amp;Inschrijf_Hernieuwbare_Energie_Totaal[[#Headers],[D]],Database_Productkaarten[#All],48,FALSE)*Optimalisatie!J37),Baseline_Backlog!S350),0))</f>
        <v>0</v>
      </c>
      <c r="S350" s="91">
        <f>SUM(Inschrijf_Hernieuwbare_Energie_Totaal[[#This Row],[A1-A3]:[C4]])+Inschrijf_Hernieuwbare_Energie_Totaal[[#This Row],[D]]</f>
        <v>44784.731264865433</v>
      </c>
    </row>
    <row r="351" spans="2:19">
      <c r="B351" s="208" t="str">
        <f>Optimalisatie!B38</f>
        <v>440070 - Aanbrengen straatbakstenen DF, Geel (trottoir)</v>
      </c>
      <c r="C351" s="1" t="str">
        <f>Optimalisatie!F38</f>
        <v>Baksteen</v>
      </c>
      <c r="D351" s="91">
        <f>(IF(Optimalisatie!C38="Nieuwe Situatie",_xlfn.IFNA(IF(Optimalisatie!E38="Categorie_1_LCA_Producten",VLOOKUP(Inschrijf_Hernieuwbare_Energie_Totaal[[#This Row],[Product]],Categorie_1_Producten[#All],20,FALSE)*(Optimalisatie!J38),VLOOKUP(Inschrijf_Hernieuwbare_Energie_Totaal[[#This Row],[Product]]&amp;", "&amp;Inschrijf_Hernieuwbare_Energie_Totaal[[#Headers],[A1]],Database_Productkaarten[#All],48,FALSE)*Optimalisatie!J38),Baseline_Backlog!D351),0))</f>
        <v>0</v>
      </c>
      <c r="E351" s="91">
        <f>(IF(Optimalisatie!C38="Nieuwe Situatie",_xlfn.IFNA(IF(Optimalisatie!E38="Categorie_1_LCA_Producten",VLOOKUP(Inschrijf_Hernieuwbare_Energie_Totaal[[#This Row],[Product]],Categorie_1_Producten[#All],21,FALSE)*(Optimalisatie!J38),VLOOKUP(Inschrijf_Hernieuwbare_Energie_Totaal[[#This Row],[Product]]&amp;", "&amp;Inschrijf_Hernieuwbare_Energie_Totaal[[#Headers],[A2]],Database_Productkaarten[#All],48,FALSE)*Optimalisatie!J38),Baseline_Backlog!E351),0))</f>
        <v>0</v>
      </c>
      <c r="F351" s="91">
        <f>(IF(Optimalisatie!C38="Nieuwe Situatie",_xlfn.IFNA(IF(Optimalisatie!E38="Categorie_1_LCA_Producten",VLOOKUP(Inschrijf_Hernieuwbare_Energie_Totaal[[#This Row],[Product]],Categorie_1_Producten[#All],22,FALSE)*(Optimalisatie!J38),VLOOKUP(Inschrijf_Hernieuwbare_Energie_Totaal[[#This Row],[Product]]&amp;", "&amp;Inschrijf_Hernieuwbare_Energie_Totaal[[#Headers],[A3]],Database_Productkaarten[#All],48,FALSE)*Optimalisatie!J38),Baseline_Backlog!F351),0))</f>
        <v>0</v>
      </c>
      <c r="G351" s="91">
        <f>(IF(Optimalisatie!C38="Nieuwe Situatie",_xlfn.IFNA(IF(Optimalisatie!E38="Categorie_1_LCA_Producten",VLOOKUP(Inschrijf_Hernieuwbare_Energie_Totaal[[#This Row],[Product]],Categorie_1_Producten[#All],27,FALSE)*(Optimalisatie!J38),VLOOKUP(Inschrijf_Hernieuwbare_Energie_Totaal[[#This Row],[Product]]&amp;", "&amp;Inschrijf_Hernieuwbare_Energie_Totaal[[#Headers],[A1-A3]],Database_Productkaarten[#All],48,FALSE)*Optimalisatie!J38),Baseline_Backlog!G351),0))</f>
        <v>10568.5</v>
      </c>
      <c r="H351" s="91">
        <f>(IF(Optimalisatie!C38="Nieuwe Situatie",_xlfn.IFNA(VLOOKUP(Optimalisatie!V38,Database_Transport[#All],42,FALSE)*(Optimalisatie!R38*Optimalisatie!U38),Baseline_Backlog!H351),0))</f>
        <v>94.879796190000008</v>
      </c>
      <c r="I351" s="91">
        <f>IF(Optimalisatie!C38="Nieuwe situatie",IF(_xlfn.IFNA((VLOOKUP(Optimalisatie!W38,Database_Asfalt_Aanlegset[#All],42,FALSE)*Optimalisatie!J38),0)+_xlfn.IFNA(VLOOKUP(Optimalisatie!X38,Database_Brandstoffen[#All],42,FALSE)*((Optimalisatie!J38/Optimalisatie!Z38)*Optimalisatie!Y38),0)&gt;0,_xlfn.IFNA((VLOOKUP(Optimalisatie!W38,Database_Asfalt_Aanlegset[#All],42,FALSE)*Optimalisatie!J38),0)+_xlfn.IFNA(VLOOKUP(Optimalisatie!X38,Database_Brandstoffen[#All],42,FALSE)*((Optimalisatie!J38/Optimalisatie!Z38)*Optimalisatie!Y38),0),(_xlfn.IFNA(VLOOKUP(Inschrijf_Hernieuwbare_Energie_Totaal[[#This Row],[Product]]&amp;", "&amp;Inschrijf_MKI_Totaal[[#Headers],[A5]],Database_Productkaarten[#All],48,FALSE),0)*Optimalisatie!J38)),0)</f>
        <v>1068.3835192075499</v>
      </c>
      <c r="J351" s="91">
        <f>(IF(Optimalisatie!C38="Nieuwe Situatie",_xlfn.IFNA(IF(Optimalisatie!E38="Categorie_1_LCA_Producten",VLOOKUP(Inschrijf_Hernieuwbare_Energie_Totaal[[#This Row],[Product]],Categorie_1_Producten[#All],28,FALSE)*(Optimalisatie!R38),VLOOKUP(Inschrijf_Hernieuwbare_Energie_Totaal[[#This Row],[Product]]&amp;", "&amp;Inschrijf_Hernieuwbare_Energie_Totaal[[#Headers],[B1]],Database_Productkaarten[#All],47,FALSE)*Optimalisatie!J38),Baseline_Backlog!J351),0))</f>
        <v>0</v>
      </c>
      <c r="K351" s="91">
        <f>(IF(Optimalisatie!C38="Nieuwe Situatie",_xlfn.IFNA(SUM(Inschrijf_Hernieuwbare_Energie_Totaal[[#This Row],[A1]:[B1]],Inschrijf_Hernieuwbare_Energie_Totaal[[#This Row],[C1]:[D2]])*Optimalisatie!T38,0),0))</f>
        <v>0</v>
      </c>
      <c r="L351" s="91">
        <f>IF(Optimalisatie!C38="Bestaande situatie",IF(_xlfn.IFNA((VLOOKUP(Optimalisatie!AA38,Database_Asfalt_Verwijderset[#All],42,FALSE)*Optimalisatie!J38),0)+_xlfn.IFNA(VLOOKUP(Optimalisatie!AB38,Database_Brandstoffen[#All],42,FALSE)*((Optimalisatie!J38/Optimalisatie!AD38)*Optimalisatie!AC38),0)&gt;0,_xlfn.IFNA((VLOOKUP(Optimalisatie!AA38,Database_Asfalt_Verwijderset[#All],42,FALSE)*Optimalisatie!J38),0)+_xlfn.IFNA(VLOOKUP(Optimalisatie!AB38,Database_Brandstoffen[#All],42,FALSE)*((Optimalisatie!J38/Optimalisatie!AD38)*Optimalisatie!AC38),0),(_xlfn.IFNA(VLOOKUP(Inschrijf_Hernieuwbare_Energie_Totaal[[#This Row],[Product]]&amp;", "&amp;Inschrijf_MKI_Totaal[[#Headers],[C1]],Database_Productkaarten[#All],48,FALSE),0)*Optimalisatie!J38)),0)</f>
        <v>0</v>
      </c>
      <c r="M351" s="91">
        <f>(IF(Optimalisatie!C38="Bestaande Situatie",_xlfn.IFNA(VLOOKUP(Optimalisatie!AF38,Database_Transport[#All],42,FALSE)*(Optimalisatie!R38*Optimalisatie!AE38),Baseline_Backlog!M351),0))</f>
        <v>0</v>
      </c>
      <c r="N351" s="91">
        <f>(IF(Optimalisatie!C38="Bestaande Situatie",_xlfn.IFNA(VLOOKUP(Optimalisatie!AG38,Database_Asfalt_Verwerkingsset[#All],42,FALSE)*(Optimalisatie!J38/VLOOKUP(Optimalisatie!AG38,Database_Asfalt_Verwerkingsset[#All],42,FALSE)),Baseline_Backlog!N351),0))</f>
        <v>0</v>
      </c>
      <c r="O351" s="91">
        <f>(IF(Optimalisatie!C38="Bestaande Situatie",_xlfn.IFNA(VLOOKUP(Inschrijf_Hernieuwbare_Energie_Totaal[[#This Row],[Product]]&amp;", "&amp;Inschrijf_MKI_Totaal[[#Headers],[C4]],Database_Productkaarten[#All],48,FALSE)*Optimalisatie!J38,Baseline_Backlog!O351),0))</f>
        <v>0</v>
      </c>
      <c r="P351" s="91">
        <f>(IF(Optimalisatie!C38="Bestaande Situatie",_xlfn.IFNA(IF(Optimalisatie!E38="Categorie_1_LCA_Producten",VLOOKUP(Inschrijf_Hernieuwbare_Energie_Totaal[[#This Row],[Product]],Categorie_1_Producten[#All],24,FALSE)*(Optimalisatie!J38),VLOOKUP(Inschrijf_Hernieuwbare_Energie_Totaal[[#This Row],[Product]]&amp;", "&amp;Inschrijf_Hernieuwbare_Energie_Totaal[[#Headers],[D1]],Database_Productkaarten[#All],48,FALSE)*Optimalisatie!J38),Baseline_Backlog!P351),0))</f>
        <v>0</v>
      </c>
      <c r="Q351" s="91">
        <f>(IF(Optimalisatie!C38="Bestaande Situatie",_xlfn.IFNA(IF(Optimalisatie!E38="Categorie_1_LCA_Producten",VLOOKUP(Inschrijf_Hernieuwbare_Energie_Totaal[[#This Row],[Product]],Categorie_1_Producten[#All],25,FALSE)*(Optimalisatie!J38),VLOOKUP(Inschrijf_Hernieuwbare_Energie_Totaal[[#This Row],[Product]]&amp;", "&amp;Inschrijf_Hernieuwbare_Energie_Totaal[[#Headers],[D2]],Database_Productkaarten[#All],48,FALSE)*Optimalisatie!J38),Baseline_Backlog!Q351),0))</f>
        <v>0</v>
      </c>
      <c r="R351" s="91">
        <f>(IF(Optimalisatie!C38="Bestaande Situatie",_xlfn.IFNA(IF(Optimalisatie!E38="Categorie_1_LCA_Producten",VLOOKUP(Inschrijf_Hernieuwbare_Energie_Totaal[[#This Row],[Product]],Categorie_1_Producten[#All],29,FALSE)*(Optimalisatie!J38),VLOOKUP(Inschrijf_Hernieuwbare_Energie_Totaal[[#This Row],[Product]]&amp;", "&amp;Inschrijf_Hernieuwbare_Energie_Totaal[[#Headers],[D]],Database_Productkaarten[#All],48,FALSE)*Optimalisatie!J38),Baseline_Backlog!S351),0))</f>
        <v>0</v>
      </c>
      <c r="S351" s="91">
        <f>SUM(Inschrijf_Hernieuwbare_Energie_Totaal[[#This Row],[A1-A3]:[C4]])+Inschrijf_Hernieuwbare_Energie_Totaal[[#This Row],[D]]</f>
        <v>11731.763315397549</v>
      </c>
    </row>
    <row r="352" spans="2:19">
      <c r="B352" s="208" t="str">
        <f>Optimalisatie!B39</f>
        <v>440090 - Aanbrengen straatbakstenen DF, Rood (drempelopgang)</v>
      </c>
      <c r="C352" s="1" t="str">
        <f>Optimalisatie!F39</f>
        <v>Baksteen</v>
      </c>
      <c r="D352" s="91">
        <f>(IF(Optimalisatie!C39="Nieuwe Situatie",_xlfn.IFNA(IF(Optimalisatie!E39="Categorie_1_LCA_Producten",VLOOKUP(Inschrijf_Hernieuwbare_Energie_Totaal[[#This Row],[Product]],Categorie_1_Producten[#All],20,FALSE)*(Optimalisatie!J39),VLOOKUP(Inschrijf_Hernieuwbare_Energie_Totaal[[#This Row],[Product]]&amp;", "&amp;Inschrijf_Hernieuwbare_Energie_Totaal[[#Headers],[A1]],Database_Productkaarten[#All],48,FALSE)*Optimalisatie!J39),Baseline_Backlog!D352),0))</f>
        <v>0</v>
      </c>
      <c r="E352" s="91">
        <f>(IF(Optimalisatie!C39="Nieuwe Situatie",_xlfn.IFNA(IF(Optimalisatie!E39="Categorie_1_LCA_Producten",VLOOKUP(Inschrijf_Hernieuwbare_Energie_Totaal[[#This Row],[Product]],Categorie_1_Producten[#All],21,FALSE)*(Optimalisatie!J39),VLOOKUP(Inschrijf_Hernieuwbare_Energie_Totaal[[#This Row],[Product]]&amp;", "&amp;Inschrijf_Hernieuwbare_Energie_Totaal[[#Headers],[A2]],Database_Productkaarten[#All],48,FALSE)*Optimalisatie!J39),Baseline_Backlog!E352),0))</f>
        <v>0</v>
      </c>
      <c r="F352" s="91">
        <f>(IF(Optimalisatie!C39="Nieuwe Situatie",_xlfn.IFNA(IF(Optimalisatie!E39="Categorie_1_LCA_Producten",VLOOKUP(Inschrijf_Hernieuwbare_Energie_Totaal[[#This Row],[Product]],Categorie_1_Producten[#All],22,FALSE)*(Optimalisatie!J39),VLOOKUP(Inschrijf_Hernieuwbare_Energie_Totaal[[#This Row],[Product]]&amp;", "&amp;Inschrijf_Hernieuwbare_Energie_Totaal[[#Headers],[A3]],Database_Productkaarten[#All],48,FALSE)*Optimalisatie!J39),Baseline_Backlog!F352),0))</f>
        <v>0</v>
      </c>
      <c r="G352" s="91">
        <f>(IF(Optimalisatie!C39="Nieuwe Situatie",_xlfn.IFNA(IF(Optimalisatie!E39="Categorie_1_LCA_Producten",VLOOKUP(Inschrijf_Hernieuwbare_Energie_Totaal[[#This Row],[Product]],Categorie_1_Producten[#All],27,FALSE)*(Optimalisatie!J39),VLOOKUP(Inschrijf_Hernieuwbare_Energie_Totaal[[#This Row],[Product]]&amp;", "&amp;Inschrijf_Hernieuwbare_Energie_Totaal[[#Headers],[A1-A3]],Database_Productkaarten[#All],48,FALSE)*Optimalisatie!J39),Baseline_Backlog!G352),0))</f>
        <v>2067.75</v>
      </c>
      <c r="H352" s="91">
        <f>(IF(Optimalisatie!C39="Nieuwe Situatie",_xlfn.IFNA(VLOOKUP(Optimalisatie!V39,Database_Transport[#All],42,FALSE)*(Optimalisatie!R39*Optimalisatie!U39),Baseline_Backlog!H352),0))</f>
        <v>18.563438385000001</v>
      </c>
      <c r="I352" s="91">
        <f>IF(Optimalisatie!C39="Nieuwe situatie",IF(_xlfn.IFNA((VLOOKUP(Optimalisatie!W39,Database_Asfalt_Aanlegset[#All],42,FALSE)*Optimalisatie!J39),0)+_xlfn.IFNA(VLOOKUP(Optimalisatie!X39,Database_Brandstoffen[#All],42,FALSE)*((Optimalisatie!J39/Optimalisatie!Z39)*Optimalisatie!Y39),0)&gt;0,_xlfn.IFNA((VLOOKUP(Optimalisatie!W39,Database_Asfalt_Aanlegset[#All],42,FALSE)*Optimalisatie!J39),0)+_xlfn.IFNA(VLOOKUP(Optimalisatie!X39,Database_Brandstoffen[#All],42,FALSE)*((Optimalisatie!J39/Optimalisatie!Z39)*Optimalisatie!Y39),0),(_xlfn.IFNA(VLOOKUP(Inschrijf_Hernieuwbare_Energie_Totaal[[#This Row],[Product]]&amp;", "&amp;Inschrijf_MKI_Totaal[[#Headers],[A5]],Database_Productkaarten[#All],48,FALSE),0)*Optimalisatie!J39)),0)</f>
        <v>209.03155810582498</v>
      </c>
      <c r="J352" s="91">
        <f>(IF(Optimalisatie!C39="Nieuwe Situatie",_xlfn.IFNA(IF(Optimalisatie!E39="Categorie_1_LCA_Producten",VLOOKUP(Inschrijf_Hernieuwbare_Energie_Totaal[[#This Row],[Product]],Categorie_1_Producten[#All],28,FALSE)*(Optimalisatie!R39),VLOOKUP(Inschrijf_Hernieuwbare_Energie_Totaal[[#This Row],[Product]]&amp;", "&amp;Inschrijf_Hernieuwbare_Energie_Totaal[[#Headers],[B1]],Database_Productkaarten[#All],47,FALSE)*Optimalisatie!J39),Baseline_Backlog!J352),0))</f>
        <v>0</v>
      </c>
      <c r="K352" s="91">
        <f>(IF(Optimalisatie!C39="Nieuwe Situatie",_xlfn.IFNA(SUM(Inschrijf_Hernieuwbare_Energie_Totaal[[#This Row],[A1]:[B1]],Inschrijf_Hernieuwbare_Energie_Totaal[[#This Row],[C1]:[D2]])*Optimalisatie!T39,0),0))</f>
        <v>0</v>
      </c>
      <c r="L352" s="91">
        <f>IF(Optimalisatie!C39="Bestaande situatie",IF(_xlfn.IFNA((VLOOKUP(Optimalisatie!AA39,Database_Asfalt_Verwijderset[#All],42,FALSE)*Optimalisatie!J39),0)+_xlfn.IFNA(VLOOKUP(Optimalisatie!AB39,Database_Brandstoffen[#All],42,FALSE)*((Optimalisatie!J39/Optimalisatie!AD39)*Optimalisatie!AC39),0)&gt;0,_xlfn.IFNA((VLOOKUP(Optimalisatie!AA39,Database_Asfalt_Verwijderset[#All],42,FALSE)*Optimalisatie!J39),0)+_xlfn.IFNA(VLOOKUP(Optimalisatie!AB39,Database_Brandstoffen[#All],42,FALSE)*((Optimalisatie!J39/Optimalisatie!AD39)*Optimalisatie!AC39),0),(_xlfn.IFNA(VLOOKUP(Inschrijf_Hernieuwbare_Energie_Totaal[[#This Row],[Product]]&amp;", "&amp;Inschrijf_MKI_Totaal[[#Headers],[C1]],Database_Productkaarten[#All],48,FALSE),0)*Optimalisatie!J39)),0)</f>
        <v>0</v>
      </c>
      <c r="M352" s="91">
        <f>(IF(Optimalisatie!C39="Bestaande Situatie",_xlfn.IFNA(VLOOKUP(Optimalisatie!AF39,Database_Transport[#All],42,FALSE)*(Optimalisatie!R39*Optimalisatie!AE39),Baseline_Backlog!M352),0))</f>
        <v>0</v>
      </c>
      <c r="N352" s="91">
        <f>(IF(Optimalisatie!C39="Bestaande Situatie",_xlfn.IFNA(VLOOKUP(Optimalisatie!AG39,Database_Asfalt_Verwerkingsset[#All],42,FALSE)*(Optimalisatie!J39/VLOOKUP(Optimalisatie!AG39,Database_Asfalt_Verwerkingsset[#All],42,FALSE)),Baseline_Backlog!N352),0))</f>
        <v>0</v>
      </c>
      <c r="O352" s="91">
        <f>(IF(Optimalisatie!C39="Bestaande Situatie",_xlfn.IFNA(VLOOKUP(Inschrijf_Hernieuwbare_Energie_Totaal[[#This Row],[Product]]&amp;", "&amp;Inschrijf_MKI_Totaal[[#Headers],[C4]],Database_Productkaarten[#All],48,FALSE)*Optimalisatie!J39,Baseline_Backlog!O352),0))</f>
        <v>0</v>
      </c>
      <c r="P352" s="91">
        <f>(IF(Optimalisatie!C39="Bestaande Situatie",_xlfn.IFNA(IF(Optimalisatie!E39="Categorie_1_LCA_Producten",VLOOKUP(Inschrijf_Hernieuwbare_Energie_Totaal[[#This Row],[Product]],Categorie_1_Producten[#All],24,FALSE)*(Optimalisatie!J39),VLOOKUP(Inschrijf_Hernieuwbare_Energie_Totaal[[#This Row],[Product]]&amp;", "&amp;Inschrijf_Hernieuwbare_Energie_Totaal[[#Headers],[D1]],Database_Productkaarten[#All],48,FALSE)*Optimalisatie!J39),Baseline_Backlog!P352),0))</f>
        <v>0</v>
      </c>
      <c r="Q352" s="91">
        <f>(IF(Optimalisatie!C39="Bestaande Situatie",_xlfn.IFNA(IF(Optimalisatie!E39="Categorie_1_LCA_Producten",VLOOKUP(Inschrijf_Hernieuwbare_Energie_Totaal[[#This Row],[Product]],Categorie_1_Producten[#All],25,FALSE)*(Optimalisatie!J39),VLOOKUP(Inschrijf_Hernieuwbare_Energie_Totaal[[#This Row],[Product]]&amp;", "&amp;Inschrijf_Hernieuwbare_Energie_Totaal[[#Headers],[D2]],Database_Productkaarten[#All],48,FALSE)*Optimalisatie!J39),Baseline_Backlog!Q352),0))</f>
        <v>0</v>
      </c>
      <c r="R352" s="91">
        <f>(IF(Optimalisatie!C39="Bestaande Situatie",_xlfn.IFNA(IF(Optimalisatie!E39="Categorie_1_LCA_Producten",VLOOKUP(Inschrijf_Hernieuwbare_Energie_Totaal[[#This Row],[Product]],Categorie_1_Producten[#All],29,FALSE)*(Optimalisatie!J39),VLOOKUP(Inschrijf_Hernieuwbare_Energie_Totaal[[#This Row],[Product]]&amp;", "&amp;Inschrijf_Hernieuwbare_Energie_Totaal[[#Headers],[D]],Database_Productkaarten[#All],48,FALSE)*Optimalisatie!J39),Baseline_Backlog!S352),0))</f>
        <v>0</v>
      </c>
      <c r="S352" s="91">
        <f>SUM(Inschrijf_Hernieuwbare_Energie_Totaal[[#This Row],[A1-A3]:[C4]])+Inschrijf_Hernieuwbare_Energie_Totaal[[#This Row],[D]]</f>
        <v>2295.344996490825</v>
      </c>
    </row>
    <row r="353" spans="2:19">
      <c r="B353" s="208">
        <f>Optimalisatie!B40</f>
        <v>0</v>
      </c>
      <c r="C353" s="1">
        <f>Optimalisatie!F40</f>
        <v>0</v>
      </c>
      <c r="D353" s="91">
        <f>(IF(Optimalisatie!C40="Nieuwe Situatie",_xlfn.IFNA(IF(Optimalisatie!E40="Categorie_1_LCA_Producten",VLOOKUP(Inschrijf_Hernieuwbare_Energie_Totaal[[#This Row],[Product]],Categorie_1_Producten[#All],20,FALSE)*(Optimalisatie!J40),VLOOKUP(Inschrijf_Hernieuwbare_Energie_Totaal[[#This Row],[Product]]&amp;", "&amp;Inschrijf_Hernieuwbare_Energie_Totaal[[#Headers],[A1]],Database_Productkaarten[#All],48,FALSE)*Optimalisatie!J40),Baseline_Backlog!D353),0))</f>
        <v>0</v>
      </c>
      <c r="E353" s="91">
        <f>(IF(Optimalisatie!C40="Nieuwe Situatie",_xlfn.IFNA(IF(Optimalisatie!E40="Categorie_1_LCA_Producten",VLOOKUP(Inschrijf_Hernieuwbare_Energie_Totaal[[#This Row],[Product]],Categorie_1_Producten[#All],21,FALSE)*(Optimalisatie!J40),VLOOKUP(Inschrijf_Hernieuwbare_Energie_Totaal[[#This Row],[Product]]&amp;", "&amp;Inschrijf_Hernieuwbare_Energie_Totaal[[#Headers],[A2]],Database_Productkaarten[#All],48,FALSE)*Optimalisatie!J40),Baseline_Backlog!E353),0))</f>
        <v>0</v>
      </c>
      <c r="F353" s="91">
        <f>(IF(Optimalisatie!C40="Nieuwe Situatie",_xlfn.IFNA(IF(Optimalisatie!E40="Categorie_1_LCA_Producten",VLOOKUP(Inschrijf_Hernieuwbare_Energie_Totaal[[#This Row],[Product]],Categorie_1_Producten[#All],22,FALSE)*(Optimalisatie!J40),VLOOKUP(Inschrijf_Hernieuwbare_Energie_Totaal[[#This Row],[Product]]&amp;", "&amp;Inschrijf_Hernieuwbare_Energie_Totaal[[#Headers],[A3]],Database_Productkaarten[#All],48,FALSE)*Optimalisatie!J40),Baseline_Backlog!F353),0))</f>
        <v>0</v>
      </c>
      <c r="G353" s="91">
        <f>(IF(Optimalisatie!C40="Nieuwe Situatie",_xlfn.IFNA(IF(Optimalisatie!E40="Categorie_1_LCA_Producten",VLOOKUP(Inschrijf_Hernieuwbare_Energie_Totaal[[#This Row],[Product]],Categorie_1_Producten[#All],27,FALSE)*(Optimalisatie!J40),VLOOKUP(Inschrijf_Hernieuwbare_Energie_Totaal[[#This Row],[Product]]&amp;", "&amp;Inschrijf_Hernieuwbare_Energie_Totaal[[#Headers],[A1-A3]],Database_Productkaarten[#All],48,FALSE)*Optimalisatie!J40),Baseline_Backlog!G353),0))</f>
        <v>0</v>
      </c>
      <c r="H353" s="91">
        <f>(IF(Optimalisatie!C40="Nieuwe Situatie",_xlfn.IFNA(VLOOKUP(Optimalisatie!V40,Database_Transport[#All],42,FALSE)*(Optimalisatie!R40*Optimalisatie!U40),Baseline_Backlog!H353),0))</f>
        <v>0</v>
      </c>
      <c r="I353" s="91">
        <f>IF(Optimalisatie!C40="Nieuwe situatie",IF(_xlfn.IFNA((VLOOKUP(Optimalisatie!W40,Database_Asfalt_Aanlegset[#All],42,FALSE)*Optimalisatie!J40),0)+_xlfn.IFNA(VLOOKUP(Optimalisatie!X40,Database_Brandstoffen[#All],42,FALSE)*((Optimalisatie!J40/Optimalisatie!Z40)*Optimalisatie!Y40),0)&gt;0,_xlfn.IFNA((VLOOKUP(Optimalisatie!W40,Database_Asfalt_Aanlegset[#All],42,FALSE)*Optimalisatie!J40),0)+_xlfn.IFNA(VLOOKUP(Optimalisatie!X40,Database_Brandstoffen[#All],42,FALSE)*((Optimalisatie!J40/Optimalisatie!Z40)*Optimalisatie!Y40),0),(_xlfn.IFNA(VLOOKUP(Inschrijf_Hernieuwbare_Energie_Totaal[[#This Row],[Product]]&amp;", "&amp;Inschrijf_MKI_Totaal[[#Headers],[A5]],Database_Productkaarten[#All],48,FALSE),0)*Optimalisatie!J40)),0)</f>
        <v>0</v>
      </c>
      <c r="J353" s="91">
        <f>(IF(Optimalisatie!C40="Nieuwe Situatie",_xlfn.IFNA(IF(Optimalisatie!E40="Categorie_1_LCA_Producten",VLOOKUP(Inschrijf_Hernieuwbare_Energie_Totaal[[#This Row],[Product]],Categorie_1_Producten[#All],28,FALSE)*(Optimalisatie!R40),VLOOKUP(Inschrijf_Hernieuwbare_Energie_Totaal[[#This Row],[Product]]&amp;", "&amp;Inschrijf_Hernieuwbare_Energie_Totaal[[#Headers],[B1]],Database_Productkaarten[#All],47,FALSE)*Optimalisatie!J40),Baseline_Backlog!J353),0))</f>
        <v>0</v>
      </c>
      <c r="K353" s="91">
        <f>(IF(Optimalisatie!C40="Nieuwe Situatie",_xlfn.IFNA(SUM(Inschrijf_Hernieuwbare_Energie_Totaal[[#This Row],[A1]:[B1]],Inschrijf_Hernieuwbare_Energie_Totaal[[#This Row],[C1]:[D2]])*Optimalisatie!T40,0),0))</f>
        <v>0</v>
      </c>
      <c r="L353" s="91">
        <f>IF(Optimalisatie!C40="Bestaande situatie",IF(_xlfn.IFNA((VLOOKUP(Optimalisatie!AA40,Database_Asfalt_Verwijderset[#All],42,FALSE)*Optimalisatie!J40),0)+_xlfn.IFNA(VLOOKUP(Optimalisatie!AB40,Database_Brandstoffen[#All],42,FALSE)*((Optimalisatie!J40/Optimalisatie!AD40)*Optimalisatie!AC40),0)&gt;0,_xlfn.IFNA((VLOOKUP(Optimalisatie!AA40,Database_Asfalt_Verwijderset[#All],42,FALSE)*Optimalisatie!J40),0)+_xlfn.IFNA(VLOOKUP(Optimalisatie!AB40,Database_Brandstoffen[#All],42,FALSE)*((Optimalisatie!J40/Optimalisatie!AD40)*Optimalisatie!AC40),0),(_xlfn.IFNA(VLOOKUP(Inschrijf_Hernieuwbare_Energie_Totaal[[#This Row],[Product]]&amp;", "&amp;Inschrijf_MKI_Totaal[[#Headers],[C1]],Database_Productkaarten[#All],48,FALSE),0)*Optimalisatie!J40)),0)</f>
        <v>0</v>
      </c>
      <c r="M353" s="91">
        <f>(IF(Optimalisatie!C40="Bestaande Situatie",_xlfn.IFNA(VLOOKUP(Optimalisatie!AF40,Database_Transport[#All],42,FALSE)*(Optimalisatie!R40*Optimalisatie!AE40),Baseline_Backlog!M353),0))</f>
        <v>0</v>
      </c>
      <c r="N353" s="91">
        <f>(IF(Optimalisatie!C40="Bestaande Situatie",_xlfn.IFNA(VLOOKUP(Optimalisatie!AG40,Database_Asfalt_Verwerkingsset[#All],42,FALSE)*(Optimalisatie!J40/VLOOKUP(Optimalisatie!AG40,Database_Asfalt_Verwerkingsset[#All],42,FALSE)),Baseline_Backlog!N353),0))</f>
        <v>0</v>
      </c>
      <c r="O353" s="91">
        <f>(IF(Optimalisatie!C40="Bestaande Situatie",_xlfn.IFNA(VLOOKUP(Inschrijf_Hernieuwbare_Energie_Totaal[[#This Row],[Product]]&amp;", "&amp;Inschrijf_MKI_Totaal[[#Headers],[C4]],Database_Productkaarten[#All],48,FALSE)*Optimalisatie!J40,Baseline_Backlog!O353),0))</f>
        <v>0</v>
      </c>
      <c r="P353" s="91">
        <f>(IF(Optimalisatie!C40="Bestaande Situatie",_xlfn.IFNA(IF(Optimalisatie!E40="Categorie_1_LCA_Producten",VLOOKUP(Inschrijf_Hernieuwbare_Energie_Totaal[[#This Row],[Product]],Categorie_1_Producten[#All],24,FALSE)*(Optimalisatie!J40),VLOOKUP(Inschrijf_Hernieuwbare_Energie_Totaal[[#This Row],[Product]]&amp;", "&amp;Inschrijf_Hernieuwbare_Energie_Totaal[[#Headers],[D1]],Database_Productkaarten[#All],48,FALSE)*Optimalisatie!J40),Baseline_Backlog!P353),0))</f>
        <v>0</v>
      </c>
      <c r="Q353" s="91">
        <f>(IF(Optimalisatie!C40="Bestaande Situatie",_xlfn.IFNA(IF(Optimalisatie!E40="Categorie_1_LCA_Producten",VLOOKUP(Inschrijf_Hernieuwbare_Energie_Totaal[[#This Row],[Product]],Categorie_1_Producten[#All],25,FALSE)*(Optimalisatie!J40),VLOOKUP(Inschrijf_Hernieuwbare_Energie_Totaal[[#This Row],[Product]]&amp;", "&amp;Inschrijf_Hernieuwbare_Energie_Totaal[[#Headers],[D2]],Database_Productkaarten[#All],48,FALSE)*Optimalisatie!J40),Baseline_Backlog!Q353),0))</f>
        <v>0</v>
      </c>
      <c r="R353" s="91">
        <f>(IF(Optimalisatie!C40="Bestaande Situatie",_xlfn.IFNA(IF(Optimalisatie!E40="Categorie_1_LCA_Producten",VLOOKUP(Inschrijf_Hernieuwbare_Energie_Totaal[[#This Row],[Product]],Categorie_1_Producten[#All],29,FALSE)*(Optimalisatie!J40),VLOOKUP(Inschrijf_Hernieuwbare_Energie_Totaal[[#This Row],[Product]]&amp;", "&amp;Inschrijf_Hernieuwbare_Energie_Totaal[[#Headers],[D]],Database_Productkaarten[#All],48,FALSE)*Optimalisatie!J40),Baseline_Backlog!S353),0))</f>
        <v>0</v>
      </c>
      <c r="S353" s="91">
        <f>SUM(Inschrijf_Hernieuwbare_Energie_Totaal[[#This Row],[A1-A3]:[C4]])+Inschrijf_Hernieuwbare_Energie_Totaal[[#This Row],[D]]</f>
        <v>0</v>
      </c>
    </row>
    <row r="354" spans="2:19">
      <c r="B354" s="208">
        <f>Optimalisatie!B41</f>
        <v>0</v>
      </c>
      <c r="C354" s="1">
        <f>Optimalisatie!F41</f>
        <v>0</v>
      </c>
      <c r="D354" s="91">
        <f>(IF(Optimalisatie!C41="Nieuwe Situatie",_xlfn.IFNA(IF(Optimalisatie!E41="Categorie_1_LCA_Producten",VLOOKUP(Inschrijf_Hernieuwbare_Energie_Totaal[[#This Row],[Product]],Categorie_1_Producten[#All],20,FALSE)*(Optimalisatie!J41),VLOOKUP(Inschrijf_Hernieuwbare_Energie_Totaal[[#This Row],[Product]]&amp;", "&amp;Inschrijf_Hernieuwbare_Energie_Totaal[[#Headers],[A1]],Database_Productkaarten[#All],48,FALSE)*Optimalisatie!J41),Baseline_Backlog!D354),0))</f>
        <v>0</v>
      </c>
      <c r="E354" s="91">
        <f>(IF(Optimalisatie!C41="Nieuwe Situatie",_xlfn.IFNA(IF(Optimalisatie!E41="Categorie_1_LCA_Producten",VLOOKUP(Inschrijf_Hernieuwbare_Energie_Totaal[[#This Row],[Product]],Categorie_1_Producten[#All],21,FALSE)*(Optimalisatie!J41),VLOOKUP(Inschrijf_Hernieuwbare_Energie_Totaal[[#This Row],[Product]]&amp;", "&amp;Inschrijf_Hernieuwbare_Energie_Totaal[[#Headers],[A2]],Database_Productkaarten[#All],48,FALSE)*Optimalisatie!J41),Baseline_Backlog!E354),0))</f>
        <v>0</v>
      </c>
      <c r="F354" s="91">
        <f>(IF(Optimalisatie!C41="Nieuwe Situatie",_xlfn.IFNA(IF(Optimalisatie!E41="Categorie_1_LCA_Producten",VLOOKUP(Inschrijf_Hernieuwbare_Energie_Totaal[[#This Row],[Product]],Categorie_1_Producten[#All],22,FALSE)*(Optimalisatie!J41),VLOOKUP(Inschrijf_Hernieuwbare_Energie_Totaal[[#This Row],[Product]]&amp;", "&amp;Inschrijf_Hernieuwbare_Energie_Totaal[[#Headers],[A3]],Database_Productkaarten[#All],48,FALSE)*Optimalisatie!J41),Baseline_Backlog!F354),0))</f>
        <v>0</v>
      </c>
      <c r="G354" s="91">
        <f>(IF(Optimalisatie!C41="Nieuwe Situatie",_xlfn.IFNA(IF(Optimalisatie!E41="Categorie_1_LCA_Producten",VLOOKUP(Inschrijf_Hernieuwbare_Energie_Totaal[[#This Row],[Product]],Categorie_1_Producten[#All],27,FALSE)*(Optimalisatie!J41),VLOOKUP(Inschrijf_Hernieuwbare_Energie_Totaal[[#This Row],[Product]]&amp;", "&amp;Inschrijf_Hernieuwbare_Energie_Totaal[[#Headers],[A1-A3]],Database_Productkaarten[#All],48,FALSE)*Optimalisatie!J41),Baseline_Backlog!G354),0))</f>
        <v>0</v>
      </c>
      <c r="H354" s="91">
        <f>(IF(Optimalisatie!C41="Nieuwe Situatie",_xlfn.IFNA(VLOOKUP(Optimalisatie!V41,Database_Transport[#All],42,FALSE)*(Optimalisatie!R41*Optimalisatie!U41),Baseline_Backlog!H354),0))</f>
        <v>0</v>
      </c>
      <c r="I354" s="91">
        <f>IF(Optimalisatie!C41="Nieuwe situatie",IF(_xlfn.IFNA((VLOOKUP(Optimalisatie!W41,Database_Asfalt_Aanlegset[#All],42,FALSE)*Optimalisatie!J41),0)+_xlfn.IFNA(VLOOKUP(Optimalisatie!X41,Database_Brandstoffen[#All],42,FALSE)*((Optimalisatie!J41/Optimalisatie!Z41)*Optimalisatie!Y41),0)&gt;0,_xlfn.IFNA((VLOOKUP(Optimalisatie!W41,Database_Asfalt_Aanlegset[#All],42,FALSE)*Optimalisatie!J41),0)+_xlfn.IFNA(VLOOKUP(Optimalisatie!X41,Database_Brandstoffen[#All],42,FALSE)*((Optimalisatie!J41/Optimalisatie!Z41)*Optimalisatie!Y41),0),(_xlfn.IFNA(VLOOKUP(Inschrijf_Hernieuwbare_Energie_Totaal[[#This Row],[Product]]&amp;", "&amp;Inschrijf_MKI_Totaal[[#Headers],[A5]],Database_Productkaarten[#All],48,FALSE),0)*Optimalisatie!J41)),0)</f>
        <v>0</v>
      </c>
      <c r="J354" s="91">
        <f>(IF(Optimalisatie!C41="Nieuwe Situatie",_xlfn.IFNA(IF(Optimalisatie!E41="Categorie_1_LCA_Producten",VLOOKUP(Inschrijf_Hernieuwbare_Energie_Totaal[[#This Row],[Product]],Categorie_1_Producten[#All],28,FALSE)*(Optimalisatie!R41),VLOOKUP(Inschrijf_Hernieuwbare_Energie_Totaal[[#This Row],[Product]]&amp;", "&amp;Inschrijf_Hernieuwbare_Energie_Totaal[[#Headers],[B1]],Database_Productkaarten[#All],47,FALSE)*Optimalisatie!J41),Baseline_Backlog!J354),0))</f>
        <v>0</v>
      </c>
      <c r="K354" s="91">
        <f>(IF(Optimalisatie!C41="Nieuwe Situatie",_xlfn.IFNA(SUM(Inschrijf_Hernieuwbare_Energie_Totaal[[#This Row],[A1]:[B1]],Inschrijf_Hernieuwbare_Energie_Totaal[[#This Row],[C1]:[D2]])*Optimalisatie!T41,0),0))</f>
        <v>0</v>
      </c>
      <c r="L354" s="91">
        <f>IF(Optimalisatie!C41="Bestaande situatie",IF(_xlfn.IFNA((VLOOKUP(Optimalisatie!AA41,Database_Asfalt_Verwijderset[#All],42,FALSE)*Optimalisatie!J41),0)+_xlfn.IFNA(VLOOKUP(Optimalisatie!AB41,Database_Brandstoffen[#All],42,FALSE)*((Optimalisatie!J41/Optimalisatie!AD41)*Optimalisatie!AC41),0)&gt;0,_xlfn.IFNA((VLOOKUP(Optimalisatie!AA41,Database_Asfalt_Verwijderset[#All],42,FALSE)*Optimalisatie!J41),0)+_xlfn.IFNA(VLOOKUP(Optimalisatie!AB41,Database_Brandstoffen[#All],42,FALSE)*((Optimalisatie!J41/Optimalisatie!AD41)*Optimalisatie!AC41),0),(_xlfn.IFNA(VLOOKUP(Inschrijf_Hernieuwbare_Energie_Totaal[[#This Row],[Product]]&amp;", "&amp;Inschrijf_MKI_Totaal[[#Headers],[C1]],Database_Productkaarten[#All],48,FALSE),0)*Optimalisatie!J41)),0)</f>
        <v>0</v>
      </c>
      <c r="M354" s="91">
        <f>(IF(Optimalisatie!C41="Bestaande Situatie",_xlfn.IFNA(VLOOKUP(Optimalisatie!AF41,Database_Transport[#All],42,FALSE)*(Optimalisatie!R41*Optimalisatie!AE41),Baseline_Backlog!M354),0))</f>
        <v>0</v>
      </c>
      <c r="N354" s="91">
        <f>(IF(Optimalisatie!C41="Bestaande Situatie",_xlfn.IFNA(VLOOKUP(Optimalisatie!AG41,Database_Asfalt_Verwerkingsset[#All],42,FALSE)*(Optimalisatie!J41/VLOOKUP(Optimalisatie!AG41,Database_Asfalt_Verwerkingsset[#All],42,FALSE)),Baseline_Backlog!N354),0))</f>
        <v>0</v>
      </c>
      <c r="O354" s="91">
        <f>(IF(Optimalisatie!C41="Bestaande Situatie",_xlfn.IFNA(VLOOKUP(Inschrijf_Hernieuwbare_Energie_Totaal[[#This Row],[Product]]&amp;", "&amp;Inschrijf_MKI_Totaal[[#Headers],[C4]],Database_Productkaarten[#All],48,FALSE)*Optimalisatie!J41,Baseline_Backlog!O354),0))</f>
        <v>0</v>
      </c>
      <c r="P354" s="91">
        <f>(IF(Optimalisatie!C41="Bestaande Situatie",_xlfn.IFNA(IF(Optimalisatie!E41="Categorie_1_LCA_Producten",VLOOKUP(Inschrijf_Hernieuwbare_Energie_Totaal[[#This Row],[Product]],Categorie_1_Producten[#All],24,FALSE)*(Optimalisatie!J41),VLOOKUP(Inschrijf_Hernieuwbare_Energie_Totaal[[#This Row],[Product]]&amp;", "&amp;Inschrijf_Hernieuwbare_Energie_Totaal[[#Headers],[D1]],Database_Productkaarten[#All],48,FALSE)*Optimalisatie!J41),Baseline_Backlog!P354),0))</f>
        <v>0</v>
      </c>
      <c r="Q354" s="91">
        <f>(IF(Optimalisatie!C41="Bestaande Situatie",_xlfn.IFNA(IF(Optimalisatie!E41="Categorie_1_LCA_Producten",VLOOKUP(Inschrijf_Hernieuwbare_Energie_Totaal[[#This Row],[Product]],Categorie_1_Producten[#All],25,FALSE)*(Optimalisatie!J41),VLOOKUP(Inschrijf_Hernieuwbare_Energie_Totaal[[#This Row],[Product]]&amp;", "&amp;Inschrijf_Hernieuwbare_Energie_Totaal[[#Headers],[D2]],Database_Productkaarten[#All],48,FALSE)*Optimalisatie!J41),Baseline_Backlog!Q354),0))</f>
        <v>0</v>
      </c>
      <c r="R354" s="91">
        <f>(IF(Optimalisatie!C41="Bestaande Situatie",_xlfn.IFNA(IF(Optimalisatie!E41="Categorie_1_LCA_Producten",VLOOKUP(Inschrijf_Hernieuwbare_Energie_Totaal[[#This Row],[Product]],Categorie_1_Producten[#All],29,FALSE)*(Optimalisatie!J41),VLOOKUP(Inschrijf_Hernieuwbare_Energie_Totaal[[#This Row],[Product]]&amp;", "&amp;Inschrijf_Hernieuwbare_Energie_Totaal[[#Headers],[D]],Database_Productkaarten[#All],48,FALSE)*Optimalisatie!J41),Baseline_Backlog!S354),0))</f>
        <v>0</v>
      </c>
      <c r="S354" s="91">
        <f>SUM(Inschrijf_Hernieuwbare_Energie_Totaal[[#This Row],[A1-A3]:[C4]])+Inschrijf_Hernieuwbare_Energie_Totaal[[#This Row],[D]]</f>
        <v>0</v>
      </c>
    </row>
    <row r="355" spans="2:19">
      <c r="B355" s="208">
        <f>Optimalisatie!B42</f>
        <v>0</v>
      </c>
      <c r="C355" s="1">
        <f>Optimalisatie!F42</f>
        <v>0</v>
      </c>
      <c r="D355" s="91">
        <f>(IF(Optimalisatie!C42="Nieuwe Situatie",_xlfn.IFNA(IF(Optimalisatie!E42="Categorie_1_LCA_Producten",VLOOKUP(Inschrijf_Hernieuwbare_Energie_Totaal[[#This Row],[Product]],Categorie_1_Producten[#All],20,FALSE)*(Optimalisatie!J42),VLOOKUP(Inschrijf_Hernieuwbare_Energie_Totaal[[#This Row],[Product]]&amp;", "&amp;Inschrijf_Hernieuwbare_Energie_Totaal[[#Headers],[A1]],Database_Productkaarten[#All],48,FALSE)*Optimalisatie!J42),Baseline_Backlog!D355),0))</f>
        <v>0</v>
      </c>
      <c r="E355" s="91">
        <f>(IF(Optimalisatie!C42="Nieuwe Situatie",_xlfn.IFNA(IF(Optimalisatie!E42="Categorie_1_LCA_Producten",VLOOKUP(Inschrijf_Hernieuwbare_Energie_Totaal[[#This Row],[Product]],Categorie_1_Producten[#All],21,FALSE)*(Optimalisatie!J42),VLOOKUP(Inschrijf_Hernieuwbare_Energie_Totaal[[#This Row],[Product]]&amp;", "&amp;Inschrijf_Hernieuwbare_Energie_Totaal[[#Headers],[A2]],Database_Productkaarten[#All],48,FALSE)*Optimalisatie!J42),Baseline_Backlog!E355),0))</f>
        <v>0</v>
      </c>
      <c r="F355" s="91">
        <f>(IF(Optimalisatie!C42="Nieuwe Situatie",_xlfn.IFNA(IF(Optimalisatie!E42="Categorie_1_LCA_Producten",VLOOKUP(Inschrijf_Hernieuwbare_Energie_Totaal[[#This Row],[Product]],Categorie_1_Producten[#All],22,FALSE)*(Optimalisatie!J42),VLOOKUP(Inschrijf_Hernieuwbare_Energie_Totaal[[#This Row],[Product]]&amp;", "&amp;Inschrijf_Hernieuwbare_Energie_Totaal[[#Headers],[A3]],Database_Productkaarten[#All],48,FALSE)*Optimalisatie!J42),Baseline_Backlog!F355),0))</f>
        <v>0</v>
      </c>
      <c r="G355" s="91">
        <f>(IF(Optimalisatie!C42="Nieuwe Situatie",_xlfn.IFNA(IF(Optimalisatie!E42="Categorie_1_LCA_Producten",VLOOKUP(Inschrijf_Hernieuwbare_Energie_Totaal[[#This Row],[Product]],Categorie_1_Producten[#All],27,FALSE)*(Optimalisatie!J42),VLOOKUP(Inschrijf_Hernieuwbare_Energie_Totaal[[#This Row],[Product]]&amp;", "&amp;Inschrijf_Hernieuwbare_Energie_Totaal[[#Headers],[A1-A3]],Database_Productkaarten[#All],48,FALSE)*Optimalisatie!J42),Baseline_Backlog!G355),0))</f>
        <v>0</v>
      </c>
      <c r="H355" s="91">
        <f>(IF(Optimalisatie!C42="Nieuwe Situatie",_xlfn.IFNA(VLOOKUP(Optimalisatie!V42,Database_Transport[#All],42,FALSE)*(Optimalisatie!R42*Optimalisatie!U42),Baseline_Backlog!H355),0))</f>
        <v>0</v>
      </c>
      <c r="I355" s="91">
        <f>IF(Optimalisatie!C42="Nieuwe situatie",IF(_xlfn.IFNA((VLOOKUP(Optimalisatie!W42,Database_Asfalt_Aanlegset[#All],42,FALSE)*Optimalisatie!J42),0)+_xlfn.IFNA(VLOOKUP(Optimalisatie!X42,Database_Brandstoffen[#All],42,FALSE)*((Optimalisatie!J42/Optimalisatie!Z42)*Optimalisatie!Y42),0)&gt;0,_xlfn.IFNA((VLOOKUP(Optimalisatie!W42,Database_Asfalt_Aanlegset[#All],42,FALSE)*Optimalisatie!J42),0)+_xlfn.IFNA(VLOOKUP(Optimalisatie!X42,Database_Brandstoffen[#All],42,FALSE)*((Optimalisatie!J42/Optimalisatie!Z42)*Optimalisatie!Y42),0),(_xlfn.IFNA(VLOOKUP(Inschrijf_Hernieuwbare_Energie_Totaal[[#This Row],[Product]]&amp;", "&amp;Inschrijf_MKI_Totaal[[#Headers],[A5]],Database_Productkaarten[#All],48,FALSE),0)*Optimalisatie!J42)),0)</f>
        <v>0</v>
      </c>
      <c r="J355" s="91">
        <f>(IF(Optimalisatie!C42="Nieuwe Situatie",_xlfn.IFNA(IF(Optimalisatie!E42="Categorie_1_LCA_Producten",VLOOKUP(Inschrijf_Hernieuwbare_Energie_Totaal[[#This Row],[Product]],Categorie_1_Producten[#All],28,FALSE)*(Optimalisatie!R42),VLOOKUP(Inschrijf_Hernieuwbare_Energie_Totaal[[#This Row],[Product]]&amp;", "&amp;Inschrijf_Hernieuwbare_Energie_Totaal[[#Headers],[B1]],Database_Productkaarten[#All],47,FALSE)*Optimalisatie!J42),Baseline_Backlog!J355),0))</f>
        <v>0</v>
      </c>
      <c r="K355" s="91">
        <f>(IF(Optimalisatie!C42="Nieuwe Situatie",_xlfn.IFNA(SUM(Inschrijf_Hernieuwbare_Energie_Totaal[[#This Row],[A1]:[B1]],Inschrijf_Hernieuwbare_Energie_Totaal[[#This Row],[C1]:[D2]])*Optimalisatie!T42,0),0))</f>
        <v>0</v>
      </c>
      <c r="L355" s="91">
        <f>IF(Optimalisatie!C42="Bestaande situatie",IF(_xlfn.IFNA((VLOOKUP(Optimalisatie!AA42,Database_Asfalt_Verwijderset[#All],42,FALSE)*Optimalisatie!J42),0)+_xlfn.IFNA(VLOOKUP(Optimalisatie!AB42,Database_Brandstoffen[#All],42,FALSE)*((Optimalisatie!J42/Optimalisatie!AD42)*Optimalisatie!AC42),0)&gt;0,_xlfn.IFNA((VLOOKUP(Optimalisatie!AA42,Database_Asfalt_Verwijderset[#All],42,FALSE)*Optimalisatie!J42),0)+_xlfn.IFNA(VLOOKUP(Optimalisatie!AB42,Database_Brandstoffen[#All],42,FALSE)*((Optimalisatie!J42/Optimalisatie!AD42)*Optimalisatie!AC42),0),(_xlfn.IFNA(VLOOKUP(Inschrijf_Hernieuwbare_Energie_Totaal[[#This Row],[Product]]&amp;", "&amp;Inschrijf_MKI_Totaal[[#Headers],[C1]],Database_Productkaarten[#All],48,FALSE),0)*Optimalisatie!J42)),0)</f>
        <v>0</v>
      </c>
      <c r="M355" s="91">
        <f>(IF(Optimalisatie!C42="Bestaande Situatie",_xlfn.IFNA(VLOOKUP(Optimalisatie!AF42,Database_Transport[#All],42,FALSE)*(Optimalisatie!R42*Optimalisatie!AE42),Baseline_Backlog!M355),0))</f>
        <v>0</v>
      </c>
      <c r="N355" s="91">
        <f>(IF(Optimalisatie!C42="Bestaande Situatie",_xlfn.IFNA(VLOOKUP(Optimalisatie!AG42,Database_Asfalt_Verwerkingsset[#All],42,FALSE)*(Optimalisatie!J42/VLOOKUP(Optimalisatie!AG42,Database_Asfalt_Verwerkingsset[#All],42,FALSE)),Baseline_Backlog!N355),0))</f>
        <v>0</v>
      </c>
      <c r="O355" s="91">
        <f>(IF(Optimalisatie!C42="Bestaande Situatie",_xlfn.IFNA(VLOOKUP(Inschrijf_Hernieuwbare_Energie_Totaal[[#This Row],[Product]]&amp;", "&amp;Inschrijf_MKI_Totaal[[#Headers],[C4]],Database_Productkaarten[#All],48,FALSE)*Optimalisatie!J42,Baseline_Backlog!O355),0))</f>
        <v>0</v>
      </c>
      <c r="P355" s="91">
        <f>(IF(Optimalisatie!C42="Bestaande Situatie",_xlfn.IFNA(IF(Optimalisatie!E42="Categorie_1_LCA_Producten",VLOOKUP(Inschrijf_Hernieuwbare_Energie_Totaal[[#This Row],[Product]],Categorie_1_Producten[#All],24,FALSE)*(Optimalisatie!J42),VLOOKUP(Inschrijf_Hernieuwbare_Energie_Totaal[[#This Row],[Product]]&amp;", "&amp;Inschrijf_Hernieuwbare_Energie_Totaal[[#Headers],[D1]],Database_Productkaarten[#All],48,FALSE)*Optimalisatie!J42),Baseline_Backlog!P355),0))</f>
        <v>0</v>
      </c>
      <c r="Q355" s="91">
        <f>(IF(Optimalisatie!C42="Bestaande Situatie",_xlfn.IFNA(IF(Optimalisatie!E42="Categorie_1_LCA_Producten",VLOOKUP(Inschrijf_Hernieuwbare_Energie_Totaal[[#This Row],[Product]],Categorie_1_Producten[#All],25,FALSE)*(Optimalisatie!J42),VLOOKUP(Inschrijf_Hernieuwbare_Energie_Totaal[[#This Row],[Product]]&amp;", "&amp;Inschrijf_Hernieuwbare_Energie_Totaal[[#Headers],[D2]],Database_Productkaarten[#All],48,FALSE)*Optimalisatie!J42),Baseline_Backlog!Q355),0))</f>
        <v>0</v>
      </c>
      <c r="R355" s="91">
        <f>(IF(Optimalisatie!C42="Bestaande Situatie",_xlfn.IFNA(IF(Optimalisatie!E42="Categorie_1_LCA_Producten",VLOOKUP(Inschrijf_Hernieuwbare_Energie_Totaal[[#This Row],[Product]],Categorie_1_Producten[#All],29,FALSE)*(Optimalisatie!J42),VLOOKUP(Inschrijf_Hernieuwbare_Energie_Totaal[[#This Row],[Product]]&amp;", "&amp;Inschrijf_Hernieuwbare_Energie_Totaal[[#Headers],[D]],Database_Productkaarten[#All],48,FALSE)*Optimalisatie!J42),Baseline_Backlog!S355),0))</f>
        <v>0</v>
      </c>
      <c r="S355" s="91">
        <f>SUM(Inschrijf_Hernieuwbare_Energie_Totaal[[#This Row],[A1-A3]:[C4]])+Inschrijf_Hernieuwbare_Energie_Totaal[[#This Row],[D]]</f>
        <v>0</v>
      </c>
    </row>
    <row r="356" spans="2:19">
      <c r="B356" s="208">
        <f>Optimalisatie!B43</f>
        <v>0</v>
      </c>
      <c r="C356" s="1">
        <f>Optimalisatie!F43</f>
        <v>0</v>
      </c>
      <c r="D356" s="91">
        <f>(IF(Optimalisatie!C43="Nieuwe Situatie",_xlfn.IFNA(IF(Optimalisatie!E43="Categorie_1_LCA_Producten",VLOOKUP(Inschrijf_Hernieuwbare_Energie_Totaal[[#This Row],[Product]],Categorie_1_Producten[#All],20,FALSE)*(Optimalisatie!J43),VLOOKUP(Inschrijf_Hernieuwbare_Energie_Totaal[[#This Row],[Product]]&amp;", "&amp;Inschrijf_Hernieuwbare_Energie_Totaal[[#Headers],[A1]],Database_Productkaarten[#All],48,FALSE)*Optimalisatie!J43),Baseline_Backlog!D356),0))</f>
        <v>0</v>
      </c>
      <c r="E356" s="91">
        <f>(IF(Optimalisatie!C43="Nieuwe Situatie",_xlfn.IFNA(IF(Optimalisatie!E43="Categorie_1_LCA_Producten",VLOOKUP(Inschrijf_Hernieuwbare_Energie_Totaal[[#This Row],[Product]],Categorie_1_Producten[#All],21,FALSE)*(Optimalisatie!J43),VLOOKUP(Inschrijf_Hernieuwbare_Energie_Totaal[[#This Row],[Product]]&amp;", "&amp;Inschrijf_Hernieuwbare_Energie_Totaal[[#Headers],[A2]],Database_Productkaarten[#All],48,FALSE)*Optimalisatie!J43),Baseline_Backlog!E356),0))</f>
        <v>0</v>
      </c>
      <c r="F356" s="91">
        <f>(IF(Optimalisatie!C43="Nieuwe Situatie",_xlfn.IFNA(IF(Optimalisatie!E43="Categorie_1_LCA_Producten",VLOOKUP(Inschrijf_Hernieuwbare_Energie_Totaal[[#This Row],[Product]],Categorie_1_Producten[#All],22,FALSE)*(Optimalisatie!J43),VLOOKUP(Inschrijf_Hernieuwbare_Energie_Totaal[[#This Row],[Product]]&amp;", "&amp;Inschrijf_Hernieuwbare_Energie_Totaal[[#Headers],[A3]],Database_Productkaarten[#All],48,FALSE)*Optimalisatie!J43),Baseline_Backlog!F356),0))</f>
        <v>0</v>
      </c>
      <c r="G356" s="91">
        <f>(IF(Optimalisatie!C43="Nieuwe Situatie",_xlfn.IFNA(IF(Optimalisatie!E43="Categorie_1_LCA_Producten",VLOOKUP(Inschrijf_Hernieuwbare_Energie_Totaal[[#This Row],[Product]],Categorie_1_Producten[#All],27,FALSE)*(Optimalisatie!J43),VLOOKUP(Inschrijf_Hernieuwbare_Energie_Totaal[[#This Row],[Product]]&amp;", "&amp;Inschrijf_Hernieuwbare_Energie_Totaal[[#Headers],[A1-A3]],Database_Productkaarten[#All],48,FALSE)*Optimalisatie!J43),Baseline_Backlog!G356),0))</f>
        <v>0</v>
      </c>
      <c r="H356" s="91">
        <f>(IF(Optimalisatie!C43="Nieuwe Situatie",_xlfn.IFNA(VLOOKUP(Optimalisatie!V43,Database_Transport[#All],42,FALSE)*(Optimalisatie!R43*Optimalisatie!U43),Baseline_Backlog!H356),0))</f>
        <v>0</v>
      </c>
      <c r="I356" s="91">
        <f>IF(Optimalisatie!C43="Nieuwe situatie",IF(_xlfn.IFNA((VLOOKUP(Optimalisatie!W43,Database_Asfalt_Aanlegset[#All],42,FALSE)*Optimalisatie!J43),0)+_xlfn.IFNA(VLOOKUP(Optimalisatie!X43,Database_Brandstoffen[#All],42,FALSE)*((Optimalisatie!J43/Optimalisatie!Z43)*Optimalisatie!Y43),0)&gt;0,_xlfn.IFNA((VLOOKUP(Optimalisatie!W43,Database_Asfalt_Aanlegset[#All],42,FALSE)*Optimalisatie!J43),0)+_xlfn.IFNA(VLOOKUP(Optimalisatie!X43,Database_Brandstoffen[#All],42,FALSE)*((Optimalisatie!J43/Optimalisatie!Z43)*Optimalisatie!Y43),0),(_xlfn.IFNA(VLOOKUP(Inschrijf_Hernieuwbare_Energie_Totaal[[#This Row],[Product]]&amp;", "&amp;Inschrijf_MKI_Totaal[[#Headers],[A5]],Database_Productkaarten[#All],48,FALSE),0)*Optimalisatie!J43)),0)</f>
        <v>0</v>
      </c>
      <c r="J356" s="91">
        <f>(IF(Optimalisatie!C43="Nieuwe Situatie",_xlfn.IFNA(IF(Optimalisatie!E43="Categorie_1_LCA_Producten",VLOOKUP(Inschrijf_Hernieuwbare_Energie_Totaal[[#This Row],[Product]],Categorie_1_Producten[#All],28,FALSE)*(Optimalisatie!R43),VLOOKUP(Inschrijf_Hernieuwbare_Energie_Totaal[[#This Row],[Product]]&amp;", "&amp;Inschrijf_Hernieuwbare_Energie_Totaal[[#Headers],[B1]],Database_Productkaarten[#All],47,FALSE)*Optimalisatie!J43),Baseline_Backlog!J356),0))</f>
        <v>0</v>
      </c>
      <c r="K356" s="91">
        <f>(IF(Optimalisatie!C43="Nieuwe Situatie",_xlfn.IFNA(SUM(Inschrijf_Hernieuwbare_Energie_Totaal[[#This Row],[A1]:[B1]],Inschrijf_Hernieuwbare_Energie_Totaal[[#This Row],[C1]:[D2]])*Optimalisatie!T43,0),0))</f>
        <v>0</v>
      </c>
      <c r="L356" s="91">
        <f>IF(Optimalisatie!C43="Bestaande situatie",IF(_xlfn.IFNA((VLOOKUP(Optimalisatie!AA43,Database_Asfalt_Verwijderset[#All],42,FALSE)*Optimalisatie!J43),0)+_xlfn.IFNA(VLOOKUP(Optimalisatie!AB43,Database_Brandstoffen[#All],42,FALSE)*((Optimalisatie!J43/Optimalisatie!AD43)*Optimalisatie!AC43),0)&gt;0,_xlfn.IFNA((VLOOKUP(Optimalisatie!AA43,Database_Asfalt_Verwijderset[#All],42,FALSE)*Optimalisatie!J43),0)+_xlfn.IFNA(VLOOKUP(Optimalisatie!AB43,Database_Brandstoffen[#All],42,FALSE)*((Optimalisatie!J43/Optimalisatie!AD43)*Optimalisatie!AC43),0),(_xlfn.IFNA(VLOOKUP(Inschrijf_Hernieuwbare_Energie_Totaal[[#This Row],[Product]]&amp;", "&amp;Inschrijf_MKI_Totaal[[#Headers],[C1]],Database_Productkaarten[#All],48,FALSE),0)*Optimalisatie!J43)),0)</f>
        <v>0</v>
      </c>
      <c r="M356" s="91">
        <f>(IF(Optimalisatie!C43="Bestaande Situatie",_xlfn.IFNA(VLOOKUP(Optimalisatie!AF43,Database_Transport[#All],42,FALSE)*(Optimalisatie!R43*Optimalisatie!AE43),Baseline_Backlog!M356),0))</f>
        <v>0</v>
      </c>
      <c r="N356" s="91">
        <f>(IF(Optimalisatie!C43="Bestaande Situatie",_xlfn.IFNA(VLOOKUP(Optimalisatie!AG43,Database_Asfalt_Verwerkingsset[#All],42,FALSE)*(Optimalisatie!J43/VLOOKUP(Optimalisatie!AG43,Database_Asfalt_Verwerkingsset[#All],42,FALSE)),Baseline_Backlog!N356),0))</f>
        <v>0</v>
      </c>
      <c r="O356" s="91">
        <f>(IF(Optimalisatie!C43="Bestaande Situatie",_xlfn.IFNA(VLOOKUP(Inschrijf_Hernieuwbare_Energie_Totaal[[#This Row],[Product]]&amp;", "&amp;Inschrijf_MKI_Totaal[[#Headers],[C4]],Database_Productkaarten[#All],48,FALSE)*Optimalisatie!J43,Baseline_Backlog!O356),0))</f>
        <v>0</v>
      </c>
      <c r="P356" s="91">
        <f>(IF(Optimalisatie!C43="Bestaande Situatie",_xlfn.IFNA(IF(Optimalisatie!E43="Categorie_1_LCA_Producten",VLOOKUP(Inschrijf_Hernieuwbare_Energie_Totaal[[#This Row],[Product]],Categorie_1_Producten[#All],24,FALSE)*(Optimalisatie!J43),VLOOKUP(Inschrijf_Hernieuwbare_Energie_Totaal[[#This Row],[Product]]&amp;", "&amp;Inschrijf_Hernieuwbare_Energie_Totaal[[#Headers],[D1]],Database_Productkaarten[#All],48,FALSE)*Optimalisatie!J43),Baseline_Backlog!P356),0))</f>
        <v>0</v>
      </c>
      <c r="Q356" s="91">
        <f>(IF(Optimalisatie!C43="Bestaande Situatie",_xlfn.IFNA(IF(Optimalisatie!E43="Categorie_1_LCA_Producten",VLOOKUP(Inschrijf_Hernieuwbare_Energie_Totaal[[#This Row],[Product]],Categorie_1_Producten[#All],25,FALSE)*(Optimalisatie!J43),VLOOKUP(Inschrijf_Hernieuwbare_Energie_Totaal[[#This Row],[Product]]&amp;", "&amp;Inschrijf_Hernieuwbare_Energie_Totaal[[#Headers],[D2]],Database_Productkaarten[#All],48,FALSE)*Optimalisatie!J43),Baseline_Backlog!Q356),0))</f>
        <v>0</v>
      </c>
      <c r="R356" s="91">
        <f>(IF(Optimalisatie!C43="Bestaande Situatie",_xlfn.IFNA(IF(Optimalisatie!E43="Categorie_1_LCA_Producten",VLOOKUP(Inschrijf_Hernieuwbare_Energie_Totaal[[#This Row],[Product]],Categorie_1_Producten[#All],29,FALSE)*(Optimalisatie!J43),VLOOKUP(Inschrijf_Hernieuwbare_Energie_Totaal[[#This Row],[Product]]&amp;", "&amp;Inschrijf_Hernieuwbare_Energie_Totaal[[#Headers],[D]],Database_Productkaarten[#All],48,FALSE)*Optimalisatie!J43),Baseline_Backlog!S356),0))</f>
        <v>0</v>
      </c>
      <c r="S356" s="91">
        <f>SUM(Inschrijf_Hernieuwbare_Energie_Totaal[[#This Row],[A1-A3]:[C4]])+Inschrijf_Hernieuwbare_Energie_Totaal[[#This Row],[D]]</f>
        <v>0</v>
      </c>
    </row>
    <row r="357" spans="2:19">
      <c r="B357" s="208">
        <f>Optimalisatie!B44</f>
        <v>0</v>
      </c>
      <c r="C357" s="1">
        <f>Optimalisatie!F44</f>
        <v>0</v>
      </c>
      <c r="D357" s="91">
        <f>(IF(Optimalisatie!C44="Nieuwe Situatie",_xlfn.IFNA(IF(Optimalisatie!E44="Categorie_1_LCA_Producten",VLOOKUP(Inschrijf_Hernieuwbare_Energie_Totaal[[#This Row],[Product]],Categorie_1_Producten[#All],20,FALSE)*(Optimalisatie!J44),VLOOKUP(Inschrijf_Hernieuwbare_Energie_Totaal[[#This Row],[Product]]&amp;", "&amp;Inschrijf_Hernieuwbare_Energie_Totaal[[#Headers],[A1]],Database_Productkaarten[#All],48,FALSE)*Optimalisatie!J44),Baseline_Backlog!D357),0))</f>
        <v>0</v>
      </c>
      <c r="E357" s="91">
        <f>(IF(Optimalisatie!C44="Nieuwe Situatie",_xlfn.IFNA(IF(Optimalisatie!E44="Categorie_1_LCA_Producten",VLOOKUP(Inschrijf_Hernieuwbare_Energie_Totaal[[#This Row],[Product]],Categorie_1_Producten[#All],21,FALSE)*(Optimalisatie!J44),VLOOKUP(Inschrijf_Hernieuwbare_Energie_Totaal[[#This Row],[Product]]&amp;", "&amp;Inschrijf_Hernieuwbare_Energie_Totaal[[#Headers],[A2]],Database_Productkaarten[#All],48,FALSE)*Optimalisatie!J44),Baseline_Backlog!E357),0))</f>
        <v>0</v>
      </c>
      <c r="F357" s="91">
        <f>(IF(Optimalisatie!C44="Nieuwe Situatie",_xlfn.IFNA(IF(Optimalisatie!E44="Categorie_1_LCA_Producten",VLOOKUP(Inschrijf_Hernieuwbare_Energie_Totaal[[#This Row],[Product]],Categorie_1_Producten[#All],22,FALSE)*(Optimalisatie!J44),VLOOKUP(Inschrijf_Hernieuwbare_Energie_Totaal[[#This Row],[Product]]&amp;", "&amp;Inschrijf_Hernieuwbare_Energie_Totaal[[#Headers],[A3]],Database_Productkaarten[#All],48,FALSE)*Optimalisatie!J44),Baseline_Backlog!F357),0))</f>
        <v>0</v>
      </c>
      <c r="G357" s="91">
        <f>(IF(Optimalisatie!C44="Nieuwe Situatie",_xlfn.IFNA(IF(Optimalisatie!E44="Categorie_1_LCA_Producten",VLOOKUP(Inschrijf_Hernieuwbare_Energie_Totaal[[#This Row],[Product]],Categorie_1_Producten[#All],27,FALSE)*(Optimalisatie!J44),VLOOKUP(Inschrijf_Hernieuwbare_Energie_Totaal[[#This Row],[Product]]&amp;", "&amp;Inschrijf_Hernieuwbare_Energie_Totaal[[#Headers],[A1-A3]],Database_Productkaarten[#All],48,FALSE)*Optimalisatie!J44),Baseline_Backlog!G357),0))</f>
        <v>0</v>
      </c>
      <c r="H357" s="91">
        <f>(IF(Optimalisatie!C44="Nieuwe Situatie",_xlfn.IFNA(VLOOKUP(Optimalisatie!V44,Database_Transport[#All],42,FALSE)*(Optimalisatie!R44*Optimalisatie!U44),Baseline_Backlog!H357),0))</f>
        <v>0</v>
      </c>
      <c r="I357" s="91">
        <f>IF(Optimalisatie!C44="Nieuwe situatie",IF(_xlfn.IFNA((VLOOKUP(Optimalisatie!W44,Database_Asfalt_Aanlegset[#All],42,FALSE)*Optimalisatie!J44),0)+_xlfn.IFNA(VLOOKUP(Optimalisatie!X44,Database_Brandstoffen[#All],42,FALSE)*((Optimalisatie!J44/Optimalisatie!Z44)*Optimalisatie!Y44),0)&gt;0,_xlfn.IFNA((VLOOKUP(Optimalisatie!W44,Database_Asfalt_Aanlegset[#All],42,FALSE)*Optimalisatie!J44),0)+_xlfn.IFNA(VLOOKUP(Optimalisatie!X44,Database_Brandstoffen[#All],42,FALSE)*((Optimalisatie!J44/Optimalisatie!Z44)*Optimalisatie!Y44),0),(_xlfn.IFNA(VLOOKUP(Inschrijf_Hernieuwbare_Energie_Totaal[[#This Row],[Product]]&amp;", "&amp;Inschrijf_MKI_Totaal[[#Headers],[A5]],Database_Productkaarten[#All],48,FALSE),0)*Optimalisatie!J44)),0)</f>
        <v>0</v>
      </c>
      <c r="J357" s="91">
        <f>(IF(Optimalisatie!C44="Nieuwe Situatie",_xlfn.IFNA(IF(Optimalisatie!E44="Categorie_1_LCA_Producten",VLOOKUP(Inschrijf_Hernieuwbare_Energie_Totaal[[#This Row],[Product]],Categorie_1_Producten[#All],28,FALSE)*(Optimalisatie!R44),VLOOKUP(Inschrijf_Hernieuwbare_Energie_Totaal[[#This Row],[Product]]&amp;", "&amp;Inschrijf_Hernieuwbare_Energie_Totaal[[#Headers],[B1]],Database_Productkaarten[#All],47,FALSE)*Optimalisatie!J44),Baseline_Backlog!J357),0))</f>
        <v>0</v>
      </c>
      <c r="K357" s="91">
        <f>(IF(Optimalisatie!C44="Nieuwe Situatie",_xlfn.IFNA(SUM(Inschrijf_Hernieuwbare_Energie_Totaal[[#This Row],[A1]:[B1]],Inschrijf_Hernieuwbare_Energie_Totaal[[#This Row],[C1]:[D2]])*Optimalisatie!T44,0),0))</f>
        <v>0</v>
      </c>
      <c r="L357" s="91">
        <f>IF(Optimalisatie!C44="Bestaande situatie",IF(_xlfn.IFNA((VLOOKUP(Optimalisatie!AA44,Database_Asfalt_Verwijderset[#All],42,FALSE)*Optimalisatie!J44),0)+_xlfn.IFNA(VLOOKUP(Optimalisatie!AB44,Database_Brandstoffen[#All],42,FALSE)*((Optimalisatie!J44/Optimalisatie!AD44)*Optimalisatie!AC44),0)&gt;0,_xlfn.IFNA((VLOOKUP(Optimalisatie!AA44,Database_Asfalt_Verwijderset[#All],42,FALSE)*Optimalisatie!J44),0)+_xlfn.IFNA(VLOOKUP(Optimalisatie!AB44,Database_Brandstoffen[#All],42,FALSE)*((Optimalisatie!J44/Optimalisatie!AD44)*Optimalisatie!AC44),0),(_xlfn.IFNA(VLOOKUP(Inschrijf_Hernieuwbare_Energie_Totaal[[#This Row],[Product]]&amp;", "&amp;Inschrijf_MKI_Totaal[[#Headers],[C1]],Database_Productkaarten[#All],48,FALSE),0)*Optimalisatie!J44)),0)</f>
        <v>0</v>
      </c>
      <c r="M357" s="91">
        <f>(IF(Optimalisatie!C44="Bestaande Situatie",_xlfn.IFNA(VLOOKUP(Optimalisatie!AF44,Database_Transport[#All],42,FALSE)*(Optimalisatie!R44*Optimalisatie!AE44),Baseline_Backlog!M357),0))</f>
        <v>0</v>
      </c>
      <c r="N357" s="91">
        <f>(IF(Optimalisatie!C44="Bestaande Situatie",_xlfn.IFNA(VLOOKUP(Optimalisatie!AG44,Database_Asfalt_Verwerkingsset[#All],42,FALSE)*(Optimalisatie!J44/VLOOKUP(Optimalisatie!AG44,Database_Asfalt_Verwerkingsset[#All],42,FALSE)),Baseline_Backlog!N357),0))</f>
        <v>0</v>
      </c>
      <c r="O357" s="91">
        <f>(IF(Optimalisatie!C44="Bestaande Situatie",_xlfn.IFNA(VLOOKUP(Inschrijf_Hernieuwbare_Energie_Totaal[[#This Row],[Product]]&amp;", "&amp;Inschrijf_MKI_Totaal[[#Headers],[C4]],Database_Productkaarten[#All],48,FALSE)*Optimalisatie!J44,Baseline_Backlog!O357),0))</f>
        <v>0</v>
      </c>
      <c r="P357" s="91">
        <f>(IF(Optimalisatie!C44="Bestaande Situatie",_xlfn.IFNA(IF(Optimalisatie!E44="Categorie_1_LCA_Producten",VLOOKUP(Inschrijf_Hernieuwbare_Energie_Totaal[[#This Row],[Product]],Categorie_1_Producten[#All],24,FALSE)*(Optimalisatie!J44),VLOOKUP(Inschrijf_Hernieuwbare_Energie_Totaal[[#This Row],[Product]]&amp;", "&amp;Inschrijf_Hernieuwbare_Energie_Totaal[[#Headers],[D1]],Database_Productkaarten[#All],48,FALSE)*Optimalisatie!J44),Baseline_Backlog!P357),0))</f>
        <v>0</v>
      </c>
      <c r="Q357" s="91">
        <f>(IF(Optimalisatie!C44="Bestaande Situatie",_xlfn.IFNA(IF(Optimalisatie!E44="Categorie_1_LCA_Producten",VLOOKUP(Inschrijf_Hernieuwbare_Energie_Totaal[[#This Row],[Product]],Categorie_1_Producten[#All],25,FALSE)*(Optimalisatie!J44),VLOOKUP(Inschrijf_Hernieuwbare_Energie_Totaal[[#This Row],[Product]]&amp;", "&amp;Inschrijf_Hernieuwbare_Energie_Totaal[[#Headers],[D2]],Database_Productkaarten[#All],48,FALSE)*Optimalisatie!J44),Baseline_Backlog!Q357),0))</f>
        <v>0</v>
      </c>
      <c r="R357" s="91">
        <f>(IF(Optimalisatie!C44="Bestaande Situatie",_xlfn.IFNA(IF(Optimalisatie!E44="Categorie_1_LCA_Producten",VLOOKUP(Inschrijf_Hernieuwbare_Energie_Totaal[[#This Row],[Product]],Categorie_1_Producten[#All],29,FALSE)*(Optimalisatie!J44),VLOOKUP(Inschrijf_Hernieuwbare_Energie_Totaal[[#This Row],[Product]]&amp;", "&amp;Inschrijf_Hernieuwbare_Energie_Totaal[[#Headers],[D]],Database_Productkaarten[#All],48,FALSE)*Optimalisatie!J44),Baseline_Backlog!S357),0))</f>
        <v>0</v>
      </c>
      <c r="S357" s="91">
        <f>SUM(Inschrijf_Hernieuwbare_Energie_Totaal[[#This Row],[A1-A3]:[C4]])+Inschrijf_Hernieuwbare_Energie_Totaal[[#This Row],[D]]</f>
        <v>0</v>
      </c>
    </row>
    <row r="358" spans="2:19">
      <c r="B358" s="208">
        <f>Optimalisatie!B45</f>
        <v>0</v>
      </c>
      <c r="C358" s="1">
        <f>Optimalisatie!F45</f>
        <v>0</v>
      </c>
      <c r="D358" s="91">
        <f>(IF(Optimalisatie!C45="Nieuwe Situatie",_xlfn.IFNA(IF(Optimalisatie!E45="Categorie_1_LCA_Producten",VLOOKUP(Inschrijf_Hernieuwbare_Energie_Totaal[[#This Row],[Product]],Categorie_1_Producten[#All],20,FALSE)*(Optimalisatie!J45),VLOOKUP(Inschrijf_Hernieuwbare_Energie_Totaal[[#This Row],[Product]]&amp;", "&amp;Inschrijf_Hernieuwbare_Energie_Totaal[[#Headers],[A1]],Database_Productkaarten[#All],48,FALSE)*Optimalisatie!J45),Baseline_Backlog!D358),0))</f>
        <v>0</v>
      </c>
      <c r="E358" s="91">
        <f>(IF(Optimalisatie!C45="Nieuwe Situatie",_xlfn.IFNA(IF(Optimalisatie!E45="Categorie_1_LCA_Producten",VLOOKUP(Inschrijf_Hernieuwbare_Energie_Totaal[[#This Row],[Product]],Categorie_1_Producten[#All],21,FALSE)*(Optimalisatie!J45),VLOOKUP(Inschrijf_Hernieuwbare_Energie_Totaal[[#This Row],[Product]]&amp;", "&amp;Inschrijf_Hernieuwbare_Energie_Totaal[[#Headers],[A2]],Database_Productkaarten[#All],48,FALSE)*Optimalisatie!J45),Baseline_Backlog!E358),0))</f>
        <v>0</v>
      </c>
      <c r="F358" s="91">
        <f>(IF(Optimalisatie!C45="Nieuwe Situatie",_xlfn.IFNA(IF(Optimalisatie!E45="Categorie_1_LCA_Producten",VLOOKUP(Inschrijf_Hernieuwbare_Energie_Totaal[[#This Row],[Product]],Categorie_1_Producten[#All],22,FALSE)*(Optimalisatie!J45),VLOOKUP(Inschrijf_Hernieuwbare_Energie_Totaal[[#This Row],[Product]]&amp;", "&amp;Inschrijf_Hernieuwbare_Energie_Totaal[[#Headers],[A3]],Database_Productkaarten[#All],48,FALSE)*Optimalisatie!J45),Baseline_Backlog!F358),0))</f>
        <v>0</v>
      </c>
      <c r="G358" s="91">
        <f>(IF(Optimalisatie!C45="Nieuwe Situatie",_xlfn.IFNA(IF(Optimalisatie!E45="Categorie_1_LCA_Producten",VLOOKUP(Inschrijf_Hernieuwbare_Energie_Totaal[[#This Row],[Product]],Categorie_1_Producten[#All],27,FALSE)*(Optimalisatie!J45),VLOOKUP(Inschrijf_Hernieuwbare_Energie_Totaal[[#This Row],[Product]]&amp;", "&amp;Inschrijf_Hernieuwbare_Energie_Totaal[[#Headers],[A1-A3]],Database_Productkaarten[#All],48,FALSE)*Optimalisatie!J45),Baseline_Backlog!G358),0))</f>
        <v>0</v>
      </c>
      <c r="H358" s="91">
        <f>(IF(Optimalisatie!C45="Nieuwe Situatie",_xlfn.IFNA(VLOOKUP(Optimalisatie!V45,Database_Transport[#All],42,FALSE)*(Optimalisatie!R45*Optimalisatie!U45),Baseline_Backlog!H358),0))</f>
        <v>0</v>
      </c>
      <c r="I358" s="91">
        <f>IF(Optimalisatie!C45="Nieuwe situatie",IF(_xlfn.IFNA((VLOOKUP(Optimalisatie!W45,Database_Asfalt_Aanlegset[#All],42,FALSE)*Optimalisatie!J45),0)+_xlfn.IFNA(VLOOKUP(Optimalisatie!X45,Database_Brandstoffen[#All],42,FALSE)*((Optimalisatie!J45/Optimalisatie!Z45)*Optimalisatie!Y45),0)&gt;0,_xlfn.IFNA((VLOOKUP(Optimalisatie!W45,Database_Asfalt_Aanlegset[#All],42,FALSE)*Optimalisatie!J45),0)+_xlfn.IFNA(VLOOKUP(Optimalisatie!X45,Database_Brandstoffen[#All],42,FALSE)*((Optimalisatie!J45/Optimalisatie!Z45)*Optimalisatie!Y45),0),(_xlfn.IFNA(VLOOKUP(Inschrijf_Hernieuwbare_Energie_Totaal[[#This Row],[Product]]&amp;", "&amp;Inschrijf_MKI_Totaal[[#Headers],[A5]],Database_Productkaarten[#All],48,FALSE),0)*Optimalisatie!J45)),0)</f>
        <v>0</v>
      </c>
      <c r="J358" s="91">
        <f>(IF(Optimalisatie!C45="Nieuwe Situatie",_xlfn.IFNA(IF(Optimalisatie!E45="Categorie_1_LCA_Producten",VLOOKUP(Inschrijf_Hernieuwbare_Energie_Totaal[[#This Row],[Product]],Categorie_1_Producten[#All],28,FALSE)*(Optimalisatie!R45),VLOOKUP(Inschrijf_Hernieuwbare_Energie_Totaal[[#This Row],[Product]]&amp;", "&amp;Inschrijf_Hernieuwbare_Energie_Totaal[[#Headers],[B1]],Database_Productkaarten[#All],47,FALSE)*Optimalisatie!J45),Baseline_Backlog!J358),0))</f>
        <v>0</v>
      </c>
      <c r="K358" s="91">
        <f>(IF(Optimalisatie!C45="Nieuwe Situatie",_xlfn.IFNA(SUM(Inschrijf_Hernieuwbare_Energie_Totaal[[#This Row],[A1]:[B1]],Inschrijf_Hernieuwbare_Energie_Totaal[[#This Row],[C1]:[D2]])*Optimalisatie!T45,0),0))</f>
        <v>0</v>
      </c>
      <c r="L358" s="91">
        <f>IF(Optimalisatie!C45="Bestaande situatie",IF(_xlfn.IFNA((VLOOKUP(Optimalisatie!AA45,Database_Asfalt_Verwijderset[#All],42,FALSE)*Optimalisatie!J45),0)+_xlfn.IFNA(VLOOKUP(Optimalisatie!AB45,Database_Brandstoffen[#All],42,FALSE)*((Optimalisatie!J45/Optimalisatie!AD45)*Optimalisatie!AC45),0)&gt;0,_xlfn.IFNA((VLOOKUP(Optimalisatie!AA45,Database_Asfalt_Verwijderset[#All],42,FALSE)*Optimalisatie!J45),0)+_xlfn.IFNA(VLOOKUP(Optimalisatie!AB45,Database_Brandstoffen[#All],42,FALSE)*((Optimalisatie!J45/Optimalisatie!AD45)*Optimalisatie!AC45),0),(_xlfn.IFNA(VLOOKUP(Inschrijf_Hernieuwbare_Energie_Totaal[[#This Row],[Product]]&amp;", "&amp;Inschrijf_MKI_Totaal[[#Headers],[C1]],Database_Productkaarten[#All],48,FALSE),0)*Optimalisatie!J45)),0)</f>
        <v>0</v>
      </c>
      <c r="M358" s="91">
        <f>(IF(Optimalisatie!C45="Bestaande Situatie",_xlfn.IFNA(VLOOKUP(Optimalisatie!AF45,Database_Transport[#All],42,FALSE)*(Optimalisatie!R45*Optimalisatie!AE45),Baseline_Backlog!M358),0))</f>
        <v>0</v>
      </c>
      <c r="N358" s="91">
        <f>(IF(Optimalisatie!C45="Bestaande Situatie",_xlfn.IFNA(VLOOKUP(Optimalisatie!AG45,Database_Asfalt_Verwerkingsset[#All],42,FALSE)*(Optimalisatie!J45/VLOOKUP(Optimalisatie!AG45,Database_Asfalt_Verwerkingsset[#All],42,FALSE)),Baseline_Backlog!N358),0))</f>
        <v>0</v>
      </c>
      <c r="O358" s="91">
        <f>(IF(Optimalisatie!C45="Bestaande Situatie",_xlfn.IFNA(VLOOKUP(Inschrijf_Hernieuwbare_Energie_Totaal[[#This Row],[Product]]&amp;", "&amp;Inschrijf_MKI_Totaal[[#Headers],[C4]],Database_Productkaarten[#All],48,FALSE)*Optimalisatie!J45,Baseline_Backlog!O358),0))</f>
        <v>0</v>
      </c>
      <c r="P358" s="91">
        <f>(IF(Optimalisatie!C45="Bestaande Situatie",_xlfn.IFNA(IF(Optimalisatie!E45="Categorie_1_LCA_Producten",VLOOKUP(Inschrijf_Hernieuwbare_Energie_Totaal[[#This Row],[Product]],Categorie_1_Producten[#All],24,FALSE)*(Optimalisatie!J45),VLOOKUP(Inschrijf_Hernieuwbare_Energie_Totaal[[#This Row],[Product]]&amp;", "&amp;Inschrijf_Hernieuwbare_Energie_Totaal[[#Headers],[D1]],Database_Productkaarten[#All],48,FALSE)*Optimalisatie!J45),Baseline_Backlog!P358),0))</f>
        <v>0</v>
      </c>
      <c r="Q358" s="91">
        <f>(IF(Optimalisatie!C45="Bestaande Situatie",_xlfn.IFNA(IF(Optimalisatie!E45="Categorie_1_LCA_Producten",VLOOKUP(Inschrijf_Hernieuwbare_Energie_Totaal[[#This Row],[Product]],Categorie_1_Producten[#All],25,FALSE)*(Optimalisatie!J45),VLOOKUP(Inschrijf_Hernieuwbare_Energie_Totaal[[#This Row],[Product]]&amp;", "&amp;Inschrijf_Hernieuwbare_Energie_Totaal[[#Headers],[D2]],Database_Productkaarten[#All],48,FALSE)*Optimalisatie!J45),Baseline_Backlog!Q358),0))</f>
        <v>0</v>
      </c>
      <c r="R358" s="91">
        <f>(IF(Optimalisatie!C45="Bestaande Situatie",_xlfn.IFNA(IF(Optimalisatie!E45="Categorie_1_LCA_Producten",VLOOKUP(Inschrijf_Hernieuwbare_Energie_Totaal[[#This Row],[Product]],Categorie_1_Producten[#All],29,FALSE)*(Optimalisatie!J45),VLOOKUP(Inschrijf_Hernieuwbare_Energie_Totaal[[#This Row],[Product]]&amp;", "&amp;Inschrijf_Hernieuwbare_Energie_Totaal[[#Headers],[D]],Database_Productkaarten[#All],48,FALSE)*Optimalisatie!J45),Baseline_Backlog!S358),0))</f>
        <v>0</v>
      </c>
      <c r="S358" s="91">
        <f>SUM(Inschrijf_Hernieuwbare_Energie_Totaal[[#This Row],[A1-A3]:[C4]])+Inschrijf_Hernieuwbare_Energie_Totaal[[#This Row],[D]]</f>
        <v>0</v>
      </c>
    </row>
    <row r="359" spans="2:19">
      <c r="B359" s="208">
        <f>Optimalisatie!B46</f>
        <v>0</v>
      </c>
      <c r="C359" s="1">
        <f>Optimalisatie!F46</f>
        <v>0</v>
      </c>
      <c r="D359" s="91">
        <f>(IF(Optimalisatie!C46="Nieuwe Situatie",_xlfn.IFNA(IF(Optimalisatie!E46="Categorie_1_LCA_Producten",VLOOKUP(Inschrijf_Hernieuwbare_Energie_Totaal[[#This Row],[Product]],Categorie_1_Producten[#All],20,FALSE)*(Optimalisatie!J46),VLOOKUP(Inschrijf_Hernieuwbare_Energie_Totaal[[#This Row],[Product]]&amp;", "&amp;Inschrijf_Hernieuwbare_Energie_Totaal[[#Headers],[A1]],Database_Productkaarten[#All],48,FALSE)*Optimalisatie!J46),Baseline_Backlog!D359),0))</f>
        <v>0</v>
      </c>
      <c r="E359" s="91">
        <f>(IF(Optimalisatie!C46="Nieuwe Situatie",_xlfn.IFNA(IF(Optimalisatie!E46="Categorie_1_LCA_Producten",VLOOKUP(Inschrijf_Hernieuwbare_Energie_Totaal[[#This Row],[Product]],Categorie_1_Producten[#All],21,FALSE)*(Optimalisatie!J46),VLOOKUP(Inschrijf_Hernieuwbare_Energie_Totaal[[#This Row],[Product]]&amp;", "&amp;Inschrijf_Hernieuwbare_Energie_Totaal[[#Headers],[A2]],Database_Productkaarten[#All],48,FALSE)*Optimalisatie!J46),Baseline_Backlog!E359),0))</f>
        <v>0</v>
      </c>
      <c r="F359" s="91">
        <f>(IF(Optimalisatie!C46="Nieuwe Situatie",_xlfn.IFNA(IF(Optimalisatie!E46="Categorie_1_LCA_Producten",VLOOKUP(Inschrijf_Hernieuwbare_Energie_Totaal[[#This Row],[Product]],Categorie_1_Producten[#All],22,FALSE)*(Optimalisatie!J46),VLOOKUP(Inschrijf_Hernieuwbare_Energie_Totaal[[#This Row],[Product]]&amp;", "&amp;Inschrijf_Hernieuwbare_Energie_Totaal[[#Headers],[A3]],Database_Productkaarten[#All],48,FALSE)*Optimalisatie!J46),Baseline_Backlog!F359),0))</f>
        <v>0</v>
      </c>
      <c r="G359" s="91">
        <f>(IF(Optimalisatie!C46="Nieuwe Situatie",_xlfn.IFNA(IF(Optimalisatie!E46="Categorie_1_LCA_Producten",VLOOKUP(Inschrijf_Hernieuwbare_Energie_Totaal[[#This Row],[Product]],Categorie_1_Producten[#All],27,FALSE)*(Optimalisatie!J46),VLOOKUP(Inschrijf_Hernieuwbare_Energie_Totaal[[#This Row],[Product]]&amp;", "&amp;Inschrijf_Hernieuwbare_Energie_Totaal[[#Headers],[A1-A3]],Database_Productkaarten[#All],48,FALSE)*Optimalisatie!J46),Baseline_Backlog!G359),0))</f>
        <v>0</v>
      </c>
      <c r="H359" s="91">
        <f>(IF(Optimalisatie!C46="Nieuwe Situatie",_xlfn.IFNA(VLOOKUP(Optimalisatie!V46,Database_Transport[#All],42,FALSE)*(Optimalisatie!R46*Optimalisatie!U46),Baseline_Backlog!H359),0))</f>
        <v>0</v>
      </c>
      <c r="I359" s="91">
        <f>IF(Optimalisatie!C46="Nieuwe situatie",IF(_xlfn.IFNA((VLOOKUP(Optimalisatie!W46,Database_Asfalt_Aanlegset[#All],42,FALSE)*Optimalisatie!J46),0)+_xlfn.IFNA(VLOOKUP(Optimalisatie!X46,Database_Brandstoffen[#All],42,FALSE)*((Optimalisatie!J46/Optimalisatie!Z46)*Optimalisatie!Y46),0)&gt;0,_xlfn.IFNA((VLOOKUP(Optimalisatie!W46,Database_Asfalt_Aanlegset[#All],42,FALSE)*Optimalisatie!J46),0)+_xlfn.IFNA(VLOOKUP(Optimalisatie!X46,Database_Brandstoffen[#All],42,FALSE)*((Optimalisatie!J46/Optimalisatie!Z46)*Optimalisatie!Y46),0),(_xlfn.IFNA(VLOOKUP(Inschrijf_Hernieuwbare_Energie_Totaal[[#This Row],[Product]]&amp;", "&amp;Inschrijf_MKI_Totaal[[#Headers],[A5]],Database_Productkaarten[#All],48,FALSE),0)*Optimalisatie!J46)),0)</f>
        <v>0</v>
      </c>
      <c r="J359" s="91">
        <f>(IF(Optimalisatie!C46="Nieuwe Situatie",_xlfn.IFNA(IF(Optimalisatie!E46="Categorie_1_LCA_Producten",VLOOKUP(Inschrijf_Hernieuwbare_Energie_Totaal[[#This Row],[Product]],Categorie_1_Producten[#All],28,FALSE)*(Optimalisatie!R46),VLOOKUP(Inschrijf_Hernieuwbare_Energie_Totaal[[#This Row],[Product]]&amp;", "&amp;Inschrijf_Hernieuwbare_Energie_Totaal[[#Headers],[B1]],Database_Productkaarten[#All],47,FALSE)*Optimalisatie!J46),Baseline_Backlog!J359),0))</f>
        <v>0</v>
      </c>
      <c r="K359" s="91">
        <f>(IF(Optimalisatie!C46="Nieuwe Situatie",_xlfn.IFNA(SUM(Inschrijf_Hernieuwbare_Energie_Totaal[[#This Row],[A1]:[B1]],Inschrijf_Hernieuwbare_Energie_Totaal[[#This Row],[C1]:[D2]])*Optimalisatie!T46,0),0))</f>
        <v>0</v>
      </c>
      <c r="L359" s="91">
        <f>IF(Optimalisatie!C46="Bestaande situatie",IF(_xlfn.IFNA((VLOOKUP(Optimalisatie!AA46,Database_Asfalt_Verwijderset[#All],42,FALSE)*Optimalisatie!J46),0)+_xlfn.IFNA(VLOOKUP(Optimalisatie!AB46,Database_Brandstoffen[#All],42,FALSE)*((Optimalisatie!J46/Optimalisatie!AD46)*Optimalisatie!AC46),0)&gt;0,_xlfn.IFNA((VLOOKUP(Optimalisatie!AA46,Database_Asfalt_Verwijderset[#All],42,FALSE)*Optimalisatie!J46),0)+_xlfn.IFNA(VLOOKUP(Optimalisatie!AB46,Database_Brandstoffen[#All],42,FALSE)*((Optimalisatie!J46/Optimalisatie!AD46)*Optimalisatie!AC46),0),(_xlfn.IFNA(VLOOKUP(Inschrijf_Hernieuwbare_Energie_Totaal[[#This Row],[Product]]&amp;", "&amp;Inschrijf_MKI_Totaal[[#Headers],[C1]],Database_Productkaarten[#All],48,FALSE),0)*Optimalisatie!J46)),0)</f>
        <v>0</v>
      </c>
      <c r="M359" s="91">
        <f>(IF(Optimalisatie!C46="Bestaande Situatie",_xlfn.IFNA(VLOOKUP(Optimalisatie!AF46,Database_Transport[#All],42,FALSE)*(Optimalisatie!R46*Optimalisatie!AE46),Baseline_Backlog!M359),0))</f>
        <v>0</v>
      </c>
      <c r="N359" s="91">
        <f>(IF(Optimalisatie!C46="Bestaande Situatie",_xlfn.IFNA(VLOOKUP(Optimalisatie!AG46,Database_Asfalt_Verwerkingsset[#All],42,FALSE)*(Optimalisatie!J46/VLOOKUP(Optimalisatie!AG46,Database_Asfalt_Verwerkingsset[#All],42,FALSE)),Baseline_Backlog!N359),0))</f>
        <v>0</v>
      </c>
      <c r="O359" s="91">
        <f>(IF(Optimalisatie!C46="Bestaande Situatie",_xlfn.IFNA(VLOOKUP(Inschrijf_Hernieuwbare_Energie_Totaal[[#This Row],[Product]]&amp;", "&amp;Inschrijf_MKI_Totaal[[#Headers],[C4]],Database_Productkaarten[#All],48,FALSE)*Optimalisatie!J46,Baseline_Backlog!O359),0))</f>
        <v>0</v>
      </c>
      <c r="P359" s="91">
        <f>(IF(Optimalisatie!C46="Bestaande Situatie",_xlfn.IFNA(IF(Optimalisatie!E46="Categorie_1_LCA_Producten",VLOOKUP(Inschrijf_Hernieuwbare_Energie_Totaal[[#This Row],[Product]],Categorie_1_Producten[#All],24,FALSE)*(Optimalisatie!J46),VLOOKUP(Inschrijf_Hernieuwbare_Energie_Totaal[[#This Row],[Product]]&amp;", "&amp;Inschrijf_Hernieuwbare_Energie_Totaal[[#Headers],[D1]],Database_Productkaarten[#All],48,FALSE)*Optimalisatie!J46),Baseline_Backlog!P359),0))</f>
        <v>0</v>
      </c>
      <c r="Q359" s="91">
        <f>(IF(Optimalisatie!C46="Bestaande Situatie",_xlfn.IFNA(IF(Optimalisatie!E46="Categorie_1_LCA_Producten",VLOOKUP(Inschrijf_Hernieuwbare_Energie_Totaal[[#This Row],[Product]],Categorie_1_Producten[#All],25,FALSE)*(Optimalisatie!J46),VLOOKUP(Inschrijf_Hernieuwbare_Energie_Totaal[[#This Row],[Product]]&amp;", "&amp;Inschrijf_Hernieuwbare_Energie_Totaal[[#Headers],[D2]],Database_Productkaarten[#All],48,FALSE)*Optimalisatie!J46),Baseline_Backlog!Q359),0))</f>
        <v>0</v>
      </c>
      <c r="R359" s="91">
        <f>(IF(Optimalisatie!C46="Bestaande Situatie",_xlfn.IFNA(IF(Optimalisatie!E46="Categorie_1_LCA_Producten",VLOOKUP(Inschrijf_Hernieuwbare_Energie_Totaal[[#This Row],[Product]],Categorie_1_Producten[#All],29,FALSE)*(Optimalisatie!J46),VLOOKUP(Inschrijf_Hernieuwbare_Energie_Totaal[[#This Row],[Product]]&amp;", "&amp;Inschrijf_Hernieuwbare_Energie_Totaal[[#Headers],[D]],Database_Productkaarten[#All],48,FALSE)*Optimalisatie!J46),Baseline_Backlog!S359),0))</f>
        <v>0</v>
      </c>
      <c r="S359" s="91">
        <f>SUM(Inschrijf_Hernieuwbare_Energie_Totaal[[#This Row],[A1-A3]:[C4]])+Inschrijf_Hernieuwbare_Energie_Totaal[[#This Row],[D]]</f>
        <v>0</v>
      </c>
    </row>
    <row r="360" spans="2:19">
      <c r="B360" s="208">
        <f>Optimalisatie!B47</f>
        <v>0</v>
      </c>
      <c r="C360" s="1">
        <f>Optimalisatie!F47</f>
        <v>0</v>
      </c>
      <c r="D360" s="91">
        <f>(IF(Optimalisatie!C47="Nieuwe Situatie",_xlfn.IFNA(IF(Optimalisatie!E47="Categorie_1_LCA_Producten",VLOOKUP(Inschrijf_Hernieuwbare_Energie_Totaal[[#This Row],[Product]],Categorie_1_Producten[#All],20,FALSE)*(Optimalisatie!J47),VLOOKUP(Inschrijf_Hernieuwbare_Energie_Totaal[[#This Row],[Product]]&amp;", "&amp;Inschrijf_Hernieuwbare_Energie_Totaal[[#Headers],[A1]],Database_Productkaarten[#All],48,FALSE)*Optimalisatie!J47),Baseline_Backlog!D360),0))</f>
        <v>0</v>
      </c>
      <c r="E360" s="91">
        <f>(IF(Optimalisatie!C47="Nieuwe Situatie",_xlfn.IFNA(IF(Optimalisatie!E47="Categorie_1_LCA_Producten",VLOOKUP(Inschrijf_Hernieuwbare_Energie_Totaal[[#This Row],[Product]],Categorie_1_Producten[#All],21,FALSE)*(Optimalisatie!J47),VLOOKUP(Inschrijf_Hernieuwbare_Energie_Totaal[[#This Row],[Product]]&amp;", "&amp;Inschrijf_Hernieuwbare_Energie_Totaal[[#Headers],[A2]],Database_Productkaarten[#All],48,FALSE)*Optimalisatie!J47),Baseline_Backlog!E360),0))</f>
        <v>0</v>
      </c>
      <c r="F360" s="91">
        <f>(IF(Optimalisatie!C47="Nieuwe Situatie",_xlfn.IFNA(IF(Optimalisatie!E47="Categorie_1_LCA_Producten",VLOOKUP(Inschrijf_Hernieuwbare_Energie_Totaal[[#This Row],[Product]],Categorie_1_Producten[#All],22,FALSE)*(Optimalisatie!J47),VLOOKUP(Inschrijf_Hernieuwbare_Energie_Totaal[[#This Row],[Product]]&amp;", "&amp;Inschrijf_Hernieuwbare_Energie_Totaal[[#Headers],[A3]],Database_Productkaarten[#All],48,FALSE)*Optimalisatie!J47),Baseline_Backlog!F360),0))</f>
        <v>0</v>
      </c>
      <c r="G360" s="91">
        <f>(IF(Optimalisatie!C47="Nieuwe Situatie",_xlfn.IFNA(IF(Optimalisatie!E47="Categorie_1_LCA_Producten",VLOOKUP(Inschrijf_Hernieuwbare_Energie_Totaal[[#This Row],[Product]],Categorie_1_Producten[#All],27,FALSE)*(Optimalisatie!J47),VLOOKUP(Inschrijf_Hernieuwbare_Energie_Totaal[[#This Row],[Product]]&amp;", "&amp;Inschrijf_Hernieuwbare_Energie_Totaal[[#Headers],[A1-A3]],Database_Productkaarten[#All],48,FALSE)*Optimalisatie!J47),Baseline_Backlog!G360),0))</f>
        <v>0</v>
      </c>
      <c r="H360" s="91">
        <f>(IF(Optimalisatie!C47="Nieuwe Situatie",_xlfn.IFNA(VLOOKUP(Optimalisatie!V47,Database_Transport[#All],42,FALSE)*(Optimalisatie!R47*Optimalisatie!U47),Baseline_Backlog!H360),0))</f>
        <v>0</v>
      </c>
      <c r="I360" s="91">
        <f>IF(Optimalisatie!C47="Nieuwe situatie",IF(_xlfn.IFNA((VLOOKUP(Optimalisatie!W47,Database_Asfalt_Aanlegset[#All],42,FALSE)*Optimalisatie!J47),0)+_xlfn.IFNA(VLOOKUP(Optimalisatie!X47,Database_Brandstoffen[#All],42,FALSE)*((Optimalisatie!J47/Optimalisatie!Z47)*Optimalisatie!Y47),0)&gt;0,_xlfn.IFNA((VLOOKUP(Optimalisatie!W47,Database_Asfalt_Aanlegset[#All],42,FALSE)*Optimalisatie!J47),0)+_xlfn.IFNA(VLOOKUP(Optimalisatie!X47,Database_Brandstoffen[#All],42,FALSE)*((Optimalisatie!J47/Optimalisatie!Z47)*Optimalisatie!Y47),0),(_xlfn.IFNA(VLOOKUP(Inschrijf_Hernieuwbare_Energie_Totaal[[#This Row],[Product]]&amp;", "&amp;Inschrijf_MKI_Totaal[[#Headers],[A5]],Database_Productkaarten[#All],48,FALSE),0)*Optimalisatie!J47)),0)</f>
        <v>0</v>
      </c>
      <c r="J360" s="91">
        <f>(IF(Optimalisatie!C47="Nieuwe Situatie",_xlfn.IFNA(IF(Optimalisatie!E47="Categorie_1_LCA_Producten",VLOOKUP(Inschrijf_Hernieuwbare_Energie_Totaal[[#This Row],[Product]],Categorie_1_Producten[#All],28,FALSE)*(Optimalisatie!R47),VLOOKUP(Inschrijf_Hernieuwbare_Energie_Totaal[[#This Row],[Product]]&amp;", "&amp;Inschrijf_Hernieuwbare_Energie_Totaal[[#Headers],[B1]],Database_Productkaarten[#All],47,FALSE)*Optimalisatie!J47),Baseline_Backlog!J360),0))</f>
        <v>0</v>
      </c>
      <c r="K360" s="91">
        <f>(IF(Optimalisatie!C47="Nieuwe Situatie",_xlfn.IFNA(SUM(Inschrijf_Hernieuwbare_Energie_Totaal[[#This Row],[A1]:[B1]],Inschrijf_Hernieuwbare_Energie_Totaal[[#This Row],[C1]:[D2]])*Optimalisatie!T47,0),0))</f>
        <v>0</v>
      </c>
      <c r="L360" s="91">
        <f>IF(Optimalisatie!C47="Bestaande situatie",IF(_xlfn.IFNA((VLOOKUP(Optimalisatie!AA47,Database_Asfalt_Verwijderset[#All],42,FALSE)*Optimalisatie!J47),0)+_xlfn.IFNA(VLOOKUP(Optimalisatie!AB47,Database_Brandstoffen[#All],42,FALSE)*((Optimalisatie!J47/Optimalisatie!AD47)*Optimalisatie!AC47),0)&gt;0,_xlfn.IFNA((VLOOKUP(Optimalisatie!AA47,Database_Asfalt_Verwijderset[#All],42,FALSE)*Optimalisatie!J47),0)+_xlfn.IFNA(VLOOKUP(Optimalisatie!AB47,Database_Brandstoffen[#All],42,FALSE)*((Optimalisatie!J47/Optimalisatie!AD47)*Optimalisatie!AC47),0),(_xlfn.IFNA(VLOOKUP(Inschrijf_Hernieuwbare_Energie_Totaal[[#This Row],[Product]]&amp;", "&amp;Inschrijf_MKI_Totaal[[#Headers],[C1]],Database_Productkaarten[#All],48,FALSE),0)*Optimalisatie!J47)),0)</f>
        <v>0</v>
      </c>
      <c r="M360" s="91">
        <f>(IF(Optimalisatie!C47="Bestaande Situatie",_xlfn.IFNA(VLOOKUP(Optimalisatie!AF47,Database_Transport[#All],42,FALSE)*(Optimalisatie!R47*Optimalisatie!AE47),Baseline_Backlog!M360),0))</f>
        <v>0</v>
      </c>
      <c r="N360" s="91">
        <f>(IF(Optimalisatie!C47="Bestaande Situatie",_xlfn.IFNA(VLOOKUP(Optimalisatie!AG47,Database_Asfalt_Verwerkingsset[#All],42,FALSE)*(Optimalisatie!J47/VLOOKUP(Optimalisatie!AG47,Database_Asfalt_Verwerkingsset[#All],42,FALSE)),Baseline_Backlog!N360),0))</f>
        <v>0</v>
      </c>
      <c r="O360" s="91">
        <f>(IF(Optimalisatie!C47="Bestaande Situatie",_xlfn.IFNA(VLOOKUP(Inschrijf_Hernieuwbare_Energie_Totaal[[#This Row],[Product]]&amp;", "&amp;Inschrijf_MKI_Totaal[[#Headers],[C4]],Database_Productkaarten[#All],48,FALSE)*Optimalisatie!J47,Baseline_Backlog!O360),0))</f>
        <v>0</v>
      </c>
      <c r="P360" s="91">
        <f>(IF(Optimalisatie!C47="Bestaande Situatie",_xlfn.IFNA(IF(Optimalisatie!E47="Categorie_1_LCA_Producten",VLOOKUP(Inschrijf_Hernieuwbare_Energie_Totaal[[#This Row],[Product]],Categorie_1_Producten[#All],24,FALSE)*(Optimalisatie!J47),VLOOKUP(Inschrijf_Hernieuwbare_Energie_Totaal[[#This Row],[Product]]&amp;", "&amp;Inschrijf_Hernieuwbare_Energie_Totaal[[#Headers],[D1]],Database_Productkaarten[#All],48,FALSE)*Optimalisatie!J47),Baseline_Backlog!P360),0))</f>
        <v>0</v>
      </c>
      <c r="Q360" s="91">
        <f>(IF(Optimalisatie!C47="Bestaande Situatie",_xlfn.IFNA(IF(Optimalisatie!E47="Categorie_1_LCA_Producten",VLOOKUP(Inschrijf_Hernieuwbare_Energie_Totaal[[#This Row],[Product]],Categorie_1_Producten[#All],25,FALSE)*(Optimalisatie!J47),VLOOKUP(Inschrijf_Hernieuwbare_Energie_Totaal[[#This Row],[Product]]&amp;", "&amp;Inschrijf_Hernieuwbare_Energie_Totaal[[#Headers],[D2]],Database_Productkaarten[#All],48,FALSE)*Optimalisatie!J47),Baseline_Backlog!Q360),0))</f>
        <v>0</v>
      </c>
      <c r="R360" s="91">
        <f>(IF(Optimalisatie!C47="Bestaande Situatie",_xlfn.IFNA(IF(Optimalisatie!E47="Categorie_1_LCA_Producten",VLOOKUP(Inschrijf_Hernieuwbare_Energie_Totaal[[#This Row],[Product]],Categorie_1_Producten[#All],29,FALSE)*(Optimalisatie!J47),VLOOKUP(Inschrijf_Hernieuwbare_Energie_Totaal[[#This Row],[Product]]&amp;", "&amp;Inschrijf_Hernieuwbare_Energie_Totaal[[#Headers],[D]],Database_Productkaarten[#All],48,FALSE)*Optimalisatie!J47),Baseline_Backlog!S360),0))</f>
        <v>0</v>
      </c>
      <c r="S360" s="91">
        <f>SUM(Inschrijf_Hernieuwbare_Energie_Totaal[[#This Row],[A1-A3]:[C4]])+Inschrijf_Hernieuwbare_Energie_Totaal[[#This Row],[D]]</f>
        <v>0</v>
      </c>
    </row>
    <row r="361" spans="2:19">
      <c r="B361" s="208">
        <f>Optimalisatie!B48</f>
        <v>0</v>
      </c>
      <c r="C361" s="1">
        <f>Optimalisatie!F48</f>
        <v>0</v>
      </c>
      <c r="D361" s="91">
        <f>(IF(Optimalisatie!C48="Nieuwe Situatie",_xlfn.IFNA(IF(Optimalisatie!E48="Categorie_1_LCA_Producten",VLOOKUP(Inschrijf_Hernieuwbare_Energie_Totaal[[#This Row],[Product]],Categorie_1_Producten[#All],20,FALSE)*(Optimalisatie!J48),VLOOKUP(Inschrijf_Hernieuwbare_Energie_Totaal[[#This Row],[Product]]&amp;", "&amp;Inschrijf_Hernieuwbare_Energie_Totaal[[#Headers],[A1]],Database_Productkaarten[#All],48,FALSE)*Optimalisatie!J48),Baseline_Backlog!D361),0))</f>
        <v>0</v>
      </c>
      <c r="E361" s="91">
        <f>(IF(Optimalisatie!C48="Nieuwe Situatie",_xlfn.IFNA(IF(Optimalisatie!E48="Categorie_1_LCA_Producten",VLOOKUP(Inschrijf_Hernieuwbare_Energie_Totaal[[#This Row],[Product]],Categorie_1_Producten[#All],21,FALSE)*(Optimalisatie!J48),VLOOKUP(Inschrijf_Hernieuwbare_Energie_Totaal[[#This Row],[Product]]&amp;", "&amp;Inschrijf_Hernieuwbare_Energie_Totaal[[#Headers],[A2]],Database_Productkaarten[#All],48,FALSE)*Optimalisatie!J48),Baseline_Backlog!E361),0))</f>
        <v>0</v>
      </c>
      <c r="F361" s="91">
        <f>(IF(Optimalisatie!C48="Nieuwe Situatie",_xlfn.IFNA(IF(Optimalisatie!E48="Categorie_1_LCA_Producten",VLOOKUP(Inschrijf_Hernieuwbare_Energie_Totaal[[#This Row],[Product]],Categorie_1_Producten[#All],22,FALSE)*(Optimalisatie!J48),VLOOKUP(Inschrijf_Hernieuwbare_Energie_Totaal[[#This Row],[Product]]&amp;", "&amp;Inschrijf_Hernieuwbare_Energie_Totaal[[#Headers],[A3]],Database_Productkaarten[#All],48,FALSE)*Optimalisatie!J48),Baseline_Backlog!F361),0))</f>
        <v>0</v>
      </c>
      <c r="G361" s="91">
        <f>(IF(Optimalisatie!C48="Nieuwe Situatie",_xlfn.IFNA(IF(Optimalisatie!E48="Categorie_1_LCA_Producten",VLOOKUP(Inschrijf_Hernieuwbare_Energie_Totaal[[#This Row],[Product]],Categorie_1_Producten[#All],27,FALSE)*(Optimalisatie!J48),VLOOKUP(Inschrijf_Hernieuwbare_Energie_Totaal[[#This Row],[Product]]&amp;", "&amp;Inschrijf_Hernieuwbare_Energie_Totaal[[#Headers],[A1-A3]],Database_Productkaarten[#All],48,FALSE)*Optimalisatie!J48),Baseline_Backlog!G361),0))</f>
        <v>0</v>
      </c>
      <c r="H361" s="91">
        <f>(IF(Optimalisatie!C48="Nieuwe Situatie",_xlfn.IFNA(VLOOKUP(Optimalisatie!V48,Database_Transport[#All],42,FALSE)*(Optimalisatie!R48*Optimalisatie!U48),Baseline_Backlog!H361),0))</f>
        <v>0</v>
      </c>
      <c r="I361" s="91">
        <f>IF(Optimalisatie!C48="Nieuwe situatie",IF(_xlfn.IFNA((VLOOKUP(Optimalisatie!W48,Database_Asfalt_Aanlegset[#All],42,FALSE)*Optimalisatie!J48),0)+_xlfn.IFNA(VLOOKUP(Optimalisatie!X48,Database_Brandstoffen[#All],42,FALSE)*((Optimalisatie!J48/Optimalisatie!Z48)*Optimalisatie!Y48),0)&gt;0,_xlfn.IFNA((VLOOKUP(Optimalisatie!W48,Database_Asfalt_Aanlegset[#All],42,FALSE)*Optimalisatie!J48),0)+_xlfn.IFNA(VLOOKUP(Optimalisatie!X48,Database_Brandstoffen[#All],42,FALSE)*((Optimalisatie!J48/Optimalisatie!Z48)*Optimalisatie!Y48),0),(_xlfn.IFNA(VLOOKUP(Inschrijf_Hernieuwbare_Energie_Totaal[[#This Row],[Product]]&amp;", "&amp;Inschrijf_MKI_Totaal[[#Headers],[A5]],Database_Productkaarten[#All],48,FALSE),0)*Optimalisatie!J48)),0)</f>
        <v>0</v>
      </c>
      <c r="J361" s="91">
        <f>(IF(Optimalisatie!C48="Nieuwe Situatie",_xlfn.IFNA(IF(Optimalisatie!E48="Categorie_1_LCA_Producten",VLOOKUP(Inschrijf_Hernieuwbare_Energie_Totaal[[#This Row],[Product]],Categorie_1_Producten[#All],28,FALSE)*(Optimalisatie!R48),VLOOKUP(Inschrijf_Hernieuwbare_Energie_Totaal[[#This Row],[Product]]&amp;", "&amp;Inschrijf_Hernieuwbare_Energie_Totaal[[#Headers],[B1]],Database_Productkaarten[#All],47,FALSE)*Optimalisatie!J48),Baseline_Backlog!J361),0))</f>
        <v>0</v>
      </c>
      <c r="K361" s="91">
        <f>(IF(Optimalisatie!C48="Nieuwe Situatie",_xlfn.IFNA(SUM(Inschrijf_Hernieuwbare_Energie_Totaal[[#This Row],[A1]:[B1]],Inschrijf_Hernieuwbare_Energie_Totaal[[#This Row],[C1]:[D2]])*Optimalisatie!T48,0),0))</f>
        <v>0</v>
      </c>
      <c r="L361" s="91">
        <f>IF(Optimalisatie!C48="Bestaande situatie",IF(_xlfn.IFNA((VLOOKUP(Optimalisatie!AA48,Database_Asfalt_Verwijderset[#All],42,FALSE)*Optimalisatie!J48),0)+_xlfn.IFNA(VLOOKUP(Optimalisatie!AB48,Database_Brandstoffen[#All],42,FALSE)*((Optimalisatie!J48/Optimalisatie!AD48)*Optimalisatie!AC48),0)&gt;0,_xlfn.IFNA((VLOOKUP(Optimalisatie!AA48,Database_Asfalt_Verwijderset[#All],42,FALSE)*Optimalisatie!J48),0)+_xlfn.IFNA(VLOOKUP(Optimalisatie!AB48,Database_Brandstoffen[#All],42,FALSE)*((Optimalisatie!J48/Optimalisatie!AD48)*Optimalisatie!AC48),0),(_xlfn.IFNA(VLOOKUP(Inschrijf_Hernieuwbare_Energie_Totaal[[#This Row],[Product]]&amp;", "&amp;Inschrijf_MKI_Totaal[[#Headers],[C1]],Database_Productkaarten[#All],48,FALSE),0)*Optimalisatie!J48)),0)</f>
        <v>0</v>
      </c>
      <c r="M361" s="91">
        <f>(IF(Optimalisatie!C48="Bestaande Situatie",_xlfn.IFNA(VLOOKUP(Optimalisatie!AF48,Database_Transport[#All],42,FALSE)*(Optimalisatie!R48*Optimalisatie!AE48),Baseline_Backlog!M361),0))</f>
        <v>0</v>
      </c>
      <c r="N361" s="91">
        <f>(IF(Optimalisatie!C48="Bestaande Situatie",_xlfn.IFNA(VLOOKUP(Optimalisatie!AG48,Database_Asfalt_Verwerkingsset[#All],42,FALSE)*(Optimalisatie!J48/VLOOKUP(Optimalisatie!AG48,Database_Asfalt_Verwerkingsset[#All],42,FALSE)),Baseline_Backlog!N361),0))</f>
        <v>0</v>
      </c>
      <c r="O361" s="91">
        <f>(IF(Optimalisatie!C48="Bestaande Situatie",_xlfn.IFNA(VLOOKUP(Inschrijf_Hernieuwbare_Energie_Totaal[[#This Row],[Product]]&amp;", "&amp;Inschrijf_MKI_Totaal[[#Headers],[C4]],Database_Productkaarten[#All],48,FALSE)*Optimalisatie!J48,Baseline_Backlog!O361),0))</f>
        <v>0</v>
      </c>
      <c r="P361" s="91">
        <f>(IF(Optimalisatie!C48="Bestaande Situatie",_xlfn.IFNA(IF(Optimalisatie!E48="Categorie_1_LCA_Producten",VLOOKUP(Inschrijf_Hernieuwbare_Energie_Totaal[[#This Row],[Product]],Categorie_1_Producten[#All],24,FALSE)*(Optimalisatie!J48),VLOOKUP(Inschrijf_Hernieuwbare_Energie_Totaal[[#This Row],[Product]]&amp;", "&amp;Inschrijf_Hernieuwbare_Energie_Totaal[[#Headers],[D1]],Database_Productkaarten[#All],48,FALSE)*Optimalisatie!J48),Baseline_Backlog!P361),0))</f>
        <v>0</v>
      </c>
      <c r="Q361" s="91">
        <f>(IF(Optimalisatie!C48="Bestaande Situatie",_xlfn.IFNA(IF(Optimalisatie!E48="Categorie_1_LCA_Producten",VLOOKUP(Inschrijf_Hernieuwbare_Energie_Totaal[[#This Row],[Product]],Categorie_1_Producten[#All],25,FALSE)*(Optimalisatie!J48),VLOOKUP(Inschrijf_Hernieuwbare_Energie_Totaal[[#This Row],[Product]]&amp;", "&amp;Inschrijf_Hernieuwbare_Energie_Totaal[[#Headers],[D2]],Database_Productkaarten[#All],48,FALSE)*Optimalisatie!J48),Baseline_Backlog!Q361),0))</f>
        <v>0</v>
      </c>
      <c r="R361" s="91">
        <f>(IF(Optimalisatie!C48="Bestaande Situatie",_xlfn.IFNA(IF(Optimalisatie!E48="Categorie_1_LCA_Producten",VLOOKUP(Inschrijf_Hernieuwbare_Energie_Totaal[[#This Row],[Product]],Categorie_1_Producten[#All],29,FALSE)*(Optimalisatie!J48),VLOOKUP(Inschrijf_Hernieuwbare_Energie_Totaal[[#This Row],[Product]]&amp;", "&amp;Inschrijf_Hernieuwbare_Energie_Totaal[[#Headers],[D]],Database_Productkaarten[#All],48,FALSE)*Optimalisatie!J48),Baseline_Backlog!S361),0))</f>
        <v>0</v>
      </c>
      <c r="S361" s="91">
        <f>SUM(Inschrijf_Hernieuwbare_Energie_Totaal[[#This Row],[A1-A3]:[C4]])+Inschrijf_Hernieuwbare_Energie_Totaal[[#This Row],[D]]</f>
        <v>0</v>
      </c>
    </row>
    <row r="362" spans="2:19">
      <c r="B362" s="208">
        <f>Optimalisatie!B49</f>
        <v>0</v>
      </c>
      <c r="C362" s="1">
        <f>Optimalisatie!F49</f>
        <v>0</v>
      </c>
      <c r="D362" s="91">
        <f>(IF(Optimalisatie!C49="Nieuwe Situatie",_xlfn.IFNA(IF(Optimalisatie!E49="Categorie_1_LCA_Producten",VLOOKUP(Inschrijf_Hernieuwbare_Energie_Totaal[[#This Row],[Product]],Categorie_1_Producten[#All],20,FALSE)*(Optimalisatie!J49),VLOOKUP(Inschrijf_Hernieuwbare_Energie_Totaal[[#This Row],[Product]]&amp;", "&amp;Inschrijf_Hernieuwbare_Energie_Totaal[[#Headers],[A1]],Database_Productkaarten[#All],48,FALSE)*Optimalisatie!J49),Baseline_Backlog!D362),0))</f>
        <v>0</v>
      </c>
      <c r="E362" s="91">
        <f>(IF(Optimalisatie!C49="Nieuwe Situatie",_xlfn.IFNA(IF(Optimalisatie!E49="Categorie_1_LCA_Producten",VLOOKUP(Inschrijf_Hernieuwbare_Energie_Totaal[[#This Row],[Product]],Categorie_1_Producten[#All],21,FALSE)*(Optimalisatie!J49),VLOOKUP(Inschrijf_Hernieuwbare_Energie_Totaal[[#This Row],[Product]]&amp;", "&amp;Inschrijf_Hernieuwbare_Energie_Totaal[[#Headers],[A2]],Database_Productkaarten[#All],48,FALSE)*Optimalisatie!J49),Baseline_Backlog!E362),0))</f>
        <v>0</v>
      </c>
      <c r="F362" s="91">
        <f>(IF(Optimalisatie!C49="Nieuwe Situatie",_xlfn.IFNA(IF(Optimalisatie!E49="Categorie_1_LCA_Producten",VLOOKUP(Inschrijf_Hernieuwbare_Energie_Totaal[[#This Row],[Product]],Categorie_1_Producten[#All],22,FALSE)*(Optimalisatie!J49),VLOOKUP(Inschrijf_Hernieuwbare_Energie_Totaal[[#This Row],[Product]]&amp;", "&amp;Inschrijf_Hernieuwbare_Energie_Totaal[[#Headers],[A3]],Database_Productkaarten[#All],48,FALSE)*Optimalisatie!J49),Baseline_Backlog!F362),0))</f>
        <v>0</v>
      </c>
      <c r="G362" s="91">
        <f>(IF(Optimalisatie!C49="Nieuwe Situatie",_xlfn.IFNA(IF(Optimalisatie!E49="Categorie_1_LCA_Producten",VLOOKUP(Inschrijf_Hernieuwbare_Energie_Totaal[[#This Row],[Product]],Categorie_1_Producten[#All],27,FALSE)*(Optimalisatie!J49),VLOOKUP(Inschrijf_Hernieuwbare_Energie_Totaal[[#This Row],[Product]]&amp;", "&amp;Inschrijf_Hernieuwbare_Energie_Totaal[[#Headers],[A1-A3]],Database_Productkaarten[#All],48,FALSE)*Optimalisatie!J49),Baseline_Backlog!G362),0))</f>
        <v>0</v>
      </c>
      <c r="H362" s="91">
        <f>(IF(Optimalisatie!C49="Nieuwe Situatie",_xlfn.IFNA(VLOOKUP(Optimalisatie!V49,Database_Transport[#All],42,FALSE)*(Optimalisatie!R49*Optimalisatie!U49),Baseline_Backlog!H362),0))</f>
        <v>0</v>
      </c>
      <c r="I362" s="91">
        <f>IF(Optimalisatie!C49="Nieuwe situatie",IF(_xlfn.IFNA((VLOOKUP(Optimalisatie!W49,Database_Asfalt_Aanlegset[#All],42,FALSE)*Optimalisatie!J49),0)+_xlfn.IFNA(VLOOKUP(Optimalisatie!X49,Database_Brandstoffen[#All],42,FALSE)*((Optimalisatie!J49/Optimalisatie!Z49)*Optimalisatie!Y49),0)&gt;0,_xlfn.IFNA((VLOOKUP(Optimalisatie!W49,Database_Asfalt_Aanlegset[#All],42,FALSE)*Optimalisatie!J49),0)+_xlfn.IFNA(VLOOKUP(Optimalisatie!X49,Database_Brandstoffen[#All],42,FALSE)*((Optimalisatie!J49/Optimalisatie!Z49)*Optimalisatie!Y49),0),(_xlfn.IFNA(VLOOKUP(Inschrijf_Hernieuwbare_Energie_Totaal[[#This Row],[Product]]&amp;", "&amp;Inschrijf_MKI_Totaal[[#Headers],[A5]],Database_Productkaarten[#All],48,FALSE),0)*Optimalisatie!J49)),0)</f>
        <v>0</v>
      </c>
      <c r="J362" s="91">
        <f>(IF(Optimalisatie!C49="Nieuwe Situatie",_xlfn.IFNA(IF(Optimalisatie!E49="Categorie_1_LCA_Producten",VLOOKUP(Inschrijf_Hernieuwbare_Energie_Totaal[[#This Row],[Product]],Categorie_1_Producten[#All],28,FALSE)*(Optimalisatie!R49),VLOOKUP(Inschrijf_Hernieuwbare_Energie_Totaal[[#This Row],[Product]]&amp;", "&amp;Inschrijf_Hernieuwbare_Energie_Totaal[[#Headers],[B1]],Database_Productkaarten[#All],47,FALSE)*Optimalisatie!J49),Baseline_Backlog!J362),0))</f>
        <v>0</v>
      </c>
      <c r="K362" s="91">
        <f>(IF(Optimalisatie!C49="Nieuwe Situatie",_xlfn.IFNA(SUM(Inschrijf_Hernieuwbare_Energie_Totaal[[#This Row],[A1]:[B1]],Inschrijf_Hernieuwbare_Energie_Totaal[[#This Row],[C1]:[D2]])*Optimalisatie!T49,0),0))</f>
        <v>0</v>
      </c>
      <c r="L362" s="91">
        <f>IF(Optimalisatie!C49="Bestaande situatie",IF(_xlfn.IFNA((VLOOKUP(Optimalisatie!AA49,Database_Asfalt_Verwijderset[#All],42,FALSE)*Optimalisatie!J49),0)+_xlfn.IFNA(VLOOKUP(Optimalisatie!AB49,Database_Brandstoffen[#All],42,FALSE)*((Optimalisatie!J49/Optimalisatie!AD49)*Optimalisatie!AC49),0)&gt;0,_xlfn.IFNA((VLOOKUP(Optimalisatie!AA49,Database_Asfalt_Verwijderset[#All],42,FALSE)*Optimalisatie!J49),0)+_xlfn.IFNA(VLOOKUP(Optimalisatie!AB49,Database_Brandstoffen[#All],42,FALSE)*((Optimalisatie!J49/Optimalisatie!AD49)*Optimalisatie!AC49),0),(_xlfn.IFNA(VLOOKUP(Inschrijf_Hernieuwbare_Energie_Totaal[[#This Row],[Product]]&amp;", "&amp;Inschrijf_MKI_Totaal[[#Headers],[C1]],Database_Productkaarten[#All],48,FALSE),0)*Optimalisatie!J49)),0)</f>
        <v>0</v>
      </c>
      <c r="M362" s="91">
        <f>(IF(Optimalisatie!C49="Bestaande Situatie",_xlfn.IFNA(VLOOKUP(Optimalisatie!AF49,Database_Transport[#All],42,FALSE)*(Optimalisatie!R49*Optimalisatie!AE49),Baseline_Backlog!M362),0))</f>
        <v>0</v>
      </c>
      <c r="N362" s="91">
        <f>(IF(Optimalisatie!C49="Bestaande Situatie",_xlfn.IFNA(VLOOKUP(Optimalisatie!AG49,Database_Asfalt_Verwerkingsset[#All],42,FALSE)*(Optimalisatie!J49/VLOOKUP(Optimalisatie!AG49,Database_Asfalt_Verwerkingsset[#All],42,FALSE)),Baseline_Backlog!N362),0))</f>
        <v>0</v>
      </c>
      <c r="O362" s="91">
        <f>(IF(Optimalisatie!C49="Bestaande Situatie",_xlfn.IFNA(VLOOKUP(Inschrijf_Hernieuwbare_Energie_Totaal[[#This Row],[Product]]&amp;", "&amp;Inschrijf_MKI_Totaal[[#Headers],[C4]],Database_Productkaarten[#All],48,FALSE)*Optimalisatie!J49,Baseline_Backlog!O362),0))</f>
        <v>0</v>
      </c>
      <c r="P362" s="91">
        <f>(IF(Optimalisatie!C49="Bestaande Situatie",_xlfn.IFNA(IF(Optimalisatie!E49="Categorie_1_LCA_Producten",VLOOKUP(Inschrijf_Hernieuwbare_Energie_Totaal[[#This Row],[Product]],Categorie_1_Producten[#All],24,FALSE)*(Optimalisatie!J49),VLOOKUP(Inschrijf_Hernieuwbare_Energie_Totaal[[#This Row],[Product]]&amp;", "&amp;Inschrijf_Hernieuwbare_Energie_Totaal[[#Headers],[D1]],Database_Productkaarten[#All],48,FALSE)*Optimalisatie!J49),Baseline_Backlog!P362),0))</f>
        <v>0</v>
      </c>
      <c r="Q362" s="91">
        <f>(IF(Optimalisatie!C49="Bestaande Situatie",_xlfn.IFNA(IF(Optimalisatie!E49="Categorie_1_LCA_Producten",VLOOKUP(Inschrijf_Hernieuwbare_Energie_Totaal[[#This Row],[Product]],Categorie_1_Producten[#All],25,FALSE)*(Optimalisatie!J49),VLOOKUP(Inschrijf_Hernieuwbare_Energie_Totaal[[#This Row],[Product]]&amp;", "&amp;Inschrijf_Hernieuwbare_Energie_Totaal[[#Headers],[D2]],Database_Productkaarten[#All],48,FALSE)*Optimalisatie!J49),Baseline_Backlog!Q362),0))</f>
        <v>0</v>
      </c>
      <c r="R362" s="91">
        <f>(IF(Optimalisatie!C49="Bestaande Situatie",_xlfn.IFNA(IF(Optimalisatie!E49="Categorie_1_LCA_Producten",VLOOKUP(Inschrijf_Hernieuwbare_Energie_Totaal[[#This Row],[Product]],Categorie_1_Producten[#All],29,FALSE)*(Optimalisatie!J49),VLOOKUP(Inschrijf_Hernieuwbare_Energie_Totaal[[#This Row],[Product]]&amp;", "&amp;Inschrijf_Hernieuwbare_Energie_Totaal[[#Headers],[D]],Database_Productkaarten[#All],48,FALSE)*Optimalisatie!J49),Baseline_Backlog!S362),0))</f>
        <v>0</v>
      </c>
      <c r="S362" s="91">
        <f>SUM(Inschrijf_Hernieuwbare_Energie_Totaal[[#This Row],[A1-A3]:[C4]])+Inschrijf_Hernieuwbare_Energie_Totaal[[#This Row],[D]]</f>
        <v>0</v>
      </c>
    </row>
    <row r="363" spans="2:19">
      <c r="B363" s="208">
        <f>Optimalisatie!B50</f>
        <v>0</v>
      </c>
      <c r="C363" s="1">
        <f>Optimalisatie!F50</f>
        <v>0</v>
      </c>
      <c r="D363" s="91">
        <f>(IF(Optimalisatie!C50="Nieuwe Situatie",_xlfn.IFNA(IF(Optimalisatie!E50="Categorie_1_LCA_Producten",VLOOKUP(Inschrijf_Hernieuwbare_Energie_Totaal[[#This Row],[Product]],Categorie_1_Producten[#All],20,FALSE)*(Optimalisatie!J50),VLOOKUP(Inschrijf_Hernieuwbare_Energie_Totaal[[#This Row],[Product]]&amp;", "&amp;Inschrijf_Hernieuwbare_Energie_Totaal[[#Headers],[A1]],Database_Productkaarten[#All],48,FALSE)*Optimalisatie!J50),Baseline_Backlog!D363),0))</f>
        <v>0</v>
      </c>
      <c r="E363" s="91">
        <f>(IF(Optimalisatie!C50="Nieuwe Situatie",_xlfn.IFNA(IF(Optimalisatie!E50="Categorie_1_LCA_Producten",VLOOKUP(Inschrijf_Hernieuwbare_Energie_Totaal[[#This Row],[Product]],Categorie_1_Producten[#All],21,FALSE)*(Optimalisatie!J50),VLOOKUP(Inschrijf_Hernieuwbare_Energie_Totaal[[#This Row],[Product]]&amp;", "&amp;Inschrijf_Hernieuwbare_Energie_Totaal[[#Headers],[A2]],Database_Productkaarten[#All],48,FALSE)*Optimalisatie!J50),Baseline_Backlog!E363),0))</f>
        <v>0</v>
      </c>
      <c r="F363" s="91">
        <f>(IF(Optimalisatie!C50="Nieuwe Situatie",_xlfn.IFNA(IF(Optimalisatie!E50="Categorie_1_LCA_Producten",VLOOKUP(Inschrijf_Hernieuwbare_Energie_Totaal[[#This Row],[Product]],Categorie_1_Producten[#All],22,FALSE)*(Optimalisatie!J50),VLOOKUP(Inschrijf_Hernieuwbare_Energie_Totaal[[#This Row],[Product]]&amp;", "&amp;Inschrijf_Hernieuwbare_Energie_Totaal[[#Headers],[A3]],Database_Productkaarten[#All],48,FALSE)*Optimalisatie!J50),Baseline_Backlog!F363),0))</f>
        <v>0</v>
      </c>
      <c r="G363" s="91">
        <f>(IF(Optimalisatie!C50="Nieuwe Situatie",_xlfn.IFNA(IF(Optimalisatie!E50="Categorie_1_LCA_Producten",VLOOKUP(Inschrijf_Hernieuwbare_Energie_Totaal[[#This Row],[Product]],Categorie_1_Producten[#All],27,FALSE)*(Optimalisatie!J50),VLOOKUP(Inschrijf_Hernieuwbare_Energie_Totaal[[#This Row],[Product]]&amp;", "&amp;Inschrijf_Hernieuwbare_Energie_Totaal[[#Headers],[A1-A3]],Database_Productkaarten[#All],48,FALSE)*Optimalisatie!J50),Baseline_Backlog!G363),0))</f>
        <v>0</v>
      </c>
      <c r="H363" s="91">
        <f>(IF(Optimalisatie!C50="Nieuwe Situatie",_xlfn.IFNA(VLOOKUP(Optimalisatie!V50,Database_Transport[#All],42,FALSE)*(Optimalisatie!R50*Optimalisatie!U50),Baseline_Backlog!H363),0))</f>
        <v>0</v>
      </c>
      <c r="I363" s="91">
        <f>IF(Optimalisatie!C50="Nieuwe situatie",IF(_xlfn.IFNA((VLOOKUP(Optimalisatie!W50,Database_Asfalt_Aanlegset[#All],42,FALSE)*Optimalisatie!J50),0)+_xlfn.IFNA(VLOOKUP(Optimalisatie!X50,Database_Brandstoffen[#All],42,FALSE)*((Optimalisatie!J50/Optimalisatie!Z50)*Optimalisatie!Y50),0)&gt;0,_xlfn.IFNA((VLOOKUP(Optimalisatie!W50,Database_Asfalt_Aanlegset[#All],42,FALSE)*Optimalisatie!J50),0)+_xlfn.IFNA(VLOOKUP(Optimalisatie!X50,Database_Brandstoffen[#All],42,FALSE)*((Optimalisatie!J50/Optimalisatie!Z50)*Optimalisatie!Y50),0),(_xlfn.IFNA(VLOOKUP(Inschrijf_Hernieuwbare_Energie_Totaal[[#This Row],[Product]]&amp;", "&amp;Inschrijf_MKI_Totaal[[#Headers],[A5]],Database_Productkaarten[#All],48,FALSE),0)*Optimalisatie!J50)),0)</f>
        <v>0</v>
      </c>
      <c r="J363" s="91">
        <f>(IF(Optimalisatie!C50="Nieuwe Situatie",_xlfn.IFNA(IF(Optimalisatie!E50="Categorie_1_LCA_Producten",VLOOKUP(Inschrijf_Hernieuwbare_Energie_Totaal[[#This Row],[Product]],Categorie_1_Producten[#All],28,FALSE)*(Optimalisatie!R50),VLOOKUP(Inschrijf_Hernieuwbare_Energie_Totaal[[#This Row],[Product]]&amp;", "&amp;Inschrijf_Hernieuwbare_Energie_Totaal[[#Headers],[B1]],Database_Productkaarten[#All],47,FALSE)*Optimalisatie!J50),Baseline_Backlog!J363),0))</f>
        <v>0</v>
      </c>
      <c r="K363" s="91">
        <f>(IF(Optimalisatie!C50="Nieuwe Situatie",_xlfn.IFNA(SUM(Inschrijf_Hernieuwbare_Energie_Totaal[[#This Row],[A1]:[B1]],Inschrijf_Hernieuwbare_Energie_Totaal[[#This Row],[C1]:[D2]])*Optimalisatie!T50,0),0))</f>
        <v>0</v>
      </c>
      <c r="L363" s="91">
        <f>IF(Optimalisatie!C50="Bestaande situatie",IF(_xlfn.IFNA((VLOOKUP(Optimalisatie!AA50,Database_Asfalt_Verwijderset[#All],42,FALSE)*Optimalisatie!J50),0)+_xlfn.IFNA(VLOOKUP(Optimalisatie!AB50,Database_Brandstoffen[#All],42,FALSE)*((Optimalisatie!J50/Optimalisatie!AD50)*Optimalisatie!AC50),0)&gt;0,_xlfn.IFNA((VLOOKUP(Optimalisatie!AA50,Database_Asfalt_Verwijderset[#All],42,FALSE)*Optimalisatie!J50),0)+_xlfn.IFNA(VLOOKUP(Optimalisatie!AB50,Database_Brandstoffen[#All],42,FALSE)*((Optimalisatie!J50/Optimalisatie!AD50)*Optimalisatie!AC50),0),(_xlfn.IFNA(VLOOKUP(Inschrijf_Hernieuwbare_Energie_Totaal[[#This Row],[Product]]&amp;", "&amp;Inschrijf_MKI_Totaal[[#Headers],[C1]],Database_Productkaarten[#All],48,FALSE),0)*Optimalisatie!J50)),0)</f>
        <v>0</v>
      </c>
      <c r="M363" s="91">
        <f>(IF(Optimalisatie!C50="Bestaande Situatie",_xlfn.IFNA(VLOOKUP(Optimalisatie!AF50,Database_Transport[#All],42,FALSE)*(Optimalisatie!R50*Optimalisatie!AE50),Baseline_Backlog!M363),0))</f>
        <v>0</v>
      </c>
      <c r="N363" s="91">
        <f>(IF(Optimalisatie!C50="Bestaande Situatie",_xlfn.IFNA(VLOOKUP(Optimalisatie!AG50,Database_Asfalt_Verwerkingsset[#All],42,FALSE)*(Optimalisatie!J50/VLOOKUP(Optimalisatie!AG50,Database_Asfalt_Verwerkingsset[#All],42,FALSE)),Baseline_Backlog!N363),0))</f>
        <v>0</v>
      </c>
      <c r="O363" s="91">
        <f>(IF(Optimalisatie!C50="Bestaande Situatie",_xlfn.IFNA(VLOOKUP(Inschrijf_Hernieuwbare_Energie_Totaal[[#This Row],[Product]]&amp;", "&amp;Inschrijf_MKI_Totaal[[#Headers],[C4]],Database_Productkaarten[#All],48,FALSE)*Optimalisatie!J50,Baseline_Backlog!O363),0))</f>
        <v>0</v>
      </c>
      <c r="P363" s="91">
        <f>(IF(Optimalisatie!C50="Bestaande Situatie",_xlfn.IFNA(IF(Optimalisatie!E50="Categorie_1_LCA_Producten",VLOOKUP(Inschrijf_Hernieuwbare_Energie_Totaal[[#This Row],[Product]],Categorie_1_Producten[#All],24,FALSE)*(Optimalisatie!J50),VLOOKUP(Inschrijf_Hernieuwbare_Energie_Totaal[[#This Row],[Product]]&amp;", "&amp;Inschrijf_Hernieuwbare_Energie_Totaal[[#Headers],[D1]],Database_Productkaarten[#All],48,FALSE)*Optimalisatie!J50),Baseline_Backlog!P363),0))</f>
        <v>0</v>
      </c>
      <c r="Q363" s="91">
        <f>(IF(Optimalisatie!C50="Bestaande Situatie",_xlfn.IFNA(IF(Optimalisatie!E50="Categorie_1_LCA_Producten",VLOOKUP(Inschrijf_Hernieuwbare_Energie_Totaal[[#This Row],[Product]],Categorie_1_Producten[#All],25,FALSE)*(Optimalisatie!J50),VLOOKUP(Inschrijf_Hernieuwbare_Energie_Totaal[[#This Row],[Product]]&amp;", "&amp;Inschrijf_Hernieuwbare_Energie_Totaal[[#Headers],[D2]],Database_Productkaarten[#All],48,FALSE)*Optimalisatie!J50),Baseline_Backlog!Q363),0))</f>
        <v>0</v>
      </c>
      <c r="R363" s="91">
        <f>(IF(Optimalisatie!C50="Bestaande Situatie",_xlfn.IFNA(IF(Optimalisatie!E50="Categorie_1_LCA_Producten",VLOOKUP(Inschrijf_Hernieuwbare_Energie_Totaal[[#This Row],[Product]],Categorie_1_Producten[#All],29,FALSE)*(Optimalisatie!J50),VLOOKUP(Inschrijf_Hernieuwbare_Energie_Totaal[[#This Row],[Product]]&amp;", "&amp;Inschrijf_Hernieuwbare_Energie_Totaal[[#Headers],[D]],Database_Productkaarten[#All],48,FALSE)*Optimalisatie!J50),Baseline_Backlog!S363),0))</f>
        <v>0</v>
      </c>
      <c r="S363" s="91">
        <f>SUM(Inschrijf_Hernieuwbare_Energie_Totaal[[#This Row],[A1-A3]:[C4]])+Inschrijf_Hernieuwbare_Energie_Totaal[[#This Row],[D]]</f>
        <v>0</v>
      </c>
    </row>
    <row r="364" spans="2:19">
      <c r="B364" s="208">
        <f>Optimalisatie!B51</f>
        <v>0</v>
      </c>
      <c r="C364" s="1">
        <f>Optimalisatie!F51</f>
        <v>0</v>
      </c>
      <c r="D364" s="91">
        <f>(IF(Optimalisatie!C51="Nieuwe Situatie",_xlfn.IFNA(IF(Optimalisatie!E51="Categorie_1_LCA_Producten",VLOOKUP(Inschrijf_Hernieuwbare_Energie_Totaal[[#This Row],[Product]],Categorie_1_Producten[#All],20,FALSE)*(Optimalisatie!J51),VLOOKUP(Inschrijf_Hernieuwbare_Energie_Totaal[[#This Row],[Product]]&amp;", "&amp;Inschrijf_Hernieuwbare_Energie_Totaal[[#Headers],[A1]],Database_Productkaarten[#All],48,FALSE)*Optimalisatie!J51),Baseline_Backlog!D364),0))</f>
        <v>0</v>
      </c>
      <c r="E364" s="91">
        <f>(IF(Optimalisatie!C51="Nieuwe Situatie",_xlfn.IFNA(IF(Optimalisatie!E51="Categorie_1_LCA_Producten",VLOOKUP(Inschrijf_Hernieuwbare_Energie_Totaal[[#This Row],[Product]],Categorie_1_Producten[#All],21,FALSE)*(Optimalisatie!J51),VLOOKUP(Inschrijf_Hernieuwbare_Energie_Totaal[[#This Row],[Product]]&amp;", "&amp;Inschrijf_Hernieuwbare_Energie_Totaal[[#Headers],[A2]],Database_Productkaarten[#All],48,FALSE)*Optimalisatie!J51),Baseline_Backlog!E364),0))</f>
        <v>0</v>
      </c>
      <c r="F364" s="91">
        <f>(IF(Optimalisatie!C51="Nieuwe Situatie",_xlfn.IFNA(IF(Optimalisatie!E51="Categorie_1_LCA_Producten",VLOOKUP(Inschrijf_Hernieuwbare_Energie_Totaal[[#This Row],[Product]],Categorie_1_Producten[#All],22,FALSE)*(Optimalisatie!J51),VLOOKUP(Inschrijf_Hernieuwbare_Energie_Totaal[[#This Row],[Product]]&amp;", "&amp;Inschrijf_Hernieuwbare_Energie_Totaal[[#Headers],[A3]],Database_Productkaarten[#All],48,FALSE)*Optimalisatie!J51),Baseline_Backlog!F364),0))</f>
        <v>0</v>
      </c>
      <c r="G364" s="91">
        <f>(IF(Optimalisatie!C51="Nieuwe Situatie",_xlfn.IFNA(IF(Optimalisatie!E51="Categorie_1_LCA_Producten",VLOOKUP(Inschrijf_Hernieuwbare_Energie_Totaal[[#This Row],[Product]],Categorie_1_Producten[#All],27,FALSE)*(Optimalisatie!J51),VLOOKUP(Inschrijf_Hernieuwbare_Energie_Totaal[[#This Row],[Product]]&amp;", "&amp;Inschrijf_Hernieuwbare_Energie_Totaal[[#Headers],[A1-A3]],Database_Productkaarten[#All],48,FALSE)*Optimalisatie!J51),Baseline_Backlog!G364),0))</f>
        <v>0</v>
      </c>
      <c r="H364" s="91">
        <f>(IF(Optimalisatie!C51="Nieuwe Situatie",_xlfn.IFNA(VLOOKUP(Optimalisatie!V51,Database_Transport[#All],42,FALSE)*(Optimalisatie!R51*Optimalisatie!U51),Baseline_Backlog!H364),0))</f>
        <v>0</v>
      </c>
      <c r="I364" s="91">
        <f>IF(Optimalisatie!C51="Nieuwe situatie",IF(_xlfn.IFNA((VLOOKUP(Optimalisatie!W51,Database_Asfalt_Aanlegset[#All],42,FALSE)*Optimalisatie!J51),0)+_xlfn.IFNA(VLOOKUP(Optimalisatie!X51,Database_Brandstoffen[#All],42,FALSE)*((Optimalisatie!J51/Optimalisatie!Z51)*Optimalisatie!Y51),0)&gt;0,_xlfn.IFNA((VLOOKUP(Optimalisatie!W51,Database_Asfalt_Aanlegset[#All],42,FALSE)*Optimalisatie!J51),0)+_xlfn.IFNA(VLOOKUP(Optimalisatie!X51,Database_Brandstoffen[#All],42,FALSE)*((Optimalisatie!J51/Optimalisatie!Z51)*Optimalisatie!Y51),0),(_xlfn.IFNA(VLOOKUP(Inschrijf_Hernieuwbare_Energie_Totaal[[#This Row],[Product]]&amp;", "&amp;Inschrijf_MKI_Totaal[[#Headers],[A5]],Database_Productkaarten[#All],48,FALSE),0)*Optimalisatie!J51)),0)</f>
        <v>0</v>
      </c>
      <c r="J364" s="91">
        <f>(IF(Optimalisatie!C51="Nieuwe Situatie",_xlfn.IFNA(IF(Optimalisatie!E51="Categorie_1_LCA_Producten",VLOOKUP(Inschrijf_Hernieuwbare_Energie_Totaal[[#This Row],[Product]],Categorie_1_Producten[#All],28,FALSE)*(Optimalisatie!R51),VLOOKUP(Inschrijf_Hernieuwbare_Energie_Totaal[[#This Row],[Product]]&amp;", "&amp;Inschrijf_Hernieuwbare_Energie_Totaal[[#Headers],[B1]],Database_Productkaarten[#All],47,FALSE)*Optimalisatie!J51),Baseline_Backlog!J364),0))</f>
        <v>0</v>
      </c>
      <c r="K364" s="91">
        <f>(IF(Optimalisatie!C51="Nieuwe Situatie",_xlfn.IFNA(SUM(Inschrijf_Hernieuwbare_Energie_Totaal[[#This Row],[A1]:[B1]],Inschrijf_Hernieuwbare_Energie_Totaal[[#This Row],[C1]:[D2]])*Optimalisatie!T51,0),0))</f>
        <v>0</v>
      </c>
      <c r="L364" s="91">
        <f>IF(Optimalisatie!C51="Bestaande situatie",IF(_xlfn.IFNA((VLOOKUP(Optimalisatie!AA51,Database_Asfalt_Verwijderset[#All],42,FALSE)*Optimalisatie!J51),0)+_xlfn.IFNA(VLOOKUP(Optimalisatie!AB51,Database_Brandstoffen[#All],42,FALSE)*((Optimalisatie!J51/Optimalisatie!AD51)*Optimalisatie!AC51),0)&gt;0,_xlfn.IFNA((VLOOKUP(Optimalisatie!AA51,Database_Asfalt_Verwijderset[#All],42,FALSE)*Optimalisatie!J51),0)+_xlfn.IFNA(VLOOKUP(Optimalisatie!AB51,Database_Brandstoffen[#All],42,FALSE)*((Optimalisatie!J51/Optimalisatie!AD51)*Optimalisatie!AC51),0),(_xlfn.IFNA(VLOOKUP(Inschrijf_Hernieuwbare_Energie_Totaal[[#This Row],[Product]]&amp;", "&amp;Inschrijf_MKI_Totaal[[#Headers],[C1]],Database_Productkaarten[#All],48,FALSE),0)*Optimalisatie!J51)),0)</f>
        <v>0</v>
      </c>
      <c r="M364" s="91">
        <f>(IF(Optimalisatie!C51="Bestaande Situatie",_xlfn.IFNA(VLOOKUP(Optimalisatie!AF51,Database_Transport[#All],42,FALSE)*(Optimalisatie!R51*Optimalisatie!AE51),Baseline_Backlog!M364),0))</f>
        <v>0</v>
      </c>
      <c r="N364" s="91">
        <f>(IF(Optimalisatie!C51="Bestaande Situatie",_xlfn.IFNA(VLOOKUP(Optimalisatie!AG51,Database_Asfalt_Verwerkingsset[#All],42,FALSE)*(Optimalisatie!J51/VLOOKUP(Optimalisatie!AG51,Database_Asfalt_Verwerkingsset[#All],42,FALSE)),Baseline_Backlog!N364),0))</f>
        <v>0</v>
      </c>
      <c r="O364" s="91">
        <f>(IF(Optimalisatie!C51="Bestaande Situatie",_xlfn.IFNA(VLOOKUP(Inschrijf_Hernieuwbare_Energie_Totaal[[#This Row],[Product]]&amp;", "&amp;Inschrijf_MKI_Totaal[[#Headers],[C4]],Database_Productkaarten[#All],48,FALSE)*Optimalisatie!J51,Baseline_Backlog!O364),0))</f>
        <v>0</v>
      </c>
      <c r="P364" s="91">
        <f>(IF(Optimalisatie!C51="Bestaande Situatie",_xlfn.IFNA(IF(Optimalisatie!E51="Categorie_1_LCA_Producten",VLOOKUP(Inschrijf_Hernieuwbare_Energie_Totaal[[#This Row],[Product]],Categorie_1_Producten[#All],24,FALSE)*(Optimalisatie!J51),VLOOKUP(Inschrijf_Hernieuwbare_Energie_Totaal[[#This Row],[Product]]&amp;", "&amp;Inschrijf_Hernieuwbare_Energie_Totaal[[#Headers],[D1]],Database_Productkaarten[#All],48,FALSE)*Optimalisatie!J51),Baseline_Backlog!P364),0))</f>
        <v>0</v>
      </c>
      <c r="Q364" s="91">
        <f>(IF(Optimalisatie!C51="Bestaande Situatie",_xlfn.IFNA(IF(Optimalisatie!E51="Categorie_1_LCA_Producten",VLOOKUP(Inschrijf_Hernieuwbare_Energie_Totaal[[#This Row],[Product]],Categorie_1_Producten[#All],25,FALSE)*(Optimalisatie!J51),VLOOKUP(Inschrijf_Hernieuwbare_Energie_Totaal[[#This Row],[Product]]&amp;", "&amp;Inschrijf_Hernieuwbare_Energie_Totaal[[#Headers],[D2]],Database_Productkaarten[#All],48,FALSE)*Optimalisatie!J51),Baseline_Backlog!Q364),0))</f>
        <v>0</v>
      </c>
      <c r="R364" s="91">
        <f>(IF(Optimalisatie!C51="Bestaande Situatie",_xlfn.IFNA(IF(Optimalisatie!E51="Categorie_1_LCA_Producten",VLOOKUP(Inschrijf_Hernieuwbare_Energie_Totaal[[#This Row],[Product]],Categorie_1_Producten[#All],29,FALSE)*(Optimalisatie!J51),VLOOKUP(Inschrijf_Hernieuwbare_Energie_Totaal[[#This Row],[Product]]&amp;", "&amp;Inschrijf_Hernieuwbare_Energie_Totaal[[#Headers],[D]],Database_Productkaarten[#All],48,FALSE)*Optimalisatie!J51),Baseline_Backlog!S364),0))</f>
        <v>0</v>
      </c>
      <c r="S364" s="91">
        <f>SUM(Inschrijf_Hernieuwbare_Energie_Totaal[[#This Row],[A1-A3]:[C4]])+Inschrijf_Hernieuwbare_Energie_Totaal[[#This Row],[D]]</f>
        <v>0</v>
      </c>
    </row>
    <row r="365" spans="2:19">
      <c r="B365" s="208">
        <f>Optimalisatie!B52</f>
        <v>0</v>
      </c>
      <c r="C365" s="1">
        <f>Optimalisatie!F52</f>
        <v>0</v>
      </c>
      <c r="D365" s="91">
        <f>(IF(Optimalisatie!C52="Nieuwe Situatie",_xlfn.IFNA(IF(Optimalisatie!E52="Categorie_1_LCA_Producten",VLOOKUP(Inschrijf_Hernieuwbare_Energie_Totaal[[#This Row],[Product]],Categorie_1_Producten[#All],20,FALSE)*(Optimalisatie!J52),VLOOKUP(Inschrijf_Hernieuwbare_Energie_Totaal[[#This Row],[Product]]&amp;", "&amp;Inschrijf_Hernieuwbare_Energie_Totaal[[#Headers],[A1]],Database_Productkaarten[#All],48,FALSE)*Optimalisatie!J52),Baseline_Backlog!D365),0))</f>
        <v>0</v>
      </c>
      <c r="E365" s="91">
        <f>(IF(Optimalisatie!C52="Nieuwe Situatie",_xlfn.IFNA(IF(Optimalisatie!E52="Categorie_1_LCA_Producten",VLOOKUP(Inschrijf_Hernieuwbare_Energie_Totaal[[#This Row],[Product]],Categorie_1_Producten[#All],21,FALSE)*(Optimalisatie!J52),VLOOKUP(Inschrijf_Hernieuwbare_Energie_Totaal[[#This Row],[Product]]&amp;", "&amp;Inschrijf_Hernieuwbare_Energie_Totaal[[#Headers],[A2]],Database_Productkaarten[#All],48,FALSE)*Optimalisatie!J52),Baseline_Backlog!E365),0))</f>
        <v>0</v>
      </c>
      <c r="F365" s="91">
        <f>(IF(Optimalisatie!C52="Nieuwe Situatie",_xlfn.IFNA(IF(Optimalisatie!E52="Categorie_1_LCA_Producten",VLOOKUP(Inschrijf_Hernieuwbare_Energie_Totaal[[#This Row],[Product]],Categorie_1_Producten[#All],22,FALSE)*(Optimalisatie!J52),VLOOKUP(Inschrijf_Hernieuwbare_Energie_Totaal[[#This Row],[Product]]&amp;", "&amp;Inschrijf_Hernieuwbare_Energie_Totaal[[#Headers],[A3]],Database_Productkaarten[#All],48,FALSE)*Optimalisatie!J52),Baseline_Backlog!F365),0))</f>
        <v>0</v>
      </c>
      <c r="G365" s="91">
        <f>(IF(Optimalisatie!C52="Nieuwe Situatie",_xlfn.IFNA(IF(Optimalisatie!E52="Categorie_1_LCA_Producten",VLOOKUP(Inschrijf_Hernieuwbare_Energie_Totaal[[#This Row],[Product]],Categorie_1_Producten[#All],27,FALSE)*(Optimalisatie!J52),VLOOKUP(Inschrijf_Hernieuwbare_Energie_Totaal[[#This Row],[Product]]&amp;", "&amp;Inschrijf_Hernieuwbare_Energie_Totaal[[#Headers],[A1-A3]],Database_Productkaarten[#All],48,FALSE)*Optimalisatie!J52),Baseline_Backlog!G365),0))</f>
        <v>0</v>
      </c>
      <c r="H365" s="91">
        <f>(IF(Optimalisatie!C52="Nieuwe Situatie",_xlfn.IFNA(VLOOKUP(Optimalisatie!V52,Database_Transport[#All],42,FALSE)*(Optimalisatie!R52*Optimalisatie!U52),Baseline_Backlog!H365),0))</f>
        <v>0</v>
      </c>
      <c r="I365" s="91">
        <f>IF(Optimalisatie!C52="Nieuwe situatie",IF(_xlfn.IFNA((VLOOKUP(Optimalisatie!W52,Database_Asfalt_Aanlegset[#All],42,FALSE)*Optimalisatie!J52),0)+_xlfn.IFNA(VLOOKUP(Optimalisatie!X52,Database_Brandstoffen[#All],42,FALSE)*((Optimalisatie!J52/Optimalisatie!Z52)*Optimalisatie!Y52),0)&gt;0,_xlfn.IFNA((VLOOKUP(Optimalisatie!W52,Database_Asfalt_Aanlegset[#All],42,FALSE)*Optimalisatie!J52),0)+_xlfn.IFNA(VLOOKUP(Optimalisatie!X52,Database_Brandstoffen[#All],42,FALSE)*((Optimalisatie!J52/Optimalisatie!Z52)*Optimalisatie!Y52),0),(_xlfn.IFNA(VLOOKUP(Inschrijf_Hernieuwbare_Energie_Totaal[[#This Row],[Product]]&amp;", "&amp;Inschrijf_MKI_Totaal[[#Headers],[A5]],Database_Productkaarten[#All],48,FALSE),0)*Optimalisatie!J52)),0)</f>
        <v>0</v>
      </c>
      <c r="J365" s="91">
        <f>(IF(Optimalisatie!C52="Nieuwe Situatie",_xlfn.IFNA(IF(Optimalisatie!E52="Categorie_1_LCA_Producten",VLOOKUP(Inschrijf_Hernieuwbare_Energie_Totaal[[#This Row],[Product]],Categorie_1_Producten[#All],28,FALSE)*(Optimalisatie!R52),VLOOKUP(Inschrijf_Hernieuwbare_Energie_Totaal[[#This Row],[Product]]&amp;", "&amp;Inschrijf_Hernieuwbare_Energie_Totaal[[#Headers],[B1]],Database_Productkaarten[#All],47,FALSE)*Optimalisatie!J52),Baseline_Backlog!J365),0))</f>
        <v>0</v>
      </c>
      <c r="K365" s="91">
        <f>(IF(Optimalisatie!C52="Nieuwe Situatie",_xlfn.IFNA(SUM(Inschrijf_Hernieuwbare_Energie_Totaal[[#This Row],[A1]:[B1]],Inschrijf_Hernieuwbare_Energie_Totaal[[#This Row],[C1]:[D2]])*Optimalisatie!T52,0),0))</f>
        <v>0</v>
      </c>
      <c r="L365" s="91">
        <f>IF(Optimalisatie!C52="Bestaande situatie",IF(_xlfn.IFNA((VLOOKUP(Optimalisatie!AA52,Database_Asfalt_Verwijderset[#All],42,FALSE)*Optimalisatie!J52),0)+_xlfn.IFNA(VLOOKUP(Optimalisatie!AB52,Database_Brandstoffen[#All],42,FALSE)*((Optimalisatie!J52/Optimalisatie!AD52)*Optimalisatie!AC52),0)&gt;0,_xlfn.IFNA((VLOOKUP(Optimalisatie!AA52,Database_Asfalt_Verwijderset[#All],42,FALSE)*Optimalisatie!J52),0)+_xlfn.IFNA(VLOOKUP(Optimalisatie!AB52,Database_Brandstoffen[#All],42,FALSE)*((Optimalisatie!J52/Optimalisatie!AD52)*Optimalisatie!AC52),0),(_xlfn.IFNA(VLOOKUP(Inschrijf_Hernieuwbare_Energie_Totaal[[#This Row],[Product]]&amp;", "&amp;Inschrijf_MKI_Totaal[[#Headers],[C1]],Database_Productkaarten[#All],48,FALSE),0)*Optimalisatie!J52)),0)</f>
        <v>0</v>
      </c>
      <c r="M365" s="91">
        <f>(IF(Optimalisatie!C52="Bestaande Situatie",_xlfn.IFNA(VLOOKUP(Optimalisatie!AF52,Database_Transport[#All],42,FALSE)*(Optimalisatie!R52*Optimalisatie!AE52),Baseline_Backlog!M365),0))</f>
        <v>0</v>
      </c>
      <c r="N365" s="91">
        <f>(IF(Optimalisatie!C52="Bestaande Situatie",_xlfn.IFNA(VLOOKUP(Optimalisatie!AG52,Database_Asfalt_Verwerkingsset[#All],42,FALSE)*(Optimalisatie!J52/VLOOKUP(Optimalisatie!AG52,Database_Asfalt_Verwerkingsset[#All],42,FALSE)),Baseline_Backlog!N365),0))</f>
        <v>0</v>
      </c>
      <c r="O365" s="91">
        <f>(IF(Optimalisatie!C52="Bestaande Situatie",_xlfn.IFNA(VLOOKUP(Inschrijf_Hernieuwbare_Energie_Totaal[[#This Row],[Product]]&amp;", "&amp;Inschrijf_MKI_Totaal[[#Headers],[C4]],Database_Productkaarten[#All],48,FALSE)*Optimalisatie!J52,Baseline_Backlog!O365),0))</f>
        <v>0</v>
      </c>
      <c r="P365" s="91">
        <f>(IF(Optimalisatie!C52="Bestaande Situatie",_xlfn.IFNA(IF(Optimalisatie!E52="Categorie_1_LCA_Producten",VLOOKUP(Inschrijf_Hernieuwbare_Energie_Totaal[[#This Row],[Product]],Categorie_1_Producten[#All],24,FALSE)*(Optimalisatie!J52),VLOOKUP(Inschrijf_Hernieuwbare_Energie_Totaal[[#This Row],[Product]]&amp;", "&amp;Inschrijf_Hernieuwbare_Energie_Totaal[[#Headers],[D1]],Database_Productkaarten[#All],48,FALSE)*Optimalisatie!J52),Baseline_Backlog!P365),0))</f>
        <v>0</v>
      </c>
      <c r="Q365" s="91">
        <f>(IF(Optimalisatie!C52="Bestaande Situatie",_xlfn.IFNA(IF(Optimalisatie!E52="Categorie_1_LCA_Producten",VLOOKUP(Inschrijf_Hernieuwbare_Energie_Totaal[[#This Row],[Product]],Categorie_1_Producten[#All],25,FALSE)*(Optimalisatie!J52),VLOOKUP(Inschrijf_Hernieuwbare_Energie_Totaal[[#This Row],[Product]]&amp;", "&amp;Inschrijf_Hernieuwbare_Energie_Totaal[[#Headers],[D2]],Database_Productkaarten[#All],48,FALSE)*Optimalisatie!J52),Baseline_Backlog!Q365),0))</f>
        <v>0</v>
      </c>
      <c r="R365" s="91">
        <f>(IF(Optimalisatie!C52="Bestaande Situatie",_xlfn.IFNA(IF(Optimalisatie!E52="Categorie_1_LCA_Producten",VLOOKUP(Inschrijf_Hernieuwbare_Energie_Totaal[[#This Row],[Product]],Categorie_1_Producten[#All],29,FALSE)*(Optimalisatie!J52),VLOOKUP(Inschrijf_Hernieuwbare_Energie_Totaal[[#This Row],[Product]]&amp;", "&amp;Inschrijf_Hernieuwbare_Energie_Totaal[[#Headers],[D]],Database_Productkaarten[#All],48,FALSE)*Optimalisatie!J52),Baseline_Backlog!S365),0))</f>
        <v>0</v>
      </c>
      <c r="S365" s="91">
        <f>SUM(Inschrijf_Hernieuwbare_Energie_Totaal[[#This Row],[A1-A3]:[C4]])+Inschrijf_Hernieuwbare_Energie_Totaal[[#This Row],[D]]</f>
        <v>0</v>
      </c>
    </row>
    <row r="366" spans="2:19">
      <c r="B366" s="208">
        <f>Optimalisatie!B53</f>
        <v>0</v>
      </c>
      <c r="C366" s="1">
        <f>Optimalisatie!F53</f>
        <v>0</v>
      </c>
      <c r="D366" s="91">
        <f>(IF(Optimalisatie!C53="Nieuwe Situatie",_xlfn.IFNA(IF(Optimalisatie!E53="Categorie_1_LCA_Producten",VLOOKUP(Inschrijf_Hernieuwbare_Energie_Totaal[[#This Row],[Product]],Categorie_1_Producten[#All],20,FALSE)*(Optimalisatie!J53),VLOOKUP(Inschrijf_Hernieuwbare_Energie_Totaal[[#This Row],[Product]]&amp;", "&amp;Inschrijf_Hernieuwbare_Energie_Totaal[[#Headers],[A1]],Database_Productkaarten[#All],48,FALSE)*Optimalisatie!J53),Baseline_Backlog!D366),0))</f>
        <v>0</v>
      </c>
      <c r="E366" s="91">
        <f>(IF(Optimalisatie!C53="Nieuwe Situatie",_xlfn.IFNA(IF(Optimalisatie!E53="Categorie_1_LCA_Producten",VLOOKUP(Inschrijf_Hernieuwbare_Energie_Totaal[[#This Row],[Product]],Categorie_1_Producten[#All],21,FALSE)*(Optimalisatie!J53),VLOOKUP(Inschrijf_Hernieuwbare_Energie_Totaal[[#This Row],[Product]]&amp;", "&amp;Inschrijf_Hernieuwbare_Energie_Totaal[[#Headers],[A2]],Database_Productkaarten[#All],48,FALSE)*Optimalisatie!J53),Baseline_Backlog!E366),0))</f>
        <v>0</v>
      </c>
      <c r="F366" s="91">
        <f>(IF(Optimalisatie!C53="Nieuwe Situatie",_xlfn.IFNA(IF(Optimalisatie!E53="Categorie_1_LCA_Producten",VLOOKUP(Inschrijf_Hernieuwbare_Energie_Totaal[[#This Row],[Product]],Categorie_1_Producten[#All],22,FALSE)*(Optimalisatie!J53),VLOOKUP(Inschrijf_Hernieuwbare_Energie_Totaal[[#This Row],[Product]]&amp;", "&amp;Inschrijf_Hernieuwbare_Energie_Totaal[[#Headers],[A3]],Database_Productkaarten[#All],48,FALSE)*Optimalisatie!J53),Baseline_Backlog!F366),0))</f>
        <v>0</v>
      </c>
      <c r="G366" s="91">
        <f>(IF(Optimalisatie!C53="Nieuwe Situatie",_xlfn.IFNA(IF(Optimalisatie!E53="Categorie_1_LCA_Producten",VLOOKUP(Inschrijf_Hernieuwbare_Energie_Totaal[[#This Row],[Product]],Categorie_1_Producten[#All],27,FALSE)*(Optimalisatie!J53),VLOOKUP(Inschrijf_Hernieuwbare_Energie_Totaal[[#This Row],[Product]]&amp;", "&amp;Inschrijf_Hernieuwbare_Energie_Totaal[[#Headers],[A1-A3]],Database_Productkaarten[#All],48,FALSE)*Optimalisatie!J53),Baseline_Backlog!G366),0))</f>
        <v>0</v>
      </c>
      <c r="H366" s="91">
        <f>(IF(Optimalisatie!C53="Nieuwe Situatie",_xlfn.IFNA(VLOOKUP(Optimalisatie!V53,Database_Transport[#All],42,FALSE)*(Optimalisatie!R53*Optimalisatie!U53),Baseline_Backlog!H366),0))</f>
        <v>0</v>
      </c>
      <c r="I366" s="91">
        <f>IF(Optimalisatie!C53="Nieuwe situatie",IF(_xlfn.IFNA((VLOOKUP(Optimalisatie!W53,Database_Asfalt_Aanlegset[#All],42,FALSE)*Optimalisatie!J53),0)+_xlfn.IFNA(VLOOKUP(Optimalisatie!X53,Database_Brandstoffen[#All],42,FALSE)*((Optimalisatie!J53/Optimalisatie!Z53)*Optimalisatie!Y53),0)&gt;0,_xlfn.IFNA((VLOOKUP(Optimalisatie!W53,Database_Asfalt_Aanlegset[#All],42,FALSE)*Optimalisatie!J53),0)+_xlfn.IFNA(VLOOKUP(Optimalisatie!X53,Database_Brandstoffen[#All],42,FALSE)*((Optimalisatie!J53/Optimalisatie!Z53)*Optimalisatie!Y53),0),(_xlfn.IFNA(VLOOKUP(Inschrijf_Hernieuwbare_Energie_Totaal[[#This Row],[Product]]&amp;", "&amp;Inschrijf_MKI_Totaal[[#Headers],[A5]],Database_Productkaarten[#All],48,FALSE),0)*Optimalisatie!J53)),0)</f>
        <v>0</v>
      </c>
      <c r="J366" s="91">
        <f>(IF(Optimalisatie!C53="Nieuwe Situatie",_xlfn.IFNA(IF(Optimalisatie!E53="Categorie_1_LCA_Producten",VLOOKUP(Inschrijf_Hernieuwbare_Energie_Totaal[[#This Row],[Product]],Categorie_1_Producten[#All],28,FALSE)*(Optimalisatie!R53),VLOOKUP(Inschrijf_Hernieuwbare_Energie_Totaal[[#This Row],[Product]]&amp;", "&amp;Inschrijf_Hernieuwbare_Energie_Totaal[[#Headers],[B1]],Database_Productkaarten[#All],47,FALSE)*Optimalisatie!J53),Baseline_Backlog!J366),0))</f>
        <v>0</v>
      </c>
      <c r="K366" s="91">
        <f>(IF(Optimalisatie!C53="Nieuwe Situatie",_xlfn.IFNA(SUM(Inschrijf_Hernieuwbare_Energie_Totaal[[#This Row],[A1]:[B1]],Inschrijf_Hernieuwbare_Energie_Totaal[[#This Row],[C1]:[D2]])*Optimalisatie!T53,0),0))</f>
        <v>0</v>
      </c>
      <c r="L366" s="91">
        <f>IF(Optimalisatie!C53="Bestaande situatie",IF(_xlfn.IFNA((VLOOKUP(Optimalisatie!AA53,Database_Asfalt_Verwijderset[#All],42,FALSE)*Optimalisatie!J53),0)+_xlfn.IFNA(VLOOKUP(Optimalisatie!AB53,Database_Brandstoffen[#All],42,FALSE)*((Optimalisatie!J53/Optimalisatie!AD53)*Optimalisatie!AC53),0)&gt;0,_xlfn.IFNA((VLOOKUP(Optimalisatie!AA53,Database_Asfalt_Verwijderset[#All],42,FALSE)*Optimalisatie!J53),0)+_xlfn.IFNA(VLOOKUP(Optimalisatie!AB53,Database_Brandstoffen[#All],42,FALSE)*((Optimalisatie!J53/Optimalisatie!AD53)*Optimalisatie!AC53),0),(_xlfn.IFNA(VLOOKUP(Inschrijf_Hernieuwbare_Energie_Totaal[[#This Row],[Product]]&amp;", "&amp;Inschrijf_MKI_Totaal[[#Headers],[C1]],Database_Productkaarten[#All],48,FALSE),0)*Optimalisatie!J53)),0)</f>
        <v>0</v>
      </c>
      <c r="M366" s="91">
        <f>(IF(Optimalisatie!C53="Bestaande Situatie",_xlfn.IFNA(VLOOKUP(Optimalisatie!AF53,Database_Transport[#All],42,FALSE)*(Optimalisatie!R53*Optimalisatie!AE53),Baseline_Backlog!M366),0))</f>
        <v>0</v>
      </c>
      <c r="N366" s="91">
        <f>(IF(Optimalisatie!C53="Bestaande Situatie",_xlfn.IFNA(VLOOKUP(Optimalisatie!AG53,Database_Asfalt_Verwerkingsset[#All],42,FALSE)*(Optimalisatie!J53/VLOOKUP(Optimalisatie!AG53,Database_Asfalt_Verwerkingsset[#All],42,FALSE)),Baseline_Backlog!N366),0))</f>
        <v>0</v>
      </c>
      <c r="O366" s="91">
        <f>(IF(Optimalisatie!C53="Bestaande Situatie",_xlfn.IFNA(VLOOKUP(Inschrijf_Hernieuwbare_Energie_Totaal[[#This Row],[Product]]&amp;", "&amp;Inschrijf_MKI_Totaal[[#Headers],[C4]],Database_Productkaarten[#All],48,FALSE)*Optimalisatie!J53,Baseline_Backlog!O366),0))</f>
        <v>0</v>
      </c>
      <c r="P366" s="91">
        <f>(IF(Optimalisatie!C53="Bestaande Situatie",_xlfn.IFNA(IF(Optimalisatie!E53="Categorie_1_LCA_Producten",VLOOKUP(Inschrijf_Hernieuwbare_Energie_Totaal[[#This Row],[Product]],Categorie_1_Producten[#All],24,FALSE)*(Optimalisatie!J53),VLOOKUP(Inschrijf_Hernieuwbare_Energie_Totaal[[#This Row],[Product]]&amp;", "&amp;Inschrijf_Hernieuwbare_Energie_Totaal[[#Headers],[D1]],Database_Productkaarten[#All],48,FALSE)*Optimalisatie!J53),Baseline_Backlog!P366),0))</f>
        <v>0</v>
      </c>
      <c r="Q366" s="91">
        <f>(IF(Optimalisatie!C53="Bestaande Situatie",_xlfn.IFNA(IF(Optimalisatie!E53="Categorie_1_LCA_Producten",VLOOKUP(Inschrijf_Hernieuwbare_Energie_Totaal[[#This Row],[Product]],Categorie_1_Producten[#All],25,FALSE)*(Optimalisatie!J53),VLOOKUP(Inschrijf_Hernieuwbare_Energie_Totaal[[#This Row],[Product]]&amp;", "&amp;Inschrijf_Hernieuwbare_Energie_Totaal[[#Headers],[D2]],Database_Productkaarten[#All],48,FALSE)*Optimalisatie!J53),Baseline_Backlog!Q366),0))</f>
        <v>0</v>
      </c>
      <c r="R366" s="91">
        <f>(IF(Optimalisatie!C53="Bestaande Situatie",_xlfn.IFNA(IF(Optimalisatie!E53="Categorie_1_LCA_Producten",VLOOKUP(Inschrijf_Hernieuwbare_Energie_Totaal[[#This Row],[Product]],Categorie_1_Producten[#All],29,FALSE)*(Optimalisatie!J53),VLOOKUP(Inschrijf_Hernieuwbare_Energie_Totaal[[#This Row],[Product]]&amp;", "&amp;Inschrijf_Hernieuwbare_Energie_Totaal[[#Headers],[D]],Database_Productkaarten[#All],48,FALSE)*Optimalisatie!J53),Baseline_Backlog!S366),0))</f>
        <v>0</v>
      </c>
      <c r="S366" s="91">
        <f>SUM(Inschrijf_Hernieuwbare_Energie_Totaal[[#This Row],[A1-A3]:[C4]])+Inschrijf_Hernieuwbare_Energie_Totaal[[#This Row],[D]]</f>
        <v>0</v>
      </c>
    </row>
    <row r="367" spans="2:19">
      <c r="B367" s="208">
        <f>Optimalisatie!B54</f>
        <v>0</v>
      </c>
      <c r="C367" s="1">
        <f>Optimalisatie!F54</f>
        <v>0</v>
      </c>
      <c r="D367" s="91">
        <f>(IF(Optimalisatie!C54="Nieuwe Situatie",_xlfn.IFNA(IF(Optimalisatie!E54="Categorie_1_LCA_Producten",VLOOKUP(Inschrijf_Hernieuwbare_Energie_Totaal[[#This Row],[Product]],Categorie_1_Producten[#All],20,FALSE)*(Optimalisatie!J54),VLOOKUP(Inschrijf_Hernieuwbare_Energie_Totaal[[#This Row],[Product]]&amp;", "&amp;Inschrijf_Hernieuwbare_Energie_Totaal[[#Headers],[A1]],Database_Productkaarten[#All],48,FALSE)*Optimalisatie!J54),Baseline_Backlog!D367),0))</f>
        <v>0</v>
      </c>
      <c r="E367" s="91">
        <f>(IF(Optimalisatie!C54="Nieuwe Situatie",_xlfn.IFNA(IF(Optimalisatie!E54="Categorie_1_LCA_Producten",VLOOKUP(Inschrijf_Hernieuwbare_Energie_Totaal[[#This Row],[Product]],Categorie_1_Producten[#All],21,FALSE)*(Optimalisatie!J54),VLOOKUP(Inschrijf_Hernieuwbare_Energie_Totaal[[#This Row],[Product]]&amp;", "&amp;Inschrijf_Hernieuwbare_Energie_Totaal[[#Headers],[A2]],Database_Productkaarten[#All],48,FALSE)*Optimalisatie!J54),Baseline_Backlog!E367),0))</f>
        <v>0</v>
      </c>
      <c r="F367" s="91">
        <f>(IF(Optimalisatie!C54="Nieuwe Situatie",_xlfn.IFNA(IF(Optimalisatie!E54="Categorie_1_LCA_Producten",VLOOKUP(Inschrijf_Hernieuwbare_Energie_Totaal[[#This Row],[Product]],Categorie_1_Producten[#All],22,FALSE)*(Optimalisatie!J54),VLOOKUP(Inschrijf_Hernieuwbare_Energie_Totaal[[#This Row],[Product]]&amp;", "&amp;Inschrijf_Hernieuwbare_Energie_Totaal[[#Headers],[A3]],Database_Productkaarten[#All],48,FALSE)*Optimalisatie!J54),Baseline_Backlog!F367),0))</f>
        <v>0</v>
      </c>
      <c r="G367" s="91">
        <f>(IF(Optimalisatie!C54="Nieuwe Situatie",_xlfn.IFNA(IF(Optimalisatie!E54="Categorie_1_LCA_Producten",VLOOKUP(Inschrijf_Hernieuwbare_Energie_Totaal[[#This Row],[Product]],Categorie_1_Producten[#All],27,FALSE)*(Optimalisatie!J54),VLOOKUP(Inschrijf_Hernieuwbare_Energie_Totaal[[#This Row],[Product]]&amp;", "&amp;Inschrijf_Hernieuwbare_Energie_Totaal[[#Headers],[A1-A3]],Database_Productkaarten[#All],48,FALSE)*Optimalisatie!J54),Baseline_Backlog!G367),0))</f>
        <v>0</v>
      </c>
      <c r="H367" s="91">
        <f>(IF(Optimalisatie!C54="Nieuwe Situatie",_xlfn.IFNA(VLOOKUP(Optimalisatie!V54,Database_Transport[#All],42,FALSE)*(Optimalisatie!R54*Optimalisatie!U54),Baseline_Backlog!H367),0))</f>
        <v>0</v>
      </c>
      <c r="I367" s="91">
        <f>IF(Optimalisatie!C54="Nieuwe situatie",IF(_xlfn.IFNA((VLOOKUP(Optimalisatie!W54,Database_Asfalt_Aanlegset[#All],42,FALSE)*Optimalisatie!J54),0)+_xlfn.IFNA(VLOOKUP(Optimalisatie!X54,Database_Brandstoffen[#All],42,FALSE)*((Optimalisatie!J54/Optimalisatie!Z54)*Optimalisatie!Y54),0)&gt;0,_xlfn.IFNA((VLOOKUP(Optimalisatie!W54,Database_Asfalt_Aanlegset[#All],42,FALSE)*Optimalisatie!J54),0)+_xlfn.IFNA(VLOOKUP(Optimalisatie!X54,Database_Brandstoffen[#All],42,FALSE)*((Optimalisatie!J54/Optimalisatie!Z54)*Optimalisatie!Y54),0),(_xlfn.IFNA(VLOOKUP(Inschrijf_Hernieuwbare_Energie_Totaal[[#This Row],[Product]]&amp;", "&amp;Inschrijf_MKI_Totaal[[#Headers],[A5]],Database_Productkaarten[#All],48,FALSE),0)*Optimalisatie!J54)),0)</f>
        <v>0</v>
      </c>
      <c r="J367" s="91">
        <f>(IF(Optimalisatie!C54="Nieuwe Situatie",_xlfn.IFNA(IF(Optimalisatie!E54="Categorie_1_LCA_Producten",VLOOKUP(Inschrijf_Hernieuwbare_Energie_Totaal[[#This Row],[Product]],Categorie_1_Producten[#All],28,FALSE)*(Optimalisatie!R54),VLOOKUP(Inschrijf_Hernieuwbare_Energie_Totaal[[#This Row],[Product]]&amp;", "&amp;Inschrijf_Hernieuwbare_Energie_Totaal[[#Headers],[B1]],Database_Productkaarten[#All],47,FALSE)*Optimalisatie!J54),Baseline_Backlog!J367),0))</f>
        <v>0</v>
      </c>
      <c r="K367" s="91">
        <f>(IF(Optimalisatie!C54="Nieuwe Situatie",_xlfn.IFNA(SUM(Inschrijf_Hernieuwbare_Energie_Totaal[[#This Row],[A1]:[B1]],Inschrijf_Hernieuwbare_Energie_Totaal[[#This Row],[C1]:[D2]])*Optimalisatie!T54,0),0))</f>
        <v>0</v>
      </c>
      <c r="L367" s="91">
        <f>IF(Optimalisatie!C54="Bestaande situatie",IF(_xlfn.IFNA((VLOOKUP(Optimalisatie!AA54,Database_Asfalt_Verwijderset[#All],42,FALSE)*Optimalisatie!J54),0)+_xlfn.IFNA(VLOOKUP(Optimalisatie!AB54,Database_Brandstoffen[#All],42,FALSE)*((Optimalisatie!J54/Optimalisatie!AD54)*Optimalisatie!AC54),0)&gt;0,_xlfn.IFNA((VLOOKUP(Optimalisatie!AA54,Database_Asfalt_Verwijderset[#All],42,FALSE)*Optimalisatie!J54),0)+_xlfn.IFNA(VLOOKUP(Optimalisatie!AB54,Database_Brandstoffen[#All],42,FALSE)*((Optimalisatie!J54/Optimalisatie!AD54)*Optimalisatie!AC54),0),(_xlfn.IFNA(VLOOKUP(Inschrijf_Hernieuwbare_Energie_Totaal[[#This Row],[Product]]&amp;", "&amp;Inschrijf_MKI_Totaal[[#Headers],[C1]],Database_Productkaarten[#All],48,FALSE),0)*Optimalisatie!J54)),0)</f>
        <v>0</v>
      </c>
      <c r="M367" s="91">
        <f>(IF(Optimalisatie!C54="Bestaande Situatie",_xlfn.IFNA(VLOOKUP(Optimalisatie!AF54,Database_Transport[#All],42,FALSE)*(Optimalisatie!R54*Optimalisatie!AE54),Baseline_Backlog!M367),0))</f>
        <v>0</v>
      </c>
      <c r="N367" s="91">
        <f>(IF(Optimalisatie!C54="Bestaande Situatie",_xlfn.IFNA(VLOOKUP(Optimalisatie!AG54,Database_Asfalt_Verwerkingsset[#All],42,FALSE)*(Optimalisatie!J54/VLOOKUP(Optimalisatie!AG54,Database_Asfalt_Verwerkingsset[#All],42,FALSE)),Baseline_Backlog!N367),0))</f>
        <v>0</v>
      </c>
      <c r="O367" s="91">
        <f>(IF(Optimalisatie!C54="Bestaande Situatie",_xlfn.IFNA(VLOOKUP(Inschrijf_Hernieuwbare_Energie_Totaal[[#This Row],[Product]]&amp;", "&amp;Inschrijf_MKI_Totaal[[#Headers],[C4]],Database_Productkaarten[#All],48,FALSE)*Optimalisatie!J54,Baseline_Backlog!O367),0))</f>
        <v>0</v>
      </c>
      <c r="P367" s="91">
        <f>(IF(Optimalisatie!C54="Bestaande Situatie",_xlfn.IFNA(IF(Optimalisatie!E54="Categorie_1_LCA_Producten",VLOOKUP(Inschrijf_Hernieuwbare_Energie_Totaal[[#This Row],[Product]],Categorie_1_Producten[#All],24,FALSE)*(Optimalisatie!J54),VLOOKUP(Inschrijf_Hernieuwbare_Energie_Totaal[[#This Row],[Product]]&amp;", "&amp;Inschrijf_Hernieuwbare_Energie_Totaal[[#Headers],[D1]],Database_Productkaarten[#All],48,FALSE)*Optimalisatie!J54),Baseline_Backlog!P367),0))</f>
        <v>0</v>
      </c>
      <c r="Q367" s="91">
        <f>(IF(Optimalisatie!C54="Bestaande Situatie",_xlfn.IFNA(IF(Optimalisatie!E54="Categorie_1_LCA_Producten",VLOOKUP(Inschrijf_Hernieuwbare_Energie_Totaal[[#This Row],[Product]],Categorie_1_Producten[#All],25,FALSE)*(Optimalisatie!J54),VLOOKUP(Inschrijf_Hernieuwbare_Energie_Totaal[[#This Row],[Product]]&amp;", "&amp;Inschrijf_Hernieuwbare_Energie_Totaal[[#Headers],[D2]],Database_Productkaarten[#All],48,FALSE)*Optimalisatie!J54),Baseline_Backlog!Q367),0))</f>
        <v>0</v>
      </c>
      <c r="R367" s="91">
        <f>(IF(Optimalisatie!C54="Bestaande Situatie",_xlfn.IFNA(IF(Optimalisatie!E54="Categorie_1_LCA_Producten",VLOOKUP(Inschrijf_Hernieuwbare_Energie_Totaal[[#This Row],[Product]],Categorie_1_Producten[#All],29,FALSE)*(Optimalisatie!J54),VLOOKUP(Inschrijf_Hernieuwbare_Energie_Totaal[[#This Row],[Product]]&amp;", "&amp;Inschrijf_Hernieuwbare_Energie_Totaal[[#Headers],[D]],Database_Productkaarten[#All],48,FALSE)*Optimalisatie!J54),Baseline_Backlog!S367),0))</f>
        <v>0</v>
      </c>
      <c r="S367" s="91">
        <f>SUM(Inschrijf_Hernieuwbare_Energie_Totaal[[#This Row],[A1-A3]:[C4]])+Inschrijf_Hernieuwbare_Energie_Totaal[[#This Row],[D]]</f>
        <v>0</v>
      </c>
    </row>
    <row r="368" spans="2:19">
      <c r="B368" s="208">
        <f>Optimalisatie!B55</f>
        <v>0</v>
      </c>
      <c r="C368" s="1">
        <f>Optimalisatie!F55</f>
        <v>0</v>
      </c>
      <c r="D368" s="91">
        <f>(IF(Optimalisatie!C55="Nieuwe Situatie",_xlfn.IFNA(IF(Optimalisatie!E55="Categorie_1_LCA_Producten",VLOOKUP(Inschrijf_Hernieuwbare_Energie_Totaal[[#This Row],[Product]],Categorie_1_Producten[#All],20,FALSE)*(Optimalisatie!J55),VLOOKUP(Inschrijf_Hernieuwbare_Energie_Totaal[[#This Row],[Product]]&amp;", "&amp;Inschrijf_Hernieuwbare_Energie_Totaal[[#Headers],[A1]],Database_Productkaarten[#All],48,FALSE)*Optimalisatie!J55),Baseline_Backlog!D368),0))</f>
        <v>0</v>
      </c>
      <c r="E368" s="91">
        <f>(IF(Optimalisatie!C55="Nieuwe Situatie",_xlfn.IFNA(IF(Optimalisatie!E55="Categorie_1_LCA_Producten",VLOOKUP(Inschrijf_Hernieuwbare_Energie_Totaal[[#This Row],[Product]],Categorie_1_Producten[#All],21,FALSE)*(Optimalisatie!J55),VLOOKUP(Inschrijf_Hernieuwbare_Energie_Totaal[[#This Row],[Product]]&amp;", "&amp;Inschrijf_Hernieuwbare_Energie_Totaal[[#Headers],[A2]],Database_Productkaarten[#All],48,FALSE)*Optimalisatie!J55),Baseline_Backlog!E368),0))</f>
        <v>0</v>
      </c>
      <c r="F368" s="91">
        <f>(IF(Optimalisatie!C55="Nieuwe Situatie",_xlfn.IFNA(IF(Optimalisatie!E55="Categorie_1_LCA_Producten",VLOOKUP(Inschrijf_Hernieuwbare_Energie_Totaal[[#This Row],[Product]],Categorie_1_Producten[#All],22,FALSE)*(Optimalisatie!J55),VLOOKUP(Inschrijf_Hernieuwbare_Energie_Totaal[[#This Row],[Product]]&amp;", "&amp;Inschrijf_Hernieuwbare_Energie_Totaal[[#Headers],[A3]],Database_Productkaarten[#All],48,FALSE)*Optimalisatie!J55),Baseline_Backlog!F368),0))</f>
        <v>0</v>
      </c>
      <c r="G368" s="91">
        <f>(IF(Optimalisatie!C55="Nieuwe Situatie",_xlfn.IFNA(IF(Optimalisatie!E55="Categorie_1_LCA_Producten",VLOOKUP(Inschrijf_Hernieuwbare_Energie_Totaal[[#This Row],[Product]],Categorie_1_Producten[#All],27,FALSE)*(Optimalisatie!J55),VLOOKUP(Inschrijf_Hernieuwbare_Energie_Totaal[[#This Row],[Product]]&amp;", "&amp;Inschrijf_Hernieuwbare_Energie_Totaal[[#Headers],[A1-A3]],Database_Productkaarten[#All],48,FALSE)*Optimalisatie!J55),Baseline_Backlog!G368),0))</f>
        <v>0</v>
      </c>
      <c r="H368" s="91">
        <f>(IF(Optimalisatie!C55="Nieuwe Situatie",_xlfn.IFNA(VLOOKUP(Optimalisatie!V55,Database_Transport[#All],42,FALSE)*(Optimalisatie!R55*Optimalisatie!U55),Baseline_Backlog!H368),0))</f>
        <v>0</v>
      </c>
      <c r="I368" s="91">
        <f>IF(Optimalisatie!C55="Nieuwe situatie",IF(_xlfn.IFNA((VLOOKUP(Optimalisatie!W55,Database_Asfalt_Aanlegset[#All],42,FALSE)*Optimalisatie!J55),0)+_xlfn.IFNA(VLOOKUP(Optimalisatie!X55,Database_Brandstoffen[#All],42,FALSE)*((Optimalisatie!J55/Optimalisatie!Z55)*Optimalisatie!Y55),0)&gt;0,_xlfn.IFNA((VLOOKUP(Optimalisatie!W55,Database_Asfalt_Aanlegset[#All],42,FALSE)*Optimalisatie!J55),0)+_xlfn.IFNA(VLOOKUP(Optimalisatie!X55,Database_Brandstoffen[#All],42,FALSE)*((Optimalisatie!J55/Optimalisatie!Z55)*Optimalisatie!Y55),0),(_xlfn.IFNA(VLOOKUP(Inschrijf_Hernieuwbare_Energie_Totaal[[#This Row],[Product]]&amp;", "&amp;Inschrijf_MKI_Totaal[[#Headers],[A5]],Database_Productkaarten[#All],48,FALSE),0)*Optimalisatie!J55)),0)</f>
        <v>0</v>
      </c>
      <c r="J368" s="91">
        <f>(IF(Optimalisatie!C55="Nieuwe Situatie",_xlfn.IFNA(IF(Optimalisatie!E55="Categorie_1_LCA_Producten",VLOOKUP(Inschrijf_Hernieuwbare_Energie_Totaal[[#This Row],[Product]],Categorie_1_Producten[#All],28,FALSE)*(Optimalisatie!R55),VLOOKUP(Inschrijf_Hernieuwbare_Energie_Totaal[[#This Row],[Product]]&amp;", "&amp;Inschrijf_Hernieuwbare_Energie_Totaal[[#Headers],[B1]],Database_Productkaarten[#All],47,FALSE)*Optimalisatie!J55),Baseline_Backlog!J368),0))</f>
        <v>0</v>
      </c>
      <c r="K368" s="91">
        <f>(IF(Optimalisatie!C55="Nieuwe Situatie",_xlfn.IFNA(SUM(Inschrijf_Hernieuwbare_Energie_Totaal[[#This Row],[A1]:[B1]],Inschrijf_Hernieuwbare_Energie_Totaal[[#This Row],[C1]:[D2]])*Optimalisatie!T55,0),0))</f>
        <v>0</v>
      </c>
      <c r="L368" s="91">
        <f>IF(Optimalisatie!C55="Bestaande situatie",IF(_xlfn.IFNA((VLOOKUP(Optimalisatie!AA55,Database_Asfalt_Verwijderset[#All],42,FALSE)*Optimalisatie!J55),0)+_xlfn.IFNA(VLOOKUP(Optimalisatie!AB55,Database_Brandstoffen[#All],42,FALSE)*((Optimalisatie!J55/Optimalisatie!AD55)*Optimalisatie!AC55),0)&gt;0,_xlfn.IFNA((VLOOKUP(Optimalisatie!AA55,Database_Asfalt_Verwijderset[#All],42,FALSE)*Optimalisatie!J55),0)+_xlfn.IFNA(VLOOKUP(Optimalisatie!AB55,Database_Brandstoffen[#All],42,FALSE)*((Optimalisatie!J55/Optimalisatie!AD55)*Optimalisatie!AC55),0),(_xlfn.IFNA(VLOOKUP(Inschrijf_Hernieuwbare_Energie_Totaal[[#This Row],[Product]]&amp;", "&amp;Inschrijf_MKI_Totaal[[#Headers],[C1]],Database_Productkaarten[#All],48,FALSE),0)*Optimalisatie!J55)),0)</f>
        <v>0</v>
      </c>
      <c r="M368" s="91">
        <f>(IF(Optimalisatie!C55="Bestaande Situatie",_xlfn.IFNA(VLOOKUP(Optimalisatie!AF55,Database_Transport[#All],42,FALSE)*(Optimalisatie!R55*Optimalisatie!AE55),Baseline_Backlog!M368),0))</f>
        <v>0</v>
      </c>
      <c r="N368" s="91">
        <f>(IF(Optimalisatie!C55="Bestaande Situatie",_xlfn.IFNA(VLOOKUP(Optimalisatie!AG55,Database_Asfalt_Verwerkingsset[#All],42,FALSE)*(Optimalisatie!J55/VLOOKUP(Optimalisatie!AG55,Database_Asfalt_Verwerkingsset[#All],42,FALSE)),Baseline_Backlog!N368),0))</f>
        <v>0</v>
      </c>
      <c r="O368" s="91">
        <f>(IF(Optimalisatie!C55="Bestaande Situatie",_xlfn.IFNA(VLOOKUP(Inschrijf_Hernieuwbare_Energie_Totaal[[#This Row],[Product]]&amp;", "&amp;Inschrijf_MKI_Totaal[[#Headers],[C4]],Database_Productkaarten[#All],48,FALSE)*Optimalisatie!J55,Baseline_Backlog!O368),0))</f>
        <v>0</v>
      </c>
      <c r="P368" s="91">
        <f>(IF(Optimalisatie!C55="Bestaande Situatie",_xlfn.IFNA(IF(Optimalisatie!E55="Categorie_1_LCA_Producten",VLOOKUP(Inschrijf_Hernieuwbare_Energie_Totaal[[#This Row],[Product]],Categorie_1_Producten[#All],24,FALSE)*(Optimalisatie!J55),VLOOKUP(Inschrijf_Hernieuwbare_Energie_Totaal[[#This Row],[Product]]&amp;", "&amp;Inschrijf_Hernieuwbare_Energie_Totaal[[#Headers],[D1]],Database_Productkaarten[#All],48,FALSE)*Optimalisatie!J55),Baseline_Backlog!P368),0))</f>
        <v>0</v>
      </c>
      <c r="Q368" s="91">
        <f>(IF(Optimalisatie!C55="Bestaande Situatie",_xlfn.IFNA(IF(Optimalisatie!E55="Categorie_1_LCA_Producten",VLOOKUP(Inschrijf_Hernieuwbare_Energie_Totaal[[#This Row],[Product]],Categorie_1_Producten[#All],25,FALSE)*(Optimalisatie!J55),VLOOKUP(Inschrijf_Hernieuwbare_Energie_Totaal[[#This Row],[Product]]&amp;", "&amp;Inschrijf_Hernieuwbare_Energie_Totaal[[#Headers],[D2]],Database_Productkaarten[#All],48,FALSE)*Optimalisatie!J55),Baseline_Backlog!Q368),0))</f>
        <v>0</v>
      </c>
      <c r="R368" s="91">
        <f>(IF(Optimalisatie!C55="Bestaande Situatie",_xlfn.IFNA(IF(Optimalisatie!E55="Categorie_1_LCA_Producten",VLOOKUP(Inschrijf_Hernieuwbare_Energie_Totaal[[#This Row],[Product]],Categorie_1_Producten[#All],29,FALSE)*(Optimalisatie!J55),VLOOKUP(Inschrijf_Hernieuwbare_Energie_Totaal[[#This Row],[Product]]&amp;", "&amp;Inschrijf_Hernieuwbare_Energie_Totaal[[#Headers],[D]],Database_Productkaarten[#All],48,FALSE)*Optimalisatie!J55),Baseline_Backlog!S368),0))</f>
        <v>0</v>
      </c>
      <c r="S368" s="91">
        <f>SUM(Inschrijf_Hernieuwbare_Energie_Totaal[[#This Row],[A1-A3]:[C4]])+Inschrijf_Hernieuwbare_Energie_Totaal[[#This Row],[D]]</f>
        <v>0</v>
      </c>
    </row>
    <row r="369" spans="2:19">
      <c r="B369" s="208">
        <f>Optimalisatie!B56</f>
        <v>0</v>
      </c>
      <c r="C369" s="1">
        <f>Optimalisatie!F56</f>
        <v>0</v>
      </c>
      <c r="D369" s="91">
        <f>(IF(Optimalisatie!C56="Nieuwe Situatie",_xlfn.IFNA(IF(Optimalisatie!E56="Categorie_1_LCA_Producten",VLOOKUP(Inschrijf_Hernieuwbare_Energie_Totaal[[#This Row],[Product]],Categorie_1_Producten[#All],20,FALSE)*(Optimalisatie!J56),VLOOKUP(Inschrijf_Hernieuwbare_Energie_Totaal[[#This Row],[Product]]&amp;", "&amp;Inschrijf_Hernieuwbare_Energie_Totaal[[#Headers],[A1]],Database_Productkaarten[#All],48,FALSE)*Optimalisatie!J56),Baseline_Backlog!D369),0))</f>
        <v>0</v>
      </c>
      <c r="E369" s="91">
        <f>(IF(Optimalisatie!C56="Nieuwe Situatie",_xlfn.IFNA(IF(Optimalisatie!E56="Categorie_1_LCA_Producten",VLOOKUP(Inschrijf_Hernieuwbare_Energie_Totaal[[#This Row],[Product]],Categorie_1_Producten[#All],21,FALSE)*(Optimalisatie!J56),VLOOKUP(Inschrijf_Hernieuwbare_Energie_Totaal[[#This Row],[Product]]&amp;", "&amp;Inschrijf_Hernieuwbare_Energie_Totaal[[#Headers],[A2]],Database_Productkaarten[#All],48,FALSE)*Optimalisatie!J56),Baseline_Backlog!E369),0))</f>
        <v>0</v>
      </c>
      <c r="F369" s="91">
        <f>(IF(Optimalisatie!C56="Nieuwe Situatie",_xlfn.IFNA(IF(Optimalisatie!E56="Categorie_1_LCA_Producten",VLOOKUP(Inschrijf_Hernieuwbare_Energie_Totaal[[#This Row],[Product]],Categorie_1_Producten[#All],22,FALSE)*(Optimalisatie!J56),VLOOKUP(Inschrijf_Hernieuwbare_Energie_Totaal[[#This Row],[Product]]&amp;", "&amp;Inschrijf_Hernieuwbare_Energie_Totaal[[#Headers],[A3]],Database_Productkaarten[#All],48,FALSE)*Optimalisatie!J56),Baseline_Backlog!F369),0))</f>
        <v>0</v>
      </c>
      <c r="G369" s="91">
        <f>(IF(Optimalisatie!C56="Nieuwe Situatie",_xlfn.IFNA(IF(Optimalisatie!E56="Categorie_1_LCA_Producten",VLOOKUP(Inschrijf_Hernieuwbare_Energie_Totaal[[#This Row],[Product]],Categorie_1_Producten[#All],27,FALSE)*(Optimalisatie!J56),VLOOKUP(Inschrijf_Hernieuwbare_Energie_Totaal[[#This Row],[Product]]&amp;", "&amp;Inschrijf_Hernieuwbare_Energie_Totaal[[#Headers],[A1-A3]],Database_Productkaarten[#All],48,FALSE)*Optimalisatie!J56),Baseline_Backlog!G369),0))</f>
        <v>0</v>
      </c>
      <c r="H369" s="91">
        <f>(IF(Optimalisatie!C56="Nieuwe Situatie",_xlfn.IFNA(VLOOKUP(Optimalisatie!V56,Database_Transport[#All],42,FALSE)*(Optimalisatie!R56*Optimalisatie!U56),Baseline_Backlog!H369),0))</f>
        <v>0</v>
      </c>
      <c r="I369" s="91">
        <f>IF(Optimalisatie!C56="Nieuwe situatie",IF(_xlfn.IFNA((VLOOKUP(Optimalisatie!W56,Database_Asfalt_Aanlegset[#All],42,FALSE)*Optimalisatie!J56),0)+_xlfn.IFNA(VLOOKUP(Optimalisatie!X56,Database_Brandstoffen[#All],42,FALSE)*((Optimalisatie!J56/Optimalisatie!Z56)*Optimalisatie!Y56),0)&gt;0,_xlfn.IFNA((VLOOKUP(Optimalisatie!W56,Database_Asfalt_Aanlegset[#All],42,FALSE)*Optimalisatie!J56),0)+_xlfn.IFNA(VLOOKUP(Optimalisatie!X56,Database_Brandstoffen[#All],42,FALSE)*((Optimalisatie!J56/Optimalisatie!Z56)*Optimalisatie!Y56),0),(_xlfn.IFNA(VLOOKUP(Inschrijf_Hernieuwbare_Energie_Totaal[[#This Row],[Product]]&amp;", "&amp;Inschrijf_MKI_Totaal[[#Headers],[A5]],Database_Productkaarten[#All],48,FALSE),0)*Optimalisatie!J56)),0)</f>
        <v>0</v>
      </c>
      <c r="J369" s="91">
        <f>(IF(Optimalisatie!C56="Nieuwe Situatie",_xlfn.IFNA(IF(Optimalisatie!E56="Categorie_1_LCA_Producten",VLOOKUP(Inschrijf_Hernieuwbare_Energie_Totaal[[#This Row],[Product]],Categorie_1_Producten[#All],28,FALSE)*(Optimalisatie!R56),VLOOKUP(Inschrijf_Hernieuwbare_Energie_Totaal[[#This Row],[Product]]&amp;", "&amp;Inschrijf_Hernieuwbare_Energie_Totaal[[#Headers],[B1]],Database_Productkaarten[#All],47,FALSE)*Optimalisatie!J56),Baseline_Backlog!J369),0))</f>
        <v>0</v>
      </c>
      <c r="K369" s="91">
        <f>(IF(Optimalisatie!C56="Nieuwe Situatie",_xlfn.IFNA(SUM(Inschrijf_Hernieuwbare_Energie_Totaal[[#This Row],[A1]:[B1]],Inschrijf_Hernieuwbare_Energie_Totaal[[#This Row],[C1]:[D2]])*Optimalisatie!T56,0),0))</f>
        <v>0</v>
      </c>
      <c r="L369" s="91">
        <f>IF(Optimalisatie!C56="Bestaande situatie",IF(_xlfn.IFNA((VLOOKUP(Optimalisatie!AA56,Database_Asfalt_Verwijderset[#All],42,FALSE)*Optimalisatie!J56),0)+_xlfn.IFNA(VLOOKUP(Optimalisatie!AB56,Database_Brandstoffen[#All],42,FALSE)*((Optimalisatie!J56/Optimalisatie!AD56)*Optimalisatie!AC56),0)&gt;0,_xlfn.IFNA((VLOOKUP(Optimalisatie!AA56,Database_Asfalt_Verwijderset[#All],42,FALSE)*Optimalisatie!J56),0)+_xlfn.IFNA(VLOOKUP(Optimalisatie!AB56,Database_Brandstoffen[#All],42,FALSE)*((Optimalisatie!J56/Optimalisatie!AD56)*Optimalisatie!AC56),0),(_xlfn.IFNA(VLOOKUP(Inschrijf_Hernieuwbare_Energie_Totaal[[#This Row],[Product]]&amp;", "&amp;Inschrijf_MKI_Totaal[[#Headers],[C1]],Database_Productkaarten[#All],48,FALSE),0)*Optimalisatie!J56)),0)</f>
        <v>0</v>
      </c>
      <c r="M369" s="91">
        <f>(IF(Optimalisatie!C56="Bestaande Situatie",_xlfn.IFNA(VLOOKUP(Optimalisatie!AF56,Database_Transport[#All],42,FALSE)*(Optimalisatie!R56*Optimalisatie!AE56),Baseline_Backlog!M369),0))</f>
        <v>0</v>
      </c>
      <c r="N369" s="91">
        <f>(IF(Optimalisatie!C56="Bestaande Situatie",_xlfn.IFNA(VLOOKUP(Optimalisatie!AG56,Database_Asfalt_Verwerkingsset[#All],42,FALSE)*(Optimalisatie!J56/VLOOKUP(Optimalisatie!AG56,Database_Asfalt_Verwerkingsset[#All],42,FALSE)),Baseline_Backlog!N369),0))</f>
        <v>0</v>
      </c>
      <c r="O369" s="91">
        <f>(IF(Optimalisatie!C56="Bestaande Situatie",_xlfn.IFNA(VLOOKUP(Inschrijf_Hernieuwbare_Energie_Totaal[[#This Row],[Product]]&amp;", "&amp;Inschrijf_MKI_Totaal[[#Headers],[C4]],Database_Productkaarten[#All],48,FALSE)*Optimalisatie!J56,Baseline_Backlog!O369),0))</f>
        <v>0</v>
      </c>
      <c r="P369" s="91">
        <f>(IF(Optimalisatie!C56="Bestaande Situatie",_xlfn.IFNA(IF(Optimalisatie!E56="Categorie_1_LCA_Producten",VLOOKUP(Inschrijf_Hernieuwbare_Energie_Totaal[[#This Row],[Product]],Categorie_1_Producten[#All],24,FALSE)*(Optimalisatie!J56),VLOOKUP(Inschrijf_Hernieuwbare_Energie_Totaal[[#This Row],[Product]]&amp;", "&amp;Inschrijf_Hernieuwbare_Energie_Totaal[[#Headers],[D1]],Database_Productkaarten[#All],48,FALSE)*Optimalisatie!J56),Baseline_Backlog!P369),0))</f>
        <v>0</v>
      </c>
      <c r="Q369" s="91">
        <f>(IF(Optimalisatie!C56="Bestaande Situatie",_xlfn.IFNA(IF(Optimalisatie!E56="Categorie_1_LCA_Producten",VLOOKUP(Inschrijf_Hernieuwbare_Energie_Totaal[[#This Row],[Product]],Categorie_1_Producten[#All],25,FALSE)*(Optimalisatie!J56),VLOOKUP(Inschrijf_Hernieuwbare_Energie_Totaal[[#This Row],[Product]]&amp;", "&amp;Inschrijf_Hernieuwbare_Energie_Totaal[[#Headers],[D2]],Database_Productkaarten[#All],48,FALSE)*Optimalisatie!J56),Baseline_Backlog!Q369),0))</f>
        <v>0</v>
      </c>
      <c r="R369" s="91">
        <f>(IF(Optimalisatie!C56="Bestaande Situatie",_xlfn.IFNA(IF(Optimalisatie!E56="Categorie_1_LCA_Producten",VLOOKUP(Inschrijf_Hernieuwbare_Energie_Totaal[[#This Row],[Product]],Categorie_1_Producten[#All],29,FALSE)*(Optimalisatie!J56),VLOOKUP(Inschrijf_Hernieuwbare_Energie_Totaal[[#This Row],[Product]]&amp;", "&amp;Inschrijf_Hernieuwbare_Energie_Totaal[[#Headers],[D]],Database_Productkaarten[#All],48,FALSE)*Optimalisatie!J56),Baseline_Backlog!S369),0))</f>
        <v>0</v>
      </c>
      <c r="S369" s="91">
        <f>SUM(Inschrijf_Hernieuwbare_Energie_Totaal[[#This Row],[A1-A3]:[C4]])+Inschrijf_Hernieuwbare_Energie_Totaal[[#This Row],[D]]</f>
        <v>0</v>
      </c>
    </row>
    <row r="370" spans="2:19">
      <c r="B370" s="208">
        <f>Optimalisatie!B57</f>
        <v>0</v>
      </c>
      <c r="C370" s="1">
        <f>Optimalisatie!F57</f>
        <v>0</v>
      </c>
      <c r="D370" s="91">
        <f>(IF(Optimalisatie!C57="Nieuwe Situatie",_xlfn.IFNA(IF(Optimalisatie!E57="Categorie_1_LCA_Producten",VLOOKUP(Inschrijf_Hernieuwbare_Energie_Totaal[[#This Row],[Product]],Categorie_1_Producten[#All],20,FALSE)*(Optimalisatie!J57),VLOOKUP(Inschrijf_Hernieuwbare_Energie_Totaal[[#This Row],[Product]]&amp;", "&amp;Inschrijf_Hernieuwbare_Energie_Totaal[[#Headers],[A1]],Database_Productkaarten[#All],48,FALSE)*Optimalisatie!J57),Baseline_Backlog!D370),0))</f>
        <v>0</v>
      </c>
      <c r="E370" s="91">
        <f>(IF(Optimalisatie!C57="Nieuwe Situatie",_xlfn.IFNA(IF(Optimalisatie!E57="Categorie_1_LCA_Producten",VLOOKUP(Inschrijf_Hernieuwbare_Energie_Totaal[[#This Row],[Product]],Categorie_1_Producten[#All],21,FALSE)*(Optimalisatie!J57),VLOOKUP(Inschrijf_Hernieuwbare_Energie_Totaal[[#This Row],[Product]]&amp;", "&amp;Inschrijf_Hernieuwbare_Energie_Totaal[[#Headers],[A2]],Database_Productkaarten[#All],48,FALSE)*Optimalisatie!J57),Baseline_Backlog!E370),0))</f>
        <v>0</v>
      </c>
      <c r="F370" s="91">
        <f>(IF(Optimalisatie!C57="Nieuwe Situatie",_xlfn.IFNA(IF(Optimalisatie!E57="Categorie_1_LCA_Producten",VLOOKUP(Inschrijf_Hernieuwbare_Energie_Totaal[[#This Row],[Product]],Categorie_1_Producten[#All],22,FALSE)*(Optimalisatie!J57),VLOOKUP(Inschrijf_Hernieuwbare_Energie_Totaal[[#This Row],[Product]]&amp;", "&amp;Inschrijf_Hernieuwbare_Energie_Totaal[[#Headers],[A3]],Database_Productkaarten[#All],48,FALSE)*Optimalisatie!J57),Baseline_Backlog!F370),0))</f>
        <v>0</v>
      </c>
      <c r="G370" s="91">
        <f>(IF(Optimalisatie!C57="Nieuwe Situatie",_xlfn.IFNA(IF(Optimalisatie!E57="Categorie_1_LCA_Producten",VLOOKUP(Inschrijf_Hernieuwbare_Energie_Totaal[[#This Row],[Product]],Categorie_1_Producten[#All],27,FALSE)*(Optimalisatie!J57),VLOOKUP(Inschrijf_Hernieuwbare_Energie_Totaal[[#This Row],[Product]]&amp;", "&amp;Inschrijf_Hernieuwbare_Energie_Totaal[[#Headers],[A1-A3]],Database_Productkaarten[#All],48,FALSE)*Optimalisatie!J57),Baseline_Backlog!G370),0))</f>
        <v>0</v>
      </c>
      <c r="H370" s="91">
        <f>(IF(Optimalisatie!C57="Nieuwe Situatie",_xlfn.IFNA(VLOOKUP(Optimalisatie!V57,Database_Transport[#All],42,FALSE)*(Optimalisatie!R57*Optimalisatie!U57),Baseline_Backlog!H370),0))</f>
        <v>0</v>
      </c>
      <c r="I370" s="91">
        <f>IF(Optimalisatie!C57="Nieuwe situatie",IF(_xlfn.IFNA((VLOOKUP(Optimalisatie!W57,Database_Asfalt_Aanlegset[#All],42,FALSE)*Optimalisatie!J57),0)+_xlfn.IFNA(VLOOKUP(Optimalisatie!X57,Database_Brandstoffen[#All],42,FALSE)*((Optimalisatie!J57/Optimalisatie!Z57)*Optimalisatie!Y57),0)&gt;0,_xlfn.IFNA((VLOOKUP(Optimalisatie!W57,Database_Asfalt_Aanlegset[#All],42,FALSE)*Optimalisatie!J57),0)+_xlfn.IFNA(VLOOKUP(Optimalisatie!X57,Database_Brandstoffen[#All],42,FALSE)*((Optimalisatie!J57/Optimalisatie!Z57)*Optimalisatie!Y57),0),(_xlfn.IFNA(VLOOKUP(Inschrijf_Hernieuwbare_Energie_Totaal[[#This Row],[Product]]&amp;", "&amp;Inschrijf_MKI_Totaal[[#Headers],[A5]],Database_Productkaarten[#All],48,FALSE),0)*Optimalisatie!J57)),0)</f>
        <v>0</v>
      </c>
      <c r="J370" s="91">
        <f>(IF(Optimalisatie!C57="Nieuwe Situatie",_xlfn.IFNA(IF(Optimalisatie!E57="Categorie_1_LCA_Producten",VLOOKUP(Inschrijf_Hernieuwbare_Energie_Totaal[[#This Row],[Product]],Categorie_1_Producten[#All],28,FALSE)*(Optimalisatie!R57),VLOOKUP(Inschrijf_Hernieuwbare_Energie_Totaal[[#This Row],[Product]]&amp;", "&amp;Inschrijf_Hernieuwbare_Energie_Totaal[[#Headers],[B1]],Database_Productkaarten[#All],47,FALSE)*Optimalisatie!J57),Baseline_Backlog!J370),0))</f>
        <v>0</v>
      </c>
      <c r="K370" s="91">
        <f>(IF(Optimalisatie!C57="Nieuwe Situatie",_xlfn.IFNA(SUM(Inschrijf_Hernieuwbare_Energie_Totaal[[#This Row],[A1]:[B1]],Inschrijf_Hernieuwbare_Energie_Totaal[[#This Row],[C1]:[D2]])*Optimalisatie!T57,0),0))</f>
        <v>0</v>
      </c>
      <c r="L370" s="91">
        <f>IF(Optimalisatie!C57="Bestaande situatie",IF(_xlfn.IFNA((VLOOKUP(Optimalisatie!AA57,Database_Asfalt_Verwijderset[#All],42,FALSE)*Optimalisatie!J57),0)+_xlfn.IFNA(VLOOKUP(Optimalisatie!AB57,Database_Brandstoffen[#All],42,FALSE)*((Optimalisatie!J57/Optimalisatie!AD57)*Optimalisatie!AC57),0)&gt;0,_xlfn.IFNA((VLOOKUP(Optimalisatie!AA57,Database_Asfalt_Verwijderset[#All],42,FALSE)*Optimalisatie!J57),0)+_xlfn.IFNA(VLOOKUP(Optimalisatie!AB57,Database_Brandstoffen[#All],42,FALSE)*((Optimalisatie!J57/Optimalisatie!AD57)*Optimalisatie!AC57),0),(_xlfn.IFNA(VLOOKUP(Inschrijf_Hernieuwbare_Energie_Totaal[[#This Row],[Product]]&amp;", "&amp;Inschrijf_MKI_Totaal[[#Headers],[C1]],Database_Productkaarten[#All],48,FALSE),0)*Optimalisatie!J57)),0)</f>
        <v>0</v>
      </c>
      <c r="M370" s="91">
        <f>(IF(Optimalisatie!C57="Bestaande Situatie",_xlfn.IFNA(VLOOKUP(Optimalisatie!AF57,Database_Transport[#All],42,FALSE)*(Optimalisatie!R57*Optimalisatie!AE57),Baseline_Backlog!M370),0))</f>
        <v>0</v>
      </c>
      <c r="N370" s="91">
        <f>(IF(Optimalisatie!C57="Bestaande Situatie",_xlfn.IFNA(VLOOKUP(Optimalisatie!AG57,Database_Asfalt_Verwerkingsset[#All],42,FALSE)*(Optimalisatie!J57/VLOOKUP(Optimalisatie!AG57,Database_Asfalt_Verwerkingsset[#All],42,FALSE)),Baseline_Backlog!N370),0))</f>
        <v>0</v>
      </c>
      <c r="O370" s="91">
        <f>(IF(Optimalisatie!C57="Bestaande Situatie",_xlfn.IFNA(VLOOKUP(Inschrijf_Hernieuwbare_Energie_Totaal[[#This Row],[Product]]&amp;", "&amp;Inschrijf_MKI_Totaal[[#Headers],[C4]],Database_Productkaarten[#All],48,FALSE)*Optimalisatie!J57,Baseline_Backlog!O370),0))</f>
        <v>0</v>
      </c>
      <c r="P370" s="91">
        <f>(IF(Optimalisatie!C57="Bestaande Situatie",_xlfn.IFNA(IF(Optimalisatie!E57="Categorie_1_LCA_Producten",VLOOKUP(Inschrijf_Hernieuwbare_Energie_Totaal[[#This Row],[Product]],Categorie_1_Producten[#All],24,FALSE)*(Optimalisatie!J57),VLOOKUP(Inschrijf_Hernieuwbare_Energie_Totaal[[#This Row],[Product]]&amp;", "&amp;Inschrijf_Hernieuwbare_Energie_Totaal[[#Headers],[D1]],Database_Productkaarten[#All],48,FALSE)*Optimalisatie!J57),Baseline_Backlog!P370),0))</f>
        <v>0</v>
      </c>
      <c r="Q370" s="91">
        <f>(IF(Optimalisatie!C57="Bestaande Situatie",_xlfn.IFNA(IF(Optimalisatie!E57="Categorie_1_LCA_Producten",VLOOKUP(Inschrijf_Hernieuwbare_Energie_Totaal[[#This Row],[Product]],Categorie_1_Producten[#All],25,FALSE)*(Optimalisatie!J57),VLOOKUP(Inschrijf_Hernieuwbare_Energie_Totaal[[#This Row],[Product]]&amp;", "&amp;Inschrijf_Hernieuwbare_Energie_Totaal[[#Headers],[D2]],Database_Productkaarten[#All],48,FALSE)*Optimalisatie!J57),Baseline_Backlog!Q370),0))</f>
        <v>0</v>
      </c>
      <c r="R370" s="91">
        <f>(IF(Optimalisatie!C57="Bestaande Situatie",_xlfn.IFNA(IF(Optimalisatie!E57="Categorie_1_LCA_Producten",VLOOKUP(Inschrijf_Hernieuwbare_Energie_Totaal[[#This Row],[Product]],Categorie_1_Producten[#All],29,FALSE)*(Optimalisatie!J57),VLOOKUP(Inschrijf_Hernieuwbare_Energie_Totaal[[#This Row],[Product]]&amp;", "&amp;Inschrijf_Hernieuwbare_Energie_Totaal[[#Headers],[D]],Database_Productkaarten[#All],48,FALSE)*Optimalisatie!J57),Baseline_Backlog!S370),0))</f>
        <v>0</v>
      </c>
      <c r="S370" s="91">
        <f>SUM(Inschrijf_Hernieuwbare_Energie_Totaal[[#This Row],[A1-A3]:[C4]])+Inschrijf_Hernieuwbare_Energie_Totaal[[#This Row],[D]]</f>
        <v>0</v>
      </c>
    </row>
    <row r="371" spans="2:19">
      <c r="B371" s="208">
        <f>Optimalisatie!B58</f>
        <v>0</v>
      </c>
      <c r="C371" s="1">
        <f>Optimalisatie!F58</f>
        <v>0</v>
      </c>
      <c r="D371" s="91">
        <f>(IF(Optimalisatie!C58="Nieuwe Situatie",_xlfn.IFNA(IF(Optimalisatie!E58="Categorie_1_LCA_Producten",VLOOKUP(Inschrijf_Hernieuwbare_Energie_Totaal[[#This Row],[Product]],Categorie_1_Producten[#All],20,FALSE)*(Optimalisatie!J58),VLOOKUP(Inschrijf_Hernieuwbare_Energie_Totaal[[#This Row],[Product]]&amp;", "&amp;Inschrijf_Hernieuwbare_Energie_Totaal[[#Headers],[A1]],Database_Productkaarten[#All],48,FALSE)*Optimalisatie!J58),Baseline_Backlog!D371),0))</f>
        <v>0</v>
      </c>
      <c r="E371" s="91">
        <f>(IF(Optimalisatie!C58="Nieuwe Situatie",_xlfn.IFNA(IF(Optimalisatie!E58="Categorie_1_LCA_Producten",VLOOKUP(Inschrijf_Hernieuwbare_Energie_Totaal[[#This Row],[Product]],Categorie_1_Producten[#All],21,FALSE)*(Optimalisatie!J58),VLOOKUP(Inschrijf_Hernieuwbare_Energie_Totaal[[#This Row],[Product]]&amp;", "&amp;Inschrijf_Hernieuwbare_Energie_Totaal[[#Headers],[A2]],Database_Productkaarten[#All],48,FALSE)*Optimalisatie!J58),Baseline_Backlog!E371),0))</f>
        <v>0</v>
      </c>
      <c r="F371" s="91">
        <f>(IF(Optimalisatie!C58="Nieuwe Situatie",_xlfn.IFNA(IF(Optimalisatie!E58="Categorie_1_LCA_Producten",VLOOKUP(Inschrijf_Hernieuwbare_Energie_Totaal[[#This Row],[Product]],Categorie_1_Producten[#All],22,FALSE)*(Optimalisatie!J58),VLOOKUP(Inschrijf_Hernieuwbare_Energie_Totaal[[#This Row],[Product]]&amp;", "&amp;Inschrijf_Hernieuwbare_Energie_Totaal[[#Headers],[A3]],Database_Productkaarten[#All],48,FALSE)*Optimalisatie!J58),Baseline_Backlog!F371),0))</f>
        <v>0</v>
      </c>
      <c r="G371" s="91">
        <f>(IF(Optimalisatie!C58="Nieuwe Situatie",_xlfn.IFNA(IF(Optimalisatie!E58="Categorie_1_LCA_Producten",VLOOKUP(Inschrijf_Hernieuwbare_Energie_Totaal[[#This Row],[Product]],Categorie_1_Producten[#All],27,FALSE)*(Optimalisatie!J58),VLOOKUP(Inschrijf_Hernieuwbare_Energie_Totaal[[#This Row],[Product]]&amp;", "&amp;Inschrijf_Hernieuwbare_Energie_Totaal[[#Headers],[A1-A3]],Database_Productkaarten[#All],48,FALSE)*Optimalisatie!J58),Baseline_Backlog!G371),0))</f>
        <v>0</v>
      </c>
      <c r="H371" s="91">
        <f>(IF(Optimalisatie!C58="Nieuwe Situatie",_xlfn.IFNA(VLOOKUP(Optimalisatie!V58,Database_Transport[#All],42,FALSE)*(Optimalisatie!R58*Optimalisatie!U58),Baseline_Backlog!H371),0))</f>
        <v>0</v>
      </c>
      <c r="I371" s="91">
        <f>IF(Optimalisatie!C58="Nieuwe situatie",IF(_xlfn.IFNA((VLOOKUP(Optimalisatie!W58,Database_Asfalt_Aanlegset[#All],42,FALSE)*Optimalisatie!J58),0)+_xlfn.IFNA(VLOOKUP(Optimalisatie!X58,Database_Brandstoffen[#All],42,FALSE)*((Optimalisatie!J58/Optimalisatie!Z58)*Optimalisatie!Y58),0)&gt;0,_xlfn.IFNA((VLOOKUP(Optimalisatie!W58,Database_Asfalt_Aanlegset[#All],42,FALSE)*Optimalisatie!J58),0)+_xlfn.IFNA(VLOOKUP(Optimalisatie!X58,Database_Brandstoffen[#All],42,FALSE)*((Optimalisatie!J58/Optimalisatie!Z58)*Optimalisatie!Y58),0),(_xlfn.IFNA(VLOOKUP(Inschrijf_Hernieuwbare_Energie_Totaal[[#This Row],[Product]]&amp;", "&amp;Inschrijf_MKI_Totaal[[#Headers],[A5]],Database_Productkaarten[#All],48,FALSE),0)*Optimalisatie!J58)),0)</f>
        <v>0</v>
      </c>
      <c r="J371" s="91">
        <f>(IF(Optimalisatie!C58="Nieuwe Situatie",_xlfn.IFNA(IF(Optimalisatie!E58="Categorie_1_LCA_Producten",VLOOKUP(Inschrijf_Hernieuwbare_Energie_Totaal[[#This Row],[Product]],Categorie_1_Producten[#All],28,FALSE)*(Optimalisatie!R58),VLOOKUP(Inschrijf_Hernieuwbare_Energie_Totaal[[#This Row],[Product]]&amp;", "&amp;Inschrijf_Hernieuwbare_Energie_Totaal[[#Headers],[B1]],Database_Productkaarten[#All],47,FALSE)*Optimalisatie!J58),Baseline_Backlog!J371),0))</f>
        <v>0</v>
      </c>
      <c r="K371" s="91">
        <f>(IF(Optimalisatie!C58="Nieuwe Situatie",_xlfn.IFNA(SUM(Inschrijf_Hernieuwbare_Energie_Totaal[[#This Row],[A1]:[B1]],Inschrijf_Hernieuwbare_Energie_Totaal[[#This Row],[C1]:[D2]])*Optimalisatie!T58,0),0))</f>
        <v>0</v>
      </c>
      <c r="L371" s="91">
        <f>IF(Optimalisatie!C58="Bestaande situatie",IF(_xlfn.IFNA((VLOOKUP(Optimalisatie!AA58,Database_Asfalt_Verwijderset[#All],42,FALSE)*Optimalisatie!J58),0)+_xlfn.IFNA(VLOOKUP(Optimalisatie!AB58,Database_Brandstoffen[#All],42,FALSE)*((Optimalisatie!J58/Optimalisatie!AD58)*Optimalisatie!AC58),0)&gt;0,_xlfn.IFNA((VLOOKUP(Optimalisatie!AA58,Database_Asfalt_Verwijderset[#All],42,FALSE)*Optimalisatie!J58),0)+_xlfn.IFNA(VLOOKUP(Optimalisatie!AB58,Database_Brandstoffen[#All],42,FALSE)*((Optimalisatie!J58/Optimalisatie!AD58)*Optimalisatie!AC58),0),(_xlfn.IFNA(VLOOKUP(Inschrijf_Hernieuwbare_Energie_Totaal[[#This Row],[Product]]&amp;", "&amp;Inschrijf_MKI_Totaal[[#Headers],[C1]],Database_Productkaarten[#All],48,FALSE),0)*Optimalisatie!J58)),0)</f>
        <v>0</v>
      </c>
      <c r="M371" s="91">
        <f>(IF(Optimalisatie!C58="Bestaande Situatie",_xlfn.IFNA(VLOOKUP(Optimalisatie!AF58,Database_Transport[#All],42,FALSE)*(Optimalisatie!R58*Optimalisatie!AE58),Baseline_Backlog!M371),0))</f>
        <v>0</v>
      </c>
      <c r="N371" s="91">
        <f>(IF(Optimalisatie!C58="Bestaande Situatie",_xlfn.IFNA(VLOOKUP(Optimalisatie!AG58,Database_Asfalt_Verwerkingsset[#All],42,FALSE)*(Optimalisatie!J58/VLOOKUP(Optimalisatie!AG58,Database_Asfalt_Verwerkingsset[#All],42,FALSE)),Baseline_Backlog!N371),0))</f>
        <v>0</v>
      </c>
      <c r="O371" s="91">
        <f>(IF(Optimalisatie!C58="Bestaande Situatie",_xlfn.IFNA(VLOOKUP(Inschrijf_Hernieuwbare_Energie_Totaal[[#This Row],[Product]]&amp;", "&amp;Inschrijf_MKI_Totaal[[#Headers],[C4]],Database_Productkaarten[#All],48,FALSE)*Optimalisatie!J58,Baseline_Backlog!O371),0))</f>
        <v>0</v>
      </c>
      <c r="P371" s="91">
        <f>(IF(Optimalisatie!C58="Bestaande Situatie",_xlfn.IFNA(IF(Optimalisatie!E58="Categorie_1_LCA_Producten",VLOOKUP(Inschrijf_Hernieuwbare_Energie_Totaal[[#This Row],[Product]],Categorie_1_Producten[#All],24,FALSE)*(Optimalisatie!J58),VLOOKUP(Inschrijf_Hernieuwbare_Energie_Totaal[[#This Row],[Product]]&amp;", "&amp;Inschrijf_Hernieuwbare_Energie_Totaal[[#Headers],[D1]],Database_Productkaarten[#All],48,FALSE)*Optimalisatie!J58),Baseline_Backlog!P371),0))</f>
        <v>0</v>
      </c>
      <c r="Q371" s="91">
        <f>(IF(Optimalisatie!C58="Bestaande Situatie",_xlfn.IFNA(IF(Optimalisatie!E58="Categorie_1_LCA_Producten",VLOOKUP(Inschrijf_Hernieuwbare_Energie_Totaal[[#This Row],[Product]],Categorie_1_Producten[#All],25,FALSE)*(Optimalisatie!J58),VLOOKUP(Inschrijf_Hernieuwbare_Energie_Totaal[[#This Row],[Product]]&amp;", "&amp;Inschrijf_Hernieuwbare_Energie_Totaal[[#Headers],[D2]],Database_Productkaarten[#All],48,FALSE)*Optimalisatie!J58),Baseline_Backlog!Q371),0))</f>
        <v>0</v>
      </c>
      <c r="R371" s="91">
        <f>(IF(Optimalisatie!C58="Bestaande Situatie",_xlfn.IFNA(IF(Optimalisatie!E58="Categorie_1_LCA_Producten",VLOOKUP(Inschrijf_Hernieuwbare_Energie_Totaal[[#This Row],[Product]],Categorie_1_Producten[#All],29,FALSE)*(Optimalisatie!J58),VLOOKUP(Inschrijf_Hernieuwbare_Energie_Totaal[[#This Row],[Product]]&amp;", "&amp;Inschrijf_Hernieuwbare_Energie_Totaal[[#Headers],[D]],Database_Productkaarten[#All],48,FALSE)*Optimalisatie!J58),Baseline_Backlog!S371),0))</f>
        <v>0</v>
      </c>
      <c r="S371" s="91">
        <f>SUM(Inschrijf_Hernieuwbare_Energie_Totaal[[#This Row],[A1-A3]:[C4]])+Inschrijf_Hernieuwbare_Energie_Totaal[[#This Row],[D]]</f>
        <v>0</v>
      </c>
    </row>
    <row r="372" spans="2:19">
      <c r="B372" s="208">
        <f>Optimalisatie!B59</f>
        <v>0</v>
      </c>
      <c r="C372" s="1">
        <f>Optimalisatie!F59</f>
        <v>0</v>
      </c>
      <c r="D372" s="91">
        <f>(IF(Optimalisatie!C59="Nieuwe Situatie",_xlfn.IFNA(IF(Optimalisatie!E59="Categorie_1_LCA_Producten",VLOOKUP(Inschrijf_Hernieuwbare_Energie_Totaal[[#This Row],[Product]],Categorie_1_Producten[#All],20,FALSE)*(Optimalisatie!J59),VLOOKUP(Inschrijf_Hernieuwbare_Energie_Totaal[[#This Row],[Product]]&amp;", "&amp;Inschrijf_Hernieuwbare_Energie_Totaal[[#Headers],[A1]],Database_Productkaarten[#All],48,FALSE)*Optimalisatie!J59),Baseline_Backlog!D372),0))</f>
        <v>0</v>
      </c>
      <c r="E372" s="91">
        <f>(IF(Optimalisatie!C59="Nieuwe Situatie",_xlfn.IFNA(IF(Optimalisatie!E59="Categorie_1_LCA_Producten",VLOOKUP(Inschrijf_Hernieuwbare_Energie_Totaal[[#This Row],[Product]],Categorie_1_Producten[#All],21,FALSE)*(Optimalisatie!J59),VLOOKUP(Inschrijf_Hernieuwbare_Energie_Totaal[[#This Row],[Product]]&amp;", "&amp;Inschrijf_Hernieuwbare_Energie_Totaal[[#Headers],[A2]],Database_Productkaarten[#All],48,FALSE)*Optimalisatie!J59),Baseline_Backlog!E372),0))</f>
        <v>0</v>
      </c>
      <c r="F372" s="91">
        <f>(IF(Optimalisatie!C59="Nieuwe Situatie",_xlfn.IFNA(IF(Optimalisatie!E59="Categorie_1_LCA_Producten",VLOOKUP(Inschrijf_Hernieuwbare_Energie_Totaal[[#This Row],[Product]],Categorie_1_Producten[#All],22,FALSE)*(Optimalisatie!J59),VLOOKUP(Inschrijf_Hernieuwbare_Energie_Totaal[[#This Row],[Product]]&amp;", "&amp;Inschrijf_Hernieuwbare_Energie_Totaal[[#Headers],[A3]],Database_Productkaarten[#All],48,FALSE)*Optimalisatie!J59),Baseline_Backlog!F372),0))</f>
        <v>0</v>
      </c>
      <c r="G372" s="91">
        <f>(IF(Optimalisatie!C59="Nieuwe Situatie",_xlfn.IFNA(IF(Optimalisatie!E59="Categorie_1_LCA_Producten",VLOOKUP(Inschrijf_Hernieuwbare_Energie_Totaal[[#This Row],[Product]],Categorie_1_Producten[#All],27,FALSE)*(Optimalisatie!J59),VLOOKUP(Inschrijf_Hernieuwbare_Energie_Totaal[[#This Row],[Product]]&amp;", "&amp;Inschrijf_Hernieuwbare_Energie_Totaal[[#Headers],[A1-A3]],Database_Productkaarten[#All],48,FALSE)*Optimalisatie!J59),Baseline_Backlog!G372),0))</f>
        <v>0</v>
      </c>
      <c r="H372" s="91">
        <f>(IF(Optimalisatie!C59="Nieuwe Situatie",_xlfn.IFNA(VLOOKUP(Optimalisatie!V59,Database_Transport[#All],42,FALSE)*(Optimalisatie!R59*Optimalisatie!U59),Baseline_Backlog!H372),0))</f>
        <v>0</v>
      </c>
      <c r="I372" s="91">
        <f>IF(Optimalisatie!C59="Nieuwe situatie",IF(_xlfn.IFNA((VLOOKUP(Optimalisatie!W59,Database_Asfalt_Aanlegset[#All],42,FALSE)*Optimalisatie!J59),0)+_xlfn.IFNA(VLOOKUP(Optimalisatie!X59,Database_Brandstoffen[#All],42,FALSE)*((Optimalisatie!J59/Optimalisatie!Z59)*Optimalisatie!Y59),0)&gt;0,_xlfn.IFNA((VLOOKUP(Optimalisatie!W59,Database_Asfalt_Aanlegset[#All],42,FALSE)*Optimalisatie!J59),0)+_xlfn.IFNA(VLOOKUP(Optimalisatie!X59,Database_Brandstoffen[#All],42,FALSE)*((Optimalisatie!J59/Optimalisatie!Z59)*Optimalisatie!Y59),0),(_xlfn.IFNA(VLOOKUP(Inschrijf_Hernieuwbare_Energie_Totaal[[#This Row],[Product]]&amp;", "&amp;Inschrijf_MKI_Totaal[[#Headers],[A5]],Database_Productkaarten[#All],48,FALSE),0)*Optimalisatie!J59)),0)</f>
        <v>0</v>
      </c>
      <c r="J372" s="91">
        <f>(IF(Optimalisatie!C59="Nieuwe Situatie",_xlfn.IFNA(IF(Optimalisatie!E59="Categorie_1_LCA_Producten",VLOOKUP(Inschrijf_Hernieuwbare_Energie_Totaal[[#This Row],[Product]],Categorie_1_Producten[#All],28,FALSE)*(Optimalisatie!R59),VLOOKUP(Inschrijf_Hernieuwbare_Energie_Totaal[[#This Row],[Product]]&amp;", "&amp;Inschrijf_Hernieuwbare_Energie_Totaal[[#Headers],[B1]],Database_Productkaarten[#All],47,FALSE)*Optimalisatie!J59),Baseline_Backlog!J372),0))</f>
        <v>0</v>
      </c>
      <c r="K372" s="91">
        <f>(IF(Optimalisatie!C59="Nieuwe Situatie",_xlfn.IFNA(SUM(Inschrijf_Hernieuwbare_Energie_Totaal[[#This Row],[A1]:[B1]],Inschrijf_Hernieuwbare_Energie_Totaal[[#This Row],[C1]:[D2]])*Optimalisatie!T59,0),0))</f>
        <v>0</v>
      </c>
      <c r="L372" s="91">
        <f>IF(Optimalisatie!C59="Bestaande situatie",IF(_xlfn.IFNA((VLOOKUP(Optimalisatie!AA59,Database_Asfalt_Verwijderset[#All],42,FALSE)*Optimalisatie!J59),0)+_xlfn.IFNA(VLOOKUP(Optimalisatie!AB59,Database_Brandstoffen[#All],42,FALSE)*((Optimalisatie!J59/Optimalisatie!AD59)*Optimalisatie!AC59),0)&gt;0,_xlfn.IFNA((VLOOKUP(Optimalisatie!AA59,Database_Asfalt_Verwijderset[#All],42,FALSE)*Optimalisatie!J59),0)+_xlfn.IFNA(VLOOKUP(Optimalisatie!AB59,Database_Brandstoffen[#All],42,FALSE)*((Optimalisatie!J59/Optimalisatie!AD59)*Optimalisatie!AC59),0),(_xlfn.IFNA(VLOOKUP(Inschrijf_Hernieuwbare_Energie_Totaal[[#This Row],[Product]]&amp;", "&amp;Inschrijf_MKI_Totaal[[#Headers],[C1]],Database_Productkaarten[#All],48,FALSE),0)*Optimalisatie!J59)),0)</f>
        <v>0</v>
      </c>
      <c r="M372" s="91">
        <f>(IF(Optimalisatie!C59="Bestaande Situatie",_xlfn.IFNA(VLOOKUP(Optimalisatie!AF59,Database_Transport[#All],42,FALSE)*(Optimalisatie!R59*Optimalisatie!AE59),Baseline_Backlog!M372),0))</f>
        <v>0</v>
      </c>
      <c r="N372" s="91">
        <f>(IF(Optimalisatie!C59="Bestaande Situatie",_xlfn.IFNA(VLOOKUP(Optimalisatie!AG59,Database_Asfalt_Verwerkingsset[#All],42,FALSE)*(Optimalisatie!J59/VLOOKUP(Optimalisatie!AG59,Database_Asfalt_Verwerkingsset[#All],42,FALSE)),Baseline_Backlog!N372),0))</f>
        <v>0</v>
      </c>
      <c r="O372" s="91">
        <f>(IF(Optimalisatie!C59="Bestaande Situatie",_xlfn.IFNA(VLOOKUP(Inschrijf_Hernieuwbare_Energie_Totaal[[#This Row],[Product]]&amp;", "&amp;Inschrijf_MKI_Totaal[[#Headers],[C4]],Database_Productkaarten[#All],48,FALSE)*Optimalisatie!J59,Baseline_Backlog!O372),0))</f>
        <v>0</v>
      </c>
      <c r="P372" s="91">
        <f>(IF(Optimalisatie!C59="Bestaande Situatie",_xlfn.IFNA(IF(Optimalisatie!E59="Categorie_1_LCA_Producten",VLOOKUP(Inschrijf_Hernieuwbare_Energie_Totaal[[#This Row],[Product]],Categorie_1_Producten[#All],24,FALSE)*(Optimalisatie!J59),VLOOKUP(Inschrijf_Hernieuwbare_Energie_Totaal[[#This Row],[Product]]&amp;", "&amp;Inschrijf_Hernieuwbare_Energie_Totaal[[#Headers],[D1]],Database_Productkaarten[#All],48,FALSE)*Optimalisatie!J59),Baseline_Backlog!P372),0))</f>
        <v>0</v>
      </c>
      <c r="Q372" s="91">
        <f>(IF(Optimalisatie!C59="Bestaande Situatie",_xlfn.IFNA(IF(Optimalisatie!E59="Categorie_1_LCA_Producten",VLOOKUP(Inschrijf_Hernieuwbare_Energie_Totaal[[#This Row],[Product]],Categorie_1_Producten[#All],25,FALSE)*(Optimalisatie!J59),VLOOKUP(Inschrijf_Hernieuwbare_Energie_Totaal[[#This Row],[Product]]&amp;", "&amp;Inschrijf_Hernieuwbare_Energie_Totaal[[#Headers],[D2]],Database_Productkaarten[#All],48,FALSE)*Optimalisatie!J59),Baseline_Backlog!Q372),0))</f>
        <v>0</v>
      </c>
      <c r="R372" s="91">
        <f>(IF(Optimalisatie!C59="Bestaande Situatie",_xlfn.IFNA(IF(Optimalisatie!E59="Categorie_1_LCA_Producten",VLOOKUP(Inschrijf_Hernieuwbare_Energie_Totaal[[#This Row],[Product]],Categorie_1_Producten[#All],29,FALSE)*(Optimalisatie!J59),VLOOKUP(Inschrijf_Hernieuwbare_Energie_Totaal[[#This Row],[Product]]&amp;", "&amp;Inschrijf_Hernieuwbare_Energie_Totaal[[#Headers],[D]],Database_Productkaarten[#All],48,FALSE)*Optimalisatie!J59),Baseline_Backlog!S372),0))</f>
        <v>0</v>
      </c>
      <c r="S372" s="91">
        <f>SUM(Inschrijf_Hernieuwbare_Energie_Totaal[[#This Row],[A1-A3]:[C4]])+Inschrijf_Hernieuwbare_Energie_Totaal[[#This Row],[D]]</f>
        <v>0</v>
      </c>
    </row>
    <row r="373" spans="2:19">
      <c r="B373" s="208">
        <f>Optimalisatie!B60</f>
        <v>0</v>
      </c>
      <c r="C373" s="1">
        <f>Optimalisatie!F60</f>
        <v>0</v>
      </c>
      <c r="D373" s="91">
        <f>(IF(Optimalisatie!C60="Nieuwe Situatie",_xlfn.IFNA(IF(Optimalisatie!E60="Categorie_1_LCA_Producten",VLOOKUP(Inschrijf_Hernieuwbare_Energie_Totaal[[#This Row],[Product]],Categorie_1_Producten[#All],20,FALSE)*(Optimalisatie!J60),VLOOKUP(Inschrijf_Hernieuwbare_Energie_Totaal[[#This Row],[Product]]&amp;", "&amp;Inschrijf_Hernieuwbare_Energie_Totaal[[#Headers],[A1]],Database_Productkaarten[#All],48,FALSE)*Optimalisatie!J60),Baseline_Backlog!D373),0))</f>
        <v>0</v>
      </c>
      <c r="E373" s="91">
        <f>(IF(Optimalisatie!C60="Nieuwe Situatie",_xlfn.IFNA(IF(Optimalisatie!E60="Categorie_1_LCA_Producten",VLOOKUP(Inschrijf_Hernieuwbare_Energie_Totaal[[#This Row],[Product]],Categorie_1_Producten[#All],21,FALSE)*(Optimalisatie!J60),VLOOKUP(Inschrijf_Hernieuwbare_Energie_Totaal[[#This Row],[Product]]&amp;", "&amp;Inschrijf_Hernieuwbare_Energie_Totaal[[#Headers],[A2]],Database_Productkaarten[#All],48,FALSE)*Optimalisatie!J60),Baseline_Backlog!E373),0))</f>
        <v>0</v>
      </c>
      <c r="F373" s="91">
        <f>(IF(Optimalisatie!C60="Nieuwe Situatie",_xlfn.IFNA(IF(Optimalisatie!E60="Categorie_1_LCA_Producten",VLOOKUP(Inschrijf_Hernieuwbare_Energie_Totaal[[#This Row],[Product]],Categorie_1_Producten[#All],22,FALSE)*(Optimalisatie!J60),VLOOKUP(Inschrijf_Hernieuwbare_Energie_Totaal[[#This Row],[Product]]&amp;", "&amp;Inschrijf_Hernieuwbare_Energie_Totaal[[#Headers],[A3]],Database_Productkaarten[#All],48,FALSE)*Optimalisatie!J60),Baseline_Backlog!F373),0))</f>
        <v>0</v>
      </c>
      <c r="G373" s="91">
        <f>(IF(Optimalisatie!C60="Nieuwe Situatie",_xlfn.IFNA(IF(Optimalisatie!E60="Categorie_1_LCA_Producten",VLOOKUP(Inschrijf_Hernieuwbare_Energie_Totaal[[#This Row],[Product]],Categorie_1_Producten[#All],27,FALSE)*(Optimalisatie!J60),VLOOKUP(Inschrijf_Hernieuwbare_Energie_Totaal[[#This Row],[Product]]&amp;", "&amp;Inschrijf_Hernieuwbare_Energie_Totaal[[#Headers],[A1-A3]],Database_Productkaarten[#All],48,FALSE)*Optimalisatie!J60),Baseline_Backlog!G373),0))</f>
        <v>0</v>
      </c>
      <c r="H373" s="91">
        <f>(IF(Optimalisatie!C60="Nieuwe Situatie",_xlfn.IFNA(VLOOKUP(Optimalisatie!V60,Database_Transport[#All],42,FALSE)*(Optimalisatie!R60*Optimalisatie!U60),Baseline_Backlog!H373),0))</f>
        <v>0</v>
      </c>
      <c r="I373" s="91">
        <f>IF(Optimalisatie!C60="Nieuwe situatie",IF(_xlfn.IFNA((VLOOKUP(Optimalisatie!W60,Database_Asfalt_Aanlegset[#All],42,FALSE)*Optimalisatie!J60),0)+_xlfn.IFNA(VLOOKUP(Optimalisatie!X60,Database_Brandstoffen[#All],42,FALSE)*((Optimalisatie!J60/Optimalisatie!Z60)*Optimalisatie!Y60),0)&gt;0,_xlfn.IFNA((VLOOKUP(Optimalisatie!W60,Database_Asfalt_Aanlegset[#All],42,FALSE)*Optimalisatie!J60),0)+_xlfn.IFNA(VLOOKUP(Optimalisatie!X60,Database_Brandstoffen[#All],42,FALSE)*((Optimalisatie!J60/Optimalisatie!Z60)*Optimalisatie!Y60),0),(_xlfn.IFNA(VLOOKUP(Inschrijf_Hernieuwbare_Energie_Totaal[[#This Row],[Product]]&amp;", "&amp;Inschrijf_MKI_Totaal[[#Headers],[A5]],Database_Productkaarten[#All],48,FALSE),0)*Optimalisatie!J60)),0)</f>
        <v>0</v>
      </c>
      <c r="J373" s="91">
        <f>(IF(Optimalisatie!C60="Nieuwe Situatie",_xlfn.IFNA(IF(Optimalisatie!E60="Categorie_1_LCA_Producten",VLOOKUP(Inschrijf_Hernieuwbare_Energie_Totaal[[#This Row],[Product]],Categorie_1_Producten[#All],28,FALSE)*(Optimalisatie!R60),VLOOKUP(Inschrijf_Hernieuwbare_Energie_Totaal[[#This Row],[Product]]&amp;", "&amp;Inschrijf_Hernieuwbare_Energie_Totaal[[#Headers],[B1]],Database_Productkaarten[#All],47,FALSE)*Optimalisatie!J60),Baseline_Backlog!J373),0))</f>
        <v>0</v>
      </c>
      <c r="K373" s="91">
        <f>(IF(Optimalisatie!C60="Nieuwe Situatie",_xlfn.IFNA(SUM(Inschrijf_Hernieuwbare_Energie_Totaal[[#This Row],[A1]:[B1]],Inschrijf_Hernieuwbare_Energie_Totaal[[#This Row],[C1]:[D2]])*Optimalisatie!T60,0),0))</f>
        <v>0</v>
      </c>
      <c r="L373" s="91">
        <f>IF(Optimalisatie!C60="Bestaande situatie",IF(_xlfn.IFNA((VLOOKUP(Optimalisatie!AA60,Database_Asfalt_Verwijderset[#All],42,FALSE)*Optimalisatie!J60),0)+_xlfn.IFNA(VLOOKUP(Optimalisatie!AB60,Database_Brandstoffen[#All],42,FALSE)*((Optimalisatie!J60/Optimalisatie!AD60)*Optimalisatie!AC60),0)&gt;0,_xlfn.IFNA((VLOOKUP(Optimalisatie!AA60,Database_Asfalt_Verwijderset[#All],42,FALSE)*Optimalisatie!J60),0)+_xlfn.IFNA(VLOOKUP(Optimalisatie!AB60,Database_Brandstoffen[#All],42,FALSE)*((Optimalisatie!J60/Optimalisatie!AD60)*Optimalisatie!AC60),0),(_xlfn.IFNA(VLOOKUP(Inschrijf_Hernieuwbare_Energie_Totaal[[#This Row],[Product]]&amp;", "&amp;Inschrijf_MKI_Totaal[[#Headers],[C1]],Database_Productkaarten[#All],48,FALSE),0)*Optimalisatie!J60)),0)</f>
        <v>0</v>
      </c>
      <c r="M373" s="91">
        <f>(IF(Optimalisatie!C60="Bestaande Situatie",_xlfn.IFNA(VLOOKUP(Optimalisatie!AF60,Database_Transport[#All],42,FALSE)*(Optimalisatie!R60*Optimalisatie!AE60),Baseline_Backlog!M373),0))</f>
        <v>0</v>
      </c>
      <c r="N373" s="91">
        <f>(IF(Optimalisatie!C60="Bestaande Situatie",_xlfn.IFNA(VLOOKUP(Optimalisatie!AG60,Database_Asfalt_Verwerkingsset[#All],42,FALSE)*(Optimalisatie!J60/VLOOKUP(Optimalisatie!AG60,Database_Asfalt_Verwerkingsset[#All],42,FALSE)),Baseline_Backlog!N373),0))</f>
        <v>0</v>
      </c>
      <c r="O373" s="91">
        <f>(IF(Optimalisatie!C60="Bestaande Situatie",_xlfn.IFNA(VLOOKUP(Inschrijf_Hernieuwbare_Energie_Totaal[[#This Row],[Product]]&amp;", "&amp;Inschrijf_MKI_Totaal[[#Headers],[C4]],Database_Productkaarten[#All],48,FALSE)*Optimalisatie!J60,Baseline_Backlog!O373),0))</f>
        <v>0</v>
      </c>
      <c r="P373" s="91">
        <f>(IF(Optimalisatie!C60="Bestaande Situatie",_xlfn.IFNA(IF(Optimalisatie!E60="Categorie_1_LCA_Producten",VLOOKUP(Inschrijf_Hernieuwbare_Energie_Totaal[[#This Row],[Product]],Categorie_1_Producten[#All],24,FALSE)*(Optimalisatie!J60),VLOOKUP(Inschrijf_Hernieuwbare_Energie_Totaal[[#This Row],[Product]]&amp;", "&amp;Inschrijf_Hernieuwbare_Energie_Totaal[[#Headers],[D1]],Database_Productkaarten[#All],48,FALSE)*Optimalisatie!J60),Baseline_Backlog!P373),0))</f>
        <v>0</v>
      </c>
      <c r="Q373" s="91">
        <f>(IF(Optimalisatie!C60="Bestaande Situatie",_xlfn.IFNA(IF(Optimalisatie!E60="Categorie_1_LCA_Producten",VLOOKUP(Inschrijf_Hernieuwbare_Energie_Totaal[[#This Row],[Product]],Categorie_1_Producten[#All],25,FALSE)*(Optimalisatie!J60),VLOOKUP(Inschrijf_Hernieuwbare_Energie_Totaal[[#This Row],[Product]]&amp;", "&amp;Inschrijf_Hernieuwbare_Energie_Totaal[[#Headers],[D2]],Database_Productkaarten[#All],48,FALSE)*Optimalisatie!J60),Baseline_Backlog!Q373),0))</f>
        <v>0</v>
      </c>
      <c r="R373" s="91">
        <f>(IF(Optimalisatie!C60="Bestaande Situatie",_xlfn.IFNA(IF(Optimalisatie!E60="Categorie_1_LCA_Producten",VLOOKUP(Inschrijf_Hernieuwbare_Energie_Totaal[[#This Row],[Product]],Categorie_1_Producten[#All],29,FALSE)*(Optimalisatie!J60),VLOOKUP(Inschrijf_Hernieuwbare_Energie_Totaal[[#This Row],[Product]]&amp;", "&amp;Inschrijf_Hernieuwbare_Energie_Totaal[[#Headers],[D]],Database_Productkaarten[#All],48,FALSE)*Optimalisatie!J60),Baseline_Backlog!S373),0))</f>
        <v>0</v>
      </c>
      <c r="S373" s="91">
        <f>SUM(Inschrijf_Hernieuwbare_Energie_Totaal[[#This Row],[A1-A3]:[C4]])+Inschrijf_Hernieuwbare_Energie_Totaal[[#This Row],[D]]</f>
        <v>0</v>
      </c>
    </row>
    <row r="374" spans="2:19">
      <c r="B374" s="208">
        <f>Optimalisatie!B61</f>
        <v>0</v>
      </c>
      <c r="C374" s="1">
        <f>Optimalisatie!F61</f>
        <v>0</v>
      </c>
      <c r="D374" s="91">
        <f>(IF(Optimalisatie!C61="Nieuwe Situatie",_xlfn.IFNA(IF(Optimalisatie!E61="Categorie_1_LCA_Producten",VLOOKUP(Inschrijf_Hernieuwbare_Energie_Totaal[[#This Row],[Product]],Categorie_1_Producten[#All],20,FALSE)*(Optimalisatie!J61),VLOOKUP(Inschrijf_Hernieuwbare_Energie_Totaal[[#This Row],[Product]]&amp;", "&amp;Inschrijf_Hernieuwbare_Energie_Totaal[[#Headers],[A1]],Database_Productkaarten[#All],48,FALSE)*Optimalisatie!J61),Baseline_Backlog!D374),0))</f>
        <v>0</v>
      </c>
      <c r="E374" s="91">
        <f>(IF(Optimalisatie!C61="Nieuwe Situatie",_xlfn.IFNA(IF(Optimalisatie!E61="Categorie_1_LCA_Producten",VLOOKUP(Inschrijf_Hernieuwbare_Energie_Totaal[[#This Row],[Product]],Categorie_1_Producten[#All],21,FALSE)*(Optimalisatie!J61),VLOOKUP(Inschrijf_Hernieuwbare_Energie_Totaal[[#This Row],[Product]]&amp;", "&amp;Inschrijf_Hernieuwbare_Energie_Totaal[[#Headers],[A2]],Database_Productkaarten[#All],48,FALSE)*Optimalisatie!J61),Baseline_Backlog!E374),0))</f>
        <v>0</v>
      </c>
      <c r="F374" s="91">
        <f>(IF(Optimalisatie!C61="Nieuwe Situatie",_xlfn.IFNA(IF(Optimalisatie!E61="Categorie_1_LCA_Producten",VLOOKUP(Inschrijf_Hernieuwbare_Energie_Totaal[[#This Row],[Product]],Categorie_1_Producten[#All],22,FALSE)*(Optimalisatie!J61),VLOOKUP(Inschrijf_Hernieuwbare_Energie_Totaal[[#This Row],[Product]]&amp;", "&amp;Inschrijf_Hernieuwbare_Energie_Totaal[[#Headers],[A3]],Database_Productkaarten[#All],48,FALSE)*Optimalisatie!J61),Baseline_Backlog!F374),0))</f>
        <v>0</v>
      </c>
      <c r="G374" s="91">
        <f>(IF(Optimalisatie!C61="Nieuwe Situatie",_xlfn.IFNA(IF(Optimalisatie!E61="Categorie_1_LCA_Producten",VLOOKUP(Inschrijf_Hernieuwbare_Energie_Totaal[[#This Row],[Product]],Categorie_1_Producten[#All],27,FALSE)*(Optimalisatie!J61),VLOOKUP(Inschrijf_Hernieuwbare_Energie_Totaal[[#This Row],[Product]]&amp;", "&amp;Inschrijf_Hernieuwbare_Energie_Totaal[[#Headers],[A1-A3]],Database_Productkaarten[#All],48,FALSE)*Optimalisatie!J61),Baseline_Backlog!G374),0))</f>
        <v>0</v>
      </c>
      <c r="H374" s="91">
        <f>(IF(Optimalisatie!C61="Nieuwe Situatie",_xlfn.IFNA(VLOOKUP(Optimalisatie!V61,Database_Transport[#All],42,FALSE)*(Optimalisatie!R61*Optimalisatie!U61),Baseline_Backlog!H374),0))</f>
        <v>0</v>
      </c>
      <c r="I374" s="91">
        <f>IF(Optimalisatie!C61="Nieuwe situatie",IF(_xlfn.IFNA((VLOOKUP(Optimalisatie!W61,Database_Asfalt_Aanlegset[#All],42,FALSE)*Optimalisatie!J61),0)+_xlfn.IFNA(VLOOKUP(Optimalisatie!X61,Database_Brandstoffen[#All],42,FALSE)*((Optimalisatie!J61/Optimalisatie!Z61)*Optimalisatie!Y61),0)&gt;0,_xlfn.IFNA((VLOOKUP(Optimalisatie!W61,Database_Asfalt_Aanlegset[#All],42,FALSE)*Optimalisatie!J61),0)+_xlfn.IFNA(VLOOKUP(Optimalisatie!X61,Database_Brandstoffen[#All],42,FALSE)*((Optimalisatie!J61/Optimalisatie!Z61)*Optimalisatie!Y61),0),(_xlfn.IFNA(VLOOKUP(Inschrijf_Hernieuwbare_Energie_Totaal[[#This Row],[Product]]&amp;", "&amp;Inschrijf_MKI_Totaal[[#Headers],[A5]],Database_Productkaarten[#All],48,FALSE),0)*Optimalisatie!J61)),0)</f>
        <v>0</v>
      </c>
      <c r="J374" s="91">
        <f>(IF(Optimalisatie!C61="Nieuwe Situatie",_xlfn.IFNA(IF(Optimalisatie!E61="Categorie_1_LCA_Producten",VLOOKUP(Inschrijf_Hernieuwbare_Energie_Totaal[[#This Row],[Product]],Categorie_1_Producten[#All],28,FALSE)*(Optimalisatie!R61),VLOOKUP(Inschrijf_Hernieuwbare_Energie_Totaal[[#This Row],[Product]]&amp;", "&amp;Inschrijf_Hernieuwbare_Energie_Totaal[[#Headers],[B1]],Database_Productkaarten[#All],47,FALSE)*Optimalisatie!J61),Baseline_Backlog!J374),0))</f>
        <v>0</v>
      </c>
      <c r="K374" s="91">
        <f>(IF(Optimalisatie!C61="Nieuwe Situatie",_xlfn.IFNA(SUM(Inschrijf_Hernieuwbare_Energie_Totaal[[#This Row],[A1]:[B1]],Inschrijf_Hernieuwbare_Energie_Totaal[[#This Row],[C1]:[D2]])*Optimalisatie!T61,0),0))</f>
        <v>0</v>
      </c>
      <c r="L374" s="91">
        <f>IF(Optimalisatie!C61="Bestaande situatie",IF(_xlfn.IFNA((VLOOKUP(Optimalisatie!AA61,Database_Asfalt_Verwijderset[#All],42,FALSE)*Optimalisatie!J61),0)+_xlfn.IFNA(VLOOKUP(Optimalisatie!AB61,Database_Brandstoffen[#All],42,FALSE)*((Optimalisatie!J61/Optimalisatie!AD61)*Optimalisatie!AC61),0)&gt;0,_xlfn.IFNA((VLOOKUP(Optimalisatie!AA61,Database_Asfalt_Verwijderset[#All],42,FALSE)*Optimalisatie!J61),0)+_xlfn.IFNA(VLOOKUP(Optimalisatie!AB61,Database_Brandstoffen[#All],42,FALSE)*((Optimalisatie!J61/Optimalisatie!AD61)*Optimalisatie!AC61),0),(_xlfn.IFNA(VLOOKUP(Inschrijf_Hernieuwbare_Energie_Totaal[[#This Row],[Product]]&amp;", "&amp;Inschrijf_MKI_Totaal[[#Headers],[C1]],Database_Productkaarten[#All],48,FALSE),0)*Optimalisatie!J61)),0)</f>
        <v>0</v>
      </c>
      <c r="M374" s="91">
        <f>(IF(Optimalisatie!C61="Bestaande Situatie",_xlfn.IFNA(VLOOKUP(Optimalisatie!AF61,Database_Transport[#All],42,FALSE)*(Optimalisatie!R61*Optimalisatie!AE61),Baseline_Backlog!M374),0))</f>
        <v>0</v>
      </c>
      <c r="N374" s="91">
        <f>(IF(Optimalisatie!C61="Bestaande Situatie",_xlfn.IFNA(VLOOKUP(Optimalisatie!AG61,Database_Asfalt_Verwerkingsset[#All],42,FALSE)*(Optimalisatie!J61/VLOOKUP(Optimalisatie!AG61,Database_Asfalt_Verwerkingsset[#All],42,FALSE)),Baseline_Backlog!N374),0))</f>
        <v>0</v>
      </c>
      <c r="O374" s="91">
        <f>(IF(Optimalisatie!C61="Bestaande Situatie",_xlfn.IFNA(VLOOKUP(Inschrijf_Hernieuwbare_Energie_Totaal[[#This Row],[Product]]&amp;", "&amp;Inschrijf_MKI_Totaal[[#Headers],[C4]],Database_Productkaarten[#All],48,FALSE)*Optimalisatie!J61,Baseline_Backlog!O374),0))</f>
        <v>0</v>
      </c>
      <c r="P374" s="91">
        <f>(IF(Optimalisatie!C61="Bestaande Situatie",_xlfn.IFNA(IF(Optimalisatie!E61="Categorie_1_LCA_Producten",VLOOKUP(Inschrijf_Hernieuwbare_Energie_Totaal[[#This Row],[Product]],Categorie_1_Producten[#All],24,FALSE)*(Optimalisatie!J61),VLOOKUP(Inschrijf_Hernieuwbare_Energie_Totaal[[#This Row],[Product]]&amp;", "&amp;Inschrijf_Hernieuwbare_Energie_Totaal[[#Headers],[D1]],Database_Productkaarten[#All],48,FALSE)*Optimalisatie!J61),Baseline_Backlog!P374),0))</f>
        <v>0</v>
      </c>
      <c r="Q374" s="91">
        <f>(IF(Optimalisatie!C61="Bestaande Situatie",_xlfn.IFNA(IF(Optimalisatie!E61="Categorie_1_LCA_Producten",VLOOKUP(Inschrijf_Hernieuwbare_Energie_Totaal[[#This Row],[Product]],Categorie_1_Producten[#All],25,FALSE)*(Optimalisatie!J61),VLOOKUP(Inschrijf_Hernieuwbare_Energie_Totaal[[#This Row],[Product]]&amp;", "&amp;Inschrijf_Hernieuwbare_Energie_Totaal[[#Headers],[D2]],Database_Productkaarten[#All],48,FALSE)*Optimalisatie!J61),Baseline_Backlog!Q374),0))</f>
        <v>0</v>
      </c>
      <c r="R374" s="91">
        <f>(IF(Optimalisatie!C61="Bestaande Situatie",_xlfn.IFNA(IF(Optimalisatie!E61="Categorie_1_LCA_Producten",VLOOKUP(Inschrijf_Hernieuwbare_Energie_Totaal[[#This Row],[Product]],Categorie_1_Producten[#All],29,FALSE)*(Optimalisatie!J61),VLOOKUP(Inschrijf_Hernieuwbare_Energie_Totaal[[#This Row],[Product]]&amp;", "&amp;Inschrijf_Hernieuwbare_Energie_Totaal[[#Headers],[D]],Database_Productkaarten[#All],48,FALSE)*Optimalisatie!J61),Baseline_Backlog!S374),0))</f>
        <v>0</v>
      </c>
      <c r="S374" s="91">
        <f>SUM(Inschrijf_Hernieuwbare_Energie_Totaal[[#This Row],[A1-A3]:[C4]])+Inschrijf_Hernieuwbare_Energie_Totaal[[#This Row],[D]]</f>
        <v>0</v>
      </c>
    </row>
    <row r="375" spans="2:19">
      <c r="B375" s="208">
        <f>Optimalisatie!B62</f>
        <v>0</v>
      </c>
      <c r="C375" s="1">
        <f>Optimalisatie!F62</f>
        <v>0</v>
      </c>
      <c r="D375" s="91">
        <f>(IF(Optimalisatie!C62="Nieuwe Situatie",_xlfn.IFNA(IF(Optimalisatie!E62="Categorie_1_LCA_Producten",VLOOKUP(Inschrijf_Hernieuwbare_Energie_Totaal[[#This Row],[Product]],Categorie_1_Producten[#All],20,FALSE)*(Optimalisatie!J62),VLOOKUP(Inschrijf_Hernieuwbare_Energie_Totaal[[#This Row],[Product]]&amp;", "&amp;Inschrijf_Hernieuwbare_Energie_Totaal[[#Headers],[A1]],Database_Productkaarten[#All],48,FALSE)*Optimalisatie!J62),Baseline_Backlog!D375),0))</f>
        <v>0</v>
      </c>
      <c r="E375" s="91">
        <f>(IF(Optimalisatie!C62="Nieuwe Situatie",_xlfn.IFNA(IF(Optimalisatie!E62="Categorie_1_LCA_Producten",VLOOKUP(Inschrijf_Hernieuwbare_Energie_Totaal[[#This Row],[Product]],Categorie_1_Producten[#All],21,FALSE)*(Optimalisatie!J62),VLOOKUP(Inschrijf_Hernieuwbare_Energie_Totaal[[#This Row],[Product]]&amp;", "&amp;Inschrijf_Hernieuwbare_Energie_Totaal[[#Headers],[A2]],Database_Productkaarten[#All],48,FALSE)*Optimalisatie!J62),Baseline_Backlog!E375),0))</f>
        <v>0</v>
      </c>
      <c r="F375" s="91">
        <f>(IF(Optimalisatie!C62="Nieuwe Situatie",_xlfn.IFNA(IF(Optimalisatie!E62="Categorie_1_LCA_Producten",VLOOKUP(Inschrijf_Hernieuwbare_Energie_Totaal[[#This Row],[Product]],Categorie_1_Producten[#All],22,FALSE)*(Optimalisatie!J62),VLOOKUP(Inschrijf_Hernieuwbare_Energie_Totaal[[#This Row],[Product]]&amp;", "&amp;Inschrijf_Hernieuwbare_Energie_Totaal[[#Headers],[A3]],Database_Productkaarten[#All],48,FALSE)*Optimalisatie!J62),Baseline_Backlog!F375),0))</f>
        <v>0</v>
      </c>
      <c r="G375" s="91">
        <f>(IF(Optimalisatie!C62="Nieuwe Situatie",_xlfn.IFNA(IF(Optimalisatie!E62="Categorie_1_LCA_Producten",VLOOKUP(Inschrijf_Hernieuwbare_Energie_Totaal[[#This Row],[Product]],Categorie_1_Producten[#All],27,FALSE)*(Optimalisatie!J62),VLOOKUP(Inschrijf_Hernieuwbare_Energie_Totaal[[#This Row],[Product]]&amp;", "&amp;Inschrijf_Hernieuwbare_Energie_Totaal[[#Headers],[A1-A3]],Database_Productkaarten[#All],48,FALSE)*Optimalisatie!J62),Baseline_Backlog!G375),0))</f>
        <v>0</v>
      </c>
      <c r="H375" s="91">
        <f>(IF(Optimalisatie!C62="Nieuwe Situatie",_xlfn.IFNA(VLOOKUP(Optimalisatie!V62,Database_Transport[#All],42,FALSE)*(Optimalisatie!R62*Optimalisatie!U62),Baseline_Backlog!H375),0))</f>
        <v>0</v>
      </c>
      <c r="I375" s="91">
        <f>IF(Optimalisatie!C62="Nieuwe situatie",IF(_xlfn.IFNA((VLOOKUP(Optimalisatie!W62,Database_Asfalt_Aanlegset[#All],42,FALSE)*Optimalisatie!J62),0)+_xlfn.IFNA(VLOOKUP(Optimalisatie!X62,Database_Brandstoffen[#All],42,FALSE)*((Optimalisatie!J62/Optimalisatie!Z62)*Optimalisatie!Y62),0)&gt;0,_xlfn.IFNA((VLOOKUP(Optimalisatie!W62,Database_Asfalt_Aanlegset[#All],42,FALSE)*Optimalisatie!J62),0)+_xlfn.IFNA(VLOOKUP(Optimalisatie!X62,Database_Brandstoffen[#All],42,FALSE)*((Optimalisatie!J62/Optimalisatie!Z62)*Optimalisatie!Y62),0),(_xlfn.IFNA(VLOOKUP(Inschrijf_Hernieuwbare_Energie_Totaal[[#This Row],[Product]]&amp;", "&amp;Inschrijf_MKI_Totaal[[#Headers],[A5]],Database_Productkaarten[#All],48,FALSE),0)*Optimalisatie!J62)),0)</f>
        <v>0</v>
      </c>
      <c r="J375" s="91">
        <f>(IF(Optimalisatie!C62="Nieuwe Situatie",_xlfn.IFNA(IF(Optimalisatie!E62="Categorie_1_LCA_Producten",VLOOKUP(Inschrijf_Hernieuwbare_Energie_Totaal[[#This Row],[Product]],Categorie_1_Producten[#All],28,FALSE)*(Optimalisatie!R62),VLOOKUP(Inschrijf_Hernieuwbare_Energie_Totaal[[#This Row],[Product]]&amp;", "&amp;Inschrijf_Hernieuwbare_Energie_Totaal[[#Headers],[B1]],Database_Productkaarten[#All],47,FALSE)*Optimalisatie!J62),Baseline_Backlog!J375),0))</f>
        <v>0</v>
      </c>
      <c r="K375" s="91">
        <f>(IF(Optimalisatie!C62="Nieuwe Situatie",_xlfn.IFNA(SUM(Inschrijf_Hernieuwbare_Energie_Totaal[[#This Row],[A1]:[B1]],Inschrijf_Hernieuwbare_Energie_Totaal[[#This Row],[C1]:[D2]])*Optimalisatie!T62,0),0))</f>
        <v>0</v>
      </c>
      <c r="L375" s="91">
        <f>IF(Optimalisatie!C62="Bestaande situatie",IF(_xlfn.IFNA((VLOOKUP(Optimalisatie!AA62,Database_Asfalt_Verwijderset[#All],42,FALSE)*Optimalisatie!J62),0)+_xlfn.IFNA(VLOOKUP(Optimalisatie!AB62,Database_Brandstoffen[#All],42,FALSE)*((Optimalisatie!J62/Optimalisatie!AD62)*Optimalisatie!AC62),0)&gt;0,_xlfn.IFNA((VLOOKUP(Optimalisatie!AA62,Database_Asfalt_Verwijderset[#All],42,FALSE)*Optimalisatie!J62),0)+_xlfn.IFNA(VLOOKUP(Optimalisatie!AB62,Database_Brandstoffen[#All],42,FALSE)*((Optimalisatie!J62/Optimalisatie!AD62)*Optimalisatie!AC62),0),(_xlfn.IFNA(VLOOKUP(Inschrijf_Hernieuwbare_Energie_Totaal[[#This Row],[Product]]&amp;", "&amp;Inschrijf_MKI_Totaal[[#Headers],[C1]],Database_Productkaarten[#All],48,FALSE),0)*Optimalisatie!J62)),0)</f>
        <v>0</v>
      </c>
      <c r="M375" s="91">
        <f>(IF(Optimalisatie!C62="Bestaande Situatie",_xlfn.IFNA(VLOOKUP(Optimalisatie!AF62,Database_Transport[#All],42,FALSE)*(Optimalisatie!R62*Optimalisatie!AE62),Baseline_Backlog!M375),0))</f>
        <v>0</v>
      </c>
      <c r="N375" s="91">
        <f>(IF(Optimalisatie!C62="Bestaande Situatie",_xlfn.IFNA(VLOOKUP(Optimalisatie!AG62,Database_Asfalt_Verwerkingsset[#All],42,FALSE)*(Optimalisatie!J62/VLOOKUP(Optimalisatie!AG62,Database_Asfalt_Verwerkingsset[#All],42,FALSE)),Baseline_Backlog!N375),0))</f>
        <v>0</v>
      </c>
      <c r="O375" s="91">
        <f>(IF(Optimalisatie!C62="Bestaande Situatie",_xlfn.IFNA(VLOOKUP(Inschrijf_Hernieuwbare_Energie_Totaal[[#This Row],[Product]]&amp;", "&amp;Inschrijf_MKI_Totaal[[#Headers],[C4]],Database_Productkaarten[#All],48,FALSE)*Optimalisatie!J62,Baseline_Backlog!O375),0))</f>
        <v>0</v>
      </c>
      <c r="P375" s="91">
        <f>(IF(Optimalisatie!C62="Bestaande Situatie",_xlfn.IFNA(IF(Optimalisatie!E62="Categorie_1_LCA_Producten",VLOOKUP(Inschrijf_Hernieuwbare_Energie_Totaal[[#This Row],[Product]],Categorie_1_Producten[#All],24,FALSE)*(Optimalisatie!J62),VLOOKUP(Inschrijf_Hernieuwbare_Energie_Totaal[[#This Row],[Product]]&amp;", "&amp;Inschrijf_Hernieuwbare_Energie_Totaal[[#Headers],[D1]],Database_Productkaarten[#All],48,FALSE)*Optimalisatie!J62),Baseline_Backlog!P375),0))</f>
        <v>0</v>
      </c>
      <c r="Q375" s="91">
        <f>(IF(Optimalisatie!C62="Bestaande Situatie",_xlfn.IFNA(IF(Optimalisatie!E62="Categorie_1_LCA_Producten",VLOOKUP(Inschrijf_Hernieuwbare_Energie_Totaal[[#This Row],[Product]],Categorie_1_Producten[#All],25,FALSE)*(Optimalisatie!J62),VLOOKUP(Inschrijf_Hernieuwbare_Energie_Totaal[[#This Row],[Product]]&amp;", "&amp;Inschrijf_Hernieuwbare_Energie_Totaal[[#Headers],[D2]],Database_Productkaarten[#All],48,FALSE)*Optimalisatie!J62),Baseline_Backlog!Q375),0))</f>
        <v>0</v>
      </c>
      <c r="R375" s="91">
        <f>(IF(Optimalisatie!C62="Bestaande Situatie",_xlfn.IFNA(IF(Optimalisatie!E62="Categorie_1_LCA_Producten",VLOOKUP(Inschrijf_Hernieuwbare_Energie_Totaal[[#This Row],[Product]],Categorie_1_Producten[#All],29,FALSE)*(Optimalisatie!J62),VLOOKUP(Inschrijf_Hernieuwbare_Energie_Totaal[[#This Row],[Product]]&amp;", "&amp;Inschrijf_Hernieuwbare_Energie_Totaal[[#Headers],[D]],Database_Productkaarten[#All],48,FALSE)*Optimalisatie!J62),Baseline_Backlog!S375),0))</f>
        <v>0</v>
      </c>
      <c r="S375" s="91">
        <f>SUM(Inschrijf_Hernieuwbare_Energie_Totaal[[#This Row],[A1-A3]:[C4]])+Inschrijf_Hernieuwbare_Energie_Totaal[[#This Row],[D]]</f>
        <v>0</v>
      </c>
    </row>
    <row r="376" spans="2:19">
      <c r="B376" s="208">
        <f>Optimalisatie!B63</f>
        <v>0</v>
      </c>
      <c r="C376" s="1">
        <f>Optimalisatie!F63</f>
        <v>0</v>
      </c>
      <c r="D376" s="91">
        <f>(IF(Optimalisatie!C63="Nieuwe Situatie",_xlfn.IFNA(IF(Optimalisatie!E63="Categorie_1_LCA_Producten",VLOOKUP(Inschrijf_Hernieuwbare_Energie_Totaal[[#This Row],[Product]],Categorie_1_Producten[#All],20,FALSE)*(Optimalisatie!J63),VLOOKUP(Inschrijf_Hernieuwbare_Energie_Totaal[[#This Row],[Product]]&amp;", "&amp;Inschrijf_Hernieuwbare_Energie_Totaal[[#Headers],[A1]],Database_Productkaarten[#All],48,FALSE)*Optimalisatie!J63),Baseline_Backlog!D376),0))</f>
        <v>0</v>
      </c>
      <c r="E376" s="91">
        <f>(IF(Optimalisatie!C63="Nieuwe Situatie",_xlfn.IFNA(IF(Optimalisatie!E63="Categorie_1_LCA_Producten",VLOOKUP(Inschrijf_Hernieuwbare_Energie_Totaal[[#This Row],[Product]],Categorie_1_Producten[#All],21,FALSE)*(Optimalisatie!J63),VLOOKUP(Inschrijf_Hernieuwbare_Energie_Totaal[[#This Row],[Product]]&amp;", "&amp;Inschrijf_Hernieuwbare_Energie_Totaal[[#Headers],[A2]],Database_Productkaarten[#All],48,FALSE)*Optimalisatie!J63),Baseline_Backlog!E376),0))</f>
        <v>0</v>
      </c>
      <c r="F376" s="91">
        <f>(IF(Optimalisatie!C63="Nieuwe Situatie",_xlfn.IFNA(IF(Optimalisatie!E63="Categorie_1_LCA_Producten",VLOOKUP(Inschrijf_Hernieuwbare_Energie_Totaal[[#This Row],[Product]],Categorie_1_Producten[#All],22,FALSE)*(Optimalisatie!J63),VLOOKUP(Inschrijf_Hernieuwbare_Energie_Totaal[[#This Row],[Product]]&amp;", "&amp;Inschrijf_Hernieuwbare_Energie_Totaal[[#Headers],[A3]],Database_Productkaarten[#All],48,FALSE)*Optimalisatie!J63),Baseline_Backlog!F376),0))</f>
        <v>0</v>
      </c>
      <c r="G376" s="91">
        <f>(IF(Optimalisatie!C63="Nieuwe Situatie",_xlfn.IFNA(IF(Optimalisatie!E63="Categorie_1_LCA_Producten",VLOOKUP(Inschrijf_Hernieuwbare_Energie_Totaal[[#This Row],[Product]],Categorie_1_Producten[#All],27,FALSE)*(Optimalisatie!J63),VLOOKUP(Inschrijf_Hernieuwbare_Energie_Totaal[[#This Row],[Product]]&amp;", "&amp;Inschrijf_Hernieuwbare_Energie_Totaal[[#Headers],[A1-A3]],Database_Productkaarten[#All],48,FALSE)*Optimalisatie!J63),Baseline_Backlog!G376),0))</f>
        <v>0</v>
      </c>
      <c r="H376" s="91">
        <f>(IF(Optimalisatie!C63="Nieuwe Situatie",_xlfn.IFNA(VLOOKUP(Optimalisatie!V63,Database_Transport[#All],42,FALSE)*(Optimalisatie!R63*Optimalisatie!U63),Baseline_Backlog!H376),0))</f>
        <v>0</v>
      </c>
      <c r="I376" s="91">
        <f>IF(Optimalisatie!C63="Nieuwe situatie",IF(_xlfn.IFNA((VLOOKUP(Optimalisatie!W63,Database_Asfalt_Aanlegset[#All],42,FALSE)*Optimalisatie!J63),0)+_xlfn.IFNA(VLOOKUP(Optimalisatie!X63,Database_Brandstoffen[#All],42,FALSE)*((Optimalisatie!J63/Optimalisatie!Z63)*Optimalisatie!Y63),0)&gt;0,_xlfn.IFNA((VLOOKUP(Optimalisatie!W63,Database_Asfalt_Aanlegset[#All],42,FALSE)*Optimalisatie!J63),0)+_xlfn.IFNA(VLOOKUP(Optimalisatie!X63,Database_Brandstoffen[#All],42,FALSE)*((Optimalisatie!J63/Optimalisatie!Z63)*Optimalisatie!Y63),0),(_xlfn.IFNA(VLOOKUP(Inschrijf_Hernieuwbare_Energie_Totaal[[#This Row],[Product]]&amp;", "&amp;Inschrijf_MKI_Totaal[[#Headers],[A5]],Database_Productkaarten[#All],48,FALSE),0)*Optimalisatie!J63)),0)</f>
        <v>0</v>
      </c>
      <c r="J376" s="91">
        <f>(IF(Optimalisatie!C63="Nieuwe Situatie",_xlfn.IFNA(IF(Optimalisatie!E63="Categorie_1_LCA_Producten",VLOOKUP(Inschrijf_Hernieuwbare_Energie_Totaal[[#This Row],[Product]],Categorie_1_Producten[#All],28,FALSE)*(Optimalisatie!R63),VLOOKUP(Inschrijf_Hernieuwbare_Energie_Totaal[[#This Row],[Product]]&amp;", "&amp;Inschrijf_Hernieuwbare_Energie_Totaal[[#Headers],[B1]],Database_Productkaarten[#All],47,FALSE)*Optimalisatie!J63),Baseline_Backlog!J376),0))</f>
        <v>0</v>
      </c>
      <c r="K376" s="91">
        <f>(IF(Optimalisatie!C63="Nieuwe Situatie",_xlfn.IFNA(SUM(Inschrijf_Hernieuwbare_Energie_Totaal[[#This Row],[A1]:[B1]],Inschrijf_Hernieuwbare_Energie_Totaal[[#This Row],[C1]:[D2]])*Optimalisatie!T63,0),0))</f>
        <v>0</v>
      </c>
      <c r="L376" s="91">
        <f>IF(Optimalisatie!C63="Bestaande situatie",IF(_xlfn.IFNA((VLOOKUP(Optimalisatie!AA63,Database_Asfalt_Verwijderset[#All],42,FALSE)*Optimalisatie!J63),0)+_xlfn.IFNA(VLOOKUP(Optimalisatie!AB63,Database_Brandstoffen[#All],42,FALSE)*((Optimalisatie!J63/Optimalisatie!AD63)*Optimalisatie!AC63),0)&gt;0,_xlfn.IFNA((VLOOKUP(Optimalisatie!AA63,Database_Asfalt_Verwijderset[#All],42,FALSE)*Optimalisatie!J63),0)+_xlfn.IFNA(VLOOKUP(Optimalisatie!AB63,Database_Brandstoffen[#All],42,FALSE)*((Optimalisatie!J63/Optimalisatie!AD63)*Optimalisatie!AC63),0),(_xlfn.IFNA(VLOOKUP(Inschrijf_Hernieuwbare_Energie_Totaal[[#This Row],[Product]]&amp;", "&amp;Inschrijf_MKI_Totaal[[#Headers],[C1]],Database_Productkaarten[#All],48,FALSE),0)*Optimalisatie!J63)),0)</f>
        <v>0</v>
      </c>
      <c r="M376" s="91">
        <f>(IF(Optimalisatie!C63="Bestaande Situatie",_xlfn.IFNA(VLOOKUP(Optimalisatie!AF63,Database_Transport[#All],42,FALSE)*(Optimalisatie!R63*Optimalisatie!AE63),Baseline_Backlog!M376),0))</f>
        <v>0</v>
      </c>
      <c r="N376" s="91">
        <f>(IF(Optimalisatie!C63="Bestaande Situatie",_xlfn.IFNA(VLOOKUP(Optimalisatie!AG63,Database_Asfalt_Verwerkingsset[#All],42,FALSE)*(Optimalisatie!J63/VLOOKUP(Optimalisatie!AG63,Database_Asfalt_Verwerkingsset[#All],42,FALSE)),Baseline_Backlog!N376),0))</f>
        <v>0</v>
      </c>
      <c r="O376" s="91">
        <f>(IF(Optimalisatie!C63="Bestaande Situatie",_xlfn.IFNA(VLOOKUP(Inschrijf_Hernieuwbare_Energie_Totaal[[#This Row],[Product]]&amp;", "&amp;Inschrijf_MKI_Totaal[[#Headers],[C4]],Database_Productkaarten[#All],48,FALSE)*Optimalisatie!J63,Baseline_Backlog!O376),0))</f>
        <v>0</v>
      </c>
      <c r="P376" s="91">
        <f>(IF(Optimalisatie!C63="Bestaande Situatie",_xlfn.IFNA(IF(Optimalisatie!E63="Categorie_1_LCA_Producten",VLOOKUP(Inschrijf_Hernieuwbare_Energie_Totaal[[#This Row],[Product]],Categorie_1_Producten[#All],24,FALSE)*(Optimalisatie!J63),VLOOKUP(Inschrijf_Hernieuwbare_Energie_Totaal[[#This Row],[Product]]&amp;", "&amp;Inschrijf_Hernieuwbare_Energie_Totaal[[#Headers],[D1]],Database_Productkaarten[#All],48,FALSE)*Optimalisatie!J63),Baseline_Backlog!P376),0))</f>
        <v>0</v>
      </c>
      <c r="Q376" s="91">
        <f>(IF(Optimalisatie!C63="Bestaande Situatie",_xlfn.IFNA(IF(Optimalisatie!E63="Categorie_1_LCA_Producten",VLOOKUP(Inschrijf_Hernieuwbare_Energie_Totaal[[#This Row],[Product]],Categorie_1_Producten[#All],25,FALSE)*(Optimalisatie!J63),VLOOKUP(Inschrijf_Hernieuwbare_Energie_Totaal[[#This Row],[Product]]&amp;", "&amp;Inschrijf_Hernieuwbare_Energie_Totaal[[#Headers],[D2]],Database_Productkaarten[#All],48,FALSE)*Optimalisatie!J63),Baseline_Backlog!Q376),0))</f>
        <v>0</v>
      </c>
      <c r="R376" s="91">
        <f>(IF(Optimalisatie!C63="Bestaande Situatie",_xlfn.IFNA(IF(Optimalisatie!E63="Categorie_1_LCA_Producten",VLOOKUP(Inschrijf_Hernieuwbare_Energie_Totaal[[#This Row],[Product]],Categorie_1_Producten[#All],29,FALSE)*(Optimalisatie!J63),VLOOKUP(Inschrijf_Hernieuwbare_Energie_Totaal[[#This Row],[Product]]&amp;", "&amp;Inschrijf_Hernieuwbare_Energie_Totaal[[#Headers],[D]],Database_Productkaarten[#All],48,FALSE)*Optimalisatie!J63),Baseline_Backlog!S376),0))</f>
        <v>0</v>
      </c>
      <c r="S376" s="91">
        <f>SUM(Inschrijf_Hernieuwbare_Energie_Totaal[[#This Row],[A1-A3]:[C4]])+Inschrijf_Hernieuwbare_Energie_Totaal[[#This Row],[D]]</f>
        <v>0</v>
      </c>
    </row>
    <row r="377" spans="2:19">
      <c r="B377" s="208">
        <f>Optimalisatie!B64</f>
        <v>0</v>
      </c>
      <c r="C377" s="1">
        <f>Optimalisatie!F64</f>
        <v>0</v>
      </c>
      <c r="D377" s="91">
        <f>(IF(Optimalisatie!C64="Nieuwe Situatie",_xlfn.IFNA(IF(Optimalisatie!E64="Categorie_1_LCA_Producten",VLOOKUP(Inschrijf_Hernieuwbare_Energie_Totaal[[#This Row],[Product]],Categorie_1_Producten[#All],20,FALSE)*(Optimalisatie!J64),VLOOKUP(Inschrijf_Hernieuwbare_Energie_Totaal[[#This Row],[Product]]&amp;", "&amp;Inschrijf_Hernieuwbare_Energie_Totaal[[#Headers],[A1]],Database_Productkaarten[#All],48,FALSE)*Optimalisatie!J64),Baseline_Backlog!D377),0))</f>
        <v>0</v>
      </c>
      <c r="E377" s="91">
        <f>(IF(Optimalisatie!C64="Nieuwe Situatie",_xlfn.IFNA(IF(Optimalisatie!E64="Categorie_1_LCA_Producten",VLOOKUP(Inschrijf_Hernieuwbare_Energie_Totaal[[#This Row],[Product]],Categorie_1_Producten[#All],21,FALSE)*(Optimalisatie!J64),VLOOKUP(Inschrijf_Hernieuwbare_Energie_Totaal[[#This Row],[Product]]&amp;", "&amp;Inschrijf_Hernieuwbare_Energie_Totaal[[#Headers],[A2]],Database_Productkaarten[#All],48,FALSE)*Optimalisatie!J64),Baseline_Backlog!E377),0))</f>
        <v>0</v>
      </c>
      <c r="F377" s="91">
        <f>(IF(Optimalisatie!C64="Nieuwe Situatie",_xlfn.IFNA(IF(Optimalisatie!E64="Categorie_1_LCA_Producten",VLOOKUP(Inschrijf_Hernieuwbare_Energie_Totaal[[#This Row],[Product]],Categorie_1_Producten[#All],22,FALSE)*(Optimalisatie!J64),VLOOKUP(Inschrijf_Hernieuwbare_Energie_Totaal[[#This Row],[Product]]&amp;", "&amp;Inschrijf_Hernieuwbare_Energie_Totaal[[#Headers],[A3]],Database_Productkaarten[#All],48,FALSE)*Optimalisatie!J64),Baseline_Backlog!F377),0))</f>
        <v>0</v>
      </c>
      <c r="G377" s="91">
        <f>(IF(Optimalisatie!C64="Nieuwe Situatie",_xlfn.IFNA(IF(Optimalisatie!E64="Categorie_1_LCA_Producten",VLOOKUP(Inschrijf_Hernieuwbare_Energie_Totaal[[#This Row],[Product]],Categorie_1_Producten[#All],27,FALSE)*(Optimalisatie!J64),VLOOKUP(Inschrijf_Hernieuwbare_Energie_Totaal[[#This Row],[Product]]&amp;", "&amp;Inschrijf_Hernieuwbare_Energie_Totaal[[#Headers],[A1-A3]],Database_Productkaarten[#All],48,FALSE)*Optimalisatie!J64),Baseline_Backlog!G377),0))</f>
        <v>0</v>
      </c>
      <c r="H377" s="91">
        <f>(IF(Optimalisatie!C64="Nieuwe Situatie",_xlfn.IFNA(VLOOKUP(Optimalisatie!V64,Database_Transport[#All],42,FALSE)*(Optimalisatie!R64*Optimalisatie!U64),Baseline_Backlog!H377),0))</f>
        <v>0</v>
      </c>
      <c r="I377" s="91">
        <f>IF(Optimalisatie!C64="Nieuwe situatie",IF(_xlfn.IFNA((VLOOKUP(Optimalisatie!W64,Database_Asfalt_Aanlegset[#All],42,FALSE)*Optimalisatie!J64),0)+_xlfn.IFNA(VLOOKUP(Optimalisatie!X64,Database_Brandstoffen[#All],42,FALSE)*((Optimalisatie!J64/Optimalisatie!Z64)*Optimalisatie!Y64),0)&gt;0,_xlfn.IFNA((VLOOKUP(Optimalisatie!W64,Database_Asfalt_Aanlegset[#All],42,FALSE)*Optimalisatie!J64),0)+_xlfn.IFNA(VLOOKUP(Optimalisatie!X64,Database_Brandstoffen[#All],42,FALSE)*((Optimalisatie!J64/Optimalisatie!Z64)*Optimalisatie!Y64),0),(_xlfn.IFNA(VLOOKUP(Inschrijf_Hernieuwbare_Energie_Totaal[[#This Row],[Product]]&amp;", "&amp;Inschrijf_MKI_Totaal[[#Headers],[A5]],Database_Productkaarten[#All],48,FALSE),0)*Optimalisatie!J64)),0)</f>
        <v>0</v>
      </c>
      <c r="J377" s="91">
        <f>(IF(Optimalisatie!C64="Nieuwe Situatie",_xlfn.IFNA(IF(Optimalisatie!E64="Categorie_1_LCA_Producten",VLOOKUP(Inschrijf_Hernieuwbare_Energie_Totaal[[#This Row],[Product]],Categorie_1_Producten[#All],28,FALSE)*(Optimalisatie!R64),VLOOKUP(Inschrijf_Hernieuwbare_Energie_Totaal[[#This Row],[Product]]&amp;", "&amp;Inschrijf_Hernieuwbare_Energie_Totaal[[#Headers],[B1]],Database_Productkaarten[#All],47,FALSE)*Optimalisatie!J64),Baseline_Backlog!J377),0))</f>
        <v>0</v>
      </c>
      <c r="K377" s="91">
        <f>(IF(Optimalisatie!C64="Nieuwe Situatie",_xlfn.IFNA(SUM(Inschrijf_Hernieuwbare_Energie_Totaal[[#This Row],[A1]:[B1]],Inschrijf_Hernieuwbare_Energie_Totaal[[#This Row],[C1]:[D2]])*Optimalisatie!T64,0),0))</f>
        <v>0</v>
      </c>
      <c r="L377" s="91">
        <f>IF(Optimalisatie!C64="Bestaande situatie",IF(_xlfn.IFNA((VLOOKUP(Optimalisatie!AA64,Database_Asfalt_Verwijderset[#All],42,FALSE)*Optimalisatie!J64),0)+_xlfn.IFNA(VLOOKUP(Optimalisatie!AB64,Database_Brandstoffen[#All],42,FALSE)*((Optimalisatie!J64/Optimalisatie!AD64)*Optimalisatie!AC64),0)&gt;0,_xlfn.IFNA((VLOOKUP(Optimalisatie!AA64,Database_Asfalt_Verwijderset[#All],42,FALSE)*Optimalisatie!J64),0)+_xlfn.IFNA(VLOOKUP(Optimalisatie!AB64,Database_Brandstoffen[#All],42,FALSE)*((Optimalisatie!J64/Optimalisatie!AD64)*Optimalisatie!AC64),0),(_xlfn.IFNA(VLOOKUP(Inschrijf_Hernieuwbare_Energie_Totaal[[#This Row],[Product]]&amp;", "&amp;Inschrijf_MKI_Totaal[[#Headers],[C1]],Database_Productkaarten[#All],48,FALSE),0)*Optimalisatie!J64)),0)</f>
        <v>0</v>
      </c>
      <c r="M377" s="91">
        <f>(IF(Optimalisatie!C64="Bestaande Situatie",_xlfn.IFNA(VLOOKUP(Optimalisatie!AF64,Database_Transport[#All],42,FALSE)*(Optimalisatie!R64*Optimalisatie!AE64),Baseline_Backlog!M377),0))</f>
        <v>0</v>
      </c>
      <c r="N377" s="91">
        <f>(IF(Optimalisatie!C64="Bestaande Situatie",_xlfn.IFNA(VLOOKUP(Optimalisatie!AG64,Database_Asfalt_Verwerkingsset[#All],42,FALSE)*(Optimalisatie!J64/VLOOKUP(Optimalisatie!AG64,Database_Asfalt_Verwerkingsset[#All],42,FALSE)),Baseline_Backlog!N377),0))</f>
        <v>0</v>
      </c>
      <c r="O377" s="91">
        <f>(IF(Optimalisatie!C64="Bestaande Situatie",_xlfn.IFNA(VLOOKUP(Inschrijf_Hernieuwbare_Energie_Totaal[[#This Row],[Product]]&amp;", "&amp;Inschrijf_MKI_Totaal[[#Headers],[C4]],Database_Productkaarten[#All],48,FALSE)*Optimalisatie!J64,Baseline_Backlog!O377),0))</f>
        <v>0</v>
      </c>
      <c r="P377" s="91">
        <f>(IF(Optimalisatie!C64="Bestaande Situatie",_xlfn.IFNA(IF(Optimalisatie!E64="Categorie_1_LCA_Producten",VLOOKUP(Inschrijf_Hernieuwbare_Energie_Totaal[[#This Row],[Product]],Categorie_1_Producten[#All],24,FALSE)*(Optimalisatie!J64),VLOOKUP(Inschrijf_Hernieuwbare_Energie_Totaal[[#This Row],[Product]]&amp;", "&amp;Inschrijf_Hernieuwbare_Energie_Totaal[[#Headers],[D1]],Database_Productkaarten[#All],48,FALSE)*Optimalisatie!J64),Baseline_Backlog!P377),0))</f>
        <v>0</v>
      </c>
      <c r="Q377" s="91">
        <f>(IF(Optimalisatie!C64="Bestaande Situatie",_xlfn.IFNA(IF(Optimalisatie!E64="Categorie_1_LCA_Producten",VLOOKUP(Inschrijf_Hernieuwbare_Energie_Totaal[[#This Row],[Product]],Categorie_1_Producten[#All],25,FALSE)*(Optimalisatie!J64),VLOOKUP(Inschrijf_Hernieuwbare_Energie_Totaal[[#This Row],[Product]]&amp;", "&amp;Inschrijf_Hernieuwbare_Energie_Totaal[[#Headers],[D2]],Database_Productkaarten[#All],48,FALSE)*Optimalisatie!J64),Baseline_Backlog!Q377),0))</f>
        <v>0</v>
      </c>
      <c r="R377" s="91">
        <f>(IF(Optimalisatie!C64="Bestaande Situatie",_xlfn.IFNA(IF(Optimalisatie!E64="Categorie_1_LCA_Producten",VLOOKUP(Inschrijf_Hernieuwbare_Energie_Totaal[[#This Row],[Product]],Categorie_1_Producten[#All],29,FALSE)*(Optimalisatie!J64),VLOOKUP(Inschrijf_Hernieuwbare_Energie_Totaal[[#This Row],[Product]]&amp;", "&amp;Inschrijf_Hernieuwbare_Energie_Totaal[[#Headers],[D]],Database_Productkaarten[#All],48,FALSE)*Optimalisatie!J64),Baseline_Backlog!S377),0))</f>
        <v>0</v>
      </c>
      <c r="S377" s="91">
        <f>SUM(Inschrijf_Hernieuwbare_Energie_Totaal[[#This Row],[A1-A3]:[C4]])+Inschrijf_Hernieuwbare_Energie_Totaal[[#This Row],[D]]</f>
        <v>0</v>
      </c>
    </row>
    <row r="378" spans="2:19">
      <c r="B378" s="208">
        <f>Optimalisatie!B65</f>
        <v>0</v>
      </c>
      <c r="C378" s="1">
        <f>Optimalisatie!F65</f>
        <v>0</v>
      </c>
      <c r="D378" s="91">
        <f>(IF(Optimalisatie!C65="Nieuwe Situatie",_xlfn.IFNA(IF(Optimalisatie!E65="Categorie_1_LCA_Producten",VLOOKUP(Inschrijf_Hernieuwbare_Energie_Totaal[[#This Row],[Product]],Categorie_1_Producten[#All],20,FALSE)*(Optimalisatie!J65),VLOOKUP(Inschrijf_Hernieuwbare_Energie_Totaal[[#This Row],[Product]]&amp;", "&amp;Inschrijf_Hernieuwbare_Energie_Totaal[[#Headers],[A1]],Database_Productkaarten[#All],48,FALSE)*Optimalisatie!J65),Baseline_Backlog!D378),0))</f>
        <v>0</v>
      </c>
      <c r="E378" s="91">
        <f>(IF(Optimalisatie!C65="Nieuwe Situatie",_xlfn.IFNA(IF(Optimalisatie!E65="Categorie_1_LCA_Producten",VLOOKUP(Inschrijf_Hernieuwbare_Energie_Totaal[[#This Row],[Product]],Categorie_1_Producten[#All],21,FALSE)*(Optimalisatie!J65),VLOOKUP(Inschrijf_Hernieuwbare_Energie_Totaal[[#This Row],[Product]]&amp;", "&amp;Inschrijf_Hernieuwbare_Energie_Totaal[[#Headers],[A2]],Database_Productkaarten[#All],48,FALSE)*Optimalisatie!J65),Baseline_Backlog!E378),0))</f>
        <v>0</v>
      </c>
      <c r="F378" s="91">
        <f>(IF(Optimalisatie!C65="Nieuwe Situatie",_xlfn.IFNA(IF(Optimalisatie!E65="Categorie_1_LCA_Producten",VLOOKUP(Inschrijf_Hernieuwbare_Energie_Totaal[[#This Row],[Product]],Categorie_1_Producten[#All],22,FALSE)*(Optimalisatie!J65),VLOOKUP(Inschrijf_Hernieuwbare_Energie_Totaal[[#This Row],[Product]]&amp;", "&amp;Inschrijf_Hernieuwbare_Energie_Totaal[[#Headers],[A3]],Database_Productkaarten[#All],48,FALSE)*Optimalisatie!J65),Baseline_Backlog!F378),0))</f>
        <v>0</v>
      </c>
      <c r="G378" s="91">
        <f>(IF(Optimalisatie!C65="Nieuwe Situatie",_xlfn.IFNA(IF(Optimalisatie!E65="Categorie_1_LCA_Producten",VLOOKUP(Inschrijf_Hernieuwbare_Energie_Totaal[[#This Row],[Product]],Categorie_1_Producten[#All],27,FALSE)*(Optimalisatie!J65),VLOOKUP(Inschrijf_Hernieuwbare_Energie_Totaal[[#This Row],[Product]]&amp;", "&amp;Inschrijf_Hernieuwbare_Energie_Totaal[[#Headers],[A1-A3]],Database_Productkaarten[#All],48,FALSE)*Optimalisatie!J65),Baseline_Backlog!G378),0))</f>
        <v>0</v>
      </c>
      <c r="H378" s="91">
        <f>(IF(Optimalisatie!C65="Nieuwe Situatie",_xlfn.IFNA(VLOOKUP(Optimalisatie!V65,Database_Transport[#All],42,FALSE)*(Optimalisatie!R65*Optimalisatie!U65),Baseline_Backlog!H378),0))</f>
        <v>0</v>
      </c>
      <c r="I378" s="91">
        <f>IF(Optimalisatie!C65="Nieuwe situatie",IF(_xlfn.IFNA((VLOOKUP(Optimalisatie!W65,Database_Asfalt_Aanlegset[#All],42,FALSE)*Optimalisatie!J65),0)+_xlfn.IFNA(VLOOKUP(Optimalisatie!X65,Database_Brandstoffen[#All],42,FALSE)*((Optimalisatie!J65/Optimalisatie!Z65)*Optimalisatie!Y65),0)&gt;0,_xlfn.IFNA((VLOOKUP(Optimalisatie!W65,Database_Asfalt_Aanlegset[#All],42,FALSE)*Optimalisatie!J65),0)+_xlfn.IFNA(VLOOKUP(Optimalisatie!X65,Database_Brandstoffen[#All],42,FALSE)*((Optimalisatie!J65/Optimalisatie!Z65)*Optimalisatie!Y65),0),(_xlfn.IFNA(VLOOKUP(Inschrijf_Hernieuwbare_Energie_Totaal[[#This Row],[Product]]&amp;", "&amp;Inschrijf_MKI_Totaal[[#Headers],[A5]],Database_Productkaarten[#All],48,FALSE),0)*Optimalisatie!J65)),0)</f>
        <v>0</v>
      </c>
      <c r="J378" s="91">
        <f>(IF(Optimalisatie!C65="Nieuwe Situatie",_xlfn.IFNA(IF(Optimalisatie!E65="Categorie_1_LCA_Producten",VLOOKUP(Inschrijf_Hernieuwbare_Energie_Totaal[[#This Row],[Product]],Categorie_1_Producten[#All],28,FALSE)*(Optimalisatie!R65),VLOOKUP(Inschrijf_Hernieuwbare_Energie_Totaal[[#This Row],[Product]]&amp;", "&amp;Inschrijf_Hernieuwbare_Energie_Totaal[[#Headers],[B1]],Database_Productkaarten[#All],47,FALSE)*Optimalisatie!J65),Baseline_Backlog!J378),0))</f>
        <v>0</v>
      </c>
      <c r="K378" s="91">
        <f>(IF(Optimalisatie!C65="Nieuwe Situatie",_xlfn.IFNA(SUM(Inschrijf_Hernieuwbare_Energie_Totaal[[#This Row],[A1]:[B1]],Inschrijf_Hernieuwbare_Energie_Totaal[[#This Row],[C1]:[D2]])*Optimalisatie!T65,0),0))</f>
        <v>0</v>
      </c>
      <c r="L378" s="91">
        <f>IF(Optimalisatie!C65="Bestaande situatie",IF(_xlfn.IFNA((VLOOKUP(Optimalisatie!AA65,Database_Asfalt_Verwijderset[#All],42,FALSE)*Optimalisatie!J65),0)+_xlfn.IFNA(VLOOKUP(Optimalisatie!AB65,Database_Brandstoffen[#All],42,FALSE)*((Optimalisatie!J65/Optimalisatie!AD65)*Optimalisatie!AC65),0)&gt;0,_xlfn.IFNA((VLOOKUP(Optimalisatie!AA65,Database_Asfalt_Verwijderset[#All],42,FALSE)*Optimalisatie!J65),0)+_xlfn.IFNA(VLOOKUP(Optimalisatie!AB65,Database_Brandstoffen[#All],42,FALSE)*((Optimalisatie!J65/Optimalisatie!AD65)*Optimalisatie!AC65),0),(_xlfn.IFNA(VLOOKUP(Inschrijf_Hernieuwbare_Energie_Totaal[[#This Row],[Product]]&amp;", "&amp;Inschrijf_MKI_Totaal[[#Headers],[C1]],Database_Productkaarten[#All],48,FALSE),0)*Optimalisatie!J65)),0)</f>
        <v>0</v>
      </c>
      <c r="M378" s="91">
        <f>(IF(Optimalisatie!C65="Bestaande Situatie",_xlfn.IFNA(VLOOKUP(Optimalisatie!AF65,Database_Transport[#All],42,FALSE)*(Optimalisatie!R65*Optimalisatie!AE65),Baseline_Backlog!M378),0))</f>
        <v>0</v>
      </c>
      <c r="N378" s="91">
        <f>(IF(Optimalisatie!C65="Bestaande Situatie",_xlfn.IFNA(VLOOKUP(Optimalisatie!AG65,Database_Asfalt_Verwerkingsset[#All],42,FALSE)*(Optimalisatie!J65/VLOOKUP(Optimalisatie!AG65,Database_Asfalt_Verwerkingsset[#All],42,FALSE)),Baseline_Backlog!N378),0))</f>
        <v>0</v>
      </c>
      <c r="O378" s="91">
        <f>(IF(Optimalisatie!C65="Bestaande Situatie",_xlfn.IFNA(VLOOKUP(Inschrijf_Hernieuwbare_Energie_Totaal[[#This Row],[Product]]&amp;", "&amp;Inschrijf_MKI_Totaal[[#Headers],[C4]],Database_Productkaarten[#All],48,FALSE)*Optimalisatie!J65,Baseline_Backlog!O378),0))</f>
        <v>0</v>
      </c>
      <c r="P378" s="91">
        <f>(IF(Optimalisatie!C65="Bestaande Situatie",_xlfn.IFNA(IF(Optimalisatie!E65="Categorie_1_LCA_Producten",VLOOKUP(Inschrijf_Hernieuwbare_Energie_Totaal[[#This Row],[Product]],Categorie_1_Producten[#All],24,FALSE)*(Optimalisatie!J65),VLOOKUP(Inschrijf_Hernieuwbare_Energie_Totaal[[#This Row],[Product]]&amp;", "&amp;Inschrijf_Hernieuwbare_Energie_Totaal[[#Headers],[D1]],Database_Productkaarten[#All],48,FALSE)*Optimalisatie!J65),Baseline_Backlog!P378),0))</f>
        <v>0</v>
      </c>
      <c r="Q378" s="91">
        <f>(IF(Optimalisatie!C65="Bestaande Situatie",_xlfn.IFNA(IF(Optimalisatie!E65="Categorie_1_LCA_Producten",VLOOKUP(Inschrijf_Hernieuwbare_Energie_Totaal[[#This Row],[Product]],Categorie_1_Producten[#All],25,FALSE)*(Optimalisatie!J65),VLOOKUP(Inschrijf_Hernieuwbare_Energie_Totaal[[#This Row],[Product]]&amp;", "&amp;Inschrijf_Hernieuwbare_Energie_Totaal[[#Headers],[D2]],Database_Productkaarten[#All],48,FALSE)*Optimalisatie!J65),Baseline_Backlog!Q378),0))</f>
        <v>0</v>
      </c>
      <c r="R378" s="91">
        <f>(IF(Optimalisatie!C65="Bestaande Situatie",_xlfn.IFNA(IF(Optimalisatie!E65="Categorie_1_LCA_Producten",VLOOKUP(Inschrijf_Hernieuwbare_Energie_Totaal[[#This Row],[Product]],Categorie_1_Producten[#All],29,FALSE)*(Optimalisatie!J65),VLOOKUP(Inschrijf_Hernieuwbare_Energie_Totaal[[#This Row],[Product]]&amp;", "&amp;Inschrijf_Hernieuwbare_Energie_Totaal[[#Headers],[D]],Database_Productkaarten[#All],48,FALSE)*Optimalisatie!J65),Baseline_Backlog!S378),0))</f>
        <v>0</v>
      </c>
      <c r="S378" s="91">
        <f>SUM(Inschrijf_Hernieuwbare_Energie_Totaal[[#This Row],[A1-A3]:[C4]])+Inschrijf_Hernieuwbare_Energie_Totaal[[#This Row],[D]]</f>
        <v>0</v>
      </c>
    </row>
    <row r="379" spans="2:19">
      <c r="B379" s="208">
        <f>Optimalisatie!B66</f>
        <v>0</v>
      </c>
      <c r="C379" s="1">
        <f>Optimalisatie!F66</f>
        <v>0</v>
      </c>
      <c r="D379" s="91">
        <f>(IF(Optimalisatie!C66="Nieuwe Situatie",_xlfn.IFNA(IF(Optimalisatie!E66="Categorie_1_LCA_Producten",VLOOKUP(Inschrijf_Hernieuwbare_Energie_Totaal[[#This Row],[Product]],Categorie_1_Producten[#All],20,FALSE)*(Optimalisatie!J66),VLOOKUP(Inschrijf_Hernieuwbare_Energie_Totaal[[#This Row],[Product]]&amp;", "&amp;Inschrijf_Hernieuwbare_Energie_Totaal[[#Headers],[A1]],Database_Productkaarten[#All],48,FALSE)*Optimalisatie!J66),Baseline_Backlog!D379),0))</f>
        <v>0</v>
      </c>
      <c r="E379" s="91">
        <f>(IF(Optimalisatie!C66="Nieuwe Situatie",_xlfn.IFNA(IF(Optimalisatie!E66="Categorie_1_LCA_Producten",VLOOKUP(Inschrijf_Hernieuwbare_Energie_Totaal[[#This Row],[Product]],Categorie_1_Producten[#All],21,FALSE)*(Optimalisatie!J66),VLOOKUP(Inschrijf_Hernieuwbare_Energie_Totaal[[#This Row],[Product]]&amp;", "&amp;Inschrijf_Hernieuwbare_Energie_Totaal[[#Headers],[A2]],Database_Productkaarten[#All],48,FALSE)*Optimalisatie!J66),Baseline_Backlog!E379),0))</f>
        <v>0</v>
      </c>
      <c r="F379" s="91">
        <f>(IF(Optimalisatie!C66="Nieuwe Situatie",_xlfn.IFNA(IF(Optimalisatie!E66="Categorie_1_LCA_Producten",VLOOKUP(Inschrijf_Hernieuwbare_Energie_Totaal[[#This Row],[Product]],Categorie_1_Producten[#All],22,FALSE)*(Optimalisatie!J66),VLOOKUP(Inschrijf_Hernieuwbare_Energie_Totaal[[#This Row],[Product]]&amp;", "&amp;Inschrijf_Hernieuwbare_Energie_Totaal[[#Headers],[A3]],Database_Productkaarten[#All],48,FALSE)*Optimalisatie!J66),Baseline_Backlog!F379),0))</f>
        <v>0</v>
      </c>
      <c r="G379" s="91">
        <f>(IF(Optimalisatie!C66="Nieuwe Situatie",_xlfn.IFNA(IF(Optimalisatie!E66="Categorie_1_LCA_Producten",VLOOKUP(Inschrijf_Hernieuwbare_Energie_Totaal[[#This Row],[Product]],Categorie_1_Producten[#All],27,FALSE)*(Optimalisatie!J66),VLOOKUP(Inschrijf_Hernieuwbare_Energie_Totaal[[#This Row],[Product]]&amp;", "&amp;Inschrijf_Hernieuwbare_Energie_Totaal[[#Headers],[A1-A3]],Database_Productkaarten[#All],48,FALSE)*Optimalisatie!J66),Baseline_Backlog!G379),0))</f>
        <v>0</v>
      </c>
      <c r="H379" s="91">
        <f>(IF(Optimalisatie!C66="Nieuwe Situatie",_xlfn.IFNA(VLOOKUP(Optimalisatie!V66,Database_Transport[#All],42,FALSE)*(Optimalisatie!R66*Optimalisatie!U66),Baseline_Backlog!H379),0))</f>
        <v>0</v>
      </c>
      <c r="I379" s="91">
        <f>IF(Optimalisatie!C66="Nieuwe situatie",IF(_xlfn.IFNA((VLOOKUP(Optimalisatie!W66,Database_Asfalt_Aanlegset[#All],42,FALSE)*Optimalisatie!J66),0)+_xlfn.IFNA(VLOOKUP(Optimalisatie!X66,Database_Brandstoffen[#All],42,FALSE)*((Optimalisatie!J66/Optimalisatie!Z66)*Optimalisatie!Y66),0)&gt;0,_xlfn.IFNA((VLOOKUP(Optimalisatie!W66,Database_Asfalt_Aanlegset[#All],42,FALSE)*Optimalisatie!J66),0)+_xlfn.IFNA(VLOOKUP(Optimalisatie!X66,Database_Brandstoffen[#All],42,FALSE)*((Optimalisatie!J66/Optimalisatie!Z66)*Optimalisatie!Y66),0),(_xlfn.IFNA(VLOOKUP(Inschrijf_Hernieuwbare_Energie_Totaal[[#This Row],[Product]]&amp;", "&amp;Inschrijf_MKI_Totaal[[#Headers],[A5]],Database_Productkaarten[#All],48,FALSE),0)*Optimalisatie!J66)),0)</f>
        <v>0</v>
      </c>
      <c r="J379" s="91">
        <f>(IF(Optimalisatie!C66="Nieuwe Situatie",_xlfn.IFNA(IF(Optimalisatie!E66="Categorie_1_LCA_Producten",VLOOKUP(Inschrijf_Hernieuwbare_Energie_Totaal[[#This Row],[Product]],Categorie_1_Producten[#All],28,FALSE)*(Optimalisatie!R66),VLOOKUP(Inschrijf_Hernieuwbare_Energie_Totaal[[#This Row],[Product]]&amp;", "&amp;Inschrijf_Hernieuwbare_Energie_Totaal[[#Headers],[B1]],Database_Productkaarten[#All],47,FALSE)*Optimalisatie!J66),Baseline_Backlog!J379),0))</f>
        <v>0</v>
      </c>
      <c r="K379" s="91">
        <f>(IF(Optimalisatie!C66="Nieuwe Situatie",_xlfn.IFNA(SUM(Inschrijf_Hernieuwbare_Energie_Totaal[[#This Row],[A1]:[B1]],Inschrijf_Hernieuwbare_Energie_Totaal[[#This Row],[C1]:[D2]])*Optimalisatie!T66,0),0))</f>
        <v>0</v>
      </c>
      <c r="L379" s="91">
        <f>IF(Optimalisatie!C66="Bestaande situatie",IF(_xlfn.IFNA((VLOOKUP(Optimalisatie!AA66,Database_Asfalt_Verwijderset[#All],42,FALSE)*Optimalisatie!J66),0)+_xlfn.IFNA(VLOOKUP(Optimalisatie!AB66,Database_Brandstoffen[#All],42,FALSE)*((Optimalisatie!J66/Optimalisatie!AD66)*Optimalisatie!AC66),0)&gt;0,_xlfn.IFNA((VLOOKUP(Optimalisatie!AA66,Database_Asfalt_Verwijderset[#All],42,FALSE)*Optimalisatie!J66),0)+_xlfn.IFNA(VLOOKUP(Optimalisatie!AB66,Database_Brandstoffen[#All],42,FALSE)*((Optimalisatie!J66/Optimalisatie!AD66)*Optimalisatie!AC66),0),(_xlfn.IFNA(VLOOKUP(Inschrijf_Hernieuwbare_Energie_Totaal[[#This Row],[Product]]&amp;", "&amp;Inschrijf_MKI_Totaal[[#Headers],[C1]],Database_Productkaarten[#All],48,FALSE),0)*Optimalisatie!J66)),0)</f>
        <v>0</v>
      </c>
      <c r="M379" s="91">
        <f>(IF(Optimalisatie!C66="Bestaande Situatie",_xlfn.IFNA(VLOOKUP(Optimalisatie!AF66,Database_Transport[#All],42,FALSE)*(Optimalisatie!R66*Optimalisatie!AE66),Baseline_Backlog!M379),0))</f>
        <v>0</v>
      </c>
      <c r="N379" s="91">
        <f>(IF(Optimalisatie!C66="Bestaande Situatie",_xlfn.IFNA(VLOOKUP(Optimalisatie!AG66,Database_Asfalt_Verwerkingsset[#All],42,FALSE)*(Optimalisatie!J66/VLOOKUP(Optimalisatie!AG66,Database_Asfalt_Verwerkingsset[#All],42,FALSE)),Baseline_Backlog!N379),0))</f>
        <v>0</v>
      </c>
      <c r="O379" s="91">
        <f>(IF(Optimalisatie!C66="Bestaande Situatie",_xlfn.IFNA(VLOOKUP(Inschrijf_Hernieuwbare_Energie_Totaal[[#This Row],[Product]]&amp;", "&amp;Inschrijf_MKI_Totaal[[#Headers],[C4]],Database_Productkaarten[#All],48,FALSE)*Optimalisatie!J66,Baseline_Backlog!O379),0))</f>
        <v>0</v>
      </c>
      <c r="P379" s="91">
        <f>(IF(Optimalisatie!C66="Bestaande Situatie",_xlfn.IFNA(IF(Optimalisatie!E66="Categorie_1_LCA_Producten",VLOOKUP(Inschrijf_Hernieuwbare_Energie_Totaal[[#This Row],[Product]],Categorie_1_Producten[#All],24,FALSE)*(Optimalisatie!J66),VLOOKUP(Inschrijf_Hernieuwbare_Energie_Totaal[[#This Row],[Product]]&amp;", "&amp;Inschrijf_Hernieuwbare_Energie_Totaal[[#Headers],[D1]],Database_Productkaarten[#All],48,FALSE)*Optimalisatie!J66),Baseline_Backlog!P379),0))</f>
        <v>0</v>
      </c>
      <c r="Q379" s="91">
        <f>(IF(Optimalisatie!C66="Bestaande Situatie",_xlfn.IFNA(IF(Optimalisatie!E66="Categorie_1_LCA_Producten",VLOOKUP(Inschrijf_Hernieuwbare_Energie_Totaal[[#This Row],[Product]],Categorie_1_Producten[#All],25,FALSE)*(Optimalisatie!J66),VLOOKUP(Inschrijf_Hernieuwbare_Energie_Totaal[[#This Row],[Product]]&amp;", "&amp;Inschrijf_Hernieuwbare_Energie_Totaal[[#Headers],[D2]],Database_Productkaarten[#All],48,FALSE)*Optimalisatie!J66),Baseline_Backlog!Q379),0))</f>
        <v>0</v>
      </c>
      <c r="R379" s="91">
        <f>(IF(Optimalisatie!C66="Bestaande Situatie",_xlfn.IFNA(IF(Optimalisatie!E66="Categorie_1_LCA_Producten",VLOOKUP(Inschrijf_Hernieuwbare_Energie_Totaal[[#This Row],[Product]],Categorie_1_Producten[#All],29,FALSE)*(Optimalisatie!J66),VLOOKUP(Inschrijf_Hernieuwbare_Energie_Totaal[[#This Row],[Product]]&amp;", "&amp;Inschrijf_Hernieuwbare_Energie_Totaal[[#Headers],[D]],Database_Productkaarten[#All],48,FALSE)*Optimalisatie!J66),Baseline_Backlog!S379),0))</f>
        <v>0</v>
      </c>
      <c r="S379" s="91">
        <f>SUM(Inschrijf_Hernieuwbare_Energie_Totaal[[#This Row],[A1-A3]:[C4]])+Inschrijf_Hernieuwbare_Energie_Totaal[[#This Row],[D]]</f>
        <v>0</v>
      </c>
    </row>
    <row r="380" spans="2:19">
      <c r="B380" s="208">
        <f>Optimalisatie!B67</f>
        <v>0</v>
      </c>
      <c r="C380" s="1">
        <f>Optimalisatie!F67</f>
        <v>0</v>
      </c>
      <c r="D380" s="91">
        <f>(IF(Optimalisatie!C67="Nieuwe Situatie",_xlfn.IFNA(IF(Optimalisatie!E67="Categorie_1_LCA_Producten",VLOOKUP(Inschrijf_Hernieuwbare_Energie_Totaal[[#This Row],[Product]],Categorie_1_Producten[#All],20,FALSE)*(Optimalisatie!J67),VLOOKUP(Inschrijf_Hernieuwbare_Energie_Totaal[[#This Row],[Product]]&amp;", "&amp;Inschrijf_Hernieuwbare_Energie_Totaal[[#Headers],[A1]],Database_Productkaarten[#All],48,FALSE)*Optimalisatie!J67),Baseline_Backlog!D380),0))</f>
        <v>0</v>
      </c>
      <c r="E380" s="91">
        <f>(IF(Optimalisatie!C67="Nieuwe Situatie",_xlfn.IFNA(IF(Optimalisatie!E67="Categorie_1_LCA_Producten",VLOOKUP(Inschrijf_Hernieuwbare_Energie_Totaal[[#This Row],[Product]],Categorie_1_Producten[#All],21,FALSE)*(Optimalisatie!J67),VLOOKUP(Inschrijf_Hernieuwbare_Energie_Totaal[[#This Row],[Product]]&amp;", "&amp;Inschrijf_Hernieuwbare_Energie_Totaal[[#Headers],[A2]],Database_Productkaarten[#All],48,FALSE)*Optimalisatie!J67),Baseline_Backlog!E380),0))</f>
        <v>0</v>
      </c>
      <c r="F380" s="91">
        <f>(IF(Optimalisatie!C67="Nieuwe Situatie",_xlfn.IFNA(IF(Optimalisatie!E67="Categorie_1_LCA_Producten",VLOOKUP(Inschrijf_Hernieuwbare_Energie_Totaal[[#This Row],[Product]],Categorie_1_Producten[#All],22,FALSE)*(Optimalisatie!J67),VLOOKUP(Inschrijf_Hernieuwbare_Energie_Totaal[[#This Row],[Product]]&amp;", "&amp;Inschrijf_Hernieuwbare_Energie_Totaal[[#Headers],[A3]],Database_Productkaarten[#All],48,FALSE)*Optimalisatie!J67),Baseline_Backlog!F380),0))</f>
        <v>0</v>
      </c>
      <c r="G380" s="91">
        <f>(IF(Optimalisatie!C67="Nieuwe Situatie",_xlfn.IFNA(IF(Optimalisatie!E67="Categorie_1_LCA_Producten",VLOOKUP(Inschrijf_Hernieuwbare_Energie_Totaal[[#This Row],[Product]],Categorie_1_Producten[#All],27,FALSE)*(Optimalisatie!J67),VLOOKUP(Inschrijf_Hernieuwbare_Energie_Totaal[[#This Row],[Product]]&amp;", "&amp;Inschrijf_Hernieuwbare_Energie_Totaal[[#Headers],[A1-A3]],Database_Productkaarten[#All],48,FALSE)*Optimalisatie!J67),Baseline_Backlog!G380),0))</f>
        <v>0</v>
      </c>
      <c r="H380" s="91">
        <f>(IF(Optimalisatie!C67="Nieuwe Situatie",_xlfn.IFNA(VLOOKUP(Optimalisatie!V67,Database_Transport[#All],42,FALSE)*(Optimalisatie!R67*Optimalisatie!U67),Baseline_Backlog!H380),0))</f>
        <v>0</v>
      </c>
      <c r="I380" s="91">
        <f>IF(Optimalisatie!C67="Nieuwe situatie",IF(_xlfn.IFNA((VLOOKUP(Optimalisatie!W67,Database_Asfalt_Aanlegset[#All],42,FALSE)*Optimalisatie!J67),0)+_xlfn.IFNA(VLOOKUP(Optimalisatie!X67,Database_Brandstoffen[#All],42,FALSE)*((Optimalisatie!J67/Optimalisatie!Z67)*Optimalisatie!Y67),0)&gt;0,_xlfn.IFNA((VLOOKUP(Optimalisatie!W67,Database_Asfalt_Aanlegset[#All],42,FALSE)*Optimalisatie!J67),0)+_xlfn.IFNA(VLOOKUP(Optimalisatie!X67,Database_Brandstoffen[#All],42,FALSE)*((Optimalisatie!J67/Optimalisatie!Z67)*Optimalisatie!Y67),0),(_xlfn.IFNA(VLOOKUP(Inschrijf_Hernieuwbare_Energie_Totaal[[#This Row],[Product]]&amp;", "&amp;Inschrijf_MKI_Totaal[[#Headers],[A5]],Database_Productkaarten[#All],48,FALSE),0)*Optimalisatie!J67)),0)</f>
        <v>0</v>
      </c>
      <c r="J380" s="91">
        <f>(IF(Optimalisatie!C67="Nieuwe Situatie",_xlfn.IFNA(IF(Optimalisatie!E67="Categorie_1_LCA_Producten",VLOOKUP(Inschrijf_Hernieuwbare_Energie_Totaal[[#This Row],[Product]],Categorie_1_Producten[#All],28,FALSE)*(Optimalisatie!R67),VLOOKUP(Inschrijf_Hernieuwbare_Energie_Totaal[[#This Row],[Product]]&amp;", "&amp;Inschrijf_Hernieuwbare_Energie_Totaal[[#Headers],[B1]],Database_Productkaarten[#All],47,FALSE)*Optimalisatie!J67),Baseline_Backlog!J380),0))</f>
        <v>0</v>
      </c>
      <c r="K380" s="91">
        <f>(IF(Optimalisatie!C67="Nieuwe Situatie",_xlfn.IFNA(SUM(Inschrijf_Hernieuwbare_Energie_Totaal[[#This Row],[A1]:[B1]],Inschrijf_Hernieuwbare_Energie_Totaal[[#This Row],[C1]:[D2]])*Optimalisatie!T67,0),0))</f>
        <v>0</v>
      </c>
      <c r="L380" s="91">
        <f>IF(Optimalisatie!C67="Bestaande situatie",IF(_xlfn.IFNA((VLOOKUP(Optimalisatie!AA67,Database_Asfalt_Verwijderset[#All],42,FALSE)*Optimalisatie!J67),0)+_xlfn.IFNA(VLOOKUP(Optimalisatie!AB67,Database_Brandstoffen[#All],42,FALSE)*((Optimalisatie!J67/Optimalisatie!AD67)*Optimalisatie!AC67),0)&gt;0,_xlfn.IFNA((VLOOKUP(Optimalisatie!AA67,Database_Asfalt_Verwijderset[#All],42,FALSE)*Optimalisatie!J67),0)+_xlfn.IFNA(VLOOKUP(Optimalisatie!AB67,Database_Brandstoffen[#All],42,FALSE)*((Optimalisatie!J67/Optimalisatie!AD67)*Optimalisatie!AC67),0),(_xlfn.IFNA(VLOOKUP(Inschrijf_Hernieuwbare_Energie_Totaal[[#This Row],[Product]]&amp;", "&amp;Inschrijf_MKI_Totaal[[#Headers],[C1]],Database_Productkaarten[#All],48,FALSE),0)*Optimalisatie!J67)),0)</f>
        <v>0</v>
      </c>
      <c r="M380" s="91">
        <f>(IF(Optimalisatie!C67="Bestaande Situatie",_xlfn.IFNA(VLOOKUP(Optimalisatie!AF67,Database_Transport[#All],42,FALSE)*(Optimalisatie!R67*Optimalisatie!AE67),Baseline_Backlog!M380),0))</f>
        <v>0</v>
      </c>
      <c r="N380" s="91">
        <f>(IF(Optimalisatie!C67="Bestaande Situatie",_xlfn.IFNA(VLOOKUP(Optimalisatie!AG67,Database_Asfalt_Verwerkingsset[#All],42,FALSE)*(Optimalisatie!J67/VLOOKUP(Optimalisatie!AG67,Database_Asfalt_Verwerkingsset[#All],42,FALSE)),Baseline_Backlog!N380),0))</f>
        <v>0</v>
      </c>
      <c r="O380" s="91">
        <f>(IF(Optimalisatie!C67="Bestaande Situatie",_xlfn.IFNA(VLOOKUP(Inschrijf_Hernieuwbare_Energie_Totaal[[#This Row],[Product]]&amp;", "&amp;Inschrijf_MKI_Totaal[[#Headers],[C4]],Database_Productkaarten[#All],48,FALSE)*Optimalisatie!J67,Baseline_Backlog!O380),0))</f>
        <v>0</v>
      </c>
      <c r="P380" s="91">
        <f>(IF(Optimalisatie!C67="Bestaande Situatie",_xlfn.IFNA(IF(Optimalisatie!E67="Categorie_1_LCA_Producten",VLOOKUP(Inschrijf_Hernieuwbare_Energie_Totaal[[#This Row],[Product]],Categorie_1_Producten[#All],24,FALSE)*(Optimalisatie!J67),VLOOKUP(Inschrijf_Hernieuwbare_Energie_Totaal[[#This Row],[Product]]&amp;", "&amp;Inschrijf_Hernieuwbare_Energie_Totaal[[#Headers],[D1]],Database_Productkaarten[#All],48,FALSE)*Optimalisatie!J67),Baseline_Backlog!P380),0))</f>
        <v>0</v>
      </c>
      <c r="Q380" s="91">
        <f>(IF(Optimalisatie!C67="Bestaande Situatie",_xlfn.IFNA(IF(Optimalisatie!E67="Categorie_1_LCA_Producten",VLOOKUP(Inschrijf_Hernieuwbare_Energie_Totaal[[#This Row],[Product]],Categorie_1_Producten[#All],25,FALSE)*(Optimalisatie!J67),VLOOKUP(Inschrijf_Hernieuwbare_Energie_Totaal[[#This Row],[Product]]&amp;", "&amp;Inschrijf_Hernieuwbare_Energie_Totaal[[#Headers],[D2]],Database_Productkaarten[#All],48,FALSE)*Optimalisatie!J67),Baseline_Backlog!Q380),0))</f>
        <v>0</v>
      </c>
      <c r="R380" s="91">
        <f>(IF(Optimalisatie!C67="Bestaande Situatie",_xlfn.IFNA(IF(Optimalisatie!E67="Categorie_1_LCA_Producten",VLOOKUP(Inschrijf_Hernieuwbare_Energie_Totaal[[#This Row],[Product]],Categorie_1_Producten[#All],29,FALSE)*(Optimalisatie!J67),VLOOKUP(Inschrijf_Hernieuwbare_Energie_Totaal[[#This Row],[Product]]&amp;", "&amp;Inschrijf_Hernieuwbare_Energie_Totaal[[#Headers],[D]],Database_Productkaarten[#All],48,FALSE)*Optimalisatie!J67),Baseline_Backlog!S380),0))</f>
        <v>0</v>
      </c>
      <c r="S380" s="91">
        <f>SUM(Inschrijf_Hernieuwbare_Energie_Totaal[[#This Row],[A1-A3]:[C4]])+Inschrijf_Hernieuwbare_Energie_Totaal[[#This Row],[D]]</f>
        <v>0</v>
      </c>
    </row>
    <row r="381" spans="2:19">
      <c r="B381" s="208">
        <f>Optimalisatie!B68</f>
        <v>0</v>
      </c>
      <c r="C381" s="1">
        <f>Optimalisatie!F68</f>
        <v>0</v>
      </c>
      <c r="D381" s="91">
        <f>(IF(Optimalisatie!C68="Nieuwe Situatie",_xlfn.IFNA(IF(Optimalisatie!E68="Categorie_1_LCA_Producten",VLOOKUP(Inschrijf_Hernieuwbare_Energie_Totaal[[#This Row],[Product]],Categorie_1_Producten[#All],20,FALSE)*(Optimalisatie!J68),VLOOKUP(Inschrijf_Hernieuwbare_Energie_Totaal[[#This Row],[Product]]&amp;", "&amp;Inschrijf_Hernieuwbare_Energie_Totaal[[#Headers],[A1]],Database_Productkaarten[#All],48,FALSE)*Optimalisatie!J68),Baseline_Backlog!D381),0))</f>
        <v>0</v>
      </c>
      <c r="E381" s="91">
        <f>(IF(Optimalisatie!C68="Nieuwe Situatie",_xlfn.IFNA(IF(Optimalisatie!E68="Categorie_1_LCA_Producten",VLOOKUP(Inschrijf_Hernieuwbare_Energie_Totaal[[#This Row],[Product]],Categorie_1_Producten[#All],21,FALSE)*(Optimalisatie!J68),VLOOKUP(Inschrijf_Hernieuwbare_Energie_Totaal[[#This Row],[Product]]&amp;", "&amp;Inschrijf_Hernieuwbare_Energie_Totaal[[#Headers],[A2]],Database_Productkaarten[#All],48,FALSE)*Optimalisatie!J68),Baseline_Backlog!E381),0))</f>
        <v>0</v>
      </c>
      <c r="F381" s="91">
        <f>(IF(Optimalisatie!C68="Nieuwe Situatie",_xlfn.IFNA(IF(Optimalisatie!E68="Categorie_1_LCA_Producten",VLOOKUP(Inschrijf_Hernieuwbare_Energie_Totaal[[#This Row],[Product]],Categorie_1_Producten[#All],22,FALSE)*(Optimalisatie!J68),VLOOKUP(Inschrijf_Hernieuwbare_Energie_Totaal[[#This Row],[Product]]&amp;", "&amp;Inschrijf_Hernieuwbare_Energie_Totaal[[#Headers],[A3]],Database_Productkaarten[#All],48,FALSE)*Optimalisatie!J68),Baseline_Backlog!F381),0))</f>
        <v>0</v>
      </c>
      <c r="G381" s="91">
        <f>(IF(Optimalisatie!C68="Nieuwe Situatie",_xlfn.IFNA(IF(Optimalisatie!E68="Categorie_1_LCA_Producten",VLOOKUP(Inschrijf_Hernieuwbare_Energie_Totaal[[#This Row],[Product]],Categorie_1_Producten[#All],27,FALSE)*(Optimalisatie!J68),VLOOKUP(Inschrijf_Hernieuwbare_Energie_Totaal[[#This Row],[Product]]&amp;", "&amp;Inschrijf_Hernieuwbare_Energie_Totaal[[#Headers],[A1-A3]],Database_Productkaarten[#All],48,FALSE)*Optimalisatie!J68),Baseline_Backlog!G381),0))</f>
        <v>0</v>
      </c>
      <c r="H381" s="91">
        <f>(IF(Optimalisatie!C68="Nieuwe Situatie",_xlfn.IFNA(VLOOKUP(Optimalisatie!V68,Database_Transport[#All],42,FALSE)*(Optimalisatie!R68*Optimalisatie!U68),Baseline_Backlog!H381),0))</f>
        <v>0</v>
      </c>
      <c r="I381" s="91">
        <f>IF(Optimalisatie!C68="Nieuwe situatie",IF(_xlfn.IFNA((VLOOKUP(Optimalisatie!W68,Database_Asfalt_Aanlegset[#All],42,FALSE)*Optimalisatie!J68),0)+_xlfn.IFNA(VLOOKUP(Optimalisatie!X68,Database_Brandstoffen[#All],42,FALSE)*((Optimalisatie!J68/Optimalisatie!Z68)*Optimalisatie!Y68),0)&gt;0,_xlfn.IFNA((VLOOKUP(Optimalisatie!W68,Database_Asfalt_Aanlegset[#All],42,FALSE)*Optimalisatie!J68),0)+_xlfn.IFNA(VLOOKUP(Optimalisatie!X68,Database_Brandstoffen[#All],42,FALSE)*((Optimalisatie!J68/Optimalisatie!Z68)*Optimalisatie!Y68),0),(_xlfn.IFNA(VLOOKUP(Inschrijf_Hernieuwbare_Energie_Totaal[[#This Row],[Product]]&amp;", "&amp;Inschrijf_MKI_Totaal[[#Headers],[A5]],Database_Productkaarten[#All],48,FALSE),0)*Optimalisatie!J68)),0)</f>
        <v>0</v>
      </c>
      <c r="J381" s="91">
        <f>(IF(Optimalisatie!C68="Nieuwe Situatie",_xlfn.IFNA(IF(Optimalisatie!E68="Categorie_1_LCA_Producten",VLOOKUP(Inschrijf_Hernieuwbare_Energie_Totaal[[#This Row],[Product]],Categorie_1_Producten[#All],28,FALSE)*(Optimalisatie!R68),VLOOKUP(Inschrijf_Hernieuwbare_Energie_Totaal[[#This Row],[Product]]&amp;", "&amp;Inschrijf_Hernieuwbare_Energie_Totaal[[#Headers],[B1]],Database_Productkaarten[#All],47,FALSE)*Optimalisatie!J68),Baseline_Backlog!J381),0))</f>
        <v>0</v>
      </c>
      <c r="K381" s="91">
        <f>(IF(Optimalisatie!C68="Nieuwe Situatie",_xlfn.IFNA(SUM(Inschrijf_Hernieuwbare_Energie_Totaal[[#This Row],[A1]:[B1]],Inschrijf_Hernieuwbare_Energie_Totaal[[#This Row],[C1]:[D2]])*Optimalisatie!T68,0),0))</f>
        <v>0</v>
      </c>
      <c r="L381" s="91">
        <f>IF(Optimalisatie!C68="Bestaande situatie",IF(_xlfn.IFNA((VLOOKUP(Optimalisatie!AA68,Database_Asfalt_Verwijderset[#All],42,FALSE)*Optimalisatie!J68),0)+_xlfn.IFNA(VLOOKUP(Optimalisatie!AB68,Database_Brandstoffen[#All],42,FALSE)*((Optimalisatie!J68/Optimalisatie!AD68)*Optimalisatie!AC68),0)&gt;0,_xlfn.IFNA((VLOOKUP(Optimalisatie!AA68,Database_Asfalt_Verwijderset[#All],42,FALSE)*Optimalisatie!J68),0)+_xlfn.IFNA(VLOOKUP(Optimalisatie!AB68,Database_Brandstoffen[#All],42,FALSE)*((Optimalisatie!J68/Optimalisatie!AD68)*Optimalisatie!AC68),0),(_xlfn.IFNA(VLOOKUP(Inschrijf_Hernieuwbare_Energie_Totaal[[#This Row],[Product]]&amp;", "&amp;Inschrijf_MKI_Totaal[[#Headers],[C1]],Database_Productkaarten[#All],48,FALSE),0)*Optimalisatie!J68)),0)</f>
        <v>0</v>
      </c>
      <c r="M381" s="91">
        <f>(IF(Optimalisatie!C68="Bestaande Situatie",_xlfn.IFNA(VLOOKUP(Optimalisatie!AF68,Database_Transport[#All],42,FALSE)*(Optimalisatie!R68*Optimalisatie!AE68),Baseline_Backlog!M381),0))</f>
        <v>0</v>
      </c>
      <c r="N381" s="91">
        <f>(IF(Optimalisatie!C68="Bestaande Situatie",_xlfn.IFNA(VLOOKUP(Optimalisatie!AG68,Database_Asfalt_Verwerkingsset[#All],42,FALSE)*(Optimalisatie!J68/VLOOKUP(Optimalisatie!AG68,Database_Asfalt_Verwerkingsset[#All],42,FALSE)),Baseline_Backlog!N381),0))</f>
        <v>0</v>
      </c>
      <c r="O381" s="91">
        <f>(IF(Optimalisatie!C68="Bestaande Situatie",_xlfn.IFNA(VLOOKUP(Inschrijf_Hernieuwbare_Energie_Totaal[[#This Row],[Product]]&amp;", "&amp;Inschrijf_MKI_Totaal[[#Headers],[C4]],Database_Productkaarten[#All],48,FALSE)*Optimalisatie!J68,Baseline_Backlog!O381),0))</f>
        <v>0</v>
      </c>
      <c r="P381" s="91">
        <f>(IF(Optimalisatie!C68="Bestaande Situatie",_xlfn.IFNA(IF(Optimalisatie!E68="Categorie_1_LCA_Producten",VLOOKUP(Inschrijf_Hernieuwbare_Energie_Totaal[[#This Row],[Product]],Categorie_1_Producten[#All],24,FALSE)*(Optimalisatie!J68),VLOOKUP(Inschrijf_Hernieuwbare_Energie_Totaal[[#This Row],[Product]]&amp;", "&amp;Inschrijf_Hernieuwbare_Energie_Totaal[[#Headers],[D1]],Database_Productkaarten[#All],48,FALSE)*Optimalisatie!J68),Baseline_Backlog!P381),0))</f>
        <v>0</v>
      </c>
      <c r="Q381" s="91">
        <f>(IF(Optimalisatie!C68="Bestaande Situatie",_xlfn.IFNA(IF(Optimalisatie!E68="Categorie_1_LCA_Producten",VLOOKUP(Inschrijf_Hernieuwbare_Energie_Totaal[[#This Row],[Product]],Categorie_1_Producten[#All],25,FALSE)*(Optimalisatie!J68),VLOOKUP(Inschrijf_Hernieuwbare_Energie_Totaal[[#This Row],[Product]]&amp;", "&amp;Inschrijf_Hernieuwbare_Energie_Totaal[[#Headers],[D2]],Database_Productkaarten[#All],48,FALSE)*Optimalisatie!J68),Baseline_Backlog!Q381),0))</f>
        <v>0</v>
      </c>
      <c r="R381" s="91">
        <f>(IF(Optimalisatie!C68="Bestaande Situatie",_xlfn.IFNA(IF(Optimalisatie!E68="Categorie_1_LCA_Producten",VLOOKUP(Inschrijf_Hernieuwbare_Energie_Totaal[[#This Row],[Product]],Categorie_1_Producten[#All],29,FALSE)*(Optimalisatie!J68),VLOOKUP(Inschrijf_Hernieuwbare_Energie_Totaal[[#This Row],[Product]]&amp;", "&amp;Inschrijf_Hernieuwbare_Energie_Totaal[[#Headers],[D]],Database_Productkaarten[#All],48,FALSE)*Optimalisatie!J68),Baseline_Backlog!S381),0))</f>
        <v>0</v>
      </c>
      <c r="S381" s="91">
        <f>SUM(Inschrijf_Hernieuwbare_Energie_Totaal[[#This Row],[A1-A3]:[C4]])+Inschrijf_Hernieuwbare_Energie_Totaal[[#This Row],[D]]</f>
        <v>0</v>
      </c>
    </row>
    <row r="382" spans="2:19">
      <c r="B382" s="208">
        <f>Optimalisatie!B69</f>
        <v>0</v>
      </c>
      <c r="C382" s="1">
        <f>Optimalisatie!F69</f>
        <v>0</v>
      </c>
      <c r="D382" s="91">
        <f>(IF(Optimalisatie!C69="Nieuwe Situatie",_xlfn.IFNA(IF(Optimalisatie!E69="Categorie_1_LCA_Producten",VLOOKUP(Inschrijf_Hernieuwbare_Energie_Totaal[[#This Row],[Product]],Categorie_1_Producten[#All],20,FALSE)*(Optimalisatie!J69),VLOOKUP(Inschrijf_Hernieuwbare_Energie_Totaal[[#This Row],[Product]]&amp;", "&amp;Inschrijf_Hernieuwbare_Energie_Totaal[[#Headers],[A1]],Database_Productkaarten[#All],48,FALSE)*Optimalisatie!J69),Baseline_Backlog!D382),0))</f>
        <v>0</v>
      </c>
      <c r="E382" s="91">
        <f>(IF(Optimalisatie!C69="Nieuwe Situatie",_xlfn.IFNA(IF(Optimalisatie!E69="Categorie_1_LCA_Producten",VLOOKUP(Inschrijf_Hernieuwbare_Energie_Totaal[[#This Row],[Product]],Categorie_1_Producten[#All],21,FALSE)*(Optimalisatie!J69),VLOOKUP(Inschrijf_Hernieuwbare_Energie_Totaal[[#This Row],[Product]]&amp;", "&amp;Inschrijf_Hernieuwbare_Energie_Totaal[[#Headers],[A2]],Database_Productkaarten[#All],48,FALSE)*Optimalisatie!J69),Baseline_Backlog!E382),0))</f>
        <v>0</v>
      </c>
      <c r="F382" s="91">
        <f>(IF(Optimalisatie!C69="Nieuwe Situatie",_xlfn.IFNA(IF(Optimalisatie!E69="Categorie_1_LCA_Producten",VLOOKUP(Inschrijf_Hernieuwbare_Energie_Totaal[[#This Row],[Product]],Categorie_1_Producten[#All],22,FALSE)*(Optimalisatie!J69),VLOOKUP(Inschrijf_Hernieuwbare_Energie_Totaal[[#This Row],[Product]]&amp;", "&amp;Inschrijf_Hernieuwbare_Energie_Totaal[[#Headers],[A3]],Database_Productkaarten[#All],48,FALSE)*Optimalisatie!J69),Baseline_Backlog!F382),0))</f>
        <v>0</v>
      </c>
      <c r="G382" s="91">
        <f>(IF(Optimalisatie!C69="Nieuwe Situatie",_xlfn.IFNA(IF(Optimalisatie!E69="Categorie_1_LCA_Producten",VLOOKUP(Inschrijf_Hernieuwbare_Energie_Totaal[[#This Row],[Product]],Categorie_1_Producten[#All],27,FALSE)*(Optimalisatie!J69),VLOOKUP(Inschrijf_Hernieuwbare_Energie_Totaal[[#This Row],[Product]]&amp;", "&amp;Inschrijf_Hernieuwbare_Energie_Totaal[[#Headers],[A1-A3]],Database_Productkaarten[#All],48,FALSE)*Optimalisatie!J69),Baseline_Backlog!G382),0))</f>
        <v>0</v>
      </c>
      <c r="H382" s="91">
        <f>(IF(Optimalisatie!C69="Nieuwe Situatie",_xlfn.IFNA(VLOOKUP(Optimalisatie!V69,Database_Transport[#All],42,FALSE)*(Optimalisatie!R69*Optimalisatie!U69),Baseline_Backlog!H382),0))</f>
        <v>0</v>
      </c>
      <c r="I382" s="91">
        <f>IF(Optimalisatie!C69="Nieuwe situatie",IF(_xlfn.IFNA((VLOOKUP(Optimalisatie!W69,Database_Asfalt_Aanlegset[#All],42,FALSE)*Optimalisatie!J69),0)+_xlfn.IFNA(VLOOKUP(Optimalisatie!X69,Database_Brandstoffen[#All],42,FALSE)*((Optimalisatie!J69/Optimalisatie!Z69)*Optimalisatie!Y69),0)&gt;0,_xlfn.IFNA((VLOOKUP(Optimalisatie!W69,Database_Asfalt_Aanlegset[#All],42,FALSE)*Optimalisatie!J69),0)+_xlfn.IFNA(VLOOKUP(Optimalisatie!X69,Database_Brandstoffen[#All],42,FALSE)*((Optimalisatie!J69/Optimalisatie!Z69)*Optimalisatie!Y69),0),(_xlfn.IFNA(VLOOKUP(Inschrijf_Hernieuwbare_Energie_Totaal[[#This Row],[Product]]&amp;", "&amp;Inschrijf_MKI_Totaal[[#Headers],[A5]],Database_Productkaarten[#All],48,FALSE),0)*Optimalisatie!J69)),0)</f>
        <v>0</v>
      </c>
      <c r="J382" s="91">
        <f>(IF(Optimalisatie!C69="Nieuwe Situatie",_xlfn.IFNA(IF(Optimalisatie!E69="Categorie_1_LCA_Producten",VLOOKUP(Inschrijf_Hernieuwbare_Energie_Totaal[[#This Row],[Product]],Categorie_1_Producten[#All],28,FALSE)*(Optimalisatie!R69),VLOOKUP(Inschrijf_Hernieuwbare_Energie_Totaal[[#This Row],[Product]]&amp;", "&amp;Inschrijf_Hernieuwbare_Energie_Totaal[[#Headers],[B1]],Database_Productkaarten[#All],47,FALSE)*Optimalisatie!J69),Baseline_Backlog!J382),0))</f>
        <v>0</v>
      </c>
      <c r="K382" s="91">
        <f>(IF(Optimalisatie!C69="Nieuwe Situatie",_xlfn.IFNA(SUM(Inschrijf_Hernieuwbare_Energie_Totaal[[#This Row],[A1]:[B1]],Inschrijf_Hernieuwbare_Energie_Totaal[[#This Row],[C1]:[D2]])*Optimalisatie!T69,0),0))</f>
        <v>0</v>
      </c>
      <c r="L382" s="91">
        <f>IF(Optimalisatie!C69="Bestaande situatie",IF(_xlfn.IFNA((VLOOKUP(Optimalisatie!AA69,Database_Asfalt_Verwijderset[#All],42,FALSE)*Optimalisatie!J69),0)+_xlfn.IFNA(VLOOKUP(Optimalisatie!AB69,Database_Brandstoffen[#All],42,FALSE)*((Optimalisatie!J69/Optimalisatie!AD69)*Optimalisatie!AC69),0)&gt;0,_xlfn.IFNA((VLOOKUP(Optimalisatie!AA69,Database_Asfalt_Verwijderset[#All],42,FALSE)*Optimalisatie!J69),0)+_xlfn.IFNA(VLOOKUP(Optimalisatie!AB69,Database_Brandstoffen[#All],42,FALSE)*((Optimalisatie!J69/Optimalisatie!AD69)*Optimalisatie!AC69),0),(_xlfn.IFNA(VLOOKUP(Inschrijf_Hernieuwbare_Energie_Totaal[[#This Row],[Product]]&amp;", "&amp;Inschrijf_MKI_Totaal[[#Headers],[C1]],Database_Productkaarten[#All],48,FALSE),0)*Optimalisatie!J69)),0)</f>
        <v>0</v>
      </c>
      <c r="M382" s="91">
        <f>(IF(Optimalisatie!C69="Bestaande Situatie",_xlfn.IFNA(VLOOKUP(Optimalisatie!AF69,Database_Transport[#All],42,FALSE)*(Optimalisatie!R69*Optimalisatie!AE69),Baseline_Backlog!M382),0))</f>
        <v>0</v>
      </c>
      <c r="N382" s="91">
        <f>(IF(Optimalisatie!C69="Bestaande Situatie",_xlfn.IFNA(VLOOKUP(Optimalisatie!AG69,Database_Asfalt_Verwerkingsset[#All],42,FALSE)*(Optimalisatie!J69/VLOOKUP(Optimalisatie!AG69,Database_Asfalt_Verwerkingsset[#All],42,FALSE)),Baseline_Backlog!N382),0))</f>
        <v>0</v>
      </c>
      <c r="O382" s="91">
        <f>(IF(Optimalisatie!C69="Bestaande Situatie",_xlfn.IFNA(VLOOKUP(Inschrijf_Hernieuwbare_Energie_Totaal[[#This Row],[Product]]&amp;", "&amp;Inschrijf_MKI_Totaal[[#Headers],[C4]],Database_Productkaarten[#All],48,FALSE)*Optimalisatie!J69,Baseline_Backlog!O382),0))</f>
        <v>0</v>
      </c>
      <c r="P382" s="91">
        <f>(IF(Optimalisatie!C69="Bestaande Situatie",_xlfn.IFNA(IF(Optimalisatie!E69="Categorie_1_LCA_Producten",VLOOKUP(Inschrijf_Hernieuwbare_Energie_Totaal[[#This Row],[Product]],Categorie_1_Producten[#All],24,FALSE)*(Optimalisatie!J69),VLOOKUP(Inschrijf_Hernieuwbare_Energie_Totaal[[#This Row],[Product]]&amp;", "&amp;Inschrijf_Hernieuwbare_Energie_Totaal[[#Headers],[D1]],Database_Productkaarten[#All],48,FALSE)*Optimalisatie!J69),Baseline_Backlog!P382),0))</f>
        <v>0</v>
      </c>
      <c r="Q382" s="91">
        <f>(IF(Optimalisatie!C69="Bestaande Situatie",_xlfn.IFNA(IF(Optimalisatie!E69="Categorie_1_LCA_Producten",VLOOKUP(Inschrijf_Hernieuwbare_Energie_Totaal[[#This Row],[Product]],Categorie_1_Producten[#All],25,FALSE)*(Optimalisatie!J69),VLOOKUP(Inschrijf_Hernieuwbare_Energie_Totaal[[#This Row],[Product]]&amp;", "&amp;Inschrijf_Hernieuwbare_Energie_Totaal[[#Headers],[D2]],Database_Productkaarten[#All],48,FALSE)*Optimalisatie!J69),Baseline_Backlog!Q382),0))</f>
        <v>0</v>
      </c>
      <c r="R382" s="91">
        <f>(IF(Optimalisatie!C69="Bestaande Situatie",_xlfn.IFNA(IF(Optimalisatie!E69="Categorie_1_LCA_Producten",VLOOKUP(Inschrijf_Hernieuwbare_Energie_Totaal[[#This Row],[Product]],Categorie_1_Producten[#All],29,FALSE)*(Optimalisatie!J69),VLOOKUP(Inschrijf_Hernieuwbare_Energie_Totaal[[#This Row],[Product]]&amp;", "&amp;Inschrijf_Hernieuwbare_Energie_Totaal[[#Headers],[D]],Database_Productkaarten[#All],48,FALSE)*Optimalisatie!J69),Baseline_Backlog!S382),0))</f>
        <v>0</v>
      </c>
      <c r="S382" s="91">
        <f>SUM(Inschrijf_Hernieuwbare_Energie_Totaal[[#This Row],[A1-A3]:[C4]])+Inschrijf_Hernieuwbare_Energie_Totaal[[#This Row],[D]]</f>
        <v>0</v>
      </c>
    </row>
    <row r="383" spans="2:19">
      <c r="B383" s="208">
        <f>Optimalisatie!B70</f>
        <v>0</v>
      </c>
      <c r="C383" s="1">
        <f>Optimalisatie!F70</f>
        <v>0</v>
      </c>
      <c r="D383" s="91">
        <f>(IF(Optimalisatie!C70="Nieuwe Situatie",_xlfn.IFNA(IF(Optimalisatie!E70="Categorie_1_LCA_Producten",VLOOKUP(Inschrijf_Hernieuwbare_Energie_Totaal[[#This Row],[Product]],Categorie_1_Producten[#All],20,FALSE)*(Optimalisatie!J70),VLOOKUP(Inschrijf_Hernieuwbare_Energie_Totaal[[#This Row],[Product]]&amp;", "&amp;Inschrijf_Hernieuwbare_Energie_Totaal[[#Headers],[A1]],Database_Productkaarten[#All],48,FALSE)*Optimalisatie!J70),Baseline_Backlog!D383),0))</f>
        <v>0</v>
      </c>
      <c r="E383" s="91">
        <f>(IF(Optimalisatie!C70="Nieuwe Situatie",_xlfn.IFNA(IF(Optimalisatie!E70="Categorie_1_LCA_Producten",VLOOKUP(Inschrijf_Hernieuwbare_Energie_Totaal[[#This Row],[Product]],Categorie_1_Producten[#All],21,FALSE)*(Optimalisatie!J70),VLOOKUP(Inschrijf_Hernieuwbare_Energie_Totaal[[#This Row],[Product]]&amp;", "&amp;Inschrijf_Hernieuwbare_Energie_Totaal[[#Headers],[A2]],Database_Productkaarten[#All],48,FALSE)*Optimalisatie!J70),Baseline_Backlog!E383),0))</f>
        <v>0</v>
      </c>
      <c r="F383" s="91">
        <f>(IF(Optimalisatie!C70="Nieuwe Situatie",_xlfn.IFNA(IF(Optimalisatie!E70="Categorie_1_LCA_Producten",VLOOKUP(Inschrijf_Hernieuwbare_Energie_Totaal[[#This Row],[Product]],Categorie_1_Producten[#All],22,FALSE)*(Optimalisatie!J70),VLOOKUP(Inschrijf_Hernieuwbare_Energie_Totaal[[#This Row],[Product]]&amp;", "&amp;Inschrijf_Hernieuwbare_Energie_Totaal[[#Headers],[A3]],Database_Productkaarten[#All],48,FALSE)*Optimalisatie!J70),Baseline_Backlog!F383),0))</f>
        <v>0</v>
      </c>
      <c r="G383" s="91">
        <f>(IF(Optimalisatie!C70="Nieuwe Situatie",_xlfn.IFNA(IF(Optimalisatie!E70="Categorie_1_LCA_Producten",VLOOKUP(Inschrijf_Hernieuwbare_Energie_Totaal[[#This Row],[Product]],Categorie_1_Producten[#All],27,FALSE)*(Optimalisatie!J70),VLOOKUP(Inschrijf_Hernieuwbare_Energie_Totaal[[#This Row],[Product]]&amp;", "&amp;Inschrijf_Hernieuwbare_Energie_Totaal[[#Headers],[A1-A3]],Database_Productkaarten[#All],48,FALSE)*Optimalisatie!J70),Baseline_Backlog!G383),0))</f>
        <v>0</v>
      </c>
      <c r="H383" s="91">
        <f>(IF(Optimalisatie!C70="Nieuwe Situatie",_xlfn.IFNA(VLOOKUP(Optimalisatie!V70,Database_Transport[#All],42,FALSE)*(Optimalisatie!R70*Optimalisatie!U70),Baseline_Backlog!H383),0))</f>
        <v>0</v>
      </c>
      <c r="I383" s="91">
        <f>IF(Optimalisatie!C70="Nieuwe situatie",IF(_xlfn.IFNA((VLOOKUP(Optimalisatie!W70,Database_Asfalt_Aanlegset[#All],42,FALSE)*Optimalisatie!J70),0)+_xlfn.IFNA(VLOOKUP(Optimalisatie!X70,Database_Brandstoffen[#All],42,FALSE)*((Optimalisatie!J70/Optimalisatie!Z70)*Optimalisatie!Y70),0)&gt;0,_xlfn.IFNA((VLOOKUP(Optimalisatie!W70,Database_Asfalt_Aanlegset[#All],42,FALSE)*Optimalisatie!J70),0)+_xlfn.IFNA(VLOOKUP(Optimalisatie!X70,Database_Brandstoffen[#All],42,FALSE)*((Optimalisatie!J70/Optimalisatie!Z70)*Optimalisatie!Y70),0),(_xlfn.IFNA(VLOOKUP(Inschrijf_Hernieuwbare_Energie_Totaal[[#This Row],[Product]]&amp;", "&amp;Inschrijf_MKI_Totaal[[#Headers],[A5]],Database_Productkaarten[#All],48,FALSE),0)*Optimalisatie!J70)),0)</f>
        <v>0</v>
      </c>
      <c r="J383" s="91">
        <f>(IF(Optimalisatie!C70="Nieuwe Situatie",_xlfn.IFNA(IF(Optimalisatie!E70="Categorie_1_LCA_Producten",VLOOKUP(Inschrijf_Hernieuwbare_Energie_Totaal[[#This Row],[Product]],Categorie_1_Producten[#All],28,FALSE)*(Optimalisatie!R70),VLOOKUP(Inschrijf_Hernieuwbare_Energie_Totaal[[#This Row],[Product]]&amp;", "&amp;Inschrijf_Hernieuwbare_Energie_Totaal[[#Headers],[B1]],Database_Productkaarten[#All],47,FALSE)*Optimalisatie!J70),Baseline_Backlog!J383),0))</f>
        <v>0</v>
      </c>
      <c r="K383" s="91">
        <f>(IF(Optimalisatie!C70="Nieuwe Situatie",_xlfn.IFNA(SUM(Inschrijf_Hernieuwbare_Energie_Totaal[[#This Row],[A1]:[B1]],Inschrijf_Hernieuwbare_Energie_Totaal[[#This Row],[C1]:[D2]])*Optimalisatie!T70,0),0))</f>
        <v>0</v>
      </c>
      <c r="L383" s="91">
        <f>IF(Optimalisatie!C70="Bestaande situatie",IF(_xlfn.IFNA((VLOOKUP(Optimalisatie!AA70,Database_Asfalt_Verwijderset[#All],42,FALSE)*Optimalisatie!J70),0)+_xlfn.IFNA(VLOOKUP(Optimalisatie!AB70,Database_Brandstoffen[#All],42,FALSE)*((Optimalisatie!J70/Optimalisatie!AD70)*Optimalisatie!AC70),0)&gt;0,_xlfn.IFNA((VLOOKUP(Optimalisatie!AA70,Database_Asfalt_Verwijderset[#All],42,FALSE)*Optimalisatie!J70),0)+_xlfn.IFNA(VLOOKUP(Optimalisatie!AB70,Database_Brandstoffen[#All],42,FALSE)*((Optimalisatie!J70/Optimalisatie!AD70)*Optimalisatie!AC70),0),(_xlfn.IFNA(VLOOKUP(Inschrijf_Hernieuwbare_Energie_Totaal[[#This Row],[Product]]&amp;", "&amp;Inschrijf_MKI_Totaal[[#Headers],[C1]],Database_Productkaarten[#All],48,FALSE),0)*Optimalisatie!J70)),0)</f>
        <v>0</v>
      </c>
      <c r="M383" s="91">
        <f>(IF(Optimalisatie!C70="Bestaande Situatie",_xlfn.IFNA(VLOOKUP(Optimalisatie!AF70,Database_Transport[#All],42,FALSE)*(Optimalisatie!R70*Optimalisatie!AE70),Baseline_Backlog!M383),0))</f>
        <v>0</v>
      </c>
      <c r="N383" s="91">
        <f>(IF(Optimalisatie!C70="Bestaande Situatie",_xlfn.IFNA(VLOOKUP(Optimalisatie!AG70,Database_Asfalt_Verwerkingsset[#All],42,FALSE)*(Optimalisatie!J70/VLOOKUP(Optimalisatie!AG70,Database_Asfalt_Verwerkingsset[#All],42,FALSE)),Baseline_Backlog!N383),0))</f>
        <v>0</v>
      </c>
      <c r="O383" s="91">
        <f>(IF(Optimalisatie!C70="Bestaande Situatie",_xlfn.IFNA(VLOOKUP(Inschrijf_Hernieuwbare_Energie_Totaal[[#This Row],[Product]]&amp;", "&amp;Inschrijf_MKI_Totaal[[#Headers],[C4]],Database_Productkaarten[#All],48,FALSE)*Optimalisatie!J70,Baseline_Backlog!O383),0))</f>
        <v>0</v>
      </c>
      <c r="P383" s="91">
        <f>(IF(Optimalisatie!C70="Bestaande Situatie",_xlfn.IFNA(IF(Optimalisatie!E70="Categorie_1_LCA_Producten",VLOOKUP(Inschrijf_Hernieuwbare_Energie_Totaal[[#This Row],[Product]],Categorie_1_Producten[#All],24,FALSE)*(Optimalisatie!J70),VLOOKUP(Inschrijf_Hernieuwbare_Energie_Totaal[[#This Row],[Product]]&amp;", "&amp;Inschrijf_Hernieuwbare_Energie_Totaal[[#Headers],[D1]],Database_Productkaarten[#All],48,FALSE)*Optimalisatie!J70),Baseline_Backlog!P383),0))</f>
        <v>0</v>
      </c>
      <c r="Q383" s="91">
        <f>(IF(Optimalisatie!C70="Bestaande Situatie",_xlfn.IFNA(IF(Optimalisatie!E70="Categorie_1_LCA_Producten",VLOOKUP(Inschrijf_Hernieuwbare_Energie_Totaal[[#This Row],[Product]],Categorie_1_Producten[#All],25,FALSE)*(Optimalisatie!J70),VLOOKUP(Inschrijf_Hernieuwbare_Energie_Totaal[[#This Row],[Product]]&amp;", "&amp;Inschrijf_Hernieuwbare_Energie_Totaal[[#Headers],[D2]],Database_Productkaarten[#All],48,FALSE)*Optimalisatie!J70),Baseline_Backlog!Q383),0))</f>
        <v>0</v>
      </c>
      <c r="R383" s="91">
        <f>(IF(Optimalisatie!C70="Bestaande Situatie",_xlfn.IFNA(IF(Optimalisatie!E70="Categorie_1_LCA_Producten",VLOOKUP(Inschrijf_Hernieuwbare_Energie_Totaal[[#This Row],[Product]],Categorie_1_Producten[#All],29,FALSE)*(Optimalisatie!J70),VLOOKUP(Inschrijf_Hernieuwbare_Energie_Totaal[[#This Row],[Product]]&amp;", "&amp;Inschrijf_Hernieuwbare_Energie_Totaal[[#Headers],[D]],Database_Productkaarten[#All],48,FALSE)*Optimalisatie!J70),Baseline_Backlog!S383),0))</f>
        <v>0</v>
      </c>
      <c r="S383" s="91">
        <f>SUM(Inschrijf_Hernieuwbare_Energie_Totaal[[#This Row],[A1-A3]:[C4]])+Inschrijf_Hernieuwbare_Energie_Totaal[[#This Row],[D]]</f>
        <v>0</v>
      </c>
    </row>
    <row r="384" spans="2:19">
      <c r="B384" s="208">
        <f>Optimalisatie!B71</f>
        <v>0</v>
      </c>
      <c r="C384" s="1">
        <f>Optimalisatie!F71</f>
        <v>0</v>
      </c>
      <c r="D384" s="91">
        <f>(IF(Optimalisatie!C71="Nieuwe Situatie",_xlfn.IFNA(IF(Optimalisatie!E71="Categorie_1_LCA_Producten",VLOOKUP(Inschrijf_Hernieuwbare_Energie_Totaal[[#This Row],[Product]],Categorie_1_Producten[#All],20,FALSE)*(Optimalisatie!J71),VLOOKUP(Inschrijf_Hernieuwbare_Energie_Totaal[[#This Row],[Product]]&amp;", "&amp;Inschrijf_Hernieuwbare_Energie_Totaal[[#Headers],[A1]],Database_Productkaarten[#All],48,FALSE)*Optimalisatie!J71),Baseline_Backlog!D384),0))</f>
        <v>0</v>
      </c>
      <c r="E384" s="91">
        <f>(IF(Optimalisatie!C71="Nieuwe Situatie",_xlfn.IFNA(IF(Optimalisatie!E71="Categorie_1_LCA_Producten",VLOOKUP(Inschrijf_Hernieuwbare_Energie_Totaal[[#This Row],[Product]],Categorie_1_Producten[#All],21,FALSE)*(Optimalisatie!J71),VLOOKUP(Inschrijf_Hernieuwbare_Energie_Totaal[[#This Row],[Product]]&amp;", "&amp;Inschrijf_Hernieuwbare_Energie_Totaal[[#Headers],[A2]],Database_Productkaarten[#All],48,FALSE)*Optimalisatie!J71),Baseline_Backlog!E384),0))</f>
        <v>0</v>
      </c>
      <c r="F384" s="91">
        <f>(IF(Optimalisatie!C71="Nieuwe Situatie",_xlfn.IFNA(IF(Optimalisatie!E71="Categorie_1_LCA_Producten",VLOOKUP(Inschrijf_Hernieuwbare_Energie_Totaal[[#This Row],[Product]],Categorie_1_Producten[#All],22,FALSE)*(Optimalisatie!J71),VLOOKUP(Inschrijf_Hernieuwbare_Energie_Totaal[[#This Row],[Product]]&amp;", "&amp;Inschrijf_Hernieuwbare_Energie_Totaal[[#Headers],[A3]],Database_Productkaarten[#All],48,FALSE)*Optimalisatie!J71),Baseline_Backlog!F384),0))</f>
        <v>0</v>
      </c>
      <c r="G384" s="91">
        <f>(IF(Optimalisatie!C71="Nieuwe Situatie",_xlfn.IFNA(IF(Optimalisatie!E71="Categorie_1_LCA_Producten",VLOOKUP(Inschrijf_Hernieuwbare_Energie_Totaal[[#This Row],[Product]],Categorie_1_Producten[#All],27,FALSE)*(Optimalisatie!J71),VLOOKUP(Inschrijf_Hernieuwbare_Energie_Totaal[[#This Row],[Product]]&amp;", "&amp;Inschrijf_Hernieuwbare_Energie_Totaal[[#Headers],[A1-A3]],Database_Productkaarten[#All],48,FALSE)*Optimalisatie!J71),Baseline_Backlog!G384),0))</f>
        <v>0</v>
      </c>
      <c r="H384" s="91">
        <f>(IF(Optimalisatie!C71="Nieuwe Situatie",_xlfn.IFNA(VLOOKUP(Optimalisatie!V71,Database_Transport[#All],42,FALSE)*(Optimalisatie!R71*Optimalisatie!U71),Baseline_Backlog!H384),0))</f>
        <v>0</v>
      </c>
      <c r="I384" s="91">
        <f>IF(Optimalisatie!C71="Nieuwe situatie",IF(_xlfn.IFNA((VLOOKUP(Optimalisatie!W71,Database_Asfalt_Aanlegset[#All],42,FALSE)*Optimalisatie!J71),0)+_xlfn.IFNA(VLOOKUP(Optimalisatie!X71,Database_Brandstoffen[#All],42,FALSE)*((Optimalisatie!J71/Optimalisatie!Z71)*Optimalisatie!Y71),0)&gt;0,_xlfn.IFNA((VLOOKUP(Optimalisatie!W71,Database_Asfalt_Aanlegset[#All],42,FALSE)*Optimalisatie!J71),0)+_xlfn.IFNA(VLOOKUP(Optimalisatie!X71,Database_Brandstoffen[#All],42,FALSE)*((Optimalisatie!J71/Optimalisatie!Z71)*Optimalisatie!Y71),0),(_xlfn.IFNA(VLOOKUP(Inschrijf_Hernieuwbare_Energie_Totaal[[#This Row],[Product]]&amp;", "&amp;Inschrijf_MKI_Totaal[[#Headers],[A5]],Database_Productkaarten[#All],48,FALSE),0)*Optimalisatie!J71)),0)</f>
        <v>0</v>
      </c>
      <c r="J384" s="91">
        <f>(IF(Optimalisatie!C71="Nieuwe Situatie",_xlfn.IFNA(IF(Optimalisatie!E71="Categorie_1_LCA_Producten",VLOOKUP(Inschrijf_Hernieuwbare_Energie_Totaal[[#This Row],[Product]],Categorie_1_Producten[#All],28,FALSE)*(Optimalisatie!R71),VLOOKUP(Inschrijf_Hernieuwbare_Energie_Totaal[[#This Row],[Product]]&amp;", "&amp;Inschrijf_Hernieuwbare_Energie_Totaal[[#Headers],[B1]],Database_Productkaarten[#All],47,FALSE)*Optimalisatie!J71),Baseline_Backlog!J384),0))</f>
        <v>0</v>
      </c>
      <c r="K384" s="91">
        <f>(IF(Optimalisatie!C71="Nieuwe Situatie",_xlfn.IFNA(SUM(Inschrijf_Hernieuwbare_Energie_Totaal[[#This Row],[A1]:[B1]],Inschrijf_Hernieuwbare_Energie_Totaal[[#This Row],[C1]:[D2]])*Optimalisatie!T71,0),0))</f>
        <v>0</v>
      </c>
      <c r="L384" s="91">
        <f>IF(Optimalisatie!C71="Bestaande situatie",IF(_xlfn.IFNA((VLOOKUP(Optimalisatie!AA71,Database_Asfalt_Verwijderset[#All],42,FALSE)*Optimalisatie!J71),0)+_xlfn.IFNA(VLOOKUP(Optimalisatie!AB71,Database_Brandstoffen[#All],42,FALSE)*((Optimalisatie!J71/Optimalisatie!AD71)*Optimalisatie!AC71),0)&gt;0,_xlfn.IFNA((VLOOKUP(Optimalisatie!AA71,Database_Asfalt_Verwijderset[#All],42,FALSE)*Optimalisatie!J71),0)+_xlfn.IFNA(VLOOKUP(Optimalisatie!AB71,Database_Brandstoffen[#All],42,FALSE)*((Optimalisatie!J71/Optimalisatie!AD71)*Optimalisatie!AC71),0),(_xlfn.IFNA(VLOOKUP(Inschrijf_Hernieuwbare_Energie_Totaal[[#This Row],[Product]]&amp;", "&amp;Inschrijf_MKI_Totaal[[#Headers],[C1]],Database_Productkaarten[#All],48,FALSE),0)*Optimalisatie!J71)),0)</f>
        <v>0</v>
      </c>
      <c r="M384" s="91">
        <f>(IF(Optimalisatie!C71="Bestaande Situatie",_xlfn.IFNA(VLOOKUP(Optimalisatie!AF71,Database_Transport[#All],42,FALSE)*(Optimalisatie!R71*Optimalisatie!AE71),Baseline_Backlog!M384),0))</f>
        <v>0</v>
      </c>
      <c r="N384" s="91">
        <f>(IF(Optimalisatie!C71="Bestaande Situatie",_xlfn.IFNA(VLOOKUP(Optimalisatie!AG71,Database_Asfalt_Verwerkingsset[#All],42,FALSE)*(Optimalisatie!J71/VLOOKUP(Optimalisatie!AG71,Database_Asfalt_Verwerkingsset[#All],42,FALSE)),Baseline_Backlog!N384),0))</f>
        <v>0</v>
      </c>
      <c r="O384" s="91">
        <f>(IF(Optimalisatie!C71="Bestaande Situatie",_xlfn.IFNA(VLOOKUP(Inschrijf_Hernieuwbare_Energie_Totaal[[#This Row],[Product]]&amp;", "&amp;Inschrijf_MKI_Totaal[[#Headers],[C4]],Database_Productkaarten[#All],48,FALSE)*Optimalisatie!J71,Baseline_Backlog!O384),0))</f>
        <v>0</v>
      </c>
      <c r="P384" s="91">
        <f>(IF(Optimalisatie!C71="Bestaande Situatie",_xlfn.IFNA(IF(Optimalisatie!E71="Categorie_1_LCA_Producten",VLOOKUP(Inschrijf_Hernieuwbare_Energie_Totaal[[#This Row],[Product]],Categorie_1_Producten[#All],24,FALSE)*(Optimalisatie!J71),VLOOKUP(Inschrijf_Hernieuwbare_Energie_Totaal[[#This Row],[Product]]&amp;", "&amp;Inschrijf_Hernieuwbare_Energie_Totaal[[#Headers],[D1]],Database_Productkaarten[#All],48,FALSE)*Optimalisatie!J71),Baseline_Backlog!P384),0))</f>
        <v>0</v>
      </c>
      <c r="Q384" s="91">
        <f>(IF(Optimalisatie!C71="Bestaande Situatie",_xlfn.IFNA(IF(Optimalisatie!E71="Categorie_1_LCA_Producten",VLOOKUP(Inschrijf_Hernieuwbare_Energie_Totaal[[#This Row],[Product]],Categorie_1_Producten[#All],25,FALSE)*(Optimalisatie!J71),VLOOKUP(Inschrijf_Hernieuwbare_Energie_Totaal[[#This Row],[Product]]&amp;", "&amp;Inschrijf_Hernieuwbare_Energie_Totaal[[#Headers],[D2]],Database_Productkaarten[#All],48,FALSE)*Optimalisatie!J71),Baseline_Backlog!Q384),0))</f>
        <v>0</v>
      </c>
      <c r="R384" s="91">
        <f>(IF(Optimalisatie!C71="Bestaande Situatie",_xlfn.IFNA(IF(Optimalisatie!E71="Categorie_1_LCA_Producten",VLOOKUP(Inschrijf_Hernieuwbare_Energie_Totaal[[#This Row],[Product]],Categorie_1_Producten[#All],29,FALSE)*(Optimalisatie!J71),VLOOKUP(Inschrijf_Hernieuwbare_Energie_Totaal[[#This Row],[Product]]&amp;", "&amp;Inschrijf_Hernieuwbare_Energie_Totaal[[#Headers],[D]],Database_Productkaarten[#All],48,FALSE)*Optimalisatie!J71),Baseline_Backlog!S384),0))</f>
        <v>0</v>
      </c>
      <c r="S384" s="91">
        <f>SUM(Inschrijf_Hernieuwbare_Energie_Totaal[[#This Row],[A1-A3]:[C4]])+Inschrijf_Hernieuwbare_Energie_Totaal[[#This Row],[D]]</f>
        <v>0</v>
      </c>
    </row>
    <row r="385" spans="2:19">
      <c r="B385" s="208">
        <f>Optimalisatie!B72</f>
        <v>0</v>
      </c>
      <c r="C385" s="1">
        <f>Optimalisatie!F72</f>
        <v>0</v>
      </c>
      <c r="D385" s="91">
        <f>(IF(Optimalisatie!C72="Nieuwe Situatie",_xlfn.IFNA(IF(Optimalisatie!E72="Categorie_1_LCA_Producten",VLOOKUP(Inschrijf_Hernieuwbare_Energie_Totaal[[#This Row],[Product]],Categorie_1_Producten[#All],20,FALSE)*(Optimalisatie!J72),VLOOKUP(Inschrijf_Hernieuwbare_Energie_Totaal[[#This Row],[Product]]&amp;", "&amp;Inschrijf_Hernieuwbare_Energie_Totaal[[#Headers],[A1]],Database_Productkaarten[#All],48,FALSE)*Optimalisatie!J72),Baseline_Backlog!D385),0))</f>
        <v>0</v>
      </c>
      <c r="E385" s="91">
        <f>(IF(Optimalisatie!C72="Nieuwe Situatie",_xlfn.IFNA(IF(Optimalisatie!E72="Categorie_1_LCA_Producten",VLOOKUP(Inschrijf_Hernieuwbare_Energie_Totaal[[#This Row],[Product]],Categorie_1_Producten[#All],21,FALSE)*(Optimalisatie!J72),VLOOKUP(Inschrijf_Hernieuwbare_Energie_Totaal[[#This Row],[Product]]&amp;", "&amp;Inschrijf_Hernieuwbare_Energie_Totaal[[#Headers],[A2]],Database_Productkaarten[#All],48,FALSE)*Optimalisatie!J72),Baseline_Backlog!E385),0))</f>
        <v>0</v>
      </c>
      <c r="F385" s="91">
        <f>(IF(Optimalisatie!C72="Nieuwe Situatie",_xlfn.IFNA(IF(Optimalisatie!E72="Categorie_1_LCA_Producten",VLOOKUP(Inschrijf_Hernieuwbare_Energie_Totaal[[#This Row],[Product]],Categorie_1_Producten[#All],22,FALSE)*(Optimalisatie!J72),VLOOKUP(Inschrijf_Hernieuwbare_Energie_Totaal[[#This Row],[Product]]&amp;", "&amp;Inschrijf_Hernieuwbare_Energie_Totaal[[#Headers],[A3]],Database_Productkaarten[#All],48,FALSE)*Optimalisatie!J72),Baseline_Backlog!F385),0))</f>
        <v>0</v>
      </c>
      <c r="G385" s="91">
        <f>(IF(Optimalisatie!C72="Nieuwe Situatie",_xlfn.IFNA(IF(Optimalisatie!E72="Categorie_1_LCA_Producten",VLOOKUP(Inschrijf_Hernieuwbare_Energie_Totaal[[#This Row],[Product]],Categorie_1_Producten[#All],27,FALSE)*(Optimalisatie!J72),VLOOKUP(Inschrijf_Hernieuwbare_Energie_Totaal[[#This Row],[Product]]&amp;", "&amp;Inschrijf_Hernieuwbare_Energie_Totaal[[#Headers],[A1-A3]],Database_Productkaarten[#All],48,FALSE)*Optimalisatie!J72),Baseline_Backlog!G385),0))</f>
        <v>0</v>
      </c>
      <c r="H385" s="91">
        <f>(IF(Optimalisatie!C72="Nieuwe Situatie",_xlfn.IFNA(VLOOKUP(Optimalisatie!V72,Database_Transport[#All],42,FALSE)*(Optimalisatie!R72*Optimalisatie!U72),Baseline_Backlog!H385),0))</f>
        <v>0</v>
      </c>
      <c r="I385" s="91">
        <f>IF(Optimalisatie!C72="Nieuwe situatie",IF(_xlfn.IFNA((VLOOKUP(Optimalisatie!W72,Database_Asfalt_Aanlegset[#All],42,FALSE)*Optimalisatie!J72),0)+_xlfn.IFNA(VLOOKUP(Optimalisatie!X72,Database_Brandstoffen[#All],42,FALSE)*((Optimalisatie!J72/Optimalisatie!Z72)*Optimalisatie!Y72),0)&gt;0,_xlfn.IFNA((VLOOKUP(Optimalisatie!W72,Database_Asfalt_Aanlegset[#All],42,FALSE)*Optimalisatie!J72),0)+_xlfn.IFNA(VLOOKUP(Optimalisatie!X72,Database_Brandstoffen[#All],42,FALSE)*((Optimalisatie!J72/Optimalisatie!Z72)*Optimalisatie!Y72),0),(_xlfn.IFNA(VLOOKUP(Inschrijf_Hernieuwbare_Energie_Totaal[[#This Row],[Product]]&amp;", "&amp;Inschrijf_MKI_Totaal[[#Headers],[A5]],Database_Productkaarten[#All],48,FALSE),0)*Optimalisatie!J72)),0)</f>
        <v>0</v>
      </c>
      <c r="J385" s="91">
        <f>(IF(Optimalisatie!C72="Nieuwe Situatie",_xlfn.IFNA(IF(Optimalisatie!E72="Categorie_1_LCA_Producten",VLOOKUP(Inschrijf_Hernieuwbare_Energie_Totaal[[#This Row],[Product]],Categorie_1_Producten[#All],28,FALSE)*(Optimalisatie!R72),VLOOKUP(Inschrijf_Hernieuwbare_Energie_Totaal[[#This Row],[Product]]&amp;", "&amp;Inschrijf_Hernieuwbare_Energie_Totaal[[#Headers],[B1]],Database_Productkaarten[#All],47,FALSE)*Optimalisatie!J72),Baseline_Backlog!J385),0))</f>
        <v>0</v>
      </c>
      <c r="K385" s="91">
        <f>(IF(Optimalisatie!C72="Nieuwe Situatie",_xlfn.IFNA(SUM(Inschrijf_Hernieuwbare_Energie_Totaal[[#This Row],[A1]:[B1]],Inschrijf_Hernieuwbare_Energie_Totaal[[#This Row],[C1]:[D2]])*Optimalisatie!T72,0),0))</f>
        <v>0</v>
      </c>
      <c r="L385" s="91">
        <f>IF(Optimalisatie!C72="Bestaande situatie",IF(_xlfn.IFNA((VLOOKUP(Optimalisatie!AA72,Database_Asfalt_Verwijderset[#All],42,FALSE)*Optimalisatie!J72),0)+_xlfn.IFNA(VLOOKUP(Optimalisatie!AB72,Database_Brandstoffen[#All],42,FALSE)*((Optimalisatie!J72/Optimalisatie!AD72)*Optimalisatie!AC72),0)&gt;0,_xlfn.IFNA((VLOOKUP(Optimalisatie!AA72,Database_Asfalt_Verwijderset[#All],42,FALSE)*Optimalisatie!J72),0)+_xlfn.IFNA(VLOOKUP(Optimalisatie!AB72,Database_Brandstoffen[#All],42,FALSE)*((Optimalisatie!J72/Optimalisatie!AD72)*Optimalisatie!AC72),0),(_xlfn.IFNA(VLOOKUP(Inschrijf_Hernieuwbare_Energie_Totaal[[#This Row],[Product]]&amp;", "&amp;Inschrijf_MKI_Totaal[[#Headers],[C1]],Database_Productkaarten[#All],48,FALSE),0)*Optimalisatie!J72)),0)</f>
        <v>0</v>
      </c>
      <c r="M385" s="91">
        <f>(IF(Optimalisatie!C72="Bestaande Situatie",_xlfn.IFNA(VLOOKUP(Optimalisatie!AF72,Database_Transport[#All],42,FALSE)*(Optimalisatie!R72*Optimalisatie!AE72),Baseline_Backlog!M385),0))</f>
        <v>0</v>
      </c>
      <c r="N385" s="91">
        <f>(IF(Optimalisatie!C72="Bestaande Situatie",_xlfn.IFNA(VLOOKUP(Optimalisatie!AG72,Database_Asfalt_Verwerkingsset[#All],42,FALSE)*(Optimalisatie!J72/VLOOKUP(Optimalisatie!AG72,Database_Asfalt_Verwerkingsset[#All],42,FALSE)),Baseline_Backlog!N385),0))</f>
        <v>0</v>
      </c>
      <c r="O385" s="91">
        <f>(IF(Optimalisatie!C72="Bestaande Situatie",_xlfn.IFNA(VLOOKUP(Inschrijf_Hernieuwbare_Energie_Totaal[[#This Row],[Product]]&amp;", "&amp;Inschrijf_MKI_Totaal[[#Headers],[C4]],Database_Productkaarten[#All],48,FALSE)*Optimalisatie!J72,Baseline_Backlog!O385),0))</f>
        <v>0</v>
      </c>
      <c r="P385" s="91">
        <f>(IF(Optimalisatie!C72="Bestaande Situatie",_xlfn.IFNA(IF(Optimalisatie!E72="Categorie_1_LCA_Producten",VLOOKUP(Inschrijf_Hernieuwbare_Energie_Totaal[[#This Row],[Product]],Categorie_1_Producten[#All],24,FALSE)*(Optimalisatie!J72),VLOOKUP(Inschrijf_Hernieuwbare_Energie_Totaal[[#This Row],[Product]]&amp;", "&amp;Inschrijf_Hernieuwbare_Energie_Totaal[[#Headers],[D1]],Database_Productkaarten[#All],48,FALSE)*Optimalisatie!J72),Baseline_Backlog!P385),0))</f>
        <v>0</v>
      </c>
      <c r="Q385" s="91">
        <f>(IF(Optimalisatie!C72="Bestaande Situatie",_xlfn.IFNA(IF(Optimalisatie!E72="Categorie_1_LCA_Producten",VLOOKUP(Inschrijf_Hernieuwbare_Energie_Totaal[[#This Row],[Product]],Categorie_1_Producten[#All],25,FALSE)*(Optimalisatie!J72),VLOOKUP(Inschrijf_Hernieuwbare_Energie_Totaal[[#This Row],[Product]]&amp;", "&amp;Inschrijf_Hernieuwbare_Energie_Totaal[[#Headers],[D2]],Database_Productkaarten[#All],48,FALSE)*Optimalisatie!J72),Baseline_Backlog!Q385),0))</f>
        <v>0</v>
      </c>
      <c r="R385" s="91">
        <f>(IF(Optimalisatie!C72="Bestaande Situatie",_xlfn.IFNA(IF(Optimalisatie!E72="Categorie_1_LCA_Producten",VLOOKUP(Inschrijf_Hernieuwbare_Energie_Totaal[[#This Row],[Product]],Categorie_1_Producten[#All],29,FALSE)*(Optimalisatie!J72),VLOOKUP(Inschrijf_Hernieuwbare_Energie_Totaal[[#This Row],[Product]]&amp;", "&amp;Inschrijf_Hernieuwbare_Energie_Totaal[[#Headers],[D]],Database_Productkaarten[#All],48,FALSE)*Optimalisatie!J72),Baseline_Backlog!S385),0))</f>
        <v>0</v>
      </c>
      <c r="S385" s="91">
        <f>SUM(Inschrijf_Hernieuwbare_Energie_Totaal[[#This Row],[A1-A3]:[C4]])+Inschrijf_Hernieuwbare_Energie_Totaal[[#This Row],[D]]</f>
        <v>0</v>
      </c>
    </row>
    <row r="386" spans="2:19">
      <c r="B386" s="208">
        <f>Optimalisatie!B73</f>
        <v>0</v>
      </c>
      <c r="C386" s="1">
        <f>Optimalisatie!F73</f>
        <v>0</v>
      </c>
      <c r="D386" s="91">
        <f>(IF(Optimalisatie!C73="Nieuwe Situatie",_xlfn.IFNA(IF(Optimalisatie!E73="Categorie_1_LCA_Producten",VLOOKUP(Inschrijf_Hernieuwbare_Energie_Totaal[[#This Row],[Product]],Categorie_1_Producten[#All],20,FALSE)*(Optimalisatie!J73),VLOOKUP(Inschrijf_Hernieuwbare_Energie_Totaal[[#This Row],[Product]]&amp;", "&amp;Inschrijf_Hernieuwbare_Energie_Totaal[[#Headers],[A1]],Database_Productkaarten[#All],48,FALSE)*Optimalisatie!J73),Baseline_Backlog!D386),0))</f>
        <v>0</v>
      </c>
      <c r="E386" s="91">
        <f>(IF(Optimalisatie!C73="Nieuwe Situatie",_xlfn.IFNA(IF(Optimalisatie!E73="Categorie_1_LCA_Producten",VLOOKUP(Inschrijf_Hernieuwbare_Energie_Totaal[[#This Row],[Product]],Categorie_1_Producten[#All],21,FALSE)*(Optimalisatie!J73),VLOOKUP(Inschrijf_Hernieuwbare_Energie_Totaal[[#This Row],[Product]]&amp;", "&amp;Inschrijf_Hernieuwbare_Energie_Totaal[[#Headers],[A2]],Database_Productkaarten[#All],48,FALSE)*Optimalisatie!J73),Baseline_Backlog!E386),0))</f>
        <v>0</v>
      </c>
      <c r="F386" s="91">
        <f>(IF(Optimalisatie!C73="Nieuwe Situatie",_xlfn.IFNA(IF(Optimalisatie!E73="Categorie_1_LCA_Producten",VLOOKUP(Inschrijf_Hernieuwbare_Energie_Totaal[[#This Row],[Product]],Categorie_1_Producten[#All],22,FALSE)*(Optimalisatie!J73),VLOOKUP(Inschrijf_Hernieuwbare_Energie_Totaal[[#This Row],[Product]]&amp;", "&amp;Inschrijf_Hernieuwbare_Energie_Totaal[[#Headers],[A3]],Database_Productkaarten[#All],48,FALSE)*Optimalisatie!J73),Baseline_Backlog!F386),0))</f>
        <v>0</v>
      </c>
      <c r="G386" s="91">
        <f>(IF(Optimalisatie!C73="Nieuwe Situatie",_xlfn.IFNA(IF(Optimalisatie!E73="Categorie_1_LCA_Producten",VLOOKUP(Inschrijf_Hernieuwbare_Energie_Totaal[[#This Row],[Product]],Categorie_1_Producten[#All],27,FALSE)*(Optimalisatie!J73),VLOOKUP(Inschrijf_Hernieuwbare_Energie_Totaal[[#This Row],[Product]]&amp;", "&amp;Inschrijf_Hernieuwbare_Energie_Totaal[[#Headers],[A1-A3]],Database_Productkaarten[#All],48,FALSE)*Optimalisatie!J73),Baseline_Backlog!G386),0))</f>
        <v>0</v>
      </c>
      <c r="H386" s="91">
        <f>(IF(Optimalisatie!C73="Nieuwe Situatie",_xlfn.IFNA(VLOOKUP(Optimalisatie!V73,Database_Transport[#All],42,FALSE)*(Optimalisatie!R73*Optimalisatie!U73),Baseline_Backlog!H386),0))</f>
        <v>0</v>
      </c>
      <c r="I386" s="91">
        <f>IF(Optimalisatie!C73="Nieuwe situatie",IF(_xlfn.IFNA((VLOOKUP(Optimalisatie!W73,Database_Asfalt_Aanlegset[#All],42,FALSE)*Optimalisatie!J73),0)+_xlfn.IFNA(VLOOKUP(Optimalisatie!X73,Database_Brandstoffen[#All],42,FALSE)*((Optimalisatie!J73/Optimalisatie!Z73)*Optimalisatie!Y73),0)&gt;0,_xlfn.IFNA((VLOOKUP(Optimalisatie!W73,Database_Asfalt_Aanlegset[#All],42,FALSE)*Optimalisatie!J73),0)+_xlfn.IFNA(VLOOKUP(Optimalisatie!X73,Database_Brandstoffen[#All],42,FALSE)*((Optimalisatie!J73/Optimalisatie!Z73)*Optimalisatie!Y73),0),(_xlfn.IFNA(VLOOKUP(Inschrijf_Hernieuwbare_Energie_Totaal[[#This Row],[Product]]&amp;", "&amp;Inschrijf_MKI_Totaal[[#Headers],[A5]],Database_Productkaarten[#All],48,FALSE),0)*Optimalisatie!J73)),0)</f>
        <v>0</v>
      </c>
      <c r="J386" s="91">
        <f>(IF(Optimalisatie!C73="Nieuwe Situatie",_xlfn.IFNA(IF(Optimalisatie!E73="Categorie_1_LCA_Producten",VLOOKUP(Inschrijf_Hernieuwbare_Energie_Totaal[[#This Row],[Product]],Categorie_1_Producten[#All],28,FALSE)*(Optimalisatie!R73),VLOOKUP(Inschrijf_Hernieuwbare_Energie_Totaal[[#This Row],[Product]]&amp;", "&amp;Inschrijf_Hernieuwbare_Energie_Totaal[[#Headers],[B1]],Database_Productkaarten[#All],47,FALSE)*Optimalisatie!J73),Baseline_Backlog!J386),0))</f>
        <v>0</v>
      </c>
      <c r="K386" s="91">
        <f>(IF(Optimalisatie!C73="Nieuwe Situatie",_xlfn.IFNA(SUM(Inschrijf_Hernieuwbare_Energie_Totaal[[#This Row],[A1]:[B1]],Inschrijf_Hernieuwbare_Energie_Totaal[[#This Row],[C1]:[D2]])*Optimalisatie!T73,0),0))</f>
        <v>0</v>
      </c>
      <c r="L386" s="91">
        <f>IF(Optimalisatie!C73="Bestaande situatie",IF(_xlfn.IFNA((VLOOKUP(Optimalisatie!AA73,Database_Asfalt_Verwijderset[#All],42,FALSE)*Optimalisatie!J73),0)+_xlfn.IFNA(VLOOKUP(Optimalisatie!AB73,Database_Brandstoffen[#All],42,FALSE)*((Optimalisatie!J73/Optimalisatie!AD73)*Optimalisatie!AC73),0)&gt;0,_xlfn.IFNA((VLOOKUP(Optimalisatie!AA73,Database_Asfalt_Verwijderset[#All],42,FALSE)*Optimalisatie!J73),0)+_xlfn.IFNA(VLOOKUP(Optimalisatie!AB73,Database_Brandstoffen[#All],42,FALSE)*((Optimalisatie!J73/Optimalisatie!AD73)*Optimalisatie!AC73),0),(_xlfn.IFNA(VLOOKUP(Inschrijf_Hernieuwbare_Energie_Totaal[[#This Row],[Product]]&amp;", "&amp;Inschrijf_MKI_Totaal[[#Headers],[C1]],Database_Productkaarten[#All],48,FALSE),0)*Optimalisatie!J73)),0)</f>
        <v>0</v>
      </c>
      <c r="M386" s="91">
        <f>(IF(Optimalisatie!C73="Bestaande Situatie",_xlfn.IFNA(VLOOKUP(Optimalisatie!AF73,Database_Transport[#All],42,FALSE)*(Optimalisatie!R73*Optimalisatie!AE73),Baseline_Backlog!M386),0))</f>
        <v>0</v>
      </c>
      <c r="N386" s="91">
        <f>(IF(Optimalisatie!C73="Bestaande Situatie",_xlfn.IFNA(VLOOKUP(Optimalisatie!AG73,Database_Asfalt_Verwerkingsset[#All],42,FALSE)*(Optimalisatie!J73/VLOOKUP(Optimalisatie!AG73,Database_Asfalt_Verwerkingsset[#All],42,FALSE)),Baseline_Backlog!N386),0))</f>
        <v>0</v>
      </c>
      <c r="O386" s="91">
        <f>(IF(Optimalisatie!C73="Bestaande Situatie",_xlfn.IFNA(VLOOKUP(Inschrijf_Hernieuwbare_Energie_Totaal[[#This Row],[Product]]&amp;", "&amp;Inschrijf_MKI_Totaal[[#Headers],[C4]],Database_Productkaarten[#All],48,FALSE)*Optimalisatie!J73,Baseline_Backlog!O386),0))</f>
        <v>0</v>
      </c>
      <c r="P386" s="91">
        <f>(IF(Optimalisatie!C73="Bestaande Situatie",_xlfn.IFNA(IF(Optimalisatie!E73="Categorie_1_LCA_Producten",VLOOKUP(Inschrijf_Hernieuwbare_Energie_Totaal[[#This Row],[Product]],Categorie_1_Producten[#All],24,FALSE)*(Optimalisatie!J73),VLOOKUP(Inschrijf_Hernieuwbare_Energie_Totaal[[#This Row],[Product]]&amp;", "&amp;Inschrijf_Hernieuwbare_Energie_Totaal[[#Headers],[D1]],Database_Productkaarten[#All],48,FALSE)*Optimalisatie!J73),Baseline_Backlog!P386),0))</f>
        <v>0</v>
      </c>
      <c r="Q386" s="91">
        <f>(IF(Optimalisatie!C73="Bestaande Situatie",_xlfn.IFNA(IF(Optimalisatie!E73="Categorie_1_LCA_Producten",VLOOKUP(Inschrijf_Hernieuwbare_Energie_Totaal[[#This Row],[Product]],Categorie_1_Producten[#All],25,FALSE)*(Optimalisatie!J73),VLOOKUP(Inschrijf_Hernieuwbare_Energie_Totaal[[#This Row],[Product]]&amp;", "&amp;Inschrijf_Hernieuwbare_Energie_Totaal[[#Headers],[D2]],Database_Productkaarten[#All],48,FALSE)*Optimalisatie!J73),Baseline_Backlog!Q386),0))</f>
        <v>0</v>
      </c>
      <c r="R386" s="91">
        <f>(IF(Optimalisatie!C73="Bestaande Situatie",_xlfn.IFNA(IF(Optimalisatie!E73="Categorie_1_LCA_Producten",VLOOKUP(Inschrijf_Hernieuwbare_Energie_Totaal[[#This Row],[Product]],Categorie_1_Producten[#All],29,FALSE)*(Optimalisatie!J73),VLOOKUP(Inschrijf_Hernieuwbare_Energie_Totaal[[#This Row],[Product]]&amp;", "&amp;Inschrijf_Hernieuwbare_Energie_Totaal[[#Headers],[D]],Database_Productkaarten[#All],48,FALSE)*Optimalisatie!J73),Baseline_Backlog!S386),0))</f>
        <v>0</v>
      </c>
      <c r="S386" s="91">
        <f>SUM(Inschrijf_Hernieuwbare_Energie_Totaal[[#This Row],[A1-A3]:[C4]])+Inschrijf_Hernieuwbare_Energie_Totaal[[#This Row],[D]]</f>
        <v>0</v>
      </c>
    </row>
    <row r="387" spans="2:19">
      <c r="B387" s="208">
        <f>Optimalisatie!B74</f>
        <v>0</v>
      </c>
      <c r="C387" s="1">
        <f>Optimalisatie!F74</f>
        <v>0</v>
      </c>
      <c r="D387" s="91">
        <f>(IF(Optimalisatie!C74="Nieuwe Situatie",_xlfn.IFNA(IF(Optimalisatie!E74="Categorie_1_LCA_Producten",VLOOKUP(Inschrijf_Hernieuwbare_Energie_Totaal[[#This Row],[Product]],Categorie_1_Producten[#All],20,FALSE)*(Optimalisatie!J74),VLOOKUP(Inschrijf_Hernieuwbare_Energie_Totaal[[#This Row],[Product]]&amp;", "&amp;Inschrijf_Hernieuwbare_Energie_Totaal[[#Headers],[A1]],Database_Productkaarten[#All],48,FALSE)*Optimalisatie!J74),Baseline_Backlog!D387),0))</f>
        <v>0</v>
      </c>
      <c r="E387" s="91">
        <f>(IF(Optimalisatie!C74="Nieuwe Situatie",_xlfn.IFNA(IF(Optimalisatie!E74="Categorie_1_LCA_Producten",VLOOKUP(Inschrijf_Hernieuwbare_Energie_Totaal[[#This Row],[Product]],Categorie_1_Producten[#All],21,FALSE)*(Optimalisatie!J74),VLOOKUP(Inschrijf_Hernieuwbare_Energie_Totaal[[#This Row],[Product]]&amp;", "&amp;Inschrijf_Hernieuwbare_Energie_Totaal[[#Headers],[A2]],Database_Productkaarten[#All],48,FALSE)*Optimalisatie!J74),Baseline_Backlog!E387),0))</f>
        <v>0</v>
      </c>
      <c r="F387" s="91">
        <f>(IF(Optimalisatie!C74="Nieuwe Situatie",_xlfn.IFNA(IF(Optimalisatie!E74="Categorie_1_LCA_Producten",VLOOKUP(Inschrijf_Hernieuwbare_Energie_Totaal[[#This Row],[Product]],Categorie_1_Producten[#All],22,FALSE)*(Optimalisatie!J74),VLOOKUP(Inschrijf_Hernieuwbare_Energie_Totaal[[#This Row],[Product]]&amp;", "&amp;Inschrijf_Hernieuwbare_Energie_Totaal[[#Headers],[A3]],Database_Productkaarten[#All],48,FALSE)*Optimalisatie!J74),Baseline_Backlog!F387),0))</f>
        <v>0</v>
      </c>
      <c r="G387" s="91">
        <f>(IF(Optimalisatie!C74="Nieuwe Situatie",_xlfn.IFNA(IF(Optimalisatie!E74="Categorie_1_LCA_Producten",VLOOKUP(Inschrijf_Hernieuwbare_Energie_Totaal[[#This Row],[Product]],Categorie_1_Producten[#All],27,FALSE)*(Optimalisatie!J74),VLOOKUP(Inschrijf_Hernieuwbare_Energie_Totaal[[#This Row],[Product]]&amp;", "&amp;Inschrijf_Hernieuwbare_Energie_Totaal[[#Headers],[A1-A3]],Database_Productkaarten[#All],48,FALSE)*Optimalisatie!J74),Baseline_Backlog!G387),0))</f>
        <v>0</v>
      </c>
      <c r="H387" s="91">
        <f>(IF(Optimalisatie!C74="Nieuwe Situatie",_xlfn.IFNA(VLOOKUP(Optimalisatie!V74,Database_Transport[#All],42,FALSE)*(Optimalisatie!R74*Optimalisatie!U74),Baseline_Backlog!H387),0))</f>
        <v>0</v>
      </c>
      <c r="I387" s="91">
        <f>IF(Optimalisatie!C74="Nieuwe situatie",IF(_xlfn.IFNA((VLOOKUP(Optimalisatie!W74,Database_Asfalt_Aanlegset[#All],42,FALSE)*Optimalisatie!J74),0)+_xlfn.IFNA(VLOOKUP(Optimalisatie!X74,Database_Brandstoffen[#All],42,FALSE)*((Optimalisatie!J74/Optimalisatie!Z74)*Optimalisatie!Y74),0)&gt;0,_xlfn.IFNA((VLOOKUP(Optimalisatie!W74,Database_Asfalt_Aanlegset[#All],42,FALSE)*Optimalisatie!J74),0)+_xlfn.IFNA(VLOOKUP(Optimalisatie!X74,Database_Brandstoffen[#All],42,FALSE)*((Optimalisatie!J74/Optimalisatie!Z74)*Optimalisatie!Y74),0),(_xlfn.IFNA(VLOOKUP(Inschrijf_Hernieuwbare_Energie_Totaal[[#This Row],[Product]]&amp;", "&amp;Inschrijf_MKI_Totaal[[#Headers],[A5]],Database_Productkaarten[#All],48,FALSE),0)*Optimalisatie!J74)),0)</f>
        <v>0</v>
      </c>
      <c r="J387" s="91">
        <f>(IF(Optimalisatie!C74="Nieuwe Situatie",_xlfn.IFNA(IF(Optimalisatie!E74="Categorie_1_LCA_Producten",VLOOKUP(Inschrijf_Hernieuwbare_Energie_Totaal[[#This Row],[Product]],Categorie_1_Producten[#All],28,FALSE)*(Optimalisatie!R74),VLOOKUP(Inschrijf_Hernieuwbare_Energie_Totaal[[#This Row],[Product]]&amp;", "&amp;Inschrijf_Hernieuwbare_Energie_Totaal[[#Headers],[B1]],Database_Productkaarten[#All],47,FALSE)*Optimalisatie!J74),Baseline_Backlog!J387),0))</f>
        <v>0</v>
      </c>
      <c r="K387" s="91">
        <f>(IF(Optimalisatie!C74="Nieuwe Situatie",_xlfn.IFNA(SUM(Inschrijf_Hernieuwbare_Energie_Totaal[[#This Row],[A1]:[B1]],Inschrijf_Hernieuwbare_Energie_Totaal[[#This Row],[C1]:[D2]])*Optimalisatie!T74,0),0))</f>
        <v>0</v>
      </c>
      <c r="L387" s="91">
        <f>IF(Optimalisatie!C74="Bestaande situatie",IF(_xlfn.IFNA((VLOOKUP(Optimalisatie!AA74,Database_Asfalt_Verwijderset[#All],42,FALSE)*Optimalisatie!J74),0)+_xlfn.IFNA(VLOOKUP(Optimalisatie!AB74,Database_Brandstoffen[#All],42,FALSE)*((Optimalisatie!J74/Optimalisatie!AD74)*Optimalisatie!AC74),0)&gt;0,_xlfn.IFNA((VLOOKUP(Optimalisatie!AA74,Database_Asfalt_Verwijderset[#All],42,FALSE)*Optimalisatie!J74),0)+_xlfn.IFNA(VLOOKUP(Optimalisatie!AB74,Database_Brandstoffen[#All],42,FALSE)*((Optimalisatie!J74/Optimalisatie!AD74)*Optimalisatie!AC74),0),(_xlfn.IFNA(VLOOKUP(Inschrijf_Hernieuwbare_Energie_Totaal[[#This Row],[Product]]&amp;", "&amp;Inschrijf_MKI_Totaal[[#Headers],[C1]],Database_Productkaarten[#All],48,FALSE),0)*Optimalisatie!J74)),0)</f>
        <v>0</v>
      </c>
      <c r="M387" s="91">
        <f>(IF(Optimalisatie!C74="Bestaande Situatie",_xlfn.IFNA(VLOOKUP(Optimalisatie!AF74,Database_Transport[#All],42,FALSE)*(Optimalisatie!R74*Optimalisatie!AE74),Baseline_Backlog!M387),0))</f>
        <v>0</v>
      </c>
      <c r="N387" s="91">
        <f>(IF(Optimalisatie!C74="Bestaande Situatie",_xlfn.IFNA(VLOOKUP(Optimalisatie!AG74,Database_Asfalt_Verwerkingsset[#All],42,FALSE)*(Optimalisatie!J74/VLOOKUP(Optimalisatie!AG74,Database_Asfalt_Verwerkingsset[#All],42,FALSE)),Baseline_Backlog!N387),0))</f>
        <v>0</v>
      </c>
      <c r="O387" s="91">
        <f>(IF(Optimalisatie!C74="Bestaande Situatie",_xlfn.IFNA(VLOOKUP(Inschrijf_Hernieuwbare_Energie_Totaal[[#This Row],[Product]]&amp;", "&amp;Inschrijf_MKI_Totaal[[#Headers],[C4]],Database_Productkaarten[#All],48,FALSE)*Optimalisatie!J74,Baseline_Backlog!O387),0))</f>
        <v>0</v>
      </c>
      <c r="P387" s="91">
        <f>(IF(Optimalisatie!C74="Bestaande Situatie",_xlfn.IFNA(IF(Optimalisatie!E74="Categorie_1_LCA_Producten",VLOOKUP(Inschrijf_Hernieuwbare_Energie_Totaal[[#This Row],[Product]],Categorie_1_Producten[#All],24,FALSE)*(Optimalisatie!J74),VLOOKUP(Inschrijf_Hernieuwbare_Energie_Totaal[[#This Row],[Product]]&amp;", "&amp;Inschrijf_Hernieuwbare_Energie_Totaal[[#Headers],[D1]],Database_Productkaarten[#All],48,FALSE)*Optimalisatie!J74),Baseline_Backlog!P387),0))</f>
        <v>0</v>
      </c>
      <c r="Q387" s="91">
        <f>(IF(Optimalisatie!C74="Bestaande Situatie",_xlfn.IFNA(IF(Optimalisatie!E74="Categorie_1_LCA_Producten",VLOOKUP(Inschrijf_Hernieuwbare_Energie_Totaal[[#This Row],[Product]],Categorie_1_Producten[#All],25,FALSE)*(Optimalisatie!J74),VLOOKUP(Inschrijf_Hernieuwbare_Energie_Totaal[[#This Row],[Product]]&amp;", "&amp;Inschrijf_Hernieuwbare_Energie_Totaal[[#Headers],[D2]],Database_Productkaarten[#All],48,FALSE)*Optimalisatie!J74),Baseline_Backlog!Q387),0))</f>
        <v>0</v>
      </c>
      <c r="R387" s="91">
        <f>(IF(Optimalisatie!C74="Bestaande Situatie",_xlfn.IFNA(IF(Optimalisatie!E74="Categorie_1_LCA_Producten",VLOOKUP(Inschrijf_Hernieuwbare_Energie_Totaal[[#This Row],[Product]],Categorie_1_Producten[#All],29,FALSE)*(Optimalisatie!J74),VLOOKUP(Inschrijf_Hernieuwbare_Energie_Totaal[[#This Row],[Product]]&amp;", "&amp;Inschrijf_Hernieuwbare_Energie_Totaal[[#Headers],[D]],Database_Productkaarten[#All],48,FALSE)*Optimalisatie!J74),Baseline_Backlog!S387),0))</f>
        <v>0</v>
      </c>
      <c r="S387" s="91">
        <f>SUM(Inschrijf_Hernieuwbare_Energie_Totaal[[#This Row],[A1-A3]:[C4]])+Inschrijf_Hernieuwbare_Energie_Totaal[[#This Row],[D]]</f>
        <v>0</v>
      </c>
    </row>
    <row r="388" spans="2:19">
      <c r="B388" s="208">
        <f>Optimalisatie!B75</f>
        <v>0</v>
      </c>
      <c r="C388" s="1">
        <f>Optimalisatie!F75</f>
        <v>0</v>
      </c>
      <c r="D388" s="91">
        <f>(IF(Optimalisatie!C75="Nieuwe Situatie",_xlfn.IFNA(IF(Optimalisatie!E75="Categorie_1_LCA_Producten",VLOOKUP(Inschrijf_Hernieuwbare_Energie_Totaal[[#This Row],[Product]],Categorie_1_Producten[#All],20,FALSE)*(Optimalisatie!J75),VLOOKUP(Inschrijf_Hernieuwbare_Energie_Totaal[[#This Row],[Product]]&amp;", "&amp;Inschrijf_Hernieuwbare_Energie_Totaal[[#Headers],[A1]],Database_Productkaarten[#All],48,FALSE)*Optimalisatie!J75),Baseline_Backlog!D388),0))</f>
        <v>0</v>
      </c>
      <c r="E388" s="91">
        <f>(IF(Optimalisatie!C75="Nieuwe Situatie",_xlfn.IFNA(IF(Optimalisatie!E75="Categorie_1_LCA_Producten",VLOOKUP(Inschrijf_Hernieuwbare_Energie_Totaal[[#This Row],[Product]],Categorie_1_Producten[#All],21,FALSE)*(Optimalisatie!J75),VLOOKUP(Inschrijf_Hernieuwbare_Energie_Totaal[[#This Row],[Product]]&amp;", "&amp;Inschrijf_Hernieuwbare_Energie_Totaal[[#Headers],[A2]],Database_Productkaarten[#All],48,FALSE)*Optimalisatie!J75),Baseline_Backlog!E388),0))</f>
        <v>0</v>
      </c>
      <c r="F388" s="91">
        <f>(IF(Optimalisatie!C75="Nieuwe Situatie",_xlfn.IFNA(IF(Optimalisatie!E75="Categorie_1_LCA_Producten",VLOOKUP(Inschrijf_Hernieuwbare_Energie_Totaal[[#This Row],[Product]],Categorie_1_Producten[#All],22,FALSE)*(Optimalisatie!J75),VLOOKUP(Inschrijf_Hernieuwbare_Energie_Totaal[[#This Row],[Product]]&amp;", "&amp;Inschrijf_Hernieuwbare_Energie_Totaal[[#Headers],[A3]],Database_Productkaarten[#All],48,FALSE)*Optimalisatie!J75),Baseline_Backlog!F388),0))</f>
        <v>0</v>
      </c>
      <c r="G388" s="91">
        <f>(IF(Optimalisatie!C75="Nieuwe Situatie",_xlfn.IFNA(IF(Optimalisatie!E75="Categorie_1_LCA_Producten",VLOOKUP(Inschrijf_Hernieuwbare_Energie_Totaal[[#This Row],[Product]],Categorie_1_Producten[#All],27,FALSE)*(Optimalisatie!J75),VLOOKUP(Inschrijf_Hernieuwbare_Energie_Totaal[[#This Row],[Product]]&amp;", "&amp;Inschrijf_Hernieuwbare_Energie_Totaal[[#Headers],[A1-A3]],Database_Productkaarten[#All],48,FALSE)*Optimalisatie!J75),Baseline_Backlog!G388),0))</f>
        <v>0</v>
      </c>
      <c r="H388" s="91">
        <f>(IF(Optimalisatie!C75="Nieuwe Situatie",_xlfn.IFNA(VLOOKUP(Optimalisatie!V75,Database_Transport[#All],42,FALSE)*(Optimalisatie!R75*Optimalisatie!U75),Baseline_Backlog!H388),0))</f>
        <v>0</v>
      </c>
      <c r="I388" s="91">
        <f>IF(Optimalisatie!C75="Nieuwe situatie",IF(_xlfn.IFNA((VLOOKUP(Optimalisatie!W75,Database_Asfalt_Aanlegset[#All],42,FALSE)*Optimalisatie!J75),0)+_xlfn.IFNA(VLOOKUP(Optimalisatie!X75,Database_Brandstoffen[#All],42,FALSE)*((Optimalisatie!J75/Optimalisatie!Z75)*Optimalisatie!Y75),0)&gt;0,_xlfn.IFNA((VLOOKUP(Optimalisatie!W75,Database_Asfalt_Aanlegset[#All],42,FALSE)*Optimalisatie!J75),0)+_xlfn.IFNA(VLOOKUP(Optimalisatie!X75,Database_Brandstoffen[#All],42,FALSE)*((Optimalisatie!J75/Optimalisatie!Z75)*Optimalisatie!Y75),0),(_xlfn.IFNA(VLOOKUP(Inschrijf_Hernieuwbare_Energie_Totaal[[#This Row],[Product]]&amp;", "&amp;Inschrijf_MKI_Totaal[[#Headers],[A5]],Database_Productkaarten[#All],48,FALSE),0)*Optimalisatie!J75)),0)</f>
        <v>0</v>
      </c>
      <c r="J388" s="91">
        <f>(IF(Optimalisatie!C75="Nieuwe Situatie",_xlfn.IFNA(IF(Optimalisatie!E75="Categorie_1_LCA_Producten",VLOOKUP(Inschrijf_Hernieuwbare_Energie_Totaal[[#This Row],[Product]],Categorie_1_Producten[#All],28,FALSE)*(Optimalisatie!R75),VLOOKUP(Inschrijf_Hernieuwbare_Energie_Totaal[[#This Row],[Product]]&amp;", "&amp;Inschrijf_Hernieuwbare_Energie_Totaal[[#Headers],[B1]],Database_Productkaarten[#All],47,FALSE)*Optimalisatie!J75),Baseline_Backlog!J388),0))</f>
        <v>0</v>
      </c>
      <c r="K388" s="91">
        <f>(IF(Optimalisatie!C75="Nieuwe Situatie",_xlfn.IFNA(SUM(Inschrijf_Hernieuwbare_Energie_Totaal[[#This Row],[A1]:[B1]],Inschrijf_Hernieuwbare_Energie_Totaal[[#This Row],[C1]:[D2]])*Optimalisatie!T75,0),0))</f>
        <v>0</v>
      </c>
      <c r="L388" s="91">
        <f>IF(Optimalisatie!C75="Bestaande situatie",IF(_xlfn.IFNA((VLOOKUP(Optimalisatie!AA75,Database_Asfalt_Verwijderset[#All],42,FALSE)*Optimalisatie!J75),0)+_xlfn.IFNA(VLOOKUP(Optimalisatie!AB75,Database_Brandstoffen[#All],42,FALSE)*((Optimalisatie!J75/Optimalisatie!AD75)*Optimalisatie!AC75),0)&gt;0,_xlfn.IFNA((VLOOKUP(Optimalisatie!AA75,Database_Asfalt_Verwijderset[#All],42,FALSE)*Optimalisatie!J75),0)+_xlfn.IFNA(VLOOKUP(Optimalisatie!AB75,Database_Brandstoffen[#All],42,FALSE)*((Optimalisatie!J75/Optimalisatie!AD75)*Optimalisatie!AC75),0),(_xlfn.IFNA(VLOOKUP(Inschrijf_Hernieuwbare_Energie_Totaal[[#This Row],[Product]]&amp;", "&amp;Inschrijf_MKI_Totaal[[#Headers],[C1]],Database_Productkaarten[#All],48,FALSE),0)*Optimalisatie!J75)),0)</f>
        <v>0</v>
      </c>
      <c r="M388" s="91">
        <f>(IF(Optimalisatie!C75="Bestaande Situatie",_xlfn.IFNA(VLOOKUP(Optimalisatie!AF75,Database_Transport[#All],42,FALSE)*(Optimalisatie!R75*Optimalisatie!AE75),Baseline_Backlog!M388),0))</f>
        <v>0</v>
      </c>
      <c r="N388" s="91">
        <f>(IF(Optimalisatie!C75="Bestaande Situatie",_xlfn.IFNA(VLOOKUP(Optimalisatie!AG75,Database_Asfalt_Verwerkingsset[#All],42,FALSE)*(Optimalisatie!J75/VLOOKUP(Optimalisatie!AG75,Database_Asfalt_Verwerkingsset[#All],42,FALSE)),Baseline_Backlog!N388),0))</f>
        <v>0</v>
      </c>
      <c r="O388" s="91">
        <f>(IF(Optimalisatie!C75="Bestaande Situatie",_xlfn.IFNA(VLOOKUP(Inschrijf_Hernieuwbare_Energie_Totaal[[#This Row],[Product]]&amp;", "&amp;Inschrijf_MKI_Totaal[[#Headers],[C4]],Database_Productkaarten[#All],48,FALSE)*Optimalisatie!J75,Baseline_Backlog!O388),0))</f>
        <v>0</v>
      </c>
      <c r="P388" s="91">
        <f>(IF(Optimalisatie!C75="Bestaande Situatie",_xlfn.IFNA(IF(Optimalisatie!E75="Categorie_1_LCA_Producten",VLOOKUP(Inschrijf_Hernieuwbare_Energie_Totaal[[#This Row],[Product]],Categorie_1_Producten[#All],24,FALSE)*(Optimalisatie!J75),VLOOKUP(Inschrijf_Hernieuwbare_Energie_Totaal[[#This Row],[Product]]&amp;", "&amp;Inschrijf_Hernieuwbare_Energie_Totaal[[#Headers],[D1]],Database_Productkaarten[#All],48,FALSE)*Optimalisatie!J75),Baseline_Backlog!P388),0))</f>
        <v>0</v>
      </c>
      <c r="Q388" s="91">
        <f>(IF(Optimalisatie!C75="Bestaande Situatie",_xlfn.IFNA(IF(Optimalisatie!E75="Categorie_1_LCA_Producten",VLOOKUP(Inschrijf_Hernieuwbare_Energie_Totaal[[#This Row],[Product]],Categorie_1_Producten[#All],25,FALSE)*(Optimalisatie!J75),VLOOKUP(Inschrijf_Hernieuwbare_Energie_Totaal[[#This Row],[Product]]&amp;", "&amp;Inschrijf_Hernieuwbare_Energie_Totaal[[#Headers],[D2]],Database_Productkaarten[#All],48,FALSE)*Optimalisatie!J75),Baseline_Backlog!Q388),0))</f>
        <v>0</v>
      </c>
      <c r="R388" s="91">
        <f>(IF(Optimalisatie!C75="Bestaande Situatie",_xlfn.IFNA(IF(Optimalisatie!E75="Categorie_1_LCA_Producten",VLOOKUP(Inschrijf_Hernieuwbare_Energie_Totaal[[#This Row],[Product]],Categorie_1_Producten[#All],29,FALSE)*(Optimalisatie!J75),VLOOKUP(Inschrijf_Hernieuwbare_Energie_Totaal[[#This Row],[Product]]&amp;", "&amp;Inschrijf_Hernieuwbare_Energie_Totaal[[#Headers],[D]],Database_Productkaarten[#All],48,FALSE)*Optimalisatie!J75),Baseline_Backlog!S388),0))</f>
        <v>0</v>
      </c>
      <c r="S388" s="91">
        <f>SUM(Inschrijf_Hernieuwbare_Energie_Totaal[[#This Row],[A1-A3]:[C4]])+Inschrijf_Hernieuwbare_Energie_Totaal[[#This Row],[D]]</f>
        <v>0</v>
      </c>
    </row>
    <row r="389" spans="2:19">
      <c r="B389" s="208">
        <f>Optimalisatie!B76</f>
        <v>0</v>
      </c>
      <c r="C389" s="1">
        <f>Optimalisatie!F76</f>
        <v>0</v>
      </c>
      <c r="D389" s="91">
        <f>(IF(Optimalisatie!C76="Nieuwe Situatie",_xlfn.IFNA(IF(Optimalisatie!E76="Categorie_1_LCA_Producten",VLOOKUP(Inschrijf_Hernieuwbare_Energie_Totaal[[#This Row],[Product]],Categorie_1_Producten[#All],20,FALSE)*(Optimalisatie!J76),VLOOKUP(Inschrijf_Hernieuwbare_Energie_Totaal[[#This Row],[Product]]&amp;", "&amp;Inschrijf_Hernieuwbare_Energie_Totaal[[#Headers],[A1]],Database_Productkaarten[#All],48,FALSE)*Optimalisatie!J76),Baseline_Backlog!D389),0))</f>
        <v>0</v>
      </c>
      <c r="E389" s="91">
        <f>(IF(Optimalisatie!C76="Nieuwe Situatie",_xlfn.IFNA(IF(Optimalisatie!E76="Categorie_1_LCA_Producten",VLOOKUP(Inschrijf_Hernieuwbare_Energie_Totaal[[#This Row],[Product]],Categorie_1_Producten[#All],21,FALSE)*(Optimalisatie!J76),VLOOKUP(Inschrijf_Hernieuwbare_Energie_Totaal[[#This Row],[Product]]&amp;", "&amp;Inschrijf_Hernieuwbare_Energie_Totaal[[#Headers],[A2]],Database_Productkaarten[#All],48,FALSE)*Optimalisatie!J76),Baseline_Backlog!E389),0))</f>
        <v>0</v>
      </c>
      <c r="F389" s="91">
        <f>(IF(Optimalisatie!C76="Nieuwe Situatie",_xlfn.IFNA(IF(Optimalisatie!E76="Categorie_1_LCA_Producten",VLOOKUP(Inschrijf_Hernieuwbare_Energie_Totaal[[#This Row],[Product]],Categorie_1_Producten[#All],22,FALSE)*(Optimalisatie!J76),VLOOKUP(Inschrijf_Hernieuwbare_Energie_Totaal[[#This Row],[Product]]&amp;", "&amp;Inschrijf_Hernieuwbare_Energie_Totaal[[#Headers],[A3]],Database_Productkaarten[#All],48,FALSE)*Optimalisatie!J76),Baseline_Backlog!F389),0))</f>
        <v>0</v>
      </c>
      <c r="G389" s="91">
        <f>(IF(Optimalisatie!C76="Nieuwe Situatie",_xlfn.IFNA(IF(Optimalisatie!E76="Categorie_1_LCA_Producten",VLOOKUP(Inschrijf_Hernieuwbare_Energie_Totaal[[#This Row],[Product]],Categorie_1_Producten[#All],27,FALSE)*(Optimalisatie!J76),VLOOKUP(Inschrijf_Hernieuwbare_Energie_Totaal[[#This Row],[Product]]&amp;", "&amp;Inschrijf_Hernieuwbare_Energie_Totaal[[#Headers],[A1-A3]],Database_Productkaarten[#All],48,FALSE)*Optimalisatie!J76),Baseline_Backlog!G389),0))</f>
        <v>0</v>
      </c>
      <c r="H389" s="91">
        <f>(IF(Optimalisatie!C76="Nieuwe Situatie",_xlfn.IFNA(VLOOKUP(Optimalisatie!V76,Database_Transport[#All],42,FALSE)*(Optimalisatie!R76*Optimalisatie!U76),Baseline_Backlog!H389),0))</f>
        <v>0</v>
      </c>
      <c r="I389" s="91">
        <f>IF(Optimalisatie!C76="Nieuwe situatie",IF(_xlfn.IFNA((VLOOKUP(Optimalisatie!W76,Database_Asfalt_Aanlegset[#All],42,FALSE)*Optimalisatie!J76),0)+_xlfn.IFNA(VLOOKUP(Optimalisatie!X76,Database_Brandstoffen[#All],42,FALSE)*((Optimalisatie!J76/Optimalisatie!Z76)*Optimalisatie!Y76),0)&gt;0,_xlfn.IFNA((VLOOKUP(Optimalisatie!W76,Database_Asfalt_Aanlegset[#All],42,FALSE)*Optimalisatie!J76),0)+_xlfn.IFNA(VLOOKUP(Optimalisatie!X76,Database_Brandstoffen[#All],42,FALSE)*((Optimalisatie!J76/Optimalisatie!Z76)*Optimalisatie!Y76),0),(_xlfn.IFNA(VLOOKUP(Inschrijf_Hernieuwbare_Energie_Totaal[[#This Row],[Product]]&amp;", "&amp;Inschrijf_MKI_Totaal[[#Headers],[A5]],Database_Productkaarten[#All],48,FALSE),0)*Optimalisatie!J76)),0)</f>
        <v>0</v>
      </c>
      <c r="J389" s="91">
        <f>(IF(Optimalisatie!C76="Nieuwe Situatie",_xlfn.IFNA(IF(Optimalisatie!E76="Categorie_1_LCA_Producten",VLOOKUP(Inschrijf_Hernieuwbare_Energie_Totaal[[#This Row],[Product]],Categorie_1_Producten[#All],28,FALSE)*(Optimalisatie!R76),VLOOKUP(Inschrijf_Hernieuwbare_Energie_Totaal[[#This Row],[Product]]&amp;", "&amp;Inschrijf_Hernieuwbare_Energie_Totaal[[#Headers],[B1]],Database_Productkaarten[#All],47,FALSE)*Optimalisatie!J76),Baseline_Backlog!J389),0))</f>
        <v>0</v>
      </c>
      <c r="K389" s="91">
        <f>(IF(Optimalisatie!C76="Nieuwe Situatie",_xlfn.IFNA(SUM(Inschrijf_Hernieuwbare_Energie_Totaal[[#This Row],[A1]:[B1]],Inschrijf_Hernieuwbare_Energie_Totaal[[#This Row],[C1]:[D2]])*Optimalisatie!T76,0),0))</f>
        <v>0</v>
      </c>
      <c r="L389" s="91">
        <f>IF(Optimalisatie!C76="Bestaande situatie",IF(_xlfn.IFNA((VLOOKUP(Optimalisatie!AA76,Database_Asfalt_Verwijderset[#All],42,FALSE)*Optimalisatie!J76),0)+_xlfn.IFNA(VLOOKUP(Optimalisatie!AB76,Database_Brandstoffen[#All],42,FALSE)*((Optimalisatie!J76/Optimalisatie!AD76)*Optimalisatie!AC76),0)&gt;0,_xlfn.IFNA((VLOOKUP(Optimalisatie!AA76,Database_Asfalt_Verwijderset[#All],42,FALSE)*Optimalisatie!J76),0)+_xlfn.IFNA(VLOOKUP(Optimalisatie!AB76,Database_Brandstoffen[#All],42,FALSE)*((Optimalisatie!J76/Optimalisatie!AD76)*Optimalisatie!AC76),0),(_xlfn.IFNA(VLOOKUP(Inschrijf_Hernieuwbare_Energie_Totaal[[#This Row],[Product]]&amp;", "&amp;Inschrijf_MKI_Totaal[[#Headers],[C1]],Database_Productkaarten[#All],48,FALSE),0)*Optimalisatie!J76)),0)</f>
        <v>0</v>
      </c>
      <c r="M389" s="91">
        <f>(IF(Optimalisatie!C76="Bestaande Situatie",_xlfn.IFNA(VLOOKUP(Optimalisatie!AF76,Database_Transport[#All],42,FALSE)*(Optimalisatie!R76*Optimalisatie!AE76),Baseline_Backlog!M389),0))</f>
        <v>0</v>
      </c>
      <c r="N389" s="91">
        <f>(IF(Optimalisatie!C76="Bestaande Situatie",_xlfn.IFNA(VLOOKUP(Optimalisatie!AG76,Database_Asfalt_Verwerkingsset[#All],42,FALSE)*(Optimalisatie!J76/VLOOKUP(Optimalisatie!AG76,Database_Asfalt_Verwerkingsset[#All],42,FALSE)),Baseline_Backlog!N389),0))</f>
        <v>0</v>
      </c>
      <c r="O389" s="91">
        <f>(IF(Optimalisatie!C76="Bestaande Situatie",_xlfn.IFNA(VLOOKUP(Inschrijf_Hernieuwbare_Energie_Totaal[[#This Row],[Product]]&amp;", "&amp;Inschrijf_MKI_Totaal[[#Headers],[C4]],Database_Productkaarten[#All],48,FALSE)*Optimalisatie!J76,Baseline_Backlog!O389),0))</f>
        <v>0</v>
      </c>
      <c r="P389" s="91">
        <f>(IF(Optimalisatie!C76="Bestaande Situatie",_xlfn.IFNA(IF(Optimalisatie!E76="Categorie_1_LCA_Producten",VLOOKUP(Inschrijf_Hernieuwbare_Energie_Totaal[[#This Row],[Product]],Categorie_1_Producten[#All],24,FALSE)*(Optimalisatie!J76),VLOOKUP(Inschrijf_Hernieuwbare_Energie_Totaal[[#This Row],[Product]]&amp;", "&amp;Inschrijf_Hernieuwbare_Energie_Totaal[[#Headers],[D1]],Database_Productkaarten[#All],48,FALSE)*Optimalisatie!J76),Baseline_Backlog!P389),0))</f>
        <v>0</v>
      </c>
      <c r="Q389" s="91">
        <f>(IF(Optimalisatie!C76="Bestaande Situatie",_xlfn.IFNA(IF(Optimalisatie!E76="Categorie_1_LCA_Producten",VLOOKUP(Inschrijf_Hernieuwbare_Energie_Totaal[[#This Row],[Product]],Categorie_1_Producten[#All],25,FALSE)*(Optimalisatie!J76),VLOOKUP(Inschrijf_Hernieuwbare_Energie_Totaal[[#This Row],[Product]]&amp;", "&amp;Inschrijf_Hernieuwbare_Energie_Totaal[[#Headers],[D2]],Database_Productkaarten[#All],48,FALSE)*Optimalisatie!J76),Baseline_Backlog!Q389),0))</f>
        <v>0</v>
      </c>
      <c r="R389" s="91">
        <f>(IF(Optimalisatie!C76="Bestaande Situatie",_xlfn.IFNA(IF(Optimalisatie!E76="Categorie_1_LCA_Producten",VLOOKUP(Inschrijf_Hernieuwbare_Energie_Totaal[[#This Row],[Product]],Categorie_1_Producten[#All],29,FALSE)*(Optimalisatie!J76),VLOOKUP(Inschrijf_Hernieuwbare_Energie_Totaal[[#This Row],[Product]]&amp;", "&amp;Inschrijf_Hernieuwbare_Energie_Totaal[[#Headers],[D]],Database_Productkaarten[#All],48,FALSE)*Optimalisatie!J76),Baseline_Backlog!S389),0))</f>
        <v>0</v>
      </c>
      <c r="S389" s="91">
        <f>SUM(Inschrijf_Hernieuwbare_Energie_Totaal[[#This Row],[A1-A3]:[C4]])+Inschrijf_Hernieuwbare_Energie_Totaal[[#This Row],[D]]</f>
        <v>0</v>
      </c>
    </row>
    <row r="390" spans="2:19">
      <c r="B390" s="208">
        <f>Optimalisatie!B77</f>
        <v>0</v>
      </c>
      <c r="C390" s="1">
        <f>Optimalisatie!F77</f>
        <v>0</v>
      </c>
      <c r="D390" s="91">
        <f>(IF(Optimalisatie!C77="Nieuwe Situatie",_xlfn.IFNA(IF(Optimalisatie!E77="Categorie_1_LCA_Producten",VLOOKUP(Inschrijf_Hernieuwbare_Energie_Totaal[[#This Row],[Product]],Categorie_1_Producten[#All],20,FALSE)*(Optimalisatie!J77),VLOOKUP(Inschrijf_Hernieuwbare_Energie_Totaal[[#This Row],[Product]]&amp;", "&amp;Inschrijf_Hernieuwbare_Energie_Totaal[[#Headers],[A1]],Database_Productkaarten[#All],48,FALSE)*Optimalisatie!J77),Baseline_Backlog!D390),0))</f>
        <v>0</v>
      </c>
      <c r="E390" s="91">
        <f>(IF(Optimalisatie!C77="Nieuwe Situatie",_xlfn.IFNA(IF(Optimalisatie!E77="Categorie_1_LCA_Producten",VLOOKUP(Inschrijf_Hernieuwbare_Energie_Totaal[[#This Row],[Product]],Categorie_1_Producten[#All],21,FALSE)*(Optimalisatie!J77),VLOOKUP(Inschrijf_Hernieuwbare_Energie_Totaal[[#This Row],[Product]]&amp;", "&amp;Inschrijf_Hernieuwbare_Energie_Totaal[[#Headers],[A2]],Database_Productkaarten[#All],48,FALSE)*Optimalisatie!J77),Baseline_Backlog!E390),0))</f>
        <v>0</v>
      </c>
      <c r="F390" s="91">
        <f>(IF(Optimalisatie!C77="Nieuwe Situatie",_xlfn.IFNA(IF(Optimalisatie!E77="Categorie_1_LCA_Producten",VLOOKUP(Inschrijf_Hernieuwbare_Energie_Totaal[[#This Row],[Product]],Categorie_1_Producten[#All],22,FALSE)*(Optimalisatie!J77),VLOOKUP(Inschrijf_Hernieuwbare_Energie_Totaal[[#This Row],[Product]]&amp;", "&amp;Inschrijf_Hernieuwbare_Energie_Totaal[[#Headers],[A3]],Database_Productkaarten[#All],48,FALSE)*Optimalisatie!J77),Baseline_Backlog!F390),0))</f>
        <v>0</v>
      </c>
      <c r="G390" s="91">
        <f>(IF(Optimalisatie!C77="Nieuwe Situatie",_xlfn.IFNA(IF(Optimalisatie!E77="Categorie_1_LCA_Producten",VLOOKUP(Inschrijf_Hernieuwbare_Energie_Totaal[[#This Row],[Product]],Categorie_1_Producten[#All],27,FALSE)*(Optimalisatie!J77),VLOOKUP(Inschrijf_Hernieuwbare_Energie_Totaal[[#This Row],[Product]]&amp;", "&amp;Inschrijf_Hernieuwbare_Energie_Totaal[[#Headers],[A1-A3]],Database_Productkaarten[#All],48,FALSE)*Optimalisatie!J77),Baseline_Backlog!G390),0))</f>
        <v>0</v>
      </c>
      <c r="H390" s="91">
        <f>(IF(Optimalisatie!C77="Nieuwe Situatie",_xlfn.IFNA(VLOOKUP(Optimalisatie!V77,Database_Transport[#All],42,FALSE)*(Optimalisatie!R77*Optimalisatie!U77),Baseline_Backlog!H390),0))</f>
        <v>0</v>
      </c>
      <c r="I390" s="91">
        <f>IF(Optimalisatie!C77="Nieuwe situatie",IF(_xlfn.IFNA((VLOOKUP(Optimalisatie!W77,Database_Asfalt_Aanlegset[#All],42,FALSE)*Optimalisatie!J77),0)+_xlfn.IFNA(VLOOKUP(Optimalisatie!X77,Database_Brandstoffen[#All],42,FALSE)*((Optimalisatie!J77/Optimalisatie!Z77)*Optimalisatie!Y77),0)&gt;0,_xlfn.IFNA((VLOOKUP(Optimalisatie!W77,Database_Asfalt_Aanlegset[#All],42,FALSE)*Optimalisatie!J77),0)+_xlfn.IFNA(VLOOKUP(Optimalisatie!X77,Database_Brandstoffen[#All],42,FALSE)*((Optimalisatie!J77/Optimalisatie!Z77)*Optimalisatie!Y77),0),(_xlfn.IFNA(VLOOKUP(Inschrijf_Hernieuwbare_Energie_Totaal[[#This Row],[Product]]&amp;", "&amp;Inschrijf_MKI_Totaal[[#Headers],[A5]],Database_Productkaarten[#All],48,FALSE),0)*Optimalisatie!J77)),0)</f>
        <v>0</v>
      </c>
      <c r="J390" s="91">
        <f>(IF(Optimalisatie!C77="Nieuwe Situatie",_xlfn.IFNA(IF(Optimalisatie!E77="Categorie_1_LCA_Producten",VLOOKUP(Inschrijf_Hernieuwbare_Energie_Totaal[[#This Row],[Product]],Categorie_1_Producten[#All],28,FALSE)*(Optimalisatie!R77),VLOOKUP(Inschrijf_Hernieuwbare_Energie_Totaal[[#This Row],[Product]]&amp;", "&amp;Inschrijf_Hernieuwbare_Energie_Totaal[[#Headers],[B1]],Database_Productkaarten[#All],47,FALSE)*Optimalisatie!J77),Baseline_Backlog!J390),0))</f>
        <v>0</v>
      </c>
      <c r="K390" s="91">
        <f>(IF(Optimalisatie!C77="Nieuwe Situatie",_xlfn.IFNA(SUM(Inschrijf_Hernieuwbare_Energie_Totaal[[#This Row],[A1]:[B1]],Inschrijf_Hernieuwbare_Energie_Totaal[[#This Row],[C1]:[D2]])*Optimalisatie!T77,0),0))</f>
        <v>0</v>
      </c>
      <c r="L390" s="91">
        <f>IF(Optimalisatie!C77="Bestaande situatie",IF(_xlfn.IFNA((VLOOKUP(Optimalisatie!AA77,Database_Asfalt_Verwijderset[#All],42,FALSE)*Optimalisatie!J77),0)+_xlfn.IFNA(VLOOKUP(Optimalisatie!AB77,Database_Brandstoffen[#All],42,FALSE)*((Optimalisatie!J77/Optimalisatie!AD77)*Optimalisatie!AC77),0)&gt;0,_xlfn.IFNA((VLOOKUP(Optimalisatie!AA77,Database_Asfalt_Verwijderset[#All],42,FALSE)*Optimalisatie!J77),0)+_xlfn.IFNA(VLOOKUP(Optimalisatie!AB77,Database_Brandstoffen[#All],42,FALSE)*((Optimalisatie!J77/Optimalisatie!AD77)*Optimalisatie!AC77),0),(_xlfn.IFNA(VLOOKUP(Inschrijf_Hernieuwbare_Energie_Totaal[[#This Row],[Product]]&amp;", "&amp;Inschrijf_MKI_Totaal[[#Headers],[C1]],Database_Productkaarten[#All],48,FALSE),0)*Optimalisatie!J77)),0)</f>
        <v>0</v>
      </c>
      <c r="M390" s="91">
        <f>(IF(Optimalisatie!C77="Bestaande Situatie",_xlfn.IFNA(VLOOKUP(Optimalisatie!AF77,Database_Transport[#All],42,FALSE)*(Optimalisatie!R77*Optimalisatie!AE77),Baseline_Backlog!M390),0))</f>
        <v>0</v>
      </c>
      <c r="N390" s="91">
        <f>(IF(Optimalisatie!C77="Bestaande Situatie",_xlfn.IFNA(VLOOKUP(Optimalisatie!AG77,Database_Asfalt_Verwerkingsset[#All],42,FALSE)*(Optimalisatie!J77/VLOOKUP(Optimalisatie!AG77,Database_Asfalt_Verwerkingsset[#All],42,FALSE)),Baseline_Backlog!N390),0))</f>
        <v>0</v>
      </c>
      <c r="O390" s="91">
        <f>(IF(Optimalisatie!C77="Bestaande Situatie",_xlfn.IFNA(VLOOKUP(Inschrijf_Hernieuwbare_Energie_Totaal[[#This Row],[Product]]&amp;", "&amp;Inschrijf_MKI_Totaal[[#Headers],[C4]],Database_Productkaarten[#All],48,FALSE)*Optimalisatie!J77,Baseline_Backlog!O390),0))</f>
        <v>0</v>
      </c>
      <c r="P390" s="91">
        <f>(IF(Optimalisatie!C77="Bestaande Situatie",_xlfn.IFNA(IF(Optimalisatie!E77="Categorie_1_LCA_Producten",VLOOKUP(Inschrijf_Hernieuwbare_Energie_Totaal[[#This Row],[Product]],Categorie_1_Producten[#All],24,FALSE)*(Optimalisatie!J77),VLOOKUP(Inschrijf_Hernieuwbare_Energie_Totaal[[#This Row],[Product]]&amp;", "&amp;Inschrijf_Hernieuwbare_Energie_Totaal[[#Headers],[D1]],Database_Productkaarten[#All],48,FALSE)*Optimalisatie!J77),Baseline_Backlog!P390),0))</f>
        <v>0</v>
      </c>
      <c r="Q390" s="91">
        <f>(IF(Optimalisatie!C77="Bestaande Situatie",_xlfn.IFNA(IF(Optimalisatie!E77="Categorie_1_LCA_Producten",VLOOKUP(Inschrijf_Hernieuwbare_Energie_Totaal[[#This Row],[Product]],Categorie_1_Producten[#All],25,FALSE)*(Optimalisatie!J77),VLOOKUP(Inschrijf_Hernieuwbare_Energie_Totaal[[#This Row],[Product]]&amp;", "&amp;Inschrijf_Hernieuwbare_Energie_Totaal[[#Headers],[D2]],Database_Productkaarten[#All],48,FALSE)*Optimalisatie!J77),Baseline_Backlog!Q390),0))</f>
        <v>0</v>
      </c>
      <c r="R390" s="91">
        <f>(IF(Optimalisatie!C77="Bestaande Situatie",_xlfn.IFNA(IF(Optimalisatie!E77="Categorie_1_LCA_Producten",VLOOKUP(Inschrijf_Hernieuwbare_Energie_Totaal[[#This Row],[Product]],Categorie_1_Producten[#All],29,FALSE)*(Optimalisatie!J77),VLOOKUP(Inschrijf_Hernieuwbare_Energie_Totaal[[#This Row],[Product]]&amp;", "&amp;Inschrijf_Hernieuwbare_Energie_Totaal[[#Headers],[D]],Database_Productkaarten[#All],48,FALSE)*Optimalisatie!J77),Baseline_Backlog!S390),0))</f>
        <v>0</v>
      </c>
      <c r="S390" s="91">
        <f>SUM(Inschrijf_Hernieuwbare_Energie_Totaal[[#This Row],[A1-A3]:[C4]])+Inschrijf_Hernieuwbare_Energie_Totaal[[#This Row],[D]]</f>
        <v>0</v>
      </c>
    </row>
    <row r="391" spans="2:19">
      <c r="B391" s="208">
        <f>Optimalisatie!B78</f>
        <v>0</v>
      </c>
      <c r="C391" s="1">
        <f>Optimalisatie!F78</f>
        <v>0</v>
      </c>
      <c r="D391" s="91">
        <f>(IF(Optimalisatie!C78="Nieuwe Situatie",_xlfn.IFNA(IF(Optimalisatie!E78="Categorie_1_LCA_Producten",VLOOKUP(Inschrijf_Hernieuwbare_Energie_Totaal[[#This Row],[Product]],Categorie_1_Producten[#All],20,FALSE)*(Optimalisatie!J78),VLOOKUP(Inschrijf_Hernieuwbare_Energie_Totaal[[#This Row],[Product]]&amp;", "&amp;Inschrijf_Hernieuwbare_Energie_Totaal[[#Headers],[A1]],Database_Productkaarten[#All],48,FALSE)*Optimalisatie!J78),Baseline_Backlog!D391),0))</f>
        <v>0</v>
      </c>
      <c r="E391" s="91">
        <f>(IF(Optimalisatie!C78="Nieuwe Situatie",_xlfn.IFNA(IF(Optimalisatie!E78="Categorie_1_LCA_Producten",VLOOKUP(Inschrijf_Hernieuwbare_Energie_Totaal[[#This Row],[Product]],Categorie_1_Producten[#All],21,FALSE)*(Optimalisatie!J78),VLOOKUP(Inschrijf_Hernieuwbare_Energie_Totaal[[#This Row],[Product]]&amp;", "&amp;Inschrijf_Hernieuwbare_Energie_Totaal[[#Headers],[A2]],Database_Productkaarten[#All],48,FALSE)*Optimalisatie!J78),Baseline_Backlog!E391),0))</f>
        <v>0</v>
      </c>
      <c r="F391" s="91">
        <f>(IF(Optimalisatie!C78="Nieuwe Situatie",_xlfn.IFNA(IF(Optimalisatie!E78="Categorie_1_LCA_Producten",VLOOKUP(Inschrijf_Hernieuwbare_Energie_Totaal[[#This Row],[Product]],Categorie_1_Producten[#All],22,FALSE)*(Optimalisatie!J78),VLOOKUP(Inschrijf_Hernieuwbare_Energie_Totaal[[#This Row],[Product]]&amp;", "&amp;Inschrijf_Hernieuwbare_Energie_Totaal[[#Headers],[A3]],Database_Productkaarten[#All],48,FALSE)*Optimalisatie!J78),Baseline_Backlog!F391),0))</f>
        <v>0</v>
      </c>
      <c r="G391" s="91">
        <f>(IF(Optimalisatie!C78="Nieuwe Situatie",_xlfn.IFNA(IF(Optimalisatie!E78="Categorie_1_LCA_Producten",VLOOKUP(Inschrijf_Hernieuwbare_Energie_Totaal[[#This Row],[Product]],Categorie_1_Producten[#All],27,FALSE)*(Optimalisatie!J78),VLOOKUP(Inschrijf_Hernieuwbare_Energie_Totaal[[#This Row],[Product]]&amp;", "&amp;Inschrijf_Hernieuwbare_Energie_Totaal[[#Headers],[A1-A3]],Database_Productkaarten[#All],48,FALSE)*Optimalisatie!J78),Baseline_Backlog!G391),0))</f>
        <v>0</v>
      </c>
      <c r="H391" s="91">
        <f>(IF(Optimalisatie!C78="Nieuwe Situatie",_xlfn.IFNA(VLOOKUP(Optimalisatie!V78,Database_Transport[#All],42,FALSE)*(Optimalisatie!R78*Optimalisatie!U78),Baseline_Backlog!H391),0))</f>
        <v>0</v>
      </c>
      <c r="I391" s="91">
        <f>IF(Optimalisatie!C78="Nieuwe situatie",IF(_xlfn.IFNA((VLOOKUP(Optimalisatie!W78,Database_Asfalt_Aanlegset[#All],42,FALSE)*Optimalisatie!J78),0)+_xlfn.IFNA(VLOOKUP(Optimalisatie!X78,Database_Brandstoffen[#All],42,FALSE)*((Optimalisatie!J78/Optimalisatie!Z78)*Optimalisatie!Y78),0)&gt;0,_xlfn.IFNA((VLOOKUP(Optimalisatie!W78,Database_Asfalt_Aanlegset[#All],42,FALSE)*Optimalisatie!J78),0)+_xlfn.IFNA(VLOOKUP(Optimalisatie!X78,Database_Brandstoffen[#All],42,FALSE)*((Optimalisatie!J78/Optimalisatie!Z78)*Optimalisatie!Y78),0),(_xlfn.IFNA(VLOOKUP(Inschrijf_Hernieuwbare_Energie_Totaal[[#This Row],[Product]]&amp;", "&amp;Inschrijf_MKI_Totaal[[#Headers],[A5]],Database_Productkaarten[#All],48,FALSE),0)*Optimalisatie!J78)),0)</f>
        <v>0</v>
      </c>
      <c r="J391" s="91">
        <f>(IF(Optimalisatie!C78="Nieuwe Situatie",_xlfn.IFNA(IF(Optimalisatie!E78="Categorie_1_LCA_Producten",VLOOKUP(Inschrijf_Hernieuwbare_Energie_Totaal[[#This Row],[Product]],Categorie_1_Producten[#All],28,FALSE)*(Optimalisatie!R78),VLOOKUP(Inschrijf_Hernieuwbare_Energie_Totaal[[#This Row],[Product]]&amp;", "&amp;Inschrijf_Hernieuwbare_Energie_Totaal[[#Headers],[B1]],Database_Productkaarten[#All],47,FALSE)*Optimalisatie!J78),Baseline_Backlog!J391),0))</f>
        <v>0</v>
      </c>
      <c r="K391" s="91">
        <f>(IF(Optimalisatie!C78="Nieuwe Situatie",_xlfn.IFNA(SUM(Inschrijf_Hernieuwbare_Energie_Totaal[[#This Row],[A1]:[B1]],Inschrijf_Hernieuwbare_Energie_Totaal[[#This Row],[C1]:[D2]])*Optimalisatie!T78,0),0))</f>
        <v>0</v>
      </c>
      <c r="L391" s="91">
        <f>IF(Optimalisatie!C78="Bestaande situatie",IF(_xlfn.IFNA((VLOOKUP(Optimalisatie!AA78,Database_Asfalt_Verwijderset[#All],42,FALSE)*Optimalisatie!J78),0)+_xlfn.IFNA(VLOOKUP(Optimalisatie!AB78,Database_Brandstoffen[#All],42,FALSE)*((Optimalisatie!J78/Optimalisatie!AD78)*Optimalisatie!AC78),0)&gt;0,_xlfn.IFNA((VLOOKUP(Optimalisatie!AA78,Database_Asfalt_Verwijderset[#All],42,FALSE)*Optimalisatie!J78),0)+_xlfn.IFNA(VLOOKUP(Optimalisatie!AB78,Database_Brandstoffen[#All],42,FALSE)*((Optimalisatie!J78/Optimalisatie!AD78)*Optimalisatie!AC78),0),(_xlfn.IFNA(VLOOKUP(Inschrijf_Hernieuwbare_Energie_Totaal[[#This Row],[Product]]&amp;", "&amp;Inschrijf_MKI_Totaal[[#Headers],[C1]],Database_Productkaarten[#All],48,FALSE),0)*Optimalisatie!J78)),0)</f>
        <v>0</v>
      </c>
      <c r="M391" s="91">
        <f>(IF(Optimalisatie!C78="Bestaande Situatie",_xlfn.IFNA(VLOOKUP(Optimalisatie!AF78,Database_Transport[#All],42,FALSE)*(Optimalisatie!R78*Optimalisatie!AE78),Baseline_Backlog!M391),0))</f>
        <v>0</v>
      </c>
      <c r="N391" s="91">
        <f>(IF(Optimalisatie!C78="Bestaande Situatie",_xlfn.IFNA(VLOOKUP(Optimalisatie!AG78,Database_Asfalt_Verwerkingsset[#All],42,FALSE)*(Optimalisatie!J78/VLOOKUP(Optimalisatie!AG78,Database_Asfalt_Verwerkingsset[#All],42,FALSE)),Baseline_Backlog!N391),0))</f>
        <v>0</v>
      </c>
      <c r="O391" s="91">
        <f>(IF(Optimalisatie!C78="Bestaande Situatie",_xlfn.IFNA(VLOOKUP(Inschrijf_Hernieuwbare_Energie_Totaal[[#This Row],[Product]]&amp;", "&amp;Inschrijf_MKI_Totaal[[#Headers],[C4]],Database_Productkaarten[#All],48,FALSE)*Optimalisatie!J78,Baseline_Backlog!O391),0))</f>
        <v>0</v>
      </c>
      <c r="P391" s="91">
        <f>(IF(Optimalisatie!C78="Bestaande Situatie",_xlfn.IFNA(IF(Optimalisatie!E78="Categorie_1_LCA_Producten",VLOOKUP(Inschrijf_Hernieuwbare_Energie_Totaal[[#This Row],[Product]],Categorie_1_Producten[#All],24,FALSE)*(Optimalisatie!J78),VLOOKUP(Inschrijf_Hernieuwbare_Energie_Totaal[[#This Row],[Product]]&amp;", "&amp;Inschrijf_Hernieuwbare_Energie_Totaal[[#Headers],[D1]],Database_Productkaarten[#All],48,FALSE)*Optimalisatie!J78),Baseline_Backlog!P391),0))</f>
        <v>0</v>
      </c>
      <c r="Q391" s="91">
        <f>(IF(Optimalisatie!C78="Bestaande Situatie",_xlfn.IFNA(IF(Optimalisatie!E78="Categorie_1_LCA_Producten",VLOOKUP(Inschrijf_Hernieuwbare_Energie_Totaal[[#This Row],[Product]],Categorie_1_Producten[#All],25,FALSE)*(Optimalisatie!J78),VLOOKUP(Inschrijf_Hernieuwbare_Energie_Totaal[[#This Row],[Product]]&amp;", "&amp;Inschrijf_Hernieuwbare_Energie_Totaal[[#Headers],[D2]],Database_Productkaarten[#All],48,FALSE)*Optimalisatie!J78),Baseline_Backlog!Q391),0))</f>
        <v>0</v>
      </c>
      <c r="R391" s="91">
        <f>(IF(Optimalisatie!C78="Bestaande Situatie",_xlfn.IFNA(IF(Optimalisatie!E78="Categorie_1_LCA_Producten",VLOOKUP(Inschrijf_Hernieuwbare_Energie_Totaal[[#This Row],[Product]],Categorie_1_Producten[#All],29,FALSE)*(Optimalisatie!J78),VLOOKUP(Inschrijf_Hernieuwbare_Energie_Totaal[[#This Row],[Product]]&amp;", "&amp;Inschrijf_Hernieuwbare_Energie_Totaal[[#Headers],[D]],Database_Productkaarten[#All],48,FALSE)*Optimalisatie!J78),Baseline_Backlog!S391),0))</f>
        <v>0</v>
      </c>
      <c r="S391" s="91">
        <f>SUM(Inschrijf_Hernieuwbare_Energie_Totaal[[#This Row],[A1-A3]:[C4]])+Inschrijf_Hernieuwbare_Energie_Totaal[[#This Row],[D]]</f>
        <v>0</v>
      </c>
    </row>
    <row r="392" spans="2:19">
      <c r="B392" s="208">
        <f>Optimalisatie!B79</f>
        <v>0</v>
      </c>
      <c r="C392" s="1">
        <f>Optimalisatie!F79</f>
        <v>0</v>
      </c>
      <c r="D392" s="91">
        <f>(IF(Optimalisatie!C79="Nieuwe Situatie",_xlfn.IFNA(IF(Optimalisatie!E79="Categorie_1_LCA_Producten",VLOOKUP(Inschrijf_Hernieuwbare_Energie_Totaal[[#This Row],[Product]],Categorie_1_Producten[#All],20,FALSE)*(Optimalisatie!J79),VLOOKUP(Inschrijf_Hernieuwbare_Energie_Totaal[[#This Row],[Product]]&amp;", "&amp;Inschrijf_Hernieuwbare_Energie_Totaal[[#Headers],[A1]],Database_Productkaarten[#All],48,FALSE)*Optimalisatie!J79),Baseline_Backlog!D392),0))</f>
        <v>0</v>
      </c>
      <c r="E392" s="91">
        <f>(IF(Optimalisatie!C79="Nieuwe Situatie",_xlfn.IFNA(IF(Optimalisatie!E79="Categorie_1_LCA_Producten",VLOOKUP(Inschrijf_Hernieuwbare_Energie_Totaal[[#This Row],[Product]],Categorie_1_Producten[#All],21,FALSE)*(Optimalisatie!J79),VLOOKUP(Inschrijf_Hernieuwbare_Energie_Totaal[[#This Row],[Product]]&amp;", "&amp;Inschrijf_Hernieuwbare_Energie_Totaal[[#Headers],[A2]],Database_Productkaarten[#All],48,FALSE)*Optimalisatie!J79),Baseline_Backlog!E392),0))</f>
        <v>0</v>
      </c>
      <c r="F392" s="91">
        <f>(IF(Optimalisatie!C79="Nieuwe Situatie",_xlfn.IFNA(IF(Optimalisatie!E79="Categorie_1_LCA_Producten",VLOOKUP(Inschrijf_Hernieuwbare_Energie_Totaal[[#This Row],[Product]],Categorie_1_Producten[#All],22,FALSE)*(Optimalisatie!J79),VLOOKUP(Inschrijf_Hernieuwbare_Energie_Totaal[[#This Row],[Product]]&amp;", "&amp;Inschrijf_Hernieuwbare_Energie_Totaal[[#Headers],[A3]],Database_Productkaarten[#All],48,FALSE)*Optimalisatie!J79),Baseline_Backlog!F392),0))</f>
        <v>0</v>
      </c>
      <c r="G392" s="91">
        <f>(IF(Optimalisatie!C79="Nieuwe Situatie",_xlfn.IFNA(IF(Optimalisatie!E79="Categorie_1_LCA_Producten",VLOOKUP(Inschrijf_Hernieuwbare_Energie_Totaal[[#This Row],[Product]],Categorie_1_Producten[#All],27,FALSE)*(Optimalisatie!J79),VLOOKUP(Inschrijf_Hernieuwbare_Energie_Totaal[[#This Row],[Product]]&amp;", "&amp;Inschrijf_Hernieuwbare_Energie_Totaal[[#Headers],[A1-A3]],Database_Productkaarten[#All],48,FALSE)*Optimalisatie!J79),Baseline_Backlog!G392),0))</f>
        <v>0</v>
      </c>
      <c r="H392" s="91">
        <f>(IF(Optimalisatie!C79="Nieuwe Situatie",_xlfn.IFNA(VLOOKUP(Optimalisatie!V79,Database_Transport[#All],42,FALSE)*(Optimalisatie!R79*Optimalisatie!U79),Baseline_Backlog!H392),0))</f>
        <v>0</v>
      </c>
      <c r="I392" s="91">
        <f>IF(Optimalisatie!C79="Nieuwe situatie",IF(_xlfn.IFNA((VLOOKUP(Optimalisatie!W79,Database_Asfalt_Aanlegset[#All],42,FALSE)*Optimalisatie!J79),0)+_xlfn.IFNA(VLOOKUP(Optimalisatie!X79,Database_Brandstoffen[#All],42,FALSE)*((Optimalisatie!J79/Optimalisatie!Z79)*Optimalisatie!Y79),0)&gt;0,_xlfn.IFNA((VLOOKUP(Optimalisatie!W79,Database_Asfalt_Aanlegset[#All],42,FALSE)*Optimalisatie!J79),0)+_xlfn.IFNA(VLOOKUP(Optimalisatie!X79,Database_Brandstoffen[#All],42,FALSE)*((Optimalisatie!J79/Optimalisatie!Z79)*Optimalisatie!Y79),0),(_xlfn.IFNA(VLOOKUP(Inschrijf_Hernieuwbare_Energie_Totaal[[#This Row],[Product]]&amp;", "&amp;Inschrijf_MKI_Totaal[[#Headers],[A5]],Database_Productkaarten[#All],48,FALSE),0)*Optimalisatie!J79)),0)</f>
        <v>0</v>
      </c>
      <c r="J392" s="91">
        <f>(IF(Optimalisatie!C79="Nieuwe Situatie",_xlfn.IFNA(IF(Optimalisatie!E79="Categorie_1_LCA_Producten",VLOOKUP(Inschrijf_Hernieuwbare_Energie_Totaal[[#This Row],[Product]],Categorie_1_Producten[#All],28,FALSE)*(Optimalisatie!R79),VLOOKUP(Inschrijf_Hernieuwbare_Energie_Totaal[[#This Row],[Product]]&amp;", "&amp;Inschrijf_Hernieuwbare_Energie_Totaal[[#Headers],[B1]],Database_Productkaarten[#All],47,FALSE)*Optimalisatie!J79),Baseline_Backlog!J392),0))</f>
        <v>0</v>
      </c>
      <c r="K392" s="91">
        <f>(IF(Optimalisatie!C79="Nieuwe Situatie",_xlfn.IFNA(SUM(Inschrijf_Hernieuwbare_Energie_Totaal[[#This Row],[A1]:[B1]],Inschrijf_Hernieuwbare_Energie_Totaal[[#This Row],[C1]:[D2]])*Optimalisatie!T79,0),0))</f>
        <v>0</v>
      </c>
      <c r="L392" s="91">
        <f>IF(Optimalisatie!C79="Bestaande situatie",IF(_xlfn.IFNA((VLOOKUP(Optimalisatie!AA79,Database_Asfalt_Verwijderset[#All],42,FALSE)*Optimalisatie!J79),0)+_xlfn.IFNA(VLOOKUP(Optimalisatie!AB79,Database_Brandstoffen[#All],42,FALSE)*((Optimalisatie!J79/Optimalisatie!AD79)*Optimalisatie!AC79),0)&gt;0,_xlfn.IFNA((VLOOKUP(Optimalisatie!AA79,Database_Asfalt_Verwijderset[#All],42,FALSE)*Optimalisatie!J79),0)+_xlfn.IFNA(VLOOKUP(Optimalisatie!AB79,Database_Brandstoffen[#All],42,FALSE)*((Optimalisatie!J79/Optimalisatie!AD79)*Optimalisatie!AC79),0),(_xlfn.IFNA(VLOOKUP(Inschrijf_Hernieuwbare_Energie_Totaal[[#This Row],[Product]]&amp;", "&amp;Inschrijf_MKI_Totaal[[#Headers],[C1]],Database_Productkaarten[#All],48,FALSE),0)*Optimalisatie!J79)),0)</f>
        <v>0</v>
      </c>
      <c r="M392" s="91">
        <f>(IF(Optimalisatie!C79="Bestaande Situatie",_xlfn.IFNA(VLOOKUP(Optimalisatie!AF79,Database_Transport[#All],42,FALSE)*(Optimalisatie!R79*Optimalisatie!AE79),Baseline_Backlog!M392),0))</f>
        <v>0</v>
      </c>
      <c r="N392" s="91">
        <f>(IF(Optimalisatie!C79="Bestaande Situatie",_xlfn.IFNA(VLOOKUP(Optimalisatie!AG79,Database_Asfalt_Verwerkingsset[#All],42,FALSE)*(Optimalisatie!J79/VLOOKUP(Optimalisatie!AG79,Database_Asfalt_Verwerkingsset[#All],42,FALSE)),Baseline_Backlog!N392),0))</f>
        <v>0</v>
      </c>
      <c r="O392" s="91">
        <f>(IF(Optimalisatie!C79="Bestaande Situatie",_xlfn.IFNA(VLOOKUP(Inschrijf_Hernieuwbare_Energie_Totaal[[#This Row],[Product]]&amp;", "&amp;Inschrijf_MKI_Totaal[[#Headers],[C4]],Database_Productkaarten[#All],48,FALSE)*Optimalisatie!J79,Baseline_Backlog!O392),0))</f>
        <v>0</v>
      </c>
      <c r="P392" s="91">
        <f>(IF(Optimalisatie!C79="Bestaande Situatie",_xlfn.IFNA(IF(Optimalisatie!E79="Categorie_1_LCA_Producten",VLOOKUP(Inschrijf_Hernieuwbare_Energie_Totaal[[#This Row],[Product]],Categorie_1_Producten[#All],24,FALSE)*(Optimalisatie!J79),VLOOKUP(Inschrijf_Hernieuwbare_Energie_Totaal[[#This Row],[Product]]&amp;", "&amp;Inschrijf_Hernieuwbare_Energie_Totaal[[#Headers],[D1]],Database_Productkaarten[#All],48,FALSE)*Optimalisatie!J79),Baseline_Backlog!P392),0))</f>
        <v>0</v>
      </c>
      <c r="Q392" s="91">
        <f>(IF(Optimalisatie!C79="Bestaande Situatie",_xlfn.IFNA(IF(Optimalisatie!E79="Categorie_1_LCA_Producten",VLOOKUP(Inschrijf_Hernieuwbare_Energie_Totaal[[#This Row],[Product]],Categorie_1_Producten[#All],25,FALSE)*(Optimalisatie!J79),VLOOKUP(Inschrijf_Hernieuwbare_Energie_Totaal[[#This Row],[Product]]&amp;", "&amp;Inschrijf_Hernieuwbare_Energie_Totaal[[#Headers],[D2]],Database_Productkaarten[#All],48,FALSE)*Optimalisatie!J79),Baseline_Backlog!Q392),0))</f>
        <v>0</v>
      </c>
      <c r="R392" s="91">
        <f>(IF(Optimalisatie!C79="Bestaande Situatie",_xlfn.IFNA(IF(Optimalisatie!E79="Categorie_1_LCA_Producten",VLOOKUP(Inschrijf_Hernieuwbare_Energie_Totaal[[#This Row],[Product]],Categorie_1_Producten[#All],29,FALSE)*(Optimalisatie!J79),VLOOKUP(Inschrijf_Hernieuwbare_Energie_Totaal[[#This Row],[Product]]&amp;", "&amp;Inschrijf_Hernieuwbare_Energie_Totaal[[#Headers],[D]],Database_Productkaarten[#All],48,FALSE)*Optimalisatie!J79),Baseline_Backlog!S392),0))</f>
        <v>0</v>
      </c>
      <c r="S392" s="91">
        <f>SUM(Inschrijf_Hernieuwbare_Energie_Totaal[[#This Row],[A1-A3]:[C4]])+Inschrijf_Hernieuwbare_Energie_Totaal[[#This Row],[D]]</f>
        <v>0</v>
      </c>
    </row>
    <row r="393" spans="2:19">
      <c r="B393" s="208">
        <f>Optimalisatie!B80</f>
        <v>0</v>
      </c>
      <c r="C393" s="1">
        <f>Optimalisatie!F80</f>
        <v>0</v>
      </c>
      <c r="D393" s="91">
        <f>(IF(Optimalisatie!C80="Nieuwe Situatie",_xlfn.IFNA(IF(Optimalisatie!E80="Categorie_1_LCA_Producten",VLOOKUP(Inschrijf_Hernieuwbare_Energie_Totaal[[#This Row],[Product]],Categorie_1_Producten[#All],20,FALSE)*(Optimalisatie!J80),VLOOKUP(Inschrijf_Hernieuwbare_Energie_Totaal[[#This Row],[Product]]&amp;", "&amp;Inschrijf_Hernieuwbare_Energie_Totaal[[#Headers],[A1]],Database_Productkaarten[#All],48,FALSE)*Optimalisatie!J80),Baseline_Backlog!D393),0))</f>
        <v>0</v>
      </c>
      <c r="E393" s="91">
        <f>(IF(Optimalisatie!C80="Nieuwe Situatie",_xlfn.IFNA(IF(Optimalisatie!E80="Categorie_1_LCA_Producten",VLOOKUP(Inschrijf_Hernieuwbare_Energie_Totaal[[#This Row],[Product]],Categorie_1_Producten[#All],21,FALSE)*(Optimalisatie!J80),VLOOKUP(Inschrijf_Hernieuwbare_Energie_Totaal[[#This Row],[Product]]&amp;", "&amp;Inschrijf_Hernieuwbare_Energie_Totaal[[#Headers],[A2]],Database_Productkaarten[#All],48,FALSE)*Optimalisatie!J80),Baseline_Backlog!E393),0))</f>
        <v>0</v>
      </c>
      <c r="F393" s="91">
        <f>(IF(Optimalisatie!C80="Nieuwe Situatie",_xlfn.IFNA(IF(Optimalisatie!E80="Categorie_1_LCA_Producten",VLOOKUP(Inschrijf_Hernieuwbare_Energie_Totaal[[#This Row],[Product]],Categorie_1_Producten[#All],22,FALSE)*(Optimalisatie!J80),VLOOKUP(Inschrijf_Hernieuwbare_Energie_Totaal[[#This Row],[Product]]&amp;", "&amp;Inschrijf_Hernieuwbare_Energie_Totaal[[#Headers],[A3]],Database_Productkaarten[#All],48,FALSE)*Optimalisatie!J80),Baseline_Backlog!F393),0))</f>
        <v>0</v>
      </c>
      <c r="G393" s="91">
        <f>(IF(Optimalisatie!C80="Nieuwe Situatie",_xlfn.IFNA(IF(Optimalisatie!E80="Categorie_1_LCA_Producten",VLOOKUP(Inschrijf_Hernieuwbare_Energie_Totaal[[#This Row],[Product]],Categorie_1_Producten[#All],27,FALSE)*(Optimalisatie!J80),VLOOKUP(Inschrijf_Hernieuwbare_Energie_Totaal[[#This Row],[Product]]&amp;", "&amp;Inschrijf_Hernieuwbare_Energie_Totaal[[#Headers],[A1-A3]],Database_Productkaarten[#All],48,FALSE)*Optimalisatie!J80),Baseline_Backlog!G393),0))</f>
        <v>0</v>
      </c>
      <c r="H393" s="91">
        <f>(IF(Optimalisatie!C80="Nieuwe Situatie",_xlfn.IFNA(VLOOKUP(Optimalisatie!V80,Database_Transport[#All],42,FALSE)*(Optimalisatie!R80*Optimalisatie!U80),Baseline_Backlog!H393),0))</f>
        <v>0</v>
      </c>
      <c r="I393" s="91">
        <f>IF(Optimalisatie!C80="Nieuwe situatie",IF(_xlfn.IFNA((VLOOKUP(Optimalisatie!W80,Database_Asfalt_Aanlegset[#All],42,FALSE)*Optimalisatie!J80),0)+_xlfn.IFNA(VLOOKUP(Optimalisatie!X80,Database_Brandstoffen[#All],42,FALSE)*((Optimalisatie!J80/Optimalisatie!Z80)*Optimalisatie!Y80),0)&gt;0,_xlfn.IFNA((VLOOKUP(Optimalisatie!W80,Database_Asfalt_Aanlegset[#All],42,FALSE)*Optimalisatie!J80),0)+_xlfn.IFNA(VLOOKUP(Optimalisatie!X80,Database_Brandstoffen[#All],42,FALSE)*((Optimalisatie!J80/Optimalisatie!Z80)*Optimalisatie!Y80),0),(_xlfn.IFNA(VLOOKUP(Inschrijf_Hernieuwbare_Energie_Totaal[[#This Row],[Product]]&amp;", "&amp;Inschrijf_MKI_Totaal[[#Headers],[A5]],Database_Productkaarten[#All],48,FALSE),0)*Optimalisatie!J80)),0)</f>
        <v>0</v>
      </c>
      <c r="J393" s="91">
        <f>(IF(Optimalisatie!C80="Nieuwe Situatie",_xlfn.IFNA(IF(Optimalisatie!E80="Categorie_1_LCA_Producten",VLOOKUP(Inschrijf_Hernieuwbare_Energie_Totaal[[#This Row],[Product]],Categorie_1_Producten[#All],28,FALSE)*(Optimalisatie!R80),VLOOKUP(Inschrijf_Hernieuwbare_Energie_Totaal[[#This Row],[Product]]&amp;", "&amp;Inschrijf_Hernieuwbare_Energie_Totaal[[#Headers],[B1]],Database_Productkaarten[#All],47,FALSE)*Optimalisatie!J80),Baseline_Backlog!J393),0))</f>
        <v>0</v>
      </c>
      <c r="K393" s="91">
        <f>(IF(Optimalisatie!C80="Nieuwe Situatie",_xlfn.IFNA(SUM(Inschrijf_Hernieuwbare_Energie_Totaal[[#This Row],[A1]:[B1]],Inschrijf_Hernieuwbare_Energie_Totaal[[#This Row],[C1]:[D2]])*Optimalisatie!T80,0),0))</f>
        <v>0</v>
      </c>
      <c r="L393" s="91">
        <f>IF(Optimalisatie!C80="Bestaande situatie",IF(_xlfn.IFNA((VLOOKUP(Optimalisatie!AA80,Database_Asfalt_Verwijderset[#All],42,FALSE)*Optimalisatie!J80),0)+_xlfn.IFNA(VLOOKUP(Optimalisatie!AB80,Database_Brandstoffen[#All],42,FALSE)*((Optimalisatie!J80/Optimalisatie!AD80)*Optimalisatie!AC80),0)&gt;0,_xlfn.IFNA((VLOOKUP(Optimalisatie!AA80,Database_Asfalt_Verwijderset[#All],42,FALSE)*Optimalisatie!J80),0)+_xlfn.IFNA(VLOOKUP(Optimalisatie!AB80,Database_Brandstoffen[#All],42,FALSE)*((Optimalisatie!J80/Optimalisatie!AD80)*Optimalisatie!AC80),0),(_xlfn.IFNA(VLOOKUP(Inschrijf_Hernieuwbare_Energie_Totaal[[#This Row],[Product]]&amp;", "&amp;Inschrijf_MKI_Totaal[[#Headers],[C1]],Database_Productkaarten[#All],48,FALSE),0)*Optimalisatie!J80)),0)</f>
        <v>0</v>
      </c>
      <c r="M393" s="91">
        <f>(IF(Optimalisatie!C80="Bestaande Situatie",_xlfn.IFNA(VLOOKUP(Optimalisatie!AF80,Database_Transport[#All],42,FALSE)*(Optimalisatie!R80*Optimalisatie!AE80),Baseline_Backlog!M393),0))</f>
        <v>0</v>
      </c>
      <c r="N393" s="91">
        <f>(IF(Optimalisatie!C80="Bestaande Situatie",_xlfn.IFNA(VLOOKUP(Optimalisatie!AG80,Database_Asfalt_Verwerkingsset[#All],42,FALSE)*(Optimalisatie!J80/VLOOKUP(Optimalisatie!AG80,Database_Asfalt_Verwerkingsset[#All],42,FALSE)),Baseline_Backlog!N393),0))</f>
        <v>0</v>
      </c>
      <c r="O393" s="91">
        <f>(IF(Optimalisatie!C80="Bestaande Situatie",_xlfn.IFNA(VLOOKUP(Inschrijf_Hernieuwbare_Energie_Totaal[[#This Row],[Product]]&amp;", "&amp;Inschrijf_MKI_Totaal[[#Headers],[C4]],Database_Productkaarten[#All],48,FALSE)*Optimalisatie!J80,Baseline_Backlog!O393),0))</f>
        <v>0</v>
      </c>
      <c r="P393" s="91">
        <f>(IF(Optimalisatie!C80="Bestaande Situatie",_xlfn.IFNA(IF(Optimalisatie!E80="Categorie_1_LCA_Producten",VLOOKUP(Inschrijf_Hernieuwbare_Energie_Totaal[[#This Row],[Product]],Categorie_1_Producten[#All],24,FALSE)*(Optimalisatie!J80),VLOOKUP(Inschrijf_Hernieuwbare_Energie_Totaal[[#This Row],[Product]]&amp;", "&amp;Inschrijf_Hernieuwbare_Energie_Totaal[[#Headers],[D1]],Database_Productkaarten[#All],48,FALSE)*Optimalisatie!J80),Baseline_Backlog!P393),0))</f>
        <v>0</v>
      </c>
      <c r="Q393" s="91">
        <f>(IF(Optimalisatie!C80="Bestaande Situatie",_xlfn.IFNA(IF(Optimalisatie!E80="Categorie_1_LCA_Producten",VLOOKUP(Inschrijf_Hernieuwbare_Energie_Totaal[[#This Row],[Product]],Categorie_1_Producten[#All],25,FALSE)*(Optimalisatie!J80),VLOOKUP(Inschrijf_Hernieuwbare_Energie_Totaal[[#This Row],[Product]]&amp;", "&amp;Inschrijf_Hernieuwbare_Energie_Totaal[[#Headers],[D2]],Database_Productkaarten[#All],48,FALSE)*Optimalisatie!J80),Baseline_Backlog!Q393),0))</f>
        <v>0</v>
      </c>
      <c r="R393" s="91">
        <f>(IF(Optimalisatie!C80="Bestaande Situatie",_xlfn.IFNA(IF(Optimalisatie!E80="Categorie_1_LCA_Producten",VLOOKUP(Inschrijf_Hernieuwbare_Energie_Totaal[[#This Row],[Product]],Categorie_1_Producten[#All],29,FALSE)*(Optimalisatie!J80),VLOOKUP(Inschrijf_Hernieuwbare_Energie_Totaal[[#This Row],[Product]]&amp;", "&amp;Inschrijf_Hernieuwbare_Energie_Totaal[[#Headers],[D]],Database_Productkaarten[#All],48,FALSE)*Optimalisatie!J80),Baseline_Backlog!S393),0))</f>
        <v>0</v>
      </c>
      <c r="S393" s="91">
        <f>SUM(Inschrijf_Hernieuwbare_Energie_Totaal[[#This Row],[A1-A3]:[C4]])+Inschrijf_Hernieuwbare_Energie_Totaal[[#This Row],[D]]</f>
        <v>0</v>
      </c>
    </row>
    <row r="394" spans="2:19">
      <c r="B394" s="208">
        <f>Optimalisatie!B81</f>
        <v>0</v>
      </c>
      <c r="C394" s="1">
        <f>Optimalisatie!F81</f>
        <v>0</v>
      </c>
      <c r="D394" s="91">
        <f>(IF(Optimalisatie!C81="Nieuwe Situatie",_xlfn.IFNA(IF(Optimalisatie!E81="Categorie_1_LCA_Producten",VLOOKUP(Inschrijf_Hernieuwbare_Energie_Totaal[[#This Row],[Product]],Categorie_1_Producten[#All],20,FALSE)*(Optimalisatie!J81),VLOOKUP(Inschrijf_Hernieuwbare_Energie_Totaal[[#This Row],[Product]]&amp;", "&amp;Inschrijf_Hernieuwbare_Energie_Totaal[[#Headers],[A1]],Database_Productkaarten[#All],48,FALSE)*Optimalisatie!J81),Baseline_Backlog!D394),0))</f>
        <v>0</v>
      </c>
      <c r="E394" s="91">
        <f>(IF(Optimalisatie!C81="Nieuwe Situatie",_xlfn.IFNA(IF(Optimalisatie!E81="Categorie_1_LCA_Producten",VLOOKUP(Inschrijf_Hernieuwbare_Energie_Totaal[[#This Row],[Product]],Categorie_1_Producten[#All],21,FALSE)*(Optimalisatie!J81),VLOOKUP(Inschrijf_Hernieuwbare_Energie_Totaal[[#This Row],[Product]]&amp;", "&amp;Inschrijf_Hernieuwbare_Energie_Totaal[[#Headers],[A2]],Database_Productkaarten[#All],48,FALSE)*Optimalisatie!J81),Baseline_Backlog!E394),0))</f>
        <v>0</v>
      </c>
      <c r="F394" s="91">
        <f>(IF(Optimalisatie!C81="Nieuwe Situatie",_xlfn.IFNA(IF(Optimalisatie!E81="Categorie_1_LCA_Producten",VLOOKUP(Inschrijf_Hernieuwbare_Energie_Totaal[[#This Row],[Product]],Categorie_1_Producten[#All],22,FALSE)*(Optimalisatie!J81),VLOOKUP(Inschrijf_Hernieuwbare_Energie_Totaal[[#This Row],[Product]]&amp;", "&amp;Inschrijf_Hernieuwbare_Energie_Totaal[[#Headers],[A3]],Database_Productkaarten[#All],48,FALSE)*Optimalisatie!J81),Baseline_Backlog!F394),0))</f>
        <v>0</v>
      </c>
      <c r="G394" s="91">
        <f>(IF(Optimalisatie!C81="Nieuwe Situatie",_xlfn.IFNA(IF(Optimalisatie!E81="Categorie_1_LCA_Producten",VLOOKUP(Inschrijf_Hernieuwbare_Energie_Totaal[[#This Row],[Product]],Categorie_1_Producten[#All],27,FALSE)*(Optimalisatie!J81),VLOOKUP(Inschrijf_Hernieuwbare_Energie_Totaal[[#This Row],[Product]]&amp;", "&amp;Inschrijf_Hernieuwbare_Energie_Totaal[[#Headers],[A1-A3]],Database_Productkaarten[#All],48,FALSE)*Optimalisatie!J81),Baseline_Backlog!G394),0))</f>
        <v>0</v>
      </c>
      <c r="H394" s="91">
        <f>(IF(Optimalisatie!C81="Nieuwe Situatie",_xlfn.IFNA(VLOOKUP(Optimalisatie!V81,Database_Transport[#All],42,FALSE)*(Optimalisatie!R81*Optimalisatie!U81),Baseline_Backlog!H394),0))</f>
        <v>0</v>
      </c>
      <c r="I394" s="91">
        <f>IF(Optimalisatie!C81="Nieuwe situatie",IF(_xlfn.IFNA((VLOOKUP(Optimalisatie!W81,Database_Asfalt_Aanlegset[#All],42,FALSE)*Optimalisatie!J81),0)+_xlfn.IFNA(VLOOKUP(Optimalisatie!X81,Database_Brandstoffen[#All],42,FALSE)*((Optimalisatie!J81/Optimalisatie!Z81)*Optimalisatie!Y81),0)&gt;0,_xlfn.IFNA((VLOOKUP(Optimalisatie!W81,Database_Asfalt_Aanlegset[#All],42,FALSE)*Optimalisatie!J81),0)+_xlfn.IFNA(VLOOKUP(Optimalisatie!X81,Database_Brandstoffen[#All],42,FALSE)*((Optimalisatie!J81/Optimalisatie!Z81)*Optimalisatie!Y81),0),(_xlfn.IFNA(VLOOKUP(Inschrijf_Hernieuwbare_Energie_Totaal[[#This Row],[Product]]&amp;", "&amp;Inschrijf_MKI_Totaal[[#Headers],[A5]],Database_Productkaarten[#All],48,FALSE),0)*Optimalisatie!J81)),0)</f>
        <v>0</v>
      </c>
      <c r="J394" s="91">
        <f>(IF(Optimalisatie!C81="Nieuwe Situatie",_xlfn.IFNA(IF(Optimalisatie!E81="Categorie_1_LCA_Producten",VLOOKUP(Inschrijf_Hernieuwbare_Energie_Totaal[[#This Row],[Product]],Categorie_1_Producten[#All],28,FALSE)*(Optimalisatie!R81),VLOOKUP(Inschrijf_Hernieuwbare_Energie_Totaal[[#This Row],[Product]]&amp;", "&amp;Inschrijf_Hernieuwbare_Energie_Totaal[[#Headers],[B1]],Database_Productkaarten[#All],47,FALSE)*Optimalisatie!J81),Baseline_Backlog!J394),0))</f>
        <v>0</v>
      </c>
      <c r="K394" s="91">
        <f>(IF(Optimalisatie!C81="Nieuwe Situatie",_xlfn.IFNA(SUM(Inschrijf_Hernieuwbare_Energie_Totaal[[#This Row],[A1]:[B1]],Inschrijf_Hernieuwbare_Energie_Totaal[[#This Row],[C1]:[D2]])*Optimalisatie!T81,0),0))</f>
        <v>0</v>
      </c>
      <c r="L394" s="91">
        <f>IF(Optimalisatie!C81="Bestaande situatie",IF(_xlfn.IFNA((VLOOKUP(Optimalisatie!AA81,Database_Asfalt_Verwijderset[#All],42,FALSE)*Optimalisatie!J81),0)+_xlfn.IFNA(VLOOKUP(Optimalisatie!AB81,Database_Brandstoffen[#All],42,FALSE)*((Optimalisatie!J81/Optimalisatie!AD81)*Optimalisatie!AC81),0)&gt;0,_xlfn.IFNA((VLOOKUP(Optimalisatie!AA81,Database_Asfalt_Verwijderset[#All],42,FALSE)*Optimalisatie!J81),0)+_xlfn.IFNA(VLOOKUP(Optimalisatie!AB81,Database_Brandstoffen[#All],42,FALSE)*((Optimalisatie!J81/Optimalisatie!AD81)*Optimalisatie!AC81),0),(_xlfn.IFNA(VLOOKUP(Inschrijf_Hernieuwbare_Energie_Totaal[[#This Row],[Product]]&amp;", "&amp;Inschrijf_MKI_Totaal[[#Headers],[C1]],Database_Productkaarten[#All],48,FALSE),0)*Optimalisatie!J81)),0)</f>
        <v>0</v>
      </c>
      <c r="M394" s="91">
        <f>(IF(Optimalisatie!C81="Bestaande Situatie",_xlfn.IFNA(VLOOKUP(Optimalisatie!AF81,Database_Transport[#All],42,FALSE)*(Optimalisatie!R81*Optimalisatie!AE81),Baseline_Backlog!M394),0))</f>
        <v>0</v>
      </c>
      <c r="N394" s="91">
        <f>(IF(Optimalisatie!C81="Bestaande Situatie",_xlfn.IFNA(VLOOKUP(Optimalisatie!AG81,Database_Asfalt_Verwerkingsset[#All],42,FALSE)*(Optimalisatie!J81/VLOOKUP(Optimalisatie!AG81,Database_Asfalt_Verwerkingsset[#All],42,FALSE)),Baseline_Backlog!N394),0))</f>
        <v>0</v>
      </c>
      <c r="O394" s="91">
        <f>(IF(Optimalisatie!C81="Bestaande Situatie",_xlfn.IFNA(VLOOKUP(Inschrijf_Hernieuwbare_Energie_Totaal[[#This Row],[Product]]&amp;", "&amp;Inschrijf_MKI_Totaal[[#Headers],[C4]],Database_Productkaarten[#All],48,FALSE)*Optimalisatie!J81,Baseline_Backlog!O394),0))</f>
        <v>0</v>
      </c>
      <c r="P394" s="91">
        <f>(IF(Optimalisatie!C81="Bestaande Situatie",_xlfn.IFNA(IF(Optimalisatie!E81="Categorie_1_LCA_Producten",VLOOKUP(Inschrijf_Hernieuwbare_Energie_Totaal[[#This Row],[Product]],Categorie_1_Producten[#All],24,FALSE)*(Optimalisatie!J81),VLOOKUP(Inschrijf_Hernieuwbare_Energie_Totaal[[#This Row],[Product]]&amp;", "&amp;Inschrijf_Hernieuwbare_Energie_Totaal[[#Headers],[D1]],Database_Productkaarten[#All],48,FALSE)*Optimalisatie!J81),Baseline_Backlog!P394),0))</f>
        <v>0</v>
      </c>
      <c r="Q394" s="91">
        <f>(IF(Optimalisatie!C81="Bestaande Situatie",_xlfn.IFNA(IF(Optimalisatie!E81="Categorie_1_LCA_Producten",VLOOKUP(Inschrijf_Hernieuwbare_Energie_Totaal[[#This Row],[Product]],Categorie_1_Producten[#All],25,FALSE)*(Optimalisatie!J81),VLOOKUP(Inschrijf_Hernieuwbare_Energie_Totaal[[#This Row],[Product]]&amp;", "&amp;Inschrijf_Hernieuwbare_Energie_Totaal[[#Headers],[D2]],Database_Productkaarten[#All],48,FALSE)*Optimalisatie!J81),Baseline_Backlog!Q394),0))</f>
        <v>0</v>
      </c>
      <c r="R394" s="91">
        <f>(IF(Optimalisatie!C81="Bestaande Situatie",_xlfn.IFNA(IF(Optimalisatie!E81="Categorie_1_LCA_Producten",VLOOKUP(Inschrijf_Hernieuwbare_Energie_Totaal[[#This Row],[Product]],Categorie_1_Producten[#All],29,FALSE)*(Optimalisatie!J81),VLOOKUP(Inschrijf_Hernieuwbare_Energie_Totaal[[#This Row],[Product]]&amp;", "&amp;Inschrijf_Hernieuwbare_Energie_Totaal[[#Headers],[D]],Database_Productkaarten[#All],48,FALSE)*Optimalisatie!J81),Baseline_Backlog!S394),0))</f>
        <v>0</v>
      </c>
      <c r="S394" s="91">
        <f>SUM(Inschrijf_Hernieuwbare_Energie_Totaal[[#This Row],[A1-A3]:[C4]])+Inschrijf_Hernieuwbare_Energie_Totaal[[#This Row],[D]]</f>
        <v>0</v>
      </c>
    </row>
    <row r="395" spans="2:19">
      <c r="B395" s="208">
        <f>Optimalisatie!B82</f>
        <v>0</v>
      </c>
      <c r="C395" s="1">
        <f>Optimalisatie!F82</f>
        <v>0</v>
      </c>
      <c r="D395" s="91">
        <f>(IF(Optimalisatie!C82="Nieuwe Situatie",_xlfn.IFNA(IF(Optimalisatie!E82="Categorie_1_LCA_Producten",VLOOKUP(Inschrijf_Hernieuwbare_Energie_Totaal[[#This Row],[Product]],Categorie_1_Producten[#All],20,FALSE)*(Optimalisatie!J82),VLOOKUP(Inschrijf_Hernieuwbare_Energie_Totaal[[#This Row],[Product]]&amp;", "&amp;Inschrijf_Hernieuwbare_Energie_Totaal[[#Headers],[A1]],Database_Productkaarten[#All],48,FALSE)*Optimalisatie!J82),Baseline_Backlog!D395),0))</f>
        <v>0</v>
      </c>
      <c r="E395" s="91">
        <f>(IF(Optimalisatie!C82="Nieuwe Situatie",_xlfn.IFNA(IF(Optimalisatie!E82="Categorie_1_LCA_Producten",VLOOKUP(Inschrijf_Hernieuwbare_Energie_Totaal[[#This Row],[Product]],Categorie_1_Producten[#All],21,FALSE)*(Optimalisatie!J82),VLOOKUP(Inschrijf_Hernieuwbare_Energie_Totaal[[#This Row],[Product]]&amp;", "&amp;Inschrijf_Hernieuwbare_Energie_Totaal[[#Headers],[A2]],Database_Productkaarten[#All],48,FALSE)*Optimalisatie!J82),Baseline_Backlog!E395),0))</f>
        <v>0</v>
      </c>
      <c r="F395" s="91">
        <f>(IF(Optimalisatie!C82="Nieuwe Situatie",_xlfn.IFNA(IF(Optimalisatie!E82="Categorie_1_LCA_Producten",VLOOKUP(Inschrijf_Hernieuwbare_Energie_Totaal[[#This Row],[Product]],Categorie_1_Producten[#All],22,FALSE)*(Optimalisatie!J82),VLOOKUP(Inschrijf_Hernieuwbare_Energie_Totaal[[#This Row],[Product]]&amp;", "&amp;Inschrijf_Hernieuwbare_Energie_Totaal[[#Headers],[A3]],Database_Productkaarten[#All],48,FALSE)*Optimalisatie!J82),Baseline_Backlog!F395),0))</f>
        <v>0</v>
      </c>
      <c r="G395" s="91">
        <f>(IF(Optimalisatie!C82="Nieuwe Situatie",_xlfn.IFNA(IF(Optimalisatie!E82="Categorie_1_LCA_Producten",VLOOKUP(Inschrijf_Hernieuwbare_Energie_Totaal[[#This Row],[Product]],Categorie_1_Producten[#All],27,FALSE)*(Optimalisatie!J82),VLOOKUP(Inschrijf_Hernieuwbare_Energie_Totaal[[#This Row],[Product]]&amp;", "&amp;Inschrijf_Hernieuwbare_Energie_Totaal[[#Headers],[A1-A3]],Database_Productkaarten[#All],48,FALSE)*Optimalisatie!J82),Baseline_Backlog!G395),0))</f>
        <v>0</v>
      </c>
      <c r="H395" s="91">
        <f>(IF(Optimalisatie!C82="Nieuwe Situatie",_xlfn.IFNA(VLOOKUP(Optimalisatie!V82,Database_Transport[#All],42,FALSE)*(Optimalisatie!R82*Optimalisatie!U82),Baseline_Backlog!H395),0))</f>
        <v>0</v>
      </c>
      <c r="I395" s="91">
        <f>IF(Optimalisatie!C82="Nieuwe situatie",IF(_xlfn.IFNA((VLOOKUP(Optimalisatie!W82,Database_Asfalt_Aanlegset[#All],42,FALSE)*Optimalisatie!J82),0)+_xlfn.IFNA(VLOOKUP(Optimalisatie!X82,Database_Brandstoffen[#All],42,FALSE)*((Optimalisatie!J82/Optimalisatie!Z82)*Optimalisatie!Y82),0)&gt;0,_xlfn.IFNA((VLOOKUP(Optimalisatie!W82,Database_Asfalt_Aanlegset[#All],42,FALSE)*Optimalisatie!J82),0)+_xlfn.IFNA(VLOOKUP(Optimalisatie!X82,Database_Brandstoffen[#All],42,FALSE)*((Optimalisatie!J82/Optimalisatie!Z82)*Optimalisatie!Y82),0),(_xlfn.IFNA(VLOOKUP(Inschrijf_Hernieuwbare_Energie_Totaal[[#This Row],[Product]]&amp;", "&amp;Inschrijf_MKI_Totaal[[#Headers],[A5]],Database_Productkaarten[#All],48,FALSE),0)*Optimalisatie!J82)),0)</f>
        <v>0</v>
      </c>
      <c r="J395" s="91">
        <f>(IF(Optimalisatie!C82="Nieuwe Situatie",_xlfn.IFNA(IF(Optimalisatie!E82="Categorie_1_LCA_Producten",VLOOKUP(Inschrijf_Hernieuwbare_Energie_Totaal[[#This Row],[Product]],Categorie_1_Producten[#All],28,FALSE)*(Optimalisatie!R82),VLOOKUP(Inschrijf_Hernieuwbare_Energie_Totaal[[#This Row],[Product]]&amp;", "&amp;Inschrijf_Hernieuwbare_Energie_Totaal[[#Headers],[B1]],Database_Productkaarten[#All],47,FALSE)*Optimalisatie!J82),Baseline_Backlog!J395),0))</f>
        <v>0</v>
      </c>
      <c r="K395" s="91">
        <f>(IF(Optimalisatie!C82="Nieuwe Situatie",_xlfn.IFNA(SUM(Inschrijf_Hernieuwbare_Energie_Totaal[[#This Row],[A1]:[B1]],Inschrijf_Hernieuwbare_Energie_Totaal[[#This Row],[C1]:[D2]])*Optimalisatie!T82,0),0))</f>
        <v>0</v>
      </c>
      <c r="L395" s="91">
        <f>IF(Optimalisatie!C82="Bestaande situatie",IF(_xlfn.IFNA((VLOOKUP(Optimalisatie!AA82,Database_Asfalt_Verwijderset[#All],42,FALSE)*Optimalisatie!J82),0)+_xlfn.IFNA(VLOOKUP(Optimalisatie!AB82,Database_Brandstoffen[#All],42,FALSE)*((Optimalisatie!J82/Optimalisatie!AD82)*Optimalisatie!AC82),0)&gt;0,_xlfn.IFNA((VLOOKUP(Optimalisatie!AA82,Database_Asfalt_Verwijderset[#All],42,FALSE)*Optimalisatie!J82),0)+_xlfn.IFNA(VLOOKUP(Optimalisatie!AB82,Database_Brandstoffen[#All],42,FALSE)*((Optimalisatie!J82/Optimalisatie!AD82)*Optimalisatie!AC82),0),(_xlfn.IFNA(VLOOKUP(Inschrijf_Hernieuwbare_Energie_Totaal[[#This Row],[Product]]&amp;", "&amp;Inschrijf_MKI_Totaal[[#Headers],[C1]],Database_Productkaarten[#All],48,FALSE),0)*Optimalisatie!J82)),0)</f>
        <v>0</v>
      </c>
      <c r="M395" s="91">
        <f>(IF(Optimalisatie!C82="Bestaande Situatie",_xlfn.IFNA(VLOOKUP(Optimalisatie!AF82,Database_Transport[#All],42,FALSE)*(Optimalisatie!R82*Optimalisatie!AE82),Baseline_Backlog!M395),0))</f>
        <v>0</v>
      </c>
      <c r="N395" s="91">
        <f>(IF(Optimalisatie!C82="Bestaande Situatie",_xlfn.IFNA(VLOOKUP(Optimalisatie!AG82,Database_Asfalt_Verwerkingsset[#All],42,FALSE)*(Optimalisatie!J82/VLOOKUP(Optimalisatie!AG82,Database_Asfalt_Verwerkingsset[#All],42,FALSE)),Baseline_Backlog!N395),0))</f>
        <v>0</v>
      </c>
      <c r="O395" s="91">
        <f>(IF(Optimalisatie!C82="Bestaande Situatie",_xlfn.IFNA(VLOOKUP(Inschrijf_Hernieuwbare_Energie_Totaal[[#This Row],[Product]]&amp;", "&amp;Inschrijf_MKI_Totaal[[#Headers],[C4]],Database_Productkaarten[#All],48,FALSE)*Optimalisatie!J82,Baseline_Backlog!O395),0))</f>
        <v>0</v>
      </c>
      <c r="P395" s="91">
        <f>(IF(Optimalisatie!C82="Bestaande Situatie",_xlfn.IFNA(IF(Optimalisatie!E82="Categorie_1_LCA_Producten",VLOOKUP(Inschrijf_Hernieuwbare_Energie_Totaal[[#This Row],[Product]],Categorie_1_Producten[#All],24,FALSE)*(Optimalisatie!J82),VLOOKUP(Inschrijf_Hernieuwbare_Energie_Totaal[[#This Row],[Product]]&amp;", "&amp;Inschrijf_Hernieuwbare_Energie_Totaal[[#Headers],[D1]],Database_Productkaarten[#All],48,FALSE)*Optimalisatie!J82),Baseline_Backlog!P395),0))</f>
        <v>0</v>
      </c>
      <c r="Q395" s="91">
        <f>(IF(Optimalisatie!C82="Bestaande Situatie",_xlfn.IFNA(IF(Optimalisatie!E82="Categorie_1_LCA_Producten",VLOOKUP(Inschrijf_Hernieuwbare_Energie_Totaal[[#This Row],[Product]],Categorie_1_Producten[#All],25,FALSE)*(Optimalisatie!J82),VLOOKUP(Inschrijf_Hernieuwbare_Energie_Totaal[[#This Row],[Product]]&amp;", "&amp;Inschrijf_Hernieuwbare_Energie_Totaal[[#Headers],[D2]],Database_Productkaarten[#All],48,FALSE)*Optimalisatie!J82),Baseline_Backlog!Q395),0))</f>
        <v>0</v>
      </c>
      <c r="R395" s="91">
        <f>(IF(Optimalisatie!C82="Bestaande Situatie",_xlfn.IFNA(IF(Optimalisatie!E82="Categorie_1_LCA_Producten",VLOOKUP(Inschrijf_Hernieuwbare_Energie_Totaal[[#This Row],[Product]],Categorie_1_Producten[#All],29,FALSE)*(Optimalisatie!J82),VLOOKUP(Inschrijf_Hernieuwbare_Energie_Totaal[[#This Row],[Product]]&amp;", "&amp;Inschrijf_Hernieuwbare_Energie_Totaal[[#Headers],[D]],Database_Productkaarten[#All],48,FALSE)*Optimalisatie!J82),Baseline_Backlog!S395),0))</f>
        <v>0</v>
      </c>
      <c r="S395" s="91">
        <f>SUM(Inschrijf_Hernieuwbare_Energie_Totaal[[#This Row],[A1-A3]:[C4]])+Inschrijf_Hernieuwbare_Energie_Totaal[[#This Row],[D]]</f>
        <v>0</v>
      </c>
    </row>
    <row r="396" spans="2:19">
      <c r="B396" s="208">
        <f>Optimalisatie!B83</f>
        <v>0</v>
      </c>
      <c r="C396" s="1">
        <f>Optimalisatie!F83</f>
        <v>0</v>
      </c>
      <c r="D396" s="91">
        <f>(IF(Optimalisatie!C83="Nieuwe Situatie",_xlfn.IFNA(IF(Optimalisatie!E83="Categorie_1_LCA_Producten",VLOOKUP(Inschrijf_Hernieuwbare_Energie_Totaal[[#This Row],[Product]],Categorie_1_Producten[#All],20,FALSE)*(Optimalisatie!J83),VLOOKUP(Inschrijf_Hernieuwbare_Energie_Totaal[[#This Row],[Product]]&amp;", "&amp;Inschrijf_Hernieuwbare_Energie_Totaal[[#Headers],[A1]],Database_Productkaarten[#All],48,FALSE)*Optimalisatie!J83),Baseline_Backlog!D396),0))</f>
        <v>0</v>
      </c>
      <c r="E396" s="91">
        <f>(IF(Optimalisatie!C83="Nieuwe Situatie",_xlfn.IFNA(IF(Optimalisatie!E83="Categorie_1_LCA_Producten",VLOOKUP(Inschrijf_Hernieuwbare_Energie_Totaal[[#This Row],[Product]],Categorie_1_Producten[#All],21,FALSE)*(Optimalisatie!J83),VLOOKUP(Inschrijf_Hernieuwbare_Energie_Totaal[[#This Row],[Product]]&amp;", "&amp;Inschrijf_Hernieuwbare_Energie_Totaal[[#Headers],[A2]],Database_Productkaarten[#All],48,FALSE)*Optimalisatie!J83),Baseline_Backlog!E396),0))</f>
        <v>0</v>
      </c>
      <c r="F396" s="91">
        <f>(IF(Optimalisatie!C83="Nieuwe Situatie",_xlfn.IFNA(IF(Optimalisatie!E83="Categorie_1_LCA_Producten",VLOOKUP(Inschrijf_Hernieuwbare_Energie_Totaal[[#This Row],[Product]],Categorie_1_Producten[#All],22,FALSE)*(Optimalisatie!J83),VLOOKUP(Inschrijf_Hernieuwbare_Energie_Totaal[[#This Row],[Product]]&amp;", "&amp;Inschrijf_Hernieuwbare_Energie_Totaal[[#Headers],[A3]],Database_Productkaarten[#All],48,FALSE)*Optimalisatie!J83),Baseline_Backlog!F396),0))</f>
        <v>0</v>
      </c>
      <c r="G396" s="91">
        <f>(IF(Optimalisatie!C83="Nieuwe Situatie",_xlfn.IFNA(IF(Optimalisatie!E83="Categorie_1_LCA_Producten",VLOOKUP(Inschrijf_Hernieuwbare_Energie_Totaal[[#This Row],[Product]],Categorie_1_Producten[#All],27,FALSE)*(Optimalisatie!J83),VLOOKUP(Inschrijf_Hernieuwbare_Energie_Totaal[[#This Row],[Product]]&amp;", "&amp;Inschrijf_Hernieuwbare_Energie_Totaal[[#Headers],[A1-A3]],Database_Productkaarten[#All],48,FALSE)*Optimalisatie!J83),Baseline_Backlog!G396),0))</f>
        <v>0</v>
      </c>
      <c r="H396" s="91">
        <f>(IF(Optimalisatie!C83="Nieuwe Situatie",_xlfn.IFNA(VLOOKUP(Optimalisatie!V83,Database_Transport[#All],42,FALSE)*(Optimalisatie!R83*Optimalisatie!U83),Baseline_Backlog!H396),0))</f>
        <v>0</v>
      </c>
      <c r="I396" s="91">
        <f>IF(Optimalisatie!C83="Nieuwe situatie",IF(_xlfn.IFNA((VLOOKUP(Optimalisatie!W83,Database_Asfalt_Aanlegset[#All],42,FALSE)*Optimalisatie!J83),0)+_xlfn.IFNA(VLOOKUP(Optimalisatie!X83,Database_Brandstoffen[#All],42,FALSE)*((Optimalisatie!J83/Optimalisatie!Z83)*Optimalisatie!Y83),0)&gt;0,_xlfn.IFNA((VLOOKUP(Optimalisatie!W83,Database_Asfalt_Aanlegset[#All],42,FALSE)*Optimalisatie!J83),0)+_xlfn.IFNA(VLOOKUP(Optimalisatie!X83,Database_Brandstoffen[#All],42,FALSE)*((Optimalisatie!J83/Optimalisatie!Z83)*Optimalisatie!Y83),0),(_xlfn.IFNA(VLOOKUP(Inschrijf_Hernieuwbare_Energie_Totaal[[#This Row],[Product]]&amp;", "&amp;Inschrijf_MKI_Totaal[[#Headers],[A5]],Database_Productkaarten[#All],48,FALSE),0)*Optimalisatie!J83)),0)</f>
        <v>0</v>
      </c>
      <c r="J396" s="91">
        <f>(IF(Optimalisatie!C83="Nieuwe Situatie",_xlfn.IFNA(IF(Optimalisatie!E83="Categorie_1_LCA_Producten",VLOOKUP(Inschrijf_Hernieuwbare_Energie_Totaal[[#This Row],[Product]],Categorie_1_Producten[#All],28,FALSE)*(Optimalisatie!R83),VLOOKUP(Inschrijf_Hernieuwbare_Energie_Totaal[[#This Row],[Product]]&amp;", "&amp;Inschrijf_Hernieuwbare_Energie_Totaal[[#Headers],[B1]],Database_Productkaarten[#All],47,FALSE)*Optimalisatie!J83),Baseline_Backlog!J396),0))</f>
        <v>0</v>
      </c>
      <c r="K396" s="91">
        <f>(IF(Optimalisatie!C83="Nieuwe Situatie",_xlfn.IFNA(SUM(Inschrijf_Hernieuwbare_Energie_Totaal[[#This Row],[A1]:[B1]],Inschrijf_Hernieuwbare_Energie_Totaal[[#This Row],[C1]:[D2]])*Optimalisatie!T83,0),0))</f>
        <v>0</v>
      </c>
      <c r="L396" s="91">
        <f>IF(Optimalisatie!C83="Bestaande situatie",IF(_xlfn.IFNA((VLOOKUP(Optimalisatie!AA83,Database_Asfalt_Verwijderset[#All],42,FALSE)*Optimalisatie!J83),0)+_xlfn.IFNA(VLOOKUP(Optimalisatie!AB83,Database_Brandstoffen[#All],42,FALSE)*((Optimalisatie!J83/Optimalisatie!AD83)*Optimalisatie!AC83),0)&gt;0,_xlfn.IFNA((VLOOKUP(Optimalisatie!AA83,Database_Asfalt_Verwijderset[#All],42,FALSE)*Optimalisatie!J83),0)+_xlfn.IFNA(VLOOKUP(Optimalisatie!AB83,Database_Brandstoffen[#All],42,FALSE)*((Optimalisatie!J83/Optimalisatie!AD83)*Optimalisatie!AC83),0),(_xlfn.IFNA(VLOOKUP(Inschrijf_Hernieuwbare_Energie_Totaal[[#This Row],[Product]]&amp;", "&amp;Inschrijf_MKI_Totaal[[#Headers],[C1]],Database_Productkaarten[#All],48,FALSE),0)*Optimalisatie!J83)),0)</f>
        <v>0</v>
      </c>
      <c r="M396" s="91">
        <f>(IF(Optimalisatie!C83="Bestaande Situatie",_xlfn.IFNA(VLOOKUP(Optimalisatie!AF83,Database_Transport[#All],42,FALSE)*(Optimalisatie!R83*Optimalisatie!AE83),Baseline_Backlog!M396),0))</f>
        <v>0</v>
      </c>
      <c r="N396" s="91">
        <f>(IF(Optimalisatie!C83="Bestaande Situatie",_xlfn.IFNA(VLOOKUP(Optimalisatie!AG83,Database_Asfalt_Verwerkingsset[#All],42,FALSE)*(Optimalisatie!J83/VLOOKUP(Optimalisatie!AG83,Database_Asfalt_Verwerkingsset[#All],42,FALSE)),Baseline_Backlog!N396),0))</f>
        <v>0</v>
      </c>
      <c r="O396" s="91">
        <f>(IF(Optimalisatie!C83="Bestaande Situatie",_xlfn.IFNA(VLOOKUP(Inschrijf_Hernieuwbare_Energie_Totaal[[#This Row],[Product]]&amp;", "&amp;Inschrijf_MKI_Totaal[[#Headers],[C4]],Database_Productkaarten[#All],48,FALSE)*Optimalisatie!J83,Baseline_Backlog!O396),0))</f>
        <v>0</v>
      </c>
      <c r="P396" s="91">
        <f>(IF(Optimalisatie!C83="Bestaande Situatie",_xlfn.IFNA(IF(Optimalisatie!E83="Categorie_1_LCA_Producten",VLOOKUP(Inschrijf_Hernieuwbare_Energie_Totaal[[#This Row],[Product]],Categorie_1_Producten[#All],24,FALSE)*(Optimalisatie!J83),VLOOKUP(Inschrijf_Hernieuwbare_Energie_Totaal[[#This Row],[Product]]&amp;", "&amp;Inschrijf_Hernieuwbare_Energie_Totaal[[#Headers],[D1]],Database_Productkaarten[#All],48,FALSE)*Optimalisatie!J83),Baseline_Backlog!P396),0))</f>
        <v>0</v>
      </c>
      <c r="Q396" s="91">
        <f>(IF(Optimalisatie!C83="Bestaande Situatie",_xlfn.IFNA(IF(Optimalisatie!E83="Categorie_1_LCA_Producten",VLOOKUP(Inschrijf_Hernieuwbare_Energie_Totaal[[#This Row],[Product]],Categorie_1_Producten[#All],25,FALSE)*(Optimalisatie!J83),VLOOKUP(Inschrijf_Hernieuwbare_Energie_Totaal[[#This Row],[Product]]&amp;", "&amp;Inschrijf_Hernieuwbare_Energie_Totaal[[#Headers],[D2]],Database_Productkaarten[#All],48,FALSE)*Optimalisatie!J83),Baseline_Backlog!Q396),0))</f>
        <v>0</v>
      </c>
      <c r="R396" s="91">
        <f>(IF(Optimalisatie!C83="Bestaande Situatie",_xlfn.IFNA(IF(Optimalisatie!E83="Categorie_1_LCA_Producten",VLOOKUP(Inschrijf_Hernieuwbare_Energie_Totaal[[#This Row],[Product]],Categorie_1_Producten[#All],29,FALSE)*(Optimalisatie!J83),VLOOKUP(Inschrijf_Hernieuwbare_Energie_Totaal[[#This Row],[Product]]&amp;", "&amp;Inschrijf_Hernieuwbare_Energie_Totaal[[#Headers],[D]],Database_Productkaarten[#All],48,FALSE)*Optimalisatie!J83),Baseline_Backlog!S396),0))</f>
        <v>0</v>
      </c>
      <c r="S396" s="91">
        <f>SUM(Inschrijf_Hernieuwbare_Energie_Totaal[[#This Row],[A1-A3]:[C4]])+Inschrijf_Hernieuwbare_Energie_Totaal[[#This Row],[D]]</f>
        <v>0</v>
      </c>
    </row>
    <row r="397" spans="2:19">
      <c r="B397" s="208">
        <f>Optimalisatie!B84</f>
        <v>0</v>
      </c>
      <c r="C397" s="1">
        <f>Optimalisatie!F84</f>
        <v>0</v>
      </c>
      <c r="D397" s="91">
        <f>(IF(Optimalisatie!C84="Nieuwe Situatie",_xlfn.IFNA(IF(Optimalisatie!E84="Categorie_1_LCA_Producten",VLOOKUP(Inschrijf_Hernieuwbare_Energie_Totaal[[#This Row],[Product]],Categorie_1_Producten[#All],20,FALSE)*(Optimalisatie!J84),VLOOKUP(Inschrijf_Hernieuwbare_Energie_Totaal[[#This Row],[Product]]&amp;", "&amp;Inschrijf_Hernieuwbare_Energie_Totaal[[#Headers],[A1]],Database_Productkaarten[#All],48,FALSE)*Optimalisatie!J84),Baseline_Backlog!D397),0))</f>
        <v>0</v>
      </c>
      <c r="E397" s="91">
        <f>(IF(Optimalisatie!C84="Nieuwe Situatie",_xlfn.IFNA(IF(Optimalisatie!E84="Categorie_1_LCA_Producten",VLOOKUP(Inschrijf_Hernieuwbare_Energie_Totaal[[#This Row],[Product]],Categorie_1_Producten[#All],21,FALSE)*(Optimalisatie!J84),VLOOKUP(Inschrijf_Hernieuwbare_Energie_Totaal[[#This Row],[Product]]&amp;", "&amp;Inschrijf_Hernieuwbare_Energie_Totaal[[#Headers],[A2]],Database_Productkaarten[#All],48,FALSE)*Optimalisatie!J84),Baseline_Backlog!E397),0))</f>
        <v>0</v>
      </c>
      <c r="F397" s="91">
        <f>(IF(Optimalisatie!C84="Nieuwe Situatie",_xlfn.IFNA(IF(Optimalisatie!E84="Categorie_1_LCA_Producten",VLOOKUP(Inschrijf_Hernieuwbare_Energie_Totaal[[#This Row],[Product]],Categorie_1_Producten[#All],22,FALSE)*(Optimalisatie!J84),VLOOKUP(Inschrijf_Hernieuwbare_Energie_Totaal[[#This Row],[Product]]&amp;", "&amp;Inschrijf_Hernieuwbare_Energie_Totaal[[#Headers],[A3]],Database_Productkaarten[#All],48,FALSE)*Optimalisatie!J84),Baseline_Backlog!F397),0))</f>
        <v>0</v>
      </c>
      <c r="G397" s="91">
        <f>(IF(Optimalisatie!C84="Nieuwe Situatie",_xlfn.IFNA(IF(Optimalisatie!E84="Categorie_1_LCA_Producten",VLOOKUP(Inschrijf_Hernieuwbare_Energie_Totaal[[#This Row],[Product]],Categorie_1_Producten[#All],27,FALSE)*(Optimalisatie!J84),VLOOKUP(Inschrijf_Hernieuwbare_Energie_Totaal[[#This Row],[Product]]&amp;", "&amp;Inschrijf_Hernieuwbare_Energie_Totaal[[#Headers],[A1-A3]],Database_Productkaarten[#All],48,FALSE)*Optimalisatie!J84),Baseline_Backlog!G397),0))</f>
        <v>0</v>
      </c>
      <c r="H397" s="91">
        <f>(IF(Optimalisatie!C84="Nieuwe Situatie",_xlfn.IFNA(VLOOKUP(Optimalisatie!V84,Database_Transport[#All],42,FALSE)*(Optimalisatie!R84*Optimalisatie!U84),Baseline_Backlog!H397),0))</f>
        <v>0</v>
      </c>
      <c r="I397" s="91">
        <f>IF(Optimalisatie!C84="Nieuwe situatie",IF(_xlfn.IFNA((VLOOKUP(Optimalisatie!W84,Database_Asfalt_Aanlegset[#All],42,FALSE)*Optimalisatie!J84),0)+_xlfn.IFNA(VLOOKUP(Optimalisatie!X84,Database_Brandstoffen[#All],42,FALSE)*((Optimalisatie!J84/Optimalisatie!Z84)*Optimalisatie!Y84),0)&gt;0,_xlfn.IFNA((VLOOKUP(Optimalisatie!W84,Database_Asfalt_Aanlegset[#All],42,FALSE)*Optimalisatie!J84),0)+_xlfn.IFNA(VLOOKUP(Optimalisatie!X84,Database_Brandstoffen[#All],42,FALSE)*((Optimalisatie!J84/Optimalisatie!Z84)*Optimalisatie!Y84),0),(_xlfn.IFNA(VLOOKUP(Inschrijf_Hernieuwbare_Energie_Totaal[[#This Row],[Product]]&amp;", "&amp;Inschrijf_MKI_Totaal[[#Headers],[A5]],Database_Productkaarten[#All],48,FALSE),0)*Optimalisatie!J84)),0)</f>
        <v>0</v>
      </c>
      <c r="J397" s="91">
        <f>(IF(Optimalisatie!C84="Nieuwe Situatie",_xlfn.IFNA(IF(Optimalisatie!E84="Categorie_1_LCA_Producten",VLOOKUP(Inschrijf_Hernieuwbare_Energie_Totaal[[#This Row],[Product]],Categorie_1_Producten[#All],28,FALSE)*(Optimalisatie!R84),VLOOKUP(Inschrijf_Hernieuwbare_Energie_Totaal[[#This Row],[Product]]&amp;", "&amp;Inschrijf_Hernieuwbare_Energie_Totaal[[#Headers],[B1]],Database_Productkaarten[#All],47,FALSE)*Optimalisatie!J84),Baseline_Backlog!J397),0))</f>
        <v>0</v>
      </c>
      <c r="K397" s="91">
        <f>(IF(Optimalisatie!C84="Nieuwe Situatie",_xlfn.IFNA(SUM(Inschrijf_Hernieuwbare_Energie_Totaal[[#This Row],[A1]:[B1]],Inschrijf_Hernieuwbare_Energie_Totaal[[#This Row],[C1]:[D2]])*Optimalisatie!T84,0),0))</f>
        <v>0</v>
      </c>
      <c r="L397" s="91">
        <f>IF(Optimalisatie!C84="Bestaande situatie",IF(_xlfn.IFNA((VLOOKUP(Optimalisatie!AA84,Database_Asfalt_Verwijderset[#All],42,FALSE)*Optimalisatie!J84),0)+_xlfn.IFNA(VLOOKUP(Optimalisatie!AB84,Database_Brandstoffen[#All],42,FALSE)*((Optimalisatie!J84/Optimalisatie!AD84)*Optimalisatie!AC84),0)&gt;0,_xlfn.IFNA((VLOOKUP(Optimalisatie!AA84,Database_Asfalt_Verwijderset[#All],42,FALSE)*Optimalisatie!J84),0)+_xlfn.IFNA(VLOOKUP(Optimalisatie!AB84,Database_Brandstoffen[#All],42,FALSE)*((Optimalisatie!J84/Optimalisatie!AD84)*Optimalisatie!AC84),0),(_xlfn.IFNA(VLOOKUP(Inschrijf_Hernieuwbare_Energie_Totaal[[#This Row],[Product]]&amp;", "&amp;Inschrijf_MKI_Totaal[[#Headers],[C1]],Database_Productkaarten[#All],48,FALSE),0)*Optimalisatie!J84)),0)</f>
        <v>0</v>
      </c>
      <c r="M397" s="91">
        <f>(IF(Optimalisatie!C84="Bestaande Situatie",_xlfn.IFNA(VLOOKUP(Optimalisatie!AF84,Database_Transport[#All],42,FALSE)*(Optimalisatie!R84*Optimalisatie!AE84),Baseline_Backlog!M397),0))</f>
        <v>0</v>
      </c>
      <c r="N397" s="91">
        <f>(IF(Optimalisatie!C84="Bestaande Situatie",_xlfn.IFNA(VLOOKUP(Optimalisatie!AG84,Database_Asfalt_Verwerkingsset[#All],42,FALSE)*(Optimalisatie!J84/VLOOKUP(Optimalisatie!AG84,Database_Asfalt_Verwerkingsset[#All],42,FALSE)),Baseline_Backlog!N397),0))</f>
        <v>0</v>
      </c>
      <c r="O397" s="91">
        <f>(IF(Optimalisatie!C84="Bestaande Situatie",_xlfn.IFNA(VLOOKUP(Inschrijf_Hernieuwbare_Energie_Totaal[[#This Row],[Product]]&amp;", "&amp;Inschrijf_MKI_Totaal[[#Headers],[C4]],Database_Productkaarten[#All],48,FALSE)*Optimalisatie!J84,Baseline_Backlog!O397),0))</f>
        <v>0</v>
      </c>
      <c r="P397" s="91">
        <f>(IF(Optimalisatie!C84="Bestaande Situatie",_xlfn.IFNA(IF(Optimalisatie!E84="Categorie_1_LCA_Producten",VLOOKUP(Inschrijf_Hernieuwbare_Energie_Totaal[[#This Row],[Product]],Categorie_1_Producten[#All],24,FALSE)*(Optimalisatie!J84),VLOOKUP(Inschrijf_Hernieuwbare_Energie_Totaal[[#This Row],[Product]]&amp;", "&amp;Inschrijf_Hernieuwbare_Energie_Totaal[[#Headers],[D1]],Database_Productkaarten[#All],48,FALSE)*Optimalisatie!J84),Baseline_Backlog!P397),0))</f>
        <v>0</v>
      </c>
      <c r="Q397" s="91">
        <f>(IF(Optimalisatie!C84="Bestaande Situatie",_xlfn.IFNA(IF(Optimalisatie!E84="Categorie_1_LCA_Producten",VLOOKUP(Inschrijf_Hernieuwbare_Energie_Totaal[[#This Row],[Product]],Categorie_1_Producten[#All],25,FALSE)*(Optimalisatie!J84),VLOOKUP(Inschrijf_Hernieuwbare_Energie_Totaal[[#This Row],[Product]]&amp;", "&amp;Inschrijf_Hernieuwbare_Energie_Totaal[[#Headers],[D2]],Database_Productkaarten[#All],48,FALSE)*Optimalisatie!J84),Baseline_Backlog!Q397),0))</f>
        <v>0</v>
      </c>
      <c r="R397" s="91">
        <f>(IF(Optimalisatie!C84="Bestaande Situatie",_xlfn.IFNA(IF(Optimalisatie!E84="Categorie_1_LCA_Producten",VLOOKUP(Inschrijf_Hernieuwbare_Energie_Totaal[[#This Row],[Product]],Categorie_1_Producten[#All],29,FALSE)*(Optimalisatie!J84),VLOOKUP(Inschrijf_Hernieuwbare_Energie_Totaal[[#This Row],[Product]]&amp;", "&amp;Inschrijf_Hernieuwbare_Energie_Totaal[[#Headers],[D]],Database_Productkaarten[#All],48,FALSE)*Optimalisatie!J84),Baseline_Backlog!S397),0))</f>
        <v>0</v>
      </c>
      <c r="S397" s="91">
        <f>SUM(Inschrijf_Hernieuwbare_Energie_Totaal[[#This Row],[A1-A3]:[C4]])+Inschrijf_Hernieuwbare_Energie_Totaal[[#This Row],[D]]</f>
        <v>0</v>
      </c>
    </row>
    <row r="398" spans="2:19">
      <c r="B398" s="208">
        <f>Optimalisatie!B85</f>
        <v>0</v>
      </c>
      <c r="C398" s="1">
        <f>Optimalisatie!F85</f>
        <v>0</v>
      </c>
      <c r="D398" s="91">
        <f>(IF(Optimalisatie!C85="Nieuwe Situatie",_xlfn.IFNA(IF(Optimalisatie!E85="Categorie_1_LCA_Producten",VLOOKUP(Inschrijf_Hernieuwbare_Energie_Totaal[[#This Row],[Product]],Categorie_1_Producten[#All],20,FALSE)*(Optimalisatie!J85),VLOOKUP(Inschrijf_Hernieuwbare_Energie_Totaal[[#This Row],[Product]]&amp;", "&amp;Inschrijf_Hernieuwbare_Energie_Totaal[[#Headers],[A1]],Database_Productkaarten[#All],48,FALSE)*Optimalisatie!J85),Baseline_Backlog!D398),0))</f>
        <v>0</v>
      </c>
      <c r="E398" s="91">
        <f>(IF(Optimalisatie!C85="Nieuwe Situatie",_xlfn.IFNA(IF(Optimalisatie!E85="Categorie_1_LCA_Producten",VLOOKUP(Inschrijf_Hernieuwbare_Energie_Totaal[[#This Row],[Product]],Categorie_1_Producten[#All],21,FALSE)*(Optimalisatie!J85),VLOOKUP(Inschrijf_Hernieuwbare_Energie_Totaal[[#This Row],[Product]]&amp;", "&amp;Inschrijf_Hernieuwbare_Energie_Totaal[[#Headers],[A2]],Database_Productkaarten[#All],48,FALSE)*Optimalisatie!J85),Baseline_Backlog!E398),0))</f>
        <v>0</v>
      </c>
      <c r="F398" s="91">
        <f>(IF(Optimalisatie!C85="Nieuwe Situatie",_xlfn.IFNA(IF(Optimalisatie!E85="Categorie_1_LCA_Producten",VLOOKUP(Inschrijf_Hernieuwbare_Energie_Totaal[[#This Row],[Product]],Categorie_1_Producten[#All],22,FALSE)*(Optimalisatie!J85),VLOOKUP(Inschrijf_Hernieuwbare_Energie_Totaal[[#This Row],[Product]]&amp;", "&amp;Inschrijf_Hernieuwbare_Energie_Totaal[[#Headers],[A3]],Database_Productkaarten[#All],48,FALSE)*Optimalisatie!J85),Baseline_Backlog!F398),0))</f>
        <v>0</v>
      </c>
      <c r="G398" s="91">
        <f>(IF(Optimalisatie!C85="Nieuwe Situatie",_xlfn.IFNA(IF(Optimalisatie!E85="Categorie_1_LCA_Producten",VLOOKUP(Inschrijf_Hernieuwbare_Energie_Totaal[[#This Row],[Product]],Categorie_1_Producten[#All],27,FALSE)*(Optimalisatie!J85),VLOOKUP(Inschrijf_Hernieuwbare_Energie_Totaal[[#This Row],[Product]]&amp;", "&amp;Inschrijf_Hernieuwbare_Energie_Totaal[[#Headers],[A1-A3]],Database_Productkaarten[#All],48,FALSE)*Optimalisatie!J85),Baseline_Backlog!G398),0))</f>
        <v>0</v>
      </c>
      <c r="H398" s="91">
        <f>(IF(Optimalisatie!C85="Nieuwe Situatie",_xlfn.IFNA(VLOOKUP(Optimalisatie!V85,Database_Transport[#All],42,FALSE)*(Optimalisatie!R85*Optimalisatie!U85),Baseline_Backlog!H398),0))</f>
        <v>0</v>
      </c>
      <c r="I398" s="91">
        <f>IF(Optimalisatie!C85="Nieuwe situatie",IF(_xlfn.IFNA((VLOOKUP(Optimalisatie!W85,Database_Asfalt_Aanlegset[#All],42,FALSE)*Optimalisatie!J85),0)+_xlfn.IFNA(VLOOKUP(Optimalisatie!X85,Database_Brandstoffen[#All],42,FALSE)*((Optimalisatie!J85/Optimalisatie!Z85)*Optimalisatie!Y85),0)&gt;0,_xlfn.IFNA((VLOOKUP(Optimalisatie!W85,Database_Asfalt_Aanlegset[#All],42,FALSE)*Optimalisatie!J85),0)+_xlfn.IFNA(VLOOKUP(Optimalisatie!X85,Database_Brandstoffen[#All],42,FALSE)*((Optimalisatie!J85/Optimalisatie!Z85)*Optimalisatie!Y85),0),(_xlfn.IFNA(VLOOKUP(Inschrijf_Hernieuwbare_Energie_Totaal[[#This Row],[Product]]&amp;", "&amp;Inschrijf_MKI_Totaal[[#Headers],[A5]],Database_Productkaarten[#All],48,FALSE),0)*Optimalisatie!J85)),0)</f>
        <v>0</v>
      </c>
      <c r="J398" s="91">
        <f>(IF(Optimalisatie!C85="Nieuwe Situatie",_xlfn.IFNA(IF(Optimalisatie!E85="Categorie_1_LCA_Producten",VLOOKUP(Inschrijf_Hernieuwbare_Energie_Totaal[[#This Row],[Product]],Categorie_1_Producten[#All],28,FALSE)*(Optimalisatie!R85),VLOOKUP(Inschrijf_Hernieuwbare_Energie_Totaal[[#This Row],[Product]]&amp;", "&amp;Inschrijf_Hernieuwbare_Energie_Totaal[[#Headers],[B1]],Database_Productkaarten[#All],47,FALSE)*Optimalisatie!J85),Baseline_Backlog!J398),0))</f>
        <v>0</v>
      </c>
      <c r="K398" s="91">
        <f>(IF(Optimalisatie!C85="Nieuwe Situatie",_xlfn.IFNA(SUM(Inschrijf_Hernieuwbare_Energie_Totaal[[#This Row],[A1]:[B1]],Inschrijf_Hernieuwbare_Energie_Totaal[[#This Row],[C1]:[D2]])*Optimalisatie!T85,0),0))</f>
        <v>0</v>
      </c>
      <c r="L398" s="91">
        <f>IF(Optimalisatie!C85="Bestaande situatie",IF(_xlfn.IFNA((VLOOKUP(Optimalisatie!AA85,Database_Asfalt_Verwijderset[#All],42,FALSE)*Optimalisatie!J85),0)+_xlfn.IFNA(VLOOKUP(Optimalisatie!AB85,Database_Brandstoffen[#All],42,FALSE)*((Optimalisatie!J85/Optimalisatie!AD85)*Optimalisatie!AC85),0)&gt;0,_xlfn.IFNA((VLOOKUP(Optimalisatie!AA85,Database_Asfalt_Verwijderset[#All],42,FALSE)*Optimalisatie!J85),0)+_xlfn.IFNA(VLOOKUP(Optimalisatie!AB85,Database_Brandstoffen[#All],42,FALSE)*((Optimalisatie!J85/Optimalisatie!AD85)*Optimalisatie!AC85),0),(_xlfn.IFNA(VLOOKUP(Inschrijf_Hernieuwbare_Energie_Totaal[[#This Row],[Product]]&amp;", "&amp;Inschrijf_MKI_Totaal[[#Headers],[C1]],Database_Productkaarten[#All],48,FALSE),0)*Optimalisatie!J85)),0)</f>
        <v>0</v>
      </c>
      <c r="M398" s="91">
        <f>(IF(Optimalisatie!C85="Bestaande Situatie",_xlfn.IFNA(VLOOKUP(Optimalisatie!AF85,Database_Transport[#All],42,FALSE)*(Optimalisatie!R85*Optimalisatie!AE85),Baseline_Backlog!M398),0))</f>
        <v>0</v>
      </c>
      <c r="N398" s="91">
        <f>(IF(Optimalisatie!C85="Bestaande Situatie",_xlfn.IFNA(VLOOKUP(Optimalisatie!AG85,Database_Asfalt_Verwerkingsset[#All],42,FALSE)*(Optimalisatie!J85/VLOOKUP(Optimalisatie!AG85,Database_Asfalt_Verwerkingsset[#All],42,FALSE)),Baseline_Backlog!N398),0))</f>
        <v>0</v>
      </c>
      <c r="O398" s="91">
        <f>(IF(Optimalisatie!C85="Bestaande Situatie",_xlfn.IFNA(VLOOKUP(Inschrijf_Hernieuwbare_Energie_Totaal[[#This Row],[Product]]&amp;", "&amp;Inschrijf_MKI_Totaal[[#Headers],[C4]],Database_Productkaarten[#All],48,FALSE)*Optimalisatie!J85,Baseline_Backlog!O398),0))</f>
        <v>0</v>
      </c>
      <c r="P398" s="91">
        <f>(IF(Optimalisatie!C85="Bestaande Situatie",_xlfn.IFNA(IF(Optimalisatie!E85="Categorie_1_LCA_Producten",VLOOKUP(Inschrijf_Hernieuwbare_Energie_Totaal[[#This Row],[Product]],Categorie_1_Producten[#All],24,FALSE)*(Optimalisatie!J85),VLOOKUP(Inschrijf_Hernieuwbare_Energie_Totaal[[#This Row],[Product]]&amp;", "&amp;Inschrijf_Hernieuwbare_Energie_Totaal[[#Headers],[D1]],Database_Productkaarten[#All],48,FALSE)*Optimalisatie!J85),Baseline_Backlog!P398),0))</f>
        <v>0</v>
      </c>
      <c r="Q398" s="91">
        <f>(IF(Optimalisatie!C85="Bestaande Situatie",_xlfn.IFNA(IF(Optimalisatie!E85="Categorie_1_LCA_Producten",VLOOKUP(Inschrijf_Hernieuwbare_Energie_Totaal[[#This Row],[Product]],Categorie_1_Producten[#All],25,FALSE)*(Optimalisatie!J85),VLOOKUP(Inschrijf_Hernieuwbare_Energie_Totaal[[#This Row],[Product]]&amp;", "&amp;Inschrijf_Hernieuwbare_Energie_Totaal[[#Headers],[D2]],Database_Productkaarten[#All],48,FALSE)*Optimalisatie!J85),Baseline_Backlog!Q398),0))</f>
        <v>0</v>
      </c>
      <c r="R398" s="91">
        <f>(IF(Optimalisatie!C85="Bestaande Situatie",_xlfn.IFNA(IF(Optimalisatie!E85="Categorie_1_LCA_Producten",VLOOKUP(Inschrijf_Hernieuwbare_Energie_Totaal[[#This Row],[Product]],Categorie_1_Producten[#All],29,FALSE)*(Optimalisatie!J85),VLOOKUP(Inschrijf_Hernieuwbare_Energie_Totaal[[#This Row],[Product]]&amp;", "&amp;Inschrijf_Hernieuwbare_Energie_Totaal[[#Headers],[D]],Database_Productkaarten[#All],48,FALSE)*Optimalisatie!J85),Baseline_Backlog!S398),0))</f>
        <v>0</v>
      </c>
      <c r="S398" s="91">
        <f>SUM(Inschrijf_Hernieuwbare_Energie_Totaal[[#This Row],[A1-A3]:[C4]])+Inschrijf_Hernieuwbare_Energie_Totaal[[#This Row],[D]]</f>
        <v>0</v>
      </c>
    </row>
    <row r="399" spans="2:19">
      <c r="B399" s="208">
        <f>Optimalisatie!B86</f>
        <v>0</v>
      </c>
      <c r="C399" s="1">
        <f>Optimalisatie!F86</f>
        <v>0</v>
      </c>
      <c r="D399" s="91">
        <f>(IF(Optimalisatie!C86="Nieuwe Situatie",_xlfn.IFNA(IF(Optimalisatie!E86="Categorie_1_LCA_Producten",VLOOKUP(Inschrijf_Hernieuwbare_Energie_Totaal[[#This Row],[Product]],Categorie_1_Producten[#All],20,FALSE)*(Optimalisatie!J86),VLOOKUP(Inschrijf_Hernieuwbare_Energie_Totaal[[#This Row],[Product]]&amp;", "&amp;Inschrijf_Hernieuwbare_Energie_Totaal[[#Headers],[A1]],Database_Productkaarten[#All],48,FALSE)*Optimalisatie!J86),Baseline_Backlog!D399),0))</f>
        <v>0</v>
      </c>
      <c r="E399" s="91">
        <f>(IF(Optimalisatie!C86="Nieuwe Situatie",_xlfn.IFNA(IF(Optimalisatie!E86="Categorie_1_LCA_Producten",VLOOKUP(Inschrijf_Hernieuwbare_Energie_Totaal[[#This Row],[Product]],Categorie_1_Producten[#All],21,FALSE)*(Optimalisatie!J86),VLOOKUP(Inschrijf_Hernieuwbare_Energie_Totaal[[#This Row],[Product]]&amp;", "&amp;Inschrijf_Hernieuwbare_Energie_Totaal[[#Headers],[A2]],Database_Productkaarten[#All],48,FALSE)*Optimalisatie!J86),Baseline_Backlog!E399),0))</f>
        <v>0</v>
      </c>
      <c r="F399" s="91">
        <f>(IF(Optimalisatie!C86="Nieuwe Situatie",_xlfn.IFNA(IF(Optimalisatie!E86="Categorie_1_LCA_Producten",VLOOKUP(Inschrijf_Hernieuwbare_Energie_Totaal[[#This Row],[Product]],Categorie_1_Producten[#All],22,FALSE)*(Optimalisatie!J86),VLOOKUP(Inschrijf_Hernieuwbare_Energie_Totaal[[#This Row],[Product]]&amp;", "&amp;Inschrijf_Hernieuwbare_Energie_Totaal[[#Headers],[A3]],Database_Productkaarten[#All],48,FALSE)*Optimalisatie!J86),Baseline_Backlog!F399),0))</f>
        <v>0</v>
      </c>
      <c r="G399" s="91">
        <f>(IF(Optimalisatie!C86="Nieuwe Situatie",_xlfn.IFNA(IF(Optimalisatie!E86="Categorie_1_LCA_Producten",VLOOKUP(Inschrijf_Hernieuwbare_Energie_Totaal[[#This Row],[Product]],Categorie_1_Producten[#All],27,FALSE)*(Optimalisatie!J86),VLOOKUP(Inschrijf_Hernieuwbare_Energie_Totaal[[#This Row],[Product]]&amp;", "&amp;Inschrijf_Hernieuwbare_Energie_Totaal[[#Headers],[A1-A3]],Database_Productkaarten[#All],48,FALSE)*Optimalisatie!J86),Baseline_Backlog!G399),0))</f>
        <v>0</v>
      </c>
      <c r="H399" s="91">
        <f>(IF(Optimalisatie!C86="Nieuwe Situatie",_xlfn.IFNA(VLOOKUP(Optimalisatie!V86,Database_Transport[#All],42,FALSE)*(Optimalisatie!R86*Optimalisatie!U86),Baseline_Backlog!H399),0))</f>
        <v>0</v>
      </c>
      <c r="I399" s="91">
        <f>IF(Optimalisatie!C86="Nieuwe situatie",IF(_xlfn.IFNA((VLOOKUP(Optimalisatie!W86,Database_Asfalt_Aanlegset[#All],42,FALSE)*Optimalisatie!J86),0)+_xlfn.IFNA(VLOOKUP(Optimalisatie!X86,Database_Brandstoffen[#All],42,FALSE)*((Optimalisatie!J86/Optimalisatie!Z86)*Optimalisatie!Y86),0)&gt;0,_xlfn.IFNA((VLOOKUP(Optimalisatie!W86,Database_Asfalt_Aanlegset[#All],42,FALSE)*Optimalisatie!J86),0)+_xlfn.IFNA(VLOOKUP(Optimalisatie!X86,Database_Brandstoffen[#All],42,FALSE)*((Optimalisatie!J86/Optimalisatie!Z86)*Optimalisatie!Y86),0),(_xlfn.IFNA(VLOOKUP(Inschrijf_Hernieuwbare_Energie_Totaal[[#This Row],[Product]]&amp;", "&amp;Inschrijf_MKI_Totaal[[#Headers],[A5]],Database_Productkaarten[#All],48,FALSE),0)*Optimalisatie!J86)),0)</f>
        <v>0</v>
      </c>
      <c r="J399" s="91">
        <f>(IF(Optimalisatie!C86="Nieuwe Situatie",_xlfn.IFNA(IF(Optimalisatie!E86="Categorie_1_LCA_Producten",VLOOKUP(Inschrijf_Hernieuwbare_Energie_Totaal[[#This Row],[Product]],Categorie_1_Producten[#All],28,FALSE)*(Optimalisatie!R86),VLOOKUP(Inschrijf_Hernieuwbare_Energie_Totaal[[#This Row],[Product]]&amp;", "&amp;Inschrijf_Hernieuwbare_Energie_Totaal[[#Headers],[B1]],Database_Productkaarten[#All],47,FALSE)*Optimalisatie!J86),Baseline_Backlog!J399),0))</f>
        <v>0</v>
      </c>
      <c r="K399" s="91">
        <f>(IF(Optimalisatie!C86="Nieuwe Situatie",_xlfn.IFNA(SUM(Inschrijf_Hernieuwbare_Energie_Totaal[[#This Row],[A1]:[B1]],Inschrijf_Hernieuwbare_Energie_Totaal[[#This Row],[C1]:[D2]])*Optimalisatie!T86,0),0))</f>
        <v>0</v>
      </c>
      <c r="L399" s="91">
        <f>IF(Optimalisatie!C86="Bestaande situatie",IF(_xlfn.IFNA((VLOOKUP(Optimalisatie!AA86,Database_Asfalt_Verwijderset[#All],42,FALSE)*Optimalisatie!J86),0)+_xlfn.IFNA(VLOOKUP(Optimalisatie!AB86,Database_Brandstoffen[#All],42,FALSE)*((Optimalisatie!J86/Optimalisatie!AD86)*Optimalisatie!AC86),0)&gt;0,_xlfn.IFNA((VLOOKUP(Optimalisatie!AA86,Database_Asfalt_Verwijderset[#All],42,FALSE)*Optimalisatie!J86),0)+_xlfn.IFNA(VLOOKUP(Optimalisatie!AB86,Database_Brandstoffen[#All],42,FALSE)*((Optimalisatie!J86/Optimalisatie!AD86)*Optimalisatie!AC86),0),(_xlfn.IFNA(VLOOKUP(Inschrijf_Hernieuwbare_Energie_Totaal[[#This Row],[Product]]&amp;", "&amp;Inschrijf_MKI_Totaal[[#Headers],[C1]],Database_Productkaarten[#All],48,FALSE),0)*Optimalisatie!J86)),0)</f>
        <v>0</v>
      </c>
      <c r="M399" s="91">
        <f>(IF(Optimalisatie!C86="Bestaande Situatie",_xlfn.IFNA(VLOOKUP(Optimalisatie!AF86,Database_Transport[#All],42,FALSE)*(Optimalisatie!R86*Optimalisatie!AE86),Baseline_Backlog!M399),0))</f>
        <v>0</v>
      </c>
      <c r="N399" s="91">
        <f>(IF(Optimalisatie!C86="Bestaande Situatie",_xlfn.IFNA(VLOOKUP(Optimalisatie!AG86,Database_Asfalt_Verwerkingsset[#All],42,FALSE)*(Optimalisatie!J86/VLOOKUP(Optimalisatie!AG86,Database_Asfalt_Verwerkingsset[#All],42,FALSE)),Baseline_Backlog!N399),0))</f>
        <v>0</v>
      </c>
      <c r="O399" s="91">
        <f>(IF(Optimalisatie!C86="Bestaande Situatie",_xlfn.IFNA(VLOOKUP(Inschrijf_Hernieuwbare_Energie_Totaal[[#This Row],[Product]]&amp;", "&amp;Inschrijf_MKI_Totaal[[#Headers],[C4]],Database_Productkaarten[#All],48,FALSE)*Optimalisatie!J86,Baseline_Backlog!O399),0))</f>
        <v>0</v>
      </c>
      <c r="P399" s="91">
        <f>(IF(Optimalisatie!C86="Bestaande Situatie",_xlfn.IFNA(IF(Optimalisatie!E86="Categorie_1_LCA_Producten",VLOOKUP(Inschrijf_Hernieuwbare_Energie_Totaal[[#This Row],[Product]],Categorie_1_Producten[#All],24,FALSE)*(Optimalisatie!J86),VLOOKUP(Inschrijf_Hernieuwbare_Energie_Totaal[[#This Row],[Product]]&amp;", "&amp;Inschrijf_Hernieuwbare_Energie_Totaal[[#Headers],[D1]],Database_Productkaarten[#All],48,FALSE)*Optimalisatie!J86),Baseline_Backlog!P399),0))</f>
        <v>0</v>
      </c>
      <c r="Q399" s="91">
        <f>(IF(Optimalisatie!C86="Bestaande Situatie",_xlfn.IFNA(IF(Optimalisatie!E86="Categorie_1_LCA_Producten",VLOOKUP(Inschrijf_Hernieuwbare_Energie_Totaal[[#This Row],[Product]],Categorie_1_Producten[#All],25,FALSE)*(Optimalisatie!J86),VLOOKUP(Inschrijf_Hernieuwbare_Energie_Totaal[[#This Row],[Product]]&amp;", "&amp;Inschrijf_Hernieuwbare_Energie_Totaal[[#Headers],[D2]],Database_Productkaarten[#All],48,FALSE)*Optimalisatie!J86),Baseline_Backlog!Q399),0))</f>
        <v>0</v>
      </c>
      <c r="R399" s="91">
        <f>(IF(Optimalisatie!C86="Bestaande Situatie",_xlfn.IFNA(IF(Optimalisatie!E86="Categorie_1_LCA_Producten",VLOOKUP(Inschrijf_Hernieuwbare_Energie_Totaal[[#This Row],[Product]],Categorie_1_Producten[#All],29,FALSE)*(Optimalisatie!J86),VLOOKUP(Inschrijf_Hernieuwbare_Energie_Totaal[[#This Row],[Product]]&amp;", "&amp;Inschrijf_Hernieuwbare_Energie_Totaal[[#Headers],[D]],Database_Productkaarten[#All],48,FALSE)*Optimalisatie!J86),Baseline_Backlog!S399),0))</f>
        <v>0</v>
      </c>
      <c r="S399" s="91">
        <f>SUM(Inschrijf_Hernieuwbare_Energie_Totaal[[#This Row],[A1-A3]:[C4]])+Inschrijf_Hernieuwbare_Energie_Totaal[[#This Row],[D]]</f>
        <v>0</v>
      </c>
    </row>
    <row r="400" spans="2:19">
      <c r="B400" s="208">
        <f>Optimalisatie!B87</f>
        <v>0</v>
      </c>
      <c r="C400" s="1">
        <f>Optimalisatie!F87</f>
        <v>0</v>
      </c>
      <c r="D400" s="91">
        <f>(IF(Optimalisatie!C87="Nieuwe Situatie",_xlfn.IFNA(IF(Optimalisatie!E87="Categorie_1_LCA_Producten",VLOOKUP(Inschrijf_Hernieuwbare_Energie_Totaal[[#This Row],[Product]],Categorie_1_Producten[#All],20,FALSE)*(Optimalisatie!J87),VLOOKUP(Inschrijf_Hernieuwbare_Energie_Totaal[[#This Row],[Product]]&amp;", "&amp;Inschrijf_Hernieuwbare_Energie_Totaal[[#Headers],[A1]],Database_Productkaarten[#All],48,FALSE)*Optimalisatie!J87),Baseline_Backlog!D400),0))</f>
        <v>0</v>
      </c>
      <c r="E400" s="91">
        <f>(IF(Optimalisatie!C87="Nieuwe Situatie",_xlfn.IFNA(IF(Optimalisatie!E87="Categorie_1_LCA_Producten",VLOOKUP(Inschrijf_Hernieuwbare_Energie_Totaal[[#This Row],[Product]],Categorie_1_Producten[#All],21,FALSE)*(Optimalisatie!J87),VLOOKUP(Inschrijf_Hernieuwbare_Energie_Totaal[[#This Row],[Product]]&amp;", "&amp;Inschrijf_Hernieuwbare_Energie_Totaal[[#Headers],[A2]],Database_Productkaarten[#All],48,FALSE)*Optimalisatie!J87),Baseline_Backlog!E400),0))</f>
        <v>0</v>
      </c>
      <c r="F400" s="91">
        <f>(IF(Optimalisatie!C87="Nieuwe Situatie",_xlfn.IFNA(IF(Optimalisatie!E87="Categorie_1_LCA_Producten",VLOOKUP(Inschrijf_Hernieuwbare_Energie_Totaal[[#This Row],[Product]],Categorie_1_Producten[#All],22,FALSE)*(Optimalisatie!J87),VLOOKUP(Inschrijf_Hernieuwbare_Energie_Totaal[[#This Row],[Product]]&amp;", "&amp;Inschrijf_Hernieuwbare_Energie_Totaal[[#Headers],[A3]],Database_Productkaarten[#All],48,FALSE)*Optimalisatie!J87),Baseline_Backlog!F400),0))</f>
        <v>0</v>
      </c>
      <c r="G400" s="91">
        <f>(IF(Optimalisatie!C87="Nieuwe Situatie",_xlfn.IFNA(IF(Optimalisatie!E87="Categorie_1_LCA_Producten",VLOOKUP(Inschrijf_Hernieuwbare_Energie_Totaal[[#This Row],[Product]],Categorie_1_Producten[#All],27,FALSE)*(Optimalisatie!J87),VLOOKUP(Inschrijf_Hernieuwbare_Energie_Totaal[[#This Row],[Product]]&amp;", "&amp;Inschrijf_Hernieuwbare_Energie_Totaal[[#Headers],[A1-A3]],Database_Productkaarten[#All],48,FALSE)*Optimalisatie!J87),Baseline_Backlog!G400),0))</f>
        <v>0</v>
      </c>
      <c r="H400" s="91">
        <f>(IF(Optimalisatie!C87="Nieuwe Situatie",_xlfn.IFNA(VLOOKUP(Optimalisatie!V87,Database_Transport[#All],42,FALSE)*(Optimalisatie!R87*Optimalisatie!U87),Baseline_Backlog!H400),0))</f>
        <v>0</v>
      </c>
      <c r="I400" s="91">
        <f>IF(Optimalisatie!C87="Nieuwe situatie",IF(_xlfn.IFNA((VLOOKUP(Optimalisatie!W87,Database_Asfalt_Aanlegset[#All],42,FALSE)*Optimalisatie!J87),0)+_xlfn.IFNA(VLOOKUP(Optimalisatie!X87,Database_Brandstoffen[#All],42,FALSE)*((Optimalisatie!J87/Optimalisatie!Z87)*Optimalisatie!Y87),0)&gt;0,_xlfn.IFNA((VLOOKUP(Optimalisatie!W87,Database_Asfalt_Aanlegset[#All],42,FALSE)*Optimalisatie!J87),0)+_xlfn.IFNA(VLOOKUP(Optimalisatie!X87,Database_Brandstoffen[#All],42,FALSE)*((Optimalisatie!J87/Optimalisatie!Z87)*Optimalisatie!Y87),0),(_xlfn.IFNA(VLOOKUP(Inschrijf_Hernieuwbare_Energie_Totaal[[#This Row],[Product]]&amp;", "&amp;Inschrijf_MKI_Totaal[[#Headers],[A5]],Database_Productkaarten[#All],48,FALSE),0)*Optimalisatie!J87)),0)</f>
        <v>0</v>
      </c>
      <c r="J400" s="91">
        <f>(IF(Optimalisatie!C87="Nieuwe Situatie",_xlfn.IFNA(IF(Optimalisatie!E87="Categorie_1_LCA_Producten",VLOOKUP(Inschrijf_Hernieuwbare_Energie_Totaal[[#This Row],[Product]],Categorie_1_Producten[#All],28,FALSE)*(Optimalisatie!R87),VLOOKUP(Inschrijf_Hernieuwbare_Energie_Totaal[[#This Row],[Product]]&amp;", "&amp;Inschrijf_Hernieuwbare_Energie_Totaal[[#Headers],[B1]],Database_Productkaarten[#All],47,FALSE)*Optimalisatie!J87),Baseline_Backlog!J400),0))</f>
        <v>0</v>
      </c>
      <c r="K400" s="91">
        <f>(IF(Optimalisatie!C87="Nieuwe Situatie",_xlfn.IFNA(SUM(Inschrijf_Hernieuwbare_Energie_Totaal[[#This Row],[A1]:[B1]],Inschrijf_Hernieuwbare_Energie_Totaal[[#This Row],[C1]:[D2]])*Optimalisatie!T87,0),0))</f>
        <v>0</v>
      </c>
      <c r="L400" s="91">
        <f>IF(Optimalisatie!C87="Bestaande situatie",IF(_xlfn.IFNA((VLOOKUP(Optimalisatie!AA87,Database_Asfalt_Verwijderset[#All],42,FALSE)*Optimalisatie!J87),0)+_xlfn.IFNA(VLOOKUP(Optimalisatie!AB87,Database_Brandstoffen[#All],42,FALSE)*((Optimalisatie!J87/Optimalisatie!AD87)*Optimalisatie!AC87),0)&gt;0,_xlfn.IFNA((VLOOKUP(Optimalisatie!AA87,Database_Asfalt_Verwijderset[#All],42,FALSE)*Optimalisatie!J87),0)+_xlfn.IFNA(VLOOKUP(Optimalisatie!AB87,Database_Brandstoffen[#All],42,FALSE)*((Optimalisatie!J87/Optimalisatie!AD87)*Optimalisatie!AC87),0),(_xlfn.IFNA(VLOOKUP(Inschrijf_Hernieuwbare_Energie_Totaal[[#This Row],[Product]]&amp;", "&amp;Inschrijf_MKI_Totaal[[#Headers],[C1]],Database_Productkaarten[#All],48,FALSE),0)*Optimalisatie!J87)),0)</f>
        <v>0</v>
      </c>
      <c r="M400" s="91">
        <f>(IF(Optimalisatie!C87="Bestaande Situatie",_xlfn.IFNA(VLOOKUP(Optimalisatie!AF87,Database_Transport[#All],42,FALSE)*(Optimalisatie!R87*Optimalisatie!AE87),Baseline_Backlog!M400),0))</f>
        <v>0</v>
      </c>
      <c r="N400" s="91">
        <f>(IF(Optimalisatie!C87="Bestaande Situatie",_xlfn.IFNA(VLOOKUP(Optimalisatie!AG87,Database_Asfalt_Verwerkingsset[#All],42,FALSE)*(Optimalisatie!J87/VLOOKUP(Optimalisatie!AG87,Database_Asfalt_Verwerkingsset[#All],42,FALSE)),Baseline_Backlog!N400),0))</f>
        <v>0</v>
      </c>
      <c r="O400" s="91">
        <f>(IF(Optimalisatie!C87="Bestaande Situatie",_xlfn.IFNA(VLOOKUP(Inschrijf_Hernieuwbare_Energie_Totaal[[#This Row],[Product]]&amp;", "&amp;Inschrijf_MKI_Totaal[[#Headers],[C4]],Database_Productkaarten[#All],48,FALSE)*Optimalisatie!J87,Baseline_Backlog!O400),0))</f>
        <v>0</v>
      </c>
      <c r="P400" s="91">
        <f>(IF(Optimalisatie!C87="Bestaande Situatie",_xlfn.IFNA(IF(Optimalisatie!E87="Categorie_1_LCA_Producten",VLOOKUP(Inschrijf_Hernieuwbare_Energie_Totaal[[#This Row],[Product]],Categorie_1_Producten[#All],24,FALSE)*(Optimalisatie!J87),VLOOKUP(Inschrijf_Hernieuwbare_Energie_Totaal[[#This Row],[Product]]&amp;", "&amp;Inschrijf_Hernieuwbare_Energie_Totaal[[#Headers],[D1]],Database_Productkaarten[#All],48,FALSE)*Optimalisatie!J87),Baseline_Backlog!P400),0))</f>
        <v>0</v>
      </c>
      <c r="Q400" s="91">
        <f>(IF(Optimalisatie!C87="Bestaande Situatie",_xlfn.IFNA(IF(Optimalisatie!E87="Categorie_1_LCA_Producten",VLOOKUP(Inschrijf_Hernieuwbare_Energie_Totaal[[#This Row],[Product]],Categorie_1_Producten[#All],25,FALSE)*(Optimalisatie!J87),VLOOKUP(Inschrijf_Hernieuwbare_Energie_Totaal[[#This Row],[Product]]&amp;", "&amp;Inschrijf_Hernieuwbare_Energie_Totaal[[#Headers],[D2]],Database_Productkaarten[#All],48,FALSE)*Optimalisatie!J87),Baseline_Backlog!Q400),0))</f>
        <v>0</v>
      </c>
      <c r="R400" s="91">
        <f>(IF(Optimalisatie!C87="Bestaande Situatie",_xlfn.IFNA(IF(Optimalisatie!E87="Categorie_1_LCA_Producten",VLOOKUP(Inschrijf_Hernieuwbare_Energie_Totaal[[#This Row],[Product]],Categorie_1_Producten[#All],29,FALSE)*(Optimalisatie!J87),VLOOKUP(Inschrijf_Hernieuwbare_Energie_Totaal[[#This Row],[Product]]&amp;", "&amp;Inschrijf_Hernieuwbare_Energie_Totaal[[#Headers],[D]],Database_Productkaarten[#All],48,FALSE)*Optimalisatie!J87),Baseline_Backlog!S400),0))</f>
        <v>0</v>
      </c>
      <c r="S400" s="91">
        <f>SUM(Inschrijf_Hernieuwbare_Energie_Totaal[[#This Row],[A1-A3]:[C4]])+Inschrijf_Hernieuwbare_Energie_Totaal[[#This Row],[D]]</f>
        <v>0</v>
      </c>
    </row>
    <row r="401" spans="2:19">
      <c r="B401" s="208">
        <f>Optimalisatie!B88</f>
        <v>0</v>
      </c>
      <c r="C401" s="1">
        <f>Optimalisatie!F88</f>
        <v>0</v>
      </c>
      <c r="D401" s="91">
        <f>(IF(Optimalisatie!C88="Nieuwe Situatie",_xlfn.IFNA(IF(Optimalisatie!E88="Categorie_1_LCA_Producten",VLOOKUP(Inschrijf_Hernieuwbare_Energie_Totaal[[#This Row],[Product]],Categorie_1_Producten[#All],20,FALSE)*(Optimalisatie!J88),VLOOKUP(Inschrijf_Hernieuwbare_Energie_Totaal[[#This Row],[Product]]&amp;", "&amp;Inschrijf_Hernieuwbare_Energie_Totaal[[#Headers],[A1]],Database_Productkaarten[#All],48,FALSE)*Optimalisatie!J88),Baseline_Backlog!D401),0))</f>
        <v>0</v>
      </c>
      <c r="E401" s="91">
        <f>(IF(Optimalisatie!C88="Nieuwe Situatie",_xlfn.IFNA(IF(Optimalisatie!E88="Categorie_1_LCA_Producten",VLOOKUP(Inschrijf_Hernieuwbare_Energie_Totaal[[#This Row],[Product]],Categorie_1_Producten[#All],21,FALSE)*(Optimalisatie!J88),VLOOKUP(Inschrijf_Hernieuwbare_Energie_Totaal[[#This Row],[Product]]&amp;", "&amp;Inschrijf_Hernieuwbare_Energie_Totaal[[#Headers],[A2]],Database_Productkaarten[#All],48,FALSE)*Optimalisatie!J88),Baseline_Backlog!E401),0))</f>
        <v>0</v>
      </c>
      <c r="F401" s="91">
        <f>(IF(Optimalisatie!C88="Nieuwe Situatie",_xlfn.IFNA(IF(Optimalisatie!E88="Categorie_1_LCA_Producten",VLOOKUP(Inschrijf_Hernieuwbare_Energie_Totaal[[#This Row],[Product]],Categorie_1_Producten[#All],22,FALSE)*(Optimalisatie!J88),VLOOKUP(Inschrijf_Hernieuwbare_Energie_Totaal[[#This Row],[Product]]&amp;", "&amp;Inschrijf_Hernieuwbare_Energie_Totaal[[#Headers],[A3]],Database_Productkaarten[#All],48,FALSE)*Optimalisatie!J88),Baseline_Backlog!F401),0))</f>
        <v>0</v>
      </c>
      <c r="G401" s="91">
        <f>(IF(Optimalisatie!C88="Nieuwe Situatie",_xlfn.IFNA(IF(Optimalisatie!E88="Categorie_1_LCA_Producten",VLOOKUP(Inschrijf_Hernieuwbare_Energie_Totaal[[#This Row],[Product]],Categorie_1_Producten[#All],27,FALSE)*(Optimalisatie!J88),VLOOKUP(Inschrijf_Hernieuwbare_Energie_Totaal[[#This Row],[Product]]&amp;", "&amp;Inschrijf_Hernieuwbare_Energie_Totaal[[#Headers],[A1-A3]],Database_Productkaarten[#All],48,FALSE)*Optimalisatie!J88),Baseline_Backlog!G401),0))</f>
        <v>0</v>
      </c>
      <c r="H401" s="91">
        <f>(IF(Optimalisatie!C88="Nieuwe Situatie",_xlfn.IFNA(VLOOKUP(Optimalisatie!V88,Database_Transport[#All],42,FALSE)*(Optimalisatie!R88*Optimalisatie!U88),Baseline_Backlog!H401),0))</f>
        <v>0</v>
      </c>
      <c r="I401" s="91">
        <f>IF(Optimalisatie!C88="Nieuwe situatie",IF(_xlfn.IFNA((VLOOKUP(Optimalisatie!W88,Database_Asfalt_Aanlegset[#All],42,FALSE)*Optimalisatie!J88),0)+_xlfn.IFNA(VLOOKUP(Optimalisatie!X88,Database_Brandstoffen[#All],42,FALSE)*((Optimalisatie!J88/Optimalisatie!Z88)*Optimalisatie!Y88),0)&gt;0,_xlfn.IFNA((VLOOKUP(Optimalisatie!W88,Database_Asfalt_Aanlegset[#All],42,FALSE)*Optimalisatie!J88),0)+_xlfn.IFNA(VLOOKUP(Optimalisatie!X88,Database_Brandstoffen[#All],42,FALSE)*((Optimalisatie!J88/Optimalisatie!Z88)*Optimalisatie!Y88),0),(_xlfn.IFNA(VLOOKUP(Inschrijf_Hernieuwbare_Energie_Totaal[[#This Row],[Product]]&amp;", "&amp;Inschrijf_MKI_Totaal[[#Headers],[A5]],Database_Productkaarten[#All],48,FALSE),0)*Optimalisatie!J88)),0)</f>
        <v>0</v>
      </c>
      <c r="J401" s="91">
        <f>(IF(Optimalisatie!C88="Nieuwe Situatie",_xlfn.IFNA(IF(Optimalisatie!E88="Categorie_1_LCA_Producten",VLOOKUP(Inschrijf_Hernieuwbare_Energie_Totaal[[#This Row],[Product]],Categorie_1_Producten[#All],28,FALSE)*(Optimalisatie!R88),VLOOKUP(Inschrijf_Hernieuwbare_Energie_Totaal[[#This Row],[Product]]&amp;", "&amp;Inschrijf_Hernieuwbare_Energie_Totaal[[#Headers],[B1]],Database_Productkaarten[#All],47,FALSE)*Optimalisatie!J88),Baseline_Backlog!J401),0))</f>
        <v>0</v>
      </c>
      <c r="K401" s="91">
        <f>(IF(Optimalisatie!C88="Nieuwe Situatie",_xlfn.IFNA(SUM(Inschrijf_Hernieuwbare_Energie_Totaal[[#This Row],[A1]:[B1]],Inschrijf_Hernieuwbare_Energie_Totaal[[#This Row],[C1]:[D2]])*Optimalisatie!T88,0),0))</f>
        <v>0</v>
      </c>
      <c r="L401" s="91">
        <f>IF(Optimalisatie!C88="Bestaande situatie",IF(_xlfn.IFNA((VLOOKUP(Optimalisatie!AA88,Database_Asfalt_Verwijderset[#All],42,FALSE)*Optimalisatie!J88),0)+_xlfn.IFNA(VLOOKUP(Optimalisatie!AB88,Database_Brandstoffen[#All],42,FALSE)*((Optimalisatie!J88/Optimalisatie!AD88)*Optimalisatie!AC88),0)&gt;0,_xlfn.IFNA((VLOOKUP(Optimalisatie!AA88,Database_Asfalt_Verwijderset[#All],42,FALSE)*Optimalisatie!J88),0)+_xlfn.IFNA(VLOOKUP(Optimalisatie!AB88,Database_Brandstoffen[#All],42,FALSE)*((Optimalisatie!J88/Optimalisatie!AD88)*Optimalisatie!AC88),0),(_xlfn.IFNA(VLOOKUP(Inschrijf_Hernieuwbare_Energie_Totaal[[#This Row],[Product]]&amp;", "&amp;Inschrijf_MKI_Totaal[[#Headers],[C1]],Database_Productkaarten[#All],48,FALSE),0)*Optimalisatie!J88)),0)</f>
        <v>0</v>
      </c>
      <c r="M401" s="91">
        <f>(IF(Optimalisatie!C88="Bestaande Situatie",_xlfn.IFNA(VLOOKUP(Optimalisatie!AF88,Database_Transport[#All],42,FALSE)*(Optimalisatie!R88*Optimalisatie!AE88),Baseline_Backlog!M401),0))</f>
        <v>0</v>
      </c>
      <c r="N401" s="91">
        <f>(IF(Optimalisatie!C88="Bestaande Situatie",_xlfn.IFNA(VLOOKUP(Optimalisatie!AG88,Database_Asfalt_Verwerkingsset[#All],42,FALSE)*(Optimalisatie!J88/VLOOKUP(Optimalisatie!AG88,Database_Asfalt_Verwerkingsset[#All],42,FALSE)),Baseline_Backlog!N401),0))</f>
        <v>0</v>
      </c>
      <c r="O401" s="91">
        <f>(IF(Optimalisatie!C88="Bestaande Situatie",_xlfn.IFNA(VLOOKUP(Inschrijf_Hernieuwbare_Energie_Totaal[[#This Row],[Product]]&amp;", "&amp;Inschrijf_MKI_Totaal[[#Headers],[C4]],Database_Productkaarten[#All],48,FALSE)*Optimalisatie!J88,Baseline_Backlog!O401),0))</f>
        <v>0</v>
      </c>
      <c r="P401" s="91">
        <f>(IF(Optimalisatie!C88="Bestaande Situatie",_xlfn.IFNA(IF(Optimalisatie!E88="Categorie_1_LCA_Producten",VLOOKUP(Inschrijf_Hernieuwbare_Energie_Totaal[[#This Row],[Product]],Categorie_1_Producten[#All],24,FALSE)*(Optimalisatie!J88),VLOOKUP(Inschrijf_Hernieuwbare_Energie_Totaal[[#This Row],[Product]]&amp;", "&amp;Inschrijf_Hernieuwbare_Energie_Totaal[[#Headers],[D1]],Database_Productkaarten[#All],48,FALSE)*Optimalisatie!J88),Baseline_Backlog!P401),0))</f>
        <v>0</v>
      </c>
      <c r="Q401" s="91">
        <f>(IF(Optimalisatie!C88="Bestaande Situatie",_xlfn.IFNA(IF(Optimalisatie!E88="Categorie_1_LCA_Producten",VLOOKUP(Inschrijf_Hernieuwbare_Energie_Totaal[[#This Row],[Product]],Categorie_1_Producten[#All],25,FALSE)*(Optimalisatie!J88),VLOOKUP(Inschrijf_Hernieuwbare_Energie_Totaal[[#This Row],[Product]]&amp;", "&amp;Inschrijf_Hernieuwbare_Energie_Totaal[[#Headers],[D2]],Database_Productkaarten[#All],48,FALSE)*Optimalisatie!J88),Baseline_Backlog!Q401),0))</f>
        <v>0</v>
      </c>
      <c r="R401" s="91">
        <f>(IF(Optimalisatie!C88="Bestaande Situatie",_xlfn.IFNA(IF(Optimalisatie!E88="Categorie_1_LCA_Producten",VLOOKUP(Inschrijf_Hernieuwbare_Energie_Totaal[[#This Row],[Product]],Categorie_1_Producten[#All],29,FALSE)*(Optimalisatie!J88),VLOOKUP(Inschrijf_Hernieuwbare_Energie_Totaal[[#This Row],[Product]]&amp;", "&amp;Inschrijf_Hernieuwbare_Energie_Totaal[[#Headers],[D]],Database_Productkaarten[#All],48,FALSE)*Optimalisatie!J88),Baseline_Backlog!S401),0))</f>
        <v>0</v>
      </c>
      <c r="S401" s="91">
        <f>SUM(Inschrijf_Hernieuwbare_Energie_Totaal[[#This Row],[A1-A3]:[C4]])+Inschrijf_Hernieuwbare_Energie_Totaal[[#This Row],[D]]</f>
        <v>0</v>
      </c>
    </row>
    <row r="402" spans="2:19">
      <c r="B402" s="208">
        <f>Optimalisatie!B89</f>
        <v>0</v>
      </c>
      <c r="C402" s="1">
        <f>Optimalisatie!F89</f>
        <v>0</v>
      </c>
      <c r="D402" s="91">
        <f>(IF(Optimalisatie!C89="Nieuwe Situatie",_xlfn.IFNA(IF(Optimalisatie!E89="Categorie_1_LCA_Producten",VLOOKUP(Inschrijf_Hernieuwbare_Energie_Totaal[[#This Row],[Product]],Categorie_1_Producten[#All],20,FALSE)*(Optimalisatie!J89),VLOOKUP(Inschrijf_Hernieuwbare_Energie_Totaal[[#This Row],[Product]]&amp;", "&amp;Inschrijf_Hernieuwbare_Energie_Totaal[[#Headers],[A1]],Database_Productkaarten[#All],48,FALSE)*Optimalisatie!J89),Baseline_Backlog!D402),0))</f>
        <v>0</v>
      </c>
      <c r="E402" s="91">
        <f>(IF(Optimalisatie!C89="Nieuwe Situatie",_xlfn.IFNA(IF(Optimalisatie!E89="Categorie_1_LCA_Producten",VLOOKUP(Inschrijf_Hernieuwbare_Energie_Totaal[[#This Row],[Product]],Categorie_1_Producten[#All],21,FALSE)*(Optimalisatie!J89),VLOOKUP(Inschrijf_Hernieuwbare_Energie_Totaal[[#This Row],[Product]]&amp;", "&amp;Inschrijf_Hernieuwbare_Energie_Totaal[[#Headers],[A2]],Database_Productkaarten[#All],48,FALSE)*Optimalisatie!J89),Baseline_Backlog!E402),0))</f>
        <v>0</v>
      </c>
      <c r="F402" s="91">
        <f>(IF(Optimalisatie!C89="Nieuwe Situatie",_xlfn.IFNA(IF(Optimalisatie!E89="Categorie_1_LCA_Producten",VLOOKUP(Inschrijf_Hernieuwbare_Energie_Totaal[[#This Row],[Product]],Categorie_1_Producten[#All],22,FALSE)*(Optimalisatie!J89),VLOOKUP(Inschrijf_Hernieuwbare_Energie_Totaal[[#This Row],[Product]]&amp;", "&amp;Inschrijf_Hernieuwbare_Energie_Totaal[[#Headers],[A3]],Database_Productkaarten[#All],48,FALSE)*Optimalisatie!J89),Baseline_Backlog!F402),0))</f>
        <v>0</v>
      </c>
      <c r="G402" s="91">
        <f>(IF(Optimalisatie!C89="Nieuwe Situatie",_xlfn.IFNA(IF(Optimalisatie!E89="Categorie_1_LCA_Producten",VLOOKUP(Inschrijf_Hernieuwbare_Energie_Totaal[[#This Row],[Product]],Categorie_1_Producten[#All],27,FALSE)*(Optimalisatie!J89),VLOOKUP(Inschrijf_Hernieuwbare_Energie_Totaal[[#This Row],[Product]]&amp;", "&amp;Inschrijf_Hernieuwbare_Energie_Totaal[[#Headers],[A1-A3]],Database_Productkaarten[#All],48,FALSE)*Optimalisatie!J89),Baseline_Backlog!G402),0))</f>
        <v>0</v>
      </c>
      <c r="H402" s="91">
        <f>(IF(Optimalisatie!C89="Nieuwe Situatie",_xlfn.IFNA(VLOOKUP(Optimalisatie!V89,Database_Transport[#All],42,FALSE)*(Optimalisatie!R89*Optimalisatie!U89),Baseline_Backlog!H402),0))</f>
        <v>0</v>
      </c>
      <c r="I402" s="91">
        <f>IF(Optimalisatie!C89="Nieuwe situatie",IF(_xlfn.IFNA((VLOOKUP(Optimalisatie!W89,Database_Asfalt_Aanlegset[#All],42,FALSE)*Optimalisatie!J89),0)+_xlfn.IFNA(VLOOKUP(Optimalisatie!X89,Database_Brandstoffen[#All],42,FALSE)*((Optimalisatie!J89/Optimalisatie!Z89)*Optimalisatie!Y89),0)&gt;0,_xlfn.IFNA((VLOOKUP(Optimalisatie!W89,Database_Asfalt_Aanlegset[#All],42,FALSE)*Optimalisatie!J89),0)+_xlfn.IFNA(VLOOKUP(Optimalisatie!X89,Database_Brandstoffen[#All],42,FALSE)*((Optimalisatie!J89/Optimalisatie!Z89)*Optimalisatie!Y89),0),(_xlfn.IFNA(VLOOKUP(Inschrijf_Hernieuwbare_Energie_Totaal[[#This Row],[Product]]&amp;", "&amp;Inschrijf_MKI_Totaal[[#Headers],[A5]],Database_Productkaarten[#All],48,FALSE),0)*Optimalisatie!J89)),0)</f>
        <v>0</v>
      </c>
      <c r="J402" s="91">
        <f>(IF(Optimalisatie!C89="Nieuwe Situatie",_xlfn.IFNA(IF(Optimalisatie!E89="Categorie_1_LCA_Producten",VLOOKUP(Inschrijf_Hernieuwbare_Energie_Totaal[[#This Row],[Product]],Categorie_1_Producten[#All],28,FALSE)*(Optimalisatie!R89),VLOOKUP(Inschrijf_Hernieuwbare_Energie_Totaal[[#This Row],[Product]]&amp;", "&amp;Inschrijf_Hernieuwbare_Energie_Totaal[[#Headers],[B1]],Database_Productkaarten[#All],47,FALSE)*Optimalisatie!J89),Baseline_Backlog!J402),0))</f>
        <v>0</v>
      </c>
      <c r="K402" s="91">
        <f>(IF(Optimalisatie!C89="Nieuwe Situatie",_xlfn.IFNA(SUM(Inschrijf_Hernieuwbare_Energie_Totaal[[#This Row],[A1]:[B1]],Inschrijf_Hernieuwbare_Energie_Totaal[[#This Row],[C1]:[D2]])*Optimalisatie!T89,0),0))</f>
        <v>0</v>
      </c>
      <c r="L402" s="91">
        <f>IF(Optimalisatie!C89="Bestaande situatie",IF(_xlfn.IFNA((VLOOKUP(Optimalisatie!AA89,Database_Asfalt_Verwijderset[#All],42,FALSE)*Optimalisatie!J89),0)+_xlfn.IFNA(VLOOKUP(Optimalisatie!AB89,Database_Brandstoffen[#All],42,FALSE)*((Optimalisatie!J89/Optimalisatie!AD89)*Optimalisatie!AC89),0)&gt;0,_xlfn.IFNA((VLOOKUP(Optimalisatie!AA89,Database_Asfalt_Verwijderset[#All],42,FALSE)*Optimalisatie!J89),0)+_xlfn.IFNA(VLOOKUP(Optimalisatie!AB89,Database_Brandstoffen[#All],42,FALSE)*((Optimalisatie!J89/Optimalisatie!AD89)*Optimalisatie!AC89),0),(_xlfn.IFNA(VLOOKUP(Inschrijf_Hernieuwbare_Energie_Totaal[[#This Row],[Product]]&amp;", "&amp;Inschrijf_MKI_Totaal[[#Headers],[C1]],Database_Productkaarten[#All],48,FALSE),0)*Optimalisatie!J89)),0)</f>
        <v>0</v>
      </c>
      <c r="M402" s="91">
        <f>(IF(Optimalisatie!C89="Bestaande Situatie",_xlfn.IFNA(VLOOKUP(Optimalisatie!AF89,Database_Transport[#All],42,FALSE)*(Optimalisatie!R89*Optimalisatie!AE89),Baseline_Backlog!M402),0))</f>
        <v>0</v>
      </c>
      <c r="N402" s="91">
        <f>(IF(Optimalisatie!C89="Bestaande Situatie",_xlfn.IFNA(VLOOKUP(Optimalisatie!AG89,Database_Asfalt_Verwerkingsset[#All],42,FALSE)*(Optimalisatie!J89/VLOOKUP(Optimalisatie!AG89,Database_Asfalt_Verwerkingsset[#All],42,FALSE)),Baseline_Backlog!N402),0))</f>
        <v>0</v>
      </c>
      <c r="O402" s="91">
        <f>(IF(Optimalisatie!C89="Bestaande Situatie",_xlfn.IFNA(VLOOKUP(Inschrijf_Hernieuwbare_Energie_Totaal[[#This Row],[Product]]&amp;", "&amp;Inschrijf_MKI_Totaal[[#Headers],[C4]],Database_Productkaarten[#All],48,FALSE)*Optimalisatie!J89,Baseline_Backlog!O402),0))</f>
        <v>0</v>
      </c>
      <c r="P402" s="91">
        <f>(IF(Optimalisatie!C89="Bestaande Situatie",_xlfn.IFNA(IF(Optimalisatie!E89="Categorie_1_LCA_Producten",VLOOKUP(Inschrijf_Hernieuwbare_Energie_Totaal[[#This Row],[Product]],Categorie_1_Producten[#All],24,FALSE)*(Optimalisatie!J89),VLOOKUP(Inschrijf_Hernieuwbare_Energie_Totaal[[#This Row],[Product]]&amp;", "&amp;Inschrijf_Hernieuwbare_Energie_Totaal[[#Headers],[D1]],Database_Productkaarten[#All],48,FALSE)*Optimalisatie!J89),Baseline_Backlog!P402),0))</f>
        <v>0</v>
      </c>
      <c r="Q402" s="91">
        <f>(IF(Optimalisatie!C89="Bestaande Situatie",_xlfn.IFNA(IF(Optimalisatie!E89="Categorie_1_LCA_Producten",VLOOKUP(Inschrijf_Hernieuwbare_Energie_Totaal[[#This Row],[Product]],Categorie_1_Producten[#All],25,FALSE)*(Optimalisatie!J89),VLOOKUP(Inschrijf_Hernieuwbare_Energie_Totaal[[#This Row],[Product]]&amp;", "&amp;Inschrijf_Hernieuwbare_Energie_Totaal[[#Headers],[D2]],Database_Productkaarten[#All],48,FALSE)*Optimalisatie!J89),Baseline_Backlog!Q402),0))</f>
        <v>0</v>
      </c>
      <c r="R402" s="91">
        <f>(IF(Optimalisatie!C89="Bestaande Situatie",_xlfn.IFNA(IF(Optimalisatie!E89="Categorie_1_LCA_Producten",VLOOKUP(Inschrijf_Hernieuwbare_Energie_Totaal[[#This Row],[Product]],Categorie_1_Producten[#All],29,FALSE)*(Optimalisatie!J89),VLOOKUP(Inschrijf_Hernieuwbare_Energie_Totaal[[#This Row],[Product]]&amp;", "&amp;Inschrijf_Hernieuwbare_Energie_Totaal[[#Headers],[D]],Database_Productkaarten[#All],48,FALSE)*Optimalisatie!J89),Baseline_Backlog!S402),0))</f>
        <v>0</v>
      </c>
      <c r="S402" s="91">
        <f>SUM(Inschrijf_Hernieuwbare_Energie_Totaal[[#This Row],[A1-A3]:[C4]])+Inschrijf_Hernieuwbare_Energie_Totaal[[#This Row],[D]]</f>
        <v>0</v>
      </c>
    </row>
    <row r="403" spans="2:19">
      <c r="B403" s="208">
        <f>Optimalisatie!B90</f>
        <v>0</v>
      </c>
      <c r="C403" s="1">
        <f>Optimalisatie!F90</f>
        <v>0</v>
      </c>
      <c r="D403" s="91">
        <f>(IF(Optimalisatie!C90="Nieuwe Situatie",_xlfn.IFNA(IF(Optimalisatie!E90="Categorie_1_LCA_Producten",VLOOKUP(Inschrijf_Hernieuwbare_Energie_Totaal[[#This Row],[Product]],Categorie_1_Producten[#All],20,FALSE)*(Optimalisatie!J90),VLOOKUP(Inschrijf_Hernieuwbare_Energie_Totaal[[#This Row],[Product]]&amp;", "&amp;Inschrijf_Hernieuwbare_Energie_Totaal[[#Headers],[A1]],Database_Productkaarten[#All],48,FALSE)*Optimalisatie!J90),Baseline_Backlog!D403),0))</f>
        <v>0</v>
      </c>
      <c r="E403" s="91">
        <f>(IF(Optimalisatie!C90="Nieuwe Situatie",_xlfn.IFNA(IF(Optimalisatie!E90="Categorie_1_LCA_Producten",VLOOKUP(Inschrijf_Hernieuwbare_Energie_Totaal[[#This Row],[Product]],Categorie_1_Producten[#All],21,FALSE)*(Optimalisatie!J90),VLOOKUP(Inschrijf_Hernieuwbare_Energie_Totaal[[#This Row],[Product]]&amp;", "&amp;Inschrijf_Hernieuwbare_Energie_Totaal[[#Headers],[A2]],Database_Productkaarten[#All],48,FALSE)*Optimalisatie!J90),Baseline_Backlog!E403),0))</f>
        <v>0</v>
      </c>
      <c r="F403" s="91">
        <f>(IF(Optimalisatie!C90="Nieuwe Situatie",_xlfn.IFNA(IF(Optimalisatie!E90="Categorie_1_LCA_Producten",VLOOKUP(Inschrijf_Hernieuwbare_Energie_Totaal[[#This Row],[Product]],Categorie_1_Producten[#All],22,FALSE)*(Optimalisatie!J90),VLOOKUP(Inschrijf_Hernieuwbare_Energie_Totaal[[#This Row],[Product]]&amp;", "&amp;Inschrijf_Hernieuwbare_Energie_Totaal[[#Headers],[A3]],Database_Productkaarten[#All],48,FALSE)*Optimalisatie!J90),Baseline_Backlog!F403),0))</f>
        <v>0</v>
      </c>
      <c r="G403" s="91">
        <f>(IF(Optimalisatie!C90="Nieuwe Situatie",_xlfn.IFNA(IF(Optimalisatie!E90="Categorie_1_LCA_Producten",VLOOKUP(Inschrijf_Hernieuwbare_Energie_Totaal[[#This Row],[Product]],Categorie_1_Producten[#All],27,FALSE)*(Optimalisatie!J90),VLOOKUP(Inschrijf_Hernieuwbare_Energie_Totaal[[#This Row],[Product]]&amp;", "&amp;Inschrijf_Hernieuwbare_Energie_Totaal[[#Headers],[A1-A3]],Database_Productkaarten[#All],48,FALSE)*Optimalisatie!J90),Baseline_Backlog!G403),0))</f>
        <v>0</v>
      </c>
      <c r="H403" s="91">
        <f>(IF(Optimalisatie!C90="Nieuwe Situatie",_xlfn.IFNA(VLOOKUP(Optimalisatie!V90,Database_Transport[#All],42,FALSE)*(Optimalisatie!R90*Optimalisatie!U90),Baseline_Backlog!H403),0))</f>
        <v>0</v>
      </c>
      <c r="I403" s="91">
        <f>IF(Optimalisatie!C90="Nieuwe situatie",IF(_xlfn.IFNA((VLOOKUP(Optimalisatie!W90,Database_Asfalt_Aanlegset[#All],42,FALSE)*Optimalisatie!J90),0)+_xlfn.IFNA(VLOOKUP(Optimalisatie!X90,Database_Brandstoffen[#All],42,FALSE)*((Optimalisatie!J90/Optimalisatie!Z90)*Optimalisatie!Y90),0)&gt;0,_xlfn.IFNA((VLOOKUP(Optimalisatie!W90,Database_Asfalt_Aanlegset[#All],42,FALSE)*Optimalisatie!J90),0)+_xlfn.IFNA(VLOOKUP(Optimalisatie!X90,Database_Brandstoffen[#All],42,FALSE)*((Optimalisatie!J90/Optimalisatie!Z90)*Optimalisatie!Y90),0),(_xlfn.IFNA(VLOOKUP(Inschrijf_Hernieuwbare_Energie_Totaal[[#This Row],[Product]]&amp;", "&amp;Inschrijf_MKI_Totaal[[#Headers],[A5]],Database_Productkaarten[#All],48,FALSE),0)*Optimalisatie!J90)),0)</f>
        <v>0</v>
      </c>
      <c r="J403" s="91">
        <f>(IF(Optimalisatie!C90="Nieuwe Situatie",_xlfn.IFNA(IF(Optimalisatie!E90="Categorie_1_LCA_Producten",VLOOKUP(Inschrijf_Hernieuwbare_Energie_Totaal[[#This Row],[Product]],Categorie_1_Producten[#All],28,FALSE)*(Optimalisatie!R90),VLOOKUP(Inschrijf_Hernieuwbare_Energie_Totaal[[#This Row],[Product]]&amp;", "&amp;Inschrijf_Hernieuwbare_Energie_Totaal[[#Headers],[B1]],Database_Productkaarten[#All],47,FALSE)*Optimalisatie!J90),Baseline_Backlog!J403),0))</f>
        <v>0</v>
      </c>
      <c r="K403" s="91">
        <f>(IF(Optimalisatie!C90="Nieuwe Situatie",_xlfn.IFNA(SUM(Inschrijf_Hernieuwbare_Energie_Totaal[[#This Row],[A1]:[B1]],Inschrijf_Hernieuwbare_Energie_Totaal[[#This Row],[C1]:[D2]])*Optimalisatie!T90,0),0))</f>
        <v>0</v>
      </c>
      <c r="L403" s="91">
        <f>IF(Optimalisatie!C90="Bestaande situatie",IF(_xlfn.IFNA((VLOOKUP(Optimalisatie!AA90,Database_Asfalt_Verwijderset[#All],42,FALSE)*Optimalisatie!J90),0)+_xlfn.IFNA(VLOOKUP(Optimalisatie!AB90,Database_Brandstoffen[#All],42,FALSE)*((Optimalisatie!J90/Optimalisatie!AD90)*Optimalisatie!AC90),0)&gt;0,_xlfn.IFNA((VLOOKUP(Optimalisatie!AA90,Database_Asfalt_Verwijderset[#All],42,FALSE)*Optimalisatie!J90),0)+_xlfn.IFNA(VLOOKUP(Optimalisatie!AB90,Database_Brandstoffen[#All],42,FALSE)*((Optimalisatie!J90/Optimalisatie!AD90)*Optimalisatie!AC90),0),(_xlfn.IFNA(VLOOKUP(Inschrijf_Hernieuwbare_Energie_Totaal[[#This Row],[Product]]&amp;", "&amp;Inschrijf_MKI_Totaal[[#Headers],[C1]],Database_Productkaarten[#All],48,FALSE),0)*Optimalisatie!J90)),0)</f>
        <v>0</v>
      </c>
      <c r="M403" s="91">
        <f>(IF(Optimalisatie!C90="Bestaande Situatie",_xlfn.IFNA(VLOOKUP(Optimalisatie!AF90,Database_Transport[#All],42,FALSE)*(Optimalisatie!R90*Optimalisatie!AE90),Baseline_Backlog!M403),0))</f>
        <v>0</v>
      </c>
      <c r="N403" s="91">
        <f>(IF(Optimalisatie!C90="Bestaande Situatie",_xlfn.IFNA(VLOOKUP(Optimalisatie!AG90,Database_Asfalt_Verwerkingsset[#All],42,FALSE)*(Optimalisatie!J90/VLOOKUP(Optimalisatie!AG90,Database_Asfalt_Verwerkingsset[#All],42,FALSE)),Baseline_Backlog!N403),0))</f>
        <v>0</v>
      </c>
      <c r="O403" s="91">
        <f>(IF(Optimalisatie!C90="Bestaande Situatie",_xlfn.IFNA(VLOOKUP(Inschrijf_Hernieuwbare_Energie_Totaal[[#This Row],[Product]]&amp;", "&amp;Inschrijf_MKI_Totaal[[#Headers],[C4]],Database_Productkaarten[#All],48,FALSE)*Optimalisatie!J90,Baseline_Backlog!O403),0))</f>
        <v>0</v>
      </c>
      <c r="P403" s="91">
        <f>(IF(Optimalisatie!C90="Bestaande Situatie",_xlfn.IFNA(IF(Optimalisatie!E90="Categorie_1_LCA_Producten",VLOOKUP(Inschrijf_Hernieuwbare_Energie_Totaal[[#This Row],[Product]],Categorie_1_Producten[#All],24,FALSE)*(Optimalisatie!J90),VLOOKUP(Inschrijf_Hernieuwbare_Energie_Totaal[[#This Row],[Product]]&amp;", "&amp;Inschrijf_Hernieuwbare_Energie_Totaal[[#Headers],[D1]],Database_Productkaarten[#All],48,FALSE)*Optimalisatie!J90),Baseline_Backlog!P403),0))</f>
        <v>0</v>
      </c>
      <c r="Q403" s="91">
        <f>(IF(Optimalisatie!C90="Bestaande Situatie",_xlfn.IFNA(IF(Optimalisatie!E90="Categorie_1_LCA_Producten",VLOOKUP(Inschrijf_Hernieuwbare_Energie_Totaal[[#This Row],[Product]],Categorie_1_Producten[#All],25,FALSE)*(Optimalisatie!J90),VLOOKUP(Inschrijf_Hernieuwbare_Energie_Totaal[[#This Row],[Product]]&amp;", "&amp;Inschrijf_Hernieuwbare_Energie_Totaal[[#Headers],[D2]],Database_Productkaarten[#All],48,FALSE)*Optimalisatie!J90),Baseline_Backlog!Q403),0))</f>
        <v>0</v>
      </c>
      <c r="R403" s="91">
        <f>(IF(Optimalisatie!C90="Bestaande Situatie",_xlfn.IFNA(IF(Optimalisatie!E90="Categorie_1_LCA_Producten",VLOOKUP(Inschrijf_Hernieuwbare_Energie_Totaal[[#This Row],[Product]],Categorie_1_Producten[#All],29,FALSE)*(Optimalisatie!J90),VLOOKUP(Inschrijf_Hernieuwbare_Energie_Totaal[[#This Row],[Product]]&amp;", "&amp;Inschrijf_Hernieuwbare_Energie_Totaal[[#Headers],[D]],Database_Productkaarten[#All],48,FALSE)*Optimalisatie!J90),Baseline_Backlog!S403),0))</f>
        <v>0</v>
      </c>
      <c r="S403" s="91">
        <f>SUM(Inschrijf_Hernieuwbare_Energie_Totaal[[#This Row],[A1-A3]:[C4]])+Inschrijf_Hernieuwbare_Energie_Totaal[[#This Row],[D]]</f>
        <v>0</v>
      </c>
    </row>
    <row r="404" spans="2:19">
      <c r="B404" s="208">
        <f>Optimalisatie!B91</f>
        <v>0</v>
      </c>
      <c r="C404" s="1">
        <f>Optimalisatie!F91</f>
        <v>0</v>
      </c>
      <c r="D404" s="91">
        <f>(IF(Optimalisatie!C91="Nieuwe Situatie",_xlfn.IFNA(IF(Optimalisatie!E91="Categorie_1_LCA_Producten",VLOOKUP(Inschrijf_Hernieuwbare_Energie_Totaal[[#This Row],[Product]],Categorie_1_Producten[#All],20,FALSE)*(Optimalisatie!J91),VLOOKUP(Inschrijf_Hernieuwbare_Energie_Totaal[[#This Row],[Product]]&amp;", "&amp;Inschrijf_Hernieuwbare_Energie_Totaal[[#Headers],[A1]],Database_Productkaarten[#All],48,FALSE)*Optimalisatie!J91),Baseline_Backlog!D404),0))</f>
        <v>0</v>
      </c>
      <c r="E404" s="91">
        <f>(IF(Optimalisatie!C91="Nieuwe Situatie",_xlfn.IFNA(IF(Optimalisatie!E91="Categorie_1_LCA_Producten",VLOOKUP(Inschrijf_Hernieuwbare_Energie_Totaal[[#This Row],[Product]],Categorie_1_Producten[#All],21,FALSE)*(Optimalisatie!J91),VLOOKUP(Inschrijf_Hernieuwbare_Energie_Totaal[[#This Row],[Product]]&amp;", "&amp;Inschrijf_Hernieuwbare_Energie_Totaal[[#Headers],[A2]],Database_Productkaarten[#All],48,FALSE)*Optimalisatie!J91),Baseline_Backlog!E404),0))</f>
        <v>0</v>
      </c>
      <c r="F404" s="91">
        <f>(IF(Optimalisatie!C91="Nieuwe Situatie",_xlfn.IFNA(IF(Optimalisatie!E91="Categorie_1_LCA_Producten",VLOOKUP(Inschrijf_Hernieuwbare_Energie_Totaal[[#This Row],[Product]],Categorie_1_Producten[#All],22,FALSE)*(Optimalisatie!J91),VLOOKUP(Inschrijf_Hernieuwbare_Energie_Totaal[[#This Row],[Product]]&amp;", "&amp;Inschrijf_Hernieuwbare_Energie_Totaal[[#Headers],[A3]],Database_Productkaarten[#All],48,FALSE)*Optimalisatie!J91),Baseline_Backlog!F404),0))</f>
        <v>0</v>
      </c>
      <c r="G404" s="91">
        <f>(IF(Optimalisatie!C91="Nieuwe Situatie",_xlfn.IFNA(IF(Optimalisatie!E91="Categorie_1_LCA_Producten",VLOOKUP(Inschrijf_Hernieuwbare_Energie_Totaal[[#This Row],[Product]],Categorie_1_Producten[#All],27,FALSE)*(Optimalisatie!J91),VLOOKUP(Inschrijf_Hernieuwbare_Energie_Totaal[[#This Row],[Product]]&amp;", "&amp;Inschrijf_Hernieuwbare_Energie_Totaal[[#Headers],[A1-A3]],Database_Productkaarten[#All],48,FALSE)*Optimalisatie!J91),Baseline_Backlog!G404),0))</f>
        <v>0</v>
      </c>
      <c r="H404" s="91">
        <f>(IF(Optimalisatie!C91="Nieuwe Situatie",_xlfn.IFNA(VLOOKUP(Optimalisatie!V91,Database_Transport[#All],42,FALSE)*(Optimalisatie!R91*Optimalisatie!U91),Baseline_Backlog!H404),0))</f>
        <v>0</v>
      </c>
      <c r="I404" s="91">
        <f>IF(Optimalisatie!C91="Nieuwe situatie",IF(_xlfn.IFNA((VLOOKUP(Optimalisatie!W91,Database_Asfalt_Aanlegset[#All],42,FALSE)*Optimalisatie!J91),0)+_xlfn.IFNA(VLOOKUP(Optimalisatie!X91,Database_Brandstoffen[#All],42,FALSE)*((Optimalisatie!J91/Optimalisatie!Z91)*Optimalisatie!Y91),0)&gt;0,_xlfn.IFNA((VLOOKUP(Optimalisatie!W91,Database_Asfalt_Aanlegset[#All],42,FALSE)*Optimalisatie!J91),0)+_xlfn.IFNA(VLOOKUP(Optimalisatie!X91,Database_Brandstoffen[#All],42,FALSE)*((Optimalisatie!J91/Optimalisatie!Z91)*Optimalisatie!Y91),0),(_xlfn.IFNA(VLOOKUP(Inschrijf_Hernieuwbare_Energie_Totaal[[#This Row],[Product]]&amp;", "&amp;Inschrijf_MKI_Totaal[[#Headers],[A5]],Database_Productkaarten[#All],48,FALSE),0)*Optimalisatie!J91)),0)</f>
        <v>0</v>
      </c>
      <c r="J404" s="91">
        <f>(IF(Optimalisatie!C91="Nieuwe Situatie",_xlfn.IFNA(IF(Optimalisatie!E91="Categorie_1_LCA_Producten",VLOOKUP(Inschrijf_Hernieuwbare_Energie_Totaal[[#This Row],[Product]],Categorie_1_Producten[#All],28,FALSE)*(Optimalisatie!R91),VLOOKUP(Inschrijf_Hernieuwbare_Energie_Totaal[[#This Row],[Product]]&amp;", "&amp;Inschrijf_Hernieuwbare_Energie_Totaal[[#Headers],[B1]],Database_Productkaarten[#All],47,FALSE)*Optimalisatie!J91),Baseline_Backlog!J404),0))</f>
        <v>0</v>
      </c>
      <c r="K404" s="91">
        <f>(IF(Optimalisatie!C91="Nieuwe Situatie",_xlfn.IFNA(SUM(Inschrijf_Hernieuwbare_Energie_Totaal[[#This Row],[A1]:[B1]],Inschrijf_Hernieuwbare_Energie_Totaal[[#This Row],[C1]:[D2]])*Optimalisatie!T91,0),0))</f>
        <v>0</v>
      </c>
      <c r="L404" s="91">
        <f>IF(Optimalisatie!C91="Bestaande situatie",IF(_xlfn.IFNA((VLOOKUP(Optimalisatie!AA91,Database_Asfalt_Verwijderset[#All],42,FALSE)*Optimalisatie!J91),0)+_xlfn.IFNA(VLOOKUP(Optimalisatie!AB91,Database_Brandstoffen[#All],42,FALSE)*((Optimalisatie!J91/Optimalisatie!AD91)*Optimalisatie!AC91),0)&gt;0,_xlfn.IFNA((VLOOKUP(Optimalisatie!AA91,Database_Asfalt_Verwijderset[#All],42,FALSE)*Optimalisatie!J91),0)+_xlfn.IFNA(VLOOKUP(Optimalisatie!AB91,Database_Brandstoffen[#All],42,FALSE)*((Optimalisatie!J91/Optimalisatie!AD91)*Optimalisatie!AC91),0),(_xlfn.IFNA(VLOOKUP(Inschrijf_Hernieuwbare_Energie_Totaal[[#This Row],[Product]]&amp;", "&amp;Inschrijf_MKI_Totaal[[#Headers],[C1]],Database_Productkaarten[#All],48,FALSE),0)*Optimalisatie!J91)),0)</f>
        <v>0</v>
      </c>
      <c r="M404" s="91">
        <f>(IF(Optimalisatie!C91="Bestaande Situatie",_xlfn.IFNA(VLOOKUP(Optimalisatie!AF91,Database_Transport[#All],42,FALSE)*(Optimalisatie!R91*Optimalisatie!AE91),Baseline_Backlog!M404),0))</f>
        <v>0</v>
      </c>
      <c r="N404" s="91">
        <f>(IF(Optimalisatie!C91="Bestaande Situatie",_xlfn.IFNA(VLOOKUP(Optimalisatie!AG91,Database_Asfalt_Verwerkingsset[#All],42,FALSE)*(Optimalisatie!J91/VLOOKUP(Optimalisatie!AG91,Database_Asfalt_Verwerkingsset[#All],42,FALSE)),Baseline_Backlog!N404),0))</f>
        <v>0</v>
      </c>
      <c r="O404" s="91">
        <f>(IF(Optimalisatie!C91="Bestaande Situatie",_xlfn.IFNA(VLOOKUP(Inschrijf_Hernieuwbare_Energie_Totaal[[#This Row],[Product]]&amp;", "&amp;Inschrijf_MKI_Totaal[[#Headers],[C4]],Database_Productkaarten[#All],48,FALSE)*Optimalisatie!J91,Baseline_Backlog!O404),0))</f>
        <v>0</v>
      </c>
      <c r="P404" s="91">
        <f>(IF(Optimalisatie!C91="Bestaande Situatie",_xlfn.IFNA(IF(Optimalisatie!E91="Categorie_1_LCA_Producten",VLOOKUP(Inschrijf_Hernieuwbare_Energie_Totaal[[#This Row],[Product]],Categorie_1_Producten[#All],24,FALSE)*(Optimalisatie!J91),VLOOKUP(Inschrijf_Hernieuwbare_Energie_Totaal[[#This Row],[Product]]&amp;", "&amp;Inschrijf_Hernieuwbare_Energie_Totaal[[#Headers],[D1]],Database_Productkaarten[#All],48,FALSE)*Optimalisatie!J91),Baseline_Backlog!P404),0))</f>
        <v>0</v>
      </c>
      <c r="Q404" s="91">
        <f>(IF(Optimalisatie!C91="Bestaande Situatie",_xlfn.IFNA(IF(Optimalisatie!E91="Categorie_1_LCA_Producten",VLOOKUP(Inschrijf_Hernieuwbare_Energie_Totaal[[#This Row],[Product]],Categorie_1_Producten[#All],25,FALSE)*(Optimalisatie!J91),VLOOKUP(Inschrijf_Hernieuwbare_Energie_Totaal[[#This Row],[Product]]&amp;", "&amp;Inschrijf_Hernieuwbare_Energie_Totaal[[#Headers],[D2]],Database_Productkaarten[#All],48,FALSE)*Optimalisatie!J91),Baseline_Backlog!Q404),0))</f>
        <v>0</v>
      </c>
      <c r="R404" s="91">
        <f>(IF(Optimalisatie!C91="Bestaande Situatie",_xlfn.IFNA(IF(Optimalisatie!E91="Categorie_1_LCA_Producten",VLOOKUP(Inschrijf_Hernieuwbare_Energie_Totaal[[#This Row],[Product]],Categorie_1_Producten[#All],29,FALSE)*(Optimalisatie!J91),VLOOKUP(Inschrijf_Hernieuwbare_Energie_Totaal[[#This Row],[Product]]&amp;", "&amp;Inschrijf_Hernieuwbare_Energie_Totaal[[#Headers],[D]],Database_Productkaarten[#All],48,FALSE)*Optimalisatie!J91),Baseline_Backlog!S404),0))</f>
        <v>0</v>
      </c>
      <c r="S404" s="91">
        <f>SUM(Inschrijf_Hernieuwbare_Energie_Totaal[[#This Row],[A1-A3]:[C4]])+Inschrijf_Hernieuwbare_Energie_Totaal[[#This Row],[D]]</f>
        <v>0</v>
      </c>
    </row>
    <row r="405" spans="2:19">
      <c r="B405" s="208">
        <f>Optimalisatie!B92</f>
        <v>0</v>
      </c>
      <c r="C405" s="1">
        <f>Optimalisatie!F92</f>
        <v>0</v>
      </c>
      <c r="D405" s="91">
        <f>(IF(Optimalisatie!C92="Nieuwe Situatie",_xlfn.IFNA(IF(Optimalisatie!E92="Categorie_1_LCA_Producten",VLOOKUP(Inschrijf_Hernieuwbare_Energie_Totaal[[#This Row],[Product]],Categorie_1_Producten[#All],20,FALSE)*(Optimalisatie!J92),VLOOKUP(Inschrijf_Hernieuwbare_Energie_Totaal[[#This Row],[Product]]&amp;", "&amp;Inschrijf_Hernieuwbare_Energie_Totaal[[#Headers],[A1]],Database_Productkaarten[#All],48,FALSE)*Optimalisatie!J92),Baseline_Backlog!D405),0))</f>
        <v>0</v>
      </c>
      <c r="E405" s="91">
        <f>(IF(Optimalisatie!C92="Nieuwe Situatie",_xlfn.IFNA(IF(Optimalisatie!E92="Categorie_1_LCA_Producten",VLOOKUP(Inschrijf_Hernieuwbare_Energie_Totaal[[#This Row],[Product]],Categorie_1_Producten[#All],21,FALSE)*(Optimalisatie!J92),VLOOKUP(Inschrijf_Hernieuwbare_Energie_Totaal[[#This Row],[Product]]&amp;", "&amp;Inschrijf_Hernieuwbare_Energie_Totaal[[#Headers],[A2]],Database_Productkaarten[#All],48,FALSE)*Optimalisatie!J92),Baseline_Backlog!E405),0))</f>
        <v>0</v>
      </c>
      <c r="F405" s="91">
        <f>(IF(Optimalisatie!C92="Nieuwe Situatie",_xlfn.IFNA(IF(Optimalisatie!E92="Categorie_1_LCA_Producten",VLOOKUP(Inschrijf_Hernieuwbare_Energie_Totaal[[#This Row],[Product]],Categorie_1_Producten[#All],22,FALSE)*(Optimalisatie!J92),VLOOKUP(Inschrijf_Hernieuwbare_Energie_Totaal[[#This Row],[Product]]&amp;", "&amp;Inschrijf_Hernieuwbare_Energie_Totaal[[#Headers],[A3]],Database_Productkaarten[#All],48,FALSE)*Optimalisatie!J92),Baseline_Backlog!F405),0))</f>
        <v>0</v>
      </c>
      <c r="G405" s="91">
        <f>(IF(Optimalisatie!C92="Nieuwe Situatie",_xlfn.IFNA(IF(Optimalisatie!E92="Categorie_1_LCA_Producten",VLOOKUP(Inschrijf_Hernieuwbare_Energie_Totaal[[#This Row],[Product]],Categorie_1_Producten[#All],27,FALSE)*(Optimalisatie!J92),VLOOKUP(Inschrijf_Hernieuwbare_Energie_Totaal[[#This Row],[Product]]&amp;", "&amp;Inschrijf_Hernieuwbare_Energie_Totaal[[#Headers],[A1-A3]],Database_Productkaarten[#All],48,FALSE)*Optimalisatie!J92),Baseline_Backlog!G405),0))</f>
        <v>0</v>
      </c>
      <c r="H405" s="91">
        <f>(IF(Optimalisatie!C92="Nieuwe Situatie",_xlfn.IFNA(VLOOKUP(Optimalisatie!V92,Database_Transport[#All],42,FALSE)*(Optimalisatie!R92*Optimalisatie!U92),Baseline_Backlog!H405),0))</f>
        <v>0</v>
      </c>
      <c r="I405" s="91">
        <f>IF(Optimalisatie!C92="Nieuwe situatie",IF(_xlfn.IFNA((VLOOKUP(Optimalisatie!W92,Database_Asfalt_Aanlegset[#All],42,FALSE)*Optimalisatie!J92),0)+_xlfn.IFNA(VLOOKUP(Optimalisatie!X92,Database_Brandstoffen[#All],42,FALSE)*((Optimalisatie!J92/Optimalisatie!Z92)*Optimalisatie!Y92),0)&gt;0,_xlfn.IFNA((VLOOKUP(Optimalisatie!W92,Database_Asfalt_Aanlegset[#All],42,FALSE)*Optimalisatie!J92),0)+_xlfn.IFNA(VLOOKUP(Optimalisatie!X92,Database_Brandstoffen[#All],42,FALSE)*((Optimalisatie!J92/Optimalisatie!Z92)*Optimalisatie!Y92),0),(_xlfn.IFNA(VLOOKUP(Inschrijf_Hernieuwbare_Energie_Totaal[[#This Row],[Product]]&amp;", "&amp;Inschrijf_MKI_Totaal[[#Headers],[A5]],Database_Productkaarten[#All],48,FALSE),0)*Optimalisatie!J92)),0)</f>
        <v>0</v>
      </c>
      <c r="J405" s="91">
        <f>(IF(Optimalisatie!C92="Nieuwe Situatie",_xlfn.IFNA(IF(Optimalisatie!E92="Categorie_1_LCA_Producten",VLOOKUP(Inschrijf_Hernieuwbare_Energie_Totaal[[#This Row],[Product]],Categorie_1_Producten[#All],28,FALSE)*(Optimalisatie!R92),VLOOKUP(Inschrijf_Hernieuwbare_Energie_Totaal[[#This Row],[Product]]&amp;", "&amp;Inschrijf_Hernieuwbare_Energie_Totaal[[#Headers],[B1]],Database_Productkaarten[#All],47,FALSE)*Optimalisatie!J92),Baseline_Backlog!J405),0))</f>
        <v>0</v>
      </c>
      <c r="K405" s="91">
        <f>(IF(Optimalisatie!C92="Nieuwe Situatie",_xlfn.IFNA(SUM(Inschrijf_Hernieuwbare_Energie_Totaal[[#This Row],[A1]:[B1]],Inschrijf_Hernieuwbare_Energie_Totaal[[#This Row],[C1]:[D2]])*Optimalisatie!T92,0),0))</f>
        <v>0</v>
      </c>
      <c r="L405" s="91">
        <f>IF(Optimalisatie!C92="Bestaande situatie",IF(_xlfn.IFNA((VLOOKUP(Optimalisatie!AA92,Database_Asfalt_Verwijderset[#All],42,FALSE)*Optimalisatie!J92),0)+_xlfn.IFNA(VLOOKUP(Optimalisatie!AB92,Database_Brandstoffen[#All],42,FALSE)*((Optimalisatie!J92/Optimalisatie!AD92)*Optimalisatie!AC92),0)&gt;0,_xlfn.IFNA((VLOOKUP(Optimalisatie!AA92,Database_Asfalt_Verwijderset[#All],42,FALSE)*Optimalisatie!J92),0)+_xlfn.IFNA(VLOOKUP(Optimalisatie!AB92,Database_Brandstoffen[#All],42,FALSE)*((Optimalisatie!J92/Optimalisatie!AD92)*Optimalisatie!AC92),0),(_xlfn.IFNA(VLOOKUP(Inschrijf_Hernieuwbare_Energie_Totaal[[#This Row],[Product]]&amp;", "&amp;Inschrijf_MKI_Totaal[[#Headers],[C1]],Database_Productkaarten[#All],48,FALSE),0)*Optimalisatie!J92)),0)</f>
        <v>0</v>
      </c>
      <c r="M405" s="91">
        <f>(IF(Optimalisatie!C92="Bestaande Situatie",_xlfn.IFNA(VLOOKUP(Optimalisatie!AF92,Database_Transport[#All],42,FALSE)*(Optimalisatie!R92*Optimalisatie!AE92),Baseline_Backlog!M405),0))</f>
        <v>0</v>
      </c>
      <c r="N405" s="91">
        <f>(IF(Optimalisatie!C92="Bestaande Situatie",_xlfn.IFNA(VLOOKUP(Optimalisatie!AG92,Database_Asfalt_Verwerkingsset[#All],42,FALSE)*(Optimalisatie!J92/VLOOKUP(Optimalisatie!AG92,Database_Asfalt_Verwerkingsset[#All],42,FALSE)),Baseline_Backlog!N405),0))</f>
        <v>0</v>
      </c>
      <c r="O405" s="91">
        <f>(IF(Optimalisatie!C92="Bestaande Situatie",_xlfn.IFNA(VLOOKUP(Inschrijf_Hernieuwbare_Energie_Totaal[[#This Row],[Product]]&amp;", "&amp;Inschrijf_MKI_Totaal[[#Headers],[C4]],Database_Productkaarten[#All],48,FALSE)*Optimalisatie!J92,Baseline_Backlog!O405),0))</f>
        <v>0</v>
      </c>
      <c r="P405" s="91">
        <f>(IF(Optimalisatie!C92="Bestaande Situatie",_xlfn.IFNA(IF(Optimalisatie!E92="Categorie_1_LCA_Producten",VLOOKUP(Inschrijf_Hernieuwbare_Energie_Totaal[[#This Row],[Product]],Categorie_1_Producten[#All],24,FALSE)*(Optimalisatie!J92),VLOOKUP(Inschrijf_Hernieuwbare_Energie_Totaal[[#This Row],[Product]]&amp;", "&amp;Inschrijf_Hernieuwbare_Energie_Totaal[[#Headers],[D1]],Database_Productkaarten[#All],48,FALSE)*Optimalisatie!J92),Baseline_Backlog!P405),0))</f>
        <v>0</v>
      </c>
      <c r="Q405" s="91">
        <f>(IF(Optimalisatie!C92="Bestaande Situatie",_xlfn.IFNA(IF(Optimalisatie!E92="Categorie_1_LCA_Producten",VLOOKUP(Inschrijf_Hernieuwbare_Energie_Totaal[[#This Row],[Product]],Categorie_1_Producten[#All],25,FALSE)*(Optimalisatie!J92),VLOOKUP(Inschrijf_Hernieuwbare_Energie_Totaal[[#This Row],[Product]]&amp;", "&amp;Inschrijf_Hernieuwbare_Energie_Totaal[[#Headers],[D2]],Database_Productkaarten[#All],48,FALSE)*Optimalisatie!J92),Baseline_Backlog!Q405),0))</f>
        <v>0</v>
      </c>
      <c r="R405" s="91">
        <f>(IF(Optimalisatie!C92="Bestaande Situatie",_xlfn.IFNA(IF(Optimalisatie!E92="Categorie_1_LCA_Producten",VLOOKUP(Inschrijf_Hernieuwbare_Energie_Totaal[[#This Row],[Product]],Categorie_1_Producten[#All],29,FALSE)*(Optimalisatie!J92),VLOOKUP(Inschrijf_Hernieuwbare_Energie_Totaal[[#This Row],[Product]]&amp;", "&amp;Inschrijf_Hernieuwbare_Energie_Totaal[[#Headers],[D]],Database_Productkaarten[#All],48,FALSE)*Optimalisatie!J92),Baseline_Backlog!S405),0))</f>
        <v>0</v>
      </c>
      <c r="S405" s="91">
        <f>SUM(Inschrijf_Hernieuwbare_Energie_Totaal[[#This Row],[A1-A3]:[C4]])+Inschrijf_Hernieuwbare_Energie_Totaal[[#This Row],[D]]</f>
        <v>0</v>
      </c>
    </row>
    <row r="406" spans="2:19">
      <c r="B406" s="208">
        <f>Optimalisatie!B93</f>
        <v>0</v>
      </c>
      <c r="C406" s="1">
        <f>Optimalisatie!F93</f>
        <v>0</v>
      </c>
      <c r="D406" s="91">
        <f>(IF(Optimalisatie!C93="Nieuwe Situatie",_xlfn.IFNA(IF(Optimalisatie!E93="Categorie_1_LCA_Producten",VLOOKUP(Inschrijf_Hernieuwbare_Energie_Totaal[[#This Row],[Product]],Categorie_1_Producten[#All],20,FALSE)*(Optimalisatie!J93),VLOOKUP(Inschrijf_Hernieuwbare_Energie_Totaal[[#This Row],[Product]]&amp;", "&amp;Inschrijf_Hernieuwbare_Energie_Totaal[[#Headers],[A1]],Database_Productkaarten[#All],48,FALSE)*Optimalisatie!J93),Baseline_Backlog!D406),0))</f>
        <v>0</v>
      </c>
      <c r="E406" s="91">
        <f>(IF(Optimalisatie!C93="Nieuwe Situatie",_xlfn.IFNA(IF(Optimalisatie!E93="Categorie_1_LCA_Producten",VLOOKUP(Inschrijf_Hernieuwbare_Energie_Totaal[[#This Row],[Product]],Categorie_1_Producten[#All],21,FALSE)*(Optimalisatie!J93),VLOOKUP(Inschrijf_Hernieuwbare_Energie_Totaal[[#This Row],[Product]]&amp;", "&amp;Inschrijf_Hernieuwbare_Energie_Totaal[[#Headers],[A2]],Database_Productkaarten[#All],48,FALSE)*Optimalisatie!J93),Baseline_Backlog!E406),0))</f>
        <v>0</v>
      </c>
      <c r="F406" s="91">
        <f>(IF(Optimalisatie!C93="Nieuwe Situatie",_xlfn.IFNA(IF(Optimalisatie!E93="Categorie_1_LCA_Producten",VLOOKUP(Inschrijf_Hernieuwbare_Energie_Totaal[[#This Row],[Product]],Categorie_1_Producten[#All],22,FALSE)*(Optimalisatie!J93),VLOOKUP(Inschrijf_Hernieuwbare_Energie_Totaal[[#This Row],[Product]]&amp;", "&amp;Inschrijf_Hernieuwbare_Energie_Totaal[[#Headers],[A3]],Database_Productkaarten[#All],48,FALSE)*Optimalisatie!J93),Baseline_Backlog!F406),0))</f>
        <v>0</v>
      </c>
      <c r="G406" s="91">
        <f>(IF(Optimalisatie!C93="Nieuwe Situatie",_xlfn.IFNA(IF(Optimalisatie!E93="Categorie_1_LCA_Producten",VLOOKUP(Inschrijf_Hernieuwbare_Energie_Totaal[[#This Row],[Product]],Categorie_1_Producten[#All],27,FALSE)*(Optimalisatie!J93),VLOOKUP(Inschrijf_Hernieuwbare_Energie_Totaal[[#This Row],[Product]]&amp;", "&amp;Inschrijf_Hernieuwbare_Energie_Totaal[[#Headers],[A1-A3]],Database_Productkaarten[#All],48,FALSE)*Optimalisatie!J93),Baseline_Backlog!G406),0))</f>
        <v>0</v>
      </c>
      <c r="H406" s="91">
        <f>(IF(Optimalisatie!C93="Nieuwe Situatie",_xlfn.IFNA(VLOOKUP(Optimalisatie!V93,Database_Transport[#All],42,FALSE)*(Optimalisatie!R93*Optimalisatie!U93),Baseline_Backlog!H406),0))</f>
        <v>0</v>
      </c>
      <c r="I406" s="91">
        <f>IF(Optimalisatie!C93="Nieuwe situatie",IF(_xlfn.IFNA((VLOOKUP(Optimalisatie!W93,Database_Asfalt_Aanlegset[#All],42,FALSE)*Optimalisatie!J93),0)+_xlfn.IFNA(VLOOKUP(Optimalisatie!X93,Database_Brandstoffen[#All],42,FALSE)*((Optimalisatie!J93/Optimalisatie!Z93)*Optimalisatie!Y93),0)&gt;0,_xlfn.IFNA((VLOOKUP(Optimalisatie!W93,Database_Asfalt_Aanlegset[#All],42,FALSE)*Optimalisatie!J93),0)+_xlfn.IFNA(VLOOKUP(Optimalisatie!X93,Database_Brandstoffen[#All],42,FALSE)*((Optimalisatie!J93/Optimalisatie!Z93)*Optimalisatie!Y93),0),(_xlfn.IFNA(VLOOKUP(Inschrijf_Hernieuwbare_Energie_Totaal[[#This Row],[Product]]&amp;", "&amp;Inschrijf_MKI_Totaal[[#Headers],[A5]],Database_Productkaarten[#All],48,FALSE),0)*Optimalisatie!J93)),0)</f>
        <v>0</v>
      </c>
      <c r="J406" s="91">
        <f>(IF(Optimalisatie!C93="Nieuwe Situatie",_xlfn.IFNA(IF(Optimalisatie!E93="Categorie_1_LCA_Producten",VLOOKUP(Inschrijf_Hernieuwbare_Energie_Totaal[[#This Row],[Product]],Categorie_1_Producten[#All],28,FALSE)*(Optimalisatie!R93),VLOOKUP(Inschrijf_Hernieuwbare_Energie_Totaal[[#This Row],[Product]]&amp;", "&amp;Inschrijf_Hernieuwbare_Energie_Totaal[[#Headers],[B1]],Database_Productkaarten[#All],47,FALSE)*Optimalisatie!J93),Baseline_Backlog!J406),0))</f>
        <v>0</v>
      </c>
      <c r="K406" s="91">
        <f>(IF(Optimalisatie!C93="Nieuwe Situatie",_xlfn.IFNA(SUM(Inschrijf_Hernieuwbare_Energie_Totaal[[#This Row],[A1]:[B1]],Inschrijf_Hernieuwbare_Energie_Totaal[[#This Row],[C1]:[D2]])*Optimalisatie!T93,0),0))</f>
        <v>0</v>
      </c>
      <c r="L406" s="91">
        <f>IF(Optimalisatie!C93="Bestaande situatie",IF(_xlfn.IFNA((VLOOKUP(Optimalisatie!AA93,Database_Asfalt_Verwijderset[#All],42,FALSE)*Optimalisatie!J93),0)+_xlfn.IFNA(VLOOKUP(Optimalisatie!AB93,Database_Brandstoffen[#All],42,FALSE)*((Optimalisatie!J93/Optimalisatie!AD93)*Optimalisatie!AC93),0)&gt;0,_xlfn.IFNA((VLOOKUP(Optimalisatie!AA93,Database_Asfalt_Verwijderset[#All],42,FALSE)*Optimalisatie!J93),0)+_xlfn.IFNA(VLOOKUP(Optimalisatie!AB93,Database_Brandstoffen[#All],42,FALSE)*((Optimalisatie!J93/Optimalisatie!AD93)*Optimalisatie!AC93),0),(_xlfn.IFNA(VLOOKUP(Inschrijf_Hernieuwbare_Energie_Totaal[[#This Row],[Product]]&amp;", "&amp;Inschrijf_MKI_Totaal[[#Headers],[C1]],Database_Productkaarten[#All],48,FALSE),0)*Optimalisatie!J93)),0)</f>
        <v>0</v>
      </c>
      <c r="M406" s="91">
        <f>(IF(Optimalisatie!C93="Bestaande Situatie",_xlfn.IFNA(VLOOKUP(Optimalisatie!AF93,Database_Transport[#All],42,FALSE)*(Optimalisatie!R93*Optimalisatie!AE93),Baseline_Backlog!M406),0))</f>
        <v>0</v>
      </c>
      <c r="N406" s="91">
        <f>(IF(Optimalisatie!C93="Bestaande Situatie",_xlfn.IFNA(VLOOKUP(Optimalisatie!AG93,Database_Asfalt_Verwerkingsset[#All],42,FALSE)*(Optimalisatie!J93/VLOOKUP(Optimalisatie!AG93,Database_Asfalt_Verwerkingsset[#All],42,FALSE)),Baseline_Backlog!N406),0))</f>
        <v>0</v>
      </c>
      <c r="O406" s="91">
        <f>(IF(Optimalisatie!C93="Bestaande Situatie",_xlfn.IFNA(VLOOKUP(Inschrijf_Hernieuwbare_Energie_Totaal[[#This Row],[Product]]&amp;", "&amp;Inschrijf_MKI_Totaal[[#Headers],[C4]],Database_Productkaarten[#All],48,FALSE)*Optimalisatie!J93,Baseline_Backlog!O406),0))</f>
        <v>0</v>
      </c>
      <c r="P406" s="91">
        <f>(IF(Optimalisatie!C93="Bestaande Situatie",_xlfn.IFNA(IF(Optimalisatie!E93="Categorie_1_LCA_Producten",VLOOKUP(Inschrijf_Hernieuwbare_Energie_Totaal[[#This Row],[Product]],Categorie_1_Producten[#All],24,FALSE)*(Optimalisatie!J93),VLOOKUP(Inschrijf_Hernieuwbare_Energie_Totaal[[#This Row],[Product]]&amp;", "&amp;Inschrijf_Hernieuwbare_Energie_Totaal[[#Headers],[D1]],Database_Productkaarten[#All],48,FALSE)*Optimalisatie!J93),Baseline_Backlog!P406),0))</f>
        <v>0</v>
      </c>
      <c r="Q406" s="91">
        <f>(IF(Optimalisatie!C93="Bestaande Situatie",_xlfn.IFNA(IF(Optimalisatie!E93="Categorie_1_LCA_Producten",VLOOKUP(Inschrijf_Hernieuwbare_Energie_Totaal[[#This Row],[Product]],Categorie_1_Producten[#All],25,FALSE)*(Optimalisatie!J93),VLOOKUP(Inschrijf_Hernieuwbare_Energie_Totaal[[#This Row],[Product]]&amp;", "&amp;Inschrijf_Hernieuwbare_Energie_Totaal[[#Headers],[D2]],Database_Productkaarten[#All],48,FALSE)*Optimalisatie!J93),Baseline_Backlog!Q406),0))</f>
        <v>0</v>
      </c>
      <c r="R406" s="91">
        <f>(IF(Optimalisatie!C93="Bestaande Situatie",_xlfn.IFNA(IF(Optimalisatie!E93="Categorie_1_LCA_Producten",VLOOKUP(Inschrijf_Hernieuwbare_Energie_Totaal[[#This Row],[Product]],Categorie_1_Producten[#All],29,FALSE)*(Optimalisatie!J93),VLOOKUP(Inschrijf_Hernieuwbare_Energie_Totaal[[#This Row],[Product]]&amp;", "&amp;Inschrijf_Hernieuwbare_Energie_Totaal[[#Headers],[D]],Database_Productkaarten[#All],48,FALSE)*Optimalisatie!J93),Baseline_Backlog!S406),0))</f>
        <v>0</v>
      </c>
      <c r="S406" s="91">
        <f>SUM(Inschrijf_Hernieuwbare_Energie_Totaal[[#This Row],[A1-A3]:[C4]])+Inschrijf_Hernieuwbare_Energie_Totaal[[#This Row],[D]]</f>
        <v>0</v>
      </c>
    </row>
    <row r="407" spans="2:19">
      <c r="B407" s="208">
        <f>Optimalisatie!B94</f>
        <v>0</v>
      </c>
      <c r="C407" s="1">
        <f>Optimalisatie!F94</f>
        <v>0</v>
      </c>
      <c r="D407" s="91">
        <f>(IF(Optimalisatie!C94="Nieuwe Situatie",_xlfn.IFNA(IF(Optimalisatie!E94="Categorie_1_LCA_Producten",VLOOKUP(Inschrijf_Hernieuwbare_Energie_Totaal[[#This Row],[Product]],Categorie_1_Producten[#All],20,FALSE)*(Optimalisatie!J94),VLOOKUP(Inschrijf_Hernieuwbare_Energie_Totaal[[#This Row],[Product]]&amp;", "&amp;Inschrijf_Hernieuwbare_Energie_Totaal[[#Headers],[A1]],Database_Productkaarten[#All],48,FALSE)*Optimalisatie!J94),Baseline_Backlog!D407),0))</f>
        <v>0</v>
      </c>
      <c r="E407" s="91">
        <f>(IF(Optimalisatie!C94="Nieuwe Situatie",_xlfn.IFNA(IF(Optimalisatie!E94="Categorie_1_LCA_Producten",VLOOKUP(Inschrijf_Hernieuwbare_Energie_Totaal[[#This Row],[Product]],Categorie_1_Producten[#All],21,FALSE)*(Optimalisatie!J94),VLOOKUP(Inschrijf_Hernieuwbare_Energie_Totaal[[#This Row],[Product]]&amp;", "&amp;Inschrijf_Hernieuwbare_Energie_Totaal[[#Headers],[A2]],Database_Productkaarten[#All],48,FALSE)*Optimalisatie!J94),Baseline_Backlog!E407),0))</f>
        <v>0</v>
      </c>
      <c r="F407" s="91">
        <f>(IF(Optimalisatie!C94="Nieuwe Situatie",_xlfn.IFNA(IF(Optimalisatie!E94="Categorie_1_LCA_Producten",VLOOKUP(Inschrijf_Hernieuwbare_Energie_Totaal[[#This Row],[Product]],Categorie_1_Producten[#All],22,FALSE)*(Optimalisatie!J94),VLOOKUP(Inschrijf_Hernieuwbare_Energie_Totaal[[#This Row],[Product]]&amp;", "&amp;Inschrijf_Hernieuwbare_Energie_Totaal[[#Headers],[A3]],Database_Productkaarten[#All],48,FALSE)*Optimalisatie!J94),Baseline_Backlog!F407),0))</f>
        <v>0</v>
      </c>
      <c r="G407" s="91">
        <f>(IF(Optimalisatie!C94="Nieuwe Situatie",_xlfn.IFNA(IF(Optimalisatie!E94="Categorie_1_LCA_Producten",VLOOKUP(Inschrijf_Hernieuwbare_Energie_Totaal[[#This Row],[Product]],Categorie_1_Producten[#All],27,FALSE)*(Optimalisatie!J94),VLOOKUP(Inschrijf_Hernieuwbare_Energie_Totaal[[#This Row],[Product]]&amp;", "&amp;Inschrijf_Hernieuwbare_Energie_Totaal[[#Headers],[A1-A3]],Database_Productkaarten[#All],48,FALSE)*Optimalisatie!J94),Baseline_Backlog!G407),0))</f>
        <v>0</v>
      </c>
      <c r="H407" s="91">
        <f>(IF(Optimalisatie!C94="Nieuwe Situatie",_xlfn.IFNA(VLOOKUP(Optimalisatie!V94,Database_Transport[#All],42,FALSE)*(Optimalisatie!R94*Optimalisatie!U94),Baseline_Backlog!H407),0))</f>
        <v>0</v>
      </c>
      <c r="I407" s="91">
        <f>IF(Optimalisatie!C94="Nieuwe situatie",IF(_xlfn.IFNA((VLOOKUP(Optimalisatie!W94,Database_Asfalt_Aanlegset[#All],42,FALSE)*Optimalisatie!J94),0)+_xlfn.IFNA(VLOOKUP(Optimalisatie!X94,Database_Brandstoffen[#All],42,FALSE)*((Optimalisatie!J94/Optimalisatie!Z94)*Optimalisatie!Y94),0)&gt;0,_xlfn.IFNA((VLOOKUP(Optimalisatie!W94,Database_Asfalt_Aanlegset[#All],42,FALSE)*Optimalisatie!J94),0)+_xlfn.IFNA(VLOOKUP(Optimalisatie!X94,Database_Brandstoffen[#All],42,FALSE)*((Optimalisatie!J94/Optimalisatie!Z94)*Optimalisatie!Y94),0),(_xlfn.IFNA(VLOOKUP(Inschrijf_Hernieuwbare_Energie_Totaal[[#This Row],[Product]]&amp;", "&amp;Inschrijf_MKI_Totaal[[#Headers],[A5]],Database_Productkaarten[#All],48,FALSE),0)*Optimalisatie!J94)),0)</f>
        <v>0</v>
      </c>
      <c r="J407" s="91">
        <f>(IF(Optimalisatie!C94="Nieuwe Situatie",_xlfn.IFNA(IF(Optimalisatie!E94="Categorie_1_LCA_Producten",VLOOKUP(Inschrijf_Hernieuwbare_Energie_Totaal[[#This Row],[Product]],Categorie_1_Producten[#All],28,FALSE)*(Optimalisatie!R94),VLOOKUP(Inschrijf_Hernieuwbare_Energie_Totaal[[#This Row],[Product]]&amp;", "&amp;Inschrijf_Hernieuwbare_Energie_Totaal[[#Headers],[B1]],Database_Productkaarten[#All],47,FALSE)*Optimalisatie!J94),Baseline_Backlog!J407),0))</f>
        <v>0</v>
      </c>
      <c r="K407" s="91">
        <f>(IF(Optimalisatie!C94="Nieuwe Situatie",_xlfn.IFNA(SUM(Inschrijf_Hernieuwbare_Energie_Totaal[[#This Row],[A1]:[B1]],Inschrijf_Hernieuwbare_Energie_Totaal[[#This Row],[C1]:[D2]])*Optimalisatie!T94,0),0))</f>
        <v>0</v>
      </c>
      <c r="L407" s="91">
        <f>IF(Optimalisatie!C94="Bestaande situatie",IF(_xlfn.IFNA((VLOOKUP(Optimalisatie!AA94,Database_Asfalt_Verwijderset[#All],42,FALSE)*Optimalisatie!J94),0)+_xlfn.IFNA(VLOOKUP(Optimalisatie!AB94,Database_Brandstoffen[#All],42,FALSE)*((Optimalisatie!J94/Optimalisatie!AD94)*Optimalisatie!AC94),0)&gt;0,_xlfn.IFNA((VLOOKUP(Optimalisatie!AA94,Database_Asfalt_Verwijderset[#All],42,FALSE)*Optimalisatie!J94),0)+_xlfn.IFNA(VLOOKUP(Optimalisatie!AB94,Database_Brandstoffen[#All],42,FALSE)*((Optimalisatie!J94/Optimalisatie!AD94)*Optimalisatie!AC94),0),(_xlfn.IFNA(VLOOKUP(Inschrijf_Hernieuwbare_Energie_Totaal[[#This Row],[Product]]&amp;", "&amp;Inschrijf_MKI_Totaal[[#Headers],[C1]],Database_Productkaarten[#All],48,FALSE),0)*Optimalisatie!J94)),0)</f>
        <v>0</v>
      </c>
      <c r="M407" s="91">
        <f>(IF(Optimalisatie!C94="Bestaande Situatie",_xlfn.IFNA(VLOOKUP(Optimalisatie!AF94,Database_Transport[#All],42,FALSE)*(Optimalisatie!R94*Optimalisatie!AE94),Baseline_Backlog!M407),0))</f>
        <v>0</v>
      </c>
      <c r="N407" s="91">
        <f>(IF(Optimalisatie!C94="Bestaande Situatie",_xlfn.IFNA(VLOOKUP(Optimalisatie!AG94,Database_Asfalt_Verwerkingsset[#All],42,FALSE)*(Optimalisatie!J94/VLOOKUP(Optimalisatie!AG94,Database_Asfalt_Verwerkingsset[#All],42,FALSE)),Baseline_Backlog!N407),0))</f>
        <v>0</v>
      </c>
      <c r="O407" s="91">
        <f>(IF(Optimalisatie!C94="Bestaande Situatie",_xlfn.IFNA(VLOOKUP(Inschrijf_Hernieuwbare_Energie_Totaal[[#This Row],[Product]]&amp;", "&amp;Inschrijf_MKI_Totaal[[#Headers],[C4]],Database_Productkaarten[#All],48,FALSE)*Optimalisatie!J94,Baseline_Backlog!O407),0))</f>
        <v>0</v>
      </c>
      <c r="P407" s="91">
        <f>(IF(Optimalisatie!C94="Bestaande Situatie",_xlfn.IFNA(IF(Optimalisatie!E94="Categorie_1_LCA_Producten",VLOOKUP(Inschrijf_Hernieuwbare_Energie_Totaal[[#This Row],[Product]],Categorie_1_Producten[#All],24,FALSE)*(Optimalisatie!J94),VLOOKUP(Inschrijf_Hernieuwbare_Energie_Totaal[[#This Row],[Product]]&amp;", "&amp;Inschrijf_Hernieuwbare_Energie_Totaal[[#Headers],[D1]],Database_Productkaarten[#All],48,FALSE)*Optimalisatie!J94),Baseline_Backlog!P407),0))</f>
        <v>0</v>
      </c>
      <c r="Q407" s="91">
        <f>(IF(Optimalisatie!C94="Bestaande Situatie",_xlfn.IFNA(IF(Optimalisatie!E94="Categorie_1_LCA_Producten",VLOOKUP(Inschrijf_Hernieuwbare_Energie_Totaal[[#This Row],[Product]],Categorie_1_Producten[#All],25,FALSE)*(Optimalisatie!J94),VLOOKUP(Inschrijf_Hernieuwbare_Energie_Totaal[[#This Row],[Product]]&amp;", "&amp;Inschrijf_Hernieuwbare_Energie_Totaal[[#Headers],[D2]],Database_Productkaarten[#All],48,FALSE)*Optimalisatie!J94),Baseline_Backlog!Q407),0))</f>
        <v>0</v>
      </c>
      <c r="R407" s="91">
        <f>(IF(Optimalisatie!C94="Bestaande Situatie",_xlfn.IFNA(IF(Optimalisatie!E94="Categorie_1_LCA_Producten",VLOOKUP(Inschrijf_Hernieuwbare_Energie_Totaal[[#This Row],[Product]],Categorie_1_Producten[#All],29,FALSE)*(Optimalisatie!J94),VLOOKUP(Inschrijf_Hernieuwbare_Energie_Totaal[[#This Row],[Product]]&amp;", "&amp;Inschrijf_Hernieuwbare_Energie_Totaal[[#Headers],[D]],Database_Productkaarten[#All],48,FALSE)*Optimalisatie!J94),Baseline_Backlog!S407),0))</f>
        <v>0</v>
      </c>
      <c r="S407" s="91">
        <f>SUM(Inschrijf_Hernieuwbare_Energie_Totaal[[#This Row],[A1-A3]:[C4]])+Inschrijf_Hernieuwbare_Energie_Totaal[[#This Row],[D]]</f>
        <v>0</v>
      </c>
    </row>
    <row r="408" spans="2:19">
      <c r="B408" s="208">
        <f>Optimalisatie!B95</f>
        <v>0</v>
      </c>
      <c r="C408" s="1">
        <f>Optimalisatie!F95</f>
        <v>0</v>
      </c>
      <c r="D408" s="91">
        <f>(IF(Optimalisatie!C95="Nieuwe Situatie",_xlfn.IFNA(IF(Optimalisatie!E95="Categorie_1_LCA_Producten",VLOOKUP(Inschrijf_Hernieuwbare_Energie_Totaal[[#This Row],[Product]],Categorie_1_Producten[#All],20,FALSE)*(Optimalisatie!J95),VLOOKUP(Inschrijf_Hernieuwbare_Energie_Totaal[[#This Row],[Product]]&amp;", "&amp;Inschrijf_Hernieuwbare_Energie_Totaal[[#Headers],[A1]],Database_Productkaarten[#All],48,FALSE)*Optimalisatie!J95),Baseline_Backlog!D408),0))</f>
        <v>0</v>
      </c>
      <c r="E408" s="91">
        <f>(IF(Optimalisatie!C95="Nieuwe Situatie",_xlfn.IFNA(IF(Optimalisatie!E95="Categorie_1_LCA_Producten",VLOOKUP(Inschrijf_Hernieuwbare_Energie_Totaal[[#This Row],[Product]],Categorie_1_Producten[#All],21,FALSE)*(Optimalisatie!J95),VLOOKUP(Inschrijf_Hernieuwbare_Energie_Totaal[[#This Row],[Product]]&amp;", "&amp;Inschrijf_Hernieuwbare_Energie_Totaal[[#Headers],[A2]],Database_Productkaarten[#All],48,FALSE)*Optimalisatie!J95),Baseline_Backlog!E408),0))</f>
        <v>0</v>
      </c>
      <c r="F408" s="91">
        <f>(IF(Optimalisatie!C95="Nieuwe Situatie",_xlfn.IFNA(IF(Optimalisatie!E95="Categorie_1_LCA_Producten",VLOOKUP(Inschrijf_Hernieuwbare_Energie_Totaal[[#This Row],[Product]],Categorie_1_Producten[#All],22,FALSE)*(Optimalisatie!J95),VLOOKUP(Inschrijf_Hernieuwbare_Energie_Totaal[[#This Row],[Product]]&amp;", "&amp;Inschrijf_Hernieuwbare_Energie_Totaal[[#Headers],[A3]],Database_Productkaarten[#All],48,FALSE)*Optimalisatie!J95),Baseline_Backlog!F408),0))</f>
        <v>0</v>
      </c>
      <c r="G408" s="91">
        <f>(IF(Optimalisatie!C95="Nieuwe Situatie",_xlfn.IFNA(IF(Optimalisatie!E95="Categorie_1_LCA_Producten",VLOOKUP(Inschrijf_Hernieuwbare_Energie_Totaal[[#This Row],[Product]],Categorie_1_Producten[#All],27,FALSE)*(Optimalisatie!J95),VLOOKUP(Inschrijf_Hernieuwbare_Energie_Totaal[[#This Row],[Product]]&amp;", "&amp;Inschrijf_Hernieuwbare_Energie_Totaal[[#Headers],[A1-A3]],Database_Productkaarten[#All],48,FALSE)*Optimalisatie!J95),Baseline_Backlog!G408),0))</f>
        <v>0</v>
      </c>
      <c r="H408" s="91">
        <f>(IF(Optimalisatie!C95="Nieuwe Situatie",_xlfn.IFNA(VLOOKUP(Optimalisatie!V95,Database_Transport[#All],42,FALSE)*(Optimalisatie!R95*Optimalisatie!U95),Baseline_Backlog!H408),0))</f>
        <v>0</v>
      </c>
      <c r="I408" s="91">
        <f>IF(Optimalisatie!C95="Nieuwe situatie",IF(_xlfn.IFNA((VLOOKUP(Optimalisatie!W95,Database_Asfalt_Aanlegset[#All],42,FALSE)*Optimalisatie!J95),0)+_xlfn.IFNA(VLOOKUP(Optimalisatie!X95,Database_Brandstoffen[#All],42,FALSE)*((Optimalisatie!J95/Optimalisatie!Z95)*Optimalisatie!Y95),0)&gt;0,_xlfn.IFNA((VLOOKUP(Optimalisatie!W95,Database_Asfalt_Aanlegset[#All],42,FALSE)*Optimalisatie!J95),0)+_xlfn.IFNA(VLOOKUP(Optimalisatie!X95,Database_Brandstoffen[#All],42,FALSE)*((Optimalisatie!J95/Optimalisatie!Z95)*Optimalisatie!Y95),0),(_xlfn.IFNA(VLOOKUP(Inschrijf_Hernieuwbare_Energie_Totaal[[#This Row],[Product]]&amp;", "&amp;Inschrijf_MKI_Totaal[[#Headers],[A5]],Database_Productkaarten[#All],48,FALSE),0)*Optimalisatie!J95)),0)</f>
        <v>0</v>
      </c>
      <c r="J408" s="91">
        <f>(IF(Optimalisatie!C95="Nieuwe Situatie",_xlfn.IFNA(IF(Optimalisatie!E95="Categorie_1_LCA_Producten",VLOOKUP(Inschrijf_Hernieuwbare_Energie_Totaal[[#This Row],[Product]],Categorie_1_Producten[#All],28,FALSE)*(Optimalisatie!R95),VLOOKUP(Inschrijf_Hernieuwbare_Energie_Totaal[[#This Row],[Product]]&amp;", "&amp;Inschrijf_Hernieuwbare_Energie_Totaal[[#Headers],[B1]],Database_Productkaarten[#All],47,FALSE)*Optimalisatie!J95),Baseline_Backlog!J408),0))</f>
        <v>0</v>
      </c>
      <c r="K408" s="91">
        <f>(IF(Optimalisatie!C95="Nieuwe Situatie",_xlfn.IFNA(SUM(Inschrijf_Hernieuwbare_Energie_Totaal[[#This Row],[A1]:[B1]],Inschrijf_Hernieuwbare_Energie_Totaal[[#This Row],[C1]:[D2]])*Optimalisatie!T95,0),0))</f>
        <v>0</v>
      </c>
      <c r="L408" s="91">
        <f>IF(Optimalisatie!C95="Bestaande situatie",IF(_xlfn.IFNA((VLOOKUP(Optimalisatie!AA95,Database_Asfalt_Verwijderset[#All],42,FALSE)*Optimalisatie!J95),0)+_xlfn.IFNA(VLOOKUP(Optimalisatie!AB95,Database_Brandstoffen[#All],42,FALSE)*((Optimalisatie!J95/Optimalisatie!AD95)*Optimalisatie!AC95),0)&gt;0,_xlfn.IFNA((VLOOKUP(Optimalisatie!AA95,Database_Asfalt_Verwijderset[#All],42,FALSE)*Optimalisatie!J95),0)+_xlfn.IFNA(VLOOKUP(Optimalisatie!AB95,Database_Brandstoffen[#All],42,FALSE)*((Optimalisatie!J95/Optimalisatie!AD95)*Optimalisatie!AC95),0),(_xlfn.IFNA(VLOOKUP(Inschrijf_Hernieuwbare_Energie_Totaal[[#This Row],[Product]]&amp;", "&amp;Inschrijf_MKI_Totaal[[#Headers],[C1]],Database_Productkaarten[#All],48,FALSE),0)*Optimalisatie!J95)),0)</f>
        <v>0</v>
      </c>
      <c r="M408" s="91">
        <f>(IF(Optimalisatie!C95="Bestaande Situatie",_xlfn.IFNA(VLOOKUP(Optimalisatie!AF95,Database_Transport[#All],42,FALSE)*(Optimalisatie!R95*Optimalisatie!AE95),Baseline_Backlog!M408),0))</f>
        <v>0</v>
      </c>
      <c r="N408" s="91">
        <f>(IF(Optimalisatie!C95="Bestaande Situatie",_xlfn.IFNA(VLOOKUP(Optimalisatie!AG95,Database_Asfalt_Verwerkingsset[#All],42,FALSE)*(Optimalisatie!J95/VLOOKUP(Optimalisatie!AG95,Database_Asfalt_Verwerkingsset[#All],42,FALSE)),Baseline_Backlog!N408),0))</f>
        <v>0</v>
      </c>
      <c r="O408" s="91">
        <f>(IF(Optimalisatie!C95="Bestaande Situatie",_xlfn.IFNA(VLOOKUP(Inschrijf_Hernieuwbare_Energie_Totaal[[#This Row],[Product]]&amp;", "&amp;Inschrijf_MKI_Totaal[[#Headers],[C4]],Database_Productkaarten[#All],48,FALSE)*Optimalisatie!J95,Baseline_Backlog!O408),0))</f>
        <v>0</v>
      </c>
      <c r="P408" s="91">
        <f>(IF(Optimalisatie!C95="Bestaande Situatie",_xlfn.IFNA(IF(Optimalisatie!E95="Categorie_1_LCA_Producten",VLOOKUP(Inschrijf_Hernieuwbare_Energie_Totaal[[#This Row],[Product]],Categorie_1_Producten[#All],24,FALSE)*(Optimalisatie!J95),VLOOKUP(Inschrijf_Hernieuwbare_Energie_Totaal[[#This Row],[Product]]&amp;", "&amp;Inschrijf_Hernieuwbare_Energie_Totaal[[#Headers],[D1]],Database_Productkaarten[#All],48,FALSE)*Optimalisatie!J95),Baseline_Backlog!P408),0))</f>
        <v>0</v>
      </c>
      <c r="Q408" s="91">
        <f>(IF(Optimalisatie!C95="Bestaande Situatie",_xlfn.IFNA(IF(Optimalisatie!E95="Categorie_1_LCA_Producten",VLOOKUP(Inschrijf_Hernieuwbare_Energie_Totaal[[#This Row],[Product]],Categorie_1_Producten[#All],25,FALSE)*(Optimalisatie!J95),VLOOKUP(Inschrijf_Hernieuwbare_Energie_Totaal[[#This Row],[Product]]&amp;", "&amp;Inschrijf_Hernieuwbare_Energie_Totaal[[#Headers],[D2]],Database_Productkaarten[#All],48,FALSE)*Optimalisatie!J95),Baseline_Backlog!Q408),0))</f>
        <v>0</v>
      </c>
      <c r="R408" s="91">
        <f>(IF(Optimalisatie!C95="Bestaande Situatie",_xlfn.IFNA(IF(Optimalisatie!E95="Categorie_1_LCA_Producten",VLOOKUP(Inschrijf_Hernieuwbare_Energie_Totaal[[#This Row],[Product]],Categorie_1_Producten[#All],29,FALSE)*(Optimalisatie!J95),VLOOKUP(Inschrijf_Hernieuwbare_Energie_Totaal[[#This Row],[Product]]&amp;", "&amp;Inschrijf_Hernieuwbare_Energie_Totaal[[#Headers],[D]],Database_Productkaarten[#All],48,FALSE)*Optimalisatie!J95),Baseline_Backlog!S408),0))</f>
        <v>0</v>
      </c>
      <c r="S408" s="91">
        <f>SUM(Inschrijf_Hernieuwbare_Energie_Totaal[[#This Row],[A1-A3]:[C4]])+Inschrijf_Hernieuwbare_Energie_Totaal[[#This Row],[D]]</f>
        <v>0</v>
      </c>
    </row>
    <row r="409" spans="2:19">
      <c r="B409" s="208">
        <f>Optimalisatie!B96</f>
        <v>0</v>
      </c>
      <c r="C409" s="1">
        <f>Optimalisatie!F96</f>
        <v>0</v>
      </c>
      <c r="D409" s="91">
        <f>(IF(Optimalisatie!C96="Nieuwe Situatie",_xlfn.IFNA(IF(Optimalisatie!E96="Categorie_1_LCA_Producten",VLOOKUP(Inschrijf_Hernieuwbare_Energie_Totaal[[#This Row],[Product]],Categorie_1_Producten[#All],20,FALSE)*(Optimalisatie!J96),VLOOKUP(Inschrijf_Hernieuwbare_Energie_Totaal[[#This Row],[Product]]&amp;", "&amp;Inschrijf_Hernieuwbare_Energie_Totaal[[#Headers],[A1]],Database_Productkaarten[#All],48,FALSE)*Optimalisatie!J96),Baseline_Backlog!D409),0))</f>
        <v>0</v>
      </c>
      <c r="E409" s="91">
        <f>(IF(Optimalisatie!C96="Nieuwe Situatie",_xlfn.IFNA(IF(Optimalisatie!E96="Categorie_1_LCA_Producten",VLOOKUP(Inschrijf_Hernieuwbare_Energie_Totaal[[#This Row],[Product]],Categorie_1_Producten[#All],21,FALSE)*(Optimalisatie!J96),VLOOKUP(Inschrijf_Hernieuwbare_Energie_Totaal[[#This Row],[Product]]&amp;", "&amp;Inschrijf_Hernieuwbare_Energie_Totaal[[#Headers],[A2]],Database_Productkaarten[#All],48,FALSE)*Optimalisatie!J96),Baseline_Backlog!E409),0))</f>
        <v>0</v>
      </c>
      <c r="F409" s="91">
        <f>(IF(Optimalisatie!C96="Nieuwe Situatie",_xlfn.IFNA(IF(Optimalisatie!E96="Categorie_1_LCA_Producten",VLOOKUP(Inschrijf_Hernieuwbare_Energie_Totaal[[#This Row],[Product]],Categorie_1_Producten[#All],22,FALSE)*(Optimalisatie!J96),VLOOKUP(Inschrijf_Hernieuwbare_Energie_Totaal[[#This Row],[Product]]&amp;", "&amp;Inschrijf_Hernieuwbare_Energie_Totaal[[#Headers],[A3]],Database_Productkaarten[#All],48,FALSE)*Optimalisatie!J96),Baseline_Backlog!F409),0))</f>
        <v>0</v>
      </c>
      <c r="G409" s="91">
        <f>(IF(Optimalisatie!C96="Nieuwe Situatie",_xlfn.IFNA(IF(Optimalisatie!E96="Categorie_1_LCA_Producten",VLOOKUP(Inschrijf_Hernieuwbare_Energie_Totaal[[#This Row],[Product]],Categorie_1_Producten[#All],27,FALSE)*(Optimalisatie!J96),VLOOKUP(Inschrijf_Hernieuwbare_Energie_Totaal[[#This Row],[Product]]&amp;", "&amp;Inschrijf_Hernieuwbare_Energie_Totaal[[#Headers],[A1-A3]],Database_Productkaarten[#All],48,FALSE)*Optimalisatie!J96),Baseline_Backlog!G409),0))</f>
        <v>0</v>
      </c>
      <c r="H409" s="91">
        <f>(IF(Optimalisatie!C96="Nieuwe Situatie",_xlfn.IFNA(VLOOKUP(Optimalisatie!V96,Database_Transport[#All],42,FALSE)*(Optimalisatie!R96*Optimalisatie!U96),Baseline_Backlog!H409),0))</f>
        <v>0</v>
      </c>
      <c r="I409" s="91">
        <f>IF(Optimalisatie!C96="Nieuwe situatie",IF(_xlfn.IFNA((VLOOKUP(Optimalisatie!W96,Database_Asfalt_Aanlegset[#All],42,FALSE)*Optimalisatie!J96),0)+_xlfn.IFNA(VLOOKUP(Optimalisatie!X96,Database_Brandstoffen[#All],42,FALSE)*((Optimalisatie!J96/Optimalisatie!Z96)*Optimalisatie!Y96),0)&gt;0,_xlfn.IFNA((VLOOKUP(Optimalisatie!W96,Database_Asfalt_Aanlegset[#All],42,FALSE)*Optimalisatie!J96),0)+_xlfn.IFNA(VLOOKUP(Optimalisatie!X96,Database_Brandstoffen[#All],42,FALSE)*((Optimalisatie!J96/Optimalisatie!Z96)*Optimalisatie!Y96),0),(_xlfn.IFNA(VLOOKUP(Inschrijf_Hernieuwbare_Energie_Totaal[[#This Row],[Product]]&amp;", "&amp;Inschrijf_MKI_Totaal[[#Headers],[A5]],Database_Productkaarten[#All],48,FALSE),0)*Optimalisatie!J96)),0)</f>
        <v>0</v>
      </c>
      <c r="J409" s="91">
        <f>(IF(Optimalisatie!C96="Nieuwe Situatie",_xlfn.IFNA(IF(Optimalisatie!E96="Categorie_1_LCA_Producten",VLOOKUP(Inschrijf_Hernieuwbare_Energie_Totaal[[#This Row],[Product]],Categorie_1_Producten[#All],28,FALSE)*(Optimalisatie!R96),VLOOKUP(Inschrijf_Hernieuwbare_Energie_Totaal[[#This Row],[Product]]&amp;", "&amp;Inschrijf_Hernieuwbare_Energie_Totaal[[#Headers],[B1]],Database_Productkaarten[#All],47,FALSE)*Optimalisatie!J96),Baseline_Backlog!J409),0))</f>
        <v>0</v>
      </c>
      <c r="K409" s="91">
        <f>(IF(Optimalisatie!C96="Nieuwe Situatie",_xlfn.IFNA(SUM(Inschrijf_Hernieuwbare_Energie_Totaal[[#This Row],[A1]:[B1]],Inschrijf_Hernieuwbare_Energie_Totaal[[#This Row],[C1]:[D2]])*Optimalisatie!T96,0),0))</f>
        <v>0</v>
      </c>
      <c r="L409" s="91">
        <f>IF(Optimalisatie!C96="Bestaande situatie",IF(_xlfn.IFNA((VLOOKUP(Optimalisatie!AA96,Database_Asfalt_Verwijderset[#All],42,FALSE)*Optimalisatie!J96),0)+_xlfn.IFNA(VLOOKUP(Optimalisatie!AB96,Database_Brandstoffen[#All],42,FALSE)*((Optimalisatie!J96/Optimalisatie!AD96)*Optimalisatie!AC96),0)&gt;0,_xlfn.IFNA((VLOOKUP(Optimalisatie!AA96,Database_Asfalt_Verwijderset[#All],42,FALSE)*Optimalisatie!J96),0)+_xlfn.IFNA(VLOOKUP(Optimalisatie!AB96,Database_Brandstoffen[#All],42,FALSE)*((Optimalisatie!J96/Optimalisatie!AD96)*Optimalisatie!AC96),0),(_xlfn.IFNA(VLOOKUP(Inschrijf_Hernieuwbare_Energie_Totaal[[#This Row],[Product]]&amp;", "&amp;Inschrijf_MKI_Totaal[[#Headers],[C1]],Database_Productkaarten[#All],48,FALSE),0)*Optimalisatie!J96)),0)</f>
        <v>0</v>
      </c>
      <c r="M409" s="91">
        <f>(IF(Optimalisatie!C96="Bestaande Situatie",_xlfn.IFNA(VLOOKUP(Optimalisatie!AF96,Database_Transport[#All],42,FALSE)*(Optimalisatie!R96*Optimalisatie!AE96),Baseline_Backlog!M409),0))</f>
        <v>0</v>
      </c>
      <c r="N409" s="91">
        <f>(IF(Optimalisatie!C96="Bestaande Situatie",_xlfn.IFNA(VLOOKUP(Optimalisatie!AG96,Database_Asfalt_Verwerkingsset[#All],42,FALSE)*(Optimalisatie!J96/VLOOKUP(Optimalisatie!AG96,Database_Asfalt_Verwerkingsset[#All],42,FALSE)),Baseline_Backlog!N409),0))</f>
        <v>0</v>
      </c>
      <c r="O409" s="91">
        <f>(IF(Optimalisatie!C96="Bestaande Situatie",_xlfn.IFNA(VLOOKUP(Inschrijf_Hernieuwbare_Energie_Totaal[[#This Row],[Product]]&amp;", "&amp;Inschrijf_MKI_Totaal[[#Headers],[C4]],Database_Productkaarten[#All],48,FALSE)*Optimalisatie!J96,Baseline_Backlog!O409),0))</f>
        <v>0</v>
      </c>
      <c r="P409" s="91">
        <f>(IF(Optimalisatie!C96="Bestaande Situatie",_xlfn.IFNA(IF(Optimalisatie!E96="Categorie_1_LCA_Producten",VLOOKUP(Inschrijf_Hernieuwbare_Energie_Totaal[[#This Row],[Product]],Categorie_1_Producten[#All],24,FALSE)*(Optimalisatie!J96),VLOOKUP(Inschrijf_Hernieuwbare_Energie_Totaal[[#This Row],[Product]]&amp;", "&amp;Inschrijf_Hernieuwbare_Energie_Totaal[[#Headers],[D1]],Database_Productkaarten[#All],48,FALSE)*Optimalisatie!J96),Baseline_Backlog!P409),0))</f>
        <v>0</v>
      </c>
      <c r="Q409" s="91">
        <f>(IF(Optimalisatie!C96="Bestaande Situatie",_xlfn.IFNA(IF(Optimalisatie!E96="Categorie_1_LCA_Producten",VLOOKUP(Inschrijf_Hernieuwbare_Energie_Totaal[[#This Row],[Product]],Categorie_1_Producten[#All],25,FALSE)*(Optimalisatie!J96),VLOOKUP(Inschrijf_Hernieuwbare_Energie_Totaal[[#This Row],[Product]]&amp;", "&amp;Inschrijf_Hernieuwbare_Energie_Totaal[[#Headers],[D2]],Database_Productkaarten[#All],48,FALSE)*Optimalisatie!J96),Baseline_Backlog!Q409),0))</f>
        <v>0</v>
      </c>
      <c r="R409" s="91">
        <f>(IF(Optimalisatie!C96="Bestaande Situatie",_xlfn.IFNA(IF(Optimalisatie!E96="Categorie_1_LCA_Producten",VLOOKUP(Inschrijf_Hernieuwbare_Energie_Totaal[[#This Row],[Product]],Categorie_1_Producten[#All],29,FALSE)*(Optimalisatie!J96),VLOOKUP(Inschrijf_Hernieuwbare_Energie_Totaal[[#This Row],[Product]]&amp;", "&amp;Inschrijf_Hernieuwbare_Energie_Totaal[[#Headers],[D]],Database_Productkaarten[#All],48,FALSE)*Optimalisatie!J96),Baseline_Backlog!S409),0))</f>
        <v>0</v>
      </c>
      <c r="S409" s="91">
        <f>SUM(Inschrijf_Hernieuwbare_Energie_Totaal[[#This Row],[A1-A3]:[C4]])+Inschrijf_Hernieuwbare_Energie_Totaal[[#This Row],[D]]</f>
        <v>0</v>
      </c>
    </row>
    <row r="410" spans="2:19">
      <c r="B410" s="208">
        <f>Optimalisatie!B97</f>
        <v>0</v>
      </c>
      <c r="C410" s="1">
        <f>Optimalisatie!F97</f>
        <v>0</v>
      </c>
      <c r="D410" s="91">
        <f>(IF(Optimalisatie!C97="Nieuwe Situatie",_xlfn.IFNA(IF(Optimalisatie!E97="Categorie_1_LCA_Producten",VLOOKUP(Inschrijf_Hernieuwbare_Energie_Totaal[[#This Row],[Product]],Categorie_1_Producten[#All],20,FALSE)*(Optimalisatie!J97),VLOOKUP(Inschrijf_Hernieuwbare_Energie_Totaal[[#This Row],[Product]]&amp;", "&amp;Inschrijf_Hernieuwbare_Energie_Totaal[[#Headers],[A1]],Database_Productkaarten[#All],48,FALSE)*Optimalisatie!J97),Baseline_Backlog!D410),0))</f>
        <v>0</v>
      </c>
      <c r="E410" s="91">
        <f>(IF(Optimalisatie!C97="Nieuwe Situatie",_xlfn.IFNA(IF(Optimalisatie!E97="Categorie_1_LCA_Producten",VLOOKUP(Inschrijf_Hernieuwbare_Energie_Totaal[[#This Row],[Product]],Categorie_1_Producten[#All],21,FALSE)*(Optimalisatie!J97),VLOOKUP(Inschrijf_Hernieuwbare_Energie_Totaal[[#This Row],[Product]]&amp;", "&amp;Inschrijf_Hernieuwbare_Energie_Totaal[[#Headers],[A2]],Database_Productkaarten[#All],48,FALSE)*Optimalisatie!J97),Baseline_Backlog!E410),0))</f>
        <v>0</v>
      </c>
      <c r="F410" s="91">
        <f>(IF(Optimalisatie!C97="Nieuwe Situatie",_xlfn.IFNA(IF(Optimalisatie!E97="Categorie_1_LCA_Producten",VLOOKUP(Inschrijf_Hernieuwbare_Energie_Totaal[[#This Row],[Product]],Categorie_1_Producten[#All],22,FALSE)*(Optimalisatie!J97),VLOOKUP(Inschrijf_Hernieuwbare_Energie_Totaal[[#This Row],[Product]]&amp;", "&amp;Inschrijf_Hernieuwbare_Energie_Totaal[[#Headers],[A3]],Database_Productkaarten[#All],48,FALSE)*Optimalisatie!J97),Baseline_Backlog!F410),0))</f>
        <v>0</v>
      </c>
      <c r="G410" s="91">
        <f>(IF(Optimalisatie!C97="Nieuwe Situatie",_xlfn.IFNA(IF(Optimalisatie!E97="Categorie_1_LCA_Producten",VLOOKUP(Inschrijf_Hernieuwbare_Energie_Totaal[[#This Row],[Product]],Categorie_1_Producten[#All],27,FALSE)*(Optimalisatie!J97),VLOOKUP(Inschrijf_Hernieuwbare_Energie_Totaal[[#This Row],[Product]]&amp;", "&amp;Inschrijf_Hernieuwbare_Energie_Totaal[[#Headers],[A1-A3]],Database_Productkaarten[#All],48,FALSE)*Optimalisatie!J97),Baseline_Backlog!G410),0))</f>
        <v>0</v>
      </c>
      <c r="H410" s="91">
        <f>(IF(Optimalisatie!C97="Nieuwe Situatie",_xlfn.IFNA(VLOOKUP(Optimalisatie!V97,Database_Transport[#All],42,FALSE)*(Optimalisatie!R97*Optimalisatie!U97),Baseline_Backlog!H410),0))</f>
        <v>0</v>
      </c>
      <c r="I410" s="91">
        <f>IF(Optimalisatie!C97="Nieuwe situatie",IF(_xlfn.IFNA((VLOOKUP(Optimalisatie!W97,Database_Asfalt_Aanlegset[#All],42,FALSE)*Optimalisatie!J97),0)+_xlfn.IFNA(VLOOKUP(Optimalisatie!X97,Database_Brandstoffen[#All],42,FALSE)*((Optimalisatie!J97/Optimalisatie!Z97)*Optimalisatie!Y97),0)&gt;0,_xlfn.IFNA((VLOOKUP(Optimalisatie!W97,Database_Asfalt_Aanlegset[#All],42,FALSE)*Optimalisatie!J97),0)+_xlfn.IFNA(VLOOKUP(Optimalisatie!X97,Database_Brandstoffen[#All],42,FALSE)*((Optimalisatie!J97/Optimalisatie!Z97)*Optimalisatie!Y97),0),(_xlfn.IFNA(VLOOKUP(Inschrijf_Hernieuwbare_Energie_Totaal[[#This Row],[Product]]&amp;", "&amp;Inschrijf_MKI_Totaal[[#Headers],[A5]],Database_Productkaarten[#All],48,FALSE),0)*Optimalisatie!J97)),0)</f>
        <v>0</v>
      </c>
      <c r="J410" s="91">
        <f>(IF(Optimalisatie!C97="Nieuwe Situatie",_xlfn.IFNA(IF(Optimalisatie!E97="Categorie_1_LCA_Producten",VLOOKUP(Inschrijf_Hernieuwbare_Energie_Totaal[[#This Row],[Product]],Categorie_1_Producten[#All],28,FALSE)*(Optimalisatie!R97),VLOOKUP(Inschrijf_Hernieuwbare_Energie_Totaal[[#This Row],[Product]]&amp;", "&amp;Inschrijf_Hernieuwbare_Energie_Totaal[[#Headers],[B1]],Database_Productkaarten[#All],47,FALSE)*Optimalisatie!J97),Baseline_Backlog!J410),0))</f>
        <v>0</v>
      </c>
      <c r="K410" s="91">
        <f>(IF(Optimalisatie!C97="Nieuwe Situatie",_xlfn.IFNA(SUM(Inschrijf_Hernieuwbare_Energie_Totaal[[#This Row],[A1]:[B1]],Inschrijf_Hernieuwbare_Energie_Totaal[[#This Row],[C1]:[D2]])*Optimalisatie!T97,0),0))</f>
        <v>0</v>
      </c>
      <c r="L410" s="91">
        <f>IF(Optimalisatie!C97="Bestaande situatie",IF(_xlfn.IFNA((VLOOKUP(Optimalisatie!AA97,Database_Asfalt_Verwijderset[#All],42,FALSE)*Optimalisatie!J97),0)+_xlfn.IFNA(VLOOKUP(Optimalisatie!AB97,Database_Brandstoffen[#All],42,FALSE)*((Optimalisatie!J97/Optimalisatie!AD97)*Optimalisatie!AC97),0)&gt;0,_xlfn.IFNA((VLOOKUP(Optimalisatie!AA97,Database_Asfalt_Verwijderset[#All],42,FALSE)*Optimalisatie!J97),0)+_xlfn.IFNA(VLOOKUP(Optimalisatie!AB97,Database_Brandstoffen[#All],42,FALSE)*((Optimalisatie!J97/Optimalisatie!AD97)*Optimalisatie!AC97),0),(_xlfn.IFNA(VLOOKUP(Inschrijf_Hernieuwbare_Energie_Totaal[[#This Row],[Product]]&amp;", "&amp;Inschrijf_MKI_Totaal[[#Headers],[C1]],Database_Productkaarten[#All],48,FALSE),0)*Optimalisatie!J97)),0)</f>
        <v>0</v>
      </c>
      <c r="M410" s="91">
        <f>(IF(Optimalisatie!C97="Bestaande Situatie",_xlfn.IFNA(VLOOKUP(Optimalisatie!AF97,Database_Transport[#All],42,FALSE)*(Optimalisatie!R97*Optimalisatie!AE97),Baseline_Backlog!M410),0))</f>
        <v>0</v>
      </c>
      <c r="N410" s="91">
        <f>(IF(Optimalisatie!C97="Bestaande Situatie",_xlfn.IFNA(VLOOKUP(Optimalisatie!AG97,Database_Asfalt_Verwerkingsset[#All],42,FALSE)*(Optimalisatie!J97/VLOOKUP(Optimalisatie!AG97,Database_Asfalt_Verwerkingsset[#All],42,FALSE)),Baseline_Backlog!N410),0))</f>
        <v>0</v>
      </c>
      <c r="O410" s="91">
        <f>(IF(Optimalisatie!C97="Bestaande Situatie",_xlfn.IFNA(VLOOKUP(Inschrijf_Hernieuwbare_Energie_Totaal[[#This Row],[Product]]&amp;", "&amp;Inschrijf_MKI_Totaal[[#Headers],[C4]],Database_Productkaarten[#All],48,FALSE)*Optimalisatie!J97,Baseline_Backlog!O410),0))</f>
        <v>0</v>
      </c>
      <c r="P410" s="91">
        <f>(IF(Optimalisatie!C97="Bestaande Situatie",_xlfn.IFNA(IF(Optimalisatie!E97="Categorie_1_LCA_Producten",VLOOKUP(Inschrijf_Hernieuwbare_Energie_Totaal[[#This Row],[Product]],Categorie_1_Producten[#All],24,FALSE)*(Optimalisatie!J97),VLOOKUP(Inschrijf_Hernieuwbare_Energie_Totaal[[#This Row],[Product]]&amp;", "&amp;Inschrijf_Hernieuwbare_Energie_Totaal[[#Headers],[D1]],Database_Productkaarten[#All],48,FALSE)*Optimalisatie!J97),Baseline_Backlog!P410),0))</f>
        <v>0</v>
      </c>
      <c r="Q410" s="91">
        <f>(IF(Optimalisatie!C97="Bestaande Situatie",_xlfn.IFNA(IF(Optimalisatie!E97="Categorie_1_LCA_Producten",VLOOKUP(Inschrijf_Hernieuwbare_Energie_Totaal[[#This Row],[Product]],Categorie_1_Producten[#All],25,FALSE)*(Optimalisatie!J97),VLOOKUP(Inschrijf_Hernieuwbare_Energie_Totaal[[#This Row],[Product]]&amp;", "&amp;Inschrijf_Hernieuwbare_Energie_Totaal[[#Headers],[D2]],Database_Productkaarten[#All],48,FALSE)*Optimalisatie!J97),Baseline_Backlog!Q410),0))</f>
        <v>0</v>
      </c>
      <c r="R410" s="91">
        <f>(IF(Optimalisatie!C97="Bestaande Situatie",_xlfn.IFNA(IF(Optimalisatie!E97="Categorie_1_LCA_Producten",VLOOKUP(Inschrijf_Hernieuwbare_Energie_Totaal[[#This Row],[Product]],Categorie_1_Producten[#All],29,FALSE)*(Optimalisatie!J97),VLOOKUP(Inschrijf_Hernieuwbare_Energie_Totaal[[#This Row],[Product]]&amp;", "&amp;Inschrijf_Hernieuwbare_Energie_Totaal[[#Headers],[D]],Database_Productkaarten[#All],48,FALSE)*Optimalisatie!J97),Baseline_Backlog!S410),0))</f>
        <v>0</v>
      </c>
      <c r="S410" s="91">
        <f>SUM(Inschrijf_Hernieuwbare_Energie_Totaal[[#This Row],[A1-A3]:[C4]])+Inschrijf_Hernieuwbare_Energie_Totaal[[#This Row],[D]]</f>
        <v>0</v>
      </c>
    </row>
    <row r="411" spans="2:19">
      <c r="B411" s="208">
        <f>Optimalisatie!B98</f>
        <v>0</v>
      </c>
      <c r="C411" s="1">
        <f>Optimalisatie!F98</f>
        <v>0</v>
      </c>
      <c r="D411" s="91">
        <f>(IF(Optimalisatie!C98="Nieuwe Situatie",_xlfn.IFNA(IF(Optimalisatie!E98="Categorie_1_LCA_Producten",VLOOKUP(Inschrijf_Hernieuwbare_Energie_Totaal[[#This Row],[Product]],Categorie_1_Producten[#All],20,FALSE)*(Optimalisatie!J98),VLOOKUP(Inschrijf_Hernieuwbare_Energie_Totaal[[#This Row],[Product]]&amp;", "&amp;Inschrijf_Hernieuwbare_Energie_Totaal[[#Headers],[A1]],Database_Productkaarten[#All],48,FALSE)*Optimalisatie!J98),Baseline_Backlog!D411),0))</f>
        <v>0</v>
      </c>
      <c r="E411" s="91">
        <f>(IF(Optimalisatie!C98="Nieuwe Situatie",_xlfn.IFNA(IF(Optimalisatie!E98="Categorie_1_LCA_Producten",VLOOKUP(Inschrijf_Hernieuwbare_Energie_Totaal[[#This Row],[Product]],Categorie_1_Producten[#All],21,FALSE)*(Optimalisatie!J98),VLOOKUP(Inschrijf_Hernieuwbare_Energie_Totaal[[#This Row],[Product]]&amp;", "&amp;Inschrijf_Hernieuwbare_Energie_Totaal[[#Headers],[A2]],Database_Productkaarten[#All],48,FALSE)*Optimalisatie!J98),Baseline_Backlog!E411),0))</f>
        <v>0</v>
      </c>
      <c r="F411" s="91">
        <f>(IF(Optimalisatie!C98="Nieuwe Situatie",_xlfn.IFNA(IF(Optimalisatie!E98="Categorie_1_LCA_Producten",VLOOKUP(Inschrijf_Hernieuwbare_Energie_Totaal[[#This Row],[Product]],Categorie_1_Producten[#All],22,FALSE)*(Optimalisatie!J98),VLOOKUP(Inschrijf_Hernieuwbare_Energie_Totaal[[#This Row],[Product]]&amp;", "&amp;Inschrijf_Hernieuwbare_Energie_Totaal[[#Headers],[A3]],Database_Productkaarten[#All],48,FALSE)*Optimalisatie!J98),Baseline_Backlog!F411),0))</f>
        <v>0</v>
      </c>
      <c r="G411" s="91">
        <f>(IF(Optimalisatie!C98="Nieuwe Situatie",_xlfn.IFNA(IF(Optimalisatie!E98="Categorie_1_LCA_Producten",VLOOKUP(Inschrijf_Hernieuwbare_Energie_Totaal[[#This Row],[Product]],Categorie_1_Producten[#All],27,FALSE)*(Optimalisatie!J98),VLOOKUP(Inschrijf_Hernieuwbare_Energie_Totaal[[#This Row],[Product]]&amp;", "&amp;Inschrijf_Hernieuwbare_Energie_Totaal[[#Headers],[A1-A3]],Database_Productkaarten[#All],48,FALSE)*Optimalisatie!J98),Baseline_Backlog!G411),0))</f>
        <v>0</v>
      </c>
      <c r="H411" s="91">
        <f>(IF(Optimalisatie!C98="Nieuwe Situatie",_xlfn.IFNA(VLOOKUP(Optimalisatie!V98,Database_Transport[#All],42,FALSE)*(Optimalisatie!R98*Optimalisatie!U98),Baseline_Backlog!H411),0))</f>
        <v>0</v>
      </c>
      <c r="I411" s="91">
        <f>IF(Optimalisatie!C98="Nieuwe situatie",IF(_xlfn.IFNA((VLOOKUP(Optimalisatie!W98,Database_Asfalt_Aanlegset[#All],42,FALSE)*Optimalisatie!J98),0)+_xlfn.IFNA(VLOOKUP(Optimalisatie!X98,Database_Brandstoffen[#All],42,FALSE)*((Optimalisatie!J98/Optimalisatie!Z98)*Optimalisatie!Y98),0)&gt;0,_xlfn.IFNA((VLOOKUP(Optimalisatie!W98,Database_Asfalt_Aanlegset[#All],42,FALSE)*Optimalisatie!J98),0)+_xlfn.IFNA(VLOOKUP(Optimalisatie!X98,Database_Brandstoffen[#All],42,FALSE)*((Optimalisatie!J98/Optimalisatie!Z98)*Optimalisatie!Y98),0),(_xlfn.IFNA(VLOOKUP(Inschrijf_Hernieuwbare_Energie_Totaal[[#This Row],[Product]]&amp;", "&amp;Inschrijf_MKI_Totaal[[#Headers],[A5]],Database_Productkaarten[#All],48,FALSE),0)*Optimalisatie!J98)),0)</f>
        <v>0</v>
      </c>
      <c r="J411" s="91">
        <f>(IF(Optimalisatie!C98="Nieuwe Situatie",_xlfn.IFNA(IF(Optimalisatie!E98="Categorie_1_LCA_Producten",VLOOKUP(Inschrijf_Hernieuwbare_Energie_Totaal[[#This Row],[Product]],Categorie_1_Producten[#All],28,FALSE)*(Optimalisatie!R98),VLOOKUP(Inschrijf_Hernieuwbare_Energie_Totaal[[#This Row],[Product]]&amp;", "&amp;Inschrijf_Hernieuwbare_Energie_Totaal[[#Headers],[B1]],Database_Productkaarten[#All],47,FALSE)*Optimalisatie!J98),Baseline_Backlog!J411),0))</f>
        <v>0</v>
      </c>
      <c r="K411" s="91">
        <f>(IF(Optimalisatie!C98="Nieuwe Situatie",_xlfn.IFNA(SUM(Inschrijf_Hernieuwbare_Energie_Totaal[[#This Row],[A1]:[B1]],Inschrijf_Hernieuwbare_Energie_Totaal[[#This Row],[C1]:[D2]])*Optimalisatie!T98,0),0))</f>
        <v>0</v>
      </c>
      <c r="L411" s="91">
        <f>IF(Optimalisatie!C98="Bestaande situatie",IF(_xlfn.IFNA((VLOOKUP(Optimalisatie!AA98,Database_Asfalt_Verwijderset[#All],42,FALSE)*Optimalisatie!J98),0)+_xlfn.IFNA(VLOOKUP(Optimalisatie!AB98,Database_Brandstoffen[#All],42,FALSE)*((Optimalisatie!J98/Optimalisatie!AD98)*Optimalisatie!AC98),0)&gt;0,_xlfn.IFNA((VLOOKUP(Optimalisatie!AA98,Database_Asfalt_Verwijderset[#All],42,FALSE)*Optimalisatie!J98),0)+_xlfn.IFNA(VLOOKUP(Optimalisatie!AB98,Database_Brandstoffen[#All],42,FALSE)*((Optimalisatie!J98/Optimalisatie!AD98)*Optimalisatie!AC98),0),(_xlfn.IFNA(VLOOKUP(Inschrijf_Hernieuwbare_Energie_Totaal[[#This Row],[Product]]&amp;", "&amp;Inschrijf_MKI_Totaal[[#Headers],[C1]],Database_Productkaarten[#All],48,FALSE),0)*Optimalisatie!J98)),0)</f>
        <v>0</v>
      </c>
      <c r="M411" s="91">
        <f>(IF(Optimalisatie!C98="Bestaande Situatie",_xlfn.IFNA(VLOOKUP(Optimalisatie!AF98,Database_Transport[#All],42,FALSE)*(Optimalisatie!R98*Optimalisatie!AE98),Baseline_Backlog!M411),0))</f>
        <v>0</v>
      </c>
      <c r="N411" s="91">
        <f>(IF(Optimalisatie!C98="Bestaande Situatie",_xlfn.IFNA(VLOOKUP(Optimalisatie!AG98,Database_Asfalt_Verwerkingsset[#All],42,FALSE)*(Optimalisatie!J98/VLOOKUP(Optimalisatie!AG98,Database_Asfalt_Verwerkingsset[#All],42,FALSE)),Baseline_Backlog!N411),0))</f>
        <v>0</v>
      </c>
      <c r="O411" s="91">
        <f>(IF(Optimalisatie!C98="Bestaande Situatie",_xlfn.IFNA(VLOOKUP(Inschrijf_Hernieuwbare_Energie_Totaal[[#This Row],[Product]]&amp;", "&amp;Inschrijf_MKI_Totaal[[#Headers],[C4]],Database_Productkaarten[#All],48,FALSE)*Optimalisatie!J98,Baseline_Backlog!O411),0))</f>
        <v>0</v>
      </c>
      <c r="P411" s="91">
        <f>(IF(Optimalisatie!C98="Bestaande Situatie",_xlfn.IFNA(IF(Optimalisatie!E98="Categorie_1_LCA_Producten",VLOOKUP(Inschrijf_Hernieuwbare_Energie_Totaal[[#This Row],[Product]],Categorie_1_Producten[#All],24,FALSE)*(Optimalisatie!J98),VLOOKUP(Inschrijf_Hernieuwbare_Energie_Totaal[[#This Row],[Product]]&amp;", "&amp;Inschrijf_Hernieuwbare_Energie_Totaal[[#Headers],[D1]],Database_Productkaarten[#All],48,FALSE)*Optimalisatie!J98),Baseline_Backlog!P411),0))</f>
        <v>0</v>
      </c>
      <c r="Q411" s="91">
        <f>(IF(Optimalisatie!C98="Bestaande Situatie",_xlfn.IFNA(IF(Optimalisatie!E98="Categorie_1_LCA_Producten",VLOOKUP(Inschrijf_Hernieuwbare_Energie_Totaal[[#This Row],[Product]],Categorie_1_Producten[#All],25,FALSE)*(Optimalisatie!J98),VLOOKUP(Inschrijf_Hernieuwbare_Energie_Totaal[[#This Row],[Product]]&amp;", "&amp;Inschrijf_Hernieuwbare_Energie_Totaal[[#Headers],[D2]],Database_Productkaarten[#All],48,FALSE)*Optimalisatie!J98),Baseline_Backlog!Q411),0))</f>
        <v>0</v>
      </c>
      <c r="R411" s="91">
        <f>(IF(Optimalisatie!C98="Bestaande Situatie",_xlfn.IFNA(IF(Optimalisatie!E98="Categorie_1_LCA_Producten",VLOOKUP(Inschrijf_Hernieuwbare_Energie_Totaal[[#This Row],[Product]],Categorie_1_Producten[#All],29,FALSE)*(Optimalisatie!J98),VLOOKUP(Inschrijf_Hernieuwbare_Energie_Totaal[[#This Row],[Product]]&amp;", "&amp;Inschrijf_Hernieuwbare_Energie_Totaal[[#Headers],[D]],Database_Productkaarten[#All],48,FALSE)*Optimalisatie!J98),Baseline_Backlog!S411),0))</f>
        <v>0</v>
      </c>
      <c r="S411" s="91">
        <f>SUM(Inschrijf_Hernieuwbare_Energie_Totaal[[#This Row],[A1-A3]:[C4]])+Inschrijf_Hernieuwbare_Energie_Totaal[[#This Row],[D]]</f>
        <v>0</v>
      </c>
    </row>
    <row r="412" spans="2:19">
      <c r="B412" s="208">
        <f>Optimalisatie!B99</f>
        <v>0</v>
      </c>
      <c r="C412" s="1">
        <f>Optimalisatie!F99</f>
        <v>0</v>
      </c>
      <c r="D412" s="91">
        <f>(IF(Optimalisatie!C99="Nieuwe Situatie",_xlfn.IFNA(IF(Optimalisatie!E99="Categorie_1_LCA_Producten",VLOOKUP(Inschrijf_Hernieuwbare_Energie_Totaal[[#This Row],[Product]],Categorie_1_Producten[#All],20,FALSE)*(Optimalisatie!J99),VLOOKUP(Inschrijf_Hernieuwbare_Energie_Totaal[[#This Row],[Product]]&amp;", "&amp;Inschrijf_Hernieuwbare_Energie_Totaal[[#Headers],[A1]],Database_Productkaarten[#All],48,FALSE)*Optimalisatie!J99),Baseline_Backlog!D412),0))</f>
        <v>0</v>
      </c>
      <c r="E412" s="91">
        <f>(IF(Optimalisatie!C99="Nieuwe Situatie",_xlfn.IFNA(IF(Optimalisatie!E99="Categorie_1_LCA_Producten",VLOOKUP(Inschrijf_Hernieuwbare_Energie_Totaal[[#This Row],[Product]],Categorie_1_Producten[#All],21,FALSE)*(Optimalisatie!J99),VLOOKUP(Inschrijf_Hernieuwbare_Energie_Totaal[[#This Row],[Product]]&amp;", "&amp;Inschrijf_Hernieuwbare_Energie_Totaal[[#Headers],[A2]],Database_Productkaarten[#All],48,FALSE)*Optimalisatie!J99),Baseline_Backlog!E412),0))</f>
        <v>0</v>
      </c>
      <c r="F412" s="91">
        <f>(IF(Optimalisatie!C99="Nieuwe Situatie",_xlfn.IFNA(IF(Optimalisatie!E99="Categorie_1_LCA_Producten",VLOOKUP(Inschrijf_Hernieuwbare_Energie_Totaal[[#This Row],[Product]],Categorie_1_Producten[#All],22,FALSE)*(Optimalisatie!J99),VLOOKUP(Inschrijf_Hernieuwbare_Energie_Totaal[[#This Row],[Product]]&amp;", "&amp;Inschrijf_Hernieuwbare_Energie_Totaal[[#Headers],[A3]],Database_Productkaarten[#All],48,FALSE)*Optimalisatie!J99),Baseline_Backlog!F412),0))</f>
        <v>0</v>
      </c>
      <c r="G412" s="91">
        <f>(IF(Optimalisatie!C99="Nieuwe Situatie",_xlfn.IFNA(IF(Optimalisatie!E99="Categorie_1_LCA_Producten",VLOOKUP(Inschrijf_Hernieuwbare_Energie_Totaal[[#This Row],[Product]],Categorie_1_Producten[#All],27,FALSE)*(Optimalisatie!J99),VLOOKUP(Inschrijf_Hernieuwbare_Energie_Totaal[[#This Row],[Product]]&amp;", "&amp;Inschrijf_Hernieuwbare_Energie_Totaal[[#Headers],[A1-A3]],Database_Productkaarten[#All],48,FALSE)*Optimalisatie!J99),Baseline_Backlog!G412),0))</f>
        <v>0</v>
      </c>
      <c r="H412" s="91">
        <f>(IF(Optimalisatie!C99="Nieuwe Situatie",_xlfn.IFNA(VLOOKUP(Optimalisatie!V99,Database_Transport[#All],42,FALSE)*(Optimalisatie!R99*Optimalisatie!U99),Baseline_Backlog!H412),0))</f>
        <v>0</v>
      </c>
      <c r="I412" s="91">
        <f>IF(Optimalisatie!C99="Nieuwe situatie",IF(_xlfn.IFNA((VLOOKUP(Optimalisatie!W99,Database_Asfalt_Aanlegset[#All],42,FALSE)*Optimalisatie!J99),0)+_xlfn.IFNA(VLOOKUP(Optimalisatie!X99,Database_Brandstoffen[#All],42,FALSE)*((Optimalisatie!J99/Optimalisatie!Z99)*Optimalisatie!Y99),0)&gt;0,_xlfn.IFNA((VLOOKUP(Optimalisatie!W99,Database_Asfalt_Aanlegset[#All],42,FALSE)*Optimalisatie!J99),0)+_xlfn.IFNA(VLOOKUP(Optimalisatie!X99,Database_Brandstoffen[#All],42,FALSE)*((Optimalisatie!J99/Optimalisatie!Z99)*Optimalisatie!Y99),0),(_xlfn.IFNA(VLOOKUP(Inschrijf_Hernieuwbare_Energie_Totaal[[#This Row],[Product]]&amp;", "&amp;Inschrijf_MKI_Totaal[[#Headers],[A5]],Database_Productkaarten[#All],48,FALSE),0)*Optimalisatie!J99)),0)</f>
        <v>0</v>
      </c>
      <c r="J412" s="91">
        <f>(IF(Optimalisatie!C99="Nieuwe Situatie",_xlfn.IFNA(IF(Optimalisatie!E99="Categorie_1_LCA_Producten",VLOOKUP(Inschrijf_Hernieuwbare_Energie_Totaal[[#This Row],[Product]],Categorie_1_Producten[#All],28,FALSE)*(Optimalisatie!R99),VLOOKUP(Inschrijf_Hernieuwbare_Energie_Totaal[[#This Row],[Product]]&amp;", "&amp;Inschrijf_Hernieuwbare_Energie_Totaal[[#Headers],[B1]],Database_Productkaarten[#All],47,FALSE)*Optimalisatie!J99),Baseline_Backlog!J412),0))</f>
        <v>0</v>
      </c>
      <c r="K412" s="91">
        <f>(IF(Optimalisatie!C99="Nieuwe Situatie",_xlfn.IFNA(SUM(Inschrijf_Hernieuwbare_Energie_Totaal[[#This Row],[A1]:[B1]],Inschrijf_Hernieuwbare_Energie_Totaal[[#This Row],[C1]:[D2]])*Optimalisatie!T99,0),0))</f>
        <v>0</v>
      </c>
      <c r="L412" s="91">
        <f>IF(Optimalisatie!C99="Bestaande situatie",IF(_xlfn.IFNA((VLOOKUP(Optimalisatie!AA99,Database_Asfalt_Verwijderset[#All],42,FALSE)*Optimalisatie!J99),0)+_xlfn.IFNA(VLOOKUP(Optimalisatie!AB99,Database_Brandstoffen[#All],42,FALSE)*((Optimalisatie!J99/Optimalisatie!AD99)*Optimalisatie!AC99),0)&gt;0,_xlfn.IFNA((VLOOKUP(Optimalisatie!AA99,Database_Asfalt_Verwijderset[#All],42,FALSE)*Optimalisatie!J99),0)+_xlfn.IFNA(VLOOKUP(Optimalisatie!AB99,Database_Brandstoffen[#All],42,FALSE)*((Optimalisatie!J99/Optimalisatie!AD99)*Optimalisatie!AC99),0),(_xlfn.IFNA(VLOOKUP(Inschrijf_Hernieuwbare_Energie_Totaal[[#This Row],[Product]]&amp;", "&amp;Inschrijf_MKI_Totaal[[#Headers],[C1]],Database_Productkaarten[#All],48,FALSE),0)*Optimalisatie!J99)),0)</f>
        <v>0</v>
      </c>
      <c r="M412" s="91">
        <f>(IF(Optimalisatie!C99="Bestaande Situatie",_xlfn.IFNA(VLOOKUP(Optimalisatie!AF99,Database_Transport[#All],42,FALSE)*(Optimalisatie!R99*Optimalisatie!AE99),Baseline_Backlog!M412),0))</f>
        <v>0</v>
      </c>
      <c r="N412" s="91">
        <f>(IF(Optimalisatie!C99="Bestaande Situatie",_xlfn.IFNA(VLOOKUP(Optimalisatie!AG99,Database_Asfalt_Verwerkingsset[#All],42,FALSE)*(Optimalisatie!J99/VLOOKUP(Optimalisatie!AG99,Database_Asfalt_Verwerkingsset[#All],42,FALSE)),Baseline_Backlog!N412),0))</f>
        <v>0</v>
      </c>
      <c r="O412" s="91">
        <f>(IF(Optimalisatie!C99="Bestaande Situatie",_xlfn.IFNA(VLOOKUP(Inschrijf_Hernieuwbare_Energie_Totaal[[#This Row],[Product]]&amp;", "&amp;Inschrijf_MKI_Totaal[[#Headers],[C4]],Database_Productkaarten[#All],48,FALSE)*Optimalisatie!J99,Baseline_Backlog!O412),0))</f>
        <v>0</v>
      </c>
      <c r="P412" s="91">
        <f>(IF(Optimalisatie!C99="Bestaande Situatie",_xlfn.IFNA(IF(Optimalisatie!E99="Categorie_1_LCA_Producten",VLOOKUP(Inschrijf_Hernieuwbare_Energie_Totaal[[#This Row],[Product]],Categorie_1_Producten[#All],24,FALSE)*(Optimalisatie!J99),VLOOKUP(Inschrijf_Hernieuwbare_Energie_Totaal[[#This Row],[Product]]&amp;", "&amp;Inschrijf_Hernieuwbare_Energie_Totaal[[#Headers],[D1]],Database_Productkaarten[#All],48,FALSE)*Optimalisatie!J99),Baseline_Backlog!P412),0))</f>
        <v>0</v>
      </c>
      <c r="Q412" s="91">
        <f>(IF(Optimalisatie!C99="Bestaande Situatie",_xlfn.IFNA(IF(Optimalisatie!E99="Categorie_1_LCA_Producten",VLOOKUP(Inschrijf_Hernieuwbare_Energie_Totaal[[#This Row],[Product]],Categorie_1_Producten[#All],25,FALSE)*(Optimalisatie!J99),VLOOKUP(Inschrijf_Hernieuwbare_Energie_Totaal[[#This Row],[Product]]&amp;", "&amp;Inschrijf_Hernieuwbare_Energie_Totaal[[#Headers],[D2]],Database_Productkaarten[#All],48,FALSE)*Optimalisatie!J99),Baseline_Backlog!Q412),0))</f>
        <v>0</v>
      </c>
      <c r="R412" s="91">
        <f>(IF(Optimalisatie!C99="Bestaande Situatie",_xlfn.IFNA(IF(Optimalisatie!E99="Categorie_1_LCA_Producten",VLOOKUP(Inschrijf_Hernieuwbare_Energie_Totaal[[#This Row],[Product]],Categorie_1_Producten[#All],29,FALSE)*(Optimalisatie!J99),VLOOKUP(Inschrijf_Hernieuwbare_Energie_Totaal[[#This Row],[Product]]&amp;", "&amp;Inschrijf_Hernieuwbare_Energie_Totaal[[#Headers],[D]],Database_Productkaarten[#All],48,FALSE)*Optimalisatie!J99),Baseline_Backlog!S412),0))</f>
        <v>0</v>
      </c>
      <c r="S412" s="91">
        <f>SUM(Inschrijf_Hernieuwbare_Energie_Totaal[[#This Row],[A1-A3]:[C4]])+Inschrijf_Hernieuwbare_Energie_Totaal[[#This Row],[D]]</f>
        <v>0</v>
      </c>
    </row>
    <row r="413" spans="2:19">
      <c r="B413" s="208">
        <f>Optimalisatie!B100</f>
        <v>0</v>
      </c>
      <c r="C413" s="1">
        <f>Optimalisatie!F100</f>
        <v>0</v>
      </c>
      <c r="D413" s="91">
        <f>(IF(Optimalisatie!C100="Nieuwe Situatie",_xlfn.IFNA(IF(Optimalisatie!E100="Categorie_1_LCA_Producten",VLOOKUP(Inschrijf_Hernieuwbare_Energie_Totaal[[#This Row],[Product]],Categorie_1_Producten[#All],20,FALSE)*(Optimalisatie!J100),VLOOKUP(Inschrijf_Hernieuwbare_Energie_Totaal[[#This Row],[Product]]&amp;", "&amp;Inschrijf_Hernieuwbare_Energie_Totaal[[#Headers],[A1]],Database_Productkaarten[#All],48,FALSE)*Optimalisatie!J100),Baseline_Backlog!D413),0))</f>
        <v>0</v>
      </c>
      <c r="E413" s="91">
        <f>(IF(Optimalisatie!C100="Nieuwe Situatie",_xlfn.IFNA(IF(Optimalisatie!E100="Categorie_1_LCA_Producten",VLOOKUP(Inschrijf_Hernieuwbare_Energie_Totaal[[#This Row],[Product]],Categorie_1_Producten[#All],21,FALSE)*(Optimalisatie!J100),VLOOKUP(Inschrijf_Hernieuwbare_Energie_Totaal[[#This Row],[Product]]&amp;", "&amp;Inschrijf_Hernieuwbare_Energie_Totaal[[#Headers],[A2]],Database_Productkaarten[#All],48,FALSE)*Optimalisatie!J100),Baseline_Backlog!E413),0))</f>
        <v>0</v>
      </c>
      <c r="F413" s="91">
        <f>(IF(Optimalisatie!C100="Nieuwe Situatie",_xlfn.IFNA(IF(Optimalisatie!E100="Categorie_1_LCA_Producten",VLOOKUP(Inschrijf_Hernieuwbare_Energie_Totaal[[#This Row],[Product]],Categorie_1_Producten[#All],22,FALSE)*(Optimalisatie!J100),VLOOKUP(Inschrijf_Hernieuwbare_Energie_Totaal[[#This Row],[Product]]&amp;", "&amp;Inschrijf_Hernieuwbare_Energie_Totaal[[#Headers],[A3]],Database_Productkaarten[#All],48,FALSE)*Optimalisatie!J100),Baseline_Backlog!F413),0))</f>
        <v>0</v>
      </c>
      <c r="G413" s="91">
        <f>(IF(Optimalisatie!C100="Nieuwe Situatie",_xlfn.IFNA(IF(Optimalisatie!E100="Categorie_1_LCA_Producten",VLOOKUP(Inschrijf_Hernieuwbare_Energie_Totaal[[#This Row],[Product]],Categorie_1_Producten[#All],27,FALSE)*(Optimalisatie!J100),VLOOKUP(Inschrijf_Hernieuwbare_Energie_Totaal[[#This Row],[Product]]&amp;", "&amp;Inschrijf_Hernieuwbare_Energie_Totaal[[#Headers],[A1-A3]],Database_Productkaarten[#All],48,FALSE)*Optimalisatie!J100),Baseline_Backlog!G413),0))</f>
        <v>0</v>
      </c>
      <c r="H413" s="91">
        <f>(IF(Optimalisatie!C100="Nieuwe Situatie",_xlfn.IFNA(VLOOKUP(Optimalisatie!V100,Database_Transport[#All],42,FALSE)*(Optimalisatie!R100*Optimalisatie!U100),Baseline_Backlog!H413),0))</f>
        <v>0</v>
      </c>
      <c r="I413" s="91">
        <f>IF(Optimalisatie!C100="Nieuwe situatie",IF(_xlfn.IFNA((VLOOKUP(Optimalisatie!W100,Database_Asfalt_Aanlegset[#All],42,FALSE)*Optimalisatie!J100),0)+_xlfn.IFNA(VLOOKUP(Optimalisatie!X100,Database_Brandstoffen[#All],42,FALSE)*((Optimalisatie!J100/Optimalisatie!Z100)*Optimalisatie!Y100),0)&gt;0,_xlfn.IFNA((VLOOKUP(Optimalisatie!W100,Database_Asfalt_Aanlegset[#All],42,FALSE)*Optimalisatie!J100),0)+_xlfn.IFNA(VLOOKUP(Optimalisatie!X100,Database_Brandstoffen[#All],42,FALSE)*((Optimalisatie!J100/Optimalisatie!Z100)*Optimalisatie!Y100),0),(_xlfn.IFNA(VLOOKUP(Inschrijf_Hernieuwbare_Energie_Totaal[[#This Row],[Product]]&amp;", "&amp;Inschrijf_MKI_Totaal[[#Headers],[A5]],Database_Productkaarten[#All],48,FALSE),0)*Optimalisatie!J100)),0)</f>
        <v>0</v>
      </c>
      <c r="J413" s="91">
        <f>(IF(Optimalisatie!C100="Nieuwe Situatie",_xlfn.IFNA(IF(Optimalisatie!E100="Categorie_1_LCA_Producten",VLOOKUP(Inschrijf_Hernieuwbare_Energie_Totaal[[#This Row],[Product]],Categorie_1_Producten[#All],28,FALSE)*(Optimalisatie!R100),VLOOKUP(Inschrijf_Hernieuwbare_Energie_Totaal[[#This Row],[Product]]&amp;", "&amp;Inschrijf_Hernieuwbare_Energie_Totaal[[#Headers],[B1]],Database_Productkaarten[#All],47,FALSE)*Optimalisatie!J100),Baseline_Backlog!J413),0))</f>
        <v>0</v>
      </c>
      <c r="K413" s="91">
        <f>(IF(Optimalisatie!C100="Nieuwe Situatie",_xlfn.IFNA(SUM(Inschrijf_Hernieuwbare_Energie_Totaal[[#This Row],[A1]:[B1]],Inschrijf_Hernieuwbare_Energie_Totaal[[#This Row],[C1]:[D2]])*Optimalisatie!T100,0),0))</f>
        <v>0</v>
      </c>
      <c r="L413" s="91">
        <f>IF(Optimalisatie!C100="Bestaande situatie",IF(_xlfn.IFNA((VLOOKUP(Optimalisatie!AA100,Database_Asfalt_Verwijderset[#All],42,FALSE)*Optimalisatie!J100),0)+_xlfn.IFNA(VLOOKUP(Optimalisatie!AB100,Database_Brandstoffen[#All],42,FALSE)*((Optimalisatie!J100/Optimalisatie!AD100)*Optimalisatie!AC100),0)&gt;0,_xlfn.IFNA((VLOOKUP(Optimalisatie!AA100,Database_Asfalt_Verwijderset[#All],42,FALSE)*Optimalisatie!J100),0)+_xlfn.IFNA(VLOOKUP(Optimalisatie!AB100,Database_Brandstoffen[#All],42,FALSE)*((Optimalisatie!J100/Optimalisatie!AD100)*Optimalisatie!AC100),0),(_xlfn.IFNA(VLOOKUP(Inschrijf_Hernieuwbare_Energie_Totaal[[#This Row],[Product]]&amp;", "&amp;Inschrijf_MKI_Totaal[[#Headers],[C1]],Database_Productkaarten[#All],48,FALSE),0)*Optimalisatie!J100)),0)</f>
        <v>0</v>
      </c>
      <c r="M413" s="91">
        <f>(IF(Optimalisatie!C100="Bestaande Situatie",_xlfn.IFNA(VLOOKUP(Optimalisatie!AF100,Database_Transport[#All],42,FALSE)*(Optimalisatie!R100*Optimalisatie!AE100),Baseline_Backlog!M413),0))</f>
        <v>0</v>
      </c>
      <c r="N413" s="91">
        <f>(IF(Optimalisatie!C100="Bestaande Situatie",_xlfn.IFNA(VLOOKUP(Optimalisatie!AG100,Database_Asfalt_Verwerkingsset[#All],42,FALSE)*(Optimalisatie!J100/VLOOKUP(Optimalisatie!AG100,Database_Asfalt_Verwerkingsset[#All],42,FALSE)),Baseline_Backlog!N413),0))</f>
        <v>0</v>
      </c>
      <c r="O413" s="91">
        <f>(IF(Optimalisatie!C100="Bestaande Situatie",_xlfn.IFNA(VLOOKUP(Inschrijf_Hernieuwbare_Energie_Totaal[[#This Row],[Product]]&amp;", "&amp;Inschrijf_MKI_Totaal[[#Headers],[C4]],Database_Productkaarten[#All],48,FALSE)*Optimalisatie!J100,Baseline_Backlog!O413),0))</f>
        <v>0</v>
      </c>
      <c r="P413" s="91">
        <f>(IF(Optimalisatie!C100="Bestaande Situatie",_xlfn.IFNA(IF(Optimalisatie!E100="Categorie_1_LCA_Producten",VLOOKUP(Inschrijf_Hernieuwbare_Energie_Totaal[[#This Row],[Product]],Categorie_1_Producten[#All],24,FALSE)*(Optimalisatie!J100),VLOOKUP(Inschrijf_Hernieuwbare_Energie_Totaal[[#This Row],[Product]]&amp;", "&amp;Inschrijf_Hernieuwbare_Energie_Totaal[[#Headers],[D1]],Database_Productkaarten[#All],48,FALSE)*Optimalisatie!J100),Baseline_Backlog!P413),0))</f>
        <v>0</v>
      </c>
      <c r="Q413" s="91">
        <f>(IF(Optimalisatie!C100="Bestaande Situatie",_xlfn.IFNA(IF(Optimalisatie!E100="Categorie_1_LCA_Producten",VLOOKUP(Inschrijf_Hernieuwbare_Energie_Totaal[[#This Row],[Product]],Categorie_1_Producten[#All],25,FALSE)*(Optimalisatie!J100),VLOOKUP(Inschrijf_Hernieuwbare_Energie_Totaal[[#This Row],[Product]]&amp;", "&amp;Inschrijf_Hernieuwbare_Energie_Totaal[[#Headers],[D2]],Database_Productkaarten[#All],48,FALSE)*Optimalisatie!J100),Baseline_Backlog!Q413),0))</f>
        <v>0</v>
      </c>
      <c r="R413" s="91">
        <f>(IF(Optimalisatie!C100="Bestaande Situatie",_xlfn.IFNA(IF(Optimalisatie!E100="Categorie_1_LCA_Producten",VLOOKUP(Inschrijf_Hernieuwbare_Energie_Totaal[[#This Row],[Product]],Categorie_1_Producten[#All],29,FALSE)*(Optimalisatie!J100),VLOOKUP(Inschrijf_Hernieuwbare_Energie_Totaal[[#This Row],[Product]]&amp;", "&amp;Inschrijf_Hernieuwbare_Energie_Totaal[[#Headers],[D]],Database_Productkaarten[#All],48,FALSE)*Optimalisatie!J100),Baseline_Backlog!S413),0))</f>
        <v>0</v>
      </c>
      <c r="S413" s="91">
        <f>SUM(Inschrijf_Hernieuwbare_Energie_Totaal[[#This Row],[A1-A3]:[C4]])+Inschrijf_Hernieuwbare_Energie_Totaal[[#This Row],[D]]</f>
        <v>0</v>
      </c>
    </row>
    <row r="414" spans="2:19">
      <c r="B414" s="208">
        <f>Optimalisatie!B101</f>
        <v>0</v>
      </c>
      <c r="C414" s="1">
        <f>Optimalisatie!F101</f>
        <v>0</v>
      </c>
      <c r="D414" s="91">
        <f>(IF(Optimalisatie!C101="Nieuwe Situatie",_xlfn.IFNA(IF(Optimalisatie!E101="Categorie_1_LCA_Producten",VLOOKUP(Inschrijf_Hernieuwbare_Energie_Totaal[[#This Row],[Product]],Categorie_1_Producten[#All],20,FALSE)*(Optimalisatie!J101),VLOOKUP(Inschrijf_Hernieuwbare_Energie_Totaal[[#This Row],[Product]]&amp;", "&amp;Inschrijf_Hernieuwbare_Energie_Totaal[[#Headers],[A1]],Database_Productkaarten[#All],48,FALSE)*Optimalisatie!J101),Baseline_Backlog!D414),0))</f>
        <v>0</v>
      </c>
      <c r="E414" s="91">
        <f>(IF(Optimalisatie!C101="Nieuwe Situatie",_xlfn.IFNA(IF(Optimalisatie!E101="Categorie_1_LCA_Producten",VLOOKUP(Inschrijf_Hernieuwbare_Energie_Totaal[[#This Row],[Product]],Categorie_1_Producten[#All],21,FALSE)*(Optimalisatie!J101),VLOOKUP(Inschrijf_Hernieuwbare_Energie_Totaal[[#This Row],[Product]]&amp;", "&amp;Inschrijf_Hernieuwbare_Energie_Totaal[[#Headers],[A2]],Database_Productkaarten[#All],48,FALSE)*Optimalisatie!J101),Baseline_Backlog!E414),0))</f>
        <v>0</v>
      </c>
      <c r="F414" s="91">
        <f>(IF(Optimalisatie!C101="Nieuwe Situatie",_xlfn.IFNA(IF(Optimalisatie!E101="Categorie_1_LCA_Producten",VLOOKUP(Inschrijf_Hernieuwbare_Energie_Totaal[[#This Row],[Product]],Categorie_1_Producten[#All],22,FALSE)*(Optimalisatie!J101),VLOOKUP(Inschrijf_Hernieuwbare_Energie_Totaal[[#This Row],[Product]]&amp;", "&amp;Inschrijf_Hernieuwbare_Energie_Totaal[[#Headers],[A3]],Database_Productkaarten[#All],48,FALSE)*Optimalisatie!J101),Baseline_Backlog!F414),0))</f>
        <v>0</v>
      </c>
      <c r="G414" s="91">
        <f>(IF(Optimalisatie!C101="Nieuwe Situatie",_xlfn.IFNA(IF(Optimalisatie!E101="Categorie_1_LCA_Producten",VLOOKUP(Inschrijf_Hernieuwbare_Energie_Totaal[[#This Row],[Product]],Categorie_1_Producten[#All],27,FALSE)*(Optimalisatie!J101),VLOOKUP(Inschrijf_Hernieuwbare_Energie_Totaal[[#This Row],[Product]]&amp;", "&amp;Inschrijf_Hernieuwbare_Energie_Totaal[[#Headers],[A1-A3]],Database_Productkaarten[#All],48,FALSE)*Optimalisatie!J101),Baseline_Backlog!G414),0))</f>
        <v>0</v>
      </c>
      <c r="H414" s="91">
        <f>(IF(Optimalisatie!C101="Nieuwe Situatie",_xlfn.IFNA(VLOOKUP(Optimalisatie!V101,Database_Transport[#All],42,FALSE)*(Optimalisatie!R101*Optimalisatie!U101),Baseline_Backlog!H414),0))</f>
        <v>0</v>
      </c>
      <c r="I414" s="91">
        <f>IF(Optimalisatie!C101="Nieuwe situatie",IF(_xlfn.IFNA((VLOOKUP(Optimalisatie!W101,Database_Asfalt_Aanlegset[#All],42,FALSE)*Optimalisatie!J101),0)+_xlfn.IFNA(VLOOKUP(Optimalisatie!X101,Database_Brandstoffen[#All],42,FALSE)*((Optimalisatie!J101/Optimalisatie!Z101)*Optimalisatie!Y101),0)&gt;0,_xlfn.IFNA((VLOOKUP(Optimalisatie!W101,Database_Asfalt_Aanlegset[#All],42,FALSE)*Optimalisatie!J101),0)+_xlfn.IFNA(VLOOKUP(Optimalisatie!X101,Database_Brandstoffen[#All],42,FALSE)*((Optimalisatie!J101/Optimalisatie!Z101)*Optimalisatie!Y101),0),(_xlfn.IFNA(VLOOKUP(Inschrijf_Hernieuwbare_Energie_Totaal[[#This Row],[Product]]&amp;", "&amp;Inschrijf_MKI_Totaal[[#Headers],[A5]],Database_Productkaarten[#All],48,FALSE),0)*Optimalisatie!J101)),0)</f>
        <v>0</v>
      </c>
      <c r="J414" s="91">
        <f>(IF(Optimalisatie!C101="Nieuwe Situatie",_xlfn.IFNA(IF(Optimalisatie!E101="Categorie_1_LCA_Producten",VLOOKUP(Inschrijf_Hernieuwbare_Energie_Totaal[[#This Row],[Product]],Categorie_1_Producten[#All],28,FALSE)*(Optimalisatie!R101),VLOOKUP(Inschrijf_Hernieuwbare_Energie_Totaal[[#This Row],[Product]]&amp;", "&amp;Inschrijf_Hernieuwbare_Energie_Totaal[[#Headers],[B1]],Database_Productkaarten[#All],47,FALSE)*Optimalisatie!J101),Baseline_Backlog!J414),0))</f>
        <v>0</v>
      </c>
      <c r="K414" s="91">
        <f>(IF(Optimalisatie!C101="Nieuwe Situatie",_xlfn.IFNA(SUM(Inschrijf_Hernieuwbare_Energie_Totaal[[#This Row],[A1]:[B1]],Inschrijf_Hernieuwbare_Energie_Totaal[[#This Row],[C1]:[D2]])*Optimalisatie!T101,0),0))</f>
        <v>0</v>
      </c>
      <c r="L414" s="91">
        <f>IF(Optimalisatie!C101="Bestaande situatie",IF(_xlfn.IFNA((VLOOKUP(Optimalisatie!AA101,Database_Asfalt_Verwijderset[#All],42,FALSE)*Optimalisatie!J101),0)+_xlfn.IFNA(VLOOKUP(Optimalisatie!AB101,Database_Brandstoffen[#All],42,FALSE)*((Optimalisatie!J101/Optimalisatie!AD101)*Optimalisatie!AC101),0)&gt;0,_xlfn.IFNA((VLOOKUP(Optimalisatie!AA101,Database_Asfalt_Verwijderset[#All],42,FALSE)*Optimalisatie!J101),0)+_xlfn.IFNA(VLOOKUP(Optimalisatie!AB101,Database_Brandstoffen[#All],42,FALSE)*((Optimalisatie!J101/Optimalisatie!AD101)*Optimalisatie!AC101),0),(_xlfn.IFNA(VLOOKUP(Inschrijf_Hernieuwbare_Energie_Totaal[[#This Row],[Product]]&amp;", "&amp;Inschrijf_MKI_Totaal[[#Headers],[C1]],Database_Productkaarten[#All],48,FALSE),0)*Optimalisatie!J101)),0)</f>
        <v>0</v>
      </c>
      <c r="M414" s="91">
        <f>(IF(Optimalisatie!C101="Bestaande Situatie",_xlfn.IFNA(VLOOKUP(Optimalisatie!AF101,Database_Transport[#All],42,FALSE)*(Optimalisatie!R101*Optimalisatie!AE101),Baseline_Backlog!M414),0))</f>
        <v>0</v>
      </c>
      <c r="N414" s="91">
        <f>(IF(Optimalisatie!C101="Bestaande Situatie",_xlfn.IFNA(VLOOKUP(Optimalisatie!AG101,Database_Asfalt_Verwerkingsset[#All],42,FALSE)*(Optimalisatie!J101/VLOOKUP(Optimalisatie!AG101,Database_Asfalt_Verwerkingsset[#All],42,FALSE)),Baseline_Backlog!N414),0))</f>
        <v>0</v>
      </c>
      <c r="O414" s="91">
        <f>(IF(Optimalisatie!C101="Bestaande Situatie",_xlfn.IFNA(VLOOKUP(Inschrijf_Hernieuwbare_Energie_Totaal[[#This Row],[Product]]&amp;", "&amp;Inschrijf_MKI_Totaal[[#Headers],[C4]],Database_Productkaarten[#All],48,FALSE)*Optimalisatie!J101,Baseline_Backlog!O414),0))</f>
        <v>0</v>
      </c>
      <c r="P414" s="91">
        <f>(IF(Optimalisatie!C101="Bestaande Situatie",_xlfn.IFNA(IF(Optimalisatie!E101="Categorie_1_LCA_Producten",VLOOKUP(Inschrijf_Hernieuwbare_Energie_Totaal[[#This Row],[Product]],Categorie_1_Producten[#All],24,FALSE)*(Optimalisatie!J101),VLOOKUP(Inschrijf_Hernieuwbare_Energie_Totaal[[#This Row],[Product]]&amp;", "&amp;Inschrijf_Hernieuwbare_Energie_Totaal[[#Headers],[D1]],Database_Productkaarten[#All],48,FALSE)*Optimalisatie!J101),Baseline_Backlog!P414),0))</f>
        <v>0</v>
      </c>
      <c r="Q414" s="91">
        <f>(IF(Optimalisatie!C101="Bestaande Situatie",_xlfn.IFNA(IF(Optimalisatie!E101="Categorie_1_LCA_Producten",VLOOKUP(Inschrijf_Hernieuwbare_Energie_Totaal[[#This Row],[Product]],Categorie_1_Producten[#All],25,FALSE)*(Optimalisatie!J101),VLOOKUP(Inschrijf_Hernieuwbare_Energie_Totaal[[#This Row],[Product]]&amp;", "&amp;Inschrijf_Hernieuwbare_Energie_Totaal[[#Headers],[D2]],Database_Productkaarten[#All],48,FALSE)*Optimalisatie!J101),Baseline_Backlog!Q414),0))</f>
        <v>0</v>
      </c>
      <c r="R414" s="91">
        <f>(IF(Optimalisatie!C101="Bestaande Situatie",_xlfn.IFNA(IF(Optimalisatie!E101="Categorie_1_LCA_Producten",VLOOKUP(Inschrijf_Hernieuwbare_Energie_Totaal[[#This Row],[Product]],Categorie_1_Producten[#All],29,FALSE)*(Optimalisatie!J101),VLOOKUP(Inschrijf_Hernieuwbare_Energie_Totaal[[#This Row],[Product]]&amp;", "&amp;Inschrijf_Hernieuwbare_Energie_Totaal[[#Headers],[D]],Database_Productkaarten[#All],48,FALSE)*Optimalisatie!J101),Baseline_Backlog!S414),0))</f>
        <v>0</v>
      </c>
      <c r="S414" s="91">
        <f>SUM(Inschrijf_Hernieuwbare_Energie_Totaal[[#This Row],[A1-A3]:[C4]])+Inschrijf_Hernieuwbare_Energie_Totaal[[#This Row],[D]]</f>
        <v>0</v>
      </c>
    </row>
    <row r="415" spans="2:19">
      <c r="B415" s="208">
        <f>Optimalisatie!B102</f>
        <v>0</v>
      </c>
      <c r="C415" s="1">
        <f>Optimalisatie!F102</f>
        <v>0</v>
      </c>
      <c r="D415" s="91">
        <f>(IF(Optimalisatie!C102="Nieuwe Situatie",_xlfn.IFNA(IF(Optimalisatie!E102="Categorie_1_LCA_Producten",VLOOKUP(Inschrijf_Hernieuwbare_Energie_Totaal[[#This Row],[Product]],Categorie_1_Producten[#All],20,FALSE)*(Optimalisatie!J102),VLOOKUP(Inschrijf_Hernieuwbare_Energie_Totaal[[#This Row],[Product]]&amp;", "&amp;Inschrijf_Hernieuwbare_Energie_Totaal[[#Headers],[A1]],Database_Productkaarten[#All],48,FALSE)*Optimalisatie!J102),Baseline_Backlog!D415),0))</f>
        <v>0</v>
      </c>
      <c r="E415" s="91">
        <f>(IF(Optimalisatie!C102="Nieuwe Situatie",_xlfn.IFNA(IF(Optimalisatie!E102="Categorie_1_LCA_Producten",VLOOKUP(Inschrijf_Hernieuwbare_Energie_Totaal[[#This Row],[Product]],Categorie_1_Producten[#All],21,FALSE)*(Optimalisatie!J102),VLOOKUP(Inschrijf_Hernieuwbare_Energie_Totaal[[#This Row],[Product]]&amp;", "&amp;Inschrijf_Hernieuwbare_Energie_Totaal[[#Headers],[A2]],Database_Productkaarten[#All],48,FALSE)*Optimalisatie!J102),Baseline_Backlog!E415),0))</f>
        <v>0</v>
      </c>
      <c r="F415" s="91">
        <f>(IF(Optimalisatie!C102="Nieuwe Situatie",_xlfn.IFNA(IF(Optimalisatie!E102="Categorie_1_LCA_Producten",VLOOKUP(Inschrijf_Hernieuwbare_Energie_Totaal[[#This Row],[Product]],Categorie_1_Producten[#All],22,FALSE)*(Optimalisatie!J102),VLOOKUP(Inschrijf_Hernieuwbare_Energie_Totaal[[#This Row],[Product]]&amp;", "&amp;Inschrijf_Hernieuwbare_Energie_Totaal[[#Headers],[A3]],Database_Productkaarten[#All],48,FALSE)*Optimalisatie!J102),Baseline_Backlog!F415),0))</f>
        <v>0</v>
      </c>
      <c r="G415" s="91">
        <f>(IF(Optimalisatie!C102="Nieuwe Situatie",_xlfn.IFNA(IF(Optimalisatie!E102="Categorie_1_LCA_Producten",VLOOKUP(Inschrijf_Hernieuwbare_Energie_Totaal[[#This Row],[Product]],Categorie_1_Producten[#All],27,FALSE)*(Optimalisatie!J102),VLOOKUP(Inschrijf_Hernieuwbare_Energie_Totaal[[#This Row],[Product]]&amp;", "&amp;Inschrijf_Hernieuwbare_Energie_Totaal[[#Headers],[A1-A3]],Database_Productkaarten[#All],48,FALSE)*Optimalisatie!J102),Baseline_Backlog!G415),0))</f>
        <v>0</v>
      </c>
      <c r="H415" s="91">
        <f>(IF(Optimalisatie!C102="Nieuwe Situatie",_xlfn.IFNA(VLOOKUP(Optimalisatie!V102,Database_Transport[#All],42,FALSE)*(Optimalisatie!R102*Optimalisatie!U102),Baseline_Backlog!H415),0))</f>
        <v>0</v>
      </c>
      <c r="I415" s="91">
        <f>IF(Optimalisatie!C102="Nieuwe situatie",IF(_xlfn.IFNA((VLOOKUP(Optimalisatie!W102,Database_Asfalt_Aanlegset[#All],42,FALSE)*Optimalisatie!J102),0)+_xlfn.IFNA(VLOOKUP(Optimalisatie!X102,Database_Brandstoffen[#All],42,FALSE)*((Optimalisatie!J102/Optimalisatie!Z102)*Optimalisatie!Y102),0)&gt;0,_xlfn.IFNA((VLOOKUP(Optimalisatie!W102,Database_Asfalt_Aanlegset[#All],42,FALSE)*Optimalisatie!J102),0)+_xlfn.IFNA(VLOOKUP(Optimalisatie!X102,Database_Brandstoffen[#All],42,FALSE)*((Optimalisatie!J102/Optimalisatie!Z102)*Optimalisatie!Y102),0),(_xlfn.IFNA(VLOOKUP(Inschrijf_Hernieuwbare_Energie_Totaal[[#This Row],[Product]]&amp;", "&amp;Inschrijf_MKI_Totaal[[#Headers],[A5]],Database_Productkaarten[#All],48,FALSE),0)*Optimalisatie!J102)),0)</f>
        <v>0</v>
      </c>
      <c r="J415" s="91">
        <f>(IF(Optimalisatie!C102="Nieuwe Situatie",_xlfn.IFNA(IF(Optimalisatie!E102="Categorie_1_LCA_Producten",VLOOKUP(Inschrijf_Hernieuwbare_Energie_Totaal[[#This Row],[Product]],Categorie_1_Producten[#All],28,FALSE)*(Optimalisatie!R102),VLOOKUP(Inschrijf_Hernieuwbare_Energie_Totaal[[#This Row],[Product]]&amp;", "&amp;Inschrijf_Hernieuwbare_Energie_Totaal[[#Headers],[B1]],Database_Productkaarten[#All],47,FALSE)*Optimalisatie!J102),Baseline_Backlog!J415),0))</f>
        <v>0</v>
      </c>
      <c r="K415" s="91">
        <f>(IF(Optimalisatie!C102="Nieuwe Situatie",_xlfn.IFNA(SUM(Inschrijf_Hernieuwbare_Energie_Totaal[[#This Row],[A1]:[B1]],Inschrijf_Hernieuwbare_Energie_Totaal[[#This Row],[C1]:[D2]])*Optimalisatie!T102,0),0))</f>
        <v>0</v>
      </c>
      <c r="L415" s="91">
        <f>IF(Optimalisatie!C102="Bestaande situatie",IF(_xlfn.IFNA((VLOOKUP(Optimalisatie!AA102,Database_Asfalt_Verwijderset[#All],42,FALSE)*Optimalisatie!J102),0)+_xlfn.IFNA(VLOOKUP(Optimalisatie!AB102,Database_Brandstoffen[#All],42,FALSE)*((Optimalisatie!J102/Optimalisatie!AD102)*Optimalisatie!AC102),0)&gt;0,_xlfn.IFNA((VLOOKUP(Optimalisatie!AA102,Database_Asfalt_Verwijderset[#All],42,FALSE)*Optimalisatie!J102),0)+_xlfn.IFNA(VLOOKUP(Optimalisatie!AB102,Database_Brandstoffen[#All],42,FALSE)*((Optimalisatie!J102/Optimalisatie!AD102)*Optimalisatie!AC102),0),(_xlfn.IFNA(VLOOKUP(Inschrijf_Hernieuwbare_Energie_Totaal[[#This Row],[Product]]&amp;", "&amp;Inschrijf_MKI_Totaal[[#Headers],[C1]],Database_Productkaarten[#All],48,FALSE),0)*Optimalisatie!J102)),0)</f>
        <v>0</v>
      </c>
      <c r="M415" s="91">
        <f>(IF(Optimalisatie!C102="Bestaande Situatie",_xlfn.IFNA(VLOOKUP(Optimalisatie!AF102,Database_Transport[#All],42,FALSE)*(Optimalisatie!R102*Optimalisatie!AE102),Baseline_Backlog!M415),0))</f>
        <v>0</v>
      </c>
      <c r="N415" s="91">
        <f>(IF(Optimalisatie!C102="Bestaande Situatie",_xlfn.IFNA(VLOOKUP(Optimalisatie!AG102,Database_Asfalt_Verwerkingsset[#All],42,FALSE)*(Optimalisatie!J102/VLOOKUP(Optimalisatie!AG102,Database_Asfalt_Verwerkingsset[#All],42,FALSE)),Baseline_Backlog!N415),0))</f>
        <v>0</v>
      </c>
      <c r="O415" s="91">
        <f>(IF(Optimalisatie!C102="Bestaande Situatie",_xlfn.IFNA(VLOOKUP(Inschrijf_Hernieuwbare_Energie_Totaal[[#This Row],[Product]]&amp;", "&amp;Inschrijf_MKI_Totaal[[#Headers],[C4]],Database_Productkaarten[#All],48,FALSE)*Optimalisatie!J102,Baseline_Backlog!O415),0))</f>
        <v>0</v>
      </c>
      <c r="P415" s="91">
        <f>(IF(Optimalisatie!C102="Bestaande Situatie",_xlfn.IFNA(IF(Optimalisatie!E102="Categorie_1_LCA_Producten",VLOOKUP(Inschrijf_Hernieuwbare_Energie_Totaal[[#This Row],[Product]],Categorie_1_Producten[#All],24,FALSE)*(Optimalisatie!J102),VLOOKUP(Inschrijf_Hernieuwbare_Energie_Totaal[[#This Row],[Product]]&amp;", "&amp;Inschrijf_Hernieuwbare_Energie_Totaal[[#Headers],[D1]],Database_Productkaarten[#All],48,FALSE)*Optimalisatie!J102),Baseline_Backlog!P415),0))</f>
        <v>0</v>
      </c>
      <c r="Q415" s="91">
        <f>(IF(Optimalisatie!C102="Bestaande Situatie",_xlfn.IFNA(IF(Optimalisatie!E102="Categorie_1_LCA_Producten",VLOOKUP(Inschrijf_Hernieuwbare_Energie_Totaal[[#This Row],[Product]],Categorie_1_Producten[#All],25,FALSE)*(Optimalisatie!J102),VLOOKUP(Inschrijf_Hernieuwbare_Energie_Totaal[[#This Row],[Product]]&amp;", "&amp;Inschrijf_Hernieuwbare_Energie_Totaal[[#Headers],[D2]],Database_Productkaarten[#All],48,FALSE)*Optimalisatie!J102),Baseline_Backlog!Q415),0))</f>
        <v>0</v>
      </c>
      <c r="R415" s="91">
        <f>(IF(Optimalisatie!C102="Bestaande Situatie",_xlfn.IFNA(IF(Optimalisatie!E102="Categorie_1_LCA_Producten",VLOOKUP(Inschrijf_Hernieuwbare_Energie_Totaal[[#This Row],[Product]],Categorie_1_Producten[#All],29,FALSE)*(Optimalisatie!J102),VLOOKUP(Inschrijf_Hernieuwbare_Energie_Totaal[[#This Row],[Product]]&amp;", "&amp;Inschrijf_Hernieuwbare_Energie_Totaal[[#Headers],[D]],Database_Productkaarten[#All],48,FALSE)*Optimalisatie!J102),Baseline_Backlog!S415),0))</f>
        <v>0</v>
      </c>
      <c r="S415" s="91">
        <f>SUM(Inschrijf_Hernieuwbare_Energie_Totaal[[#This Row],[A1-A3]:[C4]])+Inschrijf_Hernieuwbare_Energie_Totaal[[#This Row],[D]]</f>
        <v>0</v>
      </c>
    </row>
    <row r="416" spans="2:19">
      <c r="B416" s="208">
        <f>Optimalisatie!B103</f>
        <v>0</v>
      </c>
      <c r="C416" s="1">
        <f>Optimalisatie!F103</f>
        <v>0</v>
      </c>
      <c r="D416" s="91">
        <f>(IF(Optimalisatie!C103="Nieuwe Situatie",_xlfn.IFNA(IF(Optimalisatie!E103="Categorie_1_LCA_Producten",VLOOKUP(Inschrijf_Hernieuwbare_Energie_Totaal[[#This Row],[Product]],Categorie_1_Producten[#All],20,FALSE)*(Optimalisatie!J103),VLOOKUP(Inschrijf_Hernieuwbare_Energie_Totaal[[#This Row],[Product]]&amp;", "&amp;Inschrijf_Hernieuwbare_Energie_Totaal[[#Headers],[A1]],Database_Productkaarten[#All],48,FALSE)*Optimalisatie!J103),Baseline_Backlog!D416),0))</f>
        <v>0</v>
      </c>
      <c r="E416" s="91">
        <f>(IF(Optimalisatie!C103="Nieuwe Situatie",_xlfn.IFNA(IF(Optimalisatie!E103="Categorie_1_LCA_Producten",VLOOKUP(Inschrijf_Hernieuwbare_Energie_Totaal[[#This Row],[Product]],Categorie_1_Producten[#All],21,FALSE)*(Optimalisatie!J103),VLOOKUP(Inschrijf_Hernieuwbare_Energie_Totaal[[#This Row],[Product]]&amp;", "&amp;Inschrijf_Hernieuwbare_Energie_Totaal[[#Headers],[A2]],Database_Productkaarten[#All],48,FALSE)*Optimalisatie!J103),Baseline_Backlog!E416),0))</f>
        <v>0</v>
      </c>
      <c r="F416" s="91">
        <f>(IF(Optimalisatie!C103="Nieuwe Situatie",_xlfn.IFNA(IF(Optimalisatie!E103="Categorie_1_LCA_Producten",VLOOKUP(Inschrijf_Hernieuwbare_Energie_Totaal[[#This Row],[Product]],Categorie_1_Producten[#All],22,FALSE)*(Optimalisatie!J103),VLOOKUP(Inschrijf_Hernieuwbare_Energie_Totaal[[#This Row],[Product]]&amp;", "&amp;Inschrijf_Hernieuwbare_Energie_Totaal[[#Headers],[A3]],Database_Productkaarten[#All],48,FALSE)*Optimalisatie!J103),Baseline_Backlog!F416),0))</f>
        <v>0</v>
      </c>
      <c r="G416" s="91">
        <f>(IF(Optimalisatie!C103="Nieuwe Situatie",_xlfn.IFNA(IF(Optimalisatie!E103="Categorie_1_LCA_Producten",VLOOKUP(Inschrijf_Hernieuwbare_Energie_Totaal[[#This Row],[Product]],Categorie_1_Producten[#All],27,FALSE)*(Optimalisatie!J103),VLOOKUP(Inschrijf_Hernieuwbare_Energie_Totaal[[#This Row],[Product]]&amp;", "&amp;Inschrijf_Hernieuwbare_Energie_Totaal[[#Headers],[A1-A3]],Database_Productkaarten[#All],48,FALSE)*Optimalisatie!J103),Baseline_Backlog!G416),0))</f>
        <v>0</v>
      </c>
      <c r="H416" s="91">
        <f>(IF(Optimalisatie!C103="Nieuwe Situatie",_xlfn.IFNA(VLOOKUP(Optimalisatie!V103,Database_Transport[#All],42,FALSE)*(Optimalisatie!R103*Optimalisatie!U103),Baseline_Backlog!H416),0))</f>
        <v>0</v>
      </c>
      <c r="I416" s="91">
        <f>IF(Optimalisatie!C103="Nieuwe situatie",IF(_xlfn.IFNA((VLOOKUP(Optimalisatie!W103,Database_Asfalt_Aanlegset[#All],42,FALSE)*Optimalisatie!J103),0)+_xlfn.IFNA(VLOOKUP(Optimalisatie!X103,Database_Brandstoffen[#All],42,FALSE)*((Optimalisatie!J103/Optimalisatie!Z103)*Optimalisatie!Y103),0)&gt;0,_xlfn.IFNA((VLOOKUP(Optimalisatie!W103,Database_Asfalt_Aanlegset[#All],42,FALSE)*Optimalisatie!J103),0)+_xlfn.IFNA(VLOOKUP(Optimalisatie!X103,Database_Brandstoffen[#All],42,FALSE)*((Optimalisatie!J103/Optimalisatie!Z103)*Optimalisatie!Y103),0),(_xlfn.IFNA(VLOOKUP(Inschrijf_Hernieuwbare_Energie_Totaal[[#This Row],[Product]]&amp;", "&amp;Inschrijf_MKI_Totaal[[#Headers],[A5]],Database_Productkaarten[#All],48,FALSE),0)*Optimalisatie!J103)),0)</f>
        <v>0</v>
      </c>
      <c r="J416" s="91">
        <f>(IF(Optimalisatie!C103="Nieuwe Situatie",_xlfn.IFNA(IF(Optimalisatie!E103="Categorie_1_LCA_Producten",VLOOKUP(Inschrijf_Hernieuwbare_Energie_Totaal[[#This Row],[Product]],Categorie_1_Producten[#All],28,FALSE)*(Optimalisatie!R103),VLOOKUP(Inschrijf_Hernieuwbare_Energie_Totaal[[#This Row],[Product]]&amp;", "&amp;Inschrijf_Hernieuwbare_Energie_Totaal[[#Headers],[B1]],Database_Productkaarten[#All],47,FALSE)*Optimalisatie!J103),Baseline_Backlog!J416),0))</f>
        <v>0</v>
      </c>
      <c r="K416" s="91">
        <f>(IF(Optimalisatie!C103="Nieuwe Situatie",_xlfn.IFNA(SUM(Inschrijf_Hernieuwbare_Energie_Totaal[[#This Row],[A1]:[B1]],Inschrijf_Hernieuwbare_Energie_Totaal[[#This Row],[C1]:[D2]])*Optimalisatie!T103,0),0))</f>
        <v>0</v>
      </c>
      <c r="L416" s="91">
        <f>IF(Optimalisatie!C103="Bestaande situatie",IF(_xlfn.IFNA((VLOOKUP(Optimalisatie!AA103,Database_Asfalt_Verwijderset[#All],42,FALSE)*Optimalisatie!J103),0)+_xlfn.IFNA(VLOOKUP(Optimalisatie!AB103,Database_Brandstoffen[#All],42,FALSE)*((Optimalisatie!J103/Optimalisatie!AD103)*Optimalisatie!AC103),0)&gt;0,_xlfn.IFNA((VLOOKUP(Optimalisatie!AA103,Database_Asfalt_Verwijderset[#All],42,FALSE)*Optimalisatie!J103),0)+_xlfn.IFNA(VLOOKUP(Optimalisatie!AB103,Database_Brandstoffen[#All],42,FALSE)*((Optimalisatie!J103/Optimalisatie!AD103)*Optimalisatie!AC103),0),(_xlfn.IFNA(VLOOKUP(Inschrijf_Hernieuwbare_Energie_Totaal[[#This Row],[Product]]&amp;", "&amp;Inschrijf_MKI_Totaal[[#Headers],[C1]],Database_Productkaarten[#All],48,FALSE),0)*Optimalisatie!J103)),0)</f>
        <v>0</v>
      </c>
      <c r="M416" s="91">
        <f>(IF(Optimalisatie!C103="Bestaande Situatie",_xlfn.IFNA(VLOOKUP(Optimalisatie!AF103,Database_Transport[#All],42,FALSE)*(Optimalisatie!R103*Optimalisatie!AE103),Baseline_Backlog!M416),0))</f>
        <v>0</v>
      </c>
      <c r="N416" s="91">
        <f>(IF(Optimalisatie!C103="Bestaande Situatie",_xlfn.IFNA(VLOOKUP(Optimalisatie!AG103,Database_Asfalt_Verwerkingsset[#All],42,FALSE)*(Optimalisatie!J103/VLOOKUP(Optimalisatie!AG103,Database_Asfalt_Verwerkingsset[#All],42,FALSE)),Baseline_Backlog!N416),0))</f>
        <v>0</v>
      </c>
      <c r="O416" s="91">
        <f>(IF(Optimalisatie!C103="Bestaande Situatie",_xlfn.IFNA(VLOOKUP(Inschrijf_Hernieuwbare_Energie_Totaal[[#This Row],[Product]]&amp;", "&amp;Inschrijf_MKI_Totaal[[#Headers],[C4]],Database_Productkaarten[#All],48,FALSE)*Optimalisatie!J103,Baseline_Backlog!O416),0))</f>
        <v>0</v>
      </c>
      <c r="P416" s="91">
        <f>(IF(Optimalisatie!C103="Bestaande Situatie",_xlfn.IFNA(IF(Optimalisatie!E103="Categorie_1_LCA_Producten",VLOOKUP(Inschrijf_Hernieuwbare_Energie_Totaal[[#This Row],[Product]],Categorie_1_Producten[#All],24,FALSE)*(Optimalisatie!J103),VLOOKUP(Inschrijf_Hernieuwbare_Energie_Totaal[[#This Row],[Product]]&amp;", "&amp;Inschrijf_Hernieuwbare_Energie_Totaal[[#Headers],[D1]],Database_Productkaarten[#All],48,FALSE)*Optimalisatie!J103),Baseline_Backlog!P416),0))</f>
        <v>0</v>
      </c>
      <c r="Q416" s="91">
        <f>(IF(Optimalisatie!C103="Bestaande Situatie",_xlfn.IFNA(IF(Optimalisatie!E103="Categorie_1_LCA_Producten",VLOOKUP(Inschrijf_Hernieuwbare_Energie_Totaal[[#This Row],[Product]],Categorie_1_Producten[#All],25,FALSE)*(Optimalisatie!J103),VLOOKUP(Inschrijf_Hernieuwbare_Energie_Totaal[[#This Row],[Product]]&amp;", "&amp;Inschrijf_Hernieuwbare_Energie_Totaal[[#Headers],[D2]],Database_Productkaarten[#All],48,FALSE)*Optimalisatie!J103),Baseline_Backlog!Q416),0))</f>
        <v>0</v>
      </c>
      <c r="R416" s="91">
        <f>(IF(Optimalisatie!C103="Bestaande Situatie",_xlfn.IFNA(IF(Optimalisatie!E103="Categorie_1_LCA_Producten",VLOOKUP(Inschrijf_Hernieuwbare_Energie_Totaal[[#This Row],[Product]],Categorie_1_Producten[#All],29,FALSE)*(Optimalisatie!J103),VLOOKUP(Inschrijf_Hernieuwbare_Energie_Totaal[[#This Row],[Product]]&amp;", "&amp;Inschrijf_Hernieuwbare_Energie_Totaal[[#Headers],[D]],Database_Productkaarten[#All],48,FALSE)*Optimalisatie!J103),Baseline_Backlog!S416),0))</f>
        <v>0</v>
      </c>
      <c r="S416" s="91">
        <f>SUM(Inschrijf_Hernieuwbare_Energie_Totaal[[#This Row],[A1-A3]:[C4]])+Inschrijf_Hernieuwbare_Energie_Totaal[[#This Row],[D]]</f>
        <v>0</v>
      </c>
    </row>
    <row r="417" spans="2:19">
      <c r="B417" s="208">
        <f>Optimalisatie!B104</f>
        <v>0</v>
      </c>
      <c r="C417" s="1">
        <f>Optimalisatie!F104</f>
        <v>0</v>
      </c>
      <c r="D417" s="91">
        <f>(IF(Optimalisatie!C104="Nieuwe Situatie",_xlfn.IFNA(IF(Optimalisatie!E104="Categorie_1_LCA_Producten",VLOOKUP(Inschrijf_Hernieuwbare_Energie_Totaal[[#This Row],[Product]],Categorie_1_Producten[#All],20,FALSE)*(Optimalisatie!J104),VLOOKUP(Inschrijf_Hernieuwbare_Energie_Totaal[[#This Row],[Product]]&amp;", "&amp;Inschrijf_Hernieuwbare_Energie_Totaal[[#Headers],[A1]],Database_Productkaarten[#All],48,FALSE)*Optimalisatie!J104),Baseline_Backlog!D417),0))</f>
        <v>0</v>
      </c>
      <c r="E417" s="91">
        <f>(IF(Optimalisatie!C104="Nieuwe Situatie",_xlfn.IFNA(IF(Optimalisatie!E104="Categorie_1_LCA_Producten",VLOOKUP(Inschrijf_Hernieuwbare_Energie_Totaal[[#This Row],[Product]],Categorie_1_Producten[#All],21,FALSE)*(Optimalisatie!J104),VLOOKUP(Inschrijf_Hernieuwbare_Energie_Totaal[[#This Row],[Product]]&amp;", "&amp;Inschrijf_Hernieuwbare_Energie_Totaal[[#Headers],[A2]],Database_Productkaarten[#All],48,FALSE)*Optimalisatie!J104),Baseline_Backlog!E417),0))</f>
        <v>0</v>
      </c>
      <c r="F417" s="91">
        <f>(IF(Optimalisatie!C104="Nieuwe Situatie",_xlfn.IFNA(IF(Optimalisatie!E104="Categorie_1_LCA_Producten",VLOOKUP(Inschrijf_Hernieuwbare_Energie_Totaal[[#This Row],[Product]],Categorie_1_Producten[#All],22,FALSE)*(Optimalisatie!J104),VLOOKUP(Inschrijf_Hernieuwbare_Energie_Totaal[[#This Row],[Product]]&amp;", "&amp;Inschrijf_Hernieuwbare_Energie_Totaal[[#Headers],[A3]],Database_Productkaarten[#All],48,FALSE)*Optimalisatie!J104),Baseline_Backlog!F417),0))</f>
        <v>0</v>
      </c>
      <c r="G417" s="91">
        <f>(IF(Optimalisatie!C104="Nieuwe Situatie",_xlfn.IFNA(IF(Optimalisatie!E104="Categorie_1_LCA_Producten",VLOOKUP(Inschrijf_Hernieuwbare_Energie_Totaal[[#This Row],[Product]],Categorie_1_Producten[#All],27,FALSE)*(Optimalisatie!J104),VLOOKUP(Inschrijf_Hernieuwbare_Energie_Totaal[[#This Row],[Product]]&amp;", "&amp;Inschrijf_Hernieuwbare_Energie_Totaal[[#Headers],[A1-A3]],Database_Productkaarten[#All],48,FALSE)*Optimalisatie!J104),Baseline_Backlog!G417),0))</f>
        <v>0</v>
      </c>
      <c r="H417" s="91">
        <f>(IF(Optimalisatie!C104="Nieuwe Situatie",_xlfn.IFNA(VLOOKUP(Optimalisatie!V104,Database_Transport[#All],42,FALSE)*(Optimalisatie!R104*Optimalisatie!U104),Baseline_Backlog!H417),0))</f>
        <v>0</v>
      </c>
      <c r="I417" s="91">
        <f>IF(Optimalisatie!C104="Nieuwe situatie",IF(_xlfn.IFNA((VLOOKUP(Optimalisatie!W104,Database_Asfalt_Aanlegset[#All],42,FALSE)*Optimalisatie!J104),0)+_xlfn.IFNA(VLOOKUP(Optimalisatie!X104,Database_Brandstoffen[#All],42,FALSE)*((Optimalisatie!J104/Optimalisatie!Z104)*Optimalisatie!Y104),0)&gt;0,_xlfn.IFNA((VLOOKUP(Optimalisatie!W104,Database_Asfalt_Aanlegset[#All],42,FALSE)*Optimalisatie!J104),0)+_xlfn.IFNA(VLOOKUP(Optimalisatie!X104,Database_Brandstoffen[#All],42,FALSE)*((Optimalisatie!J104/Optimalisatie!Z104)*Optimalisatie!Y104),0),(_xlfn.IFNA(VLOOKUP(Inschrijf_Hernieuwbare_Energie_Totaal[[#This Row],[Product]]&amp;", "&amp;Inschrijf_MKI_Totaal[[#Headers],[A5]],Database_Productkaarten[#All],48,FALSE),0)*Optimalisatie!J104)),0)</f>
        <v>0</v>
      </c>
      <c r="J417" s="91">
        <f>(IF(Optimalisatie!C104="Nieuwe Situatie",_xlfn.IFNA(IF(Optimalisatie!E104="Categorie_1_LCA_Producten",VLOOKUP(Inschrijf_Hernieuwbare_Energie_Totaal[[#This Row],[Product]],Categorie_1_Producten[#All],28,FALSE)*(Optimalisatie!R104),VLOOKUP(Inschrijf_Hernieuwbare_Energie_Totaal[[#This Row],[Product]]&amp;", "&amp;Inschrijf_Hernieuwbare_Energie_Totaal[[#Headers],[B1]],Database_Productkaarten[#All],47,FALSE)*Optimalisatie!J104),Baseline_Backlog!J417),0))</f>
        <v>0</v>
      </c>
      <c r="K417" s="91">
        <f>(IF(Optimalisatie!C104="Nieuwe Situatie",_xlfn.IFNA(SUM(Inschrijf_Hernieuwbare_Energie_Totaal[[#This Row],[A1]:[B1]],Inschrijf_Hernieuwbare_Energie_Totaal[[#This Row],[C1]:[D2]])*Optimalisatie!T104,0),0))</f>
        <v>0</v>
      </c>
      <c r="L417" s="91">
        <f>IF(Optimalisatie!C104="Bestaande situatie",IF(_xlfn.IFNA((VLOOKUP(Optimalisatie!AA104,Database_Asfalt_Verwijderset[#All],42,FALSE)*Optimalisatie!J104),0)+_xlfn.IFNA(VLOOKUP(Optimalisatie!AB104,Database_Brandstoffen[#All],42,FALSE)*((Optimalisatie!J104/Optimalisatie!AD104)*Optimalisatie!AC104),0)&gt;0,_xlfn.IFNA((VLOOKUP(Optimalisatie!AA104,Database_Asfalt_Verwijderset[#All],42,FALSE)*Optimalisatie!J104),0)+_xlfn.IFNA(VLOOKUP(Optimalisatie!AB104,Database_Brandstoffen[#All],42,FALSE)*((Optimalisatie!J104/Optimalisatie!AD104)*Optimalisatie!AC104),0),(_xlfn.IFNA(VLOOKUP(Inschrijf_Hernieuwbare_Energie_Totaal[[#This Row],[Product]]&amp;", "&amp;Inschrijf_MKI_Totaal[[#Headers],[C1]],Database_Productkaarten[#All],48,FALSE),0)*Optimalisatie!J104)),0)</f>
        <v>0</v>
      </c>
      <c r="M417" s="91">
        <f>(IF(Optimalisatie!C104="Bestaande Situatie",_xlfn.IFNA(VLOOKUP(Optimalisatie!AF104,Database_Transport[#All],42,FALSE)*(Optimalisatie!R104*Optimalisatie!AE104),Baseline_Backlog!M417),0))</f>
        <v>0</v>
      </c>
      <c r="N417" s="91">
        <f>(IF(Optimalisatie!C104="Bestaande Situatie",_xlfn.IFNA(VLOOKUP(Optimalisatie!AG104,Database_Asfalt_Verwerkingsset[#All],42,FALSE)*(Optimalisatie!J104/VLOOKUP(Optimalisatie!AG104,Database_Asfalt_Verwerkingsset[#All],42,FALSE)),Baseline_Backlog!N417),0))</f>
        <v>0</v>
      </c>
      <c r="O417" s="91">
        <f>(IF(Optimalisatie!C104="Bestaande Situatie",_xlfn.IFNA(VLOOKUP(Inschrijf_Hernieuwbare_Energie_Totaal[[#This Row],[Product]]&amp;", "&amp;Inschrijf_MKI_Totaal[[#Headers],[C4]],Database_Productkaarten[#All],48,FALSE)*Optimalisatie!J104,Baseline_Backlog!O417),0))</f>
        <v>0</v>
      </c>
      <c r="P417" s="91">
        <f>(IF(Optimalisatie!C104="Bestaande Situatie",_xlfn.IFNA(IF(Optimalisatie!E104="Categorie_1_LCA_Producten",VLOOKUP(Inschrijf_Hernieuwbare_Energie_Totaal[[#This Row],[Product]],Categorie_1_Producten[#All],24,FALSE)*(Optimalisatie!J104),VLOOKUP(Inschrijf_Hernieuwbare_Energie_Totaal[[#This Row],[Product]]&amp;", "&amp;Inschrijf_Hernieuwbare_Energie_Totaal[[#Headers],[D1]],Database_Productkaarten[#All],48,FALSE)*Optimalisatie!J104),Baseline_Backlog!P417),0))</f>
        <v>0</v>
      </c>
      <c r="Q417" s="91">
        <f>(IF(Optimalisatie!C104="Bestaande Situatie",_xlfn.IFNA(IF(Optimalisatie!E104="Categorie_1_LCA_Producten",VLOOKUP(Inschrijf_Hernieuwbare_Energie_Totaal[[#This Row],[Product]],Categorie_1_Producten[#All],25,FALSE)*(Optimalisatie!J104),VLOOKUP(Inschrijf_Hernieuwbare_Energie_Totaal[[#This Row],[Product]]&amp;", "&amp;Inschrijf_Hernieuwbare_Energie_Totaal[[#Headers],[D2]],Database_Productkaarten[#All],48,FALSE)*Optimalisatie!J104),Baseline_Backlog!Q417),0))</f>
        <v>0</v>
      </c>
      <c r="R417" s="91">
        <f>(IF(Optimalisatie!C104="Bestaande Situatie",_xlfn.IFNA(IF(Optimalisatie!E104="Categorie_1_LCA_Producten",VLOOKUP(Inschrijf_Hernieuwbare_Energie_Totaal[[#This Row],[Product]],Categorie_1_Producten[#All],29,FALSE)*(Optimalisatie!J104),VLOOKUP(Inschrijf_Hernieuwbare_Energie_Totaal[[#This Row],[Product]]&amp;", "&amp;Inschrijf_Hernieuwbare_Energie_Totaal[[#Headers],[D]],Database_Productkaarten[#All],48,FALSE)*Optimalisatie!J104),Baseline_Backlog!S417),0))</f>
        <v>0</v>
      </c>
      <c r="S417" s="91">
        <f>SUM(Inschrijf_Hernieuwbare_Energie_Totaal[[#This Row],[A1-A3]:[C4]])+Inschrijf_Hernieuwbare_Energie_Totaal[[#This Row],[D]]</f>
        <v>0</v>
      </c>
    </row>
    <row r="418" spans="2:19">
      <c r="B418" s="208">
        <f>Optimalisatie!B105</f>
        <v>0</v>
      </c>
      <c r="C418" s="1">
        <f>Optimalisatie!F105</f>
        <v>0</v>
      </c>
      <c r="D418" s="91">
        <f>(IF(Optimalisatie!C105="Nieuwe Situatie",_xlfn.IFNA(IF(Optimalisatie!E105="Categorie_1_LCA_Producten",VLOOKUP(Inschrijf_Hernieuwbare_Energie_Totaal[[#This Row],[Product]],Categorie_1_Producten[#All],20,FALSE)*(Optimalisatie!J105),VLOOKUP(Inschrijf_Hernieuwbare_Energie_Totaal[[#This Row],[Product]]&amp;", "&amp;Inschrijf_Hernieuwbare_Energie_Totaal[[#Headers],[A1]],Database_Productkaarten[#All],48,FALSE)*Optimalisatie!J105),Baseline_Backlog!D418),0))</f>
        <v>0</v>
      </c>
      <c r="E418" s="91">
        <f>(IF(Optimalisatie!C105="Nieuwe Situatie",_xlfn.IFNA(IF(Optimalisatie!E105="Categorie_1_LCA_Producten",VLOOKUP(Inschrijf_Hernieuwbare_Energie_Totaal[[#This Row],[Product]],Categorie_1_Producten[#All],21,FALSE)*(Optimalisatie!J105),VLOOKUP(Inschrijf_Hernieuwbare_Energie_Totaal[[#This Row],[Product]]&amp;", "&amp;Inschrijf_Hernieuwbare_Energie_Totaal[[#Headers],[A2]],Database_Productkaarten[#All],48,FALSE)*Optimalisatie!J105),Baseline_Backlog!E418),0))</f>
        <v>0</v>
      </c>
      <c r="F418" s="91">
        <f>(IF(Optimalisatie!C105="Nieuwe Situatie",_xlfn.IFNA(IF(Optimalisatie!E105="Categorie_1_LCA_Producten",VLOOKUP(Inschrijf_Hernieuwbare_Energie_Totaal[[#This Row],[Product]],Categorie_1_Producten[#All],22,FALSE)*(Optimalisatie!J105),VLOOKUP(Inschrijf_Hernieuwbare_Energie_Totaal[[#This Row],[Product]]&amp;", "&amp;Inschrijf_Hernieuwbare_Energie_Totaal[[#Headers],[A3]],Database_Productkaarten[#All],48,FALSE)*Optimalisatie!J105),Baseline_Backlog!F418),0))</f>
        <v>0</v>
      </c>
      <c r="G418" s="91">
        <f>(IF(Optimalisatie!C105="Nieuwe Situatie",_xlfn.IFNA(IF(Optimalisatie!E105="Categorie_1_LCA_Producten",VLOOKUP(Inschrijf_Hernieuwbare_Energie_Totaal[[#This Row],[Product]],Categorie_1_Producten[#All],27,FALSE)*(Optimalisatie!J105),VLOOKUP(Inschrijf_Hernieuwbare_Energie_Totaal[[#This Row],[Product]]&amp;", "&amp;Inschrijf_Hernieuwbare_Energie_Totaal[[#Headers],[A1-A3]],Database_Productkaarten[#All],48,FALSE)*Optimalisatie!J105),Baseline_Backlog!G418),0))</f>
        <v>0</v>
      </c>
      <c r="H418" s="91">
        <f>(IF(Optimalisatie!C105="Nieuwe Situatie",_xlfn.IFNA(VLOOKUP(Optimalisatie!V105,Database_Transport[#All],42,FALSE)*(Optimalisatie!R105*Optimalisatie!U105),Baseline_Backlog!H418),0))</f>
        <v>0</v>
      </c>
      <c r="I418" s="91">
        <f>IF(Optimalisatie!C105="Nieuwe situatie",IF(_xlfn.IFNA((VLOOKUP(Optimalisatie!W105,Database_Asfalt_Aanlegset[#All],42,FALSE)*Optimalisatie!J105),0)+_xlfn.IFNA(VLOOKUP(Optimalisatie!X105,Database_Brandstoffen[#All],42,FALSE)*((Optimalisatie!J105/Optimalisatie!Z105)*Optimalisatie!Y105),0)&gt;0,_xlfn.IFNA((VLOOKUP(Optimalisatie!W105,Database_Asfalt_Aanlegset[#All],42,FALSE)*Optimalisatie!J105),0)+_xlfn.IFNA(VLOOKUP(Optimalisatie!X105,Database_Brandstoffen[#All],42,FALSE)*((Optimalisatie!J105/Optimalisatie!Z105)*Optimalisatie!Y105),0),(_xlfn.IFNA(VLOOKUP(Inschrijf_Hernieuwbare_Energie_Totaal[[#This Row],[Product]]&amp;", "&amp;Inschrijf_MKI_Totaal[[#Headers],[A5]],Database_Productkaarten[#All],48,FALSE),0)*Optimalisatie!J105)),0)</f>
        <v>0</v>
      </c>
      <c r="J418" s="91">
        <f>(IF(Optimalisatie!C105="Nieuwe Situatie",_xlfn.IFNA(IF(Optimalisatie!E105="Categorie_1_LCA_Producten",VLOOKUP(Inschrijf_Hernieuwbare_Energie_Totaal[[#This Row],[Product]],Categorie_1_Producten[#All],28,FALSE)*(Optimalisatie!R105),VLOOKUP(Inschrijf_Hernieuwbare_Energie_Totaal[[#This Row],[Product]]&amp;", "&amp;Inschrijf_Hernieuwbare_Energie_Totaal[[#Headers],[B1]],Database_Productkaarten[#All],47,FALSE)*Optimalisatie!J105),Baseline_Backlog!J418),0))</f>
        <v>0</v>
      </c>
      <c r="K418" s="91">
        <f>(IF(Optimalisatie!C105="Nieuwe Situatie",_xlfn.IFNA(SUM(Inschrijf_Hernieuwbare_Energie_Totaal[[#This Row],[A1]:[B1]],Inschrijf_Hernieuwbare_Energie_Totaal[[#This Row],[C1]:[D2]])*Optimalisatie!T105,0),0))</f>
        <v>0</v>
      </c>
      <c r="L418" s="91">
        <f>IF(Optimalisatie!C105="Bestaande situatie",IF(_xlfn.IFNA((VLOOKUP(Optimalisatie!AA105,Database_Asfalt_Verwijderset[#All],42,FALSE)*Optimalisatie!J105),0)+_xlfn.IFNA(VLOOKUP(Optimalisatie!AB105,Database_Brandstoffen[#All],42,FALSE)*((Optimalisatie!J105/Optimalisatie!AD105)*Optimalisatie!AC105),0)&gt;0,_xlfn.IFNA((VLOOKUP(Optimalisatie!AA105,Database_Asfalt_Verwijderset[#All],42,FALSE)*Optimalisatie!J105),0)+_xlfn.IFNA(VLOOKUP(Optimalisatie!AB105,Database_Brandstoffen[#All],42,FALSE)*((Optimalisatie!J105/Optimalisatie!AD105)*Optimalisatie!AC105),0),(_xlfn.IFNA(VLOOKUP(Inschrijf_Hernieuwbare_Energie_Totaal[[#This Row],[Product]]&amp;", "&amp;Inschrijf_MKI_Totaal[[#Headers],[C1]],Database_Productkaarten[#All],48,FALSE),0)*Optimalisatie!J105)),0)</f>
        <v>0</v>
      </c>
      <c r="M418" s="91">
        <f>(IF(Optimalisatie!C105="Bestaande Situatie",_xlfn.IFNA(VLOOKUP(Optimalisatie!AD105,Database_Transport[#All],42,FALSE)*(Optimalisatie!R105*Optimalisatie!AC105),Baseline_Backlog!M418),0))</f>
        <v>0</v>
      </c>
      <c r="N418" s="91">
        <f>(IF(Optimalisatie!C105="Bestaande Situatie",_xlfn.IFNA(VLOOKUP(Optimalisatie!AE105,Database_Asfalt_Verwerkingsset[#All],42,FALSE)*(Optimalisatie!J105/VLOOKUP(Optimalisatie!AE105,Database_Asfalt_Verwerkingsset[#All],42,FALSE)),Baseline_Backlog!N418),0))</f>
        <v>0</v>
      </c>
      <c r="O418" s="91">
        <f>(IF(Optimalisatie!C105="Bestaande Situatie",_xlfn.IFNA(VLOOKUP(Inschrijf_Hernieuwbare_Energie_Totaal[[#This Row],[Product]]&amp;", "&amp;Inschrijf_MKI_Totaal[[#Headers],[C4]],Database_Productkaarten[#All],48,FALSE)*Optimalisatie!J105,Baseline_Backlog!O418),0))</f>
        <v>0</v>
      </c>
      <c r="P418" s="91">
        <f>(IF(Optimalisatie!C105="Bestaande Situatie",_xlfn.IFNA(IF(Optimalisatie!E105="Categorie_1_LCA_Producten",VLOOKUP(Inschrijf_Hernieuwbare_Energie_Totaal[[#This Row],[Product]],Categorie_1_Producten[#All],24,FALSE)*(Optimalisatie!J105),VLOOKUP(Inschrijf_Hernieuwbare_Energie_Totaal[[#This Row],[Product]]&amp;", "&amp;Inschrijf_Hernieuwbare_Energie_Totaal[[#Headers],[D1]],Database_Productkaarten[#All],48,FALSE)*Optimalisatie!J105),Baseline_Backlog!P418),0))</f>
        <v>0</v>
      </c>
      <c r="Q418" s="91">
        <f>(IF(Optimalisatie!C105="Bestaande Situatie",_xlfn.IFNA(IF(Optimalisatie!E105="Categorie_1_LCA_Producten",VLOOKUP(Inschrijf_Hernieuwbare_Energie_Totaal[[#This Row],[Product]],Categorie_1_Producten[#All],25,FALSE)*(Optimalisatie!J105),VLOOKUP(Inschrijf_Hernieuwbare_Energie_Totaal[[#This Row],[Product]]&amp;", "&amp;Inschrijf_Hernieuwbare_Energie_Totaal[[#Headers],[D2]],Database_Productkaarten[#All],48,FALSE)*Optimalisatie!J105),Baseline_Backlog!Q418),0))</f>
        <v>0</v>
      </c>
      <c r="R418" s="91">
        <f>(IF(Optimalisatie!C105="Bestaande Situatie",_xlfn.IFNA(IF(Optimalisatie!E105="Categorie_1_LCA_Producten",VLOOKUP(Inschrijf_Hernieuwbare_Energie_Totaal[[#This Row],[Product]],Categorie_1_Producten[#All],29,FALSE)*(Optimalisatie!J105),VLOOKUP(Inschrijf_Hernieuwbare_Energie_Totaal[[#This Row],[Product]]&amp;", "&amp;Inschrijf_Hernieuwbare_Energie_Totaal[[#Headers],[D]],Database_Productkaarten[#All],48,FALSE)*Optimalisatie!J105),Baseline_Backlog!S418),0))</f>
        <v>0</v>
      </c>
      <c r="S418" s="91">
        <f>SUM(Inschrijf_Hernieuwbare_Energie_Totaal[[#This Row],[A1-A3]:[C4]])+Inschrijf_Hernieuwbare_Energie_Totaal[[#This Row],[D]]</f>
        <v>0</v>
      </c>
    </row>
    <row r="419" spans="2:19">
      <c r="B419" s="1" t="s">
        <v>90</v>
      </c>
      <c r="C419" s="1"/>
      <c r="D419" s="61">
        <f>SUBTOTAL(109,Inschrijf_Hernieuwbare_Energie_Totaal[A1])</f>
        <v>104101.36619142308</v>
      </c>
      <c r="E419" s="61">
        <f>SUBTOTAL(109,Inschrijf_Hernieuwbare_Energie_Totaal[A2])</f>
        <v>1658.5529515607693</v>
      </c>
      <c r="F419" s="61">
        <f>SUBTOTAL(109,Inschrijf_Hernieuwbare_Energie_Totaal[A3])</f>
        <v>8781.836723857692</v>
      </c>
      <c r="G419" s="61">
        <f>SUBTOTAL(109,Inschrijf_Hernieuwbare_Energie_Totaal[A1-A3])</f>
        <v>343403.85586684151</v>
      </c>
      <c r="H419" s="61">
        <f>SUBTOTAL(109,Inschrijf_Hernieuwbare_Energie_Totaal[A4])</f>
        <v>9287.6197663138137</v>
      </c>
      <c r="I419" s="61">
        <f>SUBTOTAL(109,Inschrijf_Hernieuwbare_Energie_Totaal[A5])</f>
        <v>38000.492943208366</v>
      </c>
      <c r="J419" s="61">
        <f>SUBTOTAL(109,Inschrijf_Hernieuwbare_Energie_Totaal[B1])</f>
        <v>0</v>
      </c>
      <c r="K419" s="61">
        <f>SUBTOTAL(109,Inschrijf_Hernieuwbare_Energie_Totaal[B4])</f>
        <v>0</v>
      </c>
      <c r="L419" s="61">
        <f>SUBTOTAL(109,Inschrijf_Hernieuwbare_Energie_Totaal[C1])</f>
        <v>9816.6303286259918</v>
      </c>
      <c r="M419" s="61">
        <f>SUBTOTAL(109,Inschrijf_Hernieuwbare_Energie_Totaal[C2])</f>
        <v>9862.5079216424656</v>
      </c>
      <c r="N419" s="61">
        <f>SUBTOTAL(109,Inschrijf_Hernieuwbare_Energie_Totaal[C3])</f>
        <v>2648.8460408883325</v>
      </c>
      <c r="O419" s="61">
        <f>SUBTOTAL(109,Inschrijf_Hernieuwbare_Energie_Totaal[C4])</f>
        <v>728.09435418650003</v>
      </c>
      <c r="P419" s="61">
        <f>SUBTOTAL(109,Inschrijf_Hernieuwbare_Energie_Totaal[D1])</f>
        <v>-116865</v>
      </c>
      <c r="Q419" s="61">
        <f>SUBTOTAL(109,Inschrijf_Hernieuwbare_Energie_Totaal[D2])</f>
        <v>0</v>
      </c>
      <c r="R419" s="61">
        <f>SUBTOTAL(109,Inschrijf_Hernieuwbare_Energie_Totaal[D])</f>
        <v>-168485.45338752499</v>
      </c>
      <c r="S419" s="141">
        <f>SUBTOTAL(109,Inschrijf_Hernieuwbare_Energie_Totaal[Totaal])</f>
        <v>245262.59383418204</v>
      </c>
    </row>
    <row r="422" spans="2:19" ht="18">
      <c r="B422" s="110" t="s">
        <v>337</v>
      </c>
      <c r="C422" s="110"/>
      <c r="D422" s="110"/>
    </row>
    <row r="423" spans="2:19">
      <c r="B423" s="1" t="s">
        <v>214</v>
      </c>
      <c r="C423" s="1" t="s">
        <v>7</v>
      </c>
      <c r="D423" s="18" t="s">
        <v>74</v>
      </c>
      <c r="E423" s="19" t="s">
        <v>75</v>
      </c>
      <c r="F423" s="20" t="s">
        <v>76</v>
      </c>
      <c r="G423" s="18" t="s">
        <v>77</v>
      </c>
      <c r="H423" s="21" t="s">
        <v>78</v>
      </c>
      <c r="I423" s="22" t="s">
        <v>79</v>
      </c>
      <c r="J423" s="23" t="s">
        <v>80</v>
      </c>
      <c r="K423" s="24" t="s">
        <v>82</v>
      </c>
      <c r="L423" s="25" t="s">
        <v>83</v>
      </c>
      <c r="M423" s="26" t="s">
        <v>84</v>
      </c>
      <c r="N423" s="27" t="s">
        <v>85</v>
      </c>
      <c r="O423" s="28" t="s">
        <v>86</v>
      </c>
      <c r="P423" s="29" t="s">
        <v>87</v>
      </c>
      <c r="Q423" s="30" t="s">
        <v>88</v>
      </c>
      <c r="R423" s="29" t="s">
        <v>89</v>
      </c>
      <c r="S423" s="143" t="s">
        <v>90</v>
      </c>
    </row>
    <row r="424" spans="2:19">
      <c r="B424" s="208" t="str">
        <f>Optimalisatie!B6</f>
        <v xml:space="preserve">121110 - Opbreken trottoirband </v>
      </c>
      <c r="C424" s="1" t="str">
        <f>Optimalisatie!F6</f>
        <v>Trottoirband 130/150x250</v>
      </c>
      <c r="D424" s="91">
        <f>(IF(Optimalisatie!C6="Nieuwe Situatie",_xlfn.IFNA(IF(Optimalisatie!E6="Categorie_1_LCA_Producten",VLOOKUP(Inschrijf_Fossiele_Energie_Totaal[[#This Row],[Product]],Categorie_1_Producten[#All],26,FALSE)*(Optimalisatie!J6),VLOOKUP(Inschrijf_Fossiele_Energie_Totaal[[#This Row],[Product]]&amp;", "&amp;Inschrijf_Fossiele_Energie_Totaal[[#Headers],[A1]],Database_Productkaarten[#All],51,FALSE)*Optimalisatie!J6),Baseline_Backlog!D424),0))</f>
        <v>0</v>
      </c>
      <c r="E424" s="91">
        <f>(IF(Optimalisatie!C6="Nieuwe Situatie",_xlfn.IFNA(IF(Optimalisatie!E6="Categorie_1_LCA_Producten",VLOOKUP(Inschrijf_Fossiele_Energie_Totaal[[#This Row],[Product]],Categorie_1_Producten[#All],27,FALSE)*(Optimalisatie!J6),VLOOKUP(Inschrijf_Fossiele_Energie_Totaal[[#This Row],[Product]]&amp;", "&amp;Inschrijf_Fossiele_Energie_Totaal[[#Headers],[A2]],Database_Productkaarten[#All],51,FALSE)*Optimalisatie!J6),Baseline_Backlog!E424),0))</f>
        <v>0</v>
      </c>
      <c r="F424" s="91">
        <f>(IF(Optimalisatie!C6="Nieuwe Situatie",_xlfn.IFNA(IF(Optimalisatie!E6="Categorie_1_LCA_Producten",VLOOKUP(Inschrijf_Fossiele_Energie_Totaal[[#This Row],[Product]],Categorie_1_Producten[#All],28,FALSE)*(Optimalisatie!J6),VLOOKUP(Inschrijf_Fossiele_Energie_Totaal[[#This Row],[Product]]&amp;", "&amp;Inschrijf_Fossiele_Energie_Totaal[[#Headers],[A3]],Database_Productkaarten[#All],51,FALSE)*Optimalisatie!J6),Baseline_Backlog!F424),0))</f>
        <v>0</v>
      </c>
      <c r="G424" s="91">
        <f>(IF(Optimalisatie!C6="Nieuwe Situatie",_xlfn.IFNA(IF(Optimalisatie!E6="Categorie_1_LCA_Producten",VLOOKUP(Inschrijf_Fossiele_Energie_Totaal[[#This Row],[Product]],Categorie_1_Producten[#All],35,FALSE)*(Optimalisatie!J6),VLOOKUP(Inschrijf_Fossiele_Energie_Totaal[[#This Row],[Product]]&amp;", "&amp;Inschrijf_Fossiele_Energie_Totaal[[#Headers],[A1-A3]],Database_Productkaarten[#All],51,FALSE)*Optimalisatie!J6),Baseline_Backlog!G424),0))</f>
        <v>0</v>
      </c>
      <c r="H424" s="91">
        <f>(IF(Optimalisatie!C6="Nieuwe Situatie",_xlfn.IFNA(VLOOKUP(Optimalisatie!V6,Database_Transport[#All],45,FALSE)*(Optimalisatie!R6*Optimalisatie!U6),Baseline_Backlog!H424),0))</f>
        <v>0</v>
      </c>
      <c r="I424" s="91">
        <f>IF(Optimalisatie!C6="Nieuwe situatie",IF(_xlfn.IFNA((VLOOKUP(Optimalisatie!W6,Database_Asfalt_Aanlegset[#All],45,FALSE)*Optimalisatie!J6),0)+_xlfn.IFNA(VLOOKUP(Optimalisatie!X6,Database_Brandstoffen[#All],45,FALSE)*((Optimalisatie!J6/Optimalisatie!Z6)*Optimalisatie!Y6),0)&gt;0,_xlfn.IFNA((VLOOKUP(Optimalisatie!W6,Database_Asfalt_Aanlegset[#All],45,FALSE)*Optimalisatie!J6),0)+_xlfn.IFNA(VLOOKUP(Optimalisatie!X6,Database_Brandstoffen[#All],45,FALSE)*((Optimalisatie!J6/Optimalisatie!Z6)*Optimalisatie!Y6),0),(_xlfn.IFNA(VLOOKUP(Inschrijf_Fossiele_Energie_Totaal[[#This Row],[Product]]&amp;", "&amp;Inschrijf_MKI_Totaal[[#Headers],[A5]],Database_Productkaarten[#All],51,FALSE),0)*Optimalisatie!J6)),0)</f>
        <v>0</v>
      </c>
      <c r="J424" s="91">
        <f>(IF(Optimalisatie!C6="Nieuwe Situatie",_xlfn.IFNA(IF(Optimalisatie!E6="Categorie_1_LCA_Producten",VLOOKUP(Inschrijf_Fossiele_Energie_Totaal[[#This Row],[Product]],Categorie_1_Producten[#All],36,FALSE)*(Optimalisatie!R6),VLOOKUP(Inschrijf_Fossiele_Energie_Totaal[[#This Row],[Product]]&amp;", "&amp;Inschrijf_Fossiele_Energie_Totaal[[#Headers],[B1]],Database_Productkaarten[#All],51,FALSE)*Optimalisatie!J6),Baseline_Backlog!J424),0))</f>
        <v>0</v>
      </c>
      <c r="K424" s="91">
        <f>(IF(Optimalisatie!C6="Nieuwe Situatie",_xlfn.IFNA(SUM(Inschrijf_Fossiele_Energie_Totaal[[#This Row],[A1]:[B1]],Inschrijf_Fossiele_Energie_Totaal[[#This Row],[C1]:[D2]])*Optimalisatie!T6,0),0))</f>
        <v>0</v>
      </c>
      <c r="L424" s="91">
        <f>IF(Optimalisatie!C6="Bestaande situatie",IF(_xlfn.IFNA((VLOOKUP(Optimalisatie!AA6,Database_Asfalt_Verwijderset[#All],45,FALSE)*Optimalisatie!J6),0)+_xlfn.IFNA(VLOOKUP(Optimalisatie!AB6,Database_Brandstoffen[#All],45,FALSE)*((Optimalisatie!J6/Optimalisatie!AD6)*Optimalisatie!AC6),0)&gt;0,_xlfn.IFNA((VLOOKUP(Optimalisatie!AA6,Database_Asfalt_Verwijderset[#All],45,FALSE)*Optimalisatie!J6),0)+_xlfn.IFNA(VLOOKUP(Optimalisatie!AB6,Database_Brandstoffen[#All],45,FALSE)*((Optimalisatie!J6/Optimalisatie!AD6)*Optimalisatie!AC6),0),(_xlfn.IFNA(VLOOKUP(Inschrijf_Fossiele_Energie_Totaal[[#This Row],[Product]]&amp;", "&amp;Inschrijf_MKI_Totaal[[#Headers],[C1]],Database_Productkaarten[#All],51,FALSE),0)*Optimalisatie!J6)),0)</f>
        <v>54014.141462618391</v>
      </c>
      <c r="M424" s="91">
        <f>(IF(Optimalisatie!C6="Bestaande Situatie",_xlfn.IFNA(VLOOKUP(Optimalisatie!AF6,Database_Transport[#All],45,FALSE)*(Optimalisatie!R6*Optimalisatie!AE6),Baseline_Backlog!M424),0))</f>
        <v>7993.8424167419998</v>
      </c>
      <c r="N424" s="91">
        <f>(IF(Optimalisatie!C6="Bestaande Situatie",_xlfn.IFNA(VLOOKUP(Optimalisatie!AG6,Database_Asfalt_Verwerkingsset[#All],45,FALSE)*(Optimalisatie!J6/VLOOKUP(Optimalisatie!AG6,Database_Asfalt_Verwerkingsset[#All],45,FALSE)),Baseline_Backlog!N424),0))</f>
        <v>6776.3789274999999</v>
      </c>
      <c r="O424" s="91">
        <f>(IF(Optimalisatie!C6="Bestaande Situatie",_xlfn.IFNA(VLOOKUP(Inschrijf_Fossiele_Energie_Totaal[[#This Row],[Product]]&amp;", "&amp;Inschrijf_MKI_Totaal[[#Headers],[C4]],Database_Productkaarten[#All],51,FALSE)*Optimalisatie!J6,Baseline_Backlog!O424),0))</f>
        <v>441.72570715000001</v>
      </c>
      <c r="P424" s="91">
        <f>(IF(Optimalisatie!C6="Bestaande Situatie",_xlfn.IFNA(IF(Optimalisatie!E6="Categorie_1_LCA_Producten",VLOOKUP(Inschrijf_Fossiele_Energie_Totaal[[#This Row],[Product]],Categorie_1_Producten[#All],30,FALSE)*(Optimalisatie!J6),VLOOKUP(Inschrijf_Fossiele_Energie_Totaal[[#This Row],[Product]]&amp;", "&amp;Inschrijf_Fossiele_Energie_Totaal[[#Headers],[D1]],Database_Productkaarten[#All],51,FALSE)*Optimalisatie!J6),Baseline_Backlog!P424),0))</f>
        <v>0</v>
      </c>
      <c r="Q424" s="91">
        <f>(IF(Optimalisatie!C6="Bestaande Situatie",_xlfn.IFNA(IF(Optimalisatie!E6="Categorie_1_LCA_Producten",VLOOKUP(Inschrijf_Fossiele_Energie_Totaal[[#This Row],[Product]],Categorie_1_Producten[#All],31,FALSE)*(Optimalisatie!J6),VLOOKUP(Inschrijf_Fossiele_Energie_Totaal[[#This Row],[Product]]&amp;", "&amp;Inschrijf_Fossiele_Energie_Totaal[[#Headers],[D2]],Database_Productkaarten[#All],51,FALSE)*Optimalisatie!J6),Baseline_Backlog!Q424),0))</f>
        <v>0</v>
      </c>
      <c r="R424" s="91">
        <f>(IF(Optimalisatie!C6="Bestaande Situatie",_xlfn.IFNA(IF(Optimalisatie!E6="Categorie_1_LCA_Producten",VLOOKUP(Inschrijf_Fossiele_Energie_Totaal[[#This Row],[Product]],Categorie_1_Producten[#All],37,FALSE)*(Optimalisatie!J6),VLOOKUP(Inschrijf_Fossiele_Energie_Totaal[[#This Row],[Product]]&amp;", "&amp;Inschrijf_Fossiele_Energie_Totaal[[#Headers],[D]],Database_Productkaarten[#All],51,FALSE)*Optimalisatie!J6),Baseline_Backlog!S424),0))</f>
        <v>-14394.507809500001</v>
      </c>
      <c r="S424" s="91">
        <f>SUM(Inschrijf_Fossiele_Energie_Totaal[[#This Row],[A1-A3]:[C4]])+Inschrijf_Fossiele_Energie_Totaal[[#This Row],[D]]</f>
        <v>54831.580704510394</v>
      </c>
    </row>
    <row r="425" spans="2:19">
      <c r="B425" s="208" t="str">
        <f>Optimalisatie!B7</f>
        <v>121120 - Opbreken RWS band</v>
      </c>
      <c r="C425" s="1" t="str">
        <f>Optimalisatie!F7</f>
        <v>RWSband 115/225x250</v>
      </c>
      <c r="D425" s="91">
        <f>(IF(Optimalisatie!C7="Nieuwe Situatie",_xlfn.IFNA(IF(Optimalisatie!E7="Categorie_1_LCA_Producten",VLOOKUP(Inschrijf_Fossiele_Energie_Totaal[[#This Row],[Product]],Categorie_1_Producten[#All],26,FALSE)*(Optimalisatie!J7),VLOOKUP(Inschrijf_Fossiele_Energie_Totaal[[#This Row],[Product]]&amp;", "&amp;Inschrijf_Fossiele_Energie_Totaal[[#Headers],[A1]],Database_Productkaarten[#All],51,FALSE)*Optimalisatie!J7),Baseline_Backlog!D425),0))</f>
        <v>0</v>
      </c>
      <c r="E425" s="91">
        <f>(IF(Optimalisatie!C7="Nieuwe Situatie",_xlfn.IFNA(IF(Optimalisatie!E7="Categorie_1_LCA_Producten",VLOOKUP(Inschrijf_Fossiele_Energie_Totaal[[#This Row],[Product]],Categorie_1_Producten[#All],27,FALSE)*(Optimalisatie!J7),VLOOKUP(Inschrijf_Fossiele_Energie_Totaal[[#This Row],[Product]]&amp;", "&amp;Inschrijf_Fossiele_Energie_Totaal[[#Headers],[A2]],Database_Productkaarten[#All],51,FALSE)*Optimalisatie!J7),Baseline_Backlog!E425),0))</f>
        <v>0</v>
      </c>
      <c r="F425" s="91">
        <f>(IF(Optimalisatie!C7="Nieuwe Situatie",_xlfn.IFNA(IF(Optimalisatie!E7="Categorie_1_LCA_Producten",VLOOKUP(Inschrijf_Fossiele_Energie_Totaal[[#This Row],[Product]],Categorie_1_Producten[#All],28,FALSE)*(Optimalisatie!J7),VLOOKUP(Inschrijf_Fossiele_Energie_Totaal[[#This Row],[Product]]&amp;", "&amp;Inschrijf_Fossiele_Energie_Totaal[[#Headers],[A3]],Database_Productkaarten[#All],51,FALSE)*Optimalisatie!J7),Baseline_Backlog!F425),0))</f>
        <v>0</v>
      </c>
      <c r="G425" s="91">
        <f>(IF(Optimalisatie!C7="Nieuwe Situatie",_xlfn.IFNA(IF(Optimalisatie!E7="Categorie_1_LCA_Producten",VLOOKUP(Inschrijf_Fossiele_Energie_Totaal[[#This Row],[Product]],Categorie_1_Producten[#All],35,FALSE)*(Optimalisatie!J7),VLOOKUP(Inschrijf_Fossiele_Energie_Totaal[[#This Row],[Product]]&amp;", "&amp;Inschrijf_Fossiele_Energie_Totaal[[#Headers],[A1-A3]],Database_Productkaarten[#All],51,FALSE)*Optimalisatie!J7),Baseline_Backlog!G425),0))</f>
        <v>0</v>
      </c>
      <c r="H425" s="91">
        <f>(IF(Optimalisatie!C7="Nieuwe Situatie",_xlfn.IFNA(VLOOKUP(Optimalisatie!V7,Database_Transport[#All],45,FALSE)*(Optimalisatie!R7*Optimalisatie!U7),Baseline_Backlog!H425),0))</f>
        <v>0</v>
      </c>
      <c r="I425" s="91">
        <f>IF(Optimalisatie!C7="Nieuwe situatie",IF(_xlfn.IFNA((VLOOKUP(Optimalisatie!W7,Database_Asfalt_Aanlegset[#All],45,FALSE)*Optimalisatie!J7),0)+_xlfn.IFNA(VLOOKUP(Optimalisatie!X7,Database_Brandstoffen[#All],45,FALSE)*((Optimalisatie!J7/Optimalisatie!Z7)*Optimalisatie!Y7),0)&gt;0,_xlfn.IFNA((VLOOKUP(Optimalisatie!W7,Database_Asfalt_Aanlegset[#All],45,FALSE)*Optimalisatie!J7),0)+_xlfn.IFNA(VLOOKUP(Optimalisatie!X7,Database_Brandstoffen[#All],45,FALSE)*((Optimalisatie!J7/Optimalisatie!Z7)*Optimalisatie!Y7),0),(_xlfn.IFNA(VLOOKUP(Inschrijf_Fossiele_Energie_Totaal[[#This Row],[Product]]&amp;", "&amp;Inschrijf_MKI_Totaal[[#Headers],[A5]],Database_Productkaarten[#All],51,FALSE),0)*Optimalisatie!J7)),0)</f>
        <v>0</v>
      </c>
      <c r="J425" s="91">
        <f>(IF(Optimalisatie!C7="Nieuwe Situatie",_xlfn.IFNA(IF(Optimalisatie!E7="Categorie_1_LCA_Producten",VLOOKUP(Inschrijf_Fossiele_Energie_Totaal[[#This Row],[Product]],Categorie_1_Producten[#All],36,FALSE)*(Optimalisatie!R7),VLOOKUP(Inschrijf_Fossiele_Energie_Totaal[[#This Row],[Product]]&amp;", "&amp;Inschrijf_Fossiele_Energie_Totaal[[#Headers],[B1]],Database_Productkaarten[#All],51,FALSE)*Optimalisatie!J7),Baseline_Backlog!J425),0))</f>
        <v>0</v>
      </c>
      <c r="K425" s="91">
        <f>(IF(Optimalisatie!C7="Nieuwe Situatie",_xlfn.IFNA(SUM(Inschrijf_Fossiele_Energie_Totaal[[#This Row],[A1]:[B1]],Inschrijf_Fossiele_Energie_Totaal[[#This Row],[C1]:[D2]])*Optimalisatie!T7,0),0))</f>
        <v>0</v>
      </c>
      <c r="L425" s="91">
        <f>IF(Optimalisatie!C7="Bestaande situatie",IF(_xlfn.IFNA((VLOOKUP(Optimalisatie!AA7,Database_Asfalt_Verwijderset[#All],45,FALSE)*Optimalisatie!J7),0)+_xlfn.IFNA(VLOOKUP(Optimalisatie!AB7,Database_Brandstoffen[#All],45,FALSE)*((Optimalisatie!J7/Optimalisatie!AD7)*Optimalisatie!AC7),0)&gt;0,_xlfn.IFNA((VLOOKUP(Optimalisatie!AA7,Database_Asfalt_Verwijderset[#All],45,FALSE)*Optimalisatie!J7),0)+_xlfn.IFNA(VLOOKUP(Optimalisatie!AB7,Database_Brandstoffen[#All],45,FALSE)*((Optimalisatie!J7/Optimalisatie!AD7)*Optimalisatie!AC7),0),(_xlfn.IFNA(VLOOKUP(Inschrijf_Fossiele_Energie_Totaal[[#This Row],[Product]]&amp;", "&amp;Inschrijf_MKI_Totaal[[#Headers],[C1]],Database_Productkaarten[#All],51,FALSE),0)*Optimalisatie!J7)),0)</f>
        <v>5681.2362291922009</v>
      </c>
      <c r="M425" s="91">
        <f>(IF(Optimalisatie!C7="Bestaande Situatie",_xlfn.IFNA(VLOOKUP(Optimalisatie!AF7,Database_Transport[#All],45,FALSE)*(Optimalisatie!R7*Optimalisatie!AE7),Baseline_Backlog!M425),0))</f>
        <v>1259.698838802</v>
      </c>
      <c r="N425" s="91">
        <f>(IF(Optimalisatie!C7="Bestaande Situatie",_xlfn.IFNA(VLOOKUP(Optimalisatie!AG7,Database_Asfalt_Verwerkingsset[#All],45,FALSE)*(Optimalisatie!J7/VLOOKUP(Optimalisatie!AG7,Database_Asfalt_Verwerkingsset[#All],45,FALSE)),Baseline_Backlog!N425),0))</f>
        <v>1046.5807025000001</v>
      </c>
      <c r="O425" s="91">
        <f>(IF(Optimalisatie!C7="Bestaande Situatie",_xlfn.IFNA(VLOOKUP(Inschrijf_Fossiele_Energie_Totaal[[#This Row],[Product]]&amp;", "&amp;Inschrijf_MKI_Totaal[[#Headers],[C4]],Database_Productkaarten[#All],51,FALSE)*Optimalisatie!J7,Baseline_Backlog!O425),0))</f>
        <v>68.22251215</v>
      </c>
      <c r="P425" s="91">
        <f>(IF(Optimalisatie!C7="Bestaande Situatie",_xlfn.IFNA(IF(Optimalisatie!E7="Categorie_1_LCA_Producten",VLOOKUP(Inschrijf_Fossiele_Energie_Totaal[[#This Row],[Product]],Categorie_1_Producten[#All],30,FALSE)*(Optimalisatie!J7),VLOOKUP(Inschrijf_Fossiele_Energie_Totaal[[#This Row],[Product]]&amp;", "&amp;Inschrijf_Fossiele_Energie_Totaal[[#Headers],[D1]],Database_Productkaarten[#All],51,FALSE)*Optimalisatie!J7),Baseline_Backlog!P425),0))</f>
        <v>0</v>
      </c>
      <c r="Q425" s="91">
        <f>(IF(Optimalisatie!C7="Bestaande Situatie",_xlfn.IFNA(IF(Optimalisatie!E7="Categorie_1_LCA_Producten",VLOOKUP(Inschrijf_Fossiele_Energie_Totaal[[#This Row],[Product]],Categorie_1_Producten[#All],31,FALSE)*(Optimalisatie!J7),VLOOKUP(Inschrijf_Fossiele_Energie_Totaal[[#This Row],[Product]]&amp;", "&amp;Inschrijf_Fossiele_Energie_Totaal[[#Headers],[D2]],Database_Productkaarten[#All],51,FALSE)*Optimalisatie!J7),Baseline_Backlog!Q425),0))</f>
        <v>0</v>
      </c>
      <c r="R425" s="91">
        <f>(IF(Optimalisatie!C7="Bestaande Situatie",_xlfn.IFNA(IF(Optimalisatie!E7="Categorie_1_LCA_Producten",VLOOKUP(Inschrijf_Fossiele_Energie_Totaal[[#This Row],[Product]],Categorie_1_Producten[#All],37,FALSE)*(Optimalisatie!J7),VLOOKUP(Inschrijf_Fossiele_Energie_Totaal[[#This Row],[Product]]&amp;", "&amp;Inschrijf_Fossiele_Energie_Totaal[[#Headers],[D]],Database_Productkaarten[#All],51,FALSE)*Optimalisatie!J7),Baseline_Backlog!S425),0))</f>
        <v>-2217.5236559999998</v>
      </c>
      <c r="S425" s="91">
        <f>SUM(Inschrijf_Fossiele_Energie_Totaal[[#This Row],[A1-A3]:[C4]])+Inschrijf_Fossiele_Energie_Totaal[[#This Row],[D]]</f>
        <v>5838.2146266442014</v>
      </c>
    </row>
    <row r="426" spans="2:19">
      <c r="B426" s="208" t="str">
        <f>Optimalisatie!B8</f>
        <v>121140 - Opbreken Opsluitband</v>
      </c>
      <c r="C426" s="1" t="str">
        <f>Optimalisatie!F8</f>
        <v>Opsluitband 100x200</v>
      </c>
      <c r="D426" s="91">
        <f>(IF(Optimalisatie!C8="Nieuwe Situatie",_xlfn.IFNA(IF(Optimalisatie!E8="Categorie_1_LCA_Producten",VLOOKUP(Inschrijf_Fossiele_Energie_Totaal[[#This Row],[Product]],Categorie_1_Producten[#All],26,FALSE)*(Optimalisatie!J8),VLOOKUP(Inschrijf_Fossiele_Energie_Totaal[[#This Row],[Product]]&amp;", "&amp;Inschrijf_Fossiele_Energie_Totaal[[#Headers],[A1]],Database_Productkaarten[#All],51,FALSE)*Optimalisatie!J8),Baseline_Backlog!D426),0))</f>
        <v>0</v>
      </c>
      <c r="E426" s="91">
        <f>(IF(Optimalisatie!C8="Nieuwe Situatie",_xlfn.IFNA(IF(Optimalisatie!E8="Categorie_1_LCA_Producten",VLOOKUP(Inschrijf_Fossiele_Energie_Totaal[[#This Row],[Product]],Categorie_1_Producten[#All],27,FALSE)*(Optimalisatie!J8),VLOOKUP(Inschrijf_Fossiele_Energie_Totaal[[#This Row],[Product]]&amp;", "&amp;Inschrijf_Fossiele_Energie_Totaal[[#Headers],[A2]],Database_Productkaarten[#All],51,FALSE)*Optimalisatie!J8),Baseline_Backlog!E426),0))</f>
        <v>0</v>
      </c>
      <c r="F426" s="91">
        <f>(IF(Optimalisatie!C8="Nieuwe Situatie",_xlfn.IFNA(IF(Optimalisatie!E8="Categorie_1_LCA_Producten",VLOOKUP(Inschrijf_Fossiele_Energie_Totaal[[#This Row],[Product]],Categorie_1_Producten[#All],28,FALSE)*(Optimalisatie!J8),VLOOKUP(Inschrijf_Fossiele_Energie_Totaal[[#This Row],[Product]]&amp;", "&amp;Inschrijf_Fossiele_Energie_Totaal[[#Headers],[A3]],Database_Productkaarten[#All],51,FALSE)*Optimalisatie!J8),Baseline_Backlog!F426),0))</f>
        <v>0</v>
      </c>
      <c r="G426" s="91">
        <f>(IF(Optimalisatie!C8="Nieuwe Situatie",_xlfn.IFNA(IF(Optimalisatie!E8="Categorie_1_LCA_Producten",VLOOKUP(Inschrijf_Fossiele_Energie_Totaal[[#This Row],[Product]],Categorie_1_Producten[#All],35,FALSE)*(Optimalisatie!J8),VLOOKUP(Inschrijf_Fossiele_Energie_Totaal[[#This Row],[Product]]&amp;", "&amp;Inschrijf_Fossiele_Energie_Totaal[[#Headers],[A1-A3]],Database_Productkaarten[#All],51,FALSE)*Optimalisatie!J8),Baseline_Backlog!G426),0))</f>
        <v>0</v>
      </c>
      <c r="H426" s="91">
        <f>(IF(Optimalisatie!C8="Nieuwe Situatie",_xlfn.IFNA(VLOOKUP(Optimalisatie!V8,Database_Transport[#All],45,FALSE)*(Optimalisatie!R8*Optimalisatie!U8),Baseline_Backlog!H426),0))</f>
        <v>0</v>
      </c>
      <c r="I426" s="91">
        <f>IF(Optimalisatie!C8="Nieuwe situatie",IF(_xlfn.IFNA((VLOOKUP(Optimalisatie!W8,Database_Asfalt_Aanlegset[#All],45,FALSE)*Optimalisatie!J8),0)+_xlfn.IFNA(VLOOKUP(Optimalisatie!X8,Database_Brandstoffen[#All],45,FALSE)*((Optimalisatie!J8/Optimalisatie!Z8)*Optimalisatie!Y8),0)&gt;0,_xlfn.IFNA((VLOOKUP(Optimalisatie!W8,Database_Asfalt_Aanlegset[#All],45,FALSE)*Optimalisatie!J8),0)+_xlfn.IFNA(VLOOKUP(Optimalisatie!X8,Database_Brandstoffen[#All],45,FALSE)*((Optimalisatie!J8/Optimalisatie!Z8)*Optimalisatie!Y8),0),(_xlfn.IFNA(VLOOKUP(Inschrijf_Fossiele_Energie_Totaal[[#This Row],[Product]]&amp;", "&amp;Inschrijf_MKI_Totaal[[#Headers],[A5]],Database_Productkaarten[#All],51,FALSE),0)*Optimalisatie!J8)),0)</f>
        <v>0</v>
      </c>
      <c r="J426" s="91">
        <f>(IF(Optimalisatie!C8="Nieuwe Situatie",_xlfn.IFNA(IF(Optimalisatie!E8="Categorie_1_LCA_Producten",VLOOKUP(Inschrijf_Fossiele_Energie_Totaal[[#This Row],[Product]],Categorie_1_Producten[#All],36,FALSE)*(Optimalisatie!R8),VLOOKUP(Inschrijf_Fossiele_Energie_Totaal[[#This Row],[Product]]&amp;", "&amp;Inschrijf_Fossiele_Energie_Totaal[[#Headers],[B1]],Database_Productkaarten[#All],51,FALSE)*Optimalisatie!J8),Baseline_Backlog!J426),0))</f>
        <v>0</v>
      </c>
      <c r="K426" s="91">
        <f>(IF(Optimalisatie!C8="Nieuwe Situatie",_xlfn.IFNA(SUM(Inschrijf_Fossiele_Energie_Totaal[[#This Row],[A1]:[B1]],Inschrijf_Fossiele_Energie_Totaal[[#This Row],[C1]:[D2]])*Optimalisatie!T8,0),0))</f>
        <v>0</v>
      </c>
      <c r="L426" s="91">
        <f>IF(Optimalisatie!C8="Bestaande situatie",IF(_xlfn.IFNA((VLOOKUP(Optimalisatie!AA8,Database_Asfalt_Verwijderset[#All],45,FALSE)*Optimalisatie!J8),0)+_xlfn.IFNA(VLOOKUP(Optimalisatie!AB8,Database_Brandstoffen[#All],45,FALSE)*((Optimalisatie!J8/Optimalisatie!AD8)*Optimalisatie!AC8),0)&gt;0,_xlfn.IFNA((VLOOKUP(Optimalisatie!AA8,Database_Asfalt_Verwijderset[#All],45,FALSE)*Optimalisatie!J8),0)+_xlfn.IFNA(VLOOKUP(Optimalisatie!AB8,Database_Brandstoffen[#All],45,FALSE)*((Optimalisatie!J8/Optimalisatie!AD8)*Optimalisatie!AC8),0),(_xlfn.IFNA(VLOOKUP(Inschrijf_Fossiele_Energie_Totaal[[#This Row],[Product]]&amp;", "&amp;Inschrijf_MKI_Totaal[[#Headers],[C1]],Database_Productkaarten[#All],51,FALSE),0)*Optimalisatie!J8)),0)</f>
        <v>19672.340375710308</v>
      </c>
      <c r="M426" s="91">
        <f>(IF(Optimalisatie!C8="Bestaande Situatie",_xlfn.IFNA(VLOOKUP(Optimalisatie!AF8,Database_Transport[#All],45,FALSE)*(Optimalisatie!R8*Optimalisatie!AE8),Baseline_Backlog!M426),0))</f>
        <v>1571.4043727199999</v>
      </c>
      <c r="N426" s="91">
        <f>(IF(Optimalisatie!C8="Bestaande Situatie",_xlfn.IFNA(VLOOKUP(Optimalisatie!AG8,Database_Asfalt_Verwerkingsset[#All],45,FALSE)*(Optimalisatie!J8/VLOOKUP(Optimalisatie!AG8,Database_Asfalt_Verwerkingsset[#All],45,FALSE)),Baseline_Backlog!N426),0))</f>
        <v>1297.581684</v>
      </c>
      <c r="O426" s="91">
        <f>(IF(Optimalisatie!C8="Bestaande Situatie",_xlfn.IFNA(VLOOKUP(Inschrijf_Fossiele_Energie_Totaal[[#This Row],[Product]]&amp;", "&amp;Inschrijf_MKI_Totaal[[#Headers],[C4]],Database_Productkaarten[#All],51,FALSE)*Optimalisatie!J8,Baseline_Backlog!O426),0))</f>
        <v>84.584287240000009</v>
      </c>
      <c r="P426" s="91">
        <f>(IF(Optimalisatie!C8="Bestaande Situatie",_xlfn.IFNA(IF(Optimalisatie!E8="Categorie_1_LCA_Producten",VLOOKUP(Inschrijf_Fossiele_Energie_Totaal[[#This Row],[Product]],Categorie_1_Producten[#All],30,FALSE)*(Optimalisatie!J8),VLOOKUP(Inschrijf_Fossiele_Energie_Totaal[[#This Row],[Product]]&amp;", "&amp;Inschrijf_Fossiele_Energie_Totaal[[#Headers],[D1]],Database_Productkaarten[#All],51,FALSE)*Optimalisatie!J8),Baseline_Backlog!P426),0))</f>
        <v>0</v>
      </c>
      <c r="Q426" s="91">
        <f>(IF(Optimalisatie!C8="Bestaande Situatie",_xlfn.IFNA(IF(Optimalisatie!E8="Categorie_1_LCA_Producten",VLOOKUP(Inschrijf_Fossiele_Energie_Totaal[[#This Row],[Product]],Categorie_1_Producten[#All],31,FALSE)*(Optimalisatie!J8),VLOOKUP(Inschrijf_Fossiele_Energie_Totaal[[#This Row],[Product]]&amp;", "&amp;Inschrijf_Fossiele_Energie_Totaal[[#Headers],[D2]],Database_Productkaarten[#All],51,FALSE)*Optimalisatie!J8),Baseline_Backlog!Q426),0))</f>
        <v>0</v>
      </c>
      <c r="R426" s="91">
        <f>(IF(Optimalisatie!C8="Bestaande Situatie",_xlfn.IFNA(IF(Optimalisatie!E8="Categorie_1_LCA_Producten",VLOOKUP(Inschrijf_Fossiele_Energie_Totaal[[#This Row],[Product]],Categorie_1_Producten[#All],37,FALSE)*(Optimalisatie!J8),VLOOKUP(Inschrijf_Fossiele_Energie_Totaal[[#This Row],[Product]]&amp;", "&amp;Inschrijf_Fossiele_Energie_Totaal[[#Headers],[D]],Database_Productkaarten[#All],51,FALSE)*Optimalisatie!J8),Baseline_Backlog!S426),0))</f>
        <v>-2752.482336</v>
      </c>
      <c r="S426" s="91">
        <f>SUM(Inschrijf_Fossiele_Energie_Totaal[[#This Row],[A1-A3]:[C4]])+Inschrijf_Fossiele_Energie_Totaal[[#This Row],[D]]</f>
        <v>19873.428383670307</v>
      </c>
    </row>
    <row r="427" spans="2:19">
      <c r="B427" s="208" t="str">
        <f>Optimalisatie!B9</f>
        <v>121310 - Opbreken betonstraatstenen</v>
      </c>
      <c r="C427" s="1" t="str">
        <f>Optimalisatie!F9</f>
        <v>Betonstraatsteen 210x105x80</v>
      </c>
      <c r="D427" s="91">
        <f>(IF(Optimalisatie!C9="Nieuwe Situatie",_xlfn.IFNA(IF(Optimalisatie!E9="Categorie_1_LCA_Producten",VLOOKUP(Inschrijf_Fossiele_Energie_Totaal[[#This Row],[Product]],Categorie_1_Producten[#All],26,FALSE)*(Optimalisatie!J9),VLOOKUP(Inschrijf_Fossiele_Energie_Totaal[[#This Row],[Product]]&amp;", "&amp;Inschrijf_Fossiele_Energie_Totaal[[#Headers],[A1]],Database_Productkaarten[#All],51,FALSE)*Optimalisatie!J9),Baseline_Backlog!D427),0))</f>
        <v>0</v>
      </c>
      <c r="E427" s="91">
        <f>(IF(Optimalisatie!C9="Nieuwe Situatie",_xlfn.IFNA(IF(Optimalisatie!E9="Categorie_1_LCA_Producten",VLOOKUP(Inschrijf_Fossiele_Energie_Totaal[[#This Row],[Product]],Categorie_1_Producten[#All],27,FALSE)*(Optimalisatie!J9),VLOOKUP(Inschrijf_Fossiele_Energie_Totaal[[#This Row],[Product]]&amp;", "&amp;Inschrijf_Fossiele_Energie_Totaal[[#Headers],[A2]],Database_Productkaarten[#All],51,FALSE)*Optimalisatie!J9),Baseline_Backlog!E427),0))</f>
        <v>0</v>
      </c>
      <c r="F427" s="91">
        <f>(IF(Optimalisatie!C9="Nieuwe Situatie",_xlfn.IFNA(IF(Optimalisatie!E9="Categorie_1_LCA_Producten",VLOOKUP(Inschrijf_Fossiele_Energie_Totaal[[#This Row],[Product]],Categorie_1_Producten[#All],28,FALSE)*(Optimalisatie!J9),VLOOKUP(Inschrijf_Fossiele_Energie_Totaal[[#This Row],[Product]]&amp;", "&amp;Inschrijf_Fossiele_Energie_Totaal[[#Headers],[A3]],Database_Productkaarten[#All],51,FALSE)*Optimalisatie!J9),Baseline_Backlog!F427),0))</f>
        <v>0</v>
      </c>
      <c r="G427" s="91">
        <f>(IF(Optimalisatie!C9="Nieuwe Situatie",_xlfn.IFNA(IF(Optimalisatie!E9="Categorie_1_LCA_Producten",VLOOKUP(Inschrijf_Fossiele_Energie_Totaal[[#This Row],[Product]],Categorie_1_Producten[#All],35,FALSE)*(Optimalisatie!J9),VLOOKUP(Inschrijf_Fossiele_Energie_Totaal[[#This Row],[Product]]&amp;", "&amp;Inschrijf_Fossiele_Energie_Totaal[[#Headers],[A1-A3]],Database_Productkaarten[#All],51,FALSE)*Optimalisatie!J9),Baseline_Backlog!G427),0))</f>
        <v>0</v>
      </c>
      <c r="H427" s="91">
        <f>(IF(Optimalisatie!C9="Nieuwe Situatie",_xlfn.IFNA(VLOOKUP(Optimalisatie!V9,Database_Transport[#All],45,FALSE)*(Optimalisatie!R9*Optimalisatie!U9),Baseline_Backlog!H427),0))</f>
        <v>0</v>
      </c>
      <c r="I427" s="91">
        <f>IF(Optimalisatie!C9="Nieuwe situatie",IF(_xlfn.IFNA((VLOOKUP(Optimalisatie!W9,Database_Asfalt_Aanlegset[#All],45,FALSE)*Optimalisatie!J9),0)+_xlfn.IFNA(VLOOKUP(Optimalisatie!X9,Database_Brandstoffen[#All],45,FALSE)*((Optimalisatie!J9/Optimalisatie!Z9)*Optimalisatie!Y9),0)&gt;0,_xlfn.IFNA((VLOOKUP(Optimalisatie!W9,Database_Asfalt_Aanlegset[#All],45,FALSE)*Optimalisatie!J9),0)+_xlfn.IFNA(VLOOKUP(Optimalisatie!X9,Database_Brandstoffen[#All],45,FALSE)*((Optimalisatie!J9/Optimalisatie!Z9)*Optimalisatie!Y9),0),(_xlfn.IFNA(VLOOKUP(Inschrijf_Fossiele_Energie_Totaal[[#This Row],[Product]]&amp;", "&amp;Inschrijf_MKI_Totaal[[#Headers],[A5]],Database_Productkaarten[#All],51,FALSE),0)*Optimalisatie!J9)),0)</f>
        <v>0</v>
      </c>
      <c r="J427" s="91">
        <f>(IF(Optimalisatie!C9="Nieuwe Situatie",_xlfn.IFNA(IF(Optimalisatie!E9="Categorie_1_LCA_Producten",VLOOKUP(Inschrijf_Fossiele_Energie_Totaal[[#This Row],[Product]],Categorie_1_Producten[#All],36,FALSE)*(Optimalisatie!R9),VLOOKUP(Inschrijf_Fossiele_Energie_Totaal[[#This Row],[Product]]&amp;", "&amp;Inschrijf_Fossiele_Energie_Totaal[[#Headers],[B1]],Database_Productkaarten[#All],51,FALSE)*Optimalisatie!J9),Baseline_Backlog!J427),0))</f>
        <v>0</v>
      </c>
      <c r="K427" s="91">
        <f>(IF(Optimalisatie!C9="Nieuwe Situatie",_xlfn.IFNA(SUM(Inschrijf_Fossiele_Energie_Totaal[[#This Row],[A1]:[B1]],Inschrijf_Fossiele_Energie_Totaal[[#This Row],[C1]:[D2]])*Optimalisatie!T9,0),0))</f>
        <v>0</v>
      </c>
      <c r="L427" s="91">
        <f>IF(Optimalisatie!C9="Bestaande situatie",IF(_xlfn.IFNA((VLOOKUP(Optimalisatie!AA9,Database_Asfalt_Verwijderset[#All],45,FALSE)*Optimalisatie!J9),0)+_xlfn.IFNA(VLOOKUP(Optimalisatie!AB9,Database_Brandstoffen[#All],45,FALSE)*((Optimalisatie!J9/Optimalisatie!AD9)*Optimalisatie!AC9),0)&gt;0,_xlfn.IFNA((VLOOKUP(Optimalisatie!AA9,Database_Asfalt_Verwijderset[#All],45,FALSE)*Optimalisatie!J9),0)+_xlfn.IFNA(VLOOKUP(Optimalisatie!AB9,Database_Brandstoffen[#All],45,FALSE)*((Optimalisatie!J9/Optimalisatie!AD9)*Optimalisatie!AC9),0),(_xlfn.IFNA(VLOOKUP(Inschrijf_Fossiele_Energie_Totaal[[#This Row],[Product]]&amp;", "&amp;Inschrijf_MKI_Totaal[[#Headers],[C1]],Database_Productkaarten[#All],51,FALSE),0)*Optimalisatie!J9)),0)</f>
        <v>27134.262587186629</v>
      </c>
      <c r="M427" s="91">
        <f>(IF(Optimalisatie!C9="Bestaande Situatie",_xlfn.IFNA(VLOOKUP(Optimalisatie!AF9,Database_Transport[#All],45,FALSE)*(Optimalisatie!R9*Optimalisatie!AE9),Baseline_Backlog!M427),0))</f>
        <v>8555.4899686400004</v>
      </c>
      <c r="N427" s="91">
        <f>(IF(Optimalisatie!C9="Bestaande Situatie",_xlfn.IFNA(VLOOKUP(Optimalisatie!AG9,Database_Asfalt_Verwerkingsset[#All],45,FALSE)*(Optimalisatie!J9/VLOOKUP(Optimalisatie!AG9,Database_Asfalt_Verwerkingsset[#All],45,FALSE)),Baseline_Backlog!N427),0))</f>
        <v>7159.0713599999999</v>
      </c>
      <c r="O427" s="91">
        <f>(IF(Optimalisatie!C9="Bestaande Situatie",_xlfn.IFNA(VLOOKUP(Inschrijf_Fossiele_Energie_Totaal[[#This Row],[Product]]&amp;", "&amp;Inschrijf_MKI_Totaal[[#Headers],[C4]],Database_Productkaarten[#All],51,FALSE)*Optimalisatie!J9,Baseline_Backlog!O427),0))</f>
        <v>466.67193600000002</v>
      </c>
      <c r="P427" s="91">
        <f>(IF(Optimalisatie!C9="Bestaande Situatie",_xlfn.IFNA(IF(Optimalisatie!E9="Categorie_1_LCA_Producten",VLOOKUP(Inschrijf_Fossiele_Energie_Totaal[[#This Row],[Product]],Categorie_1_Producten[#All],30,FALSE)*(Optimalisatie!J9),VLOOKUP(Inschrijf_Fossiele_Energie_Totaal[[#This Row],[Product]]&amp;", "&amp;Inschrijf_Fossiele_Energie_Totaal[[#Headers],[D1]],Database_Productkaarten[#All],51,FALSE)*Optimalisatie!J9),Baseline_Backlog!P427),0))</f>
        <v>0</v>
      </c>
      <c r="Q427" s="91">
        <f>(IF(Optimalisatie!C9="Bestaande Situatie",_xlfn.IFNA(IF(Optimalisatie!E9="Categorie_1_LCA_Producten",VLOOKUP(Inschrijf_Fossiele_Energie_Totaal[[#This Row],[Product]],Categorie_1_Producten[#All],31,FALSE)*(Optimalisatie!J9),VLOOKUP(Inschrijf_Fossiele_Energie_Totaal[[#This Row],[Product]]&amp;", "&amp;Inschrijf_Fossiele_Energie_Totaal[[#Headers],[D2]],Database_Productkaarten[#All],51,FALSE)*Optimalisatie!J9),Baseline_Backlog!Q427),0))</f>
        <v>0</v>
      </c>
      <c r="R427" s="91">
        <f>(IF(Optimalisatie!C9="Bestaande Situatie",_xlfn.IFNA(IF(Optimalisatie!E9="Categorie_1_LCA_Producten",VLOOKUP(Inschrijf_Fossiele_Energie_Totaal[[#This Row],[Product]],Categorie_1_Producten[#All],37,FALSE)*(Optimalisatie!J9),VLOOKUP(Inschrijf_Fossiele_Energie_Totaal[[#This Row],[Product]]&amp;", "&amp;Inschrijf_Fossiele_Energie_Totaal[[#Headers],[D]],Database_Productkaarten[#All],51,FALSE)*Optimalisatie!J9),Baseline_Backlog!S427),0))</f>
        <v>-16576.2896</v>
      </c>
      <c r="S427" s="91">
        <f>SUM(Inschrijf_Fossiele_Energie_Totaal[[#This Row],[A1-A3]:[C4]])+Inschrijf_Fossiele_Energie_Totaal[[#This Row],[D]]</f>
        <v>26739.206251826628</v>
      </c>
    </row>
    <row r="428" spans="2:19">
      <c r="B428" s="208" t="str">
        <f>Optimalisatie!B10</f>
        <v>121320 - Opbreken straatbakstenen en geschikt maken voor hergebruik</v>
      </c>
      <c r="C428" s="1" t="str">
        <f>Optimalisatie!F10</f>
        <v>Gebakken klinker keiformaat</v>
      </c>
      <c r="D428" s="91">
        <f>(IF(Optimalisatie!C10="Nieuwe Situatie",_xlfn.IFNA(IF(Optimalisatie!E10="Categorie_1_LCA_Producten",VLOOKUP(Inschrijf_Fossiele_Energie_Totaal[[#This Row],[Product]],Categorie_1_Producten[#All],26,FALSE)*(Optimalisatie!J10),VLOOKUP(Inschrijf_Fossiele_Energie_Totaal[[#This Row],[Product]]&amp;", "&amp;Inschrijf_Fossiele_Energie_Totaal[[#Headers],[A1]],Database_Productkaarten[#All],51,FALSE)*Optimalisatie!J10),Baseline_Backlog!D428),0))</f>
        <v>0</v>
      </c>
      <c r="E428" s="91">
        <f>(IF(Optimalisatie!C10="Nieuwe Situatie",_xlfn.IFNA(IF(Optimalisatie!E10="Categorie_1_LCA_Producten",VLOOKUP(Inschrijf_Fossiele_Energie_Totaal[[#This Row],[Product]],Categorie_1_Producten[#All],27,FALSE)*(Optimalisatie!J10),VLOOKUP(Inschrijf_Fossiele_Energie_Totaal[[#This Row],[Product]]&amp;", "&amp;Inschrijf_Fossiele_Energie_Totaal[[#Headers],[A2]],Database_Productkaarten[#All],51,FALSE)*Optimalisatie!J10),Baseline_Backlog!E428),0))</f>
        <v>0</v>
      </c>
      <c r="F428" s="91">
        <f>(IF(Optimalisatie!C10="Nieuwe Situatie",_xlfn.IFNA(IF(Optimalisatie!E10="Categorie_1_LCA_Producten",VLOOKUP(Inschrijf_Fossiele_Energie_Totaal[[#This Row],[Product]],Categorie_1_Producten[#All],28,FALSE)*(Optimalisatie!J10),VLOOKUP(Inschrijf_Fossiele_Energie_Totaal[[#This Row],[Product]]&amp;", "&amp;Inschrijf_Fossiele_Energie_Totaal[[#Headers],[A3]],Database_Productkaarten[#All],51,FALSE)*Optimalisatie!J10),Baseline_Backlog!F428),0))</f>
        <v>0</v>
      </c>
      <c r="G428" s="91">
        <f>(IF(Optimalisatie!C10="Nieuwe Situatie",_xlfn.IFNA(IF(Optimalisatie!E10="Categorie_1_LCA_Producten",VLOOKUP(Inschrijf_Fossiele_Energie_Totaal[[#This Row],[Product]],Categorie_1_Producten[#All],35,FALSE)*(Optimalisatie!J10),VLOOKUP(Inschrijf_Fossiele_Energie_Totaal[[#This Row],[Product]]&amp;", "&amp;Inschrijf_Fossiele_Energie_Totaal[[#Headers],[A1-A3]],Database_Productkaarten[#All],51,FALSE)*Optimalisatie!J10),Baseline_Backlog!G428),0))</f>
        <v>0</v>
      </c>
      <c r="H428" s="91">
        <f>(IF(Optimalisatie!C10="Nieuwe Situatie",_xlfn.IFNA(VLOOKUP(Optimalisatie!V10,Database_Transport[#All],45,FALSE)*(Optimalisatie!R10*Optimalisatie!U10),Baseline_Backlog!H428),0))</f>
        <v>0</v>
      </c>
      <c r="I428" s="91">
        <f>IF(Optimalisatie!C10="Nieuwe situatie",IF(_xlfn.IFNA((VLOOKUP(Optimalisatie!W10,Database_Asfalt_Aanlegset[#All],45,FALSE)*Optimalisatie!J10),0)+_xlfn.IFNA(VLOOKUP(Optimalisatie!X10,Database_Brandstoffen[#All],45,FALSE)*((Optimalisatie!J10/Optimalisatie!Z10)*Optimalisatie!Y10),0)&gt;0,_xlfn.IFNA((VLOOKUP(Optimalisatie!W10,Database_Asfalt_Aanlegset[#All],45,FALSE)*Optimalisatie!J10),0)+_xlfn.IFNA(VLOOKUP(Optimalisatie!X10,Database_Brandstoffen[#All],45,FALSE)*((Optimalisatie!J10/Optimalisatie!Z10)*Optimalisatie!Y10),0),(_xlfn.IFNA(VLOOKUP(Inschrijf_Fossiele_Energie_Totaal[[#This Row],[Product]]&amp;", "&amp;Inschrijf_MKI_Totaal[[#Headers],[A5]],Database_Productkaarten[#All],51,FALSE),0)*Optimalisatie!J10)),0)</f>
        <v>0</v>
      </c>
      <c r="J428" s="91">
        <f>(IF(Optimalisatie!C10="Nieuwe Situatie",_xlfn.IFNA(IF(Optimalisatie!E10="Categorie_1_LCA_Producten",VLOOKUP(Inschrijf_Fossiele_Energie_Totaal[[#This Row],[Product]],Categorie_1_Producten[#All],36,FALSE)*(Optimalisatie!R10),VLOOKUP(Inschrijf_Fossiele_Energie_Totaal[[#This Row],[Product]]&amp;", "&amp;Inschrijf_Fossiele_Energie_Totaal[[#Headers],[B1]],Database_Productkaarten[#All],51,FALSE)*Optimalisatie!J10),Baseline_Backlog!J428),0))</f>
        <v>0</v>
      </c>
      <c r="K428" s="91">
        <f>(IF(Optimalisatie!C10="Nieuwe Situatie",_xlfn.IFNA(SUM(Inschrijf_Fossiele_Energie_Totaal[[#This Row],[A1]:[B1]],Inschrijf_Fossiele_Energie_Totaal[[#This Row],[C1]:[D2]])*Optimalisatie!T10,0),0))</f>
        <v>0</v>
      </c>
      <c r="L428" s="91">
        <f>IF(Optimalisatie!C10="Bestaande situatie",IF(_xlfn.IFNA((VLOOKUP(Optimalisatie!AA10,Database_Asfalt_Verwijderset[#All],45,FALSE)*Optimalisatie!J10),0)+_xlfn.IFNA(VLOOKUP(Optimalisatie!AB10,Database_Brandstoffen[#All],45,FALSE)*((Optimalisatie!J10/Optimalisatie!AD10)*Optimalisatie!AC10),0)&gt;0,_xlfn.IFNA((VLOOKUP(Optimalisatie!AA10,Database_Asfalt_Verwijderset[#All],45,FALSE)*Optimalisatie!J10),0)+_xlfn.IFNA(VLOOKUP(Optimalisatie!AB10,Database_Brandstoffen[#All],45,FALSE)*((Optimalisatie!J10/Optimalisatie!AD10)*Optimalisatie!AC10),0),(_xlfn.IFNA(VLOOKUP(Inschrijf_Fossiele_Energie_Totaal[[#This Row],[Product]]&amp;", "&amp;Inschrijf_MKI_Totaal[[#Headers],[C1]],Database_Productkaarten[#All],51,FALSE),0)*Optimalisatie!J10)),0)</f>
        <v>77002.527692999996</v>
      </c>
      <c r="M428" s="91">
        <f>(IF(Optimalisatie!C10="Bestaande Situatie",_xlfn.IFNA(VLOOKUP(Optimalisatie!AF10,Database_Transport[#All],45,FALSE)*(Optimalisatie!R10*Optimalisatie!AE10),Baseline_Backlog!M428),0))</f>
        <v>36174.6039781</v>
      </c>
      <c r="N428" s="91">
        <f>(IF(Optimalisatie!C10="Bestaande Situatie",_xlfn.IFNA(VLOOKUP(Optimalisatie!AG10,Database_Asfalt_Verwerkingsset[#All],45,FALSE)*(Optimalisatie!J10/VLOOKUP(Optimalisatie!AG10,Database_Asfalt_Verwerkingsset[#All],45,FALSE)),Baseline_Backlog!N428),0))</f>
        <v>825.47499999999991</v>
      </c>
      <c r="O428" s="91">
        <f>(IF(Optimalisatie!C10="Bestaande Situatie",_xlfn.IFNA(VLOOKUP(Inschrijf_Fossiele_Energie_Totaal[[#This Row],[Product]]&amp;", "&amp;Inschrijf_MKI_Totaal[[#Headers],[C4]],Database_Productkaarten[#All],51,FALSE)*Optimalisatie!J10,Baseline_Backlog!O428),0))</f>
        <v>58.154250000000005</v>
      </c>
      <c r="P428" s="91">
        <f>(IF(Optimalisatie!C10="Bestaande Situatie",_xlfn.IFNA(IF(Optimalisatie!E10="Categorie_1_LCA_Producten",VLOOKUP(Inschrijf_Fossiele_Energie_Totaal[[#This Row],[Product]],Categorie_1_Producten[#All],30,FALSE)*(Optimalisatie!J10),VLOOKUP(Inschrijf_Fossiele_Energie_Totaal[[#This Row],[Product]]&amp;", "&amp;Inschrijf_Fossiele_Energie_Totaal[[#Headers],[D1]],Database_Productkaarten[#All],51,FALSE)*Optimalisatie!J10),Baseline_Backlog!P428),0))</f>
        <v>-2383675</v>
      </c>
      <c r="Q428" s="91">
        <f>(IF(Optimalisatie!C10="Bestaande Situatie",_xlfn.IFNA(IF(Optimalisatie!E10="Categorie_1_LCA_Producten",VLOOKUP(Inschrijf_Fossiele_Energie_Totaal[[#This Row],[Product]],Categorie_1_Producten[#All],31,FALSE)*(Optimalisatie!J10),VLOOKUP(Inschrijf_Fossiele_Energie_Totaal[[#This Row],[Product]]&amp;", "&amp;Inschrijf_Fossiele_Energie_Totaal[[#Headers],[D2]],Database_Productkaarten[#All],51,FALSE)*Optimalisatie!J10),Baseline_Backlog!Q428),0))</f>
        <v>0</v>
      </c>
      <c r="R428" s="91">
        <f>(IF(Optimalisatie!C10="Bestaande Situatie",_xlfn.IFNA(IF(Optimalisatie!E10="Categorie_1_LCA_Producten",VLOOKUP(Inschrijf_Fossiele_Energie_Totaal[[#This Row],[Product]],Categorie_1_Producten[#All],37,FALSE)*(Optimalisatie!J10),VLOOKUP(Inschrijf_Fossiele_Energie_Totaal[[#This Row],[Product]]&amp;", "&amp;Inschrijf_Fossiele_Energie_Totaal[[#Headers],[D]],Database_Productkaarten[#All],51,FALSE)*Optimalisatie!J10),Baseline_Backlog!S428),0))</f>
        <v>-2383675</v>
      </c>
      <c r="S428" s="91">
        <f>SUM(Inschrijf_Fossiele_Energie_Totaal[[#This Row],[A1-A3]:[C4]])+Inschrijf_Fossiele_Energie_Totaal[[#This Row],[D]]</f>
        <v>-2269614.2390788998</v>
      </c>
    </row>
    <row r="429" spans="2:19">
      <c r="B429" s="208" t="str">
        <f>Optimalisatie!B11</f>
        <v>121330 - Opbreken en afvoeren straatbakstenen</v>
      </c>
      <c r="C429" s="1" t="str">
        <f>Optimalisatie!F11</f>
        <v>Gebakken klinker keiformaat (hergebruik)</v>
      </c>
      <c r="D429" s="91">
        <f>(IF(Optimalisatie!C11="Nieuwe Situatie",_xlfn.IFNA(IF(Optimalisatie!E11="Categorie_1_LCA_Producten",VLOOKUP(Inschrijf_Fossiele_Energie_Totaal[[#This Row],[Product]],Categorie_1_Producten[#All],26,FALSE)*(Optimalisatie!J11),VLOOKUP(Inschrijf_Fossiele_Energie_Totaal[[#This Row],[Product]]&amp;", "&amp;Inschrijf_Fossiele_Energie_Totaal[[#Headers],[A1]],Database_Productkaarten[#All],51,FALSE)*Optimalisatie!J11),Baseline_Backlog!D429),0))</f>
        <v>0</v>
      </c>
      <c r="E429" s="91">
        <f>(IF(Optimalisatie!C11="Nieuwe Situatie",_xlfn.IFNA(IF(Optimalisatie!E11="Categorie_1_LCA_Producten",VLOOKUP(Inschrijf_Fossiele_Energie_Totaal[[#This Row],[Product]],Categorie_1_Producten[#All],27,FALSE)*(Optimalisatie!J11),VLOOKUP(Inschrijf_Fossiele_Energie_Totaal[[#This Row],[Product]]&amp;", "&amp;Inschrijf_Fossiele_Energie_Totaal[[#Headers],[A2]],Database_Productkaarten[#All],51,FALSE)*Optimalisatie!J11),Baseline_Backlog!E429),0))</f>
        <v>0</v>
      </c>
      <c r="F429" s="91">
        <f>(IF(Optimalisatie!C11="Nieuwe Situatie",_xlfn.IFNA(IF(Optimalisatie!E11="Categorie_1_LCA_Producten",VLOOKUP(Inschrijf_Fossiele_Energie_Totaal[[#This Row],[Product]],Categorie_1_Producten[#All],28,FALSE)*(Optimalisatie!J11),VLOOKUP(Inschrijf_Fossiele_Energie_Totaal[[#This Row],[Product]]&amp;", "&amp;Inschrijf_Fossiele_Energie_Totaal[[#Headers],[A3]],Database_Productkaarten[#All],51,FALSE)*Optimalisatie!J11),Baseline_Backlog!F429),0))</f>
        <v>0</v>
      </c>
      <c r="G429" s="91">
        <f>(IF(Optimalisatie!C11="Nieuwe Situatie",_xlfn.IFNA(IF(Optimalisatie!E11="Categorie_1_LCA_Producten",VLOOKUP(Inschrijf_Fossiele_Energie_Totaal[[#This Row],[Product]],Categorie_1_Producten[#All],35,FALSE)*(Optimalisatie!J11),VLOOKUP(Inschrijf_Fossiele_Energie_Totaal[[#This Row],[Product]]&amp;", "&amp;Inschrijf_Fossiele_Energie_Totaal[[#Headers],[A1-A3]],Database_Productkaarten[#All],51,FALSE)*Optimalisatie!J11),Baseline_Backlog!G429),0))</f>
        <v>0</v>
      </c>
      <c r="H429" s="91">
        <f>(IF(Optimalisatie!C11="Nieuwe Situatie",_xlfn.IFNA(VLOOKUP(Optimalisatie!V11,Database_Transport[#All],45,FALSE)*(Optimalisatie!R11*Optimalisatie!U11),Baseline_Backlog!H429),0))</f>
        <v>0</v>
      </c>
      <c r="I429" s="91">
        <f>IF(Optimalisatie!C11="Nieuwe situatie",IF(_xlfn.IFNA((VLOOKUP(Optimalisatie!W11,Database_Asfalt_Aanlegset[#All],45,FALSE)*Optimalisatie!J11),0)+_xlfn.IFNA(VLOOKUP(Optimalisatie!X11,Database_Brandstoffen[#All],45,FALSE)*((Optimalisatie!J11/Optimalisatie!Z11)*Optimalisatie!Y11),0)&gt;0,_xlfn.IFNA((VLOOKUP(Optimalisatie!W11,Database_Asfalt_Aanlegset[#All],45,FALSE)*Optimalisatie!J11),0)+_xlfn.IFNA(VLOOKUP(Optimalisatie!X11,Database_Brandstoffen[#All],45,FALSE)*((Optimalisatie!J11/Optimalisatie!Z11)*Optimalisatie!Y11),0),(_xlfn.IFNA(VLOOKUP(Inschrijf_Fossiele_Energie_Totaal[[#This Row],[Product]]&amp;", "&amp;Inschrijf_MKI_Totaal[[#Headers],[A5]],Database_Productkaarten[#All],51,FALSE),0)*Optimalisatie!J11)),0)</f>
        <v>0</v>
      </c>
      <c r="J429" s="91">
        <f>(IF(Optimalisatie!C11="Nieuwe Situatie",_xlfn.IFNA(IF(Optimalisatie!E11="Categorie_1_LCA_Producten",VLOOKUP(Inschrijf_Fossiele_Energie_Totaal[[#This Row],[Product]],Categorie_1_Producten[#All],36,FALSE)*(Optimalisatie!R11),VLOOKUP(Inschrijf_Fossiele_Energie_Totaal[[#This Row],[Product]]&amp;", "&amp;Inschrijf_Fossiele_Energie_Totaal[[#Headers],[B1]],Database_Productkaarten[#All],51,FALSE)*Optimalisatie!J11),Baseline_Backlog!J429),0))</f>
        <v>0</v>
      </c>
      <c r="K429" s="91">
        <f>(IF(Optimalisatie!C11="Nieuwe Situatie",_xlfn.IFNA(SUM(Inschrijf_Fossiele_Energie_Totaal[[#This Row],[A1]:[B1]],Inschrijf_Fossiele_Energie_Totaal[[#This Row],[C1]:[D2]])*Optimalisatie!T11,0),0))</f>
        <v>0</v>
      </c>
      <c r="L429" s="91">
        <f>IF(Optimalisatie!C11="Bestaande situatie",IF(_xlfn.IFNA((VLOOKUP(Optimalisatie!AA11,Database_Asfalt_Verwijderset[#All],45,FALSE)*Optimalisatie!J11),0)+_xlfn.IFNA(VLOOKUP(Optimalisatie!AB11,Database_Brandstoffen[#All],45,FALSE)*((Optimalisatie!J11/Optimalisatie!AD11)*Optimalisatie!AC11),0)&gt;0,_xlfn.IFNA((VLOOKUP(Optimalisatie!AA11,Database_Asfalt_Verwijderset[#All],45,FALSE)*Optimalisatie!J11),0)+_xlfn.IFNA(VLOOKUP(Optimalisatie!AB11,Database_Brandstoffen[#All],45,FALSE)*((Optimalisatie!J11/Optimalisatie!AD11)*Optimalisatie!AC11),0),(_xlfn.IFNA(VLOOKUP(Inschrijf_Fossiele_Energie_Totaal[[#This Row],[Product]]&amp;", "&amp;Inschrijf_MKI_Totaal[[#Headers],[C1]],Database_Productkaarten[#All],51,FALSE),0)*Optimalisatie!J11)),0)</f>
        <v>39186.191990399995</v>
      </c>
      <c r="M429" s="91">
        <f>(IF(Optimalisatie!C11="Bestaande Situatie",_xlfn.IFNA(VLOOKUP(Optimalisatie!AF11,Database_Transport[#All],45,FALSE)*(Optimalisatie!R11*Optimalisatie!AE11),Baseline_Backlog!M429),0))</f>
        <v>18409.070703680001</v>
      </c>
      <c r="N429" s="91">
        <f>(IF(Optimalisatie!C11="Bestaande Situatie",_xlfn.IFNA(VLOOKUP(Optimalisatie!AG11,Database_Asfalt_Verwerkingsset[#All],45,FALSE)*(Optimalisatie!J11/VLOOKUP(Optimalisatie!AG11,Database_Asfalt_Verwerkingsset[#All],45,FALSE)),Baseline_Backlog!N429),0))</f>
        <v>420.08</v>
      </c>
      <c r="O429" s="91">
        <f>(IF(Optimalisatie!C11="Bestaande Situatie",_xlfn.IFNA(VLOOKUP(Inschrijf_Fossiele_Energie_Totaal[[#This Row],[Product]]&amp;", "&amp;Inschrijf_MKI_Totaal[[#Headers],[C4]],Database_Productkaarten[#All],51,FALSE)*Optimalisatie!J11,Baseline_Backlog!O429),0))</f>
        <v>29.5944</v>
      </c>
      <c r="P429" s="91">
        <f>(IF(Optimalisatie!C11="Bestaande Situatie",_xlfn.IFNA(IF(Optimalisatie!E11="Categorie_1_LCA_Producten",VLOOKUP(Inschrijf_Fossiele_Energie_Totaal[[#This Row],[Product]],Categorie_1_Producten[#All],30,FALSE)*(Optimalisatie!J11),VLOOKUP(Inschrijf_Fossiele_Energie_Totaal[[#This Row],[Product]]&amp;", "&amp;Inschrijf_Fossiele_Energie_Totaal[[#Headers],[D1]],Database_Productkaarten[#All],51,FALSE)*Optimalisatie!J11),Baseline_Backlog!P429),0))</f>
        <v>0</v>
      </c>
      <c r="Q429" s="91">
        <f>(IF(Optimalisatie!C11="Bestaande Situatie",_xlfn.IFNA(IF(Optimalisatie!E11="Categorie_1_LCA_Producten",VLOOKUP(Inschrijf_Fossiele_Energie_Totaal[[#This Row],[Product]],Categorie_1_Producten[#All],31,FALSE)*(Optimalisatie!J11),VLOOKUP(Inschrijf_Fossiele_Energie_Totaal[[#This Row],[Product]]&amp;", "&amp;Inschrijf_Fossiele_Energie_Totaal[[#Headers],[D2]],Database_Productkaarten[#All],51,FALSE)*Optimalisatie!J11),Baseline_Backlog!Q429),0))</f>
        <v>0</v>
      </c>
      <c r="R429" s="91">
        <f>(IF(Optimalisatie!C11="Bestaande Situatie",_xlfn.IFNA(IF(Optimalisatie!E11="Categorie_1_LCA_Producten",VLOOKUP(Inschrijf_Fossiele_Energie_Totaal[[#This Row],[Product]],Categorie_1_Producten[#All],37,FALSE)*(Optimalisatie!J11),VLOOKUP(Inschrijf_Fossiele_Energie_Totaal[[#This Row],[Product]]&amp;", "&amp;Inschrijf_Fossiele_Energie_Totaal[[#Headers],[D]],Database_Productkaarten[#All],51,FALSE)*Optimalisatie!J11),Baseline_Backlog!S429),0))</f>
        <v>127440</v>
      </c>
      <c r="S429" s="91">
        <f>SUM(Inschrijf_Fossiele_Energie_Totaal[[#This Row],[A1-A3]:[C4]])+Inschrijf_Fossiele_Energie_Totaal[[#This Row],[D]]</f>
        <v>185484.93709408</v>
      </c>
    </row>
    <row r="430" spans="2:19">
      <c r="B430" s="208" t="str">
        <f>Optimalisatie!B12</f>
        <v>121340 - Opbreken betontegels 300x300x45mm</v>
      </c>
      <c r="C430" s="1" t="str">
        <f>Optimalisatie!F12</f>
        <v>Betontegel 300x300x45</v>
      </c>
      <c r="D430" s="91">
        <f>(IF(Optimalisatie!C12="Nieuwe Situatie",_xlfn.IFNA(IF(Optimalisatie!E12="Categorie_1_LCA_Producten",VLOOKUP(Inschrijf_Fossiele_Energie_Totaal[[#This Row],[Product]],Categorie_1_Producten[#All],26,FALSE)*(Optimalisatie!J12),VLOOKUP(Inschrijf_Fossiele_Energie_Totaal[[#This Row],[Product]]&amp;", "&amp;Inschrijf_Fossiele_Energie_Totaal[[#Headers],[A1]],Database_Productkaarten[#All],51,FALSE)*Optimalisatie!J12),Baseline_Backlog!D430),0))</f>
        <v>0</v>
      </c>
      <c r="E430" s="91">
        <f>(IF(Optimalisatie!C12="Nieuwe Situatie",_xlfn.IFNA(IF(Optimalisatie!E12="Categorie_1_LCA_Producten",VLOOKUP(Inschrijf_Fossiele_Energie_Totaal[[#This Row],[Product]],Categorie_1_Producten[#All],27,FALSE)*(Optimalisatie!J12),VLOOKUP(Inschrijf_Fossiele_Energie_Totaal[[#This Row],[Product]]&amp;", "&amp;Inschrijf_Fossiele_Energie_Totaal[[#Headers],[A2]],Database_Productkaarten[#All],51,FALSE)*Optimalisatie!J12),Baseline_Backlog!E430),0))</f>
        <v>0</v>
      </c>
      <c r="F430" s="91">
        <f>(IF(Optimalisatie!C12="Nieuwe Situatie",_xlfn.IFNA(IF(Optimalisatie!E12="Categorie_1_LCA_Producten",VLOOKUP(Inschrijf_Fossiele_Energie_Totaal[[#This Row],[Product]],Categorie_1_Producten[#All],28,FALSE)*(Optimalisatie!J12),VLOOKUP(Inschrijf_Fossiele_Energie_Totaal[[#This Row],[Product]]&amp;", "&amp;Inschrijf_Fossiele_Energie_Totaal[[#Headers],[A3]],Database_Productkaarten[#All],51,FALSE)*Optimalisatie!J12),Baseline_Backlog!F430),0))</f>
        <v>0</v>
      </c>
      <c r="G430" s="91">
        <f>(IF(Optimalisatie!C12="Nieuwe Situatie",_xlfn.IFNA(IF(Optimalisatie!E12="Categorie_1_LCA_Producten",VLOOKUP(Inschrijf_Fossiele_Energie_Totaal[[#This Row],[Product]],Categorie_1_Producten[#All],35,FALSE)*(Optimalisatie!J12),VLOOKUP(Inschrijf_Fossiele_Energie_Totaal[[#This Row],[Product]]&amp;", "&amp;Inschrijf_Fossiele_Energie_Totaal[[#Headers],[A1-A3]],Database_Productkaarten[#All],51,FALSE)*Optimalisatie!J12),Baseline_Backlog!G430),0))</f>
        <v>0</v>
      </c>
      <c r="H430" s="91">
        <f>(IF(Optimalisatie!C12="Nieuwe Situatie",_xlfn.IFNA(VLOOKUP(Optimalisatie!V12,Database_Transport[#All],45,FALSE)*(Optimalisatie!R12*Optimalisatie!U12),Baseline_Backlog!H430),0))</f>
        <v>0</v>
      </c>
      <c r="I430" s="91">
        <f>IF(Optimalisatie!C12="Nieuwe situatie",IF(_xlfn.IFNA((VLOOKUP(Optimalisatie!W12,Database_Asfalt_Aanlegset[#All],45,FALSE)*Optimalisatie!J12),0)+_xlfn.IFNA(VLOOKUP(Optimalisatie!X12,Database_Brandstoffen[#All],45,FALSE)*((Optimalisatie!J12/Optimalisatie!Z12)*Optimalisatie!Y12),0)&gt;0,_xlfn.IFNA((VLOOKUP(Optimalisatie!W12,Database_Asfalt_Aanlegset[#All],45,FALSE)*Optimalisatie!J12),0)+_xlfn.IFNA(VLOOKUP(Optimalisatie!X12,Database_Brandstoffen[#All],45,FALSE)*((Optimalisatie!J12/Optimalisatie!Z12)*Optimalisatie!Y12),0),(_xlfn.IFNA(VLOOKUP(Inschrijf_Fossiele_Energie_Totaal[[#This Row],[Product]]&amp;", "&amp;Inschrijf_MKI_Totaal[[#Headers],[A5]],Database_Productkaarten[#All],51,FALSE),0)*Optimalisatie!J12)),0)</f>
        <v>0</v>
      </c>
      <c r="J430" s="91">
        <f>(IF(Optimalisatie!C12="Nieuwe Situatie",_xlfn.IFNA(IF(Optimalisatie!E12="Categorie_1_LCA_Producten",VLOOKUP(Inschrijf_Fossiele_Energie_Totaal[[#This Row],[Product]],Categorie_1_Producten[#All],36,FALSE)*(Optimalisatie!R12),VLOOKUP(Inschrijf_Fossiele_Energie_Totaal[[#This Row],[Product]]&amp;", "&amp;Inschrijf_Fossiele_Energie_Totaal[[#Headers],[B1]],Database_Productkaarten[#All],51,FALSE)*Optimalisatie!J12),Baseline_Backlog!J430),0))</f>
        <v>0</v>
      </c>
      <c r="K430" s="91">
        <f>(IF(Optimalisatie!C12="Nieuwe Situatie",_xlfn.IFNA(SUM(Inschrijf_Fossiele_Energie_Totaal[[#This Row],[A1]:[B1]],Inschrijf_Fossiele_Energie_Totaal[[#This Row],[C1]:[D2]])*Optimalisatie!T12,0),0))</f>
        <v>0</v>
      </c>
      <c r="L430" s="91">
        <f>IF(Optimalisatie!C12="Bestaande situatie",IF(_xlfn.IFNA((VLOOKUP(Optimalisatie!AA12,Database_Asfalt_Verwijderset[#All],45,FALSE)*Optimalisatie!J12),0)+_xlfn.IFNA(VLOOKUP(Optimalisatie!AB12,Database_Brandstoffen[#All],45,FALSE)*((Optimalisatie!J12/Optimalisatie!AD12)*Optimalisatie!AC12),0)&gt;0,_xlfn.IFNA((VLOOKUP(Optimalisatie!AA12,Database_Asfalt_Verwijderset[#All],45,FALSE)*Optimalisatie!J12),0)+_xlfn.IFNA(VLOOKUP(Optimalisatie!AB12,Database_Brandstoffen[#All],45,FALSE)*((Optimalisatie!J12/Optimalisatie!AD12)*Optimalisatie!AC12),0),(_xlfn.IFNA(VLOOKUP(Inschrijf_Fossiele_Energie_Totaal[[#This Row],[Product]]&amp;", "&amp;Inschrijf_MKI_Totaal[[#Headers],[C1]],Database_Productkaarten[#All],51,FALSE),0)*Optimalisatie!J12)),0)</f>
        <v>169843.52488167133</v>
      </c>
      <c r="M430" s="91">
        <f>(IF(Optimalisatie!C12="Bestaande Situatie",_xlfn.IFNA(VLOOKUP(Optimalisatie!AF12,Database_Transport[#All],45,FALSE)*(Optimalisatie!R12*Optimalisatie!AE12),Baseline_Backlog!M430),0))</f>
        <v>31159.165324869999</v>
      </c>
      <c r="N430" s="91">
        <f>(IF(Optimalisatie!C12="Bestaande Situatie",_xlfn.IFNA(VLOOKUP(Optimalisatie!AG12,Database_Asfalt_Verwerkingsset[#All],45,FALSE)*(Optimalisatie!J12/VLOOKUP(Optimalisatie!AG12,Database_Asfalt_Verwerkingsset[#All],45,FALSE)),Baseline_Backlog!N430),0))</f>
        <v>24900.718134499999</v>
      </c>
      <c r="O430" s="91">
        <f>(IF(Optimalisatie!C12="Bestaande Situatie",_xlfn.IFNA(VLOOKUP(Inschrijf_Fossiele_Energie_Totaal[[#This Row],[Product]]&amp;", "&amp;Inschrijf_MKI_Totaal[[#Headers],[C4]],Database_Productkaarten[#All],51,FALSE)*Optimalisatie!J12,Baseline_Backlog!O430),0))</f>
        <v>1623.1806242499999</v>
      </c>
      <c r="P430" s="91">
        <f>(IF(Optimalisatie!C12="Bestaande Situatie",_xlfn.IFNA(IF(Optimalisatie!E12="Categorie_1_LCA_Producten",VLOOKUP(Inschrijf_Fossiele_Energie_Totaal[[#This Row],[Product]],Categorie_1_Producten[#All],30,FALSE)*(Optimalisatie!J12),VLOOKUP(Inschrijf_Fossiele_Energie_Totaal[[#This Row],[Product]]&amp;", "&amp;Inschrijf_Fossiele_Energie_Totaal[[#Headers],[D1]],Database_Productkaarten[#All],51,FALSE)*Optimalisatie!J12),Baseline_Backlog!P430),0))</f>
        <v>0</v>
      </c>
      <c r="Q430" s="91">
        <f>(IF(Optimalisatie!C12="Bestaande Situatie",_xlfn.IFNA(IF(Optimalisatie!E12="Categorie_1_LCA_Producten",VLOOKUP(Inschrijf_Fossiele_Energie_Totaal[[#This Row],[Product]],Categorie_1_Producten[#All],31,FALSE)*(Optimalisatie!J12),VLOOKUP(Inschrijf_Fossiele_Energie_Totaal[[#This Row],[Product]]&amp;", "&amp;Inschrijf_Fossiele_Energie_Totaal[[#Headers],[D2]],Database_Productkaarten[#All],51,FALSE)*Optimalisatie!J12),Baseline_Backlog!Q430),0))</f>
        <v>0</v>
      </c>
      <c r="R430" s="91">
        <f>(IF(Optimalisatie!C12="Bestaande Situatie",_xlfn.IFNA(IF(Optimalisatie!E12="Categorie_1_LCA_Producten",VLOOKUP(Inschrijf_Fossiele_Energie_Totaal[[#This Row],[Product]],Categorie_1_Producten[#All],37,FALSE)*(Optimalisatie!J12),VLOOKUP(Inschrijf_Fossiele_Energie_Totaal[[#This Row],[Product]]&amp;", "&amp;Inschrijf_Fossiele_Energie_Totaal[[#Headers],[D]],Database_Productkaarten[#All],51,FALSE)*Optimalisatie!J12),Baseline_Backlog!S430),0))</f>
        <v>-52756.290912500001</v>
      </c>
      <c r="S430" s="91">
        <f>SUM(Inschrijf_Fossiele_Energie_Totaal[[#This Row],[A1-A3]:[C4]])+Inschrijf_Fossiele_Energie_Totaal[[#This Row],[D]]</f>
        <v>174770.29805279133</v>
      </c>
    </row>
    <row r="431" spans="2:19">
      <c r="B431" s="208" t="str">
        <f>Optimalisatie!B13</f>
        <v>121410 - Opbreken en afvoeren asfaltverharding zwart teervrij</v>
      </c>
      <c r="C431" s="1" t="str">
        <f>Optimalisatie!F13</f>
        <v>AC bin/base 50% PR - PCR 2.0</v>
      </c>
      <c r="D431" s="91">
        <f>(IF(Optimalisatie!C13="Nieuwe Situatie",_xlfn.IFNA(IF(Optimalisatie!E13="Categorie_1_LCA_Producten",VLOOKUP(Inschrijf_Fossiele_Energie_Totaal[[#This Row],[Product]],Categorie_1_Producten[#All],26,FALSE)*(Optimalisatie!J13),VLOOKUP(Inschrijf_Fossiele_Energie_Totaal[[#This Row],[Product]]&amp;", "&amp;Inschrijf_Fossiele_Energie_Totaal[[#Headers],[A1]],Database_Productkaarten[#All],51,FALSE)*Optimalisatie!J13),Baseline_Backlog!D431),0))</f>
        <v>0</v>
      </c>
      <c r="E431" s="91">
        <f>(IF(Optimalisatie!C13="Nieuwe Situatie",_xlfn.IFNA(IF(Optimalisatie!E13="Categorie_1_LCA_Producten",VLOOKUP(Inschrijf_Fossiele_Energie_Totaal[[#This Row],[Product]],Categorie_1_Producten[#All],27,FALSE)*(Optimalisatie!J13),VLOOKUP(Inschrijf_Fossiele_Energie_Totaal[[#This Row],[Product]]&amp;", "&amp;Inschrijf_Fossiele_Energie_Totaal[[#Headers],[A2]],Database_Productkaarten[#All],51,FALSE)*Optimalisatie!J13),Baseline_Backlog!E431),0))</f>
        <v>0</v>
      </c>
      <c r="F431" s="91">
        <f>(IF(Optimalisatie!C13="Nieuwe Situatie",_xlfn.IFNA(IF(Optimalisatie!E13="Categorie_1_LCA_Producten",VLOOKUP(Inschrijf_Fossiele_Energie_Totaal[[#This Row],[Product]],Categorie_1_Producten[#All],28,FALSE)*(Optimalisatie!J13),VLOOKUP(Inschrijf_Fossiele_Energie_Totaal[[#This Row],[Product]]&amp;", "&amp;Inschrijf_Fossiele_Energie_Totaal[[#Headers],[A3]],Database_Productkaarten[#All],51,FALSE)*Optimalisatie!J13),Baseline_Backlog!F431),0))</f>
        <v>0</v>
      </c>
      <c r="G431" s="91">
        <f>(IF(Optimalisatie!C13="Nieuwe Situatie",_xlfn.IFNA(IF(Optimalisatie!E13="Categorie_1_LCA_Producten",VLOOKUP(Inschrijf_Fossiele_Energie_Totaal[[#This Row],[Product]],Categorie_1_Producten[#All],35,FALSE)*(Optimalisatie!J13),VLOOKUP(Inschrijf_Fossiele_Energie_Totaal[[#This Row],[Product]]&amp;", "&amp;Inschrijf_Fossiele_Energie_Totaal[[#Headers],[A1-A3]],Database_Productkaarten[#All],51,FALSE)*Optimalisatie!J13),Baseline_Backlog!G431),0))</f>
        <v>0</v>
      </c>
      <c r="H431" s="91">
        <f>(IF(Optimalisatie!C13="Nieuwe Situatie",_xlfn.IFNA(VLOOKUP(Optimalisatie!V13,Database_Transport[#All],45,FALSE)*(Optimalisatie!R13*Optimalisatie!U13),Baseline_Backlog!H431),0))</f>
        <v>0</v>
      </c>
      <c r="I431" s="91">
        <f>IF(Optimalisatie!C13="Nieuwe situatie",IF(_xlfn.IFNA((VLOOKUP(Optimalisatie!W13,Database_Asfalt_Aanlegset[#All],45,FALSE)*Optimalisatie!J13),0)+_xlfn.IFNA(VLOOKUP(Optimalisatie!X13,Database_Brandstoffen[#All],45,FALSE)*((Optimalisatie!J13/Optimalisatie!Z13)*Optimalisatie!Y13),0)&gt;0,_xlfn.IFNA((VLOOKUP(Optimalisatie!W13,Database_Asfalt_Aanlegset[#All],45,FALSE)*Optimalisatie!J13),0)+_xlfn.IFNA(VLOOKUP(Optimalisatie!X13,Database_Brandstoffen[#All],45,FALSE)*((Optimalisatie!J13/Optimalisatie!Z13)*Optimalisatie!Y13),0),(_xlfn.IFNA(VLOOKUP(Inschrijf_Fossiele_Energie_Totaal[[#This Row],[Product]]&amp;", "&amp;Inschrijf_MKI_Totaal[[#Headers],[A5]],Database_Productkaarten[#All],51,FALSE),0)*Optimalisatie!J13)),0)</f>
        <v>0</v>
      </c>
      <c r="J431" s="91">
        <f>(IF(Optimalisatie!C13="Nieuwe Situatie",_xlfn.IFNA(IF(Optimalisatie!E13="Categorie_1_LCA_Producten",VLOOKUP(Inschrijf_Fossiele_Energie_Totaal[[#This Row],[Product]],Categorie_1_Producten[#All],36,FALSE)*(Optimalisatie!R13),VLOOKUP(Inschrijf_Fossiele_Energie_Totaal[[#This Row],[Product]]&amp;", "&amp;Inschrijf_Fossiele_Energie_Totaal[[#Headers],[B1]],Database_Productkaarten[#All],51,FALSE)*Optimalisatie!J13),Baseline_Backlog!J431),0))</f>
        <v>0</v>
      </c>
      <c r="K431" s="91">
        <f>(IF(Optimalisatie!C13="Nieuwe Situatie",_xlfn.IFNA(SUM(Inschrijf_Fossiele_Energie_Totaal[[#This Row],[A1]:[B1]],Inschrijf_Fossiele_Energie_Totaal[[#This Row],[C1]:[D2]])*Optimalisatie!T13,0),0))</f>
        <v>0</v>
      </c>
      <c r="L431" s="91">
        <f>IF(Optimalisatie!C13="Bestaande situatie",IF(_xlfn.IFNA((VLOOKUP(Optimalisatie!AA13,Database_Asfalt_Verwijderset[#All],45,FALSE)*Optimalisatie!J13),0)+_xlfn.IFNA(VLOOKUP(Optimalisatie!AB13,Database_Brandstoffen[#All],45,FALSE)*((Optimalisatie!J13/Optimalisatie!AD13)*Optimalisatie!AC13),0)&gt;0,_xlfn.IFNA((VLOOKUP(Optimalisatie!AA13,Database_Asfalt_Verwijderset[#All],45,FALSE)*Optimalisatie!J13),0)+_xlfn.IFNA(VLOOKUP(Optimalisatie!AB13,Database_Brandstoffen[#All],45,FALSE)*((Optimalisatie!J13/Optimalisatie!AD13)*Optimalisatie!AC13),0),(_xlfn.IFNA(VLOOKUP(Inschrijf_Fossiele_Energie_Totaal[[#This Row],[Product]]&amp;", "&amp;Inschrijf_MKI_Totaal[[#Headers],[C1]],Database_Productkaarten[#All],51,FALSE),0)*Optimalisatie!J13)),0)</f>
        <v>41623.711499999998</v>
      </c>
      <c r="M431" s="91">
        <f>(IF(Optimalisatie!C13="Bestaande Situatie",_xlfn.IFNA(VLOOKUP(Optimalisatie!AF13,Database_Transport[#All],45,FALSE)*(Optimalisatie!R13*Optimalisatie!AE13),Baseline_Backlog!M431),0))</f>
        <v>78153.400500000003</v>
      </c>
      <c r="N431" s="91">
        <f>(IF(Optimalisatie!C13="Bestaande Situatie",_xlfn.IFNA(VLOOKUP(Optimalisatie!AG13,Database_Asfalt_Verwerkingsset[#All],45,FALSE)*(Optimalisatie!J13/VLOOKUP(Optimalisatie!AG13,Database_Asfalt_Verwerkingsset[#All],45,FALSE)),Baseline_Backlog!N431),0))</f>
        <v>46669.214845093309</v>
      </c>
      <c r="O431" s="91">
        <f>(IF(Optimalisatie!C13="Bestaande Situatie",_xlfn.IFNA(VLOOKUP(Inschrijf_Fossiele_Energie_Totaal[[#This Row],[Product]]&amp;", "&amp;Inschrijf_MKI_Totaal[[#Headers],[C4]],Database_Productkaarten[#All],51,FALSE)*Optimalisatie!J13,Baseline_Backlog!O431),0))</f>
        <v>0</v>
      </c>
      <c r="P431" s="91">
        <f>(IF(Optimalisatie!C13="Bestaande Situatie",_xlfn.IFNA(IF(Optimalisatie!E13="Categorie_1_LCA_Producten",VLOOKUP(Inschrijf_Fossiele_Energie_Totaal[[#This Row],[Product]],Categorie_1_Producten[#All],30,FALSE)*(Optimalisatie!J13),VLOOKUP(Inschrijf_Fossiele_Energie_Totaal[[#This Row],[Product]]&amp;", "&amp;Inschrijf_Fossiele_Energie_Totaal[[#Headers],[D1]],Database_Productkaarten[#All],51,FALSE)*Optimalisatie!J13),Baseline_Backlog!P431),0))</f>
        <v>0</v>
      </c>
      <c r="Q431" s="91">
        <f>(IF(Optimalisatie!C13="Bestaande Situatie",_xlfn.IFNA(IF(Optimalisatie!E13="Categorie_1_LCA_Producten",VLOOKUP(Inschrijf_Fossiele_Energie_Totaal[[#This Row],[Product]],Categorie_1_Producten[#All],31,FALSE)*(Optimalisatie!J13),VLOOKUP(Inschrijf_Fossiele_Energie_Totaal[[#This Row],[Product]]&amp;", "&amp;Inschrijf_Fossiele_Energie_Totaal[[#Headers],[D2]],Database_Productkaarten[#All],51,FALSE)*Optimalisatie!J13),Baseline_Backlog!Q431),0))</f>
        <v>0</v>
      </c>
      <c r="R431" s="91">
        <f>(IF(Optimalisatie!C13="Bestaande Situatie",_xlfn.IFNA(IF(Optimalisatie!E13="Categorie_1_LCA_Producten",VLOOKUP(Inschrijf_Fossiele_Energie_Totaal[[#This Row],[Product]],Categorie_1_Producten[#All],37,FALSE)*(Optimalisatie!J13),VLOOKUP(Inschrijf_Fossiele_Energie_Totaal[[#This Row],[Product]]&amp;", "&amp;Inschrijf_Fossiele_Energie_Totaal[[#Headers],[D]],Database_Productkaarten[#All],51,FALSE)*Optimalisatie!J13),Baseline_Backlog!S431),0))</f>
        <v>-2385653.143947192</v>
      </c>
      <c r="S431" s="91">
        <f>SUM(Inschrijf_Fossiele_Energie_Totaal[[#This Row],[A1-A3]:[C4]])+Inschrijf_Fossiele_Energie_Totaal[[#This Row],[D]]</f>
        <v>-2219206.8171020988</v>
      </c>
    </row>
    <row r="432" spans="2:19">
      <c r="B432" s="208" t="str">
        <f>Optimalisatie!B14</f>
        <v>121420 - Opbreken en afvoeren asfaltverharding rood teervrij</v>
      </c>
      <c r="C432" s="1" t="str">
        <f>Optimalisatie!F14</f>
        <v>AC surf rood, met penbitumen - PCR 2.0</v>
      </c>
      <c r="D432" s="91">
        <f>(IF(Optimalisatie!C14="Nieuwe Situatie",_xlfn.IFNA(IF(Optimalisatie!E14="Categorie_1_LCA_Producten",VLOOKUP(Inschrijf_Fossiele_Energie_Totaal[[#This Row],[Product]],Categorie_1_Producten[#All],26,FALSE)*(Optimalisatie!J14),VLOOKUP(Inschrijf_Fossiele_Energie_Totaal[[#This Row],[Product]]&amp;", "&amp;Inschrijf_Fossiele_Energie_Totaal[[#Headers],[A1]],Database_Productkaarten[#All],51,FALSE)*Optimalisatie!J14),Baseline_Backlog!D432),0))</f>
        <v>0</v>
      </c>
      <c r="E432" s="91">
        <f>(IF(Optimalisatie!C14="Nieuwe Situatie",_xlfn.IFNA(IF(Optimalisatie!E14="Categorie_1_LCA_Producten",VLOOKUP(Inschrijf_Fossiele_Energie_Totaal[[#This Row],[Product]],Categorie_1_Producten[#All],27,FALSE)*(Optimalisatie!J14),VLOOKUP(Inschrijf_Fossiele_Energie_Totaal[[#This Row],[Product]]&amp;", "&amp;Inschrijf_Fossiele_Energie_Totaal[[#Headers],[A2]],Database_Productkaarten[#All],51,FALSE)*Optimalisatie!J14),Baseline_Backlog!E432),0))</f>
        <v>0</v>
      </c>
      <c r="F432" s="91">
        <f>(IF(Optimalisatie!C14="Nieuwe Situatie",_xlfn.IFNA(IF(Optimalisatie!E14="Categorie_1_LCA_Producten",VLOOKUP(Inschrijf_Fossiele_Energie_Totaal[[#This Row],[Product]],Categorie_1_Producten[#All],28,FALSE)*(Optimalisatie!J14),VLOOKUP(Inschrijf_Fossiele_Energie_Totaal[[#This Row],[Product]]&amp;", "&amp;Inschrijf_Fossiele_Energie_Totaal[[#Headers],[A3]],Database_Productkaarten[#All],51,FALSE)*Optimalisatie!J14),Baseline_Backlog!F432),0))</f>
        <v>0</v>
      </c>
      <c r="G432" s="91">
        <f>(IF(Optimalisatie!C14="Nieuwe Situatie",_xlfn.IFNA(IF(Optimalisatie!E14="Categorie_1_LCA_Producten",VLOOKUP(Inschrijf_Fossiele_Energie_Totaal[[#This Row],[Product]],Categorie_1_Producten[#All],35,FALSE)*(Optimalisatie!J14),VLOOKUP(Inschrijf_Fossiele_Energie_Totaal[[#This Row],[Product]]&amp;", "&amp;Inschrijf_Fossiele_Energie_Totaal[[#Headers],[A1-A3]],Database_Productkaarten[#All],51,FALSE)*Optimalisatie!J14),Baseline_Backlog!G432),0))</f>
        <v>0</v>
      </c>
      <c r="H432" s="91">
        <f>(IF(Optimalisatie!C14="Nieuwe Situatie",_xlfn.IFNA(VLOOKUP(Optimalisatie!V14,Database_Transport[#All],45,FALSE)*(Optimalisatie!R14*Optimalisatie!U14),Baseline_Backlog!H432),0))</f>
        <v>0</v>
      </c>
      <c r="I432" s="91">
        <f>IF(Optimalisatie!C14="Nieuwe situatie",IF(_xlfn.IFNA((VLOOKUP(Optimalisatie!W14,Database_Asfalt_Aanlegset[#All],45,FALSE)*Optimalisatie!J14),0)+_xlfn.IFNA(VLOOKUP(Optimalisatie!X14,Database_Brandstoffen[#All],45,FALSE)*((Optimalisatie!J14/Optimalisatie!Z14)*Optimalisatie!Y14),0)&gt;0,_xlfn.IFNA((VLOOKUP(Optimalisatie!W14,Database_Asfalt_Aanlegset[#All],45,FALSE)*Optimalisatie!J14),0)+_xlfn.IFNA(VLOOKUP(Optimalisatie!X14,Database_Brandstoffen[#All],45,FALSE)*((Optimalisatie!J14/Optimalisatie!Z14)*Optimalisatie!Y14),0),(_xlfn.IFNA(VLOOKUP(Inschrijf_Fossiele_Energie_Totaal[[#This Row],[Product]]&amp;", "&amp;Inschrijf_MKI_Totaal[[#Headers],[A5]],Database_Productkaarten[#All],51,FALSE),0)*Optimalisatie!J14)),0)</f>
        <v>0</v>
      </c>
      <c r="J432" s="91">
        <f>(IF(Optimalisatie!C14="Nieuwe Situatie",_xlfn.IFNA(IF(Optimalisatie!E14="Categorie_1_LCA_Producten",VLOOKUP(Inschrijf_Fossiele_Energie_Totaal[[#This Row],[Product]],Categorie_1_Producten[#All],36,FALSE)*(Optimalisatie!R14),VLOOKUP(Inschrijf_Fossiele_Energie_Totaal[[#This Row],[Product]]&amp;", "&amp;Inschrijf_Fossiele_Energie_Totaal[[#Headers],[B1]],Database_Productkaarten[#All],51,FALSE)*Optimalisatie!J14),Baseline_Backlog!J432),0))</f>
        <v>0</v>
      </c>
      <c r="K432" s="91">
        <f>(IF(Optimalisatie!C14="Nieuwe Situatie",_xlfn.IFNA(SUM(Inschrijf_Fossiele_Energie_Totaal[[#This Row],[A1]:[B1]],Inschrijf_Fossiele_Energie_Totaal[[#This Row],[C1]:[D2]])*Optimalisatie!T14,0),0))</f>
        <v>0</v>
      </c>
      <c r="L432" s="91">
        <f>IF(Optimalisatie!C14="Bestaande situatie",IF(_xlfn.IFNA((VLOOKUP(Optimalisatie!AA14,Database_Asfalt_Verwijderset[#All],45,FALSE)*Optimalisatie!J14),0)+_xlfn.IFNA(VLOOKUP(Optimalisatie!AB14,Database_Brandstoffen[#All],45,FALSE)*((Optimalisatie!J14/Optimalisatie!AD14)*Optimalisatie!AC14),0)&gt;0,_xlfn.IFNA((VLOOKUP(Optimalisatie!AA14,Database_Asfalt_Verwijderset[#All],45,FALSE)*Optimalisatie!J14),0)+_xlfn.IFNA(VLOOKUP(Optimalisatie!AB14,Database_Brandstoffen[#All],45,FALSE)*((Optimalisatie!J14/Optimalisatie!AD14)*Optimalisatie!AC14),0),(_xlfn.IFNA(VLOOKUP(Inschrijf_Fossiele_Energie_Totaal[[#This Row],[Product]]&amp;", "&amp;Inschrijf_MKI_Totaal[[#Headers],[C1]],Database_Productkaarten[#All],51,FALSE),0)*Optimalisatie!J14)),0)</f>
        <v>28541.973600000001</v>
      </c>
      <c r="M432" s="91">
        <f>(IF(Optimalisatie!C14="Bestaande Situatie",_xlfn.IFNA(VLOOKUP(Optimalisatie!AF14,Database_Transport[#All],45,FALSE)*(Optimalisatie!R14*Optimalisatie!AE14),Baseline_Backlog!M432),0))</f>
        <v>53590.903200000001</v>
      </c>
      <c r="N432" s="91">
        <f>(IF(Optimalisatie!C14="Bestaande Situatie",_xlfn.IFNA(VLOOKUP(Optimalisatie!AG14,Database_Asfalt_Verwerkingsset[#All],45,FALSE)*(Optimalisatie!J14/VLOOKUP(Optimalisatie!AG14,Database_Asfalt_Verwerkingsset[#All],45,FALSE)),Baseline_Backlog!N432),0))</f>
        <v>32001.74734629384</v>
      </c>
      <c r="O432" s="91">
        <f>(IF(Optimalisatie!C14="Bestaande Situatie",_xlfn.IFNA(VLOOKUP(Inschrijf_Fossiele_Energie_Totaal[[#This Row],[Product]]&amp;", "&amp;Inschrijf_MKI_Totaal[[#Headers],[C4]],Database_Productkaarten[#All],51,FALSE)*Optimalisatie!J14,Baseline_Backlog!O432),0))</f>
        <v>0</v>
      </c>
      <c r="P432" s="91">
        <f>(IF(Optimalisatie!C14="Bestaande Situatie",_xlfn.IFNA(IF(Optimalisatie!E14="Categorie_1_LCA_Producten",VLOOKUP(Inschrijf_Fossiele_Energie_Totaal[[#This Row],[Product]],Categorie_1_Producten[#All],30,FALSE)*(Optimalisatie!J14),VLOOKUP(Inschrijf_Fossiele_Energie_Totaal[[#This Row],[Product]]&amp;", "&amp;Inschrijf_Fossiele_Energie_Totaal[[#Headers],[D1]],Database_Productkaarten[#All],51,FALSE)*Optimalisatie!J14),Baseline_Backlog!P432),0))</f>
        <v>0</v>
      </c>
      <c r="Q432" s="91">
        <f>(IF(Optimalisatie!C14="Bestaande Situatie",_xlfn.IFNA(IF(Optimalisatie!E14="Categorie_1_LCA_Producten",VLOOKUP(Inschrijf_Fossiele_Energie_Totaal[[#This Row],[Product]],Categorie_1_Producten[#All],31,FALSE)*(Optimalisatie!J14),VLOOKUP(Inschrijf_Fossiele_Energie_Totaal[[#This Row],[Product]]&amp;", "&amp;Inschrijf_Fossiele_Energie_Totaal[[#Headers],[D2]],Database_Productkaarten[#All],51,FALSE)*Optimalisatie!J14),Baseline_Backlog!Q432),0))</f>
        <v>0</v>
      </c>
      <c r="R432" s="91">
        <f>(IF(Optimalisatie!C14="Bestaande Situatie",_xlfn.IFNA(IF(Optimalisatie!E14="Categorie_1_LCA_Producten",VLOOKUP(Inschrijf_Fossiele_Energie_Totaal[[#This Row],[Product]],Categorie_1_Producten[#All],37,FALSE)*(Optimalisatie!J14),VLOOKUP(Inschrijf_Fossiele_Energie_Totaal[[#This Row],[Product]]&amp;", "&amp;Inschrijf_Fossiele_Energie_Totaal[[#Headers],[D]],Database_Productkaarten[#All],51,FALSE)*Optimalisatie!J14),Baseline_Backlog!S432),0))</f>
        <v>-3030970.0567423501</v>
      </c>
      <c r="S432" s="91">
        <f>SUM(Inschrijf_Fossiele_Energie_Totaal[[#This Row],[A1-A3]:[C4]])+Inschrijf_Fossiele_Energie_Totaal[[#This Row],[D]]</f>
        <v>-2916835.4325960563</v>
      </c>
    </row>
    <row r="433" spans="2:19">
      <c r="B433" s="208" t="str">
        <f>Optimalisatie!B15</f>
        <v>121510 - Opbreken fundering van menggranulaat, 400-200 mm dik</v>
      </c>
      <c r="C433" s="1" t="str">
        <f>Optimalisatie!F15</f>
        <v>Menggranulaat 300mm</v>
      </c>
      <c r="D433" s="91">
        <f>(IF(Optimalisatie!C15="Nieuwe Situatie",_xlfn.IFNA(IF(Optimalisatie!E15="Categorie_1_LCA_Producten",VLOOKUP(Inschrijf_Fossiele_Energie_Totaal[[#This Row],[Product]],Categorie_1_Producten[#All],26,FALSE)*(Optimalisatie!J15),VLOOKUP(Inschrijf_Fossiele_Energie_Totaal[[#This Row],[Product]]&amp;", "&amp;Inschrijf_Fossiele_Energie_Totaal[[#Headers],[A1]],Database_Productkaarten[#All],51,FALSE)*Optimalisatie!J15),Baseline_Backlog!D433),0))</f>
        <v>0</v>
      </c>
      <c r="E433" s="91">
        <f>(IF(Optimalisatie!C15="Nieuwe Situatie",_xlfn.IFNA(IF(Optimalisatie!E15="Categorie_1_LCA_Producten",VLOOKUP(Inschrijf_Fossiele_Energie_Totaal[[#This Row],[Product]],Categorie_1_Producten[#All],27,FALSE)*(Optimalisatie!J15),VLOOKUP(Inschrijf_Fossiele_Energie_Totaal[[#This Row],[Product]]&amp;", "&amp;Inschrijf_Fossiele_Energie_Totaal[[#Headers],[A2]],Database_Productkaarten[#All],51,FALSE)*Optimalisatie!J15),Baseline_Backlog!E433),0))</f>
        <v>0</v>
      </c>
      <c r="F433" s="91">
        <f>(IF(Optimalisatie!C15="Nieuwe Situatie",_xlfn.IFNA(IF(Optimalisatie!E15="Categorie_1_LCA_Producten",VLOOKUP(Inschrijf_Fossiele_Energie_Totaal[[#This Row],[Product]],Categorie_1_Producten[#All],28,FALSE)*(Optimalisatie!J15),VLOOKUP(Inschrijf_Fossiele_Energie_Totaal[[#This Row],[Product]]&amp;", "&amp;Inschrijf_Fossiele_Energie_Totaal[[#Headers],[A3]],Database_Productkaarten[#All],51,FALSE)*Optimalisatie!J15),Baseline_Backlog!F433),0))</f>
        <v>0</v>
      </c>
      <c r="G433" s="91">
        <f>(IF(Optimalisatie!C15="Nieuwe Situatie",_xlfn.IFNA(IF(Optimalisatie!E15="Categorie_1_LCA_Producten",VLOOKUP(Inschrijf_Fossiele_Energie_Totaal[[#This Row],[Product]],Categorie_1_Producten[#All],35,FALSE)*(Optimalisatie!J15),VLOOKUP(Inschrijf_Fossiele_Energie_Totaal[[#This Row],[Product]]&amp;", "&amp;Inschrijf_Fossiele_Energie_Totaal[[#Headers],[A1-A3]],Database_Productkaarten[#All],51,FALSE)*Optimalisatie!J15),Baseline_Backlog!G433),0))</f>
        <v>0</v>
      </c>
      <c r="H433" s="91">
        <f>(IF(Optimalisatie!C15="Nieuwe Situatie",_xlfn.IFNA(VLOOKUP(Optimalisatie!V15,Database_Transport[#All],45,FALSE)*(Optimalisatie!R15*Optimalisatie!U15),Baseline_Backlog!H433),0))</f>
        <v>0</v>
      </c>
      <c r="I433" s="91">
        <f>IF(Optimalisatie!C15="Nieuwe situatie",IF(_xlfn.IFNA((VLOOKUP(Optimalisatie!W15,Database_Asfalt_Aanlegset[#All],45,FALSE)*Optimalisatie!J15),0)+_xlfn.IFNA(VLOOKUP(Optimalisatie!X15,Database_Brandstoffen[#All],45,FALSE)*((Optimalisatie!J15/Optimalisatie!Z15)*Optimalisatie!Y15),0)&gt;0,_xlfn.IFNA((VLOOKUP(Optimalisatie!W15,Database_Asfalt_Aanlegset[#All],45,FALSE)*Optimalisatie!J15),0)+_xlfn.IFNA(VLOOKUP(Optimalisatie!X15,Database_Brandstoffen[#All],45,FALSE)*((Optimalisatie!J15/Optimalisatie!Z15)*Optimalisatie!Y15),0),(_xlfn.IFNA(VLOOKUP(Inschrijf_Fossiele_Energie_Totaal[[#This Row],[Product]]&amp;", "&amp;Inschrijf_MKI_Totaal[[#Headers],[A5]],Database_Productkaarten[#All],51,FALSE),0)*Optimalisatie!J15)),0)</f>
        <v>0</v>
      </c>
      <c r="J433" s="91">
        <f>(IF(Optimalisatie!C15="Nieuwe Situatie",_xlfn.IFNA(IF(Optimalisatie!E15="Categorie_1_LCA_Producten",VLOOKUP(Inschrijf_Fossiele_Energie_Totaal[[#This Row],[Product]],Categorie_1_Producten[#All],36,FALSE)*(Optimalisatie!R15),VLOOKUP(Inschrijf_Fossiele_Energie_Totaal[[#This Row],[Product]]&amp;", "&amp;Inschrijf_Fossiele_Energie_Totaal[[#Headers],[B1]],Database_Productkaarten[#All],51,FALSE)*Optimalisatie!J15),Baseline_Backlog!J433),0))</f>
        <v>0</v>
      </c>
      <c r="K433" s="91">
        <f>(IF(Optimalisatie!C15="Nieuwe Situatie",_xlfn.IFNA(SUM(Inschrijf_Fossiele_Energie_Totaal[[#This Row],[A1]:[B1]],Inschrijf_Fossiele_Energie_Totaal[[#This Row],[C1]:[D2]])*Optimalisatie!T15,0),0))</f>
        <v>0</v>
      </c>
      <c r="L433" s="91">
        <f>IF(Optimalisatie!C15="Bestaande situatie",IF(_xlfn.IFNA((VLOOKUP(Optimalisatie!AA15,Database_Asfalt_Verwijderset[#All],45,FALSE)*Optimalisatie!J15),0)+_xlfn.IFNA(VLOOKUP(Optimalisatie!AB15,Database_Brandstoffen[#All],45,FALSE)*((Optimalisatie!J15/Optimalisatie!AD15)*Optimalisatie!AC15),0)&gt;0,_xlfn.IFNA((VLOOKUP(Optimalisatie!AA15,Database_Asfalt_Verwijderset[#All],45,FALSE)*Optimalisatie!J15),0)+_xlfn.IFNA(VLOOKUP(Optimalisatie!AB15,Database_Brandstoffen[#All],45,FALSE)*((Optimalisatie!J15/Optimalisatie!AD15)*Optimalisatie!AC15),0),(_xlfn.IFNA(VLOOKUP(Inschrijf_Fossiele_Energie_Totaal[[#This Row],[Product]]&amp;", "&amp;Inschrijf_MKI_Totaal[[#Headers],[C1]],Database_Productkaarten[#All],51,FALSE),0)*Optimalisatie!J15)),0)</f>
        <v>39781.180074999997</v>
      </c>
      <c r="M433" s="91">
        <f>(IF(Optimalisatie!C15="Bestaande Situatie",_xlfn.IFNA(VLOOKUP(Optimalisatie!AF15,Database_Transport[#All],45,FALSE)*(Optimalisatie!R15*Optimalisatie!AE15),Baseline_Backlog!M433),0))</f>
        <v>66765.333570000003</v>
      </c>
      <c r="N433" s="91">
        <f>(IF(Optimalisatie!C15="Bestaande Situatie",_xlfn.IFNA(VLOOKUP(Optimalisatie!AG15,Database_Asfalt_Verwerkingsset[#All],45,FALSE)*(Optimalisatie!J15/VLOOKUP(Optimalisatie!AG15,Database_Asfalt_Verwerkingsset[#All],45,FALSE)),Baseline_Backlog!N433),0))</f>
        <v>0</v>
      </c>
      <c r="O433" s="91">
        <f>(IF(Optimalisatie!C15="Bestaande Situatie",_xlfn.IFNA(VLOOKUP(Inschrijf_Fossiele_Energie_Totaal[[#This Row],[Product]]&amp;", "&amp;Inschrijf_MKI_Totaal[[#Headers],[C4]],Database_Productkaarten[#All],51,FALSE)*Optimalisatie!J15,Baseline_Backlog!O433),0))</f>
        <v>3871.666666666667</v>
      </c>
      <c r="P433" s="91">
        <f>(IF(Optimalisatie!C15="Bestaande Situatie",_xlfn.IFNA(IF(Optimalisatie!E15="Categorie_1_LCA_Producten",VLOOKUP(Inschrijf_Fossiele_Energie_Totaal[[#This Row],[Product]],Categorie_1_Producten[#All],30,FALSE)*(Optimalisatie!J15),VLOOKUP(Inschrijf_Fossiele_Energie_Totaal[[#This Row],[Product]]&amp;", "&amp;Inschrijf_Fossiele_Energie_Totaal[[#Headers],[D1]],Database_Productkaarten[#All],51,FALSE)*Optimalisatie!J15),Baseline_Backlog!P433),0))</f>
        <v>0</v>
      </c>
      <c r="Q433" s="91">
        <f>(IF(Optimalisatie!C15="Bestaande Situatie",_xlfn.IFNA(IF(Optimalisatie!E15="Categorie_1_LCA_Producten",VLOOKUP(Inschrijf_Fossiele_Energie_Totaal[[#This Row],[Product]],Categorie_1_Producten[#All],31,FALSE)*(Optimalisatie!J15),VLOOKUP(Inschrijf_Fossiele_Energie_Totaal[[#This Row],[Product]]&amp;", "&amp;Inschrijf_Fossiele_Energie_Totaal[[#Headers],[D2]],Database_Productkaarten[#All],51,FALSE)*Optimalisatie!J15),Baseline_Backlog!Q433),0))</f>
        <v>0</v>
      </c>
      <c r="R433" s="91">
        <f>(IF(Optimalisatie!C15="Bestaande Situatie",_xlfn.IFNA(IF(Optimalisatie!E15="Categorie_1_LCA_Producten",VLOOKUP(Inschrijf_Fossiele_Energie_Totaal[[#This Row],[Product]],Categorie_1_Producten[#All],37,FALSE)*(Optimalisatie!J15),VLOOKUP(Inschrijf_Fossiele_Energie_Totaal[[#This Row],[Product]]&amp;", "&amp;Inschrijf_Fossiele_Energie_Totaal[[#Headers],[D]],Database_Productkaarten[#All],51,FALSE)*Optimalisatie!J15),Baseline_Backlog!S433),0))</f>
        <v>1299.5000000000002</v>
      </c>
      <c r="S433" s="91">
        <f>SUM(Inschrijf_Fossiele_Energie_Totaal[[#This Row],[A1-A3]:[C4]])+Inschrijf_Fossiele_Energie_Totaal[[#This Row],[D]]</f>
        <v>111717.68031166667</v>
      </c>
    </row>
    <row r="434" spans="2:19">
      <c r="B434" s="208" t="str">
        <f>Optimalisatie!B16</f>
        <v>121520 - Opbreken fundering van slakken 200-400 mm dik</v>
      </c>
      <c r="C434" s="1" t="str">
        <f>Optimalisatie!F16</f>
        <v>Fosforslakmengsel 200mm</v>
      </c>
      <c r="D434" s="91">
        <f>(IF(Optimalisatie!C16="Nieuwe Situatie",_xlfn.IFNA(IF(Optimalisatie!E16="Categorie_1_LCA_Producten",VLOOKUP(Inschrijf_Fossiele_Energie_Totaal[[#This Row],[Product]],Categorie_1_Producten[#All],26,FALSE)*(Optimalisatie!J16),VLOOKUP(Inschrijf_Fossiele_Energie_Totaal[[#This Row],[Product]]&amp;", "&amp;Inschrijf_Fossiele_Energie_Totaal[[#Headers],[A1]],Database_Productkaarten[#All],51,FALSE)*Optimalisatie!J16),Baseline_Backlog!D434),0))</f>
        <v>0</v>
      </c>
      <c r="E434" s="91">
        <f>(IF(Optimalisatie!C16="Nieuwe Situatie",_xlfn.IFNA(IF(Optimalisatie!E16="Categorie_1_LCA_Producten",VLOOKUP(Inschrijf_Fossiele_Energie_Totaal[[#This Row],[Product]],Categorie_1_Producten[#All],27,FALSE)*(Optimalisatie!J16),VLOOKUP(Inschrijf_Fossiele_Energie_Totaal[[#This Row],[Product]]&amp;", "&amp;Inschrijf_Fossiele_Energie_Totaal[[#Headers],[A2]],Database_Productkaarten[#All],51,FALSE)*Optimalisatie!J16),Baseline_Backlog!E434),0))</f>
        <v>0</v>
      </c>
      <c r="F434" s="91">
        <f>(IF(Optimalisatie!C16="Nieuwe Situatie",_xlfn.IFNA(IF(Optimalisatie!E16="Categorie_1_LCA_Producten",VLOOKUP(Inschrijf_Fossiele_Energie_Totaal[[#This Row],[Product]],Categorie_1_Producten[#All],28,FALSE)*(Optimalisatie!J16),VLOOKUP(Inschrijf_Fossiele_Energie_Totaal[[#This Row],[Product]]&amp;", "&amp;Inschrijf_Fossiele_Energie_Totaal[[#Headers],[A3]],Database_Productkaarten[#All],51,FALSE)*Optimalisatie!J16),Baseline_Backlog!F434),0))</f>
        <v>0</v>
      </c>
      <c r="G434" s="91">
        <f>(IF(Optimalisatie!C16="Nieuwe Situatie",_xlfn.IFNA(IF(Optimalisatie!E16="Categorie_1_LCA_Producten",VLOOKUP(Inschrijf_Fossiele_Energie_Totaal[[#This Row],[Product]],Categorie_1_Producten[#All],35,FALSE)*(Optimalisatie!J16),VLOOKUP(Inschrijf_Fossiele_Energie_Totaal[[#This Row],[Product]]&amp;", "&amp;Inschrijf_Fossiele_Energie_Totaal[[#Headers],[A1-A3]],Database_Productkaarten[#All],51,FALSE)*Optimalisatie!J16),Baseline_Backlog!G434),0))</f>
        <v>0</v>
      </c>
      <c r="H434" s="91">
        <f>(IF(Optimalisatie!C16="Nieuwe Situatie",_xlfn.IFNA(VLOOKUP(Optimalisatie!V16,Database_Transport[#All],45,FALSE)*(Optimalisatie!R16*Optimalisatie!U16),Baseline_Backlog!H434),0))</f>
        <v>0</v>
      </c>
      <c r="I434" s="91">
        <f>IF(Optimalisatie!C16="Nieuwe situatie",IF(_xlfn.IFNA((VLOOKUP(Optimalisatie!W16,Database_Asfalt_Aanlegset[#All],45,FALSE)*Optimalisatie!J16),0)+_xlfn.IFNA(VLOOKUP(Optimalisatie!X16,Database_Brandstoffen[#All],45,FALSE)*((Optimalisatie!J16/Optimalisatie!Z16)*Optimalisatie!Y16),0)&gt;0,_xlfn.IFNA((VLOOKUP(Optimalisatie!W16,Database_Asfalt_Aanlegset[#All],45,FALSE)*Optimalisatie!J16),0)+_xlfn.IFNA(VLOOKUP(Optimalisatie!X16,Database_Brandstoffen[#All],45,FALSE)*((Optimalisatie!J16/Optimalisatie!Z16)*Optimalisatie!Y16),0),(_xlfn.IFNA(VLOOKUP(Inschrijf_Fossiele_Energie_Totaal[[#This Row],[Product]]&amp;", "&amp;Inschrijf_MKI_Totaal[[#Headers],[A5]],Database_Productkaarten[#All],51,FALSE),0)*Optimalisatie!J16)),0)</f>
        <v>0</v>
      </c>
      <c r="J434" s="91">
        <f>(IF(Optimalisatie!C16="Nieuwe Situatie",_xlfn.IFNA(IF(Optimalisatie!E16="Categorie_1_LCA_Producten",VLOOKUP(Inschrijf_Fossiele_Energie_Totaal[[#This Row],[Product]],Categorie_1_Producten[#All],36,FALSE)*(Optimalisatie!R16),VLOOKUP(Inschrijf_Fossiele_Energie_Totaal[[#This Row],[Product]]&amp;", "&amp;Inschrijf_Fossiele_Energie_Totaal[[#Headers],[B1]],Database_Productkaarten[#All],51,FALSE)*Optimalisatie!J16),Baseline_Backlog!J434),0))</f>
        <v>0</v>
      </c>
      <c r="K434" s="91">
        <f>(IF(Optimalisatie!C16="Nieuwe Situatie",_xlfn.IFNA(SUM(Inschrijf_Fossiele_Energie_Totaal[[#This Row],[A1]:[B1]],Inschrijf_Fossiele_Energie_Totaal[[#This Row],[C1]:[D2]])*Optimalisatie!T16,0),0))</f>
        <v>0</v>
      </c>
      <c r="L434" s="91">
        <f>IF(Optimalisatie!C16="Bestaande situatie",IF(_xlfn.IFNA((VLOOKUP(Optimalisatie!AA16,Database_Asfalt_Verwijderset[#All],45,FALSE)*Optimalisatie!J16),0)+_xlfn.IFNA(VLOOKUP(Optimalisatie!AB16,Database_Brandstoffen[#All],45,FALSE)*((Optimalisatie!J16/Optimalisatie!AD16)*Optimalisatie!AC16),0)&gt;0,_xlfn.IFNA((VLOOKUP(Optimalisatie!AA16,Database_Asfalt_Verwijderset[#All],45,FALSE)*Optimalisatie!J16),0)+_xlfn.IFNA(VLOOKUP(Optimalisatie!AB16,Database_Brandstoffen[#All],45,FALSE)*((Optimalisatie!J16/Optimalisatie!AD16)*Optimalisatie!AC16),0),(_xlfn.IFNA(VLOOKUP(Inschrijf_Fossiele_Energie_Totaal[[#This Row],[Product]]&amp;", "&amp;Inschrijf_MKI_Totaal[[#Headers],[C1]],Database_Productkaarten[#All],51,FALSE),0)*Optimalisatie!J16)),0)</f>
        <v>18160.973512500001</v>
      </c>
      <c r="M434" s="91">
        <f>(IF(Optimalisatie!C16="Bestaande Situatie",_xlfn.IFNA(VLOOKUP(Optimalisatie!AF16,Database_Transport[#All],45,FALSE)*(Optimalisatie!R16*Optimalisatie!AE16),Baseline_Backlog!M434),0))</f>
        <v>29177.269520000005</v>
      </c>
      <c r="N434" s="91">
        <f>(IF(Optimalisatie!C16="Bestaande Situatie",_xlfn.IFNA(VLOOKUP(Optimalisatie!AG16,Database_Asfalt_Verwerkingsset[#All],45,FALSE)*(Optimalisatie!J16/VLOOKUP(Optimalisatie!AG16,Database_Asfalt_Verwerkingsset[#All],45,FALSE)),Baseline_Backlog!N434),0))</f>
        <v>0</v>
      </c>
      <c r="O434" s="91">
        <f>(IF(Optimalisatie!C16="Bestaande Situatie",_xlfn.IFNA(VLOOKUP(Inschrijf_Fossiele_Energie_Totaal[[#This Row],[Product]]&amp;", "&amp;Inschrijf_MKI_Totaal[[#Headers],[C4]],Database_Productkaarten[#All],51,FALSE)*Optimalisatie!J16,Baseline_Backlog!O434),0))</f>
        <v>1690.5</v>
      </c>
      <c r="P434" s="91">
        <f>(IF(Optimalisatie!C16="Bestaande Situatie",_xlfn.IFNA(IF(Optimalisatie!E16="Categorie_1_LCA_Producten",VLOOKUP(Inschrijf_Fossiele_Energie_Totaal[[#This Row],[Product]],Categorie_1_Producten[#All],30,FALSE)*(Optimalisatie!J16),VLOOKUP(Inschrijf_Fossiele_Energie_Totaal[[#This Row],[Product]]&amp;", "&amp;Inschrijf_Fossiele_Energie_Totaal[[#Headers],[D1]],Database_Productkaarten[#All],51,FALSE)*Optimalisatie!J16),Baseline_Backlog!P434),0))</f>
        <v>0</v>
      </c>
      <c r="Q434" s="91">
        <f>(IF(Optimalisatie!C16="Bestaande Situatie",_xlfn.IFNA(IF(Optimalisatie!E16="Categorie_1_LCA_Producten",VLOOKUP(Inschrijf_Fossiele_Energie_Totaal[[#This Row],[Product]],Categorie_1_Producten[#All],31,FALSE)*(Optimalisatie!J16),VLOOKUP(Inschrijf_Fossiele_Energie_Totaal[[#This Row],[Product]]&amp;", "&amp;Inschrijf_Fossiele_Energie_Totaal[[#Headers],[D2]],Database_Productkaarten[#All],51,FALSE)*Optimalisatie!J16),Baseline_Backlog!Q434),0))</f>
        <v>0</v>
      </c>
      <c r="R434" s="91">
        <f>(IF(Optimalisatie!C16="Bestaande Situatie",_xlfn.IFNA(IF(Optimalisatie!E16="Categorie_1_LCA_Producten",VLOOKUP(Inschrijf_Fossiele_Energie_Totaal[[#This Row],[Product]],Categorie_1_Producten[#All],37,FALSE)*(Optimalisatie!J16),VLOOKUP(Inschrijf_Fossiele_Energie_Totaal[[#This Row],[Product]]&amp;", "&amp;Inschrijf_Fossiele_Energie_Totaal[[#Headers],[D]],Database_Productkaarten[#All],51,FALSE)*Optimalisatie!J16),Baseline_Backlog!S434),0))</f>
        <v>568.75</v>
      </c>
      <c r="S434" s="91">
        <f>SUM(Inschrijf_Fossiele_Energie_Totaal[[#This Row],[A1-A3]:[C4]])+Inschrijf_Fossiele_Energie_Totaal[[#This Row],[D]]</f>
        <v>49597.493032500002</v>
      </c>
    </row>
    <row r="435" spans="2:19">
      <c r="B435" s="208" t="str">
        <f>Optimalisatie!B17</f>
        <v>121310 - Verwijderen en afvoeren kolken, incl aansluitingen</v>
      </c>
      <c r="C435" s="1" t="str">
        <f>Optimalisatie!F17</f>
        <v>Kolk, Staal &amp; Beton</v>
      </c>
      <c r="D435" s="91">
        <f>(IF(Optimalisatie!C17="Nieuwe Situatie",_xlfn.IFNA(IF(Optimalisatie!E17="Categorie_1_LCA_Producten",VLOOKUP(Inschrijf_Fossiele_Energie_Totaal[[#This Row],[Product]],Categorie_1_Producten[#All],26,FALSE)*(Optimalisatie!J17),VLOOKUP(Inschrijf_Fossiele_Energie_Totaal[[#This Row],[Product]]&amp;", "&amp;Inschrijf_Fossiele_Energie_Totaal[[#Headers],[A1]],Database_Productkaarten[#All],51,FALSE)*Optimalisatie!J17),Baseline_Backlog!D435),0))</f>
        <v>0</v>
      </c>
      <c r="E435" s="91">
        <f>(IF(Optimalisatie!C17="Nieuwe Situatie",_xlfn.IFNA(IF(Optimalisatie!E17="Categorie_1_LCA_Producten",VLOOKUP(Inschrijf_Fossiele_Energie_Totaal[[#This Row],[Product]],Categorie_1_Producten[#All],27,FALSE)*(Optimalisatie!J17),VLOOKUP(Inschrijf_Fossiele_Energie_Totaal[[#This Row],[Product]]&amp;", "&amp;Inschrijf_Fossiele_Energie_Totaal[[#Headers],[A2]],Database_Productkaarten[#All],51,FALSE)*Optimalisatie!J17),Baseline_Backlog!E435),0))</f>
        <v>0</v>
      </c>
      <c r="F435" s="91">
        <f>(IF(Optimalisatie!C17="Nieuwe Situatie",_xlfn.IFNA(IF(Optimalisatie!E17="Categorie_1_LCA_Producten",VLOOKUP(Inschrijf_Fossiele_Energie_Totaal[[#This Row],[Product]],Categorie_1_Producten[#All],28,FALSE)*(Optimalisatie!J17),VLOOKUP(Inschrijf_Fossiele_Energie_Totaal[[#This Row],[Product]]&amp;", "&amp;Inschrijf_Fossiele_Energie_Totaal[[#Headers],[A3]],Database_Productkaarten[#All],51,FALSE)*Optimalisatie!J17),Baseline_Backlog!F435),0))</f>
        <v>0</v>
      </c>
      <c r="G435" s="91">
        <f>(IF(Optimalisatie!C17="Nieuwe Situatie",_xlfn.IFNA(IF(Optimalisatie!E17="Categorie_1_LCA_Producten",VLOOKUP(Inschrijf_Fossiele_Energie_Totaal[[#This Row],[Product]],Categorie_1_Producten[#All],35,FALSE)*(Optimalisatie!J17),VLOOKUP(Inschrijf_Fossiele_Energie_Totaal[[#This Row],[Product]]&amp;", "&amp;Inschrijf_Fossiele_Energie_Totaal[[#Headers],[A1-A3]],Database_Productkaarten[#All],51,FALSE)*Optimalisatie!J17),Baseline_Backlog!G435),0))</f>
        <v>0</v>
      </c>
      <c r="H435" s="91">
        <f>(IF(Optimalisatie!C17="Nieuwe Situatie",_xlfn.IFNA(VLOOKUP(Optimalisatie!V17,Database_Transport[#All],45,FALSE)*(Optimalisatie!R17*Optimalisatie!U17),Baseline_Backlog!H435),0))</f>
        <v>0</v>
      </c>
      <c r="I435" s="91">
        <f>IF(Optimalisatie!C17="Nieuwe situatie",IF(_xlfn.IFNA((VLOOKUP(Optimalisatie!W17,Database_Asfalt_Aanlegset[#All],45,FALSE)*Optimalisatie!J17),0)+_xlfn.IFNA(VLOOKUP(Optimalisatie!X17,Database_Brandstoffen[#All],45,FALSE)*((Optimalisatie!J17/Optimalisatie!Z17)*Optimalisatie!Y17),0)&gt;0,_xlfn.IFNA((VLOOKUP(Optimalisatie!W17,Database_Asfalt_Aanlegset[#All],45,FALSE)*Optimalisatie!J17),0)+_xlfn.IFNA(VLOOKUP(Optimalisatie!X17,Database_Brandstoffen[#All],45,FALSE)*((Optimalisatie!J17/Optimalisatie!Z17)*Optimalisatie!Y17),0),(_xlfn.IFNA(VLOOKUP(Inschrijf_Fossiele_Energie_Totaal[[#This Row],[Product]]&amp;", "&amp;Inschrijf_MKI_Totaal[[#Headers],[A5]],Database_Productkaarten[#All],51,FALSE),0)*Optimalisatie!J17)),0)</f>
        <v>0</v>
      </c>
      <c r="J435" s="91">
        <f>(IF(Optimalisatie!C17="Nieuwe Situatie",_xlfn.IFNA(IF(Optimalisatie!E17="Categorie_1_LCA_Producten",VLOOKUP(Inschrijf_Fossiele_Energie_Totaal[[#This Row],[Product]],Categorie_1_Producten[#All],36,FALSE)*(Optimalisatie!R17),VLOOKUP(Inschrijf_Fossiele_Energie_Totaal[[#This Row],[Product]]&amp;", "&amp;Inschrijf_Fossiele_Energie_Totaal[[#Headers],[B1]],Database_Productkaarten[#All],51,FALSE)*Optimalisatie!J17),Baseline_Backlog!J435),0))</f>
        <v>0</v>
      </c>
      <c r="K435" s="91">
        <f>(IF(Optimalisatie!C17="Nieuwe Situatie",_xlfn.IFNA(SUM(Inschrijf_Fossiele_Energie_Totaal[[#This Row],[A1]:[B1]],Inschrijf_Fossiele_Energie_Totaal[[#This Row],[C1]:[D2]])*Optimalisatie!T17,0),0))</f>
        <v>0</v>
      </c>
      <c r="L435" s="91">
        <f>IF(Optimalisatie!C17="Bestaande situatie",IF(_xlfn.IFNA((VLOOKUP(Optimalisatie!AA17,Database_Asfalt_Verwijderset[#All],45,FALSE)*Optimalisatie!J17),0)+_xlfn.IFNA(VLOOKUP(Optimalisatie!AB17,Database_Brandstoffen[#All],45,FALSE)*((Optimalisatie!J17/Optimalisatie!AD17)*Optimalisatie!AC17),0)&gt;0,_xlfn.IFNA((VLOOKUP(Optimalisatie!AA17,Database_Asfalt_Verwijderset[#All],45,FALSE)*Optimalisatie!J17),0)+_xlfn.IFNA(VLOOKUP(Optimalisatie!AB17,Database_Brandstoffen[#All],45,FALSE)*((Optimalisatie!J17/Optimalisatie!AD17)*Optimalisatie!AC17),0),(_xlfn.IFNA(VLOOKUP(Inschrijf_Fossiele_Energie_Totaal[[#This Row],[Product]]&amp;", "&amp;Inschrijf_MKI_Totaal[[#Headers],[C1]],Database_Productkaarten[#All],51,FALSE),0)*Optimalisatie!J17)),0)</f>
        <v>85642.516290807805</v>
      </c>
      <c r="M435" s="91">
        <f>(IF(Optimalisatie!C17="Bestaande Situatie",_xlfn.IFNA(VLOOKUP(Optimalisatie!AF17,Database_Transport[#All],45,FALSE)*(Optimalisatie!R17*Optimalisatie!AE17),Baseline_Backlog!M435),0))</f>
        <v>1219.89806590432</v>
      </c>
      <c r="N435" s="91">
        <f>(IF(Optimalisatie!C17="Bestaande Situatie",_xlfn.IFNA(VLOOKUP(Optimalisatie!AG17,Database_Asfalt_Verwerkingsset[#All],45,FALSE)*(Optimalisatie!J17/VLOOKUP(Optimalisatie!AG17,Database_Asfalt_Verwerkingsset[#All],45,FALSE)),Baseline_Backlog!N435),0))</f>
        <v>1183.2245546000001</v>
      </c>
      <c r="O435" s="91">
        <f>(IF(Optimalisatie!C17="Bestaande Situatie",_xlfn.IFNA(VLOOKUP(Inschrijf_Fossiele_Energie_Totaal[[#This Row],[Product]]&amp;", "&amp;Inschrijf_MKI_Totaal[[#Headers],[C4]],Database_Productkaarten[#All],51,FALSE)*Optimalisatie!J17,Baseline_Backlog!O435),0))</f>
        <v>100.3825365</v>
      </c>
      <c r="P435" s="91">
        <f>(IF(Optimalisatie!C17="Bestaande Situatie",_xlfn.IFNA(IF(Optimalisatie!E17="Categorie_1_LCA_Producten",VLOOKUP(Inschrijf_Fossiele_Energie_Totaal[[#This Row],[Product]],Categorie_1_Producten[#All],30,FALSE)*(Optimalisatie!J17),VLOOKUP(Inschrijf_Fossiele_Energie_Totaal[[#This Row],[Product]]&amp;", "&amp;Inschrijf_Fossiele_Energie_Totaal[[#Headers],[D1]],Database_Productkaarten[#All],51,FALSE)*Optimalisatie!J17),Baseline_Backlog!P435),0))</f>
        <v>0</v>
      </c>
      <c r="Q435" s="91">
        <f>(IF(Optimalisatie!C17="Bestaande Situatie",_xlfn.IFNA(IF(Optimalisatie!E17="Categorie_1_LCA_Producten",VLOOKUP(Inschrijf_Fossiele_Energie_Totaal[[#This Row],[Product]],Categorie_1_Producten[#All],31,FALSE)*(Optimalisatie!J17),VLOOKUP(Inschrijf_Fossiele_Energie_Totaal[[#This Row],[Product]]&amp;", "&amp;Inschrijf_Fossiele_Energie_Totaal[[#Headers],[D2]],Database_Productkaarten[#All],51,FALSE)*Optimalisatie!J17),Baseline_Backlog!Q435),0))</f>
        <v>0</v>
      </c>
      <c r="R435" s="91">
        <f>(IF(Optimalisatie!C17="Bestaande Situatie",_xlfn.IFNA(IF(Optimalisatie!E17="Categorie_1_LCA_Producten",VLOOKUP(Inschrijf_Fossiele_Energie_Totaal[[#This Row],[Product]],Categorie_1_Producten[#All],37,FALSE)*(Optimalisatie!J17),VLOOKUP(Inschrijf_Fossiele_Energie_Totaal[[#This Row],[Product]]&amp;", "&amp;Inschrijf_Fossiele_Energie_Totaal[[#Headers],[D]],Database_Productkaarten[#All],51,FALSE)*Optimalisatie!J17),Baseline_Backlog!S435),0))</f>
        <v>-92817.579939999996</v>
      </c>
      <c r="S435" s="91">
        <f>SUM(Inschrijf_Fossiele_Energie_Totaal[[#This Row],[A1-A3]:[C4]])+Inschrijf_Fossiele_Energie_Totaal[[#This Row],[D]]</f>
        <v>-4671.5584921878763</v>
      </c>
    </row>
    <row r="436" spans="2:19">
      <c r="B436" s="208" t="str">
        <f>Optimalisatie!B18</f>
        <v>210010 - Grond ontgraven uit cunet wegen en parkeervakken 0,25 m</v>
      </c>
      <c r="C436" s="1" t="str">
        <f>Optimalisatie!F18</f>
        <v>Ophoogmateriaal (Grond)</v>
      </c>
      <c r="D436" s="91">
        <f>(IF(Optimalisatie!C18="Nieuwe Situatie",_xlfn.IFNA(IF(Optimalisatie!E18="Categorie_1_LCA_Producten",VLOOKUP(Inschrijf_Fossiele_Energie_Totaal[[#This Row],[Product]],Categorie_1_Producten[#All],26,FALSE)*(Optimalisatie!J18),VLOOKUP(Inschrijf_Fossiele_Energie_Totaal[[#This Row],[Product]]&amp;", "&amp;Inschrijf_Fossiele_Energie_Totaal[[#Headers],[A1]],Database_Productkaarten[#All],51,FALSE)*Optimalisatie!J18),Baseline_Backlog!D436),0))</f>
        <v>0</v>
      </c>
      <c r="E436" s="91">
        <f>(IF(Optimalisatie!C18="Nieuwe Situatie",_xlfn.IFNA(IF(Optimalisatie!E18="Categorie_1_LCA_Producten",VLOOKUP(Inschrijf_Fossiele_Energie_Totaal[[#This Row],[Product]],Categorie_1_Producten[#All],27,FALSE)*(Optimalisatie!J18),VLOOKUP(Inschrijf_Fossiele_Energie_Totaal[[#This Row],[Product]]&amp;", "&amp;Inschrijf_Fossiele_Energie_Totaal[[#Headers],[A2]],Database_Productkaarten[#All],51,FALSE)*Optimalisatie!J18),Baseline_Backlog!E436),0))</f>
        <v>0</v>
      </c>
      <c r="F436" s="91">
        <f>(IF(Optimalisatie!C18="Nieuwe Situatie",_xlfn.IFNA(IF(Optimalisatie!E18="Categorie_1_LCA_Producten",VLOOKUP(Inschrijf_Fossiele_Energie_Totaal[[#This Row],[Product]],Categorie_1_Producten[#All],28,FALSE)*(Optimalisatie!J18),VLOOKUP(Inschrijf_Fossiele_Energie_Totaal[[#This Row],[Product]]&amp;", "&amp;Inschrijf_Fossiele_Energie_Totaal[[#Headers],[A3]],Database_Productkaarten[#All],51,FALSE)*Optimalisatie!J18),Baseline_Backlog!F436),0))</f>
        <v>0</v>
      </c>
      <c r="G436" s="91">
        <f>(IF(Optimalisatie!C18="Nieuwe Situatie",_xlfn.IFNA(IF(Optimalisatie!E18="Categorie_1_LCA_Producten",VLOOKUP(Inschrijf_Fossiele_Energie_Totaal[[#This Row],[Product]],Categorie_1_Producten[#All],35,FALSE)*(Optimalisatie!J18),VLOOKUP(Inschrijf_Fossiele_Energie_Totaal[[#This Row],[Product]]&amp;", "&amp;Inschrijf_Fossiele_Energie_Totaal[[#Headers],[A1-A3]],Database_Productkaarten[#All],51,FALSE)*Optimalisatie!J18),Baseline_Backlog!G436),0))</f>
        <v>0</v>
      </c>
      <c r="H436" s="91">
        <f>(IF(Optimalisatie!C18="Nieuwe Situatie",_xlfn.IFNA(VLOOKUP(Optimalisatie!V18,Database_Transport[#All],45,FALSE)*(Optimalisatie!R18*Optimalisatie!U18),Baseline_Backlog!H436),0))</f>
        <v>0</v>
      </c>
      <c r="I436" s="91">
        <f>IF(Optimalisatie!C18="Nieuwe situatie",IF(_xlfn.IFNA((VLOOKUP(Optimalisatie!W18,Database_Asfalt_Aanlegset[#All],45,FALSE)*Optimalisatie!J18),0)+_xlfn.IFNA(VLOOKUP(Optimalisatie!X18,Database_Brandstoffen[#All],45,FALSE)*((Optimalisatie!J18/Optimalisatie!Z18)*Optimalisatie!Y18),0)&gt;0,_xlfn.IFNA((VLOOKUP(Optimalisatie!W18,Database_Asfalt_Aanlegset[#All],45,FALSE)*Optimalisatie!J18),0)+_xlfn.IFNA(VLOOKUP(Optimalisatie!X18,Database_Brandstoffen[#All],45,FALSE)*((Optimalisatie!J18/Optimalisatie!Z18)*Optimalisatie!Y18),0),(_xlfn.IFNA(VLOOKUP(Inschrijf_Fossiele_Energie_Totaal[[#This Row],[Product]]&amp;", "&amp;Inschrijf_MKI_Totaal[[#Headers],[A5]],Database_Productkaarten[#All],51,FALSE),0)*Optimalisatie!J18)),0)</f>
        <v>0</v>
      </c>
      <c r="J436" s="91">
        <f>(IF(Optimalisatie!C18="Nieuwe Situatie",_xlfn.IFNA(IF(Optimalisatie!E18="Categorie_1_LCA_Producten",VLOOKUP(Inschrijf_Fossiele_Energie_Totaal[[#This Row],[Product]],Categorie_1_Producten[#All],36,FALSE)*(Optimalisatie!R18),VLOOKUP(Inschrijf_Fossiele_Energie_Totaal[[#This Row],[Product]]&amp;", "&amp;Inschrijf_Fossiele_Energie_Totaal[[#Headers],[B1]],Database_Productkaarten[#All],51,FALSE)*Optimalisatie!J18),Baseline_Backlog!J436),0))</f>
        <v>0</v>
      </c>
      <c r="K436" s="91">
        <f>(IF(Optimalisatie!C18="Nieuwe Situatie",_xlfn.IFNA(SUM(Inschrijf_Fossiele_Energie_Totaal[[#This Row],[A1]:[B1]],Inschrijf_Fossiele_Energie_Totaal[[#This Row],[C1]:[D2]])*Optimalisatie!T18,0),0))</f>
        <v>0</v>
      </c>
      <c r="L436" s="91">
        <f>IF(Optimalisatie!C18="Bestaande situatie",IF(_xlfn.IFNA((VLOOKUP(Optimalisatie!AA18,Database_Asfalt_Verwijderset[#All],45,FALSE)*Optimalisatie!J18),0)+_xlfn.IFNA(VLOOKUP(Optimalisatie!AB18,Database_Brandstoffen[#All],45,FALSE)*((Optimalisatie!J18/Optimalisatie!AD18)*Optimalisatie!AC18),0)&gt;0,_xlfn.IFNA((VLOOKUP(Optimalisatie!AA18,Database_Asfalt_Verwijderset[#All],45,FALSE)*Optimalisatie!J18),0)+_xlfn.IFNA(VLOOKUP(Optimalisatie!AB18,Database_Brandstoffen[#All],45,FALSE)*((Optimalisatie!J18/Optimalisatie!AD18)*Optimalisatie!AC18),0),(_xlfn.IFNA(VLOOKUP(Inschrijf_Fossiele_Energie_Totaal[[#This Row],[Product]]&amp;", "&amp;Inschrijf_MKI_Totaal[[#Headers],[C1]],Database_Productkaarten[#All],51,FALSE),0)*Optimalisatie!J18)),0)</f>
        <v>60288.932767933329</v>
      </c>
      <c r="M436" s="91">
        <f>(IF(Optimalisatie!C18="Bestaande Situatie",_xlfn.IFNA(VLOOKUP(Optimalisatie!AF18,Database_Transport[#All],45,FALSE)*(Optimalisatie!R18*Optimalisatie!AE18),Baseline_Backlog!M436),0))</f>
        <v>242870.99602999998</v>
      </c>
      <c r="N436" s="91">
        <f>(IF(Optimalisatie!C18="Bestaande Situatie",_xlfn.IFNA(VLOOKUP(Optimalisatie!AG18,Database_Asfalt_Verwerkingsset[#All],45,FALSE)*(Optimalisatie!J18/VLOOKUP(Optimalisatie!AG18,Database_Asfalt_Verwerkingsset[#All],45,FALSE)),Baseline_Backlog!N436),0))</f>
        <v>0</v>
      </c>
      <c r="O436" s="91">
        <f>(IF(Optimalisatie!C18="Bestaande Situatie",_xlfn.IFNA(VLOOKUP(Inschrijf_Fossiele_Energie_Totaal[[#This Row],[Product]]&amp;", "&amp;Inschrijf_MKI_Totaal[[#Headers],[C4]],Database_Productkaarten[#All],51,FALSE)*Optimalisatie!J18,Baseline_Backlog!O436),0))</f>
        <v>14056</v>
      </c>
      <c r="P436" s="91">
        <f>(IF(Optimalisatie!C18="Bestaande Situatie",_xlfn.IFNA(IF(Optimalisatie!E18="Categorie_1_LCA_Producten",VLOOKUP(Inschrijf_Fossiele_Energie_Totaal[[#This Row],[Product]],Categorie_1_Producten[#All],30,FALSE)*(Optimalisatie!J18),VLOOKUP(Inschrijf_Fossiele_Energie_Totaal[[#This Row],[Product]]&amp;", "&amp;Inschrijf_Fossiele_Energie_Totaal[[#Headers],[D1]],Database_Productkaarten[#All],51,FALSE)*Optimalisatie!J18),Baseline_Backlog!P436),0))</f>
        <v>0</v>
      </c>
      <c r="Q436" s="91">
        <f>(IF(Optimalisatie!C18="Bestaande Situatie",_xlfn.IFNA(IF(Optimalisatie!E18="Categorie_1_LCA_Producten",VLOOKUP(Inschrijf_Fossiele_Energie_Totaal[[#This Row],[Product]],Categorie_1_Producten[#All],31,FALSE)*(Optimalisatie!J18),VLOOKUP(Inschrijf_Fossiele_Energie_Totaal[[#This Row],[Product]]&amp;", "&amp;Inschrijf_Fossiele_Energie_Totaal[[#Headers],[D2]],Database_Productkaarten[#All],51,FALSE)*Optimalisatie!J18),Baseline_Backlog!Q436),0))</f>
        <v>0</v>
      </c>
      <c r="R436" s="91">
        <f>(IF(Optimalisatie!C18="Bestaande Situatie",_xlfn.IFNA(IF(Optimalisatie!E18="Categorie_1_LCA_Producten",VLOOKUP(Inschrijf_Fossiele_Energie_Totaal[[#This Row],[Product]],Categorie_1_Producten[#All],37,FALSE)*(Optimalisatie!J18),VLOOKUP(Inschrijf_Fossiele_Energie_Totaal[[#This Row],[Product]]&amp;", "&amp;Inschrijf_Fossiele_Energie_Totaal[[#Headers],[D]],Database_Productkaarten[#All],51,FALSE)*Optimalisatie!J18),Baseline_Backlog!S436),0))</f>
        <v>0</v>
      </c>
      <c r="S436" s="91">
        <f>SUM(Inschrijf_Fossiele_Energie_Totaal[[#This Row],[A1-A3]:[C4]])+Inschrijf_Fossiele_Energie_Totaal[[#This Row],[D]]</f>
        <v>317215.92879793333</v>
      </c>
    </row>
    <row r="437" spans="2:19">
      <c r="B437" s="208" t="str">
        <f>Optimalisatie!B19</f>
        <v>210020 - Grond ontgraven uit sleuf riolering (gerekend met 11,5m3/m1 riool)</v>
      </c>
      <c r="C437" s="1" t="str">
        <f>Optimalisatie!F19</f>
        <v>Ophoogmateriaal (Grond)</v>
      </c>
      <c r="D437" s="91">
        <f>(IF(Optimalisatie!C19="Nieuwe Situatie",_xlfn.IFNA(IF(Optimalisatie!E19="Categorie_1_LCA_Producten",VLOOKUP(Inschrijf_Fossiele_Energie_Totaal[[#This Row],[Product]],Categorie_1_Producten[#All],26,FALSE)*(Optimalisatie!J19),VLOOKUP(Inschrijf_Fossiele_Energie_Totaal[[#This Row],[Product]]&amp;", "&amp;Inschrijf_Fossiele_Energie_Totaal[[#Headers],[A1]],Database_Productkaarten[#All],51,FALSE)*Optimalisatie!J19),Baseline_Backlog!D437),0))</f>
        <v>0</v>
      </c>
      <c r="E437" s="91">
        <f>(IF(Optimalisatie!C19="Nieuwe Situatie",_xlfn.IFNA(IF(Optimalisatie!E19="Categorie_1_LCA_Producten",VLOOKUP(Inschrijf_Fossiele_Energie_Totaal[[#This Row],[Product]],Categorie_1_Producten[#All],27,FALSE)*(Optimalisatie!J19),VLOOKUP(Inschrijf_Fossiele_Energie_Totaal[[#This Row],[Product]]&amp;", "&amp;Inschrijf_Fossiele_Energie_Totaal[[#Headers],[A2]],Database_Productkaarten[#All],51,FALSE)*Optimalisatie!J19),Baseline_Backlog!E437),0))</f>
        <v>0</v>
      </c>
      <c r="F437" s="91">
        <f>(IF(Optimalisatie!C19="Nieuwe Situatie",_xlfn.IFNA(IF(Optimalisatie!E19="Categorie_1_LCA_Producten",VLOOKUP(Inschrijf_Fossiele_Energie_Totaal[[#This Row],[Product]],Categorie_1_Producten[#All],28,FALSE)*(Optimalisatie!J19),VLOOKUP(Inschrijf_Fossiele_Energie_Totaal[[#This Row],[Product]]&amp;", "&amp;Inschrijf_Fossiele_Energie_Totaal[[#Headers],[A3]],Database_Productkaarten[#All],51,FALSE)*Optimalisatie!J19),Baseline_Backlog!F437),0))</f>
        <v>0</v>
      </c>
      <c r="G437" s="91">
        <f>(IF(Optimalisatie!C19="Nieuwe Situatie",_xlfn.IFNA(IF(Optimalisatie!E19="Categorie_1_LCA_Producten",VLOOKUP(Inschrijf_Fossiele_Energie_Totaal[[#This Row],[Product]],Categorie_1_Producten[#All],35,FALSE)*(Optimalisatie!J19),VLOOKUP(Inschrijf_Fossiele_Energie_Totaal[[#This Row],[Product]]&amp;", "&amp;Inschrijf_Fossiele_Energie_Totaal[[#Headers],[A1-A3]],Database_Productkaarten[#All],51,FALSE)*Optimalisatie!J19),Baseline_Backlog!G437),0))</f>
        <v>0</v>
      </c>
      <c r="H437" s="91">
        <f>(IF(Optimalisatie!C19="Nieuwe Situatie",_xlfn.IFNA(VLOOKUP(Optimalisatie!V19,Database_Transport[#All],45,FALSE)*(Optimalisatie!R19*Optimalisatie!U19),Baseline_Backlog!H437),0))</f>
        <v>0</v>
      </c>
      <c r="I437" s="91">
        <f>IF(Optimalisatie!C19="Nieuwe situatie",IF(_xlfn.IFNA((VLOOKUP(Optimalisatie!W19,Database_Asfalt_Aanlegset[#All],45,FALSE)*Optimalisatie!J19),0)+_xlfn.IFNA(VLOOKUP(Optimalisatie!X19,Database_Brandstoffen[#All],45,FALSE)*((Optimalisatie!J19/Optimalisatie!Z19)*Optimalisatie!Y19),0)&gt;0,_xlfn.IFNA((VLOOKUP(Optimalisatie!W19,Database_Asfalt_Aanlegset[#All],45,FALSE)*Optimalisatie!J19),0)+_xlfn.IFNA(VLOOKUP(Optimalisatie!X19,Database_Brandstoffen[#All],45,FALSE)*((Optimalisatie!J19/Optimalisatie!Z19)*Optimalisatie!Y19),0),(_xlfn.IFNA(VLOOKUP(Inschrijf_Fossiele_Energie_Totaal[[#This Row],[Product]]&amp;", "&amp;Inschrijf_MKI_Totaal[[#Headers],[A5]],Database_Productkaarten[#All],51,FALSE),0)*Optimalisatie!J19)),0)</f>
        <v>0</v>
      </c>
      <c r="J437" s="91">
        <f>(IF(Optimalisatie!C19="Nieuwe Situatie",_xlfn.IFNA(IF(Optimalisatie!E19="Categorie_1_LCA_Producten",VLOOKUP(Inschrijf_Fossiele_Energie_Totaal[[#This Row],[Product]],Categorie_1_Producten[#All],36,FALSE)*(Optimalisatie!R19),VLOOKUP(Inschrijf_Fossiele_Energie_Totaal[[#This Row],[Product]]&amp;", "&amp;Inschrijf_Fossiele_Energie_Totaal[[#Headers],[B1]],Database_Productkaarten[#All],51,FALSE)*Optimalisatie!J19),Baseline_Backlog!J437),0))</f>
        <v>0</v>
      </c>
      <c r="K437" s="91">
        <f>(IF(Optimalisatie!C19="Nieuwe Situatie",_xlfn.IFNA(SUM(Inschrijf_Fossiele_Energie_Totaal[[#This Row],[A1]:[B1]],Inschrijf_Fossiele_Energie_Totaal[[#This Row],[C1]:[D2]])*Optimalisatie!T19,0),0))</f>
        <v>0</v>
      </c>
      <c r="L437" s="91">
        <f>IF(Optimalisatie!C19="Bestaande situatie",IF(_xlfn.IFNA((VLOOKUP(Optimalisatie!AA19,Database_Asfalt_Verwijderset[#All],45,FALSE)*Optimalisatie!J19),0)+_xlfn.IFNA(VLOOKUP(Optimalisatie!AB19,Database_Brandstoffen[#All],45,FALSE)*((Optimalisatie!J19/Optimalisatie!AD19)*Optimalisatie!AC19),0)&gt;0,_xlfn.IFNA((VLOOKUP(Optimalisatie!AA19,Database_Asfalt_Verwijderset[#All],45,FALSE)*Optimalisatie!J19),0)+_xlfn.IFNA(VLOOKUP(Optimalisatie!AB19,Database_Brandstoffen[#All],45,FALSE)*((Optimalisatie!J19/Optimalisatie!AD19)*Optimalisatie!AC19),0),(_xlfn.IFNA(VLOOKUP(Inschrijf_Fossiele_Energie_Totaal[[#This Row],[Product]]&amp;", "&amp;Inschrijf_MKI_Totaal[[#Headers],[C1]],Database_Productkaarten[#All],51,FALSE),0)*Optimalisatie!J19)),0)</f>
        <v>226984.22894699997</v>
      </c>
      <c r="M437" s="91">
        <f>(IF(Optimalisatie!C19="Bestaande Situatie",_xlfn.IFNA(VLOOKUP(Optimalisatie!AF19,Database_Transport[#All],45,FALSE)*(Optimalisatie!R19*Optimalisatie!AE19),Baseline_Backlog!M437),0))</f>
        <v>228598.6964625</v>
      </c>
      <c r="N437" s="91">
        <f>(IF(Optimalisatie!C19="Bestaande Situatie",_xlfn.IFNA(VLOOKUP(Optimalisatie!AG19,Database_Asfalt_Verwerkingsset[#All],45,FALSE)*(Optimalisatie!J19/VLOOKUP(Optimalisatie!AG19,Database_Asfalt_Verwerkingsset[#All],45,FALSE)),Baseline_Backlog!N437),0))</f>
        <v>0</v>
      </c>
      <c r="O437" s="91">
        <f>(IF(Optimalisatie!C19="Bestaande Situatie",_xlfn.IFNA(VLOOKUP(Inschrijf_Fossiele_Energie_Totaal[[#This Row],[Product]]&amp;", "&amp;Inschrijf_MKI_Totaal[[#Headers],[C4]],Database_Productkaarten[#All],51,FALSE)*Optimalisatie!J19,Baseline_Backlog!O437),0))</f>
        <v>52920</v>
      </c>
      <c r="P437" s="91">
        <f>(IF(Optimalisatie!C19="Bestaande Situatie",_xlfn.IFNA(IF(Optimalisatie!E19="Categorie_1_LCA_Producten",VLOOKUP(Inschrijf_Fossiele_Energie_Totaal[[#This Row],[Product]],Categorie_1_Producten[#All],30,FALSE)*(Optimalisatie!J19),VLOOKUP(Inschrijf_Fossiele_Energie_Totaal[[#This Row],[Product]]&amp;", "&amp;Inschrijf_Fossiele_Energie_Totaal[[#Headers],[D1]],Database_Productkaarten[#All],51,FALSE)*Optimalisatie!J19),Baseline_Backlog!P437),0))</f>
        <v>0</v>
      </c>
      <c r="Q437" s="91">
        <f>(IF(Optimalisatie!C19="Bestaande Situatie",_xlfn.IFNA(IF(Optimalisatie!E19="Categorie_1_LCA_Producten",VLOOKUP(Inschrijf_Fossiele_Energie_Totaal[[#This Row],[Product]],Categorie_1_Producten[#All],31,FALSE)*(Optimalisatie!J19),VLOOKUP(Inschrijf_Fossiele_Energie_Totaal[[#This Row],[Product]]&amp;", "&amp;Inschrijf_Fossiele_Energie_Totaal[[#Headers],[D2]],Database_Productkaarten[#All],51,FALSE)*Optimalisatie!J19),Baseline_Backlog!Q437),0))</f>
        <v>0</v>
      </c>
      <c r="R437" s="91">
        <f>(IF(Optimalisatie!C19="Bestaande Situatie",_xlfn.IFNA(IF(Optimalisatie!E19="Categorie_1_LCA_Producten",VLOOKUP(Inschrijf_Fossiele_Energie_Totaal[[#This Row],[Product]],Categorie_1_Producten[#All],37,FALSE)*(Optimalisatie!J19),VLOOKUP(Inschrijf_Fossiele_Energie_Totaal[[#This Row],[Product]]&amp;", "&amp;Inschrijf_Fossiele_Energie_Totaal[[#Headers],[D]],Database_Productkaarten[#All],51,FALSE)*Optimalisatie!J19),Baseline_Backlog!S437),0))</f>
        <v>0</v>
      </c>
      <c r="S437" s="91">
        <f>SUM(Inschrijf_Fossiele_Energie_Totaal[[#This Row],[A1-A3]:[C4]])+Inschrijf_Fossiele_Energie_Totaal[[#This Row],[D]]</f>
        <v>508502.92540949996</v>
      </c>
    </row>
    <row r="438" spans="2:19">
      <c r="B438" s="208" t="str">
        <f>Optimalisatie!B20</f>
        <v>210030 - Grond ontgraven uit plantvak</v>
      </c>
      <c r="C438" s="1" t="str">
        <f>Optimalisatie!F20</f>
        <v>Ophoogmateriaal (Grond)</v>
      </c>
      <c r="D438" s="91">
        <f>(IF(Optimalisatie!C20="Nieuwe Situatie",_xlfn.IFNA(IF(Optimalisatie!E20="Categorie_1_LCA_Producten",VLOOKUP(Inschrijf_Fossiele_Energie_Totaal[[#This Row],[Product]],Categorie_1_Producten[#All],26,FALSE)*(Optimalisatie!J20),VLOOKUP(Inschrijf_Fossiele_Energie_Totaal[[#This Row],[Product]]&amp;", "&amp;Inschrijf_Fossiele_Energie_Totaal[[#Headers],[A1]],Database_Productkaarten[#All],51,FALSE)*Optimalisatie!J20),Baseline_Backlog!D438),0))</f>
        <v>0</v>
      </c>
      <c r="E438" s="91">
        <f>(IF(Optimalisatie!C20="Nieuwe Situatie",_xlfn.IFNA(IF(Optimalisatie!E20="Categorie_1_LCA_Producten",VLOOKUP(Inschrijf_Fossiele_Energie_Totaal[[#This Row],[Product]],Categorie_1_Producten[#All],27,FALSE)*(Optimalisatie!J20),VLOOKUP(Inschrijf_Fossiele_Energie_Totaal[[#This Row],[Product]]&amp;", "&amp;Inschrijf_Fossiele_Energie_Totaal[[#Headers],[A2]],Database_Productkaarten[#All],51,FALSE)*Optimalisatie!J20),Baseline_Backlog!E438),0))</f>
        <v>0</v>
      </c>
      <c r="F438" s="91">
        <f>(IF(Optimalisatie!C20="Nieuwe Situatie",_xlfn.IFNA(IF(Optimalisatie!E20="Categorie_1_LCA_Producten",VLOOKUP(Inschrijf_Fossiele_Energie_Totaal[[#This Row],[Product]],Categorie_1_Producten[#All],28,FALSE)*(Optimalisatie!J20),VLOOKUP(Inschrijf_Fossiele_Energie_Totaal[[#This Row],[Product]]&amp;", "&amp;Inschrijf_Fossiele_Energie_Totaal[[#Headers],[A3]],Database_Productkaarten[#All],51,FALSE)*Optimalisatie!J20),Baseline_Backlog!F438),0))</f>
        <v>0</v>
      </c>
      <c r="G438" s="91">
        <f>(IF(Optimalisatie!C20="Nieuwe Situatie",_xlfn.IFNA(IF(Optimalisatie!E20="Categorie_1_LCA_Producten",VLOOKUP(Inschrijf_Fossiele_Energie_Totaal[[#This Row],[Product]],Categorie_1_Producten[#All],35,FALSE)*(Optimalisatie!J20),VLOOKUP(Inschrijf_Fossiele_Energie_Totaal[[#This Row],[Product]]&amp;", "&amp;Inschrijf_Fossiele_Energie_Totaal[[#Headers],[A1-A3]],Database_Productkaarten[#All],51,FALSE)*Optimalisatie!J20),Baseline_Backlog!G438),0))</f>
        <v>0</v>
      </c>
      <c r="H438" s="91">
        <f>(IF(Optimalisatie!C20="Nieuwe Situatie",_xlfn.IFNA(VLOOKUP(Optimalisatie!V20,Database_Transport[#All],45,FALSE)*(Optimalisatie!R20*Optimalisatie!U20),Baseline_Backlog!H438),0))</f>
        <v>0</v>
      </c>
      <c r="I438" s="91">
        <f>IF(Optimalisatie!C20="Nieuwe situatie",IF(_xlfn.IFNA((VLOOKUP(Optimalisatie!W20,Database_Asfalt_Aanlegset[#All],45,FALSE)*Optimalisatie!J20),0)+_xlfn.IFNA(VLOOKUP(Optimalisatie!X20,Database_Brandstoffen[#All],45,FALSE)*((Optimalisatie!J20/Optimalisatie!Z20)*Optimalisatie!Y20),0)&gt;0,_xlfn.IFNA((VLOOKUP(Optimalisatie!W20,Database_Asfalt_Aanlegset[#All],45,FALSE)*Optimalisatie!J20),0)+_xlfn.IFNA(VLOOKUP(Optimalisatie!X20,Database_Brandstoffen[#All],45,FALSE)*((Optimalisatie!J20/Optimalisatie!Z20)*Optimalisatie!Y20),0),(_xlfn.IFNA(VLOOKUP(Inschrijf_Fossiele_Energie_Totaal[[#This Row],[Product]]&amp;", "&amp;Inschrijf_MKI_Totaal[[#Headers],[A5]],Database_Productkaarten[#All],51,FALSE),0)*Optimalisatie!J20)),0)</f>
        <v>0</v>
      </c>
      <c r="J438" s="91">
        <f>(IF(Optimalisatie!C20="Nieuwe Situatie",_xlfn.IFNA(IF(Optimalisatie!E20="Categorie_1_LCA_Producten",VLOOKUP(Inschrijf_Fossiele_Energie_Totaal[[#This Row],[Product]],Categorie_1_Producten[#All],36,FALSE)*(Optimalisatie!R20),VLOOKUP(Inschrijf_Fossiele_Energie_Totaal[[#This Row],[Product]]&amp;", "&amp;Inschrijf_Fossiele_Energie_Totaal[[#Headers],[B1]],Database_Productkaarten[#All],51,FALSE)*Optimalisatie!J20),Baseline_Backlog!J438),0))</f>
        <v>0</v>
      </c>
      <c r="K438" s="91">
        <f>(IF(Optimalisatie!C20="Nieuwe Situatie",_xlfn.IFNA(SUM(Inschrijf_Fossiele_Energie_Totaal[[#This Row],[A1]:[B1]],Inschrijf_Fossiele_Energie_Totaal[[#This Row],[C1]:[D2]])*Optimalisatie!T20,0),0))</f>
        <v>0</v>
      </c>
      <c r="L438" s="91">
        <f>IF(Optimalisatie!C20="Bestaande situatie",IF(_xlfn.IFNA((VLOOKUP(Optimalisatie!AA20,Database_Asfalt_Verwijderset[#All],45,FALSE)*Optimalisatie!J20),0)+_xlfn.IFNA(VLOOKUP(Optimalisatie!AB20,Database_Brandstoffen[#All],45,FALSE)*((Optimalisatie!J20/Optimalisatie!AD20)*Optimalisatie!AC20),0)&gt;0,_xlfn.IFNA((VLOOKUP(Optimalisatie!AA20,Database_Asfalt_Verwijderset[#All],45,FALSE)*Optimalisatie!J20),0)+_xlfn.IFNA(VLOOKUP(Optimalisatie!AB20,Database_Brandstoffen[#All],45,FALSE)*((Optimalisatie!J20/Optimalisatie!AD20)*Optimalisatie!AC20),0),(_xlfn.IFNA(VLOOKUP(Inschrijf_Fossiele_Energie_Totaal[[#This Row],[Product]]&amp;", "&amp;Inschrijf_MKI_Totaal[[#Headers],[C1]],Database_Productkaarten[#All],51,FALSE),0)*Optimalisatie!J20)),0)</f>
        <v>56253.657586653324</v>
      </c>
      <c r="M438" s="91">
        <f>(IF(Optimalisatie!C20="Bestaande Situatie",_xlfn.IFNA(VLOOKUP(Optimalisatie!AF20,Database_Transport[#All],45,FALSE)*(Optimalisatie!R20*Optimalisatie!AE20),Baseline_Backlog!M438),0))</f>
        <v>226615.08872599999</v>
      </c>
      <c r="N438" s="91">
        <f>(IF(Optimalisatie!C20="Bestaande Situatie",_xlfn.IFNA(VLOOKUP(Optimalisatie!AG20,Database_Asfalt_Verwerkingsset[#All],45,FALSE)*(Optimalisatie!J20/VLOOKUP(Optimalisatie!AG20,Database_Asfalt_Verwerkingsset[#All],45,FALSE)),Baseline_Backlog!N438),0))</f>
        <v>0</v>
      </c>
      <c r="O438" s="91">
        <f>(IF(Optimalisatie!C20="Bestaande Situatie",_xlfn.IFNA(VLOOKUP(Inschrijf_Fossiele_Energie_Totaal[[#This Row],[Product]]&amp;", "&amp;Inschrijf_MKI_Totaal[[#Headers],[C4]],Database_Productkaarten[#All],51,FALSE)*Optimalisatie!J20,Baseline_Backlog!O438),0))</f>
        <v>13115.199999999999</v>
      </c>
      <c r="P438" s="91">
        <f>(IF(Optimalisatie!C20="Bestaande Situatie",_xlfn.IFNA(IF(Optimalisatie!E20="Categorie_1_LCA_Producten",VLOOKUP(Inschrijf_Fossiele_Energie_Totaal[[#This Row],[Product]],Categorie_1_Producten[#All],30,FALSE)*(Optimalisatie!J20),VLOOKUP(Inschrijf_Fossiele_Energie_Totaal[[#This Row],[Product]]&amp;", "&amp;Inschrijf_Fossiele_Energie_Totaal[[#Headers],[D1]],Database_Productkaarten[#All],51,FALSE)*Optimalisatie!J20),Baseline_Backlog!P438),0))</f>
        <v>0</v>
      </c>
      <c r="Q438" s="91">
        <f>(IF(Optimalisatie!C20="Bestaande Situatie",_xlfn.IFNA(IF(Optimalisatie!E20="Categorie_1_LCA_Producten",VLOOKUP(Inschrijf_Fossiele_Energie_Totaal[[#This Row],[Product]],Categorie_1_Producten[#All],31,FALSE)*(Optimalisatie!J20),VLOOKUP(Inschrijf_Fossiele_Energie_Totaal[[#This Row],[Product]]&amp;", "&amp;Inschrijf_Fossiele_Energie_Totaal[[#Headers],[D2]],Database_Productkaarten[#All],51,FALSE)*Optimalisatie!J20),Baseline_Backlog!Q438),0))</f>
        <v>0</v>
      </c>
      <c r="R438" s="91">
        <f>(IF(Optimalisatie!C20="Bestaande Situatie",_xlfn.IFNA(IF(Optimalisatie!E20="Categorie_1_LCA_Producten",VLOOKUP(Inschrijf_Fossiele_Energie_Totaal[[#This Row],[Product]],Categorie_1_Producten[#All],37,FALSE)*(Optimalisatie!J20),VLOOKUP(Inschrijf_Fossiele_Energie_Totaal[[#This Row],[Product]]&amp;", "&amp;Inschrijf_Fossiele_Energie_Totaal[[#Headers],[D]],Database_Productkaarten[#All],51,FALSE)*Optimalisatie!J20),Baseline_Backlog!S438),0))</f>
        <v>0</v>
      </c>
      <c r="S438" s="91">
        <f>SUM(Inschrijf_Fossiele_Energie_Totaal[[#This Row],[A1-A3]:[C4]])+Inschrijf_Fossiele_Energie_Totaal[[#This Row],[D]]</f>
        <v>295983.94631265331</v>
      </c>
    </row>
    <row r="439" spans="2:19">
      <c r="B439" s="208" t="str">
        <f>Optimalisatie!B21</f>
        <v>220010 - Grond verwerken in sleuf riolering</v>
      </c>
      <c r="C439" s="1" t="str">
        <f>Optimalisatie!F21</f>
        <v>Ophoogmateriaal (Grond)</v>
      </c>
      <c r="D439" s="91">
        <f>(IF(Optimalisatie!C21="Nieuwe Situatie",_xlfn.IFNA(IF(Optimalisatie!E21="Categorie_1_LCA_Producten",VLOOKUP(Inschrijf_Fossiele_Energie_Totaal[[#This Row],[Product]],Categorie_1_Producten[#All],26,FALSE)*(Optimalisatie!J21),VLOOKUP(Inschrijf_Fossiele_Energie_Totaal[[#This Row],[Product]]&amp;", "&amp;Inschrijf_Fossiele_Energie_Totaal[[#Headers],[A1]],Database_Productkaarten[#All],51,FALSE)*Optimalisatie!J21),Baseline_Backlog!D439),0))</f>
        <v>0</v>
      </c>
      <c r="E439" s="91">
        <f>(IF(Optimalisatie!C21="Nieuwe Situatie",_xlfn.IFNA(IF(Optimalisatie!E21="Categorie_1_LCA_Producten",VLOOKUP(Inschrijf_Fossiele_Energie_Totaal[[#This Row],[Product]],Categorie_1_Producten[#All],27,FALSE)*(Optimalisatie!J21),VLOOKUP(Inschrijf_Fossiele_Energie_Totaal[[#This Row],[Product]]&amp;", "&amp;Inschrijf_Fossiele_Energie_Totaal[[#Headers],[A2]],Database_Productkaarten[#All],51,FALSE)*Optimalisatie!J21),Baseline_Backlog!E439),0))</f>
        <v>0</v>
      </c>
      <c r="F439" s="91">
        <f>(IF(Optimalisatie!C21="Nieuwe Situatie",_xlfn.IFNA(IF(Optimalisatie!E21="Categorie_1_LCA_Producten",VLOOKUP(Inschrijf_Fossiele_Energie_Totaal[[#This Row],[Product]],Categorie_1_Producten[#All],28,FALSE)*(Optimalisatie!J21),VLOOKUP(Inschrijf_Fossiele_Energie_Totaal[[#This Row],[Product]]&amp;", "&amp;Inschrijf_Fossiele_Energie_Totaal[[#Headers],[A3]],Database_Productkaarten[#All],51,FALSE)*Optimalisatie!J21),Baseline_Backlog!F439),0))</f>
        <v>0</v>
      </c>
      <c r="G439" s="91">
        <f>(IF(Optimalisatie!C21="Nieuwe Situatie",_xlfn.IFNA(IF(Optimalisatie!E21="Categorie_1_LCA_Producten",VLOOKUP(Inschrijf_Fossiele_Energie_Totaal[[#This Row],[Product]],Categorie_1_Producten[#All],35,FALSE)*(Optimalisatie!J21),VLOOKUP(Inschrijf_Fossiele_Energie_Totaal[[#This Row],[Product]]&amp;", "&amp;Inschrijf_Fossiele_Energie_Totaal[[#Headers],[A1-A3]],Database_Productkaarten[#All],51,FALSE)*Optimalisatie!J21),Baseline_Backlog!G439),0))</f>
        <v>0</v>
      </c>
      <c r="H439" s="91">
        <f>(IF(Optimalisatie!C21="Nieuwe Situatie",_xlfn.IFNA(VLOOKUP(Optimalisatie!V21,Database_Transport[#All],45,FALSE)*(Optimalisatie!R21*Optimalisatie!U21),Baseline_Backlog!H439),0))</f>
        <v>228598.6964625</v>
      </c>
      <c r="I439" s="91">
        <f>IF(Optimalisatie!C21="Nieuwe situatie",IF(_xlfn.IFNA((VLOOKUP(Optimalisatie!W21,Database_Asfalt_Aanlegset[#All],45,FALSE)*Optimalisatie!J21),0)+_xlfn.IFNA(VLOOKUP(Optimalisatie!X21,Database_Brandstoffen[#All],45,FALSE)*((Optimalisatie!J21/Optimalisatie!Z21)*Optimalisatie!Y21),0)&gt;0,_xlfn.IFNA((VLOOKUP(Optimalisatie!W21,Database_Asfalt_Aanlegset[#All],45,FALSE)*Optimalisatie!J21),0)+_xlfn.IFNA(VLOOKUP(Optimalisatie!X21,Database_Brandstoffen[#All],45,FALSE)*((Optimalisatie!J21/Optimalisatie!Z21)*Optimalisatie!Y21),0),(_xlfn.IFNA(VLOOKUP(Inschrijf_Fossiele_Energie_Totaal[[#This Row],[Product]]&amp;", "&amp;Inschrijf_MKI_Totaal[[#Headers],[A5]],Database_Productkaarten[#All],51,FALSE),0)*Optimalisatie!J21)),0)</f>
        <v>490346.28483750002</v>
      </c>
      <c r="J439" s="91">
        <f>(IF(Optimalisatie!C21="Nieuwe Situatie",_xlfn.IFNA(IF(Optimalisatie!E21="Categorie_1_LCA_Producten",VLOOKUP(Inschrijf_Fossiele_Energie_Totaal[[#This Row],[Product]],Categorie_1_Producten[#All],36,FALSE)*(Optimalisatie!R21),VLOOKUP(Inschrijf_Fossiele_Energie_Totaal[[#This Row],[Product]]&amp;", "&amp;Inschrijf_Fossiele_Energie_Totaal[[#Headers],[B1]],Database_Productkaarten[#All],51,FALSE)*Optimalisatie!J21),Baseline_Backlog!J439),0))</f>
        <v>0</v>
      </c>
      <c r="K439" s="91">
        <f>(IF(Optimalisatie!C21="Nieuwe Situatie",_xlfn.IFNA(SUM(Inschrijf_Fossiele_Energie_Totaal[[#This Row],[A1]:[B1]],Inschrijf_Fossiele_Energie_Totaal[[#This Row],[C1]:[D2]])*Optimalisatie!T21,0),0))</f>
        <v>0</v>
      </c>
      <c r="L439" s="91">
        <f>IF(Optimalisatie!C21="Bestaande situatie",IF(_xlfn.IFNA((VLOOKUP(Optimalisatie!AA21,Database_Asfalt_Verwijderset[#All],45,FALSE)*Optimalisatie!J21),0)+_xlfn.IFNA(VLOOKUP(Optimalisatie!AB21,Database_Brandstoffen[#All],45,FALSE)*((Optimalisatie!J21/Optimalisatie!AD21)*Optimalisatie!AC21),0)&gt;0,_xlfn.IFNA((VLOOKUP(Optimalisatie!AA21,Database_Asfalt_Verwijderset[#All],45,FALSE)*Optimalisatie!J21),0)+_xlfn.IFNA(VLOOKUP(Optimalisatie!AB21,Database_Brandstoffen[#All],45,FALSE)*((Optimalisatie!J21/Optimalisatie!AD21)*Optimalisatie!AC21),0),(_xlfn.IFNA(VLOOKUP(Inschrijf_Fossiele_Energie_Totaal[[#This Row],[Product]]&amp;", "&amp;Inschrijf_MKI_Totaal[[#Headers],[C1]],Database_Productkaarten[#All],51,FALSE),0)*Optimalisatie!J21)),0)</f>
        <v>0</v>
      </c>
      <c r="M439" s="91">
        <f>(IF(Optimalisatie!C21="Bestaande Situatie",_xlfn.IFNA(VLOOKUP(Optimalisatie!AF21,Database_Transport[#All],45,FALSE)*(Optimalisatie!R21*Optimalisatie!AE21),Baseline_Backlog!M439),0))</f>
        <v>0</v>
      </c>
      <c r="N439" s="91">
        <f>(IF(Optimalisatie!C21="Bestaande Situatie",_xlfn.IFNA(VLOOKUP(Optimalisatie!AG21,Database_Asfalt_Verwerkingsset[#All],45,FALSE)*(Optimalisatie!J21/VLOOKUP(Optimalisatie!AG21,Database_Asfalt_Verwerkingsset[#All],45,FALSE)),Baseline_Backlog!N439),0))</f>
        <v>0</v>
      </c>
      <c r="O439" s="91">
        <f>(IF(Optimalisatie!C21="Bestaande Situatie",_xlfn.IFNA(VLOOKUP(Inschrijf_Fossiele_Energie_Totaal[[#This Row],[Product]]&amp;", "&amp;Inschrijf_MKI_Totaal[[#Headers],[C4]],Database_Productkaarten[#All],51,FALSE)*Optimalisatie!J21,Baseline_Backlog!O439),0))</f>
        <v>0</v>
      </c>
      <c r="P439" s="91">
        <f>(IF(Optimalisatie!C21="Bestaande Situatie",_xlfn.IFNA(IF(Optimalisatie!E21="Categorie_1_LCA_Producten",VLOOKUP(Inschrijf_Fossiele_Energie_Totaal[[#This Row],[Product]],Categorie_1_Producten[#All],30,FALSE)*(Optimalisatie!J21),VLOOKUP(Inschrijf_Fossiele_Energie_Totaal[[#This Row],[Product]]&amp;", "&amp;Inschrijf_Fossiele_Energie_Totaal[[#Headers],[D1]],Database_Productkaarten[#All],51,FALSE)*Optimalisatie!J21),Baseline_Backlog!P439),0))</f>
        <v>0</v>
      </c>
      <c r="Q439" s="91">
        <f>(IF(Optimalisatie!C21="Bestaande Situatie",_xlfn.IFNA(IF(Optimalisatie!E21="Categorie_1_LCA_Producten",VLOOKUP(Inschrijf_Fossiele_Energie_Totaal[[#This Row],[Product]],Categorie_1_Producten[#All],31,FALSE)*(Optimalisatie!J21),VLOOKUP(Inschrijf_Fossiele_Energie_Totaal[[#This Row],[Product]]&amp;", "&amp;Inschrijf_Fossiele_Energie_Totaal[[#Headers],[D2]],Database_Productkaarten[#All],51,FALSE)*Optimalisatie!J21),Baseline_Backlog!Q439),0))</f>
        <v>0</v>
      </c>
      <c r="R439" s="91">
        <f>(IF(Optimalisatie!C21="Bestaande Situatie",_xlfn.IFNA(IF(Optimalisatie!E21="Categorie_1_LCA_Producten",VLOOKUP(Inschrijf_Fossiele_Energie_Totaal[[#This Row],[Product]],Categorie_1_Producten[#All],37,FALSE)*(Optimalisatie!J21),VLOOKUP(Inschrijf_Fossiele_Energie_Totaal[[#This Row],[Product]]&amp;", "&amp;Inschrijf_Fossiele_Energie_Totaal[[#Headers],[D]],Database_Productkaarten[#All],51,FALSE)*Optimalisatie!J21),Baseline_Backlog!S439),0))</f>
        <v>0</v>
      </c>
      <c r="S439" s="91">
        <f>SUM(Inschrijf_Fossiele_Energie_Totaal[[#This Row],[A1-A3]:[C4]])+Inschrijf_Fossiele_Energie_Totaal[[#This Row],[D]]</f>
        <v>718944.98129999998</v>
      </c>
    </row>
    <row r="440" spans="2:19">
      <c r="B440" s="208" t="str">
        <f>Optimalisatie!B22</f>
        <v>220020 - Leveren en aanbrengen zand voor zand (gemiddeld 100 mm)</v>
      </c>
      <c r="C440" s="1" t="str">
        <f>Optimalisatie!F22</f>
        <v>Ophoogmateriaal (Zand)</v>
      </c>
      <c r="D440" s="91">
        <f>(IF(Optimalisatie!C22="Nieuwe Situatie",_xlfn.IFNA(IF(Optimalisatie!E22="Categorie_1_LCA_Producten",VLOOKUP(Inschrijf_Fossiele_Energie_Totaal[[#This Row],[Product]],Categorie_1_Producten[#All],26,FALSE)*(Optimalisatie!J22),VLOOKUP(Inschrijf_Fossiele_Energie_Totaal[[#This Row],[Product]]&amp;", "&amp;Inschrijf_Fossiele_Energie_Totaal[[#Headers],[A1]],Database_Productkaarten[#All],51,FALSE)*Optimalisatie!J22),Baseline_Backlog!D440),0))</f>
        <v>0</v>
      </c>
      <c r="E440" s="91">
        <f>(IF(Optimalisatie!C22="Nieuwe Situatie",_xlfn.IFNA(IF(Optimalisatie!E22="Categorie_1_LCA_Producten",VLOOKUP(Inschrijf_Fossiele_Energie_Totaal[[#This Row],[Product]],Categorie_1_Producten[#All],27,FALSE)*(Optimalisatie!J22),VLOOKUP(Inschrijf_Fossiele_Energie_Totaal[[#This Row],[Product]]&amp;", "&amp;Inschrijf_Fossiele_Energie_Totaal[[#Headers],[A2]],Database_Productkaarten[#All],51,FALSE)*Optimalisatie!J22),Baseline_Backlog!E440),0))</f>
        <v>0</v>
      </c>
      <c r="F440" s="91">
        <f>(IF(Optimalisatie!C22="Nieuwe Situatie",_xlfn.IFNA(IF(Optimalisatie!E22="Categorie_1_LCA_Producten",VLOOKUP(Inschrijf_Fossiele_Energie_Totaal[[#This Row],[Product]],Categorie_1_Producten[#All],28,FALSE)*(Optimalisatie!J22),VLOOKUP(Inschrijf_Fossiele_Energie_Totaal[[#This Row],[Product]]&amp;", "&amp;Inschrijf_Fossiele_Energie_Totaal[[#Headers],[A3]],Database_Productkaarten[#All],51,FALSE)*Optimalisatie!J22),Baseline_Backlog!F440),0))</f>
        <v>0</v>
      </c>
      <c r="G440" s="91">
        <f>(IF(Optimalisatie!C22="Nieuwe Situatie",_xlfn.IFNA(IF(Optimalisatie!E22="Categorie_1_LCA_Producten",VLOOKUP(Inschrijf_Fossiele_Energie_Totaal[[#This Row],[Product]],Categorie_1_Producten[#All],35,FALSE)*(Optimalisatie!J22),VLOOKUP(Inschrijf_Fossiele_Energie_Totaal[[#This Row],[Product]]&amp;", "&amp;Inschrijf_Fossiele_Energie_Totaal[[#Headers],[A1-A3]],Database_Productkaarten[#All],51,FALSE)*Optimalisatie!J22),Baseline_Backlog!G440),0))</f>
        <v>659050</v>
      </c>
      <c r="H440" s="91">
        <f>(IF(Optimalisatie!C22="Nieuwe Situatie",_xlfn.IFNA(VLOOKUP(Optimalisatie!V22,Database_Transport[#All],45,FALSE)*(Optimalisatie!R22*Optimalisatie!U22),Baseline_Backlog!H440),0))</f>
        <v>109414.7607</v>
      </c>
      <c r="I440" s="91">
        <f>IF(Optimalisatie!C22="Nieuwe situatie",IF(_xlfn.IFNA((VLOOKUP(Optimalisatie!W22,Database_Asfalt_Aanlegset[#All],45,FALSE)*Optimalisatie!J22),0)+_xlfn.IFNA(VLOOKUP(Optimalisatie!X22,Database_Brandstoffen[#All],45,FALSE)*((Optimalisatie!J22/Optimalisatie!Z22)*Optimalisatie!Y22),0)&gt;0,_xlfn.IFNA((VLOOKUP(Optimalisatie!W22,Database_Asfalt_Aanlegset[#All],45,FALSE)*Optimalisatie!J22),0)+_xlfn.IFNA(VLOOKUP(Optimalisatie!X22,Database_Brandstoffen[#All],45,FALSE)*((Optimalisatie!J22/Optimalisatie!Z22)*Optimalisatie!Y22),0),(_xlfn.IFNA(VLOOKUP(Inschrijf_Fossiele_Energie_Totaal[[#This Row],[Product]]&amp;", "&amp;Inschrijf_MKI_Totaal[[#Headers],[A5]],Database_Productkaarten[#All],51,FALSE),0)*Optimalisatie!J22)),0)</f>
        <v>75698.662928000005</v>
      </c>
      <c r="J440" s="91">
        <f>(IF(Optimalisatie!C22="Nieuwe Situatie",_xlfn.IFNA(IF(Optimalisatie!E22="Categorie_1_LCA_Producten",VLOOKUP(Inschrijf_Fossiele_Energie_Totaal[[#This Row],[Product]],Categorie_1_Producten[#All],36,FALSE)*(Optimalisatie!R22),VLOOKUP(Inschrijf_Fossiele_Energie_Totaal[[#This Row],[Product]]&amp;", "&amp;Inschrijf_Fossiele_Energie_Totaal[[#Headers],[B1]],Database_Productkaarten[#All],51,FALSE)*Optimalisatie!J22),Baseline_Backlog!J440),0))</f>
        <v>0</v>
      </c>
      <c r="K440" s="91">
        <f>(IF(Optimalisatie!C22="Nieuwe Situatie",_xlfn.IFNA(SUM(Inschrijf_Fossiele_Energie_Totaal[[#This Row],[A1]:[B1]],Inschrijf_Fossiele_Energie_Totaal[[#This Row],[C1]:[D2]])*Optimalisatie!T22,0),0))</f>
        <v>0</v>
      </c>
      <c r="L440" s="91">
        <f>IF(Optimalisatie!C22="Bestaande situatie",IF(_xlfn.IFNA((VLOOKUP(Optimalisatie!AA22,Database_Asfalt_Verwijderset[#All],45,FALSE)*Optimalisatie!J22),0)+_xlfn.IFNA(VLOOKUP(Optimalisatie!AB22,Database_Brandstoffen[#All],45,FALSE)*((Optimalisatie!J22/Optimalisatie!AD22)*Optimalisatie!AC22),0)&gt;0,_xlfn.IFNA((VLOOKUP(Optimalisatie!AA22,Database_Asfalt_Verwijderset[#All],45,FALSE)*Optimalisatie!J22),0)+_xlfn.IFNA(VLOOKUP(Optimalisatie!AB22,Database_Brandstoffen[#All],45,FALSE)*((Optimalisatie!J22/Optimalisatie!AD22)*Optimalisatie!AC22),0),(_xlfn.IFNA(VLOOKUP(Inschrijf_Fossiele_Energie_Totaal[[#This Row],[Product]]&amp;", "&amp;Inschrijf_MKI_Totaal[[#Headers],[C1]],Database_Productkaarten[#All],51,FALSE),0)*Optimalisatie!J22)),0)</f>
        <v>0</v>
      </c>
      <c r="M440" s="91">
        <f>(IF(Optimalisatie!C22="Bestaande Situatie",_xlfn.IFNA(VLOOKUP(Optimalisatie!AF22,Database_Transport[#All],45,FALSE)*(Optimalisatie!R22*Optimalisatie!AE22),Baseline_Backlog!M440),0))</f>
        <v>0</v>
      </c>
      <c r="N440" s="91">
        <f>(IF(Optimalisatie!C22="Bestaande Situatie",_xlfn.IFNA(VLOOKUP(Optimalisatie!AG22,Database_Asfalt_Verwerkingsset[#All],45,FALSE)*(Optimalisatie!J22/VLOOKUP(Optimalisatie!AG22,Database_Asfalt_Verwerkingsset[#All],45,FALSE)),Baseline_Backlog!N440),0))</f>
        <v>0</v>
      </c>
      <c r="O440" s="91">
        <f>(IF(Optimalisatie!C22="Bestaande Situatie",_xlfn.IFNA(VLOOKUP(Inschrijf_Fossiele_Energie_Totaal[[#This Row],[Product]]&amp;", "&amp;Inschrijf_MKI_Totaal[[#Headers],[C4]],Database_Productkaarten[#All],51,FALSE)*Optimalisatie!J22,Baseline_Backlog!O440),0))</f>
        <v>0</v>
      </c>
      <c r="P440" s="91">
        <f>(IF(Optimalisatie!C22="Bestaande Situatie",_xlfn.IFNA(IF(Optimalisatie!E22="Categorie_1_LCA_Producten",VLOOKUP(Inschrijf_Fossiele_Energie_Totaal[[#This Row],[Product]],Categorie_1_Producten[#All],30,FALSE)*(Optimalisatie!J22),VLOOKUP(Inschrijf_Fossiele_Energie_Totaal[[#This Row],[Product]]&amp;", "&amp;Inschrijf_Fossiele_Energie_Totaal[[#Headers],[D1]],Database_Productkaarten[#All],51,FALSE)*Optimalisatie!J22),Baseline_Backlog!P440),0))</f>
        <v>0</v>
      </c>
      <c r="Q440" s="91">
        <f>(IF(Optimalisatie!C22="Bestaande Situatie",_xlfn.IFNA(IF(Optimalisatie!E22="Categorie_1_LCA_Producten",VLOOKUP(Inschrijf_Fossiele_Energie_Totaal[[#This Row],[Product]],Categorie_1_Producten[#All],31,FALSE)*(Optimalisatie!J22),VLOOKUP(Inschrijf_Fossiele_Energie_Totaal[[#This Row],[Product]]&amp;", "&amp;Inschrijf_Fossiele_Energie_Totaal[[#Headers],[D2]],Database_Productkaarten[#All],51,FALSE)*Optimalisatie!J22),Baseline_Backlog!Q440),0))</f>
        <v>0</v>
      </c>
      <c r="R440" s="91">
        <f>(IF(Optimalisatie!C22="Bestaande Situatie",_xlfn.IFNA(IF(Optimalisatie!E22="Categorie_1_LCA_Producten",VLOOKUP(Inschrijf_Fossiele_Energie_Totaal[[#This Row],[Product]],Categorie_1_Producten[#All],37,FALSE)*(Optimalisatie!J22),VLOOKUP(Inschrijf_Fossiele_Energie_Totaal[[#This Row],[Product]]&amp;", "&amp;Inschrijf_Fossiele_Energie_Totaal[[#Headers],[D]],Database_Productkaarten[#All],51,FALSE)*Optimalisatie!J22),Baseline_Backlog!S440),0))</f>
        <v>0</v>
      </c>
      <c r="S440" s="91">
        <f>SUM(Inschrijf_Fossiele_Energie_Totaal[[#This Row],[A1-A3]:[C4]])+Inschrijf_Fossiele_Energie_Totaal[[#This Row],[D]]</f>
        <v>844163.42362799996</v>
      </c>
    </row>
    <row r="441" spans="2:19">
      <c r="B441" s="208" t="str">
        <f>Optimalisatie!B23</f>
        <v>322020 - Leveren en aanbrengen rioolbuis van Beton Ø400mm</v>
      </c>
      <c r="C441" s="1" t="str">
        <f>Optimalisatie!F23</f>
        <v>Betonbuis 500 mm</v>
      </c>
      <c r="D441" s="91">
        <f>(IF(Optimalisatie!C23="Nieuwe Situatie",_xlfn.IFNA(IF(Optimalisatie!E23="Categorie_1_LCA_Producten",VLOOKUP(Inschrijf_Fossiele_Energie_Totaal[[#This Row],[Product]],Categorie_1_Producten[#All],26,FALSE)*(Optimalisatie!J23),VLOOKUP(Inschrijf_Fossiele_Energie_Totaal[[#This Row],[Product]]&amp;", "&amp;Inschrijf_Fossiele_Energie_Totaal[[#Headers],[A1]],Database_Productkaarten[#All],51,FALSE)*Optimalisatie!J23),Baseline_Backlog!D441),0))</f>
        <v>50821.6368</v>
      </c>
      <c r="E441" s="91">
        <f>(IF(Optimalisatie!C23="Nieuwe Situatie",_xlfn.IFNA(IF(Optimalisatie!E23="Categorie_1_LCA_Producten",VLOOKUP(Inschrijf_Fossiele_Energie_Totaal[[#This Row],[Product]],Categorie_1_Producten[#All],27,FALSE)*(Optimalisatie!J23),VLOOKUP(Inschrijf_Fossiele_Energie_Totaal[[#This Row],[Product]]&amp;", "&amp;Inschrijf_Fossiele_Energie_Totaal[[#Headers],[A2]],Database_Productkaarten[#All],51,FALSE)*Optimalisatie!J23),Baseline_Backlog!E441),0))</f>
        <v>9035.6743200000001</v>
      </c>
      <c r="F441" s="91">
        <f>(IF(Optimalisatie!C23="Nieuwe Situatie",_xlfn.IFNA(IF(Optimalisatie!E23="Categorie_1_LCA_Producten",VLOOKUP(Inschrijf_Fossiele_Energie_Totaal[[#This Row],[Product]],Categorie_1_Producten[#All],28,FALSE)*(Optimalisatie!J23),VLOOKUP(Inschrijf_Fossiele_Energie_Totaal[[#This Row],[Product]]&amp;", "&amp;Inschrijf_Fossiele_Energie_Totaal[[#Headers],[A3]],Database_Productkaarten[#All],51,FALSE)*Optimalisatie!J23),Baseline_Backlog!F441),0))</f>
        <v>7986.3590400000003</v>
      </c>
      <c r="G441" s="91">
        <f>(IF(Optimalisatie!C23="Nieuwe Situatie",_xlfn.IFNA(IF(Optimalisatie!E23="Categorie_1_LCA_Producten",VLOOKUP(Inschrijf_Fossiele_Energie_Totaal[[#This Row],[Product]],Categorie_1_Producten[#All],35,FALSE)*(Optimalisatie!J23),VLOOKUP(Inschrijf_Fossiele_Energie_Totaal[[#This Row],[Product]]&amp;", "&amp;Inschrijf_Fossiele_Energie_Totaal[[#Headers],[A1-A3]],Database_Productkaarten[#All],51,FALSE)*Optimalisatie!J23),Baseline_Backlog!G441),0))</f>
        <v>67843.670160000009</v>
      </c>
      <c r="H441" s="91">
        <f>(IF(Optimalisatie!C23="Nieuwe Situatie",_xlfn.IFNA(VLOOKUP(Optimalisatie!V23,Database_Transport[#All],45,FALSE)*(Optimalisatie!R23*Optimalisatie!U23),Baseline_Backlog!H441),0))</f>
        <v>5859.2720831999986</v>
      </c>
      <c r="I441" s="91">
        <f>IF(Optimalisatie!C23="Nieuwe situatie",IF(_xlfn.IFNA((VLOOKUP(Optimalisatie!W23,Database_Asfalt_Aanlegset[#All],45,FALSE)*Optimalisatie!J23),0)+_xlfn.IFNA(VLOOKUP(Optimalisatie!X23,Database_Brandstoffen[#All],45,FALSE)*((Optimalisatie!J23/Optimalisatie!Z23)*Optimalisatie!Y23),0)&gt;0,_xlfn.IFNA((VLOOKUP(Optimalisatie!W23,Database_Asfalt_Aanlegset[#All],45,FALSE)*Optimalisatie!J23),0)+_xlfn.IFNA(VLOOKUP(Optimalisatie!X23,Database_Brandstoffen[#All],45,FALSE)*((Optimalisatie!J23/Optimalisatie!Z23)*Optimalisatie!Y23),0),(_xlfn.IFNA(VLOOKUP(Inschrijf_Fossiele_Energie_Totaal[[#This Row],[Product]]&amp;", "&amp;Inschrijf_MKI_Totaal[[#Headers],[A5]],Database_Productkaarten[#All],51,FALSE),0)*Optimalisatie!J23)),0)</f>
        <v>26025.41051030641</v>
      </c>
      <c r="J441" s="91">
        <f>(IF(Optimalisatie!C23="Nieuwe Situatie",_xlfn.IFNA(IF(Optimalisatie!E23="Categorie_1_LCA_Producten",VLOOKUP(Inschrijf_Fossiele_Energie_Totaal[[#This Row],[Product]],Categorie_1_Producten[#All],36,FALSE)*(Optimalisatie!R23),VLOOKUP(Inschrijf_Fossiele_Energie_Totaal[[#This Row],[Product]]&amp;", "&amp;Inschrijf_Fossiele_Energie_Totaal[[#Headers],[B1]],Database_Productkaarten[#All],51,FALSE)*Optimalisatie!J23),Baseline_Backlog!J441),0))</f>
        <v>0</v>
      </c>
      <c r="K441" s="91">
        <f>(IF(Optimalisatie!C23="Nieuwe Situatie",_xlfn.IFNA(SUM(Inschrijf_Fossiele_Energie_Totaal[[#This Row],[A1]:[B1]],Inschrijf_Fossiele_Energie_Totaal[[#This Row],[C1]:[D2]])*Optimalisatie!T23,0),0))</f>
        <v>0</v>
      </c>
      <c r="L441" s="91">
        <f>IF(Optimalisatie!C23="Bestaande situatie",IF(_xlfn.IFNA((VLOOKUP(Optimalisatie!AA23,Database_Asfalt_Verwijderset[#All],45,FALSE)*Optimalisatie!J23),0)+_xlfn.IFNA(VLOOKUP(Optimalisatie!AB23,Database_Brandstoffen[#All],45,FALSE)*((Optimalisatie!J23/Optimalisatie!AD23)*Optimalisatie!AC23),0)&gt;0,_xlfn.IFNA((VLOOKUP(Optimalisatie!AA23,Database_Asfalt_Verwijderset[#All],45,FALSE)*Optimalisatie!J23),0)+_xlfn.IFNA(VLOOKUP(Optimalisatie!AB23,Database_Brandstoffen[#All],45,FALSE)*((Optimalisatie!J23/Optimalisatie!AD23)*Optimalisatie!AC23),0),(_xlfn.IFNA(VLOOKUP(Inschrijf_Fossiele_Energie_Totaal[[#This Row],[Product]]&amp;", "&amp;Inschrijf_MKI_Totaal[[#Headers],[C1]],Database_Productkaarten[#All],51,FALSE),0)*Optimalisatie!J23)),0)</f>
        <v>0</v>
      </c>
      <c r="M441" s="91">
        <f>(IF(Optimalisatie!C23="Bestaande Situatie",_xlfn.IFNA(VLOOKUP(Optimalisatie!AF23,Database_Transport[#All],45,FALSE)*(Optimalisatie!R23*Optimalisatie!AE23),Baseline_Backlog!M441),0))</f>
        <v>0</v>
      </c>
      <c r="N441" s="91">
        <f>(IF(Optimalisatie!C23="Bestaande Situatie",_xlfn.IFNA(VLOOKUP(Optimalisatie!AG23,Database_Asfalt_Verwerkingsset[#All],45,FALSE)*(Optimalisatie!J23/VLOOKUP(Optimalisatie!AG23,Database_Asfalt_Verwerkingsset[#All],45,FALSE)),Baseline_Backlog!N441),0))</f>
        <v>0</v>
      </c>
      <c r="O441" s="91">
        <f>(IF(Optimalisatie!C23="Bestaande Situatie",_xlfn.IFNA(VLOOKUP(Inschrijf_Fossiele_Energie_Totaal[[#This Row],[Product]]&amp;", "&amp;Inschrijf_MKI_Totaal[[#Headers],[C4]],Database_Productkaarten[#All],51,FALSE)*Optimalisatie!J23,Baseline_Backlog!O441),0))</f>
        <v>0</v>
      </c>
      <c r="P441" s="91">
        <f>(IF(Optimalisatie!C23="Bestaande Situatie",_xlfn.IFNA(IF(Optimalisatie!E23="Categorie_1_LCA_Producten",VLOOKUP(Inschrijf_Fossiele_Energie_Totaal[[#This Row],[Product]],Categorie_1_Producten[#All],30,FALSE)*(Optimalisatie!J23),VLOOKUP(Inschrijf_Fossiele_Energie_Totaal[[#This Row],[Product]]&amp;", "&amp;Inschrijf_Fossiele_Energie_Totaal[[#Headers],[D1]],Database_Productkaarten[#All],51,FALSE)*Optimalisatie!J23),Baseline_Backlog!P441),0))</f>
        <v>0</v>
      </c>
      <c r="Q441" s="91">
        <f>(IF(Optimalisatie!C23="Bestaande Situatie",_xlfn.IFNA(IF(Optimalisatie!E23="Categorie_1_LCA_Producten",VLOOKUP(Inschrijf_Fossiele_Energie_Totaal[[#This Row],[Product]],Categorie_1_Producten[#All],31,FALSE)*(Optimalisatie!J23),VLOOKUP(Inschrijf_Fossiele_Energie_Totaal[[#This Row],[Product]]&amp;", "&amp;Inschrijf_Fossiele_Energie_Totaal[[#Headers],[D2]],Database_Productkaarten[#All],51,FALSE)*Optimalisatie!J23),Baseline_Backlog!Q441),0))</f>
        <v>0</v>
      </c>
      <c r="R441" s="91">
        <f>(IF(Optimalisatie!C23="Bestaande Situatie",_xlfn.IFNA(IF(Optimalisatie!E23="Categorie_1_LCA_Producten",VLOOKUP(Inschrijf_Fossiele_Energie_Totaal[[#This Row],[Product]],Categorie_1_Producten[#All],37,FALSE)*(Optimalisatie!J23),VLOOKUP(Inschrijf_Fossiele_Energie_Totaal[[#This Row],[Product]]&amp;", "&amp;Inschrijf_Fossiele_Energie_Totaal[[#Headers],[D]],Database_Productkaarten[#All],51,FALSE)*Optimalisatie!J23),Baseline_Backlog!S441),0))</f>
        <v>0</v>
      </c>
      <c r="S441" s="91">
        <f>SUM(Inschrijf_Fossiele_Energie_Totaal[[#This Row],[A1-A3]:[C4]])+Inschrijf_Fossiele_Energie_Totaal[[#This Row],[D]]</f>
        <v>99728.35275350642</v>
      </c>
    </row>
    <row r="442" spans="2:19">
      <c r="B442" s="208" t="str">
        <f>Optimalisatie!B24</f>
        <v>322070 - Leveren en aanbrengen rioolbuis van Beton IT Ø400mm</v>
      </c>
      <c r="C442" s="1" t="str">
        <f>Optimalisatie!F24</f>
        <v>Betonbuis 500 mm</v>
      </c>
      <c r="D442" s="91">
        <f>(IF(Optimalisatie!C24="Nieuwe Situatie",_xlfn.IFNA(IF(Optimalisatie!E24="Categorie_1_LCA_Producten",VLOOKUP(Inschrijf_Fossiele_Energie_Totaal[[#This Row],[Product]],Categorie_1_Producten[#All],26,FALSE)*(Optimalisatie!J24),VLOOKUP(Inschrijf_Fossiele_Energie_Totaal[[#This Row],[Product]]&amp;", "&amp;Inschrijf_Fossiele_Energie_Totaal[[#Headers],[A1]],Database_Productkaarten[#All],51,FALSE)*Optimalisatie!J24),Baseline_Backlog!D442),0))</f>
        <v>40233.7958</v>
      </c>
      <c r="E442" s="91">
        <f>(IF(Optimalisatie!C24="Nieuwe Situatie",_xlfn.IFNA(IF(Optimalisatie!E24="Categorie_1_LCA_Producten",VLOOKUP(Inschrijf_Fossiele_Energie_Totaal[[#This Row],[Product]],Categorie_1_Producten[#All],27,FALSE)*(Optimalisatie!J24),VLOOKUP(Inschrijf_Fossiele_Energie_Totaal[[#This Row],[Product]]&amp;", "&amp;Inschrijf_Fossiele_Energie_Totaal[[#Headers],[A2]],Database_Productkaarten[#All],51,FALSE)*Optimalisatie!J24),Baseline_Backlog!E442),0))</f>
        <v>7153.2421699999995</v>
      </c>
      <c r="F442" s="91">
        <f>(IF(Optimalisatie!C24="Nieuwe Situatie",_xlfn.IFNA(IF(Optimalisatie!E24="Categorie_1_LCA_Producten",VLOOKUP(Inschrijf_Fossiele_Energie_Totaal[[#This Row],[Product]],Categorie_1_Producten[#All],28,FALSE)*(Optimalisatie!J24),VLOOKUP(Inschrijf_Fossiele_Energie_Totaal[[#This Row],[Product]]&amp;", "&amp;Inschrijf_Fossiele_Energie_Totaal[[#Headers],[A3]],Database_Productkaarten[#All],51,FALSE)*Optimalisatie!J24),Baseline_Backlog!F442),0))</f>
        <v>6322.53424</v>
      </c>
      <c r="G442" s="91">
        <f>(IF(Optimalisatie!C24="Nieuwe Situatie",_xlfn.IFNA(IF(Optimalisatie!E24="Categorie_1_LCA_Producten",VLOOKUP(Inschrijf_Fossiele_Energie_Totaal[[#This Row],[Product]],Categorie_1_Producten[#All],35,FALSE)*(Optimalisatie!J24),VLOOKUP(Inschrijf_Fossiele_Energie_Totaal[[#This Row],[Product]]&amp;", "&amp;Inschrijf_Fossiele_Energie_Totaal[[#Headers],[A1-A3]],Database_Productkaarten[#All],51,FALSE)*Optimalisatie!J24),Baseline_Backlog!G442),0))</f>
        <v>53709.572209999998</v>
      </c>
      <c r="H442" s="91">
        <f>(IF(Optimalisatie!C24="Nieuwe Situatie",_xlfn.IFNA(VLOOKUP(Optimalisatie!V24,Database_Transport[#All],45,FALSE)*(Optimalisatie!R24*Optimalisatie!U24),Baseline_Backlog!H442),0))</f>
        <v>4638.5903991999994</v>
      </c>
      <c r="I442" s="91">
        <f>IF(Optimalisatie!C24="Nieuwe situatie",IF(_xlfn.IFNA((VLOOKUP(Optimalisatie!W24,Database_Asfalt_Aanlegset[#All],45,FALSE)*Optimalisatie!J24),0)+_xlfn.IFNA(VLOOKUP(Optimalisatie!X24,Database_Brandstoffen[#All],45,FALSE)*((Optimalisatie!J24/Optimalisatie!Z24)*Optimalisatie!Y24),0)&gt;0,_xlfn.IFNA((VLOOKUP(Optimalisatie!W24,Database_Asfalt_Aanlegset[#All],45,FALSE)*Optimalisatie!J24),0)+_xlfn.IFNA(VLOOKUP(Optimalisatie!X24,Database_Brandstoffen[#All],45,FALSE)*((Optimalisatie!J24/Optimalisatie!Z24)*Optimalisatie!Y24),0),(_xlfn.IFNA(VLOOKUP(Inschrijf_Fossiele_Energie_Totaal[[#This Row],[Product]]&amp;", "&amp;Inschrijf_MKI_Totaal[[#Headers],[A5]],Database_Productkaarten[#All],51,FALSE),0)*Optimalisatie!J24)),0)</f>
        <v>20603.449987325908</v>
      </c>
      <c r="J442" s="91">
        <f>(IF(Optimalisatie!C24="Nieuwe Situatie",_xlfn.IFNA(IF(Optimalisatie!E24="Categorie_1_LCA_Producten",VLOOKUP(Inschrijf_Fossiele_Energie_Totaal[[#This Row],[Product]],Categorie_1_Producten[#All],36,FALSE)*(Optimalisatie!R24),VLOOKUP(Inschrijf_Fossiele_Energie_Totaal[[#This Row],[Product]]&amp;", "&amp;Inschrijf_Fossiele_Energie_Totaal[[#Headers],[B1]],Database_Productkaarten[#All],51,FALSE)*Optimalisatie!J24),Baseline_Backlog!J442),0))</f>
        <v>0</v>
      </c>
      <c r="K442" s="91">
        <f>(IF(Optimalisatie!C24="Nieuwe Situatie",_xlfn.IFNA(SUM(Inschrijf_Fossiele_Energie_Totaal[[#This Row],[A1]:[B1]],Inschrijf_Fossiele_Energie_Totaal[[#This Row],[C1]:[D2]])*Optimalisatie!T24,0),0))</f>
        <v>0</v>
      </c>
      <c r="L442" s="91">
        <f>IF(Optimalisatie!C24="Bestaande situatie",IF(_xlfn.IFNA((VLOOKUP(Optimalisatie!AA24,Database_Asfalt_Verwijderset[#All],45,FALSE)*Optimalisatie!J24),0)+_xlfn.IFNA(VLOOKUP(Optimalisatie!AB24,Database_Brandstoffen[#All],45,FALSE)*((Optimalisatie!J24/Optimalisatie!AD24)*Optimalisatie!AC24),0)&gt;0,_xlfn.IFNA((VLOOKUP(Optimalisatie!AA24,Database_Asfalt_Verwijderset[#All],45,FALSE)*Optimalisatie!J24),0)+_xlfn.IFNA(VLOOKUP(Optimalisatie!AB24,Database_Brandstoffen[#All],45,FALSE)*((Optimalisatie!J24/Optimalisatie!AD24)*Optimalisatie!AC24),0),(_xlfn.IFNA(VLOOKUP(Inschrijf_Fossiele_Energie_Totaal[[#This Row],[Product]]&amp;", "&amp;Inschrijf_MKI_Totaal[[#Headers],[C1]],Database_Productkaarten[#All],51,FALSE),0)*Optimalisatie!J24)),0)</f>
        <v>0</v>
      </c>
      <c r="M442" s="91">
        <f>(IF(Optimalisatie!C24="Bestaande Situatie",_xlfn.IFNA(VLOOKUP(Optimalisatie!AF24,Database_Transport[#All],45,FALSE)*(Optimalisatie!R24*Optimalisatie!AE24),Baseline_Backlog!M442),0))</f>
        <v>0</v>
      </c>
      <c r="N442" s="91">
        <f>(IF(Optimalisatie!C24="Bestaande Situatie",_xlfn.IFNA(VLOOKUP(Optimalisatie!AG24,Database_Asfalt_Verwerkingsset[#All],45,FALSE)*(Optimalisatie!J24/VLOOKUP(Optimalisatie!AG24,Database_Asfalt_Verwerkingsset[#All],45,FALSE)),Baseline_Backlog!N442),0))</f>
        <v>0</v>
      </c>
      <c r="O442" s="91">
        <f>(IF(Optimalisatie!C24="Bestaande Situatie",_xlfn.IFNA(VLOOKUP(Inschrijf_Fossiele_Energie_Totaal[[#This Row],[Product]]&amp;", "&amp;Inschrijf_MKI_Totaal[[#Headers],[C4]],Database_Productkaarten[#All],51,FALSE)*Optimalisatie!J24,Baseline_Backlog!O442),0))</f>
        <v>0</v>
      </c>
      <c r="P442" s="91">
        <f>(IF(Optimalisatie!C24="Bestaande Situatie",_xlfn.IFNA(IF(Optimalisatie!E24="Categorie_1_LCA_Producten",VLOOKUP(Inschrijf_Fossiele_Energie_Totaal[[#This Row],[Product]],Categorie_1_Producten[#All],30,FALSE)*(Optimalisatie!J24),VLOOKUP(Inschrijf_Fossiele_Energie_Totaal[[#This Row],[Product]]&amp;", "&amp;Inschrijf_Fossiele_Energie_Totaal[[#Headers],[D1]],Database_Productkaarten[#All],51,FALSE)*Optimalisatie!J24),Baseline_Backlog!P442),0))</f>
        <v>0</v>
      </c>
      <c r="Q442" s="91">
        <f>(IF(Optimalisatie!C24="Bestaande Situatie",_xlfn.IFNA(IF(Optimalisatie!E24="Categorie_1_LCA_Producten",VLOOKUP(Inschrijf_Fossiele_Energie_Totaal[[#This Row],[Product]],Categorie_1_Producten[#All],31,FALSE)*(Optimalisatie!J24),VLOOKUP(Inschrijf_Fossiele_Energie_Totaal[[#This Row],[Product]]&amp;", "&amp;Inschrijf_Fossiele_Energie_Totaal[[#Headers],[D2]],Database_Productkaarten[#All],51,FALSE)*Optimalisatie!J24),Baseline_Backlog!Q442),0))</f>
        <v>0</v>
      </c>
      <c r="R442" s="91">
        <f>(IF(Optimalisatie!C24="Bestaande Situatie",_xlfn.IFNA(IF(Optimalisatie!E24="Categorie_1_LCA_Producten",VLOOKUP(Inschrijf_Fossiele_Energie_Totaal[[#This Row],[Product]],Categorie_1_Producten[#All],37,FALSE)*(Optimalisatie!J24),VLOOKUP(Inschrijf_Fossiele_Energie_Totaal[[#This Row],[Product]]&amp;", "&amp;Inschrijf_Fossiele_Energie_Totaal[[#Headers],[D]],Database_Productkaarten[#All],51,FALSE)*Optimalisatie!J24),Baseline_Backlog!S442),0))</f>
        <v>0</v>
      </c>
      <c r="S442" s="91">
        <f>SUM(Inschrijf_Fossiele_Energie_Totaal[[#This Row],[A1-A3]:[C4]])+Inschrijf_Fossiele_Energie_Totaal[[#This Row],[D]]</f>
        <v>78951.612596525913</v>
      </c>
    </row>
    <row r="443" spans="2:19">
      <c r="B443" s="208" t="str">
        <f>Optimalisatie!B25</f>
        <v>322100 - Leveren en aanbrengen rioolbuis van Beton IT Ø800mm</v>
      </c>
      <c r="C443" s="1" t="str">
        <f>Optimalisatie!F25</f>
        <v>Betonbuis 800 mm</v>
      </c>
      <c r="D443" s="91">
        <f>(IF(Optimalisatie!C25="Nieuwe Situatie",_xlfn.IFNA(IF(Optimalisatie!E25="Categorie_1_LCA_Producten",VLOOKUP(Inschrijf_Fossiele_Energie_Totaal[[#This Row],[Product]],Categorie_1_Producten[#All],26,FALSE)*(Optimalisatie!J25),VLOOKUP(Inschrijf_Fossiele_Energie_Totaal[[#This Row],[Product]]&amp;", "&amp;Inschrijf_Fossiele_Energie_Totaal[[#Headers],[A1]],Database_Productkaarten[#All],51,FALSE)*Optimalisatie!J25),Baseline_Backlog!D443),0))</f>
        <v>465751.37199999997</v>
      </c>
      <c r="E443" s="91">
        <f>(IF(Optimalisatie!C25="Nieuwe Situatie",_xlfn.IFNA(IF(Optimalisatie!E25="Categorie_1_LCA_Producten",VLOOKUP(Inschrijf_Fossiele_Energie_Totaal[[#This Row],[Product]],Categorie_1_Producten[#All],27,FALSE)*(Optimalisatie!J25),VLOOKUP(Inschrijf_Fossiele_Energie_Totaal[[#This Row],[Product]]&amp;", "&amp;Inschrijf_Fossiele_Energie_Totaal[[#Headers],[A2]],Database_Productkaarten[#All],51,FALSE)*Optimalisatie!J25),Baseline_Backlog!E443),0))</f>
        <v>82129.164489999996</v>
      </c>
      <c r="F443" s="91">
        <f>(IF(Optimalisatie!C25="Nieuwe Situatie",_xlfn.IFNA(IF(Optimalisatie!E25="Categorie_1_LCA_Producten",VLOOKUP(Inschrijf_Fossiele_Energie_Totaal[[#This Row],[Product]],Categorie_1_Producten[#All],28,FALSE)*(Optimalisatie!J25),VLOOKUP(Inschrijf_Fossiele_Energie_Totaal[[#This Row],[Product]]&amp;", "&amp;Inschrijf_Fossiele_Energie_Totaal[[#Headers],[A3]],Database_Productkaarten[#All],51,FALSE)*Optimalisatie!J25),Baseline_Backlog!F443),0))</f>
        <v>72579.867845000001</v>
      </c>
      <c r="G443" s="91">
        <f>(IF(Optimalisatie!C25="Nieuwe Situatie",_xlfn.IFNA(IF(Optimalisatie!E25="Categorie_1_LCA_Producten",VLOOKUP(Inschrijf_Fossiele_Energie_Totaal[[#This Row],[Product]],Categorie_1_Producten[#All],35,FALSE)*(Optimalisatie!J25),VLOOKUP(Inschrijf_Fossiele_Energie_Totaal[[#This Row],[Product]]&amp;", "&amp;Inschrijf_Fossiele_Energie_Totaal[[#Headers],[A1-A3]],Database_Productkaarten[#All],51,FALSE)*Optimalisatie!J25),Baseline_Backlog!G443),0))</f>
        <v>620460.40433499997</v>
      </c>
      <c r="H443" s="91">
        <f>(IF(Optimalisatie!C25="Nieuwe Situatie",_xlfn.IFNA(VLOOKUP(Optimalisatie!V25,Database_Transport[#All],45,FALSE)*(Optimalisatie!R25*Optimalisatie!U25),Baseline_Backlog!H443),0))</f>
        <v>44727.563265199991</v>
      </c>
      <c r="I443" s="91">
        <f>IF(Optimalisatie!C25="Nieuwe situatie",IF(_xlfn.IFNA((VLOOKUP(Optimalisatie!W25,Database_Asfalt_Aanlegset[#All],45,FALSE)*Optimalisatie!J25),0)+_xlfn.IFNA(VLOOKUP(Optimalisatie!X25,Database_Brandstoffen[#All],45,FALSE)*((Optimalisatie!J25/Optimalisatie!Z25)*Optimalisatie!Y25),0)&gt;0,_xlfn.IFNA((VLOOKUP(Optimalisatie!W25,Database_Asfalt_Aanlegset[#All],45,FALSE)*Optimalisatie!J25),0)+_xlfn.IFNA(VLOOKUP(Optimalisatie!X25,Database_Brandstoffen[#All],45,FALSE)*((Optimalisatie!J25/Optimalisatie!Z25)*Optimalisatie!Y25),0),(_xlfn.IFNA(VLOOKUP(Inschrijf_Fossiele_Energie_Totaal[[#This Row],[Product]]&amp;", "&amp;Inschrijf_MKI_Totaal[[#Headers],[A5]],Database_Productkaarten[#All],51,FALSE),0)*Optimalisatie!J25)),0)</f>
        <v>154216.04858934542</v>
      </c>
      <c r="J443" s="91">
        <f>(IF(Optimalisatie!C25="Nieuwe Situatie",_xlfn.IFNA(IF(Optimalisatie!E25="Categorie_1_LCA_Producten",VLOOKUP(Inschrijf_Fossiele_Energie_Totaal[[#This Row],[Product]],Categorie_1_Producten[#All],36,FALSE)*(Optimalisatie!R25),VLOOKUP(Inschrijf_Fossiele_Energie_Totaal[[#This Row],[Product]]&amp;", "&amp;Inschrijf_Fossiele_Energie_Totaal[[#Headers],[B1]],Database_Productkaarten[#All],51,FALSE)*Optimalisatie!J25),Baseline_Backlog!J443),0))</f>
        <v>0</v>
      </c>
      <c r="K443" s="91">
        <f>(IF(Optimalisatie!C25="Nieuwe Situatie",_xlfn.IFNA(SUM(Inschrijf_Fossiele_Energie_Totaal[[#This Row],[A1]:[B1]],Inschrijf_Fossiele_Energie_Totaal[[#This Row],[C1]:[D2]])*Optimalisatie!T25,0),0))</f>
        <v>0</v>
      </c>
      <c r="L443" s="91">
        <f>IF(Optimalisatie!C25="Bestaande situatie",IF(_xlfn.IFNA((VLOOKUP(Optimalisatie!AA25,Database_Asfalt_Verwijderset[#All],45,FALSE)*Optimalisatie!J25),0)+_xlfn.IFNA(VLOOKUP(Optimalisatie!AB25,Database_Brandstoffen[#All],45,FALSE)*((Optimalisatie!J25/Optimalisatie!AD25)*Optimalisatie!AC25),0)&gt;0,_xlfn.IFNA((VLOOKUP(Optimalisatie!AA25,Database_Asfalt_Verwijderset[#All],45,FALSE)*Optimalisatie!J25),0)+_xlfn.IFNA(VLOOKUP(Optimalisatie!AB25,Database_Brandstoffen[#All],45,FALSE)*((Optimalisatie!J25/Optimalisatie!AD25)*Optimalisatie!AC25),0),(_xlfn.IFNA(VLOOKUP(Inschrijf_Fossiele_Energie_Totaal[[#This Row],[Product]]&amp;", "&amp;Inschrijf_MKI_Totaal[[#Headers],[C1]],Database_Productkaarten[#All],51,FALSE),0)*Optimalisatie!J25)),0)</f>
        <v>0</v>
      </c>
      <c r="M443" s="91">
        <f>(IF(Optimalisatie!C25="Bestaande Situatie",_xlfn.IFNA(VLOOKUP(Optimalisatie!AF25,Database_Transport[#All],45,FALSE)*(Optimalisatie!R25*Optimalisatie!AE25),Baseline_Backlog!M443),0))</f>
        <v>0</v>
      </c>
      <c r="N443" s="91">
        <f>(IF(Optimalisatie!C25="Bestaande Situatie",_xlfn.IFNA(VLOOKUP(Optimalisatie!AG25,Database_Asfalt_Verwerkingsset[#All],45,FALSE)*(Optimalisatie!J25/VLOOKUP(Optimalisatie!AG25,Database_Asfalt_Verwerkingsset[#All],45,FALSE)),Baseline_Backlog!N443),0))</f>
        <v>0</v>
      </c>
      <c r="O443" s="91">
        <f>(IF(Optimalisatie!C25="Bestaande Situatie",_xlfn.IFNA(VLOOKUP(Inschrijf_Fossiele_Energie_Totaal[[#This Row],[Product]]&amp;", "&amp;Inschrijf_MKI_Totaal[[#Headers],[C4]],Database_Productkaarten[#All],51,FALSE)*Optimalisatie!J25,Baseline_Backlog!O443),0))</f>
        <v>0</v>
      </c>
      <c r="P443" s="91">
        <f>(IF(Optimalisatie!C25="Bestaande Situatie",_xlfn.IFNA(IF(Optimalisatie!E25="Categorie_1_LCA_Producten",VLOOKUP(Inschrijf_Fossiele_Energie_Totaal[[#This Row],[Product]],Categorie_1_Producten[#All],30,FALSE)*(Optimalisatie!J25),VLOOKUP(Inschrijf_Fossiele_Energie_Totaal[[#This Row],[Product]]&amp;", "&amp;Inschrijf_Fossiele_Energie_Totaal[[#Headers],[D1]],Database_Productkaarten[#All],51,FALSE)*Optimalisatie!J25),Baseline_Backlog!P443),0))</f>
        <v>0</v>
      </c>
      <c r="Q443" s="91">
        <f>(IF(Optimalisatie!C25="Bestaande Situatie",_xlfn.IFNA(IF(Optimalisatie!E25="Categorie_1_LCA_Producten",VLOOKUP(Inschrijf_Fossiele_Energie_Totaal[[#This Row],[Product]],Categorie_1_Producten[#All],31,FALSE)*(Optimalisatie!J25),VLOOKUP(Inschrijf_Fossiele_Energie_Totaal[[#This Row],[Product]]&amp;", "&amp;Inschrijf_Fossiele_Energie_Totaal[[#Headers],[D2]],Database_Productkaarten[#All],51,FALSE)*Optimalisatie!J25),Baseline_Backlog!Q443),0))</f>
        <v>0</v>
      </c>
      <c r="R443" s="91">
        <f>(IF(Optimalisatie!C25="Bestaande Situatie",_xlfn.IFNA(IF(Optimalisatie!E25="Categorie_1_LCA_Producten",VLOOKUP(Inschrijf_Fossiele_Energie_Totaal[[#This Row],[Product]],Categorie_1_Producten[#All],37,FALSE)*(Optimalisatie!J25),VLOOKUP(Inschrijf_Fossiele_Energie_Totaal[[#This Row],[Product]]&amp;", "&amp;Inschrijf_Fossiele_Energie_Totaal[[#Headers],[D]],Database_Productkaarten[#All],51,FALSE)*Optimalisatie!J25),Baseline_Backlog!S443),0))</f>
        <v>0</v>
      </c>
      <c r="S443" s="91">
        <f>SUM(Inschrijf_Fossiele_Energie_Totaal[[#This Row],[A1-A3]:[C4]])+Inschrijf_Fossiele_Energie_Totaal[[#This Row],[D]]</f>
        <v>819404.01618954539</v>
      </c>
    </row>
    <row r="444" spans="2:19">
      <c r="B444" s="208" t="str">
        <f>Optimalisatie!B26</f>
        <v>330010 - Leveren en aanbrengen kolken</v>
      </c>
      <c r="C444" s="1" t="str">
        <f>Optimalisatie!F26</f>
        <v>Kolk, Staal &amp; Beton</v>
      </c>
      <c r="D444" s="91">
        <f>(IF(Optimalisatie!C26="Nieuwe Situatie",_xlfn.IFNA(IF(Optimalisatie!E26="Categorie_1_LCA_Producten",VLOOKUP(Inschrijf_Fossiele_Energie_Totaal[[#This Row],[Product]],Categorie_1_Producten[#All],26,FALSE)*(Optimalisatie!J26),VLOOKUP(Inschrijf_Fossiele_Energie_Totaal[[#This Row],[Product]]&amp;", "&amp;Inschrijf_Fossiele_Energie_Totaal[[#Headers],[A1]],Database_Productkaarten[#All],51,FALSE)*Optimalisatie!J26),Baseline_Backlog!D444),0))</f>
        <v>141161.56122</v>
      </c>
      <c r="E444" s="91">
        <f>(IF(Optimalisatie!C26="Nieuwe Situatie",_xlfn.IFNA(IF(Optimalisatie!E26="Categorie_1_LCA_Producten",VLOOKUP(Inschrijf_Fossiele_Energie_Totaal[[#This Row],[Product]],Categorie_1_Producten[#All],27,FALSE)*(Optimalisatie!J26),VLOOKUP(Inschrijf_Fossiele_Energie_Totaal[[#This Row],[Product]]&amp;", "&amp;Inschrijf_Fossiele_Energie_Totaal[[#Headers],[A2]],Database_Productkaarten[#All],51,FALSE)*Optimalisatie!J26),Baseline_Backlog!E444),0))</f>
        <v>5812.7429099999999</v>
      </c>
      <c r="F444" s="91">
        <f>(IF(Optimalisatie!C26="Nieuwe Situatie",_xlfn.IFNA(IF(Optimalisatie!E26="Categorie_1_LCA_Producten",VLOOKUP(Inschrijf_Fossiele_Energie_Totaal[[#This Row],[Product]],Categorie_1_Producten[#All],28,FALSE)*(Optimalisatie!J26),VLOOKUP(Inschrijf_Fossiele_Energie_Totaal[[#This Row],[Product]]&amp;", "&amp;Inschrijf_Fossiele_Energie_Totaal[[#Headers],[A3]],Database_Productkaarten[#All],51,FALSE)*Optimalisatie!J26),Baseline_Backlog!F444),0))</f>
        <v>3673.0655859999997</v>
      </c>
      <c r="G444" s="91">
        <f>(IF(Optimalisatie!C26="Nieuwe Situatie",_xlfn.IFNA(IF(Optimalisatie!E26="Categorie_1_LCA_Producten",VLOOKUP(Inschrijf_Fossiele_Energie_Totaal[[#This Row],[Product]],Categorie_1_Producten[#All],35,FALSE)*(Optimalisatie!J26),VLOOKUP(Inschrijf_Fossiele_Energie_Totaal[[#This Row],[Product]]&amp;", "&amp;Inschrijf_Fossiele_Energie_Totaal[[#Headers],[A1-A3]],Database_Productkaarten[#All],51,FALSE)*Optimalisatie!J26),Baseline_Backlog!G444),0))</f>
        <v>150647.36971599999</v>
      </c>
      <c r="H444" s="91">
        <f>(IF(Optimalisatie!C26="Nieuwe Situatie",_xlfn.IFNA(VLOOKUP(Optimalisatie!V26,Database_Transport[#All],45,FALSE)*(Optimalisatie!R26*Optimalisatie!U26),Baseline_Backlog!H444),0))</f>
        <v>3049.7451647608004</v>
      </c>
      <c r="I444" s="91">
        <f>IF(Optimalisatie!C26="Nieuwe situatie",IF(_xlfn.IFNA((VLOOKUP(Optimalisatie!W26,Database_Asfalt_Aanlegset[#All],45,FALSE)*Optimalisatie!J26),0)+_xlfn.IFNA(VLOOKUP(Optimalisatie!X26,Database_Brandstoffen[#All],45,FALSE)*((Optimalisatie!J26/Optimalisatie!Z26)*Optimalisatie!Y26),0)&gt;0,_xlfn.IFNA((VLOOKUP(Optimalisatie!W26,Database_Asfalt_Aanlegset[#All],45,FALSE)*Optimalisatie!J26),0)+_xlfn.IFNA(VLOOKUP(Optimalisatie!X26,Database_Brandstoffen[#All],45,FALSE)*((Optimalisatie!J26/Optimalisatie!Z26)*Optimalisatie!Y26),0),(_xlfn.IFNA(VLOOKUP(Inschrijf_Fossiele_Energie_Totaal[[#This Row],[Product]]&amp;", "&amp;Inschrijf_MKI_Totaal[[#Headers],[A5]],Database_Productkaarten[#All],51,FALSE),0)*Optimalisatie!J26)),0)</f>
        <v>85642.516290807805</v>
      </c>
      <c r="J444" s="91">
        <f>(IF(Optimalisatie!C26="Nieuwe Situatie",_xlfn.IFNA(IF(Optimalisatie!E26="Categorie_1_LCA_Producten",VLOOKUP(Inschrijf_Fossiele_Energie_Totaal[[#This Row],[Product]],Categorie_1_Producten[#All],36,FALSE)*(Optimalisatie!R26),VLOOKUP(Inschrijf_Fossiele_Energie_Totaal[[#This Row],[Product]]&amp;", "&amp;Inschrijf_Fossiele_Energie_Totaal[[#Headers],[B1]],Database_Productkaarten[#All],51,FALSE)*Optimalisatie!J26),Baseline_Backlog!J444),0))</f>
        <v>0</v>
      </c>
      <c r="K444" s="91">
        <f>(IF(Optimalisatie!C26="Nieuwe Situatie",_xlfn.IFNA(SUM(Inschrijf_Fossiele_Energie_Totaal[[#This Row],[A1]:[B1]],Inschrijf_Fossiele_Energie_Totaal[[#This Row],[C1]:[D2]])*Optimalisatie!T26,0),0))</f>
        <v>0</v>
      </c>
      <c r="L444" s="91">
        <f>IF(Optimalisatie!C26="Bestaande situatie",IF(_xlfn.IFNA((VLOOKUP(Optimalisatie!AA26,Database_Asfalt_Verwijderset[#All],45,FALSE)*Optimalisatie!J26),0)+_xlfn.IFNA(VLOOKUP(Optimalisatie!AB26,Database_Brandstoffen[#All],45,FALSE)*((Optimalisatie!J26/Optimalisatie!AD26)*Optimalisatie!AC26),0)&gt;0,_xlfn.IFNA((VLOOKUP(Optimalisatie!AA26,Database_Asfalt_Verwijderset[#All],45,FALSE)*Optimalisatie!J26),0)+_xlfn.IFNA(VLOOKUP(Optimalisatie!AB26,Database_Brandstoffen[#All],45,FALSE)*((Optimalisatie!J26/Optimalisatie!AD26)*Optimalisatie!AC26),0),(_xlfn.IFNA(VLOOKUP(Inschrijf_Fossiele_Energie_Totaal[[#This Row],[Product]]&amp;", "&amp;Inschrijf_MKI_Totaal[[#Headers],[C1]],Database_Productkaarten[#All],51,FALSE),0)*Optimalisatie!J26)),0)</f>
        <v>0</v>
      </c>
      <c r="M444" s="91">
        <f>(IF(Optimalisatie!C26="Bestaande Situatie",_xlfn.IFNA(VLOOKUP(Optimalisatie!AF26,Database_Transport[#All],45,FALSE)*(Optimalisatie!R26*Optimalisatie!AE26),Baseline_Backlog!M444),0))</f>
        <v>0</v>
      </c>
      <c r="N444" s="91">
        <f>(IF(Optimalisatie!C26="Bestaande Situatie",_xlfn.IFNA(VLOOKUP(Optimalisatie!AG26,Database_Asfalt_Verwerkingsset[#All],45,FALSE)*(Optimalisatie!J26/VLOOKUP(Optimalisatie!AG26,Database_Asfalt_Verwerkingsset[#All],45,FALSE)),Baseline_Backlog!N444),0))</f>
        <v>0</v>
      </c>
      <c r="O444" s="91">
        <f>(IF(Optimalisatie!C26="Bestaande Situatie",_xlfn.IFNA(VLOOKUP(Inschrijf_Fossiele_Energie_Totaal[[#This Row],[Product]]&amp;", "&amp;Inschrijf_MKI_Totaal[[#Headers],[C4]],Database_Productkaarten[#All],51,FALSE)*Optimalisatie!J26,Baseline_Backlog!O444),0))</f>
        <v>0</v>
      </c>
      <c r="P444" s="91">
        <f>(IF(Optimalisatie!C26="Bestaande Situatie",_xlfn.IFNA(IF(Optimalisatie!E26="Categorie_1_LCA_Producten",VLOOKUP(Inschrijf_Fossiele_Energie_Totaal[[#This Row],[Product]],Categorie_1_Producten[#All],30,FALSE)*(Optimalisatie!J26),VLOOKUP(Inschrijf_Fossiele_Energie_Totaal[[#This Row],[Product]]&amp;", "&amp;Inschrijf_Fossiele_Energie_Totaal[[#Headers],[D1]],Database_Productkaarten[#All],51,FALSE)*Optimalisatie!J26),Baseline_Backlog!P444),0))</f>
        <v>0</v>
      </c>
      <c r="Q444" s="91">
        <f>(IF(Optimalisatie!C26="Bestaande Situatie",_xlfn.IFNA(IF(Optimalisatie!E26="Categorie_1_LCA_Producten",VLOOKUP(Inschrijf_Fossiele_Energie_Totaal[[#This Row],[Product]],Categorie_1_Producten[#All],31,FALSE)*(Optimalisatie!J26),VLOOKUP(Inschrijf_Fossiele_Energie_Totaal[[#This Row],[Product]]&amp;", "&amp;Inschrijf_Fossiele_Energie_Totaal[[#Headers],[D2]],Database_Productkaarten[#All],51,FALSE)*Optimalisatie!J26),Baseline_Backlog!Q444),0))</f>
        <v>0</v>
      </c>
      <c r="R444" s="91">
        <f>(IF(Optimalisatie!C26="Bestaande Situatie",_xlfn.IFNA(IF(Optimalisatie!E26="Categorie_1_LCA_Producten",VLOOKUP(Inschrijf_Fossiele_Energie_Totaal[[#This Row],[Product]],Categorie_1_Producten[#All],37,FALSE)*(Optimalisatie!J26),VLOOKUP(Inschrijf_Fossiele_Energie_Totaal[[#This Row],[Product]]&amp;", "&amp;Inschrijf_Fossiele_Energie_Totaal[[#Headers],[D]],Database_Productkaarten[#All],51,FALSE)*Optimalisatie!J26),Baseline_Backlog!S444),0))</f>
        <v>0</v>
      </c>
      <c r="S444" s="91">
        <f>SUM(Inschrijf_Fossiele_Energie_Totaal[[#This Row],[A1-A3]:[C4]])+Inschrijf_Fossiele_Energie_Totaal[[#This Row],[D]]</f>
        <v>239339.63117156859</v>
      </c>
    </row>
    <row r="445" spans="2:19">
      <c r="B445" s="208" t="str">
        <f>Optimalisatie!B27</f>
        <v>420010 - Leveren en aanbrengen fundering menggranulaat, (250mm dik)</v>
      </c>
      <c r="C445" s="1" t="str">
        <f>Optimalisatie!F27</f>
        <v>Menggranulaat 250mm</v>
      </c>
      <c r="D445" s="91">
        <f>(IF(Optimalisatie!C27="Nieuwe Situatie",_xlfn.IFNA(IF(Optimalisatie!E27="Categorie_1_LCA_Producten",VLOOKUP(Inschrijf_Fossiele_Energie_Totaal[[#This Row],[Product]],Categorie_1_Producten[#All],26,FALSE)*(Optimalisatie!J27),VLOOKUP(Inschrijf_Fossiele_Energie_Totaal[[#This Row],[Product]]&amp;", "&amp;Inschrijf_Fossiele_Energie_Totaal[[#Headers],[A1]],Database_Productkaarten[#All],51,FALSE)*Optimalisatie!J27),Baseline_Backlog!D445),0))</f>
        <v>0</v>
      </c>
      <c r="E445" s="91">
        <f>(IF(Optimalisatie!C27="Nieuwe Situatie",_xlfn.IFNA(IF(Optimalisatie!E27="Categorie_1_LCA_Producten",VLOOKUP(Inschrijf_Fossiele_Energie_Totaal[[#This Row],[Product]],Categorie_1_Producten[#All],27,FALSE)*(Optimalisatie!J27),VLOOKUP(Inschrijf_Fossiele_Energie_Totaal[[#This Row],[Product]]&amp;", "&amp;Inschrijf_Fossiele_Energie_Totaal[[#Headers],[A2]],Database_Productkaarten[#All],51,FALSE)*Optimalisatie!J27),Baseline_Backlog!E445),0))</f>
        <v>0</v>
      </c>
      <c r="F445" s="91">
        <f>(IF(Optimalisatie!C27="Nieuwe Situatie",_xlfn.IFNA(IF(Optimalisatie!E27="Categorie_1_LCA_Producten",VLOOKUP(Inschrijf_Fossiele_Energie_Totaal[[#This Row],[Product]],Categorie_1_Producten[#All],28,FALSE)*(Optimalisatie!J27),VLOOKUP(Inschrijf_Fossiele_Energie_Totaal[[#This Row],[Product]]&amp;", "&amp;Inschrijf_Fossiele_Energie_Totaal[[#Headers],[A3]],Database_Productkaarten[#All],51,FALSE)*Optimalisatie!J27),Baseline_Backlog!F445),0))</f>
        <v>0</v>
      </c>
      <c r="G445" s="91">
        <f>(IF(Optimalisatie!C27="Nieuwe Situatie",_xlfn.IFNA(IF(Optimalisatie!E27="Categorie_1_LCA_Producten",VLOOKUP(Inschrijf_Fossiele_Energie_Totaal[[#This Row],[Product]],Categorie_1_Producten[#All],35,FALSE)*(Optimalisatie!J27),VLOOKUP(Inschrijf_Fossiele_Energie_Totaal[[#This Row],[Product]]&amp;", "&amp;Inschrijf_Fossiele_Energie_Totaal[[#Headers],[A1-A3]],Database_Productkaarten[#All],51,FALSE)*Optimalisatie!J27),Baseline_Backlog!G445),0))</f>
        <v>0</v>
      </c>
      <c r="H445" s="91">
        <f>(IF(Optimalisatie!C27="Nieuwe Situatie",_xlfn.IFNA(VLOOKUP(Optimalisatie!V27,Database_Transport[#All],45,FALSE)*(Optimalisatie!R27*Optimalisatie!U27),Baseline_Backlog!H445),0))</f>
        <v>354146.55197999999</v>
      </c>
      <c r="I445" s="91">
        <f>IF(Optimalisatie!C27="Nieuwe situatie",IF(_xlfn.IFNA((VLOOKUP(Optimalisatie!W27,Database_Asfalt_Aanlegset[#All],45,FALSE)*Optimalisatie!J27),0)+_xlfn.IFNA(VLOOKUP(Optimalisatie!X27,Database_Brandstoffen[#All],45,FALSE)*((Optimalisatie!J27/Optimalisatie!Z27)*Optimalisatie!Y27),0)&gt;0,_xlfn.IFNA((VLOOKUP(Optimalisatie!W27,Database_Asfalt_Aanlegset[#All],45,FALSE)*Optimalisatie!J27),0)+_xlfn.IFNA(VLOOKUP(Optimalisatie!X27,Database_Brandstoffen[#All],45,FALSE)*((Optimalisatie!J27/Optimalisatie!Z27)*Optimalisatie!Y27),0),(_xlfn.IFNA(VLOOKUP(Inschrijf_Fossiele_Energie_Totaal[[#This Row],[Product]]&amp;", "&amp;Inschrijf_MKI_Totaal[[#Headers],[A5]],Database_Productkaarten[#All],51,FALSE),0)*Optimalisatie!J27)),0)</f>
        <v>506431.71851999999</v>
      </c>
      <c r="J445" s="91">
        <f>(IF(Optimalisatie!C27="Nieuwe Situatie",_xlfn.IFNA(IF(Optimalisatie!E27="Categorie_1_LCA_Producten",VLOOKUP(Inschrijf_Fossiele_Energie_Totaal[[#This Row],[Product]],Categorie_1_Producten[#All],36,FALSE)*(Optimalisatie!R27),VLOOKUP(Inschrijf_Fossiele_Energie_Totaal[[#This Row],[Product]]&amp;", "&amp;Inschrijf_Fossiele_Energie_Totaal[[#Headers],[B1]],Database_Productkaarten[#All],51,FALSE)*Optimalisatie!J27),Baseline_Backlog!J445),0))</f>
        <v>0</v>
      </c>
      <c r="K445" s="91">
        <f>(IF(Optimalisatie!C27="Nieuwe Situatie",_xlfn.IFNA(SUM(Inschrijf_Fossiele_Energie_Totaal[[#This Row],[A1]:[B1]],Inschrijf_Fossiele_Energie_Totaal[[#This Row],[C1]:[D2]])*Optimalisatie!T27,0),0))</f>
        <v>0</v>
      </c>
      <c r="L445" s="91">
        <f>IF(Optimalisatie!C27="Bestaande situatie",IF(_xlfn.IFNA((VLOOKUP(Optimalisatie!AA27,Database_Asfalt_Verwijderset[#All],45,FALSE)*Optimalisatie!J27),0)+_xlfn.IFNA(VLOOKUP(Optimalisatie!AB27,Database_Brandstoffen[#All],45,FALSE)*((Optimalisatie!J27/Optimalisatie!AD27)*Optimalisatie!AC27),0)&gt;0,_xlfn.IFNA((VLOOKUP(Optimalisatie!AA27,Database_Asfalt_Verwijderset[#All],45,FALSE)*Optimalisatie!J27),0)+_xlfn.IFNA(VLOOKUP(Optimalisatie!AB27,Database_Brandstoffen[#All],45,FALSE)*((Optimalisatie!J27/Optimalisatie!AD27)*Optimalisatie!AC27),0),(_xlfn.IFNA(VLOOKUP(Inschrijf_Fossiele_Energie_Totaal[[#This Row],[Product]]&amp;", "&amp;Inschrijf_MKI_Totaal[[#Headers],[C1]],Database_Productkaarten[#All],51,FALSE),0)*Optimalisatie!J27)),0)</f>
        <v>0</v>
      </c>
      <c r="M445" s="91">
        <f>(IF(Optimalisatie!C27="Bestaande Situatie",_xlfn.IFNA(VLOOKUP(Optimalisatie!AF27,Database_Transport[#All],45,FALSE)*(Optimalisatie!R27*Optimalisatie!AE27),Baseline_Backlog!M445),0))</f>
        <v>0</v>
      </c>
      <c r="N445" s="91">
        <f>(IF(Optimalisatie!C27="Bestaande Situatie",_xlfn.IFNA(VLOOKUP(Optimalisatie!AG27,Database_Asfalt_Verwerkingsset[#All],45,FALSE)*(Optimalisatie!J27/VLOOKUP(Optimalisatie!AG27,Database_Asfalt_Verwerkingsset[#All],45,FALSE)),Baseline_Backlog!N445),0))</f>
        <v>0</v>
      </c>
      <c r="O445" s="91">
        <f>(IF(Optimalisatie!C27="Bestaande Situatie",_xlfn.IFNA(VLOOKUP(Inschrijf_Fossiele_Energie_Totaal[[#This Row],[Product]]&amp;", "&amp;Inschrijf_MKI_Totaal[[#Headers],[C4]],Database_Productkaarten[#All],51,FALSE)*Optimalisatie!J27,Baseline_Backlog!O445),0))</f>
        <v>0</v>
      </c>
      <c r="P445" s="91">
        <f>(IF(Optimalisatie!C27="Bestaande Situatie",_xlfn.IFNA(IF(Optimalisatie!E27="Categorie_1_LCA_Producten",VLOOKUP(Inschrijf_Fossiele_Energie_Totaal[[#This Row],[Product]],Categorie_1_Producten[#All],30,FALSE)*(Optimalisatie!J27),VLOOKUP(Inschrijf_Fossiele_Energie_Totaal[[#This Row],[Product]]&amp;", "&amp;Inschrijf_Fossiele_Energie_Totaal[[#Headers],[D1]],Database_Productkaarten[#All],51,FALSE)*Optimalisatie!J27),Baseline_Backlog!P445),0))</f>
        <v>0</v>
      </c>
      <c r="Q445" s="91">
        <f>(IF(Optimalisatie!C27="Bestaande Situatie",_xlfn.IFNA(IF(Optimalisatie!E27="Categorie_1_LCA_Producten",VLOOKUP(Inschrijf_Fossiele_Energie_Totaal[[#This Row],[Product]],Categorie_1_Producten[#All],31,FALSE)*(Optimalisatie!J27),VLOOKUP(Inschrijf_Fossiele_Energie_Totaal[[#This Row],[Product]]&amp;", "&amp;Inschrijf_Fossiele_Energie_Totaal[[#Headers],[D2]],Database_Productkaarten[#All],51,FALSE)*Optimalisatie!J27),Baseline_Backlog!Q445),0))</f>
        <v>0</v>
      </c>
      <c r="R445" s="91">
        <f>(IF(Optimalisatie!C27="Bestaande Situatie",_xlfn.IFNA(IF(Optimalisatie!E27="Categorie_1_LCA_Producten",VLOOKUP(Inschrijf_Fossiele_Energie_Totaal[[#This Row],[Product]],Categorie_1_Producten[#All],37,FALSE)*(Optimalisatie!J27),VLOOKUP(Inschrijf_Fossiele_Energie_Totaal[[#This Row],[Product]]&amp;", "&amp;Inschrijf_Fossiele_Energie_Totaal[[#Headers],[D]],Database_Productkaarten[#All],51,FALSE)*Optimalisatie!J27),Baseline_Backlog!S445),0))</f>
        <v>0</v>
      </c>
      <c r="S445" s="91">
        <f>SUM(Inschrijf_Fossiele_Energie_Totaal[[#This Row],[A1-A3]:[C4]])+Inschrijf_Fossiele_Energie_Totaal[[#This Row],[D]]</f>
        <v>860578.27049999998</v>
      </c>
    </row>
    <row r="446" spans="2:19">
      <c r="B446" s="208" t="str">
        <f>Optimalisatie!B28</f>
        <v>430010 - Leveren en aanbrengen trottoirbanden 180/200x250</v>
      </c>
      <c r="C446" s="1" t="str">
        <f>Optimalisatie!F28</f>
        <v>Trottoirband 180/200x250</v>
      </c>
      <c r="D446" s="91">
        <f>(IF(Optimalisatie!C28="Nieuwe Situatie",_xlfn.IFNA(IF(Optimalisatie!E28="Categorie_1_LCA_Producten",VLOOKUP(Inschrijf_Fossiele_Energie_Totaal[[#This Row],[Product]],Categorie_1_Producten[#All],26,FALSE)*(Optimalisatie!J28),VLOOKUP(Inschrijf_Fossiele_Energie_Totaal[[#This Row],[Product]]&amp;", "&amp;Inschrijf_Fossiele_Energie_Totaal[[#Headers],[A1]],Database_Productkaarten[#All],51,FALSE)*Optimalisatie!J28),Baseline_Backlog!D446),0))</f>
        <v>8451.0053134615373</v>
      </c>
      <c r="E446" s="91">
        <f>(IF(Optimalisatie!C28="Nieuwe Situatie",_xlfn.IFNA(IF(Optimalisatie!E28="Categorie_1_LCA_Producten",VLOOKUP(Inschrijf_Fossiele_Energie_Totaal[[#This Row],[Product]],Categorie_1_Producten[#All],27,FALSE)*(Optimalisatie!J28),VLOOKUP(Inschrijf_Fossiele_Energie_Totaal[[#This Row],[Product]]&amp;", "&amp;Inschrijf_Fossiele_Energie_Totaal[[#Headers],[A2]],Database_Productkaarten[#All],51,FALSE)*Optimalisatie!J28),Baseline_Backlog!E446),0))</f>
        <v>1471.8963375000001</v>
      </c>
      <c r="F446" s="91">
        <f>(IF(Optimalisatie!C28="Nieuwe Situatie",_xlfn.IFNA(IF(Optimalisatie!E28="Categorie_1_LCA_Producten",VLOOKUP(Inschrijf_Fossiele_Energie_Totaal[[#This Row],[Product]],Categorie_1_Producten[#All],28,FALSE)*(Optimalisatie!J28),VLOOKUP(Inschrijf_Fossiele_Energie_Totaal[[#This Row],[Product]]&amp;", "&amp;Inschrijf_Fossiele_Energie_Totaal[[#Headers],[A3]],Database_Productkaarten[#All],51,FALSE)*Optimalisatie!J28),Baseline_Backlog!F446),0))</f>
        <v>1338.3338988461537</v>
      </c>
      <c r="G446" s="91">
        <f>(IF(Optimalisatie!C28="Nieuwe Situatie",_xlfn.IFNA(IF(Optimalisatie!E28="Categorie_1_LCA_Producten",VLOOKUP(Inschrijf_Fossiele_Energie_Totaal[[#This Row],[Product]],Categorie_1_Producten[#All],35,FALSE)*(Optimalisatie!J28),VLOOKUP(Inschrijf_Fossiele_Energie_Totaal[[#This Row],[Product]]&amp;", "&amp;Inschrijf_Fossiele_Energie_Totaal[[#Headers],[A1-A3]],Database_Productkaarten[#All],51,FALSE)*Optimalisatie!J28),Baseline_Backlog!G446),0))</f>
        <v>11261.23554980769</v>
      </c>
      <c r="H446" s="91">
        <f>(IF(Optimalisatie!C28="Nieuwe Situatie",_xlfn.IFNA(VLOOKUP(Optimalisatie!V28,Database_Transport[#All],45,FALSE)*(Optimalisatie!R28*Optimalisatie!U28),Baseline_Backlog!H446),0))</f>
        <v>631.12034255674996</v>
      </c>
      <c r="I446" s="91">
        <f>IF(Optimalisatie!C28="Nieuwe situatie",IF(_xlfn.IFNA((VLOOKUP(Optimalisatie!W28,Database_Asfalt_Aanlegset[#All],45,FALSE)*Optimalisatie!J28),0)+_xlfn.IFNA(VLOOKUP(Optimalisatie!X28,Database_Brandstoffen[#All],45,FALSE)*((Optimalisatie!J28/Optimalisatie!Z28)*Optimalisatie!Y28),0)&gt;0,_xlfn.IFNA((VLOOKUP(Optimalisatie!W28,Database_Asfalt_Aanlegset[#All],45,FALSE)*Optimalisatie!J28),0)+_xlfn.IFNA(VLOOKUP(Optimalisatie!X28,Database_Brandstoffen[#All],45,FALSE)*((Optimalisatie!J28/Optimalisatie!Z28)*Optimalisatie!Y28),0),(_xlfn.IFNA(VLOOKUP(Inschrijf_Fossiele_Energie_Totaal[[#This Row],[Product]]&amp;", "&amp;Inschrijf_MKI_Totaal[[#Headers],[A5]],Database_Productkaarten[#All],51,FALSE),0)*Optimalisatie!J28)),0)</f>
        <v>3725.0499457694982</v>
      </c>
      <c r="J446" s="91">
        <f>(IF(Optimalisatie!C28="Nieuwe Situatie",_xlfn.IFNA(IF(Optimalisatie!E28="Categorie_1_LCA_Producten",VLOOKUP(Inschrijf_Fossiele_Energie_Totaal[[#This Row],[Product]],Categorie_1_Producten[#All],36,FALSE)*(Optimalisatie!R28),VLOOKUP(Inschrijf_Fossiele_Energie_Totaal[[#This Row],[Product]]&amp;", "&amp;Inschrijf_Fossiele_Energie_Totaal[[#Headers],[B1]],Database_Productkaarten[#All],51,FALSE)*Optimalisatie!J28),Baseline_Backlog!J446),0))</f>
        <v>0</v>
      </c>
      <c r="K446" s="91">
        <f>(IF(Optimalisatie!C28="Nieuwe Situatie",_xlfn.IFNA(SUM(Inschrijf_Fossiele_Energie_Totaal[[#This Row],[A1]:[B1]],Inschrijf_Fossiele_Energie_Totaal[[#This Row],[C1]:[D2]])*Optimalisatie!T28,0),0))</f>
        <v>0</v>
      </c>
      <c r="L446" s="91">
        <f>IF(Optimalisatie!C28="Bestaande situatie",IF(_xlfn.IFNA((VLOOKUP(Optimalisatie!AA28,Database_Asfalt_Verwijderset[#All],45,FALSE)*Optimalisatie!J28),0)+_xlfn.IFNA(VLOOKUP(Optimalisatie!AB28,Database_Brandstoffen[#All],45,FALSE)*((Optimalisatie!J28/Optimalisatie!AD28)*Optimalisatie!AC28),0)&gt;0,_xlfn.IFNA((VLOOKUP(Optimalisatie!AA28,Database_Asfalt_Verwijderset[#All],45,FALSE)*Optimalisatie!J28),0)+_xlfn.IFNA(VLOOKUP(Optimalisatie!AB28,Database_Brandstoffen[#All],45,FALSE)*((Optimalisatie!J28/Optimalisatie!AD28)*Optimalisatie!AC28),0),(_xlfn.IFNA(VLOOKUP(Inschrijf_Fossiele_Energie_Totaal[[#This Row],[Product]]&amp;", "&amp;Inschrijf_MKI_Totaal[[#Headers],[C1]],Database_Productkaarten[#All],51,FALSE),0)*Optimalisatie!J28)),0)</f>
        <v>0</v>
      </c>
      <c r="M446" s="91">
        <f>(IF(Optimalisatie!C28="Bestaande Situatie",_xlfn.IFNA(VLOOKUP(Optimalisatie!AF28,Database_Transport[#All],45,FALSE)*(Optimalisatie!R28*Optimalisatie!AE28),Baseline_Backlog!M446),0))</f>
        <v>0</v>
      </c>
      <c r="N446" s="91">
        <f>(IF(Optimalisatie!C28="Bestaande Situatie",_xlfn.IFNA(VLOOKUP(Optimalisatie!AG28,Database_Asfalt_Verwerkingsset[#All],45,FALSE)*(Optimalisatie!J28/VLOOKUP(Optimalisatie!AG28,Database_Asfalt_Verwerkingsset[#All],45,FALSE)),Baseline_Backlog!N446),0))</f>
        <v>0</v>
      </c>
      <c r="O446" s="91">
        <f>(IF(Optimalisatie!C28="Bestaande Situatie",_xlfn.IFNA(VLOOKUP(Inschrijf_Fossiele_Energie_Totaal[[#This Row],[Product]]&amp;", "&amp;Inschrijf_MKI_Totaal[[#Headers],[C4]],Database_Productkaarten[#All],51,FALSE)*Optimalisatie!J28,Baseline_Backlog!O446),0))</f>
        <v>0</v>
      </c>
      <c r="P446" s="91">
        <f>(IF(Optimalisatie!C28="Bestaande Situatie",_xlfn.IFNA(IF(Optimalisatie!E28="Categorie_1_LCA_Producten",VLOOKUP(Inschrijf_Fossiele_Energie_Totaal[[#This Row],[Product]],Categorie_1_Producten[#All],30,FALSE)*(Optimalisatie!J28),VLOOKUP(Inschrijf_Fossiele_Energie_Totaal[[#This Row],[Product]]&amp;", "&amp;Inschrijf_Fossiele_Energie_Totaal[[#Headers],[D1]],Database_Productkaarten[#All],51,FALSE)*Optimalisatie!J28),Baseline_Backlog!P446),0))</f>
        <v>0</v>
      </c>
      <c r="Q446" s="91">
        <f>(IF(Optimalisatie!C28="Bestaande Situatie",_xlfn.IFNA(IF(Optimalisatie!E28="Categorie_1_LCA_Producten",VLOOKUP(Inschrijf_Fossiele_Energie_Totaal[[#This Row],[Product]],Categorie_1_Producten[#All],31,FALSE)*(Optimalisatie!J28),VLOOKUP(Inschrijf_Fossiele_Energie_Totaal[[#This Row],[Product]]&amp;", "&amp;Inschrijf_Fossiele_Energie_Totaal[[#Headers],[D2]],Database_Productkaarten[#All],51,FALSE)*Optimalisatie!J28),Baseline_Backlog!Q446),0))</f>
        <v>0</v>
      </c>
      <c r="R446" s="91">
        <f>(IF(Optimalisatie!C28="Bestaande Situatie",_xlfn.IFNA(IF(Optimalisatie!E28="Categorie_1_LCA_Producten",VLOOKUP(Inschrijf_Fossiele_Energie_Totaal[[#This Row],[Product]],Categorie_1_Producten[#All],37,FALSE)*(Optimalisatie!J28),VLOOKUP(Inschrijf_Fossiele_Energie_Totaal[[#This Row],[Product]]&amp;", "&amp;Inschrijf_Fossiele_Energie_Totaal[[#Headers],[D]],Database_Productkaarten[#All],51,FALSE)*Optimalisatie!J28),Baseline_Backlog!S446),0))</f>
        <v>0</v>
      </c>
      <c r="S446" s="91">
        <f>SUM(Inschrijf_Fossiele_Energie_Totaal[[#This Row],[A1-A3]:[C4]])+Inschrijf_Fossiele_Energie_Totaal[[#This Row],[D]]</f>
        <v>15617.405838133938</v>
      </c>
    </row>
    <row r="447" spans="2:19">
      <c r="B447" s="208" t="str">
        <f>Optimalisatie!B29</f>
        <v>430020 - Leveren en aanbrengen trottoirbanden 130/150x250</v>
      </c>
      <c r="C447" s="1" t="str">
        <f>Optimalisatie!F29</f>
        <v>Trottoirband 130/150x250</v>
      </c>
      <c r="D447" s="91">
        <f>(IF(Optimalisatie!C29="Nieuwe Situatie",_xlfn.IFNA(IF(Optimalisatie!E29="Categorie_1_LCA_Producten",VLOOKUP(Inschrijf_Fossiele_Energie_Totaal[[#This Row],[Product]],Categorie_1_Producten[#All],26,FALSE)*(Optimalisatie!J29),VLOOKUP(Inschrijf_Fossiele_Energie_Totaal[[#This Row],[Product]]&amp;", "&amp;Inschrijf_Fossiele_Energie_Totaal[[#Headers],[A1]],Database_Productkaarten[#All],51,FALSE)*Optimalisatie!J29),Baseline_Backlog!D447),0))</f>
        <v>13212.290659999999</v>
      </c>
      <c r="E447" s="91">
        <f>(IF(Optimalisatie!C29="Nieuwe Situatie",_xlfn.IFNA(IF(Optimalisatie!E29="Categorie_1_LCA_Producten",VLOOKUP(Inschrijf_Fossiele_Energie_Totaal[[#This Row],[Product]],Categorie_1_Producten[#All],27,FALSE)*(Optimalisatie!J29),VLOOKUP(Inschrijf_Fossiele_Energie_Totaal[[#This Row],[Product]]&amp;", "&amp;Inschrijf_Fossiele_Energie_Totaal[[#Headers],[A2]],Database_Productkaarten[#All],51,FALSE)*Optimalisatie!J29),Baseline_Backlog!E447),0))</f>
        <v>2301.1608099999999</v>
      </c>
      <c r="F447" s="91">
        <f>(IF(Optimalisatie!C29="Nieuwe Situatie",_xlfn.IFNA(IF(Optimalisatie!E29="Categorie_1_LCA_Producten",VLOOKUP(Inschrijf_Fossiele_Energie_Totaal[[#This Row],[Product]],Categorie_1_Producten[#All],28,FALSE)*(Optimalisatie!J29),VLOOKUP(Inschrijf_Fossiele_Energie_Totaal[[#This Row],[Product]]&amp;", "&amp;Inschrijf_Fossiele_Energie_Totaal[[#Headers],[A3]],Database_Productkaarten[#All],51,FALSE)*Optimalisatie!J29),Baseline_Backlog!F447),0))</f>
        <v>2092.3494679999999</v>
      </c>
      <c r="G447" s="91">
        <f>(IF(Optimalisatie!C29="Nieuwe Situatie",_xlfn.IFNA(IF(Optimalisatie!E29="Categorie_1_LCA_Producten",VLOOKUP(Inschrijf_Fossiele_Energie_Totaal[[#This Row],[Product]],Categorie_1_Producten[#All],35,FALSE)*(Optimalisatie!J29),VLOOKUP(Inschrijf_Fossiele_Energie_Totaal[[#This Row],[Product]]&amp;", "&amp;Inschrijf_Fossiele_Energie_Totaal[[#Headers],[A1-A3]],Database_Productkaarten[#All],51,FALSE)*Optimalisatie!J29),Baseline_Backlog!G447),0))</f>
        <v>17605.800937999997</v>
      </c>
      <c r="H447" s="91">
        <f>(IF(Optimalisatie!C29="Nieuwe Situatie",_xlfn.IFNA(VLOOKUP(Optimalisatie!V29,Database_Transport[#All],45,FALSE)*(Optimalisatie!R29*Optimalisatie!U29),Baseline_Backlog!H447),0))</f>
        <v>1024.6424385038999</v>
      </c>
      <c r="I447" s="91">
        <f>IF(Optimalisatie!C29="Nieuwe situatie",IF(_xlfn.IFNA((VLOOKUP(Optimalisatie!W29,Database_Asfalt_Aanlegset[#All],45,FALSE)*Optimalisatie!J29),0)+_xlfn.IFNA(VLOOKUP(Optimalisatie!X29,Database_Brandstoffen[#All],45,FALSE)*((Optimalisatie!J29/Optimalisatie!Z29)*Optimalisatie!Y29),0)&gt;0,_xlfn.IFNA((VLOOKUP(Optimalisatie!W29,Database_Asfalt_Aanlegset[#All],45,FALSE)*Optimalisatie!J29),0)+_xlfn.IFNA(VLOOKUP(Optimalisatie!X29,Database_Brandstoffen[#All],45,FALSE)*((Optimalisatie!J29/Optimalisatie!Z29)*Optimalisatie!Y29),0),(_xlfn.IFNA(VLOOKUP(Inschrijf_Fossiele_Energie_Totaal[[#This Row],[Product]]&amp;", "&amp;Inschrijf_MKI_Totaal[[#Headers],[A5]],Database_Productkaarten[#All],51,FALSE),0)*Optimalisatie!J29)),0)</f>
        <v>10079.546912082173</v>
      </c>
      <c r="J447" s="91">
        <f>(IF(Optimalisatie!C29="Nieuwe Situatie",_xlfn.IFNA(IF(Optimalisatie!E29="Categorie_1_LCA_Producten",VLOOKUP(Inschrijf_Fossiele_Energie_Totaal[[#This Row],[Product]],Categorie_1_Producten[#All],36,FALSE)*(Optimalisatie!R29),VLOOKUP(Inschrijf_Fossiele_Energie_Totaal[[#This Row],[Product]]&amp;", "&amp;Inschrijf_Fossiele_Energie_Totaal[[#Headers],[B1]],Database_Productkaarten[#All],51,FALSE)*Optimalisatie!J29),Baseline_Backlog!J447),0))</f>
        <v>0</v>
      </c>
      <c r="K447" s="91">
        <f>(IF(Optimalisatie!C29="Nieuwe Situatie",_xlfn.IFNA(SUM(Inschrijf_Fossiele_Energie_Totaal[[#This Row],[A1]:[B1]],Inschrijf_Fossiele_Energie_Totaal[[#This Row],[C1]:[D2]])*Optimalisatie!T29,0),0))</f>
        <v>0</v>
      </c>
      <c r="L447" s="91">
        <f>IF(Optimalisatie!C29="Bestaande situatie",IF(_xlfn.IFNA((VLOOKUP(Optimalisatie!AA29,Database_Asfalt_Verwijderset[#All],45,FALSE)*Optimalisatie!J29),0)+_xlfn.IFNA(VLOOKUP(Optimalisatie!AB29,Database_Brandstoffen[#All],45,FALSE)*((Optimalisatie!J29/Optimalisatie!AD29)*Optimalisatie!AC29),0)&gt;0,_xlfn.IFNA((VLOOKUP(Optimalisatie!AA29,Database_Asfalt_Verwijderset[#All],45,FALSE)*Optimalisatie!J29),0)+_xlfn.IFNA(VLOOKUP(Optimalisatie!AB29,Database_Brandstoffen[#All],45,FALSE)*((Optimalisatie!J29/Optimalisatie!AD29)*Optimalisatie!AC29),0),(_xlfn.IFNA(VLOOKUP(Inschrijf_Fossiele_Energie_Totaal[[#This Row],[Product]]&amp;", "&amp;Inschrijf_MKI_Totaal[[#Headers],[C1]],Database_Productkaarten[#All],51,FALSE),0)*Optimalisatie!J29)),0)</f>
        <v>0</v>
      </c>
      <c r="M447" s="91">
        <f>(IF(Optimalisatie!C29="Bestaande Situatie",_xlfn.IFNA(VLOOKUP(Optimalisatie!AF29,Database_Transport[#All],45,FALSE)*(Optimalisatie!R29*Optimalisatie!AE29),Baseline_Backlog!M447),0))</f>
        <v>0</v>
      </c>
      <c r="N447" s="91">
        <f>(IF(Optimalisatie!C29="Bestaande Situatie",_xlfn.IFNA(VLOOKUP(Optimalisatie!AG29,Database_Asfalt_Verwerkingsset[#All],45,FALSE)*(Optimalisatie!J29/VLOOKUP(Optimalisatie!AG29,Database_Asfalt_Verwerkingsset[#All],45,FALSE)),Baseline_Backlog!N447),0))</f>
        <v>0</v>
      </c>
      <c r="O447" s="91">
        <f>(IF(Optimalisatie!C29="Bestaande Situatie",_xlfn.IFNA(VLOOKUP(Inschrijf_Fossiele_Energie_Totaal[[#This Row],[Product]]&amp;", "&amp;Inschrijf_MKI_Totaal[[#Headers],[C4]],Database_Productkaarten[#All],51,FALSE)*Optimalisatie!J29,Baseline_Backlog!O447),0))</f>
        <v>0</v>
      </c>
      <c r="P447" s="91">
        <f>(IF(Optimalisatie!C29="Bestaande Situatie",_xlfn.IFNA(IF(Optimalisatie!E29="Categorie_1_LCA_Producten",VLOOKUP(Inschrijf_Fossiele_Energie_Totaal[[#This Row],[Product]],Categorie_1_Producten[#All],30,FALSE)*(Optimalisatie!J29),VLOOKUP(Inschrijf_Fossiele_Energie_Totaal[[#This Row],[Product]]&amp;", "&amp;Inschrijf_Fossiele_Energie_Totaal[[#Headers],[D1]],Database_Productkaarten[#All],51,FALSE)*Optimalisatie!J29),Baseline_Backlog!P447),0))</f>
        <v>0</v>
      </c>
      <c r="Q447" s="91">
        <f>(IF(Optimalisatie!C29="Bestaande Situatie",_xlfn.IFNA(IF(Optimalisatie!E29="Categorie_1_LCA_Producten",VLOOKUP(Inschrijf_Fossiele_Energie_Totaal[[#This Row],[Product]],Categorie_1_Producten[#All],31,FALSE)*(Optimalisatie!J29),VLOOKUP(Inschrijf_Fossiele_Energie_Totaal[[#This Row],[Product]]&amp;", "&amp;Inschrijf_Fossiele_Energie_Totaal[[#Headers],[D2]],Database_Productkaarten[#All],51,FALSE)*Optimalisatie!J29),Baseline_Backlog!Q447),0))</f>
        <v>0</v>
      </c>
      <c r="R447" s="91">
        <f>(IF(Optimalisatie!C29="Bestaande Situatie",_xlfn.IFNA(IF(Optimalisatie!E29="Categorie_1_LCA_Producten",VLOOKUP(Inschrijf_Fossiele_Energie_Totaal[[#This Row],[Product]],Categorie_1_Producten[#All],37,FALSE)*(Optimalisatie!J29),VLOOKUP(Inschrijf_Fossiele_Energie_Totaal[[#This Row],[Product]]&amp;", "&amp;Inschrijf_Fossiele_Energie_Totaal[[#Headers],[D]],Database_Productkaarten[#All],51,FALSE)*Optimalisatie!J29),Baseline_Backlog!S447),0))</f>
        <v>0</v>
      </c>
      <c r="S447" s="91">
        <f>SUM(Inschrijf_Fossiele_Energie_Totaal[[#This Row],[A1-A3]:[C4]])+Inschrijf_Fossiele_Energie_Totaal[[#This Row],[D]]</f>
        <v>28709.990288586068</v>
      </c>
    </row>
    <row r="448" spans="2:19">
      <c r="B448" s="208" t="str">
        <f>Optimalisatie!B30</f>
        <v>430040 - Leveren en aanbrengen opsluitbanden 100x200</v>
      </c>
      <c r="C448" s="1" t="str">
        <f>Optimalisatie!F30</f>
        <v>Opsluitband 100x200</v>
      </c>
      <c r="D448" s="91">
        <f>(IF(Optimalisatie!C30="Nieuwe Situatie",_xlfn.IFNA(IF(Optimalisatie!E30="Categorie_1_LCA_Producten",VLOOKUP(Inschrijf_Fossiele_Energie_Totaal[[#This Row],[Product]],Categorie_1_Producten[#All],26,FALSE)*(Optimalisatie!J30),VLOOKUP(Inschrijf_Fossiele_Energie_Totaal[[#This Row],[Product]]&amp;", "&amp;Inschrijf_Fossiele_Energie_Totaal[[#Headers],[A1]],Database_Productkaarten[#All],51,FALSE)*Optimalisatie!J30),Baseline_Backlog!D448),0))</f>
        <v>45199.942125000001</v>
      </c>
      <c r="E448" s="91">
        <f>(IF(Optimalisatie!C30="Nieuwe Situatie",_xlfn.IFNA(IF(Optimalisatie!E30="Categorie_1_LCA_Producten",VLOOKUP(Inschrijf_Fossiele_Energie_Totaal[[#This Row],[Product]],Categorie_1_Producten[#All],27,FALSE)*(Optimalisatie!J30),VLOOKUP(Inschrijf_Fossiele_Energie_Totaal[[#This Row],[Product]]&amp;", "&amp;Inschrijf_Fossiele_Energie_Totaal[[#Headers],[A2]],Database_Productkaarten[#All],51,FALSE)*Optimalisatie!J30),Baseline_Backlog!E448),0))</f>
        <v>7872.392229000001</v>
      </c>
      <c r="F448" s="91">
        <f>(IF(Optimalisatie!C30="Nieuwe Situatie",_xlfn.IFNA(IF(Optimalisatie!E30="Categorie_1_LCA_Producten",VLOOKUP(Inschrijf_Fossiele_Energie_Totaal[[#This Row],[Product]],Categorie_1_Producten[#All],28,FALSE)*(Optimalisatie!J30),VLOOKUP(Inschrijf_Fossiele_Energie_Totaal[[#This Row],[Product]]&amp;", "&amp;Inschrijf_Fossiele_Energie_Totaal[[#Headers],[A3]],Database_Productkaarten[#All],51,FALSE)*Optimalisatie!J30),Baseline_Backlog!F448),0))</f>
        <v>7158.0375750000003</v>
      </c>
      <c r="G448" s="91">
        <f>(IF(Optimalisatie!C30="Nieuwe Situatie",_xlfn.IFNA(IF(Optimalisatie!E30="Categorie_1_LCA_Producten",VLOOKUP(Inschrijf_Fossiele_Energie_Totaal[[#This Row],[Product]],Categorie_1_Producten[#All],35,FALSE)*(Optimalisatie!J30),VLOOKUP(Inschrijf_Fossiele_Energie_Totaal[[#This Row],[Product]]&amp;", "&amp;Inschrijf_Fossiele_Energie_Totaal[[#Headers],[A1-A3]],Database_Productkaarten[#All],51,FALSE)*Optimalisatie!J30),Baseline_Backlog!G448),0))</f>
        <v>60230.371928999994</v>
      </c>
      <c r="H448" s="91">
        <f>(IF(Optimalisatie!C30="Nieuwe Situatie",_xlfn.IFNA(VLOOKUP(Optimalisatie!V30,Database_Transport[#All],45,FALSE)*(Optimalisatie!R30*Optimalisatie!U30),Baseline_Backlog!H448),0))</f>
        <v>3594.7568349647499</v>
      </c>
      <c r="I448" s="91">
        <f>IF(Optimalisatie!C30="Nieuwe situatie",IF(_xlfn.IFNA((VLOOKUP(Optimalisatie!W30,Database_Asfalt_Aanlegset[#All],45,FALSE)*Optimalisatie!J30),0)+_xlfn.IFNA(VLOOKUP(Optimalisatie!X30,Database_Brandstoffen[#All],45,FALSE)*((Optimalisatie!J30/Optimalisatie!Z30)*Optimalisatie!Y30),0)&gt;0,_xlfn.IFNA((VLOOKUP(Optimalisatie!W30,Database_Asfalt_Aanlegset[#All],45,FALSE)*Optimalisatie!J30),0)+_xlfn.IFNA(VLOOKUP(Optimalisatie!X30,Database_Brandstoffen[#All],45,FALSE)*((Optimalisatie!J30/Optimalisatie!Z30)*Optimalisatie!Y30),0),(_xlfn.IFNA(VLOOKUP(Inschrijf_Fossiele_Energie_Totaal[[#This Row],[Product]]&amp;", "&amp;Inschrijf_MKI_Totaal[[#Headers],[A5]],Database_Productkaarten[#All],51,FALSE),0)*Optimalisatie!J30)),0)</f>
        <v>58237.382158696993</v>
      </c>
      <c r="J448" s="91">
        <f>(IF(Optimalisatie!C30="Nieuwe Situatie",_xlfn.IFNA(IF(Optimalisatie!E30="Categorie_1_LCA_Producten",VLOOKUP(Inschrijf_Fossiele_Energie_Totaal[[#This Row],[Product]],Categorie_1_Producten[#All],36,FALSE)*(Optimalisatie!R30),VLOOKUP(Inschrijf_Fossiele_Energie_Totaal[[#This Row],[Product]]&amp;", "&amp;Inschrijf_Fossiele_Energie_Totaal[[#Headers],[B1]],Database_Productkaarten[#All],51,FALSE)*Optimalisatie!J30),Baseline_Backlog!J448),0))</f>
        <v>0</v>
      </c>
      <c r="K448" s="91">
        <f>(IF(Optimalisatie!C30="Nieuwe Situatie",_xlfn.IFNA(SUM(Inschrijf_Fossiele_Energie_Totaal[[#This Row],[A1]:[B1]],Inschrijf_Fossiele_Energie_Totaal[[#This Row],[C1]:[D2]])*Optimalisatie!T30,0),0))</f>
        <v>0</v>
      </c>
      <c r="L448" s="91">
        <f>IF(Optimalisatie!C30="Bestaande situatie",IF(_xlfn.IFNA((VLOOKUP(Optimalisatie!AA30,Database_Asfalt_Verwijderset[#All],45,FALSE)*Optimalisatie!J30),0)+_xlfn.IFNA(VLOOKUP(Optimalisatie!AB30,Database_Brandstoffen[#All],45,FALSE)*((Optimalisatie!J30/Optimalisatie!AD30)*Optimalisatie!AC30),0)&gt;0,_xlfn.IFNA((VLOOKUP(Optimalisatie!AA30,Database_Asfalt_Verwijderset[#All],45,FALSE)*Optimalisatie!J30),0)+_xlfn.IFNA(VLOOKUP(Optimalisatie!AB30,Database_Brandstoffen[#All],45,FALSE)*((Optimalisatie!J30/Optimalisatie!AD30)*Optimalisatie!AC30),0),(_xlfn.IFNA(VLOOKUP(Inschrijf_Fossiele_Energie_Totaal[[#This Row],[Product]]&amp;", "&amp;Inschrijf_MKI_Totaal[[#Headers],[C1]],Database_Productkaarten[#All],51,FALSE),0)*Optimalisatie!J30)),0)</f>
        <v>0</v>
      </c>
      <c r="M448" s="91">
        <f>(IF(Optimalisatie!C30="Bestaande Situatie",_xlfn.IFNA(VLOOKUP(Optimalisatie!AF30,Database_Transport[#All],45,FALSE)*(Optimalisatie!R30*Optimalisatie!AE30),Baseline_Backlog!M448),0))</f>
        <v>0</v>
      </c>
      <c r="N448" s="91">
        <f>(IF(Optimalisatie!C30="Bestaande Situatie",_xlfn.IFNA(VLOOKUP(Optimalisatie!AG30,Database_Asfalt_Verwerkingsset[#All],45,FALSE)*(Optimalisatie!J30/VLOOKUP(Optimalisatie!AG30,Database_Asfalt_Verwerkingsset[#All],45,FALSE)),Baseline_Backlog!N448),0))</f>
        <v>0</v>
      </c>
      <c r="O448" s="91">
        <f>(IF(Optimalisatie!C30="Bestaande Situatie",_xlfn.IFNA(VLOOKUP(Inschrijf_Fossiele_Energie_Totaal[[#This Row],[Product]]&amp;", "&amp;Inschrijf_MKI_Totaal[[#Headers],[C4]],Database_Productkaarten[#All],51,FALSE)*Optimalisatie!J30,Baseline_Backlog!O448),0))</f>
        <v>0</v>
      </c>
      <c r="P448" s="91">
        <f>(IF(Optimalisatie!C30="Bestaande Situatie",_xlfn.IFNA(IF(Optimalisatie!E30="Categorie_1_LCA_Producten",VLOOKUP(Inschrijf_Fossiele_Energie_Totaal[[#This Row],[Product]],Categorie_1_Producten[#All],30,FALSE)*(Optimalisatie!J30),VLOOKUP(Inschrijf_Fossiele_Energie_Totaal[[#This Row],[Product]]&amp;", "&amp;Inschrijf_Fossiele_Energie_Totaal[[#Headers],[D1]],Database_Productkaarten[#All],51,FALSE)*Optimalisatie!J30),Baseline_Backlog!P448),0))</f>
        <v>0</v>
      </c>
      <c r="Q448" s="91">
        <f>(IF(Optimalisatie!C30="Bestaande Situatie",_xlfn.IFNA(IF(Optimalisatie!E30="Categorie_1_LCA_Producten",VLOOKUP(Inschrijf_Fossiele_Energie_Totaal[[#This Row],[Product]],Categorie_1_Producten[#All],31,FALSE)*(Optimalisatie!J30),VLOOKUP(Inschrijf_Fossiele_Energie_Totaal[[#This Row],[Product]]&amp;", "&amp;Inschrijf_Fossiele_Energie_Totaal[[#Headers],[D2]],Database_Productkaarten[#All],51,FALSE)*Optimalisatie!J30),Baseline_Backlog!Q448),0))</f>
        <v>0</v>
      </c>
      <c r="R448" s="91">
        <f>(IF(Optimalisatie!C30="Bestaande Situatie",_xlfn.IFNA(IF(Optimalisatie!E30="Categorie_1_LCA_Producten",VLOOKUP(Inschrijf_Fossiele_Energie_Totaal[[#This Row],[Product]],Categorie_1_Producten[#All],37,FALSE)*(Optimalisatie!J30),VLOOKUP(Inschrijf_Fossiele_Energie_Totaal[[#This Row],[Product]]&amp;", "&amp;Inschrijf_Fossiele_Energie_Totaal[[#Headers],[D]],Database_Productkaarten[#All],51,FALSE)*Optimalisatie!J30),Baseline_Backlog!S448),0))</f>
        <v>0</v>
      </c>
      <c r="S448" s="91">
        <f>SUM(Inschrijf_Fossiele_Energie_Totaal[[#This Row],[A1-A3]:[C4]])+Inschrijf_Fossiele_Energie_Totaal[[#This Row],[D]]</f>
        <v>122062.51092266174</v>
      </c>
    </row>
    <row r="449" spans="2:19">
      <c r="B449" s="208" t="str">
        <f>Optimalisatie!B31</f>
        <v>430050 - Leveren en aanbrengen opsluitbanden 120x250</v>
      </c>
      <c r="C449" s="1" t="str">
        <f>Optimalisatie!F31</f>
        <v>Opsluitband 150x250</v>
      </c>
      <c r="D449" s="91">
        <f>(IF(Optimalisatie!C31="Nieuwe Situatie",_xlfn.IFNA(IF(Optimalisatie!E31="Categorie_1_LCA_Producten",VLOOKUP(Inschrijf_Fossiele_Energie_Totaal[[#This Row],[Product]],Categorie_1_Producten[#All],26,FALSE)*(Optimalisatie!J31),VLOOKUP(Inschrijf_Fossiele_Energie_Totaal[[#This Row],[Product]]&amp;", "&amp;Inschrijf_Fossiele_Energie_Totaal[[#Headers],[A1]],Database_Productkaarten[#All],51,FALSE)*Optimalisatie!J31),Baseline_Backlog!D449),0))</f>
        <v>79364.446874999994</v>
      </c>
      <c r="E449" s="91">
        <f>(IF(Optimalisatie!C31="Nieuwe Situatie",_xlfn.IFNA(IF(Optimalisatie!E31="Categorie_1_LCA_Producten",VLOOKUP(Inschrijf_Fossiele_Energie_Totaal[[#This Row],[Product]],Categorie_1_Producten[#All],27,FALSE)*(Optimalisatie!J31),VLOOKUP(Inschrijf_Fossiele_Energie_Totaal[[#This Row],[Product]]&amp;", "&amp;Inschrijf_Fossiele_Energie_Totaal[[#Headers],[A2]],Database_Productkaarten[#All],51,FALSE)*Optimalisatie!J31),Baseline_Backlog!E449),0))</f>
        <v>13822.762274999999</v>
      </c>
      <c r="F449" s="91">
        <f>(IF(Optimalisatie!C31="Nieuwe Situatie",_xlfn.IFNA(IF(Optimalisatie!E31="Categorie_1_LCA_Producten",VLOOKUP(Inschrijf_Fossiele_Energie_Totaal[[#This Row],[Product]],Categorie_1_Producten[#All],28,FALSE)*(Optimalisatie!J31),VLOOKUP(Inschrijf_Fossiele_Energie_Totaal[[#This Row],[Product]]&amp;", "&amp;Inschrijf_Fossiele_Energie_Totaal[[#Headers],[A3]],Database_Productkaarten[#All],51,FALSE)*Optimalisatie!J31),Baseline_Backlog!F449),0))</f>
        <v>12568.460625000002</v>
      </c>
      <c r="G449" s="91">
        <f>(IF(Optimalisatie!C31="Nieuwe Situatie",_xlfn.IFNA(IF(Optimalisatie!E31="Categorie_1_LCA_Producten",VLOOKUP(Inschrijf_Fossiele_Energie_Totaal[[#This Row],[Product]],Categorie_1_Producten[#All],35,FALSE)*(Optimalisatie!J31),VLOOKUP(Inschrijf_Fossiele_Energie_Totaal[[#This Row],[Product]]&amp;", "&amp;Inschrijf_Fossiele_Energie_Totaal[[#Headers],[A1-A3]],Database_Productkaarten[#All],51,FALSE)*Optimalisatie!J31),Baseline_Backlog!G449),0))</f>
        <v>105755.66977499999</v>
      </c>
      <c r="H449" s="91">
        <f>(IF(Optimalisatie!C31="Nieuwe Situatie",_xlfn.IFNA(VLOOKUP(Optimalisatie!V31,Database_Transport[#All],45,FALSE)*(Optimalisatie!R31*Optimalisatie!U31),Baseline_Backlog!H449),0))</f>
        <v>6311.8640078812514</v>
      </c>
      <c r="I449" s="91">
        <f>IF(Optimalisatie!C31="Nieuwe situatie",IF(_xlfn.IFNA((VLOOKUP(Optimalisatie!W31,Database_Asfalt_Aanlegset[#All],45,FALSE)*Optimalisatie!J31),0)+_xlfn.IFNA(VLOOKUP(Optimalisatie!X31,Database_Brandstoffen[#All],45,FALSE)*((Optimalisatie!J31/Optimalisatie!Z31)*Optimalisatie!Y31),0)&gt;0,_xlfn.IFNA((VLOOKUP(Optimalisatie!W31,Database_Asfalt_Aanlegset[#All],45,FALSE)*Optimalisatie!J31),0)+_xlfn.IFNA(VLOOKUP(Optimalisatie!X31,Database_Brandstoffen[#All],45,FALSE)*((Optimalisatie!J31/Optimalisatie!Z31)*Optimalisatie!Y31),0),(_xlfn.IFNA(VLOOKUP(Inschrijf_Fossiele_Energie_Totaal[[#This Row],[Product]]&amp;", "&amp;Inschrijf_MKI_Totaal[[#Headers],[A5]],Database_Productkaarten[#All],51,FALSE),0)*Optimalisatie!J31)),0)</f>
        <v>61353.763812674086</v>
      </c>
      <c r="J449" s="91">
        <f>(IF(Optimalisatie!C31="Nieuwe Situatie",_xlfn.IFNA(IF(Optimalisatie!E31="Categorie_1_LCA_Producten",VLOOKUP(Inschrijf_Fossiele_Energie_Totaal[[#This Row],[Product]],Categorie_1_Producten[#All],36,FALSE)*(Optimalisatie!R31),VLOOKUP(Inschrijf_Fossiele_Energie_Totaal[[#This Row],[Product]]&amp;", "&amp;Inschrijf_Fossiele_Energie_Totaal[[#Headers],[B1]],Database_Productkaarten[#All],51,FALSE)*Optimalisatie!J31),Baseline_Backlog!J449),0))</f>
        <v>0</v>
      </c>
      <c r="K449" s="91">
        <f>(IF(Optimalisatie!C31="Nieuwe Situatie",_xlfn.IFNA(SUM(Inschrijf_Fossiele_Energie_Totaal[[#This Row],[A1]:[B1]],Inschrijf_Fossiele_Energie_Totaal[[#This Row],[C1]:[D2]])*Optimalisatie!T31,0),0))</f>
        <v>0</v>
      </c>
      <c r="L449" s="91">
        <f>IF(Optimalisatie!C31="Bestaande situatie",IF(_xlfn.IFNA((VLOOKUP(Optimalisatie!AA31,Database_Asfalt_Verwijderset[#All],45,FALSE)*Optimalisatie!J31),0)+_xlfn.IFNA(VLOOKUP(Optimalisatie!AB31,Database_Brandstoffen[#All],45,FALSE)*((Optimalisatie!J31/Optimalisatie!AD31)*Optimalisatie!AC31),0)&gt;0,_xlfn.IFNA((VLOOKUP(Optimalisatie!AA31,Database_Asfalt_Verwijderset[#All],45,FALSE)*Optimalisatie!J31),0)+_xlfn.IFNA(VLOOKUP(Optimalisatie!AB31,Database_Brandstoffen[#All],45,FALSE)*((Optimalisatie!J31/Optimalisatie!AD31)*Optimalisatie!AC31),0),(_xlfn.IFNA(VLOOKUP(Inschrijf_Fossiele_Energie_Totaal[[#This Row],[Product]]&amp;", "&amp;Inschrijf_MKI_Totaal[[#Headers],[C1]],Database_Productkaarten[#All],51,FALSE),0)*Optimalisatie!J31)),0)</f>
        <v>0</v>
      </c>
      <c r="M449" s="91">
        <f>(IF(Optimalisatie!C31="Bestaande Situatie",_xlfn.IFNA(VLOOKUP(Optimalisatie!AF31,Database_Transport[#All],45,FALSE)*(Optimalisatie!R31*Optimalisatie!AE31),Baseline_Backlog!M449),0))</f>
        <v>0</v>
      </c>
      <c r="N449" s="91">
        <f>(IF(Optimalisatie!C31="Bestaande Situatie",_xlfn.IFNA(VLOOKUP(Optimalisatie!AG31,Database_Asfalt_Verwerkingsset[#All],45,FALSE)*(Optimalisatie!J31/VLOOKUP(Optimalisatie!AG31,Database_Asfalt_Verwerkingsset[#All],45,FALSE)),Baseline_Backlog!N449),0))</f>
        <v>0</v>
      </c>
      <c r="O449" s="91">
        <f>(IF(Optimalisatie!C31="Bestaande Situatie",_xlfn.IFNA(VLOOKUP(Inschrijf_Fossiele_Energie_Totaal[[#This Row],[Product]]&amp;", "&amp;Inschrijf_MKI_Totaal[[#Headers],[C4]],Database_Productkaarten[#All],51,FALSE)*Optimalisatie!J31,Baseline_Backlog!O449),0))</f>
        <v>0</v>
      </c>
      <c r="P449" s="91">
        <f>(IF(Optimalisatie!C31="Bestaande Situatie",_xlfn.IFNA(IF(Optimalisatie!E31="Categorie_1_LCA_Producten",VLOOKUP(Inschrijf_Fossiele_Energie_Totaal[[#This Row],[Product]],Categorie_1_Producten[#All],30,FALSE)*(Optimalisatie!J31),VLOOKUP(Inschrijf_Fossiele_Energie_Totaal[[#This Row],[Product]]&amp;", "&amp;Inschrijf_Fossiele_Energie_Totaal[[#Headers],[D1]],Database_Productkaarten[#All],51,FALSE)*Optimalisatie!J31),Baseline_Backlog!P449),0))</f>
        <v>0</v>
      </c>
      <c r="Q449" s="91">
        <f>(IF(Optimalisatie!C31="Bestaande Situatie",_xlfn.IFNA(IF(Optimalisatie!E31="Categorie_1_LCA_Producten",VLOOKUP(Inschrijf_Fossiele_Energie_Totaal[[#This Row],[Product]],Categorie_1_Producten[#All],31,FALSE)*(Optimalisatie!J31),VLOOKUP(Inschrijf_Fossiele_Energie_Totaal[[#This Row],[Product]]&amp;", "&amp;Inschrijf_Fossiele_Energie_Totaal[[#Headers],[D2]],Database_Productkaarten[#All],51,FALSE)*Optimalisatie!J31),Baseline_Backlog!Q449),0))</f>
        <v>0</v>
      </c>
      <c r="R449" s="91">
        <f>(IF(Optimalisatie!C31="Bestaande Situatie",_xlfn.IFNA(IF(Optimalisatie!E31="Categorie_1_LCA_Producten",VLOOKUP(Inschrijf_Fossiele_Energie_Totaal[[#This Row],[Product]],Categorie_1_Producten[#All],37,FALSE)*(Optimalisatie!J31),VLOOKUP(Inschrijf_Fossiele_Energie_Totaal[[#This Row],[Product]]&amp;", "&amp;Inschrijf_Fossiele_Energie_Totaal[[#Headers],[D]],Database_Productkaarten[#All],51,FALSE)*Optimalisatie!J31),Baseline_Backlog!S449),0))</f>
        <v>0</v>
      </c>
      <c r="S449" s="91">
        <f>SUM(Inschrijf_Fossiele_Energie_Totaal[[#This Row],[A1-A3]:[C4]])+Inschrijf_Fossiele_Energie_Totaal[[#This Row],[D]]</f>
        <v>173421.29759555531</v>
      </c>
    </row>
    <row r="450" spans="2:19">
      <c r="B450" s="208" t="str">
        <f>Optimalisatie!B32</f>
        <v>440010 - Aanbrengen straatbakstenen DF, Rood (rijweg)</v>
      </c>
      <c r="C450" s="1" t="str">
        <f>Optimalisatie!F32</f>
        <v>Baksteen</v>
      </c>
      <c r="D450" s="91">
        <f>(IF(Optimalisatie!C32="Nieuwe Situatie",_xlfn.IFNA(IF(Optimalisatie!E32="Categorie_1_LCA_Producten",VLOOKUP(Inschrijf_Fossiele_Energie_Totaal[[#This Row],[Product]],Categorie_1_Producten[#All],26,FALSE)*(Optimalisatie!J32),VLOOKUP(Inschrijf_Fossiele_Energie_Totaal[[#This Row],[Product]]&amp;", "&amp;Inschrijf_Fossiele_Energie_Totaal[[#Headers],[A1]],Database_Productkaarten[#All],51,FALSE)*Optimalisatie!J32),Baseline_Backlog!D450),0))</f>
        <v>0</v>
      </c>
      <c r="E450" s="91">
        <f>(IF(Optimalisatie!C32="Nieuwe Situatie",_xlfn.IFNA(IF(Optimalisatie!E32="Categorie_1_LCA_Producten",VLOOKUP(Inschrijf_Fossiele_Energie_Totaal[[#This Row],[Product]],Categorie_1_Producten[#All],27,FALSE)*(Optimalisatie!J32),VLOOKUP(Inschrijf_Fossiele_Energie_Totaal[[#This Row],[Product]]&amp;", "&amp;Inschrijf_Fossiele_Energie_Totaal[[#Headers],[A2]],Database_Productkaarten[#All],51,FALSE)*Optimalisatie!J32),Baseline_Backlog!E450),0))</f>
        <v>0</v>
      </c>
      <c r="F450" s="91">
        <f>(IF(Optimalisatie!C32="Nieuwe Situatie",_xlfn.IFNA(IF(Optimalisatie!E32="Categorie_1_LCA_Producten",VLOOKUP(Inschrijf_Fossiele_Energie_Totaal[[#This Row],[Product]],Categorie_1_Producten[#All],28,FALSE)*(Optimalisatie!J32),VLOOKUP(Inschrijf_Fossiele_Energie_Totaal[[#This Row],[Product]]&amp;", "&amp;Inschrijf_Fossiele_Energie_Totaal[[#Headers],[A3]],Database_Productkaarten[#All],51,FALSE)*Optimalisatie!J32),Baseline_Backlog!F450),0))</f>
        <v>0</v>
      </c>
      <c r="G450" s="91">
        <f>(IF(Optimalisatie!C32="Nieuwe Situatie",_xlfn.IFNA(IF(Optimalisatie!E32="Categorie_1_LCA_Producten",VLOOKUP(Inschrijf_Fossiele_Energie_Totaal[[#This Row],[Product]],Categorie_1_Producten[#All],35,FALSE)*(Optimalisatie!J32),VLOOKUP(Inschrijf_Fossiele_Energie_Totaal[[#This Row],[Product]]&amp;", "&amp;Inschrijf_Fossiele_Energie_Totaal[[#Headers],[A1-A3]],Database_Productkaarten[#All],51,FALSE)*Optimalisatie!J32),Baseline_Backlog!G450),0))</f>
        <v>612090.5</v>
      </c>
      <c r="H450" s="91">
        <f>(IF(Optimalisatie!C32="Nieuwe Situatie",_xlfn.IFNA(VLOOKUP(Optimalisatie!V32,Database_Transport[#All],45,FALSE)*(Optimalisatie!R32*Optimalisatie!U32),Baseline_Backlog!H450),0))</f>
        <v>54092.573599399999</v>
      </c>
      <c r="I450" s="91">
        <f>IF(Optimalisatie!C32="Nieuwe situatie",IF(_xlfn.IFNA((VLOOKUP(Optimalisatie!W32,Database_Asfalt_Aanlegset[#All],45,FALSE)*Optimalisatie!J32),0)+_xlfn.IFNA(VLOOKUP(Optimalisatie!X32,Database_Brandstoffen[#All],45,FALSE)*((Optimalisatie!J32/Optimalisatie!Z32)*Optimalisatie!Y32),0)&gt;0,_xlfn.IFNA((VLOOKUP(Optimalisatie!W32,Database_Asfalt_Aanlegset[#All],45,FALSE)*Optimalisatie!J32),0)+_xlfn.IFNA(VLOOKUP(Optimalisatie!X32,Database_Brandstoffen[#All],45,FALSE)*((Optimalisatie!J32/Optimalisatie!Z32)*Optimalisatie!Y32),0),(_xlfn.IFNA(VLOOKUP(Inschrijf_Fossiele_Energie_Totaal[[#This Row],[Product]]&amp;", "&amp;Inschrijf_MKI_Totaal[[#Headers],[A5]],Database_Productkaarten[#All],51,FALSE),0)*Optimalisatie!J32)),0)</f>
        <v>541585.65550566756</v>
      </c>
      <c r="J450" s="91">
        <f>(IF(Optimalisatie!C32="Nieuwe Situatie",_xlfn.IFNA(IF(Optimalisatie!E32="Categorie_1_LCA_Producten",VLOOKUP(Inschrijf_Fossiele_Energie_Totaal[[#This Row],[Product]],Categorie_1_Producten[#All],36,FALSE)*(Optimalisatie!R32),VLOOKUP(Inschrijf_Fossiele_Energie_Totaal[[#This Row],[Product]]&amp;", "&amp;Inschrijf_Fossiele_Energie_Totaal[[#Headers],[B1]],Database_Productkaarten[#All],51,FALSE)*Optimalisatie!J32),Baseline_Backlog!J450),0))</f>
        <v>0</v>
      </c>
      <c r="K450" s="91">
        <f>(IF(Optimalisatie!C32="Nieuwe Situatie",_xlfn.IFNA(SUM(Inschrijf_Fossiele_Energie_Totaal[[#This Row],[A1]:[B1]],Inschrijf_Fossiele_Energie_Totaal[[#This Row],[C1]:[D2]])*Optimalisatie!T32,0),0))</f>
        <v>0</v>
      </c>
      <c r="L450" s="91">
        <f>IF(Optimalisatie!C32="Bestaande situatie",IF(_xlfn.IFNA((VLOOKUP(Optimalisatie!AA32,Database_Asfalt_Verwijderset[#All],45,FALSE)*Optimalisatie!J32),0)+_xlfn.IFNA(VLOOKUP(Optimalisatie!AB32,Database_Brandstoffen[#All],45,FALSE)*((Optimalisatie!J32/Optimalisatie!AD32)*Optimalisatie!AC32),0)&gt;0,_xlfn.IFNA((VLOOKUP(Optimalisatie!AA32,Database_Asfalt_Verwijderset[#All],45,FALSE)*Optimalisatie!J32),0)+_xlfn.IFNA(VLOOKUP(Optimalisatie!AB32,Database_Brandstoffen[#All],45,FALSE)*((Optimalisatie!J32/Optimalisatie!AD32)*Optimalisatie!AC32),0),(_xlfn.IFNA(VLOOKUP(Inschrijf_Fossiele_Energie_Totaal[[#This Row],[Product]]&amp;", "&amp;Inschrijf_MKI_Totaal[[#Headers],[C1]],Database_Productkaarten[#All],51,FALSE),0)*Optimalisatie!J32)),0)</f>
        <v>0</v>
      </c>
      <c r="M450" s="91">
        <f>(IF(Optimalisatie!C32="Bestaande Situatie",_xlfn.IFNA(VLOOKUP(Optimalisatie!AF32,Database_Transport[#All],45,FALSE)*(Optimalisatie!R32*Optimalisatie!AE32),Baseline_Backlog!M450),0))</f>
        <v>0</v>
      </c>
      <c r="N450" s="91">
        <f>(IF(Optimalisatie!C32="Bestaande Situatie",_xlfn.IFNA(VLOOKUP(Optimalisatie!AG32,Database_Asfalt_Verwerkingsset[#All],45,FALSE)*(Optimalisatie!J32/VLOOKUP(Optimalisatie!AG32,Database_Asfalt_Verwerkingsset[#All],45,FALSE)),Baseline_Backlog!N450),0))</f>
        <v>0</v>
      </c>
      <c r="O450" s="91">
        <f>(IF(Optimalisatie!C32="Bestaande Situatie",_xlfn.IFNA(VLOOKUP(Inschrijf_Fossiele_Energie_Totaal[[#This Row],[Product]]&amp;", "&amp;Inschrijf_MKI_Totaal[[#Headers],[C4]],Database_Productkaarten[#All],51,FALSE)*Optimalisatie!J32,Baseline_Backlog!O450),0))</f>
        <v>0</v>
      </c>
      <c r="P450" s="91">
        <f>(IF(Optimalisatie!C32="Bestaande Situatie",_xlfn.IFNA(IF(Optimalisatie!E32="Categorie_1_LCA_Producten",VLOOKUP(Inschrijf_Fossiele_Energie_Totaal[[#This Row],[Product]],Categorie_1_Producten[#All],30,FALSE)*(Optimalisatie!J32),VLOOKUP(Inschrijf_Fossiele_Energie_Totaal[[#This Row],[Product]]&amp;", "&amp;Inschrijf_Fossiele_Energie_Totaal[[#Headers],[D1]],Database_Productkaarten[#All],51,FALSE)*Optimalisatie!J32),Baseline_Backlog!P450),0))</f>
        <v>0</v>
      </c>
      <c r="Q450" s="91">
        <f>(IF(Optimalisatie!C32="Bestaande Situatie",_xlfn.IFNA(IF(Optimalisatie!E32="Categorie_1_LCA_Producten",VLOOKUP(Inschrijf_Fossiele_Energie_Totaal[[#This Row],[Product]],Categorie_1_Producten[#All],31,FALSE)*(Optimalisatie!J32),VLOOKUP(Inschrijf_Fossiele_Energie_Totaal[[#This Row],[Product]]&amp;", "&amp;Inschrijf_Fossiele_Energie_Totaal[[#Headers],[D2]],Database_Productkaarten[#All],51,FALSE)*Optimalisatie!J32),Baseline_Backlog!Q450),0))</f>
        <v>0</v>
      </c>
      <c r="R450" s="91">
        <f>(IF(Optimalisatie!C32="Bestaande Situatie",_xlfn.IFNA(IF(Optimalisatie!E32="Categorie_1_LCA_Producten",VLOOKUP(Inschrijf_Fossiele_Energie_Totaal[[#This Row],[Product]],Categorie_1_Producten[#All],37,FALSE)*(Optimalisatie!J32),VLOOKUP(Inschrijf_Fossiele_Energie_Totaal[[#This Row],[Product]]&amp;", "&amp;Inschrijf_Fossiele_Energie_Totaal[[#Headers],[D]],Database_Productkaarten[#All],51,FALSE)*Optimalisatie!J32),Baseline_Backlog!S450),0))</f>
        <v>0</v>
      </c>
      <c r="S450" s="91">
        <f>SUM(Inschrijf_Fossiele_Energie_Totaal[[#This Row],[A1-A3]:[C4]])+Inschrijf_Fossiele_Energie_Totaal[[#This Row],[D]]</f>
        <v>1207768.7291050674</v>
      </c>
    </row>
    <row r="451" spans="2:19">
      <c r="B451" s="208" t="str">
        <f>Optimalisatie!B33</f>
        <v>440020 - Aanbrengen straatbakstenen DF, Geel (rijweg/ plein)</v>
      </c>
      <c r="C451" s="1" t="str">
        <f>Optimalisatie!F33</f>
        <v>Baksteen</v>
      </c>
      <c r="D451" s="91">
        <f>(IF(Optimalisatie!C33="Nieuwe Situatie",_xlfn.IFNA(IF(Optimalisatie!E33="Categorie_1_LCA_Producten",VLOOKUP(Inschrijf_Fossiele_Energie_Totaal[[#This Row],[Product]],Categorie_1_Producten[#All],26,FALSE)*(Optimalisatie!J33),VLOOKUP(Inschrijf_Fossiele_Energie_Totaal[[#This Row],[Product]]&amp;", "&amp;Inschrijf_Fossiele_Energie_Totaal[[#Headers],[A1]],Database_Productkaarten[#All],51,FALSE)*Optimalisatie!J33),Baseline_Backlog!D451),0))</f>
        <v>0</v>
      </c>
      <c r="E451" s="91">
        <f>(IF(Optimalisatie!C33="Nieuwe Situatie",_xlfn.IFNA(IF(Optimalisatie!E33="Categorie_1_LCA_Producten",VLOOKUP(Inschrijf_Fossiele_Energie_Totaal[[#This Row],[Product]],Categorie_1_Producten[#All],27,FALSE)*(Optimalisatie!J33),VLOOKUP(Inschrijf_Fossiele_Energie_Totaal[[#This Row],[Product]]&amp;", "&amp;Inschrijf_Fossiele_Energie_Totaal[[#Headers],[A2]],Database_Productkaarten[#All],51,FALSE)*Optimalisatie!J33),Baseline_Backlog!E451),0))</f>
        <v>0</v>
      </c>
      <c r="F451" s="91">
        <f>(IF(Optimalisatie!C33="Nieuwe Situatie",_xlfn.IFNA(IF(Optimalisatie!E33="Categorie_1_LCA_Producten",VLOOKUP(Inschrijf_Fossiele_Energie_Totaal[[#This Row],[Product]],Categorie_1_Producten[#All],28,FALSE)*(Optimalisatie!J33),VLOOKUP(Inschrijf_Fossiele_Energie_Totaal[[#This Row],[Product]]&amp;", "&amp;Inschrijf_Fossiele_Energie_Totaal[[#Headers],[A3]],Database_Productkaarten[#All],51,FALSE)*Optimalisatie!J33),Baseline_Backlog!F451),0))</f>
        <v>0</v>
      </c>
      <c r="G451" s="91">
        <f>(IF(Optimalisatie!C33="Nieuwe Situatie",_xlfn.IFNA(IF(Optimalisatie!E33="Categorie_1_LCA_Producten",VLOOKUP(Inschrijf_Fossiele_Energie_Totaal[[#This Row],[Product]],Categorie_1_Producten[#All],35,FALSE)*(Optimalisatie!J33),VLOOKUP(Inschrijf_Fossiele_Energie_Totaal[[#This Row],[Product]]&amp;", "&amp;Inschrijf_Fossiele_Energie_Totaal[[#Headers],[A1-A3]],Database_Productkaarten[#All],51,FALSE)*Optimalisatie!J33),Baseline_Backlog!G451),0))</f>
        <v>906167.5</v>
      </c>
      <c r="H451" s="91">
        <f>(IF(Optimalisatie!C33="Nieuwe Situatie",_xlfn.IFNA(VLOOKUP(Optimalisatie!V33,Database_Transport[#All],45,FALSE)*(Optimalisatie!R33*Optimalisatie!U33),Baseline_Backlog!H451),0))</f>
        <v>80081.184378999998</v>
      </c>
      <c r="I451" s="91">
        <f>IF(Optimalisatie!C33="Nieuwe situatie",IF(_xlfn.IFNA((VLOOKUP(Optimalisatie!W33,Database_Asfalt_Aanlegset[#All],45,FALSE)*Optimalisatie!J33),0)+_xlfn.IFNA(VLOOKUP(Optimalisatie!X33,Database_Brandstoffen[#All],45,FALSE)*((Optimalisatie!J33/Optimalisatie!Z33)*Optimalisatie!Y33),0)&gt;0,_xlfn.IFNA((VLOOKUP(Optimalisatie!W33,Database_Asfalt_Aanlegset[#All],45,FALSE)*Optimalisatie!J33),0)+_xlfn.IFNA(VLOOKUP(Optimalisatie!X33,Database_Brandstoffen[#All],45,FALSE)*((Optimalisatie!J33/Optimalisatie!Z33)*Optimalisatie!Y33),0),(_xlfn.IFNA(VLOOKUP(Inschrijf_Fossiele_Energie_Totaal[[#This Row],[Product]]&amp;", "&amp;Inschrijf_MKI_Totaal[[#Headers],[A5]],Database_Productkaarten[#All],51,FALSE),0)*Optimalisatie!J33)),0)</f>
        <v>801788.81960336247</v>
      </c>
      <c r="J451" s="91">
        <f>(IF(Optimalisatie!C33="Nieuwe Situatie",_xlfn.IFNA(IF(Optimalisatie!E33="Categorie_1_LCA_Producten",VLOOKUP(Inschrijf_Fossiele_Energie_Totaal[[#This Row],[Product]],Categorie_1_Producten[#All],36,FALSE)*(Optimalisatie!R33),VLOOKUP(Inschrijf_Fossiele_Energie_Totaal[[#This Row],[Product]]&amp;", "&amp;Inschrijf_Fossiele_Energie_Totaal[[#Headers],[B1]],Database_Productkaarten[#All],51,FALSE)*Optimalisatie!J33),Baseline_Backlog!J451),0))</f>
        <v>0</v>
      </c>
      <c r="K451" s="91">
        <f>(IF(Optimalisatie!C33="Nieuwe Situatie",_xlfn.IFNA(SUM(Inschrijf_Fossiele_Energie_Totaal[[#This Row],[A1]:[B1]],Inschrijf_Fossiele_Energie_Totaal[[#This Row],[C1]:[D2]])*Optimalisatie!T33,0),0))</f>
        <v>0</v>
      </c>
      <c r="L451" s="91">
        <f>IF(Optimalisatie!C33="Bestaande situatie",IF(_xlfn.IFNA((VLOOKUP(Optimalisatie!AA33,Database_Asfalt_Verwijderset[#All],45,FALSE)*Optimalisatie!J33),0)+_xlfn.IFNA(VLOOKUP(Optimalisatie!AB33,Database_Brandstoffen[#All],45,FALSE)*((Optimalisatie!J33/Optimalisatie!AD33)*Optimalisatie!AC33),0)&gt;0,_xlfn.IFNA((VLOOKUP(Optimalisatie!AA33,Database_Asfalt_Verwijderset[#All],45,FALSE)*Optimalisatie!J33),0)+_xlfn.IFNA(VLOOKUP(Optimalisatie!AB33,Database_Brandstoffen[#All],45,FALSE)*((Optimalisatie!J33/Optimalisatie!AD33)*Optimalisatie!AC33),0),(_xlfn.IFNA(VLOOKUP(Inschrijf_Fossiele_Energie_Totaal[[#This Row],[Product]]&amp;", "&amp;Inschrijf_MKI_Totaal[[#Headers],[C1]],Database_Productkaarten[#All],51,FALSE),0)*Optimalisatie!J33)),0)</f>
        <v>0</v>
      </c>
      <c r="M451" s="91">
        <f>(IF(Optimalisatie!C33="Bestaande Situatie",_xlfn.IFNA(VLOOKUP(Optimalisatie!AF33,Database_Transport[#All],45,FALSE)*(Optimalisatie!R33*Optimalisatie!AE33),Baseline_Backlog!M451),0))</f>
        <v>0</v>
      </c>
      <c r="N451" s="91">
        <f>(IF(Optimalisatie!C33="Bestaande Situatie",_xlfn.IFNA(VLOOKUP(Optimalisatie!AG33,Database_Asfalt_Verwerkingsset[#All],45,FALSE)*(Optimalisatie!J33/VLOOKUP(Optimalisatie!AG33,Database_Asfalt_Verwerkingsset[#All],45,FALSE)),Baseline_Backlog!N451),0))</f>
        <v>0</v>
      </c>
      <c r="O451" s="91">
        <f>(IF(Optimalisatie!C33="Bestaande Situatie",_xlfn.IFNA(VLOOKUP(Inschrijf_Fossiele_Energie_Totaal[[#This Row],[Product]]&amp;", "&amp;Inschrijf_MKI_Totaal[[#Headers],[C4]],Database_Productkaarten[#All],51,FALSE)*Optimalisatie!J33,Baseline_Backlog!O451),0))</f>
        <v>0</v>
      </c>
      <c r="P451" s="91">
        <f>(IF(Optimalisatie!C33="Bestaande Situatie",_xlfn.IFNA(IF(Optimalisatie!E33="Categorie_1_LCA_Producten",VLOOKUP(Inschrijf_Fossiele_Energie_Totaal[[#This Row],[Product]],Categorie_1_Producten[#All],30,FALSE)*(Optimalisatie!J33),VLOOKUP(Inschrijf_Fossiele_Energie_Totaal[[#This Row],[Product]]&amp;", "&amp;Inschrijf_Fossiele_Energie_Totaal[[#Headers],[D1]],Database_Productkaarten[#All],51,FALSE)*Optimalisatie!J33),Baseline_Backlog!P451),0))</f>
        <v>0</v>
      </c>
      <c r="Q451" s="91">
        <f>(IF(Optimalisatie!C33="Bestaande Situatie",_xlfn.IFNA(IF(Optimalisatie!E33="Categorie_1_LCA_Producten",VLOOKUP(Inschrijf_Fossiele_Energie_Totaal[[#This Row],[Product]],Categorie_1_Producten[#All],31,FALSE)*(Optimalisatie!J33),VLOOKUP(Inschrijf_Fossiele_Energie_Totaal[[#This Row],[Product]]&amp;", "&amp;Inschrijf_Fossiele_Energie_Totaal[[#Headers],[D2]],Database_Productkaarten[#All],51,FALSE)*Optimalisatie!J33),Baseline_Backlog!Q451),0))</f>
        <v>0</v>
      </c>
      <c r="R451" s="91">
        <f>(IF(Optimalisatie!C33="Bestaande Situatie",_xlfn.IFNA(IF(Optimalisatie!E33="Categorie_1_LCA_Producten",VLOOKUP(Inschrijf_Fossiele_Energie_Totaal[[#This Row],[Product]],Categorie_1_Producten[#All],37,FALSE)*(Optimalisatie!J33),VLOOKUP(Inschrijf_Fossiele_Energie_Totaal[[#This Row],[Product]]&amp;", "&amp;Inschrijf_Fossiele_Energie_Totaal[[#Headers],[D]],Database_Productkaarten[#All],51,FALSE)*Optimalisatie!J33),Baseline_Backlog!S451),0))</f>
        <v>0</v>
      </c>
      <c r="S451" s="91">
        <f>SUM(Inschrijf_Fossiele_Energie_Totaal[[#This Row],[A1-A3]:[C4]])+Inschrijf_Fossiele_Energie_Totaal[[#This Row],[D]]</f>
        <v>1788037.5039823623</v>
      </c>
    </row>
    <row r="452" spans="2:19">
      <c r="B452" s="208" t="str">
        <f>Optimalisatie!B34</f>
        <v>440030 - Aanbrengen straatbakstenen DF, Rood (parkeervakken)</v>
      </c>
      <c r="C452" s="1" t="str">
        <f>Optimalisatie!F34</f>
        <v>Baksteen</v>
      </c>
      <c r="D452" s="91">
        <f>(IF(Optimalisatie!C34="Nieuwe Situatie",_xlfn.IFNA(IF(Optimalisatie!E34="Categorie_1_LCA_Producten",VLOOKUP(Inschrijf_Fossiele_Energie_Totaal[[#This Row],[Product]],Categorie_1_Producten[#All],26,FALSE)*(Optimalisatie!J34),VLOOKUP(Inschrijf_Fossiele_Energie_Totaal[[#This Row],[Product]]&amp;", "&amp;Inschrijf_Fossiele_Energie_Totaal[[#Headers],[A1]],Database_Productkaarten[#All],51,FALSE)*Optimalisatie!J34),Baseline_Backlog!D452),0))</f>
        <v>0</v>
      </c>
      <c r="E452" s="91">
        <f>(IF(Optimalisatie!C34="Nieuwe Situatie",_xlfn.IFNA(IF(Optimalisatie!E34="Categorie_1_LCA_Producten",VLOOKUP(Inschrijf_Fossiele_Energie_Totaal[[#This Row],[Product]],Categorie_1_Producten[#All],27,FALSE)*(Optimalisatie!J34),VLOOKUP(Inschrijf_Fossiele_Energie_Totaal[[#This Row],[Product]]&amp;", "&amp;Inschrijf_Fossiele_Energie_Totaal[[#Headers],[A2]],Database_Productkaarten[#All],51,FALSE)*Optimalisatie!J34),Baseline_Backlog!E452),0))</f>
        <v>0</v>
      </c>
      <c r="F452" s="91">
        <f>(IF(Optimalisatie!C34="Nieuwe Situatie",_xlfn.IFNA(IF(Optimalisatie!E34="Categorie_1_LCA_Producten",VLOOKUP(Inschrijf_Fossiele_Energie_Totaal[[#This Row],[Product]],Categorie_1_Producten[#All],28,FALSE)*(Optimalisatie!J34),VLOOKUP(Inschrijf_Fossiele_Energie_Totaal[[#This Row],[Product]]&amp;", "&amp;Inschrijf_Fossiele_Energie_Totaal[[#Headers],[A3]],Database_Productkaarten[#All],51,FALSE)*Optimalisatie!J34),Baseline_Backlog!F452),0))</f>
        <v>0</v>
      </c>
      <c r="G452" s="91">
        <f>(IF(Optimalisatie!C34="Nieuwe Situatie",_xlfn.IFNA(IF(Optimalisatie!E34="Categorie_1_LCA_Producten",VLOOKUP(Inschrijf_Fossiele_Energie_Totaal[[#This Row],[Product]],Categorie_1_Producten[#All],35,FALSE)*(Optimalisatie!J34),VLOOKUP(Inschrijf_Fossiele_Energie_Totaal[[#This Row],[Product]]&amp;", "&amp;Inschrijf_Fossiele_Energie_Totaal[[#Headers],[A1-A3]],Database_Productkaarten[#All],51,FALSE)*Optimalisatie!J34),Baseline_Backlog!G452),0))</f>
        <v>61062.5</v>
      </c>
      <c r="H452" s="91">
        <f>(IF(Optimalisatie!C34="Nieuwe Situatie",_xlfn.IFNA(VLOOKUP(Optimalisatie!V34,Database_Transport[#All],45,FALSE)*(Optimalisatie!R34*Optimalisatie!U34),Baseline_Backlog!H452),0))</f>
        <v>5396.3062250000003</v>
      </c>
      <c r="I452" s="91">
        <f>IF(Optimalisatie!C34="Nieuwe situatie",IF(_xlfn.IFNA((VLOOKUP(Optimalisatie!W34,Database_Asfalt_Aanlegset[#All],45,FALSE)*Optimalisatie!J34),0)+_xlfn.IFNA(VLOOKUP(Optimalisatie!X34,Database_Brandstoffen[#All],45,FALSE)*((Optimalisatie!J34/Optimalisatie!Z34)*Optimalisatie!Y34),0)&gt;0,_xlfn.IFNA((VLOOKUP(Optimalisatie!W34,Database_Asfalt_Aanlegset[#All],45,FALSE)*Optimalisatie!J34),0)+_xlfn.IFNA(VLOOKUP(Optimalisatie!X34,Database_Brandstoffen[#All],45,FALSE)*((Optimalisatie!J34/Optimalisatie!Z34)*Optimalisatie!Y34),0),(_xlfn.IFNA(VLOOKUP(Inschrijf_Fossiele_Energie_Totaal[[#This Row],[Product]]&amp;", "&amp;Inschrijf_MKI_Totaal[[#Headers],[A5]],Database_Productkaarten[#All],51,FALSE),0)*Optimalisatie!J34)),0)</f>
        <v>54028.896199687493</v>
      </c>
      <c r="J452" s="91">
        <f>(IF(Optimalisatie!C34="Nieuwe Situatie",_xlfn.IFNA(IF(Optimalisatie!E34="Categorie_1_LCA_Producten",VLOOKUP(Inschrijf_Fossiele_Energie_Totaal[[#This Row],[Product]],Categorie_1_Producten[#All],36,FALSE)*(Optimalisatie!R34),VLOOKUP(Inschrijf_Fossiele_Energie_Totaal[[#This Row],[Product]]&amp;", "&amp;Inschrijf_Fossiele_Energie_Totaal[[#Headers],[B1]],Database_Productkaarten[#All],51,FALSE)*Optimalisatie!J34),Baseline_Backlog!J452),0))</f>
        <v>0</v>
      </c>
      <c r="K452" s="91">
        <f>(IF(Optimalisatie!C34="Nieuwe Situatie",_xlfn.IFNA(SUM(Inschrijf_Fossiele_Energie_Totaal[[#This Row],[A1]:[B1]],Inschrijf_Fossiele_Energie_Totaal[[#This Row],[C1]:[D2]])*Optimalisatie!T34,0),0))</f>
        <v>0</v>
      </c>
      <c r="L452" s="91">
        <f>IF(Optimalisatie!C34="Bestaande situatie",IF(_xlfn.IFNA((VLOOKUP(Optimalisatie!AA34,Database_Asfalt_Verwijderset[#All],45,FALSE)*Optimalisatie!J34),0)+_xlfn.IFNA(VLOOKUP(Optimalisatie!AB34,Database_Brandstoffen[#All],45,FALSE)*((Optimalisatie!J34/Optimalisatie!AD34)*Optimalisatie!AC34),0)&gt;0,_xlfn.IFNA((VLOOKUP(Optimalisatie!AA34,Database_Asfalt_Verwijderset[#All],45,FALSE)*Optimalisatie!J34),0)+_xlfn.IFNA(VLOOKUP(Optimalisatie!AB34,Database_Brandstoffen[#All],45,FALSE)*((Optimalisatie!J34/Optimalisatie!AD34)*Optimalisatie!AC34),0),(_xlfn.IFNA(VLOOKUP(Inschrijf_Fossiele_Energie_Totaal[[#This Row],[Product]]&amp;", "&amp;Inschrijf_MKI_Totaal[[#Headers],[C1]],Database_Productkaarten[#All],51,FALSE),0)*Optimalisatie!J34)),0)</f>
        <v>0</v>
      </c>
      <c r="M452" s="91">
        <f>(IF(Optimalisatie!C34="Bestaande Situatie",_xlfn.IFNA(VLOOKUP(Optimalisatie!AF34,Database_Transport[#All],45,FALSE)*(Optimalisatie!R34*Optimalisatie!AE34),Baseline_Backlog!M452),0))</f>
        <v>0</v>
      </c>
      <c r="N452" s="91">
        <f>(IF(Optimalisatie!C34="Bestaande Situatie",_xlfn.IFNA(VLOOKUP(Optimalisatie!AG34,Database_Asfalt_Verwerkingsset[#All],45,FALSE)*(Optimalisatie!J34/VLOOKUP(Optimalisatie!AG34,Database_Asfalt_Verwerkingsset[#All],45,FALSE)),Baseline_Backlog!N452),0))</f>
        <v>0</v>
      </c>
      <c r="O452" s="91">
        <f>(IF(Optimalisatie!C34="Bestaande Situatie",_xlfn.IFNA(VLOOKUP(Inschrijf_Fossiele_Energie_Totaal[[#This Row],[Product]]&amp;", "&amp;Inschrijf_MKI_Totaal[[#Headers],[C4]],Database_Productkaarten[#All],51,FALSE)*Optimalisatie!J34,Baseline_Backlog!O452),0))</f>
        <v>0</v>
      </c>
      <c r="P452" s="91">
        <f>(IF(Optimalisatie!C34="Bestaande Situatie",_xlfn.IFNA(IF(Optimalisatie!E34="Categorie_1_LCA_Producten",VLOOKUP(Inschrijf_Fossiele_Energie_Totaal[[#This Row],[Product]],Categorie_1_Producten[#All],30,FALSE)*(Optimalisatie!J34),VLOOKUP(Inschrijf_Fossiele_Energie_Totaal[[#This Row],[Product]]&amp;", "&amp;Inschrijf_Fossiele_Energie_Totaal[[#Headers],[D1]],Database_Productkaarten[#All],51,FALSE)*Optimalisatie!J34),Baseline_Backlog!P452),0))</f>
        <v>0</v>
      </c>
      <c r="Q452" s="91">
        <f>(IF(Optimalisatie!C34="Bestaande Situatie",_xlfn.IFNA(IF(Optimalisatie!E34="Categorie_1_LCA_Producten",VLOOKUP(Inschrijf_Fossiele_Energie_Totaal[[#This Row],[Product]],Categorie_1_Producten[#All],31,FALSE)*(Optimalisatie!J34),VLOOKUP(Inschrijf_Fossiele_Energie_Totaal[[#This Row],[Product]]&amp;", "&amp;Inschrijf_Fossiele_Energie_Totaal[[#Headers],[D2]],Database_Productkaarten[#All],51,FALSE)*Optimalisatie!J34),Baseline_Backlog!Q452),0))</f>
        <v>0</v>
      </c>
      <c r="R452" s="91">
        <f>(IF(Optimalisatie!C34="Bestaande Situatie",_xlfn.IFNA(IF(Optimalisatie!E34="Categorie_1_LCA_Producten",VLOOKUP(Inschrijf_Fossiele_Energie_Totaal[[#This Row],[Product]],Categorie_1_Producten[#All],37,FALSE)*(Optimalisatie!J34),VLOOKUP(Inschrijf_Fossiele_Energie_Totaal[[#This Row],[Product]]&amp;", "&amp;Inschrijf_Fossiele_Energie_Totaal[[#Headers],[D]],Database_Productkaarten[#All],51,FALSE)*Optimalisatie!J34),Baseline_Backlog!S452),0))</f>
        <v>0</v>
      </c>
      <c r="S452" s="91">
        <f>SUM(Inschrijf_Fossiele_Energie_Totaal[[#This Row],[A1-A3]:[C4]])+Inschrijf_Fossiele_Energie_Totaal[[#This Row],[D]]</f>
        <v>120487.70242468751</v>
      </c>
    </row>
    <row r="453" spans="2:19">
      <c r="B453" s="208" t="str">
        <f>Optimalisatie!B35</f>
        <v>440040 - Aanbrengen straatbakstenen DF, Geel (parkeervakken)</v>
      </c>
      <c r="C453" s="1" t="str">
        <f>Optimalisatie!F35</f>
        <v>Baksteen</v>
      </c>
      <c r="D453" s="91">
        <f>(IF(Optimalisatie!C35="Nieuwe Situatie",_xlfn.IFNA(IF(Optimalisatie!E35="Categorie_1_LCA_Producten",VLOOKUP(Inschrijf_Fossiele_Energie_Totaal[[#This Row],[Product]],Categorie_1_Producten[#All],26,FALSE)*(Optimalisatie!J35),VLOOKUP(Inschrijf_Fossiele_Energie_Totaal[[#This Row],[Product]]&amp;", "&amp;Inschrijf_Fossiele_Energie_Totaal[[#Headers],[A1]],Database_Productkaarten[#All],51,FALSE)*Optimalisatie!J35),Baseline_Backlog!D453),0))</f>
        <v>0</v>
      </c>
      <c r="E453" s="91">
        <f>(IF(Optimalisatie!C35="Nieuwe Situatie",_xlfn.IFNA(IF(Optimalisatie!E35="Categorie_1_LCA_Producten",VLOOKUP(Inschrijf_Fossiele_Energie_Totaal[[#This Row],[Product]],Categorie_1_Producten[#All],27,FALSE)*(Optimalisatie!J35),VLOOKUP(Inschrijf_Fossiele_Energie_Totaal[[#This Row],[Product]]&amp;", "&amp;Inschrijf_Fossiele_Energie_Totaal[[#Headers],[A2]],Database_Productkaarten[#All],51,FALSE)*Optimalisatie!J35),Baseline_Backlog!E453),0))</f>
        <v>0</v>
      </c>
      <c r="F453" s="91">
        <f>(IF(Optimalisatie!C35="Nieuwe Situatie",_xlfn.IFNA(IF(Optimalisatie!E35="Categorie_1_LCA_Producten",VLOOKUP(Inschrijf_Fossiele_Energie_Totaal[[#This Row],[Product]],Categorie_1_Producten[#All],28,FALSE)*(Optimalisatie!J35),VLOOKUP(Inschrijf_Fossiele_Energie_Totaal[[#This Row],[Product]]&amp;", "&amp;Inschrijf_Fossiele_Energie_Totaal[[#Headers],[A3]],Database_Productkaarten[#All],51,FALSE)*Optimalisatie!J35),Baseline_Backlog!F453),0))</f>
        <v>0</v>
      </c>
      <c r="G453" s="91">
        <f>(IF(Optimalisatie!C35="Nieuwe Situatie",_xlfn.IFNA(IF(Optimalisatie!E35="Categorie_1_LCA_Producten",VLOOKUP(Inschrijf_Fossiele_Energie_Totaal[[#This Row],[Product]],Categorie_1_Producten[#All],35,FALSE)*(Optimalisatie!J35),VLOOKUP(Inschrijf_Fossiele_Energie_Totaal[[#This Row],[Product]]&amp;", "&amp;Inschrijf_Fossiele_Energie_Totaal[[#Headers],[A1-A3]],Database_Productkaarten[#All],51,FALSE)*Optimalisatie!J35),Baseline_Backlog!G453),0))</f>
        <v>69367</v>
      </c>
      <c r="H453" s="91">
        <f>(IF(Optimalisatie!C35="Nieuwe Situatie",_xlfn.IFNA(VLOOKUP(Optimalisatie!V35,Database_Transport[#All],45,FALSE)*(Optimalisatie!R35*Optimalisatie!U35),Baseline_Backlog!H453),0))</f>
        <v>6130.2038715999997</v>
      </c>
      <c r="I453" s="91">
        <f>IF(Optimalisatie!C35="Nieuwe situatie",IF(_xlfn.IFNA((VLOOKUP(Optimalisatie!W35,Database_Asfalt_Aanlegset[#All],45,FALSE)*Optimalisatie!J35),0)+_xlfn.IFNA(VLOOKUP(Optimalisatie!X35,Database_Brandstoffen[#All],45,FALSE)*((Optimalisatie!J35/Optimalisatie!Z35)*Optimalisatie!Y35),0)&gt;0,_xlfn.IFNA((VLOOKUP(Optimalisatie!W35,Database_Asfalt_Aanlegset[#All],45,FALSE)*Optimalisatie!J35),0)+_xlfn.IFNA(VLOOKUP(Optimalisatie!X35,Database_Brandstoffen[#All],45,FALSE)*((Optimalisatie!J35/Optimalisatie!Z35)*Optimalisatie!Y35),0),(_xlfn.IFNA(VLOOKUP(Inschrijf_Fossiele_Energie_Totaal[[#This Row],[Product]]&amp;", "&amp;Inschrijf_MKI_Totaal[[#Headers],[A5]],Database_Productkaarten[#All],51,FALSE),0)*Optimalisatie!J35)),0)</f>
        <v>61376.826082844993</v>
      </c>
      <c r="J453" s="91">
        <f>(IF(Optimalisatie!C35="Nieuwe Situatie",_xlfn.IFNA(IF(Optimalisatie!E35="Categorie_1_LCA_Producten",VLOOKUP(Inschrijf_Fossiele_Energie_Totaal[[#This Row],[Product]],Categorie_1_Producten[#All],36,FALSE)*(Optimalisatie!R35),VLOOKUP(Inschrijf_Fossiele_Energie_Totaal[[#This Row],[Product]]&amp;", "&amp;Inschrijf_Fossiele_Energie_Totaal[[#Headers],[B1]],Database_Productkaarten[#All],51,FALSE)*Optimalisatie!J35),Baseline_Backlog!J453),0))</f>
        <v>0</v>
      </c>
      <c r="K453" s="91">
        <f>(IF(Optimalisatie!C35="Nieuwe Situatie",_xlfn.IFNA(SUM(Inschrijf_Fossiele_Energie_Totaal[[#This Row],[A1]:[B1]],Inschrijf_Fossiele_Energie_Totaal[[#This Row],[C1]:[D2]])*Optimalisatie!T35,0),0))</f>
        <v>0</v>
      </c>
      <c r="L453" s="91">
        <f>IF(Optimalisatie!C35="Bestaande situatie",IF(_xlfn.IFNA((VLOOKUP(Optimalisatie!AA35,Database_Asfalt_Verwijderset[#All],45,FALSE)*Optimalisatie!J35),0)+_xlfn.IFNA(VLOOKUP(Optimalisatie!AB35,Database_Brandstoffen[#All],45,FALSE)*((Optimalisatie!J35/Optimalisatie!AD35)*Optimalisatie!AC35),0)&gt;0,_xlfn.IFNA((VLOOKUP(Optimalisatie!AA35,Database_Asfalt_Verwijderset[#All],45,FALSE)*Optimalisatie!J35),0)+_xlfn.IFNA(VLOOKUP(Optimalisatie!AB35,Database_Brandstoffen[#All],45,FALSE)*((Optimalisatie!J35/Optimalisatie!AD35)*Optimalisatie!AC35),0),(_xlfn.IFNA(VLOOKUP(Inschrijf_Fossiele_Energie_Totaal[[#This Row],[Product]]&amp;", "&amp;Inschrijf_MKI_Totaal[[#Headers],[C1]],Database_Productkaarten[#All],51,FALSE),0)*Optimalisatie!J35)),0)</f>
        <v>0</v>
      </c>
      <c r="M453" s="91">
        <f>(IF(Optimalisatie!C35="Bestaande Situatie",_xlfn.IFNA(VLOOKUP(Optimalisatie!AF35,Database_Transport[#All],45,FALSE)*(Optimalisatie!R35*Optimalisatie!AE35),Baseline_Backlog!M453),0))</f>
        <v>0</v>
      </c>
      <c r="N453" s="91">
        <f>(IF(Optimalisatie!C35="Bestaande Situatie",_xlfn.IFNA(VLOOKUP(Optimalisatie!AG35,Database_Asfalt_Verwerkingsset[#All],45,FALSE)*(Optimalisatie!J35/VLOOKUP(Optimalisatie!AG35,Database_Asfalt_Verwerkingsset[#All],45,FALSE)),Baseline_Backlog!N453),0))</f>
        <v>0</v>
      </c>
      <c r="O453" s="91">
        <f>(IF(Optimalisatie!C35="Bestaande Situatie",_xlfn.IFNA(VLOOKUP(Inschrijf_Fossiele_Energie_Totaal[[#This Row],[Product]]&amp;", "&amp;Inschrijf_MKI_Totaal[[#Headers],[C4]],Database_Productkaarten[#All],51,FALSE)*Optimalisatie!J35,Baseline_Backlog!O453),0))</f>
        <v>0</v>
      </c>
      <c r="P453" s="91">
        <f>(IF(Optimalisatie!C35="Bestaande Situatie",_xlfn.IFNA(IF(Optimalisatie!E35="Categorie_1_LCA_Producten",VLOOKUP(Inschrijf_Fossiele_Energie_Totaal[[#This Row],[Product]],Categorie_1_Producten[#All],30,FALSE)*(Optimalisatie!J35),VLOOKUP(Inschrijf_Fossiele_Energie_Totaal[[#This Row],[Product]]&amp;", "&amp;Inschrijf_Fossiele_Energie_Totaal[[#Headers],[D1]],Database_Productkaarten[#All],51,FALSE)*Optimalisatie!J35),Baseline_Backlog!P453),0))</f>
        <v>0</v>
      </c>
      <c r="Q453" s="91">
        <f>(IF(Optimalisatie!C35="Bestaande Situatie",_xlfn.IFNA(IF(Optimalisatie!E35="Categorie_1_LCA_Producten",VLOOKUP(Inschrijf_Fossiele_Energie_Totaal[[#This Row],[Product]],Categorie_1_Producten[#All],31,FALSE)*(Optimalisatie!J35),VLOOKUP(Inschrijf_Fossiele_Energie_Totaal[[#This Row],[Product]]&amp;", "&amp;Inschrijf_Fossiele_Energie_Totaal[[#Headers],[D2]],Database_Productkaarten[#All],51,FALSE)*Optimalisatie!J35),Baseline_Backlog!Q453),0))</f>
        <v>0</v>
      </c>
      <c r="R453" s="91">
        <f>(IF(Optimalisatie!C35="Bestaande Situatie",_xlfn.IFNA(IF(Optimalisatie!E35="Categorie_1_LCA_Producten",VLOOKUP(Inschrijf_Fossiele_Energie_Totaal[[#This Row],[Product]],Categorie_1_Producten[#All],37,FALSE)*(Optimalisatie!J35),VLOOKUP(Inschrijf_Fossiele_Energie_Totaal[[#This Row],[Product]]&amp;", "&amp;Inschrijf_Fossiele_Energie_Totaal[[#Headers],[D]],Database_Productkaarten[#All],51,FALSE)*Optimalisatie!J35),Baseline_Backlog!S453),0))</f>
        <v>0</v>
      </c>
      <c r="S453" s="91">
        <f>SUM(Inschrijf_Fossiele_Energie_Totaal[[#This Row],[A1-A3]:[C4]])+Inschrijf_Fossiele_Energie_Totaal[[#This Row],[D]]</f>
        <v>136874.029954445</v>
      </c>
    </row>
    <row r="454" spans="2:19">
      <c r="B454" s="208" t="str">
        <f>Optimalisatie!B36</f>
        <v>440050 - Leveren en aanbrengen open (grasbeton) verharding (parkeerplaats)</v>
      </c>
      <c r="C454" s="1" t="str">
        <f>Optimalisatie!F36</f>
        <v>Grasbetontegel CEM I 120 mm</v>
      </c>
      <c r="D454" s="91">
        <f>(IF(Optimalisatie!C36="Nieuwe Situatie",_xlfn.IFNA(IF(Optimalisatie!E36="Categorie_1_LCA_Producten",VLOOKUP(Inschrijf_Fossiele_Energie_Totaal[[#This Row],[Product]],Categorie_1_Producten[#All],26,FALSE)*(Optimalisatie!J36),VLOOKUP(Inschrijf_Fossiele_Energie_Totaal[[#This Row],[Product]]&amp;", "&amp;Inschrijf_Fossiele_Energie_Totaal[[#Headers],[A1]],Database_Productkaarten[#All],51,FALSE)*Optimalisatie!J36),Baseline_Backlog!D454),0))</f>
        <v>143000</v>
      </c>
      <c r="E454" s="91">
        <f>(IF(Optimalisatie!C36="Nieuwe Situatie",_xlfn.IFNA(IF(Optimalisatie!E36="Categorie_1_LCA_Producten",VLOOKUP(Inschrijf_Fossiele_Energie_Totaal[[#This Row],[Product]],Categorie_1_Producten[#All],27,FALSE)*(Optimalisatie!J36),VLOOKUP(Inschrijf_Fossiele_Energie_Totaal[[#This Row],[Product]]&amp;", "&amp;Inschrijf_Fossiele_Energie_Totaal[[#Headers],[A2]],Database_Productkaarten[#All],51,FALSE)*Optimalisatie!J36),Baseline_Backlog!E454),0))</f>
        <v>0</v>
      </c>
      <c r="F454" s="91">
        <f>(IF(Optimalisatie!C36="Nieuwe Situatie",_xlfn.IFNA(IF(Optimalisatie!E36="Categorie_1_LCA_Producten",VLOOKUP(Inschrijf_Fossiele_Energie_Totaal[[#This Row],[Product]],Categorie_1_Producten[#All],28,FALSE)*(Optimalisatie!J36),VLOOKUP(Inschrijf_Fossiele_Energie_Totaal[[#This Row],[Product]]&amp;", "&amp;Inschrijf_Fossiele_Energie_Totaal[[#Headers],[A3]],Database_Productkaarten[#All],51,FALSE)*Optimalisatie!J36),Baseline_Backlog!F454),0))</f>
        <v>0</v>
      </c>
      <c r="G454" s="91">
        <f>(IF(Optimalisatie!C36="Nieuwe Situatie",_xlfn.IFNA(IF(Optimalisatie!E36="Categorie_1_LCA_Producten",VLOOKUP(Inschrijf_Fossiele_Energie_Totaal[[#This Row],[Product]],Categorie_1_Producten[#All],35,FALSE)*(Optimalisatie!J36),VLOOKUP(Inschrijf_Fossiele_Energie_Totaal[[#This Row],[Product]]&amp;", "&amp;Inschrijf_Fossiele_Energie_Totaal[[#Headers],[A1-A3]],Database_Productkaarten[#All],51,FALSE)*Optimalisatie!J36),Baseline_Backlog!G454),0))</f>
        <v>143000</v>
      </c>
      <c r="H454" s="91">
        <f>(IF(Optimalisatie!C36="Nieuwe Situatie",_xlfn.IFNA(VLOOKUP(Optimalisatie!V36,Database_Transport[#All],45,FALSE)*(Optimalisatie!R36*Optimalisatie!U36),Baseline_Backlog!H454),0))</f>
        <v>14479.257215205</v>
      </c>
      <c r="I454" s="91">
        <f>IF(Optimalisatie!C36="Nieuwe situatie",IF(_xlfn.IFNA((VLOOKUP(Optimalisatie!W36,Database_Asfalt_Aanlegset[#All],45,FALSE)*Optimalisatie!J36),0)+_xlfn.IFNA(VLOOKUP(Optimalisatie!X36,Database_Brandstoffen[#All],45,FALSE)*((Optimalisatie!J36/Optimalisatie!Z36)*Optimalisatie!Y36),0)&gt;0,_xlfn.IFNA((VLOOKUP(Optimalisatie!W36,Database_Asfalt_Aanlegset[#All],45,FALSE)*Optimalisatie!J36),0)+_xlfn.IFNA(VLOOKUP(Optimalisatie!X36,Database_Brandstoffen[#All],45,FALSE)*((Optimalisatie!J36/Optimalisatie!Z36)*Optimalisatie!Y36),0),(_xlfn.IFNA(VLOOKUP(Inschrijf_Fossiele_Energie_Totaal[[#This Row],[Product]]&amp;", "&amp;Inschrijf_MKI_Totaal[[#Headers],[A5]],Database_Productkaarten[#All],51,FALSE),0)*Optimalisatie!J36)),0)</f>
        <v>86446.233919499995</v>
      </c>
      <c r="J454" s="91">
        <f>(IF(Optimalisatie!C36="Nieuwe Situatie",_xlfn.IFNA(IF(Optimalisatie!E36="Categorie_1_LCA_Producten",VLOOKUP(Inschrijf_Fossiele_Energie_Totaal[[#This Row],[Product]],Categorie_1_Producten[#All],36,FALSE)*(Optimalisatie!R36),VLOOKUP(Inschrijf_Fossiele_Energie_Totaal[[#This Row],[Product]]&amp;", "&amp;Inschrijf_Fossiele_Energie_Totaal[[#Headers],[B1]],Database_Productkaarten[#All],51,FALSE)*Optimalisatie!J36),Baseline_Backlog!J454),0))</f>
        <v>0</v>
      </c>
      <c r="K454" s="91">
        <f>(IF(Optimalisatie!C36="Nieuwe Situatie",_xlfn.IFNA(SUM(Inschrijf_Fossiele_Energie_Totaal[[#This Row],[A1]:[B1]],Inschrijf_Fossiele_Energie_Totaal[[#This Row],[C1]:[D2]])*Optimalisatie!T36,0),0))</f>
        <v>0</v>
      </c>
      <c r="L454" s="91">
        <f>IF(Optimalisatie!C36="Bestaande situatie",IF(_xlfn.IFNA((VLOOKUP(Optimalisatie!AA36,Database_Asfalt_Verwijderset[#All],45,FALSE)*Optimalisatie!J36),0)+_xlfn.IFNA(VLOOKUP(Optimalisatie!AB36,Database_Brandstoffen[#All],45,FALSE)*((Optimalisatie!J36/Optimalisatie!AD36)*Optimalisatie!AC36),0)&gt;0,_xlfn.IFNA((VLOOKUP(Optimalisatie!AA36,Database_Asfalt_Verwijderset[#All],45,FALSE)*Optimalisatie!J36),0)+_xlfn.IFNA(VLOOKUP(Optimalisatie!AB36,Database_Brandstoffen[#All],45,FALSE)*((Optimalisatie!J36/Optimalisatie!AD36)*Optimalisatie!AC36),0),(_xlfn.IFNA(VLOOKUP(Inschrijf_Fossiele_Energie_Totaal[[#This Row],[Product]]&amp;", "&amp;Inschrijf_MKI_Totaal[[#Headers],[C1]],Database_Productkaarten[#All],51,FALSE),0)*Optimalisatie!J36)),0)</f>
        <v>0</v>
      </c>
      <c r="M454" s="91">
        <f>(IF(Optimalisatie!C36="Bestaande Situatie",_xlfn.IFNA(VLOOKUP(Optimalisatie!AF36,Database_Transport[#All],45,FALSE)*(Optimalisatie!R36*Optimalisatie!AE36),Baseline_Backlog!M454),0))</f>
        <v>0</v>
      </c>
      <c r="N454" s="91">
        <f>(IF(Optimalisatie!C36="Bestaande Situatie",_xlfn.IFNA(VLOOKUP(Optimalisatie!AG36,Database_Asfalt_Verwerkingsset[#All],45,FALSE)*(Optimalisatie!J36/VLOOKUP(Optimalisatie!AG36,Database_Asfalt_Verwerkingsset[#All],45,FALSE)),Baseline_Backlog!N454),0))</f>
        <v>0</v>
      </c>
      <c r="O454" s="91">
        <f>(IF(Optimalisatie!C36="Bestaande Situatie",_xlfn.IFNA(VLOOKUP(Inschrijf_Fossiele_Energie_Totaal[[#This Row],[Product]]&amp;", "&amp;Inschrijf_MKI_Totaal[[#Headers],[C4]],Database_Productkaarten[#All],51,FALSE)*Optimalisatie!J36,Baseline_Backlog!O454),0))</f>
        <v>0</v>
      </c>
      <c r="P454" s="91">
        <f>(IF(Optimalisatie!C36="Bestaande Situatie",_xlfn.IFNA(IF(Optimalisatie!E36="Categorie_1_LCA_Producten",VLOOKUP(Inschrijf_Fossiele_Energie_Totaal[[#This Row],[Product]],Categorie_1_Producten[#All],30,FALSE)*(Optimalisatie!J36),VLOOKUP(Inschrijf_Fossiele_Energie_Totaal[[#This Row],[Product]]&amp;", "&amp;Inschrijf_Fossiele_Energie_Totaal[[#Headers],[D1]],Database_Productkaarten[#All],51,FALSE)*Optimalisatie!J36),Baseline_Backlog!P454),0))</f>
        <v>0</v>
      </c>
      <c r="Q454" s="91">
        <f>(IF(Optimalisatie!C36="Bestaande Situatie",_xlfn.IFNA(IF(Optimalisatie!E36="Categorie_1_LCA_Producten",VLOOKUP(Inschrijf_Fossiele_Energie_Totaal[[#This Row],[Product]],Categorie_1_Producten[#All],31,FALSE)*(Optimalisatie!J36),VLOOKUP(Inschrijf_Fossiele_Energie_Totaal[[#This Row],[Product]]&amp;", "&amp;Inschrijf_Fossiele_Energie_Totaal[[#Headers],[D2]],Database_Productkaarten[#All],51,FALSE)*Optimalisatie!J36),Baseline_Backlog!Q454),0))</f>
        <v>0</v>
      </c>
      <c r="R454" s="91">
        <f>(IF(Optimalisatie!C36="Bestaande Situatie",_xlfn.IFNA(IF(Optimalisatie!E36="Categorie_1_LCA_Producten",VLOOKUP(Inschrijf_Fossiele_Energie_Totaal[[#This Row],[Product]],Categorie_1_Producten[#All],37,FALSE)*(Optimalisatie!J36),VLOOKUP(Inschrijf_Fossiele_Energie_Totaal[[#This Row],[Product]]&amp;", "&amp;Inschrijf_Fossiele_Energie_Totaal[[#Headers],[D]],Database_Productkaarten[#All],51,FALSE)*Optimalisatie!J36),Baseline_Backlog!S454),0))</f>
        <v>0</v>
      </c>
      <c r="S454" s="91">
        <f>SUM(Inschrijf_Fossiele_Energie_Totaal[[#This Row],[A1-A3]:[C4]])+Inschrijf_Fossiele_Energie_Totaal[[#This Row],[D]]</f>
        <v>243925.49113470499</v>
      </c>
    </row>
    <row r="455" spans="2:19">
      <c r="B455" s="208" t="str">
        <f>Optimalisatie!B37</f>
        <v>440060 - Aanbrengen straatbakstenen DF, Rood (trottoir)</v>
      </c>
      <c r="C455" s="1" t="str">
        <f>Optimalisatie!F37</f>
        <v>Baksteen</v>
      </c>
      <c r="D455" s="91">
        <f>(IF(Optimalisatie!C37="Nieuwe Situatie",_xlfn.IFNA(IF(Optimalisatie!E37="Categorie_1_LCA_Producten",VLOOKUP(Inschrijf_Fossiele_Energie_Totaal[[#This Row],[Product]],Categorie_1_Producten[#All],26,FALSE)*(Optimalisatie!J37),VLOOKUP(Inschrijf_Fossiele_Energie_Totaal[[#This Row],[Product]]&amp;", "&amp;Inschrijf_Fossiele_Energie_Totaal[[#Headers],[A1]],Database_Productkaarten[#All],51,FALSE)*Optimalisatie!J37),Baseline_Backlog!D455),0))</f>
        <v>0</v>
      </c>
      <c r="E455" s="91">
        <f>(IF(Optimalisatie!C37="Nieuwe Situatie",_xlfn.IFNA(IF(Optimalisatie!E37="Categorie_1_LCA_Producten",VLOOKUP(Inschrijf_Fossiele_Energie_Totaal[[#This Row],[Product]],Categorie_1_Producten[#All],27,FALSE)*(Optimalisatie!J37),VLOOKUP(Inschrijf_Fossiele_Energie_Totaal[[#This Row],[Product]]&amp;", "&amp;Inschrijf_Fossiele_Energie_Totaal[[#Headers],[A2]],Database_Productkaarten[#All],51,FALSE)*Optimalisatie!J37),Baseline_Backlog!E455),0))</f>
        <v>0</v>
      </c>
      <c r="F455" s="91">
        <f>(IF(Optimalisatie!C37="Nieuwe Situatie",_xlfn.IFNA(IF(Optimalisatie!E37="Categorie_1_LCA_Producten",VLOOKUP(Inschrijf_Fossiele_Energie_Totaal[[#This Row],[Product]],Categorie_1_Producten[#All],28,FALSE)*(Optimalisatie!J37),VLOOKUP(Inschrijf_Fossiele_Energie_Totaal[[#This Row],[Product]]&amp;", "&amp;Inschrijf_Fossiele_Energie_Totaal[[#Headers],[A3]],Database_Productkaarten[#All],51,FALSE)*Optimalisatie!J37),Baseline_Backlog!F455),0))</f>
        <v>0</v>
      </c>
      <c r="G455" s="91">
        <f>(IF(Optimalisatie!C37="Nieuwe Situatie",_xlfn.IFNA(IF(Optimalisatie!E37="Categorie_1_LCA_Producten",VLOOKUP(Inschrijf_Fossiele_Energie_Totaal[[#This Row],[Product]],Categorie_1_Producten[#All],35,FALSE)*(Optimalisatie!J37),VLOOKUP(Inschrijf_Fossiele_Energie_Totaal[[#This Row],[Product]]&amp;", "&amp;Inschrijf_Fossiele_Energie_Totaal[[#Headers],[A1-A3]],Database_Productkaarten[#All],51,FALSE)*Optimalisatie!J37),Baseline_Backlog!G455),0))</f>
        <v>428903</v>
      </c>
      <c r="H455" s="91">
        <f>(IF(Optimalisatie!C37="Nieuwe Situatie",_xlfn.IFNA(VLOOKUP(Optimalisatie!V37,Database_Transport[#All],45,FALSE)*(Optimalisatie!R37*Optimalisatie!U37),Baseline_Backlog!H455),0))</f>
        <v>37903.654924399998</v>
      </c>
      <c r="I455" s="91">
        <f>IF(Optimalisatie!C37="Nieuwe situatie",IF(_xlfn.IFNA((VLOOKUP(Optimalisatie!W37,Database_Asfalt_Aanlegset[#All],45,FALSE)*Optimalisatie!J37),0)+_xlfn.IFNA(VLOOKUP(Optimalisatie!X37,Database_Brandstoffen[#All],45,FALSE)*((Optimalisatie!J37/Optimalisatie!Z37)*Optimalisatie!Y37),0)&gt;0,_xlfn.IFNA((VLOOKUP(Optimalisatie!W37,Database_Asfalt_Aanlegset[#All],45,FALSE)*Optimalisatie!J37),0)+_xlfn.IFNA(VLOOKUP(Optimalisatie!X37,Database_Brandstoffen[#All],45,FALSE)*((Optimalisatie!J37/Optimalisatie!Z37)*Optimalisatie!Y37),0),(_xlfn.IFNA(VLOOKUP(Inschrijf_Fossiele_Energie_Totaal[[#This Row],[Product]]&amp;", "&amp;Inschrijf_MKI_Totaal[[#Headers],[A5]],Database_Productkaarten[#All],51,FALSE),0)*Optimalisatie!J37)),0)</f>
        <v>379498.96690660494</v>
      </c>
      <c r="J455" s="91">
        <f>(IF(Optimalisatie!C37="Nieuwe Situatie",_xlfn.IFNA(IF(Optimalisatie!E37="Categorie_1_LCA_Producten",VLOOKUP(Inschrijf_Fossiele_Energie_Totaal[[#This Row],[Product]],Categorie_1_Producten[#All],36,FALSE)*(Optimalisatie!R37),VLOOKUP(Inschrijf_Fossiele_Energie_Totaal[[#This Row],[Product]]&amp;", "&amp;Inschrijf_Fossiele_Energie_Totaal[[#Headers],[B1]],Database_Productkaarten[#All],51,FALSE)*Optimalisatie!J37),Baseline_Backlog!J455),0))</f>
        <v>0</v>
      </c>
      <c r="K455" s="91">
        <f>(IF(Optimalisatie!C37="Nieuwe Situatie",_xlfn.IFNA(SUM(Inschrijf_Fossiele_Energie_Totaal[[#This Row],[A1]:[B1]],Inschrijf_Fossiele_Energie_Totaal[[#This Row],[C1]:[D2]])*Optimalisatie!T37,0),0))</f>
        <v>0</v>
      </c>
      <c r="L455" s="91">
        <f>IF(Optimalisatie!C37="Bestaande situatie",IF(_xlfn.IFNA((VLOOKUP(Optimalisatie!AA37,Database_Asfalt_Verwijderset[#All],45,FALSE)*Optimalisatie!J37),0)+_xlfn.IFNA(VLOOKUP(Optimalisatie!AB37,Database_Brandstoffen[#All],45,FALSE)*((Optimalisatie!J37/Optimalisatie!AD37)*Optimalisatie!AC37),0)&gt;0,_xlfn.IFNA((VLOOKUP(Optimalisatie!AA37,Database_Asfalt_Verwijderset[#All],45,FALSE)*Optimalisatie!J37),0)+_xlfn.IFNA(VLOOKUP(Optimalisatie!AB37,Database_Brandstoffen[#All],45,FALSE)*((Optimalisatie!J37/Optimalisatie!AD37)*Optimalisatie!AC37),0),(_xlfn.IFNA(VLOOKUP(Inschrijf_Fossiele_Energie_Totaal[[#This Row],[Product]]&amp;", "&amp;Inschrijf_MKI_Totaal[[#Headers],[C1]],Database_Productkaarten[#All],51,FALSE),0)*Optimalisatie!J37)),0)</f>
        <v>0</v>
      </c>
      <c r="M455" s="91">
        <f>(IF(Optimalisatie!C37="Bestaande Situatie",_xlfn.IFNA(VLOOKUP(Optimalisatie!AF37,Database_Transport[#All],45,FALSE)*(Optimalisatie!R37*Optimalisatie!AE37),Baseline_Backlog!M455),0))</f>
        <v>0</v>
      </c>
      <c r="N455" s="91">
        <f>(IF(Optimalisatie!C37="Bestaande Situatie",_xlfn.IFNA(VLOOKUP(Optimalisatie!AG37,Database_Asfalt_Verwerkingsset[#All],45,FALSE)*(Optimalisatie!J37/VLOOKUP(Optimalisatie!AG37,Database_Asfalt_Verwerkingsset[#All],45,FALSE)),Baseline_Backlog!N455),0))</f>
        <v>0</v>
      </c>
      <c r="O455" s="91">
        <f>(IF(Optimalisatie!C37="Bestaande Situatie",_xlfn.IFNA(VLOOKUP(Inschrijf_Fossiele_Energie_Totaal[[#This Row],[Product]]&amp;", "&amp;Inschrijf_MKI_Totaal[[#Headers],[C4]],Database_Productkaarten[#All],51,FALSE)*Optimalisatie!J37,Baseline_Backlog!O455),0))</f>
        <v>0</v>
      </c>
      <c r="P455" s="91">
        <f>(IF(Optimalisatie!C37="Bestaande Situatie",_xlfn.IFNA(IF(Optimalisatie!E37="Categorie_1_LCA_Producten",VLOOKUP(Inschrijf_Fossiele_Energie_Totaal[[#This Row],[Product]],Categorie_1_Producten[#All],30,FALSE)*(Optimalisatie!J37),VLOOKUP(Inschrijf_Fossiele_Energie_Totaal[[#This Row],[Product]]&amp;", "&amp;Inschrijf_Fossiele_Energie_Totaal[[#Headers],[D1]],Database_Productkaarten[#All],51,FALSE)*Optimalisatie!J37),Baseline_Backlog!P455),0))</f>
        <v>0</v>
      </c>
      <c r="Q455" s="91">
        <f>(IF(Optimalisatie!C37="Bestaande Situatie",_xlfn.IFNA(IF(Optimalisatie!E37="Categorie_1_LCA_Producten",VLOOKUP(Inschrijf_Fossiele_Energie_Totaal[[#This Row],[Product]],Categorie_1_Producten[#All],31,FALSE)*(Optimalisatie!J37),VLOOKUP(Inschrijf_Fossiele_Energie_Totaal[[#This Row],[Product]]&amp;", "&amp;Inschrijf_Fossiele_Energie_Totaal[[#Headers],[D2]],Database_Productkaarten[#All],51,FALSE)*Optimalisatie!J37),Baseline_Backlog!Q455),0))</f>
        <v>0</v>
      </c>
      <c r="R455" s="91">
        <f>(IF(Optimalisatie!C37="Bestaande Situatie",_xlfn.IFNA(IF(Optimalisatie!E37="Categorie_1_LCA_Producten",VLOOKUP(Inschrijf_Fossiele_Energie_Totaal[[#This Row],[Product]],Categorie_1_Producten[#All],37,FALSE)*(Optimalisatie!J37),VLOOKUP(Inschrijf_Fossiele_Energie_Totaal[[#This Row],[Product]]&amp;", "&amp;Inschrijf_Fossiele_Energie_Totaal[[#Headers],[D]],Database_Productkaarten[#All],51,FALSE)*Optimalisatie!J37),Baseline_Backlog!S455),0))</f>
        <v>0</v>
      </c>
      <c r="S455" s="91">
        <f>SUM(Inschrijf_Fossiele_Energie_Totaal[[#This Row],[A1-A3]:[C4]])+Inschrijf_Fossiele_Energie_Totaal[[#This Row],[D]]</f>
        <v>846305.62183100497</v>
      </c>
    </row>
    <row r="456" spans="2:19">
      <c r="B456" s="208" t="str">
        <f>Optimalisatie!B38</f>
        <v>440070 - Aanbrengen straatbakstenen DF, Geel (trottoir)</v>
      </c>
      <c r="C456" s="1" t="str">
        <f>Optimalisatie!F38</f>
        <v>Baksteen</v>
      </c>
      <c r="D456" s="91">
        <f>(IF(Optimalisatie!C38="Nieuwe Situatie",_xlfn.IFNA(IF(Optimalisatie!E38="Categorie_1_LCA_Producten",VLOOKUP(Inschrijf_Fossiele_Energie_Totaal[[#This Row],[Product]],Categorie_1_Producten[#All],26,FALSE)*(Optimalisatie!J38),VLOOKUP(Inschrijf_Fossiele_Energie_Totaal[[#This Row],[Product]]&amp;", "&amp;Inschrijf_Fossiele_Energie_Totaal[[#Headers],[A1]],Database_Productkaarten[#All],51,FALSE)*Optimalisatie!J38),Baseline_Backlog!D456),0))</f>
        <v>0</v>
      </c>
      <c r="E456" s="91">
        <f>(IF(Optimalisatie!C38="Nieuwe Situatie",_xlfn.IFNA(IF(Optimalisatie!E38="Categorie_1_LCA_Producten",VLOOKUP(Inschrijf_Fossiele_Energie_Totaal[[#This Row],[Product]],Categorie_1_Producten[#All],27,FALSE)*(Optimalisatie!J38),VLOOKUP(Inschrijf_Fossiele_Energie_Totaal[[#This Row],[Product]]&amp;", "&amp;Inschrijf_Fossiele_Energie_Totaal[[#Headers],[A2]],Database_Productkaarten[#All],51,FALSE)*Optimalisatie!J38),Baseline_Backlog!E456),0))</f>
        <v>0</v>
      </c>
      <c r="F456" s="91">
        <f>(IF(Optimalisatie!C38="Nieuwe Situatie",_xlfn.IFNA(IF(Optimalisatie!E38="Categorie_1_LCA_Producten",VLOOKUP(Inschrijf_Fossiele_Energie_Totaal[[#This Row],[Product]],Categorie_1_Producten[#All],28,FALSE)*(Optimalisatie!J38),VLOOKUP(Inschrijf_Fossiele_Energie_Totaal[[#This Row],[Product]]&amp;", "&amp;Inschrijf_Fossiele_Energie_Totaal[[#Headers],[A3]],Database_Productkaarten[#All],51,FALSE)*Optimalisatie!J38),Baseline_Backlog!F456),0))</f>
        <v>0</v>
      </c>
      <c r="G456" s="91">
        <f>(IF(Optimalisatie!C38="Nieuwe Situatie",_xlfn.IFNA(IF(Optimalisatie!E38="Categorie_1_LCA_Producten",VLOOKUP(Inschrijf_Fossiele_Energie_Totaal[[#This Row],[Product]],Categorie_1_Producten[#All],35,FALSE)*(Optimalisatie!J38),VLOOKUP(Inschrijf_Fossiele_Energie_Totaal[[#This Row],[Product]]&amp;", "&amp;Inschrijf_Fossiele_Energie_Totaal[[#Headers],[A1-A3]],Database_Productkaarten[#All],51,FALSE)*Optimalisatie!J38),Baseline_Backlog!G456),0))</f>
        <v>112355</v>
      </c>
      <c r="H456" s="91">
        <f>(IF(Optimalisatie!C38="Nieuwe Situatie",_xlfn.IFNA(VLOOKUP(Optimalisatie!V38,Database_Transport[#All],45,FALSE)*(Optimalisatie!R38*Optimalisatie!U38),Baseline_Backlog!H456),0))</f>
        <v>9929.2034540000004</v>
      </c>
      <c r="I456" s="91">
        <f>IF(Optimalisatie!C38="Nieuwe situatie",IF(_xlfn.IFNA((VLOOKUP(Optimalisatie!W38,Database_Asfalt_Aanlegset[#All],45,FALSE)*Optimalisatie!J38),0)+_xlfn.IFNA(VLOOKUP(Optimalisatie!X38,Database_Brandstoffen[#All],45,FALSE)*((Optimalisatie!J38/Optimalisatie!Z38)*Optimalisatie!Y38),0)&gt;0,_xlfn.IFNA((VLOOKUP(Optimalisatie!W38,Database_Asfalt_Aanlegset[#All],45,FALSE)*Optimalisatie!J38),0)+_xlfn.IFNA(VLOOKUP(Optimalisatie!X38,Database_Brandstoffen[#All],45,FALSE)*((Optimalisatie!J38/Optimalisatie!Z38)*Optimalisatie!Y38),0),(_xlfn.IFNA(VLOOKUP(Inschrijf_Fossiele_Energie_Totaal[[#This Row],[Product]]&amp;", "&amp;Inschrijf_MKI_Totaal[[#Headers],[A5]],Database_Productkaarten[#All],51,FALSE),0)*Optimalisatie!J38)),0)</f>
        <v>99413.169007424993</v>
      </c>
      <c r="J456" s="91">
        <f>(IF(Optimalisatie!C38="Nieuwe Situatie",_xlfn.IFNA(IF(Optimalisatie!E38="Categorie_1_LCA_Producten",VLOOKUP(Inschrijf_Fossiele_Energie_Totaal[[#This Row],[Product]],Categorie_1_Producten[#All],36,FALSE)*(Optimalisatie!R38),VLOOKUP(Inschrijf_Fossiele_Energie_Totaal[[#This Row],[Product]]&amp;", "&amp;Inschrijf_Fossiele_Energie_Totaal[[#Headers],[B1]],Database_Productkaarten[#All],51,FALSE)*Optimalisatie!J38),Baseline_Backlog!J456),0))</f>
        <v>0</v>
      </c>
      <c r="K456" s="91">
        <f>(IF(Optimalisatie!C38="Nieuwe Situatie",_xlfn.IFNA(SUM(Inschrijf_Fossiele_Energie_Totaal[[#This Row],[A1]:[B1]],Inschrijf_Fossiele_Energie_Totaal[[#This Row],[C1]:[D2]])*Optimalisatie!T38,0),0))</f>
        <v>0</v>
      </c>
      <c r="L456" s="91">
        <f>IF(Optimalisatie!C38="Bestaande situatie",IF(_xlfn.IFNA((VLOOKUP(Optimalisatie!AA38,Database_Asfalt_Verwijderset[#All],45,FALSE)*Optimalisatie!J38),0)+_xlfn.IFNA(VLOOKUP(Optimalisatie!AB38,Database_Brandstoffen[#All],45,FALSE)*((Optimalisatie!J38/Optimalisatie!AD38)*Optimalisatie!AC38),0)&gt;0,_xlfn.IFNA((VLOOKUP(Optimalisatie!AA38,Database_Asfalt_Verwijderset[#All],45,FALSE)*Optimalisatie!J38),0)+_xlfn.IFNA(VLOOKUP(Optimalisatie!AB38,Database_Brandstoffen[#All],45,FALSE)*((Optimalisatie!J38/Optimalisatie!AD38)*Optimalisatie!AC38),0),(_xlfn.IFNA(VLOOKUP(Inschrijf_Fossiele_Energie_Totaal[[#This Row],[Product]]&amp;", "&amp;Inschrijf_MKI_Totaal[[#Headers],[C1]],Database_Productkaarten[#All],51,FALSE),0)*Optimalisatie!J38)),0)</f>
        <v>0</v>
      </c>
      <c r="M456" s="91">
        <f>(IF(Optimalisatie!C38="Bestaande Situatie",_xlfn.IFNA(VLOOKUP(Optimalisatie!AF38,Database_Transport[#All],45,FALSE)*(Optimalisatie!R38*Optimalisatie!AE38),Baseline_Backlog!M456),0))</f>
        <v>0</v>
      </c>
      <c r="N456" s="91">
        <f>(IF(Optimalisatie!C38="Bestaande Situatie",_xlfn.IFNA(VLOOKUP(Optimalisatie!AG38,Database_Asfalt_Verwerkingsset[#All],45,FALSE)*(Optimalisatie!J38/VLOOKUP(Optimalisatie!AG38,Database_Asfalt_Verwerkingsset[#All],45,FALSE)),Baseline_Backlog!N456),0))</f>
        <v>0</v>
      </c>
      <c r="O456" s="91">
        <f>(IF(Optimalisatie!C38="Bestaande Situatie",_xlfn.IFNA(VLOOKUP(Inschrijf_Fossiele_Energie_Totaal[[#This Row],[Product]]&amp;", "&amp;Inschrijf_MKI_Totaal[[#Headers],[C4]],Database_Productkaarten[#All],51,FALSE)*Optimalisatie!J38,Baseline_Backlog!O456),0))</f>
        <v>0</v>
      </c>
      <c r="P456" s="91">
        <f>(IF(Optimalisatie!C38="Bestaande Situatie",_xlfn.IFNA(IF(Optimalisatie!E38="Categorie_1_LCA_Producten",VLOOKUP(Inschrijf_Fossiele_Energie_Totaal[[#This Row],[Product]],Categorie_1_Producten[#All],30,FALSE)*(Optimalisatie!J38),VLOOKUP(Inschrijf_Fossiele_Energie_Totaal[[#This Row],[Product]]&amp;", "&amp;Inschrijf_Fossiele_Energie_Totaal[[#Headers],[D1]],Database_Productkaarten[#All],51,FALSE)*Optimalisatie!J38),Baseline_Backlog!P456),0))</f>
        <v>0</v>
      </c>
      <c r="Q456" s="91">
        <f>(IF(Optimalisatie!C38="Bestaande Situatie",_xlfn.IFNA(IF(Optimalisatie!E38="Categorie_1_LCA_Producten",VLOOKUP(Inschrijf_Fossiele_Energie_Totaal[[#This Row],[Product]],Categorie_1_Producten[#All],31,FALSE)*(Optimalisatie!J38),VLOOKUP(Inschrijf_Fossiele_Energie_Totaal[[#This Row],[Product]]&amp;", "&amp;Inschrijf_Fossiele_Energie_Totaal[[#Headers],[D2]],Database_Productkaarten[#All],51,FALSE)*Optimalisatie!J38),Baseline_Backlog!Q456),0))</f>
        <v>0</v>
      </c>
      <c r="R456" s="91">
        <f>(IF(Optimalisatie!C38="Bestaande Situatie",_xlfn.IFNA(IF(Optimalisatie!E38="Categorie_1_LCA_Producten",VLOOKUP(Inschrijf_Fossiele_Energie_Totaal[[#This Row],[Product]],Categorie_1_Producten[#All],37,FALSE)*(Optimalisatie!J38),VLOOKUP(Inschrijf_Fossiele_Energie_Totaal[[#This Row],[Product]]&amp;", "&amp;Inschrijf_Fossiele_Energie_Totaal[[#Headers],[D]],Database_Productkaarten[#All],51,FALSE)*Optimalisatie!J38),Baseline_Backlog!S456),0))</f>
        <v>0</v>
      </c>
      <c r="S456" s="91">
        <f>SUM(Inschrijf_Fossiele_Energie_Totaal[[#This Row],[A1-A3]:[C4]])+Inschrijf_Fossiele_Energie_Totaal[[#This Row],[D]]</f>
        <v>221697.37246142499</v>
      </c>
    </row>
    <row r="457" spans="2:19">
      <c r="B457" s="208" t="str">
        <f>Optimalisatie!B39</f>
        <v>440090 - Aanbrengen straatbakstenen DF, Rood (drempelopgang)</v>
      </c>
      <c r="C457" s="1" t="str">
        <f>Optimalisatie!F39</f>
        <v>Baksteen</v>
      </c>
      <c r="D457" s="91">
        <f>(IF(Optimalisatie!C39="Nieuwe Situatie",_xlfn.IFNA(IF(Optimalisatie!E39="Categorie_1_LCA_Producten",VLOOKUP(Inschrijf_Fossiele_Energie_Totaal[[#This Row],[Product]],Categorie_1_Producten[#All],26,FALSE)*(Optimalisatie!J39),VLOOKUP(Inschrijf_Fossiele_Energie_Totaal[[#This Row],[Product]]&amp;", "&amp;Inschrijf_Fossiele_Energie_Totaal[[#Headers],[A1]],Database_Productkaarten[#All],51,FALSE)*Optimalisatie!J39),Baseline_Backlog!D457),0))</f>
        <v>0</v>
      </c>
      <c r="E457" s="91">
        <f>(IF(Optimalisatie!C39="Nieuwe Situatie",_xlfn.IFNA(IF(Optimalisatie!E39="Categorie_1_LCA_Producten",VLOOKUP(Inschrijf_Fossiele_Energie_Totaal[[#This Row],[Product]],Categorie_1_Producten[#All],27,FALSE)*(Optimalisatie!J39),VLOOKUP(Inschrijf_Fossiele_Energie_Totaal[[#This Row],[Product]]&amp;", "&amp;Inschrijf_Fossiele_Energie_Totaal[[#Headers],[A2]],Database_Productkaarten[#All],51,FALSE)*Optimalisatie!J39),Baseline_Backlog!E457),0))</f>
        <v>0</v>
      </c>
      <c r="F457" s="91">
        <f>(IF(Optimalisatie!C39="Nieuwe Situatie",_xlfn.IFNA(IF(Optimalisatie!E39="Categorie_1_LCA_Producten",VLOOKUP(Inschrijf_Fossiele_Energie_Totaal[[#This Row],[Product]],Categorie_1_Producten[#All],28,FALSE)*(Optimalisatie!J39),VLOOKUP(Inschrijf_Fossiele_Energie_Totaal[[#This Row],[Product]]&amp;", "&amp;Inschrijf_Fossiele_Energie_Totaal[[#Headers],[A3]],Database_Productkaarten[#All],51,FALSE)*Optimalisatie!J39),Baseline_Backlog!F457),0))</f>
        <v>0</v>
      </c>
      <c r="G457" s="91">
        <f>(IF(Optimalisatie!C39="Nieuwe Situatie",_xlfn.IFNA(IF(Optimalisatie!E39="Categorie_1_LCA_Producten",VLOOKUP(Inschrijf_Fossiele_Energie_Totaal[[#This Row],[Product]],Categorie_1_Producten[#All],35,FALSE)*(Optimalisatie!J39),VLOOKUP(Inschrijf_Fossiele_Energie_Totaal[[#This Row],[Product]]&amp;", "&amp;Inschrijf_Fossiele_Energie_Totaal[[#Headers],[A1-A3]],Database_Productkaarten[#All],51,FALSE)*Optimalisatie!J39),Baseline_Backlog!G457),0))</f>
        <v>21982.5</v>
      </c>
      <c r="H457" s="91">
        <f>(IF(Optimalisatie!C39="Nieuwe Situatie",_xlfn.IFNA(VLOOKUP(Optimalisatie!V39,Database_Transport[#All],45,FALSE)*(Optimalisatie!R39*Optimalisatie!U39),Baseline_Backlog!H457),0))</f>
        <v>1942.670241</v>
      </c>
      <c r="I457" s="91">
        <f>IF(Optimalisatie!C39="Nieuwe situatie",IF(_xlfn.IFNA((VLOOKUP(Optimalisatie!W39,Database_Asfalt_Aanlegset[#All],45,FALSE)*Optimalisatie!J39),0)+_xlfn.IFNA(VLOOKUP(Optimalisatie!X39,Database_Brandstoffen[#All],45,FALSE)*((Optimalisatie!J39/Optimalisatie!Z39)*Optimalisatie!Y39),0)&gt;0,_xlfn.IFNA((VLOOKUP(Optimalisatie!W39,Database_Asfalt_Aanlegset[#All],45,FALSE)*Optimalisatie!J39),0)+_xlfn.IFNA(VLOOKUP(Optimalisatie!X39,Database_Brandstoffen[#All],45,FALSE)*((Optimalisatie!J39/Optimalisatie!Z39)*Optimalisatie!Y39),0),(_xlfn.IFNA(VLOOKUP(Inschrijf_Fossiele_Energie_Totaal[[#This Row],[Product]]&amp;", "&amp;Inschrijf_MKI_Totaal[[#Headers],[A5]],Database_Productkaarten[#All],51,FALSE),0)*Optimalisatie!J39)),0)</f>
        <v>19450.4026318875</v>
      </c>
      <c r="J457" s="91">
        <f>(IF(Optimalisatie!C39="Nieuwe Situatie",_xlfn.IFNA(IF(Optimalisatie!E39="Categorie_1_LCA_Producten",VLOOKUP(Inschrijf_Fossiele_Energie_Totaal[[#This Row],[Product]],Categorie_1_Producten[#All],36,FALSE)*(Optimalisatie!R39),VLOOKUP(Inschrijf_Fossiele_Energie_Totaal[[#This Row],[Product]]&amp;", "&amp;Inschrijf_Fossiele_Energie_Totaal[[#Headers],[B1]],Database_Productkaarten[#All],51,FALSE)*Optimalisatie!J39),Baseline_Backlog!J457),0))</f>
        <v>0</v>
      </c>
      <c r="K457" s="91">
        <f>(IF(Optimalisatie!C39="Nieuwe Situatie",_xlfn.IFNA(SUM(Inschrijf_Fossiele_Energie_Totaal[[#This Row],[A1]:[B1]],Inschrijf_Fossiele_Energie_Totaal[[#This Row],[C1]:[D2]])*Optimalisatie!T39,0),0))</f>
        <v>0</v>
      </c>
      <c r="L457" s="91">
        <f>IF(Optimalisatie!C39="Bestaande situatie",IF(_xlfn.IFNA((VLOOKUP(Optimalisatie!AA39,Database_Asfalt_Verwijderset[#All],45,FALSE)*Optimalisatie!J39),0)+_xlfn.IFNA(VLOOKUP(Optimalisatie!AB39,Database_Brandstoffen[#All],45,FALSE)*((Optimalisatie!J39/Optimalisatie!AD39)*Optimalisatie!AC39),0)&gt;0,_xlfn.IFNA((VLOOKUP(Optimalisatie!AA39,Database_Asfalt_Verwijderset[#All],45,FALSE)*Optimalisatie!J39),0)+_xlfn.IFNA(VLOOKUP(Optimalisatie!AB39,Database_Brandstoffen[#All],45,FALSE)*((Optimalisatie!J39/Optimalisatie!AD39)*Optimalisatie!AC39),0),(_xlfn.IFNA(VLOOKUP(Inschrijf_Fossiele_Energie_Totaal[[#This Row],[Product]]&amp;", "&amp;Inschrijf_MKI_Totaal[[#Headers],[C1]],Database_Productkaarten[#All],51,FALSE),0)*Optimalisatie!J39)),0)</f>
        <v>0</v>
      </c>
      <c r="M457" s="91">
        <f>(IF(Optimalisatie!C39="Bestaande Situatie",_xlfn.IFNA(VLOOKUP(Optimalisatie!AF39,Database_Transport[#All],45,FALSE)*(Optimalisatie!R39*Optimalisatie!AE39),Baseline_Backlog!M457),0))</f>
        <v>0</v>
      </c>
      <c r="N457" s="91">
        <f>(IF(Optimalisatie!C39="Bestaande Situatie",_xlfn.IFNA(VLOOKUP(Optimalisatie!AG39,Database_Asfalt_Verwerkingsset[#All],45,FALSE)*(Optimalisatie!J39/VLOOKUP(Optimalisatie!AG39,Database_Asfalt_Verwerkingsset[#All],45,FALSE)),Baseline_Backlog!N457),0))</f>
        <v>0</v>
      </c>
      <c r="O457" s="91">
        <f>(IF(Optimalisatie!C39="Bestaande Situatie",_xlfn.IFNA(VLOOKUP(Inschrijf_Fossiele_Energie_Totaal[[#This Row],[Product]]&amp;", "&amp;Inschrijf_MKI_Totaal[[#Headers],[C4]],Database_Productkaarten[#All],51,FALSE)*Optimalisatie!J39,Baseline_Backlog!O457),0))</f>
        <v>0</v>
      </c>
      <c r="P457" s="91">
        <f>(IF(Optimalisatie!C39="Bestaande Situatie",_xlfn.IFNA(IF(Optimalisatie!E39="Categorie_1_LCA_Producten",VLOOKUP(Inschrijf_Fossiele_Energie_Totaal[[#This Row],[Product]],Categorie_1_Producten[#All],30,FALSE)*(Optimalisatie!J39),VLOOKUP(Inschrijf_Fossiele_Energie_Totaal[[#This Row],[Product]]&amp;", "&amp;Inschrijf_Fossiele_Energie_Totaal[[#Headers],[D1]],Database_Productkaarten[#All],51,FALSE)*Optimalisatie!J39),Baseline_Backlog!P457),0))</f>
        <v>0</v>
      </c>
      <c r="Q457" s="91">
        <f>(IF(Optimalisatie!C39="Bestaande Situatie",_xlfn.IFNA(IF(Optimalisatie!E39="Categorie_1_LCA_Producten",VLOOKUP(Inschrijf_Fossiele_Energie_Totaal[[#This Row],[Product]],Categorie_1_Producten[#All],31,FALSE)*(Optimalisatie!J39),VLOOKUP(Inschrijf_Fossiele_Energie_Totaal[[#This Row],[Product]]&amp;", "&amp;Inschrijf_Fossiele_Energie_Totaal[[#Headers],[D2]],Database_Productkaarten[#All],51,FALSE)*Optimalisatie!J39),Baseline_Backlog!Q457),0))</f>
        <v>0</v>
      </c>
      <c r="R457" s="91">
        <f>(IF(Optimalisatie!C39="Bestaande Situatie",_xlfn.IFNA(IF(Optimalisatie!E39="Categorie_1_LCA_Producten",VLOOKUP(Inschrijf_Fossiele_Energie_Totaal[[#This Row],[Product]],Categorie_1_Producten[#All],37,FALSE)*(Optimalisatie!J39),VLOOKUP(Inschrijf_Fossiele_Energie_Totaal[[#This Row],[Product]]&amp;", "&amp;Inschrijf_Fossiele_Energie_Totaal[[#Headers],[D]],Database_Productkaarten[#All],51,FALSE)*Optimalisatie!J39),Baseline_Backlog!S457),0))</f>
        <v>0</v>
      </c>
      <c r="S457" s="91">
        <f>SUM(Inschrijf_Fossiele_Energie_Totaal[[#This Row],[A1-A3]:[C4]])+Inschrijf_Fossiele_Energie_Totaal[[#This Row],[D]]</f>
        <v>43375.572872887496</v>
      </c>
    </row>
    <row r="458" spans="2:19">
      <c r="B458" s="208">
        <f>Optimalisatie!B40</f>
        <v>0</v>
      </c>
      <c r="C458" s="1">
        <f>Optimalisatie!F40</f>
        <v>0</v>
      </c>
      <c r="D458" s="91">
        <f>(IF(Optimalisatie!C40="Nieuwe Situatie",_xlfn.IFNA(IF(Optimalisatie!E40="Categorie_1_LCA_Producten",VLOOKUP(Inschrijf_Fossiele_Energie_Totaal[[#This Row],[Product]],Categorie_1_Producten[#All],26,FALSE)*(Optimalisatie!J40),VLOOKUP(Inschrijf_Fossiele_Energie_Totaal[[#This Row],[Product]]&amp;", "&amp;Inschrijf_Fossiele_Energie_Totaal[[#Headers],[A1]],Database_Productkaarten[#All],51,FALSE)*Optimalisatie!J40),Baseline_Backlog!D458),0))</f>
        <v>0</v>
      </c>
      <c r="E458" s="91">
        <f>(IF(Optimalisatie!C40="Nieuwe Situatie",_xlfn.IFNA(IF(Optimalisatie!E40="Categorie_1_LCA_Producten",VLOOKUP(Inschrijf_Fossiele_Energie_Totaal[[#This Row],[Product]],Categorie_1_Producten[#All],27,FALSE)*(Optimalisatie!J40),VLOOKUP(Inschrijf_Fossiele_Energie_Totaal[[#This Row],[Product]]&amp;", "&amp;Inschrijf_Fossiele_Energie_Totaal[[#Headers],[A2]],Database_Productkaarten[#All],51,FALSE)*Optimalisatie!J40),Baseline_Backlog!E458),0))</f>
        <v>0</v>
      </c>
      <c r="F458" s="91">
        <f>(IF(Optimalisatie!C40="Nieuwe Situatie",_xlfn.IFNA(IF(Optimalisatie!E40="Categorie_1_LCA_Producten",VLOOKUP(Inschrijf_Fossiele_Energie_Totaal[[#This Row],[Product]],Categorie_1_Producten[#All],28,FALSE)*(Optimalisatie!J40),VLOOKUP(Inschrijf_Fossiele_Energie_Totaal[[#This Row],[Product]]&amp;", "&amp;Inschrijf_Fossiele_Energie_Totaal[[#Headers],[A3]],Database_Productkaarten[#All],51,FALSE)*Optimalisatie!J40),Baseline_Backlog!F458),0))</f>
        <v>0</v>
      </c>
      <c r="G458" s="91">
        <f>(IF(Optimalisatie!C40="Nieuwe Situatie",_xlfn.IFNA(IF(Optimalisatie!E40="Categorie_1_LCA_Producten",VLOOKUP(Inschrijf_Fossiele_Energie_Totaal[[#This Row],[Product]],Categorie_1_Producten[#All],35,FALSE)*(Optimalisatie!J40),VLOOKUP(Inschrijf_Fossiele_Energie_Totaal[[#This Row],[Product]]&amp;", "&amp;Inschrijf_Fossiele_Energie_Totaal[[#Headers],[A1-A3]],Database_Productkaarten[#All],51,FALSE)*Optimalisatie!J40),Baseline_Backlog!G458),0))</f>
        <v>0</v>
      </c>
      <c r="H458" s="91">
        <f>(IF(Optimalisatie!C40="Nieuwe Situatie",_xlfn.IFNA(VLOOKUP(Optimalisatie!V40,Database_Transport[#All],45,FALSE)*(Optimalisatie!R40*Optimalisatie!U40),Baseline_Backlog!H458),0))</f>
        <v>0</v>
      </c>
      <c r="I458" s="91">
        <f>IF(Optimalisatie!C40="Nieuwe situatie",IF(_xlfn.IFNA((VLOOKUP(Optimalisatie!W40,Database_Asfalt_Aanlegset[#All],45,FALSE)*Optimalisatie!J40),0)+_xlfn.IFNA(VLOOKUP(Optimalisatie!X40,Database_Brandstoffen[#All],45,FALSE)*((Optimalisatie!J40/Optimalisatie!Z40)*Optimalisatie!Y40),0)&gt;0,_xlfn.IFNA((VLOOKUP(Optimalisatie!W40,Database_Asfalt_Aanlegset[#All],45,FALSE)*Optimalisatie!J40),0)+_xlfn.IFNA(VLOOKUP(Optimalisatie!X40,Database_Brandstoffen[#All],45,FALSE)*((Optimalisatie!J40/Optimalisatie!Z40)*Optimalisatie!Y40),0),(_xlfn.IFNA(VLOOKUP(Inschrijf_Fossiele_Energie_Totaal[[#This Row],[Product]]&amp;", "&amp;Inschrijf_MKI_Totaal[[#Headers],[A5]],Database_Productkaarten[#All],51,FALSE),0)*Optimalisatie!J40)),0)</f>
        <v>0</v>
      </c>
      <c r="J458" s="91">
        <f>(IF(Optimalisatie!C40="Nieuwe Situatie",_xlfn.IFNA(IF(Optimalisatie!E40="Categorie_1_LCA_Producten",VLOOKUP(Inschrijf_Fossiele_Energie_Totaal[[#This Row],[Product]],Categorie_1_Producten[#All],36,FALSE)*(Optimalisatie!R40),VLOOKUP(Inschrijf_Fossiele_Energie_Totaal[[#This Row],[Product]]&amp;", "&amp;Inschrijf_Fossiele_Energie_Totaal[[#Headers],[B1]],Database_Productkaarten[#All],51,FALSE)*Optimalisatie!J40),Baseline_Backlog!J458),0))</f>
        <v>0</v>
      </c>
      <c r="K458" s="91">
        <f>(IF(Optimalisatie!C40="Nieuwe Situatie",_xlfn.IFNA(SUM(Inschrijf_Fossiele_Energie_Totaal[[#This Row],[A1]:[B1]],Inschrijf_Fossiele_Energie_Totaal[[#This Row],[C1]:[D2]])*Optimalisatie!T40,0),0))</f>
        <v>0</v>
      </c>
      <c r="L458" s="91">
        <f>IF(Optimalisatie!C40="Bestaande situatie",IF(_xlfn.IFNA((VLOOKUP(Optimalisatie!AA40,Database_Asfalt_Verwijderset[#All],45,FALSE)*Optimalisatie!J40),0)+_xlfn.IFNA(VLOOKUP(Optimalisatie!AB40,Database_Brandstoffen[#All],45,FALSE)*((Optimalisatie!J40/Optimalisatie!AD40)*Optimalisatie!AC40),0)&gt;0,_xlfn.IFNA((VLOOKUP(Optimalisatie!AA40,Database_Asfalt_Verwijderset[#All],45,FALSE)*Optimalisatie!J40),0)+_xlfn.IFNA(VLOOKUP(Optimalisatie!AB40,Database_Brandstoffen[#All],45,FALSE)*((Optimalisatie!J40/Optimalisatie!AD40)*Optimalisatie!AC40),0),(_xlfn.IFNA(VLOOKUP(Inschrijf_Fossiele_Energie_Totaal[[#This Row],[Product]]&amp;", "&amp;Inschrijf_MKI_Totaal[[#Headers],[C1]],Database_Productkaarten[#All],51,FALSE),0)*Optimalisatie!J40)),0)</f>
        <v>0</v>
      </c>
      <c r="M458" s="91">
        <f>(IF(Optimalisatie!C40="Bestaande Situatie",_xlfn.IFNA(VLOOKUP(Optimalisatie!AF40,Database_Transport[#All],45,FALSE)*(Optimalisatie!R40*Optimalisatie!AE40),Baseline_Backlog!M458),0))</f>
        <v>0</v>
      </c>
      <c r="N458" s="91">
        <f>(IF(Optimalisatie!C40="Bestaande Situatie",_xlfn.IFNA(VLOOKUP(Optimalisatie!AG40,Database_Asfalt_Verwerkingsset[#All],45,FALSE)*(Optimalisatie!J40/VLOOKUP(Optimalisatie!AG40,Database_Asfalt_Verwerkingsset[#All],45,FALSE)),Baseline_Backlog!N458),0))</f>
        <v>0</v>
      </c>
      <c r="O458" s="91">
        <f>(IF(Optimalisatie!C40="Bestaande Situatie",_xlfn.IFNA(VLOOKUP(Inschrijf_Fossiele_Energie_Totaal[[#This Row],[Product]]&amp;", "&amp;Inschrijf_MKI_Totaal[[#Headers],[C4]],Database_Productkaarten[#All],51,FALSE)*Optimalisatie!J40,Baseline_Backlog!O458),0))</f>
        <v>0</v>
      </c>
      <c r="P458" s="91">
        <f>(IF(Optimalisatie!C40="Bestaande Situatie",_xlfn.IFNA(IF(Optimalisatie!E40="Categorie_1_LCA_Producten",VLOOKUP(Inschrijf_Fossiele_Energie_Totaal[[#This Row],[Product]],Categorie_1_Producten[#All],30,FALSE)*(Optimalisatie!J40),VLOOKUP(Inschrijf_Fossiele_Energie_Totaal[[#This Row],[Product]]&amp;", "&amp;Inschrijf_Fossiele_Energie_Totaal[[#Headers],[D1]],Database_Productkaarten[#All],51,FALSE)*Optimalisatie!J40),Baseline_Backlog!P458),0))</f>
        <v>0</v>
      </c>
      <c r="Q458" s="91">
        <f>(IF(Optimalisatie!C40="Bestaande Situatie",_xlfn.IFNA(IF(Optimalisatie!E40="Categorie_1_LCA_Producten",VLOOKUP(Inschrijf_Fossiele_Energie_Totaal[[#This Row],[Product]],Categorie_1_Producten[#All],31,FALSE)*(Optimalisatie!J40),VLOOKUP(Inschrijf_Fossiele_Energie_Totaal[[#This Row],[Product]]&amp;", "&amp;Inschrijf_Fossiele_Energie_Totaal[[#Headers],[D2]],Database_Productkaarten[#All],51,FALSE)*Optimalisatie!J40),Baseline_Backlog!Q458),0))</f>
        <v>0</v>
      </c>
      <c r="R458" s="91">
        <f>(IF(Optimalisatie!C40="Bestaande Situatie",_xlfn.IFNA(IF(Optimalisatie!E40="Categorie_1_LCA_Producten",VLOOKUP(Inschrijf_Fossiele_Energie_Totaal[[#This Row],[Product]],Categorie_1_Producten[#All],37,FALSE)*(Optimalisatie!J40),VLOOKUP(Inschrijf_Fossiele_Energie_Totaal[[#This Row],[Product]]&amp;", "&amp;Inschrijf_Fossiele_Energie_Totaal[[#Headers],[D]],Database_Productkaarten[#All],51,FALSE)*Optimalisatie!J40),Baseline_Backlog!S458),0))</f>
        <v>0</v>
      </c>
      <c r="S458" s="91">
        <f>SUM(Inschrijf_Fossiele_Energie_Totaal[[#This Row],[A1-A3]:[C4]])+Inschrijf_Fossiele_Energie_Totaal[[#This Row],[D]]</f>
        <v>0</v>
      </c>
    </row>
    <row r="459" spans="2:19">
      <c r="B459" s="208">
        <f>Optimalisatie!B41</f>
        <v>0</v>
      </c>
      <c r="C459" s="1">
        <f>Optimalisatie!F41</f>
        <v>0</v>
      </c>
      <c r="D459" s="91">
        <f>(IF(Optimalisatie!C41="Nieuwe Situatie",_xlfn.IFNA(IF(Optimalisatie!E41="Categorie_1_LCA_Producten",VLOOKUP(Inschrijf_Fossiele_Energie_Totaal[[#This Row],[Product]],Categorie_1_Producten[#All],26,FALSE)*(Optimalisatie!J41),VLOOKUP(Inschrijf_Fossiele_Energie_Totaal[[#This Row],[Product]]&amp;", "&amp;Inschrijf_Fossiele_Energie_Totaal[[#Headers],[A1]],Database_Productkaarten[#All],51,FALSE)*Optimalisatie!J41),Baseline_Backlog!D459),0))</f>
        <v>0</v>
      </c>
      <c r="E459" s="91">
        <f>(IF(Optimalisatie!C41="Nieuwe Situatie",_xlfn.IFNA(IF(Optimalisatie!E41="Categorie_1_LCA_Producten",VLOOKUP(Inschrijf_Fossiele_Energie_Totaal[[#This Row],[Product]],Categorie_1_Producten[#All],27,FALSE)*(Optimalisatie!J41),VLOOKUP(Inschrijf_Fossiele_Energie_Totaal[[#This Row],[Product]]&amp;", "&amp;Inschrijf_Fossiele_Energie_Totaal[[#Headers],[A2]],Database_Productkaarten[#All],51,FALSE)*Optimalisatie!J41),Baseline_Backlog!E459),0))</f>
        <v>0</v>
      </c>
      <c r="F459" s="91">
        <f>(IF(Optimalisatie!C41="Nieuwe Situatie",_xlfn.IFNA(IF(Optimalisatie!E41="Categorie_1_LCA_Producten",VLOOKUP(Inschrijf_Fossiele_Energie_Totaal[[#This Row],[Product]],Categorie_1_Producten[#All],28,FALSE)*(Optimalisatie!J41),VLOOKUP(Inschrijf_Fossiele_Energie_Totaal[[#This Row],[Product]]&amp;", "&amp;Inschrijf_Fossiele_Energie_Totaal[[#Headers],[A3]],Database_Productkaarten[#All],51,FALSE)*Optimalisatie!J41),Baseline_Backlog!F459),0))</f>
        <v>0</v>
      </c>
      <c r="G459" s="91">
        <f>(IF(Optimalisatie!C41="Nieuwe Situatie",_xlfn.IFNA(IF(Optimalisatie!E41="Categorie_1_LCA_Producten",VLOOKUP(Inschrijf_Fossiele_Energie_Totaal[[#This Row],[Product]],Categorie_1_Producten[#All],35,FALSE)*(Optimalisatie!J41),VLOOKUP(Inschrijf_Fossiele_Energie_Totaal[[#This Row],[Product]]&amp;", "&amp;Inschrijf_Fossiele_Energie_Totaal[[#Headers],[A1-A3]],Database_Productkaarten[#All],51,FALSE)*Optimalisatie!J41),Baseline_Backlog!G459),0))</f>
        <v>0</v>
      </c>
      <c r="H459" s="91">
        <f>(IF(Optimalisatie!C41="Nieuwe Situatie",_xlfn.IFNA(VLOOKUP(Optimalisatie!V41,Database_Transport[#All],45,FALSE)*(Optimalisatie!R41*Optimalisatie!U41),Baseline_Backlog!H459),0))</f>
        <v>0</v>
      </c>
      <c r="I459" s="91">
        <f>IF(Optimalisatie!C41="Nieuwe situatie",IF(_xlfn.IFNA((VLOOKUP(Optimalisatie!W41,Database_Asfalt_Aanlegset[#All],45,FALSE)*Optimalisatie!J41),0)+_xlfn.IFNA(VLOOKUP(Optimalisatie!X41,Database_Brandstoffen[#All],45,FALSE)*((Optimalisatie!J41/Optimalisatie!Z41)*Optimalisatie!Y41),0)&gt;0,_xlfn.IFNA((VLOOKUP(Optimalisatie!W41,Database_Asfalt_Aanlegset[#All],45,FALSE)*Optimalisatie!J41),0)+_xlfn.IFNA(VLOOKUP(Optimalisatie!X41,Database_Brandstoffen[#All],45,FALSE)*((Optimalisatie!J41/Optimalisatie!Z41)*Optimalisatie!Y41),0),(_xlfn.IFNA(VLOOKUP(Inschrijf_Fossiele_Energie_Totaal[[#This Row],[Product]]&amp;", "&amp;Inschrijf_MKI_Totaal[[#Headers],[A5]],Database_Productkaarten[#All],51,FALSE),0)*Optimalisatie!J41)),0)</f>
        <v>0</v>
      </c>
      <c r="J459" s="91">
        <f>(IF(Optimalisatie!C41="Nieuwe Situatie",_xlfn.IFNA(IF(Optimalisatie!E41="Categorie_1_LCA_Producten",VLOOKUP(Inschrijf_Fossiele_Energie_Totaal[[#This Row],[Product]],Categorie_1_Producten[#All],36,FALSE)*(Optimalisatie!R41),VLOOKUP(Inschrijf_Fossiele_Energie_Totaal[[#This Row],[Product]]&amp;", "&amp;Inschrijf_Fossiele_Energie_Totaal[[#Headers],[B1]],Database_Productkaarten[#All],51,FALSE)*Optimalisatie!J41),Baseline_Backlog!J459),0))</f>
        <v>0</v>
      </c>
      <c r="K459" s="91">
        <f>(IF(Optimalisatie!C41="Nieuwe Situatie",_xlfn.IFNA(SUM(Inschrijf_Fossiele_Energie_Totaal[[#This Row],[A1]:[B1]],Inschrijf_Fossiele_Energie_Totaal[[#This Row],[C1]:[D2]])*Optimalisatie!T41,0),0))</f>
        <v>0</v>
      </c>
      <c r="L459" s="91">
        <f>IF(Optimalisatie!C41="Bestaande situatie",IF(_xlfn.IFNA((VLOOKUP(Optimalisatie!AA41,Database_Asfalt_Verwijderset[#All],45,FALSE)*Optimalisatie!J41),0)+_xlfn.IFNA(VLOOKUP(Optimalisatie!AB41,Database_Brandstoffen[#All],45,FALSE)*((Optimalisatie!J41/Optimalisatie!AD41)*Optimalisatie!AC41),0)&gt;0,_xlfn.IFNA((VLOOKUP(Optimalisatie!AA41,Database_Asfalt_Verwijderset[#All],45,FALSE)*Optimalisatie!J41),0)+_xlfn.IFNA(VLOOKUP(Optimalisatie!AB41,Database_Brandstoffen[#All],45,FALSE)*((Optimalisatie!J41/Optimalisatie!AD41)*Optimalisatie!AC41),0),(_xlfn.IFNA(VLOOKUP(Inschrijf_Fossiele_Energie_Totaal[[#This Row],[Product]]&amp;", "&amp;Inschrijf_MKI_Totaal[[#Headers],[C1]],Database_Productkaarten[#All],51,FALSE),0)*Optimalisatie!J41)),0)</f>
        <v>0</v>
      </c>
      <c r="M459" s="91">
        <f>(IF(Optimalisatie!C41="Bestaande Situatie",_xlfn.IFNA(VLOOKUP(Optimalisatie!AF41,Database_Transport[#All],45,FALSE)*(Optimalisatie!R41*Optimalisatie!AE41),Baseline_Backlog!M459),0))</f>
        <v>0</v>
      </c>
      <c r="N459" s="91">
        <f>(IF(Optimalisatie!C41="Bestaande Situatie",_xlfn.IFNA(VLOOKUP(Optimalisatie!AG41,Database_Asfalt_Verwerkingsset[#All],45,FALSE)*(Optimalisatie!J41/VLOOKUP(Optimalisatie!AG41,Database_Asfalt_Verwerkingsset[#All],45,FALSE)),Baseline_Backlog!N459),0))</f>
        <v>0</v>
      </c>
      <c r="O459" s="91">
        <f>(IF(Optimalisatie!C41="Bestaande Situatie",_xlfn.IFNA(VLOOKUP(Inschrijf_Fossiele_Energie_Totaal[[#This Row],[Product]]&amp;", "&amp;Inschrijf_MKI_Totaal[[#Headers],[C4]],Database_Productkaarten[#All],51,FALSE)*Optimalisatie!J41,Baseline_Backlog!O459),0))</f>
        <v>0</v>
      </c>
      <c r="P459" s="91">
        <f>(IF(Optimalisatie!C41="Bestaande Situatie",_xlfn.IFNA(IF(Optimalisatie!E41="Categorie_1_LCA_Producten",VLOOKUP(Inschrijf_Fossiele_Energie_Totaal[[#This Row],[Product]],Categorie_1_Producten[#All],30,FALSE)*(Optimalisatie!J41),VLOOKUP(Inschrijf_Fossiele_Energie_Totaal[[#This Row],[Product]]&amp;", "&amp;Inschrijf_Fossiele_Energie_Totaal[[#Headers],[D1]],Database_Productkaarten[#All],51,FALSE)*Optimalisatie!J41),Baseline_Backlog!P459),0))</f>
        <v>0</v>
      </c>
      <c r="Q459" s="91">
        <f>(IF(Optimalisatie!C41="Bestaande Situatie",_xlfn.IFNA(IF(Optimalisatie!E41="Categorie_1_LCA_Producten",VLOOKUP(Inschrijf_Fossiele_Energie_Totaal[[#This Row],[Product]],Categorie_1_Producten[#All],31,FALSE)*(Optimalisatie!J41),VLOOKUP(Inschrijf_Fossiele_Energie_Totaal[[#This Row],[Product]]&amp;", "&amp;Inschrijf_Fossiele_Energie_Totaal[[#Headers],[D2]],Database_Productkaarten[#All],51,FALSE)*Optimalisatie!J41),Baseline_Backlog!Q459),0))</f>
        <v>0</v>
      </c>
      <c r="R459" s="91">
        <f>(IF(Optimalisatie!C41="Bestaande Situatie",_xlfn.IFNA(IF(Optimalisatie!E41="Categorie_1_LCA_Producten",VLOOKUP(Inschrijf_Fossiele_Energie_Totaal[[#This Row],[Product]],Categorie_1_Producten[#All],37,FALSE)*(Optimalisatie!J41),VLOOKUP(Inschrijf_Fossiele_Energie_Totaal[[#This Row],[Product]]&amp;", "&amp;Inschrijf_Fossiele_Energie_Totaal[[#Headers],[D]],Database_Productkaarten[#All],51,FALSE)*Optimalisatie!J41),Baseline_Backlog!S459),0))</f>
        <v>0</v>
      </c>
      <c r="S459" s="91">
        <f>SUM(Inschrijf_Fossiele_Energie_Totaal[[#This Row],[A1-A3]:[C4]])+Inschrijf_Fossiele_Energie_Totaal[[#This Row],[D]]</f>
        <v>0</v>
      </c>
    </row>
    <row r="460" spans="2:19">
      <c r="B460" s="208">
        <f>Optimalisatie!B42</f>
        <v>0</v>
      </c>
      <c r="C460" s="1">
        <f>Optimalisatie!F42</f>
        <v>0</v>
      </c>
      <c r="D460" s="91">
        <f>(IF(Optimalisatie!C42="Nieuwe Situatie",_xlfn.IFNA(IF(Optimalisatie!E42="Categorie_1_LCA_Producten",VLOOKUP(Inschrijf_Fossiele_Energie_Totaal[[#This Row],[Product]],Categorie_1_Producten[#All],26,FALSE)*(Optimalisatie!J42),VLOOKUP(Inschrijf_Fossiele_Energie_Totaal[[#This Row],[Product]]&amp;", "&amp;Inschrijf_Fossiele_Energie_Totaal[[#Headers],[A1]],Database_Productkaarten[#All],51,FALSE)*Optimalisatie!J42),Baseline_Backlog!D460),0))</f>
        <v>0</v>
      </c>
      <c r="E460" s="91">
        <f>(IF(Optimalisatie!C42="Nieuwe Situatie",_xlfn.IFNA(IF(Optimalisatie!E42="Categorie_1_LCA_Producten",VLOOKUP(Inschrijf_Fossiele_Energie_Totaal[[#This Row],[Product]],Categorie_1_Producten[#All],27,FALSE)*(Optimalisatie!J42),VLOOKUP(Inschrijf_Fossiele_Energie_Totaal[[#This Row],[Product]]&amp;", "&amp;Inschrijf_Fossiele_Energie_Totaal[[#Headers],[A2]],Database_Productkaarten[#All],51,FALSE)*Optimalisatie!J42),Baseline_Backlog!E460),0))</f>
        <v>0</v>
      </c>
      <c r="F460" s="91">
        <f>(IF(Optimalisatie!C42="Nieuwe Situatie",_xlfn.IFNA(IF(Optimalisatie!E42="Categorie_1_LCA_Producten",VLOOKUP(Inschrijf_Fossiele_Energie_Totaal[[#This Row],[Product]],Categorie_1_Producten[#All],28,FALSE)*(Optimalisatie!J42),VLOOKUP(Inschrijf_Fossiele_Energie_Totaal[[#This Row],[Product]]&amp;", "&amp;Inschrijf_Fossiele_Energie_Totaal[[#Headers],[A3]],Database_Productkaarten[#All],51,FALSE)*Optimalisatie!J42),Baseline_Backlog!F460),0))</f>
        <v>0</v>
      </c>
      <c r="G460" s="91">
        <f>(IF(Optimalisatie!C42="Nieuwe Situatie",_xlfn.IFNA(IF(Optimalisatie!E42="Categorie_1_LCA_Producten",VLOOKUP(Inschrijf_Fossiele_Energie_Totaal[[#This Row],[Product]],Categorie_1_Producten[#All],35,FALSE)*(Optimalisatie!J42),VLOOKUP(Inschrijf_Fossiele_Energie_Totaal[[#This Row],[Product]]&amp;", "&amp;Inschrijf_Fossiele_Energie_Totaal[[#Headers],[A1-A3]],Database_Productkaarten[#All],51,FALSE)*Optimalisatie!J42),Baseline_Backlog!G460),0))</f>
        <v>0</v>
      </c>
      <c r="H460" s="91">
        <f>(IF(Optimalisatie!C42="Nieuwe Situatie",_xlfn.IFNA(VLOOKUP(Optimalisatie!V42,Database_Transport[#All],45,FALSE)*(Optimalisatie!R42*Optimalisatie!U42),Baseline_Backlog!H460),0))</f>
        <v>0</v>
      </c>
      <c r="I460" s="91">
        <f>IF(Optimalisatie!C42="Nieuwe situatie",IF(_xlfn.IFNA((VLOOKUP(Optimalisatie!W42,Database_Asfalt_Aanlegset[#All],45,FALSE)*Optimalisatie!J42),0)+_xlfn.IFNA(VLOOKUP(Optimalisatie!X42,Database_Brandstoffen[#All],45,FALSE)*((Optimalisatie!J42/Optimalisatie!Z42)*Optimalisatie!Y42),0)&gt;0,_xlfn.IFNA((VLOOKUP(Optimalisatie!W42,Database_Asfalt_Aanlegset[#All],45,FALSE)*Optimalisatie!J42),0)+_xlfn.IFNA(VLOOKUP(Optimalisatie!X42,Database_Brandstoffen[#All],45,FALSE)*((Optimalisatie!J42/Optimalisatie!Z42)*Optimalisatie!Y42),0),(_xlfn.IFNA(VLOOKUP(Inschrijf_Fossiele_Energie_Totaal[[#This Row],[Product]]&amp;", "&amp;Inschrijf_MKI_Totaal[[#Headers],[A5]],Database_Productkaarten[#All],51,FALSE),0)*Optimalisatie!J42)),0)</f>
        <v>0</v>
      </c>
      <c r="J460" s="91">
        <f>(IF(Optimalisatie!C42="Nieuwe Situatie",_xlfn.IFNA(IF(Optimalisatie!E42="Categorie_1_LCA_Producten",VLOOKUP(Inschrijf_Fossiele_Energie_Totaal[[#This Row],[Product]],Categorie_1_Producten[#All],36,FALSE)*(Optimalisatie!R42),VLOOKUP(Inschrijf_Fossiele_Energie_Totaal[[#This Row],[Product]]&amp;", "&amp;Inschrijf_Fossiele_Energie_Totaal[[#Headers],[B1]],Database_Productkaarten[#All],51,FALSE)*Optimalisatie!J42),Baseline_Backlog!J460),0))</f>
        <v>0</v>
      </c>
      <c r="K460" s="91">
        <f>(IF(Optimalisatie!C42="Nieuwe Situatie",_xlfn.IFNA(SUM(Inschrijf_Fossiele_Energie_Totaal[[#This Row],[A1]:[B1]],Inschrijf_Fossiele_Energie_Totaal[[#This Row],[C1]:[D2]])*Optimalisatie!T42,0),0))</f>
        <v>0</v>
      </c>
      <c r="L460" s="91">
        <f>IF(Optimalisatie!C42="Bestaande situatie",IF(_xlfn.IFNA((VLOOKUP(Optimalisatie!AA42,Database_Asfalt_Verwijderset[#All],45,FALSE)*Optimalisatie!J42),0)+_xlfn.IFNA(VLOOKUP(Optimalisatie!AB42,Database_Brandstoffen[#All],45,FALSE)*((Optimalisatie!J42/Optimalisatie!AD42)*Optimalisatie!AC42),0)&gt;0,_xlfn.IFNA((VLOOKUP(Optimalisatie!AA42,Database_Asfalt_Verwijderset[#All],45,FALSE)*Optimalisatie!J42),0)+_xlfn.IFNA(VLOOKUP(Optimalisatie!AB42,Database_Brandstoffen[#All],45,FALSE)*((Optimalisatie!J42/Optimalisatie!AD42)*Optimalisatie!AC42),0),(_xlfn.IFNA(VLOOKUP(Inschrijf_Fossiele_Energie_Totaal[[#This Row],[Product]]&amp;", "&amp;Inschrijf_MKI_Totaal[[#Headers],[C1]],Database_Productkaarten[#All],51,FALSE),0)*Optimalisatie!J42)),0)</f>
        <v>0</v>
      </c>
      <c r="M460" s="91">
        <f>(IF(Optimalisatie!C42="Bestaande Situatie",_xlfn.IFNA(VLOOKUP(Optimalisatie!AF42,Database_Transport[#All],45,FALSE)*(Optimalisatie!R42*Optimalisatie!AE42),Baseline_Backlog!M460),0))</f>
        <v>0</v>
      </c>
      <c r="N460" s="91">
        <f>(IF(Optimalisatie!C42="Bestaande Situatie",_xlfn.IFNA(VLOOKUP(Optimalisatie!AG42,Database_Asfalt_Verwerkingsset[#All],45,FALSE)*(Optimalisatie!J42/VLOOKUP(Optimalisatie!AG42,Database_Asfalt_Verwerkingsset[#All],45,FALSE)),Baseline_Backlog!N460),0))</f>
        <v>0</v>
      </c>
      <c r="O460" s="91">
        <f>(IF(Optimalisatie!C42="Bestaande Situatie",_xlfn.IFNA(VLOOKUP(Inschrijf_Fossiele_Energie_Totaal[[#This Row],[Product]]&amp;", "&amp;Inschrijf_MKI_Totaal[[#Headers],[C4]],Database_Productkaarten[#All],51,FALSE)*Optimalisatie!J42,Baseline_Backlog!O460),0))</f>
        <v>0</v>
      </c>
      <c r="P460" s="91">
        <f>(IF(Optimalisatie!C42="Bestaande Situatie",_xlfn.IFNA(IF(Optimalisatie!E42="Categorie_1_LCA_Producten",VLOOKUP(Inschrijf_Fossiele_Energie_Totaal[[#This Row],[Product]],Categorie_1_Producten[#All],30,FALSE)*(Optimalisatie!J42),VLOOKUP(Inschrijf_Fossiele_Energie_Totaal[[#This Row],[Product]]&amp;", "&amp;Inschrijf_Fossiele_Energie_Totaal[[#Headers],[D1]],Database_Productkaarten[#All],51,FALSE)*Optimalisatie!J42),Baseline_Backlog!P460),0))</f>
        <v>0</v>
      </c>
      <c r="Q460" s="91">
        <f>(IF(Optimalisatie!C42="Bestaande Situatie",_xlfn.IFNA(IF(Optimalisatie!E42="Categorie_1_LCA_Producten",VLOOKUP(Inschrijf_Fossiele_Energie_Totaal[[#This Row],[Product]],Categorie_1_Producten[#All],31,FALSE)*(Optimalisatie!J42),VLOOKUP(Inschrijf_Fossiele_Energie_Totaal[[#This Row],[Product]]&amp;", "&amp;Inschrijf_Fossiele_Energie_Totaal[[#Headers],[D2]],Database_Productkaarten[#All],51,FALSE)*Optimalisatie!J42),Baseline_Backlog!Q460),0))</f>
        <v>0</v>
      </c>
      <c r="R460" s="91">
        <f>(IF(Optimalisatie!C42="Bestaande Situatie",_xlfn.IFNA(IF(Optimalisatie!E42="Categorie_1_LCA_Producten",VLOOKUP(Inschrijf_Fossiele_Energie_Totaal[[#This Row],[Product]],Categorie_1_Producten[#All],37,FALSE)*(Optimalisatie!J42),VLOOKUP(Inschrijf_Fossiele_Energie_Totaal[[#This Row],[Product]]&amp;", "&amp;Inschrijf_Fossiele_Energie_Totaal[[#Headers],[D]],Database_Productkaarten[#All],51,FALSE)*Optimalisatie!J42),Baseline_Backlog!S460),0))</f>
        <v>0</v>
      </c>
      <c r="S460" s="91">
        <f>SUM(Inschrijf_Fossiele_Energie_Totaal[[#This Row],[A1-A3]:[C4]])+Inschrijf_Fossiele_Energie_Totaal[[#This Row],[D]]</f>
        <v>0</v>
      </c>
    </row>
    <row r="461" spans="2:19">
      <c r="B461" s="208">
        <f>Optimalisatie!B43</f>
        <v>0</v>
      </c>
      <c r="C461" s="1">
        <f>Optimalisatie!F43</f>
        <v>0</v>
      </c>
      <c r="D461" s="91">
        <f>(IF(Optimalisatie!C43="Nieuwe Situatie",_xlfn.IFNA(IF(Optimalisatie!E43="Categorie_1_LCA_Producten",VLOOKUP(Inschrijf_Fossiele_Energie_Totaal[[#This Row],[Product]],Categorie_1_Producten[#All],26,FALSE)*(Optimalisatie!J43),VLOOKUP(Inschrijf_Fossiele_Energie_Totaal[[#This Row],[Product]]&amp;", "&amp;Inschrijf_Fossiele_Energie_Totaal[[#Headers],[A1]],Database_Productkaarten[#All],51,FALSE)*Optimalisatie!J43),Baseline_Backlog!D461),0))</f>
        <v>0</v>
      </c>
      <c r="E461" s="91">
        <f>(IF(Optimalisatie!C43="Nieuwe Situatie",_xlfn.IFNA(IF(Optimalisatie!E43="Categorie_1_LCA_Producten",VLOOKUP(Inschrijf_Fossiele_Energie_Totaal[[#This Row],[Product]],Categorie_1_Producten[#All],27,FALSE)*(Optimalisatie!J43),VLOOKUP(Inschrijf_Fossiele_Energie_Totaal[[#This Row],[Product]]&amp;", "&amp;Inschrijf_Fossiele_Energie_Totaal[[#Headers],[A2]],Database_Productkaarten[#All],51,FALSE)*Optimalisatie!J43),Baseline_Backlog!E461),0))</f>
        <v>0</v>
      </c>
      <c r="F461" s="91">
        <f>(IF(Optimalisatie!C43="Nieuwe Situatie",_xlfn.IFNA(IF(Optimalisatie!E43="Categorie_1_LCA_Producten",VLOOKUP(Inschrijf_Fossiele_Energie_Totaal[[#This Row],[Product]],Categorie_1_Producten[#All],28,FALSE)*(Optimalisatie!J43),VLOOKUP(Inschrijf_Fossiele_Energie_Totaal[[#This Row],[Product]]&amp;", "&amp;Inschrijf_Fossiele_Energie_Totaal[[#Headers],[A3]],Database_Productkaarten[#All],51,FALSE)*Optimalisatie!J43),Baseline_Backlog!F461),0))</f>
        <v>0</v>
      </c>
      <c r="G461" s="91">
        <f>(IF(Optimalisatie!C43="Nieuwe Situatie",_xlfn.IFNA(IF(Optimalisatie!E43="Categorie_1_LCA_Producten",VLOOKUP(Inschrijf_Fossiele_Energie_Totaal[[#This Row],[Product]],Categorie_1_Producten[#All],35,FALSE)*(Optimalisatie!J43),VLOOKUP(Inschrijf_Fossiele_Energie_Totaal[[#This Row],[Product]]&amp;", "&amp;Inschrijf_Fossiele_Energie_Totaal[[#Headers],[A1-A3]],Database_Productkaarten[#All],51,FALSE)*Optimalisatie!J43),Baseline_Backlog!G461),0))</f>
        <v>0</v>
      </c>
      <c r="H461" s="91">
        <f>(IF(Optimalisatie!C43="Nieuwe Situatie",_xlfn.IFNA(VLOOKUP(Optimalisatie!V43,Database_Transport[#All],45,FALSE)*(Optimalisatie!R43*Optimalisatie!U43),Baseline_Backlog!H461),0))</f>
        <v>0</v>
      </c>
      <c r="I461" s="91">
        <f>IF(Optimalisatie!C43="Nieuwe situatie",IF(_xlfn.IFNA((VLOOKUP(Optimalisatie!W43,Database_Asfalt_Aanlegset[#All],45,FALSE)*Optimalisatie!J43),0)+_xlfn.IFNA(VLOOKUP(Optimalisatie!X43,Database_Brandstoffen[#All],45,FALSE)*((Optimalisatie!J43/Optimalisatie!Z43)*Optimalisatie!Y43),0)&gt;0,_xlfn.IFNA((VLOOKUP(Optimalisatie!W43,Database_Asfalt_Aanlegset[#All],45,FALSE)*Optimalisatie!J43),0)+_xlfn.IFNA(VLOOKUP(Optimalisatie!X43,Database_Brandstoffen[#All],45,FALSE)*((Optimalisatie!J43/Optimalisatie!Z43)*Optimalisatie!Y43),0),(_xlfn.IFNA(VLOOKUP(Inschrijf_Fossiele_Energie_Totaal[[#This Row],[Product]]&amp;", "&amp;Inschrijf_MKI_Totaal[[#Headers],[A5]],Database_Productkaarten[#All],51,FALSE),0)*Optimalisatie!J43)),0)</f>
        <v>0</v>
      </c>
      <c r="J461" s="91">
        <f>(IF(Optimalisatie!C43="Nieuwe Situatie",_xlfn.IFNA(IF(Optimalisatie!E43="Categorie_1_LCA_Producten",VLOOKUP(Inschrijf_Fossiele_Energie_Totaal[[#This Row],[Product]],Categorie_1_Producten[#All],36,FALSE)*(Optimalisatie!R43),VLOOKUP(Inschrijf_Fossiele_Energie_Totaal[[#This Row],[Product]]&amp;", "&amp;Inschrijf_Fossiele_Energie_Totaal[[#Headers],[B1]],Database_Productkaarten[#All],51,FALSE)*Optimalisatie!J43),Baseline_Backlog!J461),0))</f>
        <v>0</v>
      </c>
      <c r="K461" s="91">
        <f>(IF(Optimalisatie!C43="Nieuwe Situatie",_xlfn.IFNA(SUM(Inschrijf_Fossiele_Energie_Totaal[[#This Row],[A1]:[B1]],Inschrijf_Fossiele_Energie_Totaal[[#This Row],[C1]:[D2]])*Optimalisatie!T43,0),0))</f>
        <v>0</v>
      </c>
      <c r="L461" s="91">
        <f>IF(Optimalisatie!C43="Bestaande situatie",IF(_xlfn.IFNA((VLOOKUP(Optimalisatie!AA43,Database_Asfalt_Verwijderset[#All],45,FALSE)*Optimalisatie!J43),0)+_xlfn.IFNA(VLOOKUP(Optimalisatie!AB43,Database_Brandstoffen[#All],45,FALSE)*((Optimalisatie!J43/Optimalisatie!AD43)*Optimalisatie!AC43),0)&gt;0,_xlfn.IFNA((VLOOKUP(Optimalisatie!AA43,Database_Asfalt_Verwijderset[#All],45,FALSE)*Optimalisatie!J43),0)+_xlfn.IFNA(VLOOKUP(Optimalisatie!AB43,Database_Brandstoffen[#All],45,FALSE)*((Optimalisatie!J43/Optimalisatie!AD43)*Optimalisatie!AC43),0),(_xlfn.IFNA(VLOOKUP(Inschrijf_Fossiele_Energie_Totaal[[#This Row],[Product]]&amp;", "&amp;Inschrijf_MKI_Totaal[[#Headers],[C1]],Database_Productkaarten[#All],51,FALSE),0)*Optimalisatie!J43)),0)</f>
        <v>0</v>
      </c>
      <c r="M461" s="91">
        <f>(IF(Optimalisatie!C43="Bestaande Situatie",_xlfn.IFNA(VLOOKUP(Optimalisatie!AF43,Database_Transport[#All],45,FALSE)*(Optimalisatie!R43*Optimalisatie!AE43),Baseline_Backlog!M461),0))</f>
        <v>0</v>
      </c>
      <c r="N461" s="91">
        <f>(IF(Optimalisatie!C43="Bestaande Situatie",_xlfn.IFNA(VLOOKUP(Optimalisatie!AG43,Database_Asfalt_Verwerkingsset[#All],45,FALSE)*(Optimalisatie!J43/VLOOKUP(Optimalisatie!AG43,Database_Asfalt_Verwerkingsset[#All],45,FALSE)),Baseline_Backlog!N461),0))</f>
        <v>0</v>
      </c>
      <c r="O461" s="91">
        <f>(IF(Optimalisatie!C43="Bestaande Situatie",_xlfn.IFNA(VLOOKUP(Inschrijf_Fossiele_Energie_Totaal[[#This Row],[Product]]&amp;", "&amp;Inschrijf_MKI_Totaal[[#Headers],[C4]],Database_Productkaarten[#All],51,FALSE)*Optimalisatie!J43,Baseline_Backlog!O461),0))</f>
        <v>0</v>
      </c>
      <c r="P461" s="91">
        <f>(IF(Optimalisatie!C43="Bestaande Situatie",_xlfn.IFNA(IF(Optimalisatie!E43="Categorie_1_LCA_Producten",VLOOKUP(Inschrijf_Fossiele_Energie_Totaal[[#This Row],[Product]],Categorie_1_Producten[#All],30,FALSE)*(Optimalisatie!J43),VLOOKUP(Inschrijf_Fossiele_Energie_Totaal[[#This Row],[Product]]&amp;", "&amp;Inschrijf_Fossiele_Energie_Totaal[[#Headers],[D1]],Database_Productkaarten[#All],51,FALSE)*Optimalisatie!J43),Baseline_Backlog!P461),0))</f>
        <v>0</v>
      </c>
      <c r="Q461" s="91">
        <f>(IF(Optimalisatie!C43="Bestaande Situatie",_xlfn.IFNA(IF(Optimalisatie!E43="Categorie_1_LCA_Producten",VLOOKUP(Inschrijf_Fossiele_Energie_Totaal[[#This Row],[Product]],Categorie_1_Producten[#All],31,FALSE)*(Optimalisatie!J43),VLOOKUP(Inschrijf_Fossiele_Energie_Totaal[[#This Row],[Product]]&amp;", "&amp;Inschrijf_Fossiele_Energie_Totaal[[#Headers],[D2]],Database_Productkaarten[#All],51,FALSE)*Optimalisatie!J43),Baseline_Backlog!Q461),0))</f>
        <v>0</v>
      </c>
      <c r="R461" s="91">
        <f>(IF(Optimalisatie!C43="Bestaande Situatie",_xlfn.IFNA(IF(Optimalisatie!E43="Categorie_1_LCA_Producten",VLOOKUP(Inschrijf_Fossiele_Energie_Totaal[[#This Row],[Product]],Categorie_1_Producten[#All],37,FALSE)*(Optimalisatie!J43),VLOOKUP(Inschrijf_Fossiele_Energie_Totaal[[#This Row],[Product]]&amp;", "&amp;Inschrijf_Fossiele_Energie_Totaal[[#Headers],[D]],Database_Productkaarten[#All],51,FALSE)*Optimalisatie!J43),Baseline_Backlog!S461),0))</f>
        <v>0</v>
      </c>
      <c r="S461" s="91">
        <f>SUM(Inschrijf_Fossiele_Energie_Totaal[[#This Row],[A1-A3]:[C4]])+Inschrijf_Fossiele_Energie_Totaal[[#This Row],[D]]</f>
        <v>0</v>
      </c>
    </row>
    <row r="462" spans="2:19">
      <c r="B462" s="208">
        <f>Optimalisatie!B44</f>
        <v>0</v>
      </c>
      <c r="C462" s="1">
        <f>Optimalisatie!F44</f>
        <v>0</v>
      </c>
      <c r="D462" s="91">
        <f>(IF(Optimalisatie!C44="Nieuwe Situatie",_xlfn.IFNA(IF(Optimalisatie!E44="Categorie_1_LCA_Producten",VLOOKUP(Inschrijf_Fossiele_Energie_Totaal[[#This Row],[Product]],Categorie_1_Producten[#All],26,FALSE)*(Optimalisatie!J44),VLOOKUP(Inschrijf_Fossiele_Energie_Totaal[[#This Row],[Product]]&amp;", "&amp;Inschrijf_Fossiele_Energie_Totaal[[#Headers],[A1]],Database_Productkaarten[#All],51,FALSE)*Optimalisatie!J44),Baseline_Backlog!D462),0))</f>
        <v>0</v>
      </c>
      <c r="E462" s="91">
        <f>(IF(Optimalisatie!C44="Nieuwe Situatie",_xlfn.IFNA(IF(Optimalisatie!E44="Categorie_1_LCA_Producten",VLOOKUP(Inschrijf_Fossiele_Energie_Totaal[[#This Row],[Product]],Categorie_1_Producten[#All],27,FALSE)*(Optimalisatie!J44),VLOOKUP(Inschrijf_Fossiele_Energie_Totaal[[#This Row],[Product]]&amp;", "&amp;Inschrijf_Fossiele_Energie_Totaal[[#Headers],[A2]],Database_Productkaarten[#All],51,FALSE)*Optimalisatie!J44),Baseline_Backlog!E462),0))</f>
        <v>0</v>
      </c>
      <c r="F462" s="91">
        <f>(IF(Optimalisatie!C44="Nieuwe Situatie",_xlfn.IFNA(IF(Optimalisatie!E44="Categorie_1_LCA_Producten",VLOOKUP(Inschrijf_Fossiele_Energie_Totaal[[#This Row],[Product]],Categorie_1_Producten[#All],28,FALSE)*(Optimalisatie!J44),VLOOKUP(Inschrijf_Fossiele_Energie_Totaal[[#This Row],[Product]]&amp;", "&amp;Inschrijf_Fossiele_Energie_Totaal[[#Headers],[A3]],Database_Productkaarten[#All],51,FALSE)*Optimalisatie!J44),Baseline_Backlog!F462),0))</f>
        <v>0</v>
      </c>
      <c r="G462" s="91">
        <f>(IF(Optimalisatie!C44="Nieuwe Situatie",_xlfn.IFNA(IF(Optimalisatie!E44="Categorie_1_LCA_Producten",VLOOKUP(Inschrijf_Fossiele_Energie_Totaal[[#This Row],[Product]],Categorie_1_Producten[#All],35,FALSE)*(Optimalisatie!J44),VLOOKUP(Inschrijf_Fossiele_Energie_Totaal[[#This Row],[Product]]&amp;", "&amp;Inschrijf_Fossiele_Energie_Totaal[[#Headers],[A1-A3]],Database_Productkaarten[#All],51,FALSE)*Optimalisatie!J44),Baseline_Backlog!G462),0))</f>
        <v>0</v>
      </c>
      <c r="H462" s="91">
        <f>(IF(Optimalisatie!C44="Nieuwe Situatie",_xlfn.IFNA(VLOOKUP(Optimalisatie!V44,Database_Transport[#All],45,FALSE)*(Optimalisatie!R44*Optimalisatie!U44),Baseline_Backlog!H462),0))</f>
        <v>0</v>
      </c>
      <c r="I462" s="91">
        <f>IF(Optimalisatie!C44="Nieuwe situatie",IF(_xlfn.IFNA((VLOOKUP(Optimalisatie!W44,Database_Asfalt_Aanlegset[#All],45,FALSE)*Optimalisatie!J44),0)+_xlfn.IFNA(VLOOKUP(Optimalisatie!X44,Database_Brandstoffen[#All],45,FALSE)*((Optimalisatie!J44/Optimalisatie!Z44)*Optimalisatie!Y44),0)&gt;0,_xlfn.IFNA((VLOOKUP(Optimalisatie!W44,Database_Asfalt_Aanlegset[#All],45,FALSE)*Optimalisatie!J44),0)+_xlfn.IFNA(VLOOKUP(Optimalisatie!X44,Database_Brandstoffen[#All],45,FALSE)*((Optimalisatie!J44/Optimalisatie!Z44)*Optimalisatie!Y44),0),(_xlfn.IFNA(VLOOKUP(Inschrijf_Fossiele_Energie_Totaal[[#This Row],[Product]]&amp;", "&amp;Inschrijf_MKI_Totaal[[#Headers],[A5]],Database_Productkaarten[#All],51,FALSE),0)*Optimalisatie!J44)),0)</f>
        <v>0</v>
      </c>
      <c r="J462" s="91">
        <f>(IF(Optimalisatie!C44="Nieuwe Situatie",_xlfn.IFNA(IF(Optimalisatie!E44="Categorie_1_LCA_Producten",VLOOKUP(Inschrijf_Fossiele_Energie_Totaal[[#This Row],[Product]],Categorie_1_Producten[#All],36,FALSE)*(Optimalisatie!R44),VLOOKUP(Inschrijf_Fossiele_Energie_Totaal[[#This Row],[Product]]&amp;", "&amp;Inschrijf_Fossiele_Energie_Totaal[[#Headers],[B1]],Database_Productkaarten[#All],51,FALSE)*Optimalisatie!J44),Baseline_Backlog!J462),0))</f>
        <v>0</v>
      </c>
      <c r="K462" s="91">
        <f>(IF(Optimalisatie!C44="Nieuwe Situatie",_xlfn.IFNA(SUM(Inschrijf_Fossiele_Energie_Totaal[[#This Row],[A1]:[B1]],Inschrijf_Fossiele_Energie_Totaal[[#This Row],[C1]:[D2]])*Optimalisatie!T44,0),0))</f>
        <v>0</v>
      </c>
      <c r="L462" s="91">
        <f>IF(Optimalisatie!C44="Bestaande situatie",IF(_xlfn.IFNA((VLOOKUP(Optimalisatie!AA44,Database_Asfalt_Verwijderset[#All],45,FALSE)*Optimalisatie!J44),0)+_xlfn.IFNA(VLOOKUP(Optimalisatie!AB44,Database_Brandstoffen[#All],45,FALSE)*((Optimalisatie!J44/Optimalisatie!AD44)*Optimalisatie!AC44),0)&gt;0,_xlfn.IFNA((VLOOKUP(Optimalisatie!AA44,Database_Asfalt_Verwijderset[#All],45,FALSE)*Optimalisatie!J44),0)+_xlfn.IFNA(VLOOKUP(Optimalisatie!AB44,Database_Brandstoffen[#All],45,FALSE)*((Optimalisatie!J44/Optimalisatie!AD44)*Optimalisatie!AC44),0),(_xlfn.IFNA(VLOOKUP(Inschrijf_Fossiele_Energie_Totaal[[#This Row],[Product]]&amp;", "&amp;Inschrijf_MKI_Totaal[[#Headers],[C1]],Database_Productkaarten[#All],51,FALSE),0)*Optimalisatie!J44)),0)</f>
        <v>0</v>
      </c>
      <c r="M462" s="91">
        <f>(IF(Optimalisatie!C44="Bestaande Situatie",_xlfn.IFNA(VLOOKUP(Optimalisatie!AF44,Database_Transport[#All],45,FALSE)*(Optimalisatie!R44*Optimalisatie!AE44),Baseline_Backlog!M462),0))</f>
        <v>0</v>
      </c>
      <c r="N462" s="91">
        <f>(IF(Optimalisatie!C44="Bestaande Situatie",_xlfn.IFNA(VLOOKUP(Optimalisatie!AG44,Database_Asfalt_Verwerkingsset[#All],45,FALSE)*(Optimalisatie!J44/VLOOKUP(Optimalisatie!AG44,Database_Asfalt_Verwerkingsset[#All],45,FALSE)),Baseline_Backlog!N462),0))</f>
        <v>0</v>
      </c>
      <c r="O462" s="91">
        <f>(IF(Optimalisatie!C44="Bestaande Situatie",_xlfn.IFNA(VLOOKUP(Inschrijf_Fossiele_Energie_Totaal[[#This Row],[Product]]&amp;", "&amp;Inschrijf_MKI_Totaal[[#Headers],[C4]],Database_Productkaarten[#All],51,FALSE)*Optimalisatie!J44,Baseline_Backlog!O462),0))</f>
        <v>0</v>
      </c>
      <c r="P462" s="91">
        <f>(IF(Optimalisatie!C44="Bestaande Situatie",_xlfn.IFNA(IF(Optimalisatie!E44="Categorie_1_LCA_Producten",VLOOKUP(Inschrijf_Fossiele_Energie_Totaal[[#This Row],[Product]],Categorie_1_Producten[#All],30,FALSE)*(Optimalisatie!J44),VLOOKUP(Inschrijf_Fossiele_Energie_Totaal[[#This Row],[Product]]&amp;", "&amp;Inschrijf_Fossiele_Energie_Totaal[[#Headers],[D1]],Database_Productkaarten[#All],51,FALSE)*Optimalisatie!J44),Baseline_Backlog!P462),0))</f>
        <v>0</v>
      </c>
      <c r="Q462" s="91">
        <f>(IF(Optimalisatie!C44="Bestaande Situatie",_xlfn.IFNA(IF(Optimalisatie!E44="Categorie_1_LCA_Producten",VLOOKUP(Inschrijf_Fossiele_Energie_Totaal[[#This Row],[Product]],Categorie_1_Producten[#All],31,FALSE)*(Optimalisatie!J44),VLOOKUP(Inschrijf_Fossiele_Energie_Totaal[[#This Row],[Product]]&amp;", "&amp;Inschrijf_Fossiele_Energie_Totaal[[#Headers],[D2]],Database_Productkaarten[#All],51,FALSE)*Optimalisatie!J44),Baseline_Backlog!Q462),0))</f>
        <v>0</v>
      </c>
      <c r="R462" s="91">
        <f>(IF(Optimalisatie!C44="Bestaande Situatie",_xlfn.IFNA(IF(Optimalisatie!E44="Categorie_1_LCA_Producten",VLOOKUP(Inschrijf_Fossiele_Energie_Totaal[[#This Row],[Product]],Categorie_1_Producten[#All],37,FALSE)*(Optimalisatie!J44),VLOOKUP(Inschrijf_Fossiele_Energie_Totaal[[#This Row],[Product]]&amp;", "&amp;Inschrijf_Fossiele_Energie_Totaal[[#Headers],[D]],Database_Productkaarten[#All],51,FALSE)*Optimalisatie!J44),Baseline_Backlog!S462),0))</f>
        <v>0</v>
      </c>
      <c r="S462" s="91">
        <f>SUM(Inschrijf_Fossiele_Energie_Totaal[[#This Row],[A1-A3]:[C4]])+Inschrijf_Fossiele_Energie_Totaal[[#This Row],[D]]</f>
        <v>0</v>
      </c>
    </row>
    <row r="463" spans="2:19">
      <c r="B463" s="208">
        <f>Optimalisatie!B45</f>
        <v>0</v>
      </c>
      <c r="C463" s="1">
        <f>Optimalisatie!F45</f>
        <v>0</v>
      </c>
      <c r="D463" s="91">
        <f>(IF(Optimalisatie!C45="Nieuwe Situatie",_xlfn.IFNA(IF(Optimalisatie!E45="Categorie_1_LCA_Producten",VLOOKUP(Inschrijf_Fossiele_Energie_Totaal[[#This Row],[Product]],Categorie_1_Producten[#All],26,FALSE)*(Optimalisatie!J45),VLOOKUP(Inschrijf_Fossiele_Energie_Totaal[[#This Row],[Product]]&amp;", "&amp;Inschrijf_Fossiele_Energie_Totaal[[#Headers],[A1]],Database_Productkaarten[#All],51,FALSE)*Optimalisatie!J45),Baseline_Backlog!D463),0))</f>
        <v>0</v>
      </c>
      <c r="E463" s="91">
        <f>(IF(Optimalisatie!C45="Nieuwe Situatie",_xlfn.IFNA(IF(Optimalisatie!E45="Categorie_1_LCA_Producten",VLOOKUP(Inschrijf_Fossiele_Energie_Totaal[[#This Row],[Product]],Categorie_1_Producten[#All],27,FALSE)*(Optimalisatie!J45),VLOOKUP(Inschrijf_Fossiele_Energie_Totaal[[#This Row],[Product]]&amp;", "&amp;Inschrijf_Fossiele_Energie_Totaal[[#Headers],[A2]],Database_Productkaarten[#All],51,FALSE)*Optimalisatie!J45),Baseline_Backlog!E463),0))</f>
        <v>0</v>
      </c>
      <c r="F463" s="91">
        <f>(IF(Optimalisatie!C45="Nieuwe Situatie",_xlfn.IFNA(IF(Optimalisatie!E45="Categorie_1_LCA_Producten",VLOOKUP(Inschrijf_Fossiele_Energie_Totaal[[#This Row],[Product]],Categorie_1_Producten[#All],28,FALSE)*(Optimalisatie!J45),VLOOKUP(Inschrijf_Fossiele_Energie_Totaal[[#This Row],[Product]]&amp;", "&amp;Inschrijf_Fossiele_Energie_Totaal[[#Headers],[A3]],Database_Productkaarten[#All],51,FALSE)*Optimalisatie!J45),Baseline_Backlog!F463),0))</f>
        <v>0</v>
      </c>
      <c r="G463" s="91">
        <f>(IF(Optimalisatie!C45="Nieuwe Situatie",_xlfn.IFNA(IF(Optimalisatie!E45="Categorie_1_LCA_Producten",VLOOKUP(Inschrijf_Fossiele_Energie_Totaal[[#This Row],[Product]],Categorie_1_Producten[#All],35,FALSE)*(Optimalisatie!J45),VLOOKUP(Inschrijf_Fossiele_Energie_Totaal[[#This Row],[Product]]&amp;", "&amp;Inschrijf_Fossiele_Energie_Totaal[[#Headers],[A1-A3]],Database_Productkaarten[#All],51,FALSE)*Optimalisatie!J45),Baseline_Backlog!G463),0))</f>
        <v>0</v>
      </c>
      <c r="H463" s="91">
        <f>(IF(Optimalisatie!C45="Nieuwe Situatie",_xlfn.IFNA(VLOOKUP(Optimalisatie!V45,Database_Transport[#All],45,FALSE)*(Optimalisatie!R45*Optimalisatie!U45),Baseline_Backlog!H463),0))</f>
        <v>0</v>
      </c>
      <c r="I463" s="91">
        <f>IF(Optimalisatie!C45="Nieuwe situatie",IF(_xlfn.IFNA((VLOOKUP(Optimalisatie!W45,Database_Asfalt_Aanlegset[#All],45,FALSE)*Optimalisatie!J45),0)+_xlfn.IFNA(VLOOKUP(Optimalisatie!X45,Database_Brandstoffen[#All],45,FALSE)*((Optimalisatie!J45/Optimalisatie!Z45)*Optimalisatie!Y45),0)&gt;0,_xlfn.IFNA((VLOOKUP(Optimalisatie!W45,Database_Asfalt_Aanlegset[#All],45,FALSE)*Optimalisatie!J45),0)+_xlfn.IFNA(VLOOKUP(Optimalisatie!X45,Database_Brandstoffen[#All],45,FALSE)*((Optimalisatie!J45/Optimalisatie!Z45)*Optimalisatie!Y45),0),(_xlfn.IFNA(VLOOKUP(Inschrijf_Fossiele_Energie_Totaal[[#This Row],[Product]]&amp;", "&amp;Inschrijf_MKI_Totaal[[#Headers],[A5]],Database_Productkaarten[#All],51,FALSE),0)*Optimalisatie!J45)),0)</f>
        <v>0</v>
      </c>
      <c r="J463" s="91">
        <f>(IF(Optimalisatie!C45="Nieuwe Situatie",_xlfn.IFNA(IF(Optimalisatie!E45="Categorie_1_LCA_Producten",VLOOKUP(Inschrijf_Fossiele_Energie_Totaal[[#This Row],[Product]],Categorie_1_Producten[#All],36,FALSE)*(Optimalisatie!R45),VLOOKUP(Inschrijf_Fossiele_Energie_Totaal[[#This Row],[Product]]&amp;", "&amp;Inschrijf_Fossiele_Energie_Totaal[[#Headers],[B1]],Database_Productkaarten[#All],51,FALSE)*Optimalisatie!J45),Baseline_Backlog!J463),0))</f>
        <v>0</v>
      </c>
      <c r="K463" s="91">
        <f>(IF(Optimalisatie!C45="Nieuwe Situatie",_xlfn.IFNA(SUM(Inschrijf_Fossiele_Energie_Totaal[[#This Row],[A1]:[B1]],Inschrijf_Fossiele_Energie_Totaal[[#This Row],[C1]:[D2]])*Optimalisatie!T45,0),0))</f>
        <v>0</v>
      </c>
      <c r="L463" s="91">
        <f>IF(Optimalisatie!C45="Bestaande situatie",IF(_xlfn.IFNA((VLOOKUP(Optimalisatie!AA45,Database_Asfalt_Verwijderset[#All],45,FALSE)*Optimalisatie!J45),0)+_xlfn.IFNA(VLOOKUP(Optimalisatie!AB45,Database_Brandstoffen[#All],45,FALSE)*((Optimalisatie!J45/Optimalisatie!AD45)*Optimalisatie!AC45),0)&gt;0,_xlfn.IFNA((VLOOKUP(Optimalisatie!AA45,Database_Asfalt_Verwijderset[#All],45,FALSE)*Optimalisatie!J45),0)+_xlfn.IFNA(VLOOKUP(Optimalisatie!AB45,Database_Brandstoffen[#All],45,FALSE)*((Optimalisatie!J45/Optimalisatie!AD45)*Optimalisatie!AC45),0),(_xlfn.IFNA(VLOOKUP(Inschrijf_Fossiele_Energie_Totaal[[#This Row],[Product]]&amp;", "&amp;Inschrijf_MKI_Totaal[[#Headers],[C1]],Database_Productkaarten[#All],51,FALSE),0)*Optimalisatie!J45)),0)</f>
        <v>0</v>
      </c>
      <c r="M463" s="91">
        <f>(IF(Optimalisatie!C45="Bestaande Situatie",_xlfn.IFNA(VLOOKUP(Optimalisatie!AF45,Database_Transport[#All],45,FALSE)*(Optimalisatie!R45*Optimalisatie!AE45),Baseline_Backlog!M463),0))</f>
        <v>0</v>
      </c>
      <c r="N463" s="91">
        <f>(IF(Optimalisatie!C45="Bestaande Situatie",_xlfn.IFNA(VLOOKUP(Optimalisatie!AG45,Database_Asfalt_Verwerkingsset[#All],45,FALSE)*(Optimalisatie!J45/VLOOKUP(Optimalisatie!AG45,Database_Asfalt_Verwerkingsset[#All],45,FALSE)),Baseline_Backlog!N463),0))</f>
        <v>0</v>
      </c>
      <c r="O463" s="91">
        <f>(IF(Optimalisatie!C45="Bestaande Situatie",_xlfn.IFNA(VLOOKUP(Inschrijf_Fossiele_Energie_Totaal[[#This Row],[Product]]&amp;", "&amp;Inschrijf_MKI_Totaal[[#Headers],[C4]],Database_Productkaarten[#All],51,FALSE)*Optimalisatie!J45,Baseline_Backlog!O463),0))</f>
        <v>0</v>
      </c>
      <c r="P463" s="91">
        <f>(IF(Optimalisatie!C45="Bestaande Situatie",_xlfn.IFNA(IF(Optimalisatie!E45="Categorie_1_LCA_Producten",VLOOKUP(Inschrijf_Fossiele_Energie_Totaal[[#This Row],[Product]],Categorie_1_Producten[#All],30,FALSE)*(Optimalisatie!J45),VLOOKUP(Inschrijf_Fossiele_Energie_Totaal[[#This Row],[Product]]&amp;", "&amp;Inschrijf_Fossiele_Energie_Totaal[[#Headers],[D1]],Database_Productkaarten[#All],51,FALSE)*Optimalisatie!J45),Baseline_Backlog!P463),0))</f>
        <v>0</v>
      </c>
      <c r="Q463" s="91">
        <f>(IF(Optimalisatie!C45="Bestaande Situatie",_xlfn.IFNA(IF(Optimalisatie!E45="Categorie_1_LCA_Producten",VLOOKUP(Inschrijf_Fossiele_Energie_Totaal[[#This Row],[Product]],Categorie_1_Producten[#All],31,FALSE)*(Optimalisatie!J45),VLOOKUP(Inschrijf_Fossiele_Energie_Totaal[[#This Row],[Product]]&amp;", "&amp;Inschrijf_Fossiele_Energie_Totaal[[#Headers],[D2]],Database_Productkaarten[#All],51,FALSE)*Optimalisatie!J45),Baseline_Backlog!Q463),0))</f>
        <v>0</v>
      </c>
      <c r="R463" s="91">
        <f>(IF(Optimalisatie!C45="Bestaande Situatie",_xlfn.IFNA(IF(Optimalisatie!E45="Categorie_1_LCA_Producten",VLOOKUP(Inschrijf_Fossiele_Energie_Totaal[[#This Row],[Product]],Categorie_1_Producten[#All],37,FALSE)*(Optimalisatie!J45),VLOOKUP(Inschrijf_Fossiele_Energie_Totaal[[#This Row],[Product]]&amp;", "&amp;Inschrijf_Fossiele_Energie_Totaal[[#Headers],[D]],Database_Productkaarten[#All],51,FALSE)*Optimalisatie!J45),Baseline_Backlog!S463),0))</f>
        <v>0</v>
      </c>
      <c r="S463" s="91">
        <f>SUM(Inschrijf_Fossiele_Energie_Totaal[[#This Row],[A1-A3]:[C4]])+Inschrijf_Fossiele_Energie_Totaal[[#This Row],[D]]</f>
        <v>0</v>
      </c>
    </row>
    <row r="464" spans="2:19">
      <c r="B464" s="208">
        <f>Optimalisatie!B46</f>
        <v>0</v>
      </c>
      <c r="C464" s="1">
        <f>Optimalisatie!F46</f>
        <v>0</v>
      </c>
      <c r="D464" s="91">
        <f>(IF(Optimalisatie!C46="Nieuwe Situatie",_xlfn.IFNA(IF(Optimalisatie!E46="Categorie_1_LCA_Producten",VLOOKUP(Inschrijf_Fossiele_Energie_Totaal[[#This Row],[Product]],Categorie_1_Producten[#All],26,FALSE)*(Optimalisatie!J46),VLOOKUP(Inschrijf_Fossiele_Energie_Totaal[[#This Row],[Product]]&amp;", "&amp;Inschrijf_Fossiele_Energie_Totaal[[#Headers],[A1]],Database_Productkaarten[#All],51,FALSE)*Optimalisatie!J46),Baseline_Backlog!D464),0))</f>
        <v>0</v>
      </c>
      <c r="E464" s="91">
        <f>(IF(Optimalisatie!C46="Nieuwe Situatie",_xlfn.IFNA(IF(Optimalisatie!E46="Categorie_1_LCA_Producten",VLOOKUP(Inschrijf_Fossiele_Energie_Totaal[[#This Row],[Product]],Categorie_1_Producten[#All],27,FALSE)*(Optimalisatie!J46),VLOOKUP(Inschrijf_Fossiele_Energie_Totaal[[#This Row],[Product]]&amp;", "&amp;Inschrijf_Fossiele_Energie_Totaal[[#Headers],[A2]],Database_Productkaarten[#All],51,FALSE)*Optimalisatie!J46),Baseline_Backlog!E464),0))</f>
        <v>0</v>
      </c>
      <c r="F464" s="91">
        <f>(IF(Optimalisatie!C46="Nieuwe Situatie",_xlfn.IFNA(IF(Optimalisatie!E46="Categorie_1_LCA_Producten",VLOOKUP(Inschrijf_Fossiele_Energie_Totaal[[#This Row],[Product]],Categorie_1_Producten[#All],28,FALSE)*(Optimalisatie!J46),VLOOKUP(Inschrijf_Fossiele_Energie_Totaal[[#This Row],[Product]]&amp;", "&amp;Inschrijf_Fossiele_Energie_Totaal[[#Headers],[A3]],Database_Productkaarten[#All],51,FALSE)*Optimalisatie!J46),Baseline_Backlog!F464),0))</f>
        <v>0</v>
      </c>
      <c r="G464" s="91">
        <f>(IF(Optimalisatie!C46="Nieuwe Situatie",_xlfn.IFNA(IF(Optimalisatie!E46="Categorie_1_LCA_Producten",VLOOKUP(Inschrijf_Fossiele_Energie_Totaal[[#This Row],[Product]],Categorie_1_Producten[#All],35,FALSE)*(Optimalisatie!J46),VLOOKUP(Inschrijf_Fossiele_Energie_Totaal[[#This Row],[Product]]&amp;", "&amp;Inschrijf_Fossiele_Energie_Totaal[[#Headers],[A1-A3]],Database_Productkaarten[#All],51,FALSE)*Optimalisatie!J46),Baseline_Backlog!G464),0))</f>
        <v>0</v>
      </c>
      <c r="H464" s="91">
        <f>(IF(Optimalisatie!C46="Nieuwe Situatie",_xlfn.IFNA(VLOOKUP(Optimalisatie!V46,Database_Transport[#All],45,FALSE)*(Optimalisatie!R46*Optimalisatie!U46),Baseline_Backlog!H464),0))</f>
        <v>0</v>
      </c>
      <c r="I464" s="91">
        <f>IF(Optimalisatie!C46="Nieuwe situatie",IF(_xlfn.IFNA((VLOOKUP(Optimalisatie!W46,Database_Asfalt_Aanlegset[#All],45,FALSE)*Optimalisatie!J46),0)+_xlfn.IFNA(VLOOKUP(Optimalisatie!X46,Database_Brandstoffen[#All],45,FALSE)*((Optimalisatie!J46/Optimalisatie!Z46)*Optimalisatie!Y46),0)&gt;0,_xlfn.IFNA((VLOOKUP(Optimalisatie!W46,Database_Asfalt_Aanlegset[#All],45,FALSE)*Optimalisatie!J46),0)+_xlfn.IFNA(VLOOKUP(Optimalisatie!X46,Database_Brandstoffen[#All],45,FALSE)*((Optimalisatie!J46/Optimalisatie!Z46)*Optimalisatie!Y46),0),(_xlfn.IFNA(VLOOKUP(Inschrijf_Fossiele_Energie_Totaal[[#This Row],[Product]]&amp;", "&amp;Inschrijf_MKI_Totaal[[#Headers],[A5]],Database_Productkaarten[#All],51,FALSE),0)*Optimalisatie!J46)),0)</f>
        <v>0</v>
      </c>
      <c r="J464" s="91">
        <f>(IF(Optimalisatie!C46="Nieuwe Situatie",_xlfn.IFNA(IF(Optimalisatie!E46="Categorie_1_LCA_Producten",VLOOKUP(Inschrijf_Fossiele_Energie_Totaal[[#This Row],[Product]],Categorie_1_Producten[#All],36,FALSE)*(Optimalisatie!R46),VLOOKUP(Inschrijf_Fossiele_Energie_Totaal[[#This Row],[Product]]&amp;", "&amp;Inschrijf_Fossiele_Energie_Totaal[[#Headers],[B1]],Database_Productkaarten[#All],51,FALSE)*Optimalisatie!J46),Baseline_Backlog!J464),0))</f>
        <v>0</v>
      </c>
      <c r="K464" s="91">
        <f>(IF(Optimalisatie!C46="Nieuwe Situatie",_xlfn.IFNA(SUM(Inschrijf_Fossiele_Energie_Totaal[[#This Row],[A1]:[B1]],Inschrijf_Fossiele_Energie_Totaal[[#This Row],[C1]:[D2]])*Optimalisatie!T46,0),0))</f>
        <v>0</v>
      </c>
      <c r="L464" s="91">
        <f>IF(Optimalisatie!C46="Bestaande situatie",IF(_xlfn.IFNA((VLOOKUP(Optimalisatie!AA46,Database_Asfalt_Verwijderset[#All],45,FALSE)*Optimalisatie!J46),0)+_xlfn.IFNA(VLOOKUP(Optimalisatie!AB46,Database_Brandstoffen[#All],45,FALSE)*((Optimalisatie!J46/Optimalisatie!AD46)*Optimalisatie!AC46),0)&gt;0,_xlfn.IFNA((VLOOKUP(Optimalisatie!AA46,Database_Asfalt_Verwijderset[#All],45,FALSE)*Optimalisatie!J46),0)+_xlfn.IFNA(VLOOKUP(Optimalisatie!AB46,Database_Brandstoffen[#All],45,FALSE)*((Optimalisatie!J46/Optimalisatie!AD46)*Optimalisatie!AC46),0),(_xlfn.IFNA(VLOOKUP(Inschrijf_Fossiele_Energie_Totaal[[#This Row],[Product]]&amp;", "&amp;Inschrijf_MKI_Totaal[[#Headers],[C1]],Database_Productkaarten[#All],51,FALSE),0)*Optimalisatie!J46)),0)</f>
        <v>0</v>
      </c>
      <c r="M464" s="91">
        <f>(IF(Optimalisatie!C46="Bestaande Situatie",_xlfn.IFNA(VLOOKUP(Optimalisatie!AF46,Database_Transport[#All],45,FALSE)*(Optimalisatie!R46*Optimalisatie!AE46),Baseline_Backlog!M464),0))</f>
        <v>0</v>
      </c>
      <c r="N464" s="91">
        <f>(IF(Optimalisatie!C46="Bestaande Situatie",_xlfn.IFNA(VLOOKUP(Optimalisatie!AG46,Database_Asfalt_Verwerkingsset[#All],45,FALSE)*(Optimalisatie!J46/VLOOKUP(Optimalisatie!AG46,Database_Asfalt_Verwerkingsset[#All],45,FALSE)),Baseline_Backlog!N464),0))</f>
        <v>0</v>
      </c>
      <c r="O464" s="91">
        <f>(IF(Optimalisatie!C46="Bestaande Situatie",_xlfn.IFNA(VLOOKUP(Inschrijf_Fossiele_Energie_Totaal[[#This Row],[Product]]&amp;", "&amp;Inschrijf_MKI_Totaal[[#Headers],[C4]],Database_Productkaarten[#All],51,FALSE)*Optimalisatie!J46,Baseline_Backlog!O464),0))</f>
        <v>0</v>
      </c>
      <c r="P464" s="91">
        <f>(IF(Optimalisatie!C46="Bestaande Situatie",_xlfn.IFNA(IF(Optimalisatie!E46="Categorie_1_LCA_Producten",VLOOKUP(Inschrijf_Fossiele_Energie_Totaal[[#This Row],[Product]],Categorie_1_Producten[#All],30,FALSE)*(Optimalisatie!J46),VLOOKUP(Inschrijf_Fossiele_Energie_Totaal[[#This Row],[Product]]&amp;", "&amp;Inschrijf_Fossiele_Energie_Totaal[[#Headers],[D1]],Database_Productkaarten[#All],51,FALSE)*Optimalisatie!J46),Baseline_Backlog!P464),0))</f>
        <v>0</v>
      </c>
      <c r="Q464" s="91">
        <f>(IF(Optimalisatie!C46="Bestaande Situatie",_xlfn.IFNA(IF(Optimalisatie!E46="Categorie_1_LCA_Producten",VLOOKUP(Inschrijf_Fossiele_Energie_Totaal[[#This Row],[Product]],Categorie_1_Producten[#All],31,FALSE)*(Optimalisatie!J46),VLOOKUP(Inschrijf_Fossiele_Energie_Totaal[[#This Row],[Product]]&amp;", "&amp;Inschrijf_Fossiele_Energie_Totaal[[#Headers],[D2]],Database_Productkaarten[#All],51,FALSE)*Optimalisatie!J46),Baseline_Backlog!Q464),0))</f>
        <v>0</v>
      </c>
      <c r="R464" s="91">
        <f>(IF(Optimalisatie!C46="Bestaande Situatie",_xlfn.IFNA(IF(Optimalisatie!E46="Categorie_1_LCA_Producten",VLOOKUP(Inschrijf_Fossiele_Energie_Totaal[[#This Row],[Product]],Categorie_1_Producten[#All],37,FALSE)*(Optimalisatie!J46),VLOOKUP(Inschrijf_Fossiele_Energie_Totaal[[#This Row],[Product]]&amp;", "&amp;Inschrijf_Fossiele_Energie_Totaal[[#Headers],[D]],Database_Productkaarten[#All],51,FALSE)*Optimalisatie!J46),Baseline_Backlog!S464),0))</f>
        <v>0</v>
      </c>
      <c r="S464" s="91">
        <f>SUM(Inschrijf_Fossiele_Energie_Totaal[[#This Row],[A1-A3]:[C4]])+Inschrijf_Fossiele_Energie_Totaal[[#This Row],[D]]</f>
        <v>0</v>
      </c>
    </row>
    <row r="465" spans="2:19">
      <c r="B465" s="208">
        <f>Optimalisatie!B47</f>
        <v>0</v>
      </c>
      <c r="C465" s="1">
        <f>Optimalisatie!F47</f>
        <v>0</v>
      </c>
      <c r="D465" s="91">
        <f>(IF(Optimalisatie!C47="Nieuwe Situatie",_xlfn.IFNA(IF(Optimalisatie!E47="Categorie_1_LCA_Producten",VLOOKUP(Inschrijf_Fossiele_Energie_Totaal[[#This Row],[Product]],Categorie_1_Producten[#All],26,FALSE)*(Optimalisatie!J47),VLOOKUP(Inschrijf_Fossiele_Energie_Totaal[[#This Row],[Product]]&amp;", "&amp;Inschrijf_Fossiele_Energie_Totaal[[#Headers],[A1]],Database_Productkaarten[#All],51,FALSE)*Optimalisatie!J47),Baseline_Backlog!D465),0))</f>
        <v>0</v>
      </c>
      <c r="E465" s="91">
        <f>(IF(Optimalisatie!C47="Nieuwe Situatie",_xlfn.IFNA(IF(Optimalisatie!E47="Categorie_1_LCA_Producten",VLOOKUP(Inschrijf_Fossiele_Energie_Totaal[[#This Row],[Product]],Categorie_1_Producten[#All],27,FALSE)*(Optimalisatie!J47),VLOOKUP(Inschrijf_Fossiele_Energie_Totaal[[#This Row],[Product]]&amp;", "&amp;Inschrijf_Fossiele_Energie_Totaal[[#Headers],[A2]],Database_Productkaarten[#All],51,FALSE)*Optimalisatie!J47),Baseline_Backlog!E465),0))</f>
        <v>0</v>
      </c>
      <c r="F465" s="91">
        <f>(IF(Optimalisatie!C47="Nieuwe Situatie",_xlfn.IFNA(IF(Optimalisatie!E47="Categorie_1_LCA_Producten",VLOOKUP(Inschrijf_Fossiele_Energie_Totaal[[#This Row],[Product]],Categorie_1_Producten[#All],28,FALSE)*(Optimalisatie!J47),VLOOKUP(Inschrijf_Fossiele_Energie_Totaal[[#This Row],[Product]]&amp;", "&amp;Inschrijf_Fossiele_Energie_Totaal[[#Headers],[A3]],Database_Productkaarten[#All],51,FALSE)*Optimalisatie!J47),Baseline_Backlog!F465),0))</f>
        <v>0</v>
      </c>
      <c r="G465" s="91">
        <f>(IF(Optimalisatie!C47="Nieuwe Situatie",_xlfn.IFNA(IF(Optimalisatie!E47="Categorie_1_LCA_Producten",VLOOKUP(Inschrijf_Fossiele_Energie_Totaal[[#This Row],[Product]],Categorie_1_Producten[#All],35,FALSE)*(Optimalisatie!J47),VLOOKUP(Inschrijf_Fossiele_Energie_Totaal[[#This Row],[Product]]&amp;", "&amp;Inschrijf_Fossiele_Energie_Totaal[[#Headers],[A1-A3]],Database_Productkaarten[#All],51,FALSE)*Optimalisatie!J47),Baseline_Backlog!G465),0))</f>
        <v>0</v>
      </c>
      <c r="H465" s="91">
        <f>(IF(Optimalisatie!C47="Nieuwe Situatie",_xlfn.IFNA(VLOOKUP(Optimalisatie!V47,Database_Transport[#All],45,FALSE)*(Optimalisatie!R47*Optimalisatie!U47),Baseline_Backlog!H465),0))</f>
        <v>0</v>
      </c>
      <c r="I465" s="91">
        <f>IF(Optimalisatie!C47="Nieuwe situatie",IF(_xlfn.IFNA((VLOOKUP(Optimalisatie!W47,Database_Asfalt_Aanlegset[#All],45,FALSE)*Optimalisatie!J47),0)+_xlfn.IFNA(VLOOKUP(Optimalisatie!X47,Database_Brandstoffen[#All],45,FALSE)*((Optimalisatie!J47/Optimalisatie!Z47)*Optimalisatie!Y47),0)&gt;0,_xlfn.IFNA((VLOOKUP(Optimalisatie!W47,Database_Asfalt_Aanlegset[#All],45,FALSE)*Optimalisatie!J47),0)+_xlfn.IFNA(VLOOKUP(Optimalisatie!X47,Database_Brandstoffen[#All],45,FALSE)*((Optimalisatie!J47/Optimalisatie!Z47)*Optimalisatie!Y47),0),(_xlfn.IFNA(VLOOKUP(Inschrijf_Fossiele_Energie_Totaal[[#This Row],[Product]]&amp;", "&amp;Inschrijf_MKI_Totaal[[#Headers],[A5]],Database_Productkaarten[#All],51,FALSE),0)*Optimalisatie!J47)),0)</f>
        <v>0</v>
      </c>
      <c r="J465" s="91">
        <f>(IF(Optimalisatie!C47="Nieuwe Situatie",_xlfn.IFNA(IF(Optimalisatie!E47="Categorie_1_LCA_Producten",VLOOKUP(Inschrijf_Fossiele_Energie_Totaal[[#This Row],[Product]],Categorie_1_Producten[#All],36,FALSE)*(Optimalisatie!R47),VLOOKUP(Inschrijf_Fossiele_Energie_Totaal[[#This Row],[Product]]&amp;", "&amp;Inschrijf_Fossiele_Energie_Totaal[[#Headers],[B1]],Database_Productkaarten[#All],51,FALSE)*Optimalisatie!J47),Baseline_Backlog!J465),0))</f>
        <v>0</v>
      </c>
      <c r="K465" s="91">
        <f>(IF(Optimalisatie!C47="Nieuwe Situatie",_xlfn.IFNA(SUM(Inschrijf_Fossiele_Energie_Totaal[[#This Row],[A1]:[B1]],Inschrijf_Fossiele_Energie_Totaal[[#This Row],[C1]:[D2]])*Optimalisatie!T47,0),0))</f>
        <v>0</v>
      </c>
      <c r="L465" s="91">
        <f>IF(Optimalisatie!C47="Bestaande situatie",IF(_xlfn.IFNA((VLOOKUP(Optimalisatie!AA47,Database_Asfalt_Verwijderset[#All],45,FALSE)*Optimalisatie!J47),0)+_xlfn.IFNA(VLOOKUP(Optimalisatie!AB47,Database_Brandstoffen[#All],45,FALSE)*((Optimalisatie!J47/Optimalisatie!AD47)*Optimalisatie!AC47),0)&gt;0,_xlfn.IFNA((VLOOKUP(Optimalisatie!AA47,Database_Asfalt_Verwijderset[#All],45,FALSE)*Optimalisatie!J47),0)+_xlfn.IFNA(VLOOKUP(Optimalisatie!AB47,Database_Brandstoffen[#All],45,FALSE)*((Optimalisatie!J47/Optimalisatie!AD47)*Optimalisatie!AC47),0),(_xlfn.IFNA(VLOOKUP(Inschrijf_Fossiele_Energie_Totaal[[#This Row],[Product]]&amp;", "&amp;Inschrijf_MKI_Totaal[[#Headers],[C1]],Database_Productkaarten[#All],51,FALSE),0)*Optimalisatie!J47)),0)</f>
        <v>0</v>
      </c>
      <c r="M465" s="91">
        <f>(IF(Optimalisatie!C47="Bestaande Situatie",_xlfn.IFNA(VLOOKUP(Optimalisatie!AF47,Database_Transport[#All],45,FALSE)*(Optimalisatie!R47*Optimalisatie!AE47),Baseline_Backlog!M465),0))</f>
        <v>0</v>
      </c>
      <c r="N465" s="91">
        <f>(IF(Optimalisatie!C47="Bestaande Situatie",_xlfn.IFNA(VLOOKUP(Optimalisatie!AG47,Database_Asfalt_Verwerkingsset[#All],45,FALSE)*(Optimalisatie!J47/VLOOKUP(Optimalisatie!AG47,Database_Asfalt_Verwerkingsset[#All],45,FALSE)),Baseline_Backlog!N465),0))</f>
        <v>0</v>
      </c>
      <c r="O465" s="91">
        <f>(IF(Optimalisatie!C47="Bestaande Situatie",_xlfn.IFNA(VLOOKUP(Inschrijf_Fossiele_Energie_Totaal[[#This Row],[Product]]&amp;", "&amp;Inschrijf_MKI_Totaal[[#Headers],[C4]],Database_Productkaarten[#All],51,FALSE)*Optimalisatie!J47,Baseline_Backlog!O465),0))</f>
        <v>0</v>
      </c>
      <c r="P465" s="91">
        <f>(IF(Optimalisatie!C47="Bestaande Situatie",_xlfn.IFNA(IF(Optimalisatie!E47="Categorie_1_LCA_Producten",VLOOKUP(Inschrijf_Fossiele_Energie_Totaal[[#This Row],[Product]],Categorie_1_Producten[#All],30,FALSE)*(Optimalisatie!J47),VLOOKUP(Inschrijf_Fossiele_Energie_Totaal[[#This Row],[Product]]&amp;", "&amp;Inschrijf_Fossiele_Energie_Totaal[[#Headers],[D1]],Database_Productkaarten[#All],51,FALSE)*Optimalisatie!J47),Baseline_Backlog!P465),0))</f>
        <v>0</v>
      </c>
      <c r="Q465" s="91">
        <f>(IF(Optimalisatie!C47="Bestaande Situatie",_xlfn.IFNA(IF(Optimalisatie!E47="Categorie_1_LCA_Producten",VLOOKUP(Inschrijf_Fossiele_Energie_Totaal[[#This Row],[Product]],Categorie_1_Producten[#All],31,FALSE)*(Optimalisatie!J47),VLOOKUP(Inschrijf_Fossiele_Energie_Totaal[[#This Row],[Product]]&amp;", "&amp;Inschrijf_Fossiele_Energie_Totaal[[#Headers],[D2]],Database_Productkaarten[#All],51,FALSE)*Optimalisatie!J47),Baseline_Backlog!Q465),0))</f>
        <v>0</v>
      </c>
      <c r="R465" s="91">
        <f>(IF(Optimalisatie!C47="Bestaande Situatie",_xlfn.IFNA(IF(Optimalisatie!E47="Categorie_1_LCA_Producten",VLOOKUP(Inschrijf_Fossiele_Energie_Totaal[[#This Row],[Product]],Categorie_1_Producten[#All],37,FALSE)*(Optimalisatie!J47),VLOOKUP(Inschrijf_Fossiele_Energie_Totaal[[#This Row],[Product]]&amp;", "&amp;Inschrijf_Fossiele_Energie_Totaal[[#Headers],[D]],Database_Productkaarten[#All],51,FALSE)*Optimalisatie!J47),Baseline_Backlog!S465),0))</f>
        <v>0</v>
      </c>
      <c r="S465" s="91">
        <f>SUM(Inschrijf_Fossiele_Energie_Totaal[[#This Row],[A1-A3]:[C4]])+Inschrijf_Fossiele_Energie_Totaal[[#This Row],[D]]</f>
        <v>0</v>
      </c>
    </row>
    <row r="466" spans="2:19">
      <c r="B466" s="208">
        <f>Optimalisatie!B48</f>
        <v>0</v>
      </c>
      <c r="C466" s="1">
        <f>Optimalisatie!F48</f>
        <v>0</v>
      </c>
      <c r="D466" s="91">
        <f>(IF(Optimalisatie!C48="Nieuwe Situatie",_xlfn.IFNA(IF(Optimalisatie!E48="Categorie_1_LCA_Producten",VLOOKUP(Inschrijf_Fossiele_Energie_Totaal[[#This Row],[Product]],Categorie_1_Producten[#All],26,FALSE)*(Optimalisatie!J48),VLOOKUP(Inschrijf_Fossiele_Energie_Totaal[[#This Row],[Product]]&amp;", "&amp;Inschrijf_Fossiele_Energie_Totaal[[#Headers],[A1]],Database_Productkaarten[#All],51,FALSE)*Optimalisatie!J48),Baseline_Backlog!D466),0))</f>
        <v>0</v>
      </c>
      <c r="E466" s="91">
        <f>(IF(Optimalisatie!C48="Nieuwe Situatie",_xlfn.IFNA(IF(Optimalisatie!E48="Categorie_1_LCA_Producten",VLOOKUP(Inschrijf_Fossiele_Energie_Totaal[[#This Row],[Product]],Categorie_1_Producten[#All],27,FALSE)*(Optimalisatie!J48),VLOOKUP(Inschrijf_Fossiele_Energie_Totaal[[#This Row],[Product]]&amp;", "&amp;Inschrijf_Fossiele_Energie_Totaal[[#Headers],[A2]],Database_Productkaarten[#All],51,FALSE)*Optimalisatie!J48),Baseline_Backlog!E466),0))</f>
        <v>0</v>
      </c>
      <c r="F466" s="91">
        <f>(IF(Optimalisatie!C48="Nieuwe Situatie",_xlfn.IFNA(IF(Optimalisatie!E48="Categorie_1_LCA_Producten",VLOOKUP(Inschrijf_Fossiele_Energie_Totaal[[#This Row],[Product]],Categorie_1_Producten[#All],28,FALSE)*(Optimalisatie!J48),VLOOKUP(Inschrijf_Fossiele_Energie_Totaal[[#This Row],[Product]]&amp;", "&amp;Inschrijf_Fossiele_Energie_Totaal[[#Headers],[A3]],Database_Productkaarten[#All],51,FALSE)*Optimalisatie!J48),Baseline_Backlog!F466),0))</f>
        <v>0</v>
      </c>
      <c r="G466" s="91">
        <f>(IF(Optimalisatie!C48="Nieuwe Situatie",_xlfn.IFNA(IF(Optimalisatie!E48="Categorie_1_LCA_Producten",VLOOKUP(Inschrijf_Fossiele_Energie_Totaal[[#This Row],[Product]],Categorie_1_Producten[#All],35,FALSE)*(Optimalisatie!J48),VLOOKUP(Inschrijf_Fossiele_Energie_Totaal[[#This Row],[Product]]&amp;", "&amp;Inschrijf_Fossiele_Energie_Totaal[[#Headers],[A1-A3]],Database_Productkaarten[#All],51,FALSE)*Optimalisatie!J48),Baseline_Backlog!G466),0))</f>
        <v>0</v>
      </c>
      <c r="H466" s="91">
        <f>(IF(Optimalisatie!C48="Nieuwe Situatie",_xlfn.IFNA(VLOOKUP(Optimalisatie!V48,Database_Transport[#All],45,FALSE)*(Optimalisatie!R48*Optimalisatie!U48),Baseline_Backlog!H466),0))</f>
        <v>0</v>
      </c>
      <c r="I466" s="91">
        <f>IF(Optimalisatie!C48="Nieuwe situatie",IF(_xlfn.IFNA((VLOOKUP(Optimalisatie!W48,Database_Asfalt_Aanlegset[#All],45,FALSE)*Optimalisatie!J48),0)+_xlfn.IFNA(VLOOKUP(Optimalisatie!X48,Database_Brandstoffen[#All],45,FALSE)*((Optimalisatie!J48/Optimalisatie!Z48)*Optimalisatie!Y48),0)&gt;0,_xlfn.IFNA((VLOOKUP(Optimalisatie!W48,Database_Asfalt_Aanlegset[#All],45,FALSE)*Optimalisatie!J48),0)+_xlfn.IFNA(VLOOKUP(Optimalisatie!X48,Database_Brandstoffen[#All],45,FALSE)*((Optimalisatie!J48/Optimalisatie!Z48)*Optimalisatie!Y48),0),(_xlfn.IFNA(VLOOKUP(Inschrijf_Fossiele_Energie_Totaal[[#This Row],[Product]]&amp;", "&amp;Inschrijf_MKI_Totaal[[#Headers],[A5]],Database_Productkaarten[#All],51,FALSE),0)*Optimalisatie!J48)),0)</f>
        <v>0</v>
      </c>
      <c r="J466" s="91">
        <f>(IF(Optimalisatie!C48="Nieuwe Situatie",_xlfn.IFNA(IF(Optimalisatie!E48="Categorie_1_LCA_Producten",VLOOKUP(Inschrijf_Fossiele_Energie_Totaal[[#This Row],[Product]],Categorie_1_Producten[#All],36,FALSE)*(Optimalisatie!R48),VLOOKUP(Inschrijf_Fossiele_Energie_Totaal[[#This Row],[Product]]&amp;", "&amp;Inschrijf_Fossiele_Energie_Totaal[[#Headers],[B1]],Database_Productkaarten[#All],51,FALSE)*Optimalisatie!J48),Baseline_Backlog!J466),0))</f>
        <v>0</v>
      </c>
      <c r="K466" s="91">
        <f>(IF(Optimalisatie!C48="Nieuwe Situatie",_xlfn.IFNA(SUM(Inschrijf_Fossiele_Energie_Totaal[[#This Row],[A1]:[B1]],Inschrijf_Fossiele_Energie_Totaal[[#This Row],[C1]:[D2]])*Optimalisatie!T48,0),0))</f>
        <v>0</v>
      </c>
      <c r="L466" s="91">
        <f>IF(Optimalisatie!C48="Bestaande situatie",IF(_xlfn.IFNA((VLOOKUP(Optimalisatie!AA48,Database_Asfalt_Verwijderset[#All],45,FALSE)*Optimalisatie!J48),0)+_xlfn.IFNA(VLOOKUP(Optimalisatie!AB48,Database_Brandstoffen[#All],45,FALSE)*((Optimalisatie!J48/Optimalisatie!AD48)*Optimalisatie!AC48),0)&gt;0,_xlfn.IFNA((VLOOKUP(Optimalisatie!AA48,Database_Asfalt_Verwijderset[#All],45,FALSE)*Optimalisatie!J48),0)+_xlfn.IFNA(VLOOKUP(Optimalisatie!AB48,Database_Brandstoffen[#All],45,FALSE)*((Optimalisatie!J48/Optimalisatie!AD48)*Optimalisatie!AC48),0),(_xlfn.IFNA(VLOOKUP(Inschrijf_Fossiele_Energie_Totaal[[#This Row],[Product]]&amp;", "&amp;Inschrijf_MKI_Totaal[[#Headers],[C1]],Database_Productkaarten[#All],51,FALSE),0)*Optimalisatie!J48)),0)</f>
        <v>0</v>
      </c>
      <c r="M466" s="91">
        <f>(IF(Optimalisatie!C48="Bestaande Situatie",_xlfn.IFNA(VLOOKUP(Optimalisatie!AF48,Database_Transport[#All],45,FALSE)*(Optimalisatie!R48*Optimalisatie!AE48),Baseline_Backlog!M466),0))</f>
        <v>0</v>
      </c>
      <c r="N466" s="91">
        <f>(IF(Optimalisatie!C48="Bestaande Situatie",_xlfn.IFNA(VLOOKUP(Optimalisatie!AG48,Database_Asfalt_Verwerkingsset[#All],45,FALSE)*(Optimalisatie!J48/VLOOKUP(Optimalisatie!AG48,Database_Asfalt_Verwerkingsset[#All],45,FALSE)),Baseline_Backlog!N466),0))</f>
        <v>0</v>
      </c>
      <c r="O466" s="91">
        <f>(IF(Optimalisatie!C48="Bestaande Situatie",_xlfn.IFNA(VLOOKUP(Inschrijf_Fossiele_Energie_Totaal[[#This Row],[Product]]&amp;", "&amp;Inschrijf_MKI_Totaal[[#Headers],[C4]],Database_Productkaarten[#All],51,FALSE)*Optimalisatie!J48,Baseline_Backlog!O466),0))</f>
        <v>0</v>
      </c>
      <c r="P466" s="91">
        <f>(IF(Optimalisatie!C48="Bestaande Situatie",_xlfn.IFNA(IF(Optimalisatie!E48="Categorie_1_LCA_Producten",VLOOKUP(Inschrijf_Fossiele_Energie_Totaal[[#This Row],[Product]],Categorie_1_Producten[#All],30,FALSE)*(Optimalisatie!J48),VLOOKUP(Inschrijf_Fossiele_Energie_Totaal[[#This Row],[Product]]&amp;", "&amp;Inschrijf_Fossiele_Energie_Totaal[[#Headers],[D1]],Database_Productkaarten[#All],51,FALSE)*Optimalisatie!J48),Baseline_Backlog!P466),0))</f>
        <v>0</v>
      </c>
      <c r="Q466" s="91">
        <f>(IF(Optimalisatie!C48="Bestaande Situatie",_xlfn.IFNA(IF(Optimalisatie!E48="Categorie_1_LCA_Producten",VLOOKUP(Inschrijf_Fossiele_Energie_Totaal[[#This Row],[Product]],Categorie_1_Producten[#All],31,FALSE)*(Optimalisatie!J48),VLOOKUP(Inschrijf_Fossiele_Energie_Totaal[[#This Row],[Product]]&amp;", "&amp;Inschrijf_Fossiele_Energie_Totaal[[#Headers],[D2]],Database_Productkaarten[#All],51,FALSE)*Optimalisatie!J48),Baseline_Backlog!Q466),0))</f>
        <v>0</v>
      </c>
      <c r="R466" s="91">
        <f>(IF(Optimalisatie!C48="Bestaande Situatie",_xlfn.IFNA(IF(Optimalisatie!E48="Categorie_1_LCA_Producten",VLOOKUP(Inschrijf_Fossiele_Energie_Totaal[[#This Row],[Product]],Categorie_1_Producten[#All],37,FALSE)*(Optimalisatie!J48),VLOOKUP(Inschrijf_Fossiele_Energie_Totaal[[#This Row],[Product]]&amp;", "&amp;Inschrijf_Fossiele_Energie_Totaal[[#Headers],[D]],Database_Productkaarten[#All],51,FALSE)*Optimalisatie!J48),Baseline_Backlog!S466),0))</f>
        <v>0</v>
      </c>
      <c r="S466" s="91">
        <f>SUM(Inschrijf_Fossiele_Energie_Totaal[[#This Row],[A1-A3]:[C4]])+Inschrijf_Fossiele_Energie_Totaal[[#This Row],[D]]</f>
        <v>0</v>
      </c>
    </row>
    <row r="467" spans="2:19">
      <c r="B467" s="208">
        <f>Optimalisatie!B49</f>
        <v>0</v>
      </c>
      <c r="C467" s="1">
        <f>Optimalisatie!F49</f>
        <v>0</v>
      </c>
      <c r="D467" s="91">
        <f>(IF(Optimalisatie!C49="Nieuwe Situatie",_xlfn.IFNA(IF(Optimalisatie!E49="Categorie_1_LCA_Producten",VLOOKUP(Inschrijf_Fossiele_Energie_Totaal[[#This Row],[Product]],Categorie_1_Producten[#All],26,FALSE)*(Optimalisatie!J49),VLOOKUP(Inschrijf_Fossiele_Energie_Totaal[[#This Row],[Product]]&amp;", "&amp;Inschrijf_Fossiele_Energie_Totaal[[#Headers],[A1]],Database_Productkaarten[#All],51,FALSE)*Optimalisatie!J49),Baseline_Backlog!D467),0))</f>
        <v>0</v>
      </c>
      <c r="E467" s="91">
        <f>(IF(Optimalisatie!C49="Nieuwe Situatie",_xlfn.IFNA(IF(Optimalisatie!E49="Categorie_1_LCA_Producten",VLOOKUP(Inschrijf_Fossiele_Energie_Totaal[[#This Row],[Product]],Categorie_1_Producten[#All],27,FALSE)*(Optimalisatie!J49),VLOOKUP(Inschrijf_Fossiele_Energie_Totaal[[#This Row],[Product]]&amp;", "&amp;Inschrijf_Fossiele_Energie_Totaal[[#Headers],[A2]],Database_Productkaarten[#All],51,FALSE)*Optimalisatie!J49),Baseline_Backlog!E467),0))</f>
        <v>0</v>
      </c>
      <c r="F467" s="91">
        <f>(IF(Optimalisatie!C49="Nieuwe Situatie",_xlfn.IFNA(IF(Optimalisatie!E49="Categorie_1_LCA_Producten",VLOOKUP(Inschrijf_Fossiele_Energie_Totaal[[#This Row],[Product]],Categorie_1_Producten[#All],28,FALSE)*(Optimalisatie!J49),VLOOKUP(Inschrijf_Fossiele_Energie_Totaal[[#This Row],[Product]]&amp;", "&amp;Inschrijf_Fossiele_Energie_Totaal[[#Headers],[A3]],Database_Productkaarten[#All],51,FALSE)*Optimalisatie!J49),Baseline_Backlog!F467),0))</f>
        <v>0</v>
      </c>
      <c r="G467" s="91">
        <f>(IF(Optimalisatie!C49="Nieuwe Situatie",_xlfn.IFNA(IF(Optimalisatie!E49="Categorie_1_LCA_Producten",VLOOKUP(Inschrijf_Fossiele_Energie_Totaal[[#This Row],[Product]],Categorie_1_Producten[#All],35,FALSE)*(Optimalisatie!J49),VLOOKUP(Inschrijf_Fossiele_Energie_Totaal[[#This Row],[Product]]&amp;", "&amp;Inschrijf_Fossiele_Energie_Totaal[[#Headers],[A1-A3]],Database_Productkaarten[#All],51,FALSE)*Optimalisatie!J49),Baseline_Backlog!G467),0))</f>
        <v>0</v>
      </c>
      <c r="H467" s="91">
        <f>(IF(Optimalisatie!C49="Nieuwe Situatie",_xlfn.IFNA(VLOOKUP(Optimalisatie!V49,Database_Transport[#All],45,FALSE)*(Optimalisatie!R49*Optimalisatie!U49),Baseline_Backlog!H467),0))</f>
        <v>0</v>
      </c>
      <c r="I467" s="91">
        <f>IF(Optimalisatie!C49="Nieuwe situatie",IF(_xlfn.IFNA((VLOOKUP(Optimalisatie!W49,Database_Asfalt_Aanlegset[#All],45,FALSE)*Optimalisatie!J49),0)+_xlfn.IFNA(VLOOKUP(Optimalisatie!X49,Database_Brandstoffen[#All],45,FALSE)*((Optimalisatie!J49/Optimalisatie!Z49)*Optimalisatie!Y49),0)&gt;0,_xlfn.IFNA((VLOOKUP(Optimalisatie!W49,Database_Asfalt_Aanlegset[#All],45,FALSE)*Optimalisatie!J49),0)+_xlfn.IFNA(VLOOKUP(Optimalisatie!X49,Database_Brandstoffen[#All],45,FALSE)*((Optimalisatie!J49/Optimalisatie!Z49)*Optimalisatie!Y49),0),(_xlfn.IFNA(VLOOKUP(Inschrijf_Fossiele_Energie_Totaal[[#This Row],[Product]]&amp;", "&amp;Inschrijf_MKI_Totaal[[#Headers],[A5]],Database_Productkaarten[#All],51,FALSE),0)*Optimalisatie!J49)),0)</f>
        <v>0</v>
      </c>
      <c r="J467" s="91">
        <f>(IF(Optimalisatie!C49="Nieuwe Situatie",_xlfn.IFNA(IF(Optimalisatie!E49="Categorie_1_LCA_Producten",VLOOKUP(Inschrijf_Fossiele_Energie_Totaal[[#This Row],[Product]],Categorie_1_Producten[#All],36,FALSE)*(Optimalisatie!R49),VLOOKUP(Inschrijf_Fossiele_Energie_Totaal[[#This Row],[Product]]&amp;", "&amp;Inschrijf_Fossiele_Energie_Totaal[[#Headers],[B1]],Database_Productkaarten[#All],51,FALSE)*Optimalisatie!J49),Baseline_Backlog!J467),0))</f>
        <v>0</v>
      </c>
      <c r="K467" s="91">
        <f>(IF(Optimalisatie!C49="Nieuwe Situatie",_xlfn.IFNA(SUM(Inschrijf_Fossiele_Energie_Totaal[[#This Row],[A1]:[B1]],Inschrijf_Fossiele_Energie_Totaal[[#This Row],[C1]:[D2]])*Optimalisatie!T49,0),0))</f>
        <v>0</v>
      </c>
      <c r="L467" s="91">
        <f>IF(Optimalisatie!C49="Bestaande situatie",IF(_xlfn.IFNA((VLOOKUP(Optimalisatie!AA49,Database_Asfalt_Verwijderset[#All],45,FALSE)*Optimalisatie!J49),0)+_xlfn.IFNA(VLOOKUP(Optimalisatie!AB49,Database_Brandstoffen[#All],45,FALSE)*((Optimalisatie!J49/Optimalisatie!AD49)*Optimalisatie!AC49),0)&gt;0,_xlfn.IFNA((VLOOKUP(Optimalisatie!AA49,Database_Asfalt_Verwijderset[#All],45,FALSE)*Optimalisatie!J49),0)+_xlfn.IFNA(VLOOKUP(Optimalisatie!AB49,Database_Brandstoffen[#All],45,FALSE)*((Optimalisatie!J49/Optimalisatie!AD49)*Optimalisatie!AC49),0),(_xlfn.IFNA(VLOOKUP(Inschrijf_Fossiele_Energie_Totaal[[#This Row],[Product]]&amp;", "&amp;Inschrijf_MKI_Totaal[[#Headers],[C1]],Database_Productkaarten[#All],51,FALSE),0)*Optimalisatie!J49)),0)</f>
        <v>0</v>
      </c>
      <c r="M467" s="91">
        <f>(IF(Optimalisatie!C49="Bestaande Situatie",_xlfn.IFNA(VLOOKUP(Optimalisatie!AF49,Database_Transport[#All],45,FALSE)*(Optimalisatie!R49*Optimalisatie!AE49),Baseline_Backlog!M467),0))</f>
        <v>0</v>
      </c>
      <c r="N467" s="91">
        <f>(IF(Optimalisatie!C49="Bestaande Situatie",_xlfn.IFNA(VLOOKUP(Optimalisatie!AG49,Database_Asfalt_Verwerkingsset[#All],45,FALSE)*(Optimalisatie!J49/VLOOKUP(Optimalisatie!AG49,Database_Asfalt_Verwerkingsset[#All],45,FALSE)),Baseline_Backlog!N467),0))</f>
        <v>0</v>
      </c>
      <c r="O467" s="91">
        <f>(IF(Optimalisatie!C49="Bestaande Situatie",_xlfn.IFNA(VLOOKUP(Inschrijf_Fossiele_Energie_Totaal[[#This Row],[Product]]&amp;", "&amp;Inschrijf_MKI_Totaal[[#Headers],[C4]],Database_Productkaarten[#All],51,FALSE)*Optimalisatie!J49,Baseline_Backlog!O467),0))</f>
        <v>0</v>
      </c>
      <c r="P467" s="91">
        <f>(IF(Optimalisatie!C49="Bestaande Situatie",_xlfn.IFNA(IF(Optimalisatie!E49="Categorie_1_LCA_Producten",VLOOKUP(Inschrijf_Fossiele_Energie_Totaal[[#This Row],[Product]],Categorie_1_Producten[#All],30,FALSE)*(Optimalisatie!J49),VLOOKUP(Inschrijf_Fossiele_Energie_Totaal[[#This Row],[Product]]&amp;", "&amp;Inschrijf_Fossiele_Energie_Totaal[[#Headers],[D1]],Database_Productkaarten[#All],51,FALSE)*Optimalisatie!J49),Baseline_Backlog!P467),0))</f>
        <v>0</v>
      </c>
      <c r="Q467" s="91">
        <f>(IF(Optimalisatie!C49="Bestaande Situatie",_xlfn.IFNA(IF(Optimalisatie!E49="Categorie_1_LCA_Producten",VLOOKUP(Inschrijf_Fossiele_Energie_Totaal[[#This Row],[Product]],Categorie_1_Producten[#All],31,FALSE)*(Optimalisatie!J49),VLOOKUP(Inschrijf_Fossiele_Energie_Totaal[[#This Row],[Product]]&amp;", "&amp;Inschrijf_Fossiele_Energie_Totaal[[#Headers],[D2]],Database_Productkaarten[#All],51,FALSE)*Optimalisatie!J49),Baseline_Backlog!Q467),0))</f>
        <v>0</v>
      </c>
      <c r="R467" s="91">
        <f>(IF(Optimalisatie!C49="Bestaande Situatie",_xlfn.IFNA(IF(Optimalisatie!E49="Categorie_1_LCA_Producten",VLOOKUP(Inschrijf_Fossiele_Energie_Totaal[[#This Row],[Product]],Categorie_1_Producten[#All],37,FALSE)*(Optimalisatie!J49),VLOOKUP(Inschrijf_Fossiele_Energie_Totaal[[#This Row],[Product]]&amp;", "&amp;Inschrijf_Fossiele_Energie_Totaal[[#Headers],[D]],Database_Productkaarten[#All],51,FALSE)*Optimalisatie!J49),Baseline_Backlog!S467),0))</f>
        <v>0</v>
      </c>
      <c r="S467" s="91">
        <f>SUM(Inschrijf_Fossiele_Energie_Totaal[[#This Row],[A1-A3]:[C4]])+Inschrijf_Fossiele_Energie_Totaal[[#This Row],[D]]</f>
        <v>0</v>
      </c>
    </row>
    <row r="468" spans="2:19">
      <c r="B468" s="208">
        <f>Optimalisatie!B50</f>
        <v>0</v>
      </c>
      <c r="C468" s="1">
        <f>Optimalisatie!F50</f>
        <v>0</v>
      </c>
      <c r="D468" s="91">
        <f>(IF(Optimalisatie!C50="Nieuwe Situatie",_xlfn.IFNA(IF(Optimalisatie!E50="Categorie_1_LCA_Producten",VLOOKUP(Inschrijf_Fossiele_Energie_Totaal[[#This Row],[Product]],Categorie_1_Producten[#All],26,FALSE)*(Optimalisatie!J50),VLOOKUP(Inschrijf_Fossiele_Energie_Totaal[[#This Row],[Product]]&amp;", "&amp;Inschrijf_Fossiele_Energie_Totaal[[#Headers],[A1]],Database_Productkaarten[#All],51,FALSE)*Optimalisatie!J50),Baseline_Backlog!D468),0))</f>
        <v>0</v>
      </c>
      <c r="E468" s="91">
        <f>(IF(Optimalisatie!C50="Nieuwe Situatie",_xlfn.IFNA(IF(Optimalisatie!E50="Categorie_1_LCA_Producten",VLOOKUP(Inschrijf_Fossiele_Energie_Totaal[[#This Row],[Product]],Categorie_1_Producten[#All],27,FALSE)*(Optimalisatie!J50),VLOOKUP(Inschrijf_Fossiele_Energie_Totaal[[#This Row],[Product]]&amp;", "&amp;Inschrijf_Fossiele_Energie_Totaal[[#Headers],[A2]],Database_Productkaarten[#All],51,FALSE)*Optimalisatie!J50),Baseline_Backlog!E468),0))</f>
        <v>0</v>
      </c>
      <c r="F468" s="91">
        <f>(IF(Optimalisatie!C50="Nieuwe Situatie",_xlfn.IFNA(IF(Optimalisatie!E50="Categorie_1_LCA_Producten",VLOOKUP(Inschrijf_Fossiele_Energie_Totaal[[#This Row],[Product]],Categorie_1_Producten[#All],28,FALSE)*(Optimalisatie!J50),VLOOKUP(Inschrijf_Fossiele_Energie_Totaal[[#This Row],[Product]]&amp;", "&amp;Inschrijf_Fossiele_Energie_Totaal[[#Headers],[A3]],Database_Productkaarten[#All],51,FALSE)*Optimalisatie!J50),Baseline_Backlog!F468),0))</f>
        <v>0</v>
      </c>
      <c r="G468" s="91">
        <f>(IF(Optimalisatie!C50="Nieuwe Situatie",_xlfn.IFNA(IF(Optimalisatie!E50="Categorie_1_LCA_Producten",VLOOKUP(Inschrijf_Fossiele_Energie_Totaal[[#This Row],[Product]],Categorie_1_Producten[#All],35,FALSE)*(Optimalisatie!J50),VLOOKUP(Inschrijf_Fossiele_Energie_Totaal[[#This Row],[Product]]&amp;", "&amp;Inschrijf_Fossiele_Energie_Totaal[[#Headers],[A1-A3]],Database_Productkaarten[#All],51,FALSE)*Optimalisatie!J50),Baseline_Backlog!G468),0))</f>
        <v>0</v>
      </c>
      <c r="H468" s="91">
        <f>(IF(Optimalisatie!C50="Nieuwe Situatie",_xlfn.IFNA(VLOOKUP(Optimalisatie!V50,Database_Transport[#All],45,FALSE)*(Optimalisatie!R50*Optimalisatie!U50),Baseline_Backlog!H468),0))</f>
        <v>0</v>
      </c>
      <c r="I468" s="91">
        <f>IF(Optimalisatie!C50="Nieuwe situatie",IF(_xlfn.IFNA((VLOOKUP(Optimalisatie!W50,Database_Asfalt_Aanlegset[#All],45,FALSE)*Optimalisatie!J50),0)+_xlfn.IFNA(VLOOKUP(Optimalisatie!X50,Database_Brandstoffen[#All],45,FALSE)*((Optimalisatie!J50/Optimalisatie!Z50)*Optimalisatie!Y50),0)&gt;0,_xlfn.IFNA((VLOOKUP(Optimalisatie!W50,Database_Asfalt_Aanlegset[#All],45,FALSE)*Optimalisatie!J50),0)+_xlfn.IFNA(VLOOKUP(Optimalisatie!X50,Database_Brandstoffen[#All],45,FALSE)*((Optimalisatie!J50/Optimalisatie!Z50)*Optimalisatie!Y50),0),(_xlfn.IFNA(VLOOKUP(Inschrijf_Fossiele_Energie_Totaal[[#This Row],[Product]]&amp;", "&amp;Inschrijf_MKI_Totaal[[#Headers],[A5]],Database_Productkaarten[#All],51,FALSE),0)*Optimalisatie!J50)),0)</f>
        <v>0</v>
      </c>
      <c r="J468" s="91">
        <f>(IF(Optimalisatie!C50="Nieuwe Situatie",_xlfn.IFNA(IF(Optimalisatie!E50="Categorie_1_LCA_Producten",VLOOKUP(Inschrijf_Fossiele_Energie_Totaal[[#This Row],[Product]],Categorie_1_Producten[#All],36,FALSE)*(Optimalisatie!R50),VLOOKUP(Inschrijf_Fossiele_Energie_Totaal[[#This Row],[Product]]&amp;", "&amp;Inschrijf_Fossiele_Energie_Totaal[[#Headers],[B1]],Database_Productkaarten[#All],51,FALSE)*Optimalisatie!J50),Baseline_Backlog!J468),0))</f>
        <v>0</v>
      </c>
      <c r="K468" s="91">
        <f>(IF(Optimalisatie!C50="Nieuwe Situatie",_xlfn.IFNA(SUM(Inschrijf_Fossiele_Energie_Totaal[[#This Row],[A1]:[B1]],Inschrijf_Fossiele_Energie_Totaal[[#This Row],[C1]:[D2]])*Optimalisatie!T50,0),0))</f>
        <v>0</v>
      </c>
      <c r="L468" s="91">
        <f>IF(Optimalisatie!C50="Bestaande situatie",IF(_xlfn.IFNA((VLOOKUP(Optimalisatie!AA50,Database_Asfalt_Verwijderset[#All],45,FALSE)*Optimalisatie!J50),0)+_xlfn.IFNA(VLOOKUP(Optimalisatie!AB50,Database_Brandstoffen[#All],45,FALSE)*((Optimalisatie!J50/Optimalisatie!AD50)*Optimalisatie!AC50),0)&gt;0,_xlfn.IFNA((VLOOKUP(Optimalisatie!AA50,Database_Asfalt_Verwijderset[#All],45,FALSE)*Optimalisatie!J50),0)+_xlfn.IFNA(VLOOKUP(Optimalisatie!AB50,Database_Brandstoffen[#All],45,FALSE)*((Optimalisatie!J50/Optimalisatie!AD50)*Optimalisatie!AC50),0),(_xlfn.IFNA(VLOOKUP(Inschrijf_Fossiele_Energie_Totaal[[#This Row],[Product]]&amp;", "&amp;Inschrijf_MKI_Totaal[[#Headers],[C1]],Database_Productkaarten[#All],51,FALSE),0)*Optimalisatie!J50)),0)</f>
        <v>0</v>
      </c>
      <c r="M468" s="91">
        <f>(IF(Optimalisatie!C50="Bestaande Situatie",_xlfn.IFNA(VLOOKUP(Optimalisatie!AF50,Database_Transport[#All],45,FALSE)*(Optimalisatie!R50*Optimalisatie!AE50),Baseline_Backlog!M468),0))</f>
        <v>0</v>
      </c>
      <c r="N468" s="91">
        <f>(IF(Optimalisatie!C50="Bestaande Situatie",_xlfn.IFNA(VLOOKUP(Optimalisatie!AG50,Database_Asfalt_Verwerkingsset[#All],45,FALSE)*(Optimalisatie!J50/VLOOKUP(Optimalisatie!AG50,Database_Asfalt_Verwerkingsset[#All],45,FALSE)),Baseline_Backlog!N468),0))</f>
        <v>0</v>
      </c>
      <c r="O468" s="91">
        <f>(IF(Optimalisatie!C50="Bestaande Situatie",_xlfn.IFNA(VLOOKUP(Inschrijf_Fossiele_Energie_Totaal[[#This Row],[Product]]&amp;", "&amp;Inschrijf_MKI_Totaal[[#Headers],[C4]],Database_Productkaarten[#All],51,FALSE)*Optimalisatie!J50,Baseline_Backlog!O468),0))</f>
        <v>0</v>
      </c>
      <c r="P468" s="91">
        <f>(IF(Optimalisatie!C50="Bestaande Situatie",_xlfn.IFNA(IF(Optimalisatie!E50="Categorie_1_LCA_Producten",VLOOKUP(Inschrijf_Fossiele_Energie_Totaal[[#This Row],[Product]],Categorie_1_Producten[#All],30,FALSE)*(Optimalisatie!J50),VLOOKUP(Inschrijf_Fossiele_Energie_Totaal[[#This Row],[Product]]&amp;", "&amp;Inschrijf_Fossiele_Energie_Totaal[[#Headers],[D1]],Database_Productkaarten[#All],51,FALSE)*Optimalisatie!J50),Baseline_Backlog!P468),0))</f>
        <v>0</v>
      </c>
      <c r="Q468" s="91">
        <f>(IF(Optimalisatie!C50="Bestaande Situatie",_xlfn.IFNA(IF(Optimalisatie!E50="Categorie_1_LCA_Producten",VLOOKUP(Inschrijf_Fossiele_Energie_Totaal[[#This Row],[Product]],Categorie_1_Producten[#All],31,FALSE)*(Optimalisatie!J50),VLOOKUP(Inschrijf_Fossiele_Energie_Totaal[[#This Row],[Product]]&amp;", "&amp;Inschrijf_Fossiele_Energie_Totaal[[#Headers],[D2]],Database_Productkaarten[#All],51,FALSE)*Optimalisatie!J50),Baseline_Backlog!Q468),0))</f>
        <v>0</v>
      </c>
      <c r="R468" s="91">
        <f>(IF(Optimalisatie!C50="Bestaande Situatie",_xlfn.IFNA(IF(Optimalisatie!E50="Categorie_1_LCA_Producten",VLOOKUP(Inschrijf_Fossiele_Energie_Totaal[[#This Row],[Product]],Categorie_1_Producten[#All],37,FALSE)*(Optimalisatie!J50),VLOOKUP(Inschrijf_Fossiele_Energie_Totaal[[#This Row],[Product]]&amp;", "&amp;Inschrijf_Fossiele_Energie_Totaal[[#Headers],[D]],Database_Productkaarten[#All],51,FALSE)*Optimalisatie!J50),Baseline_Backlog!S468),0))</f>
        <v>0</v>
      </c>
      <c r="S468" s="91">
        <f>SUM(Inschrijf_Fossiele_Energie_Totaal[[#This Row],[A1-A3]:[C4]])+Inschrijf_Fossiele_Energie_Totaal[[#This Row],[D]]</f>
        <v>0</v>
      </c>
    </row>
    <row r="469" spans="2:19">
      <c r="B469" s="208">
        <f>Optimalisatie!B51</f>
        <v>0</v>
      </c>
      <c r="C469" s="1">
        <f>Optimalisatie!F51</f>
        <v>0</v>
      </c>
      <c r="D469" s="91">
        <f>(IF(Optimalisatie!C51="Nieuwe Situatie",_xlfn.IFNA(IF(Optimalisatie!E51="Categorie_1_LCA_Producten",VLOOKUP(Inschrijf_Fossiele_Energie_Totaal[[#This Row],[Product]],Categorie_1_Producten[#All],26,FALSE)*(Optimalisatie!J51),VLOOKUP(Inschrijf_Fossiele_Energie_Totaal[[#This Row],[Product]]&amp;", "&amp;Inschrijf_Fossiele_Energie_Totaal[[#Headers],[A1]],Database_Productkaarten[#All],51,FALSE)*Optimalisatie!J51),Baseline_Backlog!D469),0))</f>
        <v>0</v>
      </c>
      <c r="E469" s="91">
        <f>(IF(Optimalisatie!C51="Nieuwe Situatie",_xlfn.IFNA(IF(Optimalisatie!E51="Categorie_1_LCA_Producten",VLOOKUP(Inschrijf_Fossiele_Energie_Totaal[[#This Row],[Product]],Categorie_1_Producten[#All],27,FALSE)*(Optimalisatie!J51),VLOOKUP(Inschrijf_Fossiele_Energie_Totaal[[#This Row],[Product]]&amp;", "&amp;Inschrijf_Fossiele_Energie_Totaal[[#Headers],[A2]],Database_Productkaarten[#All],51,FALSE)*Optimalisatie!J51),Baseline_Backlog!E469),0))</f>
        <v>0</v>
      </c>
      <c r="F469" s="91">
        <f>(IF(Optimalisatie!C51="Nieuwe Situatie",_xlfn.IFNA(IF(Optimalisatie!E51="Categorie_1_LCA_Producten",VLOOKUP(Inschrijf_Fossiele_Energie_Totaal[[#This Row],[Product]],Categorie_1_Producten[#All],28,FALSE)*(Optimalisatie!J51),VLOOKUP(Inschrijf_Fossiele_Energie_Totaal[[#This Row],[Product]]&amp;", "&amp;Inschrijf_Fossiele_Energie_Totaal[[#Headers],[A3]],Database_Productkaarten[#All],51,FALSE)*Optimalisatie!J51),Baseline_Backlog!F469),0))</f>
        <v>0</v>
      </c>
      <c r="G469" s="91">
        <f>(IF(Optimalisatie!C51="Nieuwe Situatie",_xlfn.IFNA(IF(Optimalisatie!E51="Categorie_1_LCA_Producten",VLOOKUP(Inschrijf_Fossiele_Energie_Totaal[[#This Row],[Product]],Categorie_1_Producten[#All],35,FALSE)*(Optimalisatie!J51),VLOOKUP(Inschrijf_Fossiele_Energie_Totaal[[#This Row],[Product]]&amp;", "&amp;Inschrijf_Fossiele_Energie_Totaal[[#Headers],[A1-A3]],Database_Productkaarten[#All],51,FALSE)*Optimalisatie!J51),Baseline_Backlog!G469),0))</f>
        <v>0</v>
      </c>
      <c r="H469" s="91">
        <f>(IF(Optimalisatie!C51="Nieuwe Situatie",_xlfn.IFNA(VLOOKUP(Optimalisatie!V51,Database_Transport[#All],45,FALSE)*(Optimalisatie!R51*Optimalisatie!U51),Baseline_Backlog!H469),0))</f>
        <v>0</v>
      </c>
      <c r="I469" s="91">
        <f>IF(Optimalisatie!C51="Nieuwe situatie",IF(_xlfn.IFNA((VLOOKUP(Optimalisatie!W51,Database_Asfalt_Aanlegset[#All],45,FALSE)*Optimalisatie!J51),0)+_xlfn.IFNA(VLOOKUP(Optimalisatie!X51,Database_Brandstoffen[#All],45,FALSE)*((Optimalisatie!J51/Optimalisatie!Z51)*Optimalisatie!Y51),0)&gt;0,_xlfn.IFNA((VLOOKUP(Optimalisatie!W51,Database_Asfalt_Aanlegset[#All],45,FALSE)*Optimalisatie!J51),0)+_xlfn.IFNA(VLOOKUP(Optimalisatie!X51,Database_Brandstoffen[#All],45,FALSE)*((Optimalisatie!J51/Optimalisatie!Z51)*Optimalisatie!Y51),0),(_xlfn.IFNA(VLOOKUP(Inschrijf_Fossiele_Energie_Totaal[[#This Row],[Product]]&amp;", "&amp;Inschrijf_MKI_Totaal[[#Headers],[A5]],Database_Productkaarten[#All],51,FALSE),0)*Optimalisatie!J51)),0)</f>
        <v>0</v>
      </c>
      <c r="J469" s="91">
        <f>(IF(Optimalisatie!C51="Nieuwe Situatie",_xlfn.IFNA(IF(Optimalisatie!E51="Categorie_1_LCA_Producten",VLOOKUP(Inschrijf_Fossiele_Energie_Totaal[[#This Row],[Product]],Categorie_1_Producten[#All],36,FALSE)*(Optimalisatie!R51),VLOOKUP(Inschrijf_Fossiele_Energie_Totaal[[#This Row],[Product]]&amp;", "&amp;Inschrijf_Fossiele_Energie_Totaal[[#Headers],[B1]],Database_Productkaarten[#All],51,FALSE)*Optimalisatie!J51),Baseline_Backlog!J469),0))</f>
        <v>0</v>
      </c>
      <c r="K469" s="91">
        <f>(IF(Optimalisatie!C51="Nieuwe Situatie",_xlfn.IFNA(SUM(Inschrijf_Fossiele_Energie_Totaal[[#This Row],[A1]:[B1]],Inschrijf_Fossiele_Energie_Totaal[[#This Row],[C1]:[D2]])*Optimalisatie!T51,0),0))</f>
        <v>0</v>
      </c>
      <c r="L469" s="91">
        <f>IF(Optimalisatie!C51="Bestaande situatie",IF(_xlfn.IFNA((VLOOKUP(Optimalisatie!AA51,Database_Asfalt_Verwijderset[#All],45,FALSE)*Optimalisatie!J51),0)+_xlfn.IFNA(VLOOKUP(Optimalisatie!AB51,Database_Brandstoffen[#All],45,FALSE)*((Optimalisatie!J51/Optimalisatie!AD51)*Optimalisatie!AC51),0)&gt;0,_xlfn.IFNA((VLOOKUP(Optimalisatie!AA51,Database_Asfalt_Verwijderset[#All],45,FALSE)*Optimalisatie!J51),0)+_xlfn.IFNA(VLOOKUP(Optimalisatie!AB51,Database_Brandstoffen[#All],45,FALSE)*((Optimalisatie!J51/Optimalisatie!AD51)*Optimalisatie!AC51),0),(_xlfn.IFNA(VLOOKUP(Inschrijf_Fossiele_Energie_Totaal[[#This Row],[Product]]&amp;", "&amp;Inschrijf_MKI_Totaal[[#Headers],[C1]],Database_Productkaarten[#All],51,FALSE),0)*Optimalisatie!J51)),0)</f>
        <v>0</v>
      </c>
      <c r="M469" s="91">
        <f>(IF(Optimalisatie!C51="Bestaande Situatie",_xlfn.IFNA(VLOOKUP(Optimalisatie!AF51,Database_Transport[#All],45,FALSE)*(Optimalisatie!R51*Optimalisatie!AE51),Baseline_Backlog!M469),0))</f>
        <v>0</v>
      </c>
      <c r="N469" s="91">
        <f>(IF(Optimalisatie!C51="Bestaande Situatie",_xlfn.IFNA(VLOOKUP(Optimalisatie!AG51,Database_Asfalt_Verwerkingsset[#All],45,FALSE)*(Optimalisatie!J51/VLOOKUP(Optimalisatie!AG51,Database_Asfalt_Verwerkingsset[#All],45,FALSE)),Baseline_Backlog!N469),0))</f>
        <v>0</v>
      </c>
      <c r="O469" s="91">
        <f>(IF(Optimalisatie!C51="Bestaande Situatie",_xlfn.IFNA(VLOOKUP(Inschrijf_Fossiele_Energie_Totaal[[#This Row],[Product]]&amp;", "&amp;Inschrijf_MKI_Totaal[[#Headers],[C4]],Database_Productkaarten[#All],51,FALSE)*Optimalisatie!J51,Baseline_Backlog!O469),0))</f>
        <v>0</v>
      </c>
      <c r="P469" s="91">
        <f>(IF(Optimalisatie!C51="Bestaande Situatie",_xlfn.IFNA(IF(Optimalisatie!E51="Categorie_1_LCA_Producten",VLOOKUP(Inschrijf_Fossiele_Energie_Totaal[[#This Row],[Product]],Categorie_1_Producten[#All],30,FALSE)*(Optimalisatie!J51),VLOOKUP(Inschrijf_Fossiele_Energie_Totaal[[#This Row],[Product]]&amp;", "&amp;Inschrijf_Fossiele_Energie_Totaal[[#Headers],[D1]],Database_Productkaarten[#All],51,FALSE)*Optimalisatie!J51),Baseline_Backlog!P469),0))</f>
        <v>0</v>
      </c>
      <c r="Q469" s="91">
        <f>(IF(Optimalisatie!C51="Bestaande Situatie",_xlfn.IFNA(IF(Optimalisatie!E51="Categorie_1_LCA_Producten",VLOOKUP(Inschrijf_Fossiele_Energie_Totaal[[#This Row],[Product]],Categorie_1_Producten[#All],31,FALSE)*(Optimalisatie!J51),VLOOKUP(Inschrijf_Fossiele_Energie_Totaal[[#This Row],[Product]]&amp;", "&amp;Inschrijf_Fossiele_Energie_Totaal[[#Headers],[D2]],Database_Productkaarten[#All],51,FALSE)*Optimalisatie!J51),Baseline_Backlog!Q469),0))</f>
        <v>0</v>
      </c>
      <c r="R469" s="91">
        <f>(IF(Optimalisatie!C51="Bestaande Situatie",_xlfn.IFNA(IF(Optimalisatie!E51="Categorie_1_LCA_Producten",VLOOKUP(Inschrijf_Fossiele_Energie_Totaal[[#This Row],[Product]],Categorie_1_Producten[#All],37,FALSE)*(Optimalisatie!J51),VLOOKUP(Inschrijf_Fossiele_Energie_Totaal[[#This Row],[Product]]&amp;", "&amp;Inschrijf_Fossiele_Energie_Totaal[[#Headers],[D]],Database_Productkaarten[#All],51,FALSE)*Optimalisatie!J51),Baseline_Backlog!S469),0))</f>
        <v>0</v>
      </c>
      <c r="S469" s="91">
        <f>SUM(Inschrijf_Fossiele_Energie_Totaal[[#This Row],[A1-A3]:[C4]])+Inschrijf_Fossiele_Energie_Totaal[[#This Row],[D]]</f>
        <v>0</v>
      </c>
    </row>
    <row r="470" spans="2:19">
      <c r="B470" s="208">
        <f>Optimalisatie!B52</f>
        <v>0</v>
      </c>
      <c r="C470" s="1">
        <f>Optimalisatie!F52</f>
        <v>0</v>
      </c>
      <c r="D470" s="91">
        <f>(IF(Optimalisatie!C52="Nieuwe Situatie",_xlfn.IFNA(IF(Optimalisatie!E52="Categorie_1_LCA_Producten",VLOOKUP(Inschrijf_Fossiele_Energie_Totaal[[#This Row],[Product]],Categorie_1_Producten[#All],26,FALSE)*(Optimalisatie!J52),VLOOKUP(Inschrijf_Fossiele_Energie_Totaal[[#This Row],[Product]]&amp;", "&amp;Inschrijf_Fossiele_Energie_Totaal[[#Headers],[A1]],Database_Productkaarten[#All],51,FALSE)*Optimalisatie!J52),Baseline_Backlog!D470),0))</f>
        <v>0</v>
      </c>
      <c r="E470" s="91">
        <f>(IF(Optimalisatie!C52="Nieuwe Situatie",_xlfn.IFNA(IF(Optimalisatie!E52="Categorie_1_LCA_Producten",VLOOKUP(Inschrijf_Fossiele_Energie_Totaal[[#This Row],[Product]],Categorie_1_Producten[#All],27,FALSE)*(Optimalisatie!J52),VLOOKUP(Inschrijf_Fossiele_Energie_Totaal[[#This Row],[Product]]&amp;", "&amp;Inschrijf_Fossiele_Energie_Totaal[[#Headers],[A2]],Database_Productkaarten[#All],51,FALSE)*Optimalisatie!J52),Baseline_Backlog!E470),0))</f>
        <v>0</v>
      </c>
      <c r="F470" s="91">
        <f>(IF(Optimalisatie!C52="Nieuwe Situatie",_xlfn.IFNA(IF(Optimalisatie!E52="Categorie_1_LCA_Producten",VLOOKUP(Inschrijf_Fossiele_Energie_Totaal[[#This Row],[Product]],Categorie_1_Producten[#All],28,FALSE)*(Optimalisatie!J52),VLOOKUP(Inschrijf_Fossiele_Energie_Totaal[[#This Row],[Product]]&amp;", "&amp;Inschrijf_Fossiele_Energie_Totaal[[#Headers],[A3]],Database_Productkaarten[#All],51,FALSE)*Optimalisatie!J52),Baseline_Backlog!F470),0))</f>
        <v>0</v>
      </c>
      <c r="G470" s="91">
        <f>(IF(Optimalisatie!C52="Nieuwe Situatie",_xlfn.IFNA(IF(Optimalisatie!E52="Categorie_1_LCA_Producten",VLOOKUP(Inschrijf_Fossiele_Energie_Totaal[[#This Row],[Product]],Categorie_1_Producten[#All],35,FALSE)*(Optimalisatie!J52),VLOOKUP(Inschrijf_Fossiele_Energie_Totaal[[#This Row],[Product]]&amp;", "&amp;Inschrijf_Fossiele_Energie_Totaal[[#Headers],[A1-A3]],Database_Productkaarten[#All],51,FALSE)*Optimalisatie!J52),Baseline_Backlog!G470),0))</f>
        <v>0</v>
      </c>
      <c r="H470" s="91">
        <f>(IF(Optimalisatie!C52="Nieuwe Situatie",_xlfn.IFNA(VLOOKUP(Optimalisatie!V52,Database_Transport[#All],45,FALSE)*(Optimalisatie!R52*Optimalisatie!U52),Baseline_Backlog!H470),0))</f>
        <v>0</v>
      </c>
      <c r="I470" s="91">
        <f>IF(Optimalisatie!C52="Nieuwe situatie",IF(_xlfn.IFNA((VLOOKUP(Optimalisatie!W52,Database_Asfalt_Aanlegset[#All],45,FALSE)*Optimalisatie!J52),0)+_xlfn.IFNA(VLOOKUP(Optimalisatie!X52,Database_Brandstoffen[#All],45,FALSE)*((Optimalisatie!J52/Optimalisatie!Z52)*Optimalisatie!Y52),0)&gt;0,_xlfn.IFNA((VLOOKUP(Optimalisatie!W52,Database_Asfalt_Aanlegset[#All],45,FALSE)*Optimalisatie!J52),0)+_xlfn.IFNA(VLOOKUP(Optimalisatie!X52,Database_Brandstoffen[#All],45,FALSE)*((Optimalisatie!J52/Optimalisatie!Z52)*Optimalisatie!Y52),0),(_xlfn.IFNA(VLOOKUP(Inschrijf_Fossiele_Energie_Totaal[[#This Row],[Product]]&amp;", "&amp;Inschrijf_MKI_Totaal[[#Headers],[A5]],Database_Productkaarten[#All],51,FALSE),0)*Optimalisatie!J52)),0)</f>
        <v>0</v>
      </c>
      <c r="J470" s="91">
        <f>(IF(Optimalisatie!C52="Nieuwe Situatie",_xlfn.IFNA(IF(Optimalisatie!E52="Categorie_1_LCA_Producten",VLOOKUP(Inschrijf_Fossiele_Energie_Totaal[[#This Row],[Product]],Categorie_1_Producten[#All],36,FALSE)*(Optimalisatie!R52),VLOOKUP(Inschrijf_Fossiele_Energie_Totaal[[#This Row],[Product]]&amp;", "&amp;Inschrijf_Fossiele_Energie_Totaal[[#Headers],[B1]],Database_Productkaarten[#All],51,FALSE)*Optimalisatie!J52),Baseline_Backlog!J470),0))</f>
        <v>0</v>
      </c>
      <c r="K470" s="91">
        <f>(IF(Optimalisatie!C52="Nieuwe Situatie",_xlfn.IFNA(SUM(Inschrijf_Fossiele_Energie_Totaal[[#This Row],[A1]:[B1]],Inschrijf_Fossiele_Energie_Totaal[[#This Row],[C1]:[D2]])*Optimalisatie!T52,0),0))</f>
        <v>0</v>
      </c>
      <c r="L470" s="91">
        <f>IF(Optimalisatie!C52="Bestaande situatie",IF(_xlfn.IFNA((VLOOKUP(Optimalisatie!AA52,Database_Asfalt_Verwijderset[#All],45,FALSE)*Optimalisatie!J52),0)+_xlfn.IFNA(VLOOKUP(Optimalisatie!AB52,Database_Brandstoffen[#All],45,FALSE)*((Optimalisatie!J52/Optimalisatie!AD52)*Optimalisatie!AC52),0)&gt;0,_xlfn.IFNA((VLOOKUP(Optimalisatie!AA52,Database_Asfalt_Verwijderset[#All],45,FALSE)*Optimalisatie!J52),0)+_xlfn.IFNA(VLOOKUP(Optimalisatie!AB52,Database_Brandstoffen[#All],45,FALSE)*((Optimalisatie!J52/Optimalisatie!AD52)*Optimalisatie!AC52),0),(_xlfn.IFNA(VLOOKUP(Inschrijf_Fossiele_Energie_Totaal[[#This Row],[Product]]&amp;", "&amp;Inschrijf_MKI_Totaal[[#Headers],[C1]],Database_Productkaarten[#All],51,FALSE),0)*Optimalisatie!J52)),0)</f>
        <v>0</v>
      </c>
      <c r="M470" s="91">
        <f>(IF(Optimalisatie!C52="Bestaande Situatie",_xlfn.IFNA(VLOOKUP(Optimalisatie!AF52,Database_Transport[#All],45,FALSE)*(Optimalisatie!R52*Optimalisatie!AE52),Baseline_Backlog!M470),0))</f>
        <v>0</v>
      </c>
      <c r="N470" s="91">
        <f>(IF(Optimalisatie!C52="Bestaande Situatie",_xlfn.IFNA(VLOOKUP(Optimalisatie!AG52,Database_Asfalt_Verwerkingsset[#All],45,FALSE)*(Optimalisatie!J52/VLOOKUP(Optimalisatie!AG52,Database_Asfalt_Verwerkingsset[#All],45,FALSE)),Baseline_Backlog!N470),0))</f>
        <v>0</v>
      </c>
      <c r="O470" s="91">
        <f>(IF(Optimalisatie!C52="Bestaande Situatie",_xlfn.IFNA(VLOOKUP(Inschrijf_Fossiele_Energie_Totaal[[#This Row],[Product]]&amp;", "&amp;Inschrijf_MKI_Totaal[[#Headers],[C4]],Database_Productkaarten[#All],51,FALSE)*Optimalisatie!J52,Baseline_Backlog!O470),0))</f>
        <v>0</v>
      </c>
      <c r="P470" s="91">
        <f>(IF(Optimalisatie!C52="Bestaande Situatie",_xlfn.IFNA(IF(Optimalisatie!E52="Categorie_1_LCA_Producten",VLOOKUP(Inschrijf_Fossiele_Energie_Totaal[[#This Row],[Product]],Categorie_1_Producten[#All],30,FALSE)*(Optimalisatie!J52),VLOOKUP(Inschrijf_Fossiele_Energie_Totaal[[#This Row],[Product]]&amp;", "&amp;Inschrijf_Fossiele_Energie_Totaal[[#Headers],[D1]],Database_Productkaarten[#All],51,FALSE)*Optimalisatie!J52),Baseline_Backlog!P470),0))</f>
        <v>0</v>
      </c>
      <c r="Q470" s="91">
        <f>(IF(Optimalisatie!C52="Bestaande Situatie",_xlfn.IFNA(IF(Optimalisatie!E52="Categorie_1_LCA_Producten",VLOOKUP(Inschrijf_Fossiele_Energie_Totaal[[#This Row],[Product]],Categorie_1_Producten[#All],31,FALSE)*(Optimalisatie!J52),VLOOKUP(Inschrijf_Fossiele_Energie_Totaal[[#This Row],[Product]]&amp;", "&amp;Inschrijf_Fossiele_Energie_Totaal[[#Headers],[D2]],Database_Productkaarten[#All],51,FALSE)*Optimalisatie!J52),Baseline_Backlog!Q470),0))</f>
        <v>0</v>
      </c>
      <c r="R470" s="91">
        <f>(IF(Optimalisatie!C52="Bestaande Situatie",_xlfn.IFNA(IF(Optimalisatie!E52="Categorie_1_LCA_Producten",VLOOKUP(Inschrijf_Fossiele_Energie_Totaal[[#This Row],[Product]],Categorie_1_Producten[#All],37,FALSE)*(Optimalisatie!J52),VLOOKUP(Inschrijf_Fossiele_Energie_Totaal[[#This Row],[Product]]&amp;", "&amp;Inschrijf_Fossiele_Energie_Totaal[[#Headers],[D]],Database_Productkaarten[#All],51,FALSE)*Optimalisatie!J52),Baseline_Backlog!S470),0))</f>
        <v>0</v>
      </c>
      <c r="S470" s="91">
        <f>SUM(Inschrijf_Fossiele_Energie_Totaal[[#This Row],[A1-A3]:[C4]])+Inschrijf_Fossiele_Energie_Totaal[[#This Row],[D]]</f>
        <v>0</v>
      </c>
    </row>
    <row r="471" spans="2:19">
      <c r="B471" s="208">
        <f>Optimalisatie!B53</f>
        <v>0</v>
      </c>
      <c r="C471" s="1">
        <f>Optimalisatie!F53</f>
        <v>0</v>
      </c>
      <c r="D471" s="91">
        <f>(IF(Optimalisatie!C53="Nieuwe Situatie",_xlfn.IFNA(IF(Optimalisatie!E53="Categorie_1_LCA_Producten",VLOOKUP(Inschrijf_Fossiele_Energie_Totaal[[#This Row],[Product]],Categorie_1_Producten[#All],26,FALSE)*(Optimalisatie!J53),VLOOKUP(Inschrijf_Fossiele_Energie_Totaal[[#This Row],[Product]]&amp;", "&amp;Inschrijf_Fossiele_Energie_Totaal[[#Headers],[A1]],Database_Productkaarten[#All],51,FALSE)*Optimalisatie!J53),Baseline_Backlog!D471),0))</f>
        <v>0</v>
      </c>
      <c r="E471" s="91">
        <f>(IF(Optimalisatie!C53="Nieuwe Situatie",_xlfn.IFNA(IF(Optimalisatie!E53="Categorie_1_LCA_Producten",VLOOKUP(Inschrijf_Fossiele_Energie_Totaal[[#This Row],[Product]],Categorie_1_Producten[#All],27,FALSE)*(Optimalisatie!J53),VLOOKUP(Inschrijf_Fossiele_Energie_Totaal[[#This Row],[Product]]&amp;", "&amp;Inschrijf_Fossiele_Energie_Totaal[[#Headers],[A2]],Database_Productkaarten[#All],51,FALSE)*Optimalisatie!J53),Baseline_Backlog!E471),0))</f>
        <v>0</v>
      </c>
      <c r="F471" s="91">
        <f>(IF(Optimalisatie!C53="Nieuwe Situatie",_xlfn.IFNA(IF(Optimalisatie!E53="Categorie_1_LCA_Producten",VLOOKUP(Inschrijf_Fossiele_Energie_Totaal[[#This Row],[Product]],Categorie_1_Producten[#All],28,FALSE)*(Optimalisatie!J53),VLOOKUP(Inschrijf_Fossiele_Energie_Totaal[[#This Row],[Product]]&amp;", "&amp;Inschrijf_Fossiele_Energie_Totaal[[#Headers],[A3]],Database_Productkaarten[#All],51,FALSE)*Optimalisatie!J53),Baseline_Backlog!F471),0))</f>
        <v>0</v>
      </c>
      <c r="G471" s="91">
        <f>(IF(Optimalisatie!C53="Nieuwe Situatie",_xlfn.IFNA(IF(Optimalisatie!E53="Categorie_1_LCA_Producten",VLOOKUP(Inschrijf_Fossiele_Energie_Totaal[[#This Row],[Product]],Categorie_1_Producten[#All],35,FALSE)*(Optimalisatie!J53),VLOOKUP(Inschrijf_Fossiele_Energie_Totaal[[#This Row],[Product]]&amp;", "&amp;Inschrijf_Fossiele_Energie_Totaal[[#Headers],[A1-A3]],Database_Productkaarten[#All],51,FALSE)*Optimalisatie!J53),Baseline_Backlog!G471),0))</f>
        <v>0</v>
      </c>
      <c r="H471" s="91">
        <f>(IF(Optimalisatie!C53="Nieuwe Situatie",_xlfn.IFNA(VLOOKUP(Optimalisatie!V53,Database_Transport[#All],45,FALSE)*(Optimalisatie!R53*Optimalisatie!U53),Baseline_Backlog!H471),0))</f>
        <v>0</v>
      </c>
      <c r="I471" s="91">
        <f>IF(Optimalisatie!C53="Nieuwe situatie",IF(_xlfn.IFNA((VLOOKUP(Optimalisatie!W53,Database_Asfalt_Aanlegset[#All],45,FALSE)*Optimalisatie!J53),0)+_xlfn.IFNA(VLOOKUP(Optimalisatie!X53,Database_Brandstoffen[#All],45,FALSE)*((Optimalisatie!J53/Optimalisatie!Z53)*Optimalisatie!Y53),0)&gt;0,_xlfn.IFNA((VLOOKUP(Optimalisatie!W53,Database_Asfalt_Aanlegset[#All],45,FALSE)*Optimalisatie!J53),0)+_xlfn.IFNA(VLOOKUP(Optimalisatie!X53,Database_Brandstoffen[#All],45,FALSE)*((Optimalisatie!J53/Optimalisatie!Z53)*Optimalisatie!Y53),0),(_xlfn.IFNA(VLOOKUP(Inschrijf_Fossiele_Energie_Totaal[[#This Row],[Product]]&amp;", "&amp;Inschrijf_MKI_Totaal[[#Headers],[A5]],Database_Productkaarten[#All],51,FALSE),0)*Optimalisatie!J53)),0)</f>
        <v>0</v>
      </c>
      <c r="J471" s="91">
        <f>(IF(Optimalisatie!C53="Nieuwe Situatie",_xlfn.IFNA(IF(Optimalisatie!E53="Categorie_1_LCA_Producten",VLOOKUP(Inschrijf_Fossiele_Energie_Totaal[[#This Row],[Product]],Categorie_1_Producten[#All],36,FALSE)*(Optimalisatie!R53),VLOOKUP(Inschrijf_Fossiele_Energie_Totaal[[#This Row],[Product]]&amp;", "&amp;Inschrijf_Fossiele_Energie_Totaal[[#Headers],[B1]],Database_Productkaarten[#All],51,FALSE)*Optimalisatie!J53),Baseline_Backlog!J471),0))</f>
        <v>0</v>
      </c>
      <c r="K471" s="91">
        <f>(IF(Optimalisatie!C53="Nieuwe Situatie",_xlfn.IFNA(SUM(Inschrijf_Fossiele_Energie_Totaal[[#This Row],[A1]:[B1]],Inschrijf_Fossiele_Energie_Totaal[[#This Row],[C1]:[D2]])*Optimalisatie!T53,0),0))</f>
        <v>0</v>
      </c>
      <c r="L471" s="91">
        <f>IF(Optimalisatie!C53="Bestaande situatie",IF(_xlfn.IFNA((VLOOKUP(Optimalisatie!AA53,Database_Asfalt_Verwijderset[#All],45,FALSE)*Optimalisatie!J53),0)+_xlfn.IFNA(VLOOKUP(Optimalisatie!AB53,Database_Brandstoffen[#All],45,FALSE)*((Optimalisatie!J53/Optimalisatie!AD53)*Optimalisatie!AC53),0)&gt;0,_xlfn.IFNA((VLOOKUP(Optimalisatie!AA53,Database_Asfalt_Verwijderset[#All],45,FALSE)*Optimalisatie!J53),0)+_xlfn.IFNA(VLOOKUP(Optimalisatie!AB53,Database_Brandstoffen[#All],45,FALSE)*((Optimalisatie!J53/Optimalisatie!AD53)*Optimalisatie!AC53),0),(_xlfn.IFNA(VLOOKUP(Inschrijf_Fossiele_Energie_Totaal[[#This Row],[Product]]&amp;", "&amp;Inschrijf_MKI_Totaal[[#Headers],[C1]],Database_Productkaarten[#All],51,FALSE),0)*Optimalisatie!J53)),0)</f>
        <v>0</v>
      </c>
      <c r="M471" s="91">
        <f>(IF(Optimalisatie!C53="Bestaande Situatie",_xlfn.IFNA(VLOOKUP(Optimalisatie!AF53,Database_Transport[#All],45,FALSE)*(Optimalisatie!R53*Optimalisatie!AE53),Baseline_Backlog!M471),0))</f>
        <v>0</v>
      </c>
      <c r="N471" s="91">
        <f>(IF(Optimalisatie!C53="Bestaande Situatie",_xlfn.IFNA(VLOOKUP(Optimalisatie!AG53,Database_Asfalt_Verwerkingsset[#All],45,FALSE)*(Optimalisatie!J53/VLOOKUP(Optimalisatie!AG53,Database_Asfalt_Verwerkingsset[#All],45,FALSE)),Baseline_Backlog!N471),0))</f>
        <v>0</v>
      </c>
      <c r="O471" s="91">
        <f>(IF(Optimalisatie!C53="Bestaande Situatie",_xlfn.IFNA(VLOOKUP(Inschrijf_Fossiele_Energie_Totaal[[#This Row],[Product]]&amp;", "&amp;Inschrijf_MKI_Totaal[[#Headers],[C4]],Database_Productkaarten[#All],51,FALSE)*Optimalisatie!J53,Baseline_Backlog!O471),0))</f>
        <v>0</v>
      </c>
      <c r="P471" s="91">
        <f>(IF(Optimalisatie!C53="Bestaande Situatie",_xlfn.IFNA(IF(Optimalisatie!E53="Categorie_1_LCA_Producten",VLOOKUP(Inschrijf_Fossiele_Energie_Totaal[[#This Row],[Product]],Categorie_1_Producten[#All],30,FALSE)*(Optimalisatie!J53),VLOOKUP(Inschrijf_Fossiele_Energie_Totaal[[#This Row],[Product]]&amp;", "&amp;Inschrijf_Fossiele_Energie_Totaal[[#Headers],[D1]],Database_Productkaarten[#All],51,FALSE)*Optimalisatie!J53),Baseline_Backlog!P471),0))</f>
        <v>0</v>
      </c>
      <c r="Q471" s="91">
        <f>(IF(Optimalisatie!C53="Bestaande Situatie",_xlfn.IFNA(IF(Optimalisatie!E53="Categorie_1_LCA_Producten",VLOOKUP(Inschrijf_Fossiele_Energie_Totaal[[#This Row],[Product]],Categorie_1_Producten[#All],31,FALSE)*(Optimalisatie!J53),VLOOKUP(Inschrijf_Fossiele_Energie_Totaal[[#This Row],[Product]]&amp;", "&amp;Inschrijf_Fossiele_Energie_Totaal[[#Headers],[D2]],Database_Productkaarten[#All],51,FALSE)*Optimalisatie!J53),Baseline_Backlog!Q471),0))</f>
        <v>0</v>
      </c>
      <c r="R471" s="91">
        <f>(IF(Optimalisatie!C53="Bestaande Situatie",_xlfn.IFNA(IF(Optimalisatie!E53="Categorie_1_LCA_Producten",VLOOKUP(Inschrijf_Fossiele_Energie_Totaal[[#This Row],[Product]],Categorie_1_Producten[#All],37,FALSE)*(Optimalisatie!J53),VLOOKUP(Inschrijf_Fossiele_Energie_Totaal[[#This Row],[Product]]&amp;", "&amp;Inschrijf_Fossiele_Energie_Totaal[[#Headers],[D]],Database_Productkaarten[#All],51,FALSE)*Optimalisatie!J53),Baseline_Backlog!S471),0))</f>
        <v>0</v>
      </c>
      <c r="S471" s="91">
        <f>SUM(Inschrijf_Fossiele_Energie_Totaal[[#This Row],[A1-A3]:[C4]])+Inschrijf_Fossiele_Energie_Totaal[[#This Row],[D]]</f>
        <v>0</v>
      </c>
    </row>
    <row r="472" spans="2:19">
      <c r="B472" s="208">
        <f>Optimalisatie!B54</f>
        <v>0</v>
      </c>
      <c r="C472" s="1">
        <f>Optimalisatie!F54</f>
        <v>0</v>
      </c>
      <c r="D472" s="91">
        <f>(IF(Optimalisatie!C54="Nieuwe Situatie",_xlfn.IFNA(IF(Optimalisatie!E54="Categorie_1_LCA_Producten",VLOOKUP(Inschrijf_Fossiele_Energie_Totaal[[#This Row],[Product]],Categorie_1_Producten[#All],26,FALSE)*(Optimalisatie!J54),VLOOKUP(Inschrijf_Fossiele_Energie_Totaal[[#This Row],[Product]]&amp;", "&amp;Inschrijf_Fossiele_Energie_Totaal[[#Headers],[A1]],Database_Productkaarten[#All],51,FALSE)*Optimalisatie!J54),Baseline_Backlog!D472),0))</f>
        <v>0</v>
      </c>
      <c r="E472" s="91">
        <f>(IF(Optimalisatie!C54="Nieuwe Situatie",_xlfn.IFNA(IF(Optimalisatie!E54="Categorie_1_LCA_Producten",VLOOKUP(Inschrijf_Fossiele_Energie_Totaal[[#This Row],[Product]],Categorie_1_Producten[#All],27,FALSE)*(Optimalisatie!J54),VLOOKUP(Inschrijf_Fossiele_Energie_Totaal[[#This Row],[Product]]&amp;", "&amp;Inschrijf_Fossiele_Energie_Totaal[[#Headers],[A2]],Database_Productkaarten[#All],51,FALSE)*Optimalisatie!J54),Baseline_Backlog!E472),0))</f>
        <v>0</v>
      </c>
      <c r="F472" s="91">
        <f>(IF(Optimalisatie!C54="Nieuwe Situatie",_xlfn.IFNA(IF(Optimalisatie!E54="Categorie_1_LCA_Producten",VLOOKUP(Inschrijf_Fossiele_Energie_Totaal[[#This Row],[Product]],Categorie_1_Producten[#All],28,FALSE)*(Optimalisatie!J54),VLOOKUP(Inschrijf_Fossiele_Energie_Totaal[[#This Row],[Product]]&amp;", "&amp;Inschrijf_Fossiele_Energie_Totaal[[#Headers],[A3]],Database_Productkaarten[#All],51,FALSE)*Optimalisatie!J54),Baseline_Backlog!F472),0))</f>
        <v>0</v>
      </c>
      <c r="G472" s="91">
        <f>(IF(Optimalisatie!C54="Nieuwe Situatie",_xlfn.IFNA(IF(Optimalisatie!E54="Categorie_1_LCA_Producten",VLOOKUP(Inschrijf_Fossiele_Energie_Totaal[[#This Row],[Product]],Categorie_1_Producten[#All],35,FALSE)*(Optimalisatie!J54),VLOOKUP(Inschrijf_Fossiele_Energie_Totaal[[#This Row],[Product]]&amp;", "&amp;Inschrijf_Fossiele_Energie_Totaal[[#Headers],[A1-A3]],Database_Productkaarten[#All],51,FALSE)*Optimalisatie!J54),Baseline_Backlog!G472),0))</f>
        <v>0</v>
      </c>
      <c r="H472" s="91">
        <f>(IF(Optimalisatie!C54="Nieuwe Situatie",_xlfn.IFNA(VLOOKUP(Optimalisatie!V54,Database_Transport[#All],45,FALSE)*(Optimalisatie!R54*Optimalisatie!U54),Baseline_Backlog!H472),0))</f>
        <v>0</v>
      </c>
      <c r="I472" s="91">
        <f>IF(Optimalisatie!C54="Nieuwe situatie",IF(_xlfn.IFNA((VLOOKUP(Optimalisatie!W54,Database_Asfalt_Aanlegset[#All],45,FALSE)*Optimalisatie!J54),0)+_xlfn.IFNA(VLOOKUP(Optimalisatie!X54,Database_Brandstoffen[#All],45,FALSE)*((Optimalisatie!J54/Optimalisatie!Z54)*Optimalisatie!Y54),0)&gt;0,_xlfn.IFNA((VLOOKUP(Optimalisatie!W54,Database_Asfalt_Aanlegset[#All],45,FALSE)*Optimalisatie!J54),0)+_xlfn.IFNA(VLOOKUP(Optimalisatie!X54,Database_Brandstoffen[#All],45,FALSE)*((Optimalisatie!J54/Optimalisatie!Z54)*Optimalisatie!Y54),0),(_xlfn.IFNA(VLOOKUP(Inschrijf_Fossiele_Energie_Totaal[[#This Row],[Product]]&amp;", "&amp;Inschrijf_MKI_Totaal[[#Headers],[A5]],Database_Productkaarten[#All],51,FALSE),0)*Optimalisatie!J54)),0)</f>
        <v>0</v>
      </c>
      <c r="J472" s="91">
        <f>(IF(Optimalisatie!C54="Nieuwe Situatie",_xlfn.IFNA(IF(Optimalisatie!E54="Categorie_1_LCA_Producten",VLOOKUP(Inschrijf_Fossiele_Energie_Totaal[[#This Row],[Product]],Categorie_1_Producten[#All],36,FALSE)*(Optimalisatie!R54),VLOOKUP(Inschrijf_Fossiele_Energie_Totaal[[#This Row],[Product]]&amp;", "&amp;Inschrijf_Fossiele_Energie_Totaal[[#Headers],[B1]],Database_Productkaarten[#All],51,FALSE)*Optimalisatie!J54),Baseline_Backlog!J472),0))</f>
        <v>0</v>
      </c>
      <c r="K472" s="91">
        <f>(IF(Optimalisatie!C54="Nieuwe Situatie",_xlfn.IFNA(SUM(Inschrijf_Fossiele_Energie_Totaal[[#This Row],[A1]:[B1]],Inschrijf_Fossiele_Energie_Totaal[[#This Row],[C1]:[D2]])*Optimalisatie!T54,0),0))</f>
        <v>0</v>
      </c>
      <c r="L472" s="91">
        <f>IF(Optimalisatie!C54="Bestaande situatie",IF(_xlfn.IFNA((VLOOKUP(Optimalisatie!AA54,Database_Asfalt_Verwijderset[#All],45,FALSE)*Optimalisatie!J54),0)+_xlfn.IFNA(VLOOKUP(Optimalisatie!AB54,Database_Brandstoffen[#All],45,FALSE)*((Optimalisatie!J54/Optimalisatie!AD54)*Optimalisatie!AC54),0)&gt;0,_xlfn.IFNA((VLOOKUP(Optimalisatie!AA54,Database_Asfalt_Verwijderset[#All],45,FALSE)*Optimalisatie!J54),0)+_xlfn.IFNA(VLOOKUP(Optimalisatie!AB54,Database_Brandstoffen[#All],45,FALSE)*((Optimalisatie!J54/Optimalisatie!AD54)*Optimalisatie!AC54),0),(_xlfn.IFNA(VLOOKUP(Inschrijf_Fossiele_Energie_Totaal[[#This Row],[Product]]&amp;", "&amp;Inschrijf_MKI_Totaal[[#Headers],[C1]],Database_Productkaarten[#All],51,FALSE),0)*Optimalisatie!J54)),0)</f>
        <v>0</v>
      </c>
      <c r="M472" s="91">
        <f>(IF(Optimalisatie!C54="Bestaande Situatie",_xlfn.IFNA(VLOOKUP(Optimalisatie!AF54,Database_Transport[#All],45,FALSE)*(Optimalisatie!R54*Optimalisatie!AE54),Baseline_Backlog!M472),0))</f>
        <v>0</v>
      </c>
      <c r="N472" s="91">
        <f>(IF(Optimalisatie!C54="Bestaande Situatie",_xlfn.IFNA(VLOOKUP(Optimalisatie!AG54,Database_Asfalt_Verwerkingsset[#All],45,FALSE)*(Optimalisatie!J54/VLOOKUP(Optimalisatie!AG54,Database_Asfalt_Verwerkingsset[#All],45,FALSE)),Baseline_Backlog!N472),0))</f>
        <v>0</v>
      </c>
      <c r="O472" s="91">
        <f>(IF(Optimalisatie!C54="Bestaande Situatie",_xlfn.IFNA(VLOOKUP(Inschrijf_Fossiele_Energie_Totaal[[#This Row],[Product]]&amp;", "&amp;Inschrijf_MKI_Totaal[[#Headers],[C4]],Database_Productkaarten[#All],51,FALSE)*Optimalisatie!J54,Baseline_Backlog!O472),0))</f>
        <v>0</v>
      </c>
      <c r="P472" s="91">
        <f>(IF(Optimalisatie!C54="Bestaande Situatie",_xlfn.IFNA(IF(Optimalisatie!E54="Categorie_1_LCA_Producten",VLOOKUP(Inschrijf_Fossiele_Energie_Totaal[[#This Row],[Product]],Categorie_1_Producten[#All],30,FALSE)*(Optimalisatie!J54),VLOOKUP(Inschrijf_Fossiele_Energie_Totaal[[#This Row],[Product]]&amp;", "&amp;Inschrijf_Fossiele_Energie_Totaal[[#Headers],[D1]],Database_Productkaarten[#All],51,FALSE)*Optimalisatie!J54),Baseline_Backlog!P472),0))</f>
        <v>0</v>
      </c>
      <c r="Q472" s="91">
        <f>(IF(Optimalisatie!C54="Bestaande Situatie",_xlfn.IFNA(IF(Optimalisatie!E54="Categorie_1_LCA_Producten",VLOOKUP(Inschrijf_Fossiele_Energie_Totaal[[#This Row],[Product]],Categorie_1_Producten[#All],31,FALSE)*(Optimalisatie!J54),VLOOKUP(Inschrijf_Fossiele_Energie_Totaal[[#This Row],[Product]]&amp;", "&amp;Inschrijf_Fossiele_Energie_Totaal[[#Headers],[D2]],Database_Productkaarten[#All],51,FALSE)*Optimalisatie!J54),Baseline_Backlog!Q472),0))</f>
        <v>0</v>
      </c>
      <c r="R472" s="91">
        <f>(IF(Optimalisatie!C54="Bestaande Situatie",_xlfn.IFNA(IF(Optimalisatie!E54="Categorie_1_LCA_Producten",VLOOKUP(Inschrijf_Fossiele_Energie_Totaal[[#This Row],[Product]],Categorie_1_Producten[#All],37,FALSE)*(Optimalisatie!J54),VLOOKUP(Inschrijf_Fossiele_Energie_Totaal[[#This Row],[Product]]&amp;", "&amp;Inschrijf_Fossiele_Energie_Totaal[[#Headers],[D]],Database_Productkaarten[#All],51,FALSE)*Optimalisatie!J54),Baseline_Backlog!S472),0))</f>
        <v>0</v>
      </c>
      <c r="S472" s="91">
        <f>SUM(Inschrijf_Fossiele_Energie_Totaal[[#This Row],[A1-A3]:[C4]])+Inschrijf_Fossiele_Energie_Totaal[[#This Row],[D]]</f>
        <v>0</v>
      </c>
    </row>
    <row r="473" spans="2:19">
      <c r="B473" s="208">
        <f>Optimalisatie!B55</f>
        <v>0</v>
      </c>
      <c r="C473" s="1">
        <f>Optimalisatie!F55</f>
        <v>0</v>
      </c>
      <c r="D473" s="91">
        <f>(IF(Optimalisatie!C55="Nieuwe Situatie",_xlfn.IFNA(IF(Optimalisatie!E55="Categorie_1_LCA_Producten",VLOOKUP(Inschrijf_Fossiele_Energie_Totaal[[#This Row],[Product]],Categorie_1_Producten[#All],26,FALSE)*(Optimalisatie!J55),VLOOKUP(Inschrijf_Fossiele_Energie_Totaal[[#This Row],[Product]]&amp;", "&amp;Inschrijf_Fossiele_Energie_Totaal[[#Headers],[A1]],Database_Productkaarten[#All],51,FALSE)*Optimalisatie!J55),Baseline_Backlog!D473),0))</f>
        <v>0</v>
      </c>
      <c r="E473" s="91">
        <f>(IF(Optimalisatie!C55="Nieuwe Situatie",_xlfn.IFNA(IF(Optimalisatie!E55="Categorie_1_LCA_Producten",VLOOKUP(Inschrijf_Fossiele_Energie_Totaal[[#This Row],[Product]],Categorie_1_Producten[#All],27,FALSE)*(Optimalisatie!J55),VLOOKUP(Inschrijf_Fossiele_Energie_Totaal[[#This Row],[Product]]&amp;", "&amp;Inschrijf_Fossiele_Energie_Totaal[[#Headers],[A2]],Database_Productkaarten[#All],51,FALSE)*Optimalisatie!J55),Baseline_Backlog!E473),0))</f>
        <v>0</v>
      </c>
      <c r="F473" s="91">
        <f>(IF(Optimalisatie!C55="Nieuwe Situatie",_xlfn.IFNA(IF(Optimalisatie!E55="Categorie_1_LCA_Producten",VLOOKUP(Inschrijf_Fossiele_Energie_Totaal[[#This Row],[Product]],Categorie_1_Producten[#All],28,FALSE)*(Optimalisatie!J55),VLOOKUP(Inschrijf_Fossiele_Energie_Totaal[[#This Row],[Product]]&amp;", "&amp;Inschrijf_Fossiele_Energie_Totaal[[#Headers],[A3]],Database_Productkaarten[#All],51,FALSE)*Optimalisatie!J55),Baseline_Backlog!F473),0))</f>
        <v>0</v>
      </c>
      <c r="G473" s="91">
        <f>(IF(Optimalisatie!C55="Nieuwe Situatie",_xlfn.IFNA(IF(Optimalisatie!E55="Categorie_1_LCA_Producten",VLOOKUP(Inschrijf_Fossiele_Energie_Totaal[[#This Row],[Product]],Categorie_1_Producten[#All],35,FALSE)*(Optimalisatie!J55),VLOOKUP(Inschrijf_Fossiele_Energie_Totaal[[#This Row],[Product]]&amp;", "&amp;Inschrijf_Fossiele_Energie_Totaal[[#Headers],[A1-A3]],Database_Productkaarten[#All],51,FALSE)*Optimalisatie!J55),Baseline_Backlog!G473),0))</f>
        <v>0</v>
      </c>
      <c r="H473" s="91">
        <f>(IF(Optimalisatie!C55="Nieuwe Situatie",_xlfn.IFNA(VLOOKUP(Optimalisatie!V55,Database_Transport[#All],45,FALSE)*(Optimalisatie!R55*Optimalisatie!U55),Baseline_Backlog!H473),0))</f>
        <v>0</v>
      </c>
      <c r="I473" s="91">
        <f>IF(Optimalisatie!C55="Nieuwe situatie",IF(_xlfn.IFNA((VLOOKUP(Optimalisatie!W55,Database_Asfalt_Aanlegset[#All],45,FALSE)*Optimalisatie!J55),0)+_xlfn.IFNA(VLOOKUP(Optimalisatie!X55,Database_Brandstoffen[#All],45,FALSE)*((Optimalisatie!J55/Optimalisatie!Z55)*Optimalisatie!Y55),0)&gt;0,_xlfn.IFNA((VLOOKUP(Optimalisatie!W55,Database_Asfalt_Aanlegset[#All],45,FALSE)*Optimalisatie!J55),0)+_xlfn.IFNA(VLOOKUP(Optimalisatie!X55,Database_Brandstoffen[#All],45,FALSE)*((Optimalisatie!J55/Optimalisatie!Z55)*Optimalisatie!Y55),0),(_xlfn.IFNA(VLOOKUP(Inschrijf_Fossiele_Energie_Totaal[[#This Row],[Product]]&amp;", "&amp;Inschrijf_MKI_Totaal[[#Headers],[A5]],Database_Productkaarten[#All],51,FALSE),0)*Optimalisatie!J55)),0)</f>
        <v>0</v>
      </c>
      <c r="J473" s="91">
        <f>(IF(Optimalisatie!C55="Nieuwe Situatie",_xlfn.IFNA(IF(Optimalisatie!E55="Categorie_1_LCA_Producten",VLOOKUP(Inschrijf_Fossiele_Energie_Totaal[[#This Row],[Product]],Categorie_1_Producten[#All],36,FALSE)*(Optimalisatie!R55),VLOOKUP(Inschrijf_Fossiele_Energie_Totaal[[#This Row],[Product]]&amp;", "&amp;Inschrijf_Fossiele_Energie_Totaal[[#Headers],[B1]],Database_Productkaarten[#All],51,FALSE)*Optimalisatie!J55),Baseline_Backlog!J473),0))</f>
        <v>0</v>
      </c>
      <c r="K473" s="91">
        <f>(IF(Optimalisatie!C55="Nieuwe Situatie",_xlfn.IFNA(SUM(Inschrijf_Fossiele_Energie_Totaal[[#This Row],[A1]:[B1]],Inschrijf_Fossiele_Energie_Totaal[[#This Row],[C1]:[D2]])*Optimalisatie!T55,0),0))</f>
        <v>0</v>
      </c>
      <c r="L473" s="91">
        <f>IF(Optimalisatie!C55="Bestaande situatie",IF(_xlfn.IFNA((VLOOKUP(Optimalisatie!AA55,Database_Asfalt_Verwijderset[#All],45,FALSE)*Optimalisatie!J55),0)+_xlfn.IFNA(VLOOKUP(Optimalisatie!AB55,Database_Brandstoffen[#All],45,FALSE)*((Optimalisatie!J55/Optimalisatie!AD55)*Optimalisatie!AC55),0)&gt;0,_xlfn.IFNA((VLOOKUP(Optimalisatie!AA55,Database_Asfalt_Verwijderset[#All],45,FALSE)*Optimalisatie!J55),0)+_xlfn.IFNA(VLOOKUP(Optimalisatie!AB55,Database_Brandstoffen[#All],45,FALSE)*((Optimalisatie!J55/Optimalisatie!AD55)*Optimalisatie!AC55),0),(_xlfn.IFNA(VLOOKUP(Inschrijf_Fossiele_Energie_Totaal[[#This Row],[Product]]&amp;", "&amp;Inschrijf_MKI_Totaal[[#Headers],[C1]],Database_Productkaarten[#All],51,FALSE),0)*Optimalisatie!J55)),0)</f>
        <v>0</v>
      </c>
      <c r="M473" s="91">
        <f>(IF(Optimalisatie!C55="Bestaande Situatie",_xlfn.IFNA(VLOOKUP(Optimalisatie!AF55,Database_Transport[#All],45,FALSE)*(Optimalisatie!R55*Optimalisatie!AE55),Baseline_Backlog!M473),0))</f>
        <v>0</v>
      </c>
      <c r="N473" s="91">
        <f>(IF(Optimalisatie!C55="Bestaande Situatie",_xlfn.IFNA(VLOOKUP(Optimalisatie!AG55,Database_Asfalt_Verwerkingsset[#All],45,FALSE)*(Optimalisatie!J55/VLOOKUP(Optimalisatie!AG55,Database_Asfalt_Verwerkingsset[#All],45,FALSE)),Baseline_Backlog!N473),0))</f>
        <v>0</v>
      </c>
      <c r="O473" s="91">
        <f>(IF(Optimalisatie!C55="Bestaande Situatie",_xlfn.IFNA(VLOOKUP(Inschrijf_Fossiele_Energie_Totaal[[#This Row],[Product]]&amp;", "&amp;Inschrijf_MKI_Totaal[[#Headers],[C4]],Database_Productkaarten[#All],51,FALSE)*Optimalisatie!J55,Baseline_Backlog!O473),0))</f>
        <v>0</v>
      </c>
      <c r="P473" s="91">
        <f>(IF(Optimalisatie!C55="Bestaande Situatie",_xlfn.IFNA(IF(Optimalisatie!E55="Categorie_1_LCA_Producten",VLOOKUP(Inschrijf_Fossiele_Energie_Totaal[[#This Row],[Product]],Categorie_1_Producten[#All],30,FALSE)*(Optimalisatie!J55),VLOOKUP(Inschrijf_Fossiele_Energie_Totaal[[#This Row],[Product]]&amp;", "&amp;Inschrijf_Fossiele_Energie_Totaal[[#Headers],[D1]],Database_Productkaarten[#All],51,FALSE)*Optimalisatie!J55),Baseline_Backlog!P473),0))</f>
        <v>0</v>
      </c>
      <c r="Q473" s="91">
        <f>(IF(Optimalisatie!C55="Bestaande Situatie",_xlfn.IFNA(IF(Optimalisatie!E55="Categorie_1_LCA_Producten",VLOOKUP(Inschrijf_Fossiele_Energie_Totaal[[#This Row],[Product]],Categorie_1_Producten[#All],31,FALSE)*(Optimalisatie!J55),VLOOKUP(Inschrijf_Fossiele_Energie_Totaal[[#This Row],[Product]]&amp;", "&amp;Inschrijf_Fossiele_Energie_Totaal[[#Headers],[D2]],Database_Productkaarten[#All],51,FALSE)*Optimalisatie!J55),Baseline_Backlog!Q473),0))</f>
        <v>0</v>
      </c>
      <c r="R473" s="91">
        <f>(IF(Optimalisatie!C55="Bestaande Situatie",_xlfn.IFNA(IF(Optimalisatie!E55="Categorie_1_LCA_Producten",VLOOKUP(Inschrijf_Fossiele_Energie_Totaal[[#This Row],[Product]],Categorie_1_Producten[#All],37,FALSE)*(Optimalisatie!J55),VLOOKUP(Inschrijf_Fossiele_Energie_Totaal[[#This Row],[Product]]&amp;", "&amp;Inschrijf_Fossiele_Energie_Totaal[[#Headers],[D]],Database_Productkaarten[#All],51,FALSE)*Optimalisatie!J55),Baseline_Backlog!S473),0))</f>
        <v>0</v>
      </c>
      <c r="S473" s="91">
        <f>SUM(Inschrijf_Fossiele_Energie_Totaal[[#This Row],[A1-A3]:[C4]])+Inschrijf_Fossiele_Energie_Totaal[[#This Row],[D]]</f>
        <v>0</v>
      </c>
    </row>
    <row r="474" spans="2:19">
      <c r="B474" s="208">
        <f>Optimalisatie!B56</f>
        <v>0</v>
      </c>
      <c r="C474" s="1">
        <f>Optimalisatie!F56</f>
        <v>0</v>
      </c>
      <c r="D474" s="91">
        <f>(IF(Optimalisatie!C56="Nieuwe Situatie",_xlfn.IFNA(IF(Optimalisatie!E56="Categorie_1_LCA_Producten",VLOOKUP(Inschrijf_Fossiele_Energie_Totaal[[#This Row],[Product]],Categorie_1_Producten[#All],26,FALSE)*(Optimalisatie!J56),VLOOKUP(Inschrijf_Fossiele_Energie_Totaal[[#This Row],[Product]]&amp;", "&amp;Inschrijf_Fossiele_Energie_Totaal[[#Headers],[A1]],Database_Productkaarten[#All],51,FALSE)*Optimalisatie!J56),Baseline_Backlog!D474),0))</f>
        <v>0</v>
      </c>
      <c r="E474" s="91">
        <f>(IF(Optimalisatie!C56="Nieuwe Situatie",_xlfn.IFNA(IF(Optimalisatie!E56="Categorie_1_LCA_Producten",VLOOKUP(Inschrijf_Fossiele_Energie_Totaal[[#This Row],[Product]],Categorie_1_Producten[#All],27,FALSE)*(Optimalisatie!J56),VLOOKUP(Inschrijf_Fossiele_Energie_Totaal[[#This Row],[Product]]&amp;", "&amp;Inschrijf_Fossiele_Energie_Totaal[[#Headers],[A2]],Database_Productkaarten[#All],51,FALSE)*Optimalisatie!J56),Baseline_Backlog!E474),0))</f>
        <v>0</v>
      </c>
      <c r="F474" s="91">
        <f>(IF(Optimalisatie!C56="Nieuwe Situatie",_xlfn.IFNA(IF(Optimalisatie!E56="Categorie_1_LCA_Producten",VLOOKUP(Inschrijf_Fossiele_Energie_Totaal[[#This Row],[Product]],Categorie_1_Producten[#All],28,FALSE)*(Optimalisatie!J56),VLOOKUP(Inschrijf_Fossiele_Energie_Totaal[[#This Row],[Product]]&amp;", "&amp;Inschrijf_Fossiele_Energie_Totaal[[#Headers],[A3]],Database_Productkaarten[#All],51,FALSE)*Optimalisatie!J56),Baseline_Backlog!F474),0))</f>
        <v>0</v>
      </c>
      <c r="G474" s="91">
        <f>(IF(Optimalisatie!C56="Nieuwe Situatie",_xlfn.IFNA(IF(Optimalisatie!E56="Categorie_1_LCA_Producten",VLOOKUP(Inschrijf_Fossiele_Energie_Totaal[[#This Row],[Product]],Categorie_1_Producten[#All],35,FALSE)*(Optimalisatie!J56),VLOOKUP(Inschrijf_Fossiele_Energie_Totaal[[#This Row],[Product]]&amp;", "&amp;Inschrijf_Fossiele_Energie_Totaal[[#Headers],[A1-A3]],Database_Productkaarten[#All],51,FALSE)*Optimalisatie!J56),Baseline_Backlog!G474),0))</f>
        <v>0</v>
      </c>
      <c r="H474" s="91">
        <f>(IF(Optimalisatie!C56="Nieuwe Situatie",_xlfn.IFNA(VLOOKUP(Optimalisatie!V56,Database_Transport[#All],45,FALSE)*(Optimalisatie!R56*Optimalisatie!U56),Baseline_Backlog!H474),0))</f>
        <v>0</v>
      </c>
      <c r="I474" s="91">
        <f>IF(Optimalisatie!C56="Nieuwe situatie",IF(_xlfn.IFNA((VLOOKUP(Optimalisatie!W56,Database_Asfalt_Aanlegset[#All],45,FALSE)*Optimalisatie!J56),0)+_xlfn.IFNA(VLOOKUP(Optimalisatie!X56,Database_Brandstoffen[#All],45,FALSE)*((Optimalisatie!J56/Optimalisatie!Z56)*Optimalisatie!Y56),0)&gt;0,_xlfn.IFNA((VLOOKUP(Optimalisatie!W56,Database_Asfalt_Aanlegset[#All],45,FALSE)*Optimalisatie!J56),0)+_xlfn.IFNA(VLOOKUP(Optimalisatie!X56,Database_Brandstoffen[#All],45,FALSE)*((Optimalisatie!J56/Optimalisatie!Z56)*Optimalisatie!Y56),0),(_xlfn.IFNA(VLOOKUP(Inschrijf_Fossiele_Energie_Totaal[[#This Row],[Product]]&amp;", "&amp;Inschrijf_MKI_Totaal[[#Headers],[A5]],Database_Productkaarten[#All],51,FALSE),0)*Optimalisatie!J56)),0)</f>
        <v>0</v>
      </c>
      <c r="J474" s="91">
        <f>(IF(Optimalisatie!C56="Nieuwe Situatie",_xlfn.IFNA(IF(Optimalisatie!E56="Categorie_1_LCA_Producten",VLOOKUP(Inschrijf_Fossiele_Energie_Totaal[[#This Row],[Product]],Categorie_1_Producten[#All],36,FALSE)*(Optimalisatie!R56),VLOOKUP(Inschrijf_Fossiele_Energie_Totaal[[#This Row],[Product]]&amp;", "&amp;Inschrijf_Fossiele_Energie_Totaal[[#Headers],[B1]],Database_Productkaarten[#All],51,FALSE)*Optimalisatie!J56),Baseline_Backlog!J474),0))</f>
        <v>0</v>
      </c>
      <c r="K474" s="91">
        <f>(IF(Optimalisatie!C56="Nieuwe Situatie",_xlfn.IFNA(SUM(Inschrijf_Fossiele_Energie_Totaal[[#This Row],[A1]:[B1]],Inschrijf_Fossiele_Energie_Totaal[[#This Row],[C1]:[D2]])*Optimalisatie!T56,0),0))</f>
        <v>0</v>
      </c>
      <c r="L474" s="91">
        <f>IF(Optimalisatie!C56="Bestaande situatie",IF(_xlfn.IFNA((VLOOKUP(Optimalisatie!AA56,Database_Asfalt_Verwijderset[#All],45,FALSE)*Optimalisatie!J56),0)+_xlfn.IFNA(VLOOKUP(Optimalisatie!AB56,Database_Brandstoffen[#All],45,FALSE)*((Optimalisatie!J56/Optimalisatie!AD56)*Optimalisatie!AC56),0)&gt;0,_xlfn.IFNA((VLOOKUP(Optimalisatie!AA56,Database_Asfalt_Verwijderset[#All],45,FALSE)*Optimalisatie!J56),0)+_xlfn.IFNA(VLOOKUP(Optimalisatie!AB56,Database_Brandstoffen[#All],45,FALSE)*((Optimalisatie!J56/Optimalisatie!AD56)*Optimalisatie!AC56),0),(_xlfn.IFNA(VLOOKUP(Inschrijf_Fossiele_Energie_Totaal[[#This Row],[Product]]&amp;", "&amp;Inschrijf_MKI_Totaal[[#Headers],[C1]],Database_Productkaarten[#All],51,FALSE),0)*Optimalisatie!J56)),0)</f>
        <v>0</v>
      </c>
      <c r="M474" s="91">
        <f>(IF(Optimalisatie!C56="Bestaande Situatie",_xlfn.IFNA(VLOOKUP(Optimalisatie!AF56,Database_Transport[#All],45,FALSE)*(Optimalisatie!R56*Optimalisatie!AE56),Baseline_Backlog!M474),0))</f>
        <v>0</v>
      </c>
      <c r="N474" s="91">
        <f>(IF(Optimalisatie!C56="Bestaande Situatie",_xlfn.IFNA(VLOOKUP(Optimalisatie!AG56,Database_Asfalt_Verwerkingsset[#All],45,FALSE)*(Optimalisatie!J56/VLOOKUP(Optimalisatie!AG56,Database_Asfalt_Verwerkingsset[#All],45,FALSE)),Baseline_Backlog!N474),0))</f>
        <v>0</v>
      </c>
      <c r="O474" s="91">
        <f>(IF(Optimalisatie!C56="Bestaande Situatie",_xlfn.IFNA(VLOOKUP(Inschrijf_Fossiele_Energie_Totaal[[#This Row],[Product]]&amp;", "&amp;Inschrijf_MKI_Totaal[[#Headers],[C4]],Database_Productkaarten[#All],51,FALSE)*Optimalisatie!J56,Baseline_Backlog!O474),0))</f>
        <v>0</v>
      </c>
      <c r="P474" s="91">
        <f>(IF(Optimalisatie!C56="Bestaande Situatie",_xlfn.IFNA(IF(Optimalisatie!E56="Categorie_1_LCA_Producten",VLOOKUP(Inschrijf_Fossiele_Energie_Totaal[[#This Row],[Product]],Categorie_1_Producten[#All],30,FALSE)*(Optimalisatie!J56),VLOOKUP(Inschrijf_Fossiele_Energie_Totaal[[#This Row],[Product]]&amp;", "&amp;Inschrijf_Fossiele_Energie_Totaal[[#Headers],[D1]],Database_Productkaarten[#All],51,FALSE)*Optimalisatie!J56),Baseline_Backlog!P474),0))</f>
        <v>0</v>
      </c>
      <c r="Q474" s="91">
        <f>(IF(Optimalisatie!C56="Bestaande Situatie",_xlfn.IFNA(IF(Optimalisatie!E56="Categorie_1_LCA_Producten",VLOOKUP(Inschrijf_Fossiele_Energie_Totaal[[#This Row],[Product]],Categorie_1_Producten[#All],31,FALSE)*(Optimalisatie!J56),VLOOKUP(Inschrijf_Fossiele_Energie_Totaal[[#This Row],[Product]]&amp;", "&amp;Inschrijf_Fossiele_Energie_Totaal[[#Headers],[D2]],Database_Productkaarten[#All],51,FALSE)*Optimalisatie!J56),Baseline_Backlog!Q474),0))</f>
        <v>0</v>
      </c>
      <c r="R474" s="91">
        <f>(IF(Optimalisatie!C56="Bestaande Situatie",_xlfn.IFNA(IF(Optimalisatie!E56="Categorie_1_LCA_Producten",VLOOKUP(Inschrijf_Fossiele_Energie_Totaal[[#This Row],[Product]],Categorie_1_Producten[#All],37,FALSE)*(Optimalisatie!J56),VLOOKUP(Inschrijf_Fossiele_Energie_Totaal[[#This Row],[Product]]&amp;", "&amp;Inschrijf_Fossiele_Energie_Totaal[[#Headers],[D]],Database_Productkaarten[#All],51,FALSE)*Optimalisatie!J56),Baseline_Backlog!S474),0))</f>
        <v>0</v>
      </c>
      <c r="S474" s="91">
        <f>SUM(Inschrijf_Fossiele_Energie_Totaal[[#This Row],[A1-A3]:[C4]])+Inschrijf_Fossiele_Energie_Totaal[[#This Row],[D]]</f>
        <v>0</v>
      </c>
    </row>
    <row r="475" spans="2:19">
      <c r="B475" s="208">
        <f>Optimalisatie!B57</f>
        <v>0</v>
      </c>
      <c r="C475" s="1">
        <f>Optimalisatie!F57</f>
        <v>0</v>
      </c>
      <c r="D475" s="91">
        <f>(IF(Optimalisatie!C57="Nieuwe Situatie",_xlfn.IFNA(IF(Optimalisatie!E57="Categorie_1_LCA_Producten",VLOOKUP(Inschrijf_Fossiele_Energie_Totaal[[#This Row],[Product]],Categorie_1_Producten[#All],26,FALSE)*(Optimalisatie!J57),VLOOKUP(Inschrijf_Fossiele_Energie_Totaal[[#This Row],[Product]]&amp;", "&amp;Inschrijf_Fossiele_Energie_Totaal[[#Headers],[A1]],Database_Productkaarten[#All],51,FALSE)*Optimalisatie!J57),Baseline_Backlog!D475),0))</f>
        <v>0</v>
      </c>
      <c r="E475" s="91">
        <f>(IF(Optimalisatie!C57="Nieuwe Situatie",_xlfn.IFNA(IF(Optimalisatie!E57="Categorie_1_LCA_Producten",VLOOKUP(Inschrijf_Fossiele_Energie_Totaal[[#This Row],[Product]],Categorie_1_Producten[#All],27,FALSE)*(Optimalisatie!J57),VLOOKUP(Inschrijf_Fossiele_Energie_Totaal[[#This Row],[Product]]&amp;", "&amp;Inschrijf_Fossiele_Energie_Totaal[[#Headers],[A2]],Database_Productkaarten[#All],51,FALSE)*Optimalisatie!J57),Baseline_Backlog!E475),0))</f>
        <v>0</v>
      </c>
      <c r="F475" s="91">
        <f>(IF(Optimalisatie!C57="Nieuwe Situatie",_xlfn.IFNA(IF(Optimalisatie!E57="Categorie_1_LCA_Producten",VLOOKUP(Inschrijf_Fossiele_Energie_Totaal[[#This Row],[Product]],Categorie_1_Producten[#All],28,FALSE)*(Optimalisatie!J57),VLOOKUP(Inschrijf_Fossiele_Energie_Totaal[[#This Row],[Product]]&amp;", "&amp;Inschrijf_Fossiele_Energie_Totaal[[#Headers],[A3]],Database_Productkaarten[#All],51,FALSE)*Optimalisatie!J57),Baseline_Backlog!F475),0))</f>
        <v>0</v>
      </c>
      <c r="G475" s="91">
        <f>(IF(Optimalisatie!C57="Nieuwe Situatie",_xlfn.IFNA(IF(Optimalisatie!E57="Categorie_1_LCA_Producten",VLOOKUP(Inschrijf_Fossiele_Energie_Totaal[[#This Row],[Product]],Categorie_1_Producten[#All],35,FALSE)*(Optimalisatie!J57),VLOOKUP(Inschrijf_Fossiele_Energie_Totaal[[#This Row],[Product]]&amp;", "&amp;Inschrijf_Fossiele_Energie_Totaal[[#Headers],[A1-A3]],Database_Productkaarten[#All],51,FALSE)*Optimalisatie!J57),Baseline_Backlog!G475),0))</f>
        <v>0</v>
      </c>
      <c r="H475" s="91">
        <f>(IF(Optimalisatie!C57="Nieuwe Situatie",_xlfn.IFNA(VLOOKUP(Optimalisatie!V57,Database_Transport[#All],45,FALSE)*(Optimalisatie!R57*Optimalisatie!U57),Baseline_Backlog!H475),0))</f>
        <v>0</v>
      </c>
      <c r="I475" s="91">
        <f>IF(Optimalisatie!C57="Nieuwe situatie",IF(_xlfn.IFNA((VLOOKUP(Optimalisatie!W57,Database_Asfalt_Aanlegset[#All],45,FALSE)*Optimalisatie!J57),0)+_xlfn.IFNA(VLOOKUP(Optimalisatie!X57,Database_Brandstoffen[#All],45,FALSE)*((Optimalisatie!J57/Optimalisatie!Z57)*Optimalisatie!Y57),0)&gt;0,_xlfn.IFNA((VLOOKUP(Optimalisatie!W57,Database_Asfalt_Aanlegset[#All],45,FALSE)*Optimalisatie!J57),0)+_xlfn.IFNA(VLOOKUP(Optimalisatie!X57,Database_Brandstoffen[#All],45,FALSE)*((Optimalisatie!J57/Optimalisatie!Z57)*Optimalisatie!Y57),0),(_xlfn.IFNA(VLOOKUP(Inschrijf_Fossiele_Energie_Totaal[[#This Row],[Product]]&amp;", "&amp;Inschrijf_MKI_Totaal[[#Headers],[A5]],Database_Productkaarten[#All],51,FALSE),0)*Optimalisatie!J57)),0)</f>
        <v>0</v>
      </c>
      <c r="J475" s="91">
        <f>(IF(Optimalisatie!C57="Nieuwe Situatie",_xlfn.IFNA(IF(Optimalisatie!E57="Categorie_1_LCA_Producten",VLOOKUP(Inschrijf_Fossiele_Energie_Totaal[[#This Row],[Product]],Categorie_1_Producten[#All],36,FALSE)*(Optimalisatie!R57),VLOOKUP(Inschrijf_Fossiele_Energie_Totaal[[#This Row],[Product]]&amp;", "&amp;Inschrijf_Fossiele_Energie_Totaal[[#Headers],[B1]],Database_Productkaarten[#All],51,FALSE)*Optimalisatie!J57),Baseline_Backlog!J475),0))</f>
        <v>0</v>
      </c>
      <c r="K475" s="91">
        <f>(IF(Optimalisatie!C57="Nieuwe Situatie",_xlfn.IFNA(SUM(Inschrijf_Fossiele_Energie_Totaal[[#This Row],[A1]:[B1]],Inschrijf_Fossiele_Energie_Totaal[[#This Row],[C1]:[D2]])*Optimalisatie!T57,0),0))</f>
        <v>0</v>
      </c>
      <c r="L475" s="91">
        <f>IF(Optimalisatie!C57="Bestaande situatie",IF(_xlfn.IFNA((VLOOKUP(Optimalisatie!AA57,Database_Asfalt_Verwijderset[#All],45,FALSE)*Optimalisatie!J57),0)+_xlfn.IFNA(VLOOKUP(Optimalisatie!AB57,Database_Brandstoffen[#All],45,FALSE)*((Optimalisatie!J57/Optimalisatie!AD57)*Optimalisatie!AC57),0)&gt;0,_xlfn.IFNA((VLOOKUP(Optimalisatie!AA57,Database_Asfalt_Verwijderset[#All],45,FALSE)*Optimalisatie!J57),0)+_xlfn.IFNA(VLOOKUP(Optimalisatie!AB57,Database_Brandstoffen[#All],45,FALSE)*((Optimalisatie!J57/Optimalisatie!AD57)*Optimalisatie!AC57),0),(_xlfn.IFNA(VLOOKUP(Inschrijf_Fossiele_Energie_Totaal[[#This Row],[Product]]&amp;", "&amp;Inschrijf_MKI_Totaal[[#Headers],[C1]],Database_Productkaarten[#All],51,FALSE),0)*Optimalisatie!J57)),0)</f>
        <v>0</v>
      </c>
      <c r="M475" s="91">
        <f>(IF(Optimalisatie!C57="Bestaande Situatie",_xlfn.IFNA(VLOOKUP(Optimalisatie!AF57,Database_Transport[#All],45,FALSE)*(Optimalisatie!R57*Optimalisatie!AE57),Baseline_Backlog!M475),0))</f>
        <v>0</v>
      </c>
      <c r="N475" s="91">
        <f>(IF(Optimalisatie!C57="Bestaande Situatie",_xlfn.IFNA(VLOOKUP(Optimalisatie!AG57,Database_Asfalt_Verwerkingsset[#All],45,FALSE)*(Optimalisatie!J57/VLOOKUP(Optimalisatie!AG57,Database_Asfalt_Verwerkingsset[#All],45,FALSE)),Baseline_Backlog!N475),0))</f>
        <v>0</v>
      </c>
      <c r="O475" s="91">
        <f>(IF(Optimalisatie!C57="Bestaande Situatie",_xlfn.IFNA(VLOOKUP(Inschrijf_Fossiele_Energie_Totaal[[#This Row],[Product]]&amp;", "&amp;Inschrijf_MKI_Totaal[[#Headers],[C4]],Database_Productkaarten[#All],51,FALSE)*Optimalisatie!J57,Baseline_Backlog!O475),0))</f>
        <v>0</v>
      </c>
      <c r="P475" s="91">
        <f>(IF(Optimalisatie!C57="Bestaande Situatie",_xlfn.IFNA(IF(Optimalisatie!E57="Categorie_1_LCA_Producten",VLOOKUP(Inschrijf_Fossiele_Energie_Totaal[[#This Row],[Product]],Categorie_1_Producten[#All],30,FALSE)*(Optimalisatie!J57),VLOOKUP(Inschrijf_Fossiele_Energie_Totaal[[#This Row],[Product]]&amp;", "&amp;Inschrijf_Fossiele_Energie_Totaal[[#Headers],[D1]],Database_Productkaarten[#All],51,FALSE)*Optimalisatie!J57),Baseline_Backlog!P475),0))</f>
        <v>0</v>
      </c>
      <c r="Q475" s="91">
        <f>(IF(Optimalisatie!C57="Bestaande Situatie",_xlfn.IFNA(IF(Optimalisatie!E57="Categorie_1_LCA_Producten",VLOOKUP(Inschrijf_Fossiele_Energie_Totaal[[#This Row],[Product]],Categorie_1_Producten[#All],31,FALSE)*(Optimalisatie!J57),VLOOKUP(Inschrijf_Fossiele_Energie_Totaal[[#This Row],[Product]]&amp;", "&amp;Inschrijf_Fossiele_Energie_Totaal[[#Headers],[D2]],Database_Productkaarten[#All],51,FALSE)*Optimalisatie!J57),Baseline_Backlog!Q475),0))</f>
        <v>0</v>
      </c>
      <c r="R475" s="91">
        <f>(IF(Optimalisatie!C57="Bestaande Situatie",_xlfn.IFNA(IF(Optimalisatie!E57="Categorie_1_LCA_Producten",VLOOKUP(Inschrijf_Fossiele_Energie_Totaal[[#This Row],[Product]],Categorie_1_Producten[#All],37,FALSE)*(Optimalisatie!J57),VLOOKUP(Inschrijf_Fossiele_Energie_Totaal[[#This Row],[Product]]&amp;", "&amp;Inschrijf_Fossiele_Energie_Totaal[[#Headers],[D]],Database_Productkaarten[#All],51,FALSE)*Optimalisatie!J57),Baseline_Backlog!S475),0))</f>
        <v>0</v>
      </c>
      <c r="S475" s="91">
        <f>SUM(Inschrijf_Fossiele_Energie_Totaal[[#This Row],[A1-A3]:[C4]])+Inschrijf_Fossiele_Energie_Totaal[[#This Row],[D]]</f>
        <v>0</v>
      </c>
    </row>
    <row r="476" spans="2:19">
      <c r="B476" s="208">
        <f>Optimalisatie!B58</f>
        <v>0</v>
      </c>
      <c r="C476" s="1">
        <f>Optimalisatie!F58</f>
        <v>0</v>
      </c>
      <c r="D476" s="91">
        <f>(IF(Optimalisatie!C58="Nieuwe Situatie",_xlfn.IFNA(IF(Optimalisatie!E58="Categorie_1_LCA_Producten",VLOOKUP(Inschrijf_Fossiele_Energie_Totaal[[#This Row],[Product]],Categorie_1_Producten[#All],26,FALSE)*(Optimalisatie!J58),VLOOKUP(Inschrijf_Fossiele_Energie_Totaal[[#This Row],[Product]]&amp;", "&amp;Inschrijf_Fossiele_Energie_Totaal[[#Headers],[A1]],Database_Productkaarten[#All],51,FALSE)*Optimalisatie!J58),Baseline_Backlog!D476),0))</f>
        <v>0</v>
      </c>
      <c r="E476" s="91">
        <f>(IF(Optimalisatie!C58="Nieuwe Situatie",_xlfn.IFNA(IF(Optimalisatie!E58="Categorie_1_LCA_Producten",VLOOKUP(Inschrijf_Fossiele_Energie_Totaal[[#This Row],[Product]],Categorie_1_Producten[#All],27,FALSE)*(Optimalisatie!J58),VLOOKUP(Inschrijf_Fossiele_Energie_Totaal[[#This Row],[Product]]&amp;", "&amp;Inschrijf_Fossiele_Energie_Totaal[[#Headers],[A2]],Database_Productkaarten[#All],51,FALSE)*Optimalisatie!J58),Baseline_Backlog!E476),0))</f>
        <v>0</v>
      </c>
      <c r="F476" s="91">
        <f>(IF(Optimalisatie!C58="Nieuwe Situatie",_xlfn.IFNA(IF(Optimalisatie!E58="Categorie_1_LCA_Producten",VLOOKUP(Inschrijf_Fossiele_Energie_Totaal[[#This Row],[Product]],Categorie_1_Producten[#All],28,FALSE)*(Optimalisatie!J58),VLOOKUP(Inschrijf_Fossiele_Energie_Totaal[[#This Row],[Product]]&amp;", "&amp;Inschrijf_Fossiele_Energie_Totaal[[#Headers],[A3]],Database_Productkaarten[#All],51,FALSE)*Optimalisatie!J58),Baseline_Backlog!F476),0))</f>
        <v>0</v>
      </c>
      <c r="G476" s="91">
        <f>(IF(Optimalisatie!C58="Nieuwe Situatie",_xlfn.IFNA(IF(Optimalisatie!E58="Categorie_1_LCA_Producten",VLOOKUP(Inschrijf_Fossiele_Energie_Totaal[[#This Row],[Product]],Categorie_1_Producten[#All],35,FALSE)*(Optimalisatie!J58),VLOOKUP(Inschrijf_Fossiele_Energie_Totaal[[#This Row],[Product]]&amp;", "&amp;Inschrijf_Fossiele_Energie_Totaal[[#Headers],[A1-A3]],Database_Productkaarten[#All],51,FALSE)*Optimalisatie!J58),Baseline_Backlog!G476),0))</f>
        <v>0</v>
      </c>
      <c r="H476" s="91">
        <f>(IF(Optimalisatie!C58="Nieuwe Situatie",_xlfn.IFNA(VLOOKUP(Optimalisatie!V58,Database_Transport[#All],45,FALSE)*(Optimalisatie!R58*Optimalisatie!U58),Baseline_Backlog!H476),0))</f>
        <v>0</v>
      </c>
      <c r="I476" s="91">
        <f>IF(Optimalisatie!C58="Nieuwe situatie",IF(_xlfn.IFNA((VLOOKUP(Optimalisatie!W58,Database_Asfalt_Aanlegset[#All],45,FALSE)*Optimalisatie!J58),0)+_xlfn.IFNA(VLOOKUP(Optimalisatie!X58,Database_Brandstoffen[#All],45,FALSE)*((Optimalisatie!J58/Optimalisatie!Z58)*Optimalisatie!Y58),0)&gt;0,_xlfn.IFNA((VLOOKUP(Optimalisatie!W58,Database_Asfalt_Aanlegset[#All],45,FALSE)*Optimalisatie!J58),0)+_xlfn.IFNA(VLOOKUP(Optimalisatie!X58,Database_Brandstoffen[#All],45,FALSE)*((Optimalisatie!J58/Optimalisatie!Z58)*Optimalisatie!Y58),0),(_xlfn.IFNA(VLOOKUP(Inschrijf_Fossiele_Energie_Totaal[[#This Row],[Product]]&amp;", "&amp;Inschrijf_MKI_Totaal[[#Headers],[A5]],Database_Productkaarten[#All],51,FALSE),0)*Optimalisatie!J58)),0)</f>
        <v>0</v>
      </c>
      <c r="J476" s="91">
        <f>(IF(Optimalisatie!C58="Nieuwe Situatie",_xlfn.IFNA(IF(Optimalisatie!E58="Categorie_1_LCA_Producten",VLOOKUP(Inschrijf_Fossiele_Energie_Totaal[[#This Row],[Product]],Categorie_1_Producten[#All],36,FALSE)*(Optimalisatie!R58),VLOOKUP(Inschrijf_Fossiele_Energie_Totaal[[#This Row],[Product]]&amp;", "&amp;Inschrijf_Fossiele_Energie_Totaal[[#Headers],[B1]],Database_Productkaarten[#All],51,FALSE)*Optimalisatie!J58),Baseline_Backlog!J476),0))</f>
        <v>0</v>
      </c>
      <c r="K476" s="91">
        <f>(IF(Optimalisatie!C58="Nieuwe Situatie",_xlfn.IFNA(SUM(Inschrijf_Fossiele_Energie_Totaal[[#This Row],[A1]:[B1]],Inschrijf_Fossiele_Energie_Totaal[[#This Row],[C1]:[D2]])*Optimalisatie!T58,0),0))</f>
        <v>0</v>
      </c>
      <c r="L476" s="91">
        <f>IF(Optimalisatie!C58="Bestaande situatie",IF(_xlfn.IFNA((VLOOKUP(Optimalisatie!AA58,Database_Asfalt_Verwijderset[#All],45,FALSE)*Optimalisatie!J58),0)+_xlfn.IFNA(VLOOKUP(Optimalisatie!AB58,Database_Brandstoffen[#All],45,FALSE)*((Optimalisatie!J58/Optimalisatie!AD58)*Optimalisatie!AC58),0)&gt;0,_xlfn.IFNA((VLOOKUP(Optimalisatie!AA58,Database_Asfalt_Verwijderset[#All],45,FALSE)*Optimalisatie!J58),0)+_xlfn.IFNA(VLOOKUP(Optimalisatie!AB58,Database_Brandstoffen[#All],45,FALSE)*((Optimalisatie!J58/Optimalisatie!AD58)*Optimalisatie!AC58),0),(_xlfn.IFNA(VLOOKUP(Inschrijf_Fossiele_Energie_Totaal[[#This Row],[Product]]&amp;", "&amp;Inschrijf_MKI_Totaal[[#Headers],[C1]],Database_Productkaarten[#All],51,FALSE),0)*Optimalisatie!J58)),0)</f>
        <v>0</v>
      </c>
      <c r="M476" s="91">
        <f>(IF(Optimalisatie!C58="Bestaande Situatie",_xlfn.IFNA(VLOOKUP(Optimalisatie!AF58,Database_Transport[#All],45,FALSE)*(Optimalisatie!R58*Optimalisatie!AE58),Baseline_Backlog!M476),0))</f>
        <v>0</v>
      </c>
      <c r="N476" s="91">
        <f>(IF(Optimalisatie!C58="Bestaande Situatie",_xlfn.IFNA(VLOOKUP(Optimalisatie!AG58,Database_Asfalt_Verwerkingsset[#All],45,FALSE)*(Optimalisatie!J58/VLOOKUP(Optimalisatie!AG58,Database_Asfalt_Verwerkingsset[#All],45,FALSE)),Baseline_Backlog!N476),0))</f>
        <v>0</v>
      </c>
      <c r="O476" s="91">
        <f>(IF(Optimalisatie!C58="Bestaande Situatie",_xlfn.IFNA(VLOOKUP(Inschrijf_Fossiele_Energie_Totaal[[#This Row],[Product]]&amp;", "&amp;Inschrijf_MKI_Totaal[[#Headers],[C4]],Database_Productkaarten[#All],51,FALSE)*Optimalisatie!J58,Baseline_Backlog!O476),0))</f>
        <v>0</v>
      </c>
      <c r="P476" s="91">
        <f>(IF(Optimalisatie!C58="Bestaande Situatie",_xlfn.IFNA(IF(Optimalisatie!E58="Categorie_1_LCA_Producten",VLOOKUP(Inschrijf_Fossiele_Energie_Totaal[[#This Row],[Product]],Categorie_1_Producten[#All],30,FALSE)*(Optimalisatie!J58),VLOOKUP(Inschrijf_Fossiele_Energie_Totaal[[#This Row],[Product]]&amp;", "&amp;Inschrijf_Fossiele_Energie_Totaal[[#Headers],[D1]],Database_Productkaarten[#All],51,FALSE)*Optimalisatie!J58),Baseline_Backlog!P476),0))</f>
        <v>0</v>
      </c>
      <c r="Q476" s="91">
        <f>(IF(Optimalisatie!C58="Bestaande Situatie",_xlfn.IFNA(IF(Optimalisatie!E58="Categorie_1_LCA_Producten",VLOOKUP(Inschrijf_Fossiele_Energie_Totaal[[#This Row],[Product]],Categorie_1_Producten[#All],31,FALSE)*(Optimalisatie!J58),VLOOKUP(Inschrijf_Fossiele_Energie_Totaal[[#This Row],[Product]]&amp;", "&amp;Inschrijf_Fossiele_Energie_Totaal[[#Headers],[D2]],Database_Productkaarten[#All],51,FALSE)*Optimalisatie!J58),Baseline_Backlog!Q476),0))</f>
        <v>0</v>
      </c>
      <c r="R476" s="91">
        <f>(IF(Optimalisatie!C58="Bestaande Situatie",_xlfn.IFNA(IF(Optimalisatie!E58="Categorie_1_LCA_Producten",VLOOKUP(Inschrijf_Fossiele_Energie_Totaal[[#This Row],[Product]],Categorie_1_Producten[#All],37,FALSE)*(Optimalisatie!J58),VLOOKUP(Inschrijf_Fossiele_Energie_Totaal[[#This Row],[Product]]&amp;", "&amp;Inschrijf_Fossiele_Energie_Totaal[[#Headers],[D]],Database_Productkaarten[#All],51,FALSE)*Optimalisatie!J58),Baseline_Backlog!S476),0))</f>
        <v>0</v>
      </c>
      <c r="S476" s="91">
        <f>SUM(Inschrijf_Fossiele_Energie_Totaal[[#This Row],[A1-A3]:[C4]])+Inschrijf_Fossiele_Energie_Totaal[[#This Row],[D]]</f>
        <v>0</v>
      </c>
    </row>
    <row r="477" spans="2:19">
      <c r="B477" s="208">
        <f>Optimalisatie!B59</f>
        <v>0</v>
      </c>
      <c r="C477" s="1">
        <f>Optimalisatie!F59</f>
        <v>0</v>
      </c>
      <c r="D477" s="91">
        <f>(IF(Optimalisatie!C59="Nieuwe Situatie",_xlfn.IFNA(IF(Optimalisatie!E59="Categorie_1_LCA_Producten",VLOOKUP(Inschrijf_Fossiele_Energie_Totaal[[#This Row],[Product]],Categorie_1_Producten[#All],26,FALSE)*(Optimalisatie!J59),VLOOKUP(Inschrijf_Fossiele_Energie_Totaal[[#This Row],[Product]]&amp;", "&amp;Inschrijf_Fossiele_Energie_Totaal[[#Headers],[A1]],Database_Productkaarten[#All],51,FALSE)*Optimalisatie!J59),Baseline_Backlog!D477),0))</f>
        <v>0</v>
      </c>
      <c r="E477" s="91">
        <f>(IF(Optimalisatie!C59="Nieuwe Situatie",_xlfn.IFNA(IF(Optimalisatie!E59="Categorie_1_LCA_Producten",VLOOKUP(Inschrijf_Fossiele_Energie_Totaal[[#This Row],[Product]],Categorie_1_Producten[#All],27,FALSE)*(Optimalisatie!J59),VLOOKUP(Inschrijf_Fossiele_Energie_Totaal[[#This Row],[Product]]&amp;", "&amp;Inschrijf_Fossiele_Energie_Totaal[[#Headers],[A2]],Database_Productkaarten[#All],51,FALSE)*Optimalisatie!J59),Baseline_Backlog!E477),0))</f>
        <v>0</v>
      </c>
      <c r="F477" s="91">
        <f>(IF(Optimalisatie!C59="Nieuwe Situatie",_xlfn.IFNA(IF(Optimalisatie!E59="Categorie_1_LCA_Producten",VLOOKUP(Inschrijf_Fossiele_Energie_Totaal[[#This Row],[Product]],Categorie_1_Producten[#All],28,FALSE)*(Optimalisatie!J59),VLOOKUP(Inschrijf_Fossiele_Energie_Totaal[[#This Row],[Product]]&amp;", "&amp;Inschrijf_Fossiele_Energie_Totaal[[#Headers],[A3]],Database_Productkaarten[#All],51,FALSE)*Optimalisatie!J59),Baseline_Backlog!F477),0))</f>
        <v>0</v>
      </c>
      <c r="G477" s="91">
        <f>(IF(Optimalisatie!C59="Nieuwe Situatie",_xlfn.IFNA(IF(Optimalisatie!E59="Categorie_1_LCA_Producten",VLOOKUP(Inschrijf_Fossiele_Energie_Totaal[[#This Row],[Product]],Categorie_1_Producten[#All],35,FALSE)*(Optimalisatie!J59),VLOOKUP(Inschrijf_Fossiele_Energie_Totaal[[#This Row],[Product]]&amp;", "&amp;Inschrijf_Fossiele_Energie_Totaal[[#Headers],[A1-A3]],Database_Productkaarten[#All],51,FALSE)*Optimalisatie!J59),Baseline_Backlog!G477),0))</f>
        <v>0</v>
      </c>
      <c r="H477" s="91">
        <f>(IF(Optimalisatie!C59="Nieuwe Situatie",_xlfn.IFNA(VLOOKUP(Optimalisatie!V59,Database_Transport[#All],45,FALSE)*(Optimalisatie!R59*Optimalisatie!U59),Baseline_Backlog!H477),0))</f>
        <v>0</v>
      </c>
      <c r="I477" s="91">
        <f>IF(Optimalisatie!C59="Nieuwe situatie",IF(_xlfn.IFNA((VLOOKUP(Optimalisatie!W59,Database_Asfalt_Aanlegset[#All],45,FALSE)*Optimalisatie!J59),0)+_xlfn.IFNA(VLOOKUP(Optimalisatie!X59,Database_Brandstoffen[#All],45,FALSE)*((Optimalisatie!J59/Optimalisatie!Z59)*Optimalisatie!Y59),0)&gt;0,_xlfn.IFNA((VLOOKUP(Optimalisatie!W59,Database_Asfalt_Aanlegset[#All],45,FALSE)*Optimalisatie!J59),0)+_xlfn.IFNA(VLOOKUP(Optimalisatie!X59,Database_Brandstoffen[#All],45,FALSE)*((Optimalisatie!J59/Optimalisatie!Z59)*Optimalisatie!Y59),0),(_xlfn.IFNA(VLOOKUP(Inschrijf_Fossiele_Energie_Totaal[[#This Row],[Product]]&amp;", "&amp;Inschrijf_MKI_Totaal[[#Headers],[A5]],Database_Productkaarten[#All],51,FALSE),0)*Optimalisatie!J59)),0)</f>
        <v>0</v>
      </c>
      <c r="J477" s="91">
        <f>(IF(Optimalisatie!C59="Nieuwe Situatie",_xlfn.IFNA(IF(Optimalisatie!E59="Categorie_1_LCA_Producten",VLOOKUP(Inschrijf_Fossiele_Energie_Totaal[[#This Row],[Product]],Categorie_1_Producten[#All],36,FALSE)*(Optimalisatie!R59),VLOOKUP(Inschrijf_Fossiele_Energie_Totaal[[#This Row],[Product]]&amp;", "&amp;Inschrijf_Fossiele_Energie_Totaal[[#Headers],[B1]],Database_Productkaarten[#All],51,FALSE)*Optimalisatie!J59),Baseline_Backlog!J477),0))</f>
        <v>0</v>
      </c>
      <c r="K477" s="91">
        <f>(IF(Optimalisatie!C59="Nieuwe Situatie",_xlfn.IFNA(SUM(Inschrijf_Fossiele_Energie_Totaal[[#This Row],[A1]:[B1]],Inschrijf_Fossiele_Energie_Totaal[[#This Row],[C1]:[D2]])*Optimalisatie!T59,0),0))</f>
        <v>0</v>
      </c>
      <c r="L477" s="91">
        <f>IF(Optimalisatie!C59="Bestaande situatie",IF(_xlfn.IFNA((VLOOKUP(Optimalisatie!AA59,Database_Asfalt_Verwijderset[#All],45,FALSE)*Optimalisatie!J59),0)+_xlfn.IFNA(VLOOKUP(Optimalisatie!AB59,Database_Brandstoffen[#All],45,FALSE)*((Optimalisatie!J59/Optimalisatie!AD59)*Optimalisatie!AC59),0)&gt;0,_xlfn.IFNA((VLOOKUP(Optimalisatie!AA59,Database_Asfalt_Verwijderset[#All],45,FALSE)*Optimalisatie!J59),0)+_xlfn.IFNA(VLOOKUP(Optimalisatie!AB59,Database_Brandstoffen[#All],45,FALSE)*((Optimalisatie!J59/Optimalisatie!AD59)*Optimalisatie!AC59),0),(_xlfn.IFNA(VLOOKUP(Inschrijf_Fossiele_Energie_Totaal[[#This Row],[Product]]&amp;", "&amp;Inschrijf_MKI_Totaal[[#Headers],[C1]],Database_Productkaarten[#All],51,FALSE),0)*Optimalisatie!J59)),0)</f>
        <v>0</v>
      </c>
      <c r="M477" s="91">
        <f>(IF(Optimalisatie!C59="Bestaande Situatie",_xlfn.IFNA(VLOOKUP(Optimalisatie!AF59,Database_Transport[#All],45,FALSE)*(Optimalisatie!R59*Optimalisatie!AE59),Baseline_Backlog!M477),0))</f>
        <v>0</v>
      </c>
      <c r="N477" s="91">
        <f>(IF(Optimalisatie!C59="Bestaande Situatie",_xlfn.IFNA(VLOOKUP(Optimalisatie!AG59,Database_Asfalt_Verwerkingsset[#All],45,FALSE)*(Optimalisatie!J59/VLOOKUP(Optimalisatie!AG59,Database_Asfalt_Verwerkingsset[#All],45,FALSE)),Baseline_Backlog!N477),0))</f>
        <v>0</v>
      </c>
      <c r="O477" s="91">
        <f>(IF(Optimalisatie!C59="Bestaande Situatie",_xlfn.IFNA(VLOOKUP(Inschrijf_Fossiele_Energie_Totaal[[#This Row],[Product]]&amp;", "&amp;Inschrijf_MKI_Totaal[[#Headers],[C4]],Database_Productkaarten[#All],51,FALSE)*Optimalisatie!J59,Baseline_Backlog!O477),0))</f>
        <v>0</v>
      </c>
      <c r="P477" s="91">
        <f>(IF(Optimalisatie!C59="Bestaande Situatie",_xlfn.IFNA(IF(Optimalisatie!E59="Categorie_1_LCA_Producten",VLOOKUP(Inschrijf_Fossiele_Energie_Totaal[[#This Row],[Product]],Categorie_1_Producten[#All],30,FALSE)*(Optimalisatie!J59),VLOOKUP(Inschrijf_Fossiele_Energie_Totaal[[#This Row],[Product]]&amp;", "&amp;Inschrijf_Fossiele_Energie_Totaal[[#Headers],[D1]],Database_Productkaarten[#All],51,FALSE)*Optimalisatie!J59),Baseline_Backlog!P477),0))</f>
        <v>0</v>
      </c>
      <c r="Q477" s="91">
        <f>(IF(Optimalisatie!C59="Bestaande Situatie",_xlfn.IFNA(IF(Optimalisatie!E59="Categorie_1_LCA_Producten",VLOOKUP(Inschrijf_Fossiele_Energie_Totaal[[#This Row],[Product]],Categorie_1_Producten[#All],31,FALSE)*(Optimalisatie!J59),VLOOKUP(Inschrijf_Fossiele_Energie_Totaal[[#This Row],[Product]]&amp;", "&amp;Inschrijf_Fossiele_Energie_Totaal[[#Headers],[D2]],Database_Productkaarten[#All],51,FALSE)*Optimalisatie!J59),Baseline_Backlog!Q477),0))</f>
        <v>0</v>
      </c>
      <c r="R477" s="91">
        <f>(IF(Optimalisatie!C59="Bestaande Situatie",_xlfn.IFNA(IF(Optimalisatie!E59="Categorie_1_LCA_Producten",VLOOKUP(Inschrijf_Fossiele_Energie_Totaal[[#This Row],[Product]],Categorie_1_Producten[#All],37,FALSE)*(Optimalisatie!J59),VLOOKUP(Inschrijf_Fossiele_Energie_Totaal[[#This Row],[Product]]&amp;", "&amp;Inschrijf_Fossiele_Energie_Totaal[[#Headers],[D]],Database_Productkaarten[#All],51,FALSE)*Optimalisatie!J59),Baseline_Backlog!S477),0))</f>
        <v>0</v>
      </c>
      <c r="S477" s="91">
        <f>SUM(Inschrijf_Fossiele_Energie_Totaal[[#This Row],[A1-A3]:[C4]])+Inschrijf_Fossiele_Energie_Totaal[[#This Row],[D]]</f>
        <v>0</v>
      </c>
    </row>
    <row r="478" spans="2:19">
      <c r="B478" s="208">
        <f>Optimalisatie!B60</f>
        <v>0</v>
      </c>
      <c r="C478" s="1">
        <f>Optimalisatie!F60</f>
        <v>0</v>
      </c>
      <c r="D478" s="91">
        <f>(IF(Optimalisatie!C60="Nieuwe Situatie",_xlfn.IFNA(IF(Optimalisatie!E60="Categorie_1_LCA_Producten",VLOOKUP(Inschrijf_Fossiele_Energie_Totaal[[#This Row],[Product]],Categorie_1_Producten[#All],26,FALSE)*(Optimalisatie!J60),VLOOKUP(Inschrijf_Fossiele_Energie_Totaal[[#This Row],[Product]]&amp;", "&amp;Inschrijf_Fossiele_Energie_Totaal[[#Headers],[A1]],Database_Productkaarten[#All],51,FALSE)*Optimalisatie!J60),Baseline_Backlog!D478),0))</f>
        <v>0</v>
      </c>
      <c r="E478" s="91">
        <f>(IF(Optimalisatie!C60="Nieuwe Situatie",_xlfn.IFNA(IF(Optimalisatie!E60="Categorie_1_LCA_Producten",VLOOKUP(Inschrijf_Fossiele_Energie_Totaal[[#This Row],[Product]],Categorie_1_Producten[#All],27,FALSE)*(Optimalisatie!J60),VLOOKUP(Inschrijf_Fossiele_Energie_Totaal[[#This Row],[Product]]&amp;", "&amp;Inschrijf_Fossiele_Energie_Totaal[[#Headers],[A2]],Database_Productkaarten[#All],51,FALSE)*Optimalisatie!J60),Baseline_Backlog!E478),0))</f>
        <v>0</v>
      </c>
      <c r="F478" s="91">
        <f>(IF(Optimalisatie!C60="Nieuwe Situatie",_xlfn.IFNA(IF(Optimalisatie!E60="Categorie_1_LCA_Producten",VLOOKUP(Inschrijf_Fossiele_Energie_Totaal[[#This Row],[Product]],Categorie_1_Producten[#All],28,FALSE)*(Optimalisatie!J60),VLOOKUP(Inschrijf_Fossiele_Energie_Totaal[[#This Row],[Product]]&amp;", "&amp;Inschrijf_Fossiele_Energie_Totaal[[#Headers],[A3]],Database_Productkaarten[#All],51,FALSE)*Optimalisatie!J60),Baseline_Backlog!F478),0))</f>
        <v>0</v>
      </c>
      <c r="G478" s="91">
        <f>(IF(Optimalisatie!C60="Nieuwe Situatie",_xlfn.IFNA(IF(Optimalisatie!E60="Categorie_1_LCA_Producten",VLOOKUP(Inschrijf_Fossiele_Energie_Totaal[[#This Row],[Product]],Categorie_1_Producten[#All],35,FALSE)*(Optimalisatie!J60),VLOOKUP(Inschrijf_Fossiele_Energie_Totaal[[#This Row],[Product]]&amp;", "&amp;Inschrijf_Fossiele_Energie_Totaal[[#Headers],[A1-A3]],Database_Productkaarten[#All],51,FALSE)*Optimalisatie!J60),Baseline_Backlog!G478),0))</f>
        <v>0</v>
      </c>
      <c r="H478" s="91">
        <f>(IF(Optimalisatie!C60="Nieuwe Situatie",_xlfn.IFNA(VLOOKUP(Optimalisatie!V60,Database_Transport[#All],45,FALSE)*(Optimalisatie!R60*Optimalisatie!U60),Baseline_Backlog!H478),0))</f>
        <v>0</v>
      </c>
      <c r="I478" s="91">
        <f>IF(Optimalisatie!C60="Nieuwe situatie",IF(_xlfn.IFNA((VLOOKUP(Optimalisatie!W60,Database_Asfalt_Aanlegset[#All],45,FALSE)*Optimalisatie!J60),0)+_xlfn.IFNA(VLOOKUP(Optimalisatie!X60,Database_Brandstoffen[#All],45,FALSE)*((Optimalisatie!J60/Optimalisatie!Z60)*Optimalisatie!Y60),0)&gt;0,_xlfn.IFNA((VLOOKUP(Optimalisatie!W60,Database_Asfalt_Aanlegset[#All],45,FALSE)*Optimalisatie!J60),0)+_xlfn.IFNA(VLOOKUP(Optimalisatie!X60,Database_Brandstoffen[#All],45,FALSE)*((Optimalisatie!J60/Optimalisatie!Z60)*Optimalisatie!Y60),0),(_xlfn.IFNA(VLOOKUP(Inschrijf_Fossiele_Energie_Totaal[[#This Row],[Product]]&amp;", "&amp;Inschrijf_MKI_Totaal[[#Headers],[A5]],Database_Productkaarten[#All],51,FALSE),0)*Optimalisatie!J60)),0)</f>
        <v>0</v>
      </c>
      <c r="J478" s="91">
        <f>(IF(Optimalisatie!C60="Nieuwe Situatie",_xlfn.IFNA(IF(Optimalisatie!E60="Categorie_1_LCA_Producten",VLOOKUP(Inschrijf_Fossiele_Energie_Totaal[[#This Row],[Product]],Categorie_1_Producten[#All],36,FALSE)*(Optimalisatie!R60),VLOOKUP(Inschrijf_Fossiele_Energie_Totaal[[#This Row],[Product]]&amp;", "&amp;Inschrijf_Fossiele_Energie_Totaal[[#Headers],[B1]],Database_Productkaarten[#All],51,FALSE)*Optimalisatie!J60),Baseline_Backlog!J478),0))</f>
        <v>0</v>
      </c>
      <c r="K478" s="91">
        <f>(IF(Optimalisatie!C60="Nieuwe Situatie",_xlfn.IFNA(SUM(Inschrijf_Fossiele_Energie_Totaal[[#This Row],[A1]:[B1]],Inschrijf_Fossiele_Energie_Totaal[[#This Row],[C1]:[D2]])*Optimalisatie!T60,0),0))</f>
        <v>0</v>
      </c>
      <c r="L478" s="91">
        <f>IF(Optimalisatie!C60="Bestaande situatie",IF(_xlfn.IFNA((VLOOKUP(Optimalisatie!AA60,Database_Asfalt_Verwijderset[#All],45,FALSE)*Optimalisatie!J60),0)+_xlfn.IFNA(VLOOKUP(Optimalisatie!AB60,Database_Brandstoffen[#All],45,FALSE)*((Optimalisatie!J60/Optimalisatie!AD60)*Optimalisatie!AC60),0)&gt;0,_xlfn.IFNA((VLOOKUP(Optimalisatie!AA60,Database_Asfalt_Verwijderset[#All],45,FALSE)*Optimalisatie!J60),0)+_xlfn.IFNA(VLOOKUP(Optimalisatie!AB60,Database_Brandstoffen[#All],45,FALSE)*((Optimalisatie!J60/Optimalisatie!AD60)*Optimalisatie!AC60),0),(_xlfn.IFNA(VLOOKUP(Inschrijf_Fossiele_Energie_Totaal[[#This Row],[Product]]&amp;", "&amp;Inschrijf_MKI_Totaal[[#Headers],[C1]],Database_Productkaarten[#All],51,FALSE),0)*Optimalisatie!J60)),0)</f>
        <v>0</v>
      </c>
      <c r="M478" s="91">
        <f>(IF(Optimalisatie!C60="Bestaande Situatie",_xlfn.IFNA(VLOOKUP(Optimalisatie!AF60,Database_Transport[#All],45,FALSE)*(Optimalisatie!R60*Optimalisatie!AE60),Baseline_Backlog!M478),0))</f>
        <v>0</v>
      </c>
      <c r="N478" s="91">
        <f>(IF(Optimalisatie!C60="Bestaande Situatie",_xlfn.IFNA(VLOOKUP(Optimalisatie!AG60,Database_Asfalt_Verwerkingsset[#All],45,FALSE)*(Optimalisatie!J60/VLOOKUP(Optimalisatie!AG60,Database_Asfalt_Verwerkingsset[#All],45,FALSE)),Baseline_Backlog!N478),0))</f>
        <v>0</v>
      </c>
      <c r="O478" s="91">
        <f>(IF(Optimalisatie!C60="Bestaande Situatie",_xlfn.IFNA(VLOOKUP(Inschrijf_Fossiele_Energie_Totaal[[#This Row],[Product]]&amp;", "&amp;Inschrijf_MKI_Totaal[[#Headers],[C4]],Database_Productkaarten[#All],51,FALSE)*Optimalisatie!J60,Baseline_Backlog!O478),0))</f>
        <v>0</v>
      </c>
      <c r="P478" s="91">
        <f>(IF(Optimalisatie!C60="Bestaande Situatie",_xlfn.IFNA(IF(Optimalisatie!E60="Categorie_1_LCA_Producten",VLOOKUP(Inschrijf_Fossiele_Energie_Totaal[[#This Row],[Product]],Categorie_1_Producten[#All],30,FALSE)*(Optimalisatie!J60),VLOOKUP(Inschrijf_Fossiele_Energie_Totaal[[#This Row],[Product]]&amp;", "&amp;Inschrijf_Fossiele_Energie_Totaal[[#Headers],[D1]],Database_Productkaarten[#All],51,FALSE)*Optimalisatie!J60),Baseline_Backlog!P478),0))</f>
        <v>0</v>
      </c>
      <c r="Q478" s="91">
        <f>(IF(Optimalisatie!C60="Bestaande Situatie",_xlfn.IFNA(IF(Optimalisatie!E60="Categorie_1_LCA_Producten",VLOOKUP(Inschrijf_Fossiele_Energie_Totaal[[#This Row],[Product]],Categorie_1_Producten[#All],31,FALSE)*(Optimalisatie!J60),VLOOKUP(Inschrijf_Fossiele_Energie_Totaal[[#This Row],[Product]]&amp;", "&amp;Inschrijf_Fossiele_Energie_Totaal[[#Headers],[D2]],Database_Productkaarten[#All],51,FALSE)*Optimalisatie!J60),Baseline_Backlog!Q478),0))</f>
        <v>0</v>
      </c>
      <c r="R478" s="91">
        <f>(IF(Optimalisatie!C60="Bestaande Situatie",_xlfn.IFNA(IF(Optimalisatie!E60="Categorie_1_LCA_Producten",VLOOKUP(Inschrijf_Fossiele_Energie_Totaal[[#This Row],[Product]],Categorie_1_Producten[#All],37,FALSE)*(Optimalisatie!J60),VLOOKUP(Inschrijf_Fossiele_Energie_Totaal[[#This Row],[Product]]&amp;", "&amp;Inschrijf_Fossiele_Energie_Totaal[[#Headers],[D]],Database_Productkaarten[#All],51,FALSE)*Optimalisatie!J60),Baseline_Backlog!S478),0))</f>
        <v>0</v>
      </c>
      <c r="S478" s="91">
        <f>SUM(Inschrijf_Fossiele_Energie_Totaal[[#This Row],[A1-A3]:[C4]])+Inschrijf_Fossiele_Energie_Totaal[[#This Row],[D]]</f>
        <v>0</v>
      </c>
    </row>
    <row r="479" spans="2:19">
      <c r="B479" s="208">
        <f>Optimalisatie!B61</f>
        <v>0</v>
      </c>
      <c r="C479" s="1">
        <f>Optimalisatie!F61</f>
        <v>0</v>
      </c>
      <c r="D479" s="91">
        <f>(IF(Optimalisatie!C61="Nieuwe Situatie",_xlfn.IFNA(IF(Optimalisatie!E61="Categorie_1_LCA_Producten",VLOOKUP(Inschrijf_Fossiele_Energie_Totaal[[#This Row],[Product]],Categorie_1_Producten[#All],26,FALSE)*(Optimalisatie!J61),VLOOKUP(Inschrijf_Fossiele_Energie_Totaal[[#This Row],[Product]]&amp;", "&amp;Inschrijf_Fossiele_Energie_Totaal[[#Headers],[A1]],Database_Productkaarten[#All],51,FALSE)*Optimalisatie!J61),Baseline_Backlog!D479),0))</f>
        <v>0</v>
      </c>
      <c r="E479" s="91">
        <f>(IF(Optimalisatie!C61="Nieuwe Situatie",_xlfn.IFNA(IF(Optimalisatie!E61="Categorie_1_LCA_Producten",VLOOKUP(Inschrijf_Fossiele_Energie_Totaal[[#This Row],[Product]],Categorie_1_Producten[#All],27,FALSE)*(Optimalisatie!J61),VLOOKUP(Inschrijf_Fossiele_Energie_Totaal[[#This Row],[Product]]&amp;", "&amp;Inschrijf_Fossiele_Energie_Totaal[[#Headers],[A2]],Database_Productkaarten[#All],51,FALSE)*Optimalisatie!J61),Baseline_Backlog!E479),0))</f>
        <v>0</v>
      </c>
      <c r="F479" s="91">
        <f>(IF(Optimalisatie!C61="Nieuwe Situatie",_xlfn.IFNA(IF(Optimalisatie!E61="Categorie_1_LCA_Producten",VLOOKUP(Inschrijf_Fossiele_Energie_Totaal[[#This Row],[Product]],Categorie_1_Producten[#All],28,FALSE)*(Optimalisatie!J61),VLOOKUP(Inschrijf_Fossiele_Energie_Totaal[[#This Row],[Product]]&amp;", "&amp;Inschrijf_Fossiele_Energie_Totaal[[#Headers],[A3]],Database_Productkaarten[#All],51,FALSE)*Optimalisatie!J61),Baseline_Backlog!F479),0))</f>
        <v>0</v>
      </c>
      <c r="G479" s="91">
        <f>(IF(Optimalisatie!C61="Nieuwe Situatie",_xlfn.IFNA(IF(Optimalisatie!E61="Categorie_1_LCA_Producten",VLOOKUP(Inschrijf_Fossiele_Energie_Totaal[[#This Row],[Product]],Categorie_1_Producten[#All],35,FALSE)*(Optimalisatie!J61),VLOOKUP(Inschrijf_Fossiele_Energie_Totaal[[#This Row],[Product]]&amp;", "&amp;Inschrijf_Fossiele_Energie_Totaal[[#Headers],[A1-A3]],Database_Productkaarten[#All],51,FALSE)*Optimalisatie!J61),Baseline_Backlog!G479),0))</f>
        <v>0</v>
      </c>
      <c r="H479" s="91">
        <f>(IF(Optimalisatie!C61="Nieuwe Situatie",_xlfn.IFNA(VLOOKUP(Optimalisatie!V61,Database_Transport[#All],45,FALSE)*(Optimalisatie!R61*Optimalisatie!U61),Baseline_Backlog!H479),0))</f>
        <v>0</v>
      </c>
      <c r="I479" s="91">
        <f>IF(Optimalisatie!C61="Nieuwe situatie",IF(_xlfn.IFNA((VLOOKUP(Optimalisatie!W61,Database_Asfalt_Aanlegset[#All],45,FALSE)*Optimalisatie!J61),0)+_xlfn.IFNA(VLOOKUP(Optimalisatie!X61,Database_Brandstoffen[#All],45,FALSE)*((Optimalisatie!J61/Optimalisatie!Z61)*Optimalisatie!Y61),0)&gt;0,_xlfn.IFNA((VLOOKUP(Optimalisatie!W61,Database_Asfalt_Aanlegset[#All],45,FALSE)*Optimalisatie!J61),0)+_xlfn.IFNA(VLOOKUP(Optimalisatie!X61,Database_Brandstoffen[#All],45,FALSE)*((Optimalisatie!J61/Optimalisatie!Z61)*Optimalisatie!Y61),0),(_xlfn.IFNA(VLOOKUP(Inschrijf_Fossiele_Energie_Totaal[[#This Row],[Product]]&amp;", "&amp;Inschrijf_MKI_Totaal[[#Headers],[A5]],Database_Productkaarten[#All],51,FALSE),0)*Optimalisatie!J61)),0)</f>
        <v>0</v>
      </c>
      <c r="J479" s="91">
        <f>(IF(Optimalisatie!C61="Nieuwe Situatie",_xlfn.IFNA(IF(Optimalisatie!E61="Categorie_1_LCA_Producten",VLOOKUP(Inschrijf_Fossiele_Energie_Totaal[[#This Row],[Product]],Categorie_1_Producten[#All],36,FALSE)*(Optimalisatie!R61),VLOOKUP(Inschrijf_Fossiele_Energie_Totaal[[#This Row],[Product]]&amp;", "&amp;Inschrijf_Fossiele_Energie_Totaal[[#Headers],[B1]],Database_Productkaarten[#All],51,FALSE)*Optimalisatie!J61),Baseline_Backlog!J479),0))</f>
        <v>0</v>
      </c>
      <c r="K479" s="91">
        <f>(IF(Optimalisatie!C61="Nieuwe Situatie",_xlfn.IFNA(SUM(Inschrijf_Fossiele_Energie_Totaal[[#This Row],[A1]:[B1]],Inschrijf_Fossiele_Energie_Totaal[[#This Row],[C1]:[D2]])*Optimalisatie!T61,0),0))</f>
        <v>0</v>
      </c>
      <c r="L479" s="91">
        <f>IF(Optimalisatie!C61="Bestaande situatie",IF(_xlfn.IFNA((VLOOKUP(Optimalisatie!AA61,Database_Asfalt_Verwijderset[#All],45,FALSE)*Optimalisatie!J61),0)+_xlfn.IFNA(VLOOKUP(Optimalisatie!AB61,Database_Brandstoffen[#All],45,FALSE)*((Optimalisatie!J61/Optimalisatie!AD61)*Optimalisatie!AC61),0)&gt;0,_xlfn.IFNA((VLOOKUP(Optimalisatie!AA61,Database_Asfalt_Verwijderset[#All],45,FALSE)*Optimalisatie!J61),0)+_xlfn.IFNA(VLOOKUP(Optimalisatie!AB61,Database_Brandstoffen[#All],45,FALSE)*((Optimalisatie!J61/Optimalisatie!AD61)*Optimalisatie!AC61),0),(_xlfn.IFNA(VLOOKUP(Inschrijf_Fossiele_Energie_Totaal[[#This Row],[Product]]&amp;", "&amp;Inschrijf_MKI_Totaal[[#Headers],[C1]],Database_Productkaarten[#All],51,FALSE),0)*Optimalisatie!J61)),0)</f>
        <v>0</v>
      </c>
      <c r="M479" s="91">
        <f>(IF(Optimalisatie!C61="Bestaande Situatie",_xlfn.IFNA(VLOOKUP(Optimalisatie!AF61,Database_Transport[#All],45,FALSE)*(Optimalisatie!R61*Optimalisatie!AE61),Baseline_Backlog!M479),0))</f>
        <v>0</v>
      </c>
      <c r="N479" s="91">
        <f>(IF(Optimalisatie!C61="Bestaande Situatie",_xlfn.IFNA(VLOOKUP(Optimalisatie!AG61,Database_Asfalt_Verwerkingsset[#All],45,FALSE)*(Optimalisatie!J61/VLOOKUP(Optimalisatie!AG61,Database_Asfalt_Verwerkingsset[#All],45,FALSE)),Baseline_Backlog!N479),0))</f>
        <v>0</v>
      </c>
      <c r="O479" s="91">
        <f>(IF(Optimalisatie!C61="Bestaande Situatie",_xlfn.IFNA(VLOOKUP(Inschrijf_Fossiele_Energie_Totaal[[#This Row],[Product]]&amp;", "&amp;Inschrijf_MKI_Totaal[[#Headers],[C4]],Database_Productkaarten[#All],51,FALSE)*Optimalisatie!J61,Baseline_Backlog!O479),0))</f>
        <v>0</v>
      </c>
      <c r="P479" s="91">
        <f>(IF(Optimalisatie!C61="Bestaande Situatie",_xlfn.IFNA(IF(Optimalisatie!E61="Categorie_1_LCA_Producten",VLOOKUP(Inschrijf_Fossiele_Energie_Totaal[[#This Row],[Product]],Categorie_1_Producten[#All],30,FALSE)*(Optimalisatie!J61),VLOOKUP(Inschrijf_Fossiele_Energie_Totaal[[#This Row],[Product]]&amp;", "&amp;Inschrijf_Fossiele_Energie_Totaal[[#Headers],[D1]],Database_Productkaarten[#All],51,FALSE)*Optimalisatie!J61),Baseline_Backlog!P479),0))</f>
        <v>0</v>
      </c>
      <c r="Q479" s="91">
        <f>(IF(Optimalisatie!C61="Bestaande Situatie",_xlfn.IFNA(IF(Optimalisatie!E61="Categorie_1_LCA_Producten",VLOOKUP(Inschrijf_Fossiele_Energie_Totaal[[#This Row],[Product]],Categorie_1_Producten[#All],31,FALSE)*(Optimalisatie!J61),VLOOKUP(Inschrijf_Fossiele_Energie_Totaal[[#This Row],[Product]]&amp;", "&amp;Inschrijf_Fossiele_Energie_Totaal[[#Headers],[D2]],Database_Productkaarten[#All],51,FALSE)*Optimalisatie!J61),Baseline_Backlog!Q479),0))</f>
        <v>0</v>
      </c>
      <c r="R479" s="91">
        <f>(IF(Optimalisatie!C61="Bestaande Situatie",_xlfn.IFNA(IF(Optimalisatie!E61="Categorie_1_LCA_Producten",VLOOKUP(Inschrijf_Fossiele_Energie_Totaal[[#This Row],[Product]],Categorie_1_Producten[#All],37,FALSE)*(Optimalisatie!J61),VLOOKUP(Inschrijf_Fossiele_Energie_Totaal[[#This Row],[Product]]&amp;", "&amp;Inschrijf_Fossiele_Energie_Totaal[[#Headers],[D]],Database_Productkaarten[#All],51,FALSE)*Optimalisatie!J61),Baseline_Backlog!S479),0))</f>
        <v>0</v>
      </c>
      <c r="S479" s="91">
        <f>SUM(Inschrijf_Fossiele_Energie_Totaal[[#This Row],[A1-A3]:[C4]])+Inschrijf_Fossiele_Energie_Totaal[[#This Row],[D]]</f>
        <v>0</v>
      </c>
    </row>
    <row r="480" spans="2:19">
      <c r="B480" s="208">
        <f>Optimalisatie!B62</f>
        <v>0</v>
      </c>
      <c r="C480" s="1">
        <f>Optimalisatie!F62</f>
        <v>0</v>
      </c>
      <c r="D480" s="91">
        <f>(IF(Optimalisatie!C62="Nieuwe Situatie",_xlfn.IFNA(IF(Optimalisatie!E62="Categorie_1_LCA_Producten",VLOOKUP(Inschrijf_Fossiele_Energie_Totaal[[#This Row],[Product]],Categorie_1_Producten[#All],26,FALSE)*(Optimalisatie!J62),VLOOKUP(Inschrijf_Fossiele_Energie_Totaal[[#This Row],[Product]]&amp;", "&amp;Inschrijf_Fossiele_Energie_Totaal[[#Headers],[A1]],Database_Productkaarten[#All],51,FALSE)*Optimalisatie!J62),Baseline_Backlog!D480),0))</f>
        <v>0</v>
      </c>
      <c r="E480" s="91">
        <f>(IF(Optimalisatie!C62="Nieuwe Situatie",_xlfn.IFNA(IF(Optimalisatie!E62="Categorie_1_LCA_Producten",VLOOKUP(Inschrijf_Fossiele_Energie_Totaal[[#This Row],[Product]],Categorie_1_Producten[#All],27,FALSE)*(Optimalisatie!J62),VLOOKUP(Inschrijf_Fossiele_Energie_Totaal[[#This Row],[Product]]&amp;", "&amp;Inschrijf_Fossiele_Energie_Totaal[[#Headers],[A2]],Database_Productkaarten[#All],51,FALSE)*Optimalisatie!J62),Baseline_Backlog!E480),0))</f>
        <v>0</v>
      </c>
      <c r="F480" s="91">
        <f>(IF(Optimalisatie!C62="Nieuwe Situatie",_xlfn.IFNA(IF(Optimalisatie!E62="Categorie_1_LCA_Producten",VLOOKUP(Inschrijf_Fossiele_Energie_Totaal[[#This Row],[Product]],Categorie_1_Producten[#All],28,FALSE)*(Optimalisatie!J62),VLOOKUP(Inschrijf_Fossiele_Energie_Totaal[[#This Row],[Product]]&amp;", "&amp;Inschrijf_Fossiele_Energie_Totaal[[#Headers],[A3]],Database_Productkaarten[#All],51,FALSE)*Optimalisatie!J62),Baseline_Backlog!F480),0))</f>
        <v>0</v>
      </c>
      <c r="G480" s="91">
        <f>(IF(Optimalisatie!C62="Nieuwe Situatie",_xlfn.IFNA(IF(Optimalisatie!E62="Categorie_1_LCA_Producten",VLOOKUP(Inschrijf_Fossiele_Energie_Totaal[[#This Row],[Product]],Categorie_1_Producten[#All],35,FALSE)*(Optimalisatie!J62),VLOOKUP(Inschrijf_Fossiele_Energie_Totaal[[#This Row],[Product]]&amp;", "&amp;Inschrijf_Fossiele_Energie_Totaal[[#Headers],[A1-A3]],Database_Productkaarten[#All],51,FALSE)*Optimalisatie!J62),Baseline_Backlog!G480),0))</f>
        <v>0</v>
      </c>
      <c r="H480" s="91">
        <f>(IF(Optimalisatie!C62="Nieuwe Situatie",_xlfn.IFNA(VLOOKUP(Optimalisatie!V62,Database_Transport[#All],45,FALSE)*(Optimalisatie!R62*Optimalisatie!U62),Baseline_Backlog!H480),0))</f>
        <v>0</v>
      </c>
      <c r="I480" s="91">
        <f>IF(Optimalisatie!C62="Nieuwe situatie",IF(_xlfn.IFNA((VLOOKUP(Optimalisatie!W62,Database_Asfalt_Aanlegset[#All],45,FALSE)*Optimalisatie!J62),0)+_xlfn.IFNA(VLOOKUP(Optimalisatie!X62,Database_Brandstoffen[#All],45,FALSE)*((Optimalisatie!J62/Optimalisatie!Z62)*Optimalisatie!Y62),0)&gt;0,_xlfn.IFNA((VLOOKUP(Optimalisatie!W62,Database_Asfalt_Aanlegset[#All],45,FALSE)*Optimalisatie!J62),0)+_xlfn.IFNA(VLOOKUP(Optimalisatie!X62,Database_Brandstoffen[#All],45,FALSE)*((Optimalisatie!J62/Optimalisatie!Z62)*Optimalisatie!Y62),0),(_xlfn.IFNA(VLOOKUP(Inschrijf_Fossiele_Energie_Totaal[[#This Row],[Product]]&amp;", "&amp;Inschrijf_MKI_Totaal[[#Headers],[A5]],Database_Productkaarten[#All],51,FALSE),0)*Optimalisatie!J62)),0)</f>
        <v>0</v>
      </c>
      <c r="J480" s="91">
        <f>(IF(Optimalisatie!C62="Nieuwe Situatie",_xlfn.IFNA(IF(Optimalisatie!E62="Categorie_1_LCA_Producten",VLOOKUP(Inschrijf_Fossiele_Energie_Totaal[[#This Row],[Product]],Categorie_1_Producten[#All],36,FALSE)*(Optimalisatie!R62),VLOOKUP(Inschrijf_Fossiele_Energie_Totaal[[#This Row],[Product]]&amp;", "&amp;Inschrijf_Fossiele_Energie_Totaal[[#Headers],[B1]],Database_Productkaarten[#All],51,FALSE)*Optimalisatie!J62),Baseline_Backlog!J480),0))</f>
        <v>0</v>
      </c>
      <c r="K480" s="91">
        <f>(IF(Optimalisatie!C62="Nieuwe Situatie",_xlfn.IFNA(SUM(Inschrijf_Fossiele_Energie_Totaal[[#This Row],[A1]:[B1]],Inschrijf_Fossiele_Energie_Totaal[[#This Row],[C1]:[D2]])*Optimalisatie!T62,0),0))</f>
        <v>0</v>
      </c>
      <c r="L480" s="91">
        <f>IF(Optimalisatie!C62="Bestaande situatie",IF(_xlfn.IFNA((VLOOKUP(Optimalisatie!AA62,Database_Asfalt_Verwijderset[#All],45,FALSE)*Optimalisatie!J62),0)+_xlfn.IFNA(VLOOKUP(Optimalisatie!AB62,Database_Brandstoffen[#All],45,FALSE)*((Optimalisatie!J62/Optimalisatie!AD62)*Optimalisatie!AC62),0)&gt;0,_xlfn.IFNA((VLOOKUP(Optimalisatie!AA62,Database_Asfalt_Verwijderset[#All],45,FALSE)*Optimalisatie!J62),0)+_xlfn.IFNA(VLOOKUP(Optimalisatie!AB62,Database_Brandstoffen[#All],45,FALSE)*((Optimalisatie!J62/Optimalisatie!AD62)*Optimalisatie!AC62),0),(_xlfn.IFNA(VLOOKUP(Inschrijf_Fossiele_Energie_Totaal[[#This Row],[Product]]&amp;", "&amp;Inschrijf_MKI_Totaal[[#Headers],[C1]],Database_Productkaarten[#All],51,FALSE),0)*Optimalisatie!J62)),0)</f>
        <v>0</v>
      </c>
      <c r="M480" s="91">
        <f>(IF(Optimalisatie!C62="Bestaande Situatie",_xlfn.IFNA(VLOOKUP(Optimalisatie!AF62,Database_Transport[#All],45,FALSE)*(Optimalisatie!R62*Optimalisatie!AE62),Baseline_Backlog!M480),0))</f>
        <v>0</v>
      </c>
      <c r="N480" s="91">
        <f>(IF(Optimalisatie!C62="Bestaande Situatie",_xlfn.IFNA(VLOOKUP(Optimalisatie!AG62,Database_Asfalt_Verwerkingsset[#All],45,FALSE)*(Optimalisatie!J62/VLOOKUP(Optimalisatie!AG62,Database_Asfalt_Verwerkingsset[#All],45,FALSE)),Baseline_Backlog!N480),0))</f>
        <v>0</v>
      </c>
      <c r="O480" s="91">
        <f>(IF(Optimalisatie!C62="Bestaande Situatie",_xlfn.IFNA(VLOOKUP(Inschrijf_Fossiele_Energie_Totaal[[#This Row],[Product]]&amp;", "&amp;Inschrijf_MKI_Totaal[[#Headers],[C4]],Database_Productkaarten[#All],51,FALSE)*Optimalisatie!J62,Baseline_Backlog!O480),0))</f>
        <v>0</v>
      </c>
      <c r="P480" s="91">
        <f>(IF(Optimalisatie!C62="Bestaande Situatie",_xlfn.IFNA(IF(Optimalisatie!E62="Categorie_1_LCA_Producten",VLOOKUP(Inschrijf_Fossiele_Energie_Totaal[[#This Row],[Product]],Categorie_1_Producten[#All],30,FALSE)*(Optimalisatie!J62),VLOOKUP(Inschrijf_Fossiele_Energie_Totaal[[#This Row],[Product]]&amp;", "&amp;Inschrijf_Fossiele_Energie_Totaal[[#Headers],[D1]],Database_Productkaarten[#All],51,FALSE)*Optimalisatie!J62),Baseline_Backlog!P480),0))</f>
        <v>0</v>
      </c>
      <c r="Q480" s="91">
        <f>(IF(Optimalisatie!C62="Bestaande Situatie",_xlfn.IFNA(IF(Optimalisatie!E62="Categorie_1_LCA_Producten",VLOOKUP(Inschrijf_Fossiele_Energie_Totaal[[#This Row],[Product]],Categorie_1_Producten[#All],31,FALSE)*(Optimalisatie!J62),VLOOKUP(Inschrijf_Fossiele_Energie_Totaal[[#This Row],[Product]]&amp;", "&amp;Inschrijf_Fossiele_Energie_Totaal[[#Headers],[D2]],Database_Productkaarten[#All],51,FALSE)*Optimalisatie!J62),Baseline_Backlog!Q480),0))</f>
        <v>0</v>
      </c>
      <c r="R480" s="91">
        <f>(IF(Optimalisatie!C62="Bestaande Situatie",_xlfn.IFNA(IF(Optimalisatie!E62="Categorie_1_LCA_Producten",VLOOKUP(Inschrijf_Fossiele_Energie_Totaal[[#This Row],[Product]],Categorie_1_Producten[#All],37,FALSE)*(Optimalisatie!J62),VLOOKUP(Inschrijf_Fossiele_Energie_Totaal[[#This Row],[Product]]&amp;", "&amp;Inschrijf_Fossiele_Energie_Totaal[[#Headers],[D]],Database_Productkaarten[#All],51,FALSE)*Optimalisatie!J62),Baseline_Backlog!S480),0))</f>
        <v>0</v>
      </c>
      <c r="S480" s="91">
        <f>SUM(Inschrijf_Fossiele_Energie_Totaal[[#This Row],[A1-A3]:[C4]])+Inschrijf_Fossiele_Energie_Totaal[[#This Row],[D]]</f>
        <v>0</v>
      </c>
    </row>
    <row r="481" spans="2:19">
      <c r="B481" s="208">
        <f>Optimalisatie!B63</f>
        <v>0</v>
      </c>
      <c r="C481" s="1">
        <f>Optimalisatie!F63</f>
        <v>0</v>
      </c>
      <c r="D481" s="91">
        <f>(IF(Optimalisatie!C63="Nieuwe Situatie",_xlfn.IFNA(IF(Optimalisatie!E63="Categorie_1_LCA_Producten",VLOOKUP(Inschrijf_Fossiele_Energie_Totaal[[#This Row],[Product]],Categorie_1_Producten[#All],26,FALSE)*(Optimalisatie!J63),VLOOKUP(Inschrijf_Fossiele_Energie_Totaal[[#This Row],[Product]]&amp;", "&amp;Inschrijf_Fossiele_Energie_Totaal[[#Headers],[A1]],Database_Productkaarten[#All],51,FALSE)*Optimalisatie!J63),Baseline_Backlog!D481),0))</f>
        <v>0</v>
      </c>
      <c r="E481" s="91">
        <f>(IF(Optimalisatie!C63="Nieuwe Situatie",_xlfn.IFNA(IF(Optimalisatie!E63="Categorie_1_LCA_Producten",VLOOKUP(Inschrijf_Fossiele_Energie_Totaal[[#This Row],[Product]],Categorie_1_Producten[#All],27,FALSE)*(Optimalisatie!J63),VLOOKUP(Inschrijf_Fossiele_Energie_Totaal[[#This Row],[Product]]&amp;", "&amp;Inschrijf_Fossiele_Energie_Totaal[[#Headers],[A2]],Database_Productkaarten[#All],51,FALSE)*Optimalisatie!J63),Baseline_Backlog!E481),0))</f>
        <v>0</v>
      </c>
      <c r="F481" s="91">
        <f>(IF(Optimalisatie!C63="Nieuwe Situatie",_xlfn.IFNA(IF(Optimalisatie!E63="Categorie_1_LCA_Producten",VLOOKUP(Inschrijf_Fossiele_Energie_Totaal[[#This Row],[Product]],Categorie_1_Producten[#All],28,FALSE)*(Optimalisatie!J63),VLOOKUP(Inschrijf_Fossiele_Energie_Totaal[[#This Row],[Product]]&amp;", "&amp;Inschrijf_Fossiele_Energie_Totaal[[#Headers],[A3]],Database_Productkaarten[#All],51,FALSE)*Optimalisatie!J63),Baseline_Backlog!F481),0))</f>
        <v>0</v>
      </c>
      <c r="G481" s="91">
        <f>(IF(Optimalisatie!C63="Nieuwe Situatie",_xlfn.IFNA(IF(Optimalisatie!E63="Categorie_1_LCA_Producten",VLOOKUP(Inschrijf_Fossiele_Energie_Totaal[[#This Row],[Product]],Categorie_1_Producten[#All],35,FALSE)*(Optimalisatie!J63),VLOOKUP(Inschrijf_Fossiele_Energie_Totaal[[#This Row],[Product]]&amp;", "&amp;Inschrijf_Fossiele_Energie_Totaal[[#Headers],[A1-A3]],Database_Productkaarten[#All],51,FALSE)*Optimalisatie!J63),Baseline_Backlog!G481),0))</f>
        <v>0</v>
      </c>
      <c r="H481" s="91">
        <f>(IF(Optimalisatie!C63="Nieuwe Situatie",_xlfn.IFNA(VLOOKUP(Optimalisatie!V63,Database_Transport[#All],45,FALSE)*(Optimalisatie!R63*Optimalisatie!U63),Baseline_Backlog!H481),0))</f>
        <v>0</v>
      </c>
      <c r="I481" s="91">
        <f>IF(Optimalisatie!C63="Nieuwe situatie",IF(_xlfn.IFNA((VLOOKUP(Optimalisatie!W63,Database_Asfalt_Aanlegset[#All],45,FALSE)*Optimalisatie!J63),0)+_xlfn.IFNA(VLOOKUP(Optimalisatie!X63,Database_Brandstoffen[#All],45,FALSE)*((Optimalisatie!J63/Optimalisatie!Z63)*Optimalisatie!Y63),0)&gt;0,_xlfn.IFNA((VLOOKUP(Optimalisatie!W63,Database_Asfalt_Aanlegset[#All],45,FALSE)*Optimalisatie!J63),0)+_xlfn.IFNA(VLOOKUP(Optimalisatie!X63,Database_Brandstoffen[#All],45,FALSE)*((Optimalisatie!J63/Optimalisatie!Z63)*Optimalisatie!Y63),0),(_xlfn.IFNA(VLOOKUP(Inschrijf_Fossiele_Energie_Totaal[[#This Row],[Product]]&amp;", "&amp;Inschrijf_MKI_Totaal[[#Headers],[A5]],Database_Productkaarten[#All],51,FALSE),0)*Optimalisatie!J63)),0)</f>
        <v>0</v>
      </c>
      <c r="J481" s="91">
        <f>(IF(Optimalisatie!C63="Nieuwe Situatie",_xlfn.IFNA(IF(Optimalisatie!E63="Categorie_1_LCA_Producten",VLOOKUP(Inschrijf_Fossiele_Energie_Totaal[[#This Row],[Product]],Categorie_1_Producten[#All],36,FALSE)*(Optimalisatie!R63),VLOOKUP(Inschrijf_Fossiele_Energie_Totaal[[#This Row],[Product]]&amp;", "&amp;Inschrijf_Fossiele_Energie_Totaal[[#Headers],[B1]],Database_Productkaarten[#All],51,FALSE)*Optimalisatie!J63),Baseline_Backlog!J481),0))</f>
        <v>0</v>
      </c>
      <c r="K481" s="91">
        <f>(IF(Optimalisatie!C63="Nieuwe Situatie",_xlfn.IFNA(SUM(Inschrijf_Fossiele_Energie_Totaal[[#This Row],[A1]:[B1]],Inschrijf_Fossiele_Energie_Totaal[[#This Row],[C1]:[D2]])*Optimalisatie!T63,0),0))</f>
        <v>0</v>
      </c>
      <c r="L481" s="91">
        <f>IF(Optimalisatie!C63="Bestaande situatie",IF(_xlfn.IFNA((VLOOKUP(Optimalisatie!AA63,Database_Asfalt_Verwijderset[#All],45,FALSE)*Optimalisatie!J63),0)+_xlfn.IFNA(VLOOKUP(Optimalisatie!AB63,Database_Brandstoffen[#All],45,FALSE)*((Optimalisatie!J63/Optimalisatie!AD63)*Optimalisatie!AC63),0)&gt;0,_xlfn.IFNA((VLOOKUP(Optimalisatie!AA63,Database_Asfalt_Verwijderset[#All],45,FALSE)*Optimalisatie!J63),0)+_xlfn.IFNA(VLOOKUP(Optimalisatie!AB63,Database_Brandstoffen[#All],45,FALSE)*((Optimalisatie!J63/Optimalisatie!AD63)*Optimalisatie!AC63),0),(_xlfn.IFNA(VLOOKUP(Inschrijf_Fossiele_Energie_Totaal[[#This Row],[Product]]&amp;", "&amp;Inschrijf_MKI_Totaal[[#Headers],[C1]],Database_Productkaarten[#All],51,FALSE),0)*Optimalisatie!J63)),0)</f>
        <v>0</v>
      </c>
      <c r="M481" s="91">
        <f>(IF(Optimalisatie!C63="Bestaande Situatie",_xlfn.IFNA(VLOOKUP(Optimalisatie!AF63,Database_Transport[#All],45,FALSE)*(Optimalisatie!R63*Optimalisatie!AE63),Baseline_Backlog!M481),0))</f>
        <v>0</v>
      </c>
      <c r="N481" s="91">
        <f>(IF(Optimalisatie!C63="Bestaande Situatie",_xlfn.IFNA(VLOOKUP(Optimalisatie!AG63,Database_Asfalt_Verwerkingsset[#All],45,FALSE)*(Optimalisatie!J63/VLOOKUP(Optimalisatie!AG63,Database_Asfalt_Verwerkingsset[#All],45,FALSE)),Baseline_Backlog!N481),0))</f>
        <v>0</v>
      </c>
      <c r="O481" s="91">
        <f>(IF(Optimalisatie!C63="Bestaande Situatie",_xlfn.IFNA(VLOOKUP(Inschrijf_Fossiele_Energie_Totaal[[#This Row],[Product]]&amp;", "&amp;Inschrijf_MKI_Totaal[[#Headers],[C4]],Database_Productkaarten[#All],51,FALSE)*Optimalisatie!J63,Baseline_Backlog!O481),0))</f>
        <v>0</v>
      </c>
      <c r="P481" s="91">
        <f>(IF(Optimalisatie!C63="Bestaande Situatie",_xlfn.IFNA(IF(Optimalisatie!E63="Categorie_1_LCA_Producten",VLOOKUP(Inschrijf_Fossiele_Energie_Totaal[[#This Row],[Product]],Categorie_1_Producten[#All],30,FALSE)*(Optimalisatie!J63),VLOOKUP(Inschrijf_Fossiele_Energie_Totaal[[#This Row],[Product]]&amp;", "&amp;Inschrijf_Fossiele_Energie_Totaal[[#Headers],[D1]],Database_Productkaarten[#All],51,FALSE)*Optimalisatie!J63),Baseline_Backlog!P481),0))</f>
        <v>0</v>
      </c>
      <c r="Q481" s="91">
        <f>(IF(Optimalisatie!C63="Bestaande Situatie",_xlfn.IFNA(IF(Optimalisatie!E63="Categorie_1_LCA_Producten",VLOOKUP(Inschrijf_Fossiele_Energie_Totaal[[#This Row],[Product]],Categorie_1_Producten[#All],31,FALSE)*(Optimalisatie!J63),VLOOKUP(Inschrijf_Fossiele_Energie_Totaal[[#This Row],[Product]]&amp;", "&amp;Inschrijf_Fossiele_Energie_Totaal[[#Headers],[D2]],Database_Productkaarten[#All],51,FALSE)*Optimalisatie!J63),Baseline_Backlog!Q481),0))</f>
        <v>0</v>
      </c>
      <c r="R481" s="91">
        <f>(IF(Optimalisatie!C63="Bestaande Situatie",_xlfn.IFNA(IF(Optimalisatie!E63="Categorie_1_LCA_Producten",VLOOKUP(Inschrijf_Fossiele_Energie_Totaal[[#This Row],[Product]],Categorie_1_Producten[#All],37,FALSE)*(Optimalisatie!J63),VLOOKUP(Inschrijf_Fossiele_Energie_Totaal[[#This Row],[Product]]&amp;", "&amp;Inschrijf_Fossiele_Energie_Totaal[[#Headers],[D]],Database_Productkaarten[#All],51,FALSE)*Optimalisatie!J63),Baseline_Backlog!S481),0))</f>
        <v>0</v>
      </c>
      <c r="S481" s="91">
        <f>SUM(Inschrijf_Fossiele_Energie_Totaal[[#This Row],[A1-A3]:[C4]])+Inschrijf_Fossiele_Energie_Totaal[[#This Row],[D]]</f>
        <v>0</v>
      </c>
    </row>
    <row r="482" spans="2:19">
      <c r="B482" s="208">
        <f>Optimalisatie!B64</f>
        <v>0</v>
      </c>
      <c r="C482" s="1">
        <f>Optimalisatie!F64</f>
        <v>0</v>
      </c>
      <c r="D482" s="91">
        <f>(IF(Optimalisatie!C64="Nieuwe Situatie",_xlfn.IFNA(IF(Optimalisatie!E64="Categorie_1_LCA_Producten",VLOOKUP(Inschrijf_Fossiele_Energie_Totaal[[#This Row],[Product]],Categorie_1_Producten[#All],26,FALSE)*(Optimalisatie!J64),VLOOKUP(Inschrijf_Fossiele_Energie_Totaal[[#This Row],[Product]]&amp;", "&amp;Inschrijf_Fossiele_Energie_Totaal[[#Headers],[A1]],Database_Productkaarten[#All],51,FALSE)*Optimalisatie!J64),Baseline_Backlog!D482),0))</f>
        <v>0</v>
      </c>
      <c r="E482" s="91">
        <f>(IF(Optimalisatie!C64="Nieuwe Situatie",_xlfn.IFNA(IF(Optimalisatie!E64="Categorie_1_LCA_Producten",VLOOKUP(Inschrijf_Fossiele_Energie_Totaal[[#This Row],[Product]],Categorie_1_Producten[#All],27,FALSE)*(Optimalisatie!J64),VLOOKUP(Inschrijf_Fossiele_Energie_Totaal[[#This Row],[Product]]&amp;", "&amp;Inschrijf_Fossiele_Energie_Totaal[[#Headers],[A2]],Database_Productkaarten[#All],51,FALSE)*Optimalisatie!J64),Baseline_Backlog!E482),0))</f>
        <v>0</v>
      </c>
      <c r="F482" s="91">
        <f>(IF(Optimalisatie!C64="Nieuwe Situatie",_xlfn.IFNA(IF(Optimalisatie!E64="Categorie_1_LCA_Producten",VLOOKUP(Inschrijf_Fossiele_Energie_Totaal[[#This Row],[Product]],Categorie_1_Producten[#All],28,FALSE)*(Optimalisatie!J64),VLOOKUP(Inschrijf_Fossiele_Energie_Totaal[[#This Row],[Product]]&amp;", "&amp;Inschrijf_Fossiele_Energie_Totaal[[#Headers],[A3]],Database_Productkaarten[#All],51,FALSE)*Optimalisatie!J64),Baseline_Backlog!F482),0))</f>
        <v>0</v>
      </c>
      <c r="G482" s="91">
        <f>(IF(Optimalisatie!C64="Nieuwe Situatie",_xlfn.IFNA(IF(Optimalisatie!E64="Categorie_1_LCA_Producten",VLOOKUP(Inschrijf_Fossiele_Energie_Totaal[[#This Row],[Product]],Categorie_1_Producten[#All],35,FALSE)*(Optimalisatie!J64),VLOOKUP(Inschrijf_Fossiele_Energie_Totaal[[#This Row],[Product]]&amp;", "&amp;Inschrijf_Fossiele_Energie_Totaal[[#Headers],[A1-A3]],Database_Productkaarten[#All],51,FALSE)*Optimalisatie!J64),Baseline_Backlog!G482),0))</f>
        <v>0</v>
      </c>
      <c r="H482" s="91">
        <f>(IF(Optimalisatie!C64="Nieuwe Situatie",_xlfn.IFNA(VLOOKUP(Optimalisatie!V64,Database_Transport[#All],45,FALSE)*(Optimalisatie!R64*Optimalisatie!U64),Baseline_Backlog!H482),0))</f>
        <v>0</v>
      </c>
      <c r="I482" s="91">
        <f>IF(Optimalisatie!C64="Nieuwe situatie",IF(_xlfn.IFNA((VLOOKUP(Optimalisatie!W64,Database_Asfalt_Aanlegset[#All],45,FALSE)*Optimalisatie!J64),0)+_xlfn.IFNA(VLOOKUP(Optimalisatie!X64,Database_Brandstoffen[#All],45,FALSE)*((Optimalisatie!J64/Optimalisatie!Z64)*Optimalisatie!Y64),0)&gt;0,_xlfn.IFNA((VLOOKUP(Optimalisatie!W64,Database_Asfalt_Aanlegset[#All],45,FALSE)*Optimalisatie!J64),0)+_xlfn.IFNA(VLOOKUP(Optimalisatie!X64,Database_Brandstoffen[#All],45,FALSE)*((Optimalisatie!J64/Optimalisatie!Z64)*Optimalisatie!Y64),0),(_xlfn.IFNA(VLOOKUP(Inschrijf_Fossiele_Energie_Totaal[[#This Row],[Product]]&amp;", "&amp;Inschrijf_MKI_Totaal[[#Headers],[A5]],Database_Productkaarten[#All],51,FALSE),0)*Optimalisatie!J64)),0)</f>
        <v>0</v>
      </c>
      <c r="J482" s="91">
        <f>(IF(Optimalisatie!C64="Nieuwe Situatie",_xlfn.IFNA(IF(Optimalisatie!E64="Categorie_1_LCA_Producten",VLOOKUP(Inschrijf_Fossiele_Energie_Totaal[[#This Row],[Product]],Categorie_1_Producten[#All],36,FALSE)*(Optimalisatie!R64),VLOOKUP(Inschrijf_Fossiele_Energie_Totaal[[#This Row],[Product]]&amp;", "&amp;Inschrijf_Fossiele_Energie_Totaal[[#Headers],[B1]],Database_Productkaarten[#All],51,FALSE)*Optimalisatie!J64),Baseline_Backlog!J482),0))</f>
        <v>0</v>
      </c>
      <c r="K482" s="91">
        <f>(IF(Optimalisatie!C64="Nieuwe Situatie",_xlfn.IFNA(SUM(Inschrijf_Fossiele_Energie_Totaal[[#This Row],[A1]:[B1]],Inschrijf_Fossiele_Energie_Totaal[[#This Row],[C1]:[D2]])*Optimalisatie!T64,0),0))</f>
        <v>0</v>
      </c>
      <c r="L482" s="91">
        <f>IF(Optimalisatie!C64="Bestaande situatie",IF(_xlfn.IFNA((VLOOKUP(Optimalisatie!AA64,Database_Asfalt_Verwijderset[#All],45,FALSE)*Optimalisatie!J64),0)+_xlfn.IFNA(VLOOKUP(Optimalisatie!AB64,Database_Brandstoffen[#All],45,FALSE)*((Optimalisatie!J64/Optimalisatie!AD64)*Optimalisatie!AC64),0)&gt;0,_xlfn.IFNA((VLOOKUP(Optimalisatie!AA64,Database_Asfalt_Verwijderset[#All],45,FALSE)*Optimalisatie!J64),0)+_xlfn.IFNA(VLOOKUP(Optimalisatie!AB64,Database_Brandstoffen[#All],45,FALSE)*((Optimalisatie!J64/Optimalisatie!AD64)*Optimalisatie!AC64),0),(_xlfn.IFNA(VLOOKUP(Inschrijf_Fossiele_Energie_Totaal[[#This Row],[Product]]&amp;", "&amp;Inschrijf_MKI_Totaal[[#Headers],[C1]],Database_Productkaarten[#All],51,FALSE),0)*Optimalisatie!J64)),0)</f>
        <v>0</v>
      </c>
      <c r="M482" s="91">
        <f>(IF(Optimalisatie!C64="Bestaande Situatie",_xlfn.IFNA(VLOOKUP(Optimalisatie!AF64,Database_Transport[#All],45,FALSE)*(Optimalisatie!R64*Optimalisatie!AE64),Baseline_Backlog!M482),0))</f>
        <v>0</v>
      </c>
      <c r="N482" s="91">
        <f>(IF(Optimalisatie!C64="Bestaande Situatie",_xlfn.IFNA(VLOOKUP(Optimalisatie!AG64,Database_Asfalt_Verwerkingsset[#All],45,FALSE)*(Optimalisatie!J64/VLOOKUP(Optimalisatie!AG64,Database_Asfalt_Verwerkingsset[#All],45,FALSE)),Baseline_Backlog!N482),0))</f>
        <v>0</v>
      </c>
      <c r="O482" s="91">
        <f>(IF(Optimalisatie!C64="Bestaande Situatie",_xlfn.IFNA(VLOOKUP(Inschrijf_Fossiele_Energie_Totaal[[#This Row],[Product]]&amp;", "&amp;Inschrijf_MKI_Totaal[[#Headers],[C4]],Database_Productkaarten[#All],51,FALSE)*Optimalisatie!J64,Baseline_Backlog!O482),0))</f>
        <v>0</v>
      </c>
      <c r="P482" s="91">
        <f>(IF(Optimalisatie!C64="Bestaande Situatie",_xlfn.IFNA(IF(Optimalisatie!E64="Categorie_1_LCA_Producten",VLOOKUP(Inschrijf_Fossiele_Energie_Totaal[[#This Row],[Product]],Categorie_1_Producten[#All],30,FALSE)*(Optimalisatie!J64),VLOOKUP(Inschrijf_Fossiele_Energie_Totaal[[#This Row],[Product]]&amp;", "&amp;Inschrijf_Fossiele_Energie_Totaal[[#Headers],[D1]],Database_Productkaarten[#All],51,FALSE)*Optimalisatie!J64),Baseline_Backlog!P482),0))</f>
        <v>0</v>
      </c>
      <c r="Q482" s="91">
        <f>(IF(Optimalisatie!C64="Bestaande Situatie",_xlfn.IFNA(IF(Optimalisatie!E64="Categorie_1_LCA_Producten",VLOOKUP(Inschrijf_Fossiele_Energie_Totaal[[#This Row],[Product]],Categorie_1_Producten[#All],31,FALSE)*(Optimalisatie!J64),VLOOKUP(Inschrijf_Fossiele_Energie_Totaal[[#This Row],[Product]]&amp;", "&amp;Inschrijf_Fossiele_Energie_Totaal[[#Headers],[D2]],Database_Productkaarten[#All],51,FALSE)*Optimalisatie!J64),Baseline_Backlog!Q482),0))</f>
        <v>0</v>
      </c>
      <c r="R482" s="91">
        <f>(IF(Optimalisatie!C64="Bestaande Situatie",_xlfn.IFNA(IF(Optimalisatie!E64="Categorie_1_LCA_Producten",VLOOKUP(Inschrijf_Fossiele_Energie_Totaal[[#This Row],[Product]],Categorie_1_Producten[#All],37,FALSE)*(Optimalisatie!J64),VLOOKUP(Inschrijf_Fossiele_Energie_Totaal[[#This Row],[Product]]&amp;", "&amp;Inschrijf_Fossiele_Energie_Totaal[[#Headers],[D]],Database_Productkaarten[#All],51,FALSE)*Optimalisatie!J64),Baseline_Backlog!S482),0))</f>
        <v>0</v>
      </c>
      <c r="S482" s="91">
        <f>SUM(Inschrijf_Fossiele_Energie_Totaal[[#This Row],[A1-A3]:[C4]])+Inschrijf_Fossiele_Energie_Totaal[[#This Row],[D]]</f>
        <v>0</v>
      </c>
    </row>
    <row r="483" spans="2:19">
      <c r="B483" s="208">
        <f>Optimalisatie!B65</f>
        <v>0</v>
      </c>
      <c r="C483" s="1">
        <f>Optimalisatie!F65</f>
        <v>0</v>
      </c>
      <c r="D483" s="91">
        <f>(IF(Optimalisatie!C65="Nieuwe Situatie",_xlfn.IFNA(IF(Optimalisatie!E65="Categorie_1_LCA_Producten",VLOOKUP(Inschrijf_Fossiele_Energie_Totaal[[#This Row],[Product]],Categorie_1_Producten[#All],26,FALSE)*(Optimalisatie!J65),VLOOKUP(Inschrijf_Fossiele_Energie_Totaal[[#This Row],[Product]]&amp;", "&amp;Inschrijf_Fossiele_Energie_Totaal[[#Headers],[A1]],Database_Productkaarten[#All],51,FALSE)*Optimalisatie!J65),Baseline_Backlog!D483),0))</f>
        <v>0</v>
      </c>
      <c r="E483" s="91">
        <f>(IF(Optimalisatie!C65="Nieuwe Situatie",_xlfn.IFNA(IF(Optimalisatie!E65="Categorie_1_LCA_Producten",VLOOKUP(Inschrijf_Fossiele_Energie_Totaal[[#This Row],[Product]],Categorie_1_Producten[#All],27,FALSE)*(Optimalisatie!J65),VLOOKUP(Inschrijf_Fossiele_Energie_Totaal[[#This Row],[Product]]&amp;", "&amp;Inschrijf_Fossiele_Energie_Totaal[[#Headers],[A2]],Database_Productkaarten[#All],51,FALSE)*Optimalisatie!J65),Baseline_Backlog!E483),0))</f>
        <v>0</v>
      </c>
      <c r="F483" s="91">
        <f>(IF(Optimalisatie!C65="Nieuwe Situatie",_xlfn.IFNA(IF(Optimalisatie!E65="Categorie_1_LCA_Producten",VLOOKUP(Inschrijf_Fossiele_Energie_Totaal[[#This Row],[Product]],Categorie_1_Producten[#All],28,FALSE)*(Optimalisatie!J65),VLOOKUP(Inschrijf_Fossiele_Energie_Totaal[[#This Row],[Product]]&amp;", "&amp;Inschrijf_Fossiele_Energie_Totaal[[#Headers],[A3]],Database_Productkaarten[#All],51,FALSE)*Optimalisatie!J65),Baseline_Backlog!F483),0))</f>
        <v>0</v>
      </c>
      <c r="G483" s="91">
        <f>(IF(Optimalisatie!C65="Nieuwe Situatie",_xlfn.IFNA(IF(Optimalisatie!E65="Categorie_1_LCA_Producten",VLOOKUP(Inschrijf_Fossiele_Energie_Totaal[[#This Row],[Product]],Categorie_1_Producten[#All],35,FALSE)*(Optimalisatie!J65),VLOOKUP(Inschrijf_Fossiele_Energie_Totaal[[#This Row],[Product]]&amp;", "&amp;Inschrijf_Fossiele_Energie_Totaal[[#Headers],[A1-A3]],Database_Productkaarten[#All],51,FALSE)*Optimalisatie!J65),Baseline_Backlog!G483),0))</f>
        <v>0</v>
      </c>
      <c r="H483" s="91">
        <f>(IF(Optimalisatie!C65="Nieuwe Situatie",_xlfn.IFNA(VLOOKUP(Optimalisatie!V65,Database_Transport[#All],45,FALSE)*(Optimalisatie!R65*Optimalisatie!U65),Baseline_Backlog!H483),0))</f>
        <v>0</v>
      </c>
      <c r="I483" s="91">
        <f>IF(Optimalisatie!C65="Nieuwe situatie",IF(_xlfn.IFNA((VLOOKUP(Optimalisatie!W65,Database_Asfalt_Aanlegset[#All],45,FALSE)*Optimalisatie!J65),0)+_xlfn.IFNA(VLOOKUP(Optimalisatie!X65,Database_Brandstoffen[#All],45,FALSE)*((Optimalisatie!J65/Optimalisatie!Z65)*Optimalisatie!Y65),0)&gt;0,_xlfn.IFNA((VLOOKUP(Optimalisatie!W65,Database_Asfalt_Aanlegset[#All],45,FALSE)*Optimalisatie!J65),0)+_xlfn.IFNA(VLOOKUP(Optimalisatie!X65,Database_Brandstoffen[#All],45,FALSE)*((Optimalisatie!J65/Optimalisatie!Z65)*Optimalisatie!Y65),0),(_xlfn.IFNA(VLOOKUP(Inschrijf_Fossiele_Energie_Totaal[[#This Row],[Product]]&amp;", "&amp;Inschrijf_MKI_Totaal[[#Headers],[A5]],Database_Productkaarten[#All],51,FALSE),0)*Optimalisatie!J65)),0)</f>
        <v>0</v>
      </c>
      <c r="J483" s="91">
        <f>(IF(Optimalisatie!C65="Nieuwe Situatie",_xlfn.IFNA(IF(Optimalisatie!E65="Categorie_1_LCA_Producten",VLOOKUP(Inschrijf_Fossiele_Energie_Totaal[[#This Row],[Product]],Categorie_1_Producten[#All],36,FALSE)*(Optimalisatie!R65),VLOOKUP(Inschrijf_Fossiele_Energie_Totaal[[#This Row],[Product]]&amp;", "&amp;Inschrijf_Fossiele_Energie_Totaal[[#Headers],[B1]],Database_Productkaarten[#All],51,FALSE)*Optimalisatie!J65),Baseline_Backlog!J483),0))</f>
        <v>0</v>
      </c>
      <c r="K483" s="91">
        <f>(IF(Optimalisatie!C65="Nieuwe Situatie",_xlfn.IFNA(SUM(Inschrijf_Fossiele_Energie_Totaal[[#This Row],[A1]:[B1]],Inschrijf_Fossiele_Energie_Totaal[[#This Row],[C1]:[D2]])*Optimalisatie!T65,0),0))</f>
        <v>0</v>
      </c>
      <c r="L483" s="91">
        <f>IF(Optimalisatie!C65="Bestaande situatie",IF(_xlfn.IFNA((VLOOKUP(Optimalisatie!AA65,Database_Asfalt_Verwijderset[#All],45,FALSE)*Optimalisatie!J65),0)+_xlfn.IFNA(VLOOKUP(Optimalisatie!AB65,Database_Brandstoffen[#All],45,FALSE)*((Optimalisatie!J65/Optimalisatie!AD65)*Optimalisatie!AC65),0)&gt;0,_xlfn.IFNA((VLOOKUP(Optimalisatie!AA65,Database_Asfalt_Verwijderset[#All],45,FALSE)*Optimalisatie!J65),0)+_xlfn.IFNA(VLOOKUP(Optimalisatie!AB65,Database_Brandstoffen[#All],45,FALSE)*((Optimalisatie!J65/Optimalisatie!AD65)*Optimalisatie!AC65),0),(_xlfn.IFNA(VLOOKUP(Inschrijf_Fossiele_Energie_Totaal[[#This Row],[Product]]&amp;", "&amp;Inschrijf_MKI_Totaal[[#Headers],[C1]],Database_Productkaarten[#All],51,FALSE),0)*Optimalisatie!J65)),0)</f>
        <v>0</v>
      </c>
      <c r="M483" s="91">
        <f>(IF(Optimalisatie!C65="Bestaande Situatie",_xlfn.IFNA(VLOOKUP(Optimalisatie!AF65,Database_Transport[#All],45,FALSE)*(Optimalisatie!R65*Optimalisatie!AE65),Baseline_Backlog!M483),0))</f>
        <v>0</v>
      </c>
      <c r="N483" s="91">
        <f>(IF(Optimalisatie!C65="Bestaande Situatie",_xlfn.IFNA(VLOOKUP(Optimalisatie!AG65,Database_Asfalt_Verwerkingsset[#All],45,FALSE)*(Optimalisatie!J65/VLOOKUP(Optimalisatie!AG65,Database_Asfalt_Verwerkingsset[#All],45,FALSE)),Baseline_Backlog!N483),0))</f>
        <v>0</v>
      </c>
      <c r="O483" s="91">
        <f>(IF(Optimalisatie!C65="Bestaande Situatie",_xlfn.IFNA(VLOOKUP(Inschrijf_Fossiele_Energie_Totaal[[#This Row],[Product]]&amp;", "&amp;Inschrijf_MKI_Totaal[[#Headers],[C4]],Database_Productkaarten[#All],51,FALSE)*Optimalisatie!J65,Baseline_Backlog!O483),0))</f>
        <v>0</v>
      </c>
      <c r="P483" s="91">
        <f>(IF(Optimalisatie!C65="Bestaande Situatie",_xlfn.IFNA(IF(Optimalisatie!E65="Categorie_1_LCA_Producten",VLOOKUP(Inschrijf_Fossiele_Energie_Totaal[[#This Row],[Product]],Categorie_1_Producten[#All],30,FALSE)*(Optimalisatie!J65),VLOOKUP(Inschrijf_Fossiele_Energie_Totaal[[#This Row],[Product]]&amp;", "&amp;Inschrijf_Fossiele_Energie_Totaal[[#Headers],[D1]],Database_Productkaarten[#All],51,FALSE)*Optimalisatie!J65),Baseline_Backlog!P483),0))</f>
        <v>0</v>
      </c>
      <c r="Q483" s="91">
        <f>(IF(Optimalisatie!C65="Bestaande Situatie",_xlfn.IFNA(IF(Optimalisatie!E65="Categorie_1_LCA_Producten",VLOOKUP(Inschrijf_Fossiele_Energie_Totaal[[#This Row],[Product]],Categorie_1_Producten[#All],31,FALSE)*(Optimalisatie!J65),VLOOKUP(Inschrijf_Fossiele_Energie_Totaal[[#This Row],[Product]]&amp;", "&amp;Inschrijf_Fossiele_Energie_Totaal[[#Headers],[D2]],Database_Productkaarten[#All],51,FALSE)*Optimalisatie!J65),Baseline_Backlog!Q483),0))</f>
        <v>0</v>
      </c>
      <c r="R483" s="91">
        <f>(IF(Optimalisatie!C65="Bestaande Situatie",_xlfn.IFNA(IF(Optimalisatie!E65="Categorie_1_LCA_Producten",VLOOKUP(Inschrijf_Fossiele_Energie_Totaal[[#This Row],[Product]],Categorie_1_Producten[#All],37,FALSE)*(Optimalisatie!J65),VLOOKUP(Inschrijf_Fossiele_Energie_Totaal[[#This Row],[Product]]&amp;", "&amp;Inschrijf_Fossiele_Energie_Totaal[[#Headers],[D]],Database_Productkaarten[#All],51,FALSE)*Optimalisatie!J65),Baseline_Backlog!S483),0))</f>
        <v>0</v>
      </c>
      <c r="S483" s="91">
        <f>SUM(Inschrijf_Fossiele_Energie_Totaal[[#This Row],[A1-A3]:[C4]])+Inschrijf_Fossiele_Energie_Totaal[[#This Row],[D]]</f>
        <v>0</v>
      </c>
    </row>
    <row r="484" spans="2:19">
      <c r="B484" s="208">
        <f>Optimalisatie!B66</f>
        <v>0</v>
      </c>
      <c r="C484" s="1">
        <f>Optimalisatie!F66</f>
        <v>0</v>
      </c>
      <c r="D484" s="91">
        <f>(IF(Optimalisatie!C66="Nieuwe Situatie",_xlfn.IFNA(IF(Optimalisatie!E66="Categorie_1_LCA_Producten",VLOOKUP(Inschrijf_Fossiele_Energie_Totaal[[#This Row],[Product]],Categorie_1_Producten[#All],26,FALSE)*(Optimalisatie!J66),VLOOKUP(Inschrijf_Fossiele_Energie_Totaal[[#This Row],[Product]]&amp;", "&amp;Inschrijf_Fossiele_Energie_Totaal[[#Headers],[A1]],Database_Productkaarten[#All],51,FALSE)*Optimalisatie!J66),Baseline_Backlog!D484),0))</f>
        <v>0</v>
      </c>
      <c r="E484" s="91">
        <f>(IF(Optimalisatie!C66="Nieuwe Situatie",_xlfn.IFNA(IF(Optimalisatie!E66="Categorie_1_LCA_Producten",VLOOKUP(Inschrijf_Fossiele_Energie_Totaal[[#This Row],[Product]],Categorie_1_Producten[#All],27,FALSE)*(Optimalisatie!J66),VLOOKUP(Inschrijf_Fossiele_Energie_Totaal[[#This Row],[Product]]&amp;", "&amp;Inschrijf_Fossiele_Energie_Totaal[[#Headers],[A2]],Database_Productkaarten[#All],51,FALSE)*Optimalisatie!J66),Baseline_Backlog!E484),0))</f>
        <v>0</v>
      </c>
      <c r="F484" s="91">
        <f>(IF(Optimalisatie!C66="Nieuwe Situatie",_xlfn.IFNA(IF(Optimalisatie!E66="Categorie_1_LCA_Producten",VLOOKUP(Inschrijf_Fossiele_Energie_Totaal[[#This Row],[Product]],Categorie_1_Producten[#All],28,FALSE)*(Optimalisatie!J66),VLOOKUP(Inschrijf_Fossiele_Energie_Totaal[[#This Row],[Product]]&amp;", "&amp;Inschrijf_Fossiele_Energie_Totaal[[#Headers],[A3]],Database_Productkaarten[#All],51,FALSE)*Optimalisatie!J66),Baseline_Backlog!F484),0))</f>
        <v>0</v>
      </c>
      <c r="G484" s="91">
        <f>(IF(Optimalisatie!C66="Nieuwe Situatie",_xlfn.IFNA(IF(Optimalisatie!E66="Categorie_1_LCA_Producten",VLOOKUP(Inschrijf_Fossiele_Energie_Totaal[[#This Row],[Product]],Categorie_1_Producten[#All],35,FALSE)*(Optimalisatie!J66),VLOOKUP(Inschrijf_Fossiele_Energie_Totaal[[#This Row],[Product]]&amp;", "&amp;Inschrijf_Fossiele_Energie_Totaal[[#Headers],[A1-A3]],Database_Productkaarten[#All],51,FALSE)*Optimalisatie!J66),Baseline_Backlog!G484),0))</f>
        <v>0</v>
      </c>
      <c r="H484" s="91">
        <f>(IF(Optimalisatie!C66="Nieuwe Situatie",_xlfn.IFNA(VLOOKUP(Optimalisatie!V66,Database_Transport[#All],45,FALSE)*(Optimalisatie!R66*Optimalisatie!U66),Baseline_Backlog!H484),0))</f>
        <v>0</v>
      </c>
      <c r="I484" s="91">
        <f>IF(Optimalisatie!C66="Nieuwe situatie",IF(_xlfn.IFNA((VLOOKUP(Optimalisatie!W66,Database_Asfalt_Aanlegset[#All],45,FALSE)*Optimalisatie!J66),0)+_xlfn.IFNA(VLOOKUP(Optimalisatie!X66,Database_Brandstoffen[#All],45,FALSE)*((Optimalisatie!J66/Optimalisatie!Z66)*Optimalisatie!Y66),0)&gt;0,_xlfn.IFNA((VLOOKUP(Optimalisatie!W66,Database_Asfalt_Aanlegset[#All],45,FALSE)*Optimalisatie!J66),0)+_xlfn.IFNA(VLOOKUP(Optimalisatie!X66,Database_Brandstoffen[#All],45,FALSE)*((Optimalisatie!J66/Optimalisatie!Z66)*Optimalisatie!Y66),0),(_xlfn.IFNA(VLOOKUP(Inschrijf_Fossiele_Energie_Totaal[[#This Row],[Product]]&amp;", "&amp;Inschrijf_MKI_Totaal[[#Headers],[A5]],Database_Productkaarten[#All],51,FALSE),0)*Optimalisatie!J66)),0)</f>
        <v>0</v>
      </c>
      <c r="J484" s="91">
        <f>(IF(Optimalisatie!C66="Nieuwe Situatie",_xlfn.IFNA(IF(Optimalisatie!E66="Categorie_1_LCA_Producten",VLOOKUP(Inschrijf_Fossiele_Energie_Totaal[[#This Row],[Product]],Categorie_1_Producten[#All],36,FALSE)*(Optimalisatie!R66),VLOOKUP(Inschrijf_Fossiele_Energie_Totaal[[#This Row],[Product]]&amp;", "&amp;Inschrijf_Fossiele_Energie_Totaal[[#Headers],[B1]],Database_Productkaarten[#All],51,FALSE)*Optimalisatie!J66),Baseline_Backlog!J484),0))</f>
        <v>0</v>
      </c>
      <c r="K484" s="91">
        <f>(IF(Optimalisatie!C66="Nieuwe Situatie",_xlfn.IFNA(SUM(Inschrijf_Fossiele_Energie_Totaal[[#This Row],[A1]:[B1]],Inschrijf_Fossiele_Energie_Totaal[[#This Row],[C1]:[D2]])*Optimalisatie!T66,0),0))</f>
        <v>0</v>
      </c>
      <c r="L484" s="91">
        <f>IF(Optimalisatie!C66="Bestaande situatie",IF(_xlfn.IFNA((VLOOKUP(Optimalisatie!AA66,Database_Asfalt_Verwijderset[#All],45,FALSE)*Optimalisatie!J66),0)+_xlfn.IFNA(VLOOKUP(Optimalisatie!AB66,Database_Brandstoffen[#All],45,FALSE)*((Optimalisatie!J66/Optimalisatie!AD66)*Optimalisatie!AC66),0)&gt;0,_xlfn.IFNA((VLOOKUP(Optimalisatie!AA66,Database_Asfalt_Verwijderset[#All],45,FALSE)*Optimalisatie!J66),0)+_xlfn.IFNA(VLOOKUP(Optimalisatie!AB66,Database_Brandstoffen[#All],45,FALSE)*((Optimalisatie!J66/Optimalisatie!AD66)*Optimalisatie!AC66),0),(_xlfn.IFNA(VLOOKUP(Inschrijf_Fossiele_Energie_Totaal[[#This Row],[Product]]&amp;", "&amp;Inschrijf_MKI_Totaal[[#Headers],[C1]],Database_Productkaarten[#All],51,FALSE),0)*Optimalisatie!J66)),0)</f>
        <v>0</v>
      </c>
      <c r="M484" s="91">
        <f>(IF(Optimalisatie!C66="Bestaande Situatie",_xlfn.IFNA(VLOOKUP(Optimalisatie!AF66,Database_Transport[#All],45,FALSE)*(Optimalisatie!R66*Optimalisatie!AE66),Baseline_Backlog!M484),0))</f>
        <v>0</v>
      </c>
      <c r="N484" s="91">
        <f>(IF(Optimalisatie!C66="Bestaande Situatie",_xlfn.IFNA(VLOOKUP(Optimalisatie!AG66,Database_Asfalt_Verwerkingsset[#All],45,FALSE)*(Optimalisatie!J66/VLOOKUP(Optimalisatie!AG66,Database_Asfalt_Verwerkingsset[#All],45,FALSE)),Baseline_Backlog!N484),0))</f>
        <v>0</v>
      </c>
      <c r="O484" s="91">
        <f>(IF(Optimalisatie!C66="Bestaande Situatie",_xlfn.IFNA(VLOOKUP(Inschrijf_Fossiele_Energie_Totaal[[#This Row],[Product]]&amp;", "&amp;Inschrijf_MKI_Totaal[[#Headers],[C4]],Database_Productkaarten[#All],51,FALSE)*Optimalisatie!J66,Baseline_Backlog!O484),0))</f>
        <v>0</v>
      </c>
      <c r="P484" s="91">
        <f>(IF(Optimalisatie!C66="Bestaande Situatie",_xlfn.IFNA(IF(Optimalisatie!E66="Categorie_1_LCA_Producten",VLOOKUP(Inschrijf_Fossiele_Energie_Totaal[[#This Row],[Product]],Categorie_1_Producten[#All],30,FALSE)*(Optimalisatie!J66),VLOOKUP(Inschrijf_Fossiele_Energie_Totaal[[#This Row],[Product]]&amp;", "&amp;Inschrijf_Fossiele_Energie_Totaal[[#Headers],[D1]],Database_Productkaarten[#All],51,FALSE)*Optimalisatie!J66),Baseline_Backlog!P484),0))</f>
        <v>0</v>
      </c>
      <c r="Q484" s="91">
        <f>(IF(Optimalisatie!C66="Bestaande Situatie",_xlfn.IFNA(IF(Optimalisatie!E66="Categorie_1_LCA_Producten",VLOOKUP(Inschrijf_Fossiele_Energie_Totaal[[#This Row],[Product]],Categorie_1_Producten[#All],31,FALSE)*(Optimalisatie!J66),VLOOKUP(Inschrijf_Fossiele_Energie_Totaal[[#This Row],[Product]]&amp;", "&amp;Inschrijf_Fossiele_Energie_Totaal[[#Headers],[D2]],Database_Productkaarten[#All],51,FALSE)*Optimalisatie!J66),Baseline_Backlog!Q484),0))</f>
        <v>0</v>
      </c>
      <c r="R484" s="91">
        <f>(IF(Optimalisatie!C66="Bestaande Situatie",_xlfn.IFNA(IF(Optimalisatie!E66="Categorie_1_LCA_Producten",VLOOKUP(Inschrijf_Fossiele_Energie_Totaal[[#This Row],[Product]],Categorie_1_Producten[#All],37,FALSE)*(Optimalisatie!J66),VLOOKUP(Inschrijf_Fossiele_Energie_Totaal[[#This Row],[Product]]&amp;", "&amp;Inschrijf_Fossiele_Energie_Totaal[[#Headers],[D]],Database_Productkaarten[#All],51,FALSE)*Optimalisatie!J66),Baseline_Backlog!S484),0))</f>
        <v>0</v>
      </c>
      <c r="S484" s="91">
        <f>SUM(Inschrijf_Fossiele_Energie_Totaal[[#This Row],[A1-A3]:[C4]])+Inschrijf_Fossiele_Energie_Totaal[[#This Row],[D]]</f>
        <v>0</v>
      </c>
    </row>
    <row r="485" spans="2:19">
      <c r="B485" s="208">
        <f>Optimalisatie!B67</f>
        <v>0</v>
      </c>
      <c r="C485" s="1">
        <f>Optimalisatie!F67</f>
        <v>0</v>
      </c>
      <c r="D485" s="91">
        <f>(IF(Optimalisatie!C67="Nieuwe Situatie",_xlfn.IFNA(IF(Optimalisatie!E67="Categorie_1_LCA_Producten",VLOOKUP(Inschrijf_Fossiele_Energie_Totaal[[#This Row],[Product]],Categorie_1_Producten[#All],26,FALSE)*(Optimalisatie!J67),VLOOKUP(Inschrijf_Fossiele_Energie_Totaal[[#This Row],[Product]]&amp;", "&amp;Inschrijf_Fossiele_Energie_Totaal[[#Headers],[A1]],Database_Productkaarten[#All],51,FALSE)*Optimalisatie!J67),Baseline_Backlog!D485),0))</f>
        <v>0</v>
      </c>
      <c r="E485" s="91">
        <f>(IF(Optimalisatie!C67="Nieuwe Situatie",_xlfn.IFNA(IF(Optimalisatie!E67="Categorie_1_LCA_Producten",VLOOKUP(Inschrijf_Fossiele_Energie_Totaal[[#This Row],[Product]],Categorie_1_Producten[#All],27,FALSE)*(Optimalisatie!J67),VLOOKUP(Inschrijf_Fossiele_Energie_Totaal[[#This Row],[Product]]&amp;", "&amp;Inschrijf_Fossiele_Energie_Totaal[[#Headers],[A2]],Database_Productkaarten[#All],51,FALSE)*Optimalisatie!J67),Baseline_Backlog!E485),0))</f>
        <v>0</v>
      </c>
      <c r="F485" s="91">
        <f>(IF(Optimalisatie!C67="Nieuwe Situatie",_xlfn.IFNA(IF(Optimalisatie!E67="Categorie_1_LCA_Producten",VLOOKUP(Inschrijf_Fossiele_Energie_Totaal[[#This Row],[Product]],Categorie_1_Producten[#All],28,FALSE)*(Optimalisatie!J67),VLOOKUP(Inschrijf_Fossiele_Energie_Totaal[[#This Row],[Product]]&amp;", "&amp;Inschrijf_Fossiele_Energie_Totaal[[#Headers],[A3]],Database_Productkaarten[#All],51,FALSE)*Optimalisatie!J67),Baseline_Backlog!F485),0))</f>
        <v>0</v>
      </c>
      <c r="G485" s="91">
        <f>(IF(Optimalisatie!C67="Nieuwe Situatie",_xlfn.IFNA(IF(Optimalisatie!E67="Categorie_1_LCA_Producten",VLOOKUP(Inschrijf_Fossiele_Energie_Totaal[[#This Row],[Product]],Categorie_1_Producten[#All],35,FALSE)*(Optimalisatie!J67),VLOOKUP(Inschrijf_Fossiele_Energie_Totaal[[#This Row],[Product]]&amp;", "&amp;Inschrijf_Fossiele_Energie_Totaal[[#Headers],[A1-A3]],Database_Productkaarten[#All],51,FALSE)*Optimalisatie!J67),Baseline_Backlog!G485),0))</f>
        <v>0</v>
      </c>
      <c r="H485" s="91">
        <f>(IF(Optimalisatie!C67="Nieuwe Situatie",_xlfn.IFNA(VLOOKUP(Optimalisatie!V67,Database_Transport[#All],45,FALSE)*(Optimalisatie!R67*Optimalisatie!U67),Baseline_Backlog!H485),0))</f>
        <v>0</v>
      </c>
      <c r="I485" s="91">
        <f>IF(Optimalisatie!C67="Nieuwe situatie",IF(_xlfn.IFNA((VLOOKUP(Optimalisatie!W67,Database_Asfalt_Aanlegset[#All],45,FALSE)*Optimalisatie!J67),0)+_xlfn.IFNA(VLOOKUP(Optimalisatie!X67,Database_Brandstoffen[#All],45,FALSE)*((Optimalisatie!J67/Optimalisatie!Z67)*Optimalisatie!Y67),0)&gt;0,_xlfn.IFNA((VLOOKUP(Optimalisatie!W67,Database_Asfalt_Aanlegset[#All],45,FALSE)*Optimalisatie!J67),0)+_xlfn.IFNA(VLOOKUP(Optimalisatie!X67,Database_Brandstoffen[#All],45,FALSE)*((Optimalisatie!J67/Optimalisatie!Z67)*Optimalisatie!Y67),0),(_xlfn.IFNA(VLOOKUP(Inschrijf_Fossiele_Energie_Totaal[[#This Row],[Product]]&amp;", "&amp;Inschrijf_MKI_Totaal[[#Headers],[A5]],Database_Productkaarten[#All],51,FALSE),0)*Optimalisatie!J67)),0)</f>
        <v>0</v>
      </c>
      <c r="J485" s="91">
        <f>(IF(Optimalisatie!C67="Nieuwe Situatie",_xlfn.IFNA(IF(Optimalisatie!E67="Categorie_1_LCA_Producten",VLOOKUP(Inschrijf_Fossiele_Energie_Totaal[[#This Row],[Product]],Categorie_1_Producten[#All],36,FALSE)*(Optimalisatie!R67),VLOOKUP(Inschrijf_Fossiele_Energie_Totaal[[#This Row],[Product]]&amp;", "&amp;Inschrijf_Fossiele_Energie_Totaal[[#Headers],[B1]],Database_Productkaarten[#All],51,FALSE)*Optimalisatie!J67),Baseline_Backlog!J485),0))</f>
        <v>0</v>
      </c>
      <c r="K485" s="91">
        <f>(IF(Optimalisatie!C67="Nieuwe Situatie",_xlfn.IFNA(SUM(Inschrijf_Fossiele_Energie_Totaal[[#This Row],[A1]:[B1]],Inschrijf_Fossiele_Energie_Totaal[[#This Row],[C1]:[D2]])*Optimalisatie!T67,0),0))</f>
        <v>0</v>
      </c>
      <c r="L485" s="91">
        <f>IF(Optimalisatie!C67="Bestaande situatie",IF(_xlfn.IFNA((VLOOKUP(Optimalisatie!AA67,Database_Asfalt_Verwijderset[#All],45,FALSE)*Optimalisatie!J67),0)+_xlfn.IFNA(VLOOKUP(Optimalisatie!AB67,Database_Brandstoffen[#All],45,FALSE)*((Optimalisatie!J67/Optimalisatie!AD67)*Optimalisatie!AC67),0)&gt;0,_xlfn.IFNA((VLOOKUP(Optimalisatie!AA67,Database_Asfalt_Verwijderset[#All],45,FALSE)*Optimalisatie!J67),0)+_xlfn.IFNA(VLOOKUP(Optimalisatie!AB67,Database_Brandstoffen[#All],45,FALSE)*((Optimalisatie!J67/Optimalisatie!AD67)*Optimalisatie!AC67),0),(_xlfn.IFNA(VLOOKUP(Inschrijf_Fossiele_Energie_Totaal[[#This Row],[Product]]&amp;", "&amp;Inschrijf_MKI_Totaal[[#Headers],[C1]],Database_Productkaarten[#All],51,FALSE),0)*Optimalisatie!J67)),0)</f>
        <v>0</v>
      </c>
      <c r="M485" s="91">
        <f>(IF(Optimalisatie!C67="Bestaande Situatie",_xlfn.IFNA(VLOOKUP(Optimalisatie!AF67,Database_Transport[#All],45,FALSE)*(Optimalisatie!R67*Optimalisatie!AE67),Baseline_Backlog!M485),0))</f>
        <v>0</v>
      </c>
      <c r="N485" s="91">
        <f>(IF(Optimalisatie!C67="Bestaande Situatie",_xlfn.IFNA(VLOOKUP(Optimalisatie!AG67,Database_Asfalt_Verwerkingsset[#All],45,FALSE)*(Optimalisatie!J67/VLOOKUP(Optimalisatie!AG67,Database_Asfalt_Verwerkingsset[#All],45,FALSE)),Baseline_Backlog!N485),0))</f>
        <v>0</v>
      </c>
      <c r="O485" s="91">
        <f>(IF(Optimalisatie!C67="Bestaande Situatie",_xlfn.IFNA(VLOOKUP(Inschrijf_Fossiele_Energie_Totaal[[#This Row],[Product]]&amp;", "&amp;Inschrijf_MKI_Totaal[[#Headers],[C4]],Database_Productkaarten[#All],51,FALSE)*Optimalisatie!J67,Baseline_Backlog!O485),0))</f>
        <v>0</v>
      </c>
      <c r="P485" s="91">
        <f>(IF(Optimalisatie!C67="Bestaande Situatie",_xlfn.IFNA(IF(Optimalisatie!E67="Categorie_1_LCA_Producten",VLOOKUP(Inschrijf_Fossiele_Energie_Totaal[[#This Row],[Product]],Categorie_1_Producten[#All],30,FALSE)*(Optimalisatie!J67),VLOOKUP(Inschrijf_Fossiele_Energie_Totaal[[#This Row],[Product]]&amp;", "&amp;Inschrijf_Fossiele_Energie_Totaal[[#Headers],[D1]],Database_Productkaarten[#All],51,FALSE)*Optimalisatie!J67),Baseline_Backlog!P485),0))</f>
        <v>0</v>
      </c>
      <c r="Q485" s="91">
        <f>(IF(Optimalisatie!C67="Bestaande Situatie",_xlfn.IFNA(IF(Optimalisatie!E67="Categorie_1_LCA_Producten",VLOOKUP(Inschrijf_Fossiele_Energie_Totaal[[#This Row],[Product]],Categorie_1_Producten[#All],31,FALSE)*(Optimalisatie!J67),VLOOKUP(Inschrijf_Fossiele_Energie_Totaal[[#This Row],[Product]]&amp;", "&amp;Inschrijf_Fossiele_Energie_Totaal[[#Headers],[D2]],Database_Productkaarten[#All],51,FALSE)*Optimalisatie!J67),Baseline_Backlog!Q485),0))</f>
        <v>0</v>
      </c>
      <c r="R485" s="91">
        <f>(IF(Optimalisatie!C67="Bestaande Situatie",_xlfn.IFNA(IF(Optimalisatie!E67="Categorie_1_LCA_Producten",VLOOKUP(Inschrijf_Fossiele_Energie_Totaal[[#This Row],[Product]],Categorie_1_Producten[#All],37,FALSE)*(Optimalisatie!J67),VLOOKUP(Inschrijf_Fossiele_Energie_Totaal[[#This Row],[Product]]&amp;", "&amp;Inschrijf_Fossiele_Energie_Totaal[[#Headers],[D]],Database_Productkaarten[#All],51,FALSE)*Optimalisatie!J67),Baseline_Backlog!S485),0))</f>
        <v>0</v>
      </c>
      <c r="S485" s="91">
        <f>SUM(Inschrijf_Fossiele_Energie_Totaal[[#This Row],[A1-A3]:[C4]])+Inschrijf_Fossiele_Energie_Totaal[[#This Row],[D]]</f>
        <v>0</v>
      </c>
    </row>
    <row r="486" spans="2:19">
      <c r="B486" s="208">
        <f>Optimalisatie!B68</f>
        <v>0</v>
      </c>
      <c r="C486" s="1">
        <f>Optimalisatie!F68</f>
        <v>0</v>
      </c>
      <c r="D486" s="91">
        <f>(IF(Optimalisatie!C68="Nieuwe Situatie",_xlfn.IFNA(IF(Optimalisatie!E68="Categorie_1_LCA_Producten",VLOOKUP(Inschrijf_Fossiele_Energie_Totaal[[#This Row],[Product]],Categorie_1_Producten[#All],26,FALSE)*(Optimalisatie!J68),VLOOKUP(Inschrijf_Fossiele_Energie_Totaal[[#This Row],[Product]]&amp;", "&amp;Inschrijf_Fossiele_Energie_Totaal[[#Headers],[A1]],Database_Productkaarten[#All],51,FALSE)*Optimalisatie!J68),Baseline_Backlog!D486),0))</f>
        <v>0</v>
      </c>
      <c r="E486" s="91">
        <f>(IF(Optimalisatie!C68="Nieuwe Situatie",_xlfn.IFNA(IF(Optimalisatie!E68="Categorie_1_LCA_Producten",VLOOKUP(Inschrijf_Fossiele_Energie_Totaal[[#This Row],[Product]],Categorie_1_Producten[#All],27,FALSE)*(Optimalisatie!J68),VLOOKUP(Inschrijf_Fossiele_Energie_Totaal[[#This Row],[Product]]&amp;", "&amp;Inschrijf_Fossiele_Energie_Totaal[[#Headers],[A2]],Database_Productkaarten[#All],51,FALSE)*Optimalisatie!J68),Baseline_Backlog!E486),0))</f>
        <v>0</v>
      </c>
      <c r="F486" s="91">
        <f>(IF(Optimalisatie!C68="Nieuwe Situatie",_xlfn.IFNA(IF(Optimalisatie!E68="Categorie_1_LCA_Producten",VLOOKUP(Inschrijf_Fossiele_Energie_Totaal[[#This Row],[Product]],Categorie_1_Producten[#All],28,FALSE)*(Optimalisatie!J68),VLOOKUP(Inschrijf_Fossiele_Energie_Totaal[[#This Row],[Product]]&amp;", "&amp;Inschrijf_Fossiele_Energie_Totaal[[#Headers],[A3]],Database_Productkaarten[#All],51,FALSE)*Optimalisatie!J68),Baseline_Backlog!F486),0))</f>
        <v>0</v>
      </c>
      <c r="G486" s="91">
        <f>(IF(Optimalisatie!C68="Nieuwe Situatie",_xlfn.IFNA(IF(Optimalisatie!E68="Categorie_1_LCA_Producten",VLOOKUP(Inschrijf_Fossiele_Energie_Totaal[[#This Row],[Product]],Categorie_1_Producten[#All],35,FALSE)*(Optimalisatie!J68),VLOOKUP(Inschrijf_Fossiele_Energie_Totaal[[#This Row],[Product]]&amp;", "&amp;Inschrijf_Fossiele_Energie_Totaal[[#Headers],[A1-A3]],Database_Productkaarten[#All],51,FALSE)*Optimalisatie!J68),Baseline_Backlog!G486),0))</f>
        <v>0</v>
      </c>
      <c r="H486" s="91">
        <f>(IF(Optimalisatie!C68="Nieuwe Situatie",_xlfn.IFNA(VLOOKUP(Optimalisatie!V68,Database_Transport[#All],45,FALSE)*(Optimalisatie!R68*Optimalisatie!U68),Baseline_Backlog!H486),0))</f>
        <v>0</v>
      </c>
      <c r="I486" s="91">
        <f>IF(Optimalisatie!C68="Nieuwe situatie",IF(_xlfn.IFNA((VLOOKUP(Optimalisatie!W68,Database_Asfalt_Aanlegset[#All],45,FALSE)*Optimalisatie!J68),0)+_xlfn.IFNA(VLOOKUP(Optimalisatie!X68,Database_Brandstoffen[#All],45,FALSE)*((Optimalisatie!J68/Optimalisatie!Z68)*Optimalisatie!Y68),0)&gt;0,_xlfn.IFNA((VLOOKUP(Optimalisatie!W68,Database_Asfalt_Aanlegset[#All],45,FALSE)*Optimalisatie!J68),0)+_xlfn.IFNA(VLOOKUP(Optimalisatie!X68,Database_Brandstoffen[#All],45,FALSE)*((Optimalisatie!J68/Optimalisatie!Z68)*Optimalisatie!Y68),0),(_xlfn.IFNA(VLOOKUP(Inschrijf_Fossiele_Energie_Totaal[[#This Row],[Product]]&amp;", "&amp;Inschrijf_MKI_Totaal[[#Headers],[A5]],Database_Productkaarten[#All],51,FALSE),0)*Optimalisatie!J68)),0)</f>
        <v>0</v>
      </c>
      <c r="J486" s="91">
        <f>(IF(Optimalisatie!C68="Nieuwe Situatie",_xlfn.IFNA(IF(Optimalisatie!E68="Categorie_1_LCA_Producten",VLOOKUP(Inschrijf_Fossiele_Energie_Totaal[[#This Row],[Product]],Categorie_1_Producten[#All],36,FALSE)*(Optimalisatie!R68),VLOOKUP(Inschrijf_Fossiele_Energie_Totaal[[#This Row],[Product]]&amp;", "&amp;Inschrijf_Fossiele_Energie_Totaal[[#Headers],[B1]],Database_Productkaarten[#All],51,FALSE)*Optimalisatie!J68),Baseline_Backlog!J486),0))</f>
        <v>0</v>
      </c>
      <c r="K486" s="91">
        <f>(IF(Optimalisatie!C68="Nieuwe Situatie",_xlfn.IFNA(SUM(Inschrijf_Fossiele_Energie_Totaal[[#This Row],[A1]:[B1]],Inschrijf_Fossiele_Energie_Totaal[[#This Row],[C1]:[D2]])*Optimalisatie!T68,0),0))</f>
        <v>0</v>
      </c>
      <c r="L486" s="91">
        <f>IF(Optimalisatie!C68="Bestaande situatie",IF(_xlfn.IFNA((VLOOKUP(Optimalisatie!AA68,Database_Asfalt_Verwijderset[#All],45,FALSE)*Optimalisatie!J68),0)+_xlfn.IFNA(VLOOKUP(Optimalisatie!AB68,Database_Brandstoffen[#All],45,FALSE)*((Optimalisatie!J68/Optimalisatie!AD68)*Optimalisatie!AC68),0)&gt;0,_xlfn.IFNA((VLOOKUP(Optimalisatie!AA68,Database_Asfalt_Verwijderset[#All],45,FALSE)*Optimalisatie!J68),0)+_xlfn.IFNA(VLOOKUP(Optimalisatie!AB68,Database_Brandstoffen[#All],45,FALSE)*((Optimalisatie!J68/Optimalisatie!AD68)*Optimalisatie!AC68),0),(_xlfn.IFNA(VLOOKUP(Inschrijf_Fossiele_Energie_Totaal[[#This Row],[Product]]&amp;", "&amp;Inschrijf_MKI_Totaal[[#Headers],[C1]],Database_Productkaarten[#All],51,FALSE),0)*Optimalisatie!J68)),0)</f>
        <v>0</v>
      </c>
      <c r="M486" s="91">
        <f>(IF(Optimalisatie!C68="Bestaande Situatie",_xlfn.IFNA(VLOOKUP(Optimalisatie!AF68,Database_Transport[#All],45,FALSE)*(Optimalisatie!R68*Optimalisatie!AE68),Baseline_Backlog!M486),0))</f>
        <v>0</v>
      </c>
      <c r="N486" s="91">
        <f>(IF(Optimalisatie!C68="Bestaande Situatie",_xlfn.IFNA(VLOOKUP(Optimalisatie!AG68,Database_Asfalt_Verwerkingsset[#All],45,FALSE)*(Optimalisatie!J68/VLOOKUP(Optimalisatie!AG68,Database_Asfalt_Verwerkingsset[#All],45,FALSE)),Baseline_Backlog!N486),0))</f>
        <v>0</v>
      </c>
      <c r="O486" s="91">
        <f>(IF(Optimalisatie!C68="Bestaande Situatie",_xlfn.IFNA(VLOOKUP(Inschrijf_Fossiele_Energie_Totaal[[#This Row],[Product]]&amp;", "&amp;Inschrijf_MKI_Totaal[[#Headers],[C4]],Database_Productkaarten[#All],51,FALSE)*Optimalisatie!J68,Baseline_Backlog!O486),0))</f>
        <v>0</v>
      </c>
      <c r="P486" s="91">
        <f>(IF(Optimalisatie!C68="Bestaande Situatie",_xlfn.IFNA(IF(Optimalisatie!E68="Categorie_1_LCA_Producten",VLOOKUP(Inschrijf_Fossiele_Energie_Totaal[[#This Row],[Product]],Categorie_1_Producten[#All],30,FALSE)*(Optimalisatie!J68),VLOOKUP(Inschrijf_Fossiele_Energie_Totaal[[#This Row],[Product]]&amp;", "&amp;Inschrijf_Fossiele_Energie_Totaal[[#Headers],[D1]],Database_Productkaarten[#All],51,FALSE)*Optimalisatie!J68),Baseline_Backlog!P486),0))</f>
        <v>0</v>
      </c>
      <c r="Q486" s="91">
        <f>(IF(Optimalisatie!C68="Bestaande Situatie",_xlfn.IFNA(IF(Optimalisatie!E68="Categorie_1_LCA_Producten",VLOOKUP(Inschrijf_Fossiele_Energie_Totaal[[#This Row],[Product]],Categorie_1_Producten[#All],31,FALSE)*(Optimalisatie!J68),VLOOKUP(Inschrijf_Fossiele_Energie_Totaal[[#This Row],[Product]]&amp;", "&amp;Inschrijf_Fossiele_Energie_Totaal[[#Headers],[D2]],Database_Productkaarten[#All],51,FALSE)*Optimalisatie!J68),Baseline_Backlog!Q486),0))</f>
        <v>0</v>
      </c>
      <c r="R486" s="91">
        <f>(IF(Optimalisatie!C68="Bestaande Situatie",_xlfn.IFNA(IF(Optimalisatie!E68="Categorie_1_LCA_Producten",VLOOKUP(Inschrijf_Fossiele_Energie_Totaal[[#This Row],[Product]],Categorie_1_Producten[#All],37,FALSE)*(Optimalisatie!J68),VLOOKUP(Inschrijf_Fossiele_Energie_Totaal[[#This Row],[Product]]&amp;", "&amp;Inschrijf_Fossiele_Energie_Totaal[[#Headers],[D]],Database_Productkaarten[#All],51,FALSE)*Optimalisatie!J68),Baseline_Backlog!S486),0))</f>
        <v>0</v>
      </c>
      <c r="S486" s="91">
        <f>SUM(Inschrijf_Fossiele_Energie_Totaal[[#This Row],[A1-A3]:[C4]])+Inschrijf_Fossiele_Energie_Totaal[[#This Row],[D]]</f>
        <v>0</v>
      </c>
    </row>
    <row r="487" spans="2:19">
      <c r="B487" s="208">
        <f>Optimalisatie!B69</f>
        <v>0</v>
      </c>
      <c r="C487" s="1">
        <f>Optimalisatie!F69</f>
        <v>0</v>
      </c>
      <c r="D487" s="91">
        <f>(IF(Optimalisatie!C69="Nieuwe Situatie",_xlfn.IFNA(IF(Optimalisatie!E69="Categorie_1_LCA_Producten",VLOOKUP(Inschrijf_Fossiele_Energie_Totaal[[#This Row],[Product]],Categorie_1_Producten[#All],26,FALSE)*(Optimalisatie!J69),VLOOKUP(Inschrijf_Fossiele_Energie_Totaal[[#This Row],[Product]]&amp;", "&amp;Inschrijf_Fossiele_Energie_Totaal[[#Headers],[A1]],Database_Productkaarten[#All],51,FALSE)*Optimalisatie!J69),Baseline_Backlog!D487),0))</f>
        <v>0</v>
      </c>
      <c r="E487" s="91">
        <f>(IF(Optimalisatie!C69="Nieuwe Situatie",_xlfn.IFNA(IF(Optimalisatie!E69="Categorie_1_LCA_Producten",VLOOKUP(Inschrijf_Fossiele_Energie_Totaal[[#This Row],[Product]],Categorie_1_Producten[#All],27,FALSE)*(Optimalisatie!J69),VLOOKUP(Inschrijf_Fossiele_Energie_Totaal[[#This Row],[Product]]&amp;", "&amp;Inschrijf_Fossiele_Energie_Totaal[[#Headers],[A2]],Database_Productkaarten[#All],51,FALSE)*Optimalisatie!J69),Baseline_Backlog!E487),0))</f>
        <v>0</v>
      </c>
      <c r="F487" s="91">
        <f>(IF(Optimalisatie!C69="Nieuwe Situatie",_xlfn.IFNA(IF(Optimalisatie!E69="Categorie_1_LCA_Producten",VLOOKUP(Inschrijf_Fossiele_Energie_Totaal[[#This Row],[Product]],Categorie_1_Producten[#All],28,FALSE)*(Optimalisatie!J69),VLOOKUP(Inschrijf_Fossiele_Energie_Totaal[[#This Row],[Product]]&amp;", "&amp;Inschrijf_Fossiele_Energie_Totaal[[#Headers],[A3]],Database_Productkaarten[#All],51,FALSE)*Optimalisatie!J69),Baseline_Backlog!F487),0))</f>
        <v>0</v>
      </c>
      <c r="G487" s="91">
        <f>(IF(Optimalisatie!C69="Nieuwe Situatie",_xlfn.IFNA(IF(Optimalisatie!E69="Categorie_1_LCA_Producten",VLOOKUP(Inschrijf_Fossiele_Energie_Totaal[[#This Row],[Product]],Categorie_1_Producten[#All],35,FALSE)*(Optimalisatie!J69),VLOOKUP(Inschrijf_Fossiele_Energie_Totaal[[#This Row],[Product]]&amp;", "&amp;Inschrijf_Fossiele_Energie_Totaal[[#Headers],[A1-A3]],Database_Productkaarten[#All],51,FALSE)*Optimalisatie!J69),Baseline_Backlog!G487),0))</f>
        <v>0</v>
      </c>
      <c r="H487" s="91">
        <f>(IF(Optimalisatie!C69="Nieuwe Situatie",_xlfn.IFNA(VLOOKUP(Optimalisatie!V69,Database_Transport[#All],45,FALSE)*(Optimalisatie!R69*Optimalisatie!U69),Baseline_Backlog!H487),0))</f>
        <v>0</v>
      </c>
      <c r="I487" s="91">
        <f>IF(Optimalisatie!C69="Nieuwe situatie",IF(_xlfn.IFNA((VLOOKUP(Optimalisatie!W69,Database_Asfalt_Aanlegset[#All],45,FALSE)*Optimalisatie!J69),0)+_xlfn.IFNA(VLOOKUP(Optimalisatie!X69,Database_Brandstoffen[#All],45,FALSE)*((Optimalisatie!J69/Optimalisatie!Z69)*Optimalisatie!Y69),0)&gt;0,_xlfn.IFNA((VLOOKUP(Optimalisatie!W69,Database_Asfalt_Aanlegset[#All],45,FALSE)*Optimalisatie!J69),0)+_xlfn.IFNA(VLOOKUP(Optimalisatie!X69,Database_Brandstoffen[#All],45,FALSE)*((Optimalisatie!J69/Optimalisatie!Z69)*Optimalisatie!Y69),0),(_xlfn.IFNA(VLOOKUP(Inschrijf_Fossiele_Energie_Totaal[[#This Row],[Product]]&amp;", "&amp;Inschrijf_MKI_Totaal[[#Headers],[A5]],Database_Productkaarten[#All],51,FALSE),0)*Optimalisatie!J69)),0)</f>
        <v>0</v>
      </c>
      <c r="J487" s="91">
        <f>(IF(Optimalisatie!C69="Nieuwe Situatie",_xlfn.IFNA(IF(Optimalisatie!E69="Categorie_1_LCA_Producten",VLOOKUP(Inschrijf_Fossiele_Energie_Totaal[[#This Row],[Product]],Categorie_1_Producten[#All],36,FALSE)*(Optimalisatie!R69),VLOOKUP(Inschrijf_Fossiele_Energie_Totaal[[#This Row],[Product]]&amp;", "&amp;Inschrijf_Fossiele_Energie_Totaal[[#Headers],[B1]],Database_Productkaarten[#All],51,FALSE)*Optimalisatie!J69),Baseline_Backlog!J487),0))</f>
        <v>0</v>
      </c>
      <c r="K487" s="91">
        <f>(IF(Optimalisatie!C69="Nieuwe Situatie",_xlfn.IFNA(SUM(Inschrijf_Fossiele_Energie_Totaal[[#This Row],[A1]:[B1]],Inschrijf_Fossiele_Energie_Totaal[[#This Row],[C1]:[D2]])*Optimalisatie!T69,0),0))</f>
        <v>0</v>
      </c>
      <c r="L487" s="91">
        <f>IF(Optimalisatie!C69="Bestaande situatie",IF(_xlfn.IFNA((VLOOKUP(Optimalisatie!AA69,Database_Asfalt_Verwijderset[#All],45,FALSE)*Optimalisatie!J69),0)+_xlfn.IFNA(VLOOKUP(Optimalisatie!AB69,Database_Brandstoffen[#All],45,FALSE)*((Optimalisatie!J69/Optimalisatie!AD69)*Optimalisatie!AC69),0)&gt;0,_xlfn.IFNA((VLOOKUP(Optimalisatie!AA69,Database_Asfalt_Verwijderset[#All],45,FALSE)*Optimalisatie!J69),0)+_xlfn.IFNA(VLOOKUP(Optimalisatie!AB69,Database_Brandstoffen[#All],45,FALSE)*((Optimalisatie!J69/Optimalisatie!AD69)*Optimalisatie!AC69),0),(_xlfn.IFNA(VLOOKUP(Inschrijf_Fossiele_Energie_Totaal[[#This Row],[Product]]&amp;", "&amp;Inschrijf_MKI_Totaal[[#Headers],[C1]],Database_Productkaarten[#All],51,FALSE),0)*Optimalisatie!J69)),0)</f>
        <v>0</v>
      </c>
      <c r="M487" s="91">
        <f>(IF(Optimalisatie!C69="Bestaande Situatie",_xlfn.IFNA(VLOOKUP(Optimalisatie!AF69,Database_Transport[#All],45,FALSE)*(Optimalisatie!R69*Optimalisatie!AE69),Baseline_Backlog!M487),0))</f>
        <v>0</v>
      </c>
      <c r="N487" s="91">
        <f>(IF(Optimalisatie!C69="Bestaande Situatie",_xlfn.IFNA(VLOOKUP(Optimalisatie!AG69,Database_Asfalt_Verwerkingsset[#All],45,FALSE)*(Optimalisatie!J69/VLOOKUP(Optimalisatie!AG69,Database_Asfalt_Verwerkingsset[#All],45,FALSE)),Baseline_Backlog!N487),0))</f>
        <v>0</v>
      </c>
      <c r="O487" s="91">
        <f>(IF(Optimalisatie!C69="Bestaande Situatie",_xlfn.IFNA(VLOOKUP(Inschrijf_Fossiele_Energie_Totaal[[#This Row],[Product]]&amp;", "&amp;Inschrijf_MKI_Totaal[[#Headers],[C4]],Database_Productkaarten[#All],51,FALSE)*Optimalisatie!J69,Baseline_Backlog!O487),0))</f>
        <v>0</v>
      </c>
      <c r="P487" s="91">
        <f>(IF(Optimalisatie!C69="Bestaande Situatie",_xlfn.IFNA(IF(Optimalisatie!E69="Categorie_1_LCA_Producten",VLOOKUP(Inschrijf_Fossiele_Energie_Totaal[[#This Row],[Product]],Categorie_1_Producten[#All],30,FALSE)*(Optimalisatie!J69),VLOOKUP(Inschrijf_Fossiele_Energie_Totaal[[#This Row],[Product]]&amp;", "&amp;Inschrijf_Fossiele_Energie_Totaal[[#Headers],[D1]],Database_Productkaarten[#All],51,FALSE)*Optimalisatie!J69),Baseline_Backlog!P487),0))</f>
        <v>0</v>
      </c>
      <c r="Q487" s="91">
        <f>(IF(Optimalisatie!C69="Bestaande Situatie",_xlfn.IFNA(IF(Optimalisatie!E69="Categorie_1_LCA_Producten",VLOOKUP(Inschrijf_Fossiele_Energie_Totaal[[#This Row],[Product]],Categorie_1_Producten[#All],31,FALSE)*(Optimalisatie!J69),VLOOKUP(Inschrijf_Fossiele_Energie_Totaal[[#This Row],[Product]]&amp;", "&amp;Inschrijf_Fossiele_Energie_Totaal[[#Headers],[D2]],Database_Productkaarten[#All],51,FALSE)*Optimalisatie!J69),Baseline_Backlog!Q487),0))</f>
        <v>0</v>
      </c>
      <c r="R487" s="91">
        <f>(IF(Optimalisatie!C69="Bestaande Situatie",_xlfn.IFNA(IF(Optimalisatie!E69="Categorie_1_LCA_Producten",VLOOKUP(Inschrijf_Fossiele_Energie_Totaal[[#This Row],[Product]],Categorie_1_Producten[#All],37,FALSE)*(Optimalisatie!J69),VLOOKUP(Inschrijf_Fossiele_Energie_Totaal[[#This Row],[Product]]&amp;", "&amp;Inschrijf_Fossiele_Energie_Totaal[[#Headers],[D]],Database_Productkaarten[#All],51,FALSE)*Optimalisatie!J69),Baseline_Backlog!S487),0))</f>
        <v>0</v>
      </c>
      <c r="S487" s="91">
        <f>SUM(Inschrijf_Fossiele_Energie_Totaal[[#This Row],[A1-A3]:[C4]])+Inschrijf_Fossiele_Energie_Totaal[[#This Row],[D]]</f>
        <v>0</v>
      </c>
    </row>
    <row r="488" spans="2:19">
      <c r="B488" s="208">
        <f>Optimalisatie!B70</f>
        <v>0</v>
      </c>
      <c r="C488" s="1">
        <f>Optimalisatie!F70</f>
        <v>0</v>
      </c>
      <c r="D488" s="91">
        <f>(IF(Optimalisatie!C70="Nieuwe Situatie",_xlfn.IFNA(IF(Optimalisatie!E70="Categorie_1_LCA_Producten",VLOOKUP(Inschrijf_Fossiele_Energie_Totaal[[#This Row],[Product]],Categorie_1_Producten[#All],26,FALSE)*(Optimalisatie!J70),VLOOKUP(Inschrijf_Fossiele_Energie_Totaal[[#This Row],[Product]]&amp;", "&amp;Inschrijf_Fossiele_Energie_Totaal[[#Headers],[A1]],Database_Productkaarten[#All],51,FALSE)*Optimalisatie!J70),Baseline_Backlog!D488),0))</f>
        <v>0</v>
      </c>
      <c r="E488" s="91">
        <f>(IF(Optimalisatie!C70="Nieuwe Situatie",_xlfn.IFNA(IF(Optimalisatie!E70="Categorie_1_LCA_Producten",VLOOKUP(Inschrijf_Fossiele_Energie_Totaal[[#This Row],[Product]],Categorie_1_Producten[#All],27,FALSE)*(Optimalisatie!J70),VLOOKUP(Inschrijf_Fossiele_Energie_Totaal[[#This Row],[Product]]&amp;", "&amp;Inschrijf_Fossiele_Energie_Totaal[[#Headers],[A2]],Database_Productkaarten[#All],51,FALSE)*Optimalisatie!J70),Baseline_Backlog!E488),0))</f>
        <v>0</v>
      </c>
      <c r="F488" s="91">
        <f>(IF(Optimalisatie!C70="Nieuwe Situatie",_xlfn.IFNA(IF(Optimalisatie!E70="Categorie_1_LCA_Producten",VLOOKUP(Inschrijf_Fossiele_Energie_Totaal[[#This Row],[Product]],Categorie_1_Producten[#All],28,FALSE)*(Optimalisatie!J70),VLOOKUP(Inschrijf_Fossiele_Energie_Totaal[[#This Row],[Product]]&amp;", "&amp;Inschrijf_Fossiele_Energie_Totaal[[#Headers],[A3]],Database_Productkaarten[#All],51,FALSE)*Optimalisatie!J70),Baseline_Backlog!F488),0))</f>
        <v>0</v>
      </c>
      <c r="G488" s="91">
        <f>(IF(Optimalisatie!C70="Nieuwe Situatie",_xlfn.IFNA(IF(Optimalisatie!E70="Categorie_1_LCA_Producten",VLOOKUP(Inschrijf_Fossiele_Energie_Totaal[[#This Row],[Product]],Categorie_1_Producten[#All],35,FALSE)*(Optimalisatie!J70),VLOOKUP(Inschrijf_Fossiele_Energie_Totaal[[#This Row],[Product]]&amp;", "&amp;Inschrijf_Fossiele_Energie_Totaal[[#Headers],[A1-A3]],Database_Productkaarten[#All],51,FALSE)*Optimalisatie!J70),Baseline_Backlog!G488),0))</f>
        <v>0</v>
      </c>
      <c r="H488" s="91">
        <f>(IF(Optimalisatie!C70="Nieuwe Situatie",_xlfn.IFNA(VLOOKUP(Optimalisatie!V70,Database_Transport[#All],45,FALSE)*(Optimalisatie!R70*Optimalisatie!U70),Baseline_Backlog!H488),0))</f>
        <v>0</v>
      </c>
      <c r="I488" s="91">
        <f>IF(Optimalisatie!C70="Nieuwe situatie",IF(_xlfn.IFNA((VLOOKUP(Optimalisatie!W70,Database_Asfalt_Aanlegset[#All],45,FALSE)*Optimalisatie!J70),0)+_xlfn.IFNA(VLOOKUP(Optimalisatie!X70,Database_Brandstoffen[#All],45,FALSE)*((Optimalisatie!J70/Optimalisatie!Z70)*Optimalisatie!Y70),0)&gt;0,_xlfn.IFNA((VLOOKUP(Optimalisatie!W70,Database_Asfalt_Aanlegset[#All],45,FALSE)*Optimalisatie!J70),0)+_xlfn.IFNA(VLOOKUP(Optimalisatie!X70,Database_Brandstoffen[#All],45,FALSE)*((Optimalisatie!J70/Optimalisatie!Z70)*Optimalisatie!Y70),0),(_xlfn.IFNA(VLOOKUP(Inschrijf_Fossiele_Energie_Totaal[[#This Row],[Product]]&amp;", "&amp;Inschrijf_MKI_Totaal[[#Headers],[A5]],Database_Productkaarten[#All],51,FALSE),0)*Optimalisatie!J70)),0)</f>
        <v>0</v>
      </c>
      <c r="J488" s="91">
        <f>(IF(Optimalisatie!C70="Nieuwe Situatie",_xlfn.IFNA(IF(Optimalisatie!E70="Categorie_1_LCA_Producten",VLOOKUP(Inschrijf_Fossiele_Energie_Totaal[[#This Row],[Product]],Categorie_1_Producten[#All],36,FALSE)*(Optimalisatie!R70),VLOOKUP(Inschrijf_Fossiele_Energie_Totaal[[#This Row],[Product]]&amp;", "&amp;Inschrijf_Fossiele_Energie_Totaal[[#Headers],[B1]],Database_Productkaarten[#All],51,FALSE)*Optimalisatie!J70),Baseline_Backlog!J488),0))</f>
        <v>0</v>
      </c>
      <c r="K488" s="91">
        <f>(IF(Optimalisatie!C70="Nieuwe Situatie",_xlfn.IFNA(SUM(Inschrijf_Fossiele_Energie_Totaal[[#This Row],[A1]:[B1]],Inschrijf_Fossiele_Energie_Totaal[[#This Row],[C1]:[D2]])*Optimalisatie!T70,0),0))</f>
        <v>0</v>
      </c>
      <c r="L488" s="91">
        <f>IF(Optimalisatie!C70="Bestaande situatie",IF(_xlfn.IFNA((VLOOKUP(Optimalisatie!AA70,Database_Asfalt_Verwijderset[#All],45,FALSE)*Optimalisatie!J70),0)+_xlfn.IFNA(VLOOKUP(Optimalisatie!AB70,Database_Brandstoffen[#All],45,FALSE)*((Optimalisatie!J70/Optimalisatie!AD70)*Optimalisatie!AC70),0)&gt;0,_xlfn.IFNA((VLOOKUP(Optimalisatie!AA70,Database_Asfalt_Verwijderset[#All],45,FALSE)*Optimalisatie!J70),0)+_xlfn.IFNA(VLOOKUP(Optimalisatie!AB70,Database_Brandstoffen[#All],45,FALSE)*((Optimalisatie!J70/Optimalisatie!AD70)*Optimalisatie!AC70),0),(_xlfn.IFNA(VLOOKUP(Inschrijf_Fossiele_Energie_Totaal[[#This Row],[Product]]&amp;", "&amp;Inschrijf_MKI_Totaal[[#Headers],[C1]],Database_Productkaarten[#All],51,FALSE),0)*Optimalisatie!J70)),0)</f>
        <v>0</v>
      </c>
      <c r="M488" s="91">
        <f>(IF(Optimalisatie!C70="Bestaande Situatie",_xlfn.IFNA(VLOOKUP(Optimalisatie!AF70,Database_Transport[#All],45,FALSE)*(Optimalisatie!R70*Optimalisatie!AE70),Baseline_Backlog!M488),0))</f>
        <v>0</v>
      </c>
      <c r="N488" s="91">
        <f>(IF(Optimalisatie!C70="Bestaande Situatie",_xlfn.IFNA(VLOOKUP(Optimalisatie!AG70,Database_Asfalt_Verwerkingsset[#All],45,FALSE)*(Optimalisatie!J70/VLOOKUP(Optimalisatie!AG70,Database_Asfalt_Verwerkingsset[#All],45,FALSE)),Baseline_Backlog!N488),0))</f>
        <v>0</v>
      </c>
      <c r="O488" s="91">
        <f>(IF(Optimalisatie!C70="Bestaande Situatie",_xlfn.IFNA(VLOOKUP(Inschrijf_Fossiele_Energie_Totaal[[#This Row],[Product]]&amp;", "&amp;Inschrijf_MKI_Totaal[[#Headers],[C4]],Database_Productkaarten[#All],51,FALSE)*Optimalisatie!J70,Baseline_Backlog!O488),0))</f>
        <v>0</v>
      </c>
      <c r="P488" s="91">
        <f>(IF(Optimalisatie!C70="Bestaande Situatie",_xlfn.IFNA(IF(Optimalisatie!E70="Categorie_1_LCA_Producten",VLOOKUP(Inschrijf_Fossiele_Energie_Totaal[[#This Row],[Product]],Categorie_1_Producten[#All],30,FALSE)*(Optimalisatie!J70),VLOOKUP(Inschrijf_Fossiele_Energie_Totaal[[#This Row],[Product]]&amp;", "&amp;Inschrijf_Fossiele_Energie_Totaal[[#Headers],[D1]],Database_Productkaarten[#All],51,FALSE)*Optimalisatie!J70),Baseline_Backlog!P488),0))</f>
        <v>0</v>
      </c>
      <c r="Q488" s="91">
        <f>(IF(Optimalisatie!C70="Bestaande Situatie",_xlfn.IFNA(IF(Optimalisatie!E70="Categorie_1_LCA_Producten",VLOOKUP(Inschrijf_Fossiele_Energie_Totaal[[#This Row],[Product]],Categorie_1_Producten[#All],31,FALSE)*(Optimalisatie!J70),VLOOKUP(Inschrijf_Fossiele_Energie_Totaal[[#This Row],[Product]]&amp;", "&amp;Inschrijf_Fossiele_Energie_Totaal[[#Headers],[D2]],Database_Productkaarten[#All],51,FALSE)*Optimalisatie!J70),Baseline_Backlog!Q488),0))</f>
        <v>0</v>
      </c>
      <c r="R488" s="91">
        <f>(IF(Optimalisatie!C70="Bestaande Situatie",_xlfn.IFNA(IF(Optimalisatie!E70="Categorie_1_LCA_Producten",VLOOKUP(Inschrijf_Fossiele_Energie_Totaal[[#This Row],[Product]],Categorie_1_Producten[#All],37,FALSE)*(Optimalisatie!J70),VLOOKUP(Inschrijf_Fossiele_Energie_Totaal[[#This Row],[Product]]&amp;", "&amp;Inschrijf_Fossiele_Energie_Totaal[[#Headers],[D]],Database_Productkaarten[#All],51,FALSE)*Optimalisatie!J70),Baseline_Backlog!S488),0))</f>
        <v>0</v>
      </c>
      <c r="S488" s="91">
        <f>SUM(Inschrijf_Fossiele_Energie_Totaal[[#This Row],[A1-A3]:[C4]])+Inschrijf_Fossiele_Energie_Totaal[[#This Row],[D]]</f>
        <v>0</v>
      </c>
    </row>
    <row r="489" spans="2:19">
      <c r="B489" s="208">
        <f>Optimalisatie!B71</f>
        <v>0</v>
      </c>
      <c r="C489" s="1">
        <f>Optimalisatie!F71</f>
        <v>0</v>
      </c>
      <c r="D489" s="91">
        <f>(IF(Optimalisatie!C71="Nieuwe Situatie",_xlfn.IFNA(IF(Optimalisatie!E71="Categorie_1_LCA_Producten",VLOOKUP(Inschrijf_Fossiele_Energie_Totaal[[#This Row],[Product]],Categorie_1_Producten[#All],26,FALSE)*(Optimalisatie!J71),VLOOKUP(Inschrijf_Fossiele_Energie_Totaal[[#This Row],[Product]]&amp;", "&amp;Inschrijf_Fossiele_Energie_Totaal[[#Headers],[A1]],Database_Productkaarten[#All],51,FALSE)*Optimalisatie!J71),Baseline_Backlog!D489),0))</f>
        <v>0</v>
      </c>
      <c r="E489" s="91">
        <f>(IF(Optimalisatie!C71="Nieuwe Situatie",_xlfn.IFNA(IF(Optimalisatie!E71="Categorie_1_LCA_Producten",VLOOKUP(Inschrijf_Fossiele_Energie_Totaal[[#This Row],[Product]],Categorie_1_Producten[#All],27,FALSE)*(Optimalisatie!J71),VLOOKUP(Inschrijf_Fossiele_Energie_Totaal[[#This Row],[Product]]&amp;", "&amp;Inschrijf_Fossiele_Energie_Totaal[[#Headers],[A2]],Database_Productkaarten[#All],51,FALSE)*Optimalisatie!J71),Baseline_Backlog!E489),0))</f>
        <v>0</v>
      </c>
      <c r="F489" s="91">
        <f>(IF(Optimalisatie!C71="Nieuwe Situatie",_xlfn.IFNA(IF(Optimalisatie!E71="Categorie_1_LCA_Producten",VLOOKUP(Inschrijf_Fossiele_Energie_Totaal[[#This Row],[Product]],Categorie_1_Producten[#All],28,FALSE)*(Optimalisatie!J71),VLOOKUP(Inschrijf_Fossiele_Energie_Totaal[[#This Row],[Product]]&amp;", "&amp;Inschrijf_Fossiele_Energie_Totaal[[#Headers],[A3]],Database_Productkaarten[#All],51,FALSE)*Optimalisatie!J71),Baseline_Backlog!F489),0))</f>
        <v>0</v>
      </c>
      <c r="G489" s="91">
        <f>(IF(Optimalisatie!C71="Nieuwe Situatie",_xlfn.IFNA(IF(Optimalisatie!E71="Categorie_1_LCA_Producten",VLOOKUP(Inschrijf_Fossiele_Energie_Totaal[[#This Row],[Product]],Categorie_1_Producten[#All],35,FALSE)*(Optimalisatie!J71),VLOOKUP(Inschrijf_Fossiele_Energie_Totaal[[#This Row],[Product]]&amp;", "&amp;Inschrijf_Fossiele_Energie_Totaal[[#Headers],[A1-A3]],Database_Productkaarten[#All],51,FALSE)*Optimalisatie!J71),Baseline_Backlog!G489),0))</f>
        <v>0</v>
      </c>
      <c r="H489" s="91">
        <f>(IF(Optimalisatie!C71="Nieuwe Situatie",_xlfn.IFNA(VLOOKUP(Optimalisatie!V71,Database_Transport[#All],45,FALSE)*(Optimalisatie!R71*Optimalisatie!U71),Baseline_Backlog!H489),0))</f>
        <v>0</v>
      </c>
      <c r="I489" s="91">
        <f>IF(Optimalisatie!C71="Nieuwe situatie",IF(_xlfn.IFNA((VLOOKUP(Optimalisatie!W71,Database_Asfalt_Aanlegset[#All],45,FALSE)*Optimalisatie!J71),0)+_xlfn.IFNA(VLOOKUP(Optimalisatie!X71,Database_Brandstoffen[#All],45,FALSE)*((Optimalisatie!J71/Optimalisatie!Z71)*Optimalisatie!Y71),0)&gt;0,_xlfn.IFNA((VLOOKUP(Optimalisatie!W71,Database_Asfalt_Aanlegset[#All],45,FALSE)*Optimalisatie!J71),0)+_xlfn.IFNA(VLOOKUP(Optimalisatie!X71,Database_Brandstoffen[#All],45,FALSE)*((Optimalisatie!J71/Optimalisatie!Z71)*Optimalisatie!Y71),0),(_xlfn.IFNA(VLOOKUP(Inschrijf_Fossiele_Energie_Totaal[[#This Row],[Product]]&amp;", "&amp;Inschrijf_MKI_Totaal[[#Headers],[A5]],Database_Productkaarten[#All],51,FALSE),0)*Optimalisatie!J71)),0)</f>
        <v>0</v>
      </c>
      <c r="J489" s="91">
        <f>(IF(Optimalisatie!C71="Nieuwe Situatie",_xlfn.IFNA(IF(Optimalisatie!E71="Categorie_1_LCA_Producten",VLOOKUP(Inschrijf_Fossiele_Energie_Totaal[[#This Row],[Product]],Categorie_1_Producten[#All],36,FALSE)*(Optimalisatie!R71),VLOOKUP(Inschrijf_Fossiele_Energie_Totaal[[#This Row],[Product]]&amp;", "&amp;Inschrijf_Fossiele_Energie_Totaal[[#Headers],[B1]],Database_Productkaarten[#All],51,FALSE)*Optimalisatie!J71),Baseline_Backlog!J489),0))</f>
        <v>0</v>
      </c>
      <c r="K489" s="91">
        <f>(IF(Optimalisatie!C71="Nieuwe Situatie",_xlfn.IFNA(SUM(Inschrijf_Fossiele_Energie_Totaal[[#This Row],[A1]:[B1]],Inschrijf_Fossiele_Energie_Totaal[[#This Row],[C1]:[D2]])*Optimalisatie!T71,0),0))</f>
        <v>0</v>
      </c>
      <c r="L489" s="91">
        <f>IF(Optimalisatie!C71="Bestaande situatie",IF(_xlfn.IFNA((VLOOKUP(Optimalisatie!AA71,Database_Asfalt_Verwijderset[#All],45,FALSE)*Optimalisatie!J71),0)+_xlfn.IFNA(VLOOKUP(Optimalisatie!AB71,Database_Brandstoffen[#All],45,FALSE)*((Optimalisatie!J71/Optimalisatie!AD71)*Optimalisatie!AC71),0)&gt;0,_xlfn.IFNA((VLOOKUP(Optimalisatie!AA71,Database_Asfalt_Verwijderset[#All],45,FALSE)*Optimalisatie!J71),0)+_xlfn.IFNA(VLOOKUP(Optimalisatie!AB71,Database_Brandstoffen[#All],45,FALSE)*((Optimalisatie!J71/Optimalisatie!AD71)*Optimalisatie!AC71),0),(_xlfn.IFNA(VLOOKUP(Inschrijf_Fossiele_Energie_Totaal[[#This Row],[Product]]&amp;", "&amp;Inschrijf_MKI_Totaal[[#Headers],[C1]],Database_Productkaarten[#All],51,FALSE),0)*Optimalisatie!J71)),0)</f>
        <v>0</v>
      </c>
      <c r="M489" s="91">
        <f>(IF(Optimalisatie!C71="Bestaande Situatie",_xlfn.IFNA(VLOOKUP(Optimalisatie!AF71,Database_Transport[#All],45,FALSE)*(Optimalisatie!R71*Optimalisatie!AE71),Baseline_Backlog!M489),0))</f>
        <v>0</v>
      </c>
      <c r="N489" s="91">
        <f>(IF(Optimalisatie!C71="Bestaande Situatie",_xlfn.IFNA(VLOOKUP(Optimalisatie!AG71,Database_Asfalt_Verwerkingsset[#All],45,FALSE)*(Optimalisatie!J71/VLOOKUP(Optimalisatie!AG71,Database_Asfalt_Verwerkingsset[#All],45,FALSE)),Baseline_Backlog!N489),0))</f>
        <v>0</v>
      </c>
      <c r="O489" s="91">
        <f>(IF(Optimalisatie!C71="Bestaande Situatie",_xlfn.IFNA(VLOOKUP(Inschrijf_Fossiele_Energie_Totaal[[#This Row],[Product]]&amp;", "&amp;Inschrijf_MKI_Totaal[[#Headers],[C4]],Database_Productkaarten[#All],51,FALSE)*Optimalisatie!J71,Baseline_Backlog!O489),0))</f>
        <v>0</v>
      </c>
      <c r="P489" s="91">
        <f>(IF(Optimalisatie!C71="Bestaande Situatie",_xlfn.IFNA(IF(Optimalisatie!E71="Categorie_1_LCA_Producten",VLOOKUP(Inschrijf_Fossiele_Energie_Totaal[[#This Row],[Product]],Categorie_1_Producten[#All],30,FALSE)*(Optimalisatie!J71),VLOOKUP(Inschrijf_Fossiele_Energie_Totaal[[#This Row],[Product]]&amp;", "&amp;Inschrijf_Fossiele_Energie_Totaal[[#Headers],[D1]],Database_Productkaarten[#All],51,FALSE)*Optimalisatie!J71),Baseline_Backlog!P489),0))</f>
        <v>0</v>
      </c>
      <c r="Q489" s="91">
        <f>(IF(Optimalisatie!C71="Bestaande Situatie",_xlfn.IFNA(IF(Optimalisatie!E71="Categorie_1_LCA_Producten",VLOOKUP(Inschrijf_Fossiele_Energie_Totaal[[#This Row],[Product]],Categorie_1_Producten[#All],31,FALSE)*(Optimalisatie!J71),VLOOKUP(Inschrijf_Fossiele_Energie_Totaal[[#This Row],[Product]]&amp;", "&amp;Inschrijf_Fossiele_Energie_Totaal[[#Headers],[D2]],Database_Productkaarten[#All],51,FALSE)*Optimalisatie!J71),Baseline_Backlog!Q489),0))</f>
        <v>0</v>
      </c>
      <c r="R489" s="91">
        <f>(IF(Optimalisatie!C71="Bestaande Situatie",_xlfn.IFNA(IF(Optimalisatie!E71="Categorie_1_LCA_Producten",VLOOKUP(Inschrijf_Fossiele_Energie_Totaal[[#This Row],[Product]],Categorie_1_Producten[#All],37,FALSE)*(Optimalisatie!J71),VLOOKUP(Inschrijf_Fossiele_Energie_Totaal[[#This Row],[Product]]&amp;", "&amp;Inschrijf_Fossiele_Energie_Totaal[[#Headers],[D]],Database_Productkaarten[#All],51,FALSE)*Optimalisatie!J71),Baseline_Backlog!S489),0))</f>
        <v>0</v>
      </c>
      <c r="S489" s="91">
        <f>SUM(Inschrijf_Fossiele_Energie_Totaal[[#This Row],[A1-A3]:[C4]])+Inschrijf_Fossiele_Energie_Totaal[[#This Row],[D]]</f>
        <v>0</v>
      </c>
    </row>
    <row r="490" spans="2:19">
      <c r="B490" s="208">
        <f>Optimalisatie!B72</f>
        <v>0</v>
      </c>
      <c r="C490" s="1">
        <f>Optimalisatie!F72</f>
        <v>0</v>
      </c>
      <c r="D490" s="91">
        <f>(IF(Optimalisatie!C72="Nieuwe Situatie",_xlfn.IFNA(IF(Optimalisatie!E72="Categorie_1_LCA_Producten",VLOOKUP(Inschrijf_Fossiele_Energie_Totaal[[#This Row],[Product]],Categorie_1_Producten[#All],26,FALSE)*(Optimalisatie!J72),VLOOKUP(Inschrijf_Fossiele_Energie_Totaal[[#This Row],[Product]]&amp;", "&amp;Inschrijf_Fossiele_Energie_Totaal[[#Headers],[A1]],Database_Productkaarten[#All],51,FALSE)*Optimalisatie!J72),Baseline_Backlog!D490),0))</f>
        <v>0</v>
      </c>
      <c r="E490" s="91">
        <f>(IF(Optimalisatie!C72="Nieuwe Situatie",_xlfn.IFNA(IF(Optimalisatie!E72="Categorie_1_LCA_Producten",VLOOKUP(Inschrijf_Fossiele_Energie_Totaal[[#This Row],[Product]],Categorie_1_Producten[#All],27,FALSE)*(Optimalisatie!J72),VLOOKUP(Inschrijf_Fossiele_Energie_Totaal[[#This Row],[Product]]&amp;", "&amp;Inschrijf_Fossiele_Energie_Totaal[[#Headers],[A2]],Database_Productkaarten[#All],51,FALSE)*Optimalisatie!J72),Baseline_Backlog!E490),0))</f>
        <v>0</v>
      </c>
      <c r="F490" s="91">
        <f>(IF(Optimalisatie!C72="Nieuwe Situatie",_xlfn.IFNA(IF(Optimalisatie!E72="Categorie_1_LCA_Producten",VLOOKUP(Inschrijf_Fossiele_Energie_Totaal[[#This Row],[Product]],Categorie_1_Producten[#All],28,FALSE)*(Optimalisatie!J72),VLOOKUP(Inschrijf_Fossiele_Energie_Totaal[[#This Row],[Product]]&amp;", "&amp;Inschrijf_Fossiele_Energie_Totaal[[#Headers],[A3]],Database_Productkaarten[#All],51,FALSE)*Optimalisatie!J72),Baseline_Backlog!F490),0))</f>
        <v>0</v>
      </c>
      <c r="G490" s="91">
        <f>(IF(Optimalisatie!C72="Nieuwe Situatie",_xlfn.IFNA(IF(Optimalisatie!E72="Categorie_1_LCA_Producten",VLOOKUP(Inschrijf_Fossiele_Energie_Totaal[[#This Row],[Product]],Categorie_1_Producten[#All],35,FALSE)*(Optimalisatie!J72),VLOOKUP(Inschrijf_Fossiele_Energie_Totaal[[#This Row],[Product]]&amp;", "&amp;Inschrijf_Fossiele_Energie_Totaal[[#Headers],[A1-A3]],Database_Productkaarten[#All],51,FALSE)*Optimalisatie!J72),Baseline_Backlog!G490),0))</f>
        <v>0</v>
      </c>
      <c r="H490" s="91">
        <f>(IF(Optimalisatie!C72="Nieuwe Situatie",_xlfn.IFNA(VLOOKUP(Optimalisatie!V72,Database_Transport[#All],45,FALSE)*(Optimalisatie!R72*Optimalisatie!U72),Baseline_Backlog!H490),0))</f>
        <v>0</v>
      </c>
      <c r="I490" s="91">
        <f>IF(Optimalisatie!C72="Nieuwe situatie",IF(_xlfn.IFNA((VLOOKUP(Optimalisatie!W72,Database_Asfalt_Aanlegset[#All],45,FALSE)*Optimalisatie!J72),0)+_xlfn.IFNA(VLOOKUP(Optimalisatie!X72,Database_Brandstoffen[#All],45,FALSE)*((Optimalisatie!J72/Optimalisatie!Z72)*Optimalisatie!Y72),0)&gt;0,_xlfn.IFNA((VLOOKUP(Optimalisatie!W72,Database_Asfalt_Aanlegset[#All],45,FALSE)*Optimalisatie!J72),0)+_xlfn.IFNA(VLOOKUP(Optimalisatie!X72,Database_Brandstoffen[#All],45,FALSE)*((Optimalisatie!J72/Optimalisatie!Z72)*Optimalisatie!Y72),0),(_xlfn.IFNA(VLOOKUP(Inschrijf_Fossiele_Energie_Totaal[[#This Row],[Product]]&amp;", "&amp;Inschrijf_MKI_Totaal[[#Headers],[A5]],Database_Productkaarten[#All],51,FALSE),0)*Optimalisatie!J72)),0)</f>
        <v>0</v>
      </c>
      <c r="J490" s="91">
        <f>(IF(Optimalisatie!C72="Nieuwe Situatie",_xlfn.IFNA(IF(Optimalisatie!E72="Categorie_1_LCA_Producten",VLOOKUP(Inschrijf_Fossiele_Energie_Totaal[[#This Row],[Product]],Categorie_1_Producten[#All],36,FALSE)*(Optimalisatie!R72),VLOOKUP(Inschrijf_Fossiele_Energie_Totaal[[#This Row],[Product]]&amp;", "&amp;Inschrijf_Fossiele_Energie_Totaal[[#Headers],[B1]],Database_Productkaarten[#All],51,FALSE)*Optimalisatie!J72),Baseline_Backlog!J490),0))</f>
        <v>0</v>
      </c>
      <c r="K490" s="91">
        <f>(IF(Optimalisatie!C72="Nieuwe Situatie",_xlfn.IFNA(SUM(Inschrijf_Fossiele_Energie_Totaal[[#This Row],[A1]:[B1]],Inschrijf_Fossiele_Energie_Totaal[[#This Row],[C1]:[D2]])*Optimalisatie!T72,0),0))</f>
        <v>0</v>
      </c>
      <c r="L490" s="91">
        <f>IF(Optimalisatie!C72="Bestaande situatie",IF(_xlfn.IFNA((VLOOKUP(Optimalisatie!AA72,Database_Asfalt_Verwijderset[#All],45,FALSE)*Optimalisatie!J72),0)+_xlfn.IFNA(VLOOKUP(Optimalisatie!AB72,Database_Brandstoffen[#All],45,FALSE)*((Optimalisatie!J72/Optimalisatie!AD72)*Optimalisatie!AC72),0)&gt;0,_xlfn.IFNA((VLOOKUP(Optimalisatie!AA72,Database_Asfalt_Verwijderset[#All],45,FALSE)*Optimalisatie!J72),0)+_xlfn.IFNA(VLOOKUP(Optimalisatie!AB72,Database_Brandstoffen[#All],45,FALSE)*((Optimalisatie!J72/Optimalisatie!AD72)*Optimalisatie!AC72),0),(_xlfn.IFNA(VLOOKUP(Inschrijf_Fossiele_Energie_Totaal[[#This Row],[Product]]&amp;", "&amp;Inschrijf_MKI_Totaal[[#Headers],[C1]],Database_Productkaarten[#All],51,FALSE),0)*Optimalisatie!J72)),0)</f>
        <v>0</v>
      </c>
      <c r="M490" s="91">
        <f>(IF(Optimalisatie!C72="Bestaande Situatie",_xlfn.IFNA(VLOOKUP(Optimalisatie!AF72,Database_Transport[#All],45,FALSE)*(Optimalisatie!R72*Optimalisatie!AE72),Baseline_Backlog!M490),0))</f>
        <v>0</v>
      </c>
      <c r="N490" s="91">
        <f>(IF(Optimalisatie!C72="Bestaande Situatie",_xlfn.IFNA(VLOOKUP(Optimalisatie!AG72,Database_Asfalt_Verwerkingsset[#All],45,FALSE)*(Optimalisatie!J72/VLOOKUP(Optimalisatie!AG72,Database_Asfalt_Verwerkingsset[#All],45,FALSE)),Baseline_Backlog!N490),0))</f>
        <v>0</v>
      </c>
      <c r="O490" s="91">
        <f>(IF(Optimalisatie!C72="Bestaande Situatie",_xlfn.IFNA(VLOOKUP(Inschrijf_Fossiele_Energie_Totaal[[#This Row],[Product]]&amp;", "&amp;Inschrijf_MKI_Totaal[[#Headers],[C4]],Database_Productkaarten[#All],51,FALSE)*Optimalisatie!J72,Baseline_Backlog!O490),0))</f>
        <v>0</v>
      </c>
      <c r="P490" s="91">
        <f>(IF(Optimalisatie!C72="Bestaande Situatie",_xlfn.IFNA(IF(Optimalisatie!E72="Categorie_1_LCA_Producten",VLOOKUP(Inschrijf_Fossiele_Energie_Totaal[[#This Row],[Product]],Categorie_1_Producten[#All],30,FALSE)*(Optimalisatie!J72),VLOOKUP(Inschrijf_Fossiele_Energie_Totaal[[#This Row],[Product]]&amp;", "&amp;Inschrijf_Fossiele_Energie_Totaal[[#Headers],[D1]],Database_Productkaarten[#All],51,FALSE)*Optimalisatie!J72),Baseline_Backlog!P490),0))</f>
        <v>0</v>
      </c>
      <c r="Q490" s="91">
        <f>(IF(Optimalisatie!C72="Bestaande Situatie",_xlfn.IFNA(IF(Optimalisatie!E72="Categorie_1_LCA_Producten",VLOOKUP(Inschrijf_Fossiele_Energie_Totaal[[#This Row],[Product]],Categorie_1_Producten[#All],31,FALSE)*(Optimalisatie!J72),VLOOKUP(Inschrijf_Fossiele_Energie_Totaal[[#This Row],[Product]]&amp;", "&amp;Inschrijf_Fossiele_Energie_Totaal[[#Headers],[D2]],Database_Productkaarten[#All],51,FALSE)*Optimalisatie!J72),Baseline_Backlog!Q490),0))</f>
        <v>0</v>
      </c>
      <c r="R490" s="91">
        <f>(IF(Optimalisatie!C72="Bestaande Situatie",_xlfn.IFNA(IF(Optimalisatie!E72="Categorie_1_LCA_Producten",VLOOKUP(Inschrijf_Fossiele_Energie_Totaal[[#This Row],[Product]],Categorie_1_Producten[#All],37,FALSE)*(Optimalisatie!J72),VLOOKUP(Inschrijf_Fossiele_Energie_Totaal[[#This Row],[Product]]&amp;", "&amp;Inschrijf_Fossiele_Energie_Totaal[[#Headers],[D]],Database_Productkaarten[#All],51,FALSE)*Optimalisatie!J72),Baseline_Backlog!S490),0))</f>
        <v>0</v>
      </c>
      <c r="S490" s="91">
        <f>SUM(Inschrijf_Fossiele_Energie_Totaal[[#This Row],[A1-A3]:[C4]])+Inschrijf_Fossiele_Energie_Totaal[[#This Row],[D]]</f>
        <v>0</v>
      </c>
    </row>
    <row r="491" spans="2:19">
      <c r="B491" s="208">
        <f>Optimalisatie!B73</f>
        <v>0</v>
      </c>
      <c r="C491" s="1">
        <f>Optimalisatie!F73</f>
        <v>0</v>
      </c>
      <c r="D491" s="91">
        <f>(IF(Optimalisatie!C73="Nieuwe Situatie",_xlfn.IFNA(IF(Optimalisatie!E73="Categorie_1_LCA_Producten",VLOOKUP(Inschrijf_Fossiele_Energie_Totaal[[#This Row],[Product]],Categorie_1_Producten[#All],26,FALSE)*(Optimalisatie!J73),VLOOKUP(Inschrijf_Fossiele_Energie_Totaal[[#This Row],[Product]]&amp;", "&amp;Inschrijf_Fossiele_Energie_Totaal[[#Headers],[A1]],Database_Productkaarten[#All],51,FALSE)*Optimalisatie!J73),Baseline_Backlog!D491),0))</f>
        <v>0</v>
      </c>
      <c r="E491" s="91">
        <f>(IF(Optimalisatie!C73="Nieuwe Situatie",_xlfn.IFNA(IF(Optimalisatie!E73="Categorie_1_LCA_Producten",VLOOKUP(Inschrijf_Fossiele_Energie_Totaal[[#This Row],[Product]],Categorie_1_Producten[#All],27,FALSE)*(Optimalisatie!J73),VLOOKUP(Inschrijf_Fossiele_Energie_Totaal[[#This Row],[Product]]&amp;", "&amp;Inschrijf_Fossiele_Energie_Totaal[[#Headers],[A2]],Database_Productkaarten[#All],51,FALSE)*Optimalisatie!J73),Baseline_Backlog!E491),0))</f>
        <v>0</v>
      </c>
      <c r="F491" s="91">
        <f>(IF(Optimalisatie!C73="Nieuwe Situatie",_xlfn.IFNA(IF(Optimalisatie!E73="Categorie_1_LCA_Producten",VLOOKUP(Inschrijf_Fossiele_Energie_Totaal[[#This Row],[Product]],Categorie_1_Producten[#All],28,FALSE)*(Optimalisatie!J73),VLOOKUP(Inschrijf_Fossiele_Energie_Totaal[[#This Row],[Product]]&amp;", "&amp;Inschrijf_Fossiele_Energie_Totaal[[#Headers],[A3]],Database_Productkaarten[#All],51,FALSE)*Optimalisatie!J73),Baseline_Backlog!F491),0))</f>
        <v>0</v>
      </c>
      <c r="G491" s="91">
        <f>(IF(Optimalisatie!C73="Nieuwe Situatie",_xlfn.IFNA(IF(Optimalisatie!E73="Categorie_1_LCA_Producten",VLOOKUP(Inschrijf_Fossiele_Energie_Totaal[[#This Row],[Product]],Categorie_1_Producten[#All],35,FALSE)*(Optimalisatie!J73),VLOOKUP(Inschrijf_Fossiele_Energie_Totaal[[#This Row],[Product]]&amp;", "&amp;Inschrijf_Fossiele_Energie_Totaal[[#Headers],[A1-A3]],Database_Productkaarten[#All],51,FALSE)*Optimalisatie!J73),Baseline_Backlog!G491),0))</f>
        <v>0</v>
      </c>
      <c r="H491" s="91">
        <f>(IF(Optimalisatie!C73="Nieuwe Situatie",_xlfn.IFNA(VLOOKUP(Optimalisatie!V73,Database_Transport[#All],45,FALSE)*(Optimalisatie!R73*Optimalisatie!U73),Baseline_Backlog!H491),0))</f>
        <v>0</v>
      </c>
      <c r="I491" s="91">
        <f>IF(Optimalisatie!C73="Nieuwe situatie",IF(_xlfn.IFNA((VLOOKUP(Optimalisatie!W73,Database_Asfalt_Aanlegset[#All],45,FALSE)*Optimalisatie!J73),0)+_xlfn.IFNA(VLOOKUP(Optimalisatie!X73,Database_Brandstoffen[#All],45,FALSE)*((Optimalisatie!J73/Optimalisatie!Z73)*Optimalisatie!Y73),0)&gt;0,_xlfn.IFNA((VLOOKUP(Optimalisatie!W73,Database_Asfalt_Aanlegset[#All],45,FALSE)*Optimalisatie!J73),0)+_xlfn.IFNA(VLOOKUP(Optimalisatie!X73,Database_Brandstoffen[#All],45,FALSE)*((Optimalisatie!J73/Optimalisatie!Z73)*Optimalisatie!Y73),0),(_xlfn.IFNA(VLOOKUP(Inschrijf_Fossiele_Energie_Totaal[[#This Row],[Product]]&amp;", "&amp;Inschrijf_MKI_Totaal[[#Headers],[A5]],Database_Productkaarten[#All],51,FALSE),0)*Optimalisatie!J73)),0)</f>
        <v>0</v>
      </c>
      <c r="J491" s="91">
        <f>(IF(Optimalisatie!C73="Nieuwe Situatie",_xlfn.IFNA(IF(Optimalisatie!E73="Categorie_1_LCA_Producten",VLOOKUP(Inschrijf_Fossiele_Energie_Totaal[[#This Row],[Product]],Categorie_1_Producten[#All],36,FALSE)*(Optimalisatie!R73),VLOOKUP(Inschrijf_Fossiele_Energie_Totaal[[#This Row],[Product]]&amp;", "&amp;Inschrijf_Fossiele_Energie_Totaal[[#Headers],[B1]],Database_Productkaarten[#All],51,FALSE)*Optimalisatie!J73),Baseline_Backlog!J491),0))</f>
        <v>0</v>
      </c>
      <c r="K491" s="91">
        <f>(IF(Optimalisatie!C73="Nieuwe Situatie",_xlfn.IFNA(SUM(Inschrijf_Fossiele_Energie_Totaal[[#This Row],[A1]:[B1]],Inschrijf_Fossiele_Energie_Totaal[[#This Row],[C1]:[D2]])*Optimalisatie!T73,0),0))</f>
        <v>0</v>
      </c>
      <c r="L491" s="91">
        <f>IF(Optimalisatie!C73="Bestaande situatie",IF(_xlfn.IFNA((VLOOKUP(Optimalisatie!AA73,Database_Asfalt_Verwijderset[#All],45,FALSE)*Optimalisatie!J73),0)+_xlfn.IFNA(VLOOKUP(Optimalisatie!AB73,Database_Brandstoffen[#All],45,FALSE)*((Optimalisatie!J73/Optimalisatie!AD73)*Optimalisatie!AC73),0)&gt;0,_xlfn.IFNA((VLOOKUP(Optimalisatie!AA73,Database_Asfalt_Verwijderset[#All],45,FALSE)*Optimalisatie!J73),0)+_xlfn.IFNA(VLOOKUP(Optimalisatie!AB73,Database_Brandstoffen[#All],45,FALSE)*((Optimalisatie!J73/Optimalisatie!AD73)*Optimalisatie!AC73),0),(_xlfn.IFNA(VLOOKUP(Inschrijf_Fossiele_Energie_Totaal[[#This Row],[Product]]&amp;", "&amp;Inschrijf_MKI_Totaal[[#Headers],[C1]],Database_Productkaarten[#All],51,FALSE),0)*Optimalisatie!J73)),0)</f>
        <v>0</v>
      </c>
      <c r="M491" s="91">
        <f>(IF(Optimalisatie!C73="Bestaande Situatie",_xlfn.IFNA(VLOOKUP(Optimalisatie!AF73,Database_Transport[#All],45,FALSE)*(Optimalisatie!R73*Optimalisatie!AE73),Baseline_Backlog!M491),0))</f>
        <v>0</v>
      </c>
      <c r="N491" s="91">
        <f>(IF(Optimalisatie!C73="Bestaande Situatie",_xlfn.IFNA(VLOOKUP(Optimalisatie!AG73,Database_Asfalt_Verwerkingsset[#All],45,FALSE)*(Optimalisatie!J73/VLOOKUP(Optimalisatie!AG73,Database_Asfalt_Verwerkingsset[#All],45,FALSE)),Baseline_Backlog!N491),0))</f>
        <v>0</v>
      </c>
      <c r="O491" s="91">
        <f>(IF(Optimalisatie!C73="Bestaande Situatie",_xlfn.IFNA(VLOOKUP(Inschrijf_Fossiele_Energie_Totaal[[#This Row],[Product]]&amp;", "&amp;Inschrijf_MKI_Totaal[[#Headers],[C4]],Database_Productkaarten[#All],51,FALSE)*Optimalisatie!J73,Baseline_Backlog!O491),0))</f>
        <v>0</v>
      </c>
      <c r="P491" s="91">
        <f>(IF(Optimalisatie!C73="Bestaande Situatie",_xlfn.IFNA(IF(Optimalisatie!E73="Categorie_1_LCA_Producten",VLOOKUP(Inschrijf_Fossiele_Energie_Totaal[[#This Row],[Product]],Categorie_1_Producten[#All],30,FALSE)*(Optimalisatie!J73),VLOOKUP(Inschrijf_Fossiele_Energie_Totaal[[#This Row],[Product]]&amp;", "&amp;Inschrijf_Fossiele_Energie_Totaal[[#Headers],[D1]],Database_Productkaarten[#All],51,FALSE)*Optimalisatie!J73),Baseline_Backlog!P491),0))</f>
        <v>0</v>
      </c>
      <c r="Q491" s="91">
        <f>(IF(Optimalisatie!C73="Bestaande Situatie",_xlfn.IFNA(IF(Optimalisatie!E73="Categorie_1_LCA_Producten",VLOOKUP(Inschrijf_Fossiele_Energie_Totaal[[#This Row],[Product]],Categorie_1_Producten[#All],31,FALSE)*(Optimalisatie!J73),VLOOKUP(Inschrijf_Fossiele_Energie_Totaal[[#This Row],[Product]]&amp;", "&amp;Inschrijf_Fossiele_Energie_Totaal[[#Headers],[D2]],Database_Productkaarten[#All],51,FALSE)*Optimalisatie!J73),Baseline_Backlog!Q491),0))</f>
        <v>0</v>
      </c>
      <c r="R491" s="91">
        <f>(IF(Optimalisatie!C73="Bestaande Situatie",_xlfn.IFNA(IF(Optimalisatie!E73="Categorie_1_LCA_Producten",VLOOKUP(Inschrijf_Fossiele_Energie_Totaal[[#This Row],[Product]],Categorie_1_Producten[#All],37,FALSE)*(Optimalisatie!J73),VLOOKUP(Inschrijf_Fossiele_Energie_Totaal[[#This Row],[Product]]&amp;", "&amp;Inschrijf_Fossiele_Energie_Totaal[[#Headers],[D]],Database_Productkaarten[#All],51,FALSE)*Optimalisatie!J73),Baseline_Backlog!S491),0))</f>
        <v>0</v>
      </c>
      <c r="S491" s="91">
        <f>SUM(Inschrijf_Fossiele_Energie_Totaal[[#This Row],[A1-A3]:[C4]])+Inschrijf_Fossiele_Energie_Totaal[[#This Row],[D]]</f>
        <v>0</v>
      </c>
    </row>
    <row r="492" spans="2:19">
      <c r="B492" s="208">
        <f>Optimalisatie!B74</f>
        <v>0</v>
      </c>
      <c r="C492" s="1">
        <f>Optimalisatie!F74</f>
        <v>0</v>
      </c>
      <c r="D492" s="91">
        <f>(IF(Optimalisatie!C74="Nieuwe Situatie",_xlfn.IFNA(IF(Optimalisatie!E74="Categorie_1_LCA_Producten",VLOOKUP(Inschrijf_Fossiele_Energie_Totaal[[#This Row],[Product]],Categorie_1_Producten[#All],26,FALSE)*(Optimalisatie!J74),VLOOKUP(Inschrijf_Fossiele_Energie_Totaal[[#This Row],[Product]]&amp;", "&amp;Inschrijf_Fossiele_Energie_Totaal[[#Headers],[A1]],Database_Productkaarten[#All],51,FALSE)*Optimalisatie!J74),Baseline_Backlog!D492),0))</f>
        <v>0</v>
      </c>
      <c r="E492" s="91">
        <f>(IF(Optimalisatie!C74="Nieuwe Situatie",_xlfn.IFNA(IF(Optimalisatie!E74="Categorie_1_LCA_Producten",VLOOKUP(Inschrijf_Fossiele_Energie_Totaal[[#This Row],[Product]],Categorie_1_Producten[#All],27,FALSE)*(Optimalisatie!J74),VLOOKUP(Inschrijf_Fossiele_Energie_Totaal[[#This Row],[Product]]&amp;", "&amp;Inschrijf_Fossiele_Energie_Totaal[[#Headers],[A2]],Database_Productkaarten[#All],51,FALSE)*Optimalisatie!J74),Baseline_Backlog!E492),0))</f>
        <v>0</v>
      </c>
      <c r="F492" s="91">
        <f>(IF(Optimalisatie!C74="Nieuwe Situatie",_xlfn.IFNA(IF(Optimalisatie!E74="Categorie_1_LCA_Producten",VLOOKUP(Inschrijf_Fossiele_Energie_Totaal[[#This Row],[Product]],Categorie_1_Producten[#All],28,FALSE)*(Optimalisatie!J74),VLOOKUP(Inschrijf_Fossiele_Energie_Totaal[[#This Row],[Product]]&amp;", "&amp;Inschrijf_Fossiele_Energie_Totaal[[#Headers],[A3]],Database_Productkaarten[#All],51,FALSE)*Optimalisatie!J74),Baseline_Backlog!F492),0))</f>
        <v>0</v>
      </c>
      <c r="G492" s="91">
        <f>(IF(Optimalisatie!C74="Nieuwe Situatie",_xlfn.IFNA(IF(Optimalisatie!E74="Categorie_1_LCA_Producten",VLOOKUP(Inschrijf_Fossiele_Energie_Totaal[[#This Row],[Product]],Categorie_1_Producten[#All],35,FALSE)*(Optimalisatie!J74),VLOOKUP(Inschrijf_Fossiele_Energie_Totaal[[#This Row],[Product]]&amp;", "&amp;Inschrijf_Fossiele_Energie_Totaal[[#Headers],[A1-A3]],Database_Productkaarten[#All],51,FALSE)*Optimalisatie!J74),Baseline_Backlog!G492),0))</f>
        <v>0</v>
      </c>
      <c r="H492" s="91">
        <f>(IF(Optimalisatie!C74="Nieuwe Situatie",_xlfn.IFNA(VLOOKUP(Optimalisatie!V74,Database_Transport[#All],45,FALSE)*(Optimalisatie!R74*Optimalisatie!U74),Baseline_Backlog!H492),0))</f>
        <v>0</v>
      </c>
      <c r="I492" s="91">
        <f>IF(Optimalisatie!C74="Nieuwe situatie",IF(_xlfn.IFNA((VLOOKUP(Optimalisatie!W74,Database_Asfalt_Aanlegset[#All],45,FALSE)*Optimalisatie!J74),0)+_xlfn.IFNA(VLOOKUP(Optimalisatie!X74,Database_Brandstoffen[#All],45,FALSE)*((Optimalisatie!J74/Optimalisatie!Z74)*Optimalisatie!Y74),0)&gt;0,_xlfn.IFNA((VLOOKUP(Optimalisatie!W74,Database_Asfalt_Aanlegset[#All],45,FALSE)*Optimalisatie!J74),0)+_xlfn.IFNA(VLOOKUP(Optimalisatie!X74,Database_Brandstoffen[#All],45,FALSE)*((Optimalisatie!J74/Optimalisatie!Z74)*Optimalisatie!Y74),0),(_xlfn.IFNA(VLOOKUP(Inschrijf_Fossiele_Energie_Totaal[[#This Row],[Product]]&amp;", "&amp;Inschrijf_MKI_Totaal[[#Headers],[A5]],Database_Productkaarten[#All],51,FALSE),0)*Optimalisatie!J74)),0)</f>
        <v>0</v>
      </c>
      <c r="J492" s="91">
        <f>(IF(Optimalisatie!C74="Nieuwe Situatie",_xlfn.IFNA(IF(Optimalisatie!E74="Categorie_1_LCA_Producten",VLOOKUP(Inschrijf_Fossiele_Energie_Totaal[[#This Row],[Product]],Categorie_1_Producten[#All],36,FALSE)*(Optimalisatie!R74),VLOOKUP(Inschrijf_Fossiele_Energie_Totaal[[#This Row],[Product]]&amp;", "&amp;Inschrijf_Fossiele_Energie_Totaal[[#Headers],[B1]],Database_Productkaarten[#All],51,FALSE)*Optimalisatie!J74),Baseline_Backlog!J492),0))</f>
        <v>0</v>
      </c>
      <c r="K492" s="91">
        <f>(IF(Optimalisatie!C74="Nieuwe Situatie",_xlfn.IFNA(SUM(Inschrijf_Fossiele_Energie_Totaal[[#This Row],[A1]:[B1]],Inschrijf_Fossiele_Energie_Totaal[[#This Row],[C1]:[D2]])*Optimalisatie!T74,0),0))</f>
        <v>0</v>
      </c>
      <c r="L492" s="91">
        <f>IF(Optimalisatie!C74="Bestaande situatie",IF(_xlfn.IFNA((VLOOKUP(Optimalisatie!AA74,Database_Asfalt_Verwijderset[#All],45,FALSE)*Optimalisatie!J74),0)+_xlfn.IFNA(VLOOKUP(Optimalisatie!AB74,Database_Brandstoffen[#All],45,FALSE)*((Optimalisatie!J74/Optimalisatie!AD74)*Optimalisatie!AC74),0)&gt;0,_xlfn.IFNA((VLOOKUP(Optimalisatie!AA74,Database_Asfalt_Verwijderset[#All],45,FALSE)*Optimalisatie!J74),0)+_xlfn.IFNA(VLOOKUP(Optimalisatie!AB74,Database_Brandstoffen[#All],45,FALSE)*((Optimalisatie!J74/Optimalisatie!AD74)*Optimalisatie!AC74),0),(_xlfn.IFNA(VLOOKUP(Inschrijf_Fossiele_Energie_Totaal[[#This Row],[Product]]&amp;", "&amp;Inschrijf_MKI_Totaal[[#Headers],[C1]],Database_Productkaarten[#All],51,FALSE),0)*Optimalisatie!J74)),0)</f>
        <v>0</v>
      </c>
      <c r="M492" s="91">
        <f>(IF(Optimalisatie!C74="Bestaande Situatie",_xlfn.IFNA(VLOOKUP(Optimalisatie!AF74,Database_Transport[#All],45,FALSE)*(Optimalisatie!R74*Optimalisatie!AE74),Baseline_Backlog!M492),0))</f>
        <v>0</v>
      </c>
      <c r="N492" s="91">
        <f>(IF(Optimalisatie!C74="Bestaande Situatie",_xlfn.IFNA(VLOOKUP(Optimalisatie!AG74,Database_Asfalt_Verwerkingsset[#All],45,FALSE)*(Optimalisatie!J74/VLOOKUP(Optimalisatie!AG74,Database_Asfalt_Verwerkingsset[#All],45,FALSE)),Baseline_Backlog!N492),0))</f>
        <v>0</v>
      </c>
      <c r="O492" s="91">
        <f>(IF(Optimalisatie!C74="Bestaande Situatie",_xlfn.IFNA(VLOOKUP(Inschrijf_Fossiele_Energie_Totaal[[#This Row],[Product]]&amp;", "&amp;Inschrijf_MKI_Totaal[[#Headers],[C4]],Database_Productkaarten[#All],51,FALSE)*Optimalisatie!J74,Baseline_Backlog!O492),0))</f>
        <v>0</v>
      </c>
      <c r="P492" s="91">
        <f>(IF(Optimalisatie!C74="Bestaande Situatie",_xlfn.IFNA(IF(Optimalisatie!E74="Categorie_1_LCA_Producten",VLOOKUP(Inschrijf_Fossiele_Energie_Totaal[[#This Row],[Product]],Categorie_1_Producten[#All],30,FALSE)*(Optimalisatie!J74),VLOOKUP(Inschrijf_Fossiele_Energie_Totaal[[#This Row],[Product]]&amp;", "&amp;Inschrijf_Fossiele_Energie_Totaal[[#Headers],[D1]],Database_Productkaarten[#All],51,FALSE)*Optimalisatie!J74),Baseline_Backlog!P492),0))</f>
        <v>0</v>
      </c>
      <c r="Q492" s="91">
        <f>(IF(Optimalisatie!C74="Bestaande Situatie",_xlfn.IFNA(IF(Optimalisatie!E74="Categorie_1_LCA_Producten",VLOOKUP(Inschrijf_Fossiele_Energie_Totaal[[#This Row],[Product]],Categorie_1_Producten[#All],31,FALSE)*(Optimalisatie!J74),VLOOKUP(Inschrijf_Fossiele_Energie_Totaal[[#This Row],[Product]]&amp;", "&amp;Inschrijf_Fossiele_Energie_Totaal[[#Headers],[D2]],Database_Productkaarten[#All],51,FALSE)*Optimalisatie!J74),Baseline_Backlog!Q492),0))</f>
        <v>0</v>
      </c>
      <c r="R492" s="91">
        <f>(IF(Optimalisatie!C74="Bestaande Situatie",_xlfn.IFNA(IF(Optimalisatie!E74="Categorie_1_LCA_Producten",VLOOKUP(Inschrijf_Fossiele_Energie_Totaal[[#This Row],[Product]],Categorie_1_Producten[#All],37,FALSE)*(Optimalisatie!J74),VLOOKUP(Inschrijf_Fossiele_Energie_Totaal[[#This Row],[Product]]&amp;", "&amp;Inschrijf_Fossiele_Energie_Totaal[[#Headers],[D]],Database_Productkaarten[#All],51,FALSE)*Optimalisatie!J74),Baseline_Backlog!S492),0))</f>
        <v>0</v>
      </c>
      <c r="S492" s="91">
        <f>SUM(Inschrijf_Fossiele_Energie_Totaal[[#This Row],[A1-A3]:[C4]])+Inschrijf_Fossiele_Energie_Totaal[[#This Row],[D]]</f>
        <v>0</v>
      </c>
    </row>
    <row r="493" spans="2:19">
      <c r="B493" s="208">
        <f>Optimalisatie!B75</f>
        <v>0</v>
      </c>
      <c r="C493" s="1">
        <f>Optimalisatie!F75</f>
        <v>0</v>
      </c>
      <c r="D493" s="91">
        <f>(IF(Optimalisatie!C75="Nieuwe Situatie",_xlfn.IFNA(IF(Optimalisatie!E75="Categorie_1_LCA_Producten",VLOOKUP(Inschrijf_Fossiele_Energie_Totaal[[#This Row],[Product]],Categorie_1_Producten[#All],26,FALSE)*(Optimalisatie!J75),VLOOKUP(Inschrijf_Fossiele_Energie_Totaal[[#This Row],[Product]]&amp;", "&amp;Inschrijf_Fossiele_Energie_Totaal[[#Headers],[A1]],Database_Productkaarten[#All],51,FALSE)*Optimalisatie!J75),Baseline_Backlog!D493),0))</f>
        <v>0</v>
      </c>
      <c r="E493" s="91">
        <f>(IF(Optimalisatie!C75="Nieuwe Situatie",_xlfn.IFNA(IF(Optimalisatie!E75="Categorie_1_LCA_Producten",VLOOKUP(Inschrijf_Fossiele_Energie_Totaal[[#This Row],[Product]],Categorie_1_Producten[#All],27,FALSE)*(Optimalisatie!J75),VLOOKUP(Inschrijf_Fossiele_Energie_Totaal[[#This Row],[Product]]&amp;", "&amp;Inschrijf_Fossiele_Energie_Totaal[[#Headers],[A2]],Database_Productkaarten[#All],51,FALSE)*Optimalisatie!J75),Baseline_Backlog!E493),0))</f>
        <v>0</v>
      </c>
      <c r="F493" s="91">
        <f>(IF(Optimalisatie!C75="Nieuwe Situatie",_xlfn.IFNA(IF(Optimalisatie!E75="Categorie_1_LCA_Producten",VLOOKUP(Inschrijf_Fossiele_Energie_Totaal[[#This Row],[Product]],Categorie_1_Producten[#All],28,FALSE)*(Optimalisatie!J75),VLOOKUP(Inschrijf_Fossiele_Energie_Totaal[[#This Row],[Product]]&amp;", "&amp;Inschrijf_Fossiele_Energie_Totaal[[#Headers],[A3]],Database_Productkaarten[#All],51,FALSE)*Optimalisatie!J75),Baseline_Backlog!F493),0))</f>
        <v>0</v>
      </c>
      <c r="G493" s="91">
        <f>(IF(Optimalisatie!C75="Nieuwe Situatie",_xlfn.IFNA(IF(Optimalisatie!E75="Categorie_1_LCA_Producten",VLOOKUP(Inschrijf_Fossiele_Energie_Totaal[[#This Row],[Product]],Categorie_1_Producten[#All],35,FALSE)*(Optimalisatie!J75),VLOOKUP(Inschrijf_Fossiele_Energie_Totaal[[#This Row],[Product]]&amp;", "&amp;Inschrijf_Fossiele_Energie_Totaal[[#Headers],[A1-A3]],Database_Productkaarten[#All],51,FALSE)*Optimalisatie!J75),Baseline_Backlog!G493),0))</f>
        <v>0</v>
      </c>
      <c r="H493" s="91">
        <f>(IF(Optimalisatie!C75="Nieuwe Situatie",_xlfn.IFNA(VLOOKUP(Optimalisatie!V75,Database_Transport[#All],45,FALSE)*(Optimalisatie!R75*Optimalisatie!U75),Baseline_Backlog!H493),0))</f>
        <v>0</v>
      </c>
      <c r="I493" s="91">
        <f>IF(Optimalisatie!C75="Nieuwe situatie",IF(_xlfn.IFNA((VLOOKUP(Optimalisatie!W75,Database_Asfalt_Aanlegset[#All],45,FALSE)*Optimalisatie!J75),0)+_xlfn.IFNA(VLOOKUP(Optimalisatie!X75,Database_Brandstoffen[#All],45,FALSE)*((Optimalisatie!J75/Optimalisatie!Z75)*Optimalisatie!Y75),0)&gt;0,_xlfn.IFNA((VLOOKUP(Optimalisatie!W75,Database_Asfalt_Aanlegset[#All],45,FALSE)*Optimalisatie!J75),0)+_xlfn.IFNA(VLOOKUP(Optimalisatie!X75,Database_Brandstoffen[#All],45,FALSE)*((Optimalisatie!J75/Optimalisatie!Z75)*Optimalisatie!Y75),0),(_xlfn.IFNA(VLOOKUP(Inschrijf_Fossiele_Energie_Totaal[[#This Row],[Product]]&amp;", "&amp;Inschrijf_MKI_Totaal[[#Headers],[A5]],Database_Productkaarten[#All],51,FALSE),0)*Optimalisatie!J75)),0)</f>
        <v>0</v>
      </c>
      <c r="J493" s="91">
        <f>(IF(Optimalisatie!C75="Nieuwe Situatie",_xlfn.IFNA(IF(Optimalisatie!E75="Categorie_1_LCA_Producten",VLOOKUP(Inschrijf_Fossiele_Energie_Totaal[[#This Row],[Product]],Categorie_1_Producten[#All],36,FALSE)*(Optimalisatie!R75),VLOOKUP(Inschrijf_Fossiele_Energie_Totaal[[#This Row],[Product]]&amp;", "&amp;Inschrijf_Fossiele_Energie_Totaal[[#Headers],[B1]],Database_Productkaarten[#All],51,FALSE)*Optimalisatie!J75),Baseline_Backlog!J493),0))</f>
        <v>0</v>
      </c>
      <c r="K493" s="91">
        <f>(IF(Optimalisatie!C75="Nieuwe Situatie",_xlfn.IFNA(SUM(Inschrijf_Fossiele_Energie_Totaal[[#This Row],[A1]:[B1]],Inschrijf_Fossiele_Energie_Totaal[[#This Row],[C1]:[D2]])*Optimalisatie!T75,0),0))</f>
        <v>0</v>
      </c>
      <c r="L493" s="91">
        <f>IF(Optimalisatie!C75="Bestaande situatie",IF(_xlfn.IFNA((VLOOKUP(Optimalisatie!AA75,Database_Asfalt_Verwijderset[#All],45,FALSE)*Optimalisatie!J75),0)+_xlfn.IFNA(VLOOKUP(Optimalisatie!AB75,Database_Brandstoffen[#All],45,FALSE)*((Optimalisatie!J75/Optimalisatie!AD75)*Optimalisatie!AC75),0)&gt;0,_xlfn.IFNA((VLOOKUP(Optimalisatie!AA75,Database_Asfalt_Verwijderset[#All],45,FALSE)*Optimalisatie!J75),0)+_xlfn.IFNA(VLOOKUP(Optimalisatie!AB75,Database_Brandstoffen[#All],45,FALSE)*((Optimalisatie!J75/Optimalisatie!AD75)*Optimalisatie!AC75),0),(_xlfn.IFNA(VLOOKUP(Inschrijf_Fossiele_Energie_Totaal[[#This Row],[Product]]&amp;", "&amp;Inschrijf_MKI_Totaal[[#Headers],[C1]],Database_Productkaarten[#All],51,FALSE),0)*Optimalisatie!J75)),0)</f>
        <v>0</v>
      </c>
      <c r="M493" s="91">
        <f>(IF(Optimalisatie!C75="Bestaande Situatie",_xlfn.IFNA(VLOOKUP(Optimalisatie!AF75,Database_Transport[#All],45,FALSE)*(Optimalisatie!R75*Optimalisatie!AE75),Baseline_Backlog!M493),0))</f>
        <v>0</v>
      </c>
      <c r="N493" s="91">
        <f>(IF(Optimalisatie!C75="Bestaande Situatie",_xlfn.IFNA(VLOOKUP(Optimalisatie!AG75,Database_Asfalt_Verwerkingsset[#All],45,FALSE)*(Optimalisatie!J75/VLOOKUP(Optimalisatie!AG75,Database_Asfalt_Verwerkingsset[#All],45,FALSE)),Baseline_Backlog!N493),0))</f>
        <v>0</v>
      </c>
      <c r="O493" s="91">
        <f>(IF(Optimalisatie!C75="Bestaande Situatie",_xlfn.IFNA(VLOOKUP(Inschrijf_Fossiele_Energie_Totaal[[#This Row],[Product]]&amp;", "&amp;Inschrijf_MKI_Totaal[[#Headers],[C4]],Database_Productkaarten[#All],51,FALSE)*Optimalisatie!J75,Baseline_Backlog!O493),0))</f>
        <v>0</v>
      </c>
      <c r="P493" s="91">
        <f>(IF(Optimalisatie!C75="Bestaande Situatie",_xlfn.IFNA(IF(Optimalisatie!E75="Categorie_1_LCA_Producten",VLOOKUP(Inschrijf_Fossiele_Energie_Totaal[[#This Row],[Product]],Categorie_1_Producten[#All],30,FALSE)*(Optimalisatie!J75),VLOOKUP(Inschrijf_Fossiele_Energie_Totaal[[#This Row],[Product]]&amp;", "&amp;Inschrijf_Fossiele_Energie_Totaal[[#Headers],[D1]],Database_Productkaarten[#All],51,FALSE)*Optimalisatie!J75),Baseline_Backlog!P493),0))</f>
        <v>0</v>
      </c>
      <c r="Q493" s="91">
        <f>(IF(Optimalisatie!C75="Bestaande Situatie",_xlfn.IFNA(IF(Optimalisatie!E75="Categorie_1_LCA_Producten",VLOOKUP(Inschrijf_Fossiele_Energie_Totaal[[#This Row],[Product]],Categorie_1_Producten[#All],31,FALSE)*(Optimalisatie!J75),VLOOKUP(Inschrijf_Fossiele_Energie_Totaal[[#This Row],[Product]]&amp;", "&amp;Inschrijf_Fossiele_Energie_Totaal[[#Headers],[D2]],Database_Productkaarten[#All],51,FALSE)*Optimalisatie!J75),Baseline_Backlog!Q493),0))</f>
        <v>0</v>
      </c>
      <c r="R493" s="91">
        <f>(IF(Optimalisatie!C75="Bestaande Situatie",_xlfn.IFNA(IF(Optimalisatie!E75="Categorie_1_LCA_Producten",VLOOKUP(Inschrijf_Fossiele_Energie_Totaal[[#This Row],[Product]],Categorie_1_Producten[#All],37,FALSE)*(Optimalisatie!J75),VLOOKUP(Inschrijf_Fossiele_Energie_Totaal[[#This Row],[Product]]&amp;", "&amp;Inschrijf_Fossiele_Energie_Totaal[[#Headers],[D]],Database_Productkaarten[#All],51,FALSE)*Optimalisatie!J75),Baseline_Backlog!S493),0))</f>
        <v>0</v>
      </c>
      <c r="S493" s="91">
        <f>SUM(Inschrijf_Fossiele_Energie_Totaal[[#This Row],[A1-A3]:[C4]])+Inschrijf_Fossiele_Energie_Totaal[[#This Row],[D]]</f>
        <v>0</v>
      </c>
    </row>
    <row r="494" spans="2:19">
      <c r="B494" s="208">
        <f>Optimalisatie!B76</f>
        <v>0</v>
      </c>
      <c r="C494" s="1">
        <f>Optimalisatie!F76</f>
        <v>0</v>
      </c>
      <c r="D494" s="91">
        <f>(IF(Optimalisatie!C76="Nieuwe Situatie",_xlfn.IFNA(IF(Optimalisatie!E76="Categorie_1_LCA_Producten",VLOOKUP(Inschrijf_Fossiele_Energie_Totaal[[#This Row],[Product]],Categorie_1_Producten[#All],26,FALSE)*(Optimalisatie!J76),VLOOKUP(Inschrijf_Fossiele_Energie_Totaal[[#This Row],[Product]]&amp;", "&amp;Inschrijf_Fossiele_Energie_Totaal[[#Headers],[A1]],Database_Productkaarten[#All],51,FALSE)*Optimalisatie!J76),Baseline_Backlog!D494),0))</f>
        <v>0</v>
      </c>
      <c r="E494" s="91">
        <f>(IF(Optimalisatie!C76="Nieuwe Situatie",_xlfn.IFNA(IF(Optimalisatie!E76="Categorie_1_LCA_Producten",VLOOKUP(Inschrijf_Fossiele_Energie_Totaal[[#This Row],[Product]],Categorie_1_Producten[#All],27,FALSE)*(Optimalisatie!J76),VLOOKUP(Inschrijf_Fossiele_Energie_Totaal[[#This Row],[Product]]&amp;", "&amp;Inschrijf_Fossiele_Energie_Totaal[[#Headers],[A2]],Database_Productkaarten[#All],51,FALSE)*Optimalisatie!J76),Baseline_Backlog!E494),0))</f>
        <v>0</v>
      </c>
      <c r="F494" s="91">
        <f>(IF(Optimalisatie!C76="Nieuwe Situatie",_xlfn.IFNA(IF(Optimalisatie!E76="Categorie_1_LCA_Producten",VLOOKUP(Inschrijf_Fossiele_Energie_Totaal[[#This Row],[Product]],Categorie_1_Producten[#All],28,FALSE)*(Optimalisatie!J76),VLOOKUP(Inschrijf_Fossiele_Energie_Totaal[[#This Row],[Product]]&amp;", "&amp;Inschrijf_Fossiele_Energie_Totaal[[#Headers],[A3]],Database_Productkaarten[#All],51,FALSE)*Optimalisatie!J76),Baseline_Backlog!F494),0))</f>
        <v>0</v>
      </c>
      <c r="G494" s="91">
        <f>(IF(Optimalisatie!C76="Nieuwe Situatie",_xlfn.IFNA(IF(Optimalisatie!E76="Categorie_1_LCA_Producten",VLOOKUP(Inschrijf_Fossiele_Energie_Totaal[[#This Row],[Product]],Categorie_1_Producten[#All],35,FALSE)*(Optimalisatie!J76),VLOOKUP(Inschrijf_Fossiele_Energie_Totaal[[#This Row],[Product]]&amp;", "&amp;Inschrijf_Fossiele_Energie_Totaal[[#Headers],[A1-A3]],Database_Productkaarten[#All],51,FALSE)*Optimalisatie!J76),Baseline_Backlog!G494),0))</f>
        <v>0</v>
      </c>
      <c r="H494" s="91">
        <f>(IF(Optimalisatie!C76="Nieuwe Situatie",_xlfn.IFNA(VLOOKUP(Optimalisatie!V76,Database_Transport[#All],45,FALSE)*(Optimalisatie!R76*Optimalisatie!U76),Baseline_Backlog!H494),0))</f>
        <v>0</v>
      </c>
      <c r="I494" s="91">
        <f>IF(Optimalisatie!C76="Nieuwe situatie",IF(_xlfn.IFNA((VLOOKUP(Optimalisatie!W76,Database_Asfalt_Aanlegset[#All],45,FALSE)*Optimalisatie!J76),0)+_xlfn.IFNA(VLOOKUP(Optimalisatie!X76,Database_Brandstoffen[#All],45,FALSE)*((Optimalisatie!J76/Optimalisatie!Z76)*Optimalisatie!Y76),0)&gt;0,_xlfn.IFNA((VLOOKUP(Optimalisatie!W76,Database_Asfalt_Aanlegset[#All],45,FALSE)*Optimalisatie!J76),0)+_xlfn.IFNA(VLOOKUP(Optimalisatie!X76,Database_Brandstoffen[#All],45,FALSE)*((Optimalisatie!J76/Optimalisatie!Z76)*Optimalisatie!Y76),0),(_xlfn.IFNA(VLOOKUP(Inschrijf_Fossiele_Energie_Totaal[[#This Row],[Product]]&amp;", "&amp;Inschrijf_MKI_Totaal[[#Headers],[A5]],Database_Productkaarten[#All],51,FALSE),0)*Optimalisatie!J76)),0)</f>
        <v>0</v>
      </c>
      <c r="J494" s="91">
        <f>(IF(Optimalisatie!C76="Nieuwe Situatie",_xlfn.IFNA(IF(Optimalisatie!E76="Categorie_1_LCA_Producten",VLOOKUP(Inschrijf_Fossiele_Energie_Totaal[[#This Row],[Product]],Categorie_1_Producten[#All],36,FALSE)*(Optimalisatie!R76),VLOOKUP(Inschrijf_Fossiele_Energie_Totaal[[#This Row],[Product]]&amp;", "&amp;Inschrijf_Fossiele_Energie_Totaal[[#Headers],[B1]],Database_Productkaarten[#All],51,FALSE)*Optimalisatie!J76),Baseline_Backlog!J494),0))</f>
        <v>0</v>
      </c>
      <c r="K494" s="91">
        <f>(IF(Optimalisatie!C76="Nieuwe Situatie",_xlfn.IFNA(SUM(Inschrijf_Fossiele_Energie_Totaal[[#This Row],[A1]:[B1]],Inschrijf_Fossiele_Energie_Totaal[[#This Row],[C1]:[D2]])*Optimalisatie!T76,0),0))</f>
        <v>0</v>
      </c>
      <c r="L494" s="91">
        <f>IF(Optimalisatie!C76="Bestaande situatie",IF(_xlfn.IFNA((VLOOKUP(Optimalisatie!AA76,Database_Asfalt_Verwijderset[#All],45,FALSE)*Optimalisatie!J76),0)+_xlfn.IFNA(VLOOKUP(Optimalisatie!AB76,Database_Brandstoffen[#All],45,FALSE)*((Optimalisatie!J76/Optimalisatie!AD76)*Optimalisatie!AC76),0)&gt;0,_xlfn.IFNA((VLOOKUP(Optimalisatie!AA76,Database_Asfalt_Verwijderset[#All],45,FALSE)*Optimalisatie!J76),0)+_xlfn.IFNA(VLOOKUP(Optimalisatie!AB76,Database_Brandstoffen[#All],45,FALSE)*((Optimalisatie!J76/Optimalisatie!AD76)*Optimalisatie!AC76),0),(_xlfn.IFNA(VLOOKUP(Inschrijf_Fossiele_Energie_Totaal[[#This Row],[Product]]&amp;", "&amp;Inschrijf_MKI_Totaal[[#Headers],[C1]],Database_Productkaarten[#All],51,FALSE),0)*Optimalisatie!J76)),0)</f>
        <v>0</v>
      </c>
      <c r="M494" s="91">
        <f>(IF(Optimalisatie!C76="Bestaande Situatie",_xlfn.IFNA(VLOOKUP(Optimalisatie!AF76,Database_Transport[#All],45,FALSE)*(Optimalisatie!R76*Optimalisatie!AE76),Baseline_Backlog!M494),0))</f>
        <v>0</v>
      </c>
      <c r="N494" s="91">
        <f>(IF(Optimalisatie!C76="Bestaande Situatie",_xlfn.IFNA(VLOOKUP(Optimalisatie!AG76,Database_Asfalt_Verwerkingsset[#All],45,FALSE)*(Optimalisatie!J76/VLOOKUP(Optimalisatie!AG76,Database_Asfalt_Verwerkingsset[#All],45,FALSE)),Baseline_Backlog!N494),0))</f>
        <v>0</v>
      </c>
      <c r="O494" s="91">
        <f>(IF(Optimalisatie!C76="Bestaande Situatie",_xlfn.IFNA(VLOOKUP(Inschrijf_Fossiele_Energie_Totaal[[#This Row],[Product]]&amp;", "&amp;Inschrijf_MKI_Totaal[[#Headers],[C4]],Database_Productkaarten[#All],51,FALSE)*Optimalisatie!J76,Baseline_Backlog!O494),0))</f>
        <v>0</v>
      </c>
      <c r="P494" s="91">
        <f>(IF(Optimalisatie!C76="Bestaande Situatie",_xlfn.IFNA(IF(Optimalisatie!E76="Categorie_1_LCA_Producten",VLOOKUP(Inschrijf_Fossiele_Energie_Totaal[[#This Row],[Product]],Categorie_1_Producten[#All],30,FALSE)*(Optimalisatie!J76),VLOOKUP(Inschrijf_Fossiele_Energie_Totaal[[#This Row],[Product]]&amp;", "&amp;Inschrijf_Fossiele_Energie_Totaal[[#Headers],[D1]],Database_Productkaarten[#All],51,FALSE)*Optimalisatie!J76),Baseline_Backlog!P494),0))</f>
        <v>0</v>
      </c>
      <c r="Q494" s="91">
        <f>(IF(Optimalisatie!C76="Bestaande Situatie",_xlfn.IFNA(IF(Optimalisatie!E76="Categorie_1_LCA_Producten",VLOOKUP(Inschrijf_Fossiele_Energie_Totaal[[#This Row],[Product]],Categorie_1_Producten[#All],31,FALSE)*(Optimalisatie!J76),VLOOKUP(Inschrijf_Fossiele_Energie_Totaal[[#This Row],[Product]]&amp;", "&amp;Inschrijf_Fossiele_Energie_Totaal[[#Headers],[D2]],Database_Productkaarten[#All],51,FALSE)*Optimalisatie!J76),Baseline_Backlog!Q494),0))</f>
        <v>0</v>
      </c>
      <c r="R494" s="91">
        <f>(IF(Optimalisatie!C76="Bestaande Situatie",_xlfn.IFNA(IF(Optimalisatie!E76="Categorie_1_LCA_Producten",VLOOKUP(Inschrijf_Fossiele_Energie_Totaal[[#This Row],[Product]],Categorie_1_Producten[#All],37,FALSE)*(Optimalisatie!J76),VLOOKUP(Inschrijf_Fossiele_Energie_Totaal[[#This Row],[Product]]&amp;", "&amp;Inschrijf_Fossiele_Energie_Totaal[[#Headers],[D]],Database_Productkaarten[#All],51,FALSE)*Optimalisatie!J76),Baseline_Backlog!S494),0))</f>
        <v>0</v>
      </c>
      <c r="S494" s="91">
        <f>SUM(Inschrijf_Fossiele_Energie_Totaal[[#This Row],[A1-A3]:[C4]])+Inschrijf_Fossiele_Energie_Totaal[[#This Row],[D]]</f>
        <v>0</v>
      </c>
    </row>
    <row r="495" spans="2:19">
      <c r="B495" s="208">
        <f>Optimalisatie!B77</f>
        <v>0</v>
      </c>
      <c r="C495" s="1">
        <f>Optimalisatie!F77</f>
        <v>0</v>
      </c>
      <c r="D495" s="91">
        <f>(IF(Optimalisatie!C77="Nieuwe Situatie",_xlfn.IFNA(IF(Optimalisatie!E77="Categorie_1_LCA_Producten",VLOOKUP(Inschrijf_Fossiele_Energie_Totaal[[#This Row],[Product]],Categorie_1_Producten[#All],26,FALSE)*(Optimalisatie!J77),VLOOKUP(Inschrijf_Fossiele_Energie_Totaal[[#This Row],[Product]]&amp;", "&amp;Inschrijf_Fossiele_Energie_Totaal[[#Headers],[A1]],Database_Productkaarten[#All],51,FALSE)*Optimalisatie!J77),Baseline_Backlog!D495),0))</f>
        <v>0</v>
      </c>
      <c r="E495" s="91">
        <f>(IF(Optimalisatie!C77="Nieuwe Situatie",_xlfn.IFNA(IF(Optimalisatie!E77="Categorie_1_LCA_Producten",VLOOKUP(Inschrijf_Fossiele_Energie_Totaal[[#This Row],[Product]],Categorie_1_Producten[#All],27,FALSE)*(Optimalisatie!J77),VLOOKUP(Inschrijf_Fossiele_Energie_Totaal[[#This Row],[Product]]&amp;", "&amp;Inschrijf_Fossiele_Energie_Totaal[[#Headers],[A2]],Database_Productkaarten[#All],51,FALSE)*Optimalisatie!J77),Baseline_Backlog!E495),0))</f>
        <v>0</v>
      </c>
      <c r="F495" s="91">
        <f>(IF(Optimalisatie!C77="Nieuwe Situatie",_xlfn.IFNA(IF(Optimalisatie!E77="Categorie_1_LCA_Producten",VLOOKUP(Inschrijf_Fossiele_Energie_Totaal[[#This Row],[Product]],Categorie_1_Producten[#All],28,FALSE)*(Optimalisatie!J77),VLOOKUP(Inschrijf_Fossiele_Energie_Totaal[[#This Row],[Product]]&amp;", "&amp;Inschrijf_Fossiele_Energie_Totaal[[#Headers],[A3]],Database_Productkaarten[#All],51,FALSE)*Optimalisatie!J77),Baseline_Backlog!F495),0))</f>
        <v>0</v>
      </c>
      <c r="G495" s="91">
        <f>(IF(Optimalisatie!C77="Nieuwe Situatie",_xlfn.IFNA(IF(Optimalisatie!E77="Categorie_1_LCA_Producten",VLOOKUP(Inschrijf_Fossiele_Energie_Totaal[[#This Row],[Product]],Categorie_1_Producten[#All],35,FALSE)*(Optimalisatie!J77),VLOOKUP(Inschrijf_Fossiele_Energie_Totaal[[#This Row],[Product]]&amp;", "&amp;Inschrijf_Fossiele_Energie_Totaal[[#Headers],[A1-A3]],Database_Productkaarten[#All],51,FALSE)*Optimalisatie!J77),Baseline_Backlog!G495),0))</f>
        <v>0</v>
      </c>
      <c r="H495" s="91">
        <f>(IF(Optimalisatie!C77="Nieuwe Situatie",_xlfn.IFNA(VLOOKUP(Optimalisatie!V77,Database_Transport[#All],45,FALSE)*(Optimalisatie!R77*Optimalisatie!U77),Baseline_Backlog!H495),0))</f>
        <v>0</v>
      </c>
      <c r="I495" s="91">
        <f>IF(Optimalisatie!C77="Nieuwe situatie",IF(_xlfn.IFNA((VLOOKUP(Optimalisatie!W77,Database_Asfalt_Aanlegset[#All],45,FALSE)*Optimalisatie!J77),0)+_xlfn.IFNA(VLOOKUP(Optimalisatie!X77,Database_Brandstoffen[#All],45,FALSE)*((Optimalisatie!J77/Optimalisatie!Z77)*Optimalisatie!Y77),0)&gt;0,_xlfn.IFNA((VLOOKUP(Optimalisatie!W77,Database_Asfalt_Aanlegset[#All],45,FALSE)*Optimalisatie!J77),0)+_xlfn.IFNA(VLOOKUP(Optimalisatie!X77,Database_Brandstoffen[#All],45,FALSE)*((Optimalisatie!J77/Optimalisatie!Z77)*Optimalisatie!Y77),0),(_xlfn.IFNA(VLOOKUP(Inschrijf_Fossiele_Energie_Totaal[[#This Row],[Product]]&amp;", "&amp;Inschrijf_MKI_Totaal[[#Headers],[A5]],Database_Productkaarten[#All],51,FALSE),0)*Optimalisatie!J77)),0)</f>
        <v>0</v>
      </c>
      <c r="J495" s="91">
        <f>(IF(Optimalisatie!C77="Nieuwe Situatie",_xlfn.IFNA(IF(Optimalisatie!E77="Categorie_1_LCA_Producten",VLOOKUP(Inschrijf_Fossiele_Energie_Totaal[[#This Row],[Product]],Categorie_1_Producten[#All],36,FALSE)*(Optimalisatie!R77),VLOOKUP(Inschrijf_Fossiele_Energie_Totaal[[#This Row],[Product]]&amp;", "&amp;Inschrijf_Fossiele_Energie_Totaal[[#Headers],[B1]],Database_Productkaarten[#All],51,FALSE)*Optimalisatie!J77),Baseline_Backlog!J495),0))</f>
        <v>0</v>
      </c>
      <c r="K495" s="91">
        <f>(IF(Optimalisatie!C77="Nieuwe Situatie",_xlfn.IFNA(SUM(Inschrijf_Fossiele_Energie_Totaal[[#This Row],[A1]:[B1]],Inschrijf_Fossiele_Energie_Totaal[[#This Row],[C1]:[D2]])*Optimalisatie!T77,0),0))</f>
        <v>0</v>
      </c>
      <c r="L495" s="91">
        <f>IF(Optimalisatie!C77="Bestaande situatie",IF(_xlfn.IFNA((VLOOKUP(Optimalisatie!AA77,Database_Asfalt_Verwijderset[#All],45,FALSE)*Optimalisatie!J77),0)+_xlfn.IFNA(VLOOKUP(Optimalisatie!AB77,Database_Brandstoffen[#All],45,FALSE)*((Optimalisatie!J77/Optimalisatie!AD77)*Optimalisatie!AC77),0)&gt;0,_xlfn.IFNA((VLOOKUP(Optimalisatie!AA77,Database_Asfalt_Verwijderset[#All],45,FALSE)*Optimalisatie!J77),0)+_xlfn.IFNA(VLOOKUP(Optimalisatie!AB77,Database_Brandstoffen[#All],45,FALSE)*((Optimalisatie!J77/Optimalisatie!AD77)*Optimalisatie!AC77),0),(_xlfn.IFNA(VLOOKUP(Inschrijf_Fossiele_Energie_Totaal[[#This Row],[Product]]&amp;", "&amp;Inschrijf_MKI_Totaal[[#Headers],[C1]],Database_Productkaarten[#All],51,FALSE),0)*Optimalisatie!J77)),0)</f>
        <v>0</v>
      </c>
      <c r="M495" s="91">
        <f>(IF(Optimalisatie!C77="Bestaande Situatie",_xlfn.IFNA(VLOOKUP(Optimalisatie!AF77,Database_Transport[#All],45,FALSE)*(Optimalisatie!R77*Optimalisatie!AE77),Baseline_Backlog!M495),0))</f>
        <v>0</v>
      </c>
      <c r="N495" s="91">
        <f>(IF(Optimalisatie!C77="Bestaande Situatie",_xlfn.IFNA(VLOOKUP(Optimalisatie!AG77,Database_Asfalt_Verwerkingsset[#All],45,FALSE)*(Optimalisatie!J77/VLOOKUP(Optimalisatie!AG77,Database_Asfalt_Verwerkingsset[#All],45,FALSE)),Baseline_Backlog!N495),0))</f>
        <v>0</v>
      </c>
      <c r="O495" s="91">
        <f>(IF(Optimalisatie!C77="Bestaande Situatie",_xlfn.IFNA(VLOOKUP(Inschrijf_Fossiele_Energie_Totaal[[#This Row],[Product]]&amp;", "&amp;Inschrijf_MKI_Totaal[[#Headers],[C4]],Database_Productkaarten[#All],51,FALSE)*Optimalisatie!J77,Baseline_Backlog!O495),0))</f>
        <v>0</v>
      </c>
      <c r="P495" s="91">
        <f>(IF(Optimalisatie!C77="Bestaande Situatie",_xlfn.IFNA(IF(Optimalisatie!E77="Categorie_1_LCA_Producten",VLOOKUP(Inschrijf_Fossiele_Energie_Totaal[[#This Row],[Product]],Categorie_1_Producten[#All],30,FALSE)*(Optimalisatie!J77),VLOOKUP(Inschrijf_Fossiele_Energie_Totaal[[#This Row],[Product]]&amp;", "&amp;Inschrijf_Fossiele_Energie_Totaal[[#Headers],[D1]],Database_Productkaarten[#All],51,FALSE)*Optimalisatie!J77),Baseline_Backlog!P495),0))</f>
        <v>0</v>
      </c>
      <c r="Q495" s="91">
        <f>(IF(Optimalisatie!C77="Bestaande Situatie",_xlfn.IFNA(IF(Optimalisatie!E77="Categorie_1_LCA_Producten",VLOOKUP(Inschrijf_Fossiele_Energie_Totaal[[#This Row],[Product]],Categorie_1_Producten[#All],31,FALSE)*(Optimalisatie!J77),VLOOKUP(Inschrijf_Fossiele_Energie_Totaal[[#This Row],[Product]]&amp;", "&amp;Inschrijf_Fossiele_Energie_Totaal[[#Headers],[D2]],Database_Productkaarten[#All],51,FALSE)*Optimalisatie!J77),Baseline_Backlog!Q495),0))</f>
        <v>0</v>
      </c>
      <c r="R495" s="91">
        <f>(IF(Optimalisatie!C77="Bestaande Situatie",_xlfn.IFNA(IF(Optimalisatie!E77="Categorie_1_LCA_Producten",VLOOKUP(Inschrijf_Fossiele_Energie_Totaal[[#This Row],[Product]],Categorie_1_Producten[#All],37,FALSE)*(Optimalisatie!J77),VLOOKUP(Inschrijf_Fossiele_Energie_Totaal[[#This Row],[Product]]&amp;", "&amp;Inschrijf_Fossiele_Energie_Totaal[[#Headers],[D]],Database_Productkaarten[#All],51,FALSE)*Optimalisatie!J77),Baseline_Backlog!S495),0))</f>
        <v>0</v>
      </c>
      <c r="S495" s="91">
        <f>SUM(Inschrijf_Fossiele_Energie_Totaal[[#This Row],[A1-A3]:[C4]])+Inschrijf_Fossiele_Energie_Totaal[[#This Row],[D]]</f>
        <v>0</v>
      </c>
    </row>
    <row r="496" spans="2:19">
      <c r="B496" s="208">
        <f>Optimalisatie!B78</f>
        <v>0</v>
      </c>
      <c r="C496" s="1">
        <f>Optimalisatie!F78</f>
        <v>0</v>
      </c>
      <c r="D496" s="91">
        <f>(IF(Optimalisatie!C78="Nieuwe Situatie",_xlfn.IFNA(IF(Optimalisatie!E78="Categorie_1_LCA_Producten",VLOOKUP(Inschrijf_Fossiele_Energie_Totaal[[#This Row],[Product]],Categorie_1_Producten[#All],26,FALSE)*(Optimalisatie!J78),VLOOKUP(Inschrijf_Fossiele_Energie_Totaal[[#This Row],[Product]]&amp;", "&amp;Inschrijf_Fossiele_Energie_Totaal[[#Headers],[A1]],Database_Productkaarten[#All],51,FALSE)*Optimalisatie!J78),Baseline_Backlog!D496),0))</f>
        <v>0</v>
      </c>
      <c r="E496" s="91">
        <f>(IF(Optimalisatie!C78="Nieuwe Situatie",_xlfn.IFNA(IF(Optimalisatie!E78="Categorie_1_LCA_Producten",VLOOKUP(Inschrijf_Fossiele_Energie_Totaal[[#This Row],[Product]],Categorie_1_Producten[#All],27,FALSE)*(Optimalisatie!J78),VLOOKUP(Inschrijf_Fossiele_Energie_Totaal[[#This Row],[Product]]&amp;", "&amp;Inschrijf_Fossiele_Energie_Totaal[[#Headers],[A2]],Database_Productkaarten[#All],51,FALSE)*Optimalisatie!J78),Baseline_Backlog!E496),0))</f>
        <v>0</v>
      </c>
      <c r="F496" s="91">
        <f>(IF(Optimalisatie!C78="Nieuwe Situatie",_xlfn.IFNA(IF(Optimalisatie!E78="Categorie_1_LCA_Producten",VLOOKUP(Inschrijf_Fossiele_Energie_Totaal[[#This Row],[Product]],Categorie_1_Producten[#All],28,FALSE)*(Optimalisatie!J78),VLOOKUP(Inschrijf_Fossiele_Energie_Totaal[[#This Row],[Product]]&amp;", "&amp;Inschrijf_Fossiele_Energie_Totaal[[#Headers],[A3]],Database_Productkaarten[#All],51,FALSE)*Optimalisatie!J78),Baseline_Backlog!F496),0))</f>
        <v>0</v>
      </c>
      <c r="G496" s="91">
        <f>(IF(Optimalisatie!C78="Nieuwe Situatie",_xlfn.IFNA(IF(Optimalisatie!E78="Categorie_1_LCA_Producten",VLOOKUP(Inschrijf_Fossiele_Energie_Totaal[[#This Row],[Product]],Categorie_1_Producten[#All],35,FALSE)*(Optimalisatie!J78),VLOOKUP(Inschrijf_Fossiele_Energie_Totaal[[#This Row],[Product]]&amp;", "&amp;Inschrijf_Fossiele_Energie_Totaal[[#Headers],[A1-A3]],Database_Productkaarten[#All],51,FALSE)*Optimalisatie!J78),Baseline_Backlog!G496),0))</f>
        <v>0</v>
      </c>
      <c r="H496" s="91">
        <f>(IF(Optimalisatie!C78="Nieuwe Situatie",_xlfn.IFNA(VLOOKUP(Optimalisatie!V78,Database_Transport[#All],45,FALSE)*(Optimalisatie!R78*Optimalisatie!U78),Baseline_Backlog!H496),0))</f>
        <v>0</v>
      </c>
      <c r="I496" s="91">
        <f>IF(Optimalisatie!C78="Nieuwe situatie",IF(_xlfn.IFNA((VLOOKUP(Optimalisatie!W78,Database_Asfalt_Aanlegset[#All],45,FALSE)*Optimalisatie!J78),0)+_xlfn.IFNA(VLOOKUP(Optimalisatie!X78,Database_Brandstoffen[#All],45,FALSE)*((Optimalisatie!J78/Optimalisatie!Z78)*Optimalisatie!Y78),0)&gt;0,_xlfn.IFNA((VLOOKUP(Optimalisatie!W78,Database_Asfalt_Aanlegset[#All],45,FALSE)*Optimalisatie!J78),0)+_xlfn.IFNA(VLOOKUP(Optimalisatie!X78,Database_Brandstoffen[#All],45,FALSE)*((Optimalisatie!J78/Optimalisatie!Z78)*Optimalisatie!Y78),0),(_xlfn.IFNA(VLOOKUP(Inschrijf_Fossiele_Energie_Totaal[[#This Row],[Product]]&amp;", "&amp;Inschrijf_MKI_Totaal[[#Headers],[A5]],Database_Productkaarten[#All],51,FALSE),0)*Optimalisatie!J78)),0)</f>
        <v>0</v>
      </c>
      <c r="J496" s="91">
        <f>(IF(Optimalisatie!C78="Nieuwe Situatie",_xlfn.IFNA(IF(Optimalisatie!E78="Categorie_1_LCA_Producten",VLOOKUP(Inschrijf_Fossiele_Energie_Totaal[[#This Row],[Product]],Categorie_1_Producten[#All],36,FALSE)*(Optimalisatie!R78),VLOOKUP(Inschrijf_Fossiele_Energie_Totaal[[#This Row],[Product]]&amp;", "&amp;Inschrijf_Fossiele_Energie_Totaal[[#Headers],[B1]],Database_Productkaarten[#All],51,FALSE)*Optimalisatie!J78),Baseline_Backlog!J496),0))</f>
        <v>0</v>
      </c>
      <c r="K496" s="91">
        <f>(IF(Optimalisatie!C78="Nieuwe Situatie",_xlfn.IFNA(SUM(Inschrijf_Fossiele_Energie_Totaal[[#This Row],[A1]:[B1]],Inschrijf_Fossiele_Energie_Totaal[[#This Row],[C1]:[D2]])*Optimalisatie!T78,0),0))</f>
        <v>0</v>
      </c>
      <c r="L496" s="91">
        <f>IF(Optimalisatie!C78="Bestaande situatie",IF(_xlfn.IFNA((VLOOKUP(Optimalisatie!AA78,Database_Asfalt_Verwijderset[#All],45,FALSE)*Optimalisatie!J78),0)+_xlfn.IFNA(VLOOKUP(Optimalisatie!AB78,Database_Brandstoffen[#All],45,FALSE)*((Optimalisatie!J78/Optimalisatie!AD78)*Optimalisatie!AC78),0)&gt;0,_xlfn.IFNA((VLOOKUP(Optimalisatie!AA78,Database_Asfalt_Verwijderset[#All],45,FALSE)*Optimalisatie!J78),0)+_xlfn.IFNA(VLOOKUP(Optimalisatie!AB78,Database_Brandstoffen[#All],45,FALSE)*((Optimalisatie!J78/Optimalisatie!AD78)*Optimalisatie!AC78),0),(_xlfn.IFNA(VLOOKUP(Inschrijf_Fossiele_Energie_Totaal[[#This Row],[Product]]&amp;", "&amp;Inschrijf_MKI_Totaal[[#Headers],[C1]],Database_Productkaarten[#All],51,FALSE),0)*Optimalisatie!J78)),0)</f>
        <v>0</v>
      </c>
      <c r="M496" s="91">
        <f>(IF(Optimalisatie!C78="Bestaande Situatie",_xlfn.IFNA(VLOOKUP(Optimalisatie!AF78,Database_Transport[#All],45,FALSE)*(Optimalisatie!R78*Optimalisatie!AE78),Baseline_Backlog!M496),0))</f>
        <v>0</v>
      </c>
      <c r="N496" s="91">
        <f>(IF(Optimalisatie!C78="Bestaande Situatie",_xlfn.IFNA(VLOOKUP(Optimalisatie!AG78,Database_Asfalt_Verwerkingsset[#All],45,FALSE)*(Optimalisatie!J78/VLOOKUP(Optimalisatie!AG78,Database_Asfalt_Verwerkingsset[#All],45,FALSE)),Baseline_Backlog!N496),0))</f>
        <v>0</v>
      </c>
      <c r="O496" s="91">
        <f>(IF(Optimalisatie!C78="Bestaande Situatie",_xlfn.IFNA(VLOOKUP(Inschrijf_Fossiele_Energie_Totaal[[#This Row],[Product]]&amp;", "&amp;Inschrijf_MKI_Totaal[[#Headers],[C4]],Database_Productkaarten[#All],51,FALSE)*Optimalisatie!J78,Baseline_Backlog!O496),0))</f>
        <v>0</v>
      </c>
      <c r="P496" s="91">
        <f>(IF(Optimalisatie!C78="Bestaande Situatie",_xlfn.IFNA(IF(Optimalisatie!E78="Categorie_1_LCA_Producten",VLOOKUP(Inschrijf_Fossiele_Energie_Totaal[[#This Row],[Product]],Categorie_1_Producten[#All],30,FALSE)*(Optimalisatie!J78),VLOOKUP(Inschrijf_Fossiele_Energie_Totaal[[#This Row],[Product]]&amp;", "&amp;Inschrijf_Fossiele_Energie_Totaal[[#Headers],[D1]],Database_Productkaarten[#All],51,FALSE)*Optimalisatie!J78),Baseline_Backlog!P496),0))</f>
        <v>0</v>
      </c>
      <c r="Q496" s="91">
        <f>(IF(Optimalisatie!C78="Bestaande Situatie",_xlfn.IFNA(IF(Optimalisatie!E78="Categorie_1_LCA_Producten",VLOOKUP(Inschrijf_Fossiele_Energie_Totaal[[#This Row],[Product]],Categorie_1_Producten[#All],31,FALSE)*(Optimalisatie!J78),VLOOKUP(Inschrijf_Fossiele_Energie_Totaal[[#This Row],[Product]]&amp;", "&amp;Inschrijf_Fossiele_Energie_Totaal[[#Headers],[D2]],Database_Productkaarten[#All],51,FALSE)*Optimalisatie!J78),Baseline_Backlog!Q496),0))</f>
        <v>0</v>
      </c>
      <c r="R496" s="91">
        <f>(IF(Optimalisatie!C78="Bestaande Situatie",_xlfn.IFNA(IF(Optimalisatie!E78="Categorie_1_LCA_Producten",VLOOKUP(Inschrijf_Fossiele_Energie_Totaal[[#This Row],[Product]],Categorie_1_Producten[#All],37,FALSE)*(Optimalisatie!J78),VLOOKUP(Inschrijf_Fossiele_Energie_Totaal[[#This Row],[Product]]&amp;", "&amp;Inschrijf_Fossiele_Energie_Totaal[[#Headers],[D]],Database_Productkaarten[#All],51,FALSE)*Optimalisatie!J78),Baseline_Backlog!S496),0))</f>
        <v>0</v>
      </c>
      <c r="S496" s="91">
        <f>SUM(Inschrijf_Fossiele_Energie_Totaal[[#This Row],[A1-A3]:[C4]])+Inschrijf_Fossiele_Energie_Totaal[[#This Row],[D]]</f>
        <v>0</v>
      </c>
    </row>
    <row r="497" spans="2:19">
      <c r="B497" s="208">
        <f>Optimalisatie!B79</f>
        <v>0</v>
      </c>
      <c r="C497" s="1">
        <f>Optimalisatie!F79</f>
        <v>0</v>
      </c>
      <c r="D497" s="91">
        <f>(IF(Optimalisatie!C79="Nieuwe Situatie",_xlfn.IFNA(IF(Optimalisatie!E79="Categorie_1_LCA_Producten",VLOOKUP(Inschrijf_Fossiele_Energie_Totaal[[#This Row],[Product]],Categorie_1_Producten[#All],26,FALSE)*(Optimalisatie!J79),VLOOKUP(Inschrijf_Fossiele_Energie_Totaal[[#This Row],[Product]]&amp;", "&amp;Inschrijf_Fossiele_Energie_Totaal[[#Headers],[A1]],Database_Productkaarten[#All],51,FALSE)*Optimalisatie!J79),Baseline_Backlog!D497),0))</f>
        <v>0</v>
      </c>
      <c r="E497" s="91">
        <f>(IF(Optimalisatie!C79="Nieuwe Situatie",_xlfn.IFNA(IF(Optimalisatie!E79="Categorie_1_LCA_Producten",VLOOKUP(Inschrijf_Fossiele_Energie_Totaal[[#This Row],[Product]],Categorie_1_Producten[#All],27,FALSE)*(Optimalisatie!J79),VLOOKUP(Inschrijf_Fossiele_Energie_Totaal[[#This Row],[Product]]&amp;", "&amp;Inschrijf_Fossiele_Energie_Totaal[[#Headers],[A2]],Database_Productkaarten[#All],51,FALSE)*Optimalisatie!J79),Baseline_Backlog!E497),0))</f>
        <v>0</v>
      </c>
      <c r="F497" s="91">
        <f>(IF(Optimalisatie!C79="Nieuwe Situatie",_xlfn.IFNA(IF(Optimalisatie!E79="Categorie_1_LCA_Producten",VLOOKUP(Inschrijf_Fossiele_Energie_Totaal[[#This Row],[Product]],Categorie_1_Producten[#All],28,FALSE)*(Optimalisatie!J79),VLOOKUP(Inschrijf_Fossiele_Energie_Totaal[[#This Row],[Product]]&amp;", "&amp;Inschrijf_Fossiele_Energie_Totaal[[#Headers],[A3]],Database_Productkaarten[#All],51,FALSE)*Optimalisatie!J79),Baseline_Backlog!F497),0))</f>
        <v>0</v>
      </c>
      <c r="G497" s="91">
        <f>(IF(Optimalisatie!C79="Nieuwe Situatie",_xlfn.IFNA(IF(Optimalisatie!E79="Categorie_1_LCA_Producten",VLOOKUP(Inschrijf_Fossiele_Energie_Totaal[[#This Row],[Product]],Categorie_1_Producten[#All],35,FALSE)*(Optimalisatie!J79),VLOOKUP(Inschrijf_Fossiele_Energie_Totaal[[#This Row],[Product]]&amp;", "&amp;Inschrijf_Fossiele_Energie_Totaal[[#Headers],[A1-A3]],Database_Productkaarten[#All],51,FALSE)*Optimalisatie!J79),Baseline_Backlog!G497),0))</f>
        <v>0</v>
      </c>
      <c r="H497" s="91">
        <f>(IF(Optimalisatie!C79="Nieuwe Situatie",_xlfn.IFNA(VLOOKUP(Optimalisatie!V79,Database_Transport[#All],45,FALSE)*(Optimalisatie!R79*Optimalisatie!U79),Baseline_Backlog!H497),0))</f>
        <v>0</v>
      </c>
      <c r="I497" s="91">
        <f>IF(Optimalisatie!C79="Nieuwe situatie",IF(_xlfn.IFNA((VLOOKUP(Optimalisatie!W79,Database_Asfalt_Aanlegset[#All],45,FALSE)*Optimalisatie!J79),0)+_xlfn.IFNA(VLOOKUP(Optimalisatie!X79,Database_Brandstoffen[#All],45,FALSE)*((Optimalisatie!J79/Optimalisatie!Z79)*Optimalisatie!Y79),0)&gt;0,_xlfn.IFNA((VLOOKUP(Optimalisatie!W79,Database_Asfalt_Aanlegset[#All],45,FALSE)*Optimalisatie!J79),0)+_xlfn.IFNA(VLOOKUP(Optimalisatie!X79,Database_Brandstoffen[#All],45,FALSE)*((Optimalisatie!J79/Optimalisatie!Z79)*Optimalisatie!Y79),0),(_xlfn.IFNA(VLOOKUP(Inschrijf_Fossiele_Energie_Totaal[[#This Row],[Product]]&amp;", "&amp;Inschrijf_MKI_Totaal[[#Headers],[A5]],Database_Productkaarten[#All],51,FALSE),0)*Optimalisatie!J79)),0)</f>
        <v>0</v>
      </c>
      <c r="J497" s="91">
        <f>(IF(Optimalisatie!C79="Nieuwe Situatie",_xlfn.IFNA(IF(Optimalisatie!E79="Categorie_1_LCA_Producten",VLOOKUP(Inschrijf_Fossiele_Energie_Totaal[[#This Row],[Product]],Categorie_1_Producten[#All],36,FALSE)*(Optimalisatie!R79),VLOOKUP(Inschrijf_Fossiele_Energie_Totaal[[#This Row],[Product]]&amp;", "&amp;Inschrijf_Fossiele_Energie_Totaal[[#Headers],[B1]],Database_Productkaarten[#All],51,FALSE)*Optimalisatie!J79),Baseline_Backlog!J497),0))</f>
        <v>0</v>
      </c>
      <c r="K497" s="91">
        <f>(IF(Optimalisatie!C79="Nieuwe Situatie",_xlfn.IFNA(SUM(Inschrijf_Fossiele_Energie_Totaal[[#This Row],[A1]:[B1]],Inschrijf_Fossiele_Energie_Totaal[[#This Row],[C1]:[D2]])*Optimalisatie!T79,0),0))</f>
        <v>0</v>
      </c>
      <c r="L497" s="91">
        <f>IF(Optimalisatie!C79="Bestaande situatie",IF(_xlfn.IFNA((VLOOKUP(Optimalisatie!AA79,Database_Asfalt_Verwijderset[#All],45,FALSE)*Optimalisatie!J79),0)+_xlfn.IFNA(VLOOKUP(Optimalisatie!AB79,Database_Brandstoffen[#All],45,FALSE)*((Optimalisatie!J79/Optimalisatie!AD79)*Optimalisatie!AC79),0)&gt;0,_xlfn.IFNA((VLOOKUP(Optimalisatie!AA79,Database_Asfalt_Verwijderset[#All],45,FALSE)*Optimalisatie!J79),0)+_xlfn.IFNA(VLOOKUP(Optimalisatie!AB79,Database_Brandstoffen[#All],45,FALSE)*((Optimalisatie!J79/Optimalisatie!AD79)*Optimalisatie!AC79),0),(_xlfn.IFNA(VLOOKUP(Inschrijf_Fossiele_Energie_Totaal[[#This Row],[Product]]&amp;", "&amp;Inschrijf_MKI_Totaal[[#Headers],[C1]],Database_Productkaarten[#All],51,FALSE),0)*Optimalisatie!J79)),0)</f>
        <v>0</v>
      </c>
      <c r="M497" s="91">
        <f>(IF(Optimalisatie!C79="Bestaande Situatie",_xlfn.IFNA(VLOOKUP(Optimalisatie!AF79,Database_Transport[#All],45,FALSE)*(Optimalisatie!R79*Optimalisatie!AE79),Baseline_Backlog!M497),0))</f>
        <v>0</v>
      </c>
      <c r="N497" s="91">
        <f>(IF(Optimalisatie!C79="Bestaande Situatie",_xlfn.IFNA(VLOOKUP(Optimalisatie!AG79,Database_Asfalt_Verwerkingsset[#All],45,FALSE)*(Optimalisatie!J79/VLOOKUP(Optimalisatie!AG79,Database_Asfalt_Verwerkingsset[#All],45,FALSE)),Baseline_Backlog!N497),0))</f>
        <v>0</v>
      </c>
      <c r="O497" s="91">
        <f>(IF(Optimalisatie!C79="Bestaande Situatie",_xlfn.IFNA(VLOOKUP(Inschrijf_Fossiele_Energie_Totaal[[#This Row],[Product]]&amp;", "&amp;Inschrijf_MKI_Totaal[[#Headers],[C4]],Database_Productkaarten[#All],51,FALSE)*Optimalisatie!J79,Baseline_Backlog!O497),0))</f>
        <v>0</v>
      </c>
      <c r="P497" s="91">
        <f>(IF(Optimalisatie!C79="Bestaande Situatie",_xlfn.IFNA(IF(Optimalisatie!E79="Categorie_1_LCA_Producten",VLOOKUP(Inschrijf_Fossiele_Energie_Totaal[[#This Row],[Product]],Categorie_1_Producten[#All],30,FALSE)*(Optimalisatie!J79),VLOOKUP(Inschrijf_Fossiele_Energie_Totaal[[#This Row],[Product]]&amp;", "&amp;Inschrijf_Fossiele_Energie_Totaal[[#Headers],[D1]],Database_Productkaarten[#All],51,FALSE)*Optimalisatie!J79),Baseline_Backlog!P497),0))</f>
        <v>0</v>
      </c>
      <c r="Q497" s="91">
        <f>(IF(Optimalisatie!C79="Bestaande Situatie",_xlfn.IFNA(IF(Optimalisatie!E79="Categorie_1_LCA_Producten",VLOOKUP(Inschrijf_Fossiele_Energie_Totaal[[#This Row],[Product]],Categorie_1_Producten[#All],31,FALSE)*(Optimalisatie!J79),VLOOKUP(Inschrijf_Fossiele_Energie_Totaal[[#This Row],[Product]]&amp;", "&amp;Inschrijf_Fossiele_Energie_Totaal[[#Headers],[D2]],Database_Productkaarten[#All],51,FALSE)*Optimalisatie!J79),Baseline_Backlog!Q497),0))</f>
        <v>0</v>
      </c>
      <c r="R497" s="91">
        <f>(IF(Optimalisatie!C79="Bestaande Situatie",_xlfn.IFNA(IF(Optimalisatie!E79="Categorie_1_LCA_Producten",VLOOKUP(Inschrijf_Fossiele_Energie_Totaal[[#This Row],[Product]],Categorie_1_Producten[#All],37,FALSE)*(Optimalisatie!J79),VLOOKUP(Inschrijf_Fossiele_Energie_Totaal[[#This Row],[Product]]&amp;", "&amp;Inschrijf_Fossiele_Energie_Totaal[[#Headers],[D]],Database_Productkaarten[#All],51,FALSE)*Optimalisatie!J79),Baseline_Backlog!S497),0))</f>
        <v>0</v>
      </c>
      <c r="S497" s="91">
        <f>SUM(Inschrijf_Fossiele_Energie_Totaal[[#This Row],[A1-A3]:[C4]])+Inschrijf_Fossiele_Energie_Totaal[[#This Row],[D]]</f>
        <v>0</v>
      </c>
    </row>
    <row r="498" spans="2:19">
      <c r="B498" s="208">
        <f>Optimalisatie!B80</f>
        <v>0</v>
      </c>
      <c r="C498" s="1">
        <f>Optimalisatie!F80</f>
        <v>0</v>
      </c>
      <c r="D498" s="91">
        <f>(IF(Optimalisatie!C80="Nieuwe Situatie",_xlfn.IFNA(IF(Optimalisatie!E80="Categorie_1_LCA_Producten",VLOOKUP(Inschrijf_Fossiele_Energie_Totaal[[#This Row],[Product]],Categorie_1_Producten[#All],26,FALSE)*(Optimalisatie!J80),VLOOKUP(Inschrijf_Fossiele_Energie_Totaal[[#This Row],[Product]]&amp;", "&amp;Inschrijf_Fossiele_Energie_Totaal[[#Headers],[A1]],Database_Productkaarten[#All],51,FALSE)*Optimalisatie!J80),Baseline_Backlog!D498),0))</f>
        <v>0</v>
      </c>
      <c r="E498" s="91">
        <f>(IF(Optimalisatie!C80="Nieuwe Situatie",_xlfn.IFNA(IF(Optimalisatie!E80="Categorie_1_LCA_Producten",VLOOKUP(Inschrijf_Fossiele_Energie_Totaal[[#This Row],[Product]],Categorie_1_Producten[#All],27,FALSE)*(Optimalisatie!J80),VLOOKUP(Inschrijf_Fossiele_Energie_Totaal[[#This Row],[Product]]&amp;", "&amp;Inschrijf_Fossiele_Energie_Totaal[[#Headers],[A2]],Database_Productkaarten[#All],51,FALSE)*Optimalisatie!J80),Baseline_Backlog!E498),0))</f>
        <v>0</v>
      </c>
      <c r="F498" s="91">
        <f>(IF(Optimalisatie!C80="Nieuwe Situatie",_xlfn.IFNA(IF(Optimalisatie!E80="Categorie_1_LCA_Producten",VLOOKUP(Inschrijf_Fossiele_Energie_Totaal[[#This Row],[Product]],Categorie_1_Producten[#All],28,FALSE)*(Optimalisatie!J80),VLOOKUP(Inschrijf_Fossiele_Energie_Totaal[[#This Row],[Product]]&amp;", "&amp;Inschrijf_Fossiele_Energie_Totaal[[#Headers],[A3]],Database_Productkaarten[#All],51,FALSE)*Optimalisatie!J80),Baseline_Backlog!F498),0))</f>
        <v>0</v>
      </c>
      <c r="G498" s="91">
        <f>(IF(Optimalisatie!C80="Nieuwe Situatie",_xlfn.IFNA(IF(Optimalisatie!E80="Categorie_1_LCA_Producten",VLOOKUP(Inschrijf_Fossiele_Energie_Totaal[[#This Row],[Product]],Categorie_1_Producten[#All],35,FALSE)*(Optimalisatie!J80),VLOOKUP(Inschrijf_Fossiele_Energie_Totaal[[#This Row],[Product]]&amp;", "&amp;Inschrijf_Fossiele_Energie_Totaal[[#Headers],[A1-A3]],Database_Productkaarten[#All],51,FALSE)*Optimalisatie!J80),Baseline_Backlog!G498),0))</f>
        <v>0</v>
      </c>
      <c r="H498" s="91">
        <f>(IF(Optimalisatie!C80="Nieuwe Situatie",_xlfn.IFNA(VLOOKUP(Optimalisatie!V80,Database_Transport[#All],45,FALSE)*(Optimalisatie!R80*Optimalisatie!U80),Baseline_Backlog!H498),0))</f>
        <v>0</v>
      </c>
      <c r="I498" s="91">
        <f>IF(Optimalisatie!C80="Nieuwe situatie",IF(_xlfn.IFNA((VLOOKUP(Optimalisatie!W80,Database_Asfalt_Aanlegset[#All],45,FALSE)*Optimalisatie!J80),0)+_xlfn.IFNA(VLOOKUP(Optimalisatie!X80,Database_Brandstoffen[#All],45,FALSE)*((Optimalisatie!J80/Optimalisatie!Z80)*Optimalisatie!Y80),0)&gt;0,_xlfn.IFNA((VLOOKUP(Optimalisatie!W80,Database_Asfalt_Aanlegset[#All],45,FALSE)*Optimalisatie!J80),0)+_xlfn.IFNA(VLOOKUP(Optimalisatie!X80,Database_Brandstoffen[#All],45,FALSE)*((Optimalisatie!J80/Optimalisatie!Z80)*Optimalisatie!Y80),0),(_xlfn.IFNA(VLOOKUP(Inschrijf_Fossiele_Energie_Totaal[[#This Row],[Product]]&amp;", "&amp;Inschrijf_MKI_Totaal[[#Headers],[A5]],Database_Productkaarten[#All],51,FALSE),0)*Optimalisatie!J80)),0)</f>
        <v>0</v>
      </c>
      <c r="J498" s="91">
        <f>(IF(Optimalisatie!C80="Nieuwe Situatie",_xlfn.IFNA(IF(Optimalisatie!E80="Categorie_1_LCA_Producten",VLOOKUP(Inschrijf_Fossiele_Energie_Totaal[[#This Row],[Product]],Categorie_1_Producten[#All],36,FALSE)*(Optimalisatie!R80),VLOOKUP(Inschrijf_Fossiele_Energie_Totaal[[#This Row],[Product]]&amp;", "&amp;Inschrijf_Fossiele_Energie_Totaal[[#Headers],[B1]],Database_Productkaarten[#All],51,FALSE)*Optimalisatie!J80),Baseline_Backlog!J498),0))</f>
        <v>0</v>
      </c>
      <c r="K498" s="91">
        <f>(IF(Optimalisatie!C80="Nieuwe Situatie",_xlfn.IFNA(SUM(Inschrijf_Fossiele_Energie_Totaal[[#This Row],[A1]:[B1]],Inschrijf_Fossiele_Energie_Totaal[[#This Row],[C1]:[D2]])*Optimalisatie!T80,0),0))</f>
        <v>0</v>
      </c>
      <c r="L498" s="91">
        <f>IF(Optimalisatie!C80="Bestaande situatie",IF(_xlfn.IFNA((VLOOKUP(Optimalisatie!AA80,Database_Asfalt_Verwijderset[#All],45,FALSE)*Optimalisatie!J80),0)+_xlfn.IFNA(VLOOKUP(Optimalisatie!AB80,Database_Brandstoffen[#All],45,FALSE)*((Optimalisatie!J80/Optimalisatie!AD80)*Optimalisatie!AC80),0)&gt;0,_xlfn.IFNA((VLOOKUP(Optimalisatie!AA80,Database_Asfalt_Verwijderset[#All],45,FALSE)*Optimalisatie!J80),0)+_xlfn.IFNA(VLOOKUP(Optimalisatie!AB80,Database_Brandstoffen[#All],45,FALSE)*((Optimalisatie!J80/Optimalisatie!AD80)*Optimalisatie!AC80),0),(_xlfn.IFNA(VLOOKUP(Inschrijf_Fossiele_Energie_Totaal[[#This Row],[Product]]&amp;", "&amp;Inschrijf_MKI_Totaal[[#Headers],[C1]],Database_Productkaarten[#All],51,FALSE),0)*Optimalisatie!J80)),0)</f>
        <v>0</v>
      </c>
      <c r="M498" s="91">
        <f>(IF(Optimalisatie!C80="Bestaande Situatie",_xlfn.IFNA(VLOOKUP(Optimalisatie!AF80,Database_Transport[#All],45,FALSE)*(Optimalisatie!R80*Optimalisatie!AE80),Baseline_Backlog!M498),0))</f>
        <v>0</v>
      </c>
      <c r="N498" s="91">
        <f>(IF(Optimalisatie!C80="Bestaande Situatie",_xlfn.IFNA(VLOOKUP(Optimalisatie!AG80,Database_Asfalt_Verwerkingsset[#All],45,FALSE)*(Optimalisatie!J80/VLOOKUP(Optimalisatie!AG80,Database_Asfalt_Verwerkingsset[#All],45,FALSE)),Baseline_Backlog!N498),0))</f>
        <v>0</v>
      </c>
      <c r="O498" s="91">
        <f>(IF(Optimalisatie!C80="Bestaande Situatie",_xlfn.IFNA(VLOOKUP(Inschrijf_Fossiele_Energie_Totaal[[#This Row],[Product]]&amp;", "&amp;Inschrijf_MKI_Totaal[[#Headers],[C4]],Database_Productkaarten[#All],51,FALSE)*Optimalisatie!J80,Baseline_Backlog!O498),0))</f>
        <v>0</v>
      </c>
      <c r="P498" s="91">
        <f>(IF(Optimalisatie!C80="Bestaande Situatie",_xlfn.IFNA(IF(Optimalisatie!E80="Categorie_1_LCA_Producten",VLOOKUP(Inschrijf_Fossiele_Energie_Totaal[[#This Row],[Product]],Categorie_1_Producten[#All],30,FALSE)*(Optimalisatie!J80),VLOOKUP(Inschrijf_Fossiele_Energie_Totaal[[#This Row],[Product]]&amp;", "&amp;Inschrijf_Fossiele_Energie_Totaal[[#Headers],[D1]],Database_Productkaarten[#All],51,FALSE)*Optimalisatie!J80),Baseline_Backlog!P498),0))</f>
        <v>0</v>
      </c>
      <c r="Q498" s="91">
        <f>(IF(Optimalisatie!C80="Bestaande Situatie",_xlfn.IFNA(IF(Optimalisatie!E80="Categorie_1_LCA_Producten",VLOOKUP(Inschrijf_Fossiele_Energie_Totaal[[#This Row],[Product]],Categorie_1_Producten[#All],31,FALSE)*(Optimalisatie!J80),VLOOKUP(Inschrijf_Fossiele_Energie_Totaal[[#This Row],[Product]]&amp;", "&amp;Inschrijf_Fossiele_Energie_Totaal[[#Headers],[D2]],Database_Productkaarten[#All],51,FALSE)*Optimalisatie!J80),Baseline_Backlog!Q498),0))</f>
        <v>0</v>
      </c>
      <c r="R498" s="91">
        <f>(IF(Optimalisatie!C80="Bestaande Situatie",_xlfn.IFNA(IF(Optimalisatie!E80="Categorie_1_LCA_Producten",VLOOKUP(Inschrijf_Fossiele_Energie_Totaal[[#This Row],[Product]],Categorie_1_Producten[#All],37,FALSE)*(Optimalisatie!J80),VLOOKUP(Inschrijf_Fossiele_Energie_Totaal[[#This Row],[Product]]&amp;", "&amp;Inschrijf_Fossiele_Energie_Totaal[[#Headers],[D]],Database_Productkaarten[#All],51,FALSE)*Optimalisatie!J80),Baseline_Backlog!S498),0))</f>
        <v>0</v>
      </c>
      <c r="S498" s="91">
        <f>SUM(Inschrijf_Fossiele_Energie_Totaal[[#This Row],[A1-A3]:[C4]])+Inschrijf_Fossiele_Energie_Totaal[[#This Row],[D]]</f>
        <v>0</v>
      </c>
    </row>
    <row r="499" spans="2:19">
      <c r="B499" s="208">
        <f>Optimalisatie!B81</f>
        <v>0</v>
      </c>
      <c r="C499" s="1">
        <f>Optimalisatie!F81</f>
        <v>0</v>
      </c>
      <c r="D499" s="91">
        <f>(IF(Optimalisatie!C81="Nieuwe Situatie",_xlfn.IFNA(IF(Optimalisatie!E81="Categorie_1_LCA_Producten",VLOOKUP(Inschrijf_Fossiele_Energie_Totaal[[#This Row],[Product]],Categorie_1_Producten[#All],26,FALSE)*(Optimalisatie!J81),VLOOKUP(Inschrijf_Fossiele_Energie_Totaal[[#This Row],[Product]]&amp;", "&amp;Inschrijf_Fossiele_Energie_Totaal[[#Headers],[A1]],Database_Productkaarten[#All],51,FALSE)*Optimalisatie!J81),Baseline_Backlog!D499),0))</f>
        <v>0</v>
      </c>
      <c r="E499" s="91">
        <f>(IF(Optimalisatie!C81="Nieuwe Situatie",_xlfn.IFNA(IF(Optimalisatie!E81="Categorie_1_LCA_Producten",VLOOKUP(Inschrijf_Fossiele_Energie_Totaal[[#This Row],[Product]],Categorie_1_Producten[#All],27,FALSE)*(Optimalisatie!J81),VLOOKUP(Inschrijf_Fossiele_Energie_Totaal[[#This Row],[Product]]&amp;", "&amp;Inschrijf_Fossiele_Energie_Totaal[[#Headers],[A2]],Database_Productkaarten[#All],51,FALSE)*Optimalisatie!J81),Baseline_Backlog!E499),0))</f>
        <v>0</v>
      </c>
      <c r="F499" s="91">
        <f>(IF(Optimalisatie!C81="Nieuwe Situatie",_xlfn.IFNA(IF(Optimalisatie!E81="Categorie_1_LCA_Producten",VLOOKUP(Inschrijf_Fossiele_Energie_Totaal[[#This Row],[Product]],Categorie_1_Producten[#All],28,FALSE)*(Optimalisatie!J81),VLOOKUP(Inschrijf_Fossiele_Energie_Totaal[[#This Row],[Product]]&amp;", "&amp;Inschrijf_Fossiele_Energie_Totaal[[#Headers],[A3]],Database_Productkaarten[#All],51,FALSE)*Optimalisatie!J81),Baseline_Backlog!F499),0))</f>
        <v>0</v>
      </c>
      <c r="G499" s="91">
        <f>(IF(Optimalisatie!C81="Nieuwe Situatie",_xlfn.IFNA(IF(Optimalisatie!E81="Categorie_1_LCA_Producten",VLOOKUP(Inschrijf_Fossiele_Energie_Totaal[[#This Row],[Product]],Categorie_1_Producten[#All],35,FALSE)*(Optimalisatie!J81),VLOOKUP(Inschrijf_Fossiele_Energie_Totaal[[#This Row],[Product]]&amp;", "&amp;Inschrijf_Fossiele_Energie_Totaal[[#Headers],[A1-A3]],Database_Productkaarten[#All],51,FALSE)*Optimalisatie!J81),Baseline_Backlog!G499),0))</f>
        <v>0</v>
      </c>
      <c r="H499" s="91">
        <f>(IF(Optimalisatie!C81="Nieuwe Situatie",_xlfn.IFNA(VLOOKUP(Optimalisatie!V81,Database_Transport[#All],45,FALSE)*(Optimalisatie!R81*Optimalisatie!U81),Baseline_Backlog!H499),0))</f>
        <v>0</v>
      </c>
      <c r="I499" s="91">
        <f>IF(Optimalisatie!C81="Nieuwe situatie",IF(_xlfn.IFNA((VLOOKUP(Optimalisatie!W81,Database_Asfalt_Aanlegset[#All],45,FALSE)*Optimalisatie!J81),0)+_xlfn.IFNA(VLOOKUP(Optimalisatie!X81,Database_Brandstoffen[#All],45,FALSE)*((Optimalisatie!J81/Optimalisatie!Z81)*Optimalisatie!Y81),0)&gt;0,_xlfn.IFNA((VLOOKUP(Optimalisatie!W81,Database_Asfalt_Aanlegset[#All],45,FALSE)*Optimalisatie!J81),0)+_xlfn.IFNA(VLOOKUP(Optimalisatie!X81,Database_Brandstoffen[#All],45,FALSE)*((Optimalisatie!J81/Optimalisatie!Z81)*Optimalisatie!Y81),0),(_xlfn.IFNA(VLOOKUP(Inschrijf_Fossiele_Energie_Totaal[[#This Row],[Product]]&amp;", "&amp;Inschrijf_MKI_Totaal[[#Headers],[A5]],Database_Productkaarten[#All],51,FALSE),0)*Optimalisatie!J81)),0)</f>
        <v>0</v>
      </c>
      <c r="J499" s="91">
        <f>(IF(Optimalisatie!C81="Nieuwe Situatie",_xlfn.IFNA(IF(Optimalisatie!E81="Categorie_1_LCA_Producten",VLOOKUP(Inschrijf_Fossiele_Energie_Totaal[[#This Row],[Product]],Categorie_1_Producten[#All],36,FALSE)*(Optimalisatie!R81),VLOOKUP(Inschrijf_Fossiele_Energie_Totaal[[#This Row],[Product]]&amp;", "&amp;Inschrijf_Fossiele_Energie_Totaal[[#Headers],[B1]],Database_Productkaarten[#All],51,FALSE)*Optimalisatie!J81),Baseline_Backlog!J499),0))</f>
        <v>0</v>
      </c>
      <c r="K499" s="91">
        <f>(IF(Optimalisatie!C81="Nieuwe Situatie",_xlfn.IFNA(SUM(Inschrijf_Fossiele_Energie_Totaal[[#This Row],[A1]:[B1]],Inschrijf_Fossiele_Energie_Totaal[[#This Row],[C1]:[D2]])*Optimalisatie!T81,0),0))</f>
        <v>0</v>
      </c>
      <c r="L499" s="91">
        <f>IF(Optimalisatie!C81="Bestaande situatie",IF(_xlfn.IFNA((VLOOKUP(Optimalisatie!AA81,Database_Asfalt_Verwijderset[#All],45,FALSE)*Optimalisatie!J81),0)+_xlfn.IFNA(VLOOKUP(Optimalisatie!AB81,Database_Brandstoffen[#All],45,FALSE)*((Optimalisatie!J81/Optimalisatie!AD81)*Optimalisatie!AC81),0)&gt;0,_xlfn.IFNA((VLOOKUP(Optimalisatie!AA81,Database_Asfalt_Verwijderset[#All],45,FALSE)*Optimalisatie!J81),0)+_xlfn.IFNA(VLOOKUP(Optimalisatie!AB81,Database_Brandstoffen[#All],45,FALSE)*((Optimalisatie!J81/Optimalisatie!AD81)*Optimalisatie!AC81),0),(_xlfn.IFNA(VLOOKUP(Inschrijf_Fossiele_Energie_Totaal[[#This Row],[Product]]&amp;", "&amp;Inschrijf_MKI_Totaal[[#Headers],[C1]],Database_Productkaarten[#All],51,FALSE),0)*Optimalisatie!J81)),0)</f>
        <v>0</v>
      </c>
      <c r="M499" s="91">
        <f>(IF(Optimalisatie!C81="Bestaande Situatie",_xlfn.IFNA(VLOOKUP(Optimalisatie!AF81,Database_Transport[#All],45,FALSE)*(Optimalisatie!R81*Optimalisatie!AE81),Baseline_Backlog!M499),0))</f>
        <v>0</v>
      </c>
      <c r="N499" s="91">
        <f>(IF(Optimalisatie!C81="Bestaande Situatie",_xlfn.IFNA(VLOOKUP(Optimalisatie!AG81,Database_Asfalt_Verwerkingsset[#All],45,FALSE)*(Optimalisatie!J81/VLOOKUP(Optimalisatie!AG81,Database_Asfalt_Verwerkingsset[#All],45,FALSE)),Baseline_Backlog!N499),0))</f>
        <v>0</v>
      </c>
      <c r="O499" s="91">
        <f>(IF(Optimalisatie!C81="Bestaande Situatie",_xlfn.IFNA(VLOOKUP(Inschrijf_Fossiele_Energie_Totaal[[#This Row],[Product]]&amp;", "&amp;Inschrijf_MKI_Totaal[[#Headers],[C4]],Database_Productkaarten[#All],51,FALSE)*Optimalisatie!J81,Baseline_Backlog!O499),0))</f>
        <v>0</v>
      </c>
      <c r="P499" s="91">
        <f>(IF(Optimalisatie!C81="Bestaande Situatie",_xlfn.IFNA(IF(Optimalisatie!E81="Categorie_1_LCA_Producten",VLOOKUP(Inschrijf_Fossiele_Energie_Totaal[[#This Row],[Product]],Categorie_1_Producten[#All],30,FALSE)*(Optimalisatie!J81),VLOOKUP(Inschrijf_Fossiele_Energie_Totaal[[#This Row],[Product]]&amp;", "&amp;Inschrijf_Fossiele_Energie_Totaal[[#Headers],[D1]],Database_Productkaarten[#All],51,FALSE)*Optimalisatie!J81),Baseline_Backlog!P499),0))</f>
        <v>0</v>
      </c>
      <c r="Q499" s="91">
        <f>(IF(Optimalisatie!C81="Bestaande Situatie",_xlfn.IFNA(IF(Optimalisatie!E81="Categorie_1_LCA_Producten",VLOOKUP(Inschrijf_Fossiele_Energie_Totaal[[#This Row],[Product]],Categorie_1_Producten[#All],31,FALSE)*(Optimalisatie!J81),VLOOKUP(Inschrijf_Fossiele_Energie_Totaal[[#This Row],[Product]]&amp;", "&amp;Inschrijf_Fossiele_Energie_Totaal[[#Headers],[D2]],Database_Productkaarten[#All],51,FALSE)*Optimalisatie!J81),Baseline_Backlog!Q499),0))</f>
        <v>0</v>
      </c>
      <c r="R499" s="91">
        <f>(IF(Optimalisatie!C81="Bestaande Situatie",_xlfn.IFNA(IF(Optimalisatie!E81="Categorie_1_LCA_Producten",VLOOKUP(Inschrijf_Fossiele_Energie_Totaal[[#This Row],[Product]],Categorie_1_Producten[#All],37,FALSE)*(Optimalisatie!J81),VLOOKUP(Inschrijf_Fossiele_Energie_Totaal[[#This Row],[Product]]&amp;", "&amp;Inschrijf_Fossiele_Energie_Totaal[[#Headers],[D]],Database_Productkaarten[#All],51,FALSE)*Optimalisatie!J81),Baseline_Backlog!S499),0))</f>
        <v>0</v>
      </c>
      <c r="S499" s="91">
        <f>SUM(Inschrijf_Fossiele_Energie_Totaal[[#This Row],[A1-A3]:[C4]])+Inschrijf_Fossiele_Energie_Totaal[[#This Row],[D]]</f>
        <v>0</v>
      </c>
    </row>
    <row r="500" spans="2:19">
      <c r="B500" s="208">
        <f>Optimalisatie!B82</f>
        <v>0</v>
      </c>
      <c r="C500" s="1">
        <f>Optimalisatie!F82</f>
        <v>0</v>
      </c>
      <c r="D500" s="91">
        <f>(IF(Optimalisatie!C82="Nieuwe Situatie",_xlfn.IFNA(IF(Optimalisatie!E82="Categorie_1_LCA_Producten",VLOOKUP(Inschrijf_Fossiele_Energie_Totaal[[#This Row],[Product]],Categorie_1_Producten[#All],26,FALSE)*(Optimalisatie!J82),VLOOKUP(Inschrijf_Fossiele_Energie_Totaal[[#This Row],[Product]]&amp;", "&amp;Inschrijf_Fossiele_Energie_Totaal[[#Headers],[A1]],Database_Productkaarten[#All],51,FALSE)*Optimalisatie!J82),Baseline_Backlog!D500),0))</f>
        <v>0</v>
      </c>
      <c r="E500" s="91">
        <f>(IF(Optimalisatie!C82="Nieuwe Situatie",_xlfn.IFNA(IF(Optimalisatie!E82="Categorie_1_LCA_Producten",VLOOKUP(Inschrijf_Fossiele_Energie_Totaal[[#This Row],[Product]],Categorie_1_Producten[#All],27,FALSE)*(Optimalisatie!J82),VLOOKUP(Inschrijf_Fossiele_Energie_Totaal[[#This Row],[Product]]&amp;", "&amp;Inschrijf_Fossiele_Energie_Totaal[[#Headers],[A2]],Database_Productkaarten[#All],51,FALSE)*Optimalisatie!J82),Baseline_Backlog!E500),0))</f>
        <v>0</v>
      </c>
      <c r="F500" s="91">
        <f>(IF(Optimalisatie!C82="Nieuwe Situatie",_xlfn.IFNA(IF(Optimalisatie!E82="Categorie_1_LCA_Producten",VLOOKUP(Inschrijf_Fossiele_Energie_Totaal[[#This Row],[Product]],Categorie_1_Producten[#All],28,FALSE)*(Optimalisatie!J82),VLOOKUP(Inschrijf_Fossiele_Energie_Totaal[[#This Row],[Product]]&amp;", "&amp;Inschrijf_Fossiele_Energie_Totaal[[#Headers],[A3]],Database_Productkaarten[#All],51,FALSE)*Optimalisatie!J82),Baseline_Backlog!F500),0))</f>
        <v>0</v>
      </c>
      <c r="G500" s="91">
        <f>(IF(Optimalisatie!C82="Nieuwe Situatie",_xlfn.IFNA(IF(Optimalisatie!E82="Categorie_1_LCA_Producten",VLOOKUP(Inschrijf_Fossiele_Energie_Totaal[[#This Row],[Product]],Categorie_1_Producten[#All],35,FALSE)*(Optimalisatie!J82),VLOOKUP(Inschrijf_Fossiele_Energie_Totaal[[#This Row],[Product]]&amp;", "&amp;Inschrijf_Fossiele_Energie_Totaal[[#Headers],[A1-A3]],Database_Productkaarten[#All],51,FALSE)*Optimalisatie!J82),Baseline_Backlog!G500),0))</f>
        <v>0</v>
      </c>
      <c r="H500" s="91">
        <f>(IF(Optimalisatie!C82="Nieuwe Situatie",_xlfn.IFNA(VLOOKUP(Optimalisatie!V82,Database_Transport[#All],45,FALSE)*(Optimalisatie!R82*Optimalisatie!U82),Baseline_Backlog!H500),0))</f>
        <v>0</v>
      </c>
      <c r="I500" s="91">
        <f>IF(Optimalisatie!C82="Nieuwe situatie",IF(_xlfn.IFNA((VLOOKUP(Optimalisatie!W82,Database_Asfalt_Aanlegset[#All],45,FALSE)*Optimalisatie!J82),0)+_xlfn.IFNA(VLOOKUP(Optimalisatie!X82,Database_Brandstoffen[#All],45,FALSE)*((Optimalisatie!J82/Optimalisatie!Z82)*Optimalisatie!Y82),0)&gt;0,_xlfn.IFNA((VLOOKUP(Optimalisatie!W82,Database_Asfalt_Aanlegset[#All],45,FALSE)*Optimalisatie!J82),0)+_xlfn.IFNA(VLOOKUP(Optimalisatie!X82,Database_Brandstoffen[#All],45,FALSE)*((Optimalisatie!J82/Optimalisatie!Z82)*Optimalisatie!Y82),0),(_xlfn.IFNA(VLOOKUP(Inschrijf_Fossiele_Energie_Totaal[[#This Row],[Product]]&amp;", "&amp;Inschrijf_MKI_Totaal[[#Headers],[A5]],Database_Productkaarten[#All],51,FALSE),0)*Optimalisatie!J82)),0)</f>
        <v>0</v>
      </c>
      <c r="J500" s="91">
        <f>(IF(Optimalisatie!C82="Nieuwe Situatie",_xlfn.IFNA(IF(Optimalisatie!E82="Categorie_1_LCA_Producten",VLOOKUP(Inschrijf_Fossiele_Energie_Totaal[[#This Row],[Product]],Categorie_1_Producten[#All],36,FALSE)*(Optimalisatie!R82),VLOOKUP(Inschrijf_Fossiele_Energie_Totaal[[#This Row],[Product]]&amp;", "&amp;Inschrijf_Fossiele_Energie_Totaal[[#Headers],[B1]],Database_Productkaarten[#All],51,FALSE)*Optimalisatie!J82),Baseline_Backlog!J500),0))</f>
        <v>0</v>
      </c>
      <c r="K500" s="91">
        <f>(IF(Optimalisatie!C82="Nieuwe Situatie",_xlfn.IFNA(SUM(Inschrijf_Fossiele_Energie_Totaal[[#This Row],[A1]:[B1]],Inschrijf_Fossiele_Energie_Totaal[[#This Row],[C1]:[D2]])*Optimalisatie!T82,0),0))</f>
        <v>0</v>
      </c>
      <c r="L500" s="91">
        <f>IF(Optimalisatie!C82="Bestaande situatie",IF(_xlfn.IFNA((VLOOKUP(Optimalisatie!AA82,Database_Asfalt_Verwijderset[#All],45,FALSE)*Optimalisatie!J82),0)+_xlfn.IFNA(VLOOKUP(Optimalisatie!AB82,Database_Brandstoffen[#All],45,FALSE)*((Optimalisatie!J82/Optimalisatie!AD82)*Optimalisatie!AC82),0)&gt;0,_xlfn.IFNA((VLOOKUP(Optimalisatie!AA82,Database_Asfalt_Verwijderset[#All],45,FALSE)*Optimalisatie!J82),0)+_xlfn.IFNA(VLOOKUP(Optimalisatie!AB82,Database_Brandstoffen[#All],45,FALSE)*((Optimalisatie!J82/Optimalisatie!AD82)*Optimalisatie!AC82),0),(_xlfn.IFNA(VLOOKUP(Inschrijf_Fossiele_Energie_Totaal[[#This Row],[Product]]&amp;", "&amp;Inschrijf_MKI_Totaal[[#Headers],[C1]],Database_Productkaarten[#All],51,FALSE),0)*Optimalisatie!J82)),0)</f>
        <v>0</v>
      </c>
      <c r="M500" s="91">
        <f>(IF(Optimalisatie!C82="Bestaande Situatie",_xlfn.IFNA(VLOOKUP(Optimalisatie!AF82,Database_Transport[#All],45,FALSE)*(Optimalisatie!R82*Optimalisatie!AE82),Baseline_Backlog!M500),0))</f>
        <v>0</v>
      </c>
      <c r="N500" s="91">
        <f>(IF(Optimalisatie!C82="Bestaande Situatie",_xlfn.IFNA(VLOOKUP(Optimalisatie!AG82,Database_Asfalt_Verwerkingsset[#All],45,FALSE)*(Optimalisatie!J82/VLOOKUP(Optimalisatie!AG82,Database_Asfalt_Verwerkingsset[#All],45,FALSE)),Baseline_Backlog!N500),0))</f>
        <v>0</v>
      </c>
      <c r="O500" s="91">
        <f>(IF(Optimalisatie!C82="Bestaande Situatie",_xlfn.IFNA(VLOOKUP(Inschrijf_Fossiele_Energie_Totaal[[#This Row],[Product]]&amp;", "&amp;Inschrijf_MKI_Totaal[[#Headers],[C4]],Database_Productkaarten[#All],51,FALSE)*Optimalisatie!J82,Baseline_Backlog!O500),0))</f>
        <v>0</v>
      </c>
      <c r="P500" s="91">
        <f>(IF(Optimalisatie!C82="Bestaande Situatie",_xlfn.IFNA(IF(Optimalisatie!E82="Categorie_1_LCA_Producten",VLOOKUP(Inschrijf_Fossiele_Energie_Totaal[[#This Row],[Product]],Categorie_1_Producten[#All],30,FALSE)*(Optimalisatie!J82),VLOOKUP(Inschrijf_Fossiele_Energie_Totaal[[#This Row],[Product]]&amp;", "&amp;Inschrijf_Fossiele_Energie_Totaal[[#Headers],[D1]],Database_Productkaarten[#All],51,FALSE)*Optimalisatie!J82),Baseline_Backlog!P500),0))</f>
        <v>0</v>
      </c>
      <c r="Q500" s="91">
        <f>(IF(Optimalisatie!C82="Bestaande Situatie",_xlfn.IFNA(IF(Optimalisatie!E82="Categorie_1_LCA_Producten",VLOOKUP(Inschrijf_Fossiele_Energie_Totaal[[#This Row],[Product]],Categorie_1_Producten[#All],31,FALSE)*(Optimalisatie!J82),VLOOKUP(Inschrijf_Fossiele_Energie_Totaal[[#This Row],[Product]]&amp;", "&amp;Inschrijf_Fossiele_Energie_Totaal[[#Headers],[D2]],Database_Productkaarten[#All],51,FALSE)*Optimalisatie!J82),Baseline_Backlog!Q500),0))</f>
        <v>0</v>
      </c>
      <c r="R500" s="91">
        <f>(IF(Optimalisatie!C82="Bestaande Situatie",_xlfn.IFNA(IF(Optimalisatie!E82="Categorie_1_LCA_Producten",VLOOKUP(Inschrijf_Fossiele_Energie_Totaal[[#This Row],[Product]],Categorie_1_Producten[#All],37,FALSE)*(Optimalisatie!J82),VLOOKUP(Inschrijf_Fossiele_Energie_Totaal[[#This Row],[Product]]&amp;", "&amp;Inschrijf_Fossiele_Energie_Totaal[[#Headers],[D]],Database_Productkaarten[#All],51,FALSE)*Optimalisatie!J82),Baseline_Backlog!S500),0))</f>
        <v>0</v>
      </c>
      <c r="S500" s="91">
        <f>SUM(Inschrijf_Fossiele_Energie_Totaal[[#This Row],[A1-A3]:[C4]])+Inschrijf_Fossiele_Energie_Totaal[[#This Row],[D]]</f>
        <v>0</v>
      </c>
    </row>
    <row r="501" spans="2:19">
      <c r="B501" s="208">
        <f>Optimalisatie!B83</f>
        <v>0</v>
      </c>
      <c r="C501" s="1">
        <f>Optimalisatie!F83</f>
        <v>0</v>
      </c>
      <c r="D501" s="91">
        <f>(IF(Optimalisatie!C83="Nieuwe Situatie",_xlfn.IFNA(IF(Optimalisatie!E83="Categorie_1_LCA_Producten",VLOOKUP(Inschrijf_Fossiele_Energie_Totaal[[#This Row],[Product]],Categorie_1_Producten[#All],26,FALSE)*(Optimalisatie!J83),VLOOKUP(Inschrijf_Fossiele_Energie_Totaal[[#This Row],[Product]]&amp;", "&amp;Inschrijf_Fossiele_Energie_Totaal[[#Headers],[A1]],Database_Productkaarten[#All],51,FALSE)*Optimalisatie!J83),Baseline_Backlog!D501),0))</f>
        <v>0</v>
      </c>
      <c r="E501" s="91">
        <f>(IF(Optimalisatie!C83="Nieuwe Situatie",_xlfn.IFNA(IF(Optimalisatie!E83="Categorie_1_LCA_Producten",VLOOKUP(Inschrijf_Fossiele_Energie_Totaal[[#This Row],[Product]],Categorie_1_Producten[#All],27,FALSE)*(Optimalisatie!J83),VLOOKUP(Inschrijf_Fossiele_Energie_Totaal[[#This Row],[Product]]&amp;", "&amp;Inschrijf_Fossiele_Energie_Totaal[[#Headers],[A2]],Database_Productkaarten[#All],51,FALSE)*Optimalisatie!J83),Baseline_Backlog!E501),0))</f>
        <v>0</v>
      </c>
      <c r="F501" s="91">
        <f>(IF(Optimalisatie!C83="Nieuwe Situatie",_xlfn.IFNA(IF(Optimalisatie!E83="Categorie_1_LCA_Producten",VLOOKUP(Inschrijf_Fossiele_Energie_Totaal[[#This Row],[Product]],Categorie_1_Producten[#All],28,FALSE)*(Optimalisatie!J83),VLOOKUP(Inschrijf_Fossiele_Energie_Totaal[[#This Row],[Product]]&amp;", "&amp;Inschrijf_Fossiele_Energie_Totaal[[#Headers],[A3]],Database_Productkaarten[#All],51,FALSE)*Optimalisatie!J83),Baseline_Backlog!F501),0))</f>
        <v>0</v>
      </c>
      <c r="G501" s="91">
        <f>(IF(Optimalisatie!C83="Nieuwe Situatie",_xlfn.IFNA(IF(Optimalisatie!E83="Categorie_1_LCA_Producten",VLOOKUP(Inschrijf_Fossiele_Energie_Totaal[[#This Row],[Product]],Categorie_1_Producten[#All],35,FALSE)*(Optimalisatie!J83),VLOOKUP(Inschrijf_Fossiele_Energie_Totaal[[#This Row],[Product]]&amp;", "&amp;Inschrijf_Fossiele_Energie_Totaal[[#Headers],[A1-A3]],Database_Productkaarten[#All],51,FALSE)*Optimalisatie!J83),Baseline_Backlog!G501),0))</f>
        <v>0</v>
      </c>
      <c r="H501" s="91">
        <f>(IF(Optimalisatie!C83="Nieuwe Situatie",_xlfn.IFNA(VLOOKUP(Optimalisatie!V83,Database_Transport[#All],45,FALSE)*(Optimalisatie!R83*Optimalisatie!U83),Baseline_Backlog!H501),0))</f>
        <v>0</v>
      </c>
      <c r="I501" s="91">
        <f>IF(Optimalisatie!C83="Nieuwe situatie",IF(_xlfn.IFNA((VLOOKUP(Optimalisatie!W83,Database_Asfalt_Aanlegset[#All],45,FALSE)*Optimalisatie!J83),0)+_xlfn.IFNA(VLOOKUP(Optimalisatie!X83,Database_Brandstoffen[#All],45,FALSE)*((Optimalisatie!J83/Optimalisatie!Z83)*Optimalisatie!Y83),0)&gt;0,_xlfn.IFNA((VLOOKUP(Optimalisatie!W83,Database_Asfalt_Aanlegset[#All],45,FALSE)*Optimalisatie!J83),0)+_xlfn.IFNA(VLOOKUP(Optimalisatie!X83,Database_Brandstoffen[#All],45,FALSE)*((Optimalisatie!J83/Optimalisatie!Z83)*Optimalisatie!Y83),0),(_xlfn.IFNA(VLOOKUP(Inschrijf_Fossiele_Energie_Totaal[[#This Row],[Product]]&amp;", "&amp;Inschrijf_MKI_Totaal[[#Headers],[A5]],Database_Productkaarten[#All],51,FALSE),0)*Optimalisatie!J83)),0)</f>
        <v>0</v>
      </c>
      <c r="J501" s="91">
        <f>(IF(Optimalisatie!C83="Nieuwe Situatie",_xlfn.IFNA(IF(Optimalisatie!E83="Categorie_1_LCA_Producten",VLOOKUP(Inschrijf_Fossiele_Energie_Totaal[[#This Row],[Product]],Categorie_1_Producten[#All],36,FALSE)*(Optimalisatie!R83),VLOOKUP(Inschrijf_Fossiele_Energie_Totaal[[#This Row],[Product]]&amp;", "&amp;Inschrijf_Fossiele_Energie_Totaal[[#Headers],[B1]],Database_Productkaarten[#All],51,FALSE)*Optimalisatie!J83),Baseline_Backlog!J501),0))</f>
        <v>0</v>
      </c>
      <c r="K501" s="91">
        <f>(IF(Optimalisatie!C83="Nieuwe Situatie",_xlfn.IFNA(SUM(Inschrijf_Fossiele_Energie_Totaal[[#This Row],[A1]:[B1]],Inschrijf_Fossiele_Energie_Totaal[[#This Row],[C1]:[D2]])*Optimalisatie!T83,0),0))</f>
        <v>0</v>
      </c>
      <c r="L501" s="91">
        <f>IF(Optimalisatie!C83="Bestaande situatie",IF(_xlfn.IFNA((VLOOKUP(Optimalisatie!AA83,Database_Asfalt_Verwijderset[#All],45,FALSE)*Optimalisatie!J83),0)+_xlfn.IFNA(VLOOKUP(Optimalisatie!AB83,Database_Brandstoffen[#All],45,FALSE)*((Optimalisatie!J83/Optimalisatie!AD83)*Optimalisatie!AC83),0)&gt;0,_xlfn.IFNA((VLOOKUP(Optimalisatie!AA83,Database_Asfalt_Verwijderset[#All],45,FALSE)*Optimalisatie!J83),0)+_xlfn.IFNA(VLOOKUP(Optimalisatie!AB83,Database_Brandstoffen[#All],45,FALSE)*((Optimalisatie!J83/Optimalisatie!AD83)*Optimalisatie!AC83),0),(_xlfn.IFNA(VLOOKUP(Inschrijf_Fossiele_Energie_Totaal[[#This Row],[Product]]&amp;", "&amp;Inschrijf_MKI_Totaal[[#Headers],[C1]],Database_Productkaarten[#All],51,FALSE),0)*Optimalisatie!J83)),0)</f>
        <v>0</v>
      </c>
      <c r="M501" s="91">
        <f>(IF(Optimalisatie!C83="Bestaande Situatie",_xlfn.IFNA(VLOOKUP(Optimalisatie!AF83,Database_Transport[#All],45,FALSE)*(Optimalisatie!R83*Optimalisatie!AE83),Baseline_Backlog!M501),0))</f>
        <v>0</v>
      </c>
      <c r="N501" s="91">
        <f>(IF(Optimalisatie!C83="Bestaande Situatie",_xlfn.IFNA(VLOOKUP(Optimalisatie!AG83,Database_Asfalt_Verwerkingsset[#All],45,FALSE)*(Optimalisatie!J83/VLOOKUP(Optimalisatie!AG83,Database_Asfalt_Verwerkingsset[#All],45,FALSE)),Baseline_Backlog!N501),0))</f>
        <v>0</v>
      </c>
      <c r="O501" s="91">
        <f>(IF(Optimalisatie!C83="Bestaande Situatie",_xlfn.IFNA(VLOOKUP(Inschrijf_Fossiele_Energie_Totaal[[#This Row],[Product]]&amp;", "&amp;Inschrijf_MKI_Totaal[[#Headers],[C4]],Database_Productkaarten[#All],51,FALSE)*Optimalisatie!J83,Baseline_Backlog!O501),0))</f>
        <v>0</v>
      </c>
      <c r="P501" s="91">
        <f>(IF(Optimalisatie!C83="Bestaande Situatie",_xlfn.IFNA(IF(Optimalisatie!E83="Categorie_1_LCA_Producten",VLOOKUP(Inschrijf_Fossiele_Energie_Totaal[[#This Row],[Product]],Categorie_1_Producten[#All],30,FALSE)*(Optimalisatie!J83),VLOOKUP(Inschrijf_Fossiele_Energie_Totaal[[#This Row],[Product]]&amp;", "&amp;Inschrijf_Fossiele_Energie_Totaal[[#Headers],[D1]],Database_Productkaarten[#All],51,FALSE)*Optimalisatie!J83),Baseline_Backlog!P501),0))</f>
        <v>0</v>
      </c>
      <c r="Q501" s="91">
        <f>(IF(Optimalisatie!C83="Bestaande Situatie",_xlfn.IFNA(IF(Optimalisatie!E83="Categorie_1_LCA_Producten",VLOOKUP(Inschrijf_Fossiele_Energie_Totaal[[#This Row],[Product]],Categorie_1_Producten[#All],31,FALSE)*(Optimalisatie!J83),VLOOKUP(Inschrijf_Fossiele_Energie_Totaal[[#This Row],[Product]]&amp;", "&amp;Inschrijf_Fossiele_Energie_Totaal[[#Headers],[D2]],Database_Productkaarten[#All],51,FALSE)*Optimalisatie!J83),Baseline_Backlog!Q501),0))</f>
        <v>0</v>
      </c>
      <c r="R501" s="91">
        <f>(IF(Optimalisatie!C83="Bestaande Situatie",_xlfn.IFNA(IF(Optimalisatie!E83="Categorie_1_LCA_Producten",VLOOKUP(Inschrijf_Fossiele_Energie_Totaal[[#This Row],[Product]],Categorie_1_Producten[#All],37,FALSE)*(Optimalisatie!J83),VLOOKUP(Inschrijf_Fossiele_Energie_Totaal[[#This Row],[Product]]&amp;", "&amp;Inschrijf_Fossiele_Energie_Totaal[[#Headers],[D]],Database_Productkaarten[#All],51,FALSE)*Optimalisatie!J83),Baseline_Backlog!S501),0))</f>
        <v>0</v>
      </c>
      <c r="S501" s="91">
        <f>SUM(Inschrijf_Fossiele_Energie_Totaal[[#This Row],[A1-A3]:[C4]])+Inschrijf_Fossiele_Energie_Totaal[[#This Row],[D]]</f>
        <v>0</v>
      </c>
    </row>
    <row r="502" spans="2:19">
      <c r="B502" s="208">
        <f>Optimalisatie!B84</f>
        <v>0</v>
      </c>
      <c r="C502" s="1">
        <f>Optimalisatie!F84</f>
        <v>0</v>
      </c>
      <c r="D502" s="91">
        <f>(IF(Optimalisatie!C84="Nieuwe Situatie",_xlfn.IFNA(IF(Optimalisatie!E84="Categorie_1_LCA_Producten",VLOOKUP(Inschrijf_Fossiele_Energie_Totaal[[#This Row],[Product]],Categorie_1_Producten[#All],26,FALSE)*(Optimalisatie!J84),VLOOKUP(Inschrijf_Fossiele_Energie_Totaal[[#This Row],[Product]]&amp;", "&amp;Inschrijf_Fossiele_Energie_Totaal[[#Headers],[A1]],Database_Productkaarten[#All],51,FALSE)*Optimalisatie!J84),Baseline_Backlog!D502),0))</f>
        <v>0</v>
      </c>
      <c r="E502" s="91">
        <f>(IF(Optimalisatie!C84="Nieuwe Situatie",_xlfn.IFNA(IF(Optimalisatie!E84="Categorie_1_LCA_Producten",VLOOKUP(Inschrijf_Fossiele_Energie_Totaal[[#This Row],[Product]],Categorie_1_Producten[#All],27,FALSE)*(Optimalisatie!J84),VLOOKUP(Inschrijf_Fossiele_Energie_Totaal[[#This Row],[Product]]&amp;", "&amp;Inschrijf_Fossiele_Energie_Totaal[[#Headers],[A2]],Database_Productkaarten[#All],51,FALSE)*Optimalisatie!J84),Baseline_Backlog!E502),0))</f>
        <v>0</v>
      </c>
      <c r="F502" s="91">
        <f>(IF(Optimalisatie!C84="Nieuwe Situatie",_xlfn.IFNA(IF(Optimalisatie!E84="Categorie_1_LCA_Producten",VLOOKUP(Inschrijf_Fossiele_Energie_Totaal[[#This Row],[Product]],Categorie_1_Producten[#All],28,FALSE)*(Optimalisatie!J84),VLOOKUP(Inschrijf_Fossiele_Energie_Totaal[[#This Row],[Product]]&amp;", "&amp;Inschrijf_Fossiele_Energie_Totaal[[#Headers],[A3]],Database_Productkaarten[#All],51,FALSE)*Optimalisatie!J84),Baseline_Backlog!F502),0))</f>
        <v>0</v>
      </c>
      <c r="G502" s="91">
        <f>(IF(Optimalisatie!C84="Nieuwe Situatie",_xlfn.IFNA(IF(Optimalisatie!E84="Categorie_1_LCA_Producten",VLOOKUP(Inschrijf_Fossiele_Energie_Totaal[[#This Row],[Product]],Categorie_1_Producten[#All],35,FALSE)*(Optimalisatie!J84),VLOOKUP(Inschrijf_Fossiele_Energie_Totaal[[#This Row],[Product]]&amp;", "&amp;Inschrijf_Fossiele_Energie_Totaal[[#Headers],[A1-A3]],Database_Productkaarten[#All],51,FALSE)*Optimalisatie!J84),Baseline_Backlog!G502),0))</f>
        <v>0</v>
      </c>
      <c r="H502" s="91">
        <f>(IF(Optimalisatie!C84="Nieuwe Situatie",_xlfn.IFNA(VLOOKUP(Optimalisatie!V84,Database_Transport[#All],45,FALSE)*(Optimalisatie!R84*Optimalisatie!U84),Baseline_Backlog!H502),0))</f>
        <v>0</v>
      </c>
      <c r="I502" s="91">
        <f>IF(Optimalisatie!C84="Nieuwe situatie",IF(_xlfn.IFNA((VLOOKUP(Optimalisatie!W84,Database_Asfalt_Aanlegset[#All],45,FALSE)*Optimalisatie!J84),0)+_xlfn.IFNA(VLOOKUP(Optimalisatie!X84,Database_Brandstoffen[#All],45,FALSE)*((Optimalisatie!J84/Optimalisatie!Z84)*Optimalisatie!Y84),0)&gt;0,_xlfn.IFNA((VLOOKUP(Optimalisatie!W84,Database_Asfalt_Aanlegset[#All],45,FALSE)*Optimalisatie!J84),0)+_xlfn.IFNA(VLOOKUP(Optimalisatie!X84,Database_Brandstoffen[#All],45,FALSE)*((Optimalisatie!J84/Optimalisatie!Z84)*Optimalisatie!Y84),0),(_xlfn.IFNA(VLOOKUP(Inschrijf_Fossiele_Energie_Totaal[[#This Row],[Product]]&amp;", "&amp;Inschrijf_MKI_Totaal[[#Headers],[A5]],Database_Productkaarten[#All],51,FALSE),0)*Optimalisatie!J84)),0)</f>
        <v>0</v>
      </c>
      <c r="J502" s="91">
        <f>(IF(Optimalisatie!C84="Nieuwe Situatie",_xlfn.IFNA(IF(Optimalisatie!E84="Categorie_1_LCA_Producten",VLOOKUP(Inschrijf_Fossiele_Energie_Totaal[[#This Row],[Product]],Categorie_1_Producten[#All],36,FALSE)*(Optimalisatie!R84),VLOOKUP(Inschrijf_Fossiele_Energie_Totaal[[#This Row],[Product]]&amp;", "&amp;Inschrijf_Fossiele_Energie_Totaal[[#Headers],[B1]],Database_Productkaarten[#All],51,FALSE)*Optimalisatie!J84),Baseline_Backlog!J502),0))</f>
        <v>0</v>
      </c>
      <c r="K502" s="91">
        <f>(IF(Optimalisatie!C84="Nieuwe Situatie",_xlfn.IFNA(SUM(Inschrijf_Fossiele_Energie_Totaal[[#This Row],[A1]:[B1]],Inschrijf_Fossiele_Energie_Totaal[[#This Row],[C1]:[D2]])*Optimalisatie!T84,0),0))</f>
        <v>0</v>
      </c>
      <c r="L502" s="91">
        <f>IF(Optimalisatie!C84="Bestaande situatie",IF(_xlfn.IFNA((VLOOKUP(Optimalisatie!AA84,Database_Asfalt_Verwijderset[#All],45,FALSE)*Optimalisatie!J84),0)+_xlfn.IFNA(VLOOKUP(Optimalisatie!AB84,Database_Brandstoffen[#All],45,FALSE)*((Optimalisatie!J84/Optimalisatie!AD84)*Optimalisatie!AC84),0)&gt;0,_xlfn.IFNA((VLOOKUP(Optimalisatie!AA84,Database_Asfalt_Verwijderset[#All],45,FALSE)*Optimalisatie!J84),0)+_xlfn.IFNA(VLOOKUP(Optimalisatie!AB84,Database_Brandstoffen[#All],45,FALSE)*((Optimalisatie!J84/Optimalisatie!AD84)*Optimalisatie!AC84),0),(_xlfn.IFNA(VLOOKUP(Inschrijf_Fossiele_Energie_Totaal[[#This Row],[Product]]&amp;", "&amp;Inschrijf_MKI_Totaal[[#Headers],[C1]],Database_Productkaarten[#All],51,FALSE),0)*Optimalisatie!J84)),0)</f>
        <v>0</v>
      </c>
      <c r="M502" s="91">
        <f>(IF(Optimalisatie!C84="Bestaande Situatie",_xlfn.IFNA(VLOOKUP(Optimalisatie!AF84,Database_Transport[#All],45,FALSE)*(Optimalisatie!R84*Optimalisatie!AE84),Baseline_Backlog!M502),0))</f>
        <v>0</v>
      </c>
      <c r="N502" s="91">
        <f>(IF(Optimalisatie!C84="Bestaande Situatie",_xlfn.IFNA(VLOOKUP(Optimalisatie!AG84,Database_Asfalt_Verwerkingsset[#All],45,FALSE)*(Optimalisatie!J84/VLOOKUP(Optimalisatie!AG84,Database_Asfalt_Verwerkingsset[#All],45,FALSE)),Baseline_Backlog!N502),0))</f>
        <v>0</v>
      </c>
      <c r="O502" s="91">
        <f>(IF(Optimalisatie!C84="Bestaande Situatie",_xlfn.IFNA(VLOOKUP(Inschrijf_Fossiele_Energie_Totaal[[#This Row],[Product]]&amp;", "&amp;Inschrijf_MKI_Totaal[[#Headers],[C4]],Database_Productkaarten[#All],51,FALSE)*Optimalisatie!J84,Baseline_Backlog!O502),0))</f>
        <v>0</v>
      </c>
      <c r="P502" s="91">
        <f>(IF(Optimalisatie!C84="Bestaande Situatie",_xlfn.IFNA(IF(Optimalisatie!E84="Categorie_1_LCA_Producten",VLOOKUP(Inschrijf_Fossiele_Energie_Totaal[[#This Row],[Product]],Categorie_1_Producten[#All],30,FALSE)*(Optimalisatie!J84),VLOOKUP(Inschrijf_Fossiele_Energie_Totaal[[#This Row],[Product]]&amp;", "&amp;Inschrijf_Fossiele_Energie_Totaal[[#Headers],[D1]],Database_Productkaarten[#All],51,FALSE)*Optimalisatie!J84),Baseline_Backlog!P502),0))</f>
        <v>0</v>
      </c>
      <c r="Q502" s="91">
        <f>(IF(Optimalisatie!C84="Bestaande Situatie",_xlfn.IFNA(IF(Optimalisatie!E84="Categorie_1_LCA_Producten",VLOOKUP(Inschrijf_Fossiele_Energie_Totaal[[#This Row],[Product]],Categorie_1_Producten[#All],31,FALSE)*(Optimalisatie!J84),VLOOKUP(Inschrijf_Fossiele_Energie_Totaal[[#This Row],[Product]]&amp;", "&amp;Inschrijf_Fossiele_Energie_Totaal[[#Headers],[D2]],Database_Productkaarten[#All],51,FALSE)*Optimalisatie!J84),Baseline_Backlog!Q502),0))</f>
        <v>0</v>
      </c>
      <c r="R502" s="91">
        <f>(IF(Optimalisatie!C84="Bestaande Situatie",_xlfn.IFNA(IF(Optimalisatie!E84="Categorie_1_LCA_Producten",VLOOKUP(Inschrijf_Fossiele_Energie_Totaal[[#This Row],[Product]],Categorie_1_Producten[#All],37,FALSE)*(Optimalisatie!J84),VLOOKUP(Inschrijf_Fossiele_Energie_Totaal[[#This Row],[Product]]&amp;", "&amp;Inschrijf_Fossiele_Energie_Totaal[[#Headers],[D]],Database_Productkaarten[#All],51,FALSE)*Optimalisatie!J84),Baseline_Backlog!S502),0))</f>
        <v>0</v>
      </c>
      <c r="S502" s="91">
        <f>SUM(Inschrijf_Fossiele_Energie_Totaal[[#This Row],[A1-A3]:[C4]])+Inschrijf_Fossiele_Energie_Totaal[[#This Row],[D]]</f>
        <v>0</v>
      </c>
    </row>
    <row r="503" spans="2:19">
      <c r="B503" s="208">
        <f>Optimalisatie!B85</f>
        <v>0</v>
      </c>
      <c r="C503" s="1">
        <f>Optimalisatie!F85</f>
        <v>0</v>
      </c>
      <c r="D503" s="91">
        <f>(IF(Optimalisatie!C85="Nieuwe Situatie",_xlfn.IFNA(IF(Optimalisatie!E85="Categorie_1_LCA_Producten",VLOOKUP(Inschrijf_Fossiele_Energie_Totaal[[#This Row],[Product]],Categorie_1_Producten[#All],26,FALSE)*(Optimalisatie!J85),VLOOKUP(Inschrijf_Fossiele_Energie_Totaal[[#This Row],[Product]]&amp;", "&amp;Inschrijf_Fossiele_Energie_Totaal[[#Headers],[A1]],Database_Productkaarten[#All],51,FALSE)*Optimalisatie!J85),Baseline_Backlog!D503),0))</f>
        <v>0</v>
      </c>
      <c r="E503" s="91">
        <f>(IF(Optimalisatie!C85="Nieuwe Situatie",_xlfn.IFNA(IF(Optimalisatie!E85="Categorie_1_LCA_Producten",VLOOKUP(Inschrijf_Fossiele_Energie_Totaal[[#This Row],[Product]],Categorie_1_Producten[#All],27,FALSE)*(Optimalisatie!J85),VLOOKUP(Inschrijf_Fossiele_Energie_Totaal[[#This Row],[Product]]&amp;", "&amp;Inschrijf_Fossiele_Energie_Totaal[[#Headers],[A2]],Database_Productkaarten[#All],51,FALSE)*Optimalisatie!J85),Baseline_Backlog!E503),0))</f>
        <v>0</v>
      </c>
      <c r="F503" s="91">
        <f>(IF(Optimalisatie!C85="Nieuwe Situatie",_xlfn.IFNA(IF(Optimalisatie!E85="Categorie_1_LCA_Producten",VLOOKUP(Inschrijf_Fossiele_Energie_Totaal[[#This Row],[Product]],Categorie_1_Producten[#All],28,FALSE)*(Optimalisatie!J85),VLOOKUP(Inschrijf_Fossiele_Energie_Totaal[[#This Row],[Product]]&amp;", "&amp;Inschrijf_Fossiele_Energie_Totaal[[#Headers],[A3]],Database_Productkaarten[#All],51,FALSE)*Optimalisatie!J85),Baseline_Backlog!F503),0))</f>
        <v>0</v>
      </c>
      <c r="G503" s="91">
        <f>(IF(Optimalisatie!C85="Nieuwe Situatie",_xlfn.IFNA(IF(Optimalisatie!E85="Categorie_1_LCA_Producten",VLOOKUP(Inschrijf_Fossiele_Energie_Totaal[[#This Row],[Product]],Categorie_1_Producten[#All],35,FALSE)*(Optimalisatie!J85),VLOOKUP(Inschrijf_Fossiele_Energie_Totaal[[#This Row],[Product]]&amp;", "&amp;Inschrijf_Fossiele_Energie_Totaal[[#Headers],[A1-A3]],Database_Productkaarten[#All],51,FALSE)*Optimalisatie!J85),Baseline_Backlog!G503),0))</f>
        <v>0</v>
      </c>
      <c r="H503" s="91">
        <f>(IF(Optimalisatie!C85="Nieuwe Situatie",_xlfn.IFNA(VLOOKUP(Optimalisatie!V85,Database_Transport[#All],45,FALSE)*(Optimalisatie!R85*Optimalisatie!U85),Baseline_Backlog!H503),0))</f>
        <v>0</v>
      </c>
      <c r="I503" s="91">
        <f>IF(Optimalisatie!C85="Nieuwe situatie",IF(_xlfn.IFNA((VLOOKUP(Optimalisatie!W85,Database_Asfalt_Aanlegset[#All],45,FALSE)*Optimalisatie!J85),0)+_xlfn.IFNA(VLOOKUP(Optimalisatie!X85,Database_Brandstoffen[#All],45,FALSE)*((Optimalisatie!J85/Optimalisatie!Z85)*Optimalisatie!Y85),0)&gt;0,_xlfn.IFNA((VLOOKUP(Optimalisatie!W85,Database_Asfalt_Aanlegset[#All],45,FALSE)*Optimalisatie!J85),0)+_xlfn.IFNA(VLOOKUP(Optimalisatie!X85,Database_Brandstoffen[#All],45,FALSE)*((Optimalisatie!J85/Optimalisatie!Z85)*Optimalisatie!Y85),0),(_xlfn.IFNA(VLOOKUP(Inschrijf_Fossiele_Energie_Totaal[[#This Row],[Product]]&amp;", "&amp;Inschrijf_MKI_Totaal[[#Headers],[A5]],Database_Productkaarten[#All],51,FALSE),0)*Optimalisatie!J85)),0)</f>
        <v>0</v>
      </c>
      <c r="J503" s="91">
        <f>(IF(Optimalisatie!C85="Nieuwe Situatie",_xlfn.IFNA(IF(Optimalisatie!E85="Categorie_1_LCA_Producten",VLOOKUP(Inschrijf_Fossiele_Energie_Totaal[[#This Row],[Product]],Categorie_1_Producten[#All],36,FALSE)*(Optimalisatie!R85),VLOOKUP(Inschrijf_Fossiele_Energie_Totaal[[#This Row],[Product]]&amp;", "&amp;Inschrijf_Fossiele_Energie_Totaal[[#Headers],[B1]],Database_Productkaarten[#All],51,FALSE)*Optimalisatie!J85),Baseline_Backlog!J503),0))</f>
        <v>0</v>
      </c>
      <c r="K503" s="91">
        <f>(IF(Optimalisatie!C85="Nieuwe Situatie",_xlfn.IFNA(SUM(Inschrijf_Fossiele_Energie_Totaal[[#This Row],[A1]:[B1]],Inschrijf_Fossiele_Energie_Totaal[[#This Row],[C1]:[D2]])*Optimalisatie!T85,0),0))</f>
        <v>0</v>
      </c>
      <c r="L503" s="91">
        <f>IF(Optimalisatie!C85="Bestaande situatie",IF(_xlfn.IFNA((VLOOKUP(Optimalisatie!AA85,Database_Asfalt_Verwijderset[#All],45,FALSE)*Optimalisatie!J85),0)+_xlfn.IFNA(VLOOKUP(Optimalisatie!AB85,Database_Brandstoffen[#All],45,FALSE)*((Optimalisatie!J85/Optimalisatie!AD85)*Optimalisatie!AC85),0)&gt;0,_xlfn.IFNA((VLOOKUP(Optimalisatie!AA85,Database_Asfalt_Verwijderset[#All],45,FALSE)*Optimalisatie!J85),0)+_xlfn.IFNA(VLOOKUP(Optimalisatie!AB85,Database_Brandstoffen[#All],45,FALSE)*((Optimalisatie!J85/Optimalisatie!AD85)*Optimalisatie!AC85),0),(_xlfn.IFNA(VLOOKUP(Inschrijf_Fossiele_Energie_Totaal[[#This Row],[Product]]&amp;", "&amp;Inschrijf_MKI_Totaal[[#Headers],[C1]],Database_Productkaarten[#All],51,FALSE),0)*Optimalisatie!J85)),0)</f>
        <v>0</v>
      </c>
      <c r="M503" s="91">
        <f>(IF(Optimalisatie!C85="Bestaande Situatie",_xlfn.IFNA(VLOOKUP(Optimalisatie!AF85,Database_Transport[#All],45,FALSE)*(Optimalisatie!R85*Optimalisatie!AE85),Baseline_Backlog!M503),0))</f>
        <v>0</v>
      </c>
      <c r="N503" s="91">
        <f>(IF(Optimalisatie!C85="Bestaande Situatie",_xlfn.IFNA(VLOOKUP(Optimalisatie!AG85,Database_Asfalt_Verwerkingsset[#All],45,FALSE)*(Optimalisatie!J85/VLOOKUP(Optimalisatie!AG85,Database_Asfalt_Verwerkingsset[#All],45,FALSE)),Baseline_Backlog!N503),0))</f>
        <v>0</v>
      </c>
      <c r="O503" s="91">
        <f>(IF(Optimalisatie!C85="Bestaande Situatie",_xlfn.IFNA(VLOOKUP(Inschrijf_Fossiele_Energie_Totaal[[#This Row],[Product]]&amp;", "&amp;Inschrijf_MKI_Totaal[[#Headers],[C4]],Database_Productkaarten[#All],51,FALSE)*Optimalisatie!J85,Baseline_Backlog!O503),0))</f>
        <v>0</v>
      </c>
      <c r="P503" s="91">
        <f>(IF(Optimalisatie!C85="Bestaande Situatie",_xlfn.IFNA(IF(Optimalisatie!E85="Categorie_1_LCA_Producten",VLOOKUP(Inschrijf_Fossiele_Energie_Totaal[[#This Row],[Product]],Categorie_1_Producten[#All],30,FALSE)*(Optimalisatie!J85),VLOOKUP(Inschrijf_Fossiele_Energie_Totaal[[#This Row],[Product]]&amp;", "&amp;Inschrijf_Fossiele_Energie_Totaal[[#Headers],[D1]],Database_Productkaarten[#All],51,FALSE)*Optimalisatie!J85),Baseline_Backlog!P503),0))</f>
        <v>0</v>
      </c>
      <c r="Q503" s="91">
        <f>(IF(Optimalisatie!C85="Bestaande Situatie",_xlfn.IFNA(IF(Optimalisatie!E85="Categorie_1_LCA_Producten",VLOOKUP(Inschrijf_Fossiele_Energie_Totaal[[#This Row],[Product]],Categorie_1_Producten[#All],31,FALSE)*(Optimalisatie!J85),VLOOKUP(Inschrijf_Fossiele_Energie_Totaal[[#This Row],[Product]]&amp;", "&amp;Inschrijf_Fossiele_Energie_Totaal[[#Headers],[D2]],Database_Productkaarten[#All],51,FALSE)*Optimalisatie!J85),Baseline_Backlog!Q503),0))</f>
        <v>0</v>
      </c>
      <c r="R503" s="91">
        <f>(IF(Optimalisatie!C85="Bestaande Situatie",_xlfn.IFNA(IF(Optimalisatie!E85="Categorie_1_LCA_Producten",VLOOKUP(Inschrijf_Fossiele_Energie_Totaal[[#This Row],[Product]],Categorie_1_Producten[#All],37,FALSE)*(Optimalisatie!J85),VLOOKUP(Inschrijf_Fossiele_Energie_Totaal[[#This Row],[Product]]&amp;", "&amp;Inschrijf_Fossiele_Energie_Totaal[[#Headers],[D]],Database_Productkaarten[#All],51,FALSE)*Optimalisatie!J85),Baseline_Backlog!S503),0))</f>
        <v>0</v>
      </c>
      <c r="S503" s="91">
        <f>SUM(Inschrijf_Fossiele_Energie_Totaal[[#This Row],[A1-A3]:[C4]])+Inschrijf_Fossiele_Energie_Totaal[[#This Row],[D]]</f>
        <v>0</v>
      </c>
    </row>
    <row r="504" spans="2:19">
      <c r="B504" s="208">
        <f>Optimalisatie!B86</f>
        <v>0</v>
      </c>
      <c r="C504" s="1">
        <f>Optimalisatie!F86</f>
        <v>0</v>
      </c>
      <c r="D504" s="91">
        <f>(IF(Optimalisatie!C86="Nieuwe Situatie",_xlfn.IFNA(IF(Optimalisatie!E86="Categorie_1_LCA_Producten",VLOOKUP(Inschrijf_Fossiele_Energie_Totaal[[#This Row],[Product]],Categorie_1_Producten[#All],26,FALSE)*(Optimalisatie!J86),VLOOKUP(Inschrijf_Fossiele_Energie_Totaal[[#This Row],[Product]]&amp;", "&amp;Inschrijf_Fossiele_Energie_Totaal[[#Headers],[A1]],Database_Productkaarten[#All],51,FALSE)*Optimalisatie!J86),Baseline_Backlog!D504),0))</f>
        <v>0</v>
      </c>
      <c r="E504" s="91">
        <f>(IF(Optimalisatie!C86="Nieuwe Situatie",_xlfn.IFNA(IF(Optimalisatie!E86="Categorie_1_LCA_Producten",VLOOKUP(Inschrijf_Fossiele_Energie_Totaal[[#This Row],[Product]],Categorie_1_Producten[#All],27,FALSE)*(Optimalisatie!J86),VLOOKUP(Inschrijf_Fossiele_Energie_Totaal[[#This Row],[Product]]&amp;", "&amp;Inschrijf_Fossiele_Energie_Totaal[[#Headers],[A2]],Database_Productkaarten[#All],51,FALSE)*Optimalisatie!J86),Baseline_Backlog!E504),0))</f>
        <v>0</v>
      </c>
      <c r="F504" s="91">
        <f>(IF(Optimalisatie!C86="Nieuwe Situatie",_xlfn.IFNA(IF(Optimalisatie!E86="Categorie_1_LCA_Producten",VLOOKUP(Inschrijf_Fossiele_Energie_Totaal[[#This Row],[Product]],Categorie_1_Producten[#All],28,FALSE)*(Optimalisatie!J86),VLOOKUP(Inschrijf_Fossiele_Energie_Totaal[[#This Row],[Product]]&amp;", "&amp;Inschrijf_Fossiele_Energie_Totaal[[#Headers],[A3]],Database_Productkaarten[#All],51,FALSE)*Optimalisatie!J86),Baseline_Backlog!F504),0))</f>
        <v>0</v>
      </c>
      <c r="G504" s="91">
        <f>(IF(Optimalisatie!C86="Nieuwe Situatie",_xlfn.IFNA(IF(Optimalisatie!E86="Categorie_1_LCA_Producten",VLOOKUP(Inschrijf_Fossiele_Energie_Totaal[[#This Row],[Product]],Categorie_1_Producten[#All],35,FALSE)*(Optimalisatie!J86),VLOOKUP(Inschrijf_Fossiele_Energie_Totaal[[#This Row],[Product]]&amp;", "&amp;Inschrijf_Fossiele_Energie_Totaal[[#Headers],[A1-A3]],Database_Productkaarten[#All],51,FALSE)*Optimalisatie!J86),Baseline_Backlog!G504),0))</f>
        <v>0</v>
      </c>
      <c r="H504" s="91">
        <f>(IF(Optimalisatie!C86="Nieuwe Situatie",_xlfn.IFNA(VLOOKUP(Optimalisatie!V86,Database_Transport[#All],45,FALSE)*(Optimalisatie!R86*Optimalisatie!U86),Baseline_Backlog!H504),0))</f>
        <v>0</v>
      </c>
      <c r="I504" s="91">
        <f>IF(Optimalisatie!C86="Nieuwe situatie",IF(_xlfn.IFNA((VLOOKUP(Optimalisatie!W86,Database_Asfalt_Aanlegset[#All],45,FALSE)*Optimalisatie!J86),0)+_xlfn.IFNA(VLOOKUP(Optimalisatie!X86,Database_Brandstoffen[#All],45,FALSE)*((Optimalisatie!J86/Optimalisatie!Z86)*Optimalisatie!Y86),0)&gt;0,_xlfn.IFNA((VLOOKUP(Optimalisatie!W86,Database_Asfalt_Aanlegset[#All],45,FALSE)*Optimalisatie!J86),0)+_xlfn.IFNA(VLOOKUP(Optimalisatie!X86,Database_Brandstoffen[#All],45,FALSE)*((Optimalisatie!J86/Optimalisatie!Z86)*Optimalisatie!Y86),0),(_xlfn.IFNA(VLOOKUP(Inschrijf_Fossiele_Energie_Totaal[[#This Row],[Product]]&amp;", "&amp;Inschrijf_MKI_Totaal[[#Headers],[A5]],Database_Productkaarten[#All],51,FALSE),0)*Optimalisatie!J86)),0)</f>
        <v>0</v>
      </c>
      <c r="J504" s="91">
        <f>(IF(Optimalisatie!C86="Nieuwe Situatie",_xlfn.IFNA(IF(Optimalisatie!E86="Categorie_1_LCA_Producten",VLOOKUP(Inschrijf_Fossiele_Energie_Totaal[[#This Row],[Product]],Categorie_1_Producten[#All],36,FALSE)*(Optimalisatie!R86),VLOOKUP(Inschrijf_Fossiele_Energie_Totaal[[#This Row],[Product]]&amp;", "&amp;Inschrijf_Fossiele_Energie_Totaal[[#Headers],[B1]],Database_Productkaarten[#All],51,FALSE)*Optimalisatie!J86),Baseline_Backlog!J504),0))</f>
        <v>0</v>
      </c>
      <c r="K504" s="91">
        <f>(IF(Optimalisatie!C86="Nieuwe Situatie",_xlfn.IFNA(SUM(Inschrijf_Fossiele_Energie_Totaal[[#This Row],[A1]:[B1]],Inschrijf_Fossiele_Energie_Totaal[[#This Row],[C1]:[D2]])*Optimalisatie!T86,0),0))</f>
        <v>0</v>
      </c>
      <c r="L504" s="91">
        <f>IF(Optimalisatie!C86="Bestaande situatie",IF(_xlfn.IFNA((VLOOKUP(Optimalisatie!AA86,Database_Asfalt_Verwijderset[#All],45,FALSE)*Optimalisatie!J86),0)+_xlfn.IFNA(VLOOKUP(Optimalisatie!AB86,Database_Brandstoffen[#All],45,FALSE)*((Optimalisatie!J86/Optimalisatie!AD86)*Optimalisatie!AC86),0)&gt;0,_xlfn.IFNA((VLOOKUP(Optimalisatie!AA86,Database_Asfalt_Verwijderset[#All],45,FALSE)*Optimalisatie!J86),0)+_xlfn.IFNA(VLOOKUP(Optimalisatie!AB86,Database_Brandstoffen[#All],45,FALSE)*((Optimalisatie!J86/Optimalisatie!AD86)*Optimalisatie!AC86),0),(_xlfn.IFNA(VLOOKUP(Inschrijf_Fossiele_Energie_Totaal[[#This Row],[Product]]&amp;", "&amp;Inschrijf_MKI_Totaal[[#Headers],[C1]],Database_Productkaarten[#All],51,FALSE),0)*Optimalisatie!J86)),0)</f>
        <v>0</v>
      </c>
      <c r="M504" s="91">
        <f>(IF(Optimalisatie!C86="Bestaande Situatie",_xlfn.IFNA(VLOOKUP(Optimalisatie!AF86,Database_Transport[#All],45,FALSE)*(Optimalisatie!R86*Optimalisatie!AE86),Baseline_Backlog!M504),0))</f>
        <v>0</v>
      </c>
      <c r="N504" s="91">
        <f>(IF(Optimalisatie!C86="Bestaande Situatie",_xlfn.IFNA(VLOOKUP(Optimalisatie!AG86,Database_Asfalt_Verwerkingsset[#All],45,FALSE)*(Optimalisatie!J86/VLOOKUP(Optimalisatie!AG86,Database_Asfalt_Verwerkingsset[#All],45,FALSE)),Baseline_Backlog!N504),0))</f>
        <v>0</v>
      </c>
      <c r="O504" s="91">
        <f>(IF(Optimalisatie!C86="Bestaande Situatie",_xlfn.IFNA(VLOOKUP(Inschrijf_Fossiele_Energie_Totaal[[#This Row],[Product]]&amp;", "&amp;Inschrijf_MKI_Totaal[[#Headers],[C4]],Database_Productkaarten[#All],51,FALSE)*Optimalisatie!J86,Baseline_Backlog!O504),0))</f>
        <v>0</v>
      </c>
      <c r="P504" s="91">
        <f>(IF(Optimalisatie!C86="Bestaande Situatie",_xlfn.IFNA(IF(Optimalisatie!E86="Categorie_1_LCA_Producten",VLOOKUP(Inschrijf_Fossiele_Energie_Totaal[[#This Row],[Product]],Categorie_1_Producten[#All],30,FALSE)*(Optimalisatie!J86),VLOOKUP(Inschrijf_Fossiele_Energie_Totaal[[#This Row],[Product]]&amp;", "&amp;Inschrijf_Fossiele_Energie_Totaal[[#Headers],[D1]],Database_Productkaarten[#All],51,FALSE)*Optimalisatie!J86),Baseline_Backlog!P504),0))</f>
        <v>0</v>
      </c>
      <c r="Q504" s="91">
        <f>(IF(Optimalisatie!C86="Bestaande Situatie",_xlfn.IFNA(IF(Optimalisatie!E86="Categorie_1_LCA_Producten",VLOOKUP(Inschrijf_Fossiele_Energie_Totaal[[#This Row],[Product]],Categorie_1_Producten[#All],31,FALSE)*(Optimalisatie!J86),VLOOKUP(Inschrijf_Fossiele_Energie_Totaal[[#This Row],[Product]]&amp;", "&amp;Inschrijf_Fossiele_Energie_Totaal[[#Headers],[D2]],Database_Productkaarten[#All],51,FALSE)*Optimalisatie!J86),Baseline_Backlog!Q504),0))</f>
        <v>0</v>
      </c>
      <c r="R504" s="91">
        <f>(IF(Optimalisatie!C86="Bestaande Situatie",_xlfn.IFNA(IF(Optimalisatie!E86="Categorie_1_LCA_Producten",VLOOKUP(Inschrijf_Fossiele_Energie_Totaal[[#This Row],[Product]],Categorie_1_Producten[#All],37,FALSE)*(Optimalisatie!J86),VLOOKUP(Inschrijf_Fossiele_Energie_Totaal[[#This Row],[Product]]&amp;", "&amp;Inschrijf_Fossiele_Energie_Totaal[[#Headers],[D]],Database_Productkaarten[#All],51,FALSE)*Optimalisatie!J86),Baseline_Backlog!S504),0))</f>
        <v>0</v>
      </c>
      <c r="S504" s="91">
        <f>SUM(Inschrijf_Fossiele_Energie_Totaal[[#This Row],[A1-A3]:[C4]])+Inschrijf_Fossiele_Energie_Totaal[[#This Row],[D]]</f>
        <v>0</v>
      </c>
    </row>
    <row r="505" spans="2:19">
      <c r="B505" s="208">
        <f>Optimalisatie!B87</f>
        <v>0</v>
      </c>
      <c r="C505" s="1">
        <f>Optimalisatie!F87</f>
        <v>0</v>
      </c>
      <c r="D505" s="91">
        <f>(IF(Optimalisatie!C87="Nieuwe Situatie",_xlfn.IFNA(IF(Optimalisatie!E87="Categorie_1_LCA_Producten",VLOOKUP(Inschrijf_Fossiele_Energie_Totaal[[#This Row],[Product]],Categorie_1_Producten[#All],26,FALSE)*(Optimalisatie!J87),VLOOKUP(Inschrijf_Fossiele_Energie_Totaal[[#This Row],[Product]]&amp;", "&amp;Inschrijf_Fossiele_Energie_Totaal[[#Headers],[A1]],Database_Productkaarten[#All],51,FALSE)*Optimalisatie!J87),Baseline_Backlog!D505),0))</f>
        <v>0</v>
      </c>
      <c r="E505" s="91">
        <f>(IF(Optimalisatie!C87="Nieuwe Situatie",_xlfn.IFNA(IF(Optimalisatie!E87="Categorie_1_LCA_Producten",VLOOKUP(Inschrijf_Fossiele_Energie_Totaal[[#This Row],[Product]],Categorie_1_Producten[#All],27,FALSE)*(Optimalisatie!J87),VLOOKUP(Inschrijf_Fossiele_Energie_Totaal[[#This Row],[Product]]&amp;", "&amp;Inschrijf_Fossiele_Energie_Totaal[[#Headers],[A2]],Database_Productkaarten[#All],51,FALSE)*Optimalisatie!J87),Baseline_Backlog!E505),0))</f>
        <v>0</v>
      </c>
      <c r="F505" s="91">
        <f>(IF(Optimalisatie!C87="Nieuwe Situatie",_xlfn.IFNA(IF(Optimalisatie!E87="Categorie_1_LCA_Producten",VLOOKUP(Inschrijf_Fossiele_Energie_Totaal[[#This Row],[Product]],Categorie_1_Producten[#All],28,FALSE)*(Optimalisatie!J87),VLOOKUP(Inschrijf_Fossiele_Energie_Totaal[[#This Row],[Product]]&amp;", "&amp;Inschrijf_Fossiele_Energie_Totaal[[#Headers],[A3]],Database_Productkaarten[#All],51,FALSE)*Optimalisatie!J87),Baseline_Backlog!F505),0))</f>
        <v>0</v>
      </c>
      <c r="G505" s="91">
        <f>(IF(Optimalisatie!C87="Nieuwe Situatie",_xlfn.IFNA(IF(Optimalisatie!E87="Categorie_1_LCA_Producten",VLOOKUP(Inschrijf_Fossiele_Energie_Totaal[[#This Row],[Product]],Categorie_1_Producten[#All],35,FALSE)*(Optimalisatie!J87),VLOOKUP(Inschrijf_Fossiele_Energie_Totaal[[#This Row],[Product]]&amp;", "&amp;Inschrijf_Fossiele_Energie_Totaal[[#Headers],[A1-A3]],Database_Productkaarten[#All],51,FALSE)*Optimalisatie!J87),Baseline_Backlog!G505),0))</f>
        <v>0</v>
      </c>
      <c r="H505" s="91">
        <f>(IF(Optimalisatie!C87="Nieuwe Situatie",_xlfn.IFNA(VLOOKUP(Optimalisatie!V87,Database_Transport[#All],45,FALSE)*(Optimalisatie!R87*Optimalisatie!U87),Baseline_Backlog!H505),0))</f>
        <v>0</v>
      </c>
      <c r="I505" s="91">
        <f>IF(Optimalisatie!C87="Nieuwe situatie",IF(_xlfn.IFNA((VLOOKUP(Optimalisatie!W87,Database_Asfalt_Aanlegset[#All],45,FALSE)*Optimalisatie!J87),0)+_xlfn.IFNA(VLOOKUP(Optimalisatie!X87,Database_Brandstoffen[#All],45,FALSE)*((Optimalisatie!J87/Optimalisatie!Z87)*Optimalisatie!Y87),0)&gt;0,_xlfn.IFNA((VLOOKUP(Optimalisatie!W87,Database_Asfalt_Aanlegset[#All],45,FALSE)*Optimalisatie!J87),0)+_xlfn.IFNA(VLOOKUP(Optimalisatie!X87,Database_Brandstoffen[#All],45,FALSE)*((Optimalisatie!J87/Optimalisatie!Z87)*Optimalisatie!Y87),0),(_xlfn.IFNA(VLOOKUP(Inschrijf_Fossiele_Energie_Totaal[[#This Row],[Product]]&amp;", "&amp;Inschrijf_MKI_Totaal[[#Headers],[A5]],Database_Productkaarten[#All],51,FALSE),0)*Optimalisatie!J87)),0)</f>
        <v>0</v>
      </c>
      <c r="J505" s="91">
        <f>(IF(Optimalisatie!C87="Nieuwe Situatie",_xlfn.IFNA(IF(Optimalisatie!E87="Categorie_1_LCA_Producten",VLOOKUP(Inschrijf_Fossiele_Energie_Totaal[[#This Row],[Product]],Categorie_1_Producten[#All],36,FALSE)*(Optimalisatie!R87),VLOOKUP(Inschrijf_Fossiele_Energie_Totaal[[#This Row],[Product]]&amp;", "&amp;Inschrijf_Fossiele_Energie_Totaal[[#Headers],[B1]],Database_Productkaarten[#All],51,FALSE)*Optimalisatie!J87),Baseline_Backlog!J505),0))</f>
        <v>0</v>
      </c>
      <c r="K505" s="91">
        <f>(IF(Optimalisatie!C87="Nieuwe Situatie",_xlfn.IFNA(SUM(Inschrijf_Fossiele_Energie_Totaal[[#This Row],[A1]:[B1]],Inschrijf_Fossiele_Energie_Totaal[[#This Row],[C1]:[D2]])*Optimalisatie!T87,0),0))</f>
        <v>0</v>
      </c>
      <c r="L505" s="91">
        <f>IF(Optimalisatie!C87="Bestaande situatie",IF(_xlfn.IFNA((VLOOKUP(Optimalisatie!AA87,Database_Asfalt_Verwijderset[#All],45,FALSE)*Optimalisatie!J87),0)+_xlfn.IFNA(VLOOKUP(Optimalisatie!AB87,Database_Brandstoffen[#All],45,FALSE)*((Optimalisatie!J87/Optimalisatie!AD87)*Optimalisatie!AC87),0)&gt;0,_xlfn.IFNA((VLOOKUP(Optimalisatie!AA87,Database_Asfalt_Verwijderset[#All],45,FALSE)*Optimalisatie!J87),0)+_xlfn.IFNA(VLOOKUP(Optimalisatie!AB87,Database_Brandstoffen[#All],45,FALSE)*((Optimalisatie!J87/Optimalisatie!AD87)*Optimalisatie!AC87),0),(_xlfn.IFNA(VLOOKUP(Inschrijf_Fossiele_Energie_Totaal[[#This Row],[Product]]&amp;", "&amp;Inschrijf_MKI_Totaal[[#Headers],[C1]],Database_Productkaarten[#All],51,FALSE),0)*Optimalisatie!J87)),0)</f>
        <v>0</v>
      </c>
      <c r="M505" s="91">
        <f>(IF(Optimalisatie!C87="Bestaande Situatie",_xlfn.IFNA(VLOOKUP(Optimalisatie!AF87,Database_Transport[#All],45,FALSE)*(Optimalisatie!R87*Optimalisatie!AE87),Baseline_Backlog!M505),0))</f>
        <v>0</v>
      </c>
      <c r="N505" s="91">
        <f>(IF(Optimalisatie!C87="Bestaande Situatie",_xlfn.IFNA(VLOOKUP(Optimalisatie!AG87,Database_Asfalt_Verwerkingsset[#All],45,FALSE)*(Optimalisatie!J87/VLOOKUP(Optimalisatie!AG87,Database_Asfalt_Verwerkingsset[#All],45,FALSE)),Baseline_Backlog!N505),0))</f>
        <v>0</v>
      </c>
      <c r="O505" s="91">
        <f>(IF(Optimalisatie!C87="Bestaande Situatie",_xlfn.IFNA(VLOOKUP(Inschrijf_Fossiele_Energie_Totaal[[#This Row],[Product]]&amp;", "&amp;Inschrijf_MKI_Totaal[[#Headers],[C4]],Database_Productkaarten[#All],51,FALSE)*Optimalisatie!J87,Baseline_Backlog!O505),0))</f>
        <v>0</v>
      </c>
      <c r="P505" s="91">
        <f>(IF(Optimalisatie!C87="Bestaande Situatie",_xlfn.IFNA(IF(Optimalisatie!E87="Categorie_1_LCA_Producten",VLOOKUP(Inschrijf_Fossiele_Energie_Totaal[[#This Row],[Product]],Categorie_1_Producten[#All],30,FALSE)*(Optimalisatie!J87),VLOOKUP(Inschrijf_Fossiele_Energie_Totaal[[#This Row],[Product]]&amp;", "&amp;Inschrijf_Fossiele_Energie_Totaal[[#Headers],[D1]],Database_Productkaarten[#All],51,FALSE)*Optimalisatie!J87),Baseline_Backlog!P505),0))</f>
        <v>0</v>
      </c>
      <c r="Q505" s="91">
        <f>(IF(Optimalisatie!C87="Bestaande Situatie",_xlfn.IFNA(IF(Optimalisatie!E87="Categorie_1_LCA_Producten",VLOOKUP(Inschrijf_Fossiele_Energie_Totaal[[#This Row],[Product]],Categorie_1_Producten[#All],31,FALSE)*(Optimalisatie!J87),VLOOKUP(Inschrijf_Fossiele_Energie_Totaal[[#This Row],[Product]]&amp;", "&amp;Inschrijf_Fossiele_Energie_Totaal[[#Headers],[D2]],Database_Productkaarten[#All],51,FALSE)*Optimalisatie!J87),Baseline_Backlog!Q505),0))</f>
        <v>0</v>
      </c>
      <c r="R505" s="91">
        <f>(IF(Optimalisatie!C87="Bestaande Situatie",_xlfn.IFNA(IF(Optimalisatie!E87="Categorie_1_LCA_Producten",VLOOKUP(Inschrijf_Fossiele_Energie_Totaal[[#This Row],[Product]],Categorie_1_Producten[#All],37,FALSE)*(Optimalisatie!J87),VLOOKUP(Inschrijf_Fossiele_Energie_Totaal[[#This Row],[Product]]&amp;", "&amp;Inschrijf_Fossiele_Energie_Totaal[[#Headers],[D]],Database_Productkaarten[#All],51,FALSE)*Optimalisatie!J87),Baseline_Backlog!S505),0))</f>
        <v>0</v>
      </c>
      <c r="S505" s="91">
        <f>SUM(Inschrijf_Fossiele_Energie_Totaal[[#This Row],[A1-A3]:[C4]])+Inschrijf_Fossiele_Energie_Totaal[[#This Row],[D]]</f>
        <v>0</v>
      </c>
    </row>
    <row r="506" spans="2:19">
      <c r="B506" s="208">
        <f>Optimalisatie!B88</f>
        <v>0</v>
      </c>
      <c r="C506" s="1">
        <f>Optimalisatie!F88</f>
        <v>0</v>
      </c>
      <c r="D506" s="91">
        <f>(IF(Optimalisatie!C88="Nieuwe Situatie",_xlfn.IFNA(IF(Optimalisatie!E88="Categorie_1_LCA_Producten",VLOOKUP(Inschrijf_Fossiele_Energie_Totaal[[#This Row],[Product]],Categorie_1_Producten[#All],26,FALSE)*(Optimalisatie!J88),VLOOKUP(Inschrijf_Fossiele_Energie_Totaal[[#This Row],[Product]]&amp;", "&amp;Inschrijf_Fossiele_Energie_Totaal[[#Headers],[A1]],Database_Productkaarten[#All],51,FALSE)*Optimalisatie!J88),Baseline_Backlog!D506),0))</f>
        <v>0</v>
      </c>
      <c r="E506" s="91">
        <f>(IF(Optimalisatie!C88="Nieuwe Situatie",_xlfn.IFNA(IF(Optimalisatie!E88="Categorie_1_LCA_Producten",VLOOKUP(Inschrijf_Fossiele_Energie_Totaal[[#This Row],[Product]],Categorie_1_Producten[#All],27,FALSE)*(Optimalisatie!J88),VLOOKUP(Inschrijf_Fossiele_Energie_Totaal[[#This Row],[Product]]&amp;", "&amp;Inschrijf_Fossiele_Energie_Totaal[[#Headers],[A2]],Database_Productkaarten[#All],51,FALSE)*Optimalisatie!J88),Baseline_Backlog!E506),0))</f>
        <v>0</v>
      </c>
      <c r="F506" s="91">
        <f>(IF(Optimalisatie!C88="Nieuwe Situatie",_xlfn.IFNA(IF(Optimalisatie!E88="Categorie_1_LCA_Producten",VLOOKUP(Inschrijf_Fossiele_Energie_Totaal[[#This Row],[Product]],Categorie_1_Producten[#All],28,FALSE)*(Optimalisatie!J88),VLOOKUP(Inschrijf_Fossiele_Energie_Totaal[[#This Row],[Product]]&amp;", "&amp;Inschrijf_Fossiele_Energie_Totaal[[#Headers],[A3]],Database_Productkaarten[#All],51,FALSE)*Optimalisatie!J88),Baseline_Backlog!F506),0))</f>
        <v>0</v>
      </c>
      <c r="G506" s="91">
        <f>(IF(Optimalisatie!C88="Nieuwe Situatie",_xlfn.IFNA(IF(Optimalisatie!E88="Categorie_1_LCA_Producten",VLOOKUP(Inschrijf_Fossiele_Energie_Totaal[[#This Row],[Product]],Categorie_1_Producten[#All],35,FALSE)*(Optimalisatie!J88),VLOOKUP(Inschrijf_Fossiele_Energie_Totaal[[#This Row],[Product]]&amp;", "&amp;Inschrijf_Fossiele_Energie_Totaal[[#Headers],[A1-A3]],Database_Productkaarten[#All],51,FALSE)*Optimalisatie!J88),Baseline_Backlog!G506),0))</f>
        <v>0</v>
      </c>
      <c r="H506" s="91">
        <f>(IF(Optimalisatie!C88="Nieuwe Situatie",_xlfn.IFNA(VLOOKUP(Optimalisatie!V88,Database_Transport[#All],45,FALSE)*(Optimalisatie!R88*Optimalisatie!U88),Baseline_Backlog!H506),0))</f>
        <v>0</v>
      </c>
      <c r="I506" s="91">
        <f>IF(Optimalisatie!C88="Nieuwe situatie",IF(_xlfn.IFNA((VLOOKUP(Optimalisatie!W88,Database_Asfalt_Aanlegset[#All],45,FALSE)*Optimalisatie!J88),0)+_xlfn.IFNA(VLOOKUP(Optimalisatie!X88,Database_Brandstoffen[#All],45,FALSE)*((Optimalisatie!J88/Optimalisatie!Z88)*Optimalisatie!Y88),0)&gt;0,_xlfn.IFNA((VLOOKUP(Optimalisatie!W88,Database_Asfalt_Aanlegset[#All],45,FALSE)*Optimalisatie!J88),0)+_xlfn.IFNA(VLOOKUP(Optimalisatie!X88,Database_Brandstoffen[#All],45,FALSE)*((Optimalisatie!J88/Optimalisatie!Z88)*Optimalisatie!Y88),0),(_xlfn.IFNA(VLOOKUP(Inschrijf_Fossiele_Energie_Totaal[[#This Row],[Product]]&amp;", "&amp;Inschrijf_MKI_Totaal[[#Headers],[A5]],Database_Productkaarten[#All],51,FALSE),0)*Optimalisatie!J88)),0)</f>
        <v>0</v>
      </c>
      <c r="J506" s="91">
        <f>(IF(Optimalisatie!C88="Nieuwe Situatie",_xlfn.IFNA(IF(Optimalisatie!E88="Categorie_1_LCA_Producten",VLOOKUP(Inschrijf_Fossiele_Energie_Totaal[[#This Row],[Product]],Categorie_1_Producten[#All],36,FALSE)*(Optimalisatie!R88),VLOOKUP(Inschrijf_Fossiele_Energie_Totaal[[#This Row],[Product]]&amp;", "&amp;Inschrijf_Fossiele_Energie_Totaal[[#Headers],[B1]],Database_Productkaarten[#All],51,FALSE)*Optimalisatie!J88),Baseline_Backlog!J506),0))</f>
        <v>0</v>
      </c>
      <c r="K506" s="91">
        <f>(IF(Optimalisatie!C88="Nieuwe Situatie",_xlfn.IFNA(SUM(Inschrijf_Fossiele_Energie_Totaal[[#This Row],[A1]:[B1]],Inschrijf_Fossiele_Energie_Totaal[[#This Row],[C1]:[D2]])*Optimalisatie!T88,0),0))</f>
        <v>0</v>
      </c>
      <c r="L506" s="91">
        <f>IF(Optimalisatie!C88="Bestaande situatie",IF(_xlfn.IFNA((VLOOKUP(Optimalisatie!AA88,Database_Asfalt_Verwijderset[#All],45,FALSE)*Optimalisatie!J88),0)+_xlfn.IFNA(VLOOKUP(Optimalisatie!AB88,Database_Brandstoffen[#All],45,FALSE)*((Optimalisatie!J88/Optimalisatie!AD88)*Optimalisatie!AC88),0)&gt;0,_xlfn.IFNA((VLOOKUP(Optimalisatie!AA88,Database_Asfalt_Verwijderset[#All],45,FALSE)*Optimalisatie!J88),0)+_xlfn.IFNA(VLOOKUP(Optimalisatie!AB88,Database_Brandstoffen[#All],45,FALSE)*((Optimalisatie!J88/Optimalisatie!AD88)*Optimalisatie!AC88),0),(_xlfn.IFNA(VLOOKUP(Inschrijf_Fossiele_Energie_Totaal[[#This Row],[Product]]&amp;", "&amp;Inschrijf_MKI_Totaal[[#Headers],[C1]],Database_Productkaarten[#All],51,FALSE),0)*Optimalisatie!J88)),0)</f>
        <v>0</v>
      </c>
      <c r="M506" s="91">
        <f>(IF(Optimalisatie!C88="Bestaande Situatie",_xlfn.IFNA(VLOOKUP(Optimalisatie!AF88,Database_Transport[#All],45,FALSE)*(Optimalisatie!R88*Optimalisatie!AE88),Baseline_Backlog!M506),0))</f>
        <v>0</v>
      </c>
      <c r="N506" s="91">
        <f>(IF(Optimalisatie!C88="Bestaande Situatie",_xlfn.IFNA(VLOOKUP(Optimalisatie!AG88,Database_Asfalt_Verwerkingsset[#All],45,FALSE)*(Optimalisatie!J88/VLOOKUP(Optimalisatie!AG88,Database_Asfalt_Verwerkingsset[#All],45,FALSE)),Baseline_Backlog!N506),0))</f>
        <v>0</v>
      </c>
      <c r="O506" s="91">
        <f>(IF(Optimalisatie!C88="Bestaande Situatie",_xlfn.IFNA(VLOOKUP(Inschrijf_Fossiele_Energie_Totaal[[#This Row],[Product]]&amp;", "&amp;Inschrijf_MKI_Totaal[[#Headers],[C4]],Database_Productkaarten[#All],51,FALSE)*Optimalisatie!J88,Baseline_Backlog!O506),0))</f>
        <v>0</v>
      </c>
      <c r="P506" s="91">
        <f>(IF(Optimalisatie!C88="Bestaande Situatie",_xlfn.IFNA(IF(Optimalisatie!E88="Categorie_1_LCA_Producten",VLOOKUP(Inschrijf_Fossiele_Energie_Totaal[[#This Row],[Product]],Categorie_1_Producten[#All],30,FALSE)*(Optimalisatie!J88),VLOOKUP(Inschrijf_Fossiele_Energie_Totaal[[#This Row],[Product]]&amp;", "&amp;Inschrijf_Fossiele_Energie_Totaal[[#Headers],[D1]],Database_Productkaarten[#All],51,FALSE)*Optimalisatie!J88),Baseline_Backlog!P506),0))</f>
        <v>0</v>
      </c>
      <c r="Q506" s="91">
        <f>(IF(Optimalisatie!C88="Bestaande Situatie",_xlfn.IFNA(IF(Optimalisatie!E88="Categorie_1_LCA_Producten",VLOOKUP(Inschrijf_Fossiele_Energie_Totaal[[#This Row],[Product]],Categorie_1_Producten[#All],31,FALSE)*(Optimalisatie!J88),VLOOKUP(Inschrijf_Fossiele_Energie_Totaal[[#This Row],[Product]]&amp;", "&amp;Inschrijf_Fossiele_Energie_Totaal[[#Headers],[D2]],Database_Productkaarten[#All],51,FALSE)*Optimalisatie!J88),Baseline_Backlog!Q506),0))</f>
        <v>0</v>
      </c>
      <c r="R506" s="91">
        <f>(IF(Optimalisatie!C88="Bestaande Situatie",_xlfn.IFNA(IF(Optimalisatie!E88="Categorie_1_LCA_Producten",VLOOKUP(Inschrijf_Fossiele_Energie_Totaal[[#This Row],[Product]],Categorie_1_Producten[#All],37,FALSE)*(Optimalisatie!J88),VLOOKUP(Inschrijf_Fossiele_Energie_Totaal[[#This Row],[Product]]&amp;", "&amp;Inschrijf_Fossiele_Energie_Totaal[[#Headers],[D]],Database_Productkaarten[#All],51,FALSE)*Optimalisatie!J88),Baseline_Backlog!S506),0))</f>
        <v>0</v>
      </c>
      <c r="S506" s="91">
        <f>SUM(Inschrijf_Fossiele_Energie_Totaal[[#This Row],[A1-A3]:[C4]])+Inschrijf_Fossiele_Energie_Totaal[[#This Row],[D]]</f>
        <v>0</v>
      </c>
    </row>
    <row r="507" spans="2:19">
      <c r="B507" s="208">
        <f>Optimalisatie!B89</f>
        <v>0</v>
      </c>
      <c r="C507" s="1">
        <f>Optimalisatie!F89</f>
        <v>0</v>
      </c>
      <c r="D507" s="91">
        <f>(IF(Optimalisatie!C89="Nieuwe Situatie",_xlfn.IFNA(IF(Optimalisatie!E89="Categorie_1_LCA_Producten",VLOOKUP(Inschrijf_Fossiele_Energie_Totaal[[#This Row],[Product]],Categorie_1_Producten[#All],26,FALSE)*(Optimalisatie!J89),VLOOKUP(Inschrijf_Fossiele_Energie_Totaal[[#This Row],[Product]]&amp;", "&amp;Inschrijf_Fossiele_Energie_Totaal[[#Headers],[A1]],Database_Productkaarten[#All],51,FALSE)*Optimalisatie!J89),Baseline_Backlog!D507),0))</f>
        <v>0</v>
      </c>
      <c r="E507" s="91">
        <f>(IF(Optimalisatie!C89="Nieuwe Situatie",_xlfn.IFNA(IF(Optimalisatie!E89="Categorie_1_LCA_Producten",VLOOKUP(Inschrijf_Fossiele_Energie_Totaal[[#This Row],[Product]],Categorie_1_Producten[#All],27,FALSE)*(Optimalisatie!J89),VLOOKUP(Inschrijf_Fossiele_Energie_Totaal[[#This Row],[Product]]&amp;", "&amp;Inschrijf_Fossiele_Energie_Totaal[[#Headers],[A2]],Database_Productkaarten[#All],51,FALSE)*Optimalisatie!J89),Baseline_Backlog!E507),0))</f>
        <v>0</v>
      </c>
      <c r="F507" s="91">
        <f>(IF(Optimalisatie!C89="Nieuwe Situatie",_xlfn.IFNA(IF(Optimalisatie!E89="Categorie_1_LCA_Producten",VLOOKUP(Inschrijf_Fossiele_Energie_Totaal[[#This Row],[Product]],Categorie_1_Producten[#All],28,FALSE)*(Optimalisatie!J89),VLOOKUP(Inschrijf_Fossiele_Energie_Totaal[[#This Row],[Product]]&amp;", "&amp;Inschrijf_Fossiele_Energie_Totaal[[#Headers],[A3]],Database_Productkaarten[#All],51,FALSE)*Optimalisatie!J89),Baseline_Backlog!F507),0))</f>
        <v>0</v>
      </c>
      <c r="G507" s="91">
        <f>(IF(Optimalisatie!C89="Nieuwe Situatie",_xlfn.IFNA(IF(Optimalisatie!E89="Categorie_1_LCA_Producten",VLOOKUP(Inschrijf_Fossiele_Energie_Totaal[[#This Row],[Product]],Categorie_1_Producten[#All],35,FALSE)*(Optimalisatie!J89),VLOOKUP(Inschrijf_Fossiele_Energie_Totaal[[#This Row],[Product]]&amp;", "&amp;Inschrijf_Fossiele_Energie_Totaal[[#Headers],[A1-A3]],Database_Productkaarten[#All],51,FALSE)*Optimalisatie!J89),Baseline_Backlog!G507),0))</f>
        <v>0</v>
      </c>
      <c r="H507" s="91">
        <f>(IF(Optimalisatie!C89="Nieuwe Situatie",_xlfn.IFNA(VLOOKUP(Optimalisatie!V89,Database_Transport[#All],45,FALSE)*(Optimalisatie!R89*Optimalisatie!U89),Baseline_Backlog!H507),0))</f>
        <v>0</v>
      </c>
      <c r="I507" s="91">
        <f>IF(Optimalisatie!C89="Nieuwe situatie",IF(_xlfn.IFNA((VLOOKUP(Optimalisatie!W89,Database_Asfalt_Aanlegset[#All],45,FALSE)*Optimalisatie!J89),0)+_xlfn.IFNA(VLOOKUP(Optimalisatie!X89,Database_Brandstoffen[#All],45,FALSE)*((Optimalisatie!J89/Optimalisatie!Z89)*Optimalisatie!Y89),0)&gt;0,_xlfn.IFNA((VLOOKUP(Optimalisatie!W89,Database_Asfalt_Aanlegset[#All],45,FALSE)*Optimalisatie!J89),0)+_xlfn.IFNA(VLOOKUP(Optimalisatie!X89,Database_Brandstoffen[#All],45,FALSE)*((Optimalisatie!J89/Optimalisatie!Z89)*Optimalisatie!Y89),0),(_xlfn.IFNA(VLOOKUP(Inschrijf_Fossiele_Energie_Totaal[[#This Row],[Product]]&amp;", "&amp;Inschrijf_MKI_Totaal[[#Headers],[A5]],Database_Productkaarten[#All],51,FALSE),0)*Optimalisatie!J89)),0)</f>
        <v>0</v>
      </c>
      <c r="J507" s="91">
        <f>(IF(Optimalisatie!C89="Nieuwe Situatie",_xlfn.IFNA(IF(Optimalisatie!E89="Categorie_1_LCA_Producten",VLOOKUP(Inschrijf_Fossiele_Energie_Totaal[[#This Row],[Product]],Categorie_1_Producten[#All],36,FALSE)*(Optimalisatie!R89),VLOOKUP(Inschrijf_Fossiele_Energie_Totaal[[#This Row],[Product]]&amp;", "&amp;Inschrijf_Fossiele_Energie_Totaal[[#Headers],[B1]],Database_Productkaarten[#All],51,FALSE)*Optimalisatie!J89),Baseline_Backlog!J507),0))</f>
        <v>0</v>
      </c>
      <c r="K507" s="91">
        <f>(IF(Optimalisatie!C89="Nieuwe Situatie",_xlfn.IFNA(SUM(Inschrijf_Fossiele_Energie_Totaal[[#This Row],[A1]:[B1]],Inschrijf_Fossiele_Energie_Totaal[[#This Row],[C1]:[D2]])*Optimalisatie!T89,0),0))</f>
        <v>0</v>
      </c>
      <c r="L507" s="91">
        <f>IF(Optimalisatie!C89="Bestaande situatie",IF(_xlfn.IFNA((VLOOKUP(Optimalisatie!AA89,Database_Asfalt_Verwijderset[#All],45,FALSE)*Optimalisatie!J89),0)+_xlfn.IFNA(VLOOKUP(Optimalisatie!AB89,Database_Brandstoffen[#All],45,FALSE)*((Optimalisatie!J89/Optimalisatie!AD89)*Optimalisatie!AC89),0)&gt;0,_xlfn.IFNA((VLOOKUP(Optimalisatie!AA89,Database_Asfalt_Verwijderset[#All],45,FALSE)*Optimalisatie!J89),0)+_xlfn.IFNA(VLOOKUP(Optimalisatie!AB89,Database_Brandstoffen[#All],45,FALSE)*((Optimalisatie!J89/Optimalisatie!AD89)*Optimalisatie!AC89),0),(_xlfn.IFNA(VLOOKUP(Inschrijf_Fossiele_Energie_Totaal[[#This Row],[Product]]&amp;", "&amp;Inschrijf_MKI_Totaal[[#Headers],[C1]],Database_Productkaarten[#All],51,FALSE),0)*Optimalisatie!J89)),0)</f>
        <v>0</v>
      </c>
      <c r="M507" s="91">
        <f>(IF(Optimalisatie!C89="Bestaande Situatie",_xlfn.IFNA(VLOOKUP(Optimalisatie!AF89,Database_Transport[#All],45,FALSE)*(Optimalisatie!R89*Optimalisatie!AE89),Baseline_Backlog!M507),0))</f>
        <v>0</v>
      </c>
      <c r="N507" s="91">
        <f>(IF(Optimalisatie!C89="Bestaande Situatie",_xlfn.IFNA(VLOOKUP(Optimalisatie!AG89,Database_Asfalt_Verwerkingsset[#All],45,FALSE)*(Optimalisatie!J89/VLOOKUP(Optimalisatie!AG89,Database_Asfalt_Verwerkingsset[#All],45,FALSE)),Baseline_Backlog!N507),0))</f>
        <v>0</v>
      </c>
      <c r="O507" s="91">
        <f>(IF(Optimalisatie!C89="Bestaande Situatie",_xlfn.IFNA(VLOOKUP(Inschrijf_Fossiele_Energie_Totaal[[#This Row],[Product]]&amp;", "&amp;Inschrijf_MKI_Totaal[[#Headers],[C4]],Database_Productkaarten[#All],51,FALSE)*Optimalisatie!J89,Baseline_Backlog!O507),0))</f>
        <v>0</v>
      </c>
      <c r="P507" s="91">
        <f>(IF(Optimalisatie!C89="Bestaande Situatie",_xlfn.IFNA(IF(Optimalisatie!E89="Categorie_1_LCA_Producten",VLOOKUP(Inschrijf_Fossiele_Energie_Totaal[[#This Row],[Product]],Categorie_1_Producten[#All],30,FALSE)*(Optimalisatie!J89),VLOOKUP(Inschrijf_Fossiele_Energie_Totaal[[#This Row],[Product]]&amp;", "&amp;Inschrijf_Fossiele_Energie_Totaal[[#Headers],[D1]],Database_Productkaarten[#All],51,FALSE)*Optimalisatie!J89),Baseline_Backlog!P507),0))</f>
        <v>0</v>
      </c>
      <c r="Q507" s="91">
        <f>(IF(Optimalisatie!C89="Bestaande Situatie",_xlfn.IFNA(IF(Optimalisatie!E89="Categorie_1_LCA_Producten",VLOOKUP(Inschrijf_Fossiele_Energie_Totaal[[#This Row],[Product]],Categorie_1_Producten[#All],31,FALSE)*(Optimalisatie!J89),VLOOKUP(Inschrijf_Fossiele_Energie_Totaal[[#This Row],[Product]]&amp;", "&amp;Inschrijf_Fossiele_Energie_Totaal[[#Headers],[D2]],Database_Productkaarten[#All],51,FALSE)*Optimalisatie!J89),Baseline_Backlog!Q507),0))</f>
        <v>0</v>
      </c>
      <c r="R507" s="91">
        <f>(IF(Optimalisatie!C89="Bestaande Situatie",_xlfn.IFNA(IF(Optimalisatie!E89="Categorie_1_LCA_Producten",VLOOKUP(Inschrijf_Fossiele_Energie_Totaal[[#This Row],[Product]],Categorie_1_Producten[#All],37,FALSE)*(Optimalisatie!J89),VLOOKUP(Inschrijf_Fossiele_Energie_Totaal[[#This Row],[Product]]&amp;", "&amp;Inschrijf_Fossiele_Energie_Totaal[[#Headers],[D]],Database_Productkaarten[#All],51,FALSE)*Optimalisatie!J89),Baseline_Backlog!S507),0))</f>
        <v>0</v>
      </c>
      <c r="S507" s="91">
        <f>SUM(Inschrijf_Fossiele_Energie_Totaal[[#This Row],[A1-A3]:[C4]])+Inschrijf_Fossiele_Energie_Totaal[[#This Row],[D]]</f>
        <v>0</v>
      </c>
    </row>
    <row r="508" spans="2:19">
      <c r="B508" s="208">
        <f>Optimalisatie!B90</f>
        <v>0</v>
      </c>
      <c r="C508" s="1">
        <f>Optimalisatie!F90</f>
        <v>0</v>
      </c>
      <c r="D508" s="91">
        <f>(IF(Optimalisatie!C90="Nieuwe Situatie",_xlfn.IFNA(IF(Optimalisatie!E90="Categorie_1_LCA_Producten",VLOOKUP(Inschrijf_Fossiele_Energie_Totaal[[#This Row],[Product]],Categorie_1_Producten[#All],26,FALSE)*(Optimalisatie!J90),VLOOKUP(Inschrijf_Fossiele_Energie_Totaal[[#This Row],[Product]]&amp;", "&amp;Inschrijf_Fossiele_Energie_Totaal[[#Headers],[A1]],Database_Productkaarten[#All],51,FALSE)*Optimalisatie!J90),Baseline_Backlog!D508),0))</f>
        <v>0</v>
      </c>
      <c r="E508" s="91">
        <f>(IF(Optimalisatie!C90="Nieuwe Situatie",_xlfn.IFNA(IF(Optimalisatie!E90="Categorie_1_LCA_Producten",VLOOKUP(Inschrijf_Fossiele_Energie_Totaal[[#This Row],[Product]],Categorie_1_Producten[#All],27,FALSE)*(Optimalisatie!J90),VLOOKUP(Inschrijf_Fossiele_Energie_Totaal[[#This Row],[Product]]&amp;", "&amp;Inschrijf_Fossiele_Energie_Totaal[[#Headers],[A2]],Database_Productkaarten[#All],51,FALSE)*Optimalisatie!J90),Baseline_Backlog!E508),0))</f>
        <v>0</v>
      </c>
      <c r="F508" s="91">
        <f>(IF(Optimalisatie!C90="Nieuwe Situatie",_xlfn.IFNA(IF(Optimalisatie!E90="Categorie_1_LCA_Producten",VLOOKUP(Inschrijf_Fossiele_Energie_Totaal[[#This Row],[Product]],Categorie_1_Producten[#All],28,FALSE)*(Optimalisatie!J90),VLOOKUP(Inschrijf_Fossiele_Energie_Totaal[[#This Row],[Product]]&amp;", "&amp;Inschrijf_Fossiele_Energie_Totaal[[#Headers],[A3]],Database_Productkaarten[#All],51,FALSE)*Optimalisatie!J90),Baseline_Backlog!F508),0))</f>
        <v>0</v>
      </c>
      <c r="G508" s="91">
        <f>(IF(Optimalisatie!C90="Nieuwe Situatie",_xlfn.IFNA(IF(Optimalisatie!E90="Categorie_1_LCA_Producten",VLOOKUP(Inschrijf_Fossiele_Energie_Totaal[[#This Row],[Product]],Categorie_1_Producten[#All],35,FALSE)*(Optimalisatie!J90),VLOOKUP(Inschrijf_Fossiele_Energie_Totaal[[#This Row],[Product]]&amp;", "&amp;Inschrijf_Fossiele_Energie_Totaal[[#Headers],[A1-A3]],Database_Productkaarten[#All],51,FALSE)*Optimalisatie!J90),Baseline_Backlog!G508),0))</f>
        <v>0</v>
      </c>
      <c r="H508" s="91">
        <f>(IF(Optimalisatie!C90="Nieuwe Situatie",_xlfn.IFNA(VLOOKUP(Optimalisatie!V90,Database_Transport[#All],45,FALSE)*(Optimalisatie!R90*Optimalisatie!U90),Baseline_Backlog!H508),0))</f>
        <v>0</v>
      </c>
      <c r="I508" s="91">
        <f>IF(Optimalisatie!C90="Nieuwe situatie",IF(_xlfn.IFNA((VLOOKUP(Optimalisatie!W90,Database_Asfalt_Aanlegset[#All],45,FALSE)*Optimalisatie!J90),0)+_xlfn.IFNA(VLOOKUP(Optimalisatie!X90,Database_Brandstoffen[#All],45,FALSE)*((Optimalisatie!J90/Optimalisatie!Z90)*Optimalisatie!Y90),0)&gt;0,_xlfn.IFNA((VLOOKUP(Optimalisatie!W90,Database_Asfalt_Aanlegset[#All],45,FALSE)*Optimalisatie!J90),0)+_xlfn.IFNA(VLOOKUP(Optimalisatie!X90,Database_Brandstoffen[#All],45,FALSE)*((Optimalisatie!J90/Optimalisatie!Z90)*Optimalisatie!Y90),0),(_xlfn.IFNA(VLOOKUP(Inschrijf_Fossiele_Energie_Totaal[[#This Row],[Product]]&amp;", "&amp;Inschrijf_MKI_Totaal[[#Headers],[A5]],Database_Productkaarten[#All],51,FALSE),0)*Optimalisatie!J90)),0)</f>
        <v>0</v>
      </c>
      <c r="J508" s="91">
        <f>(IF(Optimalisatie!C90="Nieuwe Situatie",_xlfn.IFNA(IF(Optimalisatie!E90="Categorie_1_LCA_Producten",VLOOKUP(Inschrijf_Fossiele_Energie_Totaal[[#This Row],[Product]],Categorie_1_Producten[#All],36,FALSE)*(Optimalisatie!R90),VLOOKUP(Inschrijf_Fossiele_Energie_Totaal[[#This Row],[Product]]&amp;", "&amp;Inschrijf_Fossiele_Energie_Totaal[[#Headers],[B1]],Database_Productkaarten[#All],51,FALSE)*Optimalisatie!J90),Baseline_Backlog!J508),0))</f>
        <v>0</v>
      </c>
      <c r="K508" s="91">
        <f>(IF(Optimalisatie!C90="Nieuwe Situatie",_xlfn.IFNA(SUM(Inschrijf_Fossiele_Energie_Totaal[[#This Row],[A1]:[B1]],Inschrijf_Fossiele_Energie_Totaal[[#This Row],[C1]:[D2]])*Optimalisatie!T90,0),0))</f>
        <v>0</v>
      </c>
      <c r="L508" s="91">
        <f>IF(Optimalisatie!C90="Bestaande situatie",IF(_xlfn.IFNA((VLOOKUP(Optimalisatie!AA90,Database_Asfalt_Verwijderset[#All],45,FALSE)*Optimalisatie!J90),0)+_xlfn.IFNA(VLOOKUP(Optimalisatie!AB90,Database_Brandstoffen[#All],45,FALSE)*((Optimalisatie!J90/Optimalisatie!AD90)*Optimalisatie!AC90),0)&gt;0,_xlfn.IFNA((VLOOKUP(Optimalisatie!AA90,Database_Asfalt_Verwijderset[#All],45,FALSE)*Optimalisatie!J90),0)+_xlfn.IFNA(VLOOKUP(Optimalisatie!AB90,Database_Brandstoffen[#All],45,FALSE)*((Optimalisatie!J90/Optimalisatie!AD90)*Optimalisatie!AC90),0),(_xlfn.IFNA(VLOOKUP(Inschrijf_Fossiele_Energie_Totaal[[#This Row],[Product]]&amp;", "&amp;Inschrijf_MKI_Totaal[[#Headers],[C1]],Database_Productkaarten[#All],51,FALSE),0)*Optimalisatie!J90)),0)</f>
        <v>0</v>
      </c>
      <c r="M508" s="91">
        <f>(IF(Optimalisatie!C90="Bestaande Situatie",_xlfn.IFNA(VLOOKUP(Optimalisatie!AF90,Database_Transport[#All],45,FALSE)*(Optimalisatie!R90*Optimalisatie!AE90),Baseline_Backlog!M508),0))</f>
        <v>0</v>
      </c>
      <c r="N508" s="91">
        <f>(IF(Optimalisatie!C90="Bestaande Situatie",_xlfn.IFNA(VLOOKUP(Optimalisatie!AG90,Database_Asfalt_Verwerkingsset[#All],45,FALSE)*(Optimalisatie!J90/VLOOKUP(Optimalisatie!AG90,Database_Asfalt_Verwerkingsset[#All],45,FALSE)),Baseline_Backlog!N508),0))</f>
        <v>0</v>
      </c>
      <c r="O508" s="91">
        <f>(IF(Optimalisatie!C90="Bestaande Situatie",_xlfn.IFNA(VLOOKUP(Inschrijf_Fossiele_Energie_Totaal[[#This Row],[Product]]&amp;", "&amp;Inschrijf_MKI_Totaal[[#Headers],[C4]],Database_Productkaarten[#All],51,FALSE)*Optimalisatie!J90,Baseline_Backlog!O508),0))</f>
        <v>0</v>
      </c>
      <c r="P508" s="91">
        <f>(IF(Optimalisatie!C90="Bestaande Situatie",_xlfn.IFNA(IF(Optimalisatie!E90="Categorie_1_LCA_Producten",VLOOKUP(Inschrijf_Fossiele_Energie_Totaal[[#This Row],[Product]],Categorie_1_Producten[#All],30,FALSE)*(Optimalisatie!J90),VLOOKUP(Inschrijf_Fossiele_Energie_Totaal[[#This Row],[Product]]&amp;", "&amp;Inschrijf_Fossiele_Energie_Totaal[[#Headers],[D1]],Database_Productkaarten[#All],51,FALSE)*Optimalisatie!J90),Baseline_Backlog!P508),0))</f>
        <v>0</v>
      </c>
      <c r="Q508" s="91">
        <f>(IF(Optimalisatie!C90="Bestaande Situatie",_xlfn.IFNA(IF(Optimalisatie!E90="Categorie_1_LCA_Producten",VLOOKUP(Inschrijf_Fossiele_Energie_Totaal[[#This Row],[Product]],Categorie_1_Producten[#All],31,FALSE)*(Optimalisatie!J90),VLOOKUP(Inschrijf_Fossiele_Energie_Totaal[[#This Row],[Product]]&amp;", "&amp;Inschrijf_Fossiele_Energie_Totaal[[#Headers],[D2]],Database_Productkaarten[#All],51,FALSE)*Optimalisatie!J90),Baseline_Backlog!Q508),0))</f>
        <v>0</v>
      </c>
      <c r="R508" s="91">
        <f>(IF(Optimalisatie!C90="Bestaande Situatie",_xlfn.IFNA(IF(Optimalisatie!E90="Categorie_1_LCA_Producten",VLOOKUP(Inschrijf_Fossiele_Energie_Totaal[[#This Row],[Product]],Categorie_1_Producten[#All],37,FALSE)*(Optimalisatie!J90),VLOOKUP(Inschrijf_Fossiele_Energie_Totaal[[#This Row],[Product]]&amp;", "&amp;Inschrijf_Fossiele_Energie_Totaal[[#Headers],[D]],Database_Productkaarten[#All],51,FALSE)*Optimalisatie!J90),Baseline_Backlog!S508),0))</f>
        <v>0</v>
      </c>
      <c r="S508" s="91">
        <f>SUM(Inschrijf_Fossiele_Energie_Totaal[[#This Row],[A1-A3]:[C4]])+Inschrijf_Fossiele_Energie_Totaal[[#This Row],[D]]</f>
        <v>0</v>
      </c>
    </row>
    <row r="509" spans="2:19">
      <c r="B509" s="208">
        <f>Optimalisatie!B91</f>
        <v>0</v>
      </c>
      <c r="C509" s="1">
        <f>Optimalisatie!F91</f>
        <v>0</v>
      </c>
      <c r="D509" s="91">
        <f>(IF(Optimalisatie!C91="Nieuwe Situatie",_xlfn.IFNA(IF(Optimalisatie!E91="Categorie_1_LCA_Producten",VLOOKUP(Inschrijf_Fossiele_Energie_Totaal[[#This Row],[Product]],Categorie_1_Producten[#All],26,FALSE)*(Optimalisatie!J91),VLOOKUP(Inschrijf_Fossiele_Energie_Totaal[[#This Row],[Product]]&amp;", "&amp;Inschrijf_Fossiele_Energie_Totaal[[#Headers],[A1]],Database_Productkaarten[#All],51,FALSE)*Optimalisatie!J91),Baseline_Backlog!D509),0))</f>
        <v>0</v>
      </c>
      <c r="E509" s="91">
        <f>(IF(Optimalisatie!C91="Nieuwe Situatie",_xlfn.IFNA(IF(Optimalisatie!E91="Categorie_1_LCA_Producten",VLOOKUP(Inschrijf_Fossiele_Energie_Totaal[[#This Row],[Product]],Categorie_1_Producten[#All],27,FALSE)*(Optimalisatie!J91),VLOOKUP(Inschrijf_Fossiele_Energie_Totaal[[#This Row],[Product]]&amp;", "&amp;Inschrijf_Fossiele_Energie_Totaal[[#Headers],[A2]],Database_Productkaarten[#All],51,FALSE)*Optimalisatie!J91),Baseline_Backlog!E509),0))</f>
        <v>0</v>
      </c>
      <c r="F509" s="91">
        <f>(IF(Optimalisatie!C91="Nieuwe Situatie",_xlfn.IFNA(IF(Optimalisatie!E91="Categorie_1_LCA_Producten",VLOOKUP(Inschrijf_Fossiele_Energie_Totaal[[#This Row],[Product]],Categorie_1_Producten[#All],28,FALSE)*(Optimalisatie!J91),VLOOKUP(Inschrijf_Fossiele_Energie_Totaal[[#This Row],[Product]]&amp;", "&amp;Inschrijf_Fossiele_Energie_Totaal[[#Headers],[A3]],Database_Productkaarten[#All],51,FALSE)*Optimalisatie!J91),Baseline_Backlog!F509),0))</f>
        <v>0</v>
      </c>
      <c r="G509" s="91">
        <f>(IF(Optimalisatie!C91="Nieuwe Situatie",_xlfn.IFNA(IF(Optimalisatie!E91="Categorie_1_LCA_Producten",VLOOKUP(Inschrijf_Fossiele_Energie_Totaal[[#This Row],[Product]],Categorie_1_Producten[#All],35,FALSE)*(Optimalisatie!J91),VLOOKUP(Inschrijf_Fossiele_Energie_Totaal[[#This Row],[Product]]&amp;", "&amp;Inschrijf_Fossiele_Energie_Totaal[[#Headers],[A1-A3]],Database_Productkaarten[#All],51,FALSE)*Optimalisatie!J91),Baseline_Backlog!G509),0))</f>
        <v>0</v>
      </c>
      <c r="H509" s="91">
        <f>(IF(Optimalisatie!C91="Nieuwe Situatie",_xlfn.IFNA(VLOOKUP(Optimalisatie!V91,Database_Transport[#All],45,FALSE)*(Optimalisatie!R91*Optimalisatie!U91),Baseline_Backlog!H509),0))</f>
        <v>0</v>
      </c>
      <c r="I509" s="91">
        <f>IF(Optimalisatie!C91="Nieuwe situatie",IF(_xlfn.IFNA((VLOOKUP(Optimalisatie!W91,Database_Asfalt_Aanlegset[#All],45,FALSE)*Optimalisatie!J91),0)+_xlfn.IFNA(VLOOKUP(Optimalisatie!X91,Database_Brandstoffen[#All],45,FALSE)*((Optimalisatie!J91/Optimalisatie!Z91)*Optimalisatie!Y91),0)&gt;0,_xlfn.IFNA((VLOOKUP(Optimalisatie!W91,Database_Asfalt_Aanlegset[#All],45,FALSE)*Optimalisatie!J91),0)+_xlfn.IFNA(VLOOKUP(Optimalisatie!X91,Database_Brandstoffen[#All],45,FALSE)*((Optimalisatie!J91/Optimalisatie!Z91)*Optimalisatie!Y91),0),(_xlfn.IFNA(VLOOKUP(Inschrijf_Fossiele_Energie_Totaal[[#This Row],[Product]]&amp;", "&amp;Inschrijf_MKI_Totaal[[#Headers],[A5]],Database_Productkaarten[#All],51,FALSE),0)*Optimalisatie!J91)),0)</f>
        <v>0</v>
      </c>
      <c r="J509" s="91">
        <f>(IF(Optimalisatie!C91="Nieuwe Situatie",_xlfn.IFNA(IF(Optimalisatie!E91="Categorie_1_LCA_Producten",VLOOKUP(Inschrijf_Fossiele_Energie_Totaal[[#This Row],[Product]],Categorie_1_Producten[#All],36,FALSE)*(Optimalisatie!R91),VLOOKUP(Inschrijf_Fossiele_Energie_Totaal[[#This Row],[Product]]&amp;", "&amp;Inschrijf_Fossiele_Energie_Totaal[[#Headers],[B1]],Database_Productkaarten[#All],51,FALSE)*Optimalisatie!J91),Baseline_Backlog!J509),0))</f>
        <v>0</v>
      </c>
      <c r="K509" s="91">
        <f>(IF(Optimalisatie!C91="Nieuwe Situatie",_xlfn.IFNA(SUM(Inschrijf_Fossiele_Energie_Totaal[[#This Row],[A1]:[B1]],Inschrijf_Fossiele_Energie_Totaal[[#This Row],[C1]:[D2]])*Optimalisatie!T91,0),0))</f>
        <v>0</v>
      </c>
      <c r="L509" s="91">
        <f>IF(Optimalisatie!C91="Bestaande situatie",IF(_xlfn.IFNA((VLOOKUP(Optimalisatie!AA91,Database_Asfalt_Verwijderset[#All],45,FALSE)*Optimalisatie!J91),0)+_xlfn.IFNA(VLOOKUP(Optimalisatie!AB91,Database_Brandstoffen[#All],45,FALSE)*((Optimalisatie!J91/Optimalisatie!AD91)*Optimalisatie!AC91),0)&gt;0,_xlfn.IFNA((VLOOKUP(Optimalisatie!AA91,Database_Asfalt_Verwijderset[#All],45,FALSE)*Optimalisatie!J91),0)+_xlfn.IFNA(VLOOKUP(Optimalisatie!AB91,Database_Brandstoffen[#All],45,FALSE)*((Optimalisatie!J91/Optimalisatie!AD91)*Optimalisatie!AC91),0),(_xlfn.IFNA(VLOOKUP(Inschrijf_Fossiele_Energie_Totaal[[#This Row],[Product]]&amp;", "&amp;Inschrijf_MKI_Totaal[[#Headers],[C1]],Database_Productkaarten[#All],51,FALSE),0)*Optimalisatie!J91)),0)</f>
        <v>0</v>
      </c>
      <c r="M509" s="91">
        <f>(IF(Optimalisatie!C91="Bestaande Situatie",_xlfn.IFNA(VLOOKUP(Optimalisatie!AF91,Database_Transport[#All],45,FALSE)*(Optimalisatie!R91*Optimalisatie!AE91),Baseline_Backlog!M509),0))</f>
        <v>0</v>
      </c>
      <c r="N509" s="91">
        <f>(IF(Optimalisatie!C91="Bestaande Situatie",_xlfn.IFNA(VLOOKUP(Optimalisatie!AG91,Database_Asfalt_Verwerkingsset[#All],45,FALSE)*(Optimalisatie!J91/VLOOKUP(Optimalisatie!AG91,Database_Asfalt_Verwerkingsset[#All],45,FALSE)),Baseline_Backlog!N509),0))</f>
        <v>0</v>
      </c>
      <c r="O509" s="91">
        <f>(IF(Optimalisatie!C91="Bestaande Situatie",_xlfn.IFNA(VLOOKUP(Inschrijf_Fossiele_Energie_Totaal[[#This Row],[Product]]&amp;", "&amp;Inschrijf_MKI_Totaal[[#Headers],[C4]],Database_Productkaarten[#All],51,FALSE)*Optimalisatie!J91,Baseline_Backlog!O509),0))</f>
        <v>0</v>
      </c>
      <c r="P509" s="91">
        <f>(IF(Optimalisatie!C91="Bestaande Situatie",_xlfn.IFNA(IF(Optimalisatie!E91="Categorie_1_LCA_Producten",VLOOKUP(Inschrijf_Fossiele_Energie_Totaal[[#This Row],[Product]],Categorie_1_Producten[#All],30,FALSE)*(Optimalisatie!J91),VLOOKUP(Inschrijf_Fossiele_Energie_Totaal[[#This Row],[Product]]&amp;", "&amp;Inschrijf_Fossiele_Energie_Totaal[[#Headers],[D1]],Database_Productkaarten[#All],51,FALSE)*Optimalisatie!J91),Baseline_Backlog!P509),0))</f>
        <v>0</v>
      </c>
      <c r="Q509" s="91">
        <f>(IF(Optimalisatie!C91="Bestaande Situatie",_xlfn.IFNA(IF(Optimalisatie!E91="Categorie_1_LCA_Producten",VLOOKUP(Inschrijf_Fossiele_Energie_Totaal[[#This Row],[Product]],Categorie_1_Producten[#All],31,FALSE)*(Optimalisatie!J91),VLOOKUP(Inschrijf_Fossiele_Energie_Totaal[[#This Row],[Product]]&amp;", "&amp;Inschrijf_Fossiele_Energie_Totaal[[#Headers],[D2]],Database_Productkaarten[#All],51,FALSE)*Optimalisatie!J91),Baseline_Backlog!Q509),0))</f>
        <v>0</v>
      </c>
      <c r="R509" s="91">
        <f>(IF(Optimalisatie!C91="Bestaande Situatie",_xlfn.IFNA(IF(Optimalisatie!E91="Categorie_1_LCA_Producten",VLOOKUP(Inschrijf_Fossiele_Energie_Totaal[[#This Row],[Product]],Categorie_1_Producten[#All],37,FALSE)*(Optimalisatie!J91),VLOOKUP(Inschrijf_Fossiele_Energie_Totaal[[#This Row],[Product]]&amp;", "&amp;Inschrijf_Fossiele_Energie_Totaal[[#Headers],[D]],Database_Productkaarten[#All],51,FALSE)*Optimalisatie!J91),Baseline_Backlog!S509),0))</f>
        <v>0</v>
      </c>
      <c r="S509" s="91">
        <f>SUM(Inschrijf_Fossiele_Energie_Totaal[[#This Row],[A1-A3]:[C4]])+Inschrijf_Fossiele_Energie_Totaal[[#This Row],[D]]</f>
        <v>0</v>
      </c>
    </row>
    <row r="510" spans="2:19">
      <c r="B510" s="208">
        <f>Optimalisatie!B92</f>
        <v>0</v>
      </c>
      <c r="C510" s="1">
        <f>Optimalisatie!F92</f>
        <v>0</v>
      </c>
      <c r="D510" s="91">
        <f>(IF(Optimalisatie!C92="Nieuwe Situatie",_xlfn.IFNA(IF(Optimalisatie!E92="Categorie_1_LCA_Producten",VLOOKUP(Inschrijf_Fossiele_Energie_Totaal[[#This Row],[Product]],Categorie_1_Producten[#All],26,FALSE)*(Optimalisatie!J92),VLOOKUP(Inschrijf_Fossiele_Energie_Totaal[[#This Row],[Product]]&amp;", "&amp;Inschrijf_Fossiele_Energie_Totaal[[#Headers],[A1]],Database_Productkaarten[#All],51,FALSE)*Optimalisatie!J92),Baseline_Backlog!D510),0))</f>
        <v>0</v>
      </c>
      <c r="E510" s="91">
        <f>(IF(Optimalisatie!C92="Nieuwe Situatie",_xlfn.IFNA(IF(Optimalisatie!E92="Categorie_1_LCA_Producten",VLOOKUP(Inschrijf_Fossiele_Energie_Totaal[[#This Row],[Product]],Categorie_1_Producten[#All],27,FALSE)*(Optimalisatie!J92),VLOOKUP(Inschrijf_Fossiele_Energie_Totaal[[#This Row],[Product]]&amp;", "&amp;Inschrijf_Fossiele_Energie_Totaal[[#Headers],[A2]],Database_Productkaarten[#All],51,FALSE)*Optimalisatie!J92),Baseline_Backlog!E510),0))</f>
        <v>0</v>
      </c>
      <c r="F510" s="91">
        <f>(IF(Optimalisatie!C92="Nieuwe Situatie",_xlfn.IFNA(IF(Optimalisatie!E92="Categorie_1_LCA_Producten",VLOOKUP(Inschrijf_Fossiele_Energie_Totaal[[#This Row],[Product]],Categorie_1_Producten[#All],28,FALSE)*(Optimalisatie!J92),VLOOKUP(Inschrijf_Fossiele_Energie_Totaal[[#This Row],[Product]]&amp;", "&amp;Inschrijf_Fossiele_Energie_Totaal[[#Headers],[A3]],Database_Productkaarten[#All],51,FALSE)*Optimalisatie!J92),Baseline_Backlog!F510),0))</f>
        <v>0</v>
      </c>
      <c r="G510" s="91">
        <f>(IF(Optimalisatie!C92="Nieuwe Situatie",_xlfn.IFNA(IF(Optimalisatie!E92="Categorie_1_LCA_Producten",VLOOKUP(Inschrijf_Fossiele_Energie_Totaal[[#This Row],[Product]],Categorie_1_Producten[#All],35,FALSE)*(Optimalisatie!J92),VLOOKUP(Inschrijf_Fossiele_Energie_Totaal[[#This Row],[Product]]&amp;", "&amp;Inschrijf_Fossiele_Energie_Totaal[[#Headers],[A1-A3]],Database_Productkaarten[#All],51,FALSE)*Optimalisatie!J92),Baseline_Backlog!G510),0))</f>
        <v>0</v>
      </c>
      <c r="H510" s="91">
        <f>(IF(Optimalisatie!C92="Nieuwe Situatie",_xlfn.IFNA(VLOOKUP(Optimalisatie!V92,Database_Transport[#All],45,FALSE)*(Optimalisatie!R92*Optimalisatie!U92),Baseline_Backlog!H510),0))</f>
        <v>0</v>
      </c>
      <c r="I510" s="91">
        <f>IF(Optimalisatie!C92="Nieuwe situatie",IF(_xlfn.IFNA((VLOOKUP(Optimalisatie!W92,Database_Asfalt_Aanlegset[#All],45,FALSE)*Optimalisatie!J92),0)+_xlfn.IFNA(VLOOKUP(Optimalisatie!X92,Database_Brandstoffen[#All],45,FALSE)*((Optimalisatie!J92/Optimalisatie!Z92)*Optimalisatie!Y92),0)&gt;0,_xlfn.IFNA((VLOOKUP(Optimalisatie!W92,Database_Asfalt_Aanlegset[#All],45,FALSE)*Optimalisatie!J92),0)+_xlfn.IFNA(VLOOKUP(Optimalisatie!X92,Database_Brandstoffen[#All],45,FALSE)*((Optimalisatie!J92/Optimalisatie!Z92)*Optimalisatie!Y92),0),(_xlfn.IFNA(VLOOKUP(Inschrijf_Fossiele_Energie_Totaal[[#This Row],[Product]]&amp;", "&amp;Inschrijf_MKI_Totaal[[#Headers],[A5]],Database_Productkaarten[#All],51,FALSE),0)*Optimalisatie!J92)),0)</f>
        <v>0</v>
      </c>
      <c r="J510" s="91">
        <f>(IF(Optimalisatie!C92="Nieuwe Situatie",_xlfn.IFNA(IF(Optimalisatie!E92="Categorie_1_LCA_Producten",VLOOKUP(Inschrijf_Fossiele_Energie_Totaal[[#This Row],[Product]],Categorie_1_Producten[#All],36,FALSE)*(Optimalisatie!R92),VLOOKUP(Inschrijf_Fossiele_Energie_Totaal[[#This Row],[Product]]&amp;", "&amp;Inschrijf_Fossiele_Energie_Totaal[[#Headers],[B1]],Database_Productkaarten[#All],51,FALSE)*Optimalisatie!J92),Baseline_Backlog!J510),0))</f>
        <v>0</v>
      </c>
      <c r="K510" s="91">
        <f>(IF(Optimalisatie!C92="Nieuwe Situatie",_xlfn.IFNA(SUM(Inschrijf_Fossiele_Energie_Totaal[[#This Row],[A1]:[B1]],Inschrijf_Fossiele_Energie_Totaal[[#This Row],[C1]:[D2]])*Optimalisatie!T92,0),0))</f>
        <v>0</v>
      </c>
      <c r="L510" s="91">
        <f>IF(Optimalisatie!C92="Bestaande situatie",IF(_xlfn.IFNA((VLOOKUP(Optimalisatie!AA92,Database_Asfalt_Verwijderset[#All],45,FALSE)*Optimalisatie!J92),0)+_xlfn.IFNA(VLOOKUP(Optimalisatie!AB92,Database_Brandstoffen[#All],45,FALSE)*((Optimalisatie!J92/Optimalisatie!AD92)*Optimalisatie!AC92),0)&gt;0,_xlfn.IFNA((VLOOKUP(Optimalisatie!AA92,Database_Asfalt_Verwijderset[#All],45,FALSE)*Optimalisatie!J92),0)+_xlfn.IFNA(VLOOKUP(Optimalisatie!AB92,Database_Brandstoffen[#All],45,FALSE)*((Optimalisatie!J92/Optimalisatie!AD92)*Optimalisatie!AC92),0),(_xlfn.IFNA(VLOOKUP(Inschrijf_Fossiele_Energie_Totaal[[#This Row],[Product]]&amp;", "&amp;Inschrijf_MKI_Totaal[[#Headers],[C1]],Database_Productkaarten[#All],51,FALSE),0)*Optimalisatie!J92)),0)</f>
        <v>0</v>
      </c>
      <c r="M510" s="91">
        <f>(IF(Optimalisatie!C92="Bestaande Situatie",_xlfn.IFNA(VLOOKUP(Optimalisatie!AF92,Database_Transport[#All],45,FALSE)*(Optimalisatie!R92*Optimalisatie!AE92),Baseline_Backlog!M510),0))</f>
        <v>0</v>
      </c>
      <c r="N510" s="91">
        <f>(IF(Optimalisatie!C92="Bestaande Situatie",_xlfn.IFNA(VLOOKUP(Optimalisatie!AG92,Database_Asfalt_Verwerkingsset[#All],45,FALSE)*(Optimalisatie!J92/VLOOKUP(Optimalisatie!AG92,Database_Asfalt_Verwerkingsset[#All],45,FALSE)),Baseline_Backlog!N510),0))</f>
        <v>0</v>
      </c>
      <c r="O510" s="91">
        <f>(IF(Optimalisatie!C92="Bestaande Situatie",_xlfn.IFNA(VLOOKUP(Inschrijf_Fossiele_Energie_Totaal[[#This Row],[Product]]&amp;", "&amp;Inschrijf_MKI_Totaal[[#Headers],[C4]],Database_Productkaarten[#All],51,FALSE)*Optimalisatie!J92,Baseline_Backlog!O510),0))</f>
        <v>0</v>
      </c>
      <c r="P510" s="91">
        <f>(IF(Optimalisatie!C92="Bestaande Situatie",_xlfn.IFNA(IF(Optimalisatie!E92="Categorie_1_LCA_Producten",VLOOKUP(Inschrijf_Fossiele_Energie_Totaal[[#This Row],[Product]],Categorie_1_Producten[#All],30,FALSE)*(Optimalisatie!J92),VLOOKUP(Inschrijf_Fossiele_Energie_Totaal[[#This Row],[Product]]&amp;", "&amp;Inschrijf_Fossiele_Energie_Totaal[[#Headers],[D1]],Database_Productkaarten[#All],51,FALSE)*Optimalisatie!J92),Baseline_Backlog!P510),0))</f>
        <v>0</v>
      </c>
      <c r="Q510" s="91">
        <f>(IF(Optimalisatie!C92="Bestaande Situatie",_xlfn.IFNA(IF(Optimalisatie!E92="Categorie_1_LCA_Producten",VLOOKUP(Inschrijf_Fossiele_Energie_Totaal[[#This Row],[Product]],Categorie_1_Producten[#All],31,FALSE)*(Optimalisatie!J92),VLOOKUP(Inschrijf_Fossiele_Energie_Totaal[[#This Row],[Product]]&amp;", "&amp;Inschrijf_Fossiele_Energie_Totaal[[#Headers],[D2]],Database_Productkaarten[#All],51,FALSE)*Optimalisatie!J92),Baseline_Backlog!Q510),0))</f>
        <v>0</v>
      </c>
      <c r="R510" s="91">
        <f>(IF(Optimalisatie!C92="Bestaande Situatie",_xlfn.IFNA(IF(Optimalisatie!E92="Categorie_1_LCA_Producten",VLOOKUP(Inschrijf_Fossiele_Energie_Totaal[[#This Row],[Product]],Categorie_1_Producten[#All],37,FALSE)*(Optimalisatie!J92),VLOOKUP(Inschrijf_Fossiele_Energie_Totaal[[#This Row],[Product]]&amp;", "&amp;Inschrijf_Fossiele_Energie_Totaal[[#Headers],[D]],Database_Productkaarten[#All],51,FALSE)*Optimalisatie!J92),Baseline_Backlog!S510),0))</f>
        <v>0</v>
      </c>
      <c r="S510" s="91">
        <f>SUM(Inschrijf_Fossiele_Energie_Totaal[[#This Row],[A1-A3]:[C4]])+Inschrijf_Fossiele_Energie_Totaal[[#This Row],[D]]</f>
        <v>0</v>
      </c>
    </row>
    <row r="511" spans="2:19">
      <c r="B511" s="208">
        <f>Optimalisatie!B93</f>
        <v>0</v>
      </c>
      <c r="C511" s="1">
        <f>Optimalisatie!F93</f>
        <v>0</v>
      </c>
      <c r="D511" s="91">
        <f>(IF(Optimalisatie!C93="Nieuwe Situatie",_xlfn.IFNA(IF(Optimalisatie!E93="Categorie_1_LCA_Producten",VLOOKUP(Inschrijf_Fossiele_Energie_Totaal[[#This Row],[Product]],Categorie_1_Producten[#All],26,FALSE)*(Optimalisatie!J93),VLOOKUP(Inschrijf_Fossiele_Energie_Totaal[[#This Row],[Product]]&amp;", "&amp;Inschrijf_Fossiele_Energie_Totaal[[#Headers],[A1]],Database_Productkaarten[#All],51,FALSE)*Optimalisatie!J93),Baseline_Backlog!D511),0))</f>
        <v>0</v>
      </c>
      <c r="E511" s="91">
        <f>(IF(Optimalisatie!C93="Nieuwe Situatie",_xlfn.IFNA(IF(Optimalisatie!E93="Categorie_1_LCA_Producten",VLOOKUP(Inschrijf_Fossiele_Energie_Totaal[[#This Row],[Product]],Categorie_1_Producten[#All],27,FALSE)*(Optimalisatie!J93),VLOOKUP(Inschrijf_Fossiele_Energie_Totaal[[#This Row],[Product]]&amp;", "&amp;Inschrijf_Fossiele_Energie_Totaal[[#Headers],[A2]],Database_Productkaarten[#All],51,FALSE)*Optimalisatie!J93),Baseline_Backlog!E511),0))</f>
        <v>0</v>
      </c>
      <c r="F511" s="91">
        <f>(IF(Optimalisatie!C93="Nieuwe Situatie",_xlfn.IFNA(IF(Optimalisatie!E93="Categorie_1_LCA_Producten",VLOOKUP(Inschrijf_Fossiele_Energie_Totaal[[#This Row],[Product]],Categorie_1_Producten[#All],28,FALSE)*(Optimalisatie!J93),VLOOKUP(Inschrijf_Fossiele_Energie_Totaal[[#This Row],[Product]]&amp;", "&amp;Inschrijf_Fossiele_Energie_Totaal[[#Headers],[A3]],Database_Productkaarten[#All],51,FALSE)*Optimalisatie!J93),Baseline_Backlog!F511),0))</f>
        <v>0</v>
      </c>
      <c r="G511" s="91">
        <f>(IF(Optimalisatie!C93="Nieuwe Situatie",_xlfn.IFNA(IF(Optimalisatie!E93="Categorie_1_LCA_Producten",VLOOKUP(Inschrijf_Fossiele_Energie_Totaal[[#This Row],[Product]],Categorie_1_Producten[#All],35,FALSE)*(Optimalisatie!J93),VLOOKUP(Inschrijf_Fossiele_Energie_Totaal[[#This Row],[Product]]&amp;", "&amp;Inschrijf_Fossiele_Energie_Totaal[[#Headers],[A1-A3]],Database_Productkaarten[#All],51,FALSE)*Optimalisatie!J93),Baseline_Backlog!G511),0))</f>
        <v>0</v>
      </c>
      <c r="H511" s="91">
        <f>(IF(Optimalisatie!C93="Nieuwe Situatie",_xlfn.IFNA(VLOOKUP(Optimalisatie!V93,Database_Transport[#All],45,FALSE)*(Optimalisatie!R93*Optimalisatie!U93),Baseline_Backlog!H511),0))</f>
        <v>0</v>
      </c>
      <c r="I511" s="91">
        <f>IF(Optimalisatie!C93="Nieuwe situatie",IF(_xlfn.IFNA((VLOOKUP(Optimalisatie!W93,Database_Asfalt_Aanlegset[#All],45,FALSE)*Optimalisatie!J93),0)+_xlfn.IFNA(VLOOKUP(Optimalisatie!X93,Database_Brandstoffen[#All],45,FALSE)*((Optimalisatie!J93/Optimalisatie!Z93)*Optimalisatie!Y93),0)&gt;0,_xlfn.IFNA((VLOOKUP(Optimalisatie!W93,Database_Asfalt_Aanlegset[#All],45,FALSE)*Optimalisatie!J93),0)+_xlfn.IFNA(VLOOKUP(Optimalisatie!X93,Database_Brandstoffen[#All],45,FALSE)*((Optimalisatie!J93/Optimalisatie!Z93)*Optimalisatie!Y93),0),(_xlfn.IFNA(VLOOKUP(Inschrijf_Fossiele_Energie_Totaal[[#This Row],[Product]]&amp;", "&amp;Inschrijf_MKI_Totaal[[#Headers],[A5]],Database_Productkaarten[#All],51,FALSE),0)*Optimalisatie!J93)),0)</f>
        <v>0</v>
      </c>
      <c r="J511" s="91">
        <f>(IF(Optimalisatie!C93="Nieuwe Situatie",_xlfn.IFNA(IF(Optimalisatie!E93="Categorie_1_LCA_Producten",VLOOKUP(Inschrijf_Fossiele_Energie_Totaal[[#This Row],[Product]],Categorie_1_Producten[#All],36,FALSE)*(Optimalisatie!R93),VLOOKUP(Inschrijf_Fossiele_Energie_Totaal[[#This Row],[Product]]&amp;", "&amp;Inschrijf_Fossiele_Energie_Totaal[[#Headers],[B1]],Database_Productkaarten[#All],51,FALSE)*Optimalisatie!J93),Baseline_Backlog!J511),0))</f>
        <v>0</v>
      </c>
      <c r="K511" s="91">
        <f>(IF(Optimalisatie!C93="Nieuwe Situatie",_xlfn.IFNA(SUM(Inschrijf_Fossiele_Energie_Totaal[[#This Row],[A1]:[B1]],Inschrijf_Fossiele_Energie_Totaal[[#This Row],[C1]:[D2]])*Optimalisatie!T93,0),0))</f>
        <v>0</v>
      </c>
      <c r="L511" s="91">
        <f>IF(Optimalisatie!C93="Bestaande situatie",IF(_xlfn.IFNA((VLOOKUP(Optimalisatie!AA93,Database_Asfalt_Verwijderset[#All],45,FALSE)*Optimalisatie!J93),0)+_xlfn.IFNA(VLOOKUP(Optimalisatie!AB93,Database_Brandstoffen[#All],45,FALSE)*((Optimalisatie!J93/Optimalisatie!AD93)*Optimalisatie!AC93),0)&gt;0,_xlfn.IFNA((VLOOKUP(Optimalisatie!AA93,Database_Asfalt_Verwijderset[#All],45,FALSE)*Optimalisatie!J93),0)+_xlfn.IFNA(VLOOKUP(Optimalisatie!AB93,Database_Brandstoffen[#All],45,FALSE)*((Optimalisatie!J93/Optimalisatie!AD93)*Optimalisatie!AC93),0),(_xlfn.IFNA(VLOOKUP(Inschrijf_Fossiele_Energie_Totaal[[#This Row],[Product]]&amp;", "&amp;Inschrijf_MKI_Totaal[[#Headers],[C1]],Database_Productkaarten[#All],51,FALSE),0)*Optimalisatie!J93)),0)</f>
        <v>0</v>
      </c>
      <c r="M511" s="91">
        <f>(IF(Optimalisatie!C93="Bestaande Situatie",_xlfn.IFNA(VLOOKUP(Optimalisatie!AF93,Database_Transport[#All],45,FALSE)*(Optimalisatie!R93*Optimalisatie!AE93),Baseline_Backlog!M511),0))</f>
        <v>0</v>
      </c>
      <c r="N511" s="91">
        <f>(IF(Optimalisatie!C93="Bestaande Situatie",_xlfn.IFNA(VLOOKUP(Optimalisatie!AG93,Database_Asfalt_Verwerkingsset[#All],45,FALSE)*(Optimalisatie!J93/VLOOKUP(Optimalisatie!AG93,Database_Asfalt_Verwerkingsset[#All],45,FALSE)),Baseline_Backlog!N511),0))</f>
        <v>0</v>
      </c>
      <c r="O511" s="91">
        <f>(IF(Optimalisatie!C93="Bestaande Situatie",_xlfn.IFNA(VLOOKUP(Inschrijf_Fossiele_Energie_Totaal[[#This Row],[Product]]&amp;", "&amp;Inschrijf_MKI_Totaal[[#Headers],[C4]],Database_Productkaarten[#All],51,FALSE)*Optimalisatie!J93,Baseline_Backlog!O511),0))</f>
        <v>0</v>
      </c>
      <c r="P511" s="91">
        <f>(IF(Optimalisatie!C93="Bestaande Situatie",_xlfn.IFNA(IF(Optimalisatie!E93="Categorie_1_LCA_Producten",VLOOKUP(Inschrijf_Fossiele_Energie_Totaal[[#This Row],[Product]],Categorie_1_Producten[#All],30,FALSE)*(Optimalisatie!J93),VLOOKUP(Inschrijf_Fossiele_Energie_Totaal[[#This Row],[Product]]&amp;", "&amp;Inschrijf_Fossiele_Energie_Totaal[[#Headers],[D1]],Database_Productkaarten[#All],51,FALSE)*Optimalisatie!J93),Baseline_Backlog!P511),0))</f>
        <v>0</v>
      </c>
      <c r="Q511" s="91">
        <f>(IF(Optimalisatie!C93="Bestaande Situatie",_xlfn.IFNA(IF(Optimalisatie!E93="Categorie_1_LCA_Producten",VLOOKUP(Inschrijf_Fossiele_Energie_Totaal[[#This Row],[Product]],Categorie_1_Producten[#All],31,FALSE)*(Optimalisatie!J93),VLOOKUP(Inschrijf_Fossiele_Energie_Totaal[[#This Row],[Product]]&amp;", "&amp;Inschrijf_Fossiele_Energie_Totaal[[#Headers],[D2]],Database_Productkaarten[#All],51,FALSE)*Optimalisatie!J93),Baseline_Backlog!Q511),0))</f>
        <v>0</v>
      </c>
      <c r="R511" s="91">
        <f>(IF(Optimalisatie!C93="Bestaande Situatie",_xlfn.IFNA(IF(Optimalisatie!E93="Categorie_1_LCA_Producten",VLOOKUP(Inschrijf_Fossiele_Energie_Totaal[[#This Row],[Product]],Categorie_1_Producten[#All],37,FALSE)*(Optimalisatie!J93),VLOOKUP(Inschrijf_Fossiele_Energie_Totaal[[#This Row],[Product]]&amp;", "&amp;Inschrijf_Fossiele_Energie_Totaal[[#Headers],[D]],Database_Productkaarten[#All],51,FALSE)*Optimalisatie!J93),Baseline_Backlog!S511),0))</f>
        <v>0</v>
      </c>
      <c r="S511" s="91">
        <f>SUM(Inschrijf_Fossiele_Energie_Totaal[[#This Row],[A1-A3]:[C4]])+Inschrijf_Fossiele_Energie_Totaal[[#This Row],[D]]</f>
        <v>0</v>
      </c>
    </row>
    <row r="512" spans="2:19">
      <c r="B512" s="208">
        <f>Optimalisatie!B94</f>
        <v>0</v>
      </c>
      <c r="C512" s="1">
        <f>Optimalisatie!F94</f>
        <v>0</v>
      </c>
      <c r="D512" s="91">
        <f>(IF(Optimalisatie!C94="Nieuwe Situatie",_xlfn.IFNA(IF(Optimalisatie!E94="Categorie_1_LCA_Producten",VLOOKUP(Inschrijf_Fossiele_Energie_Totaal[[#This Row],[Product]],Categorie_1_Producten[#All],26,FALSE)*(Optimalisatie!J94),VLOOKUP(Inschrijf_Fossiele_Energie_Totaal[[#This Row],[Product]]&amp;", "&amp;Inschrijf_Fossiele_Energie_Totaal[[#Headers],[A1]],Database_Productkaarten[#All],51,FALSE)*Optimalisatie!J94),Baseline_Backlog!D512),0))</f>
        <v>0</v>
      </c>
      <c r="E512" s="91">
        <f>(IF(Optimalisatie!C94="Nieuwe Situatie",_xlfn.IFNA(IF(Optimalisatie!E94="Categorie_1_LCA_Producten",VLOOKUP(Inschrijf_Fossiele_Energie_Totaal[[#This Row],[Product]],Categorie_1_Producten[#All],27,FALSE)*(Optimalisatie!J94),VLOOKUP(Inschrijf_Fossiele_Energie_Totaal[[#This Row],[Product]]&amp;", "&amp;Inschrijf_Fossiele_Energie_Totaal[[#Headers],[A2]],Database_Productkaarten[#All],51,FALSE)*Optimalisatie!J94),Baseline_Backlog!E512),0))</f>
        <v>0</v>
      </c>
      <c r="F512" s="91">
        <f>(IF(Optimalisatie!C94="Nieuwe Situatie",_xlfn.IFNA(IF(Optimalisatie!E94="Categorie_1_LCA_Producten",VLOOKUP(Inschrijf_Fossiele_Energie_Totaal[[#This Row],[Product]],Categorie_1_Producten[#All],28,FALSE)*(Optimalisatie!J94),VLOOKUP(Inschrijf_Fossiele_Energie_Totaal[[#This Row],[Product]]&amp;", "&amp;Inschrijf_Fossiele_Energie_Totaal[[#Headers],[A3]],Database_Productkaarten[#All],51,FALSE)*Optimalisatie!J94),Baseline_Backlog!F512),0))</f>
        <v>0</v>
      </c>
      <c r="G512" s="91">
        <f>(IF(Optimalisatie!C94="Nieuwe Situatie",_xlfn.IFNA(IF(Optimalisatie!E94="Categorie_1_LCA_Producten",VLOOKUP(Inschrijf_Fossiele_Energie_Totaal[[#This Row],[Product]],Categorie_1_Producten[#All],35,FALSE)*(Optimalisatie!J94),VLOOKUP(Inschrijf_Fossiele_Energie_Totaal[[#This Row],[Product]]&amp;", "&amp;Inschrijf_Fossiele_Energie_Totaal[[#Headers],[A1-A3]],Database_Productkaarten[#All],51,FALSE)*Optimalisatie!J94),Baseline_Backlog!G512),0))</f>
        <v>0</v>
      </c>
      <c r="H512" s="91">
        <f>(IF(Optimalisatie!C94="Nieuwe Situatie",_xlfn.IFNA(VLOOKUP(Optimalisatie!V94,Database_Transport[#All],45,FALSE)*(Optimalisatie!R94*Optimalisatie!U94),Baseline_Backlog!H512),0))</f>
        <v>0</v>
      </c>
      <c r="I512" s="91">
        <f>IF(Optimalisatie!C94="Nieuwe situatie",IF(_xlfn.IFNA((VLOOKUP(Optimalisatie!W94,Database_Asfalt_Aanlegset[#All],45,FALSE)*Optimalisatie!J94),0)+_xlfn.IFNA(VLOOKUP(Optimalisatie!X94,Database_Brandstoffen[#All],45,FALSE)*((Optimalisatie!J94/Optimalisatie!Z94)*Optimalisatie!Y94),0)&gt;0,_xlfn.IFNA((VLOOKUP(Optimalisatie!W94,Database_Asfalt_Aanlegset[#All],45,FALSE)*Optimalisatie!J94),0)+_xlfn.IFNA(VLOOKUP(Optimalisatie!X94,Database_Brandstoffen[#All],45,FALSE)*((Optimalisatie!J94/Optimalisatie!Z94)*Optimalisatie!Y94),0),(_xlfn.IFNA(VLOOKUP(Inschrijf_Fossiele_Energie_Totaal[[#This Row],[Product]]&amp;", "&amp;Inschrijf_MKI_Totaal[[#Headers],[A5]],Database_Productkaarten[#All],51,FALSE),0)*Optimalisatie!J94)),0)</f>
        <v>0</v>
      </c>
      <c r="J512" s="91">
        <f>(IF(Optimalisatie!C94="Nieuwe Situatie",_xlfn.IFNA(IF(Optimalisatie!E94="Categorie_1_LCA_Producten",VLOOKUP(Inschrijf_Fossiele_Energie_Totaal[[#This Row],[Product]],Categorie_1_Producten[#All],36,FALSE)*(Optimalisatie!R94),VLOOKUP(Inschrijf_Fossiele_Energie_Totaal[[#This Row],[Product]]&amp;", "&amp;Inschrijf_Fossiele_Energie_Totaal[[#Headers],[B1]],Database_Productkaarten[#All],51,FALSE)*Optimalisatie!J94),Baseline_Backlog!J512),0))</f>
        <v>0</v>
      </c>
      <c r="K512" s="91">
        <f>(IF(Optimalisatie!C94="Nieuwe Situatie",_xlfn.IFNA(SUM(Inschrijf_Fossiele_Energie_Totaal[[#This Row],[A1]:[B1]],Inschrijf_Fossiele_Energie_Totaal[[#This Row],[C1]:[D2]])*Optimalisatie!T94,0),0))</f>
        <v>0</v>
      </c>
      <c r="L512" s="91">
        <f>IF(Optimalisatie!C94="Bestaande situatie",IF(_xlfn.IFNA((VLOOKUP(Optimalisatie!AA94,Database_Asfalt_Verwijderset[#All],45,FALSE)*Optimalisatie!J94),0)+_xlfn.IFNA(VLOOKUP(Optimalisatie!AB94,Database_Brandstoffen[#All],45,FALSE)*((Optimalisatie!J94/Optimalisatie!AD94)*Optimalisatie!AC94),0)&gt;0,_xlfn.IFNA((VLOOKUP(Optimalisatie!AA94,Database_Asfalt_Verwijderset[#All],45,FALSE)*Optimalisatie!J94),0)+_xlfn.IFNA(VLOOKUP(Optimalisatie!AB94,Database_Brandstoffen[#All],45,FALSE)*((Optimalisatie!J94/Optimalisatie!AD94)*Optimalisatie!AC94),0),(_xlfn.IFNA(VLOOKUP(Inschrijf_Fossiele_Energie_Totaal[[#This Row],[Product]]&amp;", "&amp;Inschrijf_MKI_Totaal[[#Headers],[C1]],Database_Productkaarten[#All],51,FALSE),0)*Optimalisatie!J94)),0)</f>
        <v>0</v>
      </c>
      <c r="M512" s="91">
        <f>(IF(Optimalisatie!C94="Bestaande Situatie",_xlfn.IFNA(VLOOKUP(Optimalisatie!AF94,Database_Transport[#All],45,FALSE)*(Optimalisatie!R94*Optimalisatie!AE94),Baseline_Backlog!M512),0))</f>
        <v>0</v>
      </c>
      <c r="N512" s="91">
        <f>(IF(Optimalisatie!C94="Bestaande Situatie",_xlfn.IFNA(VLOOKUP(Optimalisatie!AG94,Database_Asfalt_Verwerkingsset[#All],45,FALSE)*(Optimalisatie!J94/VLOOKUP(Optimalisatie!AG94,Database_Asfalt_Verwerkingsset[#All],45,FALSE)),Baseline_Backlog!N512),0))</f>
        <v>0</v>
      </c>
      <c r="O512" s="91">
        <f>(IF(Optimalisatie!C94="Bestaande Situatie",_xlfn.IFNA(VLOOKUP(Inschrijf_Fossiele_Energie_Totaal[[#This Row],[Product]]&amp;", "&amp;Inschrijf_MKI_Totaal[[#Headers],[C4]],Database_Productkaarten[#All],51,FALSE)*Optimalisatie!J94,Baseline_Backlog!O512),0))</f>
        <v>0</v>
      </c>
      <c r="P512" s="91">
        <f>(IF(Optimalisatie!C94="Bestaande Situatie",_xlfn.IFNA(IF(Optimalisatie!E94="Categorie_1_LCA_Producten",VLOOKUP(Inschrijf_Fossiele_Energie_Totaal[[#This Row],[Product]],Categorie_1_Producten[#All],30,FALSE)*(Optimalisatie!J94),VLOOKUP(Inschrijf_Fossiele_Energie_Totaal[[#This Row],[Product]]&amp;", "&amp;Inschrijf_Fossiele_Energie_Totaal[[#Headers],[D1]],Database_Productkaarten[#All],51,FALSE)*Optimalisatie!J94),Baseline_Backlog!P512),0))</f>
        <v>0</v>
      </c>
      <c r="Q512" s="91">
        <f>(IF(Optimalisatie!C94="Bestaande Situatie",_xlfn.IFNA(IF(Optimalisatie!E94="Categorie_1_LCA_Producten",VLOOKUP(Inschrijf_Fossiele_Energie_Totaal[[#This Row],[Product]],Categorie_1_Producten[#All],31,FALSE)*(Optimalisatie!J94),VLOOKUP(Inschrijf_Fossiele_Energie_Totaal[[#This Row],[Product]]&amp;", "&amp;Inschrijf_Fossiele_Energie_Totaal[[#Headers],[D2]],Database_Productkaarten[#All],51,FALSE)*Optimalisatie!J94),Baseline_Backlog!Q512),0))</f>
        <v>0</v>
      </c>
      <c r="R512" s="91">
        <f>(IF(Optimalisatie!C94="Bestaande Situatie",_xlfn.IFNA(IF(Optimalisatie!E94="Categorie_1_LCA_Producten",VLOOKUP(Inschrijf_Fossiele_Energie_Totaal[[#This Row],[Product]],Categorie_1_Producten[#All],37,FALSE)*(Optimalisatie!J94),VLOOKUP(Inschrijf_Fossiele_Energie_Totaal[[#This Row],[Product]]&amp;", "&amp;Inschrijf_Fossiele_Energie_Totaal[[#Headers],[D]],Database_Productkaarten[#All],51,FALSE)*Optimalisatie!J94),Baseline_Backlog!S512),0))</f>
        <v>0</v>
      </c>
      <c r="S512" s="91">
        <f>SUM(Inschrijf_Fossiele_Energie_Totaal[[#This Row],[A1-A3]:[C4]])+Inschrijf_Fossiele_Energie_Totaal[[#This Row],[D]]</f>
        <v>0</v>
      </c>
    </row>
    <row r="513" spans="2:19">
      <c r="B513" s="208">
        <f>Optimalisatie!B95</f>
        <v>0</v>
      </c>
      <c r="C513" s="1">
        <f>Optimalisatie!F95</f>
        <v>0</v>
      </c>
      <c r="D513" s="91">
        <f>(IF(Optimalisatie!C95="Nieuwe Situatie",_xlfn.IFNA(IF(Optimalisatie!E95="Categorie_1_LCA_Producten",VLOOKUP(Inschrijf_Fossiele_Energie_Totaal[[#This Row],[Product]],Categorie_1_Producten[#All],26,FALSE)*(Optimalisatie!J95),VLOOKUP(Inschrijf_Fossiele_Energie_Totaal[[#This Row],[Product]]&amp;", "&amp;Inschrijf_Fossiele_Energie_Totaal[[#Headers],[A1]],Database_Productkaarten[#All],51,FALSE)*Optimalisatie!J95),Baseline_Backlog!D513),0))</f>
        <v>0</v>
      </c>
      <c r="E513" s="91">
        <f>(IF(Optimalisatie!C95="Nieuwe Situatie",_xlfn.IFNA(IF(Optimalisatie!E95="Categorie_1_LCA_Producten",VLOOKUP(Inschrijf_Fossiele_Energie_Totaal[[#This Row],[Product]],Categorie_1_Producten[#All],27,FALSE)*(Optimalisatie!J95),VLOOKUP(Inschrijf_Fossiele_Energie_Totaal[[#This Row],[Product]]&amp;", "&amp;Inschrijf_Fossiele_Energie_Totaal[[#Headers],[A2]],Database_Productkaarten[#All],51,FALSE)*Optimalisatie!J95),Baseline_Backlog!E513),0))</f>
        <v>0</v>
      </c>
      <c r="F513" s="91">
        <f>(IF(Optimalisatie!C95="Nieuwe Situatie",_xlfn.IFNA(IF(Optimalisatie!E95="Categorie_1_LCA_Producten",VLOOKUP(Inschrijf_Fossiele_Energie_Totaal[[#This Row],[Product]],Categorie_1_Producten[#All],28,FALSE)*(Optimalisatie!J95),VLOOKUP(Inschrijf_Fossiele_Energie_Totaal[[#This Row],[Product]]&amp;", "&amp;Inschrijf_Fossiele_Energie_Totaal[[#Headers],[A3]],Database_Productkaarten[#All],51,FALSE)*Optimalisatie!J95),Baseline_Backlog!F513),0))</f>
        <v>0</v>
      </c>
      <c r="G513" s="91">
        <f>(IF(Optimalisatie!C95="Nieuwe Situatie",_xlfn.IFNA(IF(Optimalisatie!E95="Categorie_1_LCA_Producten",VLOOKUP(Inschrijf_Fossiele_Energie_Totaal[[#This Row],[Product]],Categorie_1_Producten[#All],35,FALSE)*(Optimalisatie!J95),VLOOKUP(Inschrijf_Fossiele_Energie_Totaal[[#This Row],[Product]]&amp;", "&amp;Inschrijf_Fossiele_Energie_Totaal[[#Headers],[A1-A3]],Database_Productkaarten[#All],51,FALSE)*Optimalisatie!J95),Baseline_Backlog!G513),0))</f>
        <v>0</v>
      </c>
      <c r="H513" s="91">
        <f>(IF(Optimalisatie!C95="Nieuwe Situatie",_xlfn.IFNA(VLOOKUP(Optimalisatie!V95,Database_Transport[#All],45,FALSE)*(Optimalisatie!R95*Optimalisatie!U95),Baseline_Backlog!H513),0))</f>
        <v>0</v>
      </c>
      <c r="I513" s="91">
        <f>IF(Optimalisatie!C95="Nieuwe situatie",IF(_xlfn.IFNA((VLOOKUP(Optimalisatie!W95,Database_Asfalt_Aanlegset[#All],45,FALSE)*Optimalisatie!J95),0)+_xlfn.IFNA(VLOOKUP(Optimalisatie!X95,Database_Brandstoffen[#All],45,FALSE)*((Optimalisatie!J95/Optimalisatie!Z95)*Optimalisatie!Y95),0)&gt;0,_xlfn.IFNA((VLOOKUP(Optimalisatie!W95,Database_Asfalt_Aanlegset[#All],45,FALSE)*Optimalisatie!J95),0)+_xlfn.IFNA(VLOOKUP(Optimalisatie!X95,Database_Brandstoffen[#All],45,FALSE)*((Optimalisatie!J95/Optimalisatie!Z95)*Optimalisatie!Y95),0),(_xlfn.IFNA(VLOOKUP(Inschrijf_Fossiele_Energie_Totaal[[#This Row],[Product]]&amp;", "&amp;Inschrijf_MKI_Totaal[[#Headers],[A5]],Database_Productkaarten[#All],51,FALSE),0)*Optimalisatie!J95)),0)</f>
        <v>0</v>
      </c>
      <c r="J513" s="91">
        <f>(IF(Optimalisatie!C95="Nieuwe Situatie",_xlfn.IFNA(IF(Optimalisatie!E95="Categorie_1_LCA_Producten",VLOOKUP(Inschrijf_Fossiele_Energie_Totaal[[#This Row],[Product]],Categorie_1_Producten[#All],36,FALSE)*(Optimalisatie!R95),VLOOKUP(Inschrijf_Fossiele_Energie_Totaal[[#This Row],[Product]]&amp;", "&amp;Inschrijf_Fossiele_Energie_Totaal[[#Headers],[B1]],Database_Productkaarten[#All],51,FALSE)*Optimalisatie!J95),Baseline_Backlog!J513),0))</f>
        <v>0</v>
      </c>
      <c r="K513" s="91">
        <f>(IF(Optimalisatie!C95="Nieuwe Situatie",_xlfn.IFNA(SUM(Inschrijf_Fossiele_Energie_Totaal[[#This Row],[A1]:[B1]],Inschrijf_Fossiele_Energie_Totaal[[#This Row],[C1]:[D2]])*Optimalisatie!T95,0),0))</f>
        <v>0</v>
      </c>
      <c r="L513" s="91">
        <f>IF(Optimalisatie!C95="Bestaande situatie",IF(_xlfn.IFNA((VLOOKUP(Optimalisatie!AA95,Database_Asfalt_Verwijderset[#All],45,FALSE)*Optimalisatie!J95),0)+_xlfn.IFNA(VLOOKUP(Optimalisatie!AB95,Database_Brandstoffen[#All],45,FALSE)*((Optimalisatie!J95/Optimalisatie!AD95)*Optimalisatie!AC95),0)&gt;0,_xlfn.IFNA((VLOOKUP(Optimalisatie!AA95,Database_Asfalt_Verwijderset[#All],45,FALSE)*Optimalisatie!J95),0)+_xlfn.IFNA(VLOOKUP(Optimalisatie!AB95,Database_Brandstoffen[#All],45,FALSE)*((Optimalisatie!J95/Optimalisatie!AD95)*Optimalisatie!AC95),0),(_xlfn.IFNA(VLOOKUP(Inschrijf_Fossiele_Energie_Totaal[[#This Row],[Product]]&amp;", "&amp;Inschrijf_MKI_Totaal[[#Headers],[C1]],Database_Productkaarten[#All],51,FALSE),0)*Optimalisatie!J95)),0)</f>
        <v>0</v>
      </c>
      <c r="M513" s="91">
        <f>(IF(Optimalisatie!C95="Bestaande Situatie",_xlfn.IFNA(VLOOKUP(Optimalisatie!AF95,Database_Transport[#All],45,FALSE)*(Optimalisatie!R95*Optimalisatie!AE95),Baseline_Backlog!M513),0))</f>
        <v>0</v>
      </c>
      <c r="N513" s="91">
        <f>(IF(Optimalisatie!C95="Bestaande Situatie",_xlfn.IFNA(VLOOKUP(Optimalisatie!AG95,Database_Asfalt_Verwerkingsset[#All],45,FALSE)*(Optimalisatie!J95/VLOOKUP(Optimalisatie!AG95,Database_Asfalt_Verwerkingsset[#All],45,FALSE)),Baseline_Backlog!N513),0))</f>
        <v>0</v>
      </c>
      <c r="O513" s="91">
        <f>(IF(Optimalisatie!C95="Bestaande Situatie",_xlfn.IFNA(VLOOKUP(Inschrijf_Fossiele_Energie_Totaal[[#This Row],[Product]]&amp;", "&amp;Inschrijf_MKI_Totaal[[#Headers],[C4]],Database_Productkaarten[#All],51,FALSE)*Optimalisatie!J95,Baseline_Backlog!O513),0))</f>
        <v>0</v>
      </c>
      <c r="P513" s="91">
        <f>(IF(Optimalisatie!C95="Bestaande Situatie",_xlfn.IFNA(IF(Optimalisatie!E95="Categorie_1_LCA_Producten",VLOOKUP(Inschrijf_Fossiele_Energie_Totaal[[#This Row],[Product]],Categorie_1_Producten[#All],30,FALSE)*(Optimalisatie!J95),VLOOKUP(Inschrijf_Fossiele_Energie_Totaal[[#This Row],[Product]]&amp;", "&amp;Inschrijf_Fossiele_Energie_Totaal[[#Headers],[D1]],Database_Productkaarten[#All],51,FALSE)*Optimalisatie!J95),Baseline_Backlog!P513),0))</f>
        <v>0</v>
      </c>
      <c r="Q513" s="91">
        <f>(IF(Optimalisatie!C95="Bestaande Situatie",_xlfn.IFNA(IF(Optimalisatie!E95="Categorie_1_LCA_Producten",VLOOKUP(Inschrijf_Fossiele_Energie_Totaal[[#This Row],[Product]],Categorie_1_Producten[#All],31,FALSE)*(Optimalisatie!J95),VLOOKUP(Inschrijf_Fossiele_Energie_Totaal[[#This Row],[Product]]&amp;", "&amp;Inschrijf_Fossiele_Energie_Totaal[[#Headers],[D2]],Database_Productkaarten[#All],51,FALSE)*Optimalisatie!J95),Baseline_Backlog!Q513),0))</f>
        <v>0</v>
      </c>
      <c r="R513" s="91">
        <f>(IF(Optimalisatie!C95="Bestaande Situatie",_xlfn.IFNA(IF(Optimalisatie!E95="Categorie_1_LCA_Producten",VLOOKUP(Inschrijf_Fossiele_Energie_Totaal[[#This Row],[Product]],Categorie_1_Producten[#All],37,FALSE)*(Optimalisatie!J95),VLOOKUP(Inschrijf_Fossiele_Energie_Totaal[[#This Row],[Product]]&amp;", "&amp;Inschrijf_Fossiele_Energie_Totaal[[#Headers],[D]],Database_Productkaarten[#All],51,FALSE)*Optimalisatie!J95),Baseline_Backlog!S513),0))</f>
        <v>0</v>
      </c>
      <c r="S513" s="91">
        <f>SUM(Inschrijf_Fossiele_Energie_Totaal[[#This Row],[A1-A3]:[C4]])+Inschrijf_Fossiele_Energie_Totaal[[#This Row],[D]]</f>
        <v>0</v>
      </c>
    </row>
    <row r="514" spans="2:19">
      <c r="B514" s="208">
        <f>Optimalisatie!B96</f>
        <v>0</v>
      </c>
      <c r="C514" s="1">
        <f>Optimalisatie!F96</f>
        <v>0</v>
      </c>
      <c r="D514" s="91">
        <f>(IF(Optimalisatie!C96="Nieuwe Situatie",_xlfn.IFNA(IF(Optimalisatie!E96="Categorie_1_LCA_Producten",VLOOKUP(Inschrijf_Fossiele_Energie_Totaal[[#This Row],[Product]],Categorie_1_Producten[#All],26,FALSE)*(Optimalisatie!J96),VLOOKUP(Inschrijf_Fossiele_Energie_Totaal[[#This Row],[Product]]&amp;", "&amp;Inschrijf_Fossiele_Energie_Totaal[[#Headers],[A1]],Database_Productkaarten[#All],51,FALSE)*Optimalisatie!J96),Baseline_Backlog!D514),0))</f>
        <v>0</v>
      </c>
      <c r="E514" s="91">
        <f>(IF(Optimalisatie!C96="Nieuwe Situatie",_xlfn.IFNA(IF(Optimalisatie!E96="Categorie_1_LCA_Producten",VLOOKUP(Inschrijf_Fossiele_Energie_Totaal[[#This Row],[Product]],Categorie_1_Producten[#All],27,FALSE)*(Optimalisatie!J96),VLOOKUP(Inschrijf_Fossiele_Energie_Totaal[[#This Row],[Product]]&amp;", "&amp;Inschrijf_Fossiele_Energie_Totaal[[#Headers],[A2]],Database_Productkaarten[#All],51,FALSE)*Optimalisatie!J96),Baseline_Backlog!E514),0))</f>
        <v>0</v>
      </c>
      <c r="F514" s="91">
        <f>(IF(Optimalisatie!C96="Nieuwe Situatie",_xlfn.IFNA(IF(Optimalisatie!E96="Categorie_1_LCA_Producten",VLOOKUP(Inschrijf_Fossiele_Energie_Totaal[[#This Row],[Product]],Categorie_1_Producten[#All],28,FALSE)*(Optimalisatie!J96),VLOOKUP(Inschrijf_Fossiele_Energie_Totaal[[#This Row],[Product]]&amp;", "&amp;Inschrijf_Fossiele_Energie_Totaal[[#Headers],[A3]],Database_Productkaarten[#All],51,FALSE)*Optimalisatie!J96),Baseline_Backlog!F514),0))</f>
        <v>0</v>
      </c>
      <c r="G514" s="91">
        <f>(IF(Optimalisatie!C96="Nieuwe Situatie",_xlfn.IFNA(IF(Optimalisatie!E96="Categorie_1_LCA_Producten",VLOOKUP(Inschrijf_Fossiele_Energie_Totaal[[#This Row],[Product]],Categorie_1_Producten[#All],35,FALSE)*(Optimalisatie!J96),VLOOKUP(Inschrijf_Fossiele_Energie_Totaal[[#This Row],[Product]]&amp;", "&amp;Inschrijf_Fossiele_Energie_Totaal[[#Headers],[A1-A3]],Database_Productkaarten[#All],51,FALSE)*Optimalisatie!J96),Baseline_Backlog!G514),0))</f>
        <v>0</v>
      </c>
      <c r="H514" s="91">
        <f>(IF(Optimalisatie!C96="Nieuwe Situatie",_xlfn.IFNA(VLOOKUP(Optimalisatie!V96,Database_Transport[#All],45,FALSE)*(Optimalisatie!R96*Optimalisatie!U96),Baseline_Backlog!H514),0))</f>
        <v>0</v>
      </c>
      <c r="I514" s="91">
        <f>IF(Optimalisatie!C96="Nieuwe situatie",IF(_xlfn.IFNA((VLOOKUP(Optimalisatie!W96,Database_Asfalt_Aanlegset[#All],45,FALSE)*Optimalisatie!J96),0)+_xlfn.IFNA(VLOOKUP(Optimalisatie!X96,Database_Brandstoffen[#All],45,FALSE)*((Optimalisatie!J96/Optimalisatie!Z96)*Optimalisatie!Y96),0)&gt;0,_xlfn.IFNA((VLOOKUP(Optimalisatie!W96,Database_Asfalt_Aanlegset[#All],45,FALSE)*Optimalisatie!J96),0)+_xlfn.IFNA(VLOOKUP(Optimalisatie!X96,Database_Brandstoffen[#All],45,FALSE)*((Optimalisatie!J96/Optimalisatie!Z96)*Optimalisatie!Y96),0),(_xlfn.IFNA(VLOOKUP(Inschrijf_Fossiele_Energie_Totaal[[#This Row],[Product]]&amp;", "&amp;Inschrijf_MKI_Totaal[[#Headers],[A5]],Database_Productkaarten[#All],51,FALSE),0)*Optimalisatie!J96)),0)</f>
        <v>0</v>
      </c>
      <c r="J514" s="91">
        <f>(IF(Optimalisatie!C96="Nieuwe Situatie",_xlfn.IFNA(IF(Optimalisatie!E96="Categorie_1_LCA_Producten",VLOOKUP(Inschrijf_Fossiele_Energie_Totaal[[#This Row],[Product]],Categorie_1_Producten[#All],36,FALSE)*(Optimalisatie!R96),VLOOKUP(Inschrijf_Fossiele_Energie_Totaal[[#This Row],[Product]]&amp;", "&amp;Inschrijf_Fossiele_Energie_Totaal[[#Headers],[B1]],Database_Productkaarten[#All],51,FALSE)*Optimalisatie!J96),Baseline_Backlog!J514),0))</f>
        <v>0</v>
      </c>
      <c r="K514" s="91">
        <f>(IF(Optimalisatie!C96="Nieuwe Situatie",_xlfn.IFNA(SUM(Inschrijf_Fossiele_Energie_Totaal[[#This Row],[A1]:[B1]],Inschrijf_Fossiele_Energie_Totaal[[#This Row],[C1]:[D2]])*Optimalisatie!T96,0),0))</f>
        <v>0</v>
      </c>
      <c r="L514" s="91">
        <f>IF(Optimalisatie!C96="Bestaande situatie",IF(_xlfn.IFNA((VLOOKUP(Optimalisatie!AA96,Database_Asfalt_Verwijderset[#All],45,FALSE)*Optimalisatie!J96),0)+_xlfn.IFNA(VLOOKUP(Optimalisatie!AB96,Database_Brandstoffen[#All],45,FALSE)*((Optimalisatie!J96/Optimalisatie!AD96)*Optimalisatie!AC96),0)&gt;0,_xlfn.IFNA((VLOOKUP(Optimalisatie!AA96,Database_Asfalt_Verwijderset[#All],45,FALSE)*Optimalisatie!J96),0)+_xlfn.IFNA(VLOOKUP(Optimalisatie!AB96,Database_Brandstoffen[#All],45,FALSE)*((Optimalisatie!J96/Optimalisatie!AD96)*Optimalisatie!AC96),0),(_xlfn.IFNA(VLOOKUP(Inschrijf_Fossiele_Energie_Totaal[[#This Row],[Product]]&amp;", "&amp;Inschrijf_MKI_Totaal[[#Headers],[C1]],Database_Productkaarten[#All],51,FALSE),0)*Optimalisatie!J96)),0)</f>
        <v>0</v>
      </c>
      <c r="M514" s="91">
        <f>(IF(Optimalisatie!C96="Bestaande Situatie",_xlfn.IFNA(VLOOKUP(Optimalisatie!AF96,Database_Transport[#All],45,FALSE)*(Optimalisatie!R96*Optimalisatie!AE96),Baseline_Backlog!M514),0))</f>
        <v>0</v>
      </c>
      <c r="N514" s="91">
        <f>(IF(Optimalisatie!C96="Bestaande Situatie",_xlfn.IFNA(VLOOKUP(Optimalisatie!AG96,Database_Asfalt_Verwerkingsset[#All],45,FALSE)*(Optimalisatie!J96/VLOOKUP(Optimalisatie!AG96,Database_Asfalt_Verwerkingsset[#All],45,FALSE)),Baseline_Backlog!N514),0))</f>
        <v>0</v>
      </c>
      <c r="O514" s="91">
        <f>(IF(Optimalisatie!C96="Bestaande Situatie",_xlfn.IFNA(VLOOKUP(Inschrijf_Fossiele_Energie_Totaal[[#This Row],[Product]]&amp;", "&amp;Inschrijf_MKI_Totaal[[#Headers],[C4]],Database_Productkaarten[#All],51,FALSE)*Optimalisatie!J96,Baseline_Backlog!O514),0))</f>
        <v>0</v>
      </c>
      <c r="P514" s="91">
        <f>(IF(Optimalisatie!C96="Bestaande Situatie",_xlfn.IFNA(IF(Optimalisatie!E96="Categorie_1_LCA_Producten",VLOOKUP(Inschrijf_Fossiele_Energie_Totaal[[#This Row],[Product]],Categorie_1_Producten[#All],30,FALSE)*(Optimalisatie!J96),VLOOKUP(Inschrijf_Fossiele_Energie_Totaal[[#This Row],[Product]]&amp;", "&amp;Inschrijf_Fossiele_Energie_Totaal[[#Headers],[D1]],Database_Productkaarten[#All],51,FALSE)*Optimalisatie!J96),Baseline_Backlog!P514),0))</f>
        <v>0</v>
      </c>
      <c r="Q514" s="91">
        <f>(IF(Optimalisatie!C96="Bestaande Situatie",_xlfn.IFNA(IF(Optimalisatie!E96="Categorie_1_LCA_Producten",VLOOKUP(Inschrijf_Fossiele_Energie_Totaal[[#This Row],[Product]],Categorie_1_Producten[#All],31,FALSE)*(Optimalisatie!J96),VLOOKUP(Inschrijf_Fossiele_Energie_Totaal[[#This Row],[Product]]&amp;", "&amp;Inschrijf_Fossiele_Energie_Totaal[[#Headers],[D2]],Database_Productkaarten[#All],51,FALSE)*Optimalisatie!J96),Baseline_Backlog!Q514),0))</f>
        <v>0</v>
      </c>
      <c r="R514" s="91">
        <f>(IF(Optimalisatie!C96="Bestaande Situatie",_xlfn.IFNA(IF(Optimalisatie!E96="Categorie_1_LCA_Producten",VLOOKUP(Inschrijf_Fossiele_Energie_Totaal[[#This Row],[Product]],Categorie_1_Producten[#All],37,FALSE)*(Optimalisatie!J96),VLOOKUP(Inschrijf_Fossiele_Energie_Totaal[[#This Row],[Product]]&amp;", "&amp;Inschrijf_Fossiele_Energie_Totaal[[#Headers],[D]],Database_Productkaarten[#All],51,FALSE)*Optimalisatie!J96),Baseline_Backlog!S514),0))</f>
        <v>0</v>
      </c>
      <c r="S514" s="91">
        <f>SUM(Inschrijf_Fossiele_Energie_Totaal[[#This Row],[A1-A3]:[C4]])+Inschrijf_Fossiele_Energie_Totaal[[#This Row],[D]]</f>
        <v>0</v>
      </c>
    </row>
    <row r="515" spans="2:19">
      <c r="B515" s="208">
        <f>Optimalisatie!B97</f>
        <v>0</v>
      </c>
      <c r="C515" s="1">
        <f>Optimalisatie!F97</f>
        <v>0</v>
      </c>
      <c r="D515" s="91">
        <f>(IF(Optimalisatie!C97="Nieuwe Situatie",_xlfn.IFNA(IF(Optimalisatie!E97="Categorie_1_LCA_Producten",VLOOKUP(Inschrijf_Fossiele_Energie_Totaal[[#This Row],[Product]],Categorie_1_Producten[#All],26,FALSE)*(Optimalisatie!J97),VLOOKUP(Inschrijf_Fossiele_Energie_Totaal[[#This Row],[Product]]&amp;", "&amp;Inschrijf_Fossiele_Energie_Totaal[[#Headers],[A1]],Database_Productkaarten[#All],51,FALSE)*Optimalisatie!J97),Baseline_Backlog!D515),0))</f>
        <v>0</v>
      </c>
      <c r="E515" s="91">
        <f>(IF(Optimalisatie!C97="Nieuwe Situatie",_xlfn.IFNA(IF(Optimalisatie!E97="Categorie_1_LCA_Producten",VLOOKUP(Inschrijf_Fossiele_Energie_Totaal[[#This Row],[Product]],Categorie_1_Producten[#All],27,FALSE)*(Optimalisatie!J97),VLOOKUP(Inschrijf_Fossiele_Energie_Totaal[[#This Row],[Product]]&amp;", "&amp;Inschrijf_Fossiele_Energie_Totaal[[#Headers],[A2]],Database_Productkaarten[#All],51,FALSE)*Optimalisatie!J97),Baseline_Backlog!E515),0))</f>
        <v>0</v>
      </c>
      <c r="F515" s="91">
        <f>(IF(Optimalisatie!C97="Nieuwe Situatie",_xlfn.IFNA(IF(Optimalisatie!E97="Categorie_1_LCA_Producten",VLOOKUP(Inschrijf_Fossiele_Energie_Totaal[[#This Row],[Product]],Categorie_1_Producten[#All],28,FALSE)*(Optimalisatie!J97),VLOOKUP(Inschrijf_Fossiele_Energie_Totaal[[#This Row],[Product]]&amp;", "&amp;Inschrijf_Fossiele_Energie_Totaal[[#Headers],[A3]],Database_Productkaarten[#All],51,FALSE)*Optimalisatie!J97),Baseline_Backlog!F515),0))</f>
        <v>0</v>
      </c>
      <c r="G515" s="91">
        <f>(IF(Optimalisatie!C97="Nieuwe Situatie",_xlfn.IFNA(IF(Optimalisatie!E97="Categorie_1_LCA_Producten",VLOOKUP(Inschrijf_Fossiele_Energie_Totaal[[#This Row],[Product]],Categorie_1_Producten[#All],35,FALSE)*(Optimalisatie!J97),VLOOKUP(Inschrijf_Fossiele_Energie_Totaal[[#This Row],[Product]]&amp;", "&amp;Inschrijf_Fossiele_Energie_Totaal[[#Headers],[A1-A3]],Database_Productkaarten[#All],51,FALSE)*Optimalisatie!J97),Baseline_Backlog!G515),0))</f>
        <v>0</v>
      </c>
      <c r="H515" s="91">
        <f>(IF(Optimalisatie!C97="Nieuwe Situatie",_xlfn.IFNA(VLOOKUP(Optimalisatie!V97,Database_Transport[#All],45,FALSE)*(Optimalisatie!R97*Optimalisatie!U97),Baseline_Backlog!H515),0))</f>
        <v>0</v>
      </c>
      <c r="I515" s="91">
        <f>IF(Optimalisatie!C97="Nieuwe situatie",IF(_xlfn.IFNA((VLOOKUP(Optimalisatie!W97,Database_Asfalt_Aanlegset[#All],45,FALSE)*Optimalisatie!J97),0)+_xlfn.IFNA(VLOOKUP(Optimalisatie!X97,Database_Brandstoffen[#All],45,FALSE)*((Optimalisatie!J97/Optimalisatie!Z97)*Optimalisatie!Y97),0)&gt;0,_xlfn.IFNA((VLOOKUP(Optimalisatie!W97,Database_Asfalt_Aanlegset[#All],45,FALSE)*Optimalisatie!J97),0)+_xlfn.IFNA(VLOOKUP(Optimalisatie!X97,Database_Brandstoffen[#All],45,FALSE)*((Optimalisatie!J97/Optimalisatie!Z97)*Optimalisatie!Y97),0),(_xlfn.IFNA(VLOOKUP(Inschrijf_Fossiele_Energie_Totaal[[#This Row],[Product]]&amp;", "&amp;Inschrijf_MKI_Totaal[[#Headers],[A5]],Database_Productkaarten[#All],51,FALSE),0)*Optimalisatie!J97)),0)</f>
        <v>0</v>
      </c>
      <c r="J515" s="91">
        <f>(IF(Optimalisatie!C97="Nieuwe Situatie",_xlfn.IFNA(IF(Optimalisatie!E97="Categorie_1_LCA_Producten",VLOOKUP(Inschrijf_Fossiele_Energie_Totaal[[#This Row],[Product]],Categorie_1_Producten[#All],36,FALSE)*(Optimalisatie!R97),VLOOKUP(Inschrijf_Fossiele_Energie_Totaal[[#This Row],[Product]]&amp;", "&amp;Inschrijf_Fossiele_Energie_Totaal[[#Headers],[B1]],Database_Productkaarten[#All],51,FALSE)*Optimalisatie!J97),Baseline_Backlog!J515),0))</f>
        <v>0</v>
      </c>
      <c r="K515" s="91">
        <f>(IF(Optimalisatie!C97="Nieuwe Situatie",_xlfn.IFNA(SUM(Inschrijf_Fossiele_Energie_Totaal[[#This Row],[A1]:[B1]],Inschrijf_Fossiele_Energie_Totaal[[#This Row],[C1]:[D2]])*Optimalisatie!T97,0),0))</f>
        <v>0</v>
      </c>
      <c r="L515" s="91">
        <f>IF(Optimalisatie!C97="Bestaande situatie",IF(_xlfn.IFNA((VLOOKUP(Optimalisatie!AA97,Database_Asfalt_Verwijderset[#All],45,FALSE)*Optimalisatie!J97),0)+_xlfn.IFNA(VLOOKUP(Optimalisatie!AB97,Database_Brandstoffen[#All],45,FALSE)*((Optimalisatie!J97/Optimalisatie!AD97)*Optimalisatie!AC97),0)&gt;0,_xlfn.IFNA((VLOOKUP(Optimalisatie!AA97,Database_Asfalt_Verwijderset[#All],45,FALSE)*Optimalisatie!J97),0)+_xlfn.IFNA(VLOOKUP(Optimalisatie!AB97,Database_Brandstoffen[#All],45,FALSE)*((Optimalisatie!J97/Optimalisatie!AD97)*Optimalisatie!AC97),0),(_xlfn.IFNA(VLOOKUP(Inschrijf_Fossiele_Energie_Totaal[[#This Row],[Product]]&amp;", "&amp;Inschrijf_MKI_Totaal[[#Headers],[C1]],Database_Productkaarten[#All],51,FALSE),0)*Optimalisatie!J97)),0)</f>
        <v>0</v>
      </c>
      <c r="M515" s="91">
        <f>(IF(Optimalisatie!C97="Bestaande Situatie",_xlfn.IFNA(VLOOKUP(Optimalisatie!AF97,Database_Transport[#All],45,FALSE)*(Optimalisatie!R97*Optimalisatie!AE97),Baseline_Backlog!M515),0))</f>
        <v>0</v>
      </c>
      <c r="N515" s="91">
        <f>(IF(Optimalisatie!C97="Bestaande Situatie",_xlfn.IFNA(VLOOKUP(Optimalisatie!AG97,Database_Asfalt_Verwerkingsset[#All],45,FALSE)*(Optimalisatie!J97/VLOOKUP(Optimalisatie!AG97,Database_Asfalt_Verwerkingsset[#All],45,FALSE)),Baseline_Backlog!N515),0))</f>
        <v>0</v>
      </c>
      <c r="O515" s="91">
        <f>(IF(Optimalisatie!C97="Bestaande Situatie",_xlfn.IFNA(VLOOKUP(Inschrijf_Fossiele_Energie_Totaal[[#This Row],[Product]]&amp;", "&amp;Inschrijf_MKI_Totaal[[#Headers],[C4]],Database_Productkaarten[#All],51,FALSE)*Optimalisatie!J97,Baseline_Backlog!O515),0))</f>
        <v>0</v>
      </c>
      <c r="P515" s="91">
        <f>(IF(Optimalisatie!C97="Bestaande Situatie",_xlfn.IFNA(IF(Optimalisatie!E97="Categorie_1_LCA_Producten",VLOOKUP(Inschrijf_Fossiele_Energie_Totaal[[#This Row],[Product]],Categorie_1_Producten[#All],30,FALSE)*(Optimalisatie!J97),VLOOKUP(Inschrijf_Fossiele_Energie_Totaal[[#This Row],[Product]]&amp;", "&amp;Inschrijf_Fossiele_Energie_Totaal[[#Headers],[D1]],Database_Productkaarten[#All],51,FALSE)*Optimalisatie!J97),Baseline_Backlog!P515),0))</f>
        <v>0</v>
      </c>
      <c r="Q515" s="91">
        <f>(IF(Optimalisatie!C97="Bestaande Situatie",_xlfn.IFNA(IF(Optimalisatie!E97="Categorie_1_LCA_Producten",VLOOKUP(Inschrijf_Fossiele_Energie_Totaal[[#This Row],[Product]],Categorie_1_Producten[#All],31,FALSE)*(Optimalisatie!J97),VLOOKUP(Inschrijf_Fossiele_Energie_Totaal[[#This Row],[Product]]&amp;", "&amp;Inschrijf_Fossiele_Energie_Totaal[[#Headers],[D2]],Database_Productkaarten[#All],51,FALSE)*Optimalisatie!J97),Baseline_Backlog!Q515),0))</f>
        <v>0</v>
      </c>
      <c r="R515" s="91">
        <f>(IF(Optimalisatie!C97="Bestaande Situatie",_xlfn.IFNA(IF(Optimalisatie!E97="Categorie_1_LCA_Producten",VLOOKUP(Inschrijf_Fossiele_Energie_Totaal[[#This Row],[Product]],Categorie_1_Producten[#All],37,FALSE)*(Optimalisatie!J97),VLOOKUP(Inschrijf_Fossiele_Energie_Totaal[[#This Row],[Product]]&amp;", "&amp;Inschrijf_Fossiele_Energie_Totaal[[#Headers],[D]],Database_Productkaarten[#All],51,FALSE)*Optimalisatie!J97),Baseline_Backlog!S515),0))</f>
        <v>0</v>
      </c>
      <c r="S515" s="91">
        <f>SUM(Inschrijf_Fossiele_Energie_Totaal[[#This Row],[A1-A3]:[C4]])+Inschrijf_Fossiele_Energie_Totaal[[#This Row],[D]]</f>
        <v>0</v>
      </c>
    </row>
    <row r="516" spans="2:19">
      <c r="B516" s="208">
        <f>Optimalisatie!B98</f>
        <v>0</v>
      </c>
      <c r="C516" s="1">
        <f>Optimalisatie!F98</f>
        <v>0</v>
      </c>
      <c r="D516" s="91">
        <f>(IF(Optimalisatie!C98="Nieuwe Situatie",_xlfn.IFNA(IF(Optimalisatie!E98="Categorie_1_LCA_Producten",VLOOKUP(Inschrijf_Fossiele_Energie_Totaal[[#This Row],[Product]],Categorie_1_Producten[#All],26,FALSE)*(Optimalisatie!J98),VLOOKUP(Inschrijf_Fossiele_Energie_Totaal[[#This Row],[Product]]&amp;", "&amp;Inschrijf_Fossiele_Energie_Totaal[[#Headers],[A1]],Database_Productkaarten[#All],51,FALSE)*Optimalisatie!J98),Baseline_Backlog!D516),0))</f>
        <v>0</v>
      </c>
      <c r="E516" s="91">
        <f>(IF(Optimalisatie!C98="Nieuwe Situatie",_xlfn.IFNA(IF(Optimalisatie!E98="Categorie_1_LCA_Producten",VLOOKUP(Inschrijf_Fossiele_Energie_Totaal[[#This Row],[Product]],Categorie_1_Producten[#All],27,FALSE)*(Optimalisatie!J98),VLOOKUP(Inschrijf_Fossiele_Energie_Totaal[[#This Row],[Product]]&amp;", "&amp;Inschrijf_Fossiele_Energie_Totaal[[#Headers],[A2]],Database_Productkaarten[#All],51,FALSE)*Optimalisatie!J98),Baseline_Backlog!E516),0))</f>
        <v>0</v>
      </c>
      <c r="F516" s="91">
        <f>(IF(Optimalisatie!C98="Nieuwe Situatie",_xlfn.IFNA(IF(Optimalisatie!E98="Categorie_1_LCA_Producten",VLOOKUP(Inschrijf_Fossiele_Energie_Totaal[[#This Row],[Product]],Categorie_1_Producten[#All],28,FALSE)*(Optimalisatie!J98),VLOOKUP(Inschrijf_Fossiele_Energie_Totaal[[#This Row],[Product]]&amp;", "&amp;Inschrijf_Fossiele_Energie_Totaal[[#Headers],[A3]],Database_Productkaarten[#All],51,FALSE)*Optimalisatie!J98),Baseline_Backlog!F516),0))</f>
        <v>0</v>
      </c>
      <c r="G516" s="91">
        <f>(IF(Optimalisatie!C98="Nieuwe Situatie",_xlfn.IFNA(IF(Optimalisatie!E98="Categorie_1_LCA_Producten",VLOOKUP(Inschrijf_Fossiele_Energie_Totaal[[#This Row],[Product]],Categorie_1_Producten[#All],35,FALSE)*(Optimalisatie!J98),VLOOKUP(Inschrijf_Fossiele_Energie_Totaal[[#This Row],[Product]]&amp;", "&amp;Inschrijf_Fossiele_Energie_Totaal[[#Headers],[A1-A3]],Database_Productkaarten[#All],51,FALSE)*Optimalisatie!J98),Baseline_Backlog!G516),0))</f>
        <v>0</v>
      </c>
      <c r="H516" s="91">
        <f>(IF(Optimalisatie!C98="Nieuwe Situatie",_xlfn.IFNA(VLOOKUP(Optimalisatie!V98,Database_Transport[#All],45,FALSE)*(Optimalisatie!R98*Optimalisatie!U98),Baseline_Backlog!H516),0))</f>
        <v>0</v>
      </c>
      <c r="I516" s="91">
        <f>IF(Optimalisatie!C98="Nieuwe situatie",IF(_xlfn.IFNA((VLOOKUP(Optimalisatie!W98,Database_Asfalt_Aanlegset[#All],45,FALSE)*Optimalisatie!J98),0)+_xlfn.IFNA(VLOOKUP(Optimalisatie!X98,Database_Brandstoffen[#All],45,FALSE)*((Optimalisatie!J98/Optimalisatie!Z98)*Optimalisatie!Y98),0)&gt;0,_xlfn.IFNA((VLOOKUP(Optimalisatie!W98,Database_Asfalt_Aanlegset[#All],45,FALSE)*Optimalisatie!J98),0)+_xlfn.IFNA(VLOOKUP(Optimalisatie!X98,Database_Brandstoffen[#All],45,FALSE)*((Optimalisatie!J98/Optimalisatie!Z98)*Optimalisatie!Y98),0),(_xlfn.IFNA(VLOOKUP(Inschrijf_Fossiele_Energie_Totaal[[#This Row],[Product]]&amp;", "&amp;Inschrijf_MKI_Totaal[[#Headers],[A5]],Database_Productkaarten[#All],51,FALSE),0)*Optimalisatie!J98)),0)</f>
        <v>0</v>
      </c>
      <c r="J516" s="91">
        <f>(IF(Optimalisatie!C98="Nieuwe Situatie",_xlfn.IFNA(IF(Optimalisatie!E98="Categorie_1_LCA_Producten",VLOOKUP(Inschrijf_Fossiele_Energie_Totaal[[#This Row],[Product]],Categorie_1_Producten[#All],36,FALSE)*(Optimalisatie!R98),VLOOKUP(Inschrijf_Fossiele_Energie_Totaal[[#This Row],[Product]]&amp;", "&amp;Inschrijf_Fossiele_Energie_Totaal[[#Headers],[B1]],Database_Productkaarten[#All],51,FALSE)*Optimalisatie!J98),Baseline_Backlog!J516),0))</f>
        <v>0</v>
      </c>
      <c r="K516" s="91">
        <f>(IF(Optimalisatie!C98="Nieuwe Situatie",_xlfn.IFNA(SUM(Inschrijf_Fossiele_Energie_Totaal[[#This Row],[A1]:[B1]],Inschrijf_Fossiele_Energie_Totaal[[#This Row],[C1]:[D2]])*Optimalisatie!T98,0),0))</f>
        <v>0</v>
      </c>
      <c r="L516" s="91">
        <f>IF(Optimalisatie!C98="Bestaande situatie",IF(_xlfn.IFNA((VLOOKUP(Optimalisatie!AA98,Database_Asfalt_Verwijderset[#All],45,FALSE)*Optimalisatie!J98),0)+_xlfn.IFNA(VLOOKUP(Optimalisatie!AB98,Database_Brandstoffen[#All],45,FALSE)*((Optimalisatie!J98/Optimalisatie!AD98)*Optimalisatie!AC98),0)&gt;0,_xlfn.IFNA((VLOOKUP(Optimalisatie!AA98,Database_Asfalt_Verwijderset[#All],45,FALSE)*Optimalisatie!J98),0)+_xlfn.IFNA(VLOOKUP(Optimalisatie!AB98,Database_Brandstoffen[#All],45,FALSE)*((Optimalisatie!J98/Optimalisatie!AD98)*Optimalisatie!AC98),0),(_xlfn.IFNA(VLOOKUP(Inschrijf_Fossiele_Energie_Totaal[[#This Row],[Product]]&amp;", "&amp;Inschrijf_MKI_Totaal[[#Headers],[C1]],Database_Productkaarten[#All],51,FALSE),0)*Optimalisatie!J98)),0)</f>
        <v>0</v>
      </c>
      <c r="M516" s="91">
        <f>(IF(Optimalisatie!C98="Bestaande Situatie",_xlfn.IFNA(VLOOKUP(Optimalisatie!AF98,Database_Transport[#All],45,FALSE)*(Optimalisatie!R98*Optimalisatie!AE98),Baseline_Backlog!M516),0))</f>
        <v>0</v>
      </c>
      <c r="N516" s="91">
        <f>(IF(Optimalisatie!C98="Bestaande Situatie",_xlfn.IFNA(VLOOKUP(Optimalisatie!AG98,Database_Asfalt_Verwerkingsset[#All],45,FALSE)*(Optimalisatie!J98/VLOOKUP(Optimalisatie!AG98,Database_Asfalt_Verwerkingsset[#All],45,FALSE)),Baseline_Backlog!N516),0))</f>
        <v>0</v>
      </c>
      <c r="O516" s="91">
        <f>(IF(Optimalisatie!C98="Bestaande Situatie",_xlfn.IFNA(VLOOKUP(Inschrijf_Fossiele_Energie_Totaal[[#This Row],[Product]]&amp;", "&amp;Inschrijf_MKI_Totaal[[#Headers],[C4]],Database_Productkaarten[#All],51,FALSE)*Optimalisatie!J98,Baseline_Backlog!O516),0))</f>
        <v>0</v>
      </c>
      <c r="P516" s="91">
        <f>(IF(Optimalisatie!C98="Bestaande Situatie",_xlfn.IFNA(IF(Optimalisatie!E98="Categorie_1_LCA_Producten",VLOOKUP(Inschrijf_Fossiele_Energie_Totaal[[#This Row],[Product]],Categorie_1_Producten[#All],30,FALSE)*(Optimalisatie!J98),VLOOKUP(Inschrijf_Fossiele_Energie_Totaal[[#This Row],[Product]]&amp;", "&amp;Inschrijf_Fossiele_Energie_Totaal[[#Headers],[D1]],Database_Productkaarten[#All],51,FALSE)*Optimalisatie!J98),Baseline_Backlog!P516),0))</f>
        <v>0</v>
      </c>
      <c r="Q516" s="91">
        <f>(IF(Optimalisatie!C98="Bestaande Situatie",_xlfn.IFNA(IF(Optimalisatie!E98="Categorie_1_LCA_Producten",VLOOKUP(Inschrijf_Fossiele_Energie_Totaal[[#This Row],[Product]],Categorie_1_Producten[#All],31,FALSE)*(Optimalisatie!J98),VLOOKUP(Inschrijf_Fossiele_Energie_Totaal[[#This Row],[Product]]&amp;", "&amp;Inschrijf_Fossiele_Energie_Totaal[[#Headers],[D2]],Database_Productkaarten[#All],51,FALSE)*Optimalisatie!J98),Baseline_Backlog!Q516),0))</f>
        <v>0</v>
      </c>
      <c r="R516" s="91">
        <f>(IF(Optimalisatie!C98="Bestaande Situatie",_xlfn.IFNA(IF(Optimalisatie!E98="Categorie_1_LCA_Producten",VLOOKUP(Inschrijf_Fossiele_Energie_Totaal[[#This Row],[Product]],Categorie_1_Producten[#All],37,FALSE)*(Optimalisatie!J98),VLOOKUP(Inschrijf_Fossiele_Energie_Totaal[[#This Row],[Product]]&amp;", "&amp;Inschrijf_Fossiele_Energie_Totaal[[#Headers],[D]],Database_Productkaarten[#All],51,FALSE)*Optimalisatie!J98),Baseline_Backlog!S516),0))</f>
        <v>0</v>
      </c>
      <c r="S516" s="91">
        <f>SUM(Inschrijf_Fossiele_Energie_Totaal[[#This Row],[A1-A3]:[C4]])+Inschrijf_Fossiele_Energie_Totaal[[#This Row],[D]]</f>
        <v>0</v>
      </c>
    </row>
    <row r="517" spans="2:19">
      <c r="B517" s="208">
        <f>Optimalisatie!B99</f>
        <v>0</v>
      </c>
      <c r="C517" s="1">
        <f>Optimalisatie!F99</f>
        <v>0</v>
      </c>
      <c r="D517" s="91">
        <f>(IF(Optimalisatie!C99="Nieuwe Situatie",_xlfn.IFNA(IF(Optimalisatie!E99="Categorie_1_LCA_Producten",VLOOKUP(Inschrijf_Fossiele_Energie_Totaal[[#This Row],[Product]],Categorie_1_Producten[#All],26,FALSE)*(Optimalisatie!J99),VLOOKUP(Inschrijf_Fossiele_Energie_Totaal[[#This Row],[Product]]&amp;", "&amp;Inschrijf_Fossiele_Energie_Totaal[[#Headers],[A1]],Database_Productkaarten[#All],51,FALSE)*Optimalisatie!J99),Baseline_Backlog!D517),0))</f>
        <v>0</v>
      </c>
      <c r="E517" s="91">
        <f>(IF(Optimalisatie!C99="Nieuwe Situatie",_xlfn.IFNA(IF(Optimalisatie!E99="Categorie_1_LCA_Producten",VLOOKUP(Inschrijf_Fossiele_Energie_Totaal[[#This Row],[Product]],Categorie_1_Producten[#All],27,FALSE)*(Optimalisatie!J99),VLOOKUP(Inschrijf_Fossiele_Energie_Totaal[[#This Row],[Product]]&amp;", "&amp;Inschrijf_Fossiele_Energie_Totaal[[#Headers],[A2]],Database_Productkaarten[#All],51,FALSE)*Optimalisatie!J99),Baseline_Backlog!E517),0))</f>
        <v>0</v>
      </c>
      <c r="F517" s="91">
        <f>(IF(Optimalisatie!C99="Nieuwe Situatie",_xlfn.IFNA(IF(Optimalisatie!E99="Categorie_1_LCA_Producten",VLOOKUP(Inschrijf_Fossiele_Energie_Totaal[[#This Row],[Product]],Categorie_1_Producten[#All],28,FALSE)*(Optimalisatie!J99),VLOOKUP(Inschrijf_Fossiele_Energie_Totaal[[#This Row],[Product]]&amp;", "&amp;Inschrijf_Fossiele_Energie_Totaal[[#Headers],[A3]],Database_Productkaarten[#All],51,FALSE)*Optimalisatie!J99),Baseline_Backlog!F517),0))</f>
        <v>0</v>
      </c>
      <c r="G517" s="91">
        <f>(IF(Optimalisatie!C99="Nieuwe Situatie",_xlfn.IFNA(IF(Optimalisatie!E99="Categorie_1_LCA_Producten",VLOOKUP(Inschrijf_Fossiele_Energie_Totaal[[#This Row],[Product]],Categorie_1_Producten[#All],35,FALSE)*(Optimalisatie!J99),VLOOKUP(Inschrijf_Fossiele_Energie_Totaal[[#This Row],[Product]]&amp;", "&amp;Inschrijf_Fossiele_Energie_Totaal[[#Headers],[A1-A3]],Database_Productkaarten[#All],51,FALSE)*Optimalisatie!J99),Baseline_Backlog!G517),0))</f>
        <v>0</v>
      </c>
      <c r="H517" s="91">
        <f>(IF(Optimalisatie!C99="Nieuwe Situatie",_xlfn.IFNA(VLOOKUP(Optimalisatie!V99,Database_Transport[#All],45,FALSE)*(Optimalisatie!R99*Optimalisatie!U99),Baseline_Backlog!H517),0))</f>
        <v>0</v>
      </c>
      <c r="I517" s="91">
        <f>IF(Optimalisatie!C99="Nieuwe situatie",IF(_xlfn.IFNA((VLOOKUP(Optimalisatie!W99,Database_Asfalt_Aanlegset[#All],45,FALSE)*Optimalisatie!J99),0)+_xlfn.IFNA(VLOOKUP(Optimalisatie!X99,Database_Brandstoffen[#All],45,FALSE)*((Optimalisatie!J99/Optimalisatie!Z99)*Optimalisatie!Y99),0)&gt;0,_xlfn.IFNA((VLOOKUP(Optimalisatie!W99,Database_Asfalt_Aanlegset[#All],45,FALSE)*Optimalisatie!J99),0)+_xlfn.IFNA(VLOOKUP(Optimalisatie!X99,Database_Brandstoffen[#All],45,FALSE)*((Optimalisatie!J99/Optimalisatie!Z99)*Optimalisatie!Y99),0),(_xlfn.IFNA(VLOOKUP(Inschrijf_Fossiele_Energie_Totaal[[#This Row],[Product]]&amp;", "&amp;Inschrijf_MKI_Totaal[[#Headers],[A5]],Database_Productkaarten[#All],51,FALSE),0)*Optimalisatie!J99)),0)</f>
        <v>0</v>
      </c>
      <c r="J517" s="91">
        <f>(IF(Optimalisatie!C99="Nieuwe Situatie",_xlfn.IFNA(IF(Optimalisatie!E99="Categorie_1_LCA_Producten",VLOOKUP(Inschrijf_Fossiele_Energie_Totaal[[#This Row],[Product]],Categorie_1_Producten[#All],36,FALSE)*(Optimalisatie!R99),VLOOKUP(Inschrijf_Fossiele_Energie_Totaal[[#This Row],[Product]]&amp;", "&amp;Inschrijf_Fossiele_Energie_Totaal[[#Headers],[B1]],Database_Productkaarten[#All],51,FALSE)*Optimalisatie!J99),Baseline_Backlog!J517),0))</f>
        <v>0</v>
      </c>
      <c r="K517" s="91">
        <f>(IF(Optimalisatie!C99="Nieuwe Situatie",_xlfn.IFNA(SUM(Inschrijf_Fossiele_Energie_Totaal[[#This Row],[A1]:[B1]],Inschrijf_Fossiele_Energie_Totaal[[#This Row],[C1]:[D2]])*Optimalisatie!T99,0),0))</f>
        <v>0</v>
      </c>
      <c r="L517" s="91">
        <f>IF(Optimalisatie!C99="Bestaande situatie",IF(_xlfn.IFNA((VLOOKUP(Optimalisatie!AA99,Database_Asfalt_Verwijderset[#All],45,FALSE)*Optimalisatie!J99),0)+_xlfn.IFNA(VLOOKUP(Optimalisatie!AB99,Database_Brandstoffen[#All],45,FALSE)*((Optimalisatie!J99/Optimalisatie!AD99)*Optimalisatie!AC99),0)&gt;0,_xlfn.IFNA((VLOOKUP(Optimalisatie!AA99,Database_Asfalt_Verwijderset[#All],45,FALSE)*Optimalisatie!J99),0)+_xlfn.IFNA(VLOOKUP(Optimalisatie!AB99,Database_Brandstoffen[#All],45,FALSE)*((Optimalisatie!J99/Optimalisatie!AD99)*Optimalisatie!AC99),0),(_xlfn.IFNA(VLOOKUP(Inschrijf_Fossiele_Energie_Totaal[[#This Row],[Product]]&amp;", "&amp;Inschrijf_MKI_Totaal[[#Headers],[C1]],Database_Productkaarten[#All],51,FALSE),0)*Optimalisatie!J99)),0)</f>
        <v>0</v>
      </c>
      <c r="M517" s="91">
        <f>(IF(Optimalisatie!C99="Bestaande Situatie",_xlfn.IFNA(VLOOKUP(Optimalisatie!AF99,Database_Transport[#All],45,FALSE)*(Optimalisatie!R99*Optimalisatie!AE99),Baseline_Backlog!M517),0))</f>
        <v>0</v>
      </c>
      <c r="N517" s="91">
        <f>(IF(Optimalisatie!C99="Bestaande Situatie",_xlfn.IFNA(VLOOKUP(Optimalisatie!AG99,Database_Asfalt_Verwerkingsset[#All],45,FALSE)*(Optimalisatie!J99/VLOOKUP(Optimalisatie!AG99,Database_Asfalt_Verwerkingsset[#All],45,FALSE)),Baseline_Backlog!N517),0))</f>
        <v>0</v>
      </c>
      <c r="O517" s="91">
        <f>(IF(Optimalisatie!C99="Bestaande Situatie",_xlfn.IFNA(VLOOKUP(Inschrijf_Fossiele_Energie_Totaal[[#This Row],[Product]]&amp;", "&amp;Inschrijf_MKI_Totaal[[#Headers],[C4]],Database_Productkaarten[#All],51,FALSE)*Optimalisatie!J99,Baseline_Backlog!O517),0))</f>
        <v>0</v>
      </c>
      <c r="P517" s="91">
        <f>(IF(Optimalisatie!C99="Bestaande Situatie",_xlfn.IFNA(IF(Optimalisatie!E99="Categorie_1_LCA_Producten",VLOOKUP(Inschrijf_Fossiele_Energie_Totaal[[#This Row],[Product]],Categorie_1_Producten[#All],30,FALSE)*(Optimalisatie!J99),VLOOKUP(Inschrijf_Fossiele_Energie_Totaal[[#This Row],[Product]]&amp;", "&amp;Inschrijf_Fossiele_Energie_Totaal[[#Headers],[D1]],Database_Productkaarten[#All],51,FALSE)*Optimalisatie!J99),Baseline_Backlog!P517),0))</f>
        <v>0</v>
      </c>
      <c r="Q517" s="91">
        <f>(IF(Optimalisatie!C99="Bestaande Situatie",_xlfn.IFNA(IF(Optimalisatie!E99="Categorie_1_LCA_Producten",VLOOKUP(Inschrijf_Fossiele_Energie_Totaal[[#This Row],[Product]],Categorie_1_Producten[#All],31,FALSE)*(Optimalisatie!J99),VLOOKUP(Inschrijf_Fossiele_Energie_Totaal[[#This Row],[Product]]&amp;", "&amp;Inschrijf_Fossiele_Energie_Totaal[[#Headers],[D2]],Database_Productkaarten[#All],51,FALSE)*Optimalisatie!J99),Baseline_Backlog!Q517),0))</f>
        <v>0</v>
      </c>
      <c r="R517" s="91">
        <f>(IF(Optimalisatie!C99="Bestaande Situatie",_xlfn.IFNA(IF(Optimalisatie!E99="Categorie_1_LCA_Producten",VLOOKUP(Inschrijf_Fossiele_Energie_Totaal[[#This Row],[Product]],Categorie_1_Producten[#All],37,FALSE)*(Optimalisatie!J99),VLOOKUP(Inschrijf_Fossiele_Energie_Totaal[[#This Row],[Product]]&amp;", "&amp;Inschrijf_Fossiele_Energie_Totaal[[#Headers],[D]],Database_Productkaarten[#All],51,FALSE)*Optimalisatie!J99),Baseline_Backlog!S517),0))</f>
        <v>0</v>
      </c>
      <c r="S517" s="91">
        <f>SUM(Inschrijf_Fossiele_Energie_Totaal[[#This Row],[A1-A3]:[C4]])+Inschrijf_Fossiele_Energie_Totaal[[#This Row],[D]]</f>
        <v>0</v>
      </c>
    </row>
    <row r="518" spans="2:19">
      <c r="B518" s="208">
        <f>Optimalisatie!B100</f>
        <v>0</v>
      </c>
      <c r="C518" s="1">
        <f>Optimalisatie!F100</f>
        <v>0</v>
      </c>
      <c r="D518" s="91">
        <f>(IF(Optimalisatie!C100="Nieuwe Situatie",_xlfn.IFNA(IF(Optimalisatie!E100="Categorie_1_LCA_Producten",VLOOKUP(Inschrijf_Fossiele_Energie_Totaal[[#This Row],[Product]],Categorie_1_Producten[#All],26,FALSE)*(Optimalisatie!J100),VLOOKUP(Inschrijf_Fossiele_Energie_Totaal[[#This Row],[Product]]&amp;", "&amp;Inschrijf_Fossiele_Energie_Totaal[[#Headers],[A1]],Database_Productkaarten[#All],51,FALSE)*Optimalisatie!J100),Baseline_Backlog!D518),0))</f>
        <v>0</v>
      </c>
      <c r="E518" s="91">
        <f>(IF(Optimalisatie!C100="Nieuwe Situatie",_xlfn.IFNA(IF(Optimalisatie!E100="Categorie_1_LCA_Producten",VLOOKUP(Inschrijf_Fossiele_Energie_Totaal[[#This Row],[Product]],Categorie_1_Producten[#All],27,FALSE)*(Optimalisatie!J100),VLOOKUP(Inschrijf_Fossiele_Energie_Totaal[[#This Row],[Product]]&amp;", "&amp;Inschrijf_Fossiele_Energie_Totaal[[#Headers],[A2]],Database_Productkaarten[#All],51,FALSE)*Optimalisatie!J100),Baseline_Backlog!E518),0))</f>
        <v>0</v>
      </c>
      <c r="F518" s="91">
        <f>(IF(Optimalisatie!C100="Nieuwe Situatie",_xlfn.IFNA(IF(Optimalisatie!E100="Categorie_1_LCA_Producten",VLOOKUP(Inschrijf_Fossiele_Energie_Totaal[[#This Row],[Product]],Categorie_1_Producten[#All],28,FALSE)*(Optimalisatie!J100),VLOOKUP(Inschrijf_Fossiele_Energie_Totaal[[#This Row],[Product]]&amp;", "&amp;Inschrijf_Fossiele_Energie_Totaal[[#Headers],[A3]],Database_Productkaarten[#All],51,FALSE)*Optimalisatie!J100),Baseline_Backlog!F518),0))</f>
        <v>0</v>
      </c>
      <c r="G518" s="91">
        <f>(IF(Optimalisatie!C100="Nieuwe Situatie",_xlfn.IFNA(IF(Optimalisatie!E100="Categorie_1_LCA_Producten",VLOOKUP(Inschrijf_Fossiele_Energie_Totaal[[#This Row],[Product]],Categorie_1_Producten[#All],35,FALSE)*(Optimalisatie!J100),VLOOKUP(Inschrijf_Fossiele_Energie_Totaal[[#This Row],[Product]]&amp;", "&amp;Inschrijf_Fossiele_Energie_Totaal[[#Headers],[A1-A3]],Database_Productkaarten[#All],51,FALSE)*Optimalisatie!J100),Baseline_Backlog!G518),0))</f>
        <v>0</v>
      </c>
      <c r="H518" s="91">
        <f>(IF(Optimalisatie!C100="Nieuwe Situatie",_xlfn.IFNA(VLOOKUP(Optimalisatie!V100,Database_Transport[#All],45,FALSE)*(Optimalisatie!R100*Optimalisatie!U100),Baseline_Backlog!H518),0))</f>
        <v>0</v>
      </c>
      <c r="I518" s="91">
        <f>IF(Optimalisatie!C100="Nieuwe situatie",IF(_xlfn.IFNA((VLOOKUP(Optimalisatie!W100,Database_Asfalt_Aanlegset[#All],45,FALSE)*Optimalisatie!J100),0)+_xlfn.IFNA(VLOOKUP(Optimalisatie!X100,Database_Brandstoffen[#All],45,FALSE)*((Optimalisatie!J100/Optimalisatie!Z100)*Optimalisatie!Y100),0)&gt;0,_xlfn.IFNA((VLOOKUP(Optimalisatie!W100,Database_Asfalt_Aanlegset[#All],45,FALSE)*Optimalisatie!J100),0)+_xlfn.IFNA(VLOOKUP(Optimalisatie!X100,Database_Brandstoffen[#All],45,FALSE)*((Optimalisatie!J100/Optimalisatie!Z100)*Optimalisatie!Y100),0),(_xlfn.IFNA(VLOOKUP(Inschrijf_Fossiele_Energie_Totaal[[#This Row],[Product]]&amp;", "&amp;Inschrijf_MKI_Totaal[[#Headers],[A5]],Database_Productkaarten[#All],51,FALSE),0)*Optimalisatie!J100)),0)</f>
        <v>0</v>
      </c>
      <c r="J518" s="91">
        <f>(IF(Optimalisatie!C100="Nieuwe Situatie",_xlfn.IFNA(IF(Optimalisatie!E100="Categorie_1_LCA_Producten",VLOOKUP(Inschrijf_Fossiele_Energie_Totaal[[#This Row],[Product]],Categorie_1_Producten[#All],36,FALSE)*(Optimalisatie!R100),VLOOKUP(Inschrijf_Fossiele_Energie_Totaal[[#This Row],[Product]]&amp;", "&amp;Inschrijf_Fossiele_Energie_Totaal[[#Headers],[B1]],Database_Productkaarten[#All],51,FALSE)*Optimalisatie!J100),Baseline_Backlog!J518),0))</f>
        <v>0</v>
      </c>
      <c r="K518" s="91">
        <f>(IF(Optimalisatie!C100="Nieuwe Situatie",_xlfn.IFNA(SUM(Inschrijf_Fossiele_Energie_Totaal[[#This Row],[A1]:[B1]],Inschrijf_Fossiele_Energie_Totaal[[#This Row],[C1]:[D2]])*Optimalisatie!T100,0),0))</f>
        <v>0</v>
      </c>
      <c r="L518" s="91">
        <f>IF(Optimalisatie!C100="Bestaande situatie",IF(_xlfn.IFNA((VLOOKUP(Optimalisatie!AA100,Database_Asfalt_Verwijderset[#All],45,FALSE)*Optimalisatie!J100),0)+_xlfn.IFNA(VLOOKUP(Optimalisatie!AB100,Database_Brandstoffen[#All],45,FALSE)*((Optimalisatie!J100/Optimalisatie!AD100)*Optimalisatie!AC100),0)&gt;0,_xlfn.IFNA((VLOOKUP(Optimalisatie!AA100,Database_Asfalt_Verwijderset[#All],45,FALSE)*Optimalisatie!J100),0)+_xlfn.IFNA(VLOOKUP(Optimalisatie!AB100,Database_Brandstoffen[#All],45,FALSE)*((Optimalisatie!J100/Optimalisatie!AD100)*Optimalisatie!AC100),0),(_xlfn.IFNA(VLOOKUP(Inschrijf_Fossiele_Energie_Totaal[[#This Row],[Product]]&amp;", "&amp;Inschrijf_MKI_Totaal[[#Headers],[C1]],Database_Productkaarten[#All],51,FALSE),0)*Optimalisatie!J100)),0)</f>
        <v>0</v>
      </c>
      <c r="M518" s="91">
        <f>(IF(Optimalisatie!C100="Bestaande Situatie",_xlfn.IFNA(VLOOKUP(Optimalisatie!AF100,Database_Transport[#All],45,FALSE)*(Optimalisatie!R100*Optimalisatie!AE100),Baseline_Backlog!M518),0))</f>
        <v>0</v>
      </c>
      <c r="N518" s="91">
        <f>(IF(Optimalisatie!C100="Bestaande Situatie",_xlfn.IFNA(VLOOKUP(Optimalisatie!AG100,Database_Asfalt_Verwerkingsset[#All],45,FALSE)*(Optimalisatie!J100/VLOOKUP(Optimalisatie!AG100,Database_Asfalt_Verwerkingsset[#All],45,FALSE)),Baseline_Backlog!N518),0))</f>
        <v>0</v>
      </c>
      <c r="O518" s="91">
        <f>(IF(Optimalisatie!C100="Bestaande Situatie",_xlfn.IFNA(VLOOKUP(Inschrijf_Fossiele_Energie_Totaal[[#This Row],[Product]]&amp;", "&amp;Inschrijf_MKI_Totaal[[#Headers],[C4]],Database_Productkaarten[#All],51,FALSE)*Optimalisatie!J100,Baseline_Backlog!O518),0))</f>
        <v>0</v>
      </c>
      <c r="P518" s="91">
        <f>(IF(Optimalisatie!C100="Bestaande Situatie",_xlfn.IFNA(IF(Optimalisatie!E100="Categorie_1_LCA_Producten",VLOOKUP(Inschrijf_Fossiele_Energie_Totaal[[#This Row],[Product]],Categorie_1_Producten[#All],30,FALSE)*(Optimalisatie!J100),VLOOKUP(Inschrijf_Fossiele_Energie_Totaal[[#This Row],[Product]]&amp;", "&amp;Inschrijf_Fossiele_Energie_Totaal[[#Headers],[D1]],Database_Productkaarten[#All],51,FALSE)*Optimalisatie!J100),Baseline_Backlog!P518),0))</f>
        <v>0</v>
      </c>
      <c r="Q518" s="91">
        <f>(IF(Optimalisatie!C100="Bestaande Situatie",_xlfn.IFNA(IF(Optimalisatie!E100="Categorie_1_LCA_Producten",VLOOKUP(Inschrijf_Fossiele_Energie_Totaal[[#This Row],[Product]],Categorie_1_Producten[#All],31,FALSE)*(Optimalisatie!J100),VLOOKUP(Inschrijf_Fossiele_Energie_Totaal[[#This Row],[Product]]&amp;", "&amp;Inschrijf_Fossiele_Energie_Totaal[[#Headers],[D2]],Database_Productkaarten[#All],51,FALSE)*Optimalisatie!J100),Baseline_Backlog!Q518),0))</f>
        <v>0</v>
      </c>
      <c r="R518" s="91">
        <f>(IF(Optimalisatie!C100="Bestaande Situatie",_xlfn.IFNA(IF(Optimalisatie!E100="Categorie_1_LCA_Producten",VLOOKUP(Inschrijf_Fossiele_Energie_Totaal[[#This Row],[Product]],Categorie_1_Producten[#All],37,FALSE)*(Optimalisatie!J100),VLOOKUP(Inschrijf_Fossiele_Energie_Totaal[[#This Row],[Product]]&amp;", "&amp;Inschrijf_Fossiele_Energie_Totaal[[#Headers],[D]],Database_Productkaarten[#All],51,FALSE)*Optimalisatie!J100),Baseline_Backlog!S518),0))</f>
        <v>0</v>
      </c>
      <c r="S518" s="91">
        <f>SUM(Inschrijf_Fossiele_Energie_Totaal[[#This Row],[A1-A3]:[C4]])+Inschrijf_Fossiele_Energie_Totaal[[#This Row],[D]]</f>
        <v>0</v>
      </c>
    </row>
    <row r="519" spans="2:19">
      <c r="B519" s="208">
        <f>Optimalisatie!B101</f>
        <v>0</v>
      </c>
      <c r="C519" s="1">
        <f>Optimalisatie!F101</f>
        <v>0</v>
      </c>
      <c r="D519" s="91">
        <f>(IF(Optimalisatie!C101="Nieuwe Situatie",_xlfn.IFNA(IF(Optimalisatie!E101="Categorie_1_LCA_Producten",VLOOKUP(Inschrijf_Fossiele_Energie_Totaal[[#This Row],[Product]],Categorie_1_Producten[#All],26,FALSE)*(Optimalisatie!J101),VLOOKUP(Inschrijf_Fossiele_Energie_Totaal[[#This Row],[Product]]&amp;", "&amp;Inschrijf_Fossiele_Energie_Totaal[[#Headers],[A1]],Database_Productkaarten[#All],51,FALSE)*Optimalisatie!J101),Baseline_Backlog!D519),0))</f>
        <v>0</v>
      </c>
      <c r="E519" s="91">
        <f>(IF(Optimalisatie!C101="Nieuwe Situatie",_xlfn.IFNA(IF(Optimalisatie!E101="Categorie_1_LCA_Producten",VLOOKUP(Inschrijf_Fossiele_Energie_Totaal[[#This Row],[Product]],Categorie_1_Producten[#All],27,FALSE)*(Optimalisatie!J101),VLOOKUP(Inschrijf_Fossiele_Energie_Totaal[[#This Row],[Product]]&amp;", "&amp;Inschrijf_Fossiele_Energie_Totaal[[#Headers],[A2]],Database_Productkaarten[#All],51,FALSE)*Optimalisatie!J101),Baseline_Backlog!E519),0))</f>
        <v>0</v>
      </c>
      <c r="F519" s="91">
        <f>(IF(Optimalisatie!C101="Nieuwe Situatie",_xlfn.IFNA(IF(Optimalisatie!E101="Categorie_1_LCA_Producten",VLOOKUP(Inschrijf_Fossiele_Energie_Totaal[[#This Row],[Product]],Categorie_1_Producten[#All],28,FALSE)*(Optimalisatie!J101),VLOOKUP(Inschrijf_Fossiele_Energie_Totaal[[#This Row],[Product]]&amp;", "&amp;Inschrijf_Fossiele_Energie_Totaal[[#Headers],[A3]],Database_Productkaarten[#All],51,FALSE)*Optimalisatie!J101),Baseline_Backlog!F519),0))</f>
        <v>0</v>
      </c>
      <c r="G519" s="91">
        <f>(IF(Optimalisatie!C101="Nieuwe Situatie",_xlfn.IFNA(IF(Optimalisatie!E101="Categorie_1_LCA_Producten",VLOOKUP(Inschrijf_Fossiele_Energie_Totaal[[#This Row],[Product]],Categorie_1_Producten[#All],35,FALSE)*(Optimalisatie!J101),VLOOKUP(Inschrijf_Fossiele_Energie_Totaal[[#This Row],[Product]]&amp;", "&amp;Inschrijf_Fossiele_Energie_Totaal[[#Headers],[A1-A3]],Database_Productkaarten[#All],51,FALSE)*Optimalisatie!J101),Baseline_Backlog!G519),0))</f>
        <v>0</v>
      </c>
      <c r="H519" s="91">
        <f>(IF(Optimalisatie!C101="Nieuwe Situatie",_xlfn.IFNA(VLOOKUP(Optimalisatie!V101,Database_Transport[#All],45,FALSE)*(Optimalisatie!R101*Optimalisatie!U101),Baseline_Backlog!H519),0))</f>
        <v>0</v>
      </c>
      <c r="I519" s="91">
        <f>IF(Optimalisatie!C101="Nieuwe situatie",IF(_xlfn.IFNA((VLOOKUP(Optimalisatie!W101,Database_Asfalt_Aanlegset[#All],45,FALSE)*Optimalisatie!J101),0)+_xlfn.IFNA(VLOOKUP(Optimalisatie!X101,Database_Brandstoffen[#All],45,FALSE)*((Optimalisatie!J101/Optimalisatie!Z101)*Optimalisatie!Y101),0)&gt;0,_xlfn.IFNA((VLOOKUP(Optimalisatie!W101,Database_Asfalt_Aanlegset[#All],45,FALSE)*Optimalisatie!J101),0)+_xlfn.IFNA(VLOOKUP(Optimalisatie!X101,Database_Brandstoffen[#All],45,FALSE)*((Optimalisatie!J101/Optimalisatie!Z101)*Optimalisatie!Y101),0),(_xlfn.IFNA(VLOOKUP(Inschrijf_Fossiele_Energie_Totaal[[#This Row],[Product]]&amp;", "&amp;Inschrijf_MKI_Totaal[[#Headers],[A5]],Database_Productkaarten[#All],51,FALSE),0)*Optimalisatie!J101)),0)</f>
        <v>0</v>
      </c>
      <c r="J519" s="91">
        <f>(IF(Optimalisatie!C101="Nieuwe Situatie",_xlfn.IFNA(IF(Optimalisatie!E101="Categorie_1_LCA_Producten",VLOOKUP(Inschrijf_Fossiele_Energie_Totaal[[#This Row],[Product]],Categorie_1_Producten[#All],36,FALSE)*(Optimalisatie!R101),VLOOKUP(Inschrijf_Fossiele_Energie_Totaal[[#This Row],[Product]]&amp;", "&amp;Inschrijf_Fossiele_Energie_Totaal[[#Headers],[B1]],Database_Productkaarten[#All],51,FALSE)*Optimalisatie!J101),Baseline_Backlog!J519),0))</f>
        <v>0</v>
      </c>
      <c r="K519" s="91">
        <f>(IF(Optimalisatie!C101="Nieuwe Situatie",_xlfn.IFNA(SUM(Inschrijf_Fossiele_Energie_Totaal[[#This Row],[A1]:[B1]],Inschrijf_Fossiele_Energie_Totaal[[#This Row],[C1]:[D2]])*Optimalisatie!T101,0),0))</f>
        <v>0</v>
      </c>
      <c r="L519" s="91">
        <f>IF(Optimalisatie!C101="Bestaande situatie",IF(_xlfn.IFNA((VLOOKUP(Optimalisatie!AA101,Database_Asfalt_Verwijderset[#All],45,FALSE)*Optimalisatie!J101),0)+_xlfn.IFNA(VLOOKUP(Optimalisatie!AB101,Database_Brandstoffen[#All],45,FALSE)*((Optimalisatie!J101/Optimalisatie!AD101)*Optimalisatie!AC101),0)&gt;0,_xlfn.IFNA((VLOOKUP(Optimalisatie!AA101,Database_Asfalt_Verwijderset[#All],45,FALSE)*Optimalisatie!J101),0)+_xlfn.IFNA(VLOOKUP(Optimalisatie!AB101,Database_Brandstoffen[#All],45,FALSE)*((Optimalisatie!J101/Optimalisatie!AD101)*Optimalisatie!AC101),0),(_xlfn.IFNA(VLOOKUP(Inschrijf_Fossiele_Energie_Totaal[[#This Row],[Product]]&amp;", "&amp;Inschrijf_MKI_Totaal[[#Headers],[C1]],Database_Productkaarten[#All],51,FALSE),0)*Optimalisatie!J101)),0)</f>
        <v>0</v>
      </c>
      <c r="M519" s="91">
        <f>(IF(Optimalisatie!C101="Bestaande Situatie",_xlfn.IFNA(VLOOKUP(Optimalisatie!AF101,Database_Transport[#All],45,FALSE)*(Optimalisatie!R101*Optimalisatie!AE101),Baseline_Backlog!M519),0))</f>
        <v>0</v>
      </c>
      <c r="N519" s="91">
        <f>(IF(Optimalisatie!C101="Bestaande Situatie",_xlfn.IFNA(VLOOKUP(Optimalisatie!AG101,Database_Asfalt_Verwerkingsset[#All],45,FALSE)*(Optimalisatie!J101/VLOOKUP(Optimalisatie!AG101,Database_Asfalt_Verwerkingsset[#All],45,FALSE)),Baseline_Backlog!N519),0))</f>
        <v>0</v>
      </c>
      <c r="O519" s="91">
        <f>(IF(Optimalisatie!C101="Bestaande Situatie",_xlfn.IFNA(VLOOKUP(Inschrijf_Fossiele_Energie_Totaal[[#This Row],[Product]]&amp;", "&amp;Inschrijf_MKI_Totaal[[#Headers],[C4]],Database_Productkaarten[#All],51,FALSE)*Optimalisatie!J101,Baseline_Backlog!O519),0))</f>
        <v>0</v>
      </c>
      <c r="P519" s="91">
        <f>(IF(Optimalisatie!C101="Bestaande Situatie",_xlfn.IFNA(IF(Optimalisatie!E101="Categorie_1_LCA_Producten",VLOOKUP(Inschrijf_Fossiele_Energie_Totaal[[#This Row],[Product]],Categorie_1_Producten[#All],30,FALSE)*(Optimalisatie!J101),VLOOKUP(Inschrijf_Fossiele_Energie_Totaal[[#This Row],[Product]]&amp;", "&amp;Inschrijf_Fossiele_Energie_Totaal[[#Headers],[D1]],Database_Productkaarten[#All],51,FALSE)*Optimalisatie!J101),Baseline_Backlog!P519),0))</f>
        <v>0</v>
      </c>
      <c r="Q519" s="91">
        <f>(IF(Optimalisatie!C101="Bestaande Situatie",_xlfn.IFNA(IF(Optimalisatie!E101="Categorie_1_LCA_Producten",VLOOKUP(Inschrijf_Fossiele_Energie_Totaal[[#This Row],[Product]],Categorie_1_Producten[#All],31,FALSE)*(Optimalisatie!J101),VLOOKUP(Inschrijf_Fossiele_Energie_Totaal[[#This Row],[Product]]&amp;", "&amp;Inschrijf_Fossiele_Energie_Totaal[[#Headers],[D2]],Database_Productkaarten[#All],51,FALSE)*Optimalisatie!J101),Baseline_Backlog!Q519),0))</f>
        <v>0</v>
      </c>
      <c r="R519" s="91">
        <f>(IF(Optimalisatie!C101="Bestaande Situatie",_xlfn.IFNA(IF(Optimalisatie!E101="Categorie_1_LCA_Producten",VLOOKUP(Inschrijf_Fossiele_Energie_Totaal[[#This Row],[Product]],Categorie_1_Producten[#All],37,FALSE)*(Optimalisatie!J101),VLOOKUP(Inschrijf_Fossiele_Energie_Totaal[[#This Row],[Product]]&amp;", "&amp;Inschrijf_Fossiele_Energie_Totaal[[#Headers],[D]],Database_Productkaarten[#All],51,FALSE)*Optimalisatie!J101),Baseline_Backlog!S519),0))</f>
        <v>0</v>
      </c>
      <c r="S519" s="91">
        <f>SUM(Inschrijf_Fossiele_Energie_Totaal[[#This Row],[A1-A3]:[C4]])+Inschrijf_Fossiele_Energie_Totaal[[#This Row],[D]]</f>
        <v>0</v>
      </c>
    </row>
    <row r="520" spans="2:19">
      <c r="B520" s="208">
        <f>Optimalisatie!B102</f>
        <v>0</v>
      </c>
      <c r="C520" s="1">
        <f>Optimalisatie!F102</f>
        <v>0</v>
      </c>
      <c r="D520" s="91">
        <f>(IF(Optimalisatie!C102="Nieuwe Situatie",_xlfn.IFNA(IF(Optimalisatie!E102="Categorie_1_LCA_Producten",VLOOKUP(Inschrijf_Fossiele_Energie_Totaal[[#This Row],[Product]],Categorie_1_Producten[#All],26,FALSE)*(Optimalisatie!J102),VLOOKUP(Inschrijf_Fossiele_Energie_Totaal[[#This Row],[Product]]&amp;", "&amp;Inschrijf_Fossiele_Energie_Totaal[[#Headers],[A1]],Database_Productkaarten[#All],51,FALSE)*Optimalisatie!J102),Baseline_Backlog!D520),0))</f>
        <v>0</v>
      </c>
      <c r="E520" s="91">
        <f>(IF(Optimalisatie!C102="Nieuwe Situatie",_xlfn.IFNA(IF(Optimalisatie!E102="Categorie_1_LCA_Producten",VLOOKUP(Inschrijf_Fossiele_Energie_Totaal[[#This Row],[Product]],Categorie_1_Producten[#All],27,FALSE)*(Optimalisatie!J102),VLOOKUP(Inschrijf_Fossiele_Energie_Totaal[[#This Row],[Product]]&amp;", "&amp;Inschrijf_Fossiele_Energie_Totaal[[#Headers],[A2]],Database_Productkaarten[#All],51,FALSE)*Optimalisatie!J102),Baseline_Backlog!E520),0))</f>
        <v>0</v>
      </c>
      <c r="F520" s="91">
        <f>(IF(Optimalisatie!C102="Nieuwe Situatie",_xlfn.IFNA(IF(Optimalisatie!E102="Categorie_1_LCA_Producten",VLOOKUP(Inschrijf_Fossiele_Energie_Totaal[[#This Row],[Product]],Categorie_1_Producten[#All],28,FALSE)*(Optimalisatie!J102),VLOOKUP(Inschrijf_Fossiele_Energie_Totaal[[#This Row],[Product]]&amp;", "&amp;Inschrijf_Fossiele_Energie_Totaal[[#Headers],[A3]],Database_Productkaarten[#All],51,FALSE)*Optimalisatie!J102),Baseline_Backlog!F520),0))</f>
        <v>0</v>
      </c>
      <c r="G520" s="91">
        <f>(IF(Optimalisatie!C102="Nieuwe Situatie",_xlfn.IFNA(IF(Optimalisatie!E102="Categorie_1_LCA_Producten",VLOOKUP(Inschrijf_Fossiele_Energie_Totaal[[#This Row],[Product]],Categorie_1_Producten[#All],35,FALSE)*(Optimalisatie!J102),VLOOKUP(Inschrijf_Fossiele_Energie_Totaal[[#This Row],[Product]]&amp;", "&amp;Inschrijf_Fossiele_Energie_Totaal[[#Headers],[A1-A3]],Database_Productkaarten[#All],51,FALSE)*Optimalisatie!J102),Baseline_Backlog!G520),0))</f>
        <v>0</v>
      </c>
      <c r="H520" s="91">
        <f>(IF(Optimalisatie!C102="Nieuwe Situatie",_xlfn.IFNA(VLOOKUP(Optimalisatie!V102,Database_Transport[#All],45,FALSE)*(Optimalisatie!R102*Optimalisatie!U102),Baseline_Backlog!H520),0))</f>
        <v>0</v>
      </c>
      <c r="I520" s="91">
        <f>IF(Optimalisatie!C102="Nieuwe situatie",IF(_xlfn.IFNA((VLOOKUP(Optimalisatie!W102,Database_Asfalt_Aanlegset[#All],45,FALSE)*Optimalisatie!J102),0)+_xlfn.IFNA(VLOOKUP(Optimalisatie!X102,Database_Brandstoffen[#All],45,FALSE)*((Optimalisatie!J102/Optimalisatie!Z102)*Optimalisatie!Y102),0)&gt;0,_xlfn.IFNA((VLOOKUP(Optimalisatie!W102,Database_Asfalt_Aanlegset[#All],45,FALSE)*Optimalisatie!J102),0)+_xlfn.IFNA(VLOOKUP(Optimalisatie!X102,Database_Brandstoffen[#All],45,FALSE)*((Optimalisatie!J102/Optimalisatie!Z102)*Optimalisatie!Y102),0),(_xlfn.IFNA(VLOOKUP(Inschrijf_Fossiele_Energie_Totaal[[#This Row],[Product]]&amp;", "&amp;Inschrijf_MKI_Totaal[[#Headers],[A5]],Database_Productkaarten[#All],51,FALSE),0)*Optimalisatie!J102)),0)</f>
        <v>0</v>
      </c>
      <c r="J520" s="91">
        <f>(IF(Optimalisatie!C102="Nieuwe Situatie",_xlfn.IFNA(IF(Optimalisatie!E102="Categorie_1_LCA_Producten",VLOOKUP(Inschrijf_Fossiele_Energie_Totaal[[#This Row],[Product]],Categorie_1_Producten[#All],36,FALSE)*(Optimalisatie!R102),VLOOKUP(Inschrijf_Fossiele_Energie_Totaal[[#This Row],[Product]]&amp;", "&amp;Inschrijf_Fossiele_Energie_Totaal[[#Headers],[B1]],Database_Productkaarten[#All],51,FALSE)*Optimalisatie!J102),Baseline_Backlog!J520),0))</f>
        <v>0</v>
      </c>
      <c r="K520" s="91">
        <f>(IF(Optimalisatie!C102="Nieuwe Situatie",_xlfn.IFNA(SUM(Inschrijf_Fossiele_Energie_Totaal[[#This Row],[A1]:[B1]],Inschrijf_Fossiele_Energie_Totaal[[#This Row],[C1]:[D2]])*Optimalisatie!T102,0),0))</f>
        <v>0</v>
      </c>
      <c r="L520" s="91">
        <f>IF(Optimalisatie!C102="Bestaande situatie",IF(_xlfn.IFNA((VLOOKUP(Optimalisatie!AA102,Database_Asfalt_Verwijderset[#All],45,FALSE)*Optimalisatie!J102),0)+_xlfn.IFNA(VLOOKUP(Optimalisatie!AB102,Database_Brandstoffen[#All],45,FALSE)*((Optimalisatie!J102/Optimalisatie!AD102)*Optimalisatie!AC102),0)&gt;0,_xlfn.IFNA((VLOOKUP(Optimalisatie!AA102,Database_Asfalt_Verwijderset[#All],45,FALSE)*Optimalisatie!J102),0)+_xlfn.IFNA(VLOOKUP(Optimalisatie!AB102,Database_Brandstoffen[#All],45,FALSE)*((Optimalisatie!J102/Optimalisatie!AD102)*Optimalisatie!AC102),0),(_xlfn.IFNA(VLOOKUP(Inschrijf_Fossiele_Energie_Totaal[[#This Row],[Product]]&amp;", "&amp;Inschrijf_MKI_Totaal[[#Headers],[C1]],Database_Productkaarten[#All],51,FALSE),0)*Optimalisatie!J102)),0)</f>
        <v>0</v>
      </c>
      <c r="M520" s="91">
        <f>(IF(Optimalisatie!C102="Bestaande Situatie",_xlfn.IFNA(VLOOKUP(Optimalisatie!AF102,Database_Transport[#All],45,FALSE)*(Optimalisatie!R102*Optimalisatie!AE102),Baseline_Backlog!M520),0))</f>
        <v>0</v>
      </c>
      <c r="N520" s="91">
        <f>(IF(Optimalisatie!C102="Bestaande Situatie",_xlfn.IFNA(VLOOKUP(Optimalisatie!AG102,Database_Asfalt_Verwerkingsset[#All],45,FALSE)*(Optimalisatie!J102/VLOOKUP(Optimalisatie!AG102,Database_Asfalt_Verwerkingsset[#All],45,FALSE)),Baseline_Backlog!N520),0))</f>
        <v>0</v>
      </c>
      <c r="O520" s="91">
        <f>(IF(Optimalisatie!C102="Bestaande Situatie",_xlfn.IFNA(VLOOKUP(Inschrijf_Fossiele_Energie_Totaal[[#This Row],[Product]]&amp;", "&amp;Inschrijf_MKI_Totaal[[#Headers],[C4]],Database_Productkaarten[#All],51,FALSE)*Optimalisatie!J102,Baseline_Backlog!O520),0))</f>
        <v>0</v>
      </c>
      <c r="P520" s="91">
        <f>(IF(Optimalisatie!C102="Bestaande Situatie",_xlfn.IFNA(IF(Optimalisatie!E102="Categorie_1_LCA_Producten",VLOOKUP(Inschrijf_Fossiele_Energie_Totaal[[#This Row],[Product]],Categorie_1_Producten[#All],30,FALSE)*(Optimalisatie!J102),VLOOKUP(Inschrijf_Fossiele_Energie_Totaal[[#This Row],[Product]]&amp;", "&amp;Inschrijf_Fossiele_Energie_Totaal[[#Headers],[D1]],Database_Productkaarten[#All],51,FALSE)*Optimalisatie!J102),Baseline_Backlog!P520),0))</f>
        <v>0</v>
      </c>
      <c r="Q520" s="91">
        <f>(IF(Optimalisatie!C102="Bestaande Situatie",_xlfn.IFNA(IF(Optimalisatie!E102="Categorie_1_LCA_Producten",VLOOKUP(Inschrijf_Fossiele_Energie_Totaal[[#This Row],[Product]],Categorie_1_Producten[#All],31,FALSE)*(Optimalisatie!J102),VLOOKUP(Inschrijf_Fossiele_Energie_Totaal[[#This Row],[Product]]&amp;", "&amp;Inschrijf_Fossiele_Energie_Totaal[[#Headers],[D2]],Database_Productkaarten[#All],51,FALSE)*Optimalisatie!J102),Baseline_Backlog!Q520),0))</f>
        <v>0</v>
      </c>
      <c r="R520" s="91">
        <f>(IF(Optimalisatie!C102="Bestaande Situatie",_xlfn.IFNA(IF(Optimalisatie!E102="Categorie_1_LCA_Producten",VLOOKUP(Inschrijf_Fossiele_Energie_Totaal[[#This Row],[Product]],Categorie_1_Producten[#All],37,FALSE)*(Optimalisatie!J102),VLOOKUP(Inschrijf_Fossiele_Energie_Totaal[[#This Row],[Product]]&amp;", "&amp;Inschrijf_Fossiele_Energie_Totaal[[#Headers],[D]],Database_Productkaarten[#All],51,FALSE)*Optimalisatie!J102),Baseline_Backlog!S520),0))</f>
        <v>0</v>
      </c>
      <c r="S520" s="91">
        <f>SUM(Inschrijf_Fossiele_Energie_Totaal[[#This Row],[A1-A3]:[C4]])+Inschrijf_Fossiele_Energie_Totaal[[#This Row],[D]]</f>
        <v>0</v>
      </c>
    </row>
    <row r="521" spans="2:19">
      <c r="B521" s="208">
        <f>Optimalisatie!B103</f>
        <v>0</v>
      </c>
      <c r="C521" s="1">
        <f>Optimalisatie!F103</f>
        <v>0</v>
      </c>
      <c r="D521" s="91">
        <f>(IF(Optimalisatie!C103="Nieuwe Situatie",_xlfn.IFNA(IF(Optimalisatie!E103="Categorie_1_LCA_Producten",VLOOKUP(Inschrijf_Fossiele_Energie_Totaal[[#This Row],[Product]],Categorie_1_Producten[#All],26,FALSE)*(Optimalisatie!J103),VLOOKUP(Inschrijf_Fossiele_Energie_Totaal[[#This Row],[Product]]&amp;", "&amp;Inschrijf_Fossiele_Energie_Totaal[[#Headers],[A1]],Database_Productkaarten[#All],51,FALSE)*Optimalisatie!J103),Baseline_Backlog!D521),0))</f>
        <v>0</v>
      </c>
      <c r="E521" s="91">
        <f>(IF(Optimalisatie!C103="Nieuwe Situatie",_xlfn.IFNA(IF(Optimalisatie!E103="Categorie_1_LCA_Producten",VLOOKUP(Inschrijf_Fossiele_Energie_Totaal[[#This Row],[Product]],Categorie_1_Producten[#All],27,FALSE)*(Optimalisatie!J103),VLOOKUP(Inschrijf_Fossiele_Energie_Totaal[[#This Row],[Product]]&amp;", "&amp;Inschrijf_Fossiele_Energie_Totaal[[#Headers],[A2]],Database_Productkaarten[#All],51,FALSE)*Optimalisatie!J103),Baseline_Backlog!E521),0))</f>
        <v>0</v>
      </c>
      <c r="F521" s="91">
        <f>(IF(Optimalisatie!C103="Nieuwe Situatie",_xlfn.IFNA(IF(Optimalisatie!E103="Categorie_1_LCA_Producten",VLOOKUP(Inschrijf_Fossiele_Energie_Totaal[[#This Row],[Product]],Categorie_1_Producten[#All],28,FALSE)*(Optimalisatie!J103),VLOOKUP(Inschrijf_Fossiele_Energie_Totaal[[#This Row],[Product]]&amp;", "&amp;Inschrijf_Fossiele_Energie_Totaal[[#Headers],[A3]],Database_Productkaarten[#All],51,FALSE)*Optimalisatie!J103),Baseline_Backlog!F521),0))</f>
        <v>0</v>
      </c>
      <c r="G521" s="91">
        <f>(IF(Optimalisatie!C103="Nieuwe Situatie",_xlfn.IFNA(IF(Optimalisatie!E103="Categorie_1_LCA_Producten",VLOOKUP(Inschrijf_Fossiele_Energie_Totaal[[#This Row],[Product]],Categorie_1_Producten[#All],35,FALSE)*(Optimalisatie!J103),VLOOKUP(Inschrijf_Fossiele_Energie_Totaal[[#This Row],[Product]]&amp;", "&amp;Inschrijf_Fossiele_Energie_Totaal[[#Headers],[A1-A3]],Database_Productkaarten[#All],51,FALSE)*Optimalisatie!J103),Baseline_Backlog!G521),0))</f>
        <v>0</v>
      </c>
      <c r="H521" s="91">
        <f>(IF(Optimalisatie!C103="Nieuwe Situatie",_xlfn.IFNA(VLOOKUP(Optimalisatie!V103,Database_Transport[#All],45,FALSE)*(Optimalisatie!R103*Optimalisatie!U103),Baseline_Backlog!H521),0))</f>
        <v>0</v>
      </c>
      <c r="I521" s="91">
        <f>IF(Optimalisatie!C103="Nieuwe situatie",IF(_xlfn.IFNA((VLOOKUP(Optimalisatie!W103,Database_Asfalt_Aanlegset[#All],45,FALSE)*Optimalisatie!J103),0)+_xlfn.IFNA(VLOOKUP(Optimalisatie!X103,Database_Brandstoffen[#All],45,FALSE)*((Optimalisatie!J103/Optimalisatie!Z103)*Optimalisatie!Y103),0)&gt;0,_xlfn.IFNA((VLOOKUP(Optimalisatie!W103,Database_Asfalt_Aanlegset[#All],45,FALSE)*Optimalisatie!J103),0)+_xlfn.IFNA(VLOOKUP(Optimalisatie!X103,Database_Brandstoffen[#All],45,FALSE)*((Optimalisatie!J103/Optimalisatie!Z103)*Optimalisatie!Y103),0),(_xlfn.IFNA(VLOOKUP(Inschrijf_Fossiele_Energie_Totaal[[#This Row],[Product]]&amp;", "&amp;Inschrijf_MKI_Totaal[[#Headers],[A5]],Database_Productkaarten[#All],51,FALSE),0)*Optimalisatie!J103)),0)</f>
        <v>0</v>
      </c>
      <c r="J521" s="91">
        <f>(IF(Optimalisatie!C103="Nieuwe Situatie",_xlfn.IFNA(IF(Optimalisatie!E103="Categorie_1_LCA_Producten",VLOOKUP(Inschrijf_Fossiele_Energie_Totaal[[#This Row],[Product]],Categorie_1_Producten[#All],36,FALSE)*(Optimalisatie!R103),VLOOKUP(Inschrijf_Fossiele_Energie_Totaal[[#This Row],[Product]]&amp;", "&amp;Inschrijf_Fossiele_Energie_Totaal[[#Headers],[B1]],Database_Productkaarten[#All],51,FALSE)*Optimalisatie!J103),Baseline_Backlog!J521),0))</f>
        <v>0</v>
      </c>
      <c r="K521" s="91">
        <f>(IF(Optimalisatie!C103="Nieuwe Situatie",_xlfn.IFNA(SUM(Inschrijf_Fossiele_Energie_Totaal[[#This Row],[A1]:[B1]],Inschrijf_Fossiele_Energie_Totaal[[#This Row],[C1]:[D2]])*Optimalisatie!T103,0),0))</f>
        <v>0</v>
      </c>
      <c r="L521" s="91">
        <f>IF(Optimalisatie!C103="Bestaande situatie",IF(_xlfn.IFNA((VLOOKUP(Optimalisatie!AA103,Database_Asfalt_Verwijderset[#All],45,FALSE)*Optimalisatie!J103),0)+_xlfn.IFNA(VLOOKUP(Optimalisatie!AB103,Database_Brandstoffen[#All],45,FALSE)*((Optimalisatie!J103/Optimalisatie!AD103)*Optimalisatie!AC103),0)&gt;0,_xlfn.IFNA((VLOOKUP(Optimalisatie!AA103,Database_Asfalt_Verwijderset[#All],45,FALSE)*Optimalisatie!J103),0)+_xlfn.IFNA(VLOOKUP(Optimalisatie!AB103,Database_Brandstoffen[#All],45,FALSE)*((Optimalisatie!J103/Optimalisatie!AD103)*Optimalisatie!AC103),0),(_xlfn.IFNA(VLOOKUP(Inschrijf_Fossiele_Energie_Totaal[[#This Row],[Product]]&amp;", "&amp;Inschrijf_MKI_Totaal[[#Headers],[C1]],Database_Productkaarten[#All],51,FALSE),0)*Optimalisatie!J103)),0)</f>
        <v>0</v>
      </c>
      <c r="M521" s="91">
        <f>(IF(Optimalisatie!C103="Bestaande Situatie",_xlfn.IFNA(VLOOKUP(Optimalisatie!AF103,Database_Transport[#All],45,FALSE)*(Optimalisatie!R103*Optimalisatie!AE103),Baseline_Backlog!M521),0))</f>
        <v>0</v>
      </c>
      <c r="N521" s="91">
        <f>(IF(Optimalisatie!C103="Bestaande Situatie",_xlfn.IFNA(VLOOKUP(Optimalisatie!AG103,Database_Asfalt_Verwerkingsset[#All],45,FALSE)*(Optimalisatie!J103/VLOOKUP(Optimalisatie!AG103,Database_Asfalt_Verwerkingsset[#All],45,FALSE)),Baseline_Backlog!N521),0))</f>
        <v>0</v>
      </c>
      <c r="O521" s="91">
        <f>(IF(Optimalisatie!C103="Bestaande Situatie",_xlfn.IFNA(VLOOKUP(Inschrijf_Fossiele_Energie_Totaal[[#This Row],[Product]]&amp;", "&amp;Inschrijf_MKI_Totaal[[#Headers],[C4]],Database_Productkaarten[#All],51,FALSE)*Optimalisatie!J103,Baseline_Backlog!O521),0))</f>
        <v>0</v>
      </c>
      <c r="P521" s="91">
        <f>(IF(Optimalisatie!C103="Bestaande Situatie",_xlfn.IFNA(IF(Optimalisatie!E103="Categorie_1_LCA_Producten",VLOOKUP(Inschrijf_Fossiele_Energie_Totaal[[#This Row],[Product]],Categorie_1_Producten[#All],30,FALSE)*(Optimalisatie!J103),VLOOKUP(Inschrijf_Fossiele_Energie_Totaal[[#This Row],[Product]]&amp;", "&amp;Inschrijf_Fossiele_Energie_Totaal[[#Headers],[D1]],Database_Productkaarten[#All],51,FALSE)*Optimalisatie!J103),Baseline_Backlog!P521),0))</f>
        <v>0</v>
      </c>
      <c r="Q521" s="91">
        <f>(IF(Optimalisatie!C103="Bestaande Situatie",_xlfn.IFNA(IF(Optimalisatie!E103="Categorie_1_LCA_Producten",VLOOKUP(Inschrijf_Fossiele_Energie_Totaal[[#This Row],[Product]],Categorie_1_Producten[#All],31,FALSE)*(Optimalisatie!J103),VLOOKUP(Inschrijf_Fossiele_Energie_Totaal[[#This Row],[Product]]&amp;", "&amp;Inschrijf_Fossiele_Energie_Totaal[[#Headers],[D2]],Database_Productkaarten[#All],51,FALSE)*Optimalisatie!J103),Baseline_Backlog!Q521),0))</f>
        <v>0</v>
      </c>
      <c r="R521" s="91">
        <f>(IF(Optimalisatie!C103="Bestaande Situatie",_xlfn.IFNA(IF(Optimalisatie!E103="Categorie_1_LCA_Producten",VLOOKUP(Inschrijf_Fossiele_Energie_Totaal[[#This Row],[Product]],Categorie_1_Producten[#All],37,FALSE)*(Optimalisatie!J103),VLOOKUP(Inschrijf_Fossiele_Energie_Totaal[[#This Row],[Product]]&amp;", "&amp;Inschrijf_Fossiele_Energie_Totaal[[#Headers],[D]],Database_Productkaarten[#All],51,FALSE)*Optimalisatie!J103),Baseline_Backlog!S521),0))</f>
        <v>0</v>
      </c>
      <c r="S521" s="91">
        <f>SUM(Inschrijf_Fossiele_Energie_Totaal[[#This Row],[A1-A3]:[C4]])+Inschrijf_Fossiele_Energie_Totaal[[#This Row],[D]]</f>
        <v>0</v>
      </c>
    </row>
    <row r="522" spans="2:19">
      <c r="B522" s="208">
        <f>Optimalisatie!B104</f>
        <v>0</v>
      </c>
      <c r="C522" s="1">
        <f>Optimalisatie!F104</f>
        <v>0</v>
      </c>
      <c r="D522" s="91">
        <f>(IF(Optimalisatie!C104="Nieuwe Situatie",_xlfn.IFNA(IF(Optimalisatie!E104="Categorie_1_LCA_Producten",VLOOKUP(Inschrijf_Fossiele_Energie_Totaal[[#This Row],[Product]],Categorie_1_Producten[#All],26,FALSE)*(Optimalisatie!J104),VLOOKUP(Inschrijf_Fossiele_Energie_Totaal[[#This Row],[Product]]&amp;", "&amp;Inschrijf_Fossiele_Energie_Totaal[[#Headers],[A1]],Database_Productkaarten[#All],51,FALSE)*Optimalisatie!J104),Baseline_Backlog!D522),0))</f>
        <v>0</v>
      </c>
      <c r="E522" s="91">
        <f>(IF(Optimalisatie!C104="Nieuwe Situatie",_xlfn.IFNA(IF(Optimalisatie!E104="Categorie_1_LCA_Producten",VLOOKUP(Inschrijf_Fossiele_Energie_Totaal[[#This Row],[Product]],Categorie_1_Producten[#All],27,FALSE)*(Optimalisatie!J104),VLOOKUP(Inschrijf_Fossiele_Energie_Totaal[[#This Row],[Product]]&amp;", "&amp;Inschrijf_Fossiele_Energie_Totaal[[#Headers],[A2]],Database_Productkaarten[#All],51,FALSE)*Optimalisatie!J104),Baseline_Backlog!E522),0))</f>
        <v>0</v>
      </c>
      <c r="F522" s="91">
        <f>(IF(Optimalisatie!C104="Nieuwe Situatie",_xlfn.IFNA(IF(Optimalisatie!E104="Categorie_1_LCA_Producten",VLOOKUP(Inschrijf_Fossiele_Energie_Totaal[[#This Row],[Product]],Categorie_1_Producten[#All],28,FALSE)*(Optimalisatie!J104),VLOOKUP(Inschrijf_Fossiele_Energie_Totaal[[#This Row],[Product]]&amp;", "&amp;Inschrijf_Fossiele_Energie_Totaal[[#Headers],[A3]],Database_Productkaarten[#All],51,FALSE)*Optimalisatie!J104),Baseline_Backlog!F522),0))</f>
        <v>0</v>
      </c>
      <c r="G522" s="91">
        <f>(IF(Optimalisatie!C104="Nieuwe Situatie",_xlfn.IFNA(IF(Optimalisatie!E104="Categorie_1_LCA_Producten",VLOOKUP(Inschrijf_Fossiele_Energie_Totaal[[#This Row],[Product]],Categorie_1_Producten[#All],35,FALSE)*(Optimalisatie!J104),VLOOKUP(Inschrijf_Fossiele_Energie_Totaal[[#This Row],[Product]]&amp;", "&amp;Inschrijf_Fossiele_Energie_Totaal[[#Headers],[A1-A3]],Database_Productkaarten[#All],51,FALSE)*Optimalisatie!J104),Baseline_Backlog!G522),0))</f>
        <v>0</v>
      </c>
      <c r="H522" s="91">
        <f>(IF(Optimalisatie!C104="Nieuwe Situatie",_xlfn.IFNA(VLOOKUP(Optimalisatie!V104,Database_Transport[#All],45,FALSE)*(Optimalisatie!R104*Optimalisatie!U104),Baseline_Backlog!H522),0))</f>
        <v>0</v>
      </c>
      <c r="I522" s="91">
        <f>IF(Optimalisatie!C104="Nieuwe situatie",IF(_xlfn.IFNA((VLOOKUP(Optimalisatie!W104,Database_Asfalt_Aanlegset[#All],45,FALSE)*Optimalisatie!J104),0)+_xlfn.IFNA(VLOOKUP(Optimalisatie!X104,Database_Brandstoffen[#All],45,FALSE)*((Optimalisatie!J104/Optimalisatie!Z104)*Optimalisatie!Y104),0)&gt;0,_xlfn.IFNA((VLOOKUP(Optimalisatie!W104,Database_Asfalt_Aanlegset[#All],45,FALSE)*Optimalisatie!J104),0)+_xlfn.IFNA(VLOOKUP(Optimalisatie!X104,Database_Brandstoffen[#All],45,FALSE)*((Optimalisatie!J104/Optimalisatie!Z104)*Optimalisatie!Y104),0),(_xlfn.IFNA(VLOOKUP(Inschrijf_Fossiele_Energie_Totaal[[#This Row],[Product]]&amp;", "&amp;Inschrijf_MKI_Totaal[[#Headers],[A5]],Database_Productkaarten[#All],51,FALSE),0)*Optimalisatie!J104)),0)</f>
        <v>0</v>
      </c>
      <c r="J522" s="91">
        <f>(IF(Optimalisatie!C104="Nieuwe Situatie",_xlfn.IFNA(IF(Optimalisatie!E104="Categorie_1_LCA_Producten",VLOOKUP(Inschrijf_Fossiele_Energie_Totaal[[#This Row],[Product]],Categorie_1_Producten[#All],36,FALSE)*(Optimalisatie!R104),VLOOKUP(Inschrijf_Fossiele_Energie_Totaal[[#This Row],[Product]]&amp;", "&amp;Inschrijf_Fossiele_Energie_Totaal[[#Headers],[B1]],Database_Productkaarten[#All],51,FALSE)*Optimalisatie!J104),Baseline_Backlog!J522),0))</f>
        <v>0</v>
      </c>
      <c r="K522" s="91">
        <f>(IF(Optimalisatie!C104="Nieuwe Situatie",_xlfn.IFNA(SUM(Inschrijf_Fossiele_Energie_Totaal[[#This Row],[A1]:[B1]],Inschrijf_Fossiele_Energie_Totaal[[#This Row],[C1]:[D2]])*Optimalisatie!T104,0),0))</f>
        <v>0</v>
      </c>
      <c r="L522" s="91">
        <f>IF(Optimalisatie!C104="Bestaande situatie",IF(_xlfn.IFNA((VLOOKUP(Optimalisatie!AA104,Database_Asfalt_Verwijderset[#All],45,FALSE)*Optimalisatie!J104),0)+_xlfn.IFNA(VLOOKUP(Optimalisatie!AB104,Database_Brandstoffen[#All],45,FALSE)*((Optimalisatie!J104/Optimalisatie!AD104)*Optimalisatie!AC104),0)&gt;0,_xlfn.IFNA((VLOOKUP(Optimalisatie!AA104,Database_Asfalt_Verwijderset[#All],45,FALSE)*Optimalisatie!J104),0)+_xlfn.IFNA(VLOOKUP(Optimalisatie!AB104,Database_Brandstoffen[#All],45,FALSE)*((Optimalisatie!J104/Optimalisatie!AD104)*Optimalisatie!AC104),0),(_xlfn.IFNA(VLOOKUP(Inschrijf_Fossiele_Energie_Totaal[[#This Row],[Product]]&amp;", "&amp;Inschrijf_MKI_Totaal[[#Headers],[C1]],Database_Productkaarten[#All],51,FALSE),0)*Optimalisatie!J104)),0)</f>
        <v>0</v>
      </c>
      <c r="M522" s="91">
        <f>(IF(Optimalisatie!C104="Bestaande Situatie",_xlfn.IFNA(VLOOKUP(Optimalisatie!AF104,Database_Transport[#All],45,FALSE)*(Optimalisatie!R104*Optimalisatie!AE104),Baseline_Backlog!M522),0))</f>
        <v>0</v>
      </c>
      <c r="N522" s="91">
        <f>(IF(Optimalisatie!C104="Bestaande Situatie",_xlfn.IFNA(VLOOKUP(Optimalisatie!AG104,Database_Asfalt_Verwerkingsset[#All],45,FALSE)*(Optimalisatie!J104/VLOOKUP(Optimalisatie!AG104,Database_Asfalt_Verwerkingsset[#All],45,FALSE)),Baseline_Backlog!N522),0))</f>
        <v>0</v>
      </c>
      <c r="O522" s="91">
        <f>(IF(Optimalisatie!C104="Bestaande Situatie",_xlfn.IFNA(VLOOKUP(Inschrijf_Fossiele_Energie_Totaal[[#This Row],[Product]]&amp;", "&amp;Inschrijf_MKI_Totaal[[#Headers],[C4]],Database_Productkaarten[#All],51,FALSE)*Optimalisatie!J104,Baseline_Backlog!O522),0))</f>
        <v>0</v>
      </c>
      <c r="P522" s="91">
        <f>(IF(Optimalisatie!C104="Bestaande Situatie",_xlfn.IFNA(IF(Optimalisatie!E104="Categorie_1_LCA_Producten",VLOOKUP(Inschrijf_Fossiele_Energie_Totaal[[#This Row],[Product]],Categorie_1_Producten[#All],30,FALSE)*(Optimalisatie!J104),VLOOKUP(Inschrijf_Fossiele_Energie_Totaal[[#This Row],[Product]]&amp;", "&amp;Inschrijf_Fossiele_Energie_Totaal[[#Headers],[D1]],Database_Productkaarten[#All],51,FALSE)*Optimalisatie!J104),Baseline_Backlog!P522),0))</f>
        <v>0</v>
      </c>
      <c r="Q522" s="91">
        <f>(IF(Optimalisatie!C104="Bestaande Situatie",_xlfn.IFNA(IF(Optimalisatie!E104="Categorie_1_LCA_Producten",VLOOKUP(Inschrijf_Fossiele_Energie_Totaal[[#This Row],[Product]],Categorie_1_Producten[#All],31,FALSE)*(Optimalisatie!J104),VLOOKUP(Inschrijf_Fossiele_Energie_Totaal[[#This Row],[Product]]&amp;", "&amp;Inschrijf_Fossiele_Energie_Totaal[[#Headers],[D2]],Database_Productkaarten[#All],51,FALSE)*Optimalisatie!J104),Baseline_Backlog!Q522),0))</f>
        <v>0</v>
      </c>
      <c r="R522" s="91">
        <f>(IF(Optimalisatie!C104="Bestaande Situatie",_xlfn.IFNA(IF(Optimalisatie!E104="Categorie_1_LCA_Producten",VLOOKUP(Inschrijf_Fossiele_Energie_Totaal[[#This Row],[Product]],Categorie_1_Producten[#All],37,FALSE)*(Optimalisatie!J104),VLOOKUP(Inschrijf_Fossiele_Energie_Totaal[[#This Row],[Product]]&amp;", "&amp;Inschrijf_Fossiele_Energie_Totaal[[#Headers],[D]],Database_Productkaarten[#All],51,FALSE)*Optimalisatie!J104),Baseline_Backlog!S522),0))</f>
        <v>0</v>
      </c>
      <c r="S522" s="91">
        <f>SUM(Inschrijf_Fossiele_Energie_Totaal[[#This Row],[A1-A3]:[C4]])+Inschrijf_Fossiele_Energie_Totaal[[#This Row],[D]]</f>
        <v>0</v>
      </c>
    </row>
    <row r="523" spans="2:19">
      <c r="B523" s="208">
        <f>Optimalisatie!B105</f>
        <v>0</v>
      </c>
      <c r="C523" s="1">
        <f>Optimalisatie!F105</f>
        <v>0</v>
      </c>
      <c r="D523" s="91">
        <f>(IF(Optimalisatie!C105="Nieuwe Situatie",_xlfn.IFNA(IF(Optimalisatie!E105="Categorie_1_LCA_Producten",VLOOKUP(Inschrijf_Fossiele_Energie_Totaal[[#This Row],[Product]],Categorie_1_Producten[#All],26,FALSE)*(Optimalisatie!J105),VLOOKUP(Inschrijf_Fossiele_Energie_Totaal[[#This Row],[Product]]&amp;", "&amp;Inschrijf_Fossiele_Energie_Totaal[[#Headers],[A1]],Database_Productkaarten[#All],51,FALSE)*Optimalisatie!J105),Baseline_Backlog!D523),0))</f>
        <v>0</v>
      </c>
      <c r="E523" s="91">
        <f>(IF(Optimalisatie!C105="Nieuwe Situatie",_xlfn.IFNA(IF(Optimalisatie!E105="Categorie_1_LCA_Producten",VLOOKUP(Inschrijf_Fossiele_Energie_Totaal[[#This Row],[Product]],Categorie_1_Producten[#All],27,FALSE)*(Optimalisatie!J105),VLOOKUP(Inschrijf_Fossiele_Energie_Totaal[[#This Row],[Product]]&amp;", "&amp;Inschrijf_Fossiele_Energie_Totaal[[#Headers],[A2]],Database_Productkaarten[#All],51,FALSE)*Optimalisatie!J105),Baseline_Backlog!E523),0))</f>
        <v>0</v>
      </c>
      <c r="F523" s="91">
        <f>(IF(Optimalisatie!C105="Nieuwe Situatie",_xlfn.IFNA(IF(Optimalisatie!E105="Categorie_1_LCA_Producten",VLOOKUP(Inschrijf_Fossiele_Energie_Totaal[[#This Row],[Product]],Categorie_1_Producten[#All],28,FALSE)*(Optimalisatie!J105),VLOOKUP(Inschrijf_Fossiele_Energie_Totaal[[#This Row],[Product]]&amp;", "&amp;Inschrijf_Fossiele_Energie_Totaal[[#Headers],[A3]],Database_Productkaarten[#All],51,FALSE)*Optimalisatie!J105),Baseline_Backlog!F523),0))</f>
        <v>0</v>
      </c>
      <c r="G523" s="91">
        <f>(IF(Optimalisatie!C105="Nieuwe Situatie",_xlfn.IFNA(IF(Optimalisatie!E105="Categorie_1_LCA_Producten",VLOOKUP(Inschrijf_Fossiele_Energie_Totaal[[#This Row],[Product]],Categorie_1_Producten[#All],35,FALSE)*(Optimalisatie!J105),VLOOKUP(Inschrijf_Fossiele_Energie_Totaal[[#This Row],[Product]]&amp;", "&amp;Inschrijf_Fossiele_Energie_Totaal[[#Headers],[A1-A3]],Database_Productkaarten[#All],51,FALSE)*Optimalisatie!J105),Baseline_Backlog!G523),0))</f>
        <v>0</v>
      </c>
      <c r="H523" s="91">
        <f>(IF(Optimalisatie!C105="Nieuwe Situatie",_xlfn.IFNA(VLOOKUP(Optimalisatie!V105,Database_Transport[#All],45,FALSE)*(Optimalisatie!R105*Optimalisatie!U105),Baseline_Backlog!H523),0))</f>
        <v>0</v>
      </c>
      <c r="I523" s="91">
        <f>IF(Optimalisatie!C105="Nieuwe situatie",IF(_xlfn.IFNA((VLOOKUP(Optimalisatie!W105,Database_Asfalt_Aanlegset[#All],45,FALSE)*Optimalisatie!J105),0)+_xlfn.IFNA(VLOOKUP(Optimalisatie!X105,Database_Brandstoffen[#All],45,FALSE)*((Optimalisatie!J105/Optimalisatie!Z105)*Optimalisatie!Y105),0)&gt;0,_xlfn.IFNA((VLOOKUP(Optimalisatie!W105,Database_Asfalt_Aanlegset[#All],45,FALSE)*Optimalisatie!J105),0)+_xlfn.IFNA(VLOOKUP(Optimalisatie!X105,Database_Brandstoffen[#All],45,FALSE)*((Optimalisatie!J105/Optimalisatie!Z105)*Optimalisatie!Y105),0),(_xlfn.IFNA(VLOOKUP(Inschrijf_Fossiele_Energie_Totaal[[#This Row],[Product]]&amp;", "&amp;Inschrijf_MKI_Totaal[[#Headers],[A5]],Database_Productkaarten[#All],51,FALSE),0)*Optimalisatie!J105)),0)</f>
        <v>0</v>
      </c>
      <c r="J523" s="91">
        <f>(IF(Optimalisatie!C105="Nieuwe Situatie",_xlfn.IFNA(IF(Optimalisatie!E105="Categorie_1_LCA_Producten",VLOOKUP(Inschrijf_Fossiele_Energie_Totaal[[#This Row],[Product]],Categorie_1_Producten[#All],36,FALSE)*(Optimalisatie!R105),VLOOKUP(Inschrijf_Fossiele_Energie_Totaal[[#This Row],[Product]]&amp;", "&amp;Inschrijf_Fossiele_Energie_Totaal[[#Headers],[B1]],Database_Productkaarten[#All],51,FALSE)*Optimalisatie!J105),Baseline_Backlog!J523),0))</f>
        <v>0</v>
      </c>
      <c r="K523" s="91">
        <f>(IF(Optimalisatie!C105="Nieuwe Situatie",_xlfn.IFNA(SUM(Inschrijf_Fossiele_Energie_Totaal[[#This Row],[A1]:[B1]],Inschrijf_Fossiele_Energie_Totaal[[#This Row],[C1]:[D2]])*Optimalisatie!T105,0),0))</f>
        <v>0</v>
      </c>
      <c r="L523" s="91">
        <f>IF(Optimalisatie!C105="Bestaande situatie",IF(_xlfn.IFNA((VLOOKUP(Optimalisatie!AA105,Database_Asfalt_Verwijderset[#All],45,FALSE)*Optimalisatie!J105),0)+_xlfn.IFNA(VLOOKUP(Optimalisatie!AB105,Database_Brandstoffen[#All],45,FALSE)*((Optimalisatie!J105/Optimalisatie!AD105)*Optimalisatie!AC105),0)&gt;0,_xlfn.IFNA((VLOOKUP(Optimalisatie!AA105,Database_Asfalt_Verwijderset[#All],45,FALSE)*Optimalisatie!J105),0)+_xlfn.IFNA(VLOOKUP(Optimalisatie!AB105,Database_Brandstoffen[#All],45,FALSE)*((Optimalisatie!J105/Optimalisatie!AD105)*Optimalisatie!AC105),0),(_xlfn.IFNA(VLOOKUP(Inschrijf_Fossiele_Energie_Totaal[[#This Row],[Product]]&amp;", "&amp;Inschrijf_MKI_Totaal[[#Headers],[C1]],Database_Productkaarten[#All],51,FALSE),0)*Optimalisatie!J105)),0)</f>
        <v>0</v>
      </c>
      <c r="M523" s="91">
        <f>(IF(Optimalisatie!C105="Bestaande Situatie",_xlfn.IFNA(VLOOKUP(Optimalisatie!AD105,Database_Transport[#All],45,FALSE)*(Optimalisatie!R105*Optimalisatie!AC105),Baseline_Backlog!M523),0))</f>
        <v>0</v>
      </c>
      <c r="N523" s="91">
        <f>(IF(Optimalisatie!C105="Bestaande Situatie",_xlfn.IFNA(VLOOKUP(Optimalisatie!AE105,Database_Asfalt_Verwerkingsset[#All],45,FALSE)*(Optimalisatie!J105/VLOOKUP(Optimalisatie!AE105,Database_Asfalt_Verwerkingsset[#All],45,FALSE)),Baseline_Backlog!N523),0))</f>
        <v>0</v>
      </c>
      <c r="O523" s="91">
        <f>(IF(Optimalisatie!C105="Bestaande Situatie",_xlfn.IFNA(VLOOKUP(Inschrijf_Fossiele_Energie_Totaal[[#This Row],[Product]]&amp;", "&amp;Inschrijf_MKI_Totaal[[#Headers],[C4]],Database_Productkaarten[#All],51,FALSE)*Optimalisatie!J105,Baseline_Backlog!O523),0))</f>
        <v>0</v>
      </c>
      <c r="P523" s="91">
        <f>(IF(Optimalisatie!C105="Bestaande Situatie",_xlfn.IFNA(IF(Optimalisatie!E105="Categorie_1_LCA_Producten",VLOOKUP(Inschrijf_Fossiele_Energie_Totaal[[#This Row],[Product]],Categorie_1_Producten[#All],30,FALSE)*(Optimalisatie!J105),VLOOKUP(Inschrijf_Fossiele_Energie_Totaal[[#This Row],[Product]]&amp;", "&amp;Inschrijf_Fossiele_Energie_Totaal[[#Headers],[D1]],Database_Productkaarten[#All],51,FALSE)*Optimalisatie!J105),Baseline_Backlog!P523),0))</f>
        <v>0</v>
      </c>
      <c r="Q523" s="91">
        <f>(IF(Optimalisatie!C105="Bestaande Situatie",_xlfn.IFNA(IF(Optimalisatie!E105="Categorie_1_LCA_Producten",VLOOKUP(Inschrijf_Fossiele_Energie_Totaal[[#This Row],[Product]],Categorie_1_Producten[#All],31,FALSE)*(Optimalisatie!J105),VLOOKUP(Inschrijf_Fossiele_Energie_Totaal[[#This Row],[Product]]&amp;", "&amp;Inschrijf_Fossiele_Energie_Totaal[[#Headers],[D2]],Database_Productkaarten[#All],51,FALSE)*Optimalisatie!J105),Baseline_Backlog!Q523),0))</f>
        <v>0</v>
      </c>
      <c r="R523" s="91">
        <f>(IF(Optimalisatie!C105="Bestaande Situatie",_xlfn.IFNA(IF(Optimalisatie!E105="Categorie_1_LCA_Producten",VLOOKUP(Inschrijf_Fossiele_Energie_Totaal[[#This Row],[Product]],Categorie_1_Producten[#All],37,FALSE)*(Optimalisatie!J105),VLOOKUP(Inschrijf_Fossiele_Energie_Totaal[[#This Row],[Product]]&amp;", "&amp;Inschrijf_Fossiele_Energie_Totaal[[#Headers],[D]],Database_Productkaarten[#All],51,FALSE)*Optimalisatie!J105),Baseline_Backlog!S523),0))</f>
        <v>0</v>
      </c>
      <c r="S523" s="91">
        <f>SUM(Inschrijf_Fossiele_Energie_Totaal[[#This Row],[A1-A3]:[C4]])+Inschrijf_Fossiele_Energie_Totaal[[#This Row],[D]]</f>
        <v>0</v>
      </c>
    </row>
    <row r="524" spans="2:19">
      <c r="B524" s="1" t="s">
        <v>90</v>
      </c>
      <c r="C524" s="1"/>
      <c r="D524" s="61">
        <f>SUBTOTAL(109,Inschrijf_Fossiele_Energie_Totaal[A1])</f>
        <v>987196.05079346162</v>
      </c>
      <c r="E524" s="61">
        <f>SUBTOTAL(109,Inschrijf_Fossiele_Energie_Totaal[A2])</f>
        <v>129599.03554150001</v>
      </c>
      <c r="F524" s="61">
        <f>SUBTOTAL(109,Inschrijf_Fossiele_Energie_Totaal[A3])</f>
        <v>113719.00827784615</v>
      </c>
      <c r="G524" s="61">
        <f>SUBTOTAL(109,Inschrijf_Fossiele_Energie_Totaal[A1-A3])</f>
        <v>4101492.094612808</v>
      </c>
      <c r="H524" s="61">
        <f>SUBTOTAL(109,Inschrijf_Fossiele_Energie_Totaal[A4])</f>
        <v>971952.61758837232</v>
      </c>
      <c r="I524" s="61">
        <f>SUBTOTAL(109,Inschrijf_Fossiele_Energie_Totaal[A5])</f>
        <v>3535948.8043494886</v>
      </c>
      <c r="J524" s="61">
        <f>SUBTOTAL(109,Inschrijf_Fossiele_Energie_Totaal[B1])</f>
        <v>0</v>
      </c>
      <c r="K524" s="61">
        <f>SUBTOTAL(109,Inschrijf_Fossiele_Energie_Totaal[B4])</f>
        <v>0</v>
      </c>
      <c r="L524" s="61">
        <f>SUBTOTAL(109,Inschrijf_Fossiele_Energie_Totaal[C1])</f>
        <v>949811.39949967328</v>
      </c>
      <c r="M524" s="61">
        <f>SUBTOTAL(109,Inschrijf_Fossiele_Energie_Totaal[C2])</f>
        <v>1032114.8616779584</v>
      </c>
      <c r="N524" s="61">
        <f>SUBTOTAL(109,Inschrijf_Fossiele_Energie_Totaal[C3])</f>
        <v>122280.07255448715</v>
      </c>
      <c r="O524" s="61">
        <f>SUBTOTAL(109,Inschrijf_Fossiele_Energie_Totaal[C4])</f>
        <v>88525.882919956653</v>
      </c>
      <c r="P524" s="61">
        <f>SUBTOTAL(109,Inschrijf_Fossiele_Energie_Totaal[D1])</f>
        <v>-2383675</v>
      </c>
      <c r="Q524" s="61">
        <f>SUBTOTAL(109,Inschrijf_Fossiele_Energie_Totaal[D2])</f>
        <v>0</v>
      </c>
      <c r="R524" s="61">
        <f>SUBTOTAL(109,Inschrijf_Fossiele_Energie_Totaal[D])</f>
        <v>-7852504.6249435423</v>
      </c>
      <c r="S524" s="141">
        <f>SUBTOTAL(109,Inschrijf_Fossiele_Energie_Totaal[Totaal])</f>
        <v>2949621.108259201</v>
      </c>
    </row>
    <row r="527" spans="2:19" ht="18">
      <c r="B527" s="110" t="s">
        <v>128</v>
      </c>
      <c r="C527" s="110"/>
      <c r="D527" s="110"/>
      <c r="E527" s="13"/>
      <c r="F527" s="13"/>
      <c r="G527" s="13"/>
      <c r="H527" s="13"/>
    </row>
    <row r="528" spans="2:19" ht="15.75" thickBot="1">
      <c r="B528" s="49" t="s">
        <v>214</v>
      </c>
      <c r="C528" s="50" t="s">
        <v>7</v>
      </c>
      <c r="D528" s="58" t="s">
        <v>124</v>
      </c>
      <c r="E528" s="59" t="s">
        <v>125</v>
      </c>
      <c r="F528" s="59" t="s">
        <v>126</v>
      </c>
      <c r="G528" s="59" t="s">
        <v>127</v>
      </c>
      <c r="H528" s="59" t="s">
        <v>128</v>
      </c>
      <c r="I528" s="58" t="s">
        <v>129</v>
      </c>
      <c r="J528" s="59" t="s">
        <v>130</v>
      </c>
      <c r="K528" s="59" t="s">
        <v>131</v>
      </c>
      <c r="L528" s="145" t="s">
        <v>132</v>
      </c>
      <c r="M528" s="145" t="s">
        <v>133</v>
      </c>
      <c r="N528" s="145" t="s">
        <v>134</v>
      </c>
    </row>
    <row r="529" spans="2:14" ht="15.75" thickTop="1">
      <c r="B529" s="209" t="str">
        <f>Optimalisatie!B6</f>
        <v xml:space="preserve">121110 - Opbreken trottoirband </v>
      </c>
      <c r="C529" s="51" t="str">
        <f>Optimalisatie!F6</f>
        <v>Trottoirband 130/150x250</v>
      </c>
      <c r="D529" s="93">
        <f>(IF(Optimalisatie!C6="Nieuwe Situatie",(Optimalisatie!U6),0)*Optimalisatie!R6)</f>
        <v>0</v>
      </c>
      <c r="E529" s="98">
        <f>(IF(Optimalisatie!C6="Bestaande Situatie",(Optimalisatie!AE6),0)*Optimalisatie!R6)</f>
        <v>5369.91</v>
      </c>
      <c r="F529" s="94" t="str">
        <f>_xlfn.IFNA(VLOOKUP(Optimalisatie!V6,Database_Transport[],60,FALSE),"Nee")</f>
        <v>Nee</v>
      </c>
      <c r="G529" s="94" t="str">
        <f>_xlfn.IFNA(VLOOKUP(Optimalisatie!AF6,Database_Transport[],60,FALSE),"Nee")</f>
        <v>Nee</v>
      </c>
      <c r="H529" s="133">
        <f>IF(Inschrijf_Transport_Totaal[[#This Row],[Emissieloos Transport naar bouwplaats?]]="JA",Inschrijf_Transport_Totaal[[#This Row],[Transport naar bouwplaats '[tkm']]],0)+IF(Inschrijf_Transport_Totaal[[#This Row],[Emissieloos Transport naar verwerker?]]="JA",Inschrijf_Transport_Totaal[[#This Row],[Transport naar verwerker '[tkm']]],0)</f>
        <v>0</v>
      </c>
      <c r="I529" s="133">
        <f>(IF(Optimalisatie!C6="Nieuwe Situatie",(Optimalisatie!U6),0)*Optimalisatie!R6)*Optimalisatie!T6</f>
        <v>0</v>
      </c>
      <c r="J529" s="133">
        <f>(IF(Optimalisatie!C6="Nieuwe Situatie",(Optimalisatie!AE6),(Optimalisatie!AE6))*Optimalisatie!R6)*Optimalisatie!T6</f>
        <v>0</v>
      </c>
      <c r="K529" s="133">
        <f>IF(Inschrijf_Transport_Totaal[[#This Row],[Emissieloos Transport naar bouwplaats?]]="JA",Inschrijf_Transport_Totaal[[#This Row],[Transport naar bouwplaats Vervangingen '[tkm']]],0)+IF(Inschrijf_Transport_Totaal[[#This Row],[Emissieloos Transport naar verwerker?]]="JA",Inschrijf_Transport_Totaal[[#This Row],[Transport naar verwerker Vervangingen '[tkm']]],0)</f>
        <v>0</v>
      </c>
      <c r="L529" s="133">
        <f>Inschrijf_Transport_Totaal[[#This Row],[Emissieloos Transport]]+Inschrijf_Transport_Totaal[[#This Row],[Emissieloos Transport Vervangingen]]</f>
        <v>0</v>
      </c>
      <c r="M529" s="133">
        <f>(Inschrijf_Transport_Totaal[[#This Row],[Transport naar bouwplaats '[tkm']]]+Inschrijf_Transport_Totaal[[#This Row],[Transport naar verwerker '[tkm']]]+Inschrijf_Transport_Totaal[[#This Row],[Transport naar bouwplaats Vervangingen '[tkm']]]+Inschrijf_Transport_Totaal[[#This Row],[Transport naar verwerker Vervangingen '[tkm']]])-Inschrijf_Transport_Totaal[[#This Row],[Totaal Emissieloos Transport]]</f>
        <v>5369.91</v>
      </c>
      <c r="N529" s="133">
        <f>Inschrijf_Transport_Totaal[[#This Row],[Totaal Emissieloos Transport]]+Inschrijf_Transport_Totaal[[#This Row],[Totaal Niet Emissieloos Transport]]</f>
        <v>5369.91</v>
      </c>
    </row>
    <row r="530" spans="2:14">
      <c r="B530" s="209" t="str">
        <f>Optimalisatie!B7</f>
        <v>121120 - Opbreken RWS band</v>
      </c>
      <c r="C530" s="51" t="str">
        <f>Optimalisatie!F7</f>
        <v>RWSband 115/225x250</v>
      </c>
      <c r="D530" s="93">
        <f>(IF(Optimalisatie!C7="Nieuwe Situatie",(Optimalisatie!U7),0)*Optimalisatie!R7)</f>
        <v>0</v>
      </c>
      <c r="E530" s="98">
        <f>(IF(Optimalisatie!C7="Bestaande Situatie",(Optimalisatie!AE7),0)*Optimalisatie!R7)</f>
        <v>846.20999999999992</v>
      </c>
      <c r="F530" s="94" t="str">
        <f>_xlfn.IFNA(VLOOKUP(Optimalisatie!V7,Database_Transport[],60,FALSE),"Nee")</f>
        <v>Nee</v>
      </c>
      <c r="G530" s="94" t="str">
        <f>_xlfn.IFNA(VLOOKUP(Optimalisatie!AF7,Database_Transport[],60,FALSE),"Nee")</f>
        <v>Nee</v>
      </c>
      <c r="H530" s="133">
        <f>IF(Inschrijf_Transport_Totaal[[#This Row],[Emissieloos Transport naar bouwplaats?]]="JA",Inschrijf_Transport_Totaal[[#This Row],[Transport naar bouwplaats '[tkm']]],0)+IF(Inschrijf_Transport_Totaal[[#This Row],[Emissieloos Transport naar verwerker?]]="JA",Inschrijf_Transport_Totaal[[#This Row],[Transport naar verwerker '[tkm']]],0)</f>
        <v>0</v>
      </c>
      <c r="I530" s="133">
        <f>(IF(Optimalisatie!C7="Nieuwe Situatie",(Optimalisatie!U7),0)*Optimalisatie!R7)*Optimalisatie!T7</f>
        <v>0</v>
      </c>
      <c r="J530" s="133">
        <f>(IF(Optimalisatie!C7="Nieuwe Situatie",(Optimalisatie!AE7),(Optimalisatie!AE7))*Optimalisatie!R7)*Optimalisatie!T7</f>
        <v>0</v>
      </c>
      <c r="K530" s="133">
        <f>IF(Inschrijf_Transport_Totaal[[#This Row],[Emissieloos Transport naar bouwplaats?]]="JA",Inschrijf_Transport_Totaal[[#This Row],[Transport naar bouwplaats Vervangingen '[tkm']]],0)+IF(Inschrijf_Transport_Totaal[[#This Row],[Emissieloos Transport naar verwerker?]]="JA",Inschrijf_Transport_Totaal[[#This Row],[Transport naar verwerker Vervangingen '[tkm']]],0)</f>
        <v>0</v>
      </c>
      <c r="L530" s="133">
        <f>Inschrijf_Transport_Totaal[[#This Row],[Emissieloos Transport]]+Inschrijf_Transport_Totaal[[#This Row],[Emissieloos Transport Vervangingen]]</f>
        <v>0</v>
      </c>
      <c r="M530" s="133">
        <f>(Inschrijf_Transport_Totaal[[#This Row],[Transport naar bouwplaats '[tkm']]]+Inschrijf_Transport_Totaal[[#This Row],[Transport naar verwerker '[tkm']]]+Inschrijf_Transport_Totaal[[#This Row],[Transport naar bouwplaats Vervangingen '[tkm']]]+Inschrijf_Transport_Totaal[[#This Row],[Transport naar verwerker Vervangingen '[tkm']]])-Inschrijf_Transport_Totaal[[#This Row],[Totaal Emissieloos Transport]]</f>
        <v>846.20999999999992</v>
      </c>
      <c r="N530" s="133">
        <f>Inschrijf_Transport_Totaal[[#This Row],[Totaal Emissieloos Transport]]+Inschrijf_Transport_Totaal[[#This Row],[Totaal Niet Emissieloos Transport]]</f>
        <v>846.20999999999992</v>
      </c>
    </row>
    <row r="531" spans="2:14">
      <c r="B531" s="209" t="str">
        <f>Optimalisatie!B8</f>
        <v>121140 - Opbreken Opsluitband</v>
      </c>
      <c r="C531" s="51" t="str">
        <f>Optimalisatie!F8</f>
        <v>Opsluitband 100x200</v>
      </c>
      <c r="D531" s="93">
        <f>(IF(Optimalisatie!C8="Nieuwe Situatie",(Optimalisatie!U8),0)*Optimalisatie!R8)</f>
        <v>0</v>
      </c>
      <c r="E531" s="98">
        <f>(IF(Optimalisatie!C8="Bestaande Situatie",(Optimalisatie!AE8),0)*Optimalisatie!R8)</f>
        <v>1055.5999999999999</v>
      </c>
      <c r="F531" s="94" t="str">
        <f>_xlfn.IFNA(VLOOKUP(Optimalisatie!V8,Database_Transport[],60,FALSE),"Nee")</f>
        <v>Nee</v>
      </c>
      <c r="G531" s="94" t="str">
        <f>_xlfn.IFNA(VLOOKUP(Optimalisatie!AF8,Database_Transport[],60,FALSE),"Nee")</f>
        <v>Nee</v>
      </c>
      <c r="H531" s="133">
        <f>IF(Inschrijf_Transport_Totaal[[#This Row],[Emissieloos Transport naar bouwplaats?]]="JA",Inschrijf_Transport_Totaal[[#This Row],[Transport naar bouwplaats '[tkm']]],0)+IF(Inschrijf_Transport_Totaal[[#This Row],[Emissieloos Transport naar verwerker?]]="JA",Inschrijf_Transport_Totaal[[#This Row],[Transport naar verwerker '[tkm']]],0)</f>
        <v>0</v>
      </c>
      <c r="I531" s="133">
        <f>(IF(Optimalisatie!C8="Nieuwe Situatie",(Optimalisatie!U8),0)*Optimalisatie!R8)*Optimalisatie!T8</f>
        <v>0</v>
      </c>
      <c r="J531" s="133">
        <f>(IF(Optimalisatie!C8="Nieuwe Situatie",(Optimalisatie!AE8),(Optimalisatie!AE8))*Optimalisatie!R8)*Optimalisatie!T8</f>
        <v>0</v>
      </c>
      <c r="K531" s="133">
        <f>IF(Inschrijf_Transport_Totaal[[#This Row],[Emissieloos Transport naar bouwplaats?]]="JA",Inschrijf_Transport_Totaal[[#This Row],[Transport naar bouwplaats Vervangingen '[tkm']]],0)+IF(Inschrijf_Transport_Totaal[[#This Row],[Emissieloos Transport naar verwerker?]]="JA",Inschrijf_Transport_Totaal[[#This Row],[Transport naar verwerker Vervangingen '[tkm']]],0)</f>
        <v>0</v>
      </c>
      <c r="L531" s="133">
        <f>Inschrijf_Transport_Totaal[[#This Row],[Emissieloos Transport]]+Inschrijf_Transport_Totaal[[#This Row],[Emissieloos Transport Vervangingen]]</f>
        <v>0</v>
      </c>
      <c r="M531" s="133">
        <f>(Inschrijf_Transport_Totaal[[#This Row],[Transport naar bouwplaats '[tkm']]]+Inschrijf_Transport_Totaal[[#This Row],[Transport naar verwerker '[tkm']]]+Inschrijf_Transport_Totaal[[#This Row],[Transport naar bouwplaats Vervangingen '[tkm']]]+Inschrijf_Transport_Totaal[[#This Row],[Transport naar verwerker Vervangingen '[tkm']]])-Inschrijf_Transport_Totaal[[#This Row],[Totaal Emissieloos Transport]]</f>
        <v>1055.5999999999999</v>
      </c>
      <c r="N531" s="133">
        <f>Inschrijf_Transport_Totaal[[#This Row],[Totaal Emissieloos Transport]]+Inschrijf_Transport_Totaal[[#This Row],[Totaal Niet Emissieloos Transport]]</f>
        <v>1055.5999999999999</v>
      </c>
    </row>
    <row r="532" spans="2:14">
      <c r="B532" s="209" t="str">
        <f>Optimalisatie!B9</f>
        <v>121310 - Opbreken betonstraatstenen</v>
      </c>
      <c r="C532" s="51" t="str">
        <f>Optimalisatie!F9</f>
        <v>Betonstraatsteen 210x105x80</v>
      </c>
      <c r="D532" s="93">
        <f>(IF(Optimalisatie!C9="Nieuwe Situatie",(Optimalisatie!U9),0)*Optimalisatie!R9)</f>
        <v>0</v>
      </c>
      <c r="E532" s="98">
        <f>(IF(Optimalisatie!C9="Bestaande Situatie",(Optimalisatie!AE9),0)*Optimalisatie!R9)</f>
        <v>5747.2000000000007</v>
      </c>
      <c r="F532" s="94" t="str">
        <f>_xlfn.IFNA(VLOOKUP(Optimalisatie!V9,Database_Transport[],60,FALSE),"Nee")</f>
        <v>Nee</v>
      </c>
      <c r="G532" s="94" t="str">
        <f>_xlfn.IFNA(VLOOKUP(Optimalisatie!AF9,Database_Transport[],60,FALSE),"Nee")</f>
        <v>Nee</v>
      </c>
      <c r="H532" s="133">
        <f>IF(Inschrijf_Transport_Totaal[[#This Row],[Emissieloos Transport naar bouwplaats?]]="JA",Inschrijf_Transport_Totaal[[#This Row],[Transport naar bouwplaats '[tkm']]],0)+IF(Inschrijf_Transport_Totaal[[#This Row],[Emissieloos Transport naar verwerker?]]="JA",Inschrijf_Transport_Totaal[[#This Row],[Transport naar verwerker '[tkm']]],0)</f>
        <v>0</v>
      </c>
      <c r="I532" s="133">
        <f>(IF(Optimalisatie!C9="Nieuwe Situatie",(Optimalisatie!U9),0)*Optimalisatie!R9)*Optimalisatie!T9</f>
        <v>0</v>
      </c>
      <c r="J532" s="133">
        <f>(IF(Optimalisatie!C9="Nieuwe Situatie",(Optimalisatie!AE9),(Optimalisatie!AE9))*Optimalisatie!R9)*Optimalisatie!T9</f>
        <v>0</v>
      </c>
      <c r="K532" s="133">
        <f>IF(Inschrijf_Transport_Totaal[[#This Row],[Emissieloos Transport naar bouwplaats?]]="JA",Inschrijf_Transport_Totaal[[#This Row],[Transport naar bouwplaats Vervangingen '[tkm']]],0)+IF(Inschrijf_Transport_Totaal[[#This Row],[Emissieloos Transport naar verwerker?]]="JA",Inschrijf_Transport_Totaal[[#This Row],[Transport naar verwerker Vervangingen '[tkm']]],0)</f>
        <v>0</v>
      </c>
      <c r="L532" s="133">
        <f>Inschrijf_Transport_Totaal[[#This Row],[Emissieloos Transport]]+Inschrijf_Transport_Totaal[[#This Row],[Emissieloos Transport Vervangingen]]</f>
        <v>0</v>
      </c>
      <c r="M532" s="133">
        <f>(Inschrijf_Transport_Totaal[[#This Row],[Transport naar bouwplaats '[tkm']]]+Inschrijf_Transport_Totaal[[#This Row],[Transport naar verwerker '[tkm']]]+Inschrijf_Transport_Totaal[[#This Row],[Transport naar bouwplaats Vervangingen '[tkm']]]+Inschrijf_Transport_Totaal[[#This Row],[Transport naar verwerker Vervangingen '[tkm']]])-Inschrijf_Transport_Totaal[[#This Row],[Totaal Emissieloos Transport]]</f>
        <v>5747.2000000000007</v>
      </c>
      <c r="N532" s="133">
        <f>Inschrijf_Transport_Totaal[[#This Row],[Totaal Emissieloos Transport]]+Inschrijf_Transport_Totaal[[#This Row],[Totaal Niet Emissieloos Transport]]</f>
        <v>5747.2000000000007</v>
      </c>
    </row>
    <row r="533" spans="2:14">
      <c r="B533" s="209" t="str">
        <f>Optimalisatie!B10</f>
        <v>121320 - Opbreken straatbakstenen en geschikt maken voor hergebruik</v>
      </c>
      <c r="C533" s="51" t="str">
        <f>Optimalisatie!F10</f>
        <v>Gebakken klinker keiformaat</v>
      </c>
      <c r="D533" s="93">
        <f>(IF(Optimalisatie!C10="Nieuwe Situatie",(Optimalisatie!U10),0)*Optimalisatie!R10)</f>
        <v>0</v>
      </c>
      <c r="E533" s="98">
        <f>(IF(Optimalisatie!C10="Bestaande Situatie",(Optimalisatie!AE10),0)*Optimalisatie!R10)</f>
        <v>24300.5</v>
      </c>
      <c r="F533" s="94" t="str">
        <f>_xlfn.IFNA(VLOOKUP(Optimalisatie!V10,Database_Transport[],60,FALSE),"Nee")</f>
        <v>Nee</v>
      </c>
      <c r="G533" s="94" t="str">
        <f>_xlfn.IFNA(VLOOKUP(Optimalisatie!AF10,Database_Transport[],60,FALSE),"Nee")</f>
        <v>Nee</v>
      </c>
      <c r="H533" s="133">
        <f>IF(Inschrijf_Transport_Totaal[[#This Row],[Emissieloos Transport naar bouwplaats?]]="JA",Inschrijf_Transport_Totaal[[#This Row],[Transport naar bouwplaats '[tkm']]],0)+IF(Inschrijf_Transport_Totaal[[#This Row],[Emissieloos Transport naar verwerker?]]="JA",Inschrijf_Transport_Totaal[[#This Row],[Transport naar verwerker '[tkm']]],0)</f>
        <v>0</v>
      </c>
      <c r="I533" s="133">
        <f>(IF(Optimalisatie!C10="Nieuwe Situatie",(Optimalisatie!U10),0)*Optimalisatie!R10)*Optimalisatie!T10</f>
        <v>0</v>
      </c>
      <c r="J533" s="133">
        <f>(IF(Optimalisatie!C10="Nieuwe Situatie",(Optimalisatie!AE10),(Optimalisatie!AE10))*Optimalisatie!R10)*Optimalisatie!T10</f>
        <v>0</v>
      </c>
      <c r="K533" s="133">
        <f>IF(Inschrijf_Transport_Totaal[[#This Row],[Emissieloos Transport naar bouwplaats?]]="JA",Inschrijf_Transport_Totaal[[#This Row],[Transport naar bouwplaats Vervangingen '[tkm']]],0)+IF(Inschrijf_Transport_Totaal[[#This Row],[Emissieloos Transport naar verwerker?]]="JA",Inschrijf_Transport_Totaal[[#This Row],[Transport naar verwerker Vervangingen '[tkm']]],0)</f>
        <v>0</v>
      </c>
      <c r="L533" s="133">
        <f>Inschrijf_Transport_Totaal[[#This Row],[Emissieloos Transport]]+Inschrijf_Transport_Totaal[[#This Row],[Emissieloos Transport Vervangingen]]</f>
        <v>0</v>
      </c>
      <c r="M533" s="133">
        <f>(Inschrijf_Transport_Totaal[[#This Row],[Transport naar bouwplaats '[tkm']]]+Inschrijf_Transport_Totaal[[#This Row],[Transport naar verwerker '[tkm']]]+Inschrijf_Transport_Totaal[[#This Row],[Transport naar bouwplaats Vervangingen '[tkm']]]+Inschrijf_Transport_Totaal[[#This Row],[Transport naar verwerker Vervangingen '[tkm']]])-Inschrijf_Transport_Totaal[[#This Row],[Totaal Emissieloos Transport]]</f>
        <v>24300.5</v>
      </c>
      <c r="N533" s="133">
        <f>Inschrijf_Transport_Totaal[[#This Row],[Totaal Emissieloos Transport]]+Inschrijf_Transport_Totaal[[#This Row],[Totaal Niet Emissieloos Transport]]</f>
        <v>24300.5</v>
      </c>
    </row>
    <row r="534" spans="2:14">
      <c r="B534" s="209" t="str">
        <f>Optimalisatie!B11</f>
        <v>121330 - Opbreken en afvoeren straatbakstenen</v>
      </c>
      <c r="C534" s="51" t="str">
        <f>Optimalisatie!F11</f>
        <v>Gebakken klinker keiformaat (hergebruik)</v>
      </c>
      <c r="D534" s="93">
        <f>(IF(Optimalisatie!C11="Nieuwe Situatie",(Optimalisatie!U11),0)*Optimalisatie!R11)</f>
        <v>0</v>
      </c>
      <c r="E534" s="98">
        <f>(IF(Optimalisatie!C11="Bestaande Situatie",(Optimalisatie!AE11),0)*Optimalisatie!R11)</f>
        <v>12366.400000000001</v>
      </c>
      <c r="F534" s="94" t="str">
        <f>_xlfn.IFNA(VLOOKUP(Optimalisatie!V11,Database_Transport[],60,FALSE),"Nee")</f>
        <v>Nee</v>
      </c>
      <c r="G534" s="94" t="str">
        <f>_xlfn.IFNA(VLOOKUP(Optimalisatie!AF11,Database_Transport[],60,FALSE),"Nee")</f>
        <v>Nee</v>
      </c>
      <c r="H534" s="133">
        <f>IF(Inschrijf_Transport_Totaal[[#This Row],[Emissieloos Transport naar bouwplaats?]]="JA",Inschrijf_Transport_Totaal[[#This Row],[Transport naar bouwplaats '[tkm']]],0)+IF(Inschrijf_Transport_Totaal[[#This Row],[Emissieloos Transport naar verwerker?]]="JA",Inschrijf_Transport_Totaal[[#This Row],[Transport naar verwerker '[tkm']]],0)</f>
        <v>0</v>
      </c>
      <c r="I534" s="133">
        <f>(IF(Optimalisatie!C11="Nieuwe Situatie",(Optimalisatie!U11),0)*Optimalisatie!R11)*Optimalisatie!T11</f>
        <v>0</v>
      </c>
      <c r="J534" s="133">
        <f>(IF(Optimalisatie!C11="Nieuwe Situatie",(Optimalisatie!AE11),(Optimalisatie!AE11))*Optimalisatie!R11)*Optimalisatie!T11</f>
        <v>0</v>
      </c>
      <c r="K534" s="133">
        <f>IF(Inschrijf_Transport_Totaal[[#This Row],[Emissieloos Transport naar bouwplaats?]]="JA",Inschrijf_Transport_Totaal[[#This Row],[Transport naar bouwplaats Vervangingen '[tkm']]],0)+IF(Inschrijf_Transport_Totaal[[#This Row],[Emissieloos Transport naar verwerker?]]="JA",Inschrijf_Transport_Totaal[[#This Row],[Transport naar verwerker Vervangingen '[tkm']]],0)</f>
        <v>0</v>
      </c>
      <c r="L534" s="133">
        <f>Inschrijf_Transport_Totaal[[#This Row],[Emissieloos Transport]]+Inschrijf_Transport_Totaal[[#This Row],[Emissieloos Transport Vervangingen]]</f>
        <v>0</v>
      </c>
      <c r="M534" s="133">
        <f>(Inschrijf_Transport_Totaal[[#This Row],[Transport naar bouwplaats '[tkm']]]+Inschrijf_Transport_Totaal[[#This Row],[Transport naar verwerker '[tkm']]]+Inschrijf_Transport_Totaal[[#This Row],[Transport naar bouwplaats Vervangingen '[tkm']]]+Inschrijf_Transport_Totaal[[#This Row],[Transport naar verwerker Vervangingen '[tkm']]])-Inschrijf_Transport_Totaal[[#This Row],[Totaal Emissieloos Transport]]</f>
        <v>12366.400000000001</v>
      </c>
      <c r="N534" s="133">
        <f>Inschrijf_Transport_Totaal[[#This Row],[Totaal Emissieloos Transport]]+Inschrijf_Transport_Totaal[[#This Row],[Totaal Niet Emissieloos Transport]]</f>
        <v>12366.400000000001</v>
      </c>
    </row>
    <row r="535" spans="2:14">
      <c r="B535" s="209" t="str">
        <f>Optimalisatie!B12</f>
        <v>121340 - Opbreken betontegels 300x300x45mm</v>
      </c>
      <c r="C535" s="51" t="str">
        <f>Optimalisatie!F12</f>
        <v>Betontegel 300x300x45</v>
      </c>
      <c r="D535" s="93">
        <f>(IF(Optimalisatie!C12="Nieuwe Situatie",(Optimalisatie!U12),0)*Optimalisatie!R12)</f>
        <v>0</v>
      </c>
      <c r="E535" s="98">
        <f>(IF(Optimalisatie!C12="Bestaande Situatie",(Optimalisatie!AE12),0)*Optimalisatie!R12)</f>
        <v>20931.349999999999</v>
      </c>
      <c r="F535" s="94" t="str">
        <f>_xlfn.IFNA(VLOOKUP(Optimalisatie!V12,Database_Transport[],60,FALSE),"Nee")</f>
        <v>Nee</v>
      </c>
      <c r="G535" s="94" t="str">
        <f>_xlfn.IFNA(VLOOKUP(Optimalisatie!AF12,Database_Transport[],60,FALSE),"Nee")</f>
        <v>Nee</v>
      </c>
      <c r="H535" s="133">
        <f>IF(Inschrijf_Transport_Totaal[[#This Row],[Emissieloos Transport naar bouwplaats?]]="JA",Inschrijf_Transport_Totaal[[#This Row],[Transport naar bouwplaats '[tkm']]],0)+IF(Inschrijf_Transport_Totaal[[#This Row],[Emissieloos Transport naar verwerker?]]="JA",Inschrijf_Transport_Totaal[[#This Row],[Transport naar verwerker '[tkm']]],0)</f>
        <v>0</v>
      </c>
      <c r="I535" s="133">
        <f>(IF(Optimalisatie!C12="Nieuwe Situatie",(Optimalisatie!U12),0)*Optimalisatie!R12)*Optimalisatie!T12</f>
        <v>0</v>
      </c>
      <c r="J535" s="133">
        <f>(IF(Optimalisatie!C12="Nieuwe Situatie",(Optimalisatie!AE12),(Optimalisatie!AE12))*Optimalisatie!R12)*Optimalisatie!T12</f>
        <v>0</v>
      </c>
      <c r="K535" s="133">
        <f>IF(Inschrijf_Transport_Totaal[[#This Row],[Emissieloos Transport naar bouwplaats?]]="JA",Inschrijf_Transport_Totaal[[#This Row],[Transport naar bouwplaats Vervangingen '[tkm']]],0)+IF(Inschrijf_Transport_Totaal[[#This Row],[Emissieloos Transport naar verwerker?]]="JA",Inschrijf_Transport_Totaal[[#This Row],[Transport naar verwerker Vervangingen '[tkm']]],0)</f>
        <v>0</v>
      </c>
      <c r="L535" s="133">
        <f>Inschrijf_Transport_Totaal[[#This Row],[Emissieloos Transport]]+Inschrijf_Transport_Totaal[[#This Row],[Emissieloos Transport Vervangingen]]</f>
        <v>0</v>
      </c>
      <c r="M535" s="133">
        <f>(Inschrijf_Transport_Totaal[[#This Row],[Transport naar bouwplaats '[tkm']]]+Inschrijf_Transport_Totaal[[#This Row],[Transport naar verwerker '[tkm']]]+Inschrijf_Transport_Totaal[[#This Row],[Transport naar bouwplaats Vervangingen '[tkm']]]+Inschrijf_Transport_Totaal[[#This Row],[Transport naar verwerker Vervangingen '[tkm']]])-Inschrijf_Transport_Totaal[[#This Row],[Totaal Emissieloos Transport]]</f>
        <v>20931.349999999999</v>
      </c>
      <c r="N535" s="133">
        <f>Inschrijf_Transport_Totaal[[#This Row],[Totaal Emissieloos Transport]]+Inschrijf_Transport_Totaal[[#This Row],[Totaal Niet Emissieloos Transport]]</f>
        <v>20931.349999999999</v>
      </c>
    </row>
    <row r="536" spans="2:14">
      <c r="B536" s="209" t="str">
        <f>Optimalisatie!B13</f>
        <v>121410 - Opbreken en afvoeren asfaltverharding zwart teervrij</v>
      </c>
      <c r="C536" s="51" t="str">
        <f>Optimalisatie!F13</f>
        <v>AC bin/base 50% PR - PCR 2.0</v>
      </c>
      <c r="D536" s="93">
        <f>(IF(Optimalisatie!C13="Nieuwe Situatie",(Optimalisatie!U13),0)*Optimalisatie!R13)</f>
        <v>0</v>
      </c>
      <c r="E536" s="98">
        <f>(IF(Optimalisatie!C13="Bestaande Situatie",(Optimalisatie!AE13),0)*Optimalisatie!R13)</f>
        <v>52500</v>
      </c>
      <c r="F536" s="94" t="str">
        <f>_xlfn.IFNA(VLOOKUP(Optimalisatie!V13,Database_Transport[],60,FALSE),"Nee")</f>
        <v>Nee</v>
      </c>
      <c r="G536" s="94" t="str">
        <f>_xlfn.IFNA(VLOOKUP(Optimalisatie!AF13,Database_Transport[],60,FALSE),"Nee")</f>
        <v>Nee</v>
      </c>
      <c r="H536" s="133">
        <f>IF(Inschrijf_Transport_Totaal[[#This Row],[Emissieloos Transport naar bouwplaats?]]="JA",Inschrijf_Transport_Totaal[[#This Row],[Transport naar bouwplaats '[tkm']]],0)+IF(Inschrijf_Transport_Totaal[[#This Row],[Emissieloos Transport naar verwerker?]]="JA",Inschrijf_Transport_Totaal[[#This Row],[Transport naar verwerker '[tkm']]],0)</f>
        <v>0</v>
      </c>
      <c r="I536" s="133">
        <f>(IF(Optimalisatie!C13="Nieuwe Situatie",(Optimalisatie!U13),0)*Optimalisatie!R13)*Optimalisatie!T13</f>
        <v>0</v>
      </c>
      <c r="J536" s="133">
        <f>(IF(Optimalisatie!C13="Nieuwe Situatie",(Optimalisatie!AE13),(Optimalisatie!AE13))*Optimalisatie!R13)*Optimalisatie!T13</f>
        <v>0</v>
      </c>
      <c r="K536" s="133">
        <f>IF(Inschrijf_Transport_Totaal[[#This Row],[Emissieloos Transport naar bouwplaats?]]="JA",Inschrijf_Transport_Totaal[[#This Row],[Transport naar bouwplaats Vervangingen '[tkm']]],0)+IF(Inschrijf_Transport_Totaal[[#This Row],[Emissieloos Transport naar verwerker?]]="JA",Inschrijf_Transport_Totaal[[#This Row],[Transport naar verwerker Vervangingen '[tkm']]],0)</f>
        <v>0</v>
      </c>
      <c r="L536" s="133">
        <f>Inschrijf_Transport_Totaal[[#This Row],[Emissieloos Transport]]+Inschrijf_Transport_Totaal[[#This Row],[Emissieloos Transport Vervangingen]]</f>
        <v>0</v>
      </c>
      <c r="M536" s="133">
        <f>(Inschrijf_Transport_Totaal[[#This Row],[Transport naar bouwplaats '[tkm']]]+Inschrijf_Transport_Totaal[[#This Row],[Transport naar verwerker '[tkm']]]+Inschrijf_Transport_Totaal[[#This Row],[Transport naar bouwplaats Vervangingen '[tkm']]]+Inschrijf_Transport_Totaal[[#This Row],[Transport naar verwerker Vervangingen '[tkm']]])-Inschrijf_Transport_Totaal[[#This Row],[Totaal Emissieloos Transport]]</f>
        <v>52500</v>
      </c>
      <c r="N536" s="133">
        <f>Inschrijf_Transport_Totaal[[#This Row],[Totaal Emissieloos Transport]]+Inschrijf_Transport_Totaal[[#This Row],[Totaal Niet Emissieloos Transport]]</f>
        <v>52500</v>
      </c>
    </row>
    <row r="537" spans="2:14">
      <c r="B537" s="209" t="str">
        <f>Optimalisatie!B14</f>
        <v>121420 - Opbreken en afvoeren asfaltverharding rood teervrij</v>
      </c>
      <c r="C537" s="51" t="str">
        <f>Optimalisatie!F14</f>
        <v>AC surf rood, met penbitumen - PCR 2.0</v>
      </c>
      <c r="D537" s="93">
        <f>(IF(Optimalisatie!C14="Nieuwe Situatie",(Optimalisatie!U14),0)*Optimalisatie!R14)</f>
        <v>0</v>
      </c>
      <c r="E537" s="98">
        <f>(IF(Optimalisatie!C14="Bestaande Situatie",(Optimalisatie!AE14),0)*Optimalisatie!R14)</f>
        <v>36000</v>
      </c>
      <c r="F537" s="94" t="str">
        <f>_xlfn.IFNA(VLOOKUP(Optimalisatie!V14,Database_Transport[],60,FALSE),"Nee")</f>
        <v>Nee</v>
      </c>
      <c r="G537" s="94" t="str">
        <f>_xlfn.IFNA(VLOOKUP(Optimalisatie!AF14,Database_Transport[],60,FALSE),"Nee")</f>
        <v>Nee</v>
      </c>
      <c r="H537" s="133">
        <f>IF(Inschrijf_Transport_Totaal[[#This Row],[Emissieloos Transport naar bouwplaats?]]="JA",Inschrijf_Transport_Totaal[[#This Row],[Transport naar bouwplaats '[tkm']]],0)+IF(Inschrijf_Transport_Totaal[[#This Row],[Emissieloos Transport naar verwerker?]]="JA",Inschrijf_Transport_Totaal[[#This Row],[Transport naar verwerker '[tkm']]],0)</f>
        <v>0</v>
      </c>
      <c r="I537" s="133">
        <f>(IF(Optimalisatie!C14="Nieuwe Situatie",(Optimalisatie!U14),0)*Optimalisatie!R14)*Optimalisatie!T14</f>
        <v>0</v>
      </c>
      <c r="J537" s="133">
        <f>(IF(Optimalisatie!C14="Nieuwe Situatie",(Optimalisatie!AE14),(Optimalisatie!AE14))*Optimalisatie!R14)*Optimalisatie!T14</f>
        <v>0</v>
      </c>
      <c r="K537" s="133">
        <f>IF(Inschrijf_Transport_Totaal[[#This Row],[Emissieloos Transport naar bouwplaats?]]="JA",Inschrijf_Transport_Totaal[[#This Row],[Transport naar bouwplaats Vervangingen '[tkm']]],0)+IF(Inschrijf_Transport_Totaal[[#This Row],[Emissieloos Transport naar verwerker?]]="JA",Inschrijf_Transport_Totaal[[#This Row],[Transport naar verwerker Vervangingen '[tkm']]],0)</f>
        <v>0</v>
      </c>
      <c r="L537" s="133">
        <f>Inschrijf_Transport_Totaal[[#This Row],[Emissieloos Transport]]+Inschrijf_Transport_Totaal[[#This Row],[Emissieloos Transport Vervangingen]]</f>
        <v>0</v>
      </c>
      <c r="M537" s="133">
        <f>(Inschrijf_Transport_Totaal[[#This Row],[Transport naar bouwplaats '[tkm']]]+Inschrijf_Transport_Totaal[[#This Row],[Transport naar verwerker '[tkm']]]+Inschrijf_Transport_Totaal[[#This Row],[Transport naar bouwplaats Vervangingen '[tkm']]]+Inschrijf_Transport_Totaal[[#This Row],[Transport naar verwerker Vervangingen '[tkm']]])-Inschrijf_Transport_Totaal[[#This Row],[Totaal Emissieloos Transport]]</f>
        <v>36000</v>
      </c>
      <c r="N537" s="133">
        <f>Inschrijf_Transport_Totaal[[#This Row],[Totaal Emissieloos Transport]]+Inschrijf_Transport_Totaal[[#This Row],[Totaal Niet Emissieloos Transport]]</f>
        <v>36000</v>
      </c>
    </row>
    <row r="538" spans="2:14">
      <c r="B538" s="209" t="str">
        <f>Optimalisatie!B15</f>
        <v>121510 - Opbreken fundering van menggranulaat, 400-200 mm dik</v>
      </c>
      <c r="C538" s="51" t="str">
        <f>Optimalisatie!F15</f>
        <v>Menggranulaat 300mm</v>
      </c>
      <c r="D538" s="93">
        <f>(IF(Optimalisatie!C15="Nieuwe Situatie",(Optimalisatie!U15),0)*Optimalisatie!R15)</f>
        <v>0</v>
      </c>
      <c r="E538" s="98">
        <f>(IF(Optimalisatie!C15="Bestaande Situatie",(Optimalisatie!AE15),0)*Optimalisatie!R15)</f>
        <v>44850</v>
      </c>
      <c r="F538" s="94" t="str">
        <f>_xlfn.IFNA(VLOOKUP(Optimalisatie!V15,Database_Transport[],60,FALSE),"Nee")</f>
        <v>Nee</v>
      </c>
      <c r="G538" s="94" t="str">
        <f>_xlfn.IFNA(VLOOKUP(Optimalisatie!AF15,Database_Transport[],60,FALSE),"Nee")</f>
        <v>Nee</v>
      </c>
      <c r="H538" s="133">
        <f>IF(Inschrijf_Transport_Totaal[[#This Row],[Emissieloos Transport naar bouwplaats?]]="JA",Inschrijf_Transport_Totaal[[#This Row],[Transport naar bouwplaats '[tkm']]],0)+IF(Inschrijf_Transport_Totaal[[#This Row],[Emissieloos Transport naar verwerker?]]="JA",Inschrijf_Transport_Totaal[[#This Row],[Transport naar verwerker '[tkm']]],0)</f>
        <v>0</v>
      </c>
      <c r="I538" s="133">
        <f>(IF(Optimalisatie!C15="Nieuwe Situatie",(Optimalisatie!U15),0)*Optimalisatie!R15)*Optimalisatie!T15</f>
        <v>0</v>
      </c>
      <c r="J538" s="133">
        <f>(IF(Optimalisatie!C15="Nieuwe Situatie",(Optimalisatie!AE15),(Optimalisatie!AE15))*Optimalisatie!R15)*Optimalisatie!T15</f>
        <v>0</v>
      </c>
      <c r="K538" s="133">
        <f>IF(Inschrijf_Transport_Totaal[[#This Row],[Emissieloos Transport naar bouwplaats?]]="JA",Inschrijf_Transport_Totaal[[#This Row],[Transport naar bouwplaats Vervangingen '[tkm']]],0)+IF(Inschrijf_Transport_Totaal[[#This Row],[Emissieloos Transport naar verwerker?]]="JA",Inschrijf_Transport_Totaal[[#This Row],[Transport naar verwerker Vervangingen '[tkm']]],0)</f>
        <v>0</v>
      </c>
      <c r="L538" s="133">
        <f>Inschrijf_Transport_Totaal[[#This Row],[Emissieloos Transport]]+Inschrijf_Transport_Totaal[[#This Row],[Emissieloos Transport Vervangingen]]</f>
        <v>0</v>
      </c>
      <c r="M538" s="133">
        <f>(Inschrijf_Transport_Totaal[[#This Row],[Transport naar bouwplaats '[tkm']]]+Inschrijf_Transport_Totaal[[#This Row],[Transport naar verwerker '[tkm']]]+Inschrijf_Transport_Totaal[[#This Row],[Transport naar bouwplaats Vervangingen '[tkm']]]+Inschrijf_Transport_Totaal[[#This Row],[Transport naar verwerker Vervangingen '[tkm']]])-Inschrijf_Transport_Totaal[[#This Row],[Totaal Emissieloos Transport]]</f>
        <v>44850</v>
      </c>
      <c r="N538" s="133">
        <f>Inschrijf_Transport_Totaal[[#This Row],[Totaal Emissieloos Transport]]+Inschrijf_Transport_Totaal[[#This Row],[Totaal Niet Emissieloos Transport]]</f>
        <v>44850</v>
      </c>
    </row>
    <row r="539" spans="2:14">
      <c r="B539" s="209" t="str">
        <f>Optimalisatie!B16</f>
        <v>121520 - Opbreken fundering van slakken 200-400 mm dik</v>
      </c>
      <c r="C539" s="51" t="str">
        <f>Optimalisatie!F16</f>
        <v>Fosforslakmengsel 200mm</v>
      </c>
      <c r="D539" s="93">
        <f>(IF(Optimalisatie!C16="Nieuwe Situatie",(Optimalisatie!U16),0)*Optimalisatie!R16)</f>
        <v>0</v>
      </c>
      <c r="E539" s="98">
        <f>(IF(Optimalisatie!C16="Bestaande Situatie",(Optimalisatie!AE16),0)*Optimalisatie!R16)</f>
        <v>19600.000000000004</v>
      </c>
      <c r="F539" s="94" t="str">
        <f>_xlfn.IFNA(VLOOKUP(Optimalisatie!V16,Database_Transport[],60,FALSE),"Nee")</f>
        <v>Nee</v>
      </c>
      <c r="G539" s="94" t="str">
        <f>_xlfn.IFNA(VLOOKUP(Optimalisatie!AF16,Database_Transport[],60,FALSE),"Nee")</f>
        <v>Nee</v>
      </c>
      <c r="H539" s="133">
        <f>IF(Inschrijf_Transport_Totaal[[#This Row],[Emissieloos Transport naar bouwplaats?]]="JA",Inschrijf_Transport_Totaal[[#This Row],[Transport naar bouwplaats '[tkm']]],0)+IF(Inschrijf_Transport_Totaal[[#This Row],[Emissieloos Transport naar verwerker?]]="JA",Inschrijf_Transport_Totaal[[#This Row],[Transport naar verwerker '[tkm']]],0)</f>
        <v>0</v>
      </c>
      <c r="I539" s="133">
        <f>(IF(Optimalisatie!C16="Nieuwe Situatie",(Optimalisatie!U16),0)*Optimalisatie!R16)*Optimalisatie!T16</f>
        <v>0</v>
      </c>
      <c r="J539" s="133">
        <f>(IF(Optimalisatie!C16="Nieuwe Situatie",(Optimalisatie!AE16),(Optimalisatie!AE16))*Optimalisatie!R16)*Optimalisatie!T16</f>
        <v>0</v>
      </c>
      <c r="K539" s="133">
        <f>IF(Inschrijf_Transport_Totaal[[#This Row],[Emissieloos Transport naar bouwplaats?]]="JA",Inschrijf_Transport_Totaal[[#This Row],[Transport naar bouwplaats Vervangingen '[tkm']]],0)+IF(Inschrijf_Transport_Totaal[[#This Row],[Emissieloos Transport naar verwerker?]]="JA",Inschrijf_Transport_Totaal[[#This Row],[Transport naar verwerker Vervangingen '[tkm']]],0)</f>
        <v>0</v>
      </c>
      <c r="L539" s="133">
        <f>Inschrijf_Transport_Totaal[[#This Row],[Emissieloos Transport]]+Inschrijf_Transport_Totaal[[#This Row],[Emissieloos Transport Vervangingen]]</f>
        <v>0</v>
      </c>
      <c r="M539" s="133">
        <f>(Inschrijf_Transport_Totaal[[#This Row],[Transport naar bouwplaats '[tkm']]]+Inschrijf_Transport_Totaal[[#This Row],[Transport naar verwerker '[tkm']]]+Inschrijf_Transport_Totaal[[#This Row],[Transport naar bouwplaats Vervangingen '[tkm']]]+Inschrijf_Transport_Totaal[[#This Row],[Transport naar verwerker Vervangingen '[tkm']]])-Inschrijf_Transport_Totaal[[#This Row],[Totaal Emissieloos Transport]]</f>
        <v>19600.000000000004</v>
      </c>
      <c r="N539" s="133">
        <f>Inschrijf_Transport_Totaal[[#This Row],[Totaal Emissieloos Transport]]+Inschrijf_Transport_Totaal[[#This Row],[Totaal Niet Emissieloos Transport]]</f>
        <v>19600.000000000004</v>
      </c>
    </row>
    <row r="540" spans="2:14">
      <c r="B540" s="209" t="str">
        <f>Optimalisatie!B17</f>
        <v>121310 - Verwijderen en afvoeren kolken, incl aansluitingen</v>
      </c>
      <c r="C540" s="51" t="str">
        <f>Optimalisatie!F17</f>
        <v>Kolk, Staal &amp; Beton</v>
      </c>
      <c r="D540" s="93">
        <f>(IF(Optimalisatie!C17="Nieuwe Situatie",(Optimalisatie!U17),0)*Optimalisatie!R17)</f>
        <v>0</v>
      </c>
      <c r="E540" s="98">
        <f>(IF(Optimalisatie!C17="Bestaande Situatie",(Optimalisatie!AE17),0)*Optimalisatie!R17)</f>
        <v>819.47360000000003</v>
      </c>
      <c r="F540" s="94" t="str">
        <f>_xlfn.IFNA(VLOOKUP(Optimalisatie!V17,Database_Transport[],60,FALSE),"Nee")</f>
        <v>Nee</v>
      </c>
      <c r="G540" s="94" t="str">
        <f>_xlfn.IFNA(VLOOKUP(Optimalisatie!AF17,Database_Transport[],60,FALSE),"Nee")</f>
        <v>Nee</v>
      </c>
      <c r="H540" s="133">
        <f>IF(Inschrijf_Transport_Totaal[[#This Row],[Emissieloos Transport naar bouwplaats?]]="JA",Inschrijf_Transport_Totaal[[#This Row],[Transport naar bouwplaats '[tkm']]],0)+IF(Inschrijf_Transport_Totaal[[#This Row],[Emissieloos Transport naar verwerker?]]="JA",Inschrijf_Transport_Totaal[[#This Row],[Transport naar verwerker '[tkm']]],0)</f>
        <v>0</v>
      </c>
      <c r="I540" s="133">
        <f>(IF(Optimalisatie!C17="Nieuwe Situatie",(Optimalisatie!U17),0)*Optimalisatie!R17)*Optimalisatie!T17</f>
        <v>0</v>
      </c>
      <c r="J540" s="133">
        <f>(IF(Optimalisatie!C17="Nieuwe Situatie",(Optimalisatie!AE17),(Optimalisatie!AE17))*Optimalisatie!R17)*Optimalisatie!T17</f>
        <v>0</v>
      </c>
      <c r="K540" s="133">
        <f>IF(Inschrijf_Transport_Totaal[[#This Row],[Emissieloos Transport naar bouwplaats?]]="JA",Inschrijf_Transport_Totaal[[#This Row],[Transport naar bouwplaats Vervangingen '[tkm']]],0)+IF(Inschrijf_Transport_Totaal[[#This Row],[Emissieloos Transport naar verwerker?]]="JA",Inschrijf_Transport_Totaal[[#This Row],[Transport naar verwerker Vervangingen '[tkm']]],0)</f>
        <v>0</v>
      </c>
      <c r="L540" s="133">
        <f>Inschrijf_Transport_Totaal[[#This Row],[Emissieloos Transport]]+Inschrijf_Transport_Totaal[[#This Row],[Emissieloos Transport Vervangingen]]</f>
        <v>0</v>
      </c>
      <c r="M540" s="133">
        <f>(Inschrijf_Transport_Totaal[[#This Row],[Transport naar bouwplaats '[tkm']]]+Inschrijf_Transport_Totaal[[#This Row],[Transport naar verwerker '[tkm']]]+Inschrijf_Transport_Totaal[[#This Row],[Transport naar bouwplaats Vervangingen '[tkm']]]+Inschrijf_Transport_Totaal[[#This Row],[Transport naar verwerker Vervangingen '[tkm']]])-Inschrijf_Transport_Totaal[[#This Row],[Totaal Emissieloos Transport]]</f>
        <v>819.47360000000003</v>
      </c>
      <c r="N540" s="133">
        <f>Inschrijf_Transport_Totaal[[#This Row],[Totaal Emissieloos Transport]]+Inschrijf_Transport_Totaal[[#This Row],[Totaal Niet Emissieloos Transport]]</f>
        <v>819.47360000000003</v>
      </c>
    </row>
    <row r="541" spans="2:14">
      <c r="B541" s="209" t="str">
        <f>Optimalisatie!B18</f>
        <v>210010 - Grond ontgraven uit cunet wegen en parkeervakken 0,25 m</v>
      </c>
      <c r="C541" s="51" t="str">
        <f>Optimalisatie!F18</f>
        <v>Ophoogmateriaal (Grond)</v>
      </c>
      <c r="D541" s="93">
        <f>(IF(Optimalisatie!C18="Nieuwe Situatie",(Optimalisatie!U18),0)*Optimalisatie!R18)</f>
        <v>0</v>
      </c>
      <c r="E541" s="98">
        <f>(IF(Optimalisatie!C18="Bestaande Situatie",(Optimalisatie!AE18),0)*Optimalisatie!R18)</f>
        <v>163150</v>
      </c>
      <c r="F541" s="94" t="str">
        <f>_xlfn.IFNA(VLOOKUP(Optimalisatie!V18,Database_Transport[],60,FALSE),"Nee")</f>
        <v>Nee</v>
      </c>
      <c r="G541" s="94" t="str">
        <f>_xlfn.IFNA(VLOOKUP(Optimalisatie!AF18,Database_Transport[],60,FALSE),"Nee")</f>
        <v>Nee</v>
      </c>
      <c r="H541" s="133">
        <f>IF(Inschrijf_Transport_Totaal[[#This Row],[Emissieloos Transport naar bouwplaats?]]="JA",Inschrijf_Transport_Totaal[[#This Row],[Transport naar bouwplaats '[tkm']]],0)+IF(Inschrijf_Transport_Totaal[[#This Row],[Emissieloos Transport naar verwerker?]]="JA",Inschrijf_Transport_Totaal[[#This Row],[Transport naar verwerker '[tkm']]],0)</f>
        <v>0</v>
      </c>
      <c r="I541" s="133">
        <f>(IF(Optimalisatie!C18="Nieuwe Situatie",(Optimalisatie!U18),0)*Optimalisatie!R18)*Optimalisatie!T18</f>
        <v>0</v>
      </c>
      <c r="J541" s="133">
        <f>(IF(Optimalisatie!C18="Nieuwe Situatie",(Optimalisatie!AE18),(Optimalisatie!AE18))*Optimalisatie!R18)*Optimalisatie!T18</f>
        <v>0</v>
      </c>
      <c r="K541" s="133">
        <f>IF(Inschrijf_Transport_Totaal[[#This Row],[Emissieloos Transport naar bouwplaats?]]="JA",Inschrijf_Transport_Totaal[[#This Row],[Transport naar bouwplaats Vervangingen '[tkm']]],0)+IF(Inschrijf_Transport_Totaal[[#This Row],[Emissieloos Transport naar verwerker?]]="JA",Inschrijf_Transport_Totaal[[#This Row],[Transport naar verwerker Vervangingen '[tkm']]],0)</f>
        <v>0</v>
      </c>
      <c r="L541" s="133">
        <f>Inschrijf_Transport_Totaal[[#This Row],[Emissieloos Transport]]+Inschrijf_Transport_Totaal[[#This Row],[Emissieloos Transport Vervangingen]]</f>
        <v>0</v>
      </c>
      <c r="M541" s="133">
        <f>(Inschrijf_Transport_Totaal[[#This Row],[Transport naar bouwplaats '[tkm']]]+Inschrijf_Transport_Totaal[[#This Row],[Transport naar verwerker '[tkm']]]+Inschrijf_Transport_Totaal[[#This Row],[Transport naar bouwplaats Vervangingen '[tkm']]]+Inschrijf_Transport_Totaal[[#This Row],[Transport naar verwerker Vervangingen '[tkm']]])-Inschrijf_Transport_Totaal[[#This Row],[Totaal Emissieloos Transport]]</f>
        <v>163150</v>
      </c>
      <c r="N541" s="133">
        <f>Inschrijf_Transport_Totaal[[#This Row],[Totaal Emissieloos Transport]]+Inschrijf_Transport_Totaal[[#This Row],[Totaal Niet Emissieloos Transport]]</f>
        <v>163150</v>
      </c>
    </row>
    <row r="542" spans="2:14">
      <c r="B542" s="209" t="str">
        <f>Optimalisatie!B19</f>
        <v>210020 - Grond ontgraven uit sleuf riolering (gerekend met 11,5m3/m1 riool)</v>
      </c>
      <c r="C542" s="51" t="str">
        <f>Optimalisatie!F19</f>
        <v>Ophoogmateriaal (Grond)</v>
      </c>
      <c r="D542" s="93">
        <f>(IF(Optimalisatie!C19="Nieuwe Situatie",(Optimalisatie!U19),0)*Optimalisatie!R19)</f>
        <v>0</v>
      </c>
      <c r="E542" s="98">
        <f>(IF(Optimalisatie!C19="Bestaande Situatie",(Optimalisatie!AE19),0)*Optimalisatie!R19)</f>
        <v>153562.5</v>
      </c>
      <c r="F542" s="94" t="str">
        <f>_xlfn.IFNA(VLOOKUP(Optimalisatie!V19,Database_Transport[],60,FALSE),"Nee")</f>
        <v>Nee</v>
      </c>
      <c r="G542" s="94" t="str">
        <f>_xlfn.IFNA(VLOOKUP(Optimalisatie!AF19,Database_Transport[],60,FALSE),"Nee")</f>
        <v>Nee</v>
      </c>
      <c r="H542" s="133">
        <f>IF(Inschrijf_Transport_Totaal[[#This Row],[Emissieloos Transport naar bouwplaats?]]="JA",Inschrijf_Transport_Totaal[[#This Row],[Transport naar bouwplaats '[tkm']]],0)+IF(Inschrijf_Transport_Totaal[[#This Row],[Emissieloos Transport naar verwerker?]]="JA",Inschrijf_Transport_Totaal[[#This Row],[Transport naar verwerker '[tkm']]],0)</f>
        <v>0</v>
      </c>
      <c r="I542" s="133">
        <f>(IF(Optimalisatie!C19="Nieuwe Situatie",(Optimalisatie!U19),0)*Optimalisatie!R19)*Optimalisatie!T19</f>
        <v>0</v>
      </c>
      <c r="J542" s="133">
        <f>(IF(Optimalisatie!C19="Nieuwe Situatie",(Optimalisatie!AE19),(Optimalisatie!AE19))*Optimalisatie!R19)*Optimalisatie!T19</f>
        <v>0</v>
      </c>
      <c r="K542" s="133">
        <f>IF(Inschrijf_Transport_Totaal[[#This Row],[Emissieloos Transport naar bouwplaats?]]="JA",Inschrijf_Transport_Totaal[[#This Row],[Transport naar bouwplaats Vervangingen '[tkm']]],0)+IF(Inschrijf_Transport_Totaal[[#This Row],[Emissieloos Transport naar verwerker?]]="JA",Inschrijf_Transport_Totaal[[#This Row],[Transport naar verwerker Vervangingen '[tkm']]],0)</f>
        <v>0</v>
      </c>
      <c r="L542" s="133">
        <f>Inschrijf_Transport_Totaal[[#This Row],[Emissieloos Transport]]+Inschrijf_Transport_Totaal[[#This Row],[Emissieloos Transport Vervangingen]]</f>
        <v>0</v>
      </c>
      <c r="M542" s="133">
        <f>(Inschrijf_Transport_Totaal[[#This Row],[Transport naar bouwplaats '[tkm']]]+Inschrijf_Transport_Totaal[[#This Row],[Transport naar verwerker '[tkm']]]+Inschrijf_Transport_Totaal[[#This Row],[Transport naar bouwplaats Vervangingen '[tkm']]]+Inschrijf_Transport_Totaal[[#This Row],[Transport naar verwerker Vervangingen '[tkm']]])-Inschrijf_Transport_Totaal[[#This Row],[Totaal Emissieloos Transport]]</f>
        <v>153562.5</v>
      </c>
      <c r="N542" s="133">
        <f>Inschrijf_Transport_Totaal[[#This Row],[Totaal Emissieloos Transport]]+Inschrijf_Transport_Totaal[[#This Row],[Totaal Niet Emissieloos Transport]]</f>
        <v>153562.5</v>
      </c>
    </row>
    <row r="543" spans="2:14">
      <c r="B543" s="209" t="str">
        <f>Optimalisatie!B20</f>
        <v>210030 - Grond ontgraven uit plantvak</v>
      </c>
      <c r="C543" s="51" t="str">
        <f>Optimalisatie!F20</f>
        <v>Ophoogmateriaal (Grond)</v>
      </c>
      <c r="D543" s="93">
        <f>(IF(Optimalisatie!C20="Nieuwe Situatie",(Optimalisatie!U20),0)*Optimalisatie!R20)</f>
        <v>0</v>
      </c>
      <c r="E543" s="98">
        <f>(IF(Optimalisatie!C20="Bestaande Situatie",(Optimalisatie!AE20),0)*Optimalisatie!R20)</f>
        <v>152230</v>
      </c>
      <c r="F543" s="94" t="str">
        <f>_xlfn.IFNA(VLOOKUP(Optimalisatie!V20,Database_Transport[],60,FALSE),"Nee")</f>
        <v>Nee</v>
      </c>
      <c r="G543" s="94" t="str">
        <f>_xlfn.IFNA(VLOOKUP(Optimalisatie!AF20,Database_Transport[],60,FALSE),"Nee")</f>
        <v>Nee</v>
      </c>
      <c r="H543" s="133">
        <f>IF(Inschrijf_Transport_Totaal[[#This Row],[Emissieloos Transport naar bouwplaats?]]="JA",Inschrijf_Transport_Totaal[[#This Row],[Transport naar bouwplaats '[tkm']]],0)+IF(Inschrijf_Transport_Totaal[[#This Row],[Emissieloos Transport naar verwerker?]]="JA",Inschrijf_Transport_Totaal[[#This Row],[Transport naar verwerker '[tkm']]],0)</f>
        <v>0</v>
      </c>
      <c r="I543" s="133">
        <f>(IF(Optimalisatie!C20="Nieuwe Situatie",(Optimalisatie!U20),0)*Optimalisatie!R20)*Optimalisatie!T20</f>
        <v>0</v>
      </c>
      <c r="J543" s="133">
        <f>(IF(Optimalisatie!C20="Nieuwe Situatie",(Optimalisatie!AE20),(Optimalisatie!AE20))*Optimalisatie!R20)*Optimalisatie!T20</f>
        <v>0</v>
      </c>
      <c r="K543" s="133">
        <f>IF(Inschrijf_Transport_Totaal[[#This Row],[Emissieloos Transport naar bouwplaats?]]="JA",Inschrijf_Transport_Totaal[[#This Row],[Transport naar bouwplaats Vervangingen '[tkm']]],0)+IF(Inschrijf_Transport_Totaal[[#This Row],[Emissieloos Transport naar verwerker?]]="JA",Inschrijf_Transport_Totaal[[#This Row],[Transport naar verwerker Vervangingen '[tkm']]],0)</f>
        <v>0</v>
      </c>
      <c r="L543" s="133">
        <f>Inschrijf_Transport_Totaal[[#This Row],[Emissieloos Transport]]+Inschrijf_Transport_Totaal[[#This Row],[Emissieloos Transport Vervangingen]]</f>
        <v>0</v>
      </c>
      <c r="M543" s="133">
        <f>(Inschrijf_Transport_Totaal[[#This Row],[Transport naar bouwplaats '[tkm']]]+Inschrijf_Transport_Totaal[[#This Row],[Transport naar verwerker '[tkm']]]+Inschrijf_Transport_Totaal[[#This Row],[Transport naar bouwplaats Vervangingen '[tkm']]]+Inschrijf_Transport_Totaal[[#This Row],[Transport naar verwerker Vervangingen '[tkm']]])-Inschrijf_Transport_Totaal[[#This Row],[Totaal Emissieloos Transport]]</f>
        <v>152230</v>
      </c>
      <c r="N543" s="133">
        <f>Inschrijf_Transport_Totaal[[#This Row],[Totaal Emissieloos Transport]]+Inschrijf_Transport_Totaal[[#This Row],[Totaal Niet Emissieloos Transport]]</f>
        <v>152230</v>
      </c>
    </row>
    <row r="544" spans="2:14">
      <c r="B544" s="209" t="str">
        <f>Optimalisatie!B21</f>
        <v>220010 - Grond verwerken in sleuf riolering</v>
      </c>
      <c r="C544" s="51" t="str">
        <f>Optimalisatie!F21</f>
        <v>Ophoogmateriaal (Grond)</v>
      </c>
      <c r="D544" s="93">
        <f>(IF(Optimalisatie!C21="Nieuwe Situatie",(Optimalisatie!U21),0)*Optimalisatie!R21)</f>
        <v>153562.5</v>
      </c>
      <c r="E544" s="98">
        <f>(IF(Optimalisatie!C21="Bestaande Situatie",(Optimalisatie!AE21),0)*Optimalisatie!R21)</f>
        <v>0</v>
      </c>
      <c r="F544" s="94" t="str">
        <f>_xlfn.IFNA(VLOOKUP(Optimalisatie!V21,Database_Transport[],60,FALSE),"Nee")</f>
        <v>Nee</v>
      </c>
      <c r="G544" s="94" t="str">
        <f>_xlfn.IFNA(VLOOKUP(Optimalisatie!AF21,Database_Transport[],60,FALSE),"Nee")</f>
        <v>Nee</v>
      </c>
      <c r="H544" s="133">
        <f>IF(Inschrijf_Transport_Totaal[[#This Row],[Emissieloos Transport naar bouwplaats?]]="JA",Inschrijf_Transport_Totaal[[#This Row],[Transport naar bouwplaats '[tkm']]],0)+IF(Inschrijf_Transport_Totaal[[#This Row],[Emissieloos Transport naar verwerker?]]="JA",Inschrijf_Transport_Totaal[[#This Row],[Transport naar verwerker '[tkm']]],0)</f>
        <v>0</v>
      </c>
      <c r="I544" s="133">
        <f>(IF(Optimalisatie!C21="Nieuwe Situatie",(Optimalisatie!U21),0)*Optimalisatie!R21)*Optimalisatie!T21</f>
        <v>0</v>
      </c>
      <c r="J544" s="133">
        <f>(IF(Optimalisatie!C21="Nieuwe Situatie",(Optimalisatie!AE21),(Optimalisatie!AE21))*Optimalisatie!R21)*Optimalisatie!T21</f>
        <v>0</v>
      </c>
      <c r="K544" s="133">
        <f>IF(Inschrijf_Transport_Totaal[[#This Row],[Emissieloos Transport naar bouwplaats?]]="JA",Inschrijf_Transport_Totaal[[#This Row],[Transport naar bouwplaats Vervangingen '[tkm']]],0)+IF(Inschrijf_Transport_Totaal[[#This Row],[Emissieloos Transport naar verwerker?]]="JA",Inschrijf_Transport_Totaal[[#This Row],[Transport naar verwerker Vervangingen '[tkm']]],0)</f>
        <v>0</v>
      </c>
      <c r="L544" s="133">
        <f>Inschrijf_Transport_Totaal[[#This Row],[Emissieloos Transport]]+Inschrijf_Transport_Totaal[[#This Row],[Emissieloos Transport Vervangingen]]</f>
        <v>0</v>
      </c>
      <c r="M544" s="133">
        <f>(Inschrijf_Transport_Totaal[[#This Row],[Transport naar bouwplaats '[tkm']]]+Inschrijf_Transport_Totaal[[#This Row],[Transport naar verwerker '[tkm']]]+Inschrijf_Transport_Totaal[[#This Row],[Transport naar bouwplaats Vervangingen '[tkm']]]+Inschrijf_Transport_Totaal[[#This Row],[Transport naar verwerker Vervangingen '[tkm']]])-Inschrijf_Transport_Totaal[[#This Row],[Totaal Emissieloos Transport]]</f>
        <v>153562.5</v>
      </c>
      <c r="N544" s="133">
        <f>Inschrijf_Transport_Totaal[[#This Row],[Totaal Emissieloos Transport]]+Inschrijf_Transport_Totaal[[#This Row],[Totaal Niet Emissieloos Transport]]</f>
        <v>153562.5</v>
      </c>
    </row>
    <row r="545" spans="2:14">
      <c r="B545" s="209" t="str">
        <f>Optimalisatie!B22</f>
        <v>220020 - Leveren en aanbrengen zand voor zand (gemiddeld 100 mm)</v>
      </c>
      <c r="C545" s="51" t="str">
        <f>Optimalisatie!F22</f>
        <v>Ophoogmateriaal (Zand)</v>
      </c>
      <c r="D545" s="93">
        <f>(IF(Optimalisatie!C22="Nieuwe Situatie",(Optimalisatie!U22),0)*Optimalisatie!R22)</f>
        <v>73500</v>
      </c>
      <c r="E545" s="98">
        <f>(IF(Optimalisatie!C22="Bestaande Situatie",(Optimalisatie!AE22),0)*Optimalisatie!R22)</f>
        <v>0</v>
      </c>
      <c r="F545" s="94" t="str">
        <f>_xlfn.IFNA(VLOOKUP(Optimalisatie!V22,Database_Transport[],60,FALSE),"Nee")</f>
        <v>Nee</v>
      </c>
      <c r="G545" s="94" t="str">
        <f>_xlfn.IFNA(VLOOKUP(Optimalisatie!AF22,Database_Transport[],60,FALSE),"Nee")</f>
        <v>Nee</v>
      </c>
      <c r="H545" s="133">
        <f>IF(Inschrijf_Transport_Totaal[[#This Row],[Emissieloos Transport naar bouwplaats?]]="JA",Inschrijf_Transport_Totaal[[#This Row],[Transport naar bouwplaats '[tkm']]],0)+IF(Inschrijf_Transport_Totaal[[#This Row],[Emissieloos Transport naar verwerker?]]="JA",Inschrijf_Transport_Totaal[[#This Row],[Transport naar verwerker '[tkm']]],0)</f>
        <v>0</v>
      </c>
      <c r="I545" s="133">
        <f>(IF(Optimalisatie!C22="Nieuwe Situatie",(Optimalisatie!U22),0)*Optimalisatie!R22)*Optimalisatie!T22</f>
        <v>0</v>
      </c>
      <c r="J545" s="133">
        <f>(IF(Optimalisatie!C22="Nieuwe Situatie",(Optimalisatie!AE22),(Optimalisatie!AE22))*Optimalisatie!R22)*Optimalisatie!T22</f>
        <v>0</v>
      </c>
      <c r="K545" s="133">
        <f>IF(Inschrijf_Transport_Totaal[[#This Row],[Emissieloos Transport naar bouwplaats?]]="JA",Inschrijf_Transport_Totaal[[#This Row],[Transport naar bouwplaats Vervangingen '[tkm']]],0)+IF(Inschrijf_Transport_Totaal[[#This Row],[Emissieloos Transport naar verwerker?]]="JA",Inschrijf_Transport_Totaal[[#This Row],[Transport naar verwerker Vervangingen '[tkm']]],0)</f>
        <v>0</v>
      </c>
      <c r="L545" s="133">
        <f>Inschrijf_Transport_Totaal[[#This Row],[Emissieloos Transport]]+Inschrijf_Transport_Totaal[[#This Row],[Emissieloos Transport Vervangingen]]</f>
        <v>0</v>
      </c>
      <c r="M545" s="133">
        <f>(Inschrijf_Transport_Totaal[[#This Row],[Transport naar bouwplaats '[tkm']]]+Inschrijf_Transport_Totaal[[#This Row],[Transport naar verwerker '[tkm']]]+Inschrijf_Transport_Totaal[[#This Row],[Transport naar bouwplaats Vervangingen '[tkm']]]+Inschrijf_Transport_Totaal[[#This Row],[Transport naar verwerker Vervangingen '[tkm']]])-Inschrijf_Transport_Totaal[[#This Row],[Totaal Emissieloos Transport]]</f>
        <v>73500</v>
      </c>
      <c r="N545" s="133">
        <f>Inschrijf_Transport_Totaal[[#This Row],[Totaal Emissieloos Transport]]+Inschrijf_Transport_Totaal[[#This Row],[Totaal Niet Emissieloos Transport]]</f>
        <v>73500</v>
      </c>
    </row>
    <row r="546" spans="2:14">
      <c r="B546" s="209" t="str">
        <f>Optimalisatie!B23</f>
        <v>322020 - Leveren en aanbrengen rioolbuis van Beton Ø400mm</v>
      </c>
      <c r="C546" s="51" t="str">
        <f>Optimalisatie!F23</f>
        <v>Betonbuis 500 mm</v>
      </c>
      <c r="D546" s="93">
        <f>(IF(Optimalisatie!C23="Nieuwe Situatie",(Optimalisatie!U23),0)*Optimalisatie!R23)</f>
        <v>3935.9999999999991</v>
      </c>
      <c r="E546" s="98">
        <f>(IF(Optimalisatie!C23="Bestaande Situatie",(Optimalisatie!AE23),0)*Optimalisatie!R23)</f>
        <v>0</v>
      </c>
      <c r="F546" s="94" t="str">
        <f>_xlfn.IFNA(VLOOKUP(Optimalisatie!V23,Database_Transport[],60,FALSE),"Nee")</f>
        <v>Nee</v>
      </c>
      <c r="G546" s="94" t="str">
        <f>_xlfn.IFNA(VLOOKUP(Optimalisatie!AF23,Database_Transport[],60,FALSE),"Nee")</f>
        <v>Nee</v>
      </c>
      <c r="H546" s="133">
        <f>IF(Inschrijf_Transport_Totaal[[#This Row],[Emissieloos Transport naar bouwplaats?]]="JA",Inschrijf_Transport_Totaal[[#This Row],[Transport naar bouwplaats '[tkm']]],0)+IF(Inschrijf_Transport_Totaal[[#This Row],[Emissieloos Transport naar verwerker?]]="JA",Inschrijf_Transport_Totaal[[#This Row],[Transport naar verwerker '[tkm']]],0)</f>
        <v>0</v>
      </c>
      <c r="I546" s="133">
        <f>(IF(Optimalisatie!C23="Nieuwe Situatie",(Optimalisatie!U23),0)*Optimalisatie!R23)*Optimalisatie!T23</f>
        <v>0</v>
      </c>
      <c r="J546" s="133">
        <f>(IF(Optimalisatie!C23="Nieuwe Situatie",(Optimalisatie!AE23),(Optimalisatie!AE23))*Optimalisatie!R23)*Optimalisatie!T23</f>
        <v>0</v>
      </c>
      <c r="K546" s="133">
        <f>IF(Inschrijf_Transport_Totaal[[#This Row],[Emissieloos Transport naar bouwplaats?]]="JA",Inschrijf_Transport_Totaal[[#This Row],[Transport naar bouwplaats Vervangingen '[tkm']]],0)+IF(Inschrijf_Transport_Totaal[[#This Row],[Emissieloos Transport naar verwerker?]]="JA",Inschrijf_Transport_Totaal[[#This Row],[Transport naar verwerker Vervangingen '[tkm']]],0)</f>
        <v>0</v>
      </c>
      <c r="L546" s="133">
        <f>Inschrijf_Transport_Totaal[[#This Row],[Emissieloos Transport]]+Inschrijf_Transport_Totaal[[#This Row],[Emissieloos Transport Vervangingen]]</f>
        <v>0</v>
      </c>
      <c r="M546" s="133">
        <f>(Inschrijf_Transport_Totaal[[#This Row],[Transport naar bouwplaats '[tkm']]]+Inschrijf_Transport_Totaal[[#This Row],[Transport naar verwerker '[tkm']]]+Inschrijf_Transport_Totaal[[#This Row],[Transport naar bouwplaats Vervangingen '[tkm']]]+Inschrijf_Transport_Totaal[[#This Row],[Transport naar verwerker Vervangingen '[tkm']]])-Inschrijf_Transport_Totaal[[#This Row],[Totaal Emissieloos Transport]]</f>
        <v>3935.9999999999991</v>
      </c>
      <c r="N546" s="133">
        <f>Inschrijf_Transport_Totaal[[#This Row],[Totaal Emissieloos Transport]]+Inschrijf_Transport_Totaal[[#This Row],[Totaal Niet Emissieloos Transport]]</f>
        <v>3935.9999999999991</v>
      </c>
    </row>
    <row r="547" spans="2:14">
      <c r="B547" s="209" t="str">
        <f>Optimalisatie!B24</f>
        <v>322070 - Leveren en aanbrengen rioolbuis van Beton IT Ø400mm</v>
      </c>
      <c r="C547" s="51" t="str">
        <f>Optimalisatie!F24</f>
        <v>Betonbuis 500 mm</v>
      </c>
      <c r="D547" s="93">
        <f>(IF(Optimalisatie!C24="Nieuwe Situatie",(Optimalisatie!U24),0)*Optimalisatie!R24)</f>
        <v>3115.9999999999995</v>
      </c>
      <c r="E547" s="98">
        <f>(IF(Optimalisatie!C24="Bestaande Situatie",(Optimalisatie!AE24),0)*Optimalisatie!R24)</f>
        <v>0</v>
      </c>
      <c r="F547" s="94" t="str">
        <f>_xlfn.IFNA(VLOOKUP(Optimalisatie!V24,Database_Transport[],60,FALSE),"Nee")</f>
        <v>Nee</v>
      </c>
      <c r="G547" s="94" t="str">
        <f>_xlfn.IFNA(VLOOKUP(Optimalisatie!AF24,Database_Transport[],60,FALSE),"Nee")</f>
        <v>Nee</v>
      </c>
      <c r="H547" s="133">
        <f>IF(Inschrijf_Transport_Totaal[[#This Row],[Emissieloos Transport naar bouwplaats?]]="JA",Inschrijf_Transport_Totaal[[#This Row],[Transport naar bouwplaats '[tkm']]],0)+IF(Inschrijf_Transport_Totaal[[#This Row],[Emissieloos Transport naar verwerker?]]="JA",Inschrijf_Transport_Totaal[[#This Row],[Transport naar verwerker '[tkm']]],0)</f>
        <v>0</v>
      </c>
      <c r="I547" s="133">
        <f>(IF(Optimalisatie!C24="Nieuwe Situatie",(Optimalisatie!U24),0)*Optimalisatie!R24)*Optimalisatie!T24</f>
        <v>0</v>
      </c>
      <c r="J547" s="133">
        <f>(IF(Optimalisatie!C24="Nieuwe Situatie",(Optimalisatie!AE24),(Optimalisatie!AE24))*Optimalisatie!R24)*Optimalisatie!T24</f>
        <v>0</v>
      </c>
      <c r="K547" s="133">
        <f>IF(Inschrijf_Transport_Totaal[[#This Row],[Emissieloos Transport naar bouwplaats?]]="JA",Inschrijf_Transport_Totaal[[#This Row],[Transport naar bouwplaats Vervangingen '[tkm']]],0)+IF(Inschrijf_Transport_Totaal[[#This Row],[Emissieloos Transport naar verwerker?]]="JA",Inschrijf_Transport_Totaal[[#This Row],[Transport naar verwerker Vervangingen '[tkm']]],0)</f>
        <v>0</v>
      </c>
      <c r="L547" s="133">
        <f>Inschrijf_Transport_Totaal[[#This Row],[Emissieloos Transport]]+Inschrijf_Transport_Totaal[[#This Row],[Emissieloos Transport Vervangingen]]</f>
        <v>0</v>
      </c>
      <c r="M547" s="133">
        <f>(Inschrijf_Transport_Totaal[[#This Row],[Transport naar bouwplaats '[tkm']]]+Inschrijf_Transport_Totaal[[#This Row],[Transport naar verwerker '[tkm']]]+Inschrijf_Transport_Totaal[[#This Row],[Transport naar bouwplaats Vervangingen '[tkm']]]+Inschrijf_Transport_Totaal[[#This Row],[Transport naar verwerker Vervangingen '[tkm']]])-Inschrijf_Transport_Totaal[[#This Row],[Totaal Emissieloos Transport]]</f>
        <v>3115.9999999999995</v>
      </c>
      <c r="N547" s="133">
        <f>Inschrijf_Transport_Totaal[[#This Row],[Totaal Emissieloos Transport]]+Inschrijf_Transport_Totaal[[#This Row],[Totaal Niet Emissieloos Transport]]</f>
        <v>3115.9999999999995</v>
      </c>
    </row>
    <row r="548" spans="2:14">
      <c r="B548" s="209" t="str">
        <f>Optimalisatie!B25</f>
        <v>322100 - Leveren en aanbrengen rioolbuis van Beton IT Ø800mm</v>
      </c>
      <c r="C548" s="51" t="str">
        <f>Optimalisatie!F25</f>
        <v>Betonbuis 800 mm</v>
      </c>
      <c r="D548" s="93">
        <f>(IF(Optimalisatie!C25="Nieuwe Situatie",(Optimalisatie!U25),0)*Optimalisatie!R25)</f>
        <v>30045.999999999996</v>
      </c>
      <c r="E548" s="98">
        <f>(IF(Optimalisatie!C25="Bestaande Situatie",(Optimalisatie!AE25),0)*Optimalisatie!R25)</f>
        <v>0</v>
      </c>
      <c r="F548" s="94" t="str">
        <f>_xlfn.IFNA(VLOOKUP(Optimalisatie!V25,Database_Transport[],60,FALSE),"Nee")</f>
        <v>Nee</v>
      </c>
      <c r="G548" s="94" t="str">
        <f>_xlfn.IFNA(VLOOKUP(Optimalisatie!AF25,Database_Transport[],60,FALSE),"Nee")</f>
        <v>Nee</v>
      </c>
      <c r="H548" s="133">
        <f>IF(Inschrijf_Transport_Totaal[[#This Row],[Emissieloos Transport naar bouwplaats?]]="JA",Inschrijf_Transport_Totaal[[#This Row],[Transport naar bouwplaats '[tkm']]],0)+IF(Inschrijf_Transport_Totaal[[#This Row],[Emissieloos Transport naar verwerker?]]="JA",Inschrijf_Transport_Totaal[[#This Row],[Transport naar verwerker '[tkm']]],0)</f>
        <v>0</v>
      </c>
      <c r="I548" s="133">
        <f>(IF(Optimalisatie!C25="Nieuwe Situatie",(Optimalisatie!U25),0)*Optimalisatie!R25)*Optimalisatie!T25</f>
        <v>0</v>
      </c>
      <c r="J548" s="133">
        <f>(IF(Optimalisatie!C25="Nieuwe Situatie",(Optimalisatie!AE25),(Optimalisatie!AE25))*Optimalisatie!R25)*Optimalisatie!T25</f>
        <v>0</v>
      </c>
      <c r="K548" s="133">
        <f>IF(Inschrijf_Transport_Totaal[[#This Row],[Emissieloos Transport naar bouwplaats?]]="JA",Inschrijf_Transport_Totaal[[#This Row],[Transport naar bouwplaats Vervangingen '[tkm']]],0)+IF(Inschrijf_Transport_Totaal[[#This Row],[Emissieloos Transport naar verwerker?]]="JA",Inschrijf_Transport_Totaal[[#This Row],[Transport naar verwerker Vervangingen '[tkm']]],0)</f>
        <v>0</v>
      </c>
      <c r="L548" s="133">
        <f>Inschrijf_Transport_Totaal[[#This Row],[Emissieloos Transport]]+Inschrijf_Transport_Totaal[[#This Row],[Emissieloos Transport Vervangingen]]</f>
        <v>0</v>
      </c>
      <c r="M548" s="133">
        <f>(Inschrijf_Transport_Totaal[[#This Row],[Transport naar bouwplaats '[tkm']]]+Inschrijf_Transport_Totaal[[#This Row],[Transport naar verwerker '[tkm']]]+Inschrijf_Transport_Totaal[[#This Row],[Transport naar bouwplaats Vervangingen '[tkm']]]+Inschrijf_Transport_Totaal[[#This Row],[Transport naar verwerker Vervangingen '[tkm']]])-Inschrijf_Transport_Totaal[[#This Row],[Totaal Emissieloos Transport]]</f>
        <v>30045.999999999996</v>
      </c>
      <c r="N548" s="133">
        <f>Inschrijf_Transport_Totaal[[#This Row],[Totaal Emissieloos Transport]]+Inschrijf_Transport_Totaal[[#This Row],[Totaal Niet Emissieloos Transport]]</f>
        <v>30045.999999999996</v>
      </c>
    </row>
    <row r="549" spans="2:14">
      <c r="B549" s="209" t="str">
        <f>Optimalisatie!B26</f>
        <v>330010 - Leveren en aanbrengen kolken</v>
      </c>
      <c r="C549" s="51" t="str">
        <f>Optimalisatie!F26</f>
        <v>Kolk, Staal &amp; Beton</v>
      </c>
      <c r="D549" s="93">
        <f>(IF(Optimalisatie!C26="Nieuwe Situatie",(Optimalisatie!U26),0)*Optimalisatie!R26)</f>
        <v>2048.6840000000002</v>
      </c>
      <c r="E549" s="98">
        <f>(IF(Optimalisatie!C26="Bestaande Situatie",(Optimalisatie!AE26),0)*Optimalisatie!R26)</f>
        <v>0</v>
      </c>
      <c r="F549" s="94" t="str">
        <f>_xlfn.IFNA(VLOOKUP(Optimalisatie!V26,Database_Transport[],60,FALSE),"Nee")</f>
        <v>Nee</v>
      </c>
      <c r="G549" s="94" t="str">
        <f>_xlfn.IFNA(VLOOKUP(Optimalisatie!AF26,Database_Transport[],60,FALSE),"Nee")</f>
        <v>Nee</v>
      </c>
      <c r="H549" s="133">
        <f>IF(Inschrijf_Transport_Totaal[[#This Row],[Emissieloos Transport naar bouwplaats?]]="JA",Inschrijf_Transport_Totaal[[#This Row],[Transport naar bouwplaats '[tkm']]],0)+IF(Inschrijf_Transport_Totaal[[#This Row],[Emissieloos Transport naar verwerker?]]="JA",Inschrijf_Transport_Totaal[[#This Row],[Transport naar verwerker '[tkm']]],0)</f>
        <v>0</v>
      </c>
      <c r="I549" s="133">
        <f>(IF(Optimalisatie!C26="Nieuwe Situatie",(Optimalisatie!U26),0)*Optimalisatie!R26)*Optimalisatie!T26</f>
        <v>0</v>
      </c>
      <c r="J549" s="133">
        <f>(IF(Optimalisatie!C26="Nieuwe Situatie",(Optimalisatie!AE26),(Optimalisatie!AE26))*Optimalisatie!R26)*Optimalisatie!T26</f>
        <v>0</v>
      </c>
      <c r="K549" s="133">
        <f>IF(Inschrijf_Transport_Totaal[[#This Row],[Emissieloos Transport naar bouwplaats?]]="JA",Inschrijf_Transport_Totaal[[#This Row],[Transport naar bouwplaats Vervangingen '[tkm']]],0)+IF(Inschrijf_Transport_Totaal[[#This Row],[Emissieloos Transport naar verwerker?]]="JA",Inschrijf_Transport_Totaal[[#This Row],[Transport naar verwerker Vervangingen '[tkm']]],0)</f>
        <v>0</v>
      </c>
      <c r="L549" s="133">
        <f>Inschrijf_Transport_Totaal[[#This Row],[Emissieloos Transport]]+Inschrijf_Transport_Totaal[[#This Row],[Emissieloos Transport Vervangingen]]</f>
        <v>0</v>
      </c>
      <c r="M549" s="133">
        <f>(Inschrijf_Transport_Totaal[[#This Row],[Transport naar bouwplaats '[tkm']]]+Inschrijf_Transport_Totaal[[#This Row],[Transport naar verwerker '[tkm']]]+Inschrijf_Transport_Totaal[[#This Row],[Transport naar bouwplaats Vervangingen '[tkm']]]+Inschrijf_Transport_Totaal[[#This Row],[Transport naar verwerker Vervangingen '[tkm']]])-Inschrijf_Transport_Totaal[[#This Row],[Totaal Emissieloos Transport]]</f>
        <v>2048.6840000000002</v>
      </c>
      <c r="N549" s="133">
        <f>Inschrijf_Transport_Totaal[[#This Row],[Totaal Emissieloos Transport]]+Inschrijf_Transport_Totaal[[#This Row],[Totaal Niet Emissieloos Transport]]</f>
        <v>2048.6840000000002</v>
      </c>
    </row>
    <row r="550" spans="2:14">
      <c r="B550" s="209" t="str">
        <f>Optimalisatie!B27</f>
        <v>420010 - Leveren en aanbrengen fundering menggranulaat, (250mm dik)</v>
      </c>
      <c r="C550" s="51" t="str">
        <f>Optimalisatie!F27</f>
        <v>Menggranulaat 250mm</v>
      </c>
      <c r="D550" s="93">
        <f>(IF(Optimalisatie!C27="Nieuwe Situatie",(Optimalisatie!U27),0)*Optimalisatie!R27)</f>
        <v>237900</v>
      </c>
      <c r="E550" s="98">
        <f>(IF(Optimalisatie!C27="Bestaande Situatie",(Optimalisatie!AE27),0)*Optimalisatie!R27)</f>
        <v>0</v>
      </c>
      <c r="F550" s="94" t="str">
        <f>_xlfn.IFNA(VLOOKUP(Optimalisatie!V27,Database_Transport[],60,FALSE),"Nee")</f>
        <v>Nee</v>
      </c>
      <c r="G550" s="94" t="str">
        <f>_xlfn.IFNA(VLOOKUP(Optimalisatie!AF27,Database_Transport[],60,FALSE),"Nee")</f>
        <v>Nee</v>
      </c>
      <c r="H550" s="133">
        <f>IF(Inschrijf_Transport_Totaal[[#This Row],[Emissieloos Transport naar bouwplaats?]]="JA",Inschrijf_Transport_Totaal[[#This Row],[Transport naar bouwplaats '[tkm']]],0)+IF(Inschrijf_Transport_Totaal[[#This Row],[Emissieloos Transport naar verwerker?]]="JA",Inschrijf_Transport_Totaal[[#This Row],[Transport naar verwerker '[tkm']]],0)</f>
        <v>0</v>
      </c>
      <c r="I550" s="133">
        <f>(IF(Optimalisatie!C27="Nieuwe Situatie",(Optimalisatie!U27),0)*Optimalisatie!R27)*Optimalisatie!T27</f>
        <v>0</v>
      </c>
      <c r="J550" s="133">
        <f>(IF(Optimalisatie!C27="Nieuwe Situatie",(Optimalisatie!AE27),(Optimalisatie!AE27))*Optimalisatie!R27)*Optimalisatie!T27</f>
        <v>0</v>
      </c>
      <c r="K550" s="133">
        <f>IF(Inschrijf_Transport_Totaal[[#This Row],[Emissieloos Transport naar bouwplaats?]]="JA",Inschrijf_Transport_Totaal[[#This Row],[Transport naar bouwplaats Vervangingen '[tkm']]],0)+IF(Inschrijf_Transport_Totaal[[#This Row],[Emissieloos Transport naar verwerker?]]="JA",Inschrijf_Transport_Totaal[[#This Row],[Transport naar verwerker Vervangingen '[tkm']]],0)</f>
        <v>0</v>
      </c>
      <c r="L550" s="133">
        <f>Inschrijf_Transport_Totaal[[#This Row],[Emissieloos Transport]]+Inschrijf_Transport_Totaal[[#This Row],[Emissieloos Transport Vervangingen]]</f>
        <v>0</v>
      </c>
      <c r="M550" s="133">
        <f>(Inschrijf_Transport_Totaal[[#This Row],[Transport naar bouwplaats '[tkm']]]+Inschrijf_Transport_Totaal[[#This Row],[Transport naar verwerker '[tkm']]]+Inschrijf_Transport_Totaal[[#This Row],[Transport naar bouwplaats Vervangingen '[tkm']]]+Inschrijf_Transport_Totaal[[#This Row],[Transport naar verwerker Vervangingen '[tkm']]])-Inschrijf_Transport_Totaal[[#This Row],[Totaal Emissieloos Transport]]</f>
        <v>237900</v>
      </c>
      <c r="N550" s="133">
        <f>Inschrijf_Transport_Totaal[[#This Row],[Totaal Emissieloos Transport]]+Inschrijf_Transport_Totaal[[#This Row],[Totaal Niet Emissieloos Transport]]</f>
        <v>237900</v>
      </c>
    </row>
    <row r="551" spans="2:14">
      <c r="B551" s="209" t="str">
        <f>Optimalisatie!B28</f>
        <v>430010 - Leveren en aanbrengen trottoirbanden 180/200x250</v>
      </c>
      <c r="C551" s="51" t="str">
        <f>Optimalisatie!F28</f>
        <v>Trottoirband 180/200x250</v>
      </c>
      <c r="D551" s="93">
        <f>(IF(Optimalisatie!C28="Nieuwe Situatie",(Optimalisatie!U28),0)*Optimalisatie!R28)</f>
        <v>423.95875000000001</v>
      </c>
      <c r="E551" s="98">
        <f>(IF(Optimalisatie!C28="Bestaande Situatie",(Optimalisatie!AE28),0)*Optimalisatie!R28)</f>
        <v>0</v>
      </c>
      <c r="F551" s="94" t="str">
        <f>_xlfn.IFNA(VLOOKUP(Optimalisatie!V28,Database_Transport[],60,FALSE),"Nee")</f>
        <v>Nee</v>
      </c>
      <c r="G551" s="94" t="str">
        <f>_xlfn.IFNA(VLOOKUP(Optimalisatie!AF28,Database_Transport[],60,FALSE),"Nee")</f>
        <v>Nee</v>
      </c>
      <c r="H551" s="133">
        <f>IF(Inschrijf_Transport_Totaal[[#This Row],[Emissieloos Transport naar bouwplaats?]]="JA",Inschrijf_Transport_Totaal[[#This Row],[Transport naar bouwplaats '[tkm']]],0)+IF(Inschrijf_Transport_Totaal[[#This Row],[Emissieloos Transport naar verwerker?]]="JA",Inschrijf_Transport_Totaal[[#This Row],[Transport naar verwerker '[tkm']]],0)</f>
        <v>0</v>
      </c>
      <c r="I551" s="133">
        <f>(IF(Optimalisatie!C28="Nieuwe Situatie",(Optimalisatie!U28),0)*Optimalisatie!R28)*Optimalisatie!T28</f>
        <v>0</v>
      </c>
      <c r="J551" s="133">
        <f>(IF(Optimalisatie!C28="Nieuwe Situatie",(Optimalisatie!AE28),(Optimalisatie!AE28))*Optimalisatie!R28)*Optimalisatie!T28</f>
        <v>0</v>
      </c>
      <c r="K551" s="133">
        <f>IF(Inschrijf_Transport_Totaal[[#This Row],[Emissieloos Transport naar bouwplaats?]]="JA",Inschrijf_Transport_Totaal[[#This Row],[Transport naar bouwplaats Vervangingen '[tkm']]],0)+IF(Inschrijf_Transport_Totaal[[#This Row],[Emissieloos Transport naar verwerker?]]="JA",Inschrijf_Transport_Totaal[[#This Row],[Transport naar verwerker Vervangingen '[tkm']]],0)</f>
        <v>0</v>
      </c>
      <c r="L551" s="133">
        <f>Inschrijf_Transport_Totaal[[#This Row],[Emissieloos Transport]]+Inschrijf_Transport_Totaal[[#This Row],[Emissieloos Transport Vervangingen]]</f>
        <v>0</v>
      </c>
      <c r="M551" s="133">
        <f>(Inschrijf_Transport_Totaal[[#This Row],[Transport naar bouwplaats '[tkm']]]+Inschrijf_Transport_Totaal[[#This Row],[Transport naar verwerker '[tkm']]]+Inschrijf_Transport_Totaal[[#This Row],[Transport naar bouwplaats Vervangingen '[tkm']]]+Inschrijf_Transport_Totaal[[#This Row],[Transport naar verwerker Vervangingen '[tkm']]])-Inschrijf_Transport_Totaal[[#This Row],[Totaal Emissieloos Transport]]</f>
        <v>423.95875000000001</v>
      </c>
      <c r="N551" s="133">
        <f>Inschrijf_Transport_Totaal[[#This Row],[Totaal Emissieloos Transport]]+Inschrijf_Transport_Totaal[[#This Row],[Totaal Niet Emissieloos Transport]]</f>
        <v>423.95875000000001</v>
      </c>
    </row>
    <row r="552" spans="2:14">
      <c r="B552" s="209" t="str">
        <f>Optimalisatie!B29</f>
        <v>430020 - Leveren en aanbrengen trottoirbanden 130/150x250</v>
      </c>
      <c r="C552" s="51" t="str">
        <f>Optimalisatie!F29</f>
        <v>Trottoirband 130/150x250</v>
      </c>
      <c r="D552" s="93">
        <f>(IF(Optimalisatie!C29="Nieuwe Situatie",(Optimalisatie!U29),0)*Optimalisatie!R29)</f>
        <v>688.30949999999996</v>
      </c>
      <c r="E552" s="98">
        <f>(IF(Optimalisatie!C29="Bestaande Situatie",(Optimalisatie!AE29),0)*Optimalisatie!R29)</f>
        <v>0</v>
      </c>
      <c r="F552" s="94" t="str">
        <f>_xlfn.IFNA(VLOOKUP(Optimalisatie!V29,Database_Transport[],60,FALSE),"Nee")</f>
        <v>Nee</v>
      </c>
      <c r="G552" s="94" t="str">
        <f>_xlfn.IFNA(VLOOKUP(Optimalisatie!AF29,Database_Transport[],60,FALSE),"Nee")</f>
        <v>Nee</v>
      </c>
      <c r="H552" s="133">
        <f>IF(Inschrijf_Transport_Totaal[[#This Row],[Emissieloos Transport naar bouwplaats?]]="JA",Inschrijf_Transport_Totaal[[#This Row],[Transport naar bouwplaats '[tkm']]],0)+IF(Inschrijf_Transport_Totaal[[#This Row],[Emissieloos Transport naar verwerker?]]="JA",Inschrijf_Transport_Totaal[[#This Row],[Transport naar verwerker '[tkm']]],0)</f>
        <v>0</v>
      </c>
      <c r="I552" s="133">
        <f>(IF(Optimalisatie!C29="Nieuwe Situatie",(Optimalisatie!U29),0)*Optimalisatie!R29)*Optimalisatie!T29</f>
        <v>0</v>
      </c>
      <c r="J552" s="133">
        <f>(IF(Optimalisatie!C29="Nieuwe Situatie",(Optimalisatie!AE29),(Optimalisatie!AE29))*Optimalisatie!R29)*Optimalisatie!T29</f>
        <v>0</v>
      </c>
      <c r="K552" s="133">
        <f>IF(Inschrijf_Transport_Totaal[[#This Row],[Emissieloos Transport naar bouwplaats?]]="JA",Inschrijf_Transport_Totaal[[#This Row],[Transport naar bouwplaats Vervangingen '[tkm']]],0)+IF(Inschrijf_Transport_Totaal[[#This Row],[Emissieloos Transport naar verwerker?]]="JA",Inschrijf_Transport_Totaal[[#This Row],[Transport naar verwerker Vervangingen '[tkm']]],0)</f>
        <v>0</v>
      </c>
      <c r="L552" s="133">
        <f>Inschrijf_Transport_Totaal[[#This Row],[Emissieloos Transport]]+Inschrijf_Transport_Totaal[[#This Row],[Emissieloos Transport Vervangingen]]</f>
        <v>0</v>
      </c>
      <c r="M552" s="133">
        <f>(Inschrijf_Transport_Totaal[[#This Row],[Transport naar bouwplaats '[tkm']]]+Inschrijf_Transport_Totaal[[#This Row],[Transport naar verwerker '[tkm']]]+Inschrijf_Transport_Totaal[[#This Row],[Transport naar bouwplaats Vervangingen '[tkm']]]+Inschrijf_Transport_Totaal[[#This Row],[Transport naar verwerker Vervangingen '[tkm']]])-Inschrijf_Transport_Totaal[[#This Row],[Totaal Emissieloos Transport]]</f>
        <v>688.30949999999996</v>
      </c>
      <c r="N552" s="133">
        <f>Inschrijf_Transport_Totaal[[#This Row],[Totaal Emissieloos Transport]]+Inschrijf_Transport_Totaal[[#This Row],[Totaal Niet Emissieloos Transport]]</f>
        <v>688.30949999999996</v>
      </c>
    </row>
    <row r="553" spans="2:14">
      <c r="B553" s="209" t="str">
        <f>Optimalisatie!B30</f>
        <v>430040 - Leveren en aanbrengen opsluitbanden 100x200</v>
      </c>
      <c r="C553" s="51" t="str">
        <f>Optimalisatie!F30</f>
        <v>Opsluitband 100x200</v>
      </c>
      <c r="D553" s="93">
        <f>(IF(Optimalisatie!C30="Nieuwe Situatie",(Optimalisatie!U30),0)*Optimalisatie!R30)</f>
        <v>2414.7987499999999</v>
      </c>
      <c r="E553" s="98">
        <f>(IF(Optimalisatie!C30="Bestaande Situatie",(Optimalisatie!AE30),0)*Optimalisatie!R30)</f>
        <v>0</v>
      </c>
      <c r="F553" s="94" t="str">
        <f>_xlfn.IFNA(VLOOKUP(Optimalisatie!V30,Database_Transport[],60,FALSE),"Nee")</f>
        <v>Nee</v>
      </c>
      <c r="G553" s="94" t="str">
        <f>_xlfn.IFNA(VLOOKUP(Optimalisatie!AF30,Database_Transport[],60,FALSE),"Nee")</f>
        <v>Nee</v>
      </c>
      <c r="H553" s="133">
        <f>IF(Inschrijf_Transport_Totaal[[#This Row],[Emissieloos Transport naar bouwplaats?]]="JA",Inschrijf_Transport_Totaal[[#This Row],[Transport naar bouwplaats '[tkm']]],0)+IF(Inschrijf_Transport_Totaal[[#This Row],[Emissieloos Transport naar verwerker?]]="JA",Inschrijf_Transport_Totaal[[#This Row],[Transport naar verwerker '[tkm']]],0)</f>
        <v>0</v>
      </c>
      <c r="I553" s="133">
        <f>(IF(Optimalisatie!C30="Nieuwe Situatie",(Optimalisatie!U30),0)*Optimalisatie!R30)*Optimalisatie!T30</f>
        <v>0</v>
      </c>
      <c r="J553" s="133">
        <f>(IF(Optimalisatie!C30="Nieuwe Situatie",(Optimalisatie!AE30),(Optimalisatie!AE30))*Optimalisatie!R30)*Optimalisatie!T30</f>
        <v>0</v>
      </c>
      <c r="K553" s="133">
        <f>IF(Inschrijf_Transport_Totaal[[#This Row],[Emissieloos Transport naar bouwplaats?]]="JA",Inschrijf_Transport_Totaal[[#This Row],[Transport naar bouwplaats Vervangingen '[tkm']]],0)+IF(Inschrijf_Transport_Totaal[[#This Row],[Emissieloos Transport naar verwerker?]]="JA",Inschrijf_Transport_Totaal[[#This Row],[Transport naar verwerker Vervangingen '[tkm']]],0)</f>
        <v>0</v>
      </c>
      <c r="L553" s="133">
        <f>Inschrijf_Transport_Totaal[[#This Row],[Emissieloos Transport]]+Inschrijf_Transport_Totaal[[#This Row],[Emissieloos Transport Vervangingen]]</f>
        <v>0</v>
      </c>
      <c r="M553" s="133">
        <f>(Inschrijf_Transport_Totaal[[#This Row],[Transport naar bouwplaats '[tkm']]]+Inschrijf_Transport_Totaal[[#This Row],[Transport naar verwerker '[tkm']]]+Inschrijf_Transport_Totaal[[#This Row],[Transport naar bouwplaats Vervangingen '[tkm']]]+Inschrijf_Transport_Totaal[[#This Row],[Transport naar verwerker Vervangingen '[tkm']]])-Inschrijf_Transport_Totaal[[#This Row],[Totaal Emissieloos Transport]]</f>
        <v>2414.7987499999999</v>
      </c>
      <c r="N553" s="133">
        <f>Inschrijf_Transport_Totaal[[#This Row],[Totaal Emissieloos Transport]]+Inschrijf_Transport_Totaal[[#This Row],[Totaal Niet Emissieloos Transport]]</f>
        <v>2414.7987499999999</v>
      </c>
    </row>
    <row r="554" spans="2:14">
      <c r="B554" s="209" t="str">
        <f>Optimalisatie!B31</f>
        <v>430050 - Leveren en aanbrengen opsluitbanden 120x250</v>
      </c>
      <c r="C554" s="51" t="str">
        <f>Optimalisatie!F31</f>
        <v>Opsluitband 150x250</v>
      </c>
      <c r="D554" s="93">
        <f>(IF(Optimalisatie!C31="Nieuwe Situatie",(Optimalisatie!U31),0)*Optimalisatie!R31)</f>
        <v>4240.0312500000009</v>
      </c>
      <c r="E554" s="98">
        <f>(IF(Optimalisatie!C31="Bestaande Situatie",(Optimalisatie!AE31),0)*Optimalisatie!R31)</f>
        <v>0</v>
      </c>
      <c r="F554" s="94" t="str">
        <f>_xlfn.IFNA(VLOOKUP(Optimalisatie!V31,Database_Transport[],60,FALSE),"Nee")</f>
        <v>Nee</v>
      </c>
      <c r="G554" s="94" t="str">
        <f>_xlfn.IFNA(VLOOKUP(Optimalisatie!AF31,Database_Transport[],60,FALSE),"Nee")</f>
        <v>Nee</v>
      </c>
      <c r="H554" s="133">
        <f>IF(Inschrijf_Transport_Totaal[[#This Row],[Emissieloos Transport naar bouwplaats?]]="JA",Inschrijf_Transport_Totaal[[#This Row],[Transport naar bouwplaats '[tkm']]],0)+IF(Inschrijf_Transport_Totaal[[#This Row],[Emissieloos Transport naar verwerker?]]="JA",Inschrijf_Transport_Totaal[[#This Row],[Transport naar verwerker '[tkm']]],0)</f>
        <v>0</v>
      </c>
      <c r="I554" s="133">
        <f>(IF(Optimalisatie!C31="Nieuwe Situatie",(Optimalisatie!U31),0)*Optimalisatie!R31)*Optimalisatie!T31</f>
        <v>0</v>
      </c>
      <c r="J554" s="133">
        <f>(IF(Optimalisatie!C31="Nieuwe Situatie",(Optimalisatie!AE31),(Optimalisatie!AE31))*Optimalisatie!R31)*Optimalisatie!T31</f>
        <v>0</v>
      </c>
      <c r="K554" s="133">
        <f>IF(Inschrijf_Transport_Totaal[[#This Row],[Emissieloos Transport naar bouwplaats?]]="JA",Inschrijf_Transport_Totaal[[#This Row],[Transport naar bouwplaats Vervangingen '[tkm']]],0)+IF(Inschrijf_Transport_Totaal[[#This Row],[Emissieloos Transport naar verwerker?]]="JA",Inschrijf_Transport_Totaal[[#This Row],[Transport naar verwerker Vervangingen '[tkm']]],0)</f>
        <v>0</v>
      </c>
      <c r="L554" s="133">
        <f>Inschrijf_Transport_Totaal[[#This Row],[Emissieloos Transport]]+Inschrijf_Transport_Totaal[[#This Row],[Emissieloos Transport Vervangingen]]</f>
        <v>0</v>
      </c>
      <c r="M554" s="133">
        <f>(Inschrijf_Transport_Totaal[[#This Row],[Transport naar bouwplaats '[tkm']]]+Inschrijf_Transport_Totaal[[#This Row],[Transport naar verwerker '[tkm']]]+Inschrijf_Transport_Totaal[[#This Row],[Transport naar bouwplaats Vervangingen '[tkm']]]+Inschrijf_Transport_Totaal[[#This Row],[Transport naar verwerker Vervangingen '[tkm']]])-Inschrijf_Transport_Totaal[[#This Row],[Totaal Emissieloos Transport]]</f>
        <v>4240.0312500000009</v>
      </c>
      <c r="N554" s="133">
        <f>Inschrijf_Transport_Totaal[[#This Row],[Totaal Emissieloos Transport]]+Inschrijf_Transport_Totaal[[#This Row],[Totaal Niet Emissieloos Transport]]</f>
        <v>4240.0312500000009</v>
      </c>
    </row>
    <row r="555" spans="2:14">
      <c r="B555" s="209" t="str">
        <f>Optimalisatie!B32</f>
        <v>440010 - Aanbrengen straatbakstenen DF, Rood (rijweg)</v>
      </c>
      <c r="C555" s="51" t="str">
        <f>Optimalisatie!F32</f>
        <v>Baksteen</v>
      </c>
      <c r="D555" s="93">
        <f>(IF(Optimalisatie!C32="Nieuwe Situatie",(Optimalisatie!U32),0)*Optimalisatie!R32)</f>
        <v>36337</v>
      </c>
      <c r="E555" s="98">
        <f>(IF(Optimalisatie!C32="Bestaande Situatie",(Optimalisatie!AE32),0)*Optimalisatie!R32)</f>
        <v>0</v>
      </c>
      <c r="F555" s="94" t="str">
        <f>_xlfn.IFNA(VLOOKUP(Optimalisatie!V32,Database_Transport[],60,FALSE),"Nee")</f>
        <v>Nee</v>
      </c>
      <c r="G555" s="94" t="str">
        <f>_xlfn.IFNA(VLOOKUP(Optimalisatie!AF32,Database_Transport[],60,FALSE),"Nee")</f>
        <v>Nee</v>
      </c>
      <c r="H555" s="133">
        <f>IF(Inschrijf_Transport_Totaal[[#This Row],[Emissieloos Transport naar bouwplaats?]]="JA",Inschrijf_Transport_Totaal[[#This Row],[Transport naar bouwplaats '[tkm']]],0)+IF(Inschrijf_Transport_Totaal[[#This Row],[Emissieloos Transport naar verwerker?]]="JA",Inschrijf_Transport_Totaal[[#This Row],[Transport naar verwerker '[tkm']]],0)</f>
        <v>0</v>
      </c>
      <c r="I555" s="133">
        <f>(IF(Optimalisatie!C32="Nieuwe Situatie",(Optimalisatie!U32),0)*Optimalisatie!R32)*Optimalisatie!T32</f>
        <v>0</v>
      </c>
      <c r="J555" s="133">
        <f>(IF(Optimalisatie!C32="Nieuwe Situatie",(Optimalisatie!AE32),(Optimalisatie!AE32))*Optimalisatie!R32)*Optimalisatie!T32</f>
        <v>0</v>
      </c>
      <c r="K555" s="133">
        <f>IF(Inschrijf_Transport_Totaal[[#This Row],[Emissieloos Transport naar bouwplaats?]]="JA",Inschrijf_Transport_Totaal[[#This Row],[Transport naar bouwplaats Vervangingen '[tkm']]],0)+IF(Inschrijf_Transport_Totaal[[#This Row],[Emissieloos Transport naar verwerker?]]="JA",Inschrijf_Transport_Totaal[[#This Row],[Transport naar verwerker Vervangingen '[tkm']]],0)</f>
        <v>0</v>
      </c>
      <c r="L555" s="133">
        <f>Inschrijf_Transport_Totaal[[#This Row],[Emissieloos Transport]]+Inschrijf_Transport_Totaal[[#This Row],[Emissieloos Transport Vervangingen]]</f>
        <v>0</v>
      </c>
      <c r="M555" s="133">
        <f>(Inschrijf_Transport_Totaal[[#This Row],[Transport naar bouwplaats '[tkm']]]+Inschrijf_Transport_Totaal[[#This Row],[Transport naar verwerker '[tkm']]]+Inschrijf_Transport_Totaal[[#This Row],[Transport naar bouwplaats Vervangingen '[tkm']]]+Inschrijf_Transport_Totaal[[#This Row],[Transport naar verwerker Vervangingen '[tkm']]])-Inschrijf_Transport_Totaal[[#This Row],[Totaal Emissieloos Transport]]</f>
        <v>36337</v>
      </c>
      <c r="N555" s="133">
        <f>Inschrijf_Transport_Totaal[[#This Row],[Totaal Emissieloos Transport]]+Inschrijf_Transport_Totaal[[#This Row],[Totaal Niet Emissieloos Transport]]</f>
        <v>36337</v>
      </c>
    </row>
    <row r="556" spans="2:14">
      <c r="B556" s="209" t="str">
        <f>Optimalisatie!B33</f>
        <v>440020 - Aanbrengen straatbakstenen DF, Geel (rijweg/ plein)</v>
      </c>
      <c r="C556" s="51" t="str">
        <f>Optimalisatie!F33</f>
        <v>Baksteen</v>
      </c>
      <c r="D556" s="93">
        <f>(IF(Optimalisatie!C33="Nieuwe Situatie",(Optimalisatie!U33),0)*Optimalisatie!R33)</f>
        <v>53795</v>
      </c>
      <c r="E556" s="98">
        <f>(IF(Optimalisatie!C33="Bestaande Situatie",(Optimalisatie!AE33),0)*Optimalisatie!R33)</f>
        <v>0</v>
      </c>
      <c r="F556" s="94" t="str">
        <f>_xlfn.IFNA(VLOOKUP(Optimalisatie!V33,Database_Transport[],60,FALSE),"Nee")</f>
        <v>Nee</v>
      </c>
      <c r="G556" s="94" t="str">
        <f>_xlfn.IFNA(VLOOKUP(Optimalisatie!AF33,Database_Transport[],60,FALSE),"Nee")</f>
        <v>Nee</v>
      </c>
      <c r="H556" s="133">
        <f>IF(Inschrijf_Transport_Totaal[[#This Row],[Emissieloos Transport naar bouwplaats?]]="JA",Inschrijf_Transport_Totaal[[#This Row],[Transport naar bouwplaats '[tkm']]],0)+IF(Inschrijf_Transport_Totaal[[#This Row],[Emissieloos Transport naar verwerker?]]="JA",Inschrijf_Transport_Totaal[[#This Row],[Transport naar verwerker '[tkm']]],0)</f>
        <v>0</v>
      </c>
      <c r="I556" s="133">
        <f>(IF(Optimalisatie!C33="Nieuwe Situatie",(Optimalisatie!U33),0)*Optimalisatie!R33)*Optimalisatie!T33</f>
        <v>0</v>
      </c>
      <c r="J556" s="133">
        <f>(IF(Optimalisatie!C33="Nieuwe Situatie",(Optimalisatie!AE33),(Optimalisatie!AE33))*Optimalisatie!R33)*Optimalisatie!T33</f>
        <v>0</v>
      </c>
      <c r="K556" s="133">
        <f>IF(Inschrijf_Transport_Totaal[[#This Row],[Emissieloos Transport naar bouwplaats?]]="JA",Inschrijf_Transport_Totaal[[#This Row],[Transport naar bouwplaats Vervangingen '[tkm']]],0)+IF(Inschrijf_Transport_Totaal[[#This Row],[Emissieloos Transport naar verwerker?]]="JA",Inschrijf_Transport_Totaal[[#This Row],[Transport naar verwerker Vervangingen '[tkm']]],0)</f>
        <v>0</v>
      </c>
      <c r="L556" s="133">
        <f>Inschrijf_Transport_Totaal[[#This Row],[Emissieloos Transport]]+Inschrijf_Transport_Totaal[[#This Row],[Emissieloos Transport Vervangingen]]</f>
        <v>0</v>
      </c>
      <c r="M556" s="133">
        <f>(Inschrijf_Transport_Totaal[[#This Row],[Transport naar bouwplaats '[tkm']]]+Inschrijf_Transport_Totaal[[#This Row],[Transport naar verwerker '[tkm']]]+Inschrijf_Transport_Totaal[[#This Row],[Transport naar bouwplaats Vervangingen '[tkm']]]+Inschrijf_Transport_Totaal[[#This Row],[Transport naar verwerker Vervangingen '[tkm']]])-Inschrijf_Transport_Totaal[[#This Row],[Totaal Emissieloos Transport]]</f>
        <v>53795</v>
      </c>
      <c r="N556" s="133">
        <f>Inschrijf_Transport_Totaal[[#This Row],[Totaal Emissieloos Transport]]+Inschrijf_Transport_Totaal[[#This Row],[Totaal Niet Emissieloos Transport]]</f>
        <v>53795</v>
      </c>
    </row>
    <row r="557" spans="2:14">
      <c r="B557" s="209" t="str">
        <f>Optimalisatie!B34</f>
        <v>440030 - Aanbrengen straatbakstenen DF, Rood (parkeervakken)</v>
      </c>
      <c r="C557" s="51" t="str">
        <f>Optimalisatie!F34</f>
        <v>Baksteen</v>
      </c>
      <c r="D557" s="93">
        <f>(IF(Optimalisatie!C34="Nieuwe Situatie",(Optimalisatie!U34),0)*Optimalisatie!R34)</f>
        <v>3625</v>
      </c>
      <c r="E557" s="98">
        <f>(IF(Optimalisatie!C34="Bestaande Situatie",(Optimalisatie!AE34),0)*Optimalisatie!R34)</f>
        <v>0</v>
      </c>
      <c r="F557" s="94" t="str">
        <f>_xlfn.IFNA(VLOOKUP(Optimalisatie!V34,Database_Transport[],60,FALSE),"Nee")</f>
        <v>Nee</v>
      </c>
      <c r="G557" s="94" t="str">
        <f>_xlfn.IFNA(VLOOKUP(Optimalisatie!AF34,Database_Transport[],60,FALSE),"Nee")</f>
        <v>Nee</v>
      </c>
      <c r="H557" s="133">
        <f>IF(Inschrijf_Transport_Totaal[[#This Row],[Emissieloos Transport naar bouwplaats?]]="JA",Inschrijf_Transport_Totaal[[#This Row],[Transport naar bouwplaats '[tkm']]],0)+IF(Inschrijf_Transport_Totaal[[#This Row],[Emissieloos Transport naar verwerker?]]="JA",Inschrijf_Transport_Totaal[[#This Row],[Transport naar verwerker '[tkm']]],0)</f>
        <v>0</v>
      </c>
      <c r="I557" s="133">
        <f>(IF(Optimalisatie!C34="Nieuwe Situatie",(Optimalisatie!U34),0)*Optimalisatie!R34)*Optimalisatie!T34</f>
        <v>0</v>
      </c>
      <c r="J557" s="133">
        <f>(IF(Optimalisatie!C34="Nieuwe Situatie",(Optimalisatie!AE34),(Optimalisatie!AE34))*Optimalisatie!R34)*Optimalisatie!T34</f>
        <v>0</v>
      </c>
      <c r="K557" s="133">
        <f>IF(Inschrijf_Transport_Totaal[[#This Row],[Emissieloos Transport naar bouwplaats?]]="JA",Inschrijf_Transport_Totaal[[#This Row],[Transport naar bouwplaats Vervangingen '[tkm']]],0)+IF(Inschrijf_Transport_Totaal[[#This Row],[Emissieloos Transport naar verwerker?]]="JA",Inschrijf_Transport_Totaal[[#This Row],[Transport naar verwerker Vervangingen '[tkm']]],0)</f>
        <v>0</v>
      </c>
      <c r="L557" s="133">
        <f>Inschrijf_Transport_Totaal[[#This Row],[Emissieloos Transport]]+Inschrijf_Transport_Totaal[[#This Row],[Emissieloos Transport Vervangingen]]</f>
        <v>0</v>
      </c>
      <c r="M557" s="133">
        <f>(Inschrijf_Transport_Totaal[[#This Row],[Transport naar bouwplaats '[tkm']]]+Inschrijf_Transport_Totaal[[#This Row],[Transport naar verwerker '[tkm']]]+Inschrijf_Transport_Totaal[[#This Row],[Transport naar bouwplaats Vervangingen '[tkm']]]+Inschrijf_Transport_Totaal[[#This Row],[Transport naar verwerker Vervangingen '[tkm']]])-Inschrijf_Transport_Totaal[[#This Row],[Totaal Emissieloos Transport]]</f>
        <v>3625</v>
      </c>
      <c r="N557" s="133">
        <f>Inschrijf_Transport_Totaal[[#This Row],[Totaal Emissieloos Transport]]+Inschrijf_Transport_Totaal[[#This Row],[Totaal Niet Emissieloos Transport]]</f>
        <v>3625</v>
      </c>
    </row>
    <row r="558" spans="2:14">
      <c r="B558" s="209" t="str">
        <f>Optimalisatie!B35</f>
        <v>440040 - Aanbrengen straatbakstenen DF, Geel (parkeervakken)</v>
      </c>
      <c r="C558" s="51" t="str">
        <f>Optimalisatie!F35</f>
        <v>Baksteen</v>
      </c>
      <c r="D558" s="93">
        <f>(IF(Optimalisatie!C35="Nieuwe Situatie",(Optimalisatie!U35),0)*Optimalisatie!R35)</f>
        <v>4118</v>
      </c>
      <c r="E558" s="98">
        <f>(IF(Optimalisatie!C35="Bestaande Situatie",(Optimalisatie!AE35),0)*Optimalisatie!R35)</f>
        <v>0</v>
      </c>
      <c r="F558" s="94" t="str">
        <f>_xlfn.IFNA(VLOOKUP(Optimalisatie!V35,Database_Transport[],60,FALSE),"Nee")</f>
        <v>Nee</v>
      </c>
      <c r="G558" s="94" t="str">
        <f>_xlfn.IFNA(VLOOKUP(Optimalisatie!AF35,Database_Transport[],60,FALSE),"Nee")</f>
        <v>Nee</v>
      </c>
      <c r="H558" s="133">
        <f>IF(Inschrijf_Transport_Totaal[[#This Row],[Emissieloos Transport naar bouwplaats?]]="JA",Inschrijf_Transport_Totaal[[#This Row],[Transport naar bouwplaats '[tkm']]],0)+IF(Inschrijf_Transport_Totaal[[#This Row],[Emissieloos Transport naar verwerker?]]="JA",Inschrijf_Transport_Totaal[[#This Row],[Transport naar verwerker '[tkm']]],0)</f>
        <v>0</v>
      </c>
      <c r="I558" s="133">
        <f>(IF(Optimalisatie!C35="Nieuwe Situatie",(Optimalisatie!U35),0)*Optimalisatie!R35)*Optimalisatie!T35</f>
        <v>0</v>
      </c>
      <c r="J558" s="133">
        <f>(IF(Optimalisatie!C35="Nieuwe Situatie",(Optimalisatie!AE35),(Optimalisatie!AE35))*Optimalisatie!R35)*Optimalisatie!T35</f>
        <v>0</v>
      </c>
      <c r="K558" s="133">
        <f>IF(Inschrijf_Transport_Totaal[[#This Row],[Emissieloos Transport naar bouwplaats?]]="JA",Inschrijf_Transport_Totaal[[#This Row],[Transport naar bouwplaats Vervangingen '[tkm']]],0)+IF(Inschrijf_Transport_Totaal[[#This Row],[Emissieloos Transport naar verwerker?]]="JA",Inschrijf_Transport_Totaal[[#This Row],[Transport naar verwerker Vervangingen '[tkm']]],0)</f>
        <v>0</v>
      </c>
      <c r="L558" s="133">
        <f>Inschrijf_Transport_Totaal[[#This Row],[Emissieloos Transport]]+Inschrijf_Transport_Totaal[[#This Row],[Emissieloos Transport Vervangingen]]</f>
        <v>0</v>
      </c>
      <c r="M558" s="133">
        <f>(Inschrijf_Transport_Totaal[[#This Row],[Transport naar bouwplaats '[tkm']]]+Inschrijf_Transport_Totaal[[#This Row],[Transport naar verwerker '[tkm']]]+Inschrijf_Transport_Totaal[[#This Row],[Transport naar bouwplaats Vervangingen '[tkm']]]+Inschrijf_Transport_Totaal[[#This Row],[Transport naar verwerker Vervangingen '[tkm']]])-Inschrijf_Transport_Totaal[[#This Row],[Totaal Emissieloos Transport]]</f>
        <v>4118</v>
      </c>
      <c r="N558" s="133">
        <f>Inschrijf_Transport_Totaal[[#This Row],[Totaal Emissieloos Transport]]+Inschrijf_Transport_Totaal[[#This Row],[Totaal Niet Emissieloos Transport]]</f>
        <v>4118</v>
      </c>
    </row>
    <row r="559" spans="2:14">
      <c r="B559" s="209" t="str">
        <f>Optimalisatie!B36</f>
        <v>440050 - Leveren en aanbrengen open (grasbeton) verharding (parkeerplaats)</v>
      </c>
      <c r="C559" s="51" t="str">
        <f>Optimalisatie!F36</f>
        <v>Grasbetontegel CEM I 120 mm</v>
      </c>
      <c r="D559" s="93">
        <f>(IF(Optimalisatie!C36="Nieuwe Situatie",(Optimalisatie!U36),0)*Optimalisatie!R36)</f>
        <v>9726.5249999999996</v>
      </c>
      <c r="E559" s="98">
        <f>(IF(Optimalisatie!C36="Bestaande Situatie",(Optimalisatie!AE36),0)*Optimalisatie!R36)</f>
        <v>0</v>
      </c>
      <c r="F559" s="94" t="str">
        <f>_xlfn.IFNA(VLOOKUP(Optimalisatie!V36,Database_Transport[],60,FALSE),"Nee")</f>
        <v>Nee</v>
      </c>
      <c r="G559" s="94" t="str">
        <f>_xlfn.IFNA(VLOOKUP(Optimalisatie!AF36,Database_Transport[],60,FALSE),"Nee")</f>
        <v>Nee</v>
      </c>
      <c r="H559" s="133">
        <f>IF(Inschrijf_Transport_Totaal[[#This Row],[Emissieloos Transport naar bouwplaats?]]="JA",Inschrijf_Transport_Totaal[[#This Row],[Transport naar bouwplaats '[tkm']]],0)+IF(Inschrijf_Transport_Totaal[[#This Row],[Emissieloos Transport naar verwerker?]]="JA",Inschrijf_Transport_Totaal[[#This Row],[Transport naar verwerker '[tkm']]],0)</f>
        <v>0</v>
      </c>
      <c r="I559" s="133">
        <f>(IF(Optimalisatie!C36="Nieuwe Situatie",(Optimalisatie!U36),0)*Optimalisatie!R36)*Optimalisatie!T36</f>
        <v>0</v>
      </c>
      <c r="J559" s="133">
        <f>(IF(Optimalisatie!C36="Nieuwe Situatie",(Optimalisatie!AE36),(Optimalisatie!AE36))*Optimalisatie!R36)*Optimalisatie!T36</f>
        <v>0</v>
      </c>
      <c r="K559" s="133">
        <f>IF(Inschrijf_Transport_Totaal[[#This Row],[Emissieloos Transport naar bouwplaats?]]="JA",Inschrijf_Transport_Totaal[[#This Row],[Transport naar bouwplaats Vervangingen '[tkm']]],0)+IF(Inschrijf_Transport_Totaal[[#This Row],[Emissieloos Transport naar verwerker?]]="JA",Inschrijf_Transport_Totaal[[#This Row],[Transport naar verwerker Vervangingen '[tkm']]],0)</f>
        <v>0</v>
      </c>
      <c r="L559" s="133">
        <f>Inschrijf_Transport_Totaal[[#This Row],[Emissieloos Transport]]+Inschrijf_Transport_Totaal[[#This Row],[Emissieloos Transport Vervangingen]]</f>
        <v>0</v>
      </c>
      <c r="M559" s="133">
        <f>(Inschrijf_Transport_Totaal[[#This Row],[Transport naar bouwplaats '[tkm']]]+Inschrijf_Transport_Totaal[[#This Row],[Transport naar verwerker '[tkm']]]+Inschrijf_Transport_Totaal[[#This Row],[Transport naar bouwplaats Vervangingen '[tkm']]]+Inschrijf_Transport_Totaal[[#This Row],[Transport naar verwerker Vervangingen '[tkm']]])-Inschrijf_Transport_Totaal[[#This Row],[Totaal Emissieloos Transport]]</f>
        <v>9726.5249999999996</v>
      </c>
      <c r="N559" s="133">
        <f>Inschrijf_Transport_Totaal[[#This Row],[Totaal Emissieloos Transport]]+Inschrijf_Transport_Totaal[[#This Row],[Totaal Niet Emissieloos Transport]]</f>
        <v>9726.5249999999996</v>
      </c>
    </row>
    <row r="560" spans="2:14">
      <c r="B560" s="209" t="str">
        <f>Optimalisatie!B37</f>
        <v>440060 - Aanbrengen straatbakstenen DF, Rood (trottoir)</v>
      </c>
      <c r="C560" s="51" t="str">
        <f>Optimalisatie!F37</f>
        <v>Baksteen</v>
      </c>
      <c r="D560" s="93">
        <f>(IF(Optimalisatie!C37="Nieuwe Situatie",(Optimalisatie!U37),0)*Optimalisatie!R37)</f>
        <v>25462</v>
      </c>
      <c r="E560" s="98">
        <f>(IF(Optimalisatie!C37="Bestaande Situatie",(Optimalisatie!AE37),0)*Optimalisatie!R37)</f>
        <v>0</v>
      </c>
      <c r="F560" s="94" t="str">
        <f>_xlfn.IFNA(VLOOKUP(Optimalisatie!V37,Database_Transport[],60,FALSE),"Nee")</f>
        <v>Nee</v>
      </c>
      <c r="G560" s="94" t="str">
        <f>_xlfn.IFNA(VLOOKUP(Optimalisatie!AF37,Database_Transport[],60,FALSE),"Nee")</f>
        <v>Nee</v>
      </c>
      <c r="H560" s="133">
        <f>IF(Inschrijf_Transport_Totaal[[#This Row],[Emissieloos Transport naar bouwplaats?]]="JA",Inschrijf_Transport_Totaal[[#This Row],[Transport naar bouwplaats '[tkm']]],0)+IF(Inschrijf_Transport_Totaal[[#This Row],[Emissieloos Transport naar verwerker?]]="JA",Inschrijf_Transport_Totaal[[#This Row],[Transport naar verwerker '[tkm']]],0)</f>
        <v>0</v>
      </c>
      <c r="I560" s="133">
        <f>(IF(Optimalisatie!C37="Nieuwe Situatie",(Optimalisatie!U37),0)*Optimalisatie!R37)*Optimalisatie!T37</f>
        <v>0</v>
      </c>
      <c r="J560" s="133">
        <f>(IF(Optimalisatie!C37="Nieuwe Situatie",(Optimalisatie!AE37),(Optimalisatie!AE37))*Optimalisatie!R37)*Optimalisatie!T37</f>
        <v>0</v>
      </c>
      <c r="K560" s="133">
        <f>IF(Inschrijf_Transport_Totaal[[#This Row],[Emissieloos Transport naar bouwplaats?]]="JA",Inschrijf_Transport_Totaal[[#This Row],[Transport naar bouwplaats Vervangingen '[tkm']]],0)+IF(Inschrijf_Transport_Totaal[[#This Row],[Emissieloos Transport naar verwerker?]]="JA",Inschrijf_Transport_Totaal[[#This Row],[Transport naar verwerker Vervangingen '[tkm']]],0)</f>
        <v>0</v>
      </c>
      <c r="L560" s="133">
        <f>Inschrijf_Transport_Totaal[[#This Row],[Emissieloos Transport]]+Inschrijf_Transport_Totaal[[#This Row],[Emissieloos Transport Vervangingen]]</f>
        <v>0</v>
      </c>
      <c r="M560" s="133">
        <f>(Inschrijf_Transport_Totaal[[#This Row],[Transport naar bouwplaats '[tkm']]]+Inschrijf_Transport_Totaal[[#This Row],[Transport naar verwerker '[tkm']]]+Inschrijf_Transport_Totaal[[#This Row],[Transport naar bouwplaats Vervangingen '[tkm']]]+Inschrijf_Transport_Totaal[[#This Row],[Transport naar verwerker Vervangingen '[tkm']]])-Inschrijf_Transport_Totaal[[#This Row],[Totaal Emissieloos Transport]]</f>
        <v>25462</v>
      </c>
      <c r="N560" s="133">
        <f>Inschrijf_Transport_Totaal[[#This Row],[Totaal Emissieloos Transport]]+Inschrijf_Transport_Totaal[[#This Row],[Totaal Niet Emissieloos Transport]]</f>
        <v>25462</v>
      </c>
    </row>
    <row r="561" spans="2:14">
      <c r="B561" s="209" t="str">
        <f>Optimalisatie!B38</f>
        <v>440070 - Aanbrengen straatbakstenen DF, Geel (trottoir)</v>
      </c>
      <c r="C561" s="51" t="str">
        <f>Optimalisatie!F38</f>
        <v>Baksteen</v>
      </c>
      <c r="D561" s="93">
        <f>(IF(Optimalisatie!C38="Nieuwe Situatie",(Optimalisatie!U38),0)*Optimalisatie!R38)</f>
        <v>6670</v>
      </c>
      <c r="E561" s="98">
        <f>(IF(Optimalisatie!C38="Bestaande Situatie",(Optimalisatie!AE38),0)*Optimalisatie!R38)</f>
        <v>0</v>
      </c>
      <c r="F561" s="94" t="str">
        <f>_xlfn.IFNA(VLOOKUP(Optimalisatie!V38,Database_Transport[],60,FALSE),"Nee")</f>
        <v>Nee</v>
      </c>
      <c r="G561" s="94" t="str">
        <f>_xlfn.IFNA(VLOOKUP(Optimalisatie!AF38,Database_Transport[],60,FALSE),"Nee")</f>
        <v>Nee</v>
      </c>
      <c r="H561" s="133">
        <f>IF(Inschrijf_Transport_Totaal[[#This Row],[Emissieloos Transport naar bouwplaats?]]="JA",Inschrijf_Transport_Totaal[[#This Row],[Transport naar bouwplaats '[tkm']]],0)+IF(Inschrijf_Transport_Totaal[[#This Row],[Emissieloos Transport naar verwerker?]]="JA",Inschrijf_Transport_Totaal[[#This Row],[Transport naar verwerker '[tkm']]],0)</f>
        <v>0</v>
      </c>
      <c r="I561" s="133">
        <f>(IF(Optimalisatie!C38="Nieuwe Situatie",(Optimalisatie!U38),0)*Optimalisatie!R38)*Optimalisatie!T38</f>
        <v>0</v>
      </c>
      <c r="J561" s="133">
        <f>(IF(Optimalisatie!C38="Nieuwe Situatie",(Optimalisatie!AE38),(Optimalisatie!AE38))*Optimalisatie!R38)*Optimalisatie!T38</f>
        <v>0</v>
      </c>
      <c r="K561" s="133">
        <f>IF(Inschrijf_Transport_Totaal[[#This Row],[Emissieloos Transport naar bouwplaats?]]="JA",Inschrijf_Transport_Totaal[[#This Row],[Transport naar bouwplaats Vervangingen '[tkm']]],0)+IF(Inschrijf_Transport_Totaal[[#This Row],[Emissieloos Transport naar verwerker?]]="JA",Inschrijf_Transport_Totaal[[#This Row],[Transport naar verwerker Vervangingen '[tkm']]],0)</f>
        <v>0</v>
      </c>
      <c r="L561" s="133">
        <f>Inschrijf_Transport_Totaal[[#This Row],[Emissieloos Transport]]+Inschrijf_Transport_Totaal[[#This Row],[Emissieloos Transport Vervangingen]]</f>
        <v>0</v>
      </c>
      <c r="M561" s="133">
        <f>(Inschrijf_Transport_Totaal[[#This Row],[Transport naar bouwplaats '[tkm']]]+Inschrijf_Transport_Totaal[[#This Row],[Transport naar verwerker '[tkm']]]+Inschrijf_Transport_Totaal[[#This Row],[Transport naar bouwplaats Vervangingen '[tkm']]]+Inschrijf_Transport_Totaal[[#This Row],[Transport naar verwerker Vervangingen '[tkm']]])-Inschrijf_Transport_Totaal[[#This Row],[Totaal Emissieloos Transport]]</f>
        <v>6670</v>
      </c>
      <c r="N561" s="133">
        <f>Inschrijf_Transport_Totaal[[#This Row],[Totaal Emissieloos Transport]]+Inschrijf_Transport_Totaal[[#This Row],[Totaal Niet Emissieloos Transport]]</f>
        <v>6670</v>
      </c>
    </row>
    <row r="562" spans="2:14">
      <c r="B562" s="209" t="str">
        <f>Optimalisatie!B39</f>
        <v>440090 - Aanbrengen straatbakstenen DF, Rood (drempelopgang)</v>
      </c>
      <c r="C562" s="51" t="str">
        <f>Optimalisatie!F39</f>
        <v>Baksteen</v>
      </c>
      <c r="D562" s="93">
        <f>(IF(Optimalisatie!C39="Nieuwe Situatie",(Optimalisatie!U39),0)*Optimalisatie!R39)</f>
        <v>1305</v>
      </c>
      <c r="E562" s="98">
        <f>(IF(Optimalisatie!C39="Bestaande Situatie",(Optimalisatie!AE39),0)*Optimalisatie!R39)</f>
        <v>0</v>
      </c>
      <c r="F562" s="94" t="str">
        <f>_xlfn.IFNA(VLOOKUP(Optimalisatie!V39,Database_Transport[],60,FALSE),"Nee")</f>
        <v>Nee</v>
      </c>
      <c r="G562" s="94" t="str">
        <f>_xlfn.IFNA(VLOOKUP(Optimalisatie!AF39,Database_Transport[],60,FALSE),"Nee")</f>
        <v>Nee</v>
      </c>
      <c r="H562" s="133">
        <f>IF(Inschrijf_Transport_Totaal[[#This Row],[Emissieloos Transport naar bouwplaats?]]="JA",Inschrijf_Transport_Totaal[[#This Row],[Transport naar bouwplaats '[tkm']]],0)+IF(Inschrijf_Transport_Totaal[[#This Row],[Emissieloos Transport naar verwerker?]]="JA",Inschrijf_Transport_Totaal[[#This Row],[Transport naar verwerker '[tkm']]],0)</f>
        <v>0</v>
      </c>
      <c r="I562" s="133">
        <f>(IF(Optimalisatie!C39="Nieuwe Situatie",(Optimalisatie!U39),0)*Optimalisatie!R39)*Optimalisatie!T39</f>
        <v>0</v>
      </c>
      <c r="J562" s="133">
        <f>(IF(Optimalisatie!C39="Nieuwe Situatie",(Optimalisatie!AE39),(Optimalisatie!AE39))*Optimalisatie!R39)*Optimalisatie!T39</f>
        <v>0</v>
      </c>
      <c r="K562" s="133">
        <f>IF(Inschrijf_Transport_Totaal[[#This Row],[Emissieloos Transport naar bouwplaats?]]="JA",Inschrijf_Transport_Totaal[[#This Row],[Transport naar bouwplaats Vervangingen '[tkm']]],0)+IF(Inschrijf_Transport_Totaal[[#This Row],[Emissieloos Transport naar verwerker?]]="JA",Inschrijf_Transport_Totaal[[#This Row],[Transport naar verwerker Vervangingen '[tkm']]],0)</f>
        <v>0</v>
      </c>
      <c r="L562" s="133">
        <f>Inschrijf_Transport_Totaal[[#This Row],[Emissieloos Transport]]+Inschrijf_Transport_Totaal[[#This Row],[Emissieloos Transport Vervangingen]]</f>
        <v>0</v>
      </c>
      <c r="M562" s="133">
        <f>(Inschrijf_Transport_Totaal[[#This Row],[Transport naar bouwplaats '[tkm']]]+Inschrijf_Transport_Totaal[[#This Row],[Transport naar verwerker '[tkm']]]+Inschrijf_Transport_Totaal[[#This Row],[Transport naar bouwplaats Vervangingen '[tkm']]]+Inschrijf_Transport_Totaal[[#This Row],[Transport naar verwerker Vervangingen '[tkm']]])-Inschrijf_Transport_Totaal[[#This Row],[Totaal Emissieloos Transport]]</f>
        <v>1305</v>
      </c>
      <c r="N562" s="133">
        <f>Inschrijf_Transport_Totaal[[#This Row],[Totaal Emissieloos Transport]]+Inschrijf_Transport_Totaal[[#This Row],[Totaal Niet Emissieloos Transport]]</f>
        <v>1305</v>
      </c>
    </row>
    <row r="563" spans="2:14">
      <c r="B563" s="209">
        <f>Optimalisatie!B40</f>
        <v>0</v>
      </c>
      <c r="C563" s="51">
        <f>Optimalisatie!F40</f>
        <v>0</v>
      </c>
      <c r="D563" s="93">
        <f>(IF(Optimalisatie!C40="Nieuwe Situatie",(Optimalisatie!U40),0)*Optimalisatie!R40)</f>
        <v>0</v>
      </c>
      <c r="E563" s="98">
        <f>(IF(Optimalisatie!C40="Bestaande Situatie",(Optimalisatie!AE40),0)*Optimalisatie!R40)</f>
        <v>0</v>
      </c>
      <c r="F563" s="94" t="str">
        <f>_xlfn.IFNA(VLOOKUP(Optimalisatie!V40,Database_Transport[],60,FALSE),"Nee")</f>
        <v>Nee</v>
      </c>
      <c r="G563" s="94" t="str">
        <f>_xlfn.IFNA(VLOOKUP(Optimalisatie!AF40,Database_Transport[],60,FALSE),"Nee")</f>
        <v>Nee</v>
      </c>
      <c r="H563" s="133">
        <f>IF(Inschrijf_Transport_Totaal[[#This Row],[Emissieloos Transport naar bouwplaats?]]="JA",Inschrijf_Transport_Totaal[[#This Row],[Transport naar bouwplaats '[tkm']]],0)+IF(Inschrijf_Transport_Totaal[[#This Row],[Emissieloos Transport naar verwerker?]]="JA",Inschrijf_Transport_Totaal[[#This Row],[Transport naar verwerker '[tkm']]],0)</f>
        <v>0</v>
      </c>
      <c r="I563" s="133">
        <f>(IF(Optimalisatie!C40="Nieuwe Situatie",(Optimalisatie!U40),0)*Optimalisatie!R40)*Optimalisatie!T40</f>
        <v>0</v>
      </c>
      <c r="J563" s="133">
        <f>(IF(Optimalisatie!C40="Nieuwe Situatie",(Optimalisatie!AE40),(Optimalisatie!AE40))*Optimalisatie!R40)*Optimalisatie!T40</f>
        <v>0</v>
      </c>
      <c r="K563" s="133">
        <f>IF(Inschrijf_Transport_Totaal[[#This Row],[Emissieloos Transport naar bouwplaats?]]="JA",Inschrijf_Transport_Totaal[[#This Row],[Transport naar bouwplaats Vervangingen '[tkm']]],0)+IF(Inschrijf_Transport_Totaal[[#This Row],[Emissieloos Transport naar verwerker?]]="JA",Inschrijf_Transport_Totaal[[#This Row],[Transport naar verwerker Vervangingen '[tkm']]],0)</f>
        <v>0</v>
      </c>
      <c r="L563" s="133">
        <f>Inschrijf_Transport_Totaal[[#This Row],[Emissieloos Transport]]+Inschrijf_Transport_Totaal[[#This Row],[Emissieloos Transport Vervangingen]]</f>
        <v>0</v>
      </c>
      <c r="M563" s="133">
        <f>(Inschrijf_Transport_Totaal[[#This Row],[Transport naar bouwplaats '[tkm']]]+Inschrijf_Transport_Totaal[[#This Row],[Transport naar verwerker '[tkm']]]+Inschrijf_Transport_Totaal[[#This Row],[Transport naar bouwplaats Vervangingen '[tkm']]]+Inschrijf_Transport_Totaal[[#This Row],[Transport naar verwerker Vervangingen '[tkm']]])-Inschrijf_Transport_Totaal[[#This Row],[Totaal Emissieloos Transport]]</f>
        <v>0</v>
      </c>
      <c r="N563" s="133">
        <f>Inschrijf_Transport_Totaal[[#This Row],[Totaal Emissieloos Transport]]+Inschrijf_Transport_Totaal[[#This Row],[Totaal Niet Emissieloos Transport]]</f>
        <v>0</v>
      </c>
    </row>
    <row r="564" spans="2:14">
      <c r="B564" s="209">
        <f>Optimalisatie!B41</f>
        <v>0</v>
      </c>
      <c r="C564" s="51">
        <f>Optimalisatie!F41</f>
        <v>0</v>
      </c>
      <c r="D564" s="93">
        <f>(IF(Optimalisatie!C41="Nieuwe Situatie",(Optimalisatie!U41),0)*Optimalisatie!R41)</f>
        <v>0</v>
      </c>
      <c r="E564" s="98">
        <f>(IF(Optimalisatie!C41="Bestaande Situatie",(Optimalisatie!AE41),0)*Optimalisatie!R41)</f>
        <v>0</v>
      </c>
      <c r="F564" s="94" t="str">
        <f>_xlfn.IFNA(VLOOKUP(Optimalisatie!V41,Database_Transport[],60,FALSE),"Nee")</f>
        <v>Nee</v>
      </c>
      <c r="G564" s="94" t="str">
        <f>_xlfn.IFNA(VLOOKUP(Optimalisatie!AF41,Database_Transport[],60,FALSE),"Nee")</f>
        <v>Nee</v>
      </c>
      <c r="H564" s="133">
        <f>IF(Inschrijf_Transport_Totaal[[#This Row],[Emissieloos Transport naar bouwplaats?]]="JA",Inschrijf_Transport_Totaal[[#This Row],[Transport naar bouwplaats '[tkm']]],0)+IF(Inschrijf_Transport_Totaal[[#This Row],[Emissieloos Transport naar verwerker?]]="JA",Inschrijf_Transport_Totaal[[#This Row],[Transport naar verwerker '[tkm']]],0)</f>
        <v>0</v>
      </c>
      <c r="I564" s="133">
        <f>(IF(Optimalisatie!C41="Nieuwe Situatie",(Optimalisatie!U41),0)*Optimalisatie!R41)*Optimalisatie!T41</f>
        <v>0</v>
      </c>
      <c r="J564" s="133">
        <f>(IF(Optimalisatie!C41="Nieuwe Situatie",(Optimalisatie!AE41),(Optimalisatie!AE41))*Optimalisatie!R41)*Optimalisatie!T41</f>
        <v>0</v>
      </c>
      <c r="K564" s="133">
        <f>IF(Inschrijf_Transport_Totaal[[#This Row],[Emissieloos Transport naar bouwplaats?]]="JA",Inschrijf_Transport_Totaal[[#This Row],[Transport naar bouwplaats Vervangingen '[tkm']]],0)+IF(Inschrijf_Transport_Totaal[[#This Row],[Emissieloos Transport naar verwerker?]]="JA",Inschrijf_Transport_Totaal[[#This Row],[Transport naar verwerker Vervangingen '[tkm']]],0)</f>
        <v>0</v>
      </c>
      <c r="L564" s="133">
        <f>Inschrijf_Transport_Totaal[[#This Row],[Emissieloos Transport]]+Inschrijf_Transport_Totaal[[#This Row],[Emissieloos Transport Vervangingen]]</f>
        <v>0</v>
      </c>
      <c r="M564" s="133">
        <f>(Inschrijf_Transport_Totaal[[#This Row],[Transport naar bouwplaats '[tkm']]]+Inschrijf_Transport_Totaal[[#This Row],[Transport naar verwerker '[tkm']]]+Inschrijf_Transport_Totaal[[#This Row],[Transport naar bouwplaats Vervangingen '[tkm']]]+Inschrijf_Transport_Totaal[[#This Row],[Transport naar verwerker Vervangingen '[tkm']]])-Inschrijf_Transport_Totaal[[#This Row],[Totaal Emissieloos Transport]]</f>
        <v>0</v>
      </c>
      <c r="N564" s="133">
        <f>Inschrijf_Transport_Totaal[[#This Row],[Totaal Emissieloos Transport]]+Inschrijf_Transport_Totaal[[#This Row],[Totaal Niet Emissieloos Transport]]</f>
        <v>0</v>
      </c>
    </row>
    <row r="565" spans="2:14">
      <c r="B565" s="209">
        <f>Optimalisatie!B42</f>
        <v>0</v>
      </c>
      <c r="C565" s="51">
        <f>Optimalisatie!F42</f>
        <v>0</v>
      </c>
      <c r="D565" s="93">
        <f>(IF(Optimalisatie!C42="Nieuwe Situatie",(Optimalisatie!U42),0)*Optimalisatie!R42)</f>
        <v>0</v>
      </c>
      <c r="E565" s="98">
        <f>(IF(Optimalisatie!C42="Bestaande Situatie",(Optimalisatie!AE42),0)*Optimalisatie!R42)</f>
        <v>0</v>
      </c>
      <c r="F565" s="94" t="str">
        <f>_xlfn.IFNA(VLOOKUP(Optimalisatie!V42,Database_Transport[],60,FALSE),"Nee")</f>
        <v>Nee</v>
      </c>
      <c r="G565" s="94" t="str">
        <f>_xlfn.IFNA(VLOOKUP(Optimalisatie!AF42,Database_Transport[],60,FALSE),"Nee")</f>
        <v>Nee</v>
      </c>
      <c r="H565" s="133">
        <f>IF(Inschrijf_Transport_Totaal[[#This Row],[Emissieloos Transport naar bouwplaats?]]="JA",Inschrijf_Transport_Totaal[[#This Row],[Transport naar bouwplaats '[tkm']]],0)+IF(Inschrijf_Transport_Totaal[[#This Row],[Emissieloos Transport naar verwerker?]]="JA",Inschrijf_Transport_Totaal[[#This Row],[Transport naar verwerker '[tkm']]],0)</f>
        <v>0</v>
      </c>
      <c r="I565" s="133">
        <f>(IF(Optimalisatie!C42="Nieuwe Situatie",(Optimalisatie!U42),0)*Optimalisatie!R42)*Optimalisatie!T42</f>
        <v>0</v>
      </c>
      <c r="J565" s="133">
        <f>(IF(Optimalisatie!C42="Nieuwe Situatie",(Optimalisatie!AE42),(Optimalisatie!AE42))*Optimalisatie!R42)*Optimalisatie!T42</f>
        <v>0</v>
      </c>
      <c r="K565" s="133">
        <f>IF(Inschrijf_Transport_Totaal[[#This Row],[Emissieloos Transport naar bouwplaats?]]="JA",Inschrijf_Transport_Totaal[[#This Row],[Transport naar bouwplaats Vervangingen '[tkm']]],0)+IF(Inschrijf_Transport_Totaal[[#This Row],[Emissieloos Transport naar verwerker?]]="JA",Inschrijf_Transport_Totaal[[#This Row],[Transport naar verwerker Vervangingen '[tkm']]],0)</f>
        <v>0</v>
      </c>
      <c r="L565" s="133">
        <f>Inschrijf_Transport_Totaal[[#This Row],[Emissieloos Transport]]+Inschrijf_Transport_Totaal[[#This Row],[Emissieloos Transport Vervangingen]]</f>
        <v>0</v>
      </c>
      <c r="M565" s="133">
        <f>(Inschrijf_Transport_Totaal[[#This Row],[Transport naar bouwplaats '[tkm']]]+Inschrijf_Transport_Totaal[[#This Row],[Transport naar verwerker '[tkm']]]+Inschrijf_Transport_Totaal[[#This Row],[Transport naar bouwplaats Vervangingen '[tkm']]]+Inschrijf_Transport_Totaal[[#This Row],[Transport naar verwerker Vervangingen '[tkm']]])-Inschrijf_Transport_Totaal[[#This Row],[Totaal Emissieloos Transport]]</f>
        <v>0</v>
      </c>
      <c r="N565" s="133">
        <f>Inschrijf_Transport_Totaal[[#This Row],[Totaal Emissieloos Transport]]+Inschrijf_Transport_Totaal[[#This Row],[Totaal Niet Emissieloos Transport]]</f>
        <v>0</v>
      </c>
    </row>
    <row r="566" spans="2:14">
      <c r="B566" s="209">
        <f>Optimalisatie!B43</f>
        <v>0</v>
      </c>
      <c r="C566" s="51">
        <f>Optimalisatie!F43</f>
        <v>0</v>
      </c>
      <c r="D566" s="93">
        <f>(IF(Optimalisatie!C43="Nieuwe Situatie",(Optimalisatie!U43),0)*Optimalisatie!R43)</f>
        <v>0</v>
      </c>
      <c r="E566" s="98">
        <f>(IF(Optimalisatie!C43="Bestaande Situatie",(Optimalisatie!AE43),0)*Optimalisatie!R43)</f>
        <v>0</v>
      </c>
      <c r="F566" s="94" t="str">
        <f>_xlfn.IFNA(VLOOKUP(Optimalisatie!V43,Database_Transport[],60,FALSE),"Nee")</f>
        <v>Nee</v>
      </c>
      <c r="G566" s="94" t="str">
        <f>_xlfn.IFNA(VLOOKUP(Optimalisatie!AF43,Database_Transport[],60,FALSE),"Nee")</f>
        <v>Nee</v>
      </c>
      <c r="H566" s="133">
        <f>IF(Inschrijf_Transport_Totaal[[#This Row],[Emissieloos Transport naar bouwplaats?]]="JA",Inschrijf_Transport_Totaal[[#This Row],[Transport naar bouwplaats '[tkm']]],0)+IF(Inschrijf_Transport_Totaal[[#This Row],[Emissieloos Transport naar verwerker?]]="JA",Inschrijf_Transport_Totaal[[#This Row],[Transport naar verwerker '[tkm']]],0)</f>
        <v>0</v>
      </c>
      <c r="I566" s="133">
        <f>(IF(Optimalisatie!C43="Nieuwe Situatie",(Optimalisatie!U43),0)*Optimalisatie!R43)*Optimalisatie!T43</f>
        <v>0</v>
      </c>
      <c r="J566" s="133">
        <f>(IF(Optimalisatie!C43="Nieuwe Situatie",(Optimalisatie!AE43),(Optimalisatie!AE43))*Optimalisatie!R43)*Optimalisatie!T43</f>
        <v>0</v>
      </c>
      <c r="K566" s="133">
        <f>IF(Inschrijf_Transport_Totaal[[#This Row],[Emissieloos Transport naar bouwplaats?]]="JA",Inschrijf_Transport_Totaal[[#This Row],[Transport naar bouwplaats Vervangingen '[tkm']]],0)+IF(Inschrijf_Transport_Totaal[[#This Row],[Emissieloos Transport naar verwerker?]]="JA",Inschrijf_Transport_Totaal[[#This Row],[Transport naar verwerker Vervangingen '[tkm']]],0)</f>
        <v>0</v>
      </c>
      <c r="L566" s="133">
        <f>Inschrijf_Transport_Totaal[[#This Row],[Emissieloos Transport]]+Inschrijf_Transport_Totaal[[#This Row],[Emissieloos Transport Vervangingen]]</f>
        <v>0</v>
      </c>
      <c r="M566" s="133">
        <f>(Inschrijf_Transport_Totaal[[#This Row],[Transport naar bouwplaats '[tkm']]]+Inschrijf_Transport_Totaal[[#This Row],[Transport naar verwerker '[tkm']]]+Inschrijf_Transport_Totaal[[#This Row],[Transport naar bouwplaats Vervangingen '[tkm']]]+Inschrijf_Transport_Totaal[[#This Row],[Transport naar verwerker Vervangingen '[tkm']]])-Inschrijf_Transport_Totaal[[#This Row],[Totaal Emissieloos Transport]]</f>
        <v>0</v>
      </c>
      <c r="N566" s="133">
        <f>Inschrijf_Transport_Totaal[[#This Row],[Totaal Emissieloos Transport]]+Inschrijf_Transport_Totaal[[#This Row],[Totaal Niet Emissieloos Transport]]</f>
        <v>0</v>
      </c>
    </row>
    <row r="567" spans="2:14">
      <c r="B567" s="209">
        <f>Optimalisatie!B44</f>
        <v>0</v>
      </c>
      <c r="C567" s="51">
        <f>Optimalisatie!F44</f>
        <v>0</v>
      </c>
      <c r="D567" s="93">
        <f>(IF(Optimalisatie!C44="Nieuwe Situatie",(Optimalisatie!U44),0)*Optimalisatie!R44)</f>
        <v>0</v>
      </c>
      <c r="E567" s="98">
        <f>(IF(Optimalisatie!C44="Bestaande Situatie",(Optimalisatie!AE44),0)*Optimalisatie!R44)</f>
        <v>0</v>
      </c>
      <c r="F567" s="94" t="str">
        <f>_xlfn.IFNA(VLOOKUP(Optimalisatie!V44,Database_Transport[],60,FALSE),"Nee")</f>
        <v>Nee</v>
      </c>
      <c r="G567" s="94" t="str">
        <f>_xlfn.IFNA(VLOOKUP(Optimalisatie!AF44,Database_Transport[],60,FALSE),"Nee")</f>
        <v>Nee</v>
      </c>
      <c r="H567" s="133">
        <f>IF(Inschrijf_Transport_Totaal[[#This Row],[Emissieloos Transport naar bouwplaats?]]="JA",Inschrijf_Transport_Totaal[[#This Row],[Transport naar bouwplaats '[tkm']]],0)+IF(Inschrijf_Transport_Totaal[[#This Row],[Emissieloos Transport naar verwerker?]]="JA",Inschrijf_Transport_Totaal[[#This Row],[Transport naar verwerker '[tkm']]],0)</f>
        <v>0</v>
      </c>
      <c r="I567" s="133">
        <f>(IF(Optimalisatie!C44="Nieuwe Situatie",(Optimalisatie!U44),0)*Optimalisatie!R44)*Optimalisatie!T44</f>
        <v>0</v>
      </c>
      <c r="J567" s="133">
        <f>(IF(Optimalisatie!C44="Nieuwe Situatie",(Optimalisatie!AE44),(Optimalisatie!AE44))*Optimalisatie!R44)*Optimalisatie!T44</f>
        <v>0</v>
      </c>
      <c r="K567" s="133">
        <f>IF(Inschrijf_Transport_Totaal[[#This Row],[Emissieloos Transport naar bouwplaats?]]="JA",Inschrijf_Transport_Totaal[[#This Row],[Transport naar bouwplaats Vervangingen '[tkm']]],0)+IF(Inschrijf_Transport_Totaal[[#This Row],[Emissieloos Transport naar verwerker?]]="JA",Inschrijf_Transport_Totaal[[#This Row],[Transport naar verwerker Vervangingen '[tkm']]],0)</f>
        <v>0</v>
      </c>
      <c r="L567" s="133">
        <f>Inschrijf_Transport_Totaal[[#This Row],[Emissieloos Transport]]+Inschrijf_Transport_Totaal[[#This Row],[Emissieloos Transport Vervangingen]]</f>
        <v>0</v>
      </c>
      <c r="M567" s="133">
        <f>(Inschrijf_Transport_Totaal[[#This Row],[Transport naar bouwplaats '[tkm']]]+Inschrijf_Transport_Totaal[[#This Row],[Transport naar verwerker '[tkm']]]+Inschrijf_Transport_Totaal[[#This Row],[Transport naar bouwplaats Vervangingen '[tkm']]]+Inschrijf_Transport_Totaal[[#This Row],[Transport naar verwerker Vervangingen '[tkm']]])-Inschrijf_Transport_Totaal[[#This Row],[Totaal Emissieloos Transport]]</f>
        <v>0</v>
      </c>
      <c r="N567" s="133">
        <f>Inschrijf_Transport_Totaal[[#This Row],[Totaal Emissieloos Transport]]+Inschrijf_Transport_Totaal[[#This Row],[Totaal Niet Emissieloos Transport]]</f>
        <v>0</v>
      </c>
    </row>
    <row r="568" spans="2:14">
      <c r="B568" s="209">
        <f>Optimalisatie!B45</f>
        <v>0</v>
      </c>
      <c r="C568" s="51">
        <f>Optimalisatie!F45</f>
        <v>0</v>
      </c>
      <c r="D568" s="93">
        <f>(IF(Optimalisatie!C45="Nieuwe Situatie",(Optimalisatie!U45),0)*Optimalisatie!R45)</f>
        <v>0</v>
      </c>
      <c r="E568" s="98">
        <f>(IF(Optimalisatie!C45="Bestaande Situatie",(Optimalisatie!AE45),0)*Optimalisatie!R45)</f>
        <v>0</v>
      </c>
      <c r="F568" s="94" t="str">
        <f>_xlfn.IFNA(VLOOKUP(Optimalisatie!V45,Database_Transport[],60,FALSE),"Nee")</f>
        <v>Nee</v>
      </c>
      <c r="G568" s="94" t="str">
        <f>_xlfn.IFNA(VLOOKUP(Optimalisatie!AF45,Database_Transport[],60,FALSE),"Nee")</f>
        <v>Nee</v>
      </c>
      <c r="H568" s="133">
        <f>IF(Inschrijf_Transport_Totaal[[#This Row],[Emissieloos Transport naar bouwplaats?]]="JA",Inschrijf_Transport_Totaal[[#This Row],[Transport naar bouwplaats '[tkm']]],0)+IF(Inschrijf_Transport_Totaal[[#This Row],[Emissieloos Transport naar verwerker?]]="JA",Inschrijf_Transport_Totaal[[#This Row],[Transport naar verwerker '[tkm']]],0)</f>
        <v>0</v>
      </c>
      <c r="I568" s="133">
        <f>(IF(Optimalisatie!C45="Nieuwe Situatie",(Optimalisatie!U45),0)*Optimalisatie!R45)*Optimalisatie!T45</f>
        <v>0</v>
      </c>
      <c r="J568" s="133">
        <f>(IF(Optimalisatie!C45="Nieuwe Situatie",(Optimalisatie!AE45),(Optimalisatie!AE45))*Optimalisatie!R45)*Optimalisatie!T45</f>
        <v>0</v>
      </c>
      <c r="K568" s="133">
        <f>IF(Inschrijf_Transport_Totaal[[#This Row],[Emissieloos Transport naar bouwplaats?]]="JA",Inschrijf_Transport_Totaal[[#This Row],[Transport naar bouwplaats Vervangingen '[tkm']]],0)+IF(Inschrijf_Transport_Totaal[[#This Row],[Emissieloos Transport naar verwerker?]]="JA",Inschrijf_Transport_Totaal[[#This Row],[Transport naar verwerker Vervangingen '[tkm']]],0)</f>
        <v>0</v>
      </c>
      <c r="L568" s="133">
        <f>Inschrijf_Transport_Totaal[[#This Row],[Emissieloos Transport]]+Inschrijf_Transport_Totaal[[#This Row],[Emissieloos Transport Vervangingen]]</f>
        <v>0</v>
      </c>
      <c r="M568" s="133">
        <f>(Inschrijf_Transport_Totaal[[#This Row],[Transport naar bouwplaats '[tkm']]]+Inschrijf_Transport_Totaal[[#This Row],[Transport naar verwerker '[tkm']]]+Inschrijf_Transport_Totaal[[#This Row],[Transport naar bouwplaats Vervangingen '[tkm']]]+Inschrijf_Transport_Totaal[[#This Row],[Transport naar verwerker Vervangingen '[tkm']]])-Inschrijf_Transport_Totaal[[#This Row],[Totaal Emissieloos Transport]]</f>
        <v>0</v>
      </c>
      <c r="N568" s="133">
        <f>Inschrijf_Transport_Totaal[[#This Row],[Totaal Emissieloos Transport]]+Inschrijf_Transport_Totaal[[#This Row],[Totaal Niet Emissieloos Transport]]</f>
        <v>0</v>
      </c>
    </row>
    <row r="569" spans="2:14">
      <c r="B569" s="209">
        <f>Optimalisatie!B46</f>
        <v>0</v>
      </c>
      <c r="C569" s="51">
        <f>Optimalisatie!F46</f>
        <v>0</v>
      </c>
      <c r="D569" s="93">
        <f>(IF(Optimalisatie!C46="Nieuwe Situatie",(Optimalisatie!U46),0)*Optimalisatie!R46)</f>
        <v>0</v>
      </c>
      <c r="E569" s="98">
        <f>(IF(Optimalisatie!C46="Bestaande Situatie",(Optimalisatie!AE46),0)*Optimalisatie!R46)</f>
        <v>0</v>
      </c>
      <c r="F569" s="94" t="str">
        <f>_xlfn.IFNA(VLOOKUP(Optimalisatie!V46,Database_Transport[],60,FALSE),"Nee")</f>
        <v>Nee</v>
      </c>
      <c r="G569" s="94" t="str">
        <f>_xlfn.IFNA(VLOOKUP(Optimalisatie!AF46,Database_Transport[],60,FALSE),"Nee")</f>
        <v>Nee</v>
      </c>
      <c r="H569" s="133">
        <f>IF(Inschrijf_Transport_Totaal[[#This Row],[Emissieloos Transport naar bouwplaats?]]="JA",Inschrijf_Transport_Totaal[[#This Row],[Transport naar bouwplaats '[tkm']]],0)+IF(Inschrijf_Transport_Totaal[[#This Row],[Emissieloos Transport naar verwerker?]]="JA",Inschrijf_Transport_Totaal[[#This Row],[Transport naar verwerker '[tkm']]],0)</f>
        <v>0</v>
      </c>
      <c r="I569" s="133">
        <f>(IF(Optimalisatie!C46="Nieuwe Situatie",(Optimalisatie!U46),0)*Optimalisatie!R46)*Optimalisatie!T46</f>
        <v>0</v>
      </c>
      <c r="J569" s="133">
        <f>(IF(Optimalisatie!C46="Nieuwe Situatie",(Optimalisatie!AE46),(Optimalisatie!AE46))*Optimalisatie!R46)*Optimalisatie!T46</f>
        <v>0</v>
      </c>
      <c r="K569" s="133">
        <f>IF(Inschrijf_Transport_Totaal[[#This Row],[Emissieloos Transport naar bouwplaats?]]="JA",Inschrijf_Transport_Totaal[[#This Row],[Transport naar bouwplaats Vervangingen '[tkm']]],0)+IF(Inschrijf_Transport_Totaal[[#This Row],[Emissieloos Transport naar verwerker?]]="JA",Inschrijf_Transport_Totaal[[#This Row],[Transport naar verwerker Vervangingen '[tkm']]],0)</f>
        <v>0</v>
      </c>
      <c r="L569" s="133">
        <f>Inschrijf_Transport_Totaal[[#This Row],[Emissieloos Transport]]+Inschrijf_Transport_Totaal[[#This Row],[Emissieloos Transport Vervangingen]]</f>
        <v>0</v>
      </c>
      <c r="M569" s="133">
        <f>(Inschrijf_Transport_Totaal[[#This Row],[Transport naar bouwplaats '[tkm']]]+Inschrijf_Transport_Totaal[[#This Row],[Transport naar verwerker '[tkm']]]+Inschrijf_Transport_Totaal[[#This Row],[Transport naar bouwplaats Vervangingen '[tkm']]]+Inschrijf_Transport_Totaal[[#This Row],[Transport naar verwerker Vervangingen '[tkm']]])-Inschrijf_Transport_Totaal[[#This Row],[Totaal Emissieloos Transport]]</f>
        <v>0</v>
      </c>
      <c r="N569" s="133">
        <f>Inschrijf_Transport_Totaal[[#This Row],[Totaal Emissieloos Transport]]+Inschrijf_Transport_Totaal[[#This Row],[Totaal Niet Emissieloos Transport]]</f>
        <v>0</v>
      </c>
    </row>
    <row r="570" spans="2:14">
      <c r="B570" s="209">
        <f>Optimalisatie!B47</f>
        <v>0</v>
      </c>
      <c r="C570" s="51">
        <f>Optimalisatie!F47</f>
        <v>0</v>
      </c>
      <c r="D570" s="93">
        <f>(IF(Optimalisatie!C47="Nieuwe Situatie",(Optimalisatie!U47),0)*Optimalisatie!R47)</f>
        <v>0</v>
      </c>
      <c r="E570" s="98">
        <f>(IF(Optimalisatie!C47="Bestaande Situatie",(Optimalisatie!AE47),0)*Optimalisatie!R47)</f>
        <v>0</v>
      </c>
      <c r="F570" s="94" t="str">
        <f>_xlfn.IFNA(VLOOKUP(Optimalisatie!V47,Database_Transport[],60,FALSE),"Nee")</f>
        <v>Nee</v>
      </c>
      <c r="G570" s="94" t="str">
        <f>_xlfn.IFNA(VLOOKUP(Optimalisatie!AF47,Database_Transport[],60,FALSE),"Nee")</f>
        <v>Nee</v>
      </c>
      <c r="H570" s="133">
        <f>IF(Inschrijf_Transport_Totaal[[#This Row],[Emissieloos Transport naar bouwplaats?]]="JA",Inschrijf_Transport_Totaal[[#This Row],[Transport naar bouwplaats '[tkm']]],0)+IF(Inschrijf_Transport_Totaal[[#This Row],[Emissieloos Transport naar verwerker?]]="JA",Inschrijf_Transport_Totaal[[#This Row],[Transport naar verwerker '[tkm']]],0)</f>
        <v>0</v>
      </c>
      <c r="I570" s="133">
        <f>(IF(Optimalisatie!C47="Nieuwe Situatie",(Optimalisatie!U47),0)*Optimalisatie!R47)*Optimalisatie!T47</f>
        <v>0</v>
      </c>
      <c r="J570" s="133">
        <f>(IF(Optimalisatie!C47="Nieuwe Situatie",(Optimalisatie!AE47),(Optimalisatie!AE47))*Optimalisatie!R47)*Optimalisatie!T47</f>
        <v>0</v>
      </c>
      <c r="K570" s="133">
        <f>IF(Inschrijf_Transport_Totaal[[#This Row],[Emissieloos Transport naar bouwplaats?]]="JA",Inschrijf_Transport_Totaal[[#This Row],[Transport naar bouwplaats Vervangingen '[tkm']]],0)+IF(Inschrijf_Transport_Totaal[[#This Row],[Emissieloos Transport naar verwerker?]]="JA",Inschrijf_Transport_Totaal[[#This Row],[Transport naar verwerker Vervangingen '[tkm']]],0)</f>
        <v>0</v>
      </c>
      <c r="L570" s="133">
        <f>Inschrijf_Transport_Totaal[[#This Row],[Emissieloos Transport]]+Inschrijf_Transport_Totaal[[#This Row],[Emissieloos Transport Vervangingen]]</f>
        <v>0</v>
      </c>
      <c r="M570" s="133">
        <f>(Inschrijf_Transport_Totaal[[#This Row],[Transport naar bouwplaats '[tkm']]]+Inschrijf_Transport_Totaal[[#This Row],[Transport naar verwerker '[tkm']]]+Inschrijf_Transport_Totaal[[#This Row],[Transport naar bouwplaats Vervangingen '[tkm']]]+Inschrijf_Transport_Totaal[[#This Row],[Transport naar verwerker Vervangingen '[tkm']]])-Inschrijf_Transport_Totaal[[#This Row],[Totaal Emissieloos Transport]]</f>
        <v>0</v>
      </c>
      <c r="N570" s="133">
        <f>Inschrijf_Transport_Totaal[[#This Row],[Totaal Emissieloos Transport]]+Inschrijf_Transport_Totaal[[#This Row],[Totaal Niet Emissieloos Transport]]</f>
        <v>0</v>
      </c>
    </row>
    <row r="571" spans="2:14">
      <c r="B571" s="209">
        <f>Optimalisatie!B48</f>
        <v>0</v>
      </c>
      <c r="C571" s="51">
        <f>Optimalisatie!F48</f>
        <v>0</v>
      </c>
      <c r="D571" s="93">
        <f>(IF(Optimalisatie!C48="Nieuwe Situatie",(Optimalisatie!U48),0)*Optimalisatie!R48)</f>
        <v>0</v>
      </c>
      <c r="E571" s="98">
        <f>(IF(Optimalisatie!C48="Bestaande Situatie",(Optimalisatie!AE48),0)*Optimalisatie!R48)</f>
        <v>0</v>
      </c>
      <c r="F571" s="94" t="str">
        <f>_xlfn.IFNA(VLOOKUP(Optimalisatie!V48,Database_Transport[],60,FALSE),"Nee")</f>
        <v>Nee</v>
      </c>
      <c r="G571" s="94" t="str">
        <f>_xlfn.IFNA(VLOOKUP(Optimalisatie!AF48,Database_Transport[],60,FALSE),"Nee")</f>
        <v>Nee</v>
      </c>
      <c r="H571" s="133">
        <f>IF(Inschrijf_Transport_Totaal[[#This Row],[Emissieloos Transport naar bouwplaats?]]="JA",Inschrijf_Transport_Totaal[[#This Row],[Transport naar bouwplaats '[tkm']]],0)+IF(Inschrijf_Transport_Totaal[[#This Row],[Emissieloos Transport naar verwerker?]]="JA",Inschrijf_Transport_Totaal[[#This Row],[Transport naar verwerker '[tkm']]],0)</f>
        <v>0</v>
      </c>
      <c r="I571" s="133">
        <f>(IF(Optimalisatie!C48="Nieuwe Situatie",(Optimalisatie!U48),0)*Optimalisatie!R48)*Optimalisatie!T48</f>
        <v>0</v>
      </c>
      <c r="J571" s="133">
        <f>(IF(Optimalisatie!C48="Nieuwe Situatie",(Optimalisatie!AE48),(Optimalisatie!AE48))*Optimalisatie!R48)*Optimalisatie!T48</f>
        <v>0</v>
      </c>
      <c r="K571" s="133">
        <f>IF(Inschrijf_Transport_Totaal[[#This Row],[Emissieloos Transport naar bouwplaats?]]="JA",Inschrijf_Transport_Totaal[[#This Row],[Transport naar bouwplaats Vervangingen '[tkm']]],0)+IF(Inschrijf_Transport_Totaal[[#This Row],[Emissieloos Transport naar verwerker?]]="JA",Inschrijf_Transport_Totaal[[#This Row],[Transport naar verwerker Vervangingen '[tkm']]],0)</f>
        <v>0</v>
      </c>
      <c r="L571" s="133">
        <f>Inschrijf_Transport_Totaal[[#This Row],[Emissieloos Transport]]+Inschrijf_Transport_Totaal[[#This Row],[Emissieloos Transport Vervangingen]]</f>
        <v>0</v>
      </c>
      <c r="M571" s="133">
        <f>(Inschrijf_Transport_Totaal[[#This Row],[Transport naar bouwplaats '[tkm']]]+Inschrijf_Transport_Totaal[[#This Row],[Transport naar verwerker '[tkm']]]+Inschrijf_Transport_Totaal[[#This Row],[Transport naar bouwplaats Vervangingen '[tkm']]]+Inschrijf_Transport_Totaal[[#This Row],[Transport naar verwerker Vervangingen '[tkm']]])-Inschrijf_Transport_Totaal[[#This Row],[Totaal Emissieloos Transport]]</f>
        <v>0</v>
      </c>
      <c r="N571" s="133">
        <f>Inschrijf_Transport_Totaal[[#This Row],[Totaal Emissieloos Transport]]+Inschrijf_Transport_Totaal[[#This Row],[Totaal Niet Emissieloos Transport]]</f>
        <v>0</v>
      </c>
    </row>
    <row r="572" spans="2:14">
      <c r="B572" s="209">
        <f>Optimalisatie!B49</f>
        <v>0</v>
      </c>
      <c r="C572" s="51">
        <f>Optimalisatie!F49</f>
        <v>0</v>
      </c>
      <c r="D572" s="93">
        <f>(IF(Optimalisatie!C49="Nieuwe Situatie",(Optimalisatie!U49),0)*Optimalisatie!R49)</f>
        <v>0</v>
      </c>
      <c r="E572" s="98">
        <f>(IF(Optimalisatie!C49="Bestaande Situatie",(Optimalisatie!AE49),0)*Optimalisatie!R49)</f>
        <v>0</v>
      </c>
      <c r="F572" s="94" t="str">
        <f>_xlfn.IFNA(VLOOKUP(Optimalisatie!V49,Database_Transport[],60,FALSE),"Nee")</f>
        <v>Nee</v>
      </c>
      <c r="G572" s="94" t="str">
        <f>_xlfn.IFNA(VLOOKUP(Optimalisatie!AF49,Database_Transport[],60,FALSE),"Nee")</f>
        <v>Nee</v>
      </c>
      <c r="H572" s="133">
        <f>IF(Inschrijf_Transport_Totaal[[#This Row],[Emissieloos Transport naar bouwplaats?]]="JA",Inschrijf_Transport_Totaal[[#This Row],[Transport naar bouwplaats '[tkm']]],0)+IF(Inschrijf_Transport_Totaal[[#This Row],[Emissieloos Transport naar verwerker?]]="JA",Inschrijf_Transport_Totaal[[#This Row],[Transport naar verwerker '[tkm']]],0)</f>
        <v>0</v>
      </c>
      <c r="I572" s="133">
        <f>(IF(Optimalisatie!C49="Nieuwe Situatie",(Optimalisatie!U49),0)*Optimalisatie!R49)*Optimalisatie!T49</f>
        <v>0</v>
      </c>
      <c r="J572" s="133">
        <f>(IF(Optimalisatie!C49="Nieuwe Situatie",(Optimalisatie!AE49),(Optimalisatie!AE49))*Optimalisatie!R49)*Optimalisatie!T49</f>
        <v>0</v>
      </c>
      <c r="K572" s="133">
        <f>IF(Inschrijf_Transport_Totaal[[#This Row],[Emissieloos Transport naar bouwplaats?]]="JA",Inschrijf_Transport_Totaal[[#This Row],[Transport naar bouwplaats Vervangingen '[tkm']]],0)+IF(Inschrijf_Transport_Totaal[[#This Row],[Emissieloos Transport naar verwerker?]]="JA",Inschrijf_Transport_Totaal[[#This Row],[Transport naar verwerker Vervangingen '[tkm']]],0)</f>
        <v>0</v>
      </c>
      <c r="L572" s="133">
        <f>Inschrijf_Transport_Totaal[[#This Row],[Emissieloos Transport]]+Inschrijf_Transport_Totaal[[#This Row],[Emissieloos Transport Vervangingen]]</f>
        <v>0</v>
      </c>
      <c r="M572" s="133">
        <f>(Inschrijf_Transport_Totaal[[#This Row],[Transport naar bouwplaats '[tkm']]]+Inschrijf_Transport_Totaal[[#This Row],[Transport naar verwerker '[tkm']]]+Inschrijf_Transport_Totaal[[#This Row],[Transport naar bouwplaats Vervangingen '[tkm']]]+Inschrijf_Transport_Totaal[[#This Row],[Transport naar verwerker Vervangingen '[tkm']]])-Inschrijf_Transport_Totaal[[#This Row],[Totaal Emissieloos Transport]]</f>
        <v>0</v>
      </c>
      <c r="N572" s="133">
        <f>Inschrijf_Transport_Totaal[[#This Row],[Totaal Emissieloos Transport]]+Inschrijf_Transport_Totaal[[#This Row],[Totaal Niet Emissieloos Transport]]</f>
        <v>0</v>
      </c>
    </row>
    <row r="573" spans="2:14">
      <c r="B573" s="209">
        <f>Optimalisatie!B50</f>
        <v>0</v>
      </c>
      <c r="C573" s="51">
        <f>Optimalisatie!F50</f>
        <v>0</v>
      </c>
      <c r="D573" s="93">
        <f>(IF(Optimalisatie!C50="Nieuwe Situatie",(Optimalisatie!U50),0)*Optimalisatie!R50)</f>
        <v>0</v>
      </c>
      <c r="E573" s="98">
        <f>(IF(Optimalisatie!C50="Bestaande Situatie",(Optimalisatie!AE50),0)*Optimalisatie!R50)</f>
        <v>0</v>
      </c>
      <c r="F573" s="94" t="str">
        <f>_xlfn.IFNA(VLOOKUP(Optimalisatie!V50,Database_Transport[],60,FALSE),"Nee")</f>
        <v>Nee</v>
      </c>
      <c r="G573" s="94" t="str">
        <f>_xlfn.IFNA(VLOOKUP(Optimalisatie!AF50,Database_Transport[],60,FALSE),"Nee")</f>
        <v>Nee</v>
      </c>
      <c r="H573" s="133">
        <f>IF(Inschrijf_Transport_Totaal[[#This Row],[Emissieloos Transport naar bouwplaats?]]="JA",Inschrijf_Transport_Totaal[[#This Row],[Transport naar bouwplaats '[tkm']]],0)+IF(Inschrijf_Transport_Totaal[[#This Row],[Emissieloos Transport naar verwerker?]]="JA",Inschrijf_Transport_Totaal[[#This Row],[Transport naar verwerker '[tkm']]],0)</f>
        <v>0</v>
      </c>
      <c r="I573" s="133">
        <f>(IF(Optimalisatie!C50="Nieuwe Situatie",(Optimalisatie!U50),0)*Optimalisatie!R50)*Optimalisatie!T50</f>
        <v>0</v>
      </c>
      <c r="J573" s="133">
        <f>(IF(Optimalisatie!C50="Nieuwe Situatie",(Optimalisatie!AE50),(Optimalisatie!AE50))*Optimalisatie!R50)*Optimalisatie!T50</f>
        <v>0</v>
      </c>
      <c r="K573" s="133">
        <f>IF(Inschrijf_Transport_Totaal[[#This Row],[Emissieloos Transport naar bouwplaats?]]="JA",Inschrijf_Transport_Totaal[[#This Row],[Transport naar bouwplaats Vervangingen '[tkm']]],0)+IF(Inschrijf_Transport_Totaal[[#This Row],[Emissieloos Transport naar verwerker?]]="JA",Inschrijf_Transport_Totaal[[#This Row],[Transport naar verwerker Vervangingen '[tkm']]],0)</f>
        <v>0</v>
      </c>
      <c r="L573" s="133">
        <f>Inschrijf_Transport_Totaal[[#This Row],[Emissieloos Transport]]+Inschrijf_Transport_Totaal[[#This Row],[Emissieloos Transport Vervangingen]]</f>
        <v>0</v>
      </c>
      <c r="M573" s="133">
        <f>(Inschrijf_Transport_Totaal[[#This Row],[Transport naar bouwplaats '[tkm']]]+Inschrijf_Transport_Totaal[[#This Row],[Transport naar verwerker '[tkm']]]+Inschrijf_Transport_Totaal[[#This Row],[Transport naar bouwplaats Vervangingen '[tkm']]]+Inschrijf_Transport_Totaal[[#This Row],[Transport naar verwerker Vervangingen '[tkm']]])-Inschrijf_Transport_Totaal[[#This Row],[Totaal Emissieloos Transport]]</f>
        <v>0</v>
      </c>
      <c r="N573" s="133">
        <f>Inschrijf_Transport_Totaal[[#This Row],[Totaal Emissieloos Transport]]+Inschrijf_Transport_Totaal[[#This Row],[Totaal Niet Emissieloos Transport]]</f>
        <v>0</v>
      </c>
    </row>
    <row r="574" spans="2:14">
      <c r="B574" s="209">
        <f>Optimalisatie!B51</f>
        <v>0</v>
      </c>
      <c r="C574" s="51">
        <f>Optimalisatie!F51</f>
        <v>0</v>
      </c>
      <c r="D574" s="93">
        <f>(IF(Optimalisatie!C51="Nieuwe Situatie",(Optimalisatie!U51),0)*Optimalisatie!R51)</f>
        <v>0</v>
      </c>
      <c r="E574" s="98">
        <f>(IF(Optimalisatie!C51="Bestaande Situatie",(Optimalisatie!AE51),0)*Optimalisatie!R51)</f>
        <v>0</v>
      </c>
      <c r="F574" s="94" t="str">
        <f>_xlfn.IFNA(VLOOKUP(Optimalisatie!V51,Database_Transport[],60,FALSE),"Nee")</f>
        <v>Nee</v>
      </c>
      <c r="G574" s="94" t="str">
        <f>_xlfn.IFNA(VLOOKUP(Optimalisatie!AF51,Database_Transport[],60,FALSE),"Nee")</f>
        <v>Nee</v>
      </c>
      <c r="H574" s="133">
        <f>IF(Inschrijf_Transport_Totaal[[#This Row],[Emissieloos Transport naar bouwplaats?]]="JA",Inschrijf_Transport_Totaal[[#This Row],[Transport naar bouwplaats '[tkm']]],0)+IF(Inschrijf_Transport_Totaal[[#This Row],[Emissieloos Transport naar verwerker?]]="JA",Inschrijf_Transport_Totaal[[#This Row],[Transport naar verwerker '[tkm']]],0)</f>
        <v>0</v>
      </c>
      <c r="I574" s="133">
        <f>(IF(Optimalisatie!C51="Nieuwe Situatie",(Optimalisatie!U51),0)*Optimalisatie!R51)*Optimalisatie!T51</f>
        <v>0</v>
      </c>
      <c r="J574" s="133">
        <f>(IF(Optimalisatie!C51="Nieuwe Situatie",(Optimalisatie!AE51),(Optimalisatie!AE51))*Optimalisatie!R51)*Optimalisatie!T51</f>
        <v>0</v>
      </c>
      <c r="K574" s="133">
        <f>IF(Inschrijf_Transport_Totaal[[#This Row],[Emissieloos Transport naar bouwplaats?]]="JA",Inschrijf_Transport_Totaal[[#This Row],[Transport naar bouwplaats Vervangingen '[tkm']]],0)+IF(Inschrijf_Transport_Totaal[[#This Row],[Emissieloos Transport naar verwerker?]]="JA",Inschrijf_Transport_Totaal[[#This Row],[Transport naar verwerker Vervangingen '[tkm']]],0)</f>
        <v>0</v>
      </c>
      <c r="L574" s="133">
        <f>Inschrijf_Transport_Totaal[[#This Row],[Emissieloos Transport]]+Inschrijf_Transport_Totaal[[#This Row],[Emissieloos Transport Vervangingen]]</f>
        <v>0</v>
      </c>
      <c r="M574" s="133">
        <f>(Inschrijf_Transport_Totaal[[#This Row],[Transport naar bouwplaats '[tkm']]]+Inschrijf_Transport_Totaal[[#This Row],[Transport naar verwerker '[tkm']]]+Inschrijf_Transport_Totaal[[#This Row],[Transport naar bouwplaats Vervangingen '[tkm']]]+Inschrijf_Transport_Totaal[[#This Row],[Transport naar verwerker Vervangingen '[tkm']]])-Inschrijf_Transport_Totaal[[#This Row],[Totaal Emissieloos Transport]]</f>
        <v>0</v>
      </c>
      <c r="N574" s="133">
        <f>Inschrijf_Transport_Totaal[[#This Row],[Totaal Emissieloos Transport]]+Inschrijf_Transport_Totaal[[#This Row],[Totaal Niet Emissieloos Transport]]</f>
        <v>0</v>
      </c>
    </row>
    <row r="575" spans="2:14">
      <c r="B575" s="209">
        <f>Optimalisatie!B52</f>
        <v>0</v>
      </c>
      <c r="C575" s="51">
        <f>Optimalisatie!F52</f>
        <v>0</v>
      </c>
      <c r="D575" s="93">
        <f>(IF(Optimalisatie!C52="Nieuwe Situatie",(Optimalisatie!U52),0)*Optimalisatie!R52)</f>
        <v>0</v>
      </c>
      <c r="E575" s="98">
        <f>(IF(Optimalisatie!C52="Bestaande Situatie",(Optimalisatie!AE52),0)*Optimalisatie!R52)</f>
        <v>0</v>
      </c>
      <c r="F575" s="94" t="str">
        <f>_xlfn.IFNA(VLOOKUP(Optimalisatie!V52,Database_Transport[],60,FALSE),"Nee")</f>
        <v>Nee</v>
      </c>
      <c r="G575" s="94" t="str">
        <f>_xlfn.IFNA(VLOOKUP(Optimalisatie!AF52,Database_Transport[],60,FALSE),"Nee")</f>
        <v>Nee</v>
      </c>
      <c r="H575" s="133">
        <f>IF(Inschrijf_Transport_Totaal[[#This Row],[Emissieloos Transport naar bouwplaats?]]="JA",Inschrijf_Transport_Totaal[[#This Row],[Transport naar bouwplaats '[tkm']]],0)+IF(Inschrijf_Transport_Totaal[[#This Row],[Emissieloos Transport naar verwerker?]]="JA",Inschrijf_Transport_Totaal[[#This Row],[Transport naar verwerker '[tkm']]],0)</f>
        <v>0</v>
      </c>
      <c r="I575" s="133">
        <f>(IF(Optimalisatie!C52="Nieuwe Situatie",(Optimalisatie!U52),0)*Optimalisatie!R52)*Optimalisatie!T52</f>
        <v>0</v>
      </c>
      <c r="J575" s="133">
        <f>(IF(Optimalisatie!C52="Nieuwe Situatie",(Optimalisatie!AE52),(Optimalisatie!AE52))*Optimalisatie!R52)*Optimalisatie!T52</f>
        <v>0</v>
      </c>
      <c r="K575" s="133">
        <f>IF(Inschrijf_Transport_Totaal[[#This Row],[Emissieloos Transport naar bouwplaats?]]="JA",Inschrijf_Transport_Totaal[[#This Row],[Transport naar bouwplaats Vervangingen '[tkm']]],0)+IF(Inschrijf_Transport_Totaal[[#This Row],[Emissieloos Transport naar verwerker?]]="JA",Inschrijf_Transport_Totaal[[#This Row],[Transport naar verwerker Vervangingen '[tkm']]],0)</f>
        <v>0</v>
      </c>
      <c r="L575" s="133">
        <f>Inschrijf_Transport_Totaal[[#This Row],[Emissieloos Transport]]+Inschrijf_Transport_Totaal[[#This Row],[Emissieloos Transport Vervangingen]]</f>
        <v>0</v>
      </c>
      <c r="M575" s="133">
        <f>(Inschrijf_Transport_Totaal[[#This Row],[Transport naar bouwplaats '[tkm']]]+Inschrijf_Transport_Totaal[[#This Row],[Transport naar verwerker '[tkm']]]+Inschrijf_Transport_Totaal[[#This Row],[Transport naar bouwplaats Vervangingen '[tkm']]]+Inschrijf_Transport_Totaal[[#This Row],[Transport naar verwerker Vervangingen '[tkm']]])-Inschrijf_Transport_Totaal[[#This Row],[Totaal Emissieloos Transport]]</f>
        <v>0</v>
      </c>
      <c r="N575" s="133">
        <f>Inschrijf_Transport_Totaal[[#This Row],[Totaal Emissieloos Transport]]+Inschrijf_Transport_Totaal[[#This Row],[Totaal Niet Emissieloos Transport]]</f>
        <v>0</v>
      </c>
    </row>
    <row r="576" spans="2:14">
      <c r="B576" s="209">
        <f>Optimalisatie!B53</f>
        <v>0</v>
      </c>
      <c r="C576" s="51">
        <f>Optimalisatie!F53</f>
        <v>0</v>
      </c>
      <c r="D576" s="93">
        <f>(IF(Optimalisatie!C53="Nieuwe Situatie",(Optimalisatie!U53),0)*Optimalisatie!R53)</f>
        <v>0</v>
      </c>
      <c r="E576" s="98">
        <f>(IF(Optimalisatie!C53="Bestaande Situatie",(Optimalisatie!AE53),0)*Optimalisatie!R53)</f>
        <v>0</v>
      </c>
      <c r="F576" s="94" t="str">
        <f>_xlfn.IFNA(VLOOKUP(Optimalisatie!V53,Database_Transport[],60,FALSE),"Nee")</f>
        <v>Nee</v>
      </c>
      <c r="G576" s="94" t="str">
        <f>_xlfn.IFNA(VLOOKUP(Optimalisatie!AF53,Database_Transport[],60,FALSE),"Nee")</f>
        <v>Nee</v>
      </c>
      <c r="H576" s="133">
        <f>IF(Inschrijf_Transport_Totaal[[#This Row],[Emissieloos Transport naar bouwplaats?]]="JA",Inschrijf_Transport_Totaal[[#This Row],[Transport naar bouwplaats '[tkm']]],0)+IF(Inschrijf_Transport_Totaal[[#This Row],[Emissieloos Transport naar verwerker?]]="JA",Inschrijf_Transport_Totaal[[#This Row],[Transport naar verwerker '[tkm']]],0)</f>
        <v>0</v>
      </c>
      <c r="I576" s="133">
        <f>(IF(Optimalisatie!C53="Nieuwe Situatie",(Optimalisatie!U53),0)*Optimalisatie!R53)*Optimalisatie!T53</f>
        <v>0</v>
      </c>
      <c r="J576" s="133">
        <f>(IF(Optimalisatie!C53="Nieuwe Situatie",(Optimalisatie!AE53),(Optimalisatie!AE53))*Optimalisatie!R53)*Optimalisatie!T53</f>
        <v>0</v>
      </c>
      <c r="K576" s="133">
        <f>IF(Inschrijf_Transport_Totaal[[#This Row],[Emissieloos Transport naar bouwplaats?]]="JA",Inschrijf_Transport_Totaal[[#This Row],[Transport naar bouwplaats Vervangingen '[tkm']]],0)+IF(Inschrijf_Transport_Totaal[[#This Row],[Emissieloos Transport naar verwerker?]]="JA",Inschrijf_Transport_Totaal[[#This Row],[Transport naar verwerker Vervangingen '[tkm']]],0)</f>
        <v>0</v>
      </c>
      <c r="L576" s="133">
        <f>Inschrijf_Transport_Totaal[[#This Row],[Emissieloos Transport]]+Inschrijf_Transport_Totaal[[#This Row],[Emissieloos Transport Vervangingen]]</f>
        <v>0</v>
      </c>
      <c r="M576" s="133">
        <f>(Inschrijf_Transport_Totaal[[#This Row],[Transport naar bouwplaats '[tkm']]]+Inschrijf_Transport_Totaal[[#This Row],[Transport naar verwerker '[tkm']]]+Inschrijf_Transport_Totaal[[#This Row],[Transport naar bouwplaats Vervangingen '[tkm']]]+Inschrijf_Transport_Totaal[[#This Row],[Transport naar verwerker Vervangingen '[tkm']]])-Inschrijf_Transport_Totaal[[#This Row],[Totaal Emissieloos Transport]]</f>
        <v>0</v>
      </c>
      <c r="N576" s="133">
        <f>Inschrijf_Transport_Totaal[[#This Row],[Totaal Emissieloos Transport]]+Inschrijf_Transport_Totaal[[#This Row],[Totaal Niet Emissieloos Transport]]</f>
        <v>0</v>
      </c>
    </row>
    <row r="577" spans="2:14">
      <c r="B577" s="209">
        <f>Optimalisatie!B54</f>
        <v>0</v>
      </c>
      <c r="C577" s="51">
        <f>Optimalisatie!F54</f>
        <v>0</v>
      </c>
      <c r="D577" s="93">
        <f>(IF(Optimalisatie!C54="Nieuwe Situatie",(Optimalisatie!U54),0)*Optimalisatie!R54)</f>
        <v>0</v>
      </c>
      <c r="E577" s="98">
        <f>(IF(Optimalisatie!C54="Bestaande Situatie",(Optimalisatie!AE54),0)*Optimalisatie!R54)</f>
        <v>0</v>
      </c>
      <c r="F577" s="94" t="str">
        <f>_xlfn.IFNA(VLOOKUP(Optimalisatie!V54,Database_Transport[],60,FALSE),"Nee")</f>
        <v>Nee</v>
      </c>
      <c r="G577" s="94" t="str">
        <f>_xlfn.IFNA(VLOOKUP(Optimalisatie!AF54,Database_Transport[],60,FALSE),"Nee")</f>
        <v>Nee</v>
      </c>
      <c r="H577" s="133">
        <f>IF(Inschrijf_Transport_Totaal[[#This Row],[Emissieloos Transport naar bouwplaats?]]="JA",Inschrijf_Transport_Totaal[[#This Row],[Transport naar bouwplaats '[tkm']]],0)+IF(Inschrijf_Transport_Totaal[[#This Row],[Emissieloos Transport naar verwerker?]]="JA",Inschrijf_Transport_Totaal[[#This Row],[Transport naar verwerker '[tkm']]],0)</f>
        <v>0</v>
      </c>
      <c r="I577" s="133">
        <f>(IF(Optimalisatie!C54="Nieuwe Situatie",(Optimalisatie!U54),0)*Optimalisatie!R54)*Optimalisatie!T54</f>
        <v>0</v>
      </c>
      <c r="J577" s="133">
        <f>(IF(Optimalisatie!C54="Nieuwe Situatie",(Optimalisatie!AE54),(Optimalisatie!AE54))*Optimalisatie!R54)*Optimalisatie!T54</f>
        <v>0</v>
      </c>
      <c r="K577" s="133">
        <f>IF(Inschrijf_Transport_Totaal[[#This Row],[Emissieloos Transport naar bouwplaats?]]="JA",Inschrijf_Transport_Totaal[[#This Row],[Transport naar bouwplaats Vervangingen '[tkm']]],0)+IF(Inschrijf_Transport_Totaal[[#This Row],[Emissieloos Transport naar verwerker?]]="JA",Inschrijf_Transport_Totaal[[#This Row],[Transport naar verwerker Vervangingen '[tkm']]],0)</f>
        <v>0</v>
      </c>
      <c r="L577" s="133">
        <f>Inschrijf_Transport_Totaal[[#This Row],[Emissieloos Transport]]+Inschrijf_Transport_Totaal[[#This Row],[Emissieloos Transport Vervangingen]]</f>
        <v>0</v>
      </c>
      <c r="M577" s="133">
        <f>(Inschrijf_Transport_Totaal[[#This Row],[Transport naar bouwplaats '[tkm']]]+Inschrijf_Transport_Totaal[[#This Row],[Transport naar verwerker '[tkm']]]+Inschrijf_Transport_Totaal[[#This Row],[Transport naar bouwplaats Vervangingen '[tkm']]]+Inschrijf_Transport_Totaal[[#This Row],[Transport naar verwerker Vervangingen '[tkm']]])-Inschrijf_Transport_Totaal[[#This Row],[Totaal Emissieloos Transport]]</f>
        <v>0</v>
      </c>
      <c r="N577" s="133">
        <f>Inschrijf_Transport_Totaal[[#This Row],[Totaal Emissieloos Transport]]+Inschrijf_Transport_Totaal[[#This Row],[Totaal Niet Emissieloos Transport]]</f>
        <v>0</v>
      </c>
    </row>
    <row r="578" spans="2:14">
      <c r="B578" s="209">
        <f>Optimalisatie!B55</f>
        <v>0</v>
      </c>
      <c r="C578" s="51">
        <f>Optimalisatie!F55</f>
        <v>0</v>
      </c>
      <c r="D578" s="93">
        <f>(IF(Optimalisatie!C55="Nieuwe Situatie",(Optimalisatie!U55),0)*Optimalisatie!R55)</f>
        <v>0</v>
      </c>
      <c r="E578" s="98">
        <f>(IF(Optimalisatie!C55="Bestaande Situatie",(Optimalisatie!AE55),0)*Optimalisatie!R55)</f>
        <v>0</v>
      </c>
      <c r="F578" s="94" t="str">
        <f>_xlfn.IFNA(VLOOKUP(Optimalisatie!V55,Database_Transport[],60,FALSE),"Nee")</f>
        <v>Nee</v>
      </c>
      <c r="G578" s="94" t="str">
        <f>_xlfn.IFNA(VLOOKUP(Optimalisatie!AF55,Database_Transport[],60,FALSE),"Nee")</f>
        <v>Nee</v>
      </c>
      <c r="H578" s="133">
        <f>IF(Inschrijf_Transport_Totaal[[#This Row],[Emissieloos Transport naar bouwplaats?]]="JA",Inschrijf_Transport_Totaal[[#This Row],[Transport naar bouwplaats '[tkm']]],0)+IF(Inschrijf_Transport_Totaal[[#This Row],[Emissieloos Transport naar verwerker?]]="JA",Inschrijf_Transport_Totaal[[#This Row],[Transport naar verwerker '[tkm']]],0)</f>
        <v>0</v>
      </c>
      <c r="I578" s="133">
        <f>(IF(Optimalisatie!C55="Nieuwe Situatie",(Optimalisatie!U55),0)*Optimalisatie!R55)*Optimalisatie!T55</f>
        <v>0</v>
      </c>
      <c r="J578" s="133">
        <f>(IF(Optimalisatie!C55="Nieuwe Situatie",(Optimalisatie!AE55),(Optimalisatie!AE55))*Optimalisatie!R55)*Optimalisatie!T55</f>
        <v>0</v>
      </c>
      <c r="K578" s="133">
        <f>IF(Inschrijf_Transport_Totaal[[#This Row],[Emissieloos Transport naar bouwplaats?]]="JA",Inschrijf_Transport_Totaal[[#This Row],[Transport naar bouwplaats Vervangingen '[tkm']]],0)+IF(Inschrijf_Transport_Totaal[[#This Row],[Emissieloos Transport naar verwerker?]]="JA",Inschrijf_Transport_Totaal[[#This Row],[Transport naar verwerker Vervangingen '[tkm']]],0)</f>
        <v>0</v>
      </c>
      <c r="L578" s="133">
        <f>Inschrijf_Transport_Totaal[[#This Row],[Emissieloos Transport]]+Inschrijf_Transport_Totaal[[#This Row],[Emissieloos Transport Vervangingen]]</f>
        <v>0</v>
      </c>
      <c r="M578" s="133">
        <f>(Inschrijf_Transport_Totaal[[#This Row],[Transport naar bouwplaats '[tkm']]]+Inschrijf_Transport_Totaal[[#This Row],[Transport naar verwerker '[tkm']]]+Inschrijf_Transport_Totaal[[#This Row],[Transport naar bouwplaats Vervangingen '[tkm']]]+Inschrijf_Transport_Totaal[[#This Row],[Transport naar verwerker Vervangingen '[tkm']]])-Inschrijf_Transport_Totaal[[#This Row],[Totaal Emissieloos Transport]]</f>
        <v>0</v>
      </c>
      <c r="N578" s="133">
        <f>Inschrijf_Transport_Totaal[[#This Row],[Totaal Emissieloos Transport]]+Inschrijf_Transport_Totaal[[#This Row],[Totaal Niet Emissieloos Transport]]</f>
        <v>0</v>
      </c>
    </row>
    <row r="579" spans="2:14">
      <c r="B579" s="209">
        <f>Optimalisatie!B56</f>
        <v>0</v>
      </c>
      <c r="C579" s="51">
        <f>Optimalisatie!F56</f>
        <v>0</v>
      </c>
      <c r="D579" s="93">
        <f>(IF(Optimalisatie!C56="Nieuwe Situatie",(Optimalisatie!U56),0)*Optimalisatie!R56)</f>
        <v>0</v>
      </c>
      <c r="E579" s="98">
        <f>(IF(Optimalisatie!C56="Bestaande Situatie",(Optimalisatie!AE56),0)*Optimalisatie!R56)</f>
        <v>0</v>
      </c>
      <c r="F579" s="94" t="str">
        <f>_xlfn.IFNA(VLOOKUP(Optimalisatie!V56,Database_Transport[],60,FALSE),"Nee")</f>
        <v>Nee</v>
      </c>
      <c r="G579" s="94" t="str">
        <f>_xlfn.IFNA(VLOOKUP(Optimalisatie!AF56,Database_Transport[],60,FALSE),"Nee")</f>
        <v>Nee</v>
      </c>
      <c r="H579" s="133">
        <f>IF(Inschrijf_Transport_Totaal[[#This Row],[Emissieloos Transport naar bouwplaats?]]="JA",Inschrijf_Transport_Totaal[[#This Row],[Transport naar bouwplaats '[tkm']]],0)+IF(Inschrijf_Transport_Totaal[[#This Row],[Emissieloos Transport naar verwerker?]]="JA",Inschrijf_Transport_Totaal[[#This Row],[Transport naar verwerker '[tkm']]],0)</f>
        <v>0</v>
      </c>
      <c r="I579" s="133">
        <f>(IF(Optimalisatie!C56="Nieuwe Situatie",(Optimalisatie!U56),0)*Optimalisatie!R56)*Optimalisatie!T56</f>
        <v>0</v>
      </c>
      <c r="J579" s="133">
        <f>(IF(Optimalisatie!C56="Nieuwe Situatie",(Optimalisatie!AE56),(Optimalisatie!AE56))*Optimalisatie!R56)*Optimalisatie!T56</f>
        <v>0</v>
      </c>
      <c r="K579" s="133">
        <f>IF(Inschrijf_Transport_Totaal[[#This Row],[Emissieloos Transport naar bouwplaats?]]="JA",Inschrijf_Transport_Totaal[[#This Row],[Transport naar bouwplaats Vervangingen '[tkm']]],0)+IF(Inschrijf_Transport_Totaal[[#This Row],[Emissieloos Transport naar verwerker?]]="JA",Inschrijf_Transport_Totaal[[#This Row],[Transport naar verwerker Vervangingen '[tkm']]],0)</f>
        <v>0</v>
      </c>
      <c r="L579" s="133">
        <f>Inschrijf_Transport_Totaal[[#This Row],[Emissieloos Transport]]+Inschrijf_Transport_Totaal[[#This Row],[Emissieloos Transport Vervangingen]]</f>
        <v>0</v>
      </c>
      <c r="M579" s="133">
        <f>(Inschrijf_Transport_Totaal[[#This Row],[Transport naar bouwplaats '[tkm']]]+Inschrijf_Transport_Totaal[[#This Row],[Transport naar verwerker '[tkm']]]+Inschrijf_Transport_Totaal[[#This Row],[Transport naar bouwplaats Vervangingen '[tkm']]]+Inschrijf_Transport_Totaal[[#This Row],[Transport naar verwerker Vervangingen '[tkm']]])-Inschrijf_Transport_Totaal[[#This Row],[Totaal Emissieloos Transport]]</f>
        <v>0</v>
      </c>
      <c r="N579" s="133">
        <f>Inschrijf_Transport_Totaal[[#This Row],[Totaal Emissieloos Transport]]+Inschrijf_Transport_Totaal[[#This Row],[Totaal Niet Emissieloos Transport]]</f>
        <v>0</v>
      </c>
    </row>
    <row r="580" spans="2:14">
      <c r="B580" s="209">
        <f>Optimalisatie!B57</f>
        <v>0</v>
      </c>
      <c r="C580" s="51">
        <f>Optimalisatie!F57</f>
        <v>0</v>
      </c>
      <c r="D580" s="93">
        <f>(IF(Optimalisatie!C57="Nieuwe Situatie",(Optimalisatie!U57),0)*Optimalisatie!R57)</f>
        <v>0</v>
      </c>
      <c r="E580" s="98">
        <f>(IF(Optimalisatie!C57="Bestaande Situatie",(Optimalisatie!AE57),0)*Optimalisatie!R57)</f>
        <v>0</v>
      </c>
      <c r="F580" s="94" t="str">
        <f>_xlfn.IFNA(VLOOKUP(Optimalisatie!V57,Database_Transport[],60,FALSE),"Nee")</f>
        <v>Nee</v>
      </c>
      <c r="G580" s="94" t="str">
        <f>_xlfn.IFNA(VLOOKUP(Optimalisatie!AF57,Database_Transport[],60,FALSE),"Nee")</f>
        <v>Nee</v>
      </c>
      <c r="H580" s="133">
        <f>IF(Inschrijf_Transport_Totaal[[#This Row],[Emissieloos Transport naar bouwplaats?]]="JA",Inschrijf_Transport_Totaal[[#This Row],[Transport naar bouwplaats '[tkm']]],0)+IF(Inschrijf_Transport_Totaal[[#This Row],[Emissieloos Transport naar verwerker?]]="JA",Inschrijf_Transport_Totaal[[#This Row],[Transport naar verwerker '[tkm']]],0)</f>
        <v>0</v>
      </c>
      <c r="I580" s="133">
        <f>(IF(Optimalisatie!C57="Nieuwe Situatie",(Optimalisatie!U57),0)*Optimalisatie!R57)*Optimalisatie!T57</f>
        <v>0</v>
      </c>
      <c r="J580" s="133">
        <f>(IF(Optimalisatie!C57="Nieuwe Situatie",(Optimalisatie!AE57),(Optimalisatie!AE57))*Optimalisatie!R57)*Optimalisatie!T57</f>
        <v>0</v>
      </c>
      <c r="K580" s="133">
        <f>IF(Inschrijf_Transport_Totaal[[#This Row],[Emissieloos Transport naar bouwplaats?]]="JA",Inschrijf_Transport_Totaal[[#This Row],[Transport naar bouwplaats Vervangingen '[tkm']]],0)+IF(Inschrijf_Transport_Totaal[[#This Row],[Emissieloos Transport naar verwerker?]]="JA",Inschrijf_Transport_Totaal[[#This Row],[Transport naar verwerker Vervangingen '[tkm']]],0)</f>
        <v>0</v>
      </c>
      <c r="L580" s="133">
        <f>Inschrijf_Transport_Totaal[[#This Row],[Emissieloos Transport]]+Inschrijf_Transport_Totaal[[#This Row],[Emissieloos Transport Vervangingen]]</f>
        <v>0</v>
      </c>
      <c r="M580" s="133">
        <f>(Inschrijf_Transport_Totaal[[#This Row],[Transport naar bouwplaats '[tkm']]]+Inschrijf_Transport_Totaal[[#This Row],[Transport naar verwerker '[tkm']]]+Inschrijf_Transport_Totaal[[#This Row],[Transport naar bouwplaats Vervangingen '[tkm']]]+Inschrijf_Transport_Totaal[[#This Row],[Transport naar verwerker Vervangingen '[tkm']]])-Inschrijf_Transport_Totaal[[#This Row],[Totaal Emissieloos Transport]]</f>
        <v>0</v>
      </c>
      <c r="N580" s="133">
        <f>Inschrijf_Transport_Totaal[[#This Row],[Totaal Emissieloos Transport]]+Inschrijf_Transport_Totaal[[#This Row],[Totaal Niet Emissieloos Transport]]</f>
        <v>0</v>
      </c>
    </row>
    <row r="581" spans="2:14">
      <c r="B581" s="209">
        <f>Optimalisatie!B58</f>
        <v>0</v>
      </c>
      <c r="C581" s="51">
        <f>Optimalisatie!F58</f>
        <v>0</v>
      </c>
      <c r="D581" s="93">
        <f>(IF(Optimalisatie!C58="Nieuwe Situatie",(Optimalisatie!U58),0)*Optimalisatie!R58)</f>
        <v>0</v>
      </c>
      <c r="E581" s="98">
        <f>(IF(Optimalisatie!C58="Bestaande Situatie",(Optimalisatie!AE58),0)*Optimalisatie!R58)</f>
        <v>0</v>
      </c>
      <c r="F581" s="94" t="str">
        <f>_xlfn.IFNA(VLOOKUP(Optimalisatie!V58,Database_Transport[],60,FALSE),"Nee")</f>
        <v>Nee</v>
      </c>
      <c r="G581" s="94" t="str">
        <f>_xlfn.IFNA(VLOOKUP(Optimalisatie!AF58,Database_Transport[],60,FALSE),"Nee")</f>
        <v>Nee</v>
      </c>
      <c r="H581" s="133">
        <f>IF(Inschrijf_Transport_Totaal[[#This Row],[Emissieloos Transport naar bouwplaats?]]="JA",Inschrijf_Transport_Totaal[[#This Row],[Transport naar bouwplaats '[tkm']]],0)+IF(Inschrijf_Transport_Totaal[[#This Row],[Emissieloos Transport naar verwerker?]]="JA",Inschrijf_Transport_Totaal[[#This Row],[Transport naar verwerker '[tkm']]],0)</f>
        <v>0</v>
      </c>
      <c r="I581" s="133">
        <f>(IF(Optimalisatie!C58="Nieuwe Situatie",(Optimalisatie!U58),0)*Optimalisatie!R58)*Optimalisatie!T58</f>
        <v>0</v>
      </c>
      <c r="J581" s="133">
        <f>(IF(Optimalisatie!C58="Nieuwe Situatie",(Optimalisatie!AE58),(Optimalisatie!AE58))*Optimalisatie!R58)*Optimalisatie!T58</f>
        <v>0</v>
      </c>
      <c r="K581" s="133">
        <f>IF(Inschrijf_Transport_Totaal[[#This Row],[Emissieloos Transport naar bouwplaats?]]="JA",Inschrijf_Transport_Totaal[[#This Row],[Transport naar bouwplaats Vervangingen '[tkm']]],0)+IF(Inschrijf_Transport_Totaal[[#This Row],[Emissieloos Transport naar verwerker?]]="JA",Inschrijf_Transport_Totaal[[#This Row],[Transport naar verwerker Vervangingen '[tkm']]],0)</f>
        <v>0</v>
      </c>
      <c r="L581" s="133">
        <f>Inschrijf_Transport_Totaal[[#This Row],[Emissieloos Transport]]+Inschrijf_Transport_Totaal[[#This Row],[Emissieloos Transport Vervangingen]]</f>
        <v>0</v>
      </c>
      <c r="M581" s="133">
        <f>(Inschrijf_Transport_Totaal[[#This Row],[Transport naar bouwplaats '[tkm']]]+Inschrijf_Transport_Totaal[[#This Row],[Transport naar verwerker '[tkm']]]+Inschrijf_Transport_Totaal[[#This Row],[Transport naar bouwplaats Vervangingen '[tkm']]]+Inschrijf_Transport_Totaal[[#This Row],[Transport naar verwerker Vervangingen '[tkm']]])-Inschrijf_Transport_Totaal[[#This Row],[Totaal Emissieloos Transport]]</f>
        <v>0</v>
      </c>
      <c r="N581" s="133">
        <f>Inschrijf_Transport_Totaal[[#This Row],[Totaal Emissieloos Transport]]+Inschrijf_Transport_Totaal[[#This Row],[Totaal Niet Emissieloos Transport]]</f>
        <v>0</v>
      </c>
    </row>
    <row r="582" spans="2:14">
      <c r="B582" s="209">
        <f>Optimalisatie!B59</f>
        <v>0</v>
      </c>
      <c r="C582" s="51">
        <f>Optimalisatie!F59</f>
        <v>0</v>
      </c>
      <c r="D582" s="93">
        <f>(IF(Optimalisatie!C59="Nieuwe Situatie",(Optimalisatie!U59),0)*Optimalisatie!R59)</f>
        <v>0</v>
      </c>
      <c r="E582" s="98">
        <f>(IF(Optimalisatie!C59="Bestaande Situatie",(Optimalisatie!AE59),0)*Optimalisatie!R59)</f>
        <v>0</v>
      </c>
      <c r="F582" s="94" t="str">
        <f>_xlfn.IFNA(VLOOKUP(Optimalisatie!V59,Database_Transport[],60,FALSE),"Nee")</f>
        <v>Nee</v>
      </c>
      <c r="G582" s="94" t="str">
        <f>_xlfn.IFNA(VLOOKUP(Optimalisatie!AF59,Database_Transport[],60,FALSE),"Nee")</f>
        <v>Nee</v>
      </c>
      <c r="H582" s="133">
        <f>IF(Inschrijf_Transport_Totaal[[#This Row],[Emissieloos Transport naar bouwplaats?]]="JA",Inschrijf_Transport_Totaal[[#This Row],[Transport naar bouwplaats '[tkm']]],0)+IF(Inschrijf_Transport_Totaal[[#This Row],[Emissieloos Transport naar verwerker?]]="JA",Inschrijf_Transport_Totaal[[#This Row],[Transport naar verwerker '[tkm']]],0)</f>
        <v>0</v>
      </c>
      <c r="I582" s="133">
        <f>(IF(Optimalisatie!C59="Nieuwe Situatie",(Optimalisatie!U59),0)*Optimalisatie!R59)*Optimalisatie!T59</f>
        <v>0</v>
      </c>
      <c r="J582" s="133">
        <f>(IF(Optimalisatie!C59="Nieuwe Situatie",(Optimalisatie!AE59),(Optimalisatie!AE59))*Optimalisatie!R59)*Optimalisatie!T59</f>
        <v>0</v>
      </c>
      <c r="K582" s="133">
        <f>IF(Inschrijf_Transport_Totaal[[#This Row],[Emissieloos Transport naar bouwplaats?]]="JA",Inschrijf_Transport_Totaal[[#This Row],[Transport naar bouwplaats Vervangingen '[tkm']]],0)+IF(Inschrijf_Transport_Totaal[[#This Row],[Emissieloos Transport naar verwerker?]]="JA",Inschrijf_Transport_Totaal[[#This Row],[Transport naar verwerker Vervangingen '[tkm']]],0)</f>
        <v>0</v>
      </c>
      <c r="L582" s="133">
        <f>Inschrijf_Transport_Totaal[[#This Row],[Emissieloos Transport]]+Inschrijf_Transport_Totaal[[#This Row],[Emissieloos Transport Vervangingen]]</f>
        <v>0</v>
      </c>
      <c r="M582" s="133">
        <f>(Inschrijf_Transport_Totaal[[#This Row],[Transport naar bouwplaats '[tkm']]]+Inschrijf_Transport_Totaal[[#This Row],[Transport naar verwerker '[tkm']]]+Inschrijf_Transport_Totaal[[#This Row],[Transport naar bouwplaats Vervangingen '[tkm']]]+Inschrijf_Transport_Totaal[[#This Row],[Transport naar verwerker Vervangingen '[tkm']]])-Inschrijf_Transport_Totaal[[#This Row],[Totaal Emissieloos Transport]]</f>
        <v>0</v>
      </c>
      <c r="N582" s="133">
        <f>Inschrijf_Transport_Totaal[[#This Row],[Totaal Emissieloos Transport]]+Inschrijf_Transport_Totaal[[#This Row],[Totaal Niet Emissieloos Transport]]</f>
        <v>0</v>
      </c>
    </row>
    <row r="583" spans="2:14">
      <c r="B583" s="209">
        <f>Optimalisatie!B60</f>
        <v>0</v>
      </c>
      <c r="C583" s="51">
        <f>Optimalisatie!F60</f>
        <v>0</v>
      </c>
      <c r="D583" s="93">
        <f>(IF(Optimalisatie!C60="Nieuwe Situatie",(Optimalisatie!U60),0)*Optimalisatie!R60)</f>
        <v>0</v>
      </c>
      <c r="E583" s="98">
        <f>(IF(Optimalisatie!C60="Bestaande Situatie",(Optimalisatie!AE60),0)*Optimalisatie!R60)</f>
        <v>0</v>
      </c>
      <c r="F583" s="94" t="str">
        <f>_xlfn.IFNA(VLOOKUP(Optimalisatie!V60,Database_Transport[],60,FALSE),"Nee")</f>
        <v>Nee</v>
      </c>
      <c r="G583" s="94" t="str">
        <f>_xlfn.IFNA(VLOOKUP(Optimalisatie!AF60,Database_Transport[],60,FALSE),"Nee")</f>
        <v>Nee</v>
      </c>
      <c r="H583" s="133">
        <f>IF(Inschrijf_Transport_Totaal[[#This Row],[Emissieloos Transport naar bouwplaats?]]="JA",Inschrijf_Transport_Totaal[[#This Row],[Transport naar bouwplaats '[tkm']]],0)+IF(Inschrijf_Transport_Totaal[[#This Row],[Emissieloos Transport naar verwerker?]]="JA",Inschrijf_Transport_Totaal[[#This Row],[Transport naar verwerker '[tkm']]],0)</f>
        <v>0</v>
      </c>
      <c r="I583" s="133">
        <f>(IF(Optimalisatie!C60="Nieuwe Situatie",(Optimalisatie!U60),0)*Optimalisatie!R60)*Optimalisatie!T60</f>
        <v>0</v>
      </c>
      <c r="J583" s="133">
        <f>(IF(Optimalisatie!C60="Nieuwe Situatie",(Optimalisatie!AE60),(Optimalisatie!AE60))*Optimalisatie!R60)*Optimalisatie!T60</f>
        <v>0</v>
      </c>
      <c r="K583" s="133">
        <f>IF(Inschrijf_Transport_Totaal[[#This Row],[Emissieloos Transport naar bouwplaats?]]="JA",Inschrijf_Transport_Totaal[[#This Row],[Transport naar bouwplaats Vervangingen '[tkm']]],0)+IF(Inschrijf_Transport_Totaal[[#This Row],[Emissieloos Transport naar verwerker?]]="JA",Inschrijf_Transport_Totaal[[#This Row],[Transport naar verwerker Vervangingen '[tkm']]],0)</f>
        <v>0</v>
      </c>
      <c r="L583" s="133">
        <f>Inschrijf_Transport_Totaal[[#This Row],[Emissieloos Transport]]+Inschrijf_Transport_Totaal[[#This Row],[Emissieloos Transport Vervangingen]]</f>
        <v>0</v>
      </c>
      <c r="M583" s="133">
        <f>(Inschrijf_Transport_Totaal[[#This Row],[Transport naar bouwplaats '[tkm']]]+Inschrijf_Transport_Totaal[[#This Row],[Transport naar verwerker '[tkm']]]+Inschrijf_Transport_Totaal[[#This Row],[Transport naar bouwplaats Vervangingen '[tkm']]]+Inschrijf_Transport_Totaal[[#This Row],[Transport naar verwerker Vervangingen '[tkm']]])-Inschrijf_Transport_Totaal[[#This Row],[Totaal Emissieloos Transport]]</f>
        <v>0</v>
      </c>
      <c r="N583" s="133">
        <f>Inschrijf_Transport_Totaal[[#This Row],[Totaal Emissieloos Transport]]+Inschrijf_Transport_Totaal[[#This Row],[Totaal Niet Emissieloos Transport]]</f>
        <v>0</v>
      </c>
    </row>
    <row r="584" spans="2:14">
      <c r="B584" s="209">
        <f>Optimalisatie!B61</f>
        <v>0</v>
      </c>
      <c r="C584" s="51">
        <f>Optimalisatie!F61</f>
        <v>0</v>
      </c>
      <c r="D584" s="93">
        <f>(IF(Optimalisatie!C61="Nieuwe Situatie",(Optimalisatie!U61),0)*Optimalisatie!R61)</f>
        <v>0</v>
      </c>
      <c r="E584" s="98">
        <f>(IF(Optimalisatie!C61="Bestaande Situatie",(Optimalisatie!AE61),0)*Optimalisatie!R61)</f>
        <v>0</v>
      </c>
      <c r="F584" s="94" t="str">
        <f>_xlfn.IFNA(VLOOKUP(Optimalisatie!V61,Database_Transport[],60,FALSE),"Nee")</f>
        <v>Nee</v>
      </c>
      <c r="G584" s="94" t="str">
        <f>_xlfn.IFNA(VLOOKUP(Optimalisatie!AF61,Database_Transport[],60,FALSE),"Nee")</f>
        <v>Nee</v>
      </c>
      <c r="H584" s="133">
        <f>IF(Inschrijf_Transport_Totaal[[#This Row],[Emissieloos Transport naar bouwplaats?]]="JA",Inschrijf_Transport_Totaal[[#This Row],[Transport naar bouwplaats '[tkm']]],0)+IF(Inschrijf_Transport_Totaal[[#This Row],[Emissieloos Transport naar verwerker?]]="JA",Inschrijf_Transport_Totaal[[#This Row],[Transport naar verwerker '[tkm']]],0)</f>
        <v>0</v>
      </c>
      <c r="I584" s="133">
        <f>(IF(Optimalisatie!C61="Nieuwe Situatie",(Optimalisatie!U61),0)*Optimalisatie!R61)*Optimalisatie!T61</f>
        <v>0</v>
      </c>
      <c r="J584" s="133">
        <f>(IF(Optimalisatie!C61="Nieuwe Situatie",(Optimalisatie!AE61),(Optimalisatie!AE61))*Optimalisatie!R61)*Optimalisatie!T61</f>
        <v>0</v>
      </c>
      <c r="K584" s="133">
        <f>IF(Inschrijf_Transport_Totaal[[#This Row],[Emissieloos Transport naar bouwplaats?]]="JA",Inschrijf_Transport_Totaal[[#This Row],[Transport naar bouwplaats Vervangingen '[tkm']]],0)+IF(Inschrijf_Transport_Totaal[[#This Row],[Emissieloos Transport naar verwerker?]]="JA",Inschrijf_Transport_Totaal[[#This Row],[Transport naar verwerker Vervangingen '[tkm']]],0)</f>
        <v>0</v>
      </c>
      <c r="L584" s="133">
        <f>Inschrijf_Transport_Totaal[[#This Row],[Emissieloos Transport]]+Inschrijf_Transport_Totaal[[#This Row],[Emissieloos Transport Vervangingen]]</f>
        <v>0</v>
      </c>
      <c r="M584" s="133">
        <f>(Inschrijf_Transport_Totaal[[#This Row],[Transport naar bouwplaats '[tkm']]]+Inschrijf_Transport_Totaal[[#This Row],[Transport naar verwerker '[tkm']]]+Inschrijf_Transport_Totaal[[#This Row],[Transport naar bouwplaats Vervangingen '[tkm']]]+Inschrijf_Transport_Totaal[[#This Row],[Transport naar verwerker Vervangingen '[tkm']]])-Inschrijf_Transport_Totaal[[#This Row],[Totaal Emissieloos Transport]]</f>
        <v>0</v>
      </c>
      <c r="N584" s="133">
        <f>Inschrijf_Transport_Totaal[[#This Row],[Totaal Emissieloos Transport]]+Inschrijf_Transport_Totaal[[#This Row],[Totaal Niet Emissieloos Transport]]</f>
        <v>0</v>
      </c>
    </row>
    <row r="585" spans="2:14">
      <c r="B585" s="209">
        <f>Optimalisatie!B62</f>
        <v>0</v>
      </c>
      <c r="C585" s="51">
        <f>Optimalisatie!F62</f>
        <v>0</v>
      </c>
      <c r="D585" s="93">
        <f>(IF(Optimalisatie!C62="Nieuwe Situatie",(Optimalisatie!U62),0)*Optimalisatie!R62)</f>
        <v>0</v>
      </c>
      <c r="E585" s="98">
        <f>(IF(Optimalisatie!C62="Bestaande Situatie",(Optimalisatie!AE62),0)*Optimalisatie!R62)</f>
        <v>0</v>
      </c>
      <c r="F585" s="94" t="str">
        <f>_xlfn.IFNA(VLOOKUP(Optimalisatie!V62,Database_Transport[],60,FALSE),"Nee")</f>
        <v>Nee</v>
      </c>
      <c r="G585" s="94" t="str">
        <f>_xlfn.IFNA(VLOOKUP(Optimalisatie!AF62,Database_Transport[],60,FALSE),"Nee")</f>
        <v>Nee</v>
      </c>
      <c r="H585" s="133">
        <f>IF(Inschrijf_Transport_Totaal[[#This Row],[Emissieloos Transport naar bouwplaats?]]="JA",Inschrijf_Transport_Totaal[[#This Row],[Transport naar bouwplaats '[tkm']]],0)+IF(Inschrijf_Transport_Totaal[[#This Row],[Emissieloos Transport naar verwerker?]]="JA",Inschrijf_Transport_Totaal[[#This Row],[Transport naar verwerker '[tkm']]],0)</f>
        <v>0</v>
      </c>
      <c r="I585" s="133">
        <f>(IF(Optimalisatie!C62="Nieuwe Situatie",(Optimalisatie!U62),0)*Optimalisatie!R62)*Optimalisatie!T62</f>
        <v>0</v>
      </c>
      <c r="J585" s="133">
        <f>(IF(Optimalisatie!C62="Nieuwe Situatie",(Optimalisatie!AE62),(Optimalisatie!AE62))*Optimalisatie!R62)*Optimalisatie!T62</f>
        <v>0</v>
      </c>
      <c r="K585" s="133">
        <f>IF(Inschrijf_Transport_Totaal[[#This Row],[Emissieloos Transport naar bouwplaats?]]="JA",Inschrijf_Transport_Totaal[[#This Row],[Transport naar bouwplaats Vervangingen '[tkm']]],0)+IF(Inschrijf_Transport_Totaal[[#This Row],[Emissieloos Transport naar verwerker?]]="JA",Inschrijf_Transport_Totaal[[#This Row],[Transport naar verwerker Vervangingen '[tkm']]],0)</f>
        <v>0</v>
      </c>
      <c r="L585" s="133">
        <f>Inschrijf_Transport_Totaal[[#This Row],[Emissieloos Transport]]+Inschrijf_Transport_Totaal[[#This Row],[Emissieloos Transport Vervangingen]]</f>
        <v>0</v>
      </c>
      <c r="M585" s="133">
        <f>(Inschrijf_Transport_Totaal[[#This Row],[Transport naar bouwplaats '[tkm']]]+Inschrijf_Transport_Totaal[[#This Row],[Transport naar verwerker '[tkm']]]+Inschrijf_Transport_Totaal[[#This Row],[Transport naar bouwplaats Vervangingen '[tkm']]]+Inschrijf_Transport_Totaal[[#This Row],[Transport naar verwerker Vervangingen '[tkm']]])-Inschrijf_Transport_Totaal[[#This Row],[Totaal Emissieloos Transport]]</f>
        <v>0</v>
      </c>
      <c r="N585" s="133">
        <f>Inschrijf_Transport_Totaal[[#This Row],[Totaal Emissieloos Transport]]+Inschrijf_Transport_Totaal[[#This Row],[Totaal Niet Emissieloos Transport]]</f>
        <v>0</v>
      </c>
    </row>
    <row r="586" spans="2:14">
      <c r="B586" s="209">
        <f>Optimalisatie!B63</f>
        <v>0</v>
      </c>
      <c r="C586" s="51">
        <f>Optimalisatie!F63</f>
        <v>0</v>
      </c>
      <c r="D586" s="93">
        <f>(IF(Optimalisatie!C63="Nieuwe Situatie",(Optimalisatie!U63),0)*Optimalisatie!R63)</f>
        <v>0</v>
      </c>
      <c r="E586" s="98">
        <f>(IF(Optimalisatie!C63="Bestaande Situatie",(Optimalisatie!AE63),0)*Optimalisatie!R63)</f>
        <v>0</v>
      </c>
      <c r="F586" s="94" t="str">
        <f>_xlfn.IFNA(VLOOKUP(Optimalisatie!V63,Database_Transport[],60,FALSE),"Nee")</f>
        <v>Nee</v>
      </c>
      <c r="G586" s="94" t="str">
        <f>_xlfn.IFNA(VLOOKUP(Optimalisatie!AF63,Database_Transport[],60,FALSE),"Nee")</f>
        <v>Nee</v>
      </c>
      <c r="H586" s="133">
        <f>IF(Inschrijf_Transport_Totaal[[#This Row],[Emissieloos Transport naar bouwplaats?]]="JA",Inschrijf_Transport_Totaal[[#This Row],[Transport naar bouwplaats '[tkm']]],0)+IF(Inschrijf_Transport_Totaal[[#This Row],[Emissieloos Transport naar verwerker?]]="JA",Inschrijf_Transport_Totaal[[#This Row],[Transport naar verwerker '[tkm']]],0)</f>
        <v>0</v>
      </c>
      <c r="I586" s="133">
        <f>(IF(Optimalisatie!C63="Nieuwe Situatie",(Optimalisatie!U63),0)*Optimalisatie!R63)*Optimalisatie!T63</f>
        <v>0</v>
      </c>
      <c r="J586" s="133">
        <f>(IF(Optimalisatie!C63="Nieuwe Situatie",(Optimalisatie!AE63),(Optimalisatie!AE63))*Optimalisatie!R63)*Optimalisatie!T63</f>
        <v>0</v>
      </c>
      <c r="K586" s="133">
        <f>IF(Inschrijf_Transport_Totaal[[#This Row],[Emissieloos Transport naar bouwplaats?]]="JA",Inschrijf_Transport_Totaal[[#This Row],[Transport naar bouwplaats Vervangingen '[tkm']]],0)+IF(Inschrijf_Transport_Totaal[[#This Row],[Emissieloos Transport naar verwerker?]]="JA",Inschrijf_Transport_Totaal[[#This Row],[Transport naar verwerker Vervangingen '[tkm']]],0)</f>
        <v>0</v>
      </c>
      <c r="L586" s="133">
        <f>Inschrijf_Transport_Totaal[[#This Row],[Emissieloos Transport]]+Inschrijf_Transport_Totaal[[#This Row],[Emissieloos Transport Vervangingen]]</f>
        <v>0</v>
      </c>
      <c r="M586" s="133">
        <f>(Inschrijf_Transport_Totaal[[#This Row],[Transport naar bouwplaats '[tkm']]]+Inschrijf_Transport_Totaal[[#This Row],[Transport naar verwerker '[tkm']]]+Inschrijf_Transport_Totaal[[#This Row],[Transport naar bouwplaats Vervangingen '[tkm']]]+Inschrijf_Transport_Totaal[[#This Row],[Transport naar verwerker Vervangingen '[tkm']]])-Inschrijf_Transport_Totaal[[#This Row],[Totaal Emissieloos Transport]]</f>
        <v>0</v>
      </c>
      <c r="N586" s="133">
        <f>Inschrijf_Transport_Totaal[[#This Row],[Totaal Emissieloos Transport]]+Inschrijf_Transport_Totaal[[#This Row],[Totaal Niet Emissieloos Transport]]</f>
        <v>0</v>
      </c>
    </row>
    <row r="587" spans="2:14">
      <c r="B587" s="209">
        <f>Optimalisatie!B64</f>
        <v>0</v>
      </c>
      <c r="C587" s="51">
        <f>Optimalisatie!F64</f>
        <v>0</v>
      </c>
      <c r="D587" s="93">
        <f>(IF(Optimalisatie!C64="Nieuwe Situatie",(Optimalisatie!U64),0)*Optimalisatie!R64)</f>
        <v>0</v>
      </c>
      <c r="E587" s="98">
        <f>(IF(Optimalisatie!C64="Bestaande Situatie",(Optimalisatie!AE64),0)*Optimalisatie!R64)</f>
        <v>0</v>
      </c>
      <c r="F587" s="94" t="str">
        <f>_xlfn.IFNA(VLOOKUP(Optimalisatie!V64,Database_Transport[],60,FALSE),"Nee")</f>
        <v>Nee</v>
      </c>
      <c r="G587" s="94" t="str">
        <f>_xlfn.IFNA(VLOOKUP(Optimalisatie!AF64,Database_Transport[],60,FALSE),"Nee")</f>
        <v>Nee</v>
      </c>
      <c r="H587" s="133">
        <f>IF(Inschrijf_Transport_Totaal[[#This Row],[Emissieloos Transport naar bouwplaats?]]="JA",Inschrijf_Transport_Totaal[[#This Row],[Transport naar bouwplaats '[tkm']]],0)+IF(Inschrijf_Transport_Totaal[[#This Row],[Emissieloos Transport naar verwerker?]]="JA",Inschrijf_Transport_Totaal[[#This Row],[Transport naar verwerker '[tkm']]],0)</f>
        <v>0</v>
      </c>
      <c r="I587" s="133">
        <f>(IF(Optimalisatie!C64="Nieuwe Situatie",(Optimalisatie!U64),0)*Optimalisatie!R64)*Optimalisatie!T64</f>
        <v>0</v>
      </c>
      <c r="J587" s="133">
        <f>(IF(Optimalisatie!C64="Nieuwe Situatie",(Optimalisatie!AE64),(Optimalisatie!AE64))*Optimalisatie!R64)*Optimalisatie!T64</f>
        <v>0</v>
      </c>
      <c r="K587" s="133">
        <f>IF(Inschrijf_Transport_Totaal[[#This Row],[Emissieloos Transport naar bouwplaats?]]="JA",Inschrijf_Transport_Totaal[[#This Row],[Transport naar bouwplaats Vervangingen '[tkm']]],0)+IF(Inschrijf_Transport_Totaal[[#This Row],[Emissieloos Transport naar verwerker?]]="JA",Inschrijf_Transport_Totaal[[#This Row],[Transport naar verwerker Vervangingen '[tkm']]],0)</f>
        <v>0</v>
      </c>
      <c r="L587" s="133">
        <f>Inschrijf_Transport_Totaal[[#This Row],[Emissieloos Transport]]+Inschrijf_Transport_Totaal[[#This Row],[Emissieloos Transport Vervangingen]]</f>
        <v>0</v>
      </c>
      <c r="M587" s="133">
        <f>(Inschrijf_Transport_Totaal[[#This Row],[Transport naar bouwplaats '[tkm']]]+Inschrijf_Transport_Totaal[[#This Row],[Transport naar verwerker '[tkm']]]+Inschrijf_Transport_Totaal[[#This Row],[Transport naar bouwplaats Vervangingen '[tkm']]]+Inschrijf_Transport_Totaal[[#This Row],[Transport naar verwerker Vervangingen '[tkm']]])-Inschrijf_Transport_Totaal[[#This Row],[Totaal Emissieloos Transport]]</f>
        <v>0</v>
      </c>
      <c r="N587" s="133">
        <f>Inschrijf_Transport_Totaal[[#This Row],[Totaal Emissieloos Transport]]+Inschrijf_Transport_Totaal[[#This Row],[Totaal Niet Emissieloos Transport]]</f>
        <v>0</v>
      </c>
    </row>
    <row r="588" spans="2:14">
      <c r="B588" s="209">
        <f>Optimalisatie!B65</f>
        <v>0</v>
      </c>
      <c r="C588" s="51">
        <f>Optimalisatie!F65</f>
        <v>0</v>
      </c>
      <c r="D588" s="93">
        <f>(IF(Optimalisatie!C65="Nieuwe Situatie",(Optimalisatie!U65),0)*Optimalisatie!R65)</f>
        <v>0</v>
      </c>
      <c r="E588" s="98">
        <f>(IF(Optimalisatie!C65="Bestaande Situatie",(Optimalisatie!AE65),0)*Optimalisatie!R65)</f>
        <v>0</v>
      </c>
      <c r="F588" s="94" t="str">
        <f>_xlfn.IFNA(VLOOKUP(Optimalisatie!V65,Database_Transport[],60,FALSE),"Nee")</f>
        <v>Nee</v>
      </c>
      <c r="G588" s="94" t="str">
        <f>_xlfn.IFNA(VLOOKUP(Optimalisatie!AF65,Database_Transport[],60,FALSE),"Nee")</f>
        <v>Nee</v>
      </c>
      <c r="H588" s="133">
        <f>IF(Inschrijf_Transport_Totaal[[#This Row],[Emissieloos Transport naar bouwplaats?]]="JA",Inschrijf_Transport_Totaal[[#This Row],[Transport naar bouwplaats '[tkm']]],0)+IF(Inschrijf_Transport_Totaal[[#This Row],[Emissieloos Transport naar verwerker?]]="JA",Inschrijf_Transport_Totaal[[#This Row],[Transport naar verwerker '[tkm']]],0)</f>
        <v>0</v>
      </c>
      <c r="I588" s="133">
        <f>(IF(Optimalisatie!C65="Nieuwe Situatie",(Optimalisatie!U65),0)*Optimalisatie!R65)*Optimalisatie!T65</f>
        <v>0</v>
      </c>
      <c r="J588" s="133">
        <f>(IF(Optimalisatie!C65="Nieuwe Situatie",(Optimalisatie!AE65),(Optimalisatie!AE65))*Optimalisatie!R65)*Optimalisatie!T65</f>
        <v>0</v>
      </c>
      <c r="K588" s="133">
        <f>IF(Inschrijf_Transport_Totaal[[#This Row],[Emissieloos Transport naar bouwplaats?]]="JA",Inschrijf_Transport_Totaal[[#This Row],[Transport naar bouwplaats Vervangingen '[tkm']]],0)+IF(Inschrijf_Transport_Totaal[[#This Row],[Emissieloos Transport naar verwerker?]]="JA",Inschrijf_Transport_Totaal[[#This Row],[Transport naar verwerker Vervangingen '[tkm']]],0)</f>
        <v>0</v>
      </c>
      <c r="L588" s="133">
        <f>Inschrijf_Transport_Totaal[[#This Row],[Emissieloos Transport]]+Inschrijf_Transport_Totaal[[#This Row],[Emissieloos Transport Vervangingen]]</f>
        <v>0</v>
      </c>
      <c r="M588" s="133">
        <f>(Inschrijf_Transport_Totaal[[#This Row],[Transport naar bouwplaats '[tkm']]]+Inschrijf_Transport_Totaal[[#This Row],[Transport naar verwerker '[tkm']]]+Inschrijf_Transport_Totaal[[#This Row],[Transport naar bouwplaats Vervangingen '[tkm']]]+Inschrijf_Transport_Totaal[[#This Row],[Transport naar verwerker Vervangingen '[tkm']]])-Inschrijf_Transport_Totaal[[#This Row],[Totaal Emissieloos Transport]]</f>
        <v>0</v>
      </c>
      <c r="N588" s="133">
        <f>Inschrijf_Transport_Totaal[[#This Row],[Totaal Emissieloos Transport]]+Inschrijf_Transport_Totaal[[#This Row],[Totaal Niet Emissieloos Transport]]</f>
        <v>0</v>
      </c>
    </row>
    <row r="589" spans="2:14">
      <c r="B589" s="209">
        <f>Optimalisatie!B66</f>
        <v>0</v>
      </c>
      <c r="C589" s="51">
        <f>Optimalisatie!F66</f>
        <v>0</v>
      </c>
      <c r="D589" s="93">
        <f>(IF(Optimalisatie!C66="Nieuwe Situatie",(Optimalisatie!U66),0)*Optimalisatie!R66)</f>
        <v>0</v>
      </c>
      <c r="E589" s="98">
        <f>(IF(Optimalisatie!C66="Bestaande Situatie",(Optimalisatie!AE66),0)*Optimalisatie!R66)</f>
        <v>0</v>
      </c>
      <c r="F589" s="94" t="str">
        <f>_xlfn.IFNA(VLOOKUP(Optimalisatie!V66,Database_Transport[],60,FALSE),"Nee")</f>
        <v>Nee</v>
      </c>
      <c r="G589" s="94" t="str">
        <f>_xlfn.IFNA(VLOOKUP(Optimalisatie!AF66,Database_Transport[],60,FALSE),"Nee")</f>
        <v>Nee</v>
      </c>
      <c r="H589" s="133">
        <f>IF(Inschrijf_Transport_Totaal[[#This Row],[Emissieloos Transport naar bouwplaats?]]="JA",Inschrijf_Transport_Totaal[[#This Row],[Transport naar bouwplaats '[tkm']]],0)+IF(Inschrijf_Transport_Totaal[[#This Row],[Emissieloos Transport naar verwerker?]]="JA",Inschrijf_Transport_Totaal[[#This Row],[Transport naar verwerker '[tkm']]],0)</f>
        <v>0</v>
      </c>
      <c r="I589" s="133">
        <f>(IF(Optimalisatie!C66="Nieuwe Situatie",(Optimalisatie!U66),0)*Optimalisatie!R66)*Optimalisatie!T66</f>
        <v>0</v>
      </c>
      <c r="J589" s="133">
        <f>(IF(Optimalisatie!C66="Nieuwe Situatie",(Optimalisatie!AE66),(Optimalisatie!AE66))*Optimalisatie!R66)*Optimalisatie!T66</f>
        <v>0</v>
      </c>
      <c r="K589" s="133">
        <f>IF(Inschrijf_Transport_Totaal[[#This Row],[Emissieloos Transport naar bouwplaats?]]="JA",Inschrijf_Transport_Totaal[[#This Row],[Transport naar bouwplaats Vervangingen '[tkm']]],0)+IF(Inschrijf_Transport_Totaal[[#This Row],[Emissieloos Transport naar verwerker?]]="JA",Inschrijf_Transport_Totaal[[#This Row],[Transport naar verwerker Vervangingen '[tkm']]],0)</f>
        <v>0</v>
      </c>
      <c r="L589" s="133">
        <f>Inschrijf_Transport_Totaal[[#This Row],[Emissieloos Transport]]+Inschrijf_Transport_Totaal[[#This Row],[Emissieloos Transport Vervangingen]]</f>
        <v>0</v>
      </c>
      <c r="M589" s="133">
        <f>(Inschrijf_Transport_Totaal[[#This Row],[Transport naar bouwplaats '[tkm']]]+Inschrijf_Transport_Totaal[[#This Row],[Transport naar verwerker '[tkm']]]+Inschrijf_Transport_Totaal[[#This Row],[Transport naar bouwplaats Vervangingen '[tkm']]]+Inschrijf_Transport_Totaal[[#This Row],[Transport naar verwerker Vervangingen '[tkm']]])-Inschrijf_Transport_Totaal[[#This Row],[Totaal Emissieloos Transport]]</f>
        <v>0</v>
      </c>
      <c r="N589" s="133">
        <f>Inschrijf_Transport_Totaal[[#This Row],[Totaal Emissieloos Transport]]+Inschrijf_Transport_Totaal[[#This Row],[Totaal Niet Emissieloos Transport]]</f>
        <v>0</v>
      </c>
    </row>
    <row r="590" spans="2:14">
      <c r="B590" s="209">
        <f>Optimalisatie!B67</f>
        <v>0</v>
      </c>
      <c r="C590" s="51">
        <f>Optimalisatie!F67</f>
        <v>0</v>
      </c>
      <c r="D590" s="93">
        <f>(IF(Optimalisatie!C67="Nieuwe Situatie",(Optimalisatie!U67),0)*Optimalisatie!R67)</f>
        <v>0</v>
      </c>
      <c r="E590" s="98">
        <f>(IF(Optimalisatie!C67="Bestaande Situatie",(Optimalisatie!AE67),0)*Optimalisatie!R67)</f>
        <v>0</v>
      </c>
      <c r="F590" s="94" t="str">
        <f>_xlfn.IFNA(VLOOKUP(Optimalisatie!V67,Database_Transport[],60,FALSE),"Nee")</f>
        <v>Nee</v>
      </c>
      <c r="G590" s="94" t="str">
        <f>_xlfn.IFNA(VLOOKUP(Optimalisatie!AF67,Database_Transport[],60,FALSE),"Nee")</f>
        <v>Nee</v>
      </c>
      <c r="H590" s="133">
        <f>IF(Inschrijf_Transport_Totaal[[#This Row],[Emissieloos Transport naar bouwplaats?]]="JA",Inschrijf_Transport_Totaal[[#This Row],[Transport naar bouwplaats '[tkm']]],0)+IF(Inschrijf_Transport_Totaal[[#This Row],[Emissieloos Transport naar verwerker?]]="JA",Inschrijf_Transport_Totaal[[#This Row],[Transport naar verwerker '[tkm']]],0)</f>
        <v>0</v>
      </c>
      <c r="I590" s="133">
        <f>(IF(Optimalisatie!C67="Nieuwe Situatie",(Optimalisatie!U67),0)*Optimalisatie!R67)*Optimalisatie!T67</f>
        <v>0</v>
      </c>
      <c r="J590" s="133">
        <f>(IF(Optimalisatie!C67="Nieuwe Situatie",(Optimalisatie!AE67),(Optimalisatie!AE67))*Optimalisatie!R67)*Optimalisatie!T67</f>
        <v>0</v>
      </c>
      <c r="K590" s="133">
        <f>IF(Inschrijf_Transport_Totaal[[#This Row],[Emissieloos Transport naar bouwplaats?]]="JA",Inschrijf_Transport_Totaal[[#This Row],[Transport naar bouwplaats Vervangingen '[tkm']]],0)+IF(Inschrijf_Transport_Totaal[[#This Row],[Emissieloos Transport naar verwerker?]]="JA",Inschrijf_Transport_Totaal[[#This Row],[Transport naar verwerker Vervangingen '[tkm']]],0)</f>
        <v>0</v>
      </c>
      <c r="L590" s="133">
        <f>Inschrijf_Transport_Totaal[[#This Row],[Emissieloos Transport]]+Inschrijf_Transport_Totaal[[#This Row],[Emissieloos Transport Vervangingen]]</f>
        <v>0</v>
      </c>
      <c r="M590" s="133">
        <f>(Inschrijf_Transport_Totaal[[#This Row],[Transport naar bouwplaats '[tkm']]]+Inschrijf_Transport_Totaal[[#This Row],[Transport naar verwerker '[tkm']]]+Inschrijf_Transport_Totaal[[#This Row],[Transport naar bouwplaats Vervangingen '[tkm']]]+Inschrijf_Transport_Totaal[[#This Row],[Transport naar verwerker Vervangingen '[tkm']]])-Inschrijf_Transport_Totaal[[#This Row],[Totaal Emissieloos Transport]]</f>
        <v>0</v>
      </c>
      <c r="N590" s="133">
        <f>Inschrijf_Transport_Totaal[[#This Row],[Totaal Emissieloos Transport]]+Inschrijf_Transport_Totaal[[#This Row],[Totaal Niet Emissieloos Transport]]</f>
        <v>0</v>
      </c>
    </row>
    <row r="591" spans="2:14">
      <c r="B591" s="209">
        <f>Optimalisatie!B68</f>
        <v>0</v>
      </c>
      <c r="C591" s="51">
        <f>Optimalisatie!F68</f>
        <v>0</v>
      </c>
      <c r="D591" s="93">
        <f>(IF(Optimalisatie!C68="Nieuwe Situatie",(Optimalisatie!U68),0)*Optimalisatie!R68)</f>
        <v>0</v>
      </c>
      <c r="E591" s="98">
        <f>(IF(Optimalisatie!C68="Bestaande Situatie",(Optimalisatie!AE68),0)*Optimalisatie!R68)</f>
        <v>0</v>
      </c>
      <c r="F591" s="94" t="str">
        <f>_xlfn.IFNA(VLOOKUP(Optimalisatie!V68,Database_Transport[],60,FALSE),"Nee")</f>
        <v>Nee</v>
      </c>
      <c r="G591" s="94" t="str">
        <f>_xlfn.IFNA(VLOOKUP(Optimalisatie!AF68,Database_Transport[],60,FALSE),"Nee")</f>
        <v>Nee</v>
      </c>
      <c r="H591" s="133">
        <f>IF(Inschrijf_Transport_Totaal[[#This Row],[Emissieloos Transport naar bouwplaats?]]="JA",Inschrijf_Transport_Totaal[[#This Row],[Transport naar bouwplaats '[tkm']]],0)+IF(Inschrijf_Transport_Totaal[[#This Row],[Emissieloos Transport naar verwerker?]]="JA",Inschrijf_Transport_Totaal[[#This Row],[Transport naar verwerker '[tkm']]],0)</f>
        <v>0</v>
      </c>
      <c r="I591" s="133">
        <f>(IF(Optimalisatie!C68="Nieuwe Situatie",(Optimalisatie!U68),0)*Optimalisatie!R68)*Optimalisatie!T68</f>
        <v>0</v>
      </c>
      <c r="J591" s="133">
        <f>(IF(Optimalisatie!C68="Nieuwe Situatie",(Optimalisatie!AE68),(Optimalisatie!AE68))*Optimalisatie!R68)*Optimalisatie!T68</f>
        <v>0</v>
      </c>
      <c r="K591" s="133">
        <f>IF(Inschrijf_Transport_Totaal[[#This Row],[Emissieloos Transport naar bouwplaats?]]="JA",Inschrijf_Transport_Totaal[[#This Row],[Transport naar bouwplaats Vervangingen '[tkm']]],0)+IF(Inschrijf_Transport_Totaal[[#This Row],[Emissieloos Transport naar verwerker?]]="JA",Inschrijf_Transport_Totaal[[#This Row],[Transport naar verwerker Vervangingen '[tkm']]],0)</f>
        <v>0</v>
      </c>
      <c r="L591" s="133">
        <f>Inschrijf_Transport_Totaal[[#This Row],[Emissieloos Transport]]+Inschrijf_Transport_Totaal[[#This Row],[Emissieloos Transport Vervangingen]]</f>
        <v>0</v>
      </c>
      <c r="M591" s="133">
        <f>(Inschrijf_Transport_Totaal[[#This Row],[Transport naar bouwplaats '[tkm']]]+Inschrijf_Transport_Totaal[[#This Row],[Transport naar verwerker '[tkm']]]+Inschrijf_Transport_Totaal[[#This Row],[Transport naar bouwplaats Vervangingen '[tkm']]]+Inschrijf_Transport_Totaal[[#This Row],[Transport naar verwerker Vervangingen '[tkm']]])-Inschrijf_Transport_Totaal[[#This Row],[Totaal Emissieloos Transport]]</f>
        <v>0</v>
      </c>
      <c r="N591" s="133">
        <f>Inschrijf_Transport_Totaal[[#This Row],[Totaal Emissieloos Transport]]+Inschrijf_Transport_Totaal[[#This Row],[Totaal Niet Emissieloos Transport]]</f>
        <v>0</v>
      </c>
    </row>
    <row r="592" spans="2:14">
      <c r="B592" s="209">
        <f>Optimalisatie!B69</f>
        <v>0</v>
      </c>
      <c r="C592" s="51">
        <f>Optimalisatie!F69</f>
        <v>0</v>
      </c>
      <c r="D592" s="93">
        <f>(IF(Optimalisatie!C69="Nieuwe Situatie",(Optimalisatie!U69),0)*Optimalisatie!R69)</f>
        <v>0</v>
      </c>
      <c r="E592" s="98">
        <f>(IF(Optimalisatie!C69="Bestaande Situatie",(Optimalisatie!AE69),0)*Optimalisatie!R69)</f>
        <v>0</v>
      </c>
      <c r="F592" s="94" t="str">
        <f>_xlfn.IFNA(VLOOKUP(Optimalisatie!V69,Database_Transport[],60,FALSE),"Nee")</f>
        <v>Nee</v>
      </c>
      <c r="G592" s="94" t="str">
        <f>_xlfn.IFNA(VLOOKUP(Optimalisatie!AF69,Database_Transport[],60,FALSE),"Nee")</f>
        <v>Nee</v>
      </c>
      <c r="H592" s="133">
        <f>IF(Inschrijf_Transport_Totaal[[#This Row],[Emissieloos Transport naar bouwplaats?]]="JA",Inschrijf_Transport_Totaal[[#This Row],[Transport naar bouwplaats '[tkm']]],0)+IF(Inschrijf_Transport_Totaal[[#This Row],[Emissieloos Transport naar verwerker?]]="JA",Inschrijf_Transport_Totaal[[#This Row],[Transport naar verwerker '[tkm']]],0)</f>
        <v>0</v>
      </c>
      <c r="I592" s="133">
        <f>(IF(Optimalisatie!C69="Nieuwe Situatie",(Optimalisatie!U69),0)*Optimalisatie!R69)*Optimalisatie!T69</f>
        <v>0</v>
      </c>
      <c r="J592" s="133">
        <f>(IF(Optimalisatie!C69="Nieuwe Situatie",(Optimalisatie!AE69),(Optimalisatie!AE69))*Optimalisatie!R69)*Optimalisatie!T69</f>
        <v>0</v>
      </c>
      <c r="K592" s="133">
        <f>IF(Inschrijf_Transport_Totaal[[#This Row],[Emissieloos Transport naar bouwplaats?]]="JA",Inschrijf_Transport_Totaal[[#This Row],[Transport naar bouwplaats Vervangingen '[tkm']]],0)+IF(Inschrijf_Transport_Totaal[[#This Row],[Emissieloos Transport naar verwerker?]]="JA",Inschrijf_Transport_Totaal[[#This Row],[Transport naar verwerker Vervangingen '[tkm']]],0)</f>
        <v>0</v>
      </c>
      <c r="L592" s="133">
        <f>Inschrijf_Transport_Totaal[[#This Row],[Emissieloos Transport]]+Inschrijf_Transport_Totaal[[#This Row],[Emissieloos Transport Vervangingen]]</f>
        <v>0</v>
      </c>
      <c r="M592" s="133">
        <f>(Inschrijf_Transport_Totaal[[#This Row],[Transport naar bouwplaats '[tkm']]]+Inschrijf_Transport_Totaal[[#This Row],[Transport naar verwerker '[tkm']]]+Inschrijf_Transport_Totaal[[#This Row],[Transport naar bouwplaats Vervangingen '[tkm']]]+Inschrijf_Transport_Totaal[[#This Row],[Transport naar verwerker Vervangingen '[tkm']]])-Inschrijf_Transport_Totaal[[#This Row],[Totaal Emissieloos Transport]]</f>
        <v>0</v>
      </c>
      <c r="N592" s="133">
        <f>Inschrijf_Transport_Totaal[[#This Row],[Totaal Emissieloos Transport]]+Inschrijf_Transport_Totaal[[#This Row],[Totaal Niet Emissieloos Transport]]</f>
        <v>0</v>
      </c>
    </row>
    <row r="593" spans="2:14">
      <c r="B593" s="209">
        <f>Optimalisatie!B70</f>
        <v>0</v>
      </c>
      <c r="C593" s="51">
        <f>Optimalisatie!F70</f>
        <v>0</v>
      </c>
      <c r="D593" s="93">
        <f>(IF(Optimalisatie!C70="Nieuwe Situatie",(Optimalisatie!U70),0)*Optimalisatie!R70)</f>
        <v>0</v>
      </c>
      <c r="E593" s="98">
        <f>(IF(Optimalisatie!C70="Bestaande Situatie",(Optimalisatie!AE70),0)*Optimalisatie!R70)</f>
        <v>0</v>
      </c>
      <c r="F593" s="94" t="str">
        <f>_xlfn.IFNA(VLOOKUP(Optimalisatie!V70,Database_Transport[],60,FALSE),"Nee")</f>
        <v>Nee</v>
      </c>
      <c r="G593" s="94" t="str">
        <f>_xlfn.IFNA(VLOOKUP(Optimalisatie!AF70,Database_Transport[],60,FALSE),"Nee")</f>
        <v>Nee</v>
      </c>
      <c r="H593" s="133">
        <f>IF(Inschrijf_Transport_Totaal[[#This Row],[Emissieloos Transport naar bouwplaats?]]="JA",Inschrijf_Transport_Totaal[[#This Row],[Transport naar bouwplaats '[tkm']]],0)+IF(Inschrijf_Transport_Totaal[[#This Row],[Emissieloos Transport naar verwerker?]]="JA",Inschrijf_Transport_Totaal[[#This Row],[Transport naar verwerker '[tkm']]],0)</f>
        <v>0</v>
      </c>
      <c r="I593" s="133">
        <f>(IF(Optimalisatie!C70="Nieuwe Situatie",(Optimalisatie!U70),0)*Optimalisatie!R70)*Optimalisatie!T70</f>
        <v>0</v>
      </c>
      <c r="J593" s="133">
        <f>(IF(Optimalisatie!C70="Nieuwe Situatie",(Optimalisatie!AE70),(Optimalisatie!AE70))*Optimalisatie!R70)*Optimalisatie!T70</f>
        <v>0</v>
      </c>
      <c r="K593" s="133">
        <f>IF(Inschrijf_Transport_Totaal[[#This Row],[Emissieloos Transport naar bouwplaats?]]="JA",Inschrijf_Transport_Totaal[[#This Row],[Transport naar bouwplaats Vervangingen '[tkm']]],0)+IF(Inschrijf_Transport_Totaal[[#This Row],[Emissieloos Transport naar verwerker?]]="JA",Inschrijf_Transport_Totaal[[#This Row],[Transport naar verwerker Vervangingen '[tkm']]],0)</f>
        <v>0</v>
      </c>
      <c r="L593" s="133">
        <f>Inschrijf_Transport_Totaal[[#This Row],[Emissieloos Transport]]+Inschrijf_Transport_Totaal[[#This Row],[Emissieloos Transport Vervangingen]]</f>
        <v>0</v>
      </c>
      <c r="M593" s="133">
        <f>(Inschrijf_Transport_Totaal[[#This Row],[Transport naar bouwplaats '[tkm']]]+Inschrijf_Transport_Totaal[[#This Row],[Transport naar verwerker '[tkm']]]+Inschrijf_Transport_Totaal[[#This Row],[Transport naar bouwplaats Vervangingen '[tkm']]]+Inschrijf_Transport_Totaal[[#This Row],[Transport naar verwerker Vervangingen '[tkm']]])-Inschrijf_Transport_Totaal[[#This Row],[Totaal Emissieloos Transport]]</f>
        <v>0</v>
      </c>
      <c r="N593" s="133">
        <f>Inschrijf_Transport_Totaal[[#This Row],[Totaal Emissieloos Transport]]+Inschrijf_Transport_Totaal[[#This Row],[Totaal Niet Emissieloos Transport]]</f>
        <v>0</v>
      </c>
    </row>
    <row r="594" spans="2:14">
      <c r="B594" s="209">
        <f>Optimalisatie!B71</f>
        <v>0</v>
      </c>
      <c r="C594" s="51">
        <f>Optimalisatie!F71</f>
        <v>0</v>
      </c>
      <c r="D594" s="93">
        <f>(IF(Optimalisatie!C71="Nieuwe Situatie",(Optimalisatie!U71),0)*Optimalisatie!R71)</f>
        <v>0</v>
      </c>
      <c r="E594" s="98">
        <f>(IF(Optimalisatie!C71="Bestaande Situatie",(Optimalisatie!AE71),0)*Optimalisatie!R71)</f>
        <v>0</v>
      </c>
      <c r="F594" s="94" t="str">
        <f>_xlfn.IFNA(VLOOKUP(Optimalisatie!V71,Database_Transport[],60,FALSE),"Nee")</f>
        <v>Nee</v>
      </c>
      <c r="G594" s="94" t="str">
        <f>_xlfn.IFNA(VLOOKUP(Optimalisatie!AF71,Database_Transport[],60,FALSE),"Nee")</f>
        <v>Nee</v>
      </c>
      <c r="H594" s="133">
        <f>IF(Inschrijf_Transport_Totaal[[#This Row],[Emissieloos Transport naar bouwplaats?]]="JA",Inschrijf_Transport_Totaal[[#This Row],[Transport naar bouwplaats '[tkm']]],0)+IF(Inschrijf_Transport_Totaal[[#This Row],[Emissieloos Transport naar verwerker?]]="JA",Inschrijf_Transport_Totaal[[#This Row],[Transport naar verwerker '[tkm']]],0)</f>
        <v>0</v>
      </c>
      <c r="I594" s="133">
        <f>(IF(Optimalisatie!C71="Nieuwe Situatie",(Optimalisatie!U71),0)*Optimalisatie!R71)*Optimalisatie!T71</f>
        <v>0</v>
      </c>
      <c r="J594" s="133">
        <f>(IF(Optimalisatie!C71="Nieuwe Situatie",(Optimalisatie!AE71),(Optimalisatie!AE71))*Optimalisatie!R71)*Optimalisatie!T71</f>
        <v>0</v>
      </c>
      <c r="K594" s="133">
        <f>IF(Inschrijf_Transport_Totaal[[#This Row],[Emissieloos Transport naar bouwplaats?]]="JA",Inschrijf_Transport_Totaal[[#This Row],[Transport naar bouwplaats Vervangingen '[tkm']]],0)+IF(Inschrijf_Transport_Totaal[[#This Row],[Emissieloos Transport naar verwerker?]]="JA",Inschrijf_Transport_Totaal[[#This Row],[Transport naar verwerker Vervangingen '[tkm']]],0)</f>
        <v>0</v>
      </c>
      <c r="L594" s="133">
        <f>Inschrijf_Transport_Totaal[[#This Row],[Emissieloos Transport]]+Inschrijf_Transport_Totaal[[#This Row],[Emissieloos Transport Vervangingen]]</f>
        <v>0</v>
      </c>
      <c r="M594" s="133">
        <f>(Inschrijf_Transport_Totaal[[#This Row],[Transport naar bouwplaats '[tkm']]]+Inschrijf_Transport_Totaal[[#This Row],[Transport naar verwerker '[tkm']]]+Inschrijf_Transport_Totaal[[#This Row],[Transport naar bouwplaats Vervangingen '[tkm']]]+Inschrijf_Transport_Totaal[[#This Row],[Transport naar verwerker Vervangingen '[tkm']]])-Inschrijf_Transport_Totaal[[#This Row],[Totaal Emissieloos Transport]]</f>
        <v>0</v>
      </c>
      <c r="N594" s="133">
        <f>Inschrijf_Transport_Totaal[[#This Row],[Totaal Emissieloos Transport]]+Inschrijf_Transport_Totaal[[#This Row],[Totaal Niet Emissieloos Transport]]</f>
        <v>0</v>
      </c>
    </row>
    <row r="595" spans="2:14">
      <c r="B595" s="209">
        <f>Optimalisatie!B72</f>
        <v>0</v>
      </c>
      <c r="C595" s="51">
        <f>Optimalisatie!F72</f>
        <v>0</v>
      </c>
      <c r="D595" s="93">
        <f>(IF(Optimalisatie!C72="Nieuwe Situatie",(Optimalisatie!U72),0)*Optimalisatie!R72)</f>
        <v>0</v>
      </c>
      <c r="E595" s="98">
        <f>(IF(Optimalisatie!C72="Bestaande Situatie",(Optimalisatie!AE72),0)*Optimalisatie!R72)</f>
        <v>0</v>
      </c>
      <c r="F595" s="94" t="str">
        <f>_xlfn.IFNA(VLOOKUP(Optimalisatie!V72,Database_Transport[],60,FALSE),"Nee")</f>
        <v>Nee</v>
      </c>
      <c r="G595" s="94" t="str">
        <f>_xlfn.IFNA(VLOOKUP(Optimalisatie!AF72,Database_Transport[],60,FALSE),"Nee")</f>
        <v>Nee</v>
      </c>
      <c r="H595" s="133">
        <f>IF(Inschrijf_Transport_Totaal[[#This Row],[Emissieloos Transport naar bouwplaats?]]="JA",Inschrijf_Transport_Totaal[[#This Row],[Transport naar bouwplaats '[tkm']]],0)+IF(Inschrijf_Transport_Totaal[[#This Row],[Emissieloos Transport naar verwerker?]]="JA",Inschrijf_Transport_Totaal[[#This Row],[Transport naar verwerker '[tkm']]],0)</f>
        <v>0</v>
      </c>
      <c r="I595" s="133">
        <f>(IF(Optimalisatie!C72="Nieuwe Situatie",(Optimalisatie!U72),0)*Optimalisatie!R72)*Optimalisatie!T72</f>
        <v>0</v>
      </c>
      <c r="J595" s="133">
        <f>(IF(Optimalisatie!C72="Nieuwe Situatie",(Optimalisatie!AE72),(Optimalisatie!AE72))*Optimalisatie!R72)*Optimalisatie!T72</f>
        <v>0</v>
      </c>
      <c r="K595" s="133">
        <f>IF(Inschrijf_Transport_Totaal[[#This Row],[Emissieloos Transport naar bouwplaats?]]="JA",Inschrijf_Transport_Totaal[[#This Row],[Transport naar bouwplaats Vervangingen '[tkm']]],0)+IF(Inschrijf_Transport_Totaal[[#This Row],[Emissieloos Transport naar verwerker?]]="JA",Inschrijf_Transport_Totaal[[#This Row],[Transport naar verwerker Vervangingen '[tkm']]],0)</f>
        <v>0</v>
      </c>
      <c r="L595" s="133">
        <f>Inschrijf_Transport_Totaal[[#This Row],[Emissieloos Transport]]+Inschrijf_Transport_Totaal[[#This Row],[Emissieloos Transport Vervangingen]]</f>
        <v>0</v>
      </c>
      <c r="M595" s="133">
        <f>(Inschrijf_Transport_Totaal[[#This Row],[Transport naar bouwplaats '[tkm']]]+Inschrijf_Transport_Totaal[[#This Row],[Transport naar verwerker '[tkm']]]+Inschrijf_Transport_Totaal[[#This Row],[Transport naar bouwplaats Vervangingen '[tkm']]]+Inschrijf_Transport_Totaal[[#This Row],[Transport naar verwerker Vervangingen '[tkm']]])-Inschrijf_Transport_Totaal[[#This Row],[Totaal Emissieloos Transport]]</f>
        <v>0</v>
      </c>
      <c r="N595" s="133">
        <f>Inschrijf_Transport_Totaal[[#This Row],[Totaal Emissieloos Transport]]+Inschrijf_Transport_Totaal[[#This Row],[Totaal Niet Emissieloos Transport]]</f>
        <v>0</v>
      </c>
    </row>
    <row r="596" spans="2:14">
      <c r="B596" s="209">
        <f>Optimalisatie!B73</f>
        <v>0</v>
      </c>
      <c r="C596" s="51">
        <f>Optimalisatie!F73</f>
        <v>0</v>
      </c>
      <c r="D596" s="93">
        <f>(IF(Optimalisatie!C73="Nieuwe Situatie",(Optimalisatie!U73),0)*Optimalisatie!R73)</f>
        <v>0</v>
      </c>
      <c r="E596" s="98">
        <f>(IF(Optimalisatie!C73="Bestaande Situatie",(Optimalisatie!AE73),0)*Optimalisatie!R73)</f>
        <v>0</v>
      </c>
      <c r="F596" s="94" t="str">
        <f>_xlfn.IFNA(VLOOKUP(Optimalisatie!V73,Database_Transport[],60,FALSE),"Nee")</f>
        <v>Nee</v>
      </c>
      <c r="G596" s="94" t="str">
        <f>_xlfn.IFNA(VLOOKUP(Optimalisatie!AF73,Database_Transport[],60,FALSE),"Nee")</f>
        <v>Nee</v>
      </c>
      <c r="H596" s="133">
        <f>IF(Inschrijf_Transport_Totaal[[#This Row],[Emissieloos Transport naar bouwplaats?]]="JA",Inschrijf_Transport_Totaal[[#This Row],[Transport naar bouwplaats '[tkm']]],0)+IF(Inschrijf_Transport_Totaal[[#This Row],[Emissieloos Transport naar verwerker?]]="JA",Inschrijf_Transport_Totaal[[#This Row],[Transport naar verwerker '[tkm']]],0)</f>
        <v>0</v>
      </c>
      <c r="I596" s="133">
        <f>(IF(Optimalisatie!C73="Nieuwe Situatie",(Optimalisatie!U73),0)*Optimalisatie!R73)*Optimalisatie!T73</f>
        <v>0</v>
      </c>
      <c r="J596" s="133">
        <f>(IF(Optimalisatie!C73="Nieuwe Situatie",(Optimalisatie!AE73),(Optimalisatie!AE73))*Optimalisatie!R73)*Optimalisatie!T73</f>
        <v>0</v>
      </c>
      <c r="K596" s="133">
        <f>IF(Inschrijf_Transport_Totaal[[#This Row],[Emissieloos Transport naar bouwplaats?]]="JA",Inschrijf_Transport_Totaal[[#This Row],[Transport naar bouwplaats Vervangingen '[tkm']]],0)+IF(Inschrijf_Transport_Totaal[[#This Row],[Emissieloos Transport naar verwerker?]]="JA",Inschrijf_Transport_Totaal[[#This Row],[Transport naar verwerker Vervangingen '[tkm']]],0)</f>
        <v>0</v>
      </c>
      <c r="L596" s="133">
        <f>Inschrijf_Transport_Totaal[[#This Row],[Emissieloos Transport]]+Inschrijf_Transport_Totaal[[#This Row],[Emissieloos Transport Vervangingen]]</f>
        <v>0</v>
      </c>
      <c r="M596" s="133">
        <f>(Inschrijf_Transport_Totaal[[#This Row],[Transport naar bouwplaats '[tkm']]]+Inschrijf_Transport_Totaal[[#This Row],[Transport naar verwerker '[tkm']]]+Inschrijf_Transport_Totaal[[#This Row],[Transport naar bouwplaats Vervangingen '[tkm']]]+Inschrijf_Transport_Totaal[[#This Row],[Transport naar verwerker Vervangingen '[tkm']]])-Inschrijf_Transport_Totaal[[#This Row],[Totaal Emissieloos Transport]]</f>
        <v>0</v>
      </c>
      <c r="N596" s="133">
        <f>Inschrijf_Transport_Totaal[[#This Row],[Totaal Emissieloos Transport]]+Inschrijf_Transport_Totaal[[#This Row],[Totaal Niet Emissieloos Transport]]</f>
        <v>0</v>
      </c>
    </row>
    <row r="597" spans="2:14">
      <c r="B597" s="209">
        <f>Optimalisatie!B74</f>
        <v>0</v>
      </c>
      <c r="C597" s="51">
        <f>Optimalisatie!F74</f>
        <v>0</v>
      </c>
      <c r="D597" s="93">
        <f>(IF(Optimalisatie!C74="Nieuwe Situatie",(Optimalisatie!U74),0)*Optimalisatie!R74)</f>
        <v>0</v>
      </c>
      <c r="E597" s="98">
        <f>(IF(Optimalisatie!C74="Bestaande Situatie",(Optimalisatie!AE74),0)*Optimalisatie!R74)</f>
        <v>0</v>
      </c>
      <c r="F597" s="94" t="str">
        <f>_xlfn.IFNA(VLOOKUP(Optimalisatie!V74,Database_Transport[],60,FALSE),"Nee")</f>
        <v>Nee</v>
      </c>
      <c r="G597" s="94" t="str">
        <f>_xlfn.IFNA(VLOOKUP(Optimalisatie!AF74,Database_Transport[],60,FALSE),"Nee")</f>
        <v>Nee</v>
      </c>
      <c r="H597" s="133">
        <f>IF(Inschrijf_Transport_Totaal[[#This Row],[Emissieloos Transport naar bouwplaats?]]="JA",Inschrijf_Transport_Totaal[[#This Row],[Transport naar bouwplaats '[tkm']]],0)+IF(Inschrijf_Transport_Totaal[[#This Row],[Emissieloos Transport naar verwerker?]]="JA",Inschrijf_Transport_Totaal[[#This Row],[Transport naar verwerker '[tkm']]],0)</f>
        <v>0</v>
      </c>
      <c r="I597" s="133">
        <f>(IF(Optimalisatie!C74="Nieuwe Situatie",(Optimalisatie!U74),0)*Optimalisatie!R74)*Optimalisatie!T74</f>
        <v>0</v>
      </c>
      <c r="J597" s="133">
        <f>(IF(Optimalisatie!C74="Nieuwe Situatie",(Optimalisatie!AE74),(Optimalisatie!AE74))*Optimalisatie!R74)*Optimalisatie!T74</f>
        <v>0</v>
      </c>
      <c r="K597" s="133">
        <f>IF(Inschrijf_Transport_Totaal[[#This Row],[Emissieloos Transport naar bouwplaats?]]="JA",Inschrijf_Transport_Totaal[[#This Row],[Transport naar bouwplaats Vervangingen '[tkm']]],0)+IF(Inschrijf_Transport_Totaal[[#This Row],[Emissieloos Transport naar verwerker?]]="JA",Inschrijf_Transport_Totaal[[#This Row],[Transport naar verwerker Vervangingen '[tkm']]],0)</f>
        <v>0</v>
      </c>
      <c r="L597" s="133">
        <f>Inschrijf_Transport_Totaal[[#This Row],[Emissieloos Transport]]+Inschrijf_Transport_Totaal[[#This Row],[Emissieloos Transport Vervangingen]]</f>
        <v>0</v>
      </c>
      <c r="M597" s="133">
        <f>(Inschrijf_Transport_Totaal[[#This Row],[Transport naar bouwplaats '[tkm']]]+Inschrijf_Transport_Totaal[[#This Row],[Transport naar verwerker '[tkm']]]+Inschrijf_Transport_Totaal[[#This Row],[Transport naar bouwplaats Vervangingen '[tkm']]]+Inschrijf_Transport_Totaal[[#This Row],[Transport naar verwerker Vervangingen '[tkm']]])-Inschrijf_Transport_Totaal[[#This Row],[Totaal Emissieloos Transport]]</f>
        <v>0</v>
      </c>
      <c r="N597" s="133">
        <f>Inschrijf_Transport_Totaal[[#This Row],[Totaal Emissieloos Transport]]+Inschrijf_Transport_Totaal[[#This Row],[Totaal Niet Emissieloos Transport]]</f>
        <v>0</v>
      </c>
    </row>
    <row r="598" spans="2:14">
      <c r="B598" s="209">
        <f>Optimalisatie!B75</f>
        <v>0</v>
      </c>
      <c r="C598" s="51">
        <f>Optimalisatie!F75</f>
        <v>0</v>
      </c>
      <c r="D598" s="93">
        <f>(IF(Optimalisatie!C75="Nieuwe Situatie",(Optimalisatie!U75),0)*Optimalisatie!R75)</f>
        <v>0</v>
      </c>
      <c r="E598" s="98">
        <f>(IF(Optimalisatie!C75="Bestaande Situatie",(Optimalisatie!AE75),0)*Optimalisatie!R75)</f>
        <v>0</v>
      </c>
      <c r="F598" s="94" t="str">
        <f>_xlfn.IFNA(VLOOKUP(Optimalisatie!V75,Database_Transport[],60,FALSE),"Nee")</f>
        <v>Nee</v>
      </c>
      <c r="G598" s="94" t="str">
        <f>_xlfn.IFNA(VLOOKUP(Optimalisatie!AF75,Database_Transport[],60,FALSE),"Nee")</f>
        <v>Nee</v>
      </c>
      <c r="H598" s="133">
        <f>IF(Inschrijf_Transport_Totaal[[#This Row],[Emissieloos Transport naar bouwplaats?]]="JA",Inschrijf_Transport_Totaal[[#This Row],[Transport naar bouwplaats '[tkm']]],0)+IF(Inschrijf_Transport_Totaal[[#This Row],[Emissieloos Transport naar verwerker?]]="JA",Inschrijf_Transport_Totaal[[#This Row],[Transport naar verwerker '[tkm']]],0)</f>
        <v>0</v>
      </c>
      <c r="I598" s="133">
        <f>(IF(Optimalisatie!C75="Nieuwe Situatie",(Optimalisatie!U75),0)*Optimalisatie!R75)*Optimalisatie!T75</f>
        <v>0</v>
      </c>
      <c r="J598" s="133">
        <f>(IF(Optimalisatie!C75="Nieuwe Situatie",(Optimalisatie!AE75),(Optimalisatie!AE75))*Optimalisatie!R75)*Optimalisatie!T75</f>
        <v>0</v>
      </c>
      <c r="K598" s="133">
        <f>IF(Inschrijf_Transport_Totaal[[#This Row],[Emissieloos Transport naar bouwplaats?]]="JA",Inschrijf_Transport_Totaal[[#This Row],[Transport naar bouwplaats Vervangingen '[tkm']]],0)+IF(Inschrijf_Transport_Totaal[[#This Row],[Emissieloos Transport naar verwerker?]]="JA",Inschrijf_Transport_Totaal[[#This Row],[Transport naar verwerker Vervangingen '[tkm']]],0)</f>
        <v>0</v>
      </c>
      <c r="L598" s="133">
        <f>Inschrijf_Transport_Totaal[[#This Row],[Emissieloos Transport]]+Inschrijf_Transport_Totaal[[#This Row],[Emissieloos Transport Vervangingen]]</f>
        <v>0</v>
      </c>
      <c r="M598" s="133">
        <f>(Inschrijf_Transport_Totaal[[#This Row],[Transport naar bouwplaats '[tkm']]]+Inschrijf_Transport_Totaal[[#This Row],[Transport naar verwerker '[tkm']]]+Inschrijf_Transport_Totaal[[#This Row],[Transport naar bouwplaats Vervangingen '[tkm']]]+Inschrijf_Transport_Totaal[[#This Row],[Transport naar verwerker Vervangingen '[tkm']]])-Inschrijf_Transport_Totaal[[#This Row],[Totaal Emissieloos Transport]]</f>
        <v>0</v>
      </c>
      <c r="N598" s="133">
        <f>Inschrijf_Transport_Totaal[[#This Row],[Totaal Emissieloos Transport]]+Inschrijf_Transport_Totaal[[#This Row],[Totaal Niet Emissieloos Transport]]</f>
        <v>0</v>
      </c>
    </row>
    <row r="599" spans="2:14">
      <c r="B599" s="209">
        <f>Optimalisatie!B76</f>
        <v>0</v>
      </c>
      <c r="C599" s="51">
        <f>Optimalisatie!F76</f>
        <v>0</v>
      </c>
      <c r="D599" s="93">
        <f>(IF(Optimalisatie!C76="Nieuwe Situatie",(Optimalisatie!U76),0)*Optimalisatie!R76)</f>
        <v>0</v>
      </c>
      <c r="E599" s="98">
        <f>(IF(Optimalisatie!C76="Bestaande Situatie",(Optimalisatie!AE76),0)*Optimalisatie!R76)</f>
        <v>0</v>
      </c>
      <c r="F599" s="94" t="str">
        <f>_xlfn.IFNA(VLOOKUP(Optimalisatie!V76,Database_Transport[],60,FALSE),"Nee")</f>
        <v>Nee</v>
      </c>
      <c r="G599" s="94" t="str">
        <f>_xlfn.IFNA(VLOOKUP(Optimalisatie!AF76,Database_Transport[],60,FALSE),"Nee")</f>
        <v>Nee</v>
      </c>
      <c r="H599" s="133">
        <f>IF(Inschrijf_Transport_Totaal[[#This Row],[Emissieloos Transport naar bouwplaats?]]="JA",Inschrijf_Transport_Totaal[[#This Row],[Transport naar bouwplaats '[tkm']]],0)+IF(Inschrijf_Transport_Totaal[[#This Row],[Emissieloos Transport naar verwerker?]]="JA",Inschrijf_Transport_Totaal[[#This Row],[Transport naar verwerker '[tkm']]],0)</f>
        <v>0</v>
      </c>
      <c r="I599" s="133">
        <f>(IF(Optimalisatie!C76="Nieuwe Situatie",(Optimalisatie!U76),0)*Optimalisatie!R76)*Optimalisatie!T76</f>
        <v>0</v>
      </c>
      <c r="J599" s="133">
        <f>(IF(Optimalisatie!C76="Nieuwe Situatie",(Optimalisatie!AE76),(Optimalisatie!AE76))*Optimalisatie!R76)*Optimalisatie!T76</f>
        <v>0</v>
      </c>
      <c r="K599" s="133">
        <f>IF(Inschrijf_Transport_Totaal[[#This Row],[Emissieloos Transport naar bouwplaats?]]="JA",Inschrijf_Transport_Totaal[[#This Row],[Transport naar bouwplaats Vervangingen '[tkm']]],0)+IF(Inschrijf_Transport_Totaal[[#This Row],[Emissieloos Transport naar verwerker?]]="JA",Inschrijf_Transport_Totaal[[#This Row],[Transport naar verwerker Vervangingen '[tkm']]],0)</f>
        <v>0</v>
      </c>
      <c r="L599" s="133">
        <f>Inschrijf_Transport_Totaal[[#This Row],[Emissieloos Transport]]+Inschrijf_Transport_Totaal[[#This Row],[Emissieloos Transport Vervangingen]]</f>
        <v>0</v>
      </c>
      <c r="M599" s="133">
        <f>(Inschrijf_Transport_Totaal[[#This Row],[Transport naar bouwplaats '[tkm']]]+Inschrijf_Transport_Totaal[[#This Row],[Transport naar verwerker '[tkm']]]+Inschrijf_Transport_Totaal[[#This Row],[Transport naar bouwplaats Vervangingen '[tkm']]]+Inschrijf_Transport_Totaal[[#This Row],[Transport naar verwerker Vervangingen '[tkm']]])-Inschrijf_Transport_Totaal[[#This Row],[Totaal Emissieloos Transport]]</f>
        <v>0</v>
      </c>
      <c r="N599" s="133">
        <f>Inschrijf_Transport_Totaal[[#This Row],[Totaal Emissieloos Transport]]+Inschrijf_Transport_Totaal[[#This Row],[Totaal Niet Emissieloos Transport]]</f>
        <v>0</v>
      </c>
    </row>
    <row r="600" spans="2:14">
      <c r="B600" s="209">
        <f>Optimalisatie!B77</f>
        <v>0</v>
      </c>
      <c r="C600" s="51">
        <f>Optimalisatie!F77</f>
        <v>0</v>
      </c>
      <c r="D600" s="93">
        <f>(IF(Optimalisatie!C77="Nieuwe Situatie",(Optimalisatie!U77),0)*Optimalisatie!R77)</f>
        <v>0</v>
      </c>
      <c r="E600" s="98">
        <f>(IF(Optimalisatie!C77="Bestaande Situatie",(Optimalisatie!AE77),0)*Optimalisatie!R77)</f>
        <v>0</v>
      </c>
      <c r="F600" s="94" t="str">
        <f>_xlfn.IFNA(VLOOKUP(Optimalisatie!V77,Database_Transport[],60,FALSE),"Nee")</f>
        <v>Nee</v>
      </c>
      <c r="G600" s="94" t="str">
        <f>_xlfn.IFNA(VLOOKUP(Optimalisatie!AF77,Database_Transport[],60,FALSE),"Nee")</f>
        <v>Nee</v>
      </c>
      <c r="H600" s="133">
        <f>IF(Inschrijf_Transport_Totaal[[#This Row],[Emissieloos Transport naar bouwplaats?]]="JA",Inschrijf_Transport_Totaal[[#This Row],[Transport naar bouwplaats '[tkm']]],0)+IF(Inschrijf_Transport_Totaal[[#This Row],[Emissieloos Transport naar verwerker?]]="JA",Inschrijf_Transport_Totaal[[#This Row],[Transport naar verwerker '[tkm']]],0)</f>
        <v>0</v>
      </c>
      <c r="I600" s="133">
        <f>(IF(Optimalisatie!C77="Nieuwe Situatie",(Optimalisatie!U77),0)*Optimalisatie!R77)*Optimalisatie!T77</f>
        <v>0</v>
      </c>
      <c r="J600" s="133">
        <f>(IF(Optimalisatie!C77="Nieuwe Situatie",(Optimalisatie!AE77),(Optimalisatie!AE77))*Optimalisatie!R77)*Optimalisatie!T77</f>
        <v>0</v>
      </c>
      <c r="K600" s="133">
        <f>IF(Inschrijf_Transport_Totaal[[#This Row],[Emissieloos Transport naar bouwplaats?]]="JA",Inschrijf_Transport_Totaal[[#This Row],[Transport naar bouwplaats Vervangingen '[tkm']]],0)+IF(Inschrijf_Transport_Totaal[[#This Row],[Emissieloos Transport naar verwerker?]]="JA",Inschrijf_Transport_Totaal[[#This Row],[Transport naar verwerker Vervangingen '[tkm']]],0)</f>
        <v>0</v>
      </c>
      <c r="L600" s="133">
        <f>Inschrijf_Transport_Totaal[[#This Row],[Emissieloos Transport]]+Inschrijf_Transport_Totaal[[#This Row],[Emissieloos Transport Vervangingen]]</f>
        <v>0</v>
      </c>
      <c r="M600" s="133">
        <f>(Inschrijf_Transport_Totaal[[#This Row],[Transport naar bouwplaats '[tkm']]]+Inschrijf_Transport_Totaal[[#This Row],[Transport naar verwerker '[tkm']]]+Inschrijf_Transport_Totaal[[#This Row],[Transport naar bouwplaats Vervangingen '[tkm']]]+Inschrijf_Transport_Totaal[[#This Row],[Transport naar verwerker Vervangingen '[tkm']]])-Inschrijf_Transport_Totaal[[#This Row],[Totaal Emissieloos Transport]]</f>
        <v>0</v>
      </c>
      <c r="N600" s="133">
        <f>Inschrijf_Transport_Totaal[[#This Row],[Totaal Emissieloos Transport]]+Inschrijf_Transport_Totaal[[#This Row],[Totaal Niet Emissieloos Transport]]</f>
        <v>0</v>
      </c>
    </row>
    <row r="601" spans="2:14">
      <c r="B601" s="209">
        <f>Optimalisatie!B78</f>
        <v>0</v>
      </c>
      <c r="C601" s="51">
        <f>Optimalisatie!F78</f>
        <v>0</v>
      </c>
      <c r="D601" s="93">
        <f>(IF(Optimalisatie!C78="Nieuwe Situatie",(Optimalisatie!U78),0)*Optimalisatie!R78)</f>
        <v>0</v>
      </c>
      <c r="E601" s="98">
        <f>(IF(Optimalisatie!C78="Bestaande Situatie",(Optimalisatie!AE78),0)*Optimalisatie!R78)</f>
        <v>0</v>
      </c>
      <c r="F601" s="94" t="str">
        <f>_xlfn.IFNA(VLOOKUP(Optimalisatie!V78,Database_Transport[],60,FALSE),"Nee")</f>
        <v>Nee</v>
      </c>
      <c r="G601" s="94" t="str">
        <f>_xlfn.IFNA(VLOOKUP(Optimalisatie!AF78,Database_Transport[],60,FALSE),"Nee")</f>
        <v>Nee</v>
      </c>
      <c r="H601" s="133">
        <f>IF(Inschrijf_Transport_Totaal[[#This Row],[Emissieloos Transport naar bouwplaats?]]="JA",Inschrijf_Transport_Totaal[[#This Row],[Transport naar bouwplaats '[tkm']]],0)+IF(Inschrijf_Transport_Totaal[[#This Row],[Emissieloos Transport naar verwerker?]]="JA",Inschrijf_Transport_Totaal[[#This Row],[Transport naar verwerker '[tkm']]],0)</f>
        <v>0</v>
      </c>
      <c r="I601" s="133">
        <f>(IF(Optimalisatie!C78="Nieuwe Situatie",(Optimalisatie!U78),0)*Optimalisatie!R78)*Optimalisatie!T78</f>
        <v>0</v>
      </c>
      <c r="J601" s="133">
        <f>(IF(Optimalisatie!C78="Nieuwe Situatie",(Optimalisatie!AE78),(Optimalisatie!AE78))*Optimalisatie!R78)*Optimalisatie!T78</f>
        <v>0</v>
      </c>
      <c r="K601" s="133">
        <f>IF(Inschrijf_Transport_Totaal[[#This Row],[Emissieloos Transport naar bouwplaats?]]="JA",Inschrijf_Transport_Totaal[[#This Row],[Transport naar bouwplaats Vervangingen '[tkm']]],0)+IF(Inschrijf_Transport_Totaal[[#This Row],[Emissieloos Transport naar verwerker?]]="JA",Inschrijf_Transport_Totaal[[#This Row],[Transport naar verwerker Vervangingen '[tkm']]],0)</f>
        <v>0</v>
      </c>
      <c r="L601" s="133">
        <f>Inschrijf_Transport_Totaal[[#This Row],[Emissieloos Transport]]+Inschrijf_Transport_Totaal[[#This Row],[Emissieloos Transport Vervangingen]]</f>
        <v>0</v>
      </c>
      <c r="M601" s="133">
        <f>(Inschrijf_Transport_Totaal[[#This Row],[Transport naar bouwplaats '[tkm']]]+Inschrijf_Transport_Totaal[[#This Row],[Transport naar verwerker '[tkm']]]+Inschrijf_Transport_Totaal[[#This Row],[Transport naar bouwplaats Vervangingen '[tkm']]]+Inschrijf_Transport_Totaal[[#This Row],[Transport naar verwerker Vervangingen '[tkm']]])-Inschrijf_Transport_Totaal[[#This Row],[Totaal Emissieloos Transport]]</f>
        <v>0</v>
      </c>
      <c r="N601" s="133">
        <f>Inschrijf_Transport_Totaal[[#This Row],[Totaal Emissieloos Transport]]+Inschrijf_Transport_Totaal[[#This Row],[Totaal Niet Emissieloos Transport]]</f>
        <v>0</v>
      </c>
    </row>
    <row r="602" spans="2:14">
      <c r="B602" s="209">
        <f>Optimalisatie!B79</f>
        <v>0</v>
      </c>
      <c r="C602" s="51">
        <f>Optimalisatie!F79</f>
        <v>0</v>
      </c>
      <c r="D602" s="93">
        <f>(IF(Optimalisatie!C79="Nieuwe Situatie",(Optimalisatie!U79),0)*Optimalisatie!R79)</f>
        <v>0</v>
      </c>
      <c r="E602" s="98">
        <f>(IF(Optimalisatie!C79="Bestaande Situatie",(Optimalisatie!AE79),0)*Optimalisatie!R79)</f>
        <v>0</v>
      </c>
      <c r="F602" s="94" t="str">
        <f>_xlfn.IFNA(VLOOKUP(Optimalisatie!V79,Database_Transport[],60,FALSE),"Nee")</f>
        <v>Nee</v>
      </c>
      <c r="G602" s="94" t="str">
        <f>_xlfn.IFNA(VLOOKUP(Optimalisatie!AF79,Database_Transport[],60,FALSE),"Nee")</f>
        <v>Nee</v>
      </c>
      <c r="H602" s="133">
        <f>IF(Inschrijf_Transport_Totaal[[#This Row],[Emissieloos Transport naar bouwplaats?]]="JA",Inschrijf_Transport_Totaal[[#This Row],[Transport naar bouwplaats '[tkm']]],0)+IF(Inschrijf_Transport_Totaal[[#This Row],[Emissieloos Transport naar verwerker?]]="JA",Inschrijf_Transport_Totaal[[#This Row],[Transport naar verwerker '[tkm']]],0)</f>
        <v>0</v>
      </c>
      <c r="I602" s="133">
        <f>(IF(Optimalisatie!C79="Nieuwe Situatie",(Optimalisatie!U79),0)*Optimalisatie!R79)*Optimalisatie!T79</f>
        <v>0</v>
      </c>
      <c r="J602" s="133">
        <f>(IF(Optimalisatie!C79="Nieuwe Situatie",(Optimalisatie!AE79),(Optimalisatie!AE79))*Optimalisatie!R79)*Optimalisatie!T79</f>
        <v>0</v>
      </c>
      <c r="K602" s="133">
        <f>IF(Inschrijf_Transport_Totaal[[#This Row],[Emissieloos Transport naar bouwplaats?]]="JA",Inschrijf_Transport_Totaal[[#This Row],[Transport naar bouwplaats Vervangingen '[tkm']]],0)+IF(Inschrijf_Transport_Totaal[[#This Row],[Emissieloos Transport naar verwerker?]]="JA",Inschrijf_Transport_Totaal[[#This Row],[Transport naar verwerker Vervangingen '[tkm']]],0)</f>
        <v>0</v>
      </c>
      <c r="L602" s="133">
        <f>Inschrijf_Transport_Totaal[[#This Row],[Emissieloos Transport]]+Inschrijf_Transport_Totaal[[#This Row],[Emissieloos Transport Vervangingen]]</f>
        <v>0</v>
      </c>
      <c r="M602" s="133">
        <f>(Inschrijf_Transport_Totaal[[#This Row],[Transport naar bouwplaats '[tkm']]]+Inschrijf_Transport_Totaal[[#This Row],[Transport naar verwerker '[tkm']]]+Inschrijf_Transport_Totaal[[#This Row],[Transport naar bouwplaats Vervangingen '[tkm']]]+Inschrijf_Transport_Totaal[[#This Row],[Transport naar verwerker Vervangingen '[tkm']]])-Inschrijf_Transport_Totaal[[#This Row],[Totaal Emissieloos Transport]]</f>
        <v>0</v>
      </c>
      <c r="N602" s="133">
        <f>Inschrijf_Transport_Totaal[[#This Row],[Totaal Emissieloos Transport]]+Inschrijf_Transport_Totaal[[#This Row],[Totaal Niet Emissieloos Transport]]</f>
        <v>0</v>
      </c>
    </row>
    <row r="603" spans="2:14">
      <c r="B603" s="209">
        <f>Optimalisatie!B80</f>
        <v>0</v>
      </c>
      <c r="C603" s="51">
        <f>Optimalisatie!F80</f>
        <v>0</v>
      </c>
      <c r="D603" s="93">
        <f>(IF(Optimalisatie!C80="Nieuwe Situatie",(Optimalisatie!U80),0)*Optimalisatie!R80)</f>
        <v>0</v>
      </c>
      <c r="E603" s="98">
        <f>(IF(Optimalisatie!C80="Bestaande Situatie",(Optimalisatie!AE80),0)*Optimalisatie!R80)</f>
        <v>0</v>
      </c>
      <c r="F603" s="94" t="str">
        <f>_xlfn.IFNA(VLOOKUP(Optimalisatie!V80,Database_Transport[],60,FALSE),"Nee")</f>
        <v>Nee</v>
      </c>
      <c r="G603" s="94" t="str">
        <f>_xlfn.IFNA(VLOOKUP(Optimalisatie!AF80,Database_Transport[],60,FALSE),"Nee")</f>
        <v>Nee</v>
      </c>
      <c r="H603" s="133">
        <f>IF(Inschrijf_Transport_Totaal[[#This Row],[Emissieloos Transport naar bouwplaats?]]="JA",Inschrijf_Transport_Totaal[[#This Row],[Transport naar bouwplaats '[tkm']]],0)+IF(Inschrijf_Transport_Totaal[[#This Row],[Emissieloos Transport naar verwerker?]]="JA",Inschrijf_Transport_Totaal[[#This Row],[Transport naar verwerker '[tkm']]],0)</f>
        <v>0</v>
      </c>
      <c r="I603" s="133">
        <f>(IF(Optimalisatie!C80="Nieuwe Situatie",(Optimalisatie!U80),0)*Optimalisatie!R80)*Optimalisatie!T80</f>
        <v>0</v>
      </c>
      <c r="J603" s="133">
        <f>(IF(Optimalisatie!C80="Nieuwe Situatie",(Optimalisatie!AE80),(Optimalisatie!AE80))*Optimalisatie!R80)*Optimalisatie!T80</f>
        <v>0</v>
      </c>
      <c r="K603" s="133">
        <f>IF(Inschrijf_Transport_Totaal[[#This Row],[Emissieloos Transport naar bouwplaats?]]="JA",Inschrijf_Transport_Totaal[[#This Row],[Transport naar bouwplaats Vervangingen '[tkm']]],0)+IF(Inschrijf_Transport_Totaal[[#This Row],[Emissieloos Transport naar verwerker?]]="JA",Inschrijf_Transport_Totaal[[#This Row],[Transport naar verwerker Vervangingen '[tkm']]],0)</f>
        <v>0</v>
      </c>
      <c r="L603" s="133">
        <f>Inschrijf_Transport_Totaal[[#This Row],[Emissieloos Transport]]+Inschrijf_Transport_Totaal[[#This Row],[Emissieloos Transport Vervangingen]]</f>
        <v>0</v>
      </c>
      <c r="M603" s="133">
        <f>(Inschrijf_Transport_Totaal[[#This Row],[Transport naar bouwplaats '[tkm']]]+Inschrijf_Transport_Totaal[[#This Row],[Transport naar verwerker '[tkm']]]+Inschrijf_Transport_Totaal[[#This Row],[Transport naar bouwplaats Vervangingen '[tkm']]]+Inschrijf_Transport_Totaal[[#This Row],[Transport naar verwerker Vervangingen '[tkm']]])-Inschrijf_Transport_Totaal[[#This Row],[Totaal Emissieloos Transport]]</f>
        <v>0</v>
      </c>
      <c r="N603" s="133">
        <f>Inschrijf_Transport_Totaal[[#This Row],[Totaal Emissieloos Transport]]+Inschrijf_Transport_Totaal[[#This Row],[Totaal Niet Emissieloos Transport]]</f>
        <v>0</v>
      </c>
    </row>
    <row r="604" spans="2:14">
      <c r="B604" s="209">
        <f>Optimalisatie!B81</f>
        <v>0</v>
      </c>
      <c r="C604" s="51">
        <f>Optimalisatie!F81</f>
        <v>0</v>
      </c>
      <c r="D604" s="93">
        <f>(IF(Optimalisatie!C81="Nieuwe Situatie",(Optimalisatie!U81),0)*Optimalisatie!R81)</f>
        <v>0</v>
      </c>
      <c r="E604" s="98">
        <f>(IF(Optimalisatie!C81="Bestaande Situatie",(Optimalisatie!AE81),0)*Optimalisatie!R81)</f>
        <v>0</v>
      </c>
      <c r="F604" s="94" t="str">
        <f>_xlfn.IFNA(VLOOKUP(Optimalisatie!V81,Database_Transport[],60,FALSE),"Nee")</f>
        <v>Nee</v>
      </c>
      <c r="G604" s="94" t="str">
        <f>_xlfn.IFNA(VLOOKUP(Optimalisatie!AF81,Database_Transport[],60,FALSE),"Nee")</f>
        <v>Nee</v>
      </c>
      <c r="H604" s="133">
        <f>IF(Inschrijf_Transport_Totaal[[#This Row],[Emissieloos Transport naar bouwplaats?]]="JA",Inschrijf_Transport_Totaal[[#This Row],[Transport naar bouwplaats '[tkm']]],0)+IF(Inschrijf_Transport_Totaal[[#This Row],[Emissieloos Transport naar verwerker?]]="JA",Inschrijf_Transport_Totaal[[#This Row],[Transport naar verwerker '[tkm']]],0)</f>
        <v>0</v>
      </c>
      <c r="I604" s="133">
        <f>(IF(Optimalisatie!C81="Nieuwe Situatie",(Optimalisatie!U81),0)*Optimalisatie!R81)*Optimalisatie!T81</f>
        <v>0</v>
      </c>
      <c r="J604" s="133">
        <f>(IF(Optimalisatie!C81="Nieuwe Situatie",(Optimalisatie!AE81),(Optimalisatie!AE81))*Optimalisatie!R81)*Optimalisatie!T81</f>
        <v>0</v>
      </c>
      <c r="K604" s="133">
        <f>IF(Inschrijf_Transport_Totaal[[#This Row],[Emissieloos Transport naar bouwplaats?]]="JA",Inschrijf_Transport_Totaal[[#This Row],[Transport naar bouwplaats Vervangingen '[tkm']]],0)+IF(Inschrijf_Transport_Totaal[[#This Row],[Emissieloos Transport naar verwerker?]]="JA",Inschrijf_Transport_Totaal[[#This Row],[Transport naar verwerker Vervangingen '[tkm']]],0)</f>
        <v>0</v>
      </c>
      <c r="L604" s="133">
        <f>Inschrijf_Transport_Totaal[[#This Row],[Emissieloos Transport]]+Inschrijf_Transport_Totaal[[#This Row],[Emissieloos Transport Vervangingen]]</f>
        <v>0</v>
      </c>
      <c r="M604" s="133">
        <f>(Inschrijf_Transport_Totaal[[#This Row],[Transport naar bouwplaats '[tkm']]]+Inschrijf_Transport_Totaal[[#This Row],[Transport naar verwerker '[tkm']]]+Inschrijf_Transport_Totaal[[#This Row],[Transport naar bouwplaats Vervangingen '[tkm']]]+Inschrijf_Transport_Totaal[[#This Row],[Transport naar verwerker Vervangingen '[tkm']]])-Inschrijf_Transport_Totaal[[#This Row],[Totaal Emissieloos Transport]]</f>
        <v>0</v>
      </c>
      <c r="N604" s="133">
        <f>Inschrijf_Transport_Totaal[[#This Row],[Totaal Emissieloos Transport]]+Inschrijf_Transport_Totaal[[#This Row],[Totaal Niet Emissieloos Transport]]</f>
        <v>0</v>
      </c>
    </row>
    <row r="605" spans="2:14">
      <c r="B605" s="209">
        <f>Optimalisatie!B82</f>
        <v>0</v>
      </c>
      <c r="C605" s="51">
        <f>Optimalisatie!F82</f>
        <v>0</v>
      </c>
      <c r="D605" s="93">
        <f>(IF(Optimalisatie!C82="Nieuwe Situatie",(Optimalisatie!U82),0)*Optimalisatie!R82)</f>
        <v>0</v>
      </c>
      <c r="E605" s="98">
        <f>(IF(Optimalisatie!C82="Bestaande Situatie",(Optimalisatie!AE82),0)*Optimalisatie!R82)</f>
        <v>0</v>
      </c>
      <c r="F605" s="94" t="str">
        <f>_xlfn.IFNA(VLOOKUP(Optimalisatie!V82,Database_Transport[],60,FALSE),"Nee")</f>
        <v>Nee</v>
      </c>
      <c r="G605" s="94" t="str">
        <f>_xlfn.IFNA(VLOOKUP(Optimalisatie!AF82,Database_Transport[],60,FALSE),"Nee")</f>
        <v>Nee</v>
      </c>
      <c r="H605" s="133">
        <f>IF(Inschrijf_Transport_Totaal[[#This Row],[Emissieloos Transport naar bouwplaats?]]="JA",Inschrijf_Transport_Totaal[[#This Row],[Transport naar bouwplaats '[tkm']]],0)+IF(Inschrijf_Transport_Totaal[[#This Row],[Emissieloos Transport naar verwerker?]]="JA",Inschrijf_Transport_Totaal[[#This Row],[Transport naar verwerker '[tkm']]],0)</f>
        <v>0</v>
      </c>
      <c r="I605" s="133">
        <f>(IF(Optimalisatie!C82="Nieuwe Situatie",(Optimalisatie!U82),0)*Optimalisatie!R82)*Optimalisatie!T82</f>
        <v>0</v>
      </c>
      <c r="J605" s="133">
        <f>(IF(Optimalisatie!C82="Nieuwe Situatie",(Optimalisatie!AE82),(Optimalisatie!AE82))*Optimalisatie!R82)*Optimalisatie!T82</f>
        <v>0</v>
      </c>
      <c r="K605" s="133">
        <f>IF(Inschrijf_Transport_Totaal[[#This Row],[Emissieloos Transport naar bouwplaats?]]="JA",Inschrijf_Transport_Totaal[[#This Row],[Transport naar bouwplaats Vervangingen '[tkm']]],0)+IF(Inschrijf_Transport_Totaal[[#This Row],[Emissieloos Transport naar verwerker?]]="JA",Inschrijf_Transport_Totaal[[#This Row],[Transport naar verwerker Vervangingen '[tkm']]],0)</f>
        <v>0</v>
      </c>
      <c r="L605" s="133">
        <f>Inschrijf_Transport_Totaal[[#This Row],[Emissieloos Transport]]+Inschrijf_Transport_Totaal[[#This Row],[Emissieloos Transport Vervangingen]]</f>
        <v>0</v>
      </c>
      <c r="M605" s="133">
        <f>(Inschrijf_Transport_Totaal[[#This Row],[Transport naar bouwplaats '[tkm']]]+Inschrijf_Transport_Totaal[[#This Row],[Transport naar verwerker '[tkm']]]+Inschrijf_Transport_Totaal[[#This Row],[Transport naar bouwplaats Vervangingen '[tkm']]]+Inschrijf_Transport_Totaal[[#This Row],[Transport naar verwerker Vervangingen '[tkm']]])-Inschrijf_Transport_Totaal[[#This Row],[Totaal Emissieloos Transport]]</f>
        <v>0</v>
      </c>
      <c r="N605" s="133">
        <f>Inschrijf_Transport_Totaal[[#This Row],[Totaal Emissieloos Transport]]+Inschrijf_Transport_Totaal[[#This Row],[Totaal Niet Emissieloos Transport]]</f>
        <v>0</v>
      </c>
    </row>
    <row r="606" spans="2:14">
      <c r="B606" s="209">
        <f>Optimalisatie!B83</f>
        <v>0</v>
      </c>
      <c r="C606" s="51">
        <f>Optimalisatie!F83</f>
        <v>0</v>
      </c>
      <c r="D606" s="93">
        <f>(IF(Optimalisatie!C83="Nieuwe Situatie",(Optimalisatie!U83),0)*Optimalisatie!R83)</f>
        <v>0</v>
      </c>
      <c r="E606" s="98">
        <f>(IF(Optimalisatie!C83="Bestaande Situatie",(Optimalisatie!AE83),0)*Optimalisatie!R83)</f>
        <v>0</v>
      </c>
      <c r="F606" s="94" t="str">
        <f>_xlfn.IFNA(VLOOKUP(Optimalisatie!V83,Database_Transport[],60,FALSE),"Nee")</f>
        <v>Nee</v>
      </c>
      <c r="G606" s="94" t="str">
        <f>_xlfn.IFNA(VLOOKUP(Optimalisatie!AF83,Database_Transport[],60,FALSE),"Nee")</f>
        <v>Nee</v>
      </c>
      <c r="H606" s="133">
        <f>IF(Inschrijf_Transport_Totaal[[#This Row],[Emissieloos Transport naar bouwplaats?]]="JA",Inschrijf_Transport_Totaal[[#This Row],[Transport naar bouwplaats '[tkm']]],0)+IF(Inschrijf_Transport_Totaal[[#This Row],[Emissieloos Transport naar verwerker?]]="JA",Inschrijf_Transport_Totaal[[#This Row],[Transport naar verwerker '[tkm']]],0)</f>
        <v>0</v>
      </c>
      <c r="I606" s="133">
        <f>(IF(Optimalisatie!C83="Nieuwe Situatie",(Optimalisatie!U83),0)*Optimalisatie!R83)*Optimalisatie!T83</f>
        <v>0</v>
      </c>
      <c r="J606" s="133">
        <f>(IF(Optimalisatie!C83="Nieuwe Situatie",(Optimalisatie!AE83),(Optimalisatie!AE83))*Optimalisatie!R83)*Optimalisatie!T83</f>
        <v>0</v>
      </c>
      <c r="K606" s="133">
        <f>IF(Inschrijf_Transport_Totaal[[#This Row],[Emissieloos Transport naar bouwplaats?]]="JA",Inschrijf_Transport_Totaal[[#This Row],[Transport naar bouwplaats Vervangingen '[tkm']]],0)+IF(Inschrijf_Transport_Totaal[[#This Row],[Emissieloos Transport naar verwerker?]]="JA",Inschrijf_Transport_Totaal[[#This Row],[Transport naar verwerker Vervangingen '[tkm']]],0)</f>
        <v>0</v>
      </c>
      <c r="L606" s="133">
        <f>Inschrijf_Transport_Totaal[[#This Row],[Emissieloos Transport]]+Inschrijf_Transport_Totaal[[#This Row],[Emissieloos Transport Vervangingen]]</f>
        <v>0</v>
      </c>
      <c r="M606" s="133">
        <f>(Inschrijf_Transport_Totaal[[#This Row],[Transport naar bouwplaats '[tkm']]]+Inschrijf_Transport_Totaal[[#This Row],[Transport naar verwerker '[tkm']]]+Inschrijf_Transport_Totaal[[#This Row],[Transport naar bouwplaats Vervangingen '[tkm']]]+Inschrijf_Transport_Totaal[[#This Row],[Transport naar verwerker Vervangingen '[tkm']]])-Inschrijf_Transport_Totaal[[#This Row],[Totaal Emissieloos Transport]]</f>
        <v>0</v>
      </c>
      <c r="N606" s="133">
        <f>Inschrijf_Transport_Totaal[[#This Row],[Totaal Emissieloos Transport]]+Inschrijf_Transport_Totaal[[#This Row],[Totaal Niet Emissieloos Transport]]</f>
        <v>0</v>
      </c>
    </row>
    <row r="607" spans="2:14">
      <c r="B607" s="209">
        <f>Optimalisatie!B84</f>
        <v>0</v>
      </c>
      <c r="C607" s="51">
        <f>Optimalisatie!F84</f>
        <v>0</v>
      </c>
      <c r="D607" s="93">
        <f>(IF(Optimalisatie!C84="Nieuwe Situatie",(Optimalisatie!U84),0)*Optimalisatie!R84)</f>
        <v>0</v>
      </c>
      <c r="E607" s="98">
        <f>(IF(Optimalisatie!C84="Bestaande Situatie",(Optimalisatie!AE84),0)*Optimalisatie!R84)</f>
        <v>0</v>
      </c>
      <c r="F607" s="94" t="str">
        <f>_xlfn.IFNA(VLOOKUP(Optimalisatie!V84,Database_Transport[],60,FALSE),"Nee")</f>
        <v>Nee</v>
      </c>
      <c r="G607" s="94" t="str">
        <f>_xlfn.IFNA(VLOOKUP(Optimalisatie!AF84,Database_Transport[],60,FALSE),"Nee")</f>
        <v>Nee</v>
      </c>
      <c r="H607" s="133">
        <f>IF(Inschrijf_Transport_Totaal[[#This Row],[Emissieloos Transport naar bouwplaats?]]="JA",Inschrijf_Transport_Totaal[[#This Row],[Transport naar bouwplaats '[tkm']]],0)+IF(Inschrijf_Transport_Totaal[[#This Row],[Emissieloos Transport naar verwerker?]]="JA",Inschrijf_Transport_Totaal[[#This Row],[Transport naar verwerker '[tkm']]],0)</f>
        <v>0</v>
      </c>
      <c r="I607" s="133">
        <f>(IF(Optimalisatie!C84="Nieuwe Situatie",(Optimalisatie!U84),0)*Optimalisatie!R84)*Optimalisatie!T84</f>
        <v>0</v>
      </c>
      <c r="J607" s="133">
        <f>(IF(Optimalisatie!C84="Nieuwe Situatie",(Optimalisatie!AE84),(Optimalisatie!AE84))*Optimalisatie!R84)*Optimalisatie!T84</f>
        <v>0</v>
      </c>
      <c r="K607" s="133">
        <f>IF(Inschrijf_Transport_Totaal[[#This Row],[Emissieloos Transport naar bouwplaats?]]="JA",Inschrijf_Transport_Totaal[[#This Row],[Transport naar bouwplaats Vervangingen '[tkm']]],0)+IF(Inschrijf_Transport_Totaal[[#This Row],[Emissieloos Transport naar verwerker?]]="JA",Inschrijf_Transport_Totaal[[#This Row],[Transport naar verwerker Vervangingen '[tkm']]],0)</f>
        <v>0</v>
      </c>
      <c r="L607" s="133">
        <f>Inschrijf_Transport_Totaal[[#This Row],[Emissieloos Transport]]+Inschrijf_Transport_Totaal[[#This Row],[Emissieloos Transport Vervangingen]]</f>
        <v>0</v>
      </c>
      <c r="M607" s="133">
        <f>(Inschrijf_Transport_Totaal[[#This Row],[Transport naar bouwplaats '[tkm']]]+Inschrijf_Transport_Totaal[[#This Row],[Transport naar verwerker '[tkm']]]+Inschrijf_Transport_Totaal[[#This Row],[Transport naar bouwplaats Vervangingen '[tkm']]]+Inschrijf_Transport_Totaal[[#This Row],[Transport naar verwerker Vervangingen '[tkm']]])-Inschrijf_Transport_Totaal[[#This Row],[Totaal Emissieloos Transport]]</f>
        <v>0</v>
      </c>
      <c r="N607" s="133">
        <f>Inschrijf_Transport_Totaal[[#This Row],[Totaal Emissieloos Transport]]+Inschrijf_Transport_Totaal[[#This Row],[Totaal Niet Emissieloos Transport]]</f>
        <v>0</v>
      </c>
    </row>
    <row r="608" spans="2:14">
      <c r="B608" s="209">
        <f>Optimalisatie!B85</f>
        <v>0</v>
      </c>
      <c r="C608" s="51">
        <f>Optimalisatie!F85</f>
        <v>0</v>
      </c>
      <c r="D608" s="93">
        <f>(IF(Optimalisatie!C85="Nieuwe Situatie",(Optimalisatie!U85),0)*Optimalisatie!R85)</f>
        <v>0</v>
      </c>
      <c r="E608" s="98">
        <f>(IF(Optimalisatie!C85="Bestaande Situatie",(Optimalisatie!AE85),0)*Optimalisatie!R85)</f>
        <v>0</v>
      </c>
      <c r="F608" s="94" t="str">
        <f>_xlfn.IFNA(VLOOKUP(Optimalisatie!V85,Database_Transport[],60,FALSE),"Nee")</f>
        <v>Nee</v>
      </c>
      <c r="G608" s="94" t="str">
        <f>_xlfn.IFNA(VLOOKUP(Optimalisatie!AF85,Database_Transport[],60,FALSE),"Nee")</f>
        <v>Nee</v>
      </c>
      <c r="H608" s="133">
        <f>IF(Inschrijf_Transport_Totaal[[#This Row],[Emissieloos Transport naar bouwplaats?]]="JA",Inschrijf_Transport_Totaal[[#This Row],[Transport naar bouwplaats '[tkm']]],0)+IF(Inschrijf_Transport_Totaal[[#This Row],[Emissieloos Transport naar verwerker?]]="JA",Inschrijf_Transport_Totaal[[#This Row],[Transport naar verwerker '[tkm']]],0)</f>
        <v>0</v>
      </c>
      <c r="I608" s="133">
        <f>(IF(Optimalisatie!C85="Nieuwe Situatie",(Optimalisatie!U85),0)*Optimalisatie!R85)*Optimalisatie!T85</f>
        <v>0</v>
      </c>
      <c r="J608" s="133">
        <f>(IF(Optimalisatie!C85="Nieuwe Situatie",(Optimalisatie!AE85),(Optimalisatie!AE85))*Optimalisatie!R85)*Optimalisatie!T85</f>
        <v>0</v>
      </c>
      <c r="K608" s="133">
        <f>IF(Inschrijf_Transport_Totaal[[#This Row],[Emissieloos Transport naar bouwplaats?]]="JA",Inschrijf_Transport_Totaal[[#This Row],[Transport naar bouwplaats Vervangingen '[tkm']]],0)+IF(Inschrijf_Transport_Totaal[[#This Row],[Emissieloos Transport naar verwerker?]]="JA",Inschrijf_Transport_Totaal[[#This Row],[Transport naar verwerker Vervangingen '[tkm']]],0)</f>
        <v>0</v>
      </c>
      <c r="L608" s="133">
        <f>Inschrijf_Transport_Totaal[[#This Row],[Emissieloos Transport]]+Inschrijf_Transport_Totaal[[#This Row],[Emissieloos Transport Vervangingen]]</f>
        <v>0</v>
      </c>
      <c r="M608" s="133">
        <f>(Inschrijf_Transport_Totaal[[#This Row],[Transport naar bouwplaats '[tkm']]]+Inschrijf_Transport_Totaal[[#This Row],[Transport naar verwerker '[tkm']]]+Inschrijf_Transport_Totaal[[#This Row],[Transport naar bouwplaats Vervangingen '[tkm']]]+Inschrijf_Transport_Totaal[[#This Row],[Transport naar verwerker Vervangingen '[tkm']]])-Inschrijf_Transport_Totaal[[#This Row],[Totaal Emissieloos Transport]]</f>
        <v>0</v>
      </c>
      <c r="N608" s="133">
        <f>Inschrijf_Transport_Totaal[[#This Row],[Totaal Emissieloos Transport]]+Inschrijf_Transport_Totaal[[#This Row],[Totaal Niet Emissieloos Transport]]</f>
        <v>0</v>
      </c>
    </row>
    <row r="609" spans="2:14">
      <c r="B609" s="209">
        <f>Optimalisatie!B86</f>
        <v>0</v>
      </c>
      <c r="C609" s="51">
        <f>Optimalisatie!F86</f>
        <v>0</v>
      </c>
      <c r="D609" s="93">
        <f>(IF(Optimalisatie!C86="Nieuwe Situatie",(Optimalisatie!U86),0)*Optimalisatie!R86)</f>
        <v>0</v>
      </c>
      <c r="E609" s="98">
        <f>(IF(Optimalisatie!C86="Bestaande Situatie",(Optimalisatie!AE86),0)*Optimalisatie!R86)</f>
        <v>0</v>
      </c>
      <c r="F609" s="94" t="str">
        <f>_xlfn.IFNA(VLOOKUP(Optimalisatie!V86,Database_Transport[],60,FALSE),"Nee")</f>
        <v>Nee</v>
      </c>
      <c r="G609" s="94" t="str">
        <f>_xlfn.IFNA(VLOOKUP(Optimalisatie!AF86,Database_Transport[],60,FALSE),"Nee")</f>
        <v>Nee</v>
      </c>
      <c r="H609" s="133">
        <f>IF(Inschrijf_Transport_Totaal[[#This Row],[Emissieloos Transport naar bouwplaats?]]="JA",Inschrijf_Transport_Totaal[[#This Row],[Transport naar bouwplaats '[tkm']]],0)+IF(Inschrijf_Transport_Totaal[[#This Row],[Emissieloos Transport naar verwerker?]]="JA",Inschrijf_Transport_Totaal[[#This Row],[Transport naar verwerker '[tkm']]],0)</f>
        <v>0</v>
      </c>
      <c r="I609" s="133">
        <f>(IF(Optimalisatie!C86="Nieuwe Situatie",(Optimalisatie!U86),0)*Optimalisatie!R86)*Optimalisatie!T86</f>
        <v>0</v>
      </c>
      <c r="J609" s="133">
        <f>(IF(Optimalisatie!C86="Nieuwe Situatie",(Optimalisatie!AE86),(Optimalisatie!AE86))*Optimalisatie!R86)*Optimalisatie!T86</f>
        <v>0</v>
      </c>
      <c r="K609" s="133">
        <f>IF(Inschrijf_Transport_Totaal[[#This Row],[Emissieloos Transport naar bouwplaats?]]="JA",Inschrijf_Transport_Totaal[[#This Row],[Transport naar bouwplaats Vervangingen '[tkm']]],0)+IF(Inschrijf_Transport_Totaal[[#This Row],[Emissieloos Transport naar verwerker?]]="JA",Inschrijf_Transport_Totaal[[#This Row],[Transport naar verwerker Vervangingen '[tkm']]],0)</f>
        <v>0</v>
      </c>
      <c r="L609" s="133">
        <f>Inschrijf_Transport_Totaal[[#This Row],[Emissieloos Transport]]+Inschrijf_Transport_Totaal[[#This Row],[Emissieloos Transport Vervangingen]]</f>
        <v>0</v>
      </c>
      <c r="M609" s="133">
        <f>(Inschrijf_Transport_Totaal[[#This Row],[Transport naar bouwplaats '[tkm']]]+Inschrijf_Transport_Totaal[[#This Row],[Transport naar verwerker '[tkm']]]+Inschrijf_Transport_Totaal[[#This Row],[Transport naar bouwplaats Vervangingen '[tkm']]]+Inschrijf_Transport_Totaal[[#This Row],[Transport naar verwerker Vervangingen '[tkm']]])-Inschrijf_Transport_Totaal[[#This Row],[Totaal Emissieloos Transport]]</f>
        <v>0</v>
      </c>
      <c r="N609" s="133">
        <f>Inschrijf_Transport_Totaal[[#This Row],[Totaal Emissieloos Transport]]+Inschrijf_Transport_Totaal[[#This Row],[Totaal Niet Emissieloos Transport]]</f>
        <v>0</v>
      </c>
    </row>
    <row r="610" spans="2:14">
      <c r="B610" s="209">
        <f>Optimalisatie!B87</f>
        <v>0</v>
      </c>
      <c r="C610" s="51">
        <f>Optimalisatie!F87</f>
        <v>0</v>
      </c>
      <c r="D610" s="93">
        <f>(IF(Optimalisatie!C87="Nieuwe Situatie",(Optimalisatie!U87),0)*Optimalisatie!R87)</f>
        <v>0</v>
      </c>
      <c r="E610" s="98">
        <f>(IF(Optimalisatie!C87="Bestaande Situatie",(Optimalisatie!AE87),0)*Optimalisatie!R87)</f>
        <v>0</v>
      </c>
      <c r="F610" s="94" t="str">
        <f>_xlfn.IFNA(VLOOKUP(Optimalisatie!V87,Database_Transport[],60,FALSE),"Nee")</f>
        <v>Nee</v>
      </c>
      <c r="G610" s="94" t="str">
        <f>_xlfn.IFNA(VLOOKUP(Optimalisatie!AF87,Database_Transport[],60,FALSE),"Nee")</f>
        <v>Nee</v>
      </c>
      <c r="H610" s="133">
        <f>IF(Inschrijf_Transport_Totaal[[#This Row],[Emissieloos Transport naar bouwplaats?]]="JA",Inschrijf_Transport_Totaal[[#This Row],[Transport naar bouwplaats '[tkm']]],0)+IF(Inschrijf_Transport_Totaal[[#This Row],[Emissieloos Transport naar verwerker?]]="JA",Inschrijf_Transport_Totaal[[#This Row],[Transport naar verwerker '[tkm']]],0)</f>
        <v>0</v>
      </c>
      <c r="I610" s="133">
        <f>(IF(Optimalisatie!C87="Nieuwe Situatie",(Optimalisatie!U87),0)*Optimalisatie!R87)*Optimalisatie!T87</f>
        <v>0</v>
      </c>
      <c r="J610" s="133">
        <f>(IF(Optimalisatie!C87="Nieuwe Situatie",(Optimalisatie!AE87),(Optimalisatie!AE87))*Optimalisatie!R87)*Optimalisatie!T87</f>
        <v>0</v>
      </c>
      <c r="K610" s="133">
        <f>IF(Inschrijf_Transport_Totaal[[#This Row],[Emissieloos Transport naar bouwplaats?]]="JA",Inschrijf_Transport_Totaal[[#This Row],[Transport naar bouwplaats Vervangingen '[tkm']]],0)+IF(Inschrijf_Transport_Totaal[[#This Row],[Emissieloos Transport naar verwerker?]]="JA",Inschrijf_Transport_Totaal[[#This Row],[Transport naar verwerker Vervangingen '[tkm']]],0)</f>
        <v>0</v>
      </c>
      <c r="L610" s="133">
        <f>Inschrijf_Transport_Totaal[[#This Row],[Emissieloos Transport]]+Inschrijf_Transport_Totaal[[#This Row],[Emissieloos Transport Vervangingen]]</f>
        <v>0</v>
      </c>
      <c r="M610" s="133">
        <f>(Inschrijf_Transport_Totaal[[#This Row],[Transport naar bouwplaats '[tkm']]]+Inschrijf_Transport_Totaal[[#This Row],[Transport naar verwerker '[tkm']]]+Inschrijf_Transport_Totaal[[#This Row],[Transport naar bouwplaats Vervangingen '[tkm']]]+Inschrijf_Transport_Totaal[[#This Row],[Transport naar verwerker Vervangingen '[tkm']]])-Inschrijf_Transport_Totaal[[#This Row],[Totaal Emissieloos Transport]]</f>
        <v>0</v>
      </c>
      <c r="N610" s="133">
        <f>Inschrijf_Transport_Totaal[[#This Row],[Totaal Emissieloos Transport]]+Inschrijf_Transport_Totaal[[#This Row],[Totaal Niet Emissieloos Transport]]</f>
        <v>0</v>
      </c>
    </row>
    <row r="611" spans="2:14">
      <c r="B611" s="209">
        <f>Optimalisatie!B88</f>
        <v>0</v>
      </c>
      <c r="C611" s="51">
        <f>Optimalisatie!F88</f>
        <v>0</v>
      </c>
      <c r="D611" s="93">
        <f>(IF(Optimalisatie!C88="Nieuwe Situatie",(Optimalisatie!U88),0)*Optimalisatie!R88)</f>
        <v>0</v>
      </c>
      <c r="E611" s="98">
        <f>(IF(Optimalisatie!C88="Bestaande Situatie",(Optimalisatie!AE88),0)*Optimalisatie!R88)</f>
        <v>0</v>
      </c>
      <c r="F611" s="94" t="str">
        <f>_xlfn.IFNA(VLOOKUP(Optimalisatie!V88,Database_Transport[],60,FALSE),"Nee")</f>
        <v>Nee</v>
      </c>
      <c r="G611" s="94" t="str">
        <f>_xlfn.IFNA(VLOOKUP(Optimalisatie!AF88,Database_Transport[],60,FALSE),"Nee")</f>
        <v>Nee</v>
      </c>
      <c r="H611" s="133">
        <f>IF(Inschrijf_Transport_Totaal[[#This Row],[Emissieloos Transport naar bouwplaats?]]="JA",Inschrijf_Transport_Totaal[[#This Row],[Transport naar bouwplaats '[tkm']]],0)+IF(Inschrijf_Transport_Totaal[[#This Row],[Emissieloos Transport naar verwerker?]]="JA",Inschrijf_Transport_Totaal[[#This Row],[Transport naar verwerker '[tkm']]],0)</f>
        <v>0</v>
      </c>
      <c r="I611" s="133">
        <f>(IF(Optimalisatie!C88="Nieuwe Situatie",(Optimalisatie!U88),0)*Optimalisatie!R88)*Optimalisatie!T88</f>
        <v>0</v>
      </c>
      <c r="J611" s="133">
        <f>(IF(Optimalisatie!C88="Nieuwe Situatie",(Optimalisatie!AE88),(Optimalisatie!AE88))*Optimalisatie!R88)*Optimalisatie!T88</f>
        <v>0</v>
      </c>
      <c r="K611" s="133">
        <f>IF(Inschrijf_Transport_Totaal[[#This Row],[Emissieloos Transport naar bouwplaats?]]="JA",Inschrijf_Transport_Totaal[[#This Row],[Transport naar bouwplaats Vervangingen '[tkm']]],0)+IF(Inschrijf_Transport_Totaal[[#This Row],[Emissieloos Transport naar verwerker?]]="JA",Inschrijf_Transport_Totaal[[#This Row],[Transport naar verwerker Vervangingen '[tkm']]],0)</f>
        <v>0</v>
      </c>
      <c r="L611" s="133">
        <f>Inschrijf_Transport_Totaal[[#This Row],[Emissieloos Transport]]+Inschrijf_Transport_Totaal[[#This Row],[Emissieloos Transport Vervangingen]]</f>
        <v>0</v>
      </c>
      <c r="M611" s="133">
        <f>(Inschrijf_Transport_Totaal[[#This Row],[Transport naar bouwplaats '[tkm']]]+Inschrijf_Transport_Totaal[[#This Row],[Transport naar verwerker '[tkm']]]+Inschrijf_Transport_Totaal[[#This Row],[Transport naar bouwplaats Vervangingen '[tkm']]]+Inschrijf_Transport_Totaal[[#This Row],[Transport naar verwerker Vervangingen '[tkm']]])-Inschrijf_Transport_Totaal[[#This Row],[Totaal Emissieloos Transport]]</f>
        <v>0</v>
      </c>
      <c r="N611" s="133">
        <f>Inschrijf_Transport_Totaal[[#This Row],[Totaal Emissieloos Transport]]+Inschrijf_Transport_Totaal[[#This Row],[Totaal Niet Emissieloos Transport]]</f>
        <v>0</v>
      </c>
    </row>
    <row r="612" spans="2:14">
      <c r="B612" s="209">
        <f>Optimalisatie!B89</f>
        <v>0</v>
      </c>
      <c r="C612" s="51">
        <f>Optimalisatie!F89</f>
        <v>0</v>
      </c>
      <c r="D612" s="93">
        <f>(IF(Optimalisatie!C89="Nieuwe Situatie",(Optimalisatie!U89),0)*Optimalisatie!R89)</f>
        <v>0</v>
      </c>
      <c r="E612" s="98">
        <f>(IF(Optimalisatie!C89="Bestaande Situatie",(Optimalisatie!AE89),0)*Optimalisatie!R89)</f>
        <v>0</v>
      </c>
      <c r="F612" s="94" t="str">
        <f>_xlfn.IFNA(VLOOKUP(Optimalisatie!V89,Database_Transport[],60,FALSE),"Nee")</f>
        <v>Nee</v>
      </c>
      <c r="G612" s="94" t="str">
        <f>_xlfn.IFNA(VLOOKUP(Optimalisatie!AF89,Database_Transport[],60,FALSE),"Nee")</f>
        <v>Nee</v>
      </c>
      <c r="H612" s="133">
        <f>IF(Inschrijf_Transport_Totaal[[#This Row],[Emissieloos Transport naar bouwplaats?]]="JA",Inschrijf_Transport_Totaal[[#This Row],[Transport naar bouwplaats '[tkm']]],0)+IF(Inschrijf_Transport_Totaal[[#This Row],[Emissieloos Transport naar verwerker?]]="JA",Inschrijf_Transport_Totaal[[#This Row],[Transport naar verwerker '[tkm']]],0)</f>
        <v>0</v>
      </c>
      <c r="I612" s="133">
        <f>(IF(Optimalisatie!C89="Nieuwe Situatie",(Optimalisatie!U89),0)*Optimalisatie!R89)*Optimalisatie!T89</f>
        <v>0</v>
      </c>
      <c r="J612" s="133">
        <f>(IF(Optimalisatie!C89="Nieuwe Situatie",(Optimalisatie!AE89),(Optimalisatie!AE89))*Optimalisatie!R89)*Optimalisatie!T89</f>
        <v>0</v>
      </c>
      <c r="K612" s="133">
        <f>IF(Inschrijf_Transport_Totaal[[#This Row],[Emissieloos Transport naar bouwplaats?]]="JA",Inschrijf_Transport_Totaal[[#This Row],[Transport naar bouwplaats Vervangingen '[tkm']]],0)+IF(Inschrijf_Transport_Totaal[[#This Row],[Emissieloos Transport naar verwerker?]]="JA",Inschrijf_Transport_Totaal[[#This Row],[Transport naar verwerker Vervangingen '[tkm']]],0)</f>
        <v>0</v>
      </c>
      <c r="L612" s="133">
        <f>Inschrijf_Transport_Totaal[[#This Row],[Emissieloos Transport]]+Inschrijf_Transport_Totaal[[#This Row],[Emissieloos Transport Vervangingen]]</f>
        <v>0</v>
      </c>
      <c r="M612" s="133">
        <f>(Inschrijf_Transport_Totaal[[#This Row],[Transport naar bouwplaats '[tkm']]]+Inschrijf_Transport_Totaal[[#This Row],[Transport naar verwerker '[tkm']]]+Inschrijf_Transport_Totaal[[#This Row],[Transport naar bouwplaats Vervangingen '[tkm']]]+Inschrijf_Transport_Totaal[[#This Row],[Transport naar verwerker Vervangingen '[tkm']]])-Inschrijf_Transport_Totaal[[#This Row],[Totaal Emissieloos Transport]]</f>
        <v>0</v>
      </c>
      <c r="N612" s="133">
        <f>Inschrijf_Transport_Totaal[[#This Row],[Totaal Emissieloos Transport]]+Inschrijf_Transport_Totaal[[#This Row],[Totaal Niet Emissieloos Transport]]</f>
        <v>0</v>
      </c>
    </row>
    <row r="613" spans="2:14">
      <c r="B613" s="209">
        <f>Optimalisatie!B90</f>
        <v>0</v>
      </c>
      <c r="C613" s="51">
        <f>Optimalisatie!F90</f>
        <v>0</v>
      </c>
      <c r="D613" s="93">
        <f>(IF(Optimalisatie!C90="Nieuwe Situatie",(Optimalisatie!U90),0)*Optimalisatie!R90)</f>
        <v>0</v>
      </c>
      <c r="E613" s="98">
        <f>(IF(Optimalisatie!C90="Bestaande Situatie",(Optimalisatie!AE90),0)*Optimalisatie!R90)</f>
        <v>0</v>
      </c>
      <c r="F613" s="94" t="str">
        <f>_xlfn.IFNA(VLOOKUP(Optimalisatie!V90,Database_Transport[],60,FALSE),"Nee")</f>
        <v>Nee</v>
      </c>
      <c r="G613" s="94" t="str">
        <f>_xlfn.IFNA(VLOOKUP(Optimalisatie!AF90,Database_Transport[],60,FALSE),"Nee")</f>
        <v>Nee</v>
      </c>
      <c r="H613" s="133">
        <f>IF(Inschrijf_Transport_Totaal[[#This Row],[Emissieloos Transport naar bouwplaats?]]="JA",Inschrijf_Transport_Totaal[[#This Row],[Transport naar bouwplaats '[tkm']]],0)+IF(Inschrijf_Transport_Totaal[[#This Row],[Emissieloos Transport naar verwerker?]]="JA",Inschrijf_Transport_Totaal[[#This Row],[Transport naar verwerker '[tkm']]],0)</f>
        <v>0</v>
      </c>
      <c r="I613" s="133">
        <f>(IF(Optimalisatie!C90="Nieuwe Situatie",(Optimalisatie!U90),0)*Optimalisatie!R90)*Optimalisatie!T90</f>
        <v>0</v>
      </c>
      <c r="J613" s="133">
        <f>(IF(Optimalisatie!C90="Nieuwe Situatie",(Optimalisatie!AE90),(Optimalisatie!AE90))*Optimalisatie!R90)*Optimalisatie!T90</f>
        <v>0</v>
      </c>
      <c r="K613" s="133">
        <f>IF(Inschrijf_Transport_Totaal[[#This Row],[Emissieloos Transport naar bouwplaats?]]="JA",Inschrijf_Transport_Totaal[[#This Row],[Transport naar bouwplaats Vervangingen '[tkm']]],0)+IF(Inschrijf_Transport_Totaal[[#This Row],[Emissieloos Transport naar verwerker?]]="JA",Inschrijf_Transport_Totaal[[#This Row],[Transport naar verwerker Vervangingen '[tkm']]],0)</f>
        <v>0</v>
      </c>
      <c r="L613" s="133">
        <f>Inschrijf_Transport_Totaal[[#This Row],[Emissieloos Transport]]+Inschrijf_Transport_Totaal[[#This Row],[Emissieloos Transport Vervangingen]]</f>
        <v>0</v>
      </c>
      <c r="M613" s="133">
        <f>(Inschrijf_Transport_Totaal[[#This Row],[Transport naar bouwplaats '[tkm']]]+Inschrijf_Transport_Totaal[[#This Row],[Transport naar verwerker '[tkm']]]+Inschrijf_Transport_Totaal[[#This Row],[Transport naar bouwplaats Vervangingen '[tkm']]]+Inschrijf_Transport_Totaal[[#This Row],[Transport naar verwerker Vervangingen '[tkm']]])-Inschrijf_Transport_Totaal[[#This Row],[Totaal Emissieloos Transport]]</f>
        <v>0</v>
      </c>
      <c r="N613" s="133">
        <f>Inschrijf_Transport_Totaal[[#This Row],[Totaal Emissieloos Transport]]+Inschrijf_Transport_Totaal[[#This Row],[Totaal Niet Emissieloos Transport]]</f>
        <v>0</v>
      </c>
    </row>
    <row r="614" spans="2:14">
      <c r="B614" s="209">
        <f>Optimalisatie!B91</f>
        <v>0</v>
      </c>
      <c r="C614" s="51">
        <f>Optimalisatie!F91</f>
        <v>0</v>
      </c>
      <c r="D614" s="93">
        <f>(IF(Optimalisatie!C91="Nieuwe Situatie",(Optimalisatie!U91),0)*Optimalisatie!R91)</f>
        <v>0</v>
      </c>
      <c r="E614" s="98">
        <f>(IF(Optimalisatie!C91="Bestaande Situatie",(Optimalisatie!AE91),0)*Optimalisatie!R91)</f>
        <v>0</v>
      </c>
      <c r="F614" s="94" t="str">
        <f>_xlfn.IFNA(VLOOKUP(Optimalisatie!V91,Database_Transport[],60,FALSE),"Nee")</f>
        <v>Nee</v>
      </c>
      <c r="G614" s="94" t="str">
        <f>_xlfn.IFNA(VLOOKUP(Optimalisatie!AF91,Database_Transport[],60,FALSE),"Nee")</f>
        <v>Nee</v>
      </c>
      <c r="H614" s="133">
        <f>IF(Inschrijf_Transport_Totaal[[#This Row],[Emissieloos Transport naar bouwplaats?]]="JA",Inschrijf_Transport_Totaal[[#This Row],[Transport naar bouwplaats '[tkm']]],0)+IF(Inschrijf_Transport_Totaal[[#This Row],[Emissieloos Transport naar verwerker?]]="JA",Inschrijf_Transport_Totaal[[#This Row],[Transport naar verwerker '[tkm']]],0)</f>
        <v>0</v>
      </c>
      <c r="I614" s="133">
        <f>(IF(Optimalisatie!C91="Nieuwe Situatie",(Optimalisatie!U91),0)*Optimalisatie!R91)*Optimalisatie!T91</f>
        <v>0</v>
      </c>
      <c r="J614" s="133">
        <f>(IF(Optimalisatie!C91="Nieuwe Situatie",(Optimalisatie!AE91),(Optimalisatie!AE91))*Optimalisatie!R91)*Optimalisatie!T91</f>
        <v>0</v>
      </c>
      <c r="K614" s="133">
        <f>IF(Inschrijf_Transport_Totaal[[#This Row],[Emissieloos Transport naar bouwplaats?]]="JA",Inschrijf_Transport_Totaal[[#This Row],[Transport naar bouwplaats Vervangingen '[tkm']]],0)+IF(Inschrijf_Transport_Totaal[[#This Row],[Emissieloos Transport naar verwerker?]]="JA",Inschrijf_Transport_Totaal[[#This Row],[Transport naar verwerker Vervangingen '[tkm']]],0)</f>
        <v>0</v>
      </c>
      <c r="L614" s="133">
        <f>Inschrijf_Transport_Totaal[[#This Row],[Emissieloos Transport]]+Inschrijf_Transport_Totaal[[#This Row],[Emissieloos Transport Vervangingen]]</f>
        <v>0</v>
      </c>
      <c r="M614" s="133">
        <f>(Inschrijf_Transport_Totaal[[#This Row],[Transport naar bouwplaats '[tkm']]]+Inschrijf_Transport_Totaal[[#This Row],[Transport naar verwerker '[tkm']]]+Inschrijf_Transport_Totaal[[#This Row],[Transport naar bouwplaats Vervangingen '[tkm']]]+Inschrijf_Transport_Totaal[[#This Row],[Transport naar verwerker Vervangingen '[tkm']]])-Inschrijf_Transport_Totaal[[#This Row],[Totaal Emissieloos Transport]]</f>
        <v>0</v>
      </c>
      <c r="N614" s="133">
        <f>Inschrijf_Transport_Totaal[[#This Row],[Totaal Emissieloos Transport]]+Inschrijf_Transport_Totaal[[#This Row],[Totaal Niet Emissieloos Transport]]</f>
        <v>0</v>
      </c>
    </row>
    <row r="615" spans="2:14">
      <c r="B615" s="209">
        <f>Optimalisatie!B92</f>
        <v>0</v>
      </c>
      <c r="C615" s="51">
        <f>Optimalisatie!F92</f>
        <v>0</v>
      </c>
      <c r="D615" s="93">
        <f>(IF(Optimalisatie!C92="Nieuwe Situatie",(Optimalisatie!U92),0)*Optimalisatie!R92)</f>
        <v>0</v>
      </c>
      <c r="E615" s="98">
        <f>(IF(Optimalisatie!C92="Bestaande Situatie",(Optimalisatie!AE92),0)*Optimalisatie!R92)</f>
        <v>0</v>
      </c>
      <c r="F615" s="94" t="str">
        <f>_xlfn.IFNA(VLOOKUP(Optimalisatie!V92,Database_Transport[],60,FALSE),"Nee")</f>
        <v>Nee</v>
      </c>
      <c r="G615" s="94" t="str">
        <f>_xlfn.IFNA(VLOOKUP(Optimalisatie!AF92,Database_Transport[],60,FALSE),"Nee")</f>
        <v>Nee</v>
      </c>
      <c r="H615" s="133">
        <f>IF(Inschrijf_Transport_Totaal[[#This Row],[Emissieloos Transport naar bouwplaats?]]="JA",Inschrijf_Transport_Totaal[[#This Row],[Transport naar bouwplaats '[tkm']]],0)+IF(Inschrijf_Transport_Totaal[[#This Row],[Emissieloos Transport naar verwerker?]]="JA",Inschrijf_Transport_Totaal[[#This Row],[Transport naar verwerker '[tkm']]],0)</f>
        <v>0</v>
      </c>
      <c r="I615" s="133">
        <f>(IF(Optimalisatie!C92="Nieuwe Situatie",(Optimalisatie!U92),0)*Optimalisatie!R92)*Optimalisatie!T92</f>
        <v>0</v>
      </c>
      <c r="J615" s="133">
        <f>(IF(Optimalisatie!C92="Nieuwe Situatie",(Optimalisatie!AE92),(Optimalisatie!AE92))*Optimalisatie!R92)*Optimalisatie!T92</f>
        <v>0</v>
      </c>
      <c r="K615" s="133">
        <f>IF(Inschrijf_Transport_Totaal[[#This Row],[Emissieloos Transport naar bouwplaats?]]="JA",Inschrijf_Transport_Totaal[[#This Row],[Transport naar bouwplaats Vervangingen '[tkm']]],0)+IF(Inschrijf_Transport_Totaal[[#This Row],[Emissieloos Transport naar verwerker?]]="JA",Inschrijf_Transport_Totaal[[#This Row],[Transport naar verwerker Vervangingen '[tkm']]],0)</f>
        <v>0</v>
      </c>
      <c r="L615" s="133">
        <f>Inschrijf_Transport_Totaal[[#This Row],[Emissieloos Transport]]+Inschrijf_Transport_Totaal[[#This Row],[Emissieloos Transport Vervangingen]]</f>
        <v>0</v>
      </c>
      <c r="M615" s="133">
        <f>(Inschrijf_Transport_Totaal[[#This Row],[Transport naar bouwplaats '[tkm']]]+Inschrijf_Transport_Totaal[[#This Row],[Transport naar verwerker '[tkm']]]+Inschrijf_Transport_Totaal[[#This Row],[Transport naar bouwplaats Vervangingen '[tkm']]]+Inschrijf_Transport_Totaal[[#This Row],[Transport naar verwerker Vervangingen '[tkm']]])-Inschrijf_Transport_Totaal[[#This Row],[Totaal Emissieloos Transport]]</f>
        <v>0</v>
      </c>
      <c r="N615" s="133">
        <f>Inschrijf_Transport_Totaal[[#This Row],[Totaal Emissieloos Transport]]+Inschrijf_Transport_Totaal[[#This Row],[Totaal Niet Emissieloos Transport]]</f>
        <v>0</v>
      </c>
    </row>
    <row r="616" spans="2:14">
      <c r="B616" s="209">
        <f>Optimalisatie!B93</f>
        <v>0</v>
      </c>
      <c r="C616" s="51">
        <f>Optimalisatie!F93</f>
        <v>0</v>
      </c>
      <c r="D616" s="93">
        <f>(IF(Optimalisatie!C93="Nieuwe Situatie",(Optimalisatie!U93),0)*Optimalisatie!R93)</f>
        <v>0</v>
      </c>
      <c r="E616" s="98">
        <f>(IF(Optimalisatie!C93="Bestaande Situatie",(Optimalisatie!AE93),0)*Optimalisatie!R93)</f>
        <v>0</v>
      </c>
      <c r="F616" s="94" t="str">
        <f>_xlfn.IFNA(VLOOKUP(Optimalisatie!V93,Database_Transport[],60,FALSE),"Nee")</f>
        <v>Nee</v>
      </c>
      <c r="G616" s="94" t="str">
        <f>_xlfn.IFNA(VLOOKUP(Optimalisatie!AF93,Database_Transport[],60,FALSE),"Nee")</f>
        <v>Nee</v>
      </c>
      <c r="H616" s="133">
        <f>IF(Inschrijf_Transport_Totaal[[#This Row],[Emissieloos Transport naar bouwplaats?]]="JA",Inschrijf_Transport_Totaal[[#This Row],[Transport naar bouwplaats '[tkm']]],0)+IF(Inschrijf_Transport_Totaal[[#This Row],[Emissieloos Transport naar verwerker?]]="JA",Inschrijf_Transport_Totaal[[#This Row],[Transport naar verwerker '[tkm']]],0)</f>
        <v>0</v>
      </c>
      <c r="I616" s="133">
        <f>(IF(Optimalisatie!C93="Nieuwe Situatie",(Optimalisatie!U93),0)*Optimalisatie!R93)*Optimalisatie!T93</f>
        <v>0</v>
      </c>
      <c r="J616" s="133">
        <f>(IF(Optimalisatie!C93="Nieuwe Situatie",(Optimalisatie!AE93),(Optimalisatie!AE93))*Optimalisatie!R93)*Optimalisatie!T93</f>
        <v>0</v>
      </c>
      <c r="K616" s="133">
        <f>IF(Inschrijf_Transport_Totaal[[#This Row],[Emissieloos Transport naar bouwplaats?]]="JA",Inschrijf_Transport_Totaal[[#This Row],[Transport naar bouwplaats Vervangingen '[tkm']]],0)+IF(Inschrijf_Transport_Totaal[[#This Row],[Emissieloos Transport naar verwerker?]]="JA",Inschrijf_Transport_Totaal[[#This Row],[Transport naar verwerker Vervangingen '[tkm']]],0)</f>
        <v>0</v>
      </c>
      <c r="L616" s="133">
        <f>Inschrijf_Transport_Totaal[[#This Row],[Emissieloos Transport]]+Inschrijf_Transport_Totaal[[#This Row],[Emissieloos Transport Vervangingen]]</f>
        <v>0</v>
      </c>
      <c r="M616" s="133">
        <f>(Inschrijf_Transport_Totaal[[#This Row],[Transport naar bouwplaats '[tkm']]]+Inschrijf_Transport_Totaal[[#This Row],[Transport naar verwerker '[tkm']]]+Inschrijf_Transport_Totaal[[#This Row],[Transport naar bouwplaats Vervangingen '[tkm']]]+Inschrijf_Transport_Totaal[[#This Row],[Transport naar verwerker Vervangingen '[tkm']]])-Inschrijf_Transport_Totaal[[#This Row],[Totaal Emissieloos Transport]]</f>
        <v>0</v>
      </c>
      <c r="N616" s="133">
        <f>Inschrijf_Transport_Totaal[[#This Row],[Totaal Emissieloos Transport]]+Inschrijf_Transport_Totaal[[#This Row],[Totaal Niet Emissieloos Transport]]</f>
        <v>0</v>
      </c>
    </row>
    <row r="617" spans="2:14">
      <c r="B617" s="209">
        <f>Optimalisatie!B94</f>
        <v>0</v>
      </c>
      <c r="C617" s="51">
        <f>Optimalisatie!F94</f>
        <v>0</v>
      </c>
      <c r="D617" s="93">
        <f>(IF(Optimalisatie!C94="Nieuwe Situatie",(Optimalisatie!U94),0)*Optimalisatie!R94)</f>
        <v>0</v>
      </c>
      <c r="E617" s="98">
        <f>(IF(Optimalisatie!C94="Bestaande Situatie",(Optimalisatie!AE94),0)*Optimalisatie!R94)</f>
        <v>0</v>
      </c>
      <c r="F617" s="94" t="str">
        <f>_xlfn.IFNA(VLOOKUP(Optimalisatie!V94,Database_Transport[],60,FALSE),"Nee")</f>
        <v>Nee</v>
      </c>
      <c r="G617" s="94" t="str">
        <f>_xlfn.IFNA(VLOOKUP(Optimalisatie!AF94,Database_Transport[],60,FALSE),"Nee")</f>
        <v>Nee</v>
      </c>
      <c r="H617" s="133">
        <f>IF(Inschrijf_Transport_Totaal[[#This Row],[Emissieloos Transport naar bouwplaats?]]="JA",Inschrijf_Transport_Totaal[[#This Row],[Transport naar bouwplaats '[tkm']]],0)+IF(Inschrijf_Transport_Totaal[[#This Row],[Emissieloos Transport naar verwerker?]]="JA",Inschrijf_Transport_Totaal[[#This Row],[Transport naar verwerker '[tkm']]],0)</f>
        <v>0</v>
      </c>
      <c r="I617" s="133">
        <f>(IF(Optimalisatie!C94="Nieuwe Situatie",(Optimalisatie!U94),0)*Optimalisatie!R94)*Optimalisatie!T94</f>
        <v>0</v>
      </c>
      <c r="J617" s="133">
        <f>(IF(Optimalisatie!C94="Nieuwe Situatie",(Optimalisatie!AE94),(Optimalisatie!AE94))*Optimalisatie!R94)*Optimalisatie!T94</f>
        <v>0</v>
      </c>
      <c r="K617" s="133">
        <f>IF(Inschrijf_Transport_Totaal[[#This Row],[Emissieloos Transport naar bouwplaats?]]="JA",Inschrijf_Transport_Totaal[[#This Row],[Transport naar bouwplaats Vervangingen '[tkm']]],0)+IF(Inschrijf_Transport_Totaal[[#This Row],[Emissieloos Transport naar verwerker?]]="JA",Inschrijf_Transport_Totaal[[#This Row],[Transport naar verwerker Vervangingen '[tkm']]],0)</f>
        <v>0</v>
      </c>
      <c r="L617" s="133">
        <f>Inschrijf_Transport_Totaal[[#This Row],[Emissieloos Transport]]+Inschrijf_Transport_Totaal[[#This Row],[Emissieloos Transport Vervangingen]]</f>
        <v>0</v>
      </c>
      <c r="M617" s="133">
        <f>(Inschrijf_Transport_Totaal[[#This Row],[Transport naar bouwplaats '[tkm']]]+Inschrijf_Transport_Totaal[[#This Row],[Transport naar verwerker '[tkm']]]+Inschrijf_Transport_Totaal[[#This Row],[Transport naar bouwplaats Vervangingen '[tkm']]]+Inschrijf_Transport_Totaal[[#This Row],[Transport naar verwerker Vervangingen '[tkm']]])-Inschrijf_Transport_Totaal[[#This Row],[Totaal Emissieloos Transport]]</f>
        <v>0</v>
      </c>
      <c r="N617" s="133">
        <f>Inschrijf_Transport_Totaal[[#This Row],[Totaal Emissieloos Transport]]+Inschrijf_Transport_Totaal[[#This Row],[Totaal Niet Emissieloos Transport]]</f>
        <v>0</v>
      </c>
    </row>
    <row r="618" spans="2:14">
      <c r="B618" s="209">
        <f>Optimalisatie!B95</f>
        <v>0</v>
      </c>
      <c r="C618" s="51">
        <f>Optimalisatie!F95</f>
        <v>0</v>
      </c>
      <c r="D618" s="93">
        <f>(IF(Optimalisatie!C95="Nieuwe Situatie",(Optimalisatie!U95),0)*Optimalisatie!R95)</f>
        <v>0</v>
      </c>
      <c r="E618" s="98">
        <f>(IF(Optimalisatie!C95="Bestaande Situatie",(Optimalisatie!AE95),0)*Optimalisatie!R95)</f>
        <v>0</v>
      </c>
      <c r="F618" s="94" t="str">
        <f>_xlfn.IFNA(VLOOKUP(Optimalisatie!V95,Database_Transport[],60,FALSE),"Nee")</f>
        <v>Nee</v>
      </c>
      <c r="G618" s="94" t="str">
        <f>_xlfn.IFNA(VLOOKUP(Optimalisatie!AF95,Database_Transport[],60,FALSE),"Nee")</f>
        <v>Nee</v>
      </c>
      <c r="H618" s="133">
        <f>IF(Inschrijf_Transport_Totaal[[#This Row],[Emissieloos Transport naar bouwplaats?]]="JA",Inschrijf_Transport_Totaal[[#This Row],[Transport naar bouwplaats '[tkm']]],0)+IF(Inschrijf_Transport_Totaal[[#This Row],[Emissieloos Transport naar verwerker?]]="JA",Inschrijf_Transport_Totaal[[#This Row],[Transport naar verwerker '[tkm']]],0)</f>
        <v>0</v>
      </c>
      <c r="I618" s="133">
        <f>(IF(Optimalisatie!C95="Nieuwe Situatie",(Optimalisatie!U95),0)*Optimalisatie!R95)*Optimalisatie!T95</f>
        <v>0</v>
      </c>
      <c r="J618" s="133">
        <f>(IF(Optimalisatie!C95="Nieuwe Situatie",(Optimalisatie!AE95),(Optimalisatie!AE95))*Optimalisatie!R95)*Optimalisatie!T95</f>
        <v>0</v>
      </c>
      <c r="K618" s="133">
        <f>IF(Inschrijf_Transport_Totaal[[#This Row],[Emissieloos Transport naar bouwplaats?]]="JA",Inschrijf_Transport_Totaal[[#This Row],[Transport naar bouwplaats Vervangingen '[tkm']]],0)+IF(Inschrijf_Transport_Totaal[[#This Row],[Emissieloos Transport naar verwerker?]]="JA",Inschrijf_Transport_Totaal[[#This Row],[Transport naar verwerker Vervangingen '[tkm']]],0)</f>
        <v>0</v>
      </c>
      <c r="L618" s="133">
        <f>Inschrijf_Transport_Totaal[[#This Row],[Emissieloos Transport]]+Inschrijf_Transport_Totaal[[#This Row],[Emissieloos Transport Vervangingen]]</f>
        <v>0</v>
      </c>
      <c r="M618" s="133">
        <f>(Inschrijf_Transport_Totaal[[#This Row],[Transport naar bouwplaats '[tkm']]]+Inschrijf_Transport_Totaal[[#This Row],[Transport naar verwerker '[tkm']]]+Inschrijf_Transport_Totaal[[#This Row],[Transport naar bouwplaats Vervangingen '[tkm']]]+Inschrijf_Transport_Totaal[[#This Row],[Transport naar verwerker Vervangingen '[tkm']]])-Inschrijf_Transport_Totaal[[#This Row],[Totaal Emissieloos Transport]]</f>
        <v>0</v>
      </c>
      <c r="N618" s="133">
        <f>Inschrijf_Transport_Totaal[[#This Row],[Totaal Emissieloos Transport]]+Inschrijf_Transport_Totaal[[#This Row],[Totaal Niet Emissieloos Transport]]</f>
        <v>0</v>
      </c>
    </row>
    <row r="619" spans="2:14">
      <c r="B619" s="209">
        <f>Optimalisatie!B96</f>
        <v>0</v>
      </c>
      <c r="C619" s="51">
        <f>Optimalisatie!F96</f>
        <v>0</v>
      </c>
      <c r="D619" s="93">
        <f>(IF(Optimalisatie!C96="Nieuwe Situatie",(Optimalisatie!U96),0)*Optimalisatie!R96)</f>
        <v>0</v>
      </c>
      <c r="E619" s="98">
        <f>(IF(Optimalisatie!C96="Bestaande Situatie",(Optimalisatie!AE96),0)*Optimalisatie!R96)</f>
        <v>0</v>
      </c>
      <c r="F619" s="94" t="str">
        <f>_xlfn.IFNA(VLOOKUP(Optimalisatie!V96,Database_Transport[],60,FALSE),"Nee")</f>
        <v>Nee</v>
      </c>
      <c r="G619" s="94" t="str">
        <f>_xlfn.IFNA(VLOOKUP(Optimalisatie!AF96,Database_Transport[],60,FALSE),"Nee")</f>
        <v>Nee</v>
      </c>
      <c r="H619" s="133">
        <f>IF(Inschrijf_Transport_Totaal[[#This Row],[Emissieloos Transport naar bouwplaats?]]="JA",Inschrijf_Transport_Totaal[[#This Row],[Transport naar bouwplaats '[tkm']]],0)+IF(Inschrijf_Transport_Totaal[[#This Row],[Emissieloos Transport naar verwerker?]]="JA",Inschrijf_Transport_Totaal[[#This Row],[Transport naar verwerker '[tkm']]],0)</f>
        <v>0</v>
      </c>
      <c r="I619" s="133">
        <f>(IF(Optimalisatie!C96="Nieuwe Situatie",(Optimalisatie!U96),0)*Optimalisatie!R96)*Optimalisatie!T96</f>
        <v>0</v>
      </c>
      <c r="J619" s="133">
        <f>(IF(Optimalisatie!C96="Nieuwe Situatie",(Optimalisatie!AE96),(Optimalisatie!AE96))*Optimalisatie!R96)*Optimalisatie!T96</f>
        <v>0</v>
      </c>
      <c r="K619" s="133">
        <f>IF(Inschrijf_Transport_Totaal[[#This Row],[Emissieloos Transport naar bouwplaats?]]="JA",Inschrijf_Transport_Totaal[[#This Row],[Transport naar bouwplaats Vervangingen '[tkm']]],0)+IF(Inschrijf_Transport_Totaal[[#This Row],[Emissieloos Transport naar verwerker?]]="JA",Inschrijf_Transport_Totaal[[#This Row],[Transport naar verwerker Vervangingen '[tkm']]],0)</f>
        <v>0</v>
      </c>
      <c r="L619" s="133">
        <f>Inschrijf_Transport_Totaal[[#This Row],[Emissieloos Transport]]+Inschrijf_Transport_Totaal[[#This Row],[Emissieloos Transport Vervangingen]]</f>
        <v>0</v>
      </c>
      <c r="M619" s="133">
        <f>(Inschrijf_Transport_Totaal[[#This Row],[Transport naar bouwplaats '[tkm']]]+Inschrijf_Transport_Totaal[[#This Row],[Transport naar verwerker '[tkm']]]+Inschrijf_Transport_Totaal[[#This Row],[Transport naar bouwplaats Vervangingen '[tkm']]]+Inschrijf_Transport_Totaal[[#This Row],[Transport naar verwerker Vervangingen '[tkm']]])-Inschrijf_Transport_Totaal[[#This Row],[Totaal Emissieloos Transport]]</f>
        <v>0</v>
      </c>
      <c r="N619" s="133">
        <f>Inschrijf_Transport_Totaal[[#This Row],[Totaal Emissieloos Transport]]+Inschrijf_Transport_Totaal[[#This Row],[Totaal Niet Emissieloos Transport]]</f>
        <v>0</v>
      </c>
    </row>
    <row r="620" spans="2:14">
      <c r="B620" s="209">
        <f>Optimalisatie!B97</f>
        <v>0</v>
      </c>
      <c r="C620" s="51">
        <f>Optimalisatie!F97</f>
        <v>0</v>
      </c>
      <c r="D620" s="93">
        <f>(IF(Optimalisatie!C97="Nieuwe Situatie",(Optimalisatie!U97),0)*Optimalisatie!R97)</f>
        <v>0</v>
      </c>
      <c r="E620" s="98">
        <f>(IF(Optimalisatie!C97="Bestaande Situatie",(Optimalisatie!AE97),0)*Optimalisatie!R97)</f>
        <v>0</v>
      </c>
      <c r="F620" s="94" t="str">
        <f>_xlfn.IFNA(VLOOKUP(Optimalisatie!V97,Database_Transport[],60,FALSE),"Nee")</f>
        <v>Nee</v>
      </c>
      <c r="G620" s="94" t="str">
        <f>_xlfn.IFNA(VLOOKUP(Optimalisatie!AF97,Database_Transport[],60,FALSE),"Nee")</f>
        <v>Nee</v>
      </c>
      <c r="H620" s="133">
        <f>IF(Inschrijf_Transport_Totaal[[#This Row],[Emissieloos Transport naar bouwplaats?]]="JA",Inschrijf_Transport_Totaal[[#This Row],[Transport naar bouwplaats '[tkm']]],0)+IF(Inschrijf_Transport_Totaal[[#This Row],[Emissieloos Transport naar verwerker?]]="JA",Inschrijf_Transport_Totaal[[#This Row],[Transport naar verwerker '[tkm']]],0)</f>
        <v>0</v>
      </c>
      <c r="I620" s="133">
        <f>(IF(Optimalisatie!C97="Nieuwe Situatie",(Optimalisatie!U97),0)*Optimalisatie!R97)*Optimalisatie!T97</f>
        <v>0</v>
      </c>
      <c r="J620" s="133">
        <f>(IF(Optimalisatie!C97="Nieuwe Situatie",(Optimalisatie!AE97),(Optimalisatie!AE97))*Optimalisatie!R97)*Optimalisatie!T97</f>
        <v>0</v>
      </c>
      <c r="K620" s="133">
        <f>IF(Inschrijf_Transport_Totaal[[#This Row],[Emissieloos Transport naar bouwplaats?]]="JA",Inschrijf_Transport_Totaal[[#This Row],[Transport naar bouwplaats Vervangingen '[tkm']]],0)+IF(Inschrijf_Transport_Totaal[[#This Row],[Emissieloos Transport naar verwerker?]]="JA",Inschrijf_Transport_Totaal[[#This Row],[Transport naar verwerker Vervangingen '[tkm']]],0)</f>
        <v>0</v>
      </c>
      <c r="L620" s="133">
        <f>Inschrijf_Transport_Totaal[[#This Row],[Emissieloos Transport]]+Inschrijf_Transport_Totaal[[#This Row],[Emissieloos Transport Vervangingen]]</f>
        <v>0</v>
      </c>
      <c r="M620" s="133">
        <f>(Inschrijf_Transport_Totaal[[#This Row],[Transport naar bouwplaats '[tkm']]]+Inschrijf_Transport_Totaal[[#This Row],[Transport naar verwerker '[tkm']]]+Inschrijf_Transport_Totaal[[#This Row],[Transport naar bouwplaats Vervangingen '[tkm']]]+Inschrijf_Transport_Totaal[[#This Row],[Transport naar verwerker Vervangingen '[tkm']]])-Inschrijf_Transport_Totaal[[#This Row],[Totaal Emissieloos Transport]]</f>
        <v>0</v>
      </c>
      <c r="N620" s="133">
        <f>Inschrijf_Transport_Totaal[[#This Row],[Totaal Emissieloos Transport]]+Inschrijf_Transport_Totaal[[#This Row],[Totaal Niet Emissieloos Transport]]</f>
        <v>0</v>
      </c>
    </row>
    <row r="621" spans="2:14">
      <c r="B621" s="209">
        <f>Optimalisatie!B98</f>
        <v>0</v>
      </c>
      <c r="C621" s="51">
        <f>Optimalisatie!F98</f>
        <v>0</v>
      </c>
      <c r="D621" s="93">
        <f>(IF(Optimalisatie!C98="Nieuwe Situatie",(Optimalisatie!U98),0)*Optimalisatie!R98)</f>
        <v>0</v>
      </c>
      <c r="E621" s="98">
        <f>(IF(Optimalisatie!C98="Bestaande Situatie",(Optimalisatie!AE98),0)*Optimalisatie!R98)</f>
        <v>0</v>
      </c>
      <c r="F621" s="94" t="str">
        <f>_xlfn.IFNA(VLOOKUP(Optimalisatie!V98,Database_Transport[],60,FALSE),"Nee")</f>
        <v>Nee</v>
      </c>
      <c r="G621" s="94" t="str">
        <f>_xlfn.IFNA(VLOOKUP(Optimalisatie!AF98,Database_Transport[],60,FALSE),"Nee")</f>
        <v>Nee</v>
      </c>
      <c r="H621" s="133">
        <f>IF(Inschrijf_Transport_Totaal[[#This Row],[Emissieloos Transport naar bouwplaats?]]="JA",Inschrijf_Transport_Totaal[[#This Row],[Transport naar bouwplaats '[tkm']]],0)+IF(Inschrijf_Transport_Totaal[[#This Row],[Emissieloos Transport naar verwerker?]]="JA",Inschrijf_Transport_Totaal[[#This Row],[Transport naar verwerker '[tkm']]],0)</f>
        <v>0</v>
      </c>
      <c r="I621" s="133">
        <f>(IF(Optimalisatie!C98="Nieuwe Situatie",(Optimalisatie!U98),0)*Optimalisatie!R98)*Optimalisatie!T98</f>
        <v>0</v>
      </c>
      <c r="J621" s="133">
        <f>(IF(Optimalisatie!C98="Nieuwe Situatie",(Optimalisatie!AE98),(Optimalisatie!AE98))*Optimalisatie!R98)*Optimalisatie!T98</f>
        <v>0</v>
      </c>
      <c r="K621" s="133">
        <f>IF(Inschrijf_Transport_Totaal[[#This Row],[Emissieloos Transport naar bouwplaats?]]="JA",Inschrijf_Transport_Totaal[[#This Row],[Transport naar bouwplaats Vervangingen '[tkm']]],0)+IF(Inschrijf_Transport_Totaal[[#This Row],[Emissieloos Transport naar verwerker?]]="JA",Inschrijf_Transport_Totaal[[#This Row],[Transport naar verwerker Vervangingen '[tkm']]],0)</f>
        <v>0</v>
      </c>
      <c r="L621" s="133">
        <f>Inschrijf_Transport_Totaal[[#This Row],[Emissieloos Transport]]+Inschrijf_Transport_Totaal[[#This Row],[Emissieloos Transport Vervangingen]]</f>
        <v>0</v>
      </c>
      <c r="M621" s="133">
        <f>(Inschrijf_Transport_Totaal[[#This Row],[Transport naar bouwplaats '[tkm']]]+Inschrijf_Transport_Totaal[[#This Row],[Transport naar verwerker '[tkm']]]+Inschrijf_Transport_Totaal[[#This Row],[Transport naar bouwplaats Vervangingen '[tkm']]]+Inschrijf_Transport_Totaal[[#This Row],[Transport naar verwerker Vervangingen '[tkm']]])-Inschrijf_Transport_Totaal[[#This Row],[Totaal Emissieloos Transport]]</f>
        <v>0</v>
      </c>
      <c r="N621" s="133">
        <f>Inschrijf_Transport_Totaal[[#This Row],[Totaal Emissieloos Transport]]+Inschrijf_Transport_Totaal[[#This Row],[Totaal Niet Emissieloos Transport]]</f>
        <v>0</v>
      </c>
    </row>
    <row r="622" spans="2:14">
      <c r="B622" s="209">
        <f>Optimalisatie!B99</f>
        <v>0</v>
      </c>
      <c r="C622" s="51">
        <f>Optimalisatie!F99</f>
        <v>0</v>
      </c>
      <c r="D622" s="93">
        <f>(IF(Optimalisatie!C99="Nieuwe Situatie",(Optimalisatie!U99),0)*Optimalisatie!R99)</f>
        <v>0</v>
      </c>
      <c r="E622" s="98">
        <f>(IF(Optimalisatie!C99="Bestaande Situatie",(Optimalisatie!AE99),0)*Optimalisatie!R99)</f>
        <v>0</v>
      </c>
      <c r="F622" s="94" t="str">
        <f>_xlfn.IFNA(VLOOKUP(Optimalisatie!V99,Database_Transport[],60,FALSE),"Nee")</f>
        <v>Nee</v>
      </c>
      <c r="G622" s="94" t="str">
        <f>_xlfn.IFNA(VLOOKUP(Optimalisatie!AF99,Database_Transport[],60,FALSE),"Nee")</f>
        <v>Nee</v>
      </c>
      <c r="H622" s="133">
        <f>IF(Inschrijf_Transport_Totaal[[#This Row],[Emissieloos Transport naar bouwplaats?]]="JA",Inschrijf_Transport_Totaal[[#This Row],[Transport naar bouwplaats '[tkm']]],0)+IF(Inschrijf_Transport_Totaal[[#This Row],[Emissieloos Transport naar verwerker?]]="JA",Inschrijf_Transport_Totaal[[#This Row],[Transport naar verwerker '[tkm']]],0)</f>
        <v>0</v>
      </c>
      <c r="I622" s="133">
        <f>(IF(Optimalisatie!C99="Nieuwe Situatie",(Optimalisatie!U99),0)*Optimalisatie!R99)*Optimalisatie!T99</f>
        <v>0</v>
      </c>
      <c r="J622" s="133">
        <f>(IF(Optimalisatie!C99="Nieuwe Situatie",(Optimalisatie!AE99),(Optimalisatie!AE99))*Optimalisatie!R99)*Optimalisatie!T99</f>
        <v>0</v>
      </c>
      <c r="K622" s="133">
        <f>IF(Inschrijf_Transport_Totaal[[#This Row],[Emissieloos Transport naar bouwplaats?]]="JA",Inschrijf_Transport_Totaal[[#This Row],[Transport naar bouwplaats Vervangingen '[tkm']]],0)+IF(Inschrijf_Transport_Totaal[[#This Row],[Emissieloos Transport naar verwerker?]]="JA",Inschrijf_Transport_Totaal[[#This Row],[Transport naar verwerker Vervangingen '[tkm']]],0)</f>
        <v>0</v>
      </c>
      <c r="L622" s="133">
        <f>Inschrijf_Transport_Totaal[[#This Row],[Emissieloos Transport]]+Inschrijf_Transport_Totaal[[#This Row],[Emissieloos Transport Vervangingen]]</f>
        <v>0</v>
      </c>
      <c r="M622" s="133">
        <f>(Inschrijf_Transport_Totaal[[#This Row],[Transport naar bouwplaats '[tkm']]]+Inschrijf_Transport_Totaal[[#This Row],[Transport naar verwerker '[tkm']]]+Inschrijf_Transport_Totaal[[#This Row],[Transport naar bouwplaats Vervangingen '[tkm']]]+Inschrijf_Transport_Totaal[[#This Row],[Transport naar verwerker Vervangingen '[tkm']]])-Inschrijf_Transport_Totaal[[#This Row],[Totaal Emissieloos Transport]]</f>
        <v>0</v>
      </c>
      <c r="N622" s="133">
        <f>Inschrijf_Transport_Totaal[[#This Row],[Totaal Emissieloos Transport]]+Inschrijf_Transport_Totaal[[#This Row],[Totaal Niet Emissieloos Transport]]</f>
        <v>0</v>
      </c>
    </row>
    <row r="623" spans="2:14">
      <c r="B623" s="209">
        <f>Optimalisatie!B100</f>
        <v>0</v>
      </c>
      <c r="C623" s="51">
        <f>Optimalisatie!F100</f>
        <v>0</v>
      </c>
      <c r="D623" s="93">
        <f>(IF(Optimalisatie!C100="Nieuwe Situatie",(Optimalisatie!U100),0)*Optimalisatie!R100)</f>
        <v>0</v>
      </c>
      <c r="E623" s="98">
        <f>(IF(Optimalisatie!C100="Bestaande Situatie",(Optimalisatie!AE100),0)*Optimalisatie!R100)</f>
        <v>0</v>
      </c>
      <c r="F623" s="94" t="str">
        <f>_xlfn.IFNA(VLOOKUP(Optimalisatie!V100,Database_Transport[],60,FALSE),"Nee")</f>
        <v>Nee</v>
      </c>
      <c r="G623" s="94" t="str">
        <f>_xlfn.IFNA(VLOOKUP(Optimalisatie!AF100,Database_Transport[],60,FALSE),"Nee")</f>
        <v>Nee</v>
      </c>
      <c r="H623" s="133">
        <f>IF(Inschrijf_Transport_Totaal[[#This Row],[Emissieloos Transport naar bouwplaats?]]="JA",Inschrijf_Transport_Totaal[[#This Row],[Transport naar bouwplaats '[tkm']]],0)+IF(Inschrijf_Transport_Totaal[[#This Row],[Emissieloos Transport naar verwerker?]]="JA",Inschrijf_Transport_Totaal[[#This Row],[Transport naar verwerker '[tkm']]],0)</f>
        <v>0</v>
      </c>
      <c r="I623" s="133">
        <f>(IF(Optimalisatie!C100="Nieuwe Situatie",(Optimalisatie!U100),0)*Optimalisatie!R100)*Optimalisatie!T100</f>
        <v>0</v>
      </c>
      <c r="J623" s="133">
        <f>(IF(Optimalisatie!C100="Nieuwe Situatie",(Optimalisatie!AE100),(Optimalisatie!AE100))*Optimalisatie!R100)*Optimalisatie!T100</f>
        <v>0</v>
      </c>
      <c r="K623" s="133">
        <f>IF(Inschrijf_Transport_Totaal[[#This Row],[Emissieloos Transport naar bouwplaats?]]="JA",Inschrijf_Transport_Totaal[[#This Row],[Transport naar bouwplaats Vervangingen '[tkm']]],0)+IF(Inschrijf_Transport_Totaal[[#This Row],[Emissieloos Transport naar verwerker?]]="JA",Inschrijf_Transport_Totaal[[#This Row],[Transport naar verwerker Vervangingen '[tkm']]],0)</f>
        <v>0</v>
      </c>
      <c r="L623" s="133">
        <f>Inschrijf_Transport_Totaal[[#This Row],[Emissieloos Transport]]+Inschrijf_Transport_Totaal[[#This Row],[Emissieloos Transport Vervangingen]]</f>
        <v>0</v>
      </c>
      <c r="M623" s="133">
        <f>(Inschrijf_Transport_Totaal[[#This Row],[Transport naar bouwplaats '[tkm']]]+Inschrijf_Transport_Totaal[[#This Row],[Transport naar verwerker '[tkm']]]+Inschrijf_Transport_Totaal[[#This Row],[Transport naar bouwplaats Vervangingen '[tkm']]]+Inschrijf_Transport_Totaal[[#This Row],[Transport naar verwerker Vervangingen '[tkm']]])-Inschrijf_Transport_Totaal[[#This Row],[Totaal Emissieloos Transport]]</f>
        <v>0</v>
      </c>
      <c r="N623" s="133">
        <f>Inschrijf_Transport_Totaal[[#This Row],[Totaal Emissieloos Transport]]+Inschrijf_Transport_Totaal[[#This Row],[Totaal Niet Emissieloos Transport]]</f>
        <v>0</v>
      </c>
    </row>
    <row r="624" spans="2:14">
      <c r="B624" s="209">
        <f>Optimalisatie!B101</f>
        <v>0</v>
      </c>
      <c r="C624" s="51">
        <f>Optimalisatie!F101</f>
        <v>0</v>
      </c>
      <c r="D624" s="93">
        <f>(IF(Optimalisatie!C101="Nieuwe Situatie",(Optimalisatie!U101),0)*Optimalisatie!R101)</f>
        <v>0</v>
      </c>
      <c r="E624" s="98">
        <f>(IF(Optimalisatie!C101="Bestaande Situatie",(Optimalisatie!AE101),0)*Optimalisatie!R101)</f>
        <v>0</v>
      </c>
      <c r="F624" s="94" t="str">
        <f>_xlfn.IFNA(VLOOKUP(Optimalisatie!V101,Database_Transport[],60,FALSE),"Nee")</f>
        <v>Nee</v>
      </c>
      <c r="G624" s="94" t="str">
        <f>_xlfn.IFNA(VLOOKUP(Optimalisatie!AF101,Database_Transport[],60,FALSE),"Nee")</f>
        <v>Nee</v>
      </c>
      <c r="H624" s="133">
        <f>IF(Inschrijf_Transport_Totaal[[#This Row],[Emissieloos Transport naar bouwplaats?]]="JA",Inschrijf_Transport_Totaal[[#This Row],[Transport naar bouwplaats '[tkm']]],0)+IF(Inschrijf_Transport_Totaal[[#This Row],[Emissieloos Transport naar verwerker?]]="JA",Inschrijf_Transport_Totaal[[#This Row],[Transport naar verwerker '[tkm']]],0)</f>
        <v>0</v>
      </c>
      <c r="I624" s="133">
        <f>(IF(Optimalisatie!C101="Nieuwe Situatie",(Optimalisatie!U101),0)*Optimalisatie!R101)*Optimalisatie!T101</f>
        <v>0</v>
      </c>
      <c r="J624" s="133">
        <f>(IF(Optimalisatie!C101="Nieuwe Situatie",(Optimalisatie!AE101),(Optimalisatie!AE101))*Optimalisatie!R101)*Optimalisatie!T101</f>
        <v>0</v>
      </c>
      <c r="K624" s="133">
        <f>IF(Inschrijf_Transport_Totaal[[#This Row],[Emissieloos Transport naar bouwplaats?]]="JA",Inschrijf_Transport_Totaal[[#This Row],[Transport naar bouwplaats Vervangingen '[tkm']]],0)+IF(Inschrijf_Transport_Totaal[[#This Row],[Emissieloos Transport naar verwerker?]]="JA",Inschrijf_Transport_Totaal[[#This Row],[Transport naar verwerker Vervangingen '[tkm']]],0)</f>
        <v>0</v>
      </c>
      <c r="L624" s="133">
        <f>Inschrijf_Transport_Totaal[[#This Row],[Emissieloos Transport]]+Inschrijf_Transport_Totaal[[#This Row],[Emissieloos Transport Vervangingen]]</f>
        <v>0</v>
      </c>
      <c r="M624" s="133">
        <f>(Inschrijf_Transport_Totaal[[#This Row],[Transport naar bouwplaats '[tkm']]]+Inschrijf_Transport_Totaal[[#This Row],[Transport naar verwerker '[tkm']]]+Inschrijf_Transport_Totaal[[#This Row],[Transport naar bouwplaats Vervangingen '[tkm']]]+Inschrijf_Transport_Totaal[[#This Row],[Transport naar verwerker Vervangingen '[tkm']]])-Inschrijf_Transport_Totaal[[#This Row],[Totaal Emissieloos Transport]]</f>
        <v>0</v>
      </c>
      <c r="N624" s="133">
        <f>Inschrijf_Transport_Totaal[[#This Row],[Totaal Emissieloos Transport]]+Inschrijf_Transport_Totaal[[#This Row],[Totaal Niet Emissieloos Transport]]</f>
        <v>0</v>
      </c>
    </row>
    <row r="625" spans="2:21">
      <c r="B625" s="209">
        <f>Optimalisatie!B102</f>
        <v>0</v>
      </c>
      <c r="C625" s="51">
        <f>Optimalisatie!F102</f>
        <v>0</v>
      </c>
      <c r="D625" s="93">
        <f>(IF(Optimalisatie!C102="Nieuwe Situatie",(Optimalisatie!U102),0)*Optimalisatie!R102)</f>
        <v>0</v>
      </c>
      <c r="E625" s="98">
        <f>(IF(Optimalisatie!C102="Bestaande Situatie",(Optimalisatie!AE102),0)*Optimalisatie!R102)</f>
        <v>0</v>
      </c>
      <c r="F625" s="94" t="str">
        <f>_xlfn.IFNA(VLOOKUP(Optimalisatie!V102,Database_Transport[],60,FALSE),"Nee")</f>
        <v>Nee</v>
      </c>
      <c r="G625" s="94" t="str">
        <f>_xlfn.IFNA(VLOOKUP(Optimalisatie!AF102,Database_Transport[],60,FALSE),"Nee")</f>
        <v>Nee</v>
      </c>
      <c r="H625" s="133">
        <f>IF(Inschrijf_Transport_Totaal[[#This Row],[Emissieloos Transport naar bouwplaats?]]="JA",Inschrijf_Transport_Totaal[[#This Row],[Transport naar bouwplaats '[tkm']]],0)+IF(Inschrijf_Transport_Totaal[[#This Row],[Emissieloos Transport naar verwerker?]]="JA",Inschrijf_Transport_Totaal[[#This Row],[Transport naar verwerker '[tkm']]],0)</f>
        <v>0</v>
      </c>
      <c r="I625" s="133">
        <f>(IF(Optimalisatie!C102="Nieuwe Situatie",(Optimalisatie!U102),0)*Optimalisatie!R102)*Optimalisatie!T102</f>
        <v>0</v>
      </c>
      <c r="J625" s="133">
        <f>(IF(Optimalisatie!C102="Nieuwe Situatie",(Optimalisatie!AE102),(Optimalisatie!AE102))*Optimalisatie!R102)*Optimalisatie!T102</f>
        <v>0</v>
      </c>
      <c r="K625" s="133">
        <f>IF(Inschrijf_Transport_Totaal[[#This Row],[Emissieloos Transport naar bouwplaats?]]="JA",Inschrijf_Transport_Totaal[[#This Row],[Transport naar bouwplaats Vervangingen '[tkm']]],0)+IF(Inschrijf_Transport_Totaal[[#This Row],[Emissieloos Transport naar verwerker?]]="JA",Inschrijf_Transport_Totaal[[#This Row],[Transport naar verwerker Vervangingen '[tkm']]],0)</f>
        <v>0</v>
      </c>
      <c r="L625" s="133">
        <f>Inschrijf_Transport_Totaal[[#This Row],[Emissieloos Transport]]+Inschrijf_Transport_Totaal[[#This Row],[Emissieloos Transport Vervangingen]]</f>
        <v>0</v>
      </c>
      <c r="M625" s="133">
        <f>(Inschrijf_Transport_Totaal[[#This Row],[Transport naar bouwplaats '[tkm']]]+Inschrijf_Transport_Totaal[[#This Row],[Transport naar verwerker '[tkm']]]+Inschrijf_Transport_Totaal[[#This Row],[Transport naar bouwplaats Vervangingen '[tkm']]]+Inschrijf_Transport_Totaal[[#This Row],[Transport naar verwerker Vervangingen '[tkm']]])-Inschrijf_Transport_Totaal[[#This Row],[Totaal Emissieloos Transport]]</f>
        <v>0</v>
      </c>
      <c r="N625" s="133">
        <f>Inschrijf_Transport_Totaal[[#This Row],[Totaal Emissieloos Transport]]+Inschrijf_Transport_Totaal[[#This Row],[Totaal Niet Emissieloos Transport]]</f>
        <v>0</v>
      </c>
    </row>
    <row r="626" spans="2:21">
      <c r="B626" s="209">
        <f>Optimalisatie!B103</f>
        <v>0</v>
      </c>
      <c r="C626" s="51">
        <f>Optimalisatie!F103</f>
        <v>0</v>
      </c>
      <c r="D626" s="93">
        <f>(IF(Optimalisatie!C103="Nieuwe Situatie",(Optimalisatie!U103),0)*Optimalisatie!R103)</f>
        <v>0</v>
      </c>
      <c r="E626" s="98">
        <f>(IF(Optimalisatie!C103="Bestaande Situatie",(Optimalisatie!AE103),0)*Optimalisatie!R103)</f>
        <v>0</v>
      </c>
      <c r="F626" s="94" t="str">
        <f>_xlfn.IFNA(VLOOKUP(Optimalisatie!V103,Database_Transport[],60,FALSE),"Nee")</f>
        <v>Nee</v>
      </c>
      <c r="G626" s="94" t="str">
        <f>_xlfn.IFNA(VLOOKUP(Optimalisatie!AF103,Database_Transport[],60,FALSE),"Nee")</f>
        <v>Nee</v>
      </c>
      <c r="H626" s="133">
        <f>IF(Inschrijf_Transport_Totaal[[#This Row],[Emissieloos Transport naar bouwplaats?]]="JA",Inschrijf_Transport_Totaal[[#This Row],[Transport naar bouwplaats '[tkm']]],0)+IF(Inschrijf_Transport_Totaal[[#This Row],[Emissieloos Transport naar verwerker?]]="JA",Inschrijf_Transport_Totaal[[#This Row],[Transport naar verwerker '[tkm']]],0)</f>
        <v>0</v>
      </c>
      <c r="I626" s="133">
        <f>(IF(Optimalisatie!C103="Nieuwe Situatie",(Optimalisatie!U103),0)*Optimalisatie!R103)*Optimalisatie!T103</f>
        <v>0</v>
      </c>
      <c r="J626" s="133">
        <f>(IF(Optimalisatie!C103="Nieuwe Situatie",(Optimalisatie!AE103),(Optimalisatie!AE103))*Optimalisatie!R103)*Optimalisatie!T103</f>
        <v>0</v>
      </c>
      <c r="K626" s="133">
        <f>IF(Inschrijf_Transport_Totaal[[#This Row],[Emissieloos Transport naar bouwplaats?]]="JA",Inschrijf_Transport_Totaal[[#This Row],[Transport naar bouwplaats Vervangingen '[tkm']]],0)+IF(Inschrijf_Transport_Totaal[[#This Row],[Emissieloos Transport naar verwerker?]]="JA",Inschrijf_Transport_Totaal[[#This Row],[Transport naar verwerker Vervangingen '[tkm']]],0)</f>
        <v>0</v>
      </c>
      <c r="L626" s="133">
        <f>Inschrijf_Transport_Totaal[[#This Row],[Emissieloos Transport]]+Inschrijf_Transport_Totaal[[#This Row],[Emissieloos Transport Vervangingen]]</f>
        <v>0</v>
      </c>
      <c r="M626" s="133">
        <f>(Inschrijf_Transport_Totaal[[#This Row],[Transport naar bouwplaats '[tkm']]]+Inschrijf_Transport_Totaal[[#This Row],[Transport naar verwerker '[tkm']]]+Inschrijf_Transport_Totaal[[#This Row],[Transport naar bouwplaats Vervangingen '[tkm']]]+Inschrijf_Transport_Totaal[[#This Row],[Transport naar verwerker Vervangingen '[tkm']]])-Inschrijf_Transport_Totaal[[#This Row],[Totaal Emissieloos Transport]]</f>
        <v>0</v>
      </c>
      <c r="N626" s="133">
        <f>Inschrijf_Transport_Totaal[[#This Row],[Totaal Emissieloos Transport]]+Inschrijf_Transport_Totaal[[#This Row],[Totaal Niet Emissieloos Transport]]</f>
        <v>0</v>
      </c>
    </row>
    <row r="627" spans="2:21">
      <c r="B627" s="209">
        <f>Optimalisatie!B104</f>
        <v>0</v>
      </c>
      <c r="C627" s="51">
        <f>Optimalisatie!F104</f>
        <v>0</v>
      </c>
      <c r="D627" s="93">
        <f>(IF(Optimalisatie!C104="Nieuwe Situatie",(Optimalisatie!U104),0)*Optimalisatie!R104)</f>
        <v>0</v>
      </c>
      <c r="E627" s="98">
        <f>(IF(Optimalisatie!C104="Bestaande Situatie",(Optimalisatie!AE104),0)*Optimalisatie!R104)</f>
        <v>0</v>
      </c>
      <c r="F627" s="94" t="str">
        <f>_xlfn.IFNA(VLOOKUP(Optimalisatie!V104,Database_Transport[],60,FALSE),"Nee")</f>
        <v>Nee</v>
      </c>
      <c r="G627" s="94" t="str">
        <f>_xlfn.IFNA(VLOOKUP(Optimalisatie!AF104,Database_Transport[],60,FALSE),"Nee")</f>
        <v>Nee</v>
      </c>
      <c r="H627" s="133">
        <f>IF(Inschrijf_Transport_Totaal[[#This Row],[Emissieloos Transport naar bouwplaats?]]="JA",Inschrijf_Transport_Totaal[[#This Row],[Transport naar bouwplaats '[tkm']]],0)+IF(Inschrijf_Transport_Totaal[[#This Row],[Emissieloos Transport naar verwerker?]]="JA",Inschrijf_Transport_Totaal[[#This Row],[Transport naar verwerker '[tkm']]],0)</f>
        <v>0</v>
      </c>
      <c r="I627" s="133">
        <f>(IF(Optimalisatie!C104="Nieuwe Situatie",(Optimalisatie!U104),0)*Optimalisatie!R104)*Optimalisatie!T104</f>
        <v>0</v>
      </c>
      <c r="J627" s="133">
        <f>(IF(Optimalisatie!C104="Nieuwe Situatie",(Optimalisatie!AE104),(Optimalisatie!AE104))*Optimalisatie!R104)*Optimalisatie!T104</f>
        <v>0</v>
      </c>
      <c r="K627" s="133">
        <f>IF(Inschrijf_Transport_Totaal[[#This Row],[Emissieloos Transport naar bouwplaats?]]="JA",Inschrijf_Transport_Totaal[[#This Row],[Transport naar bouwplaats Vervangingen '[tkm']]],0)+IF(Inschrijf_Transport_Totaal[[#This Row],[Emissieloos Transport naar verwerker?]]="JA",Inschrijf_Transport_Totaal[[#This Row],[Transport naar verwerker Vervangingen '[tkm']]],0)</f>
        <v>0</v>
      </c>
      <c r="L627" s="133">
        <f>Inschrijf_Transport_Totaal[[#This Row],[Emissieloos Transport]]+Inschrijf_Transport_Totaal[[#This Row],[Emissieloos Transport Vervangingen]]</f>
        <v>0</v>
      </c>
      <c r="M627" s="133">
        <f>(Inschrijf_Transport_Totaal[[#This Row],[Transport naar bouwplaats '[tkm']]]+Inschrijf_Transport_Totaal[[#This Row],[Transport naar verwerker '[tkm']]]+Inschrijf_Transport_Totaal[[#This Row],[Transport naar bouwplaats Vervangingen '[tkm']]]+Inschrijf_Transport_Totaal[[#This Row],[Transport naar verwerker Vervangingen '[tkm']]])-Inschrijf_Transport_Totaal[[#This Row],[Totaal Emissieloos Transport]]</f>
        <v>0</v>
      </c>
      <c r="N627" s="133">
        <f>Inschrijf_Transport_Totaal[[#This Row],[Totaal Emissieloos Transport]]+Inschrijf_Transport_Totaal[[#This Row],[Totaal Niet Emissieloos Transport]]</f>
        <v>0</v>
      </c>
    </row>
    <row r="628" spans="2:21" ht="15.75" thickBot="1">
      <c r="B628" s="209">
        <f>Optimalisatie!B105</f>
        <v>0</v>
      </c>
      <c r="C628" s="51">
        <f>Optimalisatie!F105</f>
        <v>0</v>
      </c>
      <c r="D628" s="93">
        <f>(IF(Optimalisatie!C105="Nieuwe Situatie",(Optimalisatie!U105),0)*Optimalisatie!R105)</f>
        <v>0</v>
      </c>
      <c r="E628" s="98">
        <f>(IF(Optimalisatie!C105="Bestaande Situatie",(Optimalisatie!AE105),0)*Optimalisatie!R105)</f>
        <v>0</v>
      </c>
      <c r="F628" s="94" t="str">
        <f>_xlfn.IFNA(VLOOKUP(Optimalisatie!V105,Database_Transport[],60,FALSE),"Nee")</f>
        <v>Nee</v>
      </c>
      <c r="G628" s="94" t="str">
        <f>_xlfn.IFNA(VLOOKUP(Optimalisatie!AF105,Database_Transport[],60,FALSE),"Nee")</f>
        <v>Nee</v>
      </c>
      <c r="H628" s="133">
        <f>IF(Inschrijf_Transport_Totaal[[#This Row],[Emissieloos Transport naar bouwplaats?]]="JA",Inschrijf_Transport_Totaal[[#This Row],[Transport naar bouwplaats '[tkm']]],0)+IF(Inschrijf_Transport_Totaal[[#This Row],[Emissieloos Transport naar verwerker?]]="JA",Inschrijf_Transport_Totaal[[#This Row],[Transport naar verwerker '[tkm']]],0)</f>
        <v>0</v>
      </c>
      <c r="I628" s="133">
        <f>(IF(Optimalisatie!C105="Nieuwe Situatie",(Optimalisatie!U105),0)*Optimalisatie!R105)*Optimalisatie!T105</f>
        <v>0</v>
      </c>
      <c r="J628" s="133">
        <f>(IF(Optimalisatie!C105="Nieuwe Situatie",(Optimalisatie!AE105),(Optimalisatie!AE105))*Optimalisatie!R105)*Optimalisatie!T105</f>
        <v>0</v>
      </c>
      <c r="K628" s="133">
        <f>IF(Inschrijf_Transport_Totaal[[#This Row],[Emissieloos Transport naar bouwplaats?]]="JA",Inschrijf_Transport_Totaal[[#This Row],[Transport naar bouwplaats Vervangingen '[tkm']]],0)+IF(Inschrijf_Transport_Totaal[[#This Row],[Emissieloos Transport naar verwerker?]]="JA",Inschrijf_Transport_Totaal[[#This Row],[Transport naar verwerker Vervangingen '[tkm']]],0)</f>
        <v>0</v>
      </c>
      <c r="L628" s="133">
        <f>Inschrijf_Transport_Totaal[[#This Row],[Emissieloos Transport]]+Inschrijf_Transport_Totaal[[#This Row],[Emissieloos Transport Vervangingen]]</f>
        <v>0</v>
      </c>
      <c r="M628" s="133">
        <f>(Inschrijf_Transport_Totaal[[#This Row],[Transport naar bouwplaats '[tkm']]]+Inschrijf_Transport_Totaal[[#This Row],[Transport naar verwerker '[tkm']]]+Inschrijf_Transport_Totaal[[#This Row],[Transport naar bouwplaats Vervangingen '[tkm']]]+Inschrijf_Transport_Totaal[[#This Row],[Transport naar verwerker Vervangingen '[tkm']]])-Inschrijf_Transport_Totaal[[#This Row],[Totaal Emissieloos Transport]]</f>
        <v>0</v>
      </c>
      <c r="N628" s="133">
        <f>Inschrijf_Transport_Totaal[[#This Row],[Totaal Emissieloos Transport]]+Inschrijf_Transport_Totaal[[#This Row],[Totaal Niet Emissieloos Transport]]</f>
        <v>0</v>
      </c>
    </row>
    <row r="629" spans="2:21" ht="15.75" thickTop="1">
      <c r="B629" s="52" t="s">
        <v>90</v>
      </c>
      <c r="C629" s="53"/>
      <c r="D629" s="80">
        <f>SUBTOTAL(109,Inschrijf_Transport_Totaal[Transport naar bouwplaats '[tkm']])</f>
        <v>652914.80724999995</v>
      </c>
      <c r="E629" s="80">
        <f>SUBTOTAL(109,Inschrijf_Transport_Totaal[Transport naar verwerker '[tkm']])</f>
        <v>693329.14359999995</v>
      </c>
      <c r="F629" s="80">
        <f>SUBTOTAL(109,Inschrijf_Transport_Totaal[Emissieloos Transport naar bouwplaats?])</f>
        <v>0</v>
      </c>
      <c r="G629" s="80">
        <f>SUBTOTAL(109,Inschrijf_Transport_Totaal[Emissieloos Transport naar verwerker?])</f>
        <v>0</v>
      </c>
      <c r="H629" s="131">
        <f>SUBTOTAL(109,Inschrijf_Transport_Totaal[Emissieloos Transport])</f>
        <v>0</v>
      </c>
      <c r="I629" s="131">
        <f>SUBTOTAL(109,Inschrijf_Transport_Totaal[Transport naar bouwplaats Vervangingen '[tkm']])</f>
        <v>0</v>
      </c>
      <c r="J629" s="80">
        <f>SUBTOTAL(109,Inschrijf_Transport_Totaal[Transport naar verwerker Vervangingen '[tkm']])</f>
        <v>0</v>
      </c>
      <c r="K629" s="131">
        <f>SUBTOTAL(109,Inschrijf_Transport_Totaal[Emissieloos Transport Vervangingen])</f>
        <v>0</v>
      </c>
      <c r="L629" s="131">
        <f>SUBTOTAL(109,Inschrijf_Transport_Totaal[Totaal Emissieloos Transport])</f>
        <v>0</v>
      </c>
      <c r="M629" s="131">
        <f>SUBTOTAL(109,Inschrijf_Transport_Totaal[Totaal Niet Emissieloos Transport])</f>
        <v>1346243.9508499999</v>
      </c>
      <c r="N629" s="131">
        <f>SUBTOTAL(109,Inschrijf_Transport_Totaal[Totaal Transport])</f>
        <v>1346243.9508499999</v>
      </c>
    </row>
    <row r="632" spans="2:21" ht="18">
      <c r="B632" s="110" t="s">
        <v>136</v>
      </c>
      <c r="C632" s="110"/>
      <c r="D632" s="110"/>
      <c r="E632" s="13"/>
      <c r="F632" s="13"/>
      <c r="G632" s="13"/>
      <c r="H632" s="13"/>
    </row>
    <row r="633" spans="2:21" ht="15.75" thickBot="1">
      <c r="B633" s="49" t="s">
        <v>214</v>
      </c>
      <c r="C633" s="50" t="s">
        <v>7</v>
      </c>
      <c r="D633" s="58" t="s">
        <v>295</v>
      </c>
      <c r="E633" s="59" t="s">
        <v>296</v>
      </c>
      <c r="F633" s="59" t="s">
        <v>297</v>
      </c>
      <c r="G633" s="59" t="s">
        <v>298</v>
      </c>
      <c r="H633" s="59" t="s">
        <v>299</v>
      </c>
      <c r="I633" s="59" t="s">
        <v>139</v>
      </c>
      <c r="J633" s="59" t="s">
        <v>300</v>
      </c>
      <c r="K633" s="59" t="s">
        <v>140</v>
      </c>
      <c r="L633" s="59" t="s">
        <v>141</v>
      </c>
      <c r="M633" s="58" t="s">
        <v>301</v>
      </c>
      <c r="N633" s="59" t="s">
        <v>302</v>
      </c>
      <c r="O633" s="59" t="s">
        <v>303</v>
      </c>
      <c r="P633" s="59" t="s">
        <v>304</v>
      </c>
      <c r="Q633" s="129" t="s">
        <v>144</v>
      </c>
      <c r="R633" s="145" t="s">
        <v>145</v>
      </c>
      <c r="S633" s="145" t="s">
        <v>146</v>
      </c>
      <c r="T633" s="145" t="s">
        <v>147</v>
      </c>
      <c r="U633" s="334"/>
    </row>
    <row r="634" spans="2:21" ht="15.75" thickTop="1">
      <c r="B634" s="209" t="str">
        <f>Optimalisatie!B6</f>
        <v xml:space="preserve">121110 - Opbreken trottoirband </v>
      </c>
      <c r="C634" s="51" t="str">
        <f>Optimalisatie!F6</f>
        <v>Trottoirband 130/150x250</v>
      </c>
      <c r="D634" s="134">
        <f>_xlfn.IFNA(IF(Optimalisatie!C6="Nieuwe situatie",(Optimalisatie!R6/(VLOOKUP(Optimalisatie!W6,Database_Asfalt_Aanlegset[#All],60,FALSE)/8)),0),0)</f>
        <v>0</v>
      </c>
      <c r="E634" s="135">
        <f>IFERROR(IF(Optimalisatie!C6="Nieuwe situatie",Optimalisatie!J6/Optimalisatie!Z6,0),0)</f>
        <v>0</v>
      </c>
      <c r="F634" s="135">
        <f>_xlfn.IFNA(IF(Optimalisatie!C6="Bestaande situatie",Optimalisatie!R6/(VLOOKUP(Optimalisatie!AA6,Database_Asfalt_Verwijderset[#All],60,FALSE)/8),0),0)</f>
        <v>0</v>
      </c>
      <c r="G634" s="138">
        <f>IFERROR(IF(Optimalisatie!C6="Bestaande situatie",Optimalisatie!J6/Optimalisatie!AD6,0),0)</f>
        <v>63.7</v>
      </c>
      <c r="H634" s="94" t="str">
        <f>_xlfn.IFNA((VLOOKUP(Optimalisatie!W6,Database_Asfalt_Aanlegset[],61,FALSE)),"Nee")</f>
        <v>Nee</v>
      </c>
      <c r="I634" s="94" t="str">
        <f>_xlfn.IFNA((VLOOKUP(Optimalisatie!X6,Database_Brandstoffen[],60,FALSE)),"Nee")</f>
        <v>Nee</v>
      </c>
      <c r="J634" s="94" t="str">
        <f>_xlfn.IFNA((VLOOKUP(Optimalisatie!AA6,Database_Asfalt_Verwijderset[],61,FALSE)),"Nee")</f>
        <v>Nee</v>
      </c>
      <c r="K634" s="120" t="str">
        <f>_xlfn.IFNA((VLOOKUP(Optimalisatie!AB6,Database_Brandstoffen[],60,FALSE)),"Nee")</f>
        <v>Nee</v>
      </c>
      <c r="L634" s="132">
        <f>IF(Inschrijf_Bouwplaats_Totaal[[#This Row],[Emissieloos Asfalt Aanlegset]]="JA",Inschrijf_Bouwplaats_Totaal[[#This Row],[Draaiuren Bouw Asfalt]],0)+IF(Inschrijf_Bouwplaats_Totaal[[#This Row],[Emissieloos Bouwmaterieel]]="JA",Inschrijf_Bouwplaats_Totaal[[#This Row],[Draaiuren Bouw Overig]],0)+IF(Inschrijf_Bouwplaats_Totaal[[#This Row],[Emissieloos Asfalt Verwijderset]]="JA",Inschrijf_Bouwplaats_Totaal[[#This Row],[Draaiuren Verwijder Asfalt]],0)+IF(Inschrijf_Bouwplaats_Totaal[[#This Row],[Emissieloos Sloopmaterieel]]="JA",Inschrijf_Bouwplaats_Totaal[[#This Row],[Draaiuren Verwijder Overig]],0)</f>
        <v>0</v>
      </c>
      <c r="M634" s="139">
        <f>_xlfn.IFNA(IF(Optimalisatie!C6="Nieuwe situatie",(Optimalisatie!R6/(VLOOKUP(Optimalisatie!W6,Database_Asfalt_Aanlegset[#All],60,FALSE)/8)),0),0)*Optimalisatie!T6</f>
        <v>0</v>
      </c>
      <c r="N634" s="139">
        <f>_xlfn.IFNA(IF(Optimalisatie!C6="Nieuwe situatie",Optimalisatie!S6/VLOOKUP(Optimalisatie!X6,Database_Overig_Materieel[#All],8,FALSE),0),0)*Optimalisatie!T6</f>
        <v>0</v>
      </c>
      <c r="O634" s="139">
        <f>_xlfn.IFNA(IF(Optimalisatie!C6="Bestaande situatie",Optimalisatie!R6/(VLOOKUP(Optimalisatie!AA6,Database_Asfalt_Verwijderset[#All],60,FALSE)/8),0),0)*Optimalisatie!T6</f>
        <v>0</v>
      </c>
      <c r="P634" s="139">
        <f>_xlfn.IFNA(IF(Optimalisatie!C6="Bestaande situatie",Optimalisatie!S6/VLOOKUP(Optimalisatie!AB6,Database_Overig_Materieel[#All],8,FALSE),0),0)*Optimalisatie!T6</f>
        <v>0</v>
      </c>
      <c r="Q634" s="139">
        <f>IF(Inschrijf_Bouwplaats_Totaal[[#This Row],[Emissieloos Asfalt Aanlegset]]="JA",Inschrijf_Bouwplaats_Totaal[[#This Row],[Draaiuren Bouw Asfalt Vervangingen]],0)+IF(Inschrijf_Bouwplaats_Totaal[[#This Row],[Emissieloos Bouwmaterieel]]="JA",Inschrijf_Bouwplaats_Totaal[[#This Row],[Draaiuren Bouw Overig Vervangingen]],0)+IF(Inschrijf_Bouwplaats_Totaal[[#This Row],[Emissieloos Asfalt Verwijderset]]="JA",Inschrijf_Bouwplaats_Totaal[[#This Row],[Draaiuren Verwijder Asfalt Vervangingen]],0)+IF(Inschrijf_Bouwplaats_Totaal[[#This Row],[Emissieloos Sloopmaterieel]]="JA",Inschrijf_Bouwplaats_Totaal[[#This Row],[Draaiuren Verwijder Overig Vervangingen]],0)</f>
        <v>0</v>
      </c>
      <c r="R634" s="139">
        <f>Inschrijf_Bouwplaats_Totaal[[#This Row],[Emissieloos bouwplaats]]+Inschrijf_Bouwplaats_Totaal[[#This Row],[Emissieloos bouwplaats Vervangingen]]</f>
        <v>0</v>
      </c>
      <c r="S634" s="139">
        <f>(Inschrijf_Bouwplaats_Totaal[[#This Row],[Draaiuren Bouw Asfalt]]+Inschrijf_Bouwplaats_Totaal[[#This Row],[Draaiuren Bouw Overig]]+Inschrijf_Bouwplaats_Totaal[[#This Row],[Draaiuren Verwijder Asfalt]]+Inschrijf_Bouwplaats_Totaal[[#This Row],[Draaiuren Verwijder Overig]]+Inschrijf_Bouwplaats_Totaal[[#This Row],[Draaiuren Bouw Asfalt Vervangingen]]+Inschrijf_Bouwplaats_Totaal[[#This Row],[Draaiuren Bouw Overig Vervangingen]]+Inschrijf_Bouwplaats_Totaal[[#This Row],[Draaiuren Verwijder Asfalt Vervangingen]]+Inschrijf_Bouwplaats_Totaal[[#This Row],[Draaiuren Verwijder Overig Vervangingen]])-Inschrijf_Bouwplaats_Totaal[[#This Row],[Totaal Emissieloos Bouwplaats]]</f>
        <v>63.7</v>
      </c>
      <c r="T634" s="139">
        <f>Inschrijf_Bouwplaats_Totaal[[#This Row],[Totaal Emissieloos Bouwplaats]]+Inschrijf_Bouwplaats_Totaal[[#This Row],[Totaal Niet Emissieloos Bouwplaats]]</f>
        <v>63.7</v>
      </c>
      <c r="U634" s="335"/>
    </row>
    <row r="635" spans="2:21">
      <c r="B635" s="209" t="str">
        <f>Optimalisatie!B7</f>
        <v>121120 - Opbreken RWS band</v>
      </c>
      <c r="C635" s="51" t="str">
        <f>Optimalisatie!F7</f>
        <v>RWSband 115/225x250</v>
      </c>
      <c r="D635" s="134">
        <f>_xlfn.IFNA(IF(Optimalisatie!C7="Nieuwe situatie",(Optimalisatie!R7/(VLOOKUP(Optimalisatie!W7,Database_Asfalt_Aanlegset[#All],60,FALSE)/8)),0),0)</f>
        <v>0</v>
      </c>
      <c r="E635" s="135">
        <f>IFERROR(IF(Optimalisatie!C7="Nieuwe situatie",Optimalisatie!J7/Optimalisatie!Z7,0),0)</f>
        <v>0</v>
      </c>
      <c r="F635" s="135">
        <f>_xlfn.IFNA(IF(Optimalisatie!C7="Bestaande situatie",Optimalisatie!R7/(VLOOKUP(Optimalisatie!AA7,Database_Asfalt_Verwijderset[#All],60,FALSE)/8),0),0)</f>
        <v>0</v>
      </c>
      <c r="G635" s="138">
        <f>IFERROR(IF(Optimalisatie!C7="Bestaande situatie",Optimalisatie!J7/Optimalisatie!AD7,0),0)</f>
        <v>6.7</v>
      </c>
      <c r="H635" s="94" t="str">
        <f>_xlfn.IFNA((VLOOKUP(Optimalisatie!W7,Database_Asfalt_Aanlegset[],61,FALSE)),"Nee")</f>
        <v>Nee</v>
      </c>
      <c r="I635" s="94" t="str">
        <f>_xlfn.IFNA((VLOOKUP(Optimalisatie!X7,Database_Brandstoffen[],60,FALSE)),"Nee")</f>
        <v>Nee</v>
      </c>
      <c r="J635" s="94" t="str">
        <f>_xlfn.IFNA((VLOOKUP(Optimalisatie!AA7,Database_Asfalt_Verwijderset[],61,FALSE)),"Nee")</f>
        <v>Nee</v>
      </c>
      <c r="K635" s="120" t="str">
        <f>_xlfn.IFNA((VLOOKUP(Optimalisatie!AB7,Database_Brandstoffen[],60,FALSE)),"Nee")</f>
        <v>Nee</v>
      </c>
      <c r="L635" s="132">
        <f>IF(Inschrijf_Bouwplaats_Totaal[[#This Row],[Emissieloos Asfalt Aanlegset]]="JA",Inschrijf_Bouwplaats_Totaal[[#This Row],[Draaiuren Bouw Asfalt]],0)+IF(Inschrijf_Bouwplaats_Totaal[[#This Row],[Emissieloos Bouwmaterieel]]="JA",Inschrijf_Bouwplaats_Totaal[[#This Row],[Draaiuren Bouw Overig]],0)+IF(Inschrijf_Bouwplaats_Totaal[[#This Row],[Emissieloos Asfalt Verwijderset]]="JA",Inschrijf_Bouwplaats_Totaal[[#This Row],[Draaiuren Verwijder Asfalt]],0)+IF(Inschrijf_Bouwplaats_Totaal[[#This Row],[Emissieloos Sloopmaterieel]]="JA",Inschrijf_Bouwplaats_Totaal[[#This Row],[Draaiuren Verwijder Overig]],0)</f>
        <v>0</v>
      </c>
      <c r="M635" s="139">
        <f>_xlfn.IFNA(IF(Optimalisatie!C7="Nieuwe situatie",(Optimalisatie!R7/(VLOOKUP(Optimalisatie!W7,Database_Asfalt_Aanlegset[#All],60,FALSE)/8)),0),0)*Optimalisatie!T7</f>
        <v>0</v>
      </c>
      <c r="N635" s="139">
        <f>_xlfn.IFNA(IF(Optimalisatie!C7="Nieuwe situatie",Optimalisatie!S7/VLOOKUP(Optimalisatie!X7,Database_Overig_Materieel[#All],8,FALSE),0),0)*Optimalisatie!T7</f>
        <v>0</v>
      </c>
      <c r="O635" s="139">
        <f>_xlfn.IFNA(IF(Optimalisatie!C7="Bestaande situatie",Optimalisatie!R7/(VLOOKUP(Optimalisatie!AA7,Database_Asfalt_Verwijderset[#All],60,FALSE)/8),0),0)*Optimalisatie!T7</f>
        <v>0</v>
      </c>
      <c r="P635" s="139">
        <f>_xlfn.IFNA(IF(Optimalisatie!C7="Bestaande situatie",Optimalisatie!S7/VLOOKUP(Optimalisatie!AB7,Database_Overig_Materieel[#All],8,FALSE),0),0)*Optimalisatie!T7</f>
        <v>0</v>
      </c>
      <c r="Q635" s="139">
        <f>IF(Inschrijf_Bouwplaats_Totaal[[#This Row],[Emissieloos Asfalt Aanlegset]]="JA",Inschrijf_Bouwplaats_Totaal[[#This Row],[Draaiuren Bouw Asfalt Vervangingen]],0)+IF(Inschrijf_Bouwplaats_Totaal[[#This Row],[Emissieloos Bouwmaterieel]]="JA",Inschrijf_Bouwplaats_Totaal[[#This Row],[Draaiuren Bouw Overig Vervangingen]],0)+IF(Inschrijf_Bouwplaats_Totaal[[#This Row],[Emissieloos Asfalt Verwijderset]]="JA",Inschrijf_Bouwplaats_Totaal[[#This Row],[Draaiuren Verwijder Asfalt Vervangingen]],0)+IF(Inschrijf_Bouwplaats_Totaal[[#This Row],[Emissieloos Sloopmaterieel]]="JA",Inschrijf_Bouwplaats_Totaal[[#This Row],[Draaiuren Verwijder Overig Vervangingen]],0)</f>
        <v>0</v>
      </c>
      <c r="R635" s="139">
        <f>Inschrijf_Bouwplaats_Totaal[[#This Row],[Emissieloos bouwplaats]]+Inschrijf_Bouwplaats_Totaal[[#This Row],[Emissieloos bouwplaats Vervangingen]]</f>
        <v>0</v>
      </c>
      <c r="S635" s="139">
        <f>(Inschrijf_Bouwplaats_Totaal[[#This Row],[Draaiuren Bouw Asfalt]]+Inschrijf_Bouwplaats_Totaal[[#This Row],[Draaiuren Bouw Overig]]+Inschrijf_Bouwplaats_Totaal[[#This Row],[Draaiuren Verwijder Asfalt]]+Inschrijf_Bouwplaats_Totaal[[#This Row],[Draaiuren Verwijder Overig]]+Inschrijf_Bouwplaats_Totaal[[#This Row],[Draaiuren Bouw Asfalt Vervangingen]]+Inschrijf_Bouwplaats_Totaal[[#This Row],[Draaiuren Bouw Overig Vervangingen]]+Inschrijf_Bouwplaats_Totaal[[#This Row],[Draaiuren Verwijder Asfalt Vervangingen]]+Inschrijf_Bouwplaats_Totaal[[#This Row],[Draaiuren Verwijder Overig Vervangingen]])-Inschrijf_Bouwplaats_Totaal[[#This Row],[Totaal Emissieloos Bouwplaats]]</f>
        <v>6.7</v>
      </c>
      <c r="T635" s="139">
        <f>Inschrijf_Bouwplaats_Totaal[[#This Row],[Totaal Emissieloos Bouwplaats]]+Inschrijf_Bouwplaats_Totaal[[#This Row],[Totaal Niet Emissieloos Bouwplaats]]</f>
        <v>6.7</v>
      </c>
      <c r="U635" s="335"/>
    </row>
    <row r="636" spans="2:21">
      <c r="B636" s="209" t="str">
        <f>Optimalisatie!B8</f>
        <v>121140 - Opbreken Opsluitband</v>
      </c>
      <c r="C636" s="51" t="str">
        <f>Optimalisatie!F8</f>
        <v>Opsluitband 100x200</v>
      </c>
      <c r="D636" s="134">
        <f>_xlfn.IFNA(IF(Optimalisatie!C8="Nieuwe situatie",(Optimalisatie!R8/(VLOOKUP(Optimalisatie!W8,Database_Asfalt_Aanlegset[#All],60,FALSE)/8)),0),0)</f>
        <v>0</v>
      </c>
      <c r="E636" s="135">
        <f>IFERROR(IF(Optimalisatie!C8="Nieuwe situatie",Optimalisatie!J8/Optimalisatie!Z8,0),0)</f>
        <v>0</v>
      </c>
      <c r="F636" s="135">
        <f>_xlfn.IFNA(IF(Optimalisatie!C8="Bestaande situatie",Optimalisatie!R8/(VLOOKUP(Optimalisatie!AA8,Database_Asfalt_Verwijderset[#All],60,FALSE)/8),0),0)</f>
        <v>0</v>
      </c>
      <c r="G636" s="138">
        <f>IFERROR(IF(Optimalisatie!C8="Bestaande situatie",Optimalisatie!J8/Optimalisatie!AD8,0),0)</f>
        <v>23.2</v>
      </c>
      <c r="H636" s="94" t="str">
        <f>_xlfn.IFNA((VLOOKUP(Optimalisatie!W8,Database_Asfalt_Aanlegset[],61,FALSE)),"Nee")</f>
        <v>Nee</v>
      </c>
      <c r="I636" s="94" t="str">
        <f>_xlfn.IFNA((VLOOKUP(Optimalisatie!X8,Database_Brandstoffen[],60,FALSE)),"Nee")</f>
        <v>Nee</v>
      </c>
      <c r="J636" s="94" t="str">
        <f>_xlfn.IFNA((VLOOKUP(Optimalisatie!AA8,Database_Asfalt_Verwijderset[],61,FALSE)),"Nee")</f>
        <v>Nee</v>
      </c>
      <c r="K636" s="120" t="str">
        <f>_xlfn.IFNA((VLOOKUP(Optimalisatie!AB8,Database_Brandstoffen[],60,FALSE)),"Nee")</f>
        <v>Nee</v>
      </c>
      <c r="L636" s="132">
        <f>IF(Inschrijf_Bouwplaats_Totaal[[#This Row],[Emissieloos Asfalt Aanlegset]]="JA",Inschrijf_Bouwplaats_Totaal[[#This Row],[Draaiuren Bouw Asfalt]],0)+IF(Inschrijf_Bouwplaats_Totaal[[#This Row],[Emissieloos Bouwmaterieel]]="JA",Inschrijf_Bouwplaats_Totaal[[#This Row],[Draaiuren Bouw Overig]],0)+IF(Inschrijf_Bouwplaats_Totaal[[#This Row],[Emissieloos Asfalt Verwijderset]]="JA",Inschrijf_Bouwplaats_Totaal[[#This Row],[Draaiuren Verwijder Asfalt]],0)+IF(Inschrijf_Bouwplaats_Totaal[[#This Row],[Emissieloos Sloopmaterieel]]="JA",Inschrijf_Bouwplaats_Totaal[[#This Row],[Draaiuren Verwijder Overig]],0)</f>
        <v>0</v>
      </c>
      <c r="M636" s="139">
        <f>_xlfn.IFNA(IF(Optimalisatie!C8="Nieuwe situatie",(Optimalisatie!R8/(VLOOKUP(Optimalisatie!W8,Database_Asfalt_Aanlegset[#All],60,FALSE)/8)),0),0)*Optimalisatie!T8</f>
        <v>0</v>
      </c>
      <c r="N636" s="139">
        <f>_xlfn.IFNA(IF(Optimalisatie!C8="Nieuwe situatie",Optimalisatie!S8/VLOOKUP(Optimalisatie!X8,Database_Overig_Materieel[#All],8,FALSE),0),0)*Optimalisatie!T8</f>
        <v>0</v>
      </c>
      <c r="O636" s="139">
        <f>_xlfn.IFNA(IF(Optimalisatie!C8="Bestaande situatie",Optimalisatie!R8/(VLOOKUP(Optimalisatie!AA8,Database_Asfalt_Verwijderset[#All],60,FALSE)/8),0),0)*Optimalisatie!T8</f>
        <v>0</v>
      </c>
      <c r="P636" s="139">
        <f>_xlfn.IFNA(IF(Optimalisatie!C8="Bestaande situatie",Optimalisatie!S8/VLOOKUP(Optimalisatie!AB8,Database_Overig_Materieel[#All],8,FALSE),0),0)*Optimalisatie!T8</f>
        <v>0</v>
      </c>
      <c r="Q636" s="139">
        <f>IF(Inschrijf_Bouwplaats_Totaal[[#This Row],[Emissieloos Asfalt Aanlegset]]="JA",Inschrijf_Bouwplaats_Totaal[[#This Row],[Draaiuren Bouw Asfalt Vervangingen]],0)+IF(Inschrijf_Bouwplaats_Totaal[[#This Row],[Emissieloos Bouwmaterieel]]="JA",Inschrijf_Bouwplaats_Totaal[[#This Row],[Draaiuren Bouw Overig Vervangingen]],0)+IF(Inschrijf_Bouwplaats_Totaal[[#This Row],[Emissieloos Asfalt Verwijderset]]="JA",Inschrijf_Bouwplaats_Totaal[[#This Row],[Draaiuren Verwijder Asfalt Vervangingen]],0)+IF(Inschrijf_Bouwplaats_Totaal[[#This Row],[Emissieloos Sloopmaterieel]]="JA",Inschrijf_Bouwplaats_Totaal[[#This Row],[Draaiuren Verwijder Overig Vervangingen]],0)</f>
        <v>0</v>
      </c>
      <c r="R636" s="139">
        <f>Inschrijf_Bouwplaats_Totaal[[#This Row],[Emissieloos bouwplaats]]+Inschrijf_Bouwplaats_Totaal[[#This Row],[Emissieloos bouwplaats Vervangingen]]</f>
        <v>0</v>
      </c>
      <c r="S636" s="139">
        <f>(Inschrijf_Bouwplaats_Totaal[[#This Row],[Draaiuren Bouw Asfalt]]+Inschrijf_Bouwplaats_Totaal[[#This Row],[Draaiuren Bouw Overig]]+Inschrijf_Bouwplaats_Totaal[[#This Row],[Draaiuren Verwijder Asfalt]]+Inschrijf_Bouwplaats_Totaal[[#This Row],[Draaiuren Verwijder Overig]]+Inschrijf_Bouwplaats_Totaal[[#This Row],[Draaiuren Bouw Asfalt Vervangingen]]+Inschrijf_Bouwplaats_Totaal[[#This Row],[Draaiuren Bouw Overig Vervangingen]]+Inschrijf_Bouwplaats_Totaal[[#This Row],[Draaiuren Verwijder Asfalt Vervangingen]]+Inschrijf_Bouwplaats_Totaal[[#This Row],[Draaiuren Verwijder Overig Vervangingen]])-Inschrijf_Bouwplaats_Totaal[[#This Row],[Totaal Emissieloos Bouwplaats]]</f>
        <v>23.2</v>
      </c>
      <c r="T636" s="139">
        <f>Inschrijf_Bouwplaats_Totaal[[#This Row],[Totaal Emissieloos Bouwplaats]]+Inschrijf_Bouwplaats_Totaal[[#This Row],[Totaal Niet Emissieloos Bouwplaats]]</f>
        <v>23.2</v>
      </c>
      <c r="U636" s="335"/>
    </row>
    <row r="637" spans="2:21">
      <c r="B637" s="209" t="str">
        <f>Optimalisatie!B9</f>
        <v>121310 - Opbreken betonstraatstenen</v>
      </c>
      <c r="C637" s="51" t="str">
        <f>Optimalisatie!F9</f>
        <v>Betonstraatsteen 210x105x80</v>
      </c>
      <c r="D637" s="134">
        <f>_xlfn.IFNA(IF(Optimalisatie!C9="Nieuwe situatie",(Optimalisatie!R9/(VLOOKUP(Optimalisatie!W9,Database_Asfalt_Aanlegset[#All],60,FALSE)/8)),0),0)</f>
        <v>0</v>
      </c>
      <c r="E637" s="135">
        <f>IFERROR(IF(Optimalisatie!C9="Nieuwe situatie",Optimalisatie!J9/Optimalisatie!Z9,0),0)</f>
        <v>0</v>
      </c>
      <c r="F637" s="135">
        <f>_xlfn.IFNA(IF(Optimalisatie!C9="Bestaande situatie",Optimalisatie!R9/(VLOOKUP(Optimalisatie!AA9,Database_Asfalt_Verwijderset[#All],60,FALSE)/8),0),0)</f>
        <v>0</v>
      </c>
      <c r="G637" s="138">
        <f>IFERROR(IF(Optimalisatie!C9="Bestaande situatie",Optimalisatie!J9/Optimalisatie!AD9,0),0)</f>
        <v>32</v>
      </c>
      <c r="H637" s="94" t="str">
        <f>_xlfn.IFNA((VLOOKUP(Optimalisatie!W9,Database_Asfalt_Aanlegset[],61,FALSE)),"Nee")</f>
        <v>Nee</v>
      </c>
      <c r="I637" s="94" t="str">
        <f>_xlfn.IFNA((VLOOKUP(Optimalisatie!X9,Database_Brandstoffen[],60,FALSE)),"Nee")</f>
        <v>Nee</v>
      </c>
      <c r="J637" s="94" t="str">
        <f>_xlfn.IFNA((VLOOKUP(Optimalisatie!AA9,Database_Asfalt_Verwijderset[],61,FALSE)),"Nee")</f>
        <v>Nee</v>
      </c>
      <c r="K637" s="120" t="str">
        <f>_xlfn.IFNA((VLOOKUP(Optimalisatie!AB9,Database_Brandstoffen[],60,FALSE)),"Nee")</f>
        <v>Nee</v>
      </c>
      <c r="L637" s="132">
        <f>IF(Inschrijf_Bouwplaats_Totaal[[#This Row],[Emissieloos Asfalt Aanlegset]]="JA",Inschrijf_Bouwplaats_Totaal[[#This Row],[Draaiuren Bouw Asfalt]],0)+IF(Inschrijf_Bouwplaats_Totaal[[#This Row],[Emissieloos Bouwmaterieel]]="JA",Inschrijf_Bouwplaats_Totaal[[#This Row],[Draaiuren Bouw Overig]],0)+IF(Inschrijf_Bouwplaats_Totaal[[#This Row],[Emissieloos Asfalt Verwijderset]]="JA",Inschrijf_Bouwplaats_Totaal[[#This Row],[Draaiuren Verwijder Asfalt]],0)+IF(Inschrijf_Bouwplaats_Totaal[[#This Row],[Emissieloos Sloopmaterieel]]="JA",Inschrijf_Bouwplaats_Totaal[[#This Row],[Draaiuren Verwijder Overig]],0)</f>
        <v>0</v>
      </c>
      <c r="M637" s="139">
        <f>_xlfn.IFNA(IF(Optimalisatie!C9="Nieuwe situatie",(Optimalisatie!R9/(VLOOKUP(Optimalisatie!W9,Database_Asfalt_Aanlegset[#All],60,FALSE)/8)),0),0)*Optimalisatie!T9</f>
        <v>0</v>
      </c>
      <c r="N637" s="139">
        <f>_xlfn.IFNA(IF(Optimalisatie!C9="Nieuwe situatie",Optimalisatie!S9/VLOOKUP(Optimalisatie!X9,Database_Overig_Materieel[#All],8,FALSE),0),0)*Optimalisatie!T9</f>
        <v>0</v>
      </c>
      <c r="O637" s="139">
        <f>_xlfn.IFNA(IF(Optimalisatie!C9="Bestaande situatie",Optimalisatie!R9/(VLOOKUP(Optimalisatie!AA9,Database_Asfalt_Verwijderset[#All],60,FALSE)/8),0),0)*Optimalisatie!T9</f>
        <v>0</v>
      </c>
      <c r="P637" s="139">
        <f>_xlfn.IFNA(IF(Optimalisatie!C9="Bestaande situatie",Optimalisatie!S9/VLOOKUP(Optimalisatie!AB9,Database_Overig_Materieel[#All],8,FALSE),0),0)*Optimalisatie!T9</f>
        <v>0</v>
      </c>
      <c r="Q637" s="139">
        <f>IF(Inschrijf_Bouwplaats_Totaal[[#This Row],[Emissieloos Asfalt Aanlegset]]="JA",Inschrijf_Bouwplaats_Totaal[[#This Row],[Draaiuren Bouw Asfalt Vervangingen]],0)+IF(Inschrijf_Bouwplaats_Totaal[[#This Row],[Emissieloos Bouwmaterieel]]="JA",Inschrijf_Bouwplaats_Totaal[[#This Row],[Draaiuren Bouw Overig Vervangingen]],0)+IF(Inschrijf_Bouwplaats_Totaal[[#This Row],[Emissieloos Asfalt Verwijderset]]="JA",Inschrijf_Bouwplaats_Totaal[[#This Row],[Draaiuren Verwijder Asfalt Vervangingen]],0)+IF(Inschrijf_Bouwplaats_Totaal[[#This Row],[Emissieloos Sloopmaterieel]]="JA",Inschrijf_Bouwplaats_Totaal[[#This Row],[Draaiuren Verwijder Overig Vervangingen]],0)</f>
        <v>0</v>
      </c>
      <c r="R637" s="139">
        <f>Inschrijf_Bouwplaats_Totaal[[#This Row],[Emissieloos bouwplaats]]+Inschrijf_Bouwplaats_Totaal[[#This Row],[Emissieloos bouwplaats Vervangingen]]</f>
        <v>0</v>
      </c>
      <c r="S637" s="139">
        <f>(Inschrijf_Bouwplaats_Totaal[[#This Row],[Draaiuren Bouw Asfalt]]+Inschrijf_Bouwplaats_Totaal[[#This Row],[Draaiuren Bouw Overig]]+Inschrijf_Bouwplaats_Totaal[[#This Row],[Draaiuren Verwijder Asfalt]]+Inschrijf_Bouwplaats_Totaal[[#This Row],[Draaiuren Verwijder Overig]]+Inschrijf_Bouwplaats_Totaal[[#This Row],[Draaiuren Bouw Asfalt Vervangingen]]+Inschrijf_Bouwplaats_Totaal[[#This Row],[Draaiuren Bouw Overig Vervangingen]]+Inschrijf_Bouwplaats_Totaal[[#This Row],[Draaiuren Verwijder Asfalt Vervangingen]]+Inschrijf_Bouwplaats_Totaal[[#This Row],[Draaiuren Verwijder Overig Vervangingen]])-Inschrijf_Bouwplaats_Totaal[[#This Row],[Totaal Emissieloos Bouwplaats]]</f>
        <v>32</v>
      </c>
      <c r="T637" s="139">
        <f>Inschrijf_Bouwplaats_Totaal[[#This Row],[Totaal Emissieloos Bouwplaats]]+Inschrijf_Bouwplaats_Totaal[[#This Row],[Totaal Niet Emissieloos Bouwplaats]]</f>
        <v>32</v>
      </c>
      <c r="U637" s="335"/>
    </row>
    <row r="638" spans="2:21">
      <c r="B638" s="209" t="str">
        <f>Optimalisatie!B10</f>
        <v>121320 - Opbreken straatbakstenen en geschikt maken voor hergebruik</v>
      </c>
      <c r="C638" s="51" t="str">
        <f>Optimalisatie!F10</f>
        <v>Gebakken klinker keiformaat</v>
      </c>
      <c r="D638" s="134">
        <f>_xlfn.IFNA(IF(Optimalisatie!C10="Nieuwe situatie",(Optimalisatie!R10/(VLOOKUP(Optimalisatie!W10,Database_Asfalt_Aanlegset[#All],60,FALSE)/8)),0),0)</f>
        <v>0</v>
      </c>
      <c r="E638" s="135">
        <f>IFERROR(IF(Optimalisatie!C10="Nieuwe situatie",Optimalisatie!J10/Optimalisatie!Z10,0),0)</f>
        <v>0</v>
      </c>
      <c r="F638" s="135">
        <f>_xlfn.IFNA(IF(Optimalisatie!C10="Bestaande situatie",Optimalisatie!R10/(VLOOKUP(Optimalisatie!AA10,Database_Asfalt_Verwijderset[#All],60,FALSE)/8),0),0)</f>
        <v>0</v>
      </c>
      <c r="G638" s="138">
        <f>IFERROR(IF(Optimalisatie!C10="Bestaande situatie",Optimalisatie!J10/Optimalisatie!AD10,0),0)</f>
        <v>74.2</v>
      </c>
      <c r="H638" s="94" t="str">
        <f>_xlfn.IFNA((VLOOKUP(Optimalisatie!W10,Database_Asfalt_Aanlegset[],61,FALSE)),"Nee")</f>
        <v>Nee</v>
      </c>
      <c r="I638" s="94" t="str">
        <f>_xlfn.IFNA((VLOOKUP(Optimalisatie!X10,Database_Brandstoffen[],60,FALSE)),"Nee")</f>
        <v>Nee</v>
      </c>
      <c r="J638" s="94" t="str">
        <f>_xlfn.IFNA((VLOOKUP(Optimalisatie!AA10,Database_Asfalt_Verwijderset[],61,FALSE)),"Nee")</f>
        <v>Nee</v>
      </c>
      <c r="K638" s="120" t="str">
        <f>_xlfn.IFNA((VLOOKUP(Optimalisatie!AB10,Database_Brandstoffen[],60,FALSE)),"Nee")</f>
        <v>Nee</v>
      </c>
      <c r="L638" s="132">
        <f>IF(Inschrijf_Bouwplaats_Totaal[[#This Row],[Emissieloos Asfalt Aanlegset]]="JA",Inschrijf_Bouwplaats_Totaal[[#This Row],[Draaiuren Bouw Asfalt]],0)+IF(Inschrijf_Bouwplaats_Totaal[[#This Row],[Emissieloos Bouwmaterieel]]="JA",Inschrijf_Bouwplaats_Totaal[[#This Row],[Draaiuren Bouw Overig]],0)+IF(Inschrijf_Bouwplaats_Totaal[[#This Row],[Emissieloos Asfalt Verwijderset]]="JA",Inschrijf_Bouwplaats_Totaal[[#This Row],[Draaiuren Verwijder Asfalt]],0)+IF(Inschrijf_Bouwplaats_Totaal[[#This Row],[Emissieloos Sloopmaterieel]]="JA",Inschrijf_Bouwplaats_Totaal[[#This Row],[Draaiuren Verwijder Overig]],0)</f>
        <v>0</v>
      </c>
      <c r="M638" s="139">
        <f>_xlfn.IFNA(IF(Optimalisatie!C10="Nieuwe situatie",(Optimalisatie!R10/(VLOOKUP(Optimalisatie!W10,Database_Asfalt_Aanlegset[#All],60,FALSE)/8)),0),0)*Optimalisatie!T10</f>
        <v>0</v>
      </c>
      <c r="N638" s="139">
        <f>_xlfn.IFNA(IF(Optimalisatie!C10="Nieuwe situatie",Optimalisatie!S10/VLOOKUP(Optimalisatie!X10,Database_Overig_Materieel[#All],8,FALSE),0),0)*Optimalisatie!T10</f>
        <v>0</v>
      </c>
      <c r="O638" s="139">
        <f>_xlfn.IFNA(IF(Optimalisatie!C10="Bestaande situatie",Optimalisatie!R10/(VLOOKUP(Optimalisatie!AA10,Database_Asfalt_Verwijderset[#All],60,FALSE)/8),0),0)*Optimalisatie!T10</f>
        <v>0</v>
      </c>
      <c r="P638" s="139">
        <f>_xlfn.IFNA(IF(Optimalisatie!C10="Bestaande situatie",Optimalisatie!S10/VLOOKUP(Optimalisatie!AB10,Database_Overig_Materieel[#All],8,FALSE),0),0)*Optimalisatie!T10</f>
        <v>0</v>
      </c>
      <c r="Q638" s="139">
        <f>IF(Inschrijf_Bouwplaats_Totaal[[#This Row],[Emissieloos Asfalt Aanlegset]]="JA",Inschrijf_Bouwplaats_Totaal[[#This Row],[Draaiuren Bouw Asfalt Vervangingen]],0)+IF(Inschrijf_Bouwplaats_Totaal[[#This Row],[Emissieloos Bouwmaterieel]]="JA",Inschrijf_Bouwplaats_Totaal[[#This Row],[Draaiuren Bouw Overig Vervangingen]],0)+IF(Inschrijf_Bouwplaats_Totaal[[#This Row],[Emissieloos Asfalt Verwijderset]]="JA",Inschrijf_Bouwplaats_Totaal[[#This Row],[Draaiuren Verwijder Asfalt Vervangingen]],0)+IF(Inschrijf_Bouwplaats_Totaal[[#This Row],[Emissieloos Sloopmaterieel]]="JA",Inschrijf_Bouwplaats_Totaal[[#This Row],[Draaiuren Verwijder Overig Vervangingen]],0)</f>
        <v>0</v>
      </c>
      <c r="R638" s="139">
        <f>Inschrijf_Bouwplaats_Totaal[[#This Row],[Emissieloos bouwplaats]]+Inschrijf_Bouwplaats_Totaal[[#This Row],[Emissieloos bouwplaats Vervangingen]]</f>
        <v>0</v>
      </c>
      <c r="S638" s="139">
        <f>(Inschrijf_Bouwplaats_Totaal[[#This Row],[Draaiuren Bouw Asfalt]]+Inschrijf_Bouwplaats_Totaal[[#This Row],[Draaiuren Bouw Overig]]+Inschrijf_Bouwplaats_Totaal[[#This Row],[Draaiuren Verwijder Asfalt]]+Inschrijf_Bouwplaats_Totaal[[#This Row],[Draaiuren Verwijder Overig]]+Inschrijf_Bouwplaats_Totaal[[#This Row],[Draaiuren Bouw Asfalt Vervangingen]]+Inschrijf_Bouwplaats_Totaal[[#This Row],[Draaiuren Bouw Overig Vervangingen]]+Inschrijf_Bouwplaats_Totaal[[#This Row],[Draaiuren Verwijder Asfalt Vervangingen]]+Inschrijf_Bouwplaats_Totaal[[#This Row],[Draaiuren Verwijder Overig Vervangingen]])-Inschrijf_Bouwplaats_Totaal[[#This Row],[Totaal Emissieloos Bouwplaats]]</f>
        <v>74.2</v>
      </c>
      <c r="T638" s="139">
        <f>Inschrijf_Bouwplaats_Totaal[[#This Row],[Totaal Emissieloos Bouwplaats]]+Inschrijf_Bouwplaats_Totaal[[#This Row],[Totaal Niet Emissieloos Bouwplaats]]</f>
        <v>74.2</v>
      </c>
      <c r="U638" s="335"/>
    </row>
    <row r="639" spans="2:21">
      <c r="B639" s="209" t="str">
        <f>Optimalisatie!B11</f>
        <v>121330 - Opbreken en afvoeren straatbakstenen</v>
      </c>
      <c r="C639" s="51" t="str">
        <f>Optimalisatie!F11</f>
        <v>Gebakken klinker keiformaat (hergebruik)</v>
      </c>
      <c r="D639" s="134">
        <f>_xlfn.IFNA(IF(Optimalisatie!C11="Nieuwe situatie",(Optimalisatie!R11/(VLOOKUP(Optimalisatie!W11,Database_Asfalt_Aanlegset[#All],60,FALSE)/8)),0),0)</f>
        <v>0</v>
      </c>
      <c r="E639" s="135">
        <f>IFERROR(IF(Optimalisatie!C11="Nieuwe situatie",Optimalisatie!J11/Optimalisatie!Z11,0),0)</f>
        <v>0</v>
      </c>
      <c r="F639" s="135">
        <f>_xlfn.IFNA(IF(Optimalisatie!C11="Bestaande situatie",Optimalisatie!R11/(VLOOKUP(Optimalisatie!AA11,Database_Asfalt_Verwijderset[#All],60,FALSE)/8),0),0)</f>
        <v>0</v>
      </c>
      <c r="G639" s="138">
        <f>IFERROR(IF(Optimalisatie!C11="Bestaande situatie",Optimalisatie!J11/Optimalisatie!AD11,0),0)</f>
        <v>37.76</v>
      </c>
      <c r="H639" s="94" t="str">
        <f>_xlfn.IFNA((VLOOKUP(Optimalisatie!W11,Database_Asfalt_Aanlegset[],61,FALSE)),"Nee")</f>
        <v>Nee</v>
      </c>
      <c r="I639" s="94" t="str">
        <f>_xlfn.IFNA((VLOOKUP(Optimalisatie!X11,Database_Brandstoffen[],60,FALSE)),"Nee")</f>
        <v>Nee</v>
      </c>
      <c r="J639" s="94" t="str">
        <f>_xlfn.IFNA((VLOOKUP(Optimalisatie!AA11,Database_Asfalt_Verwijderset[],61,FALSE)),"Nee")</f>
        <v>Nee</v>
      </c>
      <c r="K639" s="120" t="str">
        <f>_xlfn.IFNA((VLOOKUP(Optimalisatie!AB11,Database_Brandstoffen[],60,FALSE)),"Nee")</f>
        <v>Nee</v>
      </c>
      <c r="L639" s="132">
        <f>IF(Inschrijf_Bouwplaats_Totaal[[#This Row],[Emissieloos Asfalt Aanlegset]]="JA",Inschrijf_Bouwplaats_Totaal[[#This Row],[Draaiuren Bouw Asfalt]],0)+IF(Inschrijf_Bouwplaats_Totaal[[#This Row],[Emissieloos Bouwmaterieel]]="JA",Inschrijf_Bouwplaats_Totaal[[#This Row],[Draaiuren Bouw Overig]],0)+IF(Inschrijf_Bouwplaats_Totaal[[#This Row],[Emissieloos Asfalt Verwijderset]]="JA",Inschrijf_Bouwplaats_Totaal[[#This Row],[Draaiuren Verwijder Asfalt]],0)+IF(Inschrijf_Bouwplaats_Totaal[[#This Row],[Emissieloos Sloopmaterieel]]="JA",Inschrijf_Bouwplaats_Totaal[[#This Row],[Draaiuren Verwijder Overig]],0)</f>
        <v>0</v>
      </c>
      <c r="M639" s="139">
        <f>_xlfn.IFNA(IF(Optimalisatie!C11="Nieuwe situatie",(Optimalisatie!R11/(VLOOKUP(Optimalisatie!W11,Database_Asfalt_Aanlegset[#All],60,FALSE)/8)),0),0)*Optimalisatie!T11</f>
        <v>0</v>
      </c>
      <c r="N639" s="139">
        <f>_xlfn.IFNA(IF(Optimalisatie!C11="Nieuwe situatie",Optimalisatie!S11/VLOOKUP(Optimalisatie!X11,Database_Overig_Materieel[#All],8,FALSE),0),0)*Optimalisatie!T11</f>
        <v>0</v>
      </c>
      <c r="O639" s="139">
        <f>_xlfn.IFNA(IF(Optimalisatie!C11="Bestaande situatie",Optimalisatie!R11/(VLOOKUP(Optimalisatie!AA11,Database_Asfalt_Verwijderset[#All],60,FALSE)/8),0),0)*Optimalisatie!T11</f>
        <v>0</v>
      </c>
      <c r="P639" s="139">
        <f>_xlfn.IFNA(IF(Optimalisatie!C11="Bestaande situatie",Optimalisatie!S11/VLOOKUP(Optimalisatie!AB11,Database_Overig_Materieel[#All],8,FALSE),0),0)*Optimalisatie!T11</f>
        <v>0</v>
      </c>
      <c r="Q639" s="139">
        <f>IF(Inschrijf_Bouwplaats_Totaal[[#This Row],[Emissieloos Asfalt Aanlegset]]="JA",Inschrijf_Bouwplaats_Totaal[[#This Row],[Draaiuren Bouw Asfalt Vervangingen]],0)+IF(Inschrijf_Bouwplaats_Totaal[[#This Row],[Emissieloos Bouwmaterieel]]="JA",Inschrijf_Bouwplaats_Totaal[[#This Row],[Draaiuren Bouw Overig Vervangingen]],0)+IF(Inschrijf_Bouwplaats_Totaal[[#This Row],[Emissieloos Asfalt Verwijderset]]="JA",Inschrijf_Bouwplaats_Totaal[[#This Row],[Draaiuren Verwijder Asfalt Vervangingen]],0)+IF(Inschrijf_Bouwplaats_Totaal[[#This Row],[Emissieloos Sloopmaterieel]]="JA",Inschrijf_Bouwplaats_Totaal[[#This Row],[Draaiuren Verwijder Overig Vervangingen]],0)</f>
        <v>0</v>
      </c>
      <c r="R639" s="139">
        <f>Inschrijf_Bouwplaats_Totaal[[#This Row],[Emissieloos bouwplaats]]+Inschrijf_Bouwplaats_Totaal[[#This Row],[Emissieloos bouwplaats Vervangingen]]</f>
        <v>0</v>
      </c>
      <c r="S639" s="139">
        <f>(Inschrijf_Bouwplaats_Totaal[[#This Row],[Draaiuren Bouw Asfalt]]+Inschrijf_Bouwplaats_Totaal[[#This Row],[Draaiuren Bouw Overig]]+Inschrijf_Bouwplaats_Totaal[[#This Row],[Draaiuren Verwijder Asfalt]]+Inschrijf_Bouwplaats_Totaal[[#This Row],[Draaiuren Verwijder Overig]]+Inschrijf_Bouwplaats_Totaal[[#This Row],[Draaiuren Bouw Asfalt Vervangingen]]+Inschrijf_Bouwplaats_Totaal[[#This Row],[Draaiuren Bouw Overig Vervangingen]]+Inschrijf_Bouwplaats_Totaal[[#This Row],[Draaiuren Verwijder Asfalt Vervangingen]]+Inschrijf_Bouwplaats_Totaal[[#This Row],[Draaiuren Verwijder Overig Vervangingen]])-Inschrijf_Bouwplaats_Totaal[[#This Row],[Totaal Emissieloos Bouwplaats]]</f>
        <v>37.76</v>
      </c>
      <c r="T639" s="139">
        <f>Inschrijf_Bouwplaats_Totaal[[#This Row],[Totaal Emissieloos Bouwplaats]]+Inschrijf_Bouwplaats_Totaal[[#This Row],[Totaal Niet Emissieloos Bouwplaats]]</f>
        <v>37.76</v>
      </c>
      <c r="U639" s="335"/>
    </row>
    <row r="640" spans="2:21">
      <c r="B640" s="209" t="str">
        <f>Optimalisatie!B12</f>
        <v>121340 - Opbreken betontegels 300x300x45mm</v>
      </c>
      <c r="C640" s="51" t="str">
        <f>Optimalisatie!F12</f>
        <v>Betontegel 300x300x45</v>
      </c>
      <c r="D640" s="134">
        <f>_xlfn.IFNA(IF(Optimalisatie!C12="Nieuwe situatie",(Optimalisatie!R12/(VLOOKUP(Optimalisatie!W12,Database_Asfalt_Aanlegset[#All],60,FALSE)/8)),0),0)</f>
        <v>0</v>
      </c>
      <c r="E640" s="135">
        <f>IFERROR(IF(Optimalisatie!C12="Nieuwe situatie",Optimalisatie!J12/Optimalisatie!Z12,0),0)</f>
        <v>0</v>
      </c>
      <c r="F640" s="135">
        <f>_xlfn.IFNA(IF(Optimalisatie!C12="Bestaande situatie",Optimalisatie!R12/(VLOOKUP(Optimalisatie!AA12,Database_Asfalt_Verwijderset[#All],60,FALSE)/8),0),0)</f>
        <v>0</v>
      </c>
      <c r="G640" s="138">
        <f>IFERROR(IF(Optimalisatie!C12="Bestaande situatie",Optimalisatie!J12/Optimalisatie!AD12,0),0)</f>
        <v>200.3</v>
      </c>
      <c r="H640" s="94" t="str">
        <f>_xlfn.IFNA((VLOOKUP(Optimalisatie!W12,Database_Asfalt_Aanlegset[],61,FALSE)),"Nee")</f>
        <v>Nee</v>
      </c>
      <c r="I640" s="94" t="str">
        <f>_xlfn.IFNA((VLOOKUP(Optimalisatie!X12,Database_Brandstoffen[],60,FALSE)),"Nee")</f>
        <v>Nee</v>
      </c>
      <c r="J640" s="94" t="str">
        <f>_xlfn.IFNA((VLOOKUP(Optimalisatie!AA12,Database_Asfalt_Verwijderset[],61,FALSE)),"Nee")</f>
        <v>Nee</v>
      </c>
      <c r="K640" s="120" t="str">
        <f>_xlfn.IFNA((VLOOKUP(Optimalisatie!AB12,Database_Brandstoffen[],60,FALSE)),"Nee")</f>
        <v>Nee</v>
      </c>
      <c r="L640" s="132">
        <f>IF(Inschrijf_Bouwplaats_Totaal[[#This Row],[Emissieloos Asfalt Aanlegset]]="JA",Inschrijf_Bouwplaats_Totaal[[#This Row],[Draaiuren Bouw Asfalt]],0)+IF(Inschrijf_Bouwplaats_Totaal[[#This Row],[Emissieloos Bouwmaterieel]]="JA",Inschrijf_Bouwplaats_Totaal[[#This Row],[Draaiuren Bouw Overig]],0)+IF(Inschrijf_Bouwplaats_Totaal[[#This Row],[Emissieloos Asfalt Verwijderset]]="JA",Inschrijf_Bouwplaats_Totaal[[#This Row],[Draaiuren Verwijder Asfalt]],0)+IF(Inschrijf_Bouwplaats_Totaal[[#This Row],[Emissieloos Sloopmaterieel]]="JA",Inschrijf_Bouwplaats_Totaal[[#This Row],[Draaiuren Verwijder Overig]],0)</f>
        <v>0</v>
      </c>
      <c r="M640" s="139">
        <f>_xlfn.IFNA(IF(Optimalisatie!C12="Nieuwe situatie",(Optimalisatie!R12/(VLOOKUP(Optimalisatie!W12,Database_Asfalt_Aanlegset[#All],60,FALSE)/8)),0),0)*Optimalisatie!T12</f>
        <v>0</v>
      </c>
      <c r="N640" s="139">
        <f>_xlfn.IFNA(IF(Optimalisatie!C12="Nieuwe situatie",Optimalisatie!S12/VLOOKUP(Optimalisatie!X12,Database_Overig_Materieel[#All],8,FALSE),0),0)*Optimalisatie!T12</f>
        <v>0</v>
      </c>
      <c r="O640" s="139">
        <f>_xlfn.IFNA(IF(Optimalisatie!C12="Bestaande situatie",Optimalisatie!R12/(VLOOKUP(Optimalisatie!AA12,Database_Asfalt_Verwijderset[#All],60,FALSE)/8),0),0)*Optimalisatie!T12</f>
        <v>0</v>
      </c>
      <c r="P640" s="139">
        <f>_xlfn.IFNA(IF(Optimalisatie!C12="Bestaande situatie",Optimalisatie!S12/VLOOKUP(Optimalisatie!AB12,Database_Overig_Materieel[#All],8,FALSE),0),0)*Optimalisatie!T12</f>
        <v>0</v>
      </c>
      <c r="Q640" s="139">
        <f>IF(Inschrijf_Bouwplaats_Totaal[[#This Row],[Emissieloos Asfalt Aanlegset]]="JA",Inschrijf_Bouwplaats_Totaal[[#This Row],[Draaiuren Bouw Asfalt Vervangingen]],0)+IF(Inschrijf_Bouwplaats_Totaal[[#This Row],[Emissieloos Bouwmaterieel]]="JA",Inschrijf_Bouwplaats_Totaal[[#This Row],[Draaiuren Bouw Overig Vervangingen]],0)+IF(Inschrijf_Bouwplaats_Totaal[[#This Row],[Emissieloos Asfalt Verwijderset]]="JA",Inschrijf_Bouwplaats_Totaal[[#This Row],[Draaiuren Verwijder Asfalt Vervangingen]],0)+IF(Inschrijf_Bouwplaats_Totaal[[#This Row],[Emissieloos Sloopmaterieel]]="JA",Inschrijf_Bouwplaats_Totaal[[#This Row],[Draaiuren Verwijder Overig Vervangingen]],0)</f>
        <v>0</v>
      </c>
      <c r="R640" s="139">
        <f>Inschrijf_Bouwplaats_Totaal[[#This Row],[Emissieloos bouwplaats]]+Inschrijf_Bouwplaats_Totaal[[#This Row],[Emissieloos bouwplaats Vervangingen]]</f>
        <v>0</v>
      </c>
      <c r="S640" s="139">
        <f>(Inschrijf_Bouwplaats_Totaal[[#This Row],[Draaiuren Bouw Asfalt]]+Inschrijf_Bouwplaats_Totaal[[#This Row],[Draaiuren Bouw Overig]]+Inschrijf_Bouwplaats_Totaal[[#This Row],[Draaiuren Verwijder Asfalt]]+Inschrijf_Bouwplaats_Totaal[[#This Row],[Draaiuren Verwijder Overig]]+Inschrijf_Bouwplaats_Totaal[[#This Row],[Draaiuren Bouw Asfalt Vervangingen]]+Inschrijf_Bouwplaats_Totaal[[#This Row],[Draaiuren Bouw Overig Vervangingen]]+Inschrijf_Bouwplaats_Totaal[[#This Row],[Draaiuren Verwijder Asfalt Vervangingen]]+Inschrijf_Bouwplaats_Totaal[[#This Row],[Draaiuren Verwijder Overig Vervangingen]])-Inschrijf_Bouwplaats_Totaal[[#This Row],[Totaal Emissieloos Bouwplaats]]</f>
        <v>200.3</v>
      </c>
      <c r="T640" s="139">
        <f>Inschrijf_Bouwplaats_Totaal[[#This Row],[Totaal Emissieloos Bouwplaats]]+Inschrijf_Bouwplaats_Totaal[[#This Row],[Totaal Niet Emissieloos Bouwplaats]]</f>
        <v>200.3</v>
      </c>
      <c r="U640" s="335"/>
    </row>
    <row r="641" spans="2:21">
      <c r="B641" s="209" t="str">
        <f>Optimalisatie!B13</f>
        <v>121410 - Opbreken en afvoeren asfaltverharding zwart teervrij</v>
      </c>
      <c r="C641" s="51" t="str">
        <f>Optimalisatie!F13</f>
        <v>AC bin/base 50% PR - PCR 2.0</v>
      </c>
      <c r="D641" s="134">
        <f>_xlfn.IFNA(IF(Optimalisatie!C13="Nieuwe situatie",(Optimalisatie!R13/(VLOOKUP(Optimalisatie!W13,Database_Asfalt_Aanlegset[#All],60,FALSE)/8)),0),0)</f>
        <v>0</v>
      </c>
      <c r="E641" s="135">
        <f>IFERROR(IF(Optimalisatie!C13="Nieuwe situatie",Optimalisatie!J13/Optimalisatie!Z13,0),0)</f>
        <v>0</v>
      </c>
      <c r="F641" s="135">
        <f>_xlfn.IFNA(IF(Optimalisatie!C13="Bestaande situatie",Optimalisatie!R13/(VLOOKUP(Optimalisatie!AA13,Database_Asfalt_Verwijderset[#All],60,FALSE)/8),0),0)</f>
        <v>52.5</v>
      </c>
      <c r="G641" s="138">
        <f>IFERROR(IF(Optimalisatie!C13="Bestaande situatie",Optimalisatie!J13/Optimalisatie!AD13,0),0)</f>
        <v>0</v>
      </c>
      <c r="H641" s="94" t="str">
        <f>_xlfn.IFNA((VLOOKUP(Optimalisatie!W13,Database_Asfalt_Aanlegset[],61,FALSE)),"Nee")</f>
        <v>Nee</v>
      </c>
      <c r="I641" s="94" t="str">
        <f>_xlfn.IFNA((VLOOKUP(Optimalisatie!X13,Database_Brandstoffen[],60,FALSE)),"Nee")</f>
        <v>Nee</v>
      </c>
      <c r="J641" s="94" t="str">
        <f>_xlfn.IFNA((VLOOKUP(Optimalisatie!AA13,Database_Asfalt_Verwijderset[],61,FALSE)),"Nee")</f>
        <v>Nee</v>
      </c>
      <c r="K641" s="120" t="str">
        <f>_xlfn.IFNA((VLOOKUP(Optimalisatie!AB13,Database_Brandstoffen[],60,FALSE)),"Nee")</f>
        <v>Nee</v>
      </c>
      <c r="L641" s="132">
        <f>IF(Inschrijf_Bouwplaats_Totaal[[#This Row],[Emissieloos Asfalt Aanlegset]]="JA",Inschrijf_Bouwplaats_Totaal[[#This Row],[Draaiuren Bouw Asfalt]],0)+IF(Inschrijf_Bouwplaats_Totaal[[#This Row],[Emissieloos Bouwmaterieel]]="JA",Inschrijf_Bouwplaats_Totaal[[#This Row],[Draaiuren Bouw Overig]],0)+IF(Inschrijf_Bouwplaats_Totaal[[#This Row],[Emissieloos Asfalt Verwijderset]]="JA",Inschrijf_Bouwplaats_Totaal[[#This Row],[Draaiuren Verwijder Asfalt]],0)+IF(Inschrijf_Bouwplaats_Totaal[[#This Row],[Emissieloos Sloopmaterieel]]="JA",Inschrijf_Bouwplaats_Totaal[[#This Row],[Draaiuren Verwijder Overig]],0)</f>
        <v>0</v>
      </c>
      <c r="M641" s="139">
        <f>_xlfn.IFNA(IF(Optimalisatie!C13="Nieuwe situatie",(Optimalisatie!R13/(VLOOKUP(Optimalisatie!W13,Database_Asfalt_Aanlegset[#All],60,FALSE)/8)),0),0)*Optimalisatie!T13</f>
        <v>0</v>
      </c>
      <c r="N641" s="139">
        <f>_xlfn.IFNA(IF(Optimalisatie!C13="Nieuwe situatie",Optimalisatie!S13/VLOOKUP(Optimalisatie!X13,Database_Overig_Materieel[#All],8,FALSE),0),0)*Optimalisatie!T13</f>
        <v>0</v>
      </c>
      <c r="O641" s="139">
        <f>_xlfn.IFNA(IF(Optimalisatie!C13="Bestaande situatie",Optimalisatie!R13/(VLOOKUP(Optimalisatie!AA13,Database_Asfalt_Verwijderset[#All],60,FALSE)/8),0),0)*Optimalisatie!T13</f>
        <v>0</v>
      </c>
      <c r="P641" s="139">
        <f>_xlfn.IFNA(IF(Optimalisatie!C13="Bestaande situatie",Optimalisatie!S13/VLOOKUP(Optimalisatie!AB13,Database_Overig_Materieel[#All],8,FALSE),0),0)*Optimalisatie!T13</f>
        <v>0</v>
      </c>
      <c r="Q641" s="139">
        <f>IF(Inschrijf_Bouwplaats_Totaal[[#This Row],[Emissieloos Asfalt Aanlegset]]="JA",Inschrijf_Bouwplaats_Totaal[[#This Row],[Draaiuren Bouw Asfalt Vervangingen]],0)+IF(Inschrijf_Bouwplaats_Totaal[[#This Row],[Emissieloos Bouwmaterieel]]="JA",Inschrijf_Bouwplaats_Totaal[[#This Row],[Draaiuren Bouw Overig Vervangingen]],0)+IF(Inschrijf_Bouwplaats_Totaal[[#This Row],[Emissieloos Asfalt Verwijderset]]="JA",Inschrijf_Bouwplaats_Totaal[[#This Row],[Draaiuren Verwijder Asfalt Vervangingen]],0)+IF(Inschrijf_Bouwplaats_Totaal[[#This Row],[Emissieloos Sloopmaterieel]]="JA",Inschrijf_Bouwplaats_Totaal[[#This Row],[Draaiuren Verwijder Overig Vervangingen]],0)</f>
        <v>0</v>
      </c>
      <c r="R641" s="139">
        <f>Inschrijf_Bouwplaats_Totaal[[#This Row],[Emissieloos bouwplaats]]+Inschrijf_Bouwplaats_Totaal[[#This Row],[Emissieloos bouwplaats Vervangingen]]</f>
        <v>0</v>
      </c>
      <c r="S641" s="139">
        <f>(Inschrijf_Bouwplaats_Totaal[[#This Row],[Draaiuren Bouw Asfalt]]+Inschrijf_Bouwplaats_Totaal[[#This Row],[Draaiuren Bouw Overig]]+Inschrijf_Bouwplaats_Totaal[[#This Row],[Draaiuren Verwijder Asfalt]]+Inschrijf_Bouwplaats_Totaal[[#This Row],[Draaiuren Verwijder Overig]]+Inschrijf_Bouwplaats_Totaal[[#This Row],[Draaiuren Bouw Asfalt Vervangingen]]+Inschrijf_Bouwplaats_Totaal[[#This Row],[Draaiuren Bouw Overig Vervangingen]]+Inschrijf_Bouwplaats_Totaal[[#This Row],[Draaiuren Verwijder Asfalt Vervangingen]]+Inschrijf_Bouwplaats_Totaal[[#This Row],[Draaiuren Verwijder Overig Vervangingen]])-Inschrijf_Bouwplaats_Totaal[[#This Row],[Totaal Emissieloos Bouwplaats]]</f>
        <v>52.5</v>
      </c>
      <c r="T641" s="139">
        <f>Inschrijf_Bouwplaats_Totaal[[#This Row],[Totaal Emissieloos Bouwplaats]]+Inschrijf_Bouwplaats_Totaal[[#This Row],[Totaal Niet Emissieloos Bouwplaats]]</f>
        <v>52.5</v>
      </c>
      <c r="U641" s="335"/>
    </row>
    <row r="642" spans="2:21">
      <c r="B642" s="209" t="str">
        <f>Optimalisatie!B14</f>
        <v>121420 - Opbreken en afvoeren asfaltverharding rood teervrij</v>
      </c>
      <c r="C642" s="51" t="str">
        <f>Optimalisatie!F14</f>
        <v>AC surf rood, met penbitumen - PCR 2.0</v>
      </c>
      <c r="D642" s="134">
        <f>_xlfn.IFNA(IF(Optimalisatie!C14="Nieuwe situatie",(Optimalisatie!R14/(VLOOKUP(Optimalisatie!W14,Database_Asfalt_Aanlegset[#All],60,FALSE)/8)),0),0)</f>
        <v>0</v>
      </c>
      <c r="E642" s="135">
        <f>IFERROR(IF(Optimalisatie!C14="Nieuwe situatie",Optimalisatie!J14/Optimalisatie!Z14,0),0)</f>
        <v>0</v>
      </c>
      <c r="F642" s="135">
        <f>_xlfn.IFNA(IF(Optimalisatie!C14="Bestaande situatie",Optimalisatie!R14/(VLOOKUP(Optimalisatie!AA14,Database_Asfalt_Verwijderset[#All],60,FALSE)/8),0),0)</f>
        <v>36</v>
      </c>
      <c r="G642" s="138">
        <f>IFERROR(IF(Optimalisatie!C14="Bestaande situatie",Optimalisatie!J14/Optimalisatie!AD14,0),0)</f>
        <v>0</v>
      </c>
      <c r="H642" s="94" t="str">
        <f>_xlfn.IFNA((VLOOKUP(Optimalisatie!W14,Database_Asfalt_Aanlegset[],61,FALSE)),"Nee")</f>
        <v>Nee</v>
      </c>
      <c r="I642" s="94" t="str">
        <f>_xlfn.IFNA((VLOOKUP(Optimalisatie!X14,Database_Brandstoffen[],60,FALSE)),"Nee")</f>
        <v>Nee</v>
      </c>
      <c r="J642" s="94" t="str">
        <f>_xlfn.IFNA((VLOOKUP(Optimalisatie!AA14,Database_Asfalt_Verwijderset[],61,FALSE)),"Nee")</f>
        <v>Nee</v>
      </c>
      <c r="K642" s="120" t="str">
        <f>_xlfn.IFNA((VLOOKUP(Optimalisatie!AB14,Database_Brandstoffen[],60,FALSE)),"Nee")</f>
        <v>Nee</v>
      </c>
      <c r="L642" s="132">
        <f>IF(Inschrijf_Bouwplaats_Totaal[[#This Row],[Emissieloos Asfalt Aanlegset]]="JA",Inschrijf_Bouwplaats_Totaal[[#This Row],[Draaiuren Bouw Asfalt]],0)+IF(Inschrijf_Bouwplaats_Totaal[[#This Row],[Emissieloos Bouwmaterieel]]="JA",Inschrijf_Bouwplaats_Totaal[[#This Row],[Draaiuren Bouw Overig]],0)+IF(Inschrijf_Bouwplaats_Totaal[[#This Row],[Emissieloos Asfalt Verwijderset]]="JA",Inschrijf_Bouwplaats_Totaal[[#This Row],[Draaiuren Verwijder Asfalt]],0)+IF(Inschrijf_Bouwplaats_Totaal[[#This Row],[Emissieloos Sloopmaterieel]]="JA",Inschrijf_Bouwplaats_Totaal[[#This Row],[Draaiuren Verwijder Overig]],0)</f>
        <v>0</v>
      </c>
      <c r="M642" s="139">
        <f>_xlfn.IFNA(IF(Optimalisatie!C14="Nieuwe situatie",(Optimalisatie!R14/(VLOOKUP(Optimalisatie!W14,Database_Asfalt_Aanlegset[#All],60,FALSE)/8)),0),0)*Optimalisatie!T14</f>
        <v>0</v>
      </c>
      <c r="N642" s="139">
        <f>_xlfn.IFNA(IF(Optimalisatie!C14="Nieuwe situatie",Optimalisatie!S14/VLOOKUP(Optimalisatie!X14,Database_Overig_Materieel[#All],8,FALSE),0),0)*Optimalisatie!T14</f>
        <v>0</v>
      </c>
      <c r="O642" s="139">
        <f>_xlfn.IFNA(IF(Optimalisatie!C14="Bestaande situatie",Optimalisatie!R14/(VLOOKUP(Optimalisatie!AA14,Database_Asfalt_Verwijderset[#All],60,FALSE)/8),0),0)*Optimalisatie!T14</f>
        <v>0</v>
      </c>
      <c r="P642" s="139">
        <f>_xlfn.IFNA(IF(Optimalisatie!C14="Bestaande situatie",Optimalisatie!S14/VLOOKUP(Optimalisatie!AB14,Database_Overig_Materieel[#All],8,FALSE),0),0)*Optimalisatie!T14</f>
        <v>0</v>
      </c>
      <c r="Q642" s="139">
        <f>IF(Inschrijf_Bouwplaats_Totaal[[#This Row],[Emissieloos Asfalt Aanlegset]]="JA",Inschrijf_Bouwplaats_Totaal[[#This Row],[Draaiuren Bouw Asfalt Vervangingen]],0)+IF(Inschrijf_Bouwplaats_Totaal[[#This Row],[Emissieloos Bouwmaterieel]]="JA",Inschrijf_Bouwplaats_Totaal[[#This Row],[Draaiuren Bouw Overig Vervangingen]],0)+IF(Inschrijf_Bouwplaats_Totaal[[#This Row],[Emissieloos Asfalt Verwijderset]]="JA",Inschrijf_Bouwplaats_Totaal[[#This Row],[Draaiuren Verwijder Asfalt Vervangingen]],0)+IF(Inschrijf_Bouwplaats_Totaal[[#This Row],[Emissieloos Sloopmaterieel]]="JA",Inschrijf_Bouwplaats_Totaal[[#This Row],[Draaiuren Verwijder Overig Vervangingen]],0)</f>
        <v>0</v>
      </c>
      <c r="R642" s="139">
        <f>Inschrijf_Bouwplaats_Totaal[[#This Row],[Emissieloos bouwplaats]]+Inschrijf_Bouwplaats_Totaal[[#This Row],[Emissieloos bouwplaats Vervangingen]]</f>
        <v>0</v>
      </c>
      <c r="S642" s="139">
        <f>(Inschrijf_Bouwplaats_Totaal[[#This Row],[Draaiuren Bouw Asfalt]]+Inschrijf_Bouwplaats_Totaal[[#This Row],[Draaiuren Bouw Overig]]+Inschrijf_Bouwplaats_Totaal[[#This Row],[Draaiuren Verwijder Asfalt]]+Inschrijf_Bouwplaats_Totaal[[#This Row],[Draaiuren Verwijder Overig]]+Inschrijf_Bouwplaats_Totaal[[#This Row],[Draaiuren Bouw Asfalt Vervangingen]]+Inschrijf_Bouwplaats_Totaal[[#This Row],[Draaiuren Bouw Overig Vervangingen]]+Inschrijf_Bouwplaats_Totaal[[#This Row],[Draaiuren Verwijder Asfalt Vervangingen]]+Inschrijf_Bouwplaats_Totaal[[#This Row],[Draaiuren Verwijder Overig Vervangingen]])-Inschrijf_Bouwplaats_Totaal[[#This Row],[Totaal Emissieloos Bouwplaats]]</f>
        <v>36</v>
      </c>
      <c r="T642" s="139">
        <f>Inschrijf_Bouwplaats_Totaal[[#This Row],[Totaal Emissieloos Bouwplaats]]+Inschrijf_Bouwplaats_Totaal[[#This Row],[Totaal Niet Emissieloos Bouwplaats]]</f>
        <v>36</v>
      </c>
      <c r="U642" s="335"/>
    </row>
    <row r="643" spans="2:21">
      <c r="B643" s="209" t="str">
        <f>Optimalisatie!B15</f>
        <v>121510 - Opbreken fundering van menggranulaat, 400-200 mm dik</v>
      </c>
      <c r="C643" s="51" t="str">
        <f>Optimalisatie!F15</f>
        <v>Menggranulaat 300mm</v>
      </c>
      <c r="D643" s="134">
        <f>_xlfn.IFNA(IF(Optimalisatie!C15="Nieuwe situatie",(Optimalisatie!R15/(VLOOKUP(Optimalisatie!W15,Database_Asfalt_Aanlegset[#All],60,FALSE)/8)),0),0)</f>
        <v>0</v>
      </c>
      <c r="E643" s="135">
        <f>IFERROR(IF(Optimalisatie!C15="Nieuwe situatie",Optimalisatie!J15/Optimalisatie!Z15,0),0)</f>
        <v>0</v>
      </c>
      <c r="F643" s="135">
        <f>_xlfn.IFNA(IF(Optimalisatie!C15="Bestaande situatie",Optimalisatie!R15/(VLOOKUP(Optimalisatie!AA15,Database_Asfalt_Verwijderset[#All],60,FALSE)/8),0),0)</f>
        <v>0</v>
      </c>
      <c r="G643" s="138">
        <f>IFERROR(IF(Optimalisatie!C15="Bestaande situatie",Optimalisatie!J15/Optimalisatie!AD15,0),0)</f>
        <v>38.333333333333336</v>
      </c>
      <c r="H643" s="94" t="str">
        <f>_xlfn.IFNA((VLOOKUP(Optimalisatie!W15,Database_Asfalt_Aanlegset[],61,FALSE)),"Nee")</f>
        <v>Nee</v>
      </c>
      <c r="I643" s="94" t="str">
        <f>_xlfn.IFNA((VLOOKUP(Optimalisatie!X15,Database_Brandstoffen[],60,FALSE)),"Nee")</f>
        <v>Nee</v>
      </c>
      <c r="J643" s="94" t="str">
        <f>_xlfn.IFNA((VLOOKUP(Optimalisatie!AA15,Database_Asfalt_Verwijderset[],61,FALSE)),"Nee")</f>
        <v>Nee</v>
      </c>
      <c r="K643" s="120" t="str">
        <f>_xlfn.IFNA((VLOOKUP(Optimalisatie!AB15,Database_Brandstoffen[],60,FALSE)),"Nee")</f>
        <v>Nee</v>
      </c>
      <c r="L643" s="132">
        <f>IF(Inschrijf_Bouwplaats_Totaal[[#This Row],[Emissieloos Asfalt Aanlegset]]="JA",Inschrijf_Bouwplaats_Totaal[[#This Row],[Draaiuren Bouw Asfalt]],0)+IF(Inschrijf_Bouwplaats_Totaal[[#This Row],[Emissieloos Bouwmaterieel]]="JA",Inschrijf_Bouwplaats_Totaal[[#This Row],[Draaiuren Bouw Overig]],0)+IF(Inschrijf_Bouwplaats_Totaal[[#This Row],[Emissieloos Asfalt Verwijderset]]="JA",Inschrijf_Bouwplaats_Totaal[[#This Row],[Draaiuren Verwijder Asfalt]],0)+IF(Inschrijf_Bouwplaats_Totaal[[#This Row],[Emissieloos Sloopmaterieel]]="JA",Inschrijf_Bouwplaats_Totaal[[#This Row],[Draaiuren Verwijder Overig]],0)</f>
        <v>0</v>
      </c>
      <c r="M643" s="139">
        <f>_xlfn.IFNA(IF(Optimalisatie!C15="Nieuwe situatie",(Optimalisatie!R15/(VLOOKUP(Optimalisatie!W15,Database_Asfalt_Aanlegset[#All],60,FALSE)/8)),0),0)*Optimalisatie!T15</f>
        <v>0</v>
      </c>
      <c r="N643" s="139">
        <f>_xlfn.IFNA(IF(Optimalisatie!C15="Nieuwe situatie",Optimalisatie!S15/VLOOKUP(Optimalisatie!X15,Database_Overig_Materieel[#All],8,FALSE),0),0)*Optimalisatie!T15</f>
        <v>0</v>
      </c>
      <c r="O643" s="139">
        <f>_xlfn.IFNA(IF(Optimalisatie!C15="Bestaande situatie",Optimalisatie!R15/(VLOOKUP(Optimalisatie!AA15,Database_Asfalt_Verwijderset[#All],60,FALSE)/8),0),0)*Optimalisatie!T15</f>
        <v>0</v>
      </c>
      <c r="P643" s="139">
        <f>_xlfn.IFNA(IF(Optimalisatie!C15="Bestaande situatie",Optimalisatie!S15/VLOOKUP(Optimalisatie!AB15,Database_Overig_Materieel[#All],8,FALSE),0),0)*Optimalisatie!T15</f>
        <v>0</v>
      </c>
      <c r="Q643" s="139">
        <f>IF(Inschrijf_Bouwplaats_Totaal[[#This Row],[Emissieloos Asfalt Aanlegset]]="JA",Inschrijf_Bouwplaats_Totaal[[#This Row],[Draaiuren Bouw Asfalt Vervangingen]],0)+IF(Inschrijf_Bouwplaats_Totaal[[#This Row],[Emissieloos Bouwmaterieel]]="JA",Inschrijf_Bouwplaats_Totaal[[#This Row],[Draaiuren Bouw Overig Vervangingen]],0)+IF(Inschrijf_Bouwplaats_Totaal[[#This Row],[Emissieloos Asfalt Verwijderset]]="JA",Inschrijf_Bouwplaats_Totaal[[#This Row],[Draaiuren Verwijder Asfalt Vervangingen]],0)+IF(Inschrijf_Bouwplaats_Totaal[[#This Row],[Emissieloos Sloopmaterieel]]="JA",Inschrijf_Bouwplaats_Totaal[[#This Row],[Draaiuren Verwijder Overig Vervangingen]],0)</f>
        <v>0</v>
      </c>
      <c r="R643" s="139">
        <f>Inschrijf_Bouwplaats_Totaal[[#This Row],[Emissieloos bouwplaats]]+Inschrijf_Bouwplaats_Totaal[[#This Row],[Emissieloos bouwplaats Vervangingen]]</f>
        <v>0</v>
      </c>
      <c r="S643" s="139">
        <f>(Inschrijf_Bouwplaats_Totaal[[#This Row],[Draaiuren Bouw Asfalt]]+Inschrijf_Bouwplaats_Totaal[[#This Row],[Draaiuren Bouw Overig]]+Inschrijf_Bouwplaats_Totaal[[#This Row],[Draaiuren Verwijder Asfalt]]+Inschrijf_Bouwplaats_Totaal[[#This Row],[Draaiuren Verwijder Overig]]+Inschrijf_Bouwplaats_Totaal[[#This Row],[Draaiuren Bouw Asfalt Vervangingen]]+Inschrijf_Bouwplaats_Totaal[[#This Row],[Draaiuren Bouw Overig Vervangingen]]+Inschrijf_Bouwplaats_Totaal[[#This Row],[Draaiuren Verwijder Asfalt Vervangingen]]+Inschrijf_Bouwplaats_Totaal[[#This Row],[Draaiuren Verwijder Overig Vervangingen]])-Inschrijf_Bouwplaats_Totaal[[#This Row],[Totaal Emissieloos Bouwplaats]]</f>
        <v>38.333333333333336</v>
      </c>
      <c r="T643" s="139">
        <f>Inschrijf_Bouwplaats_Totaal[[#This Row],[Totaal Emissieloos Bouwplaats]]+Inschrijf_Bouwplaats_Totaal[[#This Row],[Totaal Niet Emissieloos Bouwplaats]]</f>
        <v>38.333333333333336</v>
      </c>
      <c r="U643" s="335"/>
    </row>
    <row r="644" spans="2:21">
      <c r="B644" s="209" t="str">
        <f>Optimalisatie!B16</f>
        <v>121520 - Opbreken fundering van slakken 200-400 mm dik</v>
      </c>
      <c r="C644" s="51" t="str">
        <f>Optimalisatie!F16</f>
        <v>Fosforslakmengsel 200mm</v>
      </c>
      <c r="D644" s="134">
        <f>_xlfn.IFNA(IF(Optimalisatie!C16="Nieuwe situatie",(Optimalisatie!R16/(VLOOKUP(Optimalisatie!W16,Database_Asfalt_Aanlegset[#All],60,FALSE)/8)),0),0)</f>
        <v>0</v>
      </c>
      <c r="E644" s="135">
        <f>IFERROR(IF(Optimalisatie!C16="Nieuwe situatie",Optimalisatie!J16/Optimalisatie!Z16,0),0)</f>
        <v>0</v>
      </c>
      <c r="F644" s="135">
        <f>_xlfn.IFNA(IF(Optimalisatie!C16="Bestaande situatie",Optimalisatie!R16/(VLOOKUP(Optimalisatie!AA16,Database_Asfalt_Verwijderset[#All],60,FALSE)/8),0),0)</f>
        <v>0</v>
      </c>
      <c r="G644" s="138">
        <f>IFERROR(IF(Optimalisatie!C16="Bestaande situatie",Optimalisatie!J16/Optimalisatie!AD16,0),0)</f>
        <v>17.5</v>
      </c>
      <c r="H644" s="94" t="str">
        <f>_xlfn.IFNA((VLOOKUP(Optimalisatie!W16,Database_Asfalt_Aanlegset[],61,FALSE)),"Nee")</f>
        <v>Nee</v>
      </c>
      <c r="I644" s="94" t="str">
        <f>_xlfn.IFNA((VLOOKUP(Optimalisatie!X16,Database_Brandstoffen[],60,FALSE)),"Nee")</f>
        <v>Nee</v>
      </c>
      <c r="J644" s="94" t="str">
        <f>_xlfn.IFNA((VLOOKUP(Optimalisatie!AA16,Database_Asfalt_Verwijderset[],61,FALSE)),"Nee")</f>
        <v>Nee</v>
      </c>
      <c r="K644" s="120" t="str">
        <f>_xlfn.IFNA((VLOOKUP(Optimalisatie!AB16,Database_Brandstoffen[],60,FALSE)),"Nee")</f>
        <v>Nee</v>
      </c>
      <c r="L644" s="132">
        <f>IF(Inschrijf_Bouwplaats_Totaal[[#This Row],[Emissieloos Asfalt Aanlegset]]="JA",Inschrijf_Bouwplaats_Totaal[[#This Row],[Draaiuren Bouw Asfalt]],0)+IF(Inschrijf_Bouwplaats_Totaal[[#This Row],[Emissieloos Bouwmaterieel]]="JA",Inschrijf_Bouwplaats_Totaal[[#This Row],[Draaiuren Bouw Overig]],0)+IF(Inschrijf_Bouwplaats_Totaal[[#This Row],[Emissieloos Asfalt Verwijderset]]="JA",Inschrijf_Bouwplaats_Totaal[[#This Row],[Draaiuren Verwijder Asfalt]],0)+IF(Inschrijf_Bouwplaats_Totaal[[#This Row],[Emissieloos Sloopmaterieel]]="JA",Inschrijf_Bouwplaats_Totaal[[#This Row],[Draaiuren Verwijder Overig]],0)</f>
        <v>0</v>
      </c>
      <c r="M644" s="139">
        <f>_xlfn.IFNA(IF(Optimalisatie!C16="Nieuwe situatie",(Optimalisatie!R16/(VLOOKUP(Optimalisatie!W16,Database_Asfalt_Aanlegset[#All],60,FALSE)/8)),0),0)*Optimalisatie!T16</f>
        <v>0</v>
      </c>
      <c r="N644" s="139">
        <f>_xlfn.IFNA(IF(Optimalisatie!C16="Nieuwe situatie",Optimalisatie!S16/VLOOKUP(Optimalisatie!X16,Database_Overig_Materieel[#All],8,FALSE),0),0)*Optimalisatie!T16</f>
        <v>0</v>
      </c>
      <c r="O644" s="139">
        <f>_xlfn.IFNA(IF(Optimalisatie!C16="Bestaande situatie",Optimalisatie!R16/(VLOOKUP(Optimalisatie!AA16,Database_Asfalt_Verwijderset[#All],60,FALSE)/8),0),0)*Optimalisatie!T16</f>
        <v>0</v>
      </c>
      <c r="P644" s="139">
        <f>_xlfn.IFNA(IF(Optimalisatie!C16="Bestaande situatie",Optimalisatie!S16/VLOOKUP(Optimalisatie!AB16,Database_Overig_Materieel[#All],8,FALSE),0),0)*Optimalisatie!T16</f>
        <v>0</v>
      </c>
      <c r="Q644" s="139">
        <f>IF(Inschrijf_Bouwplaats_Totaal[[#This Row],[Emissieloos Asfalt Aanlegset]]="JA",Inschrijf_Bouwplaats_Totaal[[#This Row],[Draaiuren Bouw Asfalt Vervangingen]],0)+IF(Inschrijf_Bouwplaats_Totaal[[#This Row],[Emissieloos Bouwmaterieel]]="JA",Inschrijf_Bouwplaats_Totaal[[#This Row],[Draaiuren Bouw Overig Vervangingen]],0)+IF(Inschrijf_Bouwplaats_Totaal[[#This Row],[Emissieloos Asfalt Verwijderset]]="JA",Inschrijf_Bouwplaats_Totaal[[#This Row],[Draaiuren Verwijder Asfalt Vervangingen]],0)+IF(Inschrijf_Bouwplaats_Totaal[[#This Row],[Emissieloos Sloopmaterieel]]="JA",Inschrijf_Bouwplaats_Totaal[[#This Row],[Draaiuren Verwijder Overig Vervangingen]],0)</f>
        <v>0</v>
      </c>
      <c r="R644" s="139">
        <f>Inschrijf_Bouwplaats_Totaal[[#This Row],[Emissieloos bouwplaats]]+Inschrijf_Bouwplaats_Totaal[[#This Row],[Emissieloos bouwplaats Vervangingen]]</f>
        <v>0</v>
      </c>
      <c r="S644" s="139">
        <f>(Inschrijf_Bouwplaats_Totaal[[#This Row],[Draaiuren Bouw Asfalt]]+Inschrijf_Bouwplaats_Totaal[[#This Row],[Draaiuren Bouw Overig]]+Inschrijf_Bouwplaats_Totaal[[#This Row],[Draaiuren Verwijder Asfalt]]+Inschrijf_Bouwplaats_Totaal[[#This Row],[Draaiuren Verwijder Overig]]+Inschrijf_Bouwplaats_Totaal[[#This Row],[Draaiuren Bouw Asfalt Vervangingen]]+Inschrijf_Bouwplaats_Totaal[[#This Row],[Draaiuren Bouw Overig Vervangingen]]+Inschrijf_Bouwplaats_Totaal[[#This Row],[Draaiuren Verwijder Asfalt Vervangingen]]+Inschrijf_Bouwplaats_Totaal[[#This Row],[Draaiuren Verwijder Overig Vervangingen]])-Inschrijf_Bouwplaats_Totaal[[#This Row],[Totaal Emissieloos Bouwplaats]]</f>
        <v>17.5</v>
      </c>
      <c r="T644" s="139">
        <f>Inschrijf_Bouwplaats_Totaal[[#This Row],[Totaal Emissieloos Bouwplaats]]+Inschrijf_Bouwplaats_Totaal[[#This Row],[Totaal Niet Emissieloos Bouwplaats]]</f>
        <v>17.5</v>
      </c>
      <c r="U644" s="335"/>
    </row>
    <row r="645" spans="2:21">
      <c r="B645" s="209" t="str">
        <f>Optimalisatie!B17</f>
        <v>121310 - Verwijderen en afvoeren kolken, incl aansluitingen</v>
      </c>
      <c r="C645" s="51" t="str">
        <f>Optimalisatie!F17</f>
        <v>Kolk, Staal &amp; Beton</v>
      </c>
      <c r="D645" s="134">
        <f>_xlfn.IFNA(IF(Optimalisatie!C17="Nieuwe situatie",(Optimalisatie!R17/(VLOOKUP(Optimalisatie!W17,Database_Asfalt_Aanlegset[#All],60,FALSE)/8)),0),0)</f>
        <v>0</v>
      </c>
      <c r="E645" s="135">
        <f>IFERROR(IF(Optimalisatie!C17="Nieuwe situatie",Optimalisatie!J17/Optimalisatie!Z17,0),0)</f>
        <v>0</v>
      </c>
      <c r="F645" s="135">
        <f>_xlfn.IFNA(IF(Optimalisatie!C17="Bestaande situatie",Optimalisatie!R17/(VLOOKUP(Optimalisatie!AA17,Database_Asfalt_Verwijderset[#All],60,FALSE)/8),0),0)</f>
        <v>0</v>
      </c>
      <c r="G645" s="138">
        <f>IFERROR(IF(Optimalisatie!C17="Bestaande situatie",Optimalisatie!J17/Optimalisatie!AD17,0),0)</f>
        <v>101</v>
      </c>
      <c r="H645" s="94" t="str">
        <f>_xlfn.IFNA((VLOOKUP(Optimalisatie!W17,Database_Asfalt_Aanlegset[],61,FALSE)),"Nee")</f>
        <v>Nee</v>
      </c>
      <c r="I645" s="94" t="str">
        <f>_xlfn.IFNA((VLOOKUP(Optimalisatie!X17,Database_Brandstoffen[],60,FALSE)),"Nee")</f>
        <v>Nee</v>
      </c>
      <c r="J645" s="94" t="str">
        <f>_xlfn.IFNA((VLOOKUP(Optimalisatie!AA17,Database_Asfalt_Verwijderset[],61,FALSE)),"Nee")</f>
        <v>Nee</v>
      </c>
      <c r="K645" s="120" t="str">
        <f>_xlfn.IFNA((VLOOKUP(Optimalisatie!AB17,Database_Brandstoffen[],60,FALSE)),"Nee")</f>
        <v>Nee</v>
      </c>
      <c r="L645" s="132">
        <f>IF(Inschrijf_Bouwplaats_Totaal[[#This Row],[Emissieloos Asfalt Aanlegset]]="JA",Inschrijf_Bouwplaats_Totaal[[#This Row],[Draaiuren Bouw Asfalt]],0)+IF(Inschrijf_Bouwplaats_Totaal[[#This Row],[Emissieloos Bouwmaterieel]]="JA",Inschrijf_Bouwplaats_Totaal[[#This Row],[Draaiuren Bouw Overig]],0)+IF(Inschrijf_Bouwplaats_Totaal[[#This Row],[Emissieloos Asfalt Verwijderset]]="JA",Inschrijf_Bouwplaats_Totaal[[#This Row],[Draaiuren Verwijder Asfalt]],0)+IF(Inschrijf_Bouwplaats_Totaal[[#This Row],[Emissieloos Sloopmaterieel]]="JA",Inschrijf_Bouwplaats_Totaal[[#This Row],[Draaiuren Verwijder Overig]],0)</f>
        <v>0</v>
      </c>
      <c r="M645" s="139">
        <f>_xlfn.IFNA(IF(Optimalisatie!C17="Nieuwe situatie",(Optimalisatie!R17/(VLOOKUP(Optimalisatie!W17,Database_Asfalt_Aanlegset[#All],60,FALSE)/8)),0),0)*Optimalisatie!T17</f>
        <v>0</v>
      </c>
      <c r="N645" s="139">
        <f>_xlfn.IFNA(IF(Optimalisatie!C17="Nieuwe situatie",Optimalisatie!S17/VLOOKUP(Optimalisatie!X17,Database_Overig_Materieel[#All],8,FALSE),0),0)*Optimalisatie!T17</f>
        <v>0</v>
      </c>
      <c r="O645" s="139">
        <f>_xlfn.IFNA(IF(Optimalisatie!C17="Bestaande situatie",Optimalisatie!R17/(VLOOKUP(Optimalisatie!AA17,Database_Asfalt_Verwijderset[#All],60,FALSE)/8),0),0)*Optimalisatie!T17</f>
        <v>0</v>
      </c>
      <c r="P645" s="139">
        <f>_xlfn.IFNA(IF(Optimalisatie!C17="Bestaande situatie",Optimalisatie!S17/VLOOKUP(Optimalisatie!AB17,Database_Overig_Materieel[#All],8,FALSE),0),0)*Optimalisatie!T17</f>
        <v>0</v>
      </c>
      <c r="Q645" s="139">
        <f>IF(Inschrijf_Bouwplaats_Totaal[[#This Row],[Emissieloos Asfalt Aanlegset]]="JA",Inschrijf_Bouwplaats_Totaal[[#This Row],[Draaiuren Bouw Asfalt Vervangingen]],0)+IF(Inschrijf_Bouwplaats_Totaal[[#This Row],[Emissieloos Bouwmaterieel]]="JA",Inschrijf_Bouwplaats_Totaal[[#This Row],[Draaiuren Bouw Overig Vervangingen]],0)+IF(Inschrijf_Bouwplaats_Totaal[[#This Row],[Emissieloos Asfalt Verwijderset]]="JA",Inschrijf_Bouwplaats_Totaal[[#This Row],[Draaiuren Verwijder Asfalt Vervangingen]],0)+IF(Inschrijf_Bouwplaats_Totaal[[#This Row],[Emissieloos Sloopmaterieel]]="JA",Inschrijf_Bouwplaats_Totaal[[#This Row],[Draaiuren Verwijder Overig Vervangingen]],0)</f>
        <v>0</v>
      </c>
      <c r="R645" s="139">
        <f>Inschrijf_Bouwplaats_Totaal[[#This Row],[Emissieloos bouwplaats]]+Inschrijf_Bouwplaats_Totaal[[#This Row],[Emissieloos bouwplaats Vervangingen]]</f>
        <v>0</v>
      </c>
      <c r="S645" s="139">
        <f>(Inschrijf_Bouwplaats_Totaal[[#This Row],[Draaiuren Bouw Asfalt]]+Inschrijf_Bouwplaats_Totaal[[#This Row],[Draaiuren Bouw Overig]]+Inschrijf_Bouwplaats_Totaal[[#This Row],[Draaiuren Verwijder Asfalt]]+Inschrijf_Bouwplaats_Totaal[[#This Row],[Draaiuren Verwijder Overig]]+Inschrijf_Bouwplaats_Totaal[[#This Row],[Draaiuren Bouw Asfalt Vervangingen]]+Inschrijf_Bouwplaats_Totaal[[#This Row],[Draaiuren Bouw Overig Vervangingen]]+Inschrijf_Bouwplaats_Totaal[[#This Row],[Draaiuren Verwijder Asfalt Vervangingen]]+Inschrijf_Bouwplaats_Totaal[[#This Row],[Draaiuren Verwijder Overig Vervangingen]])-Inschrijf_Bouwplaats_Totaal[[#This Row],[Totaal Emissieloos Bouwplaats]]</f>
        <v>101</v>
      </c>
      <c r="T645" s="139">
        <f>Inschrijf_Bouwplaats_Totaal[[#This Row],[Totaal Emissieloos Bouwplaats]]+Inschrijf_Bouwplaats_Totaal[[#This Row],[Totaal Niet Emissieloos Bouwplaats]]</f>
        <v>101</v>
      </c>
      <c r="U645" s="335"/>
    </row>
    <row r="646" spans="2:21">
      <c r="B646" s="209" t="str">
        <f>Optimalisatie!B18</f>
        <v>210010 - Grond ontgraven uit cunet wegen en parkeervakken 0,25 m</v>
      </c>
      <c r="C646" s="51" t="str">
        <f>Optimalisatie!F18</f>
        <v>Ophoogmateriaal (Grond)</v>
      </c>
      <c r="D646" s="134">
        <f>_xlfn.IFNA(IF(Optimalisatie!C18="Nieuwe situatie",(Optimalisatie!R18/(VLOOKUP(Optimalisatie!W18,Database_Asfalt_Aanlegset[#All],60,FALSE)/8)),0),0)</f>
        <v>0</v>
      </c>
      <c r="E646" s="135">
        <f>IFERROR(IF(Optimalisatie!C18="Nieuwe situatie",Optimalisatie!J18/Optimalisatie!Z18,0),0)</f>
        <v>0</v>
      </c>
      <c r="F646" s="135">
        <f>_xlfn.IFNA(IF(Optimalisatie!C18="Bestaande situatie",Optimalisatie!R18/(VLOOKUP(Optimalisatie!AA18,Database_Asfalt_Verwijderset[#All],60,FALSE)/8),0),0)</f>
        <v>0</v>
      </c>
      <c r="G646" s="138">
        <f>IFERROR(IF(Optimalisatie!C18="Bestaande situatie",Optimalisatie!J18/Optimalisatie!AD18,0),0)</f>
        <v>83.666666666666671</v>
      </c>
      <c r="H646" s="94" t="str">
        <f>_xlfn.IFNA((VLOOKUP(Optimalisatie!W18,Database_Asfalt_Aanlegset[],61,FALSE)),"Nee")</f>
        <v>Nee</v>
      </c>
      <c r="I646" s="94" t="str">
        <f>_xlfn.IFNA((VLOOKUP(Optimalisatie!X18,Database_Brandstoffen[],60,FALSE)),"Nee")</f>
        <v>Nee</v>
      </c>
      <c r="J646" s="94" t="str">
        <f>_xlfn.IFNA((VLOOKUP(Optimalisatie!AA18,Database_Asfalt_Verwijderset[],61,FALSE)),"Nee")</f>
        <v>Nee</v>
      </c>
      <c r="K646" s="120" t="str">
        <f>_xlfn.IFNA((VLOOKUP(Optimalisatie!AB18,Database_Brandstoffen[],60,FALSE)),"Nee")</f>
        <v>Nee</v>
      </c>
      <c r="L646" s="132">
        <f>IF(Inschrijf_Bouwplaats_Totaal[[#This Row],[Emissieloos Asfalt Aanlegset]]="JA",Inschrijf_Bouwplaats_Totaal[[#This Row],[Draaiuren Bouw Asfalt]],0)+IF(Inschrijf_Bouwplaats_Totaal[[#This Row],[Emissieloos Bouwmaterieel]]="JA",Inschrijf_Bouwplaats_Totaal[[#This Row],[Draaiuren Bouw Overig]],0)+IF(Inschrijf_Bouwplaats_Totaal[[#This Row],[Emissieloos Asfalt Verwijderset]]="JA",Inschrijf_Bouwplaats_Totaal[[#This Row],[Draaiuren Verwijder Asfalt]],0)+IF(Inschrijf_Bouwplaats_Totaal[[#This Row],[Emissieloos Sloopmaterieel]]="JA",Inschrijf_Bouwplaats_Totaal[[#This Row],[Draaiuren Verwijder Overig]],0)</f>
        <v>0</v>
      </c>
      <c r="M646" s="139">
        <f>_xlfn.IFNA(IF(Optimalisatie!C18="Nieuwe situatie",(Optimalisatie!R18/(VLOOKUP(Optimalisatie!W18,Database_Asfalt_Aanlegset[#All],60,FALSE)/8)),0),0)*Optimalisatie!T18</f>
        <v>0</v>
      </c>
      <c r="N646" s="139">
        <f>_xlfn.IFNA(IF(Optimalisatie!C18="Nieuwe situatie",Optimalisatie!S18/VLOOKUP(Optimalisatie!X18,Database_Overig_Materieel[#All],8,FALSE),0),0)*Optimalisatie!T18</f>
        <v>0</v>
      </c>
      <c r="O646" s="139">
        <f>_xlfn.IFNA(IF(Optimalisatie!C18="Bestaande situatie",Optimalisatie!R18/(VLOOKUP(Optimalisatie!AA18,Database_Asfalt_Verwijderset[#All],60,FALSE)/8),0),0)*Optimalisatie!T18</f>
        <v>0</v>
      </c>
      <c r="P646" s="139">
        <f>_xlfn.IFNA(IF(Optimalisatie!C18="Bestaande situatie",Optimalisatie!S18/VLOOKUP(Optimalisatie!AB18,Database_Overig_Materieel[#All],8,FALSE),0),0)*Optimalisatie!T18</f>
        <v>0</v>
      </c>
      <c r="Q646" s="139">
        <f>IF(Inschrijf_Bouwplaats_Totaal[[#This Row],[Emissieloos Asfalt Aanlegset]]="JA",Inschrijf_Bouwplaats_Totaal[[#This Row],[Draaiuren Bouw Asfalt Vervangingen]],0)+IF(Inschrijf_Bouwplaats_Totaal[[#This Row],[Emissieloos Bouwmaterieel]]="JA",Inschrijf_Bouwplaats_Totaal[[#This Row],[Draaiuren Bouw Overig Vervangingen]],0)+IF(Inschrijf_Bouwplaats_Totaal[[#This Row],[Emissieloos Asfalt Verwijderset]]="JA",Inschrijf_Bouwplaats_Totaal[[#This Row],[Draaiuren Verwijder Asfalt Vervangingen]],0)+IF(Inschrijf_Bouwplaats_Totaal[[#This Row],[Emissieloos Sloopmaterieel]]="JA",Inschrijf_Bouwplaats_Totaal[[#This Row],[Draaiuren Verwijder Overig Vervangingen]],0)</f>
        <v>0</v>
      </c>
      <c r="R646" s="139">
        <f>Inschrijf_Bouwplaats_Totaal[[#This Row],[Emissieloos bouwplaats]]+Inschrijf_Bouwplaats_Totaal[[#This Row],[Emissieloos bouwplaats Vervangingen]]</f>
        <v>0</v>
      </c>
      <c r="S646" s="139">
        <f>(Inschrijf_Bouwplaats_Totaal[[#This Row],[Draaiuren Bouw Asfalt]]+Inschrijf_Bouwplaats_Totaal[[#This Row],[Draaiuren Bouw Overig]]+Inschrijf_Bouwplaats_Totaal[[#This Row],[Draaiuren Verwijder Asfalt]]+Inschrijf_Bouwplaats_Totaal[[#This Row],[Draaiuren Verwijder Overig]]+Inschrijf_Bouwplaats_Totaal[[#This Row],[Draaiuren Bouw Asfalt Vervangingen]]+Inschrijf_Bouwplaats_Totaal[[#This Row],[Draaiuren Bouw Overig Vervangingen]]+Inschrijf_Bouwplaats_Totaal[[#This Row],[Draaiuren Verwijder Asfalt Vervangingen]]+Inschrijf_Bouwplaats_Totaal[[#This Row],[Draaiuren Verwijder Overig Vervangingen]])-Inschrijf_Bouwplaats_Totaal[[#This Row],[Totaal Emissieloos Bouwplaats]]</f>
        <v>83.666666666666671</v>
      </c>
      <c r="T646" s="139">
        <f>Inschrijf_Bouwplaats_Totaal[[#This Row],[Totaal Emissieloos Bouwplaats]]+Inschrijf_Bouwplaats_Totaal[[#This Row],[Totaal Niet Emissieloos Bouwplaats]]</f>
        <v>83.666666666666671</v>
      </c>
      <c r="U646" s="335"/>
    </row>
    <row r="647" spans="2:21">
      <c r="B647" s="209" t="str">
        <f>Optimalisatie!B19</f>
        <v>210020 - Grond ontgraven uit sleuf riolering (gerekend met 11,5m3/m1 riool)</v>
      </c>
      <c r="C647" s="51" t="str">
        <f>Optimalisatie!F19</f>
        <v>Ophoogmateriaal (Grond)</v>
      </c>
      <c r="D647" s="134">
        <f>_xlfn.IFNA(IF(Optimalisatie!C19="Nieuwe situatie",(Optimalisatie!R19/(VLOOKUP(Optimalisatie!W19,Database_Asfalt_Aanlegset[#All],60,FALSE)/8)),0),0)</f>
        <v>0</v>
      </c>
      <c r="E647" s="135">
        <f>IFERROR(IF(Optimalisatie!C19="Nieuwe situatie",Optimalisatie!J19/Optimalisatie!Z19,0),0)</f>
        <v>0</v>
      </c>
      <c r="F647" s="135">
        <f>_xlfn.IFNA(IF(Optimalisatie!C19="Bestaande situatie",Optimalisatie!R19/(VLOOKUP(Optimalisatie!AA19,Database_Asfalt_Verwijderset[#All],60,FALSE)/8),0),0)</f>
        <v>0</v>
      </c>
      <c r="G647" s="138">
        <f>IFERROR(IF(Optimalisatie!C19="Bestaande situatie",Optimalisatie!J19/Optimalisatie!AD19,0),0)</f>
        <v>315</v>
      </c>
      <c r="H647" s="94" t="str">
        <f>_xlfn.IFNA((VLOOKUP(Optimalisatie!W19,Database_Asfalt_Aanlegset[],61,FALSE)),"Nee")</f>
        <v>Nee</v>
      </c>
      <c r="I647" s="94" t="str">
        <f>_xlfn.IFNA((VLOOKUP(Optimalisatie!X19,Database_Brandstoffen[],60,FALSE)),"Nee")</f>
        <v>Nee</v>
      </c>
      <c r="J647" s="94" t="str">
        <f>_xlfn.IFNA((VLOOKUP(Optimalisatie!AA19,Database_Asfalt_Verwijderset[],61,FALSE)),"Nee")</f>
        <v>Nee</v>
      </c>
      <c r="K647" s="120" t="str">
        <f>_xlfn.IFNA((VLOOKUP(Optimalisatie!AB19,Database_Brandstoffen[],60,FALSE)),"Nee")</f>
        <v>Nee</v>
      </c>
      <c r="L647" s="132">
        <f>IF(Inschrijf_Bouwplaats_Totaal[[#This Row],[Emissieloos Asfalt Aanlegset]]="JA",Inschrijf_Bouwplaats_Totaal[[#This Row],[Draaiuren Bouw Asfalt]],0)+IF(Inschrijf_Bouwplaats_Totaal[[#This Row],[Emissieloos Bouwmaterieel]]="JA",Inschrijf_Bouwplaats_Totaal[[#This Row],[Draaiuren Bouw Overig]],0)+IF(Inschrijf_Bouwplaats_Totaal[[#This Row],[Emissieloos Asfalt Verwijderset]]="JA",Inschrijf_Bouwplaats_Totaal[[#This Row],[Draaiuren Verwijder Asfalt]],0)+IF(Inschrijf_Bouwplaats_Totaal[[#This Row],[Emissieloos Sloopmaterieel]]="JA",Inschrijf_Bouwplaats_Totaal[[#This Row],[Draaiuren Verwijder Overig]],0)</f>
        <v>0</v>
      </c>
      <c r="M647" s="139">
        <f>_xlfn.IFNA(IF(Optimalisatie!C19="Nieuwe situatie",(Optimalisatie!R19/(VLOOKUP(Optimalisatie!W19,Database_Asfalt_Aanlegset[#All],60,FALSE)/8)),0),0)*Optimalisatie!T19</f>
        <v>0</v>
      </c>
      <c r="N647" s="139">
        <f>_xlfn.IFNA(IF(Optimalisatie!C19="Nieuwe situatie",Optimalisatie!S19/VLOOKUP(Optimalisatie!X19,Database_Overig_Materieel[#All],8,FALSE),0),0)*Optimalisatie!T19</f>
        <v>0</v>
      </c>
      <c r="O647" s="139">
        <f>_xlfn.IFNA(IF(Optimalisatie!C19="Bestaande situatie",Optimalisatie!R19/(VLOOKUP(Optimalisatie!AA19,Database_Asfalt_Verwijderset[#All],60,FALSE)/8),0),0)*Optimalisatie!T19</f>
        <v>0</v>
      </c>
      <c r="P647" s="139">
        <f>_xlfn.IFNA(IF(Optimalisatie!C19="Bestaande situatie",Optimalisatie!S19/VLOOKUP(Optimalisatie!AB19,Database_Overig_Materieel[#All],8,FALSE),0),0)*Optimalisatie!T19</f>
        <v>0</v>
      </c>
      <c r="Q647" s="139">
        <f>IF(Inschrijf_Bouwplaats_Totaal[[#This Row],[Emissieloos Asfalt Aanlegset]]="JA",Inschrijf_Bouwplaats_Totaal[[#This Row],[Draaiuren Bouw Asfalt Vervangingen]],0)+IF(Inschrijf_Bouwplaats_Totaal[[#This Row],[Emissieloos Bouwmaterieel]]="JA",Inschrijf_Bouwplaats_Totaal[[#This Row],[Draaiuren Bouw Overig Vervangingen]],0)+IF(Inschrijf_Bouwplaats_Totaal[[#This Row],[Emissieloos Asfalt Verwijderset]]="JA",Inschrijf_Bouwplaats_Totaal[[#This Row],[Draaiuren Verwijder Asfalt Vervangingen]],0)+IF(Inschrijf_Bouwplaats_Totaal[[#This Row],[Emissieloos Sloopmaterieel]]="JA",Inschrijf_Bouwplaats_Totaal[[#This Row],[Draaiuren Verwijder Overig Vervangingen]],0)</f>
        <v>0</v>
      </c>
      <c r="R647" s="139">
        <f>Inschrijf_Bouwplaats_Totaal[[#This Row],[Emissieloos bouwplaats]]+Inschrijf_Bouwplaats_Totaal[[#This Row],[Emissieloos bouwplaats Vervangingen]]</f>
        <v>0</v>
      </c>
      <c r="S647" s="139">
        <f>(Inschrijf_Bouwplaats_Totaal[[#This Row],[Draaiuren Bouw Asfalt]]+Inschrijf_Bouwplaats_Totaal[[#This Row],[Draaiuren Bouw Overig]]+Inschrijf_Bouwplaats_Totaal[[#This Row],[Draaiuren Verwijder Asfalt]]+Inschrijf_Bouwplaats_Totaal[[#This Row],[Draaiuren Verwijder Overig]]+Inschrijf_Bouwplaats_Totaal[[#This Row],[Draaiuren Bouw Asfalt Vervangingen]]+Inschrijf_Bouwplaats_Totaal[[#This Row],[Draaiuren Bouw Overig Vervangingen]]+Inschrijf_Bouwplaats_Totaal[[#This Row],[Draaiuren Verwijder Asfalt Vervangingen]]+Inschrijf_Bouwplaats_Totaal[[#This Row],[Draaiuren Verwijder Overig Vervangingen]])-Inschrijf_Bouwplaats_Totaal[[#This Row],[Totaal Emissieloos Bouwplaats]]</f>
        <v>315</v>
      </c>
      <c r="T647" s="139">
        <f>Inschrijf_Bouwplaats_Totaal[[#This Row],[Totaal Emissieloos Bouwplaats]]+Inschrijf_Bouwplaats_Totaal[[#This Row],[Totaal Niet Emissieloos Bouwplaats]]</f>
        <v>315</v>
      </c>
      <c r="U647" s="335"/>
    </row>
    <row r="648" spans="2:21">
      <c r="B648" s="209" t="str">
        <f>Optimalisatie!B20</f>
        <v>210030 - Grond ontgraven uit plantvak</v>
      </c>
      <c r="C648" s="51" t="str">
        <f>Optimalisatie!F20</f>
        <v>Ophoogmateriaal (Grond)</v>
      </c>
      <c r="D648" s="134">
        <f>_xlfn.IFNA(IF(Optimalisatie!C20="Nieuwe situatie",(Optimalisatie!R20/(VLOOKUP(Optimalisatie!W20,Database_Asfalt_Aanlegset[#All],60,FALSE)/8)),0),0)</f>
        <v>0</v>
      </c>
      <c r="E648" s="135">
        <f>IFERROR(IF(Optimalisatie!C20="Nieuwe situatie",Optimalisatie!J20/Optimalisatie!Z20,0),0)</f>
        <v>0</v>
      </c>
      <c r="F648" s="135">
        <f>_xlfn.IFNA(IF(Optimalisatie!C20="Bestaande situatie",Optimalisatie!R20/(VLOOKUP(Optimalisatie!AA20,Database_Asfalt_Verwijderset[#All],60,FALSE)/8),0),0)</f>
        <v>0</v>
      </c>
      <c r="G648" s="138">
        <f>IFERROR(IF(Optimalisatie!C20="Bestaande situatie",Optimalisatie!J20/Optimalisatie!AD20,0),0)</f>
        <v>78.066666666666663</v>
      </c>
      <c r="H648" s="94" t="str">
        <f>_xlfn.IFNA((VLOOKUP(Optimalisatie!W20,Database_Asfalt_Aanlegset[],61,FALSE)),"Nee")</f>
        <v>Nee</v>
      </c>
      <c r="I648" s="94" t="str">
        <f>_xlfn.IFNA((VLOOKUP(Optimalisatie!X20,Database_Brandstoffen[],60,FALSE)),"Nee")</f>
        <v>Nee</v>
      </c>
      <c r="J648" s="94" t="str">
        <f>_xlfn.IFNA((VLOOKUP(Optimalisatie!AA20,Database_Asfalt_Verwijderset[],61,FALSE)),"Nee")</f>
        <v>Nee</v>
      </c>
      <c r="K648" s="120" t="str">
        <f>_xlfn.IFNA((VLOOKUP(Optimalisatie!AB20,Database_Brandstoffen[],60,FALSE)),"Nee")</f>
        <v>Nee</v>
      </c>
      <c r="L648" s="132">
        <f>IF(Inschrijf_Bouwplaats_Totaal[[#This Row],[Emissieloos Asfalt Aanlegset]]="JA",Inschrijf_Bouwplaats_Totaal[[#This Row],[Draaiuren Bouw Asfalt]],0)+IF(Inschrijf_Bouwplaats_Totaal[[#This Row],[Emissieloos Bouwmaterieel]]="JA",Inschrijf_Bouwplaats_Totaal[[#This Row],[Draaiuren Bouw Overig]],0)+IF(Inschrijf_Bouwplaats_Totaal[[#This Row],[Emissieloos Asfalt Verwijderset]]="JA",Inschrijf_Bouwplaats_Totaal[[#This Row],[Draaiuren Verwijder Asfalt]],0)+IF(Inschrijf_Bouwplaats_Totaal[[#This Row],[Emissieloos Sloopmaterieel]]="JA",Inschrijf_Bouwplaats_Totaal[[#This Row],[Draaiuren Verwijder Overig]],0)</f>
        <v>0</v>
      </c>
      <c r="M648" s="139">
        <f>_xlfn.IFNA(IF(Optimalisatie!C20="Nieuwe situatie",(Optimalisatie!R20/(VLOOKUP(Optimalisatie!W20,Database_Asfalt_Aanlegset[#All],60,FALSE)/8)),0),0)*Optimalisatie!T20</f>
        <v>0</v>
      </c>
      <c r="N648" s="139">
        <f>_xlfn.IFNA(IF(Optimalisatie!C20="Nieuwe situatie",Optimalisatie!S20/VLOOKUP(Optimalisatie!X20,Database_Overig_Materieel[#All],8,FALSE),0),0)*Optimalisatie!T20</f>
        <v>0</v>
      </c>
      <c r="O648" s="139">
        <f>_xlfn.IFNA(IF(Optimalisatie!C20="Bestaande situatie",Optimalisatie!R20/(VLOOKUP(Optimalisatie!AA20,Database_Asfalt_Verwijderset[#All],60,FALSE)/8),0),0)*Optimalisatie!T20</f>
        <v>0</v>
      </c>
      <c r="P648" s="139">
        <f>_xlfn.IFNA(IF(Optimalisatie!C20="Bestaande situatie",Optimalisatie!S20/VLOOKUP(Optimalisatie!AB20,Database_Overig_Materieel[#All],8,FALSE),0),0)*Optimalisatie!T20</f>
        <v>0</v>
      </c>
      <c r="Q648" s="139">
        <f>IF(Inschrijf_Bouwplaats_Totaal[[#This Row],[Emissieloos Asfalt Aanlegset]]="JA",Inschrijf_Bouwplaats_Totaal[[#This Row],[Draaiuren Bouw Asfalt Vervangingen]],0)+IF(Inschrijf_Bouwplaats_Totaal[[#This Row],[Emissieloos Bouwmaterieel]]="JA",Inschrijf_Bouwplaats_Totaal[[#This Row],[Draaiuren Bouw Overig Vervangingen]],0)+IF(Inschrijf_Bouwplaats_Totaal[[#This Row],[Emissieloos Asfalt Verwijderset]]="JA",Inschrijf_Bouwplaats_Totaal[[#This Row],[Draaiuren Verwijder Asfalt Vervangingen]],0)+IF(Inschrijf_Bouwplaats_Totaal[[#This Row],[Emissieloos Sloopmaterieel]]="JA",Inschrijf_Bouwplaats_Totaal[[#This Row],[Draaiuren Verwijder Overig Vervangingen]],0)</f>
        <v>0</v>
      </c>
      <c r="R648" s="139">
        <f>Inschrijf_Bouwplaats_Totaal[[#This Row],[Emissieloos bouwplaats]]+Inschrijf_Bouwplaats_Totaal[[#This Row],[Emissieloos bouwplaats Vervangingen]]</f>
        <v>0</v>
      </c>
      <c r="S648" s="139">
        <f>(Inschrijf_Bouwplaats_Totaal[[#This Row],[Draaiuren Bouw Asfalt]]+Inschrijf_Bouwplaats_Totaal[[#This Row],[Draaiuren Bouw Overig]]+Inschrijf_Bouwplaats_Totaal[[#This Row],[Draaiuren Verwijder Asfalt]]+Inschrijf_Bouwplaats_Totaal[[#This Row],[Draaiuren Verwijder Overig]]+Inschrijf_Bouwplaats_Totaal[[#This Row],[Draaiuren Bouw Asfalt Vervangingen]]+Inschrijf_Bouwplaats_Totaal[[#This Row],[Draaiuren Bouw Overig Vervangingen]]+Inschrijf_Bouwplaats_Totaal[[#This Row],[Draaiuren Verwijder Asfalt Vervangingen]]+Inschrijf_Bouwplaats_Totaal[[#This Row],[Draaiuren Verwijder Overig Vervangingen]])-Inschrijf_Bouwplaats_Totaal[[#This Row],[Totaal Emissieloos Bouwplaats]]</f>
        <v>78.066666666666663</v>
      </c>
      <c r="T648" s="139">
        <f>Inschrijf_Bouwplaats_Totaal[[#This Row],[Totaal Emissieloos Bouwplaats]]+Inschrijf_Bouwplaats_Totaal[[#This Row],[Totaal Niet Emissieloos Bouwplaats]]</f>
        <v>78.066666666666663</v>
      </c>
      <c r="U648" s="335"/>
    </row>
    <row r="649" spans="2:21">
      <c r="B649" s="209" t="str">
        <f>Optimalisatie!B21</f>
        <v>220010 - Grond verwerken in sleuf riolering</v>
      </c>
      <c r="C649" s="51" t="str">
        <f>Optimalisatie!F21</f>
        <v>Ophoogmateriaal (Grond)</v>
      </c>
      <c r="D649" s="134">
        <f>_xlfn.IFNA(IF(Optimalisatie!C21="Nieuwe situatie",(Optimalisatie!R21/(VLOOKUP(Optimalisatie!W21,Database_Asfalt_Aanlegset[#All],60,FALSE)/8)),0),0)</f>
        <v>0</v>
      </c>
      <c r="E649" s="135">
        <f>IFERROR(IF(Optimalisatie!C21="Nieuwe situatie",Optimalisatie!J21/Optimalisatie!Z21,0),0)</f>
        <v>472.5</v>
      </c>
      <c r="F649" s="135">
        <f>_xlfn.IFNA(IF(Optimalisatie!C21="Bestaande situatie",Optimalisatie!R21/(VLOOKUP(Optimalisatie!AA21,Database_Asfalt_Verwijderset[#All],60,FALSE)/8),0),0)</f>
        <v>0</v>
      </c>
      <c r="G649" s="138">
        <f>IFERROR(IF(Optimalisatie!C21="Bestaande situatie",Optimalisatie!J21/Optimalisatie!AD21,0),0)</f>
        <v>0</v>
      </c>
      <c r="H649" s="94" t="str">
        <f>_xlfn.IFNA((VLOOKUP(Optimalisatie!W21,Database_Asfalt_Aanlegset[],61,FALSE)),"Nee")</f>
        <v>Nee</v>
      </c>
      <c r="I649" s="94" t="str">
        <f>_xlfn.IFNA((VLOOKUP(Optimalisatie!X21,Database_Brandstoffen[],60,FALSE)),"Nee")</f>
        <v>Nee</v>
      </c>
      <c r="J649" s="94" t="str">
        <f>_xlfn.IFNA((VLOOKUP(Optimalisatie!AA21,Database_Asfalt_Verwijderset[],61,FALSE)),"Nee")</f>
        <v>Nee</v>
      </c>
      <c r="K649" s="120" t="str">
        <f>_xlfn.IFNA((VLOOKUP(Optimalisatie!AB21,Database_Brandstoffen[],60,FALSE)),"Nee")</f>
        <v>Nee</v>
      </c>
      <c r="L649" s="132">
        <f>IF(Inschrijf_Bouwplaats_Totaal[[#This Row],[Emissieloos Asfalt Aanlegset]]="JA",Inschrijf_Bouwplaats_Totaal[[#This Row],[Draaiuren Bouw Asfalt]],0)+IF(Inschrijf_Bouwplaats_Totaal[[#This Row],[Emissieloos Bouwmaterieel]]="JA",Inschrijf_Bouwplaats_Totaal[[#This Row],[Draaiuren Bouw Overig]],0)+IF(Inschrijf_Bouwplaats_Totaal[[#This Row],[Emissieloos Asfalt Verwijderset]]="JA",Inschrijf_Bouwplaats_Totaal[[#This Row],[Draaiuren Verwijder Asfalt]],0)+IF(Inschrijf_Bouwplaats_Totaal[[#This Row],[Emissieloos Sloopmaterieel]]="JA",Inschrijf_Bouwplaats_Totaal[[#This Row],[Draaiuren Verwijder Overig]],0)</f>
        <v>0</v>
      </c>
      <c r="M649" s="139">
        <f>_xlfn.IFNA(IF(Optimalisatie!C21="Nieuwe situatie",(Optimalisatie!R21/(VLOOKUP(Optimalisatie!W21,Database_Asfalt_Aanlegset[#All],60,FALSE)/8)),0),0)*Optimalisatie!T21</f>
        <v>0</v>
      </c>
      <c r="N649" s="139">
        <f>_xlfn.IFNA(IF(Optimalisatie!C21="Nieuwe situatie",Optimalisatie!S21/VLOOKUP(Optimalisatie!X21,Database_Overig_Materieel[#All],8,FALSE),0),0)*Optimalisatie!T21</f>
        <v>0</v>
      </c>
      <c r="O649" s="139">
        <f>_xlfn.IFNA(IF(Optimalisatie!C21="Bestaande situatie",Optimalisatie!R21/(VLOOKUP(Optimalisatie!AA21,Database_Asfalt_Verwijderset[#All],60,FALSE)/8),0),0)*Optimalisatie!T21</f>
        <v>0</v>
      </c>
      <c r="P649" s="139">
        <f>_xlfn.IFNA(IF(Optimalisatie!C21="Bestaande situatie",Optimalisatie!S21/VLOOKUP(Optimalisatie!AB21,Database_Overig_Materieel[#All],8,FALSE),0),0)*Optimalisatie!T21</f>
        <v>0</v>
      </c>
      <c r="Q649" s="139">
        <f>IF(Inschrijf_Bouwplaats_Totaal[[#This Row],[Emissieloos Asfalt Aanlegset]]="JA",Inschrijf_Bouwplaats_Totaal[[#This Row],[Draaiuren Bouw Asfalt Vervangingen]],0)+IF(Inschrijf_Bouwplaats_Totaal[[#This Row],[Emissieloos Bouwmaterieel]]="JA",Inschrijf_Bouwplaats_Totaal[[#This Row],[Draaiuren Bouw Overig Vervangingen]],0)+IF(Inschrijf_Bouwplaats_Totaal[[#This Row],[Emissieloos Asfalt Verwijderset]]="JA",Inschrijf_Bouwplaats_Totaal[[#This Row],[Draaiuren Verwijder Asfalt Vervangingen]],0)+IF(Inschrijf_Bouwplaats_Totaal[[#This Row],[Emissieloos Sloopmaterieel]]="JA",Inschrijf_Bouwplaats_Totaal[[#This Row],[Draaiuren Verwijder Overig Vervangingen]],0)</f>
        <v>0</v>
      </c>
      <c r="R649" s="139">
        <f>Inschrijf_Bouwplaats_Totaal[[#This Row],[Emissieloos bouwplaats]]+Inschrijf_Bouwplaats_Totaal[[#This Row],[Emissieloos bouwplaats Vervangingen]]</f>
        <v>0</v>
      </c>
      <c r="S649" s="139">
        <f>(Inschrijf_Bouwplaats_Totaal[[#This Row],[Draaiuren Bouw Asfalt]]+Inschrijf_Bouwplaats_Totaal[[#This Row],[Draaiuren Bouw Overig]]+Inschrijf_Bouwplaats_Totaal[[#This Row],[Draaiuren Verwijder Asfalt]]+Inschrijf_Bouwplaats_Totaal[[#This Row],[Draaiuren Verwijder Overig]]+Inschrijf_Bouwplaats_Totaal[[#This Row],[Draaiuren Bouw Asfalt Vervangingen]]+Inschrijf_Bouwplaats_Totaal[[#This Row],[Draaiuren Bouw Overig Vervangingen]]+Inschrijf_Bouwplaats_Totaal[[#This Row],[Draaiuren Verwijder Asfalt Vervangingen]]+Inschrijf_Bouwplaats_Totaal[[#This Row],[Draaiuren Verwijder Overig Vervangingen]])-Inschrijf_Bouwplaats_Totaal[[#This Row],[Totaal Emissieloos Bouwplaats]]</f>
        <v>472.5</v>
      </c>
      <c r="T649" s="139">
        <f>Inschrijf_Bouwplaats_Totaal[[#This Row],[Totaal Emissieloos Bouwplaats]]+Inschrijf_Bouwplaats_Totaal[[#This Row],[Totaal Niet Emissieloos Bouwplaats]]</f>
        <v>472.5</v>
      </c>
      <c r="U649" s="335"/>
    </row>
    <row r="650" spans="2:21">
      <c r="B650" s="209" t="str">
        <f>Optimalisatie!B22</f>
        <v>220020 - Leveren en aanbrengen zand voor zand (gemiddeld 100 mm)</v>
      </c>
      <c r="C650" s="51" t="str">
        <f>Optimalisatie!F22</f>
        <v>Ophoogmateriaal (Zand)</v>
      </c>
      <c r="D650" s="134">
        <f>_xlfn.IFNA(IF(Optimalisatie!C22="Nieuwe situatie",(Optimalisatie!R22/(VLOOKUP(Optimalisatie!W22,Database_Asfalt_Aanlegset[#All],60,FALSE)/8)),0),0)</f>
        <v>0</v>
      </c>
      <c r="E650" s="135">
        <f>IFERROR(IF(Optimalisatie!C22="Nieuwe situatie",Optimalisatie!J22/Optimalisatie!Z22,0),0)</f>
        <v>35</v>
      </c>
      <c r="F650" s="135">
        <f>_xlfn.IFNA(IF(Optimalisatie!C22="Bestaande situatie",Optimalisatie!R22/(VLOOKUP(Optimalisatie!AA22,Database_Asfalt_Verwijderset[#All],60,FALSE)/8),0),0)</f>
        <v>0</v>
      </c>
      <c r="G650" s="138">
        <f>IFERROR(IF(Optimalisatie!C22="Bestaande situatie",Optimalisatie!J22/Optimalisatie!AD22,0),0)</f>
        <v>0</v>
      </c>
      <c r="H650" s="94" t="str">
        <f>_xlfn.IFNA((VLOOKUP(Optimalisatie!W22,Database_Asfalt_Aanlegset[],61,FALSE)),"Nee")</f>
        <v>Nee</v>
      </c>
      <c r="I650" s="94" t="str">
        <f>_xlfn.IFNA((VLOOKUP(Optimalisatie!X22,Database_Brandstoffen[],60,FALSE)),"Nee")</f>
        <v>Nee</v>
      </c>
      <c r="J650" s="94" t="str">
        <f>_xlfn.IFNA((VLOOKUP(Optimalisatie!AA22,Database_Asfalt_Verwijderset[],61,FALSE)),"Nee")</f>
        <v>Nee</v>
      </c>
      <c r="K650" s="120" t="str">
        <f>_xlfn.IFNA((VLOOKUP(Optimalisatie!AB22,Database_Brandstoffen[],60,FALSE)),"Nee")</f>
        <v>Nee</v>
      </c>
      <c r="L650" s="132">
        <f>IF(Inschrijf_Bouwplaats_Totaal[[#This Row],[Emissieloos Asfalt Aanlegset]]="JA",Inschrijf_Bouwplaats_Totaal[[#This Row],[Draaiuren Bouw Asfalt]],0)+IF(Inschrijf_Bouwplaats_Totaal[[#This Row],[Emissieloos Bouwmaterieel]]="JA",Inschrijf_Bouwplaats_Totaal[[#This Row],[Draaiuren Bouw Overig]],0)+IF(Inschrijf_Bouwplaats_Totaal[[#This Row],[Emissieloos Asfalt Verwijderset]]="JA",Inschrijf_Bouwplaats_Totaal[[#This Row],[Draaiuren Verwijder Asfalt]],0)+IF(Inschrijf_Bouwplaats_Totaal[[#This Row],[Emissieloos Sloopmaterieel]]="JA",Inschrijf_Bouwplaats_Totaal[[#This Row],[Draaiuren Verwijder Overig]],0)</f>
        <v>0</v>
      </c>
      <c r="M650" s="139">
        <f>_xlfn.IFNA(IF(Optimalisatie!C22="Nieuwe situatie",(Optimalisatie!R22/(VLOOKUP(Optimalisatie!W22,Database_Asfalt_Aanlegset[#All],60,FALSE)/8)),0),0)*Optimalisatie!T22</f>
        <v>0</v>
      </c>
      <c r="N650" s="139">
        <f>_xlfn.IFNA(IF(Optimalisatie!C22="Nieuwe situatie",Optimalisatie!S22/VLOOKUP(Optimalisatie!X22,Database_Overig_Materieel[#All],8,FALSE),0),0)*Optimalisatie!T22</f>
        <v>0</v>
      </c>
      <c r="O650" s="139">
        <f>_xlfn.IFNA(IF(Optimalisatie!C22="Bestaande situatie",Optimalisatie!R22/(VLOOKUP(Optimalisatie!AA22,Database_Asfalt_Verwijderset[#All],60,FALSE)/8),0),0)*Optimalisatie!T22</f>
        <v>0</v>
      </c>
      <c r="P650" s="139">
        <f>_xlfn.IFNA(IF(Optimalisatie!C22="Bestaande situatie",Optimalisatie!S22/VLOOKUP(Optimalisatie!AB22,Database_Overig_Materieel[#All],8,FALSE),0),0)*Optimalisatie!T22</f>
        <v>0</v>
      </c>
      <c r="Q650" s="139">
        <f>IF(Inschrijf_Bouwplaats_Totaal[[#This Row],[Emissieloos Asfalt Aanlegset]]="JA",Inschrijf_Bouwplaats_Totaal[[#This Row],[Draaiuren Bouw Asfalt Vervangingen]],0)+IF(Inschrijf_Bouwplaats_Totaal[[#This Row],[Emissieloos Bouwmaterieel]]="JA",Inschrijf_Bouwplaats_Totaal[[#This Row],[Draaiuren Bouw Overig Vervangingen]],0)+IF(Inschrijf_Bouwplaats_Totaal[[#This Row],[Emissieloos Asfalt Verwijderset]]="JA",Inschrijf_Bouwplaats_Totaal[[#This Row],[Draaiuren Verwijder Asfalt Vervangingen]],0)+IF(Inschrijf_Bouwplaats_Totaal[[#This Row],[Emissieloos Sloopmaterieel]]="JA",Inschrijf_Bouwplaats_Totaal[[#This Row],[Draaiuren Verwijder Overig Vervangingen]],0)</f>
        <v>0</v>
      </c>
      <c r="R650" s="139">
        <f>Inschrijf_Bouwplaats_Totaal[[#This Row],[Emissieloos bouwplaats]]+Inschrijf_Bouwplaats_Totaal[[#This Row],[Emissieloos bouwplaats Vervangingen]]</f>
        <v>0</v>
      </c>
      <c r="S650" s="139">
        <f>(Inschrijf_Bouwplaats_Totaal[[#This Row],[Draaiuren Bouw Asfalt]]+Inschrijf_Bouwplaats_Totaal[[#This Row],[Draaiuren Bouw Overig]]+Inschrijf_Bouwplaats_Totaal[[#This Row],[Draaiuren Verwijder Asfalt]]+Inschrijf_Bouwplaats_Totaal[[#This Row],[Draaiuren Verwijder Overig]]+Inschrijf_Bouwplaats_Totaal[[#This Row],[Draaiuren Bouw Asfalt Vervangingen]]+Inschrijf_Bouwplaats_Totaal[[#This Row],[Draaiuren Bouw Overig Vervangingen]]+Inschrijf_Bouwplaats_Totaal[[#This Row],[Draaiuren Verwijder Asfalt Vervangingen]]+Inschrijf_Bouwplaats_Totaal[[#This Row],[Draaiuren Verwijder Overig Vervangingen]])-Inschrijf_Bouwplaats_Totaal[[#This Row],[Totaal Emissieloos Bouwplaats]]</f>
        <v>35</v>
      </c>
      <c r="T650" s="139">
        <f>Inschrijf_Bouwplaats_Totaal[[#This Row],[Totaal Emissieloos Bouwplaats]]+Inschrijf_Bouwplaats_Totaal[[#This Row],[Totaal Niet Emissieloos Bouwplaats]]</f>
        <v>35</v>
      </c>
      <c r="U650" s="335"/>
    </row>
    <row r="651" spans="2:21">
      <c r="B651" s="209" t="str">
        <f>Optimalisatie!B23</f>
        <v>322020 - Leveren en aanbrengen rioolbuis van Beton Ø400mm</v>
      </c>
      <c r="C651" s="51" t="str">
        <f>Optimalisatie!F23</f>
        <v>Betonbuis 500 mm</v>
      </c>
      <c r="D651" s="134">
        <f>_xlfn.IFNA(IF(Optimalisatie!C23="Nieuwe situatie",(Optimalisatie!R23/(VLOOKUP(Optimalisatie!W23,Database_Asfalt_Aanlegset[#All],60,FALSE)/8)),0),0)</f>
        <v>0</v>
      </c>
      <c r="E651" s="135">
        <f>IFERROR(IF(Optimalisatie!C23="Nieuwe situatie",Optimalisatie!J23/Optimalisatie!Z23,0),0)</f>
        <v>16.8</v>
      </c>
      <c r="F651" s="135">
        <f>_xlfn.IFNA(IF(Optimalisatie!C23="Bestaande situatie",Optimalisatie!R23/(VLOOKUP(Optimalisatie!AA23,Database_Asfalt_Verwijderset[#All],60,FALSE)/8),0),0)</f>
        <v>0</v>
      </c>
      <c r="G651" s="138">
        <f>IFERROR(IF(Optimalisatie!C23="Bestaande situatie",Optimalisatie!J23/Optimalisatie!AD23,0),0)</f>
        <v>0</v>
      </c>
      <c r="H651" s="94" t="str">
        <f>_xlfn.IFNA((VLOOKUP(Optimalisatie!W23,Database_Asfalt_Aanlegset[],61,FALSE)),"Nee")</f>
        <v>Nee</v>
      </c>
      <c r="I651" s="94" t="str">
        <f>_xlfn.IFNA((VLOOKUP(Optimalisatie!X23,Database_Brandstoffen[],60,FALSE)),"Nee")</f>
        <v>Nee</v>
      </c>
      <c r="J651" s="94" t="str">
        <f>_xlfn.IFNA((VLOOKUP(Optimalisatie!AA23,Database_Asfalt_Verwijderset[],61,FALSE)),"Nee")</f>
        <v>Nee</v>
      </c>
      <c r="K651" s="120" t="str">
        <f>_xlfn.IFNA((VLOOKUP(Optimalisatie!AB23,Database_Brandstoffen[],60,FALSE)),"Nee")</f>
        <v>Nee</v>
      </c>
      <c r="L651" s="132">
        <f>IF(Inschrijf_Bouwplaats_Totaal[[#This Row],[Emissieloos Asfalt Aanlegset]]="JA",Inschrijf_Bouwplaats_Totaal[[#This Row],[Draaiuren Bouw Asfalt]],0)+IF(Inschrijf_Bouwplaats_Totaal[[#This Row],[Emissieloos Bouwmaterieel]]="JA",Inschrijf_Bouwplaats_Totaal[[#This Row],[Draaiuren Bouw Overig]],0)+IF(Inschrijf_Bouwplaats_Totaal[[#This Row],[Emissieloos Asfalt Verwijderset]]="JA",Inschrijf_Bouwplaats_Totaal[[#This Row],[Draaiuren Verwijder Asfalt]],0)+IF(Inschrijf_Bouwplaats_Totaal[[#This Row],[Emissieloos Sloopmaterieel]]="JA",Inschrijf_Bouwplaats_Totaal[[#This Row],[Draaiuren Verwijder Overig]],0)</f>
        <v>0</v>
      </c>
      <c r="M651" s="139">
        <f>_xlfn.IFNA(IF(Optimalisatie!C23="Nieuwe situatie",(Optimalisatie!R23/(VLOOKUP(Optimalisatie!W23,Database_Asfalt_Aanlegset[#All],60,FALSE)/8)),0),0)*Optimalisatie!T23</f>
        <v>0</v>
      </c>
      <c r="N651" s="139">
        <f>_xlfn.IFNA(IF(Optimalisatie!C23="Nieuwe situatie",Optimalisatie!S23/VLOOKUP(Optimalisatie!X23,Database_Overig_Materieel[#All],8,FALSE),0),0)*Optimalisatie!T23</f>
        <v>0</v>
      </c>
      <c r="O651" s="139">
        <f>_xlfn.IFNA(IF(Optimalisatie!C23="Bestaande situatie",Optimalisatie!R23/(VLOOKUP(Optimalisatie!AA23,Database_Asfalt_Verwijderset[#All],60,FALSE)/8),0),0)*Optimalisatie!T23</f>
        <v>0</v>
      </c>
      <c r="P651" s="139">
        <f>_xlfn.IFNA(IF(Optimalisatie!C23="Bestaande situatie",Optimalisatie!S23/VLOOKUP(Optimalisatie!AB23,Database_Overig_Materieel[#All],8,FALSE),0),0)*Optimalisatie!T23</f>
        <v>0</v>
      </c>
      <c r="Q651" s="139">
        <f>IF(Inschrijf_Bouwplaats_Totaal[[#This Row],[Emissieloos Asfalt Aanlegset]]="JA",Inschrijf_Bouwplaats_Totaal[[#This Row],[Draaiuren Bouw Asfalt Vervangingen]],0)+IF(Inschrijf_Bouwplaats_Totaal[[#This Row],[Emissieloos Bouwmaterieel]]="JA",Inschrijf_Bouwplaats_Totaal[[#This Row],[Draaiuren Bouw Overig Vervangingen]],0)+IF(Inschrijf_Bouwplaats_Totaal[[#This Row],[Emissieloos Asfalt Verwijderset]]="JA",Inschrijf_Bouwplaats_Totaal[[#This Row],[Draaiuren Verwijder Asfalt Vervangingen]],0)+IF(Inschrijf_Bouwplaats_Totaal[[#This Row],[Emissieloos Sloopmaterieel]]="JA",Inschrijf_Bouwplaats_Totaal[[#This Row],[Draaiuren Verwijder Overig Vervangingen]],0)</f>
        <v>0</v>
      </c>
      <c r="R651" s="139">
        <f>Inschrijf_Bouwplaats_Totaal[[#This Row],[Emissieloos bouwplaats]]+Inschrijf_Bouwplaats_Totaal[[#This Row],[Emissieloos bouwplaats Vervangingen]]</f>
        <v>0</v>
      </c>
      <c r="S651" s="139">
        <f>(Inschrijf_Bouwplaats_Totaal[[#This Row],[Draaiuren Bouw Asfalt]]+Inschrijf_Bouwplaats_Totaal[[#This Row],[Draaiuren Bouw Overig]]+Inschrijf_Bouwplaats_Totaal[[#This Row],[Draaiuren Verwijder Asfalt]]+Inschrijf_Bouwplaats_Totaal[[#This Row],[Draaiuren Verwijder Overig]]+Inschrijf_Bouwplaats_Totaal[[#This Row],[Draaiuren Bouw Asfalt Vervangingen]]+Inschrijf_Bouwplaats_Totaal[[#This Row],[Draaiuren Bouw Overig Vervangingen]]+Inschrijf_Bouwplaats_Totaal[[#This Row],[Draaiuren Verwijder Asfalt Vervangingen]]+Inschrijf_Bouwplaats_Totaal[[#This Row],[Draaiuren Verwijder Overig Vervangingen]])-Inschrijf_Bouwplaats_Totaal[[#This Row],[Totaal Emissieloos Bouwplaats]]</f>
        <v>16.8</v>
      </c>
      <c r="T651" s="139">
        <f>Inschrijf_Bouwplaats_Totaal[[#This Row],[Totaal Emissieloos Bouwplaats]]+Inschrijf_Bouwplaats_Totaal[[#This Row],[Totaal Niet Emissieloos Bouwplaats]]</f>
        <v>16.8</v>
      </c>
      <c r="U651" s="335"/>
    </row>
    <row r="652" spans="2:21">
      <c r="B652" s="209" t="str">
        <f>Optimalisatie!B24</f>
        <v>322070 - Leveren en aanbrengen rioolbuis van Beton IT Ø400mm</v>
      </c>
      <c r="C652" s="51" t="str">
        <f>Optimalisatie!F24</f>
        <v>Betonbuis 500 mm</v>
      </c>
      <c r="D652" s="134">
        <f>_xlfn.IFNA(IF(Optimalisatie!C24="Nieuwe situatie",(Optimalisatie!R24/(VLOOKUP(Optimalisatie!W24,Database_Asfalt_Aanlegset[#All],60,FALSE)/8)),0),0)</f>
        <v>0</v>
      </c>
      <c r="E652" s="135">
        <f>IFERROR(IF(Optimalisatie!C24="Nieuwe situatie",Optimalisatie!J24/Optimalisatie!Z24,0),0)</f>
        <v>13.3</v>
      </c>
      <c r="F652" s="135">
        <f>_xlfn.IFNA(IF(Optimalisatie!C24="Bestaande situatie",Optimalisatie!R24/(VLOOKUP(Optimalisatie!AA24,Database_Asfalt_Verwijderset[#All],60,FALSE)/8),0),0)</f>
        <v>0</v>
      </c>
      <c r="G652" s="138">
        <f>IFERROR(IF(Optimalisatie!C24="Bestaande situatie",Optimalisatie!J24/Optimalisatie!AD24,0),0)</f>
        <v>0</v>
      </c>
      <c r="H652" s="94" t="str">
        <f>_xlfn.IFNA((VLOOKUP(Optimalisatie!W24,Database_Asfalt_Aanlegset[],61,FALSE)),"Nee")</f>
        <v>Nee</v>
      </c>
      <c r="I652" s="94" t="str">
        <f>_xlfn.IFNA((VLOOKUP(Optimalisatie!X24,Database_Brandstoffen[],60,FALSE)),"Nee")</f>
        <v>Nee</v>
      </c>
      <c r="J652" s="94" t="str">
        <f>_xlfn.IFNA((VLOOKUP(Optimalisatie!AA24,Database_Asfalt_Verwijderset[],61,FALSE)),"Nee")</f>
        <v>Nee</v>
      </c>
      <c r="K652" s="120" t="str">
        <f>_xlfn.IFNA((VLOOKUP(Optimalisatie!AB24,Database_Brandstoffen[],60,FALSE)),"Nee")</f>
        <v>Nee</v>
      </c>
      <c r="L652" s="132">
        <f>IF(Inschrijf_Bouwplaats_Totaal[[#This Row],[Emissieloos Asfalt Aanlegset]]="JA",Inschrijf_Bouwplaats_Totaal[[#This Row],[Draaiuren Bouw Asfalt]],0)+IF(Inschrijf_Bouwplaats_Totaal[[#This Row],[Emissieloos Bouwmaterieel]]="JA",Inschrijf_Bouwplaats_Totaal[[#This Row],[Draaiuren Bouw Overig]],0)+IF(Inschrijf_Bouwplaats_Totaal[[#This Row],[Emissieloos Asfalt Verwijderset]]="JA",Inschrijf_Bouwplaats_Totaal[[#This Row],[Draaiuren Verwijder Asfalt]],0)+IF(Inschrijf_Bouwplaats_Totaal[[#This Row],[Emissieloos Sloopmaterieel]]="JA",Inschrijf_Bouwplaats_Totaal[[#This Row],[Draaiuren Verwijder Overig]],0)</f>
        <v>0</v>
      </c>
      <c r="M652" s="139">
        <f>_xlfn.IFNA(IF(Optimalisatie!C24="Nieuwe situatie",(Optimalisatie!R24/(VLOOKUP(Optimalisatie!W24,Database_Asfalt_Aanlegset[#All],60,FALSE)/8)),0),0)*Optimalisatie!T24</f>
        <v>0</v>
      </c>
      <c r="N652" s="139">
        <f>_xlfn.IFNA(IF(Optimalisatie!C24="Nieuwe situatie",Optimalisatie!S24/VLOOKUP(Optimalisatie!X24,Database_Overig_Materieel[#All],8,FALSE),0),0)*Optimalisatie!T24</f>
        <v>0</v>
      </c>
      <c r="O652" s="139">
        <f>_xlfn.IFNA(IF(Optimalisatie!C24="Bestaande situatie",Optimalisatie!R24/(VLOOKUP(Optimalisatie!AA24,Database_Asfalt_Verwijderset[#All],60,FALSE)/8),0),0)*Optimalisatie!T24</f>
        <v>0</v>
      </c>
      <c r="P652" s="139">
        <f>_xlfn.IFNA(IF(Optimalisatie!C24="Bestaande situatie",Optimalisatie!S24/VLOOKUP(Optimalisatie!AB24,Database_Overig_Materieel[#All],8,FALSE),0),0)*Optimalisatie!T24</f>
        <v>0</v>
      </c>
      <c r="Q652" s="139">
        <f>IF(Inschrijf_Bouwplaats_Totaal[[#This Row],[Emissieloos Asfalt Aanlegset]]="JA",Inschrijf_Bouwplaats_Totaal[[#This Row],[Draaiuren Bouw Asfalt Vervangingen]],0)+IF(Inschrijf_Bouwplaats_Totaal[[#This Row],[Emissieloos Bouwmaterieel]]="JA",Inschrijf_Bouwplaats_Totaal[[#This Row],[Draaiuren Bouw Overig Vervangingen]],0)+IF(Inschrijf_Bouwplaats_Totaal[[#This Row],[Emissieloos Asfalt Verwijderset]]="JA",Inschrijf_Bouwplaats_Totaal[[#This Row],[Draaiuren Verwijder Asfalt Vervangingen]],0)+IF(Inschrijf_Bouwplaats_Totaal[[#This Row],[Emissieloos Sloopmaterieel]]="JA",Inschrijf_Bouwplaats_Totaal[[#This Row],[Draaiuren Verwijder Overig Vervangingen]],0)</f>
        <v>0</v>
      </c>
      <c r="R652" s="139">
        <f>Inschrijf_Bouwplaats_Totaal[[#This Row],[Emissieloos bouwplaats]]+Inschrijf_Bouwplaats_Totaal[[#This Row],[Emissieloos bouwplaats Vervangingen]]</f>
        <v>0</v>
      </c>
      <c r="S652" s="139">
        <f>(Inschrijf_Bouwplaats_Totaal[[#This Row],[Draaiuren Bouw Asfalt]]+Inschrijf_Bouwplaats_Totaal[[#This Row],[Draaiuren Bouw Overig]]+Inschrijf_Bouwplaats_Totaal[[#This Row],[Draaiuren Verwijder Asfalt]]+Inschrijf_Bouwplaats_Totaal[[#This Row],[Draaiuren Verwijder Overig]]+Inschrijf_Bouwplaats_Totaal[[#This Row],[Draaiuren Bouw Asfalt Vervangingen]]+Inschrijf_Bouwplaats_Totaal[[#This Row],[Draaiuren Bouw Overig Vervangingen]]+Inschrijf_Bouwplaats_Totaal[[#This Row],[Draaiuren Verwijder Asfalt Vervangingen]]+Inschrijf_Bouwplaats_Totaal[[#This Row],[Draaiuren Verwijder Overig Vervangingen]])-Inschrijf_Bouwplaats_Totaal[[#This Row],[Totaal Emissieloos Bouwplaats]]</f>
        <v>13.3</v>
      </c>
      <c r="T652" s="139">
        <f>Inschrijf_Bouwplaats_Totaal[[#This Row],[Totaal Emissieloos Bouwplaats]]+Inschrijf_Bouwplaats_Totaal[[#This Row],[Totaal Niet Emissieloos Bouwplaats]]</f>
        <v>13.3</v>
      </c>
      <c r="U652" s="335"/>
    </row>
    <row r="653" spans="2:21">
      <c r="B653" s="209" t="str">
        <f>Optimalisatie!B25</f>
        <v>322100 - Leveren en aanbrengen rioolbuis van Beton IT Ø800mm</v>
      </c>
      <c r="C653" s="51" t="str">
        <f>Optimalisatie!F25</f>
        <v>Betonbuis 800 mm</v>
      </c>
      <c r="D653" s="134">
        <f>_xlfn.IFNA(IF(Optimalisatie!C25="Nieuwe situatie",(Optimalisatie!R25/(VLOOKUP(Optimalisatie!W25,Database_Asfalt_Aanlegset[#All],60,FALSE)/8)),0),0)</f>
        <v>0</v>
      </c>
      <c r="E653" s="135">
        <f>IFERROR(IF(Optimalisatie!C25="Nieuwe situatie",Optimalisatie!J25/Optimalisatie!Z25,0),0)</f>
        <v>99.55</v>
      </c>
      <c r="F653" s="135">
        <f>_xlfn.IFNA(IF(Optimalisatie!C25="Bestaande situatie",Optimalisatie!R25/(VLOOKUP(Optimalisatie!AA25,Database_Asfalt_Verwijderset[#All],60,FALSE)/8),0),0)</f>
        <v>0</v>
      </c>
      <c r="G653" s="138">
        <f>IFERROR(IF(Optimalisatie!C25="Bestaande situatie",Optimalisatie!J25/Optimalisatie!AD25,0),0)</f>
        <v>0</v>
      </c>
      <c r="H653" s="94" t="str">
        <f>_xlfn.IFNA((VLOOKUP(Optimalisatie!W25,Database_Asfalt_Aanlegset[],61,FALSE)),"Nee")</f>
        <v>Nee</v>
      </c>
      <c r="I653" s="94" t="str">
        <f>_xlfn.IFNA((VLOOKUP(Optimalisatie!X25,Database_Brandstoffen[],60,FALSE)),"Nee")</f>
        <v>Nee</v>
      </c>
      <c r="J653" s="94" t="str">
        <f>_xlfn.IFNA((VLOOKUP(Optimalisatie!AA25,Database_Asfalt_Verwijderset[],61,FALSE)),"Nee")</f>
        <v>Nee</v>
      </c>
      <c r="K653" s="120" t="str">
        <f>_xlfn.IFNA((VLOOKUP(Optimalisatie!AB25,Database_Brandstoffen[],60,FALSE)),"Nee")</f>
        <v>Nee</v>
      </c>
      <c r="L653" s="132">
        <f>IF(Inschrijf_Bouwplaats_Totaal[[#This Row],[Emissieloos Asfalt Aanlegset]]="JA",Inschrijf_Bouwplaats_Totaal[[#This Row],[Draaiuren Bouw Asfalt]],0)+IF(Inschrijf_Bouwplaats_Totaal[[#This Row],[Emissieloos Bouwmaterieel]]="JA",Inschrijf_Bouwplaats_Totaal[[#This Row],[Draaiuren Bouw Overig]],0)+IF(Inschrijf_Bouwplaats_Totaal[[#This Row],[Emissieloos Asfalt Verwijderset]]="JA",Inschrijf_Bouwplaats_Totaal[[#This Row],[Draaiuren Verwijder Asfalt]],0)+IF(Inschrijf_Bouwplaats_Totaal[[#This Row],[Emissieloos Sloopmaterieel]]="JA",Inschrijf_Bouwplaats_Totaal[[#This Row],[Draaiuren Verwijder Overig]],0)</f>
        <v>0</v>
      </c>
      <c r="M653" s="139">
        <f>_xlfn.IFNA(IF(Optimalisatie!C25="Nieuwe situatie",(Optimalisatie!R25/(VLOOKUP(Optimalisatie!W25,Database_Asfalt_Aanlegset[#All],60,FALSE)/8)),0),0)*Optimalisatie!T25</f>
        <v>0</v>
      </c>
      <c r="N653" s="139">
        <f>_xlfn.IFNA(IF(Optimalisatie!C25="Nieuwe situatie",Optimalisatie!S25/VLOOKUP(Optimalisatie!X25,Database_Overig_Materieel[#All],8,FALSE),0),0)*Optimalisatie!T25</f>
        <v>0</v>
      </c>
      <c r="O653" s="139">
        <f>_xlfn.IFNA(IF(Optimalisatie!C25="Bestaande situatie",Optimalisatie!R25/(VLOOKUP(Optimalisatie!AA25,Database_Asfalt_Verwijderset[#All],60,FALSE)/8),0),0)*Optimalisatie!T25</f>
        <v>0</v>
      </c>
      <c r="P653" s="139">
        <f>_xlfn.IFNA(IF(Optimalisatie!C25="Bestaande situatie",Optimalisatie!S25/VLOOKUP(Optimalisatie!AB25,Database_Overig_Materieel[#All],8,FALSE),0),0)*Optimalisatie!T25</f>
        <v>0</v>
      </c>
      <c r="Q653" s="139">
        <f>IF(Inschrijf_Bouwplaats_Totaal[[#This Row],[Emissieloos Asfalt Aanlegset]]="JA",Inschrijf_Bouwplaats_Totaal[[#This Row],[Draaiuren Bouw Asfalt Vervangingen]],0)+IF(Inschrijf_Bouwplaats_Totaal[[#This Row],[Emissieloos Bouwmaterieel]]="JA",Inschrijf_Bouwplaats_Totaal[[#This Row],[Draaiuren Bouw Overig Vervangingen]],0)+IF(Inschrijf_Bouwplaats_Totaal[[#This Row],[Emissieloos Asfalt Verwijderset]]="JA",Inschrijf_Bouwplaats_Totaal[[#This Row],[Draaiuren Verwijder Asfalt Vervangingen]],0)+IF(Inschrijf_Bouwplaats_Totaal[[#This Row],[Emissieloos Sloopmaterieel]]="JA",Inschrijf_Bouwplaats_Totaal[[#This Row],[Draaiuren Verwijder Overig Vervangingen]],0)</f>
        <v>0</v>
      </c>
      <c r="R653" s="139">
        <f>Inschrijf_Bouwplaats_Totaal[[#This Row],[Emissieloos bouwplaats]]+Inschrijf_Bouwplaats_Totaal[[#This Row],[Emissieloos bouwplaats Vervangingen]]</f>
        <v>0</v>
      </c>
      <c r="S653" s="139">
        <f>(Inschrijf_Bouwplaats_Totaal[[#This Row],[Draaiuren Bouw Asfalt]]+Inschrijf_Bouwplaats_Totaal[[#This Row],[Draaiuren Bouw Overig]]+Inschrijf_Bouwplaats_Totaal[[#This Row],[Draaiuren Verwijder Asfalt]]+Inschrijf_Bouwplaats_Totaal[[#This Row],[Draaiuren Verwijder Overig]]+Inschrijf_Bouwplaats_Totaal[[#This Row],[Draaiuren Bouw Asfalt Vervangingen]]+Inschrijf_Bouwplaats_Totaal[[#This Row],[Draaiuren Bouw Overig Vervangingen]]+Inschrijf_Bouwplaats_Totaal[[#This Row],[Draaiuren Verwijder Asfalt Vervangingen]]+Inschrijf_Bouwplaats_Totaal[[#This Row],[Draaiuren Verwijder Overig Vervangingen]])-Inschrijf_Bouwplaats_Totaal[[#This Row],[Totaal Emissieloos Bouwplaats]]</f>
        <v>99.55</v>
      </c>
      <c r="T653" s="139">
        <f>Inschrijf_Bouwplaats_Totaal[[#This Row],[Totaal Emissieloos Bouwplaats]]+Inschrijf_Bouwplaats_Totaal[[#This Row],[Totaal Niet Emissieloos Bouwplaats]]</f>
        <v>99.55</v>
      </c>
      <c r="U653" s="335"/>
    </row>
    <row r="654" spans="2:21">
      <c r="B654" s="209" t="str">
        <f>Optimalisatie!B26</f>
        <v>330010 - Leveren en aanbrengen kolken</v>
      </c>
      <c r="C654" s="51" t="str">
        <f>Optimalisatie!F26</f>
        <v>Kolk, Staal &amp; Beton</v>
      </c>
      <c r="D654" s="134">
        <f>_xlfn.IFNA(IF(Optimalisatie!C26="Nieuwe situatie",(Optimalisatie!R26/(VLOOKUP(Optimalisatie!W26,Database_Asfalt_Aanlegset[#All],60,FALSE)/8)),0),0)</f>
        <v>0</v>
      </c>
      <c r="E654" s="135">
        <f>IFERROR(IF(Optimalisatie!C26="Nieuwe situatie",Optimalisatie!J26/Optimalisatie!Z26,0),0)</f>
        <v>101</v>
      </c>
      <c r="F654" s="135">
        <f>_xlfn.IFNA(IF(Optimalisatie!C26="Bestaande situatie",Optimalisatie!R26/(VLOOKUP(Optimalisatie!AA26,Database_Asfalt_Verwijderset[#All],60,FALSE)/8),0),0)</f>
        <v>0</v>
      </c>
      <c r="G654" s="138">
        <f>IFERROR(IF(Optimalisatie!C26="Bestaande situatie",Optimalisatie!J26/Optimalisatie!AD26,0),0)</f>
        <v>0</v>
      </c>
      <c r="H654" s="94" t="str">
        <f>_xlfn.IFNA((VLOOKUP(Optimalisatie!W26,Database_Asfalt_Aanlegset[],61,FALSE)),"Nee")</f>
        <v>Nee</v>
      </c>
      <c r="I654" s="94" t="str">
        <f>_xlfn.IFNA((VLOOKUP(Optimalisatie!X26,Database_Brandstoffen[],60,FALSE)),"Nee")</f>
        <v>Nee</v>
      </c>
      <c r="J654" s="94" t="str">
        <f>_xlfn.IFNA((VLOOKUP(Optimalisatie!AA26,Database_Asfalt_Verwijderset[],61,FALSE)),"Nee")</f>
        <v>Nee</v>
      </c>
      <c r="K654" s="120" t="str">
        <f>_xlfn.IFNA((VLOOKUP(Optimalisatie!AB26,Database_Brandstoffen[],60,FALSE)),"Nee")</f>
        <v>Nee</v>
      </c>
      <c r="L654" s="132">
        <f>IF(Inschrijf_Bouwplaats_Totaal[[#This Row],[Emissieloos Asfalt Aanlegset]]="JA",Inschrijf_Bouwplaats_Totaal[[#This Row],[Draaiuren Bouw Asfalt]],0)+IF(Inschrijf_Bouwplaats_Totaal[[#This Row],[Emissieloos Bouwmaterieel]]="JA",Inschrijf_Bouwplaats_Totaal[[#This Row],[Draaiuren Bouw Overig]],0)+IF(Inschrijf_Bouwplaats_Totaal[[#This Row],[Emissieloos Asfalt Verwijderset]]="JA",Inschrijf_Bouwplaats_Totaal[[#This Row],[Draaiuren Verwijder Asfalt]],0)+IF(Inschrijf_Bouwplaats_Totaal[[#This Row],[Emissieloos Sloopmaterieel]]="JA",Inschrijf_Bouwplaats_Totaal[[#This Row],[Draaiuren Verwijder Overig]],0)</f>
        <v>0</v>
      </c>
      <c r="M654" s="139">
        <f>_xlfn.IFNA(IF(Optimalisatie!C26="Nieuwe situatie",(Optimalisatie!R26/(VLOOKUP(Optimalisatie!W26,Database_Asfalt_Aanlegset[#All],60,FALSE)/8)),0),0)*Optimalisatie!T26</f>
        <v>0</v>
      </c>
      <c r="N654" s="139">
        <f>_xlfn.IFNA(IF(Optimalisatie!C26="Nieuwe situatie",Optimalisatie!S26/VLOOKUP(Optimalisatie!X26,Database_Overig_Materieel[#All],8,FALSE),0),0)*Optimalisatie!T26</f>
        <v>0</v>
      </c>
      <c r="O654" s="139">
        <f>_xlfn.IFNA(IF(Optimalisatie!C26="Bestaande situatie",Optimalisatie!R26/(VLOOKUP(Optimalisatie!AA26,Database_Asfalt_Verwijderset[#All],60,FALSE)/8),0),0)*Optimalisatie!T26</f>
        <v>0</v>
      </c>
      <c r="P654" s="139">
        <f>_xlfn.IFNA(IF(Optimalisatie!C26="Bestaande situatie",Optimalisatie!S26/VLOOKUP(Optimalisatie!AB26,Database_Overig_Materieel[#All],8,FALSE),0),0)*Optimalisatie!T26</f>
        <v>0</v>
      </c>
      <c r="Q654" s="139">
        <f>IF(Inschrijf_Bouwplaats_Totaal[[#This Row],[Emissieloos Asfalt Aanlegset]]="JA",Inschrijf_Bouwplaats_Totaal[[#This Row],[Draaiuren Bouw Asfalt Vervangingen]],0)+IF(Inschrijf_Bouwplaats_Totaal[[#This Row],[Emissieloos Bouwmaterieel]]="JA",Inschrijf_Bouwplaats_Totaal[[#This Row],[Draaiuren Bouw Overig Vervangingen]],0)+IF(Inschrijf_Bouwplaats_Totaal[[#This Row],[Emissieloos Asfalt Verwijderset]]="JA",Inschrijf_Bouwplaats_Totaal[[#This Row],[Draaiuren Verwijder Asfalt Vervangingen]],0)+IF(Inschrijf_Bouwplaats_Totaal[[#This Row],[Emissieloos Sloopmaterieel]]="JA",Inschrijf_Bouwplaats_Totaal[[#This Row],[Draaiuren Verwijder Overig Vervangingen]],0)</f>
        <v>0</v>
      </c>
      <c r="R654" s="139">
        <f>Inschrijf_Bouwplaats_Totaal[[#This Row],[Emissieloos bouwplaats]]+Inschrijf_Bouwplaats_Totaal[[#This Row],[Emissieloos bouwplaats Vervangingen]]</f>
        <v>0</v>
      </c>
      <c r="S654" s="139">
        <f>(Inschrijf_Bouwplaats_Totaal[[#This Row],[Draaiuren Bouw Asfalt]]+Inschrijf_Bouwplaats_Totaal[[#This Row],[Draaiuren Bouw Overig]]+Inschrijf_Bouwplaats_Totaal[[#This Row],[Draaiuren Verwijder Asfalt]]+Inschrijf_Bouwplaats_Totaal[[#This Row],[Draaiuren Verwijder Overig]]+Inschrijf_Bouwplaats_Totaal[[#This Row],[Draaiuren Bouw Asfalt Vervangingen]]+Inschrijf_Bouwplaats_Totaal[[#This Row],[Draaiuren Bouw Overig Vervangingen]]+Inschrijf_Bouwplaats_Totaal[[#This Row],[Draaiuren Verwijder Asfalt Vervangingen]]+Inschrijf_Bouwplaats_Totaal[[#This Row],[Draaiuren Verwijder Overig Vervangingen]])-Inschrijf_Bouwplaats_Totaal[[#This Row],[Totaal Emissieloos Bouwplaats]]</f>
        <v>101</v>
      </c>
      <c r="T654" s="139">
        <f>Inschrijf_Bouwplaats_Totaal[[#This Row],[Totaal Emissieloos Bouwplaats]]+Inschrijf_Bouwplaats_Totaal[[#This Row],[Totaal Niet Emissieloos Bouwplaats]]</f>
        <v>101</v>
      </c>
      <c r="U654" s="335"/>
    </row>
    <row r="655" spans="2:21">
      <c r="B655" s="209" t="str">
        <f>Optimalisatie!B27</f>
        <v>420010 - Leveren en aanbrengen fundering menggranulaat, (250mm dik)</v>
      </c>
      <c r="C655" s="51" t="str">
        <f>Optimalisatie!F27</f>
        <v>Menggranulaat 250mm</v>
      </c>
      <c r="D655" s="134">
        <f>_xlfn.IFNA(IF(Optimalisatie!C27="Nieuwe situatie",(Optimalisatie!R27/(VLOOKUP(Optimalisatie!W27,Database_Asfalt_Aanlegset[#All],60,FALSE)/8)),0),0)</f>
        <v>0</v>
      </c>
      <c r="E655" s="135">
        <f>IFERROR(IF(Optimalisatie!C27="Nieuwe situatie",Optimalisatie!J27/Optimalisatie!Z27,0),0)</f>
        <v>488</v>
      </c>
      <c r="F655" s="135">
        <f>_xlfn.IFNA(IF(Optimalisatie!C27="Bestaande situatie",Optimalisatie!R27/(VLOOKUP(Optimalisatie!AA27,Database_Asfalt_Verwijderset[#All],60,FALSE)/8),0),0)</f>
        <v>0</v>
      </c>
      <c r="G655" s="138">
        <f>IFERROR(IF(Optimalisatie!C27="Bestaande situatie",Optimalisatie!J27/Optimalisatie!AD27,0),0)</f>
        <v>0</v>
      </c>
      <c r="H655" s="94" t="str">
        <f>_xlfn.IFNA((VLOOKUP(Optimalisatie!W27,Database_Asfalt_Aanlegset[],61,FALSE)),"Nee")</f>
        <v>Nee</v>
      </c>
      <c r="I655" s="94" t="str">
        <f>_xlfn.IFNA((VLOOKUP(Optimalisatie!X27,Database_Brandstoffen[],60,FALSE)),"Nee")</f>
        <v>Nee</v>
      </c>
      <c r="J655" s="94" t="str">
        <f>_xlfn.IFNA((VLOOKUP(Optimalisatie!AA27,Database_Asfalt_Verwijderset[],61,FALSE)),"Nee")</f>
        <v>Nee</v>
      </c>
      <c r="K655" s="120" t="str">
        <f>_xlfn.IFNA((VLOOKUP(Optimalisatie!AB27,Database_Brandstoffen[],60,FALSE)),"Nee")</f>
        <v>Nee</v>
      </c>
      <c r="L655" s="132">
        <f>IF(Inschrijf_Bouwplaats_Totaal[[#This Row],[Emissieloos Asfalt Aanlegset]]="JA",Inschrijf_Bouwplaats_Totaal[[#This Row],[Draaiuren Bouw Asfalt]],0)+IF(Inschrijf_Bouwplaats_Totaal[[#This Row],[Emissieloos Bouwmaterieel]]="JA",Inschrijf_Bouwplaats_Totaal[[#This Row],[Draaiuren Bouw Overig]],0)+IF(Inschrijf_Bouwplaats_Totaal[[#This Row],[Emissieloos Asfalt Verwijderset]]="JA",Inschrijf_Bouwplaats_Totaal[[#This Row],[Draaiuren Verwijder Asfalt]],0)+IF(Inschrijf_Bouwplaats_Totaal[[#This Row],[Emissieloos Sloopmaterieel]]="JA",Inschrijf_Bouwplaats_Totaal[[#This Row],[Draaiuren Verwijder Overig]],0)</f>
        <v>0</v>
      </c>
      <c r="M655" s="139">
        <f>_xlfn.IFNA(IF(Optimalisatie!C27="Nieuwe situatie",(Optimalisatie!R27/(VLOOKUP(Optimalisatie!W27,Database_Asfalt_Aanlegset[#All],60,FALSE)/8)),0),0)*Optimalisatie!T27</f>
        <v>0</v>
      </c>
      <c r="N655" s="139">
        <f>_xlfn.IFNA(IF(Optimalisatie!C27="Nieuwe situatie",Optimalisatie!S27/VLOOKUP(Optimalisatie!X27,Database_Overig_Materieel[#All],8,FALSE),0),0)*Optimalisatie!T27</f>
        <v>0</v>
      </c>
      <c r="O655" s="139">
        <f>_xlfn.IFNA(IF(Optimalisatie!C27="Bestaande situatie",Optimalisatie!R27/(VLOOKUP(Optimalisatie!AA27,Database_Asfalt_Verwijderset[#All],60,FALSE)/8),0),0)*Optimalisatie!T27</f>
        <v>0</v>
      </c>
      <c r="P655" s="139">
        <f>_xlfn.IFNA(IF(Optimalisatie!C27="Bestaande situatie",Optimalisatie!S27/VLOOKUP(Optimalisatie!AB27,Database_Overig_Materieel[#All],8,FALSE),0),0)*Optimalisatie!T27</f>
        <v>0</v>
      </c>
      <c r="Q655" s="139">
        <f>IF(Inschrijf_Bouwplaats_Totaal[[#This Row],[Emissieloos Asfalt Aanlegset]]="JA",Inschrijf_Bouwplaats_Totaal[[#This Row],[Draaiuren Bouw Asfalt Vervangingen]],0)+IF(Inschrijf_Bouwplaats_Totaal[[#This Row],[Emissieloos Bouwmaterieel]]="JA",Inschrijf_Bouwplaats_Totaal[[#This Row],[Draaiuren Bouw Overig Vervangingen]],0)+IF(Inschrijf_Bouwplaats_Totaal[[#This Row],[Emissieloos Asfalt Verwijderset]]="JA",Inschrijf_Bouwplaats_Totaal[[#This Row],[Draaiuren Verwijder Asfalt Vervangingen]],0)+IF(Inschrijf_Bouwplaats_Totaal[[#This Row],[Emissieloos Sloopmaterieel]]="JA",Inschrijf_Bouwplaats_Totaal[[#This Row],[Draaiuren Verwijder Overig Vervangingen]],0)</f>
        <v>0</v>
      </c>
      <c r="R655" s="139">
        <f>Inschrijf_Bouwplaats_Totaal[[#This Row],[Emissieloos bouwplaats]]+Inschrijf_Bouwplaats_Totaal[[#This Row],[Emissieloos bouwplaats Vervangingen]]</f>
        <v>0</v>
      </c>
      <c r="S655" s="139">
        <f>(Inschrijf_Bouwplaats_Totaal[[#This Row],[Draaiuren Bouw Asfalt]]+Inschrijf_Bouwplaats_Totaal[[#This Row],[Draaiuren Bouw Overig]]+Inschrijf_Bouwplaats_Totaal[[#This Row],[Draaiuren Verwijder Asfalt]]+Inschrijf_Bouwplaats_Totaal[[#This Row],[Draaiuren Verwijder Overig]]+Inschrijf_Bouwplaats_Totaal[[#This Row],[Draaiuren Bouw Asfalt Vervangingen]]+Inschrijf_Bouwplaats_Totaal[[#This Row],[Draaiuren Bouw Overig Vervangingen]]+Inschrijf_Bouwplaats_Totaal[[#This Row],[Draaiuren Verwijder Asfalt Vervangingen]]+Inschrijf_Bouwplaats_Totaal[[#This Row],[Draaiuren Verwijder Overig Vervangingen]])-Inschrijf_Bouwplaats_Totaal[[#This Row],[Totaal Emissieloos Bouwplaats]]</f>
        <v>488</v>
      </c>
      <c r="T655" s="139">
        <f>Inschrijf_Bouwplaats_Totaal[[#This Row],[Totaal Emissieloos Bouwplaats]]+Inschrijf_Bouwplaats_Totaal[[#This Row],[Totaal Niet Emissieloos Bouwplaats]]</f>
        <v>488</v>
      </c>
      <c r="U655" s="335"/>
    </row>
    <row r="656" spans="2:21">
      <c r="B656" s="209" t="str">
        <f>Optimalisatie!B28</f>
        <v>430010 - Leveren en aanbrengen trottoirbanden 180/200x250</v>
      </c>
      <c r="C656" s="51" t="str">
        <f>Optimalisatie!F28</f>
        <v>Trottoirband 180/200x250</v>
      </c>
      <c r="D656" s="134">
        <f>_xlfn.IFNA(IF(Optimalisatie!C28="Nieuwe situatie",(Optimalisatie!R28/(VLOOKUP(Optimalisatie!W28,Database_Asfalt_Aanlegset[#All],60,FALSE)/8)),0),0)</f>
        <v>0</v>
      </c>
      <c r="E656" s="135">
        <f>IFERROR(IF(Optimalisatie!C28="Nieuwe situatie",Optimalisatie!J28/Optimalisatie!Z28,0),0)</f>
        <v>5.3125</v>
      </c>
      <c r="F656" s="135">
        <f>_xlfn.IFNA(IF(Optimalisatie!C28="Bestaande situatie",Optimalisatie!R28/(VLOOKUP(Optimalisatie!AA28,Database_Asfalt_Verwijderset[#All],60,FALSE)/8),0),0)</f>
        <v>0</v>
      </c>
      <c r="G656" s="138">
        <f>IFERROR(IF(Optimalisatie!C28="Bestaande situatie",Optimalisatie!J28/Optimalisatie!AD28,0),0)</f>
        <v>0</v>
      </c>
      <c r="H656" s="94" t="str">
        <f>_xlfn.IFNA((VLOOKUP(Optimalisatie!W28,Database_Asfalt_Aanlegset[],61,FALSE)),"Nee")</f>
        <v>Nee</v>
      </c>
      <c r="I656" s="94" t="str">
        <f>_xlfn.IFNA((VLOOKUP(Optimalisatie!X28,Database_Brandstoffen[],60,FALSE)),"Nee")</f>
        <v>Nee</v>
      </c>
      <c r="J656" s="94" t="str">
        <f>_xlfn.IFNA((VLOOKUP(Optimalisatie!AA28,Database_Asfalt_Verwijderset[],61,FALSE)),"Nee")</f>
        <v>Nee</v>
      </c>
      <c r="K656" s="120" t="str">
        <f>_xlfn.IFNA((VLOOKUP(Optimalisatie!AB28,Database_Brandstoffen[],60,FALSE)),"Nee")</f>
        <v>Nee</v>
      </c>
      <c r="L656" s="132">
        <f>IF(Inschrijf_Bouwplaats_Totaal[[#This Row],[Emissieloos Asfalt Aanlegset]]="JA",Inschrijf_Bouwplaats_Totaal[[#This Row],[Draaiuren Bouw Asfalt]],0)+IF(Inschrijf_Bouwplaats_Totaal[[#This Row],[Emissieloos Bouwmaterieel]]="JA",Inschrijf_Bouwplaats_Totaal[[#This Row],[Draaiuren Bouw Overig]],0)+IF(Inschrijf_Bouwplaats_Totaal[[#This Row],[Emissieloos Asfalt Verwijderset]]="JA",Inschrijf_Bouwplaats_Totaal[[#This Row],[Draaiuren Verwijder Asfalt]],0)+IF(Inschrijf_Bouwplaats_Totaal[[#This Row],[Emissieloos Sloopmaterieel]]="JA",Inschrijf_Bouwplaats_Totaal[[#This Row],[Draaiuren Verwijder Overig]],0)</f>
        <v>0</v>
      </c>
      <c r="M656" s="139">
        <f>_xlfn.IFNA(IF(Optimalisatie!C28="Nieuwe situatie",(Optimalisatie!R28/(VLOOKUP(Optimalisatie!W28,Database_Asfalt_Aanlegset[#All],60,FALSE)/8)),0),0)*Optimalisatie!T28</f>
        <v>0</v>
      </c>
      <c r="N656" s="139">
        <f>_xlfn.IFNA(IF(Optimalisatie!C28="Nieuwe situatie",Optimalisatie!S28/VLOOKUP(Optimalisatie!X28,Database_Overig_Materieel[#All],8,FALSE),0),0)*Optimalisatie!T28</f>
        <v>0</v>
      </c>
      <c r="O656" s="139">
        <f>_xlfn.IFNA(IF(Optimalisatie!C28="Bestaande situatie",Optimalisatie!R28/(VLOOKUP(Optimalisatie!AA28,Database_Asfalt_Verwijderset[#All],60,FALSE)/8),0),0)*Optimalisatie!T28</f>
        <v>0</v>
      </c>
      <c r="P656" s="139">
        <f>_xlfn.IFNA(IF(Optimalisatie!C28="Bestaande situatie",Optimalisatie!S28/VLOOKUP(Optimalisatie!AB28,Database_Overig_Materieel[#All],8,FALSE),0),0)*Optimalisatie!T28</f>
        <v>0</v>
      </c>
      <c r="Q656" s="139">
        <f>IF(Inschrijf_Bouwplaats_Totaal[[#This Row],[Emissieloos Asfalt Aanlegset]]="JA",Inschrijf_Bouwplaats_Totaal[[#This Row],[Draaiuren Bouw Asfalt Vervangingen]],0)+IF(Inschrijf_Bouwplaats_Totaal[[#This Row],[Emissieloos Bouwmaterieel]]="JA",Inschrijf_Bouwplaats_Totaal[[#This Row],[Draaiuren Bouw Overig Vervangingen]],0)+IF(Inschrijf_Bouwplaats_Totaal[[#This Row],[Emissieloos Asfalt Verwijderset]]="JA",Inschrijf_Bouwplaats_Totaal[[#This Row],[Draaiuren Verwijder Asfalt Vervangingen]],0)+IF(Inschrijf_Bouwplaats_Totaal[[#This Row],[Emissieloos Sloopmaterieel]]="JA",Inschrijf_Bouwplaats_Totaal[[#This Row],[Draaiuren Verwijder Overig Vervangingen]],0)</f>
        <v>0</v>
      </c>
      <c r="R656" s="139">
        <f>Inschrijf_Bouwplaats_Totaal[[#This Row],[Emissieloos bouwplaats]]+Inschrijf_Bouwplaats_Totaal[[#This Row],[Emissieloos bouwplaats Vervangingen]]</f>
        <v>0</v>
      </c>
      <c r="S656" s="139">
        <f>(Inschrijf_Bouwplaats_Totaal[[#This Row],[Draaiuren Bouw Asfalt]]+Inschrijf_Bouwplaats_Totaal[[#This Row],[Draaiuren Bouw Overig]]+Inschrijf_Bouwplaats_Totaal[[#This Row],[Draaiuren Verwijder Asfalt]]+Inschrijf_Bouwplaats_Totaal[[#This Row],[Draaiuren Verwijder Overig]]+Inschrijf_Bouwplaats_Totaal[[#This Row],[Draaiuren Bouw Asfalt Vervangingen]]+Inschrijf_Bouwplaats_Totaal[[#This Row],[Draaiuren Bouw Overig Vervangingen]]+Inschrijf_Bouwplaats_Totaal[[#This Row],[Draaiuren Verwijder Asfalt Vervangingen]]+Inschrijf_Bouwplaats_Totaal[[#This Row],[Draaiuren Verwijder Overig Vervangingen]])-Inschrijf_Bouwplaats_Totaal[[#This Row],[Totaal Emissieloos Bouwplaats]]</f>
        <v>5.3125</v>
      </c>
      <c r="T656" s="139">
        <f>Inschrijf_Bouwplaats_Totaal[[#This Row],[Totaal Emissieloos Bouwplaats]]+Inschrijf_Bouwplaats_Totaal[[#This Row],[Totaal Niet Emissieloos Bouwplaats]]</f>
        <v>5.3125</v>
      </c>
      <c r="U656" s="335"/>
    </row>
    <row r="657" spans="2:21">
      <c r="B657" s="209" t="str">
        <f>Optimalisatie!B29</f>
        <v>430020 - Leveren en aanbrengen trottoirbanden 130/150x250</v>
      </c>
      <c r="C657" s="51" t="str">
        <f>Optimalisatie!F29</f>
        <v>Trottoirband 130/150x250</v>
      </c>
      <c r="D657" s="134">
        <f>_xlfn.IFNA(IF(Optimalisatie!C29="Nieuwe situatie",(Optimalisatie!R29/(VLOOKUP(Optimalisatie!W29,Database_Asfalt_Aanlegset[#All],60,FALSE)/8)),0),0)</f>
        <v>0</v>
      </c>
      <c r="E657" s="135">
        <f>IFERROR(IF(Optimalisatie!C29="Nieuwe situatie",Optimalisatie!J29/Optimalisatie!Z29,0),0)</f>
        <v>14.375</v>
      </c>
      <c r="F657" s="135">
        <f>_xlfn.IFNA(IF(Optimalisatie!C29="Bestaande situatie",Optimalisatie!R29/(VLOOKUP(Optimalisatie!AA29,Database_Asfalt_Verwijderset[#All],60,FALSE)/8),0),0)</f>
        <v>0</v>
      </c>
      <c r="G657" s="138">
        <f>IFERROR(IF(Optimalisatie!C29="Bestaande situatie",Optimalisatie!J29/Optimalisatie!AD29,0),0)</f>
        <v>0</v>
      </c>
      <c r="H657" s="94" t="str">
        <f>_xlfn.IFNA((VLOOKUP(Optimalisatie!W29,Database_Asfalt_Aanlegset[],61,FALSE)),"Nee")</f>
        <v>Nee</v>
      </c>
      <c r="I657" s="94" t="str">
        <f>_xlfn.IFNA((VLOOKUP(Optimalisatie!X29,Database_Brandstoffen[],60,FALSE)),"Nee")</f>
        <v>Nee</v>
      </c>
      <c r="J657" s="94" t="str">
        <f>_xlfn.IFNA((VLOOKUP(Optimalisatie!AA29,Database_Asfalt_Verwijderset[],61,FALSE)),"Nee")</f>
        <v>Nee</v>
      </c>
      <c r="K657" s="120" t="str">
        <f>_xlfn.IFNA((VLOOKUP(Optimalisatie!AB29,Database_Brandstoffen[],60,FALSE)),"Nee")</f>
        <v>Nee</v>
      </c>
      <c r="L657" s="132">
        <f>IF(Inschrijf_Bouwplaats_Totaal[[#This Row],[Emissieloos Asfalt Aanlegset]]="JA",Inschrijf_Bouwplaats_Totaal[[#This Row],[Draaiuren Bouw Asfalt]],0)+IF(Inschrijf_Bouwplaats_Totaal[[#This Row],[Emissieloos Bouwmaterieel]]="JA",Inschrijf_Bouwplaats_Totaal[[#This Row],[Draaiuren Bouw Overig]],0)+IF(Inschrijf_Bouwplaats_Totaal[[#This Row],[Emissieloos Asfalt Verwijderset]]="JA",Inschrijf_Bouwplaats_Totaal[[#This Row],[Draaiuren Verwijder Asfalt]],0)+IF(Inschrijf_Bouwplaats_Totaal[[#This Row],[Emissieloos Sloopmaterieel]]="JA",Inschrijf_Bouwplaats_Totaal[[#This Row],[Draaiuren Verwijder Overig]],0)</f>
        <v>0</v>
      </c>
      <c r="M657" s="139">
        <f>_xlfn.IFNA(IF(Optimalisatie!C29="Nieuwe situatie",(Optimalisatie!R29/(VLOOKUP(Optimalisatie!W29,Database_Asfalt_Aanlegset[#All],60,FALSE)/8)),0),0)*Optimalisatie!T29</f>
        <v>0</v>
      </c>
      <c r="N657" s="139">
        <f>_xlfn.IFNA(IF(Optimalisatie!C29="Nieuwe situatie",Optimalisatie!S29/VLOOKUP(Optimalisatie!X29,Database_Overig_Materieel[#All],8,FALSE),0),0)*Optimalisatie!T29</f>
        <v>0</v>
      </c>
      <c r="O657" s="139">
        <f>_xlfn.IFNA(IF(Optimalisatie!C29="Bestaande situatie",Optimalisatie!R29/(VLOOKUP(Optimalisatie!AA29,Database_Asfalt_Verwijderset[#All],60,FALSE)/8),0),0)*Optimalisatie!T29</f>
        <v>0</v>
      </c>
      <c r="P657" s="139">
        <f>_xlfn.IFNA(IF(Optimalisatie!C29="Bestaande situatie",Optimalisatie!S29/VLOOKUP(Optimalisatie!AB29,Database_Overig_Materieel[#All],8,FALSE),0),0)*Optimalisatie!T29</f>
        <v>0</v>
      </c>
      <c r="Q657" s="139">
        <f>IF(Inschrijf_Bouwplaats_Totaal[[#This Row],[Emissieloos Asfalt Aanlegset]]="JA",Inschrijf_Bouwplaats_Totaal[[#This Row],[Draaiuren Bouw Asfalt Vervangingen]],0)+IF(Inschrijf_Bouwplaats_Totaal[[#This Row],[Emissieloos Bouwmaterieel]]="JA",Inschrijf_Bouwplaats_Totaal[[#This Row],[Draaiuren Bouw Overig Vervangingen]],0)+IF(Inschrijf_Bouwplaats_Totaal[[#This Row],[Emissieloos Asfalt Verwijderset]]="JA",Inschrijf_Bouwplaats_Totaal[[#This Row],[Draaiuren Verwijder Asfalt Vervangingen]],0)+IF(Inschrijf_Bouwplaats_Totaal[[#This Row],[Emissieloos Sloopmaterieel]]="JA",Inschrijf_Bouwplaats_Totaal[[#This Row],[Draaiuren Verwijder Overig Vervangingen]],0)</f>
        <v>0</v>
      </c>
      <c r="R657" s="139">
        <f>Inschrijf_Bouwplaats_Totaal[[#This Row],[Emissieloos bouwplaats]]+Inschrijf_Bouwplaats_Totaal[[#This Row],[Emissieloos bouwplaats Vervangingen]]</f>
        <v>0</v>
      </c>
      <c r="S657" s="139">
        <f>(Inschrijf_Bouwplaats_Totaal[[#This Row],[Draaiuren Bouw Asfalt]]+Inschrijf_Bouwplaats_Totaal[[#This Row],[Draaiuren Bouw Overig]]+Inschrijf_Bouwplaats_Totaal[[#This Row],[Draaiuren Verwijder Asfalt]]+Inschrijf_Bouwplaats_Totaal[[#This Row],[Draaiuren Verwijder Overig]]+Inschrijf_Bouwplaats_Totaal[[#This Row],[Draaiuren Bouw Asfalt Vervangingen]]+Inschrijf_Bouwplaats_Totaal[[#This Row],[Draaiuren Bouw Overig Vervangingen]]+Inschrijf_Bouwplaats_Totaal[[#This Row],[Draaiuren Verwijder Asfalt Vervangingen]]+Inschrijf_Bouwplaats_Totaal[[#This Row],[Draaiuren Verwijder Overig Vervangingen]])-Inschrijf_Bouwplaats_Totaal[[#This Row],[Totaal Emissieloos Bouwplaats]]</f>
        <v>14.375</v>
      </c>
      <c r="T657" s="139">
        <f>Inschrijf_Bouwplaats_Totaal[[#This Row],[Totaal Emissieloos Bouwplaats]]+Inschrijf_Bouwplaats_Totaal[[#This Row],[Totaal Niet Emissieloos Bouwplaats]]</f>
        <v>14.375</v>
      </c>
      <c r="U657" s="335"/>
    </row>
    <row r="658" spans="2:21">
      <c r="B658" s="209" t="str">
        <f>Optimalisatie!B30</f>
        <v>430040 - Leveren en aanbrengen opsluitbanden 100x200</v>
      </c>
      <c r="C658" s="51" t="str">
        <f>Optimalisatie!F30</f>
        <v>Opsluitband 100x200</v>
      </c>
      <c r="D658" s="134">
        <f>_xlfn.IFNA(IF(Optimalisatie!C30="Nieuwe situatie",(Optimalisatie!R30/(VLOOKUP(Optimalisatie!W30,Database_Asfalt_Aanlegset[#All],60,FALSE)/8)),0),0)</f>
        <v>0</v>
      </c>
      <c r="E658" s="135">
        <f>IFERROR(IF(Optimalisatie!C30="Nieuwe situatie",Optimalisatie!J30/Optimalisatie!Z30,0),0)</f>
        <v>83.055555555555557</v>
      </c>
      <c r="F658" s="135">
        <f>_xlfn.IFNA(IF(Optimalisatie!C30="Bestaande situatie",Optimalisatie!R30/(VLOOKUP(Optimalisatie!AA30,Database_Asfalt_Verwijderset[#All],60,FALSE)/8),0),0)</f>
        <v>0</v>
      </c>
      <c r="G658" s="138">
        <f>IFERROR(IF(Optimalisatie!C30="Bestaande situatie",Optimalisatie!J30/Optimalisatie!AD30,0),0)</f>
        <v>0</v>
      </c>
      <c r="H658" s="94" t="str">
        <f>_xlfn.IFNA((VLOOKUP(Optimalisatie!W30,Database_Asfalt_Aanlegset[],61,FALSE)),"Nee")</f>
        <v>Nee</v>
      </c>
      <c r="I658" s="94" t="str">
        <f>_xlfn.IFNA((VLOOKUP(Optimalisatie!X30,Database_Brandstoffen[],60,FALSE)),"Nee")</f>
        <v>Nee</v>
      </c>
      <c r="J658" s="94" t="str">
        <f>_xlfn.IFNA((VLOOKUP(Optimalisatie!AA30,Database_Asfalt_Verwijderset[],61,FALSE)),"Nee")</f>
        <v>Nee</v>
      </c>
      <c r="K658" s="120" t="str">
        <f>_xlfn.IFNA((VLOOKUP(Optimalisatie!AB30,Database_Brandstoffen[],60,FALSE)),"Nee")</f>
        <v>Nee</v>
      </c>
      <c r="L658" s="132">
        <f>IF(Inschrijf_Bouwplaats_Totaal[[#This Row],[Emissieloos Asfalt Aanlegset]]="JA",Inschrijf_Bouwplaats_Totaal[[#This Row],[Draaiuren Bouw Asfalt]],0)+IF(Inschrijf_Bouwplaats_Totaal[[#This Row],[Emissieloos Bouwmaterieel]]="JA",Inschrijf_Bouwplaats_Totaal[[#This Row],[Draaiuren Bouw Overig]],0)+IF(Inschrijf_Bouwplaats_Totaal[[#This Row],[Emissieloos Asfalt Verwijderset]]="JA",Inschrijf_Bouwplaats_Totaal[[#This Row],[Draaiuren Verwijder Asfalt]],0)+IF(Inschrijf_Bouwplaats_Totaal[[#This Row],[Emissieloos Sloopmaterieel]]="JA",Inschrijf_Bouwplaats_Totaal[[#This Row],[Draaiuren Verwijder Overig]],0)</f>
        <v>0</v>
      </c>
      <c r="M658" s="139">
        <f>_xlfn.IFNA(IF(Optimalisatie!C30="Nieuwe situatie",(Optimalisatie!R30/(VLOOKUP(Optimalisatie!W30,Database_Asfalt_Aanlegset[#All],60,FALSE)/8)),0),0)*Optimalisatie!T30</f>
        <v>0</v>
      </c>
      <c r="N658" s="139">
        <f>_xlfn.IFNA(IF(Optimalisatie!C30="Nieuwe situatie",Optimalisatie!S30/VLOOKUP(Optimalisatie!X30,Database_Overig_Materieel[#All],8,FALSE),0),0)*Optimalisatie!T30</f>
        <v>0</v>
      </c>
      <c r="O658" s="139">
        <f>_xlfn.IFNA(IF(Optimalisatie!C30="Bestaande situatie",Optimalisatie!R30/(VLOOKUP(Optimalisatie!AA30,Database_Asfalt_Verwijderset[#All],60,FALSE)/8),0),0)*Optimalisatie!T30</f>
        <v>0</v>
      </c>
      <c r="P658" s="139">
        <f>_xlfn.IFNA(IF(Optimalisatie!C30="Bestaande situatie",Optimalisatie!S30/VLOOKUP(Optimalisatie!AB30,Database_Overig_Materieel[#All],8,FALSE),0),0)*Optimalisatie!T30</f>
        <v>0</v>
      </c>
      <c r="Q658" s="139">
        <f>IF(Inschrijf_Bouwplaats_Totaal[[#This Row],[Emissieloos Asfalt Aanlegset]]="JA",Inschrijf_Bouwplaats_Totaal[[#This Row],[Draaiuren Bouw Asfalt Vervangingen]],0)+IF(Inschrijf_Bouwplaats_Totaal[[#This Row],[Emissieloos Bouwmaterieel]]="JA",Inschrijf_Bouwplaats_Totaal[[#This Row],[Draaiuren Bouw Overig Vervangingen]],0)+IF(Inschrijf_Bouwplaats_Totaal[[#This Row],[Emissieloos Asfalt Verwijderset]]="JA",Inschrijf_Bouwplaats_Totaal[[#This Row],[Draaiuren Verwijder Asfalt Vervangingen]],0)+IF(Inschrijf_Bouwplaats_Totaal[[#This Row],[Emissieloos Sloopmaterieel]]="JA",Inschrijf_Bouwplaats_Totaal[[#This Row],[Draaiuren Verwijder Overig Vervangingen]],0)</f>
        <v>0</v>
      </c>
      <c r="R658" s="139">
        <f>Inschrijf_Bouwplaats_Totaal[[#This Row],[Emissieloos bouwplaats]]+Inschrijf_Bouwplaats_Totaal[[#This Row],[Emissieloos bouwplaats Vervangingen]]</f>
        <v>0</v>
      </c>
      <c r="S658" s="139">
        <f>(Inschrijf_Bouwplaats_Totaal[[#This Row],[Draaiuren Bouw Asfalt]]+Inschrijf_Bouwplaats_Totaal[[#This Row],[Draaiuren Bouw Overig]]+Inschrijf_Bouwplaats_Totaal[[#This Row],[Draaiuren Verwijder Asfalt]]+Inschrijf_Bouwplaats_Totaal[[#This Row],[Draaiuren Verwijder Overig]]+Inschrijf_Bouwplaats_Totaal[[#This Row],[Draaiuren Bouw Asfalt Vervangingen]]+Inschrijf_Bouwplaats_Totaal[[#This Row],[Draaiuren Bouw Overig Vervangingen]]+Inschrijf_Bouwplaats_Totaal[[#This Row],[Draaiuren Verwijder Asfalt Vervangingen]]+Inschrijf_Bouwplaats_Totaal[[#This Row],[Draaiuren Verwijder Overig Vervangingen]])-Inschrijf_Bouwplaats_Totaal[[#This Row],[Totaal Emissieloos Bouwplaats]]</f>
        <v>83.055555555555557</v>
      </c>
      <c r="T658" s="139">
        <f>Inschrijf_Bouwplaats_Totaal[[#This Row],[Totaal Emissieloos Bouwplaats]]+Inschrijf_Bouwplaats_Totaal[[#This Row],[Totaal Niet Emissieloos Bouwplaats]]</f>
        <v>83.055555555555557</v>
      </c>
      <c r="U658" s="335"/>
    </row>
    <row r="659" spans="2:21">
      <c r="B659" s="209" t="str">
        <f>Optimalisatie!B31</f>
        <v>430050 - Leveren en aanbrengen opsluitbanden 120x250</v>
      </c>
      <c r="C659" s="51" t="str">
        <f>Optimalisatie!F31</f>
        <v>Opsluitband 150x250</v>
      </c>
      <c r="D659" s="134">
        <f>_xlfn.IFNA(IF(Optimalisatie!C31="Nieuwe situatie",(Optimalisatie!R31/(VLOOKUP(Optimalisatie!W31,Database_Asfalt_Aanlegset[#All],60,FALSE)/8)),0),0)</f>
        <v>0</v>
      </c>
      <c r="E659" s="135">
        <f>IFERROR(IF(Optimalisatie!C31="Nieuwe situatie",Optimalisatie!J31/Optimalisatie!Z31,0),0)</f>
        <v>87.5</v>
      </c>
      <c r="F659" s="135">
        <f>_xlfn.IFNA(IF(Optimalisatie!C31="Bestaande situatie",Optimalisatie!R31/(VLOOKUP(Optimalisatie!AA31,Database_Asfalt_Verwijderset[#All],60,FALSE)/8),0),0)</f>
        <v>0</v>
      </c>
      <c r="G659" s="138">
        <f>IFERROR(IF(Optimalisatie!C31="Bestaande situatie",Optimalisatie!J31/Optimalisatie!AD31,0),0)</f>
        <v>0</v>
      </c>
      <c r="H659" s="94" t="str">
        <f>_xlfn.IFNA((VLOOKUP(Optimalisatie!W31,Database_Asfalt_Aanlegset[],61,FALSE)),"Nee")</f>
        <v>Nee</v>
      </c>
      <c r="I659" s="94" t="str">
        <f>_xlfn.IFNA((VLOOKUP(Optimalisatie!X31,Database_Brandstoffen[],60,FALSE)),"Nee")</f>
        <v>Nee</v>
      </c>
      <c r="J659" s="94" t="str">
        <f>_xlfn.IFNA((VLOOKUP(Optimalisatie!AA31,Database_Asfalt_Verwijderset[],61,FALSE)),"Nee")</f>
        <v>Nee</v>
      </c>
      <c r="K659" s="120" t="str">
        <f>_xlfn.IFNA((VLOOKUP(Optimalisatie!AB31,Database_Brandstoffen[],60,FALSE)),"Nee")</f>
        <v>Nee</v>
      </c>
      <c r="L659" s="132">
        <f>IF(Inschrijf_Bouwplaats_Totaal[[#This Row],[Emissieloos Asfalt Aanlegset]]="JA",Inschrijf_Bouwplaats_Totaal[[#This Row],[Draaiuren Bouw Asfalt]],0)+IF(Inschrijf_Bouwplaats_Totaal[[#This Row],[Emissieloos Bouwmaterieel]]="JA",Inschrijf_Bouwplaats_Totaal[[#This Row],[Draaiuren Bouw Overig]],0)+IF(Inschrijf_Bouwplaats_Totaal[[#This Row],[Emissieloos Asfalt Verwijderset]]="JA",Inschrijf_Bouwplaats_Totaal[[#This Row],[Draaiuren Verwijder Asfalt]],0)+IF(Inschrijf_Bouwplaats_Totaal[[#This Row],[Emissieloos Sloopmaterieel]]="JA",Inschrijf_Bouwplaats_Totaal[[#This Row],[Draaiuren Verwijder Overig]],0)</f>
        <v>0</v>
      </c>
      <c r="M659" s="139">
        <f>_xlfn.IFNA(IF(Optimalisatie!C31="Nieuwe situatie",(Optimalisatie!R31/(VLOOKUP(Optimalisatie!W31,Database_Asfalt_Aanlegset[#All],60,FALSE)/8)),0),0)*Optimalisatie!T31</f>
        <v>0</v>
      </c>
      <c r="N659" s="139">
        <f>_xlfn.IFNA(IF(Optimalisatie!C31="Nieuwe situatie",Optimalisatie!S31/VLOOKUP(Optimalisatie!X31,Database_Overig_Materieel[#All],8,FALSE),0),0)*Optimalisatie!T31</f>
        <v>0</v>
      </c>
      <c r="O659" s="139">
        <f>_xlfn.IFNA(IF(Optimalisatie!C31="Bestaande situatie",Optimalisatie!R31/(VLOOKUP(Optimalisatie!AA31,Database_Asfalt_Verwijderset[#All],60,FALSE)/8),0),0)*Optimalisatie!T31</f>
        <v>0</v>
      </c>
      <c r="P659" s="139">
        <f>_xlfn.IFNA(IF(Optimalisatie!C31="Bestaande situatie",Optimalisatie!S31/VLOOKUP(Optimalisatie!AB31,Database_Overig_Materieel[#All],8,FALSE),0),0)*Optimalisatie!T31</f>
        <v>0</v>
      </c>
      <c r="Q659" s="139">
        <f>IF(Inschrijf_Bouwplaats_Totaal[[#This Row],[Emissieloos Asfalt Aanlegset]]="JA",Inschrijf_Bouwplaats_Totaal[[#This Row],[Draaiuren Bouw Asfalt Vervangingen]],0)+IF(Inschrijf_Bouwplaats_Totaal[[#This Row],[Emissieloos Bouwmaterieel]]="JA",Inschrijf_Bouwplaats_Totaal[[#This Row],[Draaiuren Bouw Overig Vervangingen]],0)+IF(Inschrijf_Bouwplaats_Totaal[[#This Row],[Emissieloos Asfalt Verwijderset]]="JA",Inschrijf_Bouwplaats_Totaal[[#This Row],[Draaiuren Verwijder Asfalt Vervangingen]],0)+IF(Inschrijf_Bouwplaats_Totaal[[#This Row],[Emissieloos Sloopmaterieel]]="JA",Inschrijf_Bouwplaats_Totaal[[#This Row],[Draaiuren Verwijder Overig Vervangingen]],0)</f>
        <v>0</v>
      </c>
      <c r="R659" s="139">
        <f>Inschrijf_Bouwplaats_Totaal[[#This Row],[Emissieloos bouwplaats]]+Inschrijf_Bouwplaats_Totaal[[#This Row],[Emissieloos bouwplaats Vervangingen]]</f>
        <v>0</v>
      </c>
      <c r="S659" s="139">
        <f>(Inschrijf_Bouwplaats_Totaal[[#This Row],[Draaiuren Bouw Asfalt]]+Inschrijf_Bouwplaats_Totaal[[#This Row],[Draaiuren Bouw Overig]]+Inschrijf_Bouwplaats_Totaal[[#This Row],[Draaiuren Verwijder Asfalt]]+Inschrijf_Bouwplaats_Totaal[[#This Row],[Draaiuren Verwijder Overig]]+Inschrijf_Bouwplaats_Totaal[[#This Row],[Draaiuren Bouw Asfalt Vervangingen]]+Inschrijf_Bouwplaats_Totaal[[#This Row],[Draaiuren Bouw Overig Vervangingen]]+Inschrijf_Bouwplaats_Totaal[[#This Row],[Draaiuren Verwijder Asfalt Vervangingen]]+Inschrijf_Bouwplaats_Totaal[[#This Row],[Draaiuren Verwijder Overig Vervangingen]])-Inschrijf_Bouwplaats_Totaal[[#This Row],[Totaal Emissieloos Bouwplaats]]</f>
        <v>87.5</v>
      </c>
      <c r="T659" s="139">
        <f>Inschrijf_Bouwplaats_Totaal[[#This Row],[Totaal Emissieloos Bouwplaats]]+Inschrijf_Bouwplaats_Totaal[[#This Row],[Totaal Niet Emissieloos Bouwplaats]]</f>
        <v>87.5</v>
      </c>
      <c r="U659" s="335"/>
    </row>
    <row r="660" spans="2:21">
      <c r="B660" s="209" t="str">
        <f>Optimalisatie!B32</f>
        <v>440010 - Aanbrengen straatbakstenen DF, Rood (rijweg)</v>
      </c>
      <c r="C660" s="51" t="str">
        <f>Optimalisatie!F32</f>
        <v>Baksteen</v>
      </c>
      <c r="D660" s="134">
        <f>_xlfn.IFNA(IF(Optimalisatie!C32="Nieuwe situatie",(Optimalisatie!R32/(VLOOKUP(Optimalisatie!W32,Database_Asfalt_Aanlegset[#All],60,FALSE)/8)),0),0)</f>
        <v>0</v>
      </c>
      <c r="E660" s="135">
        <f>IFERROR(IF(Optimalisatie!C32="Nieuwe situatie",Optimalisatie!J32/Optimalisatie!Z32,0),0)</f>
        <v>521.87450000000001</v>
      </c>
      <c r="F660" s="135">
        <f>_xlfn.IFNA(IF(Optimalisatie!C32="Bestaande situatie",Optimalisatie!R32/(VLOOKUP(Optimalisatie!AA32,Database_Asfalt_Verwijderset[#All],60,FALSE)/8),0),0)</f>
        <v>0</v>
      </c>
      <c r="G660" s="138">
        <f>IFERROR(IF(Optimalisatie!C32="Bestaande situatie",Optimalisatie!J32/Optimalisatie!AD32,0),0)</f>
        <v>0</v>
      </c>
      <c r="H660" s="94" t="str">
        <f>_xlfn.IFNA((VLOOKUP(Optimalisatie!W32,Database_Asfalt_Aanlegset[],61,FALSE)),"Nee")</f>
        <v>Nee</v>
      </c>
      <c r="I660" s="94" t="str">
        <f>_xlfn.IFNA((VLOOKUP(Optimalisatie!X32,Database_Brandstoffen[],60,FALSE)),"Nee")</f>
        <v>Nee</v>
      </c>
      <c r="J660" s="94" t="str">
        <f>_xlfn.IFNA((VLOOKUP(Optimalisatie!AA32,Database_Asfalt_Verwijderset[],61,FALSE)),"Nee")</f>
        <v>Nee</v>
      </c>
      <c r="K660" s="120" t="str">
        <f>_xlfn.IFNA((VLOOKUP(Optimalisatie!AB32,Database_Brandstoffen[],60,FALSE)),"Nee")</f>
        <v>Nee</v>
      </c>
      <c r="L660" s="132">
        <f>IF(Inschrijf_Bouwplaats_Totaal[[#This Row],[Emissieloos Asfalt Aanlegset]]="JA",Inschrijf_Bouwplaats_Totaal[[#This Row],[Draaiuren Bouw Asfalt]],0)+IF(Inschrijf_Bouwplaats_Totaal[[#This Row],[Emissieloos Bouwmaterieel]]="JA",Inschrijf_Bouwplaats_Totaal[[#This Row],[Draaiuren Bouw Overig]],0)+IF(Inschrijf_Bouwplaats_Totaal[[#This Row],[Emissieloos Asfalt Verwijderset]]="JA",Inschrijf_Bouwplaats_Totaal[[#This Row],[Draaiuren Verwijder Asfalt]],0)+IF(Inschrijf_Bouwplaats_Totaal[[#This Row],[Emissieloos Sloopmaterieel]]="JA",Inschrijf_Bouwplaats_Totaal[[#This Row],[Draaiuren Verwijder Overig]],0)</f>
        <v>0</v>
      </c>
      <c r="M660" s="139">
        <f>_xlfn.IFNA(IF(Optimalisatie!C32="Nieuwe situatie",(Optimalisatie!R32/(VLOOKUP(Optimalisatie!W32,Database_Asfalt_Aanlegset[#All],60,FALSE)/8)),0),0)*Optimalisatie!T32</f>
        <v>0</v>
      </c>
      <c r="N660" s="139">
        <f>_xlfn.IFNA(IF(Optimalisatie!C32="Nieuwe situatie",Optimalisatie!S32/VLOOKUP(Optimalisatie!X32,Database_Overig_Materieel[#All],8,FALSE),0),0)*Optimalisatie!T32</f>
        <v>0</v>
      </c>
      <c r="O660" s="139">
        <f>_xlfn.IFNA(IF(Optimalisatie!C32="Bestaande situatie",Optimalisatie!R32/(VLOOKUP(Optimalisatie!AA32,Database_Asfalt_Verwijderset[#All],60,FALSE)/8),0),0)*Optimalisatie!T32</f>
        <v>0</v>
      </c>
      <c r="P660" s="139">
        <f>_xlfn.IFNA(IF(Optimalisatie!C32="Bestaande situatie",Optimalisatie!S32/VLOOKUP(Optimalisatie!AB32,Database_Overig_Materieel[#All],8,FALSE),0),0)*Optimalisatie!T32</f>
        <v>0</v>
      </c>
      <c r="Q660" s="139">
        <f>IF(Inschrijf_Bouwplaats_Totaal[[#This Row],[Emissieloos Asfalt Aanlegset]]="JA",Inschrijf_Bouwplaats_Totaal[[#This Row],[Draaiuren Bouw Asfalt Vervangingen]],0)+IF(Inschrijf_Bouwplaats_Totaal[[#This Row],[Emissieloos Bouwmaterieel]]="JA",Inschrijf_Bouwplaats_Totaal[[#This Row],[Draaiuren Bouw Overig Vervangingen]],0)+IF(Inschrijf_Bouwplaats_Totaal[[#This Row],[Emissieloos Asfalt Verwijderset]]="JA",Inschrijf_Bouwplaats_Totaal[[#This Row],[Draaiuren Verwijder Asfalt Vervangingen]],0)+IF(Inschrijf_Bouwplaats_Totaal[[#This Row],[Emissieloos Sloopmaterieel]]="JA",Inschrijf_Bouwplaats_Totaal[[#This Row],[Draaiuren Verwijder Overig Vervangingen]],0)</f>
        <v>0</v>
      </c>
      <c r="R660" s="139">
        <f>Inschrijf_Bouwplaats_Totaal[[#This Row],[Emissieloos bouwplaats]]+Inschrijf_Bouwplaats_Totaal[[#This Row],[Emissieloos bouwplaats Vervangingen]]</f>
        <v>0</v>
      </c>
      <c r="S660" s="139">
        <f>(Inschrijf_Bouwplaats_Totaal[[#This Row],[Draaiuren Bouw Asfalt]]+Inschrijf_Bouwplaats_Totaal[[#This Row],[Draaiuren Bouw Overig]]+Inschrijf_Bouwplaats_Totaal[[#This Row],[Draaiuren Verwijder Asfalt]]+Inschrijf_Bouwplaats_Totaal[[#This Row],[Draaiuren Verwijder Overig]]+Inschrijf_Bouwplaats_Totaal[[#This Row],[Draaiuren Bouw Asfalt Vervangingen]]+Inschrijf_Bouwplaats_Totaal[[#This Row],[Draaiuren Bouw Overig Vervangingen]]+Inschrijf_Bouwplaats_Totaal[[#This Row],[Draaiuren Verwijder Asfalt Vervangingen]]+Inschrijf_Bouwplaats_Totaal[[#This Row],[Draaiuren Verwijder Overig Vervangingen]])-Inschrijf_Bouwplaats_Totaal[[#This Row],[Totaal Emissieloos Bouwplaats]]</f>
        <v>521.87450000000001</v>
      </c>
      <c r="T660" s="139">
        <f>Inschrijf_Bouwplaats_Totaal[[#This Row],[Totaal Emissieloos Bouwplaats]]+Inschrijf_Bouwplaats_Totaal[[#This Row],[Totaal Niet Emissieloos Bouwplaats]]</f>
        <v>521.87450000000001</v>
      </c>
      <c r="U660" s="335"/>
    </row>
    <row r="661" spans="2:21">
      <c r="B661" s="209" t="str">
        <f>Optimalisatie!B33</f>
        <v>440020 - Aanbrengen straatbakstenen DF, Geel (rijweg/ plein)</v>
      </c>
      <c r="C661" s="51" t="str">
        <f>Optimalisatie!F33</f>
        <v>Baksteen</v>
      </c>
      <c r="D661" s="134">
        <f>_xlfn.IFNA(IF(Optimalisatie!C33="Nieuwe situatie",(Optimalisatie!R33/(VLOOKUP(Optimalisatie!W33,Database_Asfalt_Aanlegset[#All],60,FALSE)/8)),0),0)</f>
        <v>0</v>
      </c>
      <c r="E661" s="135">
        <f>IFERROR(IF(Optimalisatie!C33="Nieuwe situatie",Optimalisatie!J33/Optimalisatie!Z33,0),0)</f>
        <v>772.60749999999996</v>
      </c>
      <c r="F661" s="135">
        <f>_xlfn.IFNA(IF(Optimalisatie!C33="Bestaande situatie",Optimalisatie!R33/(VLOOKUP(Optimalisatie!AA33,Database_Asfalt_Verwijderset[#All],60,FALSE)/8),0),0)</f>
        <v>0</v>
      </c>
      <c r="G661" s="138">
        <f>IFERROR(IF(Optimalisatie!C33="Bestaande situatie",Optimalisatie!J33/Optimalisatie!AD33,0),0)</f>
        <v>0</v>
      </c>
      <c r="H661" s="94" t="str">
        <f>_xlfn.IFNA((VLOOKUP(Optimalisatie!W33,Database_Asfalt_Aanlegset[],61,FALSE)),"Nee")</f>
        <v>Nee</v>
      </c>
      <c r="I661" s="94" t="str">
        <f>_xlfn.IFNA((VLOOKUP(Optimalisatie!X33,Database_Brandstoffen[],60,FALSE)),"Nee")</f>
        <v>Nee</v>
      </c>
      <c r="J661" s="94" t="str">
        <f>_xlfn.IFNA((VLOOKUP(Optimalisatie!AA33,Database_Asfalt_Verwijderset[],61,FALSE)),"Nee")</f>
        <v>Nee</v>
      </c>
      <c r="K661" s="120" t="str">
        <f>_xlfn.IFNA((VLOOKUP(Optimalisatie!AB33,Database_Brandstoffen[],60,FALSE)),"Nee")</f>
        <v>Nee</v>
      </c>
      <c r="L661" s="132">
        <f>IF(Inschrijf_Bouwplaats_Totaal[[#This Row],[Emissieloos Asfalt Aanlegset]]="JA",Inschrijf_Bouwplaats_Totaal[[#This Row],[Draaiuren Bouw Asfalt]],0)+IF(Inschrijf_Bouwplaats_Totaal[[#This Row],[Emissieloos Bouwmaterieel]]="JA",Inschrijf_Bouwplaats_Totaal[[#This Row],[Draaiuren Bouw Overig]],0)+IF(Inschrijf_Bouwplaats_Totaal[[#This Row],[Emissieloos Asfalt Verwijderset]]="JA",Inschrijf_Bouwplaats_Totaal[[#This Row],[Draaiuren Verwijder Asfalt]],0)+IF(Inschrijf_Bouwplaats_Totaal[[#This Row],[Emissieloos Sloopmaterieel]]="JA",Inschrijf_Bouwplaats_Totaal[[#This Row],[Draaiuren Verwijder Overig]],0)</f>
        <v>0</v>
      </c>
      <c r="M661" s="139">
        <f>_xlfn.IFNA(IF(Optimalisatie!C33="Nieuwe situatie",(Optimalisatie!R33/(VLOOKUP(Optimalisatie!W33,Database_Asfalt_Aanlegset[#All],60,FALSE)/8)),0),0)*Optimalisatie!T33</f>
        <v>0</v>
      </c>
      <c r="N661" s="139">
        <f>_xlfn.IFNA(IF(Optimalisatie!C33="Nieuwe situatie",Optimalisatie!S33/VLOOKUP(Optimalisatie!X33,Database_Overig_Materieel[#All],8,FALSE),0),0)*Optimalisatie!T33</f>
        <v>0</v>
      </c>
      <c r="O661" s="139">
        <f>_xlfn.IFNA(IF(Optimalisatie!C33="Bestaande situatie",Optimalisatie!R33/(VLOOKUP(Optimalisatie!AA33,Database_Asfalt_Verwijderset[#All],60,FALSE)/8),0),0)*Optimalisatie!T33</f>
        <v>0</v>
      </c>
      <c r="P661" s="139">
        <f>_xlfn.IFNA(IF(Optimalisatie!C33="Bestaande situatie",Optimalisatie!S33/VLOOKUP(Optimalisatie!AB33,Database_Overig_Materieel[#All],8,FALSE),0),0)*Optimalisatie!T33</f>
        <v>0</v>
      </c>
      <c r="Q661" s="139">
        <f>IF(Inschrijf_Bouwplaats_Totaal[[#This Row],[Emissieloos Asfalt Aanlegset]]="JA",Inschrijf_Bouwplaats_Totaal[[#This Row],[Draaiuren Bouw Asfalt Vervangingen]],0)+IF(Inschrijf_Bouwplaats_Totaal[[#This Row],[Emissieloos Bouwmaterieel]]="JA",Inschrijf_Bouwplaats_Totaal[[#This Row],[Draaiuren Bouw Overig Vervangingen]],0)+IF(Inschrijf_Bouwplaats_Totaal[[#This Row],[Emissieloos Asfalt Verwijderset]]="JA",Inschrijf_Bouwplaats_Totaal[[#This Row],[Draaiuren Verwijder Asfalt Vervangingen]],0)+IF(Inschrijf_Bouwplaats_Totaal[[#This Row],[Emissieloos Sloopmaterieel]]="JA",Inschrijf_Bouwplaats_Totaal[[#This Row],[Draaiuren Verwijder Overig Vervangingen]],0)</f>
        <v>0</v>
      </c>
      <c r="R661" s="139">
        <f>Inschrijf_Bouwplaats_Totaal[[#This Row],[Emissieloos bouwplaats]]+Inschrijf_Bouwplaats_Totaal[[#This Row],[Emissieloos bouwplaats Vervangingen]]</f>
        <v>0</v>
      </c>
      <c r="S661" s="139">
        <f>(Inschrijf_Bouwplaats_Totaal[[#This Row],[Draaiuren Bouw Asfalt]]+Inschrijf_Bouwplaats_Totaal[[#This Row],[Draaiuren Bouw Overig]]+Inschrijf_Bouwplaats_Totaal[[#This Row],[Draaiuren Verwijder Asfalt]]+Inschrijf_Bouwplaats_Totaal[[#This Row],[Draaiuren Verwijder Overig]]+Inschrijf_Bouwplaats_Totaal[[#This Row],[Draaiuren Bouw Asfalt Vervangingen]]+Inschrijf_Bouwplaats_Totaal[[#This Row],[Draaiuren Bouw Overig Vervangingen]]+Inschrijf_Bouwplaats_Totaal[[#This Row],[Draaiuren Verwijder Asfalt Vervangingen]]+Inschrijf_Bouwplaats_Totaal[[#This Row],[Draaiuren Verwijder Overig Vervangingen]])-Inschrijf_Bouwplaats_Totaal[[#This Row],[Totaal Emissieloos Bouwplaats]]</f>
        <v>772.60749999999996</v>
      </c>
      <c r="T661" s="139">
        <f>Inschrijf_Bouwplaats_Totaal[[#This Row],[Totaal Emissieloos Bouwplaats]]+Inschrijf_Bouwplaats_Totaal[[#This Row],[Totaal Niet Emissieloos Bouwplaats]]</f>
        <v>772.60749999999996</v>
      </c>
      <c r="U661" s="335"/>
    </row>
    <row r="662" spans="2:21">
      <c r="B662" s="209" t="str">
        <f>Optimalisatie!B34</f>
        <v>440030 - Aanbrengen straatbakstenen DF, Rood (parkeervakken)</v>
      </c>
      <c r="C662" s="51" t="str">
        <f>Optimalisatie!F34</f>
        <v>Baksteen</v>
      </c>
      <c r="D662" s="134">
        <f>_xlfn.IFNA(IF(Optimalisatie!C34="Nieuwe situatie",(Optimalisatie!R34/(VLOOKUP(Optimalisatie!W34,Database_Asfalt_Aanlegset[#All],60,FALSE)/8)),0),0)</f>
        <v>0</v>
      </c>
      <c r="E662" s="135">
        <f>IFERROR(IF(Optimalisatie!C34="Nieuwe situatie",Optimalisatie!J34/Optimalisatie!Z34,0),0)</f>
        <v>52.062499999999993</v>
      </c>
      <c r="F662" s="135">
        <f>_xlfn.IFNA(IF(Optimalisatie!C34="Bestaande situatie",Optimalisatie!R34/(VLOOKUP(Optimalisatie!AA34,Database_Asfalt_Verwijderset[#All],60,FALSE)/8),0),0)</f>
        <v>0</v>
      </c>
      <c r="G662" s="138">
        <f>IFERROR(IF(Optimalisatie!C34="Bestaande situatie",Optimalisatie!J34/Optimalisatie!AD34,0),0)</f>
        <v>0</v>
      </c>
      <c r="H662" s="94" t="str">
        <f>_xlfn.IFNA((VLOOKUP(Optimalisatie!W34,Database_Asfalt_Aanlegset[],61,FALSE)),"Nee")</f>
        <v>Nee</v>
      </c>
      <c r="I662" s="94" t="str">
        <f>_xlfn.IFNA((VLOOKUP(Optimalisatie!X34,Database_Brandstoffen[],60,FALSE)),"Nee")</f>
        <v>Nee</v>
      </c>
      <c r="J662" s="94" t="str">
        <f>_xlfn.IFNA((VLOOKUP(Optimalisatie!AA34,Database_Asfalt_Verwijderset[],61,FALSE)),"Nee")</f>
        <v>Nee</v>
      </c>
      <c r="K662" s="120" t="str">
        <f>_xlfn.IFNA((VLOOKUP(Optimalisatie!AB34,Database_Brandstoffen[],60,FALSE)),"Nee")</f>
        <v>Nee</v>
      </c>
      <c r="L662" s="132">
        <f>IF(Inschrijf_Bouwplaats_Totaal[[#This Row],[Emissieloos Asfalt Aanlegset]]="JA",Inschrijf_Bouwplaats_Totaal[[#This Row],[Draaiuren Bouw Asfalt]],0)+IF(Inschrijf_Bouwplaats_Totaal[[#This Row],[Emissieloos Bouwmaterieel]]="JA",Inschrijf_Bouwplaats_Totaal[[#This Row],[Draaiuren Bouw Overig]],0)+IF(Inschrijf_Bouwplaats_Totaal[[#This Row],[Emissieloos Asfalt Verwijderset]]="JA",Inschrijf_Bouwplaats_Totaal[[#This Row],[Draaiuren Verwijder Asfalt]],0)+IF(Inschrijf_Bouwplaats_Totaal[[#This Row],[Emissieloos Sloopmaterieel]]="JA",Inschrijf_Bouwplaats_Totaal[[#This Row],[Draaiuren Verwijder Overig]],0)</f>
        <v>0</v>
      </c>
      <c r="M662" s="139">
        <f>_xlfn.IFNA(IF(Optimalisatie!C34="Nieuwe situatie",(Optimalisatie!R34/(VLOOKUP(Optimalisatie!W34,Database_Asfalt_Aanlegset[#All],60,FALSE)/8)),0),0)*Optimalisatie!T34</f>
        <v>0</v>
      </c>
      <c r="N662" s="139">
        <f>_xlfn.IFNA(IF(Optimalisatie!C34="Nieuwe situatie",Optimalisatie!S34/VLOOKUP(Optimalisatie!X34,Database_Overig_Materieel[#All],8,FALSE),0),0)*Optimalisatie!T34</f>
        <v>0</v>
      </c>
      <c r="O662" s="139">
        <f>_xlfn.IFNA(IF(Optimalisatie!C34="Bestaande situatie",Optimalisatie!R34/(VLOOKUP(Optimalisatie!AA34,Database_Asfalt_Verwijderset[#All],60,FALSE)/8),0),0)*Optimalisatie!T34</f>
        <v>0</v>
      </c>
      <c r="P662" s="139">
        <f>_xlfn.IFNA(IF(Optimalisatie!C34="Bestaande situatie",Optimalisatie!S34/VLOOKUP(Optimalisatie!AB34,Database_Overig_Materieel[#All],8,FALSE),0),0)*Optimalisatie!T34</f>
        <v>0</v>
      </c>
      <c r="Q662" s="139">
        <f>IF(Inschrijf_Bouwplaats_Totaal[[#This Row],[Emissieloos Asfalt Aanlegset]]="JA",Inschrijf_Bouwplaats_Totaal[[#This Row],[Draaiuren Bouw Asfalt Vervangingen]],0)+IF(Inschrijf_Bouwplaats_Totaal[[#This Row],[Emissieloos Bouwmaterieel]]="JA",Inschrijf_Bouwplaats_Totaal[[#This Row],[Draaiuren Bouw Overig Vervangingen]],0)+IF(Inschrijf_Bouwplaats_Totaal[[#This Row],[Emissieloos Asfalt Verwijderset]]="JA",Inschrijf_Bouwplaats_Totaal[[#This Row],[Draaiuren Verwijder Asfalt Vervangingen]],0)+IF(Inschrijf_Bouwplaats_Totaal[[#This Row],[Emissieloos Sloopmaterieel]]="JA",Inschrijf_Bouwplaats_Totaal[[#This Row],[Draaiuren Verwijder Overig Vervangingen]],0)</f>
        <v>0</v>
      </c>
      <c r="R662" s="139">
        <f>Inschrijf_Bouwplaats_Totaal[[#This Row],[Emissieloos bouwplaats]]+Inschrijf_Bouwplaats_Totaal[[#This Row],[Emissieloos bouwplaats Vervangingen]]</f>
        <v>0</v>
      </c>
      <c r="S662" s="139">
        <f>(Inschrijf_Bouwplaats_Totaal[[#This Row],[Draaiuren Bouw Asfalt]]+Inschrijf_Bouwplaats_Totaal[[#This Row],[Draaiuren Bouw Overig]]+Inschrijf_Bouwplaats_Totaal[[#This Row],[Draaiuren Verwijder Asfalt]]+Inschrijf_Bouwplaats_Totaal[[#This Row],[Draaiuren Verwijder Overig]]+Inschrijf_Bouwplaats_Totaal[[#This Row],[Draaiuren Bouw Asfalt Vervangingen]]+Inschrijf_Bouwplaats_Totaal[[#This Row],[Draaiuren Bouw Overig Vervangingen]]+Inschrijf_Bouwplaats_Totaal[[#This Row],[Draaiuren Verwijder Asfalt Vervangingen]]+Inschrijf_Bouwplaats_Totaal[[#This Row],[Draaiuren Verwijder Overig Vervangingen]])-Inschrijf_Bouwplaats_Totaal[[#This Row],[Totaal Emissieloos Bouwplaats]]</f>
        <v>52.062499999999993</v>
      </c>
      <c r="T662" s="139">
        <f>Inschrijf_Bouwplaats_Totaal[[#This Row],[Totaal Emissieloos Bouwplaats]]+Inschrijf_Bouwplaats_Totaal[[#This Row],[Totaal Niet Emissieloos Bouwplaats]]</f>
        <v>52.062499999999993</v>
      </c>
      <c r="U662" s="335"/>
    </row>
    <row r="663" spans="2:21">
      <c r="B663" s="209" t="str">
        <f>Optimalisatie!B35</f>
        <v>440040 - Aanbrengen straatbakstenen DF, Geel (parkeervakken)</v>
      </c>
      <c r="C663" s="51" t="str">
        <f>Optimalisatie!F35</f>
        <v>Baksteen</v>
      </c>
      <c r="D663" s="134">
        <f>_xlfn.IFNA(IF(Optimalisatie!C35="Nieuwe situatie",(Optimalisatie!R35/(VLOOKUP(Optimalisatie!W35,Database_Asfalt_Aanlegset[#All],60,FALSE)/8)),0),0)</f>
        <v>0</v>
      </c>
      <c r="E663" s="135">
        <f>IFERROR(IF(Optimalisatie!C35="Nieuwe situatie",Optimalisatie!J35/Optimalisatie!Z35,0),0)</f>
        <v>59.142999999999994</v>
      </c>
      <c r="F663" s="135">
        <f>_xlfn.IFNA(IF(Optimalisatie!C35="Bestaande situatie",Optimalisatie!R35/(VLOOKUP(Optimalisatie!AA35,Database_Asfalt_Verwijderset[#All],60,FALSE)/8),0),0)</f>
        <v>0</v>
      </c>
      <c r="G663" s="138">
        <f>IFERROR(IF(Optimalisatie!C35="Bestaande situatie",Optimalisatie!J35/Optimalisatie!AD35,0),0)</f>
        <v>0</v>
      </c>
      <c r="H663" s="94" t="str">
        <f>_xlfn.IFNA((VLOOKUP(Optimalisatie!W35,Database_Asfalt_Aanlegset[],61,FALSE)),"Nee")</f>
        <v>Nee</v>
      </c>
      <c r="I663" s="94" t="str">
        <f>_xlfn.IFNA((VLOOKUP(Optimalisatie!X35,Database_Brandstoffen[],60,FALSE)),"Nee")</f>
        <v>Nee</v>
      </c>
      <c r="J663" s="94" t="str">
        <f>_xlfn.IFNA((VLOOKUP(Optimalisatie!AA35,Database_Asfalt_Verwijderset[],61,FALSE)),"Nee")</f>
        <v>Nee</v>
      </c>
      <c r="K663" s="120" t="str">
        <f>_xlfn.IFNA((VLOOKUP(Optimalisatie!AB35,Database_Brandstoffen[],60,FALSE)),"Nee")</f>
        <v>Nee</v>
      </c>
      <c r="L663" s="132">
        <f>IF(Inschrijf_Bouwplaats_Totaal[[#This Row],[Emissieloos Asfalt Aanlegset]]="JA",Inschrijf_Bouwplaats_Totaal[[#This Row],[Draaiuren Bouw Asfalt]],0)+IF(Inschrijf_Bouwplaats_Totaal[[#This Row],[Emissieloos Bouwmaterieel]]="JA",Inschrijf_Bouwplaats_Totaal[[#This Row],[Draaiuren Bouw Overig]],0)+IF(Inschrijf_Bouwplaats_Totaal[[#This Row],[Emissieloos Asfalt Verwijderset]]="JA",Inschrijf_Bouwplaats_Totaal[[#This Row],[Draaiuren Verwijder Asfalt]],0)+IF(Inschrijf_Bouwplaats_Totaal[[#This Row],[Emissieloos Sloopmaterieel]]="JA",Inschrijf_Bouwplaats_Totaal[[#This Row],[Draaiuren Verwijder Overig]],0)</f>
        <v>0</v>
      </c>
      <c r="M663" s="139">
        <f>_xlfn.IFNA(IF(Optimalisatie!C35="Nieuwe situatie",(Optimalisatie!R35/(VLOOKUP(Optimalisatie!W35,Database_Asfalt_Aanlegset[#All],60,FALSE)/8)),0),0)*Optimalisatie!T35</f>
        <v>0</v>
      </c>
      <c r="N663" s="139">
        <f>_xlfn.IFNA(IF(Optimalisatie!C35="Nieuwe situatie",Optimalisatie!S35/VLOOKUP(Optimalisatie!X35,Database_Overig_Materieel[#All],8,FALSE),0),0)*Optimalisatie!T35</f>
        <v>0</v>
      </c>
      <c r="O663" s="139">
        <f>_xlfn.IFNA(IF(Optimalisatie!C35="Bestaande situatie",Optimalisatie!R35/(VLOOKUP(Optimalisatie!AA35,Database_Asfalt_Verwijderset[#All],60,FALSE)/8),0),0)*Optimalisatie!T35</f>
        <v>0</v>
      </c>
      <c r="P663" s="139">
        <f>_xlfn.IFNA(IF(Optimalisatie!C35="Bestaande situatie",Optimalisatie!S35/VLOOKUP(Optimalisatie!AB35,Database_Overig_Materieel[#All],8,FALSE),0),0)*Optimalisatie!T35</f>
        <v>0</v>
      </c>
      <c r="Q663" s="139">
        <f>IF(Inschrijf_Bouwplaats_Totaal[[#This Row],[Emissieloos Asfalt Aanlegset]]="JA",Inschrijf_Bouwplaats_Totaal[[#This Row],[Draaiuren Bouw Asfalt Vervangingen]],0)+IF(Inschrijf_Bouwplaats_Totaal[[#This Row],[Emissieloos Bouwmaterieel]]="JA",Inschrijf_Bouwplaats_Totaal[[#This Row],[Draaiuren Bouw Overig Vervangingen]],0)+IF(Inschrijf_Bouwplaats_Totaal[[#This Row],[Emissieloos Asfalt Verwijderset]]="JA",Inschrijf_Bouwplaats_Totaal[[#This Row],[Draaiuren Verwijder Asfalt Vervangingen]],0)+IF(Inschrijf_Bouwplaats_Totaal[[#This Row],[Emissieloos Sloopmaterieel]]="JA",Inschrijf_Bouwplaats_Totaal[[#This Row],[Draaiuren Verwijder Overig Vervangingen]],0)</f>
        <v>0</v>
      </c>
      <c r="R663" s="139">
        <f>Inschrijf_Bouwplaats_Totaal[[#This Row],[Emissieloos bouwplaats]]+Inschrijf_Bouwplaats_Totaal[[#This Row],[Emissieloos bouwplaats Vervangingen]]</f>
        <v>0</v>
      </c>
      <c r="S663" s="139">
        <f>(Inschrijf_Bouwplaats_Totaal[[#This Row],[Draaiuren Bouw Asfalt]]+Inschrijf_Bouwplaats_Totaal[[#This Row],[Draaiuren Bouw Overig]]+Inschrijf_Bouwplaats_Totaal[[#This Row],[Draaiuren Verwijder Asfalt]]+Inschrijf_Bouwplaats_Totaal[[#This Row],[Draaiuren Verwijder Overig]]+Inschrijf_Bouwplaats_Totaal[[#This Row],[Draaiuren Bouw Asfalt Vervangingen]]+Inschrijf_Bouwplaats_Totaal[[#This Row],[Draaiuren Bouw Overig Vervangingen]]+Inschrijf_Bouwplaats_Totaal[[#This Row],[Draaiuren Verwijder Asfalt Vervangingen]]+Inschrijf_Bouwplaats_Totaal[[#This Row],[Draaiuren Verwijder Overig Vervangingen]])-Inschrijf_Bouwplaats_Totaal[[#This Row],[Totaal Emissieloos Bouwplaats]]</f>
        <v>59.142999999999994</v>
      </c>
      <c r="T663" s="139">
        <f>Inschrijf_Bouwplaats_Totaal[[#This Row],[Totaal Emissieloos Bouwplaats]]+Inschrijf_Bouwplaats_Totaal[[#This Row],[Totaal Niet Emissieloos Bouwplaats]]</f>
        <v>59.142999999999994</v>
      </c>
      <c r="U663" s="335"/>
    </row>
    <row r="664" spans="2:21">
      <c r="B664" s="209" t="str">
        <f>Optimalisatie!B36</f>
        <v>440050 - Leveren en aanbrengen open (grasbeton) verharding (parkeerplaats)</v>
      </c>
      <c r="C664" s="51" t="str">
        <f>Optimalisatie!F36</f>
        <v>Grasbetontegel CEM I 120 mm</v>
      </c>
      <c r="D664" s="134">
        <f>_xlfn.IFNA(IF(Optimalisatie!C36="Nieuwe situatie",(Optimalisatie!R36/(VLOOKUP(Optimalisatie!W36,Database_Asfalt_Aanlegset[#All],60,FALSE)/8)),0),0)</f>
        <v>0</v>
      </c>
      <c r="E664" s="135">
        <f>IFERROR(IF(Optimalisatie!C36="Nieuwe situatie",Optimalisatie!J36/Optimalisatie!Z36,0),0)</f>
        <v>83.3</v>
      </c>
      <c r="F664" s="135">
        <f>_xlfn.IFNA(IF(Optimalisatie!C36="Bestaande situatie",Optimalisatie!R36/(VLOOKUP(Optimalisatie!AA36,Database_Asfalt_Verwijderset[#All],60,FALSE)/8),0),0)</f>
        <v>0</v>
      </c>
      <c r="G664" s="138">
        <f>IFERROR(IF(Optimalisatie!C36="Bestaande situatie",Optimalisatie!J36/Optimalisatie!AD36,0),0)</f>
        <v>0</v>
      </c>
      <c r="H664" s="94" t="str">
        <f>_xlfn.IFNA((VLOOKUP(Optimalisatie!W36,Database_Asfalt_Aanlegset[],61,FALSE)),"Nee")</f>
        <v>Nee</v>
      </c>
      <c r="I664" s="94" t="str">
        <f>_xlfn.IFNA((VLOOKUP(Optimalisatie!X36,Database_Brandstoffen[],60,FALSE)),"Nee")</f>
        <v>Nee</v>
      </c>
      <c r="J664" s="94" t="str">
        <f>_xlfn.IFNA((VLOOKUP(Optimalisatie!AA36,Database_Asfalt_Verwijderset[],61,FALSE)),"Nee")</f>
        <v>Nee</v>
      </c>
      <c r="K664" s="120" t="str">
        <f>_xlfn.IFNA((VLOOKUP(Optimalisatie!AB36,Database_Brandstoffen[],60,FALSE)),"Nee")</f>
        <v>Nee</v>
      </c>
      <c r="L664" s="132">
        <f>IF(Inschrijf_Bouwplaats_Totaal[[#This Row],[Emissieloos Asfalt Aanlegset]]="JA",Inschrijf_Bouwplaats_Totaal[[#This Row],[Draaiuren Bouw Asfalt]],0)+IF(Inschrijf_Bouwplaats_Totaal[[#This Row],[Emissieloos Bouwmaterieel]]="JA",Inschrijf_Bouwplaats_Totaal[[#This Row],[Draaiuren Bouw Overig]],0)+IF(Inschrijf_Bouwplaats_Totaal[[#This Row],[Emissieloos Asfalt Verwijderset]]="JA",Inschrijf_Bouwplaats_Totaal[[#This Row],[Draaiuren Verwijder Asfalt]],0)+IF(Inschrijf_Bouwplaats_Totaal[[#This Row],[Emissieloos Sloopmaterieel]]="JA",Inschrijf_Bouwplaats_Totaal[[#This Row],[Draaiuren Verwijder Overig]],0)</f>
        <v>0</v>
      </c>
      <c r="M664" s="139">
        <f>_xlfn.IFNA(IF(Optimalisatie!C36="Nieuwe situatie",(Optimalisatie!R36/(VLOOKUP(Optimalisatie!W36,Database_Asfalt_Aanlegset[#All],60,FALSE)/8)),0),0)*Optimalisatie!T36</f>
        <v>0</v>
      </c>
      <c r="N664" s="139">
        <f>_xlfn.IFNA(IF(Optimalisatie!C36="Nieuwe situatie",Optimalisatie!S36/VLOOKUP(Optimalisatie!X36,Database_Overig_Materieel[#All],8,FALSE),0),0)*Optimalisatie!T36</f>
        <v>0</v>
      </c>
      <c r="O664" s="139">
        <f>_xlfn.IFNA(IF(Optimalisatie!C36="Bestaande situatie",Optimalisatie!R36/(VLOOKUP(Optimalisatie!AA36,Database_Asfalt_Verwijderset[#All],60,FALSE)/8),0),0)*Optimalisatie!T36</f>
        <v>0</v>
      </c>
      <c r="P664" s="139">
        <f>_xlfn.IFNA(IF(Optimalisatie!C36="Bestaande situatie",Optimalisatie!S36/VLOOKUP(Optimalisatie!AB36,Database_Overig_Materieel[#All],8,FALSE),0),0)*Optimalisatie!T36</f>
        <v>0</v>
      </c>
      <c r="Q664" s="139">
        <f>IF(Inschrijf_Bouwplaats_Totaal[[#This Row],[Emissieloos Asfalt Aanlegset]]="JA",Inschrijf_Bouwplaats_Totaal[[#This Row],[Draaiuren Bouw Asfalt Vervangingen]],0)+IF(Inschrijf_Bouwplaats_Totaal[[#This Row],[Emissieloos Bouwmaterieel]]="JA",Inschrijf_Bouwplaats_Totaal[[#This Row],[Draaiuren Bouw Overig Vervangingen]],0)+IF(Inschrijf_Bouwplaats_Totaal[[#This Row],[Emissieloos Asfalt Verwijderset]]="JA",Inschrijf_Bouwplaats_Totaal[[#This Row],[Draaiuren Verwijder Asfalt Vervangingen]],0)+IF(Inschrijf_Bouwplaats_Totaal[[#This Row],[Emissieloos Sloopmaterieel]]="JA",Inschrijf_Bouwplaats_Totaal[[#This Row],[Draaiuren Verwijder Overig Vervangingen]],0)</f>
        <v>0</v>
      </c>
      <c r="R664" s="139">
        <f>Inschrijf_Bouwplaats_Totaal[[#This Row],[Emissieloos bouwplaats]]+Inschrijf_Bouwplaats_Totaal[[#This Row],[Emissieloos bouwplaats Vervangingen]]</f>
        <v>0</v>
      </c>
      <c r="S664" s="139">
        <f>(Inschrijf_Bouwplaats_Totaal[[#This Row],[Draaiuren Bouw Asfalt]]+Inschrijf_Bouwplaats_Totaal[[#This Row],[Draaiuren Bouw Overig]]+Inschrijf_Bouwplaats_Totaal[[#This Row],[Draaiuren Verwijder Asfalt]]+Inschrijf_Bouwplaats_Totaal[[#This Row],[Draaiuren Verwijder Overig]]+Inschrijf_Bouwplaats_Totaal[[#This Row],[Draaiuren Bouw Asfalt Vervangingen]]+Inschrijf_Bouwplaats_Totaal[[#This Row],[Draaiuren Bouw Overig Vervangingen]]+Inschrijf_Bouwplaats_Totaal[[#This Row],[Draaiuren Verwijder Asfalt Vervangingen]]+Inschrijf_Bouwplaats_Totaal[[#This Row],[Draaiuren Verwijder Overig Vervangingen]])-Inschrijf_Bouwplaats_Totaal[[#This Row],[Totaal Emissieloos Bouwplaats]]</f>
        <v>83.3</v>
      </c>
      <c r="T664" s="139">
        <f>Inschrijf_Bouwplaats_Totaal[[#This Row],[Totaal Emissieloos Bouwplaats]]+Inschrijf_Bouwplaats_Totaal[[#This Row],[Totaal Niet Emissieloos Bouwplaats]]</f>
        <v>83.3</v>
      </c>
      <c r="U664" s="335"/>
    </row>
    <row r="665" spans="2:21">
      <c r="B665" s="209" t="str">
        <f>Optimalisatie!B37</f>
        <v>440060 - Aanbrengen straatbakstenen DF, Rood (trottoir)</v>
      </c>
      <c r="C665" s="51" t="str">
        <f>Optimalisatie!F37</f>
        <v>Baksteen</v>
      </c>
      <c r="D665" s="134">
        <f>_xlfn.IFNA(IF(Optimalisatie!C37="Nieuwe situatie",(Optimalisatie!R37/(VLOOKUP(Optimalisatie!W37,Database_Asfalt_Aanlegset[#All],60,FALSE)/8)),0),0)</f>
        <v>0</v>
      </c>
      <c r="E665" s="135">
        <f>IFERROR(IF(Optimalisatie!C37="Nieuwe situatie",Optimalisatie!J37/Optimalisatie!Z37,0),0)</f>
        <v>365.68699999999995</v>
      </c>
      <c r="F665" s="135">
        <f>_xlfn.IFNA(IF(Optimalisatie!C37="Bestaande situatie",Optimalisatie!R37/(VLOOKUP(Optimalisatie!AA37,Database_Asfalt_Verwijderset[#All],60,FALSE)/8),0),0)</f>
        <v>0</v>
      </c>
      <c r="G665" s="138">
        <f>IFERROR(IF(Optimalisatie!C37="Bestaande situatie",Optimalisatie!J37/Optimalisatie!AD37,0),0)</f>
        <v>0</v>
      </c>
      <c r="H665" s="94" t="str">
        <f>_xlfn.IFNA((VLOOKUP(Optimalisatie!W37,Database_Asfalt_Aanlegset[],61,FALSE)),"Nee")</f>
        <v>Nee</v>
      </c>
      <c r="I665" s="94" t="str">
        <f>_xlfn.IFNA((VLOOKUP(Optimalisatie!X37,Database_Brandstoffen[],60,FALSE)),"Nee")</f>
        <v>Nee</v>
      </c>
      <c r="J665" s="94" t="str">
        <f>_xlfn.IFNA((VLOOKUP(Optimalisatie!AA37,Database_Asfalt_Verwijderset[],61,FALSE)),"Nee")</f>
        <v>Nee</v>
      </c>
      <c r="K665" s="120" t="str">
        <f>_xlfn.IFNA((VLOOKUP(Optimalisatie!AB37,Database_Brandstoffen[],60,FALSE)),"Nee")</f>
        <v>Nee</v>
      </c>
      <c r="L665" s="132">
        <f>IF(Inschrijf_Bouwplaats_Totaal[[#This Row],[Emissieloos Asfalt Aanlegset]]="JA",Inschrijf_Bouwplaats_Totaal[[#This Row],[Draaiuren Bouw Asfalt]],0)+IF(Inschrijf_Bouwplaats_Totaal[[#This Row],[Emissieloos Bouwmaterieel]]="JA",Inschrijf_Bouwplaats_Totaal[[#This Row],[Draaiuren Bouw Overig]],0)+IF(Inschrijf_Bouwplaats_Totaal[[#This Row],[Emissieloos Asfalt Verwijderset]]="JA",Inschrijf_Bouwplaats_Totaal[[#This Row],[Draaiuren Verwijder Asfalt]],0)+IF(Inschrijf_Bouwplaats_Totaal[[#This Row],[Emissieloos Sloopmaterieel]]="JA",Inschrijf_Bouwplaats_Totaal[[#This Row],[Draaiuren Verwijder Overig]],0)</f>
        <v>0</v>
      </c>
      <c r="M665" s="139">
        <f>_xlfn.IFNA(IF(Optimalisatie!C37="Nieuwe situatie",(Optimalisatie!R37/(VLOOKUP(Optimalisatie!W37,Database_Asfalt_Aanlegset[#All],60,FALSE)/8)),0),0)*Optimalisatie!T37</f>
        <v>0</v>
      </c>
      <c r="N665" s="139">
        <f>_xlfn.IFNA(IF(Optimalisatie!C37="Nieuwe situatie",Optimalisatie!S37/VLOOKUP(Optimalisatie!X37,Database_Overig_Materieel[#All],8,FALSE),0),0)*Optimalisatie!T37</f>
        <v>0</v>
      </c>
      <c r="O665" s="139">
        <f>_xlfn.IFNA(IF(Optimalisatie!C37="Bestaande situatie",Optimalisatie!R37/(VLOOKUP(Optimalisatie!AA37,Database_Asfalt_Verwijderset[#All],60,FALSE)/8),0),0)*Optimalisatie!T37</f>
        <v>0</v>
      </c>
      <c r="P665" s="139">
        <f>_xlfn.IFNA(IF(Optimalisatie!C37="Bestaande situatie",Optimalisatie!S37/VLOOKUP(Optimalisatie!AB37,Database_Overig_Materieel[#All],8,FALSE),0),0)*Optimalisatie!T37</f>
        <v>0</v>
      </c>
      <c r="Q665" s="139">
        <f>IF(Inschrijf_Bouwplaats_Totaal[[#This Row],[Emissieloos Asfalt Aanlegset]]="JA",Inschrijf_Bouwplaats_Totaal[[#This Row],[Draaiuren Bouw Asfalt Vervangingen]],0)+IF(Inschrijf_Bouwplaats_Totaal[[#This Row],[Emissieloos Bouwmaterieel]]="JA",Inschrijf_Bouwplaats_Totaal[[#This Row],[Draaiuren Bouw Overig Vervangingen]],0)+IF(Inschrijf_Bouwplaats_Totaal[[#This Row],[Emissieloos Asfalt Verwijderset]]="JA",Inschrijf_Bouwplaats_Totaal[[#This Row],[Draaiuren Verwijder Asfalt Vervangingen]],0)+IF(Inschrijf_Bouwplaats_Totaal[[#This Row],[Emissieloos Sloopmaterieel]]="JA",Inschrijf_Bouwplaats_Totaal[[#This Row],[Draaiuren Verwijder Overig Vervangingen]],0)</f>
        <v>0</v>
      </c>
      <c r="R665" s="139">
        <f>Inschrijf_Bouwplaats_Totaal[[#This Row],[Emissieloos bouwplaats]]+Inschrijf_Bouwplaats_Totaal[[#This Row],[Emissieloos bouwplaats Vervangingen]]</f>
        <v>0</v>
      </c>
      <c r="S665" s="139">
        <f>(Inschrijf_Bouwplaats_Totaal[[#This Row],[Draaiuren Bouw Asfalt]]+Inschrijf_Bouwplaats_Totaal[[#This Row],[Draaiuren Bouw Overig]]+Inschrijf_Bouwplaats_Totaal[[#This Row],[Draaiuren Verwijder Asfalt]]+Inschrijf_Bouwplaats_Totaal[[#This Row],[Draaiuren Verwijder Overig]]+Inschrijf_Bouwplaats_Totaal[[#This Row],[Draaiuren Bouw Asfalt Vervangingen]]+Inschrijf_Bouwplaats_Totaal[[#This Row],[Draaiuren Bouw Overig Vervangingen]]+Inschrijf_Bouwplaats_Totaal[[#This Row],[Draaiuren Verwijder Asfalt Vervangingen]]+Inschrijf_Bouwplaats_Totaal[[#This Row],[Draaiuren Verwijder Overig Vervangingen]])-Inschrijf_Bouwplaats_Totaal[[#This Row],[Totaal Emissieloos Bouwplaats]]</f>
        <v>365.68699999999995</v>
      </c>
      <c r="T665" s="139">
        <f>Inschrijf_Bouwplaats_Totaal[[#This Row],[Totaal Emissieloos Bouwplaats]]+Inschrijf_Bouwplaats_Totaal[[#This Row],[Totaal Niet Emissieloos Bouwplaats]]</f>
        <v>365.68699999999995</v>
      </c>
      <c r="U665" s="335"/>
    </row>
    <row r="666" spans="2:21">
      <c r="B666" s="209" t="str">
        <f>Optimalisatie!B38</f>
        <v>440070 - Aanbrengen straatbakstenen DF, Geel (trottoir)</v>
      </c>
      <c r="C666" s="51" t="str">
        <f>Optimalisatie!F38</f>
        <v>Baksteen</v>
      </c>
      <c r="D666" s="134">
        <f>_xlfn.IFNA(IF(Optimalisatie!C38="Nieuwe situatie",(Optimalisatie!R38/(VLOOKUP(Optimalisatie!W38,Database_Asfalt_Aanlegset[#All],60,FALSE)/8)),0),0)</f>
        <v>0</v>
      </c>
      <c r="E666" s="135">
        <f>IFERROR(IF(Optimalisatie!C38="Nieuwe situatie",Optimalisatie!J38/Optimalisatie!Z38,0),0)</f>
        <v>95.794999999999987</v>
      </c>
      <c r="F666" s="135">
        <f>_xlfn.IFNA(IF(Optimalisatie!C38="Bestaande situatie",Optimalisatie!R38/(VLOOKUP(Optimalisatie!AA38,Database_Asfalt_Verwijderset[#All],60,FALSE)/8),0),0)</f>
        <v>0</v>
      </c>
      <c r="G666" s="138">
        <f>IFERROR(IF(Optimalisatie!C38="Bestaande situatie",Optimalisatie!J38/Optimalisatie!AD38,0),0)</f>
        <v>0</v>
      </c>
      <c r="H666" s="94" t="str">
        <f>_xlfn.IFNA((VLOOKUP(Optimalisatie!W38,Database_Asfalt_Aanlegset[],61,FALSE)),"Nee")</f>
        <v>Nee</v>
      </c>
      <c r="I666" s="94" t="str">
        <f>_xlfn.IFNA((VLOOKUP(Optimalisatie!X38,Database_Brandstoffen[],60,FALSE)),"Nee")</f>
        <v>Nee</v>
      </c>
      <c r="J666" s="94" t="str">
        <f>_xlfn.IFNA((VLOOKUP(Optimalisatie!AA38,Database_Asfalt_Verwijderset[],61,FALSE)),"Nee")</f>
        <v>Nee</v>
      </c>
      <c r="K666" s="120" t="str">
        <f>_xlfn.IFNA((VLOOKUP(Optimalisatie!AB38,Database_Brandstoffen[],60,FALSE)),"Nee")</f>
        <v>Nee</v>
      </c>
      <c r="L666" s="132">
        <f>IF(Inschrijf_Bouwplaats_Totaal[[#This Row],[Emissieloos Asfalt Aanlegset]]="JA",Inschrijf_Bouwplaats_Totaal[[#This Row],[Draaiuren Bouw Asfalt]],0)+IF(Inschrijf_Bouwplaats_Totaal[[#This Row],[Emissieloos Bouwmaterieel]]="JA",Inschrijf_Bouwplaats_Totaal[[#This Row],[Draaiuren Bouw Overig]],0)+IF(Inschrijf_Bouwplaats_Totaal[[#This Row],[Emissieloos Asfalt Verwijderset]]="JA",Inschrijf_Bouwplaats_Totaal[[#This Row],[Draaiuren Verwijder Asfalt]],0)+IF(Inschrijf_Bouwplaats_Totaal[[#This Row],[Emissieloos Sloopmaterieel]]="JA",Inschrijf_Bouwplaats_Totaal[[#This Row],[Draaiuren Verwijder Overig]],0)</f>
        <v>0</v>
      </c>
      <c r="M666" s="139">
        <f>_xlfn.IFNA(IF(Optimalisatie!C38="Nieuwe situatie",(Optimalisatie!R38/(VLOOKUP(Optimalisatie!W38,Database_Asfalt_Aanlegset[#All],60,FALSE)/8)),0),0)*Optimalisatie!T38</f>
        <v>0</v>
      </c>
      <c r="N666" s="139">
        <f>_xlfn.IFNA(IF(Optimalisatie!C38="Nieuwe situatie",Optimalisatie!S38/VLOOKUP(Optimalisatie!X38,Database_Overig_Materieel[#All],8,FALSE),0),0)*Optimalisatie!T38</f>
        <v>0</v>
      </c>
      <c r="O666" s="139">
        <f>_xlfn.IFNA(IF(Optimalisatie!C38="Bestaande situatie",Optimalisatie!R38/(VLOOKUP(Optimalisatie!AA38,Database_Asfalt_Verwijderset[#All],60,FALSE)/8),0),0)*Optimalisatie!T38</f>
        <v>0</v>
      </c>
      <c r="P666" s="139">
        <f>_xlfn.IFNA(IF(Optimalisatie!C38="Bestaande situatie",Optimalisatie!S38/VLOOKUP(Optimalisatie!AB38,Database_Overig_Materieel[#All],8,FALSE),0),0)*Optimalisatie!T38</f>
        <v>0</v>
      </c>
      <c r="Q666" s="139">
        <f>IF(Inschrijf_Bouwplaats_Totaal[[#This Row],[Emissieloos Asfalt Aanlegset]]="JA",Inschrijf_Bouwplaats_Totaal[[#This Row],[Draaiuren Bouw Asfalt Vervangingen]],0)+IF(Inschrijf_Bouwplaats_Totaal[[#This Row],[Emissieloos Bouwmaterieel]]="JA",Inschrijf_Bouwplaats_Totaal[[#This Row],[Draaiuren Bouw Overig Vervangingen]],0)+IF(Inschrijf_Bouwplaats_Totaal[[#This Row],[Emissieloos Asfalt Verwijderset]]="JA",Inschrijf_Bouwplaats_Totaal[[#This Row],[Draaiuren Verwijder Asfalt Vervangingen]],0)+IF(Inschrijf_Bouwplaats_Totaal[[#This Row],[Emissieloos Sloopmaterieel]]="JA",Inschrijf_Bouwplaats_Totaal[[#This Row],[Draaiuren Verwijder Overig Vervangingen]],0)</f>
        <v>0</v>
      </c>
      <c r="R666" s="139">
        <f>Inschrijf_Bouwplaats_Totaal[[#This Row],[Emissieloos bouwplaats]]+Inschrijf_Bouwplaats_Totaal[[#This Row],[Emissieloos bouwplaats Vervangingen]]</f>
        <v>0</v>
      </c>
      <c r="S666" s="139">
        <f>(Inschrijf_Bouwplaats_Totaal[[#This Row],[Draaiuren Bouw Asfalt]]+Inschrijf_Bouwplaats_Totaal[[#This Row],[Draaiuren Bouw Overig]]+Inschrijf_Bouwplaats_Totaal[[#This Row],[Draaiuren Verwijder Asfalt]]+Inschrijf_Bouwplaats_Totaal[[#This Row],[Draaiuren Verwijder Overig]]+Inschrijf_Bouwplaats_Totaal[[#This Row],[Draaiuren Bouw Asfalt Vervangingen]]+Inschrijf_Bouwplaats_Totaal[[#This Row],[Draaiuren Bouw Overig Vervangingen]]+Inschrijf_Bouwplaats_Totaal[[#This Row],[Draaiuren Verwijder Asfalt Vervangingen]]+Inschrijf_Bouwplaats_Totaal[[#This Row],[Draaiuren Verwijder Overig Vervangingen]])-Inschrijf_Bouwplaats_Totaal[[#This Row],[Totaal Emissieloos Bouwplaats]]</f>
        <v>95.794999999999987</v>
      </c>
      <c r="T666" s="139">
        <f>Inschrijf_Bouwplaats_Totaal[[#This Row],[Totaal Emissieloos Bouwplaats]]+Inschrijf_Bouwplaats_Totaal[[#This Row],[Totaal Niet Emissieloos Bouwplaats]]</f>
        <v>95.794999999999987</v>
      </c>
      <c r="U666" s="335"/>
    </row>
    <row r="667" spans="2:21">
      <c r="B667" s="209" t="str">
        <f>Optimalisatie!B39</f>
        <v>440090 - Aanbrengen straatbakstenen DF, Rood (drempelopgang)</v>
      </c>
      <c r="C667" s="51" t="str">
        <f>Optimalisatie!F39</f>
        <v>Baksteen</v>
      </c>
      <c r="D667" s="134">
        <f>_xlfn.IFNA(IF(Optimalisatie!C39="Nieuwe situatie",(Optimalisatie!R39/(VLOOKUP(Optimalisatie!W39,Database_Asfalt_Aanlegset[#All],60,FALSE)/8)),0),0)</f>
        <v>0</v>
      </c>
      <c r="E667" s="135">
        <f>IFERROR(IF(Optimalisatie!C39="Nieuwe situatie",Optimalisatie!J39/Optimalisatie!Z39,0),0)</f>
        <v>18.7425</v>
      </c>
      <c r="F667" s="135">
        <f>_xlfn.IFNA(IF(Optimalisatie!C39="Bestaande situatie",Optimalisatie!R39/(VLOOKUP(Optimalisatie!AA39,Database_Asfalt_Verwijderset[#All],60,FALSE)/8),0),0)</f>
        <v>0</v>
      </c>
      <c r="G667" s="138">
        <f>IFERROR(IF(Optimalisatie!C39="Bestaande situatie",Optimalisatie!J39/Optimalisatie!AD39,0),0)</f>
        <v>0</v>
      </c>
      <c r="H667" s="94" t="str">
        <f>_xlfn.IFNA((VLOOKUP(Optimalisatie!W39,Database_Asfalt_Aanlegset[],61,FALSE)),"Nee")</f>
        <v>Nee</v>
      </c>
      <c r="I667" s="94" t="str">
        <f>_xlfn.IFNA((VLOOKUP(Optimalisatie!X39,Database_Brandstoffen[],60,FALSE)),"Nee")</f>
        <v>Nee</v>
      </c>
      <c r="J667" s="94" t="str">
        <f>_xlfn.IFNA((VLOOKUP(Optimalisatie!AA39,Database_Asfalt_Verwijderset[],61,FALSE)),"Nee")</f>
        <v>Nee</v>
      </c>
      <c r="K667" s="120" t="str">
        <f>_xlfn.IFNA((VLOOKUP(Optimalisatie!AB39,Database_Brandstoffen[],60,FALSE)),"Nee")</f>
        <v>Nee</v>
      </c>
      <c r="L667" s="132">
        <f>IF(Inschrijf_Bouwplaats_Totaal[[#This Row],[Emissieloos Asfalt Aanlegset]]="JA",Inschrijf_Bouwplaats_Totaal[[#This Row],[Draaiuren Bouw Asfalt]],0)+IF(Inschrijf_Bouwplaats_Totaal[[#This Row],[Emissieloos Bouwmaterieel]]="JA",Inschrijf_Bouwplaats_Totaal[[#This Row],[Draaiuren Bouw Overig]],0)+IF(Inschrijf_Bouwplaats_Totaal[[#This Row],[Emissieloos Asfalt Verwijderset]]="JA",Inschrijf_Bouwplaats_Totaal[[#This Row],[Draaiuren Verwijder Asfalt]],0)+IF(Inschrijf_Bouwplaats_Totaal[[#This Row],[Emissieloos Sloopmaterieel]]="JA",Inschrijf_Bouwplaats_Totaal[[#This Row],[Draaiuren Verwijder Overig]],0)</f>
        <v>0</v>
      </c>
      <c r="M667" s="139">
        <f>_xlfn.IFNA(IF(Optimalisatie!C39="Nieuwe situatie",(Optimalisatie!R39/(VLOOKUP(Optimalisatie!W39,Database_Asfalt_Aanlegset[#All],60,FALSE)/8)),0),0)*Optimalisatie!T39</f>
        <v>0</v>
      </c>
      <c r="N667" s="139">
        <f>_xlfn.IFNA(IF(Optimalisatie!C39="Nieuwe situatie",Optimalisatie!S39/VLOOKUP(Optimalisatie!X39,Database_Overig_Materieel[#All],8,FALSE),0),0)*Optimalisatie!T39</f>
        <v>0</v>
      </c>
      <c r="O667" s="139">
        <f>_xlfn.IFNA(IF(Optimalisatie!C39="Bestaande situatie",Optimalisatie!R39/(VLOOKUP(Optimalisatie!AA39,Database_Asfalt_Verwijderset[#All],60,FALSE)/8),0),0)*Optimalisatie!T39</f>
        <v>0</v>
      </c>
      <c r="P667" s="139">
        <f>_xlfn.IFNA(IF(Optimalisatie!C39="Bestaande situatie",Optimalisatie!S39/VLOOKUP(Optimalisatie!AB39,Database_Overig_Materieel[#All],8,FALSE),0),0)*Optimalisatie!T39</f>
        <v>0</v>
      </c>
      <c r="Q667" s="139">
        <f>IF(Inschrijf_Bouwplaats_Totaal[[#This Row],[Emissieloos Asfalt Aanlegset]]="JA",Inschrijf_Bouwplaats_Totaal[[#This Row],[Draaiuren Bouw Asfalt Vervangingen]],0)+IF(Inschrijf_Bouwplaats_Totaal[[#This Row],[Emissieloos Bouwmaterieel]]="JA",Inschrijf_Bouwplaats_Totaal[[#This Row],[Draaiuren Bouw Overig Vervangingen]],0)+IF(Inschrijf_Bouwplaats_Totaal[[#This Row],[Emissieloos Asfalt Verwijderset]]="JA",Inschrijf_Bouwplaats_Totaal[[#This Row],[Draaiuren Verwijder Asfalt Vervangingen]],0)+IF(Inschrijf_Bouwplaats_Totaal[[#This Row],[Emissieloos Sloopmaterieel]]="JA",Inschrijf_Bouwplaats_Totaal[[#This Row],[Draaiuren Verwijder Overig Vervangingen]],0)</f>
        <v>0</v>
      </c>
      <c r="R667" s="139">
        <f>Inschrijf_Bouwplaats_Totaal[[#This Row],[Emissieloos bouwplaats]]+Inschrijf_Bouwplaats_Totaal[[#This Row],[Emissieloos bouwplaats Vervangingen]]</f>
        <v>0</v>
      </c>
      <c r="S667" s="139">
        <f>(Inschrijf_Bouwplaats_Totaal[[#This Row],[Draaiuren Bouw Asfalt]]+Inschrijf_Bouwplaats_Totaal[[#This Row],[Draaiuren Bouw Overig]]+Inschrijf_Bouwplaats_Totaal[[#This Row],[Draaiuren Verwijder Asfalt]]+Inschrijf_Bouwplaats_Totaal[[#This Row],[Draaiuren Verwijder Overig]]+Inschrijf_Bouwplaats_Totaal[[#This Row],[Draaiuren Bouw Asfalt Vervangingen]]+Inschrijf_Bouwplaats_Totaal[[#This Row],[Draaiuren Bouw Overig Vervangingen]]+Inschrijf_Bouwplaats_Totaal[[#This Row],[Draaiuren Verwijder Asfalt Vervangingen]]+Inschrijf_Bouwplaats_Totaal[[#This Row],[Draaiuren Verwijder Overig Vervangingen]])-Inschrijf_Bouwplaats_Totaal[[#This Row],[Totaal Emissieloos Bouwplaats]]</f>
        <v>18.7425</v>
      </c>
      <c r="T667" s="139">
        <f>Inschrijf_Bouwplaats_Totaal[[#This Row],[Totaal Emissieloos Bouwplaats]]+Inschrijf_Bouwplaats_Totaal[[#This Row],[Totaal Niet Emissieloos Bouwplaats]]</f>
        <v>18.7425</v>
      </c>
      <c r="U667" s="335"/>
    </row>
    <row r="668" spans="2:21">
      <c r="B668" s="209">
        <f>Optimalisatie!B40</f>
        <v>0</v>
      </c>
      <c r="C668" s="51">
        <f>Optimalisatie!F40</f>
        <v>0</v>
      </c>
      <c r="D668" s="134">
        <f>_xlfn.IFNA(IF(Optimalisatie!C40="Nieuwe situatie",(Optimalisatie!R40/(VLOOKUP(Optimalisatie!W40,Database_Asfalt_Aanlegset[#All],60,FALSE)/8)),0),0)</f>
        <v>0</v>
      </c>
      <c r="E668" s="135">
        <f>IFERROR(IF(Optimalisatie!C40="Nieuwe situatie",Optimalisatie!J40/Optimalisatie!Z40,0),0)</f>
        <v>0</v>
      </c>
      <c r="F668" s="135">
        <f>_xlfn.IFNA(IF(Optimalisatie!C40="Bestaande situatie",Optimalisatie!R40/(VLOOKUP(Optimalisatie!AA40,Database_Asfalt_Verwijderset[#All],60,FALSE)/8),0),0)</f>
        <v>0</v>
      </c>
      <c r="G668" s="138">
        <f>IFERROR(IF(Optimalisatie!C40="Bestaande situatie",Optimalisatie!J40/Optimalisatie!AD40,0),0)</f>
        <v>0</v>
      </c>
      <c r="H668" s="94" t="str">
        <f>_xlfn.IFNA((VLOOKUP(Optimalisatie!W40,Database_Asfalt_Aanlegset[],61,FALSE)),"Nee")</f>
        <v>Nee</v>
      </c>
      <c r="I668" s="94" t="str">
        <f>_xlfn.IFNA((VLOOKUP(Optimalisatie!X40,Database_Brandstoffen[],60,FALSE)),"Nee")</f>
        <v>Nee</v>
      </c>
      <c r="J668" s="94" t="str">
        <f>_xlfn.IFNA((VLOOKUP(Optimalisatie!AA40,Database_Asfalt_Verwijderset[],61,FALSE)),"Nee")</f>
        <v>Nee</v>
      </c>
      <c r="K668" s="120" t="str">
        <f>_xlfn.IFNA((VLOOKUP(Optimalisatie!AB40,Database_Brandstoffen[],60,FALSE)),"Nee")</f>
        <v>Nee</v>
      </c>
      <c r="L668" s="132">
        <f>IF(Inschrijf_Bouwplaats_Totaal[[#This Row],[Emissieloos Asfalt Aanlegset]]="JA",Inschrijf_Bouwplaats_Totaal[[#This Row],[Draaiuren Bouw Asfalt]],0)+IF(Inschrijf_Bouwplaats_Totaal[[#This Row],[Emissieloos Bouwmaterieel]]="JA",Inschrijf_Bouwplaats_Totaal[[#This Row],[Draaiuren Bouw Overig]],0)+IF(Inschrijf_Bouwplaats_Totaal[[#This Row],[Emissieloos Asfalt Verwijderset]]="JA",Inschrijf_Bouwplaats_Totaal[[#This Row],[Draaiuren Verwijder Asfalt]],0)+IF(Inschrijf_Bouwplaats_Totaal[[#This Row],[Emissieloos Sloopmaterieel]]="JA",Inschrijf_Bouwplaats_Totaal[[#This Row],[Draaiuren Verwijder Overig]],0)</f>
        <v>0</v>
      </c>
      <c r="M668" s="139">
        <f>_xlfn.IFNA(IF(Optimalisatie!C40="Nieuwe situatie",(Optimalisatie!R40/(VLOOKUP(Optimalisatie!W40,Database_Asfalt_Aanlegset[#All],60,FALSE)/8)),0),0)*Optimalisatie!T40</f>
        <v>0</v>
      </c>
      <c r="N668" s="139">
        <f>_xlfn.IFNA(IF(Optimalisatie!C40="Nieuwe situatie",Optimalisatie!S40/VLOOKUP(Optimalisatie!X40,Database_Overig_Materieel[#All],8,FALSE),0),0)*Optimalisatie!T40</f>
        <v>0</v>
      </c>
      <c r="O668" s="139">
        <f>_xlfn.IFNA(IF(Optimalisatie!C40="Bestaande situatie",Optimalisatie!R40/(VLOOKUP(Optimalisatie!AA40,Database_Asfalt_Verwijderset[#All],60,FALSE)/8),0),0)*Optimalisatie!T40</f>
        <v>0</v>
      </c>
      <c r="P668" s="139">
        <f>_xlfn.IFNA(IF(Optimalisatie!C40="Bestaande situatie",Optimalisatie!S40/VLOOKUP(Optimalisatie!AB40,Database_Overig_Materieel[#All],8,FALSE),0),0)*Optimalisatie!T40</f>
        <v>0</v>
      </c>
      <c r="Q668" s="139">
        <f>IF(Inschrijf_Bouwplaats_Totaal[[#This Row],[Emissieloos Asfalt Aanlegset]]="JA",Inschrijf_Bouwplaats_Totaal[[#This Row],[Draaiuren Bouw Asfalt Vervangingen]],0)+IF(Inschrijf_Bouwplaats_Totaal[[#This Row],[Emissieloos Bouwmaterieel]]="JA",Inschrijf_Bouwplaats_Totaal[[#This Row],[Draaiuren Bouw Overig Vervangingen]],0)+IF(Inschrijf_Bouwplaats_Totaal[[#This Row],[Emissieloos Asfalt Verwijderset]]="JA",Inschrijf_Bouwplaats_Totaal[[#This Row],[Draaiuren Verwijder Asfalt Vervangingen]],0)+IF(Inschrijf_Bouwplaats_Totaal[[#This Row],[Emissieloos Sloopmaterieel]]="JA",Inschrijf_Bouwplaats_Totaal[[#This Row],[Draaiuren Verwijder Overig Vervangingen]],0)</f>
        <v>0</v>
      </c>
      <c r="R668" s="139">
        <f>Inschrijf_Bouwplaats_Totaal[[#This Row],[Emissieloos bouwplaats]]+Inschrijf_Bouwplaats_Totaal[[#This Row],[Emissieloos bouwplaats Vervangingen]]</f>
        <v>0</v>
      </c>
      <c r="S668" s="139">
        <f>(Inschrijf_Bouwplaats_Totaal[[#This Row],[Draaiuren Bouw Asfalt]]+Inschrijf_Bouwplaats_Totaal[[#This Row],[Draaiuren Bouw Overig]]+Inschrijf_Bouwplaats_Totaal[[#This Row],[Draaiuren Verwijder Asfalt]]+Inschrijf_Bouwplaats_Totaal[[#This Row],[Draaiuren Verwijder Overig]]+Inschrijf_Bouwplaats_Totaal[[#This Row],[Draaiuren Bouw Asfalt Vervangingen]]+Inschrijf_Bouwplaats_Totaal[[#This Row],[Draaiuren Bouw Overig Vervangingen]]+Inschrijf_Bouwplaats_Totaal[[#This Row],[Draaiuren Verwijder Asfalt Vervangingen]]+Inschrijf_Bouwplaats_Totaal[[#This Row],[Draaiuren Verwijder Overig Vervangingen]])-Inschrijf_Bouwplaats_Totaal[[#This Row],[Totaal Emissieloos Bouwplaats]]</f>
        <v>0</v>
      </c>
      <c r="T668" s="139">
        <f>Inschrijf_Bouwplaats_Totaal[[#This Row],[Totaal Emissieloos Bouwplaats]]+Inschrijf_Bouwplaats_Totaal[[#This Row],[Totaal Niet Emissieloos Bouwplaats]]</f>
        <v>0</v>
      </c>
      <c r="U668" s="335"/>
    </row>
    <row r="669" spans="2:21">
      <c r="B669" s="209">
        <f>Optimalisatie!B41</f>
        <v>0</v>
      </c>
      <c r="C669" s="51">
        <f>Optimalisatie!F41</f>
        <v>0</v>
      </c>
      <c r="D669" s="134">
        <f>_xlfn.IFNA(IF(Optimalisatie!C41="Nieuwe situatie",(Optimalisatie!R41/(VLOOKUP(Optimalisatie!W41,Database_Asfalt_Aanlegset[#All],60,FALSE)/8)),0),0)</f>
        <v>0</v>
      </c>
      <c r="E669" s="135">
        <f>IFERROR(IF(Optimalisatie!C41="Nieuwe situatie",Optimalisatie!J41/Optimalisatie!Z41,0),0)</f>
        <v>0</v>
      </c>
      <c r="F669" s="135">
        <f>_xlfn.IFNA(IF(Optimalisatie!C41="Bestaande situatie",Optimalisatie!R41/(VLOOKUP(Optimalisatie!AA41,Database_Asfalt_Verwijderset[#All],60,FALSE)/8),0),0)</f>
        <v>0</v>
      </c>
      <c r="G669" s="138">
        <f>IFERROR(IF(Optimalisatie!C41="Bestaande situatie",Optimalisatie!J41/Optimalisatie!AD41,0),0)</f>
        <v>0</v>
      </c>
      <c r="H669" s="94" t="str">
        <f>_xlfn.IFNA((VLOOKUP(Optimalisatie!W41,Database_Asfalt_Aanlegset[],61,FALSE)),"Nee")</f>
        <v>Nee</v>
      </c>
      <c r="I669" s="94" t="str">
        <f>_xlfn.IFNA((VLOOKUP(Optimalisatie!X41,Database_Brandstoffen[],60,FALSE)),"Nee")</f>
        <v>Nee</v>
      </c>
      <c r="J669" s="94" t="str">
        <f>_xlfn.IFNA((VLOOKUP(Optimalisatie!AA41,Database_Asfalt_Verwijderset[],61,FALSE)),"Nee")</f>
        <v>Nee</v>
      </c>
      <c r="K669" s="120" t="str">
        <f>_xlfn.IFNA((VLOOKUP(Optimalisatie!AB41,Database_Brandstoffen[],60,FALSE)),"Nee")</f>
        <v>Nee</v>
      </c>
      <c r="L669" s="132">
        <f>IF(Inschrijf_Bouwplaats_Totaal[[#This Row],[Emissieloos Asfalt Aanlegset]]="JA",Inschrijf_Bouwplaats_Totaal[[#This Row],[Draaiuren Bouw Asfalt]],0)+IF(Inschrijf_Bouwplaats_Totaal[[#This Row],[Emissieloos Bouwmaterieel]]="JA",Inschrijf_Bouwplaats_Totaal[[#This Row],[Draaiuren Bouw Overig]],0)+IF(Inschrijf_Bouwplaats_Totaal[[#This Row],[Emissieloos Asfalt Verwijderset]]="JA",Inschrijf_Bouwplaats_Totaal[[#This Row],[Draaiuren Verwijder Asfalt]],0)+IF(Inschrijf_Bouwplaats_Totaal[[#This Row],[Emissieloos Sloopmaterieel]]="JA",Inschrijf_Bouwplaats_Totaal[[#This Row],[Draaiuren Verwijder Overig]],0)</f>
        <v>0</v>
      </c>
      <c r="M669" s="139">
        <f>_xlfn.IFNA(IF(Optimalisatie!C41="Nieuwe situatie",(Optimalisatie!R41/(VLOOKUP(Optimalisatie!W41,Database_Asfalt_Aanlegset[#All],60,FALSE)/8)),0),0)*Optimalisatie!T41</f>
        <v>0</v>
      </c>
      <c r="N669" s="139">
        <f>_xlfn.IFNA(IF(Optimalisatie!C41="Nieuwe situatie",Optimalisatie!S41/VLOOKUP(Optimalisatie!X41,Database_Overig_Materieel[#All],8,FALSE),0),0)*Optimalisatie!T41</f>
        <v>0</v>
      </c>
      <c r="O669" s="139">
        <f>_xlfn.IFNA(IF(Optimalisatie!C41="Bestaande situatie",Optimalisatie!R41/(VLOOKUP(Optimalisatie!AA41,Database_Asfalt_Verwijderset[#All],60,FALSE)/8),0),0)*Optimalisatie!T41</f>
        <v>0</v>
      </c>
      <c r="P669" s="139">
        <f>_xlfn.IFNA(IF(Optimalisatie!C41="Bestaande situatie",Optimalisatie!S41/VLOOKUP(Optimalisatie!AB41,Database_Overig_Materieel[#All],8,FALSE),0),0)*Optimalisatie!T41</f>
        <v>0</v>
      </c>
      <c r="Q669" s="139">
        <f>IF(Inschrijf_Bouwplaats_Totaal[[#This Row],[Emissieloos Asfalt Aanlegset]]="JA",Inschrijf_Bouwplaats_Totaal[[#This Row],[Draaiuren Bouw Asfalt Vervangingen]],0)+IF(Inschrijf_Bouwplaats_Totaal[[#This Row],[Emissieloos Bouwmaterieel]]="JA",Inschrijf_Bouwplaats_Totaal[[#This Row],[Draaiuren Bouw Overig Vervangingen]],0)+IF(Inschrijf_Bouwplaats_Totaal[[#This Row],[Emissieloos Asfalt Verwijderset]]="JA",Inschrijf_Bouwplaats_Totaal[[#This Row],[Draaiuren Verwijder Asfalt Vervangingen]],0)+IF(Inschrijf_Bouwplaats_Totaal[[#This Row],[Emissieloos Sloopmaterieel]]="JA",Inschrijf_Bouwplaats_Totaal[[#This Row],[Draaiuren Verwijder Overig Vervangingen]],0)</f>
        <v>0</v>
      </c>
      <c r="R669" s="139">
        <f>Inschrijf_Bouwplaats_Totaal[[#This Row],[Emissieloos bouwplaats]]+Inschrijf_Bouwplaats_Totaal[[#This Row],[Emissieloos bouwplaats Vervangingen]]</f>
        <v>0</v>
      </c>
      <c r="S669" s="139">
        <f>(Inschrijf_Bouwplaats_Totaal[[#This Row],[Draaiuren Bouw Asfalt]]+Inschrijf_Bouwplaats_Totaal[[#This Row],[Draaiuren Bouw Overig]]+Inschrijf_Bouwplaats_Totaal[[#This Row],[Draaiuren Verwijder Asfalt]]+Inschrijf_Bouwplaats_Totaal[[#This Row],[Draaiuren Verwijder Overig]]+Inschrijf_Bouwplaats_Totaal[[#This Row],[Draaiuren Bouw Asfalt Vervangingen]]+Inschrijf_Bouwplaats_Totaal[[#This Row],[Draaiuren Bouw Overig Vervangingen]]+Inschrijf_Bouwplaats_Totaal[[#This Row],[Draaiuren Verwijder Asfalt Vervangingen]]+Inschrijf_Bouwplaats_Totaal[[#This Row],[Draaiuren Verwijder Overig Vervangingen]])-Inschrijf_Bouwplaats_Totaal[[#This Row],[Totaal Emissieloos Bouwplaats]]</f>
        <v>0</v>
      </c>
      <c r="T669" s="139">
        <f>Inschrijf_Bouwplaats_Totaal[[#This Row],[Totaal Emissieloos Bouwplaats]]+Inschrijf_Bouwplaats_Totaal[[#This Row],[Totaal Niet Emissieloos Bouwplaats]]</f>
        <v>0</v>
      </c>
      <c r="U669" s="335"/>
    </row>
    <row r="670" spans="2:21">
      <c r="B670" s="209">
        <f>Optimalisatie!B42</f>
        <v>0</v>
      </c>
      <c r="C670" s="51">
        <f>Optimalisatie!F42</f>
        <v>0</v>
      </c>
      <c r="D670" s="134">
        <f>_xlfn.IFNA(IF(Optimalisatie!C42="Nieuwe situatie",(Optimalisatie!R42/(VLOOKUP(Optimalisatie!W42,Database_Asfalt_Aanlegset[#All],60,FALSE)/8)),0),0)</f>
        <v>0</v>
      </c>
      <c r="E670" s="135">
        <f>IFERROR(IF(Optimalisatie!C42="Nieuwe situatie",Optimalisatie!J42/Optimalisatie!Z42,0),0)</f>
        <v>0</v>
      </c>
      <c r="F670" s="135">
        <f>_xlfn.IFNA(IF(Optimalisatie!C42="Bestaande situatie",Optimalisatie!R42/(VLOOKUP(Optimalisatie!AA42,Database_Asfalt_Verwijderset[#All],60,FALSE)/8),0),0)</f>
        <v>0</v>
      </c>
      <c r="G670" s="138">
        <f>IFERROR(IF(Optimalisatie!C42="Bestaande situatie",Optimalisatie!J42/Optimalisatie!AD42,0),0)</f>
        <v>0</v>
      </c>
      <c r="H670" s="94" t="str">
        <f>_xlfn.IFNA((VLOOKUP(Optimalisatie!W42,Database_Asfalt_Aanlegset[],61,FALSE)),"Nee")</f>
        <v>Nee</v>
      </c>
      <c r="I670" s="94" t="str">
        <f>_xlfn.IFNA((VLOOKUP(Optimalisatie!X42,Database_Brandstoffen[],60,FALSE)),"Nee")</f>
        <v>Nee</v>
      </c>
      <c r="J670" s="94" t="str">
        <f>_xlfn.IFNA((VLOOKUP(Optimalisatie!AA42,Database_Asfalt_Verwijderset[],61,FALSE)),"Nee")</f>
        <v>Nee</v>
      </c>
      <c r="K670" s="120" t="str">
        <f>_xlfn.IFNA((VLOOKUP(Optimalisatie!AB42,Database_Brandstoffen[],60,FALSE)),"Nee")</f>
        <v>Nee</v>
      </c>
      <c r="L670" s="132">
        <f>IF(Inschrijf_Bouwplaats_Totaal[[#This Row],[Emissieloos Asfalt Aanlegset]]="JA",Inschrijf_Bouwplaats_Totaal[[#This Row],[Draaiuren Bouw Asfalt]],0)+IF(Inschrijf_Bouwplaats_Totaal[[#This Row],[Emissieloos Bouwmaterieel]]="JA",Inschrijf_Bouwplaats_Totaal[[#This Row],[Draaiuren Bouw Overig]],0)+IF(Inschrijf_Bouwplaats_Totaal[[#This Row],[Emissieloos Asfalt Verwijderset]]="JA",Inschrijf_Bouwplaats_Totaal[[#This Row],[Draaiuren Verwijder Asfalt]],0)+IF(Inschrijf_Bouwplaats_Totaal[[#This Row],[Emissieloos Sloopmaterieel]]="JA",Inschrijf_Bouwplaats_Totaal[[#This Row],[Draaiuren Verwijder Overig]],0)</f>
        <v>0</v>
      </c>
      <c r="M670" s="139">
        <f>_xlfn.IFNA(IF(Optimalisatie!C42="Nieuwe situatie",(Optimalisatie!R42/(VLOOKUP(Optimalisatie!W42,Database_Asfalt_Aanlegset[#All],60,FALSE)/8)),0),0)*Optimalisatie!T42</f>
        <v>0</v>
      </c>
      <c r="N670" s="139">
        <f>_xlfn.IFNA(IF(Optimalisatie!C42="Nieuwe situatie",Optimalisatie!S42/VLOOKUP(Optimalisatie!X42,Database_Overig_Materieel[#All],8,FALSE),0),0)*Optimalisatie!T42</f>
        <v>0</v>
      </c>
      <c r="O670" s="139">
        <f>_xlfn.IFNA(IF(Optimalisatie!C42="Bestaande situatie",Optimalisatie!R42/(VLOOKUP(Optimalisatie!AA42,Database_Asfalt_Verwijderset[#All],60,FALSE)/8),0),0)*Optimalisatie!T42</f>
        <v>0</v>
      </c>
      <c r="P670" s="139">
        <f>_xlfn.IFNA(IF(Optimalisatie!C42="Bestaande situatie",Optimalisatie!S42/VLOOKUP(Optimalisatie!AB42,Database_Overig_Materieel[#All],8,FALSE),0),0)*Optimalisatie!T42</f>
        <v>0</v>
      </c>
      <c r="Q670" s="139">
        <f>IF(Inschrijf_Bouwplaats_Totaal[[#This Row],[Emissieloos Asfalt Aanlegset]]="JA",Inschrijf_Bouwplaats_Totaal[[#This Row],[Draaiuren Bouw Asfalt Vervangingen]],0)+IF(Inschrijf_Bouwplaats_Totaal[[#This Row],[Emissieloos Bouwmaterieel]]="JA",Inschrijf_Bouwplaats_Totaal[[#This Row],[Draaiuren Bouw Overig Vervangingen]],0)+IF(Inschrijf_Bouwplaats_Totaal[[#This Row],[Emissieloos Asfalt Verwijderset]]="JA",Inschrijf_Bouwplaats_Totaal[[#This Row],[Draaiuren Verwijder Asfalt Vervangingen]],0)+IF(Inschrijf_Bouwplaats_Totaal[[#This Row],[Emissieloos Sloopmaterieel]]="JA",Inschrijf_Bouwplaats_Totaal[[#This Row],[Draaiuren Verwijder Overig Vervangingen]],0)</f>
        <v>0</v>
      </c>
      <c r="R670" s="139">
        <f>Inschrijf_Bouwplaats_Totaal[[#This Row],[Emissieloos bouwplaats]]+Inschrijf_Bouwplaats_Totaal[[#This Row],[Emissieloos bouwplaats Vervangingen]]</f>
        <v>0</v>
      </c>
      <c r="S670" s="139">
        <f>(Inschrijf_Bouwplaats_Totaal[[#This Row],[Draaiuren Bouw Asfalt]]+Inschrijf_Bouwplaats_Totaal[[#This Row],[Draaiuren Bouw Overig]]+Inschrijf_Bouwplaats_Totaal[[#This Row],[Draaiuren Verwijder Asfalt]]+Inschrijf_Bouwplaats_Totaal[[#This Row],[Draaiuren Verwijder Overig]]+Inschrijf_Bouwplaats_Totaal[[#This Row],[Draaiuren Bouw Asfalt Vervangingen]]+Inschrijf_Bouwplaats_Totaal[[#This Row],[Draaiuren Bouw Overig Vervangingen]]+Inschrijf_Bouwplaats_Totaal[[#This Row],[Draaiuren Verwijder Asfalt Vervangingen]]+Inschrijf_Bouwplaats_Totaal[[#This Row],[Draaiuren Verwijder Overig Vervangingen]])-Inschrijf_Bouwplaats_Totaal[[#This Row],[Totaal Emissieloos Bouwplaats]]</f>
        <v>0</v>
      </c>
      <c r="T670" s="139">
        <f>Inschrijf_Bouwplaats_Totaal[[#This Row],[Totaal Emissieloos Bouwplaats]]+Inschrijf_Bouwplaats_Totaal[[#This Row],[Totaal Niet Emissieloos Bouwplaats]]</f>
        <v>0</v>
      </c>
      <c r="U670" s="335"/>
    </row>
    <row r="671" spans="2:21">
      <c r="B671" s="209">
        <f>Optimalisatie!B43</f>
        <v>0</v>
      </c>
      <c r="C671" s="51">
        <f>Optimalisatie!F43</f>
        <v>0</v>
      </c>
      <c r="D671" s="134">
        <f>_xlfn.IFNA(IF(Optimalisatie!C43="Nieuwe situatie",(Optimalisatie!R43/(VLOOKUP(Optimalisatie!W43,Database_Asfalt_Aanlegset[#All],60,FALSE)/8)),0),0)</f>
        <v>0</v>
      </c>
      <c r="E671" s="135">
        <f>IFERROR(IF(Optimalisatie!C43="Nieuwe situatie",Optimalisatie!J43/Optimalisatie!Z43,0),0)</f>
        <v>0</v>
      </c>
      <c r="F671" s="135">
        <f>_xlfn.IFNA(IF(Optimalisatie!C43="Bestaande situatie",Optimalisatie!R43/(VLOOKUP(Optimalisatie!AA43,Database_Asfalt_Verwijderset[#All],60,FALSE)/8),0),0)</f>
        <v>0</v>
      </c>
      <c r="G671" s="138">
        <f>IFERROR(IF(Optimalisatie!C43="Bestaande situatie",Optimalisatie!J43/Optimalisatie!AD43,0),0)</f>
        <v>0</v>
      </c>
      <c r="H671" s="94" t="str">
        <f>_xlfn.IFNA((VLOOKUP(Optimalisatie!W43,Database_Asfalt_Aanlegset[],61,FALSE)),"Nee")</f>
        <v>Nee</v>
      </c>
      <c r="I671" s="94" t="str">
        <f>_xlfn.IFNA((VLOOKUP(Optimalisatie!X43,Database_Brandstoffen[],60,FALSE)),"Nee")</f>
        <v>Nee</v>
      </c>
      <c r="J671" s="94" t="str">
        <f>_xlfn.IFNA((VLOOKUP(Optimalisatie!AA43,Database_Asfalt_Verwijderset[],61,FALSE)),"Nee")</f>
        <v>Nee</v>
      </c>
      <c r="K671" s="120" t="str">
        <f>_xlfn.IFNA((VLOOKUP(Optimalisatie!AB43,Database_Brandstoffen[],60,FALSE)),"Nee")</f>
        <v>Nee</v>
      </c>
      <c r="L671" s="132">
        <f>IF(Inschrijf_Bouwplaats_Totaal[[#This Row],[Emissieloos Asfalt Aanlegset]]="JA",Inschrijf_Bouwplaats_Totaal[[#This Row],[Draaiuren Bouw Asfalt]],0)+IF(Inschrijf_Bouwplaats_Totaal[[#This Row],[Emissieloos Bouwmaterieel]]="JA",Inschrijf_Bouwplaats_Totaal[[#This Row],[Draaiuren Bouw Overig]],0)+IF(Inschrijf_Bouwplaats_Totaal[[#This Row],[Emissieloos Asfalt Verwijderset]]="JA",Inschrijf_Bouwplaats_Totaal[[#This Row],[Draaiuren Verwijder Asfalt]],0)+IF(Inschrijf_Bouwplaats_Totaal[[#This Row],[Emissieloos Sloopmaterieel]]="JA",Inschrijf_Bouwplaats_Totaal[[#This Row],[Draaiuren Verwijder Overig]],0)</f>
        <v>0</v>
      </c>
      <c r="M671" s="139">
        <f>_xlfn.IFNA(IF(Optimalisatie!C43="Nieuwe situatie",(Optimalisatie!R43/(VLOOKUP(Optimalisatie!W43,Database_Asfalt_Aanlegset[#All],60,FALSE)/8)),0),0)*Optimalisatie!T43</f>
        <v>0</v>
      </c>
      <c r="N671" s="139">
        <f>_xlfn.IFNA(IF(Optimalisatie!C43="Nieuwe situatie",Optimalisatie!S43/VLOOKUP(Optimalisatie!X43,Database_Overig_Materieel[#All],8,FALSE),0),0)*Optimalisatie!T43</f>
        <v>0</v>
      </c>
      <c r="O671" s="139">
        <f>_xlfn.IFNA(IF(Optimalisatie!C43="Bestaande situatie",Optimalisatie!R43/(VLOOKUP(Optimalisatie!AA43,Database_Asfalt_Verwijderset[#All],60,FALSE)/8),0),0)*Optimalisatie!T43</f>
        <v>0</v>
      </c>
      <c r="P671" s="139">
        <f>_xlfn.IFNA(IF(Optimalisatie!C43="Bestaande situatie",Optimalisatie!S43/VLOOKUP(Optimalisatie!AB43,Database_Overig_Materieel[#All],8,FALSE),0),0)*Optimalisatie!T43</f>
        <v>0</v>
      </c>
      <c r="Q671" s="139">
        <f>IF(Inschrijf_Bouwplaats_Totaal[[#This Row],[Emissieloos Asfalt Aanlegset]]="JA",Inschrijf_Bouwplaats_Totaal[[#This Row],[Draaiuren Bouw Asfalt Vervangingen]],0)+IF(Inschrijf_Bouwplaats_Totaal[[#This Row],[Emissieloos Bouwmaterieel]]="JA",Inschrijf_Bouwplaats_Totaal[[#This Row],[Draaiuren Bouw Overig Vervangingen]],0)+IF(Inschrijf_Bouwplaats_Totaal[[#This Row],[Emissieloos Asfalt Verwijderset]]="JA",Inschrijf_Bouwplaats_Totaal[[#This Row],[Draaiuren Verwijder Asfalt Vervangingen]],0)+IF(Inschrijf_Bouwplaats_Totaal[[#This Row],[Emissieloos Sloopmaterieel]]="JA",Inschrijf_Bouwplaats_Totaal[[#This Row],[Draaiuren Verwijder Overig Vervangingen]],0)</f>
        <v>0</v>
      </c>
      <c r="R671" s="139">
        <f>Inschrijf_Bouwplaats_Totaal[[#This Row],[Emissieloos bouwplaats]]+Inschrijf_Bouwplaats_Totaal[[#This Row],[Emissieloos bouwplaats Vervangingen]]</f>
        <v>0</v>
      </c>
      <c r="S671" s="139">
        <f>(Inschrijf_Bouwplaats_Totaal[[#This Row],[Draaiuren Bouw Asfalt]]+Inschrijf_Bouwplaats_Totaal[[#This Row],[Draaiuren Bouw Overig]]+Inschrijf_Bouwplaats_Totaal[[#This Row],[Draaiuren Verwijder Asfalt]]+Inschrijf_Bouwplaats_Totaal[[#This Row],[Draaiuren Verwijder Overig]]+Inschrijf_Bouwplaats_Totaal[[#This Row],[Draaiuren Bouw Asfalt Vervangingen]]+Inschrijf_Bouwplaats_Totaal[[#This Row],[Draaiuren Bouw Overig Vervangingen]]+Inschrijf_Bouwplaats_Totaal[[#This Row],[Draaiuren Verwijder Asfalt Vervangingen]]+Inschrijf_Bouwplaats_Totaal[[#This Row],[Draaiuren Verwijder Overig Vervangingen]])-Inschrijf_Bouwplaats_Totaal[[#This Row],[Totaal Emissieloos Bouwplaats]]</f>
        <v>0</v>
      </c>
      <c r="T671" s="139">
        <f>Inschrijf_Bouwplaats_Totaal[[#This Row],[Totaal Emissieloos Bouwplaats]]+Inschrijf_Bouwplaats_Totaal[[#This Row],[Totaal Niet Emissieloos Bouwplaats]]</f>
        <v>0</v>
      </c>
      <c r="U671" s="335"/>
    </row>
    <row r="672" spans="2:21">
      <c r="B672" s="209">
        <f>Optimalisatie!B44</f>
        <v>0</v>
      </c>
      <c r="C672" s="51">
        <f>Optimalisatie!F44</f>
        <v>0</v>
      </c>
      <c r="D672" s="134">
        <f>_xlfn.IFNA(IF(Optimalisatie!C44="Nieuwe situatie",(Optimalisatie!R44/(VLOOKUP(Optimalisatie!W44,Database_Asfalt_Aanlegset[#All],60,FALSE)/8)),0),0)</f>
        <v>0</v>
      </c>
      <c r="E672" s="135">
        <f>IFERROR(IF(Optimalisatie!C44="Nieuwe situatie",Optimalisatie!J44/Optimalisatie!Z44,0),0)</f>
        <v>0</v>
      </c>
      <c r="F672" s="135">
        <f>_xlfn.IFNA(IF(Optimalisatie!C44="Bestaande situatie",Optimalisatie!R44/(VLOOKUP(Optimalisatie!AA44,Database_Asfalt_Verwijderset[#All],60,FALSE)/8),0),0)</f>
        <v>0</v>
      </c>
      <c r="G672" s="138">
        <f>IFERROR(IF(Optimalisatie!C44="Bestaande situatie",Optimalisatie!J44/Optimalisatie!AD44,0),0)</f>
        <v>0</v>
      </c>
      <c r="H672" s="94" t="str">
        <f>_xlfn.IFNA((VLOOKUP(Optimalisatie!W44,Database_Asfalt_Aanlegset[],61,FALSE)),"Nee")</f>
        <v>Nee</v>
      </c>
      <c r="I672" s="94" t="str">
        <f>_xlfn.IFNA((VLOOKUP(Optimalisatie!X44,Database_Brandstoffen[],60,FALSE)),"Nee")</f>
        <v>Nee</v>
      </c>
      <c r="J672" s="94" t="str">
        <f>_xlfn.IFNA((VLOOKUP(Optimalisatie!AA44,Database_Asfalt_Verwijderset[],61,FALSE)),"Nee")</f>
        <v>Nee</v>
      </c>
      <c r="K672" s="120" t="str">
        <f>_xlfn.IFNA((VLOOKUP(Optimalisatie!AB44,Database_Brandstoffen[],60,FALSE)),"Nee")</f>
        <v>Nee</v>
      </c>
      <c r="L672" s="132">
        <f>IF(Inschrijf_Bouwplaats_Totaal[[#This Row],[Emissieloos Asfalt Aanlegset]]="JA",Inschrijf_Bouwplaats_Totaal[[#This Row],[Draaiuren Bouw Asfalt]],0)+IF(Inschrijf_Bouwplaats_Totaal[[#This Row],[Emissieloos Bouwmaterieel]]="JA",Inschrijf_Bouwplaats_Totaal[[#This Row],[Draaiuren Bouw Overig]],0)+IF(Inschrijf_Bouwplaats_Totaal[[#This Row],[Emissieloos Asfalt Verwijderset]]="JA",Inschrijf_Bouwplaats_Totaal[[#This Row],[Draaiuren Verwijder Asfalt]],0)+IF(Inschrijf_Bouwplaats_Totaal[[#This Row],[Emissieloos Sloopmaterieel]]="JA",Inschrijf_Bouwplaats_Totaal[[#This Row],[Draaiuren Verwijder Overig]],0)</f>
        <v>0</v>
      </c>
      <c r="M672" s="139">
        <f>_xlfn.IFNA(IF(Optimalisatie!C44="Nieuwe situatie",(Optimalisatie!R44/(VLOOKUP(Optimalisatie!W44,Database_Asfalt_Aanlegset[#All],60,FALSE)/8)),0),0)*Optimalisatie!T44</f>
        <v>0</v>
      </c>
      <c r="N672" s="139">
        <f>_xlfn.IFNA(IF(Optimalisatie!C44="Nieuwe situatie",Optimalisatie!S44/VLOOKUP(Optimalisatie!X44,Database_Overig_Materieel[#All],8,FALSE),0),0)*Optimalisatie!T44</f>
        <v>0</v>
      </c>
      <c r="O672" s="139">
        <f>_xlfn.IFNA(IF(Optimalisatie!C44="Bestaande situatie",Optimalisatie!R44/(VLOOKUP(Optimalisatie!AA44,Database_Asfalt_Verwijderset[#All],60,FALSE)/8),0),0)*Optimalisatie!T44</f>
        <v>0</v>
      </c>
      <c r="P672" s="139">
        <f>_xlfn.IFNA(IF(Optimalisatie!C44="Bestaande situatie",Optimalisatie!S44/VLOOKUP(Optimalisatie!AB44,Database_Overig_Materieel[#All],8,FALSE),0),0)*Optimalisatie!T44</f>
        <v>0</v>
      </c>
      <c r="Q672" s="139">
        <f>IF(Inschrijf_Bouwplaats_Totaal[[#This Row],[Emissieloos Asfalt Aanlegset]]="JA",Inschrijf_Bouwplaats_Totaal[[#This Row],[Draaiuren Bouw Asfalt Vervangingen]],0)+IF(Inschrijf_Bouwplaats_Totaal[[#This Row],[Emissieloos Bouwmaterieel]]="JA",Inschrijf_Bouwplaats_Totaal[[#This Row],[Draaiuren Bouw Overig Vervangingen]],0)+IF(Inschrijf_Bouwplaats_Totaal[[#This Row],[Emissieloos Asfalt Verwijderset]]="JA",Inschrijf_Bouwplaats_Totaal[[#This Row],[Draaiuren Verwijder Asfalt Vervangingen]],0)+IF(Inschrijf_Bouwplaats_Totaal[[#This Row],[Emissieloos Sloopmaterieel]]="JA",Inschrijf_Bouwplaats_Totaal[[#This Row],[Draaiuren Verwijder Overig Vervangingen]],0)</f>
        <v>0</v>
      </c>
      <c r="R672" s="139">
        <f>Inschrijf_Bouwplaats_Totaal[[#This Row],[Emissieloos bouwplaats]]+Inschrijf_Bouwplaats_Totaal[[#This Row],[Emissieloos bouwplaats Vervangingen]]</f>
        <v>0</v>
      </c>
      <c r="S672" s="139">
        <f>(Inschrijf_Bouwplaats_Totaal[[#This Row],[Draaiuren Bouw Asfalt]]+Inschrijf_Bouwplaats_Totaal[[#This Row],[Draaiuren Bouw Overig]]+Inschrijf_Bouwplaats_Totaal[[#This Row],[Draaiuren Verwijder Asfalt]]+Inschrijf_Bouwplaats_Totaal[[#This Row],[Draaiuren Verwijder Overig]]+Inschrijf_Bouwplaats_Totaal[[#This Row],[Draaiuren Bouw Asfalt Vervangingen]]+Inschrijf_Bouwplaats_Totaal[[#This Row],[Draaiuren Bouw Overig Vervangingen]]+Inschrijf_Bouwplaats_Totaal[[#This Row],[Draaiuren Verwijder Asfalt Vervangingen]]+Inschrijf_Bouwplaats_Totaal[[#This Row],[Draaiuren Verwijder Overig Vervangingen]])-Inschrijf_Bouwplaats_Totaal[[#This Row],[Totaal Emissieloos Bouwplaats]]</f>
        <v>0</v>
      </c>
      <c r="T672" s="139">
        <f>Inschrijf_Bouwplaats_Totaal[[#This Row],[Totaal Emissieloos Bouwplaats]]+Inschrijf_Bouwplaats_Totaal[[#This Row],[Totaal Niet Emissieloos Bouwplaats]]</f>
        <v>0</v>
      </c>
      <c r="U672" s="335"/>
    </row>
    <row r="673" spans="2:21">
      <c r="B673" s="209">
        <f>Optimalisatie!B45</f>
        <v>0</v>
      </c>
      <c r="C673" s="51">
        <f>Optimalisatie!F45</f>
        <v>0</v>
      </c>
      <c r="D673" s="134">
        <f>_xlfn.IFNA(IF(Optimalisatie!C45="Nieuwe situatie",(Optimalisatie!R45/(VLOOKUP(Optimalisatie!W45,Database_Asfalt_Aanlegset[#All],60,FALSE)/8)),0),0)</f>
        <v>0</v>
      </c>
      <c r="E673" s="135">
        <f>IFERROR(IF(Optimalisatie!C45="Nieuwe situatie",Optimalisatie!J45/Optimalisatie!Z45,0),0)</f>
        <v>0</v>
      </c>
      <c r="F673" s="135">
        <f>_xlfn.IFNA(IF(Optimalisatie!C45="Bestaande situatie",Optimalisatie!R45/(VLOOKUP(Optimalisatie!AA45,Database_Asfalt_Verwijderset[#All],60,FALSE)/8),0),0)</f>
        <v>0</v>
      </c>
      <c r="G673" s="138">
        <f>IFERROR(IF(Optimalisatie!C45="Bestaande situatie",Optimalisatie!J45/Optimalisatie!AD45,0),0)</f>
        <v>0</v>
      </c>
      <c r="H673" s="94" t="str">
        <f>_xlfn.IFNA((VLOOKUP(Optimalisatie!W45,Database_Asfalt_Aanlegset[],61,FALSE)),"Nee")</f>
        <v>Nee</v>
      </c>
      <c r="I673" s="94" t="str">
        <f>_xlfn.IFNA((VLOOKUP(Optimalisatie!X45,Database_Brandstoffen[],60,FALSE)),"Nee")</f>
        <v>Nee</v>
      </c>
      <c r="J673" s="94" t="str">
        <f>_xlfn.IFNA((VLOOKUP(Optimalisatie!AA45,Database_Asfalt_Verwijderset[],61,FALSE)),"Nee")</f>
        <v>Nee</v>
      </c>
      <c r="K673" s="120" t="str">
        <f>_xlfn.IFNA((VLOOKUP(Optimalisatie!AB45,Database_Brandstoffen[],60,FALSE)),"Nee")</f>
        <v>Nee</v>
      </c>
      <c r="L673" s="132">
        <f>IF(Inschrijf_Bouwplaats_Totaal[[#This Row],[Emissieloos Asfalt Aanlegset]]="JA",Inschrijf_Bouwplaats_Totaal[[#This Row],[Draaiuren Bouw Asfalt]],0)+IF(Inschrijf_Bouwplaats_Totaal[[#This Row],[Emissieloos Bouwmaterieel]]="JA",Inschrijf_Bouwplaats_Totaal[[#This Row],[Draaiuren Bouw Overig]],0)+IF(Inschrijf_Bouwplaats_Totaal[[#This Row],[Emissieloos Asfalt Verwijderset]]="JA",Inschrijf_Bouwplaats_Totaal[[#This Row],[Draaiuren Verwijder Asfalt]],0)+IF(Inschrijf_Bouwplaats_Totaal[[#This Row],[Emissieloos Sloopmaterieel]]="JA",Inschrijf_Bouwplaats_Totaal[[#This Row],[Draaiuren Verwijder Overig]],0)</f>
        <v>0</v>
      </c>
      <c r="M673" s="139">
        <f>_xlfn.IFNA(IF(Optimalisatie!C45="Nieuwe situatie",(Optimalisatie!R45/(VLOOKUP(Optimalisatie!W45,Database_Asfalt_Aanlegset[#All],60,FALSE)/8)),0),0)*Optimalisatie!T45</f>
        <v>0</v>
      </c>
      <c r="N673" s="139">
        <f>_xlfn.IFNA(IF(Optimalisatie!C45="Nieuwe situatie",Optimalisatie!S45/VLOOKUP(Optimalisatie!X45,Database_Overig_Materieel[#All],8,FALSE),0),0)*Optimalisatie!T45</f>
        <v>0</v>
      </c>
      <c r="O673" s="139">
        <f>_xlfn.IFNA(IF(Optimalisatie!C45="Bestaande situatie",Optimalisatie!R45/(VLOOKUP(Optimalisatie!AA45,Database_Asfalt_Verwijderset[#All],60,FALSE)/8),0),0)*Optimalisatie!T45</f>
        <v>0</v>
      </c>
      <c r="P673" s="139">
        <f>_xlfn.IFNA(IF(Optimalisatie!C45="Bestaande situatie",Optimalisatie!S45/VLOOKUP(Optimalisatie!AB45,Database_Overig_Materieel[#All],8,FALSE),0),0)*Optimalisatie!T45</f>
        <v>0</v>
      </c>
      <c r="Q673" s="139">
        <f>IF(Inschrijf_Bouwplaats_Totaal[[#This Row],[Emissieloos Asfalt Aanlegset]]="JA",Inschrijf_Bouwplaats_Totaal[[#This Row],[Draaiuren Bouw Asfalt Vervangingen]],0)+IF(Inschrijf_Bouwplaats_Totaal[[#This Row],[Emissieloos Bouwmaterieel]]="JA",Inschrijf_Bouwplaats_Totaal[[#This Row],[Draaiuren Bouw Overig Vervangingen]],0)+IF(Inschrijf_Bouwplaats_Totaal[[#This Row],[Emissieloos Asfalt Verwijderset]]="JA",Inschrijf_Bouwplaats_Totaal[[#This Row],[Draaiuren Verwijder Asfalt Vervangingen]],0)+IF(Inschrijf_Bouwplaats_Totaal[[#This Row],[Emissieloos Sloopmaterieel]]="JA",Inschrijf_Bouwplaats_Totaal[[#This Row],[Draaiuren Verwijder Overig Vervangingen]],0)</f>
        <v>0</v>
      </c>
      <c r="R673" s="139">
        <f>Inschrijf_Bouwplaats_Totaal[[#This Row],[Emissieloos bouwplaats]]+Inschrijf_Bouwplaats_Totaal[[#This Row],[Emissieloos bouwplaats Vervangingen]]</f>
        <v>0</v>
      </c>
      <c r="S673" s="139">
        <f>(Inschrijf_Bouwplaats_Totaal[[#This Row],[Draaiuren Bouw Asfalt]]+Inschrijf_Bouwplaats_Totaal[[#This Row],[Draaiuren Bouw Overig]]+Inschrijf_Bouwplaats_Totaal[[#This Row],[Draaiuren Verwijder Asfalt]]+Inschrijf_Bouwplaats_Totaal[[#This Row],[Draaiuren Verwijder Overig]]+Inschrijf_Bouwplaats_Totaal[[#This Row],[Draaiuren Bouw Asfalt Vervangingen]]+Inschrijf_Bouwplaats_Totaal[[#This Row],[Draaiuren Bouw Overig Vervangingen]]+Inschrijf_Bouwplaats_Totaal[[#This Row],[Draaiuren Verwijder Asfalt Vervangingen]]+Inschrijf_Bouwplaats_Totaal[[#This Row],[Draaiuren Verwijder Overig Vervangingen]])-Inschrijf_Bouwplaats_Totaal[[#This Row],[Totaal Emissieloos Bouwplaats]]</f>
        <v>0</v>
      </c>
      <c r="T673" s="139">
        <f>Inschrijf_Bouwplaats_Totaal[[#This Row],[Totaal Emissieloos Bouwplaats]]+Inschrijf_Bouwplaats_Totaal[[#This Row],[Totaal Niet Emissieloos Bouwplaats]]</f>
        <v>0</v>
      </c>
      <c r="U673" s="335"/>
    </row>
    <row r="674" spans="2:21">
      <c r="B674" s="209">
        <f>Optimalisatie!B46</f>
        <v>0</v>
      </c>
      <c r="C674" s="51">
        <f>Optimalisatie!F46</f>
        <v>0</v>
      </c>
      <c r="D674" s="134">
        <f>_xlfn.IFNA(IF(Optimalisatie!C46="Nieuwe situatie",(Optimalisatie!R46/(VLOOKUP(Optimalisatie!W46,Database_Asfalt_Aanlegset[#All],60,FALSE)/8)),0),0)</f>
        <v>0</v>
      </c>
      <c r="E674" s="135">
        <f>IFERROR(IF(Optimalisatie!C46="Nieuwe situatie",Optimalisatie!J46/Optimalisatie!Z46,0),0)</f>
        <v>0</v>
      </c>
      <c r="F674" s="135">
        <f>_xlfn.IFNA(IF(Optimalisatie!C46="Bestaande situatie",Optimalisatie!R46/(VLOOKUP(Optimalisatie!AA46,Database_Asfalt_Verwijderset[#All],60,FALSE)/8),0),0)</f>
        <v>0</v>
      </c>
      <c r="G674" s="138">
        <f>IFERROR(IF(Optimalisatie!C46="Bestaande situatie",Optimalisatie!J46/Optimalisatie!AD46,0),0)</f>
        <v>0</v>
      </c>
      <c r="H674" s="94" t="str">
        <f>_xlfn.IFNA((VLOOKUP(Optimalisatie!W46,Database_Asfalt_Aanlegset[],61,FALSE)),"Nee")</f>
        <v>Nee</v>
      </c>
      <c r="I674" s="94" t="str">
        <f>_xlfn.IFNA((VLOOKUP(Optimalisatie!X46,Database_Brandstoffen[],60,FALSE)),"Nee")</f>
        <v>Nee</v>
      </c>
      <c r="J674" s="94" t="str">
        <f>_xlfn.IFNA((VLOOKUP(Optimalisatie!AA46,Database_Asfalt_Verwijderset[],61,FALSE)),"Nee")</f>
        <v>Nee</v>
      </c>
      <c r="K674" s="120" t="str">
        <f>_xlfn.IFNA((VLOOKUP(Optimalisatie!AB46,Database_Brandstoffen[],60,FALSE)),"Nee")</f>
        <v>Nee</v>
      </c>
      <c r="L674" s="132">
        <f>IF(Inschrijf_Bouwplaats_Totaal[[#This Row],[Emissieloos Asfalt Aanlegset]]="JA",Inschrijf_Bouwplaats_Totaal[[#This Row],[Draaiuren Bouw Asfalt]],0)+IF(Inschrijf_Bouwplaats_Totaal[[#This Row],[Emissieloos Bouwmaterieel]]="JA",Inschrijf_Bouwplaats_Totaal[[#This Row],[Draaiuren Bouw Overig]],0)+IF(Inschrijf_Bouwplaats_Totaal[[#This Row],[Emissieloos Asfalt Verwijderset]]="JA",Inschrijf_Bouwplaats_Totaal[[#This Row],[Draaiuren Verwijder Asfalt]],0)+IF(Inschrijf_Bouwplaats_Totaal[[#This Row],[Emissieloos Sloopmaterieel]]="JA",Inschrijf_Bouwplaats_Totaal[[#This Row],[Draaiuren Verwijder Overig]],0)</f>
        <v>0</v>
      </c>
      <c r="M674" s="139">
        <f>_xlfn.IFNA(IF(Optimalisatie!C46="Nieuwe situatie",(Optimalisatie!R46/(VLOOKUP(Optimalisatie!W46,Database_Asfalt_Aanlegset[#All],60,FALSE)/8)),0),0)*Optimalisatie!T46</f>
        <v>0</v>
      </c>
      <c r="N674" s="139">
        <f>_xlfn.IFNA(IF(Optimalisatie!C46="Nieuwe situatie",Optimalisatie!S46/VLOOKUP(Optimalisatie!X46,Database_Overig_Materieel[#All],8,FALSE),0),0)*Optimalisatie!T46</f>
        <v>0</v>
      </c>
      <c r="O674" s="139">
        <f>_xlfn.IFNA(IF(Optimalisatie!C46="Bestaande situatie",Optimalisatie!R46/(VLOOKUP(Optimalisatie!AA46,Database_Asfalt_Verwijderset[#All],60,FALSE)/8),0),0)*Optimalisatie!T46</f>
        <v>0</v>
      </c>
      <c r="P674" s="139">
        <f>_xlfn.IFNA(IF(Optimalisatie!C46="Bestaande situatie",Optimalisatie!S46/VLOOKUP(Optimalisatie!AB46,Database_Overig_Materieel[#All],8,FALSE),0),0)*Optimalisatie!T46</f>
        <v>0</v>
      </c>
      <c r="Q674" s="139">
        <f>IF(Inschrijf_Bouwplaats_Totaal[[#This Row],[Emissieloos Asfalt Aanlegset]]="JA",Inschrijf_Bouwplaats_Totaal[[#This Row],[Draaiuren Bouw Asfalt Vervangingen]],0)+IF(Inschrijf_Bouwplaats_Totaal[[#This Row],[Emissieloos Bouwmaterieel]]="JA",Inschrijf_Bouwplaats_Totaal[[#This Row],[Draaiuren Bouw Overig Vervangingen]],0)+IF(Inschrijf_Bouwplaats_Totaal[[#This Row],[Emissieloos Asfalt Verwijderset]]="JA",Inschrijf_Bouwplaats_Totaal[[#This Row],[Draaiuren Verwijder Asfalt Vervangingen]],0)+IF(Inschrijf_Bouwplaats_Totaal[[#This Row],[Emissieloos Sloopmaterieel]]="JA",Inschrijf_Bouwplaats_Totaal[[#This Row],[Draaiuren Verwijder Overig Vervangingen]],0)</f>
        <v>0</v>
      </c>
      <c r="R674" s="139">
        <f>Inschrijf_Bouwplaats_Totaal[[#This Row],[Emissieloos bouwplaats]]+Inschrijf_Bouwplaats_Totaal[[#This Row],[Emissieloos bouwplaats Vervangingen]]</f>
        <v>0</v>
      </c>
      <c r="S674" s="139">
        <f>(Inschrijf_Bouwplaats_Totaal[[#This Row],[Draaiuren Bouw Asfalt]]+Inschrijf_Bouwplaats_Totaal[[#This Row],[Draaiuren Bouw Overig]]+Inschrijf_Bouwplaats_Totaal[[#This Row],[Draaiuren Verwijder Asfalt]]+Inschrijf_Bouwplaats_Totaal[[#This Row],[Draaiuren Verwijder Overig]]+Inschrijf_Bouwplaats_Totaal[[#This Row],[Draaiuren Bouw Asfalt Vervangingen]]+Inschrijf_Bouwplaats_Totaal[[#This Row],[Draaiuren Bouw Overig Vervangingen]]+Inschrijf_Bouwplaats_Totaal[[#This Row],[Draaiuren Verwijder Asfalt Vervangingen]]+Inschrijf_Bouwplaats_Totaal[[#This Row],[Draaiuren Verwijder Overig Vervangingen]])-Inschrijf_Bouwplaats_Totaal[[#This Row],[Totaal Emissieloos Bouwplaats]]</f>
        <v>0</v>
      </c>
      <c r="T674" s="139">
        <f>Inschrijf_Bouwplaats_Totaal[[#This Row],[Totaal Emissieloos Bouwplaats]]+Inschrijf_Bouwplaats_Totaal[[#This Row],[Totaal Niet Emissieloos Bouwplaats]]</f>
        <v>0</v>
      </c>
      <c r="U674" s="335"/>
    </row>
    <row r="675" spans="2:21">
      <c r="B675" s="209">
        <f>Optimalisatie!B47</f>
        <v>0</v>
      </c>
      <c r="C675" s="51">
        <f>Optimalisatie!F47</f>
        <v>0</v>
      </c>
      <c r="D675" s="134">
        <f>_xlfn.IFNA(IF(Optimalisatie!C47="Nieuwe situatie",(Optimalisatie!R47/(VLOOKUP(Optimalisatie!W47,Database_Asfalt_Aanlegset[#All],60,FALSE)/8)),0),0)</f>
        <v>0</v>
      </c>
      <c r="E675" s="135">
        <f>IFERROR(IF(Optimalisatie!C47="Nieuwe situatie",Optimalisatie!J47/Optimalisatie!Z47,0),0)</f>
        <v>0</v>
      </c>
      <c r="F675" s="135">
        <f>_xlfn.IFNA(IF(Optimalisatie!C47="Bestaande situatie",Optimalisatie!R47/(VLOOKUP(Optimalisatie!AA47,Database_Asfalt_Verwijderset[#All],60,FALSE)/8),0),0)</f>
        <v>0</v>
      </c>
      <c r="G675" s="138">
        <f>IFERROR(IF(Optimalisatie!C47="Bestaande situatie",Optimalisatie!J47/Optimalisatie!AD47,0),0)</f>
        <v>0</v>
      </c>
      <c r="H675" s="94" t="str">
        <f>_xlfn.IFNA((VLOOKUP(Optimalisatie!W47,Database_Asfalt_Aanlegset[],61,FALSE)),"Nee")</f>
        <v>Nee</v>
      </c>
      <c r="I675" s="94" t="str">
        <f>_xlfn.IFNA((VLOOKUP(Optimalisatie!X47,Database_Brandstoffen[],60,FALSE)),"Nee")</f>
        <v>Nee</v>
      </c>
      <c r="J675" s="94" t="str">
        <f>_xlfn.IFNA((VLOOKUP(Optimalisatie!AA47,Database_Asfalt_Verwijderset[],61,FALSE)),"Nee")</f>
        <v>Nee</v>
      </c>
      <c r="K675" s="120" t="str">
        <f>_xlfn.IFNA((VLOOKUP(Optimalisatie!AB47,Database_Brandstoffen[],60,FALSE)),"Nee")</f>
        <v>Nee</v>
      </c>
      <c r="L675" s="132">
        <f>IF(Inschrijf_Bouwplaats_Totaal[[#This Row],[Emissieloos Asfalt Aanlegset]]="JA",Inschrijf_Bouwplaats_Totaal[[#This Row],[Draaiuren Bouw Asfalt]],0)+IF(Inschrijf_Bouwplaats_Totaal[[#This Row],[Emissieloos Bouwmaterieel]]="JA",Inschrijf_Bouwplaats_Totaal[[#This Row],[Draaiuren Bouw Overig]],0)+IF(Inschrijf_Bouwplaats_Totaal[[#This Row],[Emissieloos Asfalt Verwijderset]]="JA",Inschrijf_Bouwplaats_Totaal[[#This Row],[Draaiuren Verwijder Asfalt]],0)+IF(Inschrijf_Bouwplaats_Totaal[[#This Row],[Emissieloos Sloopmaterieel]]="JA",Inschrijf_Bouwplaats_Totaal[[#This Row],[Draaiuren Verwijder Overig]],0)</f>
        <v>0</v>
      </c>
      <c r="M675" s="139">
        <f>_xlfn.IFNA(IF(Optimalisatie!C47="Nieuwe situatie",(Optimalisatie!R47/(VLOOKUP(Optimalisatie!W47,Database_Asfalt_Aanlegset[#All],60,FALSE)/8)),0),0)*Optimalisatie!T47</f>
        <v>0</v>
      </c>
      <c r="N675" s="139">
        <f>_xlfn.IFNA(IF(Optimalisatie!C47="Nieuwe situatie",Optimalisatie!S47/VLOOKUP(Optimalisatie!X47,Database_Overig_Materieel[#All],8,FALSE),0),0)*Optimalisatie!T47</f>
        <v>0</v>
      </c>
      <c r="O675" s="139">
        <f>_xlfn.IFNA(IF(Optimalisatie!C47="Bestaande situatie",Optimalisatie!R47/(VLOOKUP(Optimalisatie!AA47,Database_Asfalt_Verwijderset[#All],60,FALSE)/8),0),0)*Optimalisatie!T47</f>
        <v>0</v>
      </c>
      <c r="P675" s="139">
        <f>_xlfn.IFNA(IF(Optimalisatie!C47="Bestaande situatie",Optimalisatie!S47/VLOOKUP(Optimalisatie!AB47,Database_Overig_Materieel[#All],8,FALSE),0),0)*Optimalisatie!T47</f>
        <v>0</v>
      </c>
      <c r="Q675" s="139">
        <f>IF(Inschrijf_Bouwplaats_Totaal[[#This Row],[Emissieloos Asfalt Aanlegset]]="JA",Inschrijf_Bouwplaats_Totaal[[#This Row],[Draaiuren Bouw Asfalt Vervangingen]],0)+IF(Inschrijf_Bouwplaats_Totaal[[#This Row],[Emissieloos Bouwmaterieel]]="JA",Inschrijf_Bouwplaats_Totaal[[#This Row],[Draaiuren Bouw Overig Vervangingen]],0)+IF(Inschrijf_Bouwplaats_Totaal[[#This Row],[Emissieloos Asfalt Verwijderset]]="JA",Inschrijf_Bouwplaats_Totaal[[#This Row],[Draaiuren Verwijder Asfalt Vervangingen]],0)+IF(Inschrijf_Bouwplaats_Totaal[[#This Row],[Emissieloos Sloopmaterieel]]="JA",Inschrijf_Bouwplaats_Totaal[[#This Row],[Draaiuren Verwijder Overig Vervangingen]],0)</f>
        <v>0</v>
      </c>
      <c r="R675" s="139">
        <f>Inschrijf_Bouwplaats_Totaal[[#This Row],[Emissieloos bouwplaats]]+Inschrijf_Bouwplaats_Totaal[[#This Row],[Emissieloos bouwplaats Vervangingen]]</f>
        <v>0</v>
      </c>
      <c r="S675" s="139">
        <f>(Inschrijf_Bouwplaats_Totaal[[#This Row],[Draaiuren Bouw Asfalt]]+Inschrijf_Bouwplaats_Totaal[[#This Row],[Draaiuren Bouw Overig]]+Inschrijf_Bouwplaats_Totaal[[#This Row],[Draaiuren Verwijder Asfalt]]+Inschrijf_Bouwplaats_Totaal[[#This Row],[Draaiuren Verwijder Overig]]+Inschrijf_Bouwplaats_Totaal[[#This Row],[Draaiuren Bouw Asfalt Vervangingen]]+Inschrijf_Bouwplaats_Totaal[[#This Row],[Draaiuren Bouw Overig Vervangingen]]+Inschrijf_Bouwplaats_Totaal[[#This Row],[Draaiuren Verwijder Asfalt Vervangingen]]+Inschrijf_Bouwplaats_Totaal[[#This Row],[Draaiuren Verwijder Overig Vervangingen]])-Inschrijf_Bouwplaats_Totaal[[#This Row],[Totaal Emissieloos Bouwplaats]]</f>
        <v>0</v>
      </c>
      <c r="T675" s="139">
        <f>Inschrijf_Bouwplaats_Totaal[[#This Row],[Totaal Emissieloos Bouwplaats]]+Inschrijf_Bouwplaats_Totaal[[#This Row],[Totaal Niet Emissieloos Bouwplaats]]</f>
        <v>0</v>
      </c>
      <c r="U675" s="335"/>
    </row>
    <row r="676" spans="2:21">
      <c r="B676" s="209">
        <f>Optimalisatie!B48</f>
        <v>0</v>
      </c>
      <c r="C676" s="51">
        <f>Optimalisatie!F48</f>
        <v>0</v>
      </c>
      <c r="D676" s="134">
        <f>_xlfn.IFNA(IF(Optimalisatie!C48="Nieuwe situatie",(Optimalisatie!R48/(VLOOKUP(Optimalisatie!W48,Database_Asfalt_Aanlegset[#All],60,FALSE)/8)),0),0)</f>
        <v>0</v>
      </c>
      <c r="E676" s="135">
        <f>IFERROR(IF(Optimalisatie!C48="Nieuwe situatie",Optimalisatie!J48/Optimalisatie!Z48,0),0)</f>
        <v>0</v>
      </c>
      <c r="F676" s="135">
        <f>_xlfn.IFNA(IF(Optimalisatie!C48="Bestaande situatie",Optimalisatie!R48/(VLOOKUP(Optimalisatie!AA48,Database_Asfalt_Verwijderset[#All],60,FALSE)/8),0),0)</f>
        <v>0</v>
      </c>
      <c r="G676" s="138">
        <f>IFERROR(IF(Optimalisatie!C48="Bestaande situatie",Optimalisatie!J48/Optimalisatie!AD48,0),0)</f>
        <v>0</v>
      </c>
      <c r="H676" s="94" t="str">
        <f>_xlfn.IFNA((VLOOKUP(Optimalisatie!W48,Database_Asfalt_Aanlegset[],61,FALSE)),"Nee")</f>
        <v>Nee</v>
      </c>
      <c r="I676" s="94" t="str">
        <f>_xlfn.IFNA((VLOOKUP(Optimalisatie!X48,Database_Brandstoffen[],60,FALSE)),"Nee")</f>
        <v>Nee</v>
      </c>
      <c r="J676" s="94" t="str">
        <f>_xlfn.IFNA((VLOOKUP(Optimalisatie!AA48,Database_Asfalt_Verwijderset[],61,FALSE)),"Nee")</f>
        <v>Nee</v>
      </c>
      <c r="K676" s="120" t="str">
        <f>_xlfn.IFNA((VLOOKUP(Optimalisatie!AB48,Database_Brandstoffen[],60,FALSE)),"Nee")</f>
        <v>Nee</v>
      </c>
      <c r="L676" s="132">
        <f>IF(Inschrijf_Bouwplaats_Totaal[[#This Row],[Emissieloos Asfalt Aanlegset]]="JA",Inschrijf_Bouwplaats_Totaal[[#This Row],[Draaiuren Bouw Asfalt]],0)+IF(Inschrijf_Bouwplaats_Totaal[[#This Row],[Emissieloos Bouwmaterieel]]="JA",Inschrijf_Bouwplaats_Totaal[[#This Row],[Draaiuren Bouw Overig]],0)+IF(Inschrijf_Bouwplaats_Totaal[[#This Row],[Emissieloos Asfalt Verwijderset]]="JA",Inschrijf_Bouwplaats_Totaal[[#This Row],[Draaiuren Verwijder Asfalt]],0)+IF(Inschrijf_Bouwplaats_Totaal[[#This Row],[Emissieloos Sloopmaterieel]]="JA",Inschrijf_Bouwplaats_Totaal[[#This Row],[Draaiuren Verwijder Overig]],0)</f>
        <v>0</v>
      </c>
      <c r="M676" s="139">
        <f>_xlfn.IFNA(IF(Optimalisatie!C48="Nieuwe situatie",(Optimalisatie!R48/(VLOOKUP(Optimalisatie!W48,Database_Asfalt_Aanlegset[#All],60,FALSE)/8)),0),0)*Optimalisatie!T48</f>
        <v>0</v>
      </c>
      <c r="N676" s="139">
        <f>_xlfn.IFNA(IF(Optimalisatie!C48="Nieuwe situatie",Optimalisatie!S48/VLOOKUP(Optimalisatie!X48,Database_Overig_Materieel[#All],8,FALSE),0),0)*Optimalisatie!T48</f>
        <v>0</v>
      </c>
      <c r="O676" s="139">
        <f>_xlfn.IFNA(IF(Optimalisatie!C48="Bestaande situatie",Optimalisatie!R48/(VLOOKUP(Optimalisatie!AA48,Database_Asfalt_Verwijderset[#All],60,FALSE)/8),0),0)*Optimalisatie!T48</f>
        <v>0</v>
      </c>
      <c r="P676" s="139">
        <f>_xlfn.IFNA(IF(Optimalisatie!C48="Bestaande situatie",Optimalisatie!S48/VLOOKUP(Optimalisatie!AB48,Database_Overig_Materieel[#All],8,FALSE),0),0)*Optimalisatie!T48</f>
        <v>0</v>
      </c>
      <c r="Q676" s="139">
        <f>IF(Inschrijf_Bouwplaats_Totaal[[#This Row],[Emissieloos Asfalt Aanlegset]]="JA",Inschrijf_Bouwplaats_Totaal[[#This Row],[Draaiuren Bouw Asfalt Vervangingen]],0)+IF(Inschrijf_Bouwplaats_Totaal[[#This Row],[Emissieloos Bouwmaterieel]]="JA",Inschrijf_Bouwplaats_Totaal[[#This Row],[Draaiuren Bouw Overig Vervangingen]],0)+IF(Inschrijf_Bouwplaats_Totaal[[#This Row],[Emissieloos Asfalt Verwijderset]]="JA",Inschrijf_Bouwplaats_Totaal[[#This Row],[Draaiuren Verwijder Asfalt Vervangingen]],0)+IF(Inschrijf_Bouwplaats_Totaal[[#This Row],[Emissieloos Sloopmaterieel]]="JA",Inschrijf_Bouwplaats_Totaal[[#This Row],[Draaiuren Verwijder Overig Vervangingen]],0)</f>
        <v>0</v>
      </c>
      <c r="R676" s="139">
        <f>Inschrijf_Bouwplaats_Totaal[[#This Row],[Emissieloos bouwplaats]]+Inschrijf_Bouwplaats_Totaal[[#This Row],[Emissieloos bouwplaats Vervangingen]]</f>
        <v>0</v>
      </c>
      <c r="S676" s="139">
        <f>(Inschrijf_Bouwplaats_Totaal[[#This Row],[Draaiuren Bouw Asfalt]]+Inschrijf_Bouwplaats_Totaal[[#This Row],[Draaiuren Bouw Overig]]+Inschrijf_Bouwplaats_Totaal[[#This Row],[Draaiuren Verwijder Asfalt]]+Inschrijf_Bouwplaats_Totaal[[#This Row],[Draaiuren Verwijder Overig]]+Inschrijf_Bouwplaats_Totaal[[#This Row],[Draaiuren Bouw Asfalt Vervangingen]]+Inschrijf_Bouwplaats_Totaal[[#This Row],[Draaiuren Bouw Overig Vervangingen]]+Inschrijf_Bouwplaats_Totaal[[#This Row],[Draaiuren Verwijder Asfalt Vervangingen]]+Inschrijf_Bouwplaats_Totaal[[#This Row],[Draaiuren Verwijder Overig Vervangingen]])-Inschrijf_Bouwplaats_Totaal[[#This Row],[Totaal Emissieloos Bouwplaats]]</f>
        <v>0</v>
      </c>
      <c r="T676" s="139">
        <f>Inschrijf_Bouwplaats_Totaal[[#This Row],[Totaal Emissieloos Bouwplaats]]+Inschrijf_Bouwplaats_Totaal[[#This Row],[Totaal Niet Emissieloos Bouwplaats]]</f>
        <v>0</v>
      </c>
      <c r="U676" s="335"/>
    </row>
    <row r="677" spans="2:21">
      <c r="B677" s="209">
        <f>Optimalisatie!B49</f>
        <v>0</v>
      </c>
      <c r="C677" s="51">
        <f>Optimalisatie!F49</f>
        <v>0</v>
      </c>
      <c r="D677" s="134">
        <f>_xlfn.IFNA(IF(Optimalisatie!C49="Nieuwe situatie",(Optimalisatie!R49/(VLOOKUP(Optimalisatie!W49,Database_Asfalt_Aanlegset[#All],60,FALSE)/8)),0),0)</f>
        <v>0</v>
      </c>
      <c r="E677" s="135">
        <f>IFERROR(IF(Optimalisatie!C49="Nieuwe situatie",Optimalisatie!J49/Optimalisatie!Z49,0),0)</f>
        <v>0</v>
      </c>
      <c r="F677" s="135">
        <f>_xlfn.IFNA(IF(Optimalisatie!C49="Bestaande situatie",Optimalisatie!R49/(VLOOKUP(Optimalisatie!AA49,Database_Asfalt_Verwijderset[#All],60,FALSE)/8),0),0)</f>
        <v>0</v>
      </c>
      <c r="G677" s="138">
        <f>IFERROR(IF(Optimalisatie!C49="Bestaande situatie",Optimalisatie!J49/Optimalisatie!AD49,0),0)</f>
        <v>0</v>
      </c>
      <c r="H677" s="94" t="str">
        <f>_xlfn.IFNA((VLOOKUP(Optimalisatie!W49,Database_Asfalt_Aanlegset[],61,FALSE)),"Nee")</f>
        <v>Nee</v>
      </c>
      <c r="I677" s="94" t="str">
        <f>_xlfn.IFNA((VLOOKUP(Optimalisatie!X49,Database_Brandstoffen[],60,FALSE)),"Nee")</f>
        <v>Nee</v>
      </c>
      <c r="J677" s="94" t="str">
        <f>_xlfn.IFNA((VLOOKUP(Optimalisatie!AA49,Database_Asfalt_Verwijderset[],61,FALSE)),"Nee")</f>
        <v>Nee</v>
      </c>
      <c r="K677" s="120" t="str">
        <f>_xlfn.IFNA((VLOOKUP(Optimalisatie!AB49,Database_Brandstoffen[],60,FALSE)),"Nee")</f>
        <v>Nee</v>
      </c>
      <c r="L677" s="132">
        <f>IF(Inschrijf_Bouwplaats_Totaal[[#This Row],[Emissieloos Asfalt Aanlegset]]="JA",Inschrijf_Bouwplaats_Totaal[[#This Row],[Draaiuren Bouw Asfalt]],0)+IF(Inschrijf_Bouwplaats_Totaal[[#This Row],[Emissieloos Bouwmaterieel]]="JA",Inschrijf_Bouwplaats_Totaal[[#This Row],[Draaiuren Bouw Overig]],0)+IF(Inschrijf_Bouwplaats_Totaal[[#This Row],[Emissieloos Asfalt Verwijderset]]="JA",Inschrijf_Bouwplaats_Totaal[[#This Row],[Draaiuren Verwijder Asfalt]],0)+IF(Inschrijf_Bouwplaats_Totaal[[#This Row],[Emissieloos Sloopmaterieel]]="JA",Inschrijf_Bouwplaats_Totaal[[#This Row],[Draaiuren Verwijder Overig]],0)</f>
        <v>0</v>
      </c>
      <c r="M677" s="139">
        <f>_xlfn.IFNA(IF(Optimalisatie!C49="Nieuwe situatie",(Optimalisatie!R49/(VLOOKUP(Optimalisatie!W49,Database_Asfalt_Aanlegset[#All],60,FALSE)/8)),0),0)*Optimalisatie!T49</f>
        <v>0</v>
      </c>
      <c r="N677" s="139">
        <f>_xlfn.IFNA(IF(Optimalisatie!C49="Nieuwe situatie",Optimalisatie!S49/VLOOKUP(Optimalisatie!X49,Database_Overig_Materieel[#All],8,FALSE),0),0)*Optimalisatie!T49</f>
        <v>0</v>
      </c>
      <c r="O677" s="139">
        <f>_xlfn.IFNA(IF(Optimalisatie!C49="Bestaande situatie",Optimalisatie!R49/(VLOOKUP(Optimalisatie!AA49,Database_Asfalt_Verwijderset[#All],60,FALSE)/8),0),0)*Optimalisatie!T49</f>
        <v>0</v>
      </c>
      <c r="P677" s="139">
        <f>_xlfn.IFNA(IF(Optimalisatie!C49="Bestaande situatie",Optimalisatie!S49/VLOOKUP(Optimalisatie!AB49,Database_Overig_Materieel[#All],8,FALSE),0),0)*Optimalisatie!T49</f>
        <v>0</v>
      </c>
      <c r="Q677" s="139">
        <f>IF(Inschrijf_Bouwplaats_Totaal[[#This Row],[Emissieloos Asfalt Aanlegset]]="JA",Inschrijf_Bouwplaats_Totaal[[#This Row],[Draaiuren Bouw Asfalt Vervangingen]],0)+IF(Inschrijf_Bouwplaats_Totaal[[#This Row],[Emissieloos Bouwmaterieel]]="JA",Inschrijf_Bouwplaats_Totaal[[#This Row],[Draaiuren Bouw Overig Vervangingen]],0)+IF(Inschrijf_Bouwplaats_Totaal[[#This Row],[Emissieloos Asfalt Verwijderset]]="JA",Inschrijf_Bouwplaats_Totaal[[#This Row],[Draaiuren Verwijder Asfalt Vervangingen]],0)+IF(Inschrijf_Bouwplaats_Totaal[[#This Row],[Emissieloos Sloopmaterieel]]="JA",Inschrijf_Bouwplaats_Totaal[[#This Row],[Draaiuren Verwijder Overig Vervangingen]],0)</f>
        <v>0</v>
      </c>
      <c r="R677" s="139">
        <f>Inschrijf_Bouwplaats_Totaal[[#This Row],[Emissieloos bouwplaats]]+Inschrijf_Bouwplaats_Totaal[[#This Row],[Emissieloos bouwplaats Vervangingen]]</f>
        <v>0</v>
      </c>
      <c r="S677" s="139">
        <f>(Inschrijf_Bouwplaats_Totaal[[#This Row],[Draaiuren Bouw Asfalt]]+Inschrijf_Bouwplaats_Totaal[[#This Row],[Draaiuren Bouw Overig]]+Inschrijf_Bouwplaats_Totaal[[#This Row],[Draaiuren Verwijder Asfalt]]+Inschrijf_Bouwplaats_Totaal[[#This Row],[Draaiuren Verwijder Overig]]+Inschrijf_Bouwplaats_Totaal[[#This Row],[Draaiuren Bouw Asfalt Vervangingen]]+Inschrijf_Bouwplaats_Totaal[[#This Row],[Draaiuren Bouw Overig Vervangingen]]+Inschrijf_Bouwplaats_Totaal[[#This Row],[Draaiuren Verwijder Asfalt Vervangingen]]+Inschrijf_Bouwplaats_Totaal[[#This Row],[Draaiuren Verwijder Overig Vervangingen]])-Inschrijf_Bouwplaats_Totaal[[#This Row],[Totaal Emissieloos Bouwplaats]]</f>
        <v>0</v>
      </c>
      <c r="T677" s="139">
        <f>Inschrijf_Bouwplaats_Totaal[[#This Row],[Totaal Emissieloos Bouwplaats]]+Inschrijf_Bouwplaats_Totaal[[#This Row],[Totaal Niet Emissieloos Bouwplaats]]</f>
        <v>0</v>
      </c>
      <c r="U677" s="335"/>
    </row>
    <row r="678" spans="2:21">
      <c r="B678" s="209">
        <f>Optimalisatie!B50</f>
        <v>0</v>
      </c>
      <c r="C678" s="51">
        <f>Optimalisatie!F50</f>
        <v>0</v>
      </c>
      <c r="D678" s="134">
        <f>_xlfn.IFNA(IF(Optimalisatie!C50="Nieuwe situatie",(Optimalisatie!R50/(VLOOKUP(Optimalisatie!W50,Database_Asfalt_Aanlegset[#All],60,FALSE)/8)),0),0)</f>
        <v>0</v>
      </c>
      <c r="E678" s="135">
        <f>IFERROR(IF(Optimalisatie!C50="Nieuwe situatie",Optimalisatie!J50/Optimalisatie!Z50,0),0)</f>
        <v>0</v>
      </c>
      <c r="F678" s="135">
        <f>_xlfn.IFNA(IF(Optimalisatie!C50="Bestaande situatie",Optimalisatie!R50/(VLOOKUP(Optimalisatie!AA50,Database_Asfalt_Verwijderset[#All],60,FALSE)/8),0),0)</f>
        <v>0</v>
      </c>
      <c r="G678" s="138">
        <f>IFERROR(IF(Optimalisatie!C50="Bestaande situatie",Optimalisatie!J50/Optimalisatie!AD50,0),0)</f>
        <v>0</v>
      </c>
      <c r="H678" s="94" t="str">
        <f>_xlfn.IFNA((VLOOKUP(Optimalisatie!W50,Database_Asfalt_Aanlegset[],61,FALSE)),"Nee")</f>
        <v>Nee</v>
      </c>
      <c r="I678" s="94" t="str">
        <f>_xlfn.IFNA((VLOOKUP(Optimalisatie!X50,Database_Brandstoffen[],60,FALSE)),"Nee")</f>
        <v>Nee</v>
      </c>
      <c r="J678" s="94" t="str">
        <f>_xlfn.IFNA((VLOOKUP(Optimalisatie!AA50,Database_Asfalt_Verwijderset[],61,FALSE)),"Nee")</f>
        <v>Nee</v>
      </c>
      <c r="K678" s="120" t="str">
        <f>_xlfn.IFNA((VLOOKUP(Optimalisatie!AB50,Database_Brandstoffen[],60,FALSE)),"Nee")</f>
        <v>Nee</v>
      </c>
      <c r="L678" s="132">
        <f>IF(Inschrijf_Bouwplaats_Totaal[[#This Row],[Emissieloos Asfalt Aanlegset]]="JA",Inschrijf_Bouwplaats_Totaal[[#This Row],[Draaiuren Bouw Asfalt]],0)+IF(Inschrijf_Bouwplaats_Totaal[[#This Row],[Emissieloos Bouwmaterieel]]="JA",Inschrijf_Bouwplaats_Totaal[[#This Row],[Draaiuren Bouw Overig]],0)+IF(Inschrijf_Bouwplaats_Totaal[[#This Row],[Emissieloos Asfalt Verwijderset]]="JA",Inschrijf_Bouwplaats_Totaal[[#This Row],[Draaiuren Verwijder Asfalt]],0)+IF(Inschrijf_Bouwplaats_Totaal[[#This Row],[Emissieloos Sloopmaterieel]]="JA",Inschrijf_Bouwplaats_Totaal[[#This Row],[Draaiuren Verwijder Overig]],0)</f>
        <v>0</v>
      </c>
      <c r="M678" s="139">
        <f>_xlfn.IFNA(IF(Optimalisatie!C50="Nieuwe situatie",(Optimalisatie!R50/(VLOOKUP(Optimalisatie!W50,Database_Asfalt_Aanlegset[#All],60,FALSE)/8)),0),0)*Optimalisatie!T50</f>
        <v>0</v>
      </c>
      <c r="N678" s="139">
        <f>_xlfn.IFNA(IF(Optimalisatie!C50="Nieuwe situatie",Optimalisatie!S50/VLOOKUP(Optimalisatie!X50,Database_Overig_Materieel[#All],8,FALSE),0),0)*Optimalisatie!T50</f>
        <v>0</v>
      </c>
      <c r="O678" s="139">
        <f>_xlfn.IFNA(IF(Optimalisatie!C50="Bestaande situatie",Optimalisatie!R50/(VLOOKUP(Optimalisatie!AA50,Database_Asfalt_Verwijderset[#All],60,FALSE)/8),0),0)*Optimalisatie!T50</f>
        <v>0</v>
      </c>
      <c r="P678" s="139">
        <f>_xlfn.IFNA(IF(Optimalisatie!C50="Bestaande situatie",Optimalisatie!S50/VLOOKUP(Optimalisatie!AB50,Database_Overig_Materieel[#All],8,FALSE),0),0)*Optimalisatie!T50</f>
        <v>0</v>
      </c>
      <c r="Q678" s="139">
        <f>IF(Inschrijf_Bouwplaats_Totaal[[#This Row],[Emissieloos Asfalt Aanlegset]]="JA",Inschrijf_Bouwplaats_Totaal[[#This Row],[Draaiuren Bouw Asfalt Vervangingen]],0)+IF(Inschrijf_Bouwplaats_Totaal[[#This Row],[Emissieloos Bouwmaterieel]]="JA",Inschrijf_Bouwplaats_Totaal[[#This Row],[Draaiuren Bouw Overig Vervangingen]],0)+IF(Inschrijf_Bouwplaats_Totaal[[#This Row],[Emissieloos Asfalt Verwijderset]]="JA",Inschrijf_Bouwplaats_Totaal[[#This Row],[Draaiuren Verwijder Asfalt Vervangingen]],0)+IF(Inschrijf_Bouwplaats_Totaal[[#This Row],[Emissieloos Sloopmaterieel]]="JA",Inschrijf_Bouwplaats_Totaal[[#This Row],[Draaiuren Verwijder Overig Vervangingen]],0)</f>
        <v>0</v>
      </c>
      <c r="R678" s="139">
        <f>Inschrijf_Bouwplaats_Totaal[[#This Row],[Emissieloos bouwplaats]]+Inschrijf_Bouwplaats_Totaal[[#This Row],[Emissieloos bouwplaats Vervangingen]]</f>
        <v>0</v>
      </c>
      <c r="S678" s="139">
        <f>(Inschrijf_Bouwplaats_Totaal[[#This Row],[Draaiuren Bouw Asfalt]]+Inschrijf_Bouwplaats_Totaal[[#This Row],[Draaiuren Bouw Overig]]+Inschrijf_Bouwplaats_Totaal[[#This Row],[Draaiuren Verwijder Asfalt]]+Inschrijf_Bouwplaats_Totaal[[#This Row],[Draaiuren Verwijder Overig]]+Inschrijf_Bouwplaats_Totaal[[#This Row],[Draaiuren Bouw Asfalt Vervangingen]]+Inschrijf_Bouwplaats_Totaal[[#This Row],[Draaiuren Bouw Overig Vervangingen]]+Inschrijf_Bouwplaats_Totaal[[#This Row],[Draaiuren Verwijder Asfalt Vervangingen]]+Inschrijf_Bouwplaats_Totaal[[#This Row],[Draaiuren Verwijder Overig Vervangingen]])-Inschrijf_Bouwplaats_Totaal[[#This Row],[Totaal Emissieloos Bouwplaats]]</f>
        <v>0</v>
      </c>
      <c r="T678" s="139">
        <f>Inschrijf_Bouwplaats_Totaal[[#This Row],[Totaal Emissieloos Bouwplaats]]+Inschrijf_Bouwplaats_Totaal[[#This Row],[Totaal Niet Emissieloos Bouwplaats]]</f>
        <v>0</v>
      </c>
      <c r="U678" s="335"/>
    </row>
    <row r="679" spans="2:21">
      <c r="B679" s="209">
        <f>Optimalisatie!B51</f>
        <v>0</v>
      </c>
      <c r="C679" s="51">
        <f>Optimalisatie!F51</f>
        <v>0</v>
      </c>
      <c r="D679" s="134">
        <f>_xlfn.IFNA(IF(Optimalisatie!C51="Nieuwe situatie",(Optimalisatie!R51/(VLOOKUP(Optimalisatie!W51,Database_Asfalt_Aanlegset[#All],60,FALSE)/8)),0),0)</f>
        <v>0</v>
      </c>
      <c r="E679" s="135">
        <f>IFERROR(IF(Optimalisatie!C51="Nieuwe situatie",Optimalisatie!J51/Optimalisatie!Z51,0),0)</f>
        <v>0</v>
      </c>
      <c r="F679" s="135">
        <f>_xlfn.IFNA(IF(Optimalisatie!C51="Bestaande situatie",Optimalisatie!R51/(VLOOKUP(Optimalisatie!AA51,Database_Asfalt_Verwijderset[#All],60,FALSE)/8),0),0)</f>
        <v>0</v>
      </c>
      <c r="G679" s="138">
        <f>IFERROR(IF(Optimalisatie!C51="Bestaande situatie",Optimalisatie!J51/Optimalisatie!AD51,0),0)</f>
        <v>0</v>
      </c>
      <c r="H679" s="94" t="str">
        <f>_xlfn.IFNA((VLOOKUP(Optimalisatie!W51,Database_Asfalt_Aanlegset[],61,FALSE)),"Nee")</f>
        <v>Nee</v>
      </c>
      <c r="I679" s="94" t="str">
        <f>_xlfn.IFNA((VLOOKUP(Optimalisatie!X51,Database_Brandstoffen[],60,FALSE)),"Nee")</f>
        <v>Nee</v>
      </c>
      <c r="J679" s="94" t="str">
        <f>_xlfn.IFNA((VLOOKUP(Optimalisatie!AA51,Database_Asfalt_Verwijderset[],61,FALSE)),"Nee")</f>
        <v>Nee</v>
      </c>
      <c r="K679" s="120" t="str">
        <f>_xlfn.IFNA((VLOOKUP(Optimalisatie!AB51,Database_Brandstoffen[],60,FALSE)),"Nee")</f>
        <v>Nee</v>
      </c>
      <c r="L679" s="132">
        <f>IF(Inschrijf_Bouwplaats_Totaal[[#This Row],[Emissieloos Asfalt Aanlegset]]="JA",Inschrijf_Bouwplaats_Totaal[[#This Row],[Draaiuren Bouw Asfalt]],0)+IF(Inschrijf_Bouwplaats_Totaal[[#This Row],[Emissieloos Bouwmaterieel]]="JA",Inschrijf_Bouwplaats_Totaal[[#This Row],[Draaiuren Bouw Overig]],0)+IF(Inschrijf_Bouwplaats_Totaal[[#This Row],[Emissieloos Asfalt Verwijderset]]="JA",Inschrijf_Bouwplaats_Totaal[[#This Row],[Draaiuren Verwijder Asfalt]],0)+IF(Inschrijf_Bouwplaats_Totaal[[#This Row],[Emissieloos Sloopmaterieel]]="JA",Inschrijf_Bouwplaats_Totaal[[#This Row],[Draaiuren Verwijder Overig]],0)</f>
        <v>0</v>
      </c>
      <c r="M679" s="139">
        <f>_xlfn.IFNA(IF(Optimalisatie!C51="Nieuwe situatie",(Optimalisatie!R51/(VLOOKUP(Optimalisatie!W51,Database_Asfalt_Aanlegset[#All],60,FALSE)/8)),0),0)*Optimalisatie!T51</f>
        <v>0</v>
      </c>
      <c r="N679" s="139">
        <f>_xlfn.IFNA(IF(Optimalisatie!C51="Nieuwe situatie",Optimalisatie!S51/VLOOKUP(Optimalisatie!X51,Database_Overig_Materieel[#All],8,FALSE),0),0)*Optimalisatie!T51</f>
        <v>0</v>
      </c>
      <c r="O679" s="139">
        <f>_xlfn.IFNA(IF(Optimalisatie!C51="Bestaande situatie",Optimalisatie!R51/(VLOOKUP(Optimalisatie!AA51,Database_Asfalt_Verwijderset[#All],60,FALSE)/8),0),0)*Optimalisatie!T51</f>
        <v>0</v>
      </c>
      <c r="P679" s="139">
        <f>_xlfn.IFNA(IF(Optimalisatie!C51="Bestaande situatie",Optimalisatie!S51/VLOOKUP(Optimalisatie!AB51,Database_Overig_Materieel[#All],8,FALSE),0),0)*Optimalisatie!T51</f>
        <v>0</v>
      </c>
      <c r="Q679" s="139">
        <f>IF(Inschrijf_Bouwplaats_Totaal[[#This Row],[Emissieloos Asfalt Aanlegset]]="JA",Inschrijf_Bouwplaats_Totaal[[#This Row],[Draaiuren Bouw Asfalt Vervangingen]],0)+IF(Inschrijf_Bouwplaats_Totaal[[#This Row],[Emissieloos Bouwmaterieel]]="JA",Inschrijf_Bouwplaats_Totaal[[#This Row],[Draaiuren Bouw Overig Vervangingen]],0)+IF(Inschrijf_Bouwplaats_Totaal[[#This Row],[Emissieloos Asfalt Verwijderset]]="JA",Inschrijf_Bouwplaats_Totaal[[#This Row],[Draaiuren Verwijder Asfalt Vervangingen]],0)+IF(Inschrijf_Bouwplaats_Totaal[[#This Row],[Emissieloos Sloopmaterieel]]="JA",Inschrijf_Bouwplaats_Totaal[[#This Row],[Draaiuren Verwijder Overig Vervangingen]],0)</f>
        <v>0</v>
      </c>
      <c r="R679" s="139">
        <f>Inschrijf_Bouwplaats_Totaal[[#This Row],[Emissieloos bouwplaats]]+Inschrijf_Bouwplaats_Totaal[[#This Row],[Emissieloos bouwplaats Vervangingen]]</f>
        <v>0</v>
      </c>
      <c r="S679" s="139">
        <f>(Inschrijf_Bouwplaats_Totaal[[#This Row],[Draaiuren Bouw Asfalt]]+Inschrijf_Bouwplaats_Totaal[[#This Row],[Draaiuren Bouw Overig]]+Inschrijf_Bouwplaats_Totaal[[#This Row],[Draaiuren Verwijder Asfalt]]+Inschrijf_Bouwplaats_Totaal[[#This Row],[Draaiuren Verwijder Overig]]+Inschrijf_Bouwplaats_Totaal[[#This Row],[Draaiuren Bouw Asfalt Vervangingen]]+Inschrijf_Bouwplaats_Totaal[[#This Row],[Draaiuren Bouw Overig Vervangingen]]+Inschrijf_Bouwplaats_Totaal[[#This Row],[Draaiuren Verwijder Asfalt Vervangingen]]+Inschrijf_Bouwplaats_Totaal[[#This Row],[Draaiuren Verwijder Overig Vervangingen]])-Inschrijf_Bouwplaats_Totaal[[#This Row],[Totaal Emissieloos Bouwplaats]]</f>
        <v>0</v>
      </c>
      <c r="T679" s="139">
        <f>Inschrijf_Bouwplaats_Totaal[[#This Row],[Totaal Emissieloos Bouwplaats]]+Inschrijf_Bouwplaats_Totaal[[#This Row],[Totaal Niet Emissieloos Bouwplaats]]</f>
        <v>0</v>
      </c>
      <c r="U679" s="335"/>
    </row>
    <row r="680" spans="2:21">
      <c r="B680" s="209">
        <f>Optimalisatie!B52</f>
        <v>0</v>
      </c>
      <c r="C680" s="51">
        <f>Optimalisatie!F52</f>
        <v>0</v>
      </c>
      <c r="D680" s="134">
        <f>_xlfn.IFNA(IF(Optimalisatie!C52="Nieuwe situatie",(Optimalisatie!R52/(VLOOKUP(Optimalisatie!W52,Database_Asfalt_Aanlegset[#All],60,FALSE)/8)),0),0)</f>
        <v>0</v>
      </c>
      <c r="E680" s="135">
        <f>IFERROR(IF(Optimalisatie!C52="Nieuwe situatie",Optimalisatie!J52/Optimalisatie!Z52,0),0)</f>
        <v>0</v>
      </c>
      <c r="F680" s="135">
        <f>_xlfn.IFNA(IF(Optimalisatie!C52="Bestaande situatie",Optimalisatie!R52/(VLOOKUP(Optimalisatie!AA52,Database_Asfalt_Verwijderset[#All],60,FALSE)/8),0),0)</f>
        <v>0</v>
      </c>
      <c r="G680" s="138">
        <f>IFERROR(IF(Optimalisatie!C52="Bestaande situatie",Optimalisatie!J52/Optimalisatie!AD52,0),0)</f>
        <v>0</v>
      </c>
      <c r="H680" s="94" t="str">
        <f>_xlfn.IFNA((VLOOKUP(Optimalisatie!W52,Database_Asfalt_Aanlegset[],61,FALSE)),"Nee")</f>
        <v>Nee</v>
      </c>
      <c r="I680" s="94" t="str">
        <f>_xlfn.IFNA((VLOOKUP(Optimalisatie!X52,Database_Brandstoffen[],60,FALSE)),"Nee")</f>
        <v>Nee</v>
      </c>
      <c r="J680" s="94" t="str">
        <f>_xlfn.IFNA((VLOOKUP(Optimalisatie!AA52,Database_Asfalt_Verwijderset[],61,FALSE)),"Nee")</f>
        <v>Nee</v>
      </c>
      <c r="K680" s="120" t="str">
        <f>_xlfn.IFNA((VLOOKUP(Optimalisatie!AB52,Database_Brandstoffen[],60,FALSE)),"Nee")</f>
        <v>Nee</v>
      </c>
      <c r="L680" s="132">
        <f>IF(Inschrijf_Bouwplaats_Totaal[[#This Row],[Emissieloos Asfalt Aanlegset]]="JA",Inschrijf_Bouwplaats_Totaal[[#This Row],[Draaiuren Bouw Asfalt]],0)+IF(Inschrijf_Bouwplaats_Totaal[[#This Row],[Emissieloos Bouwmaterieel]]="JA",Inschrijf_Bouwplaats_Totaal[[#This Row],[Draaiuren Bouw Overig]],0)+IF(Inschrijf_Bouwplaats_Totaal[[#This Row],[Emissieloos Asfalt Verwijderset]]="JA",Inschrijf_Bouwplaats_Totaal[[#This Row],[Draaiuren Verwijder Asfalt]],0)+IF(Inschrijf_Bouwplaats_Totaal[[#This Row],[Emissieloos Sloopmaterieel]]="JA",Inschrijf_Bouwplaats_Totaal[[#This Row],[Draaiuren Verwijder Overig]],0)</f>
        <v>0</v>
      </c>
      <c r="M680" s="139">
        <f>_xlfn.IFNA(IF(Optimalisatie!C52="Nieuwe situatie",(Optimalisatie!R52/(VLOOKUP(Optimalisatie!W52,Database_Asfalt_Aanlegset[#All],60,FALSE)/8)),0),0)*Optimalisatie!T52</f>
        <v>0</v>
      </c>
      <c r="N680" s="139">
        <f>_xlfn.IFNA(IF(Optimalisatie!C52="Nieuwe situatie",Optimalisatie!S52/VLOOKUP(Optimalisatie!X52,Database_Overig_Materieel[#All],8,FALSE),0),0)*Optimalisatie!T52</f>
        <v>0</v>
      </c>
      <c r="O680" s="139">
        <f>_xlfn.IFNA(IF(Optimalisatie!C52="Bestaande situatie",Optimalisatie!R52/(VLOOKUP(Optimalisatie!AA52,Database_Asfalt_Verwijderset[#All],60,FALSE)/8),0),0)*Optimalisatie!T52</f>
        <v>0</v>
      </c>
      <c r="P680" s="139">
        <f>_xlfn.IFNA(IF(Optimalisatie!C52="Bestaande situatie",Optimalisatie!S52/VLOOKUP(Optimalisatie!AB52,Database_Overig_Materieel[#All],8,FALSE),0),0)*Optimalisatie!T52</f>
        <v>0</v>
      </c>
      <c r="Q680" s="139">
        <f>IF(Inschrijf_Bouwplaats_Totaal[[#This Row],[Emissieloos Asfalt Aanlegset]]="JA",Inschrijf_Bouwplaats_Totaal[[#This Row],[Draaiuren Bouw Asfalt Vervangingen]],0)+IF(Inschrijf_Bouwplaats_Totaal[[#This Row],[Emissieloos Bouwmaterieel]]="JA",Inschrijf_Bouwplaats_Totaal[[#This Row],[Draaiuren Bouw Overig Vervangingen]],0)+IF(Inschrijf_Bouwplaats_Totaal[[#This Row],[Emissieloos Asfalt Verwijderset]]="JA",Inschrijf_Bouwplaats_Totaal[[#This Row],[Draaiuren Verwijder Asfalt Vervangingen]],0)+IF(Inschrijf_Bouwplaats_Totaal[[#This Row],[Emissieloos Sloopmaterieel]]="JA",Inschrijf_Bouwplaats_Totaal[[#This Row],[Draaiuren Verwijder Overig Vervangingen]],0)</f>
        <v>0</v>
      </c>
      <c r="R680" s="139">
        <f>Inschrijf_Bouwplaats_Totaal[[#This Row],[Emissieloos bouwplaats]]+Inschrijf_Bouwplaats_Totaal[[#This Row],[Emissieloos bouwplaats Vervangingen]]</f>
        <v>0</v>
      </c>
      <c r="S680" s="139">
        <f>(Inschrijf_Bouwplaats_Totaal[[#This Row],[Draaiuren Bouw Asfalt]]+Inschrijf_Bouwplaats_Totaal[[#This Row],[Draaiuren Bouw Overig]]+Inschrijf_Bouwplaats_Totaal[[#This Row],[Draaiuren Verwijder Asfalt]]+Inschrijf_Bouwplaats_Totaal[[#This Row],[Draaiuren Verwijder Overig]]+Inschrijf_Bouwplaats_Totaal[[#This Row],[Draaiuren Bouw Asfalt Vervangingen]]+Inschrijf_Bouwplaats_Totaal[[#This Row],[Draaiuren Bouw Overig Vervangingen]]+Inschrijf_Bouwplaats_Totaal[[#This Row],[Draaiuren Verwijder Asfalt Vervangingen]]+Inschrijf_Bouwplaats_Totaal[[#This Row],[Draaiuren Verwijder Overig Vervangingen]])-Inschrijf_Bouwplaats_Totaal[[#This Row],[Totaal Emissieloos Bouwplaats]]</f>
        <v>0</v>
      </c>
      <c r="T680" s="139">
        <f>Inschrijf_Bouwplaats_Totaal[[#This Row],[Totaal Emissieloos Bouwplaats]]+Inschrijf_Bouwplaats_Totaal[[#This Row],[Totaal Niet Emissieloos Bouwplaats]]</f>
        <v>0</v>
      </c>
      <c r="U680" s="335"/>
    </row>
    <row r="681" spans="2:21">
      <c r="B681" s="209">
        <f>Optimalisatie!B53</f>
        <v>0</v>
      </c>
      <c r="C681" s="51">
        <f>Optimalisatie!F53</f>
        <v>0</v>
      </c>
      <c r="D681" s="134">
        <f>_xlfn.IFNA(IF(Optimalisatie!C53="Nieuwe situatie",(Optimalisatie!R53/(VLOOKUP(Optimalisatie!W53,Database_Asfalt_Aanlegset[#All],60,FALSE)/8)),0),0)</f>
        <v>0</v>
      </c>
      <c r="E681" s="135">
        <f>IFERROR(IF(Optimalisatie!C53="Nieuwe situatie",Optimalisatie!J53/Optimalisatie!Z53,0),0)</f>
        <v>0</v>
      </c>
      <c r="F681" s="135">
        <f>_xlfn.IFNA(IF(Optimalisatie!C53="Bestaande situatie",Optimalisatie!R53/(VLOOKUP(Optimalisatie!AA53,Database_Asfalt_Verwijderset[#All],60,FALSE)/8),0),0)</f>
        <v>0</v>
      </c>
      <c r="G681" s="138">
        <f>IFERROR(IF(Optimalisatie!C53="Bestaande situatie",Optimalisatie!J53/Optimalisatie!AD53,0),0)</f>
        <v>0</v>
      </c>
      <c r="H681" s="94" t="str">
        <f>_xlfn.IFNA((VLOOKUP(Optimalisatie!W53,Database_Asfalt_Aanlegset[],61,FALSE)),"Nee")</f>
        <v>Nee</v>
      </c>
      <c r="I681" s="94" t="str">
        <f>_xlfn.IFNA((VLOOKUP(Optimalisatie!X53,Database_Brandstoffen[],60,FALSE)),"Nee")</f>
        <v>Nee</v>
      </c>
      <c r="J681" s="94" t="str">
        <f>_xlfn.IFNA((VLOOKUP(Optimalisatie!AA53,Database_Asfalt_Verwijderset[],61,FALSE)),"Nee")</f>
        <v>Nee</v>
      </c>
      <c r="K681" s="120" t="str">
        <f>_xlfn.IFNA((VLOOKUP(Optimalisatie!AB53,Database_Brandstoffen[],60,FALSE)),"Nee")</f>
        <v>Nee</v>
      </c>
      <c r="L681" s="132">
        <f>IF(Inschrijf_Bouwplaats_Totaal[[#This Row],[Emissieloos Asfalt Aanlegset]]="JA",Inschrijf_Bouwplaats_Totaal[[#This Row],[Draaiuren Bouw Asfalt]],0)+IF(Inschrijf_Bouwplaats_Totaal[[#This Row],[Emissieloos Bouwmaterieel]]="JA",Inschrijf_Bouwplaats_Totaal[[#This Row],[Draaiuren Bouw Overig]],0)+IF(Inschrijf_Bouwplaats_Totaal[[#This Row],[Emissieloos Asfalt Verwijderset]]="JA",Inschrijf_Bouwplaats_Totaal[[#This Row],[Draaiuren Verwijder Asfalt]],0)+IF(Inschrijf_Bouwplaats_Totaal[[#This Row],[Emissieloos Sloopmaterieel]]="JA",Inschrijf_Bouwplaats_Totaal[[#This Row],[Draaiuren Verwijder Overig]],0)</f>
        <v>0</v>
      </c>
      <c r="M681" s="139">
        <f>_xlfn.IFNA(IF(Optimalisatie!C53="Nieuwe situatie",(Optimalisatie!R53/(VLOOKUP(Optimalisatie!W53,Database_Asfalt_Aanlegset[#All],60,FALSE)/8)),0),0)*Optimalisatie!T53</f>
        <v>0</v>
      </c>
      <c r="N681" s="139">
        <f>_xlfn.IFNA(IF(Optimalisatie!C53="Nieuwe situatie",Optimalisatie!S53/VLOOKUP(Optimalisatie!X53,Database_Overig_Materieel[#All],8,FALSE),0),0)*Optimalisatie!T53</f>
        <v>0</v>
      </c>
      <c r="O681" s="139">
        <f>_xlfn.IFNA(IF(Optimalisatie!C53="Bestaande situatie",Optimalisatie!R53/(VLOOKUP(Optimalisatie!AA53,Database_Asfalt_Verwijderset[#All],60,FALSE)/8),0),0)*Optimalisatie!T53</f>
        <v>0</v>
      </c>
      <c r="P681" s="139">
        <f>_xlfn.IFNA(IF(Optimalisatie!C53="Bestaande situatie",Optimalisatie!S53/VLOOKUP(Optimalisatie!AB53,Database_Overig_Materieel[#All],8,FALSE),0),0)*Optimalisatie!T53</f>
        <v>0</v>
      </c>
      <c r="Q681" s="139">
        <f>IF(Inschrijf_Bouwplaats_Totaal[[#This Row],[Emissieloos Asfalt Aanlegset]]="JA",Inschrijf_Bouwplaats_Totaal[[#This Row],[Draaiuren Bouw Asfalt Vervangingen]],0)+IF(Inschrijf_Bouwplaats_Totaal[[#This Row],[Emissieloos Bouwmaterieel]]="JA",Inschrijf_Bouwplaats_Totaal[[#This Row],[Draaiuren Bouw Overig Vervangingen]],0)+IF(Inschrijf_Bouwplaats_Totaal[[#This Row],[Emissieloos Asfalt Verwijderset]]="JA",Inschrijf_Bouwplaats_Totaal[[#This Row],[Draaiuren Verwijder Asfalt Vervangingen]],0)+IF(Inschrijf_Bouwplaats_Totaal[[#This Row],[Emissieloos Sloopmaterieel]]="JA",Inschrijf_Bouwplaats_Totaal[[#This Row],[Draaiuren Verwijder Overig Vervangingen]],0)</f>
        <v>0</v>
      </c>
      <c r="R681" s="139">
        <f>Inschrijf_Bouwplaats_Totaal[[#This Row],[Emissieloos bouwplaats]]+Inschrijf_Bouwplaats_Totaal[[#This Row],[Emissieloos bouwplaats Vervangingen]]</f>
        <v>0</v>
      </c>
      <c r="S681" s="139">
        <f>(Inschrijf_Bouwplaats_Totaal[[#This Row],[Draaiuren Bouw Asfalt]]+Inschrijf_Bouwplaats_Totaal[[#This Row],[Draaiuren Bouw Overig]]+Inschrijf_Bouwplaats_Totaal[[#This Row],[Draaiuren Verwijder Asfalt]]+Inschrijf_Bouwplaats_Totaal[[#This Row],[Draaiuren Verwijder Overig]]+Inschrijf_Bouwplaats_Totaal[[#This Row],[Draaiuren Bouw Asfalt Vervangingen]]+Inschrijf_Bouwplaats_Totaal[[#This Row],[Draaiuren Bouw Overig Vervangingen]]+Inschrijf_Bouwplaats_Totaal[[#This Row],[Draaiuren Verwijder Asfalt Vervangingen]]+Inschrijf_Bouwplaats_Totaal[[#This Row],[Draaiuren Verwijder Overig Vervangingen]])-Inschrijf_Bouwplaats_Totaal[[#This Row],[Totaal Emissieloos Bouwplaats]]</f>
        <v>0</v>
      </c>
      <c r="T681" s="139">
        <f>Inschrijf_Bouwplaats_Totaal[[#This Row],[Totaal Emissieloos Bouwplaats]]+Inschrijf_Bouwplaats_Totaal[[#This Row],[Totaal Niet Emissieloos Bouwplaats]]</f>
        <v>0</v>
      </c>
      <c r="U681" s="335"/>
    </row>
    <row r="682" spans="2:21">
      <c r="B682" s="209">
        <f>Optimalisatie!B54</f>
        <v>0</v>
      </c>
      <c r="C682" s="51">
        <f>Optimalisatie!F54</f>
        <v>0</v>
      </c>
      <c r="D682" s="134">
        <f>_xlfn.IFNA(IF(Optimalisatie!C54="Nieuwe situatie",(Optimalisatie!R54/(VLOOKUP(Optimalisatie!W54,Database_Asfalt_Aanlegset[#All],60,FALSE)/8)),0),0)</f>
        <v>0</v>
      </c>
      <c r="E682" s="135">
        <f>IFERROR(IF(Optimalisatie!C54="Nieuwe situatie",Optimalisatie!J54/Optimalisatie!Z54,0),0)</f>
        <v>0</v>
      </c>
      <c r="F682" s="135">
        <f>_xlfn.IFNA(IF(Optimalisatie!C54="Bestaande situatie",Optimalisatie!R54/(VLOOKUP(Optimalisatie!AA54,Database_Asfalt_Verwijderset[#All],60,FALSE)/8),0),0)</f>
        <v>0</v>
      </c>
      <c r="G682" s="138">
        <f>IFERROR(IF(Optimalisatie!C54="Bestaande situatie",Optimalisatie!J54/Optimalisatie!AD54,0),0)</f>
        <v>0</v>
      </c>
      <c r="H682" s="94" t="str">
        <f>_xlfn.IFNA((VLOOKUP(Optimalisatie!W54,Database_Asfalt_Aanlegset[],61,FALSE)),"Nee")</f>
        <v>Nee</v>
      </c>
      <c r="I682" s="94" t="str">
        <f>_xlfn.IFNA((VLOOKUP(Optimalisatie!X54,Database_Brandstoffen[],60,FALSE)),"Nee")</f>
        <v>Nee</v>
      </c>
      <c r="J682" s="94" t="str">
        <f>_xlfn.IFNA((VLOOKUP(Optimalisatie!AA54,Database_Asfalt_Verwijderset[],61,FALSE)),"Nee")</f>
        <v>Nee</v>
      </c>
      <c r="K682" s="120" t="str">
        <f>_xlfn.IFNA((VLOOKUP(Optimalisatie!AB54,Database_Brandstoffen[],60,FALSE)),"Nee")</f>
        <v>Nee</v>
      </c>
      <c r="L682" s="132">
        <f>IF(Inschrijf_Bouwplaats_Totaal[[#This Row],[Emissieloos Asfalt Aanlegset]]="JA",Inschrijf_Bouwplaats_Totaal[[#This Row],[Draaiuren Bouw Asfalt]],0)+IF(Inschrijf_Bouwplaats_Totaal[[#This Row],[Emissieloos Bouwmaterieel]]="JA",Inschrijf_Bouwplaats_Totaal[[#This Row],[Draaiuren Bouw Overig]],0)+IF(Inschrijf_Bouwplaats_Totaal[[#This Row],[Emissieloos Asfalt Verwijderset]]="JA",Inschrijf_Bouwplaats_Totaal[[#This Row],[Draaiuren Verwijder Asfalt]],0)+IF(Inschrijf_Bouwplaats_Totaal[[#This Row],[Emissieloos Sloopmaterieel]]="JA",Inschrijf_Bouwplaats_Totaal[[#This Row],[Draaiuren Verwijder Overig]],0)</f>
        <v>0</v>
      </c>
      <c r="M682" s="139">
        <f>_xlfn.IFNA(IF(Optimalisatie!C54="Nieuwe situatie",(Optimalisatie!R54/(VLOOKUP(Optimalisatie!W54,Database_Asfalt_Aanlegset[#All],60,FALSE)/8)),0),0)*Optimalisatie!T54</f>
        <v>0</v>
      </c>
      <c r="N682" s="139">
        <f>_xlfn.IFNA(IF(Optimalisatie!C54="Nieuwe situatie",Optimalisatie!S54/VLOOKUP(Optimalisatie!X54,Database_Overig_Materieel[#All],8,FALSE),0),0)*Optimalisatie!T54</f>
        <v>0</v>
      </c>
      <c r="O682" s="139">
        <f>_xlfn.IFNA(IF(Optimalisatie!C54="Bestaande situatie",Optimalisatie!R54/(VLOOKUP(Optimalisatie!AA54,Database_Asfalt_Verwijderset[#All],60,FALSE)/8),0),0)*Optimalisatie!T54</f>
        <v>0</v>
      </c>
      <c r="P682" s="139">
        <f>_xlfn.IFNA(IF(Optimalisatie!C54="Bestaande situatie",Optimalisatie!S54/VLOOKUP(Optimalisatie!AB54,Database_Overig_Materieel[#All],8,FALSE),0),0)*Optimalisatie!T54</f>
        <v>0</v>
      </c>
      <c r="Q682" s="139">
        <f>IF(Inschrijf_Bouwplaats_Totaal[[#This Row],[Emissieloos Asfalt Aanlegset]]="JA",Inschrijf_Bouwplaats_Totaal[[#This Row],[Draaiuren Bouw Asfalt Vervangingen]],0)+IF(Inschrijf_Bouwplaats_Totaal[[#This Row],[Emissieloos Bouwmaterieel]]="JA",Inschrijf_Bouwplaats_Totaal[[#This Row],[Draaiuren Bouw Overig Vervangingen]],0)+IF(Inschrijf_Bouwplaats_Totaal[[#This Row],[Emissieloos Asfalt Verwijderset]]="JA",Inschrijf_Bouwplaats_Totaal[[#This Row],[Draaiuren Verwijder Asfalt Vervangingen]],0)+IF(Inschrijf_Bouwplaats_Totaal[[#This Row],[Emissieloos Sloopmaterieel]]="JA",Inschrijf_Bouwplaats_Totaal[[#This Row],[Draaiuren Verwijder Overig Vervangingen]],0)</f>
        <v>0</v>
      </c>
      <c r="R682" s="139">
        <f>Inschrijf_Bouwplaats_Totaal[[#This Row],[Emissieloos bouwplaats]]+Inschrijf_Bouwplaats_Totaal[[#This Row],[Emissieloos bouwplaats Vervangingen]]</f>
        <v>0</v>
      </c>
      <c r="S682" s="139">
        <f>(Inschrijf_Bouwplaats_Totaal[[#This Row],[Draaiuren Bouw Asfalt]]+Inschrijf_Bouwplaats_Totaal[[#This Row],[Draaiuren Bouw Overig]]+Inschrijf_Bouwplaats_Totaal[[#This Row],[Draaiuren Verwijder Asfalt]]+Inschrijf_Bouwplaats_Totaal[[#This Row],[Draaiuren Verwijder Overig]]+Inschrijf_Bouwplaats_Totaal[[#This Row],[Draaiuren Bouw Asfalt Vervangingen]]+Inschrijf_Bouwplaats_Totaal[[#This Row],[Draaiuren Bouw Overig Vervangingen]]+Inschrijf_Bouwplaats_Totaal[[#This Row],[Draaiuren Verwijder Asfalt Vervangingen]]+Inschrijf_Bouwplaats_Totaal[[#This Row],[Draaiuren Verwijder Overig Vervangingen]])-Inschrijf_Bouwplaats_Totaal[[#This Row],[Totaal Emissieloos Bouwplaats]]</f>
        <v>0</v>
      </c>
      <c r="T682" s="139">
        <f>Inschrijf_Bouwplaats_Totaal[[#This Row],[Totaal Emissieloos Bouwplaats]]+Inschrijf_Bouwplaats_Totaal[[#This Row],[Totaal Niet Emissieloos Bouwplaats]]</f>
        <v>0</v>
      </c>
      <c r="U682" s="335"/>
    </row>
    <row r="683" spans="2:21">
      <c r="B683" s="209">
        <f>Optimalisatie!B55</f>
        <v>0</v>
      </c>
      <c r="C683" s="51">
        <f>Optimalisatie!F55</f>
        <v>0</v>
      </c>
      <c r="D683" s="134">
        <f>_xlfn.IFNA(IF(Optimalisatie!C55="Nieuwe situatie",(Optimalisatie!R55/(VLOOKUP(Optimalisatie!W55,Database_Asfalt_Aanlegset[#All],60,FALSE)/8)),0),0)</f>
        <v>0</v>
      </c>
      <c r="E683" s="135">
        <f>IFERROR(IF(Optimalisatie!C55="Nieuwe situatie",Optimalisatie!J55/Optimalisatie!Z55,0),0)</f>
        <v>0</v>
      </c>
      <c r="F683" s="135">
        <f>_xlfn.IFNA(IF(Optimalisatie!C55="Bestaande situatie",Optimalisatie!R55/(VLOOKUP(Optimalisatie!AA55,Database_Asfalt_Verwijderset[#All],60,FALSE)/8),0),0)</f>
        <v>0</v>
      </c>
      <c r="G683" s="138">
        <f>IFERROR(IF(Optimalisatie!C55="Bestaande situatie",Optimalisatie!J55/Optimalisatie!AD55,0),0)</f>
        <v>0</v>
      </c>
      <c r="H683" s="94" t="str">
        <f>_xlfn.IFNA((VLOOKUP(Optimalisatie!W55,Database_Asfalt_Aanlegset[],61,FALSE)),"Nee")</f>
        <v>Nee</v>
      </c>
      <c r="I683" s="94" t="str">
        <f>_xlfn.IFNA((VLOOKUP(Optimalisatie!X55,Database_Brandstoffen[],60,FALSE)),"Nee")</f>
        <v>Nee</v>
      </c>
      <c r="J683" s="94" t="str">
        <f>_xlfn.IFNA((VLOOKUP(Optimalisatie!AA55,Database_Asfalt_Verwijderset[],61,FALSE)),"Nee")</f>
        <v>Nee</v>
      </c>
      <c r="K683" s="120" t="str">
        <f>_xlfn.IFNA((VLOOKUP(Optimalisatie!AB55,Database_Brandstoffen[],60,FALSE)),"Nee")</f>
        <v>Nee</v>
      </c>
      <c r="L683" s="132">
        <f>IF(Inschrijf_Bouwplaats_Totaal[[#This Row],[Emissieloos Asfalt Aanlegset]]="JA",Inschrijf_Bouwplaats_Totaal[[#This Row],[Draaiuren Bouw Asfalt]],0)+IF(Inschrijf_Bouwplaats_Totaal[[#This Row],[Emissieloos Bouwmaterieel]]="JA",Inschrijf_Bouwplaats_Totaal[[#This Row],[Draaiuren Bouw Overig]],0)+IF(Inschrijf_Bouwplaats_Totaal[[#This Row],[Emissieloos Asfalt Verwijderset]]="JA",Inschrijf_Bouwplaats_Totaal[[#This Row],[Draaiuren Verwijder Asfalt]],0)+IF(Inschrijf_Bouwplaats_Totaal[[#This Row],[Emissieloos Sloopmaterieel]]="JA",Inschrijf_Bouwplaats_Totaal[[#This Row],[Draaiuren Verwijder Overig]],0)</f>
        <v>0</v>
      </c>
      <c r="M683" s="139">
        <f>_xlfn.IFNA(IF(Optimalisatie!C55="Nieuwe situatie",(Optimalisatie!R55/(VLOOKUP(Optimalisatie!W55,Database_Asfalt_Aanlegset[#All],60,FALSE)/8)),0),0)*Optimalisatie!T55</f>
        <v>0</v>
      </c>
      <c r="N683" s="139">
        <f>_xlfn.IFNA(IF(Optimalisatie!C55="Nieuwe situatie",Optimalisatie!S55/VLOOKUP(Optimalisatie!X55,Database_Overig_Materieel[#All],8,FALSE),0),0)*Optimalisatie!T55</f>
        <v>0</v>
      </c>
      <c r="O683" s="139">
        <f>_xlfn.IFNA(IF(Optimalisatie!C55="Bestaande situatie",Optimalisatie!R55/(VLOOKUP(Optimalisatie!AA55,Database_Asfalt_Verwijderset[#All],60,FALSE)/8),0),0)*Optimalisatie!T55</f>
        <v>0</v>
      </c>
      <c r="P683" s="139">
        <f>_xlfn.IFNA(IF(Optimalisatie!C55="Bestaande situatie",Optimalisatie!S55/VLOOKUP(Optimalisatie!AB55,Database_Overig_Materieel[#All],8,FALSE),0),0)*Optimalisatie!T55</f>
        <v>0</v>
      </c>
      <c r="Q683" s="139">
        <f>IF(Inschrijf_Bouwplaats_Totaal[[#This Row],[Emissieloos Asfalt Aanlegset]]="JA",Inschrijf_Bouwplaats_Totaal[[#This Row],[Draaiuren Bouw Asfalt Vervangingen]],0)+IF(Inschrijf_Bouwplaats_Totaal[[#This Row],[Emissieloos Bouwmaterieel]]="JA",Inschrijf_Bouwplaats_Totaal[[#This Row],[Draaiuren Bouw Overig Vervangingen]],0)+IF(Inschrijf_Bouwplaats_Totaal[[#This Row],[Emissieloos Asfalt Verwijderset]]="JA",Inschrijf_Bouwplaats_Totaal[[#This Row],[Draaiuren Verwijder Asfalt Vervangingen]],0)+IF(Inschrijf_Bouwplaats_Totaal[[#This Row],[Emissieloos Sloopmaterieel]]="JA",Inschrijf_Bouwplaats_Totaal[[#This Row],[Draaiuren Verwijder Overig Vervangingen]],0)</f>
        <v>0</v>
      </c>
      <c r="R683" s="139">
        <f>Inschrijf_Bouwplaats_Totaal[[#This Row],[Emissieloos bouwplaats]]+Inschrijf_Bouwplaats_Totaal[[#This Row],[Emissieloos bouwplaats Vervangingen]]</f>
        <v>0</v>
      </c>
      <c r="S683" s="139">
        <f>(Inschrijf_Bouwplaats_Totaal[[#This Row],[Draaiuren Bouw Asfalt]]+Inschrijf_Bouwplaats_Totaal[[#This Row],[Draaiuren Bouw Overig]]+Inschrijf_Bouwplaats_Totaal[[#This Row],[Draaiuren Verwijder Asfalt]]+Inschrijf_Bouwplaats_Totaal[[#This Row],[Draaiuren Verwijder Overig]]+Inschrijf_Bouwplaats_Totaal[[#This Row],[Draaiuren Bouw Asfalt Vervangingen]]+Inschrijf_Bouwplaats_Totaal[[#This Row],[Draaiuren Bouw Overig Vervangingen]]+Inschrijf_Bouwplaats_Totaal[[#This Row],[Draaiuren Verwijder Asfalt Vervangingen]]+Inschrijf_Bouwplaats_Totaal[[#This Row],[Draaiuren Verwijder Overig Vervangingen]])-Inschrijf_Bouwplaats_Totaal[[#This Row],[Totaal Emissieloos Bouwplaats]]</f>
        <v>0</v>
      </c>
      <c r="T683" s="139">
        <f>Inschrijf_Bouwplaats_Totaal[[#This Row],[Totaal Emissieloos Bouwplaats]]+Inschrijf_Bouwplaats_Totaal[[#This Row],[Totaal Niet Emissieloos Bouwplaats]]</f>
        <v>0</v>
      </c>
      <c r="U683" s="335"/>
    </row>
    <row r="684" spans="2:21">
      <c r="B684" s="209">
        <f>Optimalisatie!B56</f>
        <v>0</v>
      </c>
      <c r="C684" s="51">
        <f>Optimalisatie!F56</f>
        <v>0</v>
      </c>
      <c r="D684" s="134">
        <f>_xlfn.IFNA(IF(Optimalisatie!C56="Nieuwe situatie",(Optimalisatie!R56/(VLOOKUP(Optimalisatie!W56,Database_Asfalt_Aanlegset[#All],60,FALSE)/8)),0),0)</f>
        <v>0</v>
      </c>
      <c r="E684" s="135">
        <f>IFERROR(IF(Optimalisatie!C56="Nieuwe situatie",Optimalisatie!J56/Optimalisatie!Z56,0),0)</f>
        <v>0</v>
      </c>
      <c r="F684" s="135">
        <f>_xlfn.IFNA(IF(Optimalisatie!C56="Bestaande situatie",Optimalisatie!R56/(VLOOKUP(Optimalisatie!AA56,Database_Asfalt_Verwijderset[#All],60,FALSE)/8),0),0)</f>
        <v>0</v>
      </c>
      <c r="G684" s="138">
        <f>IFERROR(IF(Optimalisatie!C56="Bestaande situatie",Optimalisatie!J56/Optimalisatie!AD56,0),0)</f>
        <v>0</v>
      </c>
      <c r="H684" s="94" t="str">
        <f>_xlfn.IFNA((VLOOKUP(Optimalisatie!W56,Database_Asfalt_Aanlegset[],61,FALSE)),"Nee")</f>
        <v>Nee</v>
      </c>
      <c r="I684" s="94" t="str">
        <f>_xlfn.IFNA((VLOOKUP(Optimalisatie!X56,Database_Brandstoffen[],60,FALSE)),"Nee")</f>
        <v>Nee</v>
      </c>
      <c r="J684" s="94" t="str">
        <f>_xlfn.IFNA((VLOOKUP(Optimalisatie!AA56,Database_Asfalt_Verwijderset[],61,FALSE)),"Nee")</f>
        <v>Nee</v>
      </c>
      <c r="K684" s="120" t="str">
        <f>_xlfn.IFNA((VLOOKUP(Optimalisatie!AB56,Database_Brandstoffen[],60,FALSE)),"Nee")</f>
        <v>Nee</v>
      </c>
      <c r="L684" s="132">
        <f>IF(Inschrijf_Bouwplaats_Totaal[[#This Row],[Emissieloos Asfalt Aanlegset]]="JA",Inschrijf_Bouwplaats_Totaal[[#This Row],[Draaiuren Bouw Asfalt]],0)+IF(Inschrijf_Bouwplaats_Totaal[[#This Row],[Emissieloos Bouwmaterieel]]="JA",Inschrijf_Bouwplaats_Totaal[[#This Row],[Draaiuren Bouw Overig]],0)+IF(Inschrijf_Bouwplaats_Totaal[[#This Row],[Emissieloos Asfalt Verwijderset]]="JA",Inschrijf_Bouwplaats_Totaal[[#This Row],[Draaiuren Verwijder Asfalt]],0)+IF(Inschrijf_Bouwplaats_Totaal[[#This Row],[Emissieloos Sloopmaterieel]]="JA",Inschrijf_Bouwplaats_Totaal[[#This Row],[Draaiuren Verwijder Overig]],0)</f>
        <v>0</v>
      </c>
      <c r="M684" s="139">
        <f>_xlfn.IFNA(IF(Optimalisatie!C56="Nieuwe situatie",(Optimalisatie!R56/(VLOOKUP(Optimalisatie!W56,Database_Asfalt_Aanlegset[#All],60,FALSE)/8)),0),0)*Optimalisatie!T56</f>
        <v>0</v>
      </c>
      <c r="N684" s="139">
        <f>_xlfn.IFNA(IF(Optimalisatie!C56="Nieuwe situatie",Optimalisatie!S56/VLOOKUP(Optimalisatie!X56,Database_Overig_Materieel[#All],8,FALSE),0),0)*Optimalisatie!T56</f>
        <v>0</v>
      </c>
      <c r="O684" s="139">
        <f>_xlfn.IFNA(IF(Optimalisatie!C56="Bestaande situatie",Optimalisatie!R56/(VLOOKUP(Optimalisatie!AA56,Database_Asfalt_Verwijderset[#All],60,FALSE)/8),0),0)*Optimalisatie!T56</f>
        <v>0</v>
      </c>
      <c r="P684" s="139">
        <f>_xlfn.IFNA(IF(Optimalisatie!C56="Bestaande situatie",Optimalisatie!S56/VLOOKUP(Optimalisatie!AB56,Database_Overig_Materieel[#All],8,FALSE),0),0)*Optimalisatie!T56</f>
        <v>0</v>
      </c>
      <c r="Q684" s="139">
        <f>IF(Inschrijf_Bouwplaats_Totaal[[#This Row],[Emissieloos Asfalt Aanlegset]]="JA",Inschrijf_Bouwplaats_Totaal[[#This Row],[Draaiuren Bouw Asfalt Vervangingen]],0)+IF(Inschrijf_Bouwplaats_Totaal[[#This Row],[Emissieloos Bouwmaterieel]]="JA",Inschrijf_Bouwplaats_Totaal[[#This Row],[Draaiuren Bouw Overig Vervangingen]],0)+IF(Inschrijf_Bouwplaats_Totaal[[#This Row],[Emissieloos Asfalt Verwijderset]]="JA",Inschrijf_Bouwplaats_Totaal[[#This Row],[Draaiuren Verwijder Asfalt Vervangingen]],0)+IF(Inschrijf_Bouwplaats_Totaal[[#This Row],[Emissieloos Sloopmaterieel]]="JA",Inschrijf_Bouwplaats_Totaal[[#This Row],[Draaiuren Verwijder Overig Vervangingen]],0)</f>
        <v>0</v>
      </c>
      <c r="R684" s="139">
        <f>Inschrijf_Bouwplaats_Totaal[[#This Row],[Emissieloos bouwplaats]]+Inschrijf_Bouwplaats_Totaal[[#This Row],[Emissieloos bouwplaats Vervangingen]]</f>
        <v>0</v>
      </c>
      <c r="S684" s="139">
        <f>(Inschrijf_Bouwplaats_Totaal[[#This Row],[Draaiuren Bouw Asfalt]]+Inschrijf_Bouwplaats_Totaal[[#This Row],[Draaiuren Bouw Overig]]+Inschrijf_Bouwplaats_Totaal[[#This Row],[Draaiuren Verwijder Asfalt]]+Inschrijf_Bouwplaats_Totaal[[#This Row],[Draaiuren Verwijder Overig]]+Inschrijf_Bouwplaats_Totaal[[#This Row],[Draaiuren Bouw Asfalt Vervangingen]]+Inschrijf_Bouwplaats_Totaal[[#This Row],[Draaiuren Bouw Overig Vervangingen]]+Inschrijf_Bouwplaats_Totaal[[#This Row],[Draaiuren Verwijder Asfalt Vervangingen]]+Inschrijf_Bouwplaats_Totaal[[#This Row],[Draaiuren Verwijder Overig Vervangingen]])-Inschrijf_Bouwplaats_Totaal[[#This Row],[Totaal Emissieloos Bouwplaats]]</f>
        <v>0</v>
      </c>
      <c r="T684" s="139">
        <f>Inschrijf_Bouwplaats_Totaal[[#This Row],[Totaal Emissieloos Bouwplaats]]+Inschrijf_Bouwplaats_Totaal[[#This Row],[Totaal Niet Emissieloos Bouwplaats]]</f>
        <v>0</v>
      </c>
      <c r="U684" s="335"/>
    </row>
    <row r="685" spans="2:21">
      <c r="B685" s="209">
        <f>Optimalisatie!B57</f>
        <v>0</v>
      </c>
      <c r="C685" s="51">
        <f>Optimalisatie!F57</f>
        <v>0</v>
      </c>
      <c r="D685" s="134">
        <f>_xlfn.IFNA(IF(Optimalisatie!C57="Nieuwe situatie",(Optimalisatie!R57/(VLOOKUP(Optimalisatie!W57,Database_Asfalt_Aanlegset[#All],60,FALSE)/8)),0),0)</f>
        <v>0</v>
      </c>
      <c r="E685" s="135">
        <f>IFERROR(IF(Optimalisatie!C57="Nieuwe situatie",Optimalisatie!J57/Optimalisatie!Z57,0),0)</f>
        <v>0</v>
      </c>
      <c r="F685" s="135">
        <f>_xlfn.IFNA(IF(Optimalisatie!C57="Bestaande situatie",Optimalisatie!R57/(VLOOKUP(Optimalisatie!AA57,Database_Asfalt_Verwijderset[#All],60,FALSE)/8),0),0)</f>
        <v>0</v>
      </c>
      <c r="G685" s="138">
        <f>IFERROR(IF(Optimalisatie!C57="Bestaande situatie",Optimalisatie!J57/Optimalisatie!AD57,0),0)</f>
        <v>0</v>
      </c>
      <c r="H685" s="94" t="str">
        <f>_xlfn.IFNA((VLOOKUP(Optimalisatie!W57,Database_Asfalt_Aanlegset[],61,FALSE)),"Nee")</f>
        <v>Nee</v>
      </c>
      <c r="I685" s="94" t="str">
        <f>_xlfn.IFNA((VLOOKUP(Optimalisatie!X57,Database_Brandstoffen[],60,FALSE)),"Nee")</f>
        <v>Nee</v>
      </c>
      <c r="J685" s="94" t="str">
        <f>_xlfn.IFNA((VLOOKUP(Optimalisatie!AA57,Database_Asfalt_Verwijderset[],61,FALSE)),"Nee")</f>
        <v>Nee</v>
      </c>
      <c r="K685" s="120" t="str">
        <f>_xlfn.IFNA((VLOOKUP(Optimalisatie!AB57,Database_Brandstoffen[],60,FALSE)),"Nee")</f>
        <v>Nee</v>
      </c>
      <c r="L685" s="132">
        <f>IF(Inschrijf_Bouwplaats_Totaal[[#This Row],[Emissieloos Asfalt Aanlegset]]="JA",Inschrijf_Bouwplaats_Totaal[[#This Row],[Draaiuren Bouw Asfalt]],0)+IF(Inschrijf_Bouwplaats_Totaal[[#This Row],[Emissieloos Bouwmaterieel]]="JA",Inschrijf_Bouwplaats_Totaal[[#This Row],[Draaiuren Bouw Overig]],0)+IF(Inschrijf_Bouwplaats_Totaal[[#This Row],[Emissieloos Asfalt Verwijderset]]="JA",Inschrijf_Bouwplaats_Totaal[[#This Row],[Draaiuren Verwijder Asfalt]],0)+IF(Inschrijf_Bouwplaats_Totaal[[#This Row],[Emissieloos Sloopmaterieel]]="JA",Inschrijf_Bouwplaats_Totaal[[#This Row],[Draaiuren Verwijder Overig]],0)</f>
        <v>0</v>
      </c>
      <c r="M685" s="139">
        <f>_xlfn.IFNA(IF(Optimalisatie!C57="Nieuwe situatie",(Optimalisatie!R57/(VLOOKUP(Optimalisatie!W57,Database_Asfalt_Aanlegset[#All],60,FALSE)/8)),0),0)*Optimalisatie!T57</f>
        <v>0</v>
      </c>
      <c r="N685" s="139">
        <f>_xlfn.IFNA(IF(Optimalisatie!C57="Nieuwe situatie",Optimalisatie!S57/VLOOKUP(Optimalisatie!X57,Database_Overig_Materieel[#All],8,FALSE),0),0)*Optimalisatie!T57</f>
        <v>0</v>
      </c>
      <c r="O685" s="139">
        <f>_xlfn.IFNA(IF(Optimalisatie!C57="Bestaande situatie",Optimalisatie!R57/(VLOOKUP(Optimalisatie!AA57,Database_Asfalt_Verwijderset[#All],60,FALSE)/8),0),0)*Optimalisatie!T57</f>
        <v>0</v>
      </c>
      <c r="P685" s="139">
        <f>_xlfn.IFNA(IF(Optimalisatie!C57="Bestaande situatie",Optimalisatie!S57/VLOOKUP(Optimalisatie!AB57,Database_Overig_Materieel[#All],8,FALSE),0),0)*Optimalisatie!T57</f>
        <v>0</v>
      </c>
      <c r="Q685" s="139">
        <f>IF(Inschrijf_Bouwplaats_Totaal[[#This Row],[Emissieloos Asfalt Aanlegset]]="JA",Inschrijf_Bouwplaats_Totaal[[#This Row],[Draaiuren Bouw Asfalt Vervangingen]],0)+IF(Inschrijf_Bouwplaats_Totaal[[#This Row],[Emissieloos Bouwmaterieel]]="JA",Inschrijf_Bouwplaats_Totaal[[#This Row],[Draaiuren Bouw Overig Vervangingen]],0)+IF(Inschrijf_Bouwplaats_Totaal[[#This Row],[Emissieloos Asfalt Verwijderset]]="JA",Inschrijf_Bouwplaats_Totaal[[#This Row],[Draaiuren Verwijder Asfalt Vervangingen]],0)+IF(Inschrijf_Bouwplaats_Totaal[[#This Row],[Emissieloos Sloopmaterieel]]="JA",Inschrijf_Bouwplaats_Totaal[[#This Row],[Draaiuren Verwijder Overig Vervangingen]],0)</f>
        <v>0</v>
      </c>
      <c r="R685" s="139">
        <f>Inschrijf_Bouwplaats_Totaal[[#This Row],[Emissieloos bouwplaats]]+Inschrijf_Bouwplaats_Totaal[[#This Row],[Emissieloos bouwplaats Vervangingen]]</f>
        <v>0</v>
      </c>
      <c r="S685" s="139">
        <f>(Inschrijf_Bouwplaats_Totaal[[#This Row],[Draaiuren Bouw Asfalt]]+Inschrijf_Bouwplaats_Totaal[[#This Row],[Draaiuren Bouw Overig]]+Inschrijf_Bouwplaats_Totaal[[#This Row],[Draaiuren Verwijder Asfalt]]+Inschrijf_Bouwplaats_Totaal[[#This Row],[Draaiuren Verwijder Overig]]+Inschrijf_Bouwplaats_Totaal[[#This Row],[Draaiuren Bouw Asfalt Vervangingen]]+Inschrijf_Bouwplaats_Totaal[[#This Row],[Draaiuren Bouw Overig Vervangingen]]+Inschrijf_Bouwplaats_Totaal[[#This Row],[Draaiuren Verwijder Asfalt Vervangingen]]+Inschrijf_Bouwplaats_Totaal[[#This Row],[Draaiuren Verwijder Overig Vervangingen]])-Inschrijf_Bouwplaats_Totaal[[#This Row],[Totaal Emissieloos Bouwplaats]]</f>
        <v>0</v>
      </c>
      <c r="T685" s="139">
        <f>Inschrijf_Bouwplaats_Totaal[[#This Row],[Totaal Emissieloos Bouwplaats]]+Inschrijf_Bouwplaats_Totaal[[#This Row],[Totaal Niet Emissieloos Bouwplaats]]</f>
        <v>0</v>
      </c>
      <c r="U685" s="335"/>
    </row>
    <row r="686" spans="2:21">
      <c r="B686" s="209">
        <f>Optimalisatie!B58</f>
        <v>0</v>
      </c>
      <c r="C686" s="51">
        <f>Optimalisatie!F58</f>
        <v>0</v>
      </c>
      <c r="D686" s="134">
        <f>_xlfn.IFNA(IF(Optimalisatie!C58="Nieuwe situatie",(Optimalisatie!R58/(VLOOKUP(Optimalisatie!W58,Database_Asfalt_Aanlegset[#All],60,FALSE)/8)),0),0)</f>
        <v>0</v>
      </c>
      <c r="E686" s="135">
        <f>IFERROR(IF(Optimalisatie!C58="Nieuwe situatie",Optimalisatie!J58/Optimalisatie!Z58,0),0)</f>
        <v>0</v>
      </c>
      <c r="F686" s="135">
        <f>_xlfn.IFNA(IF(Optimalisatie!C58="Bestaande situatie",Optimalisatie!R58/(VLOOKUP(Optimalisatie!AA58,Database_Asfalt_Verwijderset[#All],60,FALSE)/8),0),0)</f>
        <v>0</v>
      </c>
      <c r="G686" s="138">
        <f>IFERROR(IF(Optimalisatie!C58="Bestaande situatie",Optimalisatie!J58/Optimalisatie!AD58,0),0)</f>
        <v>0</v>
      </c>
      <c r="H686" s="94" t="str">
        <f>_xlfn.IFNA((VLOOKUP(Optimalisatie!W58,Database_Asfalt_Aanlegset[],61,FALSE)),"Nee")</f>
        <v>Nee</v>
      </c>
      <c r="I686" s="94" t="str">
        <f>_xlfn.IFNA((VLOOKUP(Optimalisatie!X58,Database_Brandstoffen[],60,FALSE)),"Nee")</f>
        <v>Nee</v>
      </c>
      <c r="J686" s="94" t="str">
        <f>_xlfn.IFNA((VLOOKUP(Optimalisatie!AA58,Database_Asfalt_Verwijderset[],61,FALSE)),"Nee")</f>
        <v>Nee</v>
      </c>
      <c r="K686" s="120" t="str">
        <f>_xlfn.IFNA((VLOOKUP(Optimalisatie!AB58,Database_Brandstoffen[],60,FALSE)),"Nee")</f>
        <v>Nee</v>
      </c>
      <c r="L686" s="132">
        <f>IF(Inschrijf_Bouwplaats_Totaal[[#This Row],[Emissieloos Asfalt Aanlegset]]="JA",Inschrijf_Bouwplaats_Totaal[[#This Row],[Draaiuren Bouw Asfalt]],0)+IF(Inschrijf_Bouwplaats_Totaal[[#This Row],[Emissieloos Bouwmaterieel]]="JA",Inschrijf_Bouwplaats_Totaal[[#This Row],[Draaiuren Bouw Overig]],0)+IF(Inschrijf_Bouwplaats_Totaal[[#This Row],[Emissieloos Asfalt Verwijderset]]="JA",Inschrijf_Bouwplaats_Totaal[[#This Row],[Draaiuren Verwijder Asfalt]],0)+IF(Inschrijf_Bouwplaats_Totaal[[#This Row],[Emissieloos Sloopmaterieel]]="JA",Inschrijf_Bouwplaats_Totaal[[#This Row],[Draaiuren Verwijder Overig]],0)</f>
        <v>0</v>
      </c>
      <c r="M686" s="139">
        <f>_xlfn.IFNA(IF(Optimalisatie!C58="Nieuwe situatie",(Optimalisatie!R58/(VLOOKUP(Optimalisatie!W58,Database_Asfalt_Aanlegset[#All],60,FALSE)/8)),0),0)*Optimalisatie!T58</f>
        <v>0</v>
      </c>
      <c r="N686" s="139">
        <f>_xlfn.IFNA(IF(Optimalisatie!C58="Nieuwe situatie",Optimalisatie!S58/VLOOKUP(Optimalisatie!X58,Database_Overig_Materieel[#All],8,FALSE),0),0)*Optimalisatie!T58</f>
        <v>0</v>
      </c>
      <c r="O686" s="139">
        <f>_xlfn.IFNA(IF(Optimalisatie!C58="Bestaande situatie",Optimalisatie!R58/(VLOOKUP(Optimalisatie!AA58,Database_Asfalt_Verwijderset[#All],60,FALSE)/8),0),0)*Optimalisatie!T58</f>
        <v>0</v>
      </c>
      <c r="P686" s="139">
        <f>_xlfn.IFNA(IF(Optimalisatie!C58="Bestaande situatie",Optimalisatie!S58/VLOOKUP(Optimalisatie!AB58,Database_Overig_Materieel[#All],8,FALSE),0),0)*Optimalisatie!T58</f>
        <v>0</v>
      </c>
      <c r="Q686" s="139">
        <f>IF(Inschrijf_Bouwplaats_Totaal[[#This Row],[Emissieloos Asfalt Aanlegset]]="JA",Inschrijf_Bouwplaats_Totaal[[#This Row],[Draaiuren Bouw Asfalt Vervangingen]],0)+IF(Inschrijf_Bouwplaats_Totaal[[#This Row],[Emissieloos Bouwmaterieel]]="JA",Inschrijf_Bouwplaats_Totaal[[#This Row],[Draaiuren Bouw Overig Vervangingen]],0)+IF(Inschrijf_Bouwplaats_Totaal[[#This Row],[Emissieloos Asfalt Verwijderset]]="JA",Inschrijf_Bouwplaats_Totaal[[#This Row],[Draaiuren Verwijder Asfalt Vervangingen]],0)+IF(Inschrijf_Bouwplaats_Totaal[[#This Row],[Emissieloos Sloopmaterieel]]="JA",Inschrijf_Bouwplaats_Totaal[[#This Row],[Draaiuren Verwijder Overig Vervangingen]],0)</f>
        <v>0</v>
      </c>
      <c r="R686" s="139">
        <f>Inschrijf_Bouwplaats_Totaal[[#This Row],[Emissieloos bouwplaats]]+Inschrijf_Bouwplaats_Totaal[[#This Row],[Emissieloos bouwplaats Vervangingen]]</f>
        <v>0</v>
      </c>
      <c r="S686" s="139">
        <f>(Inschrijf_Bouwplaats_Totaal[[#This Row],[Draaiuren Bouw Asfalt]]+Inschrijf_Bouwplaats_Totaal[[#This Row],[Draaiuren Bouw Overig]]+Inschrijf_Bouwplaats_Totaal[[#This Row],[Draaiuren Verwijder Asfalt]]+Inschrijf_Bouwplaats_Totaal[[#This Row],[Draaiuren Verwijder Overig]]+Inschrijf_Bouwplaats_Totaal[[#This Row],[Draaiuren Bouw Asfalt Vervangingen]]+Inschrijf_Bouwplaats_Totaal[[#This Row],[Draaiuren Bouw Overig Vervangingen]]+Inschrijf_Bouwplaats_Totaal[[#This Row],[Draaiuren Verwijder Asfalt Vervangingen]]+Inschrijf_Bouwplaats_Totaal[[#This Row],[Draaiuren Verwijder Overig Vervangingen]])-Inschrijf_Bouwplaats_Totaal[[#This Row],[Totaal Emissieloos Bouwplaats]]</f>
        <v>0</v>
      </c>
      <c r="T686" s="139">
        <f>Inschrijf_Bouwplaats_Totaal[[#This Row],[Totaal Emissieloos Bouwplaats]]+Inschrijf_Bouwplaats_Totaal[[#This Row],[Totaal Niet Emissieloos Bouwplaats]]</f>
        <v>0</v>
      </c>
      <c r="U686" s="335"/>
    </row>
    <row r="687" spans="2:21">
      <c r="B687" s="209">
        <f>Optimalisatie!B59</f>
        <v>0</v>
      </c>
      <c r="C687" s="51">
        <f>Optimalisatie!F59</f>
        <v>0</v>
      </c>
      <c r="D687" s="134">
        <f>_xlfn.IFNA(IF(Optimalisatie!C59="Nieuwe situatie",(Optimalisatie!R59/(VLOOKUP(Optimalisatie!W59,Database_Asfalt_Aanlegset[#All],60,FALSE)/8)),0),0)</f>
        <v>0</v>
      </c>
      <c r="E687" s="135">
        <f>IFERROR(IF(Optimalisatie!C59="Nieuwe situatie",Optimalisatie!J59/Optimalisatie!Z59,0),0)</f>
        <v>0</v>
      </c>
      <c r="F687" s="135">
        <f>_xlfn.IFNA(IF(Optimalisatie!C59="Bestaande situatie",Optimalisatie!R59/(VLOOKUP(Optimalisatie!AA59,Database_Asfalt_Verwijderset[#All],60,FALSE)/8),0),0)</f>
        <v>0</v>
      </c>
      <c r="G687" s="138">
        <f>IFERROR(IF(Optimalisatie!C59="Bestaande situatie",Optimalisatie!J59/Optimalisatie!AD59,0),0)</f>
        <v>0</v>
      </c>
      <c r="H687" s="94" t="str">
        <f>_xlfn.IFNA((VLOOKUP(Optimalisatie!W59,Database_Asfalt_Aanlegset[],61,FALSE)),"Nee")</f>
        <v>Nee</v>
      </c>
      <c r="I687" s="94" t="str">
        <f>_xlfn.IFNA((VLOOKUP(Optimalisatie!X59,Database_Brandstoffen[],60,FALSE)),"Nee")</f>
        <v>Nee</v>
      </c>
      <c r="J687" s="94" t="str">
        <f>_xlfn.IFNA((VLOOKUP(Optimalisatie!AA59,Database_Asfalt_Verwijderset[],61,FALSE)),"Nee")</f>
        <v>Nee</v>
      </c>
      <c r="K687" s="120" t="str">
        <f>_xlfn.IFNA((VLOOKUP(Optimalisatie!AB59,Database_Brandstoffen[],60,FALSE)),"Nee")</f>
        <v>Nee</v>
      </c>
      <c r="L687" s="132">
        <f>IF(Inschrijf_Bouwplaats_Totaal[[#This Row],[Emissieloos Asfalt Aanlegset]]="JA",Inschrijf_Bouwplaats_Totaal[[#This Row],[Draaiuren Bouw Asfalt]],0)+IF(Inschrijf_Bouwplaats_Totaal[[#This Row],[Emissieloos Bouwmaterieel]]="JA",Inschrijf_Bouwplaats_Totaal[[#This Row],[Draaiuren Bouw Overig]],0)+IF(Inschrijf_Bouwplaats_Totaal[[#This Row],[Emissieloos Asfalt Verwijderset]]="JA",Inschrijf_Bouwplaats_Totaal[[#This Row],[Draaiuren Verwijder Asfalt]],0)+IF(Inschrijf_Bouwplaats_Totaal[[#This Row],[Emissieloos Sloopmaterieel]]="JA",Inschrijf_Bouwplaats_Totaal[[#This Row],[Draaiuren Verwijder Overig]],0)</f>
        <v>0</v>
      </c>
      <c r="M687" s="139">
        <f>_xlfn.IFNA(IF(Optimalisatie!C59="Nieuwe situatie",(Optimalisatie!R59/(VLOOKUP(Optimalisatie!W59,Database_Asfalt_Aanlegset[#All],60,FALSE)/8)),0),0)*Optimalisatie!T59</f>
        <v>0</v>
      </c>
      <c r="N687" s="139">
        <f>_xlfn.IFNA(IF(Optimalisatie!C59="Nieuwe situatie",Optimalisatie!S59/VLOOKUP(Optimalisatie!X59,Database_Overig_Materieel[#All],8,FALSE),0),0)*Optimalisatie!T59</f>
        <v>0</v>
      </c>
      <c r="O687" s="139">
        <f>_xlfn.IFNA(IF(Optimalisatie!C59="Bestaande situatie",Optimalisatie!R59/(VLOOKUP(Optimalisatie!AA59,Database_Asfalt_Verwijderset[#All],60,FALSE)/8),0),0)*Optimalisatie!T59</f>
        <v>0</v>
      </c>
      <c r="P687" s="139">
        <f>_xlfn.IFNA(IF(Optimalisatie!C59="Bestaande situatie",Optimalisatie!S59/VLOOKUP(Optimalisatie!AB59,Database_Overig_Materieel[#All],8,FALSE),0),0)*Optimalisatie!T59</f>
        <v>0</v>
      </c>
      <c r="Q687" s="139">
        <f>IF(Inschrijf_Bouwplaats_Totaal[[#This Row],[Emissieloos Asfalt Aanlegset]]="JA",Inschrijf_Bouwplaats_Totaal[[#This Row],[Draaiuren Bouw Asfalt Vervangingen]],0)+IF(Inschrijf_Bouwplaats_Totaal[[#This Row],[Emissieloos Bouwmaterieel]]="JA",Inschrijf_Bouwplaats_Totaal[[#This Row],[Draaiuren Bouw Overig Vervangingen]],0)+IF(Inschrijf_Bouwplaats_Totaal[[#This Row],[Emissieloos Asfalt Verwijderset]]="JA",Inschrijf_Bouwplaats_Totaal[[#This Row],[Draaiuren Verwijder Asfalt Vervangingen]],0)+IF(Inschrijf_Bouwplaats_Totaal[[#This Row],[Emissieloos Sloopmaterieel]]="JA",Inschrijf_Bouwplaats_Totaal[[#This Row],[Draaiuren Verwijder Overig Vervangingen]],0)</f>
        <v>0</v>
      </c>
      <c r="R687" s="139">
        <f>Inschrijf_Bouwplaats_Totaal[[#This Row],[Emissieloos bouwplaats]]+Inschrijf_Bouwplaats_Totaal[[#This Row],[Emissieloos bouwplaats Vervangingen]]</f>
        <v>0</v>
      </c>
      <c r="S687" s="139">
        <f>(Inschrijf_Bouwplaats_Totaal[[#This Row],[Draaiuren Bouw Asfalt]]+Inschrijf_Bouwplaats_Totaal[[#This Row],[Draaiuren Bouw Overig]]+Inschrijf_Bouwplaats_Totaal[[#This Row],[Draaiuren Verwijder Asfalt]]+Inschrijf_Bouwplaats_Totaal[[#This Row],[Draaiuren Verwijder Overig]]+Inschrijf_Bouwplaats_Totaal[[#This Row],[Draaiuren Bouw Asfalt Vervangingen]]+Inschrijf_Bouwplaats_Totaal[[#This Row],[Draaiuren Bouw Overig Vervangingen]]+Inschrijf_Bouwplaats_Totaal[[#This Row],[Draaiuren Verwijder Asfalt Vervangingen]]+Inschrijf_Bouwplaats_Totaal[[#This Row],[Draaiuren Verwijder Overig Vervangingen]])-Inschrijf_Bouwplaats_Totaal[[#This Row],[Totaal Emissieloos Bouwplaats]]</f>
        <v>0</v>
      </c>
      <c r="T687" s="139">
        <f>Inschrijf_Bouwplaats_Totaal[[#This Row],[Totaal Emissieloos Bouwplaats]]+Inschrijf_Bouwplaats_Totaal[[#This Row],[Totaal Niet Emissieloos Bouwplaats]]</f>
        <v>0</v>
      </c>
      <c r="U687" s="335"/>
    </row>
    <row r="688" spans="2:21">
      <c r="B688" s="209">
        <f>Optimalisatie!B60</f>
        <v>0</v>
      </c>
      <c r="C688" s="51">
        <f>Optimalisatie!F60</f>
        <v>0</v>
      </c>
      <c r="D688" s="134">
        <f>_xlfn.IFNA(IF(Optimalisatie!C60="Nieuwe situatie",(Optimalisatie!R60/(VLOOKUP(Optimalisatie!W60,Database_Asfalt_Aanlegset[#All],60,FALSE)/8)),0),0)</f>
        <v>0</v>
      </c>
      <c r="E688" s="135">
        <f>IFERROR(IF(Optimalisatie!C60="Nieuwe situatie",Optimalisatie!J60/Optimalisatie!Z60,0),0)</f>
        <v>0</v>
      </c>
      <c r="F688" s="135">
        <f>_xlfn.IFNA(IF(Optimalisatie!C60="Bestaande situatie",Optimalisatie!R60/(VLOOKUP(Optimalisatie!AA60,Database_Asfalt_Verwijderset[#All],60,FALSE)/8),0),0)</f>
        <v>0</v>
      </c>
      <c r="G688" s="138">
        <f>IFERROR(IF(Optimalisatie!C60="Bestaande situatie",Optimalisatie!J60/Optimalisatie!AD60,0),0)</f>
        <v>0</v>
      </c>
      <c r="H688" s="94" t="str">
        <f>_xlfn.IFNA((VLOOKUP(Optimalisatie!W60,Database_Asfalt_Aanlegset[],61,FALSE)),"Nee")</f>
        <v>Nee</v>
      </c>
      <c r="I688" s="94" t="str">
        <f>_xlfn.IFNA((VLOOKUP(Optimalisatie!X60,Database_Brandstoffen[],60,FALSE)),"Nee")</f>
        <v>Nee</v>
      </c>
      <c r="J688" s="94" t="str">
        <f>_xlfn.IFNA((VLOOKUP(Optimalisatie!AA60,Database_Asfalt_Verwijderset[],61,FALSE)),"Nee")</f>
        <v>Nee</v>
      </c>
      <c r="K688" s="120" t="str">
        <f>_xlfn.IFNA((VLOOKUP(Optimalisatie!AB60,Database_Brandstoffen[],60,FALSE)),"Nee")</f>
        <v>Nee</v>
      </c>
      <c r="L688" s="132">
        <f>IF(Inschrijf_Bouwplaats_Totaal[[#This Row],[Emissieloos Asfalt Aanlegset]]="JA",Inschrijf_Bouwplaats_Totaal[[#This Row],[Draaiuren Bouw Asfalt]],0)+IF(Inschrijf_Bouwplaats_Totaal[[#This Row],[Emissieloos Bouwmaterieel]]="JA",Inschrijf_Bouwplaats_Totaal[[#This Row],[Draaiuren Bouw Overig]],0)+IF(Inschrijf_Bouwplaats_Totaal[[#This Row],[Emissieloos Asfalt Verwijderset]]="JA",Inschrijf_Bouwplaats_Totaal[[#This Row],[Draaiuren Verwijder Asfalt]],0)+IF(Inschrijf_Bouwplaats_Totaal[[#This Row],[Emissieloos Sloopmaterieel]]="JA",Inschrijf_Bouwplaats_Totaal[[#This Row],[Draaiuren Verwijder Overig]],0)</f>
        <v>0</v>
      </c>
      <c r="M688" s="139">
        <f>_xlfn.IFNA(IF(Optimalisatie!C60="Nieuwe situatie",(Optimalisatie!R60/(VLOOKUP(Optimalisatie!W60,Database_Asfalt_Aanlegset[#All],60,FALSE)/8)),0),0)*Optimalisatie!T60</f>
        <v>0</v>
      </c>
      <c r="N688" s="139">
        <f>_xlfn.IFNA(IF(Optimalisatie!C60="Nieuwe situatie",Optimalisatie!S60/VLOOKUP(Optimalisatie!X60,Database_Overig_Materieel[#All],8,FALSE),0),0)*Optimalisatie!T60</f>
        <v>0</v>
      </c>
      <c r="O688" s="139">
        <f>_xlfn.IFNA(IF(Optimalisatie!C60="Bestaande situatie",Optimalisatie!R60/(VLOOKUP(Optimalisatie!AA60,Database_Asfalt_Verwijderset[#All],60,FALSE)/8),0),0)*Optimalisatie!T60</f>
        <v>0</v>
      </c>
      <c r="P688" s="139">
        <f>_xlfn.IFNA(IF(Optimalisatie!C60="Bestaande situatie",Optimalisatie!S60/VLOOKUP(Optimalisatie!AB60,Database_Overig_Materieel[#All],8,FALSE),0),0)*Optimalisatie!T60</f>
        <v>0</v>
      </c>
      <c r="Q688" s="139">
        <f>IF(Inschrijf_Bouwplaats_Totaal[[#This Row],[Emissieloos Asfalt Aanlegset]]="JA",Inschrijf_Bouwplaats_Totaal[[#This Row],[Draaiuren Bouw Asfalt Vervangingen]],0)+IF(Inschrijf_Bouwplaats_Totaal[[#This Row],[Emissieloos Bouwmaterieel]]="JA",Inschrijf_Bouwplaats_Totaal[[#This Row],[Draaiuren Bouw Overig Vervangingen]],0)+IF(Inschrijf_Bouwplaats_Totaal[[#This Row],[Emissieloos Asfalt Verwijderset]]="JA",Inschrijf_Bouwplaats_Totaal[[#This Row],[Draaiuren Verwijder Asfalt Vervangingen]],0)+IF(Inschrijf_Bouwplaats_Totaal[[#This Row],[Emissieloos Sloopmaterieel]]="JA",Inschrijf_Bouwplaats_Totaal[[#This Row],[Draaiuren Verwijder Overig Vervangingen]],0)</f>
        <v>0</v>
      </c>
      <c r="R688" s="139">
        <f>Inschrijf_Bouwplaats_Totaal[[#This Row],[Emissieloos bouwplaats]]+Inschrijf_Bouwplaats_Totaal[[#This Row],[Emissieloos bouwplaats Vervangingen]]</f>
        <v>0</v>
      </c>
      <c r="S688" s="139">
        <f>(Inschrijf_Bouwplaats_Totaal[[#This Row],[Draaiuren Bouw Asfalt]]+Inschrijf_Bouwplaats_Totaal[[#This Row],[Draaiuren Bouw Overig]]+Inschrijf_Bouwplaats_Totaal[[#This Row],[Draaiuren Verwijder Asfalt]]+Inschrijf_Bouwplaats_Totaal[[#This Row],[Draaiuren Verwijder Overig]]+Inschrijf_Bouwplaats_Totaal[[#This Row],[Draaiuren Bouw Asfalt Vervangingen]]+Inschrijf_Bouwplaats_Totaal[[#This Row],[Draaiuren Bouw Overig Vervangingen]]+Inschrijf_Bouwplaats_Totaal[[#This Row],[Draaiuren Verwijder Asfalt Vervangingen]]+Inschrijf_Bouwplaats_Totaal[[#This Row],[Draaiuren Verwijder Overig Vervangingen]])-Inschrijf_Bouwplaats_Totaal[[#This Row],[Totaal Emissieloos Bouwplaats]]</f>
        <v>0</v>
      </c>
      <c r="T688" s="139">
        <f>Inschrijf_Bouwplaats_Totaal[[#This Row],[Totaal Emissieloos Bouwplaats]]+Inschrijf_Bouwplaats_Totaal[[#This Row],[Totaal Niet Emissieloos Bouwplaats]]</f>
        <v>0</v>
      </c>
      <c r="U688" s="335"/>
    </row>
    <row r="689" spans="2:21">
      <c r="B689" s="209">
        <f>Optimalisatie!B61</f>
        <v>0</v>
      </c>
      <c r="C689" s="51">
        <f>Optimalisatie!F61</f>
        <v>0</v>
      </c>
      <c r="D689" s="134">
        <f>_xlfn.IFNA(IF(Optimalisatie!C61="Nieuwe situatie",(Optimalisatie!R61/(VLOOKUP(Optimalisatie!W61,Database_Asfalt_Aanlegset[#All],60,FALSE)/8)),0),0)</f>
        <v>0</v>
      </c>
      <c r="E689" s="135">
        <f>IFERROR(IF(Optimalisatie!C61="Nieuwe situatie",Optimalisatie!J61/Optimalisatie!Z61,0),0)</f>
        <v>0</v>
      </c>
      <c r="F689" s="135">
        <f>_xlfn.IFNA(IF(Optimalisatie!C61="Bestaande situatie",Optimalisatie!R61/(VLOOKUP(Optimalisatie!AA61,Database_Asfalt_Verwijderset[#All],60,FALSE)/8),0),0)</f>
        <v>0</v>
      </c>
      <c r="G689" s="138">
        <f>IFERROR(IF(Optimalisatie!C61="Bestaande situatie",Optimalisatie!J61/Optimalisatie!AD61,0),0)</f>
        <v>0</v>
      </c>
      <c r="H689" s="94" t="str">
        <f>_xlfn.IFNA((VLOOKUP(Optimalisatie!W61,Database_Asfalt_Aanlegset[],61,FALSE)),"Nee")</f>
        <v>Nee</v>
      </c>
      <c r="I689" s="94" t="str">
        <f>_xlfn.IFNA((VLOOKUP(Optimalisatie!X61,Database_Brandstoffen[],60,FALSE)),"Nee")</f>
        <v>Nee</v>
      </c>
      <c r="J689" s="94" t="str">
        <f>_xlfn.IFNA((VLOOKUP(Optimalisatie!AA61,Database_Asfalt_Verwijderset[],61,FALSE)),"Nee")</f>
        <v>Nee</v>
      </c>
      <c r="K689" s="120" t="str">
        <f>_xlfn.IFNA((VLOOKUP(Optimalisatie!AB61,Database_Brandstoffen[],60,FALSE)),"Nee")</f>
        <v>Nee</v>
      </c>
      <c r="L689" s="132">
        <f>IF(Inschrijf_Bouwplaats_Totaal[[#This Row],[Emissieloos Asfalt Aanlegset]]="JA",Inschrijf_Bouwplaats_Totaal[[#This Row],[Draaiuren Bouw Asfalt]],0)+IF(Inschrijf_Bouwplaats_Totaal[[#This Row],[Emissieloos Bouwmaterieel]]="JA",Inschrijf_Bouwplaats_Totaal[[#This Row],[Draaiuren Bouw Overig]],0)+IF(Inschrijf_Bouwplaats_Totaal[[#This Row],[Emissieloos Asfalt Verwijderset]]="JA",Inschrijf_Bouwplaats_Totaal[[#This Row],[Draaiuren Verwijder Asfalt]],0)+IF(Inschrijf_Bouwplaats_Totaal[[#This Row],[Emissieloos Sloopmaterieel]]="JA",Inschrijf_Bouwplaats_Totaal[[#This Row],[Draaiuren Verwijder Overig]],0)</f>
        <v>0</v>
      </c>
      <c r="M689" s="139">
        <f>_xlfn.IFNA(IF(Optimalisatie!C61="Nieuwe situatie",(Optimalisatie!R61/(VLOOKUP(Optimalisatie!W61,Database_Asfalt_Aanlegset[#All],60,FALSE)/8)),0),0)*Optimalisatie!T61</f>
        <v>0</v>
      </c>
      <c r="N689" s="139">
        <f>_xlfn.IFNA(IF(Optimalisatie!C61="Nieuwe situatie",Optimalisatie!S61/VLOOKUP(Optimalisatie!X61,Database_Overig_Materieel[#All],8,FALSE),0),0)*Optimalisatie!T61</f>
        <v>0</v>
      </c>
      <c r="O689" s="139">
        <f>_xlfn.IFNA(IF(Optimalisatie!C61="Bestaande situatie",Optimalisatie!R61/(VLOOKUP(Optimalisatie!AA61,Database_Asfalt_Verwijderset[#All],60,FALSE)/8),0),0)*Optimalisatie!T61</f>
        <v>0</v>
      </c>
      <c r="P689" s="139">
        <f>_xlfn.IFNA(IF(Optimalisatie!C61="Bestaande situatie",Optimalisatie!S61/VLOOKUP(Optimalisatie!AB61,Database_Overig_Materieel[#All],8,FALSE),0),0)*Optimalisatie!T61</f>
        <v>0</v>
      </c>
      <c r="Q689" s="139">
        <f>IF(Inschrijf_Bouwplaats_Totaal[[#This Row],[Emissieloos Asfalt Aanlegset]]="JA",Inschrijf_Bouwplaats_Totaal[[#This Row],[Draaiuren Bouw Asfalt Vervangingen]],0)+IF(Inschrijf_Bouwplaats_Totaal[[#This Row],[Emissieloos Bouwmaterieel]]="JA",Inschrijf_Bouwplaats_Totaal[[#This Row],[Draaiuren Bouw Overig Vervangingen]],0)+IF(Inschrijf_Bouwplaats_Totaal[[#This Row],[Emissieloos Asfalt Verwijderset]]="JA",Inschrijf_Bouwplaats_Totaal[[#This Row],[Draaiuren Verwijder Asfalt Vervangingen]],0)+IF(Inschrijf_Bouwplaats_Totaal[[#This Row],[Emissieloos Sloopmaterieel]]="JA",Inschrijf_Bouwplaats_Totaal[[#This Row],[Draaiuren Verwijder Overig Vervangingen]],0)</f>
        <v>0</v>
      </c>
      <c r="R689" s="139">
        <f>Inschrijf_Bouwplaats_Totaal[[#This Row],[Emissieloos bouwplaats]]+Inschrijf_Bouwplaats_Totaal[[#This Row],[Emissieloos bouwplaats Vervangingen]]</f>
        <v>0</v>
      </c>
      <c r="S689" s="139">
        <f>(Inschrijf_Bouwplaats_Totaal[[#This Row],[Draaiuren Bouw Asfalt]]+Inschrijf_Bouwplaats_Totaal[[#This Row],[Draaiuren Bouw Overig]]+Inschrijf_Bouwplaats_Totaal[[#This Row],[Draaiuren Verwijder Asfalt]]+Inschrijf_Bouwplaats_Totaal[[#This Row],[Draaiuren Verwijder Overig]]+Inschrijf_Bouwplaats_Totaal[[#This Row],[Draaiuren Bouw Asfalt Vervangingen]]+Inschrijf_Bouwplaats_Totaal[[#This Row],[Draaiuren Bouw Overig Vervangingen]]+Inschrijf_Bouwplaats_Totaal[[#This Row],[Draaiuren Verwijder Asfalt Vervangingen]]+Inschrijf_Bouwplaats_Totaal[[#This Row],[Draaiuren Verwijder Overig Vervangingen]])-Inschrijf_Bouwplaats_Totaal[[#This Row],[Totaal Emissieloos Bouwplaats]]</f>
        <v>0</v>
      </c>
      <c r="T689" s="139">
        <f>Inschrijf_Bouwplaats_Totaal[[#This Row],[Totaal Emissieloos Bouwplaats]]+Inschrijf_Bouwplaats_Totaal[[#This Row],[Totaal Niet Emissieloos Bouwplaats]]</f>
        <v>0</v>
      </c>
      <c r="U689" s="335"/>
    </row>
    <row r="690" spans="2:21">
      <c r="B690" s="209">
        <f>Optimalisatie!B62</f>
        <v>0</v>
      </c>
      <c r="C690" s="51">
        <f>Optimalisatie!F62</f>
        <v>0</v>
      </c>
      <c r="D690" s="134">
        <f>_xlfn.IFNA(IF(Optimalisatie!C62="Nieuwe situatie",(Optimalisatie!R62/(VLOOKUP(Optimalisatie!W62,Database_Asfalt_Aanlegset[#All],60,FALSE)/8)),0),0)</f>
        <v>0</v>
      </c>
      <c r="E690" s="135">
        <f>IFERROR(IF(Optimalisatie!C62="Nieuwe situatie",Optimalisatie!J62/Optimalisatie!Z62,0),0)</f>
        <v>0</v>
      </c>
      <c r="F690" s="135">
        <f>_xlfn.IFNA(IF(Optimalisatie!C62="Bestaande situatie",Optimalisatie!R62/(VLOOKUP(Optimalisatie!AA62,Database_Asfalt_Verwijderset[#All],60,FALSE)/8),0),0)</f>
        <v>0</v>
      </c>
      <c r="G690" s="138">
        <f>IFERROR(IF(Optimalisatie!C62="Bestaande situatie",Optimalisatie!J62/Optimalisatie!AD62,0),0)</f>
        <v>0</v>
      </c>
      <c r="H690" s="94" t="str">
        <f>_xlfn.IFNA((VLOOKUP(Optimalisatie!W62,Database_Asfalt_Aanlegset[],61,FALSE)),"Nee")</f>
        <v>Nee</v>
      </c>
      <c r="I690" s="94" t="str">
        <f>_xlfn.IFNA((VLOOKUP(Optimalisatie!X62,Database_Brandstoffen[],60,FALSE)),"Nee")</f>
        <v>Nee</v>
      </c>
      <c r="J690" s="94" t="str">
        <f>_xlfn.IFNA((VLOOKUP(Optimalisatie!AA62,Database_Asfalt_Verwijderset[],61,FALSE)),"Nee")</f>
        <v>Nee</v>
      </c>
      <c r="K690" s="120" t="str">
        <f>_xlfn.IFNA((VLOOKUP(Optimalisatie!AB62,Database_Brandstoffen[],60,FALSE)),"Nee")</f>
        <v>Nee</v>
      </c>
      <c r="L690" s="132">
        <f>IF(Inschrijf_Bouwplaats_Totaal[[#This Row],[Emissieloos Asfalt Aanlegset]]="JA",Inschrijf_Bouwplaats_Totaal[[#This Row],[Draaiuren Bouw Asfalt]],0)+IF(Inschrijf_Bouwplaats_Totaal[[#This Row],[Emissieloos Bouwmaterieel]]="JA",Inschrijf_Bouwplaats_Totaal[[#This Row],[Draaiuren Bouw Overig]],0)+IF(Inschrijf_Bouwplaats_Totaal[[#This Row],[Emissieloos Asfalt Verwijderset]]="JA",Inschrijf_Bouwplaats_Totaal[[#This Row],[Draaiuren Verwijder Asfalt]],0)+IF(Inschrijf_Bouwplaats_Totaal[[#This Row],[Emissieloos Sloopmaterieel]]="JA",Inschrijf_Bouwplaats_Totaal[[#This Row],[Draaiuren Verwijder Overig]],0)</f>
        <v>0</v>
      </c>
      <c r="M690" s="139">
        <f>_xlfn.IFNA(IF(Optimalisatie!C62="Nieuwe situatie",(Optimalisatie!R62/(VLOOKUP(Optimalisatie!W62,Database_Asfalt_Aanlegset[#All],60,FALSE)/8)),0),0)*Optimalisatie!T62</f>
        <v>0</v>
      </c>
      <c r="N690" s="139">
        <f>_xlfn.IFNA(IF(Optimalisatie!C62="Nieuwe situatie",Optimalisatie!S62/VLOOKUP(Optimalisatie!X62,Database_Overig_Materieel[#All],8,FALSE),0),0)*Optimalisatie!T62</f>
        <v>0</v>
      </c>
      <c r="O690" s="139">
        <f>_xlfn.IFNA(IF(Optimalisatie!C62="Bestaande situatie",Optimalisatie!R62/(VLOOKUP(Optimalisatie!AA62,Database_Asfalt_Verwijderset[#All],60,FALSE)/8),0),0)*Optimalisatie!T62</f>
        <v>0</v>
      </c>
      <c r="P690" s="139">
        <f>_xlfn.IFNA(IF(Optimalisatie!C62="Bestaande situatie",Optimalisatie!S62/VLOOKUP(Optimalisatie!AB62,Database_Overig_Materieel[#All],8,FALSE),0),0)*Optimalisatie!T62</f>
        <v>0</v>
      </c>
      <c r="Q690" s="139">
        <f>IF(Inschrijf_Bouwplaats_Totaal[[#This Row],[Emissieloos Asfalt Aanlegset]]="JA",Inschrijf_Bouwplaats_Totaal[[#This Row],[Draaiuren Bouw Asfalt Vervangingen]],0)+IF(Inschrijf_Bouwplaats_Totaal[[#This Row],[Emissieloos Bouwmaterieel]]="JA",Inschrijf_Bouwplaats_Totaal[[#This Row],[Draaiuren Bouw Overig Vervangingen]],0)+IF(Inschrijf_Bouwplaats_Totaal[[#This Row],[Emissieloos Asfalt Verwijderset]]="JA",Inschrijf_Bouwplaats_Totaal[[#This Row],[Draaiuren Verwijder Asfalt Vervangingen]],0)+IF(Inschrijf_Bouwplaats_Totaal[[#This Row],[Emissieloos Sloopmaterieel]]="JA",Inschrijf_Bouwplaats_Totaal[[#This Row],[Draaiuren Verwijder Overig Vervangingen]],0)</f>
        <v>0</v>
      </c>
      <c r="R690" s="139">
        <f>Inschrijf_Bouwplaats_Totaal[[#This Row],[Emissieloos bouwplaats]]+Inschrijf_Bouwplaats_Totaal[[#This Row],[Emissieloos bouwplaats Vervangingen]]</f>
        <v>0</v>
      </c>
      <c r="S690" s="139">
        <f>(Inschrijf_Bouwplaats_Totaal[[#This Row],[Draaiuren Bouw Asfalt]]+Inschrijf_Bouwplaats_Totaal[[#This Row],[Draaiuren Bouw Overig]]+Inschrijf_Bouwplaats_Totaal[[#This Row],[Draaiuren Verwijder Asfalt]]+Inschrijf_Bouwplaats_Totaal[[#This Row],[Draaiuren Verwijder Overig]]+Inschrijf_Bouwplaats_Totaal[[#This Row],[Draaiuren Bouw Asfalt Vervangingen]]+Inschrijf_Bouwplaats_Totaal[[#This Row],[Draaiuren Bouw Overig Vervangingen]]+Inschrijf_Bouwplaats_Totaal[[#This Row],[Draaiuren Verwijder Asfalt Vervangingen]]+Inschrijf_Bouwplaats_Totaal[[#This Row],[Draaiuren Verwijder Overig Vervangingen]])-Inschrijf_Bouwplaats_Totaal[[#This Row],[Totaal Emissieloos Bouwplaats]]</f>
        <v>0</v>
      </c>
      <c r="T690" s="139">
        <f>Inschrijf_Bouwplaats_Totaal[[#This Row],[Totaal Emissieloos Bouwplaats]]+Inschrijf_Bouwplaats_Totaal[[#This Row],[Totaal Niet Emissieloos Bouwplaats]]</f>
        <v>0</v>
      </c>
      <c r="U690" s="335"/>
    </row>
    <row r="691" spans="2:21">
      <c r="B691" s="209">
        <f>Optimalisatie!B63</f>
        <v>0</v>
      </c>
      <c r="C691" s="51">
        <f>Optimalisatie!F63</f>
        <v>0</v>
      </c>
      <c r="D691" s="134">
        <f>_xlfn.IFNA(IF(Optimalisatie!C63="Nieuwe situatie",(Optimalisatie!R63/(VLOOKUP(Optimalisatie!W63,Database_Asfalt_Aanlegset[#All],60,FALSE)/8)),0),0)</f>
        <v>0</v>
      </c>
      <c r="E691" s="135">
        <f>IFERROR(IF(Optimalisatie!C63="Nieuwe situatie",Optimalisatie!J63/Optimalisatie!Z63,0),0)</f>
        <v>0</v>
      </c>
      <c r="F691" s="135">
        <f>_xlfn.IFNA(IF(Optimalisatie!C63="Bestaande situatie",Optimalisatie!R63/(VLOOKUP(Optimalisatie!AA63,Database_Asfalt_Verwijderset[#All],60,FALSE)/8),0),0)</f>
        <v>0</v>
      </c>
      <c r="G691" s="138">
        <f>IFERROR(IF(Optimalisatie!C63="Bestaande situatie",Optimalisatie!J63/Optimalisatie!AD63,0),0)</f>
        <v>0</v>
      </c>
      <c r="H691" s="94" t="str">
        <f>_xlfn.IFNA((VLOOKUP(Optimalisatie!W63,Database_Asfalt_Aanlegset[],61,FALSE)),"Nee")</f>
        <v>Nee</v>
      </c>
      <c r="I691" s="94" t="str">
        <f>_xlfn.IFNA((VLOOKUP(Optimalisatie!X63,Database_Brandstoffen[],60,FALSE)),"Nee")</f>
        <v>Nee</v>
      </c>
      <c r="J691" s="94" t="str">
        <f>_xlfn.IFNA((VLOOKUP(Optimalisatie!AA63,Database_Asfalt_Verwijderset[],61,FALSE)),"Nee")</f>
        <v>Nee</v>
      </c>
      <c r="K691" s="120" t="str">
        <f>_xlfn.IFNA((VLOOKUP(Optimalisatie!AB63,Database_Brandstoffen[],60,FALSE)),"Nee")</f>
        <v>Nee</v>
      </c>
      <c r="L691" s="132">
        <f>IF(Inschrijf_Bouwplaats_Totaal[[#This Row],[Emissieloos Asfalt Aanlegset]]="JA",Inschrijf_Bouwplaats_Totaal[[#This Row],[Draaiuren Bouw Asfalt]],0)+IF(Inschrijf_Bouwplaats_Totaal[[#This Row],[Emissieloos Bouwmaterieel]]="JA",Inschrijf_Bouwplaats_Totaal[[#This Row],[Draaiuren Bouw Overig]],0)+IF(Inschrijf_Bouwplaats_Totaal[[#This Row],[Emissieloos Asfalt Verwijderset]]="JA",Inschrijf_Bouwplaats_Totaal[[#This Row],[Draaiuren Verwijder Asfalt]],0)+IF(Inschrijf_Bouwplaats_Totaal[[#This Row],[Emissieloos Sloopmaterieel]]="JA",Inschrijf_Bouwplaats_Totaal[[#This Row],[Draaiuren Verwijder Overig]],0)</f>
        <v>0</v>
      </c>
      <c r="M691" s="139">
        <f>_xlfn.IFNA(IF(Optimalisatie!C63="Nieuwe situatie",(Optimalisatie!R63/(VLOOKUP(Optimalisatie!W63,Database_Asfalt_Aanlegset[#All],60,FALSE)/8)),0),0)*Optimalisatie!T63</f>
        <v>0</v>
      </c>
      <c r="N691" s="139">
        <f>_xlfn.IFNA(IF(Optimalisatie!C63="Nieuwe situatie",Optimalisatie!S63/VLOOKUP(Optimalisatie!X63,Database_Overig_Materieel[#All],8,FALSE),0),0)*Optimalisatie!T63</f>
        <v>0</v>
      </c>
      <c r="O691" s="139">
        <f>_xlfn.IFNA(IF(Optimalisatie!C63="Bestaande situatie",Optimalisatie!R63/(VLOOKUP(Optimalisatie!AA63,Database_Asfalt_Verwijderset[#All],60,FALSE)/8),0),0)*Optimalisatie!T63</f>
        <v>0</v>
      </c>
      <c r="P691" s="139">
        <f>_xlfn.IFNA(IF(Optimalisatie!C63="Bestaande situatie",Optimalisatie!S63/VLOOKUP(Optimalisatie!AB63,Database_Overig_Materieel[#All],8,FALSE),0),0)*Optimalisatie!T63</f>
        <v>0</v>
      </c>
      <c r="Q691" s="139">
        <f>IF(Inschrijf_Bouwplaats_Totaal[[#This Row],[Emissieloos Asfalt Aanlegset]]="JA",Inschrijf_Bouwplaats_Totaal[[#This Row],[Draaiuren Bouw Asfalt Vervangingen]],0)+IF(Inschrijf_Bouwplaats_Totaal[[#This Row],[Emissieloos Bouwmaterieel]]="JA",Inschrijf_Bouwplaats_Totaal[[#This Row],[Draaiuren Bouw Overig Vervangingen]],0)+IF(Inschrijf_Bouwplaats_Totaal[[#This Row],[Emissieloos Asfalt Verwijderset]]="JA",Inschrijf_Bouwplaats_Totaal[[#This Row],[Draaiuren Verwijder Asfalt Vervangingen]],0)+IF(Inschrijf_Bouwplaats_Totaal[[#This Row],[Emissieloos Sloopmaterieel]]="JA",Inschrijf_Bouwplaats_Totaal[[#This Row],[Draaiuren Verwijder Overig Vervangingen]],0)</f>
        <v>0</v>
      </c>
      <c r="R691" s="139">
        <f>Inschrijf_Bouwplaats_Totaal[[#This Row],[Emissieloos bouwplaats]]+Inschrijf_Bouwplaats_Totaal[[#This Row],[Emissieloos bouwplaats Vervangingen]]</f>
        <v>0</v>
      </c>
      <c r="S691" s="139">
        <f>(Inschrijf_Bouwplaats_Totaal[[#This Row],[Draaiuren Bouw Asfalt]]+Inschrijf_Bouwplaats_Totaal[[#This Row],[Draaiuren Bouw Overig]]+Inschrijf_Bouwplaats_Totaal[[#This Row],[Draaiuren Verwijder Asfalt]]+Inschrijf_Bouwplaats_Totaal[[#This Row],[Draaiuren Verwijder Overig]]+Inschrijf_Bouwplaats_Totaal[[#This Row],[Draaiuren Bouw Asfalt Vervangingen]]+Inschrijf_Bouwplaats_Totaal[[#This Row],[Draaiuren Bouw Overig Vervangingen]]+Inschrijf_Bouwplaats_Totaal[[#This Row],[Draaiuren Verwijder Asfalt Vervangingen]]+Inschrijf_Bouwplaats_Totaal[[#This Row],[Draaiuren Verwijder Overig Vervangingen]])-Inschrijf_Bouwplaats_Totaal[[#This Row],[Totaal Emissieloos Bouwplaats]]</f>
        <v>0</v>
      </c>
      <c r="T691" s="139">
        <f>Inschrijf_Bouwplaats_Totaal[[#This Row],[Totaal Emissieloos Bouwplaats]]+Inschrijf_Bouwplaats_Totaal[[#This Row],[Totaal Niet Emissieloos Bouwplaats]]</f>
        <v>0</v>
      </c>
      <c r="U691" s="335"/>
    </row>
    <row r="692" spans="2:21">
      <c r="B692" s="209">
        <f>Optimalisatie!B64</f>
        <v>0</v>
      </c>
      <c r="C692" s="51">
        <f>Optimalisatie!F64</f>
        <v>0</v>
      </c>
      <c r="D692" s="134">
        <f>_xlfn.IFNA(IF(Optimalisatie!C64="Nieuwe situatie",(Optimalisatie!R64/(VLOOKUP(Optimalisatie!W64,Database_Asfalt_Aanlegset[#All],60,FALSE)/8)),0),0)</f>
        <v>0</v>
      </c>
      <c r="E692" s="135">
        <f>IFERROR(IF(Optimalisatie!C64="Nieuwe situatie",Optimalisatie!J64/Optimalisatie!Z64,0),0)</f>
        <v>0</v>
      </c>
      <c r="F692" s="135">
        <f>_xlfn.IFNA(IF(Optimalisatie!C64="Bestaande situatie",Optimalisatie!R64/(VLOOKUP(Optimalisatie!AA64,Database_Asfalt_Verwijderset[#All],60,FALSE)/8),0),0)</f>
        <v>0</v>
      </c>
      <c r="G692" s="138">
        <f>IFERROR(IF(Optimalisatie!C64="Bestaande situatie",Optimalisatie!J64/Optimalisatie!AD64,0),0)</f>
        <v>0</v>
      </c>
      <c r="H692" s="94" t="str">
        <f>_xlfn.IFNA((VLOOKUP(Optimalisatie!W64,Database_Asfalt_Aanlegset[],61,FALSE)),"Nee")</f>
        <v>Nee</v>
      </c>
      <c r="I692" s="94" t="str">
        <f>_xlfn.IFNA((VLOOKUP(Optimalisatie!X64,Database_Brandstoffen[],60,FALSE)),"Nee")</f>
        <v>Nee</v>
      </c>
      <c r="J692" s="94" t="str">
        <f>_xlfn.IFNA((VLOOKUP(Optimalisatie!AA64,Database_Asfalt_Verwijderset[],61,FALSE)),"Nee")</f>
        <v>Nee</v>
      </c>
      <c r="K692" s="120" t="str">
        <f>_xlfn.IFNA((VLOOKUP(Optimalisatie!AB64,Database_Brandstoffen[],60,FALSE)),"Nee")</f>
        <v>Nee</v>
      </c>
      <c r="L692" s="132">
        <f>IF(Inschrijf_Bouwplaats_Totaal[[#This Row],[Emissieloos Asfalt Aanlegset]]="JA",Inschrijf_Bouwplaats_Totaal[[#This Row],[Draaiuren Bouw Asfalt]],0)+IF(Inschrijf_Bouwplaats_Totaal[[#This Row],[Emissieloos Bouwmaterieel]]="JA",Inschrijf_Bouwplaats_Totaal[[#This Row],[Draaiuren Bouw Overig]],0)+IF(Inschrijf_Bouwplaats_Totaal[[#This Row],[Emissieloos Asfalt Verwijderset]]="JA",Inschrijf_Bouwplaats_Totaal[[#This Row],[Draaiuren Verwijder Asfalt]],0)+IF(Inschrijf_Bouwplaats_Totaal[[#This Row],[Emissieloos Sloopmaterieel]]="JA",Inschrijf_Bouwplaats_Totaal[[#This Row],[Draaiuren Verwijder Overig]],0)</f>
        <v>0</v>
      </c>
      <c r="M692" s="139">
        <f>_xlfn.IFNA(IF(Optimalisatie!C64="Nieuwe situatie",(Optimalisatie!R64/(VLOOKUP(Optimalisatie!W64,Database_Asfalt_Aanlegset[#All],60,FALSE)/8)),0),0)*Optimalisatie!T64</f>
        <v>0</v>
      </c>
      <c r="N692" s="139">
        <f>_xlfn.IFNA(IF(Optimalisatie!C64="Nieuwe situatie",Optimalisatie!S64/VLOOKUP(Optimalisatie!X64,Database_Overig_Materieel[#All],8,FALSE),0),0)*Optimalisatie!T64</f>
        <v>0</v>
      </c>
      <c r="O692" s="139">
        <f>_xlfn.IFNA(IF(Optimalisatie!C64="Bestaande situatie",Optimalisatie!R64/(VLOOKUP(Optimalisatie!AA64,Database_Asfalt_Verwijderset[#All],60,FALSE)/8),0),0)*Optimalisatie!T64</f>
        <v>0</v>
      </c>
      <c r="P692" s="139">
        <f>_xlfn.IFNA(IF(Optimalisatie!C64="Bestaande situatie",Optimalisatie!S64/VLOOKUP(Optimalisatie!AB64,Database_Overig_Materieel[#All],8,FALSE),0),0)*Optimalisatie!T64</f>
        <v>0</v>
      </c>
      <c r="Q692" s="139">
        <f>IF(Inschrijf_Bouwplaats_Totaal[[#This Row],[Emissieloos Asfalt Aanlegset]]="JA",Inschrijf_Bouwplaats_Totaal[[#This Row],[Draaiuren Bouw Asfalt Vervangingen]],0)+IF(Inschrijf_Bouwplaats_Totaal[[#This Row],[Emissieloos Bouwmaterieel]]="JA",Inschrijf_Bouwplaats_Totaal[[#This Row],[Draaiuren Bouw Overig Vervangingen]],0)+IF(Inschrijf_Bouwplaats_Totaal[[#This Row],[Emissieloos Asfalt Verwijderset]]="JA",Inschrijf_Bouwplaats_Totaal[[#This Row],[Draaiuren Verwijder Asfalt Vervangingen]],0)+IF(Inschrijf_Bouwplaats_Totaal[[#This Row],[Emissieloos Sloopmaterieel]]="JA",Inschrijf_Bouwplaats_Totaal[[#This Row],[Draaiuren Verwijder Overig Vervangingen]],0)</f>
        <v>0</v>
      </c>
      <c r="R692" s="139">
        <f>Inschrijf_Bouwplaats_Totaal[[#This Row],[Emissieloos bouwplaats]]+Inschrijf_Bouwplaats_Totaal[[#This Row],[Emissieloos bouwplaats Vervangingen]]</f>
        <v>0</v>
      </c>
      <c r="S692" s="139">
        <f>(Inschrijf_Bouwplaats_Totaal[[#This Row],[Draaiuren Bouw Asfalt]]+Inschrijf_Bouwplaats_Totaal[[#This Row],[Draaiuren Bouw Overig]]+Inschrijf_Bouwplaats_Totaal[[#This Row],[Draaiuren Verwijder Asfalt]]+Inschrijf_Bouwplaats_Totaal[[#This Row],[Draaiuren Verwijder Overig]]+Inschrijf_Bouwplaats_Totaal[[#This Row],[Draaiuren Bouw Asfalt Vervangingen]]+Inschrijf_Bouwplaats_Totaal[[#This Row],[Draaiuren Bouw Overig Vervangingen]]+Inschrijf_Bouwplaats_Totaal[[#This Row],[Draaiuren Verwijder Asfalt Vervangingen]]+Inschrijf_Bouwplaats_Totaal[[#This Row],[Draaiuren Verwijder Overig Vervangingen]])-Inschrijf_Bouwplaats_Totaal[[#This Row],[Totaal Emissieloos Bouwplaats]]</f>
        <v>0</v>
      </c>
      <c r="T692" s="139">
        <f>Inschrijf_Bouwplaats_Totaal[[#This Row],[Totaal Emissieloos Bouwplaats]]+Inschrijf_Bouwplaats_Totaal[[#This Row],[Totaal Niet Emissieloos Bouwplaats]]</f>
        <v>0</v>
      </c>
      <c r="U692" s="335"/>
    </row>
    <row r="693" spans="2:21">
      <c r="B693" s="209">
        <f>Optimalisatie!B65</f>
        <v>0</v>
      </c>
      <c r="C693" s="51">
        <f>Optimalisatie!F65</f>
        <v>0</v>
      </c>
      <c r="D693" s="134">
        <f>_xlfn.IFNA(IF(Optimalisatie!C65="Nieuwe situatie",(Optimalisatie!R65/(VLOOKUP(Optimalisatie!W65,Database_Asfalt_Aanlegset[#All],60,FALSE)/8)),0),0)</f>
        <v>0</v>
      </c>
      <c r="E693" s="135">
        <f>IFERROR(IF(Optimalisatie!C65="Nieuwe situatie",Optimalisatie!J65/Optimalisatie!Z65,0),0)</f>
        <v>0</v>
      </c>
      <c r="F693" s="135">
        <f>_xlfn.IFNA(IF(Optimalisatie!C65="Bestaande situatie",Optimalisatie!R65/(VLOOKUP(Optimalisatie!AA65,Database_Asfalt_Verwijderset[#All],60,FALSE)/8),0),0)</f>
        <v>0</v>
      </c>
      <c r="G693" s="138">
        <f>IFERROR(IF(Optimalisatie!C65="Bestaande situatie",Optimalisatie!J65/Optimalisatie!AD65,0),0)</f>
        <v>0</v>
      </c>
      <c r="H693" s="94" t="str">
        <f>_xlfn.IFNA((VLOOKUP(Optimalisatie!W65,Database_Asfalt_Aanlegset[],61,FALSE)),"Nee")</f>
        <v>Nee</v>
      </c>
      <c r="I693" s="94" t="str">
        <f>_xlfn.IFNA((VLOOKUP(Optimalisatie!X65,Database_Brandstoffen[],60,FALSE)),"Nee")</f>
        <v>Nee</v>
      </c>
      <c r="J693" s="94" t="str">
        <f>_xlfn.IFNA((VLOOKUP(Optimalisatie!AA65,Database_Asfalt_Verwijderset[],61,FALSE)),"Nee")</f>
        <v>Nee</v>
      </c>
      <c r="K693" s="120" t="str">
        <f>_xlfn.IFNA((VLOOKUP(Optimalisatie!AB65,Database_Brandstoffen[],60,FALSE)),"Nee")</f>
        <v>Nee</v>
      </c>
      <c r="L693" s="132">
        <f>IF(Inschrijf_Bouwplaats_Totaal[[#This Row],[Emissieloos Asfalt Aanlegset]]="JA",Inschrijf_Bouwplaats_Totaal[[#This Row],[Draaiuren Bouw Asfalt]],0)+IF(Inschrijf_Bouwplaats_Totaal[[#This Row],[Emissieloos Bouwmaterieel]]="JA",Inschrijf_Bouwplaats_Totaal[[#This Row],[Draaiuren Bouw Overig]],0)+IF(Inschrijf_Bouwplaats_Totaal[[#This Row],[Emissieloos Asfalt Verwijderset]]="JA",Inschrijf_Bouwplaats_Totaal[[#This Row],[Draaiuren Verwijder Asfalt]],0)+IF(Inschrijf_Bouwplaats_Totaal[[#This Row],[Emissieloos Sloopmaterieel]]="JA",Inschrijf_Bouwplaats_Totaal[[#This Row],[Draaiuren Verwijder Overig]],0)</f>
        <v>0</v>
      </c>
      <c r="M693" s="139">
        <f>_xlfn.IFNA(IF(Optimalisatie!C65="Nieuwe situatie",(Optimalisatie!R65/(VLOOKUP(Optimalisatie!W65,Database_Asfalt_Aanlegset[#All],60,FALSE)/8)),0),0)*Optimalisatie!T65</f>
        <v>0</v>
      </c>
      <c r="N693" s="139">
        <f>_xlfn.IFNA(IF(Optimalisatie!C65="Nieuwe situatie",Optimalisatie!S65/VLOOKUP(Optimalisatie!X65,Database_Overig_Materieel[#All],8,FALSE),0),0)*Optimalisatie!T65</f>
        <v>0</v>
      </c>
      <c r="O693" s="139">
        <f>_xlfn.IFNA(IF(Optimalisatie!C65="Bestaande situatie",Optimalisatie!R65/(VLOOKUP(Optimalisatie!AA65,Database_Asfalt_Verwijderset[#All],60,FALSE)/8),0),0)*Optimalisatie!T65</f>
        <v>0</v>
      </c>
      <c r="P693" s="139">
        <f>_xlfn.IFNA(IF(Optimalisatie!C65="Bestaande situatie",Optimalisatie!S65/VLOOKUP(Optimalisatie!AB65,Database_Overig_Materieel[#All],8,FALSE),0),0)*Optimalisatie!T65</f>
        <v>0</v>
      </c>
      <c r="Q693" s="139">
        <f>IF(Inschrijf_Bouwplaats_Totaal[[#This Row],[Emissieloos Asfalt Aanlegset]]="JA",Inschrijf_Bouwplaats_Totaal[[#This Row],[Draaiuren Bouw Asfalt Vervangingen]],0)+IF(Inschrijf_Bouwplaats_Totaal[[#This Row],[Emissieloos Bouwmaterieel]]="JA",Inschrijf_Bouwplaats_Totaal[[#This Row],[Draaiuren Bouw Overig Vervangingen]],0)+IF(Inschrijf_Bouwplaats_Totaal[[#This Row],[Emissieloos Asfalt Verwijderset]]="JA",Inschrijf_Bouwplaats_Totaal[[#This Row],[Draaiuren Verwijder Asfalt Vervangingen]],0)+IF(Inschrijf_Bouwplaats_Totaal[[#This Row],[Emissieloos Sloopmaterieel]]="JA",Inschrijf_Bouwplaats_Totaal[[#This Row],[Draaiuren Verwijder Overig Vervangingen]],0)</f>
        <v>0</v>
      </c>
      <c r="R693" s="139">
        <f>Inschrijf_Bouwplaats_Totaal[[#This Row],[Emissieloos bouwplaats]]+Inschrijf_Bouwplaats_Totaal[[#This Row],[Emissieloos bouwplaats Vervangingen]]</f>
        <v>0</v>
      </c>
      <c r="S693" s="139">
        <f>(Inschrijf_Bouwplaats_Totaal[[#This Row],[Draaiuren Bouw Asfalt]]+Inschrijf_Bouwplaats_Totaal[[#This Row],[Draaiuren Bouw Overig]]+Inschrijf_Bouwplaats_Totaal[[#This Row],[Draaiuren Verwijder Asfalt]]+Inschrijf_Bouwplaats_Totaal[[#This Row],[Draaiuren Verwijder Overig]]+Inschrijf_Bouwplaats_Totaal[[#This Row],[Draaiuren Bouw Asfalt Vervangingen]]+Inschrijf_Bouwplaats_Totaal[[#This Row],[Draaiuren Bouw Overig Vervangingen]]+Inschrijf_Bouwplaats_Totaal[[#This Row],[Draaiuren Verwijder Asfalt Vervangingen]]+Inschrijf_Bouwplaats_Totaal[[#This Row],[Draaiuren Verwijder Overig Vervangingen]])-Inschrijf_Bouwplaats_Totaal[[#This Row],[Totaal Emissieloos Bouwplaats]]</f>
        <v>0</v>
      </c>
      <c r="T693" s="139">
        <f>Inschrijf_Bouwplaats_Totaal[[#This Row],[Totaal Emissieloos Bouwplaats]]+Inschrijf_Bouwplaats_Totaal[[#This Row],[Totaal Niet Emissieloos Bouwplaats]]</f>
        <v>0</v>
      </c>
      <c r="U693" s="335"/>
    </row>
    <row r="694" spans="2:21">
      <c r="B694" s="209">
        <f>Optimalisatie!B66</f>
        <v>0</v>
      </c>
      <c r="C694" s="51">
        <f>Optimalisatie!F66</f>
        <v>0</v>
      </c>
      <c r="D694" s="134">
        <f>_xlfn.IFNA(IF(Optimalisatie!C66="Nieuwe situatie",(Optimalisatie!R66/(VLOOKUP(Optimalisatie!W66,Database_Asfalt_Aanlegset[#All],60,FALSE)/8)),0),0)</f>
        <v>0</v>
      </c>
      <c r="E694" s="135">
        <f>IFERROR(IF(Optimalisatie!C66="Nieuwe situatie",Optimalisatie!J66/Optimalisatie!Z66,0),0)</f>
        <v>0</v>
      </c>
      <c r="F694" s="135">
        <f>_xlfn.IFNA(IF(Optimalisatie!C66="Bestaande situatie",Optimalisatie!R66/(VLOOKUP(Optimalisatie!AA66,Database_Asfalt_Verwijderset[#All],60,FALSE)/8),0),0)</f>
        <v>0</v>
      </c>
      <c r="G694" s="138">
        <f>IFERROR(IF(Optimalisatie!C66="Bestaande situatie",Optimalisatie!J66/Optimalisatie!AD66,0),0)</f>
        <v>0</v>
      </c>
      <c r="H694" s="94" t="str">
        <f>_xlfn.IFNA((VLOOKUP(Optimalisatie!W66,Database_Asfalt_Aanlegset[],61,FALSE)),"Nee")</f>
        <v>Nee</v>
      </c>
      <c r="I694" s="94" t="str">
        <f>_xlfn.IFNA((VLOOKUP(Optimalisatie!X66,Database_Brandstoffen[],60,FALSE)),"Nee")</f>
        <v>Nee</v>
      </c>
      <c r="J694" s="94" t="str">
        <f>_xlfn.IFNA((VLOOKUP(Optimalisatie!AA66,Database_Asfalt_Verwijderset[],61,FALSE)),"Nee")</f>
        <v>Nee</v>
      </c>
      <c r="K694" s="120" t="str">
        <f>_xlfn.IFNA((VLOOKUP(Optimalisatie!AB66,Database_Brandstoffen[],60,FALSE)),"Nee")</f>
        <v>Nee</v>
      </c>
      <c r="L694" s="132">
        <f>IF(Inschrijf_Bouwplaats_Totaal[[#This Row],[Emissieloos Asfalt Aanlegset]]="JA",Inschrijf_Bouwplaats_Totaal[[#This Row],[Draaiuren Bouw Asfalt]],0)+IF(Inschrijf_Bouwplaats_Totaal[[#This Row],[Emissieloos Bouwmaterieel]]="JA",Inschrijf_Bouwplaats_Totaal[[#This Row],[Draaiuren Bouw Overig]],0)+IF(Inschrijf_Bouwplaats_Totaal[[#This Row],[Emissieloos Asfalt Verwijderset]]="JA",Inschrijf_Bouwplaats_Totaal[[#This Row],[Draaiuren Verwijder Asfalt]],0)+IF(Inschrijf_Bouwplaats_Totaal[[#This Row],[Emissieloos Sloopmaterieel]]="JA",Inschrijf_Bouwplaats_Totaal[[#This Row],[Draaiuren Verwijder Overig]],0)</f>
        <v>0</v>
      </c>
      <c r="M694" s="139">
        <f>_xlfn.IFNA(IF(Optimalisatie!C66="Nieuwe situatie",(Optimalisatie!R66/(VLOOKUP(Optimalisatie!W66,Database_Asfalt_Aanlegset[#All],60,FALSE)/8)),0),0)*Optimalisatie!T66</f>
        <v>0</v>
      </c>
      <c r="N694" s="139">
        <f>_xlfn.IFNA(IF(Optimalisatie!C66="Nieuwe situatie",Optimalisatie!S66/VLOOKUP(Optimalisatie!X66,Database_Overig_Materieel[#All],8,FALSE),0),0)*Optimalisatie!T66</f>
        <v>0</v>
      </c>
      <c r="O694" s="139">
        <f>_xlfn.IFNA(IF(Optimalisatie!C66="Bestaande situatie",Optimalisatie!R66/(VLOOKUP(Optimalisatie!AA66,Database_Asfalt_Verwijderset[#All],60,FALSE)/8),0),0)*Optimalisatie!T66</f>
        <v>0</v>
      </c>
      <c r="P694" s="139">
        <f>_xlfn.IFNA(IF(Optimalisatie!C66="Bestaande situatie",Optimalisatie!S66/VLOOKUP(Optimalisatie!AB66,Database_Overig_Materieel[#All],8,FALSE),0),0)*Optimalisatie!T66</f>
        <v>0</v>
      </c>
      <c r="Q694" s="139">
        <f>IF(Inschrijf_Bouwplaats_Totaal[[#This Row],[Emissieloos Asfalt Aanlegset]]="JA",Inschrijf_Bouwplaats_Totaal[[#This Row],[Draaiuren Bouw Asfalt Vervangingen]],0)+IF(Inschrijf_Bouwplaats_Totaal[[#This Row],[Emissieloos Bouwmaterieel]]="JA",Inschrijf_Bouwplaats_Totaal[[#This Row],[Draaiuren Bouw Overig Vervangingen]],0)+IF(Inschrijf_Bouwplaats_Totaal[[#This Row],[Emissieloos Asfalt Verwijderset]]="JA",Inschrijf_Bouwplaats_Totaal[[#This Row],[Draaiuren Verwijder Asfalt Vervangingen]],0)+IF(Inschrijf_Bouwplaats_Totaal[[#This Row],[Emissieloos Sloopmaterieel]]="JA",Inschrijf_Bouwplaats_Totaal[[#This Row],[Draaiuren Verwijder Overig Vervangingen]],0)</f>
        <v>0</v>
      </c>
      <c r="R694" s="139">
        <f>Inschrijf_Bouwplaats_Totaal[[#This Row],[Emissieloos bouwplaats]]+Inschrijf_Bouwplaats_Totaal[[#This Row],[Emissieloos bouwplaats Vervangingen]]</f>
        <v>0</v>
      </c>
      <c r="S694" s="139">
        <f>(Inschrijf_Bouwplaats_Totaal[[#This Row],[Draaiuren Bouw Asfalt]]+Inschrijf_Bouwplaats_Totaal[[#This Row],[Draaiuren Bouw Overig]]+Inschrijf_Bouwplaats_Totaal[[#This Row],[Draaiuren Verwijder Asfalt]]+Inschrijf_Bouwplaats_Totaal[[#This Row],[Draaiuren Verwijder Overig]]+Inschrijf_Bouwplaats_Totaal[[#This Row],[Draaiuren Bouw Asfalt Vervangingen]]+Inschrijf_Bouwplaats_Totaal[[#This Row],[Draaiuren Bouw Overig Vervangingen]]+Inschrijf_Bouwplaats_Totaal[[#This Row],[Draaiuren Verwijder Asfalt Vervangingen]]+Inschrijf_Bouwplaats_Totaal[[#This Row],[Draaiuren Verwijder Overig Vervangingen]])-Inschrijf_Bouwplaats_Totaal[[#This Row],[Totaal Emissieloos Bouwplaats]]</f>
        <v>0</v>
      </c>
      <c r="T694" s="139">
        <f>Inschrijf_Bouwplaats_Totaal[[#This Row],[Totaal Emissieloos Bouwplaats]]+Inschrijf_Bouwplaats_Totaal[[#This Row],[Totaal Niet Emissieloos Bouwplaats]]</f>
        <v>0</v>
      </c>
      <c r="U694" s="335"/>
    </row>
    <row r="695" spans="2:21">
      <c r="B695" s="209">
        <f>Optimalisatie!B67</f>
        <v>0</v>
      </c>
      <c r="C695" s="51">
        <f>Optimalisatie!F67</f>
        <v>0</v>
      </c>
      <c r="D695" s="134">
        <f>_xlfn.IFNA(IF(Optimalisatie!C67="Nieuwe situatie",(Optimalisatie!R67/(VLOOKUP(Optimalisatie!W67,Database_Asfalt_Aanlegset[#All],60,FALSE)/8)),0),0)</f>
        <v>0</v>
      </c>
      <c r="E695" s="135">
        <f>IFERROR(IF(Optimalisatie!C67="Nieuwe situatie",Optimalisatie!J67/Optimalisatie!Z67,0),0)</f>
        <v>0</v>
      </c>
      <c r="F695" s="135">
        <f>_xlfn.IFNA(IF(Optimalisatie!C67="Bestaande situatie",Optimalisatie!R67/(VLOOKUP(Optimalisatie!AA67,Database_Asfalt_Verwijderset[#All],60,FALSE)/8),0),0)</f>
        <v>0</v>
      </c>
      <c r="G695" s="138">
        <f>IFERROR(IF(Optimalisatie!C67="Bestaande situatie",Optimalisatie!J67/Optimalisatie!AD67,0),0)</f>
        <v>0</v>
      </c>
      <c r="H695" s="94" t="str">
        <f>_xlfn.IFNA((VLOOKUP(Optimalisatie!W67,Database_Asfalt_Aanlegset[],61,FALSE)),"Nee")</f>
        <v>Nee</v>
      </c>
      <c r="I695" s="94" t="str">
        <f>_xlfn.IFNA((VLOOKUP(Optimalisatie!X67,Database_Brandstoffen[],60,FALSE)),"Nee")</f>
        <v>Nee</v>
      </c>
      <c r="J695" s="94" t="str">
        <f>_xlfn.IFNA((VLOOKUP(Optimalisatie!AA67,Database_Asfalt_Verwijderset[],61,FALSE)),"Nee")</f>
        <v>Nee</v>
      </c>
      <c r="K695" s="120" t="str">
        <f>_xlfn.IFNA((VLOOKUP(Optimalisatie!AB67,Database_Brandstoffen[],60,FALSE)),"Nee")</f>
        <v>Nee</v>
      </c>
      <c r="L695" s="132">
        <f>IF(Inschrijf_Bouwplaats_Totaal[[#This Row],[Emissieloos Asfalt Aanlegset]]="JA",Inschrijf_Bouwplaats_Totaal[[#This Row],[Draaiuren Bouw Asfalt]],0)+IF(Inschrijf_Bouwplaats_Totaal[[#This Row],[Emissieloos Bouwmaterieel]]="JA",Inschrijf_Bouwplaats_Totaal[[#This Row],[Draaiuren Bouw Overig]],0)+IF(Inschrijf_Bouwplaats_Totaal[[#This Row],[Emissieloos Asfalt Verwijderset]]="JA",Inschrijf_Bouwplaats_Totaal[[#This Row],[Draaiuren Verwijder Asfalt]],0)+IF(Inschrijf_Bouwplaats_Totaal[[#This Row],[Emissieloos Sloopmaterieel]]="JA",Inschrijf_Bouwplaats_Totaal[[#This Row],[Draaiuren Verwijder Overig]],0)</f>
        <v>0</v>
      </c>
      <c r="M695" s="139">
        <f>_xlfn.IFNA(IF(Optimalisatie!C67="Nieuwe situatie",(Optimalisatie!R67/(VLOOKUP(Optimalisatie!W67,Database_Asfalt_Aanlegset[#All],60,FALSE)/8)),0),0)*Optimalisatie!T67</f>
        <v>0</v>
      </c>
      <c r="N695" s="139">
        <f>_xlfn.IFNA(IF(Optimalisatie!C67="Nieuwe situatie",Optimalisatie!S67/VLOOKUP(Optimalisatie!X67,Database_Overig_Materieel[#All],8,FALSE),0),0)*Optimalisatie!T67</f>
        <v>0</v>
      </c>
      <c r="O695" s="139">
        <f>_xlfn.IFNA(IF(Optimalisatie!C67="Bestaande situatie",Optimalisatie!R67/(VLOOKUP(Optimalisatie!AA67,Database_Asfalt_Verwijderset[#All],60,FALSE)/8),0),0)*Optimalisatie!T67</f>
        <v>0</v>
      </c>
      <c r="P695" s="139">
        <f>_xlfn.IFNA(IF(Optimalisatie!C67="Bestaande situatie",Optimalisatie!S67/VLOOKUP(Optimalisatie!AB67,Database_Overig_Materieel[#All],8,FALSE),0),0)*Optimalisatie!T67</f>
        <v>0</v>
      </c>
      <c r="Q695" s="139">
        <f>IF(Inschrijf_Bouwplaats_Totaal[[#This Row],[Emissieloos Asfalt Aanlegset]]="JA",Inschrijf_Bouwplaats_Totaal[[#This Row],[Draaiuren Bouw Asfalt Vervangingen]],0)+IF(Inschrijf_Bouwplaats_Totaal[[#This Row],[Emissieloos Bouwmaterieel]]="JA",Inschrijf_Bouwplaats_Totaal[[#This Row],[Draaiuren Bouw Overig Vervangingen]],0)+IF(Inschrijf_Bouwplaats_Totaal[[#This Row],[Emissieloos Asfalt Verwijderset]]="JA",Inschrijf_Bouwplaats_Totaal[[#This Row],[Draaiuren Verwijder Asfalt Vervangingen]],0)+IF(Inschrijf_Bouwplaats_Totaal[[#This Row],[Emissieloos Sloopmaterieel]]="JA",Inschrijf_Bouwplaats_Totaal[[#This Row],[Draaiuren Verwijder Overig Vervangingen]],0)</f>
        <v>0</v>
      </c>
      <c r="R695" s="139">
        <f>Inschrijf_Bouwplaats_Totaal[[#This Row],[Emissieloos bouwplaats]]+Inschrijf_Bouwplaats_Totaal[[#This Row],[Emissieloos bouwplaats Vervangingen]]</f>
        <v>0</v>
      </c>
      <c r="S695" s="139">
        <f>(Inschrijf_Bouwplaats_Totaal[[#This Row],[Draaiuren Bouw Asfalt]]+Inschrijf_Bouwplaats_Totaal[[#This Row],[Draaiuren Bouw Overig]]+Inschrijf_Bouwplaats_Totaal[[#This Row],[Draaiuren Verwijder Asfalt]]+Inschrijf_Bouwplaats_Totaal[[#This Row],[Draaiuren Verwijder Overig]]+Inschrijf_Bouwplaats_Totaal[[#This Row],[Draaiuren Bouw Asfalt Vervangingen]]+Inschrijf_Bouwplaats_Totaal[[#This Row],[Draaiuren Bouw Overig Vervangingen]]+Inschrijf_Bouwplaats_Totaal[[#This Row],[Draaiuren Verwijder Asfalt Vervangingen]]+Inschrijf_Bouwplaats_Totaal[[#This Row],[Draaiuren Verwijder Overig Vervangingen]])-Inschrijf_Bouwplaats_Totaal[[#This Row],[Totaal Emissieloos Bouwplaats]]</f>
        <v>0</v>
      </c>
      <c r="T695" s="139">
        <f>Inschrijf_Bouwplaats_Totaal[[#This Row],[Totaal Emissieloos Bouwplaats]]+Inschrijf_Bouwplaats_Totaal[[#This Row],[Totaal Niet Emissieloos Bouwplaats]]</f>
        <v>0</v>
      </c>
      <c r="U695" s="335"/>
    </row>
    <row r="696" spans="2:21">
      <c r="B696" s="209">
        <f>Optimalisatie!B68</f>
        <v>0</v>
      </c>
      <c r="C696" s="51">
        <f>Optimalisatie!F68</f>
        <v>0</v>
      </c>
      <c r="D696" s="134">
        <f>_xlfn.IFNA(IF(Optimalisatie!C68="Nieuwe situatie",(Optimalisatie!R68/(VLOOKUP(Optimalisatie!W68,Database_Asfalt_Aanlegset[#All],60,FALSE)/8)),0),0)</f>
        <v>0</v>
      </c>
      <c r="E696" s="135">
        <f>IFERROR(IF(Optimalisatie!C68="Nieuwe situatie",Optimalisatie!J68/Optimalisatie!Z68,0),0)</f>
        <v>0</v>
      </c>
      <c r="F696" s="135">
        <f>_xlfn.IFNA(IF(Optimalisatie!C68="Bestaande situatie",Optimalisatie!R68/(VLOOKUP(Optimalisatie!AA68,Database_Asfalt_Verwijderset[#All],60,FALSE)/8),0),0)</f>
        <v>0</v>
      </c>
      <c r="G696" s="138">
        <f>IFERROR(IF(Optimalisatie!C68="Bestaande situatie",Optimalisatie!J68/Optimalisatie!AD68,0),0)</f>
        <v>0</v>
      </c>
      <c r="H696" s="94" t="str">
        <f>_xlfn.IFNA((VLOOKUP(Optimalisatie!W68,Database_Asfalt_Aanlegset[],61,FALSE)),"Nee")</f>
        <v>Nee</v>
      </c>
      <c r="I696" s="94" t="str">
        <f>_xlfn.IFNA((VLOOKUP(Optimalisatie!X68,Database_Brandstoffen[],60,FALSE)),"Nee")</f>
        <v>Nee</v>
      </c>
      <c r="J696" s="94" t="str">
        <f>_xlfn.IFNA((VLOOKUP(Optimalisatie!AA68,Database_Asfalt_Verwijderset[],61,FALSE)),"Nee")</f>
        <v>Nee</v>
      </c>
      <c r="K696" s="120" t="str">
        <f>_xlfn.IFNA((VLOOKUP(Optimalisatie!AB68,Database_Brandstoffen[],60,FALSE)),"Nee")</f>
        <v>Nee</v>
      </c>
      <c r="L696" s="132">
        <f>IF(Inschrijf_Bouwplaats_Totaal[[#This Row],[Emissieloos Asfalt Aanlegset]]="JA",Inschrijf_Bouwplaats_Totaal[[#This Row],[Draaiuren Bouw Asfalt]],0)+IF(Inschrijf_Bouwplaats_Totaal[[#This Row],[Emissieloos Bouwmaterieel]]="JA",Inschrijf_Bouwplaats_Totaal[[#This Row],[Draaiuren Bouw Overig]],0)+IF(Inschrijf_Bouwplaats_Totaal[[#This Row],[Emissieloos Asfalt Verwijderset]]="JA",Inschrijf_Bouwplaats_Totaal[[#This Row],[Draaiuren Verwijder Asfalt]],0)+IF(Inschrijf_Bouwplaats_Totaal[[#This Row],[Emissieloos Sloopmaterieel]]="JA",Inschrijf_Bouwplaats_Totaal[[#This Row],[Draaiuren Verwijder Overig]],0)</f>
        <v>0</v>
      </c>
      <c r="M696" s="139">
        <f>_xlfn.IFNA(IF(Optimalisatie!C68="Nieuwe situatie",(Optimalisatie!R68/(VLOOKUP(Optimalisatie!W68,Database_Asfalt_Aanlegset[#All],60,FALSE)/8)),0),0)*Optimalisatie!T68</f>
        <v>0</v>
      </c>
      <c r="N696" s="139">
        <f>_xlfn.IFNA(IF(Optimalisatie!C68="Nieuwe situatie",Optimalisatie!S68/VLOOKUP(Optimalisatie!X68,Database_Overig_Materieel[#All],8,FALSE),0),0)*Optimalisatie!T68</f>
        <v>0</v>
      </c>
      <c r="O696" s="139">
        <f>_xlfn.IFNA(IF(Optimalisatie!C68="Bestaande situatie",Optimalisatie!R68/(VLOOKUP(Optimalisatie!AA68,Database_Asfalt_Verwijderset[#All],60,FALSE)/8),0),0)*Optimalisatie!T68</f>
        <v>0</v>
      </c>
      <c r="P696" s="139">
        <f>_xlfn.IFNA(IF(Optimalisatie!C68="Bestaande situatie",Optimalisatie!S68/VLOOKUP(Optimalisatie!AB68,Database_Overig_Materieel[#All],8,FALSE),0),0)*Optimalisatie!T68</f>
        <v>0</v>
      </c>
      <c r="Q696" s="139">
        <f>IF(Inschrijf_Bouwplaats_Totaal[[#This Row],[Emissieloos Asfalt Aanlegset]]="JA",Inschrijf_Bouwplaats_Totaal[[#This Row],[Draaiuren Bouw Asfalt Vervangingen]],0)+IF(Inschrijf_Bouwplaats_Totaal[[#This Row],[Emissieloos Bouwmaterieel]]="JA",Inschrijf_Bouwplaats_Totaal[[#This Row],[Draaiuren Bouw Overig Vervangingen]],0)+IF(Inschrijf_Bouwplaats_Totaal[[#This Row],[Emissieloos Asfalt Verwijderset]]="JA",Inschrijf_Bouwplaats_Totaal[[#This Row],[Draaiuren Verwijder Asfalt Vervangingen]],0)+IF(Inschrijf_Bouwplaats_Totaal[[#This Row],[Emissieloos Sloopmaterieel]]="JA",Inschrijf_Bouwplaats_Totaal[[#This Row],[Draaiuren Verwijder Overig Vervangingen]],0)</f>
        <v>0</v>
      </c>
      <c r="R696" s="139">
        <f>Inschrijf_Bouwplaats_Totaal[[#This Row],[Emissieloos bouwplaats]]+Inschrijf_Bouwplaats_Totaal[[#This Row],[Emissieloos bouwplaats Vervangingen]]</f>
        <v>0</v>
      </c>
      <c r="S696" s="139">
        <f>(Inschrijf_Bouwplaats_Totaal[[#This Row],[Draaiuren Bouw Asfalt]]+Inschrijf_Bouwplaats_Totaal[[#This Row],[Draaiuren Bouw Overig]]+Inschrijf_Bouwplaats_Totaal[[#This Row],[Draaiuren Verwijder Asfalt]]+Inschrijf_Bouwplaats_Totaal[[#This Row],[Draaiuren Verwijder Overig]]+Inschrijf_Bouwplaats_Totaal[[#This Row],[Draaiuren Bouw Asfalt Vervangingen]]+Inschrijf_Bouwplaats_Totaal[[#This Row],[Draaiuren Bouw Overig Vervangingen]]+Inschrijf_Bouwplaats_Totaal[[#This Row],[Draaiuren Verwijder Asfalt Vervangingen]]+Inschrijf_Bouwplaats_Totaal[[#This Row],[Draaiuren Verwijder Overig Vervangingen]])-Inschrijf_Bouwplaats_Totaal[[#This Row],[Totaal Emissieloos Bouwplaats]]</f>
        <v>0</v>
      </c>
      <c r="T696" s="139">
        <f>Inschrijf_Bouwplaats_Totaal[[#This Row],[Totaal Emissieloos Bouwplaats]]+Inschrijf_Bouwplaats_Totaal[[#This Row],[Totaal Niet Emissieloos Bouwplaats]]</f>
        <v>0</v>
      </c>
      <c r="U696" s="335"/>
    </row>
    <row r="697" spans="2:21">
      <c r="B697" s="209">
        <f>Optimalisatie!B69</f>
        <v>0</v>
      </c>
      <c r="C697" s="51">
        <f>Optimalisatie!F69</f>
        <v>0</v>
      </c>
      <c r="D697" s="134">
        <f>_xlfn.IFNA(IF(Optimalisatie!C69="Nieuwe situatie",(Optimalisatie!R69/(VLOOKUP(Optimalisatie!W69,Database_Asfalt_Aanlegset[#All],60,FALSE)/8)),0),0)</f>
        <v>0</v>
      </c>
      <c r="E697" s="135">
        <f>IFERROR(IF(Optimalisatie!C69="Nieuwe situatie",Optimalisatie!J69/Optimalisatie!Z69,0),0)</f>
        <v>0</v>
      </c>
      <c r="F697" s="135">
        <f>_xlfn.IFNA(IF(Optimalisatie!C69="Bestaande situatie",Optimalisatie!R69/(VLOOKUP(Optimalisatie!AA69,Database_Asfalt_Verwijderset[#All],60,FALSE)/8),0),0)</f>
        <v>0</v>
      </c>
      <c r="G697" s="138">
        <f>IFERROR(IF(Optimalisatie!C69="Bestaande situatie",Optimalisatie!J69/Optimalisatie!AD69,0),0)</f>
        <v>0</v>
      </c>
      <c r="H697" s="94" t="str">
        <f>_xlfn.IFNA((VLOOKUP(Optimalisatie!W69,Database_Asfalt_Aanlegset[],61,FALSE)),"Nee")</f>
        <v>Nee</v>
      </c>
      <c r="I697" s="94" t="str">
        <f>_xlfn.IFNA((VLOOKUP(Optimalisatie!X69,Database_Brandstoffen[],60,FALSE)),"Nee")</f>
        <v>Nee</v>
      </c>
      <c r="J697" s="94" t="str">
        <f>_xlfn.IFNA((VLOOKUP(Optimalisatie!AA69,Database_Asfalt_Verwijderset[],61,FALSE)),"Nee")</f>
        <v>Nee</v>
      </c>
      <c r="K697" s="120" t="str">
        <f>_xlfn.IFNA((VLOOKUP(Optimalisatie!AB69,Database_Brandstoffen[],60,FALSE)),"Nee")</f>
        <v>Nee</v>
      </c>
      <c r="L697" s="132">
        <f>IF(Inschrijf_Bouwplaats_Totaal[[#This Row],[Emissieloos Asfalt Aanlegset]]="JA",Inschrijf_Bouwplaats_Totaal[[#This Row],[Draaiuren Bouw Asfalt]],0)+IF(Inschrijf_Bouwplaats_Totaal[[#This Row],[Emissieloos Bouwmaterieel]]="JA",Inschrijf_Bouwplaats_Totaal[[#This Row],[Draaiuren Bouw Overig]],0)+IF(Inschrijf_Bouwplaats_Totaal[[#This Row],[Emissieloos Asfalt Verwijderset]]="JA",Inschrijf_Bouwplaats_Totaal[[#This Row],[Draaiuren Verwijder Asfalt]],0)+IF(Inschrijf_Bouwplaats_Totaal[[#This Row],[Emissieloos Sloopmaterieel]]="JA",Inschrijf_Bouwplaats_Totaal[[#This Row],[Draaiuren Verwijder Overig]],0)</f>
        <v>0</v>
      </c>
      <c r="M697" s="139">
        <f>_xlfn.IFNA(IF(Optimalisatie!C69="Nieuwe situatie",(Optimalisatie!R69/(VLOOKUP(Optimalisatie!W69,Database_Asfalt_Aanlegset[#All],60,FALSE)/8)),0),0)*Optimalisatie!T69</f>
        <v>0</v>
      </c>
      <c r="N697" s="139">
        <f>_xlfn.IFNA(IF(Optimalisatie!C69="Nieuwe situatie",Optimalisatie!S69/VLOOKUP(Optimalisatie!X69,Database_Overig_Materieel[#All],8,FALSE),0),0)*Optimalisatie!T69</f>
        <v>0</v>
      </c>
      <c r="O697" s="139">
        <f>_xlfn.IFNA(IF(Optimalisatie!C69="Bestaande situatie",Optimalisatie!R69/(VLOOKUP(Optimalisatie!AA69,Database_Asfalt_Verwijderset[#All],60,FALSE)/8),0),0)*Optimalisatie!T69</f>
        <v>0</v>
      </c>
      <c r="P697" s="139">
        <f>_xlfn.IFNA(IF(Optimalisatie!C69="Bestaande situatie",Optimalisatie!S69/VLOOKUP(Optimalisatie!AB69,Database_Overig_Materieel[#All],8,FALSE),0),0)*Optimalisatie!T69</f>
        <v>0</v>
      </c>
      <c r="Q697" s="139">
        <f>IF(Inschrijf_Bouwplaats_Totaal[[#This Row],[Emissieloos Asfalt Aanlegset]]="JA",Inschrijf_Bouwplaats_Totaal[[#This Row],[Draaiuren Bouw Asfalt Vervangingen]],0)+IF(Inschrijf_Bouwplaats_Totaal[[#This Row],[Emissieloos Bouwmaterieel]]="JA",Inschrijf_Bouwplaats_Totaal[[#This Row],[Draaiuren Bouw Overig Vervangingen]],0)+IF(Inschrijf_Bouwplaats_Totaal[[#This Row],[Emissieloos Asfalt Verwijderset]]="JA",Inschrijf_Bouwplaats_Totaal[[#This Row],[Draaiuren Verwijder Asfalt Vervangingen]],0)+IF(Inschrijf_Bouwplaats_Totaal[[#This Row],[Emissieloos Sloopmaterieel]]="JA",Inschrijf_Bouwplaats_Totaal[[#This Row],[Draaiuren Verwijder Overig Vervangingen]],0)</f>
        <v>0</v>
      </c>
      <c r="R697" s="139">
        <f>Inschrijf_Bouwplaats_Totaal[[#This Row],[Emissieloos bouwplaats]]+Inschrijf_Bouwplaats_Totaal[[#This Row],[Emissieloos bouwplaats Vervangingen]]</f>
        <v>0</v>
      </c>
      <c r="S697" s="139">
        <f>(Inschrijf_Bouwplaats_Totaal[[#This Row],[Draaiuren Bouw Asfalt]]+Inschrijf_Bouwplaats_Totaal[[#This Row],[Draaiuren Bouw Overig]]+Inschrijf_Bouwplaats_Totaal[[#This Row],[Draaiuren Verwijder Asfalt]]+Inschrijf_Bouwplaats_Totaal[[#This Row],[Draaiuren Verwijder Overig]]+Inschrijf_Bouwplaats_Totaal[[#This Row],[Draaiuren Bouw Asfalt Vervangingen]]+Inschrijf_Bouwplaats_Totaal[[#This Row],[Draaiuren Bouw Overig Vervangingen]]+Inschrijf_Bouwplaats_Totaal[[#This Row],[Draaiuren Verwijder Asfalt Vervangingen]]+Inschrijf_Bouwplaats_Totaal[[#This Row],[Draaiuren Verwijder Overig Vervangingen]])-Inschrijf_Bouwplaats_Totaal[[#This Row],[Totaal Emissieloos Bouwplaats]]</f>
        <v>0</v>
      </c>
      <c r="T697" s="139">
        <f>Inschrijf_Bouwplaats_Totaal[[#This Row],[Totaal Emissieloos Bouwplaats]]+Inschrijf_Bouwplaats_Totaal[[#This Row],[Totaal Niet Emissieloos Bouwplaats]]</f>
        <v>0</v>
      </c>
      <c r="U697" s="335"/>
    </row>
    <row r="698" spans="2:21">
      <c r="B698" s="209">
        <f>Optimalisatie!B70</f>
        <v>0</v>
      </c>
      <c r="C698" s="51">
        <f>Optimalisatie!F70</f>
        <v>0</v>
      </c>
      <c r="D698" s="134">
        <f>_xlfn.IFNA(IF(Optimalisatie!C70="Nieuwe situatie",(Optimalisatie!R70/(VLOOKUP(Optimalisatie!W70,Database_Asfalt_Aanlegset[#All],60,FALSE)/8)),0),0)</f>
        <v>0</v>
      </c>
      <c r="E698" s="135">
        <f>IFERROR(IF(Optimalisatie!C70="Nieuwe situatie",Optimalisatie!J70/Optimalisatie!Z70,0),0)</f>
        <v>0</v>
      </c>
      <c r="F698" s="135">
        <f>_xlfn.IFNA(IF(Optimalisatie!C70="Bestaande situatie",Optimalisatie!R70/(VLOOKUP(Optimalisatie!AA70,Database_Asfalt_Verwijderset[#All],60,FALSE)/8),0),0)</f>
        <v>0</v>
      </c>
      <c r="G698" s="138">
        <f>IFERROR(IF(Optimalisatie!C70="Bestaande situatie",Optimalisatie!J70/Optimalisatie!AD70,0),0)</f>
        <v>0</v>
      </c>
      <c r="H698" s="94" t="str">
        <f>_xlfn.IFNA((VLOOKUP(Optimalisatie!W70,Database_Asfalt_Aanlegset[],61,FALSE)),"Nee")</f>
        <v>Nee</v>
      </c>
      <c r="I698" s="94" t="str">
        <f>_xlfn.IFNA((VLOOKUP(Optimalisatie!X70,Database_Brandstoffen[],60,FALSE)),"Nee")</f>
        <v>Nee</v>
      </c>
      <c r="J698" s="94" t="str">
        <f>_xlfn.IFNA((VLOOKUP(Optimalisatie!AA70,Database_Asfalt_Verwijderset[],61,FALSE)),"Nee")</f>
        <v>Nee</v>
      </c>
      <c r="K698" s="120" t="str">
        <f>_xlfn.IFNA((VLOOKUP(Optimalisatie!AB70,Database_Brandstoffen[],60,FALSE)),"Nee")</f>
        <v>Nee</v>
      </c>
      <c r="L698" s="132">
        <f>IF(Inschrijf_Bouwplaats_Totaal[[#This Row],[Emissieloos Asfalt Aanlegset]]="JA",Inschrijf_Bouwplaats_Totaal[[#This Row],[Draaiuren Bouw Asfalt]],0)+IF(Inschrijf_Bouwplaats_Totaal[[#This Row],[Emissieloos Bouwmaterieel]]="JA",Inschrijf_Bouwplaats_Totaal[[#This Row],[Draaiuren Bouw Overig]],0)+IF(Inschrijf_Bouwplaats_Totaal[[#This Row],[Emissieloos Asfalt Verwijderset]]="JA",Inschrijf_Bouwplaats_Totaal[[#This Row],[Draaiuren Verwijder Asfalt]],0)+IF(Inschrijf_Bouwplaats_Totaal[[#This Row],[Emissieloos Sloopmaterieel]]="JA",Inschrijf_Bouwplaats_Totaal[[#This Row],[Draaiuren Verwijder Overig]],0)</f>
        <v>0</v>
      </c>
      <c r="M698" s="139">
        <f>_xlfn.IFNA(IF(Optimalisatie!C70="Nieuwe situatie",(Optimalisatie!R70/(VLOOKUP(Optimalisatie!W70,Database_Asfalt_Aanlegset[#All],60,FALSE)/8)),0),0)*Optimalisatie!T70</f>
        <v>0</v>
      </c>
      <c r="N698" s="139">
        <f>_xlfn.IFNA(IF(Optimalisatie!C70="Nieuwe situatie",Optimalisatie!S70/VLOOKUP(Optimalisatie!X70,Database_Overig_Materieel[#All],8,FALSE),0),0)*Optimalisatie!T70</f>
        <v>0</v>
      </c>
      <c r="O698" s="139">
        <f>_xlfn.IFNA(IF(Optimalisatie!C70="Bestaande situatie",Optimalisatie!R70/(VLOOKUP(Optimalisatie!AA70,Database_Asfalt_Verwijderset[#All],60,FALSE)/8),0),0)*Optimalisatie!T70</f>
        <v>0</v>
      </c>
      <c r="P698" s="139">
        <f>_xlfn.IFNA(IF(Optimalisatie!C70="Bestaande situatie",Optimalisatie!S70/VLOOKUP(Optimalisatie!AB70,Database_Overig_Materieel[#All],8,FALSE),0),0)*Optimalisatie!T70</f>
        <v>0</v>
      </c>
      <c r="Q698" s="139">
        <f>IF(Inschrijf_Bouwplaats_Totaal[[#This Row],[Emissieloos Asfalt Aanlegset]]="JA",Inschrijf_Bouwplaats_Totaal[[#This Row],[Draaiuren Bouw Asfalt Vervangingen]],0)+IF(Inschrijf_Bouwplaats_Totaal[[#This Row],[Emissieloos Bouwmaterieel]]="JA",Inschrijf_Bouwplaats_Totaal[[#This Row],[Draaiuren Bouw Overig Vervangingen]],0)+IF(Inschrijf_Bouwplaats_Totaal[[#This Row],[Emissieloos Asfalt Verwijderset]]="JA",Inschrijf_Bouwplaats_Totaal[[#This Row],[Draaiuren Verwijder Asfalt Vervangingen]],0)+IF(Inschrijf_Bouwplaats_Totaal[[#This Row],[Emissieloos Sloopmaterieel]]="JA",Inschrijf_Bouwplaats_Totaal[[#This Row],[Draaiuren Verwijder Overig Vervangingen]],0)</f>
        <v>0</v>
      </c>
      <c r="R698" s="139">
        <f>Inschrijf_Bouwplaats_Totaal[[#This Row],[Emissieloos bouwplaats]]+Inschrijf_Bouwplaats_Totaal[[#This Row],[Emissieloos bouwplaats Vervangingen]]</f>
        <v>0</v>
      </c>
      <c r="S698" s="139">
        <f>(Inschrijf_Bouwplaats_Totaal[[#This Row],[Draaiuren Bouw Asfalt]]+Inschrijf_Bouwplaats_Totaal[[#This Row],[Draaiuren Bouw Overig]]+Inschrijf_Bouwplaats_Totaal[[#This Row],[Draaiuren Verwijder Asfalt]]+Inschrijf_Bouwplaats_Totaal[[#This Row],[Draaiuren Verwijder Overig]]+Inschrijf_Bouwplaats_Totaal[[#This Row],[Draaiuren Bouw Asfalt Vervangingen]]+Inschrijf_Bouwplaats_Totaal[[#This Row],[Draaiuren Bouw Overig Vervangingen]]+Inschrijf_Bouwplaats_Totaal[[#This Row],[Draaiuren Verwijder Asfalt Vervangingen]]+Inschrijf_Bouwplaats_Totaal[[#This Row],[Draaiuren Verwijder Overig Vervangingen]])-Inschrijf_Bouwplaats_Totaal[[#This Row],[Totaal Emissieloos Bouwplaats]]</f>
        <v>0</v>
      </c>
      <c r="T698" s="139">
        <f>Inschrijf_Bouwplaats_Totaal[[#This Row],[Totaal Emissieloos Bouwplaats]]+Inschrijf_Bouwplaats_Totaal[[#This Row],[Totaal Niet Emissieloos Bouwplaats]]</f>
        <v>0</v>
      </c>
      <c r="U698" s="335"/>
    </row>
    <row r="699" spans="2:21">
      <c r="B699" s="209">
        <f>Optimalisatie!B71</f>
        <v>0</v>
      </c>
      <c r="C699" s="51">
        <f>Optimalisatie!F71</f>
        <v>0</v>
      </c>
      <c r="D699" s="134">
        <f>_xlfn.IFNA(IF(Optimalisatie!C71="Nieuwe situatie",(Optimalisatie!R71/(VLOOKUP(Optimalisatie!W71,Database_Asfalt_Aanlegset[#All],60,FALSE)/8)),0),0)</f>
        <v>0</v>
      </c>
      <c r="E699" s="135">
        <f>IFERROR(IF(Optimalisatie!C71="Nieuwe situatie",Optimalisatie!J71/Optimalisatie!Z71,0),0)</f>
        <v>0</v>
      </c>
      <c r="F699" s="135">
        <f>_xlfn.IFNA(IF(Optimalisatie!C71="Bestaande situatie",Optimalisatie!R71/(VLOOKUP(Optimalisatie!AA71,Database_Asfalt_Verwijderset[#All],60,FALSE)/8),0),0)</f>
        <v>0</v>
      </c>
      <c r="G699" s="138">
        <f>IFERROR(IF(Optimalisatie!C71="Bestaande situatie",Optimalisatie!J71/Optimalisatie!AD71,0),0)</f>
        <v>0</v>
      </c>
      <c r="H699" s="94" t="str">
        <f>_xlfn.IFNA((VLOOKUP(Optimalisatie!W71,Database_Asfalt_Aanlegset[],61,FALSE)),"Nee")</f>
        <v>Nee</v>
      </c>
      <c r="I699" s="94" t="str">
        <f>_xlfn.IFNA((VLOOKUP(Optimalisatie!X71,Database_Brandstoffen[],60,FALSE)),"Nee")</f>
        <v>Nee</v>
      </c>
      <c r="J699" s="94" t="str">
        <f>_xlfn.IFNA((VLOOKUP(Optimalisatie!AA71,Database_Asfalt_Verwijderset[],61,FALSE)),"Nee")</f>
        <v>Nee</v>
      </c>
      <c r="K699" s="120" t="str">
        <f>_xlfn.IFNA((VLOOKUP(Optimalisatie!AB71,Database_Brandstoffen[],60,FALSE)),"Nee")</f>
        <v>Nee</v>
      </c>
      <c r="L699" s="132">
        <f>IF(Inschrijf_Bouwplaats_Totaal[[#This Row],[Emissieloos Asfalt Aanlegset]]="JA",Inschrijf_Bouwplaats_Totaal[[#This Row],[Draaiuren Bouw Asfalt]],0)+IF(Inschrijf_Bouwplaats_Totaal[[#This Row],[Emissieloos Bouwmaterieel]]="JA",Inschrijf_Bouwplaats_Totaal[[#This Row],[Draaiuren Bouw Overig]],0)+IF(Inschrijf_Bouwplaats_Totaal[[#This Row],[Emissieloos Asfalt Verwijderset]]="JA",Inschrijf_Bouwplaats_Totaal[[#This Row],[Draaiuren Verwijder Asfalt]],0)+IF(Inschrijf_Bouwplaats_Totaal[[#This Row],[Emissieloos Sloopmaterieel]]="JA",Inschrijf_Bouwplaats_Totaal[[#This Row],[Draaiuren Verwijder Overig]],0)</f>
        <v>0</v>
      </c>
      <c r="M699" s="139">
        <f>_xlfn.IFNA(IF(Optimalisatie!C71="Nieuwe situatie",(Optimalisatie!R71/(VLOOKUP(Optimalisatie!W71,Database_Asfalt_Aanlegset[#All],60,FALSE)/8)),0),0)*Optimalisatie!T71</f>
        <v>0</v>
      </c>
      <c r="N699" s="139">
        <f>_xlfn.IFNA(IF(Optimalisatie!C71="Nieuwe situatie",Optimalisatie!S71/VLOOKUP(Optimalisatie!X71,Database_Overig_Materieel[#All],8,FALSE),0),0)*Optimalisatie!T71</f>
        <v>0</v>
      </c>
      <c r="O699" s="139">
        <f>_xlfn.IFNA(IF(Optimalisatie!C71="Bestaande situatie",Optimalisatie!R71/(VLOOKUP(Optimalisatie!AA71,Database_Asfalt_Verwijderset[#All],60,FALSE)/8),0),0)*Optimalisatie!T71</f>
        <v>0</v>
      </c>
      <c r="P699" s="139">
        <f>_xlfn.IFNA(IF(Optimalisatie!C71="Bestaande situatie",Optimalisatie!S71/VLOOKUP(Optimalisatie!AB71,Database_Overig_Materieel[#All],8,FALSE),0),0)*Optimalisatie!T71</f>
        <v>0</v>
      </c>
      <c r="Q699" s="139">
        <f>IF(Inschrijf_Bouwplaats_Totaal[[#This Row],[Emissieloos Asfalt Aanlegset]]="JA",Inschrijf_Bouwplaats_Totaal[[#This Row],[Draaiuren Bouw Asfalt Vervangingen]],0)+IF(Inschrijf_Bouwplaats_Totaal[[#This Row],[Emissieloos Bouwmaterieel]]="JA",Inschrijf_Bouwplaats_Totaal[[#This Row],[Draaiuren Bouw Overig Vervangingen]],0)+IF(Inschrijf_Bouwplaats_Totaal[[#This Row],[Emissieloos Asfalt Verwijderset]]="JA",Inschrijf_Bouwplaats_Totaal[[#This Row],[Draaiuren Verwijder Asfalt Vervangingen]],0)+IF(Inschrijf_Bouwplaats_Totaal[[#This Row],[Emissieloos Sloopmaterieel]]="JA",Inschrijf_Bouwplaats_Totaal[[#This Row],[Draaiuren Verwijder Overig Vervangingen]],0)</f>
        <v>0</v>
      </c>
      <c r="R699" s="139">
        <f>Inschrijf_Bouwplaats_Totaal[[#This Row],[Emissieloos bouwplaats]]+Inschrijf_Bouwplaats_Totaal[[#This Row],[Emissieloos bouwplaats Vervangingen]]</f>
        <v>0</v>
      </c>
      <c r="S699" s="139">
        <f>(Inschrijf_Bouwplaats_Totaal[[#This Row],[Draaiuren Bouw Asfalt]]+Inschrijf_Bouwplaats_Totaal[[#This Row],[Draaiuren Bouw Overig]]+Inschrijf_Bouwplaats_Totaal[[#This Row],[Draaiuren Verwijder Asfalt]]+Inschrijf_Bouwplaats_Totaal[[#This Row],[Draaiuren Verwijder Overig]]+Inschrijf_Bouwplaats_Totaal[[#This Row],[Draaiuren Bouw Asfalt Vervangingen]]+Inschrijf_Bouwplaats_Totaal[[#This Row],[Draaiuren Bouw Overig Vervangingen]]+Inschrijf_Bouwplaats_Totaal[[#This Row],[Draaiuren Verwijder Asfalt Vervangingen]]+Inschrijf_Bouwplaats_Totaal[[#This Row],[Draaiuren Verwijder Overig Vervangingen]])-Inschrijf_Bouwplaats_Totaal[[#This Row],[Totaal Emissieloos Bouwplaats]]</f>
        <v>0</v>
      </c>
      <c r="T699" s="139">
        <f>Inschrijf_Bouwplaats_Totaal[[#This Row],[Totaal Emissieloos Bouwplaats]]+Inschrijf_Bouwplaats_Totaal[[#This Row],[Totaal Niet Emissieloos Bouwplaats]]</f>
        <v>0</v>
      </c>
      <c r="U699" s="335"/>
    </row>
    <row r="700" spans="2:21">
      <c r="B700" s="209">
        <f>Optimalisatie!B72</f>
        <v>0</v>
      </c>
      <c r="C700" s="51">
        <f>Optimalisatie!F72</f>
        <v>0</v>
      </c>
      <c r="D700" s="134">
        <f>_xlfn.IFNA(IF(Optimalisatie!C72="Nieuwe situatie",(Optimalisatie!R72/(VLOOKUP(Optimalisatie!W72,Database_Asfalt_Aanlegset[#All],60,FALSE)/8)),0),0)</f>
        <v>0</v>
      </c>
      <c r="E700" s="135">
        <f>IFERROR(IF(Optimalisatie!C72="Nieuwe situatie",Optimalisatie!J72/Optimalisatie!Z72,0),0)</f>
        <v>0</v>
      </c>
      <c r="F700" s="135">
        <f>_xlfn.IFNA(IF(Optimalisatie!C72="Bestaande situatie",Optimalisatie!R72/(VLOOKUP(Optimalisatie!AA72,Database_Asfalt_Verwijderset[#All],60,FALSE)/8),0),0)</f>
        <v>0</v>
      </c>
      <c r="G700" s="138">
        <f>IFERROR(IF(Optimalisatie!C72="Bestaande situatie",Optimalisatie!J72/Optimalisatie!AD72,0),0)</f>
        <v>0</v>
      </c>
      <c r="H700" s="94" t="str">
        <f>_xlfn.IFNA((VLOOKUP(Optimalisatie!W72,Database_Asfalt_Aanlegset[],61,FALSE)),"Nee")</f>
        <v>Nee</v>
      </c>
      <c r="I700" s="94" t="str">
        <f>_xlfn.IFNA((VLOOKUP(Optimalisatie!X72,Database_Brandstoffen[],60,FALSE)),"Nee")</f>
        <v>Nee</v>
      </c>
      <c r="J700" s="94" t="str">
        <f>_xlfn.IFNA((VLOOKUP(Optimalisatie!AA72,Database_Asfalt_Verwijderset[],61,FALSE)),"Nee")</f>
        <v>Nee</v>
      </c>
      <c r="K700" s="120" t="str">
        <f>_xlfn.IFNA((VLOOKUP(Optimalisatie!AB72,Database_Brandstoffen[],60,FALSE)),"Nee")</f>
        <v>Nee</v>
      </c>
      <c r="L700" s="132">
        <f>IF(Inschrijf_Bouwplaats_Totaal[[#This Row],[Emissieloos Asfalt Aanlegset]]="JA",Inschrijf_Bouwplaats_Totaal[[#This Row],[Draaiuren Bouw Asfalt]],0)+IF(Inschrijf_Bouwplaats_Totaal[[#This Row],[Emissieloos Bouwmaterieel]]="JA",Inschrijf_Bouwplaats_Totaal[[#This Row],[Draaiuren Bouw Overig]],0)+IF(Inschrijf_Bouwplaats_Totaal[[#This Row],[Emissieloos Asfalt Verwijderset]]="JA",Inschrijf_Bouwplaats_Totaal[[#This Row],[Draaiuren Verwijder Asfalt]],0)+IF(Inschrijf_Bouwplaats_Totaal[[#This Row],[Emissieloos Sloopmaterieel]]="JA",Inschrijf_Bouwplaats_Totaal[[#This Row],[Draaiuren Verwijder Overig]],0)</f>
        <v>0</v>
      </c>
      <c r="M700" s="139">
        <f>_xlfn.IFNA(IF(Optimalisatie!C72="Nieuwe situatie",(Optimalisatie!R72/(VLOOKUP(Optimalisatie!W72,Database_Asfalt_Aanlegset[#All],60,FALSE)/8)),0),0)*Optimalisatie!T72</f>
        <v>0</v>
      </c>
      <c r="N700" s="139">
        <f>_xlfn.IFNA(IF(Optimalisatie!C72="Nieuwe situatie",Optimalisatie!S72/VLOOKUP(Optimalisatie!X72,Database_Overig_Materieel[#All],8,FALSE),0),0)*Optimalisatie!T72</f>
        <v>0</v>
      </c>
      <c r="O700" s="139">
        <f>_xlfn.IFNA(IF(Optimalisatie!C72="Bestaande situatie",Optimalisatie!R72/(VLOOKUP(Optimalisatie!AA72,Database_Asfalt_Verwijderset[#All],60,FALSE)/8),0),0)*Optimalisatie!T72</f>
        <v>0</v>
      </c>
      <c r="P700" s="139">
        <f>_xlfn.IFNA(IF(Optimalisatie!C72="Bestaande situatie",Optimalisatie!S72/VLOOKUP(Optimalisatie!AB72,Database_Overig_Materieel[#All],8,FALSE),0),0)*Optimalisatie!T72</f>
        <v>0</v>
      </c>
      <c r="Q700" s="139">
        <f>IF(Inschrijf_Bouwplaats_Totaal[[#This Row],[Emissieloos Asfalt Aanlegset]]="JA",Inschrijf_Bouwplaats_Totaal[[#This Row],[Draaiuren Bouw Asfalt Vervangingen]],0)+IF(Inschrijf_Bouwplaats_Totaal[[#This Row],[Emissieloos Bouwmaterieel]]="JA",Inschrijf_Bouwplaats_Totaal[[#This Row],[Draaiuren Bouw Overig Vervangingen]],0)+IF(Inschrijf_Bouwplaats_Totaal[[#This Row],[Emissieloos Asfalt Verwijderset]]="JA",Inschrijf_Bouwplaats_Totaal[[#This Row],[Draaiuren Verwijder Asfalt Vervangingen]],0)+IF(Inschrijf_Bouwplaats_Totaal[[#This Row],[Emissieloos Sloopmaterieel]]="JA",Inschrijf_Bouwplaats_Totaal[[#This Row],[Draaiuren Verwijder Overig Vervangingen]],0)</f>
        <v>0</v>
      </c>
      <c r="R700" s="139">
        <f>Inschrijf_Bouwplaats_Totaal[[#This Row],[Emissieloos bouwplaats]]+Inschrijf_Bouwplaats_Totaal[[#This Row],[Emissieloos bouwplaats Vervangingen]]</f>
        <v>0</v>
      </c>
      <c r="S700" s="139">
        <f>(Inschrijf_Bouwplaats_Totaal[[#This Row],[Draaiuren Bouw Asfalt]]+Inschrijf_Bouwplaats_Totaal[[#This Row],[Draaiuren Bouw Overig]]+Inschrijf_Bouwplaats_Totaal[[#This Row],[Draaiuren Verwijder Asfalt]]+Inschrijf_Bouwplaats_Totaal[[#This Row],[Draaiuren Verwijder Overig]]+Inschrijf_Bouwplaats_Totaal[[#This Row],[Draaiuren Bouw Asfalt Vervangingen]]+Inschrijf_Bouwplaats_Totaal[[#This Row],[Draaiuren Bouw Overig Vervangingen]]+Inschrijf_Bouwplaats_Totaal[[#This Row],[Draaiuren Verwijder Asfalt Vervangingen]]+Inschrijf_Bouwplaats_Totaal[[#This Row],[Draaiuren Verwijder Overig Vervangingen]])-Inschrijf_Bouwplaats_Totaal[[#This Row],[Totaal Emissieloos Bouwplaats]]</f>
        <v>0</v>
      </c>
      <c r="T700" s="139">
        <f>Inschrijf_Bouwplaats_Totaal[[#This Row],[Totaal Emissieloos Bouwplaats]]+Inschrijf_Bouwplaats_Totaal[[#This Row],[Totaal Niet Emissieloos Bouwplaats]]</f>
        <v>0</v>
      </c>
      <c r="U700" s="335"/>
    </row>
    <row r="701" spans="2:21">
      <c r="B701" s="209">
        <f>Optimalisatie!B73</f>
        <v>0</v>
      </c>
      <c r="C701" s="51">
        <f>Optimalisatie!F73</f>
        <v>0</v>
      </c>
      <c r="D701" s="134">
        <f>_xlfn.IFNA(IF(Optimalisatie!C73="Nieuwe situatie",(Optimalisatie!R73/(VLOOKUP(Optimalisatie!W73,Database_Asfalt_Aanlegset[#All],60,FALSE)/8)),0),0)</f>
        <v>0</v>
      </c>
      <c r="E701" s="135">
        <f>IFERROR(IF(Optimalisatie!C73="Nieuwe situatie",Optimalisatie!J73/Optimalisatie!Z73,0),0)</f>
        <v>0</v>
      </c>
      <c r="F701" s="135">
        <f>_xlfn.IFNA(IF(Optimalisatie!C73="Bestaande situatie",Optimalisatie!R73/(VLOOKUP(Optimalisatie!AA73,Database_Asfalt_Verwijderset[#All],60,FALSE)/8),0),0)</f>
        <v>0</v>
      </c>
      <c r="G701" s="138">
        <f>IFERROR(IF(Optimalisatie!C73="Bestaande situatie",Optimalisatie!J73/Optimalisatie!AD73,0),0)</f>
        <v>0</v>
      </c>
      <c r="H701" s="94" t="str">
        <f>_xlfn.IFNA((VLOOKUP(Optimalisatie!W73,Database_Asfalt_Aanlegset[],61,FALSE)),"Nee")</f>
        <v>Nee</v>
      </c>
      <c r="I701" s="94" t="str">
        <f>_xlfn.IFNA((VLOOKUP(Optimalisatie!X73,Database_Brandstoffen[],60,FALSE)),"Nee")</f>
        <v>Nee</v>
      </c>
      <c r="J701" s="94" t="str">
        <f>_xlfn.IFNA((VLOOKUP(Optimalisatie!AA73,Database_Asfalt_Verwijderset[],61,FALSE)),"Nee")</f>
        <v>Nee</v>
      </c>
      <c r="K701" s="120" t="str">
        <f>_xlfn.IFNA((VLOOKUP(Optimalisatie!AB73,Database_Brandstoffen[],60,FALSE)),"Nee")</f>
        <v>Nee</v>
      </c>
      <c r="L701" s="132">
        <f>IF(Inschrijf_Bouwplaats_Totaal[[#This Row],[Emissieloos Asfalt Aanlegset]]="JA",Inschrijf_Bouwplaats_Totaal[[#This Row],[Draaiuren Bouw Asfalt]],0)+IF(Inschrijf_Bouwplaats_Totaal[[#This Row],[Emissieloos Bouwmaterieel]]="JA",Inschrijf_Bouwplaats_Totaal[[#This Row],[Draaiuren Bouw Overig]],0)+IF(Inschrijf_Bouwplaats_Totaal[[#This Row],[Emissieloos Asfalt Verwijderset]]="JA",Inschrijf_Bouwplaats_Totaal[[#This Row],[Draaiuren Verwijder Asfalt]],0)+IF(Inschrijf_Bouwplaats_Totaal[[#This Row],[Emissieloos Sloopmaterieel]]="JA",Inschrijf_Bouwplaats_Totaal[[#This Row],[Draaiuren Verwijder Overig]],0)</f>
        <v>0</v>
      </c>
      <c r="M701" s="139">
        <f>_xlfn.IFNA(IF(Optimalisatie!C73="Nieuwe situatie",(Optimalisatie!R73/(VLOOKUP(Optimalisatie!W73,Database_Asfalt_Aanlegset[#All],60,FALSE)/8)),0),0)*Optimalisatie!T73</f>
        <v>0</v>
      </c>
      <c r="N701" s="139">
        <f>_xlfn.IFNA(IF(Optimalisatie!C73="Nieuwe situatie",Optimalisatie!S73/VLOOKUP(Optimalisatie!X73,Database_Overig_Materieel[#All],8,FALSE),0),0)*Optimalisatie!T73</f>
        <v>0</v>
      </c>
      <c r="O701" s="139">
        <f>_xlfn.IFNA(IF(Optimalisatie!C73="Bestaande situatie",Optimalisatie!R73/(VLOOKUP(Optimalisatie!AA73,Database_Asfalt_Verwijderset[#All],60,FALSE)/8),0),0)*Optimalisatie!T73</f>
        <v>0</v>
      </c>
      <c r="P701" s="139">
        <f>_xlfn.IFNA(IF(Optimalisatie!C73="Bestaande situatie",Optimalisatie!S73/VLOOKUP(Optimalisatie!AB73,Database_Overig_Materieel[#All],8,FALSE),0),0)*Optimalisatie!T73</f>
        <v>0</v>
      </c>
      <c r="Q701" s="139">
        <f>IF(Inschrijf_Bouwplaats_Totaal[[#This Row],[Emissieloos Asfalt Aanlegset]]="JA",Inschrijf_Bouwplaats_Totaal[[#This Row],[Draaiuren Bouw Asfalt Vervangingen]],0)+IF(Inschrijf_Bouwplaats_Totaal[[#This Row],[Emissieloos Bouwmaterieel]]="JA",Inschrijf_Bouwplaats_Totaal[[#This Row],[Draaiuren Bouw Overig Vervangingen]],0)+IF(Inschrijf_Bouwplaats_Totaal[[#This Row],[Emissieloos Asfalt Verwijderset]]="JA",Inschrijf_Bouwplaats_Totaal[[#This Row],[Draaiuren Verwijder Asfalt Vervangingen]],0)+IF(Inschrijf_Bouwplaats_Totaal[[#This Row],[Emissieloos Sloopmaterieel]]="JA",Inschrijf_Bouwplaats_Totaal[[#This Row],[Draaiuren Verwijder Overig Vervangingen]],0)</f>
        <v>0</v>
      </c>
      <c r="R701" s="139">
        <f>Inschrijf_Bouwplaats_Totaal[[#This Row],[Emissieloos bouwplaats]]+Inschrijf_Bouwplaats_Totaal[[#This Row],[Emissieloos bouwplaats Vervangingen]]</f>
        <v>0</v>
      </c>
      <c r="S701" s="139">
        <f>(Inschrijf_Bouwplaats_Totaal[[#This Row],[Draaiuren Bouw Asfalt]]+Inschrijf_Bouwplaats_Totaal[[#This Row],[Draaiuren Bouw Overig]]+Inschrijf_Bouwplaats_Totaal[[#This Row],[Draaiuren Verwijder Asfalt]]+Inschrijf_Bouwplaats_Totaal[[#This Row],[Draaiuren Verwijder Overig]]+Inschrijf_Bouwplaats_Totaal[[#This Row],[Draaiuren Bouw Asfalt Vervangingen]]+Inschrijf_Bouwplaats_Totaal[[#This Row],[Draaiuren Bouw Overig Vervangingen]]+Inschrijf_Bouwplaats_Totaal[[#This Row],[Draaiuren Verwijder Asfalt Vervangingen]]+Inschrijf_Bouwplaats_Totaal[[#This Row],[Draaiuren Verwijder Overig Vervangingen]])-Inschrijf_Bouwplaats_Totaal[[#This Row],[Totaal Emissieloos Bouwplaats]]</f>
        <v>0</v>
      </c>
      <c r="T701" s="139">
        <f>Inschrijf_Bouwplaats_Totaal[[#This Row],[Totaal Emissieloos Bouwplaats]]+Inschrijf_Bouwplaats_Totaal[[#This Row],[Totaal Niet Emissieloos Bouwplaats]]</f>
        <v>0</v>
      </c>
      <c r="U701" s="335"/>
    </row>
    <row r="702" spans="2:21">
      <c r="B702" s="209">
        <f>Optimalisatie!B74</f>
        <v>0</v>
      </c>
      <c r="C702" s="51">
        <f>Optimalisatie!F74</f>
        <v>0</v>
      </c>
      <c r="D702" s="134">
        <f>_xlfn.IFNA(IF(Optimalisatie!C74="Nieuwe situatie",(Optimalisatie!R74/(VLOOKUP(Optimalisatie!W74,Database_Asfalt_Aanlegset[#All],60,FALSE)/8)),0),0)</f>
        <v>0</v>
      </c>
      <c r="E702" s="135">
        <f>IFERROR(IF(Optimalisatie!C74="Nieuwe situatie",Optimalisatie!J74/Optimalisatie!Z74,0),0)</f>
        <v>0</v>
      </c>
      <c r="F702" s="135">
        <f>_xlfn.IFNA(IF(Optimalisatie!C74="Bestaande situatie",Optimalisatie!R74/(VLOOKUP(Optimalisatie!AA74,Database_Asfalt_Verwijderset[#All],60,FALSE)/8),0),0)</f>
        <v>0</v>
      </c>
      <c r="G702" s="138">
        <f>IFERROR(IF(Optimalisatie!C74="Bestaande situatie",Optimalisatie!J74/Optimalisatie!AD74,0),0)</f>
        <v>0</v>
      </c>
      <c r="H702" s="94" t="str">
        <f>_xlfn.IFNA((VLOOKUP(Optimalisatie!W74,Database_Asfalt_Aanlegset[],61,FALSE)),"Nee")</f>
        <v>Nee</v>
      </c>
      <c r="I702" s="94" t="str">
        <f>_xlfn.IFNA((VLOOKUP(Optimalisatie!X74,Database_Brandstoffen[],60,FALSE)),"Nee")</f>
        <v>Nee</v>
      </c>
      <c r="J702" s="94" t="str">
        <f>_xlfn.IFNA((VLOOKUP(Optimalisatie!AA74,Database_Asfalt_Verwijderset[],61,FALSE)),"Nee")</f>
        <v>Nee</v>
      </c>
      <c r="K702" s="120" t="str">
        <f>_xlfn.IFNA((VLOOKUP(Optimalisatie!AB74,Database_Brandstoffen[],60,FALSE)),"Nee")</f>
        <v>Nee</v>
      </c>
      <c r="L702" s="132">
        <f>IF(Inschrijf_Bouwplaats_Totaal[[#This Row],[Emissieloos Asfalt Aanlegset]]="JA",Inschrijf_Bouwplaats_Totaal[[#This Row],[Draaiuren Bouw Asfalt]],0)+IF(Inschrijf_Bouwplaats_Totaal[[#This Row],[Emissieloos Bouwmaterieel]]="JA",Inschrijf_Bouwplaats_Totaal[[#This Row],[Draaiuren Bouw Overig]],0)+IF(Inschrijf_Bouwplaats_Totaal[[#This Row],[Emissieloos Asfalt Verwijderset]]="JA",Inschrijf_Bouwplaats_Totaal[[#This Row],[Draaiuren Verwijder Asfalt]],0)+IF(Inschrijf_Bouwplaats_Totaal[[#This Row],[Emissieloos Sloopmaterieel]]="JA",Inschrijf_Bouwplaats_Totaal[[#This Row],[Draaiuren Verwijder Overig]],0)</f>
        <v>0</v>
      </c>
      <c r="M702" s="139">
        <f>_xlfn.IFNA(IF(Optimalisatie!C74="Nieuwe situatie",(Optimalisatie!R74/(VLOOKUP(Optimalisatie!W74,Database_Asfalt_Aanlegset[#All],60,FALSE)/8)),0),0)*Optimalisatie!T74</f>
        <v>0</v>
      </c>
      <c r="N702" s="139">
        <f>_xlfn.IFNA(IF(Optimalisatie!C74="Nieuwe situatie",Optimalisatie!S74/VLOOKUP(Optimalisatie!X74,Database_Overig_Materieel[#All],8,FALSE),0),0)*Optimalisatie!T74</f>
        <v>0</v>
      </c>
      <c r="O702" s="139">
        <f>_xlfn.IFNA(IF(Optimalisatie!C74="Bestaande situatie",Optimalisatie!R74/(VLOOKUP(Optimalisatie!AA74,Database_Asfalt_Verwijderset[#All],60,FALSE)/8),0),0)*Optimalisatie!T74</f>
        <v>0</v>
      </c>
      <c r="P702" s="139">
        <f>_xlfn.IFNA(IF(Optimalisatie!C74="Bestaande situatie",Optimalisatie!S74/VLOOKUP(Optimalisatie!AB74,Database_Overig_Materieel[#All],8,FALSE),0),0)*Optimalisatie!T74</f>
        <v>0</v>
      </c>
      <c r="Q702" s="139">
        <f>IF(Inschrijf_Bouwplaats_Totaal[[#This Row],[Emissieloos Asfalt Aanlegset]]="JA",Inschrijf_Bouwplaats_Totaal[[#This Row],[Draaiuren Bouw Asfalt Vervangingen]],0)+IF(Inschrijf_Bouwplaats_Totaal[[#This Row],[Emissieloos Bouwmaterieel]]="JA",Inschrijf_Bouwplaats_Totaal[[#This Row],[Draaiuren Bouw Overig Vervangingen]],0)+IF(Inschrijf_Bouwplaats_Totaal[[#This Row],[Emissieloos Asfalt Verwijderset]]="JA",Inschrijf_Bouwplaats_Totaal[[#This Row],[Draaiuren Verwijder Asfalt Vervangingen]],0)+IF(Inschrijf_Bouwplaats_Totaal[[#This Row],[Emissieloos Sloopmaterieel]]="JA",Inschrijf_Bouwplaats_Totaal[[#This Row],[Draaiuren Verwijder Overig Vervangingen]],0)</f>
        <v>0</v>
      </c>
      <c r="R702" s="139">
        <f>Inschrijf_Bouwplaats_Totaal[[#This Row],[Emissieloos bouwplaats]]+Inschrijf_Bouwplaats_Totaal[[#This Row],[Emissieloos bouwplaats Vervangingen]]</f>
        <v>0</v>
      </c>
      <c r="S702" s="139">
        <f>(Inschrijf_Bouwplaats_Totaal[[#This Row],[Draaiuren Bouw Asfalt]]+Inschrijf_Bouwplaats_Totaal[[#This Row],[Draaiuren Bouw Overig]]+Inschrijf_Bouwplaats_Totaal[[#This Row],[Draaiuren Verwijder Asfalt]]+Inschrijf_Bouwplaats_Totaal[[#This Row],[Draaiuren Verwijder Overig]]+Inschrijf_Bouwplaats_Totaal[[#This Row],[Draaiuren Bouw Asfalt Vervangingen]]+Inschrijf_Bouwplaats_Totaal[[#This Row],[Draaiuren Bouw Overig Vervangingen]]+Inschrijf_Bouwplaats_Totaal[[#This Row],[Draaiuren Verwijder Asfalt Vervangingen]]+Inschrijf_Bouwplaats_Totaal[[#This Row],[Draaiuren Verwijder Overig Vervangingen]])-Inschrijf_Bouwplaats_Totaal[[#This Row],[Totaal Emissieloos Bouwplaats]]</f>
        <v>0</v>
      </c>
      <c r="T702" s="139">
        <f>Inschrijf_Bouwplaats_Totaal[[#This Row],[Totaal Emissieloos Bouwplaats]]+Inschrijf_Bouwplaats_Totaal[[#This Row],[Totaal Niet Emissieloos Bouwplaats]]</f>
        <v>0</v>
      </c>
      <c r="U702" s="335"/>
    </row>
    <row r="703" spans="2:21">
      <c r="B703" s="209">
        <f>Optimalisatie!B75</f>
        <v>0</v>
      </c>
      <c r="C703" s="51">
        <f>Optimalisatie!F75</f>
        <v>0</v>
      </c>
      <c r="D703" s="134">
        <f>_xlfn.IFNA(IF(Optimalisatie!C75="Nieuwe situatie",(Optimalisatie!R75/(VLOOKUP(Optimalisatie!W75,Database_Asfalt_Aanlegset[#All],60,FALSE)/8)),0),0)</f>
        <v>0</v>
      </c>
      <c r="E703" s="135">
        <f>IFERROR(IF(Optimalisatie!C75="Nieuwe situatie",Optimalisatie!J75/Optimalisatie!Z75,0),0)</f>
        <v>0</v>
      </c>
      <c r="F703" s="135">
        <f>_xlfn.IFNA(IF(Optimalisatie!C75="Bestaande situatie",Optimalisatie!R75/(VLOOKUP(Optimalisatie!AA75,Database_Asfalt_Verwijderset[#All],60,FALSE)/8),0),0)</f>
        <v>0</v>
      </c>
      <c r="G703" s="138">
        <f>IFERROR(IF(Optimalisatie!C75="Bestaande situatie",Optimalisatie!J75/Optimalisatie!AD75,0),0)</f>
        <v>0</v>
      </c>
      <c r="H703" s="94" t="str">
        <f>_xlfn.IFNA((VLOOKUP(Optimalisatie!W75,Database_Asfalt_Aanlegset[],61,FALSE)),"Nee")</f>
        <v>Nee</v>
      </c>
      <c r="I703" s="94" t="str">
        <f>_xlfn.IFNA((VLOOKUP(Optimalisatie!X75,Database_Brandstoffen[],60,FALSE)),"Nee")</f>
        <v>Nee</v>
      </c>
      <c r="J703" s="94" t="str">
        <f>_xlfn.IFNA((VLOOKUP(Optimalisatie!AA75,Database_Asfalt_Verwijderset[],61,FALSE)),"Nee")</f>
        <v>Nee</v>
      </c>
      <c r="K703" s="120" t="str">
        <f>_xlfn.IFNA((VLOOKUP(Optimalisatie!AB75,Database_Brandstoffen[],60,FALSE)),"Nee")</f>
        <v>Nee</v>
      </c>
      <c r="L703" s="132">
        <f>IF(Inschrijf_Bouwplaats_Totaal[[#This Row],[Emissieloos Asfalt Aanlegset]]="JA",Inschrijf_Bouwplaats_Totaal[[#This Row],[Draaiuren Bouw Asfalt]],0)+IF(Inschrijf_Bouwplaats_Totaal[[#This Row],[Emissieloos Bouwmaterieel]]="JA",Inschrijf_Bouwplaats_Totaal[[#This Row],[Draaiuren Bouw Overig]],0)+IF(Inschrijf_Bouwplaats_Totaal[[#This Row],[Emissieloos Asfalt Verwijderset]]="JA",Inschrijf_Bouwplaats_Totaal[[#This Row],[Draaiuren Verwijder Asfalt]],0)+IF(Inschrijf_Bouwplaats_Totaal[[#This Row],[Emissieloos Sloopmaterieel]]="JA",Inschrijf_Bouwplaats_Totaal[[#This Row],[Draaiuren Verwijder Overig]],0)</f>
        <v>0</v>
      </c>
      <c r="M703" s="139">
        <f>_xlfn.IFNA(IF(Optimalisatie!C75="Nieuwe situatie",(Optimalisatie!R75/(VLOOKUP(Optimalisatie!W75,Database_Asfalt_Aanlegset[#All],60,FALSE)/8)),0),0)*Optimalisatie!T75</f>
        <v>0</v>
      </c>
      <c r="N703" s="139">
        <f>_xlfn.IFNA(IF(Optimalisatie!C75="Nieuwe situatie",Optimalisatie!S75/VLOOKUP(Optimalisatie!X75,Database_Overig_Materieel[#All],8,FALSE),0),0)*Optimalisatie!T75</f>
        <v>0</v>
      </c>
      <c r="O703" s="139">
        <f>_xlfn.IFNA(IF(Optimalisatie!C75="Bestaande situatie",Optimalisatie!R75/(VLOOKUP(Optimalisatie!AA75,Database_Asfalt_Verwijderset[#All],60,FALSE)/8),0),0)*Optimalisatie!T75</f>
        <v>0</v>
      </c>
      <c r="P703" s="139">
        <f>_xlfn.IFNA(IF(Optimalisatie!C75="Bestaande situatie",Optimalisatie!S75/VLOOKUP(Optimalisatie!AB75,Database_Overig_Materieel[#All],8,FALSE),0),0)*Optimalisatie!T75</f>
        <v>0</v>
      </c>
      <c r="Q703" s="139">
        <f>IF(Inschrijf_Bouwplaats_Totaal[[#This Row],[Emissieloos Asfalt Aanlegset]]="JA",Inschrijf_Bouwplaats_Totaal[[#This Row],[Draaiuren Bouw Asfalt Vervangingen]],0)+IF(Inschrijf_Bouwplaats_Totaal[[#This Row],[Emissieloos Bouwmaterieel]]="JA",Inschrijf_Bouwplaats_Totaal[[#This Row],[Draaiuren Bouw Overig Vervangingen]],0)+IF(Inschrijf_Bouwplaats_Totaal[[#This Row],[Emissieloos Asfalt Verwijderset]]="JA",Inschrijf_Bouwplaats_Totaal[[#This Row],[Draaiuren Verwijder Asfalt Vervangingen]],0)+IF(Inschrijf_Bouwplaats_Totaal[[#This Row],[Emissieloos Sloopmaterieel]]="JA",Inschrijf_Bouwplaats_Totaal[[#This Row],[Draaiuren Verwijder Overig Vervangingen]],0)</f>
        <v>0</v>
      </c>
      <c r="R703" s="139">
        <f>Inschrijf_Bouwplaats_Totaal[[#This Row],[Emissieloos bouwplaats]]+Inschrijf_Bouwplaats_Totaal[[#This Row],[Emissieloos bouwplaats Vervangingen]]</f>
        <v>0</v>
      </c>
      <c r="S703" s="139">
        <f>(Inschrijf_Bouwplaats_Totaal[[#This Row],[Draaiuren Bouw Asfalt]]+Inschrijf_Bouwplaats_Totaal[[#This Row],[Draaiuren Bouw Overig]]+Inschrijf_Bouwplaats_Totaal[[#This Row],[Draaiuren Verwijder Asfalt]]+Inschrijf_Bouwplaats_Totaal[[#This Row],[Draaiuren Verwijder Overig]]+Inschrijf_Bouwplaats_Totaal[[#This Row],[Draaiuren Bouw Asfalt Vervangingen]]+Inschrijf_Bouwplaats_Totaal[[#This Row],[Draaiuren Bouw Overig Vervangingen]]+Inschrijf_Bouwplaats_Totaal[[#This Row],[Draaiuren Verwijder Asfalt Vervangingen]]+Inschrijf_Bouwplaats_Totaal[[#This Row],[Draaiuren Verwijder Overig Vervangingen]])-Inschrijf_Bouwplaats_Totaal[[#This Row],[Totaal Emissieloos Bouwplaats]]</f>
        <v>0</v>
      </c>
      <c r="T703" s="139">
        <f>Inschrijf_Bouwplaats_Totaal[[#This Row],[Totaal Emissieloos Bouwplaats]]+Inschrijf_Bouwplaats_Totaal[[#This Row],[Totaal Niet Emissieloos Bouwplaats]]</f>
        <v>0</v>
      </c>
      <c r="U703" s="335"/>
    </row>
    <row r="704" spans="2:21">
      <c r="B704" s="209">
        <f>Optimalisatie!B76</f>
        <v>0</v>
      </c>
      <c r="C704" s="51">
        <f>Optimalisatie!F76</f>
        <v>0</v>
      </c>
      <c r="D704" s="134">
        <f>_xlfn.IFNA(IF(Optimalisatie!C76="Nieuwe situatie",(Optimalisatie!R76/(VLOOKUP(Optimalisatie!W76,Database_Asfalt_Aanlegset[#All],60,FALSE)/8)),0),0)</f>
        <v>0</v>
      </c>
      <c r="E704" s="135">
        <f>IFERROR(IF(Optimalisatie!C76="Nieuwe situatie",Optimalisatie!J76/Optimalisatie!Z76,0),0)</f>
        <v>0</v>
      </c>
      <c r="F704" s="135">
        <f>_xlfn.IFNA(IF(Optimalisatie!C76="Bestaande situatie",Optimalisatie!R76/(VLOOKUP(Optimalisatie!AA76,Database_Asfalt_Verwijderset[#All],60,FALSE)/8),0),0)</f>
        <v>0</v>
      </c>
      <c r="G704" s="138">
        <f>IFERROR(IF(Optimalisatie!C76="Bestaande situatie",Optimalisatie!J76/Optimalisatie!AD76,0),0)</f>
        <v>0</v>
      </c>
      <c r="H704" s="94" t="str">
        <f>_xlfn.IFNA((VLOOKUP(Optimalisatie!W76,Database_Asfalt_Aanlegset[],61,FALSE)),"Nee")</f>
        <v>Nee</v>
      </c>
      <c r="I704" s="94" t="str">
        <f>_xlfn.IFNA((VLOOKUP(Optimalisatie!X76,Database_Brandstoffen[],60,FALSE)),"Nee")</f>
        <v>Nee</v>
      </c>
      <c r="J704" s="94" t="str">
        <f>_xlfn.IFNA((VLOOKUP(Optimalisatie!AA76,Database_Asfalt_Verwijderset[],61,FALSE)),"Nee")</f>
        <v>Nee</v>
      </c>
      <c r="K704" s="120" t="str">
        <f>_xlfn.IFNA((VLOOKUP(Optimalisatie!AB76,Database_Brandstoffen[],60,FALSE)),"Nee")</f>
        <v>Nee</v>
      </c>
      <c r="L704" s="132">
        <f>IF(Inschrijf_Bouwplaats_Totaal[[#This Row],[Emissieloos Asfalt Aanlegset]]="JA",Inschrijf_Bouwplaats_Totaal[[#This Row],[Draaiuren Bouw Asfalt]],0)+IF(Inschrijf_Bouwplaats_Totaal[[#This Row],[Emissieloos Bouwmaterieel]]="JA",Inschrijf_Bouwplaats_Totaal[[#This Row],[Draaiuren Bouw Overig]],0)+IF(Inschrijf_Bouwplaats_Totaal[[#This Row],[Emissieloos Asfalt Verwijderset]]="JA",Inschrijf_Bouwplaats_Totaal[[#This Row],[Draaiuren Verwijder Asfalt]],0)+IF(Inschrijf_Bouwplaats_Totaal[[#This Row],[Emissieloos Sloopmaterieel]]="JA",Inschrijf_Bouwplaats_Totaal[[#This Row],[Draaiuren Verwijder Overig]],0)</f>
        <v>0</v>
      </c>
      <c r="M704" s="139">
        <f>_xlfn.IFNA(IF(Optimalisatie!C76="Nieuwe situatie",(Optimalisatie!R76/(VLOOKUP(Optimalisatie!W76,Database_Asfalt_Aanlegset[#All],60,FALSE)/8)),0),0)*Optimalisatie!T76</f>
        <v>0</v>
      </c>
      <c r="N704" s="139">
        <f>_xlfn.IFNA(IF(Optimalisatie!C76="Nieuwe situatie",Optimalisatie!S76/VLOOKUP(Optimalisatie!X76,Database_Overig_Materieel[#All],8,FALSE),0),0)*Optimalisatie!T76</f>
        <v>0</v>
      </c>
      <c r="O704" s="139">
        <f>_xlfn.IFNA(IF(Optimalisatie!C76="Bestaande situatie",Optimalisatie!R76/(VLOOKUP(Optimalisatie!AA76,Database_Asfalt_Verwijderset[#All],60,FALSE)/8),0),0)*Optimalisatie!T76</f>
        <v>0</v>
      </c>
      <c r="P704" s="139">
        <f>_xlfn.IFNA(IF(Optimalisatie!C76="Bestaande situatie",Optimalisatie!S76/VLOOKUP(Optimalisatie!AB76,Database_Overig_Materieel[#All],8,FALSE),0),0)*Optimalisatie!T76</f>
        <v>0</v>
      </c>
      <c r="Q704" s="139">
        <f>IF(Inschrijf_Bouwplaats_Totaal[[#This Row],[Emissieloos Asfalt Aanlegset]]="JA",Inschrijf_Bouwplaats_Totaal[[#This Row],[Draaiuren Bouw Asfalt Vervangingen]],0)+IF(Inschrijf_Bouwplaats_Totaal[[#This Row],[Emissieloos Bouwmaterieel]]="JA",Inschrijf_Bouwplaats_Totaal[[#This Row],[Draaiuren Bouw Overig Vervangingen]],0)+IF(Inschrijf_Bouwplaats_Totaal[[#This Row],[Emissieloos Asfalt Verwijderset]]="JA",Inschrijf_Bouwplaats_Totaal[[#This Row],[Draaiuren Verwijder Asfalt Vervangingen]],0)+IF(Inschrijf_Bouwplaats_Totaal[[#This Row],[Emissieloos Sloopmaterieel]]="JA",Inschrijf_Bouwplaats_Totaal[[#This Row],[Draaiuren Verwijder Overig Vervangingen]],0)</f>
        <v>0</v>
      </c>
      <c r="R704" s="139">
        <f>Inschrijf_Bouwplaats_Totaal[[#This Row],[Emissieloos bouwplaats]]+Inschrijf_Bouwplaats_Totaal[[#This Row],[Emissieloos bouwplaats Vervangingen]]</f>
        <v>0</v>
      </c>
      <c r="S704" s="139">
        <f>(Inschrijf_Bouwplaats_Totaal[[#This Row],[Draaiuren Bouw Asfalt]]+Inschrijf_Bouwplaats_Totaal[[#This Row],[Draaiuren Bouw Overig]]+Inschrijf_Bouwplaats_Totaal[[#This Row],[Draaiuren Verwijder Asfalt]]+Inschrijf_Bouwplaats_Totaal[[#This Row],[Draaiuren Verwijder Overig]]+Inschrijf_Bouwplaats_Totaal[[#This Row],[Draaiuren Bouw Asfalt Vervangingen]]+Inschrijf_Bouwplaats_Totaal[[#This Row],[Draaiuren Bouw Overig Vervangingen]]+Inschrijf_Bouwplaats_Totaal[[#This Row],[Draaiuren Verwijder Asfalt Vervangingen]]+Inschrijf_Bouwplaats_Totaal[[#This Row],[Draaiuren Verwijder Overig Vervangingen]])-Inschrijf_Bouwplaats_Totaal[[#This Row],[Totaal Emissieloos Bouwplaats]]</f>
        <v>0</v>
      </c>
      <c r="T704" s="139">
        <f>Inschrijf_Bouwplaats_Totaal[[#This Row],[Totaal Emissieloos Bouwplaats]]+Inschrijf_Bouwplaats_Totaal[[#This Row],[Totaal Niet Emissieloos Bouwplaats]]</f>
        <v>0</v>
      </c>
      <c r="U704" s="335"/>
    </row>
    <row r="705" spans="2:21">
      <c r="B705" s="209">
        <f>Optimalisatie!B77</f>
        <v>0</v>
      </c>
      <c r="C705" s="51">
        <f>Optimalisatie!F77</f>
        <v>0</v>
      </c>
      <c r="D705" s="134">
        <f>_xlfn.IFNA(IF(Optimalisatie!C77="Nieuwe situatie",(Optimalisatie!R77/(VLOOKUP(Optimalisatie!W77,Database_Asfalt_Aanlegset[#All],60,FALSE)/8)),0),0)</f>
        <v>0</v>
      </c>
      <c r="E705" s="135">
        <f>IFERROR(IF(Optimalisatie!C77="Nieuwe situatie",Optimalisatie!J77/Optimalisatie!Z77,0),0)</f>
        <v>0</v>
      </c>
      <c r="F705" s="135">
        <f>_xlfn.IFNA(IF(Optimalisatie!C77="Bestaande situatie",Optimalisatie!R77/(VLOOKUP(Optimalisatie!AA77,Database_Asfalt_Verwijderset[#All],60,FALSE)/8),0),0)</f>
        <v>0</v>
      </c>
      <c r="G705" s="138">
        <f>IFERROR(IF(Optimalisatie!C77="Bestaande situatie",Optimalisatie!J77/Optimalisatie!AD77,0),0)</f>
        <v>0</v>
      </c>
      <c r="H705" s="94" t="str">
        <f>_xlfn.IFNA((VLOOKUP(Optimalisatie!W77,Database_Asfalt_Aanlegset[],61,FALSE)),"Nee")</f>
        <v>Nee</v>
      </c>
      <c r="I705" s="94" t="str">
        <f>_xlfn.IFNA((VLOOKUP(Optimalisatie!X77,Database_Brandstoffen[],60,FALSE)),"Nee")</f>
        <v>Nee</v>
      </c>
      <c r="J705" s="94" t="str">
        <f>_xlfn.IFNA((VLOOKUP(Optimalisatie!AA77,Database_Asfalt_Verwijderset[],61,FALSE)),"Nee")</f>
        <v>Nee</v>
      </c>
      <c r="K705" s="120" t="str">
        <f>_xlfn.IFNA((VLOOKUP(Optimalisatie!AB77,Database_Brandstoffen[],60,FALSE)),"Nee")</f>
        <v>Nee</v>
      </c>
      <c r="L705" s="132">
        <f>IF(Inschrijf_Bouwplaats_Totaal[[#This Row],[Emissieloos Asfalt Aanlegset]]="JA",Inschrijf_Bouwplaats_Totaal[[#This Row],[Draaiuren Bouw Asfalt]],0)+IF(Inschrijf_Bouwplaats_Totaal[[#This Row],[Emissieloos Bouwmaterieel]]="JA",Inschrijf_Bouwplaats_Totaal[[#This Row],[Draaiuren Bouw Overig]],0)+IF(Inschrijf_Bouwplaats_Totaal[[#This Row],[Emissieloos Asfalt Verwijderset]]="JA",Inschrijf_Bouwplaats_Totaal[[#This Row],[Draaiuren Verwijder Asfalt]],0)+IF(Inschrijf_Bouwplaats_Totaal[[#This Row],[Emissieloos Sloopmaterieel]]="JA",Inschrijf_Bouwplaats_Totaal[[#This Row],[Draaiuren Verwijder Overig]],0)</f>
        <v>0</v>
      </c>
      <c r="M705" s="139">
        <f>_xlfn.IFNA(IF(Optimalisatie!C77="Nieuwe situatie",(Optimalisatie!R77/(VLOOKUP(Optimalisatie!W77,Database_Asfalt_Aanlegset[#All],60,FALSE)/8)),0),0)*Optimalisatie!T77</f>
        <v>0</v>
      </c>
      <c r="N705" s="139">
        <f>_xlfn.IFNA(IF(Optimalisatie!C77="Nieuwe situatie",Optimalisatie!S77/VLOOKUP(Optimalisatie!X77,Database_Overig_Materieel[#All],8,FALSE),0),0)*Optimalisatie!T77</f>
        <v>0</v>
      </c>
      <c r="O705" s="139">
        <f>_xlfn.IFNA(IF(Optimalisatie!C77="Bestaande situatie",Optimalisatie!R77/(VLOOKUP(Optimalisatie!AA77,Database_Asfalt_Verwijderset[#All],60,FALSE)/8),0),0)*Optimalisatie!T77</f>
        <v>0</v>
      </c>
      <c r="P705" s="139">
        <f>_xlfn.IFNA(IF(Optimalisatie!C77="Bestaande situatie",Optimalisatie!S77/VLOOKUP(Optimalisatie!AB77,Database_Overig_Materieel[#All],8,FALSE),0),0)*Optimalisatie!T77</f>
        <v>0</v>
      </c>
      <c r="Q705" s="139">
        <f>IF(Inschrijf_Bouwplaats_Totaal[[#This Row],[Emissieloos Asfalt Aanlegset]]="JA",Inschrijf_Bouwplaats_Totaal[[#This Row],[Draaiuren Bouw Asfalt Vervangingen]],0)+IF(Inschrijf_Bouwplaats_Totaal[[#This Row],[Emissieloos Bouwmaterieel]]="JA",Inschrijf_Bouwplaats_Totaal[[#This Row],[Draaiuren Bouw Overig Vervangingen]],0)+IF(Inschrijf_Bouwplaats_Totaal[[#This Row],[Emissieloos Asfalt Verwijderset]]="JA",Inschrijf_Bouwplaats_Totaal[[#This Row],[Draaiuren Verwijder Asfalt Vervangingen]],0)+IF(Inschrijf_Bouwplaats_Totaal[[#This Row],[Emissieloos Sloopmaterieel]]="JA",Inschrijf_Bouwplaats_Totaal[[#This Row],[Draaiuren Verwijder Overig Vervangingen]],0)</f>
        <v>0</v>
      </c>
      <c r="R705" s="139">
        <f>Inschrijf_Bouwplaats_Totaal[[#This Row],[Emissieloos bouwplaats]]+Inschrijf_Bouwplaats_Totaal[[#This Row],[Emissieloos bouwplaats Vervangingen]]</f>
        <v>0</v>
      </c>
      <c r="S705" s="139">
        <f>(Inschrijf_Bouwplaats_Totaal[[#This Row],[Draaiuren Bouw Asfalt]]+Inschrijf_Bouwplaats_Totaal[[#This Row],[Draaiuren Bouw Overig]]+Inschrijf_Bouwplaats_Totaal[[#This Row],[Draaiuren Verwijder Asfalt]]+Inschrijf_Bouwplaats_Totaal[[#This Row],[Draaiuren Verwijder Overig]]+Inschrijf_Bouwplaats_Totaal[[#This Row],[Draaiuren Bouw Asfalt Vervangingen]]+Inschrijf_Bouwplaats_Totaal[[#This Row],[Draaiuren Bouw Overig Vervangingen]]+Inschrijf_Bouwplaats_Totaal[[#This Row],[Draaiuren Verwijder Asfalt Vervangingen]]+Inschrijf_Bouwplaats_Totaal[[#This Row],[Draaiuren Verwijder Overig Vervangingen]])-Inschrijf_Bouwplaats_Totaal[[#This Row],[Totaal Emissieloos Bouwplaats]]</f>
        <v>0</v>
      </c>
      <c r="T705" s="139">
        <f>Inschrijf_Bouwplaats_Totaal[[#This Row],[Totaal Emissieloos Bouwplaats]]+Inschrijf_Bouwplaats_Totaal[[#This Row],[Totaal Niet Emissieloos Bouwplaats]]</f>
        <v>0</v>
      </c>
      <c r="U705" s="335"/>
    </row>
    <row r="706" spans="2:21">
      <c r="B706" s="209">
        <f>Optimalisatie!B78</f>
        <v>0</v>
      </c>
      <c r="C706" s="51">
        <f>Optimalisatie!F78</f>
        <v>0</v>
      </c>
      <c r="D706" s="134">
        <f>_xlfn.IFNA(IF(Optimalisatie!C78="Nieuwe situatie",(Optimalisatie!R78/(VLOOKUP(Optimalisatie!W78,Database_Asfalt_Aanlegset[#All],60,FALSE)/8)),0),0)</f>
        <v>0</v>
      </c>
      <c r="E706" s="135">
        <f>IFERROR(IF(Optimalisatie!C78="Nieuwe situatie",Optimalisatie!J78/Optimalisatie!Z78,0),0)</f>
        <v>0</v>
      </c>
      <c r="F706" s="135">
        <f>_xlfn.IFNA(IF(Optimalisatie!C78="Bestaande situatie",Optimalisatie!R78/(VLOOKUP(Optimalisatie!AA78,Database_Asfalt_Verwijderset[#All],60,FALSE)/8),0),0)</f>
        <v>0</v>
      </c>
      <c r="G706" s="138">
        <f>IFERROR(IF(Optimalisatie!C78="Bestaande situatie",Optimalisatie!J78/Optimalisatie!AD78,0),0)</f>
        <v>0</v>
      </c>
      <c r="H706" s="94" t="str">
        <f>_xlfn.IFNA((VLOOKUP(Optimalisatie!W78,Database_Asfalt_Aanlegset[],61,FALSE)),"Nee")</f>
        <v>Nee</v>
      </c>
      <c r="I706" s="94" t="str">
        <f>_xlfn.IFNA((VLOOKUP(Optimalisatie!X78,Database_Brandstoffen[],60,FALSE)),"Nee")</f>
        <v>Nee</v>
      </c>
      <c r="J706" s="94" t="str">
        <f>_xlfn.IFNA((VLOOKUP(Optimalisatie!AA78,Database_Asfalt_Verwijderset[],61,FALSE)),"Nee")</f>
        <v>Nee</v>
      </c>
      <c r="K706" s="120" t="str">
        <f>_xlfn.IFNA((VLOOKUP(Optimalisatie!AB78,Database_Brandstoffen[],60,FALSE)),"Nee")</f>
        <v>Nee</v>
      </c>
      <c r="L706" s="132">
        <f>IF(Inschrijf_Bouwplaats_Totaal[[#This Row],[Emissieloos Asfalt Aanlegset]]="JA",Inschrijf_Bouwplaats_Totaal[[#This Row],[Draaiuren Bouw Asfalt]],0)+IF(Inschrijf_Bouwplaats_Totaal[[#This Row],[Emissieloos Bouwmaterieel]]="JA",Inschrijf_Bouwplaats_Totaal[[#This Row],[Draaiuren Bouw Overig]],0)+IF(Inschrijf_Bouwplaats_Totaal[[#This Row],[Emissieloos Asfalt Verwijderset]]="JA",Inschrijf_Bouwplaats_Totaal[[#This Row],[Draaiuren Verwijder Asfalt]],0)+IF(Inschrijf_Bouwplaats_Totaal[[#This Row],[Emissieloos Sloopmaterieel]]="JA",Inschrijf_Bouwplaats_Totaal[[#This Row],[Draaiuren Verwijder Overig]],0)</f>
        <v>0</v>
      </c>
      <c r="M706" s="139">
        <f>_xlfn.IFNA(IF(Optimalisatie!C78="Nieuwe situatie",(Optimalisatie!R78/(VLOOKUP(Optimalisatie!W78,Database_Asfalt_Aanlegset[#All],60,FALSE)/8)),0),0)*Optimalisatie!T78</f>
        <v>0</v>
      </c>
      <c r="N706" s="139">
        <f>_xlfn.IFNA(IF(Optimalisatie!C78="Nieuwe situatie",Optimalisatie!S78/VLOOKUP(Optimalisatie!X78,Database_Overig_Materieel[#All],8,FALSE),0),0)*Optimalisatie!T78</f>
        <v>0</v>
      </c>
      <c r="O706" s="139">
        <f>_xlfn.IFNA(IF(Optimalisatie!C78="Bestaande situatie",Optimalisatie!R78/(VLOOKUP(Optimalisatie!AA78,Database_Asfalt_Verwijderset[#All],60,FALSE)/8),0),0)*Optimalisatie!T78</f>
        <v>0</v>
      </c>
      <c r="P706" s="139">
        <f>_xlfn.IFNA(IF(Optimalisatie!C78="Bestaande situatie",Optimalisatie!S78/VLOOKUP(Optimalisatie!AB78,Database_Overig_Materieel[#All],8,FALSE),0),0)*Optimalisatie!T78</f>
        <v>0</v>
      </c>
      <c r="Q706" s="139">
        <f>IF(Inschrijf_Bouwplaats_Totaal[[#This Row],[Emissieloos Asfalt Aanlegset]]="JA",Inschrijf_Bouwplaats_Totaal[[#This Row],[Draaiuren Bouw Asfalt Vervangingen]],0)+IF(Inschrijf_Bouwplaats_Totaal[[#This Row],[Emissieloos Bouwmaterieel]]="JA",Inschrijf_Bouwplaats_Totaal[[#This Row],[Draaiuren Bouw Overig Vervangingen]],0)+IF(Inschrijf_Bouwplaats_Totaal[[#This Row],[Emissieloos Asfalt Verwijderset]]="JA",Inschrijf_Bouwplaats_Totaal[[#This Row],[Draaiuren Verwijder Asfalt Vervangingen]],0)+IF(Inschrijf_Bouwplaats_Totaal[[#This Row],[Emissieloos Sloopmaterieel]]="JA",Inschrijf_Bouwplaats_Totaal[[#This Row],[Draaiuren Verwijder Overig Vervangingen]],0)</f>
        <v>0</v>
      </c>
      <c r="R706" s="139">
        <f>Inschrijf_Bouwplaats_Totaal[[#This Row],[Emissieloos bouwplaats]]+Inschrijf_Bouwplaats_Totaal[[#This Row],[Emissieloos bouwplaats Vervangingen]]</f>
        <v>0</v>
      </c>
      <c r="S706" s="139">
        <f>(Inschrijf_Bouwplaats_Totaal[[#This Row],[Draaiuren Bouw Asfalt]]+Inschrijf_Bouwplaats_Totaal[[#This Row],[Draaiuren Bouw Overig]]+Inschrijf_Bouwplaats_Totaal[[#This Row],[Draaiuren Verwijder Asfalt]]+Inschrijf_Bouwplaats_Totaal[[#This Row],[Draaiuren Verwijder Overig]]+Inschrijf_Bouwplaats_Totaal[[#This Row],[Draaiuren Bouw Asfalt Vervangingen]]+Inschrijf_Bouwplaats_Totaal[[#This Row],[Draaiuren Bouw Overig Vervangingen]]+Inschrijf_Bouwplaats_Totaal[[#This Row],[Draaiuren Verwijder Asfalt Vervangingen]]+Inschrijf_Bouwplaats_Totaal[[#This Row],[Draaiuren Verwijder Overig Vervangingen]])-Inschrijf_Bouwplaats_Totaal[[#This Row],[Totaal Emissieloos Bouwplaats]]</f>
        <v>0</v>
      </c>
      <c r="T706" s="139">
        <f>Inschrijf_Bouwplaats_Totaal[[#This Row],[Totaal Emissieloos Bouwplaats]]+Inschrijf_Bouwplaats_Totaal[[#This Row],[Totaal Niet Emissieloos Bouwplaats]]</f>
        <v>0</v>
      </c>
      <c r="U706" s="335"/>
    </row>
    <row r="707" spans="2:21">
      <c r="B707" s="209">
        <f>Optimalisatie!B79</f>
        <v>0</v>
      </c>
      <c r="C707" s="51">
        <f>Optimalisatie!F79</f>
        <v>0</v>
      </c>
      <c r="D707" s="134">
        <f>_xlfn.IFNA(IF(Optimalisatie!C79="Nieuwe situatie",(Optimalisatie!R79/(VLOOKUP(Optimalisatie!W79,Database_Asfalt_Aanlegset[#All],60,FALSE)/8)),0),0)</f>
        <v>0</v>
      </c>
      <c r="E707" s="135">
        <f>IFERROR(IF(Optimalisatie!C79="Nieuwe situatie",Optimalisatie!J79/Optimalisatie!Z79,0),0)</f>
        <v>0</v>
      </c>
      <c r="F707" s="135">
        <f>_xlfn.IFNA(IF(Optimalisatie!C79="Bestaande situatie",Optimalisatie!R79/(VLOOKUP(Optimalisatie!AA79,Database_Asfalt_Verwijderset[#All],60,FALSE)/8),0),0)</f>
        <v>0</v>
      </c>
      <c r="G707" s="138">
        <f>IFERROR(IF(Optimalisatie!C79="Bestaande situatie",Optimalisatie!J79/Optimalisatie!AD79,0),0)</f>
        <v>0</v>
      </c>
      <c r="H707" s="94" t="str">
        <f>_xlfn.IFNA((VLOOKUP(Optimalisatie!W79,Database_Asfalt_Aanlegset[],61,FALSE)),"Nee")</f>
        <v>Nee</v>
      </c>
      <c r="I707" s="94" t="str">
        <f>_xlfn.IFNA((VLOOKUP(Optimalisatie!X79,Database_Brandstoffen[],60,FALSE)),"Nee")</f>
        <v>Nee</v>
      </c>
      <c r="J707" s="94" t="str">
        <f>_xlfn.IFNA((VLOOKUP(Optimalisatie!AA79,Database_Asfalt_Verwijderset[],61,FALSE)),"Nee")</f>
        <v>Nee</v>
      </c>
      <c r="K707" s="120" t="str">
        <f>_xlfn.IFNA((VLOOKUP(Optimalisatie!AB79,Database_Brandstoffen[],60,FALSE)),"Nee")</f>
        <v>Nee</v>
      </c>
      <c r="L707" s="132">
        <f>IF(Inschrijf_Bouwplaats_Totaal[[#This Row],[Emissieloos Asfalt Aanlegset]]="JA",Inschrijf_Bouwplaats_Totaal[[#This Row],[Draaiuren Bouw Asfalt]],0)+IF(Inschrijf_Bouwplaats_Totaal[[#This Row],[Emissieloos Bouwmaterieel]]="JA",Inschrijf_Bouwplaats_Totaal[[#This Row],[Draaiuren Bouw Overig]],0)+IF(Inschrijf_Bouwplaats_Totaal[[#This Row],[Emissieloos Asfalt Verwijderset]]="JA",Inschrijf_Bouwplaats_Totaal[[#This Row],[Draaiuren Verwijder Asfalt]],0)+IF(Inschrijf_Bouwplaats_Totaal[[#This Row],[Emissieloos Sloopmaterieel]]="JA",Inschrijf_Bouwplaats_Totaal[[#This Row],[Draaiuren Verwijder Overig]],0)</f>
        <v>0</v>
      </c>
      <c r="M707" s="139">
        <f>_xlfn.IFNA(IF(Optimalisatie!C79="Nieuwe situatie",(Optimalisatie!R79/(VLOOKUP(Optimalisatie!W79,Database_Asfalt_Aanlegset[#All],60,FALSE)/8)),0),0)*Optimalisatie!T79</f>
        <v>0</v>
      </c>
      <c r="N707" s="139">
        <f>_xlfn.IFNA(IF(Optimalisatie!C79="Nieuwe situatie",Optimalisatie!S79/VLOOKUP(Optimalisatie!X79,Database_Overig_Materieel[#All],8,FALSE),0),0)*Optimalisatie!T79</f>
        <v>0</v>
      </c>
      <c r="O707" s="139">
        <f>_xlfn.IFNA(IF(Optimalisatie!C79="Bestaande situatie",Optimalisatie!R79/(VLOOKUP(Optimalisatie!AA79,Database_Asfalt_Verwijderset[#All],60,FALSE)/8),0),0)*Optimalisatie!T79</f>
        <v>0</v>
      </c>
      <c r="P707" s="139">
        <f>_xlfn.IFNA(IF(Optimalisatie!C79="Bestaande situatie",Optimalisatie!S79/VLOOKUP(Optimalisatie!AB79,Database_Overig_Materieel[#All],8,FALSE),0),0)*Optimalisatie!T79</f>
        <v>0</v>
      </c>
      <c r="Q707" s="139">
        <f>IF(Inschrijf_Bouwplaats_Totaal[[#This Row],[Emissieloos Asfalt Aanlegset]]="JA",Inschrijf_Bouwplaats_Totaal[[#This Row],[Draaiuren Bouw Asfalt Vervangingen]],0)+IF(Inschrijf_Bouwplaats_Totaal[[#This Row],[Emissieloos Bouwmaterieel]]="JA",Inschrijf_Bouwplaats_Totaal[[#This Row],[Draaiuren Bouw Overig Vervangingen]],0)+IF(Inschrijf_Bouwplaats_Totaal[[#This Row],[Emissieloos Asfalt Verwijderset]]="JA",Inschrijf_Bouwplaats_Totaal[[#This Row],[Draaiuren Verwijder Asfalt Vervangingen]],0)+IF(Inschrijf_Bouwplaats_Totaal[[#This Row],[Emissieloos Sloopmaterieel]]="JA",Inschrijf_Bouwplaats_Totaal[[#This Row],[Draaiuren Verwijder Overig Vervangingen]],0)</f>
        <v>0</v>
      </c>
      <c r="R707" s="139">
        <f>Inschrijf_Bouwplaats_Totaal[[#This Row],[Emissieloos bouwplaats]]+Inschrijf_Bouwplaats_Totaal[[#This Row],[Emissieloos bouwplaats Vervangingen]]</f>
        <v>0</v>
      </c>
      <c r="S707" s="139">
        <f>(Inschrijf_Bouwplaats_Totaal[[#This Row],[Draaiuren Bouw Asfalt]]+Inschrijf_Bouwplaats_Totaal[[#This Row],[Draaiuren Bouw Overig]]+Inschrijf_Bouwplaats_Totaal[[#This Row],[Draaiuren Verwijder Asfalt]]+Inschrijf_Bouwplaats_Totaal[[#This Row],[Draaiuren Verwijder Overig]]+Inschrijf_Bouwplaats_Totaal[[#This Row],[Draaiuren Bouw Asfalt Vervangingen]]+Inschrijf_Bouwplaats_Totaal[[#This Row],[Draaiuren Bouw Overig Vervangingen]]+Inschrijf_Bouwplaats_Totaal[[#This Row],[Draaiuren Verwijder Asfalt Vervangingen]]+Inschrijf_Bouwplaats_Totaal[[#This Row],[Draaiuren Verwijder Overig Vervangingen]])-Inschrijf_Bouwplaats_Totaal[[#This Row],[Totaal Emissieloos Bouwplaats]]</f>
        <v>0</v>
      </c>
      <c r="T707" s="139">
        <f>Inschrijf_Bouwplaats_Totaal[[#This Row],[Totaal Emissieloos Bouwplaats]]+Inschrijf_Bouwplaats_Totaal[[#This Row],[Totaal Niet Emissieloos Bouwplaats]]</f>
        <v>0</v>
      </c>
      <c r="U707" s="335"/>
    </row>
    <row r="708" spans="2:21">
      <c r="B708" s="209">
        <f>Optimalisatie!B80</f>
        <v>0</v>
      </c>
      <c r="C708" s="51">
        <f>Optimalisatie!F80</f>
        <v>0</v>
      </c>
      <c r="D708" s="134">
        <f>_xlfn.IFNA(IF(Optimalisatie!C80="Nieuwe situatie",(Optimalisatie!R80/(VLOOKUP(Optimalisatie!W80,Database_Asfalt_Aanlegset[#All],60,FALSE)/8)),0),0)</f>
        <v>0</v>
      </c>
      <c r="E708" s="135">
        <f>IFERROR(IF(Optimalisatie!C80="Nieuwe situatie",Optimalisatie!J80/Optimalisatie!Z80,0),0)</f>
        <v>0</v>
      </c>
      <c r="F708" s="135">
        <f>_xlfn.IFNA(IF(Optimalisatie!C80="Bestaande situatie",Optimalisatie!R80/(VLOOKUP(Optimalisatie!AA80,Database_Asfalt_Verwijderset[#All],60,FALSE)/8),0),0)</f>
        <v>0</v>
      </c>
      <c r="G708" s="138">
        <f>IFERROR(IF(Optimalisatie!C80="Bestaande situatie",Optimalisatie!J80/Optimalisatie!AD80,0),0)</f>
        <v>0</v>
      </c>
      <c r="H708" s="94" t="str">
        <f>_xlfn.IFNA((VLOOKUP(Optimalisatie!W80,Database_Asfalt_Aanlegset[],61,FALSE)),"Nee")</f>
        <v>Nee</v>
      </c>
      <c r="I708" s="94" t="str">
        <f>_xlfn.IFNA((VLOOKUP(Optimalisatie!X80,Database_Brandstoffen[],60,FALSE)),"Nee")</f>
        <v>Nee</v>
      </c>
      <c r="J708" s="94" t="str">
        <f>_xlfn.IFNA((VLOOKUP(Optimalisatie!AA80,Database_Asfalt_Verwijderset[],61,FALSE)),"Nee")</f>
        <v>Nee</v>
      </c>
      <c r="K708" s="120" t="str">
        <f>_xlfn.IFNA((VLOOKUP(Optimalisatie!AB80,Database_Brandstoffen[],60,FALSE)),"Nee")</f>
        <v>Nee</v>
      </c>
      <c r="L708" s="132">
        <f>IF(Inschrijf_Bouwplaats_Totaal[[#This Row],[Emissieloos Asfalt Aanlegset]]="JA",Inschrijf_Bouwplaats_Totaal[[#This Row],[Draaiuren Bouw Asfalt]],0)+IF(Inschrijf_Bouwplaats_Totaal[[#This Row],[Emissieloos Bouwmaterieel]]="JA",Inschrijf_Bouwplaats_Totaal[[#This Row],[Draaiuren Bouw Overig]],0)+IF(Inschrijf_Bouwplaats_Totaal[[#This Row],[Emissieloos Asfalt Verwijderset]]="JA",Inschrijf_Bouwplaats_Totaal[[#This Row],[Draaiuren Verwijder Asfalt]],0)+IF(Inschrijf_Bouwplaats_Totaal[[#This Row],[Emissieloos Sloopmaterieel]]="JA",Inschrijf_Bouwplaats_Totaal[[#This Row],[Draaiuren Verwijder Overig]],0)</f>
        <v>0</v>
      </c>
      <c r="M708" s="139">
        <f>_xlfn.IFNA(IF(Optimalisatie!C80="Nieuwe situatie",(Optimalisatie!R80/(VLOOKUP(Optimalisatie!W80,Database_Asfalt_Aanlegset[#All],60,FALSE)/8)),0),0)*Optimalisatie!T80</f>
        <v>0</v>
      </c>
      <c r="N708" s="139">
        <f>_xlfn.IFNA(IF(Optimalisatie!C80="Nieuwe situatie",Optimalisatie!S80/VLOOKUP(Optimalisatie!X80,Database_Overig_Materieel[#All],8,FALSE),0),0)*Optimalisatie!T80</f>
        <v>0</v>
      </c>
      <c r="O708" s="139">
        <f>_xlfn.IFNA(IF(Optimalisatie!C80="Bestaande situatie",Optimalisatie!R80/(VLOOKUP(Optimalisatie!AA80,Database_Asfalt_Verwijderset[#All],60,FALSE)/8),0),0)*Optimalisatie!T80</f>
        <v>0</v>
      </c>
      <c r="P708" s="139">
        <f>_xlfn.IFNA(IF(Optimalisatie!C80="Bestaande situatie",Optimalisatie!S80/VLOOKUP(Optimalisatie!AB80,Database_Overig_Materieel[#All],8,FALSE),0),0)*Optimalisatie!T80</f>
        <v>0</v>
      </c>
      <c r="Q708" s="139">
        <f>IF(Inschrijf_Bouwplaats_Totaal[[#This Row],[Emissieloos Asfalt Aanlegset]]="JA",Inschrijf_Bouwplaats_Totaal[[#This Row],[Draaiuren Bouw Asfalt Vervangingen]],0)+IF(Inschrijf_Bouwplaats_Totaal[[#This Row],[Emissieloos Bouwmaterieel]]="JA",Inschrijf_Bouwplaats_Totaal[[#This Row],[Draaiuren Bouw Overig Vervangingen]],0)+IF(Inschrijf_Bouwplaats_Totaal[[#This Row],[Emissieloos Asfalt Verwijderset]]="JA",Inschrijf_Bouwplaats_Totaal[[#This Row],[Draaiuren Verwijder Asfalt Vervangingen]],0)+IF(Inschrijf_Bouwplaats_Totaal[[#This Row],[Emissieloos Sloopmaterieel]]="JA",Inschrijf_Bouwplaats_Totaal[[#This Row],[Draaiuren Verwijder Overig Vervangingen]],0)</f>
        <v>0</v>
      </c>
      <c r="R708" s="139">
        <f>Inschrijf_Bouwplaats_Totaal[[#This Row],[Emissieloos bouwplaats]]+Inschrijf_Bouwplaats_Totaal[[#This Row],[Emissieloos bouwplaats Vervangingen]]</f>
        <v>0</v>
      </c>
      <c r="S708" s="139">
        <f>(Inschrijf_Bouwplaats_Totaal[[#This Row],[Draaiuren Bouw Asfalt]]+Inschrijf_Bouwplaats_Totaal[[#This Row],[Draaiuren Bouw Overig]]+Inschrijf_Bouwplaats_Totaal[[#This Row],[Draaiuren Verwijder Asfalt]]+Inschrijf_Bouwplaats_Totaal[[#This Row],[Draaiuren Verwijder Overig]]+Inschrijf_Bouwplaats_Totaal[[#This Row],[Draaiuren Bouw Asfalt Vervangingen]]+Inschrijf_Bouwplaats_Totaal[[#This Row],[Draaiuren Bouw Overig Vervangingen]]+Inschrijf_Bouwplaats_Totaal[[#This Row],[Draaiuren Verwijder Asfalt Vervangingen]]+Inschrijf_Bouwplaats_Totaal[[#This Row],[Draaiuren Verwijder Overig Vervangingen]])-Inschrijf_Bouwplaats_Totaal[[#This Row],[Totaal Emissieloos Bouwplaats]]</f>
        <v>0</v>
      </c>
      <c r="T708" s="139">
        <f>Inschrijf_Bouwplaats_Totaal[[#This Row],[Totaal Emissieloos Bouwplaats]]+Inschrijf_Bouwplaats_Totaal[[#This Row],[Totaal Niet Emissieloos Bouwplaats]]</f>
        <v>0</v>
      </c>
      <c r="U708" s="335"/>
    </row>
    <row r="709" spans="2:21">
      <c r="B709" s="209">
        <f>Optimalisatie!B81</f>
        <v>0</v>
      </c>
      <c r="C709" s="51">
        <f>Optimalisatie!F81</f>
        <v>0</v>
      </c>
      <c r="D709" s="134">
        <f>_xlfn.IFNA(IF(Optimalisatie!C81="Nieuwe situatie",(Optimalisatie!R81/(VLOOKUP(Optimalisatie!W81,Database_Asfalt_Aanlegset[#All],60,FALSE)/8)),0),0)</f>
        <v>0</v>
      </c>
      <c r="E709" s="135">
        <f>IFERROR(IF(Optimalisatie!C81="Nieuwe situatie",Optimalisatie!J81/Optimalisatie!Z81,0),0)</f>
        <v>0</v>
      </c>
      <c r="F709" s="135">
        <f>_xlfn.IFNA(IF(Optimalisatie!C81="Bestaande situatie",Optimalisatie!R81/(VLOOKUP(Optimalisatie!AA81,Database_Asfalt_Verwijderset[#All],60,FALSE)/8),0),0)</f>
        <v>0</v>
      </c>
      <c r="G709" s="138">
        <f>IFERROR(IF(Optimalisatie!C81="Bestaande situatie",Optimalisatie!J81/Optimalisatie!AD81,0),0)</f>
        <v>0</v>
      </c>
      <c r="H709" s="94" t="str">
        <f>_xlfn.IFNA((VLOOKUP(Optimalisatie!W81,Database_Asfalt_Aanlegset[],61,FALSE)),"Nee")</f>
        <v>Nee</v>
      </c>
      <c r="I709" s="94" t="str">
        <f>_xlfn.IFNA((VLOOKUP(Optimalisatie!X81,Database_Brandstoffen[],60,FALSE)),"Nee")</f>
        <v>Nee</v>
      </c>
      <c r="J709" s="94" t="str">
        <f>_xlfn.IFNA((VLOOKUP(Optimalisatie!AA81,Database_Asfalt_Verwijderset[],61,FALSE)),"Nee")</f>
        <v>Nee</v>
      </c>
      <c r="K709" s="120" t="str">
        <f>_xlfn.IFNA((VLOOKUP(Optimalisatie!AB81,Database_Brandstoffen[],60,FALSE)),"Nee")</f>
        <v>Nee</v>
      </c>
      <c r="L709" s="132">
        <f>IF(Inschrijf_Bouwplaats_Totaal[[#This Row],[Emissieloos Asfalt Aanlegset]]="JA",Inschrijf_Bouwplaats_Totaal[[#This Row],[Draaiuren Bouw Asfalt]],0)+IF(Inschrijf_Bouwplaats_Totaal[[#This Row],[Emissieloos Bouwmaterieel]]="JA",Inschrijf_Bouwplaats_Totaal[[#This Row],[Draaiuren Bouw Overig]],0)+IF(Inschrijf_Bouwplaats_Totaal[[#This Row],[Emissieloos Asfalt Verwijderset]]="JA",Inschrijf_Bouwplaats_Totaal[[#This Row],[Draaiuren Verwijder Asfalt]],0)+IF(Inschrijf_Bouwplaats_Totaal[[#This Row],[Emissieloos Sloopmaterieel]]="JA",Inschrijf_Bouwplaats_Totaal[[#This Row],[Draaiuren Verwijder Overig]],0)</f>
        <v>0</v>
      </c>
      <c r="M709" s="139">
        <f>_xlfn.IFNA(IF(Optimalisatie!C81="Nieuwe situatie",(Optimalisatie!R81/(VLOOKUP(Optimalisatie!W81,Database_Asfalt_Aanlegset[#All],60,FALSE)/8)),0),0)*Optimalisatie!T81</f>
        <v>0</v>
      </c>
      <c r="N709" s="139">
        <f>_xlfn.IFNA(IF(Optimalisatie!C81="Nieuwe situatie",Optimalisatie!S81/VLOOKUP(Optimalisatie!X81,Database_Overig_Materieel[#All],8,FALSE),0),0)*Optimalisatie!T81</f>
        <v>0</v>
      </c>
      <c r="O709" s="139">
        <f>_xlfn.IFNA(IF(Optimalisatie!C81="Bestaande situatie",Optimalisatie!R81/(VLOOKUP(Optimalisatie!AA81,Database_Asfalt_Verwijderset[#All],60,FALSE)/8),0),0)*Optimalisatie!T81</f>
        <v>0</v>
      </c>
      <c r="P709" s="139">
        <f>_xlfn.IFNA(IF(Optimalisatie!C81="Bestaande situatie",Optimalisatie!S81/VLOOKUP(Optimalisatie!AB81,Database_Overig_Materieel[#All],8,FALSE),0),0)*Optimalisatie!T81</f>
        <v>0</v>
      </c>
      <c r="Q709" s="139">
        <f>IF(Inschrijf_Bouwplaats_Totaal[[#This Row],[Emissieloos Asfalt Aanlegset]]="JA",Inschrijf_Bouwplaats_Totaal[[#This Row],[Draaiuren Bouw Asfalt Vervangingen]],0)+IF(Inschrijf_Bouwplaats_Totaal[[#This Row],[Emissieloos Bouwmaterieel]]="JA",Inschrijf_Bouwplaats_Totaal[[#This Row],[Draaiuren Bouw Overig Vervangingen]],0)+IF(Inschrijf_Bouwplaats_Totaal[[#This Row],[Emissieloos Asfalt Verwijderset]]="JA",Inschrijf_Bouwplaats_Totaal[[#This Row],[Draaiuren Verwijder Asfalt Vervangingen]],0)+IF(Inschrijf_Bouwplaats_Totaal[[#This Row],[Emissieloos Sloopmaterieel]]="JA",Inschrijf_Bouwplaats_Totaal[[#This Row],[Draaiuren Verwijder Overig Vervangingen]],0)</f>
        <v>0</v>
      </c>
      <c r="R709" s="139">
        <f>Inschrijf_Bouwplaats_Totaal[[#This Row],[Emissieloos bouwplaats]]+Inschrijf_Bouwplaats_Totaal[[#This Row],[Emissieloos bouwplaats Vervangingen]]</f>
        <v>0</v>
      </c>
      <c r="S709" s="139">
        <f>(Inschrijf_Bouwplaats_Totaal[[#This Row],[Draaiuren Bouw Asfalt]]+Inschrijf_Bouwplaats_Totaal[[#This Row],[Draaiuren Bouw Overig]]+Inschrijf_Bouwplaats_Totaal[[#This Row],[Draaiuren Verwijder Asfalt]]+Inschrijf_Bouwplaats_Totaal[[#This Row],[Draaiuren Verwijder Overig]]+Inschrijf_Bouwplaats_Totaal[[#This Row],[Draaiuren Bouw Asfalt Vervangingen]]+Inschrijf_Bouwplaats_Totaal[[#This Row],[Draaiuren Bouw Overig Vervangingen]]+Inschrijf_Bouwplaats_Totaal[[#This Row],[Draaiuren Verwijder Asfalt Vervangingen]]+Inschrijf_Bouwplaats_Totaal[[#This Row],[Draaiuren Verwijder Overig Vervangingen]])-Inschrijf_Bouwplaats_Totaal[[#This Row],[Totaal Emissieloos Bouwplaats]]</f>
        <v>0</v>
      </c>
      <c r="T709" s="139">
        <f>Inschrijf_Bouwplaats_Totaal[[#This Row],[Totaal Emissieloos Bouwplaats]]+Inschrijf_Bouwplaats_Totaal[[#This Row],[Totaal Niet Emissieloos Bouwplaats]]</f>
        <v>0</v>
      </c>
      <c r="U709" s="335"/>
    </row>
    <row r="710" spans="2:21">
      <c r="B710" s="209">
        <f>Optimalisatie!B82</f>
        <v>0</v>
      </c>
      <c r="C710" s="51">
        <f>Optimalisatie!F82</f>
        <v>0</v>
      </c>
      <c r="D710" s="134">
        <f>_xlfn.IFNA(IF(Optimalisatie!C82="Nieuwe situatie",(Optimalisatie!R82/(VLOOKUP(Optimalisatie!W82,Database_Asfalt_Aanlegset[#All],60,FALSE)/8)),0),0)</f>
        <v>0</v>
      </c>
      <c r="E710" s="135">
        <f>IFERROR(IF(Optimalisatie!C82="Nieuwe situatie",Optimalisatie!J82/Optimalisatie!Z82,0),0)</f>
        <v>0</v>
      </c>
      <c r="F710" s="135">
        <f>_xlfn.IFNA(IF(Optimalisatie!C82="Bestaande situatie",Optimalisatie!R82/(VLOOKUP(Optimalisatie!AA82,Database_Asfalt_Verwijderset[#All],60,FALSE)/8),0),0)</f>
        <v>0</v>
      </c>
      <c r="G710" s="138">
        <f>IFERROR(IF(Optimalisatie!C82="Bestaande situatie",Optimalisatie!J82/Optimalisatie!AD82,0),0)</f>
        <v>0</v>
      </c>
      <c r="H710" s="94" t="str">
        <f>_xlfn.IFNA((VLOOKUP(Optimalisatie!W82,Database_Asfalt_Aanlegset[],61,FALSE)),"Nee")</f>
        <v>Nee</v>
      </c>
      <c r="I710" s="94" t="str">
        <f>_xlfn.IFNA((VLOOKUP(Optimalisatie!X82,Database_Brandstoffen[],60,FALSE)),"Nee")</f>
        <v>Nee</v>
      </c>
      <c r="J710" s="94" t="str">
        <f>_xlfn.IFNA((VLOOKUP(Optimalisatie!AA82,Database_Asfalt_Verwijderset[],61,FALSE)),"Nee")</f>
        <v>Nee</v>
      </c>
      <c r="K710" s="120" t="str">
        <f>_xlfn.IFNA((VLOOKUP(Optimalisatie!AB82,Database_Brandstoffen[],60,FALSE)),"Nee")</f>
        <v>Nee</v>
      </c>
      <c r="L710" s="132">
        <f>IF(Inschrijf_Bouwplaats_Totaal[[#This Row],[Emissieloos Asfalt Aanlegset]]="JA",Inschrijf_Bouwplaats_Totaal[[#This Row],[Draaiuren Bouw Asfalt]],0)+IF(Inschrijf_Bouwplaats_Totaal[[#This Row],[Emissieloos Bouwmaterieel]]="JA",Inschrijf_Bouwplaats_Totaal[[#This Row],[Draaiuren Bouw Overig]],0)+IF(Inschrijf_Bouwplaats_Totaal[[#This Row],[Emissieloos Asfalt Verwijderset]]="JA",Inschrijf_Bouwplaats_Totaal[[#This Row],[Draaiuren Verwijder Asfalt]],0)+IF(Inschrijf_Bouwplaats_Totaal[[#This Row],[Emissieloos Sloopmaterieel]]="JA",Inschrijf_Bouwplaats_Totaal[[#This Row],[Draaiuren Verwijder Overig]],0)</f>
        <v>0</v>
      </c>
      <c r="M710" s="139">
        <f>_xlfn.IFNA(IF(Optimalisatie!C82="Nieuwe situatie",(Optimalisatie!R82/(VLOOKUP(Optimalisatie!W82,Database_Asfalt_Aanlegset[#All],60,FALSE)/8)),0),0)*Optimalisatie!T82</f>
        <v>0</v>
      </c>
      <c r="N710" s="139">
        <f>_xlfn.IFNA(IF(Optimalisatie!C82="Nieuwe situatie",Optimalisatie!S82/VLOOKUP(Optimalisatie!X82,Database_Overig_Materieel[#All],8,FALSE),0),0)*Optimalisatie!T82</f>
        <v>0</v>
      </c>
      <c r="O710" s="139">
        <f>_xlfn.IFNA(IF(Optimalisatie!C82="Bestaande situatie",Optimalisatie!R82/(VLOOKUP(Optimalisatie!AA82,Database_Asfalt_Verwijderset[#All],60,FALSE)/8),0),0)*Optimalisatie!T82</f>
        <v>0</v>
      </c>
      <c r="P710" s="139">
        <f>_xlfn.IFNA(IF(Optimalisatie!C82="Bestaande situatie",Optimalisatie!S82/VLOOKUP(Optimalisatie!AB82,Database_Overig_Materieel[#All],8,FALSE),0),0)*Optimalisatie!T82</f>
        <v>0</v>
      </c>
      <c r="Q710" s="139">
        <f>IF(Inschrijf_Bouwplaats_Totaal[[#This Row],[Emissieloos Asfalt Aanlegset]]="JA",Inschrijf_Bouwplaats_Totaal[[#This Row],[Draaiuren Bouw Asfalt Vervangingen]],0)+IF(Inschrijf_Bouwplaats_Totaal[[#This Row],[Emissieloos Bouwmaterieel]]="JA",Inschrijf_Bouwplaats_Totaal[[#This Row],[Draaiuren Bouw Overig Vervangingen]],0)+IF(Inschrijf_Bouwplaats_Totaal[[#This Row],[Emissieloos Asfalt Verwijderset]]="JA",Inschrijf_Bouwplaats_Totaal[[#This Row],[Draaiuren Verwijder Asfalt Vervangingen]],0)+IF(Inschrijf_Bouwplaats_Totaal[[#This Row],[Emissieloos Sloopmaterieel]]="JA",Inschrijf_Bouwplaats_Totaal[[#This Row],[Draaiuren Verwijder Overig Vervangingen]],0)</f>
        <v>0</v>
      </c>
      <c r="R710" s="139">
        <f>Inschrijf_Bouwplaats_Totaal[[#This Row],[Emissieloos bouwplaats]]+Inschrijf_Bouwplaats_Totaal[[#This Row],[Emissieloos bouwplaats Vervangingen]]</f>
        <v>0</v>
      </c>
      <c r="S710" s="139">
        <f>(Inschrijf_Bouwplaats_Totaal[[#This Row],[Draaiuren Bouw Asfalt]]+Inschrijf_Bouwplaats_Totaal[[#This Row],[Draaiuren Bouw Overig]]+Inschrijf_Bouwplaats_Totaal[[#This Row],[Draaiuren Verwijder Asfalt]]+Inschrijf_Bouwplaats_Totaal[[#This Row],[Draaiuren Verwijder Overig]]+Inschrijf_Bouwplaats_Totaal[[#This Row],[Draaiuren Bouw Asfalt Vervangingen]]+Inschrijf_Bouwplaats_Totaal[[#This Row],[Draaiuren Bouw Overig Vervangingen]]+Inschrijf_Bouwplaats_Totaal[[#This Row],[Draaiuren Verwijder Asfalt Vervangingen]]+Inschrijf_Bouwplaats_Totaal[[#This Row],[Draaiuren Verwijder Overig Vervangingen]])-Inschrijf_Bouwplaats_Totaal[[#This Row],[Totaal Emissieloos Bouwplaats]]</f>
        <v>0</v>
      </c>
      <c r="T710" s="139">
        <f>Inschrijf_Bouwplaats_Totaal[[#This Row],[Totaal Emissieloos Bouwplaats]]+Inschrijf_Bouwplaats_Totaal[[#This Row],[Totaal Niet Emissieloos Bouwplaats]]</f>
        <v>0</v>
      </c>
      <c r="U710" s="335"/>
    </row>
    <row r="711" spans="2:21">
      <c r="B711" s="209">
        <f>Optimalisatie!B83</f>
        <v>0</v>
      </c>
      <c r="C711" s="51">
        <f>Optimalisatie!F83</f>
        <v>0</v>
      </c>
      <c r="D711" s="134">
        <f>_xlfn.IFNA(IF(Optimalisatie!C83="Nieuwe situatie",(Optimalisatie!R83/(VLOOKUP(Optimalisatie!W83,Database_Asfalt_Aanlegset[#All],60,FALSE)/8)),0),0)</f>
        <v>0</v>
      </c>
      <c r="E711" s="135">
        <f>IFERROR(IF(Optimalisatie!C83="Nieuwe situatie",Optimalisatie!J83/Optimalisatie!Z83,0),0)</f>
        <v>0</v>
      </c>
      <c r="F711" s="135">
        <f>_xlfn.IFNA(IF(Optimalisatie!C83="Bestaande situatie",Optimalisatie!R83/(VLOOKUP(Optimalisatie!AA83,Database_Asfalt_Verwijderset[#All],60,FALSE)/8),0),0)</f>
        <v>0</v>
      </c>
      <c r="G711" s="138">
        <f>IFERROR(IF(Optimalisatie!C83="Bestaande situatie",Optimalisatie!J83/Optimalisatie!AD83,0),0)</f>
        <v>0</v>
      </c>
      <c r="H711" s="94" t="str">
        <f>_xlfn.IFNA((VLOOKUP(Optimalisatie!W83,Database_Asfalt_Aanlegset[],61,FALSE)),"Nee")</f>
        <v>Nee</v>
      </c>
      <c r="I711" s="94" t="str">
        <f>_xlfn.IFNA((VLOOKUP(Optimalisatie!X83,Database_Brandstoffen[],60,FALSE)),"Nee")</f>
        <v>Nee</v>
      </c>
      <c r="J711" s="94" t="str">
        <f>_xlfn.IFNA((VLOOKUP(Optimalisatie!AA83,Database_Asfalt_Verwijderset[],61,FALSE)),"Nee")</f>
        <v>Nee</v>
      </c>
      <c r="K711" s="120" t="str">
        <f>_xlfn.IFNA((VLOOKUP(Optimalisatie!AB83,Database_Brandstoffen[],60,FALSE)),"Nee")</f>
        <v>Nee</v>
      </c>
      <c r="L711" s="132">
        <f>IF(Inschrijf_Bouwplaats_Totaal[[#This Row],[Emissieloos Asfalt Aanlegset]]="JA",Inschrijf_Bouwplaats_Totaal[[#This Row],[Draaiuren Bouw Asfalt]],0)+IF(Inschrijf_Bouwplaats_Totaal[[#This Row],[Emissieloos Bouwmaterieel]]="JA",Inschrijf_Bouwplaats_Totaal[[#This Row],[Draaiuren Bouw Overig]],0)+IF(Inschrijf_Bouwplaats_Totaal[[#This Row],[Emissieloos Asfalt Verwijderset]]="JA",Inschrijf_Bouwplaats_Totaal[[#This Row],[Draaiuren Verwijder Asfalt]],0)+IF(Inschrijf_Bouwplaats_Totaal[[#This Row],[Emissieloos Sloopmaterieel]]="JA",Inschrijf_Bouwplaats_Totaal[[#This Row],[Draaiuren Verwijder Overig]],0)</f>
        <v>0</v>
      </c>
      <c r="M711" s="139">
        <f>_xlfn.IFNA(IF(Optimalisatie!C83="Nieuwe situatie",(Optimalisatie!R83/(VLOOKUP(Optimalisatie!W83,Database_Asfalt_Aanlegset[#All],60,FALSE)/8)),0),0)*Optimalisatie!T83</f>
        <v>0</v>
      </c>
      <c r="N711" s="139">
        <f>_xlfn.IFNA(IF(Optimalisatie!C83="Nieuwe situatie",Optimalisatie!S83/VLOOKUP(Optimalisatie!X83,Database_Overig_Materieel[#All],8,FALSE),0),0)*Optimalisatie!T83</f>
        <v>0</v>
      </c>
      <c r="O711" s="139">
        <f>_xlfn.IFNA(IF(Optimalisatie!C83="Bestaande situatie",Optimalisatie!R83/(VLOOKUP(Optimalisatie!AA83,Database_Asfalt_Verwijderset[#All],60,FALSE)/8),0),0)*Optimalisatie!T83</f>
        <v>0</v>
      </c>
      <c r="P711" s="139">
        <f>_xlfn.IFNA(IF(Optimalisatie!C83="Bestaande situatie",Optimalisatie!S83/VLOOKUP(Optimalisatie!AB83,Database_Overig_Materieel[#All],8,FALSE),0),0)*Optimalisatie!T83</f>
        <v>0</v>
      </c>
      <c r="Q711" s="139">
        <f>IF(Inschrijf_Bouwplaats_Totaal[[#This Row],[Emissieloos Asfalt Aanlegset]]="JA",Inschrijf_Bouwplaats_Totaal[[#This Row],[Draaiuren Bouw Asfalt Vervangingen]],0)+IF(Inschrijf_Bouwplaats_Totaal[[#This Row],[Emissieloos Bouwmaterieel]]="JA",Inschrijf_Bouwplaats_Totaal[[#This Row],[Draaiuren Bouw Overig Vervangingen]],0)+IF(Inschrijf_Bouwplaats_Totaal[[#This Row],[Emissieloos Asfalt Verwijderset]]="JA",Inschrijf_Bouwplaats_Totaal[[#This Row],[Draaiuren Verwijder Asfalt Vervangingen]],0)+IF(Inschrijf_Bouwplaats_Totaal[[#This Row],[Emissieloos Sloopmaterieel]]="JA",Inschrijf_Bouwplaats_Totaal[[#This Row],[Draaiuren Verwijder Overig Vervangingen]],0)</f>
        <v>0</v>
      </c>
      <c r="R711" s="139">
        <f>Inschrijf_Bouwplaats_Totaal[[#This Row],[Emissieloos bouwplaats]]+Inschrijf_Bouwplaats_Totaal[[#This Row],[Emissieloos bouwplaats Vervangingen]]</f>
        <v>0</v>
      </c>
      <c r="S711" s="139">
        <f>(Inschrijf_Bouwplaats_Totaal[[#This Row],[Draaiuren Bouw Asfalt]]+Inschrijf_Bouwplaats_Totaal[[#This Row],[Draaiuren Bouw Overig]]+Inschrijf_Bouwplaats_Totaal[[#This Row],[Draaiuren Verwijder Asfalt]]+Inschrijf_Bouwplaats_Totaal[[#This Row],[Draaiuren Verwijder Overig]]+Inschrijf_Bouwplaats_Totaal[[#This Row],[Draaiuren Bouw Asfalt Vervangingen]]+Inschrijf_Bouwplaats_Totaal[[#This Row],[Draaiuren Bouw Overig Vervangingen]]+Inschrijf_Bouwplaats_Totaal[[#This Row],[Draaiuren Verwijder Asfalt Vervangingen]]+Inschrijf_Bouwplaats_Totaal[[#This Row],[Draaiuren Verwijder Overig Vervangingen]])-Inschrijf_Bouwplaats_Totaal[[#This Row],[Totaal Emissieloos Bouwplaats]]</f>
        <v>0</v>
      </c>
      <c r="T711" s="139">
        <f>Inschrijf_Bouwplaats_Totaal[[#This Row],[Totaal Emissieloos Bouwplaats]]+Inschrijf_Bouwplaats_Totaal[[#This Row],[Totaal Niet Emissieloos Bouwplaats]]</f>
        <v>0</v>
      </c>
      <c r="U711" s="335"/>
    </row>
    <row r="712" spans="2:21">
      <c r="B712" s="209">
        <f>Optimalisatie!B84</f>
        <v>0</v>
      </c>
      <c r="C712" s="51">
        <f>Optimalisatie!F84</f>
        <v>0</v>
      </c>
      <c r="D712" s="134">
        <f>_xlfn.IFNA(IF(Optimalisatie!C84="Nieuwe situatie",(Optimalisatie!R84/(VLOOKUP(Optimalisatie!W84,Database_Asfalt_Aanlegset[#All],60,FALSE)/8)),0),0)</f>
        <v>0</v>
      </c>
      <c r="E712" s="135">
        <f>IFERROR(IF(Optimalisatie!C84="Nieuwe situatie",Optimalisatie!J84/Optimalisatie!Z84,0),0)</f>
        <v>0</v>
      </c>
      <c r="F712" s="135">
        <f>_xlfn.IFNA(IF(Optimalisatie!C84="Bestaande situatie",Optimalisatie!R84/(VLOOKUP(Optimalisatie!AA84,Database_Asfalt_Verwijderset[#All],60,FALSE)/8),0),0)</f>
        <v>0</v>
      </c>
      <c r="G712" s="138">
        <f>IFERROR(IF(Optimalisatie!C84="Bestaande situatie",Optimalisatie!J84/Optimalisatie!AD84,0),0)</f>
        <v>0</v>
      </c>
      <c r="H712" s="94" t="str">
        <f>_xlfn.IFNA((VLOOKUP(Optimalisatie!W84,Database_Asfalt_Aanlegset[],61,FALSE)),"Nee")</f>
        <v>Nee</v>
      </c>
      <c r="I712" s="94" t="str">
        <f>_xlfn.IFNA((VLOOKUP(Optimalisatie!X84,Database_Brandstoffen[],60,FALSE)),"Nee")</f>
        <v>Nee</v>
      </c>
      <c r="J712" s="94" t="str">
        <f>_xlfn.IFNA((VLOOKUP(Optimalisatie!AA84,Database_Asfalt_Verwijderset[],61,FALSE)),"Nee")</f>
        <v>Nee</v>
      </c>
      <c r="K712" s="120" t="str">
        <f>_xlfn.IFNA((VLOOKUP(Optimalisatie!AB84,Database_Brandstoffen[],60,FALSE)),"Nee")</f>
        <v>Nee</v>
      </c>
      <c r="L712" s="132">
        <f>IF(Inschrijf_Bouwplaats_Totaal[[#This Row],[Emissieloos Asfalt Aanlegset]]="JA",Inschrijf_Bouwplaats_Totaal[[#This Row],[Draaiuren Bouw Asfalt]],0)+IF(Inschrijf_Bouwplaats_Totaal[[#This Row],[Emissieloos Bouwmaterieel]]="JA",Inschrijf_Bouwplaats_Totaal[[#This Row],[Draaiuren Bouw Overig]],0)+IF(Inschrijf_Bouwplaats_Totaal[[#This Row],[Emissieloos Asfalt Verwijderset]]="JA",Inschrijf_Bouwplaats_Totaal[[#This Row],[Draaiuren Verwijder Asfalt]],0)+IF(Inschrijf_Bouwplaats_Totaal[[#This Row],[Emissieloos Sloopmaterieel]]="JA",Inschrijf_Bouwplaats_Totaal[[#This Row],[Draaiuren Verwijder Overig]],0)</f>
        <v>0</v>
      </c>
      <c r="M712" s="139">
        <f>_xlfn.IFNA(IF(Optimalisatie!C84="Nieuwe situatie",(Optimalisatie!R84/(VLOOKUP(Optimalisatie!W84,Database_Asfalt_Aanlegset[#All],60,FALSE)/8)),0),0)*Optimalisatie!T84</f>
        <v>0</v>
      </c>
      <c r="N712" s="139">
        <f>_xlfn.IFNA(IF(Optimalisatie!C84="Nieuwe situatie",Optimalisatie!S84/VLOOKUP(Optimalisatie!X84,Database_Overig_Materieel[#All],8,FALSE),0),0)*Optimalisatie!T84</f>
        <v>0</v>
      </c>
      <c r="O712" s="139">
        <f>_xlfn.IFNA(IF(Optimalisatie!C84="Bestaande situatie",Optimalisatie!R84/(VLOOKUP(Optimalisatie!AA84,Database_Asfalt_Verwijderset[#All],60,FALSE)/8),0),0)*Optimalisatie!T84</f>
        <v>0</v>
      </c>
      <c r="P712" s="139">
        <f>_xlfn.IFNA(IF(Optimalisatie!C84="Bestaande situatie",Optimalisatie!S84/VLOOKUP(Optimalisatie!AB84,Database_Overig_Materieel[#All],8,FALSE),0),0)*Optimalisatie!T84</f>
        <v>0</v>
      </c>
      <c r="Q712" s="139">
        <f>IF(Inschrijf_Bouwplaats_Totaal[[#This Row],[Emissieloos Asfalt Aanlegset]]="JA",Inschrijf_Bouwplaats_Totaal[[#This Row],[Draaiuren Bouw Asfalt Vervangingen]],0)+IF(Inschrijf_Bouwplaats_Totaal[[#This Row],[Emissieloos Bouwmaterieel]]="JA",Inschrijf_Bouwplaats_Totaal[[#This Row],[Draaiuren Bouw Overig Vervangingen]],0)+IF(Inschrijf_Bouwplaats_Totaal[[#This Row],[Emissieloos Asfalt Verwijderset]]="JA",Inschrijf_Bouwplaats_Totaal[[#This Row],[Draaiuren Verwijder Asfalt Vervangingen]],0)+IF(Inschrijf_Bouwplaats_Totaal[[#This Row],[Emissieloos Sloopmaterieel]]="JA",Inschrijf_Bouwplaats_Totaal[[#This Row],[Draaiuren Verwijder Overig Vervangingen]],0)</f>
        <v>0</v>
      </c>
      <c r="R712" s="139">
        <f>Inschrijf_Bouwplaats_Totaal[[#This Row],[Emissieloos bouwplaats]]+Inschrijf_Bouwplaats_Totaal[[#This Row],[Emissieloos bouwplaats Vervangingen]]</f>
        <v>0</v>
      </c>
      <c r="S712" s="139">
        <f>(Inschrijf_Bouwplaats_Totaal[[#This Row],[Draaiuren Bouw Asfalt]]+Inschrijf_Bouwplaats_Totaal[[#This Row],[Draaiuren Bouw Overig]]+Inschrijf_Bouwplaats_Totaal[[#This Row],[Draaiuren Verwijder Asfalt]]+Inschrijf_Bouwplaats_Totaal[[#This Row],[Draaiuren Verwijder Overig]]+Inschrijf_Bouwplaats_Totaal[[#This Row],[Draaiuren Bouw Asfalt Vervangingen]]+Inschrijf_Bouwplaats_Totaal[[#This Row],[Draaiuren Bouw Overig Vervangingen]]+Inschrijf_Bouwplaats_Totaal[[#This Row],[Draaiuren Verwijder Asfalt Vervangingen]]+Inschrijf_Bouwplaats_Totaal[[#This Row],[Draaiuren Verwijder Overig Vervangingen]])-Inschrijf_Bouwplaats_Totaal[[#This Row],[Totaal Emissieloos Bouwplaats]]</f>
        <v>0</v>
      </c>
      <c r="T712" s="139">
        <f>Inschrijf_Bouwplaats_Totaal[[#This Row],[Totaal Emissieloos Bouwplaats]]+Inschrijf_Bouwplaats_Totaal[[#This Row],[Totaal Niet Emissieloos Bouwplaats]]</f>
        <v>0</v>
      </c>
      <c r="U712" s="335"/>
    </row>
    <row r="713" spans="2:21">
      <c r="B713" s="209">
        <f>Optimalisatie!B85</f>
        <v>0</v>
      </c>
      <c r="C713" s="51">
        <f>Optimalisatie!F85</f>
        <v>0</v>
      </c>
      <c r="D713" s="134">
        <f>_xlfn.IFNA(IF(Optimalisatie!C85="Nieuwe situatie",(Optimalisatie!R85/(VLOOKUP(Optimalisatie!W85,Database_Asfalt_Aanlegset[#All],60,FALSE)/8)),0),0)</f>
        <v>0</v>
      </c>
      <c r="E713" s="135">
        <f>IFERROR(IF(Optimalisatie!C85="Nieuwe situatie",Optimalisatie!J85/Optimalisatie!Z85,0),0)</f>
        <v>0</v>
      </c>
      <c r="F713" s="135">
        <f>_xlfn.IFNA(IF(Optimalisatie!C85="Bestaande situatie",Optimalisatie!R85/(VLOOKUP(Optimalisatie!AA85,Database_Asfalt_Verwijderset[#All],60,FALSE)/8),0),0)</f>
        <v>0</v>
      </c>
      <c r="G713" s="138">
        <f>IFERROR(IF(Optimalisatie!C85="Bestaande situatie",Optimalisatie!J85/Optimalisatie!AD85,0),0)</f>
        <v>0</v>
      </c>
      <c r="H713" s="94" t="str">
        <f>_xlfn.IFNA((VLOOKUP(Optimalisatie!W85,Database_Asfalt_Aanlegset[],61,FALSE)),"Nee")</f>
        <v>Nee</v>
      </c>
      <c r="I713" s="94" t="str">
        <f>_xlfn.IFNA((VLOOKUP(Optimalisatie!X85,Database_Brandstoffen[],60,FALSE)),"Nee")</f>
        <v>Nee</v>
      </c>
      <c r="J713" s="94" t="str">
        <f>_xlfn.IFNA((VLOOKUP(Optimalisatie!AA85,Database_Asfalt_Verwijderset[],61,FALSE)),"Nee")</f>
        <v>Nee</v>
      </c>
      <c r="K713" s="120" t="str">
        <f>_xlfn.IFNA((VLOOKUP(Optimalisatie!AB85,Database_Brandstoffen[],60,FALSE)),"Nee")</f>
        <v>Nee</v>
      </c>
      <c r="L713" s="132">
        <f>IF(Inschrijf_Bouwplaats_Totaal[[#This Row],[Emissieloos Asfalt Aanlegset]]="JA",Inschrijf_Bouwplaats_Totaal[[#This Row],[Draaiuren Bouw Asfalt]],0)+IF(Inschrijf_Bouwplaats_Totaal[[#This Row],[Emissieloos Bouwmaterieel]]="JA",Inschrijf_Bouwplaats_Totaal[[#This Row],[Draaiuren Bouw Overig]],0)+IF(Inschrijf_Bouwplaats_Totaal[[#This Row],[Emissieloos Asfalt Verwijderset]]="JA",Inschrijf_Bouwplaats_Totaal[[#This Row],[Draaiuren Verwijder Asfalt]],0)+IF(Inschrijf_Bouwplaats_Totaal[[#This Row],[Emissieloos Sloopmaterieel]]="JA",Inschrijf_Bouwplaats_Totaal[[#This Row],[Draaiuren Verwijder Overig]],0)</f>
        <v>0</v>
      </c>
      <c r="M713" s="139">
        <f>_xlfn.IFNA(IF(Optimalisatie!C85="Nieuwe situatie",(Optimalisatie!R85/(VLOOKUP(Optimalisatie!W85,Database_Asfalt_Aanlegset[#All],60,FALSE)/8)),0),0)*Optimalisatie!T85</f>
        <v>0</v>
      </c>
      <c r="N713" s="139">
        <f>_xlfn.IFNA(IF(Optimalisatie!C85="Nieuwe situatie",Optimalisatie!S85/VLOOKUP(Optimalisatie!X85,Database_Overig_Materieel[#All],8,FALSE),0),0)*Optimalisatie!T85</f>
        <v>0</v>
      </c>
      <c r="O713" s="139">
        <f>_xlfn.IFNA(IF(Optimalisatie!C85="Bestaande situatie",Optimalisatie!R85/(VLOOKUP(Optimalisatie!AA85,Database_Asfalt_Verwijderset[#All],60,FALSE)/8),0),0)*Optimalisatie!T85</f>
        <v>0</v>
      </c>
      <c r="P713" s="139">
        <f>_xlfn.IFNA(IF(Optimalisatie!C85="Bestaande situatie",Optimalisatie!S85/VLOOKUP(Optimalisatie!AB85,Database_Overig_Materieel[#All],8,FALSE),0),0)*Optimalisatie!T85</f>
        <v>0</v>
      </c>
      <c r="Q713" s="139">
        <f>IF(Inschrijf_Bouwplaats_Totaal[[#This Row],[Emissieloos Asfalt Aanlegset]]="JA",Inschrijf_Bouwplaats_Totaal[[#This Row],[Draaiuren Bouw Asfalt Vervangingen]],0)+IF(Inschrijf_Bouwplaats_Totaal[[#This Row],[Emissieloos Bouwmaterieel]]="JA",Inschrijf_Bouwplaats_Totaal[[#This Row],[Draaiuren Bouw Overig Vervangingen]],0)+IF(Inschrijf_Bouwplaats_Totaal[[#This Row],[Emissieloos Asfalt Verwijderset]]="JA",Inschrijf_Bouwplaats_Totaal[[#This Row],[Draaiuren Verwijder Asfalt Vervangingen]],0)+IF(Inschrijf_Bouwplaats_Totaal[[#This Row],[Emissieloos Sloopmaterieel]]="JA",Inschrijf_Bouwplaats_Totaal[[#This Row],[Draaiuren Verwijder Overig Vervangingen]],0)</f>
        <v>0</v>
      </c>
      <c r="R713" s="139">
        <f>Inschrijf_Bouwplaats_Totaal[[#This Row],[Emissieloos bouwplaats]]+Inschrijf_Bouwplaats_Totaal[[#This Row],[Emissieloos bouwplaats Vervangingen]]</f>
        <v>0</v>
      </c>
      <c r="S713" s="139">
        <f>(Inschrijf_Bouwplaats_Totaal[[#This Row],[Draaiuren Bouw Asfalt]]+Inschrijf_Bouwplaats_Totaal[[#This Row],[Draaiuren Bouw Overig]]+Inschrijf_Bouwplaats_Totaal[[#This Row],[Draaiuren Verwijder Asfalt]]+Inschrijf_Bouwplaats_Totaal[[#This Row],[Draaiuren Verwijder Overig]]+Inschrijf_Bouwplaats_Totaal[[#This Row],[Draaiuren Bouw Asfalt Vervangingen]]+Inschrijf_Bouwplaats_Totaal[[#This Row],[Draaiuren Bouw Overig Vervangingen]]+Inschrijf_Bouwplaats_Totaal[[#This Row],[Draaiuren Verwijder Asfalt Vervangingen]]+Inschrijf_Bouwplaats_Totaal[[#This Row],[Draaiuren Verwijder Overig Vervangingen]])-Inschrijf_Bouwplaats_Totaal[[#This Row],[Totaal Emissieloos Bouwplaats]]</f>
        <v>0</v>
      </c>
      <c r="T713" s="139">
        <f>Inschrijf_Bouwplaats_Totaal[[#This Row],[Totaal Emissieloos Bouwplaats]]+Inschrijf_Bouwplaats_Totaal[[#This Row],[Totaal Niet Emissieloos Bouwplaats]]</f>
        <v>0</v>
      </c>
      <c r="U713" s="335"/>
    </row>
    <row r="714" spans="2:21">
      <c r="B714" s="209">
        <f>Optimalisatie!B86</f>
        <v>0</v>
      </c>
      <c r="C714" s="51">
        <f>Optimalisatie!F86</f>
        <v>0</v>
      </c>
      <c r="D714" s="134">
        <f>_xlfn.IFNA(IF(Optimalisatie!C86="Nieuwe situatie",(Optimalisatie!R86/(VLOOKUP(Optimalisatie!W86,Database_Asfalt_Aanlegset[#All],60,FALSE)/8)),0),0)</f>
        <v>0</v>
      </c>
      <c r="E714" s="135">
        <f>IFERROR(IF(Optimalisatie!C86="Nieuwe situatie",Optimalisatie!J86/Optimalisatie!Z86,0),0)</f>
        <v>0</v>
      </c>
      <c r="F714" s="135">
        <f>_xlfn.IFNA(IF(Optimalisatie!C86="Bestaande situatie",Optimalisatie!R86/(VLOOKUP(Optimalisatie!AA86,Database_Asfalt_Verwijderset[#All],60,FALSE)/8),0),0)</f>
        <v>0</v>
      </c>
      <c r="G714" s="138">
        <f>IFERROR(IF(Optimalisatie!C86="Bestaande situatie",Optimalisatie!J86/Optimalisatie!AD86,0),0)</f>
        <v>0</v>
      </c>
      <c r="H714" s="94" t="str">
        <f>_xlfn.IFNA((VLOOKUP(Optimalisatie!W86,Database_Asfalt_Aanlegset[],61,FALSE)),"Nee")</f>
        <v>Nee</v>
      </c>
      <c r="I714" s="94" t="str">
        <f>_xlfn.IFNA((VLOOKUP(Optimalisatie!X86,Database_Brandstoffen[],60,FALSE)),"Nee")</f>
        <v>Nee</v>
      </c>
      <c r="J714" s="94" t="str">
        <f>_xlfn.IFNA((VLOOKUP(Optimalisatie!AA86,Database_Asfalt_Verwijderset[],61,FALSE)),"Nee")</f>
        <v>Nee</v>
      </c>
      <c r="K714" s="120" t="str">
        <f>_xlfn.IFNA((VLOOKUP(Optimalisatie!AB86,Database_Brandstoffen[],60,FALSE)),"Nee")</f>
        <v>Nee</v>
      </c>
      <c r="L714" s="132">
        <f>IF(Inschrijf_Bouwplaats_Totaal[[#This Row],[Emissieloos Asfalt Aanlegset]]="JA",Inschrijf_Bouwplaats_Totaal[[#This Row],[Draaiuren Bouw Asfalt]],0)+IF(Inschrijf_Bouwplaats_Totaal[[#This Row],[Emissieloos Bouwmaterieel]]="JA",Inschrijf_Bouwplaats_Totaal[[#This Row],[Draaiuren Bouw Overig]],0)+IF(Inschrijf_Bouwplaats_Totaal[[#This Row],[Emissieloos Asfalt Verwijderset]]="JA",Inschrijf_Bouwplaats_Totaal[[#This Row],[Draaiuren Verwijder Asfalt]],0)+IF(Inschrijf_Bouwplaats_Totaal[[#This Row],[Emissieloos Sloopmaterieel]]="JA",Inschrijf_Bouwplaats_Totaal[[#This Row],[Draaiuren Verwijder Overig]],0)</f>
        <v>0</v>
      </c>
      <c r="M714" s="139">
        <f>_xlfn.IFNA(IF(Optimalisatie!C86="Nieuwe situatie",(Optimalisatie!R86/(VLOOKUP(Optimalisatie!W86,Database_Asfalt_Aanlegset[#All],60,FALSE)/8)),0),0)*Optimalisatie!T86</f>
        <v>0</v>
      </c>
      <c r="N714" s="139">
        <f>_xlfn.IFNA(IF(Optimalisatie!C86="Nieuwe situatie",Optimalisatie!S86/VLOOKUP(Optimalisatie!X86,Database_Overig_Materieel[#All],8,FALSE),0),0)*Optimalisatie!T86</f>
        <v>0</v>
      </c>
      <c r="O714" s="139">
        <f>_xlfn.IFNA(IF(Optimalisatie!C86="Bestaande situatie",Optimalisatie!R86/(VLOOKUP(Optimalisatie!AA86,Database_Asfalt_Verwijderset[#All],60,FALSE)/8),0),0)*Optimalisatie!T86</f>
        <v>0</v>
      </c>
      <c r="P714" s="139">
        <f>_xlfn.IFNA(IF(Optimalisatie!C86="Bestaande situatie",Optimalisatie!S86/VLOOKUP(Optimalisatie!AB86,Database_Overig_Materieel[#All],8,FALSE),0),0)*Optimalisatie!T86</f>
        <v>0</v>
      </c>
      <c r="Q714" s="139">
        <f>IF(Inschrijf_Bouwplaats_Totaal[[#This Row],[Emissieloos Asfalt Aanlegset]]="JA",Inschrijf_Bouwplaats_Totaal[[#This Row],[Draaiuren Bouw Asfalt Vervangingen]],0)+IF(Inschrijf_Bouwplaats_Totaal[[#This Row],[Emissieloos Bouwmaterieel]]="JA",Inschrijf_Bouwplaats_Totaal[[#This Row],[Draaiuren Bouw Overig Vervangingen]],0)+IF(Inschrijf_Bouwplaats_Totaal[[#This Row],[Emissieloos Asfalt Verwijderset]]="JA",Inschrijf_Bouwplaats_Totaal[[#This Row],[Draaiuren Verwijder Asfalt Vervangingen]],0)+IF(Inschrijf_Bouwplaats_Totaal[[#This Row],[Emissieloos Sloopmaterieel]]="JA",Inschrijf_Bouwplaats_Totaal[[#This Row],[Draaiuren Verwijder Overig Vervangingen]],0)</f>
        <v>0</v>
      </c>
      <c r="R714" s="139">
        <f>Inschrijf_Bouwplaats_Totaal[[#This Row],[Emissieloos bouwplaats]]+Inschrijf_Bouwplaats_Totaal[[#This Row],[Emissieloos bouwplaats Vervangingen]]</f>
        <v>0</v>
      </c>
      <c r="S714" s="139">
        <f>(Inschrijf_Bouwplaats_Totaal[[#This Row],[Draaiuren Bouw Asfalt]]+Inschrijf_Bouwplaats_Totaal[[#This Row],[Draaiuren Bouw Overig]]+Inschrijf_Bouwplaats_Totaal[[#This Row],[Draaiuren Verwijder Asfalt]]+Inschrijf_Bouwplaats_Totaal[[#This Row],[Draaiuren Verwijder Overig]]+Inschrijf_Bouwplaats_Totaal[[#This Row],[Draaiuren Bouw Asfalt Vervangingen]]+Inschrijf_Bouwplaats_Totaal[[#This Row],[Draaiuren Bouw Overig Vervangingen]]+Inschrijf_Bouwplaats_Totaal[[#This Row],[Draaiuren Verwijder Asfalt Vervangingen]]+Inschrijf_Bouwplaats_Totaal[[#This Row],[Draaiuren Verwijder Overig Vervangingen]])-Inschrijf_Bouwplaats_Totaal[[#This Row],[Totaal Emissieloos Bouwplaats]]</f>
        <v>0</v>
      </c>
      <c r="T714" s="139">
        <f>Inschrijf_Bouwplaats_Totaal[[#This Row],[Totaal Emissieloos Bouwplaats]]+Inschrijf_Bouwplaats_Totaal[[#This Row],[Totaal Niet Emissieloos Bouwplaats]]</f>
        <v>0</v>
      </c>
      <c r="U714" s="335"/>
    </row>
    <row r="715" spans="2:21">
      <c r="B715" s="209">
        <f>Optimalisatie!B87</f>
        <v>0</v>
      </c>
      <c r="C715" s="51">
        <f>Optimalisatie!F87</f>
        <v>0</v>
      </c>
      <c r="D715" s="134">
        <f>_xlfn.IFNA(IF(Optimalisatie!C87="Nieuwe situatie",(Optimalisatie!R87/(VLOOKUP(Optimalisatie!W87,Database_Asfalt_Aanlegset[#All],60,FALSE)/8)),0),0)</f>
        <v>0</v>
      </c>
      <c r="E715" s="135">
        <f>IFERROR(IF(Optimalisatie!C87="Nieuwe situatie",Optimalisatie!J87/Optimalisatie!Z87,0),0)</f>
        <v>0</v>
      </c>
      <c r="F715" s="135">
        <f>_xlfn.IFNA(IF(Optimalisatie!C87="Bestaande situatie",Optimalisatie!R87/(VLOOKUP(Optimalisatie!AA87,Database_Asfalt_Verwijderset[#All],60,FALSE)/8),0),0)</f>
        <v>0</v>
      </c>
      <c r="G715" s="138">
        <f>IFERROR(IF(Optimalisatie!C87="Bestaande situatie",Optimalisatie!J87/Optimalisatie!AD87,0),0)</f>
        <v>0</v>
      </c>
      <c r="H715" s="94" t="str">
        <f>_xlfn.IFNA((VLOOKUP(Optimalisatie!W87,Database_Asfalt_Aanlegset[],61,FALSE)),"Nee")</f>
        <v>Nee</v>
      </c>
      <c r="I715" s="94" t="str">
        <f>_xlfn.IFNA((VLOOKUP(Optimalisatie!X87,Database_Brandstoffen[],60,FALSE)),"Nee")</f>
        <v>Nee</v>
      </c>
      <c r="J715" s="94" t="str">
        <f>_xlfn.IFNA((VLOOKUP(Optimalisatie!AA87,Database_Asfalt_Verwijderset[],61,FALSE)),"Nee")</f>
        <v>Nee</v>
      </c>
      <c r="K715" s="120" t="str">
        <f>_xlfn.IFNA((VLOOKUP(Optimalisatie!AB87,Database_Brandstoffen[],60,FALSE)),"Nee")</f>
        <v>Nee</v>
      </c>
      <c r="L715" s="132">
        <f>IF(Inschrijf_Bouwplaats_Totaal[[#This Row],[Emissieloos Asfalt Aanlegset]]="JA",Inschrijf_Bouwplaats_Totaal[[#This Row],[Draaiuren Bouw Asfalt]],0)+IF(Inschrijf_Bouwplaats_Totaal[[#This Row],[Emissieloos Bouwmaterieel]]="JA",Inschrijf_Bouwplaats_Totaal[[#This Row],[Draaiuren Bouw Overig]],0)+IF(Inschrijf_Bouwplaats_Totaal[[#This Row],[Emissieloos Asfalt Verwijderset]]="JA",Inschrijf_Bouwplaats_Totaal[[#This Row],[Draaiuren Verwijder Asfalt]],0)+IF(Inschrijf_Bouwplaats_Totaal[[#This Row],[Emissieloos Sloopmaterieel]]="JA",Inschrijf_Bouwplaats_Totaal[[#This Row],[Draaiuren Verwijder Overig]],0)</f>
        <v>0</v>
      </c>
      <c r="M715" s="139">
        <f>_xlfn.IFNA(IF(Optimalisatie!C87="Nieuwe situatie",(Optimalisatie!R87/(VLOOKUP(Optimalisatie!W87,Database_Asfalt_Aanlegset[#All],60,FALSE)/8)),0),0)*Optimalisatie!T87</f>
        <v>0</v>
      </c>
      <c r="N715" s="139">
        <f>_xlfn.IFNA(IF(Optimalisatie!C87="Nieuwe situatie",Optimalisatie!S87/VLOOKUP(Optimalisatie!X87,Database_Overig_Materieel[#All],8,FALSE),0),0)*Optimalisatie!T87</f>
        <v>0</v>
      </c>
      <c r="O715" s="139">
        <f>_xlfn.IFNA(IF(Optimalisatie!C87="Bestaande situatie",Optimalisatie!R87/(VLOOKUP(Optimalisatie!AA87,Database_Asfalt_Verwijderset[#All],60,FALSE)/8),0),0)*Optimalisatie!T87</f>
        <v>0</v>
      </c>
      <c r="P715" s="139">
        <f>_xlfn.IFNA(IF(Optimalisatie!C87="Bestaande situatie",Optimalisatie!S87/VLOOKUP(Optimalisatie!AB87,Database_Overig_Materieel[#All],8,FALSE),0),0)*Optimalisatie!T87</f>
        <v>0</v>
      </c>
      <c r="Q715" s="139">
        <f>IF(Inschrijf_Bouwplaats_Totaal[[#This Row],[Emissieloos Asfalt Aanlegset]]="JA",Inschrijf_Bouwplaats_Totaal[[#This Row],[Draaiuren Bouw Asfalt Vervangingen]],0)+IF(Inschrijf_Bouwplaats_Totaal[[#This Row],[Emissieloos Bouwmaterieel]]="JA",Inschrijf_Bouwplaats_Totaal[[#This Row],[Draaiuren Bouw Overig Vervangingen]],0)+IF(Inschrijf_Bouwplaats_Totaal[[#This Row],[Emissieloos Asfalt Verwijderset]]="JA",Inschrijf_Bouwplaats_Totaal[[#This Row],[Draaiuren Verwijder Asfalt Vervangingen]],0)+IF(Inschrijf_Bouwplaats_Totaal[[#This Row],[Emissieloos Sloopmaterieel]]="JA",Inschrijf_Bouwplaats_Totaal[[#This Row],[Draaiuren Verwijder Overig Vervangingen]],0)</f>
        <v>0</v>
      </c>
      <c r="R715" s="139">
        <f>Inschrijf_Bouwplaats_Totaal[[#This Row],[Emissieloos bouwplaats]]+Inschrijf_Bouwplaats_Totaal[[#This Row],[Emissieloos bouwplaats Vervangingen]]</f>
        <v>0</v>
      </c>
      <c r="S715" s="139">
        <f>(Inschrijf_Bouwplaats_Totaal[[#This Row],[Draaiuren Bouw Asfalt]]+Inschrijf_Bouwplaats_Totaal[[#This Row],[Draaiuren Bouw Overig]]+Inschrijf_Bouwplaats_Totaal[[#This Row],[Draaiuren Verwijder Asfalt]]+Inschrijf_Bouwplaats_Totaal[[#This Row],[Draaiuren Verwijder Overig]]+Inschrijf_Bouwplaats_Totaal[[#This Row],[Draaiuren Bouw Asfalt Vervangingen]]+Inschrijf_Bouwplaats_Totaal[[#This Row],[Draaiuren Bouw Overig Vervangingen]]+Inschrijf_Bouwplaats_Totaal[[#This Row],[Draaiuren Verwijder Asfalt Vervangingen]]+Inschrijf_Bouwplaats_Totaal[[#This Row],[Draaiuren Verwijder Overig Vervangingen]])-Inschrijf_Bouwplaats_Totaal[[#This Row],[Totaal Emissieloos Bouwplaats]]</f>
        <v>0</v>
      </c>
      <c r="T715" s="139">
        <f>Inschrijf_Bouwplaats_Totaal[[#This Row],[Totaal Emissieloos Bouwplaats]]+Inschrijf_Bouwplaats_Totaal[[#This Row],[Totaal Niet Emissieloos Bouwplaats]]</f>
        <v>0</v>
      </c>
      <c r="U715" s="335"/>
    </row>
    <row r="716" spans="2:21">
      <c r="B716" s="209">
        <f>Optimalisatie!B88</f>
        <v>0</v>
      </c>
      <c r="C716" s="51">
        <f>Optimalisatie!F88</f>
        <v>0</v>
      </c>
      <c r="D716" s="134">
        <f>_xlfn.IFNA(IF(Optimalisatie!C88="Nieuwe situatie",(Optimalisatie!R88/(VLOOKUP(Optimalisatie!W88,Database_Asfalt_Aanlegset[#All],60,FALSE)/8)),0),0)</f>
        <v>0</v>
      </c>
      <c r="E716" s="135">
        <f>IFERROR(IF(Optimalisatie!C88="Nieuwe situatie",Optimalisatie!J88/Optimalisatie!Z88,0),0)</f>
        <v>0</v>
      </c>
      <c r="F716" s="135">
        <f>_xlfn.IFNA(IF(Optimalisatie!C88="Bestaande situatie",Optimalisatie!R88/(VLOOKUP(Optimalisatie!AA88,Database_Asfalt_Verwijderset[#All],60,FALSE)/8),0),0)</f>
        <v>0</v>
      </c>
      <c r="G716" s="138">
        <f>IFERROR(IF(Optimalisatie!C88="Bestaande situatie",Optimalisatie!J88/Optimalisatie!AD88,0),0)</f>
        <v>0</v>
      </c>
      <c r="H716" s="94" t="str">
        <f>_xlfn.IFNA((VLOOKUP(Optimalisatie!W88,Database_Asfalt_Aanlegset[],61,FALSE)),"Nee")</f>
        <v>Nee</v>
      </c>
      <c r="I716" s="94" t="str">
        <f>_xlfn.IFNA((VLOOKUP(Optimalisatie!X88,Database_Brandstoffen[],60,FALSE)),"Nee")</f>
        <v>Nee</v>
      </c>
      <c r="J716" s="94" t="str">
        <f>_xlfn.IFNA((VLOOKUP(Optimalisatie!AA88,Database_Asfalt_Verwijderset[],61,FALSE)),"Nee")</f>
        <v>Nee</v>
      </c>
      <c r="K716" s="120" t="str">
        <f>_xlfn.IFNA((VLOOKUP(Optimalisatie!AB88,Database_Brandstoffen[],60,FALSE)),"Nee")</f>
        <v>Nee</v>
      </c>
      <c r="L716" s="132">
        <f>IF(Inschrijf_Bouwplaats_Totaal[[#This Row],[Emissieloos Asfalt Aanlegset]]="JA",Inschrijf_Bouwplaats_Totaal[[#This Row],[Draaiuren Bouw Asfalt]],0)+IF(Inschrijf_Bouwplaats_Totaal[[#This Row],[Emissieloos Bouwmaterieel]]="JA",Inschrijf_Bouwplaats_Totaal[[#This Row],[Draaiuren Bouw Overig]],0)+IF(Inschrijf_Bouwplaats_Totaal[[#This Row],[Emissieloos Asfalt Verwijderset]]="JA",Inschrijf_Bouwplaats_Totaal[[#This Row],[Draaiuren Verwijder Asfalt]],0)+IF(Inschrijf_Bouwplaats_Totaal[[#This Row],[Emissieloos Sloopmaterieel]]="JA",Inschrijf_Bouwplaats_Totaal[[#This Row],[Draaiuren Verwijder Overig]],0)</f>
        <v>0</v>
      </c>
      <c r="M716" s="139">
        <f>_xlfn.IFNA(IF(Optimalisatie!C88="Nieuwe situatie",(Optimalisatie!R88/(VLOOKUP(Optimalisatie!W88,Database_Asfalt_Aanlegset[#All],60,FALSE)/8)),0),0)*Optimalisatie!T88</f>
        <v>0</v>
      </c>
      <c r="N716" s="139">
        <f>_xlfn.IFNA(IF(Optimalisatie!C88="Nieuwe situatie",Optimalisatie!S88/VLOOKUP(Optimalisatie!X88,Database_Overig_Materieel[#All],8,FALSE),0),0)*Optimalisatie!T88</f>
        <v>0</v>
      </c>
      <c r="O716" s="139">
        <f>_xlfn.IFNA(IF(Optimalisatie!C88="Bestaande situatie",Optimalisatie!R88/(VLOOKUP(Optimalisatie!AA88,Database_Asfalt_Verwijderset[#All],60,FALSE)/8),0),0)*Optimalisatie!T88</f>
        <v>0</v>
      </c>
      <c r="P716" s="139">
        <f>_xlfn.IFNA(IF(Optimalisatie!C88="Bestaande situatie",Optimalisatie!S88/VLOOKUP(Optimalisatie!AB88,Database_Overig_Materieel[#All],8,FALSE),0),0)*Optimalisatie!T88</f>
        <v>0</v>
      </c>
      <c r="Q716" s="139">
        <f>IF(Inschrijf_Bouwplaats_Totaal[[#This Row],[Emissieloos Asfalt Aanlegset]]="JA",Inschrijf_Bouwplaats_Totaal[[#This Row],[Draaiuren Bouw Asfalt Vervangingen]],0)+IF(Inschrijf_Bouwplaats_Totaal[[#This Row],[Emissieloos Bouwmaterieel]]="JA",Inschrijf_Bouwplaats_Totaal[[#This Row],[Draaiuren Bouw Overig Vervangingen]],0)+IF(Inschrijf_Bouwplaats_Totaal[[#This Row],[Emissieloos Asfalt Verwijderset]]="JA",Inschrijf_Bouwplaats_Totaal[[#This Row],[Draaiuren Verwijder Asfalt Vervangingen]],0)+IF(Inschrijf_Bouwplaats_Totaal[[#This Row],[Emissieloos Sloopmaterieel]]="JA",Inschrijf_Bouwplaats_Totaal[[#This Row],[Draaiuren Verwijder Overig Vervangingen]],0)</f>
        <v>0</v>
      </c>
      <c r="R716" s="139">
        <f>Inschrijf_Bouwplaats_Totaal[[#This Row],[Emissieloos bouwplaats]]+Inschrijf_Bouwplaats_Totaal[[#This Row],[Emissieloos bouwplaats Vervangingen]]</f>
        <v>0</v>
      </c>
      <c r="S716" s="139">
        <f>(Inschrijf_Bouwplaats_Totaal[[#This Row],[Draaiuren Bouw Asfalt]]+Inschrijf_Bouwplaats_Totaal[[#This Row],[Draaiuren Bouw Overig]]+Inschrijf_Bouwplaats_Totaal[[#This Row],[Draaiuren Verwijder Asfalt]]+Inschrijf_Bouwplaats_Totaal[[#This Row],[Draaiuren Verwijder Overig]]+Inschrijf_Bouwplaats_Totaal[[#This Row],[Draaiuren Bouw Asfalt Vervangingen]]+Inschrijf_Bouwplaats_Totaal[[#This Row],[Draaiuren Bouw Overig Vervangingen]]+Inschrijf_Bouwplaats_Totaal[[#This Row],[Draaiuren Verwijder Asfalt Vervangingen]]+Inschrijf_Bouwplaats_Totaal[[#This Row],[Draaiuren Verwijder Overig Vervangingen]])-Inschrijf_Bouwplaats_Totaal[[#This Row],[Totaal Emissieloos Bouwplaats]]</f>
        <v>0</v>
      </c>
      <c r="T716" s="139">
        <f>Inschrijf_Bouwplaats_Totaal[[#This Row],[Totaal Emissieloos Bouwplaats]]+Inschrijf_Bouwplaats_Totaal[[#This Row],[Totaal Niet Emissieloos Bouwplaats]]</f>
        <v>0</v>
      </c>
      <c r="U716" s="335"/>
    </row>
    <row r="717" spans="2:21">
      <c r="B717" s="209">
        <f>Optimalisatie!B89</f>
        <v>0</v>
      </c>
      <c r="C717" s="51">
        <f>Optimalisatie!F89</f>
        <v>0</v>
      </c>
      <c r="D717" s="134">
        <f>_xlfn.IFNA(IF(Optimalisatie!C89="Nieuwe situatie",(Optimalisatie!R89/(VLOOKUP(Optimalisatie!W89,Database_Asfalt_Aanlegset[#All],60,FALSE)/8)),0),0)</f>
        <v>0</v>
      </c>
      <c r="E717" s="135">
        <f>IFERROR(IF(Optimalisatie!C89="Nieuwe situatie",Optimalisatie!J89/Optimalisatie!Z89,0),0)</f>
        <v>0</v>
      </c>
      <c r="F717" s="135">
        <f>_xlfn.IFNA(IF(Optimalisatie!C89="Bestaande situatie",Optimalisatie!R89/(VLOOKUP(Optimalisatie!AA89,Database_Asfalt_Verwijderset[#All],60,FALSE)/8),0),0)</f>
        <v>0</v>
      </c>
      <c r="G717" s="138">
        <f>IFERROR(IF(Optimalisatie!C89="Bestaande situatie",Optimalisatie!J89/Optimalisatie!AD89,0),0)</f>
        <v>0</v>
      </c>
      <c r="H717" s="94" t="str">
        <f>_xlfn.IFNA((VLOOKUP(Optimalisatie!W89,Database_Asfalt_Aanlegset[],61,FALSE)),"Nee")</f>
        <v>Nee</v>
      </c>
      <c r="I717" s="94" t="str">
        <f>_xlfn.IFNA((VLOOKUP(Optimalisatie!X89,Database_Brandstoffen[],60,FALSE)),"Nee")</f>
        <v>Nee</v>
      </c>
      <c r="J717" s="94" t="str">
        <f>_xlfn.IFNA((VLOOKUP(Optimalisatie!AA89,Database_Asfalt_Verwijderset[],61,FALSE)),"Nee")</f>
        <v>Nee</v>
      </c>
      <c r="K717" s="120" t="str">
        <f>_xlfn.IFNA((VLOOKUP(Optimalisatie!AB89,Database_Brandstoffen[],60,FALSE)),"Nee")</f>
        <v>Nee</v>
      </c>
      <c r="L717" s="132">
        <f>IF(Inschrijf_Bouwplaats_Totaal[[#This Row],[Emissieloos Asfalt Aanlegset]]="JA",Inschrijf_Bouwplaats_Totaal[[#This Row],[Draaiuren Bouw Asfalt]],0)+IF(Inschrijf_Bouwplaats_Totaal[[#This Row],[Emissieloos Bouwmaterieel]]="JA",Inschrijf_Bouwplaats_Totaal[[#This Row],[Draaiuren Bouw Overig]],0)+IF(Inschrijf_Bouwplaats_Totaal[[#This Row],[Emissieloos Asfalt Verwijderset]]="JA",Inschrijf_Bouwplaats_Totaal[[#This Row],[Draaiuren Verwijder Asfalt]],0)+IF(Inschrijf_Bouwplaats_Totaal[[#This Row],[Emissieloos Sloopmaterieel]]="JA",Inschrijf_Bouwplaats_Totaal[[#This Row],[Draaiuren Verwijder Overig]],0)</f>
        <v>0</v>
      </c>
      <c r="M717" s="139">
        <f>_xlfn.IFNA(IF(Optimalisatie!C89="Nieuwe situatie",(Optimalisatie!R89/(VLOOKUP(Optimalisatie!W89,Database_Asfalt_Aanlegset[#All],60,FALSE)/8)),0),0)*Optimalisatie!T89</f>
        <v>0</v>
      </c>
      <c r="N717" s="139">
        <f>_xlfn.IFNA(IF(Optimalisatie!C89="Nieuwe situatie",Optimalisatie!S89/VLOOKUP(Optimalisatie!X89,Database_Overig_Materieel[#All],8,FALSE),0),0)*Optimalisatie!T89</f>
        <v>0</v>
      </c>
      <c r="O717" s="139">
        <f>_xlfn.IFNA(IF(Optimalisatie!C89="Bestaande situatie",Optimalisatie!R89/(VLOOKUP(Optimalisatie!AA89,Database_Asfalt_Verwijderset[#All],60,FALSE)/8),0),0)*Optimalisatie!T89</f>
        <v>0</v>
      </c>
      <c r="P717" s="139">
        <f>_xlfn.IFNA(IF(Optimalisatie!C89="Bestaande situatie",Optimalisatie!S89/VLOOKUP(Optimalisatie!AB89,Database_Overig_Materieel[#All],8,FALSE),0),0)*Optimalisatie!T89</f>
        <v>0</v>
      </c>
      <c r="Q717" s="139">
        <f>IF(Inschrijf_Bouwplaats_Totaal[[#This Row],[Emissieloos Asfalt Aanlegset]]="JA",Inschrijf_Bouwplaats_Totaal[[#This Row],[Draaiuren Bouw Asfalt Vervangingen]],0)+IF(Inschrijf_Bouwplaats_Totaal[[#This Row],[Emissieloos Bouwmaterieel]]="JA",Inschrijf_Bouwplaats_Totaal[[#This Row],[Draaiuren Bouw Overig Vervangingen]],0)+IF(Inschrijf_Bouwplaats_Totaal[[#This Row],[Emissieloos Asfalt Verwijderset]]="JA",Inschrijf_Bouwplaats_Totaal[[#This Row],[Draaiuren Verwijder Asfalt Vervangingen]],0)+IF(Inschrijf_Bouwplaats_Totaal[[#This Row],[Emissieloos Sloopmaterieel]]="JA",Inschrijf_Bouwplaats_Totaal[[#This Row],[Draaiuren Verwijder Overig Vervangingen]],0)</f>
        <v>0</v>
      </c>
      <c r="R717" s="139">
        <f>Inschrijf_Bouwplaats_Totaal[[#This Row],[Emissieloos bouwplaats]]+Inschrijf_Bouwplaats_Totaal[[#This Row],[Emissieloos bouwplaats Vervangingen]]</f>
        <v>0</v>
      </c>
      <c r="S717" s="139">
        <f>(Inschrijf_Bouwplaats_Totaal[[#This Row],[Draaiuren Bouw Asfalt]]+Inschrijf_Bouwplaats_Totaal[[#This Row],[Draaiuren Bouw Overig]]+Inschrijf_Bouwplaats_Totaal[[#This Row],[Draaiuren Verwijder Asfalt]]+Inschrijf_Bouwplaats_Totaal[[#This Row],[Draaiuren Verwijder Overig]]+Inschrijf_Bouwplaats_Totaal[[#This Row],[Draaiuren Bouw Asfalt Vervangingen]]+Inschrijf_Bouwplaats_Totaal[[#This Row],[Draaiuren Bouw Overig Vervangingen]]+Inschrijf_Bouwplaats_Totaal[[#This Row],[Draaiuren Verwijder Asfalt Vervangingen]]+Inschrijf_Bouwplaats_Totaal[[#This Row],[Draaiuren Verwijder Overig Vervangingen]])-Inschrijf_Bouwplaats_Totaal[[#This Row],[Totaal Emissieloos Bouwplaats]]</f>
        <v>0</v>
      </c>
      <c r="T717" s="139">
        <f>Inschrijf_Bouwplaats_Totaal[[#This Row],[Totaal Emissieloos Bouwplaats]]+Inschrijf_Bouwplaats_Totaal[[#This Row],[Totaal Niet Emissieloos Bouwplaats]]</f>
        <v>0</v>
      </c>
      <c r="U717" s="335"/>
    </row>
    <row r="718" spans="2:21">
      <c r="B718" s="209">
        <f>Optimalisatie!B90</f>
        <v>0</v>
      </c>
      <c r="C718" s="51">
        <f>Optimalisatie!F90</f>
        <v>0</v>
      </c>
      <c r="D718" s="134">
        <f>_xlfn.IFNA(IF(Optimalisatie!C90="Nieuwe situatie",(Optimalisatie!R90/(VLOOKUP(Optimalisatie!W90,Database_Asfalt_Aanlegset[#All],60,FALSE)/8)),0),0)</f>
        <v>0</v>
      </c>
      <c r="E718" s="135">
        <f>IFERROR(IF(Optimalisatie!C90="Nieuwe situatie",Optimalisatie!J90/Optimalisatie!Z90,0),0)</f>
        <v>0</v>
      </c>
      <c r="F718" s="135">
        <f>_xlfn.IFNA(IF(Optimalisatie!C90="Bestaande situatie",Optimalisatie!R90/(VLOOKUP(Optimalisatie!AA90,Database_Asfalt_Verwijderset[#All],60,FALSE)/8),0),0)</f>
        <v>0</v>
      </c>
      <c r="G718" s="138">
        <f>IFERROR(IF(Optimalisatie!C90="Bestaande situatie",Optimalisatie!J90/Optimalisatie!AD90,0),0)</f>
        <v>0</v>
      </c>
      <c r="H718" s="94" t="str">
        <f>_xlfn.IFNA((VLOOKUP(Optimalisatie!W90,Database_Asfalt_Aanlegset[],61,FALSE)),"Nee")</f>
        <v>Nee</v>
      </c>
      <c r="I718" s="94" t="str">
        <f>_xlfn.IFNA((VLOOKUP(Optimalisatie!X90,Database_Brandstoffen[],60,FALSE)),"Nee")</f>
        <v>Nee</v>
      </c>
      <c r="J718" s="94" t="str">
        <f>_xlfn.IFNA((VLOOKUP(Optimalisatie!AA90,Database_Asfalt_Verwijderset[],61,FALSE)),"Nee")</f>
        <v>Nee</v>
      </c>
      <c r="K718" s="120" t="str">
        <f>_xlfn.IFNA((VLOOKUP(Optimalisatie!AB90,Database_Brandstoffen[],60,FALSE)),"Nee")</f>
        <v>Nee</v>
      </c>
      <c r="L718" s="132">
        <f>IF(Inschrijf_Bouwplaats_Totaal[[#This Row],[Emissieloos Asfalt Aanlegset]]="JA",Inschrijf_Bouwplaats_Totaal[[#This Row],[Draaiuren Bouw Asfalt]],0)+IF(Inschrijf_Bouwplaats_Totaal[[#This Row],[Emissieloos Bouwmaterieel]]="JA",Inschrijf_Bouwplaats_Totaal[[#This Row],[Draaiuren Bouw Overig]],0)+IF(Inschrijf_Bouwplaats_Totaal[[#This Row],[Emissieloos Asfalt Verwijderset]]="JA",Inschrijf_Bouwplaats_Totaal[[#This Row],[Draaiuren Verwijder Asfalt]],0)+IF(Inschrijf_Bouwplaats_Totaal[[#This Row],[Emissieloos Sloopmaterieel]]="JA",Inschrijf_Bouwplaats_Totaal[[#This Row],[Draaiuren Verwijder Overig]],0)</f>
        <v>0</v>
      </c>
      <c r="M718" s="139">
        <f>_xlfn.IFNA(IF(Optimalisatie!C90="Nieuwe situatie",(Optimalisatie!R90/(VLOOKUP(Optimalisatie!W90,Database_Asfalt_Aanlegset[#All],60,FALSE)/8)),0),0)*Optimalisatie!T90</f>
        <v>0</v>
      </c>
      <c r="N718" s="139">
        <f>_xlfn.IFNA(IF(Optimalisatie!C90="Nieuwe situatie",Optimalisatie!S90/VLOOKUP(Optimalisatie!X90,Database_Overig_Materieel[#All],8,FALSE),0),0)*Optimalisatie!T90</f>
        <v>0</v>
      </c>
      <c r="O718" s="139">
        <f>_xlfn.IFNA(IF(Optimalisatie!C90="Bestaande situatie",Optimalisatie!R90/(VLOOKUP(Optimalisatie!AA90,Database_Asfalt_Verwijderset[#All],60,FALSE)/8),0),0)*Optimalisatie!T90</f>
        <v>0</v>
      </c>
      <c r="P718" s="139">
        <f>_xlfn.IFNA(IF(Optimalisatie!C90="Bestaande situatie",Optimalisatie!S90/VLOOKUP(Optimalisatie!AB90,Database_Overig_Materieel[#All],8,FALSE),0),0)*Optimalisatie!T90</f>
        <v>0</v>
      </c>
      <c r="Q718" s="139">
        <f>IF(Inschrijf_Bouwplaats_Totaal[[#This Row],[Emissieloos Asfalt Aanlegset]]="JA",Inschrijf_Bouwplaats_Totaal[[#This Row],[Draaiuren Bouw Asfalt Vervangingen]],0)+IF(Inschrijf_Bouwplaats_Totaal[[#This Row],[Emissieloos Bouwmaterieel]]="JA",Inschrijf_Bouwplaats_Totaal[[#This Row],[Draaiuren Bouw Overig Vervangingen]],0)+IF(Inschrijf_Bouwplaats_Totaal[[#This Row],[Emissieloos Asfalt Verwijderset]]="JA",Inschrijf_Bouwplaats_Totaal[[#This Row],[Draaiuren Verwijder Asfalt Vervangingen]],0)+IF(Inschrijf_Bouwplaats_Totaal[[#This Row],[Emissieloos Sloopmaterieel]]="JA",Inschrijf_Bouwplaats_Totaal[[#This Row],[Draaiuren Verwijder Overig Vervangingen]],0)</f>
        <v>0</v>
      </c>
      <c r="R718" s="139">
        <f>Inschrijf_Bouwplaats_Totaal[[#This Row],[Emissieloos bouwplaats]]+Inschrijf_Bouwplaats_Totaal[[#This Row],[Emissieloos bouwplaats Vervangingen]]</f>
        <v>0</v>
      </c>
      <c r="S718" s="139">
        <f>(Inschrijf_Bouwplaats_Totaal[[#This Row],[Draaiuren Bouw Asfalt]]+Inschrijf_Bouwplaats_Totaal[[#This Row],[Draaiuren Bouw Overig]]+Inschrijf_Bouwplaats_Totaal[[#This Row],[Draaiuren Verwijder Asfalt]]+Inschrijf_Bouwplaats_Totaal[[#This Row],[Draaiuren Verwijder Overig]]+Inschrijf_Bouwplaats_Totaal[[#This Row],[Draaiuren Bouw Asfalt Vervangingen]]+Inschrijf_Bouwplaats_Totaal[[#This Row],[Draaiuren Bouw Overig Vervangingen]]+Inschrijf_Bouwplaats_Totaal[[#This Row],[Draaiuren Verwijder Asfalt Vervangingen]]+Inschrijf_Bouwplaats_Totaal[[#This Row],[Draaiuren Verwijder Overig Vervangingen]])-Inschrijf_Bouwplaats_Totaal[[#This Row],[Totaal Emissieloos Bouwplaats]]</f>
        <v>0</v>
      </c>
      <c r="T718" s="139">
        <f>Inschrijf_Bouwplaats_Totaal[[#This Row],[Totaal Emissieloos Bouwplaats]]+Inschrijf_Bouwplaats_Totaal[[#This Row],[Totaal Niet Emissieloos Bouwplaats]]</f>
        <v>0</v>
      </c>
      <c r="U718" s="335"/>
    </row>
    <row r="719" spans="2:21">
      <c r="B719" s="209">
        <f>Optimalisatie!B91</f>
        <v>0</v>
      </c>
      <c r="C719" s="51">
        <f>Optimalisatie!F91</f>
        <v>0</v>
      </c>
      <c r="D719" s="134">
        <f>_xlfn.IFNA(IF(Optimalisatie!C91="Nieuwe situatie",(Optimalisatie!R91/(VLOOKUP(Optimalisatie!W91,Database_Asfalt_Aanlegset[#All],60,FALSE)/8)),0),0)</f>
        <v>0</v>
      </c>
      <c r="E719" s="135">
        <f>IFERROR(IF(Optimalisatie!C91="Nieuwe situatie",Optimalisatie!J91/Optimalisatie!Z91,0),0)</f>
        <v>0</v>
      </c>
      <c r="F719" s="135">
        <f>_xlfn.IFNA(IF(Optimalisatie!C91="Bestaande situatie",Optimalisatie!R91/(VLOOKUP(Optimalisatie!AA91,Database_Asfalt_Verwijderset[#All],60,FALSE)/8),0),0)</f>
        <v>0</v>
      </c>
      <c r="G719" s="138">
        <f>IFERROR(IF(Optimalisatie!C91="Bestaande situatie",Optimalisatie!J91/Optimalisatie!AD91,0),0)</f>
        <v>0</v>
      </c>
      <c r="H719" s="94" t="str">
        <f>_xlfn.IFNA((VLOOKUP(Optimalisatie!W91,Database_Asfalt_Aanlegset[],61,FALSE)),"Nee")</f>
        <v>Nee</v>
      </c>
      <c r="I719" s="94" t="str">
        <f>_xlfn.IFNA((VLOOKUP(Optimalisatie!X91,Database_Brandstoffen[],60,FALSE)),"Nee")</f>
        <v>Nee</v>
      </c>
      <c r="J719" s="94" t="str">
        <f>_xlfn.IFNA((VLOOKUP(Optimalisatie!AA91,Database_Asfalt_Verwijderset[],61,FALSE)),"Nee")</f>
        <v>Nee</v>
      </c>
      <c r="K719" s="120" t="str">
        <f>_xlfn.IFNA((VLOOKUP(Optimalisatie!AB91,Database_Brandstoffen[],60,FALSE)),"Nee")</f>
        <v>Nee</v>
      </c>
      <c r="L719" s="132">
        <f>IF(Inschrijf_Bouwplaats_Totaal[[#This Row],[Emissieloos Asfalt Aanlegset]]="JA",Inschrijf_Bouwplaats_Totaal[[#This Row],[Draaiuren Bouw Asfalt]],0)+IF(Inschrijf_Bouwplaats_Totaal[[#This Row],[Emissieloos Bouwmaterieel]]="JA",Inschrijf_Bouwplaats_Totaal[[#This Row],[Draaiuren Bouw Overig]],0)+IF(Inschrijf_Bouwplaats_Totaal[[#This Row],[Emissieloos Asfalt Verwijderset]]="JA",Inschrijf_Bouwplaats_Totaal[[#This Row],[Draaiuren Verwijder Asfalt]],0)+IF(Inschrijf_Bouwplaats_Totaal[[#This Row],[Emissieloos Sloopmaterieel]]="JA",Inschrijf_Bouwplaats_Totaal[[#This Row],[Draaiuren Verwijder Overig]],0)</f>
        <v>0</v>
      </c>
      <c r="M719" s="139">
        <f>_xlfn.IFNA(IF(Optimalisatie!C91="Nieuwe situatie",(Optimalisatie!R91/(VLOOKUP(Optimalisatie!W91,Database_Asfalt_Aanlegset[#All],60,FALSE)/8)),0),0)*Optimalisatie!T91</f>
        <v>0</v>
      </c>
      <c r="N719" s="139">
        <f>_xlfn.IFNA(IF(Optimalisatie!C91="Nieuwe situatie",Optimalisatie!S91/VLOOKUP(Optimalisatie!X91,Database_Overig_Materieel[#All],8,FALSE),0),0)*Optimalisatie!T91</f>
        <v>0</v>
      </c>
      <c r="O719" s="139">
        <f>_xlfn.IFNA(IF(Optimalisatie!C91="Bestaande situatie",Optimalisatie!R91/(VLOOKUP(Optimalisatie!AA91,Database_Asfalt_Verwijderset[#All],60,FALSE)/8),0),0)*Optimalisatie!T91</f>
        <v>0</v>
      </c>
      <c r="P719" s="139">
        <f>_xlfn.IFNA(IF(Optimalisatie!C91="Bestaande situatie",Optimalisatie!S91/VLOOKUP(Optimalisatie!AB91,Database_Overig_Materieel[#All],8,FALSE),0),0)*Optimalisatie!T91</f>
        <v>0</v>
      </c>
      <c r="Q719" s="139">
        <f>IF(Inschrijf_Bouwplaats_Totaal[[#This Row],[Emissieloos Asfalt Aanlegset]]="JA",Inschrijf_Bouwplaats_Totaal[[#This Row],[Draaiuren Bouw Asfalt Vervangingen]],0)+IF(Inschrijf_Bouwplaats_Totaal[[#This Row],[Emissieloos Bouwmaterieel]]="JA",Inschrijf_Bouwplaats_Totaal[[#This Row],[Draaiuren Bouw Overig Vervangingen]],0)+IF(Inschrijf_Bouwplaats_Totaal[[#This Row],[Emissieloos Asfalt Verwijderset]]="JA",Inschrijf_Bouwplaats_Totaal[[#This Row],[Draaiuren Verwijder Asfalt Vervangingen]],0)+IF(Inschrijf_Bouwplaats_Totaal[[#This Row],[Emissieloos Sloopmaterieel]]="JA",Inschrijf_Bouwplaats_Totaal[[#This Row],[Draaiuren Verwijder Overig Vervangingen]],0)</f>
        <v>0</v>
      </c>
      <c r="R719" s="139">
        <f>Inschrijf_Bouwplaats_Totaal[[#This Row],[Emissieloos bouwplaats]]+Inschrijf_Bouwplaats_Totaal[[#This Row],[Emissieloos bouwplaats Vervangingen]]</f>
        <v>0</v>
      </c>
      <c r="S719" s="139">
        <f>(Inschrijf_Bouwplaats_Totaal[[#This Row],[Draaiuren Bouw Asfalt]]+Inschrijf_Bouwplaats_Totaal[[#This Row],[Draaiuren Bouw Overig]]+Inschrijf_Bouwplaats_Totaal[[#This Row],[Draaiuren Verwijder Asfalt]]+Inschrijf_Bouwplaats_Totaal[[#This Row],[Draaiuren Verwijder Overig]]+Inschrijf_Bouwplaats_Totaal[[#This Row],[Draaiuren Bouw Asfalt Vervangingen]]+Inschrijf_Bouwplaats_Totaal[[#This Row],[Draaiuren Bouw Overig Vervangingen]]+Inschrijf_Bouwplaats_Totaal[[#This Row],[Draaiuren Verwijder Asfalt Vervangingen]]+Inschrijf_Bouwplaats_Totaal[[#This Row],[Draaiuren Verwijder Overig Vervangingen]])-Inschrijf_Bouwplaats_Totaal[[#This Row],[Totaal Emissieloos Bouwplaats]]</f>
        <v>0</v>
      </c>
      <c r="T719" s="139">
        <f>Inschrijf_Bouwplaats_Totaal[[#This Row],[Totaal Emissieloos Bouwplaats]]+Inschrijf_Bouwplaats_Totaal[[#This Row],[Totaal Niet Emissieloos Bouwplaats]]</f>
        <v>0</v>
      </c>
      <c r="U719" s="335"/>
    </row>
    <row r="720" spans="2:21">
      <c r="B720" s="209">
        <f>Optimalisatie!B92</f>
        <v>0</v>
      </c>
      <c r="C720" s="51">
        <f>Optimalisatie!F92</f>
        <v>0</v>
      </c>
      <c r="D720" s="134">
        <f>_xlfn.IFNA(IF(Optimalisatie!C92="Nieuwe situatie",(Optimalisatie!R92/(VLOOKUP(Optimalisatie!W92,Database_Asfalt_Aanlegset[#All],60,FALSE)/8)),0),0)</f>
        <v>0</v>
      </c>
      <c r="E720" s="135">
        <f>IFERROR(IF(Optimalisatie!C92="Nieuwe situatie",Optimalisatie!J92/Optimalisatie!Z92,0),0)</f>
        <v>0</v>
      </c>
      <c r="F720" s="135">
        <f>_xlfn.IFNA(IF(Optimalisatie!C92="Bestaande situatie",Optimalisatie!R92/(VLOOKUP(Optimalisatie!AA92,Database_Asfalt_Verwijderset[#All],60,FALSE)/8),0),0)</f>
        <v>0</v>
      </c>
      <c r="G720" s="138">
        <f>IFERROR(IF(Optimalisatie!C92="Bestaande situatie",Optimalisatie!J92/Optimalisatie!AD92,0),0)</f>
        <v>0</v>
      </c>
      <c r="H720" s="94" t="str">
        <f>_xlfn.IFNA((VLOOKUP(Optimalisatie!W92,Database_Asfalt_Aanlegset[],61,FALSE)),"Nee")</f>
        <v>Nee</v>
      </c>
      <c r="I720" s="94" t="str">
        <f>_xlfn.IFNA((VLOOKUP(Optimalisatie!X92,Database_Brandstoffen[],60,FALSE)),"Nee")</f>
        <v>Nee</v>
      </c>
      <c r="J720" s="94" t="str">
        <f>_xlfn.IFNA((VLOOKUP(Optimalisatie!AA92,Database_Asfalt_Verwijderset[],61,FALSE)),"Nee")</f>
        <v>Nee</v>
      </c>
      <c r="K720" s="120" t="str">
        <f>_xlfn.IFNA((VLOOKUP(Optimalisatie!AB92,Database_Brandstoffen[],60,FALSE)),"Nee")</f>
        <v>Nee</v>
      </c>
      <c r="L720" s="132">
        <f>IF(Inschrijf_Bouwplaats_Totaal[[#This Row],[Emissieloos Asfalt Aanlegset]]="JA",Inschrijf_Bouwplaats_Totaal[[#This Row],[Draaiuren Bouw Asfalt]],0)+IF(Inschrijf_Bouwplaats_Totaal[[#This Row],[Emissieloos Bouwmaterieel]]="JA",Inschrijf_Bouwplaats_Totaal[[#This Row],[Draaiuren Bouw Overig]],0)+IF(Inschrijf_Bouwplaats_Totaal[[#This Row],[Emissieloos Asfalt Verwijderset]]="JA",Inschrijf_Bouwplaats_Totaal[[#This Row],[Draaiuren Verwijder Asfalt]],0)+IF(Inschrijf_Bouwplaats_Totaal[[#This Row],[Emissieloos Sloopmaterieel]]="JA",Inschrijf_Bouwplaats_Totaal[[#This Row],[Draaiuren Verwijder Overig]],0)</f>
        <v>0</v>
      </c>
      <c r="M720" s="139">
        <f>_xlfn.IFNA(IF(Optimalisatie!C92="Nieuwe situatie",(Optimalisatie!R92/(VLOOKUP(Optimalisatie!W92,Database_Asfalt_Aanlegset[#All],60,FALSE)/8)),0),0)*Optimalisatie!T92</f>
        <v>0</v>
      </c>
      <c r="N720" s="139">
        <f>_xlfn.IFNA(IF(Optimalisatie!C92="Nieuwe situatie",Optimalisatie!S92/VLOOKUP(Optimalisatie!X92,Database_Overig_Materieel[#All],8,FALSE),0),0)*Optimalisatie!T92</f>
        <v>0</v>
      </c>
      <c r="O720" s="139">
        <f>_xlfn.IFNA(IF(Optimalisatie!C92="Bestaande situatie",Optimalisatie!R92/(VLOOKUP(Optimalisatie!AA92,Database_Asfalt_Verwijderset[#All],60,FALSE)/8),0),0)*Optimalisatie!T92</f>
        <v>0</v>
      </c>
      <c r="P720" s="139">
        <f>_xlfn.IFNA(IF(Optimalisatie!C92="Bestaande situatie",Optimalisatie!S92/VLOOKUP(Optimalisatie!AB92,Database_Overig_Materieel[#All],8,FALSE),0),0)*Optimalisatie!T92</f>
        <v>0</v>
      </c>
      <c r="Q720" s="139">
        <f>IF(Inschrijf_Bouwplaats_Totaal[[#This Row],[Emissieloos Asfalt Aanlegset]]="JA",Inschrijf_Bouwplaats_Totaal[[#This Row],[Draaiuren Bouw Asfalt Vervangingen]],0)+IF(Inschrijf_Bouwplaats_Totaal[[#This Row],[Emissieloos Bouwmaterieel]]="JA",Inschrijf_Bouwplaats_Totaal[[#This Row],[Draaiuren Bouw Overig Vervangingen]],0)+IF(Inschrijf_Bouwplaats_Totaal[[#This Row],[Emissieloos Asfalt Verwijderset]]="JA",Inschrijf_Bouwplaats_Totaal[[#This Row],[Draaiuren Verwijder Asfalt Vervangingen]],0)+IF(Inschrijf_Bouwplaats_Totaal[[#This Row],[Emissieloos Sloopmaterieel]]="JA",Inschrijf_Bouwplaats_Totaal[[#This Row],[Draaiuren Verwijder Overig Vervangingen]],0)</f>
        <v>0</v>
      </c>
      <c r="R720" s="139">
        <f>Inschrijf_Bouwplaats_Totaal[[#This Row],[Emissieloos bouwplaats]]+Inschrijf_Bouwplaats_Totaal[[#This Row],[Emissieloos bouwplaats Vervangingen]]</f>
        <v>0</v>
      </c>
      <c r="S720" s="139">
        <f>(Inschrijf_Bouwplaats_Totaal[[#This Row],[Draaiuren Bouw Asfalt]]+Inschrijf_Bouwplaats_Totaal[[#This Row],[Draaiuren Bouw Overig]]+Inschrijf_Bouwplaats_Totaal[[#This Row],[Draaiuren Verwijder Asfalt]]+Inschrijf_Bouwplaats_Totaal[[#This Row],[Draaiuren Verwijder Overig]]+Inschrijf_Bouwplaats_Totaal[[#This Row],[Draaiuren Bouw Asfalt Vervangingen]]+Inschrijf_Bouwplaats_Totaal[[#This Row],[Draaiuren Bouw Overig Vervangingen]]+Inschrijf_Bouwplaats_Totaal[[#This Row],[Draaiuren Verwijder Asfalt Vervangingen]]+Inschrijf_Bouwplaats_Totaal[[#This Row],[Draaiuren Verwijder Overig Vervangingen]])-Inschrijf_Bouwplaats_Totaal[[#This Row],[Totaal Emissieloos Bouwplaats]]</f>
        <v>0</v>
      </c>
      <c r="T720" s="139">
        <f>Inschrijf_Bouwplaats_Totaal[[#This Row],[Totaal Emissieloos Bouwplaats]]+Inschrijf_Bouwplaats_Totaal[[#This Row],[Totaal Niet Emissieloos Bouwplaats]]</f>
        <v>0</v>
      </c>
      <c r="U720" s="335"/>
    </row>
    <row r="721" spans="2:21">
      <c r="B721" s="209">
        <f>Optimalisatie!B93</f>
        <v>0</v>
      </c>
      <c r="C721" s="51">
        <f>Optimalisatie!F93</f>
        <v>0</v>
      </c>
      <c r="D721" s="134">
        <f>_xlfn.IFNA(IF(Optimalisatie!C93="Nieuwe situatie",(Optimalisatie!R93/(VLOOKUP(Optimalisatie!W93,Database_Asfalt_Aanlegset[#All],60,FALSE)/8)),0),0)</f>
        <v>0</v>
      </c>
      <c r="E721" s="135">
        <f>IFERROR(IF(Optimalisatie!C93="Nieuwe situatie",Optimalisatie!J93/Optimalisatie!Z93,0),0)</f>
        <v>0</v>
      </c>
      <c r="F721" s="135">
        <f>_xlfn.IFNA(IF(Optimalisatie!C93="Bestaande situatie",Optimalisatie!R93/(VLOOKUP(Optimalisatie!AA93,Database_Asfalt_Verwijderset[#All],60,FALSE)/8),0),0)</f>
        <v>0</v>
      </c>
      <c r="G721" s="138">
        <f>IFERROR(IF(Optimalisatie!C93="Bestaande situatie",Optimalisatie!J93/Optimalisatie!AD93,0),0)</f>
        <v>0</v>
      </c>
      <c r="H721" s="94" t="str">
        <f>_xlfn.IFNA((VLOOKUP(Optimalisatie!W93,Database_Asfalt_Aanlegset[],61,FALSE)),"Nee")</f>
        <v>Nee</v>
      </c>
      <c r="I721" s="94" t="str">
        <f>_xlfn.IFNA((VLOOKUP(Optimalisatie!X93,Database_Brandstoffen[],60,FALSE)),"Nee")</f>
        <v>Nee</v>
      </c>
      <c r="J721" s="94" t="str">
        <f>_xlfn.IFNA((VLOOKUP(Optimalisatie!AA93,Database_Asfalt_Verwijderset[],61,FALSE)),"Nee")</f>
        <v>Nee</v>
      </c>
      <c r="K721" s="120" t="str">
        <f>_xlfn.IFNA((VLOOKUP(Optimalisatie!AB93,Database_Brandstoffen[],60,FALSE)),"Nee")</f>
        <v>Nee</v>
      </c>
      <c r="L721" s="132">
        <f>IF(Inschrijf_Bouwplaats_Totaal[[#This Row],[Emissieloos Asfalt Aanlegset]]="JA",Inschrijf_Bouwplaats_Totaal[[#This Row],[Draaiuren Bouw Asfalt]],0)+IF(Inschrijf_Bouwplaats_Totaal[[#This Row],[Emissieloos Bouwmaterieel]]="JA",Inschrijf_Bouwplaats_Totaal[[#This Row],[Draaiuren Bouw Overig]],0)+IF(Inschrijf_Bouwplaats_Totaal[[#This Row],[Emissieloos Asfalt Verwijderset]]="JA",Inschrijf_Bouwplaats_Totaal[[#This Row],[Draaiuren Verwijder Asfalt]],0)+IF(Inschrijf_Bouwplaats_Totaal[[#This Row],[Emissieloos Sloopmaterieel]]="JA",Inschrijf_Bouwplaats_Totaal[[#This Row],[Draaiuren Verwijder Overig]],0)</f>
        <v>0</v>
      </c>
      <c r="M721" s="139">
        <f>_xlfn.IFNA(IF(Optimalisatie!C93="Nieuwe situatie",(Optimalisatie!R93/(VLOOKUP(Optimalisatie!W93,Database_Asfalt_Aanlegset[#All],60,FALSE)/8)),0),0)*Optimalisatie!T93</f>
        <v>0</v>
      </c>
      <c r="N721" s="139">
        <f>_xlfn.IFNA(IF(Optimalisatie!C93="Nieuwe situatie",Optimalisatie!S93/VLOOKUP(Optimalisatie!X93,Database_Overig_Materieel[#All],8,FALSE),0),0)*Optimalisatie!T93</f>
        <v>0</v>
      </c>
      <c r="O721" s="139">
        <f>_xlfn.IFNA(IF(Optimalisatie!C93="Bestaande situatie",Optimalisatie!R93/(VLOOKUP(Optimalisatie!AA93,Database_Asfalt_Verwijderset[#All],60,FALSE)/8),0),0)*Optimalisatie!T93</f>
        <v>0</v>
      </c>
      <c r="P721" s="139">
        <f>_xlfn.IFNA(IF(Optimalisatie!C93="Bestaande situatie",Optimalisatie!S93/VLOOKUP(Optimalisatie!AB93,Database_Overig_Materieel[#All],8,FALSE),0),0)*Optimalisatie!T93</f>
        <v>0</v>
      </c>
      <c r="Q721" s="139">
        <f>IF(Inschrijf_Bouwplaats_Totaal[[#This Row],[Emissieloos Asfalt Aanlegset]]="JA",Inschrijf_Bouwplaats_Totaal[[#This Row],[Draaiuren Bouw Asfalt Vervangingen]],0)+IF(Inschrijf_Bouwplaats_Totaal[[#This Row],[Emissieloos Bouwmaterieel]]="JA",Inschrijf_Bouwplaats_Totaal[[#This Row],[Draaiuren Bouw Overig Vervangingen]],0)+IF(Inschrijf_Bouwplaats_Totaal[[#This Row],[Emissieloos Asfalt Verwijderset]]="JA",Inschrijf_Bouwplaats_Totaal[[#This Row],[Draaiuren Verwijder Asfalt Vervangingen]],0)+IF(Inschrijf_Bouwplaats_Totaal[[#This Row],[Emissieloos Sloopmaterieel]]="JA",Inschrijf_Bouwplaats_Totaal[[#This Row],[Draaiuren Verwijder Overig Vervangingen]],0)</f>
        <v>0</v>
      </c>
      <c r="R721" s="139">
        <f>Inschrijf_Bouwplaats_Totaal[[#This Row],[Emissieloos bouwplaats]]+Inschrijf_Bouwplaats_Totaal[[#This Row],[Emissieloos bouwplaats Vervangingen]]</f>
        <v>0</v>
      </c>
      <c r="S721" s="139">
        <f>(Inschrijf_Bouwplaats_Totaal[[#This Row],[Draaiuren Bouw Asfalt]]+Inschrijf_Bouwplaats_Totaal[[#This Row],[Draaiuren Bouw Overig]]+Inschrijf_Bouwplaats_Totaal[[#This Row],[Draaiuren Verwijder Asfalt]]+Inschrijf_Bouwplaats_Totaal[[#This Row],[Draaiuren Verwijder Overig]]+Inschrijf_Bouwplaats_Totaal[[#This Row],[Draaiuren Bouw Asfalt Vervangingen]]+Inschrijf_Bouwplaats_Totaal[[#This Row],[Draaiuren Bouw Overig Vervangingen]]+Inschrijf_Bouwplaats_Totaal[[#This Row],[Draaiuren Verwijder Asfalt Vervangingen]]+Inschrijf_Bouwplaats_Totaal[[#This Row],[Draaiuren Verwijder Overig Vervangingen]])-Inschrijf_Bouwplaats_Totaal[[#This Row],[Totaal Emissieloos Bouwplaats]]</f>
        <v>0</v>
      </c>
      <c r="T721" s="139">
        <f>Inschrijf_Bouwplaats_Totaal[[#This Row],[Totaal Emissieloos Bouwplaats]]+Inschrijf_Bouwplaats_Totaal[[#This Row],[Totaal Niet Emissieloos Bouwplaats]]</f>
        <v>0</v>
      </c>
      <c r="U721" s="335"/>
    </row>
    <row r="722" spans="2:21">
      <c r="B722" s="209">
        <f>Optimalisatie!B94</f>
        <v>0</v>
      </c>
      <c r="C722" s="51">
        <f>Optimalisatie!F94</f>
        <v>0</v>
      </c>
      <c r="D722" s="134">
        <f>_xlfn.IFNA(IF(Optimalisatie!C94="Nieuwe situatie",(Optimalisatie!R94/(VLOOKUP(Optimalisatie!W94,Database_Asfalt_Aanlegset[#All],60,FALSE)/8)),0),0)</f>
        <v>0</v>
      </c>
      <c r="E722" s="135">
        <f>IFERROR(IF(Optimalisatie!C94="Nieuwe situatie",Optimalisatie!J94/Optimalisatie!Z94,0),0)</f>
        <v>0</v>
      </c>
      <c r="F722" s="135">
        <f>_xlfn.IFNA(IF(Optimalisatie!C94="Bestaande situatie",Optimalisatie!R94/(VLOOKUP(Optimalisatie!AA94,Database_Asfalt_Verwijderset[#All],60,FALSE)/8),0),0)</f>
        <v>0</v>
      </c>
      <c r="G722" s="138">
        <f>IFERROR(IF(Optimalisatie!C94="Bestaande situatie",Optimalisatie!J94/Optimalisatie!AD94,0),0)</f>
        <v>0</v>
      </c>
      <c r="H722" s="94" t="str">
        <f>_xlfn.IFNA((VLOOKUP(Optimalisatie!W94,Database_Asfalt_Aanlegset[],61,FALSE)),"Nee")</f>
        <v>Nee</v>
      </c>
      <c r="I722" s="94" t="str">
        <f>_xlfn.IFNA((VLOOKUP(Optimalisatie!X94,Database_Brandstoffen[],60,FALSE)),"Nee")</f>
        <v>Nee</v>
      </c>
      <c r="J722" s="94" t="str">
        <f>_xlfn.IFNA((VLOOKUP(Optimalisatie!AA94,Database_Asfalt_Verwijderset[],61,FALSE)),"Nee")</f>
        <v>Nee</v>
      </c>
      <c r="K722" s="120" t="str">
        <f>_xlfn.IFNA((VLOOKUP(Optimalisatie!AB94,Database_Brandstoffen[],60,FALSE)),"Nee")</f>
        <v>Nee</v>
      </c>
      <c r="L722" s="132">
        <f>IF(Inschrijf_Bouwplaats_Totaal[[#This Row],[Emissieloos Asfalt Aanlegset]]="JA",Inschrijf_Bouwplaats_Totaal[[#This Row],[Draaiuren Bouw Asfalt]],0)+IF(Inschrijf_Bouwplaats_Totaal[[#This Row],[Emissieloos Bouwmaterieel]]="JA",Inschrijf_Bouwplaats_Totaal[[#This Row],[Draaiuren Bouw Overig]],0)+IF(Inschrijf_Bouwplaats_Totaal[[#This Row],[Emissieloos Asfalt Verwijderset]]="JA",Inschrijf_Bouwplaats_Totaal[[#This Row],[Draaiuren Verwijder Asfalt]],0)+IF(Inschrijf_Bouwplaats_Totaal[[#This Row],[Emissieloos Sloopmaterieel]]="JA",Inschrijf_Bouwplaats_Totaal[[#This Row],[Draaiuren Verwijder Overig]],0)</f>
        <v>0</v>
      </c>
      <c r="M722" s="139">
        <f>_xlfn.IFNA(IF(Optimalisatie!C94="Nieuwe situatie",(Optimalisatie!R94/(VLOOKUP(Optimalisatie!W94,Database_Asfalt_Aanlegset[#All],60,FALSE)/8)),0),0)*Optimalisatie!T94</f>
        <v>0</v>
      </c>
      <c r="N722" s="139">
        <f>_xlfn.IFNA(IF(Optimalisatie!C94="Nieuwe situatie",Optimalisatie!S94/VLOOKUP(Optimalisatie!X94,Database_Overig_Materieel[#All],8,FALSE),0),0)*Optimalisatie!T94</f>
        <v>0</v>
      </c>
      <c r="O722" s="139">
        <f>_xlfn.IFNA(IF(Optimalisatie!C94="Bestaande situatie",Optimalisatie!R94/(VLOOKUP(Optimalisatie!AA94,Database_Asfalt_Verwijderset[#All],60,FALSE)/8),0),0)*Optimalisatie!T94</f>
        <v>0</v>
      </c>
      <c r="P722" s="139">
        <f>_xlfn.IFNA(IF(Optimalisatie!C94="Bestaande situatie",Optimalisatie!S94/VLOOKUP(Optimalisatie!AB94,Database_Overig_Materieel[#All],8,FALSE),0),0)*Optimalisatie!T94</f>
        <v>0</v>
      </c>
      <c r="Q722" s="139">
        <f>IF(Inschrijf_Bouwplaats_Totaal[[#This Row],[Emissieloos Asfalt Aanlegset]]="JA",Inschrijf_Bouwplaats_Totaal[[#This Row],[Draaiuren Bouw Asfalt Vervangingen]],0)+IF(Inschrijf_Bouwplaats_Totaal[[#This Row],[Emissieloos Bouwmaterieel]]="JA",Inschrijf_Bouwplaats_Totaal[[#This Row],[Draaiuren Bouw Overig Vervangingen]],0)+IF(Inschrijf_Bouwplaats_Totaal[[#This Row],[Emissieloos Asfalt Verwijderset]]="JA",Inschrijf_Bouwplaats_Totaal[[#This Row],[Draaiuren Verwijder Asfalt Vervangingen]],0)+IF(Inschrijf_Bouwplaats_Totaal[[#This Row],[Emissieloos Sloopmaterieel]]="JA",Inschrijf_Bouwplaats_Totaal[[#This Row],[Draaiuren Verwijder Overig Vervangingen]],0)</f>
        <v>0</v>
      </c>
      <c r="R722" s="139">
        <f>Inschrijf_Bouwplaats_Totaal[[#This Row],[Emissieloos bouwplaats]]+Inschrijf_Bouwplaats_Totaal[[#This Row],[Emissieloos bouwplaats Vervangingen]]</f>
        <v>0</v>
      </c>
      <c r="S722" s="139">
        <f>(Inschrijf_Bouwplaats_Totaal[[#This Row],[Draaiuren Bouw Asfalt]]+Inschrijf_Bouwplaats_Totaal[[#This Row],[Draaiuren Bouw Overig]]+Inschrijf_Bouwplaats_Totaal[[#This Row],[Draaiuren Verwijder Asfalt]]+Inschrijf_Bouwplaats_Totaal[[#This Row],[Draaiuren Verwijder Overig]]+Inschrijf_Bouwplaats_Totaal[[#This Row],[Draaiuren Bouw Asfalt Vervangingen]]+Inschrijf_Bouwplaats_Totaal[[#This Row],[Draaiuren Bouw Overig Vervangingen]]+Inschrijf_Bouwplaats_Totaal[[#This Row],[Draaiuren Verwijder Asfalt Vervangingen]]+Inschrijf_Bouwplaats_Totaal[[#This Row],[Draaiuren Verwijder Overig Vervangingen]])-Inschrijf_Bouwplaats_Totaal[[#This Row],[Totaal Emissieloos Bouwplaats]]</f>
        <v>0</v>
      </c>
      <c r="T722" s="139">
        <f>Inschrijf_Bouwplaats_Totaal[[#This Row],[Totaal Emissieloos Bouwplaats]]+Inschrijf_Bouwplaats_Totaal[[#This Row],[Totaal Niet Emissieloos Bouwplaats]]</f>
        <v>0</v>
      </c>
      <c r="U722" s="335"/>
    </row>
    <row r="723" spans="2:21">
      <c r="B723" s="209">
        <f>Optimalisatie!B95</f>
        <v>0</v>
      </c>
      <c r="C723" s="51">
        <f>Optimalisatie!F95</f>
        <v>0</v>
      </c>
      <c r="D723" s="134">
        <f>_xlfn.IFNA(IF(Optimalisatie!C95="Nieuwe situatie",(Optimalisatie!R95/(VLOOKUP(Optimalisatie!W95,Database_Asfalt_Aanlegset[#All],60,FALSE)/8)),0),0)</f>
        <v>0</v>
      </c>
      <c r="E723" s="135">
        <f>IFERROR(IF(Optimalisatie!C95="Nieuwe situatie",Optimalisatie!J95/Optimalisatie!Z95,0),0)</f>
        <v>0</v>
      </c>
      <c r="F723" s="135">
        <f>_xlfn.IFNA(IF(Optimalisatie!C95="Bestaande situatie",Optimalisatie!R95/(VLOOKUP(Optimalisatie!AA95,Database_Asfalt_Verwijderset[#All],60,FALSE)/8),0),0)</f>
        <v>0</v>
      </c>
      <c r="G723" s="138">
        <f>IFERROR(IF(Optimalisatie!C95="Bestaande situatie",Optimalisatie!J95/Optimalisatie!AD95,0),0)</f>
        <v>0</v>
      </c>
      <c r="H723" s="94" t="str">
        <f>_xlfn.IFNA((VLOOKUP(Optimalisatie!W95,Database_Asfalt_Aanlegset[],61,FALSE)),"Nee")</f>
        <v>Nee</v>
      </c>
      <c r="I723" s="94" t="str">
        <f>_xlfn.IFNA((VLOOKUP(Optimalisatie!X95,Database_Brandstoffen[],60,FALSE)),"Nee")</f>
        <v>Nee</v>
      </c>
      <c r="J723" s="94" t="str">
        <f>_xlfn.IFNA((VLOOKUP(Optimalisatie!AA95,Database_Asfalt_Verwijderset[],61,FALSE)),"Nee")</f>
        <v>Nee</v>
      </c>
      <c r="K723" s="120" t="str">
        <f>_xlfn.IFNA((VLOOKUP(Optimalisatie!AB95,Database_Brandstoffen[],60,FALSE)),"Nee")</f>
        <v>Nee</v>
      </c>
      <c r="L723" s="132">
        <f>IF(Inschrijf_Bouwplaats_Totaal[[#This Row],[Emissieloos Asfalt Aanlegset]]="JA",Inschrijf_Bouwplaats_Totaal[[#This Row],[Draaiuren Bouw Asfalt]],0)+IF(Inschrijf_Bouwplaats_Totaal[[#This Row],[Emissieloos Bouwmaterieel]]="JA",Inschrijf_Bouwplaats_Totaal[[#This Row],[Draaiuren Bouw Overig]],0)+IF(Inschrijf_Bouwplaats_Totaal[[#This Row],[Emissieloos Asfalt Verwijderset]]="JA",Inschrijf_Bouwplaats_Totaal[[#This Row],[Draaiuren Verwijder Asfalt]],0)+IF(Inschrijf_Bouwplaats_Totaal[[#This Row],[Emissieloos Sloopmaterieel]]="JA",Inschrijf_Bouwplaats_Totaal[[#This Row],[Draaiuren Verwijder Overig]],0)</f>
        <v>0</v>
      </c>
      <c r="M723" s="139">
        <f>_xlfn.IFNA(IF(Optimalisatie!C95="Nieuwe situatie",(Optimalisatie!R95/(VLOOKUP(Optimalisatie!W95,Database_Asfalt_Aanlegset[#All],60,FALSE)/8)),0),0)*Optimalisatie!T95</f>
        <v>0</v>
      </c>
      <c r="N723" s="139">
        <f>_xlfn.IFNA(IF(Optimalisatie!C95="Nieuwe situatie",Optimalisatie!S95/VLOOKUP(Optimalisatie!X95,Database_Overig_Materieel[#All],8,FALSE),0),0)*Optimalisatie!T95</f>
        <v>0</v>
      </c>
      <c r="O723" s="139">
        <f>_xlfn.IFNA(IF(Optimalisatie!C95="Bestaande situatie",Optimalisatie!R95/(VLOOKUP(Optimalisatie!AA95,Database_Asfalt_Verwijderset[#All],60,FALSE)/8),0),0)*Optimalisatie!T95</f>
        <v>0</v>
      </c>
      <c r="P723" s="139">
        <f>_xlfn.IFNA(IF(Optimalisatie!C95="Bestaande situatie",Optimalisatie!S95/VLOOKUP(Optimalisatie!AB95,Database_Overig_Materieel[#All],8,FALSE),0),0)*Optimalisatie!T95</f>
        <v>0</v>
      </c>
      <c r="Q723" s="139">
        <f>IF(Inschrijf_Bouwplaats_Totaal[[#This Row],[Emissieloos Asfalt Aanlegset]]="JA",Inschrijf_Bouwplaats_Totaal[[#This Row],[Draaiuren Bouw Asfalt Vervangingen]],0)+IF(Inschrijf_Bouwplaats_Totaal[[#This Row],[Emissieloos Bouwmaterieel]]="JA",Inschrijf_Bouwplaats_Totaal[[#This Row],[Draaiuren Bouw Overig Vervangingen]],0)+IF(Inschrijf_Bouwplaats_Totaal[[#This Row],[Emissieloos Asfalt Verwijderset]]="JA",Inschrijf_Bouwplaats_Totaal[[#This Row],[Draaiuren Verwijder Asfalt Vervangingen]],0)+IF(Inschrijf_Bouwplaats_Totaal[[#This Row],[Emissieloos Sloopmaterieel]]="JA",Inschrijf_Bouwplaats_Totaal[[#This Row],[Draaiuren Verwijder Overig Vervangingen]],0)</f>
        <v>0</v>
      </c>
      <c r="R723" s="139">
        <f>Inschrijf_Bouwplaats_Totaal[[#This Row],[Emissieloos bouwplaats]]+Inschrijf_Bouwplaats_Totaal[[#This Row],[Emissieloos bouwplaats Vervangingen]]</f>
        <v>0</v>
      </c>
      <c r="S723" s="139">
        <f>(Inschrijf_Bouwplaats_Totaal[[#This Row],[Draaiuren Bouw Asfalt]]+Inschrijf_Bouwplaats_Totaal[[#This Row],[Draaiuren Bouw Overig]]+Inschrijf_Bouwplaats_Totaal[[#This Row],[Draaiuren Verwijder Asfalt]]+Inschrijf_Bouwplaats_Totaal[[#This Row],[Draaiuren Verwijder Overig]]+Inschrijf_Bouwplaats_Totaal[[#This Row],[Draaiuren Bouw Asfalt Vervangingen]]+Inschrijf_Bouwplaats_Totaal[[#This Row],[Draaiuren Bouw Overig Vervangingen]]+Inschrijf_Bouwplaats_Totaal[[#This Row],[Draaiuren Verwijder Asfalt Vervangingen]]+Inschrijf_Bouwplaats_Totaal[[#This Row],[Draaiuren Verwijder Overig Vervangingen]])-Inschrijf_Bouwplaats_Totaal[[#This Row],[Totaal Emissieloos Bouwplaats]]</f>
        <v>0</v>
      </c>
      <c r="T723" s="139">
        <f>Inschrijf_Bouwplaats_Totaal[[#This Row],[Totaal Emissieloos Bouwplaats]]+Inschrijf_Bouwplaats_Totaal[[#This Row],[Totaal Niet Emissieloos Bouwplaats]]</f>
        <v>0</v>
      </c>
      <c r="U723" s="335"/>
    </row>
    <row r="724" spans="2:21">
      <c r="B724" s="209">
        <f>Optimalisatie!B96</f>
        <v>0</v>
      </c>
      <c r="C724" s="51">
        <f>Optimalisatie!F96</f>
        <v>0</v>
      </c>
      <c r="D724" s="134">
        <f>_xlfn.IFNA(IF(Optimalisatie!C96="Nieuwe situatie",(Optimalisatie!R96/(VLOOKUP(Optimalisatie!W96,Database_Asfalt_Aanlegset[#All],60,FALSE)/8)),0),0)</f>
        <v>0</v>
      </c>
      <c r="E724" s="135">
        <f>IFERROR(IF(Optimalisatie!C96="Nieuwe situatie",Optimalisatie!J96/Optimalisatie!Z96,0),0)</f>
        <v>0</v>
      </c>
      <c r="F724" s="135">
        <f>_xlfn.IFNA(IF(Optimalisatie!C96="Bestaande situatie",Optimalisatie!R96/(VLOOKUP(Optimalisatie!AA96,Database_Asfalt_Verwijderset[#All],60,FALSE)/8),0),0)</f>
        <v>0</v>
      </c>
      <c r="G724" s="138">
        <f>IFERROR(IF(Optimalisatie!C96="Bestaande situatie",Optimalisatie!J96/Optimalisatie!AD96,0),0)</f>
        <v>0</v>
      </c>
      <c r="H724" s="94" t="str">
        <f>_xlfn.IFNA((VLOOKUP(Optimalisatie!W96,Database_Asfalt_Aanlegset[],61,FALSE)),"Nee")</f>
        <v>Nee</v>
      </c>
      <c r="I724" s="94" t="str">
        <f>_xlfn.IFNA((VLOOKUP(Optimalisatie!X96,Database_Brandstoffen[],60,FALSE)),"Nee")</f>
        <v>Nee</v>
      </c>
      <c r="J724" s="94" t="str">
        <f>_xlfn.IFNA((VLOOKUP(Optimalisatie!AA96,Database_Asfalt_Verwijderset[],61,FALSE)),"Nee")</f>
        <v>Nee</v>
      </c>
      <c r="K724" s="120" t="str">
        <f>_xlfn.IFNA((VLOOKUP(Optimalisatie!AB96,Database_Brandstoffen[],60,FALSE)),"Nee")</f>
        <v>Nee</v>
      </c>
      <c r="L724" s="132">
        <f>IF(Inschrijf_Bouwplaats_Totaal[[#This Row],[Emissieloos Asfalt Aanlegset]]="JA",Inschrijf_Bouwplaats_Totaal[[#This Row],[Draaiuren Bouw Asfalt]],0)+IF(Inschrijf_Bouwplaats_Totaal[[#This Row],[Emissieloos Bouwmaterieel]]="JA",Inschrijf_Bouwplaats_Totaal[[#This Row],[Draaiuren Bouw Overig]],0)+IF(Inschrijf_Bouwplaats_Totaal[[#This Row],[Emissieloos Asfalt Verwijderset]]="JA",Inschrijf_Bouwplaats_Totaal[[#This Row],[Draaiuren Verwijder Asfalt]],0)+IF(Inschrijf_Bouwplaats_Totaal[[#This Row],[Emissieloos Sloopmaterieel]]="JA",Inschrijf_Bouwplaats_Totaal[[#This Row],[Draaiuren Verwijder Overig]],0)</f>
        <v>0</v>
      </c>
      <c r="M724" s="139">
        <f>_xlfn.IFNA(IF(Optimalisatie!C96="Nieuwe situatie",(Optimalisatie!R96/(VLOOKUP(Optimalisatie!W96,Database_Asfalt_Aanlegset[#All],60,FALSE)/8)),0),0)*Optimalisatie!T96</f>
        <v>0</v>
      </c>
      <c r="N724" s="139">
        <f>_xlfn.IFNA(IF(Optimalisatie!C96="Nieuwe situatie",Optimalisatie!S96/VLOOKUP(Optimalisatie!X96,Database_Overig_Materieel[#All],8,FALSE),0),0)*Optimalisatie!T96</f>
        <v>0</v>
      </c>
      <c r="O724" s="139">
        <f>_xlfn.IFNA(IF(Optimalisatie!C96="Bestaande situatie",Optimalisatie!R96/(VLOOKUP(Optimalisatie!AA96,Database_Asfalt_Verwijderset[#All],60,FALSE)/8),0),0)*Optimalisatie!T96</f>
        <v>0</v>
      </c>
      <c r="P724" s="139">
        <f>_xlfn.IFNA(IF(Optimalisatie!C96="Bestaande situatie",Optimalisatie!S96/VLOOKUP(Optimalisatie!AB96,Database_Overig_Materieel[#All],8,FALSE),0),0)*Optimalisatie!T96</f>
        <v>0</v>
      </c>
      <c r="Q724" s="139">
        <f>IF(Inschrijf_Bouwplaats_Totaal[[#This Row],[Emissieloos Asfalt Aanlegset]]="JA",Inschrijf_Bouwplaats_Totaal[[#This Row],[Draaiuren Bouw Asfalt Vervangingen]],0)+IF(Inschrijf_Bouwplaats_Totaal[[#This Row],[Emissieloos Bouwmaterieel]]="JA",Inschrijf_Bouwplaats_Totaal[[#This Row],[Draaiuren Bouw Overig Vervangingen]],0)+IF(Inschrijf_Bouwplaats_Totaal[[#This Row],[Emissieloos Asfalt Verwijderset]]="JA",Inschrijf_Bouwplaats_Totaal[[#This Row],[Draaiuren Verwijder Asfalt Vervangingen]],0)+IF(Inschrijf_Bouwplaats_Totaal[[#This Row],[Emissieloos Sloopmaterieel]]="JA",Inschrijf_Bouwplaats_Totaal[[#This Row],[Draaiuren Verwijder Overig Vervangingen]],0)</f>
        <v>0</v>
      </c>
      <c r="R724" s="139">
        <f>Inschrijf_Bouwplaats_Totaal[[#This Row],[Emissieloos bouwplaats]]+Inschrijf_Bouwplaats_Totaal[[#This Row],[Emissieloos bouwplaats Vervangingen]]</f>
        <v>0</v>
      </c>
      <c r="S724" s="139">
        <f>(Inschrijf_Bouwplaats_Totaal[[#This Row],[Draaiuren Bouw Asfalt]]+Inschrijf_Bouwplaats_Totaal[[#This Row],[Draaiuren Bouw Overig]]+Inschrijf_Bouwplaats_Totaal[[#This Row],[Draaiuren Verwijder Asfalt]]+Inschrijf_Bouwplaats_Totaal[[#This Row],[Draaiuren Verwijder Overig]]+Inschrijf_Bouwplaats_Totaal[[#This Row],[Draaiuren Bouw Asfalt Vervangingen]]+Inschrijf_Bouwplaats_Totaal[[#This Row],[Draaiuren Bouw Overig Vervangingen]]+Inschrijf_Bouwplaats_Totaal[[#This Row],[Draaiuren Verwijder Asfalt Vervangingen]]+Inschrijf_Bouwplaats_Totaal[[#This Row],[Draaiuren Verwijder Overig Vervangingen]])-Inschrijf_Bouwplaats_Totaal[[#This Row],[Totaal Emissieloos Bouwplaats]]</f>
        <v>0</v>
      </c>
      <c r="T724" s="139">
        <f>Inschrijf_Bouwplaats_Totaal[[#This Row],[Totaal Emissieloos Bouwplaats]]+Inschrijf_Bouwplaats_Totaal[[#This Row],[Totaal Niet Emissieloos Bouwplaats]]</f>
        <v>0</v>
      </c>
      <c r="U724" s="335"/>
    </row>
    <row r="725" spans="2:21">
      <c r="B725" s="209">
        <f>Optimalisatie!B97</f>
        <v>0</v>
      </c>
      <c r="C725" s="51">
        <f>Optimalisatie!F97</f>
        <v>0</v>
      </c>
      <c r="D725" s="134">
        <f>_xlfn.IFNA(IF(Optimalisatie!C97="Nieuwe situatie",(Optimalisatie!R97/(VLOOKUP(Optimalisatie!W97,Database_Asfalt_Aanlegset[#All],60,FALSE)/8)),0),0)</f>
        <v>0</v>
      </c>
      <c r="E725" s="135">
        <f>IFERROR(IF(Optimalisatie!C97="Nieuwe situatie",Optimalisatie!J97/Optimalisatie!Z97,0),0)</f>
        <v>0</v>
      </c>
      <c r="F725" s="135">
        <f>_xlfn.IFNA(IF(Optimalisatie!C97="Bestaande situatie",Optimalisatie!R97/(VLOOKUP(Optimalisatie!AA97,Database_Asfalt_Verwijderset[#All],60,FALSE)/8),0),0)</f>
        <v>0</v>
      </c>
      <c r="G725" s="138">
        <f>IFERROR(IF(Optimalisatie!C97="Bestaande situatie",Optimalisatie!J97/Optimalisatie!AD97,0),0)</f>
        <v>0</v>
      </c>
      <c r="H725" s="94" t="str">
        <f>_xlfn.IFNA((VLOOKUP(Optimalisatie!W97,Database_Asfalt_Aanlegset[],61,FALSE)),"Nee")</f>
        <v>Nee</v>
      </c>
      <c r="I725" s="94" t="str">
        <f>_xlfn.IFNA((VLOOKUP(Optimalisatie!X97,Database_Brandstoffen[],60,FALSE)),"Nee")</f>
        <v>Nee</v>
      </c>
      <c r="J725" s="94" t="str">
        <f>_xlfn.IFNA((VLOOKUP(Optimalisatie!AA97,Database_Asfalt_Verwijderset[],61,FALSE)),"Nee")</f>
        <v>Nee</v>
      </c>
      <c r="K725" s="120" t="str">
        <f>_xlfn.IFNA((VLOOKUP(Optimalisatie!AB97,Database_Brandstoffen[],60,FALSE)),"Nee")</f>
        <v>Nee</v>
      </c>
      <c r="L725" s="132">
        <f>IF(Inschrijf_Bouwplaats_Totaal[[#This Row],[Emissieloos Asfalt Aanlegset]]="JA",Inschrijf_Bouwplaats_Totaal[[#This Row],[Draaiuren Bouw Asfalt]],0)+IF(Inschrijf_Bouwplaats_Totaal[[#This Row],[Emissieloos Bouwmaterieel]]="JA",Inschrijf_Bouwplaats_Totaal[[#This Row],[Draaiuren Bouw Overig]],0)+IF(Inschrijf_Bouwplaats_Totaal[[#This Row],[Emissieloos Asfalt Verwijderset]]="JA",Inschrijf_Bouwplaats_Totaal[[#This Row],[Draaiuren Verwijder Asfalt]],0)+IF(Inschrijf_Bouwplaats_Totaal[[#This Row],[Emissieloos Sloopmaterieel]]="JA",Inschrijf_Bouwplaats_Totaal[[#This Row],[Draaiuren Verwijder Overig]],0)</f>
        <v>0</v>
      </c>
      <c r="M725" s="139">
        <f>_xlfn.IFNA(IF(Optimalisatie!C97="Nieuwe situatie",(Optimalisatie!R97/(VLOOKUP(Optimalisatie!W97,Database_Asfalt_Aanlegset[#All],60,FALSE)/8)),0),0)*Optimalisatie!T97</f>
        <v>0</v>
      </c>
      <c r="N725" s="139">
        <f>_xlfn.IFNA(IF(Optimalisatie!C97="Nieuwe situatie",Optimalisatie!S97/VLOOKUP(Optimalisatie!X97,Database_Overig_Materieel[#All],8,FALSE),0),0)*Optimalisatie!T97</f>
        <v>0</v>
      </c>
      <c r="O725" s="139">
        <f>_xlfn.IFNA(IF(Optimalisatie!C97="Bestaande situatie",Optimalisatie!R97/(VLOOKUP(Optimalisatie!AA97,Database_Asfalt_Verwijderset[#All],60,FALSE)/8),0),0)*Optimalisatie!T97</f>
        <v>0</v>
      </c>
      <c r="P725" s="139">
        <f>_xlfn.IFNA(IF(Optimalisatie!C97="Bestaande situatie",Optimalisatie!S97/VLOOKUP(Optimalisatie!AB97,Database_Overig_Materieel[#All],8,FALSE),0),0)*Optimalisatie!T97</f>
        <v>0</v>
      </c>
      <c r="Q725" s="139">
        <f>IF(Inschrijf_Bouwplaats_Totaal[[#This Row],[Emissieloos Asfalt Aanlegset]]="JA",Inschrijf_Bouwplaats_Totaal[[#This Row],[Draaiuren Bouw Asfalt Vervangingen]],0)+IF(Inschrijf_Bouwplaats_Totaal[[#This Row],[Emissieloos Bouwmaterieel]]="JA",Inschrijf_Bouwplaats_Totaal[[#This Row],[Draaiuren Bouw Overig Vervangingen]],0)+IF(Inschrijf_Bouwplaats_Totaal[[#This Row],[Emissieloos Asfalt Verwijderset]]="JA",Inschrijf_Bouwplaats_Totaal[[#This Row],[Draaiuren Verwijder Asfalt Vervangingen]],0)+IF(Inschrijf_Bouwplaats_Totaal[[#This Row],[Emissieloos Sloopmaterieel]]="JA",Inschrijf_Bouwplaats_Totaal[[#This Row],[Draaiuren Verwijder Overig Vervangingen]],0)</f>
        <v>0</v>
      </c>
      <c r="R725" s="139">
        <f>Inschrijf_Bouwplaats_Totaal[[#This Row],[Emissieloos bouwplaats]]+Inschrijf_Bouwplaats_Totaal[[#This Row],[Emissieloos bouwplaats Vervangingen]]</f>
        <v>0</v>
      </c>
      <c r="S725" s="139">
        <f>(Inschrijf_Bouwplaats_Totaal[[#This Row],[Draaiuren Bouw Asfalt]]+Inschrijf_Bouwplaats_Totaal[[#This Row],[Draaiuren Bouw Overig]]+Inschrijf_Bouwplaats_Totaal[[#This Row],[Draaiuren Verwijder Asfalt]]+Inschrijf_Bouwplaats_Totaal[[#This Row],[Draaiuren Verwijder Overig]]+Inschrijf_Bouwplaats_Totaal[[#This Row],[Draaiuren Bouw Asfalt Vervangingen]]+Inschrijf_Bouwplaats_Totaal[[#This Row],[Draaiuren Bouw Overig Vervangingen]]+Inschrijf_Bouwplaats_Totaal[[#This Row],[Draaiuren Verwijder Asfalt Vervangingen]]+Inschrijf_Bouwplaats_Totaal[[#This Row],[Draaiuren Verwijder Overig Vervangingen]])-Inschrijf_Bouwplaats_Totaal[[#This Row],[Totaal Emissieloos Bouwplaats]]</f>
        <v>0</v>
      </c>
      <c r="T725" s="139">
        <f>Inschrijf_Bouwplaats_Totaal[[#This Row],[Totaal Emissieloos Bouwplaats]]+Inschrijf_Bouwplaats_Totaal[[#This Row],[Totaal Niet Emissieloos Bouwplaats]]</f>
        <v>0</v>
      </c>
      <c r="U725" s="335"/>
    </row>
    <row r="726" spans="2:21">
      <c r="B726" s="209">
        <f>Optimalisatie!B98</f>
        <v>0</v>
      </c>
      <c r="C726" s="51">
        <f>Optimalisatie!F98</f>
        <v>0</v>
      </c>
      <c r="D726" s="134">
        <f>_xlfn.IFNA(IF(Optimalisatie!C98="Nieuwe situatie",(Optimalisatie!R98/(VLOOKUP(Optimalisatie!W98,Database_Asfalt_Aanlegset[#All],60,FALSE)/8)),0),0)</f>
        <v>0</v>
      </c>
      <c r="E726" s="135">
        <f>IFERROR(IF(Optimalisatie!C98="Nieuwe situatie",Optimalisatie!J98/Optimalisatie!Z98,0),0)</f>
        <v>0</v>
      </c>
      <c r="F726" s="135">
        <f>_xlfn.IFNA(IF(Optimalisatie!C98="Bestaande situatie",Optimalisatie!R98/(VLOOKUP(Optimalisatie!AA98,Database_Asfalt_Verwijderset[#All],60,FALSE)/8),0),0)</f>
        <v>0</v>
      </c>
      <c r="G726" s="138">
        <f>IFERROR(IF(Optimalisatie!C98="Bestaande situatie",Optimalisatie!J98/Optimalisatie!AD98,0),0)</f>
        <v>0</v>
      </c>
      <c r="H726" s="94" t="str">
        <f>_xlfn.IFNA((VLOOKUP(Optimalisatie!W98,Database_Asfalt_Aanlegset[],61,FALSE)),"Nee")</f>
        <v>Nee</v>
      </c>
      <c r="I726" s="94" t="str">
        <f>_xlfn.IFNA((VLOOKUP(Optimalisatie!X98,Database_Brandstoffen[],60,FALSE)),"Nee")</f>
        <v>Nee</v>
      </c>
      <c r="J726" s="94" t="str">
        <f>_xlfn.IFNA((VLOOKUP(Optimalisatie!AA98,Database_Asfalt_Verwijderset[],61,FALSE)),"Nee")</f>
        <v>Nee</v>
      </c>
      <c r="K726" s="120" t="str">
        <f>_xlfn.IFNA((VLOOKUP(Optimalisatie!AB98,Database_Brandstoffen[],60,FALSE)),"Nee")</f>
        <v>Nee</v>
      </c>
      <c r="L726" s="132">
        <f>IF(Inschrijf_Bouwplaats_Totaal[[#This Row],[Emissieloos Asfalt Aanlegset]]="JA",Inschrijf_Bouwplaats_Totaal[[#This Row],[Draaiuren Bouw Asfalt]],0)+IF(Inschrijf_Bouwplaats_Totaal[[#This Row],[Emissieloos Bouwmaterieel]]="JA",Inschrijf_Bouwplaats_Totaal[[#This Row],[Draaiuren Bouw Overig]],0)+IF(Inschrijf_Bouwplaats_Totaal[[#This Row],[Emissieloos Asfalt Verwijderset]]="JA",Inschrijf_Bouwplaats_Totaal[[#This Row],[Draaiuren Verwijder Asfalt]],0)+IF(Inschrijf_Bouwplaats_Totaal[[#This Row],[Emissieloos Sloopmaterieel]]="JA",Inschrijf_Bouwplaats_Totaal[[#This Row],[Draaiuren Verwijder Overig]],0)</f>
        <v>0</v>
      </c>
      <c r="M726" s="139">
        <f>_xlfn.IFNA(IF(Optimalisatie!C98="Nieuwe situatie",(Optimalisatie!R98/(VLOOKUP(Optimalisatie!W98,Database_Asfalt_Aanlegset[#All],60,FALSE)/8)),0),0)*Optimalisatie!T98</f>
        <v>0</v>
      </c>
      <c r="N726" s="139">
        <f>_xlfn.IFNA(IF(Optimalisatie!C98="Nieuwe situatie",Optimalisatie!S98/VLOOKUP(Optimalisatie!X98,Database_Overig_Materieel[#All],8,FALSE),0),0)*Optimalisatie!T98</f>
        <v>0</v>
      </c>
      <c r="O726" s="139">
        <f>_xlfn.IFNA(IF(Optimalisatie!C98="Bestaande situatie",Optimalisatie!R98/(VLOOKUP(Optimalisatie!AA98,Database_Asfalt_Verwijderset[#All],60,FALSE)/8),0),0)*Optimalisatie!T98</f>
        <v>0</v>
      </c>
      <c r="P726" s="139">
        <f>_xlfn.IFNA(IF(Optimalisatie!C98="Bestaande situatie",Optimalisatie!S98/VLOOKUP(Optimalisatie!AB98,Database_Overig_Materieel[#All],8,FALSE),0),0)*Optimalisatie!T98</f>
        <v>0</v>
      </c>
      <c r="Q726" s="139">
        <f>IF(Inschrijf_Bouwplaats_Totaal[[#This Row],[Emissieloos Asfalt Aanlegset]]="JA",Inschrijf_Bouwplaats_Totaal[[#This Row],[Draaiuren Bouw Asfalt Vervangingen]],0)+IF(Inschrijf_Bouwplaats_Totaal[[#This Row],[Emissieloos Bouwmaterieel]]="JA",Inschrijf_Bouwplaats_Totaal[[#This Row],[Draaiuren Bouw Overig Vervangingen]],0)+IF(Inschrijf_Bouwplaats_Totaal[[#This Row],[Emissieloos Asfalt Verwijderset]]="JA",Inschrijf_Bouwplaats_Totaal[[#This Row],[Draaiuren Verwijder Asfalt Vervangingen]],0)+IF(Inschrijf_Bouwplaats_Totaal[[#This Row],[Emissieloos Sloopmaterieel]]="JA",Inschrijf_Bouwplaats_Totaal[[#This Row],[Draaiuren Verwijder Overig Vervangingen]],0)</f>
        <v>0</v>
      </c>
      <c r="R726" s="139">
        <f>Inschrijf_Bouwplaats_Totaal[[#This Row],[Emissieloos bouwplaats]]+Inschrijf_Bouwplaats_Totaal[[#This Row],[Emissieloos bouwplaats Vervangingen]]</f>
        <v>0</v>
      </c>
      <c r="S726" s="139">
        <f>(Inschrijf_Bouwplaats_Totaal[[#This Row],[Draaiuren Bouw Asfalt]]+Inschrijf_Bouwplaats_Totaal[[#This Row],[Draaiuren Bouw Overig]]+Inschrijf_Bouwplaats_Totaal[[#This Row],[Draaiuren Verwijder Asfalt]]+Inschrijf_Bouwplaats_Totaal[[#This Row],[Draaiuren Verwijder Overig]]+Inschrijf_Bouwplaats_Totaal[[#This Row],[Draaiuren Bouw Asfalt Vervangingen]]+Inschrijf_Bouwplaats_Totaal[[#This Row],[Draaiuren Bouw Overig Vervangingen]]+Inschrijf_Bouwplaats_Totaal[[#This Row],[Draaiuren Verwijder Asfalt Vervangingen]]+Inschrijf_Bouwplaats_Totaal[[#This Row],[Draaiuren Verwijder Overig Vervangingen]])-Inschrijf_Bouwplaats_Totaal[[#This Row],[Totaal Emissieloos Bouwplaats]]</f>
        <v>0</v>
      </c>
      <c r="T726" s="139">
        <f>Inschrijf_Bouwplaats_Totaal[[#This Row],[Totaal Emissieloos Bouwplaats]]+Inschrijf_Bouwplaats_Totaal[[#This Row],[Totaal Niet Emissieloos Bouwplaats]]</f>
        <v>0</v>
      </c>
      <c r="U726" s="335"/>
    </row>
    <row r="727" spans="2:21">
      <c r="B727" s="209">
        <f>Optimalisatie!B99</f>
        <v>0</v>
      </c>
      <c r="C727" s="51">
        <f>Optimalisatie!F99</f>
        <v>0</v>
      </c>
      <c r="D727" s="134">
        <f>_xlfn.IFNA(IF(Optimalisatie!C99="Nieuwe situatie",(Optimalisatie!R99/(VLOOKUP(Optimalisatie!W99,Database_Asfalt_Aanlegset[#All],60,FALSE)/8)),0),0)</f>
        <v>0</v>
      </c>
      <c r="E727" s="135">
        <f>IFERROR(IF(Optimalisatie!C99="Nieuwe situatie",Optimalisatie!J99/Optimalisatie!Z99,0),0)</f>
        <v>0</v>
      </c>
      <c r="F727" s="135">
        <f>_xlfn.IFNA(IF(Optimalisatie!C99="Bestaande situatie",Optimalisatie!R99/(VLOOKUP(Optimalisatie!AA99,Database_Asfalt_Verwijderset[#All],60,FALSE)/8),0),0)</f>
        <v>0</v>
      </c>
      <c r="G727" s="138">
        <f>IFERROR(IF(Optimalisatie!C99="Bestaande situatie",Optimalisatie!J99/Optimalisatie!AD99,0),0)</f>
        <v>0</v>
      </c>
      <c r="H727" s="94" t="str">
        <f>_xlfn.IFNA((VLOOKUP(Optimalisatie!W99,Database_Asfalt_Aanlegset[],61,FALSE)),"Nee")</f>
        <v>Nee</v>
      </c>
      <c r="I727" s="94" t="str">
        <f>_xlfn.IFNA((VLOOKUP(Optimalisatie!X99,Database_Brandstoffen[],60,FALSE)),"Nee")</f>
        <v>Nee</v>
      </c>
      <c r="J727" s="94" t="str">
        <f>_xlfn.IFNA((VLOOKUP(Optimalisatie!AA99,Database_Asfalt_Verwijderset[],61,FALSE)),"Nee")</f>
        <v>Nee</v>
      </c>
      <c r="K727" s="120" t="str">
        <f>_xlfn.IFNA((VLOOKUP(Optimalisatie!AB99,Database_Brandstoffen[],60,FALSE)),"Nee")</f>
        <v>Nee</v>
      </c>
      <c r="L727" s="132">
        <f>IF(Inschrijf_Bouwplaats_Totaal[[#This Row],[Emissieloos Asfalt Aanlegset]]="JA",Inschrijf_Bouwplaats_Totaal[[#This Row],[Draaiuren Bouw Asfalt]],0)+IF(Inschrijf_Bouwplaats_Totaal[[#This Row],[Emissieloos Bouwmaterieel]]="JA",Inschrijf_Bouwplaats_Totaal[[#This Row],[Draaiuren Bouw Overig]],0)+IF(Inschrijf_Bouwplaats_Totaal[[#This Row],[Emissieloos Asfalt Verwijderset]]="JA",Inschrijf_Bouwplaats_Totaal[[#This Row],[Draaiuren Verwijder Asfalt]],0)+IF(Inschrijf_Bouwplaats_Totaal[[#This Row],[Emissieloos Sloopmaterieel]]="JA",Inschrijf_Bouwplaats_Totaal[[#This Row],[Draaiuren Verwijder Overig]],0)</f>
        <v>0</v>
      </c>
      <c r="M727" s="139">
        <f>_xlfn.IFNA(IF(Optimalisatie!C99="Nieuwe situatie",(Optimalisatie!R99/(VLOOKUP(Optimalisatie!W99,Database_Asfalt_Aanlegset[#All],60,FALSE)/8)),0),0)*Optimalisatie!T99</f>
        <v>0</v>
      </c>
      <c r="N727" s="139">
        <f>_xlfn.IFNA(IF(Optimalisatie!C99="Nieuwe situatie",Optimalisatie!S99/VLOOKUP(Optimalisatie!X99,Database_Overig_Materieel[#All],8,FALSE),0),0)*Optimalisatie!T99</f>
        <v>0</v>
      </c>
      <c r="O727" s="139">
        <f>_xlfn.IFNA(IF(Optimalisatie!C99="Bestaande situatie",Optimalisatie!R99/(VLOOKUP(Optimalisatie!AA99,Database_Asfalt_Verwijderset[#All],60,FALSE)/8),0),0)*Optimalisatie!T99</f>
        <v>0</v>
      </c>
      <c r="P727" s="139">
        <f>_xlfn.IFNA(IF(Optimalisatie!C99="Bestaande situatie",Optimalisatie!S99/VLOOKUP(Optimalisatie!AB99,Database_Overig_Materieel[#All],8,FALSE),0),0)*Optimalisatie!T99</f>
        <v>0</v>
      </c>
      <c r="Q727" s="139">
        <f>IF(Inschrijf_Bouwplaats_Totaal[[#This Row],[Emissieloos Asfalt Aanlegset]]="JA",Inschrijf_Bouwplaats_Totaal[[#This Row],[Draaiuren Bouw Asfalt Vervangingen]],0)+IF(Inschrijf_Bouwplaats_Totaal[[#This Row],[Emissieloos Bouwmaterieel]]="JA",Inschrijf_Bouwplaats_Totaal[[#This Row],[Draaiuren Bouw Overig Vervangingen]],0)+IF(Inschrijf_Bouwplaats_Totaal[[#This Row],[Emissieloos Asfalt Verwijderset]]="JA",Inschrijf_Bouwplaats_Totaal[[#This Row],[Draaiuren Verwijder Asfalt Vervangingen]],0)+IF(Inschrijf_Bouwplaats_Totaal[[#This Row],[Emissieloos Sloopmaterieel]]="JA",Inschrijf_Bouwplaats_Totaal[[#This Row],[Draaiuren Verwijder Overig Vervangingen]],0)</f>
        <v>0</v>
      </c>
      <c r="R727" s="139">
        <f>Inschrijf_Bouwplaats_Totaal[[#This Row],[Emissieloos bouwplaats]]+Inschrijf_Bouwplaats_Totaal[[#This Row],[Emissieloos bouwplaats Vervangingen]]</f>
        <v>0</v>
      </c>
      <c r="S727" s="139">
        <f>(Inschrijf_Bouwplaats_Totaal[[#This Row],[Draaiuren Bouw Asfalt]]+Inschrijf_Bouwplaats_Totaal[[#This Row],[Draaiuren Bouw Overig]]+Inschrijf_Bouwplaats_Totaal[[#This Row],[Draaiuren Verwijder Asfalt]]+Inschrijf_Bouwplaats_Totaal[[#This Row],[Draaiuren Verwijder Overig]]+Inschrijf_Bouwplaats_Totaal[[#This Row],[Draaiuren Bouw Asfalt Vervangingen]]+Inschrijf_Bouwplaats_Totaal[[#This Row],[Draaiuren Bouw Overig Vervangingen]]+Inschrijf_Bouwplaats_Totaal[[#This Row],[Draaiuren Verwijder Asfalt Vervangingen]]+Inschrijf_Bouwplaats_Totaal[[#This Row],[Draaiuren Verwijder Overig Vervangingen]])-Inschrijf_Bouwplaats_Totaal[[#This Row],[Totaal Emissieloos Bouwplaats]]</f>
        <v>0</v>
      </c>
      <c r="T727" s="139">
        <f>Inschrijf_Bouwplaats_Totaal[[#This Row],[Totaal Emissieloos Bouwplaats]]+Inschrijf_Bouwplaats_Totaal[[#This Row],[Totaal Niet Emissieloos Bouwplaats]]</f>
        <v>0</v>
      </c>
      <c r="U727" s="335"/>
    </row>
    <row r="728" spans="2:21">
      <c r="B728" s="209">
        <f>Optimalisatie!B100</f>
        <v>0</v>
      </c>
      <c r="C728" s="51">
        <f>Optimalisatie!F100</f>
        <v>0</v>
      </c>
      <c r="D728" s="134">
        <f>_xlfn.IFNA(IF(Optimalisatie!C100="Nieuwe situatie",(Optimalisatie!R100/(VLOOKUP(Optimalisatie!W100,Database_Asfalt_Aanlegset[#All],60,FALSE)/8)),0),0)</f>
        <v>0</v>
      </c>
      <c r="E728" s="135">
        <f>IFERROR(IF(Optimalisatie!C100="Nieuwe situatie",Optimalisatie!J100/Optimalisatie!Z100,0),0)</f>
        <v>0</v>
      </c>
      <c r="F728" s="135">
        <f>_xlfn.IFNA(IF(Optimalisatie!C100="Bestaande situatie",Optimalisatie!R100/(VLOOKUP(Optimalisatie!AA100,Database_Asfalt_Verwijderset[#All],60,FALSE)/8),0),0)</f>
        <v>0</v>
      </c>
      <c r="G728" s="138">
        <f>IFERROR(IF(Optimalisatie!C100="Bestaande situatie",Optimalisatie!J100/Optimalisatie!AD100,0),0)</f>
        <v>0</v>
      </c>
      <c r="H728" s="94" t="str">
        <f>_xlfn.IFNA((VLOOKUP(Optimalisatie!W100,Database_Asfalt_Aanlegset[],61,FALSE)),"Nee")</f>
        <v>Nee</v>
      </c>
      <c r="I728" s="94" t="str">
        <f>_xlfn.IFNA((VLOOKUP(Optimalisatie!X100,Database_Brandstoffen[],60,FALSE)),"Nee")</f>
        <v>Nee</v>
      </c>
      <c r="J728" s="94" t="str">
        <f>_xlfn.IFNA((VLOOKUP(Optimalisatie!AA100,Database_Asfalt_Verwijderset[],61,FALSE)),"Nee")</f>
        <v>Nee</v>
      </c>
      <c r="K728" s="120" t="str">
        <f>_xlfn.IFNA((VLOOKUP(Optimalisatie!AB100,Database_Brandstoffen[],60,FALSE)),"Nee")</f>
        <v>Nee</v>
      </c>
      <c r="L728" s="132">
        <f>IF(Inschrijf_Bouwplaats_Totaal[[#This Row],[Emissieloos Asfalt Aanlegset]]="JA",Inschrijf_Bouwplaats_Totaal[[#This Row],[Draaiuren Bouw Asfalt]],0)+IF(Inschrijf_Bouwplaats_Totaal[[#This Row],[Emissieloos Bouwmaterieel]]="JA",Inschrijf_Bouwplaats_Totaal[[#This Row],[Draaiuren Bouw Overig]],0)+IF(Inschrijf_Bouwplaats_Totaal[[#This Row],[Emissieloos Asfalt Verwijderset]]="JA",Inschrijf_Bouwplaats_Totaal[[#This Row],[Draaiuren Verwijder Asfalt]],0)+IF(Inschrijf_Bouwplaats_Totaal[[#This Row],[Emissieloos Sloopmaterieel]]="JA",Inschrijf_Bouwplaats_Totaal[[#This Row],[Draaiuren Verwijder Overig]],0)</f>
        <v>0</v>
      </c>
      <c r="M728" s="139">
        <f>_xlfn.IFNA(IF(Optimalisatie!C100="Nieuwe situatie",(Optimalisatie!R100/(VLOOKUP(Optimalisatie!W100,Database_Asfalt_Aanlegset[#All],60,FALSE)/8)),0),0)*Optimalisatie!T100</f>
        <v>0</v>
      </c>
      <c r="N728" s="139">
        <f>_xlfn.IFNA(IF(Optimalisatie!C100="Nieuwe situatie",Optimalisatie!S100/VLOOKUP(Optimalisatie!X100,Database_Overig_Materieel[#All],8,FALSE),0),0)*Optimalisatie!T100</f>
        <v>0</v>
      </c>
      <c r="O728" s="139">
        <f>_xlfn.IFNA(IF(Optimalisatie!C100="Bestaande situatie",Optimalisatie!R100/(VLOOKUP(Optimalisatie!AA100,Database_Asfalt_Verwijderset[#All],60,FALSE)/8),0),0)*Optimalisatie!T100</f>
        <v>0</v>
      </c>
      <c r="P728" s="139">
        <f>_xlfn.IFNA(IF(Optimalisatie!C100="Bestaande situatie",Optimalisatie!S100/VLOOKUP(Optimalisatie!AB100,Database_Overig_Materieel[#All],8,FALSE),0),0)*Optimalisatie!T100</f>
        <v>0</v>
      </c>
      <c r="Q728" s="139">
        <f>IF(Inschrijf_Bouwplaats_Totaal[[#This Row],[Emissieloos Asfalt Aanlegset]]="JA",Inschrijf_Bouwplaats_Totaal[[#This Row],[Draaiuren Bouw Asfalt Vervangingen]],0)+IF(Inschrijf_Bouwplaats_Totaal[[#This Row],[Emissieloos Bouwmaterieel]]="JA",Inschrijf_Bouwplaats_Totaal[[#This Row],[Draaiuren Bouw Overig Vervangingen]],0)+IF(Inschrijf_Bouwplaats_Totaal[[#This Row],[Emissieloos Asfalt Verwijderset]]="JA",Inschrijf_Bouwplaats_Totaal[[#This Row],[Draaiuren Verwijder Asfalt Vervangingen]],0)+IF(Inschrijf_Bouwplaats_Totaal[[#This Row],[Emissieloos Sloopmaterieel]]="JA",Inschrijf_Bouwplaats_Totaal[[#This Row],[Draaiuren Verwijder Overig Vervangingen]],0)</f>
        <v>0</v>
      </c>
      <c r="R728" s="139">
        <f>Inschrijf_Bouwplaats_Totaal[[#This Row],[Emissieloos bouwplaats]]+Inschrijf_Bouwplaats_Totaal[[#This Row],[Emissieloos bouwplaats Vervangingen]]</f>
        <v>0</v>
      </c>
      <c r="S728" s="139">
        <f>(Inschrijf_Bouwplaats_Totaal[[#This Row],[Draaiuren Bouw Asfalt]]+Inschrijf_Bouwplaats_Totaal[[#This Row],[Draaiuren Bouw Overig]]+Inschrijf_Bouwplaats_Totaal[[#This Row],[Draaiuren Verwijder Asfalt]]+Inschrijf_Bouwplaats_Totaal[[#This Row],[Draaiuren Verwijder Overig]]+Inschrijf_Bouwplaats_Totaal[[#This Row],[Draaiuren Bouw Asfalt Vervangingen]]+Inschrijf_Bouwplaats_Totaal[[#This Row],[Draaiuren Bouw Overig Vervangingen]]+Inschrijf_Bouwplaats_Totaal[[#This Row],[Draaiuren Verwijder Asfalt Vervangingen]]+Inschrijf_Bouwplaats_Totaal[[#This Row],[Draaiuren Verwijder Overig Vervangingen]])-Inschrijf_Bouwplaats_Totaal[[#This Row],[Totaal Emissieloos Bouwplaats]]</f>
        <v>0</v>
      </c>
      <c r="T728" s="139">
        <f>Inschrijf_Bouwplaats_Totaal[[#This Row],[Totaal Emissieloos Bouwplaats]]+Inschrijf_Bouwplaats_Totaal[[#This Row],[Totaal Niet Emissieloos Bouwplaats]]</f>
        <v>0</v>
      </c>
      <c r="U728" s="335"/>
    </row>
    <row r="729" spans="2:21">
      <c r="B729" s="209">
        <f>Optimalisatie!B101</f>
        <v>0</v>
      </c>
      <c r="C729" s="51">
        <f>Optimalisatie!F101</f>
        <v>0</v>
      </c>
      <c r="D729" s="134">
        <f>_xlfn.IFNA(IF(Optimalisatie!C101="Nieuwe situatie",(Optimalisatie!R101/(VLOOKUP(Optimalisatie!W101,Database_Asfalt_Aanlegset[#All],60,FALSE)/8)),0),0)</f>
        <v>0</v>
      </c>
      <c r="E729" s="135">
        <f>IFERROR(IF(Optimalisatie!C101="Nieuwe situatie",Optimalisatie!J101/Optimalisatie!Z101,0),0)</f>
        <v>0</v>
      </c>
      <c r="F729" s="135">
        <f>_xlfn.IFNA(IF(Optimalisatie!C101="Bestaande situatie",Optimalisatie!R101/(VLOOKUP(Optimalisatie!AA101,Database_Asfalt_Verwijderset[#All],60,FALSE)/8),0),0)</f>
        <v>0</v>
      </c>
      <c r="G729" s="138">
        <f>IFERROR(IF(Optimalisatie!C101="Bestaande situatie",Optimalisatie!J101/Optimalisatie!AD101,0),0)</f>
        <v>0</v>
      </c>
      <c r="H729" s="94" t="str">
        <f>_xlfn.IFNA((VLOOKUP(Optimalisatie!W101,Database_Asfalt_Aanlegset[],61,FALSE)),"Nee")</f>
        <v>Nee</v>
      </c>
      <c r="I729" s="94" t="str">
        <f>_xlfn.IFNA((VLOOKUP(Optimalisatie!X101,Database_Brandstoffen[],60,FALSE)),"Nee")</f>
        <v>Nee</v>
      </c>
      <c r="J729" s="94" t="str">
        <f>_xlfn.IFNA((VLOOKUP(Optimalisatie!AA101,Database_Asfalt_Verwijderset[],61,FALSE)),"Nee")</f>
        <v>Nee</v>
      </c>
      <c r="K729" s="120" t="str">
        <f>_xlfn.IFNA((VLOOKUP(Optimalisatie!AB101,Database_Brandstoffen[],60,FALSE)),"Nee")</f>
        <v>Nee</v>
      </c>
      <c r="L729" s="132">
        <f>IF(Inschrijf_Bouwplaats_Totaal[[#This Row],[Emissieloos Asfalt Aanlegset]]="JA",Inschrijf_Bouwplaats_Totaal[[#This Row],[Draaiuren Bouw Asfalt]],0)+IF(Inschrijf_Bouwplaats_Totaal[[#This Row],[Emissieloos Bouwmaterieel]]="JA",Inschrijf_Bouwplaats_Totaal[[#This Row],[Draaiuren Bouw Overig]],0)+IF(Inschrijf_Bouwplaats_Totaal[[#This Row],[Emissieloos Asfalt Verwijderset]]="JA",Inschrijf_Bouwplaats_Totaal[[#This Row],[Draaiuren Verwijder Asfalt]],0)+IF(Inschrijf_Bouwplaats_Totaal[[#This Row],[Emissieloos Sloopmaterieel]]="JA",Inschrijf_Bouwplaats_Totaal[[#This Row],[Draaiuren Verwijder Overig]],0)</f>
        <v>0</v>
      </c>
      <c r="M729" s="139">
        <f>_xlfn.IFNA(IF(Optimalisatie!C101="Nieuwe situatie",(Optimalisatie!R101/(VLOOKUP(Optimalisatie!W101,Database_Asfalt_Aanlegset[#All],60,FALSE)/8)),0),0)*Optimalisatie!T101</f>
        <v>0</v>
      </c>
      <c r="N729" s="139">
        <f>_xlfn.IFNA(IF(Optimalisatie!C101="Nieuwe situatie",Optimalisatie!S101/VLOOKUP(Optimalisatie!X101,Database_Overig_Materieel[#All],8,FALSE),0),0)*Optimalisatie!T101</f>
        <v>0</v>
      </c>
      <c r="O729" s="139">
        <f>_xlfn.IFNA(IF(Optimalisatie!C101="Bestaande situatie",Optimalisatie!R101/(VLOOKUP(Optimalisatie!AA101,Database_Asfalt_Verwijderset[#All],60,FALSE)/8),0),0)*Optimalisatie!T101</f>
        <v>0</v>
      </c>
      <c r="P729" s="139">
        <f>_xlfn.IFNA(IF(Optimalisatie!C101="Bestaande situatie",Optimalisatie!S101/VLOOKUP(Optimalisatie!AB101,Database_Overig_Materieel[#All],8,FALSE),0),0)*Optimalisatie!T101</f>
        <v>0</v>
      </c>
      <c r="Q729" s="139">
        <f>IF(Inschrijf_Bouwplaats_Totaal[[#This Row],[Emissieloos Asfalt Aanlegset]]="JA",Inschrijf_Bouwplaats_Totaal[[#This Row],[Draaiuren Bouw Asfalt Vervangingen]],0)+IF(Inschrijf_Bouwplaats_Totaal[[#This Row],[Emissieloos Bouwmaterieel]]="JA",Inschrijf_Bouwplaats_Totaal[[#This Row],[Draaiuren Bouw Overig Vervangingen]],0)+IF(Inschrijf_Bouwplaats_Totaal[[#This Row],[Emissieloos Asfalt Verwijderset]]="JA",Inschrijf_Bouwplaats_Totaal[[#This Row],[Draaiuren Verwijder Asfalt Vervangingen]],0)+IF(Inschrijf_Bouwplaats_Totaal[[#This Row],[Emissieloos Sloopmaterieel]]="JA",Inschrijf_Bouwplaats_Totaal[[#This Row],[Draaiuren Verwijder Overig Vervangingen]],0)</f>
        <v>0</v>
      </c>
      <c r="R729" s="139">
        <f>Inschrijf_Bouwplaats_Totaal[[#This Row],[Emissieloos bouwplaats]]+Inschrijf_Bouwplaats_Totaal[[#This Row],[Emissieloos bouwplaats Vervangingen]]</f>
        <v>0</v>
      </c>
      <c r="S729" s="139">
        <f>(Inschrijf_Bouwplaats_Totaal[[#This Row],[Draaiuren Bouw Asfalt]]+Inschrijf_Bouwplaats_Totaal[[#This Row],[Draaiuren Bouw Overig]]+Inschrijf_Bouwplaats_Totaal[[#This Row],[Draaiuren Verwijder Asfalt]]+Inschrijf_Bouwplaats_Totaal[[#This Row],[Draaiuren Verwijder Overig]]+Inschrijf_Bouwplaats_Totaal[[#This Row],[Draaiuren Bouw Asfalt Vervangingen]]+Inschrijf_Bouwplaats_Totaal[[#This Row],[Draaiuren Bouw Overig Vervangingen]]+Inschrijf_Bouwplaats_Totaal[[#This Row],[Draaiuren Verwijder Asfalt Vervangingen]]+Inschrijf_Bouwplaats_Totaal[[#This Row],[Draaiuren Verwijder Overig Vervangingen]])-Inschrijf_Bouwplaats_Totaal[[#This Row],[Totaal Emissieloos Bouwplaats]]</f>
        <v>0</v>
      </c>
      <c r="T729" s="139">
        <f>Inschrijf_Bouwplaats_Totaal[[#This Row],[Totaal Emissieloos Bouwplaats]]+Inschrijf_Bouwplaats_Totaal[[#This Row],[Totaal Niet Emissieloos Bouwplaats]]</f>
        <v>0</v>
      </c>
      <c r="U729" s="335"/>
    </row>
    <row r="730" spans="2:21">
      <c r="B730" s="209">
        <f>Optimalisatie!B102</f>
        <v>0</v>
      </c>
      <c r="C730" s="51">
        <f>Optimalisatie!F102</f>
        <v>0</v>
      </c>
      <c r="D730" s="134">
        <f>_xlfn.IFNA(IF(Optimalisatie!C102="Nieuwe situatie",(Optimalisatie!R102/(VLOOKUP(Optimalisatie!W102,Database_Asfalt_Aanlegset[#All],60,FALSE)/8)),0),0)</f>
        <v>0</v>
      </c>
      <c r="E730" s="135">
        <f>IFERROR(IF(Optimalisatie!C102="Nieuwe situatie",Optimalisatie!J102/Optimalisatie!Z102,0),0)</f>
        <v>0</v>
      </c>
      <c r="F730" s="135">
        <f>_xlfn.IFNA(IF(Optimalisatie!C102="Bestaande situatie",Optimalisatie!R102/(VLOOKUP(Optimalisatie!AA102,Database_Asfalt_Verwijderset[#All],60,FALSE)/8),0),0)</f>
        <v>0</v>
      </c>
      <c r="G730" s="138">
        <f>IFERROR(IF(Optimalisatie!C102="Bestaande situatie",Optimalisatie!J102/Optimalisatie!AD102,0),0)</f>
        <v>0</v>
      </c>
      <c r="H730" s="94" t="str">
        <f>_xlfn.IFNA((VLOOKUP(Optimalisatie!W102,Database_Asfalt_Aanlegset[],61,FALSE)),"Nee")</f>
        <v>Nee</v>
      </c>
      <c r="I730" s="94" t="str">
        <f>_xlfn.IFNA((VLOOKUP(Optimalisatie!X102,Database_Brandstoffen[],60,FALSE)),"Nee")</f>
        <v>Nee</v>
      </c>
      <c r="J730" s="94" t="str">
        <f>_xlfn.IFNA((VLOOKUP(Optimalisatie!AA102,Database_Asfalt_Verwijderset[],61,FALSE)),"Nee")</f>
        <v>Nee</v>
      </c>
      <c r="K730" s="120" t="str">
        <f>_xlfn.IFNA((VLOOKUP(Optimalisatie!AB102,Database_Brandstoffen[],60,FALSE)),"Nee")</f>
        <v>Nee</v>
      </c>
      <c r="L730" s="132">
        <f>IF(Inschrijf_Bouwplaats_Totaal[[#This Row],[Emissieloos Asfalt Aanlegset]]="JA",Inschrijf_Bouwplaats_Totaal[[#This Row],[Draaiuren Bouw Asfalt]],0)+IF(Inschrijf_Bouwplaats_Totaal[[#This Row],[Emissieloos Bouwmaterieel]]="JA",Inschrijf_Bouwplaats_Totaal[[#This Row],[Draaiuren Bouw Overig]],0)+IF(Inschrijf_Bouwplaats_Totaal[[#This Row],[Emissieloos Asfalt Verwijderset]]="JA",Inschrijf_Bouwplaats_Totaal[[#This Row],[Draaiuren Verwijder Asfalt]],0)+IF(Inschrijf_Bouwplaats_Totaal[[#This Row],[Emissieloos Sloopmaterieel]]="JA",Inschrijf_Bouwplaats_Totaal[[#This Row],[Draaiuren Verwijder Overig]],0)</f>
        <v>0</v>
      </c>
      <c r="M730" s="139">
        <f>_xlfn.IFNA(IF(Optimalisatie!C102="Nieuwe situatie",(Optimalisatie!R102/(VLOOKUP(Optimalisatie!W102,Database_Asfalt_Aanlegset[#All],60,FALSE)/8)),0),0)*Optimalisatie!T102</f>
        <v>0</v>
      </c>
      <c r="N730" s="139">
        <f>_xlfn.IFNA(IF(Optimalisatie!C102="Nieuwe situatie",Optimalisatie!S102/VLOOKUP(Optimalisatie!X102,Database_Overig_Materieel[#All],8,FALSE),0),0)*Optimalisatie!T102</f>
        <v>0</v>
      </c>
      <c r="O730" s="139">
        <f>_xlfn.IFNA(IF(Optimalisatie!C102="Bestaande situatie",Optimalisatie!R102/(VLOOKUP(Optimalisatie!AA102,Database_Asfalt_Verwijderset[#All],60,FALSE)/8),0),0)*Optimalisatie!T102</f>
        <v>0</v>
      </c>
      <c r="P730" s="139">
        <f>_xlfn.IFNA(IF(Optimalisatie!C102="Bestaande situatie",Optimalisatie!S102/VLOOKUP(Optimalisatie!AB102,Database_Overig_Materieel[#All],8,FALSE),0),0)*Optimalisatie!T102</f>
        <v>0</v>
      </c>
      <c r="Q730" s="139">
        <f>IF(Inschrijf_Bouwplaats_Totaal[[#This Row],[Emissieloos Asfalt Aanlegset]]="JA",Inschrijf_Bouwplaats_Totaal[[#This Row],[Draaiuren Bouw Asfalt Vervangingen]],0)+IF(Inschrijf_Bouwplaats_Totaal[[#This Row],[Emissieloos Bouwmaterieel]]="JA",Inschrijf_Bouwplaats_Totaal[[#This Row],[Draaiuren Bouw Overig Vervangingen]],0)+IF(Inschrijf_Bouwplaats_Totaal[[#This Row],[Emissieloos Asfalt Verwijderset]]="JA",Inschrijf_Bouwplaats_Totaal[[#This Row],[Draaiuren Verwijder Asfalt Vervangingen]],0)+IF(Inschrijf_Bouwplaats_Totaal[[#This Row],[Emissieloos Sloopmaterieel]]="JA",Inschrijf_Bouwplaats_Totaal[[#This Row],[Draaiuren Verwijder Overig Vervangingen]],0)</f>
        <v>0</v>
      </c>
      <c r="R730" s="139">
        <f>Inschrijf_Bouwplaats_Totaal[[#This Row],[Emissieloos bouwplaats]]+Inschrijf_Bouwplaats_Totaal[[#This Row],[Emissieloos bouwplaats Vervangingen]]</f>
        <v>0</v>
      </c>
      <c r="S730" s="139">
        <f>(Inschrijf_Bouwplaats_Totaal[[#This Row],[Draaiuren Bouw Asfalt]]+Inschrijf_Bouwplaats_Totaal[[#This Row],[Draaiuren Bouw Overig]]+Inschrijf_Bouwplaats_Totaal[[#This Row],[Draaiuren Verwijder Asfalt]]+Inschrijf_Bouwplaats_Totaal[[#This Row],[Draaiuren Verwijder Overig]]+Inschrijf_Bouwplaats_Totaal[[#This Row],[Draaiuren Bouw Asfalt Vervangingen]]+Inschrijf_Bouwplaats_Totaal[[#This Row],[Draaiuren Bouw Overig Vervangingen]]+Inschrijf_Bouwplaats_Totaal[[#This Row],[Draaiuren Verwijder Asfalt Vervangingen]]+Inschrijf_Bouwplaats_Totaal[[#This Row],[Draaiuren Verwijder Overig Vervangingen]])-Inschrijf_Bouwplaats_Totaal[[#This Row],[Totaal Emissieloos Bouwplaats]]</f>
        <v>0</v>
      </c>
      <c r="T730" s="139">
        <f>Inschrijf_Bouwplaats_Totaal[[#This Row],[Totaal Emissieloos Bouwplaats]]+Inschrijf_Bouwplaats_Totaal[[#This Row],[Totaal Niet Emissieloos Bouwplaats]]</f>
        <v>0</v>
      </c>
      <c r="U730" s="335"/>
    </row>
    <row r="731" spans="2:21">
      <c r="B731" s="209">
        <f>Optimalisatie!B103</f>
        <v>0</v>
      </c>
      <c r="C731" s="51">
        <f>Optimalisatie!F103</f>
        <v>0</v>
      </c>
      <c r="D731" s="134">
        <f>_xlfn.IFNA(IF(Optimalisatie!C103="Nieuwe situatie",(Optimalisatie!R103/(VLOOKUP(Optimalisatie!W103,Database_Asfalt_Aanlegset[#All],60,FALSE)/8)),0),0)</f>
        <v>0</v>
      </c>
      <c r="E731" s="135">
        <f>IFERROR(IF(Optimalisatie!C103="Nieuwe situatie",Optimalisatie!J103/Optimalisatie!Z103,0),0)</f>
        <v>0</v>
      </c>
      <c r="F731" s="135">
        <f>_xlfn.IFNA(IF(Optimalisatie!C103="Bestaande situatie",Optimalisatie!R103/(VLOOKUP(Optimalisatie!AA103,Database_Asfalt_Verwijderset[#All],60,FALSE)/8),0),0)</f>
        <v>0</v>
      </c>
      <c r="G731" s="138">
        <f>IFERROR(IF(Optimalisatie!C103="Bestaande situatie",Optimalisatie!J103/Optimalisatie!AD103,0),0)</f>
        <v>0</v>
      </c>
      <c r="H731" s="94" t="str">
        <f>_xlfn.IFNA((VLOOKUP(Optimalisatie!W103,Database_Asfalt_Aanlegset[],61,FALSE)),"Nee")</f>
        <v>Nee</v>
      </c>
      <c r="I731" s="94" t="str">
        <f>_xlfn.IFNA((VLOOKUP(Optimalisatie!X103,Database_Brandstoffen[],60,FALSE)),"Nee")</f>
        <v>Nee</v>
      </c>
      <c r="J731" s="94" t="str">
        <f>_xlfn.IFNA((VLOOKUP(Optimalisatie!AA103,Database_Asfalt_Verwijderset[],61,FALSE)),"Nee")</f>
        <v>Nee</v>
      </c>
      <c r="K731" s="120" t="str">
        <f>_xlfn.IFNA((VLOOKUP(Optimalisatie!AB103,Database_Brandstoffen[],60,FALSE)),"Nee")</f>
        <v>Nee</v>
      </c>
      <c r="L731" s="132">
        <f>IF(Inschrijf_Bouwplaats_Totaal[[#This Row],[Emissieloos Asfalt Aanlegset]]="JA",Inschrijf_Bouwplaats_Totaal[[#This Row],[Draaiuren Bouw Asfalt]],0)+IF(Inschrijf_Bouwplaats_Totaal[[#This Row],[Emissieloos Bouwmaterieel]]="JA",Inschrijf_Bouwplaats_Totaal[[#This Row],[Draaiuren Bouw Overig]],0)+IF(Inschrijf_Bouwplaats_Totaal[[#This Row],[Emissieloos Asfalt Verwijderset]]="JA",Inschrijf_Bouwplaats_Totaal[[#This Row],[Draaiuren Verwijder Asfalt]],0)+IF(Inschrijf_Bouwplaats_Totaal[[#This Row],[Emissieloos Sloopmaterieel]]="JA",Inschrijf_Bouwplaats_Totaal[[#This Row],[Draaiuren Verwijder Overig]],0)</f>
        <v>0</v>
      </c>
      <c r="M731" s="139">
        <f>_xlfn.IFNA(IF(Optimalisatie!C103="Nieuwe situatie",(Optimalisatie!R103/(VLOOKUP(Optimalisatie!W103,Database_Asfalt_Aanlegset[#All],60,FALSE)/8)),0),0)*Optimalisatie!T103</f>
        <v>0</v>
      </c>
      <c r="N731" s="139">
        <f>_xlfn.IFNA(IF(Optimalisatie!C103="Nieuwe situatie",Optimalisatie!S103/VLOOKUP(Optimalisatie!X103,Database_Overig_Materieel[#All],8,FALSE),0),0)*Optimalisatie!T103</f>
        <v>0</v>
      </c>
      <c r="O731" s="139">
        <f>_xlfn.IFNA(IF(Optimalisatie!C103="Bestaande situatie",Optimalisatie!R103/(VLOOKUP(Optimalisatie!AA103,Database_Asfalt_Verwijderset[#All],60,FALSE)/8),0),0)*Optimalisatie!T103</f>
        <v>0</v>
      </c>
      <c r="P731" s="139">
        <f>_xlfn.IFNA(IF(Optimalisatie!C103="Bestaande situatie",Optimalisatie!S103/VLOOKUP(Optimalisatie!AB103,Database_Overig_Materieel[#All],8,FALSE),0),0)*Optimalisatie!T103</f>
        <v>0</v>
      </c>
      <c r="Q731" s="139">
        <f>IF(Inschrijf_Bouwplaats_Totaal[[#This Row],[Emissieloos Asfalt Aanlegset]]="JA",Inschrijf_Bouwplaats_Totaal[[#This Row],[Draaiuren Bouw Asfalt Vervangingen]],0)+IF(Inschrijf_Bouwplaats_Totaal[[#This Row],[Emissieloos Bouwmaterieel]]="JA",Inschrijf_Bouwplaats_Totaal[[#This Row],[Draaiuren Bouw Overig Vervangingen]],0)+IF(Inschrijf_Bouwplaats_Totaal[[#This Row],[Emissieloos Asfalt Verwijderset]]="JA",Inschrijf_Bouwplaats_Totaal[[#This Row],[Draaiuren Verwijder Asfalt Vervangingen]],0)+IF(Inschrijf_Bouwplaats_Totaal[[#This Row],[Emissieloos Sloopmaterieel]]="JA",Inschrijf_Bouwplaats_Totaal[[#This Row],[Draaiuren Verwijder Overig Vervangingen]],0)</f>
        <v>0</v>
      </c>
      <c r="R731" s="139">
        <f>Inschrijf_Bouwplaats_Totaal[[#This Row],[Emissieloos bouwplaats]]+Inschrijf_Bouwplaats_Totaal[[#This Row],[Emissieloos bouwplaats Vervangingen]]</f>
        <v>0</v>
      </c>
      <c r="S731" s="139">
        <f>(Inschrijf_Bouwplaats_Totaal[[#This Row],[Draaiuren Bouw Asfalt]]+Inschrijf_Bouwplaats_Totaal[[#This Row],[Draaiuren Bouw Overig]]+Inschrijf_Bouwplaats_Totaal[[#This Row],[Draaiuren Verwijder Asfalt]]+Inschrijf_Bouwplaats_Totaal[[#This Row],[Draaiuren Verwijder Overig]]+Inschrijf_Bouwplaats_Totaal[[#This Row],[Draaiuren Bouw Asfalt Vervangingen]]+Inschrijf_Bouwplaats_Totaal[[#This Row],[Draaiuren Bouw Overig Vervangingen]]+Inschrijf_Bouwplaats_Totaal[[#This Row],[Draaiuren Verwijder Asfalt Vervangingen]]+Inschrijf_Bouwplaats_Totaal[[#This Row],[Draaiuren Verwijder Overig Vervangingen]])-Inschrijf_Bouwplaats_Totaal[[#This Row],[Totaal Emissieloos Bouwplaats]]</f>
        <v>0</v>
      </c>
      <c r="T731" s="139">
        <f>Inschrijf_Bouwplaats_Totaal[[#This Row],[Totaal Emissieloos Bouwplaats]]+Inschrijf_Bouwplaats_Totaal[[#This Row],[Totaal Niet Emissieloos Bouwplaats]]</f>
        <v>0</v>
      </c>
      <c r="U731" s="335"/>
    </row>
    <row r="732" spans="2:21">
      <c r="B732" s="209">
        <f>Optimalisatie!B104</f>
        <v>0</v>
      </c>
      <c r="C732" s="51">
        <f>Optimalisatie!F104</f>
        <v>0</v>
      </c>
      <c r="D732" s="134">
        <f>_xlfn.IFNA(IF(Optimalisatie!C104="Nieuwe situatie",(Optimalisatie!R104/(VLOOKUP(Optimalisatie!W104,Database_Asfalt_Aanlegset[#All],60,FALSE)/8)),0),0)</f>
        <v>0</v>
      </c>
      <c r="E732" s="135">
        <f>IFERROR(IF(Optimalisatie!C104="Nieuwe situatie",Optimalisatie!J104/Optimalisatie!Z104,0),0)</f>
        <v>0</v>
      </c>
      <c r="F732" s="135">
        <f>_xlfn.IFNA(IF(Optimalisatie!C104="Bestaande situatie",Optimalisatie!R104/(VLOOKUP(Optimalisatie!AA104,Database_Asfalt_Verwijderset[#All],60,FALSE)/8),0),0)</f>
        <v>0</v>
      </c>
      <c r="G732" s="138">
        <f>IFERROR(IF(Optimalisatie!C104="Bestaande situatie",Optimalisatie!J104/Optimalisatie!AD104,0),0)</f>
        <v>0</v>
      </c>
      <c r="H732" s="94" t="str">
        <f>_xlfn.IFNA((VLOOKUP(Optimalisatie!W104,Database_Asfalt_Aanlegset[],61,FALSE)),"Nee")</f>
        <v>Nee</v>
      </c>
      <c r="I732" s="94" t="str">
        <f>_xlfn.IFNA((VLOOKUP(Optimalisatie!X104,Database_Brandstoffen[],60,FALSE)),"Nee")</f>
        <v>Nee</v>
      </c>
      <c r="J732" s="94" t="str">
        <f>_xlfn.IFNA((VLOOKUP(Optimalisatie!AA104,Database_Asfalt_Verwijderset[],61,FALSE)),"Nee")</f>
        <v>Nee</v>
      </c>
      <c r="K732" s="120" t="str">
        <f>_xlfn.IFNA((VLOOKUP(Optimalisatie!AB104,Database_Brandstoffen[],60,FALSE)),"Nee")</f>
        <v>Nee</v>
      </c>
      <c r="L732" s="132">
        <f>IF(Inschrijf_Bouwplaats_Totaal[[#This Row],[Emissieloos Asfalt Aanlegset]]="JA",Inschrijf_Bouwplaats_Totaal[[#This Row],[Draaiuren Bouw Asfalt]],0)+IF(Inschrijf_Bouwplaats_Totaal[[#This Row],[Emissieloos Bouwmaterieel]]="JA",Inschrijf_Bouwplaats_Totaal[[#This Row],[Draaiuren Bouw Overig]],0)+IF(Inschrijf_Bouwplaats_Totaal[[#This Row],[Emissieloos Asfalt Verwijderset]]="JA",Inschrijf_Bouwplaats_Totaal[[#This Row],[Draaiuren Verwijder Asfalt]],0)+IF(Inschrijf_Bouwplaats_Totaal[[#This Row],[Emissieloos Sloopmaterieel]]="JA",Inschrijf_Bouwplaats_Totaal[[#This Row],[Draaiuren Verwijder Overig]],0)</f>
        <v>0</v>
      </c>
      <c r="M732" s="139">
        <f>_xlfn.IFNA(IF(Optimalisatie!C104="Nieuwe situatie",(Optimalisatie!R104/(VLOOKUP(Optimalisatie!W104,Database_Asfalt_Aanlegset[#All],60,FALSE)/8)),0),0)*Optimalisatie!T104</f>
        <v>0</v>
      </c>
      <c r="N732" s="139">
        <f>_xlfn.IFNA(IF(Optimalisatie!C104="Nieuwe situatie",Optimalisatie!S104/VLOOKUP(Optimalisatie!X104,Database_Overig_Materieel[#All],8,FALSE),0),0)*Optimalisatie!T104</f>
        <v>0</v>
      </c>
      <c r="O732" s="139">
        <f>_xlfn.IFNA(IF(Optimalisatie!C104="Bestaande situatie",Optimalisatie!R104/(VLOOKUP(Optimalisatie!AA104,Database_Asfalt_Verwijderset[#All],60,FALSE)/8),0),0)*Optimalisatie!T104</f>
        <v>0</v>
      </c>
      <c r="P732" s="139">
        <f>_xlfn.IFNA(IF(Optimalisatie!C104="Bestaande situatie",Optimalisatie!S104/VLOOKUP(Optimalisatie!AB104,Database_Overig_Materieel[#All],8,FALSE),0),0)*Optimalisatie!T104</f>
        <v>0</v>
      </c>
      <c r="Q732" s="139">
        <f>IF(Inschrijf_Bouwplaats_Totaal[[#This Row],[Emissieloos Asfalt Aanlegset]]="JA",Inschrijf_Bouwplaats_Totaal[[#This Row],[Draaiuren Bouw Asfalt Vervangingen]],0)+IF(Inschrijf_Bouwplaats_Totaal[[#This Row],[Emissieloos Bouwmaterieel]]="JA",Inschrijf_Bouwplaats_Totaal[[#This Row],[Draaiuren Bouw Overig Vervangingen]],0)+IF(Inschrijf_Bouwplaats_Totaal[[#This Row],[Emissieloos Asfalt Verwijderset]]="JA",Inschrijf_Bouwplaats_Totaal[[#This Row],[Draaiuren Verwijder Asfalt Vervangingen]],0)+IF(Inschrijf_Bouwplaats_Totaal[[#This Row],[Emissieloos Sloopmaterieel]]="JA",Inschrijf_Bouwplaats_Totaal[[#This Row],[Draaiuren Verwijder Overig Vervangingen]],0)</f>
        <v>0</v>
      </c>
      <c r="R732" s="139">
        <f>Inschrijf_Bouwplaats_Totaal[[#This Row],[Emissieloos bouwplaats]]+Inschrijf_Bouwplaats_Totaal[[#This Row],[Emissieloos bouwplaats Vervangingen]]</f>
        <v>0</v>
      </c>
      <c r="S732" s="139">
        <f>(Inschrijf_Bouwplaats_Totaal[[#This Row],[Draaiuren Bouw Asfalt]]+Inschrijf_Bouwplaats_Totaal[[#This Row],[Draaiuren Bouw Overig]]+Inschrijf_Bouwplaats_Totaal[[#This Row],[Draaiuren Verwijder Asfalt]]+Inschrijf_Bouwplaats_Totaal[[#This Row],[Draaiuren Verwijder Overig]]+Inschrijf_Bouwplaats_Totaal[[#This Row],[Draaiuren Bouw Asfalt Vervangingen]]+Inschrijf_Bouwplaats_Totaal[[#This Row],[Draaiuren Bouw Overig Vervangingen]]+Inschrijf_Bouwplaats_Totaal[[#This Row],[Draaiuren Verwijder Asfalt Vervangingen]]+Inschrijf_Bouwplaats_Totaal[[#This Row],[Draaiuren Verwijder Overig Vervangingen]])-Inschrijf_Bouwplaats_Totaal[[#This Row],[Totaal Emissieloos Bouwplaats]]</f>
        <v>0</v>
      </c>
      <c r="T732" s="139">
        <f>Inschrijf_Bouwplaats_Totaal[[#This Row],[Totaal Emissieloos Bouwplaats]]+Inschrijf_Bouwplaats_Totaal[[#This Row],[Totaal Niet Emissieloos Bouwplaats]]</f>
        <v>0</v>
      </c>
      <c r="U732" s="335"/>
    </row>
    <row r="733" spans="2:21" ht="15.75" thickBot="1">
      <c r="B733" s="209">
        <f>Optimalisatie!B105</f>
        <v>0</v>
      </c>
      <c r="C733" s="51">
        <f>Optimalisatie!F105</f>
        <v>0</v>
      </c>
      <c r="D733" s="134">
        <f>_xlfn.IFNA(IF(Optimalisatie!C105="Nieuwe situatie",(Optimalisatie!R105/(VLOOKUP(Optimalisatie!W105,Database_Asfalt_Aanlegset[#All],60,FALSE)/8)),0),0)</f>
        <v>0</v>
      </c>
      <c r="E733" s="135">
        <f>IFERROR(IF(Optimalisatie!C105="Nieuwe situatie",Optimalisatie!J105/Optimalisatie!Y105,0),0)</f>
        <v>0</v>
      </c>
      <c r="F733" s="135">
        <f>_xlfn.IFNA(IF(Optimalisatie!C105="Bestaande situatie",Optimalisatie!R105/(VLOOKUP(Optimalisatie!Z105,Database_Asfalt_Verwijderset[#All],60,FALSE)/8),0),0)</f>
        <v>0</v>
      </c>
      <c r="G733" s="138">
        <f>IFERROR(IF(Optimalisatie!C105="Bestaande situatie",Optimalisatie!J105/Optimalisatie!AB105,0),0)</f>
        <v>0</v>
      </c>
      <c r="H733" s="94" t="str">
        <f>_xlfn.IFNA((VLOOKUP(Optimalisatie!W105,Database_Asfalt_Aanlegset[],61,FALSE)),"Nee")</f>
        <v>Nee</v>
      </c>
      <c r="I733" s="94" t="str">
        <f>_xlfn.IFNA((VLOOKUP(Optimalisatie!X105,Database_Brandstoffen[],60,FALSE)),"Nee")</f>
        <v>Nee</v>
      </c>
      <c r="J733" s="94" t="str">
        <f>_xlfn.IFNA((VLOOKUP(Optimalisatie!Z105,Database_Asfalt_Verwijderset[],61,FALSE)),"Nee")</f>
        <v>Nee</v>
      </c>
      <c r="K733" s="120" t="str">
        <f>_xlfn.IFNA((VLOOKUP(Optimalisatie!AB105,Database_Brandstoffen[],60,FALSE)),"Nee")</f>
        <v>Nee</v>
      </c>
      <c r="L733" s="132">
        <f>IF(Inschrijf_Bouwplaats_Totaal[[#This Row],[Emissieloos Asfalt Aanlegset]]="JA",Inschrijf_Bouwplaats_Totaal[[#This Row],[Draaiuren Bouw Asfalt]],0)+IF(Inschrijf_Bouwplaats_Totaal[[#This Row],[Emissieloos Bouwmaterieel]]="JA",Inschrijf_Bouwplaats_Totaal[[#This Row],[Draaiuren Bouw Overig]],0)+IF(Inschrijf_Bouwplaats_Totaal[[#This Row],[Emissieloos Asfalt Verwijderset]]="JA",Inschrijf_Bouwplaats_Totaal[[#This Row],[Draaiuren Verwijder Asfalt]],0)+IF(Inschrijf_Bouwplaats_Totaal[[#This Row],[Emissieloos Sloopmaterieel]]="JA",Inschrijf_Bouwplaats_Totaal[[#This Row],[Draaiuren Verwijder Overig]],0)</f>
        <v>0</v>
      </c>
      <c r="M733" s="139">
        <f>_xlfn.IFNA(IF(Optimalisatie!C105="Nieuwe situatie",(Optimalisatie!R105/(VLOOKUP(Optimalisatie!W105,Database_Asfalt_Aanlegset[#All],60,FALSE)/8)),0),0)*Optimalisatie!T105</f>
        <v>0</v>
      </c>
      <c r="N733" s="139">
        <f>_xlfn.IFNA(IF(Optimalisatie!C105="Nieuwe situatie",Optimalisatie!S105/VLOOKUP(Optimalisatie!X105,Database_Overig_Materieel[#All],8,FALSE),0),0)*Optimalisatie!T105</f>
        <v>0</v>
      </c>
      <c r="O733" s="139">
        <f>_xlfn.IFNA(IF(Optimalisatie!C105="Bestaande situatie",Optimalisatie!R105/(VLOOKUP(Optimalisatie!Z105,Database_Asfalt_Verwijderset[#All],60,FALSE)/8),0),0)*Optimalisatie!T105</f>
        <v>0</v>
      </c>
      <c r="P733" s="139">
        <f>_xlfn.IFNA(IF(Optimalisatie!C105="Bestaande situatie",Optimalisatie!S105/VLOOKUP(Optimalisatie!AA105,Database_Overig_Materieel[#All],8,FALSE),0),0)*Optimalisatie!T105</f>
        <v>0</v>
      </c>
      <c r="Q733" s="139">
        <f>IF(Inschrijf_Bouwplaats_Totaal[[#This Row],[Emissieloos Asfalt Aanlegset]]="JA",Inschrijf_Bouwplaats_Totaal[[#This Row],[Draaiuren Bouw Asfalt Vervangingen]],0)+IF(Inschrijf_Bouwplaats_Totaal[[#This Row],[Emissieloos Bouwmaterieel]]="JA",Inschrijf_Bouwplaats_Totaal[[#This Row],[Draaiuren Bouw Overig Vervangingen]],0)+IF(Inschrijf_Bouwplaats_Totaal[[#This Row],[Emissieloos Asfalt Verwijderset]]="JA",Inschrijf_Bouwplaats_Totaal[[#This Row],[Draaiuren Verwijder Asfalt Vervangingen]],0)+IF(Inschrijf_Bouwplaats_Totaal[[#This Row],[Emissieloos Sloopmaterieel]]="JA",Inschrijf_Bouwplaats_Totaal[[#This Row],[Draaiuren Verwijder Overig Vervangingen]],0)</f>
        <v>0</v>
      </c>
      <c r="R733" s="139">
        <f>Inschrijf_Bouwplaats_Totaal[[#This Row],[Emissieloos bouwplaats]]+Inschrijf_Bouwplaats_Totaal[[#This Row],[Emissieloos bouwplaats Vervangingen]]</f>
        <v>0</v>
      </c>
      <c r="S733" s="139">
        <f>(Inschrijf_Bouwplaats_Totaal[[#This Row],[Draaiuren Bouw Asfalt]]+Inschrijf_Bouwplaats_Totaal[[#This Row],[Draaiuren Bouw Overig]]+Inschrijf_Bouwplaats_Totaal[[#This Row],[Draaiuren Verwijder Asfalt]]+Inschrijf_Bouwplaats_Totaal[[#This Row],[Draaiuren Verwijder Overig]]+Inschrijf_Bouwplaats_Totaal[[#This Row],[Draaiuren Bouw Asfalt Vervangingen]]+Inschrijf_Bouwplaats_Totaal[[#This Row],[Draaiuren Bouw Overig Vervangingen]]+Inschrijf_Bouwplaats_Totaal[[#This Row],[Draaiuren Verwijder Asfalt Vervangingen]]+Inschrijf_Bouwplaats_Totaal[[#This Row],[Draaiuren Verwijder Overig Vervangingen]])-Inschrijf_Bouwplaats_Totaal[[#This Row],[Totaal Emissieloos Bouwplaats]]</f>
        <v>0</v>
      </c>
      <c r="T733" s="139">
        <f>Inschrijf_Bouwplaats_Totaal[[#This Row],[Totaal Emissieloos Bouwplaats]]+Inschrijf_Bouwplaats_Totaal[[#This Row],[Totaal Niet Emissieloos Bouwplaats]]</f>
        <v>0</v>
      </c>
      <c r="U733" s="335"/>
    </row>
    <row r="734" spans="2:21" ht="15.75" thickTop="1">
      <c r="B734" s="52" t="s">
        <v>90</v>
      </c>
      <c r="C734" s="53"/>
      <c r="D734" s="136">
        <f>SUBTOTAL(109,Inschrijf_Bouwplaats_Totaal[Draaiuren Bouw Asfalt])</f>
        <v>0</v>
      </c>
      <c r="E734" s="136">
        <f>SUBTOTAL(109,Inschrijf_Bouwplaats_Totaal[Draaiuren Bouw Overig])</f>
        <v>3385.6050555555557</v>
      </c>
      <c r="F734" s="136">
        <f>SUBTOTAL(109,Inschrijf_Bouwplaats_Totaal[Draaiuren Verwijder Asfalt])</f>
        <v>88.5</v>
      </c>
      <c r="G734" s="136">
        <f>SUBTOTAL(109,Inschrijf_Bouwplaats_Totaal[Draaiuren Verwijder Overig])</f>
        <v>1071.4266666666667</v>
      </c>
      <c r="H734" s="80">
        <f>SUBTOTAL(109,Inschrijf_Bouwplaats_Totaal[Emissieloos Asfalt Aanlegset])</f>
        <v>0</v>
      </c>
      <c r="I734" s="80"/>
      <c r="J734" s="80">
        <f>SUBTOTAL(109,Inschrijf_Bouwplaats_Totaal[Emissieloos Asfalt Verwijderset])</f>
        <v>0</v>
      </c>
      <c r="K734" s="80"/>
      <c r="L734" s="144">
        <f>SUBTOTAL(109,Inschrijf_Bouwplaats_Totaal[Emissieloos bouwplaats])</f>
        <v>0</v>
      </c>
      <c r="M734" s="136">
        <f>SUBTOTAL(109,Inschrijf_Bouwplaats_Totaal[Draaiuren Bouw Asfalt Vervangingen])</f>
        <v>0</v>
      </c>
      <c r="N734" s="136">
        <f>SUBTOTAL(109,Inschrijf_Bouwplaats_Totaal[Draaiuren Bouw Overig Vervangingen])</f>
        <v>0</v>
      </c>
      <c r="O734" s="144">
        <f>SUBTOTAL(109,Inschrijf_Bouwplaats_Totaal[Draaiuren Verwijder Asfalt Vervangingen])</f>
        <v>0</v>
      </c>
      <c r="P734" s="144">
        <f>SUBTOTAL(109,Inschrijf_Bouwplaats_Totaal[Draaiuren Verwijder Overig Vervangingen])</f>
        <v>0</v>
      </c>
      <c r="Q734" s="144">
        <f>SUBTOTAL(109,Inschrijf_Bouwplaats_Totaal[Emissieloos bouwplaats Vervangingen])</f>
        <v>0</v>
      </c>
      <c r="R734" s="144">
        <f>SUBTOTAL(109,Inschrijf_Bouwplaats_Totaal[Totaal Emissieloos Bouwplaats])</f>
        <v>0</v>
      </c>
      <c r="S734" s="144">
        <f>SUBTOTAL(109,Inschrijf_Bouwplaats_Totaal[Totaal Niet Emissieloos Bouwplaats])</f>
        <v>4545.5317222222229</v>
      </c>
      <c r="T734" s="144">
        <f>SUBTOTAL(109,Inschrijf_Bouwplaats_Totaal[Totaal Bouwplaats])</f>
        <v>4545.5317222222229</v>
      </c>
      <c r="U734" s="144"/>
    </row>
  </sheetData>
  <phoneticPr fontId="11" type="noConversion"/>
  <pageMargins left="0.7" right="0.7" top="0.75" bottom="0.75" header="0.3" footer="0.3"/>
  <tableParts count="7">
    <tablePart r:id="rId1"/>
    <tablePart r:id="rId2"/>
    <tablePart r:id="rId3"/>
    <tablePart r:id="rId4"/>
    <tablePart r:id="rId5"/>
    <tablePart r:id="rId6"/>
    <tablePart r:id="rId7"/>
  </tableParts>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2BA10AA7-9EC1-4D64-9F8A-477B0F41C053}">
          <x14:formula1>
            <xm:f>Lijsten!$Z$2:$Z$3</xm:f>
          </x14:formula1>
          <xm:sqref>H634:K733 F529:G628</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DAAE92-72A1-4314-84FA-455EB4C73E27}">
  <sheetPr codeName="Blad4"/>
  <dimension ref="A1:AV40"/>
  <sheetViews>
    <sheetView zoomScaleNormal="100" workbookViewId="0">
      <selection activeCell="C18" sqref="C18"/>
    </sheetView>
  </sheetViews>
  <sheetFormatPr defaultColWidth="9.140625" defaultRowHeight="15"/>
  <cols>
    <col min="1" max="1" width="28.85546875" style="14" customWidth="1"/>
    <col min="2" max="2" width="25.7109375" style="14" bestFit="1" customWidth="1"/>
    <col min="3" max="3" width="16.42578125" style="14" bestFit="1" customWidth="1"/>
    <col min="4" max="5" width="7.28515625" style="14" bestFit="1" customWidth="1"/>
    <col min="6" max="6" width="7.85546875" style="14" bestFit="1" customWidth="1"/>
    <col min="7" max="7" width="7.42578125" style="14" customWidth="1"/>
    <col min="8" max="10" width="7.85546875" style="14" hidden="1" customWidth="1"/>
    <col min="11" max="11" width="7.85546875" style="14" customWidth="1"/>
    <col min="12" max="12" width="7.85546875" style="14" hidden="1" customWidth="1"/>
    <col min="13" max="13" width="7.42578125" style="14" hidden="1" customWidth="1"/>
    <col min="14" max="15" width="11.42578125" style="14" hidden="1" customWidth="1"/>
    <col min="16" max="18" width="11.85546875" style="14" hidden="1" customWidth="1"/>
    <col min="19" max="19" width="11.42578125" style="14" customWidth="1"/>
    <col min="20" max="20" width="11.42578125" style="14" hidden="1" customWidth="1"/>
    <col min="21" max="21" width="11" style="14" hidden="1" customWidth="1"/>
    <col min="22" max="22" width="11.42578125" style="14" hidden="1" customWidth="1"/>
    <col min="23" max="25" width="11.85546875" style="14" hidden="1" customWidth="1"/>
    <col min="26" max="26" width="11.42578125" style="14" hidden="1" customWidth="1"/>
    <col min="27" max="27" width="11" style="14" customWidth="1"/>
    <col min="28" max="28" width="11.42578125" style="14" hidden="1" customWidth="1"/>
    <col min="29" max="29" width="11.5703125" style="14" hidden="1" customWidth="1"/>
    <col min="30" max="31" width="11.85546875" style="14" hidden="1" customWidth="1"/>
    <col min="32" max="32" width="15.5703125" style="14" hidden="1" customWidth="1"/>
    <col min="33" max="33" width="11.85546875" style="14" hidden="1" customWidth="1"/>
    <col min="34" max="34" width="9.140625" style="14" hidden="1" customWidth="1"/>
    <col min="35" max="35" width="10.28515625" style="14" customWidth="1"/>
    <col min="36" max="39" width="9.140625" style="14" hidden="1" customWidth="1"/>
    <col min="40" max="16384" width="9.140625" style="14"/>
  </cols>
  <sheetData>
    <row r="1" spans="1:48">
      <c r="A1" s="15" t="s">
        <v>338</v>
      </c>
    </row>
    <row r="2" spans="1:48">
      <c r="A2" s="34" t="s">
        <v>339</v>
      </c>
    </row>
    <row r="3" spans="1:48" ht="226.5" customHeight="1">
      <c r="A3" s="210" t="s">
        <v>7</v>
      </c>
      <c r="B3" s="210" t="s">
        <v>6</v>
      </c>
      <c r="C3" s="210" t="s">
        <v>9</v>
      </c>
      <c r="D3" s="210" t="s">
        <v>11</v>
      </c>
      <c r="E3" s="210" t="s">
        <v>340</v>
      </c>
      <c r="F3" s="210" t="s">
        <v>341</v>
      </c>
      <c r="G3" s="210" t="s">
        <v>342</v>
      </c>
      <c r="H3" s="210" t="s">
        <v>343</v>
      </c>
      <c r="I3" s="210" t="s">
        <v>344</v>
      </c>
      <c r="J3" s="210" t="s">
        <v>345</v>
      </c>
      <c r="K3" s="210" t="s">
        <v>346</v>
      </c>
      <c r="L3" s="210" t="s">
        <v>347</v>
      </c>
      <c r="M3" s="210" t="s">
        <v>348</v>
      </c>
      <c r="N3" s="210" t="s">
        <v>349</v>
      </c>
      <c r="O3" s="210" t="s">
        <v>350</v>
      </c>
      <c r="P3" s="213" t="s">
        <v>351</v>
      </c>
      <c r="Q3" s="213" t="s">
        <v>352</v>
      </c>
      <c r="R3" s="213" t="s">
        <v>353</v>
      </c>
      <c r="S3" s="213" t="s">
        <v>354</v>
      </c>
      <c r="T3" s="213" t="s">
        <v>355</v>
      </c>
      <c r="U3" s="213" t="s">
        <v>356</v>
      </c>
      <c r="V3" s="213" t="s">
        <v>357</v>
      </c>
      <c r="W3" s="213" t="s">
        <v>358</v>
      </c>
      <c r="X3" s="214" t="s">
        <v>359</v>
      </c>
      <c r="Y3" s="214" t="s">
        <v>360</v>
      </c>
      <c r="Z3" s="214" t="s">
        <v>361</v>
      </c>
      <c r="AA3" s="214" t="s">
        <v>362</v>
      </c>
      <c r="AB3" s="215" t="s">
        <v>363</v>
      </c>
      <c r="AC3" s="214" t="s">
        <v>364</v>
      </c>
      <c r="AD3" s="214" t="s">
        <v>365</v>
      </c>
      <c r="AE3" s="214" t="s">
        <v>366</v>
      </c>
      <c r="AF3" s="214" t="s">
        <v>367</v>
      </c>
      <c r="AG3" s="214" t="s">
        <v>368</v>
      </c>
      <c r="AH3" s="214" t="s">
        <v>369</v>
      </c>
      <c r="AI3" s="214" t="s">
        <v>370</v>
      </c>
      <c r="AJ3" s="214" t="s">
        <v>371</v>
      </c>
      <c r="AK3" s="214" t="s">
        <v>372</v>
      </c>
      <c r="AL3" s="214" t="s">
        <v>373</v>
      </c>
      <c r="AM3" s="214" t="s">
        <v>374</v>
      </c>
      <c r="AN3" s="210" t="s">
        <v>375</v>
      </c>
      <c r="AO3" s="290"/>
      <c r="AP3" s="290"/>
      <c r="AQ3" s="290"/>
      <c r="AR3" s="290"/>
      <c r="AS3" s="290"/>
      <c r="AT3" s="290"/>
      <c r="AU3" s="290"/>
      <c r="AV3" s="291"/>
    </row>
    <row r="4" spans="1:48">
      <c r="A4" s="250" t="s">
        <v>376</v>
      </c>
      <c r="B4" s="33" t="s">
        <v>237</v>
      </c>
      <c r="C4" s="33" t="s">
        <v>377</v>
      </c>
      <c r="D4" s="33" t="s">
        <v>378</v>
      </c>
      <c r="E4" s="33">
        <v>1</v>
      </c>
      <c r="F4" s="251">
        <v>0.3</v>
      </c>
      <c r="G4" s="33">
        <v>15</v>
      </c>
      <c r="H4" s="252"/>
      <c r="I4" s="252"/>
      <c r="J4" s="252"/>
      <c r="K4" s="252">
        <v>7.6</v>
      </c>
      <c r="L4" s="33">
        <v>0.2</v>
      </c>
      <c r="M4" s="33"/>
      <c r="N4" s="33">
        <v>-0.4</v>
      </c>
      <c r="O4" s="33">
        <v>-0.2</v>
      </c>
      <c r="P4" s="163"/>
      <c r="Q4" s="163"/>
      <c r="R4" s="163"/>
      <c r="S4" s="163">
        <v>56.1</v>
      </c>
      <c r="T4" s="40"/>
      <c r="U4" s="40"/>
      <c r="V4" s="40"/>
      <c r="W4" s="40"/>
      <c r="X4" s="163"/>
      <c r="Y4" s="163"/>
      <c r="Z4" s="163"/>
      <c r="AA4" s="163">
        <v>34.299999999999997</v>
      </c>
      <c r="AB4" s="40"/>
      <c r="AC4" s="40"/>
      <c r="AD4" s="40"/>
      <c r="AE4" s="40"/>
      <c r="AF4" s="163"/>
      <c r="AG4" s="163"/>
      <c r="AH4" s="163"/>
      <c r="AI4" s="163">
        <v>2490</v>
      </c>
      <c r="AJ4" s="33"/>
      <c r="AK4" s="33"/>
      <c r="AL4" s="33"/>
      <c r="AM4" s="33"/>
      <c r="AN4" s="33" t="s">
        <v>379</v>
      </c>
      <c r="AO4" s="292"/>
      <c r="AP4" s="292"/>
      <c r="AQ4" s="292"/>
      <c r="AR4" s="293"/>
      <c r="AS4" s="293"/>
      <c r="AT4" s="293"/>
      <c r="AU4" s="293"/>
      <c r="AV4" s="293"/>
    </row>
    <row r="5" spans="1:48">
      <c r="A5" s="250" t="s">
        <v>380</v>
      </c>
      <c r="B5" s="33" t="s">
        <v>237</v>
      </c>
      <c r="C5" s="33" t="s">
        <v>381</v>
      </c>
      <c r="D5" s="33" t="s">
        <v>378</v>
      </c>
      <c r="E5" s="33">
        <v>1</v>
      </c>
      <c r="F5" s="251">
        <v>0.7</v>
      </c>
      <c r="G5" s="33">
        <v>60</v>
      </c>
      <c r="H5" s="252"/>
      <c r="I5" s="252"/>
      <c r="J5" s="252"/>
      <c r="K5" s="252">
        <v>2.68</v>
      </c>
      <c r="L5" s="33">
        <v>0.35</v>
      </c>
      <c r="M5" s="33"/>
      <c r="N5" s="33">
        <v>-0.8</v>
      </c>
      <c r="O5" s="33">
        <v>-0.4</v>
      </c>
      <c r="P5" s="40"/>
      <c r="Q5" s="40"/>
      <c r="R5" s="40"/>
      <c r="S5" s="40">
        <v>21.3</v>
      </c>
      <c r="T5" s="40"/>
      <c r="U5" s="40"/>
      <c r="V5" s="40"/>
      <c r="W5" s="40"/>
      <c r="X5" s="40"/>
      <c r="Y5" s="40"/>
      <c r="Z5" s="40"/>
      <c r="AA5" s="40">
        <v>23.8</v>
      </c>
      <c r="AB5" s="40"/>
      <c r="AC5" s="40"/>
      <c r="AD5" s="40"/>
      <c r="AE5" s="40"/>
      <c r="AF5" s="40"/>
      <c r="AG5" s="40"/>
      <c r="AH5" s="40"/>
      <c r="AI5" s="40">
        <v>702</v>
      </c>
      <c r="AJ5" s="33"/>
      <c r="AK5" s="33"/>
      <c r="AL5" s="33"/>
      <c r="AM5" s="33"/>
      <c r="AN5" s="33" t="s">
        <v>382</v>
      </c>
      <c r="AO5" s="294"/>
      <c r="AP5" s="294"/>
      <c r="AQ5" s="294"/>
      <c r="AR5" s="293"/>
      <c r="AS5" s="293"/>
      <c r="AT5" s="293"/>
      <c r="AU5" s="293"/>
      <c r="AV5" s="293"/>
    </row>
    <row r="6" spans="1:48">
      <c r="A6" s="33" t="s">
        <v>383</v>
      </c>
      <c r="B6" s="225" t="s">
        <v>55</v>
      </c>
      <c r="C6" s="33" t="s">
        <v>384</v>
      </c>
      <c r="D6" s="33" t="s">
        <v>385</v>
      </c>
      <c r="E6" s="33">
        <v>0.17599999999999999</v>
      </c>
      <c r="F6" s="251">
        <v>0</v>
      </c>
      <c r="G6" s="33">
        <v>30</v>
      </c>
      <c r="H6" s="252"/>
      <c r="I6" s="252"/>
      <c r="J6" s="252"/>
      <c r="K6" s="252">
        <v>0.76</v>
      </c>
      <c r="L6" s="33"/>
      <c r="M6" s="33"/>
      <c r="N6" s="33"/>
      <c r="O6" s="33"/>
      <c r="P6" s="163"/>
      <c r="Q6" s="163"/>
      <c r="R6" s="163"/>
      <c r="S6" s="163">
        <v>8.18</v>
      </c>
      <c r="T6" s="33"/>
      <c r="U6" s="33"/>
      <c r="V6" s="40"/>
      <c r="W6" s="40"/>
      <c r="X6" s="163"/>
      <c r="Y6" s="163"/>
      <c r="Z6" s="163"/>
      <c r="AA6" s="163">
        <v>36.82</v>
      </c>
      <c r="AB6" s="40"/>
      <c r="AC6" s="40"/>
      <c r="AD6" s="40"/>
      <c r="AE6" s="40"/>
      <c r="AF6" s="163"/>
      <c r="AG6" s="163"/>
      <c r="AH6" s="163"/>
      <c r="AI6" s="163">
        <v>82</v>
      </c>
      <c r="AJ6" s="381"/>
      <c r="AK6" s="381"/>
      <c r="AL6" s="381"/>
      <c r="AM6" s="381"/>
      <c r="AN6" s="33" t="s">
        <v>386</v>
      </c>
      <c r="AO6" s="295"/>
      <c r="AP6" s="295"/>
      <c r="AQ6" s="295"/>
      <c r="AR6" s="296"/>
      <c r="AS6" s="296"/>
      <c r="AT6" s="296"/>
      <c r="AU6" s="296"/>
      <c r="AV6" s="296"/>
    </row>
    <row r="7" spans="1:48">
      <c r="A7" s="33" t="s">
        <v>387</v>
      </c>
      <c r="B7" s="225" t="s">
        <v>55</v>
      </c>
      <c r="C7" s="33" t="s">
        <v>388</v>
      </c>
      <c r="D7" s="33" t="s">
        <v>389</v>
      </c>
      <c r="E7" s="33">
        <v>8.5000000000000006E-2</v>
      </c>
      <c r="F7" s="251">
        <v>0</v>
      </c>
      <c r="G7" s="33">
        <v>30</v>
      </c>
      <c r="H7" s="252"/>
      <c r="I7" s="252"/>
      <c r="J7" s="252"/>
      <c r="K7" s="252">
        <v>0.74</v>
      </c>
      <c r="L7" s="33"/>
      <c r="M7" s="33"/>
      <c r="N7" s="33"/>
      <c r="O7" s="33"/>
      <c r="P7" s="40"/>
      <c r="Q7" s="40"/>
      <c r="R7" s="40"/>
      <c r="S7" s="40">
        <v>7.84</v>
      </c>
      <c r="T7" s="40"/>
      <c r="U7" s="40"/>
      <c r="V7" s="40"/>
      <c r="W7" s="40"/>
      <c r="X7" s="40"/>
      <c r="Y7" s="40"/>
      <c r="Z7" s="40"/>
      <c r="AA7" s="40">
        <v>48.2</v>
      </c>
      <c r="AB7" s="40"/>
      <c r="AC7" s="40"/>
      <c r="AD7" s="40"/>
      <c r="AE7" s="40"/>
      <c r="AF7" s="40"/>
      <c r="AG7" s="40"/>
      <c r="AH7" s="40"/>
      <c r="AI7" s="40">
        <v>88.9</v>
      </c>
      <c r="AJ7" s="381"/>
      <c r="AK7" s="381"/>
      <c r="AL7" s="381"/>
      <c r="AM7" s="381"/>
      <c r="AN7" s="33" t="s">
        <v>390</v>
      </c>
      <c r="AO7" s="297"/>
      <c r="AP7" s="297"/>
      <c r="AQ7" s="297"/>
      <c r="AR7" s="296"/>
      <c r="AS7" s="296"/>
      <c r="AT7" s="296"/>
      <c r="AU7" s="296"/>
      <c r="AV7" s="296"/>
    </row>
    <row r="8" spans="1:48">
      <c r="A8" s="379"/>
      <c r="B8" s="380"/>
      <c r="C8" s="381"/>
      <c r="D8" s="381"/>
      <c r="E8" s="381"/>
      <c r="F8" s="382"/>
      <c r="G8" s="379"/>
      <c r="H8" s="383"/>
      <c r="I8" s="383"/>
      <c r="J8" s="383"/>
      <c r="K8" s="383"/>
      <c r="L8" s="379"/>
      <c r="M8" s="379"/>
      <c r="N8" s="379"/>
      <c r="O8" s="379"/>
      <c r="P8" s="379"/>
      <c r="Q8" s="379"/>
      <c r="R8" s="379"/>
      <c r="S8" s="384"/>
      <c r="T8" s="379"/>
      <c r="U8" s="379"/>
      <c r="V8" s="384"/>
      <c r="W8" s="384"/>
      <c r="X8" s="384"/>
      <c r="Y8" s="384"/>
      <c r="Z8" s="384"/>
      <c r="AA8" s="384"/>
      <c r="AB8" s="384"/>
      <c r="AC8" s="384"/>
      <c r="AD8" s="384"/>
      <c r="AE8" s="384"/>
      <c r="AF8" s="384"/>
      <c r="AG8" s="384"/>
      <c r="AH8" s="384"/>
      <c r="AI8" s="384"/>
      <c r="AJ8" s="379"/>
      <c r="AK8" s="379"/>
      <c r="AL8" s="379"/>
      <c r="AM8" s="379"/>
      <c r="AN8" s="379"/>
      <c r="AO8" s="297"/>
      <c r="AP8" s="297"/>
      <c r="AQ8" s="297"/>
      <c r="AR8" s="296"/>
      <c r="AS8" s="296"/>
      <c r="AT8" s="296"/>
      <c r="AU8" s="296"/>
      <c r="AV8" s="296"/>
    </row>
    <row r="9" spans="1:48">
      <c r="A9" s="379"/>
      <c r="B9" s="380"/>
      <c r="C9" s="381"/>
      <c r="D9" s="381"/>
      <c r="E9" s="381"/>
      <c r="F9" s="382"/>
      <c r="G9" s="379"/>
      <c r="H9" s="383"/>
      <c r="I9" s="383"/>
      <c r="J9" s="383"/>
      <c r="K9" s="383"/>
      <c r="L9" s="379"/>
      <c r="M9" s="379"/>
      <c r="N9" s="379"/>
      <c r="O9" s="379"/>
      <c r="P9" s="379"/>
      <c r="Q9" s="379"/>
      <c r="R9" s="379"/>
      <c r="S9" s="384"/>
      <c r="T9" s="379"/>
      <c r="U9" s="379"/>
      <c r="V9" s="384"/>
      <c r="W9" s="384"/>
      <c r="X9" s="384"/>
      <c r="Y9" s="384"/>
      <c r="Z9" s="384"/>
      <c r="AA9" s="384"/>
      <c r="AB9" s="384"/>
      <c r="AC9" s="384"/>
      <c r="AD9" s="384"/>
      <c r="AE9" s="384"/>
      <c r="AF9" s="384"/>
      <c r="AG9" s="384"/>
      <c r="AH9" s="384"/>
      <c r="AI9" s="384"/>
      <c r="AJ9" s="379"/>
      <c r="AK9" s="379"/>
      <c r="AL9" s="379"/>
      <c r="AM9" s="379"/>
      <c r="AN9" s="379"/>
      <c r="AO9" s="297"/>
      <c r="AP9" s="297"/>
      <c r="AQ9" s="297"/>
      <c r="AR9" s="296"/>
      <c r="AS9" s="296"/>
      <c r="AT9" s="296"/>
      <c r="AU9" s="296"/>
      <c r="AV9" s="296"/>
    </row>
    <row r="10" spans="1:48">
      <c r="A10" s="379"/>
      <c r="B10" s="380"/>
      <c r="C10" s="381"/>
      <c r="D10" s="381"/>
      <c r="E10" s="381"/>
      <c r="F10" s="382"/>
      <c r="G10" s="379"/>
      <c r="H10" s="383"/>
      <c r="I10" s="383"/>
      <c r="J10" s="383"/>
      <c r="K10" s="383"/>
      <c r="L10" s="379"/>
      <c r="M10" s="379"/>
      <c r="N10" s="379"/>
      <c r="O10" s="379"/>
      <c r="P10" s="379"/>
      <c r="Q10" s="379"/>
      <c r="R10" s="379"/>
      <c r="S10" s="384"/>
      <c r="T10" s="379"/>
      <c r="U10" s="379"/>
      <c r="V10" s="384"/>
      <c r="W10" s="384"/>
      <c r="X10" s="384"/>
      <c r="Y10" s="384"/>
      <c r="Z10" s="384"/>
      <c r="AA10" s="384"/>
      <c r="AB10" s="384"/>
      <c r="AC10" s="384"/>
      <c r="AD10" s="384"/>
      <c r="AE10" s="384"/>
      <c r="AF10" s="384"/>
      <c r="AG10" s="384"/>
      <c r="AH10" s="384"/>
      <c r="AI10" s="384"/>
      <c r="AJ10" s="379"/>
      <c r="AK10" s="379"/>
      <c r="AL10" s="379"/>
      <c r="AM10" s="379"/>
      <c r="AN10" s="379"/>
      <c r="AO10" s="294"/>
      <c r="AP10" s="294"/>
      <c r="AQ10" s="294"/>
      <c r="AR10" s="294"/>
      <c r="AS10" s="294"/>
      <c r="AT10" s="294"/>
      <c r="AU10" s="294"/>
      <c r="AV10" s="293"/>
    </row>
    <row r="11" spans="1:48">
      <c r="A11" s="379"/>
      <c r="B11" s="380"/>
      <c r="C11" s="381"/>
      <c r="D11" s="381"/>
      <c r="E11" s="381"/>
      <c r="F11" s="382"/>
      <c r="G11" s="379"/>
      <c r="H11" s="383"/>
      <c r="I11" s="383"/>
      <c r="J11" s="383"/>
      <c r="K11" s="383"/>
      <c r="L11" s="379"/>
      <c r="M11" s="379"/>
      <c r="N11" s="379"/>
      <c r="O11" s="379"/>
      <c r="P11" s="379"/>
      <c r="Q11" s="379"/>
      <c r="R11" s="379"/>
      <c r="S11" s="384"/>
      <c r="T11" s="379"/>
      <c r="U11" s="379"/>
      <c r="V11" s="384"/>
      <c r="W11" s="384"/>
      <c r="X11" s="384"/>
      <c r="Y11" s="384"/>
      <c r="Z11" s="384"/>
      <c r="AA11" s="384"/>
      <c r="AB11" s="384"/>
      <c r="AC11" s="384"/>
      <c r="AD11" s="384"/>
      <c r="AE11" s="384"/>
      <c r="AF11" s="384"/>
      <c r="AG11" s="384"/>
      <c r="AH11" s="384"/>
      <c r="AI11" s="384"/>
      <c r="AJ11" s="379"/>
      <c r="AK11" s="379"/>
      <c r="AL11" s="379"/>
      <c r="AM11" s="379"/>
      <c r="AN11" s="379"/>
      <c r="AO11" s="294"/>
      <c r="AP11" s="294"/>
      <c r="AQ11" s="294"/>
      <c r="AR11" s="294"/>
      <c r="AS11" s="294"/>
      <c r="AT11" s="294"/>
      <c r="AU11" s="294"/>
      <c r="AV11" s="293"/>
    </row>
    <row r="12" spans="1:48">
      <c r="A12" s="379"/>
      <c r="B12" s="380"/>
      <c r="C12" s="381"/>
      <c r="D12" s="381"/>
      <c r="E12" s="381"/>
      <c r="F12" s="382"/>
      <c r="G12" s="379"/>
      <c r="H12" s="383"/>
      <c r="I12" s="383"/>
      <c r="J12" s="383"/>
      <c r="K12" s="383"/>
      <c r="L12" s="379"/>
      <c r="M12" s="379"/>
      <c r="N12" s="379"/>
      <c r="O12" s="379"/>
      <c r="P12" s="379"/>
      <c r="Q12" s="379"/>
      <c r="R12" s="379"/>
      <c r="S12" s="384"/>
      <c r="T12" s="379"/>
      <c r="U12" s="379"/>
      <c r="V12" s="384"/>
      <c r="W12" s="384"/>
      <c r="X12" s="384"/>
      <c r="Y12" s="384"/>
      <c r="Z12" s="384"/>
      <c r="AA12" s="384"/>
      <c r="AB12" s="384"/>
      <c r="AC12" s="384"/>
      <c r="AD12" s="384"/>
      <c r="AE12" s="384"/>
      <c r="AF12" s="384"/>
      <c r="AG12" s="384"/>
      <c r="AH12" s="384"/>
      <c r="AI12" s="384"/>
      <c r="AJ12" s="379"/>
      <c r="AK12" s="379"/>
      <c r="AL12" s="379"/>
      <c r="AM12" s="379"/>
      <c r="AN12" s="379"/>
      <c r="AO12" s="294"/>
      <c r="AP12" s="294"/>
      <c r="AQ12" s="294"/>
      <c r="AR12" s="294"/>
      <c r="AS12" s="294"/>
      <c r="AT12" s="294"/>
      <c r="AU12" s="294"/>
      <c r="AV12" s="293"/>
    </row>
    <row r="13" spans="1:48">
      <c r="A13" s="379"/>
      <c r="B13" s="380"/>
      <c r="C13" s="381"/>
      <c r="D13" s="381"/>
      <c r="E13" s="381"/>
      <c r="F13" s="382"/>
      <c r="G13" s="379"/>
      <c r="H13" s="383"/>
      <c r="I13" s="383"/>
      <c r="J13" s="383"/>
      <c r="K13" s="383"/>
      <c r="L13" s="379"/>
      <c r="M13" s="379"/>
      <c r="N13" s="379"/>
      <c r="O13" s="379"/>
      <c r="P13" s="379"/>
      <c r="Q13" s="379"/>
      <c r="R13" s="379"/>
      <c r="S13" s="384"/>
      <c r="T13" s="379"/>
      <c r="U13" s="379"/>
      <c r="V13" s="384"/>
      <c r="W13" s="384"/>
      <c r="X13" s="384"/>
      <c r="Y13" s="384"/>
      <c r="Z13" s="384"/>
      <c r="AA13" s="384"/>
      <c r="AB13" s="384"/>
      <c r="AC13" s="384"/>
      <c r="AD13" s="384"/>
      <c r="AE13" s="384"/>
      <c r="AF13" s="384"/>
      <c r="AG13" s="384"/>
      <c r="AH13" s="384"/>
      <c r="AI13" s="384"/>
      <c r="AJ13" s="379"/>
      <c r="AK13" s="379"/>
      <c r="AL13" s="379"/>
      <c r="AM13" s="379"/>
      <c r="AN13" s="379"/>
      <c r="AO13" s="294"/>
      <c r="AP13" s="294"/>
      <c r="AQ13" s="294"/>
      <c r="AR13" s="294"/>
      <c r="AS13" s="294"/>
      <c r="AT13" s="294"/>
      <c r="AU13" s="294"/>
      <c r="AV13" s="293"/>
    </row>
    <row r="14" spans="1:48">
      <c r="A14" s="379"/>
      <c r="B14" s="380"/>
      <c r="C14" s="381"/>
      <c r="D14" s="381"/>
      <c r="E14" s="381"/>
      <c r="F14" s="382"/>
      <c r="G14" s="379"/>
      <c r="H14" s="383"/>
      <c r="I14" s="383"/>
      <c r="J14" s="383"/>
      <c r="K14" s="383"/>
      <c r="L14" s="379"/>
      <c r="M14" s="379"/>
      <c r="N14" s="379"/>
      <c r="O14" s="379"/>
      <c r="P14" s="379"/>
      <c r="Q14" s="379"/>
      <c r="R14" s="379"/>
      <c r="S14" s="384"/>
      <c r="T14" s="379"/>
      <c r="U14" s="379"/>
      <c r="V14" s="384"/>
      <c r="W14" s="384"/>
      <c r="X14" s="384"/>
      <c r="Y14" s="384"/>
      <c r="Z14" s="384"/>
      <c r="AA14" s="384"/>
      <c r="AB14" s="384"/>
      <c r="AC14" s="384"/>
      <c r="AD14" s="384"/>
      <c r="AE14" s="384"/>
      <c r="AF14" s="384"/>
      <c r="AG14" s="384"/>
      <c r="AH14" s="384"/>
      <c r="AI14" s="384"/>
      <c r="AJ14" s="379"/>
      <c r="AK14" s="379"/>
      <c r="AL14" s="379"/>
      <c r="AM14" s="379"/>
      <c r="AN14" s="379"/>
      <c r="AO14" s="294"/>
      <c r="AP14" s="294"/>
      <c r="AQ14" s="294"/>
      <c r="AR14" s="294"/>
      <c r="AS14" s="294"/>
      <c r="AT14" s="294"/>
      <c r="AU14" s="294"/>
      <c r="AV14" s="293"/>
    </row>
    <row r="15" spans="1:48">
      <c r="A15" s="379"/>
      <c r="B15" s="380"/>
      <c r="C15" s="381"/>
      <c r="D15" s="381"/>
      <c r="E15" s="381"/>
      <c r="F15" s="382"/>
      <c r="G15" s="379"/>
      <c r="H15" s="383"/>
      <c r="I15" s="383"/>
      <c r="J15" s="383"/>
      <c r="K15" s="383"/>
      <c r="L15" s="379"/>
      <c r="M15" s="379"/>
      <c r="N15" s="379"/>
      <c r="O15" s="379"/>
      <c r="P15" s="379"/>
      <c r="Q15" s="379"/>
      <c r="R15" s="379"/>
      <c r="S15" s="384"/>
      <c r="T15" s="379"/>
      <c r="U15" s="379"/>
      <c r="V15" s="384"/>
      <c r="W15" s="384"/>
      <c r="X15" s="384"/>
      <c r="Y15" s="384"/>
      <c r="Z15" s="384"/>
      <c r="AA15" s="384"/>
      <c r="AB15" s="384"/>
      <c r="AC15" s="384"/>
      <c r="AD15" s="384"/>
      <c r="AE15" s="384"/>
      <c r="AF15" s="384"/>
      <c r="AG15" s="384"/>
      <c r="AH15" s="384"/>
      <c r="AI15" s="384"/>
      <c r="AJ15" s="379"/>
      <c r="AK15" s="379"/>
      <c r="AL15" s="379"/>
      <c r="AM15" s="379"/>
      <c r="AN15" s="379"/>
      <c r="AO15" s="293"/>
      <c r="AP15" s="293"/>
      <c r="AQ15" s="294"/>
      <c r="AR15" s="294"/>
      <c r="AS15" s="294"/>
      <c r="AT15" s="294"/>
      <c r="AU15" s="294"/>
      <c r="AV15" s="293"/>
    </row>
    <row r="16" spans="1:48">
      <c r="A16" s="379"/>
      <c r="B16" s="380"/>
      <c r="C16" s="381"/>
      <c r="D16" s="381"/>
      <c r="E16" s="381"/>
      <c r="F16" s="382"/>
      <c r="G16" s="379"/>
      <c r="H16" s="383"/>
      <c r="I16" s="383"/>
      <c r="J16" s="383"/>
      <c r="K16" s="383"/>
      <c r="L16" s="379"/>
      <c r="M16" s="379"/>
      <c r="N16" s="379"/>
      <c r="O16" s="379"/>
      <c r="P16" s="379"/>
      <c r="Q16" s="379"/>
      <c r="R16" s="379"/>
      <c r="S16" s="384"/>
      <c r="T16" s="379"/>
      <c r="U16" s="379"/>
      <c r="V16" s="384"/>
      <c r="W16" s="384"/>
      <c r="X16" s="384"/>
      <c r="Y16" s="384"/>
      <c r="Z16" s="384"/>
      <c r="AA16" s="384"/>
      <c r="AB16" s="384"/>
      <c r="AC16" s="384"/>
      <c r="AD16" s="384"/>
      <c r="AE16" s="384"/>
      <c r="AF16" s="384"/>
      <c r="AG16" s="384"/>
      <c r="AH16" s="384"/>
      <c r="AI16" s="384"/>
      <c r="AJ16" s="379"/>
      <c r="AK16" s="379"/>
      <c r="AL16" s="379"/>
      <c r="AM16" s="379"/>
      <c r="AN16" s="379"/>
      <c r="AO16" s="294"/>
      <c r="AP16" s="294"/>
      <c r="AQ16" s="294"/>
      <c r="AR16" s="294"/>
      <c r="AS16" s="294"/>
      <c r="AT16" s="294"/>
      <c r="AU16" s="294"/>
      <c r="AV16" s="293"/>
    </row>
    <row r="17" spans="1:48">
      <c r="A17" s="379"/>
      <c r="B17" s="380"/>
      <c r="C17" s="381"/>
      <c r="D17" s="381"/>
      <c r="E17" s="381"/>
      <c r="F17" s="382"/>
      <c r="G17" s="379"/>
      <c r="H17" s="383"/>
      <c r="I17" s="383"/>
      <c r="J17" s="383"/>
      <c r="K17" s="383"/>
      <c r="L17" s="379"/>
      <c r="M17" s="379"/>
      <c r="N17" s="379"/>
      <c r="O17" s="379"/>
      <c r="P17" s="379"/>
      <c r="Q17" s="379"/>
      <c r="R17" s="379"/>
      <c r="S17" s="384"/>
      <c r="T17" s="379"/>
      <c r="U17" s="379"/>
      <c r="V17" s="384"/>
      <c r="W17" s="384"/>
      <c r="X17" s="384"/>
      <c r="Y17" s="384"/>
      <c r="Z17" s="384"/>
      <c r="AA17" s="384"/>
      <c r="AB17" s="384"/>
      <c r="AC17" s="384"/>
      <c r="AD17" s="384"/>
      <c r="AE17" s="384"/>
      <c r="AF17" s="384"/>
      <c r="AG17" s="384"/>
      <c r="AH17" s="384"/>
      <c r="AI17" s="384"/>
      <c r="AJ17" s="379"/>
      <c r="AK17" s="379"/>
      <c r="AL17" s="379"/>
      <c r="AM17" s="379"/>
      <c r="AN17" s="379"/>
      <c r="AO17" s="294"/>
      <c r="AP17" s="294"/>
      <c r="AQ17" s="294"/>
      <c r="AR17" s="294"/>
      <c r="AS17" s="294"/>
      <c r="AT17" s="294"/>
      <c r="AU17" s="294"/>
      <c r="AV17" s="293"/>
    </row>
    <row r="18" spans="1:48">
      <c r="A18" s="379"/>
      <c r="B18" s="380"/>
      <c r="C18" s="381"/>
      <c r="D18" s="381"/>
      <c r="E18" s="381"/>
      <c r="F18" s="382"/>
      <c r="G18" s="379"/>
      <c r="H18" s="383"/>
      <c r="I18" s="383"/>
      <c r="J18" s="383"/>
      <c r="K18" s="383"/>
      <c r="L18" s="379"/>
      <c r="M18" s="379"/>
      <c r="N18" s="379"/>
      <c r="O18" s="379"/>
      <c r="P18" s="379"/>
      <c r="Q18" s="379"/>
      <c r="R18" s="379"/>
      <c r="S18" s="384"/>
      <c r="T18" s="379"/>
      <c r="U18" s="379"/>
      <c r="V18" s="384"/>
      <c r="W18" s="384"/>
      <c r="X18" s="384"/>
      <c r="Y18" s="384"/>
      <c r="Z18" s="384"/>
      <c r="AA18" s="384"/>
      <c r="AB18" s="384"/>
      <c r="AC18" s="384"/>
      <c r="AD18" s="384"/>
      <c r="AE18" s="384"/>
      <c r="AF18" s="384"/>
      <c r="AG18" s="384"/>
      <c r="AH18" s="384"/>
      <c r="AI18" s="384"/>
      <c r="AJ18" s="379"/>
      <c r="AK18" s="379"/>
      <c r="AL18" s="379"/>
      <c r="AM18" s="379"/>
      <c r="AN18" s="379"/>
      <c r="AO18" s="293"/>
      <c r="AP18" s="293"/>
      <c r="AQ18" s="294"/>
      <c r="AR18" s="294"/>
      <c r="AS18" s="294"/>
      <c r="AT18" s="294"/>
      <c r="AU18" s="294"/>
      <c r="AV18" s="293"/>
    </row>
    <row r="19" spans="1:48">
      <c r="A19" s="379"/>
      <c r="B19" s="380"/>
      <c r="C19" s="381"/>
      <c r="D19" s="381"/>
      <c r="E19" s="381"/>
      <c r="F19" s="382"/>
      <c r="G19" s="379"/>
      <c r="H19" s="383"/>
      <c r="I19" s="383"/>
      <c r="J19" s="383"/>
      <c r="K19" s="383"/>
      <c r="L19" s="379"/>
      <c r="M19" s="379"/>
      <c r="N19" s="379"/>
      <c r="O19" s="379"/>
      <c r="P19" s="379"/>
      <c r="Q19" s="379"/>
      <c r="R19" s="379"/>
      <c r="S19" s="384"/>
      <c r="T19" s="379"/>
      <c r="U19" s="379"/>
      <c r="V19" s="384"/>
      <c r="W19" s="384"/>
      <c r="X19" s="384"/>
      <c r="Y19" s="384"/>
      <c r="Z19" s="384"/>
      <c r="AA19" s="384"/>
      <c r="AB19" s="384"/>
      <c r="AC19" s="384"/>
      <c r="AD19" s="384"/>
      <c r="AE19" s="384"/>
      <c r="AF19" s="384"/>
      <c r="AG19" s="384"/>
      <c r="AH19" s="384"/>
      <c r="AI19" s="384"/>
      <c r="AJ19" s="379"/>
      <c r="AK19" s="379"/>
      <c r="AL19" s="379"/>
      <c r="AM19" s="379"/>
      <c r="AN19" s="379"/>
      <c r="AO19" s="293"/>
      <c r="AP19" s="293"/>
      <c r="AQ19" s="294"/>
      <c r="AR19" s="294"/>
      <c r="AS19" s="294"/>
      <c r="AT19" s="294"/>
      <c r="AU19" s="294"/>
      <c r="AV19" s="293"/>
    </row>
    <row r="20" spans="1:48">
      <c r="A20" s="379"/>
      <c r="B20" s="380"/>
      <c r="C20" s="381"/>
      <c r="D20" s="381"/>
      <c r="E20" s="381"/>
      <c r="F20" s="382"/>
      <c r="G20" s="379"/>
      <c r="H20" s="383"/>
      <c r="I20" s="383"/>
      <c r="J20" s="383"/>
      <c r="K20" s="383"/>
      <c r="L20" s="379"/>
      <c r="M20" s="379"/>
      <c r="N20" s="379"/>
      <c r="O20" s="379"/>
      <c r="P20" s="379"/>
      <c r="Q20" s="379"/>
      <c r="R20" s="379"/>
      <c r="S20" s="384"/>
      <c r="T20" s="379"/>
      <c r="U20" s="379"/>
      <c r="V20" s="384"/>
      <c r="W20" s="384"/>
      <c r="X20" s="384"/>
      <c r="Y20" s="384"/>
      <c r="Z20" s="384"/>
      <c r="AA20" s="384"/>
      <c r="AB20" s="384"/>
      <c r="AC20" s="384"/>
      <c r="AD20" s="384"/>
      <c r="AE20" s="384"/>
      <c r="AF20" s="384"/>
      <c r="AG20" s="384"/>
      <c r="AH20" s="384"/>
      <c r="AI20" s="384"/>
      <c r="AJ20" s="379"/>
      <c r="AK20" s="379"/>
      <c r="AL20" s="379"/>
      <c r="AM20" s="379"/>
      <c r="AN20" s="379"/>
      <c r="AO20" s="293"/>
      <c r="AP20" s="293"/>
      <c r="AQ20" s="294"/>
      <c r="AR20" s="294"/>
      <c r="AS20" s="294"/>
      <c r="AT20" s="294"/>
      <c r="AU20" s="294"/>
      <c r="AV20" s="293"/>
    </row>
    <row r="21" spans="1:48">
      <c r="A21" s="379"/>
      <c r="B21" s="380"/>
      <c r="C21" s="381"/>
      <c r="D21" s="381"/>
      <c r="E21" s="381"/>
      <c r="F21" s="382"/>
      <c r="G21" s="379"/>
      <c r="H21" s="383"/>
      <c r="I21" s="383"/>
      <c r="J21" s="383"/>
      <c r="K21" s="383"/>
      <c r="L21" s="379"/>
      <c r="M21" s="379"/>
      <c r="N21" s="379"/>
      <c r="O21" s="379"/>
      <c r="P21" s="379"/>
      <c r="Q21" s="379"/>
      <c r="R21" s="379"/>
      <c r="S21" s="384"/>
      <c r="T21" s="379"/>
      <c r="U21" s="379"/>
      <c r="V21" s="384"/>
      <c r="W21" s="384"/>
      <c r="X21" s="384"/>
      <c r="Y21" s="384"/>
      <c r="Z21" s="384"/>
      <c r="AA21" s="384"/>
      <c r="AB21" s="384"/>
      <c r="AC21" s="384"/>
      <c r="AD21" s="384"/>
      <c r="AE21" s="384"/>
      <c r="AF21" s="384"/>
      <c r="AG21" s="384"/>
      <c r="AH21" s="384"/>
      <c r="AI21" s="384"/>
      <c r="AJ21" s="379"/>
      <c r="AK21" s="379"/>
      <c r="AL21" s="379"/>
      <c r="AM21" s="379"/>
      <c r="AN21" s="379"/>
      <c r="AO21" s="293"/>
      <c r="AP21" s="293"/>
      <c r="AQ21" s="294"/>
      <c r="AR21" s="294"/>
      <c r="AS21" s="294"/>
      <c r="AT21" s="294"/>
      <c r="AU21" s="294"/>
      <c r="AV21" s="293"/>
    </row>
    <row r="22" spans="1:48">
      <c r="A22" s="379"/>
      <c r="B22" s="380"/>
      <c r="C22" s="381"/>
      <c r="D22" s="381"/>
      <c r="E22" s="381"/>
      <c r="F22" s="382"/>
      <c r="G22" s="379"/>
      <c r="H22" s="383"/>
      <c r="I22" s="383"/>
      <c r="J22" s="383"/>
      <c r="K22" s="383"/>
      <c r="L22" s="379"/>
      <c r="M22" s="379"/>
      <c r="N22" s="379"/>
      <c r="O22" s="379"/>
      <c r="P22" s="379"/>
      <c r="Q22" s="379"/>
      <c r="R22" s="379"/>
      <c r="S22" s="384"/>
      <c r="T22" s="379"/>
      <c r="U22" s="379"/>
      <c r="V22" s="384"/>
      <c r="W22" s="384"/>
      <c r="X22" s="384"/>
      <c r="Y22" s="384"/>
      <c r="Z22" s="384"/>
      <c r="AA22" s="384"/>
      <c r="AB22" s="384"/>
      <c r="AC22" s="384"/>
      <c r="AD22" s="384"/>
      <c r="AE22" s="384"/>
      <c r="AF22" s="384"/>
      <c r="AG22" s="384"/>
      <c r="AH22" s="384"/>
      <c r="AI22" s="384"/>
      <c r="AJ22" s="379"/>
      <c r="AK22" s="379"/>
      <c r="AL22" s="379"/>
      <c r="AM22" s="379"/>
      <c r="AN22" s="379"/>
      <c r="AO22" s="293"/>
      <c r="AP22" s="293"/>
      <c r="AQ22" s="294"/>
      <c r="AR22" s="294"/>
      <c r="AS22" s="294"/>
      <c r="AT22" s="294"/>
      <c r="AU22" s="294"/>
      <c r="AV22" s="293"/>
    </row>
    <row r="23" spans="1:48">
      <c r="A23" s="379"/>
      <c r="B23" s="380"/>
      <c r="C23" s="381"/>
      <c r="D23" s="381"/>
      <c r="E23" s="381"/>
      <c r="F23" s="382"/>
      <c r="G23" s="379"/>
      <c r="H23" s="383"/>
      <c r="I23" s="383"/>
      <c r="J23" s="383"/>
      <c r="K23" s="383"/>
      <c r="L23" s="379"/>
      <c r="M23" s="379"/>
      <c r="N23" s="379"/>
      <c r="O23" s="379"/>
      <c r="P23" s="379"/>
      <c r="Q23" s="379"/>
      <c r="R23" s="379"/>
      <c r="S23" s="384"/>
      <c r="T23" s="379"/>
      <c r="U23" s="379"/>
      <c r="V23" s="384"/>
      <c r="W23" s="384"/>
      <c r="X23" s="384"/>
      <c r="Y23" s="384"/>
      <c r="Z23" s="384"/>
      <c r="AA23" s="384"/>
      <c r="AB23" s="384"/>
      <c r="AC23" s="384"/>
      <c r="AD23" s="384"/>
      <c r="AE23" s="384"/>
      <c r="AF23" s="384"/>
      <c r="AG23" s="384"/>
      <c r="AH23" s="384"/>
      <c r="AI23" s="384"/>
      <c r="AJ23" s="379"/>
      <c r="AK23" s="379"/>
      <c r="AL23" s="379"/>
      <c r="AM23" s="379"/>
      <c r="AN23" s="379"/>
      <c r="AO23" s="293"/>
      <c r="AP23" s="293"/>
      <c r="AQ23" s="294"/>
      <c r="AR23" s="294"/>
      <c r="AS23" s="294"/>
      <c r="AT23" s="294"/>
      <c r="AU23" s="294"/>
      <c r="AV23" s="293"/>
    </row>
    <row r="24" spans="1:48">
      <c r="A24" s="379"/>
      <c r="B24" s="380"/>
      <c r="C24" s="381"/>
      <c r="D24" s="381"/>
      <c r="E24" s="381"/>
      <c r="F24" s="382"/>
      <c r="G24" s="379"/>
      <c r="H24" s="383"/>
      <c r="I24" s="383"/>
      <c r="J24" s="383"/>
      <c r="K24" s="383"/>
      <c r="L24" s="379"/>
      <c r="M24" s="379"/>
      <c r="N24" s="379"/>
      <c r="O24" s="379"/>
      <c r="P24" s="379"/>
      <c r="Q24" s="379"/>
      <c r="R24" s="379"/>
      <c r="S24" s="384"/>
      <c r="T24" s="379"/>
      <c r="U24" s="379"/>
      <c r="V24" s="384"/>
      <c r="W24" s="384"/>
      <c r="X24" s="384"/>
      <c r="Y24" s="384"/>
      <c r="Z24" s="384"/>
      <c r="AA24" s="384"/>
      <c r="AB24" s="384"/>
      <c r="AC24" s="384"/>
      <c r="AD24" s="384"/>
      <c r="AE24" s="384"/>
      <c r="AF24" s="384"/>
      <c r="AG24" s="384"/>
      <c r="AH24" s="384"/>
      <c r="AI24" s="384"/>
      <c r="AJ24" s="379"/>
      <c r="AK24" s="379"/>
      <c r="AL24" s="379"/>
      <c r="AM24" s="379"/>
      <c r="AN24" s="379"/>
      <c r="AO24" s="294"/>
      <c r="AP24" s="294"/>
      <c r="AQ24" s="294"/>
      <c r="AR24" s="294"/>
      <c r="AS24" s="294"/>
      <c r="AT24" s="294"/>
      <c r="AU24" s="294"/>
      <c r="AV24" s="293"/>
    </row>
    <row r="25" spans="1:48">
      <c r="A25" s="379"/>
      <c r="B25" s="380"/>
      <c r="C25" s="381"/>
      <c r="D25" s="381"/>
      <c r="E25" s="381"/>
      <c r="F25" s="382"/>
      <c r="G25" s="379"/>
      <c r="H25" s="383"/>
      <c r="I25" s="383"/>
      <c r="J25" s="383"/>
      <c r="K25" s="383"/>
      <c r="L25" s="379"/>
      <c r="M25" s="379"/>
      <c r="N25" s="379"/>
      <c r="O25" s="379"/>
      <c r="P25" s="379"/>
      <c r="Q25" s="379"/>
      <c r="R25" s="379"/>
      <c r="S25" s="384"/>
      <c r="T25" s="379"/>
      <c r="U25" s="379"/>
      <c r="V25" s="384"/>
      <c r="W25" s="384"/>
      <c r="X25" s="384"/>
      <c r="Y25" s="384"/>
      <c r="Z25" s="384"/>
      <c r="AA25" s="384"/>
      <c r="AB25" s="384"/>
      <c r="AC25" s="384"/>
      <c r="AD25" s="384"/>
      <c r="AE25" s="384"/>
      <c r="AF25" s="384"/>
      <c r="AG25" s="384"/>
      <c r="AH25" s="384"/>
      <c r="AI25" s="384"/>
      <c r="AJ25" s="379"/>
      <c r="AK25" s="379"/>
      <c r="AL25" s="379"/>
      <c r="AM25" s="379"/>
      <c r="AN25" s="379"/>
      <c r="AO25" s="294"/>
      <c r="AP25" s="294"/>
      <c r="AQ25" s="294"/>
      <c r="AR25" s="294"/>
      <c r="AS25" s="294"/>
      <c r="AT25" s="294"/>
      <c r="AU25" s="294"/>
      <c r="AV25" s="293"/>
    </row>
    <row r="26" spans="1:48">
      <c r="A26" s="379"/>
      <c r="B26" s="380"/>
      <c r="C26" s="381"/>
      <c r="D26" s="381"/>
      <c r="E26" s="381"/>
      <c r="F26" s="382"/>
      <c r="G26" s="379"/>
      <c r="H26" s="383"/>
      <c r="I26" s="383"/>
      <c r="J26" s="383"/>
      <c r="K26" s="383"/>
      <c r="L26" s="379"/>
      <c r="M26" s="379"/>
      <c r="N26" s="379"/>
      <c r="O26" s="379"/>
      <c r="P26" s="379"/>
      <c r="Q26" s="379"/>
      <c r="R26" s="379"/>
      <c r="S26" s="384"/>
      <c r="T26" s="379"/>
      <c r="U26" s="379"/>
      <c r="V26" s="384"/>
      <c r="W26" s="384"/>
      <c r="X26" s="384"/>
      <c r="Y26" s="384"/>
      <c r="Z26" s="384"/>
      <c r="AA26" s="384"/>
      <c r="AB26" s="384"/>
      <c r="AC26" s="384"/>
      <c r="AD26" s="384"/>
      <c r="AE26" s="384"/>
      <c r="AF26" s="384"/>
      <c r="AG26" s="384"/>
      <c r="AH26" s="384"/>
      <c r="AI26" s="384"/>
      <c r="AJ26" s="379"/>
      <c r="AK26" s="379"/>
      <c r="AL26" s="379"/>
      <c r="AM26" s="379"/>
      <c r="AN26" s="379"/>
      <c r="AO26" s="294"/>
      <c r="AP26" s="294"/>
      <c r="AQ26" s="294"/>
      <c r="AR26" s="294"/>
      <c r="AS26" s="294"/>
      <c r="AT26" s="294"/>
      <c r="AU26" s="294"/>
      <c r="AV26" s="293"/>
    </row>
    <row r="27" spans="1:48">
      <c r="A27" s="379"/>
      <c r="B27" s="380"/>
      <c r="C27" s="381"/>
      <c r="D27" s="381"/>
      <c r="E27" s="381"/>
      <c r="F27" s="382"/>
      <c r="G27" s="379"/>
      <c r="H27" s="383"/>
      <c r="I27" s="383"/>
      <c r="J27" s="383"/>
      <c r="K27" s="383"/>
      <c r="L27" s="379"/>
      <c r="M27" s="379"/>
      <c r="N27" s="379"/>
      <c r="O27" s="379"/>
      <c r="P27" s="379"/>
      <c r="Q27" s="379"/>
      <c r="R27" s="379"/>
      <c r="S27" s="384"/>
      <c r="T27" s="379"/>
      <c r="U27" s="379"/>
      <c r="V27" s="384"/>
      <c r="W27" s="384"/>
      <c r="X27" s="384"/>
      <c r="Y27" s="384"/>
      <c r="Z27" s="384"/>
      <c r="AA27" s="384"/>
      <c r="AB27" s="384"/>
      <c r="AC27" s="384"/>
      <c r="AD27" s="384"/>
      <c r="AE27" s="384"/>
      <c r="AF27" s="384"/>
      <c r="AG27" s="384"/>
      <c r="AH27" s="384"/>
      <c r="AI27" s="384"/>
      <c r="AJ27" s="379"/>
      <c r="AK27" s="379"/>
      <c r="AL27" s="379"/>
      <c r="AM27" s="379"/>
      <c r="AN27" s="379"/>
    </row>
    <row r="28" spans="1:48">
      <c r="A28" s="379"/>
      <c r="B28" s="380"/>
      <c r="C28" s="381"/>
      <c r="D28" s="381"/>
      <c r="E28" s="381"/>
      <c r="F28" s="382"/>
      <c r="G28" s="379"/>
      <c r="H28" s="383"/>
      <c r="I28" s="383"/>
      <c r="J28" s="383"/>
      <c r="K28" s="383"/>
      <c r="L28" s="379"/>
      <c r="M28" s="379"/>
      <c r="N28" s="379"/>
      <c r="O28" s="379"/>
      <c r="P28" s="379"/>
      <c r="Q28" s="379"/>
      <c r="R28" s="379"/>
      <c r="S28" s="384"/>
      <c r="T28" s="379"/>
      <c r="U28" s="379"/>
      <c r="V28" s="384"/>
      <c r="W28" s="384"/>
      <c r="X28" s="384"/>
      <c r="Y28" s="384"/>
      <c r="Z28" s="384"/>
      <c r="AA28" s="384"/>
      <c r="AB28" s="384"/>
      <c r="AC28" s="384"/>
      <c r="AD28" s="384"/>
      <c r="AE28" s="384"/>
      <c r="AF28" s="384"/>
      <c r="AG28" s="384"/>
      <c r="AH28" s="384"/>
      <c r="AI28" s="384"/>
      <c r="AJ28" s="379"/>
      <c r="AK28" s="379"/>
      <c r="AL28" s="379"/>
      <c r="AM28" s="379"/>
      <c r="AN28" s="379"/>
    </row>
    <row r="29" spans="1:48">
      <c r="A29" s="379"/>
      <c r="B29" s="380"/>
      <c r="C29" s="381"/>
      <c r="D29" s="381"/>
      <c r="E29" s="381"/>
      <c r="F29" s="382"/>
      <c r="G29" s="379"/>
      <c r="H29" s="383"/>
      <c r="I29" s="383"/>
      <c r="J29" s="383"/>
      <c r="K29" s="383"/>
      <c r="L29" s="379"/>
      <c r="M29" s="379"/>
      <c r="N29" s="379"/>
      <c r="O29" s="379"/>
      <c r="P29" s="379"/>
      <c r="Q29" s="379"/>
      <c r="R29" s="379"/>
      <c r="S29" s="384"/>
      <c r="T29" s="379"/>
      <c r="U29" s="379"/>
      <c r="V29" s="384"/>
      <c r="W29" s="384"/>
      <c r="X29" s="384"/>
      <c r="Y29" s="384"/>
      <c r="Z29" s="384"/>
      <c r="AA29" s="384"/>
      <c r="AB29" s="384"/>
      <c r="AC29" s="384"/>
      <c r="AD29" s="384"/>
      <c r="AE29" s="384"/>
      <c r="AF29" s="384"/>
      <c r="AG29" s="384"/>
      <c r="AH29" s="384"/>
      <c r="AI29" s="384"/>
      <c r="AJ29" s="379"/>
      <c r="AK29" s="379"/>
      <c r="AL29" s="379"/>
      <c r="AM29" s="379"/>
      <c r="AN29" s="379"/>
    </row>
    <row r="30" spans="1:48">
      <c r="A30" s="379"/>
      <c r="B30" s="380"/>
      <c r="C30" s="381"/>
      <c r="D30" s="381"/>
      <c r="E30" s="381"/>
      <c r="F30" s="382"/>
      <c r="G30" s="379"/>
      <c r="H30" s="383"/>
      <c r="I30" s="383"/>
      <c r="J30" s="383"/>
      <c r="K30" s="383"/>
      <c r="L30" s="379"/>
      <c r="M30" s="379"/>
      <c r="N30" s="379"/>
      <c r="O30" s="379"/>
      <c r="P30" s="379"/>
      <c r="Q30" s="379"/>
      <c r="R30" s="379"/>
      <c r="S30" s="384"/>
      <c r="T30" s="379"/>
      <c r="U30" s="379"/>
      <c r="V30" s="384"/>
      <c r="W30" s="384"/>
      <c r="X30" s="384"/>
      <c r="Y30" s="384"/>
      <c r="Z30" s="384"/>
      <c r="AA30" s="384"/>
      <c r="AB30" s="384"/>
      <c r="AC30" s="384"/>
      <c r="AD30" s="384"/>
      <c r="AE30" s="384"/>
      <c r="AF30" s="384"/>
      <c r="AG30" s="384"/>
      <c r="AH30" s="384"/>
      <c r="AI30" s="384"/>
      <c r="AJ30" s="379"/>
      <c r="AK30" s="379"/>
      <c r="AL30" s="379"/>
      <c r="AM30" s="379"/>
      <c r="AN30" s="379"/>
    </row>
    <row r="31" spans="1:48">
      <c r="A31" s="379"/>
      <c r="B31" s="380"/>
      <c r="C31" s="381"/>
      <c r="D31" s="381"/>
      <c r="E31" s="381"/>
      <c r="F31" s="382"/>
      <c r="G31" s="379"/>
      <c r="H31" s="383"/>
      <c r="I31" s="383"/>
      <c r="J31" s="383"/>
      <c r="K31" s="383"/>
      <c r="L31" s="379"/>
      <c r="M31" s="379"/>
      <c r="N31" s="379"/>
      <c r="O31" s="379"/>
      <c r="P31" s="379"/>
      <c r="Q31" s="379"/>
      <c r="R31" s="379"/>
      <c r="S31" s="384"/>
      <c r="T31" s="379"/>
      <c r="U31" s="379"/>
      <c r="V31" s="384"/>
      <c r="W31" s="384"/>
      <c r="X31" s="384"/>
      <c r="Y31" s="384"/>
      <c r="Z31" s="384"/>
      <c r="AA31" s="384"/>
      <c r="AB31" s="384"/>
      <c r="AC31" s="384"/>
      <c r="AD31" s="384"/>
      <c r="AE31" s="384"/>
      <c r="AF31" s="384"/>
      <c r="AG31" s="384"/>
      <c r="AH31" s="384"/>
      <c r="AI31" s="384"/>
      <c r="AJ31" s="379"/>
      <c r="AK31" s="379"/>
      <c r="AL31" s="379"/>
      <c r="AM31" s="379"/>
      <c r="AN31" s="379"/>
    </row>
    <row r="32" spans="1:48">
      <c r="A32" s="379"/>
      <c r="B32" s="380"/>
      <c r="C32" s="381"/>
      <c r="D32" s="381"/>
      <c r="E32" s="381"/>
      <c r="F32" s="382"/>
      <c r="G32" s="379"/>
      <c r="H32" s="383"/>
      <c r="I32" s="383"/>
      <c r="J32" s="383"/>
      <c r="K32" s="383"/>
      <c r="L32" s="379"/>
      <c r="M32" s="379"/>
      <c r="N32" s="379"/>
      <c r="O32" s="379"/>
      <c r="P32" s="379"/>
      <c r="Q32" s="379"/>
      <c r="R32" s="379"/>
      <c r="S32" s="384"/>
      <c r="T32" s="379"/>
      <c r="U32" s="379"/>
      <c r="V32" s="384"/>
      <c r="W32" s="384"/>
      <c r="X32" s="384"/>
      <c r="Y32" s="384"/>
      <c r="Z32" s="384"/>
      <c r="AA32" s="384"/>
      <c r="AB32" s="384"/>
      <c r="AC32" s="384"/>
      <c r="AD32" s="384"/>
      <c r="AE32" s="384"/>
      <c r="AF32" s="384"/>
      <c r="AG32" s="384"/>
      <c r="AH32" s="384"/>
      <c r="AI32" s="384"/>
      <c r="AJ32" s="379"/>
      <c r="AK32" s="379"/>
      <c r="AL32" s="379"/>
      <c r="AM32" s="379"/>
      <c r="AN32" s="379"/>
    </row>
    <row r="33" spans="1:40">
      <c r="A33" s="379"/>
      <c r="B33" s="380"/>
      <c r="C33" s="381"/>
      <c r="D33" s="381"/>
      <c r="E33" s="381"/>
      <c r="F33" s="382"/>
      <c r="G33" s="379"/>
      <c r="H33" s="383"/>
      <c r="I33" s="383"/>
      <c r="J33" s="383"/>
      <c r="K33" s="383"/>
      <c r="L33" s="379"/>
      <c r="M33" s="379"/>
      <c r="N33" s="379"/>
      <c r="O33" s="379"/>
      <c r="P33" s="379"/>
      <c r="Q33" s="379"/>
      <c r="R33" s="379"/>
      <c r="S33" s="384"/>
      <c r="T33" s="379"/>
      <c r="U33" s="379"/>
      <c r="V33" s="384"/>
      <c r="W33" s="384"/>
      <c r="X33" s="384"/>
      <c r="Y33" s="384"/>
      <c r="Z33" s="384"/>
      <c r="AA33" s="384"/>
      <c r="AB33" s="384"/>
      <c r="AC33" s="384"/>
      <c r="AD33" s="384"/>
      <c r="AE33" s="384"/>
      <c r="AF33" s="384"/>
      <c r="AG33" s="384"/>
      <c r="AH33" s="384"/>
      <c r="AI33" s="384"/>
      <c r="AJ33" s="379"/>
      <c r="AK33" s="379"/>
      <c r="AL33" s="379"/>
      <c r="AM33" s="379"/>
      <c r="AN33" s="379"/>
    </row>
    <row r="34" spans="1:40">
      <c r="A34" s="379"/>
      <c r="B34" s="380"/>
      <c r="C34" s="381"/>
      <c r="D34" s="381"/>
      <c r="E34" s="381"/>
      <c r="F34" s="382"/>
      <c r="G34" s="379"/>
      <c r="H34" s="383"/>
      <c r="I34" s="383"/>
      <c r="J34" s="383"/>
      <c r="K34" s="383"/>
      <c r="L34" s="379"/>
      <c r="M34" s="379"/>
      <c r="N34" s="379"/>
      <c r="O34" s="379"/>
      <c r="P34" s="379"/>
      <c r="Q34" s="379"/>
      <c r="R34" s="379"/>
      <c r="S34" s="384"/>
      <c r="T34" s="379"/>
      <c r="U34" s="379"/>
      <c r="V34" s="384"/>
      <c r="W34" s="384"/>
      <c r="X34" s="384"/>
      <c r="Y34" s="384"/>
      <c r="Z34" s="384"/>
      <c r="AA34" s="384"/>
      <c r="AB34" s="384"/>
      <c r="AC34" s="384"/>
      <c r="AD34" s="384"/>
      <c r="AE34" s="384"/>
      <c r="AF34" s="384"/>
      <c r="AG34" s="384"/>
      <c r="AH34" s="384"/>
      <c r="AI34" s="384"/>
      <c r="AJ34" s="379"/>
      <c r="AK34" s="379"/>
      <c r="AL34" s="379"/>
      <c r="AM34" s="379"/>
      <c r="AN34" s="379"/>
    </row>
    <row r="35" spans="1:40">
      <c r="A35" s="379"/>
      <c r="B35" s="380"/>
      <c r="C35" s="381"/>
      <c r="D35" s="381"/>
      <c r="E35" s="381"/>
      <c r="F35" s="382"/>
      <c r="G35" s="379"/>
      <c r="H35" s="383"/>
      <c r="I35" s="383"/>
      <c r="J35" s="383"/>
      <c r="K35" s="383"/>
      <c r="L35" s="379"/>
      <c r="M35" s="379"/>
      <c r="N35" s="379"/>
      <c r="O35" s="379"/>
      <c r="P35" s="379"/>
      <c r="Q35" s="379"/>
      <c r="R35" s="379"/>
      <c r="S35" s="384"/>
      <c r="T35" s="379"/>
      <c r="U35" s="379"/>
      <c r="V35" s="384"/>
      <c r="W35" s="384"/>
      <c r="X35" s="384"/>
      <c r="Y35" s="384"/>
      <c r="Z35" s="384"/>
      <c r="AA35" s="384"/>
      <c r="AB35" s="384"/>
      <c r="AC35" s="384"/>
      <c r="AD35" s="384"/>
      <c r="AE35" s="384"/>
      <c r="AF35" s="384"/>
      <c r="AG35" s="384"/>
      <c r="AH35" s="384"/>
      <c r="AI35" s="384"/>
      <c r="AJ35" s="379"/>
      <c r="AK35" s="379"/>
      <c r="AL35" s="379"/>
      <c r="AM35" s="379"/>
      <c r="AN35" s="379"/>
    </row>
    <row r="36" spans="1:40">
      <c r="A36" s="379"/>
      <c r="B36" s="380"/>
      <c r="C36" s="381"/>
      <c r="D36" s="381"/>
      <c r="E36" s="381"/>
      <c r="F36" s="382"/>
      <c r="G36" s="379"/>
      <c r="H36" s="383"/>
      <c r="I36" s="383"/>
      <c r="J36" s="383"/>
      <c r="K36" s="383"/>
      <c r="L36" s="379"/>
      <c r="M36" s="379"/>
      <c r="N36" s="379"/>
      <c r="O36" s="379"/>
      <c r="P36" s="379"/>
      <c r="Q36" s="379"/>
      <c r="R36" s="379"/>
      <c r="S36" s="384"/>
      <c r="T36" s="379"/>
      <c r="U36" s="379"/>
      <c r="V36" s="384"/>
      <c r="W36" s="384"/>
      <c r="X36" s="384"/>
      <c r="Y36" s="384"/>
      <c r="Z36" s="384"/>
      <c r="AA36" s="384"/>
      <c r="AB36" s="384"/>
      <c r="AC36" s="384"/>
      <c r="AD36" s="384"/>
      <c r="AE36" s="384"/>
      <c r="AF36" s="384"/>
      <c r="AG36" s="384"/>
      <c r="AH36" s="384"/>
      <c r="AI36" s="384"/>
      <c r="AJ36" s="379"/>
      <c r="AK36" s="379"/>
      <c r="AL36" s="379"/>
      <c r="AM36" s="379"/>
      <c r="AN36" s="379"/>
    </row>
    <row r="37" spans="1:40">
      <c r="A37" s="379"/>
      <c r="B37" s="380"/>
      <c r="C37" s="381"/>
      <c r="D37" s="381"/>
      <c r="E37" s="381"/>
      <c r="F37" s="382"/>
      <c r="G37" s="379"/>
      <c r="H37" s="383"/>
      <c r="I37" s="383"/>
      <c r="J37" s="383"/>
      <c r="K37" s="383"/>
      <c r="L37" s="379"/>
      <c r="M37" s="379"/>
      <c r="N37" s="379"/>
      <c r="O37" s="379"/>
      <c r="P37" s="379"/>
      <c r="Q37" s="379"/>
      <c r="R37" s="379"/>
      <c r="S37" s="384"/>
      <c r="T37" s="379"/>
      <c r="U37" s="379"/>
      <c r="V37" s="384"/>
      <c r="W37" s="384"/>
      <c r="X37" s="384"/>
      <c r="Y37" s="384"/>
      <c r="Z37" s="384"/>
      <c r="AA37" s="384"/>
      <c r="AB37" s="384"/>
      <c r="AC37" s="384"/>
      <c r="AD37" s="384"/>
      <c r="AE37" s="384"/>
      <c r="AF37" s="384"/>
      <c r="AG37" s="384"/>
      <c r="AH37" s="384"/>
      <c r="AI37" s="384"/>
      <c r="AJ37" s="379"/>
      <c r="AK37" s="379"/>
      <c r="AL37" s="379"/>
      <c r="AM37" s="379"/>
      <c r="AN37" s="379"/>
    </row>
    <row r="38" spans="1:40">
      <c r="A38" s="379"/>
      <c r="B38" s="380"/>
      <c r="C38" s="381"/>
      <c r="D38" s="381"/>
      <c r="E38" s="381"/>
      <c r="F38" s="382"/>
      <c r="G38" s="379"/>
      <c r="H38" s="383"/>
      <c r="I38" s="383"/>
      <c r="J38" s="383"/>
      <c r="K38" s="383"/>
      <c r="L38" s="379"/>
      <c r="M38" s="379"/>
      <c r="N38" s="379"/>
      <c r="O38" s="379"/>
      <c r="P38" s="379"/>
      <c r="Q38" s="379"/>
      <c r="R38" s="379"/>
      <c r="S38" s="384"/>
      <c r="T38" s="379"/>
      <c r="U38" s="379"/>
      <c r="V38" s="384"/>
      <c r="W38" s="384"/>
      <c r="X38" s="384"/>
      <c r="Y38" s="384"/>
      <c r="Z38" s="384"/>
      <c r="AA38" s="384"/>
      <c r="AB38" s="384"/>
      <c r="AC38" s="384"/>
      <c r="AD38" s="384"/>
      <c r="AE38" s="384"/>
      <c r="AF38" s="384"/>
      <c r="AG38" s="384"/>
      <c r="AH38" s="384"/>
      <c r="AI38" s="384"/>
      <c r="AJ38" s="379"/>
      <c r="AK38" s="379"/>
      <c r="AL38" s="379"/>
      <c r="AM38" s="379"/>
      <c r="AN38" s="379"/>
    </row>
    <row r="39" spans="1:40">
      <c r="A39" s="379"/>
      <c r="B39" s="380"/>
      <c r="C39" s="381"/>
      <c r="D39" s="381"/>
      <c r="E39" s="381"/>
      <c r="F39" s="382"/>
      <c r="G39" s="379"/>
      <c r="H39" s="383"/>
      <c r="I39" s="383"/>
      <c r="J39" s="383"/>
      <c r="K39" s="383"/>
      <c r="L39" s="379"/>
      <c r="M39" s="379"/>
      <c r="N39" s="379"/>
      <c r="O39" s="379"/>
      <c r="P39" s="379"/>
      <c r="Q39" s="379"/>
      <c r="R39" s="379"/>
      <c r="S39" s="384"/>
      <c r="T39" s="379"/>
      <c r="U39" s="379"/>
      <c r="V39" s="384"/>
      <c r="W39" s="384"/>
      <c r="X39" s="384"/>
      <c r="Y39" s="384"/>
      <c r="Z39" s="384"/>
      <c r="AA39" s="384"/>
      <c r="AB39" s="384"/>
      <c r="AC39" s="384"/>
      <c r="AD39" s="384"/>
      <c r="AE39" s="384"/>
      <c r="AF39" s="384"/>
      <c r="AG39" s="384"/>
      <c r="AH39" s="384"/>
      <c r="AI39" s="384"/>
      <c r="AJ39" s="379"/>
      <c r="AK39" s="379"/>
      <c r="AL39" s="379"/>
      <c r="AM39" s="379"/>
      <c r="AN39" s="379"/>
    </row>
    <row r="40" spans="1:40">
      <c r="A40" s="379"/>
      <c r="B40" s="380"/>
      <c r="C40" s="381"/>
      <c r="D40" s="381"/>
      <c r="E40" s="381"/>
      <c r="F40" s="382"/>
      <c r="G40" s="379"/>
      <c r="H40" s="383"/>
      <c r="I40" s="383"/>
      <c r="J40" s="383"/>
      <c r="K40" s="383"/>
      <c r="L40" s="379"/>
      <c r="M40" s="379"/>
      <c r="N40" s="379"/>
      <c r="O40" s="379"/>
      <c r="P40" s="379"/>
      <c r="Q40" s="379"/>
      <c r="R40" s="379"/>
      <c r="S40" s="384"/>
      <c r="T40" s="379"/>
      <c r="U40" s="379"/>
      <c r="V40" s="384"/>
      <c r="W40" s="384"/>
      <c r="X40" s="384"/>
      <c r="Y40" s="384"/>
      <c r="Z40" s="384"/>
      <c r="AA40" s="384"/>
      <c r="AB40" s="384"/>
      <c r="AC40" s="384"/>
      <c r="AD40" s="384"/>
      <c r="AE40" s="384"/>
      <c r="AF40" s="384"/>
      <c r="AG40" s="384"/>
      <c r="AH40" s="384"/>
      <c r="AI40" s="384"/>
      <c r="AJ40" s="379"/>
      <c r="AK40" s="379"/>
      <c r="AL40" s="379"/>
      <c r="AM40" s="379"/>
      <c r="AN40" s="379"/>
    </row>
  </sheetData>
  <sheetProtection selectLockedCells="1"/>
  <phoneticPr fontId="11" type="noConversion"/>
  <pageMargins left="0.7" right="0.7" top="0.75" bottom="0.75" header="0.3" footer="0.3"/>
  <tableParts count="1">
    <tablePart r:id="rId1"/>
  </tableParts>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10522D5E-91D0-4166-B665-662FB2AEAD1C}">
          <x14:formula1>
            <xm:f>Lijsten!$A$3:$A$7</xm:f>
          </x14:formula1>
          <xm:sqref>B6:B40</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1A9463-D8E9-4C78-9C08-24B80675DCE0}">
  <sheetPr codeName="Blad7"/>
  <dimension ref="B2:N67"/>
  <sheetViews>
    <sheetView topLeftCell="A14" zoomScale="70" zoomScaleNormal="70" workbookViewId="0">
      <selection activeCell="G41" sqref="G41"/>
    </sheetView>
  </sheetViews>
  <sheetFormatPr defaultColWidth="9.140625" defaultRowHeight="15"/>
  <cols>
    <col min="1" max="1" width="9.140625" style="14"/>
    <col min="2" max="2" width="17.7109375" style="14" customWidth="1"/>
    <col min="3" max="3" width="26.85546875" style="14" bestFit="1" customWidth="1"/>
    <col min="4" max="4" width="23.85546875" style="14" bestFit="1" customWidth="1"/>
    <col min="5" max="5" width="13.42578125" style="14" customWidth="1"/>
    <col min="6" max="6" width="16.28515625" style="14" customWidth="1"/>
    <col min="7" max="7" width="17.42578125" style="14" customWidth="1"/>
    <col min="8" max="8" width="15.42578125" style="14" customWidth="1"/>
    <col min="9" max="9" width="14.42578125" style="14" customWidth="1"/>
    <col min="10" max="10" width="19.85546875" style="14" bestFit="1" customWidth="1"/>
    <col min="11" max="11" width="9.140625" style="14"/>
    <col min="12" max="12" width="14.85546875" style="14" customWidth="1"/>
    <col min="13" max="16384" width="9.140625" style="14"/>
  </cols>
  <sheetData>
    <row r="2" spans="2:10" ht="215.25" thickBot="1">
      <c r="B2" s="95" t="s">
        <v>214</v>
      </c>
      <c r="C2" s="95" t="s">
        <v>391</v>
      </c>
      <c r="D2" s="95" t="s">
        <v>392</v>
      </c>
      <c r="E2" s="95" t="s">
        <v>393</v>
      </c>
      <c r="F2" s="95" t="s">
        <v>394</v>
      </c>
      <c r="G2" s="95" t="s">
        <v>395</v>
      </c>
      <c r="H2" s="95" t="s">
        <v>396</v>
      </c>
      <c r="I2" s="96" t="s">
        <v>397</v>
      </c>
      <c r="J2" s="96" t="s">
        <v>398</v>
      </c>
    </row>
    <row r="3" spans="2:10" ht="15.75" thickTop="1">
      <c r="B3" s="207" t="str">
        <f>Baseline!B6</f>
        <v xml:space="preserve">121110 - Opbreken trottoirband </v>
      </c>
      <c r="C3" s="97">
        <f>Optimalisatie!D6-Baseline!D6</f>
        <v>0</v>
      </c>
      <c r="D3" s="92">
        <f>SUM(Optimalisatie_Backlog!D4:Q4)-SUM(Baseline_Backlog!D81:Q81)</f>
        <v>496.95171951964744</v>
      </c>
      <c r="E3" s="103">
        <f>SUM(Optimalisatie_Backlog!D109:Q109)-SUM(Baseline_Backlog!D109:Q109)</f>
        <v>0</v>
      </c>
      <c r="F3" s="103">
        <f>Optimalisatie_Backlog!F214-Baseline_Backlog!F214</f>
        <v>0</v>
      </c>
      <c r="G3" s="103">
        <f>Optimalisatie_Backlog!G214-Baseline_Backlog!G214</f>
        <v>0</v>
      </c>
      <c r="H3" s="122">
        <f>SUM(Optimalisatie_Backlog!D319:Q319)-SUM(Baseline_Backlog!D319:Q319)</f>
        <v>0</v>
      </c>
      <c r="I3" s="123">
        <f>SUM(Optimalisatie_Backlog!D424:Q424)-SUM(Baseline_Backlog!D424:Q424)</f>
        <v>0</v>
      </c>
      <c r="J3" s="124">
        <f>IFERROR(Monitoring_Totaal[[#This Row],[Meerprijs '[€']]]/Monitoring_Totaal[[#This Row],[MKI Reductie '[€']]],0)</f>
        <v>0</v>
      </c>
    </row>
    <row r="4" spans="2:10">
      <c r="B4" s="207" t="str">
        <f>Baseline!B7</f>
        <v>121120 - Opbreken RWS band</v>
      </c>
      <c r="C4" s="97">
        <f>Optimalisatie!D7-Baseline!D7</f>
        <v>0</v>
      </c>
      <c r="D4" s="92">
        <f>SUM(Optimalisatie_Backlog!D5:Q5)-SUM(Baseline_Backlog!D82:Q82)</f>
        <v>58.793011546811989</v>
      </c>
      <c r="E4" s="103">
        <f>SUM(Optimalisatie_Backlog!D110:Q110)-SUM(Baseline_Backlog!D110:Q110)</f>
        <v>0</v>
      </c>
      <c r="F4" s="103">
        <f>Optimalisatie_Backlog!F215-Baseline_Backlog!F215</f>
        <v>0</v>
      </c>
      <c r="G4" s="103">
        <f>Optimalisatie_Backlog!G215-Baseline_Backlog!G215</f>
        <v>0</v>
      </c>
      <c r="H4" s="122">
        <f>SUM(Optimalisatie_Backlog!D320:Q320)-SUM(Baseline_Backlog!D320:Q320)</f>
        <v>0</v>
      </c>
      <c r="I4" s="123">
        <f>SUM(Optimalisatie_Backlog!D425:Q425)-SUM(Baseline_Backlog!D425:Q425)</f>
        <v>0</v>
      </c>
      <c r="J4" s="124">
        <f>IFERROR(Monitoring_Totaal[[#This Row],[Meerprijs '[€']]]/Monitoring_Totaal[[#This Row],[MKI Reductie '[€']]],0)</f>
        <v>0</v>
      </c>
    </row>
    <row r="5" spans="2:10">
      <c r="B5" s="207" t="str">
        <f>Baseline!B8</f>
        <v>121140 - Opbreken Opsluitband</v>
      </c>
      <c r="C5" s="97">
        <f>Optimalisatie!D8-Baseline!D8</f>
        <v>0</v>
      </c>
      <c r="D5" s="92">
        <f>SUM(Optimalisatie_Backlog!D6:Q6)-SUM(Baseline_Backlog!D83:Q83)</f>
        <v>153.77699022336236</v>
      </c>
      <c r="E5" s="103">
        <f>SUM(Optimalisatie_Backlog!D111:Q111)-SUM(Baseline_Backlog!D111:Q111)</f>
        <v>0</v>
      </c>
      <c r="F5" s="103">
        <f>Optimalisatie_Backlog!F216-Baseline_Backlog!F216</f>
        <v>0</v>
      </c>
      <c r="G5" s="103">
        <f>Optimalisatie_Backlog!G216-Baseline_Backlog!G216</f>
        <v>0</v>
      </c>
      <c r="H5" s="122">
        <f>SUM(Optimalisatie_Backlog!D321:Q321)-SUM(Baseline_Backlog!D321:Q321)</f>
        <v>0</v>
      </c>
      <c r="I5" s="123">
        <f>SUM(Optimalisatie_Backlog!D426:Q426)-SUM(Baseline_Backlog!D426:Q426)</f>
        <v>0</v>
      </c>
      <c r="J5" s="124">
        <f>IFERROR(Monitoring_Totaal[[#This Row],[Meerprijs '[€']]]/Monitoring_Totaal[[#This Row],[MKI Reductie '[€']]],0)</f>
        <v>0</v>
      </c>
    </row>
    <row r="6" spans="2:10">
      <c r="B6" s="207" t="str">
        <f>Baseline!B9</f>
        <v>121310 - Opbreken betonstraatstenen</v>
      </c>
      <c r="C6" s="97">
        <f>Optimalisatie!D9-Baseline!D9</f>
        <v>0</v>
      </c>
      <c r="D6" s="92">
        <f>SUM(Optimalisatie_Backlog!D7:Q7)-SUM(Baseline_Backlog!D84:Q84)</f>
        <v>284.62342878977427</v>
      </c>
      <c r="E6" s="103">
        <f>SUM(Optimalisatie_Backlog!D112:Q112)-SUM(Baseline_Backlog!D112:Q112)</f>
        <v>0</v>
      </c>
      <c r="F6" s="103">
        <f>Optimalisatie_Backlog!F217-Baseline_Backlog!F217</f>
        <v>0</v>
      </c>
      <c r="G6" s="103">
        <f>Optimalisatie_Backlog!G217-Baseline_Backlog!G217</f>
        <v>0</v>
      </c>
      <c r="H6" s="122">
        <f>SUM(Optimalisatie_Backlog!D322:Q322)-SUM(Baseline_Backlog!D322:Q322)</f>
        <v>0</v>
      </c>
      <c r="I6" s="123">
        <f>SUM(Optimalisatie_Backlog!D427:Q427)-SUM(Baseline_Backlog!D427:Q427)</f>
        <v>0</v>
      </c>
      <c r="J6" s="124">
        <f>IFERROR(Monitoring_Totaal[[#This Row],[Meerprijs '[€']]]/Monitoring_Totaal[[#This Row],[MKI Reductie '[€']]],0)</f>
        <v>0</v>
      </c>
    </row>
    <row r="7" spans="2:10">
      <c r="B7" s="207" t="str">
        <f>Baseline!B10</f>
        <v>121320 - Opbreken straatbakstenen en geschikt maken voor hergebruik</v>
      </c>
      <c r="C7" s="97">
        <f>Optimalisatie!D10-Baseline!D10</f>
        <v>0</v>
      </c>
      <c r="D7" s="92">
        <f>SUM(Optimalisatie_Backlog!D8:Q8)-SUM(Baseline_Backlog!D85:Q85)</f>
        <v>-19547.98104244615</v>
      </c>
      <c r="E7" s="103">
        <f>SUM(Optimalisatie_Backlog!D113:Q113)-SUM(Baseline_Backlog!D113:Q113)</f>
        <v>0</v>
      </c>
      <c r="F7" s="103">
        <f>Optimalisatie_Backlog!F218-Baseline_Backlog!F218</f>
        <v>0</v>
      </c>
      <c r="G7" s="103">
        <f>Optimalisatie_Backlog!G218-Baseline_Backlog!G218</f>
        <v>0</v>
      </c>
      <c r="H7" s="122">
        <f>SUM(Optimalisatie_Backlog!D323:Q323)-SUM(Baseline_Backlog!D323:Q323)</f>
        <v>0</v>
      </c>
      <c r="I7" s="123">
        <f>SUM(Optimalisatie_Backlog!D428:Q428)-SUM(Baseline_Backlog!D428:Q428)</f>
        <v>0</v>
      </c>
      <c r="J7" s="124">
        <f>IFERROR(Monitoring_Totaal[[#This Row],[Meerprijs '[€']]]/Monitoring_Totaal[[#This Row],[MKI Reductie '[€']]],0)</f>
        <v>0</v>
      </c>
    </row>
    <row r="8" spans="2:10">
      <c r="B8" s="207" t="str">
        <f>Baseline!B11</f>
        <v>121330 - Opbreken en afvoeren straatbakstenen</v>
      </c>
      <c r="C8" s="97">
        <f>Optimalisatie!D11-Baseline!D11</f>
        <v>0</v>
      </c>
      <c r="D8" s="92">
        <f>SUM(Optimalisatie_Backlog!D9:Q9)-SUM(Baseline_Backlog!D86:Q86)</f>
        <v>473.89255845328006</v>
      </c>
      <c r="E8" s="103">
        <f>SUM(Optimalisatie_Backlog!D114:Q114)-SUM(Baseline_Backlog!D114:Q114)</f>
        <v>0</v>
      </c>
      <c r="F8" s="103">
        <f>Optimalisatie_Backlog!F219-Baseline_Backlog!F219</f>
        <v>0</v>
      </c>
      <c r="G8" s="103">
        <f>Optimalisatie_Backlog!G219-Baseline_Backlog!G219</f>
        <v>0</v>
      </c>
      <c r="H8" s="122">
        <f>SUM(Optimalisatie_Backlog!D324:Q324)-SUM(Baseline_Backlog!D324:Q324)</f>
        <v>0</v>
      </c>
      <c r="I8" s="123">
        <f>SUM(Optimalisatie_Backlog!D429:Q429)-SUM(Baseline_Backlog!D429:Q429)</f>
        <v>0</v>
      </c>
      <c r="J8" s="124">
        <f>IFERROR(Monitoring_Totaal[[#This Row],[Meerprijs '[€']]]/Monitoring_Totaal[[#This Row],[MKI Reductie '[€']]],0)</f>
        <v>0</v>
      </c>
    </row>
    <row r="9" spans="2:10">
      <c r="B9" s="207" t="str">
        <f>Baseline!B12</f>
        <v>121340 - Opbreken betontegels 300x300x45mm</v>
      </c>
      <c r="C9" s="97">
        <f>Optimalisatie!D12-Baseline!D12</f>
        <v>0</v>
      </c>
      <c r="D9" s="92">
        <f>SUM(Optimalisatie_Backlog!D10:Q10)-SUM(Baseline_Backlog!D87:Q87)</f>
        <v>1853.7022524776125</v>
      </c>
      <c r="E9" s="103">
        <f>SUM(Optimalisatie_Backlog!D115:Q115)-SUM(Baseline_Backlog!D115:Q115)</f>
        <v>0</v>
      </c>
      <c r="F9" s="103">
        <f>Optimalisatie_Backlog!F220-Baseline_Backlog!F220</f>
        <v>0</v>
      </c>
      <c r="G9" s="103">
        <f>Optimalisatie_Backlog!G220-Baseline_Backlog!G220</f>
        <v>0</v>
      </c>
      <c r="H9" s="122">
        <f>SUM(Optimalisatie_Backlog!D325:Q325)-SUM(Baseline_Backlog!D325:Q325)</f>
        <v>0</v>
      </c>
      <c r="I9" s="123">
        <f>SUM(Optimalisatie_Backlog!D430:Q430)-SUM(Baseline_Backlog!D430:Q430)</f>
        <v>0</v>
      </c>
      <c r="J9" s="124">
        <f>IFERROR(Monitoring_Totaal[[#This Row],[Meerprijs '[€']]]/Monitoring_Totaal[[#This Row],[MKI Reductie '[€']]],0)</f>
        <v>0</v>
      </c>
    </row>
    <row r="10" spans="2:10">
      <c r="B10" s="207" t="str">
        <f>Baseline!B13</f>
        <v>121410 - Opbreken en afvoeren asfaltverharding zwart teervrij</v>
      </c>
      <c r="C10" s="97">
        <f>Optimalisatie!D13-Baseline!D13</f>
        <v>0</v>
      </c>
      <c r="D10" s="92">
        <f>SUM(Optimalisatie_Backlog!D11:Q11)-SUM(Baseline_Backlog!D88:Q88)</f>
        <v>1225.0500857617558</v>
      </c>
      <c r="E10" s="103">
        <f>SUM(Optimalisatie_Backlog!D116:Q116)-SUM(Baseline_Backlog!D116:Q116)</f>
        <v>0</v>
      </c>
      <c r="F10" s="103">
        <f>Optimalisatie_Backlog!F221-Baseline_Backlog!F221</f>
        <v>0</v>
      </c>
      <c r="G10" s="103">
        <f>Optimalisatie_Backlog!G221-Baseline_Backlog!G221</f>
        <v>0</v>
      </c>
      <c r="H10" s="122">
        <f>SUM(Optimalisatie_Backlog!D326:Q326)-SUM(Baseline_Backlog!D326:Q326)</f>
        <v>0</v>
      </c>
      <c r="I10" s="123">
        <f>SUM(Optimalisatie_Backlog!D431:Q431)-SUM(Baseline_Backlog!D431:Q431)</f>
        <v>0</v>
      </c>
      <c r="J10" s="124">
        <f>IFERROR(Monitoring_Totaal[[#This Row],[Meerprijs '[€']]]/Monitoring_Totaal[[#This Row],[MKI Reductie '[€']]],0)</f>
        <v>0</v>
      </c>
    </row>
    <row r="11" spans="2:10">
      <c r="B11" s="207" t="str">
        <f>Baseline!B14</f>
        <v>121420 - Opbreken en afvoeren asfaltverharding rood teervrij</v>
      </c>
      <c r="C11" s="97">
        <f>Optimalisatie!D14-Baseline!D14</f>
        <v>0</v>
      </c>
      <c r="D11" s="92">
        <f>SUM(Optimalisatie_Backlog!D12:Q12)-SUM(Baseline_Backlog!D89:Q89)</f>
        <v>840.03434444646678</v>
      </c>
      <c r="E11" s="103">
        <f>SUM(Optimalisatie_Backlog!D117:Q117)-SUM(Baseline_Backlog!D117:Q117)</f>
        <v>0</v>
      </c>
      <c r="F11" s="103">
        <f>Optimalisatie_Backlog!F222-Baseline_Backlog!F222</f>
        <v>0</v>
      </c>
      <c r="G11" s="103">
        <f>Optimalisatie_Backlog!G222-Baseline_Backlog!G222</f>
        <v>0</v>
      </c>
      <c r="H11" s="122">
        <f>SUM(Optimalisatie_Backlog!D327:Q327)-SUM(Baseline_Backlog!D327:Q327)</f>
        <v>0</v>
      </c>
      <c r="I11" s="123">
        <f>SUM(Optimalisatie_Backlog!D432:Q432)-SUM(Baseline_Backlog!D432:Q432)</f>
        <v>0</v>
      </c>
      <c r="J11" s="124">
        <f>IFERROR(Monitoring_Totaal[[#This Row],[Meerprijs '[€']]]/Monitoring_Totaal[[#This Row],[MKI Reductie '[€']]],0)</f>
        <v>0</v>
      </c>
    </row>
    <row r="12" spans="2:10">
      <c r="B12" s="207" t="str">
        <f>Baseline!B15</f>
        <v>121510 - Opbreken fundering van menggranulaat, 400-200 mm dik</v>
      </c>
      <c r="C12" s="97">
        <f>Optimalisatie!D15-Baseline!D15</f>
        <v>0</v>
      </c>
      <c r="D12" s="92">
        <f>SUM(Optimalisatie_Backlog!D13:Q13)-SUM(Baseline_Backlog!D90:Q90)</f>
        <v>1052.4645366783334</v>
      </c>
      <c r="E12" s="103">
        <f>SUM(Optimalisatie_Backlog!D118:Q118)-SUM(Baseline_Backlog!D118:Q118)</f>
        <v>0</v>
      </c>
      <c r="F12" s="103">
        <f>Optimalisatie_Backlog!F223-Baseline_Backlog!F223</f>
        <v>0</v>
      </c>
      <c r="G12" s="103">
        <f>Optimalisatie_Backlog!G223-Baseline_Backlog!G223</f>
        <v>0</v>
      </c>
      <c r="H12" s="122">
        <f>SUM(Optimalisatie_Backlog!D328:Q328)-SUM(Baseline_Backlog!D328:Q328)</f>
        <v>0</v>
      </c>
      <c r="I12" s="123">
        <f>SUM(Optimalisatie_Backlog!D433:Q433)-SUM(Baseline_Backlog!D433:Q433)</f>
        <v>0</v>
      </c>
      <c r="J12" s="124">
        <f>IFERROR(Monitoring_Totaal[[#This Row],[Meerprijs '[€']]]/Monitoring_Totaal[[#This Row],[MKI Reductie '[€']]],0)</f>
        <v>0</v>
      </c>
    </row>
    <row r="13" spans="2:10">
      <c r="B13" s="207" t="str">
        <f>Baseline!B16</f>
        <v>121520 - Opbreken fundering van slakken 200-400 mm dik</v>
      </c>
      <c r="C13" s="97">
        <f>Optimalisatie!D16-Baseline!D16</f>
        <v>0</v>
      </c>
      <c r="D13" s="92">
        <f>SUM(Optimalisatie_Backlog!D14:Q14)-SUM(Baseline_Backlog!D91:Q91)</f>
        <v>300.97676392000005</v>
      </c>
      <c r="E13" s="103">
        <f>SUM(Optimalisatie_Backlog!D119:Q119)-SUM(Baseline_Backlog!D119:Q119)</f>
        <v>0</v>
      </c>
      <c r="F13" s="103">
        <f>Optimalisatie_Backlog!F224-Baseline_Backlog!F224</f>
        <v>0</v>
      </c>
      <c r="G13" s="103">
        <f>Optimalisatie_Backlog!G224-Baseline_Backlog!G224</f>
        <v>0</v>
      </c>
      <c r="H13" s="122">
        <f>SUM(Optimalisatie_Backlog!D329:Q329)-SUM(Baseline_Backlog!D329:Q329)</f>
        <v>0</v>
      </c>
      <c r="I13" s="123">
        <f>SUM(Optimalisatie_Backlog!D434:Q434)-SUM(Baseline_Backlog!D434:Q434)</f>
        <v>0</v>
      </c>
      <c r="J13" s="124">
        <f>IFERROR(Monitoring_Totaal[[#This Row],[Meerprijs '[€']]]/Monitoring_Totaal[[#This Row],[MKI Reductie '[€']]],0)</f>
        <v>0</v>
      </c>
    </row>
    <row r="14" spans="2:10">
      <c r="B14" s="207" t="str">
        <f>Baseline!B17</f>
        <v>121310 - Verwijderen en afvoeren kolken, incl aansluitingen</v>
      </c>
      <c r="C14" s="97">
        <f>Optimalisatie!D17-Baseline!D17</f>
        <v>0</v>
      </c>
      <c r="D14" s="92">
        <f>SUM(Optimalisatie_Backlog!D15:Q15)-SUM(Baseline_Backlog!D92:Q92)</f>
        <v>-158.18094360012014</v>
      </c>
      <c r="E14" s="103">
        <f>SUM(Optimalisatie_Backlog!D120:Q120)-SUM(Baseline_Backlog!D120:Q120)</f>
        <v>0</v>
      </c>
      <c r="F14" s="103">
        <f>Optimalisatie_Backlog!F225-Baseline_Backlog!F225</f>
        <v>0</v>
      </c>
      <c r="G14" s="103">
        <f>Optimalisatie_Backlog!G225-Baseline_Backlog!G225</f>
        <v>0</v>
      </c>
      <c r="H14" s="122">
        <f>SUM(Optimalisatie_Backlog!D330:Q330)-SUM(Baseline_Backlog!D330:Q330)</f>
        <v>0</v>
      </c>
      <c r="I14" s="123">
        <f>SUM(Optimalisatie_Backlog!D435:Q435)-SUM(Baseline_Backlog!D435:Q435)</f>
        <v>0</v>
      </c>
      <c r="J14" s="124">
        <f>IFERROR(Monitoring_Totaal[[#This Row],[Meerprijs '[€']]]/Monitoring_Totaal[[#This Row],[MKI Reductie '[€']]],0)</f>
        <v>0</v>
      </c>
    </row>
    <row r="15" spans="2:10">
      <c r="B15" s="207" t="str">
        <f>Baseline!B18</f>
        <v>210010 - Grond ontgraven uit cunet wegen en parkeervakken 0,25 m</v>
      </c>
      <c r="C15" s="97">
        <f>Optimalisatie!D18-Baseline!D18</f>
        <v>0</v>
      </c>
      <c r="D15" s="92">
        <f>SUM(Optimalisatie_Backlog!D16:Q16)-SUM(Baseline_Backlog!D93:Q93)</f>
        <v>1878.9994314283333</v>
      </c>
      <c r="E15" s="103">
        <f>SUM(Optimalisatie_Backlog!D121:Q121)-SUM(Baseline_Backlog!D121:Q121)</f>
        <v>0</v>
      </c>
      <c r="F15" s="103">
        <f>Optimalisatie_Backlog!F226-Baseline_Backlog!F226</f>
        <v>0</v>
      </c>
      <c r="G15" s="103">
        <f>Optimalisatie_Backlog!G226-Baseline_Backlog!G226</f>
        <v>0</v>
      </c>
      <c r="H15" s="122">
        <f>SUM(Optimalisatie_Backlog!D331:Q331)-SUM(Baseline_Backlog!D331:Q331)</f>
        <v>0</v>
      </c>
      <c r="I15" s="123">
        <f>SUM(Optimalisatie_Backlog!D436:Q436)-SUM(Baseline_Backlog!D436:Q436)</f>
        <v>0</v>
      </c>
      <c r="J15" s="124">
        <f>IFERROR(Monitoring_Totaal[[#This Row],[Meerprijs '[€']]]/Monitoring_Totaal[[#This Row],[MKI Reductie '[€']]],0)</f>
        <v>0</v>
      </c>
    </row>
    <row r="16" spans="2:10">
      <c r="B16" s="207" t="str">
        <f>Baseline!B19</f>
        <v>210020 - Grond ontgraven uit sleuf riolering (gerekend met 11,5m3/m1 riool)</v>
      </c>
      <c r="C16" s="97">
        <f>Optimalisatie!D19-Baseline!D19</f>
        <v>0</v>
      </c>
      <c r="D16" s="92">
        <f>SUM(Optimalisatie_Backlog!D17:Q17)-SUM(Baseline_Backlog!D94:Q94)</f>
        <v>3113.1047662312499</v>
      </c>
      <c r="E16" s="103">
        <f>SUM(Optimalisatie_Backlog!D122:Q122)-SUM(Baseline_Backlog!D122:Q122)</f>
        <v>0</v>
      </c>
      <c r="F16" s="103">
        <f>Optimalisatie_Backlog!F227-Baseline_Backlog!F227</f>
        <v>0</v>
      </c>
      <c r="G16" s="103">
        <f>Optimalisatie_Backlog!G227-Baseline_Backlog!G227</f>
        <v>0</v>
      </c>
      <c r="H16" s="122">
        <f>SUM(Optimalisatie_Backlog!D332:Q332)-SUM(Baseline_Backlog!D332:Q332)</f>
        <v>0</v>
      </c>
      <c r="I16" s="123">
        <f>SUM(Optimalisatie_Backlog!D437:Q437)-SUM(Baseline_Backlog!D437:Q437)</f>
        <v>0</v>
      </c>
      <c r="J16" s="124">
        <f>IFERROR(Monitoring_Totaal[[#This Row],[Meerprijs '[€']]]/Monitoring_Totaal[[#This Row],[MKI Reductie '[€']]],0)</f>
        <v>0</v>
      </c>
    </row>
    <row r="17" spans="2:13">
      <c r="B17" s="207" t="str">
        <f>Baseline!B20</f>
        <v>210030 - Grond ontgraven uit plantvak</v>
      </c>
      <c r="C17" s="97">
        <f>Optimalisatie!D20-Baseline!D20</f>
        <v>0</v>
      </c>
      <c r="D17" s="92">
        <f>SUM(Optimalisatie_Backlog!D18:Q18)-SUM(Baseline_Backlog!D95:Q95)</f>
        <v>1753.2337324323335</v>
      </c>
      <c r="E17" s="103">
        <f>SUM(Optimalisatie_Backlog!D123:Q123)-SUM(Baseline_Backlog!D123:Q123)</f>
        <v>0</v>
      </c>
      <c r="F17" s="103">
        <f>Optimalisatie_Backlog!F228-Baseline_Backlog!F228</f>
        <v>0</v>
      </c>
      <c r="G17" s="103">
        <f>Optimalisatie_Backlog!G228-Baseline_Backlog!G228</f>
        <v>0</v>
      </c>
      <c r="H17" s="122">
        <f>SUM(Optimalisatie_Backlog!D333:Q333)-SUM(Baseline_Backlog!D333:Q333)</f>
        <v>0</v>
      </c>
      <c r="I17" s="123">
        <f>SUM(Optimalisatie_Backlog!D438:Q438)-SUM(Baseline_Backlog!D438:Q438)</f>
        <v>0</v>
      </c>
      <c r="J17" s="124">
        <f>IFERROR(Monitoring_Totaal[[#This Row],[Meerprijs '[€']]]/Monitoring_Totaal[[#This Row],[MKI Reductie '[€']]],0)</f>
        <v>0</v>
      </c>
    </row>
    <row r="18" spans="2:13">
      <c r="B18" s="207" t="str">
        <f>Baseline!B21</f>
        <v>220010 - Grond verwerken in sleuf riolering</v>
      </c>
      <c r="C18" s="97">
        <f>Optimalisatie!D21-Baseline!D21</f>
        <v>0</v>
      </c>
      <c r="D18" s="92">
        <f>SUM(Optimalisatie_Backlog!D19:Q19)-SUM(Baseline_Backlog!D96:Q96)</f>
        <v>4699.89820243125</v>
      </c>
      <c r="E18" s="103">
        <f>SUM(Optimalisatie_Backlog!D124:Q124)-SUM(Baseline_Backlog!D124:Q124)</f>
        <v>0</v>
      </c>
      <c r="F18" s="103">
        <f>Optimalisatie_Backlog!F229-Baseline_Backlog!F229</f>
        <v>0</v>
      </c>
      <c r="G18" s="103">
        <f>Optimalisatie_Backlog!G229-Baseline_Backlog!G229</f>
        <v>0</v>
      </c>
      <c r="H18" s="122">
        <f>SUM(Optimalisatie_Backlog!D334:Q334)-SUM(Baseline_Backlog!D334:Q334)</f>
        <v>0</v>
      </c>
      <c r="I18" s="123">
        <f>SUM(Optimalisatie_Backlog!D439:Q439)-SUM(Baseline_Backlog!D439:Q439)</f>
        <v>0</v>
      </c>
      <c r="J18" s="124">
        <f>IFERROR(Monitoring_Totaal[[#This Row],[Meerprijs '[€']]]/Monitoring_Totaal[[#This Row],[MKI Reductie '[€']]],0)</f>
        <v>0</v>
      </c>
    </row>
    <row r="19" spans="2:13">
      <c r="B19" s="207" t="str">
        <f>Baseline!B22</f>
        <v>220020 - Leveren en aanbrengen zand voor zand (gemiddeld 100 mm)</v>
      </c>
      <c r="C19" s="97">
        <f>Optimalisatie!D22-Baseline!D22</f>
        <v>0</v>
      </c>
      <c r="D19" s="92">
        <f>SUM(Optimalisatie_Backlog!D20:Q20)-SUM(Baseline_Backlog!D97:Q97)</f>
        <v>6647.63709715</v>
      </c>
      <c r="E19" s="103">
        <f>SUM(Optimalisatie_Backlog!D125:Q125)-SUM(Baseline_Backlog!D125:Q125)</f>
        <v>0</v>
      </c>
      <c r="F19" s="103">
        <f>Optimalisatie_Backlog!F230-Baseline_Backlog!F230</f>
        <v>0</v>
      </c>
      <c r="G19" s="103">
        <f>Optimalisatie_Backlog!G230-Baseline_Backlog!G230</f>
        <v>0</v>
      </c>
      <c r="H19" s="122">
        <f>SUM(Optimalisatie_Backlog!D335:Q335)-SUM(Baseline_Backlog!D335:Q335)</f>
        <v>0</v>
      </c>
      <c r="I19" s="123">
        <f>SUM(Optimalisatie_Backlog!D440:Q440)-SUM(Baseline_Backlog!D440:Q440)</f>
        <v>0</v>
      </c>
      <c r="J19" s="124">
        <f>IFERROR(Monitoring_Totaal[[#This Row],[Meerprijs '[€']]]/Monitoring_Totaal[[#This Row],[MKI Reductie '[€']]],0)</f>
        <v>0</v>
      </c>
    </row>
    <row r="20" spans="2:13">
      <c r="B20" s="207" t="str">
        <f>Baseline!B23</f>
        <v>322020 - Leveren en aanbrengen rioolbuis van Beton Ø400mm</v>
      </c>
      <c r="C20" s="97">
        <f>Optimalisatie!D23-Baseline!D23</f>
        <v>0</v>
      </c>
      <c r="D20" s="92">
        <f>SUM(Optimalisatie_Backlog!D21:Q21)-SUM(Baseline_Backlog!D98:Q98)</f>
        <v>1509.2121748295399</v>
      </c>
      <c r="E20" s="103">
        <f>SUM(Optimalisatie_Backlog!D126:Q126)-SUM(Baseline_Backlog!D126:Q126)</f>
        <v>0</v>
      </c>
      <c r="F20" s="103">
        <f>Optimalisatie_Backlog!F231-Baseline_Backlog!F231</f>
        <v>0</v>
      </c>
      <c r="G20" s="103">
        <f>Optimalisatie_Backlog!G231-Baseline_Backlog!G231</f>
        <v>0</v>
      </c>
      <c r="H20" s="122">
        <f>SUM(Optimalisatie_Backlog!D336:Q336)-SUM(Baseline_Backlog!D336:Q336)</f>
        <v>0</v>
      </c>
      <c r="I20" s="123">
        <f>SUM(Optimalisatie_Backlog!D441:Q441)-SUM(Baseline_Backlog!D441:Q441)</f>
        <v>0</v>
      </c>
      <c r="J20" s="124">
        <f>IFERROR(Monitoring_Totaal[[#This Row],[Meerprijs '[€']]]/Monitoring_Totaal[[#This Row],[MKI Reductie '[€']]],0)</f>
        <v>0</v>
      </c>
    </row>
    <row r="21" spans="2:13">
      <c r="B21" s="207" t="str">
        <f>Baseline!B24</f>
        <v>322070 - Leveren en aanbrengen rioolbuis van Beton IT Ø400mm</v>
      </c>
      <c r="C21" s="97">
        <f>Optimalisatie!D24-Baseline!D24</f>
        <v>0</v>
      </c>
      <c r="D21" s="92">
        <f>SUM(Optimalisatie_Backlog!D22:Q22)-SUM(Baseline_Backlog!D99:Q99)</f>
        <v>1194.7929717400525</v>
      </c>
      <c r="E21" s="103">
        <f>SUM(Optimalisatie_Backlog!D127:Q127)-SUM(Baseline_Backlog!D127:Q127)</f>
        <v>0</v>
      </c>
      <c r="F21" s="103">
        <f>Optimalisatie_Backlog!F232-Baseline_Backlog!F232</f>
        <v>0</v>
      </c>
      <c r="G21" s="103">
        <f>Optimalisatie_Backlog!G232-Baseline_Backlog!G232</f>
        <v>0</v>
      </c>
      <c r="H21" s="122">
        <f>SUM(Optimalisatie_Backlog!D337:Q337)-SUM(Baseline_Backlog!D337:Q337)</f>
        <v>0</v>
      </c>
      <c r="I21" s="123">
        <f>SUM(Optimalisatie_Backlog!D442:Q442)-SUM(Baseline_Backlog!D442:Q442)</f>
        <v>0</v>
      </c>
      <c r="J21" s="124">
        <f>IFERROR(Monitoring_Totaal[[#This Row],[Meerprijs '[€']]]/Monitoring_Totaal[[#This Row],[MKI Reductie '[€']]],0)</f>
        <v>0</v>
      </c>
    </row>
    <row r="26" spans="2:13" ht="18.75">
      <c r="E26" s="104" t="s">
        <v>392</v>
      </c>
      <c r="L26" s="192" t="s">
        <v>399</v>
      </c>
    </row>
    <row r="27" spans="2:13" ht="18.75" thickBot="1">
      <c r="B27" s="13"/>
      <c r="C27" s="55" t="s">
        <v>400</v>
      </c>
      <c r="D27" s="111" t="s">
        <v>401</v>
      </c>
      <c r="E27" s="444"/>
      <c r="F27" s="444"/>
      <c r="G27" s="104"/>
      <c r="H27" s="13"/>
    </row>
    <row r="28" spans="2:13" ht="19.5" thickBot="1">
      <c r="B28" s="13"/>
      <c r="C28" s="105">
        <f>Baseline!D113</f>
        <v>81746.936381935957</v>
      </c>
      <c r="D28" s="105">
        <f>Optimalisatie!D116</f>
        <v>81746.936381935957</v>
      </c>
      <c r="E28" s="445">
        <f>Optimalisatie!D116-Baseline!D113</f>
        <v>0</v>
      </c>
      <c r="F28" s="446"/>
      <c r="G28" s="81">
        <f>IFERROR(D28/C28,1)+IF(C28=0,0,-1)</f>
        <v>0</v>
      </c>
      <c r="H28" s="13"/>
      <c r="L28" s="200">
        <f>G28</f>
        <v>0</v>
      </c>
      <c r="M28" s="201" t="s">
        <v>402</v>
      </c>
    </row>
    <row r="29" spans="2:13">
      <c r="B29" s="13"/>
      <c r="E29" s="13"/>
      <c r="F29" s="13"/>
      <c r="G29" s="13"/>
      <c r="H29" s="13"/>
    </row>
    <row r="30" spans="2:13">
      <c r="B30" s="13"/>
      <c r="F30" s="13"/>
      <c r="G30" s="13"/>
      <c r="H30" s="13"/>
    </row>
    <row r="31" spans="2:13" ht="18">
      <c r="B31" s="13"/>
      <c r="E31" s="104" t="s">
        <v>403</v>
      </c>
      <c r="F31" s="13"/>
      <c r="G31" s="13"/>
      <c r="H31" s="13"/>
    </row>
    <row r="32" spans="2:13" ht="19.5" thickBot="1">
      <c r="B32" s="13"/>
      <c r="C32" s="55" t="s">
        <v>400</v>
      </c>
      <c r="D32" s="111" t="s">
        <v>401</v>
      </c>
      <c r="E32" s="444"/>
      <c r="F32" s="444"/>
      <c r="G32" s="104"/>
      <c r="H32" s="13"/>
      <c r="L32" s="194"/>
      <c r="M32" s="194"/>
    </row>
    <row r="33" spans="2:14" ht="21.75" thickBot="1">
      <c r="B33" s="13"/>
      <c r="C33" s="114">
        <f>Baseline!D135</f>
        <v>615.21424859950707</v>
      </c>
      <c r="D33" s="113">
        <f>Optimalisatie!D128</f>
        <v>615.21424859950707</v>
      </c>
      <c r="E33" s="423">
        <f>Optimalisatie!D128-Baseline!D135</f>
        <v>0</v>
      </c>
      <c r="F33" s="425"/>
      <c r="G33" s="81">
        <f>IFERROR(D33/C33,1)+IF(C33=0,0,-1)</f>
        <v>0</v>
      </c>
      <c r="H33" s="13"/>
      <c r="L33" s="200">
        <f>G33</f>
        <v>0</v>
      </c>
      <c r="M33" s="201" t="s">
        <v>404</v>
      </c>
      <c r="N33" s="202"/>
    </row>
    <row r="34" spans="2:14" ht="18.75">
      <c r="B34" s="13"/>
      <c r="E34" s="13"/>
      <c r="F34" s="13"/>
      <c r="G34" s="13"/>
      <c r="H34" s="13"/>
      <c r="L34" s="194"/>
      <c r="M34" s="194"/>
    </row>
    <row r="35" spans="2:14" ht="18.75">
      <c r="B35" s="13"/>
      <c r="E35" s="13"/>
      <c r="F35" s="13"/>
      <c r="G35" s="13"/>
      <c r="H35" s="13"/>
      <c r="L35" s="194"/>
      <c r="M35" s="194"/>
    </row>
    <row r="36" spans="2:14" ht="18.75">
      <c r="B36" s="13"/>
      <c r="E36" s="104" t="s">
        <v>405</v>
      </c>
      <c r="F36" s="13"/>
      <c r="G36" s="13"/>
      <c r="H36" s="13"/>
      <c r="L36" s="194"/>
      <c r="M36" s="194"/>
    </row>
    <row r="37" spans="2:14" ht="19.5" thickBot="1">
      <c r="B37" s="13"/>
      <c r="C37" s="55" t="s">
        <v>400</v>
      </c>
      <c r="D37" s="111" t="s">
        <v>401</v>
      </c>
      <c r="E37" s="444"/>
      <c r="F37" s="444"/>
      <c r="G37" s="104"/>
      <c r="H37" s="13"/>
      <c r="L37" s="194"/>
      <c r="M37" s="194"/>
    </row>
    <row r="38" spans="2:14" ht="21.75" thickBot="1">
      <c r="B38" s="13"/>
      <c r="C38" s="112">
        <f>Baseline!D138</f>
        <v>12406.89629521266</v>
      </c>
      <c r="D38" s="115">
        <f>Optimalisatie!D131</f>
        <v>12406.89629521266</v>
      </c>
      <c r="E38" s="423">
        <f>Optimalisatie!D131-Baseline!D138</f>
        <v>0</v>
      </c>
      <c r="F38" s="425"/>
      <c r="G38" s="81">
        <f>IFERROR(D38/C38,1)+IF(C38=0,0,-1)</f>
        <v>0</v>
      </c>
      <c r="H38" s="55" t="s">
        <v>406</v>
      </c>
      <c r="L38" s="193">
        <f t="shared" ref="L38:M40" si="0">G38</f>
        <v>0</v>
      </c>
      <c r="M38" s="192" t="str">
        <f t="shared" si="0"/>
        <v>Aandeel Primaire grondstoffen</v>
      </c>
    </row>
    <row r="39" spans="2:14" ht="21.75" thickBot="1">
      <c r="B39" s="13"/>
      <c r="C39" s="112">
        <f>Baseline!D139</f>
        <v>94414.091564787333</v>
      </c>
      <c r="D39" s="115">
        <f>Optimalisatie!D132</f>
        <v>94414.091564787333</v>
      </c>
      <c r="E39" s="423">
        <f>Optimalisatie!D132-Baseline!D139</f>
        <v>0</v>
      </c>
      <c r="F39" s="425"/>
      <c r="G39" s="81">
        <f>IFERROR(D39/C39,1)+IF(C39=0,0,-1)</f>
        <v>0</v>
      </c>
      <c r="H39" s="55" t="s">
        <v>407</v>
      </c>
      <c r="L39" s="193">
        <f t="shared" si="0"/>
        <v>0</v>
      </c>
      <c r="M39" s="192" t="str">
        <f t="shared" si="0"/>
        <v>Aandeel Secundaire grondstoffen</v>
      </c>
    </row>
    <row r="40" spans="2:14" ht="21.75" thickBot="1">
      <c r="B40" s="13"/>
      <c r="C40" s="112">
        <f>Baseline!D140</f>
        <v>106820.98785999999</v>
      </c>
      <c r="D40" s="115">
        <f>Optimalisatie!D133</f>
        <v>106820.98785999999</v>
      </c>
      <c r="E40" s="423">
        <f>Optimalisatie!D133-Baseline!D140</f>
        <v>0</v>
      </c>
      <c r="F40" s="425"/>
      <c r="G40" s="81">
        <f>IFERROR(D40/C40,1)+IF(C40=0,0,-1)</f>
        <v>0</v>
      </c>
      <c r="H40" s="55" t="s">
        <v>408</v>
      </c>
      <c r="L40" s="200">
        <f t="shared" si="0"/>
        <v>0</v>
      </c>
      <c r="M40" s="201" t="str">
        <f t="shared" si="0"/>
        <v>Totaal Grondstoffen</v>
      </c>
    </row>
    <row r="41" spans="2:14" ht="18.75">
      <c r="B41" s="13"/>
      <c r="E41" s="13"/>
      <c r="F41" s="13"/>
      <c r="G41" s="13"/>
      <c r="H41" s="13"/>
      <c r="L41" s="194"/>
      <c r="M41" s="194"/>
    </row>
    <row r="42" spans="2:14" ht="18.75">
      <c r="B42" s="13"/>
      <c r="E42" s="104" t="s">
        <v>409</v>
      </c>
      <c r="F42" s="13"/>
      <c r="G42" s="13"/>
      <c r="H42" s="13"/>
      <c r="L42" s="194"/>
      <c r="M42" s="194"/>
    </row>
    <row r="43" spans="2:14" ht="19.5" thickBot="1">
      <c r="B43" s="13"/>
      <c r="C43" s="55" t="s">
        <v>400</v>
      </c>
      <c r="D43" s="111" t="s">
        <v>401</v>
      </c>
      <c r="E43" s="444"/>
      <c r="F43" s="444"/>
      <c r="G43" s="104"/>
      <c r="H43" s="13"/>
      <c r="L43" s="194"/>
      <c r="M43" s="194"/>
    </row>
    <row r="44" spans="2:14" ht="21" thickBot="1">
      <c r="B44" s="13"/>
      <c r="C44" s="116">
        <f>Baseline!D143</f>
        <v>245.26259383418196</v>
      </c>
      <c r="D44" s="115">
        <f>Optimalisatie!D136</f>
        <v>245.26259383418196</v>
      </c>
      <c r="E44" s="423">
        <f>Optimalisatie!D136-Baseline!D143</f>
        <v>0</v>
      </c>
      <c r="F44" s="425"/>
      <c r="G44" s="81">
        <f>IFERROR(D44/C44,1)+IF(C44=0,0,-1)</f>
        <v>0</v>
      </c>
      <c r="H44" s="55" t="s">
        <v>410</v>
      </c>
      <c r="L44" s="193">
        <f t="shared" ref="L44:M46" si="1">G44</f>
        <v>0</v>
      </c>
      <c r="M44" s="192" t="str">
        <f t="shared" si="1"/>
        <v>Aandeel Hernieuwbare energie</v>
      </c>
    </row>
    <row r="45" spans="2:14" ht="21" thickBot="1">
      <c r="B45" s="13"/>
      <c r="C45" s="116">
        <f>Baseline!D144</f>
        <v>2949.6211082591999</v>
      </c>
      <c r="D45" s="115">
        <f>Optimalisatie!D137</f>
        <v>2949.6211082591999</v>
      </c>
      <c r="E45" s="423">
        <f>Optimalisatie!D137-Baseline!D144</f>
        <v>0</v>
      </c>
      <c r="F45" s="425"/>
      <c r="G45" s="81">
        <f>IFERROR(D45/C45,1)+IF(C45=0,0,-1)</f>
        <v>0</v>
      </c>
      <c r="H45" s="55" t="s">
        <v>411</v>
      </c>
      <c r="L45" s="193">
        <f t="shared" si="1"/>
        <v>0</v>
      </c>
      <c r="M45" s="192" t="str">
        <f t="shared" si="1"/>
        <v>Aandeel Fossiele energie</v>
      </c>
    </row>
    <row r="46" spans="2:14" ht="21" thickBot="1">
      <c r="B46" s="13"/>
      <c r="C46" s="116">
        <f>Baseline!D145</f>
        <v>3194.883702093382</v>
      </c>
      <c r="D46" s="115">
        <f>Optimalisatie!D138</f>
        <v>3194.883702093382</v>
      </c>
      <c r="E46" s="423">
        <f>Optimalisatie!D138-Baseline!D145</f>
        <v>0</v>
      </c>
      <c r="F46" s="425"/>
      <c r="G46" s="81">
        <f>IFERROR(D46/C46,1)+IF(C46=0,0,-1)</f>
        <v>0</v>
      </c>
      <c r="H46" s="55" t="s">
        <v>69</v>
      </c>
      <c r="L46" s="200">
        <f t="shared" si="1"/>
        <v>0</v>
      </c>
      <c r="M46" s="201" t="str">
        <f t="shared" si="1"/>
        <v>Totaal Energie</v>
      </c>
      <c r="N46" s="202"/>
    </row>
    <row r="47" spans="2:14" ht="18.75">
      <c r="L47" s="194"/>
      <c r="M47" s="194"/>
    </row>
    <row r="48" spans="2:14" ht="18.75">
      <c r="L48" s="194"/>
      <c r="M48" s="194"/>
    </row>
    <row r="49" spans="3:14" ht="18.75">
      <c r="E49" s="104" t="s">
        <v>123</v>
      </c>
      <c r="G49" s="110"/>
      <c r="H49" s="110"/>
      <c r="L49" s="194"/>
      <c r="M49" s="194"/>
    </row>
    <row r="50" spans="3:14" ht="18.75">
      <c r="L50" s="194"/>
      <c r="M50" s="194"/>
    </row>
    <row r="51" spans="3:14" ht="19.5" thickBot="1">
      <c r="C51" s="118" t="s">
        <v>400</v>
      </c>
      <c r="D51" s="119" t="s">
        <v>401</v>
      </c>
      <c r="E51" s="444"/>
      <c r="F51" s="444"/>
      <c r="L51" s="194"/>
      <c r="M51" s="194"/>
    </row>
    <row r="52" spans="3:14" ht="19.5" thickBot="1">
      <c r="C52" s="117">
        <f>Baseline!D148</f>
        <v>0</v>
      </c>
      <c r="D52" s="117">
        <f>Optimalisatie!D141</f>
        <v>0</v>
      </c>
      <c r="E52" s="423">
        <f>Optimalisatie!D141-Baseline!D148</f>
        <v>0</v>
      </c>
      <c r="F52" s="424"/>
      <c r="G52" s="81">
        <f>IFERROR(D52/C52,1)+IF(C52=0,0,-1)</f>
        <v>1</v>
      </c>
      <c r="H52" s="55" t="s">
        <v>412</v>
      </c>
      <c r="L52" s="193">
        <f t="shared" ref="L52:M54" si="2">G52</f>
        <v>1</v>
      </c>
      <c r="M52" s="192" t="str">
        <f t="shared" si="2"/>
        <v>Aandeel Emissieloos Transport</v>
      </c>
    </row>
    <row r="53" spans="3:14" ht="19.5" thickBot="1">
      <c r="C53" s="117">
        <f>Baseline!D150-Baseline!D148</f>
        <v>1346243.9508499999</v>
      </c>
      <c r="D53" s="117">
        <f>Optimalisatie!D143-Optimalisatie!D141</f>
        <v>1346243.9508499999</v>
      </c>
      <c r="E53" s="423">
        <f>Optimalisatie!D143-Baseline!D150</f>
        <v>0</v>
      </c>
      <c r="F53" s="424"/>
      <c r="G53" s="81">
        <f>IFERROR(D53/C53,1)+IF(C53=0,0,-1)</f>
        <v>0</v>
      </c>
      <c r="H53" s="55" t="s">
        <v>413</v>
      </c>
      <c r="L53" s="193">
        <f t="shared" si="2"/>
        <v>0</v>
      </c>
      <c r="M53" s="192" t="str">
        <f t="shared" si="2"/>
        <v>Aandeel Niet Emissieloos Transport</v>
      </c>
    </row>
    <row r="54" spans="3:14" ht="19.5" thickBot="1">
      <c r="C54" s="117">
        <f>C53+C52</f>
        <v>1346243.9508499999</v>
      </c>
      <c r="D54" s="117">
        <f>D53+D52</f>
        <v>1346243.9508499999</v>
      </c>
      <c r="E54" s="442">
        <f>E53+E52</f>
        <v>0</v>
      </c>
      <c r="F54" s="443"/>
      <c r="G54" s="81">
        <f>IFERROR(D54/C54,1)+IF(C54=0,0,-1)</f>
        <v>0</v>
      </c>
      <c r="H54" s="55" t="s">
        <v>134</v>
      </c>
      <c r="L54" s="200">
        <f t="shared" si="2"/>
        <v>0</v>
      </c>
      <c r="M54" s="201" t="str">
        <f t="shared" si="2"/>
        <v>Totaal Transport</v>
      </c>
      <c r="N54" s="202"/>
    </row>
    <row r="55" spans="3:14" ht="18.75">
      <c r="L55" s="194"/>
      <c r="M55" s="194"/>
    </row>
    <row r="56" spans="3:14" ht="18.75">
      <c r="E56" s="104" t="s">
        <v>414</v>
      </c>
      <c r="G56" s="110"/>
      <c r="H56" s="110"/>
      <c r="L56" s="194"/>
      <c r="M56" s="194"/>
    </row>
    <row r="57" spans="3:14" ht="18.75">
      <c r="L57" s="194"/>
      <c r="M57" s="194"/>
    </row>
    <row r="58" spans="3:14" ht="19.5" thickBot="1">
      <c r="C58" s="118" t="s">
        <v>400</v>
      </c>
      <c r="D58" s="119" t="s">
        <v>401</v>
      </c>
      <c r="E58" s="444"/>
      <c r="F58" s="444"/>
      <c r="L58" s="193"/>
      <c r="M58" s="194"/>
    </row>
    <row r="59" spans="3:14" ht="19.5" thickBot="1">
      <c r="C59" s="117">
        <f>Baseline!D153</f>
        <v>0</v>
      </c>
      <c r="D59" s="117">
        <f>Optimalisatie!D146</f>
        <v>0</v>
      </c>
      <c r="E59" s="423">
        <f>D59-C59</f>
        <v>0</v>
      </c>
      <c r="F59" s="424"/>
      <c r="G59" s="81">
        <f>IFERROR(D59/C59,1)+IF(C59=0,0,-1)</f>
        <v>1</v>
      </c>
      <c r="H59" s="55" t="s">
        <v>415</v>
      </c>
      <c r="L59" s="193">
        <f t="shared" ref="L59:M61" si="3">G59</f>
        <v>1</v>
      </c>
      <c r="M59" s="192" t="str">
        <f t="shared" si="3"/>
        <v>Emissieloos Materieel</v>
      </c>
    </row>
    <row r="60" spans="3:14" ht="19.5" thickBot="1">
      <c r="C60" s="117">
        <f>Baseline!D155-Baseline!D153</f>
        <v>4545.531722222222</v>
      </c>
      <c r="D60" s="117">
        <f>Optimalisatie!D148-Optimalisatie!D146</f>
        <v>4545.531722222222</v>
      </c>
      <c r="E60" s="423">
        <f>D60-C60</f>
        <v>0</v>
      </c>
      <c r="F60" s="424"/>
      <c r="G60" s="81">
        <f>IFERROR(D60/C60,1)+IF(C60=0,0,-1)</f>
        <v>0</v>
      </c>
      <c r="H60" s="55" t="s">
        <v>416</v>
      </c>
      <c r="L60" s="193">
        <f t="shared" si="3"/>
        <v>0</v>
      </c>
      <c r="M60" s="192" t="str">
        <f t="shared" si="3"/>
        <v>Niet Emissieloos Materieel</v>
      </c>
    </row>
    <row r="61" spans="3:14" ht="19.5" thickBot="1">
      <c r="C61" s="117">
        <f>C60+C59</f>
        <v>4545.531722222222</v>
      </c>
      <c r="D61" s="117">
        <f>D60+D59</f>
        <v>4545.531722222222</v>
      </c>
      <c r="E61" s="423">
        <f>D61-C61</f>
        <v>0</v>
      </c>
      <c r="F61" s="424"/>
      <c r="G61" s="81">
        <f>IFERROR(D61/C61,1)+IF(C61=0,0,-1)</f>
        <v>0</v>
      </c>
      <c r="H61" s="55" t="s">
        <v>417</v>
      </c>
      <c r="L61" s="200">
        <f t="shared" si="3"/>
        <v>0</v>
      </c>
      <c r="M61" s="201" t="str">
        <f t="shared" si="3"/>
        <v>Totaal Materieel</v>
      </c>
    </row>
    <row r="62" spans="3:14" ht="18.75">
      <c r="E62" s="104" t="s">
        <v>391</v>
      </c>
      <c r="L62" s="194"/>
      <c r="M62" s="194"/>
    </row>
    <row r="63" spans="3:14" ht="19.5" thickBot="1">
      <c r="C63" s="55" t="s">
        <v>400</v>
      </c>
      <c r="D63" s="111" t="s">
        <v>401</v>
      </c>
      <c r="E63" s="444"/>
      <c r="F63" s="444"/>
      <c r="G63" s="104"/>
      <c r="L63" s="194"/>
      <c r="M63" s="194"/>
    </row>
    <row r="64" spans="3:14" ht="19.5" thickBot="1">
      <c r="C64" s="82">
        <f>SUM(Invoer_Referentie[Kostenraming '[€']])</f>
        <v>0</v>
      </c>
      <c r="D64" s="82">
        <f>SUM(Invoer_Inschrijf[Inschrijfprijs '[€']])</f>
        <v>0</v>
      </c>
      <c r="E64" s="447">
        <f>D64-C64</f>
        <v>0</v>
      </c>
      <c r="F64" s="448"/>
      <c r="G64" s="81">
        <f>IFERROR(D64/C64,1)-1</f>
        <v>0</v>
      </c>
      <c r="H64" s="55" t="s">
        <v>418</v>
      </c>
      <c r="L64" s="193">
        <f>G64</f>
        <v>0</v>
      </c>
      <c r="M64" s="192" t="str">
        <f>H64</f>
        <v>Totale meerprijs</v>
      </c>
    </row>
    <row r="65" spans="3:13" ht="19.5" thickBot="1">
      <c r="C65" s="121">
        <f>C64/C28</f>
        <v>0</v>
      </c>
      <c r="D65" s="121">
        <f>D64/D28</f>
        <v>0</v>
      </c>
      <c r="E65" s="449" t="e">
        <f>E64/-E28</f>
        <v>#DIV/0!</v>
      </c>
      <c r="F65" s="450"/>
      <c r="G65" s="191"/>
      <c r="H65" s="55" t="s">
        <v>398</v>
      </c>
      <c r="L65" s="193" t="s">
        <v>419</v>
      </c>
      <c r="M65" s="192" t="str">
        <f>H65</f>
        <v>€ / MKI</v>
      </c>
    </row>
    <row r="66" spans="3:13" ht="18.75">
      <c r="M66" s="194"/>
    </row>
    <row r="67" spans="3:13" ht="18.75">
      <c r="M67" s="194"/>
    </row>
  </sheetData>
  <mergeCells count="23">
    <mergeCell ref="E64:F64"/>
    <mergeCell ref="E65:F65"/>
    <mergeCell ref="E43:F43"/>
    <mergeCell ref="E37:F37"/>
    <mergeCell ref="E32:F32"/>
    <mergeCell ref="E33:F33"/>
    <mergeCell ref="E38:F38"/>
    <mergeCell ref="E39:F39"/>
    <mergeCell ref="E40:F40"/>
    <mergeCell ref="E44:F44"/>
    <mergeCell ref="E45:F45"/>
    <mergeCell ref="E46:F46"/>
    <mergeCell ref="E58:F58"/>
    <mergeCell ref="E59:F59"/>
    <mergeCell ref="E60:F60"/>
    <mergeCell ref="E52:F52"/>
    <mergeCell ref="E61:F61"/>
    <mergeCell ref="E54:F54"/>
    <mergeCell ref="E27:F27"/>
    <mergeCell ref="E63:F63"/>
    <mergeCell ref="E51:F51"/>
    <mergeCell ref="E28:F28"/>
    <mergeCell ref="E53:F53"/>
  </mergeCells>
  <conditionalFormatting sqref="E28">
    <cfRule type="cellIs" dxfId="478" priority="108" operator="greaterThan">
      <formula>0</formula>
    </cfRule>
    <cfRule type="cellIs" dxfId="477" priority="107" operator="lessThan">
      <formula>0</formula>
    </cfRule>
  </conditionalFormatting>
  <conditionalFormatting sqref="E33">
    <cfRule type="cellIs" dxfId="476" priority="106" operator="greaterThan">
      <formula>0</formula>
    </cfRule>
    <cfRule type="cellIs" dxfId="475" priority="105" operator="lessThan">
      <formula>0</formula>
    </cfRule>
  </conditionalFormatting>
  <conditionalFormatting sqref="E38">
    <cfRule type="cellIs" dxfId="474" priority="104" operator="greaterThan">
      <formula>0</formula>
    </cfRule>
    <cfRule type="cellIs" dxfId="473" priority="103" operator="lessThan">
      <formula>0</formula>
    </cfRule>
  </conditionalFormatting>
  <conditionalFormatting sqref="E39">
    <cfRule type="cellIs" dxfId="472" priority="102" operator="greaterThan">
      <formula>0</formula>
    </cfRule>
    <cfRule type="cellIs" dxfId="471" priority="101" operator="lessThan">
      <formula>0</formula>
    </cfRule>
  </conditionalFormatting>
  <conditionalFormatting sqref="E44">
    <cfRule type="cellIs" dxfId="470" priority="96" operator="lessThan">
      <formula>0</formula>
    </cfRule>
    <cfRule type="cellIs" dxfId="469" priority="95" operator="greaterThan">
      <formula>0</formula>
    </cfRule>
  </conditionalFormatting>
  <conditionalFormatting sqref="E45:E46">
    <cfRule type="cellIs" dxfId="468" priority="91" operator="lessThan">
      <formula>0</formula>
    </cfRule>
    <cfRule type="cellIs" dxfId="467" priority="92" operator="greaterThan">
      <formula>0</formula>
    </cfRule>
  </conditionalFormatting>
  <conditionalFormatting sqref="E52">
    <cfRule type="cellIs" dxfId="466" priority="90" operator="lessThan">
      <formula>0</formula>
    </cfRule>
    <cfRule type="cellIs" dxfId="465" priority="89" operator="greaterThan">
      <formula>0</formula>
    </cfRule>
  </conditionalFormatting>
  <conditionalFormatting sqref="E53">
    <cfRule type="cellIs" dxfId="464" priority="86" operator="greaterThan">
      <formula>0</formula>
    </cfRule>
    <cfRule type="cellIs" dxfId="463" priority="85" operator="lessThan">
      <formula>0</formula>
    </cfRule>
  </conditionalFormatting>
  <conditionalFormatting sqref="E59">
    <cfRule type="cellIs" dxfId="462" priority="80" operator="lessThan">
      <formula>0</formula>
    </cfRule>
    <cfRule type="cellIs" dxfId="461" priority="79" operator="greaterThan">
      <formula>0</formula>
    </cfRule>
  </conditionalFormatting>
  <conditionalFormatting sqref="E60:E61">
    <cfRule type="cellIs" dxfId="460" priority="3" operator="lessThan">
      <formula>0</formula>
    </cfRule>
    <cfRule type="cellIs" dxfId="459" priority="4" operator="greaterThan">
      <formula>0</formula>
    </cfRule>
  </conditionalFormatting>
  <conditionalFormatting sqref="L28">
    <cfRule type="cellIs" dxfId="458" priority="34" operator="greaterThan">
      <formula>0</formula>
    </cfRule>
    <cfRule type="cellIs" dxfId="457" priority="33" operator="lessThan">
      <formula>0</formula>
    </cfRule>
  </conditionalFormatting>
  <conditionalFormatting sqref="L33">
    <cfRule type="cellIs" dxfId="456" priority="31" operator="lessThan">
      <formula>0</formula>
    </cfRule>
    <cfRule type="cellIs" dxfId="455" priority="32" operator="greaterThan">
      <formula>0</formula>
    </cfRule>
  </conditionalFormatting>
  <conditionalFormatting sqref="L38">
    <cfRule type="cellIs" dxfId="454" priority="30" operator="greaterThan">
      <formula>0</formula>
    </cfRule>
    <cfRule type="cellIs" dxfId="453" priority="29" operator="lessThan">
      <formula>0</formula>
    </cfRule>
  </conditionalFormatting>
  <conditionalFormatting sqref="L39">
    <cfRule type="cellIs" dxfId="452" priority="28" operator="lessThan">
      <formula>0</formula>
    </cfRule>
    <cfRule type="cellIs" dxfId="451" priority="27" operator="greaterThan">
      <formula>0</formula>
    </cfRule>
  </conditionalFormatting>
  <conditionalFormatting sqref="L40">
    <cfRule type="cellIs" dxfId="450" priority="26" operator="greaterThan">
      <formula>0</formula>
    </cfRule>
    <cfRule type="cellIs" dxfId="449" priority="25" operator="lessThan">
      <formula>0</formula>
    </cfRule>
  </conditionalFormatting>
  <conditionalFormatting sqref="L44">
    <cfRule type="cellIs" dxfId="448" priority="22" operator="lessThan">
      <formula>0</formula>
    </cfRule>
    <cfRule type="cellIs" dxfId="447" priority="21" operator="greaterThan">
      <formula>0</formula>
    </cfRule>
  </conditionalFormatting>
  <conditionalFormatting sqref="L45:L46">
    <cfRule type="cellIs" dxfId="446" priority="18" operator="greaterThan">
      <formula>0</formula>
    </cfRule>
    <cfRule type="cellIs" dxfId="445" priority="17" operator="lessThan">
      <formula>0</formula>
    </cfRule>
  </conditionalFormatting>
  <conditionalFormatting sqref="L52">
    <cfRule type="cellIs" dxfId="444" priority="8" operator="lessThan">
      <formula>0</formula>
    </cfRule>
    <cfRule type="cellIs" dxfId="443" priority="7" operator="greaterThan">
      <formula>0</formula>
    </cfRule>
  </conditionalFormatting>
  <conditionalFormatting sqref="L53:L54">
    <cfRule type="cellIs" dxfId="442" priority="6" operator="greaterThan">
      <formula>0</formula>
    </cfRule>
    <cfRule type="cellIs" dxfId="441" priority="5" operator="lessThan">
      <formula>0</formula>
    </cfRule>
  </conditionalFormatting>
  <conditionalFormatting sqref="L59">
    <cfRule type="cellIs" dxfId="440" priority="12" operator="lessThan">
      <formula>0</formula>
    </cfRule>
    <cfRule type="cellIs" dxfId="439" priority="11" operator="greaterThan">
      <formula>0</formula>
    </cfRule>
  </conditionalFormatting>
  <conditionalFormatting sqref="L60:L61">
    <cfRule type="cellIs" dxfId="438" priority="1" operator="lessThan">
      <formula>0</formula>
    </cfRule>
    <cfRule type="cellIs" dxfId="437" priority="2" operator="greaterThan">
      <formula>0</formula>
    </cfRule>
  </conditionalFormatting>
  <pageMargins left="0.7" right="0.7" top="0.75" bottom="0.75" header="0.3" footer="0.3"/>
  <pageSetup orientation="portrait" r:id="rId1"/>
  <drawing r:id="rId2"/>
  <tableParts count="1">
    <tablePart r:id="rId3"/>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2F1B5D-CA6C-437D-9D7B-F1171A46B6AB}">
  <sheetPr codeName="Blad8"/>
  <dimension ref="A1:BY2775"/>
  <sheetViews>
    <sheetView topLeftCell="A1851" zoomScale="55" zoomScaleNormal="55" workbookViewId="0">
      <pane xSplit="1" topLeftCell="F1" activePane="topRight" state="frozen"/>
      <selection pane="topRight" activeCell="O7" sqref="O7"/>
      <selection activeCell="O7" sqref="O7"/>
    </sheetView>
  </sheetViews>
  <sheetFormatPr defaultColWidth="9.140625" defaultRowHeight="15"/>
  <cols>
    <col min="1" max="1" width="83.7109375" style="33" customWidth="1"/>
    <col min="2" max="2" width="50.85546875" style="33" bestFit="1" customWidth="1"/>
    <col min="3" max="3" width="27.7109375" style="33" customWidth="1"/>
    <col min="4" max="4" width="34.7109375" style="33" customWidth="1"/>
    <col min="5" max="5" width="37.7109375" style="33" customWidth="1"/>
    <col min="6" max="6" width="24.28515625" style="33" customWidth="1"/>
    <col min="7" max="7" width="28.85546875" style="33" customWidth="1"/>
    <col min="8" max="8" width="68" style="33" customWidth="1"/>
    <col min="9" max="9" width="45.7109375" style="33" customWidth="1"/>
    <col min="10" max="10" width="57" style="33" bestFit="1" customWidth="1"/>
    <col min="11" max="11" width="51.5703125" style="33" bestFit="1" customWidth="1"/>
    <col min="12" max="12" width="62.85546875" style="33" customWidth="1"/>
    <col min="13" max="13" width="47.140625" style="33" customWidth="1"/>
    <col min="14" max="14" width="48" style="33" customWidth="1"/>
    <col min="15" max="15" width="10.7109375" style="33" customWidth="1"/>
    <col min="16" max="16" width="12" style="33" customWidth="1"/>
    <col min="17" max="17" width="10.7109375" style="33" customWidth="1"/>
    <col min="18" max="18" width="12.5703125" style="33" customWidth="1"/>
    <col min="19" max="50" width="10.7109375" style="33" customWidth="1"/>
    <col min="51" max="51" width="11.28515625" style="33" customWidth="1"/>
    <col min="52" max="62" width="10.7109375" style="33" customWidth="1"/>
    <col min="63" max="63" width="11" style="33" customWidth="1"/>
    <col min="64" max="64" width="9.140625" style="33"/>
    <col min="65" max="65" width="37.7109375" style="33" customWidth="1"/>
    <col min="66" max="66" width="20.7109375" style="33" bestFit="1" customWidth="1"/>
    <col min="67" max="16384" width="9.140625" style="33"/>
  </cols>
  <sheetData>
    <row r="1" spans="1:68">
      <c r="A1" s="33" t="s">
        <v>420</v>
      </c>
    </row>
    <row r="2" spans="1:68" ht="15.75">
      <c r="A2" s="33" t="s">
        <v>421</v>
      </c>
      <c r="B2" s="33" t="s">
        <v>7</v>
      </c>
      <c r="C2" s="33" t="s">
        <v>6</v>
      </c>
      <c r="D2" s="33" t="s">
        <v>9</v>
      </c>
      <c r="E2" s="33" t="s">
        <v>11</v>
      </c>
      <c r="F2" s="33" t="s">
        <v>422</v>
      </c>
      <c r="G2" s="33" t="s">
        <v>423</v>
      </c>
      <c r="H2" s="33" t="s">
        <v>424</v>
      </c>
      <c r="I2" s="33" t="s">
        <v>425</v>
      </c>
      <c r="J2" s="33" t="s">
        <v>426</v>
      </c>
      <c r="K2" s="33" t="s">
        <v>427</v>
      </c>
      <c r="L2" s="33" t="s">
        <v>428</v>
      </c>
      <c r="M2" s="33" t="s">
        <v>429</v>
      </c>
      <c r="N2" s="252" t="s">
        <v>430</v>
      </c>
      <c r="O2" s="33" t="s">
        <v>342</v>
      </c>
      <c r="P2" s="174" t="s">
        <v>431</v>
      </c>
      <c r="Q2" s="175" t="s">
        <v>432</v>
      </c>
      <c r="R2" s="175" t="s">
        <v>433</v>
      </c>
      <c r="S2" s="175" t="s">
        <v>434</v>
      </c>
      <c r="T2" s="176" t="s">
        <v>435</v>
      </c>
      <c r="U2" s="175" t="s">
        <v>436</v>
      </c>
      <c r="V2" s="175" t="s">
        <v>437</v>
      </c>
      <c r="W2" s="175" t="s">
        <v>438</v>
      </c>
      <c r="X2" s="175" t="s">
        <v>439</v>
      </c>
      <c r="Y2" s="175" t="s">
        <v>440</v>
      </c>
      <c r="Z2" s="175" t="s">
        <v>441</v>
      </c>
      <c r="AA2" s="175" t="s">
        <v>442</v>
      </c>
      <c r="AB2" s="175" t="s">
        <v>443</v>
      </c>
      <c r="AC2" s="175" t="s">
        <v>444</v>
      </c>
      <c r="AD2" s="176" t="s">
        <v>445</v>
      </c>
      <c r="AE2" s="176" t="s">
        <v>446</v>
      </c>
      <c r="AF2" s="175" t="s">
        <v>447</v>
      </c>
      <c r="AG2" s="175" t="s">
        <v>448</v>
      </c>
      <c r="AH2" s="176" t="s">
        <v>449</v>
      </c>
      <c r="AI2" s="175" t="s">
        <v>450</v>
      </c>
      <c r="AJ2" s="175" t="s">
        <v>451</v>
      </c>
      <c r="AK2" s="176" t="s">
        <v>452</v>
      </c>
      <c r="AL2" s="176" t="s">
        <v>453</v>
      </c>
      <c r="AM2" s="176" t="s">
        <v>454</v>
      </c>
      <c r="AN2" s="176" t="s">
        <v>455</v>
      </c>
      <c r="AO2" s="176" t="s">
        <v>456</v>
      </c>
      <c r="AP2" s="176" t="s">
        <v>457</v>
      </c>
      <c r="AQ2" s="176" t="s">
        <v>458</v>
      </c>
      <c r="AR2" s="176" t="s">
        <v>459</v>
      </c>
      <c r="AS2" s="176" t="s">
        <v>460</v>
      </c>
      <c r="AT2" s="176" t="s">
        <v>461</v>
      </c>
      <c r="AU2" s="175" t="s">
        <v>462</v>
      </c>
      <c r="AV2" s="175" t="s">
        <v>463</v>
      </c>
      <c r="AW2" s="175" t="s">
        <v>464</v>
      </c>
      <c r="AX2" s="175" t="s">
        <v>465</v>
      </c>
      <c r="AY2" s="176" t="s">
        <v>466</v>
      </c>
      <c r="AZ2" s="176" t="s">
        <v>467</v>
      </c>
      <c r="BA2" s="176" t="s">
        <v>468</v>
      </c>
      <c r="BB2" s="176" t="s">
        <v>469</v>
      </c>
      <c r="BC2" s="176" t="s">
        <v>470</v>
      </c>
      <c r="BD2" s="176" t="s">
        <v>471</v>
      </c>
      <c r="BE2" s="176" t="s">
        <v>472</v>
      </c>
      <c r="BF2" s="176" t="s">
        <v>473</v>
      </c>
      <c r="BG2" s="176" t="s">
        <v>474</v>
      </c>
      <c r="BH2" s="176" t="s">
        <v>475</v>
      </c>
      <c r="BI2" s="176" t="s">
        <v>476</v>
      </c>
      <c r="BJ2" s="176" t="s">
        <v>477</v>
      </c>
      <c r="BK2" s="177" t="s">
        <v>478</v>
      </c>
      <c r="BL2" s="33" t="s">
        <v>479</v>
      </c>
      <c r="BM2" s="33" t="s">
        <v>8</v>
      </c>
      <c r="BN2" s="33" t="s">
        <v>294</v>
      </c>
      <c r="BO2" s="33" t="s">
        <v>480</v>
      </c>
      <c r="BP2" s="33" t="s">
        <v>481</v>
      </c>
    </row>
    <row r="3" spans="1:68">
      <c r="A3" s="33" t="str">
        <f>Database_Productkaarten[[#This Row],[Product]]&amp;", "&amp;Database_Productkaarten[[#This Row],[Levensfase]]</f>
        <v>2L-ZOAB onderlaag - PCR 1.0, Totaal</v>
      </c>
      <c r="B3" s="33" t="s">
        <v>482</v>
      </c>
      <c r="C3" s="33" t="s">
        <v>483</v>
      </c>
      <c r="D3" s="33" t="s">
        <v>484</v>
      </c>
      <c r="E3" s="33" t="s">
        <v>378</v>
      </c>
      <c r="F3" s="33" t="s">
        <v>90</v>
      </c>
      <c r="L3" s="33">
        <v>2.1</v>
      </c>
      <c r="M3" s="269">
        <v>1</v>
      </c>
      <c r="N3" s="41">
        <v>7.9227205179871447</v>
      </c>
      <c r="O3" s="33">
        <v>13</v>
      </c>
      <c r="P3" s="40">
        <v>7.3543824016808601E-5</v>
      </c>
      <c r="Q3" s="40">
        <v>0.81316909813131266</v>
      </c>
      <c r="R3" s="40">
        <v>67.566848778291657</v>
      </c>
      <c r="S3" s="40">
        <v>8.1428533282209059E-6</v>
      </c>
      <c r="T3" s="40">
        <v>6.8653950692001406E-2</v>
      </c>
      <c r="U3" s="40">
        <v>0.30635485855891376</v>
      </c>
      <c r="V3" s="40">
        <v>4.0620848167480114E-2</v>
      </c>
      <c r="W3" s="40">
        <v>19.729334079163173</v>
      </c>
      <c r="X3" s="40">
        <v>4.2454244428604166</v>
      </c>
      <c r="Y3" s="40">
        <v>7730.1737119907702</v>
      </c>
      <c r="Z3" s="40">
        <v>0.16335015515147297</v>
      </c>
      <c r="AA3" s="40"/>
      <c r="AB3" s="40"/>
      <c r="AC3" s="40"/>
      <c r="AD3" s="40"/>
      <c r="AE3" s="40"/>
      <c r="AF3" s="40"/>
      <c r="AG3" s="40"/>
      <c r="AH3" s="40"/>
      <c r="AI3" s="40"/>
      <c r="AJ3" s="40"/>
      <c r="AK3" s="40"/>
      <c r="AL3" s="40"/>
      <c r="AM3" s="40"/>
      <c r="AN3" s="40"/>
      <c r="AO3" s="40"/>
      <c r="AP3" s="40"/>
      <c r="AQ3" s="40"/>
      <c r="AR3" s="40"/>
      <c r="AS3" s="40"/>
      <c r="AT3" s="40"/>
      <c r="AU3" s="40"/>
      <c r="AV3" s="313">
        <v>23.233726084854695</v>
      </c>
      <c r="AW3" s="317"/>
      <c r="AX3" s="317"/>
      <c r="AY3" s="313">
        <v>1598.8373602752565</v>
      </c>
      <c r="AZ3" s="40"/>
      <c r="BA3" s="40"/>
      <c r="BB3" s="40"/>
      <c r="BC3" s="40">
        <v>11.235662737322732</v>
      </c>
      <c r="BD3" s="40">
        <v>9.4758857709459387E-4</v>
      </c>
      <c r="BE3" s="40">
        <v>3.2199470863975437</v>
      </c>
      <c r="BF3" s="40">
        <v>1.9269294297810356E-3</v>
      </c>
      <c r="BG3" s="40"/>
      <c r="BH3" s="40"/>
      <c r="BI3" s="40"/>
      <c r="BJ3" s="40"/>
      <c r="BK3" s="40"/>
      <c r="BL3" s="62">
        <v>0</v>
      </c>
      <c r="BM3" s="275">
        <v>2</v>
      </c>
      <c r="BN3" s="62">
        <v>0</v>
      </c>
      <c r="BO3" s="33" t="s">
        <v>485</v>
      </c>
    </row>
    <row r="4" spans="1:68">
      <c r="A4" s="33" t="str">
        <f>Database_Productkaarten[[#This Row],[Product]]&amp;", "&amp;Database_Productkaarten[[#This Row],[Levensfase]]</f>
        <v>2L-ZOAB onderlaag - PCR 1.0, A1</v>
      </c>
      <c r="B4" s="33" t="s">
        <v>482</v>
      </c>
      <c r="C4" s="33" t="s">
        <v>483</v>
      </c>
      <c r="D4" s="33" t="s">
        <v>484</v>
      </c>
      <c r="E4" s="33" t="s">
        <v>378</v>
      </c>
      <c r="F4" s="33" t="s">
        <v>74</v>
      </c>
      <c r="L4" s="33">
        <v>2.1</v>
      </c>
      <c r="M4" s="269">
        <v>1</v>
      </c>
      <c r="N4" s="41">
        <v>6.7627354559999997</v>
      </c>
      <c r="O4" s="33">
        <v>13</v>
      </c>
      <c r="P4" s="40">
        <v>9.7296400000000013E-5</v>
      </c>
      <c r="Q4" s="40">
        <v>1.0153236139999999</v>
      </c>
      <c r="R4" s="40">
        <v>57.187113804000006</v>
      </c>
      <c r="S4" s="40">
        <v>4.0325341600000002E-6</v>
      </c>
      <c r="T4" s="40">
        <v>0.10719703999999999</v>
      </c>
      <c r="U4" s="40">
        <v>0.32559873600000006</v>
      </c>
      <c r="V4" s="40">
        <v>3.4164147999999998E-2</v>
      </c>
      <c r="W4" s="40">
        <v>13.163736867999997</v>
      </c>
      <c r="X4" s="40">
        <v>1.54333488</v>
      </c>
      <c r="Y4" s="40">
        <v>6724.9920345280007</v>
      </c>
      <c r="Z4" s="40">
        <v>0.22217564800000003</v>
      </c>
      <c r="AA4" s="40"/>
      <c r="AB4" s="40"/>
      <c r="AC4" s="40"/>
      <c r="AD4" s="40"/>
      <c r="AE4" s="40"/>
      <c r="AF4" s="40"/>
      <c r="AG4" s="40"/>
      <c r="AH4" s="40"/>
      <c r="AI4" s="40"/>
      <c r="AJ4" s="40"/>
      <c r="AK4" s="40"/>
      <c r="AL4" s="40"/>
      <c r="AM4" s="40"/>
      <c r="AN4" s="40"/>
      <c r="AO4" s="40"/>
      <c r="AP4" s="40"/>
      <c r="AQ4" s="40"/>
      <c r="AR4" s="40"/>
      <c r="AS4" s="40"/>
      <c r="AT4" s="40"/>
      <c r="AU4" s="40"/>
      <c r="AV4" s="313">
        <v>28.218047034000001</v>
      </c>
      <c r="AW4" s="317"/>
      <c r="AX4" s="317"/>
      <c r="AY4" s="313">
        <v>2285.0502719460001</v>
      </c>
      <c r="AZ4" s="40"/>
      <c r="BA4" s="40"/>
      <c r="BB4" s="40"/>
      <c r="BC4" s="40">
        <v>22.987887776000001</v>
      </c>
      <c r="BD4" s="40">
        <v>8.2369609999999999E-4</v>
      </c>
      <c r="BE4" s="40">
        <v>2.8384462679999998</v>
      </c>
      <c r="BF4" s="40">
        <v>1.47206576E-3</v>
      </c>
      <c r="BG4" s="40"/>
      <c r="BH4" s="40"/>
      <c r="BI4" s="40"/>
      <c r="BJ4" s="40"/>
      <c r="BK4" s="40"/>
      <c r="BL4" s="62">
        <v>0</v>
      </c>
      <c r="BM4" s="275">
        <v>2</v>
      </c>
      <c r="BN4" s="62">
        <v>0</v>
      </c>
      <c r="BO4" s="33" t="s">
        <v>485</v>
      </c>
    </row>
    <row r="5" spans="1:68">
      <c r="A5" s="33" t="str">
        <f>Database_Productkaarten[[#This Row],[Product]]&amp;", "&amp;Database_Productkaarten[[#This Row],[Levensfase]]</f>
        <v>2L-ZOAB onderlaag - PCR 1.0, A2</v>
      </c>
      <c r="B5" s="33" t="s">
        <v>482</v>
      </c>
      <c r="C5" s="33" t="s">
        <v>483</v>
      </c>
      <c r="D5" s="33" t="s">
        <v>484</v>
      </c>
      <c r="E5" s="33" t="s">
        <v>378</v>
      </c>
      <c r="F5" s="33" t="s">
        <v>75</v>
      </c>
      <c r="L5" s="33">
        <v>2.1</v>
      </c>
      <c r="M5" s="269">
        <v>1</v>
      </c>
      <c r="N5" s="41">
        <v>2.9471440042650001</v>
      </c>
      <c r="O5" s="33">
        <v>13</v>
      </c>
      <c r="P5" s="40">
        <v>1.8727922668029997E-5</v>
      </c>
      <c r="Q5" s="40">
        <v>0.13506991164640003</v>
      </c>
      <c r="R5" s="40">
        <v>19.753494855246</v>
      </c>
      <c r="S5" s="40">
        <v>3.2102037342599997E-6</v>
      </c>
      <c r="T5" s="40">
        <v>1.53182989567E-2</v>
      </c>
      <c r="U5" s="40">
        <v>0.2310653123858</v>
      </c>
      <c r="V5" s="40">
        <v>3.0835394359399998E-2</v>
      </c>
      <c r="W5" s="40">
        <v>7.0821017219559996</v>
      </c>
      <c r="X5" s="40">
        <v>0.1596292750036</v>
      </c>
      <c r="Y5" s="40">
        <v>615.86219297413902</v>
      </c>
      <c r="Z5" s="40">
        <v>2.6202755218200001E-2</v>
      </c>
      <c r="AA5" s="40"/>
      <c r="AB5" s="40"/>
      <c r="AC5" s="40"/>
      <c r="AD5" s="40"/>
      <c r="AE5" s="40"/>
      <c r="AF5" s="40"/>
      <c r="AG5" s="40"/>
      <c r="AH5" s="40"/>
      <c r="AI5" s="40"/>
      <c r="AJ5" s="40"/>
      <c r="AK5" s="40"/>
      <c r="AL5" s="40"/>
      <c r="AM5" s="40"/>
      <c r="AN5" s="40"/>
      <c r="AO5" s="40"/>
      <c r="AP5" s="40"/>
      <c r="AQ5" s="40"/>
      <c r="AR5" s="40"/>
      <c r="AS5" s="40"/>
      <c r="AT5" s="40"/>
      <c r="AU5" s="40"/>
      <c r="AV5" s="313">
        <v>5.5358023448909996</v>
      </c>
      <c r="AW5" s="317"/>
      <c r="AX5" s="317"/>
      <c r="AY5" s="313">
        <v>299.43762494767896</v>
      </c>
      <c r="AZ5" s="40"/>
      <c r="BA5" s="40"/>
      <c r="BB5" s="40"/>
      <c r="BC5" s="40">
        <v>6.0186724229100007E-2</v>
      </c>
      <c r="BD5" s="40">
        <v>1.891563379898E-4</v>
      </c>
      <c r="BE5" s="40">
        <v>4.6762701543339995</v>
      </c>
      <c r="BF5" s="40">
        <v>1.86340763246E-3</v>
      </c>
      <c r="BG5" s="40"/>
      <c r="BH5" s="40"/>
      <c r="BI5" s="40"/>
      <c r="BJ5" s="40"/>
      <c r="BK5" s="40"/>
      <c r="BL5" s="62">
        <v>0</v>
      </c>
      <c r="BM5" s="275">
        <v>2</v>
      </c>
      <c r="BN5" s="62">
        <v>0</v>
      </c>
      <c r="BO5" s="33" t="s">
        <v>485</v>
      </c>
    </row>
    <row r="6" spans="1:68">
      <c r="A6" s="33" t="str">
        <f>Database_Productkaarten[[#This Row],[Product]]&amp;", "&amp;Database_Productkaarten[[#This Row],[Levensfase]]</f>
        <v>2L-ZOAB onderlaag - PCR 1.0, A3</v>
      </c>
      <c r="B6" s="33" t="s">
        <v>482</v>
      </c>
      <c r="C6" s="33" t="s">
        <v>483</v>
      </c>
      <c r="D6" s="33" t="s">
        <v>484</v>
      </c>
      <c r="E6" s="33" t="s">
        <v>378</v>
      </c>
      <c r="F6" s="33" t="s">
        <v>76</v>
      </c>
      <c r="L6" s="33">
        <v>2.1</v>
      </c>
      <c r="M6" s="269">
        <v>1</v>
      </c>
      <c r="N6" s="41">
        <v>1.4932672912813276</v>
      </c>
      <c r="O6" s="33">
        <v>13</v>
      </c>
      <c r="P6" s="40">
        <v>4.3003007608349614E-6</v>
      </c>
      <c r="Q6" s="40">
        <v>0.17257490204095227</v>
      </c>
      <c r="R6" s="40">
        <v>20.296636848716339</v>
      </c>
      <c r="S6" s="40">
        <v>2.3215798821169723E-6</v>
      </c>
      <c r="T6" s="40">
        <v>3.3395896458118281E-3</v>
      </c>
      <c r="U6" s="40">
        <v>2.2827880019569147E-2</v>
      </c>
      <c r="V6" s="40">
        <v>4.1814258343477965E-3</v>
      </c>
      <c r="W6" s="40">
        <v>3.3810619179975623</v>
      </c>
      <c r="X6" s="40">
        <v>2.1961793853674749E-2</v>
      </c>
      <c r="Y6" s="40">
        <v>88.880875574220568</v>
      </c>
      <c r="Z6" s="40">
        <v>2.1449922894012916E-2</v>
      </c>
      <c r="AA6" s="40"/>
      <c r="AB6" s="40"/>
      <c r="AC6" s="40"/>
      <c r="AD6" s="40"/>
      <c r="AE6" s="40"/>
      <c r="AF6" s="40"/>
      <c r="AG6" s="40"/>
      <c r="AH6" s="40"/>
      <c r="AI6" s="40"/>
      <c r="AJ6" s="40"/>
      <c r="AK6" s="40"/>
      <c r="AL6" s="40"/>
      <c r="AM6" s="40"/>
      <c r="AN6" s="40"/>
      <c r="AO6" s="40"/>
      <c r="AP6" s="40"/>
      <c r="AQ6" s="40"/>
      <c r="AR6" s="40"/>
      <c r="AS6" s="40"/>
      <c r="AT6" s="40"/>
      <c r="AU6" s="40"/>
      <c r="AV6" s="313">
        <v>6.1565006450319499</v>
      </c>
      <c r="AW6" s="317"/>
      <c r="AX6" s="317"/>
      <c r="AY6" s="313">
        <v>352.60626896980727</v>
      </c>
      <c r="AZ6" s="40"/>
      <c r="BA6" s="40"/>
      <c r="BB6" s="40"/>
      <c r="BC6" s="40">
        <v>4.0998314876200218E-2</v>
      </c>
      <c r="BD6" s="40">
        <v>4.7746942933912903E-4</v>
      </c>
      <c r="BE6" s="40">
        <v>0.23314833097427026</v>
      </c>
      <c r="BF6" s="40">
        <v>3.3571589027945676E-4</v>
      </c>
      <c r="BG6" s="40"/>
      <c r="BH6" s="40"/>
      <c r="BI6" s="40"/>
      <c r="BJ6" s="40"/>
      <c r="BK6" s="40"/>
      <c r="BL6" s="62">
        <v>0</v>
      </c>
      <c r="BM6" s="275">
        <v>2</v>
      </c>
      <c r="BN6" s="62">
        <v>0</v>
      </c>
      <c r="BO6" s="33" t="s">
        <v>485</v>
      </c>
    </row>
    <row r="7" spans="1:68">
      <c r="A7" s="33" t="str">
        <f>Database_Productkaarten[[#This Row],[Product]]&amp;", "&amp;Database_Productkaarten[[#This Row],[Levensfase]]</f>
        <v>2L-ZOAB onderlaag - PCR 1.0, A1-A3</v>
      </c>
      <c r="B7" s="33" t="str">
        <f>B6</f>
        <v>2L-ZOAB onderlaag - PCR 1.0</v>
      </c>
      <c r="C7" s="33" t="str">
        <f>C6</f>
        <v>Bitumineuze verhardingen</v>
      </c>
      <c r="D7" s="33" t="str">
        <f>D6</f>
        <v>ZOAB</v>
      </c>
      <c r="E7" s="33" t="str">
        <f>E6</f>
        <v>Ton</v>
      </c>
      <c r="F7" s="33" t="s">
        <v>77</v>
      </c>
      <c r="L7" s="33">
        <f>L6</f>
        <v>2.1</v>
      </c>
      <c r="M7" s="45">
        <f>M6</f>
        <v>1</v>
      </c>
      <c r="N7" s="252">
        <f>SUM(N4:N6)</f>
        <v>11.203146751546328</v>
      </c>
      <c r="O7" s="33">
        <f>O6</f>
        <v>13</v>
      </c>
      <c r="P7" s="40">
        <f>SUM(P4:P6)</f>
        <v>1.2032462342886498E-4</v>
      </c>
      <c r="Q7" s="40">
        <f t="shared" ref="Q7:BK7" si="0">SUM(Q4:Q6)</f>
        <v>1.3229684276873521</v>
      </c>
      <c r="R7" s="40">
        <f t="shared" si="0"/>
        <v>97.237245507962342</v>
      </c>
      <c r="S7" s="40">
        <f t="shared" si="0"/>
        <v>9.5643177763769713E-6</v>
      </c>
      <c r="T7" s="40">
        <f t="shared" si="0"/>
        <v>0.12585492860251182</v>
      </c>
      <c r="U7" s="40">
        <f t="shared" si="0"/>
        <v>0.57949192840536923</v>
      </c>
      <c r="V7" s="40">
        <f t="shared" si="0"/>
        <v>6.9180968193747805E-2</v>
      </c>
      <c r="W7" s="40">
        <f t="shared" si="0"/>
        <v>23.626900507953561</v>
      </c>
      <c r="X7" s="40">
        <f t="shared" si="0"/>
        <v>1.7249259488572746</v>
      </c>
      <c r="Y7" s="40">
        <f t="shared" si="0"/>
        <v>7429.7351030763602</v>
      </c>
      <c r="Z7" s="40">
        <f t="shared" si="0"/>
        <v>0.26982832611221297</v>
      </c>
      <c r="AA7" s="40">
        <f t="shared" si="0"/>
        <v>0</v>
      </c>
      <c r="AB7" s="40">
        <f t="shared" si="0"/>
        <v>0</v>
      </c>
      <c r="AC7" s="40">
        <f t="shared" si="0"/>
        <v>0</v>
      </c>
      <c r="AD7" s="40">
        <f t="shared" si="0"/>
        <v>0</v>
      </c>
      <c r="AE7" s="40">
        <f t="shared" si="0"/>
        <v>0</v>
      </c>
      <c r="AF7" s="40">
        <f t="shared" si="0"/>
        <v>0</v>
      </c>
      <c r="AG7" s="40">
        <f t="shared" si="0"/>
        <v>0</v>
      </c>
      <c r="AH7" s="40">
        <f t="shared" si="0"/>
        <v>0</v>
      </c>
      <c r="AI7" s="40">
        <f t="shared" si="0"/>
        <v>0</v>
      </c>
      <c r="AJ7" s="40">
        <f t="shared" si="0"/>
        <v>0</v>
      </c>
      <c r="AK7" s="40">
        <f t="shared" si="0"/>
        <v>0</v>
      </c>
      <c r="AL7" s="40">
        <f t="shared" si="0"/>
        <v>0</v>
      </c>
      <c r="AM7" s="40">
        <f t="shared" si="0"/>
        <v>0</v>
      </c>
      <c r="AN7" s="40">
        <f t="shared" si="0"/>
        <v>0</v>
      </c>
      <c r="AO7" s="40">
        <f t="shared" si="0"/>
        <v>0</v>
      </c>
      <c r="AP7" s="40">
        <f t="shared" si="0"/>
        <v>0</v>
      </c>
      <c r="AQ7" s="40">
        <f t="shared" si="0"/>
        <v>0</v>
      </c>
      <c r="AR7" s="40">
        <f t="shared" si="0"/>
        <v>0</v>
      </c>
      <c r="AS7" s="40">
        <f t="shared" si="0"/>
        <v>0</v>
      </c>
      <c r="AT7" s="40">
        <f t="shared" si="0"/>
        <v>0</v>
      </c>
      <c r="AU7" s="40">
        <f t="shared" si="0"/>
        <v>0</v>
      </c>
      <c r="AV7" s="317">
        <f t="shared" si="0"/>
        <v>39.910350023922952</v>
      </c>
      <c r="AW7" s="317">
        <f t="shared" si="0"/>
        <v>0</v>
      </c>
      <c r="AX7" s="317">
        <f t="shared" si="0"/>
        <v>0</v>
      </c>
      <c r="AY7" s="317">
        <f t="shared" si="0"/>
        <v>2937.0941658634865</v>
      </c>
      <c r="AZ7" s="40">
        <f t="shared" si="0"/>
        <v>0</v>
      </c>
      <c r="BA7" s="40">
        <f t="shared" si="0"/>
        <v>0</v>
      </c>
      <c r="BB7" s="40">
        <f t="shared" si="0"/>
        <v>0</v>
      </c>
      <c r="BC7" s="40">
        <f t="shared" si="0"/>
        <v>23.089072815105304</v>
      </c>
      <c r="BD7" s="40">
        <f t="shared" si="0"/>
        <v>1.4903218673289291E-3</v>
      </c>
      <c r="BE7" s="40">
        <f t="shared" si="0"/>
        <v>7.747864753308269</v>
      </c>
      <c r="BF7" s="40">
        <f t="shared" si="0"/>
        <v>3.6711892827394569E-3</v>
      </c>
      <c r="BG7" s="40">
        <f t="shared" si="0"/>
        <v>0</v>
      </c>
      <c r="BH7" s="40">
        <f t="shared" si="0"/>
        <v>0</v>
      </c>
      <c r="BI7" s="40">
        <f t="shared" si="0"/>
        <v>0</v>
      </c>
      <c r="BJ7" s="40">
        <f t="shared" si="0"/>
        <v>0</v>
      </c>
      <c r="BK7" s="40">
        <f t="shared" si="0"/>
        <v>0</v>
      </c>
      <c r="BL7" s="62">
        <f>BL6</f>
        <v>0</v>
      </c>
      <c r="BM7" s="275">
        <f>BM6</f>
        <v>2</v>
      </c>
      <c r="BN7" s="62">
        <v>0</v>
      </c>
      <c r="BO7" s="33" t="str">
        <f>BO6</f>
        <v>TNO 2020 R10987 LCA Achtergrondrapport voor brancherepresentatieve Nederlandse asfaltmengsels 2020</v>
      </c>
    </row>
    <row r="8" spans="1:68">
      <c r="A8" s="33" t="str">
        <f>Database_Productkaarten[[#This Row],[Product]]&amp;", "&amp;Database_Productkaarten[[#This Row],[Levensfase]]</f>
        <v>2L-ZOAB onderlaag - PCR 1.0, A4</v>
      </c>
      <c r="B8" s="33" t="s">
        <v>482</v>
      </c>
      <c r="C8" s="33" t="s">
        <v>483</v>
      </c>
      <c r="D8" s="33" t="s">
        <v>484</v>
      </c>
      <c r="E8" s="33" t="s">
        <v>378</v>
      </c>
      <c r="F8" s="33" t="s">
        <v>78</v>
      </c>
      <c r="L8" s="33">
        <v>2.1</v>
      </c>
      <c r="M8" s="269">
        <v>1</v>
      </c>
      <c r="N8" s="41">
        <v>0.62892669999999995</v>
      </c>
      <c r="O8" s="33">
        <v>13</v>
      </c>
      <c r="P8" s="40">
        <v>1.0978337000000001E-5</v>
      </c>
      <c r="Q8" s="40">
        <v>4.3183727999999998E-2</v>
      </c>
      <c r="R8" s="40">
        <v>5.7021305</v>
      </c>
      <c r="S8" s="40">
        <v>1.1335356E-6</v>
      </c>
      <c r="T8" s="40">
        <v>3.5752850000000001E-3</v>
      </c>
      <c r="U8" s="40">
        <v>1.9151161E-2</v>
      </c>
      <c r="V8" s="40">
        <v>3.8023555000000001E-3</v>
      </c>
      <c r="W8" s="40">
        <v>2.0049337999999999</v>
      </c>
      <c r="X8" s="40">
        <v>0.12926487</v>
      </c>
      <c r="Y8" s="40">
        <v>338.63108999999997</v>
      </c>
      <c r="Z8" s="40">
        <v>1.1891815999999999E-2</v>
      </c>
      <c r="AA8" s="40"/>
      <c r="AB8" s="40"/>
      <c r="AC8" s="40"/>
      <c r="AD8" s="40"/>
      <c r="AE8" s="40"/>
      <c r="AF8" s="40"/>
      <c r="AG8" s="40"/>
      <c r="AH8" s="40"/>
      <c r="AI8" s="40"/>
      <c r="AJ8" s="40"/>
      <c r="AK8" s="40"/>
      <c r="AL8" s="40"/>
      <c r="AM8" s="40"/>
      <c r="AN8" s="40"/>
      <c r="AO8" s="40"/>
      <c r="AP8" s="40"/>
      <c r="AQ8" s="40"/>
      <c r="AR8" s="40"/>
      <c r="AS8" s="40"/>
      <c r="AT8" s="40"/>
      <c r="AU8" s="40"/>
      <c r="AV8" s="313">
        <v>0</v>
      </c>
      <c r="AW8" s="317"/>
      <c r="AX8" s="317"/>
      <c r="AY8" s="313">
        <v>0</v>
      </c>
      <c r="AZ8" s="40"/>
      <c r="BA8" s="40"/>
      <c r="BB8" s="40"/>
      <c r="BC8" s="40">
        <v>0</v>
      </c>
      <c r="BD8" s="40">
        <v>0</v>
      </c>
      <c r="BE8" s="40">
        <v>0</v>
      </c>
      <c r="BF8" s="40">
        <v>0</v>
      </c>
      <c r="BG8" s="40"/>
      <c r="BH8" s="40"/>
      <c r="BI8" s="40"/>
      <c r="BJ8" s="40"/>
      <c r="BK8" s="40"/>
      <c r="BL8" s="62">
        <v>0</v>
      </c>
      <c r="BM8" s="275">
        <v>2</v>
      </c>
      <c r="BN8" s="62">
        <v>0</v>
      </c>
      <c r="BO8" s="33" t="s">
        <v>485</v>
      </c>
    </row>
    <row r="9" spans="1:68">
      <c r="A9" s="33" t="str">
        <f>Database_Productkaarten[[#This Row],[Product]]&amp;", "&amp;Database_Productkaarten[[#This Row],[Levensfase]]</f>
        <v>2L-ZOAB onderlaag - PCR 1.0, A5</v>
      </c>
      <c r="B9" s="33" t="s">
        <v>482</v>
      </c>
      <c r="C9" s="33" t="s">
        <v>483</v>
      </c>
      <c r="D9" s="33" t="s">
        <v>484</v>
      </c>
      <c r="E9" s="33" t="s">
        <v>378</v>
      </c>
      <c r="F9" s="33" t="s">
        <v>79</v>
      </c>
      <c r="L9" s="33">
        <v>2.1</v>
      </c>
      <c r="M9" s="269">
        <v>1</v>
      </c>
      <c r="N9" s="41">
        <v>0.11589273999999999</v>
      </c>
      <c r="O9" s="33">
        <v>13</v>
      </c>
      <c r="P9" s="40">
        <v>2.9981767000000001E-7</v>
      </c>
      <c r="Q9" s="40">
        <v>6.1549237000000003E-3</v>
      </c>
      <c r="R9" s="40">
        <v>1.1890320000000001</v>
      </c>
      <c r="S9" s="40">
        <v>1.6118031999999999E-7</v>
      </c>
      <c r="T9" s="40">
        <v>4.0441559000000001E-4</v>
      </c>
      <c r="U9" s="40">
        <v>4.1422853000000004E-3</v>
      </c>
      <c r="V9" s="40">
        <v>9.0534960000000005E-4</v>
      </c>
      <c r="W9" s="40">
        <v>0.31393536</v>
      </c>
      <c r="X9" s="40">
        <v>4.4639175000000001E-3</v>
      </c>
      <c r="Y9" s="40">
        <v>15.054501</v>
      </c>
      <c r="Z9" s="40">
        <v>5.2994459999999995E-4</v>
      </c>
      <c r="AA9" s="40"/>
      <c r="AB9" s="40"/>
      <c r="AC9" s="40"/>
      <c r="AD9" s="40"/>
      <c r="AE9" s="40"/>
      <c r="AF9" s="40"/>
      <c r="AG9" s="40"/>
      <c r="AH9" s="40"/>
      <c r="AI9" s="40"/>
      <c r="AJ9" s="40"/>
      <c r="AK9" s="40"/>
      <c r="AL9" s="40"/>
      <c r="AM9" s="40"/>
      <c r="AN9" s="40"/>
      <c r="AO9" s="40"/>
      <c r="AP9" s="40"/>
      <c r="AQ9" s="40"/>
      <c r="AR9" s="40"/>
      <c r="AS9" s="40"/>
      <c r="AT9" s="40"/>
      <c r="AU9" s="40"/>
      <c r="AV9" s="313">
        <v>7.5275787999999996E-2</v>
      </c>
      <c r="AW9" s="317"/>
      <c r="AX9" s="317"/>
      <c r="AY9" s="313">
        <v>13.79832</v>
      </c>
      <c r="AZ9" s="40"/>
      <c r="BA9" s="40"/>
      <c r="BB9" s="40"/>
      <c r="BC9" s="40">
        <v>1.7004556E-3</v>
      </c>
      <c r="BD9" s="40">
        <v>5.7951239999999996E-6</v>
      </c>
      <c r="BE9" s="40">
        <v>1.3837334999999999E-2</v>
      </c>
      <c r="BF9" s="40">
        <v>9.0259541999999994E-5</v>
      </c>
      <c r="BG9" s="40"/>
      <c r="BH9" s="40"/>
      <c r="BI9" s="40"/>
      <c r="BJ9" s="40"/>
      <c r="BK9" s="40"/>
      <c r="BL9" s="62">
        <v>0</v>
      </c>
      <c r="BM9" s="275">
        <v>2</v>
      </c>
      <c r="BN9" s="62">
        <v>0</v>
      </c>
      <c r="BO9" s="33" t="s">
        <v>485</v>
      </c>
    </row>
    <row r="10" spans="1:68">
      <c r="A10" s="33" t="str">
        <f>Database_Productkaarten[[#This Row],[Product]]&amp;", "&amp;Database_Productkaarten[[#This Row],[Levensfase]]</f>
        <v>2L-ZOAB onderlaag - PCR 1.0, B1</v>
      </c>
      <c r="B10" s="33" t="s">
        <v>482</v>
      </c>
      <c r="C10" s="33" t="s">
        <v>483</v>
      </c>
      <c r="D10" s="33" t="s">
        <v>484</v>
      </c>
      <c r="E10" s="33" t="s">
        <v>378</v>
      </c>
      <c r="F10" s="33" t="s">
        <v>80</v>
      </c>
      <c r="L10" s="33">
        <v>2.1</v>
      </c>
      <c r="M10" s="269">
        <v>1</v>
      </c>
      <c r="N10" s="41">
        <v>0.63803195999999995</v>
      </c>
      <c r="O10" s="33">
        <v>13</v>
      </c>
      <c r="P10" s="40">
        <v>0</v>
      </c>
      <c r="Q10" s="40">
        <v>0</v>
      </c>
      <c r="R10" s="40">
        <v>0</v>
      </c>
      <c r="S10" s="40">
        <v>0</v>
      </c>
      <c r="T10" s="40">
        <v>0</v>
      </c>
      <c r="U10" s="40">
        <v>0</v>
      </c>
      <c r="V10" s="40">
        <v>0</v>
      </c>
      <c r="W10" s="40">
        <v>2.2159960000000001</v>
      </c>
      <c r="X10" s="40">
        <v>3.1435906</v>
      </c>
      <c r="Y10" s="40">
        <v>3441.1720999999998</v>
      </c>
      <c r="Z10" s="40">
        <v>2.7899999999999999E-3</v>
      </c>
      <c r="AA10" s="40"/>
      <c r="AB10" s="40"/>
      <c r="AC10" s="40"/>
      <c r="AD10" s="40"/>
      <c r="AE10" s="40"/>
      <c r="AF10" s="40"/>
      <c r="AG10" s="40"/>
      <c r="AH10" s="40"/>
      <c r="AI10" s="40"/>
      <c r="AJ10" s="40"/>
      <c r="AK10" s="40"/>
      <c r="AL10" s="40"/>
      <c r="AM10" s="40"/>
      <c r="AN10" s="40"/>
      <c r="AO10" s="40"/>
      <c r="AP10" s="40"/>
      <c r="AQ10" s="40"/>
      <c r="AR10" s="40"/>
      <c r="AS10" s="40"/>
      <c r="AT10" s="40"/>
      <c r="AU10" s="40"/>
      <c r="AV10" s="313">
        <v>0</v>
      </c>
      <c r="AW10" s="317"/>
      <c r="AX10" s="317"/>
      <c r="AY10" s="313">
        <v>0</v>
      </c>
      <c r="AZ10" s="40"/>
      <c r="BA10" s="40"/>
      <c r="BB10" s="40"/>
      <c r="BC10" s="40">
        <v>0</v>
      </c>
      <c r="BD10" s="40">
        <v>0</v>
      </c>
      <c r="BE10" s="40">
        <v>0</v>
      </c>
      <c r="BF10" s="40">
        <v>0</v>
      </c>
      <c r="BG10" s="40"/>
      <c r="BH10" s="40"/>
      <c r="BI10" s="40"/>
      <c r="BJ10" s="40"/>
      <c r="BK10" s="40"/>
      <c r="BL10" s="62">
        <v>0</v>
      </c>
      <c r="BM10" s="275">
        <v>2</v>
      </c>
      <c r="BN10" s="62">
        <v>0</v>
      </c>
      <c r="BO10" s="33" t="s">
        <v>485</v>
      </c>
    </row>
    <row r="11" spans="1:68">
      <c r="A11" s="33" t="str">
        <f>Database_Productkaarten[[#This Row],[Product]]&amp;", "&amp;Database_Productkaarten[[#This Row],[Levensfase]]</f>
        <v>2L-ZOAB onderlaag - PCR 1.0, C1</v>
      </c>
      <c r="B11" s="33" t="s">
        <v>482</v>
      </c>
      <c r="C11" s="33" t="s">
        <v>483</v>
      </c>
      <c r="D11" s="33" t="s">
        <v>484</v>
      </c>
      <c r="E11" s="33" t="s">
        <v>378</v>
      </c>
      <c r="F11" s="33" t="s">
        <v>83</v>
      </c>
      <c r="L11" s="33">
        <v>2.1</v>
      </c>
      <c r="M11" s="269">
        <v>1</v>
      </c>
      <c r="N11" s="41">
        <v>0.17755156</v>
      </c>
      <c r="O11" s="33">
        <v>13</v>
      </c>
      <c r="P11" s="40">
        <v>4.7748738999999998E-7</v>
      </c>
      <c r="Q11" s="40">
        <v>9.8022859000000007E-3</v>
      </c>
      <c r="R11" s="40">
        <v>1.8936436000000001</v>
      </c>
      <c r="S11" s="40">
        <v>2.5669458999999998E-7</v>
      </c>
      <c r="T11" s="40">
        <v>6.2586746000000001E-4</v>
      </c>
      <c r="U11" s="40">
        <v>5.5323285000000002E-3</v>
      </c>
      <c r="V11" s="40">
        <v>1.1650454999999999E-3</v>
      </c>
      <c r="W11" s="40">
        <v>0.49739214999999998</v>
      </c>
      <c r="X11" s="40">
        <v>7.1092020000000002E-3</v>
      </c>
      <c r="Y11" s="40">
        <v>23.975687000000001</v>
      </c>
      <c r="Z11" s="40">
        <v>8.4398584999999997E-4</v>
      </c>
      <c r="AA11" s="40"/>
      <c r="AB11" s="40"/>
      <c r="AC11" s="40"/>
      <c r="AD11" s="40"/>
      <c r="AE11" s="40"/>
      <c r="AF11" s="40"/>
      <c r="AG11" s="40"/>
      <c r="AH11" s="40"/>
      <c r="AI11" s="40"/>
      <c r="AJ11" s="40"/>
      <c r="AK11" s="40"/>
      <c r="AL11" s="40"/>
      <c r="AM11" s="40"/>
      <c r="AN11" s="40"/>
      <c r="AO11" s="40"/>
      <c r="AP11" s="40"/>
      <c r="AQ11" s="40"/>
      <c r="AR11" s="40"/>
      <c r="AS11" s="40"/>
      <c r="AT11" s="40"/>
      <c r="AU11" s="40"/>
      <c r="AV11" s="313">
        <v>0.11988366</v>
      </c>
      <c r="AW11" s="317"/>
      <c r="AX11" s="317"/>
      <c r="AY11" s="313">
        <v>21.975102</v>
      </c>
      <c r="AZ11" s="40"/>
      <c r="BA11" s="40"/>
      <c r="BB11" s="40"/>
      <c r="BC11" s="40">
        <v>2.7081330000000002E-3</v>
      </c>
      <c r="BD11" s="40">
        <v>9.2292716000000002E-6</v>
      </c>
      <c r="BE11" s="40">
        <v>2.2037237000000001E-2</v>
      </c>
      <c r="BF11" s="40">
        <v>1.4374668000000001E-4</v>
      </c>
      <c r="BG11" s="40"/>
      <c r="BH11" s="40"/>
      <c r="BI11" s="40"/>
      <c r="BJ11" s="40"/>
      <c r="BK11" s="40"/>
      <c r="BL11" s="62">
        <v>0</v>
      </c>
      <c r="BM11" s="275">
        <v>2</v>
      </c>
      <c r="BN11" s="62">
        <v>0</v>
      </c>
      <c r="BO11" s="33" t="s">
        <v>485</v>
      </c>
    </row>
    <row r="12" spans="1:68">
      <c r="A12" s="33" t="str">
        <f>Database_Productkaarten[[#This Row],[Product]]&amp;", "&amp;Database_Productkaarten[[#This Row],[Levensfase]]</f>
        <v>2L-ZOAB onderlaag - PCR 1.0, C2</v>
      </c>
      <c r="B12" s="33" t="s">
        <v>482</v>
      </c>
      <c r="C12" s="33" t="s">
        <v>483</v>
      </c>
      <c r="D12" s="33" t="s">
        <v>484</v>
      </c>
      <c r="E12" s="33" t="s">
        <v>378</v>
      </c>
      <c r="F12" s="33" t="s">
        <v>84</v>
      </c>
      <c r="L12" s="33">
        <v>2.1</v>
      </c>
      <c r="M12" s="269">
        <v>1</v>
      </c>
      <c r="N12" s="41">
        <v>0.62892669999999995</v>
      </c>
      <c r="O12" s="33">
        <v>13</v>
      </c>
      <c r="P12" s="40">
        <v>1.0978337000000001E-5</v>
      </c>
      <c r="Q12" s="40">
        <v>4.3183727999999998E-2</v>
      </c>
      <c r="R12" s="40">
        <v>5.7021305</v>
      </c>
      <c r="S12" s="40">
        <v>1.1335356E-6</v>
      </c>
      <c r="T12" s="40">
        <v>3.5752850000000001E-3</v>
      </c>
      <c r="U12" s="40">
        <v>1.9151161E-2</v>
      </c>
      <c r="V12" s="40">
        <v>3.8023555000000001E-3</v>
      </c>
      <c r="W12" s="40">
        <v>2.0049337999999999</v>
      </c>
      <c r="X12" s="40">
        <v>0.12926487</v>
      </c>
      <c r="Y12" s="40">
        <v>338.63108999999997</v>
      </c>
      <c r="Z12" s="40">
        <v>1.1891815999999999E-2</v>
      </c>
      <c r="AA12" s="40"/>
      <c r="AB12" s="40"/>
      <c r="AC12" s="40"/>
      <c r="AD12" s="40"/>
      <c r="AE12" s="40"/>
      <c r="AF12" s="40"/>
      <c r="AG12" s="40"/>
      <c r="AH12" s="40"/>
      <c r="AI12" s="40"/>
      <c r="AJ12" s="40"/>
      <c r="AK12" s="40"/>
      <c r="AL12" s="40"/>
      <c r="AM12" s="40"/>
      <c r="AN12" s="40"/>
      <c r="AO12" s="40"/>
      <c r="AP12" s="40"/>
      <c r="AQ12" s="40"/>
      <c r="AR12" s="40"/>
      <c r="AS12" s="40"/>
      <c r="AT12" s="40"/>
      <c r="AU12" s="40"/>
      <c r="AV12" s="313">
        <v>0</v>
      </c>
      <c r="AW12" s="317"/>
      <c r="AX12" s="317"/>
      <c r="AY12" s="313">
        <v>0</v>
      </c>
      <c r="AZ12" s="40"/>
      <c r="BA12" s="40"/>
      <c r="BB12" s="40"/>
      <c r="BC12" s="40">
        <v>0</v>
      </c>
      <c r="BD12" s="40">
        <v>0</v>
      </c>
      <c r="BE12" s="40">
        <v>0</v>
      </c>
      <c r="BF12" s="40">
        <v>0</v>
      </c>
      <c r="BG12" s="40"/>
      <c r="BH12" s="40"/>
      <c r="BI12" s="40"/>
      <c r="BJ12" s="40"/>
      <c r="BK12" s="40"/>
      <c r="BL12" s="62">
        <v>0</v>
      </c>
      <c r="BM12" s="275">
        <v>2</v>
      </c>
      <c r="BN12" s="62">
        <v>0</v>
      </c>
      <c r="BO12" s="33" t="s">
        <v>485</v>
      </c>
    </row>
    <row r="13" spans="1:68">
      <c r="A13" s="33" t="str">
        <f>Database_Productkaarten[[#This Row],[Product]]&amp;", "&amp;Database_Productkaarten[[#This Row],[Levensfase]]</f>
        <v>2L-ZOAB onderlaag - PCR 1.0, C3</v>
      </c>
      <c r="B13" s="33" t="s">
        <v>482</v>
      </c>
      <c r="C13" s="33" t="s">
        <v>483</v>
      </c>
      <c r="D13" s="33" t="s">
        <v>484</v>
      </c>
      <c r="E13" s="33" t="s">
        <v>378</v>
      </c>
      <c r="F13" s="33" t="s">
        <v>85</v>
      </c>
      <c r="L13" s="33">
        <v>2.1</v>
      </c>
      <c r="M13" s="269">
        <v>1</v>
      </c>
      <c r="N13" s="41">
        <v>0.16120214999999999</v>
      </c>
      <c r="O13" s="33">
        <v>13</v>
      </c>
      <c r="P13" s="40">
        <v>4.1291555000000003E-7</v>
      </c>
      <c r="Q13" s="40">
        <v>8.4766977000000007E-3</v>
      </c>
      <c r="R13" s="40">
        <v>1.6375614000000001</v>
      </c>
      <c r="S13" s="40">
        <v>2.2198111999999999E-7</v>
      </c>
      <c r="T13" s="40">
        <v>5.9777666000000002E-4</v>
      </c>
      <c r="U13" s="40">
        <v>5.9352911000000001E-3</v>
      </c>
      <c r="V13" s="40">
        <v>1.3067828999999999E-3</v>
      </c>
      <c r="W13" s="40">
        <v>0.43290835999999999</v>
      </c>
      <c r="X13" s="40">
        <v>6.1478063999999997E-3</v>
      </c>
      <c r="Y13" s="40">
        <v>20.733394000000001</v>
      </c>
      <c r="Z13" s="40">
        <v>7.2985148000000004E-4</v>
      </c>
      <c r="AA13" s="40"/>
      <c r="AB13" s="40"/>
      <c r="AC13" s="40"/>
      <c r="AD13" s="40"/>
      <c r="AE13" s="40"/>
      <c r="AF13" s="40"/>
      <c r="AG13" s="40"/>
      <c r="AH13" s="40"/>
      <c r="AI13" s="40"/>
      <c r="AJ13" s="40"/>
      <c r="AK13" s="40"/>
      <c r="AL13" s="40"/>
      <c r="AM13" s="40"/>
      <c r="AN13" s="40"/>
      <c r="AO13" s="40"/>
      <c r="AP13" s="40"/>
      <c r="AQ13" s="40"/>
      <c r="AR13" s="40"/>
      <c r="AS13" s="40"/>
      <c r="AT13" s="40"/>
      <c r="AU13" s="40"/>
      <c r="AV13" s="313">
        <v>0.10367149000000001</v>
      </c>
      <c r="AW13" s="317"/>
      <c r="AX13" s="317"/>
      <c r="AY13" s="313">
        <v>19.003353000000001</v>
      </c>
      <c r="AZ13" s="40"/>
      <c r="BA13" s="40"/>
      <c r="BB13" s="40"/>
      <c r="BC13" s="40">
        <v>2.3419052000000001E-3</v>
      </c>
      <c r="BD13" s="40">
        <v>7.9811735999999999E-6</v>
      </c>
      <c r="BE13" s="40">
        <v>1.9057085000000001E-2</v>
      </c>
      <c r="BF13" s="40">
        <v>1.2430745000000001E-4</v>
      </c>
      <c r="BG13" s="40"/>
      <c r="BH13" s="40"/>
      <c r="BI13" s="40"/>
      <c r="BJ13" s="40"/>
      <c r="BK13" s="40"/>
      <c r="BL13" s="62">
        <v>0</v>
      </c>
      <c r="BM13" s="275">
        <v>2</v>
      </c>
      <c r="BN13" s="62">
        <v>0</v>
      </c>
      <c r="BO13" s="33" t="s">
        <v>485</v>
      </c>
    </row>
    <row r="14" spans="1:68">
      <c r="A14" s="33" t="str">
        <f>Database_Productkaarten[[#This Row],[Product]]&amp;", "&amp;Database_Productkaarten[[#This Row],[Levensfase]]</f>
        <v>2L-ZOAB onderlaag - PCR 1.0, D</v>
      </c>
      <c r="B14" s="33" t="str">
        <f>B15</f>
        <v>2L-ZOAB onderlaag - PCR 1.0</v>
      </c>
      <c r="C14" s="33" t="str">
        <f>C15</f>
        <v>Bitumineuze verhardingen</v>
      </c>
      <c r="D14" s="33" t="str">
        <f>D15</f>
        <v>ZOAB</v>
      </c>
      <c r="E14" s="33" t="str">
        <f>E15</f>
        <v>Ton</v>
      </c>
      <c r="F14" s="33" t="s">
        <v>89</v>
      </c>
      <c r="L14" s="33">
        <f>L15</f>
        <v>2.1</v>
      </c>
      <c r="M14" s="45">
        <f>M15</f>
        <v>1</v>
      </c>
      <c r="N14" s="41">
        <f>SUM(N15:N16)</f>
        <v>-5.6309580435591844</v>
      </c>
      <c r="O14" s="33">
        <f>O15</f>
        <v>13</v>
      </c>
      <c r="P14" s="40">
        <f>SUM(P15:P16)</f>
        <v>-6.9927694022056401E-5</v>
      </c>
      <c r="Q14" s="40">
        <f>SUM(Q15:Q16)</f>
        <v>-0.62060069285603958</v>
      </c>
      <c r="R14" s="40">
        <f>SUM(R15:R16)</f>
        <v>-45.794894729670645</v>
      </c>
      <c r="S14" s="40">
        <f t="shared" ref="S14:BK14" si="1">SUM(S15:S16)</f>
        <v>-4.3283916781560663E-6</v>
      </c>
      <c r="T14" s="40">
        <f t="shared" si="1"/>
        <v>-6.5979607620510375E-2</v>
      </c>
      <c r="U14" s="40">
        <f t="shared" si="1"/>
        <v>-0.32704929674645544</v>
      </c>
      <c r="V14" s="40">
        <f t="shared" si="1"/>
        <v>-3.9542009026267678E-2</v>
      </c>
      <c r="W14" s="40">
        <f t="shared" si="1"/>
        <v>-11.367665898790385</v>
      </c>
      <c r="X14" s="40">
        <f t="shared" si="1"/>
        <v>-0.89934277189685752</v>
      </c>
      <c r="Y14" s="40">
        <f t="shared" si="1"/>
        <v>-3877.7592530855873</v>
      </c>
      <c r="Z14" s="40">
        <f t="shared" si="1"/>
        <v>-0.13515558489073998</v>
      </c>
      <c r="AA14" s="40">
        <f t="shared" si="1"/>
        <v>0</v>
      </c>
      <c r="AB14" s="40">
        <f t="shared" si="1"/>
        <v>0</v>
      </c>
      <c r="AC14" s="40">
        <f t="shared" si="1"/>
        <v>0</v>
      </c>
      <c r="AD14" s="40">
        <f t="shared" si="1"/>
        <v>0</v>
      </c>
      <c r="AE14" s="40">
        <f t="shared" si="1"/>
        <v>0</v>
      </c>
      <c r="AF14" s="40">
        <f t="shared" si="1"/>
        <v>0</v>
      </c>
      <c r="AG14" s="40">
        <f t="shared" si="1"/>
        <v>0</v>
      </c>
      <c r="AH14" s="40">
        <f t="shared" si="1"/>
        <v>0</v>
      </c>
      <c r="AI14" s="40">
        <f t="shared" si="1"/>
        <v>0</v>
      </c>
      <c r="AJ14" s="40">
        <f t="shared" si="1"/>
        <v>0</v>
      </c>
      <c r="AK14" s="40">
        <f t="shared" si="1"/>
        <v>0</v>
      </c>
      <c r="AL14" s="40">
        <f t="shared" si="1"/>
        <v>0</v>
      </c>
      <c r="AM14" s="40">
        <f t="shared" si="1"/>
        <v>0</v>
      </c>
      <c r="AN14" s="40">
        <f t="shared" si="1"/>
        <v>0</v>
      </c>
      <c r="AO14" s="40">
        <f t="shared" si="1"/>
        <v>0</v>
      </c>
      <c r="AP14" s="40">
        <f t="shared" si="1"/>
        <v>0</v>
      </c>
      <c r="AQ14" s="40">
        <f t="shared" si="1"/>
        <v>0</v>
      </c>
      <c r="AR14" s="40">
        <f t="shared" si="1"/>
        <v>0</v>
      </c>
      <c r="AS14" s="40">
        <f t="shared" si="1"/>
        <v>0</v>
      </c>
      <c r="AT14" s="40">
        <f t="shared" si="1"/>
        <v>0</v>
      </c>
      <c r="AU14" s="40">
        <f t="shared" si="1"/>
        <v>0</v>
      </c>
      <c r="AV14" s="317">
        <f t="shared" si="1"/>
        <v>-16.975454877068248</v>
      </c>
      <c r="AW14" s="317">
        <f t="shared" si="1"/>
        <v>0</v>
      </c>
      <c r="AX14" s="317">
        <f t="shared" si="1"/>
        <v>0</v>
      </c>
      <c r="AY14" s="317">
        <f t="shared" si="1"/>
        <v>-1393.0335805882298</v>
      </c>
      <c r="AZ14" s="40">
        <f t="shared" si="1"/>
        <v>0</v>
      </c>
      <c r="BA14" s="40">
        <f t="shared" si="1"/>
        <v>0</v>
      </c>
      <c r="BB14" s="40">
        <f t="shared" si="1"/>
        <v>0</v>
      </c>
      <c r="BC14" s="40">
        <f t="shared" si="1"/>
        <v>-11.860160571582568</v>
      </c>
      <c r="BD14" s="40">
        <f t="shared" si="1"/>
        <v>-5.6573885943433531E-4</v>
      </c>
      <c r="BE14" s="40">
        <f t="shared" si="1"/>
        <v>-4.5828493239107271</v>
      </c>
      <c r="BF14" s="40">
        <f t="shared" si="1"/>
        <v>-2.1025735249584222E-3</v>
      </c>
      <c r="BG14" s="40">
        <f t="shared" si="1"/>
        <v>0</v>
      </c>
      <c r="BH14" s="40">
        <f t="shared" si="1"/>
        <v>0</v>
      </c>
      <c r="BI14" s="40">
        <f t="shared" si="1"/>
        <v>0</v>
      </c>
      <c r="BJ14" s="40">
        <f t="shared" si="1"/>
        <v>0</v>
      </c>
      <c r="BK14" s="40">
        <f t="shared" si="1"/>
        <v>0</v>
      </c>
      <c r="BL14" s="62">
        <f>BL15</f>
        <v>0</v>
      </c>
      <c r="BM14" s="275">
        <f>BM15</f>
        <v>2</v>
      </c>
      <c r="BN14" s="62">
        <v>0</v>
      </c>
      <c r="BO14" s="33" t="str">
        <f>BO15</f>
        <v>TNO 2020 R10987 LCA Achtergrondrapport voor brancherepresentatieve Nederlandse asfaltmengsels 2020</v>
      </c>
    </row>
    <row r="15" spans="1:68">
      <c r="A15" s="33" t="str">
        <f>Database_Productkaarten[[#This Row],[Product]]&amp;", "&amp;Database_Productkaarten[[#This Row],[Levensfase]]</f>
        <v>2L-ZOAB onderlaag - PCR 1.0, D1</v>
      </c>
      <c r="B15" s="33" t="s">
        <v>482</v>
      </c>
      <c r="C15" s="33" t="s">
        <v>483</v>
      </c>
      <c r="D15" s="33" t="s">
        <v>484</v>
      </c>
      <c r="E15" s="33" t="s">
        <v>378</v>
      </c>
      <c r="F15" s="33" t="s">
        <v>87</v>
      </c>
      <c r="L15" s="33">
        <v>2.1</v>
      </c>
      <c r="M15" s="269">
        <v>1</v>
      </c>
      <c r="N15" s="41">
        <v>-3.7571449630341993</v>
      </c>
      <c r="O15" s="33">
        <v>13</v>
      </c>
      <c r="P15" s="40">
        <v>-5.8093027011200013E-5</v>
      </c>
      <c r="Q15" s="40">
        <v>-0.53483823118509988</v>
      </c>
      <c r="R15" s="40">
        <v>-33.251288624967202</v>
      </c>
      <c r="S15" s="40">
        <v>-2.2903958867499996E-6</v>
      </c>
      <c r="T15" s="40">
        <v>-5.6237984889039999E-2</v>
      </c>
      <c r="U15" s="40">
        <v>-0.17986124538629999</v>
      </c>
      <c r="V15" s="40">
        <v>-1.9937934841999998E-2</v>
      </c>
      <c r="W15" s="40">
        <v>-6.867482950200599</v>
      </c>
      <c r="X15" s="40">
        <v>-0.79803840359169997</v>
      </c>
      <c r="Y15" s="40">
        <v>-3486.5819930016578</v>
      </c>
      <c r="Z15" s="40">
        <v>-0.11851326455929999</v>
      </c>
      <c r="AA15" s="40"/>
      <c r="AB15" s="40"/>
      <c r="AC15" s="40"/>
      <c r="AD15" s="40"/>
      <c r="AE15" s="40"/>
      <c r="AF15" s="40"/>
      <c r="AG15" s="40"/>
      <c r="AH15" s="40"/>
      <c r="AI15" s="40"/>
      <c r="AJ15" s="40"/>
      <c r="AK15" s="40"/>
      <c r="AL15" s="40"/>
      <c r="AM15" s="40"/>
      <c r="AN15" s="40"/>
      <c r="AO15" s="40"/>
      <c r="AP15" s="40"/>
      <c r="AQ15" s="40"/>
      <c r="AR15" s="40"/>
      <c r="AS15" s="40"/>
      <c r="AT15" s="40"/>
      <c r="AU15" s="40"/>
      <c r="AV15" s="313">
        <v>-13.4564182282922</v>
      </c>
      <c r="AW15" s="317"/>
      <c r="AX15" s="317"/>
      <c r="AY15" s="313">
        <v>-1202.9071883686311</v>
      </c>
      <c r="AZ15" s="40"/>
      <c r="BA15" s="40"/>
      <c r="BB15" s="40"/>
      <c r="BC15" s="40">
        <v>-11.821947947199698</v>
      </c>
      <c r="BD15" s="40">
        <v>-4.456679543369999E-4</v>
      </c>
      <c r="BE15" s="40">
        <v>-1.6329321131184003</v>
      </c>
      <c r="BF15" s="40">
        <v>-9.19482525182E-4</v>
      </c>
      <c r="BG15" s="40"/>
      <c r="BH15" s="40"/>
      <c r="BI15" s="40"/>
      <c r="BJ15" s="40"/>
      <c r="BK15" s="40"/>
      <c r="BL15" s="62">
        <v>0</v>
      </c>
      <c r="BM15" s="275">
        <v>2</v>
      </c>
      <c r="BN15" s="62">
        <v>0</v>
      </c>
      <c r="BO15" s="33" t="s">
        <v>485</v>
      </c>
    </row>
    <row r="16" spans="1:68">
      <c r="A16" s="33" t="str">
        <f>Database_Productkaarten[[#This Row],[Product]]&amp;", "&amp;Database_Productkaarten[[#This Row],[Levensfase]]</f>
        <v>2L-ZOAB onderlaag - PCR 1.0, D2</v>
      </c>
      <c r="B16" s="33" t="s">
        <v>482</v>
      </c>
      <c r="C16" s="33" t="s">
        <v>483</v>
      </c>
      <c r="D16" s="33" t="s">
        <v>484</v>
      </c>
      <c r="E16" s="33" t="s">
        <v>378</v>
      </c>
      <c r="F16" s="33" t="s">
        <v>88</v>
      </c>
      <c r="L16" s="33">
        <v>2.1</v>
      </c>
      <c r="M16" s="269">
        <v>1</v>
      </c>
      <c r="N16" s="41">
        <v>-1.8738130805249846</v>
      </c>
      <c r="O16" s="33">
        <v>13</v>
      </c>
      <c r="P16" s="40">
        <v>-1.1834667010856388E-5</v>
      </c>
      <c r="Q16" s="40">
        <v>-8.5762461670939732E-2</v>
      </c>
      <c r="R16" s="40">
        <v>-12.543606104703443</v>
      </c>
      <c r="S16" s="40">
        <v>-2.0379957914060662E-6</v>
      </c>
      <c r="T16" s="40">
        <v>-9.7416227314703792E-3</v>
      </c>
      <c r="U16" s="40">
        <v>-0.14718805136015545</v>
      </c>
      <c r="V16" s="40">
        <v>-1.960407418426768E-2</v>
      </c>
      <c r="W16" s="40">
        <v>-4.5001829485897851</v>
      </c>
      <c r="X16" s="40">
        <v>-0.10130436830515759</v>
      </c>
      <c r="Y16" s="40">
        <v>-391.1772600839297</v>
      </c>
      <c r="Z16" s="40">
        <v>-1.6642320331439982E-2</v>
      </c>
      <c r="AA16" s="40"/>
      <c r="AB16" s="40"/>
      <c r="AC16" s="40"/>
      <c r="AD16" s="40"/>
      <c r="AE16" s="40"/>
      <c r="AF16" s="40"/>
      <c r="AG16" s="40"/>
      <c r="AH16" s="40"/>
      <c r="AI16" s="40"/>
      <c r="AJ16" s="40"/>
      <c r="AK16" s="40"/>
      <c r="AL16" s="40"/>
      <c r="AM16" s="40"/>
      <c r="AN16" s="40"/>
      <c r="AO16" s="40"/>
      <c r="AP16" s="40"/>
      <c r="AQ16" s="40"/>
      <c r="AR16" s="40"/>
      <c r="AS16" s="40"/>
      <c r="AT16" s="40"/>
      <c r="AU16" s="40"/>
      <c r="AV16" s="313">
        <v>-3.5190366487760487</v>
      </c>
      <c r="AW16" s="317"/>
      <c r="AX16" s="317"/>
      <c r="AY16" s="313">
        <v>-190.12639221959881</v>
      </c>
      <c r="AZ16" s="40"/>
      <c r="BA16" s="40"/>
      <c r="BB16" s="40"/>
      <c r="BC16" s="40">
        <v>-3.8212624382869917E-2</v>
      </c>
      <c r="BD16" s="40">
        <v>-1.2007090509733538E-4</v>
      </c>
      <c r="BE16" s="40">
        <v>-2.9499172107923264</v>
      </c>
      <c r="BF16" s="40">
        <v>-1.1830909997764219E-3</v>
      </c>
      <c r="BG16" s="40"/>
      <c r="BH16" s="40"/>
      <c r="BI16" s="40"/>
      <c r="BJ16" s="40"/>
      <c r="BK16" s="40"/>
      <c r="BL16" s="62">
        <v>0</v>
      </c>
      <c r="BM16" s="275">
        <v>2</v>
      </c>
      <c r="BN16" s="62">
        <v>0</v>
      </c>
      <c r="BO16" s="33" t="s">
        <v>485</v>
      </c>
    </row>
    <row r="17" spans="1:67">
      <c r="A17" s="33" t="str">
        <f>Database_Productkaarten[[#This Row],[Product]]&amp;", "&amp;Database_Productkaarten[[#This Row],[Levensfase]]</f>
        <v>2L-ZOAB onderlaag 30% PR - PCR 1.0, Totaal</v>
      </c>
      <c r="B17" s="33" t="s">
        <v>486</v>
      </c>
      <c r="C17" s="33" t="s">
        <v>483</v>
      </c>
      <c r="D17" s="33" t="s">
        <v>484</v>
      </c>
      <c r="E17" s="33" t="s">
        <v>378</v>
      </c>
      <c r="F17" s="33" t="s">
        <v>90</v>
      </c>
      <c r="L17" s="33">
        <v>2.1</v>
      </c>
      <c r="M17" s="269">
        <v>1</v>
      </c>
      <c r="N17" s="41">
        <v>7.3094430207136014</v>
      </c>
      <c r="O17" s="33">
        <v>13</v>
      </c>
      <c r="P17" s="40">
        <v>6.5039712319624602E-5</v>
      </c>
      <c r="Q17" s="40">
        <v>0.76957846535452035</v>
      </c>
      <c r="R17" s="40">
        <v>61.627859949506181</v>
      </c>
      <c r="S17" s="40">
        <v>7.6697529099921856E-6</v>
      </c>
      <c r="T17" s="40">
        <v>6.3978625870510064E-2</v>
      </c>
      <c r="U17" s="40">
        <v>0.27458808046711908</v>
      </c>
      <c r="V17" s="40">
        <v>3.4855571148716839E-2</v>
      </c>
      <c r="W17" s="40">
        <v>18.703358252677774</v>
      </c>
      <c r="X17" s="40">
        <v>4.1825250677081121</v>
      </c>
      <c r="Y17" s="40">
        <v>7468.6683183497425</v>
      </c>
      <c r="Z17" s="40">
        <v>0.15033224934072872</v>
      </c>
      <c r="AA17" s="40"/>
      <c r="AB17" s="40"/>
      <c r="AC17" s="40"/>
      <c r="AD17" s="40"/>
      <c r="AE17" s="40"/>
      <c r="AF17" s="40"/>
      <c r="AG17" s="40"/>
      <c r="AH17" s="40"/>
      <c r="AI17" s="40"/>
      <c r="AJ17" s="40"/>
      <c r="AK17" s="40"/>
      <c r="AL17" s="40"/>
      <c r="AM17" s="40"/>
      <c r="AN17" s="40"/>
      <c r="AO17" s="40"/>
      <c r="AP17" s="40"/>
      <c r="AQ17" s="40"/>
      <c r="AR17" s="40"/>
      <c r="AS17" s="40"/>
      <c r="AT17" s="40"/>
      <c r="AU17" s="40"/>
      <c r="AV17" s="313">
        <v>22.049721843848761</v>
      </c>
      <c r="AW17" s="317"/>
      <c r="AX17" s="317"/>
      <c r="AY17" s="313">
        <v>1502.0458072059819</v>
      </c>
      <c r="AZ17" s="40"/>
      <c r="BA17" s="40"/>
      <c r="BB17" s="40"/>
      <c r="BC17" s="40">
        <v>10.582426749404007</v>
      </c>
      <c r="BD17" s="40">
        <v>9.0521735136718442E-4</v>
      </c>
      <c r="BE17" s="40">
        <v>2.5719876965498045</v>
      </c>
      <c r="BF17" s="40">
        <v>1.5793291993064869E-3</v>
      </c>
      <c r="BG17" s="40"/>
      <c r="BH17" s="40"/>
      <c r="BI17" s="40"/>
      <c r="BJ17" s="40"/>
      <c r="BK17" s="40"/>
      <c r="BL17" s="62">
        <v>0.3</v>
      </c>
      <c r="BM17" s="275">
        <v>2</v>
      </c>
      <c r="BN17" s="62">
        <v>0</v>
      </c>
      <c r="BO17" s="33" t="s">
        <v>485</v>
      </c>
    </row>
    <row r="18" spans="1:67">
      <c r="A18" s="33" t="str">
        <f>Database_Productkaarten[[#This Row],[Product]]&amp;", "&amp;Database_Productkaarten[[#This Row],[Levensfase]]</f>
        <v>2L-ZOAB onderlaag 30% PR - PCR 1.0, A1</v>
      </c>
      <c r="B18" s="33" t="s">
        <v>486</v>
      </c>
      <c r="C18" s="33" t="s">
        <v>483</v>
      </c>
      <c r="D18" s="33" t="s">
        <v>484</v>
      </c>
      <c r="E18" s="33" t="s">
        <v>378</v>
      </c>
      <c r="F18" s="33" t="s">
        <v>74</v>
      </c>
      <c r="L18" s="33">
        <v>2.1</v>
      </c>
      <c r="M18" s="269">
        <v>1</v>
      </c>
      <c r="N18" s="41">
        <v>5.3069506209000004</v>
      </c>
      <c r="O18" s="33">
        <v>13</v>
      </c>
      <c r="P18" s="40">
        <v>7.3874349759999993E-5</v>
      </c>
      <c r="Q18" s="40">
        <v>0.86772641507999981</v>
      </c>
      <c r="R18" s="40">
        <v>40.9385117068</v>
      </c>
      <c r="S18" s="40">
        <v>3.1980221480000004E-6</v>
      </c>
      <c r="T18" s="40">
        <v>9.3238866071999993E-2</v>
      </c>
      <c r="U18" s="40">
        <v>0.26723633899999999</v>
      </c>
      <c r="V18" s="40">
        <v>2.6960668860000002E-2</v>
      </c>
      <c r="W18" s="40">
        <v>10.952886466999999</v>
      </c>
      <c r="X18" s="40">
        <v>1.3475943052599999</v>
      </c>
      <c r="Y18" s="40">
        <v>5857.8238711231998</v>
      </c>
      <c r="Z18" s="40">
        <v>0.18399528693999997</v>
      </c>
      <c r="AA18" s="40"/>
      <c r="AB18" s="40"/>
      <c r="AC18" s="40"/>
      <c r="AD18" s="40"/>
      <c r="AE18" s="40"/>
      <c r="AF18" s="40"/>
      <c r="AG18" s="40"/>
      <c r="AH18" s="40"/>
      <c r="AI18" s="40"/>
      <c r="AJ18" s="40"/>
      <c r="AK18" s="40"/>
      <c r="AL18" s="40"/>
      <c r="AM18" s="40"/>
      <c r="AN18" s="40"/>
      <c r="AO18" s="40"/>
      <c r="AP18" s="40"/>
      <c r="AQ18" s="40"/>
      <c r="AR18" s="40"/>
      <c r="AS18" s="40"/>
      <c r="AT18" s="40"/>
      <c r="AU18" s="40"/>
      <c r="AV18" s="313">
        <v>23.3818604802</v>
      </c>
      <c r="AW18" s="317"/>
      <c r="AX18" s="317"/>
      <c r="AY18" s="313">
        <v>1960.9136215622998</v>
      </c>
      <c r="AZ18" s="40"/>
      <c r="BA18" s="40"/>
      <c r="BB18" s="40"/>
      <c r="BC18" s="40">
        <v>20.264868856220001</v>
      </c>
      <c r="BD18" s="40">
        <v>6.825086075999999E-4</v>
      </c>
      <c r="BE18" s="40">
        <v>2.1506593399999998</v>
      </c>
      <c r="BF18" s="40">
        <v>1.0369416616E-3</v>
      </c>
      <c r="BG18" s="40"/>
      <c r="BH18" s="40"/>
      <c r="BI18" s="40"/>
      <c r="BJ18" s="40"/>
      <c r="BK18" s="40"/>
      <c r="BL18" s="62">
        <v>0.3</v>
      </c>
      <c r="BM18" s="275">
        <v>2</v>
      </c>
      <c r="BN18" s="62">
        <v>0</v>
      </c>
      <c r="BO18" s="33" t="s">
        <v>485</v>
      </c>
    </row>
    <row r="19" spans="1:67">
      <c r="A19" s="33" t="str">
        <f>Database_Productkaarten[[#This Row],[Product]]&amp;", "&amp;Database_Productkaarten[[#This Row],[Levensfase]]</f>
        <v>2L-ZOAB onderlaag 30% PR - PCR 1.0, A2</v>
      </c>
      <c r="B19" s="33" t="s">
        <v>486</v>
      </c>
      <c r="C19" s="33" t="s">
        <v>483</v>
      </c>
      <c r="D19" s="33" t="s">
        <v>484</v>
      </c>
      <c r="E19" s="33" t="s">
        <v>378</v>
      </c>
      <c r="F19" s="33" t="s">
        <v>75</v>
      </c>
      <c r="L19" s="33">
        <v>2.1</v>
      </c>
      <c r="M19" s="269">
        <v>1</v>
      </c>
      <c r="N19" s="41">
        <v>1.9430490663209998</v>
      </c>
      <c r="O19" s="33">
        <v>13</v>
      </c>
      <c r="P19" s="40">
        <v>1.0981543150132E-5</v>
      </c>
      <c r="Q19" s="40">
        <v>8.0963648950389988E-2</v>
      </c>
      <c r="R19" s="40">
        <v>11.585025716468397</v>
      </c>
      <c r="S19" s="40">
        <v>1.916909098011E-6</v>
      </c>
      <c r="T19" s="40">
        <v>1.0300860648039999E-2</v>
      </c>
      <c r="U19" s="40">
        <v>0.17062562817049998</v>
      </c>
      <c r="V19" s="40">
        <v>1.8457106581819996E-2</v>
      </c>
      <c r="W19" s="40">
        <v>4.8313847145543987</v>
      </c>
      <c r="X19" s="40">
        <v>0.10179235535643999</v>
      </c>
      <c r="Y19" s="40">
        <v>427.07612423635646</v>
      </c>
      <c r="Z19" s="40">
        <v>1.6264749832589999E-2</v>
      </c>
      <c r="AA19" s="40"/>
      <c r="AB19" s="40"/>
      <c r="AC19" s="40"/>
      <c r="AD19" s="40"/>
      <c r="AE19" s="40"/>
      <c r="AF19" s="40"/>
      <c r="AG19" s="40"/>
      <c r="AH19" s="40"/>
      <c r="AI19" s="40"/>
      <c r="AJ19" s="40"/>
      <c r="AK19" s="40"/>
      <c r="AL19" s="40"/>
      <c r="AM19" s="40"/>
      <c r="AN19" s="40"/>
      <c r="AO19" s="40"/>
      <c r="AP19" s="40"/>
      <c r="AQ19" s="40"/>
      <c r="AR19" s="40"/>
      <c r="AS19" s="40"/>
      <c r="AT19" s="40"/>
      <c r="AU19" s="40"/>
      <c r="AV19" s="313">
        <v>3.2796982827534</v>
      </c>
      <c r="AW19" s="317"/>
      <c r="AX19" s="317"/>
      <c r="AY19" s="313">
        <v>179.39306552735258</v>
      </c>
      <c r="AZ19" s="40"/>
      <c r="BA19" s="40"/>
      <c r="BB19" s="40"/>
      <c r="BC19" s="40">
        <v>3.2557138445730001E-2</v>
      </c>
      <c r="BD19" s="40">
        <v>1.0590906493112E-4</v>
      </c>
      <c r="BE19" s="40">
        <v>3.0578301791596005</v>
      </c>
      <c r="BF19" s="40">
        <v>1.1140603432129997E-3</v>
      </c>
      <c r="BG19" s="40"/>
      <c r="BH19" s="40"/>
      <c r="BI19" s="40"/>
      <c r="BJ19" s="40"/>
      <c r="BK19" s="40"/>
      <c r="BL19" s="62">
        <v>0.3</v>
      </c>
      <c r="BM19" s="275">
        <v>2</v>
      </c>
      <c r="BN19" s="62">
        <v>0</v>
      </c>
      <c r="BO19" s="33" t="s">
        <v>485</v>
      </c>
    </row>
    <row r="20" spans="1:67">
      <c r="A20" s="33" t="str">
        <f>Database_Productkaarten[[#This Row],[Product]]&amp;", "&amp;Database_Productkaarten[[#This Row],[Levensfase]]</f>
        <v>2L-ZOAB onderlaag 30% PR - PCR 1.0, A3</v>
      </c>
      <c r="B20" s="33" t="s">
        <v>486</v>
      </c>
      <c r="C20" s="33" t="s">
        <v>483</v>
      </c>
      <c r="D20" s="33" t="s">
        <v>484</v>
      </c>
      <c r="E20" s="33" t="s">
        <v>378</v>
      </c>
      <c r="F20" s="33" t="s">
        <v>76</v>
      </c>
      <c r="L20" s="33">
        <v>2.1</v>
      </c>
      <c r="M20" s="269">
        <v>1</v>
      </c>
      <c r="N20" s="41">
        <v>1.5586325778075958</v>
      </c>
      <c r="O20" s="33">
        <v>13</v>
      </c>
      <c r="P20" s="40">
        <v>4.2104572698924192E-6</v>
      </c>
      <c r="Q20" s="40">
        <v>0.18269477242307175</v>
      </c>
      <c r="R20" s="40">
        <v>21.422492026413497</v>
      </c>
      <c r="S20" s="40">
        <v>2.4757937169570546E-6</v>
      </c>
      <c r="T20" s="40">
        <v>3.5041206638553144E-3</v>
      </c>
      <c r="U20" s="40">
        <v>2.3268966416509839E-2</v>
      </c>
      <c r="V20" s="40">
        <v>4.2005852578956317E-3</v>
      </c>
      <c r="W20" s="40">
        <v>3.4378900753673935</v>
      </c>
      <c r="X20" s="40">
        <v>2.2193163319453403E-2</v>
      </c>
      <c r="Y20" s="40">
        <v>89.87631522793022</v>
      </c>
      <c r="Z20" s="40">
        <v>2.08144449636576E-2</v>
      </c>
      <c r="AA20" s="40"/>
      <c r="AB20" s="40"/>
      <c r="AC20" s="40"/>
      <c r="AD20" s="40"/>
      <c r="AE20" s="40"/>
      <c r="AF20" s="40"/>
      <c r="AG20" s="40"/>
      <c r="AH20" s="40"/>
      <c r="AI20" s="40"/>
      <c r="AJ20" s="40"/>
      <c r="AK20" s="40"/>
      <c r="AL20" s="40"/>
      <c r="AM20" s="40"/>
      <c r="AN20" s="40"/>
      <c r="AO20" s="40"/>
      <c r="AP20" s="40"/>
      <c r="AQ20" s="40"/>
      <c r="AR20" s="40"/>
      <c r="AS20" s="40"/>
      <c r="AT20" s="40"/>
      <c r="AU20" s="40"/>
      <c r="AV20" s="313">
        <v>5.9631026873825332</v>
      </c>
      <c r="AW20" s="317"/>
      <c r="AX20" s="317"/>
      <c r="AY20" s="313">
        <v>373.4991474103233</v>
      </c>
      <c r="AZ20" s="40"/>
      <c r="BA20" s="40"/>
      <c r="BB20" s="40"/>
      <c r="BC20" s="40">
        <v>3.9487704062754071E-2</v>
      </c>
      <c r="BD20" s="40">
        <v>4.9758582573578057E-4</v>
      </c>
      <c r="BE20" s="40">
        <v>0.23396664007004547</v>
      </c>
      <c r="BF20" s="40">
        <v>3.4302143111759718E-4</v>
      </c>
      <c r="BG20" s="40"/>
      <c r="BH20" s="40"/>
      <c r="BI20" s="40"/>
      <c r="BJ20" s="40"/>
      <c r="BK20" s="40"/>
      <c r="BL20" s="62">
        <v>0.3</v>
      </c>
      <c r="BM20" s="275">
        <v>2</v>
      </c>
      <c r="BN20" s="62">
        <v>0</v>
      </c>
      <c r="BO20" s="33" t="s">
        <v>485</v>
      </c>
    </row>
    <row r="21" spans="1:67">
      <c r="A21" s="33" t="str">
        <f>Database_Productkaarten[[#This Row],[Product]]&amp;", "&amp;Database_Productkaarten[[#This Row],[Levensfase]]</f>
        <v>2L-ZOAB onderlaag 30% PR - PCR 1.0, A1-A3</v>
      </c>
      <c r="B21" s="33" t="str">
        <f>B20</f>
        <v>2L-ZOAB onderlaag 30% PR - PCR 1.0</v>
      </c>
      <c r="C21" s="33" t="str">
        <f>C20</f>
        <v>Bitumineuze verhardingen</v>
      </c>
      <c r="D21" s="33" t="str">
        <f>D20</f>
        <v>ZOAB</v>
      </c>
      <c r="E21" s="33" t="str">
        <f>E20</f>
        <v>Ton</v>
      </c>
      <c r="F21" s="33" t="s">
        <v>77</v>
      </c>
      <c r="L21" s="33">
        <f>L20</f>
        <v>2.1</v>
      </c>
      <c r="M21" s="45">
        <f>M20</f>
        <v>1</v>
      </c>
      <c r="N21" s="252">
        <f>SUM(N18:N20)</f>
        <v>8.8086322650285958</v>
      </c>
      <c r="O21" s="33">
        <f>O20</f>
        <v>13</v>
      </c>
      <c r="P21" s="40">
        <f>SUM(P18:P20)</f>
        <v>8.9066350180024413E-5</v>
      </c>
      <c r="Q21" s="40">
        <f t="shared" ref="Q21:BK21" si="2">SUM(Q18:Q20)</f>
        <v>1.1313848364534616</v>
      </c>
      <c r="R21" s="40">
        <f t="shared" si="2"/>
        <v>73.946029449681888</v>
      </c>
      <c r="S21" s="40">
        <f t="shared" si="2"/>
        <v>7.590724962968055E-6</v>
      </c>
      <c r="T21" s="40">
        <f t="shared" si="2"/>
        <v>0.10704384738389532</v>
      </c>
      <c r="U21" s="40">
        <f t="shared" si="2"/>
        <v>0.46113093358700979</v>
      </c>
      <c r="V21" s="40">
        <f t="shared" si="2"/>
        <v>4.9618360699715633E-2</v>
      </c>
      <c r="W21" s="40">
        <f t="shared" si="2"/>
        <v>19.222161256921794</v>
      </c>
      <c r="X21" s="40">
        <f t="shared" si="2"/>
        <v>1.4715798239358933</v>
      </c>
      <c r="Y21" s="40">
        <f t="shared" si="2"/>
        <v>6374.7763105874856</v>
      </c>
      <c r="Z21" s="40">
        <f t="shared" si="2"/>
        <v>0.22107448173624755</v>
      </c>
      <c r="AA21" s="40">
        <f t="shared" si="2"/>
        <v>0</v>
      </c>
      <c r="AB21" s="40">
        <f t="shared" si="2"/>
        <v>0</v>
      </c>
      <c r="AC21" s="40">
        <f t="shared" si="2"/>
        <v>0</v>
      </c>
      <c r="AD21" s="40">
        <f t="shared" si="2"/>
        <v>0</v>
      </c>
      <c r="AE21" s="40">
        <f t="shared" si="2"/>
        <v>0</v>
      </c>
      <c r="AF21" s="40">
        <f t="shared" si="2"/>
        <v>0</v>
      </c>
      <c r="AG21" s="40">
        <f t="shared" si="2"/>
        <v>0</v>
      </c>
      <c r="AH21" s="40">
        <f t="shared" si="2"/>
        <v>0</v>
      </c>
      <c r="AI21" s="40">
        <f t="shared" si="2"/>
        <v>0</v>
      </c>
      <c r="AJ21" s="40">
        <f t="shared" si="2"/>
        <v>0</v>
      </c>
      <c r="AK21" s="40">
        <f t="shared" si="2"/>
        <v>0</v>
      </c>
      <c r="AL21" s="40">
        <f t="shared" si="2"/>
        <v>0</v>
      </c>
      <c r="AM21" s="40">
        <f t="shared" si="2"/>
        <v>0</v>
      </c>
      <c r="AN21" s="40">
        <f t="shared" si="2"/>
        <v>0</v>
      </c>
      <c r="AO21" s="40">
        <f t="shared" si="2"/>
        <v>0</v>
      </c>
      <c r="AP21" s="40">
        <f t="shared" si="2"/>
        <v>0</v>
      </c>
      <c r="AQ21" s="40">
        <f t="shared" si="2"/>
        <v>0</v>
      </c>
      <c r="AR21" s="40">
        <f t="shared" si="2"/>
        <v>0</v>
      </c>
      <c r="AS21" s="40">
        <f t="shared" si="2"/>
        <v>0</v>
      </c>
      <c r="AT21" s="40">
        <f t="shared" si="2"/>
        <v>0</v>
      </c>
      <c r="AU21" s="40">
        <f t="shared" si="2"/>
        <v>0</v>
      </c>
      <c r="AV21" s="317">
        <f t="shared" si="2"/>
        <v>32.624661450335935</v>
      </c>
      <c r="AW21" s="317">
        <f t="shared" si="2"/>
        <v>0</v>
      </c>
      <c r="AX21" s="317">
        <f t="shared" si="2"/>
        <v>0</v>
      </c>
      <c r="AY21" s="317">
        <f t="shared" si="2"/>
        <v>2513.8058344999754</v>
      </c>
      <c r="AZ21" s="40">
        <f t="shared" si="2"/>
        <v>0</v>
      </c>
      <c r="BA21" s="40">
        <f t="shared" si="2"/>
        <v>0</v>
      </c>
      <c r="BB21" s="40">
        <f t="shared" si="2"/>
        <v>0</v>
      </c>
      <c r="BC21" s="40">
        <f t="shared" si="2"/>
        <v>20.336913698728484</v>
      </c>
      <c r="BD21" s="40">
        <f t="shared" si="2"/>
        <v>1.2860034982669004E-3</v>
      </c>
      <c r="BE21" s="40">
        <f t="shared" si="2"/>
        <v>5.4424561592296463</v>
      </c>
      <c r="BF21" s="40">
        <f t="shared" si="2"/>
        <v>2.4940234359305969E-3</v>
      </c>
      <c r="BG21" s="40">
        <f t="shared" si="2"/>
        <v>0</v>
      </c>
      <c r="BH21" s="40">
        <f t="shared" si="2"/>
        <v>0</v>
      </c>
      <c r="BI21" s="40">
        <f t="shared" si="2"/>
        <v>0</v>
      </c>
      <c r="BJ21" s="40">
        <f t="shared" si="2"/>
        <v>0</v>
      </c>
      <c r="BK21" s="40">
        <f t="shared" si="2"/>
        <v>0</v>
      </c>
      <c r="BL21" s="62">
        <f>BL20</f>
        <v>0.3</v>
      </c>
      <c r="BM21" s="275">
        <f>BM20</f>
        <v>2</v>
      </c>
      <c r="BN21" s="62">
        <v>0</v>
      </c>
      <c r="BO21" s="33" t="str">
        <f>BO20</f>
        <v>TNO 2020 R10987 LCA Achtergrondrapport voor brancherepresentatieve Nederlandse asfaltmengsels 2020</v>
      </c>
    </row>
    <row r="22" spans="1:67">
      <c r="A22" s="33" t="str">
        <f>Database_Productkaarten[[#This Row],[Product]]&amp;", "&amp;Database_Productkaarten[[#This Row],[Levensfase]]</f>
        <v>2L-ZOAB onderlaag 30% PR - PCR 1.0, A4</v>
      </c>
      <c r="B22" s="33" t="s">
        <v>486</v>
      </c>
      <c r="C22" s="33" t="s">
        <v>483</v>
      </c>
      <c r="D22" s="33" t="s">
        <v>484</v>
      </c>
      <c r="E22" s="33" t="s">
        <v>378</v>
      </c>
      <c r="F22" s="33" t="s">
        <v>78</v>
      </c>
      <c r="L22" s="33">
        <v>2.1</v>
      </c>
      <c r="M22" s="269">
        <v>1</v>
      </c>
      <c r="N22" s="41">
        <v>0.62892669999999995</v>
      </c>
      <c r="O22" s="33">
        <v>13</v>
      </c>
      <c r="P22" s="40">
        <v>1.0978337000000001E-5</v>
      </c>
      <c r="Q22" s="40">
        <v>4.3183727999999998E-2</v>
      </c>
      <c r="R22" s="40">
        <v>5.7021305</v>
      </c>
      <c r="S22" s="40">
        <v>1.1335356E-6</v>
      </c>
      <c r="T22" s="40">
        <v>3.5752850000000001E-3</v>
      </c>
      <c r="U22" s="40">
        <v>1.9151161E-2</v>
      </c>
      <c r="V22" s="40">
        <v>3.8023555000000001E-3</v>
      </c>
      <c r="W22" s="40">
        <v>2.0049337999999999</v>
      </c>
      <c r="X22" s="40">
        <v>0.12926487</v>
      </c>
      <c r="Y22" s="40">
        <v>338.63108999999997</v>
      </c>
      <c r="Z22" s="40">
        <v>1.1891815999999999E-2</v>
      </c>
      <c r="AA22" s="40"/>
      <c r="AB22" s="40"/>
      <c r="AC22" s="40"/>
      <c r="AD22" s="40"/>
      <c r="AE22" s="40"/>
      <c r="AF22" s="40"/>
      <c r="AG22" s="40"/>
      <c r="AH22" s="40"/>
      <c r="AI22" s="40"/>
      <c r="AJ22" s="40"/>
      <c r="AK22" s="40"/>
      <c r="AL22" s="40"/>
      <c r="AM22" s="40"/>
      <c r="AN22" s="40"/>
      <c r="AO22" s="40"/>
      <c r="AP22" s="40"/>
      <c r="AQ22" s="40"/>
      <c r="AR22" s="40"/>
      <c r="AS22" s="40"/>
      <c r="AT22" s="40"/>
      <c r="AU22" s="40"/>
      <c r="AV22" s="313">
        <v>0</v>
      </c>
      <c r="AW22" s="317"/>
      <c r="AX22" s="317"/>
      <c r="AY22" s="313">
        <v>0</v>
      </c>
      <c r="AZ22" s="40"/>
      <c r="BA22" s="40"/>
      <c r="BB22" s="40"/>
      <c r="BC22" s="40">
        <v>0</v>
      </c>
      <c r="BD22" s="40">
        <v>0</v>
      </c>
      <c r="BE22" s="40">
        <v>0</v>
      </c>
      <c r="BF22" s="40">
        <v>0</v>
      </c>
      <c r="BG22" s="40"/>
      <c r="BH22" s="40"/>
      <c r="BI22" s="40"/>
      <c r="BJ22" s="40"/>
      <c r="BK22" s="40"/>
      <c r="BL22" s="62">
        <v>0.3</v>
      </c>
      <c r="BM22" s="275">
        <v>2</v>
      </c>
      <c r="BN22" s="62">
        <v>0</v>
      </c>
      <c r="BO22" s="33" t="s">
        <v>485</v>
      </c>
    </row>
    <row r="23" spans="1:67">
      <c r="A23" s="33" t="str">
        <f>Database_Productkaarten[[#This Row],[Product]]&amp;", "&amp;Database_Productkaarten[[#This Row],[Levensfase]]</f>
        <v>2L-ZOAB onderlaag 30% PR - PCR 1.0, A5</v>
      </c>
      <c r="B23" s="33" t="s">
        <v>486</v>
      </c>
      <c r="C23" s="33" t="s">
        <v>483</v>
      </c>
      <c r="D23" s="33" t="s">
        <v>484</v>
      </c>
      <c r="E23" s="33" t="s">
        <v>378</v>
      </c>
      <c r="F23" s="33" t="s">
        <v>79</v>
      </c>
      <c r="L23" s="33">
        <v>2.1</v>
      </c>
      <c r="M23" s="269">
        <v>1</v>
      </c>
      <c r="N23" s="41">
        <v>0.11589273999999999</v>
      </c>
      <c r="O23" s="33">
        <v>13</v>
      </c>
      <c r="P23" s="40">
        <v>2.9981767000000001E-7</v>
      </c>
      <c r="Q23" s="40">
        <v>6.1549237000000003E-3</v>
      </c>
      <c r="R23" s="40">
        <v>1.1890320000000001</v>
      </c>
      <c r="S23" s="40">
        <v>1.6118031999999999E-7</v>
      </c>
      <c r="T23" s="40">
        <v>4.0441559000000001E-4</v>
      </c>
      <c r="U23" s="40">
        <v>4.1422853000000004E-3</v>
      </c>
      <c r="V23" s="40">
        <v>9.0534960000000005E-4</v>
      </c>
      <c r="W23" s="40">
        <v>0.31393536</v>
      </c>
      <c r="X23" s="40">
        <v>4.4639175000000001E-3</v>
      </c>
      <c r="Y23" s="40">
        <v>15.054501</v>
      </c>
      <c r="Z23" s="40">
        <v>5.2994459999999995E-4</v>
      </c>
      <c r="AA23" s="40"/>
      <c r="AB23" s="40"/>
      <c r="AC23" s="40"/>
      <c r="AD23" s="40"/>
      <c r="AE23" s="40"/>
      <c r="AF23" s="40"/>
      <c r="AG23" s="40"/>
      <c r="AH23" s="40"/>
      <c r="AI23" s="40"/>
      <c r="AJ23" s="40"/>
      <c r="AK23" s="40"/>
      <c r="AL23" s="40"/>
      <c r="AM23" s="40"/>
      <c r="AN23" s="40"/>
      <c r="AO23" s="40"/>
      <c r="AP23" s="40"/>
      <c r="AQ23" s="40"/>
      <c r="AR23" s="40"/>
      <c r="AS23" s="40"/>
      <c r="AT23" s="40"/>
      <c r="AU23" s="40"/>
      <c r="AV23" s="313">
        <v>7.5275787999999996E-2</v>
      </c>
      <c r="AW23" s="317"/>
      <c r="AX23" s="317"/>
      <c r="AY23" s="313">
        <v>13.79832</v>
      </c>
      <c r="AZ23" s="40"/>
      <c r="BA23" s="40"/>
      <c r="BB23" s="40"/>
      <c r="BC23" s="40">
        <v>1.7004556E-3</v>
      </c>
      <c r="BD23" s="40">
        <v>5.7951239999999996E-6</v>
      </c>
      <c r="BE23" s="40">
        <v>1.3837334999999999E-2</v>
      </c>
      <c r="BF23" s="40">
        <v>9.0259541999999994E-5</v>
      </c>
      <c r="BG23" s="40"/>
      <c r="BH23" s="40"/>
      <c r="BI23" s="40"/>
      <c r="BJ23" s="40"/>
      <c r="BK23" s="40"/>
      <c r="BL23" s="62">
        <v>0.3</v>
      </c>
      <c r="BM23" s="275">
        <v>2</v>
      </c>
      <c r="BN23" s="62">
        <v>0</v>
      </c>
      <c r="BO23" s="33" t="s">
        <v>485</v>
      </c>
    </row>
    <row r="24" spans="1:67">
      <c r="A24" s="33" t="str">
        <f>Database_Productkaarten[[#This Row],[Product]]&amp;", "&amp;Database_Productkaarten[[#This Row],[Levensfase]]</f>
        <v>2L-ZOAB onderlaag 30% PR - PCR 1.0, B1</v>
      </c>
      <c r="B24" s="33" t="s">
        <v>486</v>
      </c>
      <c r="C24" s="33" t="s">
        <v>483</v>
      </c>
      <c r="D24" s="33" t="s">
        <v>484</v>
      </c>
      <c r="E24" s="33" t="s">
        <v>378</v>
      </c>
      <c r="F24" s="33" t="s">
        <v>80</v>
      </c>
      <c r="L24" s="33">
        <v>2.1</v>
      </c>
      <c r="M24" s="269">
        <v>1</v>
      </c>
      <c r="N24" s="41">
        <v>0.63803195999999995</v>
      </c>
      <c r="O24" s="33">
        <v>13</v>
      </c>
      <c r="P24" s="40">
        <v>0</v>
      </c>
      <c r="Q24" s="40">
        <v>0</v>
      </c>
      <c r="R24" s="40">
        <v>0</v>
      </c>
      <c r="S24" s="40">
        <v>0</v>
      </c>
      <c r="T24" s="40">
        <v>0</v>
      </c>
      <c r="U24" s="40">
        <v>0</v>
      </c>
      <c r="V24" s="40">
        <v>0</v>
      </c>
      <c r="W24" s="40">
        <v>2.2159960000000001</v>
      </c>
      <c r="X24" s="40">
        <v>3.1435906</v>
      </c>
      <c r="Y24" s="40">
        <v>3441.1720999999998</v>
      </c>
      <c r="Z24" s="40">
        <v>2.7899999999999999E-3</v>
      </c>
      <c r="AA24" s="40"/>
      <c r="AB24" s="40"/>
      <c r="AC24" s="40"/>
      <c r="AD24" s="40"/>
      <c r="AE24" s="40"/>
      <c r="AF24" s="40"/>
      <c r="AG24" s="40"/>
      <c r="AH24" s="40"/>
      <c r="AI24" s="40"/>
      <c r="AJ24" s="40"/>
      <c r="AK24" s="40"/>
      <c r="AL24" s="40"/>
      <c r="AM24" s="40"/>
      <c r="AN24" s="40"/>
      <c r="AO24" s="40"/>
      <c r="AP24" s="40"/>
      <c r="AQ24" s="40"/>
      <c r="AR24" s="40"/>
      <c r="AS24" s="40"/>
      <c r="AT24" s="40"/>
      <c r="AU24" s="40"/>
      <c r="AV24" s="313">
        <v>0</v>
      </c>
      <c r="AW24" s="317"/>
      <c r="AX24" s="317"/>
      <c r="AY24" s="313">
        <v>0</v>
      </c>
      <c r="AZ24" s="40"/>
      <c r="BA24" s="40"/>
      <c r="BB24" s="40"/>
      <c r="BC24" s="40">
        <v>0</v>
      </c>
      <c r="BD24" s="40">
        <v>0</v>
      </c>
      <c r="BE24" s="40">
        <v>0</v>
      </c>
      <c r="BF24" s="40">
        <v>0</v>
      </c>
      <c r="BG24" s="40"/>
      <c r="BH24" s="40"/>
      <c r="BI24" s="40"/>
      <c r="BJ24" s="40"/>
      <c r="BK24" s="40"/>
      <c r="BL24" s="62">
        <v>0.3</v>
      </c>
      <c r="BM24" s="275">
        <v>2</v>
      </c>
      <c r="BN24" s="62">
        <v>0</v>
      </c>
      <c r="BO24" s="33" t="s">
        <v>485</v>
      </c>
    </row>
    <row r="25" spans="1:67">
      <c r="A25" s="33" t="str">
        <f>Database_Productkaarten[[#This Row],[Product]]&amp;", "&amp;Database_Productkaarten[[#This Row],[Levensfase]]</f>
        <v>2L-ZOAB onderlaag 30% PR - PCR 1.0, C1</v>
      </c>
      <c r="B25" s="33" t="s">
        <v>486</v>
      </c>
      <c r="C25" s="33" t="s">
        <v>483</v>
      </c>
      <c r="D25" s="33" t="s">
        <v>484</v>
      </c>
      <c r="E25" s="33" t="s">
        <v>378</v>
      </c>
      <c r="F25" s="33" t="s">
        <v>83</v>
      </c>
      <c r="L25" s="33">
        <v>2.1</v>
      </c>
      <c r="M25" s="269">
        <v>1</v>
      </c>
      <c r="N25" s="41">
        <v>0.17755156</v>
      </c>
      <c r="O25" s="33">
        <v>13</v>
      </c>
      <c r="P25" s="40">
        <v>4.7748738999999998E-7</v>
      </c>
      <c r="Q25" s="40">
        <v>9.8022859000000007E-3</v>
      </c>
      <c r="R25" s="40">
        <v>1.8936436000000001</v>
      </c>
      <c r="S25" s="40">
        <v>2.5669458999999998E-7</v>
      </c>
      <c r="T25" s="40">
        <v>6.2586746000000001E-4</v>
      </c>
      <c r="U25" s="40">
        <v>5.5323285000000002E-3</v>
      </c>
      <c r="V25" s="40">
        <v>1.1650454999999999E-3</v>
      </c>
      <c r="W25" s="40">
        <v>0.49739214999999998</v>
      </c>
      <c r="X25" s="40">
        <v>7.1092020000000002E-3</v>
      </c>
      <c r="Y25" s="40">
        <v>23.975687000000001</v>
      </c>
      <c r="Z25" s="40">
        <v>8.4398584999999997E-4</v>
      </c>
      <c r="AA25" s="40"/>
      <c r="AB25" s="40"/>
      <c r="AC25" s="40"/>
      <c r="AD25" s="40"/>
      <c r="AE25" s="40"/>
      <c r="AF25" s="40"/>
      <c r="AG25" s="40"/>
      <c r="AH25" s="40"/>
      <c r="AI25" s="40"/>
      <c r="AJ25" s="40"/>
      <c r="AK25" s="40"/>
      <c r="AL25" s="40"/>
      <c r="AM25" s="40"/>
      <c r="AN25" s="40"/>
      <c r="AO25" s="40"/>
      <c r="AP25" s="40"/>
      <c r="AQ25" s="40"/>
      <c r="AR25" s="40"/>
      <c r="AS25" s="40"/>
      <c r="AT25" s="40"/>
      <c r="AU25" s="40"/>
      <c r="AV25" s="313">
        <v>0.11988366</v>
      </c>
      <c r="AW25" s="317"/>
      <c r="AX25" s="317"/>
      <c r="AY25" s="313">
        <v>21.975102</v>
      </c>
      <c r="AZ25" s="40"/>
      <c r="BA25" s="40"/>
      <c r="BB25" s="40"/>
      <c r="BC25" s="40">
        <v>2.7081330000000002E-3</v>
      </c>
      <c r="BD25" s="40">
        <v>9.2292716000000002E-6</v>
      </c>
      <c r="BE25" s="40">
        <v>2.2037237000000001E-2</v>
      </c>
      <c r="BF25" s="40">
        <v>1.4374668000000001E-4</v>
      </c>
      <c r="BG25" s="40"/>
      <c r="BH25" s="40"/>
      <c r="BI25" s="40"/>
      <c r="BJ25" s="40"/>
      <c r="BK25" s="40"/>
      <c r="BL25" s="62">
        <v>0.3</v>
      </c>
      <c r="BM25" s="275">
        <v>2</v>
      </c>
      <c r="BN25" s="62">
        <v>0</v>
      </c>
      <c r="BO25" s="33" t="s">
        <v>485</v>
      </c>
    </row>
    <row r="26" spans="1:67">
      <c r="A26" s="33" t="str">
        <f>Database_Productkaarten[[#This Row],[Product]]&amp;", "&amp;Database_Productkaarten[[#This Row],[Levensfase]]</f>
        <v>2L-ZOAB onderlaag 30% PR - PCR 1.0, C2</v>
      </c>
      <c r="B26" s="33" t="s">
        <v>486</v>
      </c>
      <c r="C26" s="33" t="s">
        <v>483</v>
      </c>
      <c r="D26" s="33" t="s">
        <v>484</v>
      </c>
      <c r="E26" s="33" t="s">
        <v>378</v>
      </c>
      <c r="F26" s="33" t="s">
        <v>84</v>
      </c>
      <c r="L26" s="33">
        <v>2.1</v>
      </c>
      <c r="M26" s="269">
        <v>1</v>
      </c>
      <c r="N26" s="41">
        <v>0.62892669999999995</v>
      </c>
      <c r="O26" s="33">
        <v>13</v>
      </c>
      <c r="P26" s="40">
        <v>1.0978337000000001E-5</v>
      </c>
      <c r="Q26" s="40">
        <v>4.3183727999999998E-2</v>
      </c>
      <c r="R26" s="40">
        <v>5.7021305</v>
      </c>
      <c r="S26" s="40">
        <v>1.1335356E-6</v>
      </c>
      <c r="T26" s="40">
        <v>3.5752850000000001E-3</v>
      </c>
      <c r="U26" s="40">
        <v>1.9151161E-2</v>
      </c>
      <c r="V26" s="40">
        <v>3.8023555000000001E-3</v>
      </c>
      <c r="W26" s="40">
        <v>2.0049337999999999</v>
      </c>
      <c r="X26" s="40">
        <v>0.12926487</v>
      </c>
      <c r="Y26" s="40">
        <v>338.63108999999997</v>
      </c>
      <c r="Z26" s="40">
        <v>1.1891815999999999E-2</v>
      </c>
      <c r="AA26" s="40"/>
      <c r="AB26" s="40"/>
      <c r="AC26" s="40"/>
      <c r="AD26" s="40"/>
      <c r="AE26" s="40"/>
      <c r="AF26" s="40"/>
      <c r="AG26" s="40"/>
      <c r="AH26" s="40"/>
      <c r="AI26" s="40"/>
      <c r="AJ26" s="40"/>
      <c r="AK26" s="40"/>
      <c r="AL26" s="40"/>
      <c r="AM26" s="40"/>
      <c r="AN26" s="40"/>
      <c r="AO26" s="40"/>
      <c r="AP26" s="40"/>
      <c r="AQ26" s="40"/>
      <c r="AR26" s="40"/>
      <c r="AS26" s="40"/>
      <c r="AT26" s="40"/>
      <c r="AU26" s="40"/>
      <c r="AV26" s="313">
        <v>0</v>
      </c>
      <c r="AW26" s="317"/>
      <c r="AX26" s="317"/>
      <c r="AY26" s="313">
        <v>0</v>
      </c>
      <c r="AZ26" s="40"/>
      <c r="BA26" s="40"/>
      <c r="BB26" s="40"/>
      <c r="BC26" s="40">
        <v>0</v>
      </c>
      <c r="BD26" s="40">
        <v>0</v>
      </c>
      <c r="BE26" s="40">
        <v>0</v>
      </c>
      <c r="BF26" s="40">
        <v>0</v>
      </c>
      <c r="BG26" s="40"/>
      <c r="BH26" s="40"/>
      <c r="BI26" s="40"/>
      <c r="BJ26" s="40"/>
      <c r="BK26" s="40"/>
      <c r="BL26" s="62">
        <v>0.3</v>
      </c>
      <c r="BM26" s="275">
        <v>2</v>
      </c>
      <c r="BN26" s="62">
        <v>0</v>
      </c>
      <c r="BO26" s="33" t="s">
        <v>485</v>
      </c>
    </row>
    <row r="27" spans="1:67">
      <c r="A27" s="33" t="str">
        <f>Database_Productkaarten[[#This Row],[Product]]&amp;", "&amp;Database_Productkaarten[[#This Row],[Levensfase]]</f>
        <v>2L-ZOAB onderlaag 30% PR - PCR 1.0, C3</v>
      </c>
      <c r="B27" s="33" t="s">
        <v>486</v>
      </c>
      <c r="C27" s="33" t="s">
        <v>483</v>
      </c>
      <c r="D27" s="33" t="s">
        <v>484</v>
      </c>
      <c r="E27" s="33" t="s">
        <v>378</v>
      </c>
      <c r="F27" s="33" t="s">
        <v>85</v>
      </c>
      <c r="L27" s="33">
        <v>2.1</v>
      </c>
      <c r="M27" s="269">
        <v>1</v>
      </c>
      <c r="N27" s="41">
        <v>0.16120214999999999</v>
      </c>
      <c r="O27" s="33">
        <v>13</v>
      </c>
      <c r="P27" s="40">
        <v>4.1291555000000003E-7</v>
      </c>
      <c r="Q27" s="40">
        <v>8.4766977000000007E-3</v>
      </c>
      <c r="R27" s="40">
        <v>1.6375614000000001</v>
      </c>
      <c r="S27" s="40">
        <v>2.2198111999999999E-7</v>
      </c>
      <c r="T27" s="40">
        <v>5.9777666000000002E-4</v>
      </c>
      <c r="U27" s="40">
        <v>5.9352911000000001E-3</v>
      </c>
      <c r="V27" s="40">
        <v>1.3067828999999999E-3</v>
      </c>
      <c r="W27" s="40">
        <v>0.43290835999999999</v>
      </c>
      <c r="X27" s="40">
        <v>6.1478063999999997E-3</v>
      </c>
      <c r="Y27" s="40">
        <v>20.733394000000001</v>
      </c>
      <c r="Z27" s="40">
        <v>7.2985148000000004E-4</v>
      </c>
      <c r="AA27" s="40"/>
      <c r="AB27" s="40"/>
      <c r="AC27" s="40"/>
      <c r="AD27" s="40"/>
      <c r="AE27" s="40"/>
      <c r="AF27" s="40"/>
      <c r="AG27" s="40"/>
      <c r="AH27" s="40"/>
      <c r="AI27" s="40"/>
      <c r="AJ27" s="40"/>
      <c r="AK27" s="40"/>
      <c r="AL27" s="40"/>
      <c r="AM27" s="40"/>
      <c r="AN27" s="40"/>
      <c r="AO27" s="40"/>
      <c r="AP27" s="40"/>
      <c r="AQ27" s="40"/>
      <c r="AR27" s="40"/>
      <c r="AS27" s="40"/>
      <c r="AT27" s="40"/>
      <c r="AU27" s="40"/>
      <c r="AV27" s="313">
        <v>0.10367149000000001</v>
      </c>
      <c r="AW27" s="317"/>
      <c r="AX27" s="317"/>
      <c r="AY27" s="313">
        <v>19.003353000000001</v>
      </c>
      <c r="AZ27" s="40"/>
      <c r="BA27" s="40"/>
      <c r="BB27" s="40"/>
      <c r="BC27" s="40">
        <v>2.3419052000000001E-3</v>
      </c>
      <c r="BD27" s="40">
        <v>7.9811735999999999E-6</v>
      </c>
      <c r="BE27" s="40">
        <v>1.9057085000000001E-2</v>
      </c>
      <c r="BF27" s="40">
        <v>1.2430745000000001E-4</v>
      </c>
      <c r="BG27" s="40"/>
      <c r="BH27" s="40"/>
      <c r="BI27" s="40"/>
      <c r="BJ27" s="40"/>
      <c r="BK27" s="40"/>
      <c r="BL27" s="62">
        <v>0.3</v>
      </c>
      <c r="BM27" s="275">
        <v>2</v>
      </c>
      <c r="BN27" s="62">
        <v>0</v>
      </c>
      <c r="BO27" s="33" t="s">
        <v>485</v>
      </c>
    </row>
    <row r="28" spans="1:67">
      <c r="A28" s="33" t="str">
        <f>Database_Productkaarten[[#This Row],[Product]]&amp;", "&amp;Database_Productkaarten[[#This Row],[Levensfase]]</f>
        <v>2L-ZOAB onderlaag 30% PR - PCR 1.0, D</v>
      </c>
      <c r="B28" s="33" t="str">
        <f>B29</f>
        <v>2L-ZOAB onderlaag 30% PR - PCR 1.0</v>
      </c>
      <c r="C28" s="33" t="str">
        <f>C29</f>
        <v>Bitumineuze verhardingen</v>
      </c>
      <c r="D28" s="33" t="str">
        <f>D29</f>
        <v>ZOAB</v>
      </c>
      <c r="E28" s="33" t="str">
        <f>E29</f>
        <v>Ton</v>
      </c>
      <c r="F28" s="33" t="s">
        <v>89</v>
      </c>
      <c r="L28" s="33">
        <f>L29</f>
        <v>2.1</v>
      </c>
      <c r="M28" s="45">
        <f>M29</f>
        <v>1</v>
      </c>
      <c r="N28" s="41">
        <f>SUM(N29:N30)</f>
        <v>-3.849721054314994</v>
      </c>
      <c r="O28" s="33">
        <f>O29</f>
        <v>13</v>
      </c>
      <c r="P28" s="40">
        <f>SUM(P29:P30)</f>
        <v>-4.7173532470399814E-5</v>
      </c>
      <c r="Q28" s="40">
        <f>SUM(Q29:Q30)</f>
        <v>-0.47260773469894135</v>
      </c>
      <c r="R28" s="40">
        <f>SUM(R29:R30)</f>
        <v>-28.44266750017572</v>
      </c>
      <c r="S28" s="40">
        <f t="shared" ref="S28:BK28" si="3">SUM(S29:S30)</f>
        <v>-2.8278993029758682E-6</v>
      </c>
      <c r="T28" s="40">
        <f t="shared" si="3"/>
        <v>-5.1843851233385245E-2</v>
      </c>
      <c r="U28" s="40">
        <f t="shared" si="3"/>
        <v>-0.24045508021989076</v>
      </c>
      <c r="V28" s="40">
        <f t="shared" si="3"/>
        <v>-2.5744678550998788E-2</v>
      </c>
      <c r="W28" s="40">
        <f t="shared" si="3"/>
        <v>-7.9889024742440178</v>
      </c>
      <c r="X28" s="40">
        <f t="shared" si="3"/>
        <v>-0.70889602242778083</v>
      </c>
      <c r="Y28" s="40">
        <f t="shared" si="3"/>
        <v>-3084.3058542377421</v>
      </c>
      <c r="Z28" s="40">
        <f t="shared" si="3"/>
        <v>-9.9419646325518904E-2</v>
      </c>
      <c r="AA28" s="40">
        <f t="shared" si="3"/>
        <v>0</v>
      </c>
      <c r="AB28" s="40">
        <f t="shared" si="3"/>
        <v>0</v>
      </c>
      <c r="AC28" s="40">
        <f t="shared" si="3"/>
        <v>0</v>
      </c>
      <c r="AD28" s="40">
        <f t="shared" si="3"/>
        <v>0</v>
      </c>
      <c r="AE28" s="40">
        <f t="shared" si="3"/>
        <v>0</v>
      </c>
      <c r="AF28" s="40">
        <f t="shared" si="3"/>
        <v>0</v>
      </c>
      <c r="AG28" s="40">
        <f t="shared" si="3"/>
        <v>0</v>
      </c>
      <c r="AH28" s="40">
        <f t="shared" si="3"/>
        <v>0</v>
      </c>
      <c r="AI28" s="40">
        <f t="shared" si="3"/>
        <v>0</v>
      </c>
      <c r="AJ28" s="40">
        <f t="shared" si="3"/>
        <v>0</v>
      </c>
      <c r="AK28" s="40">
        <f t="shared" si="3"/>
        <v>0</v>
      </c>
      <c r="AL28" s="40">
        <f t="shared" si="3"/>
        <v>0</v>
      </c>
      <c r="AM28" s="40">
        <f t="shared" si="3"/>
        <v>0</v>
      </c>
      <c r="AN28" s="40">
        <f t="shared" si="3"/>
        <v>0</v>
      </c>
      <c r="AO28" s="40">
        <f t="shared" si="3"/>
        <v>0</v>
      </c>
      <c r="AP28" s="40">
        <f t="shared" si="3"/>
        <v>0</v>
      </c>
      <c r="AQ28" s="40">
        <f t="shared" si="3"/>
        <v>0</v>
      </c>
      <c r="AR28" s="40">
        <f t="shared" si="3"/>
        <v>0</v>
      </c>
      <c r="AS28" s="40">
        <f t="shared" si="3"/>
        <v>0</v>
      </c>
      <c r="AT28" s="40">
        <f t="shared" si="3"/>
        <v>0</v>
      </c>
      <c r="AU28" s="40">
        <f t="shared" si="3"/>
        <v>0</v>
      </c>
      <c r="AV28" s="317">
        <f t="shared" si="3"/>
        <v>-10.873770544487165</v>
      </c>
      <c r="AW28" s="317">
        <f t="shared" si="3"/>
        <v>0</v>
      </c>
      <c r="AX28" s="317">
        <f t="shared" si="3"/>
        <v>0</v>
      </c>
      <c r="AY28" s="317">
        <f t="shared" si="3"/>
        <v>-1066.5368022939942</v>
      </c>
      <c r="AZ28" s="40">
        <f t="shared" si="3"/>
        <v>0</v>
      </c>
      <c r="BA28" s="40">
        <f t="shared" si="3"/>
        <v>0</v>
      </c>
      <c r="BB28" s="40">
        <f t="shared" si="3"/>
        <v>0</v>
      </c>
      <c r="BC28" s="40">
        <f t="shared" si="3"/>
        <v>-9.7612374432244753</v>
      </c>
      <c r="BD28" s="40">
        <f t="shared" si="3"/>
        <v>-4.0379171609971601E-4</v>
      </c>
      <c r="BE28" s="40">
        <f t="shared" si="3"/>
        <v>-2.9254001196798418</v>
      </c>
      <c r="BF28" s="40">
        <f t="shared" si="3"/>
        <v>-1.2730079096241105E-3</v>
      </c>
      <c r="BG28" s="40">
        <f t="shared" si="3"/>
        <v>0</v>
      </c>
      <c r="BH28" s="40">
        <f t="shared" si="3"/>
        <v>0</v>
      </c>
      <c r="BI28" s="40">
        <f t="shared" si="3"/>
        <v>0</v>
      </c>
      <c r="BJ28" s="40">
        <f t="shared" si="3"/>
        <v>0</v>
      </c>
      <c r="BK28" s="40">
        <f t="shared" si="3"/>
        <v>0</v>
      </c>
      <c r="BL28" s="62">
        <f>BL29</f>
        <v>0.3</v>
      </c>
      <c r="BM28" s="275">
        <f>BM29</f>
        <v>2</v>
      </c>
      <c r="BN28" s="62">
        <v>0</v>
      </c>
      <c r="BO28" s="33" t="str">
        <f>BO29</f>
        <v>TNO 2020 R10987 LCA Achtergrondrapport voor brancherepresentatieve Nederlandse asfaltmengsels 2020</v>
      </c>
    </row>
    <row r="29" spans="1:67">
      <c r="A29" s="33" t="str">
        <f>Database_Productkaarten[[#This Row],[Product]]&amp;", "&amp;Database_Productkaarten[[#This Row],[Levensfase]]</f>
        <v>2L-ZOAB onderlaag 30% PR - PCR 1.0, D1</v>
      </c>
      <c r="B29" s="33" t="s">
        <v>486</v>
      </c>
      <c r="C29" s="33" t="s">
        <v>483</v>
      </c>
      <c r="D29" s="33" t="s">
        <v>484</v>
      </c>
      <c r="E29" s="33" t="s">
        <v>378</v>
      </c>
      <c r="F29" s="33" t="s">
        <v>87</v>
      </c>
      <c r="L29" s="33">
        <v>2.1</v>
      </c>
      <c r="M29" s="269">
        <v>1</v>
      </c>
      <c r="N29" s="41">
        <v>-2.667976973002558</v>
      </c>
      <c r="O29" s="33">
        <v>13</v>
      </c>
      <c r="P29" s="40">
        <v>-4.0650835793701222E-5</v>
      </c>
      <c r="Q29" s="40">
        <v>-0.42360004452374717</v>
      </c>
      <c r="R29" s="40">
        <v>-21.427739244428892</v>
      </c>
      <c r="S29" s="40">
        <v>-1.6682878010483388E-6</v>
      </c>
      <c r="T29" s="40">
        <v>-4.5574763269330715E-2</v>
      </c>
      <c r="U29" s="40">
        <v>-0.13612471039670501</v>
      </c>
      <c r="V29" s="40">
        <v>-1.451716035145449E-2</v>
      </c>
      <c r="W29" s="40">
        <v>-5.0567742785719236</v>
      </c>
      <c r="X29" s="40">
        <v>-0.6473932231068722</v>
      </c>
      <c r="Y29" s="40">
        <v>-2825.4782226779557</v>
      </c>
      <c r="Z29" s="40">
        <v>-8.95635493939968E-2</v>
      </c>
      <c r="AA29" s="40"/>
      <c r="AB29" s="40"/>
      <c r="AC29" s="40"/>
      <c r="AD29" s="40"/>
      <c r="AE29" s="40"/>
      <c r="AF29" s="40"/>
      <c r="AG29" s="40"/>
      <c r="AH29" s="40"/>
      <c r="AI29" s="40"/>
      <c r="AJ29" s="40"/>
      <c r="AK29" s="40"/>
      <c r="AL29" s="40"/>
      <c r="AM29" s="40"/>
      <c r="AN29" s="40"/>
      <c r="AO29" s="40"/>
      <c r="AP29" s="40"/>
      <c r="AQ29" s="40"/>
      <c r="AR29" s="40"/>
      <c r="AS29" s="40"/>
      <c r="AT29" s="40"/>
      <c r="AU29" s="40"/>
      <c r="AV29" s="313">
        <v>-8.8795825358023208</v>
      </c>
      <c r="AW29" s="317"/>
      <c r="AX29" s="317"/>
      <c r="AY29" s="313">
        <v>-957.95182255651537</v>
      </c>
      <c r="AZ29" s="40"/>
      <c r="BA29" s="40"/>
      <c r="BB29" s="40"/>
      <c r="BC29" s="40">
        <v>-9.7415377379694768</v>
      </c>
      <c r="BD29" s="40">
        <v>-3.3976057841810669E-4</v>
      </c>
      <c r="BE29" s="40">
        <v>-1.1167731727133314</v>
      </c>
      <c r="BF29" s="40">
        <v>-5.9883231492481809E-4</v>
      </c>
      <c r="BG29" s="40"/>
      <c r="BH29" s="40"/>
      <c r="BI29" s="40"/>
      <c r="BJ29" s="40"/>
      <c r="BK29" s="40"/>
      <c r="BL29" s="62">
        <v>0.3</v>
      </c>
      <c r="BM29" s="275">
        <v>2</v>
      </c>
      <c r="BN29" s="62">
        <v>0</v>
      </c>
      <c r="BO29" s="33" t="s">
        <v>485</v>
      </c>
    </row>
    <row r="30" spans="1:67">
      <c r="A30" s="33" t="str">
        <f>Database_Productkaarten[[#This Row],[Product]]&amp;", "&amp;Database_Productkaarten[[#This Row],[Levensfase]]</f>
        <v>2L-ZOAB onderlaag 30% PR - PCR 1.0, D2</v>
      </c>
      <c r="B30" s="33" t="s">
        <v>486</v>
      </c>
      <c r="C30" s="33" t="s">
        <v>483</v>
      </c>
      <c r="D30" s="33" t="s">
        <v>484</v>
      </c>
      <c r="E30" s="33" t="s">
        <v>378</v>
      </c>
      <c r="F30" s="33" t="s">
        <v>88</v>
      </c>
      <c r="L30" s="33">
        <v>2.1</v>
      </c>
      <c r="M30" s="269">
        <v>1</v>
      </c>
      <c r="N30" s="41">
        <v>-1.181744081312436</v>
      </c>
      <c r="O30" s="33">
        <v>13</v>
      </c>
      <c r="P30" s="40">
        <v>-6.5226966766985917E-6</v>
      </c>
      <c r="Q30" s="40">
        <v>-4.9007690175194157E-2</v>
      </c>
      <c r="R30" s="40">
        <v>-7.0149282557468275</v>
      </c>
      <c r="S30" s="40">
        <v>-1.1596115019275296E-6</v>
      </c>
      <c r="T30" s="40">
        <v>-6.2690879640545311E-3</v>
      </c>
      <c r="U30" s="40">
        <v>-0.10433036982318575</v>
      </c>
      <c r="V30" s="40">
        <v>-1.1227518199544297E-2</v>
      </c>
      <c r="W30" s="40">
        <v>-2.9321281956720942</v>
      </c>
      <c r="X30" s="40">
        <v>-6.1502799320908658E-2</v>
      </c>
      <c r="Y30" s="40">
        <v>-258.82763155978625</v>
      </c>
      <c r="Z30" s="40">
        <v>-9.856096931522099E-3</v>
      </c>
      <c r="AA30" s="40"/>
      <c r="AB30" s="40"/>
      <c r="AC30" s="40"/>
      <c r="AD30" s="40"/>
      <c r="AE30" s="40"/>
      <c r="AF30" s="40"/>
      <c r="AG30" s="40"/>
      <c r="AH30" s="40"/>
      <c r="AI30" s="40"/>
      <c r="AJ30" s="40"/>
      <c r="AK30" s="40"/>
      <c r="AL30" s="40"/>
      <c r="AM30" s="40"/>
      <c r="AN30" s="40"/>
      <c r="AO30" s="40"/>
      <c r="AP30" s="40"/>
      <c r="AQ30" s="40"/>
      <c r="AR30" s="40"/>
      <c r="AS30" s="40"/>
      <c r="AT30" s="40"/>
      <c r="AU30" s="40"/>
      <c r="AV30" s="313">
        <v>-1.9941880086848442</v>
      </c>
      <c r="AW30" s="317"/>
      <c r="AX30" s="317"/>
      <c r="AY30" s="313">
        <v>-108.58497973747885</v>
      </c>
      <c r="AZ30" s="40"/>
      <c r="BA30" s="40"/>
      <c r="BB30" s="40"/>
      <c r="BC30" s="40">
        <v>-1.9699705254997965E-2</v>
      </c>
      <c r="BD30" s="40">
        <v>-6.4031137681609316E-5</v>
      </c>
      <c r="BE30" s="40">
        <v>-1.8086269469665102</v>
      </c>
      <c r="BF30" s="40">
        <v>-6.7417559469929236E-4</v>
      </c>
      <c r="BG30" s="40"/>
      <c r="BH30" s="40"/>
      <c r="BI30" s="40"/>
      <c r="BJ30" s="40"/>
      <c r="BK30" s="40"/>
      <c r="BL30" s="62">
        <v>0.3</v>
      </c>
      <c r="BM30" s="275">
        <v>2</v>
      </c>
      <c r="BN30" s="62">
        <v>0</v>
      </c>
      <c r="BO30" s="33" t="s">
        <v>485</v>
      </c>
    </row>
    <row r="31" spans="1:67">
      <c r="A31" s="33" t="str">
        <f>Database_Productkaarten[[#This Row],[Product]]&amp;", "&amp;Database_Productkaarten[[#This Row],[Levensfase]]</f>
        <v>2L-ZOAB toplaag G.M. - PCR 1.0, Totaal</v>
      </c>
      <c r="B31" s="33" t="s">
        <v>487</v>
      </c>
      <c r="C31" s="33" t="s">
        <v>483</v>
      </c>
      <c r="D31" s="33" t="s">
        <v>484</v>
      </c>
      <c r="E31" s="33" t="s">
        <v>378</v>
      </c>
      <c r="F31" s="33" t="s">
        <v>90</v>
      </c>
      <c r="L31" s="33">
        <v>2</v>
      </c>
      <c r="M31" s="269">
        <v>1</v>
      </c>
      <c r="N31" s="41">
        <v>9.8345066747695906</v>
      </c>
      <c r="O31" s="33">
        <v>10</v>
      </c>
      <c r="P31" s="40">
        <v>5.2089144926528372E-4</v>
      </c>
      <c r="Q31" s="40">
        <v>1.0511531887107397</v>
      </c>
      <c r="R31" s="40">
        <v>85.032632319167021</v>
      </c>
      <c r="S31" s="40">
        <v>1.1295127745744106E-5</v>
      </c>
      <c r="T31" s="40">
        <v>8.8839718373217746E-2</v>
      </c>
      <c r="U31" s="40">
        <v>0.39019869539229846</v>
      </c>
      <c r="V31" s="40">
        <v>5.0416236107187207E-2</v>
      </c>
      <c r="W31" s="40">
        <v>24.981298875778638</v>
      </c>
      <c r="X31" s="40">
        <v>4.3862502104024905</v>
      </c>
      <c r="Y31" s="40">
        <v>8305.1462086013344</v>
      </c>
      <c r="Z31" s="40">
        <v>0.1937517941932527</v>
      </c>
      <c r="AA31" s="40"/>
      <c r="AB31" s="40"/>
      <c r="AC31" s="40"/>
      <c r="AD31" s="40"/>
      <c r="AE31" s="40"/>
      <c r="AF31" s="40"/>
      <c r="AG31" s="40"/>
      <c r="AH31" s="40"/>
      <c r="AI31" s="40"/>
      <c r="AJ31" s="40"/>
      <c r="AK31" s="40"/>
      <c r="AL31" s="40"/>
      <c r="AM31" s="40"/>
      <c r="AN31" s="40"/>
      <c r="AO31" s="40"/>
      <c r="AP31" s="40"/>
      <c r="AQ31" s="40"/>
      <c r="AR31" s="40"/>
      <c r="AS31" s="40"/>
      <c r="AT31" s="40"/>
      <c r="AU31" s="40"/>
      <c r="AV31" s="313">
        <v>36.617994049478725</v>
      </c>
      <c r="AW31" s="317"/>
      <c r="AX31" s="317"/>
      <c r="AY31" s="313">
        <v>2125.9401047262932</v>
      </c>
      <c r="AZ31" s="40"/>
      <c r="BA31" s="40"/>
      <c r="BB31" s="40"/>
      <c r="BC31" s="40">
        <v>11.813305352113554</v>
      </c>
      <c r="BD31" s="40">
        <v>1.2522268100847564E-3</v>
      </c>
      <c r="BE31" s="40">
        <v>5.2821279354115624</v>
      </c>
      <c r="BF31" s="40">
        <v>3.7246343133490066E-3</v>
      </c>
      <c r="BG31" s="40"/>
      <c r="BH31" s="40"/>
      <c r="BI31" s="40"/>
      <c r="BJ31" s="40"/>
      <c r="BK31" s="40"/>
      <c r="BL31" s="62">
        <v>0</v>
      </c>
      <c r="BM31" s="275">
        <v>2</v>
      </c>
      <c r="BN31" s="62">
        <v>0</v>
      </c>
      <c r="BO31" s="33" t="s">
        <v>485</v>
      </c>
    </row>
    <row r="32" spans="1:67">
      <c r="A32" s="33" t="str">
        <f>Database_Productkaarten[[#This Row],[Product]]&amp;", "&amp;Database_Productkaarten[[#This Row],[Levensfase]]</f>
        <v>2L-ZOAB toplaag G.M. - PCR 1.0, A1</v>
      </c>
      <c r="B32" s="33" t="s">
        <v>487</v>
      </c>
      <c r="C32" s="33" t="s">
        <v>483</v>
      </c>
      <c r="D32" s="33" t="s">
        <v>484</v>
      </c>
      <c r="E32" s="33" t="s">
        <v>378</v>
      </c>
      <c r="F32" s="33" t="s">
        <v>74</v>
      </c>
      <c r="L32" s="33">
        <v>2</v>
      </c>
      <c r="M32" s="269">
        <v>1</v>
      </c>
      <c r="N32" s="41">
        <v>9.3429971120000008</v>
      </c>
      <c r="O32" s="33">
        <v>10</v>
      </c>
      <c r="P32" s="40">
        <v>5.4577654240000001E-4</v>
      </c>
      <c r="Q32" s="40">
        <v>1.3931392981999999</v>
      </c>
      <c r="R32" s="40">
        <v>79.230315587999996</v>
      </c>
      <c r="S32" s="40">
        <v>7.735625019999999E-6</v>
      </c>
      <c r="T32" s="40">
        <v>0.14295917728000002</v>
      </c>
      <c r="U32" s="40">
        <v>0.44379221699999999</v>
      </c>
      <c r="V32" s="40">
        <v>4.8727822399999995E-2</v>
      </c>
      <c r="W32" s="40">
        <v>19.536224042000001</v>
      </c>
      <c r="X32" s="40">
        <v>1.9097984794</v>
      </c>
      <c r="Y32" s="40">
        <v>8264.3374015959998</v>
      </c>
      <c r="Z32" s="40">
        <v>0.27714903460000001</v>
      </c>
      <c r="AA32" s="40"/>
      <c r="AB32" s="40"/>
      <c r="AC32" s="40"/>
      <c r="AD32" s="40"/>
      <c r="AE32" s="40"/>
      <c r="AF32" s="40"/>
      <c r="AG32" s="40"/>
      <c r="AH32" s="40"/>
      <c r="AI32" s="40"/>
      <c r="AJ32" s="40"/>
      <c r="AK32" s="40"/>
      <c r="AL32" s="40"/>
      <c r="AM32" s="40"/>
      <c r="AN32" s="40"/>
      <c r="AO32" s="40"/>
      <c r="AP32" s="40"/>
      <c r="AQ32" s="40"/>
      <c r="AR32" s="40"/>
      <c r="AS32" s="40"/>
      <c r="AT32" s="40"/>
      <c r="AU32" s="40"/>
      <c r="AV32" s="313">
        <v>42.240724967999995</v>
      </c>
      <c r="AW32" s="317"/>
      <c r="AX32" s="317"/>
      <c r="AY32" s="313">
        <v>3133.2046230139999</v>
      </c>
      <c r="AZ32" s="40"/>
      <c r="BA32" s="40"/>
      <c r="BB32" s="40"/>
      <c r="BC32" s="40">
        <v>27.041418357800005</v>
      </c>
      <c r="BD32" s="40">
        <v>1.2044532739999998E-3</v>
      </c>
      <c r="BE32" s="40">
        <v>5.02058626</v>
      </c>
      <c r="BF32" s="40">
        <v>3.4369510839999998E-3</v>
      </c>
      <c r="BG32" s="40"/>
      <c r="BH32" s="40"/>
      <c r="BI32" s="40"/>
      <c r="BJ32" s="40"/>
      <c r="BK32" s="40"/>
      <c r="BL32" s="62">
        <v>0</v>
      </c>
      <c r="BM32" s="275">
        <v>2</v>
      </c>
      <c r="BN32" s="62">
        <v>0</v>
      </c>
      <c r="BO32" s="33" t="s">
        <v>485</v>
      </c>
    </row>
    <row r="33" spans="1:67">
      <c r="A33" s="33" t="str">
        <f>Database_Productkaarten[[#This Row],[Product]]&amp;", "&amp;Database_Productkaarten[[#This Row],[Levensfase]]</f>
        <v>2L-ZOAB toplaag G.M. - PCR 1.0, A2</v>
      </c>
      <c r="B33" s="33" t="s">
        <v>487</v>
      </c>
      <c r="C33" s="33" t="s">
        <v>483</v>
      </c>
      <c r="D33" s="33" t="s">
        <v>484</v>
      </c>
      <c r="E33" s="33" t="s">
        <v>378</v>
      </c>
      <c r="F33" s="33" t="s">
        <v>75</v>
      </c>
      <c r="L33" s="33">
        <v>2</v>
      </c>
      <c r="M33" s="269">
        <v>1</v>
      </c>
      <c r="N33" s="41">
        <v>2.6723827669349998</v>
      </c>
      <c r="O33" s="33">
        <v>10</v>
      </c>
      <c r="P33" s="40">
        <v>1.5945492336169999E-5</v>
      </c>
      <c r="Q33" s="40">
        <v>0.11231244020320001</v>
      </c>
      <c r="R33" s="40">
        <v>16.042393534374</v>
      </c>
      <c r="S33" s="40">
        <v>2.6628212699799999E-6</v>
      </c>
      <c r="T33" s="40">
        <v>1.4152892968499999E-2</v>
      </c>
      <c r="U33" s="40">
        <v>0.23233295073979998</v>
      </c>
      <c r="V33" s="40">
        <v>2.5279730351799999E-2</v>
      </c>
      <c r="W33" s="40">
        <v>6.6895013832839991</v>
      </c>
      <c r="X33" s="40">
        <v>0.14219647397240001</v>
      </c>
      <c r="Y33" s="40">
        <v>593.76612158260082</v>
      </c>
      <c r="Z33" s="40">
        <v>2.2529076491E-2</v>
      </c>
      <c r="AA33" s="40"/>
      <c r="AB33" s="40"/>
      <c r="AC33" s="40"/>
      <c r="AD33" s="40"/>
      <c r="AE33" s="40"/>
      <c r="AF33" s="40"/>
      <c r="AG33" s="40"/>
      <c r="AH33" s="40"/>
      <c r="AI33" s="40"/>
      <c r="AJ33" s="40"/>
      <c r="AK33" s="40"/>
      <c r="AL33" s="40"/>
      <c r="AM33" s="40"/>
      <c r="AN33" s="40"/>
      <c r="AO33" s="40"/>
      <c r="AP33" s="40"/>
      <c r="AQ33" s="40"/>
      <c r="AR33" s="40"/>
      <c r="AS33" s="40"/>
      <c r="AT33" s="40"/>
      <c r="AU33" s="40"/>
      <c r="AV33" s="313">
        <v>4.4952032090490004</v>
      </c>
      <c r="AW33" s="317"/>
      <c r="AX33" s="317"/>
      <c r="AY33" s="313">
        <v>248.86272022016098</v>
      </c>
      <c r="AZ33" s="40"/>
      <c r="BA33" s="40"/>
      <c r="BB33" s="40"/>
      <c r="BC33" s="40">
        <v>4.5012853145700006E-2</v>
      </c>
      <c r="BD33" s="40">
        <v>1.469509078222E-4</v>
      </c>
      <c r="BE33" s="40">
        <v>4.5021812523059994</v>
      </c>
      <c r="BF33" s="40">
        <v>1.54625459682E-3</v>
      </c>
      <c r="BG33" s="40"/>
      <c r="BH33" s="40"/>
      <c r="BI33" s="40"/>
      <c r="BJ33" s="40"/>
      <c r="BK33" s="40"/>
      <c r="BL33" s="62">
        <v>0</v>
      </c>
      <c r="BM33" s="275">
        <v>2</v>
      </c>
      <c r="BN33" s="62">
        <v>0</v>
      </c>
      <c r="BO33" s="33" t="s">
        <v>485</v>
      </c>
    </row>
    <row r="34" spans="1:67">
      <c r="A34" s="33" t="str">
        <f>Database_Productkaarten[[#This Row],[Product]]&amp;", "&amp;Database_Productkaarten[[#This Row],[Levensfase]]</f>
        <v>2L-ZOAB toplaag G.M. - PCR 1.0, A3</v>
      </c>
      <c r="B34" s="33" t="s">
        <v>487</v>
      </c>
      <c r="C34" s="33" t="s">
        <v>483</v>
      </c>
      <c r="D34" s="33" t="s">
        <v>484</v>
      </c>
      <c r="E34" s="33" t="s">
        <v>378</v>
      </c>
      <c r="F34" s="33" t="s">
        <v>76</v>
      </c>
      <c r="L34" s="33">
        <v>2</v>
      </c>
      <c r="M34" s="269">
        <v>1</v>
      </c>
      <c r="N34" s="41">
        <v>1.5406704699043883</v>
      </c>
      <c r="O34" s="33">
        <v>10</v>
      </c>
      <c r="P34" s="40">
        <v>4.7252396946614763E-6</v>
      </c>
      <c r="Q34" s="40">
        <v>0.17772873115721505</v>
      </c>
      <c r="R34" s="40">
        <v>20.95351421230658</v>
      </c>
      <c r="S34" s="40">
        <v>2.3720774642008689E-6</v>
      </c>
      <c r="T34" s="40">
        <v>3.4382210892196906E-3</v>
      </c>
      <c r="U34" s="40">
        <v>2.4083927087687487E-2</v>
      </c>
      <c r="V34" s="40">
        <v>4.4555332376394214E-3</v>
      </c>
      <c r="W34" s="40">
        <v>3.4396124345344949</v>
      </c>
      <c r="X34" s="40">
        <v>2.3364189110584674E-2</v>
      </c>
      <c r="Y34" s="40">
        <v>94.819431775790676</v>
      </c>
      <c r="Z34" s="40">
        <v>2.377023732169881E-2</v>
      </c>
      <c r="AA34" s="40"/>
      <c r="AB34" s="40"/>
      <c r="AC34" s="40"/>
      <c r="AD34" s="40"/>
      <c r="AE34" s="40"/>
      <c r="AF34" s="40"/>
      <c r="AG34" s="40"/>
      <c r="AH34" s="40"/>
      <c r="AI34" s="40"/>
      <c r="AJ34" s="40"/>
      <c r="AK34" s="40"/>
      <c r="AL34" s="40"/>
      <c r="AM34" s="40"/>
      <c r="AN34" s="40"/>
      <c r="AO34" s="40"/>
      <c r="AP34" s="40"/>
      <c r="AQ34" s="40"/>
      <c r="AR34" s="40"/>
      <c r="AS34" s="40"/>
      <c r="AT34" s="40"/>
      <c r="AU34" s="40"/>
      <c r="AV34" s="313">
        <v>6.8350924685753327</v>
      </c>
      <c r="AW34" s="317"/>
      <c r="AX34" s="317"/>
      <c r="AY34" s="313">
        <v>362.9010876032371</v>
      </c>
      <c r="AZ34" s="40"/>
      <c r="BA34" s="40"/>
      <c r="BB34" s="40"/>
      <c r="BC34" s="40">
        <v>4.5669814925113329E-2</v>
      </c>
      <c r="BD34" s="40">
        <v>4.9910033282178092E-4</v>
      </c>
      <c r="BE34" s="40">
        <v>0.25125463357159794</v>
      </c>
      <c r="BF34" s="40">
        <v>3.5379362517558543E-4</v>
      </c>
      <c r="BG34" s="40"/>
      <c r="BH34" s="40"/>
      <c r="BI34" s="40"/>
      <c r="BJ34" s="40"/>
      <c r="BK34" s="40"/>
      <c r="BL34" s="62">
        <v>0</v>
      </c>
      <c r="BM34" s="275">
        <v>2</v>
      </c>
      <c r="BN34" s="62">
        <v>0</v>
      </c>
      <c r="BO34" s="33" t="s">
        <v>485</v>
      </c>
    </row>
    <row r="35" spans="1:67">
      <c r="A35" s="33" t="str">
        <f>Database_Productkaarten[[#This Row],[Product]]&amp;", "&amp;Database_Productkaarten[[#This Row],[Levensfase]]</f>
        <v>2L-ZOAB toplaag G.M. - PCR 1.0, A1-A3</v>
      </c>
      <c r="B35" s="33" t="str">
        <f>B34</f>
        <v>2L-ZOAB toplaag G.M. - PCR 1.0</v>
      </c>
      <c r="C35" s="33" t="str">
        <f>C34</f>
        <v>Bitumineuze verhardingen</v>
      </c>
      <c r="D35" s="33" t="str">
        <f>D34</f>
        <v>ZOAB</v>
      </c>
      <c r="E35" s="33" t="str">
        <f>E34</f>
        <v>Ton</v>
      </c>
      <c r="F35" s="33" t="s">
        <v>77</v>
      </c>
      <c r="L35" s="33">
        <f>L34</f>
        <v>2</v>
      </c>
      <c r="M35" s="45">
        <f>M34</f>
        <v>1</v>
      </c>
      <c r="N35" s="252">
        <f>SUM(N32:N34)</f>
        <v>13.556050348839388</v>
      </c>
      <c r="O35" s="33">
        <f>O34</f>
        <v>10</v>
      </c>
      <c r="P35" s="40">
        <f>SUM(P32:P34)</f>
        <v>5.6644727443083155E-4</v>
      </c>
      <c r="Q35" s="40">
        <f t="shared" ref="Q35:BK35" si="4">SUM(Q32:Q34)</f>
        <v>1.6831804695604151</v>
      </c>
      <c r="R35" s="40">
        <f t="shared" si="4"/>
        <v>116.22622333468058</v>
      </c>
      <c r="S35" s="40">
        <f t="shared" si="4"/>
        <v>1.2770523754180869E-5</v>
      </c>
      <c r="T35" s="40">
        <f t="shared" si="4"/>
        <v>0.1605502913377197</v>
      </c>
      <c r="U35" s="40">
        <f t="shared" si="4"/>
        <v>0.70020909482748739</v>
      </c>
      <c r="V35" s="40">
        <f t="shared" si="4"/>
        <v>7.8463085989439407E-2</v>
      </c>
      <c r="W35" s="40">
        <f t="shared" si="4"/>
        <v>29.665337859818496</v>
      </c>
      <c r="X35" s="40">
        <f t="shared" si="4"/>
        <v>2.0753591424829847</v>
      </c>
      <c r="Y35" s="40">
        <f t="shared" si="4"/>
        <v>8952.9229549543907</v>
      </c>
      <c r="Z35" s="40">
        <f t="shared" si="4"/>
        <v>0.32344834841269882</v>
      </c>
      <c r="AA35" s="40">
        <f t="shared" si="4"/>
        <v>0</v>
      </c>
      <c r="AB35" s="40">
        <f t="shared" si="4"/>
        <v>0</v>
      </c>
      <c r="AC35" s="40">
        <f t="shared" si="4"/>
        <v>0</v>
      </c>
      <c r="AD35" s="40">
        <f t="shared" si="4"/>
        <v>0</v>
      </c>
      <c r="AE35" s="40">
        <f t="shared" si="4"/>
        <v>0</v>
      </c>
      <c r="AF35" s="40">
        <f t="shared" si="4"/>
        <v>0</v>
      </c>
      <c r="AG35" s="40">
        <f t="shared" si="4"/>
        <v>0</v>
      </c>
      <c r="AH35" s="40">
        <f t="shared" si="4"/>
        <v>0</v>
      </c>
      <c r="AI35" s="40">
        <f t="shared" si="4"/>
        <v>0</v>
      </c>
      <c r="AJ35" s="40">
        <f t="shared" si="4"/>
        <v>0</v>
      </c>
      <c r="AK35" s="40">
        <f t="shared" si="4"/>
        <v>0</v>
      </c>
      <c r="AL35" s="40">
        <f t="shared" si="4"/>
        <v>0</v>
      </c>
      <c r="AM35" s="40">
        <f t="shared" si="4"/>
        <v>0</v>
      </c>
      <c r="AN35" s="40">
        <f t="shared" si="4"/>
        <v>0</v>
      </c>
      <c r="AO35" s="40">
        <f t="shared" si="4"/>
        <v>0</v>
      </c>
      <c r="AP35" s="40">
        <f t="shared" si="4"/>
        <v>0</v>
      </c>
      <c r="AQ35" s="40">
        <f t="shared" si="4"/>
        <v>0</v>
      </c>
      <c r="AR35" s="40">
        <f t="shared" si="4"/>
        <v>0</v>
      </c>
      <c r="AS35" s="40">
        <f t="shared" si="4"/>
        <v>0</v>
      </c>
      <c r="AT35" s="40">
        <f t="shared" si="4"/>
        <v>0</v>
      </c>
      <c r="AU35" s="40">
        <f t="shared" si="4"/>
        <v>0</v>
      </c>
      <c r="AV35" s="317">
        <f t="shared" si="4"/>
        <v>53.57102064562433</v>
      </c>
      <c r="AW35" s="317">
        <f t="shared" si="4"/>
        <v>0</v>
      </c>
      <c r="AX35" s="317">
        <f t="shared" si="4"/>
        <v>0</v>
      </c>
      <c r="AY35" s="317">
        <f t="shared" si="4"/>
        <v>3744.968430837398</v>
      </c>
      <c r="AZ35" s="40">
        <f t="shared" si="4"/>
        <v>0</v>
      </c>
      <c r="BA35" s="40">
        <f t="shared" si="4"/>
        <v>0</v>
      </c>
      <c r="BB35" s="40">
        <f t="shared" si="4"/>
        <v>0</v>
      </c>
      <c r="BC35" s="40">
        <f t="shared" si="4"/>
        <v>27.132101025870817</v>
      </c>
      <c r="BD35" s="40">
        <f t="shared" si="4"/>
        <v>1.8505045146439809E-3</v>
      </c>
      <c r="BE35" s="40">
        <f t="shared" si="4"/>
        <v>9.7740221458775984</v>
      </c>
      <c r="BF35" s="40">
        <f t="shared" si="4"/>
        <v>5.3369993059955859E-3</v>
      </c>
      <c r="BG35" s="40">
        <f t="shared" si="4"/>
        <v>0</v>
      </c>
      <c r="BH35" s="40">
        <f t="shared" si="4"/>
        <v>0</v>
      </c>
      <c r="BI35" s="40">
        <f t="shared" si="4"/>
        <v>0</v>
      </c>
      <c r="BJ35" s="40">
        <f t="shared" si="4"/>
        <v>0</v>
      </c>
      <c r="BK35" s="40">
        <f t="shared" si="4"/>
        <v>0</v>
      </c>
      <c r="BL35" s="62">
        <f>BL34</f>
        <v>0</v>
      </c>
      <c r="BM35" s="275">
        <f>BM34</f>
        <v>2</v>
      </c>
      <c r="BN35" s="62">
        <v>0</v>
      </c>
      <c r="BO35" s="33" t="str">
        <f>BO34</f>
        <v>TNO 2020 R10987 LCA Achtergrondrapport voor brancherepresentatieve Nederlandse asfaltmengsels 2020</v>
      </c>
    </row>
    <row r="36" spans="1:67">
      <c r="A36" s="33" t="str">
        <f>Database_Productkaarten[[#This Row],[Product]]&amp;", "&amp;Database_Productkaarten[[#This Row],[Levensfase]]</f>
        <v>2L-ZOAB toplaag G.M. - PCR 1.0, A4</v>
      </c>
      <c r="B36" s="33" t="s">
        <v>487</v>
      </c>
      <c r="C36" s="33" t="s">
        <v>483</v>
      </c>
      <c r="D36" s="33" t="s">
        <v>484</v>
      </c>
      <c r="E36" s="33" t="s">
        <v>378</v>
      </c>
      <c r="F36" s="33" t="s">
        <v>78</v>
      </c>
      <c r="L36" s="33">
        <v>2</v>
      </c>
      <c r="M36" s="269">
        <v>1</v>
      </c>
      <c r="N36" s="41">
        <v>0.62892669999999995</v>
      </c>
      <c r="O36" s="33">
        <v>10</v>
      </c>
      <c r="P36" s="40">
        <v>1.0978337000000001E-5</v>
      </c>
      <c r="Q36" s="40">
        <v>4.3183727999999998E-2</v>
      </c>
      <c r="R36" s="40">
        <v>5.7021305</v>
      </c>
      <c r="S36" s="40">
        <v>1.1335356E-6</v>
      </c>
      <c r="T36" s="40">
        <v>3.5752850000000001E-3</v>
      </c>
      <c r="U36" s="40">
        <v>1.9151161E-2</v>
      </c>
      <c r="V36" s="40">
        <v>3.8023555000000001E-3</v>
      </c>
      <c r="W36" s="40">
        <v>2.0049337999999999</v>
      </c>
      <c r="X36" s="40">
        <v>0.12926487</v>
      </c>
      <c r="Y36" s="40">
        <v>338.63108999999997</v>
      </c>
      <c r="Z36" s="40">
        <v>1.1891815999999999E-2</v>
      </c>
      <c r="AA36" s="40"/>
      <c r="AB36" s="40"/>
      <c r="AC36" s="40"/>
      <c r="AD36" s="40"/>
      <c r="AE36" s="40"/>
      <c r="AF36" s="40"/>
      <c r="AG36" s="40"/>
      <c r="AH36" s="40"/>
      <c r="AI36" s="40"/>
      <c r="AJ36" s="40"/>
      <c r="AK36" s="40"/>
      <c r="AL36" s="40"/>
      <c r="AM36" s="40"/>
      <c r="AN36" s="40"/>
      <c r="AO36" s="40"/>
      <c r="AP36" s="40"/>
      <c r="AQ36" s="40"/>
      <c r="AR36" s="40"/>
      <c r="AS36" s="40"/>
      <c r="AT36" s="40"/>
      <c r="AU36" s="40"/>
      <c r="AV36" s="313">
        <v>0</v>
      </c>
      <c r="AW36" s="317"/>
      <c r="AX36" s="317"/>
      <c r="AY36" s="313">
        <v>0</v>
      </c>
      <c r="AZ36" s="40"/>
      <c r="BA36" s="40"/>
      <c r="BB36" s="40"/>
      <c r="BC36" s="40">
        <v>0</v>
      </c>
      <c r="BD36" s="40">
        <v>0</v>
      </c>
      <c r="BE36" s="40">
        <v>0</v>
      </c>
      <c r="BF36" s="40">
        <v>0</v>
      </c>
      <c r="BG36" s="40"/>
      <c r="BH36" s="40"/>
      <c r="BI36" s="40"/>
      <c r="BJ36" s="40"/>
      <c r="BK36" s="40"/>
      <c r="BL36" s="62">
        <v>0</v>
      </c>
      <c r="BM36" s="275">
        <v>2</v>
      </c>
      <c r="BN36" s="62">
        <v>0</v>
      </c>
      <c r="BO36" s="33" t="s">
        <v>485</v>
      </c>
    </row>
    <row r="37" spans="1:67">
      <c r="A37" s="33" t="str">
        <f>Database_Productkaarten[[#This Row],[Product]]&amp;", "&amp;Database_Productkaarten[[#This Row],[Levensfase]]</f>
        <v>2L-ZOAB toplaag G.M. - PCR 1.0, A5</v>
      </c>
      <c r="B37" s="33" t="s">
        <v>487</v>
      </c>
      <c r="C37" s="33" t="s">
        <v>483</v>
      </c>
      <c r="D37" s="33" t="s">
        <v>484</v>
      </c>
      <c r="E37" s="33" t="s">
        <v>378</v>
      </c>
      <c r="F37" s="33" t="s">
        <v>79</v>
      </c>
      <c r="L37" s="33">
        <v>2</v>
      </c>
      <c r="M37" s="269">
        <v>1</v>
      </c>
      <c r="N37" s="41">
        <v>0.11589273999999999</v>
      </c>
      <c r="O37" s="33">
        <v>10</v>
      </c>
      <c r="P37" s="40">
        <v>2.9981767000000001E-7</v>
      </c>
      <c r="Q37" s="40">
        <v>6.1549237000000003E-3</v>
      </c>
      <c r="R37" s="40">
        <v>1.1890320000000001</v>
      </c>
      <c r="S37" s="40">
        <v>1.6118031999999999E-7</v>
      </c>
      <c r="T37" s="40">
        <v>4.0441559000000001E-4</v>
      </c>
      <c r="U37" s="40">
        <v>4.1422853000000004E-3</v>
      </c>
      <c r="V37" s="40">
        <v>9.0534960000000005E-4</v>
      </c>
      <c r="W37" s="40">
        <v>0.31393536</v>
      </c>
      <c r="X37" s="40">
        <v>4.4639175000000001E-3</v>
      </c>
      <c r="Y37" s="40">
        <v>15.054501</v>
      </c>
      <c r="Z37" s="40">
        <v>5.2994459999999995E-4</v>
      </c>
      <c r="AA37" s="40"/>
      <c r="AB37" s="40"/>
      <c r="AC37" s="40"/>
      <c r="AD37" s="40"/>
      <c r="AE37" s="40"/>
      <c r="AF37" s="40"/>
      <c r="AG37" s="40"/>
      <c r="AH37" s="40"/>
      <c r="AI37" s="40"/>
      <c r="AJ37" s="40"/>
      <c r="AK37" s="40"/>
      <c r="AL37" s="40"/>
      <c r="AM37" s="40"/>
      <c r="AN37" s="40"/>
      <c r="AO37" s="40"/>
      <c r="AP37" s="40"/>
      <c r="AQ37" s="40"/>
      <c r="AR37" s="40"/>
      <c r="AS37" s="40"/>
      <c r="AT37" s="40"/>
      <c r="AU37" s="40"/>
      <c r="AV37" s="313">
        <v>7.5275787999999996E-2</v>
      </c>
      <c r="AW37" s="317"/>
      <c r="AX37" s="317"/>
      <c r="AY37" s="313">
        <v>13.79832</v>
      </c>
      <c r="AZ37" s="40"/>
      <c r="BA37" s="40"/>
      <c r="BB37" s="40"/>
      <c r="BC37" s="40">
        <v>1.7004556E-3</v>
      </c>
      <c r="BD37" s="40">
        <v>5.7951239999999996E-6</v>
      </c>
      <c r="BE37" s="40">
        <v>1.3837334999999999E-2</v>
      </c>
      <c r="BF37" s="40">
        <v>9.0259541999999994E-5</v>
      </c>
      <c r="BG37" s="40"/>
      <c r="BH37" s="40"/>
      <c r="BI37" s="40"/>
      <c r="BJ37" s="40"/>
      <c r="BK37" s="40"/>
      <c r="BL37" s="62">
        <v>0</v>
      </c>
      <c r="BM37" s="275">
        <v>2</v>
      </c>
      <c r="BN37" s="62">
        <v>0</v>
      </c>
      <c r="BO37" s="33" t="s">
        <v>485</v>
      </c>
    </row>
    <row r="38" spans="1:67">
      <c r="A38" s="33" t="str">
        <f>Database_Productkaarten[[#This Row],[Product]]&amp;", "&amp;Database_Productkaarten[[#This Row],[Levensfase]]</f>
        <v>2L-ZOAB toplaag G.M. - PCR 1.0, B1</v>
      </c>
      <c r="B38" s="33" t="s">
        <v>487</v>
      </c>
      <c r="C38" s="33" t="s">
        <v>483</v>
      </c>
      <c r="D38" s="33" t="s">
        <v>484</v>
      </c>
      <c r="E38" s="33" t="s">
        <v>378</v>
      </c>
      <c r="F38" s="33" t="s">
        <v>80</v>
      </c>
      <c r="L38" s="33">
        <v>2</v>
      </c>
      <c r="M38" s="269">
        <v>1</v>
      </c>
      <c r="N38" s="41">
        <v>0.63803195999999995</v>
      </c>
      <c r="O38" s="33">
        <v>10</v>
      </c>
      <c r="P38" s="40">
        <v>0</v>
      </c>
      <c r="Q38" s="40">
        <v>0</v>
      </c>
      <c r="R38" s="40">
        <v>0</v>
      </c>
      <c r="S38" s="40">
        <v>0</v>
      </c>
      <c r="T38" s="40">
        <v>0</v>
      </c>
      <c r="U38" s="40">
        <v>0</v>
      </c>
      <c r="V38" s="40">
        <v>0</v>
      </c>
      <c r="W38" s="40">
        <v>2.2159960000000001</v>
      </c>
      <c r="X38" s="40">
        <v>3.1435906</v>
      </c>
      <c r="Y38" s="40">
        <v>3441.1720999999998</v>
      </c>
      <c r="Z38" s="40">
        <v>2.7899999999999999E-3</v>
      </c>
      <c r="AA38" s="40"/>
      <c r="AB38" s="40"/>
      <c r="AC38" s="40"/>
      <c r="AD38" s="40"/>
      <c r="AE38" s="40"/>
      <c r="AF38" s="40"/>
      <c r="AG38" s="40"/>
      <c r="AH38" s="40"/>
      <c r="AI38" s="40"/>
      <c r="AJ38" s="40"/>
      <c r="AK38" s="40"/>
      <c r="AL38" s="40"/>
      <c r="AM38" s="40"/>
      <c r="AN38" s="40"/>
      <c r="AO38" s="40"/>
      <c r="AP38" s="40"/>
      <c r="AQ38" s="40"/>
      <c r="AR38" s="40"/>
      <c r="AS38" s="40"/>
      <c r="AT38" s="40"/>
      <c r="AU38" s="40"/>
      <c r="AV38" s="313">
        <v>0</v>
      </c>
      <c r="AW38" s="317"/>
      <c r="AX38" s="317"/>
      <c r="AY38" s="313">
        <v>0</v>
      </c>
      <c r="AZ38" s="40"/>
      <c r="BA38" s="40"/>
      <c r="BB38" s="40"/>
      <c r="BC38" s="40">
        <v>0</v>
      </c>
      <c r="BD38" s="40">
        <v>0</v>
      </c>
      <c r="BE38" s="40">
        <v>0</v>
      </c>
      <c r="BF38" s="40">
        <v>0</v>
      </c>
      <c r="BG38" s="40"/>
      <c r="BH38" s="40"/>
      <c r="BI38" s="40"/>
      <c r="BJ38" s="40"/>
      <c r="BK38" s="40"/>
      <c r="BL38" s="62">
        <v>0</v>
      </c>
      <c r="BM38" s="275">
        <v>2</v>
      </c>
      <c r="BN38" s="62">
        <v>0</v>
      </c>
      <c r="BO38" s="33" t="s">
        <v>485</v>
      </c>
    </row>
    <row r="39" spans="1:67">
      <c r="A39" s="33" t="str">
        <f>Database_Productkaarten[[#This Row],[Product]]&amp;", "&amp;Database_Productkaarten[[#This Row],[Levensfase]]</f>
        <v>2L-ZOAB toplaag G.M. - PCR 1.0, C1</v>
      </c>
      <c r="B39" s="33" t="s">
        <v>487</v>
      </c>
      <c r="C39" s="33" t="s">
        <v>483</v>
      </c>
      <c r="D39" s="33" t="s">
        <v>484</v>
      </c>
      <c r="E39" s="33" t="s">
        <v>378</v>
      </c>
      <c r="F39" s="33" t="s">
        <v>83</v>
      </c>
      <c r="L39" s="33">
        <v>2</v>
      </c>
      <c r="M39" s="269">
        <v>1</v>
      </c>
      <c r="N39" s="41">
        <v>0.17755156</v>
      </c>
      <c r="O39" s="33">
        <v>10</v>
      </c>
      <c r="P39" s="40">
        <v>4.7748738999999998E-7</v>
      </c>
      <c r="Q39" s="40">
        <v>9.8022859000000007E-3</v>
      </c>
      <c r="R39" s="40">
        <v>1.8936436000000001</v>
      </c>
      <c r="S39" s="40">
        <v>2.5669458999999998E-7</v>
      </c>
      <c r="T39" s="40">
        <v>6.2586746000000001E-4</v>
      </c>
      <c r="U39" s="40">
        <v>5.5323285000000002E-3</v>
      </c>
      <c r="V39" s="40">
        <v>1.1650454999999999E-3</v>
      </c>
      <c r="W39" s="40">
        <v>0.49739214999999998</v>
      </c>
      <c r="X39" s="40">
        <v>7.1092020000000002E-3</v>
      </c>
      <c r="Y39" s="40">
        <v>23.975687000000001</v>
      </c>
      <c r="Z39" s="40">
        <v>8.4398584999999997E-4</v>
      </c>
      <c r="AA39" s="40"/>
      <c r="AB39" s="40"/>
      <c r="AC39" s="40"/>
      <c r="AD39" s="40"/>
      <c r="AE39" s="40"/>
      <c r="AF39" s="40"/>
      <c r="AG39" s="40"/>
      <c r="AH39" s="40"/>
      <c r="AI39" s="40"/>
      <c r="AJ39" s="40"/>
      <c r="AK39" s="40"/>
      <c r="AL39" s="40"/>
      <c r="AM39" s="40"/>
      <c r="AN39" s="40"/>
      <c r="AO39" s="40"/>
      <c r="AP39" s="40"/>
      <c r="AQ39" s="40"/>
      <c r="AR39" s="40"/>
      <c r="AS39" s="40"/>
      <c r="AT39" s="40"/>
      <c r="AU39" s="40"/>
      <c r="AV39" s="313">
        <v>0.11988366</v>
      </c>
      <c r="AW39" s="317"/>
      <c r="AX39" s="317"/>
      <c r="AY39" s="313">
        <v>21.975102</v>
      </c>
      <c r="AZ39" s="40"/>
      <c r="BA39" s="40"/>
      <c r="BB39" s="40"/>
      <c r="BC39" s="40">
        <v>2.7081330000000002E-3</v>
      </c>
      <c r="BD39" s="40">
        <v>9.2292716000000002E-6</v>
      </c>
      <c r="BE39" s="40">
        <v>2.2037237000000001E-2</v>
      </c>
      <c r="BF39" s="40">
        <v>1.4374668000000001E-4</v>
      </c>
      <c r="BG39" s="40"/>
      <c r="BH39" s="40"/>
      <c r="BI39" s="40"/>
      <c r="BJ39" s="40"/>
      <c r="BK39" s="40"/>
      <c r="BL39" s="62">
        <v>0</v>
      </c>
      <c r="BM39" s="275">
        <v>2</v>
      </c>
      <c r="BN39" s="62">
        <v>0</v>
      </c>
      <c r="BO39" s="33" t="s">
        <v>485</v>
      </c>
    </row>
    <row r="40" spans="1:67">
      <c r="A40" s="33" t="str">
        <f>Database_Productkaarten[[#This Row],[Product]]&amp;", "&amp;Database_Productkaarten[[#This Row],[Levensfase]]</f>
        <v>2L-ZOAB toplaag G.M. - PCR 1.0, C2</v>
      </c>
      <c r="B40" s="33" t="s">
        <v>487</v>
      </c>
      <c r="C40" s="33" t="s">
        <v>483</v>
      </c>
      <c r="D40" s="33" t="s">
        <v>484</v>
      </c>
      <c r="E40" s="33" t="s">
        <v>378</v>
      </c>
      <c r="F40" s="33" t="s">
        <v>84</v>
      </c>
      <c r="L40" s="33">
        <v>2</v>
      </c>
      <c r="M40" s="269">
        <v>1</v>
      </c>
      <c r="N40" s="41">
        <v>0.62892669999999995</v>
      </c>
      <c r="O40" s="33">
        <v>10</v>
      </c>
      <c r="P40" s="40">
        <v>1.0978337000000001E-5</v>
      </c>
      <c r="Q40" s="40">
        <v>4.3183727999999998E-2</v>
      </c>
      <c r="R40" s="40">
        <v>5.7021305</v>
      </c>
      <c r="S40" s="40">
        <v>1.1335356E-6</v>
      </c>
      <c r="T40" s="40">
        <v>3.5752850000000001E-3</v>
      </c>
      <c r="U40" s="40">
        <v>1.9151161E-2</v>
      </c>
      <c r="V40" s="40">
        <v>3.8023555000000001E-3</v>
      </c>
      <c r="W40" s="40">
        <v>2.0049337999999999</v>
      </c>
      <c r="X40" s="40">
        <v>0.12926487</v>
      </c>
      <c r="Y40" s="40">
        <v>338.63108999999997</v>
      </c>
      <c r="Z40" s="40">
        <v>1.1891815999999999E-2</v>
      </c>
      <c r="AA40" s="40"/>
      <c r="AB40" s="40"/>
      <c r="AC40" s="40"/>
      <c r="AD40" s="40"/>
      <c r="AE40" s="40"/>
      <c r="AF40" s="40"/>
      <c r="AG40" s="40"/>
      <c r="AH40" s="40"/>
      <c r="AI40" s="40"/>
      <c r="AJ40" s="40"/>
      <c r="AK40" s="40"/>
      <c r="AL40" s="40"/>
      <c r="AM40" s="40"/>
      <c r="AN40" s="40"/>
      <c r="AO40" s="40"/>
      <c r="AP40" s="40"/>
      <c r="AQ40" s="40"/>
      <c r="AR40" s="40"/>
      <c r="AS40" s="40"/>
      <c r="AT40" s="40"/>
      <c r="AU40" s="40"/>
      <c r="AV40" s="313">
        <v>0</v>
      </c>
      <c r="AW40" s="317"/>
      <c r="AX40" s="317"/>
      <c r="AY40" s="313">
        <v>0</v>
      </c>
      <c r="AZ40" s="40"/>
      <c r="BA40" s="40"/>
      <c r="BB40" s="40"/>
      <c r="BC40" s="40">
        <v>0</v>
      </c>
      <c r="BD40" s="40">
        <v>0</v>
      </c>
      <c r="BE40" s="40">
        <v>0</v>
      </c>
      <c r="BF40" s="40">
        <v>0</v>
      </c>
      <c r="BG40" s="40"/>
      <c r="BH40" s="40"/>
      <c r="BI40" s="40"/>
      <c r="BJ40" s="40"/>
      <c r="BK40" s="40"/>
      <c r="BL40" s="62">
        <v>0</v>
      </c>
      <c r="BM40" s="275">
        <v>2</v>
      </c>
      <c r="BN40" s="62">
        <v>0</v>
      </c>
      <c r="BO40" s="33" t="s">
        <v>485</v>
      </c>
    </row>
    <row r="41" spans="1:67">
      <c r="A41" s="33" t="str">
        <f>Database_Productkaarten[[#This Row],[Product]]&amp;", "&amp;Database_Productkaarten[[#This Row],[Levensfase]]</f>
        <v>2L-ZOAB toplaag G.M. - PCR 1.0, C3</v>
      </c>
      <c r="B41" s="33" t="s">
        <v>487</v>
      </c>
      <c r="C41" s="33" t="s">
        <v>483</v>
      </c>
      <c r="D41" s="33" t="s">
        <v>484</v>
      </c>
      <c r="E41" s="33" t="s">
        <v>378</v>
      </c>
      <c r="F41" s="33" t="s">
        <v>85</v>
      </c>
      <c r="L41" s="33">
        <v>2</v>
      </c>
      <c r="M41" s="269">
        <v>1</v>
      </c>
      <c r="N41" s="41">
        <v>0.16120214999999999</v>
      </c>
      <c r="O41" s="33">
        <v>10</v>
      </c>
      <c r="P41" s="40">
        <v>4.1291555000000003E-7</v>
      </c>
      <c r="Q41" s="40">
        <v>8.4766977000000007E-3</v>
      </c>
      <c r="R41" s="40">
        <v>1.6375614000000001</v>
      </c>
      <c r="S41" s="40">
        <v>2.2198111999999999E-7</v>
      </c>
      <c r="T41" s="40">
        <v>5.9777666000000002E-4</v>
      </c>
      <c r="U41" s="40">
        <v>5.9352911000000001E-3</v>
      </c>
      <c r="V41" s="40">
        <v>1.3067828999999999E-3</v>
      </c>
      <c r="W41" s="40">
        <v>0.43290835999999999</v>
      </c>
      <c r="X41" s="40">
        <v>6.1478063999999997E-3</v>
      </c>
      <c r="Y41" s="40">
        <v>20.733394000000001</v>
      </c>
      <c r="Z41" s="40">
        <v>7.2985148000000004E-4</v>
      </c>
      <c r="AA41" s="40"/>
      <c r="AB41" s="40"/>
      <c r="AC41" s="40"/>
      <c r="AD41" s="40"/>
      <c r="AE41" s="40"/>
      <c r="AF41" s="40"/>
      <c r="AG41" s="40"/>
      <c r="AH41" s="40"/>
      <c r="AI41" s="40"/>
      <c r="AJ41" s="40"/>
      <c r="AK41" s="40"/>
      <c r="AL41" s="40"/>
      <c r="AM41" s="40"/>
      <c r="AN41" s="40"/>
      <c r="AO41" s="40"/>
      <c r="AP41" s="40"/>
      <c r="AQ41" s="40"/>
      <c r="AR41" s="40"/>
      <c r="AS41" s="40"/>
      <c r="AT41" s="40"/>
      <c r="AU41" s="40"/>
      <c r="AV41" s="313">
        <v>0.10367149000000001</v>
      </c>
      <c r="AW41" s="317"/>
      <c r="AX41" s="317"/>
      <c r="AY41" s="313">
        <v>19.003353000000001</v>
      </c>
      <c r="AZ41" s="40"/>
      <c r="BA41" s="40"/>
      <c r="BB41" s="40"/>
      <c r="BC41" s="40">
        <v>2.3419052000000001E-3</v>
      </c>
      <c r="BD41" s="40">
        <v>7.9811735999999999E-6</v>
      </c>
      <c r="BE41" s="40">
        <v>1.9057085000000001E-2</v>
      </c>
      <c r="BF41" s="40">
        <v>1.2430745000000001E-4</v>
      </c>
      <c r="BG41" s="40"/>
      <c r="BH41" s="40"/>
      <c r="BI41" s="40"/>
      <c r="BJ41" s="40"/>
      <c r="BK41" s="40"/>
      <c r="BL41" s="62">
        <v>0</v>
      </c>
      <c r="BM41" s="275">
        <v>2</v>
      </c>
      <c r="BN41" s="62">
        <v>0</v>
      </c>
      <c r="BO41" s="33" t="s">
        <v>485</v>
      </c>
    </row>
    <row r="42" spans="1:67">
      <c r="A42" s="33" t="str">
        <f>Database_Productkaarten[[#This Row],[Product]]&amp;", "&amp;Database_Productkaarten[[#This Row],[Levensfase]]</f>
        <v>2L-ZOAB toplaag G.M. - PCR 1.0, D</v>
      </c>
      <c r="B42" s="33" t="str">
        <f>B43</f>
        <v>2L-ZOAB toplaag G.M. - PCR 1.0</v>
      </c>
      <c r="C42" s="33" t="str">
        <f>C43</f>
        <v>Bitumineuze verhardingen</v>
      </c>
      <c r="D42" s="33" t="str">
        <f>D43</f>
        <v>ZOAB</v>
      </c>
      <c r="E42" s="33" t="str">
        <f>E43</f>
        <v>Ton</v>
      </c>
      <c r="F42" s="33" t="s">
        <v>89</v>
      </c>
      <c r="L42" s="33">
        <f>L43</f>
        <v>2</v>
      </c>
      <c r="M42" s="45">
        <f>M43</f>
        <v>1</v>
      </c>
      <c r="N42" s="41">
        <f>SUM(N43:N44)</f>
        <v>-6.0720754840697957</v>
      </c>
      <c r="O42" s="33">
        <f>O43</f>
        <v>10</v>
      </c>
      <c r="P42" s="40">
        <f>SUM(P43:P44)</f>
        <v>-6.8702719775547751E-5</v>
      </c>
      <c r="Q42" s="40">
        <f>SUM(Q43:Q44)</f>
        <v>-0.74282864414967475</v>
      </c>
      <c r="R42" s="40">
        <f>SUM(R43:R44)</f>
        <v>-47.318089015513522</v>
      </c>
      <c r="S42" s="40">
        <f t="shared" ref="S42:BK42" si="5">SUM(S43:S44)</f>
        <v>-4.3823232384367634E-6</v>
      </c>
      <c r="T42" s="40">
        <f t="shared" si="5"/>
        <v>-8.0489202674501922E-2</v>
      </c>
      <c r="U42" s="40">
        <f t="shared" si="5"/>
        <v>-0.36392262633518913</v>
      </c>
      <c r="V42" s="40">
        <f t="shared" si="5"/>
        <v>-3.9028738882252223E-2</v>
      </c>
      <c r="W42" s="40">
        <f t="shared" si="5"/>
        <v>-12.154138454039856</v>
      </c>
      <c r="X42" s="40">
        <f t="shared" si="5"/>
        <v>-1.1089501979804939</v>
      </c>
      <c r="Y42" s="40">
        <f t="shared" si="5"/>
        <v>-4825.9746083530581</v>
      </c>
      <c r="Z42" s="40">
        <f t="shared" si="5"/>
        <v>-0.15837396814944601</v>
      </c>
      <c r="AA42" s="40">
        <f t="shared" si="5"/>
        <v>0</v>
      </c>
      <c r="AB42" s="40">
        <f t="shared" si="5"/>
        <v>0</v>
      </c>
      <c r="AC42" s="40">
        <f t="shared" si="5"/>
        <v>0</v>
      </c>
      <c r="AD42" s="40">
        <f t="shared" si="5"/>
        <v>0</v>
      </c>
      <c r="AE42" s="40">
        <f t="shared" si="5"/>
        <v>0</v>
      </c>
      <c r="AF42" s="40">
        <f t="shared" si="5"/>
        <v>0</v>
      </c>
      <c r="AG42" s="40">
        <f t="shared" si="5"/>
        <v>0</v>
      </c>
      <c r="AH42" s="40">
        <f t="shared" si="5"/>
        <v>0</v>
      </c>
      <c r="AI42" s="40">
        <f t="shared" si="5"/>
        <v>0</v>
      </c>
      <c r="AJ42" s="40">
        <f t="shared" si="5"/>
        <v>0</v>
      </c>
      <c r="AK42" s="40">
        <f t="shared" si="5"/>
        <v>0</v>
      </c>
      <c r="AL42" s="40">
        <f t="shared" si="5"/>
        <v>0</v>
      </c>
      <c r="AM42" s="40">
        <f t="shared" si="5"/>
        <v>0</v>
      </c>
      <c r="AN42" s="40">
        <f t="shared" si="5"/>
        <v>0</v>
      </c>
      <c r="AO42" s="40">
        <f t="shared" si="5"/>
        <v>0</v>
      </c>
      <c r="AP42" s="40">
        <f t="shared" si="5"/>
        <v>0</v>
      </c>
      <c r="AQ42" s="40">
        <f t="shared" si="5"/>
        <v>0</v>
      </c>
      <c r="AR42" s="40">
        <f t="shared" si="5"/>
        <v>0</v>
      </c>
      <c r="AS42" s="40">
        <f t="shared" si="5"/>
        <v>0</v>
      </c>
      <c r="AT42" s="40">
        <f t="shared" si="5"/>
        <v>0</v>
      </c>
      <c r="AU42" s="40">
        <f t="shared" si="5"/>
        <v>0</v>
      </c>
      <c r="AV42" s="317">
        <f t="shared" si="5"/>
        <v>-17.251857534145611</v>
      </c>
      <c r="AW42" s="317">
        <f t="shared" si="5"/>
        <v>0</v>
      </c>
      <c r="AX42" s="317">
        <f t="shared" si="5"/>
        <v>0</v>
      </c>
      <c r="AY42" s="317">
        <f t="shared" si="5"/>
        <v>-1673.8051011111047</v>
      </c>
      <c r="AZ42" s="40">
        <f t="shared" si="5"/>
        <v>0</v>
      </c>
      <c r="BA42" s="40">
        <f t="shared" si="5"/>
        <v>0</v>
      </c>
      <c r="BB42" s="40">
        <f t="shared" si="5"/>
        <v>0</v>
      </c>
      <c r="BC42" s="40">
        <f t="shared" si="5"/>
        <v>-15.325546167557262</v>
      </c>
      <c r="BD42" s="40">
        <f t="shared" si="5"/>
        <v>-6.2128327375922474E-4</v>
      </c>
      <c r="BE42" s="40">
        <f t="shared" si="5"/>
        <v>-4.5468258674660333</v>
      </c>
      <c r="BF42" s="40">
        <f t="shared" si="5"/>
        <v>-1.97067866464658E-3</v>
      </c>
      <c r="BG42" s="40">
        <f t="shared" si="5"/>
        <v>0</v>
      </c>
      <c r="BH42" s="40">
        <f t="shared" si="5"/>
        <v>0</v>
      </c>
      <c r="BI42" s="40">
        <f t="shared" si="5"/>
        <v>0</v>
      </c>
      <c r="BJ42" s="40">
        <f t="shared" si="5"/>
        <v>0</v>
      </c>
      <c r="BK42" s="40">
        <f t="shared" si="5"/>
        <v>0</v>
      </c>
      <c r="BL42" s="62">
        <f>BL43</f>
        <v>0</v>
      </c>
      <c r="BM42" s="275">
        <f>BM43</f>
        <v>2</v>
      </c>
      <c r="BN42" s="62">
        <v>0</v>
      </c>
      <c r="BO42" s="33" t="str">
        <f>BO43</f>
        <v>TNO 2020 R10987 LCA Achtergrondrapport voor brancherepresentatieve Nederlandse asfaltmengsels 2020</v>
      </c>
    </row>
    <row r="43" spans="1:67">
      <c r="A43" s="33" t="str">
        <f>Database_Productkaarten[[#This Row],[Product]]&amp;", "&amp;Database_Productkaarten[[#This Row],[Levensfase]]</f>
        <v>2L-ZOAB toplaag G.M. - PCR 1.0, D1</v>
      </c>
      <c r="B43" s="33" t="s">
        <v>487</v>
      </c>
      <c r="C43" s="33" t="s">
        <v>483</v>
      </c>
      <c r="D43" s="33" t="s">
        <v>484</v>
      </c>
      <c r="E43" s="33" t="s">
        <v>378</v>
      </c>
      <c r="F43" s="33" t="s">
        <v>87</v>
      </c>
      <c r="L43" s="33">
        <v>2</v>
      </c>
      <c r="M43" s="269">
        <v>1</v>
      </c>
      <c r="N43" s="41">
        <v>-4.3730025709195601</v>
      </c>
      <c r="O43" s="33">
        <v>10</v>
      </c>
      <c r="P43" s="40">
        <v>-5.8626143564799999E-5</v>
      </c>
      <c r="Q43" s="40">
        <v>-0.67155593913690004</v>
      </c>
      <c r="R43" s="40">
        <v>-37.138892671089764</v>
      </c>
      <c r="S43" s="40">
        <v>-2.6928006742900003E-6</v>
      </c>
      <c r="T43" s="40">
        <v>-7.1488131066479998E-2</v>
      </c>
      <c r="U43" s="40">
        <v>-0.21589429636274005</v>
      </c>
      <c r="V43" s="40">
        <v>-2.2968631579840002E-2</v>
      </c>
      <c r="W43" s="40">
        <v>-7.9019641276238799</v>
      </c>
      <c r="X43" s="40">
        <v>-1.0187022093095002</v>
      </c>
      <c r="Y43" s="40">
        <v>-4448.6201821741261</v>
      </c>
      <c r="Z43" s="40">
        <v>-0.14406925540910001</v>
      </c>
      <c r="AA43" s="40"/>
      <c r="AB43" s="40"/>
      <c r="AC43" s="40"/>
      <c r="AD43" s="40"/>
      <c r="AE43" s="40"/>
      <c r="AF43" s="40"/>
      <c r="AG43" s="40"/>
      <c r="AH43" s="40"/>
      <c r="AI43" s="40"/>
      <c r="AJ43" s="40"/>
      <c r="AK43" s="40"/>
      <c r="AL43" s="40"/>
      <c r="AM43" s="40"/>
      <c r="AN43" s="40"/>
      <c r="AO43" s="40"/>
      <c r="AP43" s="40"/>
      <c r="AQ43" s="40"/>
      <c r="AR43" s="40"/>
      <c r="AS43" s="40"/>
      <c r="AT43" s="40"/>
      <c r="AU43" s="40"/>
      <c r="AV43" s="313">
        <v>-14.396620674834359</v>
      </c>
      <c r="AW43" s="317"/>
      <c r="AX43" s="317"/>
      <c r="AY43" s="313">
        <v>-1515.8800887996724</v>
      </c>
      <c r="AZ43" s="40"/>
      <c r="BA43" s="40"/>
      <c r="BB43" s="40"/>
      <c r="BC43" s="40">
        <v>-15.297011144927742</v>
      </c>
      <c r="BD43" s="40">
        <v>-5.2811226572299999E-4</v>
      </c>
      <c r="BE43" s="40">
        <v>-1.7015165708579199</v>
      </c>
      <c r="BF43" s="40">
        <v>-9.8951411881800008E-4</v>
      </c>
      <c r="BG43" s="40"/>
      <c r="BH43" s="40"/>
      <c r="BI43" s="40"/>
      <c r="BJ43" s="40"/>
      <c r="BK43" s="40"/>
      <c r="BL43" s="62">
        <v>0</v>
      </c>
      <c r="BM43" s="275">
        <v>2</v>
      </c>
      <c r="BN43" s="62">
        <v>0</v>
      </c>
      <c r="BO43" s="33" t="s">
        <v>485</v>
      </c>
    </row>
    <row r="44" spans="1:67">
      <c r="A44" s="33" t="str">
        <f>Database_Productkaarten[[#This Row],[Product]]&amp;", "&amp;Database_Productkaarten[[#This Row],[Levensfase]]</f>
        <v>2L-ZOAB toplaag G.M. - PCR 1.0, D2</v>
      </c>
      <c r="B44" s="33" t="s">
        <v>487</v>
      </c>
      <c r="C44" s="33" t="s">
        <v>483</v>
      </c>
      <c r="D44" s="33" t="s">
        <v>484</v>
      </c>
      <c r="E44" s="33" t="s">
        <v>378</v>
      </c>
      <c r="F44" s="33" t="s">
        <v>88</v>
      </c>
      <c r="L44" s="33">
        <v>2</v>
      </c>
      <c r="M44" s="269">
        <v>1</v>
      </c>
      <c r="N44" s="41">
        <v>-1.6990729131502353</v>
      </c>
      <c r="O44" s="33">
        <v>10</v>
      </c>
      <c r="P44" s="40">
        <v>-1.0076576210747746E-5</v>
      </c>
      <c r="Q44" s="40">
        <v>-7.127270501277469E-2</v>
      </c>
      <c r="R44" s="40">
        <v>-10.179196344423755</v>
      </c>
      <c r="S44" s="40">
        <v>-1.6895225641467628E-6</v>
      </c>
      <c r="T44" s="40">
        <v>-9.0010716080219256E-3</v>
      </c>
      <c r="U44" s="40">
        <v>-0.14802832997244905</v>
      </c>
      <c r="V44" s="40">
        <v>-1.6060107302412224E-2</v>
      </c>
      <c r="W44" s="40">
        <v>-4.2521743264159753</v>
      </c>
      <c r="X44" s="40">
        <v>-9.0247988670993762E-2</v>
      </c>
      <c r="Y44" s="40">
        <v>-377.35442617893182</v>
      </c>
      <c r="Z44" s="40">
        <v>-1.4304712740346006E-2</v>
      </c>
      <c r="AA44" s="40"/>
      <c r="AB44" s="40"/>
      <c r="AC44" s="40"/>
      <c r="AD44" s="40"/>
      <c r="AE44" s="40"/>
      <c r="AF44" s="40"/>
      <c r="AG44" s="40"/>
      <c r="AH44" s="40"/>
      <c r="AI44" s="40"/>
      <c r="AJ44" s="40"/>
      <c r="AK44" s="40"/>
      <c r="AL44" s="40"/>
      <c r="AM44" s="40"/>
      <c r="AN44" s="40"/>
      <c r="AO44" s="40"/>
      <c r="AP44" s="40"/>
      <c r="AQ44" s="40"/>
      <c r="AR44" s="40"/>
      <c r="AS44" s="40"/>
      <c r="AT44" s="40"/>
      <c r="AU44" s="40"/>
      <c r="AV44" s="313">
        <v>-2.8552368593112512</v>
      </c>
      <c r="AW44" s="317"/>
      <c r="AX44" s="317"/>
      <c r="AY44" s="313">
        <v>-157.92501231143234</v>
      </c>
      <c r="AZ44" s="40"/>
      <c r="BA44" s="40"/>
      <c r="BB44" s="40"/>
      <c r="BC44" s="40">
        <v>-2.8535022629519853E-2</v>
      </c>
      <c r="BD44" s="40">
        <v>-9.3171008036224755E-5</v>
      </c>
      <c r="BE44" s="40">
        <v>-2.8453092966081139</v>
      </c>
      <c r="BF44" s="40">
        <v>-9.8116454582857968E-4</v>
      </c>
      <c r="BG44" s="40"/>
      <c r="BH44" s="40"/>
      <c r="BI44" s="40"/>
      <c r="BJ44" s="40"/>
      <c r="BK44" s="40"/>
      <c r="BL44" s="62">
        <v>0</v>
      </c>
      <c r="BM44" s="275">
        <v>2</v>
      </c>
      <c r="BN44" s="62">
        <v>0</v>
      </c>
      <c r="BO44" s="33" t="s">
        <v>485</v>
      </c>
    </row>
    <row r="45" spans="1:67">
      <c r="A45" s="33" t="str">
        <f>Database_Productkaarten[[#This Row],[Product]]&amp;", "&amp;Database_Productkaarten[[#This Row],[Levensfase]]</f>
        <v>AC bin/base 50% PR - PCR 1.0, Totaal</v>
      </c>
      <c r="B45" s="33" t="s">
        <v>488</v>
      </c>
      <c r="C45" s="33" t="s">
        <v>483</v>
      </c>
      <c r="D45" s="33" t="s">
        <v>381</v>
      </c>
      <c r="E45" s="33" t="s">
        <v>378</v>
      </c>
      <c r="F45" s="33" t="s">
        <v>90</v>
      </c>
      <c r="L45" s="33">
        <v>2.37</v>
      </c>
      <c r="M45" s="269">
        <v>1</v>
      </c>
      <c r="N45" s="41">
        <v>4.9410944484149733</v>
      </c>
      <c r="O45" s="33">
        <v>45</v>
      </c>
      <c r="P45" s="40">
        <v>4.3490602040421942E-5</v>
      </c>
      <c r="Q45" s="40">
        <v>0.51616167275254365</v>
      </c>
      <c r="R45" s="40">
        <v>51.942532724475164</v>
      </c>
      <c r="S45" s="40">
        <v>7.0568712897565263E-6</v>
      </c>
      <c r="T45" s="40">
        <v>3.3589675464681744E-2</v>
      </c>
      <c r="U45" s="40">
        <v>0.15934394657944059</v>
      </c>
      <c r="V45" s="40">
        <v>2.575024614636692E-2</v>
      </c>
      <c r="W45" s="40">
        <v>12.133702470493784</v>
      </c>
      <c r="X45" s="40">
        <v>0.59580728248741122</v>
      </c>
      <c r="Y45" s="40">
        <v>2099.914249046878</v>
      </c>
      <c r="Z45" s="40">
        <v>8.3765635117157983E-2</v>
      </c>
      <c r="AA45" s="40"/>
      <c r="AB45" s="40"/>
      <c r="AC45" s="40"/>
      <c r="AD45" s="40"/>
      <c r="AE45" s="40"/>
      <c r="AF45" s="40"/>
      <c r="AG45" s="40"/>
      <c r="AH45" s="40"/>
      <c r="AI45" s="40"/>
      <c r="AJ45" s="40"/>
      <c r="AK45" s="40"/>
      <c r="AL45" s="40"/>
      <c r="AM45" s="40"/>
      <c r="AN45" s="40"/>
      <c r="AO45" s="40"/>
      <c r="AP45" s="40"/>
      <c r="AQ45" s="40"/>
      <c r="AR45" s="40"/>
      <c r="AS45" s="40"/>
      <c r="AT45" s="40"/>
      <c r="AU45" s="40"/>
      <c r="AV45" s="313">
        <v>9.2319334401492466</v>
      </c>
      <c r="AW45" s="317"/>
      <c r="AX45" s="317"/>
      <c r="AY45" s="313">
        <v>925.22314859787298</v>
      </c>
      <c r="AZ45" s="40"/>
      <c r="BA45" s="40"/>
      <c r="BB45" s="40"/>
      <c r="BC45" s="40">
        <v>4.1834236011501567</v>
      </c>
      <c r="BD45" s="40">
        <v>7.5567598928439499E-4</v>
      </c>
      <c r="BE45" s="40">
        <v>1.6553147994338697</v>
      </c>
      <c r="BF45" s="40">
        <v>1.307454702059202E-3</v>
      </c>
      <c r="BG45" s="40"/>
      <c r="BH45" s="40"/>
      <c r="BI45" s="40"/>
      <c r="BJ45" s="40"/>
      <c r="BK45" s="40"/>
      <c r="BL45" s="62">
        <v>0.5</v>
      </c>
      <c r="BM45" s="275">
        <v>2</v>
      </c>
      <c r="BN45" s="62">
        <v>0</v>
      </c>
      <c r="BO45" s="33" t="s">
        <v>485</v>
      </c>
    </row>
    <row r="46" spans="1:67">
      <c r="A46" s="33" t="str">
        <f>Database_Productkaarten[[#This Row],[Product]]&amp;", "&amp;Database_Productkaarten[[#This Row],[Levensfase]]</f>
        <v>AC bin/base 50% PR - PCR 1.0, A1</v>
      </c>
      <c r="B46" s="33" t="s">
        <v>488</v>
      </c>
      <c r="C46" s="33" t="s">
        <v>483</v>
      </c>
      <c r="D46" s="33" t="s">
        <v>381</v>
      </c>
      <c r="E46" s="33" t="s">
        <v>378</v>
      </c>
      <c r="F46" s="33" t="s">
        <v>74</v>
      </c>
      <c r="L46" s="33">
        <v>2.37</v>
      </c>
      <c r="M46" s="269">
        <v>1</v>
      </c>
      <c r="N46" s="41">
        <v>2.7983614050000001</v>
      </c>
      <c r="O46" s="33">
        <v>45</v>
      </c>
      <c r="P46" s="40">
        <v>3.6193726399999996E-5</v>
      </c>
      <c r="Q46" s="40">
        <v>0.48978998869999996</v>
      </c>
      <c r="R46" s="40">
        <v>20.921709334000003</v>
      </c>
      <c r="S46" s="40">
        <v>1.7846834299999999E-6</v>
      </c>
      <c r="T46" s="40">
        <v>5.2117372080000002E-2</v>
      </c>
      <c r="U46" s="40">
        <v>0.1449169115</v>
      </c>
      <c r="V46" s="40">
        <v>1.3224940399999999E-2</v>
      </c>
      <c r="W46" s="40">
        <v>5.6586866469999997</v>
      </c>
      <c r="X46" s="40">
        <v>0.76057818889999995</v>
      </c>
      <c r="Y46" s="40">
        <v>3330.8321992599999</v>
      </c>
      <c r="Z46" s="40">
        <v>9.8835934100000009E-2</v>
      </c>
      <c r="AA46" s="40"/>
      <c r="AB46" s="40"/>
      <c r="AC46" s="40"/>
      <c r="AD46" s="40"/>
      <c r="AE46" s="40"/>
      <c r="AF46" s="40"/>
      <c r="AG46" s="40"/>
      <c r="AH46" s="40"/>
      <c r="AI46" s="40"/>
      <c r="AJ46" s="40"/>
      <c r="AK46" s="40"/>
      <c r="AL46" s="40"/>
      <c r="AM46" s="40"/>
      <c r="AN46" s="40"/>
      <c r="AO46" s="40"/>
      <c r="AP46" s="40"/>
      <c r="AQ46" s="40"/>
      <c r="AR46" s="40"/>
      <c r="AS46" s="40"/>
      <c r="AT46" s="40"/>
      <c r="AU46" s="40"/>
      <c r="AV46" s="313">
        <v>7.6911923709999996</v>
      </c>
      <c r="AW46" s="317"/>
      <c r="AX46" s="317"/>
      <c r="AY46" s="313">
        <v>1102.5060530210001</v>
      </c>
      <c r="AZ46" s="40"/>
      <c r="BA46" s="40"/>
      <c r="BB46" s="40"/>
      <c r="BC46" s="40">
        <v>11.737941487300001</v>
      </c>
      <c r="BD46" s="40">
        <v>4.6795638899999997E-4</v>
      </c>
      <c r="BE46" s="40">
        <v>1.9555040200000005</v>
      </c>
      <c r="BF46" s="40">
        <v>5.1921453400000008E-4</v>
      </c>
      <c r="BG46" s="40"/>
      <c r="BH46" s="40"/>
      <c r="BI46" s="40"/>
      <c r="BJ46" s="40"/>
      <c r="BK46" s="40"/>
      <c r="BL46" s="62">
        <v>0.5</v>
      </c>
      <c r="BM46" s="275">
        <v>2</v>
      </c>
      <c r="BN46" s="62">
        <v>0</v>
      </c>
      <c r="BO46" s="33" t="s">
        <v>485</v>
      </c>
    </row>
    <row r="47" spans="1:67">
      <c r="A47" s="33" t="str">
        <f>Database_Productkaarten[[#This Row],[Product]]&amp;", "&amp;Database_Productkaarten[[#This Row],[Levensfase]]</f>
        <v>AC bin/base 50% PR - PCR 1.0, A2</v>
      </c>
      <c r="B47" s="33" t="s">
        <v>488</v>
      </c>
      <c r="C47" s="33" t="s">
        <v>483</v>
      </c>
      <c r="D47" s="33" t="s">
        <v>381</v>
      </c>
      <c r="E47" s="33" t="s">
        <v>378</v>
      </c>
      <c r="F47" s="33" t="s">
        <v>75</v>
      </c>
      <c r="L47" s="33">
        <v>2.37</v>
      </c>
      <c r="M47" s="269">
        <v>1</v>
      </c>
      <c r="N47" s="41">
        <v>1.133268571875</v>
      </c>
      <c r="O47" s="33">
        <v>45</v>
      </c>
      <c r="P47" s="40">
        <v>9.1952835972500005E-6</v>
      </c>
      <c r="Q47" s="40">
        <v>5.991508133150001E-2</v>
      </c>
      <c r="R47" s="40">
        <v>8.9558495330400021</v>
      </c>
      <c r="S47" s="40">
        <v>1.43385225645E-6</v>
      </c>
      <c r="T47" s="40">
        <v>5.7005900225000012E-3</v>
      </c>
      <c r="U47" s="40">
        <v>7.0656663844000003E-2</v>
      </c>
      <c r="V47" s="40">
        <v>1.3392712330000001E-2</v>
      </c>
      <c r="W47" s="40">
        <v>2.6240903969599998</v>
      </c>
      <c r="X47" s="40">
        <v>6.6485449399999993E-2</v>
      </c>
      <c r="Y47" s="40">
        <v>224.513587446695</v>
      </c>
      <c r="Z47" s="40">
        <v>1.1110103947500002E-2</v>
      </c>
      <c r="AA47" s="40"/>
      <c r="AB47" s="40"/>
      <c r="AC47" s="40"/>
      <c r="AD47" s="40"/>
      <c r="AE47" s="40"/>
      <c r="AF47" s="40"/>
      <c r="AG47" s="40"/>
      <c r="AH47" s="40"/>
      <c r="AI47" s="40"/>
      <c r="AJ47" s="40"/>
      <c r="AK47" s="40"/>
      <c r="AL47" s="40"/>
      <c r="AM47" s="40"/>
      <c r="AN47" s="40"/>
      <c r="AO47" s="40"/>
      <c r="AP47" s="40"/>
      <c r="AQ47" s="40"/>
      <c r="AR47" s="40"/>
      <c r="AS47" s="40"/>
      <c r="AT47" s="40"/>
      <c r="AU47" s="40"/>
      <c r="AV47" s="313">
        <v>2.4371391367349999</v>
      </c>
      <c r="AW47" s="317"/>
      <c r="AX47" s="317"/>
      <c r="AY47" s="313">
        <v>132.91790234184498</v>
      </c>
      <c r="AZ47" s="40"/>
      <c r="BA47" s="40"/>
      <c r="BB47" s="40"/>
      <c r="BC47" s="40">
        <v>2.9590112697000001E-2</v>
      </c>
      <c r="BD47" s="40">
        <v>9.0384945955000008E-5</v>
      </c>
      <c r="BE47" s="40">
        <v>2.1022967323700001</v>
      </c>
      <c r="BF47" s="40">
        <v>8.2987884654999995E-4</v>
      </c>
      <c r="BG47" s="40"/>
      <c r="BH47" s="40"/>
      <c r="BI47" s="40"/>
      <c r="BJ47" s="40"/>
      <c r="BK47" s="40"/>
      <c r="BL47" s="62">
        <v>0.5</v>
      </c>
      <c r="BM47" s="275">
        <v>2</v>
      </c>
      <c r="BN47" s="62">
        <v>0</v>
      </c>
      <c r="BO47" s="33" t="s">
        <v>485</v>
      </c>
    </row>
    <row r="48" spans="1:67">
      <c r="A48" s="33" t="str">
        <f>Database_Productkaarten[[#This Row],[Product]]&amp;", "&amp;Database_Productkaarten[[#This Row],[Levensfase]]</f>
        <v>AC bin/base 50% PR - PCR 1.0, A3</v>
      </c>
      <c r="B48" s="33" t="s">
        <v>488</v>
      </c>
      <c r="C48" s="33" t="s">
        <v>483</v>
      </c>
      <c r="D48" s="33" t="s">
        <v>381</v>
      </c>
      <c r="E48" s="33" t="s">
        <v>378</v>
      </c>
      <c r="F48" s="33" t="s">
        <v>76</v>
      </c>
      <c r="L48" s="33">
        <v>2.37</v>
      </c>
      <c r="M48" s="269">
        <v>1</v>
      </c>
      <c r="N48" s="41">
        <v>1.6844533224676592</v>
      </c>
      <c r="O48" s="33">
        <v>45</v>
      </c>
      <c r="P48" s="40">
        <v>3.8283421204463277E-6</v>
      </c>
      <c r="Q48" s="40">
        <v>0.20310701192599911</v>
      </c>
      <c r="R48" s="40">
        <v>23.657752953746236</v>
      </c>
      <c r="S48" s="40">
        <v>2.7988178491131429E-6</v>
      </c>
      <c r="T48" s="40">
        <v>3.8296536315417318E-3</v>
      </c>
      <c r="U48" s="40">
        <v>2.3718441691887557E-2</v>
      </c>
      <c r="V48" s="40">
        <v>4.1264036540801605E-3</v>
      </c>
      <c r="W48" s="40">
        <v>3.5398775824369997</v>
      </c>
      <c r="X48" s="40">
        <v>2.2111582149375503E-2</v>
      </c>
      <c r="Y48" s="40">
        <v>89.565904193716037</v>
      </c>
      <c r="Z48" s="40">
        <v>1.840419454672413E-2</v>
      </c>
      <c r="AA48" s="40"/>
      <c r="AB48" s="40"/>
      <c r="AC48" s="40"/>
      <c r="AD48" s="40"/>
      <c r="AE48" s="40"/>
      <c r="AF48" s="40"/>
      <c r="AG48" s="40"/>
      <c r="AH48" s="40"/>
      <c r="AI48" s="40"/>
      <c r="AJ48" s="40"/>
      <c r="AK48" s="40"/>
      <c r="AL48" s="40"/>
      <c r="AM48" s="40"/>
      <c r="AN48" s="40"/>
      <c r="AO48" s="40"/>
      <c r="AP48" s="40"/>
      <c r="AQ48" s="40"/>
      <c r="AR48" s="40"/>
      <c r="AS48" s="40"/>
      <c r="AT48" s="40"/>
      <c r="AU48" s="40"/>
      <c r="AV48" s="313">
        <v>5.2413429373018774</v>
      </c>
      <c r="AW48" s="317"/>
      <c r="AX48" s="317"/>
      <c r="AY48" s="313">
        <v>415.78848400314479</v>
      </c>
      <c r="AZ48" s="40"/>
      <c r="BA48" s="40"/>
      <c r="BB48" s="40"/>
      <c r="BC48" s="40">
        <v>3.4118539627923238E-2</v>
      </c>
      <c r="BD48" s="40">
        <v>5.3330183530816684E-4</v>
      </c>
      <c r="BE48" s="40">
        <v>0.2280671381593867</v>
      </c>
      <c r="BF48" s="40">
        <v>3.5162925933759052E-4</v>
      </c>
      <c r="BG48" s="40"/>
      <c r="BH48" s="40"/>
      <c r="BI48" s="40"/>
      <c r="BJ48" s="40"/>
      <c r="BK48" s="40"/>
      <c r="BL48" s="62">
        <v>0.5</v>
      </c>
      <c r="BM48" s="275">
        <v>2</v>
      </c>
      <c r="BN48" s="62">
        <v>0</v>
      </c>
      <c r="BO48" s="33" t="s">
        <v>485</v>
      </c>
    </row>
    <row r="49" spans="1:67">
      <c r="A49" s="33" t="str">
        <f>Database_Productkaarten[[#This Row],[Product]]&amp;", "&amp;Database_Productkaarten[[#This Row],[Levensfase]]</f>
        <v>AC bin/base 50% PR - PCR 1.0, A1-A3</v>
      </c>
      <c r="B49" s="33" t="str">
        <f>B48</f>
        <v>AC bin/base 50% PR - PCR 1.0</v>
      </c>
      <c r="C49" s="33" t="str">
        <f>C48</f>
        <v>Bitumineuze verhardingen</v>
      </c>
      <c r="D49" s="33" t="str">
        <f>D48</f>
        <v>AC bin/base</v>
      </c>
      <c r="E49" s="33" t="str">
        <f>E48</f>
        <v>Ton</v>
      </c>
      <c r="F49" s="33" t="s">
        <v>77</v>
      </c>
      <c r="L49" s="33">
        <f>L48</f>
        <v>2.37</v>
      </c>
      <c r="M49" s="45">
        <f>M48</f>
        <v>1</v>
      </c>
      <c r="N49" s="252">
        <f>SUM(N46:N48)</f>
        <v>5.6160832993426588</v>
      </c>
      <c r="O49" s="33">
        <f>O48</f>
        <v>45</v>
      </c>
      <c r="P49" s="40">
        <f>SUM(P46:P48)</f>
        <v>4.9217352117696329E-5</v>
      </c>
      <c r="Q49" s="40">
        <f t="shared" ref="Q49:BK49" si="6">SUM(Q46:Q48)</f>
        <v>0.75281208195749905</v>
      </c>
      <c r="R49" s="40">
        <f t="shared" si="6"/>
        <v>53.535311820786241</v>
      </c>
      <c r="S49" s="40">
        <f t="shared" si="6"/>
        <v>6.017353535563143E-6</v>
      </c>
      <c r="T49" s="40">
        <f t="shared" si="6"/>
        <v>6.1647615734041733E-2</v>
      </c>
      <c r="U49" s="40">
        <f t="shared" si="6"/>
        <v>0.23929201703588757</v>
      </c>
      <c r="V49" s="40">
        <f t="shared" si="6"/>
        <v>3.0744056384080162E-2</v>
      </c>
      <c r="W49" s="40">
        <f t="shared" si="6"/>
        <v>11.822654626397</v>
      </c>
      <c r="X49" s="40">
        <f t="shared" si="6"/>
        <v>0.84917522044937543</v>
      </c>
      <c r="Y49" s="40">
        <f t="shared" si="6"/>
        <v>3644.911690900411</v>
      </c>
      <c r="Z49" s="40">
        <f t="shared" si="6"/>
        <v>0.12835023259422415</v>
      </c>
      <c r="AA49" s="40">
        <f t="shared" si="6"/>
        <v>0</v>
      </c>
      <c r="AB49" s="40">
        <f t="shared" si="6"/>
        <v>0</v>
      </c>
      <c r="AC49" s="40">
        <f t="shared" si="6"/>
        <v>0</v>
      </c>
      <c r="AD49" s="40">
        <f t="shared" si="6"/>
        <v>0</v>
      </c>
      <c r="AE49" s="40">
        <f t="shared" si="6"/>
        <v>0</v>
      </c>
      <c r="AF49" s="40">
        <f t="shared" si="6"/>
        <v>0</v>
      </c>
      <c r="AG49" s="40">
        <f t="shared" si="6"/>
        <v>0</v>
      </c>
      <c r="AH49" s="40">
        <f t="shared" si="6"/>
        <v>0</v>
      </c>
      <c r="AI49" s="40">
        <f t="shared" si="6"/>
        <v>0</v>
      </c>
      <c r="AJ49" s="40">
        <f t="shared" si="6"/>
        <v>0</v>
      </c>
      <c r="AK49" s="40">
        <f t="shared" si="6"/>
        <v>0</v>
      </c>
      <c r="AL49" s="40">
        <f t="shared" si="6"/>
        <v>0</v>
      </c>
      <c r="AM49" s="40">
        <f t="shared" si="6"/>
        <v>0</v>
      </c>
      <c r="AN49" s="40">
        <f t="shared" si="6"/>
        <v>0</v>
      </c>
      <c r="AO49" s="40">
        <f t="shared" si="6"/>
        <v>0</v>
      </c>
      <c r="AP49" s="40">
        <f t="shared" si="6"/>
        <v>0</v>
      </c>
      <c r="AQ49" s="40">
        <f t="shared" si="6"/>
        <v>0</v>
      </c>
      <c r="AR49" s="40">
        <f t="shared" si="6"/>
        <v>0</v>
      </c>
      <c r="AS49" s="40">
        <f t="shared" si="6"/>
        <v>0</v>
      </c>
      <c r="AT49" s="40">
        <f t="shared" si="6"/>
        <v>0</v>
      </c>
      <c r="AU49" s="40">
        <f t="shared" si="6"/>
        <v>0</v>
      </c>
      <c r="AV49" s="317">
        <f t="shared" si="6"/>
        <v>15.369674445036878</v>
      </c>
      <c r="AW49" s="317">
        <f t="shared" si="6"/>
        <v>0</v>
      </c>
      <c r="AX49" s="317">
        <f t="shared" si="6"/>
        <v>0</v>
      </c>
      <c r="AY49" s="317">
        <f t="shared" si="6"/>
        <v>1651.2124393659897</v>
      </c>
      <c r="AZ49" s="40">
        <f t="shared" si="6"/>
        <v>0</v>
      </c>
      <c r="BA49" s="40">
        <f t="shared" si="6"/>
        <v>0</v>
      </c>
      <c r="BB49" s="40">
        <f t="shared" si="6"/>
        <v>0</v>
      </c>
      <c r="BC49" s="40">
        <f t="shared" si="6"/>
        <v>11.801650139624925</v>
      </c>
      <c r="BD49" s="40">
        <f t="shared" si="6"/>
        <v>1.0916431702631668E-3</v>
      </c>
      <c r="BE49" s="40">
        <f t="shared" si="6"/>
        <v>4.2858678905293868</v>
      </c>
      <c r="BF49" s="40">
        <f t="shared" si="6"/>
        <v>1.7007226398875904E-3</v>
      </c>
      <c r="BG49" s="40">
        <f t="shared" si="6"/>
        <v>0</v>
      </c>
      <c r="BH49" s="40">
        <f t="shared" si="6"/>
        <v>0</v>
      </c>
      <c r="BI49" s="40">
        <f t="shared" si="6"/>
        <v>0</v>
      </c>
      <c r="BJ49" s="40">
        <f t="shared" si="6"/>
        <v>0</v>
      </c>
      <c r="BK49" s="40">
        <f t="shared" si="6"/>
        <v>0</v>
      </c>
      <c r="BL49" s="62">
        <f>BL48</f>
        <v>0.5</v>
      </c>
      <c r="BM49" s="275">
        <f>BM48</f>
        <v>2</v>
      </c>
      <c r="BN49" s="62">
        <v>0</v>
      </c>
      <c r="BO49" s="33" t="str">
        <f>BO48</f>
        <v>TNO 2020 R10987 LCA Achtergrondrapport voor brancherepresentatieve Nederlandse asfaltmengsels 2020</v>
      </c>
    </row>
    <row r="50" spans="1:67">
      <c r="A50" s="33" t="str">
        <f>Database_Productkaarten[[#This Row],[Product]]&amp;", "&amp;Database_Productkaarten[[#This Row],[Levensfase]]</f>
        <v>AC bin/base 50% PR - PCR 1.0, A4</v>
      </c>
      <c r="B50" s="33" t="s">
        <v>488</v>
      </c>
      <c r="C50" s="33" t="s">
        <v>483</v>
      </c>
      <c r="D50" s="33" t="s">
        <v>381</v>
      </c>
      <c r="E50" s="33" t="s">
        <v>378</v>
      </c>
      <c r="F50" s="33" t="s">
        <v>78</v>
      </c>
      <c r="L50" s="33">
        <v>2.37</v>
      </c>
      <c r="M50" s="269">
        <v>1</v>
      </c>
      <c r="N50" s="41">
        <v>0.62892669999999995</v>
      </c>
      <c r="O50" s="33">
        <v>45</v>
      </c>
      <c r="P50" s="40">
        <v>1.0978337000000001E-5</v>
      </c>
      <c r="Q50" s="40">
        <v>4.3183727999999998E-2</v>
      </c>
      <c r="R50" s="40">
        <v>5.7021305</v>
      </c>
      <c r="S50" s="40">
        <v>1.1335356E-6</v>
      </c>
      <c r="T50" s="40">
        <v>3.5752850000000001E-3</v>
      </c>
      <c r="U50" s="40">
        <v>1.9151161E-2</v>
      </c>
      <c r="V50" s="40">
        <v>3.8023555000000001E-3</v>
      </c>
      <c r="W50" s="40">
        <v>2.0049337999999999</v>
      </c>
      <c r="X50" s="40">
        <v>0.12926487</v>
      </c>
      <c r="Y50" s="40">
        <v>338.63108999999997</v>
      </c>
      <c r="Z50" s="40">
        <v>1.1891815999999999E-2</v>
      </c>
      <c r="AA50" s="40"/>
      <c r="AB50" s="40"/>
      <c r="AC50" s="40"/>
      <c r="AD50" s="40"/>
      <c r="AE50" s="40"/>
      <c r="AF50" s="40"/>
      <c r="AG50" s="40"/>
      <c r="AH50" s="40"/>
      <c r="AI50" s="40"/>
      <c r="AJ50" s="40"/>
      <c r="AK50" s="40"/>
      <c r="AL50" s="40"/>
      <c r="AM50" s="40"/>
      <c r="AN50" s="40"/>
      <c r="AO50" s="40"/>
      <c r="AP50" s="40"/>
      <c r="AQ50" s="40"/>
      <c r="AR50" s="40"/>
      <c r="AS50" s="40"/>
      <c r="AT50" s="40"/>
      <c r="AU50" s="40"/>
      <c r="AV50" s="313">
        <v>0</v>
      </c>
      <c r="AW50" s="317"/>
      <c r="AX50" s="317"/>
      <c r="AY50" s="313">
        <v>0</v>
      </c>
      <c r="AZ50" s="40"/>
      <c r="BA50" s="40"/>
      <c r="BB50" s="40"/>
      <c r="BC50" s="40">
        <v>0</v>
      </c>
      <c r="BD50" s="40">
        <v>0</v>
      </c>
      <c r="BE50" s="40">
        <v>0</v>
      </c>
      <c r="BF50" s="40">
        <v>0</v>
      </c>
      <c r="BG50" s="40"/>
      <c r="BH50" s="40"/>
      <c r="BI50" s="40"/>
      <c r="BJ50" s="40"/>
      <c r="BK50" s="40"/>
      <c r="BL50" s="62">
        <v>0.5</v>
      </c>
      <c r="BM50" s="275">
        <v>2</v>
      </c>
      <c r="BN50" s="62">
        <v>0</v>
      </c>
      <c r="BO50" s="33" t="s">
        <v>485</v>
      </c>
    </row>
    <row r="51" spans="1:67">
      <c r="A51" s="33" t="str">
        <f>Database_Productkaarten[[#This Row],[Product]]&amp;", "&amp;Database_Productkaarten[[#This Row],[Levensfase]]</f>
        <v>AC bin/base 50% PR - PCR 1.0, A5</v>
      </c>
      <c r="B51" s="33" t="s">
        <v>488</v>
      </c>
      <c r="C51" s="33" t="s">
        <v>483</v>
      </c>
      <c r="D51" s="33" t="s">
        <v>381</v>
      </c>
      <c r="E51" s="33" t="s">
        <v>378</v>
      </c>
      <c r="F51" s="33" t="s">
        <v>79</v>
      </c>
      <c r="L51" s="33">
        <v>2.37</v>
      </c>
      <c r="M51" s="269">
        <v>1</v>
      </c>
      <c r="N51" s="41">
        <v>0.14272683999999999</v>
      </c>
      <c r="O51" s="33">
        <v>45</v>
      </c>
      <c r="P51" s="40">
        <v>3.5533946E-7</v>
      </c>
      <c r="Q51" s="40">
        <v>7.2947244E-3</v>
      </c>
      <c r="R51" s="40">
        <v>1.4092232</v>
      </c>
      <c r="S51" s="40">
        <v>1.9102853E-7</v>
      </c>
      <c r="T51" s="40">
        <v>5.2450969E-4</v>
      </c>
      <c r="U51" s="40">
        <v>5.7148863000000003E-3</v>
      </c>
      <c r="V51" s="40">
        <v>1.2824398000000001E-3</v>
      </c>
      <c r="W51" s="40">
        <v>0.3740175</v>
      </c>
      <c r="X51" s="40">
        <v>5.2905690000000002E-3</v>
      </c>
      <c r="Y51" s="40">
        <v>17.842372000000001</v>
      </c>
      <c r="Z51" s="40">
        <v>6.2808248999999996E-4</v>
      </c>
      <c r="AA51" s="40"/>
      <c r="AB51" s="40"/>
      <c r="AC51" s="40"/>
      <c r="AD51" s="40"/>
      <c r="AE51" s="40"/>
      <c r="AF51" s="40"/>
      <c r="AG51" s="40"/>
      <c r="AH51" s="40"/>
      <c r="AI51" s="40"/>
      <c r="AJ51" s="40"/>
      <c r="AK51" s="40"/>
      <c r="AL51" s="40"/>
      <c r="AM51" s="40"/>
      <c r="AN51" s="40"/>
      <c r="AO51" s="40"/>
      <c r="AP51" s="40"/>
      <c r="AQ51" s="40"/>
      <c r="AR51" s="40"/>
      <c r="AS51" s="40"/>
      <c r="AT51" s="40"/>
      <c r="AU51" s="40"/>
      <c r="AV51" s="313">
        <v>8.9215748999999997E-2</v>
      </c>
      <c r="AW51" s="317"/>
      <c r="AX51" s="317"/>
      <c r="AY51" s="313">
        <v>16.353563999999999</v>
      </c>
      <c r="AZ51" s="40"/>
      <c r="BA51" s="40"/>
      <c r="BB51" s="40"/>
      <c r="BC51" s="40">
        <v>2.0153547999999999E-3</v>
      </c>
      <c r="BD51" s="40">
        <v>6.8682951000000004E-6</v>
      </c>
      <c r="BE51" s="40">
        <v>1.6399804E-2</v>
      </c>
      <c r="BF51" s="40">
        <v>1.0697427E-4</v>
      </c>
      <c r="BG51" s="40"/>
      <c r="BH51" s="40"/>
      <c r="BI51" s="40"/>
      <c r="BJ51" s="40"/>
      <c r="BK51" s="40"/>
      <c r="BL51" s="62">
        <v>0.5</v>
      </c>
      <c r="BM51" s="275">
        <v>2</v>
      </c>
      <c r="BN51" s="62">
        <v>0</v>
      </c>
      <c r="BO51" s="33" t="s">
        <v>485</v>
      </c>
    </row>
    <row r="52" spans="1:67">
      <c r="A52" s="33" t="str">
        <f>Database_Productkaarten[[#This Row],[Product]]&amp;", "&amp;Database_Productkaarten[[#This Row],[Levensfase]]</f>
        <v>AC bin/base 50% PR - PCR 1.0, B1</v>
      </c>
      <c r="B52" s="33" t="s">
        <v>488</v>
      </c>
      <c r="C52" s="33" t="s">
        <v>483</v>
      </c>
      <c r="D52" s="33" t="s">
        <v>381</v>
      </c>
      <c r="E52" s="33" t="s">
        <v>378</v>
      </c>
      <c r="F52" s="33" t="s">
        <v>80</v>
      </c>
      <c r="L52" s="33">
        <v>2.37</v>
      </c>
      <c r="M52" s="269">
        <v>1</v>
      </c>
      <c r="N52" s="41">
        <v>0</v>
      </c>
      <c r="O52" s="33">
        <v>45</v>
      </c>
      <c r="P52" s="40">
        <v>0</v>
      </c>
      <c r="Q52" s="40">
        <v>0</v>
      </c>
      <c r="R52" s="40">
        <v>0</v>
      </c>
      <c r="S52" s="40">
        <v>0</v>
      </c>
      <c r="T52" s="40">
        <v>0</v>
      </c>
      <c r="U52" s="40">
        <v>0</v>
      </c>
      <c r="V52" s="40">
        <v>0</v>
      </c>
      <c r="W52" s="40">
        <v>0</v>
      </c>
      <c r="X52" s="40">
        <v>0</v>
      </c>
      <c r="Y52" s="40">
        <v>0</v>
      </c>
      <c r="Z52" s="40">
        <v>0</v>
      </c>
      <c r="AA52" s="40"/>
      <c r="AB52" s="40"/>
      <c r="AC52" s="40"/>
      <c r="AD52" s="40"/>
      <c r="AE52" s="40"/>
      <c r="AF52" s="40"/>
      <c r="AG52" s="40"/>
      <c r="AH52" s="40"/>
      <c r="AI52" s="40"/>
      <c r="AJ52" s="40"/>
      <c r="AK52" s="40"/>
      <c r="AL52" s="40"/>
      <c r="AM52" s="40"/>
      <c r="AN52" s="40"/>
      <c r="AO52" s="40"/>
      <c r="AP52" s="40"/>
      <c r="AQ52" s="40"/>
      <c r="AR52" s="40"/>
      <c r="AS52" s="40"/>
      <c r="AT52" s="40"/>
      <c r="AU52" s="40"/>
      <c r="AV52" s="313">
        <v>0</v>
      </c>
      <c r="AW52" s="317"/>
      <c r="AX52" s="317"/>
      <c r="AY52" s="313">
        <v>0</v>
      </c>
      <c r="AZ52" s="40"/>
      <c r="BA52" s="40"/>
      <c r="BB52" s="40"/>
      <c r="BC52" s="40">
        <v>0</v>
      </c>
      <c r="BD52" s="40">
        <v>0</v>
      </c>
      <c r="BE52" s="40">
        <v>0</v>
      </c>
      <c r="BF52" s="40">
        <v>0</v>
      </c>
      <c r="BG52" s="40"/>
      <c r="BH52" s="40"/>
      <c r="BI52" s="40"/>
      <c r="BJ52" s="40"/>
      <c r="BK52" s="40"/>
      <c r="BL52" s="62">
        <v>0.5</v>
      </c>
      <c r="BM52" s="275">
        <v>2</v>
      </c>
      <c r="BN52" s="62">
        <v>0</v>
      </c>
      <c r="BO52" s="33" t="s">
        <v>485</v>
      </c>
    </row>
    <row r="53" spans="1:67">
      <c r="A53" s="33" t="str">
        <f>Database_Productkaarten[[#This Row],[Product]]&amp;", "&amp;Database_Productkaarten[[#This Row],[Levensfase]]</f>
        <v>AC bin/base 50% PR - PCR 1.0, C1</v>
      </c>
      <c r="B53" s="33" t="s">
        <v>488</v>
      </c>
      <c r="C53" s="33" t="s">
        <v>483</v>
      </c>
      <c r="D53" s="33" t="s">
        <v>381</v>
      </c>
      <c r="E53" s="33" t="s">
        <v>378</v>
      </c>
      <c r="F53" s="33" t="s">
        <v>83</v>
      </c>
      <c r="L53" s="33">
        <v>2.37</v>
      </c>
      <c r="M53" s="269">
        <v>1</v>
      </c>
      <c r="N53" s="41">
        <v>0.31815712000000002</v>
      </c>
      <c r="O53" s="33">
        <v>45</v>
      </c>
      <c r="P53" s="40">
        <v>8.5503557000000004E-7</v>
      </c>
      <c r="Q53" s="40">
        <v>1.7552931000000001E-2</v>
      </c>
      <c r="R53" s="40">
        <v>3.3909432000000002</v>
      </c>
      <c r="S53" s="40">
        <v>4.5966240999999998E-7</v>
      </c>
      <c r="T53" s="40">
        <v>1.1229438E-3</v>
      </c>
      <c r="U53" s="40">
        <v>9.9389952999999996E-3</v>
      </c>
      <c r="V53" s="40">
        <v>2.0946338000000001E-3</v>
      </c>
      <c r="W53" s="40">
        <v>0.89075641999999999</v>
      </c>
      <c r="X53" s="40">
        <v>1.2730432E-2</v>
      </c>
      <c r="Y53" s="40">
        <v>42.933207000000003</v>
      </c>
      <c r="Z53" s="40">
        <v>1.5113234999999999E-3</v>
      </c>
      <c r="AA53" s="40"/>
      <c r="AB53" s="40"/>
      <c r="AC53" s="40"/>
      <c r="AD53" s="40"/>
      <c r="AE53" s="40"/>
      <c r="AF53" s="40"/>
      <c r="AG53" s="40"/>
      <c r="AH53" s="40"/>
      <c r="AI53" s="40"/>
      <c r="AJ53" s="40"/>
      <c r="AK53" s="40"/>
      <c r="AL53" s="40"/>
      <c r="AM53" s="40"/>
      <c r="AN53" s="40"/>
      <c r="AO53" s="40"/>
      <c r="AP53" s="40"/>
      <c r="AQ53" s="40"/>
      <c r="AR53" s="40"/>
      <c r="AS53" s="40"/>
      <c r="AT53" s="40"/>
      <c r="AU53" s="40"/>
      <c r="AV53" s="313">
        <v>0.21467539999999999</v>
      </c>
      <c r="AW53" s="317"/>
      <c r="AX53" s="317"/>
      <c r="AY53" s="313">
        <v>39.350763999999998</v>
      </c>
      <c r="AZ53" s="40"/>
      <c r="BA53" s="40"/>
      <c r="BB53" s="40"/>
      <c r="BC53" s="40">
        <v>4.8494475000000004E-3</v>
      </c>
      <c r="BD53" s="40">
        <v>1.6526835000000001E-5</v>
      </c>
      <c r="BE53" s="40">
        <v>3.9462029000000003E-2</v>
      </c>
      <c r="BF53" s="40">
        <v>2.5740684000000001E-4</v>
      </c>
      <c r="BG53" s="40"/>
      <c r="BH53" s="40"/>
      <c r="BI53" s="40"/>
      <c r="BJ53" s="40"/>
      <c r="BK53" s="40"/>
      <c r="BL53" s="62">
        <v>0.5</v>
      </c>
      <c r="BM53" s="275">
        <v>2</v>
      </c>
      <c r="BN53" s="62">
        <v>0</v>
      </c>
      <c r="BO53" s="33" t="s">
        <v>485</v>
      </c>
    </row>
    <row r="54" spans="1:67">
      <c r="A54" s="33" t="str">
        <f>Database_Productkaarten[[#This Row],[Product]]&amp;", "&amp;Database_Productkaarten[[#This Row],[Levensfase]]</f>
        <v>AC bin/base 50% PR - PCR 1.0, C2</v>
      </c>
      <c r="B54" s="33" t="s">
        <v>488</v>
      </c>
      <c r="C54" s="33" t="s">
        <v>483</v>
      </c>
      <c r="D54" s="33" t="s">
        <v>381</v>
      </c>
      <c r="E54" s="33" t="s">
        <v>378</v>
      </c>
      <c r="F54" s="33" t="s">
        <v>84</v>
      </c>
      <c r="L54" s="33">
        <v>2.37</v>
      </c>
      <c r="M54" s="269">
        <v>1</v>
      </c>
      <c r="N54" s="41">
        <v>0.62892669999999995</v>
      </c>
      <c r="O54" s="33">
        <v>45</v>
      </c>
      <c r="P54" s="40">
        <v>1.0978337000000001E-5</v>
      </c>
      <c r="Q54" s="40">
        <v>4.3183727999999998E-2</v>
      </c>
      <c r="R54" s="40">
        <v>5.7021305</v>
      </c>
      <c r="S54" s="40">
        <v>1.1335356E-6</v>
      </c>
      <c r="T54" s="40">
        <v>3.5752850000000001E-3</v>
      </c>
      <c r="U54" s="40">
        <v>1.9151161E-2</v>
      </c>
      <c r="V54" s="40">
        <v>3.8023555000000001E-3</v>
      </c>
      <c r="W54" s="40">
        <v>2.0049337999999999</v>
      </c>
      <c r="X54" s="40">
        <v>0.12926487</v>
      </c>
      <c r="Y54" s="40">
        <v>338.63108999999997</v>
      </c>
      <c r="Z54" s="40">
        <v>1.1891815999999999E-2</v>
      </c>
      <c r="AA54" s="40"/>
      <c r="AB54" s="40"/>
      <c r="AC54" s="40"/>
      <c r="AD54" s="40"/>
      <c r="AE54" s="40"/>
      <c r="AF54" s="40"/>
      <c r="AG54" s="40"/>
      <c r="AH54" s="40"/>
      <c r="AI54" s="40"/>
      <c r="AJ54" s="40"/>
      <c r="AK54" s="40"/>
      <c r="AL54" s="40"/>
      <c r="AM54" s="40"/>
      <c r="AN54" s="40"/>
      <c r="AO54" s="40"/>
      <c r="AP54" s="40"/>
      <c r="AQ54" s="40"/>
      <c r="AR54" s="40"/>
      <c r="AS54" s="40"/>
      <c r="AT54" s="40"/>
      <c r="AU54" s="40"/>
      <c r="AV54" s="313">
        <v>0</v>
      </c>
      <c r="AW54" s="317"/>
      <c r="AX54" s="317"/>
      <c r="AY54" s="313">
        <v>0</v>
      </c>
      <c r="AZ54" s="40"/>
      <c r="BA54" s="40"/>
      <c r="BB54" s="40"/>
      <c r="BC54" s="40">
        <v>0</v>
      </c>
      <c r="BD54" s="40">
        <v>0</v>
      </c>
      <c r="BE54" s="40">
        <v>0</v>
      </c>
      <c r="BF54" s="40">
        <v>0</v>
      </c>
      <c r="BG54" s="40"/>
      <c r="BH54" s="40"/>
      <c r="BI54" s="40"/>
      <c r="BJ54" s="40"/>
      <c r="BK54" s="40"/>
      <c r="BL54" s="62">
        <v>0.5</v>
      </c>
      <c r="BM54" s="275">
        <v>2</v>
      </c>
      <c r="BN54" s="62">
        <v>0</v>
      </c>
      <c r="BO54" s="33" t="s">
        <v>485</v>
      </c>
    </row>
    <row r="55" spans="1:67">
      <c r="A55" s="33" t="str">
        <f>Database_Productkaarten[[#This Row],[Product]]&amp;", "&amp;Database_Productkaarten[[#This Row],[Levensfase]]</f>
        <v>AC bin/base 50% PR - PCR 1.0, C3</v>
      </c>
      <c r="B55" s="33" t="s">
        <v>488</v>
      </c>
      <c r="C55" s="33" t="s">
        <v>483</v>
      </c>
      <c r="D55" s="33" t="s">
        <v>381</v>
      </c>
      <c r="E55" s="33" t="s">
        <v>378</v>
      </c>
      <c r="F55" s="33" t="s">
        <v>85</v>
      </c>
      <c r="L55" s="33">
        <v>2.37</v>
      </c>
      <c r="M55" s="269">
        <v>1</v>
      </c>
      <c r="N55" s="41">
        <v>0.16120214999999999</v>
      </c>
      <c r="O55" s="33">
        <v>45</v>
      </c>
      <c r="P55" s="40">
        <v>4.1291555000000003E-7</v>
      </c>
      <c r="Q55" s="40">
        <v>8.4766977000000007E-3</v>
      </c>
      <c r="R55" s="40">
        <v>1.6375614000000001</v>
      </c>
      <c r="S55" s="40">
        <v>2.2198113E-7</v>
      </c>
      <c r="T55" s="40">
        <v>5.9777666999999998E-4</v>
      </c>
      <c r="U55" s="40">
        <v>5.9352911999999997E-3</v>
      </c>
      <c r="V55" s="40">
        <v>1.3067828999999999E-3</v>
      </c>
      <c r="W55" s="40">
        <v>0.43290835999999999</v>
      </c>
      <c r="X55" s="40">
        <v>6.1478065000000002E-3</v>
      </c>
      <c r="Y55" s="40">
        <v>20.733394000000001</v>
      </c>
      <c r="Z55" s="40">
        <v>7.2985148000000004E-4</v>
      </c>
      <c r="AA55" s="40"/>
      <c r="AB55" s="40"/>
      <c r="AC55" s="40"/>
      <c r="AD55" s="40"/>
      <c r="AE55" s="40"/>
      <c r="AF55" s="40"/>
      <c r="AG55" s="40"/>
      <c r="AH55" s="40"/>
      <c r="AI55" s="40"/>
      <c r="AJ55" s="40"/>
      <c r="AK55" s="40"/>
      <c r="AL55" s="40"/>
      <c r="AM55" s="40"/>
      <c r="AN55" s="40"/>
      <c r="AO55" s="40"/>
      <c r="AP55" s="40"/>
      <c r="AQ55" s="40"/>
      <c r="AR55" s="40"/>
      <c r="AS55" s="40"/>
      <c r="AT55" s="40"/>
      <c r="AU55" s="40"/>
      <c r="AV55" s="313">
        <v>0.10367149000000001</v>
      </c>
      <c r="AW55" s="317"/>
      <c r="AX55" s="317"/>
      <c r="AY55" s="313">
        <v>19.003353000000001</v>
      </c>
      <c r="AZ55" s="40"/>
      <c r="BA55" s="40"/>
      <c r="BB55" s="40"/>
      <c r="BC55" s="40">
        <v>2.3419052000000001E-3</v>
      </c>
      <c r="BD55" s="40">
        <v>7.9811735999999999E-6</v>
      </c>
      <c r="BE55" s="40">
        <v>1.9057085000000001E-2</v>
      </c>
      <c r="BF55" s="40">
        <v>1.2430745000000001E-4</v>
      </c>
      <c r="BG55" s="40"/>
      <c r="BH55" s="40"/>
      <c r="BI55" s="40"/>
      <c r="BJ55" s="40"/>
      <c r="BK55" s="40"/>
      <c r="BL55" s="62">
        <v>0.5</v>
      </c>
      <c r="BM55" s="275">
        <v>2</v>
      </c>
      <c r="BN55" s="62">
        <v>0</v>
      </c>
      <c r="BO55" s="33" t="s">
        <v>485</v>
      </c>
    </row>
    <row r="56" spans="1:67">
      <c r="A56" s="33" t="str">
        <f>Database_Productkaarten[[#This Row],[Product]]&amp;", "&amp;Database_Productkaarten[[#This Row],[Levensfase]]</f>
        <v>AC bin/base 50% PR - PCR 1.0, D</v>
      </c>
      <c r="B56" s="33" t="str">
        <f>B57</f>
        <v>AC bin/base 50% PR - PCR 1.0</v>
      </c>
      <c r="C56" s="33" t="str">
        <f>C57</f>
        <v>Bitumineuze verhardingen</v>
      </c>
      <c r="D56" s="33" t="str">
        <f>D57</f>
        <v>AC bin/base</v>
      </c>
      <c r="E56" s="33" t="str">
        <f>E57</f>
        <v>Ton</v>
      </c>
      <c r="F56" s="33" t="s">
        <v>89</v>
      </c>
      <c r="L56" s="33">
        <f>L57</f>
        <v>2.37</v>
      </c>
      <c r="M56" s="45">
        <f>M57</f>
        <v>1</v>
      </c>
      <c r="N56" s="41">
        <f>SUM(N57:N58)</f>
        <v>-2.5549283609276863</v>
      </c>
      <c r="O56" s="33">
        <f>O57</f>
        <v>45</v>
      </c>
      <c r="P56" s="40">
        <f>SUM(P57:P58)</f>
        <v>-2.9306714657274386E-5</v>
      </c>
      <c r="Q56" s="40">
        <f>SUM(Q57:Q58)</f>
        <v>-0.35634221830495527</v>
      </c>
      <c r="R56" s="40">
        <f>SUM(R57:R58)</f>
        <v>-19.434767896311083</v>
      </c>
      <c r="S56" s="40">
        <f t="shared" ref="S56:BK56" si="7">SUM(S57:S58)</f>
        <v>-2.1002255158066161E-6</v>
      </c>
      <c r="T56" s="40">
        <f t="shared" si="7"/>
        <v>-3.7453740429360005E-2</v>
      </c>
      <c r="U56" s="40">
        <f t="shared" si="7"/>
        <v>-0.13983956525644697</v>
      </c>
      <c r="V56" s="40">
        <f t="shared" si="7"/>
        <v>-1.7282377737713239E-2</v>
      </c>
      <c r="W56" s="40">
        <f t="shared" si="7"/>
        <v>-5.3965020359032145</v>
      </c>
      <c r="X56" s="40">
        <f t="shared" si="7"/>
        <v>-0.53606648546196423</v>
      </c>
      <c r="Y56" s="40">
        <f t="shared" si="7"/>
        <v>-2303.7685948535327</v>
      </c>
      <c r="Z56" s="40">
        <f t="shared" si="7"/>
        <v>-7.1237486947066178E-2</v>
      </c>
      <c r="AA56" s="40">
        <f t="shared" si="7"/>
        <v>0</v>
      </c>
      <c r="AB56" s="40">
        <f t="shared" si="7"/>
        <v>0</v>
      </c>
      <c r="AC56" s="40">
        <f t="shared" si="7"/>
        <v>0</v>
      </c>
      <c r="AD56" s="40">
        <f t="shared" si="7"/>
        <v>0</v>
      </c>
      <c r="AE56" s="40">
        <f t="shared" si="7"/>
        <v>0</v>
      </c>
      <c r="AF56" s="40">
        <f t="shared" si="7"/>
        <v>0</v>
      </c>
      <c r="AG56" s="40">
        <f t="shared" si="7"/>
        <v>0</v>
      </c>
      <c r="AH56" s="40">
        <f t="shared" si="7"/>
        <v>0</v>
      </c>
      <c r="AI56" s="40">
        <f t="shared" si="7"/>
        <v>0</v>
      </c>
      <c r="AJ56" s="40">
        <f t="shared" si="7"/>
        <v>0</v>
      </c>
      <c r="AK56" s="40">
        <f t="shared" si="7"/>
        <v>0</v>
      </c>
      <c r="AL56" s="40">
        <f t="shared" si="7"/>
        <v>0</v>
      </c>
      <c r="AM56" s="40">
        <f t="shared" si="7"/>
        <v>0</v>
      </c>
      <c r="AN56" s="40">
        <f t="shared" si="7"/>
        <v>0</v>
      </c>
      <c r="AO56" s="40">
        <f t="shared" si="7"/>
        <v>0</v>
      </c>
      <c r="AP56" s="40">
        <f t="shared" si="7"/>
        <v>0</v>
      </c>
      <c r="AQ56" s="40">
        <f t="shared" si="7"/>
        <v>0</v>
      </c>
      <c r="AR56" s="40">
        <f t="shared" si="7"/>
        <v>0</v>
      </c>
      <c r="AS56" s="40">
        <f t="shared" si="7"/>
        <v>0</v>
      </c>
      <c r="AT56" s="40">
        <f t="shared" si="7"/>
        <v>0</v>
      </c>
      <c r="AU56" s="40">
        <f t="shared" si="7"/>
        <v>0</v>
      </c>
      <c r="AV56" s="317">
        <f t="shared" si="7"/>
        <v>-6.5453036438876291</v>
      </c>
      <c r="AW56" s="317">
        <f t="shared" si="7"/>
        <v>0</v>
      </c>
      <c r="AX56" s="317">
        <f t="shared" si="7"/>
        <v>0</v>
      </c>
      <c r="AY56" s="317">
        <f t="shared" si="7"/>
        <v>-800.6969717681169</v>
      </c>
      <c r="AZ56" s="40">
        <f t="shared" si="7"/>
        <v>0</v>
      </c>
      <c r="BA56" s="40">
        <f t="shared" si="7"/>
        <v>0</v>
      </c>
      <c r="BB56" s="40">
        <f t="shared" si="7"/>
        <v>0</v>
      </c>
      <c r="BC56" s="40">
        <f t="shared" si="7"/>
        <v>-7.6274332459747693</v>
      </c>
      <c r="BD56" s="40">
        <f t="shared" si="7"/>
        <v>-3.6734348467877206E-4</v>
      </c>
      <c r="BE56" s="40">
        <f t="shared" si="7"/>
        <v>-2.7054720090955175</v>
      </c>
      <c r="BF56" s="40">
        <f t="shared" si="7"/>
        <v>-8.819564978283889E-4</v>
      </c>
      <c r="BG56" s="40">
        <f t="shared" si="7"/>
        <v>0</v>
      </c>
      <c r="BH56" s="40">
        <f t="shared" si="7"/>
        <v>0</v>
      </c>
      <c r="BI56" s="40">
        <f t="shared" si="7"/>
        <v>0</v>
      </c>
      <c r="BJ56" s="40">
        <f t="shared" si="7"/>
        <v>0</v>
      </c>
      <c r="BK56" s="40">
        <f t="shared" si="7"/>
        <v>0</v>
      </c>
      <c r="BL56" s="62">
        <f>BL57</f>
        <v>0.5</v>
      </c>
      <c r="BM56" s="275">
        <f>BM57</f>
        <v>2</v>
      </c>
      <c r="BN56" s="62">
        <v>0</v>
      </c>
      <c r="BO56" s="33" t="str">
        <f>BO57</f>
        <v>TNO 2020 R10987 LCA Achtergrondrapport voor brancherepresentatieve Nederlandse asfaltmengsels 2020</v>
      </c>
    </row>
    <row r="57" spans="1:67">
      <c r="A57" s="33" t="str">
        <f>Database_Productkaarten[[#This Row],[Product]]&amp;", "&amp;Database_Productkaarten[[#This Row],[Levensfase]]</f>
        <v>AC bin/base 50% PR - PCR 1.0, D1</v>
      </c>
      <c r="B57" s="33" t="s">
        <v>488</v>
      </c>
      <c r="C57" s="33" t="s">
        <v>483</v>
      </c>
      <c r="D57" s="33" t="s">
        <v>381</v>
      </c>
      <c r="E57" s="33" t="s">
        <v>378</v>
      </c>
      <c r="F57" s="33" t="s">
        <v>87</v>
      </c>
      <c r="L57" s="33">
        <v>2.37</v>
      </c>
      <c r="M57" s="269">
        <v>1</v>
      </c>
      <c r="N57" s="41">
        <v>-1.8183884176106633</v>
      </c>
      <c r="O57" s="33">
        <v>45</v>
      </c>
      <c r="P57" s="40">
        <v>-2.3275817538851426E-5</v>
      </c>
      <c r="Q57" s="40">
        <v>-0.31734645077279788</v>
      </c>
      <c r="R57" s="40">
        <v>-13.608378730610299</v>
      </c>
      <c r="S57" s="40">
        <v>-1.1667785283448496E-6</v>
      </c>
      <c r="T57" s="40">
        <v>-3.374953556983231E-2</v>
      </c>
      <c r="U57" s="40">
        <v>-9.4054705263913144E-2</v>
      </c>
      <c r="V57" s="40">
        <v>-8.5870749327706542E-3</v>
      </c>
      <c r="W57" s="40">
        <v>-3.6878987888499029</v>
      </c>
      <c r="X57" s="40">
        <v>-0.49271326961113826</v>
      </c>
      <c r="Y57" s="40">
        <v>-2157.4045120547103</v>
      </c>
      <c r="Z57" s="40">
        <v>-6.4007192881809796E-2</v>
      </c>
      <c r="AA57" s="40"/>
      <c r="AB57" s="40"/>
      <c r="AC57" s="40"/>
      <c r="AD57" s="40"/>
      <c r="AE57" s="40"/>
      <c r="AF57" s="40"/>
      <c r="AG57" s="40"/>
      <c r="AH57" s="40"/>
      <c r="AI57" s="40"/>
      <c r="AJ57" s="40"/>
      <c r="AK57" s="40"/>
      <c r="AL57" s="40"/>
      <c r="AM57" s="40"/>
      <c r="AN57" s="40"/>
      <c r="AO57" s="40"/>
      <c r="AP57" s="40"/>
      <c r="AQ57" s="40"/>
      <c r="AR57" s="40"/>
      <c r="AS57" s="40"/>
      <c r="AT57" s="40"/>
      <c r="AU57" s="40"/>
      <c r="AV57" s="313">
        <v>-4.9627648143226191</v>
      </c>
      <c r="AW57" s="317"/>
      <c r="AX57" s="317"/>
      <c r="AY57" s="313">
        <v>-714.18690746964057</v>
      </c>
      <c r="AZ57" s="40"/>
      <c r="BA57" s="40"/>
      <c r="BB57" s="40"/>
      <c r="BC57" s="40">
        <v>-7.6081936171385935</v>
      </c>
      <c r="BD57" s="40">
        <v>-3.0853375470418824E-4</v>
      </c>
      <c r="BE57" s="40">
        <v>-1.3194127783762082</v>
      </c>
      <c r="BF57" s="40">
        <v>-3.4178211500933935E-4</v>
      </c>
      <c r="BG57" s="40"/>
      <c r="BH57" s="40"/>
      <c r="BI57" s="40"/>
      <c r="BJ57" s="40"/>
      <c r="BK57" s="40"/>
      <c r="BL57" s="62">
        <v>0.5</v>
      </c>
      <c r="BM57" s="275">
        <v>2</v>
      </c>
      <c r="BN57" s="62">
        <v>0</v>
      </c>
      <c r="BO57" s="33" t="s">
        <v>485</v>
      </c>
    </row>
    <row r="58" spans="1:67">
      <c r="A58" s="33" t="str">
        <f>Database_Productkaarten[[#This Row],[Product]]&amp;", "&amp;Database_Productkaarten[[#This Row],[Levensfase]]</f>
        <v>AC bin/base 50% PR - PCR 1.0, D2</v>
      </c>
      <c r="B58" s="33" t="s">
        <v>488</v>
      </c>
      <c r="C58" s="33" t="s">
        <v>483</v>
      </c>
      <c r="D58" s="33" t="s">
        <v>381</v>
      </c>
      <c r="E58" s="33" t="s">
        <v>378</v>
      </c>
      <c r="F58" s="33" t="s">
        <v>88</v>
      </c>
      <c r="L58" s="33">
        <v>2.37</v>
      </c>
      <c r="M58" s="269">
        <v>1</v>
      </c>
      <c r="N58" s="41">
        <v>-0.73653994331702299</v>
      </c>
      <c r="O58" s="33">
        <v>45</v>
      </c>
      <c r="P58" s="40">
        <v>-6.0308971184229592E-6</v>
      </c>
      <c r="Q58" s="40">
        <v>-3.8995767532157409E-2</v>
      </c>
      <c r="R58" s="40">
        <v>-5.8263891657007836</v>
      </c>
      <c r="S58" s="40">
        <v>-9.3344698746176648E-7</v>
      </c>
      <c r="T58" s="40">
        <v>-3.7042048595276977E-3</v>
      </c>
      <c r="U58" s="40">
        <v>-4.5784859992533837E-2</v>
      </c>
      <c r="V58" s="40">
        <v>-8.6953028049425833E-3</v>
      </c>
      <c r="W58" s="40">
        <v>-1.7086032470533117</v>
      </c>
      <c r="X58" s="40">
        <v>-4.3353215850825966E-2</v>
      </c>
      <c r="Y58" s="40">
        <v>-146.36408279882264</v>
      </c>
      <c r="Z58" s="40">
        <v>-7.2302940652563766E-3</v>
      </c>
      <c r="AA58" s="40"/>
      <c r="AB58" s="40"/>
      <c r="AC58" s="40"/>
      <c r="AD58" s="40"/>
      <c r="AE58" s="40"/>
      <c r="AF58" s="40"/>
      <c r="AG58" s="40"/>
      <c r="AH58" s="40"/>
      <c r="AI58" s="40"/>
      <c r="AJ58" s="40"/>
      <c r="AK58" s="40"/>
      <c r="AL58" s="40"/>
      <c r="AM58" s="40"/>
      <c r="AN58" s="40"/>
      <c r="AO58" s="40"/>
      <c r="AP58" s="40"/>
      <c r="AQ58" s="40"/>
      <c r="AR58" s="40"/>
      <c r="AS58" s="40"/>
      <c r="AT58" s="40"/>
      <c r="AU58" s="40"/>
      <c r="AV58" s="313">
        <v>-1.58253882956501</v>
      </c>
      <c r="AW58" s="317"/>
      <c r="AX58" s="317"/>
      <c r="AY58" s="313">
        <v>-86.510064298476365</v>
      </c>
      <c r="AZ58" s="40"/>
      <c r="BA58" s="40"/>
      <c r="BB58" s="40"/>
      <c r="BC58" s="40">
        <v>-1.9239628836175558E-2</v>
      </c>
      <c r="BD58" s="40">
        <v>-5.8809729974583837E-5</v>
      </c>
      <c r="BE58" s="40">
        <v>-1.3860592307193091</v>
      </c>
      <c r="BF58" s="40">
        <v>-5.4017438281904961E-4</v>
      </c>
      <c r="BG58" s="40"/>
      <c r="BH58" s="40"/>
      <c r="BI58" s="40"/>
      <c r="BJ58" s="40"/>
      <c r="BK58" s="40"/>
      <c r="BL58" s="62">
        <v>0.5</v>
      </c>
      <c r="BM58" s="275">
        <v>2</v>
      </c>
      <c r="BN58" s="62">
        <v>0</v>
      </c>
      <c r="BO58" s="33" t="s">
        <v>485</v>
      </c>
    </row>
    <row r="59" spans="1:67">
      <c r="A59" s="33" t="str">
        <f>Database_Productkaarten[[#This Row],[Product]]&amp;", "&amp;Database_Productkaarten[[#This Row],[Levensfase]]</f>
        <v>AC bin/base 50% PR G.M. - PCR 1.0, Totaal</v>
      </c>
      <c r="B59" s="33" t="s">
        <v>489</v>
      </c>
      <c r="C59" s="33" t="s">
        <v>483</v>
      </c>
      <c r="D59" s="33" t="s">
        <v>381</v>
      </c>
      <c r="E59" s="33" t="s">
        <v>378</v>
      </c>
      <c r="F59" s="33" t="s">
        <v>90</v>
      </c>
      <c r="L59" s="33">
        <v>2.37</v>
      </c>
      <c r="M59" s="269">
        <v>1</v>
      </c>
      <c r="N59" s="41">
        <v>5.5226189684149727</v>
      </c>
      <c r="O59" s="33">
        <v>45</v>
      </c>
      <c r="P59" s="40">
        <v>2.1750960204042194E-4</v>
      </c>
      <c r="Q59" s="40">
        <v>0.5598992927525438</v>
      </c>
      <c r="R59" s="40">
        <v>57.545512124475167</v>
      </c>
      <c r="S59" s="40">
        <v>8.2005912897565249E-6</v>
      </c>
      <c r="T59" s="40">
        <v>3.6132835464681747E-2</v>
      </c>
      <c r="U59" s="40">
        <v>0.17922608657944056</v>
      </c>
      <c r="V59" s="40">
        <v>2.9432726146366918E-2</v>
      </c>
      <c r="W59" s="40">
        <v>14.233395710493786</v>
      </c>
      <c r="X59" s="40">
        <v>0.57610406248741131</v>
      </c>
      <c r="Y59" s="40">
        <v>1979.6520090468778</v>
      </c>
      <c r="Z59" s="40">
        <v>8.7151035117157993E-2</v>
      </c>
      <c r="AA59" s="40"/>
      <c r="AB59" s="40"/>
      <c r="AC59" s="40"/>
      <c r="AD59" s="40"/>
      <c r="AE59" s="40"/>
      <c r="AF59" s="40"/>
      <c r="AG59" s="40"/>
      <c r="AH59" s="40"/>
      <c r="AI59" s="40"/>
      <c r="AJ59" s="40"/>
      <c r="AK59" s="40"/>
      <c r="AL59" s="40"/>
      <c r="AM59" s="40"/>
      <c r="AN59" s="40"/>
      <c r="AO59" s="40"/>
      <c r="AP59" s="40"/>
      <c r="AQ59" s="40"/>
      <c r="AR59" s="40"/>
      <c r="AS59" s="40"/>
      <c r="AT59" s="40"/>
      <c r="AU59" s="40"/>
      <c r="AV59" s="313">
        <v>16.269977780149247</v>
      </c>
      <c r="AW59" s="317"/>
      <c r="AX59" s="317"/>
      <c r="AY59" s="313">
        <v>1019.2238573978727</v>
      </c>
      <c r="AZ59" s="40"/>
      <c r="BA59" s="40"/>
      <c r="BB59" s="40"/>
      <c r="BC59" s="40">
        <v>3.1361253811501579</v>
      </c>
      <c r="BD59" s="40">
        <v>8.4509798928439491E-4</v>
      </c>
      <c r="BE59" s="40">
        <v>2.4983141194338701</v>
      </c>
      <c r="BF59" s="40">
        <v>2.0254527020592021E-3</v>
      </c>
      <c r="BG59" s="40"/>
      <c r="BH59" s="40"/>
      <c r="BI59" s="40"/>
      <c r="BJ59" s="40"/>
      <c r="BK59" s="40"/>
      <c r="BL59" s="62">
        <v>0.5</v>
      </c>
      <c r="BM59" s="275">
        <v>2</v>
      </c>
      <c r="BN59" s="62">
        <v>0</v>
      </c>
      <c r="BO59" s="33" t="s">
        <v>485</v>
      </c>
    </row>
    <row r="60" spans="1:67">
      <c r="A60" s="33" t="str">
        <f>Database_Productkaarten[[#This Row],[Product]]&amp;", "&amp;Database_Productkaarten[[#This Row],[Levensfase]]</f>
        <v>AC bin/base 50% PR G.M. - PCR 1.0, A1</v>
      </c>
      <c r="B60" s="33" t="s">
        <v>489</v>
      </c>
      <c r="C60" s="33" t="s">
        <v>483</v>
      </c>
      <c r="D60" s="33" t="s">
        <v>381</v>
      </c>
      <c r="E60" s="33" t="s">
        <v>378</v>
      </c>
      <c r="F60" s="33" t="s">
        <v>74</v>
      </c>
      <c r="L60" s="33">
        <v>2.37</v>
      </c>
      <c r="M60" s="269">
        <v>1</v>
      </c>
      <c r="N60" s="41">
        <v>3.3798859250000004</v>
      </c>
      <c r="O60" s="33">
        <v>45</v>
      </c>
      <c r="P60" s="40">
        <v>2.1021272640000001E-4</v>
      </c>
      <c r="Q60" s="40">
        <v>0.53352760870000004</v>
      </c>
      <c r="R60" s="40">
        <v>26.524688733999998</v>
      </c>
      <c r="S60" s="40">
        <v>2.9284034299999997E-6</v>
      </c>
      <c r="T60" s="40">
        <v>5.4660532080000004E-2</v>
      </c>
      <c r="U60" s="40">
        <v>0.16479905149999999</v>
      </c>
      <c r="V60" s="40">
        <v>1.6907420399999998E-2</v>
      </c>
      <c r="W60" s="40">
        <v>7.7583798870000003</v>
      </c>
      <c r="X60" s="40">
        <v>0.74087496890000004</v>
      </c>
      <c r="Y60" s="40">
        <v>3210.5699592599999</v>
      </c>
      <c r="Z60" s="40">
        <v>0.10222133410000001</v>
      </c>
      <c r="AA60" s="40"/>
      <c r="AB60" s="40"/>
      <c r="AC60" s="40"/>
      <c r="AD60" s="40"/>
      <c r="AE60" s="40"/>
      <c r="AF60" s="40"/>
      <c r="AG60" s="40"/>
      <c r="AH60" s="40"/>
      <c r="AI60" s="40"/>
      <c r="AJ60" s="40"/>
      <c r="AK60" s="40"/>
      <c r="AL60" s="40"/>
      <c r="AM60" s="40"/>
      <c r="AN60" s="40"/>
      <c r="AO60" s="40"/>
      <c r="AP60" s="40"/>
      <c r="AQ60" s="40"/>
      <c r="AR60" s="40"/>
      <c r="AS60" s="40"/>
      <c r="AT60" s="40"/>
      <c r="AU60" s="40"/>
      <c r="AV60" s="313">
        <v>14.729236710999999</v>
      </c>
      <c r="AW60" s="317"/>
      <c r="AX60" s="317"/>
      <c r="AY60" s="313">
        <v>1196.5067618210001</v>
      </c>
      <c r="AZ60" s="40"/>
      <c r="BA60" s="40"/>
      <c r="BB60" s="40"/>
      <c r="BC60" s="40">
        <v>10.690643267300002</v>
      </c>
      <c r="BD60" s="40">
        <v>5.5737838900000005E-4</v>
      </c>
      <c r="BE60" s="40">
        <v>2.7985033400000003</v>
      </c>
      <c r="BF60" s="40">
        <v>1.2372125340000002E-3</v>
      </c>
      <c r="BG60" s="40"/>
      <c r="BH60" s="40"/>
      <c r="BI60" s="40"/>
      <c r="BJ60" s="40"/>
      <c r="BK60" s="40"/>
      <c r="BL60" s="62">
        <v>0.5</v>
      </c>
      <c r="BM60" s="275">
        <v>2</v>
      </c>
      <c r="BN60" s="62">
        <v>0</v>
      </c>
      <c r="BO60" s="33" t="s">
        <v>485</v>
      </c>
    </row>
    <row r="61" spans="1:67">
      <c r="A61" s="33" t="str">
        <f>Database_Productkaarten[[#This Row],[Product]]&amp;", "&amp;Database_Productkaarten[[#This Row],[Levensfase]]</f>
        <v>AC bin/base 50% PR G.M. - PCR 1.0, A2</v>
      </c>
      <c r="B61" s="33" t="s">
        <v>489</v>
      </c>
      <c r="C61" s="33" t="s">
        <v>483</v>
      </c>
      <c r="D61" s="33" t="s">
        <v>381</v>
      </c>
      <c r="E61" s="33" t="s">
        <v>378</v>
      </c>
      <c r="F61" s="33" t="s">
        <v>75</v>
      </c>
      <c r="L61" s="33">
        <v>2.37</v>
      </c>
      <c r="M61" s="269">
        <v>1</v>
      </c>
      <c r="N61" s="41">
        <v>1.133268571875</v>
      </c>
      <c r="O61" s="33">
        <v>45</v>
      </c>
      <c r="P61" s="40">
        <v>9.1952835972500005E-6</v>
      </c>
      <c r="Q61" s="40">
        <v>5.991508133150001E-2</v>
      </c>
      <c r="R61" s="40">
        <v>8.9558495330400021</v>
      </c>
      <c r="S61" s="40">
        <v>1.43385225645E-6</v>
      </c>
      <c r="T61" s="40">
        <v>5.7005900225000012E-3</v>
      </c>
      <c r="U61" s="40">
        <v>7.0656663844000003E-2</v>
      </c>
      <c r="V61" s="40">
        <v>1.3392712330000001E-2</v>
      </c>
      <c r="W61" s="40">
        <v>2.6240903969599998</v>
      </c>
      <c r="X61" s="40">
        <v>6.6485449399999993E-2</v>
      </c>
      <c r="Y61" s="40">
        <v>224.513587446695</v>
      </c>
      <c r="Z61" s="40">
        <v>1.1110103947500002E-2</v>
      </c>
      <c r="AA61" s="40"/>
      <c r="AB61" s="40"/>
      <c r="AC61" s="40"/>
      <c r="AD61" s="40"/>
      <c r="AE61" s="40"/>
      <c r="AF61" s="40"/>
      <c r="AG61" s="40"/>
      <c r="AH61" s="40"/>
      <c r="AI61" s="40"/>
      <c r="AJ61" s="40"/>
      <c r="AK61" s="40"/>
      <c r="AL61" s="40"/>
      <c r="AM61" s="40"/>
      <c r="AN61" s="40"/>
      <c r="AO61" s="40"/>
      <c r="AP61" s="40"/>
      <c r="AQ61" s="40"/>
      <c r="AR61" s="40"/>
      <c r="AS61" s="40"/>
      <c r="AT61" s="40"/>
      <c r="AU61" s="40"/>
      <c r="AV61" s="313">
        <v>2.4371391367349999</v>
      </c>
      <c r="AW61" s="317"/>
      <c r="AX61" s="317"/>
      <c r="AY61" s="313">
        <v>132.91790234184498</v>
      </c>
      <c r="AZ61" s="40"/>
      <c r="BA61" s="40"/>
      <c r="BB61" s="40"/>
      <c r="BC61" s="40">
        <v>2.9590112697000001E-2</v>
      </c>
      <c r="BD61" s="40">
        <v>9.0384945955000008E-5</v>
      </c>
      <c r="BE61" s="40">
        <v>2.1022967323700001</v>
      </c>
      <c r="BF61" s="40">
        <v>8.2987884654999995E-4</v>
      </c>
      <c r="BG61" s="40"/>
      <c r="BH61" s="40"/>
      <c r="BI61" s="40"/>
      <c r="BJ61" s="40"/>
      <c r="BK61" s="40"/>
      <c r="BL61" s="62">
        <v>0.5</v>
      </c>
      <c r="BM61" s="275">
        <v>2</v>
      </c>
      <c r="BN61" s="62">
        <v>0</v>
      </c>
      <c r="BO61" s="33" t="s">
        <v>485</v>
      </c>
    </row>
    <row r="62" spans="1:67">
      <c r="A62" s="33" t="str">
        <f>Database_Productkaarten[[#This Row],[Product]]&amp;", "&amp;Database_Productkaarten[[#This Row],[Levensfase]]</f>
        <v>AC bin/base 50% PR G.M. - PCR 1.0, A3</v>
      </c>
      <c r="B62" s="33" t="s">
        <v>489</v>
      </c>
      <c r="C62" s="33" t="s">
        <v>483</v>
      </c>
      <c r="D62" s="33" t="s">
        <v>381</v>
      </c>
      <c r="E62" s="33" t="s">
        <v>378</v>
      </c>
      <c r="F62" s="33" t="s">
        <v>76</v>
      </c>
      <c r="L62" s="33">
        <v>2.37</v>
      </c>
      <c r="M62" s="269">
        <v>1</v>
      </c>
      <c r="N62" s="41">
        <v>1.6844533224676592</v>
      </c>
      <c r="O62" s="33">
        <v>45</v>
      </c>
      <c r="P62" s="40">
        <v>3.8283421204463268E-6</v>
      </c>
      <c r="Q62" s="40">
        <v>0.20310701192599909</v>
      </c>
      <c r="R62" s="40">
        <v>23.657752953746236</v>
      </c>
      <c r="S62" s="40">
        <v>2.7988178491131425E-6</v>
      </c>
      <c r="T62" s="40">
        <v>3.8296536315417314E-3</v>
      </c>
      <c r="U62" s="40">
        <v>2.3718441691887557E-2</v>
      </c>
      <c r="V62" s="40">
        <v>4.1264036540801605E-3</v>
      </c>
      <c r="W62" s="40">
        <v>3.5398775824369997</v>
      </c>
      <c r="X62" s="40">
        <v>2.2111582149375503E-2</v>
      </c>
      <c r="Y62" s="40">
        <v>89.565904193716037</v>
      </c>
      <c r="Z62" s="40">
        <v>1.8404194546724133E-2</v>
      </c>
      <c r="AA62" s="40"/>
      <c r="AB62" s="40"/>
      <c r="AC62" s="40"/>
      <c r="AD62" s="40"/>
      <c r="AE62" s="40"/>
      <c r="AF62" s="40"/>
      <c r="AG62" s="40"/>
      <c r="AH62" s="40"/>
      <c r="AI62" s="40"/>
      <c r="AJ62" s="40"/>
      <c r="AK62" s="40"/>
      <c r="AL62" s="40"/>
      <c r="AM62" s="40"/>
      <c r="AN62" s="40"/>
      <c r="AO62" s="40"/>
      <c r="AP62" s="40"/>
      <c r="AQ62" s="40"/>
      <c r="AR62" s="40"/>
      <c r="AS62" s="40"/>
      <c r="AT62" s="40"/>
      <c r="AU62" s="40"/>
      <c r="AV62" s="313">
        <v>5.2413429373018765</v>
      </c>
      <c r="AW62" s="317"/>
      <c r="AX62" s="317"/>
      <c r="AY62" s="313">
        <v>415.78848400314473</v>
      </c>
      <c r="AZ62" s="40"/>
      <c r="BA62" s="40"/>
      <c r="BB62" s="40"/>
      <c r="BC62" s="40">
        <v>3.4118539627923244E-2</v>
      </c>
      <c r="BD62" s="40">
        <v>5.3330183530816684E-4</v>
      </c>
      <c r="BE62" s="40">
        <v>0.2280671381593867</v>
      </c>
      <c r="BF62" s="40">
        <v>3.5162925933759052E-4</v>
      </c>
      <c r="BG62" s="40"/>
      <c r="BH62" s="40"/>
      <c r="BI62" s="40"/>
      <c r="BJ62" s="40"/>
      <c r="BK62" s="40"/>
      <c r="BL62" s="62">
        <v>0.5</v>
      </c>
      <c r="BM62" s="275">
        <v>2</v>
      </c>
      <c r="BN62" s="62">
        <v>0</v>
      </c>
      <c r="BO62" s="33" t="s">
        <v>485</v>
      </c>
    </row>
    <row r="63" spans="1:67">
      <c r="A63" s="33" t="str">
        <f>Database_Productkaarten[[#This Row],[Product]]&amp;", "&amp;Database_Productkaarten[[#This Row],[Levensfase]]</f>
        <v>AC bin/base 50% PR G.M. - PCR 1.0, A1-A3</v>
      </c>
      <c r="B63" s="33" t="str">
        <f>B62</f>
        <v>AC bin/base 50% PR G.M. - PCR 1.0</v>
      </c>
      <c r="C63" s="33" t="str">
        <f>C62</f>
        <v>Bitumineuze verhardingen</v>
      </c>
      <c r="D63" s="33" t="str">
        <f>D62</f>
        <v>AC bin/base</v>
      </c>
      <c r="E63" s="33" t="str">
        <f>E62</f>
        <v>Ton</v>
      </c>
      <c r="F63" s="33" t="s">
        <v>77</v>
      </c>
      <c r="L63" s="33">
        <f>L62</f>
        <v>2.37</v>
      </c>
      <c r="M63" s="45">
        <f>M62</f>
        <v>1</v>
      </c>
      <c r="N63" s="252">
        <f>SUM(N60:N62)</f>
        <v>6.1976078193426591</v>
      </c>
      <c r="O63" s="33">
        <f>O62</f>
        <v>45</v>
      </c>
      <c r="P63" s="40">
        <f>SUM(P60:P62)</f>
        <v>2.2323635211769633E-4</v>
      </c>
      <c r="Q63" s="40">
        <f t="shared" ref="Q63:BK63" si="8">SUM(Q60:Q62)</f>
        <v>0.79654970195749919</v>
      </c>
      <c r="R63" s="40">
        <f t="shared" si="8"/>
        <v>59.138291220786243</v>
      </c>
      <c r="S63" s="40">
        <f t="shared" si="8"/>
        <v>7.1610735355631424E-6</v>
      </c>
      <c r="T63" s="40">
        <f t="shared" si="8"/>
        <v>6.4190775734041736E-2</v>
      </c>
      <c r="U63" s="40">
        <f t="shared" si="8"/>
        <v>0.25917415703588759</v>
      </c>
      <c r="V63" s="40">
        <f t="shared" si="8"/>
        <v>3.4426536384080157E-2</v>
      </c>
      <c r="W63" s="40">
        <f t="shared" si="8"/>
        <v>13.922347866397001</v>
      </c>
      <c r="X63" s="40">
        <f t="shared" si="8"/>
        <v>0.82947200044937552</v>
      </c>
      <c r="Y63" s="40">
        <f t="shared" si="8"/>
        <v>3524.649450900411</v>
      </c>
      <c r="Z63" s="40">
        <f t="shared" si="8"/>
        <v>0.13173563259422413</v>
      </c>
      <c r="AA63" s="40">
        <f t="shared" si="8"/>
        <v>0</v>
      </c>
      <c r="AB63" s="40">
        <f t="shared" si="8"/>
        <v>0</v>
      </c>
      <c r="AC63" s="40">
        <f t="shared" si="8"/>
        <v>0</v>
      </c>
      <c r="AD63" s="40">
        <f t="shared" si="8"/>
        <v>0</v>
      </c>
      <c r="AE63" s="40">
        <f t="shared" si="8"/>
        <v>0</v>
      </c>
      <c r="AF63" s="40">
        <f t="shared" si="8"/>
        <v>0</v>
      </c>
      <c r="AG63" s="40">
        <f t="shared" si="8"/>
        <v>0</v>
      </c>
      <c r="AH63" s="40">
        <f t="shared" si="8"/>
        <v>0</v>
      </c>
      <c r="AI63" s="40">
        <f t="shared" si="8"/>
        <v>0</v>
      </c>
      <c r="AJ63" s="40">
        <f t="shared" si="8"/>
        <v>0</v>
      </c>
      <c r="AK63" s="40">
        <f t="shared" si="8"/>
        <v>0</v>
      </c>
      <c r="AL63" s="40">
        <f t="shared" si="8"/>
        <v>0</v>
      </c>
      <c r="AM63" s="40">
        <f t="shared" si="8"/>
        <v>0</v>
      </c>
      <c r="AN63" s="40">
        <f t="shared" si="8"/>
        <v>0</v>
      </c>
      <c r="AO63" s="40">
        <f t="shared" si="8"/>
        <v>0</v>
      </c>
      <c r="AP63" s="40">
        <f t="shared" si="8"/>
        <v>0</v>
      </c>
      <c r="AQ63" s="40">
        <f t="shared" si="8"/>
        <v>0</v>
      </c>
      <c r="AR63" s="40">
        <f t="shared" si="8"/>
        <v>0</v>
      </c>
      <c r="AS63" s="40">
        <f t="shared" si="8"/>
        <v>0</v>
      </c>
      <c r="AT63" s="40">
        <f t="shared" si="8"/>
        <v>0</v>
      </c>
      <c r="AU63" s="40">
        <f t="shared" si="8"/>
        <v>0</v>
      </c>
      <c r="AV63" s="317">
        <f t="shared" si="8"/>
        <v>22.407718785036874</v>
      </c>
      <c r="AW63" s="317">
        <f t="shared" si="8"/>
        <v>0</v>
      </c>
      <c r="AX63" s="317">
        <f t="shared" si="8"/>
        <v>0</v>
      </c>
      <c r="AY63" s="317">
        <f t="shared" si="8"/>
        <v>1745.2131481659899</v>
      </c>
      <c r="AZ63" s="40">
        <f t="shared" si="8"/>
        <v>0</v>
      </c>
      <c r="BA63" s="40">
        <f t="shared" si="8"/>
        <v>0</v>
      </c>
      <c r="BB63" s="40">
        <f t="shared" si="8"/>
        <v>0</v>
      </c>
      <c r="BC63" s="40">
        <f t="shared" si="8"/>
        <v>10.754351919624927</v>
      </c>
      <c r="BD63" s="40">
        <f t="shared" si="8"/>
        <v>1.1810651702631669E-3</v>
      </c>
      <c r="BE63" s="40">
        <f t="shared" si="8"/>
        <v>5.1288672105293864</v>
      </c>
      <c r="BF63" s="40">
        <f t="shared" si="8"/>
        <v>2.4187206398875905E-3</v>
      </c>
      <c r="BG63" s="40">
        <f t="shared" si="8"/>
        <v>0</v>
      </c>
      <c r="BH63" s="40">
        <f t="shared" si="8"/>
        <v>0</v>
      </c>
      <c r="BI63" s="40">
        <f t="shared" si="8"/>
        <v>0</v>
      </c>
      <c r="BJ63" s="40">
        <f t="shared" si="8"/>
        <v>0</v>
      </c>
      <c r="BK63" s="40">
        <f t="shared" si="8"/>
        <v>0</v>
      </c>
      <c r="BL63" s="62">
        <f>BL62</f>
        <v>0.5</v>
      </c>
      <c r="BM63" s="275">
        <f>BM62</f>
        <v>2</v>
      </c>
      <c r="BN63" s="62">
        <v>0</v>
      </c>
      <c r="BO63" s="33" t="str">
        <f>BO62</f>
        <v>TNO 2020 R10987 LCA Achtergrondrapport voor brancherepresentatieve Nederlandse asfaltmengsels 2020</v>
      </c>
    </row>
    <row r="64" spans="1:67">
      <c r="A64" s="33" t="str">
        <f>Database_Productkaarten[[#This Row],[Product]]&amp;", "&amp;Database_Productkaarten[[#This Row],[Levensfase]]</f>
        <v>AC bin/base 50% PR G.M. - PCR 1.0, A4</v>
      </c>
      <c r="B64" s="33" t="s">
        <v>489</v>
      </c>
      <c r="C64" s="33" t="s">
        <v>483</v>
      </c>
      <c r="D64" s="33" t="s">
        <v>381</v>
      </c>
      <c r="E64" s="33" t="s">
        <v>378</v>
      </c>
      <c r="F64" s="33" t="s">
        <v>78</v>
      </c>
      <c r="L64" s="33">
        <v>2.37</v>
      </c>
      <c r="M64" s="269">
        <v>1</v>
      </c>
      <c r="N64" s="41">
        <v>0.62892669999999995</v>
      </c>
      <c r="O64" s="33">
        <v>45</v>
      </c>
      <c r="P64" s="40">
        <v>1.0978337000000001E-5</v>
      </c>
      <c r="Q64" s="40">
        <v>4.3183727999999998E-2</v>
      </c>
      <c r="R64" s="40">
        <v>5.7021305</v>
      </c>
      <c r="S64" s="40">
        <v>1.1335356E-6</v>
      </c>
      <c r="T64" s="40">
        <v>3.5752850000000001E-3</v>
      </c>
      <c r="U64" s="40">
        <v>1.9151161E-2</v>
      </c>
      <c r="V64" s="40">
        <v>3.8023555000000001E-3</v>
      </c>
      <c r="W64" s="40">
        <v>2.0049337999999999</v>
      </c>
      <c r="X64" s="40">
        <v>0.12926487</v>
      </c>
      <c r="Y64" s="40">
        <v>338.63108999999997</v>
      </c>
      <c r="Z64" s="40">
        <v>1.1891815999999999E-2</v>
      </c>
      <c r="AA64" s="40"/>
      <c r="AB64" s="40"/>
      <c r="AC64" s="40"/>
      <c r="AD64" s="40"/>
      <c r="AE64" s="40"/>
      <c r="AF64" s="40"/>
      <c r="AG64" s="40"/>
      <c r="AH64" s="40"/>
      <c r="AI64" s="40"/>
      <c r="AJ64" s="40"/>
      <c r="AK64" s="40"/>
      <c r="AL64" s="40"/>
      <c r="AM64" s="40"/>
      <c r="AN64" s="40"/>
      <c r="AO64" s="40"/>
      <c r="AP64" s="40"/>
      <c r="AQ64" s="40"/>
      <c r="AR64" s="40"/>
      <c r="AS64" s="40"/>
      <c r="AT64" s="40"/>
      <c r="AU64" s="40"/>
      <c r="AV64" s="313">
        <v>0</v>
      </c>
      <c r="AW64" s="317"/>
      <c r="AX64" s="317"/>
      <c r="AY64" s="313">
        <v>0</v>
      </c>
      <c r="AZ64" s="40"/>
      <c r="BA64" s="40"/>
      <c r="BB64" s="40"/>
      <c r="BC64" s="40">
        <v>0</v>
      </c>
      <c r="BD64" s="40">
        <v>0</v>
      </c>
      <c r="BE64" s="40">
        <v>0</v>
      </c>
      <c r="BF64" s="40">
        <v>0</v>
      </c>
      <c r="BG64" s="40"/>
      <c r="BH64" s="40"/>
      <c r="BI64" s="40"/>
      <c r="BJ64" s="40"/>
      <c r="BK64" s="40"/>
      <c r="BL64" s="62">
        <v>0.5</v>
      </c>
      <c r="BM64" s="275">
        <v>2</v>
      </c>
      <c r="BN64" s="62">
        <v>0</v>
      </c>
      <c r="BO64" s="33" t="s">
        <v>485</v>
      </c>
    </row>
    <row r="65" spans="1:67">
      <c r="A65" s="33" t="str">
        <f>Database_Productkaarten[[#This Row],[Product]]&amp;", "&amp;Database_Productkaarten[[#This Row],[Levensfase]]</f>
        <v>AC bin/base 50% PR G.M. - PCR 1.0, A5</v>
      </c>
      <c r="B65" s="33" t="s">
        <v>489</v>
      </c>
      <c r="C65" s="33" t="s">
        <v>483</v>
      </c>
      <c r="D65" s="33" t="s">
        <v>381</v>
      </c>
      <c r="E65" s="33" t="s">
        <v>378</v>
      </c>
      <c r="F65" s="33" t="s">
        <v>79</v>
      </c>
      <c r="L65" s="33">
        <v>2.37</v>
      </c>
      <c r="M65" s="269">
        <v>1</v>
      </c>
      <c r="N65" s="41">
        <v>0.14272683999999999</v>
      </c>
      <c r="O65" s="33">
        <v>45</v>
      </c>
      <c r="P65" s="40">
        <v>3.5533946E-7</v>
      </c>
      <c r="Q65" s="40">
        <v>7.2947244E-3</v>
      </c>
      <c r="R65" s="40">
        <v>1.4092232</v>
      </c>
      <c r="S65" s="40">
        <v>1.9102853E-7</v>
      </c>
      <c r="T65" s="40">
        <v>5.2450969E-4</v>
      </c>
      <c r="U65" s="40">
        <v>5.7148863000000003E-3</v>
      </c>
      <c r="V65" s="40">
        <v>1.2824398000000001E-3</v>
      </c>
      <c r="W65" s="40">
        <v>0.3740175</v>
      </c>
      <c r="X65" s="40">
        <v>5.2905690000000002E-3</v>
      </c>
      <c r="Y65" s="40">
        <v>17.842372000000001</v>
      </c>
      <c r="Z65" s="40">
        <v>6.2808248999999996E-4</v>
      </c>
      <c r="AA65" s="40"/>
      <c r="AB65" s="40"/>
      <c r="AC65" s="40"/>
      <c r="AD65" s="40"/>
      <c r="AE65" s="40"/>
      <c r="AF65" s="40"/>
      <c r="AG65" s="40"/>
      <c r="AH65" s="40"/>
      <c r="AI65" s="40"/>
      <c r="AJ65" s="40"/>
      <c r="AK65" s="40"/>
      <c r="AL65" s="40"/>
      <c r="AM65" s="40"/>
      <c r="AN65" s="40"/>
      <c r="AO65" s="40"/>
      <c r="AP65" s="40"/>
      <c r="AQ65" s="40"/>
      <c r="AR65" s="40"/>
      <c r="AS65" s="40"/>
      <c r="AT65" s="40"/>
      <c r="AU65" s="40"/>
      <c r="AV65" s="313">
        <v>8.9215748999999997E-2</v>
      </c>
      <c r="AW65" s="317"/>
      <c r="AX65" s="317"/>
      <c r="AY65" s="313">
        <v>16.353563999999999</v>
      </c>
      <c r="AZ65" s="40"/>
      <c r="BA65" s="40"/>
      <c r="BB65" s="40"/>
      <c r="BC65" s="40">
        <v>2.0153547999999999E-3</v>
      </c>
      <c r="BD65" s="40">
        <v>6.8682951000000004E-6</v>
      </c>
      <c r="BE65" s="40">
        <v>1.6399804E-2</v>
      </c>
      <c r="BF65" s="40">
        <v>1.0697427E-4</v>
      </c>
      <c r="BG65" s="40"/>
      <c r="BH65" s="40"/>
      <c r="BI65" s="40"/>
      <c r="BJ65" s="40"/>
      <c r="BK65" s="40"/>
      <c r="BL65" s="62">
        <v>0.5</v>
      </c>
      <c r="BM65" s="275">
        <v>2</v>
      </c>
      <c r="BN65" s="62">
        <v>0</v>
      </c>
      <c r="BO65" s="33" t="s">
        <v>485</v>
      </c>
    </row>
    <row r="66" spans="1:67">
      <c r="A66" s="33" t="str">
        <f>Database_Productkaarten[[#This Row],[Product]]&amp;", "&amp;Database_Productkaarten[[#This Row],[Levensfase]]</f>
        <v>AC bin/base 50% PR G.M. - PCR 1.0, B1</v>
      </c>
      <c r="B66" s="33" t="s">
        <v>489</v>
      </c>
      <c r="C66" s="33" t="s">
        <v>483</v>
      </c>
      <c r="D66" s="33" t="s">
        <v>381</v>
      </c>
      <c r="E66" s="33" t="s">
        <v>378</v>
      </c>
      <c r="F66" s="33" t="s">
        <v>80</v>
      </c>
      <c r="L66" s="33">
        <v>2.37</v>
      </c>
      <c r="M66" s="269">
        <v>1</v>
      </c>
      <c r="N66" s="41">
        <v>0</v>
      </c>
      <c r="O66" s="33">
        <v>45</v>
      </c>
      <c r="P66" s="40">
        <v>0</v>
      </c>
      <c r="Q66" s="40">
        <v>0</v>
      </c>
      <c r="R66" s="40">
        <v>0</v>
      </c>
      <c r="S66" s="40">
        <v>0</v>
      </c>
      <c r="T66" s="40">
        <v>0</v>
      </c>
      <c r="U66" s="40">
        <v>0</v>
      </c>
      <c r="V66" s="40">
        <v>0</v>
      </c>
      <c r="W66" s="40">
        <v>0</v>
      </c>
      <c r="X66" s="40">
        <v>0</v>
      </c>
      <c r="Y66" s="40">
        <v>0</v>
      </c>
      <c r="Z66" s="40">
        <v>0</v>
      </c>
      <c r="AA66" s="40"/>
      <c r="AB66" s="40"/>
      <c r="AC66" s="40"/>
      <c r="AD66" s="40"/>
      <c r="AE66" s="40"/>
      <c r="AF66" s="40"/>
      <c r="AG66" s="40"/>
      <c r="AH66" s="40"/>
      <c r="AI66" s="40"/>
      <c r="AJ66" s="40"/>
      <c r="AK66" s="40"/>
      <c r="AL66" s="40"/>
      <c r="AM66" s="40"/>
      <c r="AN66" s="40"/>
      <c r="AO66" s="40"/>
      <c r="AP66" s="40"/>
      <c r="AQ66" s="40"/>
      <c r="AR66" s="40"/>
      <c r="AS66" s="40"/>
      <c r="AT66" s="40"/>
      <c r="AU66" s="40"/>
      <c r="AV66" s="313">
        <v>0</v>
      </c>
      <c r="AW66" s="317"/>
      <c r="AX66" s="317"/>
      <c r="AY66" s="313">
        <v>0</v>
      </c>
      <c r="AZ66" s="40"/>
      <c r="BA66" s="40"/>
      <c r="BB66" s="40"/>
      <c r="BC66" s="40">
        <v>0</v>
      </c>
      <c r="BD66" s="40">
        <v>0</v>
      </c>
      <c r="BE66" s="40">
        <v>0</v>
      </c>
      <c r="BF66" s="40">
        <v>0</v>
      </c>
      <c r="BG66" s="40"/>
      <c r="BH66" s="40"/>
      <c r="BI66" s="40"/>
      <c r="BJ66" s="40"/>
      <c r="BK66" s="40"/>
      <c r="BL66" s="62">
        <v>0.5</v>
      </c>
      <c r="BM66" s="275">
        <v>2</v>
      </c>
      <c r="BN66" s="62">
        <v>0</v>
      </c>
      <c r="BO66" s="33" t="s">
        <v>485</v>
      </c>
    </row>
    <row r="67" spans="1:67">
      <c r="A67" s="33" t="str">
        <f>Database_Productkaarten[[#This Row],[Product]]&amp;", "&amp;Database_Productkaarten[[#This Row],[Levensfase]]</f>
        <v>AC bin/base 50% PR G.M. - PCR 1.0, C1</v>
      </c>
      <c r="B67" s="33" t="s">
        <v>489</v>
      </c>
      <c r="C67" s="33" t="s">
        <v>483</v>
      </c>
      <c r="D67" s="33" t="s">
        <v>381</v>
      </c>
      <c r="E67" s="33" t="s">
        <v>378</v>
      </c>
      <c r="F67" s="33" t="s">
        <v>83</v>
      </c>
      <c r="L67" s="33">
        <v>2.37</v>
      </c>
      <c r="M67" s="269">
        <v>1</v>
      </c>
      <c r="N67" s="41">
        <v>0.31815712000000002</v>
      </c>
      <c r="O67" s="33">
        <v>45</v>
      </c>
      <c r="P67" s="40">
        <v>8.5503557000000004E-7</v>
      </c>
      <c r="Q67" s="40">
        <v>1.7552931000000001E-2</v>
      </c>
      <c r="R67" s="40">
        <v>3.3909432000000002</v>
      </c>
      <c r="S67" s="40">
        <v>4.5966240999999998E-7</v>
      </c>
      <c r="T67" s="40">
        <v>1.1229438E-3</v>
      </c>
      <c r="U67" s="40">
        <v>9.9389952999999996E-3</v>
      </c>
      <c r="V67" s="40">
        <v>2.0946338000000001E-3</v>
      </c>
      <c r="W67" s="40">
        <v>0.89075641999999999</v>
      </c>
      <c r="X67" s="40">
        <v>1.2730432E-2</v>
      </c>
      <c r="Y67" s="40">
        <v>42.933207000000003</v>
      </c>
      <c r="Z67" s="40">
        <v>1.5113234999999999E-3</v>
      </c>
      <c r="AA67" s="40"/>
      <c r="AB67" s="40"/>
      <c r="AC67" s="40"/>
      <c r="AD67" s="40"/>
      <c r="AE67" s="40"/>
      <c r="AF67" s="40"/>
      <c r="AG67" s="40"/>
      <c r="AH67" s="40"/>
      <c r="AI67" s="40"/>
      <c r="AJ67" s="40"/>
      <c r="AK67" s="40"/>
      <c r="AL67" s="40"/>
      <c r="AM67" s="40"/>
      <c r="AN67" s="40"/>
      <c r="AO67" s="40"/>
      <c r="AP67" s="40"/>
      <c r="AQ67" s="40"/>
      <c r="AR67" s="40"/>
      <c r="AS67" s="40"/>
      <c r="AT67" s="40"/>
      <c r="AU67" s="40"/>
      <c r="AV67" s="313">
        <v>0.21467539999999999</v>
      </c>
      <c r="AW67" s="317"/>
      <c r="AX67" s="317"/>
      <c r="AY67" s="313">
        <v>39.350763999999998</v>
      </c>
      <c r="AZ67" s="40"/>
      <c r="BA67" s="40"/>
      <c r="BB67" s="40"/>
      <c r="BC67" s="40">
        <v>4.8494475000000004E-3</v>
      </c>
      <c r="BD67" s="40">
        <v>1.6526835000000001E-5</v>
      </c>
      <c r="BE67" s="40">
        <v>3.9462029000000003E-2</v>
      </c>
      <c r="BF67" s="40">
        <v>2.5740684000000001E-4</v>
      </c>
      <c r="BG67" s="40"/>
      <c r="BH67" s="40"/>
      <c r="BI67" s="40"/>
      <c r="BJ67" s="40"/>
      <c r="BK67" s="40"/>
      <c r="BL67" s="62">
        <v>0.5</v>
      </c>
      <c r="BM67" s="275">
        <v>2</v>
      </c>
      <c r="BN67" s="62">
        <v>0</v>
      </c>
      <c r="BO67" s="33" t="s">
        <v>485</v>
      </c>
    </row>
    <row r="68" spans="1:67">
      <c r="A68" s="33" t="str">
        <f>Database_Productkaarten[[#This Row],[Product]]&amp;", "&amp;Database_Productkaarten[[#This Row],[Levensfase]]</f>
        <v>AC bin/base 50% PR G.M. - PCR 1.0, C2</v>
      </c>
      <c r="B68" s="33" t="s">
        <v>489</v>
      </c>
      <c r="C68" s="33" t="s">
        <v>483</v>
      </c>
      <c r="D68" s="33" t="s">
        <v>381</v>
      </c>
      <c r="E68" s="33" t="s">
        <v>378</v>
      </c>
      <c r="F68" s="33" t="s">
        <v>84</v>
      </c>
      <c r="L68" s="33">
        <v>2.37</v>
      </c>
      <c r="M68" s="269">
        <v>1</v>
      </c>
      <c r="N68" s="41">
        <v>0.62892669999999995</v>
      </c>
      <c r="O68" s="33">
        <v>45</v>
      </c>
      <c r="P68" s="40">
        <v>1.0978337000000001E-5</v>
      </c>
      <c r="Q68" s="40">
        <v>4.3183727999999998E-2</v>
      </c>
      <c r="R68" s="40">
        <v>5.7021305</v>
      </c>
      <c r="S68" s="40">
        <v>1.1335356E-6</v>
      </c>
      <c r="T68" s="40">
        <v>3.5752850000000001E-3</v>
      </c>
      <c r="U68" s="40">
        <v>1.9151161E-2</v>
      </c>
      <c r="V68" s="40">
        <v>3.8023555000000001E-3</v>
      </c>
      <c r="W68" s="40">
        <v>2.0049337999999999</v>
      </c>
      <c r="X68" s="40">
        <v>0.12926487</v>
      </c>
      <c r="Y68" s="40">
        <v>338.63108999999997</v>
      </c>
      <c r="Z68" s="40">
        <v>1.1891815999999999E-2</v>
      </c>
      <c r="AA68" s="40"/>
      <c r="AB68" s="40"/>
      <c r="AC68" s="40"/>
      <c r="AD68" s="40"/>
      <c r="AE68" s="40"/>
      <c r="AF68" s="40"/>
      <c r="AG68" s="40"/>
      <c r="AH68" s="40"/>
      <c r="AI68" s="40"/>
      <c r="AJ68" s="40"/>
      <c r="AK68" s="40"/>
      <c r="AL68" s="40"/>
      <c r="AM68" s="40"/>
      <c r="AN68" s="40"/>
      <c r="AO68" s="40"/>
      <c r="AP68" s="40"/>
      <c r="AQ68" s="40"/>
      <c r="AR68" s="40"/>
      <c r="AS68" s="40"/>
      <c r="AT68" s="40"/>
      <c r="AU68" s="40"/>
      <c r="AV68" s="313">
        <v>0</v>
      </c>
      <c r="AW68" s="317"/>
      <c r="AX68" s="317"/>
      <c r="AY68" s="313">
        <v>0</v>
      </c>
      <c r="AZ68" s="40"/>
      <c r="BA68" s="40"/>
      <c r="BB68" s="40"/>
      <c r="BC68" s="40">
        <v>0</v>
      </c>
      <c r="BD68" s="40">
        <v>0</v>
      </c>
      <c r="BE68" s="40">
        <v>0</v>
      </c>
      <c r="BF68" s="40">
        <v>0</v>
      </c>
      <c r="BG68" s="40"/>
      <c r="BH68" s="40"/>
      <c r="BI68" s="40"/>
      <c r="BJ68" s="40"/>
      <c r="BK68" s="40"/>
      <c r="BL68" s="62">
        <v>0.5</v>
      </c>
      <c r="BM68" s="275">
        <v>2</v>
      </c>
      <c r="BN68" s="62">
        <v>0</v>
      </c>
      <c r="BO68" s="33" t="s">
        <v>485</v>
      </c>
    </row>
    <row r="69" spans="1:67">
      <c r="A69" s="33" t="str">
        <f>Database_Productkaarten[[#This Row],[Product]]&amp;", "&amp;Database_Productkaarten[[#This Row],[Levensfase]]</f>
        <v>AC bin/base 50% PR G.M. - PCR 1.0, C3</v>
      </c>
      <c r="B69" s="33" t="s">
        <v>489</v>
      </c>
      <c r="C69" s="33" t="s">
        <v>483</v>
      </c>
      <c r="D69" s="33" t="s">
        <v>381</v>
      </c>
      <c r="E69" s="33" t="s">
        <v>378</v>
      </c>
      <c r="F69" s="33" t="s">
        <v>85</v>
      </c>
      <c r="L69" s="33">
        <v>2.37</v>
      </c>
      <c r="M69" s="269">
        <v>1</v>
      </c>
      <c r="N69" s="41">
        <v>0.16120214999999999</v>
      </c>
      <c r="O69" s="33">
        <v>45</v>
      </c>
      <c r="P69" s="40">
        <v>4.1291555000000003E-7</v>
      </c>
      <c r="Q69" s="40">
        <v>8.4766977000000007E-3</v>
      </c>
      <c r="R69" s="40">
        <v>1.6375614000000001</v>
      </c>
      <c r="S69" s="40">
        <v>2.2198113E-7</v>
      </c>
      <c r="T69" s="40">
        <v>5.9777666999999998E-4</v>
      </c>
      <c r="U69" s="40">
        <v>5.9352911999999997E-3</v>
      </c>
      <c r="V69" s="40">
        <v>1.3067828999999999E-3</v>
      </c>
      <c r="W69" s="40">
        <v>0.43290835999999999</v>
      </c>
      <c r="X69" s="40">
        <v>6.1478065000000002E-3</v>
      </c>
      <c r="Y69" s="40">
        <v>20.733394000000001</v>
      </c>
      <c r="Z69" s="40">
        <v>7.2985148000000004E-4</v>
      </c>
      <c r="AA69" s="40"/>
      <c r="AB69" s="40"/>
      <c r="AC69" s="40"/>
      <c r="AD69" s="40"/>
      <c r="AE69" s="40"/>
      <c r="AF69" s="40"/>
      <c r="AG69" s="40"/>
      <c r="AH69" s="40"/>
      <c r="AI69" s="40"/>
      <c r="AJ69" s="40"/>
      <c r="AK69" s="40"/>
      <c r="AL69" s="40"/>
      <c r="AM69" s="40"/>
      <c r="AN69" s="40"/>
      <c r="AO69" s="40"/>
      <c r="AP69" s="40"/>
      <c r="AQ69" s="40"/>
      <c r="AR69" s="40"/>
      <c r="AS69" s="40"/>
      <c r="AT69" s="40"/>
      <c r="AU69" s="40"/>
      <c r="AV69" s="313">
        <v>0.10367149000000001</v>
      </c>
      <c r="AW69" s="317"/>
      <c r="AX69" s="317"/>
      <c r="AY69" s="313">
        <v>19.003353000000001</v>
      </c>
      <c r="AZ69" s="40"/>
      <c r="BA69" s="40"/>
      <c r="BB69" s="40"/>
      <c r="BC69" s="40">
        <v>2.3419052000000001E-3</v>
      </c>
      <c r="BD69" s="40">
        <v>7.9811735999999999E-6</v>
      </c>
      <c r="BE69" s="40">
        <v>1.9057085000000001E-2</v>
      </c>
      <c r="BF69" s="40">
        <v>1.2430745000000001E-4</v>
      </c>
      <c r="BG69" s="40"/>
      <c r="BH69" s="40"/>
      <c r="BI69" s="40"/>
      <c r="BJ69" s="40"/>
      <c r="BK69" s="40"/>
      <c r="BL69" s="62">
        <v>0.5</v>
      </c>
      <c r="BM69" s="275">
        <v>2</v>
      </c>
      <c r="BN69" s="62">
        <v>0</v>
      </c>
      <c r="BO69" s="33" t="s">
        <v>485</v>
      </c>
    </row>
    <row r="70" spans="1:67">
      <c r="A70" s="33" t="str">
        <f>Database_Productkaarten[[#This Row],[Product]]&amp;", "&amp;Database_Productkaarten[[#This Row],[Levensfase]]</f>
        <v>AC bin/base 50% PR G.M. - PCR 1.0, D</v>
      </c>
      <c r="B70" s="33" t="str">
        <f>B71</f>
        <v>AC bin/base 50% PR G.M. - PCR 1.0</v>
      </c>
      <c r="C70" s="33" t="str">
        <f>C71</f>
        <v>Bitumineuze verhardingen</v>
      </c>
      <c r="D70" s="33" t="str">
        <f>D71</f>
        <v>AC bin/base</v>
      </c>
      <c r="E70" s="33" t="str">
        <f>E71</f>
        <v>Ton</v>
      </c>
      <c r="F70" s="33" t="s">
        <v>89</v>
      </c>
      <c r="L70" s="33">
        <f>L71</f>
        <v>2.37</v>
      </c>
      <c r="M70" s="45">
        <f>M71</f>
        <v>1</v>
      </c>
      <c r="N70" s="41">
        <f>SUM(N71:N72)</f>
        <v>-2.5549283609276867</v>
      </c>
      <c r="O70" s="33">
        <f>O71</f>
        <v>45</v>
      </c>
      <c r="P70" s="40">
        <f>SUM(P71:P72)</f>
        <v>-2.9306714657274386E-5</v>
      </c>
      <c r="Q70" s="40">
        <f>SUM(Q71:Q72)</f>
        <v>-0.35634221830495527</v>
      </c>
      <c r="R70" s="40">
        <f>SUM(R71:R72)</f>
        <v>-19.434767896311083</v>
      </c>
      <c r="S70" s="40">
        <f t="shared" ref="S70:BK70" si="9">SUM(S71:S72)</f>
        <v>-2.1002255158066161E-6</v>
      </c>
      <c r="T70" s="40">
        <f t="shared" si="9"/>
        <v>-3.7453740429359998E-2</v>
      </c>
      <c r="U70" s="40">
        <f t="shared" si="9"/>
        <v>-0.139839565256447</v>
      </c>
      <c r="V70" s="40">
        <f t="shared" si="9"/>
        <v>-1.7282377737713239E-2</v>
      </c>
      <c r="W70" s="40">
        <f t="shared" si="9"/>
        <v>-5.3965020359032145</v>
      </c>
      <c r="X70" s="40">
        <f t="shared" si="9"/>
        <v>-0.53606648546196423</v>
      </c>
      <c r="Y70" s="40">
        <f t="shared" si="9"/>
        <v>-2303.7685948535327</v>
      </c>
      <c r="Z70" s="40">
        <f t="shared" si="9"/>
        <v>-7.1237486947066178E-2</v>
      </c>
      <c r="AA70" s="40">
        <f t="shared" si="9"/>
        <v>0</v>
      </c>
      <c r="AB70" s="40">
        <f t="shared" si="9"/>
        <v>0</v>
      </c>
      <c r="AC70" s="40">
        <f t="shared" si="9"/>
        <v>0</v>
      </c>
      <c r="AD70" s="40">
        <f t="shared" si="9"/>
        <v>0</v>
      </c>
      <c r="AE70" s="40">
        <f t="shared" si="9"/>
        <v>0</v>
      </c>
      <c r="AF70" s="40">
        <f t="shared" si="9"/>
        <v>0</v>
      </c>
      <c r="AG70" s="40">
        <f t="shared" si="9"/>
        <v>0</v>
      </c>
      <c r="AH70" s="40">
        <f t="shared" si="9"/>
        <v>0</v>
      </c>
      <c r="AI70" s="40">
        <f t="shared" si="9"/>
        <v>0</v>
      </c>
      <c r="AJ70" s="40">
        <f t="shared" si="9"/>
        <v>0</v>
      </c>
      <c r="AK70" s="40">
        <f t="shared" si="9"/>
        <v>0</v>
      </c>
      <c r="AL70" s="40">
        <f t="shared" si="9"/>
        <v>0</v>
      </c>
      <c r="AM70" s="40">
        <f t="shared" si="9"/>
        <v>0</v>
      </c>
      <c r="AN70" s="40">
        <f t="shared" si="9"/>
        <v>0</v>
      </c>
      <c r="AO70" s="40">
        <f t="shared" si="9"/>
        <v>0</v>
      </c>
      <c r="AP70" s="40">
        <f t="shared" si="9"/>
        <v>0</v>
      </c>
      <c r="AQ70" s="40">
        <f t="shared" si="9"/>
        <v>0</v>
      </c>
      <c r="AR70" s="40">
        <f t="shared" si="9"/>
        <v>0</v>
      </c>
      <c r="AS70" s="40">
        <f t="shared" si="9"/>
        <v>0</v>
      </c>
      <c r="AT70" s="40">
        <f t="shared" si="9"/>
        <v>0</v>
      </c>
      <c r="AU70" s="40">
        <f t="shared" si="9"/>
        <v>0</v>
      </c>
      <c r="AV70" s="317">
        <f t="shared" si="9"/>
        <v>-6.5453036438876282</v>
      </c>
      <c r="AW70" s="317">
        <f t="shared" si="9"/>
        <v>0</v>
      </c>
      <c r="AX70" s="317">
        <f t="shared" si="9"/>
        <v>0</v>
      </c>
      <c r="AY70" s="317">
        <f t="shared" si="9"/>
        <v>-800.6969717681169</v>
      </c>
      <c r="AZ70" s="40">
        <f t="shared" si="9"/>
        <v>0</v>
      </c>
      <c r="BA70" s="40">
        <f t="shared" si="9"/>
        <v>0</v>
      </c>
      <c r="BB70" s="40">
        <f t="shared" si="9"/>
        <v>0</v>
      </c>
      <c r="BC70" s="40">
        <f t="shared" si="9"/>
        <v>-7.6274332459747702</v>
      </c>
      <c r="BD70" s="40">
        <f t="shared" si="9"/>
        <v>-3.6734348467877201E-4</v>
      </c>
      <c r="BE70" s="40">
        <f t="shared" si="9"/>
        <v>-2.7054720090955175</v>
      </c>
      <c r="BF70" s="40">
        <f t="shared" si="9"/>
        <v>-8.819564978283889E-4</v>
      </c>
      <c r="BG70" s="40">
        <f t="shared" si="9"/>
        <v>0</v>
      </c>
      <c r="BH70" s="40">
        <f t="shared" si="9"/>
        <v>0</v>
      </c>
      <c r="BI70" s="40">
        <f t="shared" si="9"/>
        <v>0</v>
      </c>
      <c r="BJ70" s="40">
        <f t="shared" si="9"/>
        <v>0</v>
      </c>
      <c r="BK70" s="40">
        <f t="shared" si="9"/>
        <v>0</v>
      </c>
      <c r="BL70" s="62">
        <f>BL71</f>
        <v>0.5</v>
      </c>
      <c r="BM70" s="275">
        <f>BM71</f>
        <v>2</v>
      </c>
      <c r="BN70" s="62">
        <v>0</v>
      </c>
      <c r="BO70" s="33" t="str">
        <f>BO71</f>
        <v>TNO 2020 R10987 LCA Achtergrondrapport voor brancherepresentatieve Nederlandse asfaltmengsels 2020</v>
      </c>
    </row>
    <row r="71" spans="1:67">
      <c r="A71" s="33" t="str">
        <f>Database_Productkaarten[[#This Row],[Product]]&amp;", "&amp;Database_Productkaarten[[#This Row],[Levensfase]]</f>
        <v>AC bin/base 50% PR G.M. - PCR 1.0, D1</v>
      </c>
      <c r="B71" s="33" t="s">
        <v>489</v>
      </c>
      <c r="C71" s="33" t="s">
        <v>483</v>
      </c>
      <c r="D71" s="33" t="s">
        <v>381</v>
      </c>
      <c r="E71" s="33" t="s">
        <v>378</v>
      </c>
      <c r="F71" s="33" t="s">
        <v>87</v>
      </c>
      <c r="L71" s="33">
        <v>2.37</v>
      </c>
      <c r="M71" s="269">
        <v>1</v>
      </c>
      <c r="N71" s="41">
        <v>-1.8183884176106637</v>
      </c>
      <c r="O71" s="33">
        <v>45</v>
      </c>
      <c r="P71" s="40">
        <v>-2.3275817538851426E-5</v>
      </c>
      <c r="Q71" s="40">
        <v>-0.31734645077279788</v>
      </c>
      <c r="R71" s="40">
        <v>-13.608378730610299</v>
      </c>
      <c r="S71" s="40">
        <v>-1.1667785283448496E-6</v>
      </c>
      <c r="T71" s="40">
        <v>-3.3749535569832304E-2</v>
      </c>
      <c r="U71" s="40">
        <v>-9.4054705263913158E-2</v>
      </c>
      <c r="V71" s="40">
        <v>-8.5870749327706542E-3</v>
      </c>
      <c r="W71" s="40">
        <v>-3.6878987888499033</v>
      </c>
      <c r="X71" s="40">
        <v>-0.49271326961113826</v>
      </c>
      <c r="Y71" s="40">
        <v>-2157.4045120547103</v>
      </c>
      <c r="Z71" s="40">
        <v>-6.4007192881809796E-2</v>
      </c>
      <c r="AA71" s="40"/>
      <c r="AB71" s="40"/>
      <c r="AC71" s="40"/>
      <c r="AD71" s="40"/>
      <c r="AE71" s="40"/>
      <c r="AF71" s="40"/>
      <c r="AG71" s="40"/>
      <c r="AH71" s="40"/>
      <c r="AI71" s="40"/>
      <c r="AJ71" s="40"/>
      <c r="AK71" s="40"/>
      <c r="AL71" s="40"/>
      <c r="AM71" s="40"/>
      <c r="AN71" s="40"/>
      <c r="AO71" s="40"/>
      <c r="AP71" s="40"/>
      <c r="AQ71" s="40"/>
      <c r="AR71" s="40"/>
      <c r="AS71" s="40"/>
      <c r="AT71" s="40"/>
      <c r="AU71" s="40"/>
      <c r="AV71" s="313">
        <v>-4.9627648143226182</v>
      </c>
      <c r="AW71" s="317"/>
      <c r="AX71" s="317"/>
      <c r="AY71" s="313">
        <v>-714.18690746964057</v>
      </c>
      <c r="AZ71" s="40"/>
      <c r="BA71" s="40"/>
      <c r="BB71" s="40"/>
      <c r="BC71" s="40">
        <v>-7.6081936171385944</v>
      </c>
      <c r="BD71" s="40">
        <v>-3.0853375470418819E-4</v>
      </c>
      <c r="BE71" s="40">
        <v>-1.3194127783762082</v>
      </c>
      <c r="BF71" s="40">
        <v>-3.4178211500933935E-4</v>
      </c>
      <c r="BG71" s="40"/>
      <c r="BH71" s="40"/>
      <c r="BI71" s="40"/>
      <c r="BJ71" s="40"/>
      <c r="BK71" s="40"/>
      <c r="BL71" s="62">
        <v>0.5</v>
      </c>
      <c r="BM71" s="275">
        <v>2</v>
      </c>
      <c r="BN71" s="62">
        <v>0</v>
      </c>
      <c r="BO71" s="33" t="s">
        <v>485</v>
      </c>
    </row>
    <row r="72" spans="1:67">
      <c r="A72" s="33" t="str">
        <f>Database_Productkaarten[[#This Row],[Product]]&amp;", "&amp;Database_Productkaarten[[#This Row],[Levensfase]]</f>
        <v>AC bin/base 50% PR G.M. - PCR 1.0, D2</v>
      </c>
      <c r="B72" s="33" t="s">
        <v>489</v>
      </c>
      <c r="C72" s="33" t="s">
        <v>483</v>
      </c>
      <c r="D72" s="33" t="s">
        <v>381</v>
      </c>
      <c r="E72" s="33" t="s">
        <v>378</v>
      </c>
      <c r="F72" s="33" t="s">
        <v>88</v>
      </c>
      <c r="L72" s="33">
        <v>2.37</v>
      </c>
      <c r="M72" s="269">
        <v>1</v>
      </c>
      <c r="N72" s="41">
        <v>-0.73653994331702299</v>
      </c>
      <c r="O72" s="33">
        <v>45</v>
      </c>
      <c r="P72" s="40">
        <v>-6.0308971184229592E-6</v>
      </c>
      <c r="Q72" s="40">
        <v>-3.8995767532157409E-2</v>
      </c>
      <c r="R72" s="40">
        <v>-5.8263891657007836</v>
      </c>
      <c r="S72" s="40">
        <v>-9.3344698746176648E-7</v>
      </c>
      <c r="T72" s="40">
        <v>-3.7042048595276977E-3</v>
      </c>
      <c r="U72" s="40">
        <v>-4.5784859992533837E-2</v>
      </c>
      <c r="V72" s="40">
        <v>-8.6953028049425833E-3</v>
      </c>
      <c r="W72" s="40">
        <v>-1.7086032470533117</v>
      </c>
      <c r="X72" s="40">
        <v>-4.3353215850825966E-2</v>
      </c>
      <c r="Y72" s="40">
        <v>-146.36408279882264</v>
      </c>
      <c r="Z72" s="40">
        <v>-7.2302940652563766E-3</v>
      </c>
      <c r="AA72" s="40"/>
      <c r="AB72" s="40"/>
      <c r="AC72" s="40"/>
      <c r="AD72" s="40"/>
      <c r="AE72" s="40"/>
      <c r="AF72" s="40"/>
      <c r="AG72" s="40"/>
      <c r="AH72" s="40"/>
      <c r="AI72" s="40"/>
      <c r="AJ72" s="40"/>
      <c r="AK72" s="40"/>
      <c r="AL72" s="40"/>
      <c r="AM72" s="40"/>
      <c r="AN72" s="40"/>
      <c r="AO72" s="40"/>
      <c r="AP72" s="40"/>
      <c r="AQ72" s="40"/>
      <c r="AR72" s="40"/>
      <c r="AS72" s="40"/>
      <c r="AT72" s="40"/>
      <c r="AU72" s="40"/>
      <c r="AV72" s="313">
        <v>-1.58253882956501</v>
      </c>
      <c r="AW72" s="317"/>
      <c r="AX72" s="317"/>
      <c r="AY72" s="313">
        <v>-86.510064298476365</v>
      </c>
      <c r="AZ72" s="40"/>
      <c r="BA72" s="40"/>
      <c r="BB72" s="40"/>
      <c r="BC72" s="40">
        <v>-1.9239628836175558E-2</v>
      </c>
      <c r="BD72" s="40">
        <v>-5.8809729974583837E-5</v>
      </c>
      <c r="BE72" s="40">
        <v>-1.3860592307193091</v>
      </c>
      <c r="BF72" s="40">
        <v>-5.4017438281904961E-4</v>
      </c>
      <c r="BG72" s="40"/>
      <c r="BH72" s="40"/>
      <c r="BI72" s="40"/>
      <c r="BJ72" s="40"/>
      <c r="BK72" s="40"/>
      <c r="BL72" s="62">
        <v>0.5</v>
      </c>
      <c r="BM72" s="275">
        <v>2</v>
      </c>
      <c r="BN72" s="62">
        <v>0</v>
      </c>
      <c r="BO72" s="33" t="s">
        <v>485</v>
      </c>
    </row>
    <row r="73" spans="1:67">
      <c r="A73" s="33" t="str">
        <f>Database_Productkaarten[[#This Row],[Product]]&amp;", "&amp;Database_Productkaarten[[#This Row],[Levensfase]]</f>
        <v>AC Surf 0% PR - PCR 1.0, Totaal</v>
      </c>
      <c r="B73" s="33" t="s">
        <v>490</v>
      </c>
      <c r="C73" s="33" t="s">
        <v>483</v>
      </c>
      <c r="D73" s="33" t="s">
        <v>377</v>
      </c>
      <c r="E73" s="33" t="s">
        <v>378</v>
      </c>
      <c r="F73" s="33" t="s">
        <v>90</v>
      </c>
      <c r="L73" s="33">
        <v>2.35</v>
      </c>
      <c r="M73" s="269">
        <v>1</v>
      </c>
      <c r="N73" s="41">
        <v>8.100916917850352</v>
      </c>
      <c r="O73" s="33">
        <v>14</v>
      </c>
      <c r="P73" s="40">
        <v>6.7503069885613864E-5</v>
      </c>
      <c r="Q73" s="40">
        <v>1.0309415516492644</v>
      </c>
      <c r="R73" s="40">
        <v>73.601907317692095</v>
      </c>
      <c r="S73" s="40">
        <v>8.9429362888725251E-6</v>
      </c>
      <c r="T73" s="40">
        <v>8.9253552700466809E-2</v>
      </c>
      <c r="U73" s="40">
        <v>0.34450239295087015</v>
      </c>
      <c r="V73" s="40">
        <v>4.2658889601183171E-2</v>
      </c>
      <c r="W73" s="40">
        <v>18.283886165550449</v>
      </c>
      <c r="X73" s="40">
        <v>1.7570817991561656</v>
      </c>
      <c r="Y73" s="40">
        <v>6054.2991185685387</v>
      </c>
      <c r="Z73" s="40">
        <v>0.19265922255049259</v>
      </c>
      <c r="AA73" s="40"/>
      <c r="AB73" s="40"/>
      <c r="AC73" s="40"/>
      <c r="AD73" s="40"/>
      <c r="AE73" s="40"/>
      <c r="AF73" s="40"/>
      <c r="AG73" s="40"/>
      <c r="AH73" s="40"/>
      <c r="AI73" s="40"/>
      <c r="AJ73" s="40"/>
      <c r="AK73" s="40"/>
      <c r="AL73" s="40"/>
      <c r="AM73" s="40"/>
      <c r="AN73" s="40"/>
      <c r="AO73" s="40"/>
      <c r="AP73" s="40"/>
      <c r="AQ73" s="40"/>
      <c r="AR73" s="40"/>
      <c r="AS73" s="40"/>
      <c r="AT73" s="40"/>
      <c r="AU73" s="40"/>
      <c r="AV73" s="313">
        <v>18.08625709445662</v>
      </c>
      <c r="AW73" s="317"/>
      <c r="AX73" s="317"/>
      <c r="AY73" s="313">
        <v>2086.2527986606069</v>
      </c>
      <c r="AZ73" s="40"/>
      <c r="BA73" s="40"/>
      <c r="BB73" s="40"/>
      <c r="BC73" s="40">
        <v>16.252804269681256</v>
      </c>
      <c r="BD73" s="40">
        <v>1.1494357518943236E-3</v>
      </c>
      <c r="BE73" s="40">
        <v>3.3044450313384979</v>
      </c>
      <c r="BF73" s="40">
        <v>1.9137521690372999E-3</v>
      </c>
      <c r="BG73" s="40"/>
      <c r="BH73" s="40"/>
      <c r="BI73" s="40"/>
      <c r="BJ73" s="40"/>
      <c r="BK73" s="40"/>
      <c r="BL73" s="62">
        <v>0</v>
      </c>
      <c r="BM73" s="275">
        <v>2</v>
      </c>
      <c r="BN73" s="62">
        <v>0</v>
      </c>
      <c r="BO73" s="33" t="s">
        <v>485</v>
      </c>
    </row>
    <row r="74" spans="1:67">
      <c r="A74" s="33" t="str">
        <f>Database_Productkaarten[[#This Row],[Product]]&amp;", "&amp;Database_Productkaarten[[#This Row],[Levensfase]]</f>
        <v>AC Surf 0% PR - PCR 1.0, A1</v>
      </c>
      <c r="B74" s="33" t="s">
        <v>490</v>
      </c>
      <c r="C74" s="33" t="s">
        <v>483</v>
      </c>
      <c r="D74" s="33" t="s">
        <v>377</v>
      </c>
      <c r="E74" s="33" t="s">
        <v>378</v>
      </c>
      <c r="F74" s="33" t="s">
        <v>74</v>
      </c>
      <c r="L74" s="33">
        <v>2.35</v>
      </c>
      <c r="M74" s="269">
        <v>1</v>
      </c>
      <c r="N74" s="41">
        <v>7.4658132340000005</v>
      </c>
      <c r="O74" s="33">
        <v>14</v>
      </c>
      <c r="P74" s="40">
        <v>8.5332144800000009E-5</v>
      </c>
      <c r="Q74" s="40">
        <v>1.3809773499</v>
      </c>
      <c r="R74" s="40">
        <v>55.140952557000006</v>
      </c>
      <c r="S74" s="40">
        <v>4.5123279900000001E-6</v>
      </c>
      <c r="T74" s="40">
        <v>0.14801811056</v>
      </c>
      <c r="U74" s="40">
        <v>0.39284897550000003</v>
      </c>
      <c r="V74" s="40">
        <v>3.4629650800000002E-2</v>
      </c>
      <c r="W74" s="40">
        <v>14.233369133</v>
      </c>
      <c r="X74" s="40">
        <v>2.1587464832999999</v>
      </c>
      <c r="Y74" s="40">
        <v>9465.1222186470004</v>
      </c>
      <c r="Z74" s="40">
        <v>0.27639761169999999</v>
      </c>
      <c r="AA74" s="40"/>
      <c r="AB74" s="40"/>
      <c r="AC74" s="40"/>
      <c r="AD74" s="40"/>
      <c r="AE74" s="40"/>
      <c r="AF74" s="40"/>
      <c r="AG74" s="40"/>
      <c r="AH74" s="40"/>
      <c r="AI74" s="40"/>
      <c r="AJ74" s="40"/>
      <c r="AK74" s="40"/>
      <c r="AL74" s="40"/>
      <c r="AM74" s="40"/>
      <c r="AN74" s="40"/>
      <c r="AO74" s="40"/>
      <c r="AP74" s="40"/>
      <c r="AQ74" s="40"/>
      <c r="AR74" s="40"/>
      <c r="AS74" s="40"/>
      <c r="AT74" s="40"/>
      <c r="AU74" s="40"/>
      <c r="AV74" s="313">
        <v>19.910733958000002</v>
      </c>
      <c r="AW74" s="317"/>
      <c r="AX74" s="317"/>
      <c r="AY74" s="313">
        <v>3118.0247890119999</v>
      </c>
      <c r="AZ74" s="40"/>
      <c r="BA74" s="40"/>
      <c r="BB74" s="40"/>
      <c r="BC74" s="40">
        <v>33.322222722100001</v>
      </c>
      <c r="BD74" s="40">
        <v>1.069733373E-3</v>
      </c>
      <c r="BE74" s="40">
        <v>3.1506667300000002</v>
      </c>
      <c r="BF74" s="40">
        <v>1.1337981180000001E-3</v>
      </c>
      <c r="BG74" s="40"/>
      <c r="BH74" s="40"/>
      <c r="BI74" s="40"/>
      <c r="BJ74" s="40"/>
      <c r="BK74" s="40"/>
      <c r="BL74" s="62">
        <v>0</v>
      </c>
      <c r="BM74" s="275">
        <v>2</v>
      </c>
      <c r="BN74" s="62">
        <v>0</v>
      </c>
      <c r="BO74" s="33" t="s">
        <v>485</v>
      </c>
    </row>
    <row r="75" spans="1:67">
      <c r="A75" s="33" t="str">
        <f>Database_Productkaarten[[#This Row],[Product]]&amp;", "&amp;Database_Productkaarten[[#This Row],[Levensfase]]</f>
        <v>AC Surf 0% PR - PCR 1.0, A2</v>
      </c>
      <c r="B75" s="33" t="s">
        <v>490</v>
      </c>
      <c r="C75" s="33" t="s">
        <v>483</v>
      </c>
      <c r="D75" s="33" t="s">
        <v>377</v>
      </c>
      <c r="E75" s="33" t="s">
        <v>378</v>
      </c>
      <c r="F75" s="33" t="s">
        <v>75</v>
      </c>
      <c r="L75" s="33">
        <v>2.35</v>
      </c>
      <c r="M75" s="269">
        <v>1</v>
      </c>
      <c r="N75" s="41">
        <v>2.7393857558250008</v>
      </c>
      <c r="O75" s="33">
        <v>14</v>
      </c>
      <c r="P75" s="40">
        <v>1.8490090033950002E-5</v>
      </c>
      <c r="Q75" s="40">
        <v>0.1274367225461</v>
      </c>
      <c r="R75" s="40">
        <v>18.627666669179998</v>
      </c>
      <c r="S75" s="40">
        <v>3.0335723029899996E-6</v>
      </c>
      <c r="T75" s="40">
        <v>1.4201976708700001E-2</v>
      </c>
      <c r="U75" s="40">
        <v>0.21031537546960002</v>
      </c>
      <c r="V75" s="40">
        <v>2.8731476857200001E-2</v>
      </c>
      <c r="W75" s="40">
        <v>6.61666717588</v>
      </c>
      <c r="X75" s="40">
        <v>0.15118794417599998</v>
      </c>
      <c r="Y75" s="40">
        <v>577.5016847979449</v>
      </c>
      <c r="Z75" s="40">
        <v>2.4635907337700005E-2</v>
      </c>
      <c r="AA75" s="40"/>
      <c r="AB75" s="40"/>
      <c r="AC75" s="40"/>
      <c r="AD75" s="40"/>
      <c r="AE75" s="40"/>
      <c r="AF75" s="40"/>
      <c r="AG75" s="40"/>
      <c r="AH75" s="40"/>
      <c r="AI75" s="40"/>
      <c r="AJ75" s="40"/>
      <c r="AK75" s="40"/>
      <c r="AL75" s="40"/>
      <c r="AM75" s="40"/>
      <c r="AN75" s="40"/>
      <c r="AO75" s="40"/>
      <c r="AP75" s="40"/>
      <c r="AQ75" s="40"/>
      <c r="AR75" s="40"/>
      <c r="AS75" s="40"/>
      <c r="AT75" s="40"/>
      <c r="AU75" s="40"/>
      <c r="AV75" s="313">
        <v>5.1652706683049994</v>
      </c>
      <c r="AW75" s="317"/>
      <c r="AX75" s="317"/>
      <c r="AY75" s="313">
        <v>282.53445500789502</v>
      </c>
      <c r="AZ75" s="40"/>
      <c r="BA75" s="40"/>
      <c r="BB75" s="40"/>
      <c r="BC75" s="40">
        <v>5.6923448071799998E-2</v>
      </c>
      <c r="BD75" s="40">
        <v>1.79156480277E-4</v>
      </c>
      <c r="BE75" s="40">
        <v>4.6820975916700016</v>
      </c>
      <c r="BF75" s="40">
        <v>1.75929121313E-3</v>
      </c>
      <c r="BG75" s="40"/>
      <c r="BH75" s="40"/>
      <c r="BI75" s="40"/>
      <c r="BJ75" s="40"/>
      <c r="BK75" s="40"/>
      <c r="BL75" s="62">
        <v>0</v>
      </c>
      <c r="BM75" s="275">
        <v>2</v>
      </c>
      <c r="BN75" s="62">
        <v>0</v>
      </c>
      <c r="BO75" s="33" t="s">
        <v>485</v>
      </c>
    </row>
    <row r="76" spans="1:67">
      <c r="A76" s="33" t="str">
        <f>Database_Productkaarten[[#This Row],[Product]]&amp;", "&amp;Database_Productkaarten[[#This Row],[Levensfase]]</f>
        <v>AC Surf 0% PR - PCR 1.0, A3</v>
      </c>
      <c r="B76" s="33" t="s">
        <v>490</v>
      </c>
      <c r="C76" s="33" t="s">
        <v>483</v>
      </c>
      <c r="D76" s="33" t="s">
        <v>377</v>
      </c>
      <c r="E76" s="33" t="s">
        <v>378</v>
      </c>
      <c r="F76" s="33" t="s">
        <v>76</v>
      </c>
      <c r="L76" s="33">
        <v>2.35</v>
      </c>
      <c r="M76" s="269">
        <v>1</v>
      </c>
      <c r="N76" s="41">
        <v>1.7340321317986724</v>
      </c>
      <c r="O76" s="33">
        <v>14</v>
      </c>
      <c r="P76" s="40">
        <v>5.086070991839545E-6</v>
      </c>
      <c r="Q76" s="40">
        <v>0.20487124413656413</v>
      </c>
      <c r="R76" s="40">
        <v>24.079934263136241</v>
      </c>
      <c r="S76" s="40">
        <v>2.7498441083506566E-6</v>
      </c>
      <c r="T76" s="40">
        <v>3.8984825961093385E-3</v>
      </c>
      <c r="U76" s="40">
        <v>2.6585664166204028E-2</v>
      </c>
      <c r="V76" s="40">
        <v>4.8449022266720864E-3</v>
      </c>
      <c r="W76" s="40">
        <v>3.6298877471357263</v>
      </c>
      <c r="X76" s="40">
        <v>2.5627109302998257E-2</v>
      </c>
      <c r="Y76" s="40">
        <v>104.43381012089762</v>
      </c>
      <c r="Z76" s="40">
        <v>2.5446211845927394E-2</v>
      </c>
      <c r="AA76" s="40"/>
      <c r="AB76" s="40"/>
      <c r="AC76" s="40"/>
      <c r="AD76" s="40"/>
      <c r="AE76" s="40"/>
      <c r="AF76" s="40"/>
      <c r="AG76" s="40"/>
      <c r="AH76" s="40"/>
      <c r="AI76" s="40"/>
      <c r="AJ76" s="40"/>
      <c r="AK76" s="40"/>
      <c r="AL76" s="40"/>
      <c r="AM76" s="40"/>
      <c r="AN76" s="40"/>
      <c r="AO76" s="40"/>
      <c r="AP76" s="40"/>
      <c r="AQ76" s="40"/>
      <c r="AR76" s="40"/>
      <c r="AS76" s="40"/>
      <c r="AT76" s="40"/>
      <c r="AU76" s="40"/>
      <c r="AV76" s="313">
        <v>7.3099127404099828</v>
      </c>
      <c r="AW76" s="317"/>
      <c r="AX76" s="317"/>
      <c r="AY76" s="313">
        <v>418.49620017789823</v>
      </c>
      <c r="AZ76" s="40"/>
      <c r="BA76" s="40"/>
      <c r="BB76" s="40"/>
      <c r="BC76" s="40">
        <v>4.8574502135439478E-2</v>
      </c>
      <c r="BD76" s="40">
        <v>5.6761205188831103E-4</v>
      </c>
      <c r="BE76" s="40">
        <v>0.27606619391001763</v>
      </c>
      <c r="BF76" s="40">
        <v>3.9174402877781777E-4</v>
      </c>
      <c r="BG76" s="40"/>
      <c r="BH76" s="40"/>
      <c r="BI76" s="40"/>
      <c r="BJ76" s="40"/>
      <c r="BK76" s="40"/>
      <c r="BL76" s="62">
        <v>0</v>
      </c>
      <c r="BM76" s="275">
        <v>2</v>
      </c>
      <c r="BN76" s="62">
        <v>0</v>
      </c>
      <c r="BO76" s="33" t="s">
        <v>485</v>
      </c>
    </row>
    <row r="77" spans="1:67">
      <c r="A77" s="33" t="str">
        <f>Database_Productkaarten[[#This Row],[Product]]&amp;", "&amp;Database_Productkaarten[[#This Row],[Levensfase]]</f>
        <v>AC Surf 0% PR - PCR 1.0, A1-A3</v>
      </c>
      <c r="B77" s="33" t="str">
        <f>B76</f>
        <v>AC Surf 0% PR - PCR 1.0</v>
      </c>
      <c r="C77" s="33" t="str">
        <f>C76</f>
        <v>Bitumineuze verhardingen</v>
      </c>
      <c r="D77" s="33" t="str">
        <f>D76</f>
        <v>AC surf</v>
      </c>
      <c r="E77" s="33" t="str">
        <f>E76</f>
        <v>Ton</v>
      </c>
      <c r="F77" s="33" t="s">
        <v>77</v>
      </c>
      <c r="L77" s="33">
        <f>L76</f>
        <v>2.35</v>
      </c>
      <c r="M77" s="45">
        <f>M76</f>
        <v>1</v>
      </c>
      <c r="N77" s="252">
        <f>SUM(N74:N76)</f>
        <v>11.939231121623674</v>
      </c>
      <c r="O77" s="33">
        <f>O76</f>
        <v>14</v>
      </c>
      <c r="P77" s="40">
        <f>SUM(P74:P76)</f>
        <v>1.0890830582578956E-4</v>
      </c>
      <c r="Q77" s="40">
        <f t="shared" ref="Q77:BK77" si="10">SUM(Q74:Q76)</f>
        <v>1.713285316582664</v>
      </c>
      <c r="R77" s="40">
        <f t="shared" si="10"/>
        <v>97.848553489316245</v>
      </c>
      <c r="S77" s="40">
        <f t="shared" si="10"/>
        <v>1.0295744401340655E-5</v>
      </c>
      <c r="T77" s="40">
        <f t="shared" si="10"/>
        <v>0.16611856986480933</v>
      </c>
      <c r="U77" s="40">
        <f t="shared" si="10"/>
        <v>0.62975001513580409</v>
      </c>
      <c r="V77" s="40">
        <f t="shared" si="10"/>
        <v>6.8206029883872088E-2</v>
      </c>
      <c r="W77" s="40">
        <f t="shared" si="10"/>
        <v>24.479924056015726</v>
      </c>
      <c r="X77" s="40">
        <f t="shared" si="10"/>
        <v>2.3355615367789979</v>
      </c>
      <c r="Y77" s="40">
        <f t="shared" si="10"/>
        <v>10147.057713565842</v>
      </c>
      <c r="Z77" s="40">
        <f t="shared" si="10"/>
        <v>0.32647973088362736</v>
      </c>
      <c r="AA77" s="40">
        <f t="shared" si="10"/>
        <v>0</v>
      </c>
      <c r="AB77" s="40">
        <f t="shared" si="10"/>
        <v>0</v>
      </c>
      <c r="AC77" s="40">
        <f t="shared" si="10"/>
        <v>0</v>
      </c>
      <c r="AD77" s="40">
        <f t="shared" si="10"/>
        <v>0</v>
      </c>
      <c r="AE77" s="40">
        <f t="shared" si="10"/>
        <v>0</v>
      </c>
      <c r="AF77" s="40">
        <f t="shared" si="10"/>
        <v>0</v>
      </c>
      <c r="AG77" s="40">
        <f t="shared" si="10"/>
        <v>0</v>
      </c>
      <c r="AH77" s="40">
        <f t="shared" si="10"/>
        <v>0</v>
      </c>
      <c r="AI77" s="40">
        <f t="shared" si="10"/>
        <v>0</v>
      </c>
      <c r="AJ77" s="40">
        <f t="shared" si="10"/>
        <v>0</v>
      </c>
      <c r="AK77" s="40">
        <f t="shared" si="10"/>
        <v>0</v>
      </c>
      <c r="AL77" s="40">
        <f t="shared" si="10"/>
        <v>0</v>
      </c>
      <c r="AM77" s="40">
        <f t="shared" si="10"/>
        <v>0</v>
      </c>
      <c r="AN77" s="40">
        <f t="shared" si="10"/>
        <v>0</v>
      </c>
      <c r="AO77" s="40">
        <f t="shared" si="10"/>
        <v>0</v>
      </c>
      <c r="AP77" s="40">
        <f t="shared" si="10"/>
        <v>0</v>
      </c>
      <c r="AQ77" s="40">
        <f t="shared" si="10"/>
        <v>0</v>
      </c>
      <c r="AR77" s="40">
        <f t="shared" si="10"/>
        <v>0</v>
      </c>
      <c r="AS77" s="40">
        <f t="shared" si="10"/>
        <v>0</v>
      </c>
      <c r="AT77" s="40">
        <f t="shared" si="10"/>
        <v>0</v>
      </c>
      <c r="AU77" s="40">
        <f t="shared" si="10"/>
        <v>0</v>
      </c>
      <c r="AV77" s="317">
        <f t="shared" si="10"/>
        <v>32.385917366714985</v>
      </c>
      <c r="AW77" s="317">
        <f t="shared" si="10"/>
        <v>0</v>
      </c>
      <c r="AX77" s="317">
        <f t="shared" si="10"/>
        <v>0</v>
      </c>
      <c r="AY77" s="317">
        <f t="shared" si="10"/>
        <v>3819.0554441977929</v>
      </c>
      <c r="AZ77" s="40">
        <f t="shared" si="10"/>
        <v>0</v>
      </c>
      <c r="BA77" s="40">
        <f t="shared" si="10"/>
        <v>0</v>
      </c>
      <c r="BB77" s="40">
        <f t="shared" si="10"/>
        <v>0</v>
      </c>
      <c r="BC77" s="40">
        <f t="shared" si="10"/>
        <v>33.427720672307238</v>
      </c>
      <c r="BD77" s="40">
        <f t="shared" si="10"/>
        <v>1.8165019051653111E-3</v>
      </c>
      <c r="BE77" s="40">
        <f t="shared" si="10"/>
        <v>8.1088305155800189</v>
      </c>
      <c r="BF77" s="40">
        <f t="shared" si="10"/>
        <v>3.2848333599078175E-3</v>
      </c>
      <c r="BG77" s="40">
        <f t="shared" si="10"/>
        <v>0</v>
      </c>
      <c r="BH77" s="40">
        <f t="shared" si="10"/>
        <v>0</v>
      </c>
      <c r="BI77" s="40">
        <f t="shared" si="10"/>
        <v>0</v>
      </c>
      <c r="BJ77" s="40">
        <f t="shared" si="10"/>
        <v>0</v>
      </c>
      <c r="BK77" s="40">
        <f t="shared" si="10"/>
        <v>0</v>
      </c>
      <c r="BL77" s="62">
        <f>BL76</f>
        <v>0</v>
      </c>
      <c r="BM77" s="275">
        <f>BM76</f>
        <v>2</v>
      </c>
      <c r="BN77" s="62">
        <v>0</v>
      </c>
      <c r="BO77" s="33" t="str">
        <f>BO76</f>
        <v>TNO 2020 R10987 LCA Achtergrondrapport voor brancherepresentatieve Nederlandse asfaltmengsels 2020</v>
      </c>
    </row>
    <row r="78" spans="1:67">
      <c r="A78" s="33" t="str">
        <f>Database_Productkaarten[[#This Row],[Product]]&amp;", "&amp;Database_Productkaarten[[#This Row],[Levensfase]]</f>
        <v>AC Surf 0% PR - PCR 1.0, A4</v>
      </c>
      <c r="B78" s="33" t="s">
        <v>490</v>
      </c>
      <c r="C78" s="33" t="s">
        <v>483</v>
      </c>
      <c r="D78" s="33" t="s">
        <v>377</v>
      </c>
      <c r="E78" s="33" t="s">
        <v>378</v>
      </c>
      <c r="F78" s="33" t="s">
        <v>78</v>
      </c>
      <c r="L78" s="33">
        <v>2.35</v>
      </c>
      <c r="M78" s="269">
        <v>1</v>
      </c>
      <c r="N78" s="41">
        <v>0.62892669999999995</v>
      </c>
      <c r="O78" s="33">
        <v>14</v>
      </c>
      <c r="P78" s="40">
        <v>1.0978337000000001E-5</v>
      </c>
      <c r="Q78" s="40">
        <v>4.3183727999999998E-2</v>
      </c>
      <c r="R78" s="40">
        <v>5.7021305</v>
      </c>
      <c r="S78" s="40">
        <v>1.1335356E-6</v>
      </c>
      <c r="T78" s="40">
        <v>3.5752850000000001E-3</v>
      </c>
      <c r="U78" s="40">
        <v>1.9151161E-2</v>
      </c>
      <c r="V78" s="40">
        <v>3.8023555000000001E-3</v>
      </c>
      <c r="W78" s="40">
        <v>2.0049337999999999</v>
      </c>
      <c r="X78" s="40">
        <v>0.12926487</v>
      </c>
      <c r="Y78" s="40">
        <v>338.63108999999997</v>
      </c>
      <c r="Z78" s="40">
        <v>1.1891815999999999E-2</v>
      </c>
      <c r="AA78" s="40"/>
      <c r="AB78" s="40"/>
      <c r="AC78" s="40"/>
      <c r="AD78" s="40"/>
      <c r="AE78" s="40"/>
      <c r="AF78" s="40"/>
      <c r="AG78" s="40"/>
      <c r="AH78" s="40"/>
      <c r="AI78" s="40"/>
      <c r="AJ78" s="40"/>
      <c r="AK78" s="40"/>
      <c r="AL78" s="40"/>
      <c r="AM78" s="40"/>
      <c r="AN78" s="40"/>
      <c r="AO78" s="40"/>
      <c r="AP78" s="40"/>
      <c r="AQ78" s="40"/>
      <c r="AR78" s="40"/>
      <c r="AS78" s="40"/>
      <c r="AT78" s="40"/>
      <c r="AU78" s="40"/>
      <c r="AV78" s="313">
        <v>0</v>
      </c>
      <c r="AW78" s="317"/>
      <c r="AX78" s="317"/>
      <c r="AY78" s="313">
        <v>0</v>
      </c>
      <c r="AZ78" s="40"/>
      <c r="BA78" s="40"/>
      <c r="BB78" s="40"/>
      <c r="BC78" s="40">
        <v>0</v>
      </c>
      <c r="BD78" s="40">
        <v>0</v>
      </c>
      <c r="BE78" s="40">
        <v>0</v>
      </c>
      <c r="BF78" s="40">
        <v>0</v>
      </c>
      <c r="BG78" s="40"/>
      <c r="BH78" s="40"/>
      <c r="BI78" s="40"/>
      <c r="BJ78" s="40"/>
      <c r="BK78" s="40"/>
      <c r="BL78" s="62">
        <v>0</v>
      </c>
      <c r="BM78" s="275">
        <v>2</v>
      </c>
      <c r="BN78" s="62">
        <v>0</v>
      </c>
      <c r="BO78" s="33" t="s">
        <v>485</v>
      </c>
    </row>
    <row r="79" spans="1:67">
      <c r="A79" s="33" t="str">
        <f>Database_Productkaarten[[#This Row],[Product]]&amp;", "&amp;Database_Productkaarten[[#This Row],[Levensfase]]</f>
        <v>AC Surf 0% PR - PCR 1.0, A5</v>
      </c>
      <c r="B79" s="33" t="s">
        <v>490</v>
      </c>
      <c r="C79" s="33" t="s">
        <v>483</v>
      </c>
      <c r="D79" s="33" t="s">
        <v>377</v>
      </c>
      <c r="E79" s="33" t="s">
        <v>378</v>
      </c>
      <c r="F79" s="33" t="s">
        <v>79</v>
      </c>
      <c r="L79" s="33">
        <v>2.35</v>
      </c>
      <c r="M79" s="269">
        <v>1</v>
      </c>
      <c r="N79" s="41">
        <v>0.26142994000000003</v>
      </c>
      <c r="O79" s="33">
        <v>14</v>
      </c>
      <c r="P79" s="40">
        <v>6.4405276999999999E-7</v>
      </c>
      <c r="Q79" s="40">
        <v>1.3221688000000001E-2</v>
      </c>
      <c r="R79" s="40">
        <v>2.554217</v>
      </c>
      <c r="S79" s="40">
        <v>3.4623921999999999E-7</v>
      </c>
      <c r="T79" s="40">
        <v>9.5560771999999997E-4</v>
      </c>
      <c r="U79" s="40">
        <v>1.0774331999999999E-2</v>
      </c>
      <c r="V79" s="40">
        <v>2.4326081999999998E-3</v>
      </c>
      <c r="W79" s="40">
        <v>0.67890231999999995</v>
      </c>
      <c r="X79" s="40">
        <v>9.5891563000000003E-3</v>
      </c>
      <c r="Y79" s="40">
        <v>32.339298999999997</v>
      </c>
      <c r="Z79" s="40">
        <v>1.1383995E-3</v>
      </c>
      <c r="AA79" s="40"/>
      <c r="AB79" s="40"/>
      <c r="AC79" s="40"/>
      <c r="AD79" s="40"/>
      <c r="AE79" s="40"/>
      <c r="AF79" s="40"/>
      <c r="AG79" s="40"/>
      <c r="AH79" s="40"/>
      <c r="AI79" s="40"/>
      <c r="AJ79" s="40"/>
      <c r="AK79" s="40"/>
      <c r="AL79" s="40"/>
      <c r="AM79" s="40"/>
      <c r="AN79" s="40"/>
      <c r="AO79" s="40"/>
      <c r="AP79" s="40"/>
      <c r="AQ79" s="40"/>
      <c r="AR79" s="40"/>
      <c r="AS79" s="40"/>
      <c r="AT79" s="40"/>
      <c r="AU79" s="40"/>
      <c r="AV79" s="313">
        <v>0.16170355</v>
      </c>
      <c r="AW79" s="317"/>
      <c r="AX79" s="317"/>
      <c r="AY79" s="313">
        <v>29.640834999999999</v>
      </c>
      <c r="AZ79" s="40"/>
      <c r="BA79" s="40"/>
      <c r="BB79" s="40"/>
      <c r="BC79" s="40">
        <v>3.6528305999999999E-3</v>
      </c>
      <c r="BD79" s="40">
        <v>1.2448785000000001E-5</v>
      </c>
      <c r="BE79" s="40">
        <v>2.9724645000000001E-2</v>
      </c>
      <c r="BF79" s="40">
        <v>1.9389087E-4</v>
      </c>
      <c r="BG79" s="40"/>
      <c r="BH79" s="40"/>
      <c r="BI79" s="40"/>
      <c r="BJ79" s="40"/>
      <c r="BK79" s="40"/>
      <c r="BL79" s="62">
        <v>0</v>
      </c>
      <c r="BM79" s="275">
        <v>2</v>
      </c>
      <c r="BN79" s="62">
        <v>0</v>
      </c>
      <c r="BO79" s="33" t="s">
        <v>485</v>
      </c>
    </row>
    <row r="80" spans="1:67">
      <c r="A80" s="33" t="str">
        <f>Database_Productkaarten[[#This Row],[Product]]&amp;", "&amp;Database_Productkaarten[[#This Row],[Levensfase]]</f>
        <v>AC Surf 0% PR - PCR 1.0, B1</v>
      </c>
      <c r="B80" s="33" t="s">
        <v>490</v>
      </c>
      <c r="C80" s="33" t="s">
        <v>483</v>
      </c>
      <c r="D80" s="33" t="s">
        <v>377</v>
      </c>
      <c r="E80" s="33" t="s">
        <v>378</v>
      </c>
      <c r="F80" s="33" t="s">
        <v>80</v>
      </c>
      <c r="L80" s="33">
        <v>2.35</v>
      </c>
      <c r="M80" s="269">
        <v>1</v>
      </c>
      <c r="N80" s="41">
        <v>8.2079854999999993E-2</v>
      </c>
      <c r="O80" s="33">
        <v>14</v>
      </c>
      <c r="P80" s="40">
        <v>0</v>
      </c>
      <c r="Q80" s="40">
        <v>0</v>
      </c>
      <c r="R80" s="40">
        <v>0</v>
      </c>
      <c r="S80" s="40">
        <v>0</v>
      </c>
      <c r="T80" s="40">
        <v>0</v>
      </c>
      <c r="U80" s="40">
        <v>0</v>
      </c>
      <c r="V80" s="40">
        <v>0</v>
      </c>
      <c r="W80" s="40">
        <v>0.33065064999999999</v>
      </c>
      <c r="X80" s="40">
        <v>0.35447900999999998</v>
      </c>
      <c r="Y80" s="40">
        <v>416.74824000000001</v>
      </c>
      <c r="Z80" s="40">
        <v>2.016962E-4</v>
      </c>
      <c r="AA80" s="40"/>
      <c r="AB80" s="40"/>
      <c r="AC80" s="40"/>
      <c r="AD80" s="40"/>
      <c r="AE80" s="40"/>
      <c r="AF80" s="40"/>
      <c r="AG80" s="40"/>
      <c r="AH80" s="40"/>
      <c r="AI80" s="40"/>
      <c r="AJ80" s="40"/>
      <c r="AK80" s="40"/>
      <c r="AL80" s="40"/>
      <c r="AM80" s="40"/>
      <c r="AN80" s="40"/>
      <c r="AO80" s="40"/>
      <c r="AP80" s="40"/>
      <c r="AQ80" s="40"/>
      <c r="AR80" s="40"/>
      <c r="AS80" s="40"/>
      <c r="AT80" s="40"/>
      <c r="AU80" s="40"/>
      <c r="AV80" s="313">
        <v>0</v>
      </c>
      <c r="AW80" s="317"/>
      <c r="AX80" s="317"/>
      <c r="AY80" s="313">
        <v>0</v>
      </c>
      <c r="AZ80" s="40"/>
      <c r="BA80" s="40"/>
      <c r="BB80" s="40"/>
      <c r="BC80" s="40">
        <v>0</v>
      </c>
      <c r="BD80" s="40">
        <v>0</v>
      </c>
      <c r="BE80" s="40">
        <v>0</v>
      </c>
      <c r="BF80" s="40">
        <v>0</v>
      </c>
      <c r="BG80" s="40"/>
      <c r="BH80" s="40"/>
      <c r="BI80" s="40"/>
      <c r="BJ80" s="40"/>
      <c r="BK80" s="40"/>
      <c r="BL80" s="62">
        <v>0</v>
      </c>
      <c r="BM80" s="275">
        <v>2</v>
      </c>
      <c r="BN80" s="62">
        <v>0</v>
      </c>
      <c r="BO80" s="33" t="s">
        <v>485</v>
      </c>
    </row>
    <row r="81" spans="1:67">
      <c r="A81" s="33" t="str">
        <f>Database_Productkaarten[[#This Row],[Product]]&amp;", "&amp;Database_Productkaarten[[#This Row],[Levensfase]]</f>
        <v>AC Surf 0% PR - PCR 1.0, C1</v>
      </c>
      <c r="B81" s="33" t="s">
        <v>490</v>
      </c>
      <c r="C81" s="33" t="s">
        <v>483</v>
      </c>
      <c r="D81" s="33" t="s">
        <v>377</v>
      </c>
      <c r="E81" s="33" t="s">
        <v>378</v>
      </c>
      <c r="F81" s="33" t="s">
        <v>83</v>
      </c>
      <c r="L81" s="33">
        <v>2.35</v>
      </c>
      <c r="M81" s="269">
        <v>1</v>
      </c>
      <c r="N81" s="41">
        <v>0.13639726999999999</v>
      </c>
      <c r="O81" s="33">
        <v>14</v>
      </c>
      <c r="P81" s="40">
        <v>3.6644380999999999E-7</v>
      </c>
      <c r="Q81" s="40">
        <v>7.5226846000000002E-3</v>
      </c>
      <c r="R81" s="40">
        <v>1.4532613999999999</v>
      </c>
      <c r="S81" s="40">
        <v>1.9699817000000001E-7</v>
      </c>
      <c r="T81" s="40">
        <v>4.8171299999999999E-4</v>
      </c>
      <c r="U81" s="40">
        <v>4.2661764999999997E-3</v>
      </c>
      <c r="V81" s="40">
        <v>8.9941806E-4</v>
      </c>
      <c r="W81" s="40">
        <v>0.38176861000000001</v>
      </c>
      <c r="X81" s="40">
        <v>5.4558992000000002E-3</v>
      </c>
      <c r="Y81" s="40">
        <v>18.399946</v>
      </c>
      <c r="Z81" s="40">
        <v>6.4771006999999995E-4</v>
      </c>
      <c r="AA81" s="40"/>
      <c r="AB81" s="40"/>
      <c r="AC81" s="40"/>
      <c r="AD81" s="40"/>
      <c r="AE81" s="40"/>
      <c r="AF81" s="40"/>
      <c r="AG81" s="40"/>
      <c r="AH81" s="40"/>
      <c r="AI81" s="40"/>
      <c r="AJ81" s="40"/>
      <c r="AK81" s="40"/>
      <c r="AL81" s="40"/>
      <c r="AM81" s="40"/>
      <c r="AN81" s="40"/>
      <c r="AO81" s="40"/>
      <c r="AP81" s="40"/>
      <c r="AQ81" s="40"/>
      <c r="AR81" s="40"/>
      <c r="AS81" s="40"/>
      <c r="AT81" s="40"/>
      <c r="AU81" s="40"/>
      <c r="AV81" s="313">
        <v>9.2003741E-2</v>
      </c>
      <c r="AW81" s="317"/>
      <c r="AX81" s="317"/>
      <c r="AY81" s="313">
        <v>16.864612999999999</v>
      </c>
      <c r="AZ81" s="40"/>
      <c r="BA81" s="40"/>
      <c r="BB81" s="40"/>
      <c r="BC81" s="40">
        <v>2.0783346E-3</v>
      </c>
      <c r="BD81" s="40">
        <v>7.0829294000000003E-6</v>
      </c>
      <c r="BE81" s="40">
        <v>1.6912297999999999E-2</v>
      </c>
      <c r="BF81" s="40">
        <v>1.1031722E-4</v>
      </c>
      <c r="BG81" s="40"/>
      <c r="BH81" s="40"/>
      <c r="BI81" s="40"/>
      <c r="BJ81" s="40"/>
      <c r="BK81" s="40"/>
      <c r="BL81" s="62">
        <v>0</v>
      </c>
      <c r="BM81" s="275">
        <v>2</v>
      </c>
      <c r="BN81" s="62">
        <v>0</v>
      </c>
      <c r="BO81" s="33" t="s">
        <v>485</v>
      </c>
    </row>
    <row r="82" spans="1:67">
      <c r="A82" s="33" t="str">
        <f>Database_Productkaarten[[#This Row],[Product]]&amp;", "&amp;Database_Productkaarten[[#This Row],[Levensfase]]</f>
        <v>AC Surf 0% PR - PCR 1.0, C2</v>
      </c>
      <c r="B82" s="33" t="s">
        <v>490</v>
      </c>
      <c r="C82" s="33" t="s">
        <v>483</v>
      </c>
      <c r="D82" s="33" t="s">
        <v>377</v>
      </c>
      <c r="E82" s="33" t="s">
        <v>378</v>
      </c>
      <c r="F82" s="33" t="s">
        <v>84</v>
      </c>
      <c r="L82" s="33">
        <v>2.35</v>
      </c>
      <c r="M82" s="269">
        <v>1</v>
      </c>
      <c r="N82" s="41">
        <v>0.62892669999999995</v>
      </c>
      <c r="O82" s="33">
        <v>14</v>
      </c>
      <c r="P82" s="40">
        <v>1.0978337000000001E-5</v>
      </c>
      <c r="Q82" s="40">
        <v>4.3183727999999998E-2</v>
      </c>
      <c r="R82" s="40">
        <v>5.7021305</v>
      </c>
      <c r="S82" s="40">
        <v>1.1335356E-6</v>
      </c>
      <c r="T82" s="40">
        <v>3.5752850000000001E-3</v>
      </c>
      <c r="U82" s="40">
        <v>1.9151161E-2</v>
      </c>
      <c r="V82" s="40">
        <v>3.8023555000000001E-3</v>
      </c>
      <c r="W82" s="40">
        <v>2.0049337999999999</v>
      </c>
      <c r="X82" s="40">
        <v>0.12926487</v>
      </c>
      <c r="Y82" s="40">
        <v>338.63108999999997</v>
      </c>
      <c r="Z82" s="40">
        <v>1.1891815999999999E-2</v>
      </c>
      <c r="AA82" s="40"/>
      <c r="AB82" s="40"/>
      <c r="AC82" s="40"/>
      <c r="AD82" s="40"/>
      <c r="AE82" s="40"/>
      <c r="AF82" s="40"/>
      <c r="AG82" s="40"/>
      <c r="AH82" s="40"/>
      <c r="AI82" s="40"/>
      <c r="AJ82" s="40"/>
      <c r="AK82" s="40"/>
      <c r="AL82" s="40"/>
      <c r="AM82" s="40"/>
      <c r="AN82" s="40"/>
      <c r="AO82" s="40"/>
      <c r="AP82" s="40"/>
      <c r="AQ82" s="40"/>
      <c r="AR82" s="40"/>
      <c r="AS82" s="40"/>
      <c r="AT82" s="40"/>
      <c r="AU82" s="40"/>
      <c r="AV82" s="313">
        <v>0</v>
      </c>
      <c r="AW82" s="317"/>
      <c r="AX82" s="317"/>
      <c r="AY82" s="313">
        <v>0</v>
      </c>
      <c r="AZ82" s="40"/>
      <c r="BA82" s="40"/>
      <c r="BB82" s="40"/>
      <c r="BC82" s="40">
        <v>0</v>
      </c>
      <c r="BD82" s="40">
        <v>0</v>
      </c>
      <c r="BE82" s="40">
        <v>0</v>
      </c>
      <c r="BF82" s="40">
        <v>0</v>
      </c>
      <c r="BG82" s="40"/>
      <c r="BH82" s="40"/>
      <c r="BI82" s="40"/>
      <c r="BJ82" s="40"/>
      <c r="BK82" s="40"/>
      <c r="BL82" s="62">
        <v>0</v>
      </c>
      <c r="BM82" s="275">
        <v>2</v>
      </c>
      <c r="BN82" s="62">
        <v>0</v>
      </c>
      <c r="BO82" s="33" t="s">
        <v>485</v>
      </c>
    </row>
    <row r="83" spans="1:67">
      <c r="A83" s="33" t="str">
        <f>Database_Productkaarten[[#This Row],[Product]]&amp;", "&amp;Database_Productkaarten[[#This Row],[Levensfase]]</f>
        <v>AC Surf 0% PR - PCR 1.0, C3</v>
      </c>
      <c r="B83" s="33" t="s">
        <v>490</v>
      </c>
      <c r="C83" s="33" t="s">
        <v>483</v>
      </c>
      <c r="D83" s="33" t="s">
        <v>377</v>
      </c>
      <c r="E83" s="33" t="s">
        <v>378</v>
      </c>
      <c r="F83" s="33" t="s">
        <v>85</v>
      </c>
      <c r="L83" s="33">
        <v>2.35</v>
      </c>
      <c r="M83" s="269">
        <v>1</v>
      </c>
      <c r="N83" s="41">
        <v>0.16120214999999999</v>
      </c>
      <c r="O83" s="33">
        <v>14</v>
      </c>
      <c r="P83" s="40">
        <v>4.1291555000000003E-7</v>
      </c>
      <c r="Q83" s="40">
        <v>8.4766977000000007E-3</v>
      </c>
      <c r="R83" s="40">
        <v>1.6375614000000001</v>
      </c>
      <c r="S83" s="40">
        <v>2.2198113E-7</v>
      </c>
      <c r="T83" s="40">
        <v>5.9777666999999998E-4</v>
      </c>
      <c r="U83" s="40">
        <v>5.9352911999999997E-3</v>
      </c>
      <c r="V83" s="40">
        <v>1.3067828999999999E-3</v>
      </c>
      <c r="W83" s="40">
        <v>0.43290835999999999</v>
      </c>
      <c r="X83" s="40">
        <v>6.1478065000000002E-3</v>
      </c>
      <c r="Y83" s="40">
        <v>20.733394000000001</v>
      </c>
      <c r="Z83" s="40">
        <v>7.2985148000000004E-4</v>
      </c>
      <c r="AA83" s="40"/>
      <c r="AB83" s="40"/>
      <c r="AC83" s="40"/>
      <c r="AD83" s="40"/>
      <c r="AE83" s="40"/>
      <c r="AF83" s="40"/>
      <c r="AG83" s="40"/>
      <c r="AH83" s="40"/>
      <c r="AI83" s="40"/>
      <c r="AJ83" s="40"/>
      <c r="AK83" s="40"/>
      <c r="AL83" s="40"/>
      <c r="AM83" s="40"/>
      <c r="AN83" s="40"/>
      <c r="AO83" s="40"/>
      <c r="AP83" s="40"/>
      <c r="AQ83" s="40"/>
      <c r="AR83" s="40"/>
      <c r="AS83" s="40"/>
      <c r="AT83" s="40"/>
      <c r="AU83" s="40"/>
      <c r="AV83" s="313">
        <v>0.10367149000000001</v>
      </c>
      <c r="AW83" s="317"/>
      <c r="AX83" s="317"/>
      <c r="AY83" s="313">
        <v>19.003353000000001</v>
      </c>
      <c r="AZ83" s="40"/>
      <c r="BA83" s="40"/>
      <c r="BB83" s="40"/>
      <c r="BC83" s="40">
        <v>2.3419052000000001E-3</v>
      </c>
      <c r="BD83" s="40">
        <v>7.9811735999999999E-6</v>
      </c>
      <c r="BE83" s="40">
        <v>1.9057085000000001E-2</v>
      </c>
      <c r="BF83" s="40">
        <v>1.2430745000000001E-4</v>
      </c>
      <c r="BG83" s="40"/>
      <c r="BH83" s="40"/>
      <c r="BI83" s="40"/>
      <c r="BJ83" s="40"/>
      <c r="BK83" s="40"/>
      <c r="BL83" s="62">
        <v>0</v>
      </c>
      <c r="BM83" s="275">
        <v>2</v>
      </c>
      <c r="BN83" s="62">
        <v>0</v>
      </c>
      <c r="BO83" s="33" t="s">
        <v>485</v>
      </c>
    </row>
    <row r="84" spans="1:67">
      <c r="A84" s="33" t="str">
        <f>Database_Productkaarten[[#This Row],[Product]]&amp;", "&amp;Database_Productkaarten[[#This Row],[Levensfase]]</f>
        <v>AC Surf 0% PR - PCR 1.0, D</v>
      </c>
      <c r="B84" s="33" t="str">
        <f>B85</f>
        <v>AC Surf 0% PR - PCR 1.0</v>
      </c>
      <c r="C84" s="33" t="str">
        <f>C85</f>
        <v>Bitumineuze verhardingen</v>
      </c>
      <c r="D84" s="33" t="str">
        <f>D85</f>
        <v>AC surf</v>
      </c>
      <c r="E84" s="33" t="str">
        <f>E85</f>
        <v>Ton</v>
      </c>
      <c r="F84" s="33" t="s">
        <v>89</v>
      </c>
      <c r="L84" s="33">
        <f>L85</f>
        <v>2.35</v>
      </c>
      <c r="M84" s="45">
        <f>M85</f>
        <v>1</v>
      </c>
      <c r="N84" s="41">
        <f>SUM(N85:N86)</f>
        <v>-5.737276818773319</v>
      </c>
      <c r="O84" s="33">
        <f>O85</f>
        <v>14</v>
      </c>
      <c r="P84" s="40">
        <f>SUM(P85:P86)</f>
        <v>-6.4785322070175661E-5</v>
      </c>
      <c r="Q84" s="40">
        <f>SUM(Q85:Q86)</f>
        <v>-0.79793229123339982</v>
      </c>
      <c r="R84" s="40">
        <f>SUM(R85:R86)</f>
        <v>-41.295946971624161</v>
      </c>
      <c r="S84" s="40">
        <f t="shared" ref="S84:BK84" si="11">SUM(S85:S86)</f>
        <v>-4.3850978324681309E-6</v>
      </c>
      <c r="T84" s="40">
        <f t="shared" si="11"/>
        <v>-8.6050684554342477E-2</v>
      </c>
      <c r="U84" s="40">
        <f t="shared" si="11"/>
        <v>-0.34452574388493384</v>
      </c>
      <c r="V84" s="40">
        <f t="shared" si="11"/>
        <v>-3.7790660442688896E-2</v>
      </c>
      <c r="W84" s="40">
        <f t="shared" si="11"/>
        <v>-12.030135430465279</v>
      </c>
      <c r="X84" s="40">
        <f t="shared" si="11"/>
        <v>-1.2126813496228319</v>
      </c>
      <c r="Y84" s="40">
        <f t="shared" si="11"/>
        <v>-5258.2416539973055</v>
      </c>
      <c r="Z84" s="40">
        <f t="shared" si="11"/>
        <v>-0.16032179758313483</v>
      </c>
      <c r="AA84" s="40">
        <f t="shared" si="11"/>
        <v>0</v>
      </c>
      <c r="AB84" s="40">
        <f t="shared" si="11"/>
        <v>0</v>
      </c>
      <c r="AC84" s="40">
        <f t="shared" si="11"/>
        <v>0</v>
      </c>
      <c r="AD84" s="40">
        <f t="shared" si="11"/>
        <v>0</v>
      </c>
      <c r="AE84" s="40">
        <f t="shared" si="11"/>
        <v>0</v>
      </c>
      <c r="AF84" s="40">
        <f t="shared" si="11"/>
        <v>0</v>
      </c>
      <c r="AG84" s="40">
        <f t="shared" si="11"/>
        <v>0</v>
      </c>
      <c r="AH84" s="40">
        <f t="shared" si="11"/>
        <v>0</v>
      </c>
      <c r="AI84" s="40">
        <f t="shared" si="11"/>
        <v>0</v>
      </c>
      <c r="AJ84" s="40">
        <f t="shared" si="11"/>
        <v>0</v>
      </c>
      <c r="AK84" s="40">
        <f t="shared" si="11"/>
        <v>0</v>
      </c>
      <c r="AL84" s="40">
        <f t="shared" si="11"/>
        <v>0</v>
      </c>
      <c r="AM84" s="40">
        <f t="shared" si="11"/>
        <v>0</v>
      </c>
      <c r="AN84" s="40">
        <f t="shared" si="11"/>
        <v>0</v>
      </c>
      <c r="AO84" s="40">
        <f t="shared" si="11"/>
        <v>0</v>
      </c>
      <c r="AP84" s="40">
        <f t="shared" si="11"/>
        <v>0</v>
      </c>
      <c r="AQ84" s="40">
        <f t="shared" si="11"/>
        <v>0</v>
      </c>
      <c r="AR84" s="40">
        <f t="shared" si="11"/>
        <v>0</v>
      </c>
      <c r="AS84" s="40">
        <f t="shared" si="11"/>
        <v>0</v>
      </c>
      <c r="AT84" s="40">
        <f t="shared" si="11"/>
        <v>0</v>
      </c>
      <c r="AU84" s="40">
        <f t="shared" si="11"/>
        <v>0</v>
      </c>
      <c r="AV84" s="317">
        <f t="shared" si="11"/>
        <v>-14.657039053258359</v>
      </c>
      <c r="AW84" s="317">
        <f t="shared" si="11"/>
        <v>0</v>
      </c>
      <c r="AX84" s="317">
        <f t="shared" si="11"/>
        <v>0</v>
      </c>
      <c r="AY84" s="317">
        <f t="shared" si="11"/>
        <v>-1798.3114465371875</v>
      </c>
      <c r="AZ84" s="40">
        <f t="shared" si="11"/>
        <v>0</v>
      </c>
      <c r="BA84" s="40">
        <f t="shared" si="11"/>
        <v>0</v>
      </c>
      <c r="BB84" s="40">
        <f t="shared" si="11"/>
        <v>0</v>
      </c>
      <c r="BC84" s="40">
        <f t="shared" si="11"/>
        <v>-17.182989473025962</v>
      </c>
      <c r="BD84" s="40">
        <f t="shared" si="11"/>
        <v>-6.9457904127098768E-4</v>
      </c>
      <c r="BE84" s="40">
        <f t="shared" si="11"/>
        <v>-4.870079512241519</v>
      </c>
      <c r="BF84" s="40">
        <f t="shared" si="11"/>
        <v>-1.7995967308705183E-3</v>
      </c>
      <c r="BG84" s="40">
        <f t="shared" si="11"/>
        <v>0</v>
      </c>
      <c r="BH84" s="40">
        <f t="shared" si="11"/>
        <v>0</v>
      </c>
      <c r="BI84" s="40">
        <f t="shared" si="11"/>
        <v>0</v>
      </c>
      <c r="BJ84" s="40">
        <f t="shared" si="11"/>
        <v>0</v>
      </c>
      <c r="BK84" s="40">
        <f t="shared" si="11"/>
        <v>0</v>
      </c>
      <c r="BL84" s="62">
        <f>BL85</f>
        <v>0</v>
      </c>
      <c r="BM84" s="275">
        <f>BM85</f>
        <v>2</v>
      </c>
      <c r="BN84" s="62">
        <v>0</v>
      </c>
      <c r="BO84" s="33" t="str">
        <f>BO85</f>
        <v>TNO 2020 R10987 LCA Achtergrondrapport voor brancherepresentatieve Nederlandse asfaltmengsels 2020</v>
      </c>
    </row>
    <row r="85" spans="1:67">
      <c r="A85" s="33" t="str">
        <f>Database_Productkaarten[[#This Row],[Product]]&amp;", "&amp;Database_Productkaarten[[#This Row],[Levensfase]]</f>
        <v>AC Surf 0% PR - PCR 1.0, D1</v>
      </c>
      <c r="B85" s="33" t="s">
        <v>490</v>
      </c>
      <c r="C85" s="33" t="s">
        <v>483</v>
      </c>
      <c r="D85" s="33" t="s">
        <v>377</v>
      </c>
      <c r="E85" s="33" t="s">
        <v>378</v>
      </c>
      <c r="F85" s="33" t="s">
        <v>87</v>
      </c>
      <c r="L85" s="33">
        <v>2.35</v>
      </c>
      <c r="M85" s="269">
        <v>1</v>
      </c>
      <c r="N85" s="41">
        <v>-3.9940282190082397</v>
      </c>
      <c r="O85" s="33">
        <v>14</v>
      </c>
      <c r="P85" s="40">
        <v>-5.3083861559999999E-5</v>
      </c>
      <c r="Q85" s="40">
        <v>-0.71692586487599985</v>
      </c>
      <c r="R85" s="40">
        <v>-29.453415403005039</v>
      </c>
      <c r="S85" s="40">
        <v>-2.4570558369599997E-6</v>
      </c>
      <c r="T85" s="40">
        <v>-7.7011500167679978E-2</v>
      </c>
      <c r="U85" s="40">
        <v>-0.21047290098895999</v>
      </c>
      <c r="V85" s="40">
        <v>-1.950378109216E-2</v>
      </c>
      <c r="W85" s="40">
        <v>-7.8223977558315188</v>
      </c>
      <c r="X85" s="40">
        <v>-1.1166398682647993</v>
      </c>
      <c r="Y85" s="40">
        <v>-4891.1566199070849</v>
      </c>
      <c r="Z85" s="40">
        <v>-0.14465848866560002</v>
      </c>
      <c r="AA85" s="40"/>
      <c r="AB85" s="40"/>
      <c r="AC85" s="40"/>
      <c r="AD85" s="40"/>
      <c r="AE85" s="40"/>
      <c r="AF85" s="40"/>
      <c r="AG85" s="40"/>
      <c r="AH85" s="40"/>
      <c r="AI85" s="40"/>
      <c r="AJ85" s="40"/>
      <c r="AK85" s="40"/>
      <c r="AL85" s="40"/>
      <c r="AM85" s="40"/>
      <c r="AN85" s="40"/>
      <c r="AO85" s="40"/>
      <c r="AP85" s="40"/>
      <c r="AQ85" s="40"/>
      <c r="AR85" s="40"/>
      <c r="AS85" s="40"/>
      <c r="AT85" s="40"/>
      <c r="AU85" s="40"/>
      <c r="AV85" s="313">
        <v>-11.369800508735439</v>
      </c>
      <c r="AW85" s="317"/>
      <c r="AX85" s="317"/>
      <c r="AY85" s="313">
        <v>-1618.7164207527067</v>
      </c>
      <c r="AZ85" s="40"/>
      <c r="BA85" s="40"/>
      <c r="BB85" s="40"/>
      <c r="BC85" s="40">
        <v>-17.146799885022556</v>
      </c>
      <c r="BD85" s="40">
        <v>-5.8071008679999982E-4</v>
      </c>
      <c r="BE85" s="40">
        <v>-1.9123424257876798</v>
      </c>
      <c r="BF85" s="40">
        <v>-6.8135050495999998E-4</v>
      </c>
      <c r="BG85" s="40"/>
      <c r="BH85" s="40"/>
      <c r="BI85" s="40"/>
      <c r="BJ85" s="40"/>
      <c r="BK85" s="40"/>
      <c r="BL85" s="62">
        <v>0</v>
      </c>
      <c r="BM85" s="275">
        <v>2</v>
      </c>
      <c r="BN85" s="62">
        <v>0</v>
      </c>
      <c r="BO85" s="33" t="s">
        <v>485</v>
      </c>
    </row>
    <row r="86" spans="1:67">
      <c r="A86" s="33" t="str">
        <f>Database_Productkaarten[[#This Row],[Product]]&amp;", "&amp;Database_Productkaarten[[#This Row],[Levensfase]]</f>
        <v>AC Surf 0% PR - PCR 1.0, D2</v>
      </c>
      <c r="B86" s="33" t="s">
        <v>490</v>
      </c>
      <c r="C86" s="33" t="s">
        <v>483</v>
      </c>
      <c r="D86" s="33" t="s">
        <v>377</v>
      </c>
      <c r="E86" s="33" t="s">
        <v>378</v>
      </c>
      <c r="F86" s="33" t="s">
        <v>88</v>
      </c>
      <c r="L86" s="33">
        <v>2.35</v>
      </c>
      <c r="M86" s="269">
        <v>1</v>
      </c>
      <c r="N86" s="41">
        <v>-1.7432485997650797</v>
      </c>
      <c r="O86" s="33">
        <v>14</v>
      </c>
      <c r="P86" s="40">
        <v>-1.1701460510175659E-5</v>
      </c>
      <c r="Q86" s="40">
        <v>-8.1006426357399977E-2</v>
      </c>
      <c r="R86" s="40">
        <v>-11.842531568619121</v>
      </c>
      <c r="S86" s="40">
        <v>-1.9280419955081308E-6</v>
      </c>
      <c r="T86" s="40">
        <v>-9.0391843866624959E-3</v>
      </c>
      <c r="U86" s="40">
        <v>-0.13405284289597388</v>
      </c>
      <c r="V86" s="40">
        <v>-1.8286879350528897E-2</v>
      </c>
      <c r="W86" s="40">
        <v>-4.2077376746337602</v>
      </c>
      <c r="X86" s="40">
        <v>-9.6041481358032629E-2</v>
      </c>
      <c r="Y86" s="40">
        <v>-367.08503409022074</v>
      </c>
      <c r="Z86" s="40">
        <v>-1.5663308917534816E-2</v>
      </c>
      <c r="AA86" s="40"/>
      <c r="AB86" s="40"/>
      <c r="AC86" s="40"/>
      <c r="AD86" s="40"/>
      <c r="AE86" s="40"/>
      <c r="AF86" s="40"/>
      <c r="AG86" s="40"/>
      <c r="AH86" s="40"/>
      <c r="AI86" s="40"/>
      <c r="AJ86" s="40"/>
      <c r="AK86" s="40"/>
      <c r="AL86" s="40"/>
      <c r="AM86" s="40"/>
      <c r="AN86" s="40"/>
      <c r="AO86" s="40"/>
      <c r="AP86" s="40"/>
      <c r="AQ86" s="40"/>
      <c r="AR86" s="40"/>
      <c r="AS86" s="40"/>
      <c r="AT86" s="40"/>
      <c r="AU86" s="40"/>
      <c r="AV86" s="313">
        <v>-3.2872385445229195</v>
      </c>
      <c r="AW86" s="317"/>
      <c r="AX86" s="317"/>
      <c r="AY86" s="313">
        <v>-179.59502578448095</v>
      </c>
      <c r="AZ86" s="40"/>
      <c r="BA86" s="40"/>
      <c r="BB86" s="40"/>
      <c r="BC86" s="40">
        <v>-3.6189588003407429E-2</v>
      </c>
      <c r="BD86" s="40">
        <v>-1.1386895447098782E-4</v>
      </c>
      <c r="BE86" s="40">
        <v>-2.9577370864538395</v>
      </c>
      <c r="BF86" s="40">
        <v>-1.1182462259105182E-3</v>
      </c>
      <c r="BG86" s="40"/>
      <c r="BH86" s="40"/>
      <c r="BI86" s="40"/>
      <c r="BJ86" s="40"/>
      <c r="BK86" s="40"/>
      <c r="BL86" s="62">
        <v>0</v>
      </c>
      <c r="BM86" s="275">
        <v>2</v>
      </c>
      <c r="BN86" s="62">
        <v>0</v>
      </c>
      <c r="BO86" s="33" t="s">
        <v>485</v>
      </c>
    </row>
    <row r="87" spans="1:67">
      <c r="A87" s="33" t="str">
        <f>Database_Productkaarten[[#This Row],[Product]]&amp;", "&amp;Database_Productkaarten[[#This Row],[Levensfase]]</f>
        <v>AC surf 30% PR - PCR 1.0, Totaal</v>
      </c>
      <c r="B87" s="33" t="s">
        <v>491</v>
      </c>
      <c r="C87" s="33" t="s">
        <v>483</v>
      </c>
      <c r="D87" s="33" t="s">
        <v>377</v>
      </c>
      <c r="E87" s="33" t="s">
        <v>378</v>
      </c>
      <c r="F87" s="33" t="s">
        <v>90</v>
      </c>
      <c r="L87" s="33">
        <v>2.35</v>
      </c>
      <c r="M87" s="269">
        <v>1</v>
      </c>
      <c r="N87" s="41">
        <v>7.4475549476646963</v>
      </c>
      <c r="O87" s="33">
        <v>14</v>
      </c>
      <c r="P87" s="40">
        <v>5.9479383293940658E-5</v>
      </c>
      <c r="Q87" s="40">
        <v>0.93843770315568453</v>
      </c>
      <c r="R87" s="40">
        <v>69.655344783674011</v>
      </c>
      <c r="S87" s="40">
        <v>8.5590901309952463E-6</v>
      </c>
      <c r="T87" s="40">
        <v>7.8376393250239471E-2</v>
      </c>
      <c r="U87" s="40">
        <v>0.2996180097766391</v>
      </c>
      <c r="V87" s="40">
        <v>3.8704757434607127E-2</v>
      </c>
      <c r="W87" s="40">
        <v>16.822708176095311</v>
      </c>
      <c r="X87" s="40">
        <v>1.604696231686439</v>
      </c>
      <c r="Y87" s="40">
        <v>5385.4039466198556</v>
      </c>
      <c r="Z87" s="40">
        <v>0.17105467008202427</v>
      </c>
      <c r="AA87" s="40"/>
      <c r="AB87" s="40"/>
      <c r="AC87" s="40"/>
      <c r="AD87" s="40"/>
      <c r="AE87" s="40"/>
      <c r="AF87" s="40"/>
      <c r="AG87" s="40"/>
      <c r="AH87" s="40"/>
      <c r="AI87" s="40"/>
      <c r="AJ87" s="40"/>
      <c r="AK87" s="40"/>
      <c r="AL87" s="40"/>
      <c r="AM87" s="40"/>
      <c r="AN87" s="40"/>
      <c r="AO87" s="40"/>
      <c r="AP87" s="40"/>
      <c r="AQ87" s="40"/>
      <c r="AR87" s="40"/>
      <c r="AS87" s="40"/>
      <c r="AT87" s="40"/>
      <c r="AU87" s="40"/>
      <c r="AV87" s="313">
        <v>15.839410088012022</v>
      </c>
      <c r="AW87" s="317"/>
      <c r="AX87" s="317"/>
      <c r="AY87" s="313">
        <v>1875.5611318835049</v>
      </c>
      <c r="AZ87" s="40"/>
      <c r="BA87" s="40"/>
      <c r="BB87" s="40"/>
      <c r="BC87" s="40">
        <v>14.042933490333887</v>
      </c>
      <c r="BD87" s="40">
        <v>1.0641645129292614E-3</v>
      </c>
      <c r="BE87" s="40">
        <v>2.5865084329948789</v>
      </c>
      <c r="BF87" s="40">
        <v>1.7290808757992292E-3</v>
      </c>
      <c r="BG87" s="40"/>
      <c r="BH87" s="40"/>
      <c r="BI87" s="40"/>
      <c r="BJ87" s="40"/>
      <c r="BK87" s="40"/>
      <c r="BL87" s="62">
        <v>0.3</v>
      </c>
      <c r="BM87" s="275">
        <v>2</v>
      </c>
      <c r="BN87" s="62">
        <v>0</v>
      </c>
      <c r="BO87" s="33" t="s">
        <v>485</v>
      </c>
    </row>
    <row r="88" spans="1:67">
      <c r="A88" s="33" t="str">
        <f>Database_Productkaarten[[#This Row],[Product]]&amp;", "&amp;Database_Productkaarten[[#This Row],[Levensfase]]</f>
        <v>AC surf 30% PR - PCR 1.0, A1</v>
      </c>
      <c r="B88" s="33" t="s">
        <v>491</v>
      </c>
      <c r="C88" s="33" t="s">
        <v>483</v>
      </c>
      <c r="D88" s="33" t="s">
        <v>377</v>
      </c>
      <c r="E88" s="33" t="s">
        <v>378</v>
      </c>
      <c r="F88" s="33" t="s">
        <v>74</v>
      </c>
      <c r="L88" s="33">
        <v>2.35</v>
      </c>
      <c r="M88" s="269">
        <v>1</v>
      </c>
      <c r="N88" s="41">
        <v>5.7731068950000006</v>
      </c>
      <c r="O88" s="33">
        <v>14</v>
      </c>
      <c r="P88" s="40">
        <v>6.3695844799999994E-5</v>
      </c>
      <c r="Q88" s="40">
        <v>1.0894992764</v>
      </c>
      <c r="R88" s="40">
        <v>42.923917179</v>
      </c>
      <c r="S88" s="40">
        <v>3.3557362700000004E-6</v>
      </c>
      <c r="T88" s="40">
        <v>0.11604146456</v>
      </c>
      <c r="U88" s="40">
        <v>0.30127600300000001</v>
      </c>
      <c r="V88" s="40">
        <v>2.5074146300000003E-2</v>
      </c>
      <c r="W88" s="40">
        <v>10.857353684000001</v>
      </c>
      <c r="X88" s="40">
        <v>1.7041269518</v>
      </c>
      <c r="Y88" s="40">
        <v>7487.6279233349997</v>
      </c>
      <c r="Z88" s="40">
        <v>0.21780204220000002</v>
      </c>
      <c r="AA88" s="40"/>
      <c r="AB88" s="40"/>
      <c r="AC88" s="40"/>
      <c r="AD88" s="40"/>
      <c r="AE88" s="40"/>
      <c r="AF88" s="40"/>
      <c r="AG88" s="40"/>
      <c r="AH88" s="40"/>
      <c r="AI88" s="40"/>
      <c r="AJ88" s="40"/>
      <c r="AK88" s="40"/>
      <c r="AL88" s="40"/>
      <c r="AM88" s="40"/>
      <c r="AN88" s="40"/>
      <c r="AO88" s="40"/>
      <c r="AP88" s="40"/>
      <c r="AQ88" s="40"/>
      <c r="AR88" s="40"/>
      <c r="AS88" s="40"/>
      <c r="AT88" s="40"/>
      <c r="AU88" s="40"/>
      <c r="AV88" s="313">
        <v>15.152721665000001</v>
      </c>
      <c r="AW88" s="317"/>
      <c r="AX88" s="317"/>
      <c r="AY88" s="313">
        <v>2456.115098749</v>
      </c>
      <c r="AZ88" s="40"/>
      <c r="BA88" s="40"/>
      <c r="BB88" s="40"/>
      <c r="BC88" s="40">
        <v>26.366015150600003</v>
      </c>
      <c r="BD88" s="40">
        <v>8.0678904799999995E-4</v>
      </c>
      <c r="BE88" s="40">
        <v>2.0829275780000001</v>
      </c>
      <c r="BF88" s="40">
        <v>7.4979669799999998E-4</v>
      </c>
      <c r="BG88" s="40"/>
      <c r="BH88" s="40"/>
      <c r="BI88" s="40"/>
      <c r="BJ88" s="40"/>
      <c r="BK88" s="40"/>
      <c r="BL88" s="62">
        <v>0.3</v>
      </c>
      <c r="BM88" s="275">
        <v>2</v>
      </c>
      <c r="BN88" s="62">
        <v>0</v>
      </c>
      <c r="BO88" s="33" t="s">
        <v>485</v>
      </c>
    </row>
    <row r="89" spans="1:67">
      <c r="A89" s="33" t="str">
        <f>Database_Productkaarten[[#This Row],[Product]]&amp;", "&amp;Database_Productkaarten[[#This Row],[Levensfase]]</f>
        <v>AC surf 30% PR - PCR 1.0, A2</v>
      </c>
      <c r="B89" s="33" t="s">
        <v>491</v>
      </c>
      <c r="C89" s="33" t="s">
        <v>483</v>
      </c>
      <c r="D89" s="33" t="s">
        <v>377</v>
      </c>
      <c r="E89" s="33" t="s">
        <v>378</v>
      </c>
      <c r="F89" s="33" t="s">
        <v>75</v>
      </c>
      <c r="L89" s="33">
        <v>2.35</v>
      </c>
      <c r="M89" s="269">
        <v>1</v>
      </c>
      <c r="N89" s="41">
        <v>2.241783629355</v>
      </c>
      <c r="O89" s="33">
        <v>14</v>
      </c>
      <c r="P89" s="40">
        <v>1.5026321679710001E-5</v>
      </c>
      <c r="Q89" s="40">
        <v>0.1100658268933</v>
      </c>
      <c r="R89" s="40">
        <v>16.369508498562002</v>
      </c>
      <c r="S89" s="40">
        <v>2.6207561070700002E-6</v>
      </c>
      <c r="T89" s="40">
        <v>1.1463269415900002E-2</v>
      </c>
      <c r="U89" s="40">
        <v>0.15932147638160002</v>
      </c>
      <c r="V89" s="40">
        <v>2.5370373014799996E-2</v>
      </c>
      <c r="W89" s="40">
        <v>5.197454647452</v>
      </c>
      <c r="X89" s="40">
        <v>0.12335097841520001</v>
      </c>
      <c r="Y89" s="40">
        <v>443.46159601799303</v>
      </c>
      <c r="Z89" s="40">
        <v>2.0820150263900002E-2</v>
      </c>
      <c r="AA89" s="40"/>
      <c r="AB89" s="40"/>
      <c r="AC89" s="40"/>
      <c r="AD89" s="40"/>
      <c r="AE89" s="40"/>
      <c r="AF89" s="40"/>
      <c r="AG89" s="40"/>
      <c r="AH89" s="40"/>
      <c r="AI89" s="40"/>
      <c r="AJ89" s="40"/>
      <c r="AK89" s="40"/>
      <c r="AL89" s="40"/>
      <c r="AM89" s="40"/>
      <c r="AN89" s="40"/>
      <c r="AO89" s="40"/>
      <c r="AP89" s="40"/>
      <c r="AQ89" s="40"/>
      <c r="AR89" s="40"/>
      <c r="AS89" s="40"/>
      <c r="AT89" s="40"/>
      <c r="AU89" s="40"/>
      <c r="AV89" s="313">
        <v>4.5857739338970003</v>
      </c>
      <c r="AW89" s="317"/>
      <c r="AX89" s="317"/>
      <c r="AY89" s="313">
        <v>244.09480228617298</v>
      </c>
      <c r="AZ89" s="40"/>
      <c r="BA89" s="40"/>
      <c r="BB89" s="40"/>
      <c r="BC89" s="40">
        <v>5.2640600074200003E-2</v>
      </c>
      <c r="BD89" s="40">
        <v>1.6153851065860001E-4</v>
      </c>
      <c r="BE89" s="40">
        <v>3.3830812016579999</v>
      </c>
      <c r="BF89" s="40">
        <v>1.52077811637E-3</v>
      </c>
      <c r="BG89" s="40"/>
      <c r="BH89" s="40"/>
      <c r="BI89" s="40"/>
      <c r="BJ89" s="40"/>
      <c r="BK89" s="40"/>
      <c r="BL89" s="62">
        <v>0.3</v>
      </c>
      <c r="BM89" s="275">
        <v>2</v>
      </c>
      <c r="BN89" s="62">
        <v>0</v>
      </c>
      <c r="BO89" s="33" t="s">
        <v>485</v>
      </c>
    </row>
    <row r="90" spans="1:67">
      <c r="A90" s="33" t="str">
        <f>Database_Productkaarten[[#This Row],[Product]]&amp;", "&amp;Database_Productkaarten[[#This Row],[Levensfase]]</f>
        <v>AC surf 30% PR - PCR 1.0, A3</v>
      </c>
      <c r="B90" s="33" t="s">
        <v>491</v>
      </c>
      <c r="C90" s="33" t="s">
        <v>483</v>
      </c>
      <c r="D90" s="33" t="s">
        <v>377</v>
      </c>
      <c r="E90" s="33" t="s">
        <v>378</v>
      </c>
      <c r="F90" s="33" t="s">
        <v>76</v>
      </c>
      <c r="L90" s="33">
        <v>2.35</v>
      </c>
      <c r="M90" s="269">
        <v>1</v>
      </c>
      <c r="N90" s="41">
        <v>1.748060476202006</v>
      </c>
      <c r="O90" s="33">
        <v>14</v>
      </c>
      <c r="P90" s="40">
        <v>4.7148517874308341E-6</v>
      </c>
      <c r="Q90" s="40">
        <v>0.20861227226100013</v>
      </c>
      <c r="R90" s="40">
        <v>24.436166550406433</v>
      </c>
      <c r="S90" s="40">
        <v>2.8269882765073567E-6</v>
      </c>
      <c r="T90" s="40">
        <v>3.9486488343299722E-3</v>
      </c>
      <c r="U90" s="40">
        <v>2.6008062385765598E-2</v>
      </c>
      <c r="V90" s="40">
        <v>4.6621546356866612E-3</v>
      </c>
      <c r="W90" s="40">
        <v>3.6296330829724854</v>
      </c>
      <c r="X90" s="40">
        <v>2.4790191793375445E-2</v>
      </c>
      <c r="Y90" s="40">
        <v>100.90135113747318</v>
      </c>
      <c r="Z90" s="40">
        <v>2.3312667602280599E-2</v>
      </c>
      <c r="AA90" s="40"/>
      <c r="AB90" s="40"/>
      <c r="AC90" s="40"/>
      <c r="AD90" s="40"/>
      <c r="AE90" s="40"/>
      <c r="AF90" s="40"/>
      <c r="AG90" s="40"/>
      <c r="AH90" s="40"/>
      <c r="AI90" s="40"/>
      <c r="AJ90" s="40"/>
      <c r="AK90" s="40"/>
      <c r="AL90" s="40"/>
      <c r="AM90" s="40"/>
      <c r="AN90" s="40"/>
      <c r="AO90" s="40"/>
      <c r="AP90" s="40"/>
      <c r="AQ90" s="40"/>
      <c r="AR90" s="40"/>
      <c r="AS90" s="40"/>
      <c r="AT90" s="40"/>
      <c r="AU90" s="40"/>
      <c r="AV90" s="313">
        <v>6.6803923791093389</v>
      </c>
      <c r="AW90" s="317"/>
      <c r="AX90" s="317"/>
      <c r="AY90" s="313">
        <v>426.46778445908245</v>
      </c>
      <c r="AZ90" s="40"/>
      <c r="BA90" s="40"/>
      <c r="BB90" s="40"/>
      <c r="BC90" s="40">
        <v>4.4109006229411975E-2</v>
      </c>
      <c r="BD90" s="40">
        <v>5.6687215429036093E-4</v>
      </c>
      <c r="BE90" s="40">
        <v>0.26366578930653251</v>
      </c>
      <c r="BF90" s="40">
        <v>3.8413475397336405E-4</v>
      </c>
      <c r="BG90" s="40"/>
      <c r="BH90" s="40"/>
      <c r="BI90" s="40"/>
      <c r="BJ90" s="40"/>
      <c r="BK90" s="40"/>
      <c r="BL90" s="62">
        <v>0.3</v>
      </c>
      <c r="BM90" s="275">
        <v>2</v>
      </c>
      <c r="BN90" s="62">
        <v>0</v>
      </c>
      <c r="BO90" s="33" t="s">
        <v>485</v>
      </c>
    </row>
    <row r="91" spans="1:67">
      <c r="A91" s="33" t="str">
        <f>Database_Productkaarten[[#This Row],[Product]]&amp;", "&amp;Database_Productkaarten[[#This Row],[Levensfase]]</f>
        <v>AC surf 30% PR - PCR 1.0, A1-A3</v>
      </c>
      <c r="B91" s="33" t="str">
        <f>B90</f>
        <v>AC surf 30% PR - PCR 1.0</v>
      </c>
      <c r="C91" s="33" t="str">
        <f>C90</f>
        <v>Bitumineuze verhardingen</v>
      </c>
      <c r="D91" s="33" t="str">
        <f>D90</f>
        <v>AC surf</v>
      </c>
      <c r="E91" s="33" t="str">
        <f>E90</f>
        <v>Ton</v>
      </c>
      <c r="F91" s="33" t="s">
        <v>77</v>
      </c>
      <c r="L91" s="33">
        <f>L90</f>
        <v>2.35</v>
      </c>
      <c r="M91" s="45">
        <f>M90</f>
        <v>1</v>
      </c>
      <c r="N91" s="252">
        <f>SUM(N88:N90)</f>
        <v>9.7629510005570062</v>
      </c>
      <c r="O91" s="33">
        <f>O90</f>
        <v>14</v>
      </c>
      <c r="P91" s="40">
        <f>SUM(P88:P90)</f>
        <v>8.3437018267140819E-5</v>
      </c>
      <c r="Q91" s="40">
        <f t="shared" ref="Q91:BK91" si="12">SUM(Q88:Q90)</f>
        <v>1.4081773755543001</v>
      </c>
      <c r="R91" s="40">
        <f t="shared" si="12"/>
        <v>83.729592227968425</v>
      </c>
      <c r="S91" s="40">
        <f t="shared" si="12"/>
        <v>8.8034806535773577E-6</v>
      </c>
      <c r="T91" s="40">
        <f t="shared" si="12"/>
        <v>0.13145338281022997</v>
      </c>
      <c r="U91" s="40">
        <f t="shared" si="12"/>
        <v>0.48660554176736559</v>
      </c>
      <c r="V91" s="40">
        <f t="shared" si="12"/>
        <v>5.5106673950486657E-2</v>
      </c>
      <c r="W91" s="40">
        <f t="shared" si="12"/>
        <v>19.684441414424487</v>
      </c>
      <c r="X91" s="40">
        <f t="shared" si="12"/>
        <v>1.8522681220085755</v>
      </c>
      <c r="Y91" s="40">
        <f t="shared" si="12"/>
        <v>8031.9908704904656</v>
      </c>
      <c r="Z91" s="40">
        <f t="shared" si="12"/>
        <v>0.26193486006618061</v>
      </c>
      <c r="AA91" s="40">
        <f t="shared" si="12"/>
        <v>0</v>
      </c>
      <c r="AB91" s="40">
        <f t="shared" si="12"/>
        <v>0</v>
      </c>
      <c r="AC91" s="40">
        <f t="shared" si="12"/>
        <v>0</v>
      </c>
      <c r="AD91" s="40">
        <f t="shared" si="12"/>
        <v>0</v>
      </c>
      <c r="AE91" s="40">
        <f t="shared" si="12"/>
        <v>0</v>
      </c>
      <c r="AF91" s="40">
        <f t="shared" si="12"/>
        <v>0</v>
      </c>
      <c r="AG91" s="40">
        <f t="shared" si="12"/>
        <v>0</v>
      </c>
      <c r="AH91" s="40">
        <f t="shared" si="12"/>
        <v>0</v>
      </c>
      <c r="AI91" s="40">
        <f t="shared" si="12"/>
        <v>0</v>
      </c>
      <c r="AJ91" s="40">
        <f t="shared" si="12"/>
        <v>0</v>
      </c>
      <c r="AK91" s="40">
        <f t="shared" si="12"/>
        <v>0</v>
      </c>
      <c r="AL91" s="40">
        <f t="shared" si="12"/>
        <v>0</v>
      </c>
      <c r="AM91" s="40">
        <f t="shared" si="12"/>
        <v>0</v>
      </c>
      <c r="AN91" s="40">
        <f t="shared" si="12"/>
        <v>0</v>
      </c>
      <c r="AO91" s="40">
        <f t="shared" si="12"/>
        <v>0</v>
      </c>
      <c r="AP91" s="40">
        <f t="shared" si="12"/>
        <v>0</v>
      </c>
      <c r="AQ91" s="40">
        <f t="shared" si="12"/>
        <v>0</v>
      </c>
      <c r="AR91" s="40">
        <f t="shared" si="12"/>
        <v>0</v>
      </c>
      <c r="AS91" s="40">
        <f t="shared" si="12"/>
        <v>0</v>
      </c>
      <c r="AT91" s="40">
        <f t="shared" si="12"/>
        <v>0</v>
      </c>
      <c r="AU91" s="40">
        <f t="shared" si="12"/>
        <v>0</v>
      </c>
      <c r="AV91" s="317">
        <f t="shared" si="12"/>
        <v>26.418887978006342</v>
      </c>
      <c r="AW91" s="317">
        <f t="shared" si="12"/>
        <v>0</v>
      </c>
      <c r="AX91" s="317">
        <f t="shared" si="12"/>
        <v>0</v>
      </c>
      <c r="AY91" s="317">
        <f t="shared" si="12"/>
        <v>3126.6776854942555</v>
      </c>
      <c r="AZ91" s="40">
        <f t="shared" si="12"/>
        <v>0</v>
      </c>
      <c r="BA91" s="40">
        <f t="shared" si="12"/>
        <v>0</v>
      </c>
      <c r="BB91" s="40">
        <f t="shared" si="12"/>
        <v>0</v>
      </c>
      <c r="BC91" s="40">
        <f t="shared" si="12"/>
        <v>26.462764756903614</v>
      </c>
      <c r="BD91" s="40">
        <f t="shared" si="12"/>
        <v>1.5351997129489608E-3</v>
      </c>
      <c r="BE91" s="40">
        <f t="shared" si="12"/>
        <v>5.7296745689645325</v>
      </c>
      <c r="BF91" s="40">
        <f t="shared" si="12"/>
        <v>2.654709568343364E-3</v>
      </c>
      <c r="BG91" s="40">
        <f t="shared" si="12"/>
        <v>0</v>
      </c>
      <c r="BH91" s="40">
        <f t="shared" si="12"/>
        <v>0</v>
      </c>
      <c r="BI91" s="40">
        <f t="shared" si="12"/>
        <v>0</v>
      </c>
      <c r="BJ91" s="40">
        <f t="shared" si="12"/>
        <v>0</v>
      </c>
      <c r="BK91" s="40">
        <f t="shared" si="12"/>
        <v>0</v>
      </c>
      <c r="BL91" s="62">
        <f>BL90</f>
        <v>0.3</v>
      </c>
      <c r="BM91" s="275">
        <f>BM90</f>
        <v>2</v>
      </c>
      <c r="BN91" s="62">
        <v>0</v>
      </c>
      <c r="BO91" s="33" t="str">
        <f>BO90</f>
        <v>TNO 2020 R10987 LCA Achtergrondrapport voor brancherepresentatieve Nederlandse asfaltmengsels 2020</v>
      </c>
    </row>
    <row r="92" spans="1:67">
      <c r="A92" s="33" t="str">
        <f>Database_Productkaarten[[#This Row],[Product]]&amp;", "&amp;Database_Productkaarten[[#This Row],[Levensfase]]</f>
        <v>AC surf 30% PR - PCR 1.0, A4</v>
      </c>
      <c r="B92" s="33" t="s">
        <v>491</v>
      </c>
      <c r="C92" s="33" t="s">
        <v>483</v>
      </c>
      <c r="D92" s="33" t="s">
        <v>377</v>
      </c>
      <c r="E92" s="33" t="s">
        <v>378</v>
      </c>
      <c r="F92" s="33" t="s">
        <v>78</v>
      </c>
      <c r="L92" s="33">
        <v>2.35</v>
      </c>
      <c r="M92" s="269">
        <v>1</v>
      </c>
      <c r="N92" s="41">
        <v>0.62892669999999995</v>
      </c>
      <c r="O92" s="33">
        <v>14</v>
      </c>
      <c r="P92" s="40">
        <v>1.0978337000000001E-5</v>
      </c>
      <c r="Q92" s="40">
        <v>4.3183727999999998E-2</v>
      </c>
      <c r="R92" s="40">
        <v>5.7021305</v>
      </c>
      <c r="S92" s="40">
        <v>1.1335356E-6</v>
      </c>
      <c r="T92" s="40">
        <v>3.5752850000000001E-3</v>
      </c>
      <c r="U92" s="40">
        <v>1.9151161E-2</v>
      </c>
      <c r="V92" s="40">
        <v>3.8023555000000001E-3</v>
      </c>
      <c r="W92" s="40">
        <v>2.0049337999999999</v>
      </c>
      <c r="X92" s="40">
        <v>0.12926487</v>
      </c>
      <c r="Y92" s="40">
        <v>338.63108999999997</v>
      </c>
      <c r="Z92" s="40">
        <v>1.1891815999999999E-2</v>
      </c>
      <c r="AA92" s="40"/>
      <c r="AB92" s="40"/>
      <c r="AC92" s="40"/>
      <c r="AD92" s="40"/>
      <c r="AE92" s="40"/>
      <c r="AF92" s="40"/>
      <c r="AG92" s="40"/>
      <c r="AH92" s="40"/>
      <c r="AI92" s="40"/>
      <c r="AJ92" s="40"/>
      <c r="AK92" s="40"/>
      <c r="AL92" s="40"/>
      <c r="AM92" s="40"/>
      <c r="AN92" s="40"/>
      <c r="AO92" s="40"/>
      <c r="AP92" s="40"/>
      <c r="AQ92" s="40"/>
      <c r="AR92" s="40"/>
      <c r="AS92" s="40"/>
      <c r="AT92" s="40"/>
      <c r="AU92" s="40"/>
      <c r="AV92" s="313">
        <v>0</v>
      </c>
      <c r="AW92" s="317"/>
      <c r="AX92" s="317"/>
      <c r="AY92" s="313">
        <v>0</v>
      </c>
      <c r="AZ92" s="40"/>
      <c r="BA92" s="40"/>
      <c r="BB92" s="40"/>
      <c r="BC92" s="40">
        <v>0</v>
      </c>
      <c r="BD92" s="40">
        <v>0</v>
      </c>
      <c r="BE92" s="40">
        <v>0</v>
      </c>
      <c r="BF92" s="40">
        <v>0</v>
      </c>
      <c r="BG92" s="40"/>
      <c r="BH92" s="40"/>
      <c r="BI92" s="40"/>
      <c r="BJ92" s="40"/>
      <c r="BK92" s="40"/>
      <c r="BL92" s="62">
        <v>0.3</v>
      </c>
      <c r="BM92" s="275">
        <v>2</v>
      </c>
      <c r="BN92" s="62">
        <v>0</v>
      </c>
      <c r="BO92" s="33" t="s">
        <v>485</v>
      </c>
    </row>
    <row r="93" spans="1:67">
      <c r="A93" s="33" t="str">
        <f>Database_Productkaarten[[#This Row],[Product]]&amp;", "&amp;Database_Productkaarten[[#This Row],[Levensfase]]</f>
        <v>AC surf 30% PR - PCR 1.0, A5</v>
      </c>
      <c r="B93" s="33" t="s">
        <v>491</v>
      </c>
      <c r="C93" s="33" t="s">
        <v>483</v>
      </c>
      <c r="D93" s="33" t="s">
        <v>377</v>
      </c>
      <c r="E93" s="33" t="s">
        <v>378</v>
      </c>
      <c r="F93" s="33" t="s">
        <v>79</v>
      </c>
      <c r="L93" s="33">
        <v>2.35</v>
      </c>
      <c r="M93" s="269">
        <v>1</v>
      </c>
      <c r="N93" s="41">
        <v>0.26142994000000003</v>
      </c>
      <c r="O93" s="33">
        <v>14</v>
      </c>
      <c r="P93" s="40">
        <v>6.4405276999999999E-7</v>
      </c>
      <c r="Q93" s="40">
        <v>1.3221688000000001E-2</v>
      </c>
      <c r="R93" s="40">
        <v>2.554217</v>
      </c>
      <c r="S93" s="40">
        <v>3.4623921999999999E-7</v>
      </c>
      <c r="T93" s="40">
        <v>9.5560771999999997E-4</v>
      </c>
      <c r="U93" s="40">
        <v>1.0774331999999999E-2</v>
      </c>
      <c r="V93" s="40">
        <v>2.4326081999999998E-3</v>
      </c>
      <c r="W93" s="40">
        <v>0.67890231999999995</v>
      </c>
      <c r="X93" s="40">
        <v>9.5891563000000003E-3</v>
      </c>
      <c r="Y93" s="40">
        <v>32.339298999999997</v>
      </c>
      <c r="Z93" s="40">
        <v>1.1383995E-3</v>
      </c>
      <c r="AA93" s="40"/>
      <c r="AB93" s="40"/>
      <c r="AC93" s="40"/>
      <c r="AD93" s="40"/>
      <c r="AE93" s="40"/>
      <c r="AF93" s="40"/>
      <c r="AG93" s="40"/>
      <c r="AH93" s="40"/>
      <c r="AI93" s="40"/>
      <c r="AJ93" s="40"/>
      <c r="AK93" s="40"/>
      <c r="AL93" s="40"/>
      <c r="AM93" s="40"/>
      <c r="AN93" s="40"/>
      <c r="AO93" s="40"/>
      <c r="AP93" s="40"/>
      <c r="AQ93" s="40"/>
      <c r="AR93" s="40"/>
      <c r="AS93" s="40"/>
      <c r="AT93" s="40"/>
      <c r="AU93" s="40"/>
      <c r="AV93" s="313">
        <v>0.16170355</v>
      </c>
      <c r="AW93" s="317"/>
      <c r="AX93" s="317"/>
      <c r="AY93" s="313">
        <v>29.640834999999999</v>
      </c>
      <c r="AZ93" s="40"/>
      <c r="BA93" s="40"/>
      <c r="BB93" s="40"/>
      <c r="BC93" s="40">
        <v>3.6528305999999999E-3</v>
      </c>
      <c r="BD93" s="40">
        <v>1.2448785000000001E-5</v>
      </c>
      <c r="BE93" s="40">
        <v>2.9724645000000001E-2</v>
      </c>
      <c r="BF93" s="40">
        <v>1.9389087E-4</v>
      </c>
      <c r="BG93" s="40"/>
      <c r="BH93" s="40"/>
      <c r="BI93" s="40"/>
      <c r="BJ93" s="40"/>
      <c r="BK93" s="40"/>
      <c r="BL93" s="62">
        <v>0.3</v>
      </c>
      <c r="BM93" s="275">
        <v>2</v>
      </c>
      <c r="BN93" s="62">
        <v>0</v>
      </c>
      <c r="BO93" s="33" t="s">
        <v>485</v>
      </c>
    </row>
    <row r="94" spans="1:67">
      <c r="A94" s="33" t="str">
        <f>Database_Productkaarten[[#This Row],[Product]]&amp;", "&amp;Database_Productkaarten[[#This Row],[Levensfase]]</f>
        <v>AC surf 30% PR - PCR 1.0, B1</v>
      </c>
      <c r="B94" s="33" t="s">
        <v>491</v>
      </c>
      <c r="C94" s="33" t="s">
        <v>483</v>
      </c>
      <c r="D94" s="33" t="s">
        <v>377</v>
      </c>
      <c r="E94" s="33" t="s">
        <v>378</v>
      </c>
      <c r="F94" s="33" t="s">
        <v>80</v>
      </c>
      <c r="L94" s="33">
        <v>2.35</v>
      </c>
      <c r="M94" s="269">
        <v>1</v>
      </c>
      <c r="N94" s="41">
        <v>8.2079854999999993E-2</v>
      </c>
      <c r="O94" s="33">
        <v>14</v>
      </c>
      <c r="P94" s="40">
        <v>0</v>
      </c>
      <c r="Q94" s="40">
        <v>0</v>
      </c>
      <c r="R94" s="40">
        <v>0</v>
      </c>
      <c r="S94" s="40">
        <v>0</v>
      </c>
      <c r="T94" s="40">
        <v>0</v>
      </c>
      <c r="U94" s="40">
        <v>0</v>
      </c>
      <c r="V94" s="40">
        <v>0</v>
      </c>
      <c r="W94" s="40">
        <v>0.33065064999999999</v>
      </c>
      <c r="X94" s="40">
        <v>0.35447900999999998</v>
      </c>
      <c r="Y94" s="40">
        <v>416.74824000000001</v>
      </c>
      <c r="Z94" s="40">
        <v>2.016962E-4</v>
      </c>
      <c r="AA94" s="40"/>
      <c r="AB94" s="40"/>
      <c r="AC94" s="40"/>
      <c r="AD94" s="40"/>
      <c r="AE94" s="40"/>
      <c r="AF94" s="40"/>
      <c r="AG94" s="40"/>
      <c r="AH94" s="40"/>
      <c r="AI94" s="40"/>
      <c r="AJ94" s="40"/>
      <c r="AK94" s="40"/>
      <c r="AL94" s="40"/>
      <c r="AM94" s="40"/>
      <c r="AN94" s="40"/>
      <c r="AO94" s="40"/>
      <c r="AP94" s="40"/>
      <c r="AQ94" s="40"/>
      <c r="AR94" s="40"/>
      <c r="AS94" s="40"/>
      <c r="AT94" s="40"/>
      <c r="AU94" s="40"/>
      <c r="AV94" s="313">
        <v>0</v>
      </c>
      <c r="AW94" s="317"/>
      <c r="AX94" s="317"/>
      <c r="AY94" s="313">
        <v>0</v>
      </c>
      <c r="AZ94" s="40"/>
      <c r="BA94" s="40"/>
      <c r="BB94" s="40"/>
      <c r="BC94" s="40">
        <v>0</v>
      </c>
      <c r="BD94" s="40">
        <v>0</v>
      </c>
      <c r="BE94" s="40">
        <v>0</v>
      </c>
      <c r="BF94" s="40">
        <v>0</v>
      </c>
      <c r="BG94" s="40"/>
      <c r="BH94" s="40"/>
      <c r="BI94" s="40"/>
      <c r="BJ94" s="40"/>
      <c r="BK94" s="40"/>
      <c r="BL94" s="62">
        <v>0.3</v>
      </c>
      <c r="BM94" s="275">
        <v>2</v>
      </c>
      <c r="BN94" s="62">
        <v>0</v>
      </c>
      <c r="BO94" s="33" t="s">
        <v>485</v>
      </c>
    </row>
    <row r="95" spans="1:67">
      <c r="A95" s="33" t="str">
        <f>Database_Productkaarten[[#This Row],[Product]]&amp;", "&amp;Database_Productkaarten[[#This Row],[Levensfase]]</f>
        <v>AC surf 30% PR - PCR 1.0, C1</v>
      </c>
      <c r="B95" s="33" t="s">
        <v>491</v>
      </c>
      <c r="C95" s="33" t="s">
        <v>483</v>
      </c>
      <c r="D95" s="33" t="s">
        <v>377</v>
      </c>
      <c r="E95" s="33" t="s">
        <v>378</v>
      </c>
      <c r="F95" s="33" t="s">
        <v>83</v>
      </c>
      <c r="L95" s="33">
        <v>2.35</v>
      </c>
      <c r="M95" s="269">
        <v>1</v>
      </c>
      <c r="N95" s="41">
        <v>0.13639726999999999</v>
      </c>
      <c r="O95" s="33">
        <v>14</v>
      </c>
      <c r="P95" s="40">
        <v>3.6644380999999999E-7</v>
      </c>
      <c r="Q95" s="40">
        <v>7.5226846000000002E-3</v>
      </c>
      <c r="R95" s="40">
        <v>1.4532613999999999</v>
      </c>
      <c r="S95" s="40">
        <v>1.9699817000000001E-7</v>
      </c>
      <c r="T95" s="40">
        <v>4.8171299999999999E-4</v>
      </c>
      <c r="U95" s="40">
        <v>4.2661764999999997E-3</v>
      </c>
      <c r="V95" s="40">
        <v>8.9941806E-4</v>
      </c>
      <c r="W95" s="40">
        <v>0.38176861000000001</v>
      </c>
      <c r="X95" s="40">
        <v>5.4558992000000002E-3</v>
      </c>
      <c r="Y95" s="40">
        <v>18.399946</v>
      </c>
      <c r="Z95" s="40">
        <v>6.4771006999999995E-4</v>
      </c>
      <c r="AA95" s="40"/>
      <c r="AB95" s="40"/>
      <c r="AC95" s="40"/>
      <c r="AD95" s="40"/>
      <c r="AE95" s="40"/>
      <c r="AF95" s="40"/>
      <c r="AG95" s="40"/>
      <c r="AH95" s="40"/>
      <c r="AI95" s="40"/>
      <c r="AJ95" s="40"/>
      <c r="AK95" s="40"/>
      <c r="AL95" s="40"/>
      <c r="AM95" s="40"/>
      <c r="AN95" s="40"/>
      <c r="AO95" s="40"/>
      <c r="AP95" s="40"/>
      <c r="AQ95" s="40"/>
      <c r="AR95" s="40"/>
      <c r="AS95" s="40"/>
      <c r="AT95" s="40"/>
      <c r="AU95" s="40"/>
      <c r="AV95" s="313">
        <v>9.2003741E-2</v>
      </c>
      <c r="AW95" s="317"/>
      <c r="AX95" s="317"/>
      <c r="AY95" s="313">
        <v>16.864612999999999</v>
      </c>
      <c r="AZ95" s="40"/>
      <c r="BA95" s="40"/>
      <c r="BB95" s="40"/>
      <c r="BC95" s="40">
        <v>2.0783346E-3</v>
      </c>
      <c r="BD95" s="40">
        <v>7.0829294000000003E-6</v>
      </c>
      <c r="BE95" s="40">
        <v>1.6912297999999999E-2</v>
      </c>
      <c r="BF95" s="40">
        <v>1.1031722E-4</v>
      </c>
      <c r="BG95" s="40"/>
      <c r="BH95" s="40"/>
      <c r="BI95" s="40"/>
      <c r="BJ95" s="40"/>
      <c r="BK95" s="40"/>
      <c r="BL95" s="62">
        <v>0.3</v>
      </c>
      <c r="BM95" s="275">
        <v>2</v>
      </c>
      <c r="BN95" s="62">
        <v>0</v>
      </c>
      <c r="BO95" s="33" t="s">
        <v>485</v>
      </c>
    </row>
    <row r="96" spans="1:67">
      <c r="A96" s="33" t="str">
        <f>Database_Productkaarten[[#This Row],[Product]]&amp;", "&amp;Database_Productkaarten[[#This Row],[Levensfase]]</f>
        <v>AC surf 30% PR - PCR 1.0, C2</v>
      </c>
      <c r="B96" s="33" t="s">
        <v>491</v>
      </c>
      <c r="C96" s="33" t="s">
        <v>483</v>
      </c>
      <c r="D96" s="33" t="s">
        <v>377</v>
      </c>
      <c r="E96" s="33" t="s">
        <v>378</v>
      </c>
      <c r="F96" s="33" t="s">
        <v>84</v>
      </c>
      <c r="L96" s="33">
        <v>2.35</v>
      </c>
      <c r="M96" s="269">
        <v>1</v>
      </c>
      <c r="N96" s="41">
        <v>0.62892669999999995</v>
      </c>
      <c r="O96" s="33">
        <v>14</v>
      </c>
      <c r="P96" s="40">
        <v>1.0978337000000001E-5</v>
      </c>
      <c r="Q96" s="40">
        <v>4.3183727999999998E-2</v>
      </c>
      <c r="R96" s="40">
        <v>5.7021305</v>
      </c>
      <c r="S96" s="40">
        <v>1.1335356E-6</v>
      </c>
      <c r="T96" s="40">
        <v>3.5752850000000001E-3</v>
      </c>
      <c r="U96" s="40">
        <v>1.9151161E-2</v>
      </c>
      <c r="V96" s="40">
        <v>3.8023555000000001E-3</v>
      </c>
      <c r="W96" s="40">
        <v>2.0049337999999999</v>
      </c>
      <c r="X96" s="40">
        <v>0.12926487</v>
      </c>
      <c r="Y96" s="40">
        <v>338.63108999999997</v>
      </c>
      <c r="Z96" s="40">
        <v>1.1891815999999999E-2</v>
      </c>
      <c r="AA96" s="40"/>
      <c r="AB96" s="40"/>
      <c r="AC96" s="40"/>
      <c r="AD96" s="40"/>
      <c r="AE96" s="40"/>
      <c r="AF96" s="40"/>
      <c r="AG96" s="40"/>
      <c r="AH96" s="40"/>
      <c r="AI96" s="40"/>
      <c r="AJ96" s="40"/>
      <c r="AK96" s="40"/>
      <c r="AL96" s="40"/>
      <c r="AM96" s="40"/>
      <c r="AN96" s="40"/>
      <c r="AO96" s="40"/>
      <c r="AP96" s="40"/>
      <c r="AQ96" s="40"/>
      <c r="AR96" s="40"/>
      <c r="AS96" s="40"/>
      <c r="AT96" s="40"/>
      <c r="AU96" s="40"/>
      <c r="AV96" s="313">
        <v>0</v>
      </c>
      <c r="AW96" s="317"/>
      <c r="AX96" s="317"/>
      <c r="AY96" s="313">
        <v>0</v>
      </c>
      <c r="AZ96" s="40"/>
      <c r="BA96" s="40"/>
      <c r="BB96" s="40"/>
      <c r="BC96" s="40">
        <v>0</v>
      </c>
      <c r="BD96" s="40">
        <v>0</v>
      </c>
      <c r="BE96" s="40">
        <v>0</v>
      </c>
      <c r="BF96" s="40">
        <v>0</v>
      </c>
      <c r="BG96" s="40"/>
      <c r="BH96" s="40"/>
      <c r="BI96" s="40"/>
      <c r="BJ96" s="40"/>
      <c r="BK96" s="40"/>
      <c r="BL96" s="62">
        <v>0.3</v>
      </c>
      <c r="BM96" s="275">
        <v>2</v>
      </c>
      <c r="BN96" s="62">
        <v>0</v>
      </c>
      <c r="BO96" s="33" t="s">
        <v>485</v>
      </c>
    </row>
    <row r="97" spans="1:67">
      <c r="A97" s="33" t="str">
        <f>Database_Productkaarten[[#This Row],[Product]]&amp;", "&amp;Database_Productkaarten[[#This Row],[Levensfase]]</f>
        <v>AC surf 30% PR - PCR 1.0, C3</v>
      </c>
      <c r="B97" s="33" t="s">
        <v>491</v>
      </c>
      <c r="C97" s="33" t="s">
        <v>483</v>
      </c>
      <c r="D97" s="33" t="s">
        <v>377</v>
      </c>
      <c r="E97" s="33" t="s">
        <v>378</v>
      </c>
      <c r="F97" s="33" t="s">
        <v>85</v>
      </c>
      <c r="L97" s="33">
        <v>2.35</v>
      </c>
      <c r="M97" s="269">
        <v>1</v>
      </c>
      <c r="N97" s="41">
        <v>0.16120214999999999</v>
      </c>
      <c r="O97" s="33">
        <v>14</v>
      </c>
      <c r="P97" s="40">
        <v>4.1291555000000003E-7</v>
      </c>
      <c r="Q97" s="40">
        <v>8.4766977000000007E-3</v>
      </c>
      <c r="R97" s="40">
        <v>1.6375614000000001</v>
      </c>
      <c r="S97" s="40">
        <v>2.2198113E-7</v>
      </c>
      <c r="T97" s="40">
        <v>5.9777666999999998E-4</v>
      </c>
      <c r="U97" s="40">
        <v>5.9352911999999997E-3</v>
      </c>
      <c r="V97" s="40">
        <v>1.3067828999999999E-3</v>
      </c>
      <c r="W97" s="40">
        <v>0.43290835999999999</v>
      </c>
      <c r="X97" s="40">
        <v>6.1478065000000002E-3</v>
      </c>
      <c r="Y97" s="40">
        <v>20.733394000000001</v>
      </c>
      <c r="Z97" s="40">
        <v>7.2985148000000004E-4</v>
      </c>
      <c r="AA97" s="40"/>
      <c r="AB97" s="40"/>
      <c r="AC97" s="40"/>
      <c r="AD97" s="40"/>
      <c r="AE97" s="40"/>
      <c r="AF97" s="40"/>
      <c r="AG97" s="40"/>
      <c r="AH97" s="40"/>
      <c r="AI97" s="40"/>
      <c r="AJ97" s="40"/>
      <c r="AK97" s="40"/>
      <c r="AL97" s="40"/>
      <c r="AM97" s="40"/>
      <c r="AN97" s="40"/>
      <c r="AO97" s="40"/>
      <c r="AP97" s="40"/>
      <c r="AQ97" s="40"/>
      <c r="AR97" s="40"/>
      <c r="AS97" s="40"/>
      <c r="AT97" s="40"/>
      <c r="AU97" s="40"/>
      <c r="AV97" s="313">
        <v>0.10367149000000001</v>
      </c>
      <c r="AW97" s="317"/>
      <c r="AX97" s="317"/>
      <c r="AY97" s="313">
        <v>19.003353000000001</v>
      </c>
      <c r="AZ97" s="40"/>
      <c r="BA97" s="40"/>
      <c r="BB97" s="40"/>
      <c r="BC97" s="40">
        <v>2.3419052000000001E-3</v>
      </c>
      <c r="BD97" s="40">
        <v>7.9811735999999999E-6</v>
      </c>
      <c r="BE97" s="40">
        <v>1.9057085000000001E-2</v>
      </c>
      <c r="BF97" s="40">
        <v>1.2430745000000001E-4</v>
      </c>
      <c r="BG97" s="40"/>
      <c r="BH97" s="40"/>
      <c r="BI97" s="40"/>
      <c r="BJ97" s="40"/>
      <c r="BK97" s="40"/>
      <c r="BL97" s="62">
        <v>0.3</v>
      </c>
      <c r="BM97" s="275">
        <v>2</v>
      </c>
      <c r="BN97" s="62">
        <v>0</v>
      </c>
      <c r="BO97" s="33" t="s">
        <v>485</v>
      </c>
    </row>
    <row r="98" spans="1:67">
      <c r="A98" s="33" t="str">
        <f>Database_Productkaarten[[#This Row],[Product]]&amp;", "&amp;Database_Productkaarten[[#This Row],[Levensfase]]</f>
        <v>AC surf 30% PR - PCR 1.0, D</v>
      </c>
      <c r="B98" s="33" t="str">
        <f>B99</f>
        <v>AC surf 30% PR - PCR 1.0</v>
      </c>
      <c r="C98" s="33" t="str">
        <f>C99</f>
        <v>Bitumineuze verhardingen</v>
      </c>
      <c r="D98" s="33" t="str">
        <f>D99</f>
        <v>AC surf</v>
      </c>
      <c r="E98" s="33" t="str">
        <f>E99</f>
        <v>Ton</v>
      </c>
      <c r="F98" s="33" t="s">
        <v>89</v>
      </c>
      <c r="L98" s="33">
        <f>L99</f>
        <v>2.35</v>
      </c>
      <c r="M98" s="45">
        <f>M99</f>
        <v>1</v>
      </c>
      <c r="N98" s="41">
        <f>SUM(N99:N100)</f>
        <v>-4.2143586678923119</v>
      </c>
      <c r="O98" s="33">
        <f>O99</f>
        <v>14</v>
      </c>
      <c r="P98" s="40">
        <f>SUM(P99:P100)</f>
        <v>-4.7337721093200163E-5</v>
      </c>
      <c r="Q98" s="40">
        <f>SUM(Q99:Q100)</f>
        <v>-0.58532819879861564</v>
      </c>
      <c r="R98" s="40">
        <f>SUM(R99:R100)</f>
        <v>-31.123548244294419</v>
      </c>
      <c r="S98" s="40">
        <f t="shared" ref="S98:BK98" si="13">SUM(S99:S100)</f>
        <v>-3.2766802525821101E-6</v>
      </c>
      <c r="T98" s="40">
        <f t="shared" si="13"/>
        <v>-6.2262656949990482E-2</v>
      </c>
      <c r="U98" s="40">
        <f t="shared" si="13"/>
        <v>-0.24626565379072646</v>
      </c>
      <c r="V98" s="40">
        <f t="shared" si="13"/>
        <v>-2.8645436675879529E-2</v>
      </c>
      <c r="W98" s="40">
        <f t="shared" si="13"/>
        <v>-8.6958307783291762</v>
      </c>
      <c r="X98" s="40">
        <f t="shared" si="13"/>
        <v>-0.8817735024221367</v>
      </c>
      <c r="Y98" s="40">
        <f t="shared" si="13"/>
        <v>-3812.0699828706101</v>
      </c>
      <c r="Z98" s="40">
        <f t="shared" si="13"/>
        <v>-0.1173814792341564</v>
      </c>
      <c r="AA98" s="40">
        <f t="shared" si="13"/>
        <v>0</v>
      </c>
      <c r="AB98" s="40">
        <f t="shared" si="13"/>
        <v>0</v>
      </c>
      <c r="AC98" s="40">
        <f t="shared" si="13"/>
        <v>0</v>
      </c>
      <c r="AD98" s="40">
        <f t="shared" si="13"/>
        <v>0</v>
      </c>
      <c r="AE98" s="40">
        <f t="shared" si="13"/>
        <v>0</v>
      </c>
      <c r="AF98" s="40">
        <f t="shared" si="13"/>
        <v>0</v>
      </c>
      <c r="AG98" s="40">
        <f t="shared" si="13"/>
        <v>0</v>
      </c>
      <c r="AH98" s="40">
        <f t="shared" si="13"/>
        <v>0</v>
      </c>
      <c r="AI98" s="40">
        <f t="shared" si="13"/>
        <v>0</v>
      </c>
      <c r="AJ98" s="40">
        <f t="shared" si="13"/>
        <v>0</v>
      </c>
      <c r="AK98" s="40">
        <f t="shared" si="13"/>
        <v>0</v>
      </c>
      <c r="AL98" s="40">
        <f t="shared" si="13"/>
        <v>0</v>
      </c>
      <c r="AM98" s="40">
        <f t="shared" si="13"/>
        <v>0</v>
      </c>
      <c r="AN98" s="40">
        <f t="shared" si="13"/>
        <v>0</v>
      </c>
      <c r="AO98" s="40">
        <f t="shared" si="13"/>
        <v>0</v>
      </c>
      <c r="AP98" s="40">
        <f t="shared" si="13"/>
        <v>0</v>
      </c>
      <c r="AQ98" s="40">
        <f t="shared" si="13"/>
        <v>0</v>
      </c>
      <c r="AR98" s="40">
        <f t="shared" si="13"/>
        <v>0</v>
      </c>
      <c r="AS98" s="40">
        <f t="shared" si="13"/>
        <v>0</v>
      </c>
      <c r="AT98" s="40">
        <f t="shared" si="13"/>
        <v>0</v>
      </c>
      <c r="AU98" s="40">
        <f t="shared" si="13"/>
        <v>0</v>
      </c>
      <c r="AV98" s="317">
        <f t="shared" si="13"/>
        <v>-10.936856670994318</v>
      </c>
      <c r="AW98" s="317">
        <f t="shared" si="13"/>
        <v>0</v>
      </c>
      <c r="AX98" s="317">
        <f t="shared" si="13"/>
        <v>0</v>
      </c>
      <c r="AY98" s="317">
        <f t="shared" si="13"/>
        <v>-1316.6253546107507</v>
      </c>
      <c r="AZ98" s="40">
        <f t="shared" si="13"/>
        <v>0</v>
      </c>
      <c r="BA98" s="40">
        <f t="shared" si="13"/>
        <v>0</v>
      </c>
      <c r="BB98" s="40">
        <f t="shared" si="13"/>
        <v>0</v>
      </c>
      <c r="BC98" s="40">
        <f t="shared" si="13"/>
        <v>-12.427904336969727</v>
      </c>
      <c r="BD98" s="40">
        <f t="shared" si="13"/>
        <v>-4.9854808801969984E-4</v>
      </c>
      <c r="BE98" s="40">
        <f t="shared" si="13"/>
        <v>-3.2088601639696535</v>
      </c>
      <c r="BF98" s="40">
        <f t="shared" si="13"/>
        <v>-1.3541442325441348E-3</v>
      </c>
      <c r="BG98" s="40">
        <f t="shared" si="13"/>
        <v>0</v>
      </c>
      <c r="BH98" s="40">
        <f t="shared" si="13"/>
        <v>0</v>
      </c>
      <c r="BI98" s="40">
        <f t="shared" si="13"/>
        <v>0</v>
      </c>
      <c r="BJ98" s="40">
        <f t="shared" si="13"/>
        <v>0</v>
      </c>
      <c r="BK98" s="40">
        <f t="shared" si="13"/>
        <v>0</v>
      </c>
      <c r="BL98" s="62">
        <f>BL99</f>
        <v>0.3</v>
      </c>
      <c r="BM98" s="275">
        <f>BM99</f>
        <v>2</v>
      </c>
      <c r="BN98" s="62">
        <v>0</v>
      </c>
      <c r="BO98" s="33" t="str">
        <f>BO99</f>
        <v>TNO 2020 R10987 LCA Achtergrondrapport voor brancherepresentatieve Nederlandse asfaltmengsels 2020</v>
      </c>
    </row>
    <row r="99" spans="1:67">
      <c r="A99" s="33" t="str">
        <f>Database_Productkaarten[[#This Row],[Product]]&amp;", "&amp;Database_Productkaarten[[#This Row],[Levensfase]]</f>
        <v>AC surf 30% PR - PCR 1.0, D1</v>
      </c>
      <c r="B99" s="33" t="s">
        <v>491</v>
      </c>
      <c r="C99" s="33" t="s">
        <v>483</v>
      </c>
      <c r="D99" s="33" t="s">
        <v>377</v>
      </c>
      <c r="E99" s="33" t="s">
        <v>378</v>
      </c>
      <c r="F99" s="33" t="s">
        <v>87</v>
      </c>
      <c r="L99" s="33">
        <v>2.35</v>
      </c>
      <c r="M99" s="269">
        <v>1</v>
      </c>
      <c r="N99" s="41">
        <v>-2.8364291189220756</v>
      </c>
      <c r="O99" s="33">
        <v>14</v>
      </c>
      <c r="P99" s="40">
        <v>-3.8205383680516636E-5</v>
      </c>
      <c r="Q99" s="40">
        <v>-0.51778696580029493</v>
      </c>
      <c r="R99" s="40">
        <v>-21.074056724277821</v>
      </c>
      <c r="S99" s="40">
        <v>-1.668906769592877E-6</v>
      </c>
      <c r="T99" s="40">
        <v>-5.52150677573899E-2</v>
      </c>
      <c r="U99" s="40">
        <v>-0.14806395131410113</v>
      </c>
      <c r="V99" s="40">
        <v>-1.3036330788829849E-2</v>
      </c>
      <c r="W99" s="40">
        <v>-5.5069061650125013</v>
      </c>
      <c r="X99" s="40">
        <v>-0.8062254483130058</v>
      </c>
      <c r="Y99" s="40">
        <v>-3540.3105850493666</v>
      </c>
      <c r="Z99" s="40">
        <v>-0.10460308172142559</v>
      </c>
      <c r="AA99" s="40"/>
      <c r="AB99" s="40"/>
      <c r="AC99" s="40"/>
      <c r="AD99" s="40"/>
      <c r="AE99" s="40"/>
      <c r="AF99" s="40"/>
      <c r="AG99" s="40"/>
      <c r="AH99" s="40"/>
      <c r="AI99" s="40"/>
      <c r="AJ99" s="40"/>
      <c r="AK99" s="40"/>
      <c r="AL99" s="40"/>
      <c r="AM99" s="40"/>
      <c r="AN99" s="40"/>
      <c r="AO99" s="40"/>
      <c r="AP99" s="40"/>
      <c r="AQ99" s="40"/>
      <c r="AR99" s="40"/>
      <c r="AS99" s="40"/>
      <c r="AT99" s="40"/>
      <c r="AU99" s="40"/>
      <c r="AV99" s="313">
        <v>-8.1158668604584534</v>
      </c>
      <c r="AW99" s="317"/>
      <c r="AX99" s="317"/>
      <c r="AY99" s="313">
        <v>-1166.8388920240288</v>
      </c>
      <c r="AZ99" s="40"/>
      <c r="BA99" s="40"/>
      <c r="BB99" s="40"/>
      <c r="BC99" s="40">
        <v>-12.395570645485787</v>
      </c>
      <c r="BD99" s="40">
        <v>-3.993992418809443E-4</v>
      </c>
      <c r="BE99" s="40">
        <v>-1.1664073130824304</v>
      </c>
      <c r="BF99" s="40">
        <v>-4.2102250252926886E-4</v>
      </c>
      <c r="BG99" s="40"/>
      <c r="BH99" s="40"/>
      <c r="BI99" s="40"/>
      <c r="BJ99" s="40"/>
      <c r="BK99" s="40"/>
      <c r="BL99" s="62">
        <v>0.3</v>
      </c>
      <c r="BM99" s="275">
        <v>2</v>
      </c>
      <c r="BN99" s="62">
        <v>0</v>
      </c>
      <c r="BO99" s="33" t="s">
        <v>485</v>
      </c>
    </row>
    <row r="100" spans="1:67">
      <c r="A100" s="33" t="str">
        <f>Database_Productkaarten[[#This Row],[Product]]&amp;", "&amp;Database_Productkaarten[[#This Row],[Levensfase]]</f>
        <v>AC surf 30% PR - PCR 1.0, D2</v>
      </c>
      <c r="B100" s="33" t="s">
        <v>491</v>
      </c>
      <c r="C100" s="33" t="s">
        <v>483</v>
      </c>
      <c r="D100" s="33" t="s">
        <v>377</v>
      </c>
      <c r="E100" s="33" t="s">
        <v>378</v>
      </c>
      <c r="F100" s="33" t="s">
        <v>88</v>
      </c>
      <c r="L100" s="33">
        <v>2.35</v>
      </c>
      <c r="M100" s="269">
        <v>1</v>
      </c>
      <c r="N100" s="41">
        <v>-1.3779295489702363</v>
      </c>
      <c r="O100" s="33">
        <v>14</v>
      </c>
      <c r="P100" s="40">
        <v>-9.1323374126835272E-6</v>
      </c>
      <c r="Q100" s="40">
        <v>-6.7541232998320683E-2</v>
      </c>
      <c r="R100" s="40">
        <v>-10.0494915200166</v>
      </c>
      <c r="S100" s="40">
        <v>-1.6077734829892331E-6</v>
      </c>
      <c r="T100" s="40">
        <v>-7.0475891926005795E-3</v>
      </c>
      <c r="U100" s="40">
        <v>-9.8201702476625324E-2</v>
      </c>
      <c r="V100" s="40">
        <v>-1.5609105887049682E-2</v>
      </c>
      <c r="W100" s="40">
        <v>-3.1889246133166749</v>
      </c>
      <c r="X100" s="40">
        <v>-7.5548054109130874E-2</v>
      </c>
      <c r="Y100" s="40">
        <v>-271.75939782124362</v>
      </c>
      <c r="Z100" s="40">
        <v>-1.2778397512730813E-2</v>
      </c>
      <c r="AA100" s="40"/>
      <c r="AB100" s="40"/>
      <c r="AC100" s="40"/>
      <c r="AD100" s="40"/>
      <c r="AE100" s="40"/>
      <c r="AF100" s="40"/>
      <c r="AG100" s="40"/>
      <c r="AH100" s="40"/>
      <c r="AI100" s="40"/>
      <c r="AJ100" s="40"/>
      <c r="AK100" s="40"/>
      <c r="AL100" s="40"/>
      <c r="AM100" s="40"/>
      <c r="AN100" s="40"/>
      <c r="AO100" s="40"/>
      <c r="AP100" s="40"/>
      <c r="AQ100" s="40"/>
      <c r="AR100" s="40"/>
      <c r="AS100" s="40"/>
      <c r="AT100" s="40"/>
      <c r="AU100" s="40"/>
      <c r="AV100" s="313">
        <v>-2.8209898105358651</v>
      </c>
      <c r="AW100" s="317"/>
      <c r="AX100" s="317"/>
      <c r="AY100" s="313">
        <v>-149.78646258672197</v>
      </c>
      <c r="AZ100" s="40"/>
      <c r="BA100" s="40"/>
      <c r="BB100" s="40"/>
      <c r="BC100" s="40">
        <v>-3.2333691483939789E-2</v>
      </c>
      <c r="BD100" s="40">
        <v>-9.9148846138755572E-5</v>
      </c>
      <c r="BE100" s="40">
        <v>-2.0424528508872233</v>
      </c>
      <c r="BF100" s="40">
        <v>-9.3312173001486591E-4</v>
      </c>
      <c r="BG100" s="40"/>
      <c r="BH100" s="40"/>
      <c r="BI100" s="40"/>
      <c r="BJ100" s="40"/>
      <c r="BK100" s="40"/>
      <c r="BL100" s="62">
        <v>0.3</v>
      </c>
      <c r="BM100" s="275">
        <v>2</v>
      </c>
      <c r="BN100" s="62">
        <v>0</v>
      </c>
      <c r="BO100" s="33" t="s">
        <v>485</v>
      </c>
    </row>
    <row r="101" spans="1:67">
      <c r="A101" s="33" t="str">
        <f>Database_Productkaarten[[#This Row],[Product]]&amp;", "&amp;Database_Productkaarten[[#This Row],[Levensfase]]</f>
        <v>AC Surf G.M. 0% PR - PCR 1.0, Totaal</v>
      </c>
      <c r="B101" s="33" t="s">
        <v>492</v>
      </c>
      <c r="C101" s="33" t="s">
        <v>483</v>
      </c>
      <c r="D101" s="33" t="s">
        <v>377</v>
      </c>
      <c r="E101" s="33" t="s">
        <v>378</v>
      </c>
      <c r="F101" s="33" t="s">
        <v>90</v>
      </c>
      <c r="L101" s="33">
        <v>2.35</v>
      </c>
      <c r="M101" s="269">
        <v>1</v>
      </c>
      <c r="N101" s="41">
        <v>9.787380492653174</v>
      </c>
      <c r="O101" s="33">
        <v>14</v>
      </c>
      <c r="P101" s="40">
        <v>5.7215916934873407E-4</v>
      </c>
      <c r="Q101" s="40">
        <v>1.1577827120555297</v>
      </c>
      <c r="R101" s="40">
        <v>89.85085417234329</v>
      </c>
      <c r="S101" s="40">
        <v>1.2259767801848575E-5</v>
      </c>
      <c r="T101" s="40">
        <v>9.6628943342874349E-2</v>
      </c>
      <c r="U101" s="40">
        <v>0.40216346973304018</v>
      </c>
      <c r="V101" s="40">
        <v>5.333855206121918E-2</v>
      </c>
      <c r="W101" s="40">
        <v>24.373104709846693</v>
      </c>
      <c r="X101" s="40">
        <v>1.6999446387516539</v>
      </c>
      <c r="Y101" s="40">
        <v>5705.5467496548536</v>
      </c>
      <c r="Z101" s="40">
        <v>0.20247738976740015</v>
      </c>
      <c r="AA101" s="40"/>
      <c r="AB101" s="40"/>
      <c r="AC101" s="40"/>
      <c r="AD101" s="40"/>
      <c r="AE101" s="40"/>
      <c r="AF101" s="40"/>
      <c r="AG101" s="40"/>
      <c r="AH101" s="40"/>
      <c r="AI101" s="40"/>
      <c r="AJ101" s="40"/>
      <c r="AK101" s="40"/>
      <c r="AL101" s="40"/>
      <c r="AM101" s="40"/>
      <c r="AN101" s="40"/>
      <c r="AO101" s="40"/>
      <c r="AP101" s="40"/>
      <c r="AQ101" s="40"/>
      <c r="AR101" s="40"/>
      <c r="AS101" s="40"/>
      <c r="AT101" s="40"/>
      <c r="AU101" s="40"/>
      <c r="AV101" s="313">
        <v>38.49674777913868</v>
      </c>
      <c r="AW101" s="317"/>
      <c r="AX101" s="317"/>
      <c r="AY101" s="313">
        <v>2358.8594186202722</v>
      </c>
      <c r="AZ101" s="40"/>
      <c r="BA101" s="40"/>
      <c r="BB101" s="40"/>
      <c r="BC101" s="40">
        <v>13.215641925127532</v>
      </c>
      <c r="BD101" s="40">
        <v>1.4087637215522927E-3</v>
      </c>
      <c r="BE101" s="40">
        <v>5.7491946147504871</v>
      </c>
      <c r="BF101" s="40">
        <v>3.9959732003042496E-3</v>
      </c>
      <c r="BG101" s="40"/>
      <c r="BH101" s="40"/>
      <c r="BI101" s="40"/>
      <c r="BJ101" s="40"/>
      <c r="BK101" s="40"/>
      <c r="BL101" s="62">
        <v>0</v>
      </c>
      <c r="BM101" s="275">
        <v>2</v>
      </c>
      <c r="BN101" s="62">
        <v>0</v>
      </c>
      <c r="BO101" s="33" t="s">
        <v>485</v>
      </c>
    </row>
    <row r="102" spans="1:67">
      <c r="A102" s="33" t="str">
        <f>Database_Productkaarten[[#This Row],[Product]]&amp;", "&amp;Database_Productkaarten[[#This Row],[Levensfase]]</f>
        <v>AC Surf G.M. 0% PR - PCR 1.0, A1</v>
      </c>
      <c r="B102" s="33" t="s">
        <v>492</v>
      </c>
      <c r="C102" s="33" t="s">
        <v>483</v>
      </c>
      <c r="D102" s="33" t="s">
        <v>377</v>
      </c>
      <c r="E102" s="33" t="s">
        <v>378</v>
      </c>
      <c r="F102" s="33" t="s">
        <v>74</v>
      </c>
      <c r="L102" s="33">
        <v>2.35</v>
      </c>
      <c r="M102" s="269">
        <v>1</v>
      </c>
      <c r="N102" s="41">
        <v>9.1522343419999999</v>
      </c>
      <c r="O102" s="33">
        <v>14</v>
      </c>
      <c r="P102" s="40">
        <v>5.8998724479999997E-4</v>
      </c>
      <c r="Q102" s="40">
        <v>1.5078164479</v>
      </c>
      <c r="R102" s="40">
        <v>71.389592816999993</v>
      </c>
      <c r="S102" s="40">
        <v>7.8291159899999999E-6</v>
      </c>
      <c r="T102" s="40">
        <v>0.15539327456000002</v>
      </c>
      <c r="U102" s="40">
        <v>0.45050718150000002</v>
      </c>
      <c r="V102" s="40">
        <v>4.5308842799999999E-2</v>
      </c>
      <c r="W102" s="40">
        <v>20.322479528999999</v>
      </c>
      <c r="X102" s="40">
        <v>2.1016071453</v>
      </c>
      <c r="Y102" s="40">
        <v>9116.3617226469996</v>
      </c>
      <c r="Z102" s="40">
        <v>0.2862152717</v>
      </c>
      <c r="AA102" s="40"/>
      <c r="AB102" s="40"/>
      <c r="AC102" s="40"/>
      <c r="AD102" s="40"/>
      <c r="AE102" s="40"/>
      <c r="AF102" s="40"/>
      <c r="AG102" s="40"/>
      <c r="AH102" s="40"/>
      <c r="AI102" s="40"/>
      <c r="AJ102" s="40"/>
      <c r="AK102" s="40"/>
      <c r="AL102" s="40"/>
      <c r="AM102" s="40"/>
      <c r="AN102" s="40"/>
      <c r="AO102" s="40"/>
      <c r="AP102" s="40"/>
      <c r="AQ102" s="40"/>
      <c r="AR102" s="40"/>
      <c r="AS102" s="40"/>
      <c r="AT102" s="40"/>
      <c r="AU102" s="40"/>
      <c r="AV102" s="313">
        <v>40.321062544</v>
      </c>
      <c r="AW102" s="317"/>
      <c r="AX102" s="317"/>
      <c r="AY102" s="313">
        <v>3390.6268445320002</v>
      </c>
      <c r="AZ102" s="40"/>
      <c r="BA102" s="40"/>
      <c r="BB102" s="40"/>
      <c r="BC102" s="40">
        <v>30.285057884100002</v>
      </c>
      <c r="BD102" s="40">
        <v>1.329057173E-3</v>
      </c>
      <c r="BE102" s="40">
        <v>5.5953647580000005</v>
      </c>
      <c r="BF102" s="40">
        <v>3.2159923180000004E-3</v>
      </c>
      <c r="BG102" s="40"/>
      <c r="BH102" s="40"/>
      <c r="BI102" s="40"/>
      <c r="BJ102" s="40"/>
      <c r="BK102" s="40"/>
      <c r="BL102" s="62">
        <v>0</v>
      </c>
      <c r="BM102" s="275">
        <v>2</v>
      </c>
      <c r="BN102" s="62">
        <v>0</v>
      </c>
      <c r="BO102" s="33" t="s">
        <v>485</v>
      </c>
    </row>
    <row r="103" spans="1:67">
      <c r="A103" s="33" t="str">
        <f>Database_Productkaarten[[#This Row],[Product]]&amp;", "&amp;Database_Productkaarten[[#This Row],[Levensfase]]</f>
        <v>AC Surf G.M. 0% PR - PCR 1.0, A2</v>
      </c>
      <c r="B103" s="33" t="s">
        <v>492</v>
      </c>
      <c r="C103" s="33" t="s">
        <v>483</v>
      </c>
      <c r="D103" s="33" t="s">
        <v>377</v>
      </c>
      <c r="E103" s="33" t="s">
        <v>378</v>
      </c>
      <c r="F103" s="33" t="s">
        <v>75</v>
      </c>
      <c r="L103" s="33">
        <v>2.35</v>
      </c>
      <c r="M103" s="269">
        <v>1</v>
      </c>
      <c r="N103" s="41">
        <v>2.7393857558250008</v>
      </c>
      <c r="O103" s="33">
        <v>14</v>
      </c>
      <c r="P103" s="40">
        <v>1.8490090033950002E-5</v>
      </c>
      <c r="Q103" s="40">
        <v>0.1274367225461</v>
      </c>
      <c r="R103" s="40">
        <v>18.627666669179998</v>
      </c>
      <c r="S103" s="40">
        <v>3.0335723029899996E-6</v>
      </c>
      <c r="T103" s="40">
        <v>1.4201976708700001E-2</v>
      </c>
      <c r="U103" s="40">
        <v>0.21031537546960002</v>
      </c>
      <c r="V103" s="40">
        <v>2.8731476857200001E-2</v>
      </c>
      <c r="W103" s="40">
        <v>6.61666717588</v>
      </c>
      <c r="X103" s="40">
        <v>0.15118794417599998</v>
      </c>
      <c r="Y103" s="40">
        <v>577.5016847979449</v>
      </c>
      <c r="Z103" s="40">
        <v>2.4635907337700005E-2</v>
      </c>
      <c r="AA103" s="40"/>
      <c r="AB103" s="40"/>
      <c r="AC103" s="40"/>
      <c r="AD103" s="40"/>
      <c r="AE103" s="40"/>
      <c r="AF103" s="40"/>
      <c r="AG103" s="40"/>
      <c r="AH103" s="40"/>
      <c r="AI103" s="40"/>
      <c r="AJ103" s="40"/>
      <c r="AK103" s="40"/>
      <c r="AL103" s="40"/>
      <c r="AM103" s="40"/>
      <c r="AN103" s="40"/>
      <c r="AO103" s="40"/>
      <c r="AP103" s="40"/>
      <c r="AQ103" s="40"/>
      <c r="AR103" s="40"/>
      <c r="AS103" s="40"/>
      <c r="AT103" s="40"/>
      <c r="AU103" s="40"/>
      <c r="AV103" s="313">
        <v>5.1652706683049994</v>
      </c>
      <c r="AW103" s="317"/>
      <c r="AX103" s="317"/>
      <c r="AY103" s="313">
        <v>282.53445500789496</v>
      </c>
      <c r="AZ103" s="40"/>
      <c r="BA103" s="40"/>
      <c r="BB103" s="40"/>
      <c r="BC103" s="40">
        <v>5.6923448071799998E-2</v>
      </c>
      <c r="BD103" s="40">
        <v>1.7915648027700003E-4</v>
      </c>
      <c r="BE103" s="40">
        <v>4.6820975916700016</v>
      </c>
      <c r="BF103" s="40">
        <v>1.75929121313E-3</v>
      </c>
      <c r="BG103" s="40"/>
      <c r="BH103" s="40"/>
      <c r="BI103" s="40"/>
      <c r="BJ103" s="40"/>
      <c r="BK103" s="40"/>
      <c r="BL103" s="62">
        <v>0</v>
      </c>
      <c r="BM103" s="275">
        <v>2</v>
      </c>
      <c r="BN103" s="62">
        <v>0</v>
      </c>
      <c r="BO103" s="33" t="s">
        <v>485</v>
      </c>
    </row>
    <row r="104" spans="1:67">
      <c r="A104" s="33" t="str">
        <f>Database_Productkaarten[[#This Row],[Product]]&amp;", "&amp;Database_Productkaarten[[#This Row],[Levensfase]]</f>
        <v>AC Surf G.M. 0% PR - PCR 1.0, A3</v>
      </c>
      <c r="B104" s="33" t="s">
        <v>492</v>
      </c>
      <c r="C104" s="33" t="s">
        <v>483</v>
      </c>
      <c r="D104" s="33" t="s">
        <v>377</v>
      </c>
      <c r="E104" s="33" t="s">
        <v>378</v>
      </c>
      <c r="F104" s="33" t="s">
        <v>76</v>
      </c>
      <c r="L104" s="33">
        <v>2.35</v>
      </c>
      <c r="M104" s="269">
        <v>1</v>
      </c>
      <c r="N104" s="41">
        <v>1.7340321317986724</v>
      </c>
      <c r="O104" s="33">
        <v>14</v>
      </c>
      <c r="P104" s="40">
        <v>5.0860709918395441E-6</v>
      </c>
      <c r="Q104" s="40">
        <v>0.20487124413656413</v>
      </c>
      <c r="R104" s="40">
        <v>24.079934263136241</v>
      </c>
      <c r="S104" s="40">
        <v>2.7498441083506566E-6</v>
      </c>
      <c r="T104" s="40">
        <v>3.8984825961093385E-3</v>
      </c>
      <c r="U104" s="40">
        <v>2.6585664166204032E-2</v>
      </c>
      <c r="V104" s="40">
        <v>4.8449022266720864E-3</v>
      </c>
      <c r="W104" s="40">
        <v>3.6298877471357263</v>
      </c>
      <c r="X104" s="40">
        <v>2.5627109302998261E-2</v>
      </c>
      <c r="Y104" s="40">
        <v>104.4338101208976</v>
      </c>
      <c r="Z104" s="40">
        <v>2.544621184592739E-2</v>
      </c>
      <c r="AA104" s="40"/>
      <c r="AB104" s="40"/>
      <c r="AC104" s="40"/>
      <c r="AD104" s="40"/>
      <c r="AE104" s="40"/>
      <c r="AF104" s="40"/>
      <c r="AG104" s="40"/>
      <c r="AH104" s="40"/>
      <c r="AI104" s="40"/>
      <c r="AJ104" s="40"/>
      <c r="AK104" s="40"/>
      <c r="AL104" s="40"/>
      <c r="AM104" s="40"/>
      <c r="AN104" s="40"/>
      <c r="AO104" s="40"/>
      <c r="AP104" s="40"/>
      <c r="AQ104" s="40"/>
      <c r="AR104" s="40"/>
      <c r="AS104" s="40"/>
      <c r="AT104" s="40"/>
      <c r="AU104" s="40"/>
      <c r="AV104" s="313">
        <v>7.3099127404099828</v>
      </c>
      <c r="AW104" s="317"/>
      <c r="AX104" s="317"/>
      <c r="AY104" s="313">
        <v>418.49620017789817</v>
      </c>
      <c r="AZ104" s="40"/>
      <c r="BA104" s="40"/>
      <c r="BB104" s="40"/>
      <c r="BC104" s="40">
        <v>4.8574502135439485E-2</v>
      </c>
      <c r="BD104" s="40">
        <v>5.6761205188831092E-4</v>
      </c>
      <c r="BE104" s="40">
        <v>0.27606619391001763</v>
      </c>
      <c r="BF104" s="40">
        <v>3.9174402877781782E-4</v>
      </c>
      <c r="BG104" s="40"/>
      <c r="BH104" s="40"/>
      <c r="BI104" s="40"/>
      <c r="BJ104" s="40"/>
      <c r="BK104" s="40"/>
      <c r="BL104" s="62">
        <v>0</v>
      </c>
      <c r="BM104" s="275">
        <v>2</v>
      </c>
      <c r="BN104" s="62">
        <v>0</v>
      </c>
      <c r="BO104" s="33" t="s">
        <v>485</v>
      </c>
    </row>
    <row r="105" spans="1:67">
      <c r="A105" s="33" t="str">
        <f>Database_Productkaarten[[#This Row],[Product]]&amp;", "&amp;Database_Productkaarten[[#This Row],[Levensfase]]</f>
        <v>AC Surf G.M. 0% PR - PCR 1.0, A1-A3</v>
      </c>
      <c r="B105" s="33" t="str">
        <f>B104</f>
        <v>AC Surf G.M. 0% PR - PCR 1.0</v>
      </c>
      <c r="C105" s="33" t="str">
        <f>C104</f>
        <v>Bitumineuze verhardingen</v>
      </c>
      <c r="D105" s="33" t="str">
        <f>D104</f>
        <v>AC surf</v>
      </c>
      <c r="E105" s="33" t="str">
        <f>E104</f>
        <v>Ton</v>
      </c>
      <c r="F105" s="33" t="s">
        <v>77</v>
      </c>
      <c r="L105" s="33">
        <f>L104</f>
        <v>2.35</v>
      </c>
      <c r="M105" s="45">
        <f>M104</f>
        <v>1</v>
      </c>
      <c r="N105" s="252">
        <f>SUM(N102:N104)</f>
        <v>13.625652229623674</v>
      </c>
      <c r="O105" s="33">
        <f>O104</f>
        <v>14</v>
      </c>
      <c r="P105" s="40">
        <f>SUM(P102:P104)</f>
        <v>6.1356340582578955E-4</v>
      </c>
      <c r="Q105" s="40">
        <f t="shared" ref="Q105:BK105" si="14">SUM(Q102:Q104)</f>
        <v>1.8401244145826641</v>
      </c>
      <c r="R105" s="40">
        <f t="shared" si="14"/>
        <v>114.09719374931623</v>
      </c>
      <c r="S105" s="40">
        <f t="shared" si="14"/>
        <v>1.3612532401340656E-5</v>
      </c>
      <c r="T105" s="40">
        <f t="shared" si="14"/>
        <v>0.17349373386480935</v>
      </c>
      <c r="U105" s="40">
        <f t="shared" si="14"/>
        <v>0.68740822113580402</v>
      </c>
      <c r="V105" s="40">
        <f t="shared" si="14"/>
        <v>7.8885221883872078E-2</v>
      </c>
      <c r="W105" s="40">
        <f t="shared" si="14"/>
        <v>30.569034452015725</v>
      </c>
      <c r="X105" s="40">
        <f t="shared" si="14"/>
        <v>2.2784221987789981</v>
      </c>
      <c r="Y105" s="40">
        <f t="shared" si="14"/>
        <v>9798.2972175658415</v>
      </c>
      <c r="Z105" s="40">
        <f t="shared" si="14"/>
        <v>0.33629739088362737</v>
      </c>
      <c r="AA105" s="40">
        <f t="shared" si="14"/>
        <v>0</v>
      </c>
      <c r="AB105" s="40">
        <f t="shared" si="14"/>
        <v>0</v>
      </c>
      <c r="AC105" s="40">
        <f t="shared" si="14"/>
        <v>0</v>
      </c>
      <c r="AD105" s="40">
        <f t="shared" si="14"/>
        <v>0</v>
      </c>
      <c r="AE105" s="40">
        <f t="shared" si="14"/>
        <v>0</v>
      </c>
      <c r="AF105" s="40">
        <f t="shared" si="14"/>
        <v>0</v>
      </c>
      <c r="AG105" s="40">
        <f t="shared" si="14"/>
        <v>0</v>
      </c>
      <c r="AH105" s="40">
        <f t="shared" si="14"/>
        <v>0</v>
      </c>
      <c r="AI105" s="40">
        <f t="shared" si="14"/>
        <v>0</v>
      </c>
      <c r="AJ105" s="40">
        <f t="shared" si="14"/>
        <v>0</v>
      </c>
      <c r="AK105" s="40">
        <f t="shared" si="14"/>
        <v>0</v>
      </c>
      <c r="AL105" s="40">
        <f t="shared" si="14"/>
        <v>0</v>
      </c>
      <c r="AM105" s="40">
        <f t="shared" si="14"/>
        <v>0</v>
      </c>
      <c r="AN105" s="40">
        <f t="shared" si="14"/>
        <v>0</v>
      </c>
      <c r="AO105" s="40">
        <f t="shared" si="14"/>
        <v>0</v>
      </c>
      <c r="AP105" s="40">
        <f t="shared" si="14"/>
        <v>0</v>
      </c>
      <c r="AQ105" s="40">
        <f t="shared" si="14"/>
        <v>0</v>
      </c>
      <c r="AR105" s="40">
        <f t="shared" si="14"/>
        <v>0</v>
      </c>
      <c r="AS105" s="40">
        <f t="shared" si="14"/>
        <v>0</v>
      </c>
      <c r="AT105" s="40">
        <f t="shared" si="14"/>
        <v>0</v>
      </c>
      <c r="AU105" s="40">
        <f t="shared" si="14"/>
        <v>0</v>
      </c>
      <c r="AV105" s="317">
        <f t="shared" si="14"/>
        <v>52.796245952714983</v>
      </c>
      <c r="AW105" s="317">
        <f t="shared" si="14"/>
        <v>0</v>
      </c>
      <c r="AX105" s="317">
        <f t="shared" si="14"/>
        <v>0</v>
      </c>
      <c r="AY105" s="317">
        <f t="shared" si="14"/>
        <v>4091.6574997177931</v>
      </c>
      <c r="AZ105" s="40">
        <f t="shared" si="14"/>
        <v>0</v>
      </c>
      <c r="BA105" s="40">
        <f t="shared" si="14"/>
        <v>0</v>
      </c>
      <c r="BB105" s="40">
        <f t="shared" si="14"/>
        <v>0</v>
      </c>
      <c r="BC105" s="40">
        <f t="shared" si="14"/>
        <v>30.390555834307243</v>
      </c>
      <c r="BD105" s="40">
        <f t="shared" si="14"/>
        <v>2.075825705165311E-3</v>
      </c>
      <c r="BE105" s="40">
        <f t="shared" si="14"/>
        <v>10.55352854358002</v>
      </c>
      <c r="BF105" s="40">
        <f t="shared" si="14"/>
        <v>5.3670275599078188E-3</v>
      </c>
      <c r="BG105" s="40">
        <f t="shared" si="14"/>
        <v>0</v>
      </c>
      <c r="BH105" s="40">
        <f t="shared" si="14"/>
        <v>0</v>
      </c>
      <c r="BI105" s="40">
        <f t="shared" si="14"/>
        <v>0</v>
      </c>
      <c r="BJ105" s="40">
        <f t="shared" si="14"/>
        <v>0</v>
      </c>
      <c r="BK105" s="40">
        <f t="shared" si="14"/>
        <v>0</v>
      </c>
      <c r="BL105" s="62">
        <f>BL104</f>
        <v>0</v>
      </c>
      <c r="BM105" s="275">
        <f>BM104</f>
        <v>2</v>
      </c>
      <c r="BN105" s="62">
        <v>0</v>
      </c>
      <c r="BO105" s="33" t="str">
        <f>BO104</f>
        <v>TNO 2020 R10987 LCA Achtergrondrapport voor brancherepresentatieve Nederlandse asfaltmengsels 2020</v>
      </c>
    </row>
    <row r="106" spans="1:67">
      <c r="A106" s="33" t="str">
        <f>Database_Productkaarten[[#This Row],[Product]]&amp;", "&amp;Database_Productkaarten[[#This Row],[Levensfase]]</f>
        <v>AC Surf G.M. 0% PR - PCR 1.0, A4</v>
      </c>
      <c r="B106" s="33" t="s">
        <v>492</v>
      </c>
      <c r="C106" s="33" t="s">
        <v>483</v>
      </c>
      <c r="D106" s="33" t="s">
        <v>377</v>
      </c>
      <c r="E106" s="33" t="s">
        <v>378</v>
      </c>
      <c r="F106" s="33" t="s">
        <v>78</v>
      </c>
      <c r="L106" s="33">
        <v>2.35</v>
      </c>
      <c r="M106" s="269">
        <v>1</v>
      </c>
      <c r="N106" s="41">
        <v>0.62892669999999995</v>
      </c>
      <c r="O106" s="33">
        <v>14</v>
      </c>
      <c r="P106" s="40">
        <v>1.0978337000000001E-5</v>
      </c>
      <c r="Q106" s="40">
        <v>4.3183727999999998E-2</v>
      </c>
      <c r="R106" s="40">
        <v>5.7021305</v>
      </c>
      <c r="S106" s="40">
        <v>1.1335356E-6</v>
      </c>
      <c r="T106" s="40">
        <v>3.5752850000000001E-3</v>
      </c>
      <c r="U106" s="40">
        <v>1.9151161E-2</v>
      </c>
      <c r="V106" s="40">
        <v>3.8023555000000001E-3</v>
      </c>
      <c r="W106" s="40">
        <v>2.0049337999999999</v>
      </c>
      <c r="X106" s="40">
        <v>0.12926487</v>
      </c>
      <c r="Y106" s="40">
        <v>338.63108999999997</v>
      </c>
      <c r="Z106" s="40">
        <v>1.1891815999999999E-2</v>
      </c>
      <c r="AA106" s="40"/>
      <c r="AB106" s="40"/>
      <c r="AC106" s="40"/>
      <c r="AD106" s="40"/>
      <c r="AE106" s="40"/>
      <c r="AF106" s="40"/>
      <c r="AG106" s="40"/>
      <c r="AH106" s="40"/>
      <c r="AI106" s="40"/>
      <c r="AJ106" s="40"/>
      <c r="AK106" s="40"/>
      <c r="AL106" s="40"/>
      <c r="AM106" s="40"/>
      <c r="AN106" s="40"/>
      <c r="AO106" s="40"/>
      <c r="AP106" s="40"/>
      <c r="AQ106" s="40"/>
      <c r="AR106" s="40"/>
      <c r="AS106" s="40"/>
      <c r="AT106" s="40"/>
      <c r="AU106" s="40"/>
      <c r="AV106" s="313">
        <v>0</v>
      </c>
      <c r="AW106" s="317"/>
      <c r="AX106" s="317"/>
      <c r="AY106" s="313">
        <v>0</v>
      </c>
      <c r="AZ106" s="40"/>
      <c r="BA106" s="40"/>
      <c r="BB106" s="40"/>
      <c r="BC106" s="40">
        <v>0</v>
      </c>
      <c r="BD106" s="40">
        <v>0</v>
      </c>
      <c r="BE106" s="40">
        <v>0</v>
      </c>
      <c r="BF106" s="40">
        <v>0</v>
      </c>
      <c r="BG106" s="40"/>
      <c r="BH106" s="40"/>
      <c r="BI106" s="40"/>
      <c r="BJ106" s="40"/>
      <c r="BK106" s="40"/>
      <c r="BL106" s="62">
        <v>0</v>
      </c>
      <c r="BM106" s="275">
        <v>2</v>
      </c>
      <c r="BN106" s="62">
        <v>0</v>
      </c>
      <c r="BO106" s="33" t="s">
        <v>485</v>
      </c>
    </row>
    <row r="107" spans="1:67">
      <c r="A107" s="33" t="str">
        <f>Database_Productkaarten[[#This Row],[Product]]&amp;", "&amp;Database_Productkaarten[[#This Row],[Levensfase]]</f>
        <v>AC Surf G.M. 0% PR - PCR 1.0, A5</v>
      </c>
      <c r="B107" s="33" t="s">
        <v>492</v>
      </c>
      <c r="C107" s="33" t="s">
        <v>483</v>
      </c>
      <c r="D107" s="33" t="s">
        <v>377</v>
      </c>
      <c r="E107" s="33" t="s">
        <v>378</v>
      </c>
      <c r="F107" s="33" t="s">
        <v>79</v>
      </c>
      <c r="L107" s="33">
        <v>2.35</v>
      </c>
      <c r="M107" s="269">
        <v>1</v>
      </c>
      <c r="N107" s="41">
        <v>0.26142994000000003</v>
      </c>
      <c r="O107" s="33">
        <v>14</v>
      </c>
      <c r="P107" s="40">
        <v>6.4405276999999999E-7</v>
      </c>
      <c r="Q107" s="40">
        <v>1.3221688000000001E-2</v>
      </c>
      <c r="R107" s="40">
        <v>2.554217</v>
      </c>
      <c r="S107" s="40">
        <v>3.4623921999999999E-7</v>
      </c>
      <c r="T107" s="40">
        <v>9.5560771999999997E-4</v>
      </c>
      <c r="U107" s="40">
        <v>1.0774331999999999E-2</v>
      </c>
      <c r="V107" s="40">
        <v>2.4326081999999998E-3</v>
      </c>
      <c r="W107" s="40">
        <v>0.67890231999999995</v>
      </c>
      <c r="X107" s="40">
        <v>9.5891563000000003E-3</v>
      </c>
      <c r="Y107" s="40">
        <v>32.339298999999997</v>
      </c>
      <c r="Z107" s="40">
        <v>1.1383995E-3</v>
      </c>
      <c r="AA107" s="40"/>
      <c r="AB107" s="40"/>
      <c r="AC107" s="40"/>
      <c r="AD107" s="40"/>
      <c r="AE107" s="40"/>
      <c r="AF107" s="40"/>
      <c r="AG107" s="40"/>
      <c r="AH107" s="40"/>
      <c r="AI107" s="40"/>
      <c r="AJ107" s="40"/>
      <c r="AK107" s="40"/>
      <c r="AL107" s="40"/>
      <c r="AM107" s="40"/>
      <c r="AN107" s="40"/>
      <c r="AO107" s="40"/>
      <c r="AP107" s="40"/>
      <c r="AQ107" s="40"/>
      <c r="AR107" s="40"/>
      <c r="AS107" s="40"/>
      <c r="AT107" s="40"/>
      <c r="AU107" s="40"/>
      <c r="AV107" s="313">
        <v>0.16170355</v>
      </c>
      <c r="AW107" s="317"/>
      <c r="AX107" s="317"/>
      <c r="AY107" s="313">
        <v>29.640834999999999</v>
      </c>
      <c r="AZ107" s="40"/>
      <c r="BA107" s="40"/>
      <c r="BB107" s="40"/>
      <c r="BC107" s="40">
        <v>3.6528305999999999E-3</v>
      </c>
      <c r="BD107" s="40">
        <v>1.2448785000000001E-5</v>
      </c>
      <c r="BE107" s="40">
        <v>2.9724645000000001E-2</v>
      </c>
      <c r="BF107" s="40">
        <v>1.9389087E-4</v>
      </c>
      <c r="BG107" s="40"/>
      <c r="BH107" s="40"/>
      <c r="BI107" s="40"/>
      <c r="BJ107" s="40"/>
      <c r="BK107" s="40"/>
      <c r="BL107" s="62">
        <v>0</v>
      </c>
      <c r="BM107" s="275">
        <v>2</v>
      </c>
      <c r="BN107" s="62">
        <v>0</v>
      </c>
      <c r="BO107" s="33" t="s">
        <v>485</v>
      </c>
    </row>
    <row r="108" spans="1:67">
      <c r="A108" s="33" t="str">
        <f>Database_Productkaarten[[#This Row],[Product]]&amp;", "&amp;Database_Productkaarten[[#This Row],[Levensfase]]</f>
        <v>AC Surf G.M. 0% PR - PCR 1.0, B1</v>
      </c>
      <c r="B108" s="33" t="s">
        <v>492</v>
      </c>
      <c r="C108" s="33" t="s">
        <v>483</v>
      </c>
      <c r="D108" s="33" t="s">
        <v>377</v>
      </c>
      <c r="E108" s="33" t="s">
        <v>378</v>
      </c>
      <c r="F108" s="33" t="s">
        <v>80</v>
      </c>
      <c r="L108" s="33">
        <v>2.35</v>
      </c>
      <c r="M108" s="269">
        <v>1</v>
      </c>
      <c r="N108" s="41">
        <v>8.2079854999999993E-2</v>
      </c>
      <c r="O108" s="33">
        <v>14</v>
      </c>
      <c r="P108" s="40">
        <v>0</v>
      </c>
      <c r="Q108" s="40">
        <v>0</v>
      </c>
      <c r="R108" s="40">
        <v>0</v>
      </c>
      <c r="S108" s="40">
        <v>0</v>
      </c>
      <c r="T108" s="40">
        <v>0</v>
      </c>
      <c r="U108" s="40">
        <v>0</v>
      </c>
      <c r="V108" s="40">
        <v>0</v>
      </c>
      <c r="W108" s="40">
        <v>0.33065064999999999</v>
      </c>
      <c r="X108" s="40">
        <v>0.35447900999999998</v>
      </c>
      <c r="Y108" s="40">
        <v>416.74824000000001</v>
      </c>
      <c r="Z108" s="40">
        <v>2.016962E-4</v>
      </c>
      <c r="AA108" s="40"/>
      <c r="AB108" s="40"/>
      <c r="AC108" s="40"/>
      <c r="AD108" s="40"/>
      <c r="AE108" s="40"/>
      <c r="AF108" s="40"/>
      <c r="AG108" s="40"/>
      <c r="AH108" s="40"/>
      <c r="AI108" s="40"/>
      <c r="AJ108" s="40"/>
      <c r="AK108" s="40"/>
      <c r="AL108" s="40"/>
      <c r="AM108" s="40"/>
      <c r="AN108" s="40"/>
      <c r="AO108" s="40"/>
      <c r="AP108" s="40"/>
      <c r="AQ108" s="40"/>
      <c r="AR108" s="40"/>
      <c r="AS108" s="40"/>
      <c r="AT108" s="40"/>
      <c r="AU108" s="40"/>
      <c r="AV108" s="313">
        <v>0</v>
      </c>
      <c r="AW108" s="317"/>
      <c r="AX108" s="317"/>
      <c r="AY108" s="313">
        <v>0</v>
      </c>
      <c r="AZ108" s="40"/>
      <c r="BA108" s="40"/>
      <c r="BB108" s="40"/>
      <c r="BC108" s="40">
        <v>0</v>
      </c>
      <c r="BD108" s="40">
        <v>0</v>
      </c>
      <c r="BE108" s="40">
        <v>0</v>
      </c>
      <c r="BF108" s="40">
        <v>0</v>
      </c>
      <c r="BG108" s="40"/>
      <c r="BH108" s="40"/>
      <c r="BI108" s="40"/>
      <c r="BJ108" s="40"/>
      <c r="BK108" s="40"/>
      <c r="BL108" s="62">
        <v>0</v>
      </c>
      <c r="BM108" s="275">
        <v>2</v>
      </c>
      <c r="BN108" s="62">
        <v>0</v>
      </c>
      <c r="BO108" s="33" t="s">
        <v>485</v>
      </c>
    </row>
    <row r="109" spans="1:67">
      <c r="A109" s="33" t="str">
        <f>Database_Productkaarten[[#This Row],[Product]]&amp;", "&amp;Database_Productkaarten[[#This Row],[Levensfase]]</f>
        <v>AC Surf G.M. 0% PR - PCR 1.0, C1</v>
      </c>
      <c r="B109" s="33" t="s">
        <v>492</v>
      </c>
      <c r="C109" s="33" t="s">
        <v>483</v>
      </c>
      <c r="D109" s="33" t="s">
        <v>377</v>
      </c>
      <c r="E109" s="33" t="s">
        <v>378</v>
      </c>
      <c r="F109" s="33" t="s">
        <v>83</v>
      </c>
      <c r="L109" s="33">
        <v>2.35</v>
      </c>
      <c r="M109" s="269">
        <v>1</v>
      </c>
      <c r="N109" s="41">
        <v>0.13639726999999999</v>
      </c>
      <c r="O109" s="33">
        <v>14</v>
      </c>
      <c r="P109" s="40">
        <v>3.6644380999999999E-7</v>
      </c>
      <c r="Q109" s="40">
        <v>7.5226846000000002E-3</v>
      </c>
      <c r="R109" s="40">
        <v>1.4532613999999999</v>
      </c>
      <c r="S109" s="40">
        <v>1.9699817000000001E-7</v>
      </c>
      <c r="T109" s="40">
        <v>4.8171299999999999E-4</v>
      </c>
      <c r="U109" s="40">
        <v>4.2661764999999997E-3</v>
      </c>
      <c r="V109" s="40">
        <v>8.9941806E-4</v>
      </c>
      <c r="W109" s="40">
        <v>0.38176861000000001</v>
      </c>
      <c r="X109" s="40">
        <v>5.4558992000000002E-3</v>
      </c>
      <c r="Y109" s="40">
        <v>18.399946</v>
      </c>
      <c r="Z109" s="40">
        <v>6.4771006999999995E-4</v>
      </c>
      <c r="AA109" s="40"/>
      <c r="AB109" s="40"/>
      <c r="AC109" s="40"/>
      <c r="AD109" s="40"/>
      <c r="AE109" s="40"/>
      <c r="AF109" s="40"/>
      <c r="AG109" s="40"/>
      <c r="AH109" s="40"/>
      <c r="AI109" s="40"/>
      <c r="AJ109" s="40"/>
      <c r="AK109" s="40"/>
      <c r="AL109" s="40"/>
      <c r="AM109" s="40"/>
      <c r="AN109" s="40"/>
      <c r="AO109" s="40"/>
      <c r="AP109" s="40"/>
      <c r="AQ109" s="40"/>
      <c r="AR109" s="40"/>
      <c r="AS109" s="40"/>
      <c r="AT109" s="40"/>
      <c r="AU109" s="40"/>
      <c r="AV109" s="313">
        <v>9.2003741E-2</v>
      </c>
      <c r="AW109" s="317"/>
      <c r="AX109" s="317"/>
      <c r="AY109" s="313">
        <v>16.864612999999999</v>
      </c>
      <c r="AZ109" s="40"/>
      <c r="BA109" s="40"/>
      <c r="BB109" s="40"/>
      <c r="BC109" s="40">
        <v>2.0783346E-3</v>
      </c>
      <c r="BD109" s="40">
        <v>7.0829294000000003E-6</v>
      </c>
      <c r="BE109" s="40">
        <v>1.6912297999999999E-2</v>
      </c>
      <c r="BF109" s="40">
        <v>1.1031722E-4</v>
      </c>
      <c r="BG109" s="40"/>
      <c r="BH109" s="40"/>
      <c r="BI109" s="40"/>
      <c r="BJ109" s="40"/>
      <c r="BK109" s="40"/>
      <c r="BL109" s="62">
        <v>0</v>
      </c>
      <c r="BM109" s="275">
        <v>2</v>
      </c>
      <c r="BN109" s="62">
        <v>0</v>
      </c>
      <c r="BO109" s="33" t="s">
        <v>485</v>
      </c>
    </row>
    <row r="110" spans="1:67">
      <c r="A110" s="33" t="str">
        <f>Database_Productkaarten[[#This Row],[Product]]&amp;", "&amp;Database_Productkaarten[[#This Row],[Levensfase]]</f>
        <v>AC Surf G.M. 0% PR - PCR 1.0, C2</v>
      </c>
      <c r="B110" s="33" t="s">
        <v>492</v>
      </c>
      <c r="C110" s="33" t="s">
        <v>483</v>
      </c>
      <c r="D110" s="33" t="s">
        <v>377</v>
      </c>
      <c r="E110" s="33" t="s">
        <v>378</v>
      </c>
      <c r="F110" s="33" t="s">
        <v>84</v>
      </c>
      <c r="L110" s="33">
        <v>2.35</v>
      </c>
      <c r="M110" s="269">
        <v>1</v>
      </c>
      <c r="N110" s="41">
        <v>0.62892669999999995</v>
      </c>
      <c r="O110" s="33">
        <v>14</v>
      </c>
      <c r="P110" s="40">
        <v>1.0978337000000001E-5</v>
      </c>
      <c r="Q110" s="40">
        <v>4.3183727999999998E-2</v>
      </c>
      <c r="R110" s="40">
        <v>5.7021305</v>
      </c>
      <c r="S110" s="40">
        <v>1.1335356E-6</v>
      </c>
      <c r="T110" s="40">
        <v>3.5752850000000001E-3</v>
      </c>
      <c r="U110" s="40">
        <v>1.9151161E-2</v>
      </c>
      <c r="V110" s="40">
        <v>3.8023555000000001E-3</v>
      </c>
      <c r="W110" s="40">
        <v>2.0049337999999999</v>
      </c>
      <c r="X110" s="40">
        <v>0.12926487</v>
      </c>
      <c r="Y110" s="40">
        <v>338.63108999999997</v>
      </c>
      <c r="Z110" s="40">
        <v>1.1891815999999999E-2</v>
      </c>
      <c r="AA110" s="40"/>
      <c r="AB110" s="40"/>
      <c r="AC110" s="40"/>
      <c r="AD110" s="40"/>
      <c r="AE110" s="40"/>
      <c r="AF110" s="40"/>
      <c r="AG110" s="40"/>
      <c r="AH110" s="40"/>
      <c r="AI110" s="40"/>
      <c r="AJ110" s="40"/>
      <c r="AK110" s="40"/>
      <c r="AL110" s="40"/>
      <c r="AM110" s="40"/>
      <c r="AN110" s="40"/>
      <c r="AO110" s="40"/>
      <c r="AP110" s="40"/>
      <c r="AQ110" s="40"/>
      <c r="AR110" s="40"/>
      <c r="AS110" s="40"/>
      <c r="AT110" s="40"/>
      <c r="AU110" s="40"/>
      <c r="AV110" s="313">
        <v>0</v>
      </c>
      <c r="AW110" s="317"/>
      <c r="AX110" s="317"/>
      <c r="AY110" s="313">
        <v>0</v>
      </c>
      <c r="AZ110" s="40"/>
      <c r="BA110" s="40"/>
      <c r="BB110" s="40"/>
      <c r="BC110" s="40">
        <v>0</v>
      </c>
      <c r="BD110" s="40">
        <v>0</v>
      </c>
      <c r="BE110" s="40">
        <v>0</v>
      </c>
      <c r="BF110" s="40">
        <v>0</v>
      </c>
      <c r="BG110" s="40"/>
      <c r="BH110" s="40"/>
      <c r="BI110" s="40"/>
      <c r="BJ110" s="40"/>
      <c r="BK110" s="40"/>
      <c r="BL110" s="62">
        <v>0</v>
      </c>
      <c r="BM110" s="275">
        <v>2</v>
      </c>
      <c r="BN110" s="62">
        <v>0</v>
      </c>
      <c r="BO110" s="33" t="s">
        <v>485</v>
      </c>
    </row>
    <row r="111" spans="1:67">
      <c r="A111" s="33" t="str">
        <f>Database_Productkaarten[[#This Row],[Product]]&amp;", "&amp;Database_Productkaarten[[#This Row],[Levensfase]]</f>
        <v>AC Surf G.M. 0% PR - PCR 1.0, C3</v>
      </c>
      <c r="B111" s="33" t="s">
        <v>492</v>
      </c>
      <c r="C111" s="33" t="s">
        <v>483</v>
      </c>
      <c r="D111" s="33" t="s">
        <v>377</v>
      </c>
      <c r="E111" s="33" t="s">
        <v>378</v>
      </c>
      <c r="F111" s="33" t="s">
        <v>85</v>
      </c>
      <c r="L111" s="33">
        <v>2.35</v>
      </c>
      <c r="M111" s="269">
        <v>1</v>
      </c>
      <c r="N111" s="41">
        <v>0.16120214999999999</v>
      </c>
      <c r="O111" s="33">
        <v>14</v>
      </c>
      <c r="P111" s="40">
        <v>4.1291555000000003E-7</v>
      </c>
      <c r="Q111" s="40">
        <v>8.4766977000000007E-3</v>
      </c>
      <c r="R111" s="40">
        <v>1.6375614000000001</v>
      </c>
      <c r="S111" s="40">
        <v>2.2198113E-7</v>
      </c>
      <c r="T111" s="40">
        <v>5.9777666999999998E-4</v>
      </c>
      <c r="U111" s="40">
        <v>5.9352911999999997E-3</v>
      </c>
      <c r="V111" s="40">
        <v>1.3067828999999999E-3</v>
      </c>
      <c r="W111" s="40">
        <v>0.43290835999999999</v>
      </c>
      <c r="X111" s="40">
        <v>6.1478065000000002E-3</v>
      </c>
      <c r="Y111" s="40">
        <v>20.733394000000001</v>
      </c>
      <c r="Z111" s="40">
        <v>7.2985148000000004E-4</v>
      </c>
      <c r="AA111" s="40"/>
      <c r="AB111" s="40"/>
      <c r="AC111" s="40"/>
      <c r="AD111" s="40"/>
      <c r="AE111" s="40"/>
      <c r="AF111" s="40"/>
      <c r="AG111" s="40"/>
      <c r="AH111" s="40"/>
      <c r="AI111" s="40"/>
      <c r="AJ111" s="40"/>
      <c r="AK111" s="40"/>
      <c r="AL111" s="40"/>
      <c r="AM111" s="40"/>
      <c r="AN111" s="40"/>
      <c r="AO111" s="40"/>
      <c r="AP111" s="40"/>
      <c r="AQ111" s="40"/>
      <c r="AR111" s="40"/>
      <c r="AS111" s="40"/>
      <c r="AT111" s="40"/>
      <c r="AU111" s="40"/>
      <c r="AV111" s="313">
        <v>0.10367149000000001</v>
      </c>
      <c r="AW111" s="317"/>
      <c r="AX111" s="317"/>
      <c r="AY111" s="313">
        <v>19.003353000000001</v>
      </c>
      <c r="AZ111" s="40"/>
      <c r="BA111" s="40"/>
      <c r="BB111" s="40"/>
      <c r="BC111" s="40">
        <v>2.3419052000000001E-3</v>
      </c>
      <c r="BD111" s="40">
        <v>7.9811735999999999E-6</v>
      </c>
      <c r="BE111" s="40">
        <v>1.9057085000000001E-2</v>
      </c>
      <c r="BF111" s="40">
        <v>1.2430745000000001E-4</v>
      </c>
      <c r="BG111" s="40"/>
      <c r="BH111" s="40"/>
      <c r="BI111" s="40"/>
      <c r="BJ111" s="40"/>
      <c r="BK111" s="40"/>
      <c r="BL111" s="62">
        <v>0</v>
      </c>
      <c r="BM111" s="275">
        <v>2</v>
      </c>
      <c r="BN111" s="62">
        <v>0</v>
      </c>
      <c r="BO111" s="33" t="s">
        <v>485</v>
      </c>
    </row>
    <row r="112" spans="1:67">
      <c r="A112" s="33" t="str">
        <f>Database_Productkaarten[[#This Row],[Product]]&amp;", "&amp;Database_Productkaarten[[#This Row],[Levensfase]]</f>
        <v>AC Surf G.M. 0% PR - PCR 1.0, D</v>
      </c>
      <c r="B112" s="33" t="str">
        <f>B113</f>
        <v>AC Surf G.M. 0% PR - PCR 1.0</v>
      </c>
      <c r="C112" s="33" t="str">
        <f>C113</f>
        <v>Bitumineuze verhardingen</v>
      </c>
      <c r="D112" s="33" t="str">
        <f>D113</f>
        <v>AC surf</v>
      </c>
      <c r="E112" s="33" t="str">
        <f>E113</f>
        <v>Ton</v>
      </c>
      <c r="F112" s="33" t="s">
        <v>89</v>
      </c>
      <c r="L112" s="33">
        <f>L113</f>
        <v>2.35</v>
      </c>
      <c r="M112" s="45">
        <f>M113</f>
        <v>1</v>
      </c>
      <c r="N112" s="41">
        <f>SUM(N113:N114)</f>
        <v>-5.7372343519704945</v>
      </c>
      <c r="O112" s="33">
        <f>O113</f>
        <v>14</v>
      </c>
      <c r="P112" s="40">
        <f>SUM(P113:P114)</f>
        <v>-6.4784322607055512E-5</v>
      </c>
      <c r="Q112" s="40">
        <f>SUM(Q113:Q114)</f>
        <v>-0.79793022882713438</v>
      </c>
      <c r="R112" s="40">
        <f>SUM(R113:R114)</f>
        <v>-41.295640376972933</v>
      </c>
      <c r="S112" s="40">
        <f t="shared" ref="S112:BK112" si="15">SUM(S113:S114)</f>
        <v>-4.3850543194920818E-6</v>
      </c>
      <c r="T112" s="40">
        <f t="shared" si="15"/>
        <v>-8.6050457911934969E-2</v>
      </c>
      <c r="U112" s="40">
        <f t="shared" si="15"/>
        <v>-0.34452287310276386</v>
      </c>
      <c r="V112" s="40">
        <f t="shared" si="15"/>
        <v>-3.7790189982652891E-2</v>
      </c>
      <c r="W112" s="40">
        <f t="shared" si="15"/>
        <v>-12.030027282169037</v>
      </c>
      <c r="X112" s="40">
        <f t="shared" si="15"/>
        <v>-1.212679172027344</v>
      </c>
      <c r="Y112" s="40">
        <f t="shared" si="15"/>
        <v>-5258.2335269109917</v>
      </c>
      <c r="Z112" s="40">
        <f t="shared" si="15"/>
        <v>-0.1603212903662273</v>
      </c>
      <c r="AA112" s="40">
        <f t="shared" si="15"/>
        <v>0</v>
      </c>
      <c r="AB112" s="40">
        <f t="shared" si="15"/>
        <v>0</v>
      </c>
      <c r="AC112" s="40">
        <f t="shared" si="15"/>
        <v>0</v>
      </c>
      <c r="AD112" s="40">
        <f t="shared" si="15"/>
        <v>0</v>
      </c>
      <c r="AE112" s="40">
        <f t="shared" si="15"/>
        <v>0</v>
      </c>
      <c r="AF112" s="40">
        <f t="shared" si="15"/>
        <v>0</v>
      </c>
      <c r="AG112" s="40">
        <f t="shared" si="15"/>
        <v>0</v>
      </c>
      <c r="AH112" s="40">
        <f t="shared" si="15"/>
        <v>0</v>
      </c>
      <c r="AI112" s="40">
        <f t="shared" si="15"/>
        <v>0</v>
      </c>
      <c r="AJ112" s="40">
        <f t="shared" si="15"/>
        <v>0</v>
      </c>
      <c r="AK112" s="40">
        <f t="shared" si="15"/>
        <v>0</v>
      </c>
      <c r="AL112" s="40">
        <f t="shared" si="15"/>
        <v>0</v>
      </c>
      <c r="AM112" s="40">
        <f t="shared" si="15"/>
        <v>0</v>
      </c>
      <c r="AN112" s="40">
        <f t="shared" si="15"/>
        <v>0</v>
      </c>
      <c r="AO112" s="40">
        <f t="shared" si="15"/>
        <v>0</v>
      </c>
      <c r="AP112" s="40">
        <f t="shared" si="15"/>
        <v>0</v>
      </c>
      <c r="AQ112" s="40">
        <f t="shared" si="15"/>
        <v>0</v>
      </c>
      <c r="AR112" s="40">
        <f t="shared" si="15"/>
        <v>0</v>
      </c>
      <c r="AS112" s="40">
        <f t="shared" si="15"/>
        <v>0</v>
      </c>
      <c r="AT112" s="40">
        <f t="shared" si="15"/>
        <v>0</v>
      </c>
      <c r="AU112" s="40">
        <f t="shared" si="15"/>
        <v>0</v>
      </c>
      <c r="AV112" s="317">
        <f t="shared" si="15"/>
        <v>-14.656876954576294</v>
      </c>
      <c r="AW112" s="317">
        <f t="shared" si="15"/>
        <v>0</v>
      </c>
      <c r="AX112" s="317">
        <f t="shared" si="15"/>
        <v>0</v>
      </c>
      <c r="AY112" s="317">
        <f t="shared" si="15"/>
        <v>-1798.3068820975227</v>
      </c>
      <c r="AZ112" s="40">
        <f t="shared" si="15"/>
        <v>0</v>
      </c>
      <c r="BA112" s="40">
        <f t="shared" si="15"/>
        <v>0</v>
      </c>
      <c r="BB112" s="40">
        <f t="shared" si="15"/>
        <v>0</v>
      </c>
      <c r="BC112" s="40">
        <f t="shared" si="15"/>
        <v>-17.182986979579706</v>
      </c>
      <c r="BD112" s="40">
        <f t="shared" si="15"/>
        <v>-6.9457487161301863E-4</v>
      </c>
      <c r="BE112" s="40">
        <f t="shared" si="15"/>
        <v>-4.8700279568295288</v>
      </c>
      <c r="BF112" s="40">
        <f t="shared" si="15"/>
        <v>-1.7995698996035683E-3</v>
      </c>
      <c r="BG112" s="40">
        <f t="shared" si="15"/>
        <v>0</v>
      </c>
      <c r="BH112" s="40">
        <f t="shared" si="15"/>
        <v>0</v>
      </c>
      <c r="BI112" s="40">
        <f t="shared" si="15"/>
        <v>0</v>
      </c>
      <c r="BJ112" s="40">
        <f t="shared" si="15"/>
        <v>0</v>
      </c>
      <c r="BK112" s="40">
        <f t="shared" si="15"/>
        <v>0</v>
      </c>
      <c r="BL112" s="62">
        <f>BL113</f>
        <v>0</v>
      </c>
      <c r="BM112" s="275">
        <f>BM113</f>
        <v>2</v>
      </c>
      <c r="BN112" s="62">
        <v>0</v>
      </c>
      <c r="BO112" s="33" t="str">
        <f>BO113</f>
        <v>TNO 2020 R10987 LCA Achtergrondrapport voor brancherepresentatieve Nederlandse asfaltmengsels 2020</v>
      </c>
    </row>
    <row r="113" spans="1:68">
      <c r="A113" s="33" t="str">
        <f>Database_Productkaarten[[#This Row],[Product]]&amp;", "&amp;Database_Productkaarten[[#This Row],[Levensfase]]</f>
        <v>AC Surf G.M. 0% PR - PCR 1.0, D1</v>
      </c>
      <c r="B113" s="33" t="s">
        <v>492</v>
      </c>
      <c r="C113" s="33" t="s">
        <v>483</v>
      </c>
      <c r="D113" s="33" t="s">
        <v>377</v>
      </c>
      <c r="E113" s="33" t="s">
        <v>378</v>
      </c>
      <c r="F113" s="33" t="s">
        <v>87</v>
      </c>
      <c r="L113" s="33">
        <v>2.35</v>
      </c>
      <c r="M113" s="269">
        <v>1</v>
      </c>
      <c r="N113" s="41">
        <v>-3.9940160053732399</v>
      </c>
      <c r="O113" s="33">
        <v>14</v>
      </c>
      <c r="P113" s="40">
        <v>-5.3083033576000006E-5</v>
      </c>
      <c r="Q113" s="40">
        <v>-0.7169252562884999</v>
      </c>
      <c r="R113" s="40">
        <v>-29.453326462865036</v>
      </c>
      <c r="S113" s="40">
        <v>-2.45704680885E-6</v>
      </c>
      <c r="T113" s="40">
        <v>-7.701142864887997E-2</v>
      </c>
      <c r="U113" s="40">
        <v>-0.21047225807945996</v>
      </c>
      <c r="V113" s="40">
        <v>-1.9503658210159997E-2</v>
      </c>
      <c r="W113" s="40">
        <v>-7.8223579410965183</v>
      </c>
      <c r="X113" s="40">
        <v>-1.1166392736002995</v>
      </c>
      <c r="Y113" s="40">
        <v>-4891.1542202810751</v>
      </c>
      <c r="Z113" s="40">
        <v>-0.14465825697109999</v>
      </c>
      <c r="AA113" s="40"/>
      <c r="AB113" s="40"/>
      <c r="AC113" s="40"/>
      <c r="AD113" s="40"/>
      <c r="AE113" s="40"/>
      <c r="AF113" s="40"/>
      <c r="AG113" s="40"/>
      <c r="AH113" s="40"/>
      <c r="AI113" s="40"/>
      <c r="AJ113" s="40"/>
      <c r="AK113" s="40"/>
      <c r="AL113" s="40"/>
      <c r="AM113" s="40"/>
      <c r="AN113" s="40"/>
      <c r="AO113" s="40"/>
      <c r="AP113" s="40"/>
      <c r="AQ113" s="40"/>
      <c r="AR113" s="40"/>
      <c r="AS113" s="40"/>
      <c r="AT113" s="40"/>
      <c r="AU113" s="40"/>
      <c r="AV113" s="313">
        <v>-11.36970112221044</v>
      </c>
      <c r="AW113" s="317"/>
      <c r="AX113" s="317"/>
      <c r="AY113" s="313">
        <v>-1618.7150802410915</v>
      </c>
      <c r="AZ113" s="40"/>
      <c r="BA113" s="40"/>
      <c r="BB113" s="40"/>
      <c r="BC113" s="40">
        <v>-17.146798097462053</v>
      </c>
      <c r="BD113" s="40">
        <v>-5.8070805973499981E-4</v>
      </c>
      <c r="BE113" s="40">
        <v>-1.9123252125876797</v>
      </c>
      <c r="BF113" s="40">
        <v>-6.8134373300999997E-4</v>
      </c>
      <c r="BG113" s="40"/>
      <c r="BH113" s="40"/>
      <c r="BI113" s="40"/>
      <c r="BJ113" s="40"/>
      <c r="BK113" s="40"/>
      <c r="BL113" s="62">
        <v>0</v>
      </c>
      <c r="BM113" s="275">
        <v>2</v>
      </c>
      <c r="BN113" s="62">
        <v>0</v>
      </c>
      <c r="BO113" s="33" t="s">
        <v>485</v>
      </c>
    </row>
    <row r="114" spans="1:68">
      <c r="A114" s="33" t="str">
        <f>Database_Productkaarten[[#This Row],[Product]]&amp;", "&amp;Database_Productkaarten[[#This Row],[Levensfase]]</f>
        <v>AC Surf G.M. 0% PR - PCR 1.0, D2</v>
      </c>
      <c r="B114" s="33" t="s">
        <v>492</v>
      </c>
      <c r="C114" s="33" t="s">
        <v>483</v>
      </c>
      <c r="D114" s="33" t="s">
        <v>377</v>
      </c>
      <c r="E114" s="33" t="s">
        <v>378</v>
      </c>
      <c r="F114" s="33" t="s">
        <v>88</v>
      </c>
      <c r="L114" s="33">
        <v>2.35</v>
      </c>
      <c r="M114" s="269">
        <v>1</v>
      </c>
      <c r="N114" s="41">
        <v>-1.7432183465972551</v>
      </c>
      <c r="O114" s="33">
        <v>14</v>
      </c>
      <c r="P114" s="40">
        <v>-1.1701289031055512E-5</v>
      </c>
      <c r="Q114" s="40">
        <v>-8.1004972538634465E-2</v>
      </c>
      <c r="R114" s="40">
        <v>-11.842313914107899</v>
      </c>
      <c r="S114" s="40">
        <v>-1.9280075106420814E-6</v>
      </c>
      <c r="T114" s="40">
        <v>-9.0390292630549967E-3</v>
      </c>
      <c r="U114" s="40">
        <v>-0.13405061502330387</v>
      </c>
      <c r="V114" s="40">
        <v>-1.8286531772492898E-2</v>
      </c>
      <c r="W114" s="40">
        <v>-4.2076693410725197</v>
      </c>
      <c r="X114" s="40">
        <v>-9.603989842704462E-2</v>
      </c>
      <c r="Y114" s="40">
        <v>-367.07930662991629</v>
      </c>
      <c r="Z114" s="40">
        <v>-1.5663033395127313E-2</v>
      </c>
      <c r="AA114" s="40"/>
      <c r="AB114" s="40"/>
      <c r="AC114" s="40"/>
      <c r="AD114" s="40"/>
      <c r="AE114" s="40"/>
      <c r="AF114" s="40"/>
      <c r="AG114" s="40"/>
      <c r="AH114" s="40"/>
      <c r="AI114" s="40"/>
      <c r="AJ114" s="40"/>
      <c r="AK114" s="40"/>
      <c r="AL114" s="40"/>
      <c r="AM114" s="40"/>
      <c r="AN114" s="40"/>
      <c r="AO114" s="40"/>
      <c r="AP114" s="40"/>
      <c r="AQ114" s="40"/>
      <c r="AR114" s="40"/>
      <c r="AS114" s="40"/>
      <c r="AT114" s="40"/>
      <c r="AU114" s="40"/>
      <c r="AV114" s="313">
        <v>-3.2871758323658549</v>
      </c>
      <c r="AW114" s="317"/>
      <c r="AX114" s="317"/>
      <c r="AY114" s="313">
        <v>-179.59180185643118</v>
      </c>
      <c r="AZ114" s="40"/>
      <c r="BA114" s="40"/>
      <c r="BB114" s="40"/>
      <c r="BC114" s="40">
        <v>-3.6188882117651422E-2</v>
      </c>
      <c r="BD114" s="40">
        <v>-1.1386681187801883E-4</v>
      </c>
      <c r="BE114" s="40">
        <v>-2.9577027442418493</v>
      </c>
      <c r="BF114" s="40">
        <v>-1.1182261665935683E-3</v>
      </c>
      <c r="BG114" s="40"/>
      <c r="BH114" s="40"/>
      <c r="BI114" s="40"/>
      <c r="BJ114" s="40"/>
      <c r="BK114" s="40"/>
      <c r="BL114" s="62">
        <v>0</v>
      </c>
      <c r="BM114" s="275">
        <v>2</v>
      </c>
      <c r="BN114" s="62">
        <v>0</v>
      </c>
      <c r="BO114" s="33" t="s">
        <v>485</v>
      </c>
    </row>
    <row r="115" spans="1:68">
      <c r="A115" s="33" t="str">
        <f>Database_Productkaarten[[#This Row],[Product]]&amp;", "&amp;Database_Productkaarten[[#This Row],[Levensfase]]</f>
        <v>AC 11 surf DL-A rood*, Totaal</v>
      </c>
      <c r="B115" s="33" t="s">
        <v>493</v>
      </c>
      <c r="C115" s="33" t="s">
        <v>483</v>
      </c>
      <c r="D115" s="33" t="s">
        <v>494</v>
      </c>
      <c r="E115" s="33" t="s">
        <v>378</v>
      </c>
      <c r="F115" s="33" t="s">
        <v>90</v>
      </c>
      <c r="L115" s="33">
        <v>2.35</v>
      </c>
      <c r="M115" s="269">
        <v>1</v>
      </c>
      <c r="N115" s="41">
        <f>N101*1.5</f>
        <v>14.681070738979761</v>
      </c>
      <c r="O115" s="33">
        <v>14</v>
      </c>
      <c r="P115" s="40">
        <f>P101*1.5</f>
        <v>8.5823875402310111E-4</v>
      </c>
      <c r="Q115" s="40">
        <f t="shared" ref="Q115:BK118" si="16">Q101*1.5</f>
        <v>1.7366740680832946</v>
      </c>
      <c r="R115" s="40">
        <f t="shared" si="16"/>
        <v>134.77628125851493</v>
      </c>
      <c r="S115" s="40">
        <f t="shared" si="16"/>
        <v>1.8389651702772862E-5</v>
      </c>
      <c r="T115" s="40">
        <f t="shared" si="16"/>
        <v>0.14494341501431152</v>
      </c>
      <c r="U115" s="40">
        <f t="shared" si="16"/>
        <v>0.60324520459956021</v>
      </c>
      <c r="V115" s="40">
        <f t="shared" si="16"/>
        <v>8.000782809182877E-2</v>
      </c>
      <c r="W115" s="40">
        <f t="shared" si="16"/>
        <v>36.559657064770036</v>
      </c>
      <c r="X115" s="40">
        <f t="shared" si="16"/>
        <v>2.549916958127481</v>
      </c>
      <c r="Y115" s="40">
        <f t="shared" si="16"/>
        <v>8558.3201244822812</v>
      </c>
      <c r="Z115" s="40">
        <f t="shared" si="16"/>
        <v>0.30371608465110023</v>
      </c>
      <c r="AA115" s="40">
        <f t="shared" si="16"/>
        <v>0</v>
      </c>
      <c r="AB115" s="40">
        <f t="shared" si="16"/>
        <v>0</v>
      </c>
      <c r="AC115" s="40">
        <f t="shared" si="16"/>
        <v>0</v>
      </c>
      <c r="AD115" s="40">
        <f t="shared" si="16"/>
        <v>0</v>
      </c>
      <c r="AE115" s="40">
        <f t="shared" si="16"/>
        <v>0</v>
      </c>
      <c r="AF115" s="40">
        <f t="shared" si="16"/>
        <v>0</v>
      </c>
      <c r="AG115" s="40">
        <f t="shared" si="16"/>
        <v>0</v>
      </c>
      <c r="AH115" s="40">
        <f t="shared" si="16"/>
        <v>0</v>
      </c>
      <c r="AI115" s="40">
        <f t="shared" si="16"/>
        <v>0</v>
      </c>
      <c r="AJ115" s="40">
        <f t="shared" si="16"/>
        <v>0</v>
      </c>
      <c r="AK115" s="40">
        <f t="shared" si="16"/>
        <v>0</v>
      </c>
      <c r="AL115" s="40">
        <f t="shared" si="16"/>
        <v>0</v>
      </c>
      <c r="AM115" s="40">
        <f t="shared" si="16"/>
        <v>0</v>
      </c>
      <c r="AN115" s="40">
        <f t="shared" si="16"/>
        <v>0</v>
      </c>
      <c r="AO115" s="40">
        <f t="shared" si="16"/>
        <v>0</v>
      </c>
      <c r="AP115" s="40">
        <f t="shared" si="16"/>
        <v>0</v>
      </c>
      <c r="AQ115" s="40">
        <f t="shared" si="16"/>
        <v>0</v>
      </c>
      <c r="AR115" s="40">
        <f t="shared" si="16"/>
        <v>0</v>
      </c>
      <c r="AS115" s="40">
        <f t="shared" si="16"/>
        <v>0</v>
      </c>
      <c r="AT115" s="40">
        <f t="shared" si="16"/>
        <v>0</v>
      </c>
      <c r="AU115" s="40">
        <f t="shared" si="16"/>
        <v>0</v>
      </c>
      <c r="AV115" s="313">
        <f t="shared" si="16"/>
        <v>57.745121668708023</v>
      </c>
      <c r="AW115" s="317">
        <f t="shared" si="16"/>
        <v>0</v>
      </c>
      <c r="AX115" s="317">
        <f t="shared" si="16"/>
        <v>0</v>
      </c>
      <c r="AY115" s="313">
        <f t="shared" si="16"/>
        <v>3538.2891279304085</v>
      </c>
      <c r="AZ115" s="40">
        <f t="shared" si="16"/>
        <v>0</v>
      </c>
      <c r="BA115" s="40">
        <f t="shared" si="16"/>
        <v>0</v>
      </c>
      <c r="BB115" s="40">
        <f t="shared" si="16"/>
        <v>0</v>
      </c>
      <c r="BC115" s="40">
        <f t="shared" si="16"/>
        <v>19.823462887691299</v>
      </c>
      <c r="BD115" s="40">
        <f t="shared" si="16"/>
        <v>2.1131455823284392E-3</v>
      </c>
      <c r="BE115" s="40">
        <f t="shared" si="16"/>
        <v>8.6237919221257311</v>
      </c>
      <c r="BF115" s="40">
        <f t="shared" si="16"/>
        <v>5.9939598004563749E-3</v>
      </c>
      <c r="BG115" s="40">
        <f t="shared" si="16"/>
        <v>0</v>
      </c>
      <c r="BH115" s="40">
        <f t="shared" si="16"/>
        <v>0</v>
      </c>
      <c r="BI115" s="40">
        <f t="shared" si="16"/>
        <v>0</v>
      </c>
      <c r="BJ115" s="40">
        <f t="shared" si="16"/>
        <v>0</v>
      </c>
      <c r="BK115" s="40">
        <f t="shared" si="16"/>
        <v>0</v>
      </c>
      <c r="BL115" s="62">
        <v>0</v>
      </c>
      <c r="BM115" s="275">
        <v>2</v>
      </c>
      <c r="BN115" s="62">
        <v>0</v>
      </c>
      <c r="BP115" s="33" t="s">
        <v>495</v>
      </c>
    </row>
    <row r="116" spans="1:68">
      <c r="A116" s="33" t="str">
        <f>Database_Productkaarten[[#This Row],[Product]]&amp;", "&amp;Database_Productkaarten[[#This Row],[Levensfase]]</f>
        <v>AC 11 surf DL-A rood*, A1</v>
      </c>
      <c r="B116" s="33" t="s">
        <v>493</v>
      </c>
      <c r="C116" s="33" t="s">
        <v>483</v>
      </c>
      <c r="D116" s="33" t="s">
        <v>494</v>
      </c>
      <c r="E116" s="33" t="s">
        <v>378</v>
      </c>
      <c r="F116" s="33" t="s">
        <v>74</v>
      </c>
      <c r="L116" s="33">
        <v>2.35</v>
      </c>
      <c r="M116" s="269">
        <v>1</v>
      </c>
      <c r="N116" s="41">
        <f>N102*1.5</f>
        <v>13.728351513</v>
      </c>
      <c r="O116" s="33">
        <v>14</v>
      </c>
      <c r="P116" s="40">
        <f>P102*1.5</f>
        <v>8.8498086720000002E-4</v>
      </c>
      <c r="Q116" s="40">
        <f t="shared" si="16"/>
        <v>2.2617246718500001</v>
      </c>
      <c r="R116" s="40">
        <f t="shared" si="16"/>
        <v>107.08438922549999</v>
      </c>
      <c r="S116" s="40">
        <f t="shared" si="16"/>
        <v>1.1743673985E-5</v>
      </c>
      <c r="T116" s="40">
        <f t="shared" si="16"/>
        <v>0.23308991184000002</v>
      </c>
      <c r="U116" s="40">
        <f t="shared" si="16"/>
        <v>0.67576077225000009</v>
      </c>
      <c r="V116" s="40">
        <f t="shared" si="16"/>
        <v>6.7963264199999998E-2</v>
      </c>
      <c r="W116" s="40">
        <f t="shared" si="16"/>
        <v>30.483719293499998</v>
      </c>
      <c r="X116" s="40">
        <f t="shared" si="16"/>
        <v>3.1524107179500001</v>
      </c>
      <c r="Y116" s="40">
        <f t="shared" si="16"/>
        <v>13674.542583970499</v>
      </c>
      <c r="Z116" s="40">
        <f t="shared" si="16"/>
        <v>0.42932290755000002</v>
      </c>
      <c r="AA116" s="40">
        <f t="shared" si="16"/>
        <v>0</v>
      </c>
      <c r="AB116" s="40">
        <f t="shared" si="16"/>
        <v>0</v>
      </c>
      <c r="AC116" s="40">
        <f t="shared" si="16"/>
        <v>0</v>
      </c>
      <c r="AD116" s="40">
        <f t="shared" si="16"/>
        <v>0</v>
      </c>
      <c r="AE116" s="40">
        <f t="shared" si="16"/>
        <v>0</v>
      </c>
      <c r="AF116" s="40">
        <f t="shared" si="16"/>
        <v>0</v>
      </c>
      <c r="AG116" s="40">
        <f t="shared" si="16"/>
        <v>0</v>
      </c>
      <c r="AH116" s="40">
        <f t="shared" si="16"/>
        <v>0</v>
      </c>
      <c r="AI116" s="40">
        <f t="shared" si="16"/>
        <v>0</v>
      </c>
      <c r="AJ116" s="40">
        <f t="shared" si="16"/>
        <v>0</v>
      </c>
      <c r="AK116" s="40">
        <f t="shared" si="16"/>
        <v>0</v>
      </c>
      <c r="AL116" s="40">
        <f t="shared" si="16"/>
        <v>0</v>
      </c>
      <c r="AM116" s="40">
        <f t="shared" si="16"/>
        <v>0</v>
      </c>
      <c r="AN116" s="40">
        <f t="shared" si="16"/>
        <v>0</v>
      </c>
      <c r="AO116" s="40">
        <f t="shared" si="16"/>
        <v>0</v>
      </c>
      <c r="AP116" s="40">
        <f t="shared" si="16"/>
        <v>0</v>
      </c>
      <c r="AQ116" s="40">
        <f t="shared" si="16"/>
        <v>0</v>
      </c>
      <c r="AR116" s="40">
        <f t="shared" si="16"/>
        <v>0</v>
      </c>
      <c r="AS116" s="40">
        <f t="shared" si="16"/>
        <v>0</v>
      </c>
      <c r="AT116" s="40">
        <f t="shared" si="16"/>
        <v>0</v>
      </c>
      <c r="AU116" s="40">
        <f t="shared" si="16"/>
        <v>0</v>
      </c>
      <c r="AV116" s="313">
        <f t="shared" si="16"/>
        <v>60.481593816</v>
      </c>
      <c r="AW116" s="317">
        <f t="shared" si="16"/>
        <v>0</v>
      </c>
      <c r="AX116" s="317">
        <f t="shared" si="16"/>
        <v>0</v>
      </c>
      <c r="AY116" s="313">
        <f t="shared" si="16"/>
        <v>5085.9402667980003</v>
      </c>
      <c r="AZ116" s="40">
        <f t="shared" si="16"/>
        <v>0</v>
      </c>
      <c r="BA116" s="40">
        <f t="shared" si="16"/>
        <v>0</v>
      </c>
      <c r="BB116" s="40">
        <f t="shared" si="16"/>
        <v>0</v>
      </c>
      <c r="BC116" s="40">
        <f t="shared" si="16"/>
        <v>45.427586826150005</v>
      </c>
      <c r="BD116" s="40">
        <f t="shared" si="16"/>
        <v>1.9935857595000002E-3</v>
      </c>
      <c r="BE116" s="40">
        <f t="shared" si="16"/>
        <v>8.3930471369999999</v>
      </c>
      <c r="BF116" s="40">
        <f t="shared" si="16"/>
        <v>4.8239884770000007E-3</v>
      </c>
      <c r="BG116" s="40">
        <f t="shared" si="16"/>
        <v>0</v>
      </c>
      <c r="BH116" s="40">
        <f t="shared" si="16"/>
        <v>0</v>
      </c>
      <c r="BI116" s="40">
        <f t="shared" si="16"/>
        <v>0</v>
      </c>
      <c r="BJ116" s="40">
        <f t="shared" si="16"/>
        <v>0</v>
      </c>
      <c r="BK116" s="40">
        <f t="shared" si="16"/>
        <v>0</v>
      </c>
      <c r="BL116" s="62">
        <v>0</v>
      </c>
      <c r="BM116" s="275">
        <v>2</v>
      </c>
      <c r="BN116" s="62">
        <v>0</v>
      </c>
      <c r="BP116" s="33" t="s">
        <v>495</v>
      </c>
    </row>
    <row r="117" spans="1:68">
      <c r="A117" s="33" t="str">
        <f>Database_Productkaarten[[#This Row],[Product]]&amp;", "&amp;Database_Productkaarten[[#This Row],[Levensfase]]</f>
        <v>AC 11 surf DL-A rood*, A2</v>
      </c>
      <c r="B117" s="33" t="s">
        <v>493</v>
      </c>
      <c r="C117" s="33" t="s">
        <v>483</v>
      </c>
      <c r="D117" s="33" t="s">
        <v>494</v>
      </c>
      <c r="E117" s="33" t="s">
        <v>378</v>
      </c>
      <c r="F117" s="33" t="s">
        <v>75</v>
      </c>
      <c r="L117" s="33">
        <v>2.35</v>
      </c>
      <c r="M117" s="269">
        <v>1</v>
      </c>
      <c r="N117" s="41">
        <f>N103*1.5</f>
        <v>4.1090786337375009</v>
      </c>
      <c r="O117" s="33">
        <v>14</v>
      </c>
      <c r="P117" s="40">
        <f>P103*1.5</f>
        <v>2.7735135050925004E-5</v>
      </c>
      <c r="Q117" s="40">
        <f t="shared" si="16"/>
        <v>0.19115508381915</v>
      </c>
      <c r="R117" s="40">
        <f t="shared" si="16"/>
        <v>27.941500003769995</v>
      </c>
      <c r="S117" s="40">
        <f t="shared" si="16"/>
        <v>4.5503584544849991E-6</v>
      </c>
      <c r="T117" s="40">
        <f t="shared" si="16"/>
        <v>2.1302965063050003E-2</v>
      </c>
      <c r="U117" s="40">
        <f t="shared" si="16"/>
        <v>0.31547306320440005</v>
      </c>
      <c r="V117" s="40">
        <f t="shared" si="16"/>
        <v>4.3097215285800003E-2</v>
      </c>
      <c r="W117" s="40">
        <f t="shared" si="16"/>
        <v>9.92500076382</v>
      </c>
      <c r="X117" s="40">
        <f t="shared" si="16"/>
        <v>0.22678191626399996</v>
      </c>
      <c r="Y117" s="40">
        <f t="shared" si="16"/>
        <v>866.2525271969173</v>
      </c>
      <c r="Z117" s="40">
        <f t="shared" si="16"/>
        <v>3.6953861006550008E-2</v>
      </c>
      <c r="AA117" s="40">
        <f t="shared" si="16"/>
        <v>0</v>
      </c>
      <c r="AB117" s="40">
        <f t="shared" si="16"/>
        <v>0</v>
      </c>
      <c r="AC117" s="40">
        <f t="shared" si="16"/>
        <v>0</v>
      </c>
      <c r="AD117" s="40">
        <f t="shared" si="16"/>
        <v>0</v>
      </c>
      <c r="AE117" s="40">
        <f t="shared" si="16"/>
        <v>0</v>
      </c>
      <c r="AF117" s="40">
        <f t="shared" si="16"/>
        <v>0</v>
      </c>
      <c r="AG117" s="40">
        <f t="shared" si="16"/>
        <v>0</v>
      </c>
      <c r="AH117" s="40">
        <f t="shared" si="16"/>
        <v>0</v>
      </c>
      <c r="AI117" s="40">
        <f t="shared" si="16"/>
        <v>0</v>
      </c>
      <c r="AJ117" s="40">
        <f t="shared" si="16"/>
        <v>0</v>
      </c>
      <c r="AK117" s="40">
        <f t="shared" si="16"/>
        <v>0</v>
      </c>
      <c r="AL117" s="40">
        <f t="shared" si="16"/>
        <v>0</v>
      </c>
      <c r="AM117" s="40">
        <f t="shared" si="16"/>
        <v>0</v>
      </c>
      <c r="AN117" s="40">
        <f t="shared" si="16"/>
        <v>0</v>
      </c>
      <c r="AO117" s="40">
        <f t="shared" si="16"/>
        <v>0</v>
      </c>
      <c r="AP117" s="40">
        <f t="shared" si="16"/>
        <v>0</v>
      </c>
      <c r="AQ117" s="40">
        <f t="shared" si="16"/>
        <v>0</v>
      </c>
      <c r="AR117" s="40">
        <f t="shared" si="16"/>
        <v>0</v>
      </c>
      <c r="AS117" s="40">
        <f t="shared" si="16"/>
        <v>0</v>
      </c>
      <c r="AT117" s="40">
        <f t="shared" si="16"/>
        <v>0</v>
      </c>
      <c r="AU117" s="40">
        <f t="shared" si="16"/>
        <v>0</v>
      </c>
      <c r="AV117" s="313">
        <f t="shared" si="16"/>
        <v>7.7479060024574995</v>
      </c>
      <c r="AW117" s="317">
        <f t="shared" si="16"/>
        <v>0</v>
      </c>
      <c r="AX117" s="317">
        <f t="shared" si="16"/>
        <v>0</v>
      </c>
      <c r="AY117" s="313">
        <f t="shared" si="16"/>
        <v>423.80168251184244</v>
      </c>
      <c r="AZ117" s="40">
        <f t="shared" si="16"/>
        <v>0</v>
      </c>
      <c r="BA117" s="40">
        <f t="shared" si="16"/>
        <v>0</v>
      </c>
      <c r="BB117" s="40">
        <f t="shared" si="16"/>
        <v>0</v>
      </c>
      <c r="BC117" s="40">
        <f t="shared" si="16"/>
        <v>8.5385172107699997E-2</v>
      </c>
      <c r="BD117" s="40">
        <f t="shared" si="16"/>
        <v>2.6873472041550006E-4</v>
      </c>
      <c r="BE117" s="40">
        <f t="shared" si="16"/>
        <v>7.0231463875050029</v>
      </c>
      <c r="BF117" s="40">
        <f t="shared" si="16"/>
        <v>2.638936819695E-3</v>
      </c>
      <c r="BG117" s="40">
        <f t="shared" si="16"/>
        <v>0</v>
      </c>
      <c r="BH117" s="40">
        <f t="shared" si="16"/>
        <v>0</v>
      </c>
      <c r="BI117" s="40">
        <f t="shared" si="16"/>
        <v>0</v>
      </c>
      <c r="BJ117" s="40">
        <f t="shared" si="16"/>
        <v>0</v>
      </c>
      <c r="BK117" s="40">
        <f t="shared" si="16"/>
        <v>0</v>
      </c>
      <c r="BL117" s="62">
        <v>0</v>
      </c>
      <c r="BM117" s="275">
        <v>2</v>
      </c>
      <c r="BN117" s="62">
        <v>0</v>
      </c>
      <c r="BP117" s="33" t="s">
        <v>495</v>
      </c>
    </row>
    <row r="118" spans="1:68">
      <c r="A118" s="33" t="str">
        <f>Database_Productkaarten[[#This Row],[Product]]&amp;", "&amp;Database_Productkaarten[[#This Row],[Levensfase]]</f>
        <v>AC 11 surf DL-A rood*, A3</v>
      </c>
      <c r="B118" s="33" t="s">
        <v>493</v>
      </c>
      <c r="C118" s="33" t="s">
        <v>483</v>
      </c>
      <c r="D118" s="33" t="s">
        <v>494</v>
      </c>
      <c r="E118" s="33" t="s">
        <v>378</v>
      </c>
      <c r="F118" s="33" t="s">
        <v>76</v>
      </c>
      <c r="L118" s="33">
        <v>2.35</v>
      </c>
      <c r="M118" s="269">
        <v>1</v>
      </c>
      <c r="N118" s="41">
        <f>N104*1.5</f>
        <v>2.6010481976980087</v>
      </c>
      <c r="O118" s="33">
        <v>14</v>
      </c>
      <c r="P118" s="40">
        <f>P104*1.5</f>
        <v>7.6291064877593158E-6</v>
      </c>
      <c r="Q118" s="40">
        <f t="shared" si="16"/>
        <v>0.30730686620484621</v>
      </c>
      <c r="R118" s="40">
        <f t="shared" si="16"/>
        <v>36.119901394704364</v>
      </c>
      <c r="S118" s="40">
        <f t="shared" si="16"/>
        <v>4.1247661625259852E-6</v>
      </c>
      <c r="T118" s="40">
        <f t="shared" si="16"/>
        <v>5.8477238941640076E-3</v>
      </c>
      <c r="U118" s="40">
        <f t="shared" si="16"/>
        <v>3.9878496249306047E-2</v>
      </c>
      <c r="V118" s="40">
        <f t="shared" si="16"/>
        <v>7.26735334000813E-3</v>
      </c>
      <c r="W118" s="40">
        <f t="shared" si="16"/>
        <v>5.4448316207035896</v>
      </c>
      <c r="X118" s="40">
        <f t="shared" si="16"/>
        <v>3.8440663954497391E-2</v>
      </c>
      <c r="Y118" s="40">
        <f t="shared" si="16"/>
        <v>156.65071518134641</v>
      </c>
      <c r="Z118" s="40">
        <f t="shared" si="16"/>
        <v>3.8169317768891084E-2</v>
      </c>
      <c r="AA118" s="40">
        <f t="shared" si="16"/>
        <v>0</v>
      </c>
      <c r="AB118" s="40">
        <f t="shared" si="16"/>
        <v>0</v>
      </c>
      <c r="AC118" s="40">
        <f t="shared" si="16"/>
        <v>0</v>
      </c>
      <c r="AD118" s="40">
        <f t="shared" si="16"/>
        <v>0</v>
      </c>
      <c r="AE118" s="40">
        <f t="shared" si="16"/>
        <v>0</v>
      </c>
      <c r="AF118" s="40">
        <f t="shared" si="16"/>
        <v>0</v>
      </c>
      <c r="AG118" s="40">
        <f t="shared" si="16"/>
        <v>0</v>
      </c>
      <c r="AH118" s="40">
        <f t="shared" si="16"/>
        <v>0</v>
      </c>
      <c r="AI118" s="40">
        <f t="shared" si="16"/>
        <v>0</v>
      </c>
      <c r="AJ118" s="40">
        <f t="shared" si="16"/>
        <v>0</v>
      </c>
      <c r="AK118" s="40">
        <f t="shared" si="16"/>
        <v>0</v>
      </c>
      <c r="AL118" s="40">
        <f t="shared" si="16"/>
        <v>0</v>
      </c>
      <c r="AM118" s="40">
        <f t="shared" si="16"/>
        <v>0</v>
      </c>
      <c r="AN118" s="40">
        <f t="shared" si="16"/>
        <v>0</v>
      </c>
      <c r="AO118" s="40">
        <f t="shared" si="16"/>
        <v>0</v>
      </c>
      <c r="AP118" s="40">
        <f t="shared" si="16"/>
        <v>0</v>
      </c>
      <c r="AQ118" s="40">
        <f t="shared" si="16"/>
        <v>0</v>
      </c>
      <c r="AR118" s="40">
        <f t="shared" si="16"/>
        <v>0</v>
      </c>
      <c r="AS118" s="40">
        <f t="shared" si="16"/>
        <v>0</v>
      </c>
      <c r="AT118" s="40">
        <f t="shared" si="16"/>
        <v>0</v>
      </c>
      <c r="AU118" s="40">
        <f t="shared" si="16"/>
        <v>0</v>
      </c>
      <c r="AV118" s="313">
        <f t="shared" si="16"/>
        <v>10.964869110614973</v>
      </c>
      <c r="AW118" s="317">
        <f t="shared" si="16"/>
        <v>0</v>
      </c>
      <c r="AX118" s="317">
        <f t="shared" si="16"/>
        <v>0</v>
      </c>
      <c r="AY118" s="313">
        <f t="shared" si="16"/>
        <v>627.74430026684729</v>
      </c>
      <c r="AZ118" s="40">
        <f t="shared" si="16"/>
        <v>0</v>
      </c>
      <c r="BA118" s="40">
        <f t="shared" si="16"/>
        <v>0</v>
      </c>
      <c r="BB118" s="40">
        <f t="shared" si="16"/>
        <v>0</v>
      </c>
      <c r="BC118" s="40">
        <f t="shared" si="16"/>
        <v>7.2861753203159227E-2</v>
      </c>
      <c r="BD118" s="40">
        <f t="shared" si="16"/>
        <v>8.5141807783246644E-4</v>
      </c>
      <c r="BE118" s="40">
        <f t="shared" si="16"/>
        <v>0.41409929086502645</v>
      </c>
      <c r="BF118" s="40">
        <f t="shared" si="16"/>
        <v>5.8761604316672671E-4</v>
      </c>
      <c r="BG118" s="40">
        <f t="shared" si="16"/>
        <v>0</v>
      </c>
      <c r="BH118" s="40">
        <f t="shared" si="16"/>
        <v>0</v>
      </c>
      <c r="BI118" s="40">
        <f t="shared" si="16"/>
        <v>0</v>
      </c>
      <c r="BJ118" s="40">
        <f t="shared" si="16"/>
        <v>0</v>
      </c>
      <c r="BK118" s="40">
        <f t="shared" si="16"/>
        <v>0</v>
      </c>
      <c r="BL118" s="62">
        <v>0</v>
      </c>
      <c r="BM118" s="275">
        <v>2</v>
      </c>
      <c r="BN118" s="62">
        <v>0</v>
      </c>
      <c r="BP118" s="33" t="s">
        <v>495</v>
      </c>
    </row>
    <row r="119" spans="1:68">
      <c r="A119" s="33" t="str">
        <f>Database_Productkaarten[[#This Row],[Product]]&amp;", "&amp;Database_Productkaarten[[#This Row],[Levensfase]]</f>
        <v>AC 11 surf DL-A rood*, A1-A3</v>
      </c>
      <c r="B119" s="33" t="str">
        <f>B118</f>
        <v>AC 11 surf DL-A rood*</v>
      </c>
      <c r="C119" s="33" t="str">
        <f>C118</f>
        <v>Bitumineuze verhardingen</v>
      </c>
      <c r="D119" s="33" t="str">
        <f>D118</f>
        <v>AC surf rood</v>
      </c>
      <c r="E119" s="33" t="str">
        <f>E118</f>
        <v>Ton</v>
      </c>
      <c r="F119" s="33" t="s">
        <v>77</v>
      </c>
      <c r="L119" s="33">
        <f>L118</f>
        <v>2.35</v>
      </c>
      <c r="M119" s="45">
        <f>M118</f>
        <v>1</v>
      </c>
      <c r="N119" s="252">
        <f>SUM(N116:N118)</f>
        <v>20.438478344435509</v>
      </c>
      <c r="O119" s="33">
        <f>O118</f>
        <v>14</v>
      </c>
      <c r="P119" s="40">
        <f>SUM(P116:P118)</f>
        <v>9.2034510873868433E-4</v>
      </c>
      <c r="Q119" s="40">
        <f t="shared" ref="Q119:BK119" si="17">SUM(Q116:Q118)</f>
        <v>2.7601866218739963</v>
      </c>
      <c r="R119" s="40">
        <f t="shared" si="17"/>
        <v>171.14579062397434</v>
      </c>
      <c r="S119" s="40">
        <f t="shared" si="17"/>
        <v>2.0418798602010984E-5</v>
      </c>
      <c r="T119" s="40">
        <f t="shared" si="17"/>
        <v>0.26024060079721401</v>
      </c>
      <c r="U119" s="40">
        <f t="shared" si="17"/>
        <v>1.0311123317037061</v>
      </c>
      <c r="V119" s="40">
        <f t="shared" si="17"/>
        <v>0.11832783282580814</v>
      </c>
      <c r="W119" s="40">
        <f t="shared" si="17"/>
        <v>45.853551678023585</v>
      </c>
      <c r="X119" s="40">
        <f t="shared" si="17"/>
        <v>3.4176332981684974</v>
      </c>
      <c r="Y119" s="40">
        <f t="shared" si="17"/>
        <v>14697.445826348761</v>
      </c>
      <c r="Z119" s="40">
        <f t="shared" si="17"/>
        <v>0.50444608632544108</v>
      </c>
      <c r="AA119" s="40">
        <f t="shared" si="17"/>
        <v>0</v>
      </c>
      <c r="AB119" s="40">
        <f t="shared" si="17"/>
        <v>0</v>
      </c>
      <c r="AC119" s="40">
        <f t="shared" si="17"/>
        <v>0</v>
      </c>
      <c r="AD119" s="40">
        <f t="shared" si="17"/>
        <v>0</v>
      </c>
      <c r="AE119" s="40">
        <f t="shared" si="17"/>
        <v>0</v>
      </c>
      <c r="AF119" s="40">
        <f t="shared" si="17"/>
        <v>0</v>
      </c>
      <c r="AG119" s="40">
        <f t="shared" si="17"/>
        <v>0</v>
      </c>
      <c r="AH119" s="40">
        <f t="shared" si="17"/>
        <v>0</v>
      </c>
      <c r="AI119" s="40">
        <f t="shared" si="17"/>
        <v>0</v>
      </c>
      <c r="AJ119" s="40">
        <f t="shared" si="17"/>
        <v>0</v>
      </c>
      <c r="AK119" s="40">
        <f t="shared" si="17"/>
        <v>0</v>
      </c>
      <c r="AL119" s="40">
        <f t="shared" si="17"/>
        <v>0</v>
      </c>
      <c r="AM119" s="40">
        <f t="shared" si="17"/>
        <v>0</v>
      </c>
      <c r="AN119" s="40">
        <f t="shared" si="17"/>
        <v>0</v>
      </c>
      <c r="AO119" s="40">
        <f t="shared" si="17"/>
        <v>0</v>
      </c>
      <c r="AP119" s="40">
        <f t="shared" si="17"/>
        <v>0</v>
      </c>
      <c r="AQ119" s="40">
        <f t="shared" si="17"/>
        <v>0</v>
      </c>
      <c r="AR119" s="40">
        <f t="shared" si="17"/>
        <v>0</v>
      </c>
      <c r="AS119" s="40">
        <f t="shared" si="17"/>
        <v>0</v>
      </c>
      <c r="AT119" s="40">
        <f t="shared" si="17"/>
        <v>0</v>
      </c>
      <c r="AU119" s="40">
        <f t="shared" si="17"/>
        <v>0</v>
      </c>
      <c r="AV119" s="317">
        <f t="shared" si="17"/>
        <v>79.194368929072468</v>
      </c>
      <c r="AW119" s="317">
        <f t="shared" si="17"/>
        <v>0</v>
      </c>
      <c r="AX119" s="317">
        <f t="shared" si="17"/>
        <v>0</v>
      </c>
      <c r="AY119" s="317">
        <f t="shared" si="17"/>
        <v>6137.4862495766893</v>
      </c>
      <c r="AZ119" s="40">
        <f t="shared" si="17"/>
        <v>0</v>
      </c>
      <c r="BA119" s="40">
        <f t="shared" si="17"/>
        <v>0</v>
      </c>
      <c r="BB119" s="40">
        <f t="shared" si="17"/>
        <v>0</v>
      </c>
      <c r="BC119" s="40">
        <f t="shared" si="17"/>
        <v>45.585833751460861</v>
      </c>
      <c r="BD119" s="40">
        <f t="shared" si="17"/>
        <v>3.1137385577479663E-3</v>
      </c>
      <c r="BE119" s="40">
        <f t="shared" si="17"/>
        <v>15.830292815370029</v>
      </c>
      <c r="BF119" s="40">
        <f t="shared" si="17"/>
        <v>8.0505413398617269E-3</v>
      </c>
      <c r="BG119" s="40">
        <f t="shared" si="17"/>
        <v>0</v>
      </c>
      <c r="BH119" s="40">
        <f t="shared" si="17"/>
        <v>0</v>
      </c>
      <c r="BI119" s="40">
        <f t="shared" si="17"/>
        <v>0</v>
      </c>
      <c r="BJ119" s="40">
        <f t="shared" si="17"/>
        <v>0</v>
      </c>
      <c r="BK119" s="40">
        <f t="shared" si="17"/>
        <v>0</v>
      </c>
      <c r="BL119" s="62">
        <f>BL118</f>
        <v>0</v>
      </c>
      <c r="BM119" s="275">
        <f>BM118</f>
        <v>2</v>
      </c>
      <c r="BN119" s="62">
        <v>0</v>
      </c>
      <c r="BO119" s="33">
        <f>BO118</f>
        <v>0</v>
      </c>
    </row>
    <row r="120" spans="1:68">
      <c r="A120" s="33" t="str">
        <f>Database_Productkaarten[[#This Row],[Product]]&amp;", "&amp;Database_Productkaarten[[#This Row],[Levensfase]]</f>
        <v>AC 11 surf DL-A rood*, A4</v>
      </c>
      <c r="B120" s="33" t="s">
        <v>493</v>
      </c>
      <c r="C120" s="33" t="s">
        <v>483</v>
      </c>
      <c r="D120" s="33" t="s">
        <v>494</v>
      </c>
      <c r="E120" s="33" t="s">
        <v>378</v>
      </c>
      <c r="F120" s="33" t="s">
        <v>78</v>
      </c>
      <c r="L120" s="33">
        <v>2.35</v>
      </c>
      <c r="M120" s="269">
        <v>1</v>
      </c>
      <c r="N120" s="41">
        <f t="shared" ref="N120:N125" si="18">N106*1.5</f>
        <v>0.94339004999999987</v>
      </c>
      <c r="O120" s="33">
        <v>14</v>
      </c>
      <c r="P120" s="40">
        <f t="shared" ref="P120:BK125" si="19">P106*1.5</f>
        <v>1.6467505500000003E-5</v>
      </c>
      <c r="Q120" s="40">
        <f t="shared" si="19"/>
        <v>6.4775591999999993E-2</v>
      </c>
      <c r="R120" s="40">
        <f t="shared" si="19"/>
        <v>8.5531957500000004</v>
      </c>
      <c r="S120" s="40">
        <f t="shared" si="19"/>
        <v>1.7003034000000001E-6</v>
      </c>
      <c r="T120" s="40">
        <f t="shared" si="19"/>
        <v>5.3629274999999997E-3</v>
      </c>
      <c r="U120" s="40">
        <f t="shared" si="19"/>
        <v>2.87267415E-2</v>
      </c>
      <c r="V120" s="40">
        <f t="shared" si="19"/>
        <v>5.7035332500000001E-3</v>
      </c>
      <c r="W120" s="40">
        <f t="shared" si="19"/>
        <v>3.0074006999999998</v>
      </c>
      <c r="X120" s="40">
        <f t="shared" si="19"/>
        <v>0.19389730500000002</v>
      </c>
      <c r="Y120" s="40">
        <f t="shared" si="19"/>
        <v>507.94663499999996</v>
      </c>
      <c r="Z120" s="40">
        <f t="shared" si="19"/>
        <v>1.7837723999999999E-2</v>
      </c>
      <c r="AA120" s="40">
        <f t="shared" si="19"/>
        <v>0</v>
      </c>
      <c r="AB120" s="40">
        <f t="shared" si="19"/>
        <v>0</v>
      </c>
      <c r="AC120" s="40">
        <f t="shared" si="19"/>
        <v>0</v>
      </c>
      <c r="AD120" s="40">
        <f t="shared" si="19"/>
        <v>0</v>
      </c>
      <c r="AE120" s="40">
        <f t="shared" si="19"/>
        <v>0</v>
      </c>
      <c r="AF120" s="40">
        <f t="shared" si="19"/>
        <v>0</v>
      </c>
      <c r="AG120" s="40">
        <f t="shared" si="19"/>
        <v>0</v>
      </c>
      <c r="AH120" s="40">
        <f t="shared" si="19"/>
        <v>0</v>
      </c>
      <c r="AI120" s="40">
        <f t="shared" si="19"/>
        <v>0</v>
      </c>
      <c r="AJ120" s="40">
        <f t="shared" si="19"/>
        <v>0</v>
      </c>
      <c r="AK120" s="40">
        <f t="shared" si="19"/>
        <v>0</v>
      </c>
      <c r="AL120" s="40">
        <f t="shared" si="19"/>
        <v>0</v>
      </c>
      <c r="AM120" s="40">
        <f t="shared" si="19"/>
        <v>0</v>
      </c>
      <c r="AN120" s="40">
        <f t="shared" si="19"/>
        <v>0</v>
      </c>
      <c r="AO120" s="40">
        <f t="shared" si="19"/>
        <v>0</v>
      </c>
      <c r="AP120" s="40">
        <f t="shared" si="19"/>
        <v>0</v>
      </c>
      <c r="AQ120" s="40">
        <f t="shared" si="19"/>
        <v>0</v>
      </c>
      <c r="AR120" s="40">
        <f t="shared" si="19"/>
        <v>0</v>
      </c>
      <c r="AS120" s="40">
        <f t="shared" si="19"/>
        <v>0</v>
      </c>
      <c r="AT120" s="40">
        <f t="shared" si="19"/>
        <v>0</v>
      </c>
      <c r="AU120" s="40">
        <f t="shared" si="19"/>
        <v>0</v>
      </c>
      <c r="AV120" s="313">
        <f t="shared" si="19"/>
        <v>0</v>
      </c>
      <c r="AW120" s="317">
        <f t="shared" si="19"/>
        <v>0</v>
      </c>
      <c r="AX120" s="317">
        <f t="shared" si="19"/>
        <v>0</v>
      </c>
      <c r="AY120" s="313">
        <f t="shared" si="19"/>
        <v>0</v>
      </c>
      <c r="AZ120" s="40">
        <f t="shared" si="19"/>
        <v>0</v>
      </c>
      <c r="BA120" s="40">
        <f t="shared" si="19"/>
        <v>0</v>
      </c>
      <c r="BB120" s="40">
        <f t="shared" si="19"/>
        <v>0</v>
      </c>
      <c r="BC120" s="40">
        <f t="shared" si="19"/>
        <v>0</v>
      </c>
      <c r="BD120" s="40">
        <f t="shared" si="19"/>
        <v>0</v>
      </c>
      <c r="BE120" s="40">
        <f t="shared" si="19"/>
        <v>0</v>
      </c>
      <c r="BF120" s="40">
        <f t="shared" si="19"/>
        <v>0</v>
      </c>
      <c r="BG120" s="40">
        <f t="shared" si="19"/>
        <v>0</v>
      </c>
      <c r="BH120" s="40">
        <f t="shared" si="19"/>
        <v>0</v>
      </c>
      <c r="BI120" s="40">
        <f t="shared" si="19"/>
        <v>0</v>
      </c>
      <c r="BJ120" s="40">
        <f t="shared" si="19"/>
        <v>0</v>
      </c>
      <c r="BK120" s="40">
        <f t="shared" si="19"/>
        <v>0</v>
      </c>
      <c r="BL120" s="62">
        <v>0</v>
      </c>
      <c r="BM120" s="275">
        <v>2</v>
      </c>
      <c r="BN120" s="62">
        <v>0</v>
      </c>
      <c r="BP120" s="33" t="s">
        <v>495</v>
      </c>
    </row>
    <row r="121" spans="1:68">
      <c r="A121" s="33" t="str">
        <f>Database_Productkaarten[[#This Row],[Product]]&amp;", "&amp;Database_Productkaarten[[#This Row],[Levensfase]]</f>
        <v>AC 11 surf DL-A rood*, A5</v>
      </c>
      <c r="B121" s="33" t="s">
        <v>493</v>
      </c>
      <c r="C121" s="33" t="s">
        <v>483</v>
      </c>
      <c r="D121" s="33" t="s">
        <v>494</v>
      </c>
      <c r="E121" s="33" t="s">
        <v>378</v>
      </c>
      <c r="F121" s="33" t="s">
        <v>79</v>
      </c>
      <c r="L121" s="33">
        <v>2.35</v>
      </c>
      <c r="M121" s="269">
        <v>1</v>
      </c>
      <c r="N121" s="41">
        <f t="shared" si="18"/>
        <v>0.39214491000000007</v>
      </c>
      <c r="O121" s="33">
        <v>14</v>
      </c>
      <c r="P121" s="40">
        <f t="shared" si="19"/>
        <v>9.6607915500000004E-7</v>
      </c>
      <c r="Q121" s="40">
        <f t="shared" si="19"/>
        <v>1.9832532E-2</v>
      </c>
      <c r="R121" s="40">
        <f t="shared" si="19"/>
        <v>3.8313255000000002</v>
      </c>
      <c r="S121" s="40">
        <f t="shared" si="19"/>
        <v>5.1935883E-7</v>
      </c>
      <c r="T121" s="40">
        <f t="shared" si="19"/>
        <v>1.43341158E-3</v>
      </c>
      <c r="U121" s="40">
        <f t="shared" si="19"/>
        <v>1.6161498E-2</v>
      </c>
      <c r="V121" s="40">
        <f t="shared" si="19"/>
        <v>3.6489122999999995E-3</v>
      </c>
      <c r="W121" s="40">
        <f t="shared" si="19"/>
        <v>1.01835348</v>
      </c>
      <c r="X121" s="40">
        <f t="shared" si="19"/>
        <v>1.4383734450000001E-2</v>
      </c>
      <c r="Y121" s="40">
        <f t="shared" si="19"/>
        <v>48.508948499999995</v>
      </c>
      <c r="Z121" s="40">
        <f t="shared" si="19"/>
        <v>1.7075992500000001E-3</v>
      </c>
      <c r="AA121" s="40">
        <f t="shared" si="19"/>
        <v>0</v>
      </c>
      <c r="AB121" s="40">
        <f t="shared" si="19"/>
        <v>0</v>
      </c>
      <c r="AC121" s="40">
        <f t="shared" si="19"/>
        <v>0</v>
      </c>
      <c r="AD121" s="40">
        <f t="shared" si="19"/>
        <v>0</v>
      </c>
      <c r="AE121" s="40">
        <f t="shared" si="19"/>
        <v>0</v>
      </c>
      <c r="AF121" s="40">
        <f t="shared" si="19"/>
        <v>0</v>
      </c>
      <c r="AG121" s="40">
        <f t="shared" si="19"/>
        <v>0</v>
      </c>
      <c r="AH121" s="40">
        <f t="shared" si="19"/>
        <v>0</v>
      </c>
      <c r="AI121" s="40">
        <f t="shared" si="19"/>
        <v>0</v>
      </c>
      <c r="AJ121" s="40">
        <f t="shared" si="19"/>
        <v>0</v>
      </c>
      <c r="AK121" s="40">
        <f t="shared" si="19"/>
        <v>0</v>
      </c>
      <c r="AL121" s="40">
        <f t="shared" si="19"/>
        <v>0</v>
      </c>
      <c r="AM121" s="40">
        <f t="shared" si="19"/>
        <v>0</v>
      </c>
      <c r="AN121" s="40">
        <f t="shared" si="19"/>
        <v>0</v>
      </c>
      <c r="AO121" s="40">
        <f t="shared" si="19"/>
        <v>0</v>
      </c>
      <c r="AP121" s="40">
        <f t="shared" si="19"/>
        <v>0</v>
      </c>
      <c r="AQ121" s="40">
        <f t="shared" si="19"/>
        <v>0</v>
      </c>
      <c r="AR121" s="40">
        <f t="shared" si="19"/>
        <v>0</v>
      </c>
      <c r="AS121" s="40">
        <f t="shared" si="19"/>
        <v>0</v>
      </c>
      <c r="AT121" s="40">
        <f t="shared" si="19"/>
        <v>0</v>
      </c>
      <c r="AU121" s="40">
        <f t="shared" si="19"/>
        <v>0</v>
      </c>
      <c r="AV121" s="313">
        <f t="shared" si="19"/>
        <v>0.24255532499999999</v>
      </c>
      <c r="AW121" s="317">
        <f t="shared" si="19"/>
        <v>0</v>
      </c>
      <c r="AX121" s="317">
        <f t="shared" si="19"/>
        <v>0</v>
      </c>
      <c r="AY121" s="313">
        <f t="shared" si="19"/>
        <v>44.461252500000001</v>
      </c>
      <c r="AZ121" s="40">
        <f t="shared" si="19"/>
        <v>0</v>
      </c>
      <c r="BA121" s="40">
        <f t="shared" si="19"/>
        <v>0</v>
      </c>
      <c r="BB121" s="40">
        <f t="shared" si="19"/>
        <v>0</v>
      </c>
      <c r="BC121" s="40">
        <f t="shared" si="19"/>
        <v>5.4792458999999996E-3</v>
      </c>
      <c r="BD121" s="40">
        <f t="shared" si="19"/>
        <v>1.8673177500000001E-5</v>
      </c>
      <c r="BE121" s="40">
        <f t="shared" si="19"/>
        <v>4.4586967500000005E-2</v>
      </c>
      <c r="BF121" s="40">
        <f t="shared" si="19"/>
        <v>2.9083630500000002E-4</v>
      </c>
      <c r="BG121" s="40">
        <f t="shared" si="19"/>
        <v>0</v>
      </c>
      <c r="BH121" s="40">
        <f t="shared" si="19"/>
        <v>0</v>
      </c>
      <c r="BI121" s="40">
        <f t="shared" si="19"/>
        <v>0</v>
      </c>
      <c r="BJ121" s="40">
        <f t="shared" si="19"/>
        <v>0</v>
      </c>
      <c r="BK121" s="40">
        <f t="shared" si="19"/>
        <v>0</v>
      </c>
      <c r="BL121" s="62">
        <v>0</v>
      </c>
      <c r="BM121" s="275">
        <v>2</v>
      </c>
      <c r="BN121" s="62">
        <v>0</v>
      </c>
      <c r="BP121" s="33" t="s">
        <v>495</v>
      </c>
    </row>
    <row r="122" spans="1:68">
      <c r="A122" s="33" t="str">
        <f>Database_Productkaarten[[#This Row],[Product]]&amp;", "&amp;Database_Productkaarten[[#This Row],[Levensfase]]</f>
        <v>AC 11 surf DL-A rood*, B1</v>
      </c>
      <c r="B122" s="33" t="s">
        <v>493</v>
      </c>
      <c r="C122" s="33" t="s">
        <v>483</v>
      </c>
      <c r="D122" s="33" t="s">
        <v>494</v>
      </c>
      <c r="E122" s="33" t="s">
        <v>378</v>
      </c>
      <c r="F122" s="33" t="s">
        <v>80</v>
      </c>
      <c r="L122" s="33">
        <v>2.35</v>
      </c>
      <c r="M122" s="269">
        <v>1</v>
      </c>
      <c r="N122" s="41">
        <f t="shared" si="18"/>
        <v>0.1231197825</v>
      </c>
      <c r="O122" s="33">
        <v>14</v>
      </c>
      <c r="P122" s="40">
        <f t="shared" si="19"/>
        <v>0</v>
      </c>
      <c r="Q122" s="40">
        <f t="shared" si="19"/>
        <v>0</v>
      </c>
      <c r="R122" s="40">
        <f t="shared" si="19"/>
        <v>0</v>
      </c>
      <c r="S122" s="40">
        <f t="shared" si="19"/>
        <v>0</v>
      </c>
      <c r="T122" s="40">
        <f t="shared" si="19"/>
        <v>0</v>
      </c>
      <c r="U122" s="40">
        <f t="shared" si="19"/>
        <v>0</v>
      </c>
      <c r="V122" s="40">
        <f t="shared" si="19"/>
        <v>0</v>
      </c>
      <c r="W122" s="40">
        <f t="shared" si="19"/>
        <v>0.49597597500000001</v>
      </c>
      <c r="X122" s="40">
        <f t="shared" si="19"/>
        <v>0.531718515</v>
      </c>
      <c r="Y122" s="40">
        <f t="shared" si="19"/>
        <v>625.12236000000007</v>
      </c>
      <c r="Z122" s="40">
        <f t="shared" si="19"/>
        <v>3.0254430000000002E-4</v>
      </c>
      <c r="AA122" s="40">
        <f t="shared" si="19"/>
        <v>0</v>
      </c>
      <c r="AB122" s="40">
        <f t="shared" si="19"/>
        <v>0</v>
      </c>
      <c r="AC122" s="40">
        <f t="shared" si="19"/>
        <v>0</v>
      </c>
      <c r="AD122" s="40">
        <f t="shared" si="19"/>
        <v>0</v>
      </c>
      <c r="AE122" s="40">
        <f t="shared" si="19"/>
        <v>0</v>
      </c>
      <c r="AF122" s="40">
        <f t="shared" si="19"/>
        <v>0</v>
      </c>
      <c r="AG122" s="40">
        <f t="shared" si="19"/>
        <v>0</v>
      </c>
      <c r="AH122" s="40">
        <f t="shared" si="19"/>
        <v>0</v>
      </c>
      <c r="AI122" s="40">
        <f t="shared" si="19"/>
        <v>0</v>
      </c>
      <c r="AJ122" s="40">
        <f t="shared" si="19"/>
        <v>0</v>
      </c>
      <c r="AK122" s="40">
        <f t="shared" si="19"/>
        <v>0</v>
      </c>
      <c r="AL122" s="40">
        <f t="shared" si="19"/>
        <v>0</v>
      </c>
      <c r="AM122" s="40">
        <f t="shared" si="19"/>
        <v>0</v>
      </c>
      <c r="AN122" s="40">
        <f t="shared" si="19"/>
        <v>0</v>
      </c>
      <c r="AO122" s="40">
        <f t="shared" si="19"/>
        <v>0</v>
      </c>
      <c r="AP122" s="40">
        <f t="shared" si="19"/>
        <v>0</v>
      </c>
      <c r="AQ122" s="40">
        <f t="shared" si="19"/>
        <v>0</v>
      </c>
      <c r="AR122" s="40">
        <f t="shared" si="19"/>
        <v>0</v>
      </c>
      <c r="AS122" s="40">
        <f t="shared" si="19"/>
        <v>0</v>
      </c>
      <c r="AT122" s="40">
        <f t="shared" si="19"/>
        <v>0</v>
      </c>
      <c r="AU122" s="40">
        <f t="shared" si="19"/>
        <v>0</v>
      </c>
      <c r="AV122" s="313">
        <f t="shared" si="19"/>
        <v>0</v>
      </c>
      <c r="AW122" s="317">
        <f t="shared" si="19"/>
        <v>0</v>
      </c>
      <c r="AX122" s="317">
        <f t="shared" si="19"/>
        <v>0</v>
      </c>
      <c r="AY122" s="313">
        <f t="shared" si="19"/>
        <v>0</v>
      </c>
      <c r="AZ122" s="40">
        <f t="shared" si="19"/>
        <v>0</v>
      </c>
      <c r="BA122" s="40">
        <f t="shared" si="19"/>
        <v>0</v>
      </c>
      <c r="BB122" s="40">
        <f t="shared" si="19"/>
        <v>0</v>
      </c>
      <c r="BC122" s="40">
        <f t="shared" si="19"/>
        <v>0</v>
      </c>
      <c r="BD122" s="40">
        <f t="shared" si="19"/>
        <v>0</v>
      </c>
      <c r="BE122" s="40">
        <f t="shared" si="19"/>
        <v>0</v>
      </c>
      <c r="BF122" s="40">
        <f t="shared" si="19"/>
        <v>0</v>
      </c>
      <c r="BG122" s="40">
        <f t="shared" si="19"/>
        <v>0</v>
      </c>
      <c r="BH122" s="40">
        <f t="shared" si="19"/>
        <v>0</v>
      </c>
      <c r="BI122" s="40">
        <f t="shared" si="19"/>
        <v>0</v>
      </c>
      <c r="BJ122" s="40">
        <f t="shared" si="19"/>
        <v>0</v>
      </c>
      <c r="BK122" s="40">
        <f t="shared" si="19"/>
        <v>0</v>
      </c>
      <c r="BL122" s="62">
        <v>0</v>
      </c>
      <c r="BM122" s="275">
        <v>2</v>
      </c>
      <c r="BN122" s="62">
        <v>0</v>
      </c>
      <c r="BP122" s="33" t="s">
        <v>495</v>
      </c>
    </row>
    <row r="123" spans="1:68">
      <c r="A123" s="33" t="str">
        <f>Database_Productkaarten[[#This Row],[Product]]&amp;", "&amp;Database_Productkaarten[[#This Row],[Levensfase]]</f>
        <v>AC 11 surf DL-A rood*, C1</v>
      </c>
      <c r="B123" s="33" t="s">
        <v>493</v>
      </c>
      <c r="C123" s="33" t="s">
        <v>483</v>
      </c>
      <c r="D123" s="33" t="s">
        <v>494</v>
      </c>
      <c r="E123" s="33" t="s">
        <v>378</v>
      </c>
      <c r="F123" s="33" t="s">
        <v>83</v>
      </c>
      <c r="L123" s="33">
        <v>2.35</v>
      </c>
      <c r="M123" s="269">
        <v>1</v>
      </c>
      <c r="N123" s="41">
        <f t="shared" si="18"/>
        <v>0.20459590499999997</v>
      </c>
      <c r="O123" s="33">
        <v>14</v>
      </c>
      <c r="P123" s="40">
        <f t="shared" si="19"/>
        <v>5.4966571500000004E-7</v>
      </c>
      <c r="Q123" s="40">
        <f t="shared" si="19"/>
        <v>1.1284026900000001E-2</v>
      </c>
      <c r="R123" s="40">
        <f t="shared" si="19"/>
        <v>2.1798921</v>
      </c>
      <c r="S123" s="40">
        <f t="shared" si="19"/>
        <v>2.9549725500000001E-7</v>
      </c>
      <c r="T123" s="40">
        <f t="shared" si="19"/>
        <v>7.2256950000000001E-4</v>
      </c>
      <c r="U123" s="40">
        <f t="shared" si="19"/>
        <v>6.3992647499999996E-3</v>
      </c>
      <c r="V123" s="40">
        <f t="shared" si="19"/>
        <v>1.34912709E-3</v>
      </c>
      <c r="W123" s="40">
        <f t="shared" si="19"/>
        <v>0.57265291500000004</v>
      </c>
      <c r="X123" s="40">
        <f t="shared" si="19"/>
        <v>8.1838488000000008E-3</v>
      </c>
      <c r="Y123" s="40">
        <f t="shared" si="19"/>
        <v>27.599919</v>
      </c>
      <c r="Z123" s="40">
        <f t="shared" si="19"/>
        <v>9.7156510499999999E-4</v>
      </c>
      <c r="AA123" s="40">
        <f t="shared" si="19"/>
        <v>0</v>
      </c>
      <c r="AB123" s="40">
        <f t="shared" si="19"/>
        <v>0</v>
      </c>
      <c r="AC123" s="40">
        <f t="shared" si="19"/>
        <v>0</v>
      </c>
      <c r="AD123" s="40">
        <f t="shared" si="19"/>
        <v>0</v>
      </c>
      <c r="AE123" s="40">
        <f t="shared" si="19"/>
        <v>0</v>
      </c>
      <c r="AF123" s="40">
        <f t="shared" si="19"/>
        <v>0</v>
      </c>
      <c r="AG123" s="40">
        <f t="shared" si="19"/>
        <v>0</v>
      </c>
      <c r="AH123" s="40">
        <f t="shared" si="19"/>
        <v>0</v>
      </c>
      <c r="AI123" s="40">
        <f t="shared" si="19"/>
        <v>0</v>
      </c>
      <c r="AJ123" s="40">
        <f t="shared" si="19"/>
        <v>0</v>
      </c>
      <c r="AK123" s="40">
        <f t="shared" si="19"/>
        <v>0</v>
      </c>
      <c r="AL123" s="40">
        <f t="shared" si="19"/>
        <v>0</v>
      </c>
      <c r="AM123" s="40">
        <f t="shared" si="19"/>
        <v>0</v>
      </c>
      <c r="AN123" s="40">
        <f t="shared" si="19"/>
        <v>0</v>
      </c>
      <c r="AO123" s="40">
        <f t="shared" si="19"/>
        <v>0</v>
      </c>
      <c r="AP123" s="40">
        <f t="shared" si="19"/>
        <v>0</v>
      </c>
      <c r="AQ123" s="40">
        <f t="shared" si="19"/>
        <v>0</v>
      </c>
      <c r="AR123" s="40">
        <f t="shared" si="19"/>
        <v>0</v>
      </c>
      <c r="AS123" s="40">
        <f t="shared" si="19"/>
        <v>0</v>
      </c>
      <c r="AT123" s="40">
        <f t="shared" si="19"/>
        <v>0</v>
      </c>
      <c r="AU123" s="40">
        <f t="shared" si="19"/>
        <v>0</v>
      </c>
      <c r="AV123" s="313">
        <f t="shared" si="19"/>
        <v>0.13800561150000001</v>
      </c>
      <c r="AW123" s="317">
        <f t="shared" si="19"/>
        <v>0</v>
      </c>
      <c r="AX123" s="317">
        <f t="shared" si="19"/>
        <v>0</v>
      </c>
      <c r="AY123" s="313">
        <f t="shared" si="19"/>
        <v>25.296919499999998</v>
      </c>
      <c r="AZ123" s="40">
        <f t="shared" si="19"/>
        <v>0</v>
      </c>
      <c r="BA123" s="40">
        <f t="shared" si="19"/>
        <v>0</v>
      </c>
      <c r="BB123" s="40">
        <f t="shared" si="19"/>
        <v>0</v>
      </c>
      <c r="BC123" s="40">
        <f t="shared" si="19"/>
        <v>3.1175018999999998E-3</v>
      </c>
      <c r="BD123" s="40">
        <f t="shared" si="19"/>
        <v>1.0624394100000001E-5</v>
      </c>
      <c r="BE123" s="40">
        <f t="shared" si="19"/>
        <v>2.5368446999999999E-2</v>
      </c>
      <c r="BF123" s="40">
        <f t="shared" si="19"/>
        <v>1.6547582999999999E-4</v>
      </c>
      <c r="BG123" s="40">
        <f t="shared" si="19"/>
        <v>0</v>
      </c>
      <c r="BH123" s="40">
        <f t="shared" si="19"/>
        <v>0</v>
      </c>
      <c r="BI123" s="40">
        <f t="shared" si="19"/>
        <v>0</v>
      </c>
      <c r="BJ123" s="40">
        <f t="shared" si="19"/>
        <v>0</v>
      </c>
      <c r="BK123" s="40">
        <f t="shared" si="19"/>
        <v>0</v>
      </c>
      <c r="BL123" s="62">
        <v>0</v>
      </c>
      <c r="BM123" s="275">
        <v>2</v>
      </c>
      <c r="BN123" s="62">
        <v>0</v>
      </c>
      <c r="BP123" s="33" t="s">
        <v>495</v>
      </c>
    </row>
    <row r="124" spans="1:68">
      <c r="A124" s="33" t="str">
        <f>Database_Productkaarten[[#This Row],[Product]]&amp;", "&amp;Database_Productkaarten[[#This Row],[Levensfase]]</f>
        <v>AC 11 surf DL-A rood*, C2</v>
      </c>
      <c r="B124" s="33" t="s">
        <v>493</v>
      </c>
      <c r="C124" s="33" t="s">
        <v>483</v>
      </c>
      <c r="D124" s="33" t="s">
        <v>494</v>
      </c>
      <c r="E124" s="33" t="s">
        <v>378</v>
      </c>
      <c r="F124" s="33" t="s">
        <v>84</v>
      </c>
      <c r="L124" s="33">
        <v>2.35</v>
      </c>
      <c r="M124" s="269">
        <v>1</v>
      </c>
      <c r="N124" s="41">
        <f t="shared" si="18"/>
        <v>0.94339004999999987</v>
      </c>
      <c r="O124" s="33">
        <v>14</v>
      </c>
      <c r="P124" s="40">
        <f t="shared" si="19"/>
        <v>1.6467505500000003E-5</v>
      </c>
      <c r="Q124" s="40">
        <f t="shared" si="19"/>
        <v>6.4775591999999993E-2</v>
      </c>
      <c r="R124" s="40">
        <f t="shared" si="19"/>
        <v>8.5531957500000004</v>
      </c>
      <c r="S124" s="40">
        <f t="shared" si="19"/>
        <v>1.7003034000000001E-6</v>
      </c>
      <c r="T124" s="40">
        <f t="shared" si="19"/>
        <v>5.3629274999999997E-3</v>
      </c>
      <c r="U124" s="40">
        <f t="shared" si="19"/>
        <v>2.87267415E-2</v>
      </c>
      <c r="V124" s="40">
        <f t="shared" si="19"/>
        <v>5.7035332500000001E-3</v>
      </c>
      <c r="W124" s="40">
        <f t="shared" si="19"/>
        <v>3.0074006999999998</v>
      </c>
      <c r="X124" s="40">
        <f t="shared" si="19"/>
        <v>0.19389730500000002</v>
      </c>
      <c r="Y124" s="40">
        <f t="shared" si="19"/>
        <v>507.94663499999996</v>
      </c>
      <c r="Z124" s="40">
        <f t="shared" si="19"/>
        <v>1.7837723999999999E-2</v>
      </c>
      <c r="AA124" s="40">
        <f t="shared" si="19"/>
        <v>0</v>
      </c>
      <c r="AB124" s="40">
        <f t="shared" si="19"/>
        <v>0</v>
      </c>
      <c r="AC124" s="40">
        <f t="shared" si="19"/>
        <v>0</v>
      </c>
      <c r="AD124" s="40">
        <f t="shared" si="19"/>
        <v>0</v>
      </c>
      <c r="AE124" s="40">
        <f t="shared" si="19"/>
        <v>0</v>
      </c>
      <c r="AF124" s="40">
        <f t="shared" si="19"/>
        <v>0</v>
      </c>
      <c r="AG124" s="40">
        <f t="shared" si="19"/>
        <v>0</v>
      </c>
      <c r="AH124" s="40">
        <f t="shared" si="19"/>
        <v>0</v>
      </c>
      <c r="AI124" s="40">
        <f t="shared" si="19"/>
        <v>0</v>
      </c>
      <c r="AJ124" s="40">
        <f t="shared" si="19"/>
        <v>0</v>
      </c>
      <c r="AK124" s="40">
        <f t="shared" si="19"/>
        <v>0</v>
      </c>
      <c r="AL124" s="40">
        <f t="shared" si="19"/>
        <v>0</v>
      </c>
      <c r="AM124" s="40">
        <f t="shared" si="19"/>
        <v>0</v>
      </c>
      <c r="AN124" s="40">
        <f t="shared" si="19"/>
        <v>0</v>
      </c>
      <c r="AO124" s="40">
        <f t="shared" si="19"/>
        <v>0</v>
      </c>
      <c r="AP124" s="40">
        <f t="shared" si="19"/>
        <v>0</v>
      </c>
      <c r="AQ124" s="40">
        <f t="shared" si="19"/>
        <v>0</v>
      </c>
      <c r="AR124" s="40">
        <f t="shared" si="19"/>
        <v>0</v>
      </c>
      <c r="AS124" s="40">
        <f t="shared" si="19"/>
        <v>0</v>
      </c>
      <c r="AT124" s="40">
        <f t="shared" si="19"/>
        <v>0</v>
      </c>
      <c r="AU124" s="40">
        <f t="shared" si="19"/>
        <v>0</v>
      </c>
      <c r="AV124" s="313">
        <f t="shared" si="19"/>
        <v>0</v>
      </c>
      <c r="AW124" s="317">
        <f t="shared" si="19"/>
        <v>0</v>
      </c>
      <c r="AX124" s="317">
        <f t="shared" si="19"/>
        <v>0</v>
      </c>
      <c r="AY124" s="313">
        <f t="shared" si="19"/>
        <v>0</v>
      </c>
      <c r="AZ124" s="40">
        <f t="shared" si="19"/>
        <v>0</v>
      </c>
      <c r="BA124" s="40">
        <f t="shared" si="19"/>
        <v>0</v>
      </c>
      <c r="BB124" s="40">
        <f t="shared" si="19"/>
        <v>0</v>
      </c>
      <c r="BC124" s="40">
        <f t="shared" si="19"/>
        <v>0</v>
      </c>
      <c r="BD124" s="40">
        <f t="shared" si="19"/>
        <v>0</v>
      </c>
      <c r="BE124" s="40">
        <f t="shared" si="19"/>
        <v>0</v>
      </c>
      <c r="BF124" s="40">
        <f t="shared" si="19"/>
        <v>0</v>
      </c>
      <c r="BG124" s="40">
        <f t="shared" si="19"/>
        <v>0</v>
      </c>
      <c r="BH124" s="40">
        <f t="shared" si="19"/>
        <v>0</v>
      </c>
      <c r="BI124" s="40">
        <f t="shared" si="19"/>
        <v>0</v>
      </c>
      <c r="BJ124" s="40">
        <f t="shared" si="19"/>
        <v>0</v>
      </c>
      <c r="BK124" s="40">
        <f t="shared" si="19"/>
        <v>0</v>
      </c>
      <c r="BL124" s="62">
        <v>0</v>
      </c>
      <c r="BM124" s="275">
        <v>2</v>
      </c>
      <c r="BN124" s="62">
        <v>0</v>
      </c>
      <c r="BP124" s="33" t="s">
        <v>495</v>
      </c>
    </row>
    <row r="125" spans="1:68">
      <c r="A125" s="33" t="str">
        <f>Database_Productkaarten[[#This Row],[Product]]&amp;", "&amp;Database_Productkaarten[[#This Row],[Levensfase]]</f>
        <v>AC 11 surf DL-A rood*, C3</v>
      </c>
      <c r="B125" s="33" t="s">
        <v>493</v>
      </c>
      <c r="C125" s="33" t="s">
        <v>483</v>
      </c>
      <c r="D125" s="33" t="s">
        <v>494</v>
      </c>
      <c r="E125" s="33" t="s">
        <v>378</v>
      </c>
      <c r="F125" s="33" t="s">
        <v>85</v>
      </c>
      <c r="L125" s="33">
        <v>2.35</v>
      </c>
      <c r="M125" s="269">
        <v>1</v>
      </c>
      <c r="N125" s="41">
        <f t="shared" si="18"/>
        <v>0.24180322499999998</v>
      </c>
      <c r="O125" s="33">
        <v>14</v>
      </c>
      <c r="P125" s="40">
        <f t="shared" si="19"/>
        <v>6.1937332500000006E-7</v>
      </c>
      <c r="Q125" s="40">
        <f t="shared" si="19"/>
        <v>1.2715046550000001E-2</v>
      </c>
      <c r="R125" s="40">
        <f t="shared" si="19"/>
        <v>2.4563421000000001</v>
      </c>
      <c r="S125" s="40">
        <f t="shared" si="19"/>
        <v>3.32971695E-7</v>
      </c>
      <c r="T125" s="40">
        <f t="shared" si="19"/>
        <v>8.9666500500000003E-4</v>
      </c>
      <c r="U125" s="40">
        <f t="shared" si="19"/>
        <v>8.9029368000000005E-3</v>
      </c>
      <c r="V125" s="40">
        <f t="shared" si="19"/>
        <v>1.9601743499999998E-3</v>
      </c>
      <c r="W125" s="40">
        <f t="shared" si="19"/>
        <v>0.64936254000000004</v>
      </c>
      <c r="X125" s="40">
        <f t="shared" si="19"/>
        <v>9.2217097500000011E-3</v>
      </c>
      <c r="Y125" s="40">
        <f t="shared" si="19"/>
        <v>31.100090999999999</v>
      </c>
      <c r="Z125" s="40">
        <f t="shared" si="19"/>
        <v>1.0947772200000001E-3</v>
      </c>
      <c r="AA125" s="40">
        <f t="shared" si="19"/>
        <v>0</v>
      </c>
      <c r="AB125" s="40">
        <f t="shared" si="19"/>
        <v>0</v>
      </c>
      <c r="AC125" s="40">
        <f t="shared" si="19"/>
        <v>0</v>
      </c>
      <c r="AD125" s="40">
        <f t="shared" si="19"/>
        <v>0</v>
      </c>
      <c r="AE125" s="40">
        <f t="shared" ref="AE125:BK125" si="20">AE111*1.5</f>
        <v>0</v>
      </c>
      <c r="AF125" s="40">
        <f t="shared" si="20"/>
        <v>0</v>
      </c>
      <c r="AG125" s="40">
        <f t="shared" si="20"/>
        <v>0</v>
      </c>
      <c r="AH125" s="40">
        <f t="shared" si="20"/>
        <v>0</v>
      </c>
      <c r="AI125" s="40">
        <f t="shared" si="20"/>
        <v>0</v>
      </c>
      <c r="AJ125" s="40">
        <f t="shared" si="20"/>
        <v>0</v>
      </c>
      <c r="AK125" s="40">
        <f t="shared" si="20"/>
        <v>0</v>
      </c>
      <c r="AL125" s="40">
        <f t="shared" si="20"/>
        <v>0</v>
      </c>
      <c r="AM125" s="40">
        <f t="shared" si="20"/>
        <v>0</v>
      </c>
      <c r="AN125" s="40">
        <f t="shared" si="20"/>
        <v>0</v>
      </c>
      <c r="AO125" s="40">
        <f t="shared" si="20"/>
        <v>0</v>
      </c>
      <c r="AP125" s="40">
        <f t="shared" si="20"/>
        <v>0</v>
      </c>
      <c r="AQ125" s="40">
        <f t="shared" si="20"/>
        <v>0</v>
      </c>
      <c r="AR125" s="40">
        <f t="shared" si="20"/>
        <v>0</v>
      </c>
      <c r="AS125" s="40">
        <f t="shared" si="20"/>
        <v>0</v>
      </c>
      <c r="AT125" s="40">
        <f t="shared" si="20"/>
        <v>0</v>
      </c>
      <c r="AU125" s="40">
        <f t="shared" si="20"/>
        <v>0</v>
      </c>
      <c r="AV125" s="313">
        <f t="shared" si="20"/>
        <v>0.15550723500000002</v>
      </c>
      <c r="AW125" s="317">
        <f t="shared" si="20"/>
        <v>0</v>
      </c>
      <c r="AX125" s="317">
        <f t="shared" si="20"/>
        <v>0</v>
      </c>
      <c r="AY125" s="313">
        <f t="shared" si="20"/>
        <v>28.505029499999999</v>
      </c>
      <c r="AZ125" s="40">
        <f t="shared" si="20"/>
        <v>0</v>
      </c>
      <c r="BA125" s="40">
        <f t="shared" si="20"/>
        <v>0</v>
      </c>
      <c r="BB125" s="40">
        <f t="shared" si="20"/>
        <v>0</v>
      </c>
      <c r="BC125" s="40">
        <f t="shared" si="20"/>
        <v>3.5128578000000001E-3</v>
      </c>
      <c r="BD125" s="40">
        <f t="shared" si="20"/>
        <v>1.19717604E-5</v>
      </c>
      <c r="BE125" s="40">
        <f t="shared" si="20"/>
        <v>2.8585627500000002E-2</v>
      </c>
      <c r="BF125" s="40">
        <f t="shared" si="20"/>
        <v>1.8646117500000002E-4</v>
      </c>
      <c r="BG125" s="40">
        <f t="shared" si="20"/>
        <v>0</v>
      </c>
      <c r="BH125" s="40">
        <f t="shared" si="20"/>
        <v>0</v>
      </c>
      <c r="BI125" s="40">
        <f t="shared" si="20"/>
        <v>0</v>
      </c>
      <c r="BJ125" s="40">
        <f t="shared" si="20"/>
        <v>0</v>
      </c>
      <c r="BK125" s="40">
        <f t="shared" si="20"/>
        <v>0</v>
      </c>
      <c r="BL125" s="62">
        <v>0</v>
      </c>
      <c r="BM125" s="275">
        <v>2</v>
      </c>
      <c r="BN125" s="62">
        <v>0</v>
      </c>
      <c r="BP125" s="33" t="s">
        <v>495</v>
      </c>
    </row>
    <row r="126" spans="1:68">
      <c r="A126" s="33" t="str">
        <f>Database_Productkaarten[[#This Row],[Product]]&amp;", "&amp;Database_Productkaarten[[#This Row],[Levensfase]]</f>
        <v>AC 11 surf DL-A rood*, D</v>
      </c>
      <c r="B126" s="33" t="str">
        <f>B127</f>
        <v>AC 11 surf DL-A rood*</v>
      </c>
      <c r="C126" s="33" t="str">
        <f>C127</f>
        <v>Bitumineuze verhardingen</v>
      </c>
      <c r="D126" s="33" t="str">
        <f>D127</f>
        <v>AC surf rood</v>
      </c>
      <c r="E126" s="33" t="str">
        <f>E127</f>
        <v>Ton</v>
      </c>
      <c r="F126" s="33" t="s">
        <v>89</v>
      </c>
      <c r="L126" s="33">
        <f>L127</f>
        <v>2.35</v>
      </c>
      <c r="M126" s="45">
        <f>M127</f>
        <v>1</v>
      </c>
      <c r="N126" s="41">
        <f>SUM(N127:N128)</f>
        <v>-8.6058515279557426</v>
      </c>
      <c r="O126" s="33">
        <f>O127</f>
        <v>14</v>
      </c>
      <c r="P126" s="40">
        <f>SUM(P127:P128)</f>
        <v>-9.7176483910583282E-5</v>
      </c>
      <c r="Q126" s="40">
        <f>SUM(Q127:Q128)</f>
        <v>-1.1968953432407015</v>
      </c>
      <c r="R126" s="40">
        <f>SUM(R127:R128)</f>
        <v>-61.943460565459404</v>
      </c>
      <c r="S126" s="40">
        <f t="shared" ref="S126:BK126" si="21">SUM(S127:S128)</f>
        <v>-6.5775814792381219E-6</v>
      </c>
      <c r="T126" s="40">
        <f t="shared" si="21"/>
        <v>-0.12907568686790244</v>
      </c>
      <c r="U126" s="40">
        <f t="shared" si="21"/>
        <v>-0.51678430965414579</v>
      </c>
      <c r="V126" s="40">
        <f t="shared" si="21"/>
        <v>-5.6685284973979344E-2</v>
      </c>
      <c r="W126" s="40">
        <f t="shared" si="21"/>
        <v>-18.045040923253556</v>
      </c>
      <c r="X126" s="40">
        <f t="shared" si="21"/>
        <v>-1.8190187580410162</v>
      </c>
      <c r="Y126" s="40">
        <f t="shared" si="21"/>
        <v>-7887.3502903664876</v>
      </c>
      <c r="Z126" s="40">
        <f t="shared" si="21"/>
        <v>-0.24048193554934094</v>
      </c>
      <c r="AA126" s="40">
        <f t="shared" si="21"/>
        <v>0</v>
      </c>
      <c r="AB126" s="40">
        <f t="shared" si="21"/>
        <v>0</v>
      </c>
      <c r="AC126" s="40">
        <f t="shared" si="21"/>
        <v>0</v>
      </c>
      <c r="AD126" s="40">
        <f t="shared" si="21"/>
        <v>0</v>
      </c>
      <c r="AE126" s="40">
        <f t="shared" si="21"/>
        <v>0</v>
      </c>
      <c r="AF126" s="40">
        <f t="shared" si="21"/>
        <v>0</v>
      </c>
      <c r="AG126" s="40">
        <f t="shared" si="21"/>
        <v>0</v>
      </c>
      <c r="AH126" s="40">
        <f t="shared" si="21"/>
        <v>0</v>
      </c>
      <c r="AI126" s="40">
        <f t="shared" si="21"/>
        <v>0</v>
      </c>
      <c r="AJ126" s="40">
        <f t="shared" si="21"/>
        <v>0</v>
      </c>
      <c r="AK126" s="40">
        <f t="shared" si="21"/>
        <v>0</v>
      </c>
      <c r="AL126" s="40">
        <f t="shared" si="21"/>
        <v>0</v>
      </c>
      <c r="AM126" s="40">
        <f t="shared" si="21"/>
        <v>0</v>
      </c>
      <c r="AN126" s="40">
        <f t="shared" si="21"/>
        <v>0</v>
      </c>
      <c r="AO126" s="40">
        <f t="shared" si="21"/>
        <v>0</v>
      </c>
      <c r="AP126" s="40">
        <f t="shared" si="21"/>
        <v>0</v>
      </c>
      <c r="AQ126" s="40">
        <f t="shared" si="21"/>
        <v>0</v>
      </c>
      <c r="AR126" s="40">
        <f t="shared" si="21"/>
        <v>0</v>
      </c>
      <c r="AS126" s="40">
        <f t="shared" si="21"/>
        <v>0</v>
      </c>
      <c r="AT126" s="40">
        <f t="shared" si="21"/>
        <v>0</v>
      </c>
      <c r="AU126" s="40">
        <f t="shared" si="21"/>
        <v>0</v>
      </c>
      <c r="AV126" s="317">
        <f t="shared" si="21"/>
        <v>-21.985315431864443</v>
      </c>
      <c r="AW126" s="317">
        <f t="shared" si="21"/>
        <v>0</v>
      </c>
      <c r="AX126" s="317">
        <f t="shared" si="21"/>
        <v>0</v>
      </c>
      <c r="AY126" s="317">
        <f t="shared" si="21"/>
        <v>-2697.4603231462843</v>
      </c>
      <c r="AZ126" s="40">
        <f t="shared" si="21"/>
        <v>0</v>
      </c>
      <c r="BA126" s="40">
        <f t="shared" si="21"/>
        <v>0</v>
      </c>
      <c r="BB126" s="40">
        <f t="shared" si="21"/>
        <v>0</v>
      </c>
      <c r="BC126" s="40">
        <f t="shared" si="21"/>
        <v>-25.774480469369557</v>
      </c>
      <c r="BD126" s="40">
        <f t="shared" si="21"/>
        <v>-1.0418623074195279E-3</v>
      </c>
      <c r="BE126" s="40">
        <f t="shared" si="21"/>
        <v>-7.3050419352442937</v>
      </c>
      <c r="BF126" s="40">
        <f t="shared" si="21"/>
        <v>-2.6993548494053526E-3</v>
      </c>
      <c r="BG126" s="40">
        <f t="shared" si="21"/>
        <v>0</v>
      </c>
      <c r="BH126" s="40">
        <f t="shared" si="21"/>
        <v>0</v>
      </c>
      <c r="BI126" s="40">
        <f t="shared" si="21"/>
        <v>0</v>
      </c>
      <c r="BJ126" s="40">
        <f t="shared" si="21"/>
        <v>0</v>
      </c>
      <c r="BK126" s="40">
        <f t="shared" si="21"/>
        <v>0</v>
      </c>
      <c r="BL126" s="62">
        <f>BL127</f>
        <v>0</v>
      </c>
      <c r="BM126" s="275">
        <f>BM127</f>
        <v>2</v>
      </c>
      <c r="BN126" s="62">
        <v>0</v>
      </c>
      <c r="BO126" s="33">
        <f>BO127</f>
        <v>0</v>
      </c>
    </row>
    <row r="127" spans="1:68">
      <c r="A127" s="33" t="str">
        <f>Database_Productkaarten[[#This Row],[Product]]&amp;", "&amp;Database_Productkaarten[[#This Row],[Levensfase]]</f>
        <v>AC 11 surf DL-A rood*, D1</v>
      </c>
      <c r="B127" s="33" t="s">
        <v>493</v>
      </c>
      <c r="C127" s="33" t="s">
        <v>483</v>
      </c>
      <c r="D127" s="33" t="s">
        <v>494</v>
      </c>
      <c r="E127" s="33" t="s">
        <v>378</v>
      </c>
      <c r="F127" s="33" t="s">
        <v>87</v>
      </c>
      <c r="L127" s="33">
        <v>2.35</v>
      </c>
      <c r="M127" s="269">
        <v>1</v>
      </c>
      <c r="N127" s="41">
        <f>N113*1.5</f>
        <v>-5.9910240080598598</v>
      </c>
      <c r="O127" s="33">
        <v>14</v>
      </c>
      <c r="P127" s="40">
        <f t="shared" ref="P127:BK128" si="22">P113*1.5</f>
        <v>-7.9624550364000015E-5</v>
      </c>
      <c r="Q127" s="40">
        <f t="shared" si="22"/>
        <v>-1.0753878844327498</v>
      </c>
      <c r="R127" s="40">
        <f t="shared" si="22"/>
        <v>-44.179989694297554</v>
      </c>
      <c r="S127" s="40">
        <f t="shared" si="22"/>
        <v>-3.685570213275E-6</v>
      </c>
      <c r="T127" s="40">
        <f t="shared" si="22"/>
        <v>-0.11551714297331996</v>
      </c>
      <c r="U127" s="40">
        <f t="shared" si="22"/>
        <v>-0.31570838711918991</v>
      </c>
      <c r="V127" s="40">
        <f t="shared" si="22"/>
        <v>-2.9255487315239997E-2</v>
      </c>
      <c r="W127" s="40">
        <f t="shared" si="22"/>
        <v>-11.733536911644777</v>
      </c>
      <c r="X127" s="40">
        <f t="shared" si="22"/>
        <v>-1.6749589104004492</v>
      </c>
      <c r="Y127" s="40">
        <f t="shared" si="22"/>
        <v>-7336.7313304216132</v>
      </c>
      <c r="Z127" s="40">
        <f t="shared" si="22"/>
        <v>-0.21698738545664997</v>
      </c>
      <c r="AA127" s="40">
        <f t="shared" si="22"/>
        <v>0</v>
      </c>
      <c r="AB127" s="40">
        <f t="shared" si="22"/>
        <v>0</v>
      </c>
      <c r="AC127" s="40">
        <f t="shared" si="22"/>
        <v>0</v>
      </c>
      <c r="AD127" s="40">
        <f t="shared" si="22"/>
        <v>0</v>
      </c>
      <c r="AE127" s="40">
        <f t="shared" si="22"/>
        <v>0</v>
      </c>
      <c r="AF127" s="40">
        <f t="shared" si="22"/>
        <v>0</v>
      </c>
      <c r="AG127" s="40">
        <f t="shared" si="22"/>
        <v>0</v>
      </c>
      <c r="AH127" s="40">
        <f t="shared" si="22"/>
        <v>0</v>
      </c>
      <c r="AI127" s="40">
        <f t="shared" si="22"/>
        <v>0</v>
      </c>
      <c r="AJ127" s="40">
        <f t="shared" si="22"/>
        <v>0</v>
      </c>
      <c r="AK127" s="40">
        <f t="shared" si="22"/>
        <v>0</v>
      </c>
      <c r="AL127" s="40">
        <f t="shared" si="22"/>
        <v>0</v>
      </c>
      <c r="AM127" s="40">
        <f t="shared" si="22"/>
        <v>0</v>
      </c>
      <c r="AN127" s="40">
        <f t="shared" si="22"/>
        <v>0</v>
      </c>
      <c r="AO127" s="40">
        <f t="shared" si="22"/>
        <v>0</v>
      </c>
      <c r="AP127" s="40">
        <f t="shared" si="22"/>
        <v>0</v>
      </c>
      <c r="AQ127" s="40">
        <f t="shared" si="22"/>
        <v>0</v>
      </c>
      <c r="AR127" s="40">
        <f t="shared" si="22"/>
        <v>0</v>
      </c>
      <c r="AS127" s="40">
        <f t="shared" si="22"/>
        <v>0</v>
      </c>
      <c r="AT127" s="40">
        <f t="shared" si="22"/>
        <v>0</v>
      </c>
      <c r="AU127" s="40">
        <f t="shared" si="22"/>
        <v>0</v>
      </c>
      <c r="AV127" s="313">
        <f t="shared" si="22"/>
        <v>-17.054551683315658</v>
      </c>
      <c r="AW127" s="317">
        <f t="shared" si="22"/>
        <v>0</v>
      </c>
      <c r="AX127" s="317">
        <f t="shared" si="22"/>
        <v>0</v>
      </c>
      <c r="AY127" s="313">
        <f t="shared" si="22"/>
        <v>-2428.0726203616373</v>
      </c>
      <c r="AZ127" s="40">
        <f t="shared" si="22"/>
        <v>0</v>
      </c>
      <c r="BA127" s="40">
        <f t="shared" si="22"/>
        <v>0</v>
      </c>
      <c r="BB127" s="40">
        <f t="shared" si="22"/>
        <v>0</v>
      </c>
      <c r="BC127" s="40">
        <f t="shared" si="22"/>
        <v>-25.72019714619308</v>
      </c>
      <c r="BD127" s="40">
        <f t="shared" si="22"/>
        <v>-8.7106208960249971E-4</v>
      </c>
      <c r="BE127" s="40">
        <f t="shared" si="22"/>
        <v>-2.8684878188815195</v>
      </c>
      <c r="BF127" s="40">
        <f t="shared" si="22"/>
        <v>-1.022015599515E-3</v>
      </c>
      <c r="BG127" s="40">
        <f t="shared" si="22"/>
        <v>0</v>
      </c>
      <c r="BH127" s="40">
        <f t="shared" si="22"/>
        <v>0</v>
      </c>
      <c r="BI127" s="40">
        <f t="shared" si="22"/>
        <v>0</v>
      </c>
      <c r="BJ127" s="40">
        <f t="shared" si="22"/>
        <v>0</v>
      </c>
      <c r="BK127" s="40">
        <f t="shared" si="22"/>
        <v>0</v>
      </c>
      <c r="BL127" s="62">
        <v>0</v>
      </c>
      <c r="BM127" s="275">
        <v>2</v>
      </c>
      <c r="BN127" s="62">
        <v>0</v>
      </c>
      <c r="BP127" s="33" t="s">
        <v>495</v>
      </c>
    </row>
    <row r="128" spans="1:68">
      <c r="A128" s="33" t="str">
        <f>Database_Productkaarten[[#This Row],[Product]]&amp;", "&amp;Database_Productkaarten[[#This Row],[Levensfase]]</f>
        <v>AC 11 surf DL-A rood*, D2</v>
      </c>
      <c r="B128" s="33" t="s">
        <v>493</v>
      </c>
      <c r="C128" s="33" t="s">
        <v>483</v>
      </c>
      <c r="D128" s="33" t="s">
        <v>494</v>
      </c>
      <c r="E128" s="33" t="s">
        <v>378</v>
      </c>
      <c r="F128" s="33" t="s">
        <v>88</v>
      </c>
      <c r="L128" s="33">
        <v>2.35</v>
      </c>
      <c r="M128" s="269">
        <v>1</v>
      </c>
      <c r="N128" s="41">
        <f>N114*1.5</f>
        <v>-2.6148275198958828</v>
      </c>
      <c r="O128" s="33">
        <v>14</v>
      </c>
      <c r="P128" s="40">
        <f t="shared" si="22"/>
        <v>-1.7551933546583267E-5</v>
      </c>
      <c r="Q128" s="40">
        <f t="shared" si="22"/>
        <v>-0.12150745880795169</v>
      </c>
      <c r="R128" s="40">
        <f t="shared" si="22"/>
        <v>-17.76347087116185</v>
      </c>
      <c r="S128" s="40">
        <f t="shared" si="22"/>
        <v>-2.8920112659631223E-6</v>
      </c>
      <c r="T128" s="40">
        <f t="shared" si="22"/>
        <v>-1.3558543894582494E-2</v>
      </c>
      <c r="U128" s="40">
        <f t="shared" si="22"/>
        <v>-0.20107592253495582</v>
      </c>
      <c r="V128" s="40">
        <f t="shared" si="22"/>
        <v>-2.7429797658739347E-2</v>
      </c>
      <c r="W128" s="40">
        <f t="shared" si="22"/>
        <v>-6.3115040116087791</v>
      </c>
      <c r="X128" s="40">
        <f t="shared" si="22"/>
        <v>-0.14405984764056692</v>
      </c>
      <c r="Y128" s="40">
        <f t="shared" si="22"/>
        <v>-550.6189599448744</v>
      </c>
      <c r="Z128" s="40">
        <f t="shared" si="22"/>
        <v>-2.3494550092690969E-2</v>
      </c>
      <c r="AA128" s="40">
        <f t="shared" si="22"/>
        <v>0</v>
      </c>
      <c r="AB128" s="40">
        <f t="shared" si="22"/>
        <v>0</v>
      </c>
      <c r="AC128" s="40">
        <f t="shared" si="22"/>
        <v>0</v>
      </c>
      <c r="AD128" s="40">
        <f t="shared" si="22"/>
        <v>0</v>
      </c>
      <c r="AE128" s="40">
        <f t="shared" si="22"/>
        <v>0</v>
      </c>
      <c r="AF128" s="40">
        <f t="shared" si="22"/>
        <v>0</v>
      </c>
      <c r="AG128" s="40">
        <f t="shared" si="22"/>
        <v>0</v>
      </c>
      <c r="AH128" s="40">
        <f t="shared" si="22"/>
        <v>0</v>
      </c>
      <c r="AI128" s="40">
        <f t="shared" si="22"/>
        <v>0</v>
      </c>
      <c r="AJ128" s="40">
        <f t="shared" si="22"/>
        <v>0</v>
      </c>
      <c r="AK128" s="40">
        <f t="shared" si="22"/>
        <v>0</v>
      </c>
      <c r="AL128" s="40">
        <f t="shared" si="22"/>
        <v>0</v>
      </c>
      <c r="AM128" s="40">
        <f t="shared" si="22"/>
        <v>0</v>
      </c>
      <c r="AN128" s="40">
        <f t="shared" si="22"/>
        <v>0</v>
      </c>
      <c r="AO128" s="40">
        <f t="shared" si="22"/>
        <v>0</v>
      </c>
      <c r="AP128" s="40">
        <f t="shared" si="22"/>
        <v>0</v>
      </c>
      <c r="AQ128" s="40">
        <f t="shared" si="22"/>
        <v>0</v>
      </c>
      <c r="AR128" s="40">
        <f t="shared" si="22"/>
        <v>0</v>
      </c>
      <c r="AS128" s="40">
        <f t="shared" si="22"/>
        <v>0</v>
      </c>
      <c r="AT128" s="40">
        <f t="shared" si="22"/>
        <v>0</v>
      </c>
      <c r="AU128" s="40">
        <f t="shared" si="22"/>
        <v>0</v>
      </c>
      <c r="AV128" s="313">
        <f t="shared" si="22"/>
        <v>-4.9307637485487827</v>
      </c>
      <c r="AW128" s="317">
        <f t="shared" si="22"/>
        <v>0</v>
      </c>
      <c r="AX128" s="317">
        <f t="shared" si="22"/>
        <v>0</v>
      </c>
      <c r="AY128" s="313">
        <f t="shared" si="22"/>
        <v>-269.38770278464676</v>
      </c>
      <c r="AZ128" s="40">
        <f t="shared" si="22"/>
        <v>0</v>
      </c>
      <c r="BA128" s="40">
        <f t="shared" si="22"/>
        <v>0</v>
      </c>
      <c r="BB128" s="40">
        <f t="shared" si="22"/>
        <v>0</v>
      </c>
      <c r="BC128" s="40">
        <f t="shared" si="22"/>
        <v>-5.4283323176477133E-2</v>
      </c>
      <c r="BD128" s="40">
        <f t="shared" si="22"/>
        <v>-1.7080021781702825E-4</v>
      </c>
      <c r="BE128" s="40">
        <f t="shared" si="22"/>
        <v>-4.4365541163627737</v>
      </c>
      <c r="BF128" s="40">
        <f t="shared" si="22"/>
        <v>-1.6773392498903525E-3</v>
      </c>
      <c r="BG128" s="40">
        <f t="shared" si="22"/>
        <v>0</v>
      </c>
      <c r="BH128" s="40">
        <f t="shared" si="22"/>
        <v>0</v>
      </c>
      <c r="BI128" s="40">
        <f t="shared" si="22"/>
        <v>0</v>
      </c>
      <c r="BJ128" s="40">
        <f t="shared" si="22"/>
        <v>0</v>
      </c>
      <c r="BK128" s="40">
        <f t="shared" si="22"/>
        <v>0</v>
      </c>
      <c r="BL128" s="62">
        <v>0</v>
      </c>
      <c r="BM128" s="275">
        <v>2</v>
      </c>
      <c r="BN128" s="62">
        <v>0</v>
      </c>
      <c r="BP128" s="33" t="s">
        <v>495</v>
      </c>
    </row>
    <row r="129" spans="1:67">
      <c r="A129" s="33" t="str">
        <f>Database_Productkaarten[[#This Row],[Product]]&amp;", "&amp;Database_Productkaarten[[#This Row],[Levensfase]]</f>
        <v>AC Surf G.M. 30% PR - PCR 1.0, Totaal</v>
      </c>
      <c r="B129" s="33" t="s">
        <v>496</v>
      </c>
      <c r="C129" s="33" t="s">
        <v>483</v>
      </c>
      <c r="D129" s="33" t="s">
        <v>377</v>
      </c>
      <c r="E129" s="33" t="s">
        <v>378</v>
      </c>
      <c r="F129" s="33" t="s">
        <v>90</v>
      </c>
      <c r="L129" s="33">
        <v>2.35</v>
      </c>
      <c r="M129" s="269">
        <v>1</v>
      </c>
      <c r="N129" s="41">
        <v>8.7850613436646938</v>
      </c>
      <c r="O129" s="33">
        <v>14</v>
      </c>
      <c r="P129" s="40">
        <v>4.597230832939408E-4</v>
      </c>
      <c r="Q129" s="40">
        <v>1.0390342291556844</v>
      </c>
      <c r="R129" s="40">
        <v>82.542197403673995</v>
      </c>
      <c r="S129" s="40">
        <v>1.1189646130995247E-5</v>
      </c>
      <c r="T129" s="40">
        <v>8.4225661250239489E-2</v>
      </c>
      <c r="U129" s="40">
        <v>0.34534693177663911</v>
      </c>
      <c r="V129" s="40">
        <v>4.7174461434607122E-2</v>
      </c>
      <c r="W129" s="40">
        <v>21.652002628095307</v>
      </c>
      <c r="X129" s="40">
        <v>1.5593788256864392</v>
      </c>
      <c r="Y129" s="40">
        <v>5108.8007946198559</v>
      </c>
      <c r="Z129" s="40">
        <v>0.1788410900820242</v>
      </c>
      <c r="AA129" s="40"/>
      <c r="AB129" s="40"/>
      <c r="AC129" s="40"/>
      <c r="AD129" s="40"/>
      <c r="AE129" s="40"/>
      <c r="AF129" s="40"/>
      <c r="AG129" s="40"/>
      <c r="AH129" s="40"/>
      <c r="AI129" s="40"/>
      <c r="AJ129" s="40"/>
      <c r="AK129" s="40"/>
      <c r="AL129" s="40"/>
      <c r="AM129" s="40"/>
      <c r="AN129" s="40"/>
      <c r="AO129" s="40"/>
      <c r="AP129" s="40"/>
      <c r="AQ129" s="40"/>
      <c r="AR129" s="40"/>
      <c r="AS129" s="40"/>
      <c r="AT129" s="40"/>
      <c r="AU129" s="40"/>
      <c r="AV129" s="313">
        <v>32.026912070012024</v>
      </c>
      <c r="AW129" s="317"/>
      <c r="AX129" s="317"/>
      <c r="AY129" s="313">
        <v>2091.7627621235056</v>
      </c>
      <c r="AZ129" s="40"/>
      <c r="BA129" s="40"/>
      <c r="BB129" s="40"/>
      <c r="BC129" s="40">
        <v>11.634147584333888</v>
      </c>
      <c r="BD129" s="40">
        <v>1.2698351129292612E-3</v>
      </c>
      <c r="BE129" s="40">
        <v>4.5254068689948781</v>
      </c>
      <c r="BF129" s="40">
        <v>3.3804762757992297E-3</v>
      </c>
      <c r="BG129" s="40"/>
      <c r="BH129" s="40"/>
      <c r="BI129" s="40"/>
      <c r="BJ129" s="40"/>
      <c r="BK129" s="40"/>
      <c r="BL129" s="62">
        <v>0.3</v>
      </c>
      <c r="BM129" s="275">
        <v>2</v>
      </c>
      <c r="BN129" s="62">
        <v>0</v>
      </c>
      <c r="BO129" s="33" t="s">
        <v>485</v>
      </c>
    </row>
    <row r="130" spans="1:67">
      <c r="A130" s="33" t="str">
        <f>Database_Productkaarten[[#This Row],[Product]]&amp;", "&amp;Database_Productkaarten[[#This Row],[Levensfase]]</f>
        <v>AC Surf G.M. 30% PR - PCR 1.0, A1</v>
      </c>
      <c r="B130" s="33" t="s">
        <v>496</v>
      </c>
      <c r="C130" s="33" t="s">
        <v>483</v>
      </c>
      <c r="D130" s="33" t="s">
        <v>377</v>
      </c>
      <c r="E130" s="33" t="s">
        <v>378</v>
      </c>
      <c r="F130" s="33" t="s">
        <v>74</v>
      </c>
      <c r="L130" s="33">
        <v>2.35</v>
      </c>
      <c r="M130" s="269">
        <v>1</v>
      </c>
      <c r="N130" s="41">
        <v>7.1106132910000008</v>
      </c>
      <c r="O130" s="33">
        <v>14</v>
      </c>
      <c r="P130" s="40">
        <v>4.639395448E-4</v>
      </c>
      <c r="Q130" s="40">
        <v>1.1900958024000001</v>
      </c>
      <c r="R130" s="40">
        <v>55.810769798999999</v>
      </c>
      <c r="S130" s="40">
        <v>5.986292269999999E-6</v>
      </c>
      <c r="T130" s="40">
        <v>0.12189073256000001</v>
      </c>
      <c r="U130" s="40">
        <v>0.34700492500000002</v>
      </c>
      <c r="V130" s="40">
        <v>3.3543850299999997E-2</v>
      </c>
      <c r="W130" s="40">
        <v>15.686648136000001</v>
      </c>
      <c r="X130" s="40">
        <v>1.6588095458000001</v>
      </c>
      <c r="Y130" s="40">
        <v>7211.024771335</v>
      </c>
      <c r="Z130" s="40">
        <v>0.22558846220000001</v>
      </c>
      <c r="AA130" s="40"/>
      <c r="AB130" s="40"/>
      <c r="AC130" s="40"/>
      <c r="AD130" s="40"/>
      <c r="AE130" s="40"/>
      <c r="AF130" s="40"/>
      <c r="AG130" s="40"/>
      <c r="AH130" s="40"/>
      <c r="AI130" s="40"/>
      <c r="AJ130" s="40"/>
      <c r="AK130" s="40"/>
      <c r="AL130" s="40"/>
      <c r="AM130" s="40"/>
      <c r="AN130" s="40"/>
      <c r="AO130" s="40"/>
      <c r="AP130" s="40"/>
      <c r="AQ130" s="40"/>
      <c r="AR130" s="40"/>
      <c r="AS130" s="40"/>
      <c r="AT130" s="40"/>
      <c r="AU130" s="40"/>
      <c r="AV130" s="313">
        <v>31.340223646999998</v>
      </c>
      <c r="AW130" s="317"/>
      <c r="AX130" s="317"/>
      <c r="AY130" s="313">
        <v>2672.3167289890002</v>
      </c>
      <c r="AZ130" s="40"/>
      <c r="BA130" s="40"/>
      <c r="BB130" s="40"/>
      <c r="BC130" s="40">
        <v>23.957229244600004</v>
      </c>
      <c r="BD130" s="40">
        <v>1.0124596479999999E-3</v>
      </c>
      <c r="BE130" s="40">
        <v>4.0218260140000002</v>
      </c>
      <c r="BF130" s="40">
        <v>2.401192098E-3</v>
      </c>
      <c r="BG130" s="40"/>
      <c r="BH130" s="40"/>
      <c r="BI130" s="40"/>
      <c r="BJ130" s="40"/>
      <c r="BK130" s="40"/>
      <c r="BL130" s="62">
        <v>0.3</v>
      </c>
      <c r="BM130" s="275">
        <v>2</v>
      </c>
      <c r="BN130" s="62">
        <v>0</v>
      </c>
      <c r="BO130" s="33" t="s">
        <v>485</v>
      </c>
    </row>
    <row r="131" spans="1:67">
      <c r="A131" s="33" t="str">
        <f>Database_Productkaarten[[#This Row],[Product]]&amp;", "&amp;Database_Productkaarten[[#This Row],[Levensfase]]</f>
        <v>AC Surf G.M. 30% PR - PCR 1.0, A2</v>
      </c>
      <c r="B131" s="33" t="s">
        <v>496</v>
      </c>
      <c r="C131" s="33" t="s">
        <v>483</v>
      </c>
      <c r="D131" s="33" t="s">
        <v>377</v>
      </c>
      <c r="E131" s="33" t="s">
        <v>378</v>
      </c>
      <c r="F131" s="33" t="s">
        <v>75</v>
      </c>
      <c r="L131" s="33">
        <v>2.35</v>
      </c>
      <c r="M131" s="269">
        <v>1</v>
      </c>
      <c r="N131" s="41">
        <v>2.241783629355</v>
      </c>
      <c r="O131" s="33">
        <v>14</v>
      </c>
      <c r="P131" s="40">
        <v>1.5026321679710001E-5</v>
      </c>
      <c r="Q131" s="40">
        <v>0.1100658268933</v>
      </c>
      <c r="R131" s="40">
        <v>16.369508498562002</v>
      </c>
      <c r="S131" s="40">
        <v>2.6207561070700002E-6</v>
      </c>
      <c r="T131" s="40">
        <v>1.1463269415900002E-2</v>
      </c>
      <c r="U131" s="40">
        <v>0.15932147638160002</v>
      </c>
      <c r="V131" s="40">
        <v>2.5370373014799996E-2</v>
      </c>
      <c r="W131" s="40">
        <v>5.197454647452</v>
      </c>
      <c r="X131" s="40">
        <v>0.12335097841520001</v>
      </c>
      <c r="Y131" s="40">
        <v>443.46159601799303</v>
      </c>
      <c r="Z131" s="40">
        <v>2.0820150263900002E-2</v>
      </c>
      <c r="AA131" s="40"/>
      <c r="AB131" s="40"/>
      <c r="AC131" s="40"/>
      <c r="AD131" s="40"/>
      <c r="AE131" s="40"/>
      <c r="AF131" s="40"/>
      <c r="AG131" s="40"/>
      <c r="AH131" s="40"/>
      <c r="AI131" s="40"/>
      <c r="AJ131" s="40"/>
      <c r="AK131" s="40"/>
      <c r="AL131" s="40"/>
      <c r="AM131" s="40"/>
      <c r="AN131" s="40"/>
      <c r="AO131" s="40"/>
      <c r="AP131" s="40"/>
      <c r="AQ131" s="40"/>
      <c r="AR131" s="40"/>
      <c r="AS131" s="40"/>
      <c r="AT131" s="40"/>
      <c r="AU131" s="40"/>
      <c r="AV131" s="313">
        <v>4.5857739338970003</v>
      </c>
      <c r="AW131" s="317"/>
      <c r="AX131" s="317"/>
      <c r="AY131" s="313">
        <v>244.09480228617301</v>
      </c>
      <c r="AZ131" s="40"/>
      <c r="BA131" s="40"/>
      <c r="BB131" s="40"/>
      <c r="BC131" s="40">
        <v>5.264060007420001E-2</v>
      </c>
      <c r="BD131" s="40">
        <v>1.6153851065860001E-4</v>
      </c>
      <c r="BE131" s="40">
        <v>3.3830812016579999</v>
      </c>
      <c r="BF131" s="40">
        <v>1.52077811637E-3</v>
      </c>
      <c r="BG131" s="40"/>
      <c r="BH131" s="40"/>
      <c r="BI131" s="40"/>
      <c r="BJ131" s="40"/>
      <c r="BK131" s="40"/>
      <c r="BL131" s="62">
        <v>0.3</v>
      </c>
      <c r="BM131" s="275">
        <v>2</v>
      </c>
      <c r="BN131" s="62">
        <v>0</v>
      </c>
      <c r="BO131" s="33" t="s">
        <v>485</v>
      </c>
    </row>
    <row r="132" spans="1:67">
      <c r="A132" s="33" t="str">
        <f>Database_Productkaarten[[#This Row],[Product]]&amp;", "&amp;Database_Productkaarten[[#This Row],[Levensfase]]</f>
        <v>AC Surf G.M. 30% PR - PCR 1.0, A3</v>
      </c>
      <c r="B132" s="33" t="s">
        <v>496</v>
      </c>
      <c r="C132" s="33" t="s">
        <v>483</v>
      </c>
      <c r="D132" s="33" t="s">
        <v>377</v>
      </c>
      <c r="E132" s="33" t="s">
        <v>378</v>
      </c>
      <c r="F132" s="33" t="s">
        <v>76</v>
      </c>
      <c r="L132" s="33">
        <v>2.35</v>
      </c>
      <c r="M132" s="269">
        <v>1</v>
      </c>
      <c r="N132" s="41">
        <v>1.7480604762020062</v>
      </c>
      <c r="O132" s="33">
        <v>14</v>
      </c>
      <c r="P132" s="40">
        <v>4.7148517874308341E-6</v>
      </c>
      <c r="Q132" s="40">
        <v>0.20861227226100013</v>
      </c>
      <c r="R132" s="40">
        <v>24.43616655040643</v>
      </c>
      <c r="S132" s="40">
        <v>2.8269882765073571E-6</v>
      </c>
      <c r="T132" s="40">
        <v>3.9486488343299722E-3</v>
      </c>
      <c r="U132" s="40">
        <v>2.6008062385765595E-2</v>
      </c>
      <c r="V132" s="40">
        <v>4.6621546356866612E-3</v>
      </c>
      <c r="W132" s="40">
        <v>3.629633082972485</v>
      </c>
      <c r="X132" s="40">
        <v>2.4790191793375448E-2</v>
      </c>
      <c r="Y132" s="40">
        <v>100.90135113747318</v>
      </c>
      <c r="Z132" s="40">
        <v>2.3312667602280599E-2</v>
      </c>
      <c r="AA132" s="40"/>
      <c r="AB132" s="40"/>
      <c r="AC132" s="40"/>
      <c r="AD132" s="40"/>
      <c r="AE132" s="40"/>
      <c r="AF132" s="40"/>
      <c r="AG132" s="40"/>
      <c r="AH132" s="40"/>
      <c r="AI132" s="40"/>
      <c r="AJ132" s="40"/>
      <c r="AK132" s="40"/>
      <c r="AL132" s="40"/>
      <c r="AM132" s="40"/>
      <c r="AN132" s="40"/>
      <c r="AO132" s="40"/>
      <c r="AP132" s="40"/>
      <c r="AQ132" s="40"/>
      <c r="AR132" s="40"/>
      <c r="AS132" s="40"/>
      <c r="AT132" s="40"/>
      <c r="AU132" s="40"/>
      <c r="AV132" s="313">
        <v>6.6803923791093398</v>
      </c>
      <c r="AW132" s="317"/>
      <c r="AX132" s="317"/>
      <c r="AY132" s="313">
        <v>426.46778445908245</v>
      </c>
      <c r="AZ132" s="40"/>
      <c r="BA132" s="40"/>
      <c r="BB132" s="40"/>
      <c r="BC132" s="40">
        <v>4.4109006229411982E-2</v>
      </c>
      <c r="BD132" s="40">
        <v>5.6687215429036093E-4</v>
      </c>
      <c r="BE132" s="40">
        <v>0.26366578930653251</v>
      </c>
      <c r="BF132" s="40">
        <v>3.8413475397336405E-4</v>
      </c>
      <c r="BG132" s="40"/>
      <c r="BH132" s="40"/>
      <c r="BI132" s="40"/>
      <c r="BJ132" s="40"/>
      <c r="BK132" s="40"/>
      <c r="BL132" s="62">
        <v>0.3</v>
      </c>
      <c r="BM132" s="275">
        <v>2</v>
      </c>
      <c r="BN132" s="62">
        <v>0</v>
      </c>
      <c r="BO132" s="33" t="s">
        <v>485</v>
      </c>
    </row>
    <row r="133" spans="1:67">
      <c r="A133" s="33" t="str">
        <f>Database_Productkaarten[[#This Row],[Product]]&amp;", "&amp;Database_Productkaarten[[#This Row],[Levensfase]]</f>
        <v>AC Surf G.M. 30% PR - PCR 1.0, A1-A3</v>
      </c>
      <c r="B133" s="33" t="str">
        <f>B132</f>
        <v>AC Surf G.M. 30% PR - PCR 1.0</v>
      </c>
      <c r="C133" s="33" t="str">
        <f>C132</f>
        <v>Bitumineuze verhardingen</v>
      </c>
      <c r="D133" s="33" t="str">
        <f>D132</f>
        <v>AC surf</v>
      </c>
      <c r="E133" s="33" t="str">
        <f>E132</f>
        <v>Ton</v>
      </c>
      <c r="F133" s="33" t="s">
        <v>77</v>
      </c>
      <c r="L133" s="33">
        <f>L132</f>
        <v>2.35</v>
      </c>
      <c r="M133" s="45">
        <f>M132</f>
        <v>1</v>
      </c>
      <c r="N133" s="252">
        <f>SUM(N130:N132)</f>
        <v>11.100457396557008</v>
      </c>
      <c r="O133" s="33">
        <f>O132</f>
        <v>14</v>
      </c>
      <c r="P133" s="40">
        <f>SUM(P130:P132)</f>
        <v>4.8368071826714086E-4</v>
      </c>
      <c r="Q133" s="40">
        <f t="shared" ref="Q133:BK133" si="23">SUM(Q130:Q132)</f>
        <v>1.5087739015543002</v>
      </c>
      <c r="R133" s="40">
        <f t="shared" si="23"/>
        <v>96.616444847968424</v>
      </c>
      <c r="S133" s="40">
        <f t="shared" si="23"/>
        <v>1.1434036653577357E-5</v>
      </c>
      <c r="T133" s="40">
        <f t="shared" si="23"/>
        <v>0.13730265081022996</v>
      </c>
      <c r="U133" s="40">
        <f t="shared" si="23"/>
        <v>0.5323344637673656</v>
      </c>
      <c r="V133" s="40">
        <f t="shared" si="23"/>
        <v>6.3576377950486651E-2</v>
      </c>
      <c r="W133" s="40">
        <f t="shared" si="23"/>
        <v>24.513735866424486</v>
      </c>
      <c r="X133" s="40">
        <f t="shared" si="23"/>
        <v>1.8069507160085756</v>
      </c>
      <c r="Y133" s="40">
        <f t="shared" si="23"/>
        <v>7755.3877184904659</v>
      </c>
      <c r="Z133" s="40">
        <f t="shared" si="23"/>
        <v>0.26972128006618062</v>
      </c>
      <c r="AA133" s="40">
        <f t="shared" si="23"/>
        <v>0</v>
      </c>
      <c r="AB133" s="40">
        <f t="shared" si="23"/>
        <v>0</v>
      </c>
      <c r="AC133" s="40">
        <f t="shared" si="23"/>
        <v>0</v>
      </c>
      <c r="AD133" s="40">
        <f t="shared" si="23"/>
        <v>0</v>
      </c>
      <c r="AE133" s="40">
        <f t="shared" si="23"/>
        <v>0</v>
      </c>
      <c r="AF133" s="40">
        <f t="shared" si="23"/>
        <v>0</v>
      </c>
      <c r="AG133" s="40">
        <f t="shared" si="23"/>
        <v>0</v>
      </c>
      <c r="AH133" s="40">
        <f t="shared" si="23"/>
        <v>0</v>
      </c>
      <c r="AI133" s="40">
        <f t="shared" si="23"/>
        <v>0</v>
      </c>
      <c r="AJ133" s="40">
        <f t="shared" si="23"/>
        <v>0</v>
      </c>
      <c r="AK133" s="40">
        <f t="shared" si="23"/>
        <v>0</v>
      </c>
      <c r="AL133" s="40">
        <f t="shared" si="23"/>
        <v>0</v>
      </c>
      <c r="AM133" s="40">
        <f t="shared" si="23"/>
        <v>0</v>
      </c>
      <c r="AN133" s="40">
        <f t="shared" si="23"/>
        <v>0</v>
      </c>
      <c r="AO133" s="40">
        <f t="shared" si="23"/>
        <v>0</v>
      </c>
      <c r="AP133" s="40">
        <f t="shared" si="23"/>
        <v>0</v>
      </c>
      <c r="AQ133" s="40">
        <f t="shared" si="23"/>
        <v>0</v>
      </c>
      <c r="AR133" s="40">
        <f t="shared" si="23"/>
        <v>0</v>
      </c>
      <c r="AS133" s="40">
        <f t="shared" si="23"/>
        <v>0</v>
      </c>
      <c r="AT133" s="40">
        <f t="shared" si="23"/>
        <v>0</v>
      </c>
      <c r="AU133" s="40">
        <f t="shared" si="23"/>
        <v>0</v>
      </c>
      <c r="AV133" s="317">
        <f t="shared" si="23"/>
        <v>42.606389960006339</v>
      </c>
      <c r="AW133" s="317">
        <f t="shared" si="23"/>
        <v>0</v>
      </c>
      <c r="AX133" s="317">
        <f t="shared" si="23"/>
        <v>0</v>
      </c>
      <c r="AY133" s="317">
        <f t="shared" si="23"/>
        <v>3342.8793157342557</v>
      </c>
      <c r="AZ133" s="40">
        <f t="shared" si="23"/>
        <v>0</v>
      </c>
      <c r="BA133" s="40">
        <f t="shared" si="23"/>
        <v>0</v>
      </c>
      <c r="BB133" s="40">
        <f t="shared" si="23"/>
        <v>0</v>
      </c>
      <c r="BC133" s="40">
        <f t="shared" si="23"/>
        <v>24.053978850903615</v>
      </c>
      <c r="BD133" s="40">
        <f t="shared" si="23"/>
        <v>1.7408703129489608E-3</v>
      </c>
      <c r="BE133" s="40">
        <f t="shared" si="23"/>
        <v>7.6685730049645322</v>
      </c>
      <c r="BF133" s="40">
        <f t="shared" si="23"/>
        <v>4.3061049683433637E-3</v>
      </c>
      <c r="BG133" s="40">
        <f t="shared" si="23"/>
        <v>0</v>
      </c>
      <c r="BH133" s="40">
        <f t="shared" si="23"/>
        <v>0</v>
      </c>
      <c r="BI133" s="40">
        <f t="shared" si="23"/>
        <v>0</v>
      </c>
      <c r="BJ133" s="40">
        <f t="shared" si="23"/>
        <v>0</v>
      </c>
      <c r="BK133" s="40">
        <f t="shared" si="23"/>
        <v>0</v>
      </c>
      <c r="BL133" s="62">
        <f>BL132</f>
        <v>0.3</v>
      </c>
      <c r="BM133" s="275">
        <f>BM132</f>
        <v>2</v>
      </c>
      <c r="BN133" s="62">
        <v>0</v>
      </c>
      <c r="BO133" s="33" t="str">
        <f>BO132</f>
        <v>TNO 2020 R10987 LCA Achtergrondrapport voor brancherepresentatieve Nederlandse asfaltmengsels 2020</v>
      </c>
    </row>
    <row r="134" spans="1:67">
      <c r="A134" s="33" t="str">
        <f>Database_Productkaarten[[#This Row],[Product]]&amp;", "&amp;Database_Productkaarten[[#This Row],[Levensfase]]</f>
        <v>AC Surf G.M. 30% PR - PCR 1.0, A4</v>
      </c>
      <c r="B134" s="33" t="s">
        <v>496</v>
      </c>
      <c r="C134" s="33" t="s">
        <v>483</v>
      </c>
      <c r="D134" s="33" t="s">
        <v>377</v>
      </c>
      <c r="E134" s="33" t="s">
        <v>378</v>
      </c>
      <c r="F134" s="33" t="s">
        <v>78</v>
      </c>
      <c r="L134" s="33">
        <v>2.35</v>
      </c>
      <c r="M134" s="269">
        <v>1</v>
      </c>
      <c r="N134" s="41">
        <v>0.62892669999999995</v>
      </c>
      <c r="O134" s="33">
        <v>14</v>
      </c>
      <c r="P134" s="40">
        <v>1.0978337000000001E-5</v>
      </c>
      <c r="Q134" s="40">
        <v>4.3183727999999998E-2</v>
      </c>
      <c r="R134" s="40">
        <v>5.7021305</v>
      </c>
      <c r="S134" s="40">
        <v>1.1335356E-6</v>
      </c>
      <c r="T134" s="40">
        <v>3.5752850000000001E-3</v>
      </c>
      <c r="U134" s="40">
        <v>1.9151161E-2</v>
      </c>
      <c r="V134" s="40">
        <v>3.8023555000000001E-3</v>
      </c>
      <c r="W134" s="40">
        <v>2.0049337999999999</v>
      </c>
      <c r="X134" s="40">
        <v>0.12926487</v>
      </c>
      <c r="Y134" s="40">
        <v>338.63108999999997</v>
      </c>
      <c r="Z134" s="40">
        <v>1.1891815999999999E-2</v>
      </c>
      <c r="AA134" s="40"/>
      <c r="AB134" s="40"/>
      <c r="AC134" s="40"/>
      <c r="AD134" s="40"/>
      <c r="AE134" s="40"/>
      <c r="AF134" s="40"/>
      <c r="AG134" s="40"/>
      <c r="AH134" s="40"/>
      <c r="AI134" s="40"/>
      <c r="AJ134" s="40"/>
      <c r="AK134" s="40"/>
      <c r="AL134" s="40"/>
      <c r="AM134" s="40"/>
      <c r="AN134" s="40"/>
      <c r="AO134" s="40"/>
      <c r="AP134" s="40"/>
      <c r="AQ134" s="40"/>
      <c r="AR134" s="40"/>
      <c r="AS134" s="40"/>
      <c r="AT134" s="40"/>
      <c r="AU134" s="40"/>
      <c r="AV134" s="313">
        <v>0</v>
      </c>
      <c r="AW134" s="317"/>
      <c r="AX134" s="317"/>
      <c r="AY134" s="313">
        <v>0</v>
      </c>
      <c r="AZ134" s="40"/>
      <c r="BA134" s="40"/>
      <c r="BB134" s="40"/>
      <c r="BC134" s="40">
        <v>0</v>
      </c>
      <c r="BD134" s="40">
        <v>0</v>
      </c>
      <c r="BE134" s="40">
        <v>0</v>
      </c>
      <c r="BF134" s="40">
        <v>0</v>
      </c>
      <c r="BG134" s="40"/>
      <c r="BH134" s="40"/>
      <c r="BI134" s="40"/>
      <c r="BJ134" s="40"/>
      <c r="BK134" s="40"/>
      <c r="BL134" s="62">
        <v>0.3</v>
      </c>
      <c r="BM134" s="275">
        <v>2</v>
      </c>
      <c r="BN134" s="62">
        <v>0</v>
      </c>
      <c r="BO134" s="33" t="s">
        <v>485</v>
      </c>
    </row>
    <row r="135" spans="1:67">
      <c r="A135" s="33" t="str">
        <f>Database_Productkaarten[[#This Row],[Product]]&amp;", "&amp;Database_Productkaarten[[#This Row],[Levensfase]]</f>
        <v>AC Surf G.M. 30% PR - PCR 1.0, A5</v>
      </c>
      <c r="B135" s="33" t="s">
        <v>496</v>
      </c>
      <c r="C135" s="33" t="s">
        <v>483</v>
      </c>
      <c r="D135" s="33" t="s">
        <v>377</v>
      </c>
      <c r="E135" s="33" t="s">
        <v>378</v>
      </c>
      <c r="F135" s="33" t="s">
        <v>79</v>
      </c>
      <c r="L135" s="33">
        <v>2.35</v>
      </c>
      <c r="M135" s="269">
        <v>1</v>
      </c>
      <c r="N135" s="41">
        <v>0.26142994000000003</v>
      </c>
      <c r="O135" s="33">
        <v>14</v>
      </c>
      <c r="P135" s="40">
        <v>6.4405276999999999E-7</v>
      </c>
      <c r="Q135" s="40">
        <v>1.3221688000000001E-2</v>
      </c>
      <c r="R135" s="40">
        <v>2.554217</v>
      </c>
      <c r="S135" s="40">
        <v>3.4623921999999999E-7</v>
      </c>
      <c r="T135" s="40">
        <v>9.5560771999999997E-4</v>
      </c>
      <c r="U135" s="40">
        <v>1.0774331999999999E-2</v>
      </c>
      <c r="V135" s="40">
        <v>2.4326081999999998E-3</v>
      </c>
      <c r="W135" s="40">
        <v>0.67890231999999995</v>
      </c>
      <c r="X135" s="40">
        <v>9.5891563000000003E-3</v>
      </c>
      <c r="Y135" s="40">
        <v>32.339298999999997</v>
      </c>
      <c r="Z135" s="40">
        <v>1.1383995E-3</v>
      </c>
      <c r="AA135" s="40"/>
      <c r="AB135" s="40"/>
      <c r="AC135" s="40"/>
      <c r="AD135" s="40"/>
      <c r="AE135" s="40"/>
      <c r="AF135" s="40"/>
      <c r="AG135" s="40"/>
      <c r="AH135" s="40"/>
      <c r="AI135" s="40"/>
      <c r="AJ135" s="40"/>
      <c r="AK135" s="40"/>
      <c r="AL135" s="40"/>
      <c r="AM135" s="40"/>
      <c r="AN135" s="40"/>
      <c r="AO135" s="40"/>
      <c r="AP135" s="40"/>
      <c r="AQ135" s="40"/>
      <c r="AR135" s="40"/>
      <c r="AS135" s="40"/>
      <c r="AT135" s="40"/>
      <c r="AU135" s="40"/>
      <c r="AV135" s="313">
        <v>0.16170355</v>
      </c>
      <c r="AW135" s="317"/>
      <c r="AX135" s="317"/>
      <c r="AY135" s="313">
        <v>29.640834999999999</v>
      </c>
      <c r="AZ135" s="40"/>
      <c r="BA135" s="40"/>
      <c r="BB135" s="40"/>
      <c r="BC135" s="40">
        <v>3.6528305999999999E-3</v>
      </c>
      <c r="BD135" s="40">
        <v>1.2448785000000001E-5</v>
      </c>
      <c r="BE135" s="40">
        <v>2.9724645000000001E-2</v>
      </c>
      <c r="BF135" s="40">
        <v>1.9389087E-4</v>
      </c>
      <c r="BG135" s="40"/>
      <c r="BH135" s="40"/>
      <c r="BI135" s="40"/>
      <c r="BJ135" s="40"/>
      <c r="BK135" s="40"/>
      <c r="BL135" s="62">
        <v>0.3</v>
      </c>
      <c r="BM135" s="275">
        <v>2</v>
      </c>
      <c r="BN135" s="62">
        <v>0</v>
      </c>
      <c r="BO135" s="33" t="s">
        <v>485</v>
      </c>
    </row>
    <row r="136" spans="1:67">
      <c r="A136" s="33" t="str">
        <f>Database_Productkaarten[[#This Row],[Product]]&amp;", "&amp;Database_Productkaarten[[#This Row],[Levensfase]]</f>
        <v>AC Surf G.M. 30% PR - PCR 1.0, B1</v>
      </c>
      <c r="B136" s="33" t="s">
        <v>496</v>
      </c>
      <c r="C136" s="33" t="s">
        <v>483</v>
      </c>
      <c r="D136" s="33" t="s">
        <v>377</v>
      </c>
      <c r="E136" s="33" t="s">
        <v>378</v>
      </c>
      <c r="F136" s="33" t="s">
        <v>80</v>
      </c>
      <c r="L136" s="33">
        <v>2.35</v>
      </c>
      <c r="M136" s="269">
        <v>1</v>
      </c>
      <c r="N136" s="41">
        <v>8.2079854999999993E-2</v>
      </c>
      <c r="O136" s="33">
        <v>14</v>
      </c>
      <c r="P136" s="40">
        <v>0</v>
      </c>
      <c r="Q136" s="40">
        <v>0</v>
      </c>
      <c r="R136" s="40">
        <v>0</v>
      </c>
      <c r="S136" s="40">
        <v>0</v>
      </c>
      <c r="T136" s="40">
        <v>0</v>
      </c>
      <c r="U136" s="40">
        <v>0</v>
      </c>
      <c r="V136" s="40">
        <v>0</v>
      </c>
      <c r="W136" s="40">
        <v>0.33065064999999999</v>
      </c>
      <c r="X136" s="40">
        <v>0.35447900999999998</v>
      </c>
      <c r="Y136" s="40">
        <v>416.74824000000001</v>
      </c>
      <c r="Z136" s="40">
        <v>2.016962E-4</v>
      </c>
      <c r="AA136" s="40"/>
      <c r="AB136" s="40"/>
      <c r="AC136" s="40"/>
      <c r="AD136" s="40"/>
      <c r="AE136" s="40"/>
      <c r="AF136" s="40"/>
      <c r="AG136" s="40"/>
      <c r="AH136" s="40"/>
      <c r="AI136" s="40"/>
      <c r="AJ136" s="40"/>
      <c r="AK136" s="40"/>
      <c r="AL136" s="40"/>
      <c r="AM136" s="40"/>
      <c r="AN136" s="40"/>
      <c r="AO136" s="40"/>
      <c r="AP136" s="40"/>
      <c r="AQ136" s="40"/>
      <c r="AR136" s="40"/>
      <c r="AS136" s="40"/>
      <c r="AT136" s="40"/>
      <c r="AU136" s="40"/>
      <c r="AV136" s="313">
        <v>0</v>
      </c>
      <c r="AW136" s="317"/>
      <c r="AX136" s="317"/>
      <c r="AY136" s="313">
        <v>0</v>
      </c>
      <c r="AZ136" s="40"/>
      <c r="BA136" s="40"/>
      <c r="BB136" s="40"/>
      <c r="BC136" s="40">
        <v>0</v>
      </c>
      <c r="BD136" s="40">
        <v>0</v>
      </c>
      <c r="BE136" s="40">
        <v>0</v>
      </c>
      <c r="BF136" s="40">
        <v>0</v>
      </c>
      <c r="BG136" s="40"/>
      <c r="BH136" s="40"/>
      <c r="BI136" s="40"/>
      <c r="BJ136" s="40"/>
      <c r="BK136" s="40"/>
      <c r="BL136" s="62">
        <v>0.3</v>
      </c>
      <c r="BM136" s="275">
        <v>2</v>
      </c>
      <c r="BN136" s="62">
        <v>0</v>
      </c>
      <c r="BO136" s="33" t="s">
        <v>485</v>
      </c>
    </row>
    <row r="137" spans="1:67">
      <c r="A137" s="33" t="str">
        <f>Database_Productkaarten[[#This Row],[Product]]&amp;", "&amp;Database_Productkaarten[[#This Row],[Levensfase]]</f>
        <v>AC Surf G.M. 30% PR - PCR 1.0, C1</v>
      </c>
      <c r="B137" s="33" t="s">
        <v>496</v>
      </c>
      <c r="C137" s="33" t="s">
        <v>483</v>
      </c>
      <c r="D137" s="33" t="s">
        <v>377</v>
      </c>
      <c r="E137" s="33" t="s">
        <v>378</v>
      </c>
      <c r="F137" s="33" t="s">
        <v>83</v>
      </c>
      <c r="L137" s="33">
        <v>2.35</v>
      </c>
      <c r="M137" s="269">
        <v>1</v>
      </c>
      <c r="N137" s="41">
        <v>0.13639726999999999</v>
      </c>
      <c r="O137" s="33">
        <v>14</v>
      </c>
      <c r="P137" s="40">
        <v>3.6644380999999999E-7</v>
      </c>
      <c r="Q137" s="40">
        <v>7.5226846000000002E-3</v>
      </c>
      <c r="R137" s="40">
        <v>1.4532613999999999</v>
      </c>
      <c r="S137" s="40">
        <v>1.9699817000000001E-7</v>
      </c>
      <c r="T137" s="40">
        <v>4.8171299999999999E-4</v>
      </c>
      <c r="U137" s="40">
        <v>4.2661764999999997E-3</v>
      </c>
      <c r="V137" s="40">
        <v>8.9941806E-4</v>
      </c>
      <c r="W137" s="40">
        <v>0.38176861000000001</v>
      </c>
      <c r="X137" s="40">
        <v>5.4558992000000002E-3</v>
      </c>
      <c r="Y137" s="40">
        <v>18.399946</v>
      </c>
      <c r="Z137" s="40">
        <v>6.4771006999999995E-4</v>
      </c>
      <c r="AA137" s="40"/>
      <c r="AB137" s="40"/>
      <c r="AC137" s="40"/>
      <c r="AD137" s="40"/>
      <c r="AE137" s="40"/>
      <c r="AF137" s="40"/>
      <c r="AG137" s="40"/>
      <c r="AH137" s="40"/>
      <c r="AI137" s="40"/>
      <c r="AJ137" s="40"/>
      <c r="AK137" s="40"/>
      <c r="AL137" s="40"/>
      <c r="AM137" s="40"/>
      <c r="AN137" s="40"/>
      <c r="AO137" s="40"/>
      <c r="AP137" s="40"/>
      <c r="AQ137" s="40"/>
      <c r="AR137" s="40"/>
      <c r="AS137" s="40"/>
      <c r="AT137" s="40"/>
      <c r="AU137" s="40"/>
      <c r="AV137" s="313">
        <v>9.2003741E-2</v>
      </c>
      <c r="AW137" s="317"/>
      <c r="AX137" s="317"/>
      <c r="AY137" s="313">
        <v>16.864612999999999</v>
      </c>
      <c r="AZ137" s="40"/>
      <c r="BA137" s="40"/>
      <c r="BB137" s="40"/>
      <c r="BC137" s="40">
        <v>2.0783346E-3</v>
      </c>
      <c r="BD137" s="40">
        <v>7.0829294000000003E-6</v>
      </c>
      <c r="BE137" s="40">
        <v>1.6912297999999999E-2</v>
      </c>
      <c r="BF137" s="40">
        <v>1.1031722E-4</v>
      </c>
      <c r="BG137" s="40"/>
      <c r="BH137" s="40"/>
      <c r="BI137" s="40"/>
      <c r="BJ137" s="40"/>
      <c r="BK137" s="40"/>
      <c r="BL137" s="62">
        <v>0.3</v>
      </c>
      <c r="BM137" s="275">
        <v>2</v>
      </c>
      <c r="BN137" s="62">
        <v>0</v>
      </c>
      <c r="BO137" s="33" t="s">
        <v>485</v>
      </c>
    </row>
    <row r="138" spans="1:67">
      <c r="A138" s="33" t="str">
        <f>Database_Productkaarten[[#This Row],[Product]]&amp;", "&amp;Database_Productkaarten[[#This Row],[Levensfase]]</f>
        <v>AC Surf G.M. 30% PR - PCR 1.0, C2</v>
      </c>
      <c r="B138" s="33" t="s">
        <v>496</v>
      </c>
      <c r="C138" s="33" t="s">
        <v>483</v>
      </c>
      <c r="D138" s="33" t="s">
        <v>377</v>
      </c>
      <c r="E138" s="33" t="s">
        <v>378</v>
      </c>
      <c r="F138" s="33" t="s">
        <v>84</v>
      </c>
      <c r="L138" s="33">
        <v>2.35</v>
      </c>
      <c r="M138" s="269">
        <v>1</v>
      </c>
      <c r="N138" s="41">
        <v>0.62892669999999995</v>
      </c>
      <c r="O138" s="33">
        <v>14</v>
      </c>
      <c r="P138" s="40">
        <v>1.0978337000000001E-5</v>
      </c>
      <c r="Q138" s="40">
        <v>4.3183727999999998E-2</v>
      </c>
      <c r="R138" s="40">
        <v>5.7021305</v>
      </c>
      <c r="S138" s="40">
        <v>1.1335356E-6</v>
      </c>
      <c r="T138" s="40">
        <v>3.5752850000000001E-3</v>
      </c>
      <c r="U138" s="40">
        <v>1.9151161E-2</v>
      </c>
      <c r="V138" s="40">
        <v>3.8023555000000001E-3</v>
      </c>
      <c r="W138" s="40">
        <v>2.0049337999999999</v>
      </c>
      <c r="X138" s="40">
        <v>0.12926487</v>
      </c>
      <c r="Y138" s="40">
        <v>338.63108999999997</v>
      </c>
      <c r="Z138" s="40">
        <v>1.1891815999999999E-2</v>
      </c>
      <c r="AA138" s="40"/>
      <c r="AB138" s="40"/>
      <c r="AC138" s="40"/>
      <c r="AD138" s="40"/>
      <c r="AE138" s="40"/>
      <c r="AF138" s="40"/>
      <c r="AG138" s="40"/>
      <c r="AH138" s="40"/>
      <c r="AI138" s="40"/>
      <c r="AJ138" s="40"/>
      <c r="AK138" s="40"/>
      <c r="AL138" s="40"/>
      <c r="AM138" s="40"/>
      <c r="AN138" s="40"/>
      <c r="AO138" s="40"/>
      <c r="AP138" s="40"/>
      <c r="AQ138" s="40"/>
      <c r="AR138" s="40"/>
      <c r="AS138" s="40"/>
      <c r="AT138" s="40"/>
      <c r="AU138" s="40"/>
      <c r="AV138" s="313">
        <v>0</v>
      </c>
      <c r="AW138" s="317"/>
      <c r="AX138" s="317"/>
      <c r="AY138" s="313">
        <v>0</v>
      </c>
      <c r="AZ138" s="40"/>
      <c r="BA138" s="40"/>
      <c r="BB138" s="40"/>
      <c r="BC138" s="40">
        <v>0</v>
      </c>
      <c r="BD138" s="40">
        <v>0</v>
      </c>
      <c r="BE138" s="40">
        <v>0</v>
      </c>
      <c r="BF138" s="40">
        <v>0</v>
      </c>
      <c r="BG138" s="40"/>
      <c r="BH138" s="40"/>
      <c r="BI138" s="40"/>
      <c r="BJ138" s="40"/>
      <c r="BK138" s="40"/>
      <c r="BL138" s="62">
        <v>0.3</v>
      </c>
      <c r="BM138" s="275">
        <v>2</v>
      </c>
      <c r="BN138" s="62">
        <v>0</v>
      </c>
      <c r="BO138" s="33" t="s">
        <v>485</v>
      </c>
    </row>
    <row r="139" spans="1:67">
      <c r="A139" s="33" t="str">
        <f>Database_Productkaarten[[#This Row],[Product]]&amp;", "&amp;Database_Productkaarten[[#This Row],[Levensfase]]</f>
        <v>AC Surf G.M. 30% PR - PCR 1.0, C3</v>
      </c>
      <c r="B139" s="33" t="s">
        <v>496</v>
      </c>
      <c r="C139" s="33" t="s">
        <v>483</v>
      </c>
      <c r="D139" s="33" t="s">
        <v>377</v>
      </c>
      <c r="E139" s="33" t="s">
        <v>378</v>
      </c>
      <c r="F139" s="33" t="s">
        <v>85</v>
      </c>
      <c r="L139" s="33">
        <v>2.35</v>
      </c>
      <c r="M139" s="269">
        <v>1</v>
      </c>
      <c r="N139" s="41">
        <v>0.16120214999999999</v>
      </c>
      <c r="O139" s="33">
        <v>14</v>
      </c>
      <c r="P139" s="40">
        <v>4.1291555000000003E-7</v>
      </c>
      <c r="Q139" s="40">
        <v>8.4766977000000007E-3</v>
      </c>
      <c r="R139" s="40">
        <v>1.6375614000000001</v>
      </c>
      <c r="S139" s="40">
        <v>2.2198113E-7</v>
      </c>
      <c r="T139" s="40">
        <v>5.9777666999999998E-4</v>
      </c>
      <c r="U139" s="40">
        <v>5.9352911999999997E-3</v>
      </c>
      <c r="V139" s="40">
        <v>1.3067828999999999E-3</v>
      </c>
      <c r="W139" s="40">
        <v>0.43290835999999999</v>
      </c>
      <c r="X139" s="40">
        <v>6.1478065000000002E-3</v>
      </c>
      <c r="Y139" s="40">
        <v>20.733394000000001</v>
      </c>
      <c r="Z139" s="40">
        <v>7.2985148000000004E-4</v>
      </c>
      <c r="AA139" s="40"/>
      <c r="AB139" s="40"/>
      <c r="AC139" s="40"/>
      <c r="AD139" s="40"/>
      <c r="AE139" s="40"/>
      <c r="AF139" s="40"/>
      <c r="AG139" s="40"/>
      <c r="AH139" s="40"/>
      <c r="AI139" s="40"/>
      <c r="AJ139" s="40"/>
      <c r="AK139" s="40"/>
      <c r="AL139" s="40"/>
      <c r="AM139" s="40"/>
      <c r="AN139" s="40"/>
      <c r="AO139" s="40"/>
      <c r="AP139" s="40"/>
      <c r="AQ139" s="40"/>
      <c r="AR139" s="40"/>
      <c r="AS139" s="40"/>
      <c r="AT139" s="40"/>
      <c r="AU139" s="40"/>
      <c r="AV139" s="313">
        <v>0.10367149000000001</v>
      </c>
      <c r="AW139" s="317"/>
      <c r="AX139" s="317"/>
      <c r="AY139" s="313">
        <v>19.003353000000001</v>
      </c>
      <c r="AZ139" s="40"/>
      <c r="BA139" s="40"/>
      <c r="BB139" s="40"/>
      <c r="BC139" s="40">
        <v>2.3419052000000001E-3</v>
      </c>
      <c r="BD139" s="40">
        <v>7.9811735999999999E-6</v>
      </c>
      <c r="BE139" s="40">
        <v>1.9057085000000001E-2</v>
      </c>
      <c r="BF139" s="40">
        <v>1.2430745000000001E-4</v>
      </c>
      <c r="BG139" s="40"/>
      <c r="BH139" s="40"/>
      <c r="BI139" s="40"/>
      <c r="BJ139" s="40"/>
      <c r="BK139" s="40"/>
      <c r="BL139" s="62">
        <v>0.3</v>
      </c>
      <c r="BM139" s="275">
        <v>2</v>
      </c>
      <c r="BN139" s="62">
        <v>0</v>
      </c>
      <c r="BO139" s="33" t="s">
        <v>485</v>
      </c>
    </row>
    <row r="140" spans="1:67">
      <c r="A140" s="33" t="str">
        <f>Database_Productkaarten[[#This Row],[Product]]&amp;", "&amp;Database_Productkaarten[[#This Row],[Levensfase]]</f>
        <v>AC Surf G.M. 30% PR - PCR 1.0, D</v>
      </c>
      <c r="B140" s="33" t="str">
        <f>B141</f>
        <v>AC Surf G.M. 30% PR - PCR 1.0</v>
      </c>
      <c r="C140" s="33" t="str">
        <f>C141</f>
        <v>Bitumineuze verhardingen</v>
      </c>
      <c r="D140" s="33" t="str">
        <f>D141</f>
        <v>AC surf</v>
      </c>
      <c r="E140" s="33" t="str">
        <f>E141</f>
        <v>Ton</v>
      </c>
      <c r="F140" s="33" t="s">
        <v>89</v>
      </c>
      <c r="L140" s="33">
        <f>L141</f>
        <v>2.35</v>
      </c>
      <c r="M140" s="45">
        <f>M141</f>
        <v>1</v>
      </c>
      <c r="N140" s="41">
        <f>SUM(N141:N142)</f>
        <v>-4.2143586678923119</v>
      </c>
      <c r="O140" s="33">
        <f>O141</f>
        <v>14</v>
      </c>
      <c r="P140" s="40">
        <f>SUM(P141:P142)</f>
        <v>-4.7337721093200163E-5</v>
      </c>
      <c r="Q140" s="40">
        <f>SUM(Q141:Q142)</f>
        <v>-0.58532819879861564</v>
      </c>
      <c r="R140" s="40">
        <f>SUM(R141:R142)</f>
        <v>-31.123548244294419</v>
      </c>
      <c r="S140" s="40">
        <f t="shared" ref="S140:BK140" si="24">SUM(S141:S142)</f>
        <v>-3.2766802525821097E-6</v>
      </c>
      <c r="T140" s="40">
        <f t="shared" si="24"/>
        <v>-6.2262656949990475E-2</v>
      </c>
      <c r="U140" s="40">
        <f t="shared" si="24"/>
        <v>-0.24626565379072646</v>
      </c>
      <c r="V140" s="40">
        <f t="shared" si="24"/>
        <v>-2.8645436675879529E-2</v>
      </c>
      <c r="W140" s="40">
        <f t="shared" si="24"/>
        <v>-8.6958307783291762</v>
      </c>
      <c r="X140" s="40">
        <f t="shared" si="24"/>
        <v>-0.8817735024221367</v>
      </c>
      <c r="Y140" s="40">
        <f t="shared" si="24"/>
        <v>-3812.0699828706101</v>
      </c>
      <c r="Z140" s="40">
        <f t="shared" si="24"/>
        <v>-0.1173814792341564</v>
      </c>
      <c r="AA140" s="40">
        <f t="shared" si="24"/>
        <v>0</v>
      </c>
      <c r="AB140" s="40">
        <f t="shared" si="24"/>
        <v>0</v>
      </c>
      <c r="AC140" s="40">
        <f t="shared" si="24"/>
        <v>0</v>
      </c>
      <c r="AD140" s="40">
        <f t="shared" si="24"/>
        <v>0</v>
      </c>
      <c r="AE140" s="40">
        <f t="shared" si="24"/>
        <v>0</v>
      </c>
      <c r="AF140" s="40">
        <f t="shared" si="24"/>
        <v>0</v>
      </c>
      <c r="AG140" s="40">
        <f t="shared" si="24"/>
        <v>0</v>
      </c>
      <c r="AH140" s="40">
        <f t="shared" si="24"/>
        <v>0</v>
      </c>
      <c r="AI140" s="40">
        <f t="shared" si="24"/>
        <v>0</v>
      </c>
      <c r="AJ140" s="40">
        <f t="shared" si="24"/>
        <v>0</v>
      </c>
      <c r="AK140" s="40">
        <f t="shared" si="24"/>
        <v>0</v>
      </c>
      <c r="AL140" s="40">
        <f t="shared" si="24"/>
        <v>0</v>
      </c>
      <c r="AM140" s="40">
        <f t="shared" si="24"/>
        <v>0</v>
      </c>
      <c r="AN140" s="40">
        <f t="shared" si="24"/>
        <v>0</v>
      </c>
      <c r="AO140" s="40">
        <f t="shared" si="24"/>
        <v>0</v>
      </c>
      <c r="AP140" s="40">
        <f t="shared" si="24"/>
        <v>0</v>
      </c>
      <c r="AQ140" s="40">
        <f t="shared" si="24"/>
        <v>0</v>
      </c>
      <c r="AR140" s="40">
        <f t="shared" si="24"/>
        <v>0</v>
      </c>
      <c r="AS140" s="40">
        <f t="shared" si="24"/>
        <v>0</v>
      </c>
      <c r="AT140" s="40">
        <f t="shared" si="24"/>
        <v>0</v>
      </c>
      <c r="AU140" s="40">
        <f t="shared" si="24"/>
        <v>0</v>
      </c>
      <c r="AV140" s="317">
        <f t="shared" si="24"/>
        <v>-10.936856670994318</v>
      </c>
      <c r="AW140" s="317">
        <f t="shared" si="24"/>
        <v>0</v>
      </c>
      <c r="AX140" s="317">
        <f t="shared" si="24"/>
        <v>0</v>
      </c>
      <c r="AY140" s="317">
        <f t="shared" si="24"/>
        <v>-1316.6253546107507</v>
      </c>
      <c r="AZ140" s="40">
        <f t="shared" si="24"/>
        <v>0</v>
      </c>
      <c r="BA140" s="40">
        <f t="shared" si="24"/>
        <v>0</v>
      </c>
      <c r="BB140" s="40">
        <f t="shared" si="24"/>
        <v>0</v>
      </c>
      <c r="BC140" s="40">
        <f t="shared" si="24"/>
        <v>-12.427904336969727</v>
      </c>
      <c r="BD140" s="40">
        <f t="shared" si="24"/>
        <v>-4.9854808801969984E-4</v>
      </c>
      <c r="BE140" s="40">
        <f t="shared" si="24"/>
        <v>-3.2088601639696535</v>
      </c>
      <c r="BF140" s="40">
        <f t="shared" si="24"/>
        <v>-1.3541442325441346E-3</v>
      </c>
      <c r="BG140" s="40">
        <f t="shared" si="24"/>
        <v>0</v>
      </c>
      <c r="BH140" s="40">
        <f t="shared" si="24"/>
        <v>0</v>
      </c>
      <c r="BI140" s="40">
        <f t="shared" si="24"/>
        <v>0</v>
      </c>
      <c r="BJ140" s="40">
        <f t="shared" si="24"/>
        <v>0</v>
      </c>
      <c r="BK140" s="40">
        <f t="shared" si="24"/>
        <v>0</v>
      </c>
      <c r="BL140" s="62">
        <f>BL141</f>
        <v>0.3</v>
      </c>
      <c r="BM140" s="275">
        <f>BM141</f>
        <v>2</v>
      </c>
      <c r="BN140" s="62">
        <v>0</v>
      </c>
      <c r="BO140" s="33" t="str">
        <f>BO141</f>
        <v>TNO 2020 R10987 LCA Achtergrondrapport voor brancherepresentatieve Nederlandse asfaltmengsels 2020</v>
      </c>
    </row>
    <row r="141" spans="1:67">
      <c r="A141" s="33" t="str">
        <f>Database_Productkaarten[[#This Row],[Product]]&amp;", "&amp;Database_Productkaarten[[#This Row],[Levensfase]]</f>
        <v>AC Surf G.M. 30% PR - PCR 1.0, D1</v>
      </c>
      <c r="B141" s="33" t="s">
        <v>496</v>
      </c>
      <c r="C141" s="33" t="s">
        <v>483</v>
      </c>
      <c r="D141" s="33" t="s">
        <v>377</v>
      </c>
      <c r="E141" s="33" t="s">
        <v>378</v>
      </c>
      <c r="F141" s="33" t="s">
        <v>87</v>
      </c>
      <c r="L141" s="33">
        <v>2.35</v>
      </c>
      <c r="M141" s="269">
        <v>1</v>
      </c>
      <c r="N141" s="41">
        <v>-2.8364291189220756</v>
      </c>
      <c r="O141" s="33">
        <v>14</v>
      </c>
      <c r="P141" s="40">
        <v>-3.8205383680516636E-5</v>
      </c>
      <c r="Q141" s="40">
        <v>-0.51778696580029493</v>
      </c>
      <c r="R141" s="40">
        <v>-21.074056724277821</v>
      </c>
      <c r="S141" s="40">
        <v>-1.668906769592877E-6</v>
      </c>
      <c r="T141" s="40">
        <v>-5.5215067757389893E-2</v>
      </c>
      <c r="U141" s="40">
        <v>-0.14806395131410113</v>
      </c>
      <c r="V141" s="40">
        <v>-1.3036330788829849E-2</v>
      </c>
      <c r="W141" s="40">
        <v>-5.5069061650125013</v>
      </c>
      <c r="X141" s="40">
        <v>-0.8062254483130058</v>
      </c>
      <c r="Y141" s="40">
        <v>-3540.3105850493666</v>
      </c>
      <c r="Z141" s="40">
        <v>-0.10460308172142559</v>
      </c>
      <c r="AA141" s="40"/>
      <c r="AB141" s="40"/>
      <c r="AC141" s="40"/>
      <c r="AD141" s="40"/>
      <c r="AE141" s="40"/>
      <c r="AF141" s="40"/>
      <c r="AG141" s="40"/>
      <c r="AH141" s="40"/>
      <c r="AI141" s="40"/>
      <c r="AJ141" s="40"/>
      <c r="AK141" s="40"/>
      <c r="AL141" s="40"/>
      <c r="AM141" s="40"/>
      <c r="AN141" s="40"/>
      <c r="AO141" s="40"/>
      <c r="AP141" s="40"/>
      <c r="AQ141" s="40"/>
      <c r="AR141" s="40"/>
      <c r="AS141" s="40"/>
      <c r="AT141" s="40"/>
      <c r="AU141" s="40"/>
      <c r="AV141" s="313">
        <v>-8.1158668604584534</v>
      </c>
      <c r="AW141" s="317"/>
      <c r="AX141" s="317"/>
      <c r="AY141" s="313">
        <v>-1166.8388920240288</v>
      </c>
      <c r="AZ141" s="40"/>
      <c r="BA141" s="40"/>
      <c r="BB141" s="40"/>
      <c r="BC141" s="40">
        <v>-12.395570645485787</v>
      </c>
      <c r="BD141" s="40">
        <v>-3.993992418809443E-4</v>
      </c>
      <c r="BE141" s="40">
        <v>-1.1664073130824304</v>
      </c>
      <c r="BF141" s="40">
        <v>-4.2102250252926886E-4</v>
      </c>
      <c r="BG141" s="40"/>
      <c r="BH141" s="40"/>
      <c r="BI141" s="40"/>
      <c r="BJ141" s="40"/>
      <c r="BK141" s="40"/>
      <c r="BL141" s="62">
        <v>0.3</v>
      </c>
      <c r="BM141" s="275">
        <v>2</v>
      </c>
      <c r="BN141" s="62">
        <v>0</v>
      </c>
      <c r="BO141" s="33" t="s">
        <v>485</v>
      </c>
    </row>
    <row r="142" spans="1:67">
      <c r="A142" s="33" t="str">
        <f>Database_Productkaarten[[#This Row],[Product]]&amp;", "&amp;Database_Productkaarten[[#This Row],[Levensfase]]</f>
        <v>AC Surf G.M. 30% PR - PCR 1.0, D2</v>
      </c>
      <c r="B142" s="33" t="s">
        <v>496</v>
      </c>
      <c r="C142" s="33" t="s">
        <v>483</v>
      </c>
      <c r="D142" s="33" t="s">
        <v>377</v>
      </c>
      <c r="E142" s="33" t="s">
        <v>378</v>
      </c>
      <c r="F142" s="33" t="s">
        <v>88</v>
      </c>
      <c r="L142" s="33">
        <v>2.35</v>
      </c>
      <c r="M142" s="269">
        <v>1</v>
      </c>
      <c r="N142" s="41">
        <v>-1.3779295489702363</v>
      </c>
      <c r="O142" s="33">
        <v>14</v>
      </c>
      <c r="P142" s="40">
        <v>-9.1323374126835272E-6</v>
      </c>
      <c r="Q142" s="40">
        <v>-6.7541232998320683E-2</v>
      </c>
      <c r="R142" s="40">
        <v>-10.0494915200166</v>
      </c>
      <c r="S142" s="40">
        <v>-1.6077734829892327E-6</v>
      </c>
      <c r="T142" s="40">
        <v>-7.0475891926005795E-3</v>
      </c>
      <c r="U142" s="40">
        <v>-9.8201702476625324E-2</v>
      </c>
      <c r="V142" s="40">
        <v>-1.5609105887049682E-2</v>
      </c>
      <c r="W142" s="40">
        <v>-3.1889246133166749</v>
      </c>
      <c r="X142" s="40">
        <v>-7.5548054109130874E-2</v>
      </c>
      <c r="Y142" s="40">
        <v>-271.75939782124362</v>
      </c>
      <c r="Z142" s="40">
        <v>-1.2778397512730813E-2</v>
      </c>
      <c r="AA142" s="40"/>
      <c r="AB142" s="40"/>
      <c r="AC142" s="40"/>
      <c r="AD142" s="40"/>
      <c r="AE142" s="40"/>
      <c r="AF142" s="40"/>
      <c r="AG142" s="40"/>
      <c r="AH142" s="40"/>
      <c r="AI142" s="40"/>
      <c r="AJ142" s="40"/>
      <c r="AK142" s="40"/>
      <c r="AL142" s="40"/>
      <c r="AM142" s="40"/>
      <c r="AN142" s="40"/>
      <c r="AO142" s="40"/>
      <c r="AP142" s="40"/>
      <c r="AQ142" s="40"/>
      <c r="AR142" s="40"/>
      <c r="AS142" s="40"/>
      <c r="AT142" s="40"/>
      <c r="AU142" s="40"/>
      <c r="AV142" s="313">
        <v>-2.8209898105358651</v>
      </c>
      <c r="AW142" s="317"/>
      <c r="AX142" s="317"/>
      <c r="AY142" s="313">
        <v>-149.78646258672197</v>
      </c>
      <c r="AZ142" s="40"/>
      <c r="BA142" s="40"/>
      <c r="BB142" s="40"/>
      <c r="BC142" s="40">
        <v>-3.2333691483939789E-2</v>
      </c>
      <c r="BD142" s="40">
        <v>-9.9148846138755572E-5</v>
      </c>
      <c r="BE142" s="40">
        <v>-2.0424528508872233</v>
      </c>
      <c r="BF142" s="40">
        <v>-9.331217300148658E-4</v>
      </c>
      <c r="BG142" s="40"/>
      <c r="BH142" s="40"/>
      <c r="BI142" s="40"/>
      <c r="BJ142" s="40"/>
      <c r="BK142" s="40"/>
      <c r="BL142" s="62">
        <v>0.3</v>
      </c>
      <c r="BM142" s="275">
        <v>2</v>
      </c>
      <c r="BN142" s="62">
        <v>0</v>
      </c>
      <c r="BO142" s="33" t="s">
        <v>485</v>
      </c>
    </row>
    <row r="143" spans="1:67">
      <c r="A143" s="33" t="str">
        <f>Database_Productkaarten[[#This Row],[Product]]&amp;", "&amp;Database_Productkaarten[[#This Row],[Levensfase]]</f>
        <v>DZOAB - PCR 1.0, Totaal</v>
      </c>
      <c r="B143" s="33" t="s">
        <v>497</v>
      </c>
      <c r="C143" s="33" t="s">
        <v>483</v>
      </c>
      <c r="D143" s="33" t="s">
        <v>484</v>
      </c>
      <c r="E143" s="33" t="s">
        <v>378</v>
      </c>
      <c r="F143" s="33" t="s">
        <v>90</v>
      </c>
      <c r="L143" s="33">
        <v>2</v>
      </c>
      <c r="M143" s="269">
        <v>1</v>
      </c>
      <c r="N143" s="41">
        <v>8.4660860546076666</v>
      </c>
      <c r="O143" s="33">
        <v>14</v>
      </c>
      <c r="P143" s="40">
        <v>7.2972609277757809E-5</v>
      </c>
      <c r="Q143" s="40">
        <v>0.9397432960476132</v>
      </c>
      <c r="R143" s="40">
        <v>70.946395374741357</v>
      </c>
      <c r="S143" s="40">
        <v>8.341710193631614E-6</v>
      </c>
      <c r="T143" s="40">
        <v>8.2576534347257646E-2</v>
      </c>
      <c r="U143" s="40">
        <v>0.34137771491679403</v>
      </c>
      <c r="V143" s="40">
        <v>4.1335854337070863E-2</v>
      </c>
      <c r="W143" s="40">
        <v>20.621151599250673</v>
      </c>
      <c r="X143" s="40">
        <v>4.4502761238313324</v>
      </c>
      <c r="Y143" s="40">
        <v>8646.9253035837628</v>
      </c>
      <c r="Z143" s="40">
        <v>0.18917295127401151</v>
      </c>
      <c r="AA143" s="40"/>
      <c r="AB143" s="40"/>
      <c r="AC143" s="40"/>
      <c r="AD143" s="40"/>
      <c r="AE143" s="40"/>
      <c r="AF143" s="40"/>
      <c r="AG143" s="40"/>
      <c r="AH143" s="40"/>
      <c r="AI143" s="40"/>
      <c r="AJ143" s="40"/>
      <c r="AK143" s="40"/>
      <c r="AL143" s="40"/>
      <c r="AM143" s="40"/>
      <c r="AN143" s="40"/>
      <c r="AO143" s="40"/>
      <c r="AP143" s="40"/>
      <c r="AQ143" s="40"/>
      <c r="AR143" s="40"/>
      <c r="AS143" s="40"/>
      <c r="AT143" s="40"/>
      <c r="AU143" s="40"/>
      <c r="AV143" s="313">
        <v>24.455438825169136</v>
      </c>
      <c r="AW143" s="317"/>
      <c r="AX143" s="317"/>
      <c r="AY143" s="313">
        <v>1886.0156407586546</v>
      </c>
      <c r="AZ143" s="40"/>
      <c r="BA143" s="40"/>
      <c r="BB143" s="40"/>
      <c r="BC143" s="40">
        <v>14.543120041593852</v>
      </c>
      <c r="BD143" s="40">
        <v>1.0303217885427357E-3</v>
      </c>
      <c r="BE143" s="40">
        <v>3.2645691965079795</v>
      </c>
      <c r="BF143" s="40">
        <v>1.8808039442294463E-3</v>
      </c>
      <c r="BG143" s="40"/>
      <c r="BH143" s="40"/>
      <c r="BI143" s="40"/>
      <c r="BJ143" s="40"/>
      <c r="BK143" s="40"/>
      <c r="BL143" s="62">
        <v>0</v>
      </c>
      <c r="BM143" s="275">
        <v>2</v>
      </c>
      <c r="BN143" s="62">
        <v>0</v>
      </c>
      <c r="BO143" s="33" t="s">
        <v>485</v>
      </c>
    </row>
    <row r="144" spans="1:67">
      <c r="A144" s="33" t="str">
        <f>Database_Productkaarten[[#This Row],[Product]]&amp;", "&amp;Database_Productkaarten[[#This Row],[Levensfase]]</f>
        <v>DZOAB - PCR 1.0, A1</v>
      </c>
      <c r="B144" s="33" t="s">
        <v>497</v>
      </c>
      <c r="C144" s="33" t="s">
        <v>483</v>
      </c>
      <c r="D144" s="33" t="s">
        <v>484</v>
      </c>
      <c r="E144" s="33" t="s">
        <v>378</v>
      </c>
      <c r="F144" s="33" t="s">
        <v>74</v>
      </c>
      <c r="L144" s="33">
        <v>2</v>
      </c>
      <c r="M144" s="269">
        <v>1</v>
      </c>
      <c r="N144" s="41">
        <v>8.0021813759999993</v>
      </c>
      <c r="O144" s="33">
        <v>14</v>
      </c>
      <c r="P144" s="40">
        <v>9.8219776000000005E-5</v>
      </c>
      <c r="Q144" s="40">
        <v>1.2838186024999998</v>
      </c>
      <c r="R144" s="40">
        <v>65.544260489999999</v>
      </c>
      <c r="S144" s="40">
        <v>4.813346050000001E-6</v>
      </c>
      <c r="T144" s="40">
        <v>0.13677830120000001</v>
      </c>
      <c r="U144" s="40">
        <v>0.39561156750000004</v>
      </c>
      <c r="V144" s="40">
        <v>3.9824421999999998E-2</v>
      </c>
      <c r="W144" s="40">
        <v>15.206570611</v>
      </c>
      <c r="X144" s="40">
        <v>1.9743167175000003</v>
      </c>
      <c r="Y144" s="40">
        <v>8607.7152714820004</v>
      </c>
      <c r="Z144" s="40">
        <v>0.27294726550000004</v>
      </c>
      <c r="AA144" s="40"/>
      <c r="AB144" s="40"/>
      <c r="AC144" s="40"/>
      <c r="AD144" s="40"/>
      <c r="AE144" s="40"/>
      <c r="AF144" s="40"/>
      <c r="AG144" s="40"/>
      <c r="AH144" s="40"/>
      <c r="AI144" s="40"/>
      <c r="AJ144" s="40"/>
      <c r="AK144" s="40"/>
      <c r="AL144" s="40"/>
      <c r="AM144" s="40"/>
      <c r="AN144" s="40"/>
      <c r="AO144" s="40"/>
      <c r="AP144" s="40"/>
      <c r="AQ144" s="40"/>
      <c r="AR144" s="40"/>
      <c r="AS144" s="40"/>
      <c r="AT144" s="40"/>
      <c r="AU144" s="40"/>
      <c r="AV144" s="313">
        <v>30.19716</v>
      </c>
      <c r="AW144" s="317"/>
      <c r="AX144" s="317"/>
      <c r="AY144" s="313">
        <v>2897.6653037070005</v>
      </c>
      <c r="AZ144" s="40"/>
      <c r="BA144" s="40"/>
      <c r="BB144" s="40"/>
      <c r="BC144" s="40">
        <v>29.772121743500001</v>
      </c>
      <c r="BD144" s="40">
        <v>9.8695863499999987E-4</v>
      </c>
      <c r="BE144" s="40">
        <v>2.9887204380000001</v>
      </c>
      <c r="BF144" s="40">
        <v>1.6040374099999999E-3</v>
      </c>
      <c r="BG144" s="40"/>
      <c r="BH144" s="40"/>
      <c r="BI144" s="40"/>
      <c r="BJ144" s="40"/>
      <c r="BK144" s="40"/>
      <c r="BL144" s="62">
        <v>0</v>
      </c>
      <c r="BM144" s="275">
        <v>2</v>
      </c>
      <c r="BN144" s="62">
        <v>0</v>
      </c>
      <c r="BO144" s="33" t="s">
        <v>485</v>
      </c>
    </row>
    <row r="145" spans="1:67">
      <c r="A145" s="33" t="str">
        <f>Database_Productkaarten[[#This Row],[Product]]&amp;", "&amp;Database_Productkaarten[[#This Row],[Levensfase]]</f>
        <v>DZOAB - PCR 1.0, A2</v>
      </c>
      <c r="B145" s="33" t="s">
        <v>497</v>
      </c>
      <c r="C145" s="33" t="s">
        <v>483</v>
      </c>
      <c r="D145" s="33" t="s">
        <v>484</v>
      </c>
      <c r="E145" s="33" t="s">
        <v>378</v>
      </c>
      <c r="F145" s="33" t="s">
        <v>75</v>
      </c>
      <c r="L145" s="33">
        <v>2</v>
      </c>
      <c r="M145" s="269">
        <v>1</v>
      </c>
      <c r="N145" s="41">
        <v>2.6857362006749996</v>
      </c>
      <c r="O145" s="33">
        <v>14</v>
      </c>
      <c r="P145" s="40">
        <v>1.6086767898249997E-5</v>
      </c>
      <c r="Q145" s="40">
        <v>0.1128454847503</v>
      </c>
      <c r="R145" s="40">
        <v>16.111532753819997</v>
      </c>
      <c r="S145" s="40">
        <v>2.6756988017699998E-6</v>
      </c>
      <c r="T145" s="40">
        <v>1.4225234922099999E-2</v>
      </c>
      <c r="U145" s="40">
        <v>0.23354089699279998</v>
      </c>
      <c r="V145" s="40">
        <v>2.5367593043600003E-2</v>
      </c>
      <c r="W145" s="40">
        <v>6.7297222181199992</v>
      </c>
      <c r="X145" s="40">
        <v>0.14306931889599997</v>
      </c>
      <c r="Y145" s="40">
        <v>597.67257651155489</v>
      </c>
      <c r="Z145" s="40">
        <v>2.26419819291E-2</v>
      </c>
      <c r="AA145" s="40"/>
      <c r="AB145" s="40"/>
      <c r="AC145" s="40"/>
      <c r="AD145" s="40"/>
      <c r="AE145" s="40"/>
      <c r="AF145" s="40"/>
      <c r="AG145" s="40"/>
      <c r="AH145" s="40"/>
      <c r="AI145" s="40"/>
      <c r="AJ145" s="40"/>
      <c r="AK145" s="40"/>
      <c r="AL145" s="40"/>
      <c r="AM145" s="40"/>
      <c r="AN145" s="40"/>
      <c r="AO145" s="40"/>
      <c r="AP145" s="40"/>
      <c r="AQ145" s="40"/>
      <c r="AR145" s="40"/>
      <c r="AS145" s="40"/>
      <c r="AT145" s="40"/>
      <c r="AU145" s="40"/>
      <c r="AV145" s="313">
        <v>4.5105800011949997</v>
      </c>
      <c r="AW145" s="317"/>
      <c r="AX145" s="317"/>
      <c r="AY145" s="313">
        <v>250.04317595960498</v>
      </c>
      <c r="AZ145" s="40"/>
      <c r="BA145" s="40"/>
      <c r="BB145" s="40"/>
      <c r="BC145" s="40">
        <v>4.5153532763399999E-2</v>
      </c>
      <c r="BD145" s="40">
        <v>1.4752799205499997E-4</v>
      </c>
      <c r="BE145" s="40">
        <v>4.5532346953300005</v>
      </c>
      <c r="BF145" s="40">
        <v>1.55362684019E-3</v>
      </c>
      <c r="BG145" s="40"/>
      <c r="BH145" s="40"/>
      <c r="BI145" s="40"/>
      <c r="BJ145" s="40"/>
      <c r="BK145" s="40"/>
      <c r="BL145" s="62">
        <v>0</v>
      </c>
      <c r="BM145" s="275">
        <v>2</v>
      </c>
      <c r="BN145" s="62">
        <v>0</v>
      </c>
      <c r="BO145" s="33" t="s">
        <v>485</v>
      </c>
    </row>
    <row r="146" spans="1:67">
      <c r="A146" s="33" t="str">
        <f>Database_Productkaarten[[#This Row],[Product]]&amp;", "&amp;Database_Productkaarten[[#This Row],[Levensfase]]</f>
        <v>DZOAB - PCR 1.0, A3</v>
      </c>
      <c r="B146" s="33" t="s">
        <v>497</v>
      </c>
      <c r="C146" s="33" t="s">
        <v>483</v>
      </c>
      <c r="D146" s="33" t="s">
        <v>484</v>
      </c>
      <c r="E146" s="33" t="s">
        <v>378</v>
      </c>
      <c r="F146" s="33" t="s">
        <v>76</v>
      </c>
      <c r="L146" s="33">
        <v>2</v>
      </c>
      <c r="M146" s="269">
        <v>1</v>
      </c>
      <c r="N146" s="41">
        <v>1.5317739814690736</v>
      </c>
      <c r="O146" s="33">
        <v>14</v>
      </c>
      <c r="P146" s="40">
        <v>4.7174600250721616E-6</v>
      </c>
      <c r="Q146" s="40">
        <v>0.1764405815122575</v>
      </c>
      <c r="R146" s="40">
        <v>20.806796080498042</v>
      </c>
      <c r="S146" s="40">
        <v>2.3535924373134367E-6</v>
      </c>
      <c r="T146" s="40">
        <v>3.4166722688650209E-3</v>
      </c>
      <c r="U146" s="40">
        <v>2.398567491423503E-2</v>
      </c>
      <c r="V146" s="40">
        <v>4.4423025463982916E-3</v>
      </c>
      <c r="W146" s="40">
        <v>3.4311700526608346</v>
      </c>
      <c r="X146" s="40">
        <v>2.3282296850856619E-2</v>
      </c>
      <c r="Y146" s="40">
        <v>94.470981745237495</v>
      </c>
      <c r="Z146" s="40">
        <v>2.3743189338830933E-2</v>
      </c>
      <c r="AA146" s="40"/>
      <c r="AB146" s="40"/>
      <c r="AC146" s="40"/>
      <c r="AD146" s="40"/>
      <c r="AE146" s="40"/>
      <c r="AF146" s="40"/>
      <c r="AG146" s="40"/>
      <c r="AH146" s="40"/>
      <c r="AI146" s="40"/>
      <c r="AJ146" s="40"/>
      <c r="AK146" s="40"/>
      <c r="AL146" s="40"/>
      <c r="AM146" s="40"/>
      <c r="AN146" s="40"/>
      <c r="AO146" s="40"/>
      <c r="AP146" s="40"/>
      <c r="AQ146" s="40"/>
      <c r="AR146" s="40"/>
      <c r="AS146" s="40"/>
      <c r="AT146" s="40"/>
      <c r="AU146" s="40"/>
      <c r="AV146" s="313">
        <v>6.8279859591671412</v>
      </c>
      <c r="AW146" s="317"/>
      <c r="AX146" s="317"/>
      <c r="AY146" s="313">
        <v>360.25575448631531</v>
      </c>
      <c r="AZ146" s="40"/>
      <c r="BA146" s="40"/>
      <c r="BB146" s="40"/>
      <c r="BC146" s="40">
        <v>4.5639981488067971E-2</v>
      </c>
      <c r="BD146" s="40">
        <v>4.9607490575926966E-4</v>
      </c>
      <c r="BE146" s="40">
        <v>0.25042830772104896</v>
      </c>
      <c r="BF146" s="40">
        <v>3.5227758699920615E-4</v>
      </c>
      <c r="BG146" s="40"/>
      <c r="BH146" s="40"/>
      <c r="BI146" s="40"/>
      <c r="BJ146" s="40"/>
      <c r="BK146" s="40"/>
      <c r="BL146" s="62">
        <v>0</v>
      </c>
      <c r="BM146" s="275">
        <v>2</v>
      </c>
      <c r="BN146" s="62">
        <v>0</v>
      </c>
      <c r="BO146" s="33" t="s">
        <v>485</v>
      </c>
    </row>
    <row r="147" spans="1:67">
      <c r="A147" s="33" t="str">
        <f>Database_Productkaarten[[#This Row],[Product]]&amp;", "&amp;Database_Productkaarten[[#This Row],[Levensfase]]</f>
        <v>DZOAB - PCR 1.0, A1-A3</v>
      </c>
      <c r="B147" s="33" t="str">
        <f>B146</f>
        <v>DZOAB - PCR 1.0</v>
      </c>
      <c r="C147" s="33" t="str">
        <f>C146</f>
        <v>Bitumineuze verhardingen</v>
      </c>
      <c r="D147" s="33" t="str">
        <f>D146</f>
        <v>ZOAB</v>
      </c>
      <c r="E147" s="33" t="str">
        <f>E146</f>
        <v>Ton</v>
      </c>
      <c r="F147" s="33" t="s">
        <v>77</v>
      </c>
      <c r="L147" s="33">
        <f>L146</f>
        <v>2</v>
      </c>
      <c r="M147" s="45">
        <f>M146</f>
        <v>1</v>
      </c>
      <c r="N147" s="252">
        <f>SUM(N144:N146)</f>
        <v>12.219691558144072</v>
      </c>
      <c r="O147" s="33">
        <f>O146</f>
        <v>14</v>
      </c>
      <c r="P147" s="40">
        <f>SUM(P144:P146)</f>
        <v>1.1902400392332216E-4</v>
      </c>
      <c r="Q147" s="40">
        <f t="shared" ref="Q147:BK147" si="25">SUM(Q144:Q146)</f>
        <v>1.5731046687625572</v>
      </c>
      <c r="R147" s="40">
        <f t="shared" si="25"/>
        <v>102.46258932431805</v>
      </c>
      <c r="S147" s="40">
        <f t="shared" si="25"/>
        <v>9.8426372890834366E-6</v>
      </c>
      <c r="T147" s="40">
        <f t="shared" si="25"/>
        <v>0.15442020839096504</v>
      </c>
      <c r="U147" s="40">
        <f t="shared" si="25"/>
        <v>0.65313813940703502</v>
      </c>
      <c r="V147" s="40">
        <f t="shared" si="25"/>
        <v>6.9634317589998301E-2</v>
      </c>
      <c r="W147" s="40">
        <f t="shared" si="25"/>
        <v>25.367462881780835</v>
      </c>
      <c r="X147" s="40">
        <f t="shared" si="25"/>
        <v>2.140668333246857</v>
      </c>
      <c r="Y147" s="40">
        <f t="shared" si="25"/>
        <v>9299.8588297387923</v>
      </c>
      <c r="Z147" s="40">
        <f t="shared" si="25"/>
        <v>0.31933243676793099</v>
      </c>
      <c r="AA147" s="40">
        <f t="shared" si="25"/>
        <v>0</v>
      </c>
      <c r="AB147" s="40">
        <f t="shared" si="25"/>
        <v>0</v>
      </c>
      <c r="AC147" s="40">
        <f t="shared" si="25"/>
        <v>0</v>
      </c>
      <c r="AD147" s="40">
        <f t="shared" si="25"/>
        <v>0</v>
      </c>
      <c r="AE147" s="40">
        <f t="shared" si="25"/>
        <v>0</v>
      </c>
      <c r="AF147" s="40">
        <f t="shared" si="25"/>
        <v>0</v>
      </c>
      <c r="AG147" s="40">
        <f t="shared" si="25"/>
        <v>0</v>
      </c>
      <c r="AH147" s="40">
        <f t="shared" si="25"/>
        <v>0</v>
      </c>
      <c r="AI147" s="40">
        <f t="shared" si="25"/>
        <v>0</v>
      </c>
      <c r="AJ147" s="40">
        <f t="shared" si="25"/>
        <v>0</v>
      </c>
      <c r="AK147" s="40">
        <f t="shared" si="25"/>
        <v>0</v>
      </c>
      <c r="AL147" s="40">
        <f t="shared" si="25"/>
        <v>0</v>
      </c>
      <c r="AM147" s="40">
        <f t="shared" si="25"/>
        <v>0</v>
      </c>
      <c r="AN147" s="40">
        <f t="shared" si="25"/>
        <v>0</v>
      </c>
      <c r="AO147" s="40">
        <f t="shared" si="25"/>
        <v>0</v>
      </c>
      <c r="AP147" s="40">
        <f t="shared" si="25"/>
        <v>0</v>
      </c>
      <c r="AQ147" s="40">
        <f t="shared" si="25"/>
        <v>0</v>
      </c>
      <c r="AR147" s="40">
        <f t="shared" si="25"/>
        <v>0</v>
      </c>
      <c r="AS147" s="40">
        <f t="shared" si="25"/>
        <v>0</v>
      </c>
      <c r="AT147" s="40">
        <f t="shared" si="25"/>
        <v>0</v>
      </c>
      <c r="AU147" s="40">
        <f t="shared" si="25"/>
        <v>0</v>
      </c>
      <c r="AV147" s="317">
        <f t="shared" si="25"/>
        <v>41.535725960362143</v>
      </c>
      <c r="AW147" s="317">
        <f t="shared" si="25"/>
        <v>0</v>
      </c>
      <c r="AX147" s="317">
        <f t="shared" si="25"/>
        <v>0</v>
      </c>
      <c r="AY147" s="317">
        <f t="shared" si="25"/>
        <v>3507.9642341529207</v>
      </c>
      <c r="AZ147" s="40">
        <f t="shared" si="25"/>
        <v>0</v>
      </c>
      <c r="BA147" s="40">
        <f t="shared" si="25"/>
        <v>0</v>
      </c>
      <c r="BB147" s="40">
        <f t="shared" si="25"/>
        <v>0</v>
      </c>
      <c r="BC147" s="40">
        <f t="shared" si="25"/>
        <v>29.862915257751471</v>
      </c>
      <c r="BD147" s="40">
        <f t="shared" si="25"/>
        <v>1.6305615328142695E-3</v>
      </c>
      <c r="BE147" s="40">
        <f t="shared" si="25"/>
        <v>7.79238344105105</v>
      </c>
      <c r="BF147" s="40">
        <f t="shared" si="25"/>
        <v>3.5099418371892059E-3</v>
      </c>
      <c r="BG147" s="40">
        <f t="shared" si="25"/>
        <v>0</v>
      </c>
      <c r="BH147" s="40">
        <f t="shared" si="25"/>
        <v>0</v>
      </c>
      <c r="BI147" s="40">
        <f t="shared" si="25"/>
        <v>0</v>
      </c>
      <c r="BJ147" s="40">
        <f t="shared" si="25"/>
        <v>0</v>
      </c>
      <c r="BK147" s="40">
        <f t="shared" si="25"/>
        <v>0</v>
      </c>
      <c r="BL147" s="62">
        <f>BL146</f>
        <v>0</v>
      </c>
      <c r="BM147" s="275">
        <f>BM146</f>
        <v>2</v>
      </c>
      <c r="BN147" s="62">
        <v>0</v>
      </c>
      <c r="BO147" s="33" t="str">
        <f>BO146</f>
        <v>TNO 2020 R10987 LCA Achtergrondrapport voor brancherepresentatieve Nederlandse asfaltmengsels 2020</v>
      </c>
    </row>
    <row r="148" spans="1:67">
      <c r="A148" s="33" t="str">
        <f>Database_Productkaarten[[#This Row],[Product]]&amp;", "&amp;Database_Productkaarten[[#This Row],[Levensfase]]</f>
        <v>DZOAB - PCR 1.0, A4</v>
      </c>
      <c r="B148" s="33" t="s">
        <v>497</v>
      </c>
      <c r="C148" s="33" t="s">
        <v>483</v>
      </c>
      <c r="D148" s="33" t="s">
        <v>484</v>
      </c>
      <c r="E148" s="33" t="s">
        <v>378</v>
      </c>
      <c r="F148" s="33" t="s">
        <v>78</v>
      </c>
      <c r="L148" s="33">
        <v>2</v>
      </c>
      <c r="M148" s="269">
        <v>1</v>
      </c>
      <c r="N148" s="41">
        <v>0.62892669999999995</v>
      </c>
      <c r="O148" s="33">
        <v>14</v>
      </c>
      <c r="P148" s="40">
        <v>1.0978337000000001E-5</v>
      </c>
      <c r="Q148" s="40">
        <v>4.3183727999999998E-2</v>
      </c>
      <c r="R148" s="40">
        <v>5.7021305</v>
      </c>
      <c r="S148" s="40">
        <v>1.1335356E-6</v>
      </c>
      <c r="T148" s="40">
        <v>3.5752850000000001E-3</v>
      </c>
      <c r="U148" s="40">
        <v>1.9151161E-2</v>
      </c>
      <c r="V148" s="40">
        <v>3.8023555000000001E-3</v>
      </c>
      <c r="W148" s="40">
        <v>2.0049337999999999</v>
      </c>
      <c r="X148" s="40">
        <v>0.12926487</v>
      </c>
      <c r="Y148" s="40">
        <v>338.63108999999997</v>
      </c>
      <c r="Z148" s="40">
        <v>1.1891815999999999E-2</v>
      </c>
      <c r="AA148" s="40"/>
      <c r="AB148" s="40"/>
      <c r="AC148" s="40"/>
      <c r="AD148" s="40"/>
      <c r="AE148" s="40"/>
      <c r="AF148" s="40"/>
      <c r="AG148" s="40"/>
      <c r="AH148" s="40"/>
      <c r="AI148" s="40"/>
      <c r="AJ148" s="40"/>
      <c r="AK148" s="40"/>
      <c r="AL148" s="40"/>
      <c r="AM148" s="40"/>
      <c r="AN148" s="40"/>
      <c r="AO148" s="40"/>
      <c r="AP148" s="40"/>
      <c r="AQ148" s="40"/>
      <c r="AR148" s="40"/>
      <c r="AS148" s="40"/>
      <c r="AT148" s="40"/>
      <c r="AU148" s="40"/>
      <c r="AV148" s="313">
        <v>0</v>
      </c>
      <c r="AW148" s="317"/>
      <c r="AX148" s="317"/>
      <c r="AY148" s="313">
        <v>0</v>
      </c>
      <c r="AZ148" s="40"/>
      <c r="BA148" s="40"/>
      <c r="BB148" s="40"/>
      <c r="BC148" s="40">
        <v>0</v>
      </c>
      <c r="BD148" s="40">
        <v>0</v>
      </c>
      <c r="BE148" s="40">
        <v>0</v>
      </c>
      <c r="BF148" s="40">
        <v>0</v>
      </c>
      <c r="BG148" s="40"/>
      <c r="BH148" s="40"/>
      <c r="BI148" s="40"/>
      <c r="BJ148" s="40"/>
      <c r="BK148" s="40"/>
      <c r="BL148" s="62">
        <v>0</v>
      </c>
      <c r="BM148" s="275">
        <v>2</v>
      </c>
      <c r="BN148" s="62">
        <v>0</v>
      </c>
      <c r="BO148" s="33" t="s">
        <v>485</v>
      </c>
    </row>
    <row r="149" spans="1:67">
      <c r="A149" s="33" t="str">
        <f>Database_Productkaarten[[#This Row],[Product]]&amp;", "&amp;Database_Productkaarten[[#This Row],[Levensfase]]</f>
        <v>DZOAB - PCR 1.0, A5</v>
      </c>
      <c r="B149" s="33" t="s">
        <v>497</v>
      </c>
      <c r="C149" s="33" t="s">
        <v>483</v>
      </c>
      <c r="D149" s="33" t="s">
        <v>484</v>
      </c>
      <c r="E149" s="33" t="s">
        <v>378</v>
      </c>
      <c r="F149" s="33" t="s">
        <v>79</v>
      </c>
      <c r="L149" s="33">
        <v>2</v>
      </c>
      <c r="M149" s="269">
        <v>1</v>
      </c>
      <c r="N149" s="41">
        <v>0.11589273999999999</v>
      </c>
      <c r="O149" s="33">
        <v>14</v>
      </c>
      <c r="P149" s="40">
        <v>2.9981767000000001E-7</v>
      </c>
      <c r="Q149" s="40">
        <v>6.1549237000000003E-3</v>
      </c>
      <c r="R149" s="40">
        <v>1.1890320000000001</v>
      </c>
      <c r="S149" s="40">
        <v>1.6118031999999999E-7</v>
      </c>
      <c r="T149" s="40">
        <v>4.0441559000000001E-4</v>
      </c>
      <c r="U149" s="40">
        <v>4.1422853000000004E-3</v>
      </c>
      <c r="V149" s="40">
        <v>9.0534960000000005E-4</v>
      </c>
      <c r="W149" s="40">
        <v>0.31393536</v>
      </c>
      <c r="X149" s="40">
        <v>4.4639175000000001E-3</v>
      </c>
      <c r="Y149" s="40">
        <v>15.054501</v>
      </c>
      <c r="Z149" s="40">
        <v>5.2994459999999995E-4</v>
      </c>
      <c r="AA149" s="40"/>
      <c r="AB149" s="40"/>
      <c r="AC149" s="40"/>
      <c r="AD149" s="40"/>
      <c r="AE149" s="40"/>
      <c r="AF149" s="40"/>
      <c r="AG149" s="40"/>
      <c r="AH149" s="40"/>
      <c r="AI149" s="40"/>
      <c r="AJ149" s="40"/>
      <c r="AK149" s="40"/>
      <c r="AL149" s="40"/>
      <c r="AM149" s="40"/>
      <c r="AN149" s="40"/>
      <c r="AO149" s="40"/>
      <c r="AP149" s="40"/>
      <c r="AQ149" s="40"/>
      <c r="AR149" s="40"/>
      <c r="AS149" s="40"/>
      <c r="AT149" s="40"/>
      <c r="AU149" s="40"/>
      <c r="AV149" s="313">
        <v>7.5275787999999996E-2</v>
      </c>
      <c r="AW149" s="317"/>
      <c r="AX149" s="317"/>
      <c r="AY149" s="313">
        <v>13.79832</v>
      </c>
      <c r="AZ149" s="40"/>
      <c r="BA149" s="40"/>
      <c r="BB149" s="40"/>
      <c r="BC149" s="40">
        <v>1.7004556E-3</v>
      </c>
      <c r="BD149" s="40">
        <v>5.7951239999999996E-6</v>
      </c>
      <c r="BE149" s="40">
        <v>1.3837334999999999E-2</v>
      </c>
      <c r="BF149" s="40">
        <v>9.0259541999999994E-5</v>
      </c>
      <c r="BG149" s="40"/>
      <c r="BH149" s="40"/>
      <c r="BI149" s="40"/>
      <c r="BJ149" s="40"/>
      <c r="BK149" s="40"/>
      <c r="BL149" s="62">
        <v>0</v>
      </c>
      <c r="BM149" s="275">
        <v>2</v>
      </c>
      <c r="BN149" s="62">
        <v>0</v>
      </c>
      <c r="BO149" s="33" t="s">
        <v>485</v>
      </c>
    </row>
    <row r="150" spans="1:67">
      <c r="A150" s="33" t="str">
        <f>Database_Productkaarten[[#This Row],[Product]]&amp;", "&amp;Database_Productkaarten[[#This Row],[Levensfase]]</f>
        <v>DZOAB - PCR 1.0, B1</v>
      </c>
      <c r="B150" s="33" t="s">
        <v>497</v>
      </c>
      <c r="C150" s="33" t="s">
        <v>483</v>
      </c>
      <c r="D150" s="33" t="s">
        <v>484</v>
      </c>
      <c r="E150" s="33" t="s">
        <v>378</v>
      </c>
      <c r="F150" s="33" t="s">
        <v>80</v>
      </c>
      <c r="L150" s="33">
        <v>2</v>
      </c>
      <c r="M150" s="269">
        <v>1</v>
      </c>
      <c r="N150" s="41">
        <v>0.63803195999999995</v>
      </c>
      <c r="O150" s="33">
        <v>14</v>
      </c>
      <c r="P150" s="40">
        <v>0</v>
      </c>
      <c r="Q150" s="40">
        <v>0</v>
      </c>
      <c r="R150" s="40">
        <v>0</v>
      </c>
      <c r="S150" s="40">
        <v>0</v>
      </c>
      <c r="T150" s="40">
        <v>0</v>
      </c>
      <c r="U150" s="40">
        <v>0</v>
      </c>
      <c r="V150" s="40">
        <v>0</v>
      </c>
      <c r="W150" s="40">
        <v>2.2159960000000001</v>
      </c>
      <c r="X150" s="40">
        <v>3.1435906</v>
      </c>
      <c r="Y150" s="40">
        <v>3441.1720999999998</v>
      </c>
      <c r="Z150" s="40">
        <v>2.7899999999999999E-3</v>
      </c>
      <c r="AA150" s="40"/>
      <c r="AB150" s="40"/>
      <c r="AC150" s="40"/>
      <c r="AD150" s="40"/>
      <c r="AE150" s="40"/>
      <c r="AF150" s="40"/>
      <c r="AG150" s="40"/>
      <c r="AH150" s="40"/>
      <c r="AI150" s="40"/>
      <c r="AJ150" s="40"/>
      <c r="AK150" s="40"/>
      <c r="AL150" s="40"/>
      <c r="AM150" s="40"/>
      <c r="AN150" s="40"/>
      <c r="AO150" s="40"/>
      <c r="AP150" s="40"/>
      <c r="AQ150" s="40"/>
      <c r="AR150" s="40"/>
      <c r="AS150" s="40"/>
      <c r="AT150" s="40"/>
      <c r="AU150" s="40"/>
      <c r="AV150" s="313">
        <v>0</v>
      </c>
      <c r="AW150" s="317"/>
      <c r="AX150" s="317"/>
      <c r="AY150" s="313">
        <v>0</v>
      </c>
      <c r="AZ150" s="40"/>
      <c r="BA150" s="40"/>
      <c r="BB150" s="40"/>
      <c r="BC150" s="40">
        <v>0</v>
      </c>
      <c r="BD150" s="40">
        <v>0</v>
      </c>
      <c r="BE150" s="40">
        <v>0</v>
      </c>
      <c r="BF150" s="40">
        <v>0</v>
      </c>
      <c r="BG150" s="40"/>
      <c r="BH150" s="40"/>
      <c r="BI150" s="40"/>
      <c r="BJ150" s="40"/>
      <c r="BK150" s="40"/>
      <c r="BL150" s="62">
        <v>0</v>
      </c>
      <c r="BM150" s="275">
        <v>2</v>
      </c>
      <c r="BN150" s="62">
        <v>0</v>
      </c>
      <c r="BO150" s="33" t="s">
        <v>485</v>
      </c>
    </row>
    <row r="151" spans="1:67">
      <c r="A151" s="33" t="str">
        <f>Database_Productkaarten[[#This Row],[Product]]&amp;", "&amp;Database_Productkaarten[[#This Row],[Levensfase]]</f>
        <v>DZOAB - PCR 1.0, C1</v>
      </c>
      <c r="B151" s="33" t="s">
        <v>497</v>
      </c>
      <c r="C151" s="33" t="s">
        <v>483</v>
      </c>
      <c r="D151" s="33" t="s">
        <v>484</v>
      </c>
      <c r="E151" s="33" t="s">
        <v>378</v>
      </c>
      <c r="F151" s="33" t="s">
        <v>83</v>
      </c>
      <c r="L151" s="33">
        <v>2</v>
      </c>
      <c r="M151" s="269">
        <v>1</v>
      </c>
      <c r="N151" s="41">
        <v>0.17755156</v>
      </c>
      <c r="O151" s="33">
        <v>14</v>
      </c>
      <c r="P151" s="40">
        <v>4.7748738999999998E-7</v>
      </c>
      <c r="Q151" s="40">
        <v>9.8022859000000007E-3</v>
      </c>
      <c r="R151" s="40">
        <v>1.8936436000000001</v>
      </c>
      <c r="S151" s="40">
        <v>2.5669458999999998E-7</v>
      </c>
      <c r="T151" s="40">
        <v>6.2586746000000001E-4</v>
      </c>
      <c r="U151" s="40">
        <v>5.5323285000000002E-3</v>
      </c>
      <c r="V151" s="40">
        <v>1.1650454999999999E-3</v>
      </c>
      <c r="W151" s="40">
        <v>0.49739214999999998</v>
      </c>
      <c r="X151" s="40">
        <v>7.1092020000000002E-3</v>
      </c>
      <c r="Y151" s="40">
        <v>23.975687000000001</v>
      </c>
      <c r="Z151" s="40">
        <v>8.4398584999999997E-4</v>
      </c>
      <c r="AA151" s="40"/>
      <c r="AB151" s="40"/>
      <c r="AC151" s="40"/>
      <c r="AD151" s="40"/>
      <c r="AE151" s="40"/>
      <c r="AF151" s="40"/>
      <c r="AG151" s="40"/>
      <c r="AH151" s="40"/>
      <c r="AI151" s="40"/>
      <c r="AJ151" s="40"/>
      <c r="AK151" s="40"/>
      <c r="AL151" s="40"/>
      <c r="AM151" s="40"/>
      <c r="AN151" s="40"/>
      <c r="AO151" s="40"/>
      <c r="AP151" s="40"/>
      <c r="AQ151" s="40"/>
      <c r="AR151" s="40"/>
      <c r="AS151" s="40"/>
      <c r="AT151" s="40"/>
      <c r="AU151" s="40"/>
      <c r="AV151" s="313">
        <v>0.11988366</v>
      </c>
      <c r="AW151" s="317"/>
      <c r="AX151" s="317"/>
      <c r="AY151" s="313">
        <v>21.975102</v>
      </c>
      <c r="AZ151" s="40"/>
      <c r="BA151" s="40"/>
      <c r="BB151" s="40"/>
      <c r="BC151" s="40">
        <v>2.7081330000000002E-3</v>
      </c>
      <c r="BD151" s="40">
        <v>9.2292716000000002E-6</v>
      </c>
      <c r="BE151" s="40">
        <v>2.2037237000000001E-2</v>
      </c>
      <c r="BF151" s="40">
        <v>1.4374668000000001E-4</v>
      </c>
      <c r="BG151" s="40"/>
      <c r="BH151" s="40"/>
      <c r="BI151" s="40"/>
      <c r="BJ151" s="40"/>
      <c r="BK151" s="40"/>
      <c r="BL151" s="62">
        <v>0</v>
      </c>
      <c r="BM151" s="275">
        <v>2</v>
      </c>
      <c r="BN151" s="62">
        <v>0</v>
      </c>
      <c r="BO151" s="33" t="s">
        <v>485</v>
      </c>
    </row>
    <row r="152" spans="1:67">
      <c r="A152" s="33" t="str">
        <f>Database_Productkaarten[[#This Row],[Product]]&amp;", "&amp;Database_Productkaarten[[#This Row],[Levensfase]]</f>
        <v>DZOAB - PCR 1.0, C2</v>
      </c>
      <c r="B152" s="33" t="s">
        <v>497</v>
      </c>
      <c r="C152" s="33" t="s">
        <v>483</v>
      </c>
      <c r="D152" s="33" t="s">
        <v>484</v>
      </c>
      <c r="E152" s="33" t="s">
        <v>378</v>
      </c>
      <c r="F152" s="33" t="s">
        <v>84</v>
      </c>
      <c r="L152" s="33">
        <v>2</v>
      </c>
      <c r="M152" s="269">
        <v>1</v>
      </c>
      <c r="N152" s="41">
        <v>0.62892669999999995</v>
      </c>
      <c r="O152" s="33">
        <v>14</v>
      </c>
      <c r="P152" s="40">
        <v>1.0978337000000001E-5</v>
      </c>
      <c r="Q152" s="40">
        <v>4.3183727999999998E-2</v>
      </c>
      <c r="R152" s="40">
        <v>5.7021305</v>
      </c>
      <c r="S152" s="40">
        <v>1.1335356E-6</v>
      </c>
      <c r="T152" s="40">
        <v>3.5752850000000001E-3</v>
      </c>
      <c r="U152" s="40">
        <v>1.9151161E-2</v>
      </c>
      <c r="V152" s="40">
        <v>3.8023555000000001E-3</v>
      </c>
      <c r="W152" s="40">
        <v>2.0049337999999999</v>
      </c>
      <c r="X152" s="40">
        <v>0.12926487</v>
      </c>
      <c r="Y152" s="40">
        <v>338.63108999999997</v>
      </c>
      <c r="Z152" s="40">
        <v>1.1891815999999999E-2</v>
      </c>
      <c r="AA152" s="40"/>
      <c r="AB152" s="40"/>
      <c r="AC152" s="40"/>
      <c r="AD152" s="40"/>
      <c r="AE152" s="40"/>
      <c r="AF152" s="40"/>
      <c r="AG152" s="40"/>
      <c r="AH152" s="40"/>
      <c r="AI152" s="40"/>
      <c r="AJ152" s="40"/>
      <c r="AK152" s="40"/>
      <c r="AL152" s="40"/>
      <c r="AM152" s="40"/>
      <c r="AN152" s="40"/>
      <c r="AO152" s="40"/>
      <c r="AP152" s="40"/>
      <c r="AQ152" s="40"/>
      <c r="AR152" s="40"/>
      <c r="AS152" s="40"/>
      <c r="AT152" s="40"/>
      <c r="AU152" s="40"/>
      <c r="AV152" s="313">
        <v>0</v>
      </c>
      <c r="AW152" s="317"/>
      <c r="AX152" s="317"/>
      <c r="AY152" s="313">
        <v>0</v>
      </c>
      <c r="AZ152" s="40"/>
      <c r="BA152" s="40"/>
      <c r="BB152" s="40"/>
      <c r="BC152" s="40">
        <v>0</v>
      </c>
      <c r="BD152" s="40">
        <v>0</v>
      </c>
      <c r="BE152" s="40">
        <v>0</v>
      </c>
      <c r="BF152" s="40">
        <v>0</v>
      </c>
      <c r="BG152" s="40"/>
      <c r="BH152" s="40"/>
      <c r="BI152" s="40"/>
      <c r="BJ152" s="40"/>
      <c r="BK152" s="40"/>
      <c r="BL152" s="62">
        <v>0</v>
      </c>
      <c r="BM152" s="275">
        <v>2</v>
      </c>
      <c r="BN152" s="62">
        <v>0</v>
      </c>
      <c r="BO152" s="33" t="s">
        <v>485</v>
      </c>
    </row>
    <row r="153" spans="1:67">
      <c r="A153" s="33" t="str">
        <f>Database_Productkaarten[[#This Row],[Product]]&amp;", "&amp;Database_Productkaarten[[#This Row],[Levensfase]]</f>
        <v>DZOAB - PCR 1.0, C3</v>
      </c>
      <c r="B153" s="33" t="s">
        <v>497</v>
      </c>
      <c r="C153" s="33" t="s">
        <v>483</v>
      </c>
      <c r="D153" s="33" t="s">
        <v>484</v>
      </c>
      <c r="E153" s="33" t="s">
        <v>378</v>
      </c>
      <c r="F153" s="33" t="s">
        <v>85</v>
      </c>
      <c r="L153" s="33">
        <v>2</v>
      </c>
      <c r="M153" s="269">
        <v>1</v>
      </c>
      <c r="N153" s="41">
        <v>0.16120214999999999</v>
      </c>
      <c r="O153" s="33">
        <v>14</v>
      </c>
      <c r="P153" s="40">
        <v>4.1291555000000003E-7</v>
      </c>
      <c r="Q153" s="40">
        <v>8.4766977000000007E-3</v>
      </c>
      <c r="R153" s="40">
        <v>1.6375614000000001</v>
      </c>
      <c r="S153" s="40">
        <v>2.2198111999999999E-7</v>
      </c>
      <c r="T153" s="40">
        <v>5.9777666000000002E-4</v>
      </c>
      <c r="U153" s="40">
        <v>5.9352911000000001E-3</v>
      </c>
      <c r="V153" s="40">
        <v>1.3067828999999999E-3</v>
      </c>
      <c r="W153" s="40">
        <v>0.43290835999999999</v>
      </c>
      <c r="X153" s="40">
        <v>6.1478063999999997E-3</v>
      </c>
      <c r="Y153" s="40">
        <v>20.733394000000001</v>
      </c>
      <c r="Z153" s="40">
        <v>7.2985148000000004E-4</v>
      </c>
      <c r="AA153" s="40"/>
      <c r="AB153" s="40"/>
      <c r="AC153" s="40"/>
      <c r="AD153" s="40"/>
      <c r="AE153" s="40"/>
      <c r="AF153" s="40"/>
      <c r="AG153" s="40"/>
      <c r="AH153" s="40"/>
      <c r="AI153" s="40"/>
      <c r="AJ153" s="40"/>
      <c r="AK153" s="40"/>
      <c r="AL153" s="40"/>
      <c r="AM153" s="40"/>
      <c r="AN153" s="40"/>
      <c r="AO153" s="40"/>
      <c r="AP153" s="40"/>
      <c r="AQ153" s="40"/>
      <c r="AR153" s="40"/>
      <c r="AS153" s="40"/>
      <c r="AT153" s="40"/>
      <c r="AU153" s="40"/>
      <c r="AV153" s="313">
        <v>0.10367149000000001</v>
      </c>
      <c r="AW153" s="317"/>
      <c r="AX153" s="317"/>
      <c r="AY153" s="313">
        <v>19.003353000000001</v>
      </c>
      <c r="AZ153" s="40"/>
      <c r="BA153" s="40"/>
      <c r="BB153" s="40"/>
      <c r="BC153" s="40">
        <v>2.3419052000000001E-3</v>
      </c>
      <c r="BD153" s="40">
        <v>7.9811735999999999E-6</v>
      </c>
      <c r="BE153" s="40">
        <v>1.9057085000000001E-2</v>
      </c>
      <c r="BF153" s="40">
        <v>1.2430745000000001E-4</v>
      </c>
      <c r="BG153" s="40"/>
      <c r="BH153" s="40"/>
      <c r="BI153" s="40"/>
      <c r="BJ153" s="40"/>
      <c r="BK153" s="40"/>
      <c r="BL153" s="62">
        <v>0</v>
      </c>
      <c r="BM153" s="275">
        <v>2</v>
      </c>
      <c r="BN153" s="62">
        <v>0</v>
      </c>
      <c r="BO153" s="33" t="s">
        <v>485</v>
      </c>
    </row>
    <row r="154" spans="1:67">
      <c r="A154" s="33" t="str">
        <f>Database_Productkaarten[[#This Row],[Product]]&amp;", "&amp;Database_Productkaarten[[#This Row],[Levensfase]]</f>
        <v>DZOAB - PCR 1.0, D</v>
      </c>
      <c r="B154" s="33" t="str">
        <f>B155</f>
        <v>DZOAB - PCR 1.0</v>
      </c>
      <c r="C154" s="33" t="str">
        <f>C155</f>
        <v>Bitumineuze verhardingen</v>
      </c>
      <c r="D154" s="33" t="str">
        <f>D155</f>
        <v>ZOAB</v>
      </c>
      <c r="E154" s="33" t="str">
        <f>E155</f>
        <v>Ton</v>
      </c>
      <c r="F154" s="33" t="s">
        <v>89</v>
      </c>
      <c r="L154" s="33">
        <f>L155</f>
        <v>2</v>
      </c>
      <c r="M154" s="45">
        <f>M155</f>
        <v>1</v>
      </c>
      <c r="N154" s="41">
        <f>SUM(N155:N156)</f>
        <v>-6.1041373135364054</v>
      </c>
      <c r="O154" s="33">
        <f>O155</f>
        <v>14</v>
      </c>
      <c r="P154" s="40">
        <f>SUM(P155:P156)</f>
        <v>-6.9198289255564349E-5</v>
      </c>
      <c r="Q154" s="40">
        <f>SUM(Q155:Q156)</f>
        <v>-0.74416273601494409</v>
      </c>
      <c r="R154" s="40">
        <f>SUM(R155:R156)</f>
        <v>-47.640691949576663</v>
      </c>
      <c r="S154" s="40">
        <f t="shared" ref="S154:BK154" si="26">SUM(S155:S156)</f>
        <v>-4.4078543254518226E-6</v>
      </c>
      <c r="T154" s="40">
        <f t="shared" si="26"/>
        <v>-8.0622303753707325E-2</v>
      </c>
      <c r="U154" s="40">
        <f t="shared" si="26"/>
        <v>-0.36567265139024108</v>
      </c>
      <c r="V154" s="40">
        <f t="shared" si="26"/>
        <v>-3.928035225292742E-2</v>
      </c>
      <c r="W154" s="40">
        <f t="shared" si="26"/>
        <v>-12.216410752530161</v>
      </c>
      <c r="X154" s="40">
        <f t="shared" si="26"/>
        <v>-1.1102334753155243</v>
      </c>
      <c r="Y154" s="40">
        <f t="shared" si="26"/>
        <v>-4831.1313881550341</v>
      </c>
      <c r="Z154" s="40">
        <f t="shared" si="26"/>
        <v>-0.15883689942391943</v>
      </c>
      <c r="AA154" s="40">
        <f t="shared" si="26"/>
        <v>0</v>
      </c>
      <c r="AB154" s="40">
        <f t="shared" si="26"/>
        <v>0</v>
      </c>
      <c r="AC154" s="40">
        <f t="shared" si="26"/>
        <v>0</v>
      </c>
      <c r="AD154" s="40">
        <f t="shared" si="26"/>
        <v>0</v>
      </c>
      <c r="AE154" s="40">
        <f t="shared" si="26"/>
        <v>0</v>
      </c>
      <c r="AF154" s="40">
        <f t="shared" si="26"/>
        <v>0</v>
      </c>
      <c r="AG154" s="40">
        <f t="shared" si="26"/>
        <v>0</v>
      </c>
      <c r="AH154" s="40">
        <f t="shared" si="26"/>
        <v>0</v>
      </c>
      <c r="AI154" s="40">
        <f t="shared" si="26"/>
        <v>0</v>
      </c>
      <c r="AJ154" s="40">
        <f t="shared" si="26"/>
        <v>0</v>
      </c>
      <c r="AK154" s="40">
        <f t="shared" si="26"/>
        <v>0</v>
      </c>
      <c r="AL154" s="40">
        <f t="shared" si="26"/>
        <v>0</v>
      </c>
      <c r="AM154" s="40">
        <f t="shared" si="26"/>
        <v>0</v>
      </c>
      <c r="AN154" s="40">
        <f t="shared" si="26"/>
        <v>0</v>
      </c>
      <c r="AO154" s="40">
        <f t="shared" si="26"/>
        <v>0</v>
      </c>
      <c r="AP154" s="40">
        <f t="shared" si="26"/>
        <v>0</v>
      </c>
      <c r="AQ154" s="40">
        <f t="shared" si="26"/>
        <v>0</v>
      </c>
      <c r="AR154" s="40">
        <f t="shared" si="26"/>
        <v>0</v>
      </c>
      <c r="AS154" s="40">
        <f t="shared" si="26"/>
        <v>0</v>
      </c>
      <c r="AT154" s="40">
        <f t="shared" si="26"/>
        <v>0</v>
      </c>
      <c r="AU154" s="40">
        <f t="shared" si="26"/>
        <v>0</v>
      </c>
      <c r="AV154" s="317">
        <f t="shared" si="26"/>
        <v>-17.379118073193006</v>
      </c>
      <c r="AW154" s="317">
        <f t="shared" si="26"/>
        <v>0</v>
      </c>
      <c r="AX154" s="317">
        <f t="shared" si="26"/>
        <v>0</v>
      </c>
      <c r="AY154" s="317">
        <f t="shared" si="26"/>
        <v>-1676.7253683942658</v>
      </c>
      <c r="AZ154" s="40">
        <f t="shared" si="26"/>
        <v>0</v>
      </c>
      <c r="BA154" s="40">
        <f t="shared" si="26"/>
        <v>0</v>
      </c>
      <c r="BB154" s="40">
        <f t="shared" si="26"/>
        <v>0</v>
      </c>
      <c r="BC154" s="40">
        <f t="shared" si="26"/>
        <v>-15.326545709957616</v>
      </c>
      <c r="BD154" s="40">
        <f t="shared" si="26"/>
        <v>-6.2324531347153402E-4</v>
      </c>
      <c r="BE154" s="40">
        <f t="shared" si="26"/>
        <v>-4.5827459015430705</v>
      </c>
      <c r="BF154" s="40">
        <f t="shared" si="26"/>
        <v>-1.9874515649597599E-3</v>
      </c>
      <c r="BG154" s="40">
        <f t="shared" si="26"/>
        <v>0</v>
      </c>
      <c r="BH154" s="40">
        <f t="shared" si="26"/>
        <v>0</v>
      </c>
      <c r="BI154" s="40">
        <f t="shared" si="26"/>
        <v>0</v>
      </c>
      <c r="BJ154" s="40">
        <f t="shared" si="26"/>
        <v>0</v>
      </c>
      <c r="BK154" s="40">
        <f t="shared" si="26"/>
        <v>0</v>
      </c>
      <c r="BL154" s="62">
        <f>BL155</f>
        <v>0</v>
      </c>
      <c r="BM154" s="275">
        <f>BM155</f>
        <v>2</v>
      </c>
      <c r="BN154" s="62">
        <v>0</v>
      </c>
      <c r="BO154" s="33" t="str">
        <f>BO155</f>
        <v>TNO 2020 R10987 LCA Achtergrondrapport voor brancherepresentatieve Nederlandse asfaltmengsels 2020</v>
      </c>
    </row>
    <row r="155" spans="1:67">
      <c r="A155" s="33" t="str">
        <f>Database_Productkaarten[[#This Row],[Product]]&amp;", "&amp;Database_Productkaarten[[#This Row],[Levensfase]]</f>
        <v>DZOAB - PCR 1.0, D1</v>
      </c>
      <c r="B155" s="33" t="s">
        <v>497</v>
      </c>
      <c r="C155" s="33" t="s">
        <v>483</v>
      </c>
      <c r="D155" s="33" t="s">
        <v>484</v>
      </c>
      <c r="E155" s="33" t="s">
        <v>378</v>
      </c>
      <c r="F155" s="33" t="s">
        <v>87</v>
      </c>
      <c r="L155" s="33">
        <v>2</v>
      </c>
      <c r="M155" s="269">
        <v>1</v>
      </c>
      <c r="N155" s="41">
        <v>-4.3928511326875608</v>
      </c>
      <c r="O155" s="33">
        <v>14</v>
      </c>
      <c r="P155" s="40">
        <v>-5.9035884223999989E-5</v>
      </c>
      <c r="Q155" s="40">
        <v>-0.67236215284150003</v>
      </c>
      <c r="R155" s="40">
        <v>-37.386534861301762</v>
      </c>
      <c r="S155" s="40">
        <v>-2.70575998195E-6</v>
      </c>
      <c r="T155" s="40">
        <v>-7.1556768856720007E-2</v>
      </c>
      <c r="U155" s="40">
        <v>-0.21661813504374003</v>
      </c>
      <c r="V155" s="40">
        <v>-2.3106383167040001E-2</v>
      </c>
      <c r="W155" s="40">
        <v>-7.9329717302818796</v>
      </c>
      <c r="X155" s="40">
        <v>-1.0193018342857001</v>
      </c>
      <c r="Y155" s="40">
        <v>-4450.9643345771137</v>
      </c>
      <c r="Z155" s="40">
        <v>-0.14442679265090003</v>
      </c>
      <c r="AA155" s="40"/>
      <c r="AB155" s="40"/>
      <c r="AC155" s="40"/>
      <c r="AD155" s="40"/>
      <c r="AE155" s="40"/>
      <c r="AF155" s="40"/>
      <c r="AG155" s="40"/>
      <c r="AH155" s="40"/>
      <c r="AI155" s="40"/>
      <c r="AJ155" s="40"/>
      <c r="AK155" s="40"/>
      <c r="AL155" s="40"/>
      <c r="AM155" s="40"/>
      <c r="AN155" s="40"/>
      <c r="AO155" s="40"/>
      <c r="AP155" s="40"/>
      <c r="AQ155" s="40"/>
      <c r="AR155" s="40"/>
      <c r="AS155" s="40"/>
      <c r="AT155" s="40"/>
      <c r="AU155" s="40"/>
      <c r="AV155" s="313">
        <v>-14.503586248814361</v>
      </c>
      <c r="AW155" s="317"/>
      <c r="AX155" s="317"/>
      <c r="AY155" s="313">
        <v>-1517.6305386413344</v>
      </c>
      <c r="AZ155" s="40"/>
      <c r="BA155" s="40"/>
      <c r="BB155" s="40"/>
      <c r="BC155" s="40">
        <v>-15.297801516743142</v>
      </c>
      <c r="BD155" s="40">
        <v>-5.2938330076500006E-4</v>
      </c>
      <c r="BE155" s="40">
        <v>-1.7122863009979201</v>
      </c>
      <c r="BF155" s="40">
        <v>-9.9900679979000005E-4</v>
      </c>
      <c r="BG155" s="40"/>
      <c r="BH155" s="40"/>
      <c r="BI155" s="40"/>
      <c r="BJ155" s="40"/>
      <c r="BK155" s="40"/>
      <c r="BL155" s="62">
        <v>0</v>
      </c>
      <c r="BM155" s="275">
        <v>2</v>
      </c>
      <c r="BN155" s="62">
        <v>0</v>
      </c>
      <c r="BO155" s="33" t="s">
        <v>485</v>
      </c>
    </row>
    <row r="156" spans="1:67">
      <c r="A156" s="33" t="str">
        <f>Database_Productkaarten[[#This Row],[Product]]&amp;", "&amp;Database_Productkaarten[[#This Row],[Levensfase]]</f>
        <v>DZOAB - PCR 1.0, D2</v>
      </c>
      <c r="B156" s="33" t="s">
        <v>497</v>
      </c>
      <c r="C156" s="33" t="s">
        <v>483</v>
      </c>
      <c r="D156" s="33" t="s">
        <v>484</v>
      </c>
      <c r="E156" s="33" t="s">
        <v>378</v>
      </c>
      <c r="F156" s="33" t="s">
        <v>88</v>
      </c>
      <c r="L156" s="33">
        <v>2</v>
      </c>
      <c r="M156" s="269">
        <v>1</v>
      </c>
      <c r="N156" s="41">
        <v>-1.7112861808488449</v>
      </c>
      <c r="O156" s="33">
        <v>14</v>
      </c>
      <c r="P156" s="40">
        <v>-1.0162405031564366E-5</v>
      </c>
      <c r="Q156" s="40">
        <v>-7.1800583173444094E-2</v>
      </c>
      <c r="R156" s="40">
        <v>-10.2541570882749</v>
      </c>
      <c r="S156" s="40">
        <v>-1.7020943435018227E-6</v>
      </c>
      <c r="T156" s="40">
        <v>-9.0655348969873231E-3</v>
      </c>
      <c r="U156" s="40">
        <v>-0.14905451634650105</v>
      </c>
      <c r="V156" s="40">
        <v>-1.6173969085887422E-2</v>
      </c>
      <c r="W156" s="40">
        <v>-4.283439022248281</v>
      </c>
      <c r="X156" s="40">
        <v>-9.0931641029824151E-2</v>
      </c>
      <c r="Y156" s="40">
        <v>-380.16705357792011</v>
      </c>
      <c r="Z156" s="40">
        <v>-1.4410106773019403E-2</v>
      </c>
      <c r="AA156" s="40"/>
      <c r="AB156" s="40"/>
      <c r="AC156" s="40"/>
      <c r="AD156" s="40"/>
      <c r="AE156" s="40"/>
      <c r="AF156" s="40"/>
      <c r="AG156" s="40"/>
      <c r="AH156" s="40"/>
      <c r="AI156" s="40"/>
      <c r="AJ156" s="40"/>
      <c r="AK156" s="40"/>
      <c r="AL156" s="40"/>
      <c r="AM156" s="40"/>
      <c r="AN156" s="40"/>
      <c r="AO156" s="40"/>
      <c r="AP156" s="40"/>
      <c r="AQ156" s="40"/>
      <c r="AR156" s="40"/>
      <c r="AS156" s="40"/>
      <c r="AT156" s="40"/>
      <c r="AU156" s="40"/>
      <c r="AV156" s="313">
        <v>-2.8755318243786445</v>
      </c>
      <c r="AW156" s="317"/>
      <c r="AX156" s="317"/>
      <c r="AY156" s="313">
        <v>-159.0948297529315</v>
      </c>
      <c r="AZ156" s="40"/>
      <c r="BA156" s="40"/>
      <c r="BB156" s="40"/>
      <c r="BC156" s="40">
        <v>-2.8744193214472656E-2</v>
      </c>
      <c r="BD156" s="40">
        <v>-9.3862012706533962E-5</v>
      </c>
      <c r="BE156" s="40">
        <v>-2.8704596005451499</v>
      </c>
      <c r="BF156" s="40">
        <v>-9.8844476516975958E-4</v>
      </c>
      <c r="BG156" s="40"/>
      <c r="BH156" s="40"/>
      <c r="BI156" s="40"/>
      <c r="BJ156" s="40"/>
      <c r="BK156" s="40"/>
      <c r="BL156" s="62">
        <v>0</v>
      </c>
      <c r="BM156" s="275">
        <v>2</v>
      </c>
      <c r="BN156" s="62">
        <v>0</v>
      </c>
      <c r="BO156" s="33" t="s">
        <v>485</v>
      </c>
    </row>
    <row r="157" spans="1:67">
      <c r="A157" s="33" t="str">
        <f>Database_Productkaarten[[#This Row],[Product]]&amp;", "&amp;Database_Productkaarten[[#This Row],[Levensfase]]</f>
        <v>DZOAB 30% PR - PCR 1.0, Totaal</v>
      </c>
      <c r="B157" s="33" t="s">
        <v>498</v>
      </c>
      <c r="C157" s="33" t="s">
        <v>483</v>
      </c>
      <c r="D157" s="33" t="s">
        <v>484</v>
      </c>
      <c r="E157" s="33" t="s">
        <v>378</v>
      </c>
      <c r="F157" s="33" t="s">
        <v>90</v>
      </c>
      <c r="L157" s="33">
        <v>2</v>
      </c>
      <c r="M157" s="269">
        <v>1</v>
      </c>
      <c r="N157" s="41">
        <v>7.6116890528607675</v>
      </c>
      <c r="O157" s="33">
        <v>14</v>
      </c>
      <c r="P157" s="40">
        <v>6.3772245834857854E-5</v>
      </c>
      <c r="Q157" s="40">
        <v>0.83715269361172562</v>
      </c>
      <c r="R157" s="40">
        <v>64.495258896554077</v>
      </c>
      <c r="S157" s="40">
        <v>7.8403067403585563E-6</v>
      </c>
      <c r="T157" s="40">
        <v>7.0819494731252153E-2</v>
      </c>
      <c r="U157" s="40">
        <v>0.28832641084865462</v>
      </c>
      <c r="V157" s="40">
        <v>3.5664299797831742E-2</v>
      </c>
      <c r="W157" s="40">
        <v>18.952149798518555</v>
      </c>
      <c r="X157" s="40">
        <v>4.285474752326274</v>
      </c>
      <c r="Y157" s="40">
        <v>7927.2876037347814</v>
      </c>
      <c r="Z157" s="40">
        <v>0.16372883093965965</v>
      </c>
      <c r="AA157" s="40"/>
      <c r="AB157" s="40"/>
      <c r="AC157" s="40"/>
      <c r="AD157" s="40"/>
      <c r="AE157" s="40"/>
      <c r="AF157" s="40"/>
      <c r="AG157" s="40"/>
      <c r="AH157" s="40"/>
      <c r="AI157" s="40"/>
      <c r="AJ157" s="40"/>
      <c r="AK157" s="40"/>
      <c r="AL157" s="40"/>
      <c r="AM157" s="40"/>
      <c r="AN157" s="40"/>
      <c r="AO157" s="40"/>
      <c r="AP157" s="40"/>
      <c r="AQ157" s="40"/>
      <c r="AR157" s="40"/>
      <c r="AS157" s="40"/>
      <c r="AT157" s="40"/>
      <c r="AU157" s="40"/>
      <c r="AV157" s="313">
        <v>21.676841472205762</v>
      </c>
      <c r="AW157" s="317"/>
      <c r="AX157" s="317"/>
      <c r="AY157" s="313">
        <v>1653.8121510642011</v>
      </c>
      <c r="AZ157" s="40"/>
      <c r="BA157" s="40"/>
      <c r="BB157" s="40"/>
      <c r="BC157" s="40">
        <v>12.24761128175334</v>
      </c>
      <c r="BD157" s="40">
        <v>9.5115711328277845E-4</v>
      </c>
      <c r="BE157" s="40">
        <v>2.6153022220397606</v>
      </c>
      <c r="BF157" s="40">
        <v>1.5954936252242128E-3</v>
      </c>
      <c r="BG157" s="40"/>
      <c r="BH157" s="40"/>
      <c r="BI157" s="40"/>
      <c r="BJ157" s="40"/>
      <c r="BK157" s="40"/>
      <c r="BL157" s="62">
        <v>0.3</v>
      </c>
      <c r="BM157" s="275">
        <v>2</v>
      </c>
      <c r="BN157" s="62">
        <v>0</v>
      </c>
      <c r="BO157" s="33" t="s">
        <v>485</v>
      </c>
    </row>
    <row r="158" spans="1:67">
      <c r="A158" s="33" t="str">
        <f>Database_Productkaarten[[#This Row],[Product]]&amp;", "&amp;Database_Productkaarten[[#This Row],[Levensfase]]</f>
        <v>DZOAB 30% PR - PCR 1.0, A1</v>
      </c>
      <c r="B158" s="33" t="s">
        <v>498</v>
      </c>
      <c r="C158" s="33" t="s">
        <v>483</v>
      </c>
      <c r="D158" s="33" t="s">
        <v>484</v>
      </c>
      <c r="E158" s="33" t="s">
        <v>378</v>
      </c>
      <c r="F158" s="33" t="s">
        <v>74</v>
      </c>
      <c r="L158" s="33">
        <v>2</v>
      </c>
      <c r="M158" s="269">
        <v>1</v>
      </c>
      <c r="N158" s="41">
        <v>5.9953003010000003</v>
      </c>
      <c r="O158" s="33">
        <v>14</v>
      </c>
      <c r="P158" s="40">
        <v>7.0741927360000009E-5</v>
      </c>
      <c r="Q158" s="40">
        <v>1.0024814426299999</v>
      </c>
      <c r="R158" s="40">
        <v>47.346139863999994</v>
      </c>
      <c r="S158" s="40">
        <v>3.5713130030000007E-6</v>
      </c>
      <c r="T158" s="40">
        <v>0.10711274079200001</v>
      </c>
      <c r="U158" s="40">
        <v>0.30000997935000001</v>
      </c>
      <c r="V158" s="40">
        <v>2.8988588860000004E-2</v>
      </c>
      <c r="W158" s="40">
        <v>11.720521698900001</v>
      </c>
      <c r="X158" s="40">
        <v>1.5558324031099999</v>
      </c>
      <c r="Y158" s="40">
        <v>6781.6374115874005</v>
      </c>
      <c r="Z158" s="40">
        <v>0.21044165359</v>
      </c>
      <c r="AA158" s="40"/>
      <c r="AB158" s="40"/>
      <c r="AC158" s="40"/>
      <c r="AD158" s="40"/>
      <c r="AE158" s="40"/>
      <c r="AF158" s="40"/>
      <c r="AG158" s="40"/>
      <c r="AH158" s="40"/>
      <c r="AI158" s="40"/>
      <c r="AJ158" s="40"/>
      <c r="AK158" s="40"/>
      <c r="AL158" s="40"/>
      <c r="AM158" s="40"/>
      <c r="AN158" s="40"/>
      <c r="AO158" s="40"/>
      <c r="AP158" s="40"/>
      <c r="AQ158" s="40"/>
      <c r="AR158" s="40"/>
      <c r="AS158" s="40"/>
      <c r="AT158" s="40"/>
      <c r="AU158" s="40"/>
      <c r="AV158" s="313">
        <v>23.422585168900003</v>
      </c>
      <c r="AW158" s="317"/>
      <c r="AX158" s="317"/>
      <c r="AY158" s="313">
        <v>2263.6780057497999</v>
      </c>
      <c r="AZ158" s="40"/>
      <c r="BA158" s="40"/>
      <c r="BB158" s="40"/>
      <c r="BC158" s="40">
        <v>23.57511491627</v>
      </c>
      <c r="BD158" s="40">
        <v>7.6034534609999995E-4</v>
      </c>
      <c r="BE158" s="40">
        <v>2.1929203620000002</v>
      </c>
      <c r="BF158" s="40">
        <v>1.0922466525999999E-3</v>
      </c>
      <c r="BG158" s="40"/>
      <c r="BH158" s="40"/>
      <c r="BI158" s="40"/>
      <c r="BJ158" s="40"/>
      <c r="BK158" s="40"/>
      <c r="BL158" s="62">
        <v>0.3</v>
      </c>
      <c r="BM158" s="275">
        <v>2</v>
      </c>
      <c r="BN158" s="62">
        <v>0</v>
      </c>
      <c r="BO158" s="33" t="s">
        <v>485</v>
      </c>
    </row>
    <row r="159" spans="1:67">
      <c r="A159" s="33" t="str">
        <f>Database_Productkaarten[[#This Row],[Product]]&amp;", "&amp;Database_Productkaarten[[#This Row],[Levensfase]]</f>
        <v>DZOAB 30% PR - PCR 1.0, A2</v>
      </c>
      <c r="B159" s="33" t="s">
        <v>498</v>
      </c>
      <c r="C159" s="33" t="s">
        <v>483</v>
      </c>
      <c r="D159" s="33" t="s">
        <v>484</v>
      </c>
      <c r="E159" s="33" t="s">
        <v>378</v>
      </c>
      <c r="F159" s="33" t="s">
        <v>75</v>
      </c>
      <c r="L159" s="33">
        <v>2</v>
      </c>
      <c r="M159" s="269">
        <v>1</v>
      </c>
      <c r="N159" s="41">
        <v>1.8643823272994999</v>
      </c>
      <c r="O159" s="33">
        <v>14</v>
      </c>
      <c r="P159" s="40">
        <v>1.1069322570879E-5</v>
      </c>
      <c r="Q159" s="40">
        <v>7.8325056108080007E-2</v>
      </c>
      <c r="R159" s="40">
        <v>11.191233249244799</v>
      </c>
      <c r="S159" s="40">
        <v>1.8567829828419999E-6</v>
      </c>
      <c r="T159" s="40">
        <v>9.8737769836299994E-3</v>
      </c>
      <c r="U159" s="40">
        <v>0.16216581843849998</v>
      </c>
      <c r="V159" s="40">
        <v>1.7653607169539998E-2</v>
      </c>
      <c r="W159" s="40">
        <v>4.662810038396799</v>
      </c>
      <c r="X159" s="40">
        <v>9.9059031778679987E-2</v>
      </c>
      <c r="Y159" s="40">
        <v>413.66316711027264</v>
      </c>
      <c r="Z159" s="40">
        <v>1.5710775122479998E-2</v>
      </c>
      <c r="AA159" s="40"/>
      <c r="AB159" s="40"/>
      <c r="AC159" s="40"/>
      <c r="AD159" s="40"/>
      <c r="AE159" s="40"/>
      <c r="AF159" s="40"/>
      <c r="AG159" s="40"/>
      <c r="AH159" s="40"/>
      <c r="AI159" s="40"/>
      <c r="AJ159" s="40"/>
      <c r="AK159" s="40"/>
      <c r="AL159" s="40"/>
      <c r="AM159" s="40"/>
      <c r="AN159" s="40"/>
      <c r="AO159" s="40"/>
      <c r="AP159" s="40"/>
      <c r="AQ159" s="40"/>
      <c r="AR159" s="40"/>
      <c r="AS159" s="40"/>
      <c r="AT159" s="40"/>
      <c r="AU159" s="40"/>
      <c r="AV159" s="313">
        <v>3.1390912798622992</v>
      </c>
      <c r="AW159" s="317"/>
      <c r="AX159" s="317"/>
      <c r="AY159" s="313">
        <v>173.55307428705967</v>
      </c>
      <c r="AZ159" s="40"/>
      <c r="BA159" s="40"/>
      <c r="BB159" s="40"/>
      <c r="BC159" s="40">
        <v>3.1421973716309996E-2</v>
      </c>
      <c r="BD159" s="40">
        <v>1.0252063228313999E-4</v>
      </c>
      <c r="BE159" s="40">
        <v>3.1192443811762001</v>
      </c>
      <c r="BF159" s="40">
        <v>1.0782903993859997E-3</v>
      </c>
      <c r="BG159" s="40"/>
      <c r="BH159" s="40"/>
      <c r="BI159" s="40"/>
      <c r="BJ159" s="40"/>
      <c r="BK159" s="40"/>
      <c r="BL159" s="62">
        <v>0.3</v>
      </c>
      <c r="BM159" s="275">
        <v>2</v>
      </c>
      <c r="BN159" s="62">
        <v>0</v>
      </c>
      <c r="BO159" s="33" t="s">
        <v>485</v>
      </c>
    </row>
    <row r="160" spans="1:67">
      <c r="A160" s="33" t="str">
        <f>Database_Productkaarten[[#This Row],[Product]]&amp;", "&amp;Database_Productkaarten[[#This Row],[Levensfase]]</f>
        <v>DZOAB 30% PR - PCR 1.0, A3</v>
      </c>
      <c r="B160" s="33" t="s">
        <v>498</v>
      </c>
      <c r="C160" s="33" t="s">
        <v>483</v>
      </c>
      <c r="D160" s="33" t="s">
        <v>484</v>
      </c>
      <c r="E160" s="33" t="s">
        <v>378</v>
      </c>
      <c r="F160" s="33" t="s">
        <v>76</v>
      </c>
      <c r="L160" s="33">
        <v>2</v>
      </c>
      <c r="M160" s="269">
        <v>1</v>
      </c>
      <c r="N160" s="41">
        <v>1.5765184628671296</v>
      </c>
      <c r="O160" s="33">
        <v>14</v>
      </c>
      <c r="P160" s="40">
        <v>4.4114496640661393E-6</v>
      </c>
      <c r="Q160" s="40">
        <v>0.18445811048110788</v>
      </c>
      <c r="R160" s="40">
        <v>21.657101267893243</v>
      </c>
      <c r="S160" s="40">
        <v>2.4897586380851077E-6</v>
      </c>
      <c r="T160" s="40">
        <v>3.5396195390986042E-3</v>
      </c>
      <c r="U160" s="40">
        <v>2.3820552904351221E-2</v>
      </c>
      <c r="V160" s="40">
        <v>4.3255964482209752E-3</v>
      </c>
      <c r="W160" s="40">
        <v>3.461420366489242</v>
      </c>
      <c r="X160" s="40">
        <v>2.2824726526369035E-2</v>
      </c>
      <c r="Y160" s="40">
        <v>92.549776992235834</v>
      </c>
      <c r="Z160" s="40">
        <v>2.1920650788971104E-2</v>
      </c>
      <c r="AA160" s="40"/>
      <c r="AB160" s="40"/>
      <c r="AC160" s="40"/>
      <c r="AD160" s="40"/>
      <c r="AE160" s="40"/>
      <c r="AF160" s="40"/>
      <c r="AG160" s="40"/>
      <c r="AH160" s="40"/>
      <c r="AI160" s="40"/>
      <c r="AJ160" s="40"/>
      <c r="AK160" s="40"/>
      <c r="AL160" s="40"/>
      <c r="AM160" s="40"/>
      <c r="AN160" s="40"/>
      <c r="AO160" s="40"/>
      <c r="AP160" s="40"/>
      <c r="AQ160" s="40"/>
      <c r="AR160" s="40"/>
      <c r="AS160" s="40"/>
      <c r="AT160" s="40"/>
      <c r="AU160" s="40"/>
      <c r="AV160" s="313">
        <v>6.2870742483275119</v>
      </c>
      <c r="AW160" s="317"/>
      <c r="AX160" s="317"/>
      <c r="AY160" s="313">
        <v>376.98062031762532</v>
      </c>
      <c r="AZ160" s="40"/>
      <c r="BA160" s="40"/>
      <c r="BB160" s="40"/>
      <c r="BC160" s="40">
        <v>4.172874276078168E-2</v>
      </c>
      <c r="BD160" s="40">
        <v>5.0633169018404333E-4</v>
      </c>
      <c r="BE160" s="40">
        <v>0.24225122586763881</v>
      </c>
      <c r="BF160" s="40">
        <v>3.5090258876519268E-4</v>
      </c>
      <c r="BG160" s="40"/>
      <c r="BH160" s="40"/>
      <c r="BI160" s="40"/>
      <c r="BJ160" s="40"/>
      <c r="BK160" s="40"/>
      <c r="BL160" s="62">
        <v>0.3</v>
      </c>
      <c r="BM160" s="275">
        <v>2</v>
      </c>
      <c r="BN160" s="62">
        <v>0</v>
      </c>
      <c r="BO160" s="33" t="s">
        <v>485</v>
      </c>
    </row>
    <row r="161" spans="1:67">
      <c r="A161" s="33" t="str">
        <f>Database_Productkaarten[[#This Row],[Product]]&amp;", "&amp;Database_Productkaarten[[#This Row],[Levensfase]]</f>
        <v>DZOAB 30% PR - PCR 1.0, A1-A3</v>
      </c>
      <c r="B161" s="33" t="str">
        <f>B160</f>
        <v>DZOAB 30% PR - PCR 1.0</v>
      </c>
      <c r="C161" s="33" t="str">
        <f>C160</f>
        <v>Bitumineuze verhardingen</v>
      </c>
      <c r="D161" s="33" t="str">
        <f>D160</f>
        <v>ZOAB</v>
      </c>
      <c r="E161" s="33" t="str">
        <f>E160</f>
        <v>Ton</v>
      </c>
      <c r="F161" s="33" t="s">
        <v>77</v>
      </c>
      <c r="L161" s="33">
        <f>L160</f>
        <v>2</v>
      </c>
      <c r="M161" s="45">
        <f>M160</f>
        <v>1</v>
      </c>
      <c r="N161" s="252">
        <f>SUM(N158:N160)</f>
        <v>9.4362010911666303</v>
      </c>
      <c r="O161" s="33">
        <f>O160</f>
        <v>14</v>
      </c>
      <c r="P161" s="40">
        <f>SUM(P158:P160)</f>
        <v>8.6222699594945142E-5</v>
      </c>
      <c r="Q161" s="40">
        <f t="shared" ref="Q161:BK161" si="27">SUM(Q158:Q160)</f>
        <v>1.2652646092191877</v>
      </c>
      <c r="R161" s="40">
        <f t="shared" si="27"/>
        <v>80.194474381138036</v>
      </c>
      <c r="S161" s="40">
        <f t="shared" si="27"/>
        <v>7.9178546239271083E-6</v>
      </c>
      <c r="T161" s="40">
        <f t="shared" si="27"/>
        <v>0.12052613731472861</v>
      </c>
      <c r="U161" s="40">
        <f t="shared" si="27"/>
        <v>0.48599635069285119</v>
      </c>
      <c r="V161" s="40">
        <f t="shared" si="27"/>
        <v>5.0967792477760981E-2</v>
      </c>
      <c r="W161" s="40">
        <f t="shared" si="27"/>
        <v>19.844752103786043</v>
      </c>
      <c r="X161" s="40">
        <f t="shared" si="27"/>
        <v>1.6777161614150489</v>
      </c>
      <c r="Y161" s="40">
        <f t="shared" si="27"/>
        <v>7287.8503556899086</v>
      </c>
      <c r="Z161" s="40">
        <f t="shared" si="27"/>
        <v>0.2480730795014511</v>
      </c>
      <c r="AA161" s="40">
        <f t="shared" si="27"/>
        <v>0</v>
      </c>
      <c r="AB161" s="40">
        <f t="shared" si="27"/>
        <v>0</v>
      </c>
      <c r="AC161" s="40">
        <f t="shared" si="27"/>
        <v>0</v>
      </c>
      <c r="AD161" s="40">
        <f t="shared" si="27"/>
        <v>0</v>
      </c>
      <c r="AE161" s="40">
        <f t="shared" si="27"/>
        <v>0</v>
      </c>
      <c r="AF161" s="40">
        <f t="shared" si="27"/>
        <v>0</v>
      </c>
      <c r="AG161" s="40">
        <f t="shared" si="27"/>
        <v>0</v>
      </c>
      <c r="AH161" s="40">
        <f t="shared" si="27"/>
        <v>0</v>
      </c>
      <c r="AI161" s="40">
        <f t="shared" si="27"/>
        <v>0</v>
      </c>
      <c r="AJ161" s="40">
        <f t="shared" si="27"/>
        <v>0</v>
      </c>
      <c r="AK161" s="40">
        <f t="shared" si="27"/>
        <v>0</v>
      </c>
      <c r="AL161" s="40">
        <f t="shared" si="27"/>
        <v>0</v>
      </c>
      <c r="AM161" s="40">
        <f t="shared" si="27"/>
        <v>0</v>
      </c>
      <c r="AN161" s="40">
        <f t="shared" si="27"/>
        <v>0</v>
      </c>
      <c r="AO161" s="40">
        <f t="shared" si="27"/>
        <v>0</v>
      </c>
      <c r="AP161" s="40">
        <f t="shared" si="27"/>
        <v>0</v>
      </c>
      <c r="AQ161" s="40">
        <f t="shared" si="27"/>
        <v>0</v>
      </c>
      <c r="AR161" s="40">
        <f t="shared" si="27"/>
        <v>0</v>
      </c>
      <c r="AS161" s="40">
        <f t="shared" si="27"/>
        <v>0</v>
      </c>
      <c r="AT161" s="40">
        <f t="shared" si="27"/>
        <v>0</v>
      </c>
      <c r="AU161" s="40">
        <f t="shared" si="27"/>
        <v>0</v>
      </c>
      <c r="AV161" s="317">
        <f t="shared" si="27"/>
        <v>32.848750697089812</v>
      </c>
      <c r="AW161" s="317">
        <f t="shared" si="27"/>
        <v>0</v>
      </c>
      <c r="AX161" s="317">
        <f t="shared" si="27"/>
        <v>0</v>
      </c>
      <c r="AY161" s="317">
        <f t="shared" si="27"/>
        <v>2814.2117003544849</v>
      </c>
      <c r="AZ161" s="40">
        <f t="shared" si="27"/>
        <v>0</v>
      </c>
      <c r="BA161" s="40">
        <f t="shared" si="27"/>
        <v>0</v>
      </c>
      <c r="BB161" s="40">
        <f t="shared" si="27"/>
        <v>0</v>
      </c>
      <c r="BC161" s="40">
        <f t="shared" si="27"/>
        <v>23.648265632747091</v>
      </c>
      <c r="BD161" s="40">
        <f t="shared" si="27"/>
        <v>1.3691976685671833E-3</v>
      </c>
      <c r="BE161" s="40">
        <f t="shared" si="27"/>
        <v>5.5544159690438395</v>
      </c>
      <c r="BF161" s="40">
        <f t="shared" si="27"/>
        <v>2.5214396407511924E-3</v>
      </c>
      <c r="BG161" s="40">
        <f t="shared" si="27"/>
        <v>0</v>
      </c>
      <c r="BH161" s="40">
        <f t="shared" si="27"/>
        <v>0</v>
      </c>
      <c r="BI161" s="40">
        <f t="shared" si="27"/>
        <v>0</v>
      </c>
      <c r="BJ161" s="40">
        <f t="shared" si="27"/>
        <v>0</v>
      </c>
      <c r="BK161" s="40">
        <f t="shared" si="27"/>
        <v>0</v>
      </c>
      <c r="BL161" s="62">
        <f>BL160</f>
        <v>0.3</v>
      </c>
      <c r="BM161" s="275">
        <f>BM160</f>
        <v>2</v>
      </c>
      <c r="BN161" s="62">
        <v>0</v>
      </c>
      <c r="BO161" s="33" t="str">
        <f>BO160</f>
        <v>TNO 2020 R10987 LCA Achtergrondrapport voor brancherepresentatieve Nederlandse asfaltmengsels 2020</v>
      </c>
    </row>
    <row r="162" spans="1:67">
      <c r="A162" s="33" t="str">
        <f>Database_Productkaarten[[#This Row],[Product]]&amp;", "&amp;Database_Productkaarten[[#This Row],[Levensfase]]</f>
        <v>DZOAB 30% PR - PCR 1.0, A4</v>
      </c>
      <c r="B162" s="33" t="s">
        <v>498</v>
      </c>
      <c r="C162" s="33" t="s">
        <v>483</v>
      </c>
      <c r="D162" s="33" t="s">
        <v>484</v>
      </c>
      <c r="E162" s="33" t="s">
        <v>378</v>
      </c>
      <c r="F162" s="33" t="s">
        <v>78</v>
      </c>
      <c r="L162" s="33">
        <v>2</v>
      </c>
      <c r="M162" s="269">
        <v>1</v>
      </c>
      <c r="N162" s="41">
        <v>0.62892669999999995</v>
      </c>
      <c r="O162" s="33">
        <v>14</v>
      </c>
      <c r="P162" s="40">
        <v>1.0978337000000001E-5</v>
      </c>
      <c r="Q162" s="40">
        <v>4.3183727999999998E-2</v>
      </c>
      <c r="R162" s="40">
        <v>5.7021305</v>
      </c>
      <c r="S162" s="40">
        <v>1.1335356E-6</v>
      </c>
      <c r="T162" s="40">
        <v>3.5752850000000001E-3</v>
      </c>
      <c r="U162" s="40">
        <v>1.9151161E-2</v>
      </c>
      <c r="V162" s="40">
        <v>3.8023555000000001E-3</v>
      </c>
      <c r="W162" s="40">
        <v>2.0049337999999999</v>
      </c>
      <c r="X162" s="40">
        <v>0.12926487</v>
      </c>
      <c r="Y162" s="40">
        <v>338.63108999999997</v>
      </c>
      <c r="Z162" s="40">
        <v>1.1891815999999999E-2</v>
      </c>
      <c r="AA162" s="40"/>
      <c r="AB162" s="40"/>
      <c r="AC162" s="40"/>
      <c r="AD162" s="40"/>
      <c r="AE162" s="40"/>
      <c r="AF162" s="40"/>
      <c r="AG162" s="40"/>
      <c r="AH162" s="40"/>
      <c r="AI162" s="40"/>
      <c r="AJ162" s="40"/>
      <c r="AK162" s="40"/>
      <c r="AL162" s="40"/>
      <c r="AM162" s="40"/>
      <c r="AN162" s="40"/>
      <c r="AO162" s="40"/>
      <c r="AP162" s="40"/>
      <c r="AQ162" s="40"/>
      <c r="AR162" s="40"/>
      <c r="AS162" s="40"/>
      <c r="AT162" s="40"/>
      <c r="AU162" s="40"/>
      <c r="AV162" s="313">
        <v>0</v>
      </c>
      <c r="AW162" s="317"/>
      <c r="AX162" s="317"/>
      <c r="AY162" s="313">
        <v>0</v>
      </c>
      <c r="AZ162" s="40"/>
      <c r="BA162" s="40"/>
      <c r="BB162" s="40"/>
      <c r="BC162" s="40">
        <v>0</v>
      </c>
      <c r="BD162" s="40">
        <v>0</v>
      </c>
      <c r="BE162" s="40">
        <v>0</v>
      </c>
      <c r="BF162" s="40">
        <v>0</v>
      </c>
      <c r="BG162" s="40"/>
      <c r="BH162" s="40"/>
      <c r="BI162" s="40"/>
      <c r="BJ162" s="40"/>
      <c r="BK162" s="40"/>
      <c r="BL162" s="62">
        <v>0.3</v>
      </c>
      <c r="BM162" s="275">
        <v>2</v>
      </c>
      <c r="BN162" s="62">
        <v>0</v>
      </c>
      <c r="BO162" s="33" t="s">
        <v>485</v>
      </c>
    </row>
    <row r="163" spans="1:67">
      <c r="A163" s="33" t="str">
        <f>Database_Productkaarten[[#This Row],[Product]]&amp;", "&amp;Database_Productkaarten[[#This Row],[Levensfase]]</f>
        <v>DZOAB 30% PR - PCR 1.0, A5</v>
      </c>
      <c r="B163" s="33" t="s">
        <v>498</v>
      </c>
      <c r="C163" s="33" t="s">
        <v>483</v>
      </c>
      <c r="D163" s="33" t="s">
        <v>484</v>
      </c>
      <c r="E163" s="33" t="s">
        <v>378</v>
      </c>
      <c r="F163" s="33" t="s">
        <v>79</v>
      </c>
      <c r="L163" s="33">
        <v>2</v>
      </c>
      <c r="M163" s="269">
        <v>1</v>
      </c>
      <c r="N163" s="41">
        <v>0.11589273999999999</v>
      </c>
      <c r="O163" s="33">
        <v>14</v>
      </c>
      <c r="P163" s="40">
        <v>2.9981767000000001E-7</v>
      </c>
      <c r="Q163" s="40">
        <v>6.1549237000000003E-3</v>
      </c>
      <c r="R163" s="40">
        <v>1.1890320000000001</v>
      </c>
      <c r="S163" s="40">
        <v>1.6118031999999999E-7</v>
      </c>
      <c r="T163" s="40">
        <v>4.0441559000000001E-4</v>
      </c>
      <c r="U163" s="40">
        <v>4.1422853000000004E-3</v>
      </c>
      <c r="V163" s="40">
        <v>9.0534960000000005E-4</v>
      </c>
      <c r="W163" s="40">
        <v>0.31393536</v>
      </c>
      <c r="X163" s="40">
        <v>4.4639175000000001E-3</v>
      </c>
      <c r="Y163" s="40">
        <v>15.054501</v>
      </c>
      <c r="Z163" s="40">
        <v>5.2994459999999995E-4</v>
      </c>
      <c r="AA163" s="40"/>
      <c r="AB163" s="40"/>
      <c r="AC163" s="40"/>
      <c r="AD163" s="40"/>
      <c r="AE163" s="40"/>
      <c r="AF163" s="40"/>
      <c r="AG163" s="40"/>
      <c r="AH163" s="40"/>
      <c r="AI163" s="40"/>
      <c r="AJ163" s="40"/>
      <c r="AK163" s="40"/>
      <c r="AL163" s="40"/>
      <c r="AM163" s="40"/>
      <c r="AN163" s="40"/>
      <c r="AO163" s="40"/>
      <c r="AP163" s="40"/>
      <c r="AQ163" s="40"/>
      <c r="AR163" s="40"/>
      <c r="AS163" s="40"/>
      <c r="AT163" s="40"/>
      <c r="AU163" s="40"/>
      <c r="AV163" s="313">
        <v>7.5275787999999996E-2</v>
      </c>
      <c r="AW163" s="317"/>
      <c r="AX163" s="317"/>
      <c r="AY163" s="313">
        <v>13.79832</v>
      </c>
      <c r="AZ163" s="40"/>
      <c r="BA163" s="40"/>
      <c r="BB163" s="40"/>
      <c r="BC163" s="40">
        <v>1.7004556E-3</v>
      </c>
      <c r="BD163" s="40">
        <v>5.7951239999999996E-6</v>
      </c>
      <c r="BE163" s="40">
        <v>1.3837334999999999E-2</v>
      </c>
      <c r="BF163" s="40">
        <v>9.0259541999999994E-5</v>
      </c>
      <c r="BG163" s="40"/>
      <c r="BH163" s="40"/>
      <c r="BI163" s="40"/>
      <c r="BJ163" s="40"/>
      <c r="BK163" s="40"/>
      <c r="BL163" s="62">
        <v>0.3</v>
      </c>
      <c r="BM163" s="275">
        <v>2</v>
      </c>
      <c r="BN163" s="62">
        <v>0</v>
      </c>
      <c r="BO163" s="33" t="s">
        <v>485</v>
      </c>
    </row>
    <row r="164" spans="1:67">
      <c r="A164" s="33" t="str">
        <f>Database_Productkaarten[[#This Row],[Product]]&amp;", "&amp;Database_Productkaarten[[#This Row],[Levensfase]]</f>
        <v>DZOAB 30% PR - PCR 1.0, B1</v>
      </c>
      <c r="B164" s="33" t="s">
        <v>498</v>
      </c>
      <c r="C164" s="33" t="s">
        <v>483</v>
      </c>
      <c r="D164" s="33" t="s">
        <v>484</v>
      </c>
      <c r="E164" s="33" t="s">
        <v>378</v>
      </c>
      <c r="F164" s="33" t="s">
        <v>80</v>
      </c>
      <c r="L164" s="33">
        <v>2</v>
      </c>
      <c r="M164" s="269">
        <v>1</v>
      </c>
      <c r="N164" s="41">
        <v>0.63803195999999995</v>
      </c>
      <c r="O164" s="33">
        <v>14</v>
      </c>
      <c r="P164" s="40">
        <v>0</v>
      </c>
      <c r="Q164" s="40">
        <v>0</v>
      </c>
      <c r="R164" s="40">
        <v>0</v>
      </c>
      <c r="S164" s="40">
        <v>0</v>
      </c>
      <c r="T164" s="40">
        <v>0</v>
      </c>
      <c r="U164" s="40">
        <v>0</v>
      </c>
      <c r="V164" s="40">
        <v>0</v>
      </c>
      <c r="W164" s="40">
        <v>2.2159960000000001</v>
      </c>
      <c r="X164" s="40">
        <v>3.1435906</v>
      </c>
      <c r="Y164" s="40">
        <v>3441.1720999999998</v>
      </c>
      <c r="Z164" s="40">
        <v>2.7899999999999999E-3</v>
      </c>
      <c r="AA164" s="40"/>
      <c r="AB164" s="40"/>
      <c r="AC164" s="40"/>
      <c r="AD164" s="40"/>
      <c r="AE164" s="40"/>
      <c r="AF164" s="40"/>
      <c r="AG164" s="40"/>
      <c r="AH164" s="40"/>
      <c r="AI164" s="40"/>
      <c r="AJ164" s="40"/>
      <c r="AK164" s="40"/>
      <c r="AL164" s="40"/>
      <c r="AM164" s="40"/>
      <c r="AN164" s="40"/>
      <c r="AO164" s="40"/>
      <c r="AP164" s="40"/>
      <c r="AQ164" s="40"/>
      <c r="AR164" s="40"/>
      <c r="AS164" s="40"/>
      <c r="AT164" s="40"/>
      <c r="AU164" s="40"/>
      <c r="AV164" s="313">
        <v>0</v>
      </c>
      <c r="AW164" s="317"/>
      <c r="AX164" s="317"/>
      <c r="AY164" s="313">
        <v>0</v>
      </c>
      <c r="AZ164" s="40"/>
      <c r="BA164" s="40"/>
      <c r="BB164" s="40"/>
      <c r="BC164" s="40">
        <v>0</v>
      </c>
      <c r="BD164" s="40">
        <v>0</v>
      </c>
      <c r="BE164" s="40">
        <v>0</v>
      </c>
      <c r="BF164" s="40">
        <v>0</v>
      </c>
      <c r="BG164" s="40"/>
      <c r="BH164" s="40"/>
      <c r="BI164" s="40"/>
      <c r="BJ164" s="40"/>
      <c r="BK164" s="40"/>
      <c r="BL164" s="62">
        <v>0.3</v>
      </c>
      <c r="BM164" s="275">
        <v>2</v>
      </c>
      <c r="BN164" s="62">
        <v>0</v>
      </c>
      <c r="BO164" s="33" t="s">
        <v>485</v>
      </c>
    </row>
    <row r="165" spans="1:67">
      <c r="A165" s="33" t="str">
        <f>Database_Productkaarten[[#This Row],[Product]]&amp;", "&amp;Database_Productkaarten[[#This Row],[Levensfase]]</f>
        <v>DZOAB 30% PR - PCR 1.0, C1</v>
      </c>
      <c r="B165" s="33" t="s">
        <v>498</v>
      </c>
      <c r="C165" s="33" t="s">
        <v>483</v>
      </c>
      <c r="D165" s="33" t="s">
        <v>484</v>
      </c>
      <c r="E165" s="33" t="s">
        <v>378</v>
      </c>
      <c r="F165" s="33" t="s">
        <v>83</v>
      </c>
      <c r="L165" s="33">
        <v>2</v>
      </c>
      <c r="M165" s="269">
        <v>1</v>
      </c>
      <c r="N165" s="41">
        <v>0.17755156</v>
      </c>
      <c r="O165" s="33">
        <v>14</v>
      </c>
      <c r="P165" s="40">
        <v>4.7748738999999998E-7</v>
      </c>
      <c r="Q165" s="40">
        <v>9.8022859000000007E-3</v>
      </c>
      <c r="R165" s="40">
        <v>1.8936436000000001</v>
      </c>
      <c r="S165" s="40">
        <v>2.5669458999999998E-7</v>
      </c>
      <c r="T165" s="40">
        <v>6.2586746000000001E-4</v>
      </c>
      <c r="U165" s="40">
        <v>5.5323285000000002E-3</v>
      </c>
      <c r="V165" s="40">
        <v>1.1650454999999999E-3</v>
      </c>
      <c r="W165" s="40">
        <v>0.49739214999999998</v>
      </c>
      <c r="X165" s="40">
        <v>7.1092020000000002E-3</v>
      </c>
      <c r="Y165" s="40">
        <v>23.975687000000001</v>
      </c>
      <c r="Z165" s="40">
        <v>8.4398584999999997E-4</v>
      </c>
      <c r="AA165" s="40"/>
      <c r="AB165" s="40"/>
      <c r="AC165" s="40"/>
      <c r="AD165" s="40"/>
      <c r="AE165" s="40"/>
      <c r="AF165" s="40"/>
      <c r="AG165" s="40"/>
      <c r="AH165" s="40"/>
      <c r="AI165" s="40"/>
      <c r="AJ165" s="40"/>
      <c r="AK165" s="40"/>
      <c r="AL165" s="40"/>
      <c r="AM165" s="40"/>
      <c r="AN165" s="40"/>
      <c r="AO165" s="40"/>
      <c r="AP165" s="40"/>
      <c r="AQ165" s="40"/>
      <c r="AR165" s="40"/>
      <c r="AS165" s="40"/>
      <c r="AT165" s="40"/>
      <c r="AU165" s="40"/>
      <c r="AV165" s="313">
        <v>0.11988366</v>
      </c>
      <c r="AW165" s="317"/>
      <c r="AX165" s="317"/>
      <c r="AY165" s="313">
        <v>21.975102</v>
      </c>
      <c r="AZ165" s="40"/>
      <c r="BA165" s="40"/>
      <c r="BB165" s="40"/>
      <c r="BC165" s="40">
        <v>2.7081330000000002E-3</v>
      </c>
      <c r="BD165" s="40">
        <v>9.2292716000000002E-6</v>
      </c>
      <c r="BE165" s="40">
        <v>2.2037237000000001E-2</v>
      </c>
      <c r="BF165" s="40">
        <v>1.4374668000000001E-4</v>
      </c>
      <c r="BG165" s="40"/>
      <c r="BH165" s="40"/>
      <c r="BI165" s="40"/>
      <c r="BJ165" s="40"/>
      <c r="BK165" s="40"/>
      <c r="BL165" s="62">
        <v>0.3</v>
      </c>
      <c r="BM165" s="275">
        <v>2</v>
      </c>
      <c r="BN165" s="62">
        <v>0</v>
      </c>
      <c r="BO165" s="33" t="s">
        <v>485</v>
      </c>
    </row>
    <row r="166" spans="1:67">
      <c r="A166" s="33" t="str">
        <f>Database_Productkaarten[[#This Row],[Product]]&amp;", "&amp;Database_Productkaarten[[#This Row],[Levensfase]]</f>
        <v>DZOAB 30% PR - PCR 1.0, C2</v>
      </c>
      <c r="B166" s="33" t="s">
        <v>498</v>
      </c>
      <c r="C166" s="33" t="s">
        <v>483</v>
      </c>
      <c r="D166" s="33" t="s">
        <v>484</v>
      </c>
      <c r="E166" s="33" t="s">
        <v>378</v>
      </c>
      <c r="F166" s="33" t="s">
        <v>84</v>
      </c>
      <c r="L166" s="33">
        <v>2</v>
      </c>
      <c r="M166" s="269">
        <v>1</v>
      </c>
      <c r="N166" s="41">
        <v>0.62892669999999995</v>
      </c>
      <c r="O166" s="33">
        <v>14</v>
      </c>
      <c r="P166" s="40">
        <v>1.0978337000000001E-5</v>
      </c>
      <c r="Q166" s="40">
        <v>4.3183727999999998E-2</v>
      </c>
      <c r="R166" s="40">
        <v>5.7021305</v>
      </c>
      <c r="S166" s="40">
        <v>1.1335356E-6</v>
      </c>
      <c r="T166" s="40">
        <v>3.5752850000000001E-3</v>
      </c>
      <c r="U166" s="40">
        <v>1.9151161E-2</v>
      </c>
      <c r="V166" s="40">
        <v>3.8023555000000001E-3</v>
      </c>
      <c r="W166" s="40">
        <v>2.0049337999999999</v>
      </c>
      <c r="X166" s="40">
        <v>0.12926487</v>
      </c>
      <c r="Y166" s="40">
        <v>338.63108999999997</v>
      </c>
      <c r="Z166" s="40">
        <v>1.1891815999999999E-2</v>
      </c>
      <c r="AA166" s="40"/>
      <c r="AB166" s="40"/>
      <c r="AC166" s="40"/>
      <c r="AD166" s="40"/>
      <c r="AE166" s="40"/>
      <c r="AF166" s="40"/>
      <c r="AG166" s="40"/>
      <c r="AH166" s="40"/>
      <c r="AI166" s="40"/>
      <c r="AJ166" s="40"/>
      <c r="AK166" s="40"/>
      <c r="AL166" s="40"/>
      <c r="AM166" s="40"/>
      <c r="AN166" s="40"/>
      <c r="AO166" s="40"/>
      <c r="AP166" s="40"/>
      <c r="AQ166" s="40"/>
      <c r="AR166" s="40"/>
      <c r="AS166" s="40"/>
      <c r="AT166" s="40"/>
      <c r="AU166" s="40"/>
      <c r="AV166" s="313">
        <v>0</v>
      </c>
      <c r="AW166" s="317"/>
      <c r="AX166" s="317"/>
      <c r="AY166" s="313">
        <v>0</v>
      </c>
      <c r="AZ166" s="40"/>
      <c r="BA166" s="40"/>
      <c r="BB166" s="40"/>
      <c r="BC166" s="40">
        <v>0</v>
      </c>
      <c r="BD166" s="40">
        <v>0</v>
      </c>
      <c r="BE166" s="40">
        <v>0</v>
      </c>
      <c r="BF166" s="40">
        <v>0</v>
      </c>
      <c r="BG166" s="40"/>
      <c r="BH166" s="40"/>
      <c r="BI166" s="40"/>
      <c r="BJ166" s="40"/>
      <c r="BK166" s="40"/>
      <c r="BL166" s="62">
        <v>0.3</v>
      </c>
      <c r="BM166" s="275">
        <v>2</v>
      </c>
      <c r="BN166" s="62">
        <v>0</v>
      </c>
      <c r="BO166" s="33" t="s">
        <v>485</v>
      </c>
    </row>
    <row r="167" spans="1:67">
      <c r="A167" s="33" t="str">
        <f>Database_Productkaarten[[#This Row],[Product]]&amp;", "&amp;Database_Productkaarten[[#This Row],[Levensfase]]</f>
        <v>DZOAB 30% PR - PCR 1.0, C3</v>
      </c>
      <c r="B167" s="33" t="s">
        <v>498</v>
      </c>
      <c r="C167" s="33" t="s">
        <v>483</v>
      </c>
      <c r="D167" s="33" t="s">
        <v>484</v>
      </c>
      <c r="E167" s="33" t="s">
        <v>378</v>
      </c>
      <c r="F167" s="33" t="s">
        <v>85</v>
      </c>
      <c r="L167" s="33">
        <v>2</v>
      </c>
      <c r="M167" s="269">
        <v>1</v>
      </c>
      <c r="N167" s="41">
        <v>0.16120214999999999</v>
      </c>
      <c r="O167" s="33">
        <v>14</v>
      </c>
      <c r="P167" s="40">
        <v>4.1291555000000003E-7</v>
      </c>
      <c r="Q167" s="40">
        <v>8.4766977000000007E-3</v>
      </c>
      <c r="R167" s="40">
        <v>1.6375614000000001</v>
      </c>
      <c r="S167" s="40">
        <v>2.2198111999999999E-7</v>
      </c>
      <c r="T167" s="40">
        <v>5.9777666000000002E-4</v>
      </c>
      <c r="U167" s="40">
        <v>5.9352911000000001E-3</v>
      </c>
      <c r="V167" s="40">
        <v>1.3067828999999999E-3</v>
      </c>
      <c r="W167" s="40">
        <v>0.43290835999999999</v>
      </c>
      <c r="X167" s="40">
        <v>6.1478063999999997E-3</v>
      </c>
      <c r="Y167" s="40">
        <v>20.733394000000001</v>
      </c>
      <c r="Z167" s="40">
        <v>7.2985148000000004E-4</v>
      </c>
      <c r="AA167" s="40"/>
      <c r="AB167" s="40"/>
      <c r="AC167" s="40"/>
      <c r="AD167" s="40"/>
      <c r="AE167" s="40"/>
      <c r="AF167" s="40"/>
      <c r="AG167" s="40"/>
      <c r="AH167" s="40"/>
      <c r="AI167" s="40"/>
      <c r="AJ167" s="40"/>
      <c r="AK167" s="40"/>
      <c r="AL167" s="40"/>
      <c r="AM167" s="40"/>
      <c r="AN167" s="40"/>
      <c r="AO167" s="40"/>
      <c r="AP167" s="40"/>
      <c r="AQ167" s="40"/>
      <c r="AR167" s="40"/>
      <c r="AS167" s="40"/>
      <c r="AT167" s="40"/>
      <c r="AU167" s="40"/>
      <c r="AV167" s="313">
        <v>0.10367149000000001</v>
      </c>
      <c r="AW167" s="317"/>
      <c r="AX167" s="317"/>
      <c r="AY167" s="313">
        <v>19.003353000000001</v>
      </c>
      <c r="AZ167" s="40"/>
      <c r="BA167" s="40"/>
      <c r="BB167" s="40"/>
      <c r="BC167" s="40">
        <v>2.3419052000000001E-3</v>
      </c>
      <c r="BD167" s="40">
        <v>7.9811735999999999E-6</v>
      </c>
      <c r="BE167" s="40">
        <v>1.9057085000000001E-2</v>
      </c>
      <c r="BF167" s="40">
        <v>1.2430745000000001E-4</v>
      </c>
      <c r="BG167" s="40"/>
      <c r="BH167" s="40"/>
      <c r="BI167" s="40"/>
      <c r="BJ167" s="40"/>
      <c r="BK167" s="40"/>
      <c r="BL167" s="62">
        <v>0.3</v>
      </c>
      <c r="BM167" s="275">
        <v>2</v>
      </c>
      <c r="BN167" s="62">
        <v>0</v>
      </c>
      <c r="BO167" s="33" t="s">
        <v>485</v>
      </c>
    </row>
    <row r="168" spans="1:67">
      <c r="A168" s="33" t="str">
        <f>Database_Productkaarten[[#This Row],[Product]]&amp;", "&amp;Database_Productkaarten[[#This Row],[Levensfase]]</f>
        <v>DZOAB 30% PR - PCR 1.0, D</v>
      </c>
      <c r="B168" s="33" t="str">
        <f>B169</f>
        <v>DZOAB 30% PR - PCR 1.0</v>
      </c>
      <c r="C168" s="33" t="str">
        <f>C169</f>
        <v>Bitumineuze verhardingen</v>
      </c>
      <c r="D168" s="33" t="str">
        <f>D169</f>
        <v>ZOAB</v>
      </c>
      <c r="E168" s="33" t="str">
        <f>E169</f>
        <v>Ton</v>
      </c>
      <c r="F168" s="33" t="s">
        <v>89</v>
      </c>
      <c r="L168" s="33">
        <f>L169</f>
        <v>2</v>
      </c>
      <c r="M168" s="45">
        <f>M169</f>
        <v>1</v>
      </c>
      <c r="N168" s="41">
        <f>SUM(N169:N170)</f>
        <v>-4.1750438483058643</v>
      </c>
      <c r="O168" s="33">
        <f>O169</f>
        <v>14</v>
      </c>
      <c r="P168" s="40">
        <f>SUM(P169:P170)</f>
        <v>-4.5597348370087291E-5</v>
      </c>
      <c r="Q168" s="40">
        <f>SUM(Q169:Q170)</f>
        <v>-0.53891327920746235</v>
      </c>
      <c r="R168" s="40">
        <f>SUM(R169:R170)</f>
        <v>-31.823713484583941</v>
      </c>
      <c r="S168" s="40">
        <f t="shared" ref="S168:BK168" si="28">SUM(S169:S170)</f>
        <v>-2.9844751335685508E-6</v>
      </c>
      <c r="T168" s="40">
        <f t="shared" si="28"/>
        <v>-5.8485272303476457E-2</v>
      </c>
      <c r="U168" s="40">
        <f t="shared" si="28"/>
        <v>-0.25158216694419666</v>
      </c>
      <c r="V168" s="40">
        <f t="shared" si="28"/>
        <v>-2.6285381679929234E-2</v>
      </c>
      <c r="W168" s="40">
        <f t="shared" si="28"/>
        <v>-8.3627017752674817</v>
      </c>
      <c r="X168" s="40">
        <f t="shared" si="28"/>
        <v>-0.8120826752887742</v>
      </c>
      <c r="Y168" s="40">
        <f t="shared" si="28"/>
        <v>-3538.7606139551262</v>
      </c>
      <c r="Z168" s="40">
        <f t="shared" si="28"/>
        <v>-0.11302166249179149</v>
      </c>
      <c r="AA168" s="40">
        <f t="shared" si="28"/>
        <v>0</v>
      </c>
      <c r="AB168" s="40">
        <f t="shared" si="28"/>
        <v>0</v>
      </c>
      <c r="AC168" s="40">
        <f t="shared" si="28"/>
        <v>0</v>
      </c>
      <c r="AD168" s="40">
        <f t="shared" si="28"/>
        <v>0</v>
      </c>
      <c r="AE168" s="40">
        <f t="shared" si="28"/>
        <v>0</v>
      </c>
      <c r="AF168" s="40">
        <f t="shared" si="28"/>
        <v>0</v>
      </c>
      <c r="AG168" s="40">
        <f t="shared" si="28"/>
        <v>0</v>
      </c>
      <c r="AH168" s="40">
        <f t="shared" si="28"/>
        <v>0</v>
      </c>
      <c r="AI168" s="40">
        <f t="shared" si="28"/>
        <v>0</v>
      </c>
      <c r="AJ168" s="40">
        <f t="shared" si="28"/>
        <v>0</v>
      </c>
      <c r="AK168" s="40">
        <f t="shared" si="28"/>
        <v>0</v>
      </c>
      <c r="AL168" s="40">
        <f t="shared" si="28"/>
        <v>0</v>
      </c>
      <c r="AM168" s="40">
        <f t="shared" si="28"/>
        <v>0</v>
      </c>
      <c r="AN168" s="40">
        <f t="shared" si="28"/>
        <v>0</v>
      </c>
      <c r="AO168" s="40">
        <f t="shared" si="28"/>
        <v>0</v>
      </c>
      <c r="AP168" s="40">
        <f t="shared" si="28"/>
        <v>0</v>
      </c>
      <c r="AQ168" s="40">
        <f t="shared" si="28"/>
        <v>0</v>
      </c>
      <c r="AR168" s="40">
        <f t="shared" si="28"/>
        <v>0</v>
      </c>
      <c r="AS168" s="40">
        <f t="shared" si="28"/>
        <v>0</v>
      </c>
      <c r="AT168" s="40">
        <f t="shared" si="28"/>
        <v>0</v>
      </c>
      <c r="AU168" s="40">
        <f t="shared" si="28"/>
        <v>0</v>
      </c>
      <c r="AV168" s="317">
        <f t="shared" si="28"/>
        <v>-11.470740162884054</v>
      </c>
      <c r="AW168" s="317">
        <f t="shared" si="28"/>
        <v>0</v>
      </c>
      <c r="AX168" s="317">
        <f t="shared" si="28"/>
        <v>0</v>
      </c>
      <c r="AY168" s="317">
        <f t="shared" si="28"/>
        <v>-1215.1763242902844</v>
      </c>
      <c r="AZ168" s="40">
        <f t="shared" si="28"/>
        <v>0</v>
      </c>
      <c r="BA168" s="40">
        <f t="shared" si="28"/>
        <v>0</v>
      </c>
      <c r="BB168" s="40">
        <f t="shared" si="28"/>
        <v>0</v>
      </c>
      <c r="BC168" s="40">
        <f t="shared" si="28"/>
        <v>-11.407404844893751</v>
      </c>
      <c r="BD168" s="40">
        <f t="shared" si="28"/>
        <v>-4.4104612448440494E-4</v>
      </c>
      <c r="BE168" s="40">
        <f t="shared" si="28"/>
        <v>-2.994045404004078</v>
      </c>
      <c r="BF168" s="40">
        <f t="shared" si="28"/>
        <v>-1.2842596885269805E-3</v>
      </c>
      <c r="BG168" s="40">
        <f t="shared" si="28"/>
        <v>0</v>
      </c>
      <c r="BH168" s="40">
        <f t="shared" si="28"/>
        <v>0</v>
      </c>
      <c r="BI168" s="40">
        <f t="shared" si="28"/>
        <v>0</v>
      </c>
      <c r="BJ168" s="40">
        <f t="shared" si="28"/>
        <v>0</v>
      </c>
      <c r="BK168" s="40">
        <f t="shared" si="28"/>
        <v>0</v>
      </c>
      <c r="BL168" s="62">
        <f>BL169</f>
        <v>0.3</v>
      </c>
      <c r="BM168" s="275">
        <f>BM169</f>
        <v>2</v>
      </c>
      <c r="BN168" s="62">
        <v>0</v>
      </c>
      <c r="BO168" s="33" t="str">
        <f>BO169</f>
        <v>TNO 2020 R10987 LCA Achtergrondrapport voor brancherepresentatieve Nederlandse asfaltmengsels 2020</v>
      </c>
    </row>
    <row r="169" spans="1:67">
      <c r="A169" s="33" t="str">
        <f>Database_Productkaarten[[#This Row],[Product]]&amp;", "&amp;Database_Productkaarten[[#This Row],[Levensfase]]</f>
        <v>DZOAB 30% PR - PCR 1.0, D1</v>
      </c>
      <c r="B169" s="33" t="s">
        <v>498</v>
      </c>
      <c r="C169" s="33" t="s">
        <v>483</v>
      </c>
      <c r="D169" s="33" t="s">
        <v>484</v>
      </c>
      <c r="E169" s="33" t="s">
        <v>378</v>
      </c>
      <c r="F169" s="33" t="s">
        <v>87</v>
      </c>
      <c r="L169" s="33">
        <v>2</v>
      </c>
      <c r="M169" s="269">
        <v>1</v>
      </c>
      <c r="N169" s="41">
        <v>-3.0477227163775296</v>
      </c>
      <c r="O169" s="33">
        <v>14</v>
      </c>
      <c r="P169" s="40">
        <v>-3.9032028057847808E-5</v>
      </c>
      <c r="Q169" s="40">
        <v>-0.4917642331230323</v>
      </c>
      <c r="R169" s="40">
        <v>-25.085993741587444</v>
      </c>
      <c r="S169" s="40">
        <v>-1.867329889328231E-6</v>
      </c>
      <c r="T169" s="40">
        <v>-5.251099344697828E-2</v>
      </c>
      <c r="U169" s="40">
        <v>-0.15302619231550157</v>
      </c>
      <c r="V169" s="40">
        <v>-1.5615416841104526E-2</v>
      </c>
      <c r="W169" s="40">
        <v>-5.5477032218177218</v>
      </c>
      <c r="X169" s="40">
        <v>-0.75251783406084571</v>
      </c>
      <c r="Y169" s="40">
        <v>-3289.2889704121694</v>
      </c>
      <c r="Z169" s="40">
        <v>-0.10355369106990492</v>
      </c>
      <c r="AA169" s="40"/>
      <c r="AB169" s="40"/>
      <c r="AC169" s="40"/>
      <c r="AD169" s="40"/>
      <c r="AE169" s="40"/>
      <c r="AF169" s="40"/>
      <c r="AG169" s="40"/>
      <c r="AH169" s="40"/>
      <c r="AI169" s="40"/>
      <c r="AJ169" s="40"/>
      <c r="AK169" s="40"/>
      <c r="AL169" s="40"/>
      <c r="AM169" s="40"/>
      <c r="AN169" s="40"/>
      <c r="AO169" s="40"/>
      <c r="AP169" s="40"/>
      <c r="AQ169" s="40"/>
      <c r="AR169" s="40"/>
      <c r="AS169" s="40"/>
      <c r="AT169" s="40"/>
      <c r="AU169" s="40"/>
      <c r="AV169" s="313">
        <v>-9.5742550522363743</v>
      </c>
      <c r="AW169" s="317"/>
      <c r="AX169" s="317"/>
      <c r="AY169" s="313">
        <v>-1110.705533999421</v>
      </c>
      <c r="AZ169" s="40"/>
      <c r="BA169" s="40"/>
      <c r="BB169" s="40"/>
      <c r="BC169" s="40">
        <v>-11.388508536855056</v>
      </c>
      <c r="BD169" s="40">
        <v>-3.7941911775567477E-4</v>
      </c>
      <c r="BE169" s="40">
        <v>-1.1484281178722953</v>
      </c>
      <c r="BF169" s="40">
        <v>-6.3530896525078177E-4</v>
      </c>
      <c r="BG169" s="40"/>
      <c r="BH169" s="40"/>
      <c r="BI169" s="40"/>
      <c r="BJ169" s="40"/>
      <c r="BK169" s="40"/>
      <c r="BL169" s="62">
        <v>0.3</v>
      </c>
      <c r="BM169" s="275">
        <v>2</v>
      </c>
      <c r="BN169" s="62">
        <v>0</v>
      </c>
      <c r="BO169" s="33" t="s">
        <v>485</v>
      </c>
    </row>
    <row r="170" spans="1:67">
      <c r="A170" s="33" t="str">
        <f>Database_Productkaarten[[#This Row],[Product]]&amp;", "&amp;Database_Productkaarten[[#This Row],[Levensfase]]</f>
        <v>DZOAB 30% PR - PCR 1.0, D2</v>
      </c>
      <c r="B170" s="33" t="s">
        <v>498</v>
      </c>
      <c r="C170" s="33" t="s">
        <v>483</v>
      </c>
      <c r="D170" s="33" t="s">
        <v>484</v>
      </c>
      <c r="E170" s="33" t="s">
        <v>378</v>
      </c>
      <c r="F170" s="33" t="s">
        <v>88</v>
      </c>
      <c r="L170" s="33">
        <v>2</v>
      </c>
      <c r="M170" s="269">
        <v>1</v>
      </c>
      <c r="N170" s="41">
        <v>-1.1273211319283347</v>
      </c>
      <c r="O170" s="33">
        <v>14</v>
      </c>
      <c r="P170" s="40">
        <v>-6.5653203122394838E-6</v>
      </c>
      <c r="Q170" s="40">
        <v>-4.7149046084430095E-2</v>
      </c>
      <c r="R170" s="40">
        <v>-6.7377197429964983</v>
      </c>
      <c r="S170" s="40">
        <v>-1.1171452442403196E-6</v>
      </c>
      <c r="T170" s="40">
        <v>-5.9742788564981766E-3</v>
      </c>
      <c r="U170" s="40">
        <v>-9.8555974628695101E-2</v>
      </c>
      <c r="V170" s="40">
        <v>-1.0669964838824708E-2</v>
      </c>
      <c r="W170" s="40">
        <v>-2.8149985534497599</v>
      </c>
      <c r="X170" s="40">
        <v>-5.9564841227928517E-2</v>
      </c>
      <c r="Y170" s="40">
        <v>-249.47164354295705</v>
      </c>
      <c r="Z170" s="40">
        <v>-9.4679714218865781E-3</v>
      </c>
      <c r="AA170" s="40"/>
      <c r="AB170" s="40"/>
      <c r="AC170" s="40"/>
      <c r="AD170" s="40"/>
      <c r="AE170" s="40"/>
      <c r="AF170" s="40"/>
      <c r="AG170" s="40"/>
      <c r="AH170" s="40"/>
      <c r="AI170" s="40"/>
      <c r="AJ170" s="40"/>
      <c r="AK170" s="40"/>
      <c r="AL170" s="40"/>
      <c r="AM170" s="40"/>
      <c r="AN170" s="40"/>
      <c r="AO170" s="40"/>
      <c r="AP170" s="40"/>
      <c r="AQ170" s="40"/>
      <c r="AR170" s="40"/>
      <c r="AS170" s="40"/>
      <c r="AT170" s="40"/>
      <c r="AU170" s="40"/>
      <c r="AV170" s="313">
        <v>-1.8964851106476801</v>
      </c>
      <c r="AW170" s="317"/>
      <c r="AX170" s="317"/>
      <c r="AY170" s="313">
        <v>-104.47079029086338</v>
      </c>
      <c r="AZ170" s="40"/>
      <c r="BA170" s="40"/>
      <c r="BB170" s="40"/>
      <c r="BC170" s="40">
        <v>-1.8896308038694975E-2</v>
      </c>
      <c r="BD170" s="40">
        <v>-6.1627006728730201E-5</v>
      </c>
      <c r="BE170" s="40">
        <v>-1.8456172861317828</v>
      </c>
      <c r="BF170" s="40">
        <v>-6.4895072327619862E-4</v>
      </c>
      <c r="BG170" s="40"/>
      <c r="BH170" s="40"/>
      <c r="BI170" s="40"/>
      <c r="BJ170" s="40"/>
      <c r="BK170" s="40"/>
      <c r="BL170" s="62">
        <v>0.3</v>
      </c>
      <c r="BM170" s="275">
        <v>2</v>
      </c>
      <c r="BN170" s="62">
        <v>0</v>
      </c>
      <c r="BO170" s="33" t="s">
        <v>485</v>
      </c>
    </row>
    <row r="171" spans="1:67">
      <c r="A171" s="33" t="str">
        <f>Database_Productkaarten[[#This Row],[Product]]&amp;", "&amp;Database_Productkaarten[[#This Row],[Levensfase]]</f>
        <v>Open steenasfalt - PCR 1.0, Totaal</v>
      </c>
      <c r="B171" s="33" t="s">
        <v>499</v>
      </c>
      <c r="C171" s="33" t="s">
        <v>483</v>
      </c>
      <c r="E171" s="33" t="s">
        <v>378</v>
      </c>
      <c r="F171" s="33" t="s">
        <v>90</v>
      </c>
      <c r="L171" s="33">
        <v>2</v>
      </c>
      <c r="M171" s="269">
        <v>1</v>
      </c>
      <c r="N171" s="41">
        <v>12.927222793551591</v>
      </c>
      <c r="O171" s="33">
        <v>30</v>
      </c>
      <c r="P171" s="40">
        <v>1.4479926618313335E-4</v>
      </c>
      <c r="Q171" s="40">
        <v>1.2638482518042904</v>
      </c>
      <c r="R171" s="40">
        <v>98.129961967400988</v>
      </c>
      <c r="S171" s="40">
        <v>1.4248574524952328E-5</v>
      </c>
      <c r="T171" s="40">
        <v>0.11575549490693376</v>
      </c>
      <c r="U171" s="40">
        <v>0.62239271662924578</v>
      </c>
      <c r="V171" s="40">
        <v>7.9364068659348294E-2</v>
      </c>
      <c r="W171" s="40">
        <v>32.741969091839316</v>
      </c>
      <c r="X171" s="40">
        <v>1.7459756609233266</v>
      </c>
      <c r="Y171" s="40">
        <v>13679.200376639763</v>
      </c>
      <c r="Z171" s="40">
        <v>0.2600859645744622</v>
      </c>
      <c r="AA171" s="40"/>
      <c r="AB171" s="40"/>
      <c r="AC171" s="40"/>
      <c r="AD171" s="40"/>
      <c r="AE171" s="40"/>
      <c r="AF171" s="40"/>
      <c r="AG171" s="40"/>
      <c r="AH171" s="40"/>
      <c r="AI171" s="40"/>
      <c r="AJ171" s="40"/>
      <c r="AK171" s="40"/>
      <c r="AL171" s="40"/>
      <c r="AM171" s="40"/>
      <c r="AN171" s="40"/>
      <c r="AO171" s="40"/>
      <c r="AP171" s="40"/>
      <c r="AQ171" s="40"/>
      <c r="AR171" s="40"/>
      <c r="AS171" s="40"/>
      <c r="AT171" s="40"/>
      <c r="AU171" s="40"/>
      <c r="AV171" s="313">
        <v>27.410487721509352</v>
      </c>
      <c r="AW171" s="317"/>
      <c r="AX171" s="317"/>
      <c r="AY171" s="313">
        <v>2512.7116252704241</v>
      </c>
      <c r="AZ171" s="40"/>
      <c r="BA171" s="40"/>
      <c r="BB171" s="40"/>
      <c r="BC171" s="40">
        <v>17.040351840925783</v>
      </c>
      <c r="BD171" s="40">
        <v>1.4757204371250404E-3</v>
      </c>
      <c r="BE171" s="40">
        <v>1011.7512223351105</v>
      </c>
      <c r="BF171" s="40">
        <v>4.3762444675863599E-3</v>
      </c>
      <c r="BG171" s="40"/>
      <c r="BH171" s="40"/>
      <c r="BI171" s="40"/>
      <c r="BJ171" s="40"/>
      <c r="BK171" s="40"/>
      <c r="BL171" s="62">
        <v>0</v>
      </c>
      <c r="BM171" s="275">
        <v>2</v>
      </c>
      <c r="BN171" s="62">
        <v>0</v>
      </c>
      <c r="BO171" s="33" t="s">
        <v>485</v>
      </c>
    </row>
    <row r="172" spans="1:67">
      <c r="A172" s="33" t="str">
        <f>Database_Productkaarten[[#This Row],[Product]]&amp;", "&amp;Database_Productkaarten[[#This Row],[Levensfase]]</f>
        <v>Open steenasfalt - PCR 1.0, A1</v>
      </c>
      <c r="B172" s="33" t="s">
        <v>499</v>
      </c>
      <c r="C172" s="33" t="s">
        <v>483</v>
      </c>
      <c r="E172" s="33" t="s">
        <v>378</v>
      </c>
      <c r="F172" s="33" t="s">
        <v>74</v>
      </c>
      <c r="L172" s="33">
        <v>2</v>
      </c>
      <c r="M172" s="269">
        <v>1</v>
      </c>
      <c r="N172" s="41">
        <v>4.4713205160000005</v>
      </c>
      <c r="O172" s="33">
        <v>30</v>
      </c>
      <c r="P172" s="40">
        <v>8.5429249599999996E-5</v>
      </c>
      <c r="Q172" s="40">
        <v>0.7237649223</v>
      </c>
      <c r="R172" s="40">
        <v>32.400340405999998</v>
      </c>
      <c r="S172" s="40">
        <v>2.97844683E-6</v>
      </c>
      <c r="T172" s="40">
        <v>7.9223250119999991E-2</v>
      </c>
      <c r="U172" s="40">
        <v>0.24023618250000001</v>
      </c>
      <c r="V172" s="40">
        <v>2.6557395599999999E-2</v>
      </c>
      <c r="W172" s="40">
        <v>9.4356036349999997</v>
      </c>
      <c r="X172" s="40">
        <v>1.1149881050999999</v>
      </c>
      <c r="Y172" s="40">
        <v>4853.161255344</v>
      </c>
      <c r="Z172" s="40">
        <v>0.15013166089999999</v>
      </c>
      <c r="AA172" s="40"/>
      <c r="AB172" s="40"/>
      <c r="AC172" s="40"/>
      <c r="AD172" s="40"/>
      <c r="AE172" s="40"/>
      <c r="AF172" s="40"/>
      <c r="AG172" s="40"/>
      <c r="AH172" s="40"/>
      <c r="AI172" s="40"/>
      <c r="AJ172" s="40"/>
      <c r="AK172" s="40"/>
      <c r="AL172" s="40"/>
      <c r="AM172" s="40"/>
      <c r="AN172" s="40"/>
      <c r="AO172" s="40"/>
      <c r="AP172" s="40"/>
      <c r="AQ172" s="40"/>
      <c r="AR172" s="40"/>
      <c r="AS172" s="40"/>
      <c r="AT172" s="40"/>
      <c r="AU172" s="40"/>
      <c r="AV172" s="313">
        <v>15.341194106</v>
      </c>
      <c r="AW172" s="317"/>
      <c r="AX172" s="317"/>
      <c r="AY172" s="313">
        <v>1640.380829537</v>
      </c>
      <c r="AZ172" s="40"/>
      <c r="BA172" s="40"/>
      <c r="BB172" s="40"/>
      <c r="BC172" s="40">
        <v>16.7820123417</v>
      </c>
      <c r="BD172" s="40">
        <v>6.710192209999999E-4</v>
      </c>
      <c r="BE172" s="40">
        <v>2.7889772379999997</v>
      </c>
      <c r="BF172" s="40">
        <v>1.093352686E-3</v>
      </c>
      <c r="BG172" s="40"/>
      <c r="BH172" s="40"/>
      <c r="BI172" s="40"/>
      <c r="BJ172" s="40"/>
      <c r="BK172" s="40"/>
      <c r="BL172" s="62">
        <v>0</v>
      </c>
      <c r="BM172" s="275">
        <v>2</v>
      </c>
      <c r="BN172" s="62">
        <v>0</v>
      </c>
      <c r="BO172" s="33" t="s">
        <v>485</v>
      </c>
    </row>
    <row r="173" spans="1:67">
      <c r="A173" s="33" t="str">
        <f>Database_Productkaarten[[#This Row],[Product]]&amp;", "&amp;Database_Productkaarten[[#This Row],[Levensfase]]</f>
        <v>Open steenasfalt - PCR 1.0, A2</v>
      </c>
      <c r="B173" s="33" t="s">
        <v>499</v>
      </c>
      <c r="C173" s="33" t="s">
        <v>483</v>
      </c>
      <c r="E173" s="33" t="s">
        <v>378</v>
      </c>
      <c r="F173" s="33" t="s">
        <v>75</v>
      </c>
      <c r="L173" s="33">
        <v>2</v>
      </c>
      <c r="M173" s="269">
        <v>1</v>
      </c>
      <c r="N173" s="41">
        <v>2.8312393572499994</v>
      </c>
      <c r="O173" s="33">
        <v>30</v>
      </c>
      <c r="P173" s="40">
        <v>1.4950238281849997E-5</v>
      </c>
      <c r="Q173" s="40">
        <v>0.11754691999520002</v>
      </c>
      <c r="R173" s="40">
        <v>16.893616539554998</v>
      </c>
      <c r="S173" s="40">
        <v>2.7786980433799997E-6</v>
      </c>
      <c r="T173" s="40">
        <v>1.50065358109E-2</v>
      </c>
      <c r="U173" s="40">
        <v>0.24982965177820002</v>
      </c>
      <c r="V173" s="40">
        <v>2.72666363434E-2</v>
      </c>
      <c r="W173" s="40">
        <v>6.9564815897699992</v>
      </c>
      <c r="X173" s="40">
        <v>0.14556853981600001</v>
      </c>
      <c r="Y173" s="40">
        <v>610.62356934666502</v>
      </c>
      <c r="Z173" s="40">
        <v>2.35894790639E-2</v>
      </c>
      <c r="AA173" s="40"/>
      <c r="AB173" s="40"/>
      <c r="AC173" s="40"/>
      <c r="AD173" s="40"/>
      <c r="AE173" s="40"/>
      <c r="AF173" s="40"/>
      <c r="AG173" s="40"/>
      <c r="AH173" s="40"/>
      <c r="AI173" s="40"/>
      <c r="AJ173" s="40"/>
      <c r="AK173" s="40"/>
      <c r="AL173" s="40"/>
      <c r="AM173" s="40"/>
      <c r="AN173" s="40"/>
      <c r="AO173" s="40"/>
      <c r="AP173" s="40"/>
      <c r="AQ173" s="40"/>
      <c r="AR173" s="40"/>
      <c r="AS173" s="40"/>
      <c r="AT173" s="40"/>
      <c r="AU173" s="40"/>
      <c r="AV173" s="313">
        <v>4.8449217574450003</v>
      </c>
      <c r="AW173" s="317"/>
      <c r="AX173" s="317"/>
      <c r="AY173" s="313">
        <v>260.45039614558999</v>
      </c>
      <c r="AZ173" s="40"/>
      <c r="BA173" s="40"/>
      <c r="BB173" s="40"/>
      <c r="BC173" s="40">
        <v>4.7941078826100006E-2</v>
      </c>
      <c r="BD173" s="40">
        <v>1.5468436540100002E-4</v>
      </c>
      <c r="BE173" s="40">
        <v>4.0315851206399991</v>
      </c>
      <c r="BF173" s="40">
        <v>1.6166214729599999E-3</v>
      </c>
      <c r="BG173" s="40"/>
      <c r="BH173" s="40"/>
      <c r="BI173" s="40"/>
      <c r="BJ173" s="40"/>
      <c r="BK173" s="40"/>
      <c r="BL173" s="62">
        <v>0</v>
      </c>
      <c r="BM173" s="275">
        <v>2</v>
      </c>
      <c r="BN173" s="62">
        <v>0</v>
      </c>
      <c r="BO173" s="33" t="s">
        <v>485</v>
      </c>
    </row>
    <row r="174" spans="1:67">
      <c r="A174" s="33" t="str">
        <f>Database_Productkaarten[[#This Row],[Product]]&amp;", "&amp;Database_Productkaarten[[#This Row],[Levensfase]]</f>
        <v>Open steenasfalt - PCR 1.0, A3</v>
      </c>
      <c r="B174" s="33" t="s">
        <v>499</v>
      </c>
      <c r="C174" s="33" t="s">
        <v>483</v>
      </c>
      <c r="E174" s="33" t="s">
        <v>378</v>
      </c>
      <c r="F174" s="33" t="s">
        <v>76</v>
      </c>
      <c r="L174" s="33">
        <v>2</v>
      </c>
      <c r="M174" s="269">
        <v>1</v>
      </c>
      <c r="N174" s="41">
        <v>1.6504395543015913</v>
      </c>
      <c r="O174" s="33">
        <v>30</v>
      </c>
      <c r="P174" s="40">
        <v>4.0862131412833461E-6</v>
      </c>
      <c r="Q174" s="40">
        <v>0.19689968880909026</v>
      </c>
      <c r="R174" s="40">
        <v>23.003147541845994</v>
      </c>
      <c r="S174" s="40">
        <v>2.6921472415723281E-6</v>
      </c>
      <c r="T174" s="40">
        <v>3.7351260660337549E-3</v>
      </c>
      <c r="U174" s="40">
        <v>2.38921934510458E-2</v>
      </c>
      <c r="V174" s="40">
        <v>4.2285267259482779E-3</v>
      </c>
      <c r="W174" s="40">
        <v>3.5177752070693145</v>
      </c>
      <c r="X174" s="40">
        <v>2.2523021507326293E-2</v>
      </c>
      <c r="Y174" s="40">
        <v>91.295113949095096</v>
      </c>
      <c r="Z174" s="40">
        <v>1.9932928480562228E-2</v>
      </c>
      <c r="AA174" s="40"/>
      <c r="AB174" s="40"/>
      <c r="AC174" s="40"/>
      <c r="AD174" s="40"/>
      <c r="AE174" s="40"/>
      <c r="AF174" s="40"/>
      <c r="AG174" s="40"/>
      <c r="AH174" s="40"/>
      <c r="AI174" s="40"/>
      <c r="AJ174" s="40"/>
      <c r="AK174" s="40"/>
      <c r="AL174" s="40"/>
      <c r="AM174" s="40"/>
      <c r="AN174" s="40"/>
      <c r="AO174" s="40"/>
      <c r="AP174" s="40"/>
      <c r="AQ174" s="40"/>
      <c r="AR174" s="40"/>
      <c r="AS174" s="40"/>
      <c r="AT174" s="40"/>
      <c r="AU174" s="40"/>
      <c r="AV174" s="313">
        <v>5.6947174060643508</v>
      </c>
      <c r="AW174" s="317"/>
      <c r="AX174" s="317"/>
      <c r="AY174" s="313">
        <v>402.82439758783477</v>
      </c>
      <c r="AZ174" s="40"/>
      <c r="BA174" s="40"/>
      <c r="BB174" s="40"/>
      <c r="BC174" s="40">
        <v>3.7388881899700459E-2</v>
      </c>
      <c r="BD174" s="40">
        <v>5.258676653240405E-4</v>
      </c>
      <c r="BE174" s="40">
        <v>0.23518540447052744</v>
      </c>
      <c r="BF174" s="40">
        <v>3.5333288962635889E-4</v>
      </c>
      <c r="BG174" s="40"/>
      <c r="BH174" s="40"/>
      <c r="BI174" s="40"/>
      <c r="BJ174" s="40"/>
      <c r="BK174" s="40"/>
      <c r="BL174" s="62">
        <v>0</v>
      </c>
      <c r="BM174" s="275">
        <v>2</v>
      </c>
      <c r="BN174" s="62">
        <v>0</v>
      </c>
      <c r="BO174" s="33" t="s">
        <v>485</v>
      </c>
    </row>
    <row r="175" spans="1:67">
      <c r="A175" s="33" t="str">
        <f>Database_Productkaarten[[#This Row],[Product]]&amp;", "&amp;Database_Productkaarten[[#This Row],[Levensfase]]</f>
        <v>Open steenasfalt - PCR 1.0, A1-A3</v>
      </c>
      <c r="B175" s="33" t="str">
        <f>B174</f>
        <v>Open steenasfalt - PCR 1.0</v>
      </c>
      <c r="C175" s="33" t="str">
        <f>C174</f>
        <v>Bitumineuze verhardingen</v>
      </c>
      <c r="D175" s="33">
        <f>D174</f>
        <v>0</v>
      </c>
      <c r="E175" s="33" t="str">
        <f>E174</f>
        <v>Ton</v>
      </c>
      <c r="F175" s="33" t="s">
        <v>77</v>
      </c>
      <c r="L175" s="33">
        <f>L174</f>
        <v>2</v>
      </c>
      <c r="M175" s="45">
        <f>M174</f>
        <v>1</v>
      </c>
      <c r="N175" s="252">
        <f>SUM(N172:N174)</f>
        <v>8.9529994275515907</v>
      </c>
      <c r="O175" s="33">
        <f>O174</f>
        <v>30</v>
      </c>
      <c r="P175" s="40">
        <f>SUM(P172:P174)</f>
        <v>1.0446570102313334E-4</v>
      </c>
      <c r="Q175" s="40">
        <f t="shared" ref="Q175:BK175" si="29">SUM(Q172:Q174)</f>
        <v>1.0382115311042903</v>
      </c>
      <c r="R175" s="40">
        <f t="shared" si="29"/>
        <v>72.297104487400986</v>
      </c>
      <c r="S175" s="40">
        <f t="shared" si="29"/>
        <v>8.4492921149523273E-6</v>
      </c>
      <c r="T175" s="40">
        <f t="shared" si="29"/>
        <v>9.7964911996933746E-2</v>
      </c>
      <c r="U175" s="40">
        <f t="shared" si="29"/>
        <v>0.51395802772924581</v>
      </c>
      <c r="V175" s="40">
        <f t="shared" si="29"/>
        <v>5.8052558669348275E-2</v>
      </c>
      <c r="W175" s="40">
        <f t="shared" si="29"/>
        <v>19.909860431839313</v>
      </c>
      <c r="X175" s="40">
        <f t="shared" si="29"/>
        <v>1.2830796664233262</v>
      </c>
      <c r="Y175" s="40">
        <f t="shared" si="29"/>
        <v>5555.0799386397603</v>
      </c>
      <c r="Z175" s="40">
        <f t="shared" si="29"/>
        <v>0.1936540684444622</v>
      </c>
      <c r="AA175" s="40">
        <f t="shared" si="29"/>
        <v>0</v>
      </c>
      <c r="AB175" s="40">
        <f t="shared" si="29"/>
        <v>0</v>
      </c>
      <c r="AC175" s="40">
        <f t="shared" si="29"/>
        <v>0</v>
      </c>
      <c r="AD175" s="40">
        <f t="shared" si="29"/>
        <v>0</v>
      </c>
      <c r="AE175" s="40">
        <f t="shared" si="29"/>
        <v>0</v>
      </c>
      <c r="AF175" s="40">
        <f t="shared" si="29"/>
        <v>0</v>
      </c>
      <c r="AG175" s="40">
        <f t="shared" si="29"/>
        <v>0</v>
      </c>
      <c r="AH175" s="40">
        <f t="shared" si="29"/>
        <v>0</v>
      </c>
      <c r="AI175" s="40">
        <f t="shared" si="29"/>
        <v>0</v>
      </c>
      <c r="AJ175" s="40">
        <f t="shared" si="29"/>
        <v>0</v>
      </c>
      <c r="AK175" s="40">
        <f t="shared" si="29"/>
        <v>0</v>
      </c>
      <c r="AL175" s="40">
        <f t="shared" si="29"/>
        <v>0</v>
      </c>
      <c r="AM175" s="40">
        <f t="shared" si="29"/>
        <v>0</v>
      </c>
      <c r="AN175" s="40">
        <f t="shared" si="29"/>
        <v>0</v>
      </c>
      <c r="AO175" s="40">
        <f t="shared" si="29"/>
        <v>0</v>
      </c>
      <c r="AP175" s="40">
        <f t="shared" si="29"/>
        <v>0</v>
      </c>
      <c r="AQ175" s="40">
        <f t="shared" si="29"/>
        <v>0</v>
      </c>
      <c r="AR175" s="40">
        <f t="shared" si="29"/>
        <v>0</v>
      </c>
      <c r="AS175" s="40">
        <f t="shared" si="29"/>
        <v>0</v>
      </c>
      <c r="AT175" s="40">
        <f t="shared" si="29"/>
        <v>0</v>
      </c>
      <c r="AU175" s="40">
        <f t="shared" si="29"/>
        <v>0</v>
      </c>
      <c r="AV175" s="317">
        <f t="shared" si="29"/>
        <v>25.880833269509353</v>
      </c>
      <c r="AW175" s="317">
        <f t="shared" si="29"/>
        <v>0</v>
      </c>
      <c r="AX175" s="317">
        <f t="shared" si="29"/>
        <v>0</v>
      </c>
      <c r="AY175" s="317">
        <f t="shared" si="29"/>
        <v>2303.6556232704247</v>
      </c>
      <c r="AZ175" s="40">
        <f t="shared" si="29"/>
        <v>0</v>
      </c>
      <c r="BA175" s="40">
        <f t="shared" si="29"/>
        <v>0</v>
      </c>
      <c r="BB175" s="40">
        <f t="shared" si="29"/>
        <v>0</v>
      </c>
      <c r="BC175" s="40">
        <f t="shared" si="29"/>
        <v>16.867342302425801</v>
      </c>
      <c r="BD175" s="40">
        <f t="shared" si="29"/>
        <v>1.3515712517250403E-3</v>
      </c>
      <c r="BE175" s="40">
        <f t="shared" si="29"/>
        <v>7.0557477631105261</v>
      </c>
      <c r="BF175" s="40">
        <f t="shared" si="29"/>
        <v>3.0633070485863588E-3</v>
      </c>
      <c r="BG175" s="40">
        <f t="shared" si="29"/>
        <v>0</v>
      </c>
      <c r="BH175" s="40">
        <f t="shared" si="29"/>
        <v>0</v>
      </c>
      <c r="BI175" s="40">
        <f t="shared" si="29"/>
        <v>0</v>
      </c>
      <c r="BJ175" s="40">
        <f t="shared" si="29"/>
        <v>0</v>
      </c>
      <c r="BK175" s="40">
        <f t="shared" si="29"/>
        <v>0</v>
      </c>
      <c r="BL175" s="62">
        <f>BL174</f>
        <v>0</v>
      </c>
      <c r="BM175" s="275">
        <f>BM174</f>
        <v>2</v>
      </c>
      <c r="BN175" s="62">
        <v>0</v>
      </c>
      <c r="BO175" s="33" t="str">
        <f>BO174</f>
        <v>TNO 2020 R10987 LCA Achtergrondrapport voor brancherepresentatieve Nederlandse asfaltmengsels 2020</v>
      </c>
    </row>
    <row r="176" spans="1:67">
      <c r="A176" s="33" t="str">
        <f>Database_Productkaarten[[#This Row],[Product]]&amp;", "&amp;Database_Productkaarten[[#This Row],[Levensfase]]</f>
        <v>Open steenasfalt - PCR 1.0, A4</v>
      </c>
      <c r="B176" s="33" t="s">
        <v>499</v>
      </c>
      <c r="C176" s="33" t="s">
        <v>483</v>
      </c>
      <c r="E176" s="33" t="s">
        <v>378</v>
      </c>
      <c r="F176" s="33" t="s">
        <v>78</v>
      </c>
      <c r="L176" s="33">
        <v>2</v>
      </c>
      <c r="M176" s="269">
        <v>1</v>
      </c>
      <c r="N176" s="41">
        <v>0.96188790000000002</v>
      </c>
      <c r="O176" s="33">
        <v>30</v>
      </c>
      <c r="P176" s="40">
        <v>1.6790396999999999E-5</v>
      </c>
      <c r="Q176" s="40">
        <v>6.6045701999999998E-2</v>
      </c>
      <c r="R176" s="40">
        <v>8.7209053999999995</v>
      </c>
      <c r="S176" s="40">
        <v>1.7336426999999999E-6</v>
      </c>
      <c r="T176" s="40">
        <v>5.4680828999999999E-3</v>
      </c>
      <c r="U176" s="40">
        <v>2.9290009999999998E-2</v>
      </c>
      <c r="V176" s="40">
        <v>5.8153672000000002E-3</v>
      </c>
      <c r="W176" s="40">
        <v>3.0663694000000001</v>
      </c>
      <c r="X176" s="40">
        <v>0.19769922000000001</v>
      </c>
      <c r="Y176" s="40">
        <v>517.90637000000004</v>
      </c>
      <c r="Z176" s="40">
        <v>1.8187483000000001E-2</v>
      </c>
      <c r="AA176" s="40"/>
      <c r="AB176" s="40"/>
      <c r="AC176" s="40"/>
      <c r="AD176" s="40"/>
      <c r="AE176" s="40"/>
      <c r="AF176" s="40"/>
      <c r="AG176" s="40"/>
      <c r="AH176" s="40"/>
      <c r="AI176" s="40"/>
      <c r="AJ176" s="40"/>
      <c r="AK176" s="40"/>
      <c r="AL176" s="40"/>
      <c r="AM176" s="40"/>
      <c r="AN176" s="40"/>
      <c r="AO176" s="40"/>
      <c r="AP176" s="40"/>
      <c r="AQ176" s="40"/>
      <c r="AR176" s="40"/>
      <c r="AS176" s="40"/>
      <c r="AT176" s="40"/>
      <c r="AU176" s="40"/>
      <c r="AV176" s="313">
        <v>0</v>
      </c>
      <c r="AW176" s="317"/>
      <c r="AX176" s="317"/>
      <c r="AY176" s="313">
        <v>0</v>
      </c>
      <c r="AZ176" s="40"/>
      <c r="BA176" s="40"/>
      <c r="BB176" s="40"/>
      <c r="BC176" s="40">
        <v>0</v>
      </c>
      <c r="BD176" s="40">
        <v>0</v>
      </c>
      <c r="BE176" s="40">
        <v>0</v>
      </c>
      <c r="BF176" s="40">
        <v>0</v>
      </c>
      <c r="BG176" s="40"/>
      <c r="BH176" s="40"/>
      <c r="BI176" s="40"/>
      <c r="BJ176" s="40"/>
      <c r="BK176" s="40"/>
      <c r="BL176" s="62">
        <v>0</v>
      </c>
      <c r="BM176" s="275">
        <v>2</v>
      </c>
      <c r="BN176" s="62">
        <v>0</v>
      </c>
      <c r="BO176" s="33" t="s">
        <v>485</v>
      </c>
    </row>
    <row r="177" spans="1:67">
      <c r="A177" s="33" t="str">
        <f>Database_Productkaarten[[#This Row],[Product]]&amp;", "&amp;Database_Productkaarten[[#This Row],[Levensfase]]</f>
        <v>Open steenasfalt - PCR 1.0, A5</v>
      </c>
      <c r="B177" s="33" t="s">
        <v>499</v>
      </c>
      <c r="C177" s="33" t="s">
        <v>483</v>
      </c>
      <c r="E177" s="33" t="s">
        <v>378</v>
      </c>
      <c r="F177" s="33" t="s">
        <v>79</v>
      </c>
      <c r="L177" s="33">
        <v>2</v>
      </c>
      <c r="M177" s="269">
        <v>1</v>
      </c>
      <c r="N177" s="41">
        <v>0.21041449000000001</v>
      </c>
      <c r="O177" s="33">
        <v>30</v>
      </c>
      <c r="P177" s="40">
        <v>5.5521790000000002E-7</v>
      </c>
      <c r="Q177" s="40">
        <v>1.1398007E-2</v>
      </c>
      <c r="R177" s="40">
        <v>2.2019112000000001</v>
      </c>
      <c r="S177" s="40">
        <v>2.9848207999999998E-7</v>
      </c>
      <c r="T177" s="40">
        <v>7.6816657999999999E-4</v>
      </c>
      <c r="U177" s="40">
        <v>7.0245098999999998E-3</v>
      </c>
      <c r="V177" s="40">
        <v>1.5085121999999999E-3</v>
      </c>
      <c r="W177" s="40">
        <v>0.57978304000000003</v>
      </c>
      <c r="X177" s="40">
        <v>8.2665138999999995E-3</v>
      </c>
      <c r="Y177" s="40">
        <v>27.878706000000001</v>
      </c>
      <c r="Z177" s="40">
        <v>9.8137887999999993E-4</v>
      </c>
      <c r="AA177" s="40"/>
      <c r="AB177" s="40"/>
      <c r="AC177" s="40"/>
      <c r="AD177" s="40"/>
      <c r="AE177" s="40"/>
      <c r="AF177" s="40"/>
      <c r="AG177" s="40"/>
      <c r="AH177" s="40"/>
      <c r="AI177" s="40"/>
      <c r="AJ177" s="40"/>
      <c r="AK177" s="40"/>
      <c r="AL177" s="40"/>
      <c r="AM177" s="40"/>
      <c r="AN177" s="40"/>
      <c r="AO177" s="40"/>
      <c r="AP177" s="40"/>
      <c r="AQ177" s="40"/>
      <c r="AR177" s="40"/>
      <c r="AS177" s="40"/>
      <c r="AT177" s="40"/>
      <c r="AU177" s="40"/>
      <c r="AV177" s="313">
        <v>0.13939961000000001</v>
      </c>
      <c r="AW177" s="317"/>
      <c r="AX177" s="317"/>
      <c r="AY177" s="313">
        <v>25.552444000000001</v>
      </c>
      <c r="AZ177" s="40"/>
      <c r="BA177" s="40"/>
      <c r="BB177" s="40"/>
      <c r="BC177" s="40">
        <v>3.1489918000000001E-3</v>
      </c>
      <c r="BD177" s="40">
        <v>1.0731710999999999E-5</v>
      </c>
      <c r="BE177" s="40">
        <v>2.5624694E-2</v>
      </c>
      <c r="BF177" s="40">
        <v>1.671473E-4</v>
      </c>
      <c r="BG177" s="40"/>
      <c r="BH177" s="40"/>
      <c r="BI177" s="40"/>
      <c r="BJ177" s="40"/>
      <c r="BK177" s="40"/>
      <c r="BL177" s="62">
        <v>0</v>
      </c>
      <c r="BM177" s="275">
        <v>2</v>
      </c>
      <c r="BN177" s="62">
        <v>0</v>
      </c>
      <c r="BO177" s="33" t="s">
        <v>485</v>
      </c>
    </row>
    <row r="178" spans="1:67">
      <c r="A178" s="33" t="str">
        <f>Database_Productkaarten[[#This Row],[Product]]&amp;", "&amp;Database_Productkaarten[[#This Row],[Levensfase]]</f>
        <v>Open steenasfalt - PCR 1.0, B1</v>
      </c>
      <c r="B178" s="33" t="s">
        <v>499</v>
      </c>
      <c r="C178" s="33" t="s">
        <v>483</v>
      </c>
      <c r="E178" s="33" t="s">
        <v>378</v>
      </c>
      <c r="F178" s="33" t="s">
        <v>80</v>
      </c>
      <c r="L178" s="33">
        <v>2</v>
      </c>
      <c r="M178" s="269">
        <v>1</v>
      </c>
      <c r="N178" s="41">
        <v>1.0088637</v>
      </c>
      <c r="O178" s="33">
        <v>30</v>
      </c>
      <c r="P178" s="40">
        <v>0</v>
      </c>
      <c r="Q178" s="40">
        <v>0</v>
      </c>
      <c r="R178" s="40">
        <v>0</v>
      </c>
      <c r="S178" s="40">
        <v>0</v>
      </c>
      <c r="T178" s="40">
        <v>0</v>
      </c>
      <c r="U178" s="40">
        <v>0</v>
      </c>
      <c r="V178" s="40">
        <v>0</v>
      </c>
      <c r="W178" s="40">
        <v>3.5794545000000002</v>
      </c>
      <c r="X178" s="40">
        <v>2.031E-5</v>
      </c>
      <c r="Y178" s="40">
        <v>6853.3693999999996</v>
      </c>
      <c r="Z178" s="40">
        <v>2.2919999999999999E-2</v>
      </c>
      <c r="AA178" s="40"/>
      <c r="AB178" s="40"/>
      <c r="AC178" s="40"/>
      <c r="AD178" s="40"/>
      <c r="AE178" s="40"/>
      <c r="AF178" s="40"/>
      <c r="AG178" s="40"/>
      <c r="AH178" s="40"/>
      <c r="AI178" s="40"/>
      <c r="AJ178" s="40"/>
      <c r="AK178" s="40"/>
      <c r="AL178" s="40"/>
      <c r="AM178" s="40"/>
      <c r="AN178" s="40"/>
      <c r="AO178" s="40"/>
      <c r="AP178" s="40"/>
      <c r="AQ178" s="40"/>
      <c r="AR178" s="40"/>
      <c r="AS178" s="40"/>
      <c r="AT178" s="40"/>
      <c r="AU178" s="40"/>
      <c r="AV178" s="313">
        <v>0</v>
      </c>
      <c r="AW178" s="317"/>
      <c r="AX178" s="317"/>
      <c r="AY178" s="313">
        <v>0</v>
      </c>
      <c r="AZ178" s="40"/>
      <c r="BA178" s="40"/>
      <c r="BB178" s="40"/>
      <c r="BC178" s="40">
        <v>0</v>
      </c>
      <c r="BD178" s="40">
        <v>0</v>
      </c>
      <c r="BE178" s="40">
        <v>0</v>
      </c>
      <c r="BF178" s="40">
        <v>0</v>
      </c>
      <c r="BG178" s="40"/>
      <c r="BH178" s="40"/>
      <c r="BI178" s="40"/>
      <c r="BJ178" s="40"/>
      <c r="BK178" s="40"/>
      <c r="BL178" s="62">
        <v>0</v>
      </c>
      <c r="BM178" s="275">
        <v>2</v>
      </c>
      <c r="BN178" s="62">
        <v>0</v>
      </c>
      <c r="BO178" s="33" t="s">
        <v>485</v>
      </c>
    </row>
    <row r="179" spans="1:67">
      <c r="A179" s="33" t="str">
        <f>Database_Productkaarten[[#This Row],[Product]]&amp;", "&amp;Database_Productkaarten[[#This Row],[Levensfase]]</f>
        <v>Open steenasfalt - PCR 1.0, C1</v>
      </c>
      <c r="B179" s="33" t="s">
        <v>499</v>
      </c>
      <c r="C179" s="33" t="s">
        <v>483</v>
      </c>
      <c r="E179" s="33" t="s">
        <v>378</v>
      </c>
      <c r="F179" s="33" t="s">
        <v>83</v>
      </c>
      <c r="L179" s="33">
        <v>2</v>
      </c>
      <c r="M179" s="269">
        <v>1</v>
      </c>
      <c r="N179" s="41">
        <v>8.4165796000000001E-2</v>
      </c>
      <c r="O179" s="33">
        <v>30</v>
      </c>
      <c r="P179" s="40">
        <v>2.2208715999999999E-7</v>
      </c>
      <c r="Q179" s="40">
        <v>4.5592026999999999E-3</v>
      </c>
      <c r="R179" s="40">
        <v>0.88076447999999996</v>
      </c>
      <c r="S179" s="40">
        <v>1.1939283000000001E-7</v>
      </c>
      <c r="T179" s="40">
        <v>3.0726663000000003E-4</v>
      </c>
      <c r="U179" s="40">
        <v>2.8098039999999999E-3</v>
      </c>
      <c r="V179" s="40">
        <v>6.0340489000000001E-4</v>
      </c>
      <c r="W179" s="40">
        <v>0.23191322</v>
      </c>
      <c r="X179" s="40">
        <v>3.3066056E-3</v>
      </c>
      <c r="Y179" s="40">
        <v>11.151482</v>
      </c>
      <c r="Z179" s="40">
        <v>3.9255155000000001E-4</v>
      </c>
      <c r="AA179" s="40"/>
      <c r="AB179" s="40"/>
      <c r="AC179" s="40"/>
      <c r="AD179" s="40"/>
      <c r="AE179" s="40"/>
      <c r="AF179" s="40"/>
      <c r="AG179" s="40"/>
      <c r="AH179" s="40"/>
      <c r="AI179" s="40"/>
      <c r="AJ179" s="40"/>
      <c r="AK179" s="40"/>
      <c r="AL179" s="40"/>
      <c r="AM179" s="40"/>
      <c r="AN179" s="40"/>
      <c r="AO179" s="40"/>
      <c r="AP179" s="40"/>
      <c r="AQ179" s="40"/>
      <c r="AR179" s="40"/>
      <c r="AS179" s="40"/>
      <c r="AT179" s="40"/>
      <c r="AU179" s="40"/>
      <c r="AV179" s="313">
        <v>5.5759841999999997E-2</v>
      </c>
      <c r="AW179" s="317"/>
      <c r="AX179" s="317"/>
      <c r="AY179" s="313">
        <v>10.220978000000001</v>
      </c>
      <c r="AZ179" s="40"/>
      <c r="BA179" s="40"/>
      <c r="BB179" s="40"/>
      <c r="BC179" s="40">
        <v>1.2595967E-3</v>
      </c>
      <c r="BD179" s="40">
        <v>4.2926843999999997E-6</v>
      </c>
      <c r="BE179" s="40">
        <v>1.0249878E-2</v>
      </c>
      <c r="BF179" s="40">
        <v>6.6858919000000003E-5</v>
      </c>
      <c r="BG179" s="40"/>
      <c r="BH179" s="40"/>
      <c r="BI179" s="40"/>
      <c r="BJ179" s="40"/>
      <c r="BK179" s="40"/>
      <c r="BL179" s="62">
        <v>0</v>
      </c>
      <c r="BM179" s="275">
        <v>2</v>
      </c>
      <c r="BN179" s="62">
        <v>0</v>
      </c>
      <c r="BO179" s="33" t="s">
        <v>485</v>
      </c>
    </row>
    <row r="180" spans="1:67">
      <c r="A180" s="33" t="str">
        <f>Database_Productkaarten[[#This Row],[Product]]&amp;", "&amp;Database_Productkaarten[[#This Row],[Levensfase]]</f>
        <v>Open steenasfalt - PCR 1.0, C2</v>
      </c>
      <c r="B180" s="33" t="s">
        <v>499</v>
      </c>
      <c r="C180" s="33" t="s">
        <v>483</v>
      </c>
      <c r="E180" s="33" t="s">
        <v>378</v>
      </c>
      <c r="F180" s="33" t="s">
        <v>84</v>
      </c>
      <c r="L180" s="33">
        <v>2</v>
      </c>
      <c r="M180" s="269">
        <v>1</v>
      </c>
      <c r="N180" s="41">
        <v>0.96188790000000002</v>
      </c>
      <c r="O180" s="33">
        <v>30</v>
      </c>
      <c r="P180" s="40">
        <v>1.6790396999999999E-5</v>
      </c>
      <c r="Q180" s="40">
        <v>6.6045701999999998E-2</v>
      </c>
      <c r="R180" s="40">
        <v>8.7209053999999995</v>
      </c>
      <c r="S180" s="40">
        <v>1.7336426999999999E-6</v>
      </c>
      <c r="T180" s="40">
        <v>5.4680828999999999E-3</v>
      </c>
      <c r="U180" s="40">
        <v>2.9290009999999998E-2</v>
      </c>
      <c r="V180" s="40">
        <v>5.8153672000000002E-3</v>
      </c>
      <c r="W180" s="40">
        <v>3.0663694000000001</v>
      </c>
      <c r="X180" s="40">
        <v>0.19769922000000001</v>
      </c>
      <c r="Y180" s="40">
        <v>517.90637000000004</v>
      </c>
      <c r="Z180" s="40">
        <v>1.8187483000000001E-2</v>
      </c>
      <c r="AA180" s="40"/>
      <c r="AB180" s="40"/>
      <c r="AC180" s="40"/>
      <c r="AD180" s="40"/>
      <c r="AE180" s="40"/>
      <c r="AF180" s="40"/>
      <c r="AG180" s="40"/>
      <c r="AH180" s="40"/>
      <c r="AI180" s="40"/>
      <c r="AJ180" s="40"/>
      <c r="AK180" s="40"/>
      <c r="AL180" s="40"/>
      <c r="AM180" s="40"/>
      <c r="AN180" s="40"/>
      <c r="AO180" s="40"/>
      <c r="AP180" s="40"/>
      <c r="AQ180" s="40"/>
      <c r="AR180" s="40"/>
      <c r="AS180" s="40"/>
      <c r="AT180" s="40"/>
      <c r="AU180" s="40"/>
      <c r="AV180" s="313">
        <v>0</v>
      </c>
      <c r="AW180" s="317"/>
      <c r="AX180" s="317"/>
      <c r="AY180" s="313">
        <v>0</v>
      </c>
      <c r="AZ180" s="40"/>
      <c r="BA180" s="40"/>
      <c r="BB180" s="40"/>
      <c r="BC180" s="40">
        <v>0</v>
      </c>
      <c r="BD180" s="40">
        <v>0</v>
      </c>
      <c r="BE180" s="40">
        <v>0</v>
      </c>
      <c r="BF180" s="40">
        <v>0</v>
      </c>
      <c r="BG180" s="40"/>
      <c r="BH180" s="40"/>
      <c r="BI180" s="40"/>
      <c r="BJ180" s="40"/>
      <c r="BK180" s="40"/>
      <c r="BL180" s="62">
        <v>0</v>
      </c>
      <c r="BM180" s="275">
        <v>2</v>
      </c>
      <c r="BN180" s="62">
        <v>0</v>
      </c>
      <c r="BO180" s="33" t="s">
        <v>485</v>
      </c>
    </row>
    <row r="181" spans="1:67">
      <c r="A181" s="33" t="str">
        <f>Database_Productkaarten[[#This Row],[Product]]&amp;", "&amp;Database_Productkaarten[[#This Row],[Levensfase]]</f>
        <v>Open steenasfalt - PCR 1.0, C4</v>
      </c>
      <c r="B181" s="33" t="s">
        <v>499</v>
      </c>
      <c r="C181" s="33" t="s">
        <v>483</v>
      </c>
      <c r="E181" s="33" t="s">
        <v>378</v>
      </c>
      <c r="F181" s="33" t="s">
        <v>86</v>
      </c>
      <c r="L181" s="33">
        <v>2</v>
      </c>
      <c r="M181" s="269">
        <v>1</v>
      </c>
      <c r="N181" s="41">
        <v>0.74700358</v>
      </c>
      <c r="O181" s="33">
        <v>30</v>
      </c>
      <c r="P181" s="40">
        <v>5.9754661000000001E-6</v>
      </c>
      <c r="Q181" s="40">
        <v>7.7588107000000003E-2</v>
      </c>
      <c r="R181" s="40">
        <v>5.3083710000000002</v>
      </c>
      <c r="S181" s="40">
        <v>1.9141221000000001E-6</v>
      </c>
      <c r="T181" s="40">
        <v>5.7789839000000004E-3</v>
      </c>
      <c r="U181" s="40">
        <v>4.0020355000000001E-2</v>
      </c>
      <c r="V181" s="40">
        <v>7.5688585000000001E-3</v>
      </c>
      <c r="W181" s="40">
        <v>2.3082191000000001</v>
      </c>
      <c r="X181" s="40">
        <v>5.5904124999999999E-2</v>
      </c>
      <c r="Y181" s="40">
        <v>195.90810999999999</v>
      </c>
      <c r="Z181" s="40">
        <v>5.7629997000000002E-3</v>
      </c>
      <c r="AA181" s="40"/>
      <c r="AB181" s="40"/>
      <c r="AC181" s="40"/>
      <c r="AD181" s="40"/>
      <c r="AE181" s="40"/>
      <c r="AF181" s="40"/>
      <c r="AG181" s="40"/>
      <c r="AH181" s="40"/>
      <c r="AI181" s="40"/>
      <c r="AJ181" s="40"/>
      <c r="AK181" s="40"/>
      <c r="AL181" s="40"/>
      <c r="AM181" s="40"/>
      <c r="AN181" s="40"/>
      <c r="AO181" s="40"/>
      <c r="AP181" s="40"/>
      <c r="AQ181" s="40"/>
      <c r="AR181" s="40"/>
      <c r="AS181" s="40"/>
      <c r="AT181" s="40"/>
      <c r="AU181" s="40"/>
      <c r="AV181" s="313">
        <v>1.334495</v>
      </c>
      <c r="AW181" s="317"/>
      <c r="AX181" s="317"/>
      <c r="AY181" s="313">
        <v>173.28258</v>
      </c>
      <c r="AZ181" s="40"/>
      <c r="BA181" s="40"/>
      <c r="BB181" s="40"/>
      <c r="BC181" s="40">
        <v>0.16860095</v>
      </c>
      <c r="BD181" s="40">
        <v>1.0912479E-4</v>
      </c>
      <c r="BE181" s="40">
        <v>1004.6596</v>
      </c>
      <c r="BF181" s="40">
        <v>1.0789312000000001E-3</v>
      </c>
      <c r="BG181" s="40"/>
      <c r="BH181" s="40"/>
      <c r="BI181" s="40"/>
      <c r="BJ181" s="40"/>
      <c r="BK181" s="40"/>
      <c r="BL181" s="62">
        <v>0</v>
      </c>
      <c r="BM181" s="275">
        <v>2</v>
      </c>
      <c r="BN181" s="62">
        <v>0</v>
      </c>
      <c r="BO181" s="33" t="s">
        <v>485</v>
      </c>
    </row>
    <row r="182" spans="1:67">
      <c r="A182" s="33" t="str">
        <f>Database_Productkaarten[[#This Row],[Product]]&amp;", "&amp;Database_Productkaarten[[#This Row],[Levensfase]]</f>
        <v>Open steenasfalt - PCR 1.0, D</v>
      </c>
      <c r="B182" s="33" t="str">
        <f>B183</f>
        <v>Open steenasfalt - PCR 1.0</v>
      </c>
      <c r="C182" s="33" t="str">
        <f>C183</f>
        <v>Bitumineuze verhardingen</v>
      </c>
      <c r="D182" s="33">
        <f>D183</f>
        <v>0</v>
      </c>
      <c r="E182" s="33" t="str">
        <f>E183</f>
        <v>Ton</v>
      </c>
      <c r="F182" s="33" t="s">
        <v>89</v>
      </c>
      <c r="L182" s="33">
        <f>L183</f>
        <v>2</v>
      </c>
      <c r="M182" s="45">
        <f>M183</f>
        <v>1</v>
      </c>
      <c r="N182" s="41">
        <f>SUM(N183:N184)</f>
        <v>0</v>
      </c>
      <c r="O182" s="33">
        <f>O183</f>
        <v>30</v>
      </c>
      <c r="P182" s="40">
        <f>SUM(P183:P184)</f>
        <v>0</v>
      </c>
      <c r="Q182" s="40">
        <f>SUM(Q183:Q184)</f>
        <v>0</v>
      </c>
      <c r="R182" s="40">
        <f>SUM(R183:R184)</f>
        <v>0</v>
      </c>
      <c r="S182" s="40">
        <f t="shared" ref="S182:BK182" si="30">SUM(S183:S184)</f>
        <v>0</v>
      </c>
      <c r="T182" s="40">
        <f t="shared" si="30"/>
        <v>0</v>
      </c>
      <c r="U182" s="40">
        <f t="shared" si="30"/>
        <v>0</v>
      </c>
      <c r="V182" s="40">
        <f t="shared" si="30"/>
        <v>0</v>
      </c>
      <c r="W182" s="40">
        <f t="shared" si="30"/>
        <v>0</v>
      </c>
      <c r="X182" s="40">
        <f t="shared" si="30"/>
        <v>0</v>
      </c>
      <c r="Y182" s="40">
        <f t="shared" si="30"/>
        <v>0</v>
      </c>
      <c r="Z182" s="40">
        <f t="shared" si="30"/>
        <v>0</v>
      </c>
      <c r="AA182" s="40">
        <f t="shared" si="30"/>
        <v>0</v>
      </c>
      <c r="AB182" s="40">
        <f t="shared" si="30"/>
        <v>0</v>
      </c>
      <c r="AC182" s="40">
        <f t="shared" si="30"/>
        <v>0</v>
      </c>
      <c r="AD182" s="40">
        <f t="shared" si="30"/>
        <v>0</v>
      </c>
      <c r="AE182" s="40">
        <f t="shared" si="30"/>
        <v>0</v>
      </c>
      <c r="AF182" s="40">
        <f t="shared" si="30"/>
        <v>0</v>
      </c>
      <c r="AG182" s="40">
        <f t="shared" si="30"/>
        <v>0</v>
      </c>
      <c r="AH182" s="40">
        <f t="shared" si="30"/>
        <v>0</v>
      </c>
      <c r="AI182" s="40">
        <f t="shared" si="30"/>
        <v>0</v>
      </c>
      <c r="AJ182" s="40">
        <f t="shared" si="30"/>
        <v>0</v>
      </c>
      <c r="AK182" s="40">
        <f t="shared" si="30"/>
        <v>0</v>
      </c>
      <c r="AL182" s="40">
        <f t="shared" si="30"/>
        <v>0</v>
      </c>
      <c r="AM182" s="40">
        <f t="shared" si="30"/>
        <v>0</v>
      </c>
      <c r="AN182" s="40">
        <f t="shared" si="30"/>
        <v>0</v>
      </c>
      <c r="AO182" s="40">
        <f t="shared" si="30"/>
        <v>0</v>
      </c>
      <c r="AP182" s="40">
        <f t="shared" si="30"/>
        <v>0</v>
      </c>
      <c r="AQ182" s="40">
        <f t="shared" si="30"/>
        <v>0</v>
      </c>
      <c r="AR182" s="40">
        <f t="shared" si="30"/>
        <v>0</v>
      </c>
      <c r="AS182" s="40">
        <f t="shared" si="30"/>
        <v>0</v>
      </c>
      <c r="AT182" s="40">
        <f t="shared" si="30"/>
        <v>0</v>
      </c>
      <c r="AU182" s="40">
        <f t="shared" si="30"/>
        <v>0</v>
      </c>
      <c r="AV182" s="317">
        <f t="shared" si="30"/>
        <v>0</v>
      </c>
      <c r="AW182" s="317">
        <f t="shared" si="30"/>
        <v>0</v>
      </c>
      <c r="AX182" s="317">
        <f t="shared" si="30"/>
        <v>0</v>
      </c>
      <c r="AY182" s="317">
        <f t="shared" si="30"/>
        <v>0</v>
      </c>
      <c r="AZ182" s="40">
        <f t="shared" si="30"/>
        <v>0</v>
      </c>
      <c r="BA182" s="40">
        <f t="shared" si="30"/>
        <v>0</v>
      </c>
      <c r="BB182" s="40">
        <f t="shared" si="30"/>
        <v>0</v>
      </c>
      <c r="BC182" s="40">
        <f t="shared" si="30"/>
        <v>0</v>
      </c>
      <c r="BD182" s="40">
        <f t="shared" si="30"/>
        <v>0</v>
      </c>
      <c r="BE182" s="40">
        <f t="shared" si="30"/>
        <v>0</v>
      </c>
      <c r="BF182" s="40">
        <f t="shared" si="30"/>
        <v>0</v>
      </c>
      <c r="BG182" s="40">
        <f t="shared" si="30"/>
        <v>0</v>
      </c>
      <c r="BH182" s="40">
        <f t="shared" si="30"/>
        <v>0</v>
      </c>
      <c r="BI182" s="40">
        <f t="shared" si="30"/>
        <v>0</v>
      </c>
      <c r="BJ182" s="40">
        <f t="shared" si="30"/>
        <v>0</v>
      </c>
      <c r="BK182" s="40">
        <f t="shared" si="30"/>
        <v>0</v>
      </c>
      <c r="BL182" s="62">
        <f>BL183</f>
        <v>0</v>
      </c>
      <c r="BM182" s="275">
        <f>BM183</f>
        <v>2</v>
      </c>
      <c r="BN182" s="62">
        <v>0</v>
      </c>
      <c r="BO182" s="33" t="str">
        <f>BO183</f>
        <v>TNO 2020 R10987 LCA Achtergrondrapport voor brancherepresentatieve Nederlandse asfaltmengsels 2020</v>
      </c>
    </row>
    <row r="183" spans="1:67">
      <c r="A183" s="33" t="str">
        <f>Database_Productkaarten[[#This Row],[Product]]&amp;", "&amp;Database_Productkaarten[[#This Row],[Levensfase]]</f>
        <v>Open steenasfalt - PCR 1.0, D1</v>
      </c>
      <c r="B183" s="33" t="s">
        <v>499</v>
      </c>
      <c r="C183" s="33" t="s">
        <v>483</v>
      </c>
      <c r="E183" s="33" t="s">
        <v>378</v>
      </c>
      <c r="F183" s="33" t="s">
        <v>87</v>
      </c>
      <c r="L183" s="33">
        <v>2</v>
      </c>
      <c r="M183" s="269">
        <v>1</v>
      </c>
      <c r="N183" s="41">
        <v>0</v>
      </c>
      <c r="O183" s="33">
        <v>30</v>
      </c>
      <c r="P183" s="40">
        <v>0</v>
      </c>
      <c r="Q183" s="40">
        <v>0</v>
      </c>
      <c r="R183" s="40">
        <v>0</v>
      </c>
      <c r="S183" s="40">
        <v>0</v>
      </c>
      <c r="T183" s="40">
        <v>0</v>
      </c>
      <c r="U183" s="40">
        <v>0</v>
      </c>
      <c r="V183" s="40">
        <v>0</v>
      </c>
      <c r="W183" s="40">
        <v>0</v>
      </c>
      <c r="X183" s="40">
        <v>0</v>
      </c>
      <c r="Y183" s="40">
        <v>0</v>
      </c>
      <c r="Z183" s="40">
        <v>0</v>
      </c>
      <c r="AA183" s="40"/>
      <c r="AB183" s="40"/>
      <c r="AC183" s="40"/>
      <c r="AD183" s="40"/>
      <c r="AE183" s="40"/>
      <c r="AF183" s="40"/>
      <c r="AG183" s="40"/>
      <c r="AH183" s="40"/>
      <c r="AI183" s="40"/>
      <c r="AJ183" s="40"/>
      <c r="AK183" s="40"/>
      <c r="AL183" s="40"/>
      <c r="AM183" s="40"/>
      <c r="AN183" s="40"/>
      <c r="AO183" s="40"/>
      <c r="AP183" s="40"/>
      <c r="AQ183" s="40"/>
      <c r="AR183" s="40"/>
      <c r="AS183" s="40"/>
      <c r="AT183" s="40"/>
      <c r="AU183" s="40"/>
      <c r="AV183" s="313">
        <v>0</v>
      </c>
      <c r="AW183" s="317"/>
      <c r="AX183" s="317"/>
      <c r="AY183" s="313">
        <v>0</v>
      </c>
      <c r="AZ183" s="40"/>
      <c r="BA183" s="40"/>
      <c r="BB183" s="40"/>
      <c r="BC183" s="40">
        <v>0</v>
      </c>
      <c r="BD183" s="40">
        <v>0</v>
      </c>
      <c r="BE183" s="40">
        <v>0</v>
      </c>
      <c r="BF183" s="40">
        <v>0</v>
      </c>
      <c r="BG183" s="40"/>
      <c r="BH183" s="40"/>
      <c r="BI183" s="40"/>
      <c r="BJ183" s="40"/>
      <c r="BK183" s="40"/>
      <c r="BL183" s="62">
        <v>0</v>
      </c>
      <c r="BM183" s="275">
        <v>2</v>
      </c>
      <c r="BN183" s="62">
        <v>0</v>
      </c>
      <c r="BO183" s="33" t="s">
        <v>485</v>
      </c>
    </row>
    <row r="184" spans="1:67">
      <c r="A184" s="33" t="str">
        <f>Database_Productkaarten[[#This Row],[Product]]&amp;", "&amp;Database_Productkaarten[[#This Row],[Levensfase]]</f>
        <v>Open steenasfalt - PCR 1.0, D2</v>
      </c>
      <c r="B184" s="33" t="s">
        <v>499</v>
      </c>
      <c r="C184" s="33" t="s">
        <v>483</v>
      </c>
      <c r="E184" s="33" t="s">
        <v>378</v>
      </c>
      <c r="F184" s="33" t="s">
        <v>88</v>
      </c>
      <c r="L184" s="33">
        <v>2</v>
      </c>
      <c r="M184" s="269">
        <v>1</v>
      </c>
      <c r="N184" s="41">
        <v>0</v>
      </c>
      <c r="O184" s="33">
        <v>30</v>
      </c>
      <c r="P184" s="40">
        <v>0</v>
      </c>
      <c r="Q184" s="40">
        <v>0</v>
      </c>
      <c r="R184" s="40">
        <v>0</v>
      </c>
      <c r="S184" s="40">
        <v>0</v>
      </c>
      <c r="T184" s="40">
        <v>0</v>
      </c>
      <c r="U184" s="40">
        <v>0</v>
      </c>
      <c r="V184" s="40">
        <v>0</v>
      </c>
      <c r="W184" s="40">
        <v>0</v>
      </c>
      <c r="X184" s="40">
        <v>0</v>
      </c>
      <c r="Y184" s="40">
        <v>0</v>
      </c>
      <c r="Z184" s="40">
        <v>0</v>
      </c>
      <c r="AA184" s="40"/>
      <c r="AB184" s="40"/>
      <c r="AC184" s="40"/>
      <c r="AD184" s="40"/>
      <c r="AE184" s="40"/>
      <c r="AF184" s="40"/>
      <c r="AG184" s="40"/>
      <c r="AH184" s="40"/>
      <c r="AI184" s="40"/>
      <c r="AJ184" s="40"/>
      <c r="AK184" s="40"/>
      <c r="AL184" s="40"/>
      <c r="AM184" s="40"/>
      <c r="AN184" s="40"/>
      <c r="AO184" s="40"/>
      <c r="AP184" s="40"/>
      <c r="AQ184" s="40"/>
      <c r="AR184" s="40"/>
      <c r="AS184" s="40"/>
      <c r="AT184" s="40"/>
      <c r="AU184" s="40"/>
      <c r="AV184" s="313">
        <v>0</v>
      </c>
      <c r="AW184" s="317"/>
      <c r="AX184" s="317"/>
      <c r="AY184" s="313">
        <v>0</v>
      </c>
      <c r="AZ184" s="40"/>
      <c r="BA184" s="40"/>
      <c r="BB184" s="40"/>
      <c r="BC184" s="40">
        <v>0</v>
      </c>
      <c r="BD184" s="40">
        <v>0</v>
      </c>
      <c r="BE184" s="40">
        <v>0</v>
      </c>
      <c r="BF184" s="40">
        <v>0</v>
      </c>
      <c r="BG184" s="40"/>
      <c r="BH184" s="40"/>
      <c r="BI184" s="40"/>
      <c r="BJ184" s="40"/>
      <c r="BK184" s="40"/>
      <c r="BL184" s="62">
        <v>0</v>
      </c>
      <c r="BM184" s="275">
        <v>2</v>
      </c>
      <c r="BN184" s="62">
        <v>0</v>
      </c>
      <c r="BO184" s="33" t="s">
        <v>485</v>
      </c>
    </row>
    <row r="185" spans="1:67">
      <c r="A185" s="33" t="str">
        <f>Database_Productkaarten[[#This Row],[Product]]&amp;", "&amp;Database_Productkaarten[[#This Row],[Levensfase]]</f>
        <v>SMA 5 - PCR 1.0, Totaal</v>
      </c>
      <c r="B185" s="33" t="s">
        <v>500</v>
      </c>
      <c r="C185" s="33" t="s">
        <v>483</v>
      </c>
      <c r="D185" s="33" t="s">
        <v>501</v>
      </c>
      <c r="E185" s="33" t="s">
        <v>378</v>
      </c>
      <c r="F185" s="33" t="s">
        <v>90</v>
      </c>
      <c r="L185" s="33">
        <v>2.2999999999999998</v>
      </c>
      <c r="M185" s="269">
        <v>1</v>
      </c>
      <c r="N185" s="41">
        <v>8.8254268872993649</v>
      </c>
      <c r="O185" s="33">
        <v>13</v>
      </c>
      <c r="P185" s="40">
        <v>7.3529908953228989E-5</v>
      </c>
      <c r="Q185" s="40">
        <v>1.1561890028643076</v>
      </c>
      <c r="R185" s="40">
        <v>75.711389089150828</v>
      </c>
      <c r="S185" s="40">
        <v>8.884117714389641E-6</v>
      </c>
      <c r="T185" s="40">
        <v>0.10536679350187085</v>
      </c>
      <c r="U185" s="40">
        <v>0.38473316197105845</v>
      </c>
      <c r="V185" s="40">
        <v>4.4335788888073567E-2</v>
      </c>
      <c r="W185" s="40">
        <v>20.882832474836746</v>
      </c>
      <c r="X185" s="40">
        <v>2.2656664250685781</v>
      </c>
      <c r="Y185" s="40">
        <v>7447.838463784261</v>
      </c>
      <c r="Z185" s="40">
        <v>0.22817515716329884</v>
      </c>
      <c r="AA185" s="40"/>
      <c r="AB185" s="40"/>
      <c r="AC185" s="40"/>
      <c r="AD185" s="40"/>
      <c r="AE185" s="40"/>
      <c r="AF185" s="40"/>
      <c r="AG185" s="40"/>
      <c r="AH185" s="40"/>
      <c r="AI185" s="40"/>
      <c r="AJ185" s="40"/>
      <c r="AK185" s="40"/>
      <c r="AL185" s="40"/>
      <c r="AM185" s="40"/>
      <c r="AN185" s="40"/>
      <c r="AO185" s="40"/>
      <c r="AP185" s="40"/>
      <c r="AQ185" s="40"/>
      <c r="AR185" s="40"/>
      <c r="AS185" s="40"/>
      <c r="AT185" s="40"/>
      <c r="AU185" s="40"/>
      <c r="AV185" s="313">
        <v>27.469452726646644</v>
      </c>
      <c r="AW185" s="317"/>
      <c r="AX185" s="317"/>
      <c r="AY185" s="313">
        <v>2374.469135771104</v>
      </c>
      <c r="AZ185" s="40"/>
      <c r="BA185" s="40"/>
      <c r="BB185" s="40"/>
      <c r="BC185" s="40">
        <v>20.057277112599515</v>
      </c>
      <c r="BD185" s="40">
        <v>1.1968172945462799E-3</v>
      </c>
      <c r="BE185" s="40">
        <v>3.8079283933318244</v>
      </c>
      <c r="BF185" s="40">
        <v>1.899414308640972E-3</v>
      </c>
      <c r="BG185" s="40"/>
      <c r="BH185" s="40"/>
      <c r="BI185" s="40"/>
      <c r="BJ185" s="40"/>
      <c r="BK185" s="40"/>
      <c r="BL185" s="62">
        <v>0</v>
      </c>
      <c r="BM185" s="275">
        <v>2</v>
      </c>
      <c r="BN185" s="62">
        <v>0</v>
      </c>
      <c r="BO185" s="33" t="s">
        <v>485</v>
      </c>
    </row>
    <row r="186" spans="1:67">
      <c r="A186" s="33" t="str">
        <f>Database_Productkaarten[[#This Row],[Product]]&amp;", "&amp;Database_Productkaarten[[#This Row],[Levensfase]]</f>
        <v>SMA 5 - PCR 1.0, A1</v>
      </c>
      <c r="B186" s="33" t="s">
        <v>500</v>
      </c>
      <c r="C186" s="33" t="s">
        <v>483</v>
      </c>
      <c r="D186" s="33" t="s">
        <v>501</v>
      </c>
      <c r="E186" s="33" t="s">
        <v>378</v>
      </c>
      <c r="F186" s="33" t="s">
        <v>74</v>
      </c>
      <c r="L186" s="33">
        <v>2.2999999999999998</v>
      </c>
      <c r="M186" s="269">
        <v>1</v>
      </c>
      <c r="N186" s="41">
        <v>9.1118355394000012</v>
      </c>
      <c r="O186" s="33">
        <v>13</v>
      </c>
      <c r="P186" s="40">
        <v>9.017926056E-5</v>
      </c>
      <c r="Q186" s="40">
        <v>1.69541595673</v>
      </c>
      <c r="R186" s="40">
        <v>66.294058094500002</v>
      </c>
      <c r="S186" s="40">
        <v>5.4328169129999997E-6</v>
      </c>
      <c r="T186" s="40">
        <v>0.18231207723199999</v>
      </c>
      <c r="U186" s="40">
        <v>0.47612885264999999</v>
      </c>
      <c r="V186" s="40">
        <v>4.1554912360000001E-2</v>
      </c>
      <c r="W186" s="40">
        <v>17.9441063087</v>
      </c>
      <c r="X186" s="40">
        <v>2.6704918843099996</v>
      </c>
      <c r="Y186" s="40">
        <v>11670.2473176975</v>
      </c>
      <c r="Z186" s="40">
        <v>0.34084131738999995</v>
      </c>
      <c r="AA186" s="40"/>
      <c r="AB186" s="40"/>
      <c r="AC186" s="40"/>
      <c r="AD186" s="40"/>
      <c r="AE186" s="40"/>
      <c r="AF186" s="40"/>
      <c r="AG186" s="40"/>
      <c r="AH186" s="40"/>
      <c r="AI186" s="40"/>
      <c r="AJ186" s="40"/>
      <c r="AK186" s="40"/>
      <c r="AL186" s="40"/>
      <c r="AM186" s="40"/>
      <c r="AN186" s="40"/>
      <c r="AO186" s="40"/>
      <c r="AP186" s="40"/>
      <c r="AQ186" s="40"/>
      <c r="AR186" s="40"/>
      <c r="AS186" s="40"/>
      <c r="AT186" s="40"/>
      <c r="AU186" s="40"/>
      <c r="AV186" s="313">
        <v>30.180899665200002</v>
      </c>
      <c r="AW186" s="317"/>
      <c r="AX186" s="317"/>
      <c r="AY186" s="313">
        <v>3831.8994380220001</v>
      </c>
      <c r="AZ186" s="40"/>
      <c r="BA186" s="40"/>
      <c r="BB186" s="40"/>
      <c r="BC186" s="40">
        <v>41.096716849469999</v>
      </c>
      <c r="BD186" s="40">
        <v>1.2584137030999998E-3</v>
      </c>
      <c r="BE186" s="40">
        <v>3.4601110922</v>
      </c>
      <c r="BF186" s="40">
        <v>1.2949327146E-3</v>
      </c>
      <c r="BG186" s="40"/>
      <c r="BH186" s="40"/>
      <c r="BI186" s="40"/>
      <c r="BJ186" s="40"/>
      <c r="BK186" s="40"/>
      <c r="BL186" s="62">
        <v>0</v>
      </c>
      <c r="BM186" s="275">
        <v>2</v>
      </c>
      <c r="BN186" s="62">
        <v>0</v>
      </c>
      <c r="BO186" s="33" t="s">
        <v>485</v>
      </c>
    </row>
    <row r="187" spans="1:67">
      <c r="A187" s="33" t="str">
        <f>Database_Productkaarten[[#This Row],[Product]]&amp;", "&amp;Database_Productkaarten[[#This Row],[Levensfase]]</f>
        <v>SMA 5 - PCR 1.0, A2</v>
      </c>
      <c r="B187" s="33" t="s">
        <v>500</v>
      </c>
      <c r="C187" s="33" t="s">
        <v>483</v>
      </c>
      <c r="D187" s="33" t="s">
        <v>501</v>
      </c>
      <c r="E187" s="33" t="s">
        <v>378</v>
      </c>
      <c r="F187" s="33" t="s">
        <v>75</v>
      </c>
      <c r="L187" s="33">
        <v>2.2999999999999998</v>
      </c>
      <c r="M187" s="269">
        <v>1</v>
      </c>
      <c r="N187" s="41">
        <v>2.5204977859920006</v>
      </c>
      <c r="O187" s="33">
        <v>13</v>
      </c>
      <c r="P187" s="40">
        <v>1.8326896496504003E-5</v>
      </c>
      <c r="Q187" s="40">
        <v>0.11039061555971003</v>
      </c>
      <c r="R187" s="40">
        <v>15.694435828801803</v>
      </c>
      <c r="S187" s="40">
        <v>2.6317600789590003E-6</v>
      </c>
      <c r="T187" s="40">
        <v>1.327251282104E-2</v>
      </c>
      <c r="U187" s="40">
        <v>0.20840626991338002</v>
      </c>
      <c r="V187" s="40">
        <v>2.3656242609100001E-2</v>
      </c>
      <c r="W187" s="40">
        <v>6.4577904962588004</v>
      </c>
      <c r="X187" s="40">
        <v>0.14267665816628</v>
      </c>
      <c r="Y187" s="40">
        <v>581.49876242362825</v>
      </c>
      <c r="Z187" s="40">
        <v>2.1953237757090006E-2</v>
      </c>
      <c r="AA187" s="40"/>
      <c r="AB187" s="40"/>
      <c r="AC187" s="40"/>
      <c r="AD187" s="40"/>
      <c r="AE187" s="40"/>
      <c r="AF187" s="40"/>
      <c r="AG187" s="40"/>
      <c r="AH187" s="40"/>
      <c r="AI187" s="40"/>
      <c r="AJ187" s="40"/>
      <c r="AK187" s="40"/>
      <c r="AL187" s="40"/>
      <c r="AM187" s="40"/>
      <c r="AN187" s="40"/>
      <c r="AO187" s="40"/>
      <c r="AP187" s="40"/>
      <c r="AQ187" s="40"/>
      <c r="AR187" s="40"/>
      <c r="AS187" s="40"/>
      <c r="AT187" s="40"/>
      <c r="AU187" s="40"/>
      <c r="AV187" s="313">
        <v>4.2224628022817994</v>
      </c>
      <c r="AW187" s="317"/>
      <c r="AX187" s="317"/>
      <c r="AY187" s="313">
        <v>244.65057722359521</v>
      </c>
      <c r="AZ187" s="40"/>
      <c r="BA187" s="40"/>
      <c r="BB187" s="40"/>
      <c r="BC187" s="40">
        <v>4.4114209566449999E-2</v>
      </c>
      <c r="BD187" s="40">
        <v>1.4546660688663997E-4</v>
      </c>
      <c r="BE187" s="40">
        <v>5.3542483801592002</v>
      </c>
      <c r="BF187" s="40">
        <v>1.5232243344850003E-3</v>
      </c>
      <c r="BG187" s="40"/>
      <c r="BH187" s="40"/>
      <c r="BI187" s="40"/>
      <c r="BJ187" s="40"/>
      <c r="BK187" s="40"/>
      <c r="BL187" s="62">
        <v>0</v>
      </c>
      <c r="BM187" s="275">
        <v>2</v>
      </c>
      <c r="BN187" s="62">
        <v>0</v>
      </c>
      <c r="BO187" s="33" t="s">
        <v>485</v>
      </c>
    </row>
    <row r="188" spans="1:67">
      <c r="A188" s="33" t="str">
        <f>Database_Productkaarten[[#This Row],[Product]]&amp;", "&amp;Database_Productkaarten[[#This Row],[Levensfase]]</f>
        <v>SMA 5 - PCR 1.0, A3</v>
      </c>
      <c r="B188" s="33" t="s">
        <v>500</v>
      </c>
      <c r="C188" s="33" t="s">
        <v>483</v>
      </c>
      <c r="D188" s="33" t="s">
        <v>501</v>
      </c>
      <c r="E188" s="33" t="s">
        <v>378</v>
      </c>
      <c r="F188" s="33" t="s">
        <v>76</v>
      </c>
      <c r="L188" s="33">
        <v>2.2999999999999998</v>
      </c>
      <c r="M188" s="269">
        <v>1</v>
      </c>
      <c r="N188" s="41">
        <v>1.5801118975859489</v>
      </c>
      <c r="O188" s="33">
        <v>13</v>
      </c>
      <c r="P188" s="40">
        <v>5.3924825815771156E-6</v>
      </c>
      <c r="Q188" s="40">
        <v>0.18061837018614491</v>
      </c>
      <c r="R188" s="40">
        <v>21.397916080728081</v>
      </c>
      <c r="S188" s="40">
        <v>2.3748346593942148E-6</v>
      </c>
      <c r="T188" s="40">
        <v>3.5070461379175522E-3</v>
      </c>
      <c r="U188" s="40">
        <v>2.5728189524989741E-2</v>
      </c>
      <c r="V188" s="40">
        <v>4.850146757409985E-3</v>
      </c>
      <c r="W188" s="40">
        <v>3.4994261152389479</v>
      </c>
      <c r="X188" s="40">
        <v>2.5321227933863908E-2</v>
      </c>
      <c r="Y188" s="40">
        <v>103.09938988972984</v>
      </c>
      <c r="Z188" s="40">
        <v>2.7480872139015795E-2</v>
      </c>
      <c r="AA188" s="40"/>
      <c r="AB188" s="40"/>
      <c r="AC188" s="40"/>
      <c r="AD188" s="40"/>
      <c r="AE188" s="40"/>
      <c r="AF188" s="40"/>
      <c r="AG188" s="40"/>
      <c r="AH188" s="40"/>
      <c r="AI188" s="40"/>
      <c r="AJ188" s="40"/>
      <c r="AK188" s="40"/>
      <c r="AL188" s="40"/>
      <c r="AM188" s="40"/>
      <c r="AN188" s="40"/>
      <c r="AO188" s="40"/>
      <c r="AP188" s="40"/>
      <c r="AQ188" s="40"/>
      <c r="AR188" s="40"/>
      <c r="AS188" s="40"/>
      <c r="AT188" s="40"/>
      <c r="AU188" s="40"/>
      <c r="AV188" s="313">
        <v>7.9237964765710673</v>
      </c>
      <c r="AW188" s="317"/>
      <c r="AX188" s="317"/>
      <c r="AY188" s="313">
        <v>368.35830824279725</v>
      </c>
      <c r="AZ188" s="40"/>
      <c r="BA188" s="40"/>
      <c r="BB188" s="40"/>
      <c r="BC188" s="40">
        <v>5.3247766093770223E-2</v>
      </c>
      <c r="BD188" s="40">
        <v>5.2160551927444686E-4</v>
      </c>
      <c r="BE188" s="40">
        <v>0.27752863354296153</v>
      </c>
      <c r="BF188" s="40">
        <v>3.7701449571251439E-4</v>
      </c>
      <c r="BG188" s="40"/>
      <c r="BH188" s="40"/>
      <c r="BI188" s="40"/>
      <c r="BJ188" s="40"/>
      <c r="BK188" s="40"/>
      <c r="BL188" s="62">
        <v>0</v>
      </c>
      <c r="BM188" s="275">
        <v>2</v>
      </c>
      <c r="BN188" s="62">
        <v>0</v>
      </c>
      <c r="BO188" s="33" t="s">
        <v>485</v>
      </c>
    </row>
    <row r="189" spans="1:67">
      <c r="A189" s="33" t="str">
        <f>Database_Productkaarten[[#This Row],[Product]]&amp;", "&amp;Database_Productkaarten[[#This Row],[Levensfase]]</f>
        <v>SMA 5 - PCR 1.0, A1-A3</v>
      </c>
      <c r="B189" s="33" t="str">
        <f>B188</f>
        <v>SMA 5 - PCR 1.0</v>
      </c>
      <c r="C189" s="33" t="str">
        <f>C188</f>
        <v>Bitumineuze verhardingen</v>
      </c>
      <c r="D189" s="33" t="str">
        <f>D188</f>
        <v>SMA</v>
      </c>
      <c r="E189" s="33" t="str">
        <f>E188</f>
        <v>Ton</v>
      </c>
      <c r="F189" s="33" t="s">
        <v>77</v>
      </c>
      <c r="L189" s="33">
        <f>L188</f>
        <v>2.2999999999999998</v>
      </c>
      <c r="M189" s="45">
        <f>M188</f>
        <v>1</v>
      </c>
      <c r="N189" s="252">
        <f>SUM(N186:N188)</f>
        <v>13.212445222977951</v>
      </c>
      <c r="O189" s="33">
        <f>O188</f>
        <v>13</v>
      </c>
      <c r="P189" s="40">
        <f>SUM(P186:P188)</f>
        <v>1.1389863963808112E-4</v>
      </c>
      <c r="Q189" s="40">
        <f t="shared" ref="Q189:BK189" si="31">SUM(Q186:Q188)</f>
        <v>1.9864249424758551</v>
      </c>
      <c r="R189" s="40">
        <f t="shared" si="31"/>
        <v>103.38641000402988</v>
      </c>
      <c r="S189" s="40">
        <f t="shared" si="31"/>
        <v>1.0439411651353216E-5</v>
      </c>
      <c r="T189" s="40">
        <f t="shared" si="31"/>
        <v>0.19909163619095754</v>
      </c>
      <c r="U189" s="40">
        <f t="shared" si="31"/>
        <v>0.71026331208836979</v>
      </c>
      <c r="V189" s="40">
        <f t="shared" si="31"/>
        <v>7.0061301726509984E-2</v>
      </c>
      <c r="W189" s="40">
        <f t="shared" si="31"/>
        <v>27.90132292019775</v>
      </c>
      <c r="X189" s="40">
        <f t="shared" si="31"/>
        <v>2.8384897704101433</v>
      </c>
      <c r="Y189" s="40">
        <f t="shared" si="31"/>
        <v>12354.845470010858</v>
      </c>
      <c r="Z189" s="40">
        <f t="shared" si="31"/>
        <v>0.39027542728610576</v>
      </c>
      <c r="AA189" s="40">
        <f t="shared" si="31"/>
        <v>0</v>
      </c>
      <c r="AB189" s="40">
        <f t="shared" si="31"/>
        <v>0</v>
      </c>
      <c r="AC189" s="40">
        <f t="shared" si="31"/>
        <v>0</v>
      </c>
      <c r="AD189" s="40">
        <f t="shared" si="31"/>
        <v>0</v>
      </c>
      <c r="AE189" s="40">
        <f t="shared" si="31"/>
        <v>0</v>
      </c>
      <c r="AF189" s="40">
        <f t="shared" si="31"/>
        <v>0</v>
      </c>
      <c r="AG189" s="40">
        <f t="shared" si="31"/>
        <v>0</v>
      </c>
      <c r="AH189" s="40">
        <f t="shared" si="31"/>
        <v>0</v>
      </c>
      <c r="AI189" s="40">
        <f t="shared" si="31"/>
        <v>0</v>
      </c>
      <c r="AJ189" s="40">
        <f t="shared" si="31"/>
        <v>0</v>
      </c>
      <c r="AK189" s="40">
        <f t="shared" si="31"/>
        <v>0</v>
      </c>
      <c r="AL189" s="40">
        <f t="shared" si="31"/>
        <v>0</v>
      </c>
      <c r="AM189" s="40">
        <f t="shared" si="31"/>
        <v>0</v>
      </c>
      <c r="AN189" s="40">
        <f t="shared" si="31"/>
        <v>0</v>
      </c>
      <c r="AO189" s="40">
        <f t="shared" si="31"/>
        <v>0</v>
      </c>
      <c r="AP189" s="40">
        <f t="shared" si="31"/>
        <v>0</v>
      </c>
      <c r="AQ189" s="40">
        <f t="shared" si="31"/>
        <v>0</v>
      </c>
      <c r="AR189" s="40">
        <f t="shared" si="31"/>
        <v>0</v>
      </c>
      <c r="AS189" s="40">
        <f t="shared" si="31"/>
        <v>0</v>
      </c>
      <c r="AT189" s="40">
        <f t="shared" si="31"/>
        <v>0</v>
      </c>
      <c r="AU189" s="40">
        <f t="shared" si="31"/>
        <v>0</v>
      </c>
      <c r="AV189" s="317">
        <f t="shared" si="31"/>
        <v>42.327158944052869</v>
      </c>
      <c r="AW189" s="317">
        <f t="shared" si="31"/>
        <v>0</v>
      </c>
      <c r="AX189" s="317">
        <f t="shared" si="31"/>
        <v>0</v>
      </c>
      <c r="AY189" s="317">
        <f t="shared" si="31"/>
        <v>4444.9083234883929</v>
      </c>
      <c r="AZ189" s="40">
        <f t="shared" si="31"/>
        <v>0</v>
      </c>
      <c r="BA189" s="40">
        <f t="shared" si="31"/>
        <v>0</v>
      </c>
      <c r="BB189" s="40">
        <f t="shared" si="31"/>
        <v>0</v>
      </c>
      <c r="BC189" s="40">
        <f t="shared" si="31"/>
        <v>41.194078825130219</v>
      </c>
      <c r="BD189" s="40">
        <f t="shared" si="31"/>
        <v>1.9254858292610867E-3</v>
      </c>
      <c r="BE189" s="40">
        <f t="shared" si="31"/>
        <v>9.0918881059021626</v>
      </c>
      <c r="BF189" s="40">
        <f t="shared" si="31"/>
        <v>3.1951715447975145E-3</v>
      </c>
      <c r="BG189" s="40">
        <f t="shared" si="31"/>
        <v>0</v>
      </c>
      <c r="BH189" s="40">
        <f t="shared" si="31"/>
        <v>0</v>
      </c>
      <c r="BI189" s="40">
        <f t="shared" si="31"/>
        <v>0</v>
      </c>
      <c r="BJ189" s="40">
        <f t="shared" si="31"/>
        <v>0</v>
      </c>
      <c r="BK189" s="40">
        <f t="shared" si="31"/>
        <v>0</v>
      </c>
      <c r="BL189" s="62">
        <f>BL188</f>
        <v>0</v>
      </c>
      <c r="BM189" s="275">
        <f>BM188</f>
        <v>2</v>
      </c>
      <c r="BN189" s="62">
        <v>0</v>
      </c>
      <c r="BO189" s="33" t="str">
        <f>BO188</f>
        <v>TNO 2020 R10987 LCA Achtergrondrapport voor brancherepresentatieve Nederlandse asfaltmengsels 2020</v>
      </c>
    </row>
    <row r="190" spans="1:67">
      <c r="A190" s="33" t="str">
        <f>Database_Productkaarten[[#This Row],[Product]]&amp;", "&amp;Database_Productkaarten[[#This Row],[Levensfase]]</f>
        <v>SMA 5 - PCR 1.0, A4</v>
      </c>
      <c r="B190" s="33" t="s">
        <v>500</v>
      </c>
      <c r="C190" s="33" t="s">
        <v>483</v>
      </c>
      <c r="D190" s="33" t="s">
        <v>501</v>
      </c>
      <c r="E190" s="33" t="s">
        <v>378</v>
      </c>
      <c r="F190" s="33" t="s">
        <v>78</v>
      </c>
      <c r="L190" s="33">
        <v>2.2999999999999998</v>
      </c>
      <c r="M190" s="269">
        <v>1</v>
      </c>
      <c r="N190" s="41">
        <v>0.62892669999999995</v>
      </c>
      <c r="O190" s="33">
        <v>13</v>
      </c>
      <c r="P190" s="40">
        <v>1.0978337000000001E-5</v>
      </c>
      <c r="Q190" s="40">
        <v>4.3183727999999998E-2</v>
      </c>
      <c r="R190" s="40">
        <v>5.7021305</v>
      </c>
      <c r="S190" s="40">
        <v>1.1335356E-6</v>
      </c>
      <c r="T190" s="40">
        <v>3.5752850000000001E-3</v>
      </c>
      <c r="U190" s="40">
        <v>1.9151161E-2</v>
      </c>
      <c r="V190" s="40">
        <v>3.8023555000000001E-3</v>
      </c>
      <c r="W190" s="40">
        <v>2.0049337999999999</v>
      </c>
      <c r="X190" s="40">
        <v>0.12926487</v>
      </c>
      <c r="Y190" s="40">
        <v>338.63108999999997</v>
      </c>
      <c r="Z190" s="40">
        <v>1.1891815999999999E-2</v>
      </c>
      <c r="AA190" s="40"/>
      <c r="AB190" s="40"/>
      <c r="AC190" s="40"/>
      <c r="AD190" s="40"/>
      <c r="AE190" s="40"/>
      <c r="AF190" s="40"/>
      <c r="AG190" s="40"/>
      <c r="AH190" s="40"/>
      <c r="AI190" s="40"/>
      <c r="AJ190" s="40"/>
      <c r="AK190" s="40"/>
      <c r="AL190" s="40"/>
      <c r="AM190" s="40"/>
      <c r="AN190" s="40"/>
      <c r="AO190" s="40"/>
      <c r="AP190" s="40"/>
      <c r="AQ190" s="40"/>
      <c r="AR190" s="40"/>
      <c r="AS190" s="40"/>
      <c r="AT190" s="40"/>
      <c r="AU190" s="40"/>
      <c r="AV190" s="313">
        <v>0</v>
      </c>
      <c r="AW190" s="317"/>
      <c r="AX190" s="317"/>
      <c r="AY190" s="313">
        <v>0</v>
      </c>
      <c r="AZ190" s="40"/>
      <c r="BA190" s="40"/>
      <c r="BB190" s="40"/>
      <c r="BC190" s="40">
        <v>0</v>
      </c>
      <c r="BD190" s="40">
        <v>0</v>
      </c>
      <c r="BE190" s="40">
        <v>0</v>
      </c>
      <c r="BF190" s="40">
        <v>0</v>
      </c>
      <c r="BG190" s="40"/>
      <c r="BH190" s="40"/>
      <c r="BI190" s="40"/>
      <c r="BJ190" s="40"/>
      <c r="BK190" s="40"/>
      <c r="BL190" s="62">
        <v>0</v>
      </c>
      <c r="BM190" s="275">
        <v>2</v>
      </c>
      <c r="BN190" s="62">
        <v>0</v>
      </c>
      <c r="BO190" s="33" t="s">
        <v>485</v>
      </c>
    </row>
    <row r="191" spans="1:67">
      <c r="A191" s="33" t="str">
        <f>Database_Productkaarten[[#This Row],[Product]]&amp;", "&amp;Database_Productkaarten[[#This Row],[Levensfase]]</f>
        <v>SMA 5 - PCR 1.0, A5</v>
      </c>
      <c r="B191" s="33" t="s">
        <v>500</v>
      </c>
      <c r="C191" s="33" t="s">
        <v>483</v>
      </c>
      <c r="D191" s="33" t="s">
        <v>501</v>
      </c>
      <c r="E191" s="33" t="s">
        <v>378</v>
      </c>
      <c r="F191" s="33" t="s">
        <v>79</v>
      </c>
      <c r="L191" s="33">
        <v>2.2999999999999998</v>
      </c>
      <c r="M191" s="269">
        <v>1</v>
      </c>
      <c r="N191" s="41">
        <v>0.26142994000000003</v>
      </c>
      <c r="O191" s="33">
        <v>13</v>
      </c>
      <c r="P191" s="40">
        <v>6.4405276999999999E-7</v>
      </c>
      <c r="Q191" s="40">
        <v>1.3221688000000001E-2</v>
      </c>
      <c r="R191" s="40">
        <v>2.554217</v>
      </c>
      <c r="S191" s="40">
        <v>3.4623921999999999E-7</v>
      </c>
      <c r="T191" s="40">
        <v>9.5560771999999997E-4</v>
      </c>
      <c r="U191" s="40">
        <v>1.0774331999999999E-2</v>
      </c>
      <c r="V191" s="40">
        <v>2.4326081999999998E-3</v>
      </c>
      <c r="W191" s="40">
        <v>0.67890231999999995</v>
      </c>
      <c r="X191" s="40">
        <v>9.5891563000000003E-3</v>
      </c>
      <c r="Y191" s="40">
        <v>32.339298999999997</v>
      </c>
      <c r="Z191" s="40">
        <v>1.1383995E-3</v>
      </c>
      <c r="AA191" s="40"/>
      <c r="AB191" s="40"/>
      <c r="AC191" s="40"/>
      <c r="AD191" s="40"/>
      <c r="AE191" s="40"/>
      <c r="AF191" s="40"/>
      <c r="AG191" s="40"/>
      <c r="AH191" s="40"/>
      <c r="AI191" s="40"/>
      <c r="AJ191" s="40"/>
      <c r="AK191" s="40"/>
      <c r="AL191" s="40"/>
      <c r="AM191" s="40"/>
      <c r="AN191" s="40"/>
      <c r="AO191" s="40"/>
      <c r="AP191" s="40"/>
      <c r="AQ191" s="40"/>
      <c r="AR191" s="40"/>
      <c r="AS191" s="40"/>
      <c r="AT191" s="40"/>
      <c r="AU191" s="40"/>
      <c r="AV191" s="313">
        <v>0.16170355</v>
      </c>
      <c r="AW191" s="317"/>
      <c r="AX191" s="317"/>
      <c r="AY191" s="313">
        <v>29.640834999999999</v>
      </c>
      <c r="AZ191" s="40"/>
      <c r="BA191" s="40"/>
      <c r="BB191" s="40"/>
      <c r="BC191" s="40">
        <v>3.6528305999999999E-3</v>
      </c>
      <c r="BD191" s="40">
        <v>1.2448785000000001E-5</v>
      </c>
      <c r="BE191" s="40">
        <v>2.9724645000000001E-2</v>
      </c>
      <c r="BF191" s="40">
        <v>1.9389087E-4</v>
      </c>
      <c r="BG191" s="40"/>
      <c r="BH191" s="40"/>
      <c r="BI191" s="40"/>
      <c r="BJ191" s="40"/>
      <c r="BK191" s="40"/>
      <c r="BL191" s="62">
        <v>0</v>
      </c>
      <c r="BM191" s="275">
        <v>2</v>
      </c>
      <c r="BN191" s="62">
        <v>0</v>
      </c>
      <c r="BO191" s="33" t="s">
        <v>485</v>
      </c>
    </row>
    <row r="192" spans="1:67">
      <c r="A192" s="33" t="str">
        <f>Database_Productkaarten[[#This Row],[Product]]&amp;", "&amp;Database_Productkaarten[[#This Row],[Levensfase]]</f>
        <v>SMA 5 - PCR 1.0, B1</v>
      </c>
      <c r="B192" s="33" t="s">
        <v>500</v>
      </c>
      <c r="C192" s="33" t="s">
        <v>483</v>
      </c>
      <c r="D192" s="33" t="s">
        <v>501</v>
      </c>
      <c r="E192" s="33" t="s">
        <v>378</v>
      </c>
      <c r="F192" s="33" t="s">
        <v>80</v>
      </c>
      <c r="L192" s="33">
        <v>2.2999999999999998</v>
      </c>
      <c r="M192" s="269">
        <v>1</v>
      </c>
      <c r="N192" s="41">
        <v>0.14096322999999999</v>
      </c>
      <c r="O192" s="33">
        <v>13</v>
      </c>
      <c r="P192" s="40">
        <v>0</v>
      </c>
      <c r="Q192" s="40">
        <v>0</v>
      </c>
      <c r="R192" s="40">
        <v>0</v>
      </c>
      <c r="S192" s="40">
        <v>0</v>
      </c>
      <c r="T192" s="40">
        <v>0</v>
      </c>
      <c r="U192" s="40">
        <v>0</v>
      </c>
      <c r="V192" s="40">
        <v>0</v>
      </c>
      <c r="W192" s="40">
        <v>0.56785655999999995</v>
      </c>
      <c r="X192" s="40">
        <v>0.60877917999999998</v>
      </c>
      <c r="Y192" s="40">
        <v>715.71979999999996</v>
      </c>
      <c r="Z192" s="40">
        <v>3.4639129999999998E-4</v>
      </c>
      <c r="AA192" s="40"/>
      <c r="AB192" s="40"/>
      <c r="AC192" s="40"/>
      <c r="AD192" s="40"/>
      <c r="AE192" s="40"/>
      <c r="AF192" s="40"/>
      <c r="AG192" s="40"/>
      <c r="AH192" s="40"/>
      <c r="AI192" s="40"/>
      <c r="AJ192" s="40"/>
      <c r="AK192" s="40"/>
      <c r="AL192" s="40"/>
      <c r="AM192" s="40"/>
      <c r="AN192" s="40"/>
      <c r="AO192" s="40"/>
      <c r="AP192" s="40"/>
      <c r="AQ192" s="40"/>
      <c r="AR192" s="40"/>
      <c r="AS192" s="40"/>
      <c r="AT192" s="40"/>
      <c r="AU192" s="40"/>
      <c r="AV192" s="313">
        <v>0</v>
      </c>
      <c r="AW192" s="317"/>
      <c r="AX192" s="317"/>
      <c r="AY192" s="313">
        <v>0</v>
      </c>
      <c r="AZ192" s="40"/>
      <c r="BA192" s="40"/>
      <c r="BB192" s="40"/>
      <c r="BC192" s="40">
        <v>0</v>
      </c>
      <c r="BD192" s="40">
        <v>0</v>
      </c>
      <c r="BE192" s="40">
        <v>0</v>
      </c>
      <c r="BF192" s="40">
        <v>0</v>
      </c>
      <c r="BG192" s="40"/>
      <c r="BH192" s="40"/>
      <c r="BI192" s="40"/>
      <c r="BJ192" s="40"/>
      <c r="BK192" s="40"/>
      <c r="BL192" s="62">
        <v>0</v>
      </c>
      <c r="BM192" s="275">
        <v>2</v>
      </c>
      <c r="BN192" s="62">
        <v>0</v>
      </c>
      <c r="BO192" s="33" t="s">
        <v>485</v>
      </c>
    </row>
    <row r="193" spans="1:67">
      <c r="A193" s="33" t="str">
        <f>Database_Productkaarten[[#This Row],[Product]]&amp;", "&amp;Database_Productkaarten[[#This Row],[Levensfase]]</f>
        <v>SMA 5 - PCR 1.0, C1</v>
      </c>
      <c r="B193" s="33" t="s">
        <v>500</v>
      </c>
      <c r="C193" s="33" t="s">
        <v>483</v>
      </c>
      <c r="D193" s="33" t="s">
        <v>501</v>
      </c>
      <c r="E193" s="33" t="s">
        <v>378</v>
      </c>
      <c r="F193" s="33" t="s">
        <v>83</v>
      </c>
      <c r="L193" s="33">
        <v>2.2999999999999998</v>
      </c>
      <c r="M193" s="269">
        <v>1</v>
      </c>
      <c r="N193" s="41">
        <v>0.13639726999999999</v>
      </c>
      <c r="O193" s="33">
        <v>13</v>
      </c>
      <c r="P193" s="40">
        <v>3.6644380999999999E-7</v>
      </c>
      <c r="Q193" s="40">
        <v>7.5226846000000002E-3</v>
      </c>
      <c r="R193" s="40">
        <v>1.4532613999999999</v>
      </c>
      <c r="S193" s="40">
        <v>1.9699817000000001E-7</v>
      </c>
      <c r="T193" s="40">
        <v>4.8171299999999999E-4</v>
      </c>
      <c r="U193" s="40">
        <v>4.2661764999999997E-3</v>
      </c>
      <c r="V193" s="40">
        <v>8.9941806E-4</v>
      </c>
      <c r="W193" s="40">
        <v>0.38176861000000001</v>
      </c>
      <c r="X193" s="40">
        <v>5.4558992000000002E-3</v>
      </c>
      <c r="Y193" s="40">
        <v>18.399946</v>
      </c>
      <c r="Z193" s="40">
        <v>6.4771006999999995E-4</v>
      </c>
      <c r="AA193" s="40"/>
      <c r="AB193" s="40"/>
      <c r="AC193" s="40"/>
      <c r="AD193" s="40"/>
      <c r="AE193" s="40"/>
      <c r="AF193" s="40"/>
      <c r="AG193" s="40"/>
      <c r="AH193" s="40"/>
      <c r="AI193" s="40"/>
      <c r="AJ193" s="40"/>
      <c r="AK193" s="40"/>
      <c r="AL193" s="40"/>
      <c r="AM193" s="40"/>
      <c r="AN193" s="40"/>
      <c r="AO193" s="40"/>
      <c r="AP193" s="40"/>
      <c r="AQ193" s="40"/>
      <c r="AR193" s="40"/>
      <c r="AS193" s="40"/>
      <c r="AT193" s="40"/>
      <c r="AU193" s="40"/>
      <c r="AV193" s="313">
        <v>9.2003741E-2</v>
      </c>
      <c r="AW193" s="317"/>
      <c r="AX193" s="317"/>
      <c r="AY193" s="313">
        <v>16.864612999999999</v>
      </c>
      <c r="AZ193" s="40"/>
      <c r="BA193" s="40"/>
      <c r="BB193" s="40"/>
      <c r="BC193" s="40">
        <v>2.0783346E-3</v>
      </c>
      <c r="BD193" s="40">
        <v>7.0829294000000003E-6</v>
      </c>
      <c r="BE193" s="40">
        <v>1.6912297999999999E-2</v>
      </c>
      <c r="BF193" s="40">
        <v>1.1031722E-4</v>
      </c>
      <c r="BG193" s="40"/>
      <c r="BH193" s="40"/>
      <c r="BI193" s="40"/>
      <c r="BJ193" s="40"/>
      <c r="BK193" s="40"/>
      <c r="BL193" s="62">
        <v>0</v>
      </c>
      <c r="BM193" s="275">
        <v>2</v>
      </c>
      <c r="BN193" s="62">
        <v>0</v>
      </c>
      <c r="BO193" s="33" t="s">
        <v>485</v>
      </c>
    </row>
    <row r="194" spans="1:67">
      <c r="A194" s="33" t="str">
        <f>Database_Productkaarten[[#This Row],[Product]]&amp;", "&amp;Database_Productkaarten[[#This Row],[Levensfase]]</f>
        <v>SMA 5 - PCR 1.0, C2</v>
      </c>
      <c r="B194" s="33" t="s">
        <v>500</v>
      </c>
      <c r="C194" s="33" t="s">
        <v>483</v>
      </c>
      <c r="D194" s="33" t="s">
        <v>501</v>
      </c>
      <c r="E194" s="33" t="s">
        <v>378</v>
      </c>
      <c r="F194" s="33" t="s">
        <v>84</v>
      </c>
      <c r="L194" s="33">
        <v>2.2999999999999998</v>
      </c>
      <c r="M194" s="269">
        <v>1</v>
      </c>
      <c r="N194" s="41">
        <v>0.62892669999999995</v>
      </c>
      <c r="O194" s="33">
        <v>13</v>
      </c>
      <c r="P194" s="40">
        <v>1.0978337000000001E-5</v>
      </c>
      <c r="Q194" s="40">
        <v>4.3183727999999998E-2</v>
      </c>
      <c r="R194" s="40">
        <v>5.7021305</v>
      </c>
      <c r="S194" s="40">
        <v>1.1335356E-6</v>
      </c>
      <c r="T194" s="40">
        <v>3.5752850000000001E-3</v>
      </c>
      <c r="U194" s="40">
        <v>1.9151161E-2</v>
      </c>
      <c r="V194" s="40">
        <v>3.8023555000000001E-3</v>
      </c>
      <c r="W194" s="40">
        <v>2.0049337999999999</v>
      </c>
      <c r="X194" s="40">
        <v>0.12926487</v>
      </c>
      <c r="Y194" s="40">
        <v>338.63108999999997</v>
      </c>
      <c r="Z194" s="40">
        <v>1.1891815999999999E-2</v>
      </c>
      <c r="AA194" s="40"/>
      <c r="AB194" s="40"/>
      <c r="AC194" s="40"/>
      <c r="AD194" s="40"/>
      <c r="AE194" s="40"/>
      <c r="AF194" s="40"/>
      <c r="AG194" s="40"/>
      <c r="AH194" s="40"/>
      <c r="AI194" s="40"/>
      <c r="AJ194" s="40"/>
      <c r="AK194" s="40"/>
      <c r="AL194" s="40"/>
      <c r="AM194" s="40"/>
      <c r="AN194" s="40"/>
      <c r="AO194" s="40"/>
      <c r="AP194" s="40"/>
      <c r="AQ194" s="40"/>
      <c r="AR194" s="40"/>
      <c r="AS194" s="40"/>
      <c r="AT194" s="40"/>
      <c r="AU194" s="40"/>
      <c r="AV194" s="313">
        <v>0</v>
      </c>
      <c r="AW194" s="317"/>
      <c r="AX194" s="317"/>
      <c r="AY194" s="313">
        <v>0</v>
      </c>
      <c r="AZ194" s="40"/>
      <c r="BA194" s="40"/>
      <c r="BB194" s="40"/>
      <c r="BC194" s="40">
        <v>0</v>
      </c>
      <c r="BD194" s="40">
        <v>0</v>
      </c>
      <c r="BE194" s="40">
        <v>0</v>
      </c>
      <c r="BF194" s="40">
        <v>0</v>
      </c>
      <c r="BG194" s="40"/>
      <c r="BH194" s="40"/>
      <c r="BI194" s="40"/>
      <c r="BJ194" s="40"/>
      <c r="BK194" s="40"/>
      <c r="BL194" s="62">
        <v>0</v>
      </c>
      <c r="BM194" s="275">
        <v>2</v>
      </c>
      <c r="BN194" s="62">
        <v>0</v>
      </c>
      <c r="BO194" s="33" t="s">
        <v>485</v>
      </c>
    </row>
    <row r="195" spans="1:67">
      <c r="A195" s="33" t="str">
        <f>Database_Productkaarten[[#This Row],[Product]]&amp;", "&amp;Database_Productkaarten[[#This Row],[Levensfase]]</f>
        <v>SMA 5 - PCR 1.0, C3</v>
      </c>
      <c r="B195" s="33" t="s">
        <v>500</v>
      </c>
      <c r="C195" s="33" t="s">
        <v>483</v>
      </c>
      <c r="D195" s="33" t="s">
        <v>501</v>
      </c>
      <c r="E195" s="33" t="s">
        <v>378</v>
      </c>
      <c r="F195" s="33" t="s">
        <v>85</v>
      </c>
      <c r="L195" s="33">
        <v>2.2999999999999998</v>
      </c>
      <c r="M195" s="269">
        <v>1</v>
      </c>
      <c r="N195" s="41">
        <v>0.16120214999999999</v>
      </c>
      <c r="O195" s="33">
        <v>13</v>
      </c>
      <c r="P195" s="40">
        <v>4.1291555000000003E-7</v>
      </c>
      <c r="Q195" s="40">
        <v>8.4766977000000007E-3</v>
      </c>
      <c r="R195" s="40">
        <v>1.6375614000000001</v>
      </c>
      <c r="S195" s="40">
        <v>2.2198113E-7</v>
      </c>
      <c r="T195" s="40">
        <v>5.9777666999999998E-4</v>
      </c>
      <c r="U195" s="40">
        <v>5.9352911999999997E-3</v>
      </c>
      <c r="V195" s="40">
        <v>1.3067828999999999E-3</v>
      </c>
      <c r="W195" s="40">
        <v>0.43290835999999999</v>
      </c>
      <c r="X195" s="40">
        <v>6.1478065000000002E-3</v>
      </c>
      <c r="Y195" s="40">
        <v>20.733394000000001</v>
      </c>
      <c r="Z195" s="40">
        <v>7.2985148000000004E-4</v>
      </c>
      <c r="AA195" s="40"/>
      <c r="AB195" s="40"/>
      <c r="AC195" s="40"/>
      <c r="AD195" s="40"/>
      <c r="AE195" s="40"/>
      <c r="AF195" s="40"/>
      <c r="AG195" s="40"/>
      <c r="AH195" s="40"/>
      <c r="AI195" s="40"/>
      <c r="AJ195" s="40"/>
      <c r="AK195" s="40"/>
      <c r="AL195" s="40"/>
      <c r="AM195" s="40"/>
      <c r="AN195" s="40"/>
      <c r="AO195" s="40"/>
      <c r="AP195" s="40"/>
      <c r="AQ195" s="40"/>
      <c r="AR195" s="40"/>
      <c r="AS195" s="40"/>
      <c r="AT195" s="40"/>
      <c r="AU195" s="40"/>
      <c r="AV195" s="313">
        <v>0.10367149000000001</v>
      </c>
      <c r="AW195" s="317"/>
      <c r="AX195" s="317"/>
      <c r="AY195" s="313">
        <v>19.003353000000001</v>
      </c>
      <c r="AZ195" s="40"/>
      <c r="BA195" s="40"/>
      <c r="BB195" s="40"/>
      <c r="BC195" s="40">
        <v>2.3419052000000001E-3</v>
      </c>
      <c r="BD195" s="40">
        <v>7.9811735999999999E-6</v>
      </c>
      <c r="BE195" s="40">
        <v>1.9057085000000001E-2</v>
      </c>
      <c r="BF195" s="40">
        <v>1.2430745000000001E-4</v>
      </c>
      <c r="BG195" s="40"/>
      <c r="BH195" s="40"/>
      <c r="BI195" s="40"/>
      <c r="BJ195" s="40"/>
      <c r="BK195" s="40"/>
      <c r="BL195" s="62">
        <v>0</v>
      </c>
      <c r="BM195" s="275">
        <v>2</v>
      </c>
      <c r="BN195" s="62">
        <v>0</v>
      </c>
      <c r="BO195" s="33" t="s">
        <v>485</v>
      </c>
    </row>
    <row r="196" spans="1:67">
      <c r="A196" s="33" t="str">
        <f>Database_Productkaarten[[#This Row],[Product]]&amp;", "&amp;Database_Productkaarten[[#This Row],[Levensfase]]</f>
        <v>SMA 5 - PCR 1.0, D</v>
      </c>
      <c r="B196" s="33" t="str">
        <f>B197</f>
        <v>SMA 5 - PCR 1.0</v>
      </c>
      <c r="C196" s="33" t="str">
        <f>C197</f>
        <v>Bitumineuze verhardingen</v>
      </c>
      <c r="D196" s="33" t="str">
        <f>D197</f>
        <v>SMA</v>
      </c>
      <c r="E196" s="33" t="str">
        <f>E197</f>
        <v>Ton</v>
      </c>
      <c r="F196" s="33" t="s">
        <v>89</v>
      </c>
      <c r="L196" s="33">
        <f>L197</f>
        <v>2.2999999999999998</v>
      </c>
      <c r="M196" s="45">
        <f>M197</f>
        <v>1</v>
      </c>
      <c r="N196" s="41">
        <f>SUM(N197:N198)</f>
        <v>-6.3448643256785848</v>
      </c>
      <c r="O196" s="33">
        <f>O197</f>
        <v>13</v>
      </c>
      <c r="P196" s="40">
        <f>SUM(P197:P198)</f>
        <v>-6.3748816814852138E-5</v>
      </c>
      <c r="Q196" s="40">
        <f>SUM(Q197:Q198)</f>
        <v>-0.94582446591154734</v>
      </c>
      <c r="R196" s="40">
        <f>SUM(R197:R198)</f>
        <v>-44.724321714879046</v>
      </c>
      <c r="S196" s="40">
        <f t="shared" ref="S196:BK196" si="32">SUM(S197:S198)</f>
        <v>-4.5875836569635736E-6</v>
      </c>
      <c r="T196" s="40">
        <f t="shared" si="32"/>
        <v>-0.10291051007908666</v>
      </c>
      <c r="U196" s="40">
        <f t="shared" si="32"/>
        <v>-0.38480827181731125</v>
      </c>
      <c r="V196" s="40">
        <f t="shared" si="32"/>
        <v>-3.7969032998436444E-2</v>
      </c>
      <c r="W196" s="40">
        <f t="shared" si="32"/>
        <v>-13.089793895360994</v>
      </c>
      <c r="X196" s="40">
        <f t="shared" si="32"/>
        <v>-1.4613251273415648</v>
      </c>
      <c r="Y196" s="40">
        <f t="shared" si="32"/>
        <v>-6371.4616252265987</v>
      </c>
      <c r="Z196" s="40">
        <f t="shared" si="32"/>
        <v>-0.18874625447280693</v>
      </c>
      <c r="AA196" s="40">
        <f t="shared" si="32"/>
        <v>0</v>
      </c>
      <c r="AB196" s="40">
        <f t="shared" si="32"/>
        <v>0</v>
      </c>
      <c r="AC196" s="40">
        <f t="shared" si="32"/>
        <v>0</v>
      </c>
      <c r="AD196" s="40">
        <f t="shared" si="32"/>
        <v>0</v>
      </c>
      <c r="AE196" s="40">
        <f t="shared" si="32"/>
        <v>0</v>
      </c>
      <c r="AF196" s="40">
        <f t="shared" si="32"/>
        <v>0</v>
      </c>
      <c r="AG196" s="40">
        <f t="shared" si="32"/>
        <v>0</v>
      </c>
      <c r="AH196" s="40">
        <f t="shared" si="32"/>
        <v>0</v>
      </c>
      <c r="AI196" s="40">
        <f t="shared" si="32"/>
        <v>0</v>
      </c>
      <c r="AJ196" s="40">
        <f t="shared" si="32"/>
        <v>0</v>
      </c>
      <c r="AK196" s="40">
        <f t="shared" si="32"/>
        <v>0</v>
      </c>
      <c r="AL196" s="40">
        <f t="shared" si="32"/>
        <v>0</v>
      </c>
      <c r="AM196" s="40">
        <f t="shared" si="32"/>
        <v>0</v>
      </c>
      <c r="AN196" s="40">
        <f t="shared" si="32"/>
        <v>0</v>
      </c>
      <c r="AO196" s="40">
        <f t="shared" si="32"/>
        <v>0</v>
      </c>
      <c r="AP196" s="40">
        <f t="shared" si="32"/>
        <v>0</v>
      </c>
      <c r="AQ196" s="40">
        <f t="shared" si="32"/>
        <v>0</v>
      </c>
      <c r="AR196" s="40">
        <f t="shared" si="32"/>
        <v>0</v>
      </c>
      <c r="AS196" s="40">
        <f t="shared" si="32"/>
        <v>0</v>
      </c>
      <c r="AT196" s="40">
        <f t="shared" si="32"/>
        <v>0</v>
      </c>
      <c r="AU196" s="40">
        <f t="shared" si="32"/>
        <v>0</v>
      </c>
      <c r="AV196" s="317">
        <f t="shared" si="32"/>
        <v>-15.215084998406219</v>
      </c>
      <c r="AW196" s="317">
        <f t="shared" si="32"/>
        <v>0</v>
      </c>
      <c r="AX196" s="317">
        <f t="shared" si="32"/>
        <v>0</v>
      </c>
      <c r="AY196" s="317">
        <f t="shared" si="32"/>
        <v>-2135.9479887172897</v>
      </c>
      <c r="AZ196" s="40">
        <f t="shared" si="32"/>
        <v>0</v>
      </c>
      <c r="BA196" s="40">
        <f t="shared" si="32"/>
        <v>0</v>
      </c>
      <c r="BB196" s="40">
        <f t="shared" si="32"/>
        <v>0</v>
      </c>
      <c r="BC196" s="40">
        <f t="shared" si="32"/>
        <v>-21.144874782930707</v>
      </c>
      <c r="BD196" s="40">
        <f t="shared" si="32"/>
        <v>-7.5618142271480682E-4</v>
      </c>
      <c r="BE196" s="40">
        <f t="shared" si="32"/>
        <v>-5.3496537405703375</v>
      </c>
      <c r="BF196" s="40">
        <f t="shared" si="32"/>
        <v>-1.7242727761565427E-3</v>
      </c>
      <c r="BG196" s="40">
        <f t="shared" si="32"/>
        <v>0</v>
      </c>
      <c r="BH196" s="40">
        <f t="shared" si="32"/>
        <v>0</v>
      </c>
      <c r="BI196" s="40">
        <f t="shared" si="32"/>
        <v>0</v>
      </c>
      <c r="BJ196" s="40">
        <f t="shared" si="32"/>
        <v>0</v>
      </c>
      <c r="BK196" s="40">
        <f t="shared" si="32"/>
        <v>0</v>
      </c>
      <c r="BL196" s="62">
        <f>BL197</f>
        <v>0</v>
      </c>
      <c r="BM196" s="275">
        <f>BM197</f>
        <v>2</v>
      </c>
      <c r="BN196" s="62">
        <v>0</v>
      </c>
      <c r="BO196" s="33" t="str">
        <f>BO197</f>
        <v>TNO 2020 R10987 LCA Achtergrondrapport voor brancherepresentatieve Nederlandse asfaltmengsels 2020</v>
      </c>
    </row>
    <row r="197" spans="1:67">
      <c r="A197" s="33" t="str">
        <f>Database_Productkaarten[[#This Row],[Product]]&amp;", "&amp;Database_Productkaarten[[#This Row],[Levensfase]]</f>
        <v>SMA 5 - PCR 1.0, D1</v>
      </c>
      <c r="B197" s="33" t="s">
        <v>500</v>
      </c>
      <c r="C197" s="33" t="s">
        <v>483</v>
      </c>
      <c r="D197" s="33" t="s">
        <v>501</v>
      </c>
      <c r="E197" s="33" t="s">
        <v>378</v>
      </c>
      <c r="F197" s="33" t="s">
        <v>87</v>
      </c>
      <c r="L197" s="33">
        <v>2.2999999999999998</v>
      </c>
      <c r="M197" s="269">
        <v>1</v>
      </c>
      <c r="N197" s="41">
        <v>-4.7383907952347037</v>
      </c>
      <c r="O197" s="33">
        <v>13</v>
      </c>
      <c r="P197" s="40">
        <v>-5.2111260747359993E-5</v>
      </c>
      <c r="Q197" s="40">
        <v>-0.87553192118797996</v>
      </c>
      <c r="R197" s="40">
        <v>-34.730160359508183</v>
      </c>
      <c r="S197" s="40">
        <v>-2.911963610078E-6</v>
      </c>
      <c r="T197" s="40">
        <v>-9.4449884512720003E-2</v>
      </c>
      <c r="U197" s="40">
        <v>-0.25181949547791604</v>
      </c>
      <c r="V197" s="40">
        <v>-2.2891321282496001E-2</v>
      </c>
      <c r="W197" s="40">
        <v>-8.9755179065355932</v>
      </c>
      <c r="X197" s="40">
        <v>-1.37050096061474</v>
      </c>
      <c r="Y197" s="40">
        <v>-6001.0821142426012</v>
      </c>
      <c r="Z197" s="40">
        <v>-0.1747642238621</v>
      </c>
      <c r="AA197" s="40"/>
      <c r="AB197" s="40"/>
      <c r="AC197" s="40"/>
      <c r="AD197" s="40"/>
      <c r="AE197" s="40"/>
      <c r="AF197" s="40"/>
      <c r="AG197" s="40"/>
      <c r="AH197" s="40"/>
      <c r="AI197" s="40"/>
      <c r="AJ197" s="40"/>
      <c r="AK197" s="40"/>
      <c r="AL197" s="40"/>
      <c r="AM197" s="40"/>
      <c r="AN197" s="40"/>
      <c r="AO197" s="40"/>
      <c r="AP197" s="40"/>
      <c r="AQ197" s="40"/>
      <c r="AR197" s="40"/>
      <c r="AS197" s="40"/>
      <c r="AT197" s="40"/>
      <c r="AU197" s="40"/>
      <c r="AV197" s="313">
        <v>-12.524073325945423</v>
      </c>
      <c r="AW197" s="317"/>
      <c r="AX197" s="317"/>
      <c r="AY197" s="313">
        <v>-1980.1644939238731</v>
      </c>
      <c r="AZ197" s="40"/>
      <c r="BA197" s="40"/>
      <c r="BB197" s="40"/>
      <c r="BC197" s="40">
        <v>-21.116787715034196</v>
      </c>
      <c r="BD197" s="40">
        <v>-6.635762811186E-4</v>
      </c>
      <c r="BE197" s="40">
        <v>-1.9511262284901281</v>
      </c>
      <c r="BF197" s="40">
        <v>-7.5438668040759996E-4</v>
      </c>
      <c r="BG197" s="40"/>
      <c r="BH197" s="40"/>
      <c r="BI197" s="40"/>
      <c r="BJ197" s="40"/>
      <c r="BK197" s="40"/>
      <c r="BL197" s="62">
        <v>0</v>
      </c>
      <c r="BM197" s="275">
        <v>2</v>
      </c>
      <c r="BN197" s="62">
        <v>0</v>
      </c>
      <c r="BO197" s="33" t="s">
        <v>485</v>
      </c>
    </row>
    <row r="198" spans="1:67">
      <c r="A198" s="33" t="str">
        <f>Database_Productkaarten[[#This Row],[Product]]&amp;", "&amp;Database_Productkaarten[[#This Row],[Levensfase]]</f>
        <v>SMA 5 - PCR 1.0, D2</v>
      </c>
      <c r="B198" s="33" t="s">
        <v>500</v>
      </c>
      <c r="C198" s="33" t="s">
        <v>483</v>
      </c>
      <c r="D198" s="33" t="s">
        <v>501</v>
      </c>
      <c r="E198" s="33" t="s">
        <v>378</v>
      </c>
      <c r="F198" s="33" t="s">
        <v>88</v>
      </c>
      <c r="L198" s="33">
        <v>2.2999999999999998</v>
      </c>
      <c r="M198" s="269">
        <v>1</v>
      </c>
      <c r="N198" s="41">
        <v>-1.6064735304438809</v>
      </c>
      <c r="O198" s="33">
        <v>13</v>
      </c>
      <c r="P198" s="40">
        <v>-1.1637556067492141E-5</v>
      </c>
      <c r="Q198" s="40">
        <v>-7.0292544723567357E-2</v>
      </c>
      <c r="R198" s="40">
        <v>-9.9941613553708617</v>
      </c>
      <c r="S198" s="40">
        <v>-1.6756200468855731E-6</v>
      </c>
      <c r="T198" s="40">
        <v>-8.4606255663666613E-3</v>
      </c>
      <c r="U198" s="40">
        <v>-0.13298877633939518</v>
      </c>
      <c r="V198" s="40">
        <v>-1.5077711715940443E-2</v>
      </c>
      <c r="W198" s="40">
        <v>-4.1142759888254021</v>
      </c>
      <c r="X198" s="40">
        <v>-9.0824166726824862E-2</v>
      </c>
      <c r="Y198" s="40">
        <v>-370.37951098399714</v>
      </c>
      <c r="Z198" s="40">
        <v>-1.3982030610706936E-2</v>
      </c>
      <c r="AA198" s="40"/>
      <c r="AB198" s="40"/>
      <c r="AC198" s="40"/>
      <c r="AD198" s="40"/>
      <c r="AE198" s="40"/>
      <c r="AF198" s="40"/>
      <c r="AG198" s="40"/>
      <c r="AH198" s="40"/>
      <c r="AI198" s="40"/>
      <c r="AJ198" s="40"/>
      <c r="AK198" s="40"/>
      <c r="AL198" s="40"/>
      <c r="AM198" s="40"/>
      <c r="AN198" s="40"/>
      <c r="AO198" s="40"/>
      <c r="AP198" s="40"/>
      <c r="AQ198" s="40"/>
      <c r="AR198" s="40"/>
      <c r="AS198" s="40"/>
      <c r="AT198" s="40"/>
      <c r="AU198" s="40"/>
      <c r="AV198" s="313">
        <v>-2.691011672460796</v>
      </c>
      <c r="AW198" s="317"/>
      <c r="AX198" s="317"/>
      <c r="AY198" s="313">
        <v>-155.78349479341671</v>
      </c>
      <c r="AZ198" s="40"/>
      <c r="BA198" s="40"/>
      <c r="BB198" s="40"/>
      <c r="BC198" s="40">
        <v>-2.8087067896511029E-2</v>
      </c>
      <c r="BD198" s="40">
        <v>-9.2605141596206818E-5</v>
      </c>
      <c r="BE198" s="40">
        <v>-3.3985275120802099</v>
      </c>
      <c r="BF198" s="40">
        <v>-9.6988609574894273E-4</v>
      </c>
      <c r="BG198" s="40"/>
      <c r="BH198" s="40"/>
      <c r="BI198" s="40"/>
      <c r="BJ198" s="40"/>
      <c r="BK198" s="40"/>
      <c r="BL198" s="62">
        <v>0</v>
      </c>
      <c r="BM198" s="275">
        <v>2</v>
      </c>
      <c r="BN198" s="62">
        <v>0</v>
      </c>
      <c r="BO198" s="33" t="s">
        <v>485</v>
      </c>
    </row>
    <row r="199" spans="1:67">
      <c r="A199" s="33" t="str">
        <f>Database_Productkaarten[[#This Row],[Product]]&amp;", "&amp;Database_Productkaarten[[#This Row],[Levensfase]]</f>
        <v>SMA 8-11 - PCR 1.0, Totaal</v>
      </c>
      <c r="B199" s="33" t="s">
        <v>502</v>
      </c>
      <c r="C199" s="33" t="s">
        <v>483</v>
      </c>
      <c r="D199" s="33" t="s">
        <v>501</v>
      </c>
      <c r="E199" s="33" t="s">
        <v>378</v>
      </c>
      <c r="F199" s="33" t="s">
        <v>90</v>
      </c>
      <c r="L199" s="33">
        <v>2.35</v>
      </c>
      <c r="M199" s="269">
        <v>1</v>
      </c>
      <c r="N199" s="41">
        <v>8.7503391107382686</v>
      </c>
      <c r="O199" s="33">
        <v>16</v>
      </c>
      <c r="P199" s="40">
        <v>8.1197543759434237E-5</v>
      </c>
      <c r="Q199" s="40">
        <v>1.1110652129368344</v>
      </c>
      <c r="R199" s="40">
        <v>75.9159122858904</v>
      </c>
      <c r="S199" s="40">
        <v>9.040782327163844E-6</v>
      </c>
      <c r="T199" s="40">
        <v>9.9703348157549151E-2</v>
      </c>
      <c r="U199" s="40">
        <v>0.37885456285647356</v>
      </c>
      <c r="V199" s="40">
        <v>4.5420778349347858E-2</v>
      </c>
      <c r="W199" s="40">
        <v>20.964118403725799</v>
      </c>
      <c r="X199" s="40">
        <v>2.0740780349551886</v>
      </c>
      <c r="Y199" s="40">
        <v>6907.9430901023243</v>
      </c>
      <c r="Z199" s="40">
        <v>0.21808102001041407</v>
      </c>
      <c r="AA199" s="40"/>
      <c r="AB199" s="40"/>
      <c r="AC199" s="40"/>
      <c r="AD199" s="40"/>
      <c r="AE199" s="40"/>
      <c r="AF199" s="40"/>
      <c r="AG199" s="40"/>
      <c r="AH199" s="40"/>
      <c r="AI199" s="40"/>
      <c r="AJ199" s="40"/>
      <c r="AK199" s="40"/>
      <c r="AL199" s="40"/>
      <c r="AM199" s="40"/>
      <c r="AN199" s="40"/>
      <c r="AO199" s="40"/>
      <c r="AP199" s="40"/>
      <c r="AQ199" s="40"/>
      <c r="AR199" s="40"/>
      <c r="AS199" s="40"/>
      <c r="AT199" s="40"/>
      <c r="AU199" s="40"/>
      <c r="AV199" s="313">
        <v>28.972705215499644</v>
      </c>
      <c r="AW199" s="317"/>
      <c r="AX199" s="317"/>
      <c r="AY199" s="313">
        <v>2271.0212998335792</v>
      </c>
      <c r="AZ199" s="40"/>
      <c r="BA199" s="40"/>
      <c r="BB199" s="40"/>
      <c r="BC199" s="40">
        <v>18.463503302160493</v>
      </c>
      <c r="BD199" s="40">
        <v>1.2038570534975809E-3</v>
      </c>
      <c r="BE199" s="40">
        <v>3.7449664617309528</v>
      </c>
      <c r="BF199" s="40">
        <v>1.9957885255421884E-3</v>
      </c>
      <c r="BG199" s="40"/>
      <c r="BH199" s="40"/>
      <c r="BI199" s="40"/>
      <c r="BJ199" s="40"/>
      <c r="BK199" s="40"/>
      <c r="BL199" s="62">
        <v>0</v>
      </c>
      <c r="BM199" s="275">
        <v>2</v>
      </c>
      <c r="BN199" s="62">
        <v>0</v>
      </c>
      <c r="BO199" s="33" t="s">
        <v>485</v>
      </c>
    </row>
    <row r="200" spans="1:67">
      <c r="A200" s="33" t="str">
        <f>Database_Productkaarten[[#This Row],[Product]]&amp;", "&amp;Database_Productkaarten[[#This Row],[Levensfase]]</f>
        <v>SMA 8-11 - PCR 1.0, A1</v>
      </c>
      <c r="B200" s="33" t="s">
        <v>502</v>
      </c>
      <c r="C200" s="33" t="s">
        <v>483</v>
      </c>
      <c r="D200" s="33" t="s">
        <v>501</v>
      </c>
      <c r="E200" s="33" t="s">
        <v>378</v>
      </c>
      <c r="F200" s="33" t="s">
        <v>74</v>
      </c>
      <c r="L200" s="33">
        <v>2.35</v>
      </c>
      <c r="M200" s="269">
        <v>1</v>
      </c>
      <c r="N200" s="41">
        <v>8.586432293999998</v>
      </c>
      <c r="O200" s="33">
        <v>16</v>
      </c>
      <c r="P200" s="40">
        <v>9.7107269600000003E-5</v>
      </c>
      <c r="Q200" s="40">
        <v>1.5672421957999998</v>
      </c>
      <c r="R200" s="40">
        <v>62.237935915999998</v>
      </c>
      <c r="S200" s="40">
        <v>5.1475575800000003E-6</v>
      </c>
      <c r="T200" s="40">
        <v>0.16872885112</v>
      </c>
      <c r="U200" s="40">
        <v>0.44769149699999999</v>
      </c>
      <c r="V200" s="40">
        <v>4.0180046599999998E-2</v>
      </c>
      <c r="W200" s="40">
        <v>17.382369546</v>
      </c>
      <c r="X200" s="40">
        <v>2.4661645526</v>
      </c>
      <c r="Y200" s="40">
        <v>10762.819724555</v>
      </c>
      <c r="Z200" s="40">
        <v>0.31791365040000003</v>
      </c>
      <c r="AA200" s="40"/>
      <c r="AB200" s="40"/>
      <c r="AC200" s="40"/>
      <c r="AD200" s="40"/>
      <c r="AE200" s="40"/>
      <c r="AF200" s="40"/>
      <c r="AG200" s="40"/>
      <c r="AH200" s="40"/>
      <c r="AI200" s="40"/>
      <c r="AJ200" s="40"/>
      <c r="AK200" s="40"/>
      <c r="AL200" s="40"/>
      <c r="AM200" s="40"/>
      <c r="AN200" s="40"/>
      <c r="AO200" s="40"/>
      <c r="AP200" s="40"/>
      <c r="AQ200" s="40"/>
      <c r="AR200" s="40"/>
      <c r="AS200" s="40"/>
      <c r="AT200" s="40"/>
      <c r="AU200" s="40"/>
      <c r="AV200" s="313">
        <v>31.111372383000003</v>
      </c>
      <c r="AW200" s="317"/>
      <c r="AX200" s="317"/>
      <c r="AY200" s="313">
        <v>3543.3189104490002</v>
      </c>
      <c r="AZ200" s="40"/>
      <c r="BA200" s="40"/>
      <c r="BB200" s="40"/>
      <c r="BC200" s="40">
        <v>37.827103111200003</v>
      </c>
      <c r="BD200" s="40">
        <v>1.1986245459999999E-3</v>
      </c>
      <c r="BE200" s="40">
        <v>3.3987437279999999</v>
      </c>
      <c r="BF200" s="40">
        <v>1.3125846360000002E-3</v>
      </c>
      <c r="BG200" s="40"/>
      <c r="BH200" s="40"/>
      <c r="BI200" s="40"/>
      <c r="BJ200" s="40"/>
      <c r="BK200" s="40"/>
      <c r="BL200" s="62">
        <v>0</v>
      </c>
      <c r="BM200" s="275">
        <v>2</v>
      </c>
      <c r="BN200" s="62">
        <v>0</v>
      </c>
      <c r="BO200" s="33" t="s">
        <v>485</v>
      </c>
    </row>
    <row r="201" spans="1:67">
      <c r="A201" s="33" t="str">
        <f>Database_Productkaarten[[#This Row],[Product]]&amp;", "&amp;Database_Productkaarten[[#This Row],[Levensfase]]</f>
        <v>SMA 8-11 - PCR 1.0, A2</v>
      </c>
      <c r="B201" s="33" t="s">
        <v>502</v>
      </c>
      <c r="C201" s="33" t="s">
        <v>483</v>
      </c>
      <c r="D201" s="33" t="s">
        <v>501</v>
      </c>
      <c r="E201" s="33" t="s">
        <v>378</v>
      </c>
      <c r="F201" s="33" t="s">
        <v>75</v>
      </c>
      <c r="L201" s="33">
        <v>2.35</v>
      </c>
      <c r="M201" s="269">
        <v>1</v>
      </c>
      <c r="N201" s="41">
        <v>2.4307964394150003</v>
      </c>
      <c r="O201" s="33">
        <v>16</v>
      </c>
      <c r="P201" s="40">
        <v>1.5064990869629999E-5</v>
      </c>
      <c r="Q201" s="40">
        <v>0.10455005876800001</v>
      </c>
      <c r="R201" s="40">
        <v>15.003097835616002</v>
      </c>
      <c r="S201" s="40">
        <v>2.4817267241000006E-6</v>
      </c>
      <c r="T201" s="40">
        <v>1.2816067583900002E-2</v>
      </c>
      <c r="U201" s="40">
        <v>0.20588537639540005</v>
      </c>
      <c r="V201" s="40">
        <v>2.3472284118600004E-2</v>
      </c>
      <c r="W201" s="40">
        <v>6.0515928570560007</v>
      </c>
      <c r="X201" s="40">
        <v>0.1307750831676</v>
      </c>
      <c r="Y201" s="40">
        <v>535.92296399565896</v>
      </c>
      <c r="Z201" s="40">
        <v>2.0800316694400009E-2</v>
      </c>
      <c r="AA201" s="40"/>
      <c r="AB201" s="40"/>
      <c r="AC201" s="40"/>
      <c r="AD201" s="40"/>
      <c r="AE201" s="40"/>
      <c r="AF201" s="40"/>
      <c r="AG201" s="40"/>
      <c r="AH201" s="40"/>
      <c r="AI201" s="40"/>
      <c r="AJ201" s="40"/>
      <c r="AK201" s="40"/>
      <c r="AL201" s="40"/>
      <c r="AM201" s="40"/>
      <c r="AN201" s="40"/>
      <c r="AO201" s="40"/>
      <c r="AP201" s="40"/>
      <c r="AQ201" s="40"/>
      <c r="AR201" s="40"/>
      <c r="AS201" s="40"/>
      <c r="AT201" s="40"/>
      <c r="AU201" s="40"/>
      <c r="AV201" s="313">
        <v>4.1844821066910001</v>
      </c>
      <c r="AW201" s="317"/>
      <c r="AX201" s="317"/>
      <c r="AY201" s="313">
        <v>231.69305034644901</v>
      </c>
      <c r="AZ201" s="40"/>
      <c r="BA201" s="40"/>
      <c r="BB201" s="40"/>
      <c r="BC201" s="40">
        <v>4.2908625141899998E-2</v>
      </c>
      <c r="BD201" s="40">
        <v>1.3900675574579998E-4</v>
      </c>
      <c r="BE201" s="40">
        <v>4.1705277317539995</v>
      </c>
      <c r="BF201" s="40">
        <v>1.4404183863400003E-3</v>
      </c>
      <c r="BG201" s="40"/>
      <c r="BH201" s="40"/>
      <c r="BI201" s="40"/>
      <c r="BJ201" s="40"/>
      <c r="BK201" s="40"/>
      <c r="BL201" s="62">
        <v>0</v>
      </c>
      <c r="BM201" s="275">
        <v>2</v>
      </c>
      <c r="BN201" s="62">
        <v>0</v>
      </c>
      <c r="BO201" s="33" t="s">
        <v>485</v>
      </c>
    </row>
    <row r="202" spans="1:67">
      <c r="A202" s="33" t="str">
        <f>Database_Productkaarten[[#This Row],[Product]]&amp;", "&amp;Database_Productkaarten[[#This Row],[Levensfase]]</f>
        <v>SMA 8-11 - PCR 1.0, A3</v>
      </c>
      <c r="B202" s="33" t="s">
        <v>502</v>
      </c>
      <c r="C202" s="33" t="s">
        <v>483</v>
      </c>
      <c r="D202" s="33" t="s">
        <v>501</v>
      </c>
      <c r="E202" s="33" t="s">
        <v>378</v>
      </c>
      <c r="F202" s="33" t="s">
        <v>76</v>
      </c>
      <c r="L202" s="33">
        <v>2.35</v>
      </c>
      <c r="M202" s="269">
        <v>1</v>
      </c>
      <c r="N202" s="41">
        <v>1.6535537506540927</v>
      </c>
      <c r="O202" s="33">
        <v>16</v>
      </c>
      <c r="P202" s="40">
        <v>5.2713531167084548E-6</v>
      </c>
      <c r="Q202" s="40">
        <v>0.19207865336915458</v>
      </c>
      <c r="R202" s="40">
        <v>22.669455609947878</v>
      </c>
      <c r="S202" s="40">
        <v>2.5506295190080962E-6</v>
      </c>
      <c r="T202" s="40">
        <v>3.6927587031904642E-3</v>
      </c>
      <c r="U202" s="40">
        <v>2.6185219957496675E-2</v>
      </c>
      <c r="V202" s="40">
        <v>4.8609564714452522E-3</v>
      </c>
      <c r="W202" s="40">
        <v>3.5625618886590238</v>
      </c>
      <c r="X202" s="40">
        <v>2.5530337415448572E-2</v>
      </c>
      <c r="Y202" s="40">
        <v>104.00297466151824</v>
      </c>
      <c r="Z202" s="40">
        <v>2.6652329923810936E-2</v>
      </c>
      <c r="AA202" s="40"/>
      <c r="AB202" s="40"/>
      <c r="AC202" s="40"/>
      <c r="AD202" s="40"/>
      <c r="AE202" s="40"/>
      <c r="AF202" s="40"/>
      <c r="AG202" s="40"/>
      <c r="AH202" s="40"/>
      <c r="AI202" s="40"/>
      <c r="AJ202" s="40"/>
      <c r="AK202" s="40"/>
      <c r="AL202" s="40"/>
      <c r="AM202" s="40"/>
      <c r="AN202" s="40"/>
      <c r="AO202" s="40"/>
      <c r="AP202" s="40"/>
      <c r="AQ202" s="40"/>
      <c r="AR202" s="40"/>
      <c r="AS202" s="40"/>
      <c r="AT202" s="40"/>
      <c r="AU202" s="40"/>
      <c r="AV202" s="313">
        <v>7.6727774558279922</v>
      </c>
      <c r="AW202" s="317"/>
      <c r="AX202" s="317"/>
      <c r="AY202" s="313">
        <v>392.03275105654564</v>
      </c>
      <c r="AZ202" s="40"/>
      <c r="BA202" s="40"/>
      <c r="BB202" s="40"/>
      <c r="BC202" s="40">
        <v>5.1312985347488176E-2</v>
      </c>
      <c r="BD202" s="40">
        <v>5.4391746066704031E-4</v>
      </c>
      <c r="BE202" s="40">
        <v>0.27772677342255825</v>
      </c>
      <c r="BF202" s="40">
        <v>3.8469637044231497E-4</v>
      </c>
      <c r="BG202" s="40"/>
      <c r="BH202" s="40"/>
      <c r="BI202" s="40"/>
      <c r="BJ202" s="40"/>
      <c r="BK202" s="40"/>
      <c r="BL202" s="62">
        <v>0</v>
      </c>
      <c r="BM202" s="275">
        <v>2</v>
      </c>
      <c r="BN202" s="62">
        <v>0</v>
      </c>
      <c r="BO202" s="33" t="s">
        <v>485</v>
      </c>
    </row>
    <row r="203" spans="1:67">
      <c r="A203" s="33" t="str">
        <f>Database_Productkaarten[[#This Row],[Product]]&amp;", "&amp;Database_Productkaarten[[#This Row],[Levensfase]]</f>
        <v>SMA 8-11 - PCR 1.0, A1-A3</v>
      </c>
      <c r="B203" s="33" t="str">
        <f>B202</f>
        <v>SMA 8-11 - PCR 1.0</v>
      </c>
      <c r="C203" s="33" t="str">
        <f>C202</f>
        <v>Bitumineuze verhardingen</v>
      </c>
      <c r="D203" s="33" t="str">
        <f>D202</f>
        <v>SMA</v>
      </c>
      <c r="E203" s="33" t="str">
        <f>E202</f>
        <v>Ton</v>
      </c>
      <c r="F203" s="33" t="s">
        <v>77</v>
      </c>
      <c r="L203" s="33">
        <f>L202</f>
        <v>2.35</v>
      </c>
      <c r="M203" s="45">
        <f>M202</f>
        <v>1</v>
      </c>
      <c r="N203" s="252">
        <f>SUM(N200:N202)</f>
        <v>12.670782484069091</v>
      </c>
      <c r="O203" s="33">
        <f>O202</f>
        <v>16</v>
      </c>
      <c r="P203" s="40">
        <f>SUM(P200:P202)</f>
        <v>1.1744361358633846E-4</v>
      </c>
      <c r="Q203" s="40">
        <f t="shared" ref="Q203:BK203" si="33">SUM(Q200:Q202)</f>
        <v>1.8638709079371543</v>
      </c>
      <c r="R203" s="40">
        <f t="shared" si="33"/>
        <v>99.910489361563876</v>
      </c>
      <c r="S203" s="40">
        <f t="shared" si="33"/>
        <v>1.0179913823108098E-5</v>
      </c>
      <c r="T203" s="40">
        <f t="shared" si="33"/>
        <v>0.18523767740709046</v>
      </c>
      <c r="U203" s="40">
        <f t="shared" si="33"/>
        <v>0.67976209335289672</v>
      </c>
      <c r="V203" s="40">
        <f t="shared" si="33"/>
        <v>6.8513287190045263E-2</v>
      </c>
      <c r="W203" s="40">
        <f t="shared" si="33"/>
        <v>26.996524291715023</v>
      </c>
      <c r="X203" s="40">
        <f t="shared" si="33"/>
        <v>2.622469973183049</v>
      </c>
      <c r="Y203" s="40">
        <f t="shared" si="33"/>
        <v>11402.745663212178</v>
      </c>
      <c r="Z203" s="40">
        <f t="shared" si="33"/>
        <v>0.36536629701821099</v>
      </c>
      <c r="AA203" s="40">
        <f t="shared" si="33"/>
        <v>0</v>
      </c>
      <c r="AB203" s="40">
        <f t="shared" si="33"/>
        <v>0</v>
      </c>
      <c r="AC203" s="40">
        <f t="shared" si="33"/>
        <v>0</v>
      </c>
      <c r="AD203" s="40">
        <f t="shared" si="33"/>
        <v>0</v>
      </c>
      <c r="AE203" s="40">
        <f t="shared" si="33"/>
        <v>0</v>
      </c>
      <c r="AF203" s="40">
        <f t="shared" si="33"/>
        <v>0</v>
      </c>
      <c r="AG203" s="40">
        <f t="shared" si="33"/>
        <v>0</v>
      </c>
      <c r="AH203" s="40">
        <f t="shared" si="33"/>
        <v>0</v>
      </c>
      <c r="AI203" s="40">
        <f t="shared" si="33"/>
        <v>0</v>
      </c>
      <c r="AJ203" s="40">
        <f t="shared" si="33"/>
        <v>0</v>
      </c>
      <c r="AK203" s="40">
        <f t="shared" si="33"/>
        <v>0</v>
      </c>
      <c r="AL203" s="40">
        <f t="shared" si="33"/>
        <v>0</v>
      </c>
      <c r="AM203" s="40">
        <f t="shared" si="33"/>
        <v>0</v>
      </c>
      <c r="AN203" s="40">
        <f t="shared" si="33"/>
        <v>0</v>
      </c>
      <c r="AO203" s="40">
        <f t="shared" si="33"/>
        <v>0</v>
      </c>
      <c r="AP203" s="40">
        <f t="shared" si="33"/>
        <v>0</v>
      </c>
      <c r="AQ203" s="40">
        <f t="shared" si="33"/>
        <v>0</v>
      </c>
      <c r="AR203" s="40">
        <f t="shared" si="33"/>
        <v>0</v>
      </c>
      <c r="AS203" s="40">
        <f t="shared" si="33"/>
        <v>0</v>
      </c>
      <c r="AT203" s="40">
        <f t="shared" si="33"/>
        <v>0</v>
      </c>
      <c r="AU203" s="40">
        <f t="shared" si="33"/>
        <v>0</v>
      </c>
      <c r="AV203" s="317">
        <f t="shared" si="33"/>
        <v>42.968631945518993</v>
      </c>
      <c r="AW203" s="317">
        <f t="shared" si="33"/>
        <v>0</v>
      </c>
      <c r="AX203" s="317">
        <f t="shared" si="33"/>
        <v>0</v>
      </c>
      <c r="AY203" s="317">
        <f t="shared" si="33"/>
        <v>4167.0447118519951</v>
      </c>
      <c r="AZ203" s="40">
        <f t="shared" si="33"/>
        <v>0</v>
      </c>
      <c r="BA203" s="40">
        <f t="shared" si="33"/>
        <v>0</v>
      </c>
      <c r="BB203" s="40">
        <f t="shared" si="33"/>
        <v>0</v>
      </c>
      <c r="BC203" s="40">
        <f t="shared" si="33"/>
        <v>37.921324721689388</v>
      </c>
      <c r="BD203" s="40">
        <f t="shared" si="33"/>
        <v>1.8815487624128401E-3</v>
      </c>
      <c r="BE203" s="40">
        <f t="shared" si="33"/>
        <v>7.8469982331765573</v>
      </c>
      <c r="BF203" s="40">
        <f t="shared" si="33"/>
        <v>3.1376993927823152E-3</v>
      </c>
      <c r="BG203" s="40">
        <f t="shared" si="33"/>
        <v>0</v>
      </c>
      <c r="BH203" s="40">
        <f t="shared" si="33"/>
        <v>0</v>
      </c>
      <c r="BI203" s="40">
        <f t="shared" si="33"/>
        <v>0</v>
      </c>
      <c r="BJ203" s="40">
        <f t="shared" si="33"/>
        <v>0</v>
      </c>
      <c r="BK203" s="40">
        <f t="shared" si="33"/>
        <v>0</v>
      </c>
      <c r="BL203" s="62">
        <f>BL202</f>
        <v>0</v>
      </c>
      <c r="BM203" s="275">
        <f>BM202</f>
        <v>2</v>
      </c>
      <c r="BN203" s="62">
        <v>0</v>
      </c>
      <c r="BO203" s="33" t="str">
        <f>BO202</f>
        <v>TNO 2020 R10987 LCA Achtergrondrapport voor brancherepresentatieve Nederlandse asfaltmengsels 2020</v>
      </c>
    </row>
    <row r="204" spans="1:67">
      <c r="A204" s="33" t="str">
        <f>Database_Productkaarten[[#This Row],[Product]]&amp;", "&amp;Database_Productkaarten[[#This Row],[Levensfase]]</f>
        <v>SMA 8-11 - PCR 1.0, A4</v>
      </c>
      <c r="B204" s="33" t="s">
        <v>502</v>
      </c>
      <c r="C204" s="33" t="s">
        <v>483</v>
      </c>
      <c r="D204" s="33" t="s">
        <v>501</v>
      </c>
      <c r="E204" s="33" t="s">
        <v>378</v>
      </c>
      <c r="F204" s="33" t="s">
        <v>78</v>
      </c>
      <c r="L204" s="33">
        <v>2.35</v>
      </c>
      <c r="M204" s="269">
        <v>1</v>
      </c>
      <c r="N204" s="41">
        <v>0.62892669999999995</v>
      </c>
      <c r="O204" s="33">
        <v>16</v>
      </c>
      <c r="P204" s="40">
        <v>1.0978337000000001E-5</v>
      </c>
      <c r="Q204" s="40">
        <v>4.3183727999999998E-2</v>
      </c>
      <c r="R204" s="40">
        <v>5.7021305</v>
      </c>
      <c r="S204" s="40">
        <v>1.1335356E-6</v>
      </c>
      <c r="T204" s="40">
        <v>3.5752850000000001E-3</v>
      </c>
      <c r="U204" s="40">
        <v>1.9151161E-2</v>
      </c>
      <c r="V204" s="40">
        <v>3.8023555000000001E-3</v>
      </c>
      <c r="W204" s="40">
        <v>2.0049337999999999</v>
      </c>
      <c r="X204" s="40">
        <v>0.12926487</v>
      </c>
      <c r="Y204" s="40">
        <v>338.63108999999997</v>
      </c>
      <c r="Z204" s="40">
        <v>1.1891815999999999E-2</v>
      </c>
      <c r="AA204" s="40"/>
      <c r="AB204" s="40"/>
      <c r="AC204" s="40"/>
      <c r="AD204" s="40"/>
      <c r="AE204" s="40"/>
      <c r="AF204" s="40"/>
      <c r="AG204" s="40"/>
      <c r="AH204" s="40"/>
      <c r="AI204" s="40"/>
      <c r="AJ204" s="40"/>
      <c r="AK204" s="40"/>
      <c r="AL204" s="40"/>
      <c r="AM204" s="40"/>
      <c r="AN204" s="40"/>
      <c r="AO204" s="40"/>
      <c r="AP204" s="40"/>
      <c r="AQ204" s="40"/>
      <c r="AR204" s="40"/>
      <c r="AS204" s="40"/>
      <c r="AT204" s="40"/>
      <c r="AU204" s="40"/>
      <c r="AV204" s="313">
        <v>0</v>
      </c>
      <c r="AW204" s="317"/>
      <c r="AX204" s="317"/>
      <c r="AY204" s="313">
        <v>0</v>
      </c>
      <c r="AZ204" s="40"/>
      <c r="BA204" s="40"/>
      <c r="BB204" s="40"/>
      <c r="BC204" s="40">
        <v>0</v>
      </c>
      <c r="BD204" s="40">
        <v>0</v>
      </c>
      <c r="BE204" s="40">
        <v>0</v>
      </c>
      <c r="BF204" s="40">
        <v>0</v>
      </c>
      <c r="BG204" s="40"/>
      <c r="BH204" s="40"/>
      <c r="BI204" s="40"/>
      <c r="BJ204" s="40"/>
      <c r="BK204" s="40"/>
      <c r="BL204" s="62">
        <v>0</v>
      </c>
      <c r="BM204" s="275">
        <v>2</v>
      </c>
      <c r="BN204" s="62">
        <v>0</v>
      </c>
      <c r="BO204" s="33" t="s">
        <v>485</v>
      </c>
    </row>
    <row r="205" spans="1:67">
      <c r="A205" s="33" t="str">
        <f>Database_Productkaarten[[#This Row],[Product]]&amp;", "&amp;Database_Productkaarten[[#This Row],[Levensfase]]</f>
        <v>SMA 8-11 - PCR 1.0, A5</v>
      </c>
      <c r="B205" s="33" t="s">
        <v>502</v>
      </c>
      <c r="C205" s="33" t="s">
        <v>483</v>
      </c>
      <c r="D205" s="33" t="s">
        <v>501</v>
      </c>
      <c r="E205" s="33" t="s">
        <v>378</v>
      </c>
      <c r="F205" s="33" t="s">
        <v>79</v>
      </c>
      <c r="L205" s="33">
        <v>2.35</v>
      </c>
      <c r="M205" s="269">
        <v>1</v>
      </c>
      <c r="N205" s="41">
        <v>0.26142994000000003</v>
      </c>
      <c r="O205" s="33">
        <v>16</v>
      </c>
      <c r="P205" s="40">
        <v>6.4405276999999999E-7</v>
      </c>
      <c r="Q205" s="40">
        <v>1.3221688000000001E-2</v>
      </c>
      <c r="R205" s="40">
        <v>2.554217</v>
      </c>
      <c r="S205" s="40">
        <v>3.4623921999999999E-7</v>
      </c>
      <c r="T205" s="40">
        <v>9.5560771999999997E-4</v>
      </c>
      <c r="U205" s="40">
        <v>1.0774331999999999E-2</v>
      </c>
      <c r="V205" s="40">
        <v>2.4326081999999998E-3</v>
      </c>
      <c r="W205" s="40">
        <v>0.67890231999999995</v>
      </c>
      <c r="X205" s="40">
        <v>9.5891563000000003E-3</v>
      </c>
      <c r="Y205" s="40">
        <v>32.339298999999997</v>
      </c>
      <c r="Z205" s="40">
        <v>1.1383995E-3</v>
      </c>
      <c r="AA205" s="40"/>
      <c r="AB205" s="40"/>
      <c r="AC205" s="40"/>
      <c r="AD205" s="40"/>
      <c r="AE205" s="40"/>
      <c r="AF205" s="40"/>
      <c r="AG205" s="40"/>
      <c r="AH205" s="40"/>
      <c r="AI205" s="40"/>
      <c r="AJ205" s="40"/>
      <c r="AK205" s="40"/>
      <c r="AL205" s="40"/>
      <c r="AM205" s="40"/>
      <c r="AN205" s="40"/>
      <c r="AO205" s="40"/>
      <c r="AP205" s="40"/>
      <c r="AQ205" s="40"/>
      <c r="AR205" s="40"/>
      <c r="AS205" s="40"/>
      <c r="AT205" s="40"/>
      <c r="AU205" s="40"/>
      <c r="AV205" s="313">
        <v>0.16170355</v>
      </c>
      <c r="AW205" s="317"/>
      <c r="AX205" s="317"/>
      <c r="AY205" s="313">
        <v>29.640834999999999</v>
      </c>
      <c r="AZ205" s="40"/>
      <c r="BA205" s="40"/>
      <c r="BB205" s="40"/>
      <c r="BC205" s="40">
        <v>3.6528305999999999E-3</v>
      </c>
      <c r="BD205" s="40">
        <v>1.2448785000000001E-5</v>
      </c>
      <c r="BE205" s="40">
        <v>2.9724645000000001E-2</v>
      </c>
      <c r="BF205" s="40">
        <v>1.9389087E-4</v>
      </c>
      <c r="BG205" s="40"/>
      <c r="BH205" s="40"/>
      <c r="BI205" s="40"/>
      <c r="BJ205" s="40"/>
      <c r="BK205" s="40"/>
      <c r="BL205" s="62">
        <v>0</v>
      </c>
      <c r="BM205" s="275">
        <v>2</v>
      </c>
      <c r="BN205" s="62">
        <v>0</v>
      </c>
      <c r="BO205" s="33" t="s">
        <v>485</v>
      </c>
    </row>
    <row r="206" spans="1:67">
      <c r="A206" s="33" t="str">
        <f>Database_Productkaarten[[#This Row],[Product]]&amp;", "&amp;Database_Productkaarten[[#This Row],[Levensfase]]</f>
        <v>SMA 8-11 - PCR 1.0, B1</v>
      </c>
      <c r="B206" s="33" t="s">
        <v>502</v>
      </c>
      <c r="C206" s="33" t="s">
        <v>483</v>
      </c>
      <c r="D206" s="33" t="s">
        <v>501</v>
      </c>
      <c r="E206" s="33" t="s">
        <v>378</v>
      </c>
      <c r="F206" s="33" t="s">
        <v>80</v>
      </c>
      <c r="L206" s="33">
        <v>2.35</v>
      </c>
      <c r="M206" s="269">
        <v>1</v>
      </c>
      <c r="N206" s="41">
        <v>0.11825487</v>
      </c>
      <c r="O206" s="33">
        <v>16</v>
      </c>
      <c r="P206" s="40">
        <v>0</v>
      </c>
      <c r="Q206" s="40">
        <v>0</v>
      </c>
      <c r="R206" s="40">
        <v>0</v>
      </c>
      <c r="S206" s="40">
        <v>0</v>
      </c>
      <c r="T206" s="40">
        <v>0</v>
      </c>
      <c r="U206" s="40">
        <v>0</v>
      </c>
      <c r="V206" s="40">
        <v>0</v>
      </c>
      <c r="W206" s="40">
        <v>0.47637814000000001</v>
      </c>
      <c r="X206" s="40">
        <v>0.51070837000000002</v>
      </c>
      <c r="Y206" s="40">
        <v>600.42147</v>
      </c>
      <c r="Z206" s="40">
        <v>2.9058966999999998E-4</v>
      </c>
      <c r="AA206" s="40"/>
      <c r="AB206" s="40"/>
      <c r="AC206" s="40"/>
      <c r="AD206" s="40"/>
      <c r="AE206" s="40"/>
      <c r="AF206" s="40"/>
      <c r="AG206" s="40"/>
      <c r="AH206" s="40"/>
      <c r="AI206" s="40"/>
      <c r="AJ206" s="40"/>
      <c r="AK206" s="40"/>
      <c r="AL206" s="40"/>
      <c r="AM206" s="40"/>
      <c r="AN206" s="40"/>
      <c r="AO206" s="40"/>
      <c r="AP206" s="40"/>
      <c r="AQ206" s="40"/>
      <c r="AR206" s="40"/>
      <c r="AS206" s="40"/>
      <c r="AT206" s="40"/>
      <c r="AU206" s="40"/>
      <c r="AV206" s="313">
        <v>0</v>
      </c>
      <c r="AW206" s="317"/>
      <c r="AX206" s="317"/>
      <c r="AY206" s="313">
        <v>0</v>
      </c>
      <c r="AZ206" s="40"/>
      <c r="BA206" s="40"/>
      <c r="BB206" s="40"/>
      <c r="BC206" s="40">
        <v>0</v>
      </c>
      <c r="BD206" s="40">
        <v>0</v>
      </c>
      <c r="BE206" s="40">
        <v>0</v>
      </c>
      <c r="BF206" s="40">
        <v>0</v>
      </c>
      <c r="BG206" s="40"/>
      <c r="BH206" s="40"/>
      <c r="BI206" s="40"/>
      <c r="BJ206" s="40"/>
      <c r="BK206" s="40"/>
      <c r="BL206" s="62">
        <v>0</v>
      </c>
      <c r="BM206" s="275">
        <v>2</v>
      </c>
      <c r="BN206" s="62">
        <v>0</v>
      </c>
      <c r="BO206" s="33" t="s">
        <v>485</v>
      </c>
    </row>
    <row r="207" spans="1:67">
      <c r="A207" s="33" t="str">
        <f>Database_Productkaarten[[#This Row],[Product]]&amp;", "&amp;Database_Productkaarten[[#This Row],[Levensfase]]</f>
        <v>SMA 8-11 - PCR 1.0, C1</v>
      </c>
      <c r="B207" s="33" t="s">
        <v>502</v>
      </c>
      <c r="C207" s="33" t="s">
        <v>483</v>
      </c>
      <c r="D207" s="33" t="s">
        <v>501</v>
      </c>
      <c r="E207" s="33" t="s">
        <v>378</v>
      </c>
      <c r="F207" s="33" t="s">
        <v>83</v>
      </c>
      <c r="L207" s="33">
        <v>2.35</v>
      </c>
      <c r="M207" s="269">
        <v>1</v>
      </c>
      <c r="N207" s="41">
        <v>0.13639726999999999</v>
      </c>
      <c r="O207" s="33">
        <v>16</v>
      </c>
      <c r="P207" s="40">
        <v>3.6644380999999999E-7</v>
      </c>
      <c r="Q207" s="40">
        <v>7.5226846000000002E-3</v>
      </c>
      <c r="R207" s="40">
        <v>1.4532613999999999</v>
      </c>
      <c r="S207" s="40">
        <v>1.9699817000000001E-7</v>
      </c>
      <c r="T207" s="40">
        <v>4.8171299999999999E-4</v>
      </c>
      <c r="U207" s="40">
        <v>4.2661764999999997E-3</v>
      </c>
      <c r="V207" s="40">
        <v>8.9941806E-4</v>
      </c>
      <c r="W207" s="40">
        <v>0.38176861000000001</v>
      </c>
      <c r="X207" s="40">
        <v>5.4558992000000002E-3</v>
      </c>
      <c r="Y207" s="40">
        <v>18.399946</v>
      </c>
      <c r="Z207" s="40">
        <v>6.4771006999999995E-4</v>
      </c>
      <c r="AA207" s="40"/>
      <c r="AB207" s="40"/>
      <c r="AC207" s="40"/>
      <c r="AD207" s="40"/>
      <c r="AE207" s="40"/>
      <c r="AF207" s="40"/>
      <c r="AG207" s="40"/>
      <c r="AH207" s="40"/>
      <c r="AI207" s="40"/>
      <c r="AJ207" s="40"/>
      <c r="AK207" s="40"/>
      <c r="AL207" s="40"/>
      <c r="AM207" s="40"/>
      <c r="AN207" s="40"/>
      <c r="AO207" s="40"/>
      <c r="AP207" s="40"/>
      <c r="AQ207" s="40"/>
      <c r="AR207" s="40"/>
      <c r="AS207" s="40"/>
      <c r="AT207" s="40"/>
      <c r="AU207" s="40"/>
      <c r="AV207" s="313">
        <v>9.2003741E-2</v>
      </c>
      <c r="AW207" s="317"/>
      <c r="AX207" s="317"/>
      <c r="AY207" s="313">
        <v>16.864612999999999</v>
      </c>
      <c r="AZ207" s="40"/>
      <c r="BA207" s="40"/>
      <c r="BB207" s="40"/>
      <c r="BC207" s="40">
        <v>2.0783346E-3</v>
      </c>
      <c r="BD207" s="40">
        <v>7.0829294000000003E-6</v>
      </c>
      <c r="BE207" s="40">
        <v>1.6912297999999999E-2</v>
      </c>
      <c r="BF207" s="40">
        <v>1.1031722E-4</v>
      </c>
      <c r="BG207" s="40"/>
      <c r="BH207" s="40"/>
      <c r="BI207" s="40"/>
      <c r="BJ207" s="40"/>
      <c r="BK207" s="40"/>
      <c r="BL207" s="62">
        <v>0</v>
      </c>
      <c r="BM207" s="275">
        <v>2</v>
      </c>
      <c r="BN207" s="62">
        <v>0</v>
      </c>
      <c r="BO207" s="33" t="s">
        <v>485</v>
      </c>
    </row>
    <row r="208" spans="1:67">
      <c r="A208" s="33" t="str">
        <f>Database_Productkaarten[[#This Row],[Product]]&amp;", "&amp;Database_Productkaarten[[#This Row],[Levensfase]]</f>
        <v>SMA 8-11 - PCR 1.0, C2</v>
      </c>
      <c r="B208" s="33" t="s">
        <v>502</v>
      </c>
      <c r="C208" s="33" t="s">
        <v>483</v>
      </c>
      <c r="D208" s="33" t="s">
        <v>501</v>
      </c>
      <c r="E208" s="33" t="s">
        <v>378</v>
      </c>
      <c r="F208" s="33" t="s">
        <v>84</v>
      </c>
      <c r="L208" s="33">
        <v>2.35</v>
      </c>
      <c r="M208" s="269">
        <v>1</v>
      </c>
      <c r="N208" s="41">
        <v>0.62892669999999995</v>
      </c>
      <c r="O208" s="33">
        <v>16</v>
      </c>
      <c r="P208" s="40">
        <v>1.0978337000000001E-5</v>
      </c>
      <c r="Q208" s="40">
        <v>4.3183727999999998E-2</v>
      </c>
      <c r="R208" s="40">
        <v>5.7021305</v>
      </c>
      <c r="S208" s="40">
        <v>1.1335356E-6</v>
      </c>
      <c r="T208" s="40">
        <v>3.5752850000000001E-3</v>
      </c>
      <c r="U208" s="40">
        <v>1.9151161E-2</v>
      </c>
      <c r="V208" s="40">
        <v>3.8023555000000001E-3</v>
      </c>
      <c r="W208" s="40">
        <v>2.0049337999999999</v>
      </c>
      <c r="X208" s="40">
        <v>0.12926487</v>
      </c>
      <c r="Y208" s="40">
        <v>338.63108999999997</v>
      </c>
      <c r="Z208" s="40">
        <v>1.1891815999999999E-2</v>
      </c>
      <c r="AA208" s="40"/>
      <c r="AB208" s="40"/>
      <c r="AC208" s="40"/>
      <c r="AD208" s="40"/>
      <c r="AE208" s="40"/>
      <c r="AF208" s="40"/>
      <c r="AG208" s="40"/>
      <c r="AH208" s="40"/>
      <c r="AI208" s="40"/>
      <c r="AJ208" s="40"/>
      <c r="AK208" s="40"/>
      <c r="AL208" s="40"/>
      <c r="AM208" s="40"/>
      <c r="AN208" s="40"/>
      <c r="AO208" s="40"/>
      <c r="AP208" s="40"/>
      <c r="AQ208" s="40"/>
      <c r="AR208" s="40"/>
      <c r="AS208" s="40"/>
      <c r="AT208" s="40"/>
      <c r="AU208" s="40"/>
      <c r="AV208" s="313">
        <v>0</v>
      </c>
      <c r="AW208" s="317"/>
      <c r="AX208" s="317"/>
      <c r="AY208" s="313">
        <v>0</v>
      </c>
      <c r="AZ208" s="40"/>
      <c r="BA208" s="40"/>
      <c r="BB208" s="40"/>
      <c r="BC208" s="40">
        <v>0</v>
      </c>
      <c r="BD208" s="40">
        <v>0</v>
      </c>
      <c r="BE208" s="40">
        <v>0</v>
      </c>
      <c r="BF208" s="40">
        <v>0</v>
      </c>
      <c r="BG208" s="40"/>
      <c r="BH208" s="40"/>
      <c r="BI208" s="40"/>
      <c r="BJ208" s="40"/>
      <c r="BK208" s="40"/>
      <c r="BL208" s="62">
        <v>0</v>
      </c>
      <c r="BM208" s="275">
        <v>2</v>
      </c>
      <c r="BN208" s="62">
        <v>0</v>
      </c>
      <c r="BO208" s="33" t="s">
        <v>485</v>
      </c>
    </row>
    <row r="209" spans="1:67">
      <c r="A209" s="33" t="str">
        <f>Database_Productkaarten[[#This Row],[Product]]&amp;", "&amp;Database_Productkaarten[[#This Row],[Levensfase]]</f>
        <v>SMA 8-11 - PCR 1.0, C3</v>
      </c>
      <c r="B209" s="33" t="s">
        <v>502</v>
      </c>
      <c r="C209" s="33" t="s">
        <v>483</v>
      </c>
      <c r="D209" s="33" t="s">
        <v>501</v>
      </c>
      <c r="E209" s="33" t="s">
        <v>378</v>
      </c>
      <c r="F209" s="33" t="s">
        <v>85</v>
      </c>
      <c r="L209" s="33">
        <v>2.35</v>
      </c>
      <c r="M209" s="269">
        <v>1</v>
      </c>
      <c r="N209" s="41">
        <v>0.16120214999999999</v>
      </c>
      <c r="O209" s="33">
        <v>16</v>
      </c>
      <c r="P209" s="40">
        <v>4.1291555000000003E-7</v>
      </c>
      <c r="Q209" s="40">
        <v>8.4766977000000007E-3</v>
      </c>
      <c r="R209" s="40">
        <v>1.6375614000000001</v>
      </c>
      <c r="S209" s="40">
        <v>2.2198113E-7</v>
      </c>
      <c r="T209" s="40">
        <v>5.9777666999999998E-4</v>
      </c>
      <c r="U209" s="40">
        <v>5.9352911999999997E-3</v>
      </c>
      <c r="V209" s="40">
        <v>1.3067828999999999E-3</v>
      </c>
      <c r="W209" s="40">
        <v>0.43290835999999999</v>
      </c>
      <c r="X209" s="40">
        <v>6.1478065000000002E-3</v>
      </c>
      <c r="Y209" s="40">
        <v>20.733394000000001</v>
      </c>
      <c r="Z209" s="40">
        <v>7.2985148000000004E-4</v>
      </c>
      <c r="AA209" s="40"/>
      <c r="AB209" s="40"/>
      <c r="AC209" s="40"/>
      <c r="AD209" s="40"/>
      <c r="AE209" s="40"/>
      <c r="AF209" s="40"/>
      <c r="AG209" s="40"/>
      <c r="AH209" s="40"/>
      <c r="AI209" s="40"/>
      <c r="AJ209" s="40"/>
      <c r="AK209" s="40"/>
      <c r="AL209" s="40"/>
      <c r="AM209" s="40"/>
      <c r="AN209" s="40"/>
      <c r="AO209" s="40"/>
      <c r="AP209" s="40"/>
      <c r="AQ209" s="40"/>
      <c r="AR209" s="40"/>
      <c r="AS209" s="40"/>
      <c r="AT209" s="40"/>
      <c r="AU209" s="40"/>
      <c r="AV209" s="313">
        <v>0.10367149000000001</v>
      </c>
      <c r="AW209" s="317"/>
      <c r="AX209" s="317"/>
      <c r="AY209" s="313">
        <v>19.003353000000001</v>
      </c>
      <c r="AZ209" s="40"/>
      <c r="BA209" s="40"/>
      <c r="BB209" s="40"/>
      <c r="BC209" s="40">
        <v>2.3419052000000001E-3</v>
      </c>
      <c r="BD209" s="40">
        <v>7.9811735999999999E-6</v>
      </c>
      <c r="BE209" s="40">
        <v>1.9057085000000001E-2</v>
      </c>
      <c r="BF209" s="40">
        <v>1.2430745000000001E-4</v>
      </c>
      <c r="BG209" s="40"/>
      <c r="BH209" s="40"/>
      <c r="BI209" s="40"/>
      <c r="BJ209" s="40"/>
      <c r="BK209" s="40"/>
      <c r="BL209" s="62">
        <v>0</v>
      </c>
      <c r="BM209" s="275">
        <v>2</v>
      </c>
      <c r="BN209" s="62">
        <v>0</v>
      </c>
      <c r="BO209" s="33" t="s">
        <v>485</v>
      </c>
    </row>
    <row r="210" spans="1:67">
      <c r="A210" s="33" t="str">
        <f>Database_Productkaarten[[#This Row],[Product]]&amp;", "&amp;Database_Productkaarten[[#This Row],[Levensfase]]</f>
        <v>SMA 8-11 - PCR 1.0, D</v>
      </c>
      <c r="B210" s="33" t="str">
        <f>B211</f>
        <v>SMA 8-11 - PCR 1.0</v>
      </c>
      <c r="C210" s="33" t="str">
        <f>C211</f>
        <v>Bitumineuze verhardingen</v>
      </c>
      <c r="D210" s="33" t="str">
        <f>D211</f>
        <v>SMA</v>
      </c>
      <c r="E210" s="33" t="str">
        <f>E211</f>
        <v>Ton</v>
      </c>
      <c r="F210" s="33" t="s">
        <v>89</v>
      </c>
      <c r="L210" s="33">
        <f>L211</f>
        <v>2.35</v>
      </c>
      <c r="M210" s="45">
        <f>M211</f>
        <v>1</v>
      </c>
      <c r="N210" s="41">
        <f>SUM(N211:N212)</f>
        <v>-5.8555810033308253</v>
      </c>
      <c r="O210" s="33">
        <f>O211</f>
        <v>16</v>
      </c>
      <c r="P210" s="40">
        <f>SUM(P211:P212)</f>
        <v>-5.9626155956904198E-5</v>
      </c>
      <c r="Q210" s="40">
        <f>SUM(Q211:Q212)</f>
        <v>-0.86839422130031996</v>
      </c>
      <c r="R210" s="40">
        <f>SUM(R211:R212)</f>
        <v>-41.043877875673459</v>
      </c>
      <c r="S210" s="40">
        <f t="shared" ref="S210:BK210" si="34">SUM(S211:S212)</f>
        <v>-4.1714212159442528E-6</v>
      </c>
      <c r="T210" s="40">
        <f t="shared" si="34"/>
        <v>-9.4719996639541268E-2</v>
      </c>
      <c r="U210" s="40">
        <f t="shared" si="34"/>
        <v>-0.36018565219642296</v>
      </c>
      <c r="V210" s="40">
        <f t="shared" si="34"/>
        <v>-3.5336029000697392E-2</v>
      </c>
      <c r="W210" s="40">
        <f t="shared" si="34"/>
        <v>-12.012230917989223</v>
      </c>
      <c r="X210" s="40">
        <f t="shared" si="34"/>
        <v>-1.3388229102278595</v>
      </c>
      <c r="Y210" s="40">
        <f t="shared" si="34"/>
        <v>-5843.9588621098537</v>
      </c>
      <c r="Z210" s="40">
        <f t="shared" si="34"/>
        <v>-0.17387545972779692</v>
      </c>
      <c r="AA210" s="40">
        <f t="shared" si="34"/>
        <v>0</v>
      </c>
      <c r="AB210" s="40">
        <f t="shared" si="34"/>
        <v>0</v>
      </c>
      <c r="AC210" s="40">
        <f t="shared" si="34"/>
        <v>0</v>
      </c>
      <c r="AD210" s="40">
        <f t="shared" si="34"/>
        <v>0</v>
      </c>
      <c r="AE210" s="40">
        <f t="shared" si="34"/>
        <v>0</v>
      </c>
      <c r="AF210" s="40">
        <f t="shared" si="34"/>
        <v>0</v>
      </c>
      <c r="AG210" s="40">
        <f t="shared" si="34"/>
        <v>0</v>
      </c>
      <c r="AH210" s="40">
        <f t="shared" si="34"/>
        <v>0</v>
      </c>
      <c r="AI210" s="40">
        <f t="shared" si="34"/>
        <v>0</v>
      </c>
      <c r="AJ210" s="40">
        <f t="shared" si="34"/>
        <v>0</v>
      </c>
      <c r="AK210" s="40">
        <f t="shared" si="34"/>
        <v>0</v>
      </c>
      <c r="AL210" s="40">
        <f t="shared" si="34"/>
        <v>0</v>
      </c>
      <c r="AM210" s="40">
        <f t="shared" si="34"/>
        <v>0</v>
      </c>
      <c r="AN210" s="40">
        <f t="shared" si="34"/>
        <v>0</v>
      </c>
      <c r="AO210" s="40">
        <f t="shared" si="34"/>
        <v>0</v>
      </c>
      <c r="AP210" s="40">
        <f t="shared" si="34"/>
        <v>0</v>
      </c>
      <c r="AQ210" s="40">
        <f t="shared" si="34"/>
        <v>0</v>
      </c>
      <c r="AR210" s="40">
        <f t="shared" si="34"/>
        <v>0</v>
      </c>
      <c r="AS210" s="40">
        <f t="shared" si="34"/>
        <v>0</v>
      </c>
      <c r="AT210" s="40">
        <f t="shared" si="34"/>
        <v>0</v>
      </c>
      <c r="AU210" s="40">
        <f t="shared" si="34"/>
        <v>0</v>
      </c>
      <c r="AV210" s="317">
        <f t="shared" si="34"/>
        <v>-14.35330551101935</v>
      </c>
      <c r="AW210" s="317">
        <f t="shared" si="34"/>
        <v>0</v>
      </c>
      <c r="AX210" s="317">
        <f t="shared" si="34"/>
        <v>0</v>
      </c>
      <c r="AY210" s="317">
        <f t="shared" si="34"/>
        <v>-1961.5322130184152</v>
      </c>
      <c r="AZ210" s="40">
        <f t="shared" si="34"/>
        <v>0</v>
      </c>
      <c r="BA210" s="40">
        <f t="shared" si="34"/>
        <v>0</v>
      </c>
      <c r="BB210" s="40">
        <f t="shared" si="34"/>
        <v>0</v>
      </c>
      <c r="BC210" s="40">
        <f t="shared" si="34"/>
        <v>-19.465894489928889</v>
      </c>
      <c r="BD210" s="40">
        <f t="shared" si="34"/>
        <v>-7.0520459691525981E-4</v>
      </c>
      <c r="BE210" s="40">
        <f t="shared" si="34"/>
        <v>-4.1677257994456056</v>
      </c>
      <c r="BF210" s="40">
        <f t="shared" si="34"/>
        <v>-1.5704264072401268E-3</v>
      </c>
      <c r="BG210" s="40">
        <f t="shared" si="34"/>
        <v>0</v>
      </c>
      <c r="BH210" s="40">
        <f t="shared" si="34"/>
        <v>0</v>
      </c>
      <c r="BI210" s="40">
        <f t="shared" si="34"/>
        <v>0</v>
      </c>
      <c r="BJ210" s="40">
        <f t="shared" si="34"/>
        <v>0</v>
      </c>
      <c r="BK210" s="40">
        <f t="shared" si="34"/>
        <v>0</v>
      </c>
      <c r="BL210" s="62">
        <f>BL211</f>
        <v>0</v>
      </c>
      <c r="BM210" s="275">
        <f>BM211</f>
        <v>2</v>
      </c>
      <c r="BN210" s="62">
        <v>0</v>
      </c>
      <c r="BO210" s="33" t="str">
        <f>BO211</f>
        <v>TNO 2020 R10987 LCA Achtergrondrapport voor brancherepresentatieve Nederlandse asfaltmengsels 2020</v>
      </c>
    </row>
    <row r="211" spans="1:67">
      <c r="A211" s="33" t="str">
        <f>Database_Productkaarten[[#This Row],[Product]]&amp;", "&amp;Database_Productkaarten[[#This Row],[Levensfase]]</f>
        <v>SMA 8-11 - PCR 1.0, D1</v>
      </c>
      <c r="B211" s="33" t="s">
        <v>502</v>
      </c>
      <c r="C211" s="33" t="s">
        <v>483</v>
      </c>
      <c r="D211" s="33" t="s">
        <v>501</v>
      </c>
      <c r="E211" s="33" t="s">
        <v>378</v>
      </c>
      <c r="F211" s="33" t="s">
        <v>87</v>
      </c>
      <c r="L211" s="33">
        <v>2.35</v>
      </c>
      <c r="M211" s="269">
        <v>1</v>
      </c>
      <c r="N211" s="41">
        <v>-4.3817123265254798</v>
      </c>
      <c r="O211" s="33">
        <v>16</v>
      </c>
      <c r="P211" s="40">
        <v>-5.1048255323199997E-5</v>
      </c>
      <c r="Q211" s="40">
        <v>-0.80617084251509985</v>
      </c>
      <c r="R211" s="40">
        <v>-32.122321411378074</v>
      </c>
      <c r="S211" s="40">
        <v>-2.69695287011E-6</v>
      </c>
      <c r="T211" s="40">
        <v>-8.692507497639998E-2</v>
      </c>
      <c r="U211" s="40">
        <v>-0.23261877696141997</v>
      </c>
      <c r="V211" s="40">
        <v>-2.1201775043519999E-2</v>
      </c>
      <c r="W211" s="40">
        <v>-8.353246859814039</v>
      </c>
      <c r="X211" s="40">
        <v>-1.2609720491412999</v>
      </c>
      <c r="Y211" s="40">
        <v>-5520.6604356928601</v>
      </c>
      <c r="Z211" s="40">
        <v>-0.16143045076449999</v>
      </c>
      <c r="AA211" s="40"/>
      <c r="AB211" s="40"/>
      <c r="AC211" s="40"/>
      <c r="AD211" s="40"/>
      <c r="AE211" s="40"/>
      <c r="AF211" s="40"/>
      <c r="AG211" s="40"/>
      <c r="AH211" s="40"/>
      <c r="AI211" s="40"/>
      <c r="AJ211" s="40"/>
      <c r="AK211" s="40"/>
      <c r="AL211" s="40"/>
      <c r="AM211" s="40"/>
      <c r="AN211" s="40"/>
      <c r="AO211" s="40"/>
      <c r="AP211" s="40"/>
      <c r="AQ211" s="40"/>
      <c r="AR211" s="40"/>
      <c r="AS211" s="40"/>
      <c r="AT211" s="40"/>
      <c r="AU211" s="40"/>
      <c r="AV211" s="313">
        <v>-11.83821820720188</v>
      </c>
      <c r="AW211" s="317"/>
      <c r="AX211" s="317"/>
      <c r="AY211" s="313">
        <v>-1823.6523511269206</v>
      </c>
      <c r="AZ211" s="40"/>
      <c r="BA211" s="40"/>
      <c r="BB211" s="40"/>
      <c r="BC211" s="40">
        <v>-19.440585285810016</v>
      </c>
      <c r="BD211" s="40">
        <v>-6.2314055375699989E-4</v>
      </c>
      <c r="BE211" s="40">
        <v>-1.79768618192736</v>
      </c>
      <c r="BF211" s="40">
        <v>-7.1383789006200006E-4</v>
      </c>
      <c r="BG211" s="40"/>
      <c r="BH211" s="40"/>
      <c r="BI211" s="40"/>
      <c r="BJ211" s="40"/>
      <c r="BK211" s="40"/>
      <c r="BL211" s="62">
        <v>0</v>
      </c>
      <c r="BM211" s="275">
        <v>2</v>
      </c>
      <c r="BN211" s="62">
        <v>0</v>
      </c>
      <c r="BO211" s="33" t="s">
        <v>485</v>
      </c>
    </row>
    <row r="212" spans="1:67">
      <c r="A212" s="33" t="str">
        <f>Database_Productkaarten[[#This Row],[Product]]&amp;", "&amp;Database_Productkaarten[[#This Row],[Levensfase]]</f>
        <v>SMA 8-11 - PCR 1.0, D2</v>
      </c>
      <c r="B212" s="33" t="s">
        <v>502</v>
      </c>
      <c r="C212" s="33" t="s">
        <v>483</v>
      </c>
      <c r="D212" s="33" t="s">
        <v>501</v>
      </c>
      <c r="E212" s="33" t="s">
        <v>378</v>
      </c>
      <c r="F212" s="33" t="s">
        <v>88</v>
      </c>
      <c r="L212" s="33">
        <v>2.35</v>
      </c>
      <c r="M212" s="269">
        <v>1</v>
      </c>
      <c r="N212" s="41">
        <v>-1.4738686768053453</v>
      </c>
      <c r="O212" s="33">
        <v>16</v>
      </c>
      <c r="P212" s="40">
        <v>-8.5779006337041975E-6</v>
      </c>
      <c r="Q212" s="40">
        <v>-6.2223378785220052E-2</v>
      </c>
      <c r="R212" s="40">
        <v>-8.9215564642953851</v>
      </c>
      <c r="S212" s="40">
        <v>-1.4744683458342524E-6</v>
      </c>
      <c r="T212" s="40">
        <v>-7.7949216631412925E-3</v>
      </c>
      <c r="U212" s="40">
        <v>-0.12756687523500299</v>
      </c>
      <c r="V212" s="40">
        <v>-1.4134253957177394E-2</v>
      </c>
      <c r="W212" s="40">
        <v>-3.6589840581751845</v>
      </c>
      <c r="X212" s="40">
        <v>-7.7850861086559683E-2</v>
      </c>
      <c r="Y212" s="40">
        <v>-323.29842641699315</v>
      </c>
      <c r="Z212" s="40">
        <v>-1.2445008963296932E-2</v>
      </c>
      <c r="AA212" s="40"/>
      <c r="AB212" s="40"/>
      <c r="AC212" s="40"/>
      <c r="AD212" s="40"/>
      <c r="AE212" s="40"/>
      <c r="AF212" s="40"/>
      <c r="AG212" s="40"/>
      <c r="AH212" s="40"/>
      <c r="AI212" s="40"/>
      <c r="AJ212" s="40"/>
      <c r="AK212" s="40"/>
      <c r="AL212" s="40"/>
      <c r="AM212" s="40"/>
      <c r="AN212" s="40"/>
      <c r="AO212" s="40"/>
      <c r="AP212" s="40"/>
      <c r="AQ212" s="40"/>
      <c r="AR212" s="40"/>
      <c r="AS212" s="40"/>
      <c r="AT212" s="40"/>
      <c r="AU212" s="40"/>
      <c r="AV212" s="313">
        <v>-2.5150873038174693</v>
      </c>
      <c r="AW212" s="317"/>
      <c r="AX212" s="317"/>
      <c r="AY212" s="313">
        <v>-137.8798618914945</v>
      </c>
      <c r="AZ212" s="40"/>
      <c r="BA212" s="40"/>
      <c r="BB212" s="40"/>
      <c r="BC212" s="40">
        <v>-2.5309204118872251E-2</v>
      </c>
      <c r="BD212" s="40">
        <v>-8.206404315825989E-5</v>
      </c>
      <c r="BE212" s="40">
        <v>-2.3700396175182457</v>
      </c>
      <c r="BF212" s="40">
        <v>-8.5658851717812685E-4</v>
      </c>
      <c r="BG212" s="40"/>
      <c r="BH212" s="40"/>
      <c r="BI212" s="40"/>
      <c r="BJ212" s="40"/>
      <c r="BK212" s="40"/>
      <c r="BL212" s="62">
        <v>0</v>
      </c>
      <c r="BM212" s="275">
        <v>2</v>
      </c>
      <c r="BN212" s="62">
        <v>0</v>
      </c>
      <c r="BO212" s="33" t="s">
        <v>485</v>
      </c>
    </row>
    <row r="213" spans="1:67">
      <c r="A213" s="33" t="str">
        <f>Database_Productkaarten[[#This Row],[Product]]&amp;", "&amp;Database_Productkaarten[[#This Row],[Levensfase]]</f>
        <v>SMA G.R. (obv 8G+) - PCR 1.0, Totaal</v>
      </c>
      <c r="B213" s="33" t="s">
        <v>503</v>
      </c>
      <c r="C213" s="33" t="s">
        <v>483</v>
      </c>
      <c r="D213" s="33" t="s">
        <v>504</v>
      </c>
      <c r="E213" s="33" t="s">
        <v>378</v>
      </c>
      <c r="F213" s="33" t="s">
        <v>90</v>
      </c>
      <c r="L213" s="33">
        <v>2.2000000000000002</v>
      </c>
      <c r="M213" s="269">
        <v>1</v>
      </c>
      <c r="N213" s="41">
        <v>10.432793680931818</v>
      </c>
      <c r="O213" s="33">
        <v>16</v>
      </c>
      <c r="P213" s="40">
        <v>6.4427003936488251E-4</v>
      </c>
      <c r="Q213" s="40">
        <v>1.232903403859978</v>
      </c>
      <c r="R213" s="40">
        <v>91.889782795742818</v>
      </c>
      <c r="S213" s="40">
        <v>1.2499897338092048E-5</v>
      </c>
      <c r="T213" s="40">
        <v>0.10661384097932003</v>
      </c>
      <c r="U213" s="40">
        <v>0.43643412209392551</v>
      </c>
      <c r="V213" s="40">
        <v>5.5596492104092565E-2</v>
      </c>
      <c r="W213" s="40">
        <v>27.198867739573537</v>
      </c>
      <c r="X213" s="40">
        <v>2.0906013747325036</v>
      </c>
      <c r="Y213" s="40">
        <v>6571.1697177128972</v>
      </c>
      <c r="Z213" s="40">
        <v>0.22490725424711425</v>
      </c>
      <c r="AA213" s="40"/>
      <c r="AB213" s="40"/>
      <c r="AC213" s="40"/>
      <c r="AD213" s="40"/>
      <c r="AE213" s="40"/>
      <c r="AF213" s="40"/>
      <c r="AG213" s="40"/>
      <c r="AH213" s="40"/>
      <c r="AI213" s="40"/>
      <c r="AJ213" s="40"/>
      <c r="AK213" s="40"/>
      <c r="AL213" s="40"/>
      <c r="AM213" s="40"/>
      <c r="AN213" s="40"/>
      <c r="AO213" s="40"/>
      <c r="AP213" s="40"/>
      <c r="AQ213" s="40"/>
      <c r="AR213" s="40"/>
      <c r="AS213" s="40"/>
      <c r="AT213" s="40"/>
      <c r="AU213" s="40"/>
      <c r="AV213" s="313">
        <v>49.270460155112623</v>
      </c>
      <c r="AW213" s="317"/>
      <c r="AX213" s="317"/>
      <c r="AY213" s="313">
        <v>2532.3240436066981</v>
      </c>
      <c r="AZ213" s="40"/>
      <c r="BA213" s="40"/>
      <c r="BB213" s="40"/>
      <c r="BC213" s="40">
        <v>14.896166299077763</v>
      </c>
      <c r="BD213" s="40">
        <v>1.4451559956522135E-3</v>
      </c>
      <c r="BE213" s="40">
        <v>6.3637507358091039</v>
      </c>
      <c r="BF213" s="40">
        <v>4.2422412525610249E-3</v>
      </c>
      <c r="BG213" s="40"/>
      <c r="BH213" s="40"/>
      <c r="BI213" s="40"/>
      <c r="BJ213" s="40"/>
      <c r="BK213" s="40"/>
      <c r="BL213" s="62">
        <v>0</v>
      </c>
      <c r="BM213" s="275">
        <v>2</v>
      </c>
      <c r="BN213" s="62">
        <v>0</v>
      </c>
      <c r="BO213" s="33" t="s">
        <v>485</v>
      </c>
    </row>
    <row r="214" spans="1:67">
      <c r="A214" s="33" t="str">
        <f>Database_Productkaarten[[#This Row],[Product]]&amp;", "&amp;Database_Productkaarten[[#This Row],[Levensfase]]</f>
        <v>SMA G.R. (obv 8G+) - PCR 1.0, A1</v>
      </c>
      <c r="B214" s="33" t="s">
        <v>503</v>
      </c>
      <c r="C214" s="33" t="s">
        <v>483</v>
      </c>
      <c r="D214" s="33" t="s">
        <v>504</v>
      </c>
      <c r="E214" s="33" t="s">
        <v>378</v>
      </c>
      <c r="F214" s="33" t="s">
        <v>74</v>
      </c>
      <c r="L214" s="33">
        <v>2.2000000000000002</v>
      </c>
      <c r="M214" s="269">
        <v>1</v>
      </c>
      <c r="N214" s="41">
        <v>10.3700343758</v>
      </c>
      <c r="O214" s="33">
        <v>16</v>
      </c>
      <c r="P214" s="40">
        <v>6.6315108991999989E-4</v>
      </c>
      <c r="Q214" s="40">
        <v>1.6985286338599999</v>
      </c>
      <c r="R214" s="40">
        <v>79.838342039299988</v>
      </c>
      <c r="S214" s="40">
        <v>8.8305399659999999E-6</v>
      </c>
      <c r="T214" s="40">
        <v>0.17583850622399999</v>
      </c>
      <c r="U214" s="40">
        <v>0.50827263689999991</v>
      </c>
      <c r="V214" s="40">
        <v>5.1742649919999995E-2</v>
      </c>
      <c r="W214" s="40">
        <v>23.730408154599999</v>
      </c>
      <c r="X214" s="40">
        <v>2.38124639772</v>
      </c>
      <c r="Y214" s="40">
        <v>10288.5379077284</v>
      </c>
      <c r="Z214" s="40">
        <v>0.32508025977999994</v>
      </c>
      <c r="AA214" s="40"/>
      <c r="AB214" s="40"/>
      <c r="AC214" s="40"/>
      <c r="AD214" s="40"/>
      <c r="AE214" s="40"/>
      <c r="AF214" s="40"/>
      <c r="AG214" s="40"/>
      <c r="AH214" s="40"/>
      <c r="AI214" s="40"/>
      <c r="AJ214" s="40"/>
      <c r="AK214" s="40"/>
      <c r="AL214" s="40"/>
      <c r="AM214" s="40"/>
      <c r="AN214" s="40"/>
      <c r="AO214" s="40"/>
      <c r="AP214" s="40"/>
      <c r="AQ214" s="40"/>
      <c r="AR214" s="40"/>
      <c r="AS214" s="40"/>
      <c r="AT214" s="40"/>
      <c r="AU214" s="40"/>
      <c r="AV214" s="313">
        <v>51.936655621399993</v>
      </c>
      <c r="AW214" s="317"/>
      <c r="AX214" s="317"/>
      <c r="AY214" s="313">
        <v>3824.2176724804999</v>
      </c>
      <c r="AZ214" s="40"/>
      <c r="BA214" s="40"/>
      <c r="BB214" s="40"/>
      <c r="BC214" s="40">
        <v>34.115436209740004</v>
      </c>
      <c r="BD214" s="40">
        <v>1.4625654041999999E-3</v>
      </c>
      <c r="BE214" s="40">
        <v>6.0551902441999994</v>
      </c>
      <c r="BF214" s="40">
        <v>3.6305201772000003E-3</v>
      </c>
      <c r="BG214" s="40"/>
      <c r="BH214" s="40"/>
      <c r="BI214" s="40"/>
      <c r="BJ214" s="40"/>
      <c r="BK214" s="40"/>
      <c r="BL214" s="62">
        <v>0</v>
      </c>
      <c r="BM214" s="275">
        <v>2</v>
      </c>
      <c r="BN214" s="62">
        <v>0</v>
      </c>
      <c r="BO214" s="33" t="s">
        <v>485</v>
      </c>
    </row>
    <row r="215" spans="1:67">
      <c r="A215" s="33" t="str">
        <f>Database_Productkaarten[[#This Row],[Product]]&amp;", "&amp;Database_Productkaarten[[#This Row],[Levensfase]]</f>
        <v>SMA G.R. (obv 8G+) - PCR 1.0, A2</v>
      </c>
      <c r="B215" s="33" t="s">
        <v>503</v>
      </c>
      <c r="C215" s="33" t="s">
        <v>483</v>
      </c>
      <c r="D215" s="33" t="s">
        <v>504</v>
      </c>
      <c r="E215" s="33" t="s">
        <v>378</v>
      </c>
      <c r="F215" s="33" t="s">
        <v>75</v>
      </c>
      <c r="L215" s="33">
        <v>2.2000000000000002</v>
      </c>
      <c r="M215" s="269">
        <v>1</v>
      </c>
      <c r="N215" s="41">
        <v>2.5624490679359999</v>
      </c>
      <c r="O215" s="33">
        <v>16</v>
      </c>
      <c r="P215" s="40">
        <v>1.7131727248631998E-5</v>
      </c>
      <c r="Q215" s="40">
        <v>0.11037444608012999</v>
      </c>
      <c r="R215" s="40">
        <v>15.733592845169401</v>
      </c>
      <c r="S215" s="40">
        <v>2.6250525205770003E-6</v>
      </c>
      <c r="T215" s="40">
        <v>1.3523131308720002E-2</v>
      </c>
      <c r="U215" s="40">
        <v>0.21636317140373998</v>
      </c>
      <c r="V215" s="40">
        <v>2.4192203915700004E-2</v>
      </c>
      <c r="W215" s="40">
        <v>6.4909721938404008</v>
      </c>
      <c r="X215" s="40">
        <v>0.14114137106124</v>
      </c>
      <c r="Y215" s="40">
        <v>580.49984155764048</v>
      </c>
      <c r="Z215" s="40">
        <v>2.2018104783870004E-2</v>
      </c>
      <c r="AA215" s="40"/>
      <c r="AB215" s="40"/>
      <c r="AC215" s="40"/>
      <c r="AD215" s="40"/>
      <c r="AE215" s="40"/>
      <c r="AF215" s="40"/>
      <c r="AG215" s="40"/>
      <c r="AH215" s="40"/>
      <c r="AI215" s="40"/>
      <c r="AJ215" s="40"/>
      <c r="AK215" s="40"/>
      <c r="AL215" s="40"/>
      <c r="AM215" s="40"/>
      <c r="AN215" s="40"/>
      <c r="AO215" s="40"/>
      <c r="AP215" s="40"/>
      <c r="AQ215" s="40"/>
      <c r="AR215" s="40"/>
      <c r="AS215" s="40"/>
      <c r="AT215" s="40"/>
      <c r="AU215" s="40"/>
      <c r="AV215" s="313">
        <v>4.3116458104494004</v>
      </c>
      <c r="AW215" s="317"/>
      <c r="AX215" s="317"/>
      <c r="AY215" s="313">
        <v>244.59691782380165</v>
      </c>
      <c r="AZ215" s="40"/>
      <c r="BA215" s="40"/>
      <c r="BB215" s="40"/>
      <c r="BC215" s="40">
        <v>4.4279274271950005E-2</v>
      </c>
      <c r="BD215" s="40">
        <v>1.4522031627912E-4</v>
      </c>
      <c r="BE215" s="40">
        <v>4.9250731916136008</v>
      </c>
      <c r="BF215" s="40">
        <v>1.521544387515E-3</v>
      </c>
      <c r="BG215" s="40"/>
      <c r="BH215" s="40"/>
      <c r="BI215" s="40"/>
      <c r="BJ215" s="40"/>
      <c r="BK215" s="40"/>
      <c r="BL215" s="62">
        <v>0</v>
      </c>
      <c r="BM215" s="275">
        <v>2</v>
      </c>
      <c r="BN215" s="62">
        <v>0</v>
      </c>
      <c r="BO215" s="33" t="s">
        <v>485</v>
      </c>
    </row>
    <row r="216" spans="1:67">
      <c r="A216" s="33" t="str">
        <f>Database_Productkaarten[[#This Row],[Product]]&amp;", "&amp;Database_Productkaarten[[#This Row],[Levensfase]]</f>
        <v>SMA G.R. (obv 8G+) - PCR 1.0, A3</v>
      </c>
      <c r="B216" s="33" t="s">
        <v>503</v>
      </c>
      <c r="C216" s="33" t="s">
        <v>483</v>
      </c>
      <c r="D216" s="33" t="s">
        <v>504</v>
      </c>
      <c r="E216" s="33" t="s">
        <v>378</v>
      </c>
      <c r="F216" s="33" t="s">
        <v>76</v>
      </c>
      <c r="L216" s="33">
        <v>2.2000000000000002</v>
      </c>
      <c r="M216" s="269">
        <v>1</v>
      </c>
      <c r="N216" s="41">
        <v>1.5837309869537761</v>
      </c>
      <c r="O216" s="33">
        <v>16</v>
      </c>
      <c r="P216" s="40">
        <v>5.1975126558394948E-6</v>
      </c>
      <c r="Q216" s="40">
        <v>0.18202579689272577</v>
      </c>
      <c r="R216" s="40">
        <v>21.522122922748579</v>
      </c>
      <c r="S216" s="40">
        <v>2.4071524144077642E-6</v>
      </c>
      <c r="T216" s="40">
        <v>3.5241755706742497E-3</v>
      </c>
      <c r="U216" s="40">
        <v>2.5389684756045579E-2</v>
      </c>
      <c r="V216" s="40">
        <v>4.7503303535054832E-3</v>
      </c>
      <c r="W216" s="40">
        <v>3.4958508808056821</v>
      </c>
      <c r="X216" s="40">
        <v>2.4855416600435845E-2</v>
      </c>
      <c r="Y216" s="40">
        <v>101.13215288563174</v>
      </c>
      <c r="Z216" s="40">
        <v>2.6367508040988842E-2</v>
      </c>
      <c r="AA216" s="40"/>
      <c r="AB216" s="40"/>
      <c r="AC216" s="40"/>
      <c r="AD216" s="40"/>
      <c r="AE216" s="40"/>
      <c r="AF216" s="40"/>
      <c r="AG216" s="40"/>
      <c r="AH216" s="40"/>
      <c r="AI216" s="40"/>
      <c r="AJ216" s="40"/>
      <c r="AK216" s="40"/>
      <c r="AL216" s="40"/>
      <c r="AM216" s="40"/>
      <c r="AN216" s="40"/>
      <c r="AO216" s="40"/>
      <c r="AP216" s="40"/>
      <c r="AQ216" s="40"/>
      <c r="AR216" s="40"/>
      <c r="AS216" s="40"/>
      <c r="AT216" s="40"/>
      <c r="AU216" s="40"/>
      <c r="AV216" s="313">
        <v>7.5956455359717001</v>
      </c>
      <c r="AW216" s="317"/>
      <c r="AX216" s="317"/>
      <c r="AY216" s="313">
        <v>371.39792548971803</v>
      </c>
      <c r="AZ216" s="40"/>
      <c r="BA216" s="40"/>
      <c r="BB216" s="40"/>
      <c r="BC216" s="40">
        <v>5.092842411332861E-2</v>
      </c>
      <c r="BD216" s="40">
        <v>5.199891634292931E-4</v>
      </c>
      <c r="BE216" s="40">
        <v>0.27078469850048514</v>
      </c>
      <c r="BF216" s="40">
        <v>3.7246464322693887E-4</v>
      </c>
      <c r="BG216" s="40"/>
      <c r="BH216" s="40"/>
      <c r="BI216" s="40"/>
      <c r="BJ216" s="40"/>
      <c r="BK216" s="40"/>
      <c r="BL216" s="62">
        <v>0</v>
      </c>
      <c r="BM216" s="275">
        <v>2</v>
      </c>
      <c r="BN216" s="62">
        <v>0</v>
      </c>
      <c r="BO216" s="33" t="s">
        <v>485</v>
      </c>
    </row>
    <row r="217" spans="1:67">
      <c r="A217" s="33" t="str">
        <f>Database_Productkaarten[[#This Row],[Product]]&amp;", "&amp;Database_Productkaarten[[#This Row],[Levensfase]]</f>
        <v>SMA G.R. (obv 8G+) - PCR 1.0, A1-A3</v>
      </c>
      <c r="B217" s="33" t="str">
        <f>B216</f>
        <v>SMA G.R. (obv 8G+) - PCR 1.0</v>
      </c>
      <c r="C217" s="33" t="str">
        <f>C216</f>
        <v>Bitumineuze verhardingen</v>
      </c>
      <c r="D217" s="33" t="s">
        <v>504</v>
      </c>
      <c r="E217" s="33" t="str">
        <f>E216</f>
        <v>Ton</v>
      </c>
      <c r="F217" s="33" t="s">
        <v>77</v>
      </c>
      <c r="L217" s="33">
        <f>L216</f>
        <v>2.2000000000000002</v>
      </c>
      <c r="M217" s="45">
        <f>M216</f>
        <v>1</v>
      </c>
      <c r="N217" s="252">
        <f>SUM(N214:N216)</f>
        <v>14.516214430689777</v>
      </c>
      <c r="O217" s="33">
        <f>O216</f>
        <v>16</v>
      </c>
      <c r="P217" s="40">
        <f>SUM(P214:P216)</f>
        <v>6.8548032982447137E-4</v>
      </c>
      <c r="Q217" s="40">
        <f t="shared" ref="Q217:BK217" si="35">SUM(Q214:Q216)</f>
        <v>1.9909288768328555</v>
      </c>
      <c r="R217" s="40">
        <f t="shared" si="35"/>
        <v>117.09405780721796</v>
      </c>
      <c r="S217" s="40">
        <f t="shared" si="35"/>
        <v>1.3862744900984764E-5</v>
      </c>
      <c r="T217" s="40">
        <f t="shared" si="35"/>
        <v>0.19288581310339425</v>
      </c>
      <c r="U217" s="40">
        <f t="shared" si="35"/>
        <v>0.75002549305978539</v>
      </c>
      <c r="V217" s="40">
        <f t="shared" si="35"/>
        <v>8.0685184189205492E-2</v>
      </c>
      <c r="W217" s="40">
        <f t="shared" si="35"/>
        <v>33.717231229246082</v>
      </c>
      <c r="X217" s="40">
        <f t="shared" si="35"/>
        <v>2.5472431853816762</v>
      </c>
      <c r="Y217" s="40">
        <f t="shared" si="35"/>
        <v>10970.169902171672</v>
      </c>
      <c r="Z217" s="40">
        <f t="shared" si="35"/>
        <v>0.37346587260485881</v>
      </c>
      <c r="AA217" s="40">
        <f t="shared" si="35"/>
        <v>0</v>
      </c>
      <c r="AB217" s="40">
        <f t="shared" si="35"/>
        <v>0</v>
      </c>
      <c r="AC217" s="40">
        <f t="shared" si="35"/>
        <v>0</v>
      </c>
      <c r="AD217" s="40">
        <f t="shared" si="35"/>
        <v>0</v>
      </c>
      <c r="AE217" s="40">
        <f t="shared" si="35"/>
        <v>0</v>
      </c>
      <c r="AF217" s="40">
        <f t="shared" si="35"/>
        <v>0</v>
      </c>
      <c r="AG217" s="40">
        <f t="shared" si="35"/>
        <v>0</v>
      </c>
      <c r="AH217" s="40">
        <f t="shared" si="35"/>
        <v>0</v>
      </c>
      <c r="AI217" s="40">
        <f t="shared" si="35"/>
        <v>0</v>
      </c>
      <c r="AJ217" s="40">
        <f t="shared" si="35"/>
        <v>0</v>
      </c>
      <c r="AK217" s="40">
        <f t="shared" si="35"/>
        <v>0</v>
      </c>
      <c r="AL217" s="40">
        <f t="shared" si="35"/>
        <v>0</v>
      </c>
      <c r="AM217" s="40">
        <f t="shared" si="35"/>
        <v>0</v>
      </c>
      <c r="AN217" s="40">
        <f t="shared" si="35"/>
        <v>0</v>
      </c>
      <c r="AO217" s="40">
        <f t="shared" si="35"/>
        <v>0</v>
      </c>
      <c r="AP217" s="40">
        <f t="shared" si="35"/>
        <v>0</v>
      </c>
      <c r="AQ217" s="40">
        <f t="shared" si="35"/>
        <v>0</v>
      </c>
      <c r="AR217" s="40">
        <f t="shared" si="35"/>
        <v>0</v>
      </c>
      <c r="AS217" s="40">
        <f t="shared" si="35"/>
        <v>0</v>
      </c>
      <c r="AT217" s="40">
        <f t="shared" si="35"/>
        <v>0</v>
      </c>
      <c r="AU217" s="40">
        <f t="shared" si="35"/>
        <v>0</v>
      </c>
      <c r="AV217" s="317">
        <f t="shared" si="35"/>
        <v>63.84394696782109</v>
      </c>
      <c r="AW217" s="317">
        <f t="shared" si="35"/>
        <v>0</v>
      </c>
      <c r="AX217" s="317">
        <f t="shared" si="35"/>
        <v>0</v>
      </c>
      <c r="AY217" s="317">
        <f t="shared" si="35"/>
        <v>4440.2125157940191</v>
      </c>
      <c r="AZ217" s="40">
        <f t="shared" si="35"/>
        <v>0</v>
      </c>
      <c r="BA217" s="40">
        <f t="shared" si="35"/>
        <v>0</v>
      </c>
      <c r="BB217" s="40">
        <f t="shared" si="35"/>
        <v>0</v>
      </c>
      <c r="BC217" s="40">
        <f t="shared" si="35"/>
        <v>34.210643908125284</v>
      </c>
      <c r="BD217" s="40">
        <f t="shared" si="35"/>
        <v>2.1277748839084133E-3</v>
      </c>
      <c r="BE217" s="40">
        <f t="shared" si="35"/>
        <v>11.251048134314086</v>
      </c>
      <c r="BF217" s="40">
        <f t="shared" si="35"/>
        <v>5.5245292079419391E-3</v>
      </c>
      <c r="BG217" s="40">
        <f t="shared" si="35"/>
        <v>0</v>
      </c>
      <c r="BH217" s="40">
        <f t="shared" si="35"/>
        <v>0</v>
      </c>
      <c r="BI217" s="40">
        <f t="shared" si="35"/>
        <v>0</v>
      </c>
      <c r="BJ217" s="40">
        <f t="shared" si="35"/>
        <v>0</v>
      </c>
      <c r="BK217" s="40">
        <f t="shared" si="35"/>
        <v>0</v>
      </c>
      <c r="BL217" s="62">
        <f>BL216</f>
        <v>0</v>
      </c>
      <c r="BM217" s="275">
        <f>BM216</f>
        <v>2</v>
      </c>
      <c r="BN217" s="62">
        <v>0</v>
      </c>
      <c r="BO217" s="33" t="str">
        <f>BO216</f>
        <v>TNO 2020 R10987 LCA Achtergrondrapport voor brancherepresentatieve Nederlandse asfaltmengsels 2020</v>
      </c>
    </row>
    <row r="218" spans="1:67">
      <c r="A218" s="33" t="str">
        <f>Database_Productkaarten[[#This Row],[Product]]&amp;", "&amp;Database_Productkaarten[[#This Row],[Levensfase]]</f>
        <v>SMA G.R. (obv 8G+) - PCR 1.0, A4</v>
      </c>
      <c r="B218" s="33" t="s">
        <v>503</v>
      </c>
      <c r="C218" s="33" t="s">
        <v>483</v>
      </c>
      <c r="D218" s="33" t="s">
        <v>504</v>
      </c>
      <c r="E218" s="33" t="s">
        <v>378</v>
      </c>
      <c r="F218" s="33" t="s">
        <v>78</v>
      </c>
      <c r="L218" s="33">
        <v>2.2000000000000002</v>
      </c>
      <c r="M218" s="269">
        <v>1</v>
      </c>
      <c r="N218" s="41">
        <v>0.62892669999999995</v>
      </c>
      <c r="O218" s="33">
        <v>16</v>
      </c>
      <c r="P218" s="40">
        <v>1.0978337000000001E-5</v>
      </c>
      <c r="Q218" s="40">
        <v>4.3183727999999998E-2</v>
      </c>
      <c r="R218" s="40">
        <v>5.7021305</v>
      </c>
      <c r="S218" s="40">
        <v>1.1335356E-6</v>
      </c>
      <c r="T218" s="40">
        <v>3.5752850000000001E-3</v>
      </c>
      <c r="U218" s="40">
        <v>1.9151161E-2</v>
      </c>
      <c r="V218" s="40">
        <v>3.8023555000000001E-3</v>
      </c>
      <c r="W218" s="40">
        <v>2.0049337999999999</v>
      </c>
      <c r="X218" s="40">
        <v>0.12926487</v>
      </c>
      <c r="Y218" s="40">
        <v>338.63108999999997</v>
      </c>
      <c r="Z218" s="40">
        <v>1.1891815999999999E-2</v>
      </c>
      <c r="AA218" s="40"/>
      <c r="AB218" s="40"/>
      <c r="AC218" s="40"/>
      <c r="AD218" s="40"/>
      <c r="AE218" s="40"/>
      <c r="AF218" s="40"/>
      <c r="AG218" s="40"/>
      <c r="AH218" s="40"/>
      <c r="AI218" s="40"/>
      <c r="AJ218" s="40"/>
      <c r="AK218" s="40"/>
      <c r="AL218" s="40"/>
      <c r="AM218" s="40"/>
      <c r="AN218" s="40"/>
      <c r="AO218" s="40"/>
      <c r="AP218" s="40"/>
      <c r="AQ218" s="40"/>
      <c r="AR218" s="40"/>
      <c r="AS218" s="40"/>
      <c r="AT218" s="40"/>
      <c r="AU218" s="40"/>
      <c r="AV218" s="313">
        <v>0</v>
      </c>
      <c r="AW218" s="317"/>
      <c r="AX218" s="317"/>
      <c r="AY218" s="313">
        <v>0</v>
      </c>
      <c r="AZ218" s="40"/>
      <c r="BA218" s="40"/>
      <c r="BB218" s="40"/>
      <c r="BC218" s="40">
        <v>0</v>
      </c>
      <c r="BD218" s="40">
        <v>0</v>
      </c>
      <c r="BE218" s="40">
        <v>0</v>
      </c>
      <c r="BF218" s="40">
        <v>0</v>
      </c>
      <c r="BG218" s="40"/>
      <c r="BH218" s="40"/>
      <c r="BI218" s="40"/>
      <c r="BJ218" s="40"/>
      <c r="BK218" s="40"/>
      <c r="BL218" s="62">
        <v>0</v>
      </c>
      <c r="BM218" s="275">
        <v>2</v>
      </c>
      <c r="BN218" s="62">
        <v>0</v>
      </c>
      <c r="BO218" s="33" t="s">
        <v>485</v>
      </c>
    </row>
    <row r="219" spans="1:67">
      <c r="A219" s="33" t="str">
        <f>Database_Productkaarten[[#This Row],[Product]]&amp;", "&amp;Database_Productkaarten[[#This Row],[Levensfase]]</f>
        <v>SMA G.R. (obv 8G+) - PCR 1.0, A5</v>
      </c>
      <c r="B219" s="33" t="s">
        <v>503</v>
      </c>
      <c r="C219" s="33" t="s">
        <v>483</v>
      </c>
      <c r="D219" s="33" t="s">
        <v>504</v>
      </c>
      <c r="E219" s="33" t="s">
        <v>378</v>
      </c>
      <c r="F219" s="33" t="s">
        <v>79</v>
      </c>
      <c r="L219" s="33">
        <v>2.2000000000000002</v>
      </c>
      <c r="M219" s="269">
        <v>1</v>
      </c>
      <c r="N219" s="41">
        <v>0.26142994000000003</v>
      </c>
      <c r="O219" s="33">
        <v>16</v>
      </c>
      <c r="P219" s="40">
        <v>6.4405276999999999E-7</v>
      </c>
      <c r="Q219" s="40">
        <v>1.3221688000000001E-2</v>
      </c>
      <c r="R219" s="40">
        <v>2.554217</v>
      </c>
      <c r="S219" s="40">
        <v>3.4623921999999999E-7</v>
      </c>
      <c r="T219" s="40">
        <v>9.5560771999999997E-4</v>
      </c>
      <c r="U219" s="40">
        <v>1.0774331999999999E-2</v>
      </c>
      <c r="V219" s="40">
        <v>2.4326081999999998E-3</v>
      </c>
      <c r="W219" s="40">
        <v>0.67890231999999995</v>
      </c>
      <c r="X219" s="40">
        <v>9.5891563000000003E-3</v>
      </c>
      <c r="Y219" s="40">
        <v>32.339298999999997</v>
      </c>
      <c r="Z219" s="40">
        <v>1.1383995E-3</v>
      </c>
      <c r="AA219" s="40"/>
      <c r="AB219" s="40"/>
      <c r="AC219" s="40"/>
      <c r="AD219" s="40"/>
      <c r="AE219" s="40"/>
      <c r="AF219" s="40"/>
      <c r="AG219" s="40"/>
      <c r="AH219" s="40"/>
      <c r="AI219" s="40"/>
      <c r="AJ219" s="40"/>
      <c r="AK219" s="40"/>
      <c r="AL219" s="40"/>
      <c r="AM219" s="40"/>
      <c r="AN219" s="40"/>
      <c r="AO219" s="40"/>
      <c r="AP219" s="40"/>
      <c r="AQ219" s="40"/>
      <c r="AR219" s="40"/>
      <c r="AS219" s="40"/>
      <c r="AT219" s="40"/>
      <c r="AU219" s="40"/>
      <c r="AV219" s="313">
        <v>0.16170355</v>
      </c>
      <c r="AW219" s="317"/>
      <c r="AX219" s="317"/>
      <c r="AY219" s="313">
        <v>29.640834999999999</v>
      </c>
      <c r="AZ219" s="40"/>
      <c r="BA219" s="40"/>
      <c r="BB219" s="40"/>
      <c r="BC219" s="40">
        <v>3.6528305999999999E-3</v>
      </c>
      <c r="BD219" s="40">
        <v>1.2448785000000001E-5</v>
      </c>
      <c r="BE219" s="40">
        <v>2.9724645000000001E-2</v>
      </c>
      <c r="BF219" s="40">
        <v>1.9389087E-4</v>
      </c>
      <c r="BG219" s="40"/>
      <c r="BH219" s="40"/>
      <c r="BI219" s="40"/>
      <c r="BJ219" s="40"/>
      <c r="BK219" s="40"/>
      <c r="BL219" s="62">
        <v>0</v>
      </c>
      <c r="BM219" s="275">
        <v>2</v>
      </c>
      <c r="BN219" s="62">
        <v>0</v>
      </c>
      <c r="BO219" s="33" t="s">
        <v>485</v>
      </c>
    </row>
    <row r="220" spans="1:67">
      <c r="A220" s="33" t="str">
        <f>Database_Productkaarten[[#This Row],[Product]]&amp;", "&amp;Database_Productkaarten[[#This Row],[Levensfase]]</f>
        <v>SMA G.R. (obv 8G+) - PCR 1.0, B1</v>
      </c>
      <c r="B220" s="33" t="s">
        <v>503</v>
      </c>
      <c r="C220" s="33" t="s">
        <v>483</v>
      </c>
      <c r="D220" s="33" t="s">
        <v>504</v>
      </c>
      <c r="E220" s="33" t="s">
        <v>378</v>
      </c>
      <c r="F220" s="33" t="s">
        <v>80</v>
      </c>
      <c r="L220" s="33">
        <v>2.2000000000000002</v>
      </c>
      <c r="M220" s="269">
        <v>1</v>
      </c>
      <c r="N220" s="41">
        <v>0.14096322999999999</v>
      </c>
      <c r="O220" s="33">
        <v>16</v>
      </c>
      <c r="P220" s="40">
        <v>0</v>
      </c>
      <c r="Q220" s="40">
        <v>0</v>
      </c>
      <c r="R220" s="40">
        <v>0</v>
      </c>
      <c r="S220" s="40">
        <v>0</v>
      </c>
      <c r="T220" s="40">
        <v>0</v>
      </c>
      <c r="U220" s="40">
        <v>0</v>
      </c>
      <c r="V220" s="40">
        <v>0</v>
      </c>
      <c r="W220" s="40">
        <v>0.56785655999999995</v>
      </c>
      <c r="X220" s="40">
        <v>0.60877917999999998</v>
      </c>
      <c r="Y220" s="40">
        <v>715.71979999999996</v>
      </c>
      <c r="Z220" s="40">
        <v>3.4639129999999998E-4</v>
      </c>
      <c r="AA220" s="40"/>
      <c r="AB220" s="40"/>
      <c r="AC220" s="40"/>
      <c r="AD220" s="40"/>
      <c r="AE220" s="40"/>
      <c r="AF220" s="40"/>
      <c r="AG220" s="40"/>
      <c r="AH220" s="40"/>
      <c r="AI220" s="40"/>
      <c r="AJ220" s="40"/>
      <c r="AK220" s="40"/>
      <c r="AL220" s="40"/>
      <c r="AM220" s="40"/>
      <c r="AN220" s="40"/>
      <c r="AO220" s="40"/>
      <c r="AP220" s="40"/>
      <c r="AQ220" s="40"/>
      <c r="AR220" s="40"/>
      <c r="AS220" s="40"/>
      <c r="AT220" s="40"/>
      <c r="AU220" s="40"/>
      <c r="AV220" s="313">
        <v>0</v>
      </c>
      <c r="AW220" s="317"/>
      <c r="AX220" s="317"/>
      <c r="AY220" s="313">
        <v>0</v>
      </c>
      <c r="AZ220" s="40"/>
      <c r="BA220" s="40"/>
      <c r="BB220" s="40"/>
      <c r="BC220" s="40">
        <v>0</v>
      </c>
      <c r="BD220" s="40">
        <v>0</v>
      </c>
      <c r="BE220" s="40">
        <v>0</v>
      </c>
      <c r="BF220" s="40">
        <v>0</v>
      </c>
      <c r="BG220" s="40"/>
      <c r="BH220" s="40"/>
      <c r="BI220" s="40"/>
      <c r="BJ220" s="40"/>
      <c r="BK220" s="40"/>
      <c r="BL220" s="62">
        <v>0</v>
      </c>
      <c r="BM220" s="275">
        <v>2</v>
      </c>
      <c r="BN220" s="62">
        <v>0</v>
      </c>
      <c r="BO220" s="33" t="s">
        <v>485</v>
      </c>
    </row>
    <row r="221" spans="1:67">
      <c r="A221" s="33" t="str">
        <f>Database_Productkaarten[[#This Row],[Product]]&amp;", "&amp;Database_Productkaarten[[#This Row],[Levensfase]]</f>
        <v>SMA G.R. (obv 8G+) - PCR 1.0, C1</v>
      </c>
      <c r="B221" s="33" t="s">
        <v>503</v>
      </c>
      <c r="C221" s="33" t="s">
        <v>483</v>
      </c>
      <c r="D221" s="33" t="s">
        <v>504</v>
      </c>
      <c r="E221" s="33" t="s">
        <v>378</v>
      </c>
      <c r="F221" s="33" t="s">
        <v>83</v>
      </c>
      <c r="L221" s="33">
        <v>2.2000000000000002</v>
      </c>
      <c r="M221" s="269">
        <v>1</v>
      </c>
      <c r="N221" s="41">
        <v>0.13639726999999999</v>
      </c>
      <c r="O221" s="33">
        <v>16</v>
      </c>
      <c r="P221" s="40">
        <v>3.6644380999999999E-7</v>
      </c>
      <c r="Q221" s="40">
        <v>7.5226846000000002E-3</v>
      </c>
      <c r="R221" s="40">
        <v>1.4532613999999999</v>
      </c>
      <c r="S221" s="40">
        <v>1.9699817000000001E-7</v>
      </c>
      <c r="T221" s="40">
        <v>4.8171299999999999E-4</v>
      </c>
      <c r="U221" s="40">
        <v>4.2661764999999997E-3</v>
      </c>
      <c r="V221" s="40">
        <v>8.9941806E-4</v>
      </c>
      <c r="W221" s="40">
        <v>0.38176861000000001</v>
      </c>
      <c r="X221" s="40">
        <v>5.4558992000000002E-3</v>
      </c>
      <c r="Y221" s="40">
        <v>18.399946</v>
      </c>
      <c r="Z221" s="40">
        <v>6.4771006999999995E-4</v>
      </c>
      <c r="AA221" s="40"/>
      <c r="AB221" s="40"/>
      <c r="AC221" s="40"/>
      <c r="AD221" s="40"/>
      <c r="AE221" s="40"/>
      <c r="AF221" s="40"/>
      <c r="AG221" s="40"/>
      <c r="AH221" s="40"/>
      <c r="AI221" s="40"/>
      <c r="AJ221" s="40"/>
      <c r="AK221" s="40"/>
      <c r="AL221" s="40"/>
      <c r="AM221" s="40"/>
      <c r="AN221" s="40"/>
      <c r="AO221" s="40"/>
      <c r="AP221" s="40"/>
      <c r="AQ221" s="40"/>
      <c r="AR221" s="40"/>
      <c r="AS221" s="40"/>
      <c r="AT221" s="40"/>
      <c r="AU221" s="40"/>
      <c r="AV221" s="313">
        <v>9.2003741E-2</v>
      </c>
      <c r="AW221" s="317"/>
      <c r="AX221" s="317"/>
      <c r="AY221" s="313">
        <v>16.864612999999999</v>
      </c>
      <c r="AZ221" s="40"/>
      <c r="BA221" s="40"/>
      <c r="BB221" s="40"/>
      <c r="BC221" s="40">
        <v>2.0783346E-3</v>
      </c>
      <c r="BD221" s="40">
        <v>7.0829294000000003E-6</v>
      </c>
      <c r="BE221" s="40">
        <v>1.6912297999999999E-2</v>
      </c>
      <c r="BF221" s="40">
        <v>1.1031722E-4</v>
      </c>
      <c r="BG221" s="40"/>
      <c r="BH221" s="40"/>
      <c r="BI221" s="40"/>
      <c r="BJ221" s="40"/>
      <c r="BK221" s="40"/>
      <c r="BL221" s="62">
        <v>0</v>
      </c>
      <c r="BM221" s="275">
        <v>2</v>
      </c>
      <c r="BN221" s="62">
        <v>0</v>
      </c>
      <c r="BO221" s="33" t="s">
        <v>485</v>
      </c>
    </row>
    <row r="222" spans="1:67">
      <c r="A222" s="33" t="str">
        <f>Database_Productkaarten[[#This Row],[Product]]&amp;", "&amp;Database_Productkaarten[[#This Row],[Levensfase]]</f>
        <v>SMA G.R. (obv 8G+) - PCR 1.0, C2</v>
      </c>
      <c r="B222" s="33" t="s">
        <v>503</v>
      </c>
      <c r="C222" s="33" t="s">
        <v>483</v>
      </c>
      <c r="D222" s="33" t="s">
        <v>504</v>
      </c>
      <c r="E222" s="33" t="s">
        <v>378</v>
      </c>
      <c r="F222" s="33" t="s">
        <v>84</v>
      </c>
      <c r="L222" s="33">
        <v>2.2000000000000002</v>
      </c>
      <c r="M222" s="269">
        <v>1</v>
      </c>
      <c r="N222" s="41">
        <v>0.62892669999999995</v>
      </c>
      <c r="O222" s="33">
        <v>16</v>
      </c>
      <c r="P222" s="40">
        <v>1.0978337000000001E-5</v>
      </c>
      <c r="Q222" s="40">
        <v>4.3183727999999998E-2</v>
      </c>
      <c r="R222" s="40">
        <v>5.7021305</v>
      </c>
      <c r="S222" s="40">
        <v>1.1335356E-6</v>
      </c>
      <c r="T222" s="40">
        <v>3.5752850000000001E-3</v>
      </c>
      <c r="U222" s="40">
        <v>1.9151161E-2</v>
      </c>
      <c r="V222" s="40">
        <v>3.8023555000000001E-3</v>
      </c>
      <c r="W222" s="40">
        <v>2.0049337999999999</v>
      </c>
      <c r="X222" s="40">
        <v>0.12926487</v>
      </c>
      <c r="Y222" s="40">
        <v>338.63108999999997</v>
      </c>
      <c r="Z222" s="40">
        <v>1.1891815999999999E-2</v>
      </c>
      <c r="AA222" s="40"/>
      <c r="AB222" s="40"/>
      <c r="AC222" s="40"/>
      <c r="AD222" s="40"/>
      <c r="AE222" s="40"/>
      <c r="AF222" s="40"/>
      <c r="AG222" s="40"/>
      <c r="AH222" s="40"/>
      <c r="AI222" s="40"/>
      <c r="AJ222" s="40"/>
      <c r="AK222" s="40"/>
      <c r="AL222" s="40"/>
      <c r="AM222" s="40"/>
      <c r="AN222" s="40"/>
      <c r="AO222" s="40"/>
      <c r="AP222" s="40"/>
      <c r="AQ222" s="40"/>
      <c r="AR222" s="40"/>
      <c r="AS222" s="40"/>
      <c r="AT222" s="40"/>
      <c r="AU222" s="40"/>
      <c r="AV222" s="313">
        <v>0</v>
      </c>
      <c r="AW222" s="317"/>
      <c r="AX222" s="317"/>
      <c r="AY222" s="313">
        <v>0</v>
      </c>
      <c r="AZ222" s="40"/>
      <c r="BA222" s="40"/>
      <c r="BB222" s="40"/>
      <c r="BC222" s="40">
        <v>0</v>
      </c>
      <c r="BD222" s="40">
        <v>0</v>
      </c>
      <c r="BE222" s="40">
        <v>0</v>
      </c>
      <c r="BF222" s="40">
        <v>0</v>
      </c>
      <c r="BG222" s="40"/>
      <c r="BH222" s="40"/>
      <c r="BI222" s="40"/>
      <c r="BJ222" s="40"/>
      <c r="BK222" s="40"/>
      <c r="BL222" s="62">
        <v>0</v>
      </c>
      <c r="BM222" s="275">
        <v>2</v>
      </c>
      <c r="BN222" s="62">
        <v>0</v>
      </c>
      <c r="BO222" s="33" t="s">
        <v>485</v>
      </c>
    </row>
    <row r="223" spans="1:67">
      <c r="A223" s="33" t="str">
        <f>Database_Productkaarten[[#This Row],[Product]]&amp;", "&amp;Database_Productkaarten[[#This Row],[Levensfase]]</f>
        <v>SMA G.R. (obv 8G+) - PCR 1.0, C4</v>
      </c>
      <c r="B223" s="33" t="s">
        <v>503</v>
      </c>
      <c r="C223" s="33" t="s">
        <v>483</v>
      </c>
      <c r="D223" s="33" t="s">
        <v>504</v>
      </c>
      <c r="E223" s="33" t="s">
        <v>378</v>
      </c>
      <c r="F223" s="33" t="s">
        <v>86</v>
      </c>
      <c r="L223" s="33">
        <v>2.2000000000000002</v>
      </c>
      <c r="M223" s="269">
        <v>1</v>
      </c>
      <c r="N223" s="41">
        <v>0.16120214999999999</v>
      </c>
      <c r="O223" s="33">
        <v>16</v>
      </c>
      <c r="P223" s="40">
        <v>4.1291555000000003E-7</v>
      </c>
      <c r="Q223" s="40">
        <v>8.4766977000000007E-3</v>
      </c>
      <c r="R223" s="40">
        <v>1.6375614000000001</v>
      </c>
      <c r="S223" s="40">
        <v>2.2198113E-7</v>
      </c>
      <c r="T223" s="40">
        <v>5.9777666999999998E-4</v>
      </c>
      <c r="U223" s="40">
        <v>5.9352911999999997E-3</v>
      </c>
      <c r="V223" s="40">
        <v>1.3067828999999999E-3</v>
      </c>
      <c r="W223" s="40">
        <v>0.43290835999999999</v>
      </c>
      <c r="X223" s="40">
        <v>6.1478065000000002E-3</v>
      </c>
      <c r="Y223" s="40">
        <v>20.733394000000001</v>
      </c>
      <c r="Z223" s="40">
        <v>7.2985148000000004E-4</v>
      </c>
      <c r="AA223" s="40"/>
      <c r="AB223" s="40"/>
      <c r="AC223" s="40"/>
      <c r="AD223" s="40"/>
      <c r="AE223" s="40"/>
      <c r="AF223" s="40"/>
      <c r="AG223" s="40"/>
      <c r="AH223" s="40"/>
      <c r="AI223" s="40"/>
      <c r="AJ223" s="40"/>
      <c r="AK223" s="40"/>
      <c r="AL223" s="40"/>
      <c r="AM223" s="40"/>
      <c r="AN223" s="40"/>
      <c r="AO223" s="40"/>
      <c r="AP223" s="40"/>
      <c r="AQ223" s="40"/>
      <c r="AR223" s="40"/>
      <c r="AS223" s="40"/>
      <c r="AT223" s="40"/>
      <c r="AU223" s="40"/>
      <c r="AV223" s="313">
        <v>0.10367149000000001</v>
      </c>
      <c r="AW223" s="317"/>
      <c r="AX223" s="317"/>
      <c r="AY223" s="313">
        <v>19.003353000000001</v>
      </c>
      <c r="AZ223" s="40"/>
      <c r="BA223" s="40"/>
      <c r="BB223" s="40"/>
      <c r="BC223" s="40">
        <v>2.3419052000000001E-3</v>
      </c>
      <c r="BD223" s="40">
        <v>7.9811735999999999E-6</v>
      </c>
      <c r="BE223" s="40">
        <v>1.9057085000000001E-2</v>
      </c>
      <c r="BF223" s="40">
        <v>1.2430745000000001E-4</v>
      </c>
      <c r="BG223" s="40"/>
      <c r="BH223" s="40"/>
      <c r="BI223" s="40"/>
      <c r="BJ223" s="40"/>
      <c r="BK223" s="40"/>
      <c r="BL223" s="62">
        <v>0</v>
      </c>
      <c r="BM223" s="275">
        <v>2</v>
      </c>
      <c r="BN223" s="62">
        <v>0</v>
      </c>
      <c r="BO223" s="33" t="s">
        <v>485</v>
      </c>
    </row>
    <row r="224" spans="1:67">
      <c r="A224" s="33" t="str">
        <f>Database_Productkaarten[[#This Row],[Product]]&amp;", "&amp;Database_Productkaarten[[#This Row],[Levensfase]]</f>
        <v>SMA G.R. (obv 8G+) - PCR 1.0, D</v>
      </c>
      <c r="B224" s="33" t="str">
        <f>B225</f>
        <v>SMA G.R. (obv 8G+) - PCR 1.0</v>
      </c>
      <c r="C224" s="33" t="str">
        <f>C225</f>
        <v>Bitumineuze verhardingen</v>
      </c>
      <c r="D224" s="33" t="s">
        <v>504</v>
      </c>
      <c r="E224" s="33" t="str">
        <f>E225</f>
        <v>Ton</v>
      </c>
      <c r="F224" s="33" t="s">
        <v>89</v>
      </c>
      <c r="L224" s="33">
        <f>L225</f>
        <v>2.2000000000000002</v>
      </c>
      <c r="M224" s="45">
        <f>M225</f>
        <v>1</v>
      </c>
      <c r="N224" s="41">
        <f>SUM(N225:N226)</f>
        <v>-6.0412667397579538</v>
      </c>
      <c r="O224" s="33">
        <f>O225</f>
        <v>16</v>
      </c>
      <c r="P224" s="40">
        <f>SUM(P225:P226)</f>
        <v>-6.4590376589588889E-5</v>
      </c>
      <c r="Q224" s="40">
        <f>SUM(Q225:Q226)</f>
        <v>-0.87361399927287742</v>
      </c>
      <c r="R224" s="40">
        <f>SUM(R225:R226)</f>
        <v>-42.25357581147513</v>
      </c>
      <c r="S224" s="40">
        <f t="shared" ref="S224:BK224" si="36">SUM(S225:S226)</f>
        <v>-4.3951372828927151E-6</v>
      </c>
      <c r="T224" s="40">
        <f t="shared" si="36"/>
        <v>-9.5457639514074197E-2</v>
      </c>
      <c r="U224" s="40">
        <f t="shared" si="36"/>
        <v>-0.37286949266585989</v>
      </c>
      <c r="V224" s="40">
        <f t="shared" si="36"/>
        <v>-3.7332212245112906E-2</v>
      </c>
      <c r="W224" s="40">
        <f t="shared" si="36"/>
        <v>-12.589666939672549</v>
      </c>
      <c r="X224" s="40">
        <f t="shared" si="36"/>
        <v>-1.3451435926491715</v>
      </c>
      <c r="Y224" s="40">
        <f t="shared" si="36"/>
        <v>-5863.454803458777</v>
      </c>
      <c r="Z224" s="40">
        <f t="shared" si="36"/>
        <v>-0.17520460270774452</v>
      </c>
      <c r="AA224" s="40">
        <f t="shared" si="36"/>
        <v>0</v>
      </c>
      <c r="AB224" s="40">
        <f t="shared" si="36"/>
        <v>0</v>
      </c>
      <c r="AC224" s="40">
        <f t="shared" si="36"/>
        <v>0</v>
      </c>
      <c r="AD224" s="40">
        <f t="shared" si="36"/>
        <v>0</v>
      </c>
      <c r="AE224" s="40">
        <f t="shared" si="36"/>
        <v>0</v>
      </c>
      <c r="AF224" s="40">
        <f t="shared" si="36"/>
        <v>0</v>
      </c>
      <c r="AG224" s="40">
        <f t="shared" si="36"/>
        <v>0</v>
      </c>
      <c r="AH224" s="40">
        <f t="shared" si="36"/>
        <v>0</v>
      </c>
      <c r="AI224" s="40">
        <f t="shared" si="36"/>
        <v>0</v>
      </c>
      <c r="AJ224" s="40">
        <f t="shared" si="36"/>
        <v>0</v>
      </c>
      <c r="AK224" s="40">
        <f t="shared" si="36"/>
        <v>0</v>
      </c>
      <c r="AL224" s="40">
        <f t="shared" si="36"/>
        <v>0</v>
      </c>
      <c r="AM224" s="40">
        <f t="shared" si="36"/>
        <v>0</v>
      </c>
      <c r="AN224" s="40">
        <f t="shared" si="36"/>
        <v>0</v>
      </c>
      <c r="AO224" s="40">
        <f t="shared" si="36"/>
        <v>0</v>
      </c>
      <c r="AP224" s="40">
        <f t="shared" si="36"/>
        <v>0</v>
      </c>
      <c r="AQ224" s="40">
        <f t="shared" si="36"/>
        <v>0</v>
      </c>
      <c r="AR224" s="40">
        <f t="shared" si="36"/>
        <v>0</v>
      </c>
      <c r="AS224" s="40">
        <f t="shared" si="36"/>
        <v>0</v>
      </c>
      <c r="AT224" s="40">
        <f t="shared" si="36"/>
        <v>0</v>
      </c>
      <c r="AU224" s="40">
        <f t="shared" si="36"/>
        <v>0</v>
      </c>
      <c r="AV224" s="317">
        <f t="shared" si="36"/>
        <v>-14.930865593708479</v>
      </c>
      <c r="AW224" s="317">
        <f t="shared" si="36"/>
        <v>0</v>
      </c>
      <c r="AX224" s="317">
        <f t="shared" si="36"/>
        <v>0</v>
      </c>
      <c r="AY224" s="317">
        <f t="shared" si="36"/>
        <v>-1973.3972731873223</v>
      </c>
      <c r="AZ224" s="40">
        <f t="shared" si="36"/>
        <v>0</v>
      </c>
      <c r="BA224" s="40">
        <f t="shared" si="36"/>
        <v>0</v>
      </c>
      <c r="BB224" s="40">
        <f t="shared" si="36"/>
        <v>0</v>
      </c>
      <c r="BC224" s="40">
        <f t="shared" si="36"/>
        <v>-19.322550679447513</v>
      </c>
      <c r="BD224" s="40">
        <f t="shared" si="36"/>
        <v>-7.1013177625619932E-4</v>
      </c>
      <c r="BE224" s="40">
        <f t="shared" si="36"/>
        <v>-4.9529914265049815</v>
      </c>
      <c r="BF224" s="40">
        <f t="shared" si="36"/>
        <v>-1.710803495380915E-3</v>
      </c>
      <c r="BG224" s="40">
        <f t="shared" si="36"/>
        <v>0</v>
      </c>
      <c r="BH224" s="40">
        <f t="shared" si="36"/>
        <v>0</v>
      </c>
      <c r="BI224" s="40">
        <f t="shared" si="36"/>
        <v>0</v>
      </c>
      <c r="BJ224" s="40">
        <f t="shared" si="36"/>
        <v>0</v>
      </c>
      <c r="BK224" s="40">
        <f t="shared" si="36"/>
        <v>0</v>
      </c>
      <c r="BL224" s="62">
        <f>BL225</f>
        <v>0</v>
      </c>
      <c r="BM224" s="275">
        <f>BM225</f>
        <v>2</v>
      </c>
      <c r="BN224" s="62">
        <v>0</v>
      </c>
      <c r="BO224" s="33" t="str">
        <f>BO225</f>
        <v>TNO 2020 R10987 LCA Achtergrondrapport voor brancherepresentatieve Nederlandse asfaltmengsels 2020</v>
      </c>
    </row>
    <row r="225" spans="1:67">
      <c r="A225" s="33" t="str">
        <f>Database_Productkaarten[[#This Row],[Product]]&amp;", "&amp;Database_Productkaarten[[#This Row],[Levensfase]]</f>
        <v>SMA G.R. (obv 8G+) - PCR 1.0, D1</v>
      </c>
      <c r="B225" s="33" t="s">
        <v>503</v>
      </c>
      <c r="C225" s="33" t="s">
        <v>483</v>
      </c>
      <c r="D225" s="33" t="s">
        <v>504</v>
      </c>
      <c r="E225" s="33" t="s">
        <v>378</v>
      </c>
      <c r="F225" s="33" t="s">
        <v>87</v>
      </c>
      <c r="L225" s="33">
        <v>2.2000000000000002</v>
      </c>
      <c r="M225" s="269">
        <v>1</v>
      </c>
      <c r="N225" s="41">
        <v>-4.4125342401729686</v>
      </c>
      <c r="O225" s="33">
        <v>16</v>
      </c>
      <c r="P225" s="40">
        <v>-5.3802372634880002E-5</v>
      </c>
      <c r="Q225" s="40">
        <v>-0.80360656977153988</v>
      </c>
      <c r="R225" s="40">
        <v>-32.272531475326325</v>
      </c>
      <c r="S225" s="40">
        <v>-2.7305783214739998E-6</v>
      </c>
      <c r="T225" s="40">
        <v>-8.6859488644911984E-2</v>
      </c>
      <c r="U225" s="40">
        <v>-0.23499135335277199</v>
      </c>
      <c r="V225" s="40">
        <v>-2.1952955924992003E-2</v>
      </c>
      <c r="W225" s="40">
        <v>-8.4680802954842633</v>
      </c>
      <c r="X225" s="40">
        <v>-1.25569527565794</v>
      </c>
      <c r="Y225" s="40">
        <v>-5495.0884462102758</v>
      </c>
      <c r="Z225" s="40">
        <v>-0.16123250248973997</v>
      </c>
      <c r="AA225" s="40"/>
      <c r="AB225" s="40"/>
      <c r="AC225" s="40"/>
      <c r="AD225" s="40"/>
      <c r="AE225" s="40"/>
      <c r="AF225" s="40"/>
      <c r="AG225" s="40"/>
      <c r="AH225" s="40"/>
      <c r="AI225" s="40"/>
      <c r="AJ225" s="40"/>
      <c r="AK225" s="40"/>
      <c r="AL225" s="40"/>
      <c r="AM225" s="40"/>
      <c r="AN225" s="40"/>
      <c r="AO225" s="40"/>
      <c r="AP225" s="40"/>
      <c r="AQ225" s="40"/>
      <c r="AR225" s="40"/>
      <c r="AS225" s="40"/>
      <c r="AT225" s="40"/>
      <c r="AU225" s="40"/>
      <c r="AV225" s="313">
        <v>-12.19044910101081</v>
      </c>
      <c r="AW225" s="317"/>
      <c r="AX225" s="317"/>
      <c r="AY225" s="313">
        <v>-1818.2578133164566</v>
      </c>
      <c r="AZ225" s="40"/>
      <c r="BA225" s="40"/>
      <c r="BB225" s="40"/>
      <c r="BC225" s="40">
        <v>-19.29446848739585</v>
      </c>
      <c r="BD225" s="40">
        <v>-6.1806692122379995E-4</v>
      </c>
      <c r="BE225" s="40">
        <v>-1.8558734435953761</v>
      </c>
      <c r="BF225" s="40">
        <v>-7.458362505908E-4</v>
      </c>
      <c r="BG225" s="40"/>
      <c r="BH225" s="40"/>
      <c r="BI225" s="40"/>
      <c r="BJ225" s="40"/>
      <c r="BK225" s="40"/>
      <c r="BL225" s="62">
        <v>0</v>
      </c>
      <c r="BM225" s="275">
        <v>2</v>
      </c>
      <c r="BN225" s="62">
        <v>0</v>
      </c>
      <c r="BO225" s="33" t="s">
        <v>485</v>
      </c>
    </row>
    <row r="226" spans="1:67">
      <c r="A226" s="33" t="str">
        <f>Database_Productkaarten[[#This Row],[Product]]&amp;", "&amp;Database_Productkaarten[[#This Row],[Levensfase]]</f>
        <v>SMA G.R. (obv 8G+) - PCR 1.0, D2</v>
      </c>
      <c r="B226" s="33" t="s">
        <v>503</v>
      </c>
      <c r="C226" s="33" t="s">
        <v>483</v>
      </c>
      <c r="D226" s="33" t="s">
        <v>504</v>
      </c>
      <c r="E226" s="33" t="s">
        <v>378</v>
      </c>
      <c r="F226" s="33" t="s">
        <v>88</v>
      </c>
      <c r="L226" s="33">
        <v>2.2000000000000002</v>
      </c>
      <c r="M226" s="269">
        <v>1</v>
      </c>
      <c r="N226" s="41">
        <v>-1.6287324995849852</v>
      </c>
      <c r="O226" s="33">
        <v>16</v>
      </c>
      <c r="P226" s="40">
        <v>-1.0788003954708884E-5</v>
      </c>
      <c r="Q226" s="40">
        <v>-7.0007429501337537E-2</v>
      </c>
      <c r="R226" s="40">
        <v>-9.9810443361488073</v>
      </c>
      <c r="S226" s="40">
        <v>-1.6645589614187157E-6</v>
      </c>
      <c r="T226" s="40">
        <v>-8.5981508691622081E-3</v>
      </c>
      <c r="U226" s="40">
        <v>-0.1378781393130879</v>
      </c>
      <c r="V226" s="40">
        <v>-1.5379256320120905E-2</v>
      </c>
      <c r="W226" s="40">
        <v>-4.1215866441882856</v>
      </c>
      <c r="X226" s="40">
        <v>-8.9448316991231389E-2</v>
      </c>
      <c r="Y226" s="40">
        <v>-368.36635724850089</v>
      </c>
      <c r="Z226" s="40">
        <v>-1.3972100218004534E-2</v>
      </c>
      <c r="AA226" s="40"/>
      <c r="AB226" s="40"/>
      <c r="AC226" s="40"/>
      <c r="AD226" s="40"/>
      <c r="AE226" s="40"/>
      <c r="AF226" s="40"/>
      <c r="AG226" s="40"/>
      <c r="AH226" s="40"/>
      <c r="AI226" s="40"/>
      <c r="AJ226" s="40"/>
      <c r="AK226" s="40"/>
      <c r="AL226" s="40"/>
      <c r="AM226" s="40"/>
      <c r="AN226" s="40"/>
      <c r="AO226" s="40"/>
      <c r="AP226" s="40"/>
      <c r="AQ226" s="40"/>
      <c r="AR226" s="40"/>
      <c r="AS226" s="40"/>
      <c r="AT226" s="40"/>
      <c r="AU226" s="40"/>
      <c r="AV226" s="313">
        <v>-2.7404164926976682</v>
      </c>
      <c r="AW226" s="317"/>
      <c r="AX226" s="317"/>
      <c r="AY226" s="313">
        <v>-155.13945987086566</v>
      </c>
      <c r="AZ226" s="40"/>
      <c r="BA226" s="40"/>
      <c r="BB226" s="40"/>
      <c r="BC226" s="40">
        <v>-2.8082192051662819E-2</v>
      </c>
      <c r="BD226" s="40">
        <v>-9.2064855032399366E-5</v>
      </c>
      <c r="BE226" s="40">
        <v>-3.0971179829096052</v>
      </c>
      <c r="BF226" s="40">
        <v>-9.6496724479011489E-4</v>
      </c>
      <c r="BG226" s="40"/>
      <c r="BH226" s="40"/>
      <c r="BI226" s="40"/>
      <c r="BJ226" s="40"/>
      <c r="BK226" s="40"/>
      <c r="BL226" s="62">
        <v>0</v>
      </c>
      <c r="BM226" s="275">
        <v>2</v>
      </c>
      <c r="BN226" s="62">
        <v>0</v>
      </c>
      <c r="BO226" s="33" t="s">
        <v>485</v>
      </c>
    </row>
    <row r="227" spans="1:67">
      <c r="A227" s="33" t="str">
        <f>Database_Productkaarten[[#This Row],[Product]]&amp;", "&amp;Database_Productkaarten[[#This Row],[Levensfase]]</f>
        <v>WB asfaltbeton - PCR 1.0, Totaal</v>
      </c>
      <c r="B227" s="33" t="s">
        <v>505</v>
      </c>
      <c r="C227" s="33" t="s">
        <v>483</v>
      </c>
      <c r="D227" s="33" t="s">
        <v>506</v>
      </c>
      <c r="E227" s="33" t="s">
        <v>378</v>
      </c>
      <c r="F227" s="33" t="s">
        <v>90</v>
      </c>
      <c r="L227" s="33">
        <v>2.35</v>
      </c>
      <c r="M227" s="269">
        <v>1</v>
      </c>
      <c r="N227" s="41">
        <v>14.639363015798558</v>
      </c>
      <c r="O227" s="33">
        <v>55</v>
      </c>
      <c r="P227" s="40">
        <v>1.3376134313338117E-4</v>
      </c>
      <c r="Q227" s="40">
        <v>1.9786407036364011</v>
      </c>
      <c r="R227" s="40">
        <v>121.56902995451256</v>
      </c>
      <c r="S227" s="40">
        <v>1.5729406125303954E-5</v>
      </c>
      <c r="T227" s="40">
        <v>0.18811073981049103</v>
      </c>
      <c r="U227" s="40">
        <v>0.70610415389003067</v>
      </c>
      <c r="V227" s="40">
        <v>8.2333925456598012E-2</v>
      </c>
      <c r="W227" s="40">
        <v>33.160181284350308</v>
      </c>
      <c r="X227" s="40">
        <v>2.8855758597168242</v>
      </c>
      <c r="Y227" s="40">
        <v>12085.543109509708</v>
      </c>
      <c r="Z227" s="40">
        <v>0.37684652538533719</v>
      </c>
      <c r="AA227" s="40"/>
      <c r="AB227" s="40"/>
      <c r="AC227" s="40"/>
      <c r="AD227" s="40"/>
      <c r="AE227" s="40"/>
      <c r="AF227" s="40"/>
      <c r="AG227" s="40"/>
      <c r="AH227" s="40"/>
      <c r="AI227" s="40"/>
      <c r="AJ227" s="40"/>
      <c r="AK227" s="40"/>
      <c r="AL227" s="40"/>
      <c r="AM227" s="40"/>
      <c r="AN227" s="40"/>
      <c r="AO227" s="40"/>
      <c r="AP227" s="40"/>
      <c r="AQ227" s="40"/>
      <c r="AR227" s="40"/>
      <c r="AS227" s="40"/>
      <c r="AT227" s="40"/>
      <c r="AU227" s="40"/>
      <c r="AV227" s="313">
        <v>31.640016715751525</v>
      </c>
      <c r="AW227" s="317"/>
      <c r="AX227" s="317"/>
      <c r="AY227" s="313">
        <v>4119.2388512697153</v>
      </c>
      <c r="AZ227" s="40"/>
      <c r="BA227" s="40"/>
      <c r="BB227" s="40"/>
      <c r="BC227" s="40">
        <v>35.622321917619182</v>
      </c>
      <c r="BD227" s="40">
        <v>2.0409264627356768E-3</v>
      </c>
      <c r="BE227" s="40">
        <v>1013.6884721073507</v>
      </c>
      <c r="BF227" s="40">
        <v>4.271493158854776E-3</v>
      </c>
      <c r="BG227" s="40"/>
      <c r="BH227" s="40"/>
      <c r="BI227" s="40"/>
      <c r="BJ227" s="40"/>
      <c r="BK227" s="40"/>
      <c r="BL227" s="62">
        <v>0</v>
      </c>
      <c r="BM227" s="275">
        <v>2</v>
      </c>
      <c r="BN227" s="62">
        <v>0</v>
      </c>
      <c r="BO227" s="33" t="s">
        <v>485</v>
      </c>
    </row>
    <row r="228" spans="1:67">
      <c r="A228" s="33" t="str">
        <f>Database_Productkaarten[[#This Row],[Product]]&amp;", "&amp;Database_Productkaarten[[#This Row],[Levensfase]]</f>
        <v>WB asfaltbeton - PCR 1.0, A1</v>
      </c>
      <c r="B228" s="33" t="s">
        <v>505</v>
      </c>
      <c r="C228" s="33" t="s">
        <v>483</v>
      </c>
      <c r="D228" s="33" t="s">
        <v>506</v>
      </c>
      <c r="E228" s="33" t="s">
        <v>378</v>
      </c>
      <c r="F228" s="33" t="s">
        <v>74</v>
      </c>
      <c r="L228" s="33">
        <v>2.35</v>
      </c>
      <c r="M228" s="269">
        <v>1</v>
      </c>
      <c r="N228" s="41">
        <v>7.8290846139999992</v>
      </c>
      <c r="O228" s="33">
        <v>55</v>
      </c>
      <c r="P228" s="40">
        <v>7.2082076E-5</v>
      </c>
      <c r="Q228" s="40">
        <v>1.453048688</v>
      </c>
      <c r="R228" s="40">
        <v>57.955593645</v>
      </c>
      <c r="S228" s="40">
        <v>4.9093377999999996E-6</v>
      </c>
      <c r="T228" s="40">
        <v>0.15564930619999998</v>
      </c>
      <c r="U228" s="40">
        <v>0.41105608300000002</v>
      </c>
      <c r="V228" s="40">
        <v>3.5695754000000003E-2</v>
      </c>
      <c r="W228" s="40">
        <v>14.878665157999999</v>
      </c>
      <c r="X228" s="40">
        <v>2.2768439309999997</v>
      </c>
      <c r="Y228" s="40">
        <v>9971.6263513709982</v>
      </c>
      <c r="Z228" s="40">
        <v>0.28813036400000003</v>
      </c>
      <c r="AA228" s="40"/>
      <c r="AB228" s="40"/>
      <c r="AC228" s="40"/>
      <c r="AD228" s="40"/>
      <c r="AE228" s="40"/>
      <c r="AF228" s="40"/>
      <c r="AG228" s="40"/>
      <c r="AH228" s="40"/>
      <c r="AI228" s="40"/>
      <c r="AJ228" s="40"/>
      <c r="AK228" s="40"/>
      <c r="AL228" s="40"/>
      <c r="AM228" s="40"/>
      <c r="AN228" s="40"/>
      <c r="AO228" s="40"/>
      <c r="AP228" s="40"/>
      <c r="AQ228" s="40"/>
      <c r="AR228" s="40"/>
      <c r="AS228" s="40"/>
      <c r="AT228" s="40"/>
      <c r="AU228" s="40"/>
      <c r="AV228" s="313">
        <v>18.972273628</v>
      </c>
      <c r="AW228" s="317"/>
      <c r="AX228" s="317"/>
      <c r="AY228" s="313">
        <v>3280.8899502569998</v>
      </c>
      <c r="AZ228" s="40"/>
      <c r="BA228" s="40"/>
      <c r="BB228" s="40"/>
      <c r="BC228" s="40">
        <v>35.359288699999993</v>
      </c>
      <c r="BD228" s="40">
        <v>1.2174062600000001E-3</v>
      </c>
      <c r="BE228" s="40">
        <v>4.1803759520000003</v>
      </c>
      <c r="BF228" s="40">
        <v>1.2435971600000002E-3</v>
      </c>
      <c r="BG228" s="40"/>
      <c r="BH228" s="40"/>
      <c r="BI228" s="40"/>
      <c r="BJ228" s="40"/>
      <c r="BK228" s="40"/>
      <c r="BL228" s="62">
        <v>0</v>
      </c>
      <c r="BM228" s="275">
        <v>2</v>
      </c>
      <c r="BN228" s="62">
        <v>0</v>
      </c>
      <c r="BO228" s="33" t="s">
        <v>485</v>
      </c>
    </row>
    <row r="229" spans="1:67">
      <c r="A229" s="33" t="str">
        <f>Database_Productkaarten[[#This Row],[Product]]&amp;", "&amp;Database_Productkaarten[[#This Row],[Levensfase]]</f>
        <v>WB asfaltbeton - PCR 1.0, A2</v>
      </c>
      <c r="B229" s="33" t="s">
        <v>505</v>
      </c>
      <c r="C229" s="33" t="s">
        <v>483</v>
      </c>
      <c r="D229" s="33" t="s">
        <v>506</v>
      </c>
      <c r="E229" s="33" t="s">
        <v>378</v>
      </c>
      <c r="F229" s="33" t="s">
        <v>75</v>
      </c>
      <c r="L229" s="33">
        <v>2.35</v>
      </c>
      <c r="M229" s="269">
        <v>1</v>
      </c>
      <c r="N229" s="41">
        <v>2.0693560746599999</v>
      </c>
      <c r="O229" s="33">
        <v>55</v>
      </c>
      <c r="P229" s="40">
        <v>1.6164164672619998E-5</v>
      </c>
      <c r="Q229" s="40">
        <v>9.5578618118700012E-2</v>
      </c>
      <c r="R229" s="40">
        <v>13.739508802764</v>
      </c>
      <c r="S229" s="40">
        <v>2.2839039244299998E-6</v>
      </c>
      <c r="T229" s="40">
        <v>1.0777537582999999E-2</v>
      </c>
      <c r="U229" s="40">
        <v>0.15984970426379999</v>
      </c>
      <c r="V229" s="40">
        <v>2.0431545981799998E-2</v>
      </c>
      <c r="W229" s="40">
        <v>5.2292334044239999</v>
      </c>
      <c r="X229" s="40">
        <v>0.1199913957364</v>
      </c>
      <c r="Y229" s="40">
        <v>468.23365680553604</v>
      </c>
      <c r="Z229" s="40">
        <v>1.8658398345500003E-2</v>
      </c>
      <c r="AA229" s="40"/>
      <c r="AB229" s="40"/>
      <c r="AC229" s="40"/>
      <c r="AD229" s="40"/>
      <c r="AE229" s="40"/>
      <c r="AF229" s="40"/>
      <c r="AG229" s="40"/>
      <c r="AH229" s="40"/>
      <c r="AI229" s="40"/>
      <c r="AJ229" s="40"/>
      <c r="AK229" s="40"/>
      <c r="AL229" s="40"/>
      <c r="AM229" s="40"/>
      <c r="AN229" s="40"/>
      <c r="AO229" s="40"/>
      <c r="AP229" s="40"/>
      <c r="AQ229" s="40"/>
      <c r="AR229" s="40"/>
      <c r="AS229" s="40"/>
      <c r="AT229" s="40"/>
      <c r="AU229" s="40"/>
      <c r="AV229" s="313">
        <v>3.668364592464</v>
      </c>
      <c r="AW229" s="317"/>
      <c r="AX229" s="317"/>
      <c r="AY229" s="313">
        <v>211.88459827319602</v>
      </c>
      <c r="AZ229" s="40"/>
      <c r="BA229" s="40"/>
      <c r="BB229" s="40"/>
      <c r="BC229" s="40">
        <v>4.0322596670700005E-2</v>
      </c>
      <c r="BD229" s="40">
        <v>1.3053896022919998E-4</v>
      </c>
      <c r="BE229" s="40">
        <v>4.5331725934160003</v>
      </c>
      <c r="BF229" s="40">
        <v>1.3207935795700001E-3</v>
      </c>
      <c r="BG229" s="40"/>
      <c r="BH229" s="40"/>
      <c r="BI229" s="40"/>
      <c r="BJ229" s="40"/>
      <c r="BK229" s="40"/>
      <c r="BL229" s="62">
        <v>0</v>
      </c>
      <c r="BM229" s="275">
        <v>2</v>
      </c>
      <c r="BN229" s="62">
        <v>0</v>
      </c>
      <c r="BO229" s="33" t="s">
        <v>485</v>
      </c>
    </row>
    <row r="230" spans="1:67">
      <c r="A230" s="33" t="str">
        <f>Database_Productkaarten[[#This Row],[Product]]&amp;", "&amp;Database_Productkaarten[[#This Row],[Levensfase]]</f>
        <v>WB asfaltbeton - PCR 1.0, A3</v>
      </c>
      <c r="B230" s="33" t="s">
        <v>505</v>
      </c>
      <c r="C230" s="33" t="s">
        <v>483</v>
      </c>
      <c r="D230" s="33" t="s">
        <v>506</v>
      </c>
      <c r="E230" s="33" t="s">
        <v>378</v>
      </c>
      <c r="F230" s="33" t="s">
        <v>76</v>
      </c>
      <c r="L230" s="33">
        <v>2.35</v>
      </c>
      <c r="M230" s="269">
        <v>1</v>
      </c>
      <c r="N230" s="41">
        <v>1.7335686291385604</v>
      </c>
      <c r="O230" s="33">
        <v>55</v>
      </c>
      <c r="P230" s="40">
        <v>5.1815373007611824E-6</v>
      </c>
      <c r="Q230" s="40">
        <v>0.20437667681770172</v>
      </c>
      <c r="R230" s="40">
        <v>24.041070026748582</v>
      </c>
      <c r="S230" s="40">
        <v>2.736881990873959E-6</v>
      </c>
      <c r="T230" s="40">
        <v>3.8933131174909937E-3</v>
      </c>
      <c r="U230" s="40">
        <v>2.6763677726230731E-2</v>
      </c>
      <c r="V230" s="40">
        <v>4.8951154847980015E-3</v>
      </c>
      <c r="W230" s="40">
        <v>3.6328396419263123</v>
      </c>
      <c r="X230" s="40">
        <v>2.5864354894603959E-2</v>
      </c>
      <c r="Y230" s="40">
        <v>105.43613333317526</v>
      </c>
      <c r="Z230" s="40">
        <v>2.5988851309837382E-2</v>
      </c>
      <c r="AA230" s="40"/>
      <c r="AB230" s="40"/>
      <c r="AC230" s="40"/>
      <c r="AD230" s="40"/>
      <c r="AE230" s="40"/>
      <c r="AF230" s="40"/>
      <c r="AG230" s="40"/>
      <c r="AH230" s="40"/>
      <c r="AI230" s="40"/>
      <c r="AJ230" s="40"/>
      <c r="AK230" s="40"/>
      <c r="AL230" s="40"/>
      <c r="AM230" s="40"/>
      <c r="AN230" s="40"/>
      <c r="AO230" s="40"/>
      <c r="AP230" s="40"/>
      <c r="AQ230" s="40"/>
      <c r="AR230" s="40"/>
      <c r="AS230" s="40"/>
      <c r="AT230" s="40"/>
      <c r="AU230" s="40"/>
      <c r="AV230" s="313">
        <v>7.4697240432875311</v>
      </c>
      <c r="AW230" s="317"/>
      <c r="AX230" s="317"/>
      <c r="AY230" s="313">
        <v>417.40830073952003</v>
      </c>
      <c r="AZ230" s="40"/>
      <c r="BA230" s="40"/>
      <c r="BB230" s="40"/>
      <c r="BC230" s="40">
        <v>4.9701082448483654E-2</v>
      </c>
      <c r="BD230" s="40">
        <v>5.6883205710647733E-4</v>
      </c>
      <c r="BE230" s="40">
        <v>0.27944898993467621</v>
      </c>
      <c r="BF230" s="40">
        <v>3.9416500028477473E-4</v>
      </c>
      <c r="BG230" s="40"/>
      <c r="BH230" s="40"/>
      <c r="BI230" s="40"/>
      <c r="BJ230" s="40"/>
      <c r="BK230" s="40"/>
      <c r="BL230" s="62">
        <v>0</v>
      </c>
      <c r="BM230" s="275">
        <v>2</v>
      </c>
      <c r="BN230" s="62">
        <v>0</v>
      </c>
      <c r="BO230" s="33" t="s">
        <v>485</v>
      </c>
    </row>
    <row r="231" spans="1:67">
      <c r="A231" s="33" t="str">
        <f>Database_Productkaarten[[#This Row],[Product]]&amp;", "&amp;Database_Productkaarten[[#This Row],[Levensfase]]</f>
        <v>WB asfaltbeton - PCR 1.0, A1-A3</v>
      </c>
      <c r="B231" s="33" t="str">
        <f>B230</f>
        <v>WB asfaltbeton - PCR 1.0</v>
      </c>
      <c r="C231" s="33" t="str">
        <f>C230</f>
        <v>Bitumineuze verhardingen</v>
      </c>
      <c r="D231" s="33" t="str">
        <f>D230</f>
        <v>Asfaltbeton</v>
      </c>
      <c r="E231" s="33" t="str">
        <f>E230</f>
        <v>Ton</v>
      </c>
      <c r="F231" s="33" t="s">
        <v>77</v>
      </c>
      <c r="L231" s="33">
        <f>L230</f>
        <v>2.35</v>
      </c>
      <c r="M231" s="45">
        <f>M230</f>
        <v>1</v>
      </c>
      <c r="N231" s="252">
        <f>SUM(N228:N230)</f>
        <v>11.632009317798559</v>
      </c>
      <c r="O231" s="33">
        <f>O230</f>
        <v>55</v>
      </c>
      <c r="P231" s="40">
        <f>SUM(P228:P230)</f>
        <v>9.3427777973381176E-5</v>
      </c>
      <c r="Q231" s="40">
        <f t="shared" ref="Q231:BK231" si="37">SUM(Q228:Q230)</f>
        <v>1.7530039829364017</v>
      </c>
      <c r="R231" s="40">
        <f t="shared" si="37"/>
        <v>95.736172474512585</v>
      </c>
      <c r="S231" s="40">
        <f t="shared" si="37"/>
        <v>9.9301237153039584E-6</v>
      </c>
      <c r="T231" s="40">
        <f t="shared" si="37"/>
        <v>0.17032015690049099</v>
      </c>
      <c r="U231" s="40">
        <f t="shared" si="37"/>
        <v>0.59766946499003082</v>
      </c>
      <c r="V231" s="40">
        <f t="shared" si="37"/>
        <v>6.1022415466598E-2</v>
      </c>
      <c r="W231" s="40">
        <f t="shared" si="37"/>
        <v>23.740738204350311</v>
      </c>
      <c r="X231" s="40">
        <f t="shared" si="37"/>
        <v>2.4226996816310034</v>
      </c>
      <c r="Y231" s="40">
        <f t="shared" si="37"/>
        <v>10545.296141509709</v>
      </c>
      <c r="Z231" s="40">
        <f t="shared" si="37"/>
        <v>0.33277761365533737</v>
      </c>
      <c r="AA231" s="40">
        <f t="shared" si="37"/>
        <v>0</v>
      </c>
      <c r="AB231" s="40">
        <f t="shared" si="37"/>
        <v>0</v>
      </c>
      <c r="AC231" s="40">
        <f t="shared" si="37"/>
        <v>0</v>
      </c>
      <c r="AD231" s="40">
        <f t="shared" si="37"/>
        <v>0</v>
      </c>
      <c r="AE231" s="40">
        <f t="shared" si="37"/>
        <v>0</v>
      </c>
      <c r="AF231" s="40">
        <f t="shared" si="37"/>
        <v>0</v>
      </c>
      <c r="AG231" s="40">
        <f t="shared" si="37"/>
        <v>0</v>
      </c>
      <c r="AH231" s="40">
        <f t="shared" si="37"/>
        <v>0</v>
      </c>
      <c r="AI231" s="40">
        <f t="shared" si="37"/>
        <v>0</v>
      </c>
      <c r="AJ231" s="40">
        <f t="shared" si="37"/>
        <v>0</v>
      </c>
      <c r="AK231" s="40">
        <f t="shared" si="37"/>
        <v>0</v>
      </c>
      <c r="AL231" s="40">
        <f t="shared" si="37"/>
        <v>0</v>
      </c>
      <c r="AM231" s="40">
        <f t="shared" si="37"/>
        <v>0</v>
      </c>
      <c r="AN231" s="40">
        <f t="shared" si="37"/>
        <v>0</v>
      </c>
      <c r="AO231" s="40">
        <f t="shared" si="37"/>
        <v>0</v>
      </c>
      <c r="AP231" s="40">
        <f t="shared" si="37"/>
        <v>0</v>
      </c>
      <c r="AQ231" s="40">
        <f t="shared" si="37"/>
        <v>0</v>
      </c>
      <c r="AR231" s="40">
        <f t="shared" si="37"/>
        <v>0</v>
      </c>
      <c r="AS231" s="40">
        <f t="shared" si="37"/>
        <v>0</v>
      </c>
      <c r="AT231" s="40">
        <f t="shared" si="37"/>
        <v>0</v>
      </c>
      <c r="AU231" s="40">
        <f t="shared" si="37"/>
        <v>0</v>
      </c>
      <c r="AV231" s="317">
        <f t="shared" si="37"/>
        <v>30.110362263751529</v>
      </c>
      <c r="AW231" s="317">
        <f t="shared" si="37"/>
        <v>0</v>
      </c>
      <c r="AX231" s="317">
        <f t="shared" si="37"/>
        <v>0</v>
      </c>
      <c r="AY231" s="317">
        <f t="shared" si="37"/>
        <v>3910.1828492697159</v>
      </c>
      <c r="AZ231" s="40">
        <f t="shared" si="37"/>
        <v>0</v>
      </c>
      <c r="BA231" s="40">
        <f t="shared" si="37"/>
        <v>0</v>
      </c>
      <c r="BB231" s="40">
        <f t="shared" si="37"/>
        <v>0</v>
      </c>
      <c r="BC231" s="40">
        <f t="shared" si="37"/>
        <v>35.449312379119178</v>
      </c>
      <c r="BD231" s="40">
        <f t="shared" si="37"/>
        <v>1.9167772773356774E-3</v>
      </c>
      <c r="BE231" s="40">
        <f t="shared" si="37"/>
        <v>8.9929975353506766</v>
      </c>
      <c r="BF231" s="40">
        <f t="shared" si="37"/>
        <v>2.9585557398547754E-3</v>
      </c>
      <c r="BG231" s="40">
        <f t="shared" si="37"/>
        <v>0</v>
      </c>
      <c r="BH231" s="40">
        <f t="shared" si="37"/>
        <v>0</v>
      </c>
      <c r="BI231" s="40">
        <f t="shared" si="37"/>
        <v>0</v>
      </c>
      <c r="BJ231" s="40">
        <f t="shared" si="37"/>
        <v>0</v>
      </c>
      <c r="BK231" s="40">
        <f t="shared" si="37"/>
        <v>0</v>
      </c>
      <c r="BL231" s="62">
        <f>BL230</f>
        <v>0</v>
      </c>
      <c r="BM231" s="275">
        <f>BM230</f>
        <v>2</v>
      </c>
      <c r="BN231" s="62">
        <v>0</v>
      </c>
      <c r="BO231" s="33" t="str">
        <f>BO230</f>
        <v>TNO 2020 R10987 LCA Achtergrondrapport voor brancherepresentatieve Nederlandse asfaltmengsels 2020</v>
      </c>
    </row>
    <row r="232" spans="1:67">
      <c r="A232" s="33" t="str">
        <f>Database_Productkaarten[[#This Row],[Product]]&amp;", "&amp;Database_Productkaarten[[#This Row],[Levensfase]]</f>
        <v>WB asfaltbeton - PCR 1.0, A4</v>
      </c>
      <c r="B232" s="33" t="s">
        <v>505</v>
      </c>
      <c r="C232" s="33" t="s">
        <v>483</v>
      </c>
      <c r="D232" s="33" t="s">
        <v>506</v>
      </c>
      <c r="E232" s="33" t="s">
        <v>378</v>
      </c>
      <c r="F232" s="33" t="s">
        <v>78</v>
      </c>
      <c r="L232" s="33">
        <v>2.35</v>
      </c>
      <c r="M232" s="269">
        <v>1</v>
      </c>
      <c r="N232" s="41">
        <v>0.96188790000000002</v>
      </c>
      <c r="O232" s="33">
        <v>55</v>
      </c>
      <c r="P232" s="40">
        <v>1.6790396999999999E-5</v>
      </c>
      <c r="Q232" s="40">
        <v>6.6045701999999998E-2</v>
      </c>
      <c r="R232" s="40">
        <v>8.7209053999999995</v>
      </c>
      <c r="S232" s="40">
        <v>1.7336426999999999E-6</v>
      </c>
      <c r="T232" s="40">
        <v>5.4680828999999999E-3</v>
      </c>
      <c r="U232" s="40">
        <v>2.9290009999999998E-2</v>
      </c>
      <c r="V232" s="40">
        <v>5.8153672000000002E-3</v>
      </c>
      <c r="W232" s="40">
        <v>3.0663694000000001</v>
      </c>
      <c r="X232" s="40">
        <v>0.19769922000000001</v>
      </c>
      <c r="Y232" s="40">
        <v>517.90637000000004</v>
      </c>
      <c r="Z232" s="40">
        <v>1.8187483000000001E-2</v>
      </c>
      <c r="AA232" s="40"/>
      <c r="AB232" s="40"/>
      <c r="AC232" s="40"/>
      <c r="AD232" s="40"/>
      <c r="AE232" s="40"/>
      <c r="AF232" s="40"/>
      <c r="AG232" s="40"/>
      <c r="AH232" s="40"/>
      <c r="AI232" s="40"/>
      <c r="AJ232" s="40"/>
      <c r="AK232" s="40"/>
      <c r="AL232" s="40"/>
      <c r="AM232" s="40"/>
      <c r="AN232" s="40"/>
      <c r="AO232" s="40"/>
      <c r="AP232" s="40"/>
      <c r="AQ232" s="40"/>
      <c r="AR232" s="40"/>
      <c r="AS232" s="40"/>
      <c r="AT232" s="40"/>
      <c r="AU232" s="40"/>
      <c r="AV232" s="313">
        <v>0</v>
      </c>
      <c r="AW232" s="317"/>
      <c r="AX232" s="317"/>
      <c r="AY232" s="313">
        <v>0</v>
      </c>
      <c r="AZ232" s="40"/>
      <c r="BA232" s="40"/>
      <c r="BB232" s="40"/>
      <c r="BC232" s="40">
        <v>0</v>
      </c>
      <c r="BD232" s="40">
        <v>0</v>
      </c>
      <c r="BE232" s="40">
        <v>0</v>
      </c>
      <c r="BF232" s="40">
        <v>0</v>
      </c>
      <c r="BG232" s="40"/>
      <c r="BH232" s="40"/>
      <c r="BI232" s="40"/>
      <c r="BJ232" s="40"/>
      <c r="BK232" s="40"/>
      <c r="BL232" s="62">
        <v>0</v>
      </c>
      <c r="BM232" s="275">
        <v>2</v>
      </c>
      <c r="BN232" s="62">
        <v>0</v>
      </c>
      <c r="BO232" s="33" t="s">
        <v>485</v>
      </c>
    </row>
    <row r="233" spans="1:67">
      <c r="A233" s="33" t="str">
        <f>Database_Productkaarten[[#This Row],[Product]]&amp;", "&amp;Database_Productkaarten[[#This Row],[Levensfase]]</f>
        <v>WB asfaltbeton - PCR 1.0, A5</v>
      </c>
      <c r="B233" s="33" t="s">
        <v>505</v>
      </c>
      <c r="C233" s="33" t="s">
        <v>483</v>
      </c>
      <c r="D233" s="33" t="s">
        <v>506</v>
      </c>
      <c r="E233" s="33" t="s">
        <v>378</v>
      </c>
      <c r="F233" s="33" t="s">
        <v>79</v>
      </c>
      <c r="L233" s="33">
        <v>2.35</v>
      </c>
      <c r="M233" s="269">
        <v>1</v>
      </c>
      <c r="N233" s="41">
        <v>0.21041449000000001</v>
      </c>
      <c r="O233" s="33">
        <v>55</v>
      </c>
      <c r="P233" s="40">
        <v>5.5521790000000002E-7</v>
      </c>
      <c r="Q233" s="40">
        <v>1.1398007E-2</v>
      </c>
      <c r="R233" s="40">
        <v>2.2019112000000001</v>
      </c>
      <c r="S233" s="40">
        <v>2.9848207999999998E-7</v>
      </c>
      <c r="T233" s="40">
        <v>7.6816657999999999E-4</v>
      </c>
      <c r="U233" s="40">
        <v>7.0245098999999998E-3</v>
      </c>
      <c r="V233" s="40">
        <v>1.5085121999999999E-3</v>
      </c>
      <c r="W233" s="40">
        <v>0.57978304000000003</v>
      </c>
      <c r="X233" s="40">
        <v>8.2665138999999995E-3</v>
      </c>
      <c r="Y233" s="40">
        <v>27.878706000000001</v>
      </c>
      <c r="Z233" s="40">
        <v>9.8137887999999993E-4</v>
      </c>
      <c r="AA233" s="40"/>
      <c r="AB233" s="40"/>
      <c r="AC233" s="40"/>
      <c r="AD233" s="40"/>
      <c r="AE233" s="40"/>
      <c r="AF233" s="40"/>
      <c r="AG233" s="40"/>
      <c r="AH233" s="40"/>
      <c r="AI233" s="40"/>
      <c r="AJ233" s="40"/>
      <c r="AK233" s="40"/>
      <c r="AL233" s="40"/>
      <c r="AM233" s="40"/>
      <c r="AN233" s="40"/>
      <c r="AO233" s="40"/>
      <c r="AP233" s="40"/>
      <c r="AQ233" s="40"/>
      <c r="AR233" s="40"/>
      <c r="AS233" s="40"/>
      <c r="AT233" s="40"/>
      <c r="AU233" s="40"/>
      <c r="AV233" s="313">
        <v>0.13939961000000001</v>
      </c>
      <c r="AW233" s="317"/>
      <c r="AX233" s="317"/>
      <c r="AY233" s="313">
        <v>25.552444000000001</v>
      </c>
      <c r="AZ233" s="40"/>
      <c r="BA233" s="40"/>
      <c r="BB233" s="40"/>
      <c r="BC233" s="40">
        <v>3.1489918000000001E-3</v>
      </c>
      <c r="BD233" s="40">
        <v>1.0731710999999999E-5</v>
      </c>
      <c r="BE233" s="40">
        <v>2.5624694E-2</v>
      </c>
      <c r="BF233" s="40">
        <v>1.671473E-4</v>
      </c>
      <c r="BG233" s="40"/>
      <c r="BH233" s="40"/>
      <c r="BI233" s="40"/>
      <c r="BJ233" s="40"/>
      <c r="BK233" s="40"/>
      <c r="BL233" s="62">
        <v>0</v>
      </c>
      <c r="BM233" s="275">
        <v>2</v>
      </c>
      <c r="BN233" s="62">
        <v>0</v>
      </c>
      <c r="BO233" s="33" t="s">
        <v>485</v>
      </c>
    </row>
    <row r="234" spans="1:67">
      <c r="A234" s="33" t="str">
        <f>Database_Productkaarten[[#This Row],[Product]]&amp;", "&amp;Database_Productkaarten[[#This Row],[Levensfase]]</f>
        <v>WB asfaltbeton - PCR 1.0, B1</v>
      </c>
      <c r="B234" s="33" t="s">
        <v>505</v>
      </c>
      <c r="C234" s="33" t="s">
        <v>483</v>
      </c>
      <c r="D234" s="33" t="s">
        <v>506</v>
      </c>
      <c r="E234" s="33" t="s">
        <v>378</v>
      </c>
      <c r="F234" s="33" t="s">
        <v>80</v>
      </c>
      <c r="L234" s="33">
        <v>2.35</v>
      </c>
      <c r="M234" s="269">
        <v>1</v>
      </c>
      <c r="N234" s="41">
        <v>4.1994032000000001E-2</v>
      </c>
      <c r="O234" s="33">
        <v>55</v>
      </c>
      <c r="P234" s="40">
        <v>0</v>
      </c>
      <c r="Q234" s="40">
        <v>0</v>
      </c>
      <c r="R234" s="40">
        <v>0</v>
      </c>
      <c r="S234" s="40">
        <v>0</v>
      </c>
      <c r="T234" s="40">
        <v>0</v>
      </c>
      <c r="U234" s="40">
        <v>0</v>
      </c>
      <c r="V234" s="40">
        <v>0</v>
      </c>
      <c r="W234" s="40">
        <v>0.16678892000000001</v>
      </c>
      <c r="X234" s="40">
        <v>4.9358582000000005E-7</v>
      </c>
      <c r="Y234" s="40">
        <v>269.49592999999999</v>
      </c>
      <c r="Z234" s="40">
        <v>5.5701559999999999E-4</v>
      </c>
      <c r="AA234" s="40"/>
      <c r="AB234" s="40"/>
      <c r="AC234" s="40"/>
      <c r="AD234" s="40"/>
      <c r="AE234" s="40"/>
      <c r="AF234" s="40"/>
      <c r="AG234" s="40"/>
      <c r="AH234" s="40"/>
      <c r="AI234" s="40"/>
      <c r="AJ234" s="40"/>
      <c r="AK234" s="40"/>
      <c r="AL234" s="40"/>
      <c r="AM234" s="40"/>
      <c r="AN234" s="40"/>
      <c r="AO234" s="40"/>
      <c r="AP234" s="40"/>
      <c r="AQ234" s="40"/>
      <c r="AR234" s="40"/>
      <c r="AS234" s="40"/>
      <c r="AT234" s="40"/>
      <c r="AU234" s="40"/>
      <c r="AV234" s="313">
        <v>0</v>
      </c>
      <c r="AW234" s="317"/>
      <c r="AX234" s="317"/>
      <c r="AY234" s="313">
        <v>0</v>
      </c>
      <c r="AZ234" s="40"/>
      <c r="BA234" s="40"/>
      <c r="BB234" s="40"/>
      <c r="BC234" s="40">
        <v>0</v>
      </c>
      <c r="BD234" s="40">
        <v>0</v>
      </c>
      <c r="BE234" s="40">
        <v>0</v>
      </c>
      <c r="BF234" s="40">
        <v>0</v>
      </c>
      <c r="BG234" s="40"/>
      <c r="BH234" s="40"/>
      <c r="BI234" s="40"/>
      <c r="BJ234" s="40"/>
      <c r="BK234" s="40"/>
      <c r="BL234" s="62">
        <v>0</v>
      </c>
      <c r="BM234" s="275">
        <v>2</v>
      </c>
      <c r="BN234" s="62">
        <v>0</v>
      </c>
      <c r="BO234" s="33" t="s">
        <v>485</v>
      </c>
    </row>
    <row r="235" spans="1:67">
      <c r="A235" s="33" t="str">
        <f>Database_Productkaarten[[#This Row],[Product]]&amp;", "&amp;Database_Productkaarten[[#This Row],[Levensfase]]</f>
        <v>WB asfaltbeton - PCR 1.0, C1</v>
      </c>
      <c r="B235" s="33" t="s">
        <v>505</v>
      </c>
      <c r="C235" s="33" t="s">
        <v>483</v>
      </c>
      <c r="D235" s="33" t="s">
        <v>506</v>
      </c>
      <c r="E235" s="33" t="s">
        <v>378</v>
      </c>
      <c r="F235" s="33" t="s">
        <v>83</v>
      </c>
      <c r="L235" s="33">
        <v>2.35</v>
      </c>
      <c r="M235" s="269">
        <v>1</v>
      </c>
      <c r="N235" s="41">
        <v>8.4165796000000001E-2</v>
      </c>
      <c r="O235" s="33">
        <v>55</v>
      </c>
      <c r="P235" s="40">
        <v>2.2208715999999999E-7</v>
      </c>
      <c r="Q235" s="40">
        <v>4.5592026999999999E-3</v>
      </c>
      <c r="R235" s="40">
        <v>0.88076447999999996</v>
      </c>
      <c r="S235" s="40">
        <v>1.1939283000000001E-7</v>
      </c>
      <c r="T235" s="40">
        <v>3.0726663000000003E-4</v>
      </c>
      <c r="U235" s="40">
        <v>2.8098039999999999E-3</v>
      </c>
      <c r="V235" s="40">
        <v>6.0340489000000001E-4</v>
      </c>
      <c r="W235" s="40">
        <v>0.23191322</v>
      </c>
      <c r="X235" s="40">
        <v>3.3066056E-3</v>
      </c>
      <c r="Y235" s="40">
        <v>11.151482</v>
      </c>
      <c r="Z235" s="40">
        <v>3.9255155000000001E-4</v>
      </c>
      <c r="AA235" s="40"/>
      <c r="AB235" s="40"/>
      <c r="AC235" s="40"/>
      <c r="AD235" s="40"/>
      <c r="AE235" s="40"/>
      <c r="AF235" s="40"/>
      <c r="AG235" s="40"/>
      <c r="AH235" s="40"/>
      <c r="AI235" s="40"/>
      <c r="AJ235" s="40"/>
      <c r="AK235" s="40"/>
      <c r="AL235" s="40"/>
      <c r="AM235" s="40"/>
      <c r="AN235" s="40"/>
      <c r="AO235" s="40"/>
      <c r="AP235" s="40"/>
      <c r="AQ235" s="40"/>
      <c r="AR235" s="40"/>
      <c r="AS235" s="40"/>
      <c r="AT235" s="40"/>
      <c r="AU235" s="40"/>
      <c r="AV235" s="313">
        <v>5.5759841999999997E-2</v>
      </c>
      <c r="AW235" s="317"/>
      <c r="AX235" s="317"/>
      <c r="AY235" s="313">
        <v>10.220978000000001</v>
      </c>
      <c r="AZ235" s="40"/>
      <c r="BA235" s="40"/>
      <c r="BB235" s="40"/>
      <c r="BC235" s="40">
        <v>1.2595967E-3</v>
      </c>
      <c r="BD235" s="40">
        <v>4.2926843999999997E-6</v>
      </c>
      <c r="BE235" s="40">
        <v>1.0249878E-2</v>
      </c>
      <c r="BF235" s="40">
        <v>6.6858919000000003E-5</v>
      </c>
      <c r="BG235" s="40"/>
      <c r="BH235" s="40"/>
      <c r="BI235" s="40"/>
      <c r="BJ235" s="40"/>
      <c r="BK235" s="40"/>
      <c r="BL235" s="62">
        <v>0</v>
      </c>
      <c r="BM235" s="275">
        <v>2</v>
      </c>
      <c r="BN235" s="62">
        <v>0</v>
      </c>
      <c r="BO235" s="33" t="s">
        <v>485</v>
      </c>
    </row>
    <row r="236" spans="1:67">
      <c r="A236" s="33" t="str">
        <f>Database_Productkaarten[[#This Row],[Product]]&amp;", "&amp;Database_Productkaarten[[#This Row],[Levensfase]]</f>
        <v>WB asfaltbeton - PCR 1.0, C2</v>
      </c>
      <c r="B236" s="33" t="s">
        <v>505</v>
      </c>
      <c r="C236" s="33" t="s">
        <v>483</v>
      </c>
      <c r="D236" s="33" t="s">
        <v>506</v>
      </c>
      <c r="E236" s="33" t="s">
        <v>378</v>
      </c>
      <c r="F236" s="33" t="s">
        <v>84</v>
      </c>
      <c r="L236" s="33">
        <v>2.35</v>
      </c>
      <c r="M236" s="269">
        <v>1</v>
      </c>
      <c r="N236" s="41">
        <v>0.96188790000000002</v>
      </c>
      <c r="O236" s="33">
        <v>55</v>
      </c>
      <c r="P236" s="40">
        <v>1.6790396999999999E-5</v>
      </c>
      <c r="Q236" s="40">
        <v>6.6045701999999998E-2</v>
      </c>
      <c r="R236" s="40">
        <v>8.7209053999999995</v>
      </c>
      <c r="S236" s="40">
        <v>1.7336426999999999E-6</v>
      </c>
      <c r="T236" s="40">
        <v>5.4680828999999999E-3</v>
      </c>
      <c r="U236" s="40">
        <v>2.9290009999999998E-2</v>
      </c>
      <c r="V236" s="40">
        <v>5.8153672000000002E-3</v>
      </c>
      <c r="W236" s="40">
        <v>3.0663694000000001</v>
      </c>
      <c r="X236" s="40">
        <v>0.19769922000000001</v>
      </c>
      <c r="Y236" s="40">
        <v>517.90637000000004</v>
      </c>
      <c r="Z236" s="40">
        <v>1.8187483000000001E-2</v>
      </c>
      <c r="AA236" s="40"/>
      <c r="AB236" s="40"/>
      <c r="AC236" s="40"/>
      <c r="AD236" s="40"/>
      <c r="AE236" s="40"/>
      <c r="AF236" s="40"/>
      <c r="AG236" s="40"/>
      <c r="AH236" s="40"/>
      <c r="AI236" s="40"/>
      <c r="AJ236" s="40"/>
      <c r="AK236" s="40"/>
      <c r="AL236" s="40"/>
      <c r="AM236" s="40"/>
      <c r="AN236" s="40"/>
      <c r="AO236" s="40"/>
      <c r="AP236" s="40"/>
      <c r="AQ236" s="40"/>
      <c r="AR236" s="40"/>
      <c r="AS236" s="40"/>
      <c r="AT236" s="40"/>
      <c r="AU236" s="40"/>
      <c r="AV236" s="313">
        <v>0</v>
      </c>
      <c r="AW236" s="317"/>
      <c r="AX236" s="317"/>
      <c r="AY236" s="313">
        <v>0</v>
      </c>
      <c r="AZ236" s="40"/>
      <c r="BA236" s="40"/>
      <c r="BB236" s="40"/>
      <c r="BC236" s="40">
        <v>0</v>
      </c>
      <c r="BD236" s="40">
        <v>0</v>
      </c>
      <c r="BE236" s="40">
        <v>0</v>
      </c>
      <c r="BF236" s="40">
        <v>0</v>
      </c>
      <c r="BG236" s="40"/>
      <c r="BH236" s="40"/>
      <c r="BI236" s="40"/>
      <c r="BJ236" s="40"/>
      <c r="BK236" s="40"/>
      <c r="BL236" s="62">
        <v>0</v>
      </c>
      <c r="BM236" s="275">
        <v>2</v>
      </c>
      <c r="BN236" s="62">
        <v>0</v>
      </c>
      <c r="BO236" s="33" t="s">
        <v>485</v>
      </c>
    </row>
    <row r="237" spans="1:67">
      <c r="A237" s="33" t="str">
        <f>Database_Productkaarten[[#This Row],[Product]]&amp;", "&amp;Database_Productkaarten[[#This Row],[Levensfase]]</f>
        <v>WB asfaltbeton - PCR 1.0, C4</v>
      </c>
      <c r="B237" s="33" t="s">
        <v>505</v>
      </c>
      <c r="C237" s="33" t="s">
        <v>483</v>
      </c>
      <c r="D237" s="33" t="s">
        <v>506</v>
      </c>
      <c r="E237" s="33" t="s">
        <v>378</v>
      </c>
      <c r="F237" s="33" t="s">
        <v>86</v>
      </c>
      <c r="L237" s="33">
        <v>2.35</v>
      </c>
      <c r="M237" s="269">
        <v>1</v>
      </c>
      <c r="N237" s="41">
        <v>0.74700358</v>
      </c>
      <c r="O237" s="33">
        <v>55</v>
      </c>
      <c r="P237" s="40">
        <v>5.9754661000000001E-6</v>
      </c>
      <c r="Q237" s="40">
        <v>7.7588107000000003E-2</v>
      </c>
      <c r="R237" s="40">
        <v>5.3083710000000002</v>
      </c>
      <c r="S237" s="40">
        <v>1.9141221000000001E-6</v>
      </c>
      <c r="T237" s="40">
        <v>5.7789839000000004E-3</v>
      </c>
      <c r="U237" s="40">
        <v>4.0020355000000001E-2</v>
      </c>
      <c r="V237" s="40">
        <v>7.5688585000000001E-3</v>
      </c>
      <c r="W237" s="40">
        <v>2.3082191000000001</v>
      </c>
      <c r="X237" s="40">
        <v>5.5904124999999999E-2</v>
      </c>
      <c r="Y237" s="40">
        <v>195.90810999999999</v>
      </c>
      <c r="Z237" s="40">
        <v>5.7629997000000002E-3</v>
      </c>
      <c r="AA237" s="40"/>
      <c r="AB237" s="40"/>
      <c r="AC237" s="40"/>
      <c r="AD237" s="40"/>
      <c r="AE237" s="40"/>
      <c r="AF237" s="40"/>
      <c r="AG237" s="40"/>
      <c r="AH237" s="40"/>
      <c r="AI237" s="40"/>
      <c r="AJ237" s="40"/>
      <c r="AK237" s="40"/>
      <c r="AL237" s="40"/>
      <c r="AM237" s="40"/>
      <c r="AN237" s="40"/>
      <c r="AO237" s="40"/>
      <c r="AP237" s="40"/>
      <c r="AQ237" s="40"/>
      <c r="AR237" s="40"/>
      <c r="AS237" s="40"/>
      <c r="AT237" s="40"/>
      <c r="AU237" s="40"/>
      <c r="AV237" s="313">
        <v>1.334495</v>
      </c>
      <c r="AW237" s="317"/>
      <c r="AX237" s="317"/>
      <c r="AY237" s="313">
        <v>173.28258</v>
      </c>
      <c r="AZ237" s="40"/>
      <c r="BA237" s="40"/>
      <c r="BB237" s="40"/>
      <c r="BC237" s="40">
        <v>0.16860095</v>
      </c>
      <c r="BD237" s="40">
        <v>1.0912479E-4</v>
      </c>
      <c r="BE237" s="40">
        <v>1004.6596</v>
      </c>
      <c r="BF237" s="40">
        <v>1.0789312000000001E-3</v>
      </c>
      <c r="BG237" s="40"/>
      <c r="BH237" s="40"/>
      <c r="BI237" s="40"/>
      <c r="BJ237" s="40"/>
      <c r="BK237" s="40"/>
      <c r="BL237" s="62">
        <v>0</v>
      </c>
      <c r="BM237" s="275">
        <v>2</v>
      </c>
      <c r="BN237" s="62">
        <v>0</v>
      </c>
      <c r="BO237" s="33" t="s">
        <v>485</v>
      </c>
    </row>
    <row r="238" spans="1:67">
      <c r="A238" s="33" t="str">
        <f>Database_Productkaarten[[#This Row],[Product]]&amp;", "&amp;Database_Productkaarten[[#This Row],[Levensfase]]</f>
        <v>WB asfaltbeton - PCR 1.0, D</v>
      </c>
      <c r="B238" s="33" t="str">
        <f>B239</f>
        <v>WB asfaltbeton - PCR 1.0</v>
      </c>
      <c r="C238" s="33" t="str">
        <f>C239</f>
        <v>Bitumineuze verhardingen</v>
      </c>
      <c r="D238" s="33" t="str">
        <f>D239</f>
        <v>Asfaltbeton</v>
      </c>
      <c r="E238" s="33" t="str">
        <f>E239</f>
        <v>Ton</v>
      </c>
      <c r="F238" s="33" t="s">
        <v>89</v>
      </c>
      <c r="L238" s="33">
        <f>L239</f>
        <v>2.35</v>
      </c>
      <c r="M238" s="45">
        <f>M239</f>
        <v>1</v>
      </c>
      <c r="N238" s="41">
        <f>SUM(N239:N240)</f>
        <v>0</v>
      </c>
      <c r="O238" s="33">
        <f>O239</f>
        <v>55</v>
      </c>
      <c r="P238" s="40">
        <f>SUM(P239:P240)</f>
        <v>0</v>
      </c>
      <c r="Q238" s="40">
        <f>SUM(Q239:Q240)</f>
        <v>0</v>
      </c>
      <c r="R238" s="40">
        <f>SUM(R239:R240)</f>
        <v>0</v>
      </c>
      <c r="S238" s="40">
        <f t="shared" ref="S238:BK238" si="38">SUM(S239:S240)</f>
        <v>0</v>
      </c>
      <c r="T238" s="40">
        <f t="shared" si="38"/>
        <v>0</v>
      </c>
      <c r="U238" s="40">
        <f t="shared" si="38"/>
        <v>0</v>
      </c>
      <c r="V238" s="40">
        <f t="shared" si="38"/>
        <v>0</v>
      </c>
      <c r="W238" s="40">
        <f t="shared" si="38"/>
        <v>0</v>
      </c>
      <c r="X238" s="40">
        <f t="shared" si="38"/>
        <v>0</v>
      </c>
      <c r="Y238" s="40">
        <f t="shared" si="38"/>
        <v>0</v>
      </c>
      <c r="Z238" s="40">
        <f t="shared" si="38"/>
        <v>0</v>
      </c>
      <c r="AA238" s="40">
        <f t="shared" si="38"/>
        <v>0</v>
      </c>
      <c r="AB238" s="40">
        <f t="shared" si="38"/>
        <v>0</v>
      </c>
      <c r="AC238" s="40">
        <f t="shared" si="38"/>
        <v>0</v>
      </c>
      <c r="AD238" s="40">
        <f t="shared" si="38"/>
        <v>0</v>
      </c>
      <c r="AE238" s="40">
        <f t="shared" si="38"/>
        <v>0</v>
      </c>
      <c r="AF238" s="40">
        <f t="shared" si="38"/>
        <v>0</v>
      </c>
      <c r="AG238" s="40">
        <f t="shared" si="38"/>
        <v>0</v>
      </c>
      <c r="AH238" s="40">
        <f t="shared" si="38"/>
        <v>0</v>
      </c>
      <c r="AI238" s="40">
        <f t="shared" si="38"/>
        <v>0</v>
      </c>
      <c r="AJ238" s="40">
        <f t="shared" si="38"/>
        <v>0</v>
      </c>
      <c r="AK238" s="40">
        <f t="shared" si="38"/>
        <v>0</v>
      </c>
      <c r="AL238" s="40">
        <f t="shared" si="38"/>
        <v>0</v>
      </c>
      <c r="AM238" s="40">
        <f t="shared" si="38"/>
        <v>0</v>
      </c>
      <c r="AN238" s="40">
        <f t="shared" si="38"/>
        <v>0</v>
      </c>
      <c r="AO238" s="40">
        <f t="shared" si="38"/>
        <v>0</v>
      </c>
      <c r="AP238" s="40">
        <f t="shared" si="38"/>
        <v>0</v>
      </c>
      <c r="AQ238" s="40">
        <f t="shared" si="38"/>
        <v>0</v>
      </c>
      <c r="AR238" s="40">
        <f t="shared" si="38"/>
        <v>0</v>
      </c>
      <c r="AS238" s="40">
        <f t="shared" si="38"/>
        <v>0</v>
      </c>
      <c r="AT238" s="40">
        <f t="shared" si="38"/>
        <v>0</v>
      </c>
      <c r="AU238" s="40">
        <f t="shared" si="38"/>
        <v>0</v>
      </c>
      <c r="AV238" s="317">
        <f t="shared" si="38"/>
        <v>0</v>
      </c>
      <c r="AW238" s="317">
        <f t="shared" si="38"/>
        <v>0</v>
      </c>
      <c r="AX238" s="317">
        <f t="shared" si="38"/>
        <v>0</v>
      </c>
      <c r="AY238" s="317">
        <f t="shared" si="38"/>
        <v>0</v>
      </c>
      <c r="AZ238" s="40">
        <f t="shared" si="38"/>
        <v>0</v>
      </c>
      <c r="BA238" s="40">
        <f t="shared" si="38"/>
        <v>0</v>
      </c>
      <c r="BB238" s="40">
        <f t="shared" si="38"/>
        <v>0</v>
      </c>
      <c r="BC238" s="40">
        <f t="shared" si="38"/>
        <v>0</v>
      </c>
      <c r="BD238" s="40">
        <f t="shared" si="38"/>
        <v>0</v>
      </c>
      <c r="BE238" s="40">
        <f t="shared" si="38"/>
        <v>0</v>
      </c>
      <c r="BF238" s="40">
        <f t="shared" si="38"/>
        <v>0</v>
      </c>
      <c r="BG238" s="40">
        <f t="shared" si="38"/>
        <v>0</v>
      </c>
      <c r="BH238" s="40">
        <f t="shared" si="38"/>
        <v>0</v>
      </c>
      <c r="BI238" s="40">
        <f t="shared" si="38"/>
        <v>0</v>
      </c>
      <c r="BJ238" s="40">
        <f t="shared" si="38"/>
        <v>0</v>
      </c>
      <c r="BK238" s="40">
        <f t="shared" si="38"/>
        <v>0</v>
      </c>
      <c r="BL238" s="62">
        <f>BL239</f>
        <v>0</v>
      </c>
      <c r="BM238" s="275">
        <f>BM239</f>
        <v>2</v>
      </c>
      <c r="BN238" s="62">
        <v>0</v>
      </c>
      <c r="BO238" s="33" t="str">
        <f>BO239</f>
        <v>TNO 2020 R10987 LCA Achtergrondrapport voor brancherepresentatieve Nederlandse asfaltmengsels 2020</v>
      </c>
    </row>
    <row r="239" spans="1:67">
      <c r="A239" s="33" t="str">
        <f>Database_Productkaarten[[#This Row],[Product]]&amp;", "&amp;Database_Productkaarten[[#This Row],[Levensfase]]</f>
        <v>WB asfaltbeton - PCR 1.0, D1</v>
      </c>
      <c r="B239" s="33" t="s">
        <v>505</v>
      </c>
      <c r="C239" s="33" t="s">
        <v>483</v>
      </c>
      <c r="D239" s="33" t="s">
        <v>506</v>
      </c>
      <c r="E239" s="33" t="s">
        <v>378</v>
      </c>
      <c r="F239" s="33" t="s">
        <v>87</v>
      </c>
      <c r="L239" s="33">
        <v>2.35</v>
      </c>
      <c r="M239" s="269">
        <v>1</v>
      </c>
      <c r="N239" s="41">
        <v>0</v>
      </c>
      <c r="O239" s="33">
        <v>55</v>
      </c>
      <c r="P239" s="40">
        <v>0</v>
      </c>
      <c r="Q239" s="40">
        <v>0</v>
      </c>
      <c r="R239" s="40">
        <v>0</v>
      </c>
      <c r="S239" s="40">
        <v>0</v>
      </c>
      <c r="T239" s="40">
        <v>0</v>
      </c>
      <c r="U239" s="40">
        <v>0</v>
      </c>
      <c r="V239" s="40">
        <v>0</v>
      </c>
      <c r="W239" s="40">
        <v>0</v>
      </c>
      <c r="X239" s="40">
        <v>0</v>
      </c>
      <c r="Y239" s="40">
        <v>0</v>
      </c>
      <c r="Z239" s="40">
        <v>0</v>
      </c>
      <c r="AA239" s="40"/>
      <c r="AB239" s="40"/>
      <c r="AC239" s="40"/>
      <c r="AD239" s="40"/>
      <c r="AE239" s="40"/>
      <c r="AF239" s="40"/>
      <c r="AG239" s="40"/>
      <c r="AH239" s="40"/>
      <c r="AI239" s="40"/>
      <c r="AJ239" s="40"/>
      <c r="AK239" s="40"/>
      <c r="AL239" s="40"/>
      <c r="AM239" s="40"/>
      <c r="AN239" s="40"/>
      <c r="AO239" s="40"/>
      <c r="AP239" s="40"/>
      <c r="AQ239" s="40"/>
      <c r="AR239" s="40"/>
      <c r="AS239" s="40"/>
      <c r="AT239" s="40"/>
      <c r="AU239" s="40"/>
      <c r="AV239" s="313">
        <v>0</v>
      </c>
      <c r="AW239" s="317"/>
      <c r="AX239" s="317"/>
      <c r="AY239" s="313">
        <v>0</v>
      </c>
      <c r="AZ239" s="40"/>
      <c r="BA239" s="40"/>
      <c r="BB239" s="40"/>
      <c r="BC239" s="40">
        <v>0</v>
      </c>
      <c r="BD239" s="40">
        <v>0</v>
      </c>
      <c r="BE239" s="40">
        <v>0</v>
      </c>
      <c r="BF239" s="40">
        <v>0</v>
      </c>
      <c r="BG239" s="40"/>
      <c r="BH239" s="40"/>
      <c r="BI239" s="40"/>
      <c r="BJ239" s="40"/>
      <c r="BK239" s="40"/>
      <c r="BL239" s="62">
        <v>0</v>
      </c>
      <c r="BM239" s="275">
        <v>2</v>
      </c>
      <c r="BN239" s="62">
        <v>0</v>
      </c>
      <c r="BO239" s="33" t="s">
        <v>485</v>
      </c>
    </row>
    <row r="240" spans="1:67">
      <c r="A240" s="33" t="str">
        <f>Database_Productkaarten[[#This Row],[Product]]&amp;", "&amp;Database_Productkaarten[[#This Row],[Levensfase]]</f>
        <v>WB asfaltbeton - PCR 1.0, D2</v>
      </c>
      <c r="B240" s="33" t="s">
        <v>505</v>
      </c>
      <c r="C240" s="33" t="s">
        <v>483</v>
      </c>
      <c r="D240" s="33" t="s">
        <v>506</v>
      </c>
      <c r="E240" s="33" t="s">
        <v>378</v>
      </c>
      <c r="F240" s="33" t="s">
        <v>88</v>
      </c>
      <c r="L240" s="33">
        <v>2.35</v>
      </c>
      <c r="M240" s="269">
        <v>1</v>
      </c>
      <c r="N240" s="41">
        <v>0</v>
      </c>
      <c r="O240" s="33">
        <v>55</v>
      </c>
      <c r="P240" s="40">
        <v>0</v>
      </c>
      <c r="Q240" s="40">
        <v>0</v>
      </c>
      <c r="R240" s="40">
        <v>0</v>
      </c>
      <c r="S240" s="40">
        <v>0</v>
      </c>
      <c r="T240" s="40">
        <v>0</v>
      </c>
      <c r="U240" s="40">
        <v>0</v>
      </c>
      <c r="V240" s="40">
        <v>0</v>
      </c>
      <c r="W240" s="40">
        <v>0</v>
      </c>
      <c r="X240" s="40">
        <v>0</v>
      </c>
      <c r="Y240" s="40">
        <v>0</v>
      </c>
      <c r="Z240" s="40">
        <v>0</v>
      </c>
      <c r="AA240" s="40"/>
      <c r="AB240" s="40"/>
      <c r="AC240" s="40"/>
      <c r="AD240" s="40"/>
      <c r="AE240" s="40"/>
      <c r="AF240" s="40"/>
      <c r="AG240" s="40"/>
      <c r="AH240" s="40"/>
      <c r="AI240" s="40"/>
      <c r="AJ240" s="40"/>
      <c r="AK240" s="40"/>
      <c r="AL240" s="40"/>
      <c r="AM240" s="40"/>
      <c r="AN240" s="40"/>
      <c r="AO240" s="40"/>
      <c r="AP240" s="40"/>
      <c r="AQ240" s="40"/>
      <c r="AR240" s="40"/>
      <c r="AS240" s="40"/>
      <c r="AT240" s="40"/>
      <c r="AU240" s="40"/>
      <c r="AV240" s="313">
        <v>0</v>
      </c>
      <c r="AW240" s="317"/>
      <c r="AX240" s="317"/>
      <c r="AY240" s="313">
        <v>0</v>
      </c>
      <c r="AZ240" s="40"/>
      <c r="BA240" s="40"/>
      <c r="BB240" s="40"/>
      <c r="BC240" s="40">
        <v>0</v>
      </c>
      <c r="BD240" s="40">
        <v>0</v>
      </c>
      <c r="BE240" s="40">
        <v>0</v>
      </c>
      <c r="BF240" s="40">
        <v>0</v>
      </c>
      <c r="BG240" s="40"/>
      <c r="BH240" s="40"/>
      <c r="BI240" s="40"/>
      <c r="BJ240" s="40"/>
      <c r="BK240" s="40"/>
      <c r="BL240" s="62">
        <v>0</v>
      </c>
      <c r="BM240" s="275">
        <v>2</v>
      </c>
      <c r="BN240" s="62">
        <v>0</v>
      </c>
      <c r="BO240" s="33" t="s">
        <v>485</v>
      </c>
    </row>
    <row r="241" spans="1:67">
      <c r="A241" s="33" t="str">
        <f>Database_Productkaarten[[#This Row],[Product]]&amp;", "&amp;Database_Productkaarten[[#This Row],[Levensfase]]</f>
        <v>WB asfaltmastiek - PCR 1.0, Totaal</v>
      </c>
      <c r="B241" s="33" t="s">
        <v>507</v>
      </c>
      <c r="C241" s="33" t="s">
        <v>483</v>
      </c>
      <c r="D241" s="33" t="s">
        <v>508</v>
      </c>
      <c r="E241" s="33" t="s">
        <v>378</v>
      </c>
      <c r="F241" s="33" t="s">
        <v>90</v>
      </c>
      <c r="L241" s="33">
        <v>2</v>
      </c>
      <c r="M241" s="269">
        <v>1</v>
      </c>
      <c r="N241" s="41">
        <v>24.416229473937971</v>
      </c>
      <c r="O241" s="33">
        <v>75</v>
      </c>
      <c r="P241" s="40">
        <v>1.3368720138251538E-4</v>
      </c>
      <c r="Q241" s="40">
        <v>4.1091821002163238</v>
      </c>
      <c r="R241" s="40">
        <v>199.68733514152768</v>
      </c>
      <c r="S241" s="40">
        <v>2.2001738707974861E-5</v>
      </c>
      <c r="T241" s="40">
        <v>0.4085090969786207</v>
      </c>
      <c r="U241" s="40">
        <v>1.1348193560753337</v>
      </c>
      <c r="V241" s="40">
        <v>0.11017117423784549</v>
      </c>
      <c r="W241" s="40">
        <v>49.752742626133859</v>
      </c>
      <c r="X241" s="40">
        <v>6.350812872166518</v>
      </c>
      <c r="Y241" s="40">
        <v>27094.543895406019</v>
      </c>
      <c r="Z241" s="40">
        <v>0.80134265603671406</v>
      </c>
      <c r="AA241" s="40"/>
      <c r="AB241" s="40"/>
      <c r="AC241" s="40"/>
      <c r="AD241" s="40"/>
      <c r="AE241" s="40"/>
      <c r="AF241" s="40"/>
      <c r="AG241" s="40"/>
      <c r="AH241" s="40"/>
      <c r="AI241" s="40"/>
      <c r="AJ241" s="40"/>
      <c r="AK241" s="40"/>
      <c r="AL241" s="40"/>
      <c r="AM241" s="40"/>
      <c r="AN241" s="40"/>
      <c r="AO241" s="40"/>
      <c r="AP241" s="40"/>
      <c r="AQ241" s="40"/>
      <c r="AR241" s="40"/>
      <c r="AS241" s="40"/>
      <c r="AT241" s="40"/>
      <c r="AU241" s="40"/>
      <c r="AV241" s="313">
        <v>48.120639836920809</v>
      </c>
      <c r="AW241" s="317"/>
      <c r="AX241" s="317"/>
      <c r="AY241" s="313">
        <v>8807.8487794964094</v>
      </c>
      <c r="AZ241" s="40"/>
      <c r="BA241" s="40"/>
      <c r="BB241" s="40"/>
      <c r="BC241" s="40">
        <v>88.524939101292048</v>
      </c>
      <c r="BD241" s="40">
        <v>3.532049471796746E-3</v>
      </c>
      <c r="BE241" s="40">
        <v>1018.2637720163679</v>
      </c>
      <c r="BF241" s="40">
        <v>4.5873582099264639E-3</v>
      </c>
      <c r="BG241" s="40"/>
      <c r="BH241" s="40"/>
      <c r="BI241" s="40"/>
      <c r="BJ241" s="40"/>
      <c r="BK241" s="40"/>
      <c r="BL241" s="62">
        <v>0</v>
      </c>
      <c r="BM241" s="275">
        <v>2</v>
      </c>
      <c r="BN241" s="62">
        <v>0</v>
      </c>
      <c r="BO241" s="33" t="s">
        <v>485</v>
      </c>
    </row>
    <row r="242" spans="1:67">
      <c r="A242" s="33" t="str">
        <f>Database_Productkaarten[[#This Row],[Product]]&amp;", "&amp;Database_Productkaarten[[#This Row],[Levensfase]]</f>
        <v>WB asfaltmastiek - PCR 1.0, A1</v>
      </c>
      <c r="B242" s="33" t="s">
        <v>507</v>
      </c>
      <c r="C242" s="33" t="s">
        <v>483</v>
      </c>
      <c r="D242" s="33" t="s">
        <v>508</v>
      </c>
      <c r="E242" s="33" t="s">
        <v>378</v>
      </c>
      <c r="F242" s="33" t="s">
        <v>74</v>
      </c>
      <c r="L242" s="33">
        <v>2</v>
      </c>
      <c r="M242" s="269">
        <v>1</v>
      </c>
      <c r="N242" s="41">
        <v>17.446452162</v>
      </c>
      <c r="O242" s="33">
        <v>75</v>
      </c>
      <c r="P242" s="40">
        <v>5.15245856E-5</v>
      </c>
      <c r="Q242" s="40">
        <v>3.5417456402999998</v>
      </c>
      <c r="R242" s="40">
        <v>130.451196071</v>
      </c>
      <c r="S242" s="40">
        <v>1.0286941629999999E-5</v>
      </c>
      <c r="T242" s="40">
        <v>0.37579146532000007</v>
      </c>
      <c r="U242" s="40">
        <v>0.90629876450000013</v>
      </c>
      <c r="V242" s="40">
        <v>6.4099363600000014E-2</v>
      </c>
      <c r="W242" s="40">
        <v>30.352500867</v>
      </c>
      <c r="X242" s="40">
        <v>5.6023758160999995</v>
      </c>
      <c r="Y242" s="40">
        <v>24622.141629697999</v>
      </c>
      <c r="Z242" s="40">
        <v>0.68583964489999993</v>
      </c>
      <c r="AA242" s="40"/>
      <c r="AB242" s="40"/>
      <c r="AC242" s="40"/>
      <c r="AD242" s="40"/>
      <c r="AE242" s="40"/>
      <c r="AF242" s="40"/>
      <c r="AG242" s="40"/>
      <c r="AH242" s="40"/>
      <c r="AI242" s="40"/>
      <c r="AJ242" s="40"/>
      <c r="AK242" s="40"/>
      <c r="AL242" s="40"/>
      <c r="AM242" s="40"/>
      <c r="AN242" s="40"/>
      <c r="AO242" s="40"/>
      <c r="AP242" s="40"/>
      <c r="AQ242" s="40"/>
      <c r="AR242" s="40"/>
      <c r="AS242" s="40"/>
      <c r="AT242" s="40"/>
      <c r="AU242" s="40"/>
      <c r="AV242" s="313">
        <v>31.535732208000002</v>
      </c>
      <c r="AW242" s="317"/>
      <c r="AX242" s="317"/>
      <c r="AY242" s="313">
        <v>7986.5673194200008</v>
      </c>
      <c r="AZ242" s="40"/>
      <c r="BA242" s="40"/>
      <c r="BB242" s="40"/>
      <c r="BC242" s="40">
        <v>88.231997875700003</v>
      </c>
      <c r="BD242" s="40">
        <v>2.6293565809999996E-3</v>
      </c>
      <c r="BE242" s="40">
        <v>6.7752380960000007</v>
      </c>
      <c r="BF242" s="40">
        <v>1.6508964460000002E-3</v>
      </c>
      <c r="BG242" s="40"/>
      <c r="BH242" s="40"/>
      <c r="BI242" s="40"/>
      <c r="BJ242" s="40"/>
      <c r="BK242" s="40"/>
      <c r="BL242" s="62">
        <v>0</v>
      </c>
      <c r="BM242" s="275">
        <v>2</v>
      </c>
      <c r="BN242" s="62">
        <v>0</v>
      </c>
      <c r="BO242" s="33" t="s">
        <v>485</v>
      </c>
    </row>
    <row r="243" spans="1:67">
      <c r="A243" s="33" t="str">
        <f>Database_Productkaarten[[#This Row],[Product]]&amp;", "&amp;Database_Productkaarten[[#This Row],[Levensfase]]</f>
        <v>WB asfaltmastiek - PCR 1.0, A2</v>
      </c>
      <c r="B243" s="33" t="s">
        <v>507</v>
      </c>
      <c r="C243" s="33" t="s">
        <v>483</v>
      </c>
      <c r="D243" s="33" t="s">
        <v>508</v>
      </c>
      <c r="E243" s="33" t="s">
        <v>378</v>
      </c>
      <c r="F243" s="33" t="s">
        <v>75</v>
      </c>
      <c r="L243" s="33">
        <v>2</v>
      </c>
      <c r="M243" s="269">
        <v>1</v>
      </c>
      <c r="N243" s="41">
        <v>1.3722165765000001</v>
      </c>
      <c r="O243" s="33">
        <v>75</v>
      </c>
      <c r="P243" s="40">
        <v>2.13777068087E-5</v>
      </c>
      <c r="Q243" s="40">
        <v>8.0761020741900016E-2</v>
      </c>
      <c r="R243" s="40">
        <v>11.502229900500001</v>
      </c>
      <c r="S243" s="40">
        <v>1.9744497757100003E-6</v>
      </c>
      <c r="T243" s="40">
        <v>6.8208052318000003E-3</v>
      </c>
      <c r="U243" s="40">
        <v>6.4765183265399998E-2</v>
      </c>
      <c r="V243" s="40">
        <v>1.3855539101799999E-2</v>
      </c>
      <c r="W243" s="40">
        <v>3.8442524109999998</v>
      </c>
      <c r="X243" s="40">
        <v>0.10727724576200003</v>
      </c>
      <c r="Y243" s="40">
        <v>366.11202554300002</v>
      </c>
      <c r="Z243" s="40">
        <v>1.4992973350300002E-2</v>
      </c>
      <c r="AA243" s="40"/>
      <c r="AB243" s="40"/>
      <c r="AC243" s="40"/>
      <c r="AD243" s="40"/>
      <c r="AE243" s="40"/>
      <c r="AF243" s="40"/>
      <c r="AG243" s="40"/>
      <c r="AH243" s="40"/>
      <c r="AI243" s="40"/>
      <c r="AJ243" s="40"/>
      <c r="AK243" s="40"/>
      <c r="AL243" s="40"/>
      <c r="AM243" s="40"/>
      <c r="AN243" s="40"/>
      <c r="AO243" s="40"/>
      <c r="AP243" s="40"/>
      <c r="AQ243" s="40"/>
      <c r="AR243" s="40"/>
      <c r="AS243" s="40"/>
      <c r="AT243" s="40"/>
      <c r="AU243" s="40"/>
      <c r="AV243" s="313">
        <v>2.5530900089999999</v>
      </c>
      <c r="AW243" s="317"/>
      <c r="AX243" s="317"/>
      <c r="AY243" s="313">
        <v>179.20770935350001</v>
      </c>
      <c r="AZ243" s="40"/>
      <c r="BA243" s="40"/>
      <c r="BB243" s="40"/>
      <c r="BC243" s="40">
        <v>3.5129850566700004E-2</v>
      </c>
      <c r="BD243" s="40">
        <v>1.16289972922E-4</v>
      </c>
      <c r="BE243" s="40">
        <v>6.3945739330000002</v>
      </c>
      <c r="BF243" s="40">
        <v>1.1270505799700003E-3</v>
      </c>
      <c r="BG243" s="40"/>
      <c r="BH243" s="40"/>
      <c r="BI243" s="40"/>
      <c r="BJ243" s="40"/>
      <c r="BK243" s="40"/>
      <c r="BL243" s="62">
        <v>0</v>
      </c>
      <c r="BM243" s="275">
        <v>2</v>
      </c>
      <c r="BN243" s="62">
        <v>0</v>
      </c>
      <c r="BO243" s="33" t="s">
        <v>485</v>
      </c>
    </row>
    <row r="244" spans="1:67">
      <c r="A244" s="33" t="str">
        <f>Database_Productkaarten[[#This Row],[Product]]&amp;", "&amp;Database_Productkaarten[[#This Row],[Levensfase]]</f>
        <v>WB asfaltmastiek - PCR 1.0, A3</v>
      </c>
      <c r="B244" s="33" t="s">
        <v>507</v>
      </c>
      <c r="C244" s="33" t="s">
        <v>483</v>
      </c>
      <c r="D244" s="33" t="s">
        <v>508</v>
      </c>
      <c r="E244" s="33" t="s">
        <v>378</v>
      </c>
      <c r="F244" s="33" t="s">
        <v>76</v>
      </c>
      <c r="L244" s="33">
        <v>2</v>
      </c>
      <c r="M244" s="269">
        <v>1</v>
      </c>
      <c r="N244" s="41">
        <v>1.8840506824379588</v>
      </c>
      <c r="O244" s="33">
        <v>75</v>
      </c>
      <c r="P244" s="40">
        <v>8.2531918138153504E-6</v>
      </c>
      <c r="Q244" s="40">
        <v>0.21305680047442438</v>
      </c>
      <c r="R244" s="40">
        <v>25.565351090027654</v>
      </c>
      <c r="S244" s="40">
        <v>2.6815808922648596E-6</v>
      </c>
      <c r="T244" s="40">
        <v>4.1337047168207054E-3</v>
      </c>
      <c r="U244" s="40">
        <v>3.4041652409933579E-2</v>
      </c>
      <c r="V244" s="40">
        <v>6.6799217460454642E-3</v>
      </c>
      <c r="W244" s="40">
        <v>3.8796539081338635</v>
      </c>
      <c r="X244" s="40">
        <v>3.4655915841190439E-2</v>
      </c>
      <c r="Y244" s="40">
        <v>142.62472216501862</v>
      </c>
      <c r="Z244" s="40">
        <v>4.3130520326414054E-2</v>
      </c>
      <c r="AA244" s="40"/>
      <c r="AB244" s="40"/>
      <c r="AC244" s="40"/>
      <c r="AD244" s="40"/>
      <c r="AE244" s="40"/>
      <c r="AF244" s="40"/>
      <c r="AG244" s="40"/>
      <c r="AH244" s="40"/>
      <c r="AI244" s="40"/>
      <c r="AJ244" s="40"/>
      <c r="AK244" s="40"/>
      <c r="AL244" s="40"/>
      <c r="AM244" s="40"/>
      <c r="AN244" s="40"/>
      <c r="AO244" s="40"/>
      <c r="AP244" s="40"/>
      <c r="AQ244" s="40"/>
      <c r="AR244" s="40"/>
      <c r="AS244" s="40"/>
      <c r="AT244" s="40"/>
      <c r="AU244" s="40"/>
      <c r="AV244" s="313">
        <v>12.502163167920823</v>
      </c>
      <c r="AW244" s="317"/>
      <c r="AX244" s="317"/>
      <c r="AY244" s="313">
        <v>433.01774872290775</v>
      </c>
      <c r="AZ244" s="40"/>
      <c r="BA244" s="40"/>
      <c r="BB244" s="40"/>
      <c r="BC244" s="40">
        <v>8.4801836525380009E-2</v>
      </c>
      <c r="BD244" s="40">
        <v>6.6225373247474635E-4</v>
      </c>
      <c r="BE244" s="40">
        <v>0.39848541536784388</v>
      </c>
      <c r="BF244" s="40">
        <v>4.964737649564634E-4</v>
      </c>
      <c r="BG244" s="40"/>
      <c r="BH244" s="40"/>
      <c r="BI244" s="40"/>
      <c r="BJ244" s="40"/>
      <c r="BK244" s="40"/>
      <c r="BL244" s="62">
        <v>0</v>
      </c>
      <c r="BM244" s="275">
        <v>2</v>
      </c>
      <c r="BN244" s="62">
        <v>0</v>
      </c>
      <c r="BO244" s="33" t="s">
        <v>485</v>
      </c>
    </row>
    <row r="245" spans="1:67">
      <c r="A245" s="33" t="str">
        <f>Database_Productkaarten[[#This Row],[Product]]&amp;", "&amp;Database_Productkaarten[[#This Row],[Levensfase]]</f>
        <v>WB asfaltmastiek - PCR 1.0, A1-A3</v>
      </c>
      <c r="B245" s="33" t="str">
        <f>B244</f>
        <v>WB asfaltmastiek - PCR 1.0</v>
      </c>
      <c r="C245" s="33" t="str">
        <f>C244</f>
        <v>Bitumineuze verhardingen</v>
      </c>
      <c r="D245" s="33" t="str">
        <f>D244</f>
        <v>Asfaltmastiek</v>
      </c>
      <c r="E245" s="33" t="str">
        <f>E244</f>
        <v>Ton</v>
      </c>
      <c r="F245" s="33" t="s">
        <v>77</v>
      </c>
      <c r="L245" s="33">
        <f>L244</f>
        <v>2</v>
      </c>
      <c r="M245" s="45">
        <f>M244</f>
        <v>1</v>
      </c>
      <c r="N245" s="252">
        <f>SUM(N242:N244)</f>
        <v>20.70271942093796</v>
      </c>
      <c r="O245" s="33">
        <f>O244</f>
        <v>75</v>
      </c>
      <c r="P245" s="40">
        <f>SUM(P242:P244)</f>
        <v>8.1155484222515347E-5</v>
      </c>
      <c r="Q245" s="40">
        <f t="shared" ref="Q245:BK245" si="39">SUM(Q242:Q244)</f>
        <v>3.8355634615163243</v>
      </c>
      <c r="R245" s="40">
        <f t="shared" si="39"/>
        <v>167.51877706152766</v>
      </c>
      <c r="S245" s="40">
        <f t="shared" si="39"/>
        <v>1.4942972297974858E-5</v>
      </c>
      <c r="T245" s="40">
        <f t="shared" si="39"/>
        <v>0.38674597526862081</v>
      </c>
      <c r="U245" s="40">
        <f t="shared" si="39"/>
        <v>1.0051056001753338</v>
      </c>
      <c r="V245" s="40">
        <f t="shared" si="39"/>
        <v>8.463482444784548E-2</v>
      </c>
      <c r="W245" s="40">
        <f t="shared" si="39"/>
        <v>38.076407186133864</v>
      </c>
      <c r="X245" s="40">
        <f t="shared" si="39"/>
        <v>5.7443089777031897</v>
      </c>
      <c r="Y245" s="40">
        <f t="shared" si="39"/>
        <v>25130.878377406018</v>
      </c>
      <c r="Z245" s="40">
        <f t="shared" si="39"/>
        <v>0.74396313857671403</v>
      </c>
      <c r="AA245" s="40">
        <f t="shared" si="39"/>
        <v>0</v>
      </c>
      <c r="AB245" s="40">
        <f t="shared" si="39"/>
        <v>0</v>
      </c>
      <c r="AC245" s="40">
        <f t="shared" si="39"/>
        <v>0</v>
      </c>
      <c r="AD245" s="40">
        <f t="shared" si="39"/>
        <v>0</v>
      </c>
      <c r="AE245" s="40">
        <f t="shared" si="39"/>
        <v>0</v>
      </c>
      <c r="AF245" s="40">
        <f t="shared" si="39"/>
        <v>0</v>
      </c>
      <c r="AG245" s="40">
        <f t="shared" si="39"/>
        <v>0</v>
      </c>
      <c r="AH245" s="40">
        <f t="shared" si="39"/>
        <v>0</v>
      </c>
      <c r="AI245" s="40">
        <f t="shared" si="39"/>
        <v>0</v>
      </c>
      <c r="AJ245" s="40">
        <f t="shared" si="39"/>
        <v>0</v>
      </c>
      <c r="AK245" s="40">
        <f t="shared" si="39"/>
        <v>0</v>
      </c>
      <c r="AL245" s="40">
        <f t="shared" si="39"/>
        <v>0</v>
      </c>
      <c r="AM245" s="40">
        <f t="shared" si="39"/>
        <v>0</v>
      </c>
      <c r="AN245" s="40">
        <f t="shared" si="39"/>
        <v>0</v>
      </c>
      <c r="AO245" s="40">
        <f t="shared" si="39"/>
        <v>0</v>
      </c>
      <c r="AP245" s="40">
        <f t="shared" si="39"/>
        <v>0</v>
      </c>
      <c r="AQ245" s="40">
        <f t="shared" si="39"/>
        <v>0</v>
      </c>
      <c r="AR245" s="40">
        <f t="shared" si="39"/>
        <v>0</v>
      </c>
      <c r="AS245" s="40">
        <f t="shared" si="39"/>
        <v>0</v>
      </c>
      <c r="AT245" s="40">
        <f t="shared" si="39"/>
        <v>0</v>
      </c>
      <c r="AU245" s="40">
        <f t="shared" si="39"/>
        <v>0</v>
      </c>
      <c r="AV245" s="317">
        <f t="shared" si="39"/>
        <v>46.590985384920828</v>
      </c>
      <c r="AW245" s="317">
        <f t="shared" si="39"/>
        <v>0</v>
      </c>
      <c r="AX245" s="317">
        <f t="shared" si="39"/>
        <v>0</v>
      </c>
      <c r="AY245" s="317">
        <f t="shared" si="39"/>
        <v>8598.7927774964082</v>
      </c>
      <c r="AZ245" s="40">
        <f t="shared" si="39"/>
        <v>0</v>
      </c>
      <c r="BA245" s="40">
        <f t="shared" si="39"/>
        <v>0</v>
      </c>
      <c r="BB245" s="40">
        <f t="shared" si="39"/>
        <v>0</v>
      </c>
      <c r="BC245" s="40">
        <f t="shared" si="39"/>
        <v>88.351929562792094</v>
      </c>
      <c r="BD245" s="40">
        <f t="shared" si="39"/>
        <v>3.4079002863967459E-3</v>
      </c>
      <c r="BE245" s="40">
        <f t="shared" si="39"/>
        <v>13.568297444367845</v>
      </c>
      <c r="BF245" s="40">
        <f t="shared" si="39"/>
        <v>3.2744207909264642E-3</v>
      </c>
      <c r="BG245" s="40">
        <f t="shared" si="39"/>
        <v>0</v>
      </c>
      <c r="BH245" s="40">
        <f t="shared" si="39"/>
        <v>0</v>
      </c>
      <c r="BI245" s="40">
        <f t="shared" si="39"/>
        <v>0</v>
      </c>
      <c r="BJ245" s="40">
        <f t="shared" si="39"/>
        <v>0</v>
      </c>
      <c r="BK245" s="40">
        <f t="shared" si="39"/>
        <v>0</v>
      </c>
      <c r="BL245" s="62">
        <f>BL244</f>
        <v>0</v>
      </c>
      <c r="BM245" s="275">
        <f>BM244</f>
        <v>2</v>
      </c>
      <c r="BN245" s="62">
        <v>0</v>
      </c>
      <c r="BO245" s="33" t="str">
        <f>BO244</f>
        <v>TNO 2020 R10987 LCA Achtergrondrapport voor brancherepresentatieve Nederlandse asfaltmengsels 2020</v>
      </c>
    </row>
    <row r="246" spans="1:67">
      <c r="A246" s="33" t="str">
        <f>Database_Productkaarten[[#This Row],[Product]]&amp;", "&amp;Database_Productkaarten[[#This Row],[Levensfase]]</f>
        <v>WB asfaltmastiek - PCR 1.0, A4</v>
      </c>
      <c r="B246" s="33" t="s">
        <v>507</v>
      </c>
      <c r="C246" s="33" t="s">
        <v>483</v>
      </c>
      <c r="D246" s="33" t="s">
        <v>508</v>
      </c>
      <c r="E246" s="33" t="s">
        <v>378</v>
      </c>
      <c r="F246" s="33" t="s">
        <v>78</v>
      </c>
      <c r="L246" s="33">
        <v>2</v>
      </c>
      <c r="M246" s="269">
        <v>1</v>
      </c>
      <c r="N246" s="41">
        <v>1.6606953</v>
      </c>
      <c r="O246" s="33">
        <v>75</v>
      </c>
      <c r="P246" s="40">
        <v>2.8988548999999999E-5</v>
      </c>
      <c r="Q246" s="40">
        <v>0.11402762</v>
      </c>
      <c r="R246" s="40">
        <v>15.056606</v>
      </c>
      <c r="S246" s="40">
        <v>2.9931267000000001E-6</v>
      </c>
      <c r="T246" s="40">
        <v>9.4406217000000004E-3</v>
      </c>
      <c r="U246" s="40">
        <v>5.0569076999999997E-2</v>
      </c>
      <c r="V246" s="40">
        <v>1.0040207000000001E-2</v>
      </c>
      <c r="W246" s="40">
        <v>5.2940737000000002</v>
      </c>
      <c r="X246" s="40">
        <v>0.34132685000000001</v>
      </c>
      <c r="Y246" s="40">
        <v>894.16313000000002</v>
      </c>
      <c r="Z246" s="40">
        <v>3.1400611000000002E-2</v>
      </c>
      <c r="AA246" s="40"/>
      <c r="AB246" s="40"/>
      <c r="AC246" s="40"/>
      <c r="AD246" s="40"/>
      <c r="AE246" s="40"/>
      <c r="AF246" s="40"/>
      <c r="AG246" s="40"/>
      <c r="AH246" s="40"/>
      <c r="AI246" s="40"/>
      <c r="AJ246" s="40"/>
      <c r="AK246" s="40"/>
      <c r="AL246" s="40"/>
      <c r="AM246" s="40"/>
      <c r="AN246" s="40"/>
      <c r="AO246" s="40"/>
      <c r="AP246" s="40"/>
      <c r="AQ246" s="40"/>
      <c r="AR246" s="40"/>
      <c r="AS246" s="40"/>
      <c r="AT246" s="40"/>
      <c r="AU246" s="40"/>
      <c r="AV246" s="313">
        <v>0</v>
      </c>
      <c r="AW246" s="317"/>
      <c r="AX246" s="317"/>
      <c r="AY246" s="313">
        <v>0</v>
      </c>
      <c r="AZ246" s="40"/>
      <c r="BA246" s="40"/>
      <c r="BB246" s="40"/>
      <c r="BC246" s="40">
        <v>0</v>
      </c>
      <c r="BD246" s="40">
        <v>0</v>
      </c>
      <c r="BE246" s="40">
        <v>0</v>
      </c>
      <c r="BF246" s="40">
        <v>0</v>
      </c>
      <c r="BG246" s="40"/>
      <c r="BH246" s="40"/>
      <c r="BI246" s="40"/>
      <c r="BJ246" s="40"/>
      <c r="BK246" s="40"/>
      <c r="BL246" s="62">
        <v>0</v>
      </c>
      <c r="BM246" s="275">
        <v>2</v>
      </c>
      <c r="BN246" s="62">
        <v>0</v>
      </c>
      <c r="BO246" s="33" t="s">
        <v>485</v>
      </c>
    </row>
    <row r="247" spans="1:67">
      <c r="A247" s="33" t="str">
        <f>Database_Productkaarten[[#This Row],[Product]]&amp;", "&amp;Database_Productkaarten[[#This Row],[Levensfase]]</f>
        <v>WB asfaltmastiek - PCR 1.0, A5</v>
      </c>
      <c r="B247" s="33" t="s">
        <v>507</v>
      </c>
      <c r="C247" s="33" t="s">
        <v>483</v>
      </c>
      <c r="D247" s="33" t="s">
        <v>508</v>
      </c>
      <c r="E247" s="33" t="s">
        <v>378</v>
      </c>
      <c r="F247" s="33" t="s">
        <v>79</v>
      </c>
      <c r="L247" s="33">
        <v>2</v>
      </c>
      <c r="M247" s="269">
        <v>1</v>
      </c>
      <c r="N247" s="41">
        <v>0.21041449000000001</v>
      </c>
      <c r="O247" s="33">
        <v>75</v>
      </c>
      <c r="P247" s="40">
        <v>5.5521790000000002E-7</v>
      </c>
      <c r="Q247" s="40">
        <v>1.1398007E-2</v>
      </c>
      <c r="R247" s="40">
        <v>2.2019112000000001</v>
      </c>
      <c r="S247" s="40">
        <v>2.9848207999999998E-7</v>
      </c>
      <c r="T247" s="40">
        <v>7.6816657999999999E-4</v>
      </c>
      <c r="U247" s="40">
        <v>7.0245098999999998E-3</v>
      </c>
      <c r="V247" s="40">
        <v>1.5085121999999999E-3</v>
      </c>
      <c r="W247" s="40">
        <v>0.57978304000000003</v>
      </c>
      <c r="X247" s="40">
        <v>8.2665138999999995E-3</v>
      </c>
      <c r="Y247" s="40">
        <v>27.878706000000001</v>
      </c>
      <c r="Z247" s="40">
        <v>9.8137887999999993E-4</v>
      </c>
      <c r="AA247" s="40"/>
      <c r="AB247" s="40"/>
      <c r="AC247" s="40"/>
      <c r="AD247" s="40"/>
      <c r="AE247" s="40"/>
      <c r="AF247" s="40"/>
      <c r="AG247" s="40"/>
      <c r="AH247" s="40"/>
      <c r="AI247" s="40"/>
      <c r="AJ247" s="40"/>
      <c r="AK247" s="40"/>
      <c r="AL247" s="40"/>
      <c r="AM247" s="40"/>
      <c r="AN247" s="40"/>
      <c r="AO247" s="40"/>
      <c r="AP247" s="40"/>
      <c r="AQ247" s="40"/>
      <c r="AR247" s="40"/>
      <c r="AS247" s="40"/>
      <c r="AT247" s="40"/>
      <c r="AU247" s="40"/>
      <c r="AV247" s="313">
        <v>0.13939961000000001</v>
      </c>
      <c r="AW247" s="317"/>
      <c r="AX247" s="317"/>
      <c r="AY247" s="313">
        <v>25.552444000000001</v>
      </c>
      <c r="AZ247" s="40"/>
      <c r="BA247" s="40"/>
      <c r="BB247" s="40"/>
      <c r="BC247" s="40">
        <v>3.1489918000000001E-3</v>
      </c>
      <c r="BD247" s="40">
        <v>1.0731710999999999E-5</v>
      </c>
      <c r="BE247" s="40">
        <v>2.5624694E-2</v>
      </c>
      <c r="BF247" s="40">
        <v>1.671473E-4</v>
      </c>
      <c r="BG247" s="40"/>
      <c r="BH247" s="40"/>
      <c r="BI247" s="40"/>
      <c r="BJ247" s="40"/>
      <c r="BK247" s="40"/>
      <c r="BL247" s="62">
        <v>0</v>
      </c>
      <c r="BM247" s="275">
        <v>2</v>
      </c>
      <c r="BN247" s="62">
        <v>0</v>
      </c>
      <c r="BO247" s="33" t="s">
        <v>485</v>
      </c>
    </row>
    <row r="248" spans="1:67">
      <c r="A248" s="33" t="str">
        <f>Database_Productkaarten[[#This Row],[Product]]&amp;", "&amp;Database_Productkaarten[[#This Row],[Levensfase]]</f>
        <v>WB asfaltmastiek - PCR 1.0, B1</v>
      </c>
      <c r="B248" s="33" t="s">
        <v>507</v>
      </c>
      <c r="C248" s="33" t="s">
        <v>483</v>
      </c>
      <c r="D248" s="33" t="s">
        <v>508</v>
      </c>
      <c r="E248" s="33" t="s">
        <v>378</v>
      </c>
      <c r="F248" s="33" t="s">
        <v>80</v>
      </c>
      <c r="L248" s="33">
        <v>2</v>
      </c>
      <c r="M248" s="269">
        <v>1</v>
      </c>
      <c r="N248" s="41">
        <v>4.9342986999999998E-2</v>
      </c>
      <c r="O248" s="33">
        <v>75</v>
      </c>
      <c r="P248" s="40">
        <v>0</v>
      </c>
      <c r="Q248" s="40">
        <v>0</v>
      </c>
      <c r="R248" s="40">
        <v>0</v>
      </c>
      <c r="S248" s="40">
        <v>0</v>
      </c>
      <c r="T248" s="40">
        <v>0</v>
      </c>
      <c r="U248" s="40">
        <v>0</v>
      </c>
      <c r="V248" s="40">
        <v>0</v>
      </c>
      <c r="W248" s="40">
        <v>0.19597698</v>
      </c>
      <c r="X248" s="40">
        <v>5.7996333000000002E-7</v>
      </c>
      <c r="Y248" s="40">
        <v>316.65771999999998</v>
      </c>
      <c r="Z248" s="40">
        <v>6.5449333000000001E-4</v>
      </c>
      <c r="AA248" s="40"/>
      <c r="AB248" s="40"/>
      <c r="AC248" s="40"/>
      <c r="AD248" s="40"/>
      <c r="AE248" s="40"/>
      <c r="AF248" s="40"/>
      <c r="AG248" s="40"/>
      <c r="AH248" s="40"/>
      <c r="AI248" s="40"/>
      <c r="AJ248" s="40"/>
      <c r="AK248" s="40"/>
      <c r="AL248" s="40"/>
      <c r="AM248" s="40"/>
      <c r="AN248" s="40"/>
      <c r="AO248" s="40"/>
      <c r="AP248" s="40"/>
      <c r="AQ248" s="40"/>
      <c r="AR248" s="40"/>
      <c r="AS248" s="40"/>
      <c r="AT248" s="40"/>
      <c r="AU248" s="40"/>
      <c r="AV248" s="313">
        <v>0</v>
      </c>
      <c r="AW248" s="317"/>
      <c r="AX248" s="317"/>
      <c r="AY248" s="313">
        <v>0</v>
      </c>
      <c r="AZ248" s="40"/>
      <c r="BA248" s="40"/>
      <c r="BB248" s="40"/>
      <c r="BC248" s="40">
        <v>0</v>
      </c>
      <c r="BD248" s="40">
        <v>0</v>
      </c>
      <c r="BE248" s="40">
        <v>0</v>
      </c>
      <c r="BF248" s="40">
        <v>0</v>
      </c>
      <c r="BG248" s="40"/>
      <c r="BH248" s="40"/>
      <c r="BI248" s="40"/>
      <c r="BJ248" s="40"/>
      <c r="BK248" s="40"/>
      <c r="BL248" s="62">
        <v>0</v>
      </c>
      <c r="BM248" s="275">
        <v>2</v>
      </c>
      <c r="BN248" s="62">
        <v>0</v>
      </c>
      <c r="BO248" s="33" t="s">
        <v>485</v>
      </c>
    </row>
    <row r="249" spans="1:67">
      <c r="A249" s="33" t="str">
        <f>Database_Productkaarten[[#This Row],[Product]]&amp;", "&amp;Database_Productkaarten[[#This Row],[Levensfase]]</f>
        <v>WB asfaltmastiek - PCR 1.0, C1</v>
      </c>
      <c r="B249" s="33" t="s">
        <v>507</v>
      </c>
      <c r="C249" s="33" t="s">
        <v>483</v>
      </c>
      <c r="D249" s="33" t="s">
        <v>508</v>
      </c>
      <c r="E249" s="33" t="s">
        <v>378</v>
      </c>
      <c r="F249" s="33" t="s">
        <v>83</v>
      </c>
      <c r="L249" s="33">
        <v>2</v>
      </c>
      <c r="M249" s="269">
        <v>1</v>
      </c>
      <c r="N249" s="41">
        <v>8.4165796000000001E-2</v>
      </c>
      <c r="O249" s="33">
        <v>75</v>
      </c>
      <c r="P249" s="40">
        <v>2.2208715999999999E-7</v>
      </c>
      <c r="Q249" s="40">
        <v>4.5592026999999999E-3</v>
      </c>
      <c r="R249" s="40">
        <v>0.88076447999999996</v>
      </c>
      <c r="S249" s="40">
        <v>1.1939283000000001E-7</v>
      </c>
      <c r="T249" s="40">
        <v>3.0726663000000003E-4</v>
      </c>
      <c r="U249" s="40">
        <v>2.8098039999999999E-3</v>
      </c>
      <c r="V249" s="40">
        <v>6.0340489000000001E-4</v>
      </c>
      <c r="W249" s="40">
        <v>0.23191322</v>
      </c>
      <c r="X249" s="40">
        <v>3.3066056E-3</v>
      </c>
      <c r="Y249" s="40">
        <v>11.151482</v>
      </c>
      <c r="Z249" s="40">
        <v>3.9255155000000001E-4</v>
      </c>
      <c r="AA249" s="40"/>
      <c r="AB249" s="40"/>
      <c r="AC249" s="40"/>
      <c r="AD249" s="40"/>
      <c r="AE249" s="40"/>
      <c r="AF249" s="40"/>
      <c r="AG249" s="40"/>
      <c r="AH249" s="40"/>
      <c r="AI249" s="40"/>
      <c r="AJ249" s="40"/>
      <c r="AK249" s="40"/>
      <c r="AL249" s="40"/>
      <c r="AM249" s="40"/>
      <c r="AN249" s="40"/>
      <c r="AO249" s="40"/>
      <c r="AP249" s="40"/>
      <c r="AQ249" s="40"/>
      <c r="AR249" s="40"/>
      <c r="AS249" s="40"/>
      <c r="AT249" s="40"/>
      <c r="AU249" s="40"/>
      <c r="AV249" s="313">
        <v>5.5759841999999997E-2</v>
      </c>
      <c r="AW249" s="317"/>
      <c r="AX249" s="317"/>
      <c r="AY249" s="313">
        <v>10.220978000000001</v>
      </c>
      <c r="AZ249" s="40"/>
      <c r="BA249" s="40"/>
      <c r="BB249" s="40"/>
      <c r="BC249" s="40">
        <v>1.2595967E-3</v>
      </c>
      <c r="BD249" s="40">
        <v>4.2926843999999997E-6</v>
      </c>
      <c r="BE249" s="40">
        <v>1.0249878E-2</v>
      </c>
      <c r="BF249" s="40">
        <v>6.6858919000000003E-5</v>
      </c>
      <c r="BG249" s="40"/>
      <c r="BH249" s="40"/>
      <c r="BI249" s="40"/>
      <c r="BJ249" s="40"/>
      <c r="BK249" s="40"/>
      <c r="BL249" s="62">
        <v>0</v>
      </c>
      <c r="BM249" s="275">
        <v>2</v>
      </c>
      <c r="BN249" s="62">
        <v>0</v>
      </c>
      <c r="BO249" s="33" t="s">
        <v>485</v>
      </c>
    </row>
    <row r="250" spans="1:67">
      <c r="A250" s="33" t="str">
        <f>Database_Productkaarten[[#This Row],[Product]]&amp;", "&amp;Database_Productkaarten[[#This Row],[Levensfase]]</f>
        <v>WB asfaltmastiek - PCR 1.0, C2</v>
      </c>
      <c r="B250" s="33" t="s">
        <v>507</v>
      </c>
      <c r="C250" s="33" t="s">
        <v>483</v>
      </c>
      <c r="D250" s="33" t="s">
        <v>508</v>
      </c>
      <c r="E250" s="33" t="s">
        <v>378</v>
      </c>
      <c r="F250" s="33" t="s">
        <v>84</v>
      </c>
      <c r="L250" s="33">
        <v>2</v>
      </c>
      <c r="M250" s="269">
        <v>1</v>
      </c>
      <c r="N250" s="41">
        <v>0.96188790000000002</v>
      </c>
      <c r="O250" s="33">
        <v>75</v>
      </c>
      <c r="P250" s="40">
        <v>1.6790396999999999E-5</v>
      </c>
      <c r="Q250" s="40">
        <v>6.6045701999999998E-2</v>
      </c>
      <c r="R250" s="40">
        <v>8.7209053999999995</v>
      </c>
      <c r="S250" s="40">
        <v>1.7336426999999999E-6</v>
      </c>
      <c r="T250" s="40">
        <v>5.4680828999999999E-3</v>
      </c>
      <c r="U250" s="40">
        <v>2.9290009999999998E-2</v>
      </c>
      <c r="V250" s="40">
        <v>5.8153672000000002E-3</v>
      </c>
      <c r="W250" s="40">
        <v>3.0663694000000001</v>
      </c>
      <c r="X250" s="40">
        <v>0.19769922000000001</v>
      </c>
      <c r="Y250" s="40">
        <v>517.90637000000004</v>
      </c>
      <c r="Z250" s="40">
        <v>1.8187483000000001E-2</v>
      </c>
      <c r="AA250" s="40"/>
      <c r="AB250" s="40"/>
      <c r="AC250" s="40"/>
      <c r="AD250" s="40"/>
      <c r="AE250" s="40"/>
      <c r="AF250" s="40"/>
      <c r="AG250" s="40"/>
      <c r="AH250" s="40"/>
      <c r="AI250" s="40"/>
      <c r="AJ250" s="40"/>
      <c r="AK250" s="40"/>
      <c r="AL250" s="40"/>
      <c r="AM250" s="40"/>
      <c r="AN250" s="40"/>
      <c r="AO250" s="40"/>
      <c r="AP250" s="40"/>
      <c r="AQ250" s="40"/>
      <c r="AR250" s="40"/>
      <c r="AS250" s="40"/>
      <c r="AT250" s="40"/>
      <c r="AU250" s="40"/>
      <c r="AV250" s="313">
        <v>0</v>
      </c>
      <c r="AW250" s="317"/>
      <c r="AX250" s="317"/>
      <c r="AY250" s="313">
        <v>0</v>
      </c>
      <c r="AZ250" s="40"/>
      <c r="BA250" s="40"/>
      <c r="BB250" s="40"/>
      <c r="BC250" s="40">
        <v>0</v>
      </c>
      <c r="BD250" s="40">
        <v>0</v>
      </c>
      <c r="BE250" s="40">
        <v>0</v>
      </c>
      <c r="BF250" s="40">
        <v>0</v>
      </c>
      <c r="BG250" s="40"/>
      <c r="BH250" s="40"/>
      <c r="BI250" s="40"/>
      <c r="BJ250" s="40"/>
      <c r="BK250" s="40"/>
      <c r="BL250" s="62">
        <v>0</v>
      </c>
      <c r="BM250" s="275">
        <v>2</v>
      </c>
      <c r="BN250" s="62">
        <v>0</v>
      </c>
      <c r="BO250" s="33" t="s">
        <v>485</v>
      </c>
    </row>
    <row r="251" spans="1:67">
      <c r="A251" s="33" t="str">
        <f>Database_Productkaarten[[#This Row],[Product]]&amp;", "&amp;Database_Productkaarten[[#This Row],[Levensfase]]</f>
        <v>WB asfaltmastiek - PCR 1.0, C4</v>
      </c>
      <c r="B251" s="33" t="s">
        <v>507</v>
      </c>
      <c r="C251" s="33" t="s">
        <v>483</v>
      </c>
      <c r="D251" s="33" t="s">
        <v>508</v>
      </c>
      <c r="E251" s="33" t="s">
        <v>378</v>
      </c>
      <c r="F251" s="33" t="s">
        <v>86</v>
      </c>
      <c r="L251" s="33">
        <v>2</v>
      </c>
      <c r="M251" s="269">
        <v>1</v>
      </c>
      <c r="N251" s="41">
        <v>0.74700358</v>
      </c>
      <c r="O251" s="33">
        <v>75</v>
      </c>
      <c r="P251" s="40">
        <v>5.9754661000000001E-6</v>
      </c>
      <c r="Q251" s="40">
        <v>7.7588107000000003E-2</v>
      </c>
      <c r="R251" s="40">
        <v>5.3083710000000002</v>
      </c>
      <c r="S251" s="40">
        <v>1.9141221000000001E-6</v>
      </c>
      <c r="T251" s="40">
        <v>5.7789839000000004E-3</v>
      </c>
      <c r="U251" s="40">
        <v>4.0020355000000001E-2</v>
      </c>
      <c r="V251" s="40">
        <v>7.5688585000000001E-3</v>
      </c>
      <c r="W251" s="40">
        <v>2.3082191000000001</v>
      </c>
      <c r="X251" s="40">
        <v>5.5904124999999999E-2</v>
      </c>
      <c r="Y251" s="40">
        <v>195.90810999999999</v>
      </c>
      <c r="Z251" s="40">
        <v>5.7629997000000002E-3</v>
      </c>
      <c r="AA251" s="40"/>
      <c r="AB251" s="40"/>
      <c r="AC251" s="40"/>
      <c r="AD251" s="40"/>
      <c r="AE251" s="40"/>
      <c r="AF251" s="40"/>
      <c r="AG251" s="40"/>
      <c r="AH251" s="40"/>
      <c r="AI251" s="40"/>
      <c r="AJ251" s="40"/>
      <c r="AK251" s="40"/>
      <c r="AL251" s="40"/>
      <c r="AM251" s="40"/>
      <c r="AN251" s="40"/>
      <c r="AO251" s="40"/>
      <c r="AP251" s="40"/>
      <c r="AQ251" s="40"/>
      <c r="AR251" s="40"/>
      <c r="AS251" s="40"/>
      <c r="AT251" s="40"/>
      <c r="AU251" s="40"/>
      <c r="AV251" s="313">
        <v>1.334495</v>
      </c>
      <c r="AW251" s="317"/>
      <c r="AX251" s="317"/>
      <c r="AY251" s="313">
        <v>173.28258</v>
      </c>
      <c r="AZ251" s="40"/>
      <c r="BA251" s="40"/>
      <c r="BB251" s="40"/>
      <c r="BC251" s="40">
        <v>0.16860095</v>
      </c>
      <c r="BD251" s="40">
        <v>1.0912479E-4</v>
      </c>
      <c r="BE251" s="40">
        <v>1004.6596</v>
      </c>
      <c r="BF251" s="40">
        <v>1.0789312000000001E-3</v>
      </c>
      <c r="BG251" s="40"/>
      <c r="BH251" s="40"/>
      <c r="BI251" s="40"/>
      <c r="BJ251" s="40"/>
      <c r="BK251" s="40"/>
      <c r="BL251" s="62">
        <v>0</v>
      </c>
      <c r="BM251" s="275">
        <v>2</v>
      </c>
      <c r="BN251" s="62">
        <v>0</v>
      </c>
      <c r="BO251" s="33" t="s">
        <v>485</v>
      </c>
    </row>
    <row r="252" spans="1:67">
      <c r="A252" s="33" t="str">
        <f>Database_Productkaarten[[#This Row],[Product]]&amp;", "&amp;Database_Productkaarten[[#This Row],[Levensfase]]</f>
        <v>WB asfaltmastiek - PCR 1.0, D</v>
      </c>
      <c r="B252" s="33" t="str">
        <f>B253</f>
        <v>WB asfaltmastiek - PCR 1.0</v>
      </c>
      <c r="C252" s="33" t="str">
        <f>C253</f>
        <v>Bitumineuze verhardingen</v>
      </c>
      <c r="D252" s="33" t="str">
        <f>D253</f>
        <v>Asfaltmastiek</v>
      </c>
      <c r="E252" s="33" t="str">
        <f>E253</f>
        <v>Ton</v>
      </c>
      <c r="F252" s="33" t="s">
        <v>89</v>
      </c>
      <c r="L252" s="33">
        <f>L253</f>
        <v>2</v>
      </c>
      <c r="M252" s="45">
        <f>M253</f>
        <v>1</v>
      </c>
      <c r="N252" s="41">
        <f>SUM(N253:N254)</f>
        <v>0</v>
      </c>
      <c r="O252" s="33">
        <f>O253</f>
        <v>75</v>
      </c>
      <c r="P252" s="40">
        <f>SUM(P253:P254)</f>
        <v>0</v>
      </c>
      <c r="Q252" s="40">
        <f>SUM(Q253:Q254)</f>
        <v>0</v>
      </c>
      <c r="R252" s="40">
        <f>SUM(R253:R254)</f>
        <v>0</v>
      </c>
      <c r="S252" s="40">
        <f t="shared" ref="S252:BK252" si="40">SUM(S253:S254)</f>
        <v>0</v>
      </c>
      <c r="T252" s="40">
        <f t="shared" si="40"/>
        <v>0</v>
      </c>
      <c r="U252" s="40">
        <f t="shared" si="40"/>
        <v>0</v>
      </c>
      <c r="V252" s="40">
        <f t="shared" si="40"/>
        <v>0</v>
      </c>
      <c r="W252" s="40">
        <f t="shared" si="40"/>
        <v>0</v>
      </c>
      <c r="X252" s="40">
        <f t="shared" si="40"/>
        <v>0</v>
      </c>
      <c r="Y252" s="40">
        <f t="shared" si="40"/>
        <v>0</v>
      </c>
      <c r="Z252" s="40">
        <f t="shared" si="40"/>
        <v>0</v>
      </c>
      <c r="AA252" s="40">
        <f t="shared" si="40"/>
        <v>0</v>
      </c>
      <c r="AB252" s="40">
        <f t="shared" si="40"/>
        <v>0</v>
      </c>
      <c r="AC252" s="40">
        <f t="shared" si="40"/>
        <v>0</v>
      </c>
      <c r="AD252" s="40">
        <f t="shared" si="40"/>
        <v>0</v>
      </c>
      <c r="AE252" s="40">
        <f t="shared" si="40"/>
        <v>0</v>
      </c>
      <c r="AF252" s="40">
        <f t="shared" si="40"/>
        <v>0</v>
      </c>
      <c r="AG252" s="40">
        <f t="shared" si="40"/>
        <v>0</v>
      </c>
      <c r="AH252" s="40">
        <f t="shared" si="40"/>
        <v>0</v>
      </c>
      <c r="AI252" s="40">
        <f t="shared" si="40"/>
        <v>0</v>
      </c>
      <c r="AJ252" s="40">
        <f t="shared" si="40"/>
        <v>0</v>
      </c>
      <c r="AK252" s="40">
        <f t="shared" si="40"/>
        <v>0</v>
      </c>
      <c r="AL252" s="40">
        <f t="shared" si="40"/>
        <v>0</v>
      </c>
      <c r="AM252" s="40">
        <f t="shared" si="40"/>
        <v>0</v>
      </c>
      <c r="AN252" s="40">
        <f t="shared" si="40"/>
        <v>0</v>
      </c>
      <c r="AO252" s="40">
        <f t="shared" si="40"/>
        <v>0</v>
      </c>
      <c r="AP252" s="40">
        <f t="shared" si="40"/>
        <v>0</v>
      </c>
      <c r="AQ252" s="40">
        <f t="shared" si="40"/>
        <v>0</v>
      </c>
      <c r="AR252" s="40">
        <f t="shared" si="40"/>
        <v>0</v>
      </c>
      <c r="AS252" s="40">
        <f t="shared" si="40"/>
        <v>0</v>
      </c>
      <c r="AT252" s="40">
        <f t="shared" si="40"/>
        <v>0</v>
      </c>
      <c r="AU252" s="40">
        <f t="shared" si="40"/>
        <v>0</v>
      </c>
      <c r="AV252" s="317">
        <f t="shared" si="40"/>
        <v>0</v>
      </c>
      <c r="AW252" s="317">
        <f t="shared" si="40"/>
        <v>0</v>
      </c>
      <c r="AX252" s="317">
        <f t="shared" si="40"/>
        <v>0</v>
      </c>
      <c r="AY252" s="317">
        <f t="shared" si="40"/>
        <v>0</v>
      </c>
      <c r="AZ252" s="40">
        <f t="shared" si="40"/>
        <v>0</v>
      </c>
      <c r="BA252" s="40">
        <f t="shared" si="40"/>
        <v>0</v>
      </c>
      <c r="BB252" s="40">
        <f t="shared" si="40"/>
        <v>0</v>
      </c>
      <c r="BC252" s="40">
        <f t="shared" si="40"/>
        <v>0</v>
      </c>
      <c r="BD252" s="40">
        <f t="shared" si="40"/>
        <v>0</v>
      </c>
      <c r="BE252" s="40">
        <f t="shared" si="40"/>
        <v>0</v>
      </c>
      <c r="BF252" s="40">
        <f t="shared" si="40"/>
        <v>0</v>
      </c>
      <c r="BG252" s="40">
        <f t="shared" si="40"/>
        <v>0</v>
      </c>
      <c r="BH252" s="40">
        <f t="shared" si="40"/>
        <v>0</v>
      </c>
      <c r="BI252" s="40">
        <f t="shared" si="40"/>
        <v>0</v>
      </c>
      <c r="BJ252" s="40">
        <f t="shared" si="40"/>
        <v>0</v>
      </c>
      <c r="BK252" s="40">
        <f t="shared" si="40"/>
        <v>0</v>
      </c>
      <c r="BL252" s="62">
        <f>BL253</f>
        <v>0</v>
      </c>
      <c r="BM252" s="275">
        <f>BM253</f>
        <v>2</v>
      </c>
      <c r="BN252" s="62">
        <v>0</v>
      </c>
      <c r="BO252" s="33" t="str">
        <f>BO253</f>
        <v>TNO 2020 R10987 LCA Achtergrondrapport voor brancherepresentatieve Nederlandse asfaltmengsels 2020</v>
      </c>
    </row>
    <row r="253" spans="1:67">
      <c r="A253" s="33" t="str">
        <f>Database_Productkaarten[[#This Row],[Product]]&amp;", "&amp;Database_Productkaarten[[#This Row],[Levensfase]]</f>
        <v>WB asfaltmastiek - PCR 1.0, D1</v>
      </c>
      <c r="B253" s="33" t="s">
        <v>507</v>
      </c>
      <c r="C253" s="33" t="s">
        <v>483</v>
      </c>
      <c r="D253" s="33" t="s">
        <v>508</v>
      </c>
      <c r="E253" s="33" t="s">
        <v>378</v>
      </c>
      <c r="F253" s="33" t="s">
        <v>87</v>
      </c>
      <c r="L253" s="33">
        <v>2</v>
      </c>
      <c r="M253" s="269">
        <v>1</v>
      </c>
      <c r="N253" s="41">
        <v>0</v>
      </c>
      <c r="O253" s="33">
        <v>75</v>
      </c>
      <c r="P253" s="40">
        <v>0</v>
      </c>
      <c r="Q253" s="40">
        <v>0</v>
      </c>
      <c r="R253" s="40">
        <v>0</v>
      </c>
      <c r="S253" s="40">
        <v>0</v>
      </c>
      <c r="T253" s="40">
        <v>0</v>
      </c>
      <c r="U253" s="40">
        <v>0</v>
      </c>
      <c r="V253" s="40">
        <v>0</v>
      </c>
      <c r="W253" s="40">
        <v>0</v>
      </c>
      <c r="X253" s="40">
        <v>0</v>
      </c>
      <c r="Y253" s="40">
        <v>0</v>
      </c>
      <c r="Z253" s="40">
        <v>0</v>
      </c>
      <c r="AA253" s="40"/>
      <c r="AB253" s="40"/>
      <c r="AC253" s="40"/>
      <c r="AD253" s="40"/>
      <c r="AE253" s="40"/>
      <c r="AF253" s="40"/>
      <c r="AG253" s="40"/>
      <c r="AH253" s="40"/>
      <c r="AI253" s="40"/>
      <c r="AJ253" s="40"/>
      <c r="AK253" s="40"/>
      <c r="AL253" s="40"/>
      <c r="AM253" s="40"/>
      <c r="AN253" s="40"/>
      <c r="AO253" s="40"/>
      <c r="AP253" s="40"/>
      <c r="AQ253" s="40"/>
      <c r="AR253" s="40"/>
      <c r="AS253" s="40"/>
      <c r="AT253" s="40"/>
      <c r="AU253" s="40"/>
      <c r="AV253" s="313">
        <v>0</v>
      </c>
      <c r="AW253" s="317"/>
      <c r="AX253" s="317"/>
      <c r="AY253" s="313">
        <v>0</v>
      </c>
      <c r="AZ253" s="40"/>
      <c r="BA253" s="40"/>
      <c r="BB253" s="40"/>
      <c r="BC253" s="40">
        <v>0</v>
      </c>
      <c r="BD253" s="40">
        <v>0</v>
      </c>
      <c r="BE253" s="40">
        <v>0</v>
      </c>
      <c r="BF253" s="40">
        <v>0</v>
      </c>
      <c r="BG253" s="40"/>
      <c r="BH253" s="40"/>
      <c r="BI253" s="40"/>
      <c r="BJ253" s="40"/>
      <c r="BK253" s="40"/>
      <c r="BL253" s="62">
        <v>0</v>
      </c>
      <c r="BM253" s="275">
        <v>2</v>
      </c>
      <c r="BN253" s="62">
        <v>0</v>
      </c>
      <c r="BO253" s="33" t="s">
        <v>485</v>
      </c>
    </row>
    <row r="254" spans="1:67">
      <c r="A254" s="33" t="str">
        <f>Database_Productkaarten[[#This Row],[Product]]&amp;", "&amp;Database_Productkaarten[[#This Row],[Levensfase]]</f>
        <v>WB asfaltmastiek - PCR 1.0, D2</v>
      </c>
      <c r="B254" s="33" t="s">
        <v>507</v>
      </c>
      <c r="C254" s="33" t="s">
        <v>483</v>
      </c>
      <c r="D254" s="33" t="s">
        <v>508</v>
      </c>
      <c r="E254" s="33" t="s">
        <v>378</v>
      </c>
      <c r="F254" s="33" t="s">
        <v>88</v>
      </c>
      <c r="L254" s="33">
        <v>2</v>
      </c>
      <c r="M254" s="269">
        <v>1</v>
      </c>
      <c r="N254" s="41">
        <v>0</v>
      </c>
      <c r="O254" s="33">
        <v>75</v>
      </c>
      <c r="P254" s="40">
        <v>0</v>
      </c>
      <c r="Q254" s="40">
        <v>0</v>
      </c>
      <c r="R254" s="40">
        <v>0</v>
      </c>
      <c r="S254" s="40">
        <v>0</v>
      </c>
      <c r="T254" s="40">
        <v>0</v>
      </c>
      <c r="U254" s="40">
        <v>0</v>
      </c>
      <c r="V254" s="40">
        <v>0</v>
      </c>
      <c r="W254" s="40">
        <v>0</v>
      </c>
      <c r="X254" s="40">
        <v>0</v>
      </c>
      <c r="Y254" s="40">
        <v>0</v>
      </c>
      <c r="Z254" s="40">
        <v>0</v>
      </c>
      <c r="AA254" s="40"/>
      <c r="AB254" s="40"/>
      <c r="AC254" s="40"/>
      <c r="AD254" s="40"/>
      <c r="AE254" s="40"/>
      <c r="AF254" s="40"/>
      <c r="AG254" s="40"/>
      <c r="AH254" s="40"/>
      <c r="AI254" s="40"/>
      <c r="AJ254" s="40"/>
      <c r="AK254" s="40"/>
      <c r="AL254" s="40"/>
      <c r="AM254" s="40"/>
      <c r="AN254" s="40"/>
      <c r="AO254" s="40"/>
      <c r="AP254" s="40"/>
      <c r="AQ254" s="40"/>
      <c r="AR254" s="40"/>
      <c r="AS254" s="40"/>
      <c r="AT254" s="40"/>
      <c r="AU254" s="40"/>
      <c r="AV254" s="313">
        <v>0</v>
      </c>
      <c r="AW254" s="317"/>
      <c r="AX254" s="317"/>
      <c r="AY254" s="313">
        <v>0</v>
      </c>
      <c r="AZ254" s="40"/>
      <c r="BA254" s="40"/>
      <c r="BB254" s="40"/>
      <c r="BC254" s="40">
        <v>0</v>
      </c>
      <c r="BD254" s="40">
        <v>0</v>
      </c>
      <c r="BE254" s="40">
        <v>0</v>
      </c>
      <c r="BF254" s="40">
        <v>0</v>
      </c>
      <c r="BG254" s="40"/>
      <c r="BH254" s="40"/>
      <c r="BI254" s="40"/>
      <c r="BJ254" s="40"/>
      <c r="BK254" s="40"/>
      <c r="BL254" s="62">
        <v>0</v>
      </c>
      <c r="BM254" s="275">
        <v>2</v>
      </c>
      <c r="BN254" s="62">
        <v>0</v>
      </c>
      <c r="BO254" s="33" t="s">
        <v>485</v>
      </c>
    </row>
    <row r="255" spans="1:67">
      <c r="A255" s="33" t="str">
        <f>Database_Productkaarten[[#This Row],[Product]]&amp;", "&amp;Database_Productkaarten[[#This Row],[Levensfase]]</f>
        <v>WB gietasfalt  - PCR 1.0, Totaal</v>
      </c>
      <c r="B255" s="33" t="s">
        <v>509</v>
      </c>
      <c r="C255" s="33" t="s">
        <v>483</v>
      </c>
      <c r="D255" s="33" t="s">
        <v>510</v>
      </c>
      <c r="E255" s="33" t="s">
        <v>378</v>
      </c>
      <c r="F255" s="33" t="s">
        <v>90</v>
      </c>
      <c r="L255" s="33">
        <v>2.1</v>
      </c>
      <c r="M255" s="269">
        <v>1</v>
      </c>
      <c r="N255" s="41">
        <v>19.260782744013184</v>
      </c>
      <c r="O255" s="33">
        <v>75</v>
      </c>
      <c r="P255" s="40">
        <v>1.4369666335023036E-4</v>
      </c>
      <c r="Q255" s="40">
        <v>2.911750045740817</v>
      </c>
      <c r="R255" s="40">
        <v>158.64836927899691</v>
      </c>
      <c r="S255" s="40">
        <v>1.9161429102723862E-5</v>
      </c>
      <c r="T255" s="40">
        <v>0.28444472405000876</v>
      </c>
      <c r="U255" s="40">
        <v>0.91206786316575006</v>
      </c>
      <c r="V255" s="40">
        <v>9.766250968421275E-2</v>
      </c>
      <c r="W255" s="40">
        <v>41.610375496117577</v>
      </c>
      <c r="X255" s="40">
        <v>4.4388761786025119</v>
      </c>
      <c r="Y255" s="40">
        <v>18537.193663894439</v>
      </c>
      <c r="Z255" s="40">
        <v>0.56493705638875102</v>
      </c>
      <c r="AA255" s="40"/>
      <c r="AB255" s="40"/>
      <c r="AC255" s="40"/>
      <c r="AD255" s="40"/>
      <c r="AE255" s="40"/>
      <c r="AF255" s="40"/>
      <c r="AG255" s="40"/>
      <c r="AH255" s="40"/>
      <c r="AI255" s="40"/>
      <c r="AJ255" s="40"/>
      <c r="AK255" s="40"/>
      <c r="AL255" s="40"/>
      <c r="AM255" s="40"/>
      <c r="AN255" s="40"/>
      <c r="AO255" s="40"/>
      <c r="AP255" s="40"/>
      <c r="AQ255" s="40"/>
      <c r="AR255" s="40"/>
      <c r="AS255" s="40"/>
      <c r="AT255" s="40"/>
      <c r="AU255" s="40"/>
      <c r="AV255" s="313">
        <v>39.097080576584652</v>
      </c>
      <c r="AW255" s="317"/>
      <c r="AX255" s="317"/>
      <c r="AY255" s="313">
        <v>6112.861792497114</v>
      </c>
      <c r="AZ255" s="40"/>
      <c r="BA255" s="40"/>
      <c r="BB255" s="40"/>
      <c r="BC255" s="40">
        <v>57.965319001777118</v>
      </c>
      <c r="BD255" s="40">
        <v>2.6527961414354742E-3</v>
      </c>
      <c r="BE255" s="40">
        <v>1015.4482536602212</v>
      </c>
      <c r="BF255" s="40">
        <v>4.440349671326952E-3</v>
      </c>
      <c r="BG255" s="40"/>
      <c r="BH255" s="40"/>
      <c r="BI255" s="40"/>
      <c r="BJ255" s="40"/>
      <c r="BK255" s="40"/>
      <c r="BL255" s="62">
        <v>0</v>
      </c>
      <c r="BM255" s="275">
        <v>2</v>
      </c>
      <c r="BN255" s="62">
        <v>0</v>
      </c>
      <c r="BO255" s="33" t="s">
        <v>485</v>
      </c>
    </row>
    <row r="256" spans="1:67">
      <c r="A256" s="33" t="str">
        <f>Database_Productkaarten[[#This Row],[Product]]&amp;", "&amp;Database_Productkaarten[[#This Row],[Levensfase]]</f>
        <v>WB gietasfalt  - PCR 1.0, A1</v>
      </c>
      <c r="B256" s="33" t="s">
        <v>509</v>
      </c>
      <c r="C256" s="33" t="s">
        <v>483</v>
      </c>
      <c r="D256" s="33" t="s">
        <v>510</v>
      </c>
      <c r="E256" s="33" t="s">
        <v>378</v>
      </c>
      <c r="F256" s="33" t="s">
        <v>74</v>
      </c>
      <c r="L256" s="33">
        <v>2.1</v>
      </c>
      <c r="M256" s="269">
        <v>1</v>
      </c>
      <c r="N256" s="41">
        <v>11.900790594</v>
      </c>
      <c r="O256" s="33">
        <v>75</v>
      </c>
      <c r="P256" s="40">
        <v>6.6213811200000006E-5</v>
      </c>
      <c r="Q256" s="40">
        <v>2.3372430505999997</v>
      </c>
      <c r="R256" s="40">
        <v>88.537642954999995</v>
      </c>
      <c r="S256" s="40">
        <v>7.1620752600000009E-6</v>
      </c>
      <c r="T256" s="40">
        <v>0.24903810464000001</v>
      </c>
      <c r="U256" s="40">
        <v>0.62166694099999997</v>
      </c>
      <c r="V256" s="40">
        <v>4.8074419200000003E-2</v>
      </c>
      <c r="W256" s="40">
        <v>21.412494106</v>
      </c>
      <c r="X256" s="40">
        <v>3.6842773312000001</v>
      </c>
      <c r="Y256" s="40">
        <v>16172.032084827999</v>
      </c>
      <c r="Z256" s="40">
        <v>0.45688816980000002</v>
      </c>
      <c r="AA256" s="40"/>
      <c r="AB256" s="40"/>
      <c r="AC256" s="40"/>
      <c r="AD256" s="40"/>
      <c r="AE256" s="40"/>
      <c r="AF256" s="40"/>
      <c r="AG256" s="40"/>
      <c r="AH256" s="40"/>
      <c r="AI256" s="40"/>
      <c r="AJ256" s="40"/>
      <c r="AK256" s="40"/>
      <c r="AL256" s="40"/>
      <c r="AM256" s="40"/>
      <c r="AN256" s="40"/>
      <c r="AO256" s="40"/>
      <c r="AP256" s="40"/>
      <c r="AQ256" s="40"/>
      <c r="AR256" s="40"/>
      <c r="AS256" s="40"/>
      <c r="AT256" s="40"/>
      <c r="AU256" s="40"/>
      <c r="AV256" s="313">
        <v>24.636811641999998</v>
      </c>
      <c r="AW256" s="317"/>
      <c r="AX256" s="317"/>
      <c r="AY256" s="313">
        <v>5274.0531620509992</v>
      </c>
      <c r="AZ256" s="40"/>
      <c r="BA256" s="40"/>
      <c r="BB256" s="40"/>
      <c r="BC256" s="40">
        <v>57.688833577400004</v>
      </c>
      <c r="BD256" s="40">
        <v>1.7911985620000001E-3</v>
      </c>
      <c r="BE256" s="40">
        <v>5.0599481980000007</v>
      </c>
      <c r="BF256" s="40">
        <v>1.4127352919999999E-3</v>
      </c>
      <c r="BG256" s="40"/>
      <c r="BH256" s="40"/>
      <c r="BI256" s="40"/>
      <c r="BJ256" s="40"/>
      <c r="BK256" s="40"/>
      <c r="BL256" s="62">
        <v>0</v>
      </c>
      <c r="BM256" s="275">
        <v>2</v>
      </c>
      <c r="BN256" s="62">
        <v>0</v>
      </c>
      <c r="BO256" s="33" t="s">
        <v>485</v>
      </c>
    </row>
    <row r="257" spans="1:67">
      <c r="A257" s="33" t="str">
        <f>Database_Productkaarten[[#This Row],[Product]]&amp;", "&amp;Database_Productkaarten[[#This Row],[Levensfase]]</f>
        <v>WB gietasfalt  - PCR 1.0, A2</v>
      </c>
      <c r="B257" s="33" t="s">
        <v>509</v>
      </c>
      <c r="C257" s="33" t="s">
        <v>483</v>
      </c>
      <c r="D257" s="33" t="s">
        <v>510</v>
      </c>
      <c r="E257" s="33" t="s">
        <v>378</v>
      </c>
      <c r="F257" s="33" t="s">
        <v>75</v>
      </c>
      <c r="L257" s="33">
        <v>2.1</v>
      </c>
      <c r="M257" s="269">
        <v>1</v>
      </c>
      <c r="N257" s="41">
        <v>1.8697469279999996</v>
      </c>
      <c r="O257" s="33">
        <v>75</v>
      </c>
      <c r="P257" s="40">
        <v>1.8462917203199994E-5</v>
      </c>
      <c r="Q257" s="40">
        <v>9.2076016319900006E-2</v>
      </c>
      <c r="R257" s="40">
        <v>13.168823231250002</v>
      </c>
      <c r="S257" s="40">
        <v>2.2162989969100001E-6</v>
      </c>
      <c r="T257" s="40">
        <v>9.6356319327999991E-3</v>
      </c>
      <c r="U257" s="40">
        <v>0.1307805936034</v>
      </c>
      <c r="V257" s="40">
        <v>1.83922571478E-2</v>
      </c>
      <c r="W257" s="40">
        <v>4.8817780926999994</v>
      </c>
      <c r="X257" s="40">
        <v>0.118455979962</v>
      </c>
      <c r="Y257" s="40">
        <v>445.95901624784995</v>
      </c>
      <c r="Z257" s="40">
        <v>1.7740895471299999E-2</v>
      </c>
      <c r="AA257" s="40"/>
      <c r="AB257" s="40"/>
      <c r="AC257" s="40"/>
      <c r="AD257" s="40"/>
      <c r="AE257" s="40"/>
      <c r="AF257" s="40"/>
      <c r="AG257" s="40"/>
      <c r="AH257" s="40"/>
      <c r="AI257" s="40"/>
      <c r="AJ257" s="40"/>
      <c r="AK257" s="40"/>
      <c r="AL257" s="40"/>
      <c r="AM257" s="40"/>
      <c r="AN257" s="40"/>
      <c r="AO257" s="40"/>
      <c r="AP257" s="40"/>
      <c r="AQ257" s="40"/>
      <c r="AR257" s="40"/>
      <c r="AS257" s="40"/>
      <c r="AT257" s="40"/>
      <c r="AU257" s="40"/>
      <c r="AV257" s="313">
        <v>3.3234028744499997</v>
      </c>
      <c r="AW257" s="317"/>
      <c r="AX257" s="317"/>
      <c r="AY257" s="313">
        <v>204.17467017760001</v>
      </c>
      <c r="AZ257" s="40"/>
      <c r="BA257" s="40"/>
      <c r="BB257" s="40"/>
      <c r="BC257" s="40">
        <v>3.88776259857E-2</v>
      </c>
      <c r="BD257" s="40">
        <v>1.2723797509199997E-4</v>
      </c>
      <c r="BE257" s="40">
        <v>5.3624358165999997</v>
      </c>
      <c r="BF257" s="40">
        <v>1.2762521413700002E-3</v>
      </c>
      <c r="BG257" s="40"/>
      <c r="BH257" s="40"/>
      <c r="BI257" s="40"/>
      <c r="BJ257" s="40"/>
      <c r="BK257" s="40"/>
      <c r="BL257" s="62">
        <v>0</v>
      </c>
      <c r="BM257" s="275">
        <v>2</v>
      </c>
      <c r="BN257" s="62">
        <v>0</v>
      </c>
      <c r="BO257" s="33" t="s">
        <v>485</v>
      </c>
    </row>
    <row r="258" spans="1:67">
      <c r="A258" s="33" t="str">
        <f>Database_Productkaarten[[#This Row],[Product]]&amp;", "&amp;Database_Productkaarten[[#This Row],[Levensfase]]</f>
        <v>WB gietasfalt  - PCR 1.0, A3</v>
      </c>
      <c r="B258" s="33" t="s">
        <v>509</v>
      </c>
      <c r="C258" s="33" t="s">
        <v>483</v>
      </c>
      <c r="D258" s="33" t="s">
        <v>510</v>
      </c>
      <c r="E258" s="33" t="s">
        <v>378</v>
      </c>
      <c r="F258" s="33" t="s">
        <v>76</v>
      </c>
      <c r="L258" s="33">
        <v>2.1</v>
      </c>
      <c r="M258" s="269">
        <v>1</v>
      </c>
      <c r="N258" s="41">
        <v>1.802581495013186</v>
      </c>
      <c r="O258" s="33">
        <v>75</v>
      </c>
      <c r="P258" s="40">
        <v>6.4882177870303274E-6</v>
      </c>
      <c r="Q258" s="40">
        <v>0.20881234012091798</v>
      </c>
      <c r="R258" s="40">
        <v>24.773345012746915</v>
      </c>
      <c r="S258" s="40">
        <v>2.724288435813858E-6</v>
      </c>
      <c r="T258" s="40">
        <v>4.0078657672087334E-3</v>
      </c>
      <c r="U258" s="40">
        <v>2.990657266234991E-2</v>
      </c>
      <c r="V258" s="40">
        <v>5.659483546412737E-3</v>
      </c>
      <c r="W258" s="40">
        <v>3.7424224634175647</v>
      </c>
      <c r="X258" s="40">
        <v>2.9639276767492676E-2</v>
      </c>
      <c r="Y258" s="40">
        <v>121.40537481859253</v>
      </c>
      <c r="Z258" s="40">
        <v>3.3271303497450937E-2</v>
      </c>
      <c r="AA258" s="40"/>
      <c r="AB258" s="40"/>
      <c r="AC258" s="40"/>
      <c r="AD258" s="40"/>
      <c r="AE258" s="40"/>
      <c r="AF258" s="40"/>
      <c r="AG258" s="40"/>
      <c r="AH258" s="40"/>
      <c r="AI258" s="40"/>
      <c r="AJ258" s="40"/>
      <c r="AK258" s="40"/>
      <c r="AL258" s="40"/>
      <c r="AM258" s="40"/>
      <c r="AN258" s="40"/>
      <c r="AO258" s="40"/>
      <c r="AP258" s="40"/>
      <c r="AQ258" s="40"/>
      <c r="AR258" s="40"/>
      <c r="AS258" s="40"/>
      <c r="AT258" s="40"/>
      <c r="AU258" s="40"/>
      <c r="AV258" s="313">
        <v>9.607211608134655</v>
      </c>
      <c r="AW258" s="317"/>
      <c r="AX258" s="317"/>
      <c r="AY258" s="313">
        <v>425.57795826851412</v>
      </c>
      <c r="AZ258" s="40"/>
      <c r="BA258" s="40"/>
      <c r="BB258" s="40"/>
      <c r="BC258" s="40">
        <v>6.4598259891412976E-2</v>
      </c>
      <c r="BD258" s="40">
        <v>6.1021041894347434E-4</v>
      </c>
      <c r="BE258" s="40">
        <v>0.33039507362122411</v>
      </c>
      <c r="BF258" s="40">
        <v>4.3842481895695144E-4</v>
      </c>
      <c r="BG258" s="40"/>
      <c r="BH258" s="40"/>
      <c r="BI258" s="40"/>
      <c r="BJ258" s="40"/>
      <c r="BK258" s="40"/>
      <c r="BL258" s="62">
        <v>0</v>
      </c>
      <c r="BM258" s="275">
        <v>2</v>
      </c>
      <c r="BN258" s="62">
        <v>0</v>
      </c>
      <c r="BO258" s="33" t="s">
        <v>485</v>
      </c>
    </row>
    <row r="259" spans="1:67">
      <c r="A259" s="33" t="str">
        <f>Database_Productkaarten[[#This Row],[Product]]&amp;", "&amp;Database_Productkaarten[[#This Row],[Levensfase]]</f>
        <v>WB gietasfalt  - PCR 1.0, A1-A3</v>
      </c>
      <c r="B259" s="33" t="str">
        <f>B258</f>
        <v>WB gietasfalt  - PCR 1.0</v>
      </c>
      <c r="C259" s="33" t="str">
        <f>C258</f>
        <v>Bitumineuze verhardingen</v>
      </c>
      <c r="D259" s="33" t="str">
        <f>D258</f>
        <v>Gietasfalt</v>
      </c>
      <c r="E259" s="33" t="str">
        <f>E258</f>
        <v>Ton</v>
      </c>
      <c r="F259" s="33" t="s">
        <v>77</v>
      </c>
      <c r="L259" s="33">
        <f>L258</f>
        <v>2.1</v>
      </c>
      <c r="M259" s="45">
        <f>M258</f>
        <v>1</v>
      </c>
      <c r="N259" s="252">
        <f>SUM(N256:N258)</f>
        <v>15.573119017013186</v>
      </c>
      <c r="O259" s="33">
        <f>O258</f>
        <v>75</v>
      </c>
      <c r="P259" s="40">
        <f>SUM(P256:P258)</f>
        <v>9.116494619023033E-5</v>
      </c>
      <c r="Q259" s="40">
        <f t="shared" ref="Q259:BK259" si="41">SUM(Q256:Q258)</f>
        <v>2.6381314070408179</v>
      </c>
      <c r="R259" s="40">
        <f t="shared" si="41"/>
        <v>126.47981119899691</v>
      </c>
      <c r="S259" s="40">
        <f t="shared" si="41"/>
        <v>1.2102662692723859E-5</v>
      </c>
      <c r="T259" s="40">
        <f t="shared" si="41"/>
        <v>0.26268160234000876</v>
      </c>
      <c r="U259" s="40">
        <f t="shared" si="41"/>
        <v>0.78235410726574983</v>
      </c>
      <c r="V259" s="40">
        <f t="shared" si="41"/>
        <v>7.2126159894212741E-2</v>
      </c>
      <c r="W259" s="40">
        <f t="shared" si="41"/>
        <v>30.036694662117565</v>
      </c>
      <c r="X259" s="40">
        <f t="shared" si="41"/>
        <v>3.832372587929493</v>
      </c>
      <c r="Y259" s="40">
        <f t="shared" si="41"/>
        <v>16739.396475894442</v>
      </c>
      <c r="Z259" s="40">
        <f t="shared" si="41"/>
        <v>0.50790036876875089</v>
      </c>
      <c r="AA259" s="40">
        <f t="shared" si="41"/>
        <v>0</v>
      </c>
      <c r="AB259" s="40">
        <f t="shared" si="41"/>
        <v>0</v>
      </c>
      <c r="AC259" s="40">
        <f t="shared" si="41"/>
        <v>0</v>
      </c>
      <c r="AD259" s="40">
        <f t="shared" si="41"/>
        <v>0</v>
      </c>
      <c r="AE259" s="40">
        <f t="shared" si="41"/>
        <v>0</v>
      </c>
      <c r="AF259" s="40">
        <f t="shared" si="41"/>
        <v>0</v>
      </c>
      <c r="AG259" s="40">
        <f t="shared" si="41"/>
        <v>0</v>
      </c>
      <c r="AH259" s="40">
        <f t="shared" si="41"/>
        <v>0</v>
      </c>
      <c r="AI259" s="40">
        <f t="shared" si="41"/>
        <v>0</v>
      </c>
      <c r="AJ259" s="40">
        <f t="shared" si="41"/>
        <v>0</v>
      </c>
      <c r="AK259" s="40">
        <f t="shared" si="41"/>
        <v>0</v>
      </c>
      <c r="AL259" s="40">
        <f t="shared" si="41"/>
        <v>0</v>
      </c>
      <c r="AM259" s="40">
        <f t="shared" si="41"/>
        <v>0</v>
      </c>
      <c r="AN259" s="40">
        <f t="shared" si="41"/>
        <v>0</v>
      </c>
      <c r="AO259" s="40">
        <f t="shared" si="41"/>
        <v>0</v>
      </c>
      <c r="AP259" s="40">
        <f t="shared" si="41"/>
        <v>0</v>
      </c>
      <c r="AQ259" s="40">
        <f t="shared" si="41"/>
        <v>0</v>
      </c>
      <c r="AR259" s="40">
        <f t="shared" si="41"/>
        <v>0</v>
      </c>
      <c r="AS259" s="40">
        <f t="shared" si="41"/>
        <v>0</v>
      </c>
      <c r="AT259" s="40">
        <f t="shared" si="41"/>
        <v>0</v>
      </c>
      <c r="AU259" s="40">
        <f t="shared" si="41"/>
        <v>0</v>
      </c>
      <c r="AV259" s="317">
        <f t="shared" si="41"/>
        <v>37.567426124584657</v>
      </c>
      <c r="AW259" s="317">
        <f t="shared" si="41"/>
        <v>0</v>
      </c>
      <c r="AX259" s="317">
        <f t="shared" si="41"/>
        <v>0</v>
      </c>
      <c r="AY259" s="317">
        <f t="shared" si="41"/>
        <v>5903.8057904971138</v>
      </c>
      <c r="AZ259" s="40">
        <f t="shared" si="41"/>
        <v>0</v>
      </c>
      <c r="BA259" s="40">
        <f t="shared" si="41"/>
        <v>0</v>
      </c>
      <c r="BB259" s="40">
        <f t="shared" si="41"/>
        <v>0</v>
      </c>
      <c r="BC259" s="40">
        <f t="shared" si="41"/>
        <v>57.792309463277114</v>
      </c>
      <c r="BD259" s="40">
        <f t="shared" si="41"/>
        <v>2.5286469560354746E-3</v>
      </c>
      <c r="BE259" s="40">
        <f t="shared" si="41"/>
        <v>10.752779088221224</v>
      </c>
      <c r="BF259" s="40">
        <f t="shared" si="41"/>
        <v>3.1274122523269514E-3</v>
      </c>
      <c r="BG259" s="40">
        <f t="shared" si="41"/>
        <v>0</v>
      </c>
      <c r="BH259" s="40">
        <f t="shared" si="41"/>
        <v>0</v>
      </c>
      <c r="BI259" s="40">
        <f t="shared" si="41"/>
        <v>0</v>
      </c>
      <c r="BJ259" s="40">
        <f t="shared" si="41"/>
        <v>0</v>
      </c>
      <c r="BK259" s="40">
        <f t="shared" si="41"/>
        <v>0</v>
      </c>
      <c r="BL259" s="62">
        <f>BL258</f>
        <v>0</v>
      </c>
      <c r="BM259" s="275">
        <f>BM258</f>
        <v>2</v>
      </c>
      <c r="BN259" s="62">
        <v>0</v>
      </c>
      <c r="BO259" s="33" t="str">
        <f>BO258</f>
        <v>TNO 2020 R10987 LCA Achtergrondrapport voor brancherepresentatieve Nederlandse asfaltmengsels 2020</v>
      </c>
    </row>
    <row r="260" spans="1:67">
      <c r="A260" s="33" t="str">
        <f>Database_Productkaarten[[#This Row],[Product]]&amp;", "&amp;Database_Productkaarten[[#This Row],[Levensfase]]</f>
        <v>WB gietasfalt  - PCR 1.0, A4</v>
      </c>
      <c r="B260" s="33" t="s">
        <v>509</v>
      </c>
      <c r="C260" s="33" t="s">
        <v>483</v>
      </c>
      <c r="D260" s="33" t="s">
        <v>510</v>
      </c>
      <c r="E260" s="33" t="s">
        <v>378</v>
      </c>
      <c r="F260" s="33" t="s">
        <v>78</v>
      </c>
      <c r="L260" s="33">
        <v>2.1</v>
      </c>
      <c r="M260" s="269">
        <v>1</v>
      </c>
      <c r="N260" s="41">
        <v>1.6606953</v>
      </c>
      <c r="O260" s="33">
        <v>75</v>
      </c>
      <c r="P260" s="40">
        <v>2.8988548999999999E-5</v>
      </c>
      <c r="Q260" s="40">
        <v>0.11402762</v>
      </c>
      <c r="R260" s="40">
        <v>15.056606</v>
      </c>
      <c r="S260" s="40">
        <v>2.9931267000000001E-6</v>
      </c>
      <c r="T260" s="40">
        <v>9.4406217000000004E-3</v>
      </c>
      <c r="U260" s="40">
        <v>5.0569076999999997E-2</v>
      </c>
      <c r="V260" s="40">
        <v>1.0040207000000001E-2</v>
      </c>
      <c r="W260" s="40">
        <v>5.2940737000000002</v>
      </c>
      <c r="X260" s="40">
        <v>0.34132685000000001</v>
      </c>
      <c r="Y260" s="40">
        <v>894.16313000000002</v>
      </c>
      <c r="Z260" s="40">
        <v>3.1400611000000002E-2</v>
      </c>
      <c r="AA260" s="40"/>
      <c r="AB260" s="40"/>
      <c r="AC260" s="40"/>
      <c r="AD260" s="40"/>
      <c r="AE260" s="40"/>
      <c r="AF260" s="40"/>
      <c r="AG260" s="40"/>
      <c r="AH260" s="40"/>
      <c r="AI260" s="40"/>
      <c r="AJ260" s="40"/>
      <c r="AK260" s="40"/>
      <c r="AL260" s="40"/>
      <c r="AM260" s="40"/>
      <c r="AN260" s="40"/>
      <c r="AO260" s="40"/>
      <c r="AP260" s="40"/>
      <c r="AQ260" s="40"/>
      <c r="AR260" s="40"/>
      <c r="AS260" s="40"/>
      <c r="AT260" s="40"/>
      <c r="AU260" s="40"/>
      <c r="AV260" s="313">
        <v>0</v>
      </c>
      <c r="AW260" s="317"/>
      <c r="AX260" s="317"/>
      <c r="AY260" s="313">
        <v>0</v>
      </c>
      <c r="AZ260" s="40"/>
      <c r="BA260" s="40"/>
      <c r="BB260" s="40"/>
      <c r="BC260" s="40">
        <v>0</v>
      </c>
      <c r="BD260" s="40">
        <v>0</v>
      </c>
      <c r="BE260" s="40">
        <v>0</v>
      </c>
      <c r="BF260" s="40">
        <v>0</v>
      </c>
      <c r="BG260" s="40"/>
      <c r="BH260" s="40"/>
      <c r="BI260" s="40"/>
      <c r="BJ260" s="40"/>
      <c r="BK260" s="40"/>
      <c r="BL260" s="62">
        <v>0</v>
      </c>
      <c r="BM260" s="275">
        <v>2</v>
      </c>
      <c r="BN260" s="62">
        <v>0</v>
      </c>
      <c r="BO260" s="33" t="s">
        <v>485</v>
      </c>
    </row>
    <row r="261" spans="1:67">
      <c r="A261" s="33" t="str">
        <f>Database_Productkaarten[[#This Row],[Product]]&amp;", "&amp;Database_Productkaarten[[#This Row],[Levensfase]]</f>
        <v>WB gietasfalt  - PCR 1.0, A5</v>
      </c>
      <c r="B261" s="33" t="s">
        <v>509</v>
      </c>
      <c r="C261" s="33" t="s">
        <v>483</v>
      </c>
      <c r="D261" s="33" t="s">
        <v>510</v>
      </c>
      <c r="E261" s="33" t="s">
        <v>378</v>
      </c>
      <c r="F261" s="33" t="s">
        <v>79</v>
      </c>
      <c r="L261" s="33">
        <v>2.1</v>
      </c>
      <c r="M261" s="269">
        <v>1</v>
      </c>
      <c r="N261" s="41">
        <v>0.21041449000000001</v>
      </c>
      <c r="O261" s="33">
        <v>75</v>
      </c>
      <c r="P261" s="40">
        <v>5.5521790000000002E-7</v>
      </c>
      <c r="Q261" s="40">
        <v>1.1398007E-2</v>
      </c>
      <c r="R261" s="40">
        <v>2.2019112000000001</v>
      </c>
      <c r="S261" s="40">
        <v>2.9848207999999998E-7</v>
      </c>
      <c r="T261" s="40">
        <v>7.6816657999999999E-4</v>
      </c>
      <c r="U261" s="40">
        <v>7.0245098999999998E-3</v>
      </c>
      <c r="V261" s="40">
        <v>1.5085121999999999E-3</v>
      </c>
      <c r="W261" s="40">
        <v>0.57978304000000003</v>
      </c>
      <c r="X261" s="40">
        <v>8.2665138999999995E-3</v>
      </c>
      <c r="Y261" s="40">
        <v>27.878706000000001</v>
      </c>
      <c r="Z261" s="40">
        <v>9.8137887999999993E-4</v>
      </c>
      <c r="AA261" s="40"/>
      <c r="AB261" s="40"/>
      <c r="AC261" s="40"/>
      <c r="AD261" s="40"/>
      <c r="AE261" s="40"/>
      <c r="AF261" s="40"/>
      <c r="AG261" s="40"/>
      <c r="AH261" s="40"/>
      <c r="AI261" s="40"/>
      <c r="AJ261" s="40"/>
      <c r="AK261" s="40"/>
      <c r="AL261" s="40"/>
      <c r="AM261" s="40"/>
      <c r="AN261" s="40"/>
      <c r="AO261" s="40"/>
      <c r="AP261" s="40"/>
      <c r="AQ261" s="40"/>
      <c r="AR261" s="40"/>
      <c r="AS261" s="40"/>
      <c r="AT261" s="40"/>
      <c r="AU261" s="40"/>
      <c r="AV261" s="313">
        <v>0.13939961000000001</v>
      </c>
      <c r="AW261" s="317"/>
      <c r="AX261" s="317"/>
      <c r="AY261" s="313">
        <v>25.552444000000001</v>
      </c>
      <c r="AZ261" s="40"/>
      <c r="BA261" s="40"/>
      <c r="BB261" s="40"/>
      <c r="BC261" s="40">
        <v>3.1489918000000001E-3</v>
      </c>
      <c r="BD261" s="40">
        <v>1.0731710999999999E-5</v>
      </c>
      <c r="BE261" s="40">
        <v>2.5624694E-2</v>
      </c>
      <c r="BF261" s="40">
        <v>1.671473E-4</v>
      </c>
      <c r="BG261" s="40"/>
      <c r="BH261" s="40"/>
      <c r="BI261" s="40"/>
      <c r="BJ261" s="40"/>
      <c r="BK261" s="40"/>
      <c r="BL261" s="62">
        <v>0</v>
      </c>
      <c r="BM261" s="275">
        <v>2</v>
      </c>
      <c r="BN261" s="62">
        <v>0</v>
      </c>
      <c r="BO261" s="33" t="s">
        <v>485</v>
      </c>
    </row>
    <row r="262" spans="1:67">
      <c r="A262" s="33" t="str">
        <f>Database_Productkaarten[[#This Row],[Product]]&amp;", "&amp;Database_Productkaarten[[#This Row],[Levensfase]]</f>
        <v>WB gietasfalt  - PCR 1.0, B1</v>
      </c>
      <c r="B262" s="33" t="s">
        <v>509</v>
      </c>
      <c r="C262" s="33" t="s">
        <v>483</v>
      </c>
      <c r="D262" s="33" t="s">
        <v>510</v>
      </c>
      <c r="E262" s="33" t="s">
        <v>378</v>
      </c>
      <c r="F262" s="33" t="s">
        <v>80</v>
      </c>
      <c r="L262" s="33">
        <v>2.1</v>
      </c>
      <c r="M262" s="269">
        <v>1</v>
      </c>
      <c r="N262" s="41">
        <v>2.3496660999999999E-2</v>
      </c>
      <c r="O262" s="33">
        <v>75</v>
      </c>
      <c r="P262" s="40">
        <v>0</v>
      </c>
      <c r="Q262" s="40">
        <v>0</v>
      </c>
      <c r="R262" s="40">
        <v>0</v>
      </c>
      <c r="S262" s="40">
        <v>0</v>
      </c>
      <c r="T262" s="40">
        <v>0</v>
      </c>
      <c r="U262" s="40">
        <v>0</v>
      </c>
      <c r="V262" s="40">
        <v>0</v>
      </c>
      <c r="W262" s="40">
        <v>9.3322374E-2</v>
      </c>
      <c r="X262" s="40">
        <v>2.7617302000000001E-7</v>
      </c>
      <c r="Y262" s="40">
        <v>150.78939</v>
      </c>
      <c r="Z262" s="40">
        <v>3.1166348999999999E-4</v>
      </c>
      <c r="AA262" s="40"/>
      <c r="AB262" s="40"/>
      <c r="AC262" s="40"/>
      <c r="AD262" s="40"/>
      <c r="AE262" s="40"/>
      <c r="AF262" s="40"/>
      <c r="AG262" s="40"/>
      <c r="AH262" s="40"/>
      <c r="AI262" s="40"/>
      <c r="AJ262" s="40"/>
      <c r="AK262" s="40"/>
      <c r="AL262" s="40"/>
      <c r="AM262" s="40"/>
      <c r="AN262" s="40"/>
      <c r="AO262" s="40"/>
      <c r="AP262" s="40"/>
      <c r="AQ262" s="40"/>
      <c r="AR262" s="40"/>
      <c r="AS262" s="40"/>
      <c r="AT262" s="40"/>
      <c r="AU262" s="40"/>
      <c r="AV262" s="313">
        <v>0</v>
      </c>
      <c r="AW262" s="317"/>
      <c r="AX262" s="317"/>
      <c r="AY262" s="313">
        <v>0</v>
      </c>
      <c r="AZ262" s="40"/>
      <c r="BA262" s="40"/>
      <c r="BB262" s="40"/>
      <c r="BC262" s="40">
        <v>0</v>
      </c>
      <c r="BD262" s="40">
        <v>0</v>
      </c>
      <c r="BE262" s="40">
        <v>0</v>
      </c>
      <c r="BF262" s="40">
        <v>0</v>
      </c>
      <c r="BG262" s="40"/>
      <c r="BH262" s="40"/>
      <c r="BI262" s="40"/>
      <c r="BJ262" s="40"/>
      <c r="BK262" s="40"/>
      <c r="BL262" s="62">
        <v>0</v>
      </c>
      <c r="BM262" s="275">
        <v>2</v>
      </c>
      <c r="BN262" s="62">
        <v>0</v>
      </c>
      <c r="BO262" s="33" t="s">
        <v>485</v>
      </c>
    </row>
    <row r="263" spans="1:67">
      <c r="A263" s="33" t="str">
        <f>Database_Productkaarten[[#This Row],[Product]]&amp;", "&amp;Database_Productkaarten[[#This Row],[Levensfase]]</f>
        <v>WB gietasfalt  - PCR 1.0, C1</v>
      </c>
      <c r="B263" s="33" t="s">
        <v>509</v>
      </c>
      <c r="C263" s="33" t="s">
        <v>483</v>
      </c>
      <c r="D263" s="33" t="s">
        <v>510</v>
      </c>
      <c r="E263" s="33" t="s">
        <v>378</v>
      </c>
      <c r="F263" s="33" t="s">
        <v>83</v>
      </c>
      <c r="L263" s="33">
        <v>2.1</v>
      </c>
      <c r="M263" s="269">
        <v>1</v>
      </c>
      <c r="N263" s="41">
        <v>8.4165796000000001E-2</v>
      </c>
      <c r="O263" s="33">
        <v>75</v>
      </c>
      <c r="P263" s="40">
        <v>2.2208715999999999E-7</v>
      </c>
      <c r="Q263" s="40">
        <v>4.5592026999999999E-3</v>
      </c>
      <c r="R263" s="40">
        <v>0.88076447999999996</v>
      </c>
      <c r="S263" s="40">
        <v>1.1939283000000001E-7</v>
      </c>
      <c r="T263" s="40">
        <v>3.0726663000000003E-4</v>
      </c>
      <c r="U263" s="40">
        <v>2.8098039999999999E-3</v>
      </c>
      <c r="V263" s="40">
        <v>6.0340489000000001E-4</v>
      </c>
      <c r="W263" s="40">
        <v>0.23191322</v>
      </c>
      <c r="X263" s="40">
        <v>3.3066056E-3</v>
      </c>
      <c r="Y263" s="40">
        <v>11.151482</v>
      </c>
      <c r="Z263" s="40">
        <v>3.9255155000000001E-4</v>
      </c>
      <c r="AA263" s="40"/>
      <c r="AB263" s="40"/>
      <c r="AC263" s="40"/>
      <c r="AD263" s="40"/>
      <c r="AE263" s="40"/>
      <c r="AF263" s="40"/>
      <c r="AG263" s="40"/>
      <c r="AH263" s="40"/>
      <c r="AI263" s="40"/>
      <c r="AJ263" s="40"/>
      <c r="AK263" s="40"/>
      <c r="AL263" s="40"/>
      <c r="AM263" s="40"/>
      <c r="AN263" s="40"/>
      <c r="AO263" s="40"/>
      <c r="AP263" s="40"/>
      <c r="AQ263" s="40"/>
      <c r="AR263" s="40"/>
      <c r="AS263" s="40"/>
      <c r="AT263" s="40"/>
      <c r="AU263" s="40"/>
      <c r="AV263" s="313">
        <v>5.5759841999999997E-2</v>
      </c>
      <c r="AW263" s="317"/>
      <c r="AX263" s="317"/>
      <c r="AY263" s="313">
        <v>10.220978000000001</v>
      </c>
      <c r="AZ263" s="40"/>
      <c r="BA263" s="40"/>
      <c r="BB263" s="40"/>
      <c r="BC263" s="40">
        <v>1.2595967E-3</v>
      </c>
      <c r="BD263" s="40">
        <v>4.2926843999999997E-6</v>
      </c>
      <c r="BE263" s="40">
        <v>1.0249878E-2</v>
      </c>
      <c r="BF263" s="40">
        <v>6.6858919000000003E-5</v>
      </c>
      <c r="BG263" s="40"/>
      <c r="BH263" s="40"/>
      <c r="BI263" s="40"/>
      <c r="BJ263" s="40"/>
      <c r="BK263" s="40"/>
      <c r="BL263" s="62">
        <v>0</v>
      </c>
      <c r="BM263" s="275">
        <v>2</v>
      </c>
      <c r="BN263" s="62">
        <v>0</v>
      </c>
      <c r="BO263" s="33" t="s">
        <v>485</v>
      </c>
    </row>
    <row r="264" spans="1:67">
      <c r="A264" s="33" t="str">
        <f>Database_Productkaarten[[#This Row],[Product]]&amp;", "&amp;Database_Productkaarten[[#This Row],[Levensfase]]</f>
        <v>WB gietasfalt  - PCR 1.0, C2</v>
      </c>
      <c r="B264" s="33" t="s">
        <v>509</v>
      </c>
      <c r="C264" s="33" t="s">
        <v>483</v>
      </c>
      <c r="D264" s="33" t="s">
        <v>510</v>
      </c>
      <c r="E264" s="33" t="s">
        <v>378</v>
      </c>
      <c r="F264" s="33" t="s">
        <v>84</v>
      </c>
      <c r="L264" s="33">
        <v>2.1</v>
      </c>
      <c r="M264" s="269">
        <v>1</v>
      </c>
      <c r="N264" s="41">
        <v>0.96188790000000002</v>
      </c>
      <c r="O264" s="33">
        <v>75</v>
      </c>
      <c r="P264" s="40">
        <v>1.6790396999999999E-5</v>
      </c>
      <c r="Q264" s="40">
        <v>6.6045701999999998E-2</v>
      </c>
      <c r="R264" s="40">
        <v>8.7209053999999995</v>
      </c>
      <c r="S264" s="40">
        <v>1.7336426999999999E-6</v>
      </c>
      <c r="T264" s="40">
        <v>5.4680828999999999E-3</v>
      </c>
      <c r="U264" s="40">
        <v>2.9290009999999998E-2</v>
      </c>
      <c r="V264" s="40">
        <v>5.8153672000000002E-3</v>
      </c>
      <c r="W264" s="40">
        <v>3.0663694000000001</v>
      </c>
      <c r="X264" s="40">
        <v>0.19769922000000001</v>
      </c>
      <c r="Y264" s="40">
        <v>517.90637000000004</v>
      </c>
      <c r="Z264" s="40">
        <v>1.8187483000000001E-2</v>
      </c>
      <c r="AA264" s="40"/>
      <c r="AB264" s="40"/>
      <c r="AC264" s="40"/>
      <c r="AD264" s="40"/>
      <c r="AE264" s="40"/>
      <c r="AF264" s="40"/>
      <c r="AG264" s="40"/>
      <c r="AH264" s="40"/>
      <c r="AI264" s="40"/>
      <c r="AJ264" s="40"/>
      <c r="AK264" s="40"/>
      <c r="AL264" s="40"/>
      <c r="AM264" s="40"/>
      <c r="AN264" s="40"/>
      <c r="AO264" s="40"/>
      <c r="AP264" s="40"/>
      <c r="AQ264" s="40"/>
      <c r="AR264" s="40"/>
      <c r="AS264" s="40"/>
      <c r="AT264" s="40"/>
      <c r="AU264" s="40"/>
      <c r="AV264" s="313">
        <v>0</v>
      </c>
      <c r="AW264" s="317"/>
      <c r="AX264" s="317"/>
      <c r="AY264" s="313">
        <v>0</v>
      </c>
      <c r="AZ264" s="40"/>
      <c r="BA264" s="40"/>
      <c r="BB264" s="40"/>
      <c r="BC264" s="40">
        <v>0</v>
      </c>
      <c r="BD264" s="40">
        <v>0</v>
      </c>
      <c r="BE264" s="40">
        <v>0</v>
      </c>
      <c r="BF264" s="40">
        <v>0</v>
      </c>
      <c r="BG264" s="40"/>
      <c r="BH264" s="40"/>
      <c r="BI264" s="40"/>
      <c r="BJ264" s="40"/>
      <c r="BK264" s="40"/>
      <c r="BL264" s="62">
        <v>0</v>
      </c>
      <c r="BM264" s="275">
        <v>2</v>
      </c>
      <c r="BN264" s="62">
        <v>0</v>
      </c>
      <c r="BO264" s="33" t="s">
        <v>485</v>
      </c>
    </row>
    <row r="265" spans="1:67">
      <c r="A265" s="33" t="str">
        <f>Database_Productkaarten[[#This Row],[Product]]&amp;", "&amp;Database_Productkaarten[[#This Row],[Levensfase]]</f>
        <v>WB gietasfalt  - PCR 1.0, C4</v>
      </c>
      <c r="B265" s="33" t="s">
        <v>509</v>
      </c>
      <c r="C265" s="33" t="s">
        <v>483</v>
      </c>
      <c r="D265" s="33" t="s">
        <v>510</v>
      </c>
      <c r="E265" s="33" t="s">
        <v>378</v>
      </c>
      <c r="F265" s="33" t="s">
        <v>86</v>
      </c>
      <c r="L265" s="33">
        <v>2.1</v>
      </c>
      <c r="M265" s="269">
        <v>1</v>
      </c>
      <c r="N265" s="41">
        <v>0.74700358</v>
      </c>
      <c r="O265" s="33">
        <v>75</v>
      </c>
      <c r="P265" s="40">
        <v>5.9754661000000001E-6</v>
      </c>
      <c r="Q265" s="40">
        <v>7.7588107000000003E-2</v>
      </c>
      <c r="R265" s="40">
        <v>5.3083710000000002</v>
      </c>
      <c r="S265" s="40">
        <v>1.9141221000000001E-6</v>
      </c>
      <c r="T265" s="40">
        <v>5.7789839000000004E-3</v>
      </c>
      <c r="U265" s="40">
        <v>4.0020355000000001E-2</v>
      </c>
      <c r="V265" s="40">
        <v>7.5688585000000001E-3</v>
      </c>
      <c r="W265" s="40">
        <v>2.3082191000000001</v>
      </c>
      <c r="X265" s="40">
        <v>5.5904124999999999E-2</v>
      </c>
      <c r="Y265" s="40">
        <v>195.90810999999999</v>
      </c>
      <c r="Z265" s="40">
        <v>5.7629997000000002E-3</v>
      </c>
      <c r="AA265" s="40"/>
      <c r="AB265" s="40"/>
      <c r="AC265" s="40"/>
      <c r="AD265" s="40"/>
      <c r="AE265" s="40"/>
      <c r="AF265" s="40"/>
      <c r="AG265" s="40"/>
      <c r="AH265" s="40"/>
      <c r="AI265" s="40"/>
      <c r="AJ265" s="40"/>
      <c r="AK265" s="40"/>
      <c r="AL265" s="40"/>
      <c r="AM265" s="40"/>
      <c r="AN265" s="40"/>
      <c r="AO265" s="40"/>
      <c r="AP265" s="40"/>
      <c r="AQ265" s="40"/>
      <c r="AR265" s="40"/>
      <c r="AS265" s="40"/>
      <c r="AT265" s="40"/>
      <c r="AU265" s="40"/>
      <c r="AV265" s="313">
        <v>1.334495</v>
      </c>
      <c r="AW265" s="317"/>
      <c r="AX265" s="317"/>
      <c r="AY265" s="313">
        <v>173.28258</v>
      </c>
      <c r="AZ265" s="40"/>
      <c r="BA265" s="40"/>
      <c r="BB265" s="40"/>
      <c r="BC265" s="40">
        <v>0.16860095</v>
      </c>
      <c r="BD265" s="40">
        <v>1.0912479E-4</v>
      </c>
      <c r="BE265" s="40">
        <v>1004.6596</v>
      </c>
      <c r="BF265" s="40">
        <v>1.0789312000000001E-3</v>
      </c>
      <c r="BG265" s="40"/>
      <c r="BH265" s="40"/>
      <c r="BI265" s="40"/>
      <c r="BJ265" s="40"/>
      <c r="BK265" s="40"/>
      <c r="BL265" s="62">
        <v>0</v>
      </c>
      <c r="BM265" s="275">
        <v>2</v>
      </c>
      <c r="BN265" s="62">
        <v>0</v>
      </c>
      <c r="BO265" s="33" t="s">
        <v>485</v>
      </c>
    </row>
    <row r="266" spans="1:67">
      <c r="A266" s="33" t="str">
        <f>Database_Productkaarten[[#This Row],[Product]]&amp;", "&amp;Database_Productkaarten[[#This Row],[Levensfase]]</f>
        <v>WB gietasfalt  - PCR 1.0, D</v>
      </c>
      <c r="B266" s="33" t="str">
        <f>B267</f>
        <v>WB gietasfalt  - PCR 1.0</v>
      </c>
      <c r="C266" s="33" t="str">
        <f>C267</f>
        <v>Bitumineuze verhardingen</v>
      </c>
      <c r="D266" s="33" t="str">
        <f>D267</f>
        <v>Gietasfalt</v>
      </c>
      <c r="E266" s="33" t="str">
        <f>E267</f>
        <v>Ton</v>
      </c>
      <c r="F266" s="33" t="s">
        <v>89</v>
      </c>
      <c r="L266" s="33">
        <f>L267</f>
        <v>2.1</v>
      </c>
      <c r="M266" s="45">
        <f>M267</f>
        <v>1</v>
      </c>
      <c r="N266" s="41">
        <f>SUM(N267:N268)</f>
        <v>0</v>
      </c>
      <c r="O266" s="33">
        <f>O267</f>
        <v>75</v>
      </c>
      <c r="P266" s="40">
        <f>SUM(P267:P268)</f>
        <v>0</v>
      </c>
      <c r="Q266" s="40">
        <f>SUM(Q267:Q268)</f>
        <v>0</v>
      </c>
      <c r="R266" s="40">
        <f>SUM(R267:R268)</f>
        <v>0</v>
      </c>
      <c r="S266" s="40">
        <f t="shared" ref="S266:BK266" si="42">SUM(S267:S268)</f>
        <v>0</v>
      </c>
      <c r="T266" s="40">
        <f t="shared" si="42"/>
        <v>0</v>
      </c>
      <c r="U266" s="40">
        <f t="shared" si="42"/>
        <v>0</v>
      </c>
      <c r="V266" s="40">
        <f t="shared" si="42"/>
        <v>0</v>
      </c>
      <c r="W266" s="40">
        <f t="shared" si="42"/>
        <v>0</v>
      </c>
      <c r="X266" s="40">
        <f t="shared" si="42"/>
        <v>0</v>
      </c>
      <c r="Y266" s="40">
        <f t="shared" si="42"/>
        <v>0</v>
      </c>
      <c r="Z266" s="40">
        <f t="shared" si="42"/>
        <v>0</v>
      </c>
      <c r="AA266" s="40">
        <f t="shared" si="42"/>
        <v>0</v>
      </c>
      <c r="AB266" s="40">
        <f t="shared" si="42"/>
        <v>0</v>
      </c>
      <c r="AC266" s="40">
        <f t="shared" si="42"/>
        <v>0</v>
      </c>
      <c r="AD266" s="40">
        <f t="shared" si="42"/>
        <v>0</v>
      </c>
      <c r="AE266" s="40">
        <f t="shared" si="42"/>
        <v>0</v>
      </c>
      <c r="AF266" s="40">
        <f t="shared" si="42"/>
        <v>0</v>
      </c>
      <c r="AG266" s="40">
        <f t="shared" si="42"/>
        <v>0</v>
      </c>
      <c r="AH266" s="40">
        <f t="shared" si="42"/>
        <v>0</v>
      </c>
      <c r="AI266" s="40">
        <f t="shared" si="42"/>
        <v>0</v>
      </c>
      <c r="AJ266" s="40">
        <f t="shared" si="42"/>
        <v>0</v>
      </c>
      <c r="AK266" s="40">
        <f t="shared" si="42"/>
        <v>0</v>
      </c>
      <c r="AL266" s="40">
        <f t="shared" si="42"/>
        <v>0</v>
      </c>
      <c r="AM266" s="40">
        <f t="shared" si="42"/>
        <v>0</v>
      </c>
      <c r="AN266" s="40">
        <f t="shared" si="42"/>
        <v>0</v>
      </c>
      <c r="AO266" s="40">
        <f t="shared" si="42"/>
        <v>0</v>
      </c>
      <c r="AP266" s="40">
        <f t="shared" si="42"/>
        <v>0</v>
      </c>
      <c r="AQ266" s="40">
        <f t="shared" si="42"/>
        <v>0</v>
      </c>
      <c r="AR266" s="40">
        <f t="shared" si="42"/>
        <v>0</v>
      </c>
      <c r="AS266" s="40">
        <f t="shared" si="42"/>
        <v>0</v>
      </c>
      <c r="AT266" s="40">
        <f t="shared" si="42"/>
        <v>0</v>
      </c>
      <c r="AU266" s="40">
        <f t="shared" si="42"/>
        <v>0</v>
      </c>
      <c r="AV266" s="317">
        <f t="shared" si="42"/>
        <v>0</v>
      </c>
      <c r="AW266" s="317">
        <f t="shared" si="42"/>
        <v>0</v>
      </c>
      <c r="AX266" s="317">
        <f t="shared" si="42"/>
        <v>0</v>
      </c>
      <c r="AY266" s="317">
        <f t="shared" si="42"/>
        <v>0</v>
      </c>
      <c r="AZ266" s="40">
        <f t="shared" si="42"/>
        <v>0</v>
      </c>
      <c r="BA266" s="40">
        <f t="shared" si="42"/>
        <v>0</v>
      </c>
      <c r="BB266" s="40">
        <f t="shared" si="42"/>
        <v>0</v>
      </c>
      <c r="BC266" s="40">
        <f t="shared" si="42"/>
        <v>0</v>
      </c>
      <c r="BD266" s="40">
        <f t="shared" si="42"/>
        <v>0</v>
      </c>
      <c r="BE266" s="40">
        <f t="shared" si="42"/>
        <v>0</v>
      </c>
      <c r="BF266" s="40">
        <f t="shared" si="42"/>
        <v>0</v>
      </c>
      <c r="BG266" s="40">
        <f t="shared" si="42"/>
        <v>0</v>
      </c>
      <c r="BH266" s="40">
        <f t="shared" si="42"/>
        <v>0</v>
      </c>
      <c r="BI266" s="40">
        <f t="shared" si="42"/>
        <v>0</v>
      </c>
      <c r="BJ266" s="40">
        <f t="shared" si="42"/>
        <v>0</v>
      </c>
      <c r="BK266" s="40">
        <f t="shared" si="42"/>
        <v>0</v>
      </c>
      <c r="BL266" s="62">
        <f>BL267</f>
        <v>0</v>
      </c>
      <c r="BM266" s="275">
        <f>BM267</f>
        <v>2</v>
      </c>
      <c r="BN266" s="62">
        <v>0</v>
      </c>
      <c r="BO266" s="33" t="str">
        <f>BO267</f>
        <v>TNO 2020 R10987 LCA Achtergrondrapport voor brancherepresentatieve Nederlandse asfaltmengsels 2020</v>
      </c>
    </row>
    <row r="267" spans="1:67">
      <c r="A267" s="33" t="str">
        <f>Database_Productkaarten[[#This Row],[Product]]&amp;", "&amp;Database_Productkaarten[[#This Row],[Levensfase]]</f>
        <v>WB gietasfalt  - PCR 1.0, D1</v>
      </c>
      <c r="B267" s="33" t="s">
        <v>509</v>
      </c>
      <c r="C267" s="33" t="s">
        <v>483</v>
      </c>
      <c r="D267" s="33" t="s">
        <v>510</v>
      </c>
      <c r="E267" s="33" t="s">
        <v>378</v>
      </c>
      <c r="F267" s="33" t="s">
        <v>87</v>
      </c>
      <c r="L267" s="33">
        <v>2.1</v>
      </c>
      <c r="M267" s="269">
        <v>1</v>
      </c>
      <c r="N267" s="41">
        <v>0</v>
      </c>
      <c r="O267" s="33">
        <v>75</v>
      </c>
      <c r="P267" s="40">
        <v>0</v>
      </c>
      <c r="Q267" s="40">
        <v>0</v>
      </c>
      <c r="R267" s="40">
        <v>0</v>
      </c>
      <c r="S267" s="40">
        <v>0</v>
      </c>
      <c r="T267" s="40">
        <v>0</v>
      </c>
      <c r="U267" s="40">
        <v>0</v>
      </c>
      <c r="V267" s="40">
        <v>0</v>
      </c>
      <c r="W267" s="40">
        <v>0</v>
      </c>
      <c r="X267" s="40">
        <v>0</v>
      </c>
      <c r="Y267" s="40">
        <v>0</v>
      </c>
      <c r="Z267" s="40">
        <v>0</v>
      </c>
      <c r="AA267" s="40"/>
      <c r="AB267" s="40"/>
      <c r="AC267" s="40"/>
      <c r="AD267" s="40"/>
      <c r="AE267" s="40"/>
      <c r="AF267" s="40"/>
      <c r="AG267" s="40"/>
      <c r="AH267" s="40"/>
      <c r="AI267" s="40"/>
      <c r="AJ267" s="40"/>
      <c r="AK267" s="40"/>
      <c r="AL267" s="40"/>
      <c r="AM267" s="40"/>
      <c r="AN267" s="40"/>
      <c r="AO267" s="40"/>
      <c r="AP267" s="40"/>
      <c r="AQ267" s="40"/>
      <c r="AR267" s="40"/>
      <c r="AS267" s="40"/>
      <c r="AT267" s="40"/>
      <c r="AU267" s="40"/>
      <c r="AV267" s="313">
        <v>0</v>
      </c>
      <c r="AW267" s="317"/>
      <c r="AX267" s="317"/>
      <c r="AY267" s="313">
        <v>0</v>
      </c>
      <c r="AZ267" s="40"/>
      <c r="BA267" s="40"/>
      <c r="BB267" s="40"/>
      <c r="BC267" s="40">
        <v>0</v>
      </c>
      <c r="BD267" s="40">
        <v>0</v>
      </c>
      <c r="BE267" s="40">
        <v>0</v>
      </c>
      <c r="BF267" s="40">
        <v>0</v>
      </c>
      <c r="BG267" s="40"/>
      <c r="BH267" s="40"/>
      <c r="BI267" s="40"/>
      <c r="BJ267" s="40"/>
      <c r="BK267" s="40"/>
      <c r="BL267" s="62">
        <v>0</v>
      </c>
      <c r="BM267" s="275">
        <v>2</v>
      </c>
      <c r="BN267" s="62">
        <v>0</v>
      </c>
      <c r="BO267" s="33" t="s">
        <v>485</v>
      </c>
    </row>
    <row r="268" spans="1:67">
      <c r="A268" s="33" t="str">
        <f>Database_Productkaarten[[#This Row],[Product]]&amp;", "&amp;Database_Productkaarten[[#This Row],[Levensfase]]</f>
        <v>WB gietasfalt  - PCR 1.0, D2</v>
      </c>
      <c r="B268" s="33" t="s">
        <v>509</v>
      </c>
      <c r="C268" s="33" t="s">
        <v>483</v>
      </c>
      <c r="D268" s="33" t="s">
        <v>510</v>
      </c>
      <c r="E268" s="33" t="s">
        <v>378</v>
      </c>
      <c r="F268" s="33" t="s">
        <v>88</v>
      </c>
      <c r="L268" s="33">
        <v>2.1</v>
      </c>
      <c r="M268" s="269">
        <v>1</v>
      </c>
      <c r="N268" s="41">
        <v>0</v>
      </c>
      <c r="O268" s="33">
        <v>75</v>
      </c>
      <c r="P268" s="40">
        <v>0</v>
      </c>
      <c r="Q268" s="40">
        <v>0</v>
      </c>
      <c r="R268" s="40">
        <v>0</v>
      </c>
      <c r="S268" s="40">
        <v>0</v>
      </c>
      <c r="T268" s="40">
        <v>0</v>
      </c>
      <c r="U268" s="40">
        <v>0</v>
      </c>
      <c r="V268" s="40">
        <v>0</v>
      </c>
      <c r="W268" s="40">
        <v>0</v>
      </c>
      <c r="X268" s="40">
        <v>0</v>
      </c>
      <c r="Y268" s="40">
        <v>0</v>
      </c>
      <c r="Z268" s="40">
        <v>0</v>
      </c>
      <c r="AA268" s="40"/>
      <c r="AB268" s="40"/>
      <c r="AC268" s="40"/>
      <c r="AD268" s="40"/>
      <c r="AE268" s="40"/>
      <c r="AF268" s="40"/>
      <c r="AG268" s="40"/>
      <c r="AH268" s="40"/>
      <c r="AI268" s="40"/>
      <c r="AJ268" s="40"/>
      <c r="AK268" s="40"/>
      <c r="AL268" s="40"/>
      <c r="AM268" s="40"/>
      <c r="AN268" s="40"/>
      <c r="AO268" s="40"/>
      <c r="AP268" s="40"/>
      <c r="AQ268" s="40"/>
      <c r="AR268" s="40"/>
      <c r="AS268" s="40"/>
      <c r="AT268" s="40"/>
      <c r="AU268" s="40"/>
      <c r="AV268" s="313">
        <v>0</v>
      </c>
      <c r="AW268" s="317"/>
      <c r="AX268" s="317"/>
      <c r="AY268" s="313">
        <v>0</v>
      </c>
      <c r="AZ268" s="40"/>
      <c r="BA268" s="40"/>
      <c r="BB268" s="40"/>
      <c r="BC268" s="40">
        <v>0</v>
      </c>
      <c r="BD268" s="40">
        <v>0</v>
      </c>
      <c r="BE268" s="40">
        <v>0</v>
      </c>
      <c r="BF268" s="40">
        <v>0</v>
      </c>
      <c r="BG268" s="40"/>
      <c r="BH268" s="40"/>
      <c r="BI268" s="40"/>
      <c r="BJ268" s="40"/>
      <c r="BK268" s="40"/>
      <c r="BL268" s="62">
        <v>0</v>
      </c>
      <c r="BM268" s="275">
        <v>2</v>
      </c>
      <c r="BN268" s="62">
        <v>0</v>
      </c>
      <c r="BO268" s="33" t="s">
        <v>485</v>
      </c>
    </row>
    <row r="269" spans="1:67">
      <c r="A269" s="33" t="str">
        <f>Database_Productkaarten[[#This Row],[Product]]&amp;", "&amp;Database_Productkaarten[[#This Row],[Levensfase]]</f>
        <v>ZOAB Regulier - PCR 1.0, Totaal</v>
      </c>
      <c r="B269" s="33" t="s">
        <v>511</v>
      </c>
      <c r="C269" s="33" t="s">
        <v>483</v>
      </c>
      <c r="D269" s="33" t="s">
        <v>484</v>
      </c>
      <c r="E269" s="33" t="s">
        <v>378</v>
      </c>
      <c r="F269" s="33" t="s">
        <v>90</v>
      </c>
      <c r="L269" s="33">
        <v>2</v>
      </c>
      <c r="M269" s="269">
        <v>1</v>
      </c>
      <c r="N269" s="41">
        <v>8.1112845037735664</v>
      </c>
      <c r="O269" s="33">
        <v>12</v>
      </c>
      <c r="P269" s="40">
        <v>6.7787806764216E-5</v>
      </c>
      <c r="Q269" s="40">
        <v>0.86663644884847435</v>
      </c>
      <c r="R269" s="40">
        <v>69.283417823022575</v>
      </c>
      <c r="S269" s="40">
        <v>8.3310270646936262E-6</v>
      </c>
      <c r="T269" s="40">
        <v>7.4581720953815822E-2</v>
      </c>
      <c r="U269" s="40">
        <v>0.3255023661278108</v>
      </c>
      <c r="V269" s="40">
        <v>4.0766820329413096E-2</v>
      </c>
      <c r="W269" s="40">
        <v>19.343298618272712</v>
      </c>
      <c r="X269" s="40">
        <v>4.3198321421919337</v>
      </c>
      <c r="Y269" s="40">
        <v>8094.4799559591193</v>
      </c>
      <c r="Z269" s="40">
        <v>0.16954923952599016</v>
      </c>
      <c r="AA269" s="40"/>
      <c r="AB269" s="40"/>
      <c r="AC269" s="40"/>
      <c r="AD269" s="40"/>
      <c r="AE269" s="40"/>
      <c r="AF269" s="40"/>
      <c r="AG269" s="40"/>
      <c r="AH269" s="40"/>
      <c r="AI269" s="40"/>
      <c r="AJ269" s="40"/>
      <c r="AK269" s="40"/>
      <c r="AL269" s="40"/>
      <c r="AM269" s="40"/>
      <c r="AN269" s="40"/>
      <c r="AO269" s="40"/>
      <c r="AP269" s="40"/>
      <c r="AQ269" s="40"/>
      <c r="AR269" s="40"/>
      <c r="AS269" s="40"/>
      <c r="AT269" s="40"/>
      <c r="AU269" s="40"/>
      <c r="AV269" s="313">
        <v>17.438235416071073</v>
      </c>
      <c r="AW269" s="317"/>
      <c r="AX269" s="317"/>
      <c r="AY269" s="313">
        <v>1722.1284322813624</v>
      </c>
      <c r="AZ269" s="40"/>
      <c r="BA269" s="40"/>
      <c r="BB269" s="40"/>
      <c r="BC269" s="40">
        <v>12.593075134289592</v>
      </c>
      <c r="BD269" s="40">
        <v>9.6737789197495457E-4</v>
      </c>
      <c r="BE269" s="40">
        <v>2.9958267771409557</v>
      </c>
      <c r="BF269" s="40">
        <v>1.9562073933623234E-3</v>
      </c>
      <c r="BG269" s="40"/>
      <c r="BH269" s="40"/>
      <c r="BI269" s="40"/>
      <c r="BJ269" s="40"/>
      <c r="BK269" s="40"/>
      <c r="BL269" s="62">
        <v>0</v>
      </c>
      <c r="BM269" s="275">
        <v>2</v>
      </c>
      <c r="BN269" s="62">
        <v>0</v>
      </c>
      <c r="BO269" s="33" t="s">
        <v>485</v>
      </c>
    </row>
    <row r="270" spans="1:67">
      <c r="A270" s="33" t="str">
        <f>Database_Productkaarten[[#This Row],[Product]]&amp;", "&amp;Database_Productkaarten[[#This Row],[Levensfase]]</f>
        <v>ZOAB Regulier - PCR 1.0, A1</v>
      </c>
      <c r="B270" s="33" t="s">
        <v>511</v>
      </c>
      <c r="C270" s="33" t="s">
        <v>483</v>
      </c>
      <c r="D270" s="33" t="s">
        <v>484</v>
      </c>
      <c r="E270" s="33" t="s">
        <v>378</v>
      </c>
      <c r="F270" s="33" t="s">
        <v>74</v>
      </c>
      <c r="L270" s="33">
        <v>2</v>
      </c>
      <c r="M270" s="269">
        <v>1</v>
      </c>
      <c r="N270" s="41">
        <v>7.1340627120000004</v>
      </c>
      <c r="O270" s="33">
        <v>12</v>
      </c>
      <c r="P270" s="40">
        <v>9.3155686400000028E-5</v>
      </c>
      <c r="Q270" s="40">
        <v>1.1222008817</v>
      </c>
      <c r="R270" s="40">
        <v>59.748711356000001</v>
      </c>
      <c r="S270" s="40">
        <v>4.3801979700000001E-6</v>
      </c>
      <c r="T270" s="40">
        <v>0.11961337508000001</v>
      </c>
      <c r="U270" s="40">
        <v>0.35486823950000002</v>
      </c>
      <c r="V270" s="40">
        <v>3.6976672400000007E-2</v>
      </c>
      <c r="W270" s="40">
        <v>12.921095377</v>
      </c>
      <c r="X270" s="40">
        <v>1.7095732849000003</v>
      </c>
      <c r="Y270" s="40">
        <v>7469.3312525300007</v>
      </c>
      <c r="Z270" s="40">
        <v>0.23857641510000002</v>
      </c>
      <c r="AA270" s="40"/>
      <c r="AB270" s="40"/>
      <c r="AC270" s="40"/>
      <c r="AD270" s="40"/>
      <c r="AE270" s="40"/>
      <c r="AF270" s="40"/>
      <c r="AG270" s="40"/>
      <c r="AH270" s="40"/>
      <c r="AI270" s="40"/>
      <c r="AJ270" s="40"/>
      <c r="AK270" s="40"/>
      <c r="AL270" s="40"/>
      <c r="AM270" s="40"/>
      <c r="AN270" s="40"/>
      <c r="AO270" s="40"/>
      <c r="AP270" s="40"/>
      <c r="AQ270" s="40"/>
      <c r="AR270" s="40"/>
      <c r="AS270" s="40"/>
      <c r="AT270" s="40"/>
      <c r="AU270" s="40"/>
      <c r="AV270" s="313">
        <v>22.944218662000004</v>
      </c>
      <c r="AW270" s="317"/>
      <c r="AX270" s="317"/>
      <c r="AY270" s="313">
        <v>2533.748071905</v>
      </c>
      <c r="AZ270" s="40"/>
      <c r="BA270" s="40"/>
      <c r="BB270" s="40"/>
      <c r="BC270" s="40">
        <v>25.772974326300002</v>
      </c>
      <c r="BD270" s="40">
        <v>8.7350213900000005E-4</v>
      </c>
      <c r="BE270" s="40">
        <v>2.7264612820000003</v>
      </c>
      <c r="BF270" s="40">
        <v>1.5513410740000001E-3</v>
      </c>
      <c r="BG270" s="40"/>
      <c r="BH270" s="40"/>
      <c r="BI270" s="40"/>
      <c r="BJ270" s="40"/>
      <c r="BK270" s="40"/>
      <c r="BL270" s="62">
        <v>0</v>
      </c>
      <c r="BM270" s="275">
        <v>2</v>
      </c>
      <c r="BN270" s="62">
        <v>0</v>
      </c>
      <c r="BO270" s="33" t="s">
        <v>485</v>
      </c>
    </row>
    <row r="271" spans="1:67">
      <c r="A271" s="33" t="str">
        <f>Database_Productkaarten[[#This Row],[Product]]&amp;", "&amp;Database_Productkaarten[[#This Row],[Levensfase]]</f>
        <v>ZOAB Regulier - PCR 1.0, A2</v>
      </c>
      <c r="B271" s="33" t="s">
        <v>511</v>
      </c>
      <c r="C271" s="33" t="s">
        <v>483</v>
      </c>
      <c r="D271" s="33" t="s">
        <v>484</v>
      </c>
      <c r="E271" s="33" t="s">
        <v>378</v>
      </c>
      <c r="F271" s="33" t="s">
        <v>75</v>
      </c>
      <c r="L271" s="33">
        <v>2</v>
      </c>
      <c r="M271" s="269">
        <v>1</v>
      </c>
      <c r="N271" s="41">
        <v>2.6949982729950004</v>
      </c>
      <c r="O271" s="33">
        <v>12</v>
      </c>
      <c r="P271" s="40">
        <v>1.5878324348389997E-5</v>
      </c>
      <c r="Q271" s="40">
        <v>0.11292817848900001</v>
      </c>
      <c r="R271" s="40">
        <v>16.131817090548001</v>
      </c>
      <c r="S271" s="40">
        <v>2.6765108258000001E-6</v>
      </c>
      <c r="T271" s="40">
        <v>1.4278984446699998E-2</v>
      </c>
      <c r="U271" s="40">
        <v>0.23509236310620005</v>
      </c>
      <c r="V271" s="40">
        <v>2.5486231055800005E-2</v>
      </c>
      <c r="W271" s="40">
        <v>6.7391548997680006</v>
      </c>
      <c r="X271" s="40">
        <v>0.1428745167428</v>
      </c>
      <c r="Y271" s="40">
        <v>597.76107315322702</v>
      </c>
      <c r="Z271" s="40">
        <v>2.2669454678200002E-2</v>
      </c>
      <c r="AA271" s="40"/>
      <c r="AB271" s="40"/>
      <c r="AC271" s="40"/>
      <c r="AD271" s="40"/>
      <c r="AE271" s="40"/>
      <c r="AF271" s="40"/>
      <c r="AG271" s="40"/>
      <c r="AH271" s="40"/>
      <c r="AI271" s="40"/>
      <c r="AJ271" s="40"/>
      <c r="AK271" s="40"/>
      <c r="AL271" s="40"/>
      <c r="AM271" s="40"/>
      <c r="AN271" s="40"/>
      <c r="AO271" s="40"/>
      <c r="AP271" s="40"/>
      <c r="AQ271" s="40"/>
      <c r="AR271" s="40"/>
      <c r="AS271" s="40"/>
      <c r="AT271" s="40"/>
      <c r="AU271" s="40"/>
      <c r="AV271" s="313">
        <v>4.5306474319230006</v>
      </c>
      <c r="AW271" s="317"/>
      <c r="AX271" s="317"/>
      <c r="AY271" s="313">
        <v>250.22340405459701</v>
      </c>
      <c r="AZ271" s="40"/>
      <c r="BA271" s="40"/>
      <c r="BB271" s="40"/>
      <c r="BC271" s="40">
        <v>4.5229357715700004E-2</v>
      </c>
      <c r="BD271" s="40">
        <v>1.4761765820739999E-4</v>
      </c>
      <c r="BE271" s="40">
        <v>4.4763891617620013</v>
      </c>
      <c r="BF271" s="40">
        <v>1.5545043975199999E-3</v>
      </c>
      <c r="BG271" s="40"/>
      <c r="BH271" s="40"/>
      <c r="BI271" s="40"/>
      <c r="BJ271" s="40"/>
      <c r="BK271" s="40"/>
      <c r="BL271" s="62">
        <v>0</v>
      </c>
      <c r="BM271" s="275">
        <v>2</v>
      </c>
      <c r="BN271" s="62">
        <v>0</v>
      </c>
      <c r="BO271" s="33" t="s">
        <v>485</v>
      </c>
    </row>
    <row r="272" spans="1:67">
      <c r="A272" s="33" t="str">
        <f>Database_Productkaarten[[#This Row],[Product]]&amp;", "&amp;Database_Productkaarten[[#This Row],[Levensfase]]</f>
        <v>ZOAB Regulier - PCR 1.0, A3</v>
      </c>
      <c r="B272" s="33" t="s">
        <v>511</v>
      </c>
      <c r="C272" s="33" t="s">
        <v>483</v>
      </c>
      <c r="D272" s="33" t="s">
        <v>484</v>
      </c>
      <c r="E272" s="33" t="s">
        <v>378</v>
      </c>
      <c r="F272" s="33" t="s">
        <v>76</v>
      </c>
      <c r="L272" s="33">
        <v>2</v>
      </c>
      <c r="M272" s="269">
        <v>1</v>
      </c>
      <c r="N272" s="41">
        <v>1.5185990802151694</v>
      </c>
      <c r="O272" s="33">
        <v>12</v>
      </c>
      <c r="P272" s="40">
        <v>4.482238571972677E-6</v>
      </c>
      <c r="Q272" s="40">
        <v>0.17553034328457348</v>
      </c>
      <c r="R272" s="40">
        <v>20.662367042460559</v>
      </c>
      <c r="S272" s="40">
        <v>2.3542155697634425E-6</v>
      </c>
      <c r="T272" s="40">
        <v>3.394202922411581E-3</v>
      </c>
      <c r="U272" s="40">
        <v>2.341286321016188E-2</v>
      </c>
      <c r="V272" s="40">
        <v>4.3039364148497409E-3</v>
      </c>
      <c r="W272" s="40">
        <v>3.4107535854662618</v>
      </c>
      <c r="X272" s="40">
        <v>2.2597493439002938E-2</v>
      </c>
      <c r="Y272" s="40">
        <v>91.573844840287094</v>
      </c>
      <c r="Z272" s="40">
        <v>2.243368685160672E-2</v>
      </c>
      <c r="AA272" s="40"/>
      <c r="AB272" s="40"/>
      <c r="AC272" s="40"/>
      <c r="AD272" s="40"/>
      <c r="AE272" s="40"/>
      <c r="AF272" s="40"/>
      <c r="AG272" s="40"/>
      <c r="AH272" s="40"/>
      <c r="AI272" s="40"/>
      <c r="AJ272" s="40"/>
      <c r="AK272" s="40"/>
      <c r="AL272" s="40"/>
      <c r="AM272" s="40"/>
      <c r="AN272" s="40"/>
      <c r="AO272" s="40"/>
      <c r="AP272" s="40"/>
      <c r="AQ272" s="40"/>
      <c r="AR272" s="40"/>
      <c r="AS272" s="40"/>
      <c r="AT272" s="40"/>
      <c r="AU272" s="40"/>
      <c r="AV272" s="313">
        <v>6.4437049097398731</v>
      </c>
      <c r="AW272" s="317"/>
      <c r="AX272" s="317"/>
      <c r="AY272" s="313">
        <v>358.55510419501564</v>
      </c>
      <c r="AZ272" s="40"/>
      <c r="BA272" s="40"/>
      <c r="BB272" s="40"/>
      <c r="BC272" s="40">
        <v>4.2963486729940562E-2</v>
      </c>
      <c r="BD272" s="40">
        <v>4.8838005325153085E-4</v>
      </c>
      <c r="BE272" s="40">
        <v>0.24121094981487284</v>
      </c>
      <c r="BF272" s="40">
        <v>3.4419923898692948E-4</v>
      </c>
      <c r="BG272" s="40"/>
      <c r="BH272" s="40"/>
      <c r="BI272" s="40"/>
      <c r="BJ272" s="40"/>
      <c r="BK272" s="40"/>
      <c r="BL272" s="62">
        <v>0</v>
      </c>
      <c r="BM272" s="275">
        <v>2</v>
      </c>
      <c r="BN272" s="62">
        <v>0</v>
      </c>
      <c r="BO272" s="33" t="s">
        <v>485</v>
      </c>
    </row>
    <row r="273" spans="1:67">
      <c r="A273" s="33" t="str">
        <f>Database_Productkaarten[[#This Row],[Product]]&amp;", "&amp;Database_Productkaarten[[#This Row],[Levensfase]]</f>
        <v>ZOAB Regulier - PCR 1.0, A1-A3</v>
      </c>
      <c r="B273" s="33" t="str">
        <f>B272</f>
        <v>ZOAB Regulier - PCR 1.0</v>
      </c>
      <c r="C273" s="33" t="str">
        <f>C272</f>
        <v>Bitumineuze verhardingen</v>
      </c>
      <c r="D273" s="33" t="str">
        <f>D272</f>
        <v>ZOAB</v>
      </c>
      <c r="E273" s="33" t="str">
        <f>E272</f>
        <v>Ton</v>
      </c>
      <c r="F273" s="33" t="s">
        <v>77</v>
      </c>
      <c r="L273" s="33">
        <f>L272</f>
        <v>2</v>
      </c>
      <c r="M273" s="45">
        <f>M272</f>
        <v>1</v>
      </c>
      <c r="N273" s="252">
        <f>SUM(N270:N272)</f>
        <v>11.347660065210171</v>
      </c>
      <c r="O273" s="33">
        <f>O272</f>
        <v>12</v>
      </c>
      <c r="P273" s="40">
        <f>SUM(P270:P272)</f>
        <v>1.135162493203627E-4</v>
      </c>
      <c r="Q273" s="40">
        <f t="shared" ref="Q273:BK273" si="43">SUM(Q270:Q272)</f>
        <v>1.4106594034735733</v>
      </c>
      <c r="R273" s="40">
        <f t="shared" si="43"/>
        <v>96.542895489008558</v>
      </c>
      <c r="S273" s="40">
        <f t="shared" si="43"/>
        <v>9.4109243655634422E-6</v>
      </c>
      <c r="T273" s="40">
        <f t="shared" si="43"/>
        <v>0.13728656244911158</v>
      </c>
      <c r="U273" s="40">
        <f t="shared" si="43"/>
        <v>0.61337346581636198</v>
      </c>
      <c r="V273" s="40">
        <f t="shared" si="43"/>
        <v>6.6766839870649755E-2</v>
      </c>
      <c r="W273" s="40">
        <f t="shared" si="43"/>
        <v>23.071003862234264</v>
      </c>
      <c r="X273" s="40">
        <f t="shared" si="43"/>
        <v>1.8750452950818033</v>
      </c>
      <c r="Y273" s="40">
        <f t="shared" si="43"/>
        <v>8158.6661705235147</v>
      </c>
      <c r="Z273" s="40">
        <f t="shared" si="43"/>
        <v>0.28367955662980676</v>
      </c>
      <c r="AA273" s="40">
        <f t="shared" si="43"/>
        <v>0</v>
      </c>
      <c r="AB273" s="40">
        <f t="shared" si="43"/>
        <v>0</v>
      </c>
      <c r="AC273" s="40">
        <f t="shared" si="43"/>
        <v>0</v>
      </c>
      <c r="AD273" s="40">
        <f t="shared" si="43"/>
        <v>0</v>
      </c>
      <c r="AE273" s="40">
        <f t="shared" si="43"/>
        <v>0</v>
      </c>
      <c r="AF273" s="40">
        <f t="shared" si="43"/>
        <v>0</v>
      </c>
      <c r="AG273" s="40">
        <f t="shared" si="43"/>
        <v>0</v>
      </c>
      <c r="AH273" s="40">
        <f t="shared" si="43"/>
        <v>0</v>
      </c>
      <c r="AI273" s="40">
        <f t="shared" si="43"/>
        <v>0</v>
      </c>
      <c r="AJ273" s="40">
        <f t="shared" si="43"/>
        <v>0</v>
      </c>
      <c r="AK273" s="40">
        <f t="shared" si="43"/>
        <v>0</v>
      </c>
      <c r="AL273" s="40">
        <f t="shared" si="43"/>
        <v>0</v>
      </c>
      <c r="AM273" s="40">
        <f t="shared" si="43"/>
        <v>0</v>
      </c>
      <c r="AN273" s="40">
        <f t="shared" si="43"/>
        <v>0</v>
      </c>
      <c r="AO273" s="40">
        <f t="shared" si="43"/>
        <v>0</v>
      </c>
      <c r="AP273" s="40">
        <f t="shared" si="43"/>
        <v>0</v>
      </c>
      <c r="AQ273" s="40">
        <f t="shared" si="43"/>
        <v>0</v>
      </c>
      <c r="AR273" s="40">
        <f t="shared" si="43"/>
        <v>0</v>
      </c>
      <c r="AS273" s="40">
        <f t="shared" si="43"/>
        <v>0</v>
      </c>
      <c r="AT273" s="40">
        <f t="shared" si="43"/>
        <v>0</v>
      </c>
      <c r="AU273" s="40">
        <f t="shared" si="43"/>
        <v>0</v>
      </c>
      <c r="AV273" s="317">
        <f t="shared" si="43"/>
        <v>33.918571003662876</v>
      </c>
      <c r="AW273" s="317">
        <f t="shared" si="43"/>
        <v>0</v>
      </c>
      <c r="AX273" s="317">
        <f t="shared" si="43"/>
        <v>0</v>
      </c>
      <c r="AY273" s="317">
        <f t="shared" si="43"/>
        <v>3142.5265801546125</v>
      </c>
      <c r="AZ273" s="40">
        <f t="shared" si="43"/>
        <v>0</v>
      </c>
      <c r="BA273" s="40">
        <f t="shared" si="43"/>
        <v>0</v>
      </c>
      <c r="BB273" s="40">
        <f t="shared" si="43"/>
        <v>0</v>
      </c>
      <c r="BC273" s="40">
        <f t="shared" si="43"/>
        <v>25.861167170745645</v>
      </c>
      <c r="BD273" s="40">
        <f t="shared" si="43"/>
        <v>1.5094998504589308E-3</v>
      </c>
      <c r="BE273" s="40">
        <f t="shared" si="43"/>
        <v>7.4440613935768738</v>
      </c>
      <c r="BF273" s="40">
        <f t="shared" si="43"/>
        <v>3.4500447105069295E-3</v>
      </c>
      <c r="BG273" s="40">
        <f t="shared" si="43"/>
        <v>0</v>
      </c>
      <c r="BH273" s="40">
        <f t="shared" si="43"/>
        <v>0</v>
      </c>
      <c r="BI273" s="40">
        <f t="shared" si="43"/>
        <v>0</v>
      </c>
      <c r="BJ273" s="40">
        <f t="shared" si="43"/>
        <v>0</v>
      </c>
      <c r="BK273" s="40">
        <f t="shared" si="43"/>
        <v>0</v>
      </c>
      <c r="BL273" s="62">
        <f>BL272</f>
        <v>0</v>
      </c>
      <c r="BM273" s="275">
        <f>BM272</f>
        <v>2</v>
      </c>
      <c r="BN273" s="62">
        <v>0</v>
      </c>
      <c r="BO273" s="33" t="str">
        <f>BO272</f>
        <v>TNO 2020 R10987 LCA Achtergrondrapport voor brancherepresentatieve Nederlandse asfaltmengsels 2020</v>
      </c>
    </row>
    <row r="274" spans="1:67">
      <c r="A274" s="33" t="str">
        <f>Database_Productkaarten[[#This Row],[Product]]&amp;", "&amp;Database_Productkaarten[[#This Row],[Levensfase]]</f>
        <v>ZOAB Regulier - PCR 1.0, A4</v>
      </c>
      <c r="B274" s="33" t="s">
        <v>511</v>
      </c>
      <c r="C274" s="33" t="s">
        <v>483</v>
      </c>
      <c r="D274" s="33" t="s">
        <v>484</v>
      </c>
      <c r="E274" s="33" t="s">
        <v>378</v>
      </c>
      <c r="F274" s="33" t="s">
        <v>78</v>
      </c>
      <c r="L274" s="33">
        <v>2</v>
      </c>
      <c r="M274" s="269">
        <v>1</v>
      </c>
      <c r="N274" s="41">
        <v>0.62892669999999995</v>
      </c>
      <c r="O274" s="33">
        <v>12</v>
      </c>
      <c r="P274" s="40">
        <v>1.0978337000000001E-5</v>
      </c>
      <c r="Q274" s="40">
        <v>4.3183727999999998E-2</v>
      </c>
      <c r="R274" s="40">
        <v>5.7021305</v>
      </c>
      <c r="S274" s="40">
        <v>1.1335356E-6</v>
      </c>
      <c r="T274" s="40">
        <v>3.5752850000000001E-3</v>
      </c>
      <c r="U274" s="40">
        <v>1.9151161E-2</v>
      </c>
      <c r="V274" s="40">
        <v>3.8023555000000001E-3</v>
      </c>
      <c r="W274" s="40">
        <v>2.0049337999999999</v>
      </c>
      <c r="X274" s="40">
        <v>0.12926487</v>
      </c>
      <c r="Y274" s="40">
        <v>338.63108999999997</v>
      </c>
      <c r="Z274" s="40">
        <v>1.1891815999999999E-2</v>
      </c>
      <c r="AA274" s="40"/>
      <c r="AB274" s="40"/>
      <c r="AC274" s="40"/>
      <c r="AD274" s="40"/>
      <c r="AE274" s="40"/>
      <c r="AF274" s="40"/>
      <c r="AG274" s="40"/>
      <c r="AH274" s="40"/>
      <c r="AI274" s="40"/>
      <c r="AJ274" s="40"/>
      <c r="AK274" s="40"/>
      <c r="AL274" s="40"/>
      <c r="AM274" s="40"/>
      <c r="AN274" s="40"/>
      <c r="AO274" s="40"/>
      <c r="AP274" s="40"/>
      <c r="AQ274" s="40"/>
      <c r="AR274" s="40"/>
      <c r="AS274" s="40"/>
      <c r="AT274" s="40"/>
      <c r="AU274" s="40"/>
      <c r="AV274" s="313">
        <v>0</v>
      </c>
      <c r="AW274" s="317"/>
      <c r="AX274" s="317"/>
      <c r="AY274" s="313">
        <v>0</v>
      </c>
      <c r="AZ274" s="40"/>
      <c r="BA274" s="40"/>
      <c r="BB274" s="40"/>
      <c r="BC274" s="40">
        <v>0</v>
      </c>
      <c r="BD274" s="40">
        <v>0</v>
      </c>
      <c r="BE274" s="40">
        <v>0</v>
      </c>
      <c r="BF274" s="40">
        <v>0</v>
      </c>
      <c r="BG274" s="40"/>
      <c r="BH274" s="40"/>
      <c r="BI274" s="40"/>
      <c r="BJ274" s="40"/>
      <c r="BK274" s="40"/>
      <c r="BL274" s="62">
        <v>0</v>
      </c>
      <c r="BM274" s="275">
        <v>2</v>
      </c>
      <c r="BN274" s="62">
        <v>0</v>
      </c>
      <c r="BO274" s="33" t="s">
        <v>485</v>
      </c>
    </row>
    <row r="275" spans="1:67">
      <c r="A275" s="33" t="str">
        <f>Database_Productkaarten[[#This Row],[Product]]&amp;", "&amp;Database_Productkaarten[[#This Row],[Levensfase]]</f>
        <v>ZOAB Regulier - PCR 1.0, A5</v>
      </c>
      <c r="B275" s="33" t="s">
        <v>511</v>
      </c>
      <c r="C275" s="33" t="s">
        <v>483</v>
      </c>
      <c r="D275" s="33" t="s">
        <v>484</v>
      </c>
      <c r="E275" s="33" t="s">
        <v>378</v>
      </c>
      <c r="F275" s="33" t="s">
        <v>79</v>
      </c>
      <c r="L275" s="33">
        <v>2</v>
      </c>
      <c r="M275" s="269">
        <v>1</v>
      </c>
      <c r="N275" s="41">
        <v>0.14272683999999999</v>
      </c>
      <c r="O275" s="33">
        <v>12</v>
      </c>
      <c r="P275" s="40">
        <v>3.5533945000000002E-7</v>
      </c>
      <c r="Q275" s="40">
        <v>7.2947244E-3</v>
      </c>
      <c r="R275" s="40">
        <v>1.4092232</v>
      </c>
      <c r="S275" s="40">
        <v>1.9102853E-7</v>
      </c>
      <c r="T275" s="40">
        <v>5.2450969E-4</v>
      </c>
      <c r="U275" s="40">
        <v>5.7148863000000003E-3</v>
      </c>
      <c r="V275" s="40">
        <v>1.2824398000000001E-3</v>
      </c>
      <c r="W275" s="40">
        <v>0.3740175</v>
      </c>
      <c r="X275" s="40">
        <v>5.2905688999999997E-3</v>
      </c>
      <c r="Y275" s="40">
        <v>17.842372000000001</v>
      </c>
      <c r="Z275" s="40">
        <v>6.2808248E-4</v>
      </c>
      <c r="AA275" s="40"/>
      <c r="AB275" s="40"/>
      <c r="AC275" s="40"/>
      <c r="AD275" s="40"/>
      <c r="AE275" s="40"/>
      <c r="AF275" s="40"/>
      <c r="AG275" s="40"/>
      <c r="AH275" s="40"/>
      <c r="AI275" s="40"/>
      <c r="AJ275" s="40"/>
      <c r="AK275" s="40"/>
      <c r="AL275" s="40"/>
      <c r="AM275" s="40"/>
      <c r="AN275" s="40"/>
      <c r="AO275" s="40"/>
      <c r="AP275" s="40"/>
      <c r="AQ275" s="40"/>
      <c r="AR275" s="40"/>
      <c r="AS275" s="40"/>
      <c r="AT275" s="40"/>
      <c r="AU275" s="40"/>
      <c r="AV275" s="313">
        <v>8.9215747999999997E-2</v>
      </c>
      <c r="AW275" s="317"/>
      <c r="AX275" s="317"/>
      <c r="AY275" s="313">
        <v>16.353563999999999</v>
      </c>
      <c r="AZ275" s="40"/>
      <c r="BA275" s="40"/>
      <c r="BB275" s="40"/>
      <c r="BC275" s="40">
        <v>2.0153547999999999E-3</v>
      </c>
      <c r="BD275" s="40">
        <v>6.8682951000000004E-6</v>
      </c>
      <c r="BE275" s="40">
        <v>1.6399804E-2</v>
      </c>
      <c r="BF275" s="40">
        <v>1.0697427E-4</v>
      </c>
      <c r="BG275" s="40"/>
      <c r="BH275" s="40"/>
      <c r="BI275" s="40"/>
      <c r="BJ275" s="40"/>
      <c r="BK275" s="40"/>
      <c r="BL275" s="62">
        <v>0</v>
      </c>
      <c r="BM275" s="275">
        <v>2</v>
      </c>
      <c r="BN275" s="62">
        <v>0</v>
      </c>
      <c r="BO275" s="33" t="s">
        <v>485</v>
      </c>
    </row>
    <row r="276" spans="1:67">
      <c r="A276" s="33" t="str">
        <f>Database_Productkaarten[[#This Row],[Product]]&amp;", "&amp;Database_Productkaarten[[#This Row],[Levensfase]]</f>
        <v>ZOAB Regulier - PCR 1.0, B1</v>
      </c>
      <c r="B276" s="33" t="s">
        <v>511</v>
      </c>
      <c r="C276" s="33" t="s">
        <v>483</v>
      </c>
      <c r="D276" s="33" t="s">
        <v>484</v>
      </c>
      <c r="E276" s="33" t="s">
        <v>378</v>
      </c>
      <c r="F276" s="33" t="s">
        <v>80</v>
      </c>
      <c r="L276" s="33">
        <v>2</v>
      </c>
      <c r="M276" s="269">
        <v>1</v>
      </c>
      <c r="N276" s="41">
        <v>0.63803195999999995</v>
      </c>
      <c r="O276" s="33">
        <v>12</v>
      </c>
      <c r="P276" s="40">
        <v>0</v>
      </c>
      <c r="Q276" s="40">
        <v>0</v>
      </c>
      <c r="R276" s="40">
        <v>0</v>
      </c>
      <c r="S276" s="40">
        <v>0</v>
      </c>
      <c r="T276" s="40">
        <v>0</v>
      </c>
      <c r="U276" s="40">
        <v>0</v>
      </c>
      <c r="V276" s="40">
        <v>0</v>
      </c>
      <c r="W276" s="40">
        <v>2.2159960000000001</v>
      </c>
      <c r="X276" s="40">
        <v>3.1435906</v>
      </c>
      <c r="Y276" s="40">
        <v>3441.1720999999998</v>
      </c>
      <c r="Z276" s="40">
        <v>2.7899999999999999E-3</v>
      </c>
      <c r="AA276" s="40"/>
      <c r="AB276" s="40"/>
      <c r="AC276" s="40"/>
      <c r="AD276" s="40"/>
      <c r="AE276" s="40"/>
      <c r="AF276" s="40"/>
      <c r="AG276" s="40"/>
      <c r="AH276" s="40"/>
      <c r="AI276" s="40"/>
      <c r="AJ276" s="40"/>
      <c r="AK276" s="40"/>
      <c r="AL276" s="40"/>
      <c r="AM276" s="40"/>
      <c r="AN276" s="40"/>
      <c r="AO276" s="40"/>
      <c r="AP276" s="40"/>
      <c r="AQ276" s="40"/>
      <c r="AR276" s="40"/>
      <c r="AS276" s="40"/>
      <c r="AT276" s="40"/>
      <c r="AU276" s="40"/>
      <c r="AV276" s="313">
        <v>0</v>
      </c>
      <c r="AW276" s="317"/>
      <c r="AX276" s="317"/>
      <c r="AY276" s="313">
        <v>0</v>
      </c>
      <c r="AZ276" s="40"/>
      <c r="BA276" s="40"/>
      <c r="BB276" s="40"/>
      <c r="BC276" s="40">
        <v>0</v>
      </c>
      <c r="BD276" s="40">
        <v>0</v>
      </c>
      <c r="BE276" s="40">
        <v>0</v>
      </c>
      <c r="BF276" s="40">
        <v>0</v>
      </c>
      <c r="BG276" s="40"/>
      <c r="BH276" s="40"/>
      <c r="BI276" s="40"/>
      <c r="BJ276" s="40"/>
      <c r="BK276" s="40"/>
      <c r="BL276" s="62">
        <v>0</v>
      </c>
      <c r="BM276" s="275">
        <v>2</v>
      </c>
      <c r="BN276" s="62">
        <v>0</v>
      </c>
      <c r="BO276" s="33" t="s">
        <v>485</v>
      </c>
    </row>
    <row r="277" spans="1:67">
      <c r="A277" s="33" t="str">
        <f>Database_Productkaarten[[#This Row],[Product]]&amp;", "&amp;Database_Productkaarten[[#This Row],[Levensfase]]</f>
        <v>ZOAB Regulier - PCR 1.0, C1</v>
      </c>
      <c r="B277" s="33" t="s">
        <v>511</v>
      </c>
      <c r="C277" s="33" t="s">
        <v>483</v>
      </c>
      <c r="D277" s="33" t="s">
        <v>484</v>
      </c>
      <c r="E277" s="33" t="s">
        <v>378</v>
      </c>
      <c r="F277" s="33" t="s">
        <v>83</v>
      </c>
      <c r="L277" s="33">
        <v>2</v>
      </c>
      <c r="M277" s="269">
        <v>1</v>
      </c>
      <c r="N277" s="41">
        <v>0.31815712000000002</v>
      </c>
      <c r="O277" s="33">
        <v>12</v>
      </c>
      <c r="P277" s="40">
        <v>8.5503554999999996E-7</v>
      </c>
      <c r="Q277" s="40">
        <v>1.7552930000000001E-2</v>
      </c>
      <c r="R277" s="40">
        <v>3.3909432000000002</v>
      </c>
      <c r="S277" s="40">
        <v>4.596624E-7</v>
      </c>
      <c r="T277" s="40">
        <v>1.1229438E-3</v>
      </c>
      <c r="U277" s="40">
        <v>9.9389952E-3</v>
      </c>
      <c r="V277" s="40">
        <v>2.0946338000000001E-3</v>
      </c>
      <c r="W277" s="40">
        <v>0.89075641000000005</v>
      </c>
      <c r="X277" s="40">
        <v>1.2730431E-2</v>
      </c>
      <c r="Y277" s="40">
        <v>42.933207000000003</v>
      </c>
      <c r="Z277" s="40">
        <v>1.5113234999999999E-3</v>
      </c>
      <c r="AA277" s="40"/>
      <c r="AB277" s="40"/>
      <c r="AC277" s="40"/>
      <c r="AD277" s="40"/>
      <c r="AE277" s="40"/>
      <c r="AF277" s="40"/>
      <c r="AG277" s="40"/>
      <c r="AH277" s="40"/>
      <c r="AI277" s="40"/>
      <c r="AJ277" s="40"/>
      <c r="AK277" s="40"/>
      <c r="AL277" s="40"/>
      <c r="AM277" s="40"/>
      <c r="AN277" s="40"/>
      <c r="AO277" s="40"/>
      <c r="AP277" s="40"/>
      <c r="AQ277" s="40"/>
      <c r="AR277" s="40"/>
      <c r="AS277" s="40"/>
      <c r="AT277" s="40"/>
      <c r="AU277" s="40"/>
      <c r="AV277" s="313">
        <v>0.21467538999999999</v>
      </c>
      <c r="AW277" s="317"/>
      <c r="AX277" s="317"/>
      <c r="AY277" s="313">
        <v>39.350763000000001</v>
      </c>
      <c r="AZ277" s="40"/>
      <c r="BA277" s="40"/>
      <c r="BB277" s="40"/>
      <c r="BC277" s="40">
        <v>4.8494473999999999E-3</v>
      </c>
      <c r="BD277" s="40">
        <v>1.6526835000000001E-5</v>
      </c>
      <c r="BE277" s="40">
        <v>3.9462028000000003E-2</v>
      </c>
      <c r="BF277" s="40">
        <v>2.5740684000000001E-4</v>
      </c>
      <c r="BG277" s="40"/>
      <c r="BH277" s="40"/>
      <c r="BI277" s="40"/>
      <c r="BJ277" s="40"/>
      <c r="BK277" s="40"/>
      <c r="BL277" s="62">
        <v>0</v>
      </c>
      <c r="BM277" s="275">
        <v>2</v>
      </c>
      <c r="BN277" s="62">
        <v>0</v>
      </c>
      <c r="BO277" s="33" t="s">
        <v>485</v>
      </c>
    </row>
    <row r="278" spans="1:67">
      <c r="A278" s="33" t="str">
        <f>Database_Productkaarten[[#This Row],[Product]]&amp;", "&amp;Database_Productkaarten[[#This Row],[Levensfase]]</f>
        <v>ZOAB Regulier - PCR 1.0, C2</v>
      </c>
      <c r="B278" s="33" t="s">
        <v>511</v>
      </c>
      <c r="C278" s="33" t="s">
        <v>483</v>
      </c>
      <c r="D278" s="33" t="s">
        <v>484</v>
      </c>
      <c r="E278" s="33" t="s">
        <v>378</v>
      </c>
      <c r="F278" s="33" t="s">
        <v>84</v>
      </c>
      <c r="L278" s="33">
        <v>2</v>
      </c>
      <c r="M278" s="269">
        <v>1</v>
      </c>
      <c r="N278" s="41">
        <v>0.62892669999999995</v>
      </c>
      <c r="O278" s="33">
        <v>12</v>
      </c>
      <c r="P278" s="40">
        <v>1.0978337000000001E-5</v>
      </c>
      <c r="Q278" s="40">
        <v>4.3183727999999998E-2</v>
      </c>
      <c r="R278" s="40">
        <v>5.7021305</v>
      </c>
      <c r="S278" s="40">
        <v>1.1335356E-6</v>
      </c>
      <c r="T278" s="40">
        <v>3.5752850000000001E-3</v>
      </c>
      <c r="U278" s="40">
        <v>1.9151161E-2</v>
      </c>
      <c r="V278" s="40">
        <v>3.8023555000000001E-3</v>
      </c>
      <c r="W278" s="40">
        <v>2.0049337999999999</v>
      </c>
      <c r="X278" s="40">
        <v>0.12926487</v>
      </c>
      <c r="Y278" s="40">
        <v>338.63108999999997</v>
      </c>
      <c r="Z278" s="40">
        <v>1.1891815999999999E-2</v>
      </c>
      <c r="AA278" s="40"/>
      <c r="AB278" s="40"/>
      <c r="AC278" s="40"/>
      <c r="AD278" s="40"/>
      <c r="AE278" s="40"/>
      <c r="AF278" s="40"/>
      <c r="AG278" s="40"/>
      <c r="AH278" s="40"/>
      <c r="AI278" s="40"/>
      <c r="AJ278" s="40"/>
      <c r="AK278" s="40"/>
      <c r="AL278" s="40"/>
      <c r="AM278" s="40"/>
      <c r="AN278" s="40"/>
      <c r="AO278" s="40"/>
      <c r="AP278" s="40"/>
      <c r="AQ278" s="40"/>
      <c r="AR278" s="40"/>
      <c r="AS278" s="40"/>
      <c r="AT278" s="40"/>
      <c r="AU278" s="40"/>
      <c r="AV278" s="313">
        <v>0</v>
      </c>
      <c r="AW278" s="317"/>
      <c r="AX278" s="317"/>
      <c r="AY278" s="313">
        <v>0</v>
      </c>
      <c r="AZ278" s="40"/>
      <c r="BA278" s="40"/>
      <c r="BB278" s="40"/>
      <c r="BC278" s="40">
        <v>0</v>
      </c>
      <c r="BD278" s="40">
        <v>0</v>
      </c>
      <c r="BE278" s="40">
        <v>0</v>
      </c>
      <c r="BF278" s="40">
        <v>0</v>
      </c>
      <c r="BG278" s="40"/>
      <c r="BH278" s="40"/>
      <c r="BI278" s="40"/>
      <c r="BJ278" s="40"/>
      <c r="BK278" s="40"/>
      <c r="BL278" s="62">
        <v>0</v>
      </c>
      <c r="BM278" s="275">
        <v>2</v>
      </c>
      <c r="BN278" s="62">
        <v>0</v>
      </c>
      <c r="BO278" s="33" t="s">
        <v>485</v>
      </c>
    </row>
    <row r="279" spans="1:67">
      <c r="A279" s="33" t="str">
        <f>Database_Productkaarten[[#This Row],[Product]]&amp;", "&amp;Database_Productkaarten[[#This Row],[Levensfase]]</f>
        <v>ZOAB Regulier - PCR 1.0, C3</v>
      </c>
      <c r="B279" s="33" t="s">
        <v>511</v>
      </c>
      <c r="C279" s="33" t="s">
        <v>483</v>
      </c>
      <c r="D279" s="33" t="s">
        <v>484</v>
      </c>
      <c r="E279" s="33" t="s">
        <v>378</v>
      </c>
      <c r="F279" s="33" t="s">
        <v>85</v>
      </c>
      <c r="L279" s="33">
        <v>2</v>
      </c>
      <c r="M279" s="269">
        <v>1</v>
      </c>
      <c r="N279" s="41">
        <v>0.16120214999999999</v>
      </c>
      <c r="O279" s="33">
        <v>12</v>
      </c>
      <c r="P279" s="40">
        <v>4.1291555000000003E-7</v>
      </c>
      <c r="Q279" s="40">
        <v>8.4766977000000007E-3</v>
      </c>
      <c r="R279" s="40">
        <v>1.6375614000000001</v>
      </c>
      <c r="S279" s="40">
        <v>2.2198111999999999E-7</v>
      </c>
      <c r="T279" s="40">
        <v>5.9777666000000002E-4</v>
      </c>
      <c r="U279" s="40">
        <v>5.9352911000000001E-3</v>
      </c>
      <c r="V279" s="40">
        <v>1.3067828999999999E-3</v>
      </c>
      <c r="W279" s="40">
        <v>0.43290835999999999</v>
      </c>
      <c r="X279" s="40">
        <v>6.1478063999999997E-3</v>
      </c>
      <c r="Y279" s="40">
        <v>20.733394000000001</v>
      </c>
      <c r="Z279" s="40">
        <v>7.2985146999999997E-4</v>
      </c>
      <c r="AA279" s="40"/>
      <c r="AB279" s="40"/>
      <c r="AC279" s="40"/>
      <c r="AD279" s="40"/>
      <c r="AE279" s="40"/>
      <c r="AF279" s="40"/>
      <c r="AG279" s="40"/>
      <c r="AH279" s="40"/>
      <c r="AI279" s="40"/>
      <c r="AJ279" s="40"/>
      <c r="AK279" s="40"/>
      <c r="AL279" s="40"/>
      <c r="AM279" s="40"/>
      <c r="AN279" s="40"/>
      <c r="AO279" s="40"/>
      <c r="AP279" s="40"/>
      <c r="AQ279" s="40"/>
      <c r="AR279" s="40"/>
      <c r="AS279" s="40"/>
      <c r="AT279" s="40"/>
      <c r="AU279" s="40"/>
      <c r="AV279" s="313">
        <v>0.10367149000000001</v>
      </c>
      <c r="AW279" s="317"/>
      <c r="AX279" s="317"/>
      <c r="AY279" s="313">
        <v>19.003352</v>
      </c>
      <c r="AZ279" s="40"/>
      <c r="BA279" s="40"/>
      <c r="BB279" s="40"/>
      <c r="BC279" s="40">
        <v>2.3419052000000001E-3</v>
      </c>
      <c r="BD279" s="40">
        <v>7.9811734999999999E-6</v>
      </c>
      <c r="BE279" s="40">
        <v>1.9057085000000001E-2</v>
      </c>
      <c r="BF279" s="40">
        <v>1.2430745000000001E-4</v>
      </c>
      <c r="BG279" s="40"/>
      <c r="BH279" s="40"/>
      <c r="BI279" s="40"/>
      <c r="BJ279" s="40"/>
      <c r="BK279" s="40"/>
      <c r="BL279" s="62">
        <v>0</v>
      </c>
      <c r="BM279" s="275">
        <v>2</v>
      </c>
      <c r="BN279" s="62">
        <v>0</v>
      </c>
      <c r="BO279" s="33" t="s">
        <v>485</v>
      </c>
    </row>
    <row r="280" spans="1:67">
      <c r="A280" s="33" t="str">
        <f>Database_Productkaarten[[#This Row],[Product]]&amp;", "&amp;Database_Productkaarten[[#This Row],[Levensfase]]</f>
        <v>ZOAB Regulier - PCR 1.0, D</v>
      </c>
      <c r="B280" s="33" t="str">
        <f>B281</f>
        <v>ZOAB Regulier - PCR 1.0</v>
      </c>
      <c r="C280" s="33" t="str">
        <f>C281</f>
        <v>Bitumineuze verhardingen</v>
      </c>
      <c r="D280" s="33" t="str">
        <f>D281</f>
        <v>ZOAB</v>
      </c>
      <c r="E280" s="33" t="str">
        <f>E281</f>
        <v>Ton</v>
      </c>
      <c r="F280" s="33" t="s">
        <v>89</v>
      </c>
      <c r="L280" s="33">
        <f>L281</f>
        <v>2</v>
      </c>
      <c r="M280" s="45">
        <f>M281</f>
        <v>1</v>
      </c>
      <c r="N280" s="41">
        <f>SUM(N281:N282)</f>
        <v>-5.7543470314366045</v>
      </c>
      <c r="O280" s="33">
        <f>O281</f>
        <v>12</v>
      </c>
      <c r="P280" s="40">
        <f>SUM(P281:P282)</f>
        <v>-6.930840710614668E-5</v>
      </c>
      <c r="Q280" s="40">
        <f>SUM(Q281:Q282)</f>
        <v>-0.66371476272509899</v>
      </c>
      <c r="R280" s="40">
        <f>SUM(R281:R282)</f>
        <v>-45.101466465985979</v>
      </c>
      <c r="S280" s="40">
        <f t="shared" ref="S280:BK280" si="44">SUM(S281:S282)</f>
        <v>-4.2196405508698183E-6</v>
      </c>
      <c r="T280" s="40">
        <f t="shared" si="44"/>
        <v>-7.210064164529574E-2</v>
      </c>
      <c r="U280" s="40">
        <f t="shared" si="44"/>
        <v>-0.34776259428855116</v>
      </c>
      <c r="V280" s="40">
        <f t="shared" si="44"/>
        <v>-3.8288587041236652E-2</v>
      </c>
      <c r="W280" s="40">
        <f t="shared" si="44"/>
        <v>-11.651251113961553</v>
      </c>
      <c r="X280" s="40">
        <f t="shared" si="44"/>
        <v>-0.98150229918986887</v>
      </c>
      <c r="Y280" s="40">
        <f t="shared" si="44"/>
        <v>-4264.1294675643949</v>
      </c>
      <c r="Z280" s="40">
        <f t="shared" si="44"/>
        <v>-0.14357320655381656</v>
      </c>
      <c r="AA280" s="40">
        <f t="shared" si="44"/>
        <v>0</v>
      </c>
      <c r="AB280" s="40">
        <f t="shared" si="44"/>
        <v>0</v>
      </c>
      <c r="AC280" s="40">
        <f t="shared" si="44"/>
        <v>0</v>
      </c>
      <c r="AD280" s="40">
        <f t="shared" si="44"/>
        <v>0</v>
      </c>
      <c r="AE280" s="40">
        <f t="shared" si="44"/>
        <v>0</v>
      </c>
      <c r="AF280" s="40">
        <f t="shared" si="44"/>
        <v>0</v>
      </c>
      <c r="AG280" s="40">
        <f t="shared" si="44"/>
        <v>0</v>
      </c>
      <c r="AH280" s="40">
        <f t="shared" si="44"/>
        <v>0</v>
      </c>
      <c r="AI280" s="40">
        <f t="shared" si="44"/>
        <v>0</v>
      </c>
      <c r="AJ280" s="40">
        <f t="shared" si="44"/>
        <v>0</v>
      </c>
      <c r="AK280" s="40">
        <f t="shared" si="44"/>
        <v>0</v>
      </c>
      <c r="AL280" s="40">
        <f t="shared" si="44"/>
        <v>0</v>
      </c>
      <c r="AM280" s="40">
        <f t="shared" si="44"/>
        <v>0</v>
      </c>
      <c r="AN280" s="40">
        <f t="shared" si="44"/>
        <v>0</v>
      </c>
      <c r="AO280" s="40">
        <f t="shared" si="44"/>
        <v>0</v>
      </c>
      <c r="AP280" s="40">
        <f t="shared" si="44"/>
        <v>0</v>
      </c>
      <c r="AQ280" s="40">
        <f t="shared" si="44"/>
        <v>0</v>
      </c>
      <c r="AR280" s="40">
        <f t="shared" si="44"/>
        <v>0</v>
      </c>
      <c r="AS280" s="40">
        <f t="shared" si="44"/>
        <v>0</v>
      </c>
      <c r="AT280" s="40">
        <f t="shared" si="44"/>
        <v>0</v>
      </c>
      <c r="AU280" s="40">
        <f t="shared" si="44"/>
        <v>0</v>
      </c>
      <c r="AV280" s="317">
        <f t="shared" si="44"/>
        <v>-16.887898215591797</v>
      </c>
      <c r="AW280" s="317">
        <f t="shared" si="44"/>
        <v>0</v>
      </c>
      <c r="AX280" s="317">
        <f t="shared" si="44"/>
        <v>0</v>
      </c>
      <c r="AY280" s="317">
        <f t="shared" si="44"/>
        <v>-1495.1058268732506</v>
      </c>
      <c r="AZ280" s="40">
        <f t="shared" si="44"/>
        <v>0</v>
      </c>
      <c r="BA280" s="40">
        <f t="shared" si="44"/>
        <v>0</v>
      </c>
      <c r="BB280" s="40">
        <f t="shared" si="44"/>
        <v>0</v>
      </c>
      <c r="BC280" s="40">
        <f t="shared" si="44"/>
        <v>-13.277298743856047</v>
      </c>
      <c r="BD280" s="40">
        <f t="shared" si="44"/>
        <v>-5.7349826208397624E-4</v>
      </c>
      <c r="BE280" s="40">
        <f t="shared" si="44"/>
        <v>-4.5231535334359183</v>
      </c>
      <c r="BF280" s="40">
        <f t="shared" si="44"/>
        <v>-1.9825258771446063E-3</v>
      </c>
      <c r="BG280" s="40">
        <f t="shared" si="44"/>
        <v>0</v>
      </c>
      <c r="BH280" s="40">
        <f t="shared" si="44"/>
        <v>0</v>
      </c>
      <c r="BI280" s="40">
        <f t="shared" si="44"/>
        <v>0</v>
      </c>
      <c r="BJ280" s="40">
        <f t="shared" si="44"/>
        <v>0</v>
      </c>
      <c r="BK280" s="40">
        <f t="shared" si="44"/>
        <v>0</v>
      </c>
      <c r="BL280" s="62">
        <f>BL281</f>
        <v>0</v>
      </c>
      <c r="BM280" s="275">
        <f>BM281</f>
        <v>2</v>
      </c>
      <c r="BN280" s="62">
        <v>0</v>
      </c>
      <c r="BO280" s="33" t="str">
        <f>BO281</f>
        <v>TNO 2020 R10987 LCA Achtergrondrapport voor brancherepresentatieve Nederlandse asfaltmengsels 2020</v>
      </c>
    </row>
    <row r="281" spans="1:67">
      <c r="A281" s="33" t="str">
        <f>Database_Productkaarten[[#This Row],[Product]]&amp;", "&amp;Database_Productkaarten[[#This Row],[Levensfase]]</f>
        <v>ZOAB Regulier - PCR 1.0, D1</v>
      </c>
      <c r="B281" s="33" t="s">
        <v>511</v>
      </c>
      <c r="C281" s="33" t="s">
        <v>483</v>
      </c>
      <c r="D281" s="33" t="s">
        <v>484</v>
      </c>
      <c r="E281" s="33" t="s">
        <v>378</v>
      </c>
      <c r="F281" s="33" t="s">
        <v>87</v>
      </c>
      <c r="L281" s="33">
        <v>2</v>
      </c>
      <c r="M281" s="269">
        <v>1</v>
      </c>
      <c r="N281" s="41">
        <v>-4.0322548959965996</v>
      </c>
      <c r="O281" s="33">
        <v>12</v>
      </c>
      <c r="P281" s="40">
        <v>-5.9162438809600012E-5</v>
      </c>
      <c r="Q281" s="40">
        <v>-0.59155439528229992</v>
      </c>
      <c r="R281" s="40">
        <v>-34.793334038245604</v>
      </c>
      <c r="S281" s="40">
        <v>-2.5093685628300001E-6</v>
      </c>
      <c r="T281" s="40">
        <v>-6.297642913432E-2</v>
      </c>
      <c r="U281" s="40">
        <v>-0.19753900184590001</v>
      </c>
      <c r="V281" s="40">
        <v>-2.2002971632000004E-2</v>
      </c>
      <c r="W281" s="40">
        <v>-7.3449715909838016</v>
      </c>
      <c r="X281" s="40">
        <v>-0.89020665844010005</v>
      </c>
      <c r="Y281" s="40">
        <v>-3882.164332552114</v>
      </c>
      <c r="Z281" s="40">
        <v>-0.1290875645349</v>
      </c>
      <c r="AA281" s="40"/>
      <c r="AB281" s="40"/>
      <c r="AC281" s="40"/>
      <c r="AD281" s="40"/>
      <c r="AE281" s="40"/>
      <c r="AF281" s="40"/>
      <c r="AG281" s="40"/>
      <c r="AH281" s="40"/>
      <c r="AI281" s="40"/>
      <c r="AJ281" s="40"/>
      <c r="AK281" s="40"/>
      <c r="AL281" s="40"/>
      <c r="AM281" s="40"/>
      <c r="AN281" s="40"/>
      <c r="AO281" s="40"/>
      <c r="AP281" s="40"/>
      <c r="AQ281" s="40"/>
      <c r="AR281" s="40"/>
      <c r="AS281" s="40"/>
      <c r="AT281" s="40"/>
      <c r="AU281" s="40"/>
      <c r="AV281" s="313">
        <v>-13.992830659550599</v>
      </c>
      <c r="AW281" s="317"/>
      <c r="AX281" s="317"/>
      <c r="AY281" s="313">
        <v>-1335.214710695883</v>
      </c>
      <c r="AZ281" s="40"/>
      <c r="BA281" s="40"/>
      <c r="BB281" s="40"/>
      <c r="BC281" s="40">
        <v>-13.248397445732103</v>
      </c>
      <c r="BD281" s="40">
        <v>-4.7917155882100002E-4</v>
      </c>
      <c r="BE281" s="40">
        <v>-1.6628346190832002</v>
      </c>
      <c r="BF281" s="40">
        <v>-9.8920794428600006E-4</v>
      </c>
      <c r="BG281" s="40"/>
      <c r="BH281" s="40"/>
      <c r="BI281" s="40"/>
      <c r="BJ281" s="40"/>
      <c r="BK281" s="40"/>
      <c r="BL281" s="62">
        <v>0</v>
      </c>
      <c r="BM281" s="275">
        <v>2</v>
      </c>
      <c r="BN281" s="62">
        <v>0</v>
      </c>
      <c r="BO281" s="33" t="s">
        <v>485</v>
      </c>
    </row>
    <row r="282" spans="1:67">
      <c r="A282" s="33" t="str">
        <f>Database_Productkaarten[[#This Row],[Product]]&amp;", "&amp;Database_Productkaarten[[#This Row],[Levensfase]]</f>
        <v>ZOAB Regulier - PCR 1.0, D2</v>
      </c>
      <c r="B282" s="33" t="s">
        <v>511</v>
      </c>
      <c r="C282" s="33" t="s">
        <v>483</v>
      </c>
      <c r="D282" s="33" t="s">
        <v>484</v>
      </c>
      <c r="E282" s="33" t="s">
        <v>378</v>
      </c>
      <c r="F282" s="33" t="s">
        <v>88</v>
      </c>
      <c r="L282" s="33">
        <v>2</v>
      </c>
      <c r="M282" s="269">
        <v>1</v>
      </c>
      <c r="N282" s="41">
        <v>-1.7220921354400052</v>
      </c>
      <c r="O282" s="33">
        <v>12</v>
      </c>
      <c r="P282" s="40">
        <v>-1.0145968296546672E-5</v>
      </c>
      <c r="Q282" s="40">
        <v>-7.2160367442799037E-2</v>
      </c>
      <c r="R282" s="40">
        <v>-10.308132427740373</v>
      </c>
      <c r="S282" s="40">
        <v>-1.7102719880398182E-6</v>
      </c>
      <c r="T282" s="40">
        <v>-9.1242125109757405E-3</v>
      </c>
      <c r="U282" s="40">
        <v>-0.15022359244265115</v>
      </c>
      <c r="V282" s="40">
        <v>-1.6285615409236644E-2</v>
      </c>
      <c r="W282" s="40">
        <v>-4.3062795229777526</v>
      </c>
      <c r="X282" s="40">
        <v>-9.1295640749768814E-2</v>
      </c>
      <c r="Y282" s="40">
        <v>-381.96513501228094</v>
      </c>
      <c r="Z282" s="40">
        <v>-1.4485642018916544E-2</v>
      </c>
      <c r="AA282" s="40"/>
      <c r="AB282" s="40"/>
      <c r="AC282" s="40"/>
      <c r="AD282" s="40"/>
      <c r="AE282" s="40"/>
      <c r="AF282" s="40"/>
      <c r="AG282" s="40"/>
      <c r="AH282" s="40"/>
      <c r="AI282" s="40"/>
      <c r="AJ282" s="40"/>
      <c r="AK282" s="40"/>
      <c r="AL282" s="40"/>
      <c r="AM282" s="40"/>
      <c r="AN282" s="40"/>
      <c r="AO282" s="40"/>
      <c r="AP282" s="40"/>
      <c r="AQ282" s="40"/>
      <c r="AR282" s="40"/>
      <c r="AS282" s="40"/>
      <c r="AT282" s="40"/>
      <c r="AU282" s="40"/>
      <c r="AV282" s="313">
        <v>-2.8950675560411971</v>
      </c>
      <c r="AW282" s="317"/>
      <c r="AX282" s="317"/>
      <c r="AY282" s="313">
        <v>-159.89111617736771</v>
      </c>
      <c r="AZ282" s="40"/>
      <c r="BA282" s="40"/>
      <c r="BB282" s="40"/>
      <c r="BC282" s="40">
        <v>-2.8901298123944166E-2</v>
      </c>
      <c r="BD282" s="40">
        <v>-9.4326703262976206E-5</v>
      </c>
      <c r="BE282" s="40">
        <v>-2.8603189143527179</v>
      </c>
      <c r="BF282" s="40">
        <v>-9.9331793285860619E-4</v>
      </c>
      <c r="BG282" s="40"/>
      <c r="BH282" s="40"/>
      <c r="BI282" s="40"/>
      <c r="BJ282" s="40"/>
      <c r="BK282" s="40"/>
      <c r="BL282" s="62">
        <v>0</v>
      </c>
      <c r="BM282" s="275">
        <v>2</v>
      </c>
      <c r="BN282" s="62">
        <v>0</v>
      </c>
      <c r="BO282" s="33" t="s">
        <v>485</v>
      </c>
    </row>
    <row r="283" spans="1:67">
      <c r="A283" s="33" t="str">
        <f>Database_Productkaarten[[#This Row],[Product]]&amp;", "&amp;Database_Productkaarten[[#This Row],[Levensfase]]</f>
        <v>AC 8 surf rood - PCR 1.0 - Gelderland, Totaal</v>
      </c>
      <c r="B283" s="33" t="s">
        <v>512</v>
      </c>
      <c r="C283" s="33" t="s">
        <v>483</v>
      </c>
      <c r="D283" s="33" t="s">
        <v>494</v>
      </c>
      <c r="E283" s="33" t="s">
        <v>378</v>
      </c>
      <c r="F283" s="33" t="s">
        <v>90</v>
      </c>
      <c r="L283" s="33">
        <v>2.35</v>
      </c>
      <c r="M283" s="269">
        <v>1</v>
      </c>
      <c r="N283" s="41">
        <v>12.73</v>
      </c>
      <c r="O283" s="33">
        <v>14</v>
      </c>
      <c r="P283" s="40"/>
      <c r="Q283" s="40"/>
      <c r="R283" s="40">
        <v>113.2</v>
      </c>
      <c r="S283" s="40"/>
      <c r="T283" s="40"/>
      <c r="U283" s="40"/>
      <c r="V283" s="40"/>
      <c r="W283" s="40"/>
      <c r="X283" s="40"/>
      <c r="Y283" s="40"/>
      <c r="Z283" s="40"/>
      <c r="AA283" s="40"/>
      <c r="AB283" s="40"/>
      <c r="AC283" s="40"/>
      <c r="AD283" s="40"/>
      <c r="AE283" s="40"/>
      <c r="AF283" s="40"/>
      <c r="AG283" s="40"/>
      <c r="AH283" s="40"/>
      <c r="AI283" s="40"/>
      <c r="AJ283" s="40"/>
      <c r="AK283" s="40"/>
      <c r="AL283" s="40"/>
      <c r="AM283" s="40"/>
      <c r="AN283" s="40"/>
      <c r="AO283" s="40"/>
      <c r="AP283" s="40"/>
      <c r="AQ283" s="40"/>
      <c r="AR283" s="40"/>
      <c r="AS283" s="40"/>
      <c r="AT283" s="40"/>
      <c r="AU283" s="40"/>
      <c r="AV283" s="40">
        <v>59.86</v>
      </c>
      <c r="AW283" s="40"/>
      <c r="AX283" s="40"/>
      <c r="AY283" s="40">
        <v>2966</v>
      </c>
      <c r="AZ283" s="40"/>
      <c r="BA283" s="40"/>
      <c r="BB283" s="40"/>
      <c r="BC283" s="40"/>
      <c r="BD283" s="40"/>
      <c r="BE283" s="40"/>
      <c r="BF283" s="40"/>
      <c r="BG283" s="40"/>
      <c r="BH283" s="40"/>
      <c r="BI283" s="40"/>
      <c r="BJ283" s="40"/>
      <c r="BK283" s="40"/>
      <c r="BL283" s="62">
        <v>0</v>
      </c>
      <c r="BM283" s="275">
        <v>2</v>
      </c>
      <c r="BN283" s="62">
        <v>0</v>
      </c>
      <c r="BO283" s="33" t="s">
        <v>513</v>
      </c>
    </row>
    <row r="284" spans="1:67">
      <c r="A284" s="33" t="str">
        <f>Database_Productkaarten[[#This Row],[Product]]&amp;", "&amp;Database_Productkaarten[[#This Row],[Levensfase]]</f>
        <v>AC 8 surf rood - PCR 1.0 - Gelderland, A1</v>
      </c>
      <c r="B284" s="33" t="s">
        <v>512</v>
      </c>
      <c r="C284" s="33" t="s">
        <v>483</v>
      </c>
      <c r="D284" s="33" t="s">
        <v>494</v>
      </c>
      <c r="E284" s="33" t="s">
        <v>378</v>
      </c>
      <c r="F284" s="33" t="s">
        <v>74</v>
      </c>
      <c r="L284" s="33">
        <v>2.35</v>
      </c>
      <c r="M284" s="269">
        <v>1</v>
      </c>
      <c r="N284" s="41">
        <v>12.48</v>
      </c>
      <c r="O284" s="33">
        <v>14</v>
      </c>
      <c r="P284" s="40"/>
      <c r="Q284" s="40"/>
      <c r="R284" s="40">
        <v>97.5</v>
      </c>
      <c r="S284" s="40"/>
      <c r="T284" s="40"/>
      <c r="U284" s="40"/>
      <c r="V284" s="40"/>
      <c r="W284" s="40"/>
      <c r="X284" s="40"/>
      <c r="Y284" s="40"/>
      <c r="Z284" s="40"/>
      <c r="AA284" s="40"/>
      <c r="AB284" s="40"/>
      <c r="AC284" s="40"/>
      <c r="AD284" s="40"/>
      <c r="AE284" s="40"/>
      <c r="AF284" s="40"/>
      <c r="AG284" s="40"/>
      <c r="AH284" s="40"/>
      <c r="AI284" s="40"/>
      <c r="AJ284" s="40"/>
      <c r="AK284" s="40"/>
      <c r="AL284" s="40"/>
      <c r="AM284" s="40"/>
      <c r="AN284" s="40"/>
      <c r="AO284" s="40"/>
      <c r="AP284" s="40"/>
      <c r="AQ284" s="40"/>
      <c r="AR284" s="40"/>
      <c r="AS284" s="40"/>
      <c r="AT284" s="40"/>
      <c r="AU284" s="40"/>
      <c r="AV284" s="40">
        <v>58.72</v>
      </c>
      <c r="AW284" s="40"/>
      <c r="AX284" s="40"/>
      <c r="AY284" s="40">
        <v>3963</v>
      </c>
      <c r="AZ284" s="40"/>
      <c r="BA284" s="40"/>
      <c r="BB284" s="40"/>
      <c r="BC284" s="40"/>
      <c r="BD284" s="40"/>
      <c r="BE284" s="40"/>
      <c r="BF284" s="40"/>
      <c r="BG284" s="40"/>
      <c r="BH284" s="40"/>
      <c r="BI284" s="40"/>
      <c r="BJ284" s="40"/>
      <c r="BK284" s="40"/>
      <c r="BL284" s="62">
        <v>0</v>
      </c>
      <c r="BM284" s="275">
        <v>2</v>
      </c>
      <c r="BN284" s="62">
        <v>0</v>
      </c>
      <c r="BO284" s="33" t="s">
        <v>513</v>
      </c>
    </row>
    <row r="285" spans="1:67">
      <c r="A285" s="33" t="str">
        <f>Database_Productkaarten[[#This Row],[Product]]&amp;", "&amp;Database_Productkaarten[[#This Row],[Levensfase]]</f>
        <v>AC 8 surf rood - PCR 1.0 - Gelderland, A2</v>
      </c>
      <c r="B285" s="33" t="s">
        <v>512</v>
      </c>
      <c r="C285" s="33" t="s">
        <v>483</v>
      </c>
      <c r="D285" s="33" t="s">
        <v>494</v>
      </c>
      <c r="E285" s="33" t="s">
        <v>378</v>
      </c>
      <c r="F285" s="33" t="s">
        <v>75</v>
      </c>
      <c r="L285" s="33">
        <v>2.35</v>
      </c>
      <c r="M285" s="269">
        <v>1</v>
      </c>
      <c r="N285" s="41">
        <v>2.5670000000000002</v>
      </c>
      <c r="O285" s="33">
        <v>14</v>
      </c>
      <c r="P285" s="40"/>
      <c r="Q285" s="40"/>
      <c r="R285" s="40">
        <v>18.75</v>
      </c>
      <c r="S285" s="40"/>
      <c r="T285" s="40"/>
      <c r="U285" s="40"/>
      <c r="V285" s="40"/>
      <c r="W285" s="40"/>
      <c r="X285" s="40"/>
      <c r="Y285" s="40"/>
      <c r="Z285" s="40"/>
      <c r="AA285" s="40"/>
      <c r="AB285" s="40"/>
      <c r="AC285" s="40"/>
      <c r="AD285" s="40"/>
      <c r="AE285" s="40"/>
      <c r="AF285" s="40"/>
      <c r="AG285" s="40"/>
      <c r="AH285" s="40"/>
      <c r="AI285" s="40"/>
      <c r="AJ285" s="40"/>
      <c r="AK285" s="40"/>
      <c r="AL285" s="40"/>
      <c r="AM285" s="40"/>
      <c r="AN285" s="40"/>
      <c r="AO285" s="40"/>
      <c r="AP285" s="40"/>
      <c r="AQ285" s="40"/>
      <c r="AR285" s="40"/>
      <c r="AS285" s="40"/>
      <c r="AT285" s="40"/>
      <c r="AU285" s="40"/>
      <c r="AV285" s="40">
        <v>5.08</v>
      </c>
      <c r="AW285" s="40"/>
      <c r="AX285" s="40"/>
      <c r="AY285" s="40">
        <v>282.60000000000002</v>
      </c>
      <c r="AZ285" s="40"/>
      <c r="BA285" s="40"/>
      <c r="BB285" s="40"/>
      <c r="BC285" s="40"/>
      <c r="BD285" s="40"/>
      <c r="BE285" s="40"/>
      <c r="BF285" s="40"/>
      <c r="BG285" s="40"/>
      <c r="BH285" s="40"/>
      <c r="BI285" s="40"/>
      <c r="BJ285" s="40"/>
      <c r="BK285" s="40"/>
      <c r="BL285" s="62">
        <v>0</v>
      </c>
      <c r="BM285" s="275">
        <v>2</v>
      </c>
      <c r="BN285" s="62">
        <v>0</v>
      </c>
      <c r="BO285" s="33" t="s">
        <v>513</v>
      </c>
    </row>
    <row r="286" spans="1:67">
      <c r="A286" s="33" t="str">
        <f>Database_Productkaarten[[#This Row],[Product]]&amp;", "&amp;Database_Productkaarten[[#This Row],[Levensfase]]</f>
        <v>AC 8 surf rood - PCR 1.0 - Gelderland, A3</v>
      </c>
      <c r="B286" s="33" t="s">
        <v>512</v>
      </c>
      <c r="C286" s="33" t="s">
        <v>483</v>
      </c>
      <c r="D286" s="33" t="s">
        <v>494</v>
      </c>
      <c r="E286" s="33" t="s">
        <v>378</v>
      </c>
      <c r="F286" s="33" t="s">
        <v>76</v>
      </c>
      <c r="L286" s="33">
        <v>2.35</v>
      </c>
      <c r="M286" s="269">
        <v>1</v>
      </c>
      <c r="N286" s="41">
        <v>1.714</v>
      </c>
      <c r="O286" s="33">
        <v>14</v>
      </c>
      <c r="P286" s="40"/>
      <c r="Q286" s="40"/>
      <c r="R286" s="40">
        <v>23.69</v>
      </c>
      <c r="S286" s="40"/>
      <c r="T286" s="40"/>
      <c r="U286" s="40"/>
      <c r="V286" s="40"/>
      <c r="W286" s="40"/>
      <c r="X286" s="40"/>
      <c r="Y286" s="40"/>
      <c r="Z286" s="40"/>
      <c r="AA286" s="40"/>
      <c r="AB286" s="40"/>
      <c r="AC286" s="40"/>
      <c r="AD286" s="40"/>
      <c r="AE286" s="40"/>
      <c r="AF286" s="40"/>
      <c r="AG286" s="40"/>
      <c r="AH286" s="40"/>
      <c r="AI286" s="40"/>
      <c r="AJ286" s="40"/>
      <c r="AK286" s="40"/>
      <c r="AL286" s="40"/>
      <c r="AM286" s="40"/>
      <c r="AN286" s="40"/>
      <c r="AO286" s="40"/>
      <c r="AP286" s="40"/>
      <c r="AQ286" s="40"/>
      <c r="AR286" s="40"/>
      <c r="AS286" s="40"/>
      <c r="AT286" s="40"/>
      <c r="AU286" s="40"/>
      <c r="AV286" s="40">
        <v>7.5990000000000002</v>
      </c>
      <c r="AW286" s="40"/>
      <c r="AX286" s="40"/>
      <c r="AY286" s="40">
        <v>410.7</v>
      </c>
      <c r="AZ286" s="40"/>
      <c r="BA286" s="40"/>
      <c r="BB286" s="40"/>
      <c r="BC286" s="40"/>
      <c r="BD286" s="40"/>
      <c r="BE286" s="40"/>
      <c r="BF286" s="40"/>
      <c r="BG286" s="40"/>
      <c r="BH286" s="40"/>
      <c r="BI286" s="40"/>
      <c r="BJ286" s="40"/>
      <c r="BK286" s="40"/>
      <c r="BL286" s="62">
        <v>0</v>
      </c>
      <c r="BM286" s="275">
        <v>2</v>
      </c>
      <c r="BN286" s="62">
        <v>0</v>
      </c>
      <c r="BO286" s="33" t="s">
        <v>513</v>
      </c>
    </row>
    <row r="287" spans="1:67">
      <c r="A287" s="33" t="str">
        <f>Database_Productkaarten[[#This Row],[Product]]&amp;", "&amp;Database_Productkaarten[[#This Row],[Levensfase]]</f>
        <v>AC 8 surf rood - PCR 1.0 - Gelderland, A1-A3</v>
      </c>
      <c r="B287" s="33" t="s">
        <v>512</v>
      </c>
      <c r="C287" s="33" t="s">
        <v>483</v>
      </c>
      <c r="D287" s="33" t="s">
        <v>494</v>
      </c>
      <c r="E287" s="33" t="s">
        <v>378</v>
      </c>
      <c r="F287" s="33" t="s">
        <v>77</v>
      </c>
      <c r="L287" s="33">
        <v>2.35</v>
      </c>
      <c r="M287" s="269">
        <v>1</v>
      </c>
      <c r="N287" s="252">
        <v>16.760000000000002</v>
      </c>
      <c r="O287" s="33">
        <v>14</v>
      </c>
      <c r="P287" s="40"/>
      <c r="Q287" s="40"/>
      <c r="R287" s="40">
        <v>139.9</v>
      </c>
      <c r="S287" s="40"/>
      <c r="T287" s="40"/>
      <c r="U287" s="40"/>
      <c r="V287" s="40"/>
      <c r="W287" s="40"/>
      <c r="X287" s="40"/>
      <c r="Y287" s="40"/>
      <c r="Z287" s="40"/>
      <c r="AA287" s="40"/>
      <c r="AB287" s="40"/>
      <c r="AC287" s="40"/>
      <c r="AD287" s="40"/>
      <c r="AE287" s="40"/>
      <c r="AF287" s="40"/>
      <c r="AG287" s="40"/>
      <c r="AH287" s="40"/>
      <c r="AI287" s="40"/>
      <c r="AJ287" s="40"/>
      <c r="AK287" s="40"/>
      <c r="AL287" s="40"/>
      <c r="AM287" s="40"/>
      <c r="AN287" s="40"/>
      <c r="AO287" s="40"/>
      <c r="AP287" s="40"/>
      <c r="AQ287" s="40"/>
      <c r="AR287" s="40"/>
      <c r="AS287" s="40"/>
      <c r="AT287" s="40"/>
      <c r="AU287" s="40"/>
      <c r="AV287" s="40">
        <v>71.400000000000006</v>
      </c>
      <c r="AW287" s="40"/>
      <c r="AX287" s="40"/>
      <c r="AY287" s="40">
        <v>4656</v>
      </c>
      <c r="AZ287" s="40"/>
      <c r="BA287" s="40"/>
      <c r="BB287" s="40"/>
      <c r="BC287" s="40"/>
      <c r="BD287" s="40"/>
      <c r="BE287" s="40"/>
      <c r="BF287" s="40"/>
      <c r="BG287" s="40"/>
      <c r="BH287" s="40"/>
      <c r="BI287" s="40"/>
      <c r="BJ287" s="40"/>
      <c r="BK287" s="40"/>
      <c r="BL287" s="62">
        <v>0</v>
      </c>
      <c r="BM287" s="275">
        <v>2</v>
      </c>
      <c r="BN287" s="62">
        <v>0</v>
      </c>
      <c r="BO287" s="33" t="s">
        <v>513</v>
      </c>
    </row>
    <row r="288" spans="1:67">
      <c r="A288" s="33" t="str">
        <f>Database_Productkaarten[[#This Row],[Product]]&amp;", "&amp;Database_Productkaarten[[#This Row],[Levensfase]]</f>
        <v>AC 8 surf rood - PCR 1.0 - Gelderland, A4</v>
      </c>
      <c r="B288" s="33" t="s">
        <v>512</v>
      </c>
      <c r="C288" s="33" t="s">
        <v>483</v>
      </c>
      <c r="D288" s="33" t="s">
        <v>494</v>
      </c>
      <c r="E288" s="33" t="s">
        <v>378</v>
      </c>
      <c r="F288" s="33" t="s">
        <v>78</v>
      </c>
      <c r="L288" s="33">
        <v>2.35</v>
      </c>
      <c r="M288" s="269">
        <v>1</v>
      </c>
      <c r="N288" s="41">
        <v>0.62580000000000002</v>
      </c>
      <c r="O288" s="33">
        <v>14</v>
      </c>
      <c r="P288" s="40"/>
      <c r="Q288" s="40"/>
      <c r="R288" s="40">
        <v>5.6740000000000004</v>
      </c>
      <c r="S288" s="40"/>
      <c r="T288" s="40"/>
      <c r="U288" s="40"/>
      <c r="V288" s="40"/>
      <c r="W288" s="40"/>
      <c r="X288" s="40"/>
      <c r="Y288" s="40"/>
      <c r="Z288" s="40"/>
      <c r="AA288" s="40"/>
      <c r="AB288" s="40"/>
      <c r="AC288" s="40"/>
      <c r="AD288" s="40"/>
      <c r="AE288" s="40"/>
      <c r="AF288" s="40"/>
      <c r="AG288" s="40"/>
      <c r="AH288" s="40"/>
      <c r="AI288" s="40"/>
      <c r="AJ288" s="40"/>
      <c r="AK288" s="40"/>
      <c r="AL288" s="40"/>
      <c r="AM288" s="40"/>
      <c r="AN288" s="40"/>
      <c r="AO288" s="40"/>
      <c r="AP288" s="40"/>
      <c r="AQ288" s="40"/>
      <c r="AR288" s="40"/>
      <c r="AS288" s="40"/>
      <c r="AT288" s="40"/>
      <c r="AU288" s="40"/>
      <c r="AV288" s="40">
        <v>1.536</v>
      </c>
      <c r="AW288" s="40"/>
      <c r="AX288" s="40"/>
      <c r="AY288" s="40">
        <v>98.15</v>
      </c>
      <c r="AZ288" s="40"/>
      <c r="BA288" s="40"/>
      <c r="BB288" s="40"/>
      <c r="BC288" s="40"/>
      <c r="BD288" s="40"/>
      <c r="BE288" s="40"/>
      <c r="BF288" s="40"/>
      <c r="BG288" s="40"/>
      <c r="BH288" s="40"/>
      <c r="BI288" s="40"/>
      <c r="BJ288" s="40"/>
      <c r="BK288" s="40"/>
      <c r="BL288" s="62">
        <v>0</v>
      </c>
      <c r="BM288" s="275">
        <v>2</v>
      </c>
      <c r="BN288" s="62">
        <v>0</v>
      </c>
      <c r="BO288" s="33" t="s">
        <v>513</v>
      </c>
    </row>
    <row r="289" spans="1:67">
      <c r="A289" s="33" t="str">
        <f>Database_Productkaarten[[#This Row],[Product]]&amp;", "&amp;Database_Productkaarten[[#This Row],[Levensfase]]</f>
        <v>AC 8 surf rood - PCR 1.0 - Gelderland, A5</v>
      </c>
      <c r="B289" s="33" t="s">
        <v>512</v>
      </c>
      <c r="C289" s="33" t="s">
        <v>483</v>
      </c>
      <c r="D289" s="33" t="s">
        <v>494</v>
      </c>
      <c r="E289" s="33" t="s">
        <v>378</v>
      </c>
      <c r="F289" s="33" t="s">
        <v>79</v>
      </c>
      <c r="L289" s="33">
        <v>2.35</v>
      </c>
      <c r="M289" s="269">
        <v>1</v>
      </c>
      <c r="N289" s="41">
        <v>0.26129999999999998</v>
      </c>
      <c r="O289" s="33">
        <v>14</v>
      </c>
      <c r="P289" s="40"/>
      <c r="Q289" s="40"/>
      <c r="R289" s="40">
        <v>2.5529999999999999</v>
      </c>
      <c r="S289" s="40"/>
      <c r="T289" s="40"/>
      <c r="U289" s="40"/>
      <c r="V289" s="40"/>
      <c r="W289" s="40"/>
      <c r="X289" s="40"/>
      <c r="Y289" s="40"/>
      <c r="Z289" s="40"/>
      <c r="AA289" s="40"/>
      <c r="AB289" s="40"/>
      <c r="AC289" s="40"/>
      <c r="AD289" s="40"/>
      <c r="AE289" s="40"/>
      <c r="AF289" s="40"/>
      <c r="AG289" s="40"/>
      <c r="AH289" s="40"/>
      <c r="AI289" s="40"/>
      <c r="AJ289" s="40"/>
      <c r="AK289" s="40"/>
      <c r="AL289" s="40"/>
      <c r="AM289" s="40"/>
      <c r="AN289" s="40"/>
      <c r="AO289" s="40"/>
      <c r="AP289" s="40"/>
      <c r="AQ289" s="40"/>
      <c r="AR289" s="40"/>
      <c r="AS289" s="40"/>
      <c r="AT289" s="40"/>
      <c r="AU289" s="40"/>
      <c r="AV289" s="40">
        <v>0.1641</v>
      </c>
      <c r="AW289" s="40"/>
      <c r="AX289" s="40"/>
      <c r="AY289" s="40">
        <v>29.64</v>
      </c>
      <c r="AZ289" s="40"/>
      <c r="BA289" s="40"/>
      <c r="BB289" s="40"/>
      <c r="BC289" s="40"/>
      <c r="BD289" s="40"/>
      <c r="BE289" s="40"/>
      <c r="BF289" s="40"/>
      <c r="BG289" s="40"/>
      <c r="BH289" s="40"/>
      <c r="BI289" s="40"/>
      <c r="BJ289" s="40"/>
      <c r="BK289" s="40"/>
      <c r="BL289" s="62">
        <v>0</v>
      </c>
      <c r="BM289" s="275">
        <v>2</v>
      </c>
      <c r="BN289" s="62">
        <v>0</v>
      </c>
      <c r="BO289" s="33" t="s">
        <v>513</v>
      </c>
    </row>
    <row r="290" spans="1:67">
      <c r="A290" s="33" t="str">
        <f>Database_Productkaarten[[#This Row],[Product]]&amp;", "&amp;Database_Productkaarten[[#This Row],[Levensfase]]</f>
        <v>AC 8 surf rood - PCR 1.0 - Gelderland, B1</v>
      </c>
      <c r="B290" s="33" t="s">
        <v>512</v>
      </c>
      <c r="C290" s="33" t="s">
        <v>483</v>
      </c>
      <c r="D290" s="33" t="s">
        <v>494</v>
      </c>
      <c r="E290" s="33" t="s">
        <v>378</v>
      </c>
      <c r="F290" s="33" t="s">
        <v>80</v>
      </c>
      <c r="L290" s="33">
        <v>2.35</v>
      </c>
      <c r="M290" s="269">
        <v>1</v>
      </c>
      <c r="N290" s="41">
        <v>8.3169999999999994E-2</v>
      </c>
      <c r="O290" s="33">
        <v>14</v>
      </c>
      <c r="P290" s="40"/>
      <c r="Q290" s="40"/>
      <c r="R290" s="40">
        <v>0</v>
      </c>
      <c r="S290" s="40"/>
      <c r="T290" s="40"/>
      <c r="U290" s="40"/>
      <c r="V290" s="40"/>
      <c r="W290" s="40"/>
      <c r="X290" s="40"/>
      <c r="Y290" s="40"/>
      <c r="Z290" s="40"/>
      <c r="AA290" s="40"/>
      <c r="AB290" s="40"/>
      <c r="AC290" s="40"/>
      <c r="AD290" s="40"/>
      <c r="AE290" s="40"/>
      <c r="AF290" s="40"/>
      <c r="AG290" s="40"/>
      <c r="AH290" s="40"/>
      <c r="AI290" s="40"/>
      <c r="AJ290" s="40"/>
      <c r="AK290" s="40"/>
      <c r="AL290" s="40"/>
      <c r="AM290" s="40"/>
      <c r="AN290" s="40"/>
      <c r="AO290" s="40"/>
      <c r="AP290" s="40"/>
      <c r="AQ290" s="40"/>
      <c r="AR290" s="40"/>
      <c r="AS290" s="40"/>
      <c r="AT290" s="40"/>
      <c r="AU290" s="40"/>
      <c r="AV290" s="40">
        <v>0</v>
      </c>
      <c r="AW290" s="40"/>
      <c r="AX290" s="40"/>
      <c r="AY290" s="40">
        <v>0</v>
      </c>
      <c r="AZ290" s="40"/>
      <c r="BA290" s="40"/>
      <c r="BB290" s="40"/>
      <c r="BC290" s="40"/>
      <c r="BD290" s="40"/>
      <c r="BE290" s="40"/>
      <c r="BF290" s="40"/>
      <c r="BG290" s="40"/>
      <c r="BH290" s="40"/>
      <c r="BI290" s="40"/>
      <c r="BJ290" s="40"/>
      <c r="BK290" s="40"/>
      <c r="BL290" s="62">
        <v>0</v>
      </c>
      <c r="BM290" s="275">
        <v>2</v>
      </c>
      <c r="BN290" s="62">
        <v>0</v>
      </c>
      <c r="BO290" s="33" t="s">
        <v>513</v>
      </c>
    </row>
    <row r="291" spans="1:67">
      <c r="A291" s="33" t="str">
        <f>Database_Productkaarten[[#This Row],[Product]]&amp;", "&amp;Database_Productkaarten[[#This Row],[Levensfase]]</f>
        <v>AC 8 surf rood - PCR 1.0 - Gelderland, C1</v>
      </c>
      <c r="B291" s="33" t="s">
        <v>512</v>
      </c>
      <c r="C291" s="33" t="s">
        <v>483</v>
      </c>
      <c r="D291" s="33" t="s">
        <v>494</v>
      </c>
      <c r="E291" s="33" t="s">
        <v>378</v>
      </c>
      <c r="F291" s="33" t="s">
        <v>83</v>
      </c>
      <c r="L291" s="33">
        <v>2.35</v>
      </c>
      <c r="M291" s="269">
        <v>1</v>
      </c>
      <c r="N291" s="41">
        <v>0.1363</v>
      </c>
      <c r="O291" s="33">
        <v>14</v>
      </c>
      <c r="P291" s="40"/>
      <c r="Q291" s="40"/>
      <c r="R291" s="40">
        <v>1.4530000000000001</v>
      </c>
      <c r="S291" s="40"/>
      <c r="T291" s="40"/>
      <c r="U291" s="40"/>
      <c r="V291" s="40"/>
      <c r="W291" s="40"/>
      <c r="X291" s="40"/>
      <c r="Y291" s="40"/>
      <c r="Z291" s="40"/>
      <c r="AA291" s="40"/>
      <c r="AB291" s="40"/>
      <c r="AC291" s="40"/>
      <c r="AD291" s="40"/>
      <c r="AE291" s="40"/>
      <c r="AF291" s="40"/>
      <c r="AG291" s="40"/>
      <c r="AH291" s="40"/>
      <c r="AI291" s="40"/>
      <c r="AJ291" s="40"/>
      <c r="AK291" s="40"/>
      <c r="AL291" s="40"/>
      <c r="AM291" s="40"/>
      <c r="AN291" s="40"/>
      <c r="AO291" s="40"/>
      <c r="AP291" s="40"/>
      <c r="AQ291" s="40"/>
      <c r="AR291" s="40"/>
      <c r="AS291" s="40"/>
      <c r="AT291" s="40"/>
      <c r="AU291" s="40"/>
      <c r="AV291" s="40">
        <v>9.3380000000000005E-2</v>
      </c>
      <c r="AW291" s="40"/>
      <c r="AX291" s="40"/>
      <c r="AY291" s="40">
        <v>16.87</v>
      </c>
      <c r="AZ291" s="40"/>
      <c r="BA291" s="40"/>
      <c r="BB291" s="40"/>
      <c r="BC291" s="40"/>
      <c r="BD291" s="40"/>
      <c r="BE291" s="40"/>
      <c r="BF291" s="40"/>
      <c r="BG291" s="40"/>
      <c r="BH291" s="40"/>
      <c r="BI291" s="40"/>
      <c r="BJ291" s="40"/>
      <c r="BK291" s="40"/>
      <c r="BL291" s="62">
        <v>0</v>
      </c>
      <c r="BM291" s="275">
        <v>2</v>
      </c>
      <c r="BN291" s="62">
        <v>0</v>
      </c>
      <c r="BO291" s="33" t="s">
        <v>513</v>
      </c>
    </row>
    <row r="292" spans="1:67">
      <c r="A292" s="33" t="str">
        <f>Database_Productkaarten[[#This Row],[Product]]&amp;", "&amp;Database_Productkaarten[[#This Row],[Levensfase]]</f>
        <v>AC 8 surf rood - PCR 1.0 - Gelderland, C2</v>
      </c>
      <c r="B292" s="33" t="s">
        <v>512</v>
      </c>
      <c r="C292" s="33" t="s">
        <v>483</v>
      </c>
      <c r="D292" s="33" t="s">
        <v>494</v>
      </c>
      <c r="E292" s="33" t="s">
        <v>378</v>
      </c>
      <c r="F292" s="33" t="s">
        <v>84</v>
      </c>
      <c r="L292" s="33">
        <v>2.35</v>
      </c>
      <c r="M292" s="269">
        <v>1</v>
      </c>
      <c r="N292" s="41">
        <v>0.62580000000000002</v>
      </c>
      <c r="O292" s="33">
        <v>14</v>
      </c>
      <c r="P292" s="40"/>
      <c r="Q292" s="40"/>
      <c r="R292" s="40">
        <v>5.6740000000000004</v>
      </c>
      <c r="S292" s="40"/>
      <c r="T292" s="40"/>
      <c r="U292" s="40"/>
      <c r="V292" s="40"/>
      <c r="W292" s="40"/>
      <c r="X292" s="40"/>
      <c r="Y292" s="40"/>
      <c r="Z292" s="40"/>
      <c r="AA292" s="40"/>
      <c r="AB292" s="40"/>
      <c r="AC292" s="40"/>
      <c r="AD292" s="40"/>
      <c r="AE292" s="40"/>
      <c r="AF292" s="40"/>
      <c r="AG292" s="40"/>
      <c r="AH292" s="40"/>
      <c r="AI292" s="40"/>
      <c r="AJ292" s="40"/>
      <c r="AK292" s="40"/>
      <c r="AL292" s="40"/>
      <c r="AM292" s="40"/>
      <c r="AN292" s="40"/>
      <c r="AO292" s="40"/>
      <c r="AP292" s="40"/>
      <c r="AQ292" s="40"/>
      <c r="AR292" s="40"/>
      <c r="AS292" s="40"/>
      <c r="AT292" s="40"/>
      <c r="AU292" s="40"/>
      <c r="AV292" s="40">
        <v>1.536</v>
      </c>
      <c r="AW292" s="40"/>
      <c r="AX292" s="40"/>
      <c r="AY292" s="40">
        <v>98.15</v>
      </c>
      <c r="AZ292" s="40"/>
      <c r="BA292" s="40"/>
      <c r="BB292" s="40"/>
      <c r="BC292" s="40"/>
      <c r="BD292" s="40"/>
      <c r="BE292" s="40"/>
      <c r="BF292" s="40"/>
      <c r="BG292" s="40"/>
      <c r="BH292" s="40"/>
      <c r="BI292" s="40"/>
      <c r="BJ292" s="40"/>
      <c r="BK292" s="40"/>
      <c r="BL292" s="62">
        <v>0</v>
      </c>
      <c r="BM292" s="275">
        <v>2</v>
      </c>
      <c r="BN292" s="62">
        <v>0</v>
      </c>
      <c r="BO292" s="33" t="s">
        <v>513</v>
      </c>
    </row>
    <row r="293" spans="1:67">
      <c r="A293" s="33" t="str">
        <f>Database_Productkaarten[[#This Row],[Product]]&amp;", "&amp;Database_Productkaarten[[#This Row],[Levensfase]]</f>
        <v>AC 8 surf rood - PCR 1.0 - Gelderland, C3</v>
      </c>
      <c r="B293" s="33" t="s">
        <v>512</v>
      </c>
      <c r="C293" s="33" t="s">
        <v>483</v>
      </c>
      <c r="D293" s="33" t="s">
        <v>494</v>
      </c>
      <c r="E293" s="33" t="s">
        <v>378</v>
      </c>
      <c r="F293" s="33" t="s">
        <v>85</v>
      </c>
      <c r="L293" s="33">
        <v>2.35</v>
      </c>
      <c r="M293" s="269">
        <v>1</v>
      </c>
      <c r="N293" s="41">
        <v>0.1603</v>
      </c>
      <c r="O293" s="33">
        <v>14</v>
      </c>
      <c r="P293" s="40"/>
      <c r="Q293" s="40"/>
      <c r="R293" s="40">
        <v>1.629</v>
      </c>
      <c r="S293" s="40"/>
      <c r="T293" s="40"/>
      <c r="U293" s="40"/>
      <c r="V293" s="40"/>
      <c r="W293" s="40"/>
      <c r="X293" s="40"/>
      <c r="Y293" s="40"/>
      <c r="Z293" s="40"/>
      <c r="AA293" s="40"/>
      <c r="AB293" s="40"/>
      <c r="AC293" s="40"/>
      <c r="AD293" s="40"/>
      <c r="AE293" s="40"/>
      <c r="AF293" s="40"/>
      <c r="AG293" s="40"/>
      <c r="AH293" s="40"/>
      <c r="AI293" s="40"/>
      <c r="AJ293" s="40"/>
      <c r="AK293" s="40"/>
      <c r="AL293" s="40"/>
      <c r="AM293" s="40"/>
      <c r="AN293" s="40"/>
      <c r="AO293" s="40"/>
      <c r="AP293" s="40"/>
      <c r="AQ293" s="40"/>
      <c r="AR293" s="40"/>
      <c r="AS293" s="40"/>
      <c r="AT293" s="40"/>
      <c r="AU293" s="40"/>
      <c r="AV293" s="40">
        <v>0.1047</v>
      </c>
      <c r="AW293" s="40"/>
      <c r="AX293" s="40"/>
      <c r="AY293" s="40">
        <v>18.91</v>
      </c>
      <c r="AZ293" s="40"/>
      <c r="BA293" s="40"/>
      <c r="BB293" s="40"/>
      <c r="BC293" s="40"/>
      <c r="BD293" s="40"/>
      <c r="BE293" s="40"/>
      <c r="BF293" s="40"/>
      <c r="BG293" s="40"/>
      <c r="BH293" s="40"/>
      <c r="BI293" s="40"/>
      <c r="BJ293" s="40"/>
      <c r="BK293" s="40"/>
      <c r="BL293" s="62">
        <v>0</v>
      </c>
      <c r="BM293" s="275">
        <v>2</v>
      </c>
      <c r="BN293" s="62">
        <v>0</v>
      </c>
      <c r="BO293" s="33" t="s">
        <v>513</v>
      </c>
    </row>
    <row r="294" spans="1:67">
      <c r="A294" s="33" t="str">
        <f>Database_Productkaarten[[#This Row],[Product]]&amp;", "&amp;Database_Productkaarten[[#This Row],[Levensfase]]</f>
        <v>AC 8 surf rood - PCR 1.0 - Gelderland, C4</v>
      </c>
      <c r="B294" s="33" t="s">
        <v>512</v>
      </c>
      <c r="C294" s="33" t="s">
        <v>483</v>
      </c>
      <c r="D294" s="33" t="s">
        <v>494</v>
      </c>
      <c r="E294" s="33" t="s">
        <v>378</v>
      </c>
      <c r="F294" s="33" t="s">
        <v>86</v>
      </c>
      <c r="L294" s="33">
        <v>2.35</v>
      </c>
      <c r="M294" s="269">
        <v>1</v>
      </c>
      <c r="N294" s="41">
        <v>0</v>
      </c>
      <c r="O294" s="33">
        <v>14</v>
      </c>
      <c r="P294" s="40"/>
      <c r="Q294" s="40"/>
      <c r="R294" s="40">
        <v>0</v>
      </c>
      <c r="S294" s="40"/>
      <c r="T294" s="40"/>
      <c r="U294" s="40"/>
      <c r="V294" s="40"/>
      <c r="W294" s="40"/>
      <c r="X294" s="40"/>
      <c r="Y294" s="40"/>
      <c r="Z294" s="40"/>
      <c r="AA294" s="40"/>
      <c r="AB294" s="40"/>
      <c r="AC294" s="40"/>
      <c r="AD294" s="40"/>
      <c r="AE294" s="40"/>
      <c r="AF294" s="40"/>
      <c r="AG294" s="40"/>
      <c r="AH294" s="40"/>
      <c r="AI294" s="40"/>
      <c r="AJ294" s="40"/>
      <c r="AK294" s="40"/>
      <c r="AL294" s="40"/>
      <c r="AM294" s="40"/>
      <c r="AN294" s="40"/>
      <c r="AO294" s="40"/>
      <c r="AP294" s="40"/>
      <c r="AQ294" s="40"/>
      <c r="AR294" s="40"/>
      <c r="AS294" s="40"/>
      <c r="AT294" s="40"/>
      <c r="AU294" s="40"/>
      <c r="AV294" s="40">
        <v>0</v>
      </c>
      <c r="AW294" s="40"/>
      <c r="AX294" s="40"/>
      <c r="AY294" s="40">
        <v>0</v>
      </c>
      <c r="AZ294" s="40"/>
      <c r="BA294" s="40"/>
      <c r="BB294" s="40"/>
      <c r="BC294" s="40"/>
      <c r="BD294" s="40"/>
      <c r="BE294" s="40"/>
      <c r="BF294" s="40"/>
      <c r="BG294" s="40"/>
      <c r="BH294" s="40"/>
      <c r="BI294" s="40"/>
      <c r="BJ294" s="40"/>
      <c r="BK294" s="40"/>
      <c r="BL294" s="62">
        <v>0</v>
      </c>
      <c r="BM294" s="275">
        <v>2</v>
      </c>
      <c r="BN294" s="62">
        <v>0</v>
      </c>
      <c r="BO294" s="33" t="s">
        <v>513</v>
      </c>
    </row>
    <row r="295" spans="1:67">
      <c r="A295" s="33" t="str">
        <f>Database_Productkaarten[[#This Row],[Product]]&amp;", "&amp;Database_Productkaarten[[#This Row],[Levensfase]]</f>
        <v>AC 8 surf rood - PCR 1.0 - Gelderland, D</v>
      </c>
      <c r="B295" s="33" t="s">
        <v>512</v>
      </c>
      <c r="C295" s="33" t="s">
        <v>483</v>
      </c>
      <c r="D295" s="33" t="s">
        <v>494</v>
      </c>
      <c r="E295" s="33" t="s">
        <v>378</v>
      </c>
      <c r="F295" s="33" t="s">
        <v>89</v>
      </c>
      <c r="L295" s="33">
        <v>2.35</v>
      </c>
      <c r="M295" s="269">
        <v>1</v>
      </c>
      <c r="N295" s="41">
        <v>-5.9219999999999997</v>
      </c>
      <c r="O295" s="33">
        <v>14</v>
      </c>
      <c r="P295" s="40"/>
      <c r="Q295" s="40"/>
      <c r="R295" s="40">
        <v>-43.68</v>
      </c>
      <c r="S295" s="40"/>
      <c r="T295" s="40"/>
      <c r="U295" s="40"/>
      <c r="V295" s="40"/>
      <c r="W295" s="40"/>
      <c r="X295" s="40"/>
      <c r="Y295" s="40"/>
      <c r="Z295" s="40"/>
      <c r="AA295" s="40"/>
      <c r="AB295" s="40"/>
      <c r="AC295" s="40"/>
      <c r="AD295" s="40"/>
      <c r="AE295" s="40"/>
      <c r="AF295" s="40"/>
      <c r="AG295" s="40"/>
      <c r="AH295" s="40"/>
      <c r="AI295" s="40"/>
      <c r="AJ295" s="40"/>
      <c r="AK295" s="40"/>
      <c r="AL295" s="40"/>
      <c r="AM295" s="40"/>
      <c r="AN295" s="40"/>
      <c r="AO295" s="40"/>
      <c r="AP295" s="40"/>
      <c r="AQ295" s="40"/>
      <c r="AR295" s="40"/>
      <c r="AS295" s="40"/>
      <c r="AT295" s="40"/>
      <c r="AU295" s="40"/>
      <c r="AV295" s="40">
        <v>-14.98</v>
      </c>
      <c r="AW295" s="40"/>
      <c r="AX295" s="40"/>
      <c r="AY295" s="40">
        <v>-1953</v>
      </c>
      <c r="AZ295" s="40"/>
      <c r="BA295" s="40"/>
      <c r="BB295" s="40"/>
      <c r="BC295" s="40"/>
      <c r="BD295" s="40"/>
      <c r="BE295" s="40"/>
      <c r="BF295" s="40"/>
      <c r="BG295" s="40"/>
      <c r="BH295" s="40"/>
      <c r="BI295" s="40"/>
      <c r="BJ295" s="40"/>
      <c r="BK295" s="40"/>
      <c r="BL295" s="62">
        <v>0</v>
      </c>
      <c r="BM295" s="275">
        <v>2</v>
      </c>
      <c r="BN295" s="62">
        <v>0</v>
      </c>
      <c r="BO295" s="33" t="s">
        <v>513</v>
      </c>
    </row>
    <row r="296" spans="1:67">
      <c r="A296" s="33" t="str">
        <f>Database_Productkaarten[[#This Row],[Product]]&amp;", "&amp;Database_Productkaarten[[#This Row],[Levensfase]]</f>
        <v>AC 11 surf rood - PCR 1.0 - Gelderland, Totaal</v>
      </c>
      <c r="B296" s="33" t="s">
        <v>514</v>
      </c>
      <c r="C296" s="33" t="s">
        <v>483</v>
      </c>
      <c r="D296" s="33" t="s">
        <v>494</v>
      </c>
      <c r="E296" s="33" t="s">
        <v>378</v>
      </c>
      <c r="F296" s="33" t="s">
        <v>90</v>
      </c>
      <c r="L296" s="33">
        <v>2.35</v>
      </c>
      <c r="M296" s="269">
        <v>1</v>
      </c>
      <c r="N296" s="41">
        <v>12.59</v>
      </c>
      <c r="O296" s="33">
        <v>14</v>
      </c>
      <c r="P296" s="40"/>
      <c r="Q296" s="40"/>
      <c r="R296" s="163">
        <v>112.2</v>
      </c>
      <c r="S296" s="40"/>
      <c r="T296" s="40"/>
      <c r="U296" s="40"/>
      <c r="V296" s="40"/>
      <c r="W296" s="40"/>
      <c r="X296" s="40"/>
      <c r="Y296" s="40"/>
      <c r="Z296" s="40"/>
      <c r="AA296" s="40"/>
      <c r="AB296" s="40"/>
      <c r="AC296" s="40"/>
      <c r="AD296" s="40"/>
      <c r="AE296" s="40"/>
      <c r="AF296" s="40"/>
      <c r="AG296" s="40"/>
      <c r="AH296" s="40"/>
      <c r="AI296" s="40"/>
      <c r="AJ296" s="40"/>
      <c r="AK296" s="40"/>
      <c r="AL296" s="40"/>
      <c r="AM296" s="40"/>
      <c r="AN296" s="40"/>
      <c r="AO296" s="40"/>
      <c r="AP296" s="40"/>
      <c r="AQ296" s="40"/>
      <c r="AR296" s="40"/>
      <c r="AS296" s="40"/>
      <c r="AT296" s="40"/>
      <c r="AU296" s="40"/>
      <c r="AV296" s="163">
        <v>58.94</v>
      </c>
      <c r="AW296" s="163"/>
      <c r="AX296" s="40"/>
      <c r="AY296" s="163">
        <v>2911</v>
      </c>
      <c r="AZ296" s="40"/>
      <c r="BA296" s="40"/>
      <c r="BB296" s="40"/>
      <c r="BC296" s="40"/>
      <c r="BD296" s="40"/>
      <c r="BE296" s="40"/>
      <c r="BF296" s="40"/>
      <c r="BG296" s="40"/>
      <c r="BH296" s="40"/>
      <c r="BI296" s="40"/>
      <c r="BJ296" s="40"/>
      <c r="BK296" s="40"/>
      <c r="BL296" s="62">
        <v>0</v>
      </c>
      <c r="BM296" s="275">
        <v>2</v>
      </c>
      <c r="BN296" s="62">
        <v>0</v>
      </c>
      <c r="BO296" s="33" t="s">
        <v>513</v>
      </c>
    </row>
    <row r="297" spans="1:67">
      <c r="A297" s="33" t="str">
        <f>Database_Productkaarten[[#This Row],[Product]]&amp;", "&amp;Database_Productkaarten[[#This Row],[Levensfase]]</f>
        <v>AC 11 surf rood - PCR 1.0 - Gelderland, A1</v>
      </c>
      <c r="B297" s="33" t="s">
        <v>514</v>
      </c>
      <c r="C297" s="33" t="s">
        <v>483</v>
      </c>
      <c r="D297" s="33" t="s">
        <v>494</v>
      </c>
      <c r="E297" s="33" t="s">
        <v>378</v>
      </c>
      <c r="F297" s="33" t="s">
        <v>74</v>
      </c>
      <c r="L297" s="33">
        <v>2.35</v>
      </c>
      <c r="M297" s="269">
        <v>1</v>
      </c>
      <c r="N297" s="41">
        <v>12.22</v>
      </c>
      <c r="O297" s="33">
        <v>14</v>
      </c>
      <c r="P297" s="40"/>
      <c r="Q297" s="40"/>
      <c r="R297" s="336">
        <v>95.43</v>
      </c>
      <c r="S297" s="163"/>
      <c r="T297" s="336"/>
      <c r="U297" s="163"/>
      <c r="V297" s="163"/>
      <c r="W297" s="163"/>
      <c r="X297" s="163"/>
      <c r="Y297" s="163"/>
      <c r="Z297" s="163"/>
      <c r="AA297" s="163"/>
      <c r="AB297" s="163"/>
      <c r="AC297" s="163"/>
      <c r="AD297"/>
      <c r="AE297" s="163"/>
      <c r="AF297" s="40"/>
      <c r="AG297" s="40"/>
      <c r="AH297" s="40"/>
      <c r="AI297" s="40"/>
      <c r="AJ297" s="40"/>
      <c r="AK297" s="40"/>
      <c r="AL297" s="40"/>
      <c r="AM297" s="40"/>
      <c r="AN297" s="40"/>
      <c r="AO297" s="40"/>
      <c r="AP297" s="40"/>
      <c r="AQ297" s="40"/>
      <c r="AR297" s="40"/>
      <c r="AS297" s="40"/>
      <c r="AT297" s="40"/>
      <c r="AU297" s="40"/>
      <c r="AV297" s="336">
        <v>57.74</v>
      </c>
      <c r="AW297" s="336"/>
      <c r="AX297" s="40"/>
      <c r="AY297" s="336">
        <v>3852</v>
      </c>
      <c r="AZ297" s="40"/>
      <c r="BA297" s="40"/>
      <c r="BB297" s="40"/>
      <c r="BC297" s="40"/>
      <c r="BD297" s="40"/>
      <c r="BE297" s="40"/>
      <c r="BF297" s="40"/>
      <c r="BG297" s="40"/>
      <c r="BH297" s="40"/>
      <c r="BI297" s="40"/>
      <c r="BJ297" s="40"/>
      <c r="BK297" s="40"/>
      <c r="BL297" s="62">
        <v>0</v>
      </c>
      <c r="BM297" s="275">
        <v>2</v>
      </c>
      <c r="BN297" s="62">
        <v>0</v>
      </c>
      <c r="BO297" s="33" t="s">
        <v>513</v>
      </c>
    </row>
    <row r="298" spans="1:67">
      <c r="A298" s="33" t="str">
        <f>Database_Productkaarten[[#This Row],[Product]]&amp;", "&amp;Database_Productkaarten[[#This Row],[Levensfase]]</f>
        <v>AC 11 surf rood - PCR 1.0 - Gelderland, A2</v>
      </c>
      <c r="B298" s="33" t="s">
        <v>514</v>
      </c>
      <c r="C298" s="33" t="s">
        <v>483</v>
      </c>
      <c r="D298" s="33" t="s">
        <v>494</v>
      </c>
      <c r="E298" s="33" t="s">
        <v>378</v>
      </c>
      <c r="F298" s="33" t="s">
        <v>75</v>
      </c>
      <c r="L298" s="33">
        <v>2.35</v>
      </c>
      <c r="M298" s="269">
        <v>1</v>
      </c>
      <c r="N298" s="41">
        <v>2.5880000000000001</v>
      </c>
      <c r="O298" s="33">
        <v>14</v>
      </c>
      <c r="P298" s="40"/>
      <c r="Q298" s="40"/>
      <c r="R298" s="163">
        <v>18.95</v>
      </c>
      <c r="S298" s="163"/>
      <c r="T298" s="336"/>
      <c r="U298" s="163"/>
      <c r="V298" s="163"/>
      <c r="W298" s="163"/>
      <c r="X298" s="163"/>
      <c r="Y298" s="163"/>
      <c r="Z298"/>
      <c r="AA298" s="163"/>
      <c r="AB298" s="163"/>
      <c r="AC298" s="163"/>
      <c r="AD298"/>
      <c r="AE298" s="163"/>
      <c r="AF298" s="40"/>
      <c r="AG298" s="40"/>
      <c r="AH298" s="40"/>
      <c r="AI298" s="40"/>
      <c r="AJ298" s="40"/>
      <c r="AK298" s="40"/>
      <c r="AL298" s="40"/>
      <c r="AM298" s="40"/>
      <c r="AN298" s="40"/>
      <c r="AO298" s="40"/>
      <c r="AP298" s="40"/>
      <c r="AQ298" s="40"/>
      <c r="AR298" s="40"/>
      <c r="AS298" s="40"/>
      <c r="AT298" s="40"/>
      <c r="AU298" s="40"/>
      <c r="AV298" s="163">
        <v>5.16</v>
      </c>
      <c r="AW298" s="163"/>
      <c r="AX298" s="40"/>
      <c r="AY298" s="163">
        <v>285</v>
      </c>
      <c r="AZ298" s="40"/>
      <c r="BA298" s="40"/>
      <c r="BB298" s="40"/>
      <c r="BC298" s="40"/>
      <c r="BD298" s="40"/>
      <c r="BE298" s="40"/>
      <c r="BF298" s="40"/>
      <c r="BG298" s="40"/>
      <c r="BH298" s="40"/>
      <c r="BI298" s="40"/>
      <c r="BJ298" s="40"/>
      <c r="BK298" s="40"/>
      <c r="BL298" s="62">
        <v>0</v>
      </c>
      <c r="BM298" s="275">
        <v>2</v>
      </c>
      <c r="BN298" s="62">
        <v>0</v>
      </c>
      <c r="BO298" s="33" t="s">
        <v>513</v>
      </c>
    </row>
    <row r="299" spans="1:67">
      <c r="A299" s="33" t="str">
        <f>Database_Productkaarten[[#This Row],[Product]]&amp;", "&amp;Database_Productkaarten[[#This Row],[Levensfase]]</f>
        <v>AC 11 surf rood - PCR 1.0 - Gelderland, A3</v>
      </c>
      <c r="B299" s="33" t="s">
        <v>514</v>
      </c>
      <c r="C299" s="33" t="s">
        <v>483</v>
      </c>
      <c r="D299" s="33" t="s">
        <v>494</v>
      </c>
      <c r="E299" s="33" t="s">
        <v>378</v>
      </c>
      <c r="F299" s="33" t="s">
        <v>76</v>
      </c>
      <c r="L299" s="33">
        <v>2.35</v>
      </c>
      <c r="M299" s="269">
        <v>1</v>
      </c>
      <c r="N299" s="41">
        <v>1.724</v>
      </c>
      <c r="O299" s="33">
        <v>14</v>
      </c>
      <c r="P299" s="40"/>
      <c r="Q299" s="40"/>
      <c r="R299" s="163">
        <v>23.87</v>
      </c>
      <c r="S299" s="163"/>
      <c r="T299" s="336"/>
      <c r="U299" s="163"/>
      <c r="V299" s="163"/>
      <c r="W299" s="163"/>
      <c r="X299" s="163"/>
      <c r="Y299" s="163"/>
      <c r="Z299"/>
      <c r="AA299" s="163"/>
      <c r="AB299" s="163"/>
      <c r="AC299" s="163"/>
      <c r="AD299"/>
      <c r="AE299" s="163"/>
      <c r="AF299" s="40"/>
      <c r="AG299" s="40"/>
      <c r="AH299" s="40"/>
      <c r="AI299" s="40"/>
      <c r="AJ299" s="40"/>
      <c r="AK299" s="40"/>
      <c r="AL299" s="40"/>
      <c r="AM299" s="40"/>
      <c r="AN299" s="40"/>
      <c r="AO299" s="40"/>
      <c r="AP299" s="40"/>
      <c r="AQ299" s="40"/>
      <c r="AR299" s="40"/>
      <c r="AS299" s="40"/>
      <c r="AT299" s="40"/>
      <c r="AU299" s="40"/>
      <c r="AV299" s="163">
        <v>7.5</v>
      </c>
      <c r="AW299" s="163"/>
      <c r="AX299" s="40"/>
      <c r="AY299" s="163">
        <v>414.2</v>
      </c>
      <c r="AZ299" s="40"/>
      <c r="BA299" s="40"/>
      <c r="BB299" s="40"/>
      <c r="BC299" s="40"/>
      <c r="BD299" s="40"/>
      <c r="BE299" s="40"/>
      <c r="BF299" s="40"/>
      <c r="BG299" s="40"/>
      <c r="BH299" s="40"/>
      <c r="BI299" s="40"/>
      <c r="BJ299" s="40"/>
      <c r="BK299" s="40"/>
      <c r="BL299" s="62">
        <v>0</v>
      </c>
      <c r="BM299" s="275">
        <v>2</v>
      </c>
      <c r="BN299" s="62">
        <v>0</v>
      </c>
      <c r="BO299" s="33" t="s">
        <v>513</v>
      </c>
    </row>
    <row r="300" spans="1:67">
      <c r="A300" s="33" t="str">
        <f>Database_Productkaarten[[#This Row],[Product]]&amp;", "&amp;Database_Productkaarten[[#This Row],[Levensfase]]</f>
        <v>AC 11 surf rood - PCR 1.0 - Gelderland, A1-A3</v>
      </c>
      <c r="B300" s="33" t="s">
        <v>514</v>
      </c>
      <c r="C300" s="33" t="s">
        <v>483</v>
      </c>
      <c r="D300" s="33" t="s">
        <v>494</v>
      </c>
      <c r="E300" s="33" t="s">
        <v>378</v>
      </c>
      <c r="F300" s="33" t="s">
        <v>77</v>
      </c>
      <c r="L300" s="33">
        <v>2.35</v>
      </c>
      <c r="M300" s="269">
        <v>1</v>
      </c>
      <c r="N300" s="252">
        <v>16.53</v>
      </c>
      <c r="O300" s="33">
        <v>14</v>
      </c>
      <c r="P300" s="40"/>
      <c r="Q300" s="40"/>
      <c r="R300" s="163">
        <v>138.30000000000001</v>
      </c>
      <c r="S300" s="163"/>
      <c r="T300" s="336"/>
      <c r="U300" s="163"/>
      <c r="V300" s="163"/>
      <c r="W300" s="163"/>
      <c r="X300" s="163"/>
      <c r="Y300" s="163"/>
      <c r="Z300"/>
      <c r="AA300" s="163"/>
      <c r="AB300" s="163"/>
      <c r="AC300" s="163"/>
      <c r="AD300"/>
      <c r="AE300" s="163"/>
      <c r="AF300" s="40"/>
      <c r="AG300" s="40"/>
      <c r="AH300" s="40"/>
      <c r="AI300" s="40"/>
      <c r="AJ300" s="40"/>
      <c r="AK300" s="40"/>
      <c r="AL300" s="40"/>
      <c r="AM300" s="40"/>
      <c r="AN300" s="40"/>
      <c r="AO300" s="40"/>
      <c r="AP300" s="40"/>
      <c r="AQ300" s="40"/>
      <c r="AR300" s="40"/>
      <c r="AS300" s="40"/>
      <c r="AT300" s="40"/>
      <c r="AU300" s="40"/>
      <c r="AV300" s="163">
        <v>70.400000000000006</v>
      </c>
      <c r="AW300" s="163"/>
      <c r="AX300" s="40"/>
      <c r="AY300" s="163">
        <v>4551</v>
      </c>
      <c r="AZ300" s="40"/>
      <c r="BA300" s="40"/>
      <c r="BB300" s="40"/>
      <c r="BC300" s="40"/>
      <c r="BD300" s="40"/>
      <c r="BE300" s="40"/>
      <c r="BF300" s="40"/>
      <c r="BG300" s="40"/>
      <c r="BH300" s="40"/>
      <c r="BI300" s="40"/>
      <c r="BJ300" s="40"/>
      <c r="BK300" s="40"/>
      <c r="BL300" s="62">
        <v>0</v>
      </c>
      <c r="BM300" s="275">
        <v>2</v>
      </c>
      <c r="BN300" s="62">
        <v>0</v>
      </c>
      <c r="BO300" s="33" t="s">
        <v>513</v>
      </c>
    </row>
    <row r="301" spans="1:67">
      <c r="A301" s="33" t="str">
        <f>Database_Productkaarten[[#This Row],[Product]]&amp;", "&amp;Database_Productkaarten[[#This Row],[Levensfase]]</f>
        <v>AC 11 surf rood - PCR 1.0 - Gelderland, A4</v>
      </c>
      <c r="B301" s="33" t="s">
        <v>514</v>
      </c>
      <c r="C301" s="33" t="s">
        <v>483</v>
      </c>
      <c r="D301" s="33" t="s">
        <v>494</v>
      </c>
      <c r="E301" s="33" t="s">
        <v>378</v>
      </c>
      <c r="F301" s="33" t="s">
        <v>78</v>
      </c>
      <c r="L301" s="33">
        <v>2.35</v>
      </c>
      <c r="M301" s="269">
        <v>1</v>
      </c>
      <c r="N301" s="41">
        <v>0.62580000000000002</v>
      </c>
      <c r="O301" s="33">
        <v>14</v>
      </c>
      <c r="P301" s="40"/>
      <c r="Q301" s="40"/>
      <c r="R301" s="163">
        <v>5.6740000000000004</v>
      </c>
      <c r="S301" s="40"/>
      <c r="T301" s="40"/>
      <c r="U301" s="40"/>
      <c r="V301" s="40"/>
      <c r="W301" s="40"/>
      <c r="X301" s="40"/>
      <c r="Y301" s="40"/>
      <c r="Z301" s="40"/>
      <c r="AA301" s="40"/>
      <c r="AB301" s="40"/>
      <c r="AC301" s="40"/>
      <c r="AD301" s="40"/>
      <c r="AE301" s="40"/>
      <c r="AF301" s="40"/>
      <c r="AG301" s="40"/>
      <c r="AH301" s="40"/>
      <c r="AI301" s="40"/>
      <c r="AJ301" s="40"/>
      <c r="AK301" s="40"/>
      <c r="AL301" s="40"/>
      <c r="AM301" s="40"/>
      <c r="AN301" s="40"/>
      <c r="AO301" s="40"/>
      <c r="AP301" s="40"/>
      <c r="AQ301" s="40"/>
      <c r="AR301" s="40"/>
      <c r="AS301" s="40"/>
      <c r="AT301" s="40"/>
      <c r="AU301" s="40"/>
      <c r="AV301" s="163">
        <v>1.536</v>
      </c>
      <c r="AW301" s="163"/>
      <c r="AX301" s="40"/>
      <c r="AY301" s="163">
        <v>98.15</v>
      </c>
      <c r="AZ301" s="40"/>
      <c r="BA301" s="40"/>
      <c r="BB301" s="40"/>
      <c r="BC301" s="40"/>
      <c r="BD301" s="40"/>
      <c r="BE301" s="40"/>
      <c r="BF301" s="40"/>
      <c r="BG301" s="40"/>
      <c r="BH301" s="40"/>
      <c r="BI301" s="40"/>
      <c r="BJ301" s="40"/>
      <c r="BK301" s="40"/>
      <c r="BL301" s="62">
        <v>0</v>
      </c>
      <c r="BM301" s="275">
        <v>2</v>
      </c>
      <c r="BN301" s="62">
        <v>0</v>
      </c>
      <c r="BO301" s="33" t="s">
        <v>513</v>
      </c>
    </row>
    <row r="302" spans="1:67">
      <c r="A302" s="33" t="str">
        <f>Database_Productkaarten[[#This Row],[Product]]&amp;", "&amp;Database_Productkaarten[[#This Row],[Levensfase]]</f>
        <v>AC 11 surf rood - PCR 1.0 - Gelderland, A5</v>
      </c>
      <c r="B302" s="33" t="s">
        <v>514</v>
      </c>
      <c r="C302" s="33" t="s">
        <v>483</v>
      </c>
      <c r="D302" s="33" t="s">
        <v>494</v>
      </c>
      <c r="E302" s="33" t="s">
        <v>378</v>
      </c>
      <c r="F302" s="33" t="s">
        <v>79</v>
      </c>
      <c r="L302" s="33">
        <v>2.35</v>
      </c>
      <c r="M302" s="269">
        <v>1</v>
      </c>
      <c r="N302" s="41">
        <v>0.26129999999999998</v>
      </c>
      <c r="O302" s="33">
        <v>14</v>
      </c>
      <c r="P302" s="40"/>
      <c r="Q302" s="40"/>
      <c r="R302" s="163">
        <v>2.5529999999999999</v>
      </c>
      <c r="S302" s="40"/>
      <c r="T302" s="40"/>
      <c r="U302" s="40"/>
      <c r="V302" s="40"/>
      <c r="W302" s="40"/>
      <c r="X302" s="40"/>
      <c r="Y302" s="40"/>
      <c r="Z302" s="40"/>
      <c r="AA302" s="40"/>
      <c r="AB302" s="40"/>
      <c r="AC302" s="40"/>
      <c r="AD302" s="40"/>
      <c r="AE302" s="40"/>
      <c r="AF302" s="40"/>
      <c r="AG302" s="40"/>
      <c r="AH302" s="40"/>
      <c r="AI302" s="40"/>
      <c r="AJ302" s="40"/>
      <c r="AK302" s="40"/>
      <c r="AL302" s="40"/>
      <c r="AM302" s="40"/>
      <c r="AN302" s="40"/>
      <c r="AO302" s="40"/>
      <c r="AP302" s="40"/>
      <c r="AQ302" s="40"/>
      <c r="AR302" s="40"/>
      <c r="AS302" s="40"/>
      <c r="AT302" s="40"/>
      <c r="AU302" s="40"/>
      <c r="AV302" s="163">
        <v>0.1641</v>
      </c>
      <c r="AW302" s="163"/>
      <c r="AX302" s="40"/>
      <c r="AY302" s="163">
        <v>29.64</v>
      </c>
      <c r="AZ302" s="40"/>
      <c r="BA302" s="40"/>
      <c r="BB302" s="40"/>
      <c r="BC302" s="40"/>
      <c r="BD302" s="40"/>
      <c r="BE302" s="40"/>
      <c r="BF302" s="40"/>
      <c r="BG302" s="40"/>
      <c r="BH302" s="40"/>
      <c r="BI302" s="40"/>
      <c r="BJ302" s="40"/>
      <c r="BK302" s="40"/>
      <c r="BL302" s="62">
        <v>0</v>
      </c>
      <c r="BM302" s="275">
        <v>2</v>
      </c>
      <c r="BN302" s="62">
        <v>0</v>
      </c>
      <c r="BO302" s="33" t="s">
        <v>513</v>
      </c>
    </row>
    <row r="303" spans="1:67">
      <c r="A303" s="33" t="str">
        <f>Database_Productkaarten[[#This Row],[Product]]&amp;", "&amp;Database_Productkaarten[[#This Row],[Levensfase]]</f>
        <v>AC 11 surf rood - PCR 1.0 - Gelderland, B1</v>
      </c>
      <c r="B303" s="33" t="s">
        <v>514</v>
      </c>
      <c r="C303" s="33" t="s">
        <v>483</v>
      </c>
      <c r="D303" s="33" t="s">
        <v>494</v>
      </c>
      <c r="E303" s="33" t="s">
        <v>378</v>
      </c>
      <c r="F303" s="33" t="s">
        <v>80</v>
      </c>
      <c r="L303" s="33">
        <v>2.35</v>
      </c>
      <c r="M303" s="269">
        <v>1</v>
      </c>
      <c r="N303" s="41">
        <v>8.3169999999999994E-2</v>
      </c>
      <c r="O303" s="33">
        <v>14</v>
      </c>
      <c r="P303" s="40"/>
      <c r="Q303" s="40"/>
      <c r="R303">
        <v>0</v>
      </c>
      <c r="S303" s="40"/>
      <c r="T303" s="40"/>
      <c r="U303" s="40"/>
      <c r="V303" s="40"/>
      <c r="W303" s="40"/>
      <c r="X303" s="40"/>
      <c r="Y303" s="40"/>
      <c r="Z303" s="40"/>
      <c r="AA303" s="40"/>
      <c r="AB303" s="40"/>
      <c r="AC303" s="40"/>
      <c r="AD303" s="40"/>
      <c r="AE303" s="40"/>
      <c r="AF303" s="40"/>
      <c r="AG303" s="40"/>
      <c r="AH303" s="40"/>
      <c r="AI303" s="40"/>
      <c r="AJ303" s="40"/>
      <c r="AK303" s="40"/>
      <c r="AL303" s="40"/>
      <c r="AM303" s="40"/>
      <c r="AN303" s="40"/>
      <c r="AO303" s="40"/>
      <c r="AP303" s="40"/>
      <c r="AQ303" s="40"/>
      <c r="AR303" s="40"/>
      <c r="AS303" s="40"/>
      <c r="AT303" s="40"/>
      <c r="AU303" s="40"/>
      <c r="AV303">
        <v>0</v>
      </c>
      <c r="AW303"/>
      <c r="AX303" s="40"/>
      <c r="AY303">
        <v>0</v>
      </c>
      <c r="AZ303" s="40"/>
      <c r="BA303" s="40"/>
      <c r="BB303" s="40"/>
      <c r="BC303" s="40"/>
      <c r="BD303" s="40"/>
      <c r="BE303" s="40"/>
      <c r="BF303" s="40"/>
      <c r="BG303" s="40"/>
      <c r="BH303" s="40"/>
      <c r="BI303" s="40"/>
      <c r="BJ303" s="40"/>
      <c r="BK303" s="40"/>
      <c r="BL303" s="62">
        <v>0</v>
      </c>
      <c r="BM303" s="275">
        <v>2</v>
      </c>
      <c r="BN303" s="62">
        <v>0</v>
      </c>
      <c r="BO303" s="33" t="s">
        <v>513</v>
      </c>
    </row>
    <row r="304" spans="1:67">
      <c r="A304" s="33" t="str">
        <f>Database_Productkaarten[[#This Row],[Product]]&amp;", "&amp;Database_Productkaarten[[#This Row],[Levensfase]]</f>
        <v>AC 11 surf rood - PCR 1.0 - Gelderland, C1</v>
      </c>
      <c r="B304" s="33" t="s">
        <v>514</v>
      </c>
      <c r="C304" s="33" t="s">
        <v>483</v>
      </c>
      <c r="D304" s="33" t="s">
        <v>494</v>
      </c>
      <c r="E304" s="33" t="s">
        <v>378</v>
      </c>
      <c r="F304" s="33" t="s">
        <v>83</v>
      </c>
      <c r="L304" s="33">
        <v>2.35</v>
      </c>
      <c r="M304" s="269">
        <v>1</v>
      </c>
      <c r="N304" s="41">
        <v>0.1363</v>
      </c>
      <c r="O304" s="33">
        <v>14</v>
      </c>
      <c r="P304" s="40"/>
      <c r="Q304" s="40"/>
      <c r="R304" s="163">
        <v>1.4530000000000001</v>
      </c>
      <c r="S304" s="40"/>
      <c r="T304" s="40"/>
      <c r="U304" s="40"/>
      <c r="V304" s="40"/>
      <c r="W304" s="40"/>
      <c r="X304" s="40"/>
      <c r="Y304" s="40"/>
      <c r="Z304" s="40"/>
      <c r="AA304" s="40"/>
      <c r="AB304" s="40"/>
      <c r="AC304" s="40"/>
      <c r="AD304" s="40"/>
      <c r="AE304" s="40"/>
      <c r="AF304" s="40"/>
      <c r="AG304" s="40"/>
      <c r="AH304" s="40"/>
      <c r="AI304" s="40"/>
      <c r="AJ304" s="40"/>
      <c r="AK304" s="40"/>
      <c r="AL304" s="40"/>
      <c r="AM304" s="40"/>
      <c r="AN304" s="40"/>
      <c r="AO304" s="40"/>
      <c r="AP304" s="40"/>
      <c r="AQ304" s="40"/>
      <c r="AR304" s="40"/>
      <c r="AS304" s="40"/>
      <c r="AT304" s="40"/>
      <c r="AU304" s="40"/>
      <c r="AV304" s="163">
        <v>9.3380000000000005E-2</v>
      </c>
      <c r="AW304" s="163"/>
      <c r="AX304" s="40"/>
      <c r="AY304" s="163">
        <v>16.87</v>
      </c>
      <c r="AZ304" s="40"/>
      <c r="BA304" s="40"/>
      <c r="BB304" s="40"/>
      <c r="BC304" s="40"/>
      <c r="BD304" s="40"/>
      <c r="BE304" s="40"/>
      <c r="BF304" s="40"/>
      <c r="BG304" s="40"/>
      <c r="BH304" s="40"/>
      <c r="BI304" s="40"/>
      <c r="BJ304" s="40"/>
      <c r="BK304" s="40"/>
      <c r="BL304" s="62">
        <v>0</v>
      </c>
      <c r="BM304" s="275">
        <v>2</v>
      </c>
      <c r="BN304" s="62">
        <v>0</v>
      </c>
      <c r="BO304" s="33" t="s">
        <v>513</v>
      </c>
    </row>
    <row r="305" spans="1:67">
      <c r="A305" s="33" t="str">
        <f>Database_Productkaarten[[#This Row],[Product]]&amp;", "&amp;Database_Productkaarten[[#This Row],[Levensfase]]</f>
        <v>AC 11 surf rood - PCR 1.0 - Gelderland, C2</v>
      </c>
      <c r="B305" s="33" t="s">
        <v>514</v>
      </c>
      <c r="C305" s="33" t="s">
        <v>483</v>
      </c>
      <c r="D305" s="33" t="s">
        <v>494</v>
      </c>
      <c r="E305" s="33" t="s">
        <v>378</v>
      </c>
      <c r="F305" s="33" t="s">
        <v>84</v>
      </c>
      <c r="L305" s="33">
        <v>2.35</v>
      </c>
      <c r="M305" s="269">
        <v>1</v>
      </c>
      <c r="N305" s="41">
        <v>0.62580000000000002</v>
      </c>
      <c r="O305" s="33">
        <v>14</v>
      </c>
      <c r="P305" s="40"/>
      <c r="Q305" s="40"/>
      <c r="R305" s="163">
        <v>5.6740000000000004</v>
      </c>
      <c r="S305" s="40"/>
      <c r="T305" s="40"/>
      <c r="U305" s="40"/>
      <c r="V305" s="40"/>
      <c r="W305" s="40"/>
      <c r="X305" s="40"/>
      <c r="Y305" s="40"/>
      <c r="Z305" s="40"/>
      <c r="AA305" s="40"/>
      <c r="AB305" s="40"/>
      <c r="AC305" s="40"/>
      <c r="AD305" s="40"/>
      <c r="AE305" s="40"/>
      <c r="AF305" s="40"/>
      <c r="AG305" s="40"/>
      <c r="AH305" s="40"/>
      <c r="AI305" s="40"/>
      <c r="AJ305" s="40"/>
      <c r="AK305" s="40"/>
      <c r="AL305" s="40"/>
      <c r="AM305" s="40"/>
      <c r="AN305" s="40"/>
      <c r="AO305" s="40"/>
      <c r="AP305" s="40"/>
      <c r="AQ305" s="40"/>
      <c r="AR305" s="40"/>
      <c r="AS305" s="40"/>
      <c r="AT305" s="40"/>
      <c r="AU305" s="40"/>
      <c r="AV305" s="163">
        <v>1.536</v>
      </c>
      <c r="AW305" s="163"/>
      <c r="AX305" s="40"/>
      <c r="AY305" s="163">
        <v>98.15</v>
      </c>
      <c r="AZ305" s="40"/>
      <c r="BA305" s="40"/>
      <c r="BB305" s="40"/>
      <c r="BC305" s="40"/>
      <c r="BD305" s="40"/>
      <c r="BE305" s="40"/>
      <c r="BF305" s="40"/>
      <c r="BG305" s="40"/>
      <c r="BH305" s="40"/>
      <c r="BI305" s="40"/>
      <c r="BJ305" s="40"/>
      <c r="BK305" s="40"/>
      <c r="BL305" s="62">
        <v>0</v>
      </c>
      <c r="BM305" s="275">
        <v>2</v>
      </c>
      <c r="BN305" s="62">
        <v>0</v>
      </c>
      <c r="BO305" s="33" t="s">
        <v>513</v>
      </c>
    </row>
    <row r="306" spans="1:67">
      <c r="A306" s="33" t="str">
        <f>Database_Productkaarten[[#This Row],[Product]]&amp;", "&amp;Database_Productkaarten[[#This Row],[Levensfase]]</f>
        <v>AC 11 surf rood - PCR 1.0 - Gelderland, C3</v>
      </c>
      <c r="B306" s="33" t="s">
        <v>514</v>
      </c>
      <c r="C306" s="33" t="s">
        <v>483</v>
      </c>
      <c r="D306" s="33" t="s">
        <v>494</v>
      </c>
      <c r="E306" s="33" t="s">
        <v>378</v>
      </c>
      <c r="F306" s="33" t="s">
        <v>85</v>
      </c>
      <c r="L306" s="33">
        <v>2.35</v>
      </c>
      <c r="M306" s="269">
        <v>1</v>
      </c>
      <c r="N306" s="41">
        <v>0.1603</v>
      </c>
      <c r="O306" s="33">
        <v>14</v>
      </c>
      <c r="P306" s="40"/>
      <c r="Q306" s="40"/>
      <c r="R306" s="163">
        <v>1.629</v>
      </c>
      <c r="S306" s="40"/>
      <c r="T306" s="40"/>
      <c r="U306" s="40"/>
      <c r="V306" s="40"/>
      <c r="W306" s="40"/>
      <c r="X306" s="40"/>
      <c r="Y306" s="40"/>
      <c r="Z306" s="40"/>
      <c r="AA306" s="40"/>
      <c r="AB306" s="40"/>
      <c r="AC306" s="40"/>
      <c r="AD306" s="40"/>
      <c r="AE306" s="40"/>
      <c r="AF306" s="40"/>
      <c r="AG306" s="40"/>
      <c r="AH306" s="40"/>
      <c r="AI306" s="40"/>
      <c r="AJ306" s="40"/>
      <c r="AK306" s="40"/>
      <c r="AL306" s="40"/>
      <c r="AM306" s="40"/>
      <c r="AN306" s="40"/>
      <c r="AO306" s="40"/>
      <c r="AP306" s="40"/>
      <c r="AQ306" s="40"/>
      <c r="AR306" s="40"/>
      <c r="AS306" s="40"/>
      <c r="AT306" s="40"/>
      <c r="AU306" s="40"/>
      <c r="AV306" s="163">
        <v>0.1047</v>
      </c>
      <c r="AW306" s="163"/>
      <c r="AX306" s="40"/>
      <c r="AY306" s="163">
        <v>18.91</v>
      </c>
      <c r="AZ306" s="40"/>
      <c r="BA306" s="40"/>
      <c r="BB306" s="40"/>
      <c r="BC306" s="40"/>
      <c r="BD306" s="40"/>
      <c r="BE306" s="40"/>
      <c r="BF306" s="40"/>
      <c r="BG306" s="40"/>
      <c r="BH306" s="40"/>
      <c r="BI306" s="40"/>
      <c r="BJ306" s="40"/>
      <c r="BK306" s="40"/>
      <c r="BL306" s="62">
        <v>0</v>
      </c>
      <c r="BM306" s="275">
        <v>2</v>
      </c>
      <c r="BN306" s="62">
        <v>0</v>
      </c>
      <c r="BO306" s="33" t="s">
        <v>513</v>
      </c>
    </row>
    <row r="307" spans="1:67">
      <c r="A307" s="33" t="str">
        <f>Database_Productkaarten[[#This Row],[Product]]&amp;", "&amp;Database_Productkaarten[[#This Row],[Levensfase]]</f>
        <v>AC 11 surf rood - PCR 1.0 - Gelderland, C4</v>
      </c>
      <c r="B307" s="33" t="s">
        <v>514</v>
      </c>
      <c r="C307" s="33" t="s">
        <v>483</v>
      </c>
      <c r="D307" s="33" t="s">
        <v>494</v>
      </c>
      <c r="E307" s="33" t="s">
        <v>378</v>
      </c>
      <c r="F307" s="33" t="s">
        <v>86</v>
      </c>
      <c r="L307" s="33">
        <v>2.35</v>
      </c>
      <c r="M307" s="269">
        <v>1</v>
      </c>
      <c r="N307" s="41">
        <v>0</v>
      </c>
      <c r="O307" s="33">
        <v>14</v>
      </c>
      <c r="P307" s="40"/>
      <c r="Q307" s="40"/>
      <c r="R307">
        <v>0</v>
      </c>
      <c r="S307" s="40"/>
      <c r="T307" s="40"/>
      <c r="U307" s="40"/>
      <c r="V307" s="40"/>
      <c r="W307" s="40"/>
      <c r="X307" s="40"/>
      <c r="Y307" s="40"/>
      <c r="Z307" s="40"/>
      <c r="AA307" s="40"/>
      <c r="AB307" s="40"/>
      <c r="AC307" s="40"/>
      <c r="AD307" s="40"/>
      <c r="AE307" s="40"/>
      <c r="AF307" s="40"/>
      <c r="AG307" s="40"/>
      <c r="AH307" s="40"/>
      <c r="AI307" s="40"/>
      <c r="AJ307" s="40"/>
      <c r="AK307" s="40"/>
      <c r="AL307" s="40"/>
      <c r="AM307" s="40"/>
      <c r="AN307" s="40"/>
      <c r="AO307" s="40"/>
      <c r="AP307" s="40"/>
      <c r="AQ307" s="40"/>
      <c r="AR307" s="40"/>
      <c r="AS307" s="40"/>
      <c r="AT307" s="40"/>
      <c r="AU307" s="40"/>
      <c r="AV307">
        <v>0</v>
      </c>
      <c r="AW307"/>
      <c r="AX307" s="40"/>
      <c r="AY307">
        <v>0</v>
      </c>
      <c r="AZ307" s="40"/>
      <c r="BA307" s="40"/>
      <c r="BB307" s="40"/>
      <c r="BC307" s="40"/>
      <c r="BD307" s="40"/>
      <c r="BE307" s="40"/>
      <c r="BF307" s="40"/>
      <c r="BG307" s="40"/>
      <c r="BH307" s="40"/>
      <c r="BI307" s="40"/>
      <c r="BJ307" s="40"/>
      <c r="BK307" s="40"/>
      <c r="BL307" s="62">
        <v>0</v>
      </c>
      <c r="BM307" s="275">
        <v>2</v>
      </c>
      <c r="BN307" s="62">
        <v>0</v>
      </c>
      <c r="BO307" s="33" t="s">
        <v>513</v>
      </c>
    </row>
    <row r="308" spans="1:67">
      <c r="A308" s="33" t="str">
        <f>Database_Productkaarten[[#This Row],[Product]]&amp;", "&amp;Database_Productkaarten[[#This Row],[Levensfase]]</f>
        <v>AC 11 surf rood - PCR 1.0 - Gelderland, D</v>
      </c>
      <c r="B308" s="33" t="s">
        <v>514</v>
      </c>
      <c r="C308" s="33" t="s">
        <v>483</v>
      </c>
      <c r="D308" s="33" t="s">
        <v>494</v>
      </c>
      <c r="E308" s="33" t="s">
        <v>378</v>
      </c>
      <c r="F308" s="33" t="s">
        <v>89</v>
      </c>
      <c r="L308" s="33">
        <v>2.35</v>
      </c>
      <c r="M308" s="269">
        <v>1</v>
      </c>
      <c r="N308" s="41">
        <v>-5.83</v>
      </c>
      <c r="O308" s="33">
        <v>14</v>
      </c>
      <c r="P308" s="40"/>
      <c r="Q308" s="40"/>
      <c r="R308" s="163">
        <v>-43.03</v>
      </c>
      <c r="S308" s="40"/>
      <c r="T308" s="40"/>
      <c r="U308" s="40"/>
      <c r="V308" s="40"/>
      <c r="W308" s="40"/>
      <c r="X308" s="40"/>
      <c r="Y308" s="40"/>
      <c r="Z308" s="40"/>
      <c r="AA308" s="40"/>
      <c r="AB308" s="40"/>
      <c r="AC308" s="40"/>
      <c r="AD308" s="40"/>
      <c r="AE308" s="40"/>
      <c r="AF308" s="40"/>
      <c r="AG308" s="40"/>
      <c r="AH308" s="40"/>
      <c r="AI308" s="40"/>
      <c r="AJ308" s="40"/>
      <c r="AK308" s="40"/>
      <c r="AL308" s="40"/>
      <c r="AM308" s="40"/>
      <c r="AN308" s="40"/>
      <c r="AO308" s="40"/>
      <c r="AP308" s="40"/>
      <c r="AQ308" s="40"/>
      <c r="AR308" s="40"/>
      <c r="AS308" s="40"/>
      <c r="AT308" s="40"/>
      <c r="AU308" s="40"/>
      <c r="AV308" s="163">
        <v>-14.9</v>
      </c>
      <c r="AW308" s="163"/>
      <c r="AX308" s="40"/>
      <c r="AY308" s="163">
        <v>-1902</v>
      </c>
      <c r="AZ308" s="40"/>
      <c r="BA308" s="40"/>
      <c r="BB308" s="40"/>
      <c r="BC308" s="40"/>
      <c r="BD308" s="40"/>
      <c r="BE308" s="40"/>
      <c r="BF308" s="40"/>
      <c r="BG308" s="40"/>
      <c r="BH308" s="40"/>
      <c r="BI308" s="40"/>
      <c r="BJ308" s="40"/>
      <c r="BK308" s="40"/>
      <c r="BL308" s="62">
        <v>0</v>
      </c>
      <c r="BM308" s="275">
        <v>2</v>
      </c>
      <c r="BN308" s="62">
        <v>0</v>
      </c>
      <c r="BO308" s="33" t="s">
        <v>513</v>
      </c>
    </row>
    <row r="309" spans="1:67">
      <c r="A309" s="33" t="str">
        <f>Database_Productkaarten[[#This Row],[Product]]&amp;", "&amp;Database_Productkaarten[[#This Row],[Levensfase]]</f>
        <v>SMA 5B rood - PCR 1.0 - Gelderland, Totaal</v>
      </c>
      <c r="B309" s="33" t="s">
        <v>515</v>
      </c>
      <c r="C309" s="33" t="s">
        <v>483</v>
      </c>
      <c r="D309" s="33" t="s">
        <v>516</v>
      </c>
      <c r="E309" s="33" t="s">
        <v>378</v>
      </c>
      <c r="F309" s="33" t="s">
        <v>90</v>
      </c>
      <c r="L309" s="33">
        <v>2.2999999999999998</v>
      </c>
      <c r="M309" s="269">
        <v>1</v>
      </c>
      <c r="N309" s="41">
        <v>13.52</v>
      </c>
      <c r="O309" s="33">
        <v>13</v>
      </c>
      <c r="P309" s="40"/>
      <c r="Q309" s="40"/>
      <c r="R309" s="40">
        <v>117</v>
      </c>
      <c r="S309" s="40"/>
      <c r="T309" s="40"/>
      <c r="U309" s="40"/>
      <c r="V309" s="40"/>
      <c r="W309" s="40"/>
      <c r="X309" s="40"/>
      <c r="Y309" s="40"/>
      <c r="Z309" s="40"/>
      <c r="AA309" s="40"/>
      <c r="AB309" s="40"/>
      <c r="AC309" s="40"/>
      <c r="AD309" s="40"/>
      <c r="AE309" s="40"/>
      <c r="AF309" s="40"/>
      <c r="AG309" s="40"/>
      <c r="AH309" s="40"/>
      <c r="AI309" s="40"/>
      <c r="AJ309" s="40"/>
      <c r="AK309" s="40"/>
      <c r="AL309" s="40"/>
      <c r="AM309" s="40"/>
      <c r="AN309" s="40"/>
      <c r="AO309" s="40"/>
      <c r="AP309" s="40"/>
      <c r="AQ309" s="40"/>
      <c r="AR309" s="40"/>
      <c r="AS309" s="40"/>
      <c r="AT309" s="40"/>
      <c r="AU309" s="40"/>
      <c r="AV309" s="40">
        <v>70.44</v>
      </c>
      <c r="AW309" s="40">
        <v>3214</v>
      </c>
      <c r="AX309" s="40"/>
      <c r="AY309" s="40">
        <v>3214</v>
      </c>
      <c r="AZ309" s="40"/>
      <c r="BA309" s="40"/>
      <c r="BB309" s="40"/>
      <c r="BC309" s="40"/>
      <c r="BD309" s="40"/>
      <c r="BE309" s="40"/>
      <c r="BF309" s="40"/>
      <c r="BG309" s="40"/>
      <c r="BH309" s="40"/>
      <c r="BI309" s="40"/>
      <c r="BJ309" s="40"/>
      <c r="BK309" s="40"/>
      <c r="BL309" s="62">
        <v>0</v>
      </c>
      <c r="BM309" s="275">
        <v>2</v>
      </c>
      <c r="BN309" s="62">
        <v>0</v>
      </c>
      <c r="BO309" s="33" t="s">
        <v>513</v>
      </c>
    </row>
    <row r="310" spans="1:67">
      <c r="A310" s="33" t="str">
        <f>Database_Productkaarten[[#This Row],[Product]]&amp;", "&amp;Database_Productkaarten[[#This Row],[Levensfase]]</f>
        <v>SMA 5B rood - PCR 1.0 - Gelderland, A1</v>
      </c>
      <c r="B310" s="33" t="s">
        <v>515</v>
      </c>
      <c r="C310" s="33" t="s">
        <v>483</v>
      </c>
      <c r="D310" s="33" t="s">
        <v>516</v>
      </c>
      <c r="E310" s="33" t="s">
        <v>378</v>
      </c>
      <c r="F310" s="33" t="s">
        <v>74</v>
      </c>
      <c r="L310" s="33">
        <v>2.2999999999999998</v>
      </c>
      <c r="M310" s="269">
        <v>1</v>
      </c>
      <c r="N310" s="41">
        <v>13.99</v>
      </c>
      <c r="O310" s="33">
        <v>13</v>
      </c>
      <c r="P310" s="40"/>
      <c r="Q310" s="40"/>
      <c r="R310" s="40">
        <v>108.5</v>
      </c>
      <c r="S310" s="40"/>
      <c r="T310" s="40"/>
      <c r="U310" s="40"/>
      <c r="V310" s="40"/>
      <c r="W310" s="40"/>
      <c r="X310" s="40"/>
      <c r="Y310" s="40"/>
      <c r="Z310" s="40"/>
      <c r="AA310" s="40"/>
      <c r="AB310" s="40"/>
      <c r="AC310" s="40"/>
      <c r="AD310" s="40"/>
      <c r="AE310" s="40"/>
      <c r="AF310" s="40"/>
      <c r="AG310" s="40"/>
      <c r="AH310" s="40"/>
      <c r="AI310" s="40"/>
      <c r="AJ310" s="40"/>
      <c r="AK310" s="40"/>
      <c r="AL310" s="40"/>
      <c r="AM310" s="40"/>
      <c r="AN310" s="40"/>
      <c r="AO310" s="40"/>
      <c r="AP310" s="40"/>
      <c r="AQ310" s="40"/>
      <c r="AR310" s="40"/>
      <c r="AS310" s="40"/>
      <c r="AT310" s="40"/>
      <c r="AU310" s="40"/>
      <c r="AV310" s="40">
        <v>70.09</v>
      </c>
      <c r="AW310" s="40">
        <v>4530</v>
      </c>
      <c r="AX310" s="40"/>
      <c r="AY310" s="40">
        <v>4530</v>
      </c>
      <c r="AZ310" s="40"/>
      <c r="BA310" s="40"/>
      <c r="BB310" s="40"/>
      <c r="BC310" s="40"/>
      <c r="BD310" s="40"/>
      <c r="BE310" s="40"/>
      <c r="BF310" s="40"/>
      <c r="BG310" s="40"/>
      <c r="BH310" s="40"/>
      <c r="BI310" s="40"/>
      <c r="BJ310" s="40"/>
      <c r="BK310" s="40"/>
      <c r="BL310" s="62">
        <v>0</v>
      </c>
      <c r="BM310" s="275">
        <v>2</v>
      </c>
      <c r="BN310" s="62">
        <v>0</v>
      </c>
      <c r="BO310" s="33" t="s">
        <v>513</v>
      </c>
    </row>
    <row r="311" spans="1:67">
      <c r="A311" s="33" t="str">
        <f>Database_Productkaarten[[#This Row],[Product]]&amp;", "&amp;Database_Productkaarten[[#This Row],[Levensfase]]</f>
        <v>SMA 5B rood - PCR 1.0 - Gelderland, A2</v>
      </c>
      <c r="B311" s="33" t="s">
        <v>515</v>
      </c>
      <c r="C311" s="33" t="s">
        <v>483</v>
      </c>
      <c r="D311" s="33" t="s">
        <v>516</v>
      </c>
      <c r="E311" s="33" t="s">
        <v>378</v>
      </c>
      <c r="F311" s="33" t="s">
        <v>75</v>
      </c>
      <c r="L311" s="33">
        <v>2.2999999999999998</v>
      </c>
      <c r="M311" s="269">
        <v>1</v>
      </c>
      <c r="N311" s="41">
        <v>2.2429999999999999</v>
      </c>
      <c r="O311" s="33">
        <v>13</v>
      </c>
      <c r="P311" s="40"/>
      <c r="Q311" s="40"/>
      <c r="R311" s="40">
        <v>15.25</v>
      </c>
      <c r="S311" s="40"/>
      <c r="T311" s="40"/>
      <c r="U311" s="40"/>
      <c r="V311" s="40"/>
      <c r="W311" s="40"/>
      <c r="X311" s="40"/>
      <c r="Y311" s="40"/>
      <c r="Z311" s="40"/>
      <c r="AA311" s="40"/>
      <c r="AB311" s="40"/>
      <c r="AC311" s="40"/>
      <c r="AD311" s="40"/>
      <c r="AE311" s="40"/>
      <c r="AF311" s="40"/>
      <c r="AG311" s="40"/>
      <c r="AH311" s="40"/>
      <c r="AI311" s="40"/>
      <c r="AJ311" s="40"/>
      <c r="AK311" s="40"/>
      <c r="AL311" s="40"/>
      <c r="AM311" s="40"/>
      <c r="AN311" s="40"/>
      <c r="AO311" s="40"/>
      <c r="AP311" s="40"/>
      <c r="AQ311" s="40"/>
      <c r="AR311" s="40"/>
      <c r="AS311" s="40"/>
      <c r="AT311" s="40"/>
      <c r="AU311" s="40"/>
      <c r="AV311" s="40">
        <v>4.0149999999999997</v>
      </c>
      <c r="AW311" s="40">
        <v>235.1</v>
      </c>
      <c r="AX311" s="40"/>
      <c r="AY311" s="40">
        <v>235.1</v>
      </c>
      <c r="AZ311" s="40"/>
      <c r="BA311" s="40"/>
      <c r="BB311" s="40"/>
      <c r="BC311" s="40"/>
      <c r="BD311" s="40"/>
      <c r="BE311" s="40"/>
      <c r="BF311" s="40"/>
      <c r="BG311" s="40"/>
      <c r="BH311" s="40"/>
      <c r="BI311" s="40"/>
      <c r="BJ311" s="40"/>
      <c r="BK311" s="40"/>
      <c r="BL311" s="62">
        <v>0</v>
      </c>
      <c r="BM311" s="275">
        <v>2</v>
      </c>
      <c r="BN311" s="62">
        <v>0</v>
      </c>
      <c r="BO311" s="33" t="s">
        <v>513</v>
      </c>
    </row>
    <row r="312" spans="1:67">
      <c r="A312" s="33" t="str">
        <f>Database_Productkaarten[[#This Row],[Product]]&amp;", "&amp;Database_Productkaarten[[#This Row],[Levensfase]]</f>
        <v>SMA 5B rood - PCR 1.0 - Gelderland, A3</v>
      </c>
      <c r="B312" s="33" t="s">
        <v>515</v>
      </c>
      <c r="C312" s="33" t="s">
        <v>483</v>
      </c>
      <c r="D312" s="33" t="s">
        <v>516</v>
      </c>
      <c r="E312" s="33" t="s">
        <v>378</v>
      </c>
      <c r="F312" s="33" t="s">
        <v>76</v>
      </c>
      <c r="L312" s="33">
        <v>2.2999999999999998</v>
      </c>
      <c r="M312" s="269">
        <v>1</v>
      </c>
      <c r="N312" s="41">
        <v>1.593</v>
      </c>
      <c r="O312" s="33">
        <v>13</v>
      </c>
      <c r="P312" s="40"/>
      <c r="Q312" s="40"/>
      <c r="R312" s="40">
        <v>21.59</v>
      </c>
      <c r="S312" s="40"/>
      <c r="T312" s="40"/>
      <c r="U312" s="40"/>
      <c r="V312" s="40"/>
      <c r="W312" s="40"/>
      <c r="X312" s="40"/>
      <c r="Y312" s="40"/>
      <c r="Z312" s="40"/>
      <c r="AA312" s="40"/>
      <c r="AB312" s="40"/>
      <c r="AC312" s="40"/>
      <c r="AD312" s="40"/>
      <c r="AE312" s="40"/>
      <c r="AF312" s="40"/>
      <c r="AG312" s="40"/>
      <c r="AH312" s="40"/>
      <c r="AI312" s="40"/>
      <c r="AJ312" s="40"/>
      <c r="AK312" s="40"/>
      <c r="AL312" s="40"/>
      <c r="AM312" s="40"/>
      <c r="AN312" s="40"/>
      <c r="AO312" s="40"/>
      <c r="AP312" s="40"/>
      <c r="AQ312" s="40"/>
      <c r="AR312" s="40"/>
      <c r="AS312" s="40"/>
      <c r="AT312" s="40"/>
      <c r="AU312" s="40"/>
      <c r="AV312" s="40">
        <v>8.0329999999999995</v>
      </c>
      <c r="AW312" s="40">
        <v>371.5</v>
      </c>
      <c r="AX312" s="40"/>
      <c r="AY312" s="40">
        <v>371.5</v>
      </c>
      <c r="AZ312" s="40"/>
      <c r="BA312" s="40"/>
      <c r="BB312" s="40"/>
      <c r="BC312" s="40"/>
      <c r="BD312" s="40"/>
      <c r="BE312" s="40"/>
      <c r="BF312" s="40"/>
      <c r="BG312" s="40"/>
      <c r="BH312" s="40"/>
      <c r="BI312" s="40"/>
      <c r="BJ312" s="40"/>
      <c r="BK312" s="40"/>
      <c r="BL312" s="62">
        <v>0</v>
      </c>
      <c r="BM312" s="275">
        <v>2</v>
      </c>
      <c r="BN312" s="62">
        <v>0</v>
      </c>
      <c r="BO312" s="33" t="s">
        <v>513</v>
      </c>
    </row>
    <row r="313" spans="1:67">
      <c r="A313" s="33" t="str">
        <f>Database_Productkaarten[[#This Row],[Product]]&amp;", "&amp;Database_Productkaarten[[#This Row],[Levensfase]]</f>
        <v>SMA 5B rood - PCR 1.0 - Gelderland, A1-A3</v>
      </c>
      <c r="B313" s="33" t="s">
        <v>515</v>
      </c>
      <c r="C313" s="33" t="s">
        <v>483</v>
      </c>
      <c r="D313" s="33" t="s">
        <v>516</v>
      </c>
      <c r="E313" s="33" t="s">
        <v>378</v>
      </c>
      <c r="F313" s="33" t="s">
        <v>77</v>
      </c>
      <c r="L313" s="33">
        <v>2.2999999999999998</v>
      </c>
      <c r="M313" s="269">
        <v>1</v>
      </c>
      <c r="N313" s="252">
        <v>17.829999999999998</v>
      </c>
      <c r="O313" s="33">
        <v>13</v>
      </c>
      <c r="P313" s="40"/>
      <c r="Q313" s="40"/>
      <c r="R313" s="40">
        <v>145.30000000000001</v>
      </c>
      <c r="S313" s="40"/>
      <c r="T313" s="40"/>
      <c r="U313" s="40"/>
      <c r="V313" s="40"/>
      <c r="W313" s="40"/>
      <c r="X313" s="40"/>
      <c r="Y313" s="40"/>
      <c r="Z313" s="40"/>
      <c r="AA313" s="40"/>
      <c r="AB313" s="40"/>
      <c r="AC313" s="40"/>
      <c r="AD313" s="40"/>
      <c r="AE313" s="40"/>
      <c r="AF313" s="40"/>
      <c r="AG313" s="40"/>
      <c r="AH313" s="40"/>
      <c r="AI313" s="40"/>
      <c r="AJ313" s="40"/>
      <c r="AK313" s="40"/>
      <c r="AL313" s="40"/>
      <c r="AM313" s="40"/>
      <c r="AN313" s="40"/>
      <c r="AO313" s="40"/>
      <c r="AP313" s="40"/>
      <c r="AQ313" s="40"/>
      <c r="AR313" s="40"/>
      <c r="AS313" s="40"/>
      <c r="AT313" s="40"/>
      <c r="AU313" s="40"/>
      <c r="AV313" s="40">
        <v>82.14</v>
      </c>
      <c r="AW313" s="40">
        <v>5137</v>
      </c>
      <c r="AX313" s="40"/>
      <c r="AY313" s="40">
        <v>5137</v>
      </c>
      <c r="AZ313" s="40"/>
      <c r="BA313" s="40"/>
      <c r="BB313" s="40"/>
      <c r="BC313" s="40"/>
      <c r="BD313" s="40"/>
      <c r="BE313" s="40"/>
      <c r="BF313" s="40"/>
      <c r="BG313" s="40"/>
      <c r="BH313" s="40"/>
      <c r="BI313" s="40"/>
      <c r="BJ313" s="40"/>
      <c r="BK313" s="40"/>
      <c r="BL313" s="62">
        <v>0</v>
      </c>
      <c r="BM313" s="275">
        <v>2</v>
      </c>
      <c r="BN313" s="62">
        <v>0</v>
      </c>
      <c r="BO313" s="33" t="s">
        <v>513</v>
      </c>
    </row>
    <row r="314" spans="1:67">
      <c r="A314" s="33" t="str">
        <f>Database_Productkaarten[[#This Row],[Product]]&amp;", "&amp;Database_Productkaarten[[#This Row],[Levensfase]]</f>
        <v>SMA 5B rood - PCR 1.0 - Gelderland, A4</v>
      </c>
      <c r="B314" s="33" t="s">
        <v>515</v>
      </c>
      <c r="C314" s="33" t="s">
        <v>483</v>
      </c>
      <c r="D314" s="33" t="s">
        <v>516</v>
      </c>
      <c r="E314" s="33" t="s">
        <v>378</v>
      </c>
      <c r="F314" s="33" t="s">
        <v>78</v>
      </c>
      <c r="L314" s="33">
        <v>2.2999999999999998</v>
      </c>
      <c r="M314" s="269">
        <v>1</v>
      </c>
      <c r="N314" s="41">
        <v>0.62580000000000002</v>
      </c>
      <c r="O314" s="33">
        <v>13</v>
      </c>
      <c r="P314" s="40"/>
      <c r="Q314" s="40"/>
      <c r="R314" s="40">
        <v>5.6740000000000004</v>
      </c>
      <c r="S314" s="40"/>
      <c r="T314" s="40"/>
      <c r="U314" s="40"/>
      <c r="V314" s="40"/>
      <c r="W314" s="40"/>
      <c r="X314" s="40"/>
      <c r="Y314" s="40"/>
      <c r="Z314" s="40"/>
      <c r="AA314" s="40"/>
      <c r="AB314" s="40"/>
      <c r="AC314" s="40"/>
      <c r="AD314" s="40"/>
      <c r="AE314" s="40"/>
      <c r="AF314" s="40"/>
      <c r="AG314" s="40"/>
      <c r="AH314" s="40"/>
      <c r="AI314" s="40"/>
      <c r="AJ314" s="40"/>
      <c r="AK314" s="40"/>
      <c r="AL314" s="40"/>
      <c r="AM314" s="40"/>
      <c r="AN314" s="40"/>
      <c r="AO314" s="40"/>
      <c r="AP314" s="40"/>
      <c r="AQ314" s="40"/>
      <c r="AR314" s="40"/>
      <c r="AS314" s="40"/>
      <c r="AT314" s="40"/>
      <c r="AU314" s="40"/>
      <c r="AV314" s="40">
        <v>1.536</v>
      </c>
      <c r="AW314" s="40">
        <v>98.15</v>
      </c>
      <c r="AX314" s="40"/>
      <c r="AY314" s="40">
        <v>98.15</v>
      </c>
      <c r="AZ314" s="40"/>
      <c r="BA314" s="40"/>
      <c r="BB314" s="40"/>
      <c r="BC314" s="40"/>
      <c r="BD314" s="40"/>
      <c r="BE314" s="40"/>
      <c r="BF314" s="40"/>
      <c r="BG314" s="40"/>
      <c r="BH314" s="40"/>
      <c r="BI314" s="40"/>
      <c r="BJ314" s="40"/>
      <c r="BK314" s="40"/>
      <c r="BL314" s="62">
        <v>0</v>
      </c>
      <c r="BM314" s="275">
        <v>2</v>
      </c>
      <c r="BN314" s="62">
        <v>0</v>
      </c>
      <c r="BO314" s="33" t="s">
        <v>513</v>
      </c>
    </row>
    <row r="315" spans="1:67">
      <c r="A315" s="33" t="str">
        <f>Database_Productkaarten[[#This Row],[Product]]&amp;", "&amp;Database_Productkaarten[[#This Row],[Levensfase]]</f>
        <v>SMA 5B rood - PCR 1.0 - Gelderland, A5</v>
      </c>
      <c r="B315" s="33" t="s">
        <v>515</v>
      </c>
      <c r="C315" s="33" t="s">
        <v>483</v>
      </c>
      <c r="D315" s="33" t="s">
        <v>516</v>
      </c>
      <c r="E315" s="33" t="s">
        <v>378</v>
      </c>
      <c r="F315" s="33" t="s">
        <v>79</v>
      </c>
      <c r="L315" s="33">
        <v>2.2999999999999998</v>
      </c>
      <c r="M315" s="269">
        <v>1</v>
      </c>
      <c r="N315" s="41">
        <v>0.26129999999999998</v>
      </c>
      <c r="O315" s="33">
        <v>13</v>
      </c>
      <c r="P315" s="40"/>
      <c r="Q315" s="40"/>
      <c r="R315" s="40">
        <v>2.5529999999999999</v>
      </c>
      <c r="S315" s="40"/>
      <c r="T315" s="40"/>
      <c r="U315" s="40"/>
      <c r="V315" s="40"/>
      <c r="W315" s="40"/>
      <c r="X315" s="40"/>
      <c r="Y315" s="40"/>
      <c r="Z315" s="40"/>
      <c r="AA315" s="40"/>
      <c r="AB315" s="40"/>
      <c r="AC315" s="40"/>
      <c r="AD315" s="40"/>
      <c r="AE315" s="40"/>
      <c r="AF315" s="40"/>
      <c r="AG315" s="40"/>
      <c r="AH315" s="40"/>
      <c r="AI315" s="40"/>
      <c r="AJ315" s="40"/>
      <c r="AK315" s="40"/>
      <c r="AL315" s="40"/>
      <c r="AM315" s="40"/>
      <c r="AN315" s="40"/>
      <c r="AO315" s="40"/>
      <c r="AP315" s="40"/>
      <c r="AQ315" s="40"/>
      <c r="AR315" s="40"/>
      <c r="AS315" s="40"/>
      <c r="AT315" s="40"/>
      <c r="AU315" s="40"/>
      <c r="AV315" s="40">
        <v>0.1641</v>
      </c>
      <c r="AW315" s="40">
        <v>29.64</v>
      </c>
      <c r="AX315" s="40"/>
      <c r="AY315" s="40">
        <v>29.64</v>
      </c>
      <c r="AZ315" s="40"/>
      <c r="BA315" s="40"/>
      <c r="BB315" s="40"/>
      <c r="BC315" s="40"/>
      <c r="BD315" s="40"/>
      <c r="BE315" s="40"/>
      <c r="BF315" s="40"/>
      <c r="BG315" s="40"/>
      <c r="BH315" s="40"/>
      <c r="BI315" s="40"/>
      <c r="BJ315" s="40"/>
      <c r="BK315" s="40"/>
      <c r="BL315" s="62">
        <v>0</v>
      </c>
      <c r="BM315" s="275">
        <v>2</v>
      </c>
      <c r="BN315" s="62">
        <v>0</v>
      </c>
      <c r="BO315" s="33" t="s">
        <v>513</v>
      </c>
    </row>
    <row r="316" spans="1:67">
      <c r="A316" s="33" t="str">
        <f>Database_Productkaarten[[#This Row],[Product]]&amp;", "&amp;Database_Productkaarten[[#This Row],[Levensfase]]</f>
        <v>SMA 5B rood - PCR 1.0 - Gelderland, B1</v>
      </c>
      <c r="B316" s="33" t="s">
        <v>515</v>
      </c>
      <c r="C316" s="33" t="s">
        <v>483</v>
      </c>
      <c r="D316" s="33" t="s">
        <v>516</v>
      </c>
      <c r="E316" s="33" t="s">
        <v>378</v>
      </c>
      <c r="F316" s="33" t="s">
        <v>80</v>
      </c>
      <c r="L316" s="33">
        <v>2.2999999999999998</v>
      </c>
      <c r="M316" s="269">
        <v>1</v>
      </c>
      <c r="N316" s="41">
        <v>0.14119999999999999</v>
      </c>
      <c r="O316" s="33">
        <v>13</v>
      </c>
      <c r="P316" s="40"/>
      <c r="Q316" s="40"/>
      <c r="R316" s="40">
        <v>0</v>
      </c>
      <c r="S316" s="40"/>
      <c r="T316" s="40"/>
      <c r="U316" s="40"/>
      <c r="V316" s="40"/>
      <c r="W316" s="40"/>
      <c r="X316" s="40"/>
      <c r="Y316" s="40"/>
      <c r="Z316" s="40"/>
      <c r="AA316" s="40"/>
      <c r="AB316" s="40"/>
      <c r="AC316" s="40"/>
      <c r="AD316" s="40"/>
      <c r="AE316" s="40"/>
      <c r="AF316" s="40"/>
      <c r="AG316" s="40"/>
      <c r="AH316" s="40"/>
      <c r="AI316" s="40"/>
      <c r="AJ316" s="40"/>
      <c r="AK316" s="40"/>
      <c r="AL316" s="40"/>
      <c r="AM316" s="40"/>
      <c r="AN316" s="40"/>
      <c r="AO316" s="40"/>
      <c r="AP316" s="40"/>
      <c r="AQ316" s="40"/>
      <c r="AR316" s="40"/>
      <c r="AS316" s="40"/>
      <c r="AT316" s="40"/>
      <c r="AU316" s="40"/>
      <c r="AV316" s="40">
        <v>0</v>
      </c>
      <c r="AW316" s="40">
        <v>0</v>
      </c>
      <c r="AX316" s="40"/>
      <c r="AY316" s="40">
        <v>0</v>
      </c>
      <c r="AZ316" s="40"/>
      <c r="BA316" s="40"/>
      <c r="BB316" s="40"/>
      <c r="BC316" s="40"/>
      <c r="BD316" s="40"/>
      <c r="BE316" s="40"/>
      <c r="BF316" s="40"/>
      <c r="BG316" s="40"/>
      <c r="BH316" s="40"/>
      <c r="BI316" s="40"/>
      <c r="BJ316" s="40"/>
      <c r="BK316" s="40"/>
      <c r="BL316" s="62">
        <v>0</v>
      </c>
      <c r="BM316" s="275">
        <v>2</v>
      </c>
      <c r="BN316" s="62">
        <v>0</v>
      </c>
      <c r="BO316" s="33" t="s">
        <v>513</v>
      </c>
    </row>
    <row r="317" spans="1:67">
      <c r="A317" s="33" t="str">
        <f>Database_Productkaarten[[#This Row],[Product]]&amp;", "&amp;Database_Productkaarten[[#This Row],[Levensfase]]</f>
        <v>SMA 5B rood - PCR 1.0 - Gelderland, C1</v>
      </c>
      <c r="B317" s="33" t="s">
        <v>515</v>
      </c>
      <c r="C317" s="33" t="s">
        <v>483</v>
      </c>
      <c r="D317" s="33" t="s">
        <v>516</v>
      </c>
      <c r="E317" s="33" t="s">
        <v>378</v>
      </c>
      <c r="F317" s="33" t="s">
        <v>83</v>
      </c>
      <c r="L317" s="33">
        <v>2.2999999999999998</v>
      </c>
      <c r="M317" s="269">
        <v>1</v>
      </c>
      <c r="N317" s="41">
        <v>0.1363</v>
      </c>
      <c r="O317" s="33">
        <v>13</v>
      </c>
      <c r="P317" s="40"/>
      <c r="Q317" s="40"/>
      <c r="R317" s="40">
        <v>1.4530000000000001</v>
      </c>
      <c r="S317" s="40"/>
      <c r="T317" s="40"/>
      <c r="U317" s="40"/>
      <c r="V317" s="40"/>
      <c r="W317" s="40"/>
      <c r="X317" s="40"/>
      <c r="Y317" s="40"/>
      <c r="Z317" s="40"/>
      <c r="AA317" s="40"/>
      <c r="AB317" s="40"/>
      <c r="AC317" s="40"/>
      <c r="AD317" s="40"/>
      <c r="AE317" s="40"/>
      <c r="AF317" s="40"/>
      <c r="AG317" s="40"/>
      <c r="AH317" s="40"/>
      <c r="AI317" s="40"/>
      <c r="AJ317" s="40"/>
      <c r="AK317" s="40"/>
      <c r="AL317" s="40"/>
      <c r="AM317" s="40"/>
      <c r="AN317" s="40"/>
      <c r="AO317" s="40"/>
      <c r="AP317" s="40"/>
      <c r="AQ317" s="40"/>
      <c r="AR317" s="40"/>
      <c r="AS317" s="40"/>
      <c r="AT317" s="40"/>
      <c r="AU317" s="40"/>
      <c r="AV317" s="40">
        <v>9.3380000000000005E-2</v>
      </c>
      <c r="AW317" s="40">
        <v>16.87</v>
      </c>
      <c r="AX317" s="40"/>
      <c r="AY317" s="40">
        <v>16.87</v>
      </c>
      <c r="AZ317" s="40"/>
      <c r="BA317" s="40"/>
      <c r="BB317" s="40"/>
      <c r="BC317" s="40"/>
      <c r="BD317" s="40"/>
      <c r="BE317" s="40"/>
      <c r="BF317" s="40"/>
      <c r="BG317" s="40"/>
      <c r="BH317" s="40"/>
      <c r="BI317" s="40"/>
      <c r="BJ317" s="40"/>
      <c r="BK317" s="40"/>
      <c r="BL317" s="62">
        <v>0</v>
      </c>
      <c r="BM317" s="275">
        <v>2</v>
      </c>
      <c r="BN317" s="62">
        <v>0</v>
      </c>
      <c r="BO317" s="33" t="s">
        <v>513</v>
      </c>
    </row>
    <row r="318" spans="1:67">
      <c r="A318" s="33" t="str">
        <f>Database_Productkaarten[[#This Row],[Product]]&amp;", "&amp;Database_Productkaarten[[#This Row],[Levensfase]]</f>
        <v>SMA 5B rood - PCR 1.0 - Gelderland, C2</v>
      </c>
      <c r="B318" s="33" t="s">
        <v>515</v>
      </c>
      <c r="C318" s="33" t="s">
        <v>483</v>
      </c>
      <c r="D318" s="33" t="s">
        <v>516</v>
      </c>
      <c r="E318" s="33" t="s">
        <v>378</v>
      </c>
      <c r="F318" s="33" t="s">
        <v>84</v>
      </c>
      <c r="L318" s="33">
        <v>2.2999999999999998</v>
      </c>
      <c r="M318" s="269">
        <v>1</v>
      </c>
      <c r="N318" s="41">
        <v>0.62580000000000002</v>
      </c>
      <c r="O318" s="33">
        <v>13</v>
      </c>
      <c r="P318" s="40"/>
      <c r="Q318" s="40"/>
      <c r="R318" s="40">
        <v>5.6740000000000004</v>
      </c>
      <c r="S318" s="40"/>
      <c r="T318" s="40"/>
      <c r="U318" s="40"/>
      <c r="V318" s="40"/>
      <c r="W318" s="40"/>
      <c r="X318" s="40"/>
      <c r="Y318" s="40"/>
      <c r="Z318" s="40"/>
      <c r="AA318" s="40"/>
      <c r="AB318" s="40"/>
      <c r="AC318" s="40"/>
      <c r="AD318" s="40"/>
      <c r="AE318" s="40"/>
      <c r="AF318" s="40"/>
      <c r="AG318" s="40"/>
      <c r="AH318" s="40"/>
      <c r="AI318" s="40"/>
      <c r="AJ318" s="40"/>
      <c r="AK318" s="40"/>
      <c r="AL318" s="40"/>
      <c r="AM318" s="40"/>
      <c r="AN318" s="40"/>
      <c r="AO318" s="40"/>
      <c r="AP318" s="40"/>
      <c r="AQ318" s="40"/>
      <c r="AR318" s="40"/>
      <c r="AS318" s="40"/>
      <c r="AT318" s="40"/>
      <c r="AU318" s="40"/>
      <c r="AV318" s="40">
        <v>1.536</v>
      </c>
      <c r="AW318" s="40">
        <v>98.15</v>
      </c>
      <c r="AX318" s="40"/>
      <c r="AY318" s="40">
        <v>98.15</v>
      </c>
      <c r="AZ318" s="40"/>
      <c r="BA318" s="40"/>
      <c r="BB318" s="40"/>
      <c r="BC318" s="40"/>
      <c r="BD318" s="40"/>
      <c r="BE318" s="40"/>
      <c r="BF318" s="40"/>
      <c r="BG318" s="40"/>
      <c r="BH318" s="40"/>
      <c r="BI318" s="40"/>
      <c r="BJ318" s="40"/>
      <c r="BK318" s="40"/>
      <c r="BL318" s="62">
        <v>0</v>
      </c>
      <c r="BM318" s="275">
        <v>2</v>
      </c>
      <c r="BN318" s="62">
        <v>0</v>
      </c>
      <c r="BO318" s="33" t="s">
        <v>513</v>
      </c>
    </row>
    <row r="319" spans="1:67">
      <c r="A319" s="33" t="str">
        <f>Database_Productkaarten[[#This Row],[Product]]&amp;", "&amp;Database_Productkaarten[[#This Row],[Levensfase]]</f>
        <v>SMA 5B rood - PCR 1.0 - Gelderland, C3</v>
      </c>
      <c r="B319" s="33" t="s">
        <v>515</v>
      </c>
      <c r="C319" s="33" t="s">
        <v>483</v>
      </c>
      <c r="D319" s="33" t="s">
        <v>516</v>
      </c>
      <c r="E319" s="33" t="s">
        <v>378</v>
      </c>
      <c r="F319" s="33" t="s">
        <v>85</v>
      </c>
      <c r="L319" s="33">
        <v>2.2999999999999998</v>
      </c>
      <c r="M319" s="269">
        <v>1</v>
      </c>
      <c r="N319" s="41">
        <v>0.1603</v>
      </c>
      <c r="O319" s="33">
        <v>13</v>
      </c>
      <c r="P319" s="40"/>
      <c r="Q319" s="40"/>
      <c r="R319" s="40">
        <v>1.629</v>
      </c>
      <c r="S319" s="40"/>
      <c r="T319" s="40"/>
      <c r="U319" s="40"/>
      <c r="V319" s="40"/>
      <c r="W319" s="40"/>
      <c r="X319" s="40"/>
      <c r="Y319" s="40"/>
      <c r="Z319" s="40"/>
      <c r="AA319" s="40"/>
      <c r="AB319" s="40"/>
      <c r="AC319" s="40"/>
      <c r="AD319" s="40"/>
      <c r="AE319" s="40"/>
      <c r="AF319" s="40"/>
      <c r="AG319" s="40"/>
      <c r="AH319" s="40"/>
      <c r="AI319" s="40"/>
      <c r="AJ319" s="40"/>
      <c r="AK319" s="40"/>
      <c r="AL319" s="40"/>
      <c r="AM319" s="40"/>
      <c r="AN319" s="40"/>
      <c r="AO319" s="40"/>
      <c r="AP319" s="40"/>
      <c r="AQ319" s="40"/>
      <c r="AR319" s="40"/>
      <c r="AS319" s="40"/>
      <c r="AT319" s="40"/>
      <c r="AU319" s="40"/>
      <c r="AV319" s="40">
        <v>0.1047</v>
      </c>
      <c r="AW319" s="40">
        <v>18.91</v>
      </c>
      <c r="AX319" s="40"/>
      <c r="AY319" s="40">
        <v>18.91</v>
      </c>
      <c r="AZ319" s="40"/>
      <c r="BA319" s="40"/>
      <c r="BB319" s="40"/>
      <c r="BC319" s="40"/>
      <c r="BD319" s="40"/>
      <c r="BE319" s="40"/>
      <c r="BF319" s="40"/>
      <c r="BG319" s="40"/>
      <c r="BH319" s="40"/>
      <c r="BI319" s="40"/>
      <c r="BJ319" s="40"/>
      <c r="BK319" s="40"/>
      <c r="BL319" s="62">
        <v>0</v>
      </c>
      <c r="BM319" s="275">
        <v>2</v>
      </c>
      <c r="BN319" s="62">
        <v>0</v>
      </c>
      <c r="BO319" s="33" t="s">
        <v>513</v>
      </c>
    </row>
    <row r="320" spans="1:67">
      <c r="A320" s="33" t="str">
        <f>Database_Productkaarten[[#This Row],[Product]]&amp;", "&amp;Database_Productkaarten[[#This Row],[Levensfase]]</f>
        <v>SMA 5B rood - PCR 1.0 - Gelderland, C4</v>
      </c>
      <c r="B320" s="33" t="s">
        <v>515</v>
      </c>
      <c r="C320" s="33" t="s">
        <v>483</v>
      </c>
      <c r="D320" s="33" t="s">
        <v>516</v>
      </c>
      <c r="E320" s="33" t="s">
        <v>378</v>
      </c>
      <c r="F320" s="33" t="s">
        <v>86</v>
      </c>
      <c r="L320" s="33">
        <v>2.2999999999999998</v>
      </c>
      <c r="M320" s="269">
        <v>1</v>
      </c>
      <c r="N320" s="41">
        <v>0</v>
      </c>
      <c r="O320" s="33">
        <v>13</v>
      </c>
      <c r="P320" s="40"/>
      <c r="Q320" s="40"/>
      <c r="R320" s="40">
        <v>0</v>
      </c>
      <c r="S320" s="40"/>
      <c r="T320" s="40"/>
      <c r="U320" s="40"/>
      <c r="V320" s="40"/>
      <c r="W320" s="40"/>
      <c r="X320" s="40"/>
      <c r="Y320" s="40"/>
      <c r="Z320" s="40"/>
      <c r="AA320" s="40"/>
      <c r="AB320" s="40"/>
      <c r="AC320" s="40"/>
      <c r="AD320" s="40"/>
      <c r="AE320" s="40"/>
      <c r="AF320" s="40"/>
      <c r="AG320" s="40"/>
      <c r="AH320" s="40"/>
      <c r="AI320" s="40"/>
      <c r="AJ320" s="40"/>
      <c r="AK320" s="40"/>
      <c r="AL320" s="40"/>
      <c r="AM320" s="40"/>
      <c r="AN320" s="40"/>
      <c r="AO320" s="40"/>
      <c r="AP320" s="40"/>
      <c r="AQ320" s="40"/>
      <c r="AR320" s="40"/>
      <c r="AS320" s="40"/>
      <c r="AT320" s="40"/>
      <c r="AU320" s="40"/>
      <c r="AV320" s="40">
        <v>0</v>
      </c>
      <c r="AW320" s="40">
        <v>0</v>
      </c>
      <c r="AX320" s="40"/>
      <c r="AY320" s="40">
        <v>0</v>
      </c>
      <c r="AZ320" s="40"/>
      <c r="BA320" s="40"/>
      <c r="BB320" s="40"/>
      <c r="BC320" s="40"/>
      <c r="BD320" s="40"/>
      <c r="BE320" s="40"/>
      <c r="BF320" s="40"/>
      <c r="BG320" s="40"/>
      <c r="BH320" s="40"/>
      <c r="BI320" s="40"/>
      <c r="BJ320" s="40"/>
      <c r="BK320" s="40"/>
      <c r="BL320" s="62">
        <v>0</v>
      </c>
      <c r="BM320" s="275">
        <v>2</v>
      </c>
      <c r="BN320" s="62">
        <v>0</v>
      </c>
      <c r="BO320" s="33" t="s">
        <v>513</v>
      </c>
    </row>
    <row r="321" spans="1:67">
      <c r="A321" s="33" t="str">
        <f>Database_Productkaarten[[#This Row],[Product]]&amp;", "&amp;Database_Productkaarten[[#This Row],[Levensfase]]</f>
        <v>SMA 5B rood - PCR 1.0 - Gelderland, D</v>
      </c>
      <c r="B321" s="33" t="s">
        <v>515</v>
      </c>
      <c r="C321" s="33" t="s">
        <v>483</v>
      </c>
      <c r="D321" s="33" t="s">
        <v>516</v>
      </c>
      <c r="E321" s="33" t="s">
        <v>378</v>
      </c>
      <c r="F321" s="33" t="s">
        <v>89</v>
      </c>
      <c r="L321" s="33">
        <v>2.2999999999999998</v>
      </c>
      <c r="M321" s="269">
        <v>1</v>
      </c>
      <c r="N321" s="41">
        <v>-6.26</v>
      </c>
      <c r="O321" s="33">
        <v>13</v>
      </c>
      <c r="P321" s="40"/>
      <c r="Q321" s="40"/>
      <c r="R321" s="40">
        <v>-45.27</v>
      </c>
      <c r="S321" s="40"/>
      <c r="T321" s="40"/>
      <c r="U321" s="40"/>
      <c r="V321" s="40"/>
      <c r="W321" s="40"/>
      <c r="X321" s="40"/>
      <c r="Y321" s="40"/>
      <c r="Z321" s="40"/>
      <c r="AA321" s="40"/>
      <c r="AB321" s="40"/>
      <c r="AC321" s="40"/>
      <c r="AD321" s="40"/>
      <c r="AE321" s="40"/>
      <c r="AF321" s="40"/>
      <c r="AG321" s="40"/>
      <c r="AH321" s="40"/>
      <c r="AI321" s="40"/>
      <c r="AJ321" s="40"/>
      <c r="AK321" s="40"/>
      <c r="AL321" s="40"/>
      <c r="AM321" s="40"/>
      <c r="AN321" s="40"/>
      <c r="AO321" s="40"/>
      <c r="AP321" s="40"/>
      <c r="AQ321" s="40"/>
      <c r="AR321" s="40"/>
      <c r="AS321" s="40"/>
      <c r="AT321" s="40"/>
      <c r="AU321" s="40"/>
      <c r="AV321" s="40">
        <v>-15.13</v>
      </c>
      <c r="AW321" s="40">
        <v>-2185</v>
      </c>
      <c r="AX321" s="40"/>
      <c r="AY321" s="40">
        <v>-2185</v>
      </c>
      <c r="AZ321" s="40"/>
      <c r="BA321" s="40"/>
      <c r="BB321" s="40"/>
      <c r="BC321" s="40"/>
      <c r="BD321" s="40"/>
      <c r="BE321" s="40"/>
      <c r="BF321" s="40"/>
      <c r="BG321" s="40"/>
      <c r="BH321" s="40"/>
      <c r="BI321" s="40"/>
      <c r="BJ321" s="40"/>
      <c r="BK321" s="40"/>
      <c r="BL321" s="62">
        <v>0</v>
      </c>
      <c r="BM321" s="275">
        <v>2</v>
      </c>
      <c r="BN321" s="62">
        <v>0</v>
      </c>
      <c r="BO321" s="33" t="s">
        <v>513</v>
      </c>
    </row>
    <row r="322" spans="1:67">
      <c r="A322" s="33" t="str">
        <f>Database_Productkaarten[[#This Row],[Product]]&amp;", "&amp;Database_Productkaarten[[#This Row],[Levensfase]]</f>
        <v>SMA 8B rood - PCR 1.0 - Gelderland, Totaal</v>
      </c>
      <c r="B322" s="33" t="s">
        <v>517</v>
      </c>
      <c r="C322" s="33" t="s">
        <v>483</v>
      </c>
      <c r="D322" s="33" t="s">
        <v>516</v>
      </c>
      <c r="E322" s="33" t="s">
        <v>378</v>
      </c>
      <c r="F322" s="33" t="s">
        <v>90</v>
      </c>
      <c r="L322" s="33">
        <v>2.35</v>
      </c>
      <c r="M322" s="269">
        <v>1</v>
      </c>
      <c r="N322" s="41">
        <v>13.23</v>
      </c>
      <c r="O322" s="33">
        <v>16</v>
      </c>
      <c r="P322" s="40"/>
      <c r="Q322" s="40"/>
      <c r="R322" s="40">
        <v>114.2</v>
      </c>
      <c r="S322" s="40"/>
      <c r="T322" s="40"/>
      <c r="U322" s="40"/>
      <c r="V322" s="40"/>
      <c r="W322" s="40"/>
      <c r="X322" s="40"/>
      <c r="Y322" s="40"/>
      <c r="Z322" s="40"/>
      <c r="AA322" s="40"/>
      <c r="AB322" s="40"/>
      <c r="AC322" s="40"/>
      <c r="AD322" s="40"/>
      <c r="AE322" s="40"/>
      <c r="AF322" s="40"/>
      <c r="AG322" s="40"/>
      <c r="AH322" s="40"/>
      <c r="AI322" s="40"/>
      <c r="AJ322" s="40"/>
      <c r="AK322" s="40"/>
      <c r="AL322" s="40"/>
      <c r="AM322" s="40"/>
      <c r="AN322" s="40"/>
      <c r="AO322" s="40"/>
      <c r="AP322" s="40"/>
      <c r="AQ322" s="40"/>
      <c r="AR322" s="40"/>
      <c r="AS322" s="40"/>
      <c r="AT322" s="40"/>
      <c r="AU322" s="40"/>
      <c r="AV322" s="40">
        <v>71.55</v>
      </c>
      <c r="AW322" s="40"/>
      <c r="AX322" s="40"/>
      <c r="AY322" s="40">
        <v>3094</v>
      </c>
      <c r="AZ322" s="40"/>
      <c r="BA322" s="40"/>
      <c r="BB322" s="40"/>
      <c r="BC322" s="40"/>
      <c r="BD322" s="40"/>
      <c r="BE322" s="40"/>
      <c r="BF322" s="40"/>
      <c r="BG322" s="40"/>
      <c r="BH322" s="40"/>
      <c r="BI322" s="40"/>
      <c r="BJ322" s="40"/>
      <c r="BK322" s="40"/>
      <c r="BL322" s="62">
        <v>0</v>
      </c>
      <c r="BM322" s="275">
        <v>2</v>
      </c>
      <c r="BN322" s="62">
        <v>0</v>
      </c>
      <c r="BO322" s="33" t="s">
        <v>513</v>
      </c>
    </row>
    <row r="323" spans="1:67">
      <c r="A323" s="33" t="str">
        <f>Database_Productkaarten[[#This Row],[Product]]&amp;", "&amp;Database_Productkaarten[[#This Row],[Levensfase]]</f>
        <v>SMA 8B rood - PCR 1.0 - Gelderland, A1</v>
      </c>
      <c r="B323" s="33" t="s">
        <v>517</v>
      </c>
      <c r="C323" s="33" t="s">
        <v>483</v>
      </c>
      <c r="D323" s="33" t="s">
        <v>516</v>
      </c>
      <c r="E323" s="33" t="s">
        <v>378</v>
      </c>
      <c r="F323" s="33" t="s">
        <v>74</v>
      </c>
      <c r="L323" s="33">
        <v>2.35</v>
      </c>
      <c r="M323" s="269">
        <v>1</v>
      </c>
      <c r="N323" s="41">
        <v>13.55</v>
      </c>
      <c r="O323" s="33">
        <v>16</v>
      </c>
      <c r="P323" s="40"/>
      <c r="Q323" s="40"/>
      <c r="R323" s="40">
        <v>104.5</v>
      </c>
      <c r="S323" s="40"/>
      <c r="T323" s="40"/>
      <c r="U323" s="40"/>
      <c r="V323" s="40"/>
      <c r="W323" s="40"/>
      <c r="X323" s="40"/>
      <c r="Y323" s="40"/>
      <c r="Z323" s="40"/>
      <c r="AA323" s="40"/>
      <c r="AB323" s="40"/>
      <c r="AC323" s="40"/>
      <c r="AD323" s="40"/>
      <c r="AE323" s="40"/>
      <c r="AF323" s="40"/>
      <c r="AG323" s="40"/>
      <c r="AH323" s="40"/>
      <c r="AI323" s="40"/>
      <c r="AJ323" s="40"/>
      <c r="AK323" s="40"/>
      <c r="AL323" s="40"/>
      <c r="AM323" s="40"/>
      <c r="AN323" s="40"/>
      <c r="AO323" s="40"/>
      <c r="AP323" s="40"/>
      <c r="AQ323" s="40"/>
      <c r="AR323" s="40"/>
      <c r="AS323" s="40"/>
      <c r="AT323" s="40"/>
      <c r="AU323" s="40"/>
      <c r="AV323" s="40">
        <v>71.349999999999994</v>
      </c>
      <c r="AW323" s="40"/>
      <c r="AX323" s="40"/>
      <c r="AY323" s="40">
        <v>4313</v>
      </c>
      <c r="AZ323" s="40"/>
      <c r="BA323" s="40"/>
      <c r="BB323" s="40"/>
      <c r="BC323" s="40"/>
      <c r="BD323" s="40"/>
      <c r="BE323" s="40"/>
      <c r="BF323" s="40"/>
      <c r="BG323" s="40"/>
      <c r="BH323" s="40"/>
      <c r="BI323" s="40"/>
      <c r="BJ323" s="40"/>
      <c r="BK323" s="40"/>
      <c r="BL323" s="62">
        <v>0</v>
      </c>
      <c r="BM323" s="275">
        <v>2</v>
      </c>
      <c r="BN323" s="62">
        <v>0</v>
      </c>
      <c r="BO323" s="33" t="s">
        <v>513</v>
      </c>
    </row>
    <row r="324" spans="1:67">
      <c r="A324" s="33" t="str">
        <f>Database_Productkaarten[[#This Row],[Product]]&amp;", "&amp;Database_Productkaarten[[#This Row],[Levensfase]]</f>
        <v>SMA 8B rood - PCR 1.0 - Gelderland, A2</v>
      </c>
      <c r="B324" s="33" t="s">
        <v>517</v>
      </c>
      <c r="C324" s="33" t="s">
        <v>483</v>
      </c>
      <c r="D324" s="33" t="s">
        <v>516</v>
      </c>
      <c r="E324" s="33" t="s">
        <v>378</v>
      </c>
      <c r="F324" s="33" t="s">
        <v>75</v>
      </c>
      <c r="L324" s="33">
        <v>2.35</v>
      </c>
      <c r="M324" s="269">
        <v>1</v>
      </c>
      <c r="N324" s="41">
        <v>2.1469999999999998</v>
      </c>
      <c r="O324" s="33">
        <v>16</v>
      </c>
      <c r="P324" s="40"/>
      <c r="Q324" s="40"/>
      <c r="R324" s="40">
        <v>13.77</v>
      </c>
      <c r="S324" s="40"/>
      <c r="T324" s="40"/>
      <c r="U324" s="40"/>
      <c r="V324" s="40"/>
      <c r="W324" s="40"/>
      <c r="X324" s="40"/>
      <c r="Y324" s="40"/>
      <c r="Z324" s="40"/>
      <c r="AA324" s="40"/>
      <c r="AB324" s="40"/>
      <c r="AC324" s="40"/>
      <c r="AD324" s="40"/>
      <c r="AE324" s="40"/>
      <c r="AF324" s="40"/>
      <c r="AG324" s="40"/>
      <c r="AH324" s="40"/>
      <c r="AI324" s="40"/>
      <c r="AJ324" s="40"/>
      <c r="AK324" s="40"/>
      <c r="AL324" s="40"/>
      <c r="AM324" s="40"/>
      <c r="AN324" s="40"/>
      <c r="AO324" s="40"/>
      <c r="AP324" s="40"/>
      <c r="AQ324" s="40"/>
      <c r="AR324" s="40"/>
      <c r="AS324" s="40"/>
      <c r="AT324" s="40"/>
      <c r="AU324" s="40"/>
      <c r="AV324" s="40">
        <v>3.6309999999999998</v>
      </c>
      <c r="AW324" s="40"/>
      <c r="AX324" s="40"/>
      <c r="AY324" s="40">
        <v>214.6</v>
      </c>
      <c r="AZ324" s="40"/>
      <c r="BA324" s="40"/>
      <c r="BB324" s="40"/>
      <c r="BC324" s="40"/>
      <c r="BD324" s="40"/>
      <c r="BE324" s="40"/>
      <c r="BF324" s="40"/>
      <c r="BG324" s="40"/>
      <c r="BH324" s="40"/>
      <c r="BI324" s="40"/>
      <c r="BJ324" s="40"/>
      <c r="BK324" s="40"/>
      <c r="BL324" s="62">
        <v>0</v>
      </c>
      <c r="BM324" s="275">
        <v>2</v>
      </c>
      <c r="BN324" s="62">
        <v>0</v>
      </c>
      <c r="BO324" s="33" t="s">
        <v>513</v>
      </c>
    </row>
    <row r="325" spans="1:67">
      <c r="A325" s="33" t="str">
        <f>Database_Productkaarten[[#This Row],[Product]]&amp;", "&amp;Database_Productkaarten[[#This Row],[Levensfase]]</f>
        <v>SMA 8B rood - PCR 1.0 - Gelderland, A3</v>
      </c>
      <c r="B325" s="33" t="s">
        <v>517</v>
      </c>
      <c r="C325" s="33" t="s">
        <v>483</v>
      </c>
      <c r="D325" s="33" t="s">
        <v>516</v>
      </c>
      <c r="E325" s="33" t="s">
        <v>378</v>
      </c>
      <c r="F325" s="33" t="s">
        <v>76</v>
      </c>
      <c r="L325" s="33">
        <v>2.35</v>
      </c>
      <c r="M325" s="269">
        <v>1</v>
      </c>
      <c r="N325" s="41">
        <v>1.5940000000000001</v>
      </c>
      <c r="O325" s="33">
        <v>16</v>
      </c>
      <c r="P325" s="40"/>
      <c r="Q325" s="40"/>
      <c r="R325" s="40">
        <v>21.65</v>
      </c>
      <c r="S325" s="40"/>
      <c r="T325" s="40"/>
      <c r="U325" s="40"/>
      <c r="V325" s="40"/>
      <c r="W325" s="40"/>
      <c r="X325" s="40"/>
      <c r="Y325" s="40"/>
      <c r="Z325" s="40"/>
      <c r="AA325" s="40"/>
      <c r="AB325" s="40"/>
      <c r="AC325" s="40"/>
      <c r="AD325" s="40"/>
      <c r="AE325" s="40"/>
      <c r="AF325" s="40"/>
      <c r="AG325" s="40"/>
      <c r="AH325" s="40"/>
      <c r="AI325" s="40"/>
      <c r="AJ325" s="40"/>
      <c r="AK325" s="40"/>
      <c r="AL325" s="40"/>
      <c r="AM325" s="40"/>
      <c r="AN325" s="40"/>
      <c r="AO325" s="40"/>
      <c r="AP325" s="40"/>
      <c r="AQ325" s="40"/>
      <c r="AR325" s="40"/>
      <c r="AS325" s="40"/>
      <c r="AT325" s="40"/>
      <c r="AU325" s="40"/>
      <c r="AV325" s="40">
        <v>7.8220000000000001</v>
      </c>
      <c r="AW325" s="40"/>
      <c r="AX325" s="40"/>
      <c r="AY325" s="40">
        <v>373.1</v>
      </c>
      <c r="AZ325" s="40"/>
      <c r="BA325" s="40"/>
      <c r="BB325" s="40"/>
      <c r="BC325" s="40"/>
      <c r="BD325" s="40"/>
      <c r="BE325" s="40"/>
      <c r="BF325" s="40"/>
      <c r="BG325" s="40"/>
      <c r="BH325" s="40"/>
      <c r="BI325" s="40"/>
      <c r="BJ325" s="40"/>
      <c r="BK325" s="40"/>
      <c r="BL325" s="62">
        <v>0</v>
      </c>
      <c r="BM325" s="275">
        <v>2</v>
      </c>
      <c r="BN325" s="62">
        <v>0</v>
      </c>
      <c r="BO325" s="33" t="s">
        <v>513</v>
      </c>
    </row>
    <row r="326" spans="1:67">
      <c r="A326" s="33" t="str">
        <f>Database_Productkaarten[[#This Row],[Product]]&amp;", "&amp;Database_Productkaarten[[#This Row],[Levensfase]]</f>
        <v>SMA 8B rood - PCR 1.0 - Gelderland, A1-A3</v>
      </c>
      <c r="B326" s="33" t="s">
        <v>517</v>
      </c>
      <c r="C326" s="33" t="s">
        <v>483</v>
      </c>
      <c r="D326" s="33" t="s">
        <v>516</v>
      </c>
      <c r="E326" s="33" t="s">
        <v>378</v>
      </c>
      <c r="F326" s="33" t="s">
        <v>77</v>
      </c>
      <c r="L326" s="33">
        <v>2.35</v>
      </c>
      <c r="M326" s="269">
        <v>1</v>
      </c>
      <c r="N326" s="252">
        <v>17.29</v>
      </c>
      <c r="O326" s="33">
        <v>16</v>
      </c>
      <c r="P326" s="40"/>
      <c r="Q326" s="40"/>
      <c r="R326" s="40">
        <v>139.9</v>
      </c>
      <c r="S326" s="40"/>
      <c r="T326" s="40"/>
      <c r="U326" s="40"/>
      <c r="V326" s="40"/>
      <c r="W326" s="40"/>
      <c r="X326" s="40"/>
      <c r="Y326" s="40"/>
      <c r="Z326" s="40"/>
      <c r="AA326" s="40"/>
      <c r="AB326" s="40"/>
      <c r="AC326" s="40"/>
      <c r="AD326" s="40"/>
      <c r="AE326" s="40"/>
      <c r="AF326" s="40"/>
      <c r="AG326" s="40"/>
      <c r="AH326" s="40"/>
      <c r="AI326" s="40"/>
      <c r="AJ326" s="40"/>
      <c r="AK326" s="40"/>
      <c r="AL326" s="40"/>
      <c r="AM326" s="40"/>
      <c r="AN326" s="40"/>
      <c r="AO326" s="40"/>
      <c r="AP326" s="40"/>
      <c r="AQ326" s="40"/>
      <c r="AR326" s="40"/>
      <c r="AS326" s="40"/>
      <c r="AT326" s="40"/>
      <c r="AU326" s="40"/>
      <c r="AV326" s="40">
        <v>82.8</v>
      </c>
      <c r="AW326" s="40"/>
      <c r="AX326" s="40"/>
      <c r="AY326" s="40">
        <v>4900</v>
      </c>
      <c r="AZ326" s="40"/>
      <c r="BA326" s="40"/>
      <c r="BB326" s="40"/>
      <c r="BC326" s="40"/>
      <c r="BD326" s="40"/>
      <c r="BE326" s="40"/>
      <c r="BF326" s="40"/>
      <c r="BG326" s="40"/>
      <c r="BH326" s="40"/>
      <c r="BI326" s="40"/>
      <c r="BJ326" s="40"/>
      <c r="BK326" s="40"/>
      <c r="BL326" s="62">
        <v>0</v>
      </c>
      <c r="BM326" s="275">
        <v>2</v>
      </c>
      <c r="BN326" s="62">
        <v>0</v>
      </c>
      <c r="BO326" s="33" t="s">
        <v>513</v>
      </c>
    </row>
    <row r="327" spans="1:67">
      <c r="A327" s="33" t="str">
        <f>Database_Productkaarten[[#This Row],[Product]]&amp;", "&amp;Database_Productkaarten[[#This Row],[Levensfase]]</f>
        <v>SMA 8B rood - PCR 1.0 - Gelderland, A4</v>
      </c>
      <c r="B327" s="33" t="s">
        <v>517</v>
      </c>
      <c r="C327" s="33" t="s">
        <v>483</v>
      </c>
      <c r="D327" s="33" t="s">
        <v>516</v>
      </c>
      <c r="E327" s="33" t="s">
        <v>378</v>
      </c>
      <c r="F327" s="33" t="s">
        <v>78</v>
      </c>
      <c r="L327" s="33">
        <v>2.35</v>
      </c>
      <c r="M327" s="269">
        <v>1</v>
      </c>
      <c r="N327" s="41">
        <v>0.62580000000000002</v>
      </c>
      <c r="O327" s="33">
        <v>16</v>
      </c>
      <c r="P327" s="40"/>
      <c r="Q327" s="40"/>
      <c r="R327" s="40">
        <v>5.6740000000000004</v>
      </c>
      <c r="S327" s="40"/>
      <c r="T327" s="40"/>
      <c r="U327" s="40"/>
      <c r="V327" s="40"/>
      <c r="W327" s="40"/>
      <c r="X327" s="40"/>
      <c r="Y327" s="40"/>
      <c r="Z327" s="40"/>
      <c r="AA327" s="40"/>
      <c r="AB327" s="40"/>
      <c r="AC327" s="40"/>
      <c r="AD327" s="40"/>
      <c r="AE327" s="40"/>
      <c r="AF327" s="40"/>
      <c r="AG327" s="40"/>
      <c r="AH327" s="40"/>
      <c r="AI327" s="40"/>
      <c r="AJ327" s="40"/>
      <c r="AK327" s="40"/>
      <c r="AL327" s="40"/>
      <c r="AM327" s="40"/>
      <c r="AN327" s="40"/>
      <c r="AO327" s="40"/>
      <c r="AP327" s="40"/>
      <c r="AQ327" s="40"/>
      <c r="AR327" s="40"/>
      <c r="AS327" s="40"/>
      <c r="AT327" s="40"/>
      <c r="AU327" s="40"/>
      <c r="AV327" s="40">
        <v>1.536</v>
      </c>
      <c r="AW327" s="40"/>
      <c r="AX327" s="40"/>
      <c r="AY327" s="40">
        <v>98.15</v>
      </c>
      <c r="AZ327" s="40"/>
      <c r="BA327" s="40"/>
      <c r="BB327" s="40"/>
      <c r="BC327" s="40"/>
      <c r="BD327" s="40"/>
      <c r="BE327" s="40"/>
      <c r="BF327" s="40"/>
      <c r="BG327" s="40"/>
      <c r="BH327" s="40"/>
      <c r="BI327" s="40"/>
      <c r="BJ327" s="40"/>
      <c r="BK327" s="40"/>
      <c r="BL327" s="62">
        <v>0</v>
      </c>
      <c r="BM327" s="275">
        <v>2</v>
      </c>
      <c r="BN327" s="62">
        <v>0</v>
      </c>
      <c r="BO327" s="33" t="s">
        <v>513</v>
      </c>
    </row>
    <row r="328" spans="1:67">
      <c r="A328" s="33" t="str">
        <f>Database_Productkaarten[[#This Row],[Product]]&amp;", "&amp;Database_Productkaarten[[#This Row],[Levensfase]]</f>
        <v>SMA 8B rood - PCR 1.0 - Gelderland, A5</v>
      </c>
      <c r="B328" s="33" t="s">
        <v>517</v>
      </c>
      <c r="C328" s="33" t="s">
        <v>483</v>
      </c>
      <c r="D328" s="33" t="s">
        <v>516</v>
      </c>
      <c r="E328" s="33" t="s">
        <v>378</v>
      </c>
      <c r="F328" s="33" t="s">
        <v>79</v>
      </c>
      <c r="L328" s="33">
        <v>2.35</v>
      </c>
      <c r="M328" s="269">
        <v>1</v>
      </c>
      <c r="N328" s="41">
        <v>0.26129999999999998</v>
      </c>
      <c r="O328" s="33">
        <v>16</v>
      </c>
      <c r="P328" s="40"/>
      <c r="Q328" s="40"/>
      <c r="R328" s="40">
        <v>2.5529999999999999</v>
      </c>
      <c r="S328" s="40"/>
      <c r="T328" s="40"/>
      <c r="U328" s="40"/>
      <c r="V328" s="40"/>
      <c r="W328" s="40"/>
      <c r="X328" s="40"/>
      <c r="Y328" s="40"/>
      <c r="Z328" s="40"/>
      <c r="AA328" s="40"/>
      <c r="AB328" s="40"/>
      <c r="AC328" s="40"/>
      <c r="AD328" s="40"/>
      <c r="AE328" s="40"/>
      <c r="AF328" s="40"/>
      <c r="AG328" s="40"/>
      <c r="AH328" s="40"/>
      <c r="AI328" s="40"/>
      <c r="AJ328" s="40"/>
      <c r="AK328" s="40"/>
      <c r="AL328" s="40"/>
      <c r="AM328" s="40"/>
      <c r="AN328" s="40"/>
      <c r="AO328" s="40"/>
      <c r="AP328" s="40"/>
      <c r="AQ328" s="40"/>
      <c r="AR328" s="40"/>
      <c r="AS328" s="40"/>
      <c r="AT328" s="40"/>
      <c r="AU328" s="40"/>
      <c r="AV328" s="40">
        <v>0.1641</v>
      </c>
      <c r="AW328" s="40"/>
      <c r="AX328" s="40"/>
      <c r="AY328" s="40">
        <v>29.64</v>
      </c>
      <c r="AZ328" s="40"/>
      <c r="BA328" s="40"/>
      <c r="BB328" s="40"/>
      <c r="BC328" s="40"/>
      <c r="BD328" s="40"/>
      <c r="BE328" s="40"/>
      <c r="BF328" s="40"/>
      <c r="BG328" s="40"/>
      <c r="BH328" s="40"/>
      <c r="BI328" s="40"/>
      <c r="BJ328" s="40"/>
      <c r="BK328" s="40"/>
      <c r="BL328" s="62">
        <v>0</v>
      </c>
      <c r="BM328" s="275">
        <v>2</v>
      </c>
      <c r="BN328" s="62">
        <v>0</v>
      </c>
      <c r="BO328" s="33" t="s">
        <v>513</v>
      </c>
    </row>
    <row r="329" spans="1:67">
      <c r="A329" s="33" t="str">
        <f>Database_Productkaarten[[#This Row],[Product]]&amp;", "&amp;Database_Productkaarten[[#This Row],[Levensfase]]</f>
        <v>SMA 8B rood - PCR 1.0 - Gelderland, B1</v>
      </c>
      <c r="B329" s="33" t="s">
        <v>517</v>
      </c>
      <c r="C329" s="33" t="s">
        <v>483</v>
      </c>
      <c r="D329" s="33" t="s">
        <v>516</v>
      </c>
      <c r="E329" s="33" t="s">
        <v>378</v>
      </c>
      <c r="F329" s="33" t="s">
        <v>80</v>
      </c>
      <c r="L329" s="33">
        <v>2.35</v>
      </c>
      <c r="M329" s="269">
        <v>1</v>
      </c>
      <c r="N329" s="41">
        <v>0.1182</v>
      </c>
      <c r="O329" s="33">
        <v>16</v>
      </c>
      <c r="P329" s="40"/>
      <c r="Q329" s="40"/>
      <c r="R329" s="40">
        <v>0</v>
      </c>
      <c r="S329" s="40"/>
      <c r="T329" s="40"/>
      <c r="U329" s="40"/>
      <c r="V329" s="40"/>
      <c r="W329" s="40"/>
      <c r="X329" s="40"/>
      <c r="Y329" s="40"/>
      <c r="Z329" s="40"/>
      <c r="AA329" s="40"/>
      <c r="AB329" s="40"/>
      <c r="AC329" s="40"/>
      <c r="AD329" s="40"/>
      <c r="AE329" s="40"/>
      <c r="AF329" s="40"/>
      <c r="AG329" s="40"/>
      <c r="AH329" s="40"/>
      <c r="AI329" s="40"/>
      <c r="AJ329" s="40"/>
      <c r="AK329" s="40"/>
      <c r="AL329" s="40"/>
      <c r="AM329" s="40"/>
      <c r="AN329" s="40"/>
      <c r="AO329" s="40"/>
      <c r="AP329" s="40"/>
      <c r="AQ329" s="40"/>
      <c r="AR329" s="40"/>
      <c r="AS329" s="40"/>
      <c r="AT329" s="40"/>
      <c r="AU329" s="40"/>
      <c r="AV329" s="40">
        <v>0</v>
      </c>
      <c r="AW329" s="40"/>
      <c r="AX329" s="40"/>
      <c r="AY329" s="40">
        <v>0</v>
      </c>
      <c r="AZ329" s="40"/>
      <c r="BA329" s="40"/>
      <c r="BB329" s="40"/>
      <c r="BC329" s="40"/>
      <c r="BD329" s="40"/>
      <c r="BE329" s="40"/>
      <c r="BF329" s="40"/>
      <c r="BG329" s="40"/>
      <c r="BH329" s="40"/>
      <c r="BI329" s="40"/>
      <c r="BJ329" s="40"/>
      <c r="BK329" s="40"/>
      <c r="BL329" s="62">
        <v>0</v>
      </c>
      <c r="BM329" s="275">
        <v>2</v>
      </c>
      <c r="BN329" s="62">
        <v>0</v>
      </c>
      <c r="BO329" s="33" t="s">
        <v>513</v>
      </c>
    </row>
    <row r="330" spans="1:67">
      <c r="A330" s="33" t="str">
        <f>Database_Productkaarten[[#This Row],[Product]]&amp;", "&amp;Database_Productkaarten[[#This Row],[Levensfase]]</f>
        <v>SMA 8B rood - PCR 1.0 - Gelderland, C1</v>
      </c>
      <c r="B330" s="33" t="s">
        <v>517</v>
      </c>
      <c r="C330" s="33" t="s">
        <v>483</v>
      </c>
      <c r="D330" s="33" t="s">
        <v>516</v>
      </c>
      <c r="E330" s="33" t="s">
        <v>378</v>
      </c>
      <c r="F330" s="33" t="s">
        <v>83</v>
      </c>
      <c r="L330" s="33">
        <v>2.35</v>
      </c>
      <c r="M330" s="269">
        <v>1</v>
      </c>
      <c r="N330" s="41">
        <v>0.1363</v>
      </c>
      <c r="O330" s="33">
        <v>16</v>
      </c>
      <c r="P330" s="40"/>
      <c r="Q330" s="40"/>
      <c r="R330" s="40">
        <v>1.4530000000000001</v>
      </c>
      <c r="S330" s="40"/>
      <c r="T330" s="40"/>
      <c r="U330" s="40"/>
      <c r="V330" s="40"/>
      <c r="W330" s="40"/>
      <c r="X330" s="40"/>
      <c r="Y330" s="40"/>
      <c r="Z330" s="40"/>
      <c r="AA330" s="40"/>
      <c r="AB330" s="40"/>
      <c r="AC330" s="40"/>
      <c r="AD330" s="40"/>
      <c r="AE330" s="40"/>
      <c r="AF330" s="40"/>
      <c r="AG330" s="40"/>
      <c r="AH330" s="40"/>
      <c r="AI330" s="40"/>
      <c r="AJ330" s="40"/>
      <c r="AK330" s="40"/>
      <c r="AL330" s="40"/>
      <c r="AM330" s="40"/>
      <c r="AN330" s="40"/>
      <c r="AO330" s="40"/>
      <c r="AP330" s="40"/>
      <c r="AQ330" s="40"/>
      <c r="AR330" s="40"/>
      <c r="AS330" s="40"/>
      <c r="AT330" s="40"/>
      <c r="AU330" s="40"/>
      <c r="AV330" s="40">
        <v>9.3380000000000005E-2</v>
      </c>
      <c r="AW330" s="40"/>
      <c r="AX330" s="40"/>
      <c r="AY330" s="40">
        <v>16.87</v>
      </c>
      <c r="AZ330" s="40"/>
      <c r="BA330" s="40"/>
      <c r="BB330" s="40"/>
      <c r="BC330" s="40"/>
      <c r="BD330" s="40"/>
      <c r="BE330" s="40"/>
      <c r="BF330" s="40"/>
      <c r="BG330" s="40"/>
      <c r="BH330" s="40"/>
      <c r="BI330" s="40"/>
      <c r="BJ330" s="40"/>
      <c r="BK330" s="40"/>
      <c r="BL330" s="62">
        <v>0</v>
      </c>
      <c r="BM330" s="275">
        <v>2</v>
      </c>
      <c r="BN330" s="62">
        <v>0</v>
      </c>
      <c r="BO330" s="33" t="s">
        <v>513</v>
      </c>
    </row>
    <row r="331" spans="1:67">
      <c r="A331" s="33" t="str">
        <f>Database_Productkaarten[[#This Row],[Product]]&amp;", "&amp;Database_Productkaarten[[#This Row],[Levensfase]]</f>
        <v>SMA 8B rood - PCR 1.0 - Gelderland, C2</v>
      </c>
      <c r="B331" s="33" t="s">
        <v>517</v>
      </c>
      <c r="C331" s="33" t="s">
        <v>483</v>
      </c>
      <c r="D331" s="33" t="s">
        <v>516</v>
      </c>
      <c r="E331" s="33" t="s">
        <v>378</v>
      </c>
      <c r="F331" s="33" t="s">
        <v>84</v>
      </c>
      <c r="L331" s="33">
        <v>2.35</v>
      </c>
      <c r="M331" s="269">
        <v>1</v>
      </c>
      <c r="N331" s="41">
        <v>0.62580000000000002</v>
      </c>
      <c r="O331" s="33">
        <v>16</v>
      </c>
      <c r="P331" s="40"/>
      <c r="Q331" s="40"/>
      <c r="R331" s="40">
        <v>5.6740000000000004</v>
      </c>
      <c r="S331" s="40"/>
      <c r="T331" s="40"/>
      <c r="U331" s="40"/>
      <c r="V331" s="40"/>
      <c r="W331" s="40"/>
      <c r="X331" s="40"/>
      <c r="Y331" s="40"/>
      <c r="Z331" s="40"/>
      <c r="AA331" s="40"/>
      <c r="AB331" s="40"/>
      <c r="AC331" s="40"/>
      <c r="AD331" s="40"/>
      <c r="AE331" s="40"/>
      <c r="AF331" s="40"/>
      <c r="AG331" s="40"/>
      <c r="AH331" s="40"/>
      <c r="AI331" s="40"/>
      <c r="AJ331" s="40"/>
      <c r="AK331" s="40"/>
      <c r="AL331" s="40"/>
      <c r="AM331" s="40"/>
      <c r="AN331" s="40"/>
      <c r="AO331" s="40"/>
      <c r="AP331" s="40"/>
      <c r="AQ331" s="40"/>
      <c r="AR331" s="40"/>
      <c r="AS331" s="40"/>
      <c r="AT331" s="40"/>
      <c r="AU331" s="40"/>
      <c r="AV331" s="40">
        <v>1.536</v>
      </c>
      <c r="AW331" s="40"/>
      <c r="AX331" s="40"/>
      <c r="AY331" s="40">
        <v>98.15</v>
      </c>
      <c r="AZ331" s="40"/>
      <c r="BA331" s="40"/>
      <c r="BB331" s="40"/>
      <c r="BC331" s="40"/>
      <c r="BD331" s="40"/>
      <c r="BE331" s="40"/>
      <c r="BF331" s="40"/>
      <c r="BG331" s="40"/>
      <c r="BH331" s="40"/>
      <c r="BI331" s="40"/>
      <c r="BJ331" s="40"/>
      <c r="BK331" s="40"/>
      <c r="BL331" s="62">
        <v>0</v>
      </c>
      <c r="BM331" s="275">
        <v>2</v>
      </c>
      <c r="BN331" s="62">
        <v>0</v>
      </c>
      <c r="BO331" s="33" t="s">
        <v>513</v>
      </c>
    </row>
    <row r="332" spans="1:67">
      <c r="A332" s="33" t="str">
        <f>Database_Productkaarten[[#This Row],[Product]]&amp;", "&amp;Database_Productkaarten[[#This Row],[Levensfase]]</f>
        <v>SMA 8B rood - PCR 1.0 - Gelderland, C3</v>
      </c>
      <c r="B332" s="33" t="s">
        <v>517</v>
      </c>
      <c r="C332" s="33" t="s">
        <v>483</v>
      </c>
      <c r="D332" s="33" t="s">
        <v>516</v>
      </c>
      <c r="E332" s="33" t="s">
        <v>378</v>
      </c>
      <c r="F332" s="33" t="s">
        <v>85</v>
      </c>
      <c r="L332" s="33">
        <v>2.35</v>
      </c>
      <c r="M332" s="269">
        <v>1</v>
      </c>
      <c r="N332" s="41">
        <v>0.1603</v>
      </c>
      <c r="O332" s="33">
        <v>16</v>
      </c>
      <c r="P332" s="40"/>
      <c r="Q332" s="40"/>
      <c r="R332" s="40">
        <v>1.629</v>
      </c>
      <c r="S332" s="40"/>
      <c r="T332" s="40"/>
      <c r="U332" s="40"/>
      <c r="V332" s="40"/>
      <c r="W332" s="40"/>
      <c r="X332" s="40"/>
      <c r="Y332" s="40"/>
      <c r="Z332" s="40"/>
      <c r="AA332" s="40"/>
      <c r="AB332" s="40"/>
      <c r="AC332" s="40"/>
      <c r="AD332" s="40"/>
      <c r="AE332" s="40"/>
      <c r="AF332" s="40"/>
      <c r="AG332" s="40"/>
      <c r="AH332" s="40"/>
      <c r="AI332" s="40"/>
      <c r="AJ332" s="40"/>
      <c r="AK332" s="40"/>
      <c r="AL332" s="40"/>
      <c r="AM332" s="40"/>
      <c r="AN332" s="40"/>
      <c r="AO332" s="40"/>
      <c r="AP332" s="40"/>
      <c r="AQ332" s="40"/>
      <c r="AR332" s="40"/>
      <c r="AS332" s="40"/>
      <c r="AT332" s="40"/>
      <c r="AU332" s="40"/>
      <c r="AV332" s="40">
        <v>0.1047</v>
      </c>
      <c r="AW332" s="40"/>
      <c r="AX332" s="40"/>
      <c r="AY332" s="40">
        <v>18.91</v>
      </c>
      <c r="AZ332" s="40"/>
      <c r="BA332" s="40"/>
      <c r="BB332" s="40"/>
      <c r="BC332" s="40"/>
      <c r="BD332" s="40"/>
      <c r="BE332" s="40"/>
      <c r="BF332" s="40"/>
      <c r="BG332" s="40"/>
      <c r="BH332" s="40"/>
      <c r="BI332" s="40"/>
      <c r="BJ332" s="40"/>
      <c r="BK332" s="40"/>
      <c r="BL332" s="62">
        <v>0</v>
      </c>
      <c r="BM332" s="275">
        <v>2</v>
      </c>
      <c r="BN332" s="62">
        <v>0</v>
      </c>
      <c r="BO332" s="33" t="s">
        <v>513</v>
      </c>
    </row>
    <row r="333" spans="1:67">
      <c r="A333" s="33" t="str">
        <f>Database_Productkaarten[[#This Row],[Product]]&amp;", "&amp;Database_Productkaarten[[#This Row],[Levensfase]]</f>
        <v>SMA 8B rood - PCR 1.0 - Gelderland, C4</v>
      </c>
      <c r="B333" s="33" t="s">
        <v>517</v>
      </c>
      <c r="C333" s="33" t="s">
        <v>483</v>
      </c>
      <c r="D333" s="33" t="s">
        <v>516</v>
      </c>
      <c r="E333" s="33" t="s">
        <v>378</v>
      </c>
      <c r="F333" s="33" t="s">
        <v>86</v>
      </c>
      <c r="L333" s="33">
        <v>2.35</v>
      </c>
      <c r="M333" s="269">
        <v>1</v>
      </c>
      <c r="N333" s="41">
        <v>0</v>
      </c>
      <c r="O333" s="33">
        <v>16</v>
      </c>
      <c r="P333" s="40"/>
      <c r="Q333" s="40"/>
      <c r="R333" s="40">
        <v>0</v>
      </c>
      <c r="S333" s="40"/>
      <c r="T333" s="40"/>
      <c r="U333" s="40"/>
      <c r="V333" s="40"/>
      <c r="W333" s="40"/>
      <c r="X333" s="40"/>
      <c r="Y333" s="40"/>
      <c r="Z333" s="40"/>
      <c r="AA333" s="40"/>
      <c r="AB333" s="40"/>
      <c r="AC333" s="40"/>
      <c r="AD333" s="40"/>
      <c r="AE333" s="40"/>
      <c r="AF333" s="40"/>
      <c r="AG333" s="40"/>
      <c r="AH333" s="40"/>
      <c r="AI333" s="40"/>
      <c r="AJ333" s="40"/>
      <c r="AK333" s="40"/>
      <c r="AL333" s="40"/>
      <c r="AM333" s="40"/>
      <c r="AN333" s="40"/>
      <c r="AO333" s="40"/>
      <c r="AP333" s="40"/>
      <c r="AQ333" s="40"/>
      <c r="AR333" s="40"/>
      <c r="AS333" s="40"/>
      <c r="AT333" s="40"/>
      <c r="AU333" s="40"/>
      <c r="AV333" s="40">
        <v>0</v>
      </c>
      <c r="AW333" s="40"/>
      <c r="AX333" s="40"/>
      <c r="AY333" s="40">
        <v>0</v>
      </c>
      <c r="AZ333" s="40"/>
      <c r="BA333" s="40"/>
      <c r="BB333" s="40"/>
      <c r="BC333" s="40"/>
      <c r="BD333" s="40"/>
      <c r="BE333" s="40"/>
      <c r="BF333" s="40"/>
      <c r="BG333" s="40"/>
      <c r="BH333" s="40"/>
      <c r="BI333" s="40"/>
      <c r="BJ333" s="40"/>
      <c r="BK333" s="40"/>
      <c r="BL333" s="62">
        <v>0</v>
      </c>
      <c r="BM333" s="275">
        <v>2</v>
      </c>
      <c r="BN333" s="62">
        <v>0</v>
      </c>
      <c r="BO333" s="33" t="s">
        <v>513</v>
      </c>
    </row>
    <row r="334" spans="1:67">
      <c r="A334" s="33" t="str">
        <f>Database_Productkaarten[[#This Row],[Product]]&amp;", "&amp;Database_Productkaarten[[#This Row],[Levensfase]]</f>
        <v>SMA 8B rood - PCR 1.0 - Gelderland, D</v>
      </c>
      <c r="B334" s="33" t="s">
        <v>517</v>
      </c>
      <c r="C334" s="33" t="s">
        <v>483</v>
      </c>
      <c r="D334" s="33" t="s">
        <v>516</v>
      </c>
      <c r="E334" s="33" t="s">
        <v>378</v>
      </c>
      <c r="F334" s="33" t="s">
        <v>89</v>
      </c>
      <c r="L334" s="33">
        <v>2.35</v>
      </c>
      <c r="M334" s="269">
        <v>1</v>
      </c>
      <c r="N334" s="41">
        <v>-5.9930000000000003</v>
      </c>
      <c r="O334" s="33">
        <v>16</v>
      </c>
      <c r="P334" s="40"/>
      <c r="Q334" s="40"/>
      <c r="R334" s="40">
        <v>-42.65</v>
      </c>
      <c r="S334" s="40"/>
      <c r="T334" s="40"/>
      <c r="U334" s="40"/>
      <c r="V334" s="40"/>
      <c r="W334" s="40"/>
      <c r="X334" s="40"/>
      <c r="Y334" s="40"/>
      <c r="Z334" s="40"/>
      <c r="AA334" s="40"/>
      <c r="AB334" s="40"/>
      <c r="AC334" s="40"/>
      <c r="AD334" s="40"/>
      <c r="AE334" s="40"/>
      <c r="AF334" s="40"/>
      <c r="AG334" s="40"/>
      <c r="AH334" s="40"/>
      <c r="AI334" s="40"/>
      <c r="AJ334" s="40"/>
      <c r="AK334" s="40"/>
      <c r="AL334" s="40"/>
      <c r="AM334" s="40"/>
      <c r="AN334" s="40"/>
      <c r="AO334" s="40"/>
      <c r="AP334" s="40"/>
      <c r="AQ334" s="40"/>
      <c r="AR334" s="40"/>
      <c r="AS334" s="40"/>
      <c r="AT334" s="40"/>
      <c r="AU334" s="40"/>
      <c r="AV334" s="40">
        <v>-14.68</v>
      </c>
      <c r="AW334" s="40"/>
      <c r="AX334" s="40"/>
      <c r="AY334" s="40">
        <v>-2068</v>
      </c>
      <c r="AZ334" s="40"/>
      <c r="BA334" s="40"/>
      <c r="BB334" s="40"/>
      <c r="BC334" s="40"/>
      <c r="BD334" s="40"/>
      <c r="BE334" s="40"/>
      <c r="BF334" s="40"/>
      <c r="BG334" s="40"/>
      <c r="BH334" s="40"/>
      <c r="BI334" s="40"/>
      <c r="BJ334" s="40"/>
      <c r="BK334" s="40"/>
      <c r="BL334" s="62">
        <v>0</v>
      </c>
      <c r="BM334" s="275">
        <v>2</v>
      </c>
      <c r="BN334" s="62">
        <v>0</v>
      </c>
      <c r="BO334" s="33" t="s">
        <v>513</v>
      </c>
    </row>
    <row r="335" spans="1:67">
      <c r="A335" s="33" t="str">
        <f>Database_Productkaarten[[#This Row],[Product]]&amp;", "&amp;Database_Productkaarten[[#This Row],[Levensfase]]</f>
        <v>SMA 8G+ rood - PCR 1.0 - Gelderland, Totaal</v>
      </c>
      <c r="B335" s="33" t="s">
        <v>518</v>
      </c>
      <c r="C335" s="33" t="s">
        <v>483</v>
      </c>
      <c r="D335" s="33" t="s">
        <v>519</v>
      </c>
      <c r="E335" s="33" t="s">
        <v>378</v>
      </c>
      <c r="F335" s="33" t="s">
        <v>90</v>
      </c>
      <c r="L335" s="33">
        <v>2.2000000000000002</v>
      </c>
      <c r="M335" s="269">
        <v>1</v>
      </c>
      <c r="N335" s="40">
        <v>17.8</v>
      </c>
      <c r="O335" s="33">
        <v>16</v>
      </c>
      <c r="P335" s="40"/>
      <c r="Q335" s="40"/>
      <c r="R335" s="40">
        <v>151.69999999999999</v>
      </c>
      <c r="S335" s="40"/>
      <c r="T335" s="40"/>
      <c r="U335" s="40"/>
      <c r="V335" s="40"/>
      <c r="W335" s="40"/>
      <c r="X335" s="40"/>
      <c r="Y335" s="40"/>
      <c r="Z335" s="40"/>
      <c r="AA335" s="40"/>
      <c r="AB335" s="40"/>
      <c r="AC335" s="40"/>
      <c r="AD335" s="40"/>
      <c r="AE335" s="40"/>
      <c r="AF335" s="40"/>
      <c r="AG335" s="40"/>
      <c r="AH335" s="40"/>
      <c r="AI335" s="40"/>
      <c r="AJ335" s="40"/>
      <c r="AK335" s="40"/>
      <c r="AL335" s="40"/>
      <c r="AM335" s="40"/>
      <c r="AN335" s="40"/>
      <c r="AO335" s="40"/>
      <c r="AP335" s="40"/>
      <c r="AQ335" s="40"/>
      <c r="AR335" s="40"/>
      <c r="AS335" s="40"/>
      <c r="AT335" s="40"/>
      <c r="AU335" s="40"/>
      <c r="AV335" s="40">
        <v>93.45</v>
      </c>
      <c r="AW335" s="40"/>
      <c r="AX335" s="40"/>
      <c r="AY335" s="40">
        <v>3323</v>
      </c>
      <c r="AZ335" s="40"/>
      <c r="BA335" s="40"/>
      <c r="BB335" s="40"/>
      <c r="BC335" s="40"/>
      <c r="BD335" s="40"/>
      <c r="BE335" s="40"/>
      <c r="BF335" s="40"/>
      <c r="BG335" s="40"/>
      <c r="BH335" s="40"/>
      <c r="BI335" s="40"/>
      <c r="BJ335" s="40"/>
      <c r="BK335" s="40"/>
      <c r="BL335" s="62">
        <v>0</v>
      </c>
      <c r="BM335" s="275">
        <v>2</v>
      </c>
      <c r="BN335" s="62">
        <v>0</v>
      </c>
      <c r="BO335" s="33" t="s">
        <v>513</v>
      </c>
    </row>
    <row r="336" spans="1:67">
      <c r="A336" s="33" t="str">
        <f>Database_Productkaarten[[#This Row],[Product]]&amp;", "&amp;Database_Productkaarten[[#This Row],[Levensfase]]</f>
        <v>SMA 8G+ rood - PCR 1.0 - Gelderland, A1</v>
      </c>
      <c r="B336" s="33" t="s">
        <v>518</v>
      </c>
      <c r="C336" s="33" t="s">
        <v>483</v>
      </c>
      <c r="D336" s="33" t="s">
        <v>519</v>
      </c>
      <c r="E336" s="33" t="s">
        <v>378</v>
      </c>
      <c r="F336" s="33" t="s">
        <v>74</v>
      </c>
      <c r="L336" s="33">
        <v>2.2000000000000002</v>
      </c>
      <c r="M336" s="269">
        <v>1</v>
      </c>
      <c r="N336" s="40">
        <v>18.38</v>
      </c>
      <c r="O336" s="33">
        <v>16</v>
      </c>
      <c r="P336" s="40"/>
      <c r="Q336" s="40"/>
      <c r="R336" s="40">
        <v>150.19999999999999</v>
      </c>
      <c r="S336" s="40"/>
      <c r="T336" s="40"/>
      <c r="U336" s="40"/>
      <c r="V336" s="40"/>
      <c r="W336" s="40"/>
      <c r="X336" s="40"/>
      <c r="Y336" s="40"/>
      <c r="Z336" s="40"/>
      <c r="AA336" s="40"/>
      <c r="AB336" s="40"/>
      <c r="AC336" s="40"/>
      <c r="AD336" s="40"/>
      <c r="AE336" s="40"/>
      <c r="AF336" s="40"/>
      <c r="AG336" s="40"/>
      <c r="AH336" s="40"/>
      <c r="AI336" s="40"/>
      <c r="AJ336" s="40"/>
      <c r="AK336" s="40"/>
      <c r="AL336" s="40"/>
      <c r="AM336" s="40"/>
      <c r="AN336" s="40"/>
      <c r="AO336" s="40"/>
      <c r="AP336" s="40"/>
      <c r="AQ336" s="40"/>
      <c r="AR336" s="40"/>
      <c r="AS336" s="40"/>
      <c r="AT336" s="40"/>
      <c r="AU336" s="40"/>
      <c r="AV336" s="40">
        <v>96.43</v>
      </c>
      <c r="AW336" s="40"/>
      <c r="AX336" s="40"/>
      <c r="AY336" s="40">
        <v>4369</v>
      </c>
      <c r="AZ336" s="40"/>
      <c r="BA336" s="40"/>
      <c r="BB336" s="40"/>
      <c r="BC336" s="40"/>
      <c r="BD336" s="40"/>
      <c r="BE336" s="40"/>
      <c r="BF336" s="40"/>
      <c r="BG336" s="40"/>
      <c r="BH336" s="40"/>
      <c r="BI336" s="40"/>
      <c r="BJ336" s="40"/>
      <c r="BK336" s="40"/>
      <c r="BL336" s="62">
        <v>0</v>
      </c>
      <c r="BM336" s="275">
        <v>2</v>
      </c>
      <c r="BN336" s="62">
        <v>0</v>
      </c>
      <c r="BO336" s="33" t="s">
        <v>513</v>
      </c>
    </row>
    <row r="337" spans="1:67">
      <c r="A337" s="33" t="str">
        <f>Database_Productkaarten[[#This Row],[Product]]&amp;", "&amp;Database_Productkaarten[[#This Row],[Levensfase]]</f>
        <v>SMA 8G+ rood - PCR 1.0 - Gelderland, A2</v>
      </c>
      <c r="B337" s="33" t="s">
        <v>518</v>
      </c>
      <c r="C337" s="33" t="s">
        <v>483</v>
      </c>
      <c r="D337" s="33" t="s">
        <v>519</v>
      </c>
      <c r="E337" s="33" t="s">
        <v>378</v>
      </c>
      <c r="F337" s="33" t="s">
        <v>75</v>
      </c>
      <c r="L337" s="33">
        <v>2.2000000000000002</v>
      </c>
      <c r="M337" s="269">
        <v>1</v>
      </c>
      <c r="N337" s="40">
        <v>2.173</v>
      </c>
      <c r="O337" s="33">
        <v>16</v>
      </c>
      <c r="P337" s="40"/>
      <c r="Q337" s="40"/>
      <c r="R337" s="40">
        <v>13.88</v>
      </c>
      <c r="S337" s="40"/>
      <c r="T337" s="40"/>
      <c r="U337" s="40"/>
      <c r="V337" s="40"/>
      <c r="W337" s="40"/>
      <c r="X337" s="40"/>
      <c r="Y337" s="40"/>
      <c r="Z337" s="40"/>
      <c r="AA337" s="40"/>
      <c r="AB337" s="40"/>
      <c r="AC337" s="40"/>
      <c r="AD337" s="40"/>
      <c r="AE337" s="40"/>
      <c r="AF337" s="40"/>
      <c r="AG337" s="40"/>
      <c r="AH337" s="40"/>
      <c r="AI337" s="40"/>
      <c r="AJ337" s="40"/>
      <c r="AK337" s="40"/>
      <c r="AL337" s="40"/>
      <c r="AM337" s="40"/>
      <c r="AN337" s="40"/>
      <c r="AO337" s="40"/>
      <c r="AP337" s="40"/>
      <c r="AQ337" s="40"/>
      <c r="AR337" s="40"/>
      <c r="AS337" s="40"/>
      <c r="AT337" s="40"/>
      <c r="AU337" s="40"/>
      <c r="AV337" s="40">
        <v>3.661</v>
      </c>
      <c r="AW337" s="40"/>
      <c r="AX337" s="40"/>
      <c r="AY337" s="40">
        <v>216.5</v>
      </c>
      <c r="AZ337" s="40"/>
      <c r="BA337" s="40"/>
      <c r="BB337" s="40"/>
      <c r="BC337" s="40"/>
      <c r="BD337" s="40"/>
      <c r="BE337" s="40"/>
      <c r="BF337" s="40"/>
      <c r="BG337" s="40"/>
      <c r="BH337" s="40"/>
      <c r="BI337" s="40"/>
      <c r="BJ337" s="40"/>
      <c r="BK337" s="40"/>
      <c r="BL337" s="62">
        <v>0</v>
      </c>
      <c r="BM337" s="275">
        <v>2</v>
      </c>
      <c r="BN337" s="62">
        <v>0</v>
      </c>
      <c r="BO337" s="33" t="s">
        <v>513</v>
      </c>
    </row>
    <row r="338" spans="1:67">
      <c r="A338" s="33" t="str">
        <f>Database_Productkaarten[[#This Row],[Product]]&amp;", "&amp;Database_Productkaarten[[#This Row],[Levensfase]]</f>
        <v>SMA 8G+ rood - PCR 1.0 - Gelderland, A3</v>
      </c>
      <c r="B338" s="33" t="s">
        <v>518</v>
      </c>
      <c r="C338" s="33" t="s">
        <v>483</v>
      </c>
      <c r="D338" s="33" t="s">
        <v>519</v>
      </c>
      <c r="E338" s="33" t="s">
        <v>378</v>
      </c>
      <c r="F338" s="33" t="s">
        <v>76</v>
      </c>
      <c r="L338" s="33">
        <v>2.2000000000000002</v>
      </c>
      <c r="M338" s="269">
        <v>1</v>
      </c>
      <c r="N338" s="40">
        <v>1.5580000000000001</v>
      </c>
      <c r="O338" s="33">
        <v>16</v>
      </c>
      <c r="P338" s="40"/>
      <c r="Q338" s="40"/>
      <c r="R338" s="40">
        <v>21.14</v>
      </c>
      <c r="S338" s="40"/>
      <c r="T338" s="40"/>
      <c r="U338" s="40"/>
      <c r="V338" s="40"/>
      <c r="W338" s="40"/>
      <c r="X338" s="40"/>
      <c r="Y338" s="40"/>
      <c r="Z338" s="40"/>
      <c r="AA338" s="40"/>
      <c r="AB338" s="40"/>
      <c r="AC338" s="40"/>
      <c r="AD338" s="40"/>
      <c r="AE338" s="40"/>
      <c r="AF338" s="40"/>
      <c r="AG338" s="40"/>
      <c r="AH338" s="40"/>
      <c r="AI338" s="40"/>
      <c r="AJ338" s="40"/>
      <c r="AK338" s="40"/>
      <c r="AL338" s="40"/>
      <c r="AM338" s="40"/>
      <c r="AN338" s="40"/>
      <c r="AO338" s="40"/>
      <c r="AP338" s="40"/>
      <c r="AQ338" s="40"/>
      <c r="AR338" s="40"/>
      <c r="AS338" s="40"/>
      <c r="AT338" s="40"/>
      <c r="AU338" s="40"/>
      <c r="AV338" s="40">
        <v>7.3140000000000001</v>
      </c>
      <c r="AW338" s="40"/>
      <c r="AX338" s="40"/>
      <c r="AY338" s="40">
        <v>365.2</v>
      </c>
      <c r="AZ338" s="40"/>
      <c r="BA338" s="40"/>
      <c r="BB338" s="40"/>
      <c r="BC338" s="40"/>
      <c r="BD338" s="40"/>
      <c r="BE338" s="40"/>
      <c r="BF338" s="40"/>
      <c r="BG338" s="40"/>
      <c r="BH338" s="40"/>
      <c r="BI338" s="40"/>
      <c r="BJ338" s="40"/>
      <c r="BK338" s="40"/>
      <c r="BL338" s="62">
        <v>0</v>
      </c>
      <c r="BM338" s="275">
        <v>2</v>
      </c>
      <c r="BN338" s="62">
        <v>0</v>
      </c>
      <c r="BO338" s="33" t="s">
        <v>513</v>
      </c>
    </row>
    <row r="339" spans="1:67">
      <c r="A339" s="33" t="str">
        <f>Database_Productkaarten[[#This Row],[Product]]&amp;", "&amp;Database_Productkaarten[[#This Row],[Levensfase]]</f>
        <v>SMA 8G+ rood - PCR 1.0 - Gelderland, A1-A3</v>
      </c>
      <c r="B339" s="33" t="s">
        <v>518</v>
      </c>
      <c r="C339" s="33" t="s">
        <v>483</v>
      </c>
      <c r="D339" s="33" t="s">
        <v>519</v>
      </c>
      <c r="E339" s="33" t="s">
        <v>378</v>
      </c>
      <c r="F339" s="33" t="s">
        <v>77</v>
      </c>
      <c r="L339" s="33">
        <v>2.2000000000000002</v>
      </c>
      <c r="M339" s="269">
        <v>1</v>
      </c>
      <c r="N339" s="252">
        <v>22.11</v>
      </c>
      <c r="O339" s="33">
        <v>16</v>
      </c>
      <c r="P339" s="40"/>
      <c r="Q339" s="40"/>
      <c r="R339" s="40">
        <v>185.3</v>
      </c>
      <c r="S339" s="40"/>
      <c r="T339" s="40"/>
      <c r="U339" s="40"/>
      <c r="V339" s="40"/>
      <c r="W339" s="40"/>
      <c r="X339" s="40"/>
      <c r="Y339" s="40"/>
      <c r="Z339" s="40"/>
      <c r="AA339" s="40"/>
      <c r="AB339" s="40"/>
      <c r="AC339" s="40"/>
      <c r="AD339" s="40"/>
      <c r="AE339" s="40"/>
      <c r="AF339" s="40"/>
      <c r="AG339" s="40"/>
      <c r="AH339" s="40"/>
      <c r="AI339" s="40"/>
      <c r="AJ339" s="40"/>
      <c r="AK339" s="40"/>
      <c r="AL339" s="40"/>
      <c r="AM339" s="40"/>
      <c r="AN339" s="40"/>
      <c r="AO339" s="40"/>
      <c r="AP339" s="40"/>
      <c r="AQ339" s="40"/>
      <c r="AR339" s="40"/>
      <c r="AS339" s="40"/>
      <c r="AT339" s="40"/>
      <c r="AU339" s="40"/>
      <c r="AV339" s="40">
        <v>107.4</v>
      </c>
      <c r="AW339" s="40"/>
      <c r="AX339" s="40"/>
      <c r="AY339" s="40">
        <v>4950</v>
      </c>
      <c r="AZ339" s="40"/>
      <c r="BA339" s="40"/>
      <c r="BB339" s="40"/>
      <c r="BC339" s="40"/>
      <c r="BD339" s="40"/>
      <c r="BE339" s="40"/>
      <c r="BF339" s="40"/>
      <c r="BG339" s="40"/>
      <c r="BH339" s="40"/>
      <c r="BI339" s="40"/>
      <c r="BJ339" s="40"/>
      <c r="BK339" s="40"/>
      <c r="BL339" s="62">
        <v>0</v>
      </c>
      <c r="BM339" s="275">
        <v>2</v>
      </c>
      <c r="BN339" s="62">
        <v>0</v>
      </c>
      <c r="BO339" s="33" t="s">
        <v>513</v>
      </c>
    </row>
    <row r="340" spans="1:67">
      <c r="A340" s="33" t="str">
        <f>Database_Productkaarten[[#This Row],[Product]]&amp;", "&amp;Database_Productkaarten[[#This Row],[Levensfase]]</f>
        <v>SMA 8G+ rood - PCR 1.0 - Gelderland, A4</v>
      </c>
      <c r="B340" s="33" t="s">
        <v>518</v>
      </c>
      <c r="C340" s="33" t="s">
        <v>483</v>
      </c>
      <c r="D340" s="33" t="s">
        <v>519</v>
      </c>
      <c r="E340" s="33" t="s">
        <v>378</v>
      </c>
      <c r="F340" s="33" t="s">
        <v>78</v>
      </c>
      <c r="L340" s="33">
        <v>2.2000000000000002</v>
      </c>
      <c r="M340" s="269">
        <v>1</v>
      </c>
      <c r="N340" s="40">
        <v>0.62580000000000002</v>
      </c>
      <c r="O340" s="33">
        <v>16</v>
      </c>
      <c r="P340" s="40"/>
      <c r="Q340" s="40"/>
      <c r="R340" s="40">
        <v>5.6740000000000004</v>
      </c>
      <c r="S340" s="40"/>
      <c r="T340" s="40"/>
      <c r="U340" s="40"/>
      <c r="V340" s="40"/>
      <c r="W340" s="40"/>
      <c r="X340" s="40"/>
      <c r="Y340" s="40"/>
      <c r="Z340" s="40"/>
      <c r="AA340" s="40"/>
      <c r="AB340" s="40"/>
      <c r="AC340" s="40"/>
      <c r="AD340" s="40"/>
      <c r="AE340" s="40"/>
      <c r="AF340" s="40"/>
      <c r="AG340" s="40"/>
      <c r="AH340" s="40"/>
      <c r="AI340" s="40"/>
      <c r="AJ340" s="40"/>
      <c r="AK340" s="40"/>
      <c r="AL340" s="40"/>
      <c r="AM340" s="40"/>
      <c r="AN340" s="40"/>
      <c r="AO340" s="40"/>
      <c r="AP340" s="40"/>
      <c r="AQ340" s="40"/>
      <c r="AR340" s="40"/>
      <c r="AS340" s="40"/>
      <c r="AT340" s="40"/>
      <c r="AU340" s="40"/>
      <c r="AV340" s="40">
        <v>1.536</v>
      </c>
      <c r="AW340" s="40"/>
      <c r="AX340" s="40"/>
      <c r="AY340" s="40">
        <v>98.15</v>
      </c>
      <c r="AZ340" s="40"/>
      <c r="BA340" s="40"/>
      <c r="BB340" s="40"/>
      <c r="BC340" s="40"/>
      <c r="BD340" s="40"/>
      <c r="BE340" s="40"/>
      <c r="BF340" s="40"/>
      <c r="BG340" s="40"/>
      <c r="BH340" s="40"/>
      <c r="BI340" s="40"/>
      <c r="BJ340" s="40"/>
      <c r="BK340" s="40"/>
      <c r="BL340" s="62">
        <v>0</v>
      </c>
      <c r="BM340" s="275">
        <v>2</v>
      </c>
      <c r="BN340" s="62">
        <v>0</v>
      </c>
      <c r="BO340" s="33" t="s">
        <v>513</v>
      </c>
    </row>
    <row r="341" spans="1:67">
      <c r="A341" s="33" t="str">
        <f>Database_Productkaarten[[#This Row],[Product]]&amp;", "&amp;Database_Productkaarten[[#This Row],[Levensfase]]</f>
        <v>SMA 8G+ rood - PCR 1.0 - Gelderland, A5</v>
      </c>
      <c r="B341" s="33" t="s">
        <v>518</v>
      </c>
      <c r="C341" s="33" t="s">
        <v>483</v>
      </c>
      <c r="D341" s="33" t="s">
        <v>519</v>
      </c>
      <c r="E341" s="33" t="s">
        <v>378</v>
      </c>
      <c r="F341" s="33" t="s">
        <v>79</v>
      </c>
      <c r="L341" s="33">
        <v>2.2000000000000002</v>
      </c>
      <c r="M341" s="269">
        <v>1</v>
      </c>
      <c r="N341" s="40">
        <v>0.26129999999999998</v>
      </c>
      <c r="O341" s="33">
        <v>16</v>
      </c>
      <c r="P341" s="40"/>
      <c r="Q341" s="40"/>
      <c r="R341" s="40">
        <v>2.5529999999999999</v>
      </c>
      <c r="S341" s="40"/>
      <c r="T341" s="40"/>
      <c r="U341" s="40"/>
      <c r="V341" s="40"/>
      <c r="W341" s="40"/>
      <c r="X341" s="40"/>
      <c r="Y341" s="40"/>
      <c r="Z341" s="40"/>
      <c r="AA341" s="40"/>
      <c r="AB341" s="40"/>
      <c r="AC341" s="40"/>
      <c r="AD341" s="40"/>
      <c r="AE341" s="40"/>
      <c r="AF341" s="40"/>
      <c r="AG341" s="40"/>
      <c r="AH341" s="40"/>
      <c r="AI341" s="40"/>
      <c r="AJ341" s="40"/>
      <c r="AK341" s="40"/>
      <c r="AL341" s="40"/>
      <c r="AM341" s="40"/>
      <c r="AN341" s="40"/>
      <c r="AO341" s="40"/>
      <c r="AP341" s="40"/>
      <c r="AQ341" s="40"/>
      <c r="AR341" s="40"/>
      <c r="AS341" s="40"/>
      <c r="AT341" s="40"/>
      <c r="AU341" s="40"/>
      <c r="AV341" s="40">
        <v>0.1641</v>
      </c>
      <c r="AW341" s="40"/>
      <c r="AX341" s="40"/>
      <c r="AY341" s="40">
        <v>29.64</v>
      </c>
      <c r="AZ341" s="40"/>
      <c r="BA341" s="40"/>
      <c r="BB341" s="40"/>
      <c r="BC341" s="40"/>
      <c r="BD341" s="40"/>
      <c r="BE341" s="40"/>
      <c r="BF341" s="40"/>
      <c r="BG341" s="40"/>
      <c r="BH341" s="40"/>
      <c r="BI341" s="40"/>
      <c r="BJ341" s="40"/>
      <c r="BK341" s="40"/>
      <c r="BL341" s="62">
        <v>0</v>
      </c>
      <c r="BM341" s="275">
        <v>2</v>
      </c>
      <c r="BN341" s="62">
        <v>0</v>
      </c>
      <c r="BO341" s="33" t="s">
        <v>513</v>
      </c>
    </row>
    <row r="342" spans="1:67">
      <c r="A342" s="33" t="str">
        <f>Database_Productkaarten[[#This Row],[Product]]&amp;", "&amp;Database_Productkaarten[[#This Row],[Levensfase]]</f>
        <v>SMA 8G+ rood - PCR 1.0 - Gelderland, B1</v>
      </c>
      <c r="B342" s="33" t="s">
        <v>518</v>
      </c>
      <c r="C342" s="33" t="s">
        <v>483</v>
      </c>
      <c r="D342" s="33" t="s">
        <v>519</v>
      </c>
      <c r="E342" s="33" t="s">
        <v>378</v>
      </c>
      <c r="F342" s="33" t="s">
        <v>80</v>
      </c>
      <c r="L342" s="33">
        <v>2.2000000000000002</v>
      </c>
      <c r="M342" s="269">
        <v>1</v>
      </c>
      <c r="N342" s="40">
        <v>0.14119999999999999</v>
      </c>
      <c r="O342" s="33">
        <v>16</v>
      </c>
      <c r="P342" s="40"/>
      <c r="Q342" s="40"/>
      <c r="R342" s="40">
        <v>0</v>
      </c>
      <c r="S342" s="40"/>
      <c r="T342" s="40"/>
      <c r="U342" s="40"/>
      <c r="V342" s="40"/>
      <c r="W342" s="40"/>
      <c r="X342" s="40"/>
      <c r="Y342" s="40"/>
      <c r="Z342" s="40"/>
      <c r="AA342" s="40"/>
      <c r="AB342" s="40"/>
      <c r="AC342" s="40"/>
      <c r="AD342" s="40"/>
      <c r="AE342" s="40"/>
      <c r="AF342" s="40"/>
      <c r="AG342" s="40"/>
      <c r="AH342" s="40"/>
      <c r="AI342" s="40"/>
      <c r="AJ342" s="40"/>
      <c r="AK342" s="40"/>
      <c r="AL342" s="40"/>
      <c r="AM342" s="40"/>
      <c r="AN342" s="40"/>
      <c r="AO342" s="40"/>
      <c r="AP342" s="40"/>
      <c r="AQ342" s="40"/>
      <c r="AR342" s="40"/>
      <c r="AS342" s="40"/>
      <c r="AT342" s="40"/>
      <c r="AU342" s="40"/>
      <c r="AV342" s="40">
        <v>0</v>
      </c>
      <c r="AW342" s="40"/>
      <c r="AX342" s="40"/>
      <c r="AY342" s="40">
        <v>0</v>
      </c>
      <c r="AZ342" s="40"/>
      <c r="BA342" s="40"/>
      <c r="BB342" s="40"/>
      <c r="BC342" s="40"/>
      <c r="BD342" s="40"/>
      <c r="BE342" s="40"/>
      <c r="BF342" s="40"/>
      <c r="BG342" s="40"/>
      <c r="BH342" s="40"/>
      <c r="BI342" s="40"/>
      <c r="BJ342" s="40"/>
      <c r="BK342" s="40"/>
      <c r="BL342" s="62">
        <v>0</v>
      </c>
      <c r="BM342" s="275">
        <v>2</v>
      </c>
      <c r="BN342" s="62">
        <v>0</v>
      </c>
      <c r="BO342" s="33" t="s">
        <v>513</v>
      </c>
    </row>
    <row r="343" spans="1:67">
      <c r="A343" s="33" t="str">
        <f>Database_Productkaarten[[#This Row],[Product]]&amp;", "&amp;Database_Productkaarten[[#This Row],[Levensfase]]</f>
        <v>SMA 8G+ rood - PCR 1.0 - Gelderland, C1</v>
      </c>
      <c r="B343" s="33" t="s">
        <v>518</v>
      </c>
      <c r="C343" s="33" t="s">
        <v>483</v>
      </c>
      <c r="D343" s="33" t="s">
        <v>519</v>
      </c>
      <c r="E343" s="33" t="s">
        <v>378</v>
      </c>
      <c r="F343" s="33" t="s">
        <v>83</v>
      </c>
      <c r="L343" s="33">
        <v>2.2000000000000002</v>
      </c>
      <c r="M343" s="269">
        <v>1</v>
      </c>
      <c r="N343" s="40">
        <v>0.1363</v>
      </c>
      <c r="O343" s="33">
        <v>16</v>
      </c>
      <c r="P343" s="40"/>
      <c r="Q343" s="40"/>
      <c r="R343" s="40">
        <v>1.4530000000000001</v>
      </c>
      <c r="S343" s="40"/>
      <c r="T343" s="40"/>
      <c r="U343" s="40"/>
      <c r="V343" s="40"/>
      <c r="W343" s="40"/>
      <c r="X343" s="40"/>
      <c r="Y343" s="40"/>
      <c r="Z343" s="40"/>
      <c r="AA343" s="40"/>
      <c r="AB343" s="40"/>
      <c r="AC343" s="40"/>
      <c r="AD343" s="40"/>
      <c r="AE343" s="40"/>
      <c r="AF343" s="40"/>
      <c r="AG343" s="40"/>
      <c r="AH343" s="40"/>
      <c r="AI343" s="40"/>
      <c r="AJ343" s="40"/>
      <c r="AK343" s="40"/>
      <c r="AL343" s="40"/>
      <c r="AM343" s="40"/>
      <c r="AN343" s="40"/>
      <c r="AO343" s="40"/>
      <c r="AP343" s="40"/>
      <c r="AQ343" s="40"/>
      <c r="AR343" s="40"/>
      <c r="AS343" s="40"/>
      <c r="AT343" s="40"/>
      <c r="AU343" s="40"/>
      <c r="AV343" s="40">
        <v>9.3380000000000005E-2</v>
      </c>
      <c r="AW343" s="40"/>
      <c r="AX343" s="40"/>
      <c r="AY343" s="40">
        <v>16.87</v>
      </c>
      <c r="AZ343" s="40"/>
      <c r="BA343" s="40"/>
      <c r="BB343" s="40"/>
      <c r="BC343" s="40"/>
      <c r="BD343" s="40"/>
      <c r="BE343" s="40"/>
      <c r="BF343" s="40"/>
      <c r="BG343" s="40"/>
      <c r="BH343" s="40"/>
      <c r="BI343" s="40"/>
      <c r="BJ343" s="40"/>
      <c r="BK343" s="40"/>
      <c r="BL343" s="62">
        <v>0</v>
      </c>
      <c r="BM343" s="275">
        <v>2</v>
      </c>
      <c r="BN343" s="62">
        <v>0</v>
      </c>
      <c r="BO343" s="33" t="s">
        <v>513</v>
      </c>
    </row>
    <row r="344" spans="1:67">
      <c r="A344" s="33" t="str">
        <f>Database_Productkaarten[[#This Row],[Product]]&amp;", "&amp;Database_Productkaarten[[#This Row],[Levensfase]]</f>
        <v>SMA 8G+ rood - PCR 1.0 - Gelderland, C2</v>
      </c>
      <c r="B344" s="33" t="s">
        <v>518</v>
      </c>
      <c r="C344" s="33" t="s">
        <v>483</v>
      </c>
      <c r="D344" s="33" t="s">
        <v>519</v>
      </c>
      <c r="E344" s="33" t="s">
        <v>378</v>
      </c>
      <c r="F344" s="33" t="s">
        <v>84</v>
      </c>
      <c r="L344" s="33">
        <v>2.2000000000000002</v>
      </c>
      <c r="M344" s="269">
        <v>1</v>
      </c>
      <c r="N344" s="40">
        <v>0.62580000000000002</v>
      </c>
      <c r="O344" s="33">
        <v>16</v>
      </c>
      <c r="P344" s="40"/>
      <c r="Q344" s="40"/>
      <c r="R344" s="40">
        <v>5.6740000000000004</v>
      </c>
      <c r="S344" s="40"/>
      <c r="T344" s="40"/>
      <c r="U344" s="40"/>
      <c r="V344" s="40"/>
      <c r="W344" s="40"/>
      <c r="X344" s="40"/>
      <c r="Y344" s="40"/>
      <c r="Z344" s="40"/>
      <c r="AA344" s="40"/>
      <c r="AB344" s="40"/>
      <c r="AC344" s="40"/>
      <c r="AD344" s="40"/>
      <c r="AE344" s="40"/>
      <c r="AF344" s="40"/>
      <c r="AG344" s="40"/>
      <c r="AH344" s="40"/>
      <c r="AI344" s="40"/>
      <c r="AJ344" s="40"/>
      <c r="AK344" s="40"/>
      <c r="AL344" s="40"/>
      <c r="AM344" s="40"/>
      <c r="AN344" s="40"/>
      <c r="AO344" s="40"/>
      <c r="AP344" s="40"/>
      <c r="AQ344" s="40"/>
      <c r="AR344" s="40"/>
      <c r="AS344" s="40"/>
      <c r="AT344" s="40"/>
      <c r="AU344" s="40"/>
      <c r="AV344" s="40">
        <v>1.536</v>
      </c>
      <c r="AW344" s="40"/>
      <c r="AX344" s="40"/>
      <c r="AY344" s="40">
        <v>98.15</v>
      </c>
      <c r="AZ344" s="40"/>
      <c r="BA344" s="40"/>
      <c r="BB344" s="40"/>
      <c r="BC344" s="40"/>
      <c r="BD344" s="40"/>
      <c r="BE344" s="40"/>
      <c r="BF344" s="40"/>
      <c r="BG344" s="40"/>
      <c r="BH344" s="40"/>
      <c r="BI344" s="40"/>
      <c r="BJ344" s="40"/>
      <c r="BK344" s="40"/>
      <c r="BL344" s="62">
        <v>0</v>
      </c>
      <c r="BM344" s="275">
        <v>2</v>
      </c>
      <c r="BN344" s="62">
        <v>0</v>
      </c>
      <c r="BO344" s="33" t="s">
        <v>513</v>
      </c>
    </row>
    <row r="345" spans="1:67">
      <c r="A345" s="33" t="str">
        <f>Database_Productkaarten[[#This Row],[Product]]&amp;", "&amp;Database_Productkaarten[[#This Row],[Levensfase]]</f>
        <v>SMA 8G+ rood - PCR 1.0 - Gelderland, C3</v>
      </c>
      <c r="B345" s="33" t="s">
        <v>518</v>
      </c>
      <c r="C345" s="33" t="s">
        <v>483</v>
      </c>
      <c r="D345" s="33" t="s">
        <v>519</v>
      </c>
      <c r="E345" s="33" t="s">
        <v>378</v>
      </c>
      <c r="F345" s="33" t="s">
        <v>85</v>
      </c>
      <c r="L345" s="33">
        <v>2.2000000000000002</v>
      </c>
      <c r="M345" s="269">
        <v>1</v>
      </c>
      <c r="N345" s="40">
        <v>0.1603</v>
      </c>
      <c r="O345" s="33">
        <v>16</v>
      </c>
      <c r="P345" s="40"/>
      <c r="Q345" s="40"/>
      <c r="R345" s="40">
        <v>1.629</v>
      </c>
      <c r="S345" s="40"/>
      <c r="T345" s="40"/>
      <c r="U345" s="40"/>
      <c r="V345" s="40"/>
      <c r="W345" s="40"/>
      <c r="X345" s="40"/>
      <c r="Y345" s="40"/>
      <c r="Z345" s="40"/>
      <c r="AA345" s="40"/>
      <c r="AB345" s="40"/>
      <c r="AC345" s="40"/>
      <c r="AD345" s="40"/>
      <c r="AE345" s="40"/>
      <c r="AF345" s="40"/>
      <c r="AG345" s="40"/>
      <c r="AH345" s="40"/>
      <c r="AI345" s="40"/>
      <c r="AJ345" s="40"/>
      <c r="AK345" s="40"/>
      <c r="AL345" s="40"/>
      <c r="AM345" s="40"/>
      <c r="AN345" s="40"/>
      <c r="AO345" s="40"/>
      <c r="AP345" s="40"/>
      <c r="AQ345" s="40"/>
      <c r="AR345" s="40"/>
      <c r="AS345" s="40"/>
      <c r="AT345" s="40"/>
      <c r="AU345" s="40"/>
      <c r="AV345" s="40">
        <v>0.1047</v>
      </c>
      <c r="AW345" s="40"/>
      <c r="AX345" s="40"/>
      <c r="AY345" s="40">
        <v>18.91</v>
      </c>
      <c r="AZ345" s="40"/>
      <c r="BA345" s="40"/>
      <c r="BB345" s="40"/>
      <c r="BC345" s="40"/>
      <c r="BD345" s="40"/>
      <c r="BE345" s="40"/>
      <c r="BF345" s="40"/>
      <c r="BG345" s="40"/>
      <c r="BH345" s="40"/>
      <c r="BI345" s="40"/>
      <c r="BJ345" s="40"/>
      <c r="BK345" s="40"/>
      <c r="BL345" s="62">
        <v>0</v>
      </c>
      <c r="BM345" s="275">
        <v>2</v>
      </c>
      <c r="BN345" s="62">
        <v>0</v>
      </c>
      <c r="BO345" s="33" t="s">
        <v>513</v>
      </c>
    </row>
    <row r="346" spans="1:67">
      <c r="A346" s="33" t="str">
        <f>Database_Productkaarten[[#This Row],[Product]]&amp;", "&amp;Database_Productkaarten[[#This Row],[Levensfase]]</f>
        <v>SMA 8G+ rood - PCR 1.0 - Gelderland, C4</v>
      </c>
      <c r="B346" s="33" t="s">
        <v>518</v>
      </c>
      <c r="C346" s="33" t="s">
        <v>483</v>
      </c>
      <c r="D346" s="33" t="s">
        <v>519</v>
      </c>
      <c r="E346" s="33" t="s">
        <v>378</v>
      </c>
      <c r="F346" s="33" t="s">
        <v>86</v>
      </c>
      <c r="L346" s="33">
        <v>2.2000000000000002</v>
      </c>
      <c r="M346" s="269">
        <v>1</v>
      </c>
      <c r="N346" s="40">
        <v>0</v>
      </c>
      <c r="O346" s="33">
        <v>16</v>
      </c>
      <c r="P346" s="40"/>
      <c r="Q346" s="40"/>
      <c r="R346" s="40">
        <v>0</v>
      </c>
      <c r="S346" s="40"/>
      <c r="T346" s="40"/>
      <c r="U346" s="40"/>
      <c r="V346" s="40"/>
      <c r="W346" s="40"/>
      <c r="X346" s="40"/>
      <c r="Y346" s="40"/>
      <c r="Z346" s="40"/>
      <c r="AA346" s="40"/>
      <c r="AB346" s="40"/>
      <c r="AC346" s="40"/>
      <c r="AD346" s="40"/>
      <c r="AE346" s="40"/>
      <c r="AF346" s="40"/>
      <c r="AG346" s="40"/>
      <c r="AH346" s="40"/>
      <c r="AI346" s="40"/>
      <c r="AJ346" s="40"/>
      <c r="AK346" s="40"/>
      <c r="AL346" s="40"/>
      <c r="AM346" s="40"/>
      <c r="AN346" s="40"/>
      <c r="AO346" s="40"/>
      <c r="AP346" s="40"/>
      <c r="AQ346" s="40"/>
      <c r="AR346" s="40"/>
      <c r="AS346" s="40"/>
      <c r="AT346" s="40"/>
      <c r="AU346" s="40"/>
      <c r="AV346" s="40">
        <v>0</v>
      </c>
      <c r="AW346" s="40"/>
      <c r="AX346" s="40"/>
      <c r="AY346" s="40">
        <v>0</v>
      </c>
      <c r="AZ346" s="40"/>
      <c r="BA346" s="40"/>
      <c r="BB346" s="40"/>
      <c r="BC346" s="40"/>
      <c r="BD346" s="40"/>
      <c r="BE346" s="40"/>
      <c r="BF346" s="40"/>
      <c r="BG346" s="40"/>
      <c r="BH346" s="40"/>
      <c r="BI346" s="40"/>
      <c r="BJ346" s="40"/>
      <c r="BK346" s="40"/>
      <c r="BL346" s="62">
        <v>0</v>
      </c>
      <c r="BM346" s="275">
        <v>2</v>
      </c>
      <c r="BN346" s="62">
        <v>0</v>
      </c>
      <c r="BO346" s="33" t="s">
        <v>513</v>
      </c>
    </row>
    <row r="347" spans="1:67">
      <c r="A347" s="33" t="str">
        <f>Database_Productkaarten[[#This Row],[Product]]&amp;", "&amp;Database_Productkaarten[[#This Row],[Levensfase]]</f>
        <v>SMA 8G+ rood - PCR 1.0 - Gelderland, D</v>
      </c>
      <c r="B347" s="33" t="s">
        <v>518</v>
      </c>
      <c r="C347" s="33" t="s">
        <v>483</v>
      </c>
      <c r="D347" s="33" t="s">
        <v>519</v>
      </c>
      <c r="E347" s="33" t="s">
        <v>378</v>
      </c>
      <c r="F347" s="33" t="s">
        <v>89</v>
      </c>
      <c r="L347" s="33">
        <v>2.2000000000000002</v>
      </c>
      <c r="M347" s="269">
        <v>1</v>
      </c>
      <c r="N347" s="40">
        <v>-6.2679999999999998</v>
      </c>
      <c r="O347" s="33">
        <v>16</v>
      </c>
      <c r="P347" s="40"/>
      <c r="Q347" s="40"/>
      <c r="R347" s="40">
        <v>-50.52</v>
      </c>
      <c r="S347" s="40"/>
      <c r="T347" s="40"/>
      <c r="U347" s="40"/>
      <c r="V347" s="40"/>
      <c r="W347" s="40"/>
      <c r="X347" s="40"/>
      <c r="Y347" s="40"/>
      <c r="Z347" s="40"/>
      <c r="AA347" s="40"/>
      <c r="AB347" s="40"/>
      <c r="AC347" s="40"/>
      <c r="AD347" s="40"/>
      <c r="AE347" s="40"/>
      <c r="AF347" s="40"/>
      <c r="AG347" s="40"/>
      <c r="AH347" s="40"/>
      <c r="AI347" s="40"/>
      <c r="AJ347" s="40"/>
      <c r="AK347" s="40"/>
      <c r="AL347" s="40"/>
      <c r="AM347" s="40"/>
      <c r="AN347" s="40"/>
      <c r="AO347" s="40"/>
      <c r="AP347" s="40"/>
      <c r="AQ347" s="40"/>
      <c r="AR347" s="40"/>
      <c r="AS347" s="40"/>
      <c r="AT347" s="40"/>
      <c r="AU347" s="40"/>
      <c r="AV347" s="40">
        <v>-17.39</v>
      </c>
      <c r="AW347" s="40"/>
      <c r="AX347" s="40"/>
      <c r="AY347" s="40">
        <v>-1889</v>
      </c>
      <c r="AZ347" s="40"/>
      <c r="BA347" s="40"/>
      <c r="BB347" s="40"/>
      <c r="BC347" s="40"/>
      <c r="BD347" s="40"/>
      <c r="BE347" s="40"/>
      <c r="BF347" s="40"/>
      <c r="BG347" s="40"/>
      <c r="BH347" s="40"/>
      <c r="BI347" s="40"/>
      <c r="BJ347" s="40"/>
      <c r="BK347" s="40"/>
      <c r="BL347" s="62">
        <v>0</v>
      </c>
      <c r="BM347" s="275">
        <v>2</v>
      </c>
      <c r="BN347" s="62">
        <v>0</v>
      </c>
      <c r="BO347" s="33" t="s">
        <v>513</v>
      </c>
    </row>
    <row r="348" spans="1:67">
      <c r="A348" s="33" t="str">
        <f>Database_Productkaarten[[#This Row],[Product]]&amp;", "&amp;Database_Productkaarten[[#This Row],[Levensfase]]</f>
        <v>SMA 11B rood - PCR 1.0 - Gelderland, Totaal</v>
      </c>
      <c r="B348" s="33" t="s">
        <v>520</v>
      </c>
      <c r="C348" s="33" t="s">
        <v>483</v>
      </c>
      <c r="D348" s="33" t="s">
        <v>516</v>
      </c>
      <c r="E348" s="33" t="s">
        <v>378</v>
      </c>
      <c r="F348" s="33" t="s">
        <v>90</v>
      </c>
      <c r="L348" s="33">
        <v>2.35</v>
      </c>
      <c r="M348" s="269">
        <v>1</v>
      </c>
      <c r="N348" s="40">
        <v>12.83</v>
      </c>
      <c r="O348" s="33">
        <v>16</v>
      </c>
      <c r="P348" s="40"/>
      <c r="Q348" s="40"/>
      <c r="R348" s="40">
        <v>110.8</v>
      </c>
      <c r="S348" s="40"/>
      <c r="T348" s="40"/>
      <c r="U348" s="40"/>
      <c r="V348" s="40"/>
      <c r="W348" s="40"/>
      <c r="X348" s="40"/>
      <c r="Y348" s="40"/>
      <c r="Z348" s="40"/>
      <c r="AA348" s="40"/>
      <c r="AB348" s="40"/>
      <c r="AC348" s="40"/>
      <c r="AD348" s="40"/>
      <c r="AE348" s="40"/>
      <c r="AF348" s="40"/>
      <c r="AG348" s="40"/>
      <c r="AH348" s="40"/>
      <c r="AI348" s="40"/>
      <c r="AJ348" s="40"/>
      <c r="AK348" s="40"/>
      <c r="AL348" s="40"/>
      <c r="AM348" s="40"/>
      <c r="AN348" s="40"/>
      <c r="AO348" s="40"/>
      <c r="AP348" s="40"/>
      <c r="AQ348" s="40"/>
      <c r="AR348" s="40"/>
      <c r="AS348" s="40"/>
      <c r="AT348" s="40"/>
      <c r="AU348" s="40"/>
      <c r="AV348" s="40">
        <v>69.19</v>
      </c>
      <c r="AW348" s="40"/>
      <c r="AX348" s="40"/>
      <c r="AY348" s="40">
        <v>2945</v>
      </c>
      <c r="AZ348" s="40"/>
      <c r="BA348" s="40"/>
      <c r="BB348" s="40"/>
      <c r="BC348" s="40"/>
      <c r="BD348" s="40"/>
      <c r="BE348" s="40"/>
      <c r="BF348" s="40"/>
      <c r="BG348" s="40"/>
      <c r="BH348" s="40"/>
      <c r="BI348" s="40"/>
      <c r="BJ348" s="40"/>
      <c r="BK348" s="40"/>
      <c r="BL348" s="62">
        <v>0</v>
      </c>
      <c r="BM348" s="275">
        <v>2</v>
      </c>
      <c r="BN348" s="62">
        <v>0</v>
      </c>
      <c r="BO348" s="33" t="s">
        <v>513</v>
      </c>
    </row>
    <row r="349" spans="1:67">
      <c r="A349" s="33" t="str">
        <f>Database_Productkaarten[[#This Row],[Product]]&amp;", "&amp;Database_Productkaarten[[#This Row],[Levensfase]]</f>
        <v>SMA 11B rood - PCR 1.0 - Gelderland, A1</v>
      </c>
      <c r="B349" s="33" t="s">
        <v>520</v>
      </c>
      <c r="C349" s="33" t="s">
        <v>483</v>
      </c>
      <c r="D349" s="33" t="s">
        <v>516</v>
      </c>
      <c r="E349" s="33" t="s">
        <v>378</v>
      </c>
      <c r="F349" s="33" t="s">
        <v>74</v>
      </c>
      <c r="L349" s="33">
        <v>2.35</v>
      </c>
      <c r="M349" s="269">
        <v>1</v>
      </c>
      <c r="N349" s="40">
        <v>12.89</v>
      </c>
      <c r="O349" s="33">
        <v>16</v>
      </c>
      <c r="P349" s="40"/>
      <c r="Q349" s="40"/>
      <c r="R349" s="40">
        <v>99.17</v>
      </c>
      <c r="S349" s="40"/>
      <c r="T349" s="40"/>
      <c r="U349" s="40"/>
      <c r="V349" s="40"/>
      <c r="W349" s="40"/>
      <c r="X349" s="40"/>
      <c r="Y349" s="40"/>
      <c r="Z349" s="40"/>
      <c r="AA349" s="40"/>
      <c r="AB349" s="40"/>
      <c r="AC349" s="40"/>
      <c r="AD349" s="40"/>
      <c r="AE349" s="40"/>
      <c r="AF349" s="40"/>
      <c r="AG349" s="40"/>
      <c r="AH349" s="40"/>
      <c r="AI349" s="40"/>
      <c r="AJ349" s="40"/>
      <c r="AK349" s="40"/>
      <c r="AL349" s="40"/>
      <c r="AM349" s="40"/>
      <c r="AN349" s="40"/>
      <c r="AO349" s="40"/>
      <c r="AP349" s="40"/>
      <c r="AQ349" s="40"/>
      <c r="AR349" s="40"/>
      <c r="AS349" s="40"/>
      <c r="AT349" s="40"/>
      <c r="AU349" s="40"/>
      <c r="AV349" s="40">
        <v>68.94</v>
      </c>
      <c r="AW349" s="40"/>
      <c r="AX349" s="40"/>
      <c r="AY349" s="40">
        <v>4034</v>
      </c>
      <c r="AZ349" s="40"/>
      <c r="BA349" s="40"/>
      <c r="BB349" s="40"/>
      <c r="BC349" s="40"/>
      <c r="BD349" s="40"/>
      <c r="BE349" s="40"/>
      <c r="BF349" s="40"/>
      <c r="BG349" s="40"/>
      <c r="BH349" s="40"/>
      <c r="BI349" s="40"/>
      <c r="BJ349" s="40"/>
      <c r="BK349" s="40"/>
      <c r="BL349" s="62">
        <v>0</v>
      </c>
      <c r="BM349" s="275">
        <v>2</v>
      </c>
      <c r="BN349" s="62">
        <v>0</v>
      </c>
      <c r="BO349" s="33" t="s">
        <v>513</v>
      </c>
    </row>
    <row r="350" spans="1:67">
      <c r="A350" s="33" t="str">
        <f>Database_Productkaarten[[#This Row],[Product]]&amp;", "&amp;Database_Productkaarten[[#This Row],[Levensfase]]</f>
        <v>SMA 11B rood - PCR 1.0 - Gelderland, A2</v>
      </c>
      <c r="B350" s="33" t="s">
        <v>520</v>
      </c>
      <c r="C350" s="33" t="s">
        <v>483</v>
      </c>
      <c r="D350" s="33" t="s">
        <v>516</v>
      </c>
      <c r="E350" s="33" t="s">
        <v>378</v>
      </c>
      <c r="F350" s="33" t="s">
        <v>75</v>
      </c>
      <c r="L350" s="33">
        <v>2.35</v>
      </c>
      <c r="M350" s="269">
        <v>1</v>
      </c>
      <c r="N350" s="40">
        <v>2.161</v>
      </c>
      <c r="O350" s="33">
        <v>16</v>
      </c>
      <c r="P350" s="40"/>
      <c r="Q350" s="40"/>
      <c r="R350" s="40">
        <v>13.75</v>
      </c>
      <c r="S350" s="40"/>
      <c r="T350" s="40"/>
      <c r="U350" s="40"/>
      <c r="V350" s="40"/>
      <c r="W350" s="40"/>
      <c r="X350" s="40"/>
      <c r="Y350" s="40"/>
      <c r="Z350" s="40"/>
      <c r="AA350" s="40"/>
      <c r="AB350" s="40"/>
      <c r="AC350" s="40"/>
      <c r="AD350" s="40"/>
      <c r="AE350" s="40"/>
      <c r="AF350" s="40"/>
      <c r="AG350" s="40"/>
      <c r="AH350" s="40"/>
      <c r="AI350" s="40"/>
      <c r="AJ350" s="40"/>
      <c r="AK350" s="40"/>
      <c r="AL350" s="40"/>
      <c r="AM350" s="40"/>
      <c r="AN350" s="40"/>
      <c r="AO350" s="40"/>
      <c r="AP350" s="40"/>
      <c r="AQ350" s="40"/>
      <c r="AR350" s="40"/>
      <c r="AS350" s="40"/>
      <c r="AT350" s="40"/>
      <c r="AU350" s="40"/>
      <c r="AV350" s="40">
        <v>3.6560000000000001</v>
      </c>
      <c r="AW350" s="40"/>
      <c r="AX350" s="40"/>
      <c r="AY350" s="40">
        <v>214.2</v>
      </c>
      <c r="AZ350" s="40"/>
      <c r="BA350" s="40"/>
      <c r="BB350" s="40"/>
      <c r="BC350" s="40"/>
      <c r="BD350" s="40"/>
      <c r="BE350" s="40"/>
      <c r="BF350" s="40"/>
      <c r="BG350" s="40"/>
      <c r="BH350" s="40"/>
      <c r="BI350" s="40"/>
      <c r="BJ350" s="40"/>
      <c r="BK350" s="40"/>
      <c r="BL350" s="62">
        <v>0</v>
      </c>
      <c r="BM350" s="275">
        <v>2</v>
      </c>
      <c r="BN350" s="62">
        <v>0</v>
      </c>
      <c r="BO350" s="33" t="s">
        <v>513</v>
      </c>
    </row>
    <row r="351" spans="1:67">
      <c r="A351" s="33" t="str">
        <f>Database_Productkaarten[[#This Row],[Product]]&amp;", "&amp;Database_Productkaarten[[#This Row],[Levensfase]]</f>
        <v>SMA 11B rood - PCR 1.0 - Gelderland, A3</v>
      </c>
      <c r="B351" s="33" t="s">
        <v>520</v>
      </c>
      <c r="C351" s="33" t="s">
        <v>483</v>
      </c>
      <c r="D351" s="33" t="s">
        <v>516</v>
      </c>
      <c r="E351" s="33" t="s">
        <v>378</v>
      </c>
      <c r="F351" s="33" t="s">
        <v>76</v>
      </c>
      <c r="L351" s="33">
        <v>2.35</v>
      </c>
      <c r="M351" s="269">
        <v>1</v>
      </c>
      <c r="N351" s="40">
        <v>1.583</v>
      </c>
      <c r="O351" s="33">
        <v>16</v>
      </c>
      <c r="P351" s="40"/>
      <c r="Q351" s="40"/>
      <c r="R351" s="40">
        <v>21.52</v>
      </c>
      <c r="S351" s="40"/>
      <c r="T351" s="40"/>
      <c r="U351" s="40"/>
      <c r="V351" s="40"/>
      <c r="W351" s="40"/>
      <c r="X351" s="40"/>
      <c r="Y351" s="40"/>
      <c r="Z351" s="40"/>
      <c r="AA351" s="40"/>
      <c r="AB351" s="40"/>
      <c r="AC351" s="40"/>
      <c r="AD351" s="40"/>
      <c r="AE351" s="40"/>
      <c r="AF351" s="40"/>
      <c r="AG351" s="40"/>
      <c r="AH351" s="40"/>
      <c r="AI351" s="40"/>
      <c r="AJ351" s="40"/>
      <c r="AK351" s="40"/>
      <c r="AL351" s="40"/>
      <c r="AM351" s="40"/>
      <c r="AN351" s="40"/>
      <c r="AO351" s="40"/>
      <c r="AP351" s="40"/>
      <c r="AQ351" s="40"/>
      <c r="AR351" s="40"/>
      <c r="AS351" s="40"/>
      <c r="AT351" s="40"/>
      <c r="AU351" s="40"/>
      <c r="AV351" s="40">
        <v>7.5469999999999997</v>
      </c>
      <c r="AW351" s="40"/>
      <c r="AX351" s="40"/>
      <c r="AY351" s="40">
        <v>371.4</v>
      </c>
      <c r="AZ351" s="40"/>
      <c r="BA351" s="40"/>
      <c r="BB351" s="40"/>
      <c r="BC351" s="40"/>
      <c r="BD351" s="40"/>
      <c r="BE351" s="40"/>
      <c r="BF351" s="40"/>
      <c r="BG351" s="40"/>
      <c r="BH351" s="40"/>
      <c r="BI351" s="40"/>
      <c r="BJ351" s="40"/>
      <c r="BK351" s="40"/>
      <c r="BL351" s="62">
        <v>0</v>
      </c>
      <c r="BM351" s="275">
        <v>2</v>
      </c>
      <c r="BN351" s="62">
        <v>0</v>
      </c>
      <c r="BO351" s="33" t="s">
        <v>513</v>
      </c>
    </row>
    <row r="352" spans="1:67">
      <c r="A352" s="33" t="str">
        <f>Database_Productkaarten[[#This Row],[Product]]&amp;", "&amp;Database_Productkaarten[[#This Row],[Levensfase]]</f>
        <v>SMA 11B rood - PCR 1.0 - Gelderland, A1-A3</v>
      </c>
      <c r="B352" s="33" t="s">
        <v>520</v>
      </c>
      <c r="C352" s="33" t="s">
        <v>483</v>
      </c>
      <c r="D352" s="33" t="s">
        <v>516</v>
      </c>
      <c r="E352" s="33" t="s">
        <v>378</v>
      </c>
      <c r="F352" s="33" t="s">
        <v>77</v>
      </c>
      <c r="L352" s="33">
        <v>2.35</v>
      </c>
      <c r="M352" s="269">
        <v>1</v>
      </c>
      <c r="N352" s="252">
        <v>16.63</v>
      </c>
      <c r="O352" s="33">
        <v>16</v>
      </c>
      <c r="P352" s="40"/>
      <c r="Q352" s="40"/>
      <c r="R352" s="40">
        <v>134.4</v>
      </c>
      <c r="S352" s="40"/>
      <c r="T352" s="40"/>
      <c r="U352" s="40"/>
      <c r="V352" s="40"/>
      <c r="W352" s="40"/>
      <c r="X352" s="40"/>
      <c r="Y352" s="40"/>
      <c r="Z352" s="40"/>
      <c r="AA352" s="40"/>
      <c r="AB352" s="40"/>
      <c r="AC352" s="40"/>
      <c r="AD352" s="40"/>
      <c r="AE352" s="40"/>
      <c r="AF352" s="40"/>
      <c r="AG352" s="40"/>
      <c r="AH352" s="40"/>
      <c r="AI352" s="40"/>
      <c r="AJ352" s="40"/>
      <c r="AK352" s="40"/>
      <c r="AL352" s="40"/>
      <c r="AM352" s="40"/>
      <c r="AN352" s="40"/>
      <c r="AO352" s="40"/>
      <c r="AP352" s="40"/>
      <c r="AQ352" s="40"/>
      <c r="AR352" s="40"/>
      <c r="AS352" s="40"/>
      <c r="AT352" s="40"/>
      <c r="AU352" s="40"/>
      <c r="AV352" s="40">
        <v>80.150000000000006</v>
      </c>
      <c r="AW352" s="40"/>
      <c r="AX352" s="40"/>
      <c r="AY352" s="40">
        <v>4619</v>
      </c>
      <c r="AZ352" s="40"/>
      <c r="BA352" s="40"/>
      <c r="BB352" s="40"/>
      <c r="BC352" s="40"/>
      <c r="BD352" s="40"/>
      <c r="BE352" s="40"/>
      <c r="BF352" s="40"/>
      <c r="BG352" s="40"/>
      <c r="BH352" s="40"/>
      <c r="BI352" s="40"/>
      <c r="BJ352" s="40"/>
      <c r="BK352" s="40"/>
      <c r="BL352" s="62">
        <v>0</v>
      </c>
      <c r="BM352" s="275">
        <v>2</v>
      </c>
      <c r="BN352" s="62">
        <v>0</v>
      </c>
      <c r="BO352" s="33" t="s">
        <v>513</v>
      </c>
    </row>
    <row r="353" spans="1:67">
      <c r="A353" s="33" t="str">
        <f>Database_Productkaarten[[#This Row],[Product]]&amp;", "&amp;Database_Productkaarten[[#This Row],[Levensfase]]</f>
        <v>SMA 11B rood - PCR 1.0 - Gelderland, A4</v>
      </c>
      <c r="B353" s="33" t="s">
        <v>520</v>
      </c>
      <c r="C353" s="33" t="s">
        <v>483</v>
      </c>
      <c r="D353" s="33" t="s">
        <v>516</v>
      </c>
      <c r="E353" s="33" t="s">
        <v>378</v>
      </c>
      <c r="F353" s="33" t="s">
        <v>78</v>
      </c>
      <c r="L353" s="33">
        <v>2.35</v>
      </c>
      <c r="M353" s="269">
        <v>1</v>
      </c>
      <c r="N353" s="40">
        <v>0.62580000000000002</v>
      </c>
      <c r="O353" s="33">
        <v>16</v>
      </c>
      <c r="P353" s="40"/>
      <c r="Q353" s="40"/>
      <c r="R353" s="40">
        <v>5.6740000000000004</v>
      </c>
      <c r="S353" s="40"/>
      <c r="T353" s="40"/>
      <c r="U353" s="40"/>
      <c r="V353" s="40"/>
      <c r="W353" s="40"/>
      <c r="X353" s="40"/>
      <c r="Y353" s="40"/>
      <c r="Z353" s="40"/>
      <c r="AA353" s="40"/>
      <c r="AB353" s="40"/>
      <c r="AC353" s="40"/>
      <c r="AD353" s="40"/>
      <c r="AE353" s="40"/>
      <c r="AF353" s="40"/>
      <c r="AG353" s="40"/>
      <c r="AH353" s="40"/>
      <c r="AI353" s="40"/>
      <c r="AJ353" s="40"/>
      <c r="AK353" s="40"/>
      <c r="AL353" s="40"/>
      <c r="AM353" s="40"/>
      <c r="AN353" s="40"/>
      <c r="AO353" s="40"/>
      <c r="AP353" s="40"/>
      <c r="AQ353" s="40"/>
      <c r="AR353" s="40"/>
      <c r="AS353" s="40"/>
      <c r="AT353" s="40"/>
      <c r="AU353" s="40"/>
      <c r="AV353" s="40">
        <v>1.536</v>
      </c>
      <c r="AW353" s="40"/>
      <c r="AX353" s="40"/>
      <c r="AY353" s="40">
        <v>98.15</v>
      </c>
      <c r="AZ353" s="40"/>
      <c r="BA353" s="40"/>
      <c r="BB353" s="40"/>
      <c r="BC353" s="40"/>
      <c r="BD353" s="40"/>
      <c r="BE353" s="40"/>
      <c r="BF353" s="40"/>
      <c r="BG353" s="40"/>
      <c r="BH353" s="40"/>
      <c r="BI353" s="40"/>
      <c r="BJ353" s="40"/>
      <c r="BK353" s="40"/>
      <c r="BL353" s="62">
        <v>0</v>
      </c>
      <c r="BM353" s="275">
        <v>2</v>
      </c>
      <c r="BN353" s="62">
        <v>0</v>
      </c>
      <c r="BO353" s="33" t="s">
        <v>513</v>
      </c>
    </row>
    <row r="354" spans="1:67">
      <c r="A354" s="33" t="str">
        <f>Database_Productkaarten[[#This Row],[Product]]&amp;", "&amp;Database_Productkaarten[[#This Row],[Levensfase]]</f>
        <v>SMA 11B rood - PCR 1.0 - Gelderland, A5</v>
      </c>
      <c r="B354" s="33" t="s">
        <v>520</v>
      </c>
      <c r="C354" s="33" t="s">
        <v>483</v>
      </c>
      <c r="D354" s="33" t="s">
        <v>516</v>
      </c>
      <c r="E354" s="33" t="s">
        <v>378</v>
      </c>
      <c r="F354" s="33" t="s">
        <v>79</v>
      </c>
      <c r="L354" s="33">
        <v>2.35</v>
      </c>
      <c r="M354" s="269">
        <v>1</v>
      </c>
      <c r="N354" s="40">
        <v>0.26129999999999998</v>
      </c>
      <c r="O354" s="33">
        <v>16</v>
      </c>
      <c r="P354" s="40"/>
      <c r="Q354" s="40"/>
      <c r="R354" s="40">
        <v>2.5529999999999999</v>
      </c>
      <c r="S354" s="40"/>
      <c r="T354" s="40"/>
      <c r="U354" s="40"/>
      <c r="V354" s="40"/>
      <c r="W354" s="40"/>
      <c r="X354" s="40"/>
      <c r="Y354" s="40"/>
      <c r="Z354" s="40"/>
      <c r="AA354" s="40"/>
      <c r="AB354" s="40"/>
      <c r="AC354" s="40"/>
      <c r="AD354" s="40"/>
      <c r="AE354" s="40"/>
      <c r="AF354" s="40"/>
      <c r="AG354" s="40"/>
      <c r="AH354" s="40"/>
      <c r="AI354" s="40"/>
      <c r="AJ354" s="40"/>
      <c r="AK354" s="40"/>
      <c r="AL354" s="40"/>
      <c r="AM354" s="40"/>
      <c r="AN354" s="40"/>
      <c r="AO354" s="40"/>
      <c r="AP354" s="40"/>
      <c r="AQ354" s="40"/>
      <c r="AR354" s="40"/>
      <c r="AS354" s="40"/>
      <c r="AT354" s="40"/>
      <c r="AU354" s="40"/>
      <c r="AV354" s="40">
        <v>0.1641</v>
      </c>
      <c r="AW354" s="40"/>
      <c r="AX354" s="40"/>
      <c r="AY354" s="40">
        <v>29.64</v>
      </c>
      <c r="AZ354" s="40"/>
      <c r="BA354" s="40"/>
      <c r="BB354" s="40"/>
      <c r="BC354" s="40"/>
      <c r="BD354" s="40"/>
      <c r="BE354" s="40"/>
      <c r="BF354" s="40"/>
      <c r="BG354" s="40"/>
      <c r="BH354" s="40"/>
      <c r="BI354" s="40"/>
      <c r="BJ354" s="40"/>
      <c r="BK354" s="40"/>
      <c r="BL354" s="62">
        <v>0</v>
      </c>
      <c r="BM354" s="275">
        <v>2</v>
      </c>
      <c r="BN354" s="62">
        <v>0</v>
      </c>
      <c r="BO354" s="33" t="s">
        <v>513</v>
      </c>
    </row>
    <row r="355" spans="1:67">
      <c r="A355" s="33" t="str">
        <f>Database_Productkaarten[[#This Row],[Product]]&amp;", "&amp;Database_Productkaarten[[#This Row],[Levensfase]]</f>
        <v>SMA 11B rood - PCR 1.0 - Gelderland, B1</v>
      </c>
      <c r="B355" s="33" t="s">
        <v>520</v>
      </c>
      <c r="C355" s="33" t="s">
        <v>483</v>
      </c>
      <c r="D355" s="33" t="s">
        <v>516</v>
      </c>
      <c r="E355" s="33" t="s">
        <v>378</v>
      </c>
      <c r="F355" s="33" t="s">
        <v>80</v>
      </c>
      <c r="L355" s="33">
        <v>2.35</v>
      </c>
      <c r="M355" s="269">
        <v>1</v>
      </c>
      <c r="N355" s="40">
        <v>0.1182</v>
      </c>
      <c r="O355" s="33">
        <v>16</v>
      </c>
      <c r="P355" s="40"/>
      <c r="Q355" s="40"/>
      <c r="R355" s="40">
        <v>0</v>
      </c>
      <c r="S355" s="40"/>
      <c r="T355" s="40"/>
      <c r="U355" s="40"/>
      <c r="V355" s="40"/>
      <c r="W355" s="40"/>
      <c r="X355" s="40"/>
      <c r="Y355" s="40"/>
      <c r="Z355" s="40"/>
      <c r="AA355" s="40"/>
      <c r="AB355" s="40"/>
      <c r="AC355" s="40"/>
      <c r="AD355" s="40"/>
      <c r="AE355" s="40"/>
      <c r="AF355" s="40"/>
      <c r="AG355" s="40"/>
      <c r="AH355" s="40"/>
      <c r="AI355" s="40"/>
      <c r="AJ355" s="40"/>
      <c r="AK355" s="40"/>
      <c r="AL355" s="40"/>
      <c r="AM355" s="40"/>
      <c r="AN355" s="40"/>
      <c r="AO355" s="40"/>
      <c r="AP355" s="40"/>
      <c r="AQ355" s="40"/>
      <c r="AR355" s="40"/>
      <c r="AS355" s="40"/>
      <c r="AT355" s="40"/>
      <c r="AU355" s="40"/>
      <c r="AV355" s="40">
        <v>0</v>
      </c>
      <c r="AW355" s="40"/>
      <c r="AX355" s="40"/>
      <c r="AY355" s="40">
        <v>0</v>
      </c>
      <c r="AZ355" s="40"/>
      <c r="BA355" s="40"/>
      <c r="BB355" s="40"/>
      <c r="BC355" s="40"/>
      <c r="BD355" s="40"/>
      <c r="BE355" s="40"/>
      <c r="BF355" s="40"/>
      <c r="BG355" s="40"/>
      <c r="BH355" s="40"/>
      <c r="BI355" s="40"/>
      <c r="BJ355" s="40"/>
      <c r="BK355" s="40"/>
      <c r="BL355" s="62">
        <v>0</v>
      </c>
      <c r="BM355" s="275">
        <v>2</v>
      </c>
      <c r="BN355" s="62">
        <v>0</v>
      </c>
      <c r="BO355" s="33" t="s">
        <v>513</v>
      </c>
    </row>
    <row r="356" spans="1:67">
      <c r="A356" s="33" t="str">
        <f>Database_Productkaarten[[#This Row],[Product]]&amp;", "&amp;Database_Productkaarten[[#This Row],[Levensfase]]</f>
        <v>SMA 11B rood - PCR 1.0 - Gelderland, C1</v>
      </c>
      <c r="B356" s="33" t="s">
        <v>520</v>
      </c>
      <c r="C356" s="33" t="s">
        <v>483</v>
      </c>
      <c r="D356" s="33" t="s">
        <v>516</v>
      </c>
      <c r="E356" s="33" t="s">
        <v>378</v>
      </c>
      <c r="F356" s="33" t="s">
        <v>83</v>
      </c>
      <c r="L356" s="33">
        <v>2.35</v>
      </c>
      <c r="M356" s="269">
        <v>1</v>
      </c>
      <c r="N356" s="40">
        <v>0.1363</v>
      </c>
      <c r="O356" s="33">
        <v>16</v>
      </c>
      <c r="P356" s="40"/>
      <c r="Q356" s="40"/>
      <c r="R356" s="40">
        <v>1.4530000000000001</v>
      </c>
      <c r="S356" s="40"/>
      <c r="T356" s="40"/>
      <c r="U356" s="40"/>
      <c r="V356" s="40"/>
      <c r="W356" s="40"/>
      <c r="X356" s="40"/>
      <c r="Y356" s="40"/>
      <c r="Z356" s="40"/>
      <c r="AA356" s="40"/>
      <c r="AB356" s="40"/>
      <c r="AC356" s="40"/>
      <c r="AD356" s="40"/>
      <c r="AE356" s="40"/>
      <c r="AF356" s="40"/>
      <c r="AG356" s="40"/>
      <c r="AH356" s="40"/>
      <c r="AI356" s="40"/>
      <c r="AJ356" s="40"/>
      <c r="AK356" s="40"/>
      <c r="AL356" s="40"/>
      <c r="AM356" s="40"/>
      <c r="AN356" s="40"/>
      <c r="AO356" s="40"/>
      <c r="AP356" s="40"/>
      <c r="AQ356" s="40"/>
      <c r="AR356" s="40"/>
      <c r="AS356" s="40"/>
      <c r="AT356" s="40"/>
      <c r="AU356" s="40"/>
      <c r="AV356" s="40">
        <v>9.3380000000000005E-2</v>
      </c>
      <c r="AW356" s="40"/>
      <c r="AX356" s="40"/>
      <c r="AY356" s="40">
        <v>16.87</v>
      </c>
      <c r="AZ356" s="40"/>
      <c r="BA356" s="40"/>
      <c r="BB356" s="40"/>
      <c r="BC356" s="40"/>
      <c r="BD356" s="40"/>
      <c r="BE356" s="40"/>
      <c r="BF356" s="40"/>
      <c r="BG356" s="40"/>
      <c r="BH356" s="40"/>
      <c r="BI356" s="40"/>
      <c r="BJ356" s="40"/>
      <c r="BK356" s="40"/>
      <c r="BL356" s="62">
        <v>0</v>
      </c>
      <c r="BM356" s="275">
        <v>2</v>
      </c>
      <c r="BN356" s="62">
        <v>0</v>
      </c>
      <c r="BO356" s="33" t="s">
        <v>513</v>
      </c>
    </row>
    <row r="357" spans="1:67">
      <c r="A357" s="33" t="str">
        <f>Database_Productkaarten[[#This Row],[Product]]&amp;", "&amp;Database_Productkaarten[[#This Row],[Levensfase]]</f>
        <v>SMA 11B rood - PCR 1.0 - Gelderland, C2</v>
      </c>
      <c r="B357" s="33" t="s">
        <v>520</v>
      </c>
      <c r="C357" s="33" t="s">
        <v>483</v>
      </c>
      <c r="D357" s="33" t="s">
        <v>516</v>
      </c>
      <c r="E357" s="33" t="s">
        <v>378</v>
      </c>
      <c r="F357" s="33" t="s">
        <v>84</v>
      </c>
      <c r="L357" s="33">
        <v>2.35</v>
      </c>
      <c r="M357" s="269">
        <v>1</v>
      </c>
      <c r="N357" s="40">
        <v>0.62580000000000002</v>
      </c>
      <c r="O357" s="33">
        <v>16</v>
      </c>
      <c r="P357" s="40"/>
      <c r="Q357" s="40"/>
      <c r="R357" s="40">
        <v>5.6740000000000004</v>
      </c>
      <c r="S357" s="40"/>
      <c r="T357" s="40"/>
      <c r="U357" s="40"/>
      <c r="V357" s="40"/>
      <c r="W357" s="40"/>
      <c r="X357" s="40"/>
      <c r="Y357" s="40"/>
      <c r="Z357" s="40"/>
      <c r="AA357" s="40"/>
      <c r="AB357" s="40"/>
      <c r="AC357" s="40"/>
      <c r="AD357" s="40"/>
      <c r="AE357" s="40"/>
      <c r="AF357" s="40"/>
      <c r="AG357" s="40"/>
      <c r="AH357" s="40"/>
      <c r="AI357" s="40"/>
      <c r="AJ357" s="40"/>
      <c r="AK357" s="40"/>
      <c r="AL357" s="40"/>
      <c r="AM357" s="40"/>
      <c r="AN357" s="40"/>
      <c r="AO357" s="40"/>
      <c r="AP357" s="40"/>
      <c r="AQ357" s="40"/>
      <c r="AR357" s="40"/>
      <c r="AS357" s="40"/>
      <c r="AT357" s="40"/>
      <c r="AU357" s="40"/>
      <c r="AV357" s="40">
        <v>1.536</v>
      </c>
      <c r="AW357" s="40"/>
      <c r="AX357" s="40"/>
      <c r="AY357" s="40">
        <v>98.15</v>
      </c>
      <c r="AZ357" s="40"/>
      <c r="BA357" s="40"/>
      <c r="BB357" s="40"/>
      <c r="BC357" s="40"/>
      <c r="BD357" s="40"/>
      <c r="BE357" s="40"/>
      <c r="BF357" s="40"/>
      <c r="BG357" s="40"/>
      <c r="BH357" s="40"/>
      <c r="BI357" s="40"/>
      <c r="BJ357" s="40"/>
      <c r="BK357" s="40"/>
      <c r="BL357" s="62">
        <v>0</v>
      </c>
      <c r="BM357" s="275">
        <v>2</v>
      </c>
      <c r="BN357" s="62">
        <v>0</v>
      </c>
      <c r="BO357" s="33" t="s">
        <v>513</v>
      </c>
    </row>
    <row r="358" spans="1:67">
      <c r="A358" s="33" t="str">
        <f>Database_Productkaarten[[#This Row],[Product]]&amp;", "&amp;Database_Productkaarten[[#This Row],[Levensfase]]</f>
        <v>SMA 11B rood - PCR 1.0 - Gelderland, C3</v>
      </c>
      <c r="B358" s="33" t="s">
        <v>520</v>
      </c>
      <c r="C358" s="33" t="s">
        <v>483</v>
      </c>
      <c r="D358" s="33" t="s">
        <v>516</v>
      </c>
      <c r="E358" s="33" t="s">
        <v>378</v>
      </c>
      <c r="F358" s="33" t="s">
        <v>85</v>
      </c>
      <c r="L358" s="33">
        <v>2.35</v>
      </c>
      <c r="M358" s="269">
        <v>1</v>
      </c>
      <c r="N358" s="40">
        <v>0.1603</v>
      </c>
      <c r="O358" s="33">
        <v>16</v>
      </c>
      <c r="P358" s="40"/>
      <c r="Q358" s="40"/>
      <c r="R358" s="40">
        <v>1.629</v>
      </c>
      <c r="S358" s="40"/>
      <c r="T358" s="40"/>
      <c r="U358" s="40"/>
      <c r="V358" s="40"/>
      <c r="W358" s="40"/>
      <c r="X358" s="40"/>
      <c r="Y358" s="40"/>
      <c r="Z358" s="40"/>
      <c r="AA358" s="40"/>
      <c r="AB358" s="40"/>
      <c r="AC358" s="40"/>
      <c r="AD358" s="40"/>
      <c r="AE358" s="40"/>
      <c r="AF358" s="40"/>
      <c r="AG358" s="40"/>
      <c r="AH358" s="40"/>
      <c r="AI358" s="40"/>
      <c r="AJ358" s="40"/>
      <c r="AK358" s="40"/>
      <c r="AL358" s="40"/>
      <c r="AM358" s="40"/>
      <c r="AN358" s="40"/>
      <c r="AO358" s="40"/>
      <c r="AP358" s="40"/>
      <c r="AQ358" s="40"/>
      <c r="AR358" s="40"/>
      <c r="AS358" s="40"/>
      <c r="AT358" s="40"/>
      <c r="AU358" s="40"/>
      <c r="AV358" s="40">
        <v>0.1047</v>
      </c>
      <c r="AW358" s="40"/>
      <c r="AX358" s="40"/>
      <c r="AY358" s="40">
        <v>18.91</v>
      </c>
      <c r="AZ358" s="40"/>
      <c r="BA358" s="40"/>
      <c r="BB358" s="40"/>
      <c r="BC358" s="40"/>
      <c r="BD358" s="40"/>
      <c r="BE358" s="40"/>
      <c r="BF358" s="40"/>
      <c r="BG358" s="40"/>
      <c r="BH358" s="40"/>
      <c r="BI358" s="40"/>
      <c r="BJ358" s="40"/>
      <c r="BK358" s="40"/>
      <c r="BL358" s="62">
        <v>0</v>
      </c>
      <c r="BM358" s="275">
        <v>2</v>
      </c>
      <c r="BN358" s="62">
        <v>0</v>
      </c>
      <c r="BO358" s="33" t="s">
        <v>513</v>
      </c>
    </row>
    <row r="359" spans="1:67">
      <c r="A359" s="33" t="str">
        <f>Database_Productkaarten[[#This Row],[Product]]&amp;", "&amp;Database_Productkaarten[[#This Row],[Levensfase]]</f>
        <v>SMA 11B rood - PCR 1.0 - Gelderland, C4</v>
      </c>
      <c r="B359" s="33" t="s">
        <v>520</v>
      </c>
      <c r="C359" s="33" t="s">
        <v>483</v>
      </c>
      <c r="D359" s="33" t="s">
        <v>516</v>
      </c>
      <c r="E359" s="33" t="s">
        <v>378</v>
      </c>
      <c r="F359" s="33" t="s">
        <v>86</v>
      </c>
      <c r="L359" s="33">
        <v>2.35</v>
      </c>
      <c r="M359" s="269">
        <v>1</v>
      </c>
      <c r="N359" s="40">
        <v>0</v>
      </c>
      <c r="O359" s="33">
        <v>16</v>
      </c>
      <c r="P359" s="40"/>
      <c r="Q359" s="40"/>
      <c r="R359" s="40">
        <v>0</v>
      </c>
      <c r="S359" s="40"/>
      <c r="T359" s="40"/>
      <c r="U359" s="40"/>
      <c r="V359" s="40"/>
      <c r="W359" s="40"/>
      <c r="X359" s="40"/>
      <c r="Y359" s="40"/>
      <c r="Z359" s="40"/>
      <c r="AA359" s="40"/>
      <c r="AB359" s="40"/>
      <c r="AC359" s="40"/>
      <c r="AD359" s="40"/>
      <c r="AE359" s="40"/>
      <c r="AF359" s="40"/>
      <c r="AG359" s="40"/>
      <c r="AH359" s="40"/>
      <c r="AI359" s="40"/>
      <c r="AJ359" s="40"/>
      <c r="AK359" s="40"/>
      <c r="AL359" s="40"/>
      <c r="AM359" s="40"/>
      <c r="AN359" s="40"/>
      <c r="AO359" s="40"/>
      <c r="AP359" s="40"/>
      <c r="AQ359" s="40"/>
      <c r="AR359" s="40"/>
      <c r="AS359" s="40"/>
      <c r="AT359" s="40"/>
      <c r="AU359" s="40"/>
      <c r="AV359" s="40">
        <v>0</v>
      </c>
      <c r="AW359" s="40"/>
      <c r="AX359" s="40"/>
      <c r="AY359" s="40">
        <v>0</v>
      </c>
      <c r="AZ359" s="40"/>
      <c r="BA359" s="40"/>
      <c r="BB359" s="40"/>
      <c r="BC359" s="40"/>
      <c r="BD359" s="40"/>
      <c r="BE359" s="40"/>
      <c r="BF359" s="40"/>
      <c r="BG359" s="40"/>
      <c r="BH359" s="40"/>
      <c r="BI359" s="40"/>
      <c r="BJ359" s="40"/>
      <c r="BK359" s="40"/>
      <c r="BL359" s="62">
        <v>0</v>
      </c>
      <c r="BM359" s="275">
        <v>2</v>
      </c>
      <c r="BN359" s="62">
        <v>0</v>
      </c>
      <c r="BO359" s="33" t="s">
        <v>513</v>
      </c>
    </row>
    <row r="360" spans="1:67">
      <c r="A360" s="33" t="str">
        <f>Database_Productkaarten[[#This Row],[Product]]&amp;", "&amp;Database_Productkaarten[[#This Row],[Levensfase]]</f>
        <v>SMA 11B rood - PCR 1.0 - Gelderland, D</v>
      </c>
      <c r="B360" s="33" t="s">
        <v>520</v>
      </c>
      <c r="C360" s="33" t="s">
        <v>483</v>
      </c>
      <c r="D360" s="33" t="s">
        <v>516</v>
      </c>
      <c r="E360" s="33" t="s">
        <v>378</v>
      </c>
      <c r="F360" s="33" t="s">
        <v>89</v>
      </c>
      <c r="L360" s="33">
        <v>2.35</v>
      </c>
      <c r="M360" s="269">
        <v>1</v>
      </c>
      <c r="N360" s="40">
        <v>-5.7320000000000002</v>
      </c>
      <c r="O360" s="33">
        <v>16</v>
      </c>
      <c r="P360" s="40"/>
      <c r="Q360" s="40"/>
      <c r="R360" s="40">
        <v>-40.6</v>
      </c>
      <c r="S360" s="40"/>
      <c r="T360" s="40"/>
      <c r="U360" s="40"/>
      <c r="V360" s="40"/>
      <c r="W360" s="40"/>
      <c r="X360" s="40"/>
      <c r="Y360" s="40"/>
      <c r="Z360" s="40"/>
      <c r="AA360" s="40"/>
      <c r="AB360" s="40"/>
      <c r="AC360" s="40"/>
      <c r="AD360" s="40"/>
      <c r="AE360" s="40"/>
      <c r="AF360" s="40"/>
      <c r="AG360" s="40"/>
      <c r="AH360" s="40"/>
      <c r="AI360" s="40"/>
      <c r="AJ360" s="40"/>
      <c r="AK360" s="40"/>
      <c r="AL360" s="40"/>
      <c r="AM360" s="40"/>
      <c r="AN360" s="40"/>
      <c r="AO360" s="40"/>
      <c r="AP360" s="40"/>
      <c r="AQ360" s="40"/>
      <c r="AR360" s="40"/>
      <c r="AS360" s="40"/>
      <c r="AT360" s="40"/>
      <c r="AU360" s="40"/>
      <c r="AV360" s="40">
        <v>-14.39</v>
      </c>
      <c r="AW360" s="40"/>
      <c r="AX360" s="40"/>
      <c r="AY360" s="40">
        <v>-1936</v>
      </c>
      <c r="AZ360" s="40"/>
      <c r="BA360" s="40"/>
      <c r="BB360" s="40"/>
      <c r="BC360" s="40"/>
      <c r="BD360" s="40"/>
      <c r="BE360" s="40"/>
      <c r="BF360" s="40"/>
      <c r="BG360" s="40"/>
      <c r="BH360" s="40"/>
      <c r="BI360" s="40"/>
      <c r="BJ360" s="40"/>
      <c r="BK360" s="40"/>
      <c r="BL360" s="62">
        <v>0</v>
      </c>
      <c r="BM360" s="275">
        <v>2</v>
      </c>
      <c r="BN360" s="62">
        <v>0</v>
      </c>
      <c r="BO360" s="33" t="s">
        <v>513</v>
      </c>
    </row>
    <row r="361" spans="1:67">
      <c r="A361" s="33" t="str">
        <f>Database_Productkaarten[[#This Row],[Product]]&amp;", "&amp;Database_Productkaarten[[#This Row],[Levensfase]]</f>
        <v>ZOAB (PA) 8G+ - PCR 1.0 - Gelderland, Totaal</v>
      </c>
      <c r="B361" s="33" t="s">
        <v>521</v>
      </c>
      <c r="C361" s="33" t="s">
        <v>483</v>
      </c>
      <c r="D361" s="33" t="s">
        <v>484</v>
      </c>
      <c r="E361" s="33" t="s">
        <v>378</v>
      </c>
      <c r="F361" s="33" t="s">
        <v>90</v>
      </c>
      <c r="L361" s="33">
        <v>2</v>
      </c>
      <c r="M361" s="269">
        <v>1</v>
      </c>
      <c r="N361" s="40">
        <v>10.5</v>
      </c>
      <c r="O361" s="33">
        <v>16</v>
      </c>
      <c r="P361" s="40"/>
      <c r="Q361" s="40"/>
      <c r="R361" s="40">
        <v>90.37</v>
      </c>
      <c r="S361" s="40"/>
      <c r="T361" s="40"/>
      <c r="U361" s="40"/>
      <c r="V361" s="40"/>
      <c r="W361" s="40"/>
      <c r="X361" s="40"/>
      <c r="Y361" s="40"/>
      <c r="Z361" s="40"/>
      <c r="AA361" s="40"/>
      <c r="AB361" s="40"/>
      <c r="AC361" s="40"/>
      <c r="AD361" s="40"/>
      <c r="AE361" s="40"/>
      <c r="AF361" s="40"/>
      <c r="AG361" s="40"/>
      <c r="AH361" s="40"/>
      <c r="AI361" s="40"/>
      <c r="AJ361" s="40"/>
      <c r="AK361" s="40"/>
      <c r="AL361" s="40"/>
      <c r="AM361" s="40"/>
      <c r="AN361" s="40"/>
      <c r="AO361" s="40"/>
      <c r="AP361" s="40"/>
      <c r="AQ361" s="40"/>
      <c r="AR361" s="40"/>
      <c r="AS361" s="40"/>
      <c r="AT361" s="40"/>
      <c r="AU361" s="40"/>
      <c r="AV361" s="40">
        <v>42.89</v>
      </c>
      <c r="AW361" s="40"/>
      <c r="AX361" s="40"/>
      <c r="AY361" s="40">
        <v>2549</v>
      </c>
      <c r="AZ361" s="40"/>
      <c r="BA361" s="40"/>
      <c r="BB361" s="40"/>
      <c r="BC361" s="40"/>
      <c r="BD361" s="40"/>
      <c r="BE361" s="40"/>
      <c r="BF361" s="40"/>
      <c r="BG361" s="40"/>
      <c r="BH361" s="40"/>
      <c r="BI361" s="40"/>
      <c r="BJ361" s="40"/>
      <c r="BK361" s="40"/>
      <c r="BL361" s="62">
        <v>0</v>
      </c>
      <c r="BM361" s="275">
        <v>2</v>
      </c>
      <c r="BN361" s="62">
        <v>0</v>
      </c>
      <c r="BO361" s="33" t="s">
        <v>513</v>
      </c>
    </row>
    <row r="362" spans="1:67">
      <c r="A362" s="33" t="str">
        <f>Database_Productkaarten[[#This Row],[Product]]&amp;", "&amp;Database_Productkaarten[[#This Row],[Levensfase]]</f>
        <v>ZOAB (PA) 8G+ - PCR 1.0 - Gelderland, A1</v>
      </c>
      <c r="B362" s="33" t="s">
        <v>521</v>
      </c>
      <c r="C362" s="33" t="s">
        <v>483</v>
      </c>
      <c r="D362" s="33" t="s">
        <v>484</v>
      </c>
      <c r="E362" s="33" t="s">
        <v>378</v>
      </c>
      <c r="F362" s="33" t="s">
        <v>74</v>
      </c>
      <c r="L362" s="33">
        <v>2</v>
      </c>
      <c r="M362" s="269">
        <v>1</v>
      </c>
      <c r="N362" s="40">
        <v>9.9809999999999999</v>
      </c>
      <c r="O362" s="33">
        <v>16</v>
      </c>
      <c r="P362" s="40"/>
      <c r="Q362" s="40"/>
      <c r="R362" s="40">
        <v>82.07</v>
      </c>
      <c r="S362" s="40"/>
      <c r="T362" s="40"/>
      <c r="U362" s="40"/>
      <c r="V362" s="40"/>
      <c r="W362" s="40"/>
      <c r="X362" s="40"/>
      <c r="Y362" s="40"/>
      <c r="Z362" s="40"/>
      <c r="AA362" s="40"/>
      <c r="AB362" s="40"/>
      <c r="AC362" s="40"/>
      <c r="AD362" s="40"/>
      <c r="AE362" s="40"/>
      <c r="AF362" s="40"/>
      <c r="AG362" s="40"/>
      <c r="AH362" s="40"/>
      <c r="AI362" s="40"/>
      <c r="AJ362" s="40"/>
      <c r="AK362" s="40"/>
      <c r="AL362" s="40"/>
      <c r="AM362" s="40"/>
      <c r="AN362" s="40"/>
      <c r="AO362" s="40"/>
      <c r="AP362" s="40"/>
      <c r="AQ362" s="40"/>
      <c r="AR362" s="40"/>
      <c r="AS362" s="40"/>
      <c r="AT362" s="40"/>
      <c r="AU362" s="40"/>
      <c r="AV362" s="40">
        <v>44.63</v>
      </c>
      <c r="AW362" s="40"/>
      <c r="AX362" s="40"/>
      <c r="AY362" s="40">
        <v>3501</v>
      </c>
      <c r="AZ362" s="40"/>
      <c r="BA362" s="40"/>
      <c r="BB362" s="40"/>
      <c r="BC362" s="40"/>
      <c r="BD362" s="40"/>
      <c r="BE362" s="40"/>
      <c r="BF362" s="40"/>
      <c r="BG362" s="40"/>
      <c r="BH362" s="40"/>
      <c r="BI362" s="40"/>
      <c r="BJ362" s="40"/>
      <c r="BK362" s="40"/>
      <c r="BL362" s="62">
        <v>0</v>
      </c>
      <c r="BM362" s="275">
        <v>2</v>
      </c>
      <c r="BN362" s="62">
        <v>0</v>
      </c>
      <c r="BO362" s="33" t="s">
        <v>513</v>
      </c>
    </row>
    <row r="363" spans="1:67">
      <c r="A363" s="33" t="str">
        <f>Database_Productkaarten[[#This Row],[Product]]&amp;", "&amp;Database_Productkaarten[[#This Row],[Levensfase]]</f>
        <v>ZOAB (PA) 8G+ - PCR 1.0 - Gelderland, A2</v>
      </c>
      <c r="B363" s="33" t="s">
        <v>521</v>
      </c>
      <c r="C363" s="33" t="s">
        <v>483</v>
      </c>
      <c r="D363" s="33" t="s">
        <v>484</v>
      </c>
      <c r="E363" s="33" t="s">
        <v>378</v>
      </c>
      <c r="F363" s="33" t="s">
        <v>75</v>
      </c>
      <c r="L363" s="33">
        <v>2</v>
      </c>
      <c r="M363" s="269">
        <v>1</v>
      </c>
      <c r="N363" s="40">
        <v>2.6720000000000002</v>
      </c>
      <c r="O363" s="33">
        <v>16</v>
      </c>
      <c r="P363" s="40"/>
      <c r="Q363" s="40"/>
      <c r="R363" s="40">
        <v>15.98</v>
      </c>
      <c r="S363" s="40"/>
      <c r="T363" s="40"/>
      <c r="U363" s="40"/>
      <c r="V363" s="40"/>
      <c r="W363" s="40"/>
      <c r="X363" s="40"/>
      <c r="Y363" s="40"/>
      <c r="Z363" s="40"/>
      <c r="AA363" s="40"/>
      <c r="AB363" s="40"/>
      <c r="AC363" s="40"/>
      <c r="AD363" s="40"/>
      <c r="AE363" s="40"/>
      <c r="AF363" s="40"/>
      <c r="AG363" s="40"/>
      <c r="AH363" s="40"/>
      <c r="AI363" s="40"/>
      <c r="AJ363" s="40"/>
      <c r="AK363" s="40"/>
      <c r="AL363" s="40"/>
      <c r="AM363" s="40"/>
      <c r="AN363" s="40"/>
      <c r="AO363" s="40"/>
      <c r="AP363" s="40"/>
      <c r="AQ363" s="40"/>
      <c r="AR363" s="40"/>
      <c r="AS363" s="40"/>
      <c r="AT363" s="40"/>
      <c r="AU363" s="40"/>
      <c r="AV363" s="40">
        <v>4.5030000000000001</v>
      </c>
      <c r="AW363" s="40"/>
      <c r="AX363" s="40"/>
      <c r="AY363" s="40">
        <v>247.7</v>
      </c>
      <c r="AZ363" s="40"/>
      <c r="BA363" s="40"/>
      <c r="BB363" s="40"/>
      <c r="BC363" s="40"/>
      <c r="BD363" s="40"/>
      <c r="BE363" s="40"/>
      <c r="BF363" s="40"/>
      <c r="BG363" s="40"/>
      <c r="BH363" s="40"/>
      <c r="BI363" s="40"/>
      <c r="BJ363" s="40"/>
      <c r="BK363" s="40"/>
      <c r="BL363" s="62">
        <v>0</v>
      </c>
      <c r="BM363" s="275">
        <v>2</v>
      </c>
      <c r="BN363" s="62">
        <v>0</v>
      </c>
      <c r="BO363" s="33" t="s">
        <v>513</v>
      </c>
    </row>
    <row r="364" spans="1:67">
      <c r="A364" s="33" t="str">
        <f>Database_Productkaarten[[#This Row],[Product]]&amp;", "&amp;Database_Productkaarten[[#This Row],[Levensfase]]</f>
        <v>ZOAB (PA) 8G+ - PCR 1.0 - Gelderland, A3</v>
      </c>
      <c r="B364" s="33" t="s">
        <v>521</v>
      </c>
      <c r="C364" s="33" t="s">
        <v>483</v>
      </c>
      <c r="D364" s="33" t="s">
        <v>484</v>
      </c>
      <c r="E364" s="33" t="s">
        <v>378</v>
      </c>
      <c r="F364" s="33" t="s">
        <v>76</v>
      </c>
      <c r="L364" s="33">
        <v>2</v>
      </c>
      <c r="M364" s="269">
        <v>1</v>
      </c>
      <c r="N364" s="40">
        <v>1.5669999999999999</v>
      </c>
      <c r="O364" s="33">
        <v>16</v>
      </c>
      <c r="P364" s="40"/>
      <c r="Q364" s="40"/>
      <c r="R364" s="40">
        <v>21.31</v>
      </c>
      <c r="S364" s="40"/>
      <c r="T364" s="40"/>
      <c r="U364" s="40"/>
      <c r="V364" s="40"/>
      <c r="W364" s="40"/>
      <c r="X364" s="40"/>
      <c r="Y364" s="40"/>
      <c r="Z364" s="40"/>
      <c r="AA364" s="40"/>
      <c r="AB364" s="40"/>
      <c r="AC364" s="40"/>
      <c r="AD364" s="40"/>
      <c r="AE364" s="40"/>
      <c r="AF364" s="40"/>
      <c r="AG364" s="40"/>
      <c r="AH364" s="40"/>
      <c r="AI364" s="40"/>
      <c r="AJ364" s="40"/>
      <c r="AK364" s="40"/>
      <c r="AL364" s="40"/>
      <c r="AM364" s="40"/>
      <c r="AN364" s="40"/>
      <c r="AO364" s="40"/>
      <c r="AP364" s="40"/>
      <c r="AQ364" s="40"/>
      <c r="AR364" s="40"/>
      <c r="AS364" s="40"/>
      <c r="AT364" s="40"/>
      <c r="AU364" s="40"/>
      <c r="AV364" s="40">
        <v>7.2149999999999999</v>
      </c>
      <c r="AW364" s="40"/>
      <c r="AX364" s="40"/>
      <c r="AY364" s="40">
        <v>368.5</v>
      </c>
      <c r="AZ364" s="40"/>
      <c r="BA364" s="40"/>
      <c r="BB364" s="40"/>
      <c r="BC364" s="40"/>
      <c r="BD364" s="40"/>
      <c r="BE364" s="40"/>
      <c r="BF364" s="40"/>
      <c r="BG364" s="40"/>
      <c r="BH364" s="40"/>
      <c r="BI364" s="40"/>
      <c r="BJ364" s="40"/>
      <c r="BK364" s="40"/>
      <c r="BL364" s="62">
        <v>0</v>
      </c>
      <c r="BM364" s="275">
        <v>2</v>
      </c>
      <c r="BN364" s="62">
        <v>0</v>
      </c>
      <c r="BO364" s="33" t="s">
        <v>513</v>
      </c>
    </row>
    <row r="365" spans="1:67">
      <c r="A365" s="33" t="str">
        <f>Database_Productkaarten[[#This Row],[Product]]&amp;", "&amp;Database_Productkaarten[[#This Row],[Levensfase]]</f>
        <v>ZOAB (PA) 8G+ - PCR 1.0 - Gelderland, A1-A3</v>
      </c>
      <c r="B365" s="33" t="s">
        <v>521</v>
      </c>
      <c r="C365" s="33" t="s">
        <v>483</v>
      </c>
      <c r="D365" s="33" t="s">
        <v>484</v>
      </c>
      <c r="E365" s="33" t="s">
        <v>378</v>
      </c>
      <c r="F365" s="33" t="s">
        <v>77</v>
      </c>
      <c r="L365" s="33">
        <v>2</v>
      </c>
      <c r="M365" s="269">
        <v>1</v>
      </c>
      <c r="N365" s="252">
        <v>14.22</v>
      </c>
      <c r="O365" s="33">
        <v>16</v>
      </c>
      <c r="P365" s="40"/>
      <c r="Q365" s="40"/>
      <c r="R365" s="40">
        <v>119.4</v>
      </c>
      <c r="S365" s="40"/>
      <c r="T365" s="40"/>
      <c r="U365" s="40"/>
      <c r="V365" s="40"/>
      <c r="W365" s="40"/>
      <c r="X365" s="40"/>
      <c r="Y365" s="40"/>
      <c r="Z365" s="40"/>
      <c r="AA365" s="40"/>
      <c r="AB365" s="40"/>
      <c r="AC365" s="40"/>
      <c r="AD365" s="40"/>
      <c r="AE365" s="40"/>
      <c r="AF365" s="40"/>
      <c r="AG365" s="40"/>
      <c r="AH365" s="40"/>
      <c r="AI365" s="40"/>
      <c r="AJ365" s="40"/>
      <c r="AK365" s="40"/>
      <c r="AL365" s="40"/>
      <c r="AM365" s="40"/>
      <c r="AN365" s="40"/>
      <c r="AO365" s="40"/>
      <c r="AP365" s="40"/>
      <c r="AQ365" s="40"/>
      <c r="AR365" s="40"/>
      <c r="AS365" s="40"/>
      <c r="AT365" s="40"/>
      <c r="AU365" s="40"/>
      <c r="AV365" s="40">
        <v>56.35</v>
      </c>
      <c r="AW365" s="40"/>
      <c r="AX365" s="40"/>
      <c r="AY365" s="40">
        <v>4117</v>
      </c>
      <c r="AZ365" s="40"/>
      <c r="BA365" s="40"/>
      <c r="BB365" s="40"/>
      <c r="BC365" s="40"/>
      <c r="BD365" s="40"/>
      <c r="BE365" s="40"/>
      <c r="BF365" s="40"/>
      <c r="BG365" s="40"/>
      <c r="BH365" s="40"/>
      <c r="BI365" s="40"/>
      <c r="BJ365" s="40"/>
      <c r="BK365" s="40"/>
      <c r="BL365" s="62">
        <v>0</v>
      </c>
      <c r="BM365" s="275">
        <v>2</v>
      </c>
      <c r="BN365" s="62">
        <v>0</v>
      </c>
      <c r="BO365" s="33" t="s">
        <v>513</v>
      </c>
    </row>
    <row r="366" spans="1:67">
      <c r="A366" s="33" t="str">
        <f>Database_Productkaarten[[#This Row],[Product]]&amp;", "&amp;Database_Productkaarten[[#This Row],[Levensfase]]</f>
        <v>ZOAB (PA) 8G+ - PCR 1.0 - Gelderland, A4</v>
      </c>
      <c r="B366" s="33" t="s">
        <v>521</v>
      </c>
      <c r="C366" s="33" t="s">
        <v>483</v>
      </c>
      <c r="D366" s="33" t="s">
        <v>484</v>
      </c>
      <c r="E366" s="33" t="s">
        <v>378</v>
      </c>
      <c r="F366" s="33" t="s">
        <v>78</v>
      </c>
      <c r="L366" s="33">
        <v>2</v>
      </c>
      <c r="M366" s="269">
        <v>1</v>
      </c>
      <c r="N366" s="40">
        <v>0.62580000000000002</v>
      </c>
      <c r="O366" s="33">
        <v>16</v>
      </c>
      <c r="P366" s="40"/>
      <c r="Q366" s="40"/>
      <c r="R366" s="40">
        <v>5.6740000000000004</v>
      </c>
      <c r="S366" s="40"/>
      <c r="T366" s="40"/>
      <c r="U366" s="40"/>
      <c r="V366" s="40"/>
      <c r="W366" s="40"/>
      <c r="X366" s="40"/>
      <c r="Y366" s="40"/>
      <c r="Z366" s="40"/>
      <c r="AA366" s="40"/>
      <c r="AB366" s="40"/>
      <c r="AC366" s="40"/>
      <c r="AD366" s="40"/>
      <c r="AE366" s="40"/>
      <c r="AF366" s="40"/>
      <c r="AG366" s="40"/>
      <c r="AH366" s="40"/>
      <c r="AI366" s="40"/>
      <c r="AJ366" s="40"/>
      <c r="AK366" s="40"/>
      <c r="AL366" s="40"/>
      <c r="AM366" s="40"/>
      <c r="AN366" s="40"/>
      <c r="AO366" s="40"/>
      <c r="AP366" s="40"/>
      <c r="AQ366" s="40"/>
      <c r="AR366" s="40"/>
      <c r="AS366" s="40"/>
      <c r="AT366" s="40"/>
      <c r="AU366" s="40"/>
      <c r="AV366" s="40">
        <v>1.536</v>
      </c>
      <c r="AW366" s="40"/>
      <c r="AX366" s="40"/>
      <c r="AY366" s="40">
        <v>98.15</v>
      </c>
      <c r="AZ366" s="40"/>
      <c r="BA366" s="40"/>
      <c r="BB366" s="40"/>
      <c r="BC366" s="40"/>
      <c r="BD366" s="40"/>
      <c r="BE366" s="40"/>
      <c r="BF366" s="40"/>
      <c r="BG366" s="40"/>
      <c r="BH366" s="40"/>
      <c r="BI366" s="40"/>
      <c r="BJ366" s="40"/>
      <c r="BK366" s="40"/>
      <c r="BL366" s="62">
        <v>0</v>
      </c>
      <c r="BM366" s="275">
        <v>2</v>
      </c>
      <c r="BN366" s="62">
        <v>0</v>
      </c>
      <c r="BO366" s="33" t="s">
        <v>513</v>
      </c>
    </row>
    <row r="367" spans="1:67">
      <c r="A367" s="33" t="str">
        <f>Database_Productkaarten[[#This Row],[Product]]&amp;", "&amp;Database_Productkaarten[[#This Row],[Levensfase]]</f>
        <v>ZOAB (PA) 8G+ - PCR 1.0 - Gelderland, A5</v>
      </c>
      <c r="B367" s="33" t="s">
        <v>521</v>
      </c>
      <c r="C367" s="33" t="s">
        <v>483</v>
      </c>
      <c r="D367" s="33" t="s">
        <v>484</v>
      </c>
      <c r="E367" s="33" t="s">
        <v>378</v>
      </c>
      <c r="F367" s="33" t="s">
        <v>79</v>
      </c>
      <c r="L367" s="33">
        <v>2</v>
      </c>
      <c r="M367" s="269">
        <v>1</v>
      </c>
      <c r="N367" s="40">
        <v>0.1426</v>
      </c>
      <c r="O367" s="33">
        <v>16</v>
      </c>
      <c r="P367" s="40"/>
      <c r="Q367" s="40"/>
      <c r="R367" s="40">
        <v>1.409</v>
      </c>
      <c r="S367" s="40"/>
      <c r="T367" s="40"/>
      <c r="U367" s="40"/>
      <c r="V367" s="40"/>
      <c r="W367" s="40"/>
      <c r="X367" s="40"/>
      <c r="Y367" s="40"/>
      <c r="Z367" s="40"/>
      <c r="AA367" s="40"/>
      <c r="AB367" s="40"/>
      <c r="AC367" s="40"/>
      <c r="AD367" s="40"/>
      <c r="AE367" s="40"/>
      <c r="AF367" s="40"/>
      <c r="AG367" s="40"/>
      <c r="AH367" s="40"/>
      <c r="AI367" s="40"/>
      <c r="AJ367" s="40"/>
      <c r="AK367" s="40"/>
      <c r="AL367" s="40"/>
      <c r="AM367" s="40"/>
      <c r="AN367" s="40"/>
      <c r="AO367" s="40"/>
      <c r="AP367" s="40"/>
      <c r="AQ367" s="40"/>
      <c r="AR367" s="40"/>
      <c r="AS367" s="40"/>
      <c r="AT367" s="40"/>
      <c r="AU367" s="40"/>
      <c r="AV367" s="40">
        <v>9.0550000000000005E-2</v>
      </c>
      <c r="AW367" s="40"/>
      <c r="AX367" s="40"/>
      <c r="AY367" s="40">
        <v>16.350000000000001</v>
      </c>
      <c r="AZ367" s="40"/>
      <c r="BA367" s="40"/>
      <c r="BB367" s="40"/>
      <c r="BC367" s="40"/>
      <c r="BD367" s="40"/>
      <c r="BE367" s="40"/>
      <c r="BF367" s="40"/>
      <c r="BG367" s="40"/>
      <c r="BH367" s="40"/>
      <c r="BI367" s="40"/>
      <c r="BJ367" s="40"/>
      <c r="BK367" s="40"/>
      <c r="BL367" s="62">
        <v>0</v>
      </c>
      <c r="BM367" s="275">
        <v>2</v>
      </c>
      <c r="BN367" s="62">
        <v>0</v>
      </c>
      <c r="BO367" s="33" t="s">
        <v>513</v>
      </c>
    </row>
    <row r="368" spans="1:67">
      <c r="A368" s="33" t="str">
        <f>Database_Productkaarten[[#This Row],[Product]]&amp;", "&amp;Database_Productkaarten[[#This Row],[Levensfase]]</f>
        <v>ZOAB (PA) 8G+ - PCR 1.0 - Gelderland, B1</v>
      </c>
      <c r="B368" s="33" t="s">
        <v>521</v>
      </c>
      <c r="C368" s="33" t="s">
        <v>483</v>
      </c>
      <c r="D368" s="33" t="s">
        <v>484</v>
      </c>
      <c r="E368" s="33" t="s">
        <v>378</v>
      </c>
      <c r="F368" s="33" t="s">
        <v>80</v>
      </c>
      <c r="L368" s="33">
        <v>2</v>
      </c>
      <c r="M368" s="269">
        <v>1</v>
      </c>
      <c r="N368" s="40">
        <v>0.63800000000000001</v>
      </c>
      <c r="O368" s="33">
        <v>16</v>
      </c>
      <c r="P368" s="40"/>
      <c r="Q368" s="40"/>
      <c r="R368" s="40">
        <v>0</v>
      </c>
      <c r="S368" s="40"/>
      <c r="T368" s="40"/>
      <c r="U368" s="40"/>
      <c r="V368" s="40"/>
      <c r="W368" s="40"/>
      <c r="X368" s="40"/>
      <c r="Y368" s="40"/>
      <c r="Z368" s="40"/>
      <c r="AA368" s="40"/>
      <c r="AB368" s="40"/>
      <c r="AC368" s="40"/>
      <c r="AD368" s="40"/>
      <c r="AE368" s="40"/>
      <c r="AF368" s="40"/>
      <c r="AG368" s="40"/>
      <c r="AH368" s="40"/>
      <c r="AI368" s="40"/>
      <c r="AJ368" s="40"/>
      <c r="AK368" s="40"/>
      <c r="AL368" s="40"/>
      <c r="AM368" s="40"/>
      <c r="AN368" s="40"/>
      <c r="AO368" s="40"/>
      <c r="AP368" s="40"/>
      <c r="AQ368" s="40"/>
      <c r="AR368" s="40"/>
      <c r="AS368" s="40"/>
      <c r="AT368" s="40"/>
      <c r="AU368" s="40"/>
      <c r="AV368" s="40">
        <v>0</v>
      </c>
      <c r="AW368" s="40"/>
      <c r="AX368" s="40"/>
      <c r="AY368" s="40">
        <v>0</v>
      </c>
      <c r="AZ368" s="40"/>
      <c r="BA368" s="40"/>
      <c r="BB368" s="40"/>
      <c r="BC368" s="40"/>
      <c r="BD368" s="40"/>
      <c r="BE368" s="40"/>
      <c r="BF368" s="40"/>
      <c r="BG368" s="40"/>
      <c r="BH368" s="40"/>
      <c r="BI368" s="40"/>
      <c r="BJ368" s="40"/>
      <c r="BK368" s="40"/>
      <c r="BL368" s="62">
        <v>0</v>
      </c>
      <c r="BM368" s="275">
        <v>2</v>
      </c>
      <c r="BN368" s="62">
        <v>0</v>
      </c>
      <c r="BO368" s="33" t="s">
        <v>513</v>
      </c>
    </row>
    <row r="369" spans="1:67">
      <c r="A369" s="33" t="str">
        <f>Database_Productkaarten[[#This Row],[Product]]&amp;", "&amp;Database_Productkaarten[[#This Row],[Levensfase]]</f>
        <v>ZOAB (PA) 8G+ - PCR 1.0 - Gelderland, C1</v>
      </c>
      <c r="B369" s="33" t="s">
        <v>521</v>
      </c>
      <c r="C369" s="33" t="s">
        <v>483</v>
      </c>
      <c r="D369" s="33" t="s">
        <v>484</v>
      </c>
      <c r="E369" s="33" t="s">
        <v>378</v>
      </c>
      <c r="F369" s="33" t="s">
        <v>83</v>
      </c>
      <c r="L369" s="33">
        <v>2</v>
      </c>
      <c r="M369" s="269">
        <v>1</v>
      </c>
      <c r="N369" s="40">
        <v>0.31790000000000002</v>
      </c>
      <c r="O369" s="33">
        <v>16</v>
      </c>
      <c r="P369" s="40"/>
      <c r="Q369" s="40"/>
      <c r="R369" s="40">
        <v>3.3889999999999998</v>
      </c>
      <c r="S369" s="40"/>
      <c r="T369" s="40"/>
      <c r="U369" s="40"/>
      <c r="V369" s="40"/>
      <c r="W369" s="40"/>
      <c r="X369" s="40"/>
      <c r="Y369" s="40"/>
      <c r="Z369" s="40"/>
      <c r="AA369" s="40"/>
      <c r="AB369" s="40"/>
      <c r="AC369" s="40"/>
      <c r="AD369" s="40"/>
      <c r="AE369" s="40"/>
      <c r="AF369" s="40"/>
      <c r="AG369" s="40"/>
      <c r="AH369" s="40"/>
      <c r="AI369" s="40"/>
      <c r="AJ369" s="40"/>
      <c r="AK369" s="40"/>
      <c r="AL369" s="40"/>
      <c r="AM369" s="40"/>
      <c r="AN369" s="40"/>
      <c r="AO369" s="40"/>
      <c r="AP369" s="40"/>
      <c r="AQ369" s="40"/>
      <c r="AR369" s="40"/>
      <c r="AS369" s="40"/>
      <c r="AT369" s="40"/>
      <c r="AU369" s="40"/>
      <c r="AV369" s="40">
        <v>0.21790000000000001</v>
      </c>
      <c r="AW369" s="40"/>
      <c r="AX369" s="40"/>
      <c r="AY369" s="40">
        <v>39.35</v>
      </c>
      <c r="AZ369" s="40"/>
      <c r="BA369" s="40"/>
      <c r="BB369" s="40"/>
      <c r="BC369" s="40"/>
      <c r="BD369" s="40"/>
      <c r="BE369" s="40"/>
      <c r="BF369" s="40"/>
      <c r="BG369" s="40"/>
      <c r="BH369" s="40"/>
      <c r="BI369" s="40"/>
      <c r="BJ369" s="40"/>
      <c r="BK369" s="40"/>
      <c r="BL369" s="62">
        <v>0</v>
      </c>
      <c r="BM369" s="275">
        <v>2</v>
      </c>
      <c r="BN369" s="62">
        <v>0</v>
      </c>
      <c r="BO369" s="33" t="s">
        <v>513</v>
      </c>
    </row>
    <row r="370" spans="1:67">
      <c r="A370" s="33" t="str">
        <f>Database_Productkaarten[[#This Row],[Product]]&amp;", "&amp;Database_Productkaarten[[#This Row],[Levensfase]]</f>
        <v>ZOAB (PA) 8G+ - PCR 1.0 - Gelderland, C2</v>
      </c>
      <c r="B370" s="33" t="s">
        <v>521</v>
      </c>
      <c r="C370" s="33" t="s">
        <v>483</v>
      </c>
      <c r="D370" s="33" t="s">
        <v>484</v>
      </c>
      <c r="E370" s="33" t="s">
        <v>378</v>
      </c>
      <c r="F370" s="33" t="s">
        <v>84</v>
      </c>
      <c r="L370" s="33">
        <v>2</v>
      </c>
      <c r="M370" s="269">
        <v>1</v>
      </c>
      <c r="N370" s="40">
        <v>0.62580000000000002</v>
      </c>
      <c r="O370" s="33">
        <v>16</v>
      </c>
      <c r="P370" s="40"/>
      <c r="Q370" s="40"/>
      <c r="R370" s="40">
        <v>5.6740000000000004</v>
      </c>
      <c r="S370" s="40"/>
      <c r="T370" s="40"/>
      <c r="U370" s="40"/>
      <c r="V370" s="40"/>
      <c r="W370" s="40"/>
      <c r="X370" s="40"/>
      <c r="Y370" s="40"/>
      <c r="Z370" s="40"/>
      <c r="AA370" s="40"/>
      <c r="AB370" s="40"/>
      <c r="AC370" s="40"/>
      <c r="AD370" s="40"/>
      <c r="AE370" s="40"/>
      <c r="AF370" s="40"/>
      <c r="AG370" s="40"/>
      <c r="AH370" s="40"/>
      <c r="AI370" s="40"/>
      <c r="AJ370" s="40"/>
      <c r="AK370" s="40"/>
      <c r="AL370" s="40"/>
      <c r="AM370" s="40"/>
      <c r="AN370" s="40"/>
      <c r="AO370" s="40"/>
      <c r="AP370" s="40"/>
      <c r="AQ370" s="40"/>
      <c r="AR370" s="40"/>
      <c r="AS370" s="40"/>
      <c r="AT370" s="40"/>
      <c r="AU370" s="40"/>
      <c r="AV370" s="40">
        <v>1.536</v>
      </c>
      <c r="AW370" s="40"/>
      <c r="AX370" s="40"/>
      <c r="AY370" s="40">
        <v>98.15</v>
      </c>
      <c r="AZ370" s="40"/>
      <c r="BA370" s="40"/>
      <c r="BB370" s="40"/>
      <c r="BC370" s="40"/>
      <c r="BD370" s="40"/>
      <c r="BE370" s="40"/>
      <c r="BF370" s="40"/>
      <c r="BG370" s="40"/>
      <c r="BH370" s="40"/>
      <c r="BI370" s="40"/>
      <c r="BJ370" s="40"/>
      <c r="BK370" s="40"/>
      <c r="BL370" s="62">
        <v>0</v>
      </c>
      <c r="BM370" s="275">
        <v>2</v>
      </c>
      <c r="BN370" s="62">
        <v>0</v>
      </c>
      <c r="BO370" s="33" t="s">
        <v>513</v>
      </c>
    </row>
    <row r="371" spans="1:67">
      <c r="A371" s="33" t="str">
        <f>Database_Productkaarten[[#This Row],[Product]]&amp;", "&amp;Database_Productkaarten[[#This Row],[Levensfase]]</f>
        <v>ZOAB (PA) 8G+ - PCR 1.0 - Gelderland, C3</v>
      </c>
      <c r="B371" s="33" t="s">
        <v>521</v>
      </c>
      <c r="C371" s="33" t="s">
        <v>483</v>
      </c>
      <c r="D371" s="33" t="s">
        <v>484</v>
      </c>
      <c r="E371" s="33" t="s">
        <v>378</v>
      </c>
      <c r="F371" s="33" t="s">
        <v>85</v>
      </c>
      <c r="L371" s="33">
        <v>2</v>
      </c>
      <c r="M371" s="269">
        <v>1</v>
      </c>
      <c r="N371" s="40">
        <v>0.1603</v>
      </c>
      <c r="O371" s="33">
        <v>16</v>
      </c>
      <c r="P371" s="40"/>
      <c r="Q371" s="40"/>
      <c r="R371" s="40">
        <v>1.629</v>
      </c>
      <c r="S371" s="40"/>
      <c r="T371" s="40"/>
      <c r="U371" s="40"/>
      <c r="V371" s="40"/>
      <c r="W371" s="40"/>
      <c r="X371" s="40"/>
      <c r="Y371" s="40"/>
      <c r="Z371" s="40"/>
      <c r="AA371" s="40"/>
      <c r="AB371" s="40"/>
      <c r="AC371" s="40"/>
      <c r="AD371" s="40"/>
      <c r="AE371" s="40"/>
      <c r="AF371" s="40"/>
      <c r="AG371" s="40"/>
      <c r="AH371" s="40"/>
      <c r="AI371" s="40"/>
      <c r="AJ371" s="40"/>
      <c r="AK371" s="40"/>
      <c r="AL371" s="40"/>
      <c r="AM371" s="40"/>
      <c r="AN371" s="40"/>
      <c r="AO371" s="40"/>
      <c r="AP371" s="40"/>
      <c r="AQ371" s="40"/>
      <c r="AR371" s="40"/>
      <c r="AS371" s="40"/>
      <c r="AT371" s="40"/>
      <c r="AU371" s="40"/>
      <c r="AV371" s="40">
        <v>0.1047</v>
      </c>
      <c r="AW371" s="40"/>
      <c r="AX371" s="40"/>
      <c r="AY371" s="40">
        <v>18.91</v>
      </c>
      <c r="AZ371" s="40"/>
      <c r="BA371" s="40"/>
      <c r="BB371" s="40"/>
      <c r="BC371" s="40"/>
      <c r="BD371" s="40"/>
      <c r="BE371" s="40"/>
      <c r="BF371" s="40"/>
      <c r="BG371" s="40"/>
      <c r="BH371" s="40"/>
      <c r="BI371" s="40"/>
      <c r="BJ371" s="40"/>
      <c r="BK371" s="40"/>
      <c r="BL371" s="62">
        <v>0</v>
      </c>
      <c r="BM371" s="275">
        <v>2</v>
      </c>
      <c r="BN371" s="62">
        <v>0</v>
      </c>
      <c r="BO371" s="33" t="s">
        <v>513</v>
      </c>
    </row>
    <row r="372" spans="1:67">
      <c r="A372" s="33" t="str">
        <f>Database_Productkaarten[[#This Row],[Product]]&amp;", "&amp;Database_Productkaarten[[#This Row],[Levensfase]]</f>
        <v>ZOAB (PA) 8G+ - PCR 1.0 - Gelderland, C4</v>
      </c>
      <c r="B372" s="33" t="s">
        <v>521</v>
      </c>
      <c r="C372" s="33" t="s">
        <v>483</v>
      </c>
      <c r="D372" s="33" t="s">
        <v>484</v>
      </c>
      <c r="E372" s="33" t="s">
        <v>378</v>
      </c>
      <c r="F372" s="33" t="s">
        <v>86</v>
      </c>
      <c r="L372" s="33">
        <v>2</v>
      </c>
      <c r="M372" s="269">
        <v>1</v>
      </c>
      <c r="N372" s="40">
        <v>0</v>
      </c>
      <c r="O372" s="33">
        <v>16</v>
      </c>
      <c r="P372" s="40"/>
      <c r="Q372" s="40"/>
      <c r="R372" s="40">
        <v>0</v>
      </c>
      <c r="S372" s="40"/>
      <c r="T372" s="40"/>
      <c r="U372" s="40"/>
      <c r="V372" s="40"/>
      <c r="W372" s="40"/>
      <c r="X372" s="40"/>
      <c r="Y372" s="40"/>
      <c r="Z372" s="40"/>
      <c r="AA372" s="40"/>
      <c r="AB372" s="40"/>
      <c r="AC372" s="40"/>
      <c r="AD372" s="40"/>
      <c r="AE372" s="40"/>
      <c r="AF372" s="40"/>
      <c r="AG372" s="40"/>
      <c r="AH372" s="40"/>
      <c r="AI372" s="40"/>
      <c r="AJ372" s="40"/>
      <c r="AK372" s="40"/>
      <c r="AL372" s="40"/>
      <c r="AM372" s="40"/>
      <c r="AN372" s="40"/>
      <c r="AO372" s="40"/>
      <c r="AP372" s="40"/>
      <c r="AQ372" s="40"/>
      <c r="AR372" s="40"/>
      <c r="AS372" s="40"/>
      <c r="AT372" s="40"/>
      <c r="AU372" s="40"/>
      <c r="AV372" s="40">
        <v>0</v>
      </c>
      <c r="AW372" s="40"/>
      <c r="AX372" s="40"/>
      <c r="AY372" s="40">
        <v>0</v>
      </c>
      <c r="AZ372" s="40"/>
      <c r="BA372" s="40"/>
      <c r="BB372" s="40"/>
      <c r="BC372" s="40"/>
      <c r="BD372" s="40"/>
      <c r="BE372" s="40"/>
      <c r="BF372" s="40"/>
      <c r="BG372" s="40"/>
      <c r="BH372" s="40"/>
      <c r="BI372" s="40"/>
      <c r="BJ372" s="40"/>
      <c r="BK372" s="40"/>
      <c r="BL372" s="62">
        <v>0</v>
      </c>
      <c r="BM372" s="275">
        <v>2</v>
      </c>
      <c r="BN372" s="62">
        <v>0</v>
      </c>
      <c r="BO372" s="33" t="s">
        <v>513</v>
      </c>
    </row>
    <row r="373" spans="1:67">
      <c r="A373" s="33" t="str">
        <f>Database_Productkaarten[[#This Row],[Product]]&amp;", "&amp;Database_Productkaarten[[#This Row],[Levensfase]]</f>
        <v>ZOAB (PA) 8G+ - PCR 1.0 - Gelderland, D</v>
      </c>
      <c r="B373" s="33" t="s">
        <v>521</v>
      </c>
      <c r="C373" s="33" t="s">
        <v>483</v>
      </c>
      <c r="D373" s="33" t="s">
        <v>484</v>
      </c>
      <c r="E373" s="33" t="s">
        <v>378</v>
      </c>
      <c r="F373" s="33" t="s">
        <v>89</v>
      </c>
      <c r="L373" s="33">
        <v>2</v>
      </c>
      <c r="M373" s="269">
        <v>1</v>
      </c>
      <c r="N373" s="40">
        <v>-6.2270000000000003</v>
      </c>
      <c r="O373" s="33">
        <v>16</v>
      </c>
      <c r="P373" s="40"/>
      <c r="Q373" s="40"/>
      <c r="R373" s="40">
        <v>-46.76</v>
      </c>
      <c r="S373" s="40"/>
      <c r="T373" s="40"/>
      <c r="U373" s="40"/>
      <c r="V373" s="40"/>
      <c r="W373" s="40"/>
      <c r="X373" s="40"/>
      <c r="Y373" s="40"/>
      <c r="Z373" s="40"/>
      <c r="AA373" s="40"/>
      <c r="AB373" s="40"/>
      <c r="AC373" s="40"/>
      <c r="AD373" s="40"/>
      <c r="AE373" s="40"/>
      <c r="AF373" s="40"/>
      <c r="AG373" s="40"/>
      <c r="AH373" s="40"/>
      <c r="AI373" s="40"/>
      <c r="AJ373" s="40"/>
      <c r="AK373" s="40"/>
      <c r="AL373" s="40"/>
      <c r="AM373" s="40"/>
      <c r="AN373" s="40"/>
      <c r="AO373" s="40"/>
      <c r="AP373" s="40"/>
      <c r="AQ373" s="40"/>
      <c r="AR373" s="40"/>
      <c r="AS373" s="40"/>
      <c r="AT373" s="40"/>
      <c r="AU373" s="40"/>
      <c r="AV373" s="40">
        <v>-16.940000000000001</v>
      </c>
      <c r="AW373" s="40"/>
      <c r="AX373" s="40"/>
      <c r="AY373" s="40">
        <v>-1839</v>
      </c>
      <c r="AZ373" s="40"/>
      <c r="BA373" s="40"/>
      <c r="BB373" s="40"/>
      <c r="BC373" s="40"/>
      <c r="BD373" s="40"/>
      <c r="BE373" s="40"/>
      <c r="BF373" s="40"/>
      <c r="BG373" s="40"/>
      <c r="BH373" s="40"/>
      <c r="BI373" s="40"/>
      <c r="BJ373" s="40"/>
      <c r="BK373" s="40"/>
      <c r="BL373" s="62">
        <v>0</v>
      </c>
      <c r="BM373" s="275">
        <v>2</v>
      </c>
      <c r="BN373" s="62">
        <v>0</v>
      </c>
      <c r="BO373" s="33" t="s">
        <v>513</v>
      </c>
    </row>
    <row r="374" spans="1:67">
      <c r="A374" s="33" t="str">
        <f>Database_Productkaarten[[#This Row],[Product]]&amp;", "&amp;Database_Productkaarten[[#This Row],[Levensfase]]</f>
        <v>AC 22 basebin HS - PCR 1.0 - Gelderland, Totaal</v>
      </c>
      <c r="B374" s="33" t="s">
        <v>522</v>
      </c>
      <c r="C374" s="33" t="s">
        <v>483</v>
      </c>
      <c r="D374" s="33" t="s">
        <v>381</v>
      </c>
      <c r="E374" s="33" t="s">
        <v>378</v>
      </c>
      <c r="F374" s="33" t="s">
        <v>90</v>
      </c>
      <c r="L374" s="33">
        <v>2.37</v>
      </c>
      <c r="M374" s="269">
        <v>1</v>
      </c>
      <c r="N374" s="40">
        <v>7.7949999999999999</v>
      </c>
      <c r="O374" s="33">
        <v>45</v>
      </c>
      <c r="Q374" s="40"/>
      <c r="R374" s="40">
        <v>74.760000000000005</v>
      </c>
      <c r="S374" s="40"/>
      <c r="T374" s="40"/>
      <c r="U374" s="40"/>
      <c r="V374" s="40"/>
      <c r="W374" s="40"/>
      <c r="X374" s="40"/>
      <c r="Y374" s="40"/>
      <c r="Z374" s="40"/>
      <c r="AA374" s="40"/>
      <c r="AB374" s="40"/>
      <c r="AC374" s="40"/>
      <c r="AD374" s="40"/>
      <c r="AE374" s="40"/>
      <c r="AF374" s="40"/>
      <c r="AG374" s="40"/>
      <c r="AH374" s="40"/>
      <c r="AI374" s="40"/>
      <c r="AJ374" s="40"/>
      <c r="AK374" s="40"/>
      <c r="AL374" s="40"/>
      <c r="AM374" s="40"/>
      <c r="AN374" s="40"/>
      <c r="AO374" s="40"/>
      <c r="AP374" s="40"/>
      <c r="AQ374" s="40"/>
      <c r="AR374" s="40"/>
      <c r="AS374" s="40"/>
      <c r="AT374" s="40"/>
      <c r="AU374" s="40"/>
      <c r="AV374" s="40">
        <v>32.880000000000003</v>
      </c>
      <c r="AW374" s="40"/>
      <c r="AX374" s="40"/>
      <c r="AY374" s="40">
        <v>1747</v>
      </c>
      <c r="AZ374" s="40"/>
      <c r="BA374" s="40"/>
      <c r="BB374" s="40"/>
      <c r="BC374" s="40"/>
      <c r="BD374" s="40"/>
      <c r="BE374" s="40"/>
      <c r="BF374" s="40"/>
      <c r="BG374" s="40"/>
      <c r="BH374" s="40"/>
      <c r="BI374" s="40"/>
      <c r="BJ374" s="40"/>
      <c r="BK374" s="40"/>
      <c r="BL374" s="62">
        <v>0</v>
      </c>
      <c r="BM374" s="275">
        <v>2</v>
      </c>
      <c r="BN374" s="62">
        <v>0</v>
      </c>
      <c r="BO374" s="33" t="s">
        <v>513</v>
      </c>
    </row>
    <row r="375" spans="1:67">
      <c r="A375" s="33" t="str">
        <f>Database_Productkaarten[[#This Row],[Product]]&amp;", "&amp;Database_Productkaarten[[#This Row],[Levensfase]]</f>
        <v>AC 22 basebin HS - PCR 1.0 - Gelderland, A1</v>
      </c>
      <c r="B375" s="33" t="s">
        <v>522</v>
      </c>
      <c r="C375" s="33" t="s">
        <v>483</v>
      </c>
      <c r="D375" s="33" t="s">
        <v>381</v>
      </c>
      <c r="E375" s="33" t="s">
        <v>378</v>
      </c>
      <c r="F375" s="33" t="s">
        <v>74</v>
      </c>
      <c r="L375" s="33">
        <v>2.37</v>
      </c>
      <c r="M375" s="269">
        <v>1</v>
      </c>
      <c r="N375" s="40">
        <v>7.14</v>
      </c>
      <c r="O375" s="33">
        <v>45</v>
      </c>
      <c r="Q375" s="40"/>
      <c r="R375" s="40">
        <v>55.61</v>
      </c>
      <c r="S375" s="40"/>
      <c r="T375" s="40"/>
      <c r="U375" s="40"/>
      <c r="V375" s="40"/>
      <c r="W375" s="40"/>
      <c r="X375" s="40"/>
      <c r="Y375" s="40"/>
      <c r="Z375" s="40"/>
      <c r="AA375" s="40"/>
      <c r="AB375" s="40"/>
      <c r="AC375" s="40"/>
      <c r="AD375" s="40"/>
      <c r="AE375" s="40"/>
      <c r="AF375" s="40"/>
      <c r="AG375" s="40"/>
      <c r="AH375" s="40"/>
      <c r="AI375" s="40"/>
      <c r="AJ375" s="40"/>
      <c r="AK375" s="40"/>
      <c r="AL375" s="40"/>
      <c r="AM375" s="40"/>
      <c r="AN375" s="40"/>
      <c r="AO375" s="40"/>
      <c r="AP375" s="40"/>
      <c r="AQ375" s="40"/>
      <c r="AR375" s="40"/>
      <c r="AS375" s="40"/>
      <c r="AT375" s="40"/>
      <c r="AU375" s="40"/>
      <c r="AV375" s="40">
        <v>32.56</v>
      </c>
      <c r="AW375" s="40"/>
      <c r="AX375" s="40"/>
      <c r="AY375" s="40">
        <v>2557</v>
      </c>
      <c r="AZ375" s="40"/>
      <c r="BA375" s="40"/>
      <c r="BB375" s="40"/>
      <c r="BC375" s="40"/>
      <c r="BD375" s="40"/>
      <c r="BE375" s="40"/>
      <c r="BF375" s="40"/>
      <c r="BG375" s="40"/>
      <c r="BH375" s="40"/>
      <c r="BI375" s="40"/>
      <c r="BJ375" s="40"/>
      <c r="BK375" s="40"/>
      <c r="BL375" s="62">
        <v>0</v>
      </c>
      <c r="BM375" s="275">
        <v>2</v>
      </c>
      <c r="BN375" s="62">
        <v>0</v>
      </c>
      <c r="BO375" s="33" t="s">
        <v>513</v>
      </c>
    </row>
    <row r="376" spans="1:67">
      <c r="A376" s="33" t="str">
        <f>Database_Productkaarten[[#This Row],[Product]]&amp;", "&amp;Database_Productkaarten[[#This Row],[Levensfase]]</f>
        <v>AC 22 basebin HS - PCR 1.0 - Gelderland, A2</v>
      </c>
      <c r="B376" s="33" t="s">
        <v>522</v>
      </c>
      <c r="C376" s="33" t="s">
        <v>483</v>
      </c>
      <c r="D376" s="33" t="s">
        <v>381</v>
      </c>
      <c r="E376" s="33" t="s">
        <v>378</v>
      </c>
      <c r="F376" s="33" t="s">
        <v>75</v>
      </c>
      <c r="L376" s="33">
        <v>2.37</v>
      </c>
      <c r="M376" s="269">
        <v>1</v>
      </c>
      <c r="N376" s="40">
        <v>3.335</v>
      </c>
      <c r="O376" s="33">
        <v>45</v>
      </c>
      <c r="Q376" s="40"/>
      <c r="R376" s="40">
        <v>22.58</v>
      </c>
      <c r="S376" s="40"/>
      <c r="T376" s="40"/>
      <c r="U376" s="40"/>
      <c r="V376" s="40"/>
      <c r="W376" s="40"/>
      <c r="X376" s="40"/>
      <c r="Y376" s="40"/>
      <c r="Z376" s="40"/>
      <c r="AA376" s="40"/>
      <c r="AB376" s="40"/>
      <c r="AC376" s="40"/>
      <c r="AD376" s="40"/>
      <c r="AE376" s="40"/>
      <c r="AF376" s="40"/>
      <c r="AG376" s="40"/>
      <c r="AH376" s="40"/>
      <c r="AI376" s="40"/>
      <c r="AJ376" s="40"/>
      <c r="AK376" s="40"/>
      <c r="AL376" s="40"/>
      <c r="AM376" s="40"/>
      <c r="AN376" s="40"/>
      <c r="AO376" s="40"/>
      <c r="AP376" s="40"/>
      <c r="AQ376" s="40"/>
      <c r="AR376" s="40"/>
      <c r="AS376" s="40"/>
      <c r="AT376" s="40"/>
      <c r="AU376" s="40"/>
      <c r="AV376" s="40">
        <v>6.415</v>
      </c>
      <c r="AW376" s="40"/>
      <c r="AX376" s="40"/>
      <c r="AY376" s="40">
        <v>340.1</v>
      </c>
      <c r="AZ376" s="40"/>
      <c r="BA376" s="40"/>
      <c r="BB376" s="40"/>
      <c r="BC376" s="40"/>
      <c r="BD376" s="40"/>
      <c r="BE376" s="40"/>
      <c r="BF376" s="40"/>
      <c r="BG376" s="40"/>
      <c r="BH376" s="40"/>
      <c r="BI376" s="40"/>
      <c r="BJ376" s="40"/>
      <c r="BK376" s="40"/>
      <c r="BL376" s="62">
        <v>0</v>
      </c>
      <c r="BM376" s="275">
        <v>2</v>
      </c>
      <c r="BN376" s="62">
        <v>0</v>
      </c>
      <c r="BO376" s="33" t="s">
        <v>513</v>
      </c>
    </row>
    <row r="377" spans="1:67">
      <c r="A377" s="33" t="str">
        <f>Database_Productkaarten[[#This Row],[Product]]&amp;", "&amp;Database_Productkaarten[[#This Row],[Levensfase]]</f>
        <v>AC 22 basebin HS - PCR 1.0 - Gelderland, A3</v>
      </c>
      <c r="B377" s="33" t="s">
        <v>522</v>
      </c>
      <c r="C377" s="33" t="s">
        <v>483</v>
      </c>
      <c r="D377" s="33" t="s">
        <v>381</v>
      </c>
      <c r="E377" s="33" t="s">
        <v>378</v>
      </c>
      <c r="F377" s="33" t="s">
        <v>76</v>
      </c>
      <c r="L377" s="33">
        <v>2.37</v>
      </c>
      <c r="M377" s="269">
        <v>1</v>
      </c>
      <c r="N377" s="40">
        <v>1.6970000000000001</v>
      </c>
      <c r="O377" s="33">
        <v>45</v>
      </c>
      <c r="Q377" s="40"/>
      <c r="R377" s="40">
        <v>23.62</v>
      </c>
      <c r="S377" s="40"/>
      <c r="T377" s="40"/>
      <c r="U377" s="40"/>
      <c r="V377" s="40"/>
      <c r="W377" s="40"/>
      <c r="X377" s="40"/>
      <c r="Y377" s="40"/>
      <c r="Z377" s="40"/>
      <c r="AA377" s="40"/>
      <c r="AB377" s="40"/>
      <c r="AC377" s="40"/>
      <c r="AD377" s="40"/>
      <c r="AE377" s="40"/>
      <c r="AF377" s="40"/>
      <c r="AG377" s="40"/>
      <c r="AH377" s="40"/>
      <c r="AI377" s="40"/>
      <c r="AJ377" s="40"/>
      <c r="AK377" s="40"/>
      <c r="AL377" s="40"/>
      <c r="AM377" s="40"/>
      <c r="AN377" s="40"/>
      <c r="AO377" s="40"/>
      <c r="AP377" s="40"/>
      <c r="AQ377" s="40"/>
      <c r="AR377" s="40"/>
      <c r="AS377" s="40"/>
      <c r="AT377" s="40"/>
      <c r="AU377" s="40"/>
      <c r="AV377" s="40">
        <v>6.4740000000000002</v>
      </c>
      <c r="AW377" s="40"/>
      <c r="AX377" s="40"/>
      <c r="AY377" s="40">
        <v>412.2</v>
      </c>
      <c r="AZ377" s="40"/>
      <c r="BA377" s="40"/>
      <c r="BB377" s="40"/>
      <c r="BC377" s="40"/>
      <c r="BD377" s="40"/>
      <c r="BE377" s="40"/>
      <c r="BF377" s="40"/>
      <c r="BG377" s="40"/>
      <c r="BH377" s="40"/>
      <c r="BI377" s="40"/>
      <c r="BJ377" s="40"/>
      <c r="BK377" s="40"/>
      <c r="BL377" s="62">
        <v>0</v>
      </c>
      <c r="BM377" s="275">
        <v>2</v>
      </c>
      <c r="BN377" s="62">
        <v>0</v>
      </c>
      <c r="BO377" s="33" t="s">
        <v>513</v>
      </c>
    </row>
    <row r="378" spans="1:67">
      <c r="A378" s="33" t="str">
        <f>Database_Productkaarten[[#This Row],[Product]]&amp;", "&amp;Database_Productkaarten[[#This Row],[Levensfase]]</f>
        <v>AC 22 basebin HS - PCR 1.0 - Gelderland, A1-A3</v>
      </c>
      <c r="B378" s="33" t="s">
        <v>522</v>
      </c>
      <c r="C378" s="33" t="s">
        <v>483</v>
      </c>
      <c r="D378" s="33" t="s">
        <v>381</v>
      </c>
      <c r="E378" s="33" t="s">
        <v>378</v>
      </c>
      <c r="F378" s="33" t="s">
        <v>77</v>
      </c>
      <c r="L378" s="33">
        <v>2.37</v>
      </c>
      <c r="M378" s="269">
        <v>1</v>
      </c>
      <c r="N378" s="252">
        <v>12.17</v>
      </c>
      <c r="O378" s="33">
        <v>45</v>
      </c>
      <c r="Q378" s="40"/>
      <c r="R378" s="40">
        <v>101.8</v>
      </c>
      <c r="S378" s="40"/>
      <c r="T378" s="40"/>
      <c r="U378" s="40"/>
      <c r="V378" s="40"/>
      <c r="W378" s="40"/>
      <c r="X378" s="40"/>
      <c r="Y378" s="40"/>
      <c r="Z378" s="40"/>
      <c r="AA378" s="40"/>
      <c r="AB378" s="40"/>
      <c r="AC378" s="40"/>
      <c r="AD378" s="40"/>
      <c r="AE378" s="40"/>
      <c r="AF378" s="40"/>
      <c r="AG378" s="40"/>
      <c r="AH378" s="40"/>
      <c r="AI378" s="40"/>
      <c r="AJ378" s="40"/>
      <c r="AK378" s="40"/>
      <c r="AL378" s="40"/>
      <c r="AM378" s="40"/>
      <c r="AN378" s="40"/>
      <c r="AO378" s="40"/>
      <c r="AP378" s="40"/>
      <c r="AQ378" s="40"/>
      <c r="AR378" s="40"/>
      <c r="AS378" s="40"/>
      <c r="AT378" s="40"/>
      <c r="AU378" s="40"/>
      <c r="AV378" s="40">
        <v>45.45</v>
      </c>
      <c r="AW378" s="40"/>
      <c r="AX378" s="40"/>
      <c r="AY378" s="40">
        <v>3309</v>
      </c>
      <c r="AZ378" s="40"/>
      <c r="BA378" s="40"/>
      <c r="BB378" s="40"/>
      <c r="BC378" s="40"/>
      <c r="BD378" s="40"/>
      <c r="BE378" s="40"/>
      <c r="BF378" s="40"/>
      <c r="BG378" s="40"/>
      <c r="BH378" s="40"/>
      <c r="BI378" s="40"/>
      <c r="BJ378" s="40"/>
      <c r="BK378" s="40"/>
      <c r="BL378" s="62">
        <v>0</v>
      </c>
      <c r="BM378" s="275">
        <v>2</v>
      </c>
      <c r="BN378" s="62">
        <v>0</v>
      </c>
      <c r="BO378" s="33" t="s">
        <v>513</v>
      </c>
    </row>
    <row r="379" spans="1:67">
      <c r="A379" s="33" t="str">
        <f>Database_Productkaarten[[#This Row],[Product]]&amp;", "&amp;Database_Productkaarten[[#This Row],[Levensfase]]</f>
        <v>AC 22 basebin HS - PCR 1.0 - Gelderland, A4</v>
      </c>
      <c r="B379" s="33" t="s">
        <v>522</v>
      </c>
      <c r="C379" s="33" t="s">
        <v>483</v>
      </c>
      <c r="D379" s="33" t="s">
        <v>381</v>
      </c>
      <c r="E379" s="33" t="s">
        <v>378</v>
      </c>
      <c r="F379" s="33" t="s">
        <v>78</v>
      </c>
      <c r="L379" s="33">
        <v>2.37</v>
      </c>
      <c r="M379" s="269">
        <v>1</v>
      </c>
      <c r="N379" s="40">
        <v>0.62580000000000002</v>
      </c>
      <c r="O379" s="33">
        <v>45</v>
      </c>
      <c r="Q379" s="40"/>
      <c r="R379" s="40">
        <v>5.6740000000000004</v>
      </c>
      <c r="S379" s="40"/>
      <c r="T379" s="40"/>
      <c r="U379" s="40"/>
      <c r="V379" s="40"/>
      <c r="W379" s="40"/>
      <c r="X379" s="40"/>
      <c r="Y379" s="40"/>
      <c r="Z379" s="40"/>
      <c r="AA379" s="40"/>
      <c r="AB379" s="40"/>
      <c r="AC379" s="40"/>
      <c r="AD379" s="40"/>
      <c r="AE379" s="40"/>
      <c r="AF379" s="40"/>
      <c r="AG379" s="40"/>
      <c r="AH379" s="40"/>
      <c r="AI379" s="40"/>
      <c r="AJ379" s="40"/>
      <c r="AK379" s="40"/>
      <c r="AL379" s="40"/>
      <c r="AM379" s="40"/>
      <c r="AN379" s="40"/>
      <c r="AO379" s="40"/>
      <c r="AP379" s="40"/>
      <c r="AQ379" s="40"/>
      <c r="AR379" s="40"/>
      <c r="AS379" s="40"/>
      <c r="AT379" s="40"/>
      <c r="AU379" s="40"/>
      <c r="AV379" s="40">
        <v>1.536</v>
      </c>
      <c r="AW379" s="40"/>
      <c r="AX379" s="40"/>
      <c r="AY379" s="40">
        <v>98.15</v>
      </c>
      <c r="AZ379" s="40"/>
      <c r="BA379" s="40"/>
      <c r="BB379" s="40"/>
      <c r="BC379" s="40"/>
      <c r="BD379" s="40"/>
      <c r="BE379" s="40"/>
      <c r="BF379" s="40"/>
      <c r="BG379" s="40"/>
      <c r="BH379" s="40"/>
      <c r="BI379" s="40"/>
      <c r="BJ379" s="40"/>
      <c r="BK379" s="40"/>
      <c r="BL379" s="62">
        <v>0</v>
      </c>
      <c r="BM379" s="275">
        <v>2</v>
      </c>
      <c r="BN379" s="62">
        <v>0</v>
      </c>
      <c r="BO379" s="33" t="s">
        <v>513</v>
      </c>
    </row>
    <row r="380" spans="1:67">
      <c r="A380" s="33" t="str">
        <f>Database_Productkaarten[[#This Row],[Product]]&amp;", "&amp;Database_Productkaarten[[#This Row],[Levensfase]]</f>
        <v>AC 22 basebin HS - PCR 1.0 - Gelderland, A5</v>
      </c>
      <c r="B380" s="33" t="s">
        <v>522</v>
      </c>
      <c r="C380" s="33" t="s">
        <v>483</v>
      </c>
      <c r="D380" s="33" t="s">
        <v>381</v>
      </c>
      <c r="E380" s="33" t="s">
        <v>378</v>
      </c>
      <c r="F380" s="33" t="s">
        <v>79</v>
      </c>
      <c r="L380" s="33">
        <v>2.37</v>
      </c>
      <c r="M380" s="269">
        <v>1</v>
      </c>
      <c r="N380" s="40">
        <v>0.1426</v>
      </c>
      <c r="O380" s="33">
        <v>45</v>
      </c>
      <c r="Q380" s="40"/>
      <c r="R380" s="40">
        <v>1.409</v>
      </c>
      <c r="S380" s="40"/>
      <c r="T380" s="40"/>
      <c r="U380" s="40"/>
      <c r="V380" s="40"/>
      <c r="W380" s="40"/>
      <c r="X380" s="40"/>
      <c r="Y380" s="40"/>
      <c r="Z380" s="40"/>
      <c r="AA380" s="40"/>
      <c r="AB380" s="40"/>
      <c r="AC380" s="40"/>
      <c r="AD380" s="40"/>
      <c r="AE380" s="40"/>
      <c r="AF380" s="40"/>
      <c r="AG380" s="40"/>
      <c r="AH380" s="40"/>
      <c r="AI380" s="40"/>
      <c r="AJ380" s="40"/>
      <c r="AK380" s="40"/>
      <c r="AL380" s="40"/>
      <c r="AM380" s="40"/>
      <c r="AN380" s="40"/>
      <c r="AO380" s="40"/>
      <c r="AP380" s="40"/>
      <c r="AQ380" s="40"/>
      <c r="AR380" s="40"/>
      <c r="AS380" s="40"/>
      <c r="AT380" s="40"/>
      <c r="AU380" s="40"/>
      <c r="AV380" s="40">
        <v>9.0550000000000005E-2</v>
      </c>
      <c r="AW380" s="40"/>
      <c r="AX380" s="40"/>
      <c r="AY380" s="40">
        <v>16.350000000000001</v>
      </c>
      <c r="AZ380" s="40"/>
      <c r="BA380" s="40"/>
      <c r="BB380" s="40"/>
      <c r="BC380" s="40"/>
      <c r="BD380" s="40"/>
      <c r="BE380" s="40"/>
      <c r="BF380" s="40"/>
      <c r="BG380" s="40"/>
      <c r="BH380" s="40"/>
      <c r="BI380" s="40"/>
      <c r="BJ380" s="40"/>
      <c r="BK380" s="40"/>
      <c r="BL380" s="62">
        <v>0</v>
      </c>
      <c r="BM380" s="275">
        <v>2</v>
      </c>
      <c r="BN380" s="62">
        <v>0</v>
      </c>
      <c r="BO380" s="33" t="s">
        <v>513</v>
      </c>
    </row>
    <row r="381" spans="1:67">
      <c r="A381" s="33" t="str">
        <f>Database_Productkaarten[[#This Row],[Product]]&amp;", "&amp;Database_Productkaarten[[#This Row],[Levensfase]]</f>
        <v>AC 22 basebin HS - PCR 1.0 - Gelderland, B1</v>
      </c>
      <c r="B381" s="33" t="s">
        <v>522</v>
      </c>
      <c r="C381" s="33" t="s">
        <v>483</v>
      </c>
      <c r="D381" s="33" t="s">
        <v>381</v>
      </c>
      <c r="E381" s="33" t="s">
        <v>378</v>
      </c>
      <c r="F381" s="33" t="s">
        <v>80</v>
      </c>
      <c r="L381" s="33">
        <v>2.37</v>
      </c>
      <c r="M381" s="269">
        <v>1</v>
      </c>
      <c r="N381" s="40">
        <v>0</v>
      </c>
      <c r="O381" s="33">
        <v>45</v>
      </c>
      <c r="Q381" s="40"/>
      <c r="R381" s="40">
        <v>0</v>
      </c>
      <c r="S381" s="40"/>
      <c r="T381" s="40"/>
      <c r="U381" s="40"/>
      <c r="V381" s="40"/>
      <c r="W381" s="40"/>
      <c r="X381" s="40"/>
      <c r="Y381" s="40"/>
      <c r="Z381" s="40"/>
      <c r="AA381" s="40"/>
      <c r="AB381" s="40"/>
      <c r="AC381" s="40"/>
      <c r="AD381" s="40"/>
      <c r="AE381" s="40"/>
      <c r="AF381" s="40"/>
      <c r="AG381" s="40"/>
      <c r="AH381" s="40"/>
      <c r="AI381" s="40"/>
      <c r="AJ381" s="40"/>
      <c r="AK381" s="40"/>
      <c r="AL381" s="40"/>
      <c r="AM381" s="40"/>
      <c r="AN381" s="40"/>
      <c r="AO381" s="40"/>
      <c r="AP381" s="40"/>
      <c r="AQ381" s="40"/>
      <c r="AR381" s="40"/>
      <c r="AS381" s="40"/>
      <c r="AT381" s="40"/>
      <c r="AU381" s="40"/>
      <c r="AV381" s="40">
        <v>0</v>
      </c>
      <c r="AW381" s="40"/>
      <c r="AX381" s="40"/>
      <c r="AY381" s="40">
        <v>0</v>
      </c>
      <c r="AZ381" s="40"/>
      <c r="BA381" s="40"/>
      <c r="BB381" s="40"/>
      <c r="BC381" s="40"/>
      <c r="BD381" s="40"/>
      <c r="BE381" s="40"/>
      <c r="BF381" s="40"/>
      <c r="BG381" s="40"/>
      <c r="BH381" s="40"/>
      <c r="BI381" s="40"/>
      <c r="BJ381" s="40"/>
      <c r="BK381" s="40"/>
      <c r="BL381" s="62">
        <v>0</v>
      </c>
      <c r="BM381" s="275">
        <v>2</v>
      </c>
      <c r="BN381" s="62">
        <v>0</v>
      </c>
      <c r="BO381" s="33" t="s">
        <v>513</v>
      </c>
    </row>
    <row r="382" spans="1:67">
      <c r="A382" s="33" t="str">
        <f>Database_Productkaarten[[#This Row],[Product]]&amp;", "&amp;Database_Productkaarten[[#This Row],[Levensfase]]</f>
        <v>AC 22 basebin HS - PCR 1.0 - Gelderland, C1</v>
      </c>
      <c r="B382" s="33" t="s">
        <v>522</v>
      </c>
      <c r="C382" s="33" t="s">
        <v>483</v>
      </c>
      <c r="D382" s="33" t="s">
        <v>381</v>
      </c>
      <c r="E382" s="33" t="s">
        <v>378</v>
      </c>
      <c r="F382" s="33" t="s">
        <v>83</v>
      </c>
      <c r="L382" s="33">
        <v>2.37</v>
      </c>
      <c r="M382" s="269">
        <v>1</v>
      </c>
      <c r="N382" s="40">
        <v>0.31790000000000002</v>
      </c>
      <c r="O382" s="33">
        <v>45</v>
      </c>
      <c r="Q382" s="40"/>
      <c r="R382" s="40">
        <v>3.3889999999999998</v>
      </c>
      <c r="S382" s="40"/>
      <c r="T382" s="40"/>
      <c r="U382" s="40"/>
      <c r="V382" s="40"/>
      <c r="W382" s="40"/>
      <c r="X382" s="40"/>
      <c r="Y382" s="40"/>
      <c r="Z382" s="40"/>
      <c r="AA382" s="40"/>
      <c r="AB382" s="40"/>
      <c r="AC382" s="40"/>
      <c r="AD382" s="40"/>
      <c r="AE382" s="40"/>
      <c r="AF382" s="40"/>
      <c r="AG382" s="40"/>
      <c r="AH382" s="40"/>
      <c r="AI382" s="40"/>
      <c r="AJ382" s="40"/>
      <c r="AK382" s="40"/>
      <c r="AL382" s="40"/>
      <c r="AM382" s="40"/>
      <c r="AN382" s="40"/>
      <c r="AO382" s="40"/>
      <c r="AP382" s="40"/>
      <c r="AQ382" s="40"/>
      <c r="AR382" s="40"/>
      <c r="AS382" s="40"/>
      <c r="AT382" s="40"/>
      <c r="AU382" s="40"/>
      <c r="AV382" s="40">
        <v>0.21790000000000001</v>
      </c>
      <c r="AW382" s="40"/>
      <c r="AX382" s="40"/>
      <c r="AY382" s="40">
        <v>39.35</v>
      </c>
      <c r="AZ382" s="40"/>
      <c r="BA382" s="40"/>
      <c r="BB382" s="40"/>
      <c r="BC382" s="40"/>
      <c r="BD382" s="40"/>
      <c r="BE382" s="40"/>
      <c r="BF382" s="40"/>
      <c r="BG382" s="40"/>
      <c r="BH382" s="40"/>
      <c r="BI382" s="40"/>
      <c r="BJ382" s="40"/>
      <c r="BK382" s="40"/>
      <c r="BL382" s="62">
        <v>0</v>
      </c>
      <c r="BM382" s="275">
        <v>2</v>
      </c>
      <c r="BN382" s="62">
        <v>0</v>
      </c>
      <c r="BO382" s="33" t="s">
        <v>513</v>
      </c>
    </row>
    <row r="383" spans="1:67">
      <c r="A383" s="33" t="str">
        <f>Database_Productkaarten[[#This Row],[Product]]&amp;", "&amp;Database_Productkaarten[[#This Row],[Levensfase]]</f>
        <v>AC 22 basebin HS - PCR 1.0 - Gelderland, C2</v>
      </c>
      <c r="B383" s="33" t="s">
        <v>522</v>
      </c>
      <c r="C383" s="33" t="s">
        <v>483</v>
      </c>
      <c r="D383" s="33" t="s">
        <v>381</v>
      </c>
      <c r="E383" s="33" t="s">
        <v>378</v>
      </c>
      <c r="F383" s="33" t="s">
        <v>84</v>
      </c>
      <c r="L383" s="33">
        <v>2.37</v>
      </c>
      <c r="M383" s="269">
        <v>1</v>
      </c>
      <c r="N383" s="40">
        <v>0.62580000000000002</v>
      </c>
      <c r="O383" s="33">
        <v>45</v>
      </c>
      <c r="Q383" s="40"/>
      <c r="R383" s="40">
        <v>5.6740000000000004</v>
      </c>
      <c r="S383" s="40"/>
      <c r="T383" s="40"/>
      <c r="U383" s="40"/>
      <c r="V383" s="40"/>
      <c r="W383" s="40"/>
      <c r="X383" s="40"/>
      <c r="Y383" s="40"/>
      <c r="Z383" s="40"/>
      <c r="AA383" s="40"/>
      <c r="AB383" s="40"/>
      <c r="AC383" s="40"/>
      <c r="AD383" s="40"/>
      <c r="AE383" s="40"/>
      <c r="AF383" s="40"/>
      <c r="AG383" s="40"/>
      <c r="AH383" s="40"/>
      <c r="AI383" s="40"/>
      <c r="AJ383" s="40"/>
      <c r="AK383" s="40"/>
      <c r="AL383" s="40"/>
      <c r="AM383" s="40"/>
      <c r="AN383" s="40"/>
      <c r="AO383" s="40"/>
      <c r="AP383" s="40"/>
      <c r="AQ383" s="40"/>
      <c r="AR383" s="40"/>
      <c r="AS383" s="40"/>
      <c r="AT383" s="40"/>
      <c r="AU383" s="40"/>
      <c r="AV383" s="40">
        <v>1.536</v>
      </c>
      <c r="AW383" s="40"/>
      <c r="AX383" s="40"/>
      <c r="AY383" s="40">
        <v>98.15</v>
      </c>
      <c r="AZ383" s="40"/>
      <c r="BA383" s="40"/>
      <c r="BB383" s="40"/>
      <c r="BC383" s="40"/>
      <c r="BD383" s="40"/>
      <c r="BE383" s="40"/>
      <c r="BF383" s="40"/>
      <c r="BG383" s="40"/>
      <c r="BH383" s="40"/>
      <c r="BI383" s="40"/>
      <c r="BJ383" s="40"/>
      <c r="BK383" s="40"/>
      <c r="BL383" s="62">
        <v>0</v>
      </c>
      <c r="BM383" s="275">
        <v>2</v>
      </c>
      <c r="BN383" s="62">
        <v>0</v>
      </c>
      <c r="BO383" s="33" t="s">
        <v>513</v>
      </c>
    </row>
    <row r="384" spans="1:67">
      <c r="A384" s="33" t="str">
        <f>Database_Productkaarten[[#This Row],[Product]]&amp;", "&amp;Database_Productkaarten[[#This Row],[Levensfase]]</f>
        <v>AC 22 basebin HS - PCR 1.0 - Gelderland, C3</v>
      </c>
      <c r="B384" s="33" t="s">
        <v>522</v>
      </c>
      <c r="C384" s="33" t="s">
        <v>483</v>
      </c>
      <c r="D384" s="33" t="s">
        <v>381</v>
      </c>
      <c r="E384" s="33" t="s">
        <v>378</v>
      </c>
      <c r="F384" s="33" t="s">
        <v>85</v>
      </c>
      <c r="L384" s="33">
        <v>2.37</v>
      </c>
      <c r="M384" s="269">
        <v>1</v>
      </c>
      <c r="N384" s="40">
        <v>0.1603</v>
      </c>
      <c r="O384" s="33">
        <v>45</v>
      </c>
      <c r="Q384" s="40"/>
      <c r="R384" s="40">
        <v>1.629</v>
      </c>
      <c r="S384" s="40"/>
      <c r="T384" s="40"/>
      <c r="U384" s="40"/>
      <c r="V384" s="40"/>
      <c r="W384" s="40"/>
      <c r="X384" s="40"/>
      <c r="Y384" s="40"/>
      <c r="Z384" s="40"/>
      <c r="AA384" s="40"/>
      <c r="AB384" s="40"/>
      <c r="AC384" s="40"/>
      <c r="AD384" s="40"/>
      <c r="AE384" s="40"/>
      <c r="AF384" s="40"/>
      <c r="AG384" s="40"/>
      <c r="AH384" s="40"/>
      <c r="AI384" s="40"/>
      <c r="AJ384" s="40"/>
      <c r="AK384" s="40"/>
      <c r="AL384" s="40"/>
      <c r="AM384" s="40"/>
      <c r="AN384" s="40"/>
      <c r="AO384" s="40"/>
      <c r="AP384" s="40"/>
      <c r="AQ384" s="40"/>
      <c r="AR384" s="40"/>
      <c r="AS384" s="40"/>
      <c r="AT384" s="40"/>
      <c r="AU384" s="40"/>
      <c r="AV384" s="40">
        <v>0.1047</v>
      </c>
      <c r="AW384" s="40"/>
      <c r="AX384" s="40"/>
      <c r="AY384" s="40">
        <v>18.91</v>
      </c>
      <c r="AZ384" s="40"/>
      <c r="BA384" s="40"/>
      <c r="BB384" s="40"/>
      <c r="BC384" s="40"/>
      <c r="BD384" s="40"/>
      <c r="BE384" s="40"/>
      <c r="BF384" s="40"/>
      <c r="BG384" s="40"/>
      <c r="BH384" s="40"/>
      <c r="BI384" s="40"/>
      <c r="BJ384" s="40"/>
      <c r="BK384" s="40"/>
      <c r="BL384" s="62">
        <v>0</v>
      </c>
      <c r="BM384" s="275">
        <v>2</v>
      </c>
      <c r="BN384" s="62">
        <v>0</v>
      </c>
      <c r="BO384" s="33" t="s">
        <v>513</v>
      </c>
    </row>
    <row r="385" spans="1:67">
      <c r="A385" s="33" t="str">
        <f>Database_Productkaarten[[#This Row],[Product]]&amp;", "&amp;Database_Productkaarten[[#This Row],[Levensfase]]</f>
        <v>AC 22 basebin HS - PCR 1.0 - Gelderland, C4</v>
      </c>
      <c r="B385" s="33" t="s">
        <v>522</v>
      </c>
      <c r="C385" s="33" t="s">
        <v>483</v>
      </c>
      <c r="D385" s="33" t="s">
        <v>381</v>
      </c>
      <c r="E385" s="33" t="s">
        <v>378</v>
      </c>
      <c r="F385" s="33" t="s">
        <v>86</v>
      </c>
      <c r="L385" s="33">
        <v>2.37</v>
      </c>
      <c r="M385" s="269">
        <v>1</v>
      </c>
      <c r="N385" s="40">
        <v>0</v>
      </c>
      <c r="O385" s="33">
        <v>45</v>
      </c>
      <c r="Q385" s="40"/>
      <c r="R385" s="40">
        <v>0</v>
      </c>
      <c r="S385" s="40"/>
      <c r="T385" s="40"/>
      <c r="U385" s="40"/>
      <c r="V385" s="40"/>
      <c r="W385" s="40"/>
      <c r="X385" s="40"/>
      <c r="Y385" s="40"/>
      <c r="Z385" s="40"/>
      <c r="AA385" s="40"/>
      <c r="AB385" s="40"/>
      <c r="AC385" s="40"/>
      <c r="AD385" s="40"/>
      <c r="AE385" s="40"/>
      <c r="AF385" s="40"/>
      <c r="AG385" s="40"/>
      <c r="AH385" s="40"/>
      <c r="AI385" s="40"/>
      <c r="AJ385" s="40"/>
      <c r="AK385" s="40"/>
      <c r="AL385" s="40"/>
      <c r="AM385" s="40"/>
      <c r="AN385" s="40"/>
      <c r="AO385" s="40"/>
      <c r="AP385" s="40"/>
      <c r="AQ385" s="40"/>
      <c r="AR385" s="40"/>
      <c r="AS385" s="40"/>
      <c r="AT385" s="40"/>
      <c r="AU385" s="40"/>
      <c r="AV385" s="40">
        <v>0</v>
      </c>
      <c r="AW385" s="40"/>
      <c r="AX385" s="40"/>
      <c r="AY385" s="40">
        <v>0</v>
      </c>
      <c r="AZ385" s="40"/>
      <c r="BA385" s="40"/>
      <c r="BB385" s="40"/>
      <c r="BC385" s="40"/>
      <c r="BD385" s="40"/>
      <c r="BE385" s="40"/>
      <c r="BF385" s="40"/>
      <c r="BG385" s="40"/>
      <c r="BH385" s="40"/>
      <c r="BI385" s="40"/>
      <c r="BJ385" s="40"/>
      <c r="BK385" s="40"/>
      <c r="BL385" s="62">
        <v>0</v>
      </c>
      <c r="BM385" s="275">
        <v>2</v>
      </c>
      <c r="BN385" s="62">
        <v>0</v>
      </c>
      <c r="BO385" s="33" t="s">
        <v>513</v>
      </c>
    </row>
    <row r="386" spans="1:67">
      <c r="A386" s="33" t="str">
        <f>Database_Productkaarten[[#This Row],[Product]]&amp;", "&amp;Database_Productkaarten[[#This Row],[Levensfase]]</f>
        <v>AC 22 basebin HS - PCR 1.0 - Gelderland, D</v>
      </c>
      <c r="B386" s="33" t="s">
        <v>522</v>
      </c>
      <c r="C386" s="33" t="s">
        <v>483</v>
      </c>
      <c r="D386" s="33" t="s">
        <v>381</v>
      </c>
      <c r="E386" s="33" t="s">
        <v>378</v>
      </c>
      <c r="F386" s="33" t="s">
        <v>89</v>
      </c>
      <c r="L386" s="33">
        <v>2.37</v>
      </c>
      <c r="M386" s="269">
        <v>1</v>
      </c>
      <c r="N386" s="40">
        <v>-6.25</v>
      </c>
      <c r="O386" s="33">
        <v>45</v>
      </c>
      <c r="Q386" s="40"/>
      <c r="R386" s="40">
        <v>-44.82</v>
      </c>
      <c r="S386" s="40"/>
      <c r="T386" s="40"/>
      <c r="U386" s="40"/>
      <c r="V386" s="40"/>
      <c r="W386" s="40"/>
      <c r="X386" s="40"/>
      <c r="Y386" s="40"/>
      <c r="Z386" s="40"/>
      <c r="AA386" s="40"/>
      <c r="AB386" s="40"/>
      <c r="AC386" s="40"/>
      <c r="AD386" s="40"/>
      <c r="AE386" s="40"/>
      <c r="AF386" s="40"/>
      <c r="AG386" s="40"/>
      <c r="AH386" s="40"/>
      <c r="AI386" s="40"/>
      <c r="AJ386" s="40"/>
      <c r="AK386" s="40"/>
      <c r="AL386" s="40"/>
      <c r="AM386" s="40"/>
      <c r="AN386" s="40"/>
      <c r="AO386" s="40"/>
      <c r="AP386" s="40"/>
      <c r="AQ386" s="40"/>
      <c r="AR386" s="40"/>
      <c r="AS386" s="40"/>
      <c r="AT386" s="40"/>
      <c r="AU386" s="40"/>
      <c r="AV386" s="40">
        <v>-16.059999999999999</v>
      </c>
      <c r="AW386" s="40"/>
      <c r="AX386" s="40"/>
      <c r="AY386" s="40">
        <v>-1833</v>
      </c>
      <c r="AZ386" s="40"/>
      <c r="BA386" s="40"/>
      <c r="BB386" s="40"/>
      <c r="BC386" s="40"/>
      <c r="BD386" s="40"/>
      <c r="BE386" s="40"/>
      <c r="BF386" s="40"/>
      <c r="BG386" s="40"/>
      <c r="BH386" s="40"/>
      <c r="BI386" s="40"/>
      <c r="BJ386" s="40"/>
      <c r="BK386" s="40"/>
      <c r="BL386" s="62">
        <v>0</v>
      </c>
      <c r="BM386" s="275">
        <v>2</v>
      </c>
      <c r="BN386" s="62">
        <v>0</v>
      </c>
      <c r="BO386" s="33" t="s">
        <v>513</v>
      </c>
    </row>
    <row r="387" spans="1:67">
      <c r="A387" s="33" t="str">
        <f>Database_Productkaarten[[#This Row],[Product]]&amp;", "&amp;Database_Productkaarten[[#This Row],[Levensfase]]</f>
        <v>AC 16 basebin HS - PCR 1.0 - Gelderland, Totaal</v>
      </c>
      <c r="B387" s="33" t="s">
        <v>523</v>
      </c>
      <c r="C387" s="33" t="s">
        <v>483</v>
      </c>
      <c r="D387" s="33" t="s">
        <v>381</v>
      </c>
      <c r="E387" s="33" t="s">
        <v>378</v>
      </c>
      <c r="F387" s="33" t="s">
        <v>90</v>
      </c>
      <c r="L387" s="33">
        <v>2.37</v>
      </c>
      <c r="M387" s="269">
        <v>1</v>
      </c>
      <c r="N387" s="40">
        <v>7.3330000000000002</v>
      </c>
      <c r="O387" s="33">
        <v>45</v>
      </c>
      <c r="Q387" s="40"/>
      <c r="R387" s="40">
        <v>70.77</v>
      </c>
      <c r="S387" s="40"/>
      <c r="T387" s="40"/>
      <c r="U387" s="40"/>
      <c r="V387" s="40"/>
      <c r="W387" s="40"/>
      <c r="X387" s="40"/>
      <c r="Y387" s="40"/>
      <c r="Z387" s="40"/>
      <c r="AA387" s="40"/>
      <c r="AB387" s="40"/>
      <c r="AC387" s="40"/>
      <c r="AD387" s="40"/>
      <c r="AE387" s="40"/>
      <c r="AF387" s="40"/>
      <c r="AG387" s="40"/>
      <c r="AH387" s="40"/>
      <c r="AI387" s="40"/>
      <c r="AJ387" s="40"/>
      <c r="AK387" s="40"/>
      <c r="AL387" s="40"/>
      <c r="AM387" s="40"/>
      <c r="AN387" s="40"/>
      <c r="AO387" s="40"/>
      <c r="AP387" s="40"/>
      <c r="AQ387" s="40"/>
      <c r="AR387" s="40"/>
      <c r="AS387" s="40"/>
      <c r="AT387" s="40"/>
      <c r="AU387" s="40"/>
      <c r="AV387" s="40">
        <v>31.45</v>
      </c>
      <c r="AW387" s="40"/>
      <c r="AX387" s="40"/>
      <c r="AY387" s="40">
        <v>1686</v>
      </c>
      <c r="AZ387" s="40"/>
      <c r="BA387" s="40"/>
      <c r="BB387" s="40"/>
      <c r="BC387" s="40"/>
      <c r="BD387" s="40"/>
      <c r="BE387" s="40"/>
      <c r="BF387" s="40"/>
      <c r="BG387" s="40"/>
      <c r="BH387" s="40"/>
      <c r="BI387" s="40"/>
      <c r="BJ387" s="40"/>
      <c r="BK387" s="40"/>
      <c r="BL387" s="62">
        <v>0</v>
      </c>
      <c r="BM387" s="275">
        <v>2</v>
      </c>
      <c r="BN387" s="62">
        <v>0</v>
      </c>
      <c r="BO387" s="33" t="s">
        <v>513</v>
      </c>
    </row>
    <row r="388" spans="1:67">
      <c r="A388" s="33" t="str">
        <f>Database_Productkaarten[[#This Row],[Product]]&amp;", "&amp;Database_Productkaarten[[#This Row],[Levensfase]]</f>
        <v>AC 16 basebin HS - PCR 1.0 - Gelderland, A1</v>
      </c>
      <c r="B388" s="33" t="s">
        <v>523</v>
      </c>
      <c r="C388" s="33" t="s">
        <v>483</v>
      </c>
      <c r="D388" s="33" t="s">
        <v>381</v>
      </c>
      <c r="E388" s="33" t="s">
        <v>378</v>
      </c>
      <c r="F388" s="33" t="s">
        <v>74</v>
      </c>
      <c r="L388" s="33">
        <v>2.37</v>
      </c>
      <c r="M388" s="269">
        <v>1</v>
      </c>
      <c r="N388" s="40">
        <v>7.181</v>
      </c>
      <c r="O388" s="33">
        <v>45</v>
      </c>
      <c r="Q388" s="40"/>
      <c r="R388" s="40">
        <v>55.75</v>
      </c>
      <c r="S388" s="40"/>
      <c r="T388" s="40"/>
      <c r="U388" s="40"/>
      <c r="V388" s="40"/>
      <c r="W388" s="40"/>
      <c r="X388" s="40"/>
      <c r="Y388" s="40"/>
      <c r="Z388" s="40"/>
      <c r="AA388" s="40"/>
      <c r="AB388" s="40"/>
      <c r="AC388" s="40"/>
      <c r="AD388" s="40"/>
      <c r="AE388" s="40"/>
      <c r="AF388" s="40"/>
      <c r="AG388" s="40"/>
      <c r="AH388" s="40"/>
      <c r="AI388" s="40"/>
      <c r="AJ388" s="40"/>
      <c r="AK388" s="40"/>
      <c r="AL388" s="40"/>
      <c r="AM388" s="40"/>
      <c r="AN388" s="40"/>
      <c r="AO388" s="40"/>
      <c r="AP388" s="40"/>
      <c r="AQ388" s="40"/>
      <c r="AR388" s="40"/>
      <c r="AS388" s="40"/>
      <c r="AT388" s="40"/>
      <c r="AU388" s="40"/>
      <c r="AV388" s="40">
        <v>31.26</v>
      </c>
      <c r="AW388" s="40"/>
      <c r="AX388" s="40"/>
      <c r="AY388" s="40">
        <v>2561</v>
      </c>
      <c r="AZ388" s="40"/>
      <c r="BA388" s="40"/>
      <c r="BB388" s="40"/>
      <c r="BC388" s="40"/>
      <c r="BD388" s="40"/>
      <c r="BE388" s="40"/>
      <c r="BF388" s="40"/>
      <c r="BG388" s="40"/>
      <c r="BH388" s="40"/>
      <c r="BI388" s="40"/>
      <c r="BJ388" s="40"/>
      <c r="BK388" s="40"/>
      <c r="BL388" s="62">
        <v>0</v>
      </c>
      <c r="BM388" s="275">
        <v>2</v>
      </c>
      <c r="BN388" s="62">
        <v>0</v>
      </c>
      <c r="BO388" s="33" t="s">
        <v>513</v>
      </c>
    </row>
    <row r="389" spans="1:67">
      <c r="A389" s="33" t="str">
        <f>Database_Productkaarten[[#This Row],[Product]]&amp;", "&amp;Database_Productkaarten[[#This Row],[Levensfase]]</f>
        <v>AC 16 basebin HS - PCR 1.0 - Gelderland, A2</v>
      </c>
      <c r="B389" s="33" t="s">
        <v>523</v>
      </c>
      <c r="C389" s="33" t="s">
        <v>483</v>
      </c>
      <c r="D389" s="33" t="s">
        <v>381</v>
      </c>
      <c r="E389" s="33" t="s">
        <v>378</v>
      </c>
      <c r="F389" s="33" t="s">
        <v>75</v>
      </c>
      <c r="L389" s="33">
        <v>2.37</v>
      </c>
      <c r="M389" s="269">
        <v>1</v>
      </c>
      <c r="N389" s="40">
        <v>2.1539999999999999</v>
      </c>
      <c r="O389" s="33">
        <v>45</v>
      </c>
      <c r="Q389" s="40"/>
      <c r="R389" s="40">
        <v>14.1</v>
      </c>
      <c r="S389" s="40"/>
      <c r="T389" s="40"/>
      <c r="U389" s="40"/>
      <c r="V389" s="40"/>
      <c r="W389" s="40"/>
      <c r="X389" s="40"/>
      <c r="Y389" s="40"/>
      <c r="Z389" s="40"/>
      <c r="AA389" s="40"/>
      <c r="AB389" s="40"/>
      <c r="AC389" s="40"/>
      <c r="AD389" s="40"/>
      <c r="AE389" s="40"/>
      <c r="AF389" s="40"/>
      <c r="AG389" s="40"/>
      <c r="AH389" s="40"/>
      <c r="AI389" s="40"/>
      <c r="AJ389" s="40"/>
      <c r="AK389" s="40"/>
      <c r="AL389" s="40"/>
      <c r="AM389" s="40"/>
      <c r="AN389" s="40"/>
      <c r="AO389" s="40"/>
      <c r="AP389" s="40"/>
      <c r="AQ389" s="40"/>
      <c r="AR389" s="40"/>
      <c r="AS389" s="40"/>
      <c r="AT389" s="40"/>
      <c r="AU389" s="40"/>
      <c r="AV389" s="40">
        <v>3.7890000000000001</v>
      </c>
      <c r="AW389" s="40"/>
      <c r="AX389" s="40"/>
      <c r="AY389" s="40">
        <v>217.6</v>
      </c>
      <c r="AZ389" s="40"/>
      <c r="BA389" s="40"/>
      <c r="BB389" s="40"/>
      <c r="BC389" s="40"/>
      <c r="BD389" s="40"/>
      <c r="BE389" s="40"/>
      <c r="BF389" s="40"/>
      <c r="BG389" s="40"/>
      <c r="BH389" s="40"/>
      <c r="BI389" s="40"/>
      <c r="BJ389" s="40"/>
      <c r="BK389" s="40"/>
      <c r="BL389" s="62">
        <v>0</v>
      </c>
      <c r="BM389" s="275">
        <v>2</v>
      </c>
      <c r="BN389" s="62">
        <v>0</v>
      </c>
      <c r="BO389" s="33" t="s">
        <v>513</v>
      </c>
    </row>
    <row r="390" spans="1:67">
      <c r="A390" s="33" t="str">
        <f>Database_Productkaarten[[#This Row],[Product]]&amp;", "&amp;Database_Productkaarten[[#This Row],[Levensfase]]</f>
        <v>AC 16 basebin HS - PCR 1.0 - Gelderland, A3</v>
      </c>
      <c r="B390" s="33" t="s">
        <v>523</v>
      </c>
      <c r="C390" s="33" t="s">
        <v>483</v>
      </c>
      <c r="D390" s="33" t="s">
        <v>381</v>
      </c>
      <c r="E390" s="33" t="s">
        <v>378</v>
      </c>
      <c r="F390" s="33" t="s">
        <v>76</v>
      </c>
      <c r="L390" s="33">
        <v>2.37</v>
      </c>
      <c r="M390" s="269">
        <v>1</v>
      </c>
      <c r="N390" s="40">
        <v>1.6319999999999999</v>
      </c>
      <c r="O390" s="33">
        <v>45</v>
      </c>
      <c r="Q390" s="40"/>
      <c r="R390" s="40">
        <v>22.56</v>
      </c>
      <c r="S390" s="40"/>
      <c r="T390" s="40"/>
      <c r="U390" s="40"/>
      <c r="V390" s="40"/>
      <c r="W390" s="40"/>
      <c r="X390" s="40"/>
      <c r="Y390" s="40"/>
      <c r="Z390" s="40"/>
      <c r="AA390" s="40"/>
      <c r="AB390" s="40"/>
      <c r="AC390" s="40"/>
      <c r="AD390" s="40"/>
      <c r="AE390" s="40"/>
      <c r="AF390" s="40"/>
      <c r="AG390" s="40"/>
      <c r="AH390" s="40"/>
      <c r="AI390" s="40"/>
      <c r="AJ390" s="40"/>
      <c r="AK390" s="40"/>
      <c r="AL390" s="40"/>
      <c r="AM390" s="40"/>
      <c r="AN390" s="40"/>
      <c r="AO390" s="40"/>
      <c r="AP390" s="40"/>
      <c r="AQ390" s="40"/>
      <c r="AR390" s="40"/>
      <c r="AS390" s="40"/>
      <c r="AT390" s="40"/>
      <c r="AU390" s="40"/>
      <c r="AV390" s="40">
        <v>6.4169999999999998</v>
      </c>
      <c r="AW390" s="40"/>
      <c r="AX390" s="40"/>
      <c r="AY390" s="40">
        <v>393</v>
      </c>
      <c r="AZ390" s="40"/>
      <c r="BA390" s="40"/>
      <c r="BB390" s="40"/>
      <c r="BC390" s="40"/>
      <c r="BD390" s="40"/>
      <c r="BE390" s="40"/>
      <c r="BF390" s="40"/>
      <c r="BG390" s="40"/>
      <c r="BH390" s="40"/>
      <c r="BI390" s="40"/>
      <c r="BJ390" s="40"/>
      <c r="BK390" s="40"/>
      <c r="BL390" s="62">
        <v>0</v>
      </c>
      <c r="BM390" s="275">
        <v>2</v>
      </c>
      <c r="BN390" s="62">
        <v>0</v>
      </c>
      <c r="BO390" s="33" t="s">
        <v>513</v>
      </c>
    </row>
    <row r="391" spans="1:67">
      <c r="A391" s="33" t="str">
        <f>Database_Productkaarten[[#This Row],[Product]]&amp;", "&amp;Database_Productkaarten[[#This Row],[Levensfase]]</f>
        <v>AC 16 basebin HS - PCR 1.0 - Gelderland, A1-A3</v>
      </c>
      <c r="B391" s="33" t="s">
        <v>523</v>
      </c>
      <c r="C391" s="33" t="s">
        <v>483</v>
      </c>
      <c r="D391" s="33" t="s">
        <v>381</v>
      </c>
      <c r="E391" s="33" t="s">
        <v>378</v>
      </c>
      <c r="F391" s="33" t="s">
        <v>77</v>
      </c>
      <c r="L391" s="33">
        <v>2.37</v>
      </c>
      <c r="M391" s="269">
        <v>1</v>
      </c>
      <c r="N391" s="252">
        <v>10.97</v>
      </c>
      <c r="O391" s="33">
        <v>45</v>
      </c>
      <c r="Q391" s="40"/>
      <c r="R391" s="40">
        <v>92.41</v>
      </c>
      <c r="S391" s="40"/>
      <c r="T391" s="40"/>
      <c r="U391" s="40"/>
      <c r="V391" s="40"/>
      <c r="W391" s="40"/>
      <c r="X391" s="40"/>
      <c r="Y391" s="40"/>
      <c r="Z391" s="40"/>
      <c r="AA391" s="40"/>
      <c r="AB391" s="40"/>
      <c r="AC391" s="40"/>
      <c r="AD391" s="40"/>
      <c r="AE391" s="40"/>
      <c r="AF391" s="40"/>
      <c r="AG391" s="40"/>
      <c r="AH391" s="40"/>
      <c r="AI391" s="40"/>
      <c r="AJ391" s="40"/>
      <c r="AK391" s="40"/>
      <c r="AL391" s="40"/>
      <c r="AM391" s="40"/>
      <c r="AN391" s="40"/>
      <c r="AO391" s="40"/>
      <c r="AP391" s="40"/>
      <c r="AQ391" s="40"/>
      <c r="AR391" s="40"/>
      <c r="AS391" s="40"/>
      <c r="AT391" s="40"/>
      <c r="AU391" s="40"/>
      <c r="AV391" s="40">
        <v>41.46</v>
      </c>
      <c r="AW391" s="40"/>
      <c r="AX391" s="40"/>
      <c r="AY391" s="40">
        <v>3171</v>
      </c>
      <c r="AZ391" s="40"/>
      <c r="BA391" s="40"/>
      <c r="BB391" s="40"/>
      <c r="BC391" s="40"/>
      <c r="BD391" s="40"/>
      <c r="BE391" s="40"/>
      <c r="BF391" s="40"/>
      <c r="BG391" s="40"/>
      <c r="BH391" s="40"/>
      <c r="BI391" s="40"/>
      <c r="BJ391" s="40"/>
      <c r="BK391" s="40"/>
      <c r="BL391" s="62">
        <v>0</v>
      </c>
      <c r="BM391" s="275">
        <v>2</v>
      </c>
      <c r="BN391" s="62">
        <v>0</v>
      </c>
      <c r="BO391" s="33" t="s">
        <v>513</v>
      </c>
    </row>
    <row r="392" spans="1:67">
      <c r="A392" s="33" t="str">
        <f>Database_Productkaarten[[#This Row],[Product]]&amp;", "&amp;Database_Productkaarten[[#This Row],[Levensfase]]</f>
        <v>AC 16 basebin HS - PCR 1.0 - Gelderland, A4</v>
      </c>
      <c r="B392" s="33" t="s">
        <v>523</v>
      </c>
      <c r="C392" s="33" t="s">
        <v>483</v>
      </c>
      <c r="D392" s="33" t="s">
        <v>381</v>
      </c>
      <c r="E392" s="33" t="s">
        <v>378</v>
      </c>
      <c r="F392" s="33" t="s">
        <v>78</v>
      </c>
      <c r="L392" s="33">
        <v>2.37</v>
      </c>
      <c r="M392" s="269">
        <v>1</v>
      </c>
      <c r="N392" s="40">
        <v>0.62580000000000002</v>
      </c>
      <c r="O392" s="33">
        <v>45</v>
      </c>
      <c r="Q392" s="40"/>
      <c r="R392" s="40">
        <v>5.6740000000000004</v>
      </c>
      <c r="S392" s="40"/>
      <c r="T392" s="40"/>
      <c r="U392" s="40"/>
      <c r="V392" s="40"/>
      <c r="W392" s="40"/>
      <c r="X392" s="40"/>
      <c r="Y392" s="40"/>
      <c r="Z392" s="40"/>
      <c r="AA392" s="40"/>
      <c r="AB392" s="40"/>
      <c r="AC392" s="40"/>
      <c r="AD392" s="40"/>
      <c r="AE392" s="40"/>
      <c r="AF392" s="40"/>
      <c r="AG392" s="40"/>
      <c r="AH392" s="40"/>
      <c r="AI392" s="40"/>
      <c r="AJ392" s="40"/>
      <c r="AK392" s="40"/>
      <c r="AL392" s="40"/>
      <c r="AM392" s="40"/>
      <c r="AN392" s="40"/>
      <c r="AO392" s="40"/>
      <c r="AP392" s="40"/>
      <c r="AQ392" s="40"/>
      <c r="AR392" s="40"/>
      <c r="AS392" s="40"/>
      <c r="AT392" s="40"/>
      <c r="AU392" s="40"/>
      <c r="AV392" s="40">
        <v>1.536</v>
      </c>
      <c r="AW392" s="40"/>
      <c r="AX392" s="40"/>
      <c r="AY392" s="40">
        <v>98.15</v>
      </c>
      <c r="AZ392" s="40"/>
      <c r="BA392" s="40"/>
      <c r="BB392" s="40"/>
      <c r="BC392" s="40"/>
      <c r="BD392" s="40"/>
      <c r="BE392" s="40"/>
      <c r="BF392" s="40"/>
      <c r="BG392" s="40"/>
      <c r="BH392" s="40"/>
      <c r="BI392" s="40"/>
      <c r="BJ392" s="40"/>
      <c r="BK392" s="40"/>
      <c r="BL392" s="62">
        <v>0</v>
      </c>
      <c r="BM392" s="275">
        <v>2</v>
      </c>
      <c r="BN392" s="62">
        <v>0</v>
      </c>
      <c r="BO392" s="33" t="s">
        <v>513</v>
      </c>
    </row>
    <row r="393" spans="1:67">
      <c r="A393" s="33" t="str">
        <f>Database_Productkaarten[[#This Row],[Product]]&amp;", "&amp;Database_Productkaarten[[#This Row],[Levensfase]]</f>
        <v>AC 16 basebin HS - PCR 1.0 - Gelderland, A5</v>
      </c>
      <c r="B393" s="33" t="s">
        <v>523</v>
      </c>
      <c r="C393" s="33" t="s">
        <v>483</v>
      </c>
      <c r="D393" s="33" t="s">
        <v>381</v>
      </c>
      <c r="E393" s="33" t="s">
        <v>378</v>
      </c>
      <c r="F393" s="33" t="s">
        <v>79</v>
      </c>
      <c r="L393" s="33">
        <v>2.37</v>
      </c>
      <c r="M393" s="269">
        <v>1</v>
      </c>
      <c r="N393" s="40">
        <v>0.1426</v>
      </c>
      <c r="O393" s="33">
        <v>45</v>
      </c>
      <c r="Q393" s="40"/>
      <c r="R393" s="40">
        <v>1.409</v>
      </c>
      <c r="S393" s="40"/>
      <c r="T393" s="40"/>
      <c r="U393" s="40"/>
      <c r="V393" s="40"/>
      <c r="W393" s="40"/>
      <c r="X393" s="40"/>
      <c r="Y393" s="40"/>
      <c r="Z393" s="40"/>
      <c r="AA393" s="40"/>
      <c r="AB393" s="40"/>
      <c r="AC393" s="40"/>
      <c r="AD393" s="40"/>
      <c r="AE393" s="40"/>
      <c r="AF393" s="40"/>
      <c r="AG393" s="40"/>
      <c r="AH393" s="40"/>
      <c r="AI393" s="40"/>
      <c r="AJ393" s="40"/>
      <c r="AK393" s="40"/>
      <c r="AL393" s="40"/>
      <c r="AM393" s="40"/>
      <c r="AN393" s="40"/>
      <c r="AO393" s="40"/>
      <c r="AP393" s="40"/>
      <c r="AQ393" s="40"/>
      <c r="AR393" s="40"/>
      <c r="AS393" s="40"/>
      <c r="AT393" s="40"/>
      <c r="AU393" s="40"/>
      <c r="AV393" s="40">
        <v>9.0550000000000005E-2</v>
      </c>
      <c r="AW393" s="40"/>
      <c r="AX393" s="40"/>
      <c r="AY393" s="40">
        <v>16.350000000000001</v>
      </c>
      <c r="AZ393" s="40"/>
      <c r="BA393" s="40"/>
      <c r="BB393" s="40"/>
      <c r="BC393" s="40"/>
      <c r="BD393" s="40"/>
      <c r="BE393" s="40"/>
      <c r="BF393" s="40"/>
      <c r="BG393" s="40"/>
      <c r="BH393" s="40"/>
      <c r="BI393" s="40"/>
      <c r="BJ393" s="40"/>
      <c r="BK393" s="40"/>
      <c r="BL393" s="62">
        <v>0</v>
      </c>
      <c r="BM393" s="275">
        <v>2</v>
      </c>
      <c r="BN393" s="62">
        <v>0</v>
      </c>
      <c r="BO393" s="33" t="s">
        <v>513</v>
      </c>
    </row>
    <row r="394" spans="1:67">
      <c r="A394" s="33" t="str">
        <f>Database_Productkaarten[[#This Row],[Product]]&amp;", "&amp;Database_Productkaarten[[#This Row],[Levensfase]]</f>
        <v>AC 16 basebin HS - PCR 1.0 - Gelderland, B1</v>
      </c>
      <c r="B394" s="33" t="s">
        <v>523</v>
      </c>
      <c r="C394" s="33" t="s">
        <v>483</v>
      </c>
      <c r="D394" s="33" t="s">
        <v>381</v>
      </c>
      <c r="E394" s="33" t="s">
        <v>378</v>
      </c>
      <c r="F394" s="33" t="s">
        <v>80</v>
      </c>
      <c r="L394" s="33">
        <v>2.37</v>
      </c>
      <c r="M394" s="269">
        <v>1</v>
      </c>
      <c r="N394" s="40">
        <v>0</v>
      </c>
      <c r="O394" s="33">
        <v>45</v>
      </c>
      <c r="Q394" s="40"/>
      <c r="R394" s="40">
        <v>0</v>
      </c>
      <c r="S394" s="40"/>
      <c r="T394" s="40"/>
      <c r="U394" s="40"/>
      <c r="V394" s="40"/>
      <c r="W394" s="40"/>
      <c r="X394" s="40"/>
      <c r="Y394" s="40"/>
      <c r="Z394" s="40"/>
      <c r="AA394" s="40"/>
      <c r="AB394" s="40"/>
      <c r="AC394" s="40"/>
      <c r="AD394" s="40"/>
      <c r="AE394" s="40"/>
      <c r="AF394" s="40"/>
      <c r="AG394" s="40"/>
      <c r="AH394" s="40"/>
      <c r="AI394" s="40"/>
      <c r="AJ394" s="40"/>
      <c r="AK394" s="40"/>
      <c r="AL394" s="40"/>
      <c r="AM394" s="40"/>
      <c r="AN394" s="40"/>
      <c r="AO394" s="40"/>
      <c r="AP394" s="40"/>
      <c r="AQ394" s="40"/>
      <c r="AR394" s="40"/>
      <c r="AS394" s="40"/>
      <c r="AT394" s="40"/>
      <c r="AU394" s="40"/>
      <c r="AV394" s="40">
        <v>0</v>
      </c>
      <c r="AW394" s="40"/>
      <c r="AX394" s="40"/>
      <c r="AY394" s="40">
        <v>0</v>
      </c>
      <c r="AZ394" s="40"/>
      <c r="BA394" s="40"/>
      <c r="BB394" s="40"/>
      <c r="BC394" s="40"/>
      <c r="BD394" s="40"/>
      <c r="BE394" s="40"/>
      <c r="BF394" s="40"/>
      <c r="BG394" s="40"/>
      <c r="BH394" s="40"/>
      <c r="BI394" s="40"/>
      <c r="BJ394" s="40"/>
      <c r="BK394" s="40"/>
      <c r="BL394" s="62">
        <v>0</v>
      </c>
      <c r="BM394" s="275">
        <v>2</v>
      </c>
      <c r="BN394" s="62">
        <v>0</v>
      </c>
      <c r="BO394" s="33" t="s">
        <v>513</v>
      </c>
    </row>
    <row r="395" spans="1:67">
      <c r="A395" s="33" t="str">
        <f>Database_Productkaarten[[#This Row],[Product]]&amp;", "&amp;Database_Productkaarten[[#This Row],[Levensfase]]</f>
        <v>AC 16 basebin HS - PCR 1.0 - Gelderland, C1</v>
      </c>
      <c r="B395" s="33" t="s">
        <v>523</v>
      </c>
      <c r="C395" s="33" t="s">
        <v>483</v>
      </c>
      <c r="D395" s="33" t="s">
        <v>381</v>
      </c>
      <c r="E395" s="33" t="s">
        <v>378</v>
      </c>
      <c r="F395" s="33" t="s">
        <v>83</v>
      </c>
      <c r="L395" s="33">
        <v>2.37</v>
      </c>
      <c r="M395" s="269">
        <v>1</v>
      </c>
      <c r="N395" s="40">
        <v>0.31790000000000002</v>
      </c>
      <c r="O395" s="33">
        <v>45</v>
      </c>
      <c r="Q395" s="40"/>
      <c r="R395" s="40">
        <v>3.3889999999999998</v>
      </c>
      <c r="S395" s="40"/>
      <c r="T395" s="40"/>
      <c r="U395" s="40"/>
      <c r="V395" s="40"/>
      <c r="W395" s="40"/>
      <c r="X395" s="40"/>
      <c r="Y395" s="40"/>
      <c r="Z395" s="40"/>
      <c r="AA395" s="40"/>
      <c r="AB395" s="40"/>
      <c r="AC395" s="40"/>
      <c r="AD395" s="40"/>
      <c r="AE395" s="40"/>
      <c r="AF395" s="40"/>
      <c r="AG395" s="40"/>
      <c r="AH395" s="40"/>
      <c r="AI395" s="40"/>
      <c r="AJ395" s="40"/>
      <c r="AK395" s="40"/>
      <c r="AL395" s="40"/>
      <c r="AM395" s="40"/>
      <c r="AN395" s="40"/>
      <c r="AO395" s="40"/>
      <c r="AP395" s="40"/>
      <c r="AQ395" s="40"/>
      <c r="AR395" s="40"/>
      <c r="AS395" s="40"/>
      <c r="AT395" s="40"/>
      <c r="AU395" s="40"/>
      <c r="AV395" s="40">
        <v>0.21790000000000001</v>
      </c>
      <c r="AW395" s="40"/>
      <c r="AX395" s="40"/>
      <c r="AY395" s="40">
        <v>39.35</v>
      </c>
      <c r="AZ395" s="40"/>
      <c r="BA395" s="40"/>
      <c r="BB395" s="40"/>
      <c r="BC395" s="40"/>
      <c r="BD395" s="40"/>
      <c r="BE395" s="40"/>
      <c r="BF395" s="40"/>
      <c r="BG395" s="40"/>
      <c r="BH395" s="40"/>
      <c r="BI395" s="40"/>
      <c r="BJ395" s="40"/>
      <c r="BK395" s="40"/>
      <c r="BL395" s="62">
        <v>0</v>
      </c>
      <c r="BM395" s="275">
        <v>2</v>
      </c>
      <c r="BN395" s="62">
        <v>0</v>
      </c>
      <c r="BO395" s="33" t="s">
        <v>513</v>
      </c>
    </row>
    <row r="396" spans="1:67">
      <c r="A396" s="33" t="str">
        <f>Database_Productkaarten[[#This Row],[Product]]&amp;", "&amp;Database_Productkaarten[[#This Row],[Levensfase]]</f>
        <v>AC 16 basebin HS - PCR 1.0 - Gelderland, C2</v>
      </c>
      <c r="B396" s="33" t="s">
        <v>523</v>
      </c>
      <c r="C396" s="33" t="s">
        <v>483</v>
      </c>
      <c r="D396" s="33" t="s">
        <v>381</v>
      </c>
      <c r="E396" s="33" t="s">
        <v>378</v>
      </c>
      <c r="F396" s="33" t="s">
        <v>84</v>
      </c>
      <c r="L396" s="33">
        <v>2.37</v>
      </c>
      <c r="M396" s="269">
        <v>1</v>
      </c>
      <c r="N396" s="40">
        <v>0.62580000000000002</v>
      </c>
      <c r="O396" s="33">
        <v>45</v>
      </c>
      <c r="Q396" s="40"/>
      <c r="R396" s="40">
        <v>5.6740000000000004</v>
      </c>
      <c r="S396" s="40"/>
      <c r="T396" s="40"/>
      <c r="U396" s="40"/>
      <c r="V396" s="40"/>
      <c r="W396" s="40"/>
      <c r="X396" s="40"/>
      <c r="Y396" s="40"/>
      <c r="Z396" s="40"/>
      <c r="AA396" s="40"/>
      <c r="AB396" s="40"/>
      <c r="AC396" s="40"/>
      <c r="AD396" s="40"/>
      <c r="AE396" s="40"/>
      <c r="AF396" s="40"/>
      <c r="AG396" s="40"/>
      <c r="AH396" s="40"/>
      <c r="AI396" s="40"/>
      <c r="AJ396" s="40"/>
      <c r="AK396" s="40"/>
      <c r="AL396" s="40"/>
      <c r="AM396" s="40"/>
      <c r="AN396" s="40"/>
      <c r="AO396" s="40"/>
      <c r="AP396" s="40"/>
      <c r="AQ396" s="40"/>
      <c r="AR396" s="40"/>
      <c r="AS396" s="40"/>
      <c r="AT396" s="40"/>
      <c r="AU396" s="40"/>
      <c r="AV396" s="40">
        <v>1.536</v>
      </c>
      <c r="AW396" s="40"/>
      <c r="AX396" s="40"/>
      <c r="AY396" s="40">
        <v>98.15</v>
      </c>
      <c r="AZ396" s="40"/>
      <c r="BA396" s="40"/>
      <c r="BB396" s="40"/>
      <c r="BC396" s="40"/>
      <c r="BD396" s="40"/>
      <c r="BE396" s="40"/>
      <c r="BF396" s="40"/>
      <c r="BG396" s="40"/>
      <c r="BH396" s="40"/>
      <c r="BI396" s="40"/>
      <c r="BJ396" s="40"/>
      <c r="BK396" s="40"/>
      <c r="BL396" s="62">
        <v>0</v>
      </c>
      <c r="BM396" s="275">
        <v>2</v>
      </c>
      <c r="BN396" s="62">
        <v>0</v>
      </c>
      <c r="BO396" s="33" t="s">
        <v>513</v>
      </c>
    </row>
    <row r="397" spans="1:67">
      <c r="A397" s="33" t="str">
        <f>Database_Productkaarten[[#This Row],[Product]]&amp;", "&amp;Database_Productkaarten[[#This Row],[Levensfase]]</f>
        <v>AC 16 basebin HS - PCR 1.0 - Gelderland, C3</v>
      </c>
      <c r="B397" s="33" t="s">
        <v>523</v>
      </c>
      <c r="C397" s="33" t="s">
        <v>483</v>
      </c>
      <c r="D397" s="33" t="s">
        <v>381</v>
      </c>
      <c r="E397" s="33" t="s">
        <v>378</v>
      </c>
      <c r="F397" s="33" t="s">
        <v>85</v>
      </c>
      <c r="L397" s="33">
        <v>2.37</v>
      </c>
      <c r="M397" s="269">
        <v>1</v>
      </c>
      <c r="N397" s="40">
        <v>0.1603</v>
      </c>
      <c r="O397" s="33">
        <v>45</v>
      </c>
      <c r="Q397" s="40"/>
      <c r="R397" s="40">
        <v>1.629</v>
      </c>
      <c r="S397" s="40"/>
      <c r="T397" s="40"/>
      <c r="U397" s="40"/>
      <c r="V397" s="40"/>
      <c r="W397" s="40"/>
      <c r="X397" s="40"/>
      <c r="Y397" s="40"/>
      <c r="Z397" s="40"/>
      <c r="AA397" s="40"/>
      <c r="AB397" s="40"/>
      <c r="AC397" s="40"/>
      <c r="AD397" s="40"/>
      <c r="AE397" s="40"/>
      <c r="AF397" s="40"/>
      <c r="AG397" s="40"/>
      <c r="AH397" s="40"/>
      <c r="AI397" s="40"/>
      <c r="AJ397" s="40"/>
      <c r="AK397" s="40"/>
      <c r="AL397" s="40"/>
      <c r="AM397" s="40"/>
      <c r="AN397" s="40"/>
      <c r="AO397" s="40"/>
      <c r="AP397" s="40"/>
      <c r="AQ397" s="40"/>
      <c r="AR397" s="40"/>
      <c r="AS397" s="40"/>
      <c r="AT397" s="40"/>
      <c r="AU397" s="40"/>
      <c r="AV397" s="40">
        <v>0.1047</v>
      </c>
      <c r="AW397" s="40"/>
      <c r="AX397" s="40"/>
      <c r="AY397" s="40">
        <v>18.91</v>
      </c>
      <c r="AZ397" s="40"/>
      <c r="BA397" s="40"/>
      <c r="BB397" s="40"/>
      <c r="BC397" s="40"/>
      <c r="BD397" s="40"/>
      <c r="BE397" s="40"/>
      <c r="BF397" s="40"/>
      <c r="BG397" s="40"/>
      <c r="BH397" s="40"/>
      <c r="BI397" s="40"/>
      <c r="BJ397" s="40"/>
      <c r="BK397" s="40"/>
      <c r="BL397" s="62">
        <v>0</v>
      </c>
      <c r="BM397" s="275">
        <v>2</v>
      </c>
      <c r="BN397" s="62">
        <v>0</v>
      </c>
      <c r="BO397" s="33" t="s">
        <v>513</v>
      </c>
    </row>
    <row r="398" spans="1:67">
      <c r="A398" s="33" t="str">
        <f>Database_Productkaarten[[#This Row],[Product]]&amp;", "&amp;Database_Productkaarten[[#This Row],[Levensfase]]</f>
        <v>AC 16 basebin HS - PCR 1.0 - Gelderland, C4</v>
      </c>
      <c r="B398" s="33" t="s">
        <v>523</v>
      </c>
      <c r="C398" s="33" t="s">
        <v>483</v>
      </c>
      <c r="D398" s="33" t="s">
        <v>381</v>
      </c>
      <c r="E398" s="33" t="s">
        <v>378</v>
      </c>
      <c r="F398" s="33" t="s">
        <v>86</v>
      </c>
      <c r="L398" s="33">
        <v>2.37</v>
      </c>
      <c r="M398" s="269">
        <v>1</v>
      </c>
      <c r="N398" s="40">
        <v>0</v>
      </c>
      <c r="O398" s="33">
        <v>45</v>
      </c>
      <c r="Q398" s="40"/>
      <c r="R398" s="40">
        <v>0</v>
      </c>
      <c r="S398" s="40"/>
      <c r="T398" s="40"/>
      <c r="U398" s="40"/>
      <c r="V398" s="40"/>
      <c r="W398" s="40"/>
      <c r="X398" s="40"/>
      <c r="Y398" s="40"/>
      <c r="Z398" s="40"/>
      <c r="AA398" s="40"/>
      <c r="AB398" s="40"/>
      <c r="AC398" s="40"/>
      <c r="AD398" s="40"/>
      <c r="AE398" s="40"/>
      <c r="AF398" s="40"/>
      <c r="AG398" s="40"/>
      <c r="AH398" s="40"/>
      <c r="AI398" s="40"/>
      <c r="AJ398" s="40"/>
      <c r="AK398" s="40"/>
      <c r="AL398" s="40"/>
      <c r="AM398" s="40"/>
      <c r="AN398" s="40"/>
      <c r="AO398" s="40"/>
      <c r="AP398" s="40"/>
      <c r="AQ398" s="40"/>
      <c r="AR398" s="40"/>
      <c r="AS398" s="40"/>
      <c r="AT398" s="40"/>
      <c r="AU398" s="40"/>
      <c r="AV398" s="40">
        <v>0</v>
      </c>
      <c r="AW398" s="40"/>
      <c r="AX398" s="40"/>
      <c r="AY398" s="40">
        <v>0</v>
      </c>
      <c r="AZ398" s="40"/>
      <c r="BA398" s="40"/>
      <c r="BB398" s="40"/>
      <c r="BC398" s="40"/>
      <c r="BD398" s="40"/>
      <c r="BE398" s="40"/>
      <c r="BF398" s="40"/>
      <c r="BG398" s="40"/>
      <c r="BH398" s="40"/>
      <c r="BI398" s="40"/>
      <c r="BJ398" s="40"/>
      <c r="BK398" s="40"/>
      <c r="BL398" s="62">
        <v>0</v>
      </c>
      <c r="BM398" s="275">
        <v>2</v>
      </c>
      <c r="BN398" s="62">
        <v>0</v>
      </c>
      <c r="BO398" s="33" t="s">
        <v>513</v>
      </c>
    </row>
    <row r="399" spans="1:67">
      <c r="A399" s="33" t="str">
        <f>Database_Productkaarten[[#This Row],[Product]]&amp;", "&amp;Database_Productkaarten[[#This Row],[Levensfase]]</f>
        <v>AC 16 basebin HS - PCR 1.0 - Gelderland, D</v>
      </c>
      <c r="B399" s="33" t="s">
        <v>523</v>
      </c>
      <c r="C399" s="33" t="s">
        <v>483</v>
      </c>
      <c r="D399" s="33" t="s">
        <v>381</v>
      </c>
      <c r="E399" s="33" t="s">
        <v>378</v>
      </c>
      <c r="F399" s="33" t="s">
        <v>89</v>
      </c>
      <c r="L399" s="33">
        <v>2.37</v>
      </c>
      <c r="M399" s="269">
        <v>1</v>
      </c>
      <c r="N399" s="40">
        <v>-5.5069999999999997</v>
      </c>
      <c r="O399" s="33">
        <v>45</v>
      </c>
      <c r="Q399" s="40"/>
      <c r="R399" s="40">
        <v>-39.409999999999997</v>
      </c>
      <c r="S399" s="40"/>
      <c r="T399" s="40"/>
      <c r="U399" s="40"/>
      <c r="V399" s="40"/>
      <c r="W399" s="40"/>
      <c r="X399" s="40"/>
      <c r="Y399" s="40"/>
      <c r="Z399" s="40"/>
      <c r="AA399" s="40"/>
      <c r="AB399" s="40"/>
      <c r="AC399" s="40"/>
      <c r="AD399" s="40"/>
      <c r="AE399" s="40"/>
      <c r="AF399" s="40"/>
      <c r="AG399" s="40"/>
      <c r="AH399" s="40"/>
      <c r="AI399" s="40"/>
      <c r="AJ399" s="40"/>
      <c r="AK399" s="40"/>
      <c r="AL399" s="40"/>
      <c r="AM399" s="40"/>
      <c r="AN399" s="40"/>
      <c r="AO399" s="40"/>
      <c r="AP399" s="40"/>
      <c r="AQ399" s="40"/>
      <c r="AR399" s="40"/>
      <c r="AS399" s="40"/>
      <c r="AT399" s="40"/>
      <c r="AU399" s="40"/>
      <c r="AV399" s="40">
        <v>-13.5</v>
      </c>
      <c r="AW399" s="40"/>
      <c r="AX399" s="40"/>
      <c r="AY399" s="40">
        <v>-1756</v>
      </c>
      <c r="AZ399" s="40"/>
      <c r="BA399" s="40"/>
      <c r="BB399" s="40"/>
      <c r="BC399" s="40"/>
      <c r="BD399" s="40"/>
      <c r="BE399" s="40"/>
      <c r="BF399" s="40"/>
      <c r="BG399" s="40"/>
      <c r="BH399" s="40"/>
      <c r="BI399" s="40"/>
      <c r="BJ399" s="40"/>
      <c r="BK399" s="40"/>
      <c r="BL399" s="62">
        <v>0</v>
      </c>
      <c r="BM399" s="275">
        <v>2</v>
      </c>
      <c r="BN399" s="62">
        <v>0</v>
      </c>
      <c r="BO399" s="33" t="s">
        <v>513</v>
      </c>
    </row>
    <row r="400" spans="1:67">
      <c r="A400" s="33" t="str">
        <f>Database_Productkaarten[[#This Row],[Product]]&amp;", "&amp;Database_Productkaarten[[#This Row],[Levensfase]]</f>
        <v>AC 16 surf HS - PCR 1.0 - Gelderland, Totaal</v>
      </c>
      <c r="B400" s="33" t="s">
        <v>524</v>
      </c>
      <c r="C400" s="33" t="s">
        <v>483</v>
      </c>
      <c r="D400" s="33" t="s">
        <v>377</v>
      </c>
      <c r="E400" s="33" t="s">
        <v>378</v>
      </c>
      <c r="F400" s="33" t="s">
        <v>90</v>
      </c>
      <c r="L400" s="33">
        <v>2.35</v>
      </c>
      <c r="M400" s="269">
        <v>1</v>
      </c>
      <c r="N400" s="40">
        <v>9.69</v>
      </c>
      <c r="O400" s="33">
        <v>14</v>
      </c>
      <c r="P400" s="40"/>
      <c r="Q400" s="40"/>
      <c r="R400" s="40">
        <v>89.08</v>
      </c>
      <c r="S400" s="40"/>
      <c r="T400" s="40"/>
      <c r="U400" s="40"/>
      <c r="V400" s="40"/>
      <c r="W400" s="40"/>
      <c r="X400" s="40"/>
      <c r="Y400" s="40"/>
      <c r="Z400" s="40"/>
      <c r="AA400" s="40"/>
      <c r="AB400" s="40"/>
      <c r="AC400" s="40"/>
      <c r="AD400" s="40"/>
      <c r="AE400" s="40"/>
      <c r="AF400" s="40"/>
      <c r="AG400" s="40"/>
      <c r="AH400" s="40"/>
      <c r="AI400" s="40"/>
      <c r="AJ400" s="40"/>
      <c r="AK400" s="40"/>
      <c r="AL400" s="40"/>
      <c r="AM400" s="40"/>
      <c r="AN400" s="40"/>
      <c r="AO400" s="40"/>
      <c r="AP400" s="40"/>
      <c r="AQ400" s="40"/>
      <c r="AR400" s="40"/>
      <c r="AS400" s="40"/>
      <c r="AT400" s="40"/>
      <c r="AU400" s="40"/>
      <c r="AV400" s="40">
        <v>41.04</v>
      </c>
      <c r="AW400" s="40"/>
      <c r="AX400" s="40"/>
      <c r="AY400" s="40">
        <v>2515</v>
      </c>
      <c r="AZ400" s="40"/>
      <c r="BA400" s="40"/>
      <c r="BB400" s="40"/>
      <c r="BC400" s="40"/>
      <c r="BD400" s="40"/>
      <c r="BE400" s="40"/>
      <c r="BF400" s="40"/>
      <c r="BG400" s="40"/>
      <c r="BH400" s="40"/>
      <c r="BI400" s="40"/>
      <c r="BJ400" s="40"/>
      <c r="BK400" s="40"/>
      <c r="BL400" s="62">
        <v>0</v>
      </c>
      <c r="BM400" s="275">
        <v>2</v>
      </c>
      <c r="BN400" s="62">
        <v>0</v>
      </c>
      <c r="BO400" s="33" t="s">
        <v>513</v>
      </c>
    </row>
    <row r="401" spans="1:67">
      <c r="A401" s="33" t="str">
        <f>Database_Productkaarten[[#This Row],[Product]]&amp;", "&amp;Database_Productkaarten[[#This Row],[Levensfase]]</f>
        <v>AC 16 surf HS - PCR 1.0 - Gelderland, A1</v>
      </c>
      <c r="B401" s="33" t="s">
        <v>524</v>
      </c>
      <c r="C401" s="33" t="s">
        <v>483</v>
      </c>
      <c r="D401" s="33" t="s">
        <v>377</v>
      </c>
      <c r="E401" s="33" t="s">
        <v>378</v>
      </c>
      <c r="F401" s="33" t="s">
        <v>74</v>
      </c>
      <c r="L401" s="33">
        <v>2.35</v>
      </c>
      <c r="M401" s="269">
        <v>1</v>
      </c>
      <c r="N401" s="40">
        <v>8.9540000000000006</v>
      </c>
      <c r="O401" s="33">
        <v>14</v>
      </c>
      <c r="P401" s="40"/>
      <c r="Q401" s="40"/>
      <c r="R401" s="40">
        <v>69.94</v>
      </c>
      <c r="S401" s="40"/>
      <c r="T401" s="40"/>
      <c r="U401" s="40"/>
      <c r="V401" s="40"/>
      <c r="W401" s="40"/>
      <c r="X401" s="40"/>
      <c r="Y401" s="40"/>
      <c r="Z401" s="40"/>
      <c r="AA401" s="40"/>
      <c r="AB401" s="40"/>
      <c r="AC401" s="40"/>
      <c r="AD401" s="40"/>
      <c r="AE401" s="40"/>
      <c r="AF401" s="40"/>
      <c r="AG401" s="40"/>
      <c r="AH401" s="40"/>
      <c r="AI401" s="40"/>
      <c r="AJ401" s="40"/>
      <c r="AK401" s="40"/>
      <c r="AL401" s="40"/>
      <c r="AM401" s="40"/>
      <c r="AN401" s="40"/>
      <c r="AO401" s="40"/>
      <c r="AP401" s="40"/>
      <c r="AQ401" s="40"/>
      <c r="AR401" s="40"/>
      <c r="AS401" s="40"/>
      <c r="AT401" s="40"/>
      <c r="AU401" s="40"/>
      <c r="AV401" s="40">
        <v>39.619999999999997</v>
      </c>
      <c r="AW401" s="40"/>
      <c r="AX401" s="40"/>
      <c r="AY401" s="40">
        <v>3311</v>
      </c>
      <c r="AZ401" s="40"/>
      <c r="BA401" s="40"/>
      <c r="BB401" s="40"/>
      <c r="BC401" s="40"/>
      <c r="BD401" s="40"/>
      <c r="BE401" s="40"/>
      <c r="BF401" s="40"/>
      <c r="BG401" s="40"/>
      <c r="BH401" s="40"/>
      <c r="BI401" s="40"/>
      <c r="BJ401" s="40"/>
      <c r="BK401" s="40"/>
      <c r="BL401" s="62">
        <v>0</v>
      </c>
      <c r="BM401" s="275">
        <v>2</v>
      </c>
      <c r="BN401" s="62">
        <v>0</v>
      </c>
      <c r="BO401" s="33" t="s">
        <v>513</v>
      </c>
    </row>
    <row r="402" spans="1:67">
      <c r="A402" s="33" t="str">
        <f>Database_Productkaarten[[#This Row],[Product]]&amp;", "&amp;Database_Productkaarten[[#This Row],[Levensfase]]</f>
        <v>AC 16 surf HS - PCR 1.0 - Gelderland, A2</v>
      </c>
      <c r="B402" s="33" t="s">
        <v>524</v>
      </c>
      <c r="C402" s="33" t="s">
        <v>483</v>
      </c>
      <c r="D402" s="33" t="s">
        <v>377</v>
      </c>
      <c r="E402" s="33" t="s">
        <v>378</v>
      </c>
      <c r="F402" s="33" t="s">
        <v>75</v>
      </c>
      <c r="L402" s="33">
        <v>2.35</v>
      </c>
      <c r="M402" s="269">
        <v>1</v>
      </c>
      <c r="N402" s="40">
        <v>2.8370000000000002</v>
      </c>
      <c r="O402" s="33">
        <v>14</v>
      </c>
      <c r="P402" s="40"/>
      <c r="Q402" s="40"/>
      <c r="R402" s="40">
        <v>19.84</v>
      </c>
      <c r="S402" s="40"/>
      <c r="T402" s="40"/>
      <c r="U402" s="40"/>
      <c r="V402" s="40"/>
      <c r="W402" s="40"/>
      <c r="X402" s="40"/>
      <c r="Y402" s="40"/>
      <c r="Z402" s="40"/>
      <c r="AA402" s="40"/>
      <c r="AB402" s="40"/>
      <c r="AC402" s="40"/>
      <c r="AD402" s="40"/>
      <c r="AE402" s="40"/>
      <c r="AF402" s="40"/>
      <c r="AG402" s="40"/>
      <c r="AH402" s="40"/>
      <c r="AI402" s="40"/>
      <c r="AJ402" s="40"/>
      <c r="AK402" s="40"/>
      <c r="AL402" s="40"/>
      <c r="AM402" s="40"/>
      <c r="AN402" s="40"/>
      <c r="AO402" s="40"/>
      <c r="AP402" s="40"/>
      <c r="AQ402" s="40"/>
      <c r="AR402" s="40"/>
      <c r="AS402" s="40"/>
      <c r="AT402" s="40"/>
      <c r="AU402" s="40"/>
      <c r="AV402" s="40">
        <v>5.5149999999999997</v>
      </c>
      <c r="AW402" s="40"/>
      <c r="AX402" s="40"/>
      <c r="AY402" s="40">
        <v>299</v>
      </c>
      <c r="AZ402" s="40"/>
      <c r="BA402" s="40"/>
      <c r="BB402" s="40"/>
      <c r="BC402" s="40"/>
      <c r="BD402" s="40"/>
      <c r="BE402" s="40"/>
      <c r="BF402" s="40"/>
      <c r="BG402" s="40"/>
      <c r="BH402" s="40"/>
      <c r="BI402" s="40"/>
      <c r="BJ402" s="40"/>
      <c r="BK402" s="40"/>
      <c r="BL402" s="62">
        <v>0</v>
      </c>
      <c r="BM402" s="275">
        <v>2</v>
      </c>
      <c r="BN402" s="62">
        <v>0</v>
      </c>
      <c r="BO402" s="33" t="s">
        <v>513</v>
      </c>
    </row>
    <row r="403" spans="1:67">
      <c r="A403" s="33" t="str">
        <f>Database_Productkaarten[[#This Row],[Product]]&amp;", "&amp;Database_Productkaarten[[#This Row],[Levensfase]]</f>
        <v>AC 16 surf HS - PCR 1.0 - Gelderland, A3</v>
      </c>
      <c r="B403" s="33" t="s">
        <v>524</v>
      </c>
      <c r="C403" s="33" t="s">
        <v>483</v>
      </c>
      <c r="D403" s="33" t="s">
        <v>377</v>
      </c>
      <c r="E403" s="33" t="s">
        <v>378</v>
      </c>
      <c r="F403" s="33" t="s">
        <v>76</v>
      </c>
      <c r="L403" s="33">
        <v>2.35</v>
      </c>
      <c r="M403" s="269">
        <v>1</v>
      </c>
      <c r="N403" s="40">
        <v>1.7150000000000001</v>
      </c>
      <c r="O403" s="33">
        <v>14</v>
      </c>
      <c r="P403" s="40"/>
      <c r="Q403" s="40"/>
      <c r="R403" s="40">
        <v>23.78</v>
      </c>
      <c r="S403" s="40"/>
      <c r="T403" s="40"/>
      <c r="U403" s="40"/>
      <c r="V403" s="40"/>
      <c r="W403" s="40"/>
      <c r="X403" s="40"/>
      <c r="Y403" s="40"/>
      <c r="Z403" s="40"/>
      <c r="AA403" s="40"/>
      <c r="AB403" s="40"/>
      <c r="AC403" s="40"/>
      <c r="AD403" s="40"/>
      <c r="AE403" s="40"/>
      <c r="AF403" s="40"/>
      <c r="AG403" s="40"/>
      <c r="AH403" s="40"/>
      <c r="AI403" s="40"/>
      <c r="AJ403" s="40"/>
      <c r="AK403" s="40"/>
      <c r="AL403" s="40"/>
      <c r="AM403" s="40"/>
      <c r="AN403" s="40"/>
      <c r="AO403" s="40"/>
      <c r="AP403" s="40"/>
      <c r="AQ403" s="40"/>
      <c r="AR403" s="40"/>
      <c r="AS403" s="40"/>
      <c r="AT403" s="40"/>
      <c r="AU403" s="40"/>
      <c r="AV403" s="40">
        <v>7.2060000000000004</v>
      </c>
      <c r="AW403" s="40"/>
      <c r="AX403" s="40"/>
      <c r="AY403" s="40">
        <v>413.3</v>
      </c>
      <c r="AZ403" s="40"/>
      <c r="BA403" s="40"/>
      <c r="BB403" s="40"/>
      <c r="BC403" s="40"/>
      <c r="BD403" s="40"/>
      <c r="BE403" s="40"/>
      <c r="BF403" s="40"/>
      <c r="BG403" s="40"/>
      <c r="BH403" s="40"/>
      <c r="BI403" s="40"/>
      <c r="BJ403" s="40"/>
      <c r="BK403" s="40"/>
      <c r="BL403" s="62">
        <v>0</v>
      </c>
      <c r="BM403" s="275">
        <v>2</v>
      </c>
      <c r="BN403" s="62">
        <v>0</v>
      </c>
      <c r="BO403" s="33" t="s">
        <v>513</v>
      </c>
    </row>
    <row r="404" spans="1:67">
      <c r="A404" s="33" t="str">
        <f>Database_Productkaarten[[#This Row],[Product]]&amp;", "&amp;Database_Productkaarten[[#This Row],[Levensfase]]</f>
        <v>AC 16 surf HS - PCR 1.0 - Gelderland, A1-A3</v>
      </c>
      <c r="B404" s="33" t="s">
        <v>524</v>
      </c>
      <c r="C404" s="33" t="s">
        <v>483</v>
      </c>
      <c r="D404" s="33" t="s">
        <v>377</v>
      </c>
      <c r="E404" s="33" t="s">
        <v>378</v>
      </c>
      <c r="F404" s="33" t="s">
        <v>77</v>
      </c>
      <c r="L404" s="33">
        <v>2.35</v>
      </c>
      <c r="M404" s="269">
        <v>1</v>
      </c>
      <c r="N404" s="252">
        <v>13.51</v>
      </c>
      <c r="O404" s="33">
        <v>14</v>
      </c>
      <c r="P404" s="40"/>
      <c r="Q404" s="40"/>
      <c r="R404" s="40">
        <v>113.6</v>
      </c>
      <c r="S404" s="40"/>
      <c r="T404" s="40"/>
      <c r="U404" s="40"/>
      <c r="V404" s="40"/>
      <c r="W404" s="40"/>
      <c r="X404" s="40"/>
      <c r="Y404" s="40"/>
      <c r="Z404" s="40"/>
      <c r="AA404" s="40"/>
      <c r="AB404" s="40"/>
      <c r="AC404" s="40"/>
      <c r="AD404" s="40"/>
      <c r="AE404" s="40"/>
      <c r="AF404" s="40"/>
      <c r="AG404" s="40"/>
      <c r="AH404" s="40"/>
      <c r="AI404" s="40"/>
      <c r="AJ404" s="40"/>
      <c r="AK404" s="40"/>
      <c r="AL404" s="40"/>
      <c r="AM404" s="40"/>
      <c r="AN404" s="40"/>
      <c r="AO404" s="40"/>
      <c r="AP404" s="40"/>
      <c r="AQ404" s="40"/>
      <c r="AR404" s="40"/>
      <c r="AS404" s="40"/>
      <c r="AT404" s="40"/>
      <c r="AU404" s="40"/>
      <c r="AV404" s="40">
        <v>52.34</v>
      </c>
      <c r="AW404" s="40"/>
      <c r="AX404" s="40"/>
      <c r="AY404" s="40">
        <v>4024</v>
      </c>
      <c r="AZ404" s="40"/>
      <c r="BA404" s="40"/>
      <c r="BB404" s="40"/>
      <c r="BC404" s="40"/>
      <c r="BD404" s="40"/>
      <c r="BE404" s="40"/>
      <c r="BF404" s="40"/>
      <c r="BG404" s="40"/>
      <c r="BH404" s="40"/>
      <c r="BI404" s="40"/>
      <c r="BJ404" s="40"/>
      <c r="BK404" s="40"/>
      <c r="BL404" s="62">
        <v>0</v>
      </c>
      <c r="BM404" s="275">
        <v>2</v>
      </c>
      <c r="BN404" s="62">
        <v>0</v>
      </c>
      <c r="BO404" s="33" t="s">
        <v>513</v>
      </c>
    </row>
    <row r="405" spans="1:67">
      <c r="A405" s="33" t="str">
        <f>Database_Productkaarten[[#This Row],[Product]]&amp;", "&amp;Database_Productkaarten[[#This Row],[Levensfase]]</f>
        <v>AC 16 surf HS - PCR 1.0 - Gelderland, A4</v>
      </c>
      <c r="B405" s="33" t="s">
        <v>524</v>
      </c>
      <c r="C405" s="33" t="s">
        <v>483</v>
      </c>
      <c r="D405" s="33" t="s">
        <v>377</v>
      </c>
      <c r="E405" s="33" t="s">
        <v>378</v>
      </c>
      <c r="F405" s="33" t="s">
        <v>78</v>
      </c>
      <c r="L405" s="33">
        <v>2.35</v>
      </c>
      <c r="M405" s="269">
        <v>1</v>
      </c>
      <c r="N405" s="40">
        <v>0.62580000000000002</v>
      </c>
      <c r="O405" s="33">
        <v>14</v>
      </c>
      <c r="P405" s="40"/>
      <c r="Q405" s="40"/>
      <c r="R405" s="40">
        <v>5.6740000000000004</v>
      </c>
      <c r="S405" s="40"/>
      <c r="T405" s="40"/>
      <c r="U405" s="40"/>
      <c r="V405" s="40"/>
      <c r="W405" s="40"/>
      <c r="X405" s="40"/>
      <c r="Y405" s="40"/>
      <c r="Z405" s="40"/>
      <c r="AA405" s="40"/>
      <c r="AB405" s="40"/>
      <c r="AC405" s="40"/>
      <c r="AD405" s="40"/>
      <c r="AE405" s="40"/>
      <c r="AF405" s="40"/>
      <c r="AG405" s="40"/>
      <c r="AH405" s="40"/>
      <c r="AI405" s="40"/>
      <c r="AJ405" s="40"/>
      <c r="AK405" s="40"/>
      <c r="AL405" s="40"/>
      <c r="AM405" s="40"/>
      <c r="AN405" s="40"/>
      <c r="AO405" s="40"/>
      <c r="AP405" s="40"/>
      <c r="AQ405" s="40"/>
      <c r="AR405" s="40"/>
      <c r="AS405" s="40"/>
      <c r="AT405" s="40"/>
      <c r="AU405" s="40"/>
      <c r="AV405" s="40">
        <v>1.536</v>
      </c>
      <c r="AW405" s="40"/>
      <c r="AX405" s="40"/>
      <c r="AY405" s="40">
        <v>98.15</v>
      </c>
      <c r="AZ405" s="40"/>
      <c r="BA405" s="40"/>
      <c r="BB405" s="40"/>
      <c r="BC405" s="40"/>
      <c r="BD405" s="40"/>
      <c r="BE405" s="40"/>
      <c r="BF405" s="40"/>
      <c r="BG405" s="40"/>
      <c r="BH405" s="40"/>
      <c r="BI405" s="40"/>
      <c r="BJ405" s="40"/>
      <c r="BK405" s="40"/>
      <c r="BL405" s="62">
        <v>0</v>
      </c>
      <c r="BM405" s="275">
        <v>2</v>
      </c>
      <c r="BN405" s="62">
        <v>0</v>
      </c>
      <c r="BO405" s="33" t="s">
        <v>513</v>
      </c>
    </row>
    <row r="406" spans="1:67">
      <c r="A406" s="33" t="str">
        <f>Database_Productkaarten[[#This Row],[Product]]&amp;", "&amp;Database_Productkaarten[[#This Row],[Levensfase]]</f>
        <v>AC 16 surf HS - PCR 1.0 - Gelderland, A5</v>
      </c>
      <c r="B406" s="33" t="s">
        <v>524</v>
      </c>
      <c r="C406" s="33" t="s">
        <v>483</v>
      </c>
      <c r="D406" s="33" t="s">
        <v>377</v>
      </c>
      <c r="E406" s="33" t="s">
        <v>378</v>
      </c>
      <c r="F406" s="33" t="s">
        <v>79</v>
      </c>
      <c r="L406" s="33">
        <v>2.35</v>
      </c>
      <c r="M406" s="269">
        <v>1</v>
      </c>
      <c r="N406" s="40">
        <v>0.26129999999999998</v>
      </c>
      <c r="O406" s="33">
        <v>14</v>
      </c>
      <c r="P406" s="40"/>
      <c r="Q406" s="40"/>
      <c r="R406" s="40">
        <v>2.5529999999999999</v>
      </c>
      <c r="S406" s="40"/>
      <c r="T406" s="40"/>
      <c r="U406" s="40"/>
      <c r="V406" s="40"/>
      <c r="W406" s="40"/>
      <c r="X406" s="40"/>
      <c r="Y406" s="40"/>
      <c r="Z406" s="40"/>
      <c r="AA406" s="40"/>
      <c r="AB406" s="40"/>
      <c r="AC406" s="40"/>
      <c r="AD406" s="40"/>
      <c r="AE406" s="40"/>
      <c r="AF406" s="40"/>
      <c r="AG406" s="40"/>
      <c r="AH406" s="40"/>
      <c r="AI406" s="40"/>
      <c r="AJ406" s="40"/>
      <c r="AK406" s="40"/>
      <c r="AL406" s="40"/>
      <c r="AM406" s="40"/>
      <c r="AN406" s="40"/>
      <c r="AO406" s="40"/>
      <c r="AP406" s="40"/>
      <c r="AQ406" s="40"/>
      <c r="AR406" s="40"/>
      <c r="AS406" s="40"/>
      <c r="AT406" s="40"/>
      <c r="AU406" s="40"/>
      <c r="AV406" s="40">
        <v>0.1641</v>
      </c>
      <c r="AW406" s="40"/>
      <c r="AX406" s="40"/>
      <c r="AY406" s="40">
        <v>29.64</v>
      </c>
      <c r="AZ406" s="40"/>
      <c r="BA406" s="40"/>
      <c r="BB406" s="40"/>
      <c r="BC406" s="40"/>
      <c r="BD406" s="40"/>
      <c r="BE406" s="40"/>
      <c r="BF406" s="40"/>
      <c r="BG406" s="40"/>
      <c r="BH406" s="40"/>
      <c r="BI406" s="40"/>
      <c r="BJ406" s="40"/>
      <c r="BK406" s="40"/>
      <c r="BL406" s="62">
        <v>0</v>
      </c>
      <c r="BM406" s="275">
        <v>2</v>
      </c>
      <c r="BN406" s="62">
        <v>0</v>
      </c>
      <c r="BO406" s="33" t="s">
        <v>513</v>
      </c>
    </row>
    <row r="407" spans="1:67">
      <c r="A407" s="33" t="str">
        <f>Database_Productkaarten[[#This Row],[Product]]&amp;", "&amp;Database_Productkaarten[[#This Row],[Levensfase]]</f>
        <v>AC 16 surf HS - PCR 1.0 - Gelderland, B1</v>
      </c>
      <c r="B407" s="33" t="s">
        <v>524</v>
      </c>
      <c r="C407" s="33" t="s">
        <v>483</v>
      </c>
      <c r="D407" s="33" t="s">
        <v>377</v>
      </c>
      <c r="E407" s="33" t="s">
        <v>378</v>
      </c>
      <c r="F407" s="33" t="s">
        <v>80</v>
      </c>
      <c r="L407" s="33">
        <v>2.35</v>
      </c>
      <c r="M407" s="269">
        <v>1</v>
      </c>
      <c r="N407" s="40">
        <v>8.3169999999999994E-2</v>
      </c>
      <c r="O407" s="33">
        <v>14</v>
      </c>
      <c r="P407" s="40"/>
      <c r="Q407" s="40"/>
      <c r="R407" s="40">
        <v>0</v>
      </c>
      <c r="S407" s="40"/>
      <c r="T407" s="40"/>
      <c r="U407" s="40"/>
      <c r="V407" s="40"/>
      <c r="W407" s="40"/>
      <c r="X407" s="40"/>
      <c r="Y407" s="40"/>
      <c r="Z407" s="40"/>
      <c r="AA407" s="40"/>
      <c r="AB407" s="40"/>
      <c r="AC407" s="40"/>
      <c r="AD407" s="40"/>
      <c r="AE407" s="40"/>
      <c r="AF407" s="40"/>
      <c r="AG407" s="40"/>
      <c r="AH407" s="40"/>
      <c r="AI407" s="40"/>
      <c r="AJ407" s="40"/>
      <c r="AK407" s="40"/>
      <c r="AL407" s="40"/>
      <c r="AM407" s="40"/>
      <c r="AN407" s="40"/>
      <c r="AO407" s="40"/>
      <c r="AP407" s="40"/>
      <c r="AQ407" s="40"/>
      <c r="AR407" s="40"/>
      <c r="AS407" s="40"/>
      <c r="AT407" s="40"/>
      <c r="AU407" s="40"/>
      <c r="AV407" s="40">
        <v>0</v>
      </c>
      <c r="AW407" s="40"/>
      <c r="AX407" s="40"/>
      <c r="AY407" s="40">
        <v>0</v>
      </c>
      <c r="AZ407" s="40"/>
      <c r="BA407" s="40"/>
      <c r="BB407" s="40"/>
      <c r="BC407" s="40"/>
      <c r="BD407" s="40"/>
      <c r="BE407" s="40"/>
      <c r="BF407" s="40"/>
      <c r="BG407" s="40"/>
      <c r="BH407" s="40"/>
      <c r="BI407" s="40"/>
      <c r="BJ407" s="40"/>
      <c r="BK407" s="40"/>
      <c r="BL407" s="62">
        <v>0</v>
      </c>
      <c r="BM407" s="275">
        <v>2</v>
      </c>
      <c r="BN407" s="62">
        <v>0</v>
      </c>
      <c r="BO407" s="33" t="s">
        <v>513</v>
      </c>
    </row>
    <row r="408" spans="1:67">
      <c r="A408" s="33" t="str">
        <f>Database_Productkaarten[[#This Row],[Product]]&amp;", "&amp;Database_Productkaarten[[#This Row],[Levensfase]]</f>
        <v>AC 16 surf HS - PCR 1.0 - Gelderland, C1</v>
      </c>
      <c r="B408" s="33" t="s">
        <v>524</v>
      </c>
      <c r="C408" s="33" t="s">
        <v>483</v>
      </c>
      <c r="D408" s="33" t="s">
        <v>377</v>
      </c>
      <c r="E408" s="33" t="s">
        <v>378</v>
      </c>
      <c r="F408" s="33" t="s">
        <v>83</v>
      </c>
      <c r="L408" s="33">
        <v>2.35</v>
      </c>
      <c r="M408" s="269">
        <v>1</v>
      </c>
      <c r="N408" s="40">
        <v>0.1363</v>
      </c>
      <c r="O408" s="33">
        <v>14</v>
      </c>
      <c r="P408" s="40"/>
      <c r="Q408" s="40"/>
      <c r="R408" s="40">
        <v>1.4530000000000001</v>
      </c>
      <c r="S408" s="40"/>
      <c r="T408" s="40"/>
      <c r="U408" s="40"/>
      <c r="V408" s="40"/>
      <c r="W408" s="40"/>
      <c r="X408" s="40"/>
      <c r="Y408" s="40"/>
      <c r="Z408" s="40"/>
      <c r="AA408" s="40"/>
      <c r="AB408" s="40"/>
      <c r="AC408" s="40"/>
      <c r="AD408" s="40"/>
      <c r="AE408" s="40"/>
      <c r="AF408" s="40"/>
      <c r="AG408" s="40"/>
      <c r="AH408" s="40"/>
      <c r="AI408" s="40"/>
      <c r="AJ408" s="40"/>
      <c r="AK408" s="40"/>
      <c r="AL408" s="40"/>
      <c r="AM408" s="40"/>
      <c r="AN408" s="40"/>
      <c r="AO408" s="40"/>
      <c r="AP408" s="40"/>
      <c r="AQ408" s="40"/>
      <c r="AR408" s="40"/>
      <c r="AS408" s="40"/>
      <c r="AT408" s="40"/>
      <c r="AU408" s="40"/>
      <c r="AV408" s="40">
        <v>9.3380000000000005E-2</v>
      </c>
      <c r="AW408" s="40"/>
      <c r="AX408" s="40"/>
      <c r="AY408" s="40">
        <v>16.87</v>
      </c>
      <c r="AZ408" s="40"/>
      <c r="BA408" s="40"/>
      <c r="BB408" s="40"/>
      <c r="BC408" s="40"/>
      <c r="BD408" s="40"/>
      <c r="BE408" s="40"/>
      <c r="BF408" s="40"/>
      <c r="BG408" s="40"/>
      <c r="BH408" s="40"/>
      <c r="BI408" s="40"/>
      <c r="BJ408" s="40"/>
      <c r="BK408" s="40"/>
      <c r="BL408" s="62">
        <v>0</v>
      </c>
      <c r="BM408" s="275">
        <v>2</v>
      </c>
      <c r="BN408" s="62">
        <v>0</v>
      </c>
      <c r="BO408" s="33" t="s">
        <v>513</v>
      </c>
    </row>
    <row r="409" spans="1:67">
      <c r="A409" s="33" t="str">
        <f>Database_Productkaarten[[#This Row],[Product]]&amp;", "&amp;Database_Productkaarten[[#This Row],[Levensfase]]</f>
        <v>AC 16 surf HS - PCR 1.0 - Gelderland, C2</v>
      </c>
      <c r="B409" s="33" t="s">
        <v>524</v>
      </c>
      <c r="C409" s="33" t="s">
        <v>483</v>
      </c>
      <c r="D409" s="33" t="s">
        <v>377</v>
      </c>
      <c r="E409" s="33" t="s">
        <v>378</v>
      </c>
      <c r="F409" s="33" t="s">
        <v>84</v>
      </c>
      <c r="L409" s="33">
        <v>2.35</v>
      </c>
      <c r="M409" s="269">
        <v>1</v>
      </c>
      <c r="N409" s="40">
        <v>0.62580000000000002</v>
      </c>
      <c r="O409" s="33">
        <v>14</v>
      </c>
      <c r="P409" s="40"/>
      <c r="Q409" s="40"/>
      <c r="R409" s="40">
        <v>5.6740000000000004</v>
      </c>
      <c r="S409" s="40"/>
      <c r="T409" s="40"/>
      <c r="U409" s="40"/>
      <c r="V409" s="40"/>
      <c r="W409" s="40"/>
      <c r="X409" s="40"/>
      <c r="Y409" s="40"/>
      <c r="Z409" s="40"/>
      <c r="AA409" s="40"/>
      <c r="AB409" s="40"/>
      <c r="AC409" s="40"/>
      <c r="AD409" s="40"/>
      <c r="AE409" s="40"/>
      <c r="AF409" s="40"/>
      <c r="AG409" s="40"/>
      <c r="AH409" s="40"/>
      <c r="AI409" s="40"/>
      <c r="AJ409" s="40"/>
      <c r="AK409" s="40"/>
      <c r="AL409" s="40"/>
      <c r="AM409" s="40"/>
      <c r="AN409" s="40"/>
      <c r="AO409" s="40"/>
      <c r="AP409" s="40"/>
      <c r="AQ409" s="40"/>
      <c r="AR409" s="40"/>
      <c r="AS409" s="40"/>
      <c r="AT409" s="40"/>
      <c r="AU409" s="40"/>
      <c r="AV409" s="40">
        <v>1.536</v>
      </c>
      <c r="AW409" s="40"/>
      <c r="AX409" s="40"/>
      <c r="AY409" s="40">
        <v>98.15</v>
      </c>
      <c r="AZ409" s="40"/>
      <c r="BA409" s="40"/>
      <c r="BB409" s="40"/>
      <c r="BC409" s="40"/>
      <c r="BD409" s="40"/>
      <c r="BE409" s="40"/>
      <c r="BF409" s="40"/>
      <c r="BG409" s="40"/>
      <c r="BH409" s="40"/>
      <c r="BI409" s="40"/>
      <c r="BJ409" s="40"/>
      <c r="BK409" s="40"/>
      <c r="BL409" s="62">
        <v>0</v>
      </c>
      <c r="BM409" s="275">
        <v>2</v>
      </c>
      <c r="BN409" s="62">
        <v>0</v>
      </c>
      <c r="BO409" s="33" t="s">
        <v>513</v>
      </c>
    </row>
    <row r="410" spans="1:67">
      <c r="A410" s="33" t="str">
        <f>Database_Productkaarten[[#This Row],[Product]]&amp;", "&amp;Database_Productkaarten[[#This Row],[Levensfase]]</f>
        <v>AC 16 surf HS - PCR 1.0 - Gelderland, C3</v>
      </c>
      <c r="B410" s="33" t="s">
        <v>524</v>
      </c>
      <c r="C410" s="33" t="s">
        <v>483</v>
      </c>
      <c r="D410" s="33" t="s">
        <v>377</v>
      </c>
      <c r="E410" s="33" t="s">
        <v>378</v>
      </c>
      <c r="F410" s="33" t="s">
        <v>85</v>
      </c>
      <c r="L410" s="33">
        <v>2.35</v>
      </c>
      <c r="M410" s="269">
        <v>1</v>
      </c>
      <c r="N410" s="40">
        <v>0.1603</v>
      </c>
      <c r="O410" s="33">
        <v>14</v>
      </c>
      <c r="P410" s="40"/>
      <c r="Q410" s="40"/>
      <c r="R410" s="40">
        <v>1.629</v>
      </c>
      <c r="S410" s="40"/>
      <c r="T410" s="40"/>
      <c r="U410" s="40"/>
      <c r="V410" s="40"/>
      <c r="W410" s="40"/>
      <c r="X410" s="40"/>
      <c r="Y410" s="40"/>
      <c r="Z410" s="40"/>
      <c r="AA410" s="40"/>
      <c r="AB410" s="40"/>
      <c r="AC410" s="40"/>
      <c r="AD410" s="40"/>
      <c r="AE410" s="40"/>
      <c r="AF410" s="40"/>
      <c r="AG410" s="40"/>
      <c r="AH410" s="40"/>
      <c r="AI410" s="40"/>
      <c r="AJ410" s="40"/>
      <c r="AK410" s="40"/>
      <c r="AL410" s="40"/>
      <c r="AM410" s="40"/>
      <c r="AN410" s="40"/>
      <c r="AO410" s="40"/>
      <c r="AP410" s="40"/>
      <c r="AQ410" s="40"/>
      <c r="AR410" s="40"/>
      <c r="AS410" s="40"/>
      <c r="AT410" s="40"/>
      <c r="AU410" s="40"/>
      <c r="AV410" s="40">
        <v>0.1047</v>
      </c>
      <c r="AW410" s="40"/>
      <c r="AX410" s="40"/>
      <c r="AY410" s="40">
        <v>18.91</v>
      </c>
      <c r="AZ410" s="40"/>
      <c r="BA410" s="40"/>
      <c r="BB410" s="40"/>
      <c r="BC410" s="40"/>
      <c r="BD410" s="40"/>
      <c r="BE410" s="40"/>
      <c r="BF410" s="40"/>
      <c r="BG410" s="40"/>
      <c r="BH410" s="40"/>
      <c r="BI410" s="40"/>
      <c r="BJ410" s="40"/>
      <c r="BK410" s="40"/>
      <c r="BL410" s="62">
        <v>0</v>
      </c>
      <c r="BM410" s="275">
        <v>2</v>
      </c>
      <c r="BN410" s="62">
        <v>0</v>
      </c>
      <c r="BO410" s="33" t="s">
        <v>513</v>
      </c>
    </row>
    <row r="411" spans="1:67">
      <c r="A411" s="33" t="str">
        <f>Database_Productkaarten[[#This Row],[Product]]&amp;", "&amp;Database_Productkaarten[[#This Row],[Levensfase]]</f>
        <v>AC 16 surf HS - PCR 1.0 - Gelderland, C4</v>
      </c>
      <c r="B411" s="33" t="s">
        <v>524</v>
      </c>
      <c r="C411" s="33" t="s">
        <v>483</v>
      </c>
      <c r="D411" s="33" t="s">
        <v>377</v>
      </c>
      <c r="E411" s="33" t="s">
        <v>378</v>
      </c>
      <c r="F411" s="33" t="s">
        <v>86</v>
      </c>
      <c r="M411" s="269">
        <v>1</v>
      </c>
      <c r="N411" s="40">
        <v>0</v>
      </c>
      <c r="O411" s="33">
        <v>14</v>
      </c>
      <c r="P411" s="40"/>
      <c r="Q411" s="40"/>
      <c r="R411" s="40">
        <v>0</v>
      </c>
      <c r="S411" s="40"/>
      <c r="T411" s="40"/>
      <c r="U411" s="40"/>
      <c r="V411" s="40"/>
      <c r="W411" s="40"/>
      <c r="X411" s="40"/>
      <c r="Y411" s="40"/>
      <c r="Z411" s="40"/>
      <c r="AA411" s="40"/>
      <c r="AB411" s="40"/>
      <c r="AC411" s="40"/>
      <c r="AD411" s="40"/>
      <c r="AE411" s="40"/>
      <c r="AF411" s="40"/>
      <c r="AG411" s="40"/>
      <c r="AH411" s="40"/>
      <c r="AI411" s="40"/>
      <c r="AJ411" s="40"/>
      <c r="AK411" s="40"/>
      <c r="AL411" s="40"/>
      <c r="AM411" s="40"/>
      <c r="AN411" s="40"/>
      <c r="AO411" s="40"/>
      <c r="AP411" s="40"/>
      <c r="AQ411" s="40"/>
      <c r="AR411" s="40"/>
      <c r="AS411" s="40"/>
      <c r="AT411" s="40"/>
      <c r="AU411" s="40"/>
      <c r="AV411" s="40">
        <v>0</v>
      </c>
      <c r="AW411" s="40"/>
      <c r="AX411" s="40"/>
      <c r="AY411" s="40">
        <v>0</v>
      </c>
      <c r="AZ411" s="40"/>
      <c r="BA411" s="40"/>
      <c r="BB411" s="40"/>
      <c r="BC411" s="40"/>
      <c r="BD411" s="40"/>
      <c r="BE411" s="40"/>
      <c r="BF411" s="40"/>
      <c r="BG411" s="40"/>
      <c r="BH411" s="40"/>
      <c r="BI411" s="40"/>
      <c r="BJ411" s="40"/>
      <c r="BK411" s="40"/>
      <c r="BL411" s="62">
        <v>0</v>
      </c>
      <c r="BM411" s="275">
        <v>2</v>
      </c>
      <c r="BN411" s="62">
        <v>0</v>
      </c>
      <c r="BO411" s="33" t="s">
        <v>513</v>
      </c>
    </row>
    <row r="412" spans="1:67">
      <c r="A412" s="33" t="str">
        <f>Database_Productkaarten[[#This Row],[Product]]&amp;", "&amp;Database_Productkaarten[[#This Row],[Levensfase]]</f>
        <v>AC 16 surf HS - PCR 1.0 - Gelderland, D</v>
      </c>
      <c r="B412" s="33" t="s">
        <v>524</v>
      </c>
      <c r="C412" s="33" t="s">
        <v>483</v>
      </c>
      <c r="D412" s="33" t="s">
        <v>377</v>
      </c>
      <c r="E412" s="33" t="s">
        <v>378</v>
      </c>
      <c r="F412" s="33" t="s">
        <v>89</v>
      </c>
      <c r="L412" s="33">
        <v>2.35</v>
      </c>
      <c r="M412" s="269">
        <v>1</v>
      </c>
      <c r="N412" s="40">
        <v>-5.7080000000000002</v>
      </c>
      <c r="O412" s="33">
        <v>14</v>
      </c>
      <c r="P412" s="40"/>
      <c r="Q412" s="40"/>
      <c r="R412" s="40">
        <v>-41.46</v>
      </c>
      <c r="S412" s="40"/>
      <c r="T412" s="40"/>
      <c r="U412" s="40"/>
      <c r="V412" s="40"/>
      <c r="W412" s="40"/>
      <c r="X412" s="40"/>
      <c r="Y412" s="40"/>
      <c r="Z412" s="40"/>
      <c r="AA412" s="40"/>
      <c r="AB412" s="40"/>
      <c r="AC412" s="40"/>
      <c r="AD412" s="40"/>
      <c r="AE412" s="40"/>
      <c r="AF412" s="40"/>
      <c r="AG412" s="40"/>
      <c r="AH412" s="40"/>
      <c r="AI412" s="40"/>
      <c r="AJ412" s="40"/>
      <c r="AK412" s="40"/>
      <c r="AL412" s="40"/>
      <c r="AM412" s="40"/>
      <c r="AN412" s="40"/>
      <c r="AO412" s="40"/>
      <c r="AP412" s="40"/>
      <c r="AQ412" s="40"/>
      <c r="AR412" s="40"/>
      <c r="AS412" s="40"/>
      <c r="AT412" s="40"/>
      <c r="AU412" s="40"/>
      <c r="AV412" s="40">
        <v>-14.73</v>
      </c>
      <c r="AW412" s="40"/>
      <c r="AX412" s="40"/>
      <c r="AY412" s="40">
        <v>-1770</v>
      </c>
      <c r="AZ412" s="40"/>
      <c r="BA412" s="40"/>
      <c r="BB412" s="40"/>
      <c r="BC412" s="40"/>
      <c r="BD412" s="40"/>
      <c r="BE412" s="40"/>
      <c r="BF412" s="40"/>
      <c r="BG412" s="40"/>
      <c r="BH412" s="40"/>
      <c r="BI412" s="40"/>
      <c r="BJ412" s="40"/>
      <c r="BK412" s="40"/>
      <c r="BL412" s="62">
        <v>0</v>
      </c>
      <c r="BM412" s="275">
        <v>2</v>
      </c>
      <c r="BN412" s="62">
        <v>0</v>
      </c>
      <c r="BO412" s="33" t="s">
        <v>513</v>
      </c>
    </row>
    <row r="413" spans="1:67">
      <c r="A413" s="33" t="str">
        <f>Database_Productkaarten[[#This Row],[Product]]&amp;", "&amp;Database_Productkaarten[[#This Row],[Levensfase]]</f>
        <v>AC Surf 0% PR - PCR 2.0, Totaal</v>
      </c>
      <c r="B413" s="33" t="s">
        <v>525</v>
      </c>
      <c r="C413" s="33" t="s">
        <v>483</v>
      </c>
      <c r="D413" s="33" t="s">
        <v>377</v>
      </c>
      <c r="E413" s="33" t="s">
        <v>378</v>
      </c>
      <c r="F413" s="33" t="s">
        <v>90</v>
      </c>
      <c r="L413" s="33">
        <v>2.35</v>
      </c>
      <c r="M413" s="269">
        <v>1</v>
      </c>
      <c r="N413" s="212">
        <f>SUM(N414:N429)</f>
        <v>22.836071843572249</v>
      </c>
      <c r="O413" s="33">
        <v>14</v>
      </c>
      <c r="P413" s="40">
        <f>SUM(P414:P429)</f>
        <v>1.9607907350576606E-3</v>
      </c>
      <c r="Q413" s="40">
        <f>SUM(Q414:Q429)</f>
        <v>2.9148224765878226</v>
      </c>
      <c r="R413" s="40">
        <f>SUM(R414:R429)</f>
        <v>208.9715468556906</v>
      </c>
      <c r="S413" s="40">
        <f t="shared" ref="S413:BK413" si="45">SUM(S414:S433)</f>
        <v>5.2247503196164291E-5</v>
      </c>
      <c r="T413" s="40">
        <f t="shared" si="45"/>
        <v>0.61291868088760315</v>
      </c>
      <c r="U413" s="40">
        <f t="shared" si="45"/>
        <v>2.316829999489403</v>
      </c>
      <c r="V413" s="40">
        <f t="shared" si="45"/>
        <v>0.31724436759042801</v>
      </c>
      <c r="W413" s="40">
        <f t="shared" si="45"/>
        <v>106.1969954786738</v>
      </c>
      <c r="X413" s="40">
        <f t="shared" si="45"/>
        <v>9.4436943913645059</v>
      </c>
      <c r="Y413" s="40">
        <f t="shared" si="45"/>
        <v>37836.130942038784</v>
      </c>
      <c r="Z413" s="40">
        <f t="shared" si="45"/>
        <v>1.2748413052321075</v>
      </c>
      <c r="AA413" s="40">
        <f t="shared" si="45"/>
        <v>539.01111301289006</v>
      </c>
      <c r="AB413" s="40">
        <f t="shared" si="45"/>
        <v>537.61777010446997</v>
      </c>
      <c r="AC413" s="40">
        <f t="shared" si="45"/>
        <v>1.1839682786722816</v>
      </c>
      <c r="AD413" s="40">
        <f t="shared" si="45"/>
        <v>0.3688865964473767</v>
      </c>
      <c r="AE413" s="40">
        <f t="shared" si="45"/>
        <v>6.674581467662496E-5</v>
      </c>
      <c r="AF413" s="40">
        <f t="shared" si="45"/>
        <v>3.2350977897377642</v>
      </c>
      <c r="AG413" s="40">
        <f t="shared" si="45"/>
        <v>6.485270771799668E-3</v>
      </c>
      <c r="AH413" s="40">
        <f t="shared" si="45"/>
        <v>0.79707751954955097</v>
      </c>
      <c r="AI413" s="40">
        <f t="shared" si="45"/>
        <v>8.4290441147287805</v>
      </c>
      <c r="AJ413" s="40">
        <f t="shared" si="45"/>
        <v>3.4392533612803451</v>
      </c>
      <c r="AK413" s="40">
        <f t="shared" si="45"/>
        <v>4.3785360264628377E-3</v>
      </c>
      <c r="AL413" s="40">
        <f t="shared" si="45"/>
        <v>16635.481062058345</v>
      </c>
      <c r="AM413" s="40">
        <f t="shared" si="45"/>
        <v>205.26902339246945</v>
      </c>
      <c r="AN413" s="40">
        <f t="shared" si="45"/>
        <v>1.2989970628689204E-5</v>
      </c>
      <c r="AO413" s="40">
        <f t="shared" si="45"/>
        <v>16.838998204167673</v>
      </c>
      <c r="AP413" s="40">
        <f t="shared" si="45"/>
        <v>15730.513660472338</v>
      </c>
      <c r="AQ413" s="40">
        <f t="shared" si="45"/>
        <v>1.5149677376645591E-7</v>
      </c>
      <c r="AR413" s="40">
        <f t="shared" si="45"/>
        <v>5.1143955773170148E-6</v>
      </c>
      <c r="AS413" s="40">
        <f t="shared" si="45"/>
        <v>778.17936683701248</v>
      </c>
      <c r="AT413" s="40">
        <f t="shared" si="45"/>
        <v>16.131650424</v>
      </c>
      <c r="AU413" s="40">
        <f t="shared" si="45"/>
        <v>0</v>
      </c>
      <c r="AV413" s="313">
        <f t="shared" si="45"/>
        <v>168.05649763621449</v>
      </c>
      <c r="AW413" s="317">
        <f t="shared" si="45"/>
        <v>1.413350235</v>
      </c>
      <c r="AX413" s="317">
        <f t="shared" si="45"/>
        <v>1.9853659800000002E-3</v>
      </c>
      <c r="AY413" s="313">
        <f t="shared" si="45"/>
        <v>15126.089581963772</v>
      </c>
      <c r="AZ413" s="40">
        <f t="shared" si="45"/>
        <v>882</v>
      </c>
      <c r="BA413" s="40">
        <f t="shared" si="45"/>
        <v>0</v>
      </c>
      <c r="BB413" s="40">
        <f t="shared" si="45"/>
        <v>0</v>
      </c>
      <c r="BC413" s="40">
        <f t="shared" si="45"/>
        <v>-24.260650177997171</v>
      </c>
      <c r="BD413" s="40">
        <f t="shared" si="45"/>
        <v>1.1268846686590893E-2</v>
      </c>
      <c r="BE413" s="40">
        <f t="shared" si="45"/>
        <v>61.342839674934829</v>
      </c>
      <c r="BF413" s="40">
        <f t="shared" si="45"/>
        <v>1.8702218267395303E-2</v>
      </c>
      <c r="BG413" s="40">
        <f t="shared" si="45"/>
        <v>0</v>
      </c>
      <c r="BH413" s="40">
        <f t="shared" si="45"/>
        <v>2000</v>
      </c>
      <c r="BI413" s="40">
        <f t="shared" si="45"/>
        <v>0</v>
      </c>
      <c r="BJ413" s="40">
        <f t="shared" si="45"/>
        <v>0</v>
      </c>
      <c r="BK413" s="40">
        <f t="shared" si="45"/>
        <v>0</v>
      </c>
      <c r="BL413" s="62">
        <v>0</v>
      </c>
      <c r="BM413" s="275">
        <v>2</v>
      </c>
      <c r="BN413" s="62">
        <v>0</v>
      </c>
      <c r="BO413" s="33" t="s">
        <v>526</v>
      </c>
    </row>
    <row r="414" spans="1:67">
      <c r="A414" s="33" t="str">
        <f>Database_Productkaarten[[#This Row],[Product]]&amp;", "&amp;Database_Productkaarten[[#This Row],[Levensfase]]</f>
        <v>AC Surf 0% PR - PCR 2.0, A1</v>
      </c>
      <c r="B414" s="33" t="s">
        <v>525</v>
      </c>
      <c r="C414" s="33" t="s">
        <v>483</v>
      </c>
      <c r="D414" s="33" t="s">
        <v>377</v>
      </c>
      <c r="E414" s="33" t="s">
        <v>378</v>
      </c>
      <c r="F414" s="33" t="s">
        <v>74</v>
      </c>
      <c r="L414" s="33">
        <v>2.35</v>
      </c>
      <c r="M414" s="269">
        <v>1</v>
      </c>
      <c r="N414" s="189">
        <v>7.5022124702087254</v>
      </c>
      <c r="O414" s="33">
        <v>14</v>
      </c>
      <c r="P414" s="163">
        <v>7.8110772228437105E-4</v>
      </c>
      <c r="Q414" s="163">
        <v>1.3859353557905301</v>
      </c>
      <c r="R414" s="163">
        <v>59.159290572993797</v>
      </c>
      <c r="S414" s="163">
        <v>4.4718497894302099E-6</v>
      </c>
      <c r="T414" s="163">
        <v>0.146360531305264</v>
      </c>
      <c r="U414" s="163">
        <v>0.37426748881737198</v>
      </c>
      <c r="V414" s="163">
        <v>2.85851961867509E-2</v>
      </c>
      <c r="W414" s="163">
        <v>13.8389101694777</v>
      </c>
      <c r="X414" s="163">
        <v>2.16133319129223</v>
      </c>
      <c r="Y414" s="163">
        <v>9480.5530450011993</v>
      </c>
      <c r="Z414" s="163">
        <v>0.27973588084413797</v>
      </c>
      <c r="AA414" s="163">
        <v>63.150595743931902</v>
      </c>
      <c r="AB414" s="163">
        <v>62.9453215780552</v>
      </c>
      <c r="AC414" s="163">
        <v>0.20512281793307899</v>
      </c>
      <c r="AD414" s="163">
        <v>3.6575347943634602E-2</v>
      </c>
      <c r="AE414" s="163">
        <v>5.4021085231866996E-6</v>
      </c>
      <c r="AF414" s="163">
        <v>0.435841748307502</v>
      </c>
      <c r="AG414" s="163">
        <v>9.6410960230001498E-4</v>
      </c>
      <c r="AH414" s="163">
        <v>5.6510661130074198E-2</v>
      </c>
      <c r="AI414" s="163">
        <v>0.55605602008775101</v>
      </c>
      <c r="AJ414" s="163">
        <v>0.41959999166484102</v>
      </c>
      <c r="AK414" s="163">
        <v>7.8104709852573802E-4</v>
      </c>
      <c r="AL414" s="163">
        <v>2945.1348392733398</v>
      </c>
      <c r="AM414" s="163">
        <v>58.769793468404004</v>
      </c>
      <c r="AN414" s="163">
        <v>1.9121003726348499E-6</v>
      </c>
      <c r="AO414" s="163">
        <v>1.7924972163573101</v>
      </c>
      <c r="AP414" s="163">
        <v>3571.94368437819</v>
      </c>
      <c r="AQ414" s="163">
        <v>1.7850239179887899E-8</v>
      </c>
      <c r="AR414" s="163">
        <v>8.4226260337177604E-7</v>
      </c>
      <c r="AS414" s="163">
        <v>364.40967921107602</v>
      </c>
      <c r="AT414" s="163">
        <v>0</v>
      </c>
      <c r="AU414" s="163">
        <v>0</v>
      </c>
      <c r="AV414" s="315">
        <v>25.325445208304501</v>
      </c>
      <c r="AW414" s="315">
        <v>0</v>
      </c>
      <c r="AX414" s="315">
        <v>0</v>
      </c>
      <c r="AY414" s="315">
        <v>3134.0636370960901</v>
      </c>
      <c r="AZ414" s="163">
        <v>0</v>
      </c>
      <c r="BA414" s="163">
        <v>0</v>
      </c>
      <c r="BB414" s="163">
        <v>0</v>
      </c>
      <c r="BC414" s="163">
        <v>1.41096002271129</v>
      </c>
      <c r="BD414" s="163">
        <v>1.1327987085643699E-3</v>
      </c>
      <c r="BE414" s="163">
        <v>3.4328491029701</v>
      </c>
      <c r="BF414" s="163">
        <v>1.15895243985612E-3</v>
      </c>
      <c r="BG414" s="163">
        <v>0</v>
      </c>
      <c r="BH414" s="163">
        <v>0</v>
      </c>
      <c r="BI414" s="163">
        <v>0</v>
      </c>
      <c r="BJ414" s="163">
        <v>0</v>
      </c>
      <c r="BK414" s="163">
        <v>0</v>
      </c>
      <c r="BL414" s="62">
        <v>0</v>
      </c>
      <c r="BM414" s="275">
        <v>2</v>
      </c>
      <c r="BN414" s="62">
        <v>0</v>
      </c>
      <c r="BO414" s="33" t="s">
        <v>526</v>
      </c>
    </row>
    <row r="415" spans="1:67">
      <c r="A415" s="33" t="str">
        <f>Database_Productkaarten[[#This Row],[Product]]&amp;", "&amp;Database_Productkaarten[[#This Row],[Levensfase]]</f>
        <v>AC Surf 0% PR - PCR 2.0, A2</v>
      </c>
      <c r="B415" s="33" t="s">
        <v>525</v>
      </c>
      <c r="C415" s="33" t="s">
        <v>483</v>
      </c>
      <c r="D415" s="33" t="s">
        <v>377</v>
      </c>
      <c r="E415" s="33" t="s">
        <v>378</v>
      </c>
      <c r="F415" s="33" t="s">
        <v>75</v>
      </c>
      <c r="L415" s="33">
        <v>2.35</v>
      </c>
      <c r="M415" s="269">
        <v>1</v>
      </c>
      <c r="N415" s="189">
        <v>3.7230506785879243</v>
      </c>
      <c r="O415" s="33">
        <v>14</v>
      </c>
      <c r="P415" s="163">
        <v>3.4792705055892E-4</v>
      </c>
      <c r="Q415" s="163">
        <v>0.198683928758071</v>
      </c>
      <c r="R415" s="163">
        <v>31.153940057092299</v>
      </c>
      <c r="S415" s="163">
        <v>4.66103004239095E-6</v>
      </c>
      <c r="T415" s="163">
        <v>1.8404455187182801E-2</v>
      </c>
      <c r="U415" s="163">
        <v>0.206976906617926</v>
      </c>
      <c r="V415" s="163">
        <v>4.5657400199673903E-2</v>
      </c>
      <c r="W415" s="163">
        <v>8.6032095210377104</v>
      </c>
      <c r="X415" s="163">
        <v>0.225235107122843</v>
      </c>
      <c r="Y415" s="163">
        <v>743.61878150722498</v>
      </c>
      <c r="Z415" s="163">
        <v>3.8797016695333301E-2</v>
      </c>
      <c r="AA415" s="163">
        <v>31.509052104039402</v>
      </c>
      <c r="AB415" s="163">
        <v>31.414945916314799</v>
      </c>
      <c r="AC415" s="163">
        <v>4.4253022325332798E-2</v>
      </c>
      <c r="AD415" s="163">
        <v>4.9853165399254898E-2</v>
      </c>
      <c r="AE415" s="163">
        <v>5.80020841000702E-6</v>
      </c>
      <c r="AF415" s="163">
        <v>0.28740046732754898</v>
      </c>
      <c r="AG415" s="163">
        <v>3.6673632080189302E-4</v>
      </c>
      <c r="AH415" s="163">
        <v>0.120575176333667</v>
      </c>
      <c r="AI415" s="163">
        <v>1.3273049708386799</v>
      </c>
      <c r="AJ415" s="163">
        <v>0.34585764032859201</v>
      </c>
      <c r="AK415" s="163">
        <v>3.4791386729029702E-4</v>
      </c>
      <c r="AL415" s="163">
        <v>411.76318243327898</v>
      </c>
      <c r="AM415" s="163">
        <v>1.8423234093099099</v>
      </c>
      <c r="AN415" s="163">
        <v>1.10354194109852E-6</v>
      </c>
      <c r="AO415" s="163">
        <v>1.7729814015127401</v>
      </c>
      <c r="AP415" s="163">
        <v>364.62021149532302</v>
      </c>
      <c r="AQ415" s="163">
        <v>1.46861807845934E-8</v>
      </c>
      <c r="AR415" s="163">
        <v>2.8181328563114898E-7</v>
      </c>
      <c r="AS415" s="163">
        <v>323.87453385165202</v>
      </c>
      <c r="AT415" s="163">
        <v>0</v>
      </c>
      <c r="AU415" s="163">
        <v>0</v>
      </c>
      <c r="AV415" s="315">
        <v>8.7223891676951109</v>
      </c>
      <c r="AW415" s="315">
        <v>0</v>
      </c>
      <c r="AX415" s="315">
        <v>0</v>
      </c>
      <c r="AY415" s="315">
        <v>436.99976871129701</v>
      </c>
      <c r="AZ415" s="163">
        <v>0</v>
      </c>
      <c r="BA415" s="163">
        <v>0</v>
      </c>
      <c r="BB415" s="163">
        <v>0</v>
      </c>
      <c r="BC415" s="163">
        <v>7.2644927942811993E-2</v>
      </c>
      <c r="BD415" s="163">
        <v>1.06673349521564E-3</v>
      </c>
      <c r="BE415" s="163">
        <v>7.1416148800192802</v>
      </c>
      <c r="BF415" s="163">
        <v>2.6759816985203102E-3</v>
      </c>
      <c r="BG415" s="163">
        <v>0</v>
      </c>
      <c r="BH415" s="163">
        <v>0</v>
      </c>
      <c r="BI415" s="163">
        <v>0</v>
      </c>
      <c r="BJ415" s="163">
        <v>0</v>
      </c>
      <c r="BK415" s="163">
        <v>0</v>
      </c>
      <c r="BL415" s="62">
        <v>0</v>
      </c>
      <c r="BM415" s="275">
        <v>2</v>
      </c>
      <c r="BN415" s="62">
        <v>0</v>
      </c>
      <c r="BO415" s="33" t="s">
        <v>526</v>
      </c>
    </row>
    <row r="416" spans="1:67">
      <c r="A416" s="33" t="str">
        <f>Database_Productkaarten[[#This Row],[Product]]&amp;", "&amp;Database_Productkaarten[[#This Row],[Levensfase]]</f>
        <v>AC Surf 0% PR - PCR 2.0, A3</v>
      </c>
      <c r="B416" s="33" t="s">
        <v>525</v>
      </c>
      <c r="C416" s="33" t="s">
        <v>483</v>
      </c>
      <c r="D416" s="33" t="s">
        <v>377</v>
      </c>
      <c r="E416" s="33" t="s">
        <v>378</v>
      </c>
      <c r="F416" s="33" t="s">
        <v>76</v>
      </c>
      <c r="L416" s="33">
        <v>2.35</v>
      </c>
      <c r="M416" s="269">
        <v>1</v>
      </c>
      <c r="N416" s="189">
        <v>1.7118284314900936</v>
      </c>
      <c r="O416" s="33">
        <v>14</v>
      </c>
      <c r="P416" s="163">
        <v>2.2963705517437501E-5</v>
      </c>
      <c r="Q416" s="163">
        <v>0.20448083630179401</v>
      </c>
      <c r="R416" s="163">
        <v>23.988852353117601</v>
      </c>
      <c r="S416" s="163">
        <v>2.7179398815150401E-6</v>
      </c>
      <c r="T416" s="163">
        <v>3.86386171930921E-3</v>
      </c>
      <c r="U416" s="163">
        <v>2.35431962214094E-2</v>
      </c>
      <c r="V416" s="163">
        <v>3.96991359394988E-3</v>
      </c>
      <c r="W416" s="163">
        <v>3.6558712457748301</v>
      </c>
      <c r="X416" s="163">
        <v>2.6039135216053898E-2</v>
      </c>
      <c r="Y416" s="163">
        <v>106.272677907377</v>
      </c>
      <c r="Z416" s="163">
        <v>2.5284716663991302E-2</v>
      </c>
      <c r="AA416" s="163">
        <v>24.3448643490416</v>
      </c>
      <c r="AB416" s="163">
        <v>24.2886313040425</v>
      </c>
      <c r="AC416" s="163">
        <v>5.4211418640341701E-2</v>
      </c>
      <c r="AD416" s="163">
        <v>2.0216263586459999E-3</v>
      </c>
      <c r="AE416" s="163">
        <v>3.0651353260498099E-6</v>
      </c>
      <c r="AF416" s="163">
        <v>3.0232276796763099E-2</v>
      </c>
      <c r="AG416" s="163">
        <v>2.7202609270764102E-4</v>
      </c>
      <c r="AH416" s="163">
        <v>8.4222811866149598E-3</v>
      </c>
      <c r="AI416" s="163">
        <v>9.5232690650616195E-2</v>
      </c>
      <c r="AJ416" s="163">
        <v>2.8881505723063298E-2</v>
      </c>
      <c r="AK416" s="163">
        <v>2.2963390227501402E-5</v>
      </c>
      <c r="AL416" s="163">
        <v>376.48279406066399</v>
      </c>
      <c r="AM416" s="163">
        <v>0.55081868741571705</v>
      </c>
      <c r="AN416" s="163">
        <v>1.9824457646855E-7</v>
      </c>
      <c r="AO416" s="163">
        <v>0.275091058599571</v>
      </c>
      <c r="AP416" s="163">
        <v>78.864082657513705</v>
      </c>
      <c r="AQ416" s="163">
        <v>2.9725644127661701E-9</v>
      </c>
      <c r="AR416" s="163">
        <v>5.1427920190360401E-8</v>
      </c>
      <c r="AS416" s="163">
        <v>16.763518220353099</v>
      </c>
      <c r="AT416" s="163">
        <v>0</v>
      </c>
      <c r="AU416" s="163">
        <v>0</v>
      </c>
      <c r="AV416" s="315">
        <v>7.0381495009470996</v>
      </c>
      <c r="AW416" s="315">
        <v>0</v>
      </c>
      <c r="AX416" s="315">
        <v>0</v>
      </c>
      <c r="AY416" s="315">
        <v>415.11183388013598</v>
      </c>
      <c r="AZ416" s="163">
        <v>0</v>
      </c>
      <c r="BA416" s="163">
        <v>0</v>
      </c>
      <c r="BB416" s="163">
        <v>0</v>
      </c>
      <c r="BC416" s="163">
        <v>4.0919203184925E-2</v>
      </c>
      <c r="BD416" s="163">
        <v>4.5746651269804701E-4</v>
      </c>
      <c r="BE416" s="163">
        <v>0.28288706148770998</v>
      </c>
      <c r="BF416" s="163">
        <v>3.5057846768145898E-4</v>
      </c>
      <c r="BG416" s="163">
        <v>0</v>
      </c>
      <c r="BH416" s="163">
        <v>0</v>
      </c>
      <c r="BI416" s="163">
        <v>0</v>
      </c>
      <c r="BJ416" s="163">
        <v>0</v>
      </c>
      <c r="BK416" s="163">
        <v>0</v>
      </c>
      <c r="BL416" s="62">
        <v>0</v>
      </c>
      <c r="BM416" s="275">
        <v>2</v>
      </c>
      <c r="BN416" s="62">
        <v>0</v>
      </c>
      <c r="BO416" s="33" t="s">
        <v>526</v>
      </c>
    </row>
    <row r="417" spans="1:67">
      <c r="A417" s="33" t="str">
        <f>Database_Productkaarten[[#This Row],[Product]]&amp;", "&amp;Database_Productkaarten[[#This Row],[Levensfase]]</f>
        <v>AC Surf 0% PR - PCR 2.0, A1-A3</v>
      </c>
      <c r="B417" s="33" t="str">
        <f>B416</f>
        <v>AC Surf 0% PR - PCR 2.0</v>
      </c>
      <c r="C417" s="33" t="str">
        <f>C416</f>
        <v>Bitumineuze verhardingen</v>
      </c>
      <c r="D417" s="33" t="str">
        <f>D416</f>
        <v>AC surf</v>
      </c>
      <c r="E417" s="33" t="str">
        <f>E416</f>
        <v>Ton</v>
      </c>
      <c r="F417" s="33" t="s">
        <v>77</v>
      </c>
      <c r="L417" s="33">
        <f>L416</f>
        <v>2.35</v>
      </c>
      <c r="M417" s="45">
        <f>M416</f>
        <v>1</v>
      </c>
      <c r="N417" s="41">
        <f>SUM(N414:N416)</f>
        <v>12.937091580286744</v>
      </c>
      <c r="O417" s="33">
        <f>O416</f>
        <v>14</v>
      </c>
      <c r="P417" s="40">
        <f>SUM(P414:P416)</f>
        <v>1.1519984783607284E-3</v>
      </c>
      <c r="Q417" s="40">
        <f t="shared" ref="Q417:BK417" si="46">SUM(Q414:Q416)</f>
        <v>1.7891001208503952</v>
      </c>
      <c r="R417" s="40">
        <f t="shared" si="46"/>
        <v>114.30208298320369</v>
      </c>
      <c r="S417" s="40">
        <f t="shared" si="46"/>
        <v>1.18508197133362E-5</v>
      </c>
      <c r="T417" s="40">
        <f t="shared" si="46"/>
        <v>0.16862884821175603</v>
      </c>
      <c r="U417" s="40">
        <f t="shared" si="46"/>
        <v>0.60478759165670737</v>
      </c>
      <c r="V417" s="40">
        <f t="shared" si="46"/>
        <v>7.8212509980374684E-2</v>
      </c>
      <c r="W417" s="40">
        <f t="shared" si="46"/>
        <v>26.097990936290241</v>
      </c>
      <c r="X417" s="40">
        <f t="shared" si="46"/>
        <v>2.412607433631127</v>
      </c>
      <c r="Y417" s="40">
        <f t="shared" si="46"/>
        <v>10330.4445044158</v>
      </c>
      <c r="Z417" s="40">
        <f t="shared" si="46"/>
        <v>0.34381761420346257</v>
      </c>
      <c r="AA417" s="40">
        <f t="shared" si="46"/>
        <v>119.0045121970129</v>
      </c>
      <c r="AB417" s="40">
        <f t="shared" si="46"/>
        <v>118.64889879841249</v>
      </c>
      <c r="AC417" s="40">
        <f t="shared" si="46"/>
        <v>0.30358725889875349</v>
      </c>
      <c r="AD417" s="40">
        <f t="shared" si="46"/>
        <v>8.8450139701535507E-2</v>
      </c>
      <c r="AE417" s="40">
        <f t="shared" si="46"/>
        <v>1.426745225924353E-5</v>
      </c>
      <c r="AF417" s="40">
        <f t="shared" si="46"/>
        <v>0.75347449243181408</v>
      </c>
      <c r="AG417" s="40">
        <f t="shared" si="46"/>
        <v>1.602872015809549E-3</v>
      </c>
      <c r="AH417" s="40">
        <f t="shared" si="46"/>
        <v>0.18550811865035616</v>
      </c>
      <c r="AI417" s="40">
        <f t="shared" si="46"/>
        <v>1.9785936815770471</v>
      </c>
      <c r="AJ417" s="40">
        <f t="shared" si="46"/>
        <v>0.79433913771649622</v>
      </c>
      <c r="AK417" s="40">
        <f t="shared" si="46"/>
        <v>1.1519243560435364E-3</v>
      </c>
      <c r="AL417" s="40">
        <f t="shared" si="46"/>
        <v>3733.3808157672829</v>
      </c>
      <c r="AM417" s="40">
        <f t="shared" si="46"/>
        <v>61.162935565129636</v>
      </c>
      <c r="AN417" s="40">
        <f t="shared" si="46"/>
        <v>3.2138868902019195E-6</v>
      </c>
      <c r="AO417" s="40">
        <f t="shared" si="46"/>
        <v>3.8405696764696211</v>
      </c>
      <c r="AP417" s="40">
        <f t="shared" si="46"/>
        <v>4015.4279785310268</v>
      </c>
      <c r="AQ417" s="40">
        <f t="shared" si="46"/>
        <v>3.550898437724747E-8</v>
      </c>
      <c r="AR417" s="40">
        <f t="shared" si="46"/>
        <v>1.1755038091932855E-6</v>
      </c>
      <c r="AS417" s="40">
        <f t="shared" si="46"/>
        <v>705.04773128308113</v>
      </c>
      <c r="AT417" s="40">
        <f t="shared" si="46"/>
        <v>0</v>
      </c>
      <c r="AU417" s="40">
        <f t="shared" si="46"/>
        <v>0</v>
      </c>
      <c r="AV417" s="317">
        <f t="shared" si="46"/>
        <v>41.085983876946713</v>
      </c>
      <c r="AW417" s="317">
        <f t="shared" si="46"/>
        <v>0</v>
      </c>
      <c r="AX417" s="317">
        <f t="shared" si="46"/>
        <v>0</v>
      </c>
      <c r="AY417" s="317">
        <f t="shared" si="46"/>
        <v>3986.1752396875231</v>
      </c>
      <c r="AZ417" s="40">
        <f t="shared" si="46"/>
        <v>0</v>
      </c>
      <c r="BA417" s="40">
        <f t="shared" si="46"/>
        <v>0</v>
      </c>
      <c r="BB417" s="40">
        <f t="shared" si="46"/>
        <v>0</v>
      </c>
      <c r="BC417" s="40">
        <f t="shared" si="46"/>
        <v>1.5245241538390271</v>
      </c>
      <c r="BD417" s="40">
        <f t="shared" si="46"/>
        <v>2.6569987164780568E-3</v>
      </c>
      <c r="BE417" s="40">
        <f t="shared" si="46"/>
        <v>10.85735104447709</v>
      </c>
      <c r="BF417" s="40">
        <f t="shared" si="46"/>
        <v>4.1855126060578894E-3</v>
      </c>
      <c r="BG417" s="40">
        <f t="shared" si="46"/>
        <v>0</v>
      </c>
      <c r="BH417" s="40">
        <f t="shared" si="46"/>
        <v>0</v>
      </c>
      <c r="BI417" s="40">
        <f t="shared" si="46"/>
        <v>0</v>
      </c>
      <c r="BJ417" s="40">
        <f t="shared" si="46"/>
        <v>0</v>
      </c>
      <c r="BK417" s="40">
        <f t="shared" si="46"/>
        <v>0</v>
      </c>
      <c r="BL417" s="62">
        <f>BL416</f>
        <v>0</v>
      </c>
      <c r="BM417" s="275">
        <f>BM416</f>
        <v>2</v>
      </c>
      <c r="BN417" s="62">
        <v>0</v>
      </c>
      <c r="BO417" s="33" t="str">
        <f>BO416</f>
        <v>Ecochain 2022 LCA Achtergrondrapport voor Nederlandse branchereferentiemengsels 2022</v>
      </c>
    </row>
    <row r="418" spans="1:67">
      <c r="A418" s="33" t="str">
        <f>Database_Productkaarten[[#This Row],[Product]]&amp;", "&amp;Database_Productkaarten[[#This Row],[Levensfase]]</f>
        <v>AC Surf 0% PR - PCR 2.0, A4</v>
      </c>
      <c r="B418" s="33" t="s">
        <v>525</v>
      </c>
      <c r="C418" s="33" t="s">
        <v>483</v>
      </c>
      <c r="D418" s="33" t="s">
        <v>377</v>
      </c>
      <c r="E418" s="33" t="s">
        <v>378</v>
      </c>
      <c r="F418" s="33" t="s">
        <v>78</v>
      </c>
      <c r="L418" s="33">
        <v>2.35</v>
      </c>
      <c r="M418" s="269">
        <v>1</v>
      </c>
      <c r="N418" s="189">
        <v>0.37546048090943995</v>
      </c>
      <c r="O418" s="33">
        <v>14</v>
      </c>
      <c r="P418" s="163">
        <v>6.8533509000000002E-5</v>
      </c>
      <c r="Q418" s="163">
        <v>2.9713889699999999E-2</v>
      </c>
      <c r="R418" s="163">
        <v>3.9891474704999998</v>
      </c>
      <c r="S418" s="163">
        <v>7.557213E-7</v>
      </c>
      <c r="T418" s="163">
        <v>2.4773701499999998E-3</v>
      </c>
      <c r="U418" s="163">
        <v>1.36398132E-2</v>
      </c>
      <c r="V418" s="163">
        <v>2.5682192100000001E-3</v>
      </c>
      <c r="W418" s="163">
        <v>0.8608144794</v>
      </c>
      <c r="X418" s="163">
        <v>3.6189873900000002E-2</v>
      </c>
      <c r="Y418" s="163">
        <v>97.376595929999993</v>
      </c>
      <c r="Z418" s="163">
        <v>4.8437180999999999E-3</v>
      </c>
      <c r="AA418" s="163">
        <v>4.0259382761999998</v>
      </c>
      <c r="AB418" s="163">
        <v>4.0229543298000001</v>
      </c>
      <c r="AC418" s="163">
        <v>1.9814632200000001E-3</v>
      </c>
      <c r="AD418" s="163">
        <v>1.0024609799999999E-3</v>
      </c>
      <c r="AE418" s="163">
        <v>9.4976262000000003E-7</v>
      </c>
      <c r="AF418" s="163">
        <v>1.7739576E-2</v>
      </c>
      <c r="AG418" s="163">
        <v>2.7841996800000001E-5</v>
      </c>
      <c r="AH418" s="163">
        <v>5.5484582100000001E-3</v>
      </c>
      <c r="AI418" s="163">
        <v>6.1385308800000003E-2</v>
      </c>
      <c r="AJ418" s="163">
        <v>1.9235744999999999E-2</v>
      </c>
      <c r="AK418" s="163">
        <v>6.8533397999999998E-5</v>
      </c>
      <c r="AL418" s="163">
        <v>62.400806729999999</v>
      </c>
      <c r="AM418" s="163">
        <v>0.212954166</v>
      </c>
      <c r="AN418" s="163">
        <v>2.9338876200000002E-7</v>
      </c>
      <c r="AO418" s="163">
        <v>0.26868483510000002</v>
      </c>
      <c r="AP418" s="163">
        <v>45.56587296</v>
      </c>
      <c r="AQ418" s="163">
        <v>1.16371179E-9</v>
      </c>
      <c r="AR418" s="163">
        <v>3.8268015899999999E-8</v>
      </c>
      <c r="AS418" s="163">
        <v>71.806844609999999</v>
      </c>
      <c r="AT418" s="163">
        <v>0</v>
      </c>
      <c r="AU418" s="163">
        <v>0</v>
      </c>
      <c r="AV418" s="315">
        <v>0.63474917099999995</v>
      </c>
      <c r="AW418" s="315">
        <v>0</v>
      </c>
      <c r="AX418" s="315">
        <v>0</v>
      </c>
      <c r="AY418" s="315">
        <v>66.265108560000002</v>
      </c>
      <c r="AZ418" s="163">
        <v>0</v>
      </c>
      <c r="BA418" s="163">
        <v>0</v>
      </c>
      <c r="BB418" s="163">
        <v>0</v>
      </c>
      <c r="BC418" s="163">
        <v>6.7467797999999999E-3</v>
      </c>
      <c r="BD418" s="163">
        <v>1.54707915E-4</v>
      </c>
      <c r="BE418" s="163">
        <v>5.4635493149999999</v>
      </c>
      <c r="BF418" s="163">
        <v>4.25149758E-4</v>
      </c>
      <c r="BG418" s="163">
        <v>0</v>
      </c>
      <c r="BH418" s="163">
        <v>0</v>
      </c>
      <c r="BI418" s="163">
        <v>0</v>
      </c>
      <c r="BJ418" s="163">
        <v>0</v>
      </c>
      <c r="BK418" s="163">
        <v>0</v>
      </c>
      <c r="BL418" s="62">
        <v>0</v>
      </c>
      <c r="BM418" s="275">
        <v>2</v>
      </c>
      <c r="BN418" s="62">
        <v>0</v>
      </c>
      <c r="BO418" s="33" t="s">
        <v>526</v>
      </c>
    </row>
    <row r="419" spans="1:67">
      <c r="A419" s="33" t="str">
        <f>Database_Productkaarten[[#This Row],[Product]]&amp;", "&amp;Database_Productkaarten[[#This Row],[Levensfase]]</f>
        <v>AC Surf 0% PR - PCR 2.0, A5</v>
      </c>
      <c r="B419" s="33" t="s">
        <v>525</v>
      </c>
      <c r="C419" s="33" t="s">
        <v>483</v>
      </c>
      <c r="D419" s="33" t="s">
        <v>377</v>
      </c>
      <c r="E419" s="33" t="s">
        <v>378</v>
      </c>
      <c r="F419" s="33" t="s">
        <v>79</v>
      </c>
      <c r="L419" s="33">
        <v>2.35</v>
      </c>
      <c r="M419" s="269">
        <v>1</v>
      </c>
      <c r="N419" s="189">
        <v>0.2597053332068151</v>
      </c>
      <c r="O419" s="33">
        <v>14</v>
      </c>
      <c r="P419" s="163">
        <v>2.9238192707677402E-6</v>
      </c>
      <c r="Q419" s="163">
        <v>1.2437868994803E-2</v>
      </c>
      <c r="R419" s="163">
        <v>2.5295292150567601</v>
      </c>
      <c r="S419" s="163">
        <v>3.2687703886030699E-7</v>
      </c>
      <c r="T419" s="163">
        <v>9.4117069173933602E-4</v>
      </c>
      <c r="U419" s="163">
        <v>1.04973944418747E-2</v>
      </c>
      <c r="V419" s="163">
        <v>2.4039520956648098E-3</v>
      </c>
      <c r="W419" s="163">
        <v>0.68877613954755601</v>
      </c>
      <c r="X419" s="163">
        <v>9.7024793750478903E-3</v>
      </c>
      <c r="Y419" s="163">
        <v>33.711839732419001</v>
      </c>
      <c r="Z419" s="163">
        <v>1.1490061137567401E-3</v>
      </c>
      <c r="AA419" s="163">
        <v>2.54822762684821</v>
      </c>
      <c r="AB419" s="163">
        <v>2.54749698006755</v>
      </c>
      <c r="AC419" s="163">
        <v>5.8195030453543899E-4</v>
      </c>
      <c r="AD419" s="163">
        <v>1.4869647611912099E-4</v>
      </c>
      <c r="AE419" s="163">
        <v>4.1187797926669598E-7</v>
      </c>
      <c r="AF419" s="163">
        <v>1.46547170942998E-2</v>
      </c>
      <c r="AG419" s="163">
        <v>6.9471842588523002E-6</v>
      </c>
      <c r="AH419" s="163">
        <v>6.3596059772135904E-3</v>
      </c>
      <c r="AI419" s="163">
        <v>6.9798399515417303E-2</v>
      </c>
      <c r="AJ419" s="163">
        <v>1.8200499450150499E-2</v>
      </c>
      <c r="AK419" s="163">
        <v>2.9237963272080802E-6</v>
      </c>
      <c r="AL419" s="163">
        <v>26.2431444393752</v>
      </c>
      <c r="AM419" s="163">
        <v>3.4951581797891297E-2</v>
      </c>
      <c r="AN419" s="163">
        <v>5.4485692533963101E-8</v>
      </c>
      <c r="AO419" s="163">
        <v>0.112638013429361</v>
      </c>
      <c r="AP419" s="163">
        <v>15.7470627105613</v>
      </c>
      <c r="AQ419" s="163">
        <v>5.5245137337319497E-10</v>
      </c>
      <c r="AR419" s="163">
        <v>1.3239865413379501E-8</v>
      </c>
      <c r="AS419" s="163">
        <v>3.3519896072099198</v>
      </c>
      <c r="AT419" s="163">
        <v>0</v>
      </c>
      <c r="AU419" s="163">
        <v>0</v>
      </c>
      <c r="AV419" s="315">
        <v>0.144245359551091</v>
      </c>
      <c r="AW419" s="315">
        <v>0</v>
      </c>
      <c r="AX419" s="315">
        <v>0</v>
      </c>
      <c r="AY419" s="315">
        <v>27.869389367604899</v>
      </c>
      <c r="AZ419" s="163">
        <v>0</v>
      </c>
      <c r="BA419" s="163">
        <v>0</v>
      </c>
      <c r="BB419" s="163">
        <v>0</v>
      </c>
      <c r="BC419" s="163">
        <v>1.35659657543801E-3</v>
      </c>
      <c r="BD419" s="163">
        <v>7.1467090199202801E-5</v>
      </c>
      <c r="BE419" s="163">
        <v>3.1052769846988501E-2</v>
      </c>
      <c r="BF419" s="163">
        <v>1.8239126227470999E-4</v>
      </c>
      <c r="BG419" s="163">
        <v>0</v>
      </c>
      <c r="BH419" s="163">
        <v>0</v>
      </c>
      <c r="BI419" s="163">
        <v>0</v>
      </c>
      <c r="BJ419" s="163">
        <v>0</v>
      </c>
      <c r="BK419" s="163">
        <v>0</v>
      </c>
      <c r="BL419" s="62">
        <v>0</v>
      </c>
      <c r="BM419" s="275">
        <v>2</v>
      </c>
      <c r="BN419" s="62">
        <v>0</v>
      </c>
      <c r="BO419" s="33" t="s">
        <v>526</v>
      </c>
    </row>
    <row r="420" spans="1:67">
      <c r="A420" s="33" t="str">
        <f>Database_Productkaarten[[#This Row],[Product]]&amp;", "&amp;Database_Productkaarten[[#This Row],[Levensfase]]</f>
        <v>AC Surf 0% PR - PCR 2.0, B1</v>
      </c>
      <c r="B420" s="33" t="s">
        <v>525</v>
      </c>
      <c r="C420" s="33" t="s">
        <v>483</v>
      </c>
      <c r="D420" s="33" t="s">
        <v>377</v>
      </c>
      <c r="E420" s="33" t="s">
        <v>378</v>
      </c>
      <c r="F420" s="33" t="s">
        <v>80</v>
      </c>
      <c r="L420" s="33">
        <v>2.35</v>
      </c>
      <c r="M420" s="269">
        <v>1</v>
      </c>
      <c r="N420" s="189">
        <v>8.2079854524338774E-2</v>
      </c>
      <c r="O420" s="33">
        <v>14</v>
      </c>
      <c r="P420" s="163">
        <v>0</v>
      </c>
      <c r="Q420" s="163">
        <v>0</v>
      </c>
      <c r="R420" s="163">
        <v>0</v>
      </c>
      <c r="S420" s="163">
        <v>0</v>
      </c>
      <c r="T420" s="163">
        <v>0</v>
      </c>
      <c r="U420" s="163">
        <v>0</v>
      </c>
      <c r="V420" s="163">
        <v>0</v>
      </c>
      <c r="W420" s="163">
        <v>0.33065065287376499</v>
      </c>
      <c r="X420" s="163">
        <v>0.35447901498708101</v>
      </c>
      <c r="Y420" s="163">
        <v>416.74823543935599</v>
      </c>
      <c r="Z420" s="163">
        <v>2.0169620253149699E-4</v>
      </c>
      <c r="AA420" s="163">
        <v>0</v>
      </c>
      <c r="AB420" s="163">
        <v>0</v>
      </c>
      <c r="AC420" s="163">
        <v>0</v>
      </c>
      <c r="AD420" s="163">
        <v>0</v>
      </c>
      <c r="AE420" s="163">
        <v>0</v>
      </c>
      <c r="AF420" s="163">
        <v>0</v>
      </c>
      <c r="AG420" s="163">
        <v>0</v>
      </c>
      <c r="AH420" s="163">
        <v>0</v>
      </c>
      <c r="AI420" s="163">
        <v>0</v>
      </c>
      <c r="AJ420" s="163">
        <v>0</v>
      </c>
      <c r="AK420" s="163">
        <v>0</v>
      </c>
      <c r="AL420" s="163">
        <v>0</v>
      </c>
      <c r="AM420" s="163">
        <v>0</v>
      </c>
      <c r="AN420" s="163">
        <v>0</v>
      </c>
      <c r="AO420" s="163">
        <v>0</v>
      </c>
      <c r="AP420" s="163">
        <v>2.4574834227146498</v>
      </c>
      <c r="AQ420" s="163">
        <v>6.1425360401853599E-10</v>
      </c>
      <c r="AR420" s="163">
        <v>3.6903212873143E-8</v>
      </c>
      <c r="AS420" s="163">
        <v>0</v>
      </c>
      <c r="AT420" s="163">
        <v>0</v>
      </c>
      <c r="AU420" s="163">
        <v>0</v>
      </c>
      <c r="AV420" s="315">
        <v>0</v>
      </c>
      <c r="AW420" s="315">
        <v>0</v>
      </c>
      <c r="AX420" s="315">
        <v>0</v>
      </c>
      <c r="AY420" s="315">
        <v>0</v>
      </c>
      <c r="AZ420" s="163">
        <v>0</v>
      </c>
      <c r="BA420" s="163">
        <v>0</v>
      </c>
      <c r="BB420" s="163">
        <v>0</v>
      </c>
      <c r="BC420" s="163">
        <v>0</v>
      </c>
      <c r="BD420" s="163">
        <v>0</v>
      </c>
      <c r="BE420" s="163">
        <v>0</v>
      </c>
      <c r="BF420" s="163">
        <v>0</v>
      </c>
      <c r="BG420" s="163">
        <v>0</v>
      </c>
      <c r="BH420" s="163">
        <v>0</v>
      </c>
      <c r="BI420" s="163">
        <v>0</v>
      </c>
      <c r="BJ420" s="163">
        <v>0</v>
      </c>
      <c r="BK420" s="163">
        <v>0</v>
      </c>
      <c r="BL420" s="62">
        <v>0</v>
      </c>
      <c r="BM420" s="275">
        <v>2</v>
      </c>
      <c r="BN420" s="62">
        <v>0</v>
      </c>
      <c r="BO420" s="33" t="s">
        <v>526</v>
      </c>
    </row>
    <row r="421" spans="1:67">
      <c r="A421" s="33" t="str">
        <f>Database_Productkaarten[[#This Row],[Product]]&amp;", "&amp;Database_Productkaarten[[#This Row],[Levensfase]]</f>
        <v>AC Surf 0% PR - PCR 2.0, B2</v>
      </c>
      <c r="B421" s="33" t="s">
        <v>525</v>
      </c>
      <c r="C421" s="33" t="s">
        <v>483</v>
      </c>
      <c r="D421" s="33" t="s">
        <v>377</v>
      </c>
      <c r="E421" s="33" t="s">
        <v>378</v>
      </c>
      <c r="F421" s="33" t="s">
        <v>527</v>
      </c>
      <c r="L421" s="33">
        <v>2.35</v>
      </c>
      <c r="M421" s="269">
        <v>1</v>
      </c>
      <c r="N421" s="189">
        <v>0</v>
      </c>
      <c r="O421" s="33">
        <v>14</v>
      </c>
      <c r="P421" s="163">
        <v>0</v>
      </c>
      <c r="Q421" s="163">
        <v>0</v>
      </c>
      <c r="R421" s="163">
        <v>0</v>
      </c>
      <c r="S421" s="163">
        <v>0</v>
      </c>
      <c r="T421" s="163">
        <v>0</v>
      </c>
      <c r="U421" s="163">
        <v>0</v>
      </c>
      <c r="V421" s="163">
        <v>0</v>
      </c>
      <c r="W421" s="163">
        <v>0</v>
      </c>
      <c r="X421" s="163">
        <v>0</v>
      </c>
      <c r="Y421" s="163">
        <v>0</v>
      </c>
      <c r="Z421" s="163">
        <v>0</v>
      </c>
      <c r="AA421" s="163">
        <v>0</v>
      </c>
      <c r="AB421" s="163">
        <v>0</v>
      </c>
      <c r="AC421" s="163">
        <v>0</v>
      </c>
      <c r="AD421" s="163">
        <v>0</v>
      </c>
      <c r="AE421" s="163">
        <v>0</v>
      </c>
      <c r="AF421" s="163">
        <v>0</v>
      </c>
      <c r="AG421" s="163">
        <v>0</v>
      </c>
      <c r="AH421" s="163">
        <v>0</v>
      </c>
      <c r="AI421" s="163">
        <v>0</v>
      </c>
      <c r="AJ421" s="163">
        <v>0</v>
      </c>
      <c r="AK421" s="163">
        <v>0</v>
      </c>
      <c r="AL421" s="163">
        <v>0</v>
      </c>
      <c r="AM421" s="163">
        <v>0</v>
      </c>
      <c r="AN421" s="163">
        <v>0</v>
      </c>
      <c r="AO421" s="163">
        <v>0</v>
      </c>
      <c r="AP421" s="163">
        <v>0</v>
      </c>
      <c r="AQ421" s="163">
        <v>0</v>
      </c>
      <c r="AR421" s="163">
        <v>0</v>
      </c>
      <c r="AS421" s="163">
        <v>0</v>
      </c>
      <c r="AT421" s="163">
        <v>0</v>
      </c>
      <c r="AU421" s="163">
        <v>0</v>
      </c>
      <c r="AV421" s="315">
        <v>0</v>
      </c>
      <c r="AW421" s="315">
        <v>0</v>
      </c>
      <c r="AX421" s="315">
        <v>0</v>
      </c>
      <c r="AY421" s="315">
        <v>0</v>
      </c>
      <c r="AZ421" s="163">
        <v>0</v>
      </c>
      <c r="BA421" s="163">
        <v>0</v>
      </c>
      <c r="BB421" s="163">
        <v>0</v>
      </c>
      <c r="BC421" s="163">
        <v>0</v>
      </c>
      <c r="BD421" s="163">
        <v>0</v>
      </c>
      <c r="BE421" s="163">
        <v>0</v>
      </c>
      <c r="BF421" s="163">
        <v>0</v>
      </c>
      <c r="BG421" s="163">
        <v>0</v>
      </c>
      <c r="BH421" s="163">
        <v>0</v>
      </c>
      <c r="BI421" s="163">
        <v>0</v>
      </c>
      <c r="BJ421" s="163">
        <v>0</v>
      </c>
      <c r="BK421" s="163">
        <v>0</v>
      </c>
      <c r="BL421" s="62">
        <v>0</v>
      </c>
      <c r="BM421" s="275">
        <v>2</v>
      </c>
      <c r="BN421" s="62">
        <v>0</v>
      </c>
      <c r="BO421" s="33" t="s">
        <v>526</v>
      </c>
    </row>
    <row r="422" spans="1:67">
      <c r="A422" s="33" t="str">
        <f>Database_Productkaarten[[#This Row],[Product]]&amp;", "&amp;Database_Productkaarten[[#This Row],[Levensfase]]</f>
        <v>AC Surf 0% PR - PCR 2.0, B3</v>
      </c>
      <c r="B422" s="33" t="s">
        <v>525</v>
      </c>
      <c r="C422" s="33" t="s">
        <v>483</v>
      </c>
      <c r="D422" s="33" t="s">
        <v>377</v>
      </c>
      <c r="E422" s="33" t="s">
        <v>378</v>
      </c>
      <c r="F422" s="33" t="s">
        <v>81</v>
      </c>
      <c r="L422" s="33">
        <v>2.35</v>
      </c>
      <c r="M422" s="269">
        <v>1</v>
      </c>
      <c r="N422" s="189">
        <v>0</v>
      </c>
      <c r="O422" s="33">
        <v>14</v>
      </c>
      <c r="P422" s="163">
        <v>0</v>
      </c>
      <c r="Q422" s="163">
        <v>0</v>
      </c>
      <c r="R422" s="163">
        <v>0</v>
      </c>
      <c r="S422" s="163">
        <v>0</v>
      </c>
      <c r="T422" s="163">
        <v>0</v>
      </c>
      <c r="U422" s="163">
        <v>0</v>
      </c>
      <c r="V422" s="163">
        <v>0</v>
      </c>
      <c r="W422" s="163">
        <v>0</v>
      </c>
      <c r="X422" s="163">
        <v>0</v>
      </c>
      <c r="Y422" s="163">
        <v>0</v>
      </c>
      <c r="Z422" s="163">
        <v>0</v>
      </c>
      <c r="AA422" s="163">
        <v>0</v>
      </c>
      <c r="AB422" s="163">
        <v>0</v>
      </c>
      <c r="AC422" s="163">
        <v>0</v>
      </c>
      <c r="AD422" s="163">
        <v>0</v>
      </c>
      <c r="AE422" s="163">
        <v>0</v>
      </c>
      <c r="AF422" s="163">
        <v>0</v>
      </c>
      <c r="AG422" s="163">
        <v>0</v>
      </c>
      <c r="AH422" s="163">
        <v>0</v>
      </c>
      <c r="AI422" s="163">
        <v>0</v>
      </c>
      <c r="AJ422" s="163">
        <v>0</v>
      </c>
      <c r="AK422" s="163">
        <v>0</v>
      </c>
      <c r="AL422" s="163">
        <v>0</v>
      </c>
      <c r="AM422" s="163">
        <v>0</v>
      </c>
      <c r="AN422" s="163">
        <v>0</v>
      </c>
      <c r="AO422" s="163">
        <v>0</v>
      </c>
      <c r="AP422" s="163">
        <v>0</v>
      </c>
      <c r="AQ422" s="163">
        <v>0</v>
      </c>
      <c r="AR422" s="163">
        <v>0</v>
      </c>
      <c r="AS422" s="163">
        <v>0</v>
      </c>
      <c r="AT422" s="163">
        <v>0</v>
      </c>
      <c r="AU422" s="163">
        <v>0</v>
      </c>
      <c r="AV422" s="315">
        <v>0</v>
      </c>
      <c r="AW422" s="315">
        <v>0</v>
      </c>
      <c r="AX422" s="315">
        <v>0</v>
      </c>
      <c r="AY422" s="315">
        <v>0</v>
      </c>
      <c r="AZ422" s="163">
        <v>0</v>
      </c>
      <c r="BA422" s="163">
        <v>0</v>
      </c>
      <c r="BB422" s="163">
        <v>0</v>
      </c>
      <c r="BC422" s="163">
        <v>0</v>
      </c>
      <c r="BD422" s="163">
        <v>0</v>
      </c>
      <c r="BE422" s="163">
        <v>0</v>
      </c>
      <c r="BF422" s="163">
        <v>0</v>
      </c>
      <c r="BG422" s="163">
        <v>0</v>
      </c>
      <c r="BH422" s="163">
        <v>0</v>
      </c>
      <c r="BI422" s="163">
        <v>0</v>
      </c>
      <c r="BJ422" s="163">
        <v>0</v>
      </c>
      <c r="BK422" s="163">
        <v>0</v>
      </c>
      <c r="BL422" s="62">
        <v>0</v>
      </c>
      <c r="BM422" s="275">
        <v>2</v>
      </c>
      <c r="BN422" s="62">
        <v>0</v>
      </c>
      <c r="BO422" s="33" t="s">
        <v>526</v>
      </c>
    </row>
    <row r="423" spans="1:67">
      <c r="A423" s="33" t="str">
        <f>Database_Productkaarten[[#This Row],[Product]]&amp;", "&amp;Database_Productkaarten[[#This Row],[Levensfase]]</f>
        <v>AC Surf 0% PR - PCR 2.0, B4</v>
      </c>
      <c r="B423" s="33" t="s">
        <v>525</v>
      </c>
      <c r="C423" s="33" t="s">
        <v>483</v>
      </c>
      <c r="D423" s="33" t="s">
        <v>377</v>
      </c>
      <c r="E423" s="33" t="s">
        <v>378</v>
      </c>
      <c r="F423" s="33" t="s">
        <v>82</v>
      </c>
      <c r="L423" s="33">
        <v>2.35</v>
      </c>
      <c r="M423" s="269">
        <v>1</v>
      </c>
      <c r="N423" s="189">
        <v>0</v>
      </c>
      <c r="O423" s="33">
        <v>14</v>
      </c>
      <c r="P423" s="163">
        <v>0</v>
      </c>
      <c r="Q423" s="163">
        <v>0</v>
      </c>
      <c r="R423" s="163">
        <v>0</v>
      </c>
      <c r="S423" s="163">
        <v>0</v>
      </c>
      <c r="T423" s="163">
        <v>0</v>
      </c>
      <c r="U423" s="163">
        <v>0</v>
      </c>
      <c r="V423" s="163">
        <v>0</v>
      </c>
      <c r="W423" s="163">
        <v>0</v>
      </c>
      <c r="X423" s="163">
        <v>0</v>
      </c>
      <c r="Y423" s="163">
        <v>0</v>
      </c>
      <c r="Z423" s="163">
        <v>0</v>
      </c>
      <c r="AA423" s="163">
        <v>0</v>
      </c>
      <c r="AB423" s="163">
        <v>0</v>
      </c>
      <c r="AC423" s="163">
        <v>0</v>
      </c>
      <c r="AD423" s="163">
        <v>0</v>
      </c>
      <c r="AE423" s="163">
        <v>0</v>
      </c>
      <c r="AF423" s="163">
        <v>0</v>
      </c>
      <c r="AG423" s="163">
        <v>0</v>
      </c>
      <c r="AH423" s="163">
        <v>0</v>
      </c>
      <c r="AI423" s="163">
        <v>0</v>
      </c>
      <c r="AJ423" s="163">
        <v>0</v>
      </c>
      <c r="AK423" s="163">
        <v>0</v>
      </c>
      <c r="AL423" s="163">
        <v>0</v>
      </c>
      <c r="AM423" s="163">
        <v>0</v>
      </c>
      <c r="AN423" s="163">
        <v>0</v>
      </c>
      <c r="AO423" s="163">
        <v>0</v>
      </c>
      <c r="AP423" s="163">
        <v>0</v>
      </c>
      <c r="AQ423" s="163">
        <v>0</v>
      </c>
      <c r="AR423" s="163">
        <v>0</v>
      </c>
      <c r="AS423" s="163">
        <v>0</v>
      </c>
      <c r="AT423" s="163">
        <v>0</v>
      </c>
      <c r="AU423" s="163">
        <v>0</v>
      </c>
      <c r="AV423" s="315">
        <v>0</v>
      </c>
      <c r="AW423" s="315">
        <v>0</v>
      </c>
      <c r="AX423" s="315">
        <v>0</v>
      </c>
      <c r="AY423" s="315">
        <v>0</v>
      </c>
      <c r="AZ423" s="163">
        <v>0</v>
      </c>
      <c r="BA423" s="163">
        <v>0</v>
      </c>
      <c r="BB423" s="163">
        <v>0</v>
      </c>
      <c r="BC423" s="163">
        <v>0</v>
      </c>
      <c r="BD423" s="163">
        <v>0</v>
      </c>
      <c r="BE423" s="163">
        <v>0</v>
      </c>
      <c r="BF423" s="163">
        <v>0</v>
      </c>
      <c r="BG423" s="163">
        <v>0</v>
      </c>
      <c r="BH423" s="163">
        <v>0</v>
      </c>
      <c r="BI423" s="163">
        <v>0</v>
      </c>
      <c r="BJ423" s="163">
        <v>0</v>
      </c>
      <c r="BK423" s="163">
        <v>0</v>
      </c>
      <c r="BL423" s="62">
        <v>0</v>
      </c>
      <c r="BM423" s="275">
        <v>2</v>
      </c>
      <c r="BN423" s="62">
        <v>0</v>
      </c>
      <c r="BO423" s="33" t="s">
        <v>526</v>
      </c>
    </row>
    <row r="424" spans="1:67">
      <c r="A424" s="33" t="str">
        <f>Database_Productkaarten[[#This Row],[Product]]&amp;", "&amp;Database_Productkaarten[[#This Row],[Levensfase]]</f>
        <v>AC Surf 0% PR - PCR 2.0, B5</v>
      </c>
      <c r="B424" s="33" t="s">
        <v>525</v>
      </c>
      <c r="C424" s="33" t="s">
        <v>483</v>
      </c>
      <c r="D424" s="33" t="s">
        <v>377</v>
      </c>
      <c r="E424" s="33" t="s">
        <v>378</v>
      </c>
      <c r="F424" s="33" t="s">
        <v>528</v>
      </c>
      <c r="L424" s="33">
        <v>2.35</v>
      </c>
      <c r="M424" s="269">
        <v>1</v>
      </c>
      <c r="N424" s="189">
        <v>0</v>
      </c>
      <c r="O424" s="33">
        <v>14</v>
      </c>
      <c r="P424" s="163">
        <v>0</v>
      </c>
      <c r="Q424" s="163">
        <v>0</v>
      </c>
      <c r="R424" s="163">
        <v>0</v>
      </c>
      <c r="S424" s="163">
        <v>0</v>
      </c>
      <c r="T424" s="163">
        <v>0</v>
      </c>
      <c r="U424" s="163">
        <v>0</v>
      </c>
      <c r="V424" s="163">
        <v>0</v>
      </c>
      <c r="W424" s="163">
        <v>0</v>
      </c>
      <c r="X424" s="163">
        <v>0</v>
      </c>
      <c r="Y424" s="163">
        <v>0</v>
      </c>
      <c r="Z424" s="163">
        <v>0</v>
      </c>
      <c r="AA424" s="163">
        <v>0</v>
      </c>
      <c r="AB424" s="163">
        <v>0</v>
      </c>
      <c r="AC424" s="163">
        <v>0</v>
      </c>
      <c r="AD424" s="163">
        <v>0</v>
      </c>
      <c r="AE424" s="163">
        <v>0</v>
      </c>
      <c r="AF424" s="163">
        <v>0</v>
      </c>
      <c r="AG424" s="163">
        <v>0</v>
      </c>
      <c r="AH424" s="163">
        <v>0</v>
      </c>
      <c r="AI424" s="163">
        <v>0</v>
      </c>
      <c r="AJ424" s="163">
        <v>0</v>
      </c>
      <c r="AK424" s="163">
        <v>0</v>
      </c>
      <c r="AL424" s="163">
        <v>0</v>
      </c>
      <c r="AM424" s="163">
        <v>0</v>
      </c>
      <c r="AN424" s="163">
        <v>0</v>
      </c>
      <c r="AO424" s="163">
        <v>0</v>
      </c>
      <c r="AP424" s="163">
        <v>0</v>
      </c>
      <c r="AQ424" s="163">
        <v>0</v>
      </c>
      <c r="AR424" s="163">
        <v>0</v>
      </c>
      <c r="AS424" s="163">
        <v>0</v>
      </c>
      <c r="AT424" s="163">
        <v>0</v>
      </c>
      <c r="AU424" s="163">
        <v>0</v>
      </c>
      <c r="AV424" s="315">
        <v>0</v>
      </c>
      <c r="AW424" s="315">
        <v>0</v>
      </c>
      <c r="AX424" s="315">
        <v>0</v>
      </c>
      <c r="AY424" s="315">
        <v>0</v>
      </c>
      <c r="AZ424" s="163">
        <v>0</v>
      </c>
      <c r="BA424" s="163">
        <v>0</v>
      </c>
      <c r="BB424" s="163">
        <v>0</v>
      </c>
      <c r="BC424" s="163">
        <v>0</v>
      </c>
      <c r="BD424" s="163">
        <v>0</v>
      </c>
      <c r="BE424" s="163">
        <v>0</v>
      </c>
      <c r="BF424" s="163">
        <v>0</v>
      </c>
      <c r="BG424" s="163">
        <v>0</v>
      </c>
      <c r="BH424" s="163">
        <v>0</v>
      </c>
      <c r="BI424" s="163">
        <v>0</v>
      </c>
      <c r="BJ424" s="163">
        <v>0</v>
      </c>
      <c r="BK424" s="163">
        <v>0</v>
      </c>
      <c r="BL424" s="62">
        <v>0</v>
      </c>
      <c r="BM424" s="275">
        <v>2</v>
      </c>
      <c r="BN424" s="62">
        <v>0</v>
      </c>
      <c r="BO424" s="33" t="s">
        <v>526</v>
      </c>
    </row>
    <row r="425" spans="1:67">
      <c r="A425" s="33" t="str">
        <f>Database_Productkaarten[[#This Row],[Product]]&amp;", "&amp;Database_Productkaarten[[#This Row],[Levensfase]]</f>
        <v>AC Surf 0% PR - PCR 2.0, C1</v>
      </c>
      <c r="B425" s="33" t="s">
        <v>525</v>
      </c>
      <c r="C425" s="33" t="s">
        <v>483</v>
      </c>
      <c r="D425" s="33" t="s">
        <v>377</v>
      </c>
      <c r="E425" s="33" t="s">
        <v>378</v>
      </c>
      <c r="F425" s="33" t="s">
        <v>83</v>
      </c>
      <c r="L425" s="33">
        <v>2.35</v>
      </c>
      <c r="M425" s="269">
        <v>1</v>
      </c>
      <c r="N425" s="212">
        <v>0.13541602848430037</v>
      </c>
      <c r="O425" s="33">
        <v>14</v>
      </c>
      <c r="P425" s="163">
        <v>1.66355234371268E-6</v>
      </c>
      <c r="Q425" s="163">
        <v>7.0767185660086003E-3</v>
      </c>
      <c r="R425" s="163">
        <v>1.4392148982219499</v>
      </c>
      <c r="S425" s="163">
        <v>1.8598176348948501E-7</v>
      </c>
      <c r="T425" s="163">
        <v>4.7349882800803002E-4</v>
      </c>
      <c r="U425" s="163">
        <v>4.1086089065849101E-3</v>
      </c>
      <c r="V425" s="163">
        <v>8.8311374408541897E-4</v>
      </c>
      <c r="W425" s="163">
        <v>0.38738647324257602</v>
      </c>
      <c r="X425" s="163">
        <v>5.5203761961479404E-3</v>
      </c>
      <c r="Y425" s="163">
        <v>19.1808743305143</v>
      </c>
      <c r="Z425" s="163">
        <v>6.5374485782711202E-4</v>
      </c>
      <c r="AA425" s="163">
        <v>1.4480810791550101</v>
      </c>
      <c r="AB425" s="163">
        <v>1.44766536633154</v>
      </c>
      <c r="AC425" s="163">
        <v>3.3110965602878002E-4</v>
      </c>
      <c r="AD425" s="163">
        <v>8.4603167447085795E-5</v>
      </c>
      <c r="AE425" s="163">
        <v>2.34344367513809E-7</v>
      </c>
      <c r="AF425" s="163">
        <v>5.5792397950341598E-3</v>
      </c>
      <c r="AG425" s="163">
        <v>3.9527082852090703E-6</v>
      </c>
      <c r="AH425" s="163">
        <v>2.16816828703612E-3</v>
      </c>
      <c r="AI425" s="163">
        <v>2.3831205862229001E-2</v>
      </c>
      <c r="AJ425" s="163">
        <v>6.5087102457774201E-3</v>
      </c>
      <c r="AK425" s="163">
        <v>1.6635392896183899E-6</v>
      </c>
      <c r="AL425" s="163">
        <v>14.931444249989299</v>
      </c>
      <c r="AM425" s="163">
        <v>1.98862448160417E-2</v>
      </c>
      <c r="AN425" s="163">
        <v>2.3049580029673E-8</v>
      </c>
      <c r="AO425" s="163">
        <v>6.4087145571877599E-2</v>
      </c>
      <c r="AP425" s="163">
        <v>8.9589317785942892</v>
      </c>
      <c r="AQ425" s="163">
        <v>3.14325781401989E-10</v>
      </c>
      <c r="AR425" s="163">
        <v>6.3100664428503798E-9</v>
      </c>
      <c r="AS425" s="163">
        <v>1.90716650065392</v>
      </c>
      <c r="AT425" s="163">
        <v>0</v>
      </c>
      <c r="AU425" s="163">
        <v>0</v>
      </c>
      <c r="AV425" s="315">
        <v>8.2070635606655395E-2</v>
      </c>
      <c r="AW425" s="315">
        <v>0</v>
      </c>
      <c r="AX425" s="315">
        <v>0</v>
      </c>
      <c r="AY425" s="315">
        <v>15.8567215367407</v>
      </c>
      <c r="AZ425" s="163">
        <v>0</v>
      </c>
      <c r="BA425" s="163">
        <v>0</v>
      </c>
      <c r="BB425" s="163">
        <v>0</v>
      </c>
      <c r="BC425" s="163">
        <v>7.7185667223196998E-4</v>
      </c>
      <c r="BD425" s="163">
        <v>4.0662309940925699E-5</v>
      </c>
      <c r="BE425" s="163">
        <v>1.7667955257769302E-2</v>
      </c>
      <c r="BF425" s="163">
        <v>1.03774338880439E-4</v>
      </c>
      <c r="BG425" s="163">
        <v>0</v>
      </c>
      <c r="BH425" s="163">
        <v>0</v>
      </c>
      <c r="BI425" s="163">
        <v>0</v>
      </c>
      <c r="BJ425" s="163">
        <v>0</v>
      </c>
      <c r="BK425" s="163">
        <v>0</v>
      </c>
      <c r="BL425" s="62">
        <v>0</v>
      </c>
      <c r="BM425" s="275">
        <v>2</v>
      </c>
      <c r="BN425" s="62">
        <v>0</v>
      </c>
      <c r="BO425" s="33" t="s">
        <v>526</v>
      </c>
    </row>
    <row r="426" spans="1:67">
      <c r="A426" s="33" t="str">
        <f>Database_Productkaarten[[#This Row],[Product]]&amp;", "&amp;Database_Productkaarten[[#This Row],[Levensfase]]</f>
        <v>AC Surf 0% PR - PCR 2.0, C2</v>
      </c>
      <c r="B426" s="33" t="s">
        <v>525</v>
      </c>
      <c r="C426" s="33" t="s">
        <v>483</v>
      </c>
      <c r="D426" s="33" t="s">
        <v>377</v>
      </c>
      <c r="E426" s="33" t="s">
        <v>378</v>
      </c>
      <c r="F426" s="33" t="s">
        <v>84</v>
      </c>
      <c r="L426" s="33">
        <v>2.35</v>
      </c>
      <c r="M426" s="269">
        <v>1</v>
      </c>
      <c r="N426" s="41">
        <v>0.31791357541832999</v>
      </c>
      <c r="O426" s="33">
        <v>14</v>
      </c>
      <c r="P426" s="163">
        <v>7.2195843000000002E-5</v>
      </c>
      <c r="Q426" s="163">
        <v>2.5045429500000001E-2</v>
      </c>
      <c r="R426" s="163">
        <v>3.2726104581</v>
      </c>
      <c r="S426" s="163">
        <v>6.2448211500000004E-7</v>
      </c>
      <c r="T426" s="163">
        <v>2.3663202E-3</v>
      </c>
      <c r="U426" s="163">
        <v>9.9103019999999993E-3</v>
      </c>
      <c r="V426" s="163">
        <v>1.66070541E-3</v>
      </c>
      <c r="W426" s="163">
        <v>0.89062466159999998</v>
      </c>
      <c r="X426" s="163">
        <v>3.5055542699999998E-2</v>
      </c>
      <c r="Y426" s="163">
        <v>92.682047400000002</v>
      </c>
      <c r="Z426" s="163">
        <v>7.4868390000000003E-3</v>
      </c>
      <c r="AA426" s="163">
        <v>3.3150718431000001</v>
      </c>
      <c r="AB426" s="163">
        <v>3.3001817481</v>
      </c>
      <c r="AC426" s="163">
        <v>1.3607189190000001E-2</v>
      </c>
      <c r="AD426" s="163">
        <v>1.2829113599999999E-3</v>
      </c>
      <c r="AE426" s="163">
        <v>7.8107336699999998E-7</v>
      </c>
      <c r="AF426" s="163">
        <v>1.2482505E-2</v>
      </c>
      <c r="AG426" s="163">
        <v>3.4632532799999998E-5</v>
      </c>
      <c r="AH426" s="163">
        <v>2.8897329300000001E-3</v>
      </c>
      <c r="AI426" s="163">
        <v>3.3662059799999998E-2</v>
      </c>
      <c r="AJ426" s="163">
        <v>1.2098522699999999E-2</v>
      </c>
      <c r="AK426" s="163">
        <v>7.2195510000000004E-5</v>
      </c>
      <c r="AL426" s="163">
        <v>52.307882313</v>
      </c>
      <c r="AM426" s="163">
        <v>0.28570883850000001</v>
      </c>
      <c r="AN426" s="163">
        <v>2.8544027399999998E-7</v>
      </c>
      <c r="AO426" s="163">
        <v>0.22308385950000001</v>
      </c>
      <c r="AP426" s="163">
        <v>50.61443379</v>
      </c>
      <c r="AQ426" s="163">
        <v>1.35209877E-9</v>
      </c>
      <c r="AR426" s="163">
        <v>4.3221490799999998E-8</v>
      </c>
      <c r="AS426" s="163">
        <v>98.528772599999996</v>
      </c>
      <c r="AT426" s="163">
        <v>8.065825212</v>
      </c>
      <c r="AU426" s="163">
        <v>0</v>
      </c>
      <c r="AV426" s="315">
        <v>8.6963547624000004</v>
      </c>
      <c r="AW426" s="315">
        <v>0.70667511750000001</v>
      </c>
      <c r="AX426" s="315">
        <v>9.926829900000001E-4</v>
      </c>
      <c r="AY426" s="315">
        <v>55.561210727999999</v>
      </c>
      <c r="AZ426" s="163">
        <v>0</v>
      </c>
      <c r="BA426" s="163">
        <v>0</v>
      </c>
      <c r="BB426" s="163">
        <v>0</v>
      </c>
      <c r="BC426" s="163">
        <v>8.7338241000000007E-3</v>
      </c>
      <c r="BD426" s="163">
        <v>1.5376752299999999E-4</v>
      </c>
      <c r="BE426" s="163">
        <v>5.5583861609999996</v>
      </c>
      <c r="BF426" s="163">
        <v>3.4865666099999999E-4</v>
      </c>
      <c r="BG426" s="163">
        <v>0</v>
      </c>
      <c r="BH426" s="163">
        <v>0</v>
      </c>
      <c r="BI426" s="163">
        <v>0</v>
      </c>
      <c r="BJ426" s="163">
        <v>0</v>
      </c>
      <c r="BK426" s="163">
        <v>0</v>
      </c>
      <c r="BL426" s="62">
        <v>0</v>
      </c>
      <c r="BM426" s="275">
        <v>2</v>
      </c>
      <c r="BN426" s="62">
        <v>0</v>
      </c>
      <c r="BO426" s="33" t="s">
        <v>526</v>
      </c>
    </row>
    <row r="427" spans="1:67">
      <c r="A427" s="33" t="str">
        <f>Database_Productkaarten[[#This Row],[Product]]&amp;", "&amp;Database_Productkaarten[[#This Row],[Levensfase]]</f>
        <v>AC Surf 0% PR - PCR 2.0, C3</v>
      </c>
      <c r="B427" s="33" t="s">
        <v>525</v>
      </c>
      <c r="C427" s="33" t="s">
        <v>483</v>
      </c>
      <c r="D427" s="33" t="s">
        <v>377</v>
      </c>
      <c r="E427" s="33" t="s">
        <v>378</v>
      </c>
      <c r="F427" s="33" t="s">
        <v>85</v>
      </c>
      <c r="L427" s="33">
        <v>2.35</v>
      </c>
      <c r="M427" s="269">
        <v>1</v>
      </c>
      <c r="N427" s="41">
        <v>0.15929996445386349</v>
      </c>
      <c r="O427" s="33">
        <v>14</v>
      </c>
      <c r="P427" s="163">
        <v>1.86519505204149E-6</v>
      </c>
      <c r="Q427" s="163">
        <v>7.9345026346156998E-3</v>
      </c>
      <c r="R427" s="163">
        <v>1.61366518891552</v>
      </c>
      <c r="S427" s="163">
        <v>2.0852500754881699E-7</v>
      </c>
      <c r="T427" s="163">
        <v>5.8559282648642901E-4</v>
      </c>
      <c r="U427" s="163">
        <v>5.7290955922309397E-3</v>
      </c>
      <c r="V427" s="163">
        <v>1.28200094033804E-3</v>
      </c>
      <c r="W427" s="163">
        <v>0.43705340511137297</v>
      </c>
      <c r="X427" s="163">
        <v>6.1895127047719503E-3</v>
      </c>
      <c r="Y427" s="163">
        <v>21.505828794819099</v>
      </c>
      <c r="Z427" s="163">
        <v>7.32986658775854E-4</v>
      </c>
      <c r="AA427" s="163">
        <v>1.6243260223859299</v>
      </c>
      <c r="AB427" s="163">
        <v>1.6238599201293</v>
      </c>
      <c r="AC427" s="163">
        <v>3.7124415978984603E-4</v>
      </c>
      <c r="AD427" s="163">
        <v>9.4858096834611393E-5</v>
      </c>
      <c r="AE427" s="163">
        <v>2.6274974539427099E-7</v>
      </c>
      <c r="AF427" s="163">
        <v>7.9167720429161696E-3</v>
      </c>
      <c r="AG427" s="163">
        <v>4.4318244409919901E-6</v>
      </c>
      <c r="AH427" s="163">
        <v>3.3042609354642601E-3</v>
      </c>
      <c r="AI427" s="163">
        <v>3.6283310966736301E-2</v>
      </c>
      <c r="AJ427" s="163">
        <v>9.6537099664764005E-3</v>
      </c>
      <c r="AK427" s="163">
        <v>1.8651804156327399E-6</v>
      </c>
      <c r="AL427" s="163">
        <v>16.741316280291102</v>
      </c>
      <c r="AM427" s="163">
        <v>2.2296698733137599E-2</v>
      </c>
      <c r="AN427" s="163">
        <v>3.0576571272358099E-8</v>
      </c>
      <c r="AO427" s="163">
        <v>7.1855284429075003E-2</v>
      </c>
      <c r="AP427" s="163">
        <v>10.045649777604201</v>
      </c>
      <c r="AQ427" s="163">
        <v>3.5242587611738398E-10</v>
      </c>
      <c r="AR427" s="163">
        <v>7.5755651317201396E-9</v>
      </c>
      <c r="AS427" s="163">
        <v>2.1383381977028799</v>
      </c>
      <c r="AT427" s="163">
        <v>0</v>
      </c>
      <c r="AU427" s="163">
        <v>0</v>
      </c>
      <c r="AV427" s="315">
        <v>9.2018591437765404E-2</v>
      </c>
      <c r="AW427" s="315">
        <v>0</v>
      </c>
      <c r="AX427" s="315">
        <v>0</v>
      </c>
      <c r="AY427" s="315">
        <v>17.778748389678999</v>
      </c>
      <c r="AZ427" s="163">
        <v>0</v>
      </c>
      <c r="BA427" s="163">
        <v>0</v>
      </c>
      <c r="BB427" s="163">
        <v>0</v>
      </c>
      <c r="BC427" s="163">
        <v>8.6541505674493603E-4</v>
      </c>
      <c r="BD427" s="163">
        <v>4.5591074782250099E-5</v>
      </c>
      <c r="BE427" s="163">
        <v>1.9809525592044401E-2</v>
      </c>
      <c r="BF427" s="163">
        <v>1.1635304662352199E-4</v>
      </c>
      <c r="BG427" s="163">
        <v>0</v>
      </c>
      <c r="BH427" s="163">
        <v>1000</v>
      </c>
      <c r="BI427" s="163">
        <v>0</v>
      </c>
      <c r="BJ427" s="163">
        <v>0</v>
      </c>
      <c r="BK427" s="163">
        <v>0</v>
      </c>
      <c r="BL427" s="62">
        <v>0</v>
      </c>
      <c r="BM427" s="275">
        <v>2</v>
      </c>
      <c r="BN427" s="62">
        <v>0</v>
      </c>
      <c r="BO427" s="33" t="s">
        <v>526</v>
      </c>
    </row>
    <row r="428" spans="1:67">
      <c r="A428" s="33" t="str">
        <f>Database_Productkaarten[[#This Row],[Product]]&amp;", "&amp;Database_Productkaarten[[#This Row],[Levensfase]]</f>
        <v>AC Surf 0% PR - PCR 2.0, C4</v>
      </c>
      <c r="B428" s="33" t="s">
        <v>525</v>
      </c>
      <c r="C428" s="33" t="s">
        <v>483</v>
      </c>
      <c r="D428" s="33" t="s">
        <v>377</v>
      </c>
      <c r="E428" s="33" t="s">
        <v>378</v>
      </c>
      <c r="F428" s="33" t="s">
        <v>86</v>
      </c>
      <c r="L428" s="33">
        <v>2.35</v>
      </c>
      <c r="M428" s="269">
        <v>1</v>
      </c>
      <c r="N428" s="41">
        <v>0</v>
      </c>
      <c r="O428" s="33">
        <v>14</v>
      </c>
      <c r="P428" s="163">
        <v>0</v>
      </c>
      <c r="Q428" s="163">
        <v>0</v>
      </c>
      <c r="R428" s="163">
        <v>0</v>
      </c>
      <c r="S428" s="163">
        <v>0</v>
      </c>
      <c r="T428" s="163">
        <v>0</v>
      </c>
      <c r="U428" s="163">
        <v>0</v>
      </c>
      <c r="V428" s="163">
        <v>0</v>
      </c>
      <c r="W428" s="163">
        <v>0</v>
      </c>
      <c r="X428" s="163">
        <v>0</v>
      </c>
      <c r="Y428" s="163">
        <v>0</v>
      </c>
      <c r="Z428" s="163">
        <v>0</v>
      </c>
      <c r="AA428" s="163">
        <v>0</v>
      </c>
      <c r="AB428" s="163">
        <v>0</v>
      </c>
      <c r="AC428" s="163">
        <v>0</v>
      </c>
      <c r="AD428" s="163">
        <v>0</v>
      </c>
      <c r="AE428" s="163">
        <v>0</v>
      </c>
      <c r="AF428" s="163">
        <v>0</v>
      </c>
      <c r="AG428" s="163">
        <v>0</v>
      </c>
      <c r="AH428" s="163">
        <v>0</v>
      </c>
      <c r="AI428" s="163">
        <v>0</v>
      </c>
      <c r="AJ428" s="163">
        <v>0</v>
      </c>
      <c r="AK428" s="163">
        <v>0</v>
      </c>
      <c r="AL428" s="163">
        <v>0</v>
      </c>
      <c r="AM428" s="163">
        <v>0</v>
      </c>
      <c r="AN428" s="163">
        <v>0</v>
      </c>
      <c r="AO428" s="163">
        <v>0</v>
      </c>
      <c r="AP428" s="163">
        <v>0</v>
      </c>
      <c r="AQ428" s="163">
        <v>0</v>
      </c>
      <c r="AR428" s="163">
        <v>0</v>
      </c>
      <c r="AS428" s="163">
        <v>0</v>
      </c>
      <c r="AT428" s="163">
        <v>0</v>
      </c>
      <c r="AU428" s="163">
        <v>0</v>
      </c>
      <c r="AV428" s="315">
        <v>0</v>
      </c>
      <c r="AW428" s="315">
        <v>0</v>
      </c>
      <c r="AX428" s="315">
        <v>0</v>
      </c>
      <c r="AY428" s="315">
        <v>0</v>
      </c>
      <c r="AZ428" s="163">
        <v>0</v>
      </c>
      <c r="BA428" s="163">
        <v>0</v>
      </c>
      <c r="BB428" s="163">
        <v>0</v>
      </c>
      <c r="BC428" s="163">
        <v>0</v>
      </c>
      <c r="BD428" s="163">
        <v>0</v>
      </c>
      <c r="BE428" s="163">
        <v>0</v>
      </c>
      <c r="BF428" s="163">
        <v>0</v>
      </c>
      <c r="BG428" s="163">
        <v>0</v>
      </c>
      <c r="BH428" s="163">
        <v>0</v>
      </c>
      <c r="BI428" s="163">
        <v>0</v>
      </c>
      <c r="BJ428" s="163">
        <v>0</v>
      </c>
      <c r="BK428" s="163">
        <v>0</v>
      </c>
      <c r="BL428" s="62">
        <v>0</v>
      </c>
      <c r="BM428" s="275">
        <v>2</v>
      </c>
      <c r="BN428" s="62">
        <v>0</v>
      </c>
      <c r="BO428" s="33" t="s">
        <v>526</v>
      </c>
    </row>
    <row r="429" spans="1:67">
      <c r="A429" s="33" t="str">
        <f>Database_Productkaarten[[#This Row],[Product]]&amp;", "&amp;Database_Productkaarten[[#This Row],[Levensfase]]</f>
        <v>AC Surf 0% PR - PCR 2.0, D</v>
      </c>
      <c r="B429" s="33" t="s">
        <v>525</v>
      </c>
      <c r="C429" s="33" t="s">
        <v>483</v>
      </c>
      <c r="D429" s="33" t="s">
        <v>377</v>
      </c>
      <c r="E429" s="33" t="s">
        <v>378</v>
      </c>
      <c r="F429" s="33" t="s">
        <v>89</v>
      </c>
      <c r="L429" s="33">
        <v>2.35</v>
      </c>
      <c r="M429" s="269">
        <v>1</v>
      </c>
      <c r="N429" s="41">
        <v>-4.3679865539983256</v>
      </c>
      <c r="O429" s="33">
        <v>14</v>
      </c>
      <c r="P429" s="163">
        <v>-4.9038814033031803E-4</v>
      </c>
      <c r="Q429" s="163">
        <v>-0.74558617450839504</v>
      </c>
      <c r="R429" s="163">
        <v>-32.476786341511001</v>
      </c>
      <c r="S429" s="163">
        <v>-2.7847203957846E-6</v>
      </c>
      <c r="T429" s="163">
        <v>-8.0189532046971504E-2</v>
      </c>
      <c r="U429" s="163">
        <v>-0.229417962006538</v>
      </c>
      <c r="V429" s="163">
        <v>-2.1887334324890099E-2</v>
      </c>
      <c r="W429" s="163">
        <v>-8.9008105514779796</v>
      </c>
      <c r="X429" s="163">
        <v>-1.1557979044650999</v>
      </c>
      <c r="Y429" s="163">
        <v>-5047.7740661252001</v>
      </c>
      <c r="Z429" s="163">
        <v>-0.152170514391816</v>
      </c>
      <c r="AA429" s="163">
        <v>-8.6996419177699291</v>
      </c>
      <c r="AB429" s="163">
        <v>-8.59566863323289</v>
      </c>
      <c r="AC429" s="163">
        <v>-9.3379173776010793E-2</v>
      </c>
      <c r="AD429" s="163">
        <v>-1.05941107610323E-2</v>
      </c>
      <c r="AE429" s="163">
        <v>-1.13959398850648E-6</v>
      </c>
      <c r="AF429" s="163">
        <v>-8.4050570543286005E-2</v>
      </c>
      <c r="AG429" s="163">
        <v>-3.6733848745293998E-4</v>
      </c>
      <c r="AH429" s="163">
        <v>-2.4828159562750699E-2</v>
      </c>
      <c r="AI429" s="163">
        <v>-0.31243681504859999</v>
      </c>
      <c r="AJ429" s="163">
        <v>-7.7086420534434097E-2</v>
      </c>
      <c r="AK429" s="163">
        <v>-4.8699679061853501E-4</v>
      </c>
      <c r="AL429" s="163">
        <v>-125.345591997498</v>
      </c>
      <c r="AM429" s="163">
        <v>-30.720181874510299</v>
      </c>
      <c r="AN429" s="163">
        <v>-1.1872978183924901E-6</v>
      </c>
      <c r="AO429" s="163">
        <v>-0.67077370481472898</v>
      </c>
      <c r="AP429" s="163">
        <v>-1140.60845585282</v>
      </c>
      <c r="AQ429" s="163">
        <v>-6.3431836447027303E-9</v>
      </c>
      <c r="AR429" s="163">
        <v>-1.4494123834996801E-7</v>
      </c>
      <c r="AS429" s="163">
        <v>-1407.4485183793399</v>
      </c>
      <c r="AT429" s="163">
        <v>0</v>
      </c>
      <c r="AU429" s="163">
        <v>0</v>
      </c>
      <c r="AV429" s="315">
        <v>-16.262675897358601</v>
      </c>
      <c r="AW429" s="315">
        <v>0</v>
      </c>
      <c r="AX429" s="315">
        <v>0</v>
      </c>
      <c r="AY429" s="315">
        <v>-1683.87225347758</v>
      </c>
      <c r="AZ429" s="163">
        <v>0</v>
      </c>
      <c r="BA429" s="163">
        <v>0</v>
      </c>
      <c r="BB429" s="163">
        <v>0</v>
      </c>
      <c r="BC429" s="163">
        <v>-17.998471227442302</v>
      </c>
      <c r="BD429" s="163">
        <v>-7.7956597544783304E-4</v>
      </c>
      <c r="BE429" s="163">
        <v>-3.08464458035085</v>
      </c>
      <c r="BF429" s="163">
        <v>-9.1037909196680397E-4</v>
      </c>
      <c r="BG429" s="163">
        <v>0</v>
      </c>
      <c r="BH429" s="163">
        <v>0</v>
      </c>
      <c r="BI429" s="163">
        <v>0</v>
      </c>
      <c r="BJ429" s="163">
        <v>0</v>
      </c>
      <c r="BK429" s="163">
        <v>0</v>
      </c>
      <c r="BL429" s="62">
        <v>0</v>
      </c>
      <c r="BM429" s="275">
        <v>2</v>
      </c>
      <c r="BN429" s="62">
        <v>0</v>
      </c>
      <c r="BO429" s="33" t="s">
        <v>526</v>
      </c>
    </row>
    <row r="430" spans="1:67">
      <c r="A430" s="33" t="str">
        <f>Database_Productkaarten[[#This Row],[Product]]&amp;", "&amp;Database_Productkaarten[[#This Row],[Levensfase]]</f>
        <v>AC Surf 30% PR - PCR 2.0, Totaal</v>
      </c>
      <c r="B430" s="33" t="s">
        <v>529</v>
      </c>
      <c r="C430" s="33" t="s">
        <v>483</v>
      </c>
      <c r="D430" s="33" t="s">
        <v>377</v>
      </c>
      <c r="E430" s="33" t="s">
        <v>378</v>
      </c>
      <c r="F430" s="33" t="s">
        <v>90</v>
      </c>
      <c r="L430" s="33">
        <v>2.35</v>
      </c>
      <c r="M430" s="269">
        <v>1</v>
      </c>
      <c r="N430" s="41">
        <f>SUM(N431:N446)</f>
        <v>18.870986672934517</v>
      </c>
      <c r="O430" s="33">
        <v>14</v>
      </c>
      <c r="P430" s="40">
        <f>SUM(P431:P446)</f>
        <v>1.5418445147946029E-3</v>
      </c>
      <c r="Q430" s="40">
        <f t="shared" ref="Q430:BK430" si="47">SUM(Q431:Q446)</f>
        <v>2.4535333592010753</v>
      </c>
      <c r="R430" s="40">
        <f t="shared" si="47"/>
        <v>175.6840483732785</v>
      </c>
      <c r="S430" s="40">
        <f t="shared" si="47"/>
        <v>1.9531189502076791E-5</v>
      </c>
      <c r="T430" s="40">
        <f t="shared" si="47"/>
        <v>0.21608109023357649</v>
      </c>
      <c r="U430" s="40">
        <f t="shared" si="47"/>
        <v>0.82249708701591562</v>
      </c>
      <c r="V430" s="40">
        <f t="shared" si="47"/>
        <v>0.11372097149189189</v>
      </c>
      <c r="W430" s="40">
        <f t="shared" si="47"/>
        <v>38.641456751341252</v>
      </c>
      <c r="X430" s="40">
        <f t="shared" si="47"/>
        <v>3.4284749122396834</v>
      </c>
      <c r="Y430" s="40">
        <f t="shared" si="47"/>
        <v>13400.366028784396</v>
      </c>
      <c r="Z430" s="40">
        <f t="shared" si="47"/>
        <v>0.45208426944682722</v>
      </c>
      <c r="AA430" s="40">
        <f t="shared" si="47"/>
        <v>200.09995634385024</v>
      </c>
      <c r="AB430" s="40">
        <f t="shared" si="47"/>
        <v>199.60686062739398</v>
      </c>
      <c r="AC430" s="40">
        <f t="shared" si="47"/>
        <v>0.41918240536178453</v>
      </c>
      <c r="AD430" s="40">
        <f t="shared" si="47"/>
        <v>0.13168929444432878</v>
      </c>
      <c r="AE430" s="40">
        <f t="shared" si="47"/>
        <v>2.5085548952742791E-5</v>
      </c>
      <c r="AF430" s="40">
        <f t="shared" si="47"/>
        <v>1.168895412699678</v>
      </c>
      <c r="AG430" s="40">
        <f t="shared" si="47"/>
        <v>2.3188610788466109E-3</v>
      </c>
      <c r="AH430" s="40">
        <f t="shared" si="47"/>
        <v>0.28799332554405421</v>
      </c>
      <c r="AI430" s="40">
        <f t="shared" si="47"/>
        <v>3.0410154856259579</v>
      </c>
      <c r="AJ430" s="40">
        <f t="shared" si="47"/>
        <v>1.2450676041679527</v>
      </c>
      <c r="AK430" s="40">
        <f t="shared" si="47"/>
        <v>1.5441223505931506E-3</v>
      </c>
      <c r="AL430" s="40">
        <f t="shared" si="47"/>
        <v>6109.0038210265539</v>
      </c>
      <c r="AM430" s="40">
        <f t="shared" si="47"/>
        <v>68.354140780063148</v>
      </c>
      <c r="AN430" s="40">
        <f t="shared" si="47"/>
        <v>4.6579387312448695E-6</v>
      </c>
      <c r="AO430" s="40">
        <f t="shared" si="47"/>
        <v>6.1477832461522652</v>
      </c>
      <c r="AP430" s="40">
        <f t="shared" si="47"/>
        <v>5580.6244380848693</v>
      </c>
      <c r="AQ430" s="40">
        <f t="shared" si="47"/>
        <v>5.4938807488417555E-8</v>
      </c>
      <c r="AR430" s="40">
        <f t="shared" si="47"/>
        <v>1.856270554574854E-6</v>
      </c>
      <c r="AS430" s="40">
        <f t="shared" si="47"/>
        <v>126.55769326966515</v>
      </c>
      <c r="AT430" s="40">
        <f t="shared" si="47"/>
        <v>8.065825212</v>
      </c>
      <c r="AU430" s="40">
        <f t="shared" si="47"/>
        <v>0</v>
      </c>
      <c r="AV430" s="313">
        <f t="shared" si="47"/>
        <v>61.054507951942853</v>
      </c>
      <c r="AW430" s="317">
        <f t="shared" si="47"/>
        <v>0.70667511750000001</v>
      </c>
      <c r="AX430" s="317">
        <f t="shared" si="47"/>
        <v>9.926829900000001E-4</v>
      </c>
      <c r="AY430" s="313">
        <f t="shared" si="47"/>
        <v>5434.3592408651348</v>
      </c>
      <c r="AZ430" s="40">
        <f t="shared" si="47"/>
        <v>588</v>
      </c>
      <c r="BA430" s="40">
        <f t="shared" si="47"/>
        <v>0</v>
      </c>
      <c r="BB430" s="40">
        <f t="shared" si="47"/>
        <v>0</v>
      </c>
      <c r="BC430" s="40">
        <f t="shared" si="47"/>
        <v>-10.449283225081491</v>
      </c>
      <c r="BD430" s="40">
        <f t="shared" si="47"/>
        <v>4.1507536555255124E-3</v>
      </c>
      <c r="BE430" s="40">
        <f t="shared" si="47"/>
        <v>24.052446510746044</v>
      </c>
      <c r="BF430" s="40">
        <f t="shared" si="47"/>
        <v>6.8880305295951384E-3</v>
      </c>
      <c r="BG430" s="40">
        <f t="shared" si="47"/>
        <v>0</v>
      </c>
      <c r="BH430" s="40">
        <f t="shared" si="47"/>
        <v>1000</v>
      </c>
      <c r="BI430" s="40">
        <f t="shared" si="47"/>
        <v>0</v>
      </c>
      <c r="BJ430" s="40">
        <f t="shared" si="47"/>
        <v>0</v>
      </c>
      <c r="BK430" s="40">
        <f t="shared" si="47"/>
        <v>0</v>
      </c>
      <c r="BL430" s="62">
        <v>0.3</v>
      </c>
      <c r="BM430" s="275">
        <v>2</v>
      </c>
      <c r="BN430" s="62">
        <v>0</v>
      </c>
      <c r="BO430" s="33" t="s">
        <v>526</v>
      </c>
    </row>
    <row r="431" spans="1:67">
      <c r="A431" s="33" t="str">
        <f>Database_Productkaarten[[#This Row],[Product]]&amp;", "&amp;Database_Productkaarten[[#This Row],[Levensfase]]</f>
        <v>AC Surf 30% PR - PCR 2.0, A1</v>
      </c>
      <c r="B431" s="33" t="s">
        <v>529</v>
      </c>
      <c r="C431" s="33" t="s">
        <v>483</v>
      </c>
      <c r="D431" s="33" t="s">
        <v>377</v>
      </c>
      <c r="E431" s="33" t="s">
        <v>378</v>
      </c>
      <c r="F431" s="33" t="s">
        <v>74</v>
      </c>
      <c r="L431" s="33">
        <v>2.35</v>
      </c>
      <c r="M431" s="269">
        <v>1</v>
      </c>
      <c r="N431" s="211">
        <v>5.7475900574497398</v>
      </c>
      <c r="O431" s="33">
        <v>14</v>
      </c>
      <c r="P431" s="163">
        <v>5.8901111793250899E-4</v>
      </c>
      <c r="Q431" s="163">
        <v>1.08950050955348</v>
      </c>
      <c r="R431" s="163">
        <v>44.784130708458697</v>
      </c>
      <c r="S431" s="163">
        <v>3.3571750619294902E-6</v>
      </c>
      <c r="T431" s="163">
        <v>0.114988275788752</v>
      </c>
      <c r="U431" s="163">
        <v>0.28853075072241402</v>
      </c>
      <c r="V431" s="163">
        <v>2.1314109752781502E-2</v>
      </c>
      <c r="W431" s="163">
        <v>10.507695458006401</v>
      </c>
      <c r="X431" s="163">
        <v>1.70371733773511</v>
      </c>
      <c r="Y431" s="163">
        <v>7479.63788727063</v>
      </c>
      <c r="Z431" s="163">
        <v>0.21956735242724601</v>
      </c>
      <c r="AA431" s="163">
        <v>47.912769369204497</v>
      </c>
      <c r="AB431" s="163">
        <v>47.763260250255499</v>
      </c>
      <c r="AC431" s="163">
        <v>0.15046215964330101</v>
      </c>
      <c r="AD431" s="163">
        <v>2.7934959305711399E-2</v>
      </c>
      <c r="AE431" s="163">
        <v>4.0582480156521999E-6</v>
      </c>
      <c r="AF431" s="163">
        <v>0.33487578214990799</v>
      </c>
      <c r="AG431" s="163">
        <v>7.2257941903336995E-4</v>
      </c>
      <c r="AH431" s="163">
        <v>4.1723027871460601E-2</v>
      </c>
      <c r="AI431" s="163">
        <v>0.40534314832870999</v>
      </c>
      <c r="AJ431" s="163">
        <v>0.32281167362575702</v>
      </c>
      <c r="AK431" s="163">
        <v>5.8896359188386198E-4</v>
      </c>
      <c r="AL431" s="163">
        <v>2315.53356071895</v>
      </c>
      <c r="AM431" s="163">
        <v>42.817467163165297</v>
      </c>
      <c r="AN431" s="163">
        <v>1.3859551144637799E-6</v>
      </c>
      <c r="AO431" s="163">
        <v>1.3232101095334501</v>
      </c>
      <c r="AP431" s="163">
        <v>2775.38737036976</v>
      </c>
      <c r="AQ431" s="163">
        <v>1.3394665035856199E-8</v>
      </c>
      <c r="AR431" s="163">
        <v>6.4504885902716896E-7</v>
      </c>
      <c r="AS431" s="163">
        <v>209.68397880940199</v>
      </c>
      <c r="AT431" s="163">
        <v>0</v>
      </c>
      <c r="AU431" s="163">
        <v>0</v>
      </c>
      <c r="AV431" s="313">
        <v>18.3197154222092</v>
      </c>
      <c r="AW431" s="315">
        <v>0</v>
      </c>
      <c r="AX431" s="315">
        <v>0</v>
      </c>
      <c r="AY431" s="313">
        <v>2464.1756919628301</v>
      </c>
      <c r="AZ431" s="163">
        <v>294</v>
      </c>
      <c r="BA431" s="163">
        <v>0</v>
      </c>
      <c r="BB431" s="163">
        <v>0</v>
      </c>
      <c r="BC431" s="163">
        <v>1.0264774891785</v>
      </c>
      <c r="BD431" s="163">
        <v>8.3640257073749696E-4</v>
      </c>
      <c r="BE431" s="163">
        <v>2.1169231803486999</v>
      </c>
      <c r="BF431" s="163">
        <v>7.96302862125318E-4</v>
      </c>
      <c r="BG431" s="163">
        <v>0</v>
      </c>
      <c r="BH431" s="163">
        <v>0</v>
      </c>
      <c r="BI431" s="163">
        <v>0</v>
      </c>
      <c r="BJ431" s="163">
        <v>0</v>
      </c>
      <c r="BK431" s="163">
        <v>0</v>
      </c>
      <c r="BL431" s="62">
        <v>0.3</v>
      </c>
      <c r="BM431" s="275">
        <v>2</v>
      </c>
      <c r="BN431" s="62">
        <v>0</v>
      </c>
      <c r="BO431" s="33" t="s">
        <v>526</v>
      </c>
    </row>
    <row r="432" spans="1:67">
      <c r="A432" s="33" t="str">
        <f>Database_Productkaarten[[#This Row],[Product]]&amp;", "&amp;Database_Productkaarten[[#This Row],[Levensfase]]</f>
        <v>AC Surf 30% PR - PCR 2.0, A2</v>
      </c>
      <c r="B432" s="33" t="s">
        <v>529</v>
      </c>
      <c r="C432" s="33" t="s">
        <v>483</v>
      </c>
      <c r="D432" s="33" t="s">
        <v>377</v>
      </c>
      <c r="E432" s="33" t="s">
        <v>378</v>
      </c>
      <c r="F432" s="33" t="s">
        <v>75</v>
      </c>
      <c r="L432" s="33">
        <v>2.35</v>
      </c>
      <c r="M432" s="269">
        <v>1</v>
      </c>
      <c r="N432" s="211">
        <v>2.8366554814738221</v>
      </c>
      <c r="O432" s="33">
        <v>14</v>
      </c>
      <c r="P432" s="163">
        <v>2.6005462849876498E-4</v>
      </c>
      <c r="Q432" s="163">
        <v>0.15105579124249499</v>
      </c>
      <c r="R432" s="163">
        <v>23.7397277704363</v>
      </c>
      <c r="S432" s="163">
        <v>3.5419677674873E-6</v>
      </c>
      <c r="T432" s="163">
        <v>1.4019993499347599E-2</v>
      </c>
      <c r="U432" s="163">
        <v>0.15851130214409201</v>
      </c>
      <c r="V432" s="163">
        <v>3.5003694003869101E-2</v>
      </c>
      <c r="W432" s="163">
        <v>6.5046903936298399</v>
      </c>
      <c r="X432" s="163">
        <v>0.16984781893114501</v>
      </c>
      <c r="Y432" s="163">
        <v>559.47589856767797</v>
      </c>
      <c r="Z432" s="163">
        <v>2.9478285305849301E-2</v>
      </c>
      <c r="AA432" s="163">
        <v>24.011074468009799</v>
      </c>
      <c r="AB432" s="163">
        <v>23.938593993740799</v>
      </c>
      <c r="AC432" s="163">
        <v>3.4057818042842802E-2</v>
      </c>
      <c r="AD432" s="163">
        <v>3.84226562261646E-2</v>
      </c>
      <c r="AE432" s="163">
        <v>4.4070025127385002E-6</v>
      </c>
      <c r="AF432" s="163">
        <v>0.22019340222928299</v>
      </c>
      <c r="AG432" s="163">
        <v>2.8002176106254202E-4</v>
      </c>
      <c r="AH432" s="163">
        <v>9.2517793521077502E-2</v>
      </c>
      <c r="AI432" s="163">
        <v>1.0184338203801799</v>
      </c>
      <c r="AJ432" s="163">
        <v>0.26517492346424298</v>
      </c>
      <c r="AK432" s="163">
        <v>2.6004446872153898E-4</v>
      </c>
      <c r="AL432" s="163">
        <v>313.06680653467998</v>
      </c>
      <c r="AM432" s="163">
        <v>1.4055433326412501</v>
      </c>
      <c r="AN432" s="163">
        <v>8.2147544752520201E-7</v>
      </c>
      <c r="AO432" s="163">
        <v>1.34863362769247</v>
      </c>
      <c r="AP432" s="163">
        <v>277.19032798457499</v>
      </c>
      <c r="AQ432" s="163">
        <v>1.12021257110569E-8</v>
      </c>
      <c r="AR432" s="163">
        <v>2.1270541885554701E-7</v>
      </c>
      <c r="AS432" s="163">
        <v>245.81175909503699</v>
      </c>
      <c r="AT432" s="163">
        <v>0</v>
      </c>
      <c r="AU432" s="163">
        <v>0</v>
      </c>
      <c r="AV432" s="313">
        <v>6.6781577592771297</v>
      </c>
      <c r="AW432" s="315">
        <v>0</v>
      </c>
      <c r="AX432" s="315">
        <v>0</v>
      </c>
      <c r="AY432" s="313">
        <v>332.25208315856202</v>
      </c>
      <c r="AZ432" s="163">
        <v>0</v>
      </c>
      <c r="BA432" s="163">
        <v>0</v>
      </c>
      <c r="BB432" s="163">
        <v>0</v>
      </c>
      <c r="BC432" s="163">
        <v>5.5525417606839697E-2</v>
      </c>
      <c r="BD432" s="163">
        <v>8.1134923686426198E-4</v>
      </c>
      <c r="BE432" s="163">
        <v>5.1827038226753004</v>
      </c>
      <c r="BF432" s="163">
        <v>2.0342067652916302E-3</v>
      </c>
      <c r="BG432" s="163">
        <v>0</v>
      </c>
      <c r="BH432" s="163">
        <v>0</v>
      </c>
      <c r="BI432" s="163">
        <v>0</v>
      </c>
      <c r="BJ432" s="163">
        <v>0</v>
      </c>
      <c r="BK432" s="163">
        <v>0</v>
      </c>
      <c r="BL432" s="62">
        <v>0.3</v>
      </c>
      <c r="BM432" s="275">
        <v>2</v>
      </c>
      <c r="BN432" s="62">
        <v>0</v>
      </c>
      <c r="BO432" s="33" t="s">
        <v>526</v>
      </c>
    </row>
    <row r="433" spans="1:67">
      <c r="A433" s="33" t="str">
        <f>Database_Productkaarten[[#This Row],[Product]]&amp;", "&amp;Database_Productkaarten[[#This Row],[Levensfase]]</f>
        <v>AC Surf 30% PR - PCR 2.0, A3</v>
      </c>
      <c r="B433" s="33" t="s">
        <v>529</v>
      </c>
      <c r="C433" s="33" t="s">
        <v>483</v>
      </c>
      <c r="D433" s="33" t="s">
        <v>377</v>
      </c>
      <c r="E433" s="33" t="s">
        <v>378</v>
      </c>
      <c r="F433" s="33" t="s">
        <v>76</v>
      </c>
      <c r="L433" s="33">
        <v>2.35</v>
      </c>
      <c r="M433" s="269">
        <v>1</v>
      </c>
      <c r="N433" s="211">
        <v>1.7282094326086572</v>
      </c>
      <c r="O433" s="33">
        <v>14</v>
      </c>
      <c r="P433" s="163">
        <v>2.1372565169370499E-5</v>
      </c>
      <c r="Q433" s="163">
        <v>0.20829809370831301</v>
      </c>
      <c r="R433" s="163">
        <v>24.360387670942</v>
      </c>
      <c r="S433" s="163">
        <v>2.79866460888429E-6</v>
      </c>
      <c r="T433" s="163">
        <v>3.9172042931527396E-3</v>
      </c>
      <c r="U433" s="163">
        <v>2.32484241594146E-2</v>
      </c>
      <c r="V433" s="163">
        <v>3.8699153059380499E-3</v>
      </c>
      <c r="W433" s="163">
        <v>3.6526757428185301</v>
      </c>
      <c r="X433" s="163">
        <v>2.51005597983643E-2</v>
      </c>
      <c r="Y433" s="163">
        <v>102.330763082576</v>
      </c>
      <c r="Z433" s="163">
        <v>2.31786931041843E-2</v>
      </c>
      <c r="AA433" s="163">
        <v>24.716285507880499</v>
      </c>
      <c r="AB433" s="163">
        <v>24.664767925059198</v>
      </c>
      <c r="AC433" s="163">
        <v>4.9597595072502998E-2</v>
      </c>
      <c r="AD433" s="163">
        <v>1.9199877487324701E-3</v>
      </c>
      <c r="AE433" s="163">
        <v>3.1598965863361202E-6</v>
      </c>
      <c r="AF433" s="163">
        <v>2.98619684063034E-2</v>
      </c>
      <c r="AG433" s="163">
        <v>2.4759672210593401E-4</v>
      </c>
      <c r="AH433" s="163">
        <v>8.3850685352830599E-3</v>
      </c>
      <c r="AI433" s="163">
        <v>9.4540827344055903E-2</v>
      </c>
      <c r="AJ433" s="163">
        <v>2.8910117761429599E-2</v>
      </c>
      <c r="AK433" s="163">
        <v>2.1372269763289301E-5</v>
      </c>
      <c r="AL433" s="163">
        <v>383.83624022843702</v>
      </c>
      <c r="AM433" s="163">
        <v>0.51038533100370798</v>
      </c>
      <c r="AN433" s="163">
        <v>1.9718449360801001E-7</v>
      </c>
      <c r="AO433" s="163">
        <v>0.26865643463465999</v>
      </c>
      <c r="AP433" s="163">
        <v>73.674588384422904</v>
      </c>
      <c r="AQ433" s="163">
        <v>2.93712322642196E-9</v>
      </c>
      <c r="AR433" s="163">
        <v>4.8786148261749802E-8</v>
      </c>
      <c r="AS433" s="163">
        <v>15.7458799605194</v>
      </c>
      <c r="AT433" s="163">
        <v>0</v>
      </c>
      <c r="AU433" s="163">
        <v>0</v>
      </c>
      <c r="AV433" s="313">
        <v>6.4453861262549896</v>
      </c>
      <c r="AW433" s="315">
        <v>0</v>
      </c>
      <c r="AX433" s="315">
        <v>0</v>
      </c>
      <c r="AY433" s="313">
        <v>423.493161497752</v>
      </c>
      <c r="AZ433" s="163">
        <v>0</v>
      </c>
      <c r="BA433" s="163">
        <v>0</v>
      </c>
      <c r="BB433" s="163">
        <v>0</v>
      </c>
      <c r="BC433" s="163">
        <v>3.7578587858808903E-2</v>
      </c>
      <c r="BD433" s="163">
        <v>4.69713853032962E-4</v>
      </c>
      <c r="BE433" s="163">
        <v>0.27024292586465598</v>
      </c>
      <c r="BF433" s="163">
        <v>3.4670692345557097E-4</v>
      </c>
      <c r="BG433" s="163">
        <v>0</v>
      </c>
      <c r="BH433" s="163">
        <v>0</v>
      </c>
      <c r="BI433" s="163">
        <v>0</v>
      </c>
      <c r="BJ433" s="163">
        <v>0</v>
      </c>
      <c r="BK433" s="163">
        <v>0</v>
      </c>
      <c r="BL433" s="62">
        <v>0.3</v>
      </c>
      <c r="BM433" s="275">
        <v>2</v>
      </c>
      <c r="BN433" s="62">
        <v>0</v>
      </c>
      <c r="BO433" s="33" t="s">
        <v>526</v>
      </c>
    </row>
    <row r="434" spans="1:67">
      <c r="A434" s="33" t="str">
        <f>Database_Productkaarten[[#This Row],[Product]]&amp;", "&amp;Database_Productkaarten[[#This Row],[Levensfase]]</f>
        <v>AC Surf 30% PR - PCR 2.0, A1-A3</v>
      </c>
      <c r="B434" s="33" t="str">
        <f>B433</f>
        <v>AC Surf 30% PR - PCR 2.0</v>
      </c>
      <c r="C434" s="33" t="str">
        <f>C433</f>
        <v>Bitumineuze verhardingen</v>
      </c>
      <c r="D434" s="33" t="str">
        <f>D433</f>
        <v>AC surf</v>
      </c>
      <c r="E434" s="33" t="str">
        <f>E433</f>
        <v>Ton</v>
      </c>
      <c r="F434" s="33" t="s">
        <v>77</v>
      </c>
      <c r="L434" s="33">
        <f>L433</f>
        <v>2.35</v>
      </c>
      <c r="M434" s="45">
        <f>M433</f>
        <v>1</v>
      </c>
      <c r="N434" s="41">
        <f>SUM(N431:N433)</f>
        <v>10.312454971532219</v>
      </c>
      <c r="O434" s="33">
        <f>O433</f>
        <v>14</v>
      </c>
      <c r="P434" s="40">
        <f>SUM(P431:P433)</f>
        <v>8.7043831160064445E-4</v>
      </c>
      <c r="Q434" s="40">
        <f t="shared" ref="Q434:BK434" si="48">SUM(Q431:Q433)</f>
        <v>1.448854394504288</v>
      </c>
      <c r="R434" s="40">
        <f t="shared" si="48"/>
        <v>92.884246149836997</v>
      </c>
      <c r="S434" s="40">
        <f t="shared" si="48"/>
        <v>9.6978074383010811E-6</v>
      </c>
      <c r="T434" s="40">
        <f t="shared" si="48"/>
        <v>0.13292547358125234</v>
      </c>
      <c r="U434" s="40">
        <f t="shared" si="48"/>
        <v>0.47029047702592058</v>
      </c>
      <c r="V434" s="40">
        <f t="shared" si="48"/>
        <v>6.018771906258865E-2</v>
      </c>
      <c r="W434" s="40">
        <f t="shared" si="48"/>
        <v>20.66506159445477</v>
      </c>
      <c r="X434" s="40">
        <f t="shared" si="48"/>
        <v>1.8986657164646192</v>
      </c>
      <c r="Y434" s="40">
        <f t="shared" si="48"/>
        <v>8141.4445489208838</v>
      </c>
      <c r="Z434" s="40">
        <f t="shared" si="48"/>
        <v>0.27222433083727959</v>
      </c>
      <c r="AA434" s="40">
        <f t="shared" si="48"/>
        <v>96.640129345094792</v>
      </c>
      <c r="AB434" s="40">
        <f t="shared" si="48"/>
        <v>96.366622169055489</v>
      </c>
      <c r="AC434" s="40">
        <f t="shared" si="48"/>
        <v>0.23411757275864681</v>
      </c>
      <c r="AD434" s="40">
        <f t="shared" si="48"/>
        <v>6.8277603280608473E-2</v>
      </c>
      <c r="AE434" s="40">
        <f t="shared" si="48"/>
        <v>1.1625147114726822E-5</v>
      </c>
      <c r="AF434" s="40">
        <f t="shared" si="48"/>
        <v>0.58493115278549435</v>
      </c>
      <c r="AG434" s="40">
        <f t="shared" si="48"/>
        <v>1.250197902201846E-3</v>
      </c>
      <c r="AH434" s="40">
        <f t="shared" si="48"/>
        <v>0.14262588992782116</v>
      </c>
      <c r="AI434" s="40">
        <f t="shared" si="48"/>
        <v>1.5183177960529459</v>
      </c>
      <c r="AJ434" s="40">
        <f t="shared" si="48"/>
        <v>0.61689671485142961</v>
      </c>
      <c r="AK434" s="40">
        <f t="shared" si="48"/>
        <v>8.7038033036869022E-4</v>
      </c>
      <c r="AL434" s="40">
        <f t="shared" si="48"/>
        <v>3012.4366074820668</v>
      </c>
      <c r="AM434" s="40">
        <f t="shared" si="48"/>
        <v>44.733395826810259</v>
      </c>
      <c r="AN434" s="40">
        <f t="shared" si="48"/>
        <v>2.4046150555969917E-6</v>
      </c>
      <c r="AO434" s="40">
        <f t="shared" si="48"/>
        <v>2.9405001718605801</v>
      </c>
      <c r="AP434" s="40">
        <f t="shared" si="48"/>
        <v>3126.2522867387579</v>
      </c>
      <c r="AQ434" s="40">
        <f t="shared" si="48"/>
        <v>2.7533913973335061E-8</v>
      </c>
      <c r="AR434" s="40">
        <f t="shared" si="48"/>
        <v>9.0654042614446584E-7</v>
      </c>
      <c r="AS434" s="40">
        <f t="shared" si="48"/>
        <v>471.24161786495841</v>
      </c>
      <c r="AT434" s="40">
        <f t="shared" si="48"/>
        <v>0</v>
      </c>
      <c r="AU434" s="40">
        <f t="shared" si="48"/>
        <v>0</v>
      </c>
      <c r="AV434" s="317">
        <f t="shared" si="48"/>
        <v>31.443259307741322</v>
      </c>
      <c r="AW434" s="317">
        <f t="shared" si="48"/>
        <v>0</v>
      </c>
      <c r="AX434" s="317">
        <f t="shared" si="48"/>
        <v>0</v>
      </c>
      <c r="AY434" s="317">
        <f t="shared" si="48"/>
        <v>3219.9209366191444</v>
      </c>
      <c r="AZ434" s="40">
        <f t="shared" si="48"/>
        <v>294</v>
      </c>
      <c r="BA434" s="40">
        <f t="shared" si="48"/>
        <v>0</v>
      </c>
      <c r="BB434" s="40">
        <f t="shared" si="48"/>
        <v>0</v>
      </c>
      <c r="BC434" s="40">
        <f t="shared" si="48"/>
        <v>1.1195814946441485</v>
      </c>
      <c r="BD434" s="40">
        <f t="shared" si="48"/>
        <v>2.1174656606347208E-3</v>
      </c>
      <c r="BE434" s="40">
        <f t="shared" si="48"/>
        <v>7.5698699288886555</v>
      </c>
      <c r="BF434" s="40">
        <f t="shared" si="48"/>
        <v>3.1772165508725195E-3</v>
      </c>
      <c r="BG434" s="40">
        <f t="shared" si="48"/>
        <v>0</v>
      </c>
      <c r="BH434" s="40">
        <f t="shared" si="48"/>
        <v>0</v>
      </c>
      <c r="BI434" s="40">
        <f t="shared" si="48"/>
        <v>0</v>
      </c>
      <c r="BJ434" s="40">
        <f t="shared" si="48"/>
        <v>0</v>
      </c>
      <c r="BK434" s="40">
        <f t="shared" si="48"/>
        <v>0</v>
      </c>
      <c r="BL434" s="62">
        <f>BL433</f>
        <v>0.3</v>
      </c>
      <c r="BM434" s="275">
        <f>BM433</f>
        <v>2</v>
      </c>
      <c r="BN434" s="62">
        <v>0</v>
      </c>
      <c r="BO434" s="33" t="str">
        <f>BO433</f>
        <v>Ecochain 2022 LCA Achtergrondrapport voor Nederlandse branchereferentiemengsels 2022</v>
      </c>
    </row>
    <row r="435" spans="1:67">
      <c r="A435" s="33" t="str">
        <f>Database_Productkaarten[[#This Row],[Product]]&amp;", "&amp;Database_Productkaarten[[#This Row],[Levensfase]]</f>
        <v>AC Surf 30% PR - PCR 2.0, A4</v>
      </c>
      <c r="B435" s="33" t="s">
        <v>529</v>
      </c>
      <c r="C435" s="33" t="s">
        <v>483</v>
      </c>
      <c r="D435" s="33" t="s">
        <v>377</v>
      </c>
      <c r="E435" s="33" t="s">
        <v>378</v>
      </c>
      <c r="F435" s="33" t="s">
        <v>78</v>
      </c>
      <c r="L435" s="33">
        <v>2.35</v>
      </c>
      <c r="M435" s="269">
        <v>1</v>
      </c>
      <c r="N435" s="211">
        <v>0.37546048090943995</v>
      </c>
      <c r="O435" s="33">
        <v>14</v>
      </c>
      <c r="P435" s="163">
        <v>6.8533509000000002E-5</v>
      </c>
      <c r="Q435" s="163">
        <v>2.9713889699999999E-2</v>
      </c>
      <c r="R435" s="163">
        <v>3.9891474704999998</v>
      </c>
      <c r="S435" s="163">
        <v>7.557213E-7</v>
      </c>
      <c r="T435" s="163">
        <v>2.4773701499999998E-3</v>
      </c>
      <c r="U435" s="163">
        <v>1.36398132E-2</v>
      </c>
      <c r="V435" s="163">
        <v>2.5682192100000001E-3</v>
      </c>
      <c r="W435" s="163">
        <v>0.8608144794</v>
      </c>
      <c r="X435" s="163">
        <v>3.6189873900000002E-2</v>
      </c>
      <c r="Y435" s="163">
        <v>97.376595929999993</v>
      </c>
      <c r="Z435" s="163">
        <v>4.8437180999999999E-3</v>
      </c>
      <c r="AA435" s="163">
        <v>4.0259382761999998</v>
      </c>
      <c r="AB435" s="163">
        <v>4.0229543298000001</v>
      </c>
      <c r="AC435" s="163">
        <v>1.9814632200000001E-3</v>
      </c>
      <c r="AD435" s="163">
        <v>1.0024609799999999E-3</v>
      </c>
      <c r="AE435" s="163">
        <v>9.4976262000000003E-7</v>
      </c>
      <c r="AF435" s="163">
        <v>1.7739576E-2</v>
      </c>
      <c r="AG435" s="163">
        <v>2.7841996800000001E-5</v>
      </c>
      <c r="AH435" s="163">
        <v>5.5484582100000001E-3</v>
      </c>
      <c r="AI435" s="163">
        <v>6.1385308800000003E-2</v>
      </c>
      <c r="AJ435" s="163">
        <v>1.9235744999999999E-2</v>
      </c>
      <c r="AK435" s="163">
        <v>6.8533397999999998E-5</v>
      </c>
      <c r="AL435" s="163">
        <v>62.400806729999999</v>
      </c>
      <c r="AM435" s="163">
        <v>0.212954166</v>
      </c>
      <c r="AN435" s="163">
        <v>2.9338876200000002E-7</v>
      </c>
      <c r="AO435" s="163">
        <v>0.26868483510000002</v>
      </c>
      <c r="AP435" s="163">
        <v>45.56587296</v>
      </c>
      <c r="AQ435" s="163">
        <v>1.16371179E-9</v>
      </c>
      <c r="AR435" s="163">
        <v>3.8268015899999999E-8</v>
      </c>
      <c r="AS435" s="163">
        <v>71.806844609999999</v>
      </c>
      <c r="AT435" s="163">
        <v>0</v>
      </c>
      <c r="AU435" s="163">
        <v>0</v>
      </c>
      <c r="AV435" s="313">
        <v>0.63474917099999995</v>
      </c>
      <c r="AW435" s="315">
        <v>0</v>
      </c>
      <c r="AX435" s="315">
        <v>0</v>
      </c>
      <c r="AY435" s="313">
        <v>66.265108560000002</v>
      </c>
      <c r="AZ435" s="163">
        <v>0</v>
      </c>
      <c r="BA435" s="163">
        <v>0</v>
      </c>
      <c r="BB435" s="163">
        <v>0</v>
      </c>
      <c r="BC435" s="163">
        <v>6.7467797999999999E-3</v>
      </c>
      <c r="BD435" s="163">
        <v>1.54707915E-4</v>
      </c>
      <c r="BE435" s="163">
        <v>5.4635493149999999</v>
      </c>
      <c r="BF435" s="163">
        <v>4.25149758E-4</v>
      </c>
      <c r="BG435" s="163">
        <v>0</v>
      </c>
      <c r="BH435" s="163">
        <v>0</v>
      </c>
      <c r="BI435" s="163">
        <v>0</v>
      </c>
      <c r="BJ435" s="163">
        <v>0</v>
      </c>
      <c r="BK435" s="163">
        <v>0</v>
      </c>
      <c r="BL435" s="62">
        <v>0.3</v>
      </c>
      <c r="BM435" s="275">
        <v>2</v>
      </c>
      <c r="BN435" s="62">
        <v>0</v>
      </c>
      <c r="BO435" s="33" t="s">
        <v>526</v>
      </c>
    </row>
    <row r="436" spans="1:67">
      <c r="A436" s="33" t="str">
        <f>Database_Productkaarten[[#This Row],[Product]]&amp;", "&amp;Database_Productkaarten[[#This Row],[Levensfase]]</f>
        <v>AC Surf 30% PR - PCR 2.0, A5</v>
      </c>
      <c r="B436" s="33" t="s">
        <v>529</v>
      </c>
      <c r="C436" s="33" t="s">
        <v>483</v>
      </c>
      <c r="D436" s="33" t="s">
        <v>377</v>
      </c>
      <c r="E436" s="33" t="s">
        <v>378</v>
      </c>
      <c r="F436" s="33" t="s">
        <v>79</v>
      </c>
      <c r="L436" s="33">
        <v>2.35</v>
      </c>
      <c r="M436" s="269">
        <v>1</v>
      </c>
      <c r="N436" s="211">
        <v>0.25970533320492506</v>
      </c>
      <c r="O436" s="33">
        <v>14</v>
      </c>
      <c r="P436" s="163">
        <v>2.9238192707677499E-6</v>
      </c>
      <c r="Q436" s="163">
        <v>1.2437868994803101E-2</v>
      </c>
      <c r="R436" s="163">
        <v>2.5295292150192399</v>
      </c>
      <c r="S436" s="163">
        <v>3.2687703886028899E-7</v>
      </c>
      <c r="T436" s="163">
        <v>9.4117069173933505E-4</v>
      </c>
      <c r="U436" s="163">
        <v>1.04973944418747E-2</v>
      </c>
      <c r="V436" s="163">
        <v>2.4039520956642799E-3</v>
      </c>
      <c r="W436" s="163">
        <v>0.68877613954753103</v>
      </c>
      <c r="X436" s="163">
        <v>9.7024793749382592E-3</v>
      </c>
      <c r="Y436" s="163">
        <v>33.711839732380902</v>
      </c>
      <c r="Z436" s="163">
        <v>1.1490061137566399E-3</v>
      </c>
      <c r="AA436" s="163">
        <v>2.5482276268106898</v>
      </c>
      <c r="AB436" s="163">
        <v>2.5474969800300298</v>
      </c>
      <c r="AC436" s="163">
        <v>5.8195030453543704E-4</v>
      </c>
      <c r="AD436" s="163">
        <v>1.4869647611911901E-4</v>
      </c>
      <c r="AE436" s="163">
        <v>4.1187797926667899E-7</v>
      </c>
      <c r="AF436" s="163">
        <v>1.4654717094299699E-2</v>
      </c>
      <c r="AG436" s="163">
        <v>6.9471842586934604E-6</v>
      </c>
      <c r="AH436" s="163">
        <v>6.3596059772135999E-3</v>
      </c>
      <c r="AI436" s="163">
        <v>6.9798399515416901E-2</v>
      </c>
      <c r="AJ436" s="163">
        <v>1.8200499450150499E-2</v>
      </c>
      <c r="AK436" s="163">
        <v>2.9237963272080899E-6</v>
      </c>
      <c r="AL436" s="163">
        <v>26.243144439375399</v>
      </c>
      <c r="AM436" s="163">
        <v>3.4951581797827903E-2</v>
      </c>
      <c r="AN436" s="163">
        <v>5.4485692533963201E-8</v>
      </c>
      <c r="AO436" s="163">
        <v>0.112638013429362</v>
      </c>
      <c r="AP436" s="163">
        <v>15.747062710553401</v>
      </c>
      <c r="AQ436" s="163">
        <v>5.5245137337162301E-10</v>
      </c>
      <c r="AR436" s="163">
        <v>1.32398654133379E-8</v>
      </c>
      <c r="AS436" s="163">
        <v>3.3519896072098101</v>
      </c>
      <c r="AT436" s="163">
        <v>0</v>
      </c>
      <c r="AU436" s="163">
        <v>0</v>
      </c>
      <c r="AV436" s="313">
        <v>0.14424535955109299</v>
      </c>
      <c r="AW436" s="315">
        <v>0</v>
      </c>
      <c r="AX436" s="315">
        <v>0</v>
      </c>
      <c r="AY436" s="313">
        <v>27.869389367605098</v>
      </c>
      <c r="AZ436" s="163">
        <v>0</v>
      </c>
      <c r="BA436" s="163">
        <v>0</v>
      </c>
      <c r="BB436" s="163">
        <v>0</v>
      </c>
      <c r="BC436" s="163">
        <v>1.3565965754365301E-3</v>
      </c>
      <c r="BD436" s="163">
        <v>7.1467090199142804E-5</v>
      </c>
      <c r="BE436" s="163">
        <v>3.1052769846838101E-2</v>
      </c>
      <c r="BF436" s="163">
        <v>1.8239126227471199E-4</v>
      </c>
      <c r="BG436" s="163">
        <v>0</v>
      </c>
      <c r="BH436" s="163">
        <v>0</v>
      </c>
      <c r="BI436" s="163">
        <v>0</v>
      </c>
      <c r="BJ436" s="163">
        <v>0</v>
      </c>
      <c r="BK436" s="163">
        <v>0</v>
      </c>
      <c r="BL436" s="62">
        <v>0.3</v>
      </c>
      <c r="BM436" s="275">
        <v>2</v>
      </c>
      <c r="BN436" s="62">
        <v>0</v>
      </c>
      <c r="BO436" s="33" t="s">
        <v>526</v>
      </c>
    </row>
    <row r="437" spans="1:67">
      <c r="A437" s="33" t="str">
        <f>Database_Productkaarten[[#This Row],[Product]]&amp;", "&amp;Database_Productkaarten[[#This Row],[Levensfase]]</f>
        <v>AC Surf 30% PR - PCR 2.0, B1</v>
      </c>
      <c r="B437" s="33" t="s">
        <v>529</v>
      </c>
      <c r="C437" s="33" t="s">
        <v>483</v>
      </c>
      <c r="D437" s="33" t="s">
        <v>377</v>
      </c>
      <c r="E437" s="33" t="s">
        <v>378</v>
      </c>
      <c r="F437" s="33" t="s">
        <v>80</v>
      </c>
      <c r="L437" s="33">
        <v>2.35</v>
      </c>
      <c r="M437" s="269">
        <v>1</v>
      </c>
      <c r="N437" s="211">
        <v>8.2079854524338774E-2</v>
      </c>
      <c r="O437" s="33">
        <v>14</v>
      </c>
      <c r="P437" s="163">
        <v>0</v>
      </c>
      <c r="Q437" s="163">
        <v>0</v>
      </c>
      <c r="R437" s="163">
        <v>0</v>
      </c>
      <c r="S437" s="163">
        <v>0</v>
      </c>
      <c r="T437" s="163">
        <v>0</v>
      </c>
      <c r="U437" s="163">
        <v>0</v>
      </c>
      <c r="V437" s="163">
        <v>0</v>
      </c>
      <c r="W437" s="163">
        <v>0.33065065287376499</v>
      </c>
      <c r="X437" s="163">
        <v>0.35447901498708101</v>
      </c>
      <c r="Y437" s="163">
        <v>416.74823543935599</v>
      </c>
      <c r="Z437" s="163">
        <v>2.0169620253149699E-4</v>
      </c>
      <c r="AA437" s="163">
        <v>0</v>
      </c>
      <c r="AB437" s="163">
        <v>0</v>
      </c>
      <c r="AC437" s="163">
        <v>0</v>
      </c>
      <c r="AD437" s="163">
        <v>0</v>
      </c>
      <c r="AE437" s="163">
        <v>0</v>
      </c>
      <c r="AF437" s="163">
        <v>0</v>
      </c>
      <c r="AG437" s="163">
        <v>0</v>
      </c>
      <c r="AH437" s="163">
        <v>0</v>
      </c>
      <c r="AI437" s="163">
        <v>0</v>
      </c>
      <c r="AJ437" s="163">
        <v>0</v>
      </c>
      <c r="AK437" s="163">
        <v>0</v>
      </c>
      <c r="AL437" s="163">
        <v>0</v>
      </c>
      <c r="AM437" s="163">
        <v>0</v>
      </c>
      <c r="AN437" s="163">
        <v>0</v>
      </c>
      <c r="AO437" s="163">
        <v>0</v>
      </c>
      <c r="AP437" s="163">
        <v>2.4574834227146498</v>
      </c>
      <c r="AQ437" s="163">
        <v>6.1425360401853599E-10</v>
      </c>
      <c r="AR437" s="163">
        <v>3.6903212873143E-8</v>
      </c>
      <c r="AS437" s="163">
        <v>0</v>
      </c>
      <c r="AT437" s="163">
        <v>0</v>
      </c>
      <c r="AU437" s="163">
        <v>0</v>
      </c>
      <c r="AV437" s="313">
        <v>0</v>
      </c>
      <c r="AW437" s="315">
        <v>0</v>
      </c>
      <c r="AX437" s="315">
        <v>0</v>
      </c>
      <c r="AY437" s="313">
        <v>0</v>
      </c>
      <c r="AZ437" s="163">
        <v>0</v>
      </c>
      <c r="BA437" s="163">
        <v>0</v>
      </c>
      <c r="BB437" s="163">
        <v>0</v>
      </c>
      <c r="BC437" s="163">
        <v>0</v>
      </c>
      <c r="BD437" s="163">
        <v>0</v>
      </c>
      <c r="BE437" s="163">
        <v>0</v>
      </c>
      <c r="BF437" s="163">
        <v>0</v>
      </c>
      <c r="BG437" s="163">
        <v>0</v>
      </c>
      <c r="BH437" s="163">
        <v>0</v>
      </c>
      <c r="BI437" s="163">
        <v>0</v>
      </c>
      <c r="BJ437" s="163">
        <v>0</v>
      </c>
      <c r="BK437" s="163">
        <v>0</v>
      </c>
      <c r="BL437" s="62">
        <v>0.3</v>
      </c>
      <c r="BM437" s="275">
        <v>2</v>
      </c>
      <c r="BN437" s="62">
        <v>0</v>
      </c>
      <c r="BO437" s="33" t="s">
        <v>526</v>
      </c>
    </row>
    <row r="438" spans="1:67">
      <c r="A438" s="33" t="str">
        <f>Database_Productkaarten[[#This Row],[Product]]&amp;", "&amp;Database_Productkaarten[[#This Row],[Levensfase]]</f>
        <v>AC Surf 30% PR - PCR 2.0, B2</v>
      </c>
      <c r="B438" s="33" t="s">
        <v>529</v>
      </c>
      <c r="C438" s="33" t="s">
        <v>483</v>
      </c>
      <c r="D438" s="33" t="s">
        <v>377</v>
      </c>
      <c r="E438" s="33" t="s">
        <v>378</v>
      </c>
      <c r="F438" s="33" t="s">
        <v>527</v>
      </c>
      <c r="L438" s="33">
        <v>2.35</v>
      </c>
      <c r="M438" s="269">
        <v>1</v>
      </c>
      <c r="N438" s="211">
        <v>0</v>
      </c>
      <c r="O438" s="33">
        <v>14</v>
      </c>
      <c r="P438" s="163">
        <v>0</v>
      </c>
      <c r="Q438" s="163">
        <v>0</v>
      </c>
      <c r="R438" s="163">
        <v>0</v>
      </c>
      <c r="S438" s="163">
        <v>0</v>
      </c>
      <c r="T438" s="163">
        <v>0</v>
      </c>
      <c r="U438" s="163">
        <v>0</v>
      </c>
      <c r="V438" s="163">
        <v>0</v>
      </c>
      <c r="W438" s="163">
        <v>0</v>
      </c>
      <c r="X438" s="163">
        <v>0</v>
      </c>
      <c r="Y438" s="163">
        <v>0</v>
      </c>
      <c r="Z438" s="163">
        <v>0</v>
      </c>
      <c r="AA438" s="163">
        <v>0</v>
      </c>
      <c r="AB438" s="163">
        <v>0</v>
      </c>
      <c r="AC438" s="163">
        <v>0</v>
      </c>
      <c r="AD438" s="163">
        <v>0</v>
      </c>
      <c r="AE438" s="163">
        <v>0</v>
      </c>
      <c r="AF438" s="163">
        <v>0</v>
      </c>
      <c r="AG438" s="163">
        <v>0</v>
      </c>
      <c r="AH438" s="163">
        <v>0</v>
      </c>
      <c r="AI438" s="163">
        <v>0</v>
      </c>
      <c r="AJ438" s="163">
        <v>0</v>
      </c>
      <c r="AK438" s="163">
        <v>0</v>
      </c>
      <c r="AL438" s="163">
        <v>0</v>
      </c>
      <c r="AM438" s="163">
        <v>0</v>
      </c>
      <c r="AN438" s="163">
        <v>0</v>
      </c>
      <c r="AO438" s="163">
        <v>0</v>
      </c>
      <c r="AP438" s="163">
        <v>0</v>
      </c>
      <c r="AQ438" s="163">
        <v>0</v>
      </c>
      <c r="AR438" s="163">
        <v>0</v>
      </c>
      <c r="AS438" s="163">
        <v>0</v>
      </c>
      <c r="AT438" s="163">
        <v>0</v>
      </c>
      <c r="AU438" s="163">
        <v>0</v>
      </c>
      <c r="AV438" s="313">
        <v>0</v>
      </c>
      <c r="AW438" s="315">
        <v>0</v>
      </c>
      <c r="AX438" s="315">
        <v>0</v>
      </c>
      <c r="AY438" s="313">
        <v>0</v>
      </c>
      <c r="AZ438" s="163">
        <v>0</v>
      </c>
      <c r="BA438" s="163">
        <v>0</v>
      </c>
      <c r="BB438" s="163">
        <v>0</v>
      </c>
      <c r="BC438" s="163">
        <v>0</v>
      </c>
      <c r="BD438" s="163">
        <v>0</v>
      </c>
      <c r="BE438" s="163">
        <v>0</v>
      </c>
      <c r="BF438" s="163">
        <v>0</v>
      </c>
      <c r="BG438" s="163">
        <v>0</v>
      </c>
      <c r="BH438" s="163">
        <v>0</v>
      </c>
      <c r="BI438" s="163">
        <v>0</v>
      </c>
      <c r="BJ438" s="163">
        <v>0</v>
      </c>
      <c r="BK438" s="163">
        <v>0</v>
      </c>
      <c r="BL438" s="62">
        <v>0.3</v>
      </c>
      <c r="BM438" s="275">
        <v>2</v>
      </c>
      <c r="BN438" s="62">
        <v>0</v>
      </c>
      <c r="BO438" s="33" t="s">
        <v>526</v>
      </c>
    </row>
    <row r="439" spans="1:67">
      <c r="A439" s="33" t="str">
        <f>Database_Productkaarten[[#This Row],[Product]]&amp;", "&amp;Database_Productkaarten[[#This Row],[Levensfase]]</f>
        <v>AC Surf 30% PR - PCR 2.0, B3</v>
      </c>
      <c r="B439" s="33" t="s">
        <v>529</v>
      </c>
      <c r="C439" s="33" t="s">
        <v>483</v>
      </c>
      <c r="D439" s="33" t="s">
        <v>377</v>
      </c>
      <c r="E439" s="33" t="s">
        <v>378</v>
      </c>
      <c r="F439" s="33" t="s">
        <v>81</v>
      </c>
      <c r="L439" s="33">
        <v>2.35</v>
      </c>
      <c r="M439" s="269">
        <v>1</v>
      </c>
      <c r="N439" s="211">
        <v>0</v>
      </c>
      <c r="O439" s="33">
        <v>14</v>
      </c>
      <c r="P439" s="163">
        <v>0</v>
      </c>
      <c r="Q439" s="163">
        <v>0</v>
      </c>
      <c r="R439" s="163">
        <v>0</v>
      </c>
      <c r="S439" s="163">
        <v>0</v>
      </c>
      <c r="T439" s="163">
        <v>0</v>
      </c>
      <c r="U439" s="163">
        <v>0</v>
      </c>
      <c r="V439" s="163">
        <v>0</v>
      </c>
      <c r="W439" s="163">
        <v>0</v>
      </c>
      <c r="X439" s="163">
        <v>0</v>
      </c>
      <c r="Y439" s="163">
        <v>0</v>
      </c>
      <c r="Z439" s="163">
        <v>0</v>
      </c>
      <c r="AA439" s="163">
        <v>0</v>
      </c>
      <c r="AB439" s="163">
        <v>0</v>
      </c>
      <c r="AC439" s="163">
        <v>0</v>
      </c>
      <c r="AD439" s="163">
        <v>0</v>
      </c>
      <c r="AE439" s="163">
        <v>0</v>
      </c>
      <c r="AF439" s="163">
        <v>0</v>
      </c>
      <c r="AG439" s="163">
        <v>0</v>
      </c>
      <c r="AH439" s="163">
        <v>0</v>
      </c>
      <c r="AI439" s="163">
        <v>0</v>
      </c>
      <c r="AJ439" s="163">
        <v>0</v>
      </c>
      <c r="AK439" s="163">
        <v>0</v>
      </c>
      <c r="AL439" s="163">
        <v>0</v>
      </c>
      <c r="AM439" s="163">
        <v>0</v>
      </c>
      <c r="AN439" s="163">
        <v>0</v>
      </c>
      <c r="AO439" s="163">
        <v>0</v>
      </c>
      <c r="AP439" s="163">
        <v>0</v>
      </c>
      <c r="AQ439" s="163">
        <v>0</v>
      </c>
      <c r="AR439" s="163">
        <v>0</v>
      </c>
      <c r="AS439" s="163">
        <v>0</v>
      </c>
      <c r="AT439" s="163">
        <v>0</v>
      </c>
      <c r="AU439" s="163">
        <v>0</v>
      </c>
      <c r="AV439" s="313">
        <v>0</v>
      </c>
      <c r="AW439" s="315">
        <v>0</v>
      </c>
      <c r="AX439" s="315">
        <v>0</v>
      </c>
      <c r="AY439" s="313">
        <v>0</v>
      </c>
      <c r="AZ439" s="163">
        <v>0</v>
      </c>
      <c r="BA439" s="163">
        <v>0</v>
      </c>
      <c r="BB439" s="163">
        <v>0</v>
      </c>
      <c r="BC439" s="163">
        <v>0</v>
      </c>
      <c r="BD439" s="163">
        <v>0</v>
      </c>
      <c r="BE439" s="163">
        <v>0</v>
      </c>
      <c r="BF439" s="163">
        <v>0</v>
      </c>
      <c r="BG439" s="163">
        <v>0</v>
      </c>
      <c r="BH439" s="163">
        <v>0</v>
      </c>
      <c r="BI439" s="163">
        <v>0</v>
      </c>
      <c r="BJ439" s="163">
        <v>0</v>
      </c>
      <c r="BK439" s="163">
        <v>0</v>
      </c>
      <c r="BL439" s="62">
        <v>0.3</v>
      </c>
      <c r="BM439" s="275">
        <v>2</v>
      </c>
      <c r="BN439" s="62">
        <v>0</v>
      </c>
      <c r="BO439" s="33" t="s">
        <v>526</v>
      </c>
    </row>
    <row r="440" spans="1:67">
      <c r="A440" s="33" t="str">
        <f>Database_Productkaarten[[#This Row],[Product]]&amp;", "&amp;Database_Productkaarten[[#This Row],[Levensfase]]</f>
        <v>AC Surf 30% PR - PCR 2.0, B4</v>
      </c>
      <c r="B440" s="33" t="s">
        <v>529</v>
      </c>
      <c r="C440" s="33" t="s">
        <v>483</v>
      </c>
      <c r="D440" s="33" t="s">
        <v>377</v>
      </c>
      <c r="E440" s="33" t="s">
        <v>378</v>
      </c>
      <c r="F440" s="33" t="s">
        <v>82</v>
      </c>
      <c r="L440" s="33">
        <v>2.35</v>
      </c>
      <c r="M440" s="269">
        <v>1</v>
      </c>
      <c r="N440" s="211">
        <v>0</v>
      </c>
      <c r="O440" s="33">
        <v>14</v>
      </c>
      <c r="P440" s="163">
        <v>0</v>
      </c>
      <c r="Q440" s="163">
        <v>0</v>
      </c>
      <c r="R440" s="163">
        <v>0</v>
      </c>
      <c r="S440" s="163">
        <v>0</v>
      </c>
      <c r="T440" s="163">
        <v>0</v>
      </c>
      <c r="U440" s="163">
        <v>0</v>
      </c>
      <c r="V440" s="163">
        <v>0</v>
      </c>
      <c r="W440" s="163">
        <v>0</v>
      </c>
      <c r="X440" s="163">
        <v>0</v>
      </c>
      <c r="Y440" s="163">
        <v>0</v>
      </c>
      <c r="Z440" s="163">
        <v>0</v>
      </c>
      <c r="AA440" s="163">
        <v>0</v>
      </c>
      <c r="AB440" s="163">
        <v>0</v>
      </c>
      <c r="AC440" s="163">
        <v>0</v>
      </c>
      <c r="AD440" s="163">
        <v>0</v>
      </c>
      <c r="AE440" s="163">
        <v>0</v>
      </c>
      <c r="AF440" s="163">
        <v>0</v>
      </c>
      <c r="AG440" s="163">
        <v>0</v>
      </c>
      <c r="AH440" s="163">
        <v>0</v>
      </c>
      <c r="AI440" s="163">
        <v>0</v>
      </c>
      <c r="AJ440" s="163">
        <v>0</v>
      </c>
      <c r="AK440" s="163">
        <v>0</v>
      </c>
      <c r="AL440" s="163">
        <v>0</v>
      </c>
      <c r="AM440" s="163">
        <v>0</v>
      </c>
      <c r="AN440" s="163">
        <v>0</v>
      </c>
      <c r="AO440" s="163">
        <v>0</v>
      </c>
      <c r="AP440" s="163">
        <v>0</v>
      </c>
      <c r="AQ440" s="163">
        <v>0</v>
      </c>
      <c r="AR440" s="163">
        <v>0</v>
      </c>
      <c r="AS440" s="163">
        <v>0</v>
      </c>
      <c r="AT440" s="163">
        <v>0</v>
      </c>
      <c r="AU440" s="163">
        <v>0</v>
      </c>
      <c r="AV440" s="313">
        <v>0</v>
      </c>
      <c r="AW440" s="315">
        <v>0</v>
      </c>
      <c r="AX440" s="315">
        <v>0</v>
      </c>
      <c r="AY440" s="313">
        <v>0</v>
      </c>
      <c r="AZ440" s="163">
        <v>0</v>
      </c>
      <c r="BA440" s="163">
        <v>0</v>
      </c>
      <c r="BB440" s="163">
        <v>0</v>
      </c>
      <c r="BC440" s="163">
        <v>0</v>
      </c>
      <c r="BD440" s="163">
        <v>0</v>
      </c>
      <c r="BE440" s="163">
        <v>0</v>
      </c>
      <c r="BF440" s="163">
        <v>0</v>
      </c>
      <c r="BG440" s="163">
        <v>0</v>
      </c>
      <c r="BH440" s="163">
        <v>0</v>
      </c>
      <c r="BI440" s="163">
        <v>0</v>
      </c>
      <c r="BJ440" s="163">
        <v>0</v>
      </c>
      <c r="BK440" s="163">
        <v>0</v>
      </c>
      <c r="BL440" s="62">
        <v>0.3</v>
      </c>
      <c r="BM440" s="275">
        <v>2</v>
      </c>
      <c r="BN440" s="62">
        <v>0</v>
      </c>
      <c r="BO440" s="33" t="s">
        <v>526</v>
      </c>
    </row>
    <row r="441" spans="1:67">
      <c r="A441" s="33" t="str">
        <f>Database_Productkaarten[[#This Row],[Product]]&amp;", "&amp;Database_Productkaarten[[#This Row],[Levensfase]]</f>
        <v>AC Surf 30% PR - PCR 2.0, B5</v>
      </c>
      <c r="B441" s="33" t="s">
        <v>529</v>
      </c>
      <c r="C441" s="33" t="s">
        <v>483</v>
      </c>
      <c r="D441" s="33" t="s">
        <v>377</v>
      </c>
      <c r="E441" s="33" t="s">
        <v>378</v>
      </c>
      <c r="F441" s="33" t="s">
        <v>528</v>
      </c>
      <c r="L441" s="33">
        <v>2.35</v>
      </c>
      <c r="M441" s="269">
        <v>1</v>
      </c>
      <c r="N441" s="211">
        <v>0</v>
      </c>
      <c r="O441" s="33">
        <v>14</v>
      </c>
      <c r="P441" s="163">
        <v>0</v>
      </c>
      <c r="Q441" s="163">
        <v>0</v>
      </c>
      <c r="R441" s="163">
        <v>0</v>
      </c>
      <c r="S441" s="163">
        <v>0</v>
      </c>
      <c r="T441" s="163">
        <v>0</v>
      </c>
      <c r="U441" s="163">
        <v>0</v>
      </c>
      <c r="V441" s="163">
        <v>0</v>
      </c>
      <c r="W441" s="163">
        <v>0</v>
      </c>
      <c r="X441" s="163">
        <v>0</v>
      </c>
      <c r="Y441" s="163">
        <v>0</v>
      </c>
      <c r="Z441" s="163">
        <v>0</v>
      </c>
      <c r="AA441" s="163">
        <v>0</v>
      </c>
      <c r="AB441" s="163">
        <v>0</v>
      </c>
      <c r="AC441" s="163">
        <v>0</v>
      </c>
      <c r="AD441" s="163">
        <v>0</v>
      </c>
      <c r="AE441" s="163">
        <v>0</v>
      </c>
      <c r="AF441" s="163">
        <v>0</v>
      </c>
      <c r="AG441" s="163">
        <v>0</v>
      </c>
      <c r="AH441" s="163">
        <v>0</v>
      </c>
      <c r="AI441" s="163">
        <v>0</v>
      </c>
      <c r="AJ441" s="163">
        <v>0</v>
      </c>
      <c r="AK441" s="163">
        <v>0</v>
      </c>
      <c r="AL441" s="163">
        <v>0</v>
      </c>
      <c r="AM441" s="163">
        <v>0</v>
      </c>
      <c r="AN441" s="163">
        <v>0</v>
      </c>
      <c r="AO441" s="163">
        <v>0</v>
      </c>
      <c r="AP441" s="163">
        <v>0</v>
      </c>
      <c r="AQ441" s="163">
        <v>0</v>
      </c>
      <c r="AR441" s="163">
        <v>0</v>
      </c>
      <c r="AS441" s="163">
        <v>0</v>
      </c>
      <c r="AT441" s="163">
        <v>0</v>
      </c>
      <c r="AU441" s="163">
        <v>0</v>
      </c>
      <c r="AV441" s="313">
        <v>0</v>
      </c>
      <c r="AW441" s="315">
        <v>0</v>
      </c>
      <c r="AX441" s="315">
        <v>0</v>
      </c>
      <c r="AY441" s="313">
        <v>0</v>
      </c>
      <c r="AZ441" s="163">
        <v>0</v>
      </c>
      <c r="BA441" s="163">
        <v>0</v>
      </c>
      <c r="BB441" s="163">
        <v>0</v>
      </c>
      <c r="BC441" s="163">
        <v>0</v>
      </c>
      <c r="BD441" s="163">
        <v>0</v>
      </c>
      <c r="BE441" s="163">
        <v>0</v>
      </c>
      <c r="BF441" s="163">
        <v>0</v>
      </c>
      <c r="BG441" s="163">
        <v>0</v>
      </c>
      <c r="BH441" s="163">
        <v>0</v>
      </c>
      <c r="BI441" s="163">
        <v>0</v>
      </c>
      <c r="BJ441" s="163">
        <v>0</v>
      </c>
      <c r="BK441" s="163">
        <v>0</v>
      </c>
      <c r="BL441" s="62">
        <v>0.3</v>
      </c>
      <c r="BM441" s="275">
        <v>2</v>
      </c>
      <c r="BN441" s="62">
        <v>0</v>
      </c>
      <c r="BO441" s="33" t="s">
        <v>526</v>
      </c>
    </row>
    <row r="442" spans="1:67">
      <c r="A442" s="33" t="str">
        <f>Database_Productkaarten[[#This Row],[Product]]&amp;", "&amp;Database_Productkaarten[[#This Row],[Levensfase]]</f>
        <v>AC Surf 30% PR - PCR 2.0, C1</v>
      </c>
      <c r="B442" s="33" t="s">
        <v>529</v>
      </c>
      <c r="C442" s="33" t="s">
        <v>483</v>
      </c>
      <c r="D442" s="33" t="s">
        <v>377</v>
      </c>
      <c r="E442" s="33" t="s">
        <v>378</v>
      </c>
      <c r="F442" s="33" t="s">
        <v>83</v>
      </c>
      <c r="L442" s="33">
        <v>2.35</v>
      </c>
      <c r="M442" s="269">
        <v>1</v>
      </c>
      <c r="N442" s="211">
        <v>0.13541602848322476</v>
      </c>
      <c r="O442" s="33">
        <v>14</v>
      </c>
      <c r="P442" s="163">
        <v>1.66355234371269E-6</v>
      </c>
      <c r="Q442" s="163">
        <v>7.0767185660086497E-3</v>
      </c>
      <c r="R442" s="163">
        <v>1.4392148982005999</v>
      </c>
      <c r="S442" s="163">
        <v>1.85981763489475E-7</v>
      </c>
      <c r="T442" s="163">
        <v>4.7349882800803002E-4</v>
      </c>
      <c r="U442" s="163">
        <v>4.1086089065848902E-3</v>
      </c>
      <c r="V442" s="163">
        <v>8.8311374408511496E-4</v>
      </c>
      <c r="W442" s="163">
        <v>0.38738647324256198</v>
      </c>
      <c r="X442" s="163">
        <v>5.5203761960855597E-3</v>
      </c>
      <c r="Y442" s="163">
        <v>19.1808743304926</v>
      </c>
      <c r="Z442" s="163">
        <v>6.5374485782705195E-4</v>
      </c>
      <c r="AA442" s="163">
        <v>1.44808107913367</v>
      </c>
      <c r="AB442" s="163">
        <v>1.4476653663101899</v>
      </c>
      <c r="AC442" s="163">
        <v>3.3110965602877899E-4</v>
      </c>
      <c r="AD442" s="163">
        <v>8.4603167447084698E-5</v>
      </c>
      <c r="AE442" s="163">
        <v>2.343443675138E-7</v>
      </c>
      <c r="AF442" s="163">
        <v>5.5792397950341199E-3</v>
      </c>
      <c r="AG442" s="163">
        <v>3.9527082851186902E-6</v>
      </c>
      <c r="AH442" s="163">
        <v>2.1681682870361299E-3</v>
      </c>
      <c r="AI442" s="163">
        <v>2.3831205862228699E-2</v>
      </c>
      <c r="AJ442" s="163">
        <v>6.5087102457774297E-3</v>
      </c>
      <c r="AK442" s="163">
        <v>1.6635392896183899E-6</v>
      </c>
      <c r="AL442" s="163">
        <v>14.931444249989401</v>
      </c>
      <c r="AM442" s="163">
        <v>1.9886244816005601E-2</v>
      </c>
      <c r="AN442" s="163">
        <v>2.3049580029673099E-8</v>
      </c>
      <c r="AO442" s="163">
        <v>6.4087145571878099E-2</v>
      </c>
      <c r="AP442" s="163">
        <v>8.9589317785898306</v>
      </c>
      <c r="AQ442" s="163">
        <v>3.1432578140109399E-10</v>
      </c>
      <c r="AR442" s="163">
        <v>6.31006644282671E-9</v>
      </c>
      <c r="AS442" s="163">
        <v>1.9071665006538601</v>
      </c>
      <c r="AT442" s="163">
        <v>0</v>
      </c>
      <c r="AU442" s="163">
        <v>0</v>
      </c>
      <c r="AV442" s="313">
        <v>8.20706356066562E-2</v>
      </c>
      <c r="AW442" s="315">
        <v>0</v>
      </c>
      <c r="AX442" s="315">
        <v>0</v>
      </c>
      <c r="AY442" s="313">
        <v>15.8567215367408</v>
      </c>
      <c r="AZ442" s="163">
        <v>0</v>
      </c>
      <c r="BA442" s="163">
        <v>0</v>
      </c>
      <c r="BB442" s="163">
        <v>0</v>
      </c>
      <c r="BC442" s="163">
        <v>7.7185667223112896E-4</v>
      </c>
      <c r="BD442" s="163">
        <v>4.0662309940891601E-5</v>
      </c>
      <c r="BE442" s="163">
        <v>1.76679552576837E-2</v>
      </c>
      <c r="BF442" s="163">
        <v>1.03774338880439E-4</v>
      </c>
      <c r="BG442" s="163">
        <v>0</v>
      </c>
      <c r="BH442" s="163">
        <v>0</v>
      </c>
      <c r="BI442" s="163">
        <v>0</v>
      </c>
      <c r="BJ442" s="163">
        <v>0</v>
      </c>
      <c r="BK442" s="163">
        <v>0</v>
      </c>
      <c r="BL442" s="62">
        <v>0.3</v>
      </c>
      <c r="BM442" s="275">
        <v>2</v>
      </c>
      <c r="BN442" s="62">
        <v>0</v>
      </c>
      <c r="BO442" s="33" t="s">
        <v>526</v>
      </c>
    </row>
    <row r="443" spans="1:67">
      <c r="A443" s="33" t="str">
        <f>Database_Productkaarten[[#This Row],[Product]]&amp;", "&amp;Database_Productkaarten[[#This Row],[Levensfase]]</f>
        <v>AC Surf 30% PR - PCR 2.0, C2</v>
      </c>
      <c r="B443" s="33" t="s">
        <v>529</v>
      </c>
      <c r="C443" s="33" t="s">
        <v>483</v>
      </c>
      <c r="D443" s="33" t="s">
        <v>377</v>
      </c>
      <c r="E443" s="33" t="s">
        <v>378</v>
      </c>
      <c r="F443" s="33" t="s">
        <v>84</v>
      </c>
      <c r="L443" s="33">
        <v>2.35</v>
      </c>
      <c r="M443" s="269">
        <v>1</v>
      </c>
      <c r="N443" s="211">
        <v>0.31791357541832999</v>
      </c>
      <c r="O443" s="33">
        <v>14</v>
      </c>
      <c r="P443" s="163">
        <v>7.2195843000000002E-5</v>
      </c>
      <c r="Q443" s="163">
        <v>2.5045429500000001E-2</v>
      </c>
      <c r="R443" s="163">
        <v>3.2726104581</v>
      </c>
      <c r="S443" s="163">
        <v>6.2448211500000004E-7</v>
      </c>
      <c r="T443" s="163">
        <v>2.3663202E-3</v>
      </c>
      <c r="U443" s="163">
        <v>9.9103019999999993E-3</v>
      </c>
      <c r="V443" s="163">
        <v>1.66070541E-3</v>
      </c>
      <c r="W443" s="163">
        <v>0.89062466159999998</v>
      </c>
      <c r="X443" s="163">
        <v>3.5055542699999998E-2</v>
      </c>
      <c r="Y443" s="163">
        <v>92.682047400000002</v>
      </c>
      <c r="Z443" s="163">
        <v>7.4868390000000003E-3</v>
      </c>
      <c r="AA443" s="163">
        <v>3.3150718431000001</v>
      </c>
      <c r="AB443" s="163">
        <v>3.3001817481</v>
      </c>
      <c r="AC443" s="163">
        <v>1.3607189190000001E-2</v>
      </c>
      <c r="AD443" s="163">
        <v>1.2829113599999999E-3</v>
      </c>
      <c r="AE443" s="163">
        <v>7.8107336699999998E-7</v>
      </c>
      <c r="AF443" s="163">
        <v>1.2482505E-2</v>
      </c>
      <c r="AG443" s="163">
        <v>3.4632532799999998E-5</v>
      </c>
      <c r="AH443" s="163">
        <v>2.8897329300000001E-3</v>
      </c>
      <c r="AI443" s="163">
        <v>3.3662059799999998E-2</v>
      </c>
      <c r="AJ443" s="163">
        <v>1.2098522699999999E-2</v>
      </c>
      <c r="AK443" s="163">
        <v>7.2195510000000004E-5</v>
      </c>
      <c r="AL443" s="163">
        <v>52.307882313</v>
      </c>
      <c r="AM443" s="163">
        <v>0.28570883850000001</v>
      </c>
      <c r="AN443" s="163">
        <v>2.8544027399999998E-7</v>
      </c>
      <c r="AO443" s="163">
        <v>0.22308385950000001</v>
      </c>
      <c r="AP443" s="163">
        <v>50.61443379</v>
      </c>
      <c r="AQ443" s="163">
        <v>1.35209877E-9</v>
      </c>
      <c r="AR443" s="163">
        <v>4.3221490799999998E-8</v>
      </c>
      <c r="AS443" s="163">
        <v>98.528772599999996</v>
      </c>
      <c r="AT443" s="163">
        <v>8.065825212</v>
      </c>
      <c r="AU443" s="163">
        <v>0</v>
      </c>
      <c r="AV443" s="313">
        <v>8.6963547624000004</v>
      </c>
      <c r="AW443" s="315">
        <v>0.70667511750000001</v>
      </c>
      <c r="AX443" s="315">
        <v>9.926829900000001E-4</v>
      </c>
      <c r="AY443" s="313">
        <v>55.561210727999999</v>
      </c>
      <c r="AZ443" s="163">
        <v>0</v>
      </c>
      <c r="BA443" s="163">
        <v>0</v>
      </c>
      <c r="BB443" s="163">
        <v>0</v>
      </c>
      <c r="BC443" s="163">
        <v>8.7338241000000007E-3</v>
      </c>
      <c r="BD443" s="163">
        <v>1.5376752299999999E-4</v>
      </c>
      <c r="BE443" s="163">
        <v>5.5583861609999996</v>
      </c>
      <c r="BF443" s="163">
        <v>3.4865666099999999E-4</v>
      </c>
      <c r="BG443" s="163">
        <v>0</v>
      </c>
      <c r="BH443" s="163">
        <v>0</v>
      </c>
      <c r="BI443" s="163">
        <v>0</v>
      </c>
      <c r="BJ443" s="163">
        <v>0</v>
      </c>
      <c r="BK443" s="163">
        <v>0</v>
      </c>
      <c r="BL443" s="62">
        <v>0.3</v>
      </c>
      <c r="BM443" s="275">
        <v>2</v>
      </c>
      <c r="BN443" s="62">
        <v>0</v>
      </c>
      <c r="BO443" s="33" t="s">
        <v>526</v>
      </c>
    </row>
    <row r="444" spans="1:67">
      <c r="A444" s="33" t="str">
        <f>Database_Productkaarten[[#This Row],[Product]]&amp;", "&amp;Database_Productkaarten[[#This Row],[Levensfase]]</f>
        <v>AC Surf 30% PR - PCR 2.0, C3</v>
      </c>
      <c r="B444" s="33" t="s">
        <v>529</v>
      </c>
      <c r="C444" s="33" t="s">
        <v>483</v>
      </c>
      <c r="D444" s="33" t="s">
        <v>377</v>
      </c>
      <c r="E444" s="33" t="s">
        <v>378</v>
      </c>
      <c r="F444" s="33" t="s">
        <v>85</v>
      </c>
      <c r="L444" s="33">
        <v>2.35</v>
      </c>
      <c r="M444" s="269">
        <v>1</v>
      </c>
      <c r="N444" s="211">
        <v>0.15929996445265776</v>
      </c>
      <c r="O444" s="33">
        <v>14</v>
      </c>
      <c r="P444" s="163">
        <v>1.8651950520415E-6</v>
      </c>
      <c r="Q444" s="163">
        <v>7.9345026346157605E-3</v>
      </c>
      <c r="R444" s="163">
        <v>1.6136651888915901</v>
      </c>
      <c r="S444" s="163">
        <v>2.0852500754880601E-7</v>
      </c>
      <c r="T444" s="163">
        <v>5.8559282648642803E-4</v>
      </c>
      <c r="U444" s="163">
        <v>5.7290955922309197E-3</v>
      </c>
      <c r="V444" s="163">
        <v>1.28200094033769E-3</v>
      </c>
      <c r="W444" s="163">
        <v>0.43705340511135699</v>
      </c>
      <c r="X444" s="163">
        <v>6.1895127047020201E-3</v>
      </c>
      <c r="Y444" s="163">
        <v>21.505828794794802</v>
      </c>
      <c r="Z444" s="163">
        <v>7.3298665877578602E-4</v>
      </c>
      <c r="AA444" s="163">
        <v>1.62432602236199</v>
      </c>
      <c r="AB444" s="163">
        <v>1.6238599201053701</v>
      </c>
      <c r="AC444" s="163">
        <v>3.7124415978984299E-4</v>
      </c>
      <c r="AD444" s="163">
        <v>9.4858096834610106E-5</v>
      </c>
      <c r="AE444" s="163">
        <v>2.6274974539425998E-7</v>
      </c>
      <c r="AF444" s="163">
        <v>7.9167720429161193E-3</v>
      </c>
      <c r="AG444" s="163">
        <v>4.4318244408906596E-6</v>
      </c>
      <c r="AH444" s="163">
        <v>3.3042609354642601E-3</v>
      </c>
      <c r="AI444" s="163">
        <v>3.6283310966736003E-2</v>
      </c>
      <c r="AJ444" s="163">
        <v>9.6537099664764092E-3</v>
      </c>
      <c r="AK444" s="163">
        <v>1.8651804156327501E-6</v>
      </c>
      <c r="AL444" s="163">
        <v>16.741316280291201</v>
      </c>
      <c r="AM444" s="163">
        <v>2.2296698733097101E-2</v>
      </c>
      <c r="AN444" s="163">
        <v>3.0576571272358099E-8</v>
      </c>
      <c r="AO444" s="163">
        <v>7.1855284429075503E-2</v>
      </c>
      <c r="AP444" s="163">
        <v>10.0456497775992</v>
      </c>
      <c r="AQ444" s="163">
        <v>3.5242587611638102E-10</v>
      </c>
      <c r="AR444" s="163">
        <v>7.5755651316935904E-9</v>
      </c>
      <c r="AS444" s="163">
        <v>2.1383381977028102</v>
      </c>
      <c r="AT444" s="163">
        <v>0</v>
      </c>
      <c r="AU444" s="163">
        <v>0</v>
      </c>
      <c r="AV444" s="313">
        <v>9.2018591437766403E-2</v>
      </c>
      <c r="AW444" s="315">
        <v>0</v>
      </c>
      <c r="AX444" s="315">
        <v>0</v>
      </c>
      <c r="AY444" s="313">
        <v>17.778748389679102</v>
      </c>
      <c r="AZ444" s="163">
        <v>0</v>
      </c>
      <c r="BA444" s="163">
        <v>0</v>
      </c>
      <c r="BB444" s="163">
        <v>0</v>
      </c>
      <c r="BC444" s="163">
        <v>8.6541505674399299E-4</v>
      </c>
      <c r="BD444" s="163">
        <v>4.55910747822118E-5</v>
      </c>
      <c r="BE444" s="163">
        <v>1.9809525591948401E-2</v>
      </c>
      <c r="BF444" s="163">
        <v>1.16353046623523E-4</v>
      </c>
      <c r="BG444" s="163">
        <v>0</v>
      </c>
      <c r="BH444" s="163">
        <v>1000</v>
      </c>
      <c r="BI444" s="163">
        <v>0</v>
      </c>
      <c r="BJ444" s="163">
        <v>0</v>
      </c>
      <c r="BK444" s="163">
        <v>0</v>
      </c>
      <c r="BL444" s="62">
        <v>0.3</v>
      </c>
      <c r="BM444" s="275">
        <v>2</v>
      </c>
      <c r="BN444" s="62">
        <v>0</v>
      </c>
      <c r="BO444" s="33" t="s">
        <v>526</v>
      </c>
    </row>
    <row r="445" spans="1:67">
      <c r="A445" s="33" t="str">
        <f>Database_Productkaarten[[#This Row],[Product]]&amp;", "&amp;Database_Productkaarten[[#This Row],[Levensfase]]</f>
        <v>AC Surf 30% PR - PCR 2.0, C4</v>
      </c>
      <c r="B445" s="33" t="s">
        <v>529</v>
      </c>
      <c r="C445" s="33" t="s">
        <v>483</v>
      </c>
      <c r="D445" s="33" t="s">
        <v>377</v>
      </c>
      <c r="E445" s="33" t="s">
        <v>378</v>
      </c>
      <c r="F445" s="33" t="s">
        <v>86</v>
      </c>
      <c r="L445" s="33">
        <v>2.35</v>
      </c>
      <c r="M445" s="269">
        <v>1</v>
      </c>
      <c r="N445" s="211">
        <v>0</v>
      </c>
      <c r="O445" s="33">
        <v>14</v>
      </c>
      <c r="P445" s="163">
        <v>0</v>
      </c>
      <c r="Q445" s="163">
        <v>0</v>
      </c>
      <c r="R445" s="163">
        <v>0</v>
      </c>
      <c r="S445" s="163">
        <v>0</v>
      </c>
      <c r="T445" s="163">
        <v>0</v>
      </c>
      <c r="U445" s="163">
        <v>0</v>
      </c>
      <c r="V445" s="163">
        <v>0</v>
      </c>
      <c r="W445" s="163">
        <v>0</v>
      </c>
      <c r="X445" s="163">
        <v>0</v>
      </c>
      <c r="Y445" s="163">
        <v>0</v>
      </c>
      <c r="Z445" s="163">
        <v>0</v>
      </c>
      <c r="AA445" s="163">
        <v>0</v>
      </c>
      <c r="AB445" s="163">
        <v>0</v>
      </c>
      <c r="AC445" s="163">
        <v>0</v>
      </c>
      <c r="AD445" s="163">
        <v>0</v>
      </c>
      <c r="AE445" s="163">
        <v>0</v>
      </c>
      <c r="AF445" s="163">
        <v>0</v>
      </c>
      <c r="AG445" s="163">
        <v>0</v>
      </c>
      <c r="AH445" s="163">
        <v>0</v>
      </c>
      <c r="AI445" s="163">
        <v>0</v>
      </c>
      <c r="AJ445" s="163">
        <v>0</v>
      </c>
      <c r="AK445" s="163">
        <v>0</v>
      </c>
      <c r="AL445" s="163">
        <v>0</v>
      </c>
      <c r="AM445" s="163">
        <v>0</v>
      </c>
      <c r="AN445" s="163">
        <v>0</v>
      </c>
      <c r="AO445" s="163">
        <v>0</v>
      </c>
      <c r="AP445" s="163">
        <v>0</v>
      </c>
      <c r="AQ445" s="163">
        <v>0</v>
      </c>
      <c r="AR445" s="163">
        <v>0</v>
      </c>
      <c r="AS445" s="163">
        <v>0</v>
      </c>
      <c r="AT445" s="163">
        <v>0</v>
      </c>
      <c r="AU445" s="163">
        <v>0</v>
      </c>
      <c r="AV445" s="313">
        <v>0</v>
      </c>
      <c r="AW445" s="315">
        <v>0</v>
      </c>
      <c r="AX445" s="315">
        <v>0</v>
      </c>
      <c r="AY445" s="313">
        <v>0</v>
      </c>
      <c r="AZ445" s="163">
        <v>0</v>
      </c>
      <c r="BA445" s="163">
        <v>0</v>
      </c>
      <c r="BB445" s="163">
        <v>0</v>
      </c>
      <c r="BC445" s="163">
        <v>0</v>
      </c>
      <c r="BD445" s="163">
        <v>0</v>
      </c>
      <c r="BE445" s="163">
        <v>0</v>
      </c>
      <c r="BF445" s="163">
        <v>0</v>
      </c>
      <c r="BG445" s="163">
        <v>0</v>
      </c>
      <c r="BH445" s="163">
        <v>0</v>
      </c>
      <c r="BI445" s="163">
        <v>0</v>
      </c>
      <c r="BJ445" s="163">
        <v>0</v>
      </c>
      <c r="BK445" s="163">
        <v>0</v>
      </c>
      <c r="BL445" s="62">
        <v>0.3</v>
      </c>
      <c r="BM445" s="275">
        <v>2</v>
      </c>
      <c r="BN445" s="62">
        <v>0</v>
      </c>
      <c r="BO445" s="33" t="s">
        <v>526</v>
      </c>
    </row>
    <row r="446" spans="1:67">
      <c r="A446" s="33" t="str">
        <f>Database_Productkaarten[[#This Row],[Product]]&amp;", "&amp;Database_Productkaarten[[#This Row],[Levensfase]]</f>
        <v>AC Surf 30% PR - PCR 2.0, D</v>
      </c>
      <c r="B446" s="33" t="s">
        <v>529</v>
      </c>
      <c r="C446" s="33" t="s">
        <v>483</v>
      </c>
      <c r="D446" s="33" t="s">
        <v>377</v>
      </c>
      <c r="E446" s="33" t="s">
        <v>378</v>
      </c>
      <c r="F446" s="33" t="s">
        <v>89</v>
      </c>
      <c r="L446" s="33">
        <v>2.35</v>
      </c>
      <c r="M446" s="269">
        <v>1</v>
      </c>
      <c r="N446" s="211">
        <v>-3.0837985071228311</v>
      </c>
      <c r="O446" s="33">
        <v>14</v>
      </c>
      <c r="P446" s="163">
        <v>-3.46214027073208E-4</v>
      </c>
      <c r="Q446" s="163">
        <v>-0.52638383920292797</v>
      </c>
      <c r="R446" s="163">
        <v>-22.9286111571069</v>
      </c>
      <c r="S446" s="163">
        <v>-1.96601259942394E-6</v>
      </c>
      <c r="T446" s="163">
        <v>-5.6613809625161902E-2</v>
      </c>
      <c r="U446" s="163">
        <v>-0.16196908117661599</v>
      </c>
      <c r="V446" s="163">
        <v>-1.54524580333725E-2</v>
      </c>
      <c r="W446" s="163">
        <v>-6.2839722493435</v>
      </c>
      <c r="X446" s="163">
        <v>-0.81599332055236196</v>
      </c>
      <c r="Y446" s="163">
        <v>-3563.7284906844002</v>
      </c>
      <c r="Z446" s="163">
        <v>-0.10743238316062299</v>
      </c>
      <c r="AA446" s="163">
        <v>-6.1419471939457004</v>
      </c>
      <c r="AB446" s="163">
        <v>-6.06854205506255</v>
      </c>
      <c r="AC446" s="163">
        <v>-6.5925696685863094E-2</v>
      </c>
      <c r="AD446" s="163">
        <v>-7.4794421972889701E-3</v>
      </c>
      <c r="AE446" s="163">
        <v>-8.0455335588558902E-7</v>
      </c>
      <c r="AF446" s="163">
        <v>-5.9339702803560497E-2</v>
      </c>
      <c r="AG446" s="163">
        <v>-2.59340972141784E-4</v>
      </c>
      <c r="AH446" s="163">
        <v>-1.75286806513021E-2</v>
      </c>
      <c r="AI446" s="163">
        <v>-0.22058039142431499</v>
      </c>
      <c r="AJ446" s="163">
        <v>-5.4423012897310899E-2</v>
      </c>
      <c r="AK446" s="163">
        <v>-3.4381973417668899E-4</v>
      </c>
      <c r="AL446" s="163">
        <v>-88.493987950235805</v>
      </c>
      <c r="AM446" s="163">
        <v>-21.688448403404301</v>
      </c>
      <c r="AN446" s="163">
        <v>-8.3823225978510795E-7</v>
      </c>
      <c r="AO446" s="163">
        <v>-0.47356623559921002</v>
      </c>
      <c r="AP446" s="163">
        <v>-805.269569832103</v>
      </c>
      <c r="AQ446" s="163">
        <v>-4.47828765316021E-9</v>
      </c>
      <c r="AR446" s="163">
        <v>-1.0232851427507901E-7</v>
      </c>
      <c r="AS446" s="163">
        <v>-993.65865397581797</v>
      </c>
      <c r="AT446" s="163">
        <v>0</v>
      </c>
      <c r="AU446" s="163">
        <v>0</v>
      </c>
      <c r="AV446" s="313">
        <v>-11.4814491835353</v>
      </c>
      <c r="AW446" s="315">
        <v>0</v>
      </c>
      <c r="AX446" s="315">
        <v>0</v>
      </c>
      <c r="AY446" s="313">
        <v>-1188.8138109551801</v>
      </c>
      <c r="AZ446" s="163">
        <v>0</v>
      </c>
      <c r="BA446" s="163">
        <v>0</v>
      </c>
      <c r="BB446" s="163">
        <v>0</v>
      </c>
      <c r="BC446" s="163">
        <v>-12.7069206865742</v>
      </c>
      <c r="BD446" s="163">
        <v>-5.5037357866617601E-4</v>
      </c>
      <c r="BE446" s="163">
        <v>-2.1777590737277301</v>
      </c>
      <c r="BF446" s="163">
        <v>-6.4272763892857503E-4</v>
      </c>
      <c r="BG446" s="163">
        <v>0</v>
      </c>
      <c r="BH446" s="163">
        <v>0</v>
      </c>
      <c r="BI446" s="163">
        <v>0</v>
      </c>
      <c r="BJ446" s="163">
        <v>0</v>
      </c>
      <c r="BK446" s="163">
        <v>0</v>
      </c>
      <c r="BL446" s="62">
        <v>0.3</v>
      </c>
      <c r="BM446" s="275">
        <v>2</v>
      </c>
      <c r="BN446" s="62">
        <v>0</v>
      </c>
      <c r="BO446" s="33" t="s">
        <v>526</v>
      </c>
    </row>
    <row r="447" spans="1:67">
      <c r="A447" s="33" t="str">
        <f>Database_Productkaarten[[#This Row],[Product]]&amp;", "&amp;Database_Productkaarten[[#This Row],[Levensfase]]</f>
        <v>AC Surf G.M. 0% PR - PCR 2.0, Totaal</v>
      </c>
      <c r="B447" s="33" t="s">
        <v>530</v>
      </c>
      <c r="C447" s="33" t="s">
        <v>483</v>
      </c>
      <c r="D447" s="33" t="s">
        <v>377</v>
      </c>
      <c r="E447" s="33" t="s">
        <v>378</v>
      </c>
      <c r="F447" s="33" t="s">
        <v>90</v>
      </c>
      <c r="L447" s="33">
        <v>2.35</v>
      </c>
      <c r="M447" s="269">
        <v>1</v>
      </c>
      <c r="N447" s="41">
        <f>SUM(N448:N463)</f>
        <v>26.20306825562291</v>
      </c>
      <c r="O447" s="33">
        <v>14</v>
      </c>
      <c r="P447" s="40">
        <f>SUM(P448:P463)</f>
        <v>1.4323689056403752E-2</v>
      </c>
      <c r="Q447" s="40">
        <f t="shared" ref="Q447:BK447" si="49">SUM(Q448:Q463)</f>
        <v>3.1640148411724272</v>
      </c>
      <c r="R447" s="40">
        <f t="shared" si="49"/>
        <v>240.36572990079276</v>
      </c>
      <c r="S447" s="40">
        <f t="shared" si="49"/>
        <v>2.9414488485730866E-5</v>
      </c>
      <c r="T447" s="40">
        <f t="shared" si="49"/>
        <v>0.27520845796288501</v>
      </c>
      <c r="U447" s="40">
        <f t="shared" si="49"/>
        <v>1.1297988423938734</v>
      </c>
      <c r="V447" s="40">
        <f t="shared" si="49"/>
        <v>0.16038067262913394</v>
      </c>
      <c r="W447" s="40">
        <f t="shared" si="49"/>
        <v>60.385547420631653</v>
      </c>
      <c r="X447" s="40">
        <f t="shared" si="49"/>
        <v>4.0450236131440995</v>
      </c>
      <c r="Y447" s="40">
        <f t="shared" si="49"/>
        <v>15718.428508237103</v>
      </c>
      <c r="Z447" s="40">
        <f t="shared" si="49"/>
        <v>0.57389991422900655</v>
      </c>
      <c r="AA447" s="40">
        <f t="shared" si="49"/>
        <v>273.23002407813038</v>
      </c>
      <c r="AB447" s="40">
        <f t="shared" si="49"/>
        <v>273.10477260070604</v>
      </c>
      <c r="AC447" s="40">
        <f t="shared" si="49"/>
        <v>-8.1436257511767474E-4</v>
      </c>
      <c r="AD447" s="40">
        <f t="shared" si="49"/>
        <v>0.19162902334939089</v>
      </c>
      <c r="AE447" s="40">
        <f t="shared" si="49"/>
        <v>3.7721784696939202E-5</v>
      </c>
      <c r="AF447" s="40">
        <f t="shared" si="49"/>
        <v>1.6122566528964684</v>
      </c>
      <c r="AG447" s="40">
        <f t="shared" si="49"/>
        <v>4.2317656370986232E-3</v>
      </c>
      <c r="AH447" s="40">
        <f t="shared" si="49"/>
        <v>0.39203582891818395</v>
      </c>
      <c r="AI447" s="40">
        <f t="shared" si="49"/>
        <v>4.1856688877542085</v>
      </c>
      <c r="AJ447" s="40">
        <f t="shared" si="49"/>
        <v>1.6679549744460596</v>
      </c>
      <c r="AK447" s="40">
        <f t="shared" si="49"/>
        <v>1.4326940482672607E-2</v>
      </c>
      <c r="AL447" s="40">
        <f t="shared" si="49"/>
        <v>7991.973840753878</v>
      </c>
      <c r="AM447" s="40">
        <f t="shared" si="49"/>
        <v>104.87083820276726</v>
      </c>
      <c r="AN447" s="40">
        <f t="shared" si="49"/>
        <v>8.0659607990256822E-6</v>
      </c>
      <c r="AO447" s="40">
        <f t="shared" si="49"/>
        <v>10.599740456406327</v>
      </c>
      <c r="AP447" s="40">
        <f t="shared" si="49"/>
        <v>7154.371826556051</v>
      </c>
      <c r="AQ447" s="40">
        <f t="shared" si="49"/>
        <v>8.5654676439930342E-8</v>
      </c>
      <c r="AR447" s="40">
        <f t="shared" si="49"/>
        <v>2.6864057962397777E-6</v>
      </c>
      <c r="AS447" s="40">
        <f t="shared" si="49"/>
        <v>369.71906284412944</v>
      </c>
      <c r="AT447" s="40">
        <f t="shared" si="49"/>
        <v>8.065825212</v>
      </c>
      <c r="AU447" s="40">
        <f t="shared" si="49"/>
        <v>0</v>
      </c>
      <c r="AV447" s="313">
        <f t="shared" si="49"/>
        <v>117.27040501359359</v>
      </c>
      <c r="AW447" s="317">
        <f t="shared" si="49"/>
        <v>0.70667511750000001</v>
      </c>
      <c r="AX447" s="317">
        <f t="shared" si="49"/>
        <v>9.926829900000001E-4</v>
      </c>
      <c r="AY447" s="313">
        <f t="shared" si="49"/>
        <v>6984.1770014910562</v>
      </c>
      <c r="AZ447" s="40">
        <f t="shared" si="49"/>
        <v>0</v>
      </c>
      <c r="BA447" s="40">
        <f t="shared" si="49"/>
        <v>0</v>
      </c>
      <c r="BB447" s="40">
        <f t="shared" si="49"/>
        <v>0</v>
      </c>
      <c r="BC447" s="40">
        <f t="shared" si="49"/>
        <v>-14.551041581290063</v>
      </c>
      <c r="BD447" s="40">
        <f t="shared" si="49"/>
        <v>5.5118521362194015E-3</v>
      </c>
      <c r="BE447" s="40">
        <f t="shared" si="49"/>
        <v>33.595991680606033</v>
      </c>
      <c r="BF447" s="40">
        <f t="shared" si="49"/>
        <v>1.2590484855146125E-2</v>
      </c>
      <c r="BG447" s="40">
        <f t="shared" si="49"/>
        <v>0</v>
      </c>
      <c r="BH447" s="40">
        <f t="shared" si="49"/>
        <v>1000</v>
      </c>
      <c r="BI447" s="40">
        <f t="shared" si="49"/>
        <v>0</v>
      </c>
      <c r="BJ447" s="40">
        <f t="shared" si="49"/>
        <v>0</v>
      </c>
      <c r="BK447" s="40">
        <f t="shared" si="49"/>
        <v>0</v>
      </c>
      <c r="BL447" s="62">
        <v>0</v>
      </c>
      <c r="BM447" s="275">
        <v>2</v>
      </c>
      <c r="BN447" s="62">
        <v>0</v>
      </c>
      <c r="BO447" s="33" t="s">
        <v>526</v>
      </c>
    </row>
    <row r="448" spans="1:67">
      <c r="A448" s="33" t="str">
        <f>Database_Productkaarten[[#This Row],[Product]]&amp;", "&amp;Database_Productkaarten[[#This Row],[Levensfase]]</f>
        <v>AC Surf G.M. 0% PR - PCR 2.0, A1</v>
      </c>
      <c r="B448" s="33" t="s">
        <v>530</v>
      </c>
      <c r="C448" s="33" t="s">
        <v>483</v>
      </c>
      <c r="D448" s="33" t="s">
        <v>377</v>
      </c>
      <c r="E448" s="33" t="s">
        <v>378</v>
      </c>
      <c r="F448" s="33" t="s">
        <v>74</v>
      </c>
      <c r="L448" s="33">
        <v>2.35</v>
      </c>
      <c r="M448" s="269">
        <v>1</v>
      </c>
      <c r="N448" s="211">
        <v>9.2792603126519495</v>
      </c>
      <c r="O448" s="33">
        <v>14</v>
      </c>
      <c r="P448" s="163">
        <v>6.98238901566156E-3</v>
      </c>
      <c r="Q448" s="163">
        <v>1.5162391529835899</v>
      </c>
      <c r="R448" s="163">
        <v>75.632559603643799</v>
      </c>
      <c r="S448" s="163">
        <v>7.8075453959349692E-6</v>
      </c>
      <c r="T448" s="163">
        <v>0.152477038742554</v>
      </c>
      <c r="U448" s="163">
        <v>0.43055846535779901</v>
      </c>
      <c r="V448" s="163">
        <v>3.7778165097766402E-2</v>
      </c>
      <c r="W448" s="163">
        <v>20.913234698619899</v>
      </c>
      <c r="X448" s="163">
        <v>2.13510841291387</v>
      </c>
      <c r="Y448" s="163">
        <v>9226.9239012047801</v>
      </c>
      <c r="Z448" s="163">
        <v>0.29257448680194598</v>
      </c>
      <c r="AA448" s="163">
        <v>79.413475486329901</v>
      </c>
      <c r="AB448" s="163">
        <v>79.458296914395802</v>
      </c>
      <c r="AC448" s="163">
        <v>-6.0256657495001503E-2</v>
      </c>
      <c r="AD448" s="163">
        <v>4.8216829429170403E-2</v>
      </c>
      <c r="AE448" s="163">
        <v>9.4182094063045697E-6</v>
      </c>
      <c r="AF448" s="163">
        <v>0.50587410684607304</v>
      </c>
      <c r="AG448" s="163">
        <v>1.62978244641722E-3</v>
      </c>
      <c r="AH448" s="163">
        <v>7.0899085126437902E-2</v>
      </c>
      <c r="AI448" s="163">
        <v>0.73167150320743701</v>
      </c>
      <c r="AJ448" s="163">
        <v>0.46996829311405802</v>
      </c>
      <c r="AK448" s="163">
        <v>6.9823327222398798E-3</v>
      </c>
      <c r="AL448" s="163">
        <v>3195.9066081813098</v>
      </c>
      <c r="AM448" s="163">
        <v>65.156697453517495</v>
      </c>
      <c r="AN448" s="163">
        <v>3.0516641731176401E-6</v>
      </c>
      <c r="AO448" s="163">
        <v>3.26647197541006</v>
      </c>
      <c r="AP448" s="163">
        <v>3647.83804803055</v>
      </c>
      <c r="AQ448" s="163">
        <v>2.6507105938026299E-8</v>
      </c>
      <c r="AR448" s="163">
        <v>1.0211861753691101E-6</v>
      </c>
      <c r="AS448" s="163">
        <v>469.317081744147</v>
      </c>
      <c r="AT448" s="163">
        <v>0</v>
      </c>
      <c r="AU448" s="163">
        <v>0</v>
      </c>
      <c r="AV448" s="313">
        <v>46.329069099567597</v>
      </c>
      <c r="AW448" s="315">
        <v>0</v>
      </c>
      <c r="AX448" s="315">
        <v>0</v>
      </c>
      <c r="AY448" s="313">
        <v>3402.78119169399</v>
      </c>
      <c r="AZ448" s="163">
        <v>0</v>
      </c>
      <c r="BA448" s="163">
        <v>0</v>
      </c>
      <c r="BB448" s="163">
        <v>0</v>
      </c>
      <c r="BC448" s="163">
        <v>1.60235128495577</v>
      </c>
      <c r="BD448" s="163">
        <v>1.4183263103585901E-3</v>
      </c>
      <c r="BE448" s="163">
        <v>6.11942103460947</v>
      </c>
      <c r="BF448" s="163">
        <v>3.2132290023641498E-3</v>
      </c>
      <c r="BG448" s="163">
        <v>0</v>
      </c>
      <c r="BH448" s="163">
        <v>0</v>
      </c>
      <c r="BI448" s="163">
        <v>0</v>
      </c>
      <c r="BJ448" s="163">
        <v>0</v>
      </c>
      <c r="BK448" s="163">
        <v>0</v>
      </c>
      <c r="BL448" s="62">
        <v>0</v>
      </c>
      <c r="BM448" s="275">
        <v>2</v>
      </c>
      <c r="BN448" s="62">
        <v>0</v>
      </c>
      <c r="BO448" s="33" t="s">
        <v>526</v>
      </c>
    </row>
    <row r="449" spans="1:67">
      <c r="A449" s="33" t="str">
        <f>Database_Productkaarten[[#This Row],[Product]]&amp;", "&amp;Database_Productkaarten[[#This Row],[Levensfase]]</f>
        <v>AC Surf G.M. 0% PR - PCR 2.0, A2</v>
      </c>
      <c r="B449" s="33" t="s">
        <v>530</v>
      </c>
      <c r="C449" s="33" t="s">
        <v>483</v>
      </c>
      <c r="D449" s="33" t="s">
        <v>377</v>
      </c>
      <c r="E449" s="33" t="s">
        <v>378</v>
      </c>
      <c r="F449" s="33" t="s">
        <v>75</v>
      </c>
      <c r="L449" s="33">
        <v>2.35</v>
      </c>
      <c r="M449" s="269">
        <v>1</v>
      </c>
      <c r="N449" s="211">
        <v>3.6295010392715139</v>
      </c>
      <c r="O449" s="33">
        <v>14</v>
      </c>
      <c r="P449" s="163">
        <v>3.2809491461853002E-4</v>
      </c>
      <c r="Q449" s="163">
        <v>0.19297631327284301</v>
      </c>
      <c r="R449" s="163">
        <v>30.377762471578102</v>
      </c>
      <c r="S449" s="163">
        <v>4.5233255391681301E-6</v>
      </c>
      <c r="T449" s="163">
        <v>1.7936118195985E-2</v>
      </c>
      <c r="U449" s="163">
        <v>0.20356413364120299</v>
      </c>
      <c r="V449" s="163">
        <v>4.49869291034962E-2</v>
      </c>
      <c r="W449" s="163">
        <v>8.27642014081027</v>
      </c>
      <c r="X449" s="163">
        <v>0.21569481087731901</v>
      </c>
      <c r="Y449" s="163">
        <v>709.30199792821804</v>
      </c>
      <c r="Z449" s="163">
        <v>3.7642015602104402E-2</v>
      </c>
      <c r="AA449" s="163">
        <v>30.725670659842802</v>
      </c>
      <c r="AB449" s="163">
        <v>30.6322131483366</v>
      </c>
      <c r="AC449" s="163">
        <v>4.3891165228767501E-2</v>
      </c>
      <c r="AD449" s="163">
        <v>4.9566346277453002E-2</v>
      </c>
      <c r="AE449" s="163">
        <v>5.6274405567477004E-6</v>
      </c>
      <c r="AF449" s="163">
        <v>0.28286082322152201</v>
      </c>
      <c r="AG449" s="163">
        <v>3.5884040418941498E-4</v>
      </c>
      <c r="AH449" s="163">
        <v>0.11897551476533499</v>
      </c>
      <c r="AI449" s="163">
        <v>1.3096685152321501</v>
      </c>
      <c r="AJ449" s="163">
        <v>0.340822304991589</v>
      </c>
      <c r="AK449" s="163">
        <v>3.28081808925707E-4</v>
      </c>
      <c r="AL449" s="163">
        <v>399.958016099948</v>
      </c>
      <c r="AM449" s="163">
        <v>1.80009512440593</v>
      </c>
      <c r="AN449" s="163">
        <v>1.03325011899391E-6</v>
      </c>
      <c r="AO449" s="163">
        <v>1.7235194802990501</v>
      </c>
      <c r="AP449" s="163">
        <v>354.09329774710898</v>
      </c>
      <c r="AQ449" s="163">
        <v>1.434462610728E-8</v>
      </c>
      <c r="AR449" s="163">
        <v>2.7030031375889398E-7</v>
      </c>
      <c r="AS449" s="163">
        <v>313.63663492816403</v>
      </c>
      <c r="AT449" s="163">
        <v>0</v>
      </c>
      <c r="AU449" s="163">
        <v>0</v>
      </c>
      <c r="AV449" s="313">
        <v>8.5746026936367894</v>
      </c>
      <c r="AW449" s="315">
        <v>0</v>
      </c>
      <c r="AX449" s="315">
        <v>0</v>
      </c>
      <c r="AY449" s="313">
        <v>424.46601143898499</v>
      </c>
      <c r="AZ449" s="163">
        <v>0</v>
      </c>
      <c r="BA449" s="163">
        <v>0</v>
      </c>
      <c r="BB449" s="163">
        <v>0</v>
      </c>
      <c r="BC449" s="163">
        <v>7.1207098927107401E-2</v>
      </c>
      <c r="BD449" s="163">
        <v>1.03681827652844E-3</v>
      </c>
      <c r="BE449" s="163">
        <v>6.3927771714394597</v>
      </c>
      <c r="BF449" s="163">
        <v>2.5984619710042399E-3</v>
      </c>
      <c r="BG449" s="163">
        <v>0</v>
      </c>
      <c r="BH449" s="163">
        <v>0</v>
      </c>
      <c r="BI449" s="163">
        <v>0</v>
      </c>
      <c r="BJ449" s="163">
        <v>0</v>
      </c>
      <c r="BK449" s="163">
        <v>0</v>
      </c>
      <c r="BL449" s="62">
        <v>0</v>
      </c>
      <c r="BM449" s="275">
        <v>2</v>
      </c>
      <c r="BN449" s="62">
        <v>0</v>
      </c>
      <c r="BO449" s="33" t="s">
        <v>526</v>
      </c>
    </row>
    <row r="450" spans="1:67">
      <c r="A450" s="33" t="str">
        <f>Database_Productkaarten[[#This Row],[Product]]&amp;", "&amp;Database_Productkaarten[[#This Row],[Levensfase]]</f>
        <v>AC Surf G.M. 0% PR - PCR 2.0, A3</v>
      </c>
      <c r="B450" s="33" t="s">
        <v>530</v>
      </c>
      <c r="C450" s="33" t="s">
        <v>483</v>
      </c>
      <c r="D450" s="33" t="s">
        <v>377</v>
      </c>
      <c r="E450" s="33" t="s">
        <v>378</v>
      </c>
      <c r="F450" s="33" t="s">
        <v>76</v>
      </c>
      <c r="L450" s="33">
        <v>2.35</v>
      </c>
      <c r="M450" s="269">
        <v>1</v>
      </c>
      <c r="N450" s="211">
        <v>1.7118284361774236</v>
      </c>
      <c r="O450" s="33">
        <v>14</v>
      </c>
      <c r="P450" s="163">
        <v>2.2963705306335498E-5</v>
      </c>
      <c r="Q450" s="163">
        <v>0.204480837005104</v>
      </c>
      <c r="R450" s="163">
        <v>23.988852445652501</v>
      </c>
      <c r="S450" s="163">
        <v>2.7179398934922901E-6</v>
      </c>
      <c r="T450" s="163">
        <v>3.8638617207948801E-3</v>
      </c>
      <c r="U450" s="163">
        <v>2.3543196192614201E-2</v>
      </c>
      <c r="V450" s="163">
        <v>3.9699135859767101E-3</v>
      </c>
      <c r="W450" s="163">
        <v>3.65587124788303</v>
      </c>
      <c r="X450" s="163">
        <v>2.6039135099019801E-2</v>
      </c>
      <c r="Y450" s="163">
        <v>106.27267746707101</v>
      </c>
      <c r="Z450" s="163">
        <v>2.5284716489011299E-2</v>
      </c>
      <c r="AA450" s="163">
        <v>24.344864442837</v>
      </c>
      <c r="AB450" s="163">
        <v>24.288631397238198</v>
      </c>
      <c r="AC450" s="163">
        <v>5.42114192413213E-2</v>
      </c>
      <c r="AD450" s="163">
        <v>2.0216263573571099E-3</v>
      </c>
      <c r="AE450" s="163">
        <v>3.0651353394469099E-6</v>
      </c>
      <c r="AF450" s="163">
        <v>3.0232276765851999E-2</v>
      </c>
      <c r="AG450" s="163">
        <v>2.7202609022331301E-4</v>
      </c>
      <c r="AH450" s="163">
        <v>8.4222811895209894E-3</v>
      </c>
      <c r="AI450" s="163">
        <v>9.5232690674118298E-2</v>
      </c>
      <c r="AJ450" s="163">
        <v>2.8881505732753301E-2</v>
      </c>
      <c r="AK450" s="163">
        <v>2.2963390016402099E-5</v>
      </c>
      <c r="AL450" s="163">
        <v>376.48279544260902</v>
      </c>
      <c r="AM450" s="163">
        <v>0.55081868233089004</v>
      </c>
      <c r="AN450" s="163">
        <v>1.98244576375348E-7</v>
      </c>
      <c r="AO450" s="163">
        <v>0.27509105790046501</v>
      </c>
      <c r="AP450" s="163">
        <v>78.864081949395697</v>
      </c>
      <c r="AQ450" s="163">
        <v>2.97256441510428E-9</v>
      </c>
      <c r="AR450" s="163">
        <v>5.1427919999974698E-8</v>
      </c>
      <c r="AS450" s="163">
        <v>16.763518104896502</v>
      </c>
      <c r="AT450" s="163">
        <v>0</v>
      </c>
      <c r="AU450" s="163">
        <v>0</v>
      </c>
      <c r="AV450" s="313">
        <v>7.0381494721101499</v>
      </c>
      <c r="AW450" s="315">
        <v>0</v>
      </c>
      <c r="AX450" s="315">
        <v>0</v>
      </c>
      <c r="AY450" s="313">
        <v>415.11183543017398</v>
      </c>
      <c r="AZ450" s="163">
        <v>0</v>
      </c>
      <c r="BA450" s="163">
        <v>0</v>
      </c>
      <c r="BB450" s="163">
        <v>0</v>
      </c>
      <c r="BC450" s="163">
        <v>4.09192029861127E-2</v>
      </c>
      <c r="BD450" s="163">
        <v>4.5746651222483998E-4</v>
      </c>
      <c r="BE450" s="163">
        <v>0.28288706062177599</v>
      </c>
      <c r="BF450" s="163">
        <v>3.5057846685835898E-4</v>
      </c>
      <c r="BG450" s="163">
        <v>0</v>
      </c>
      <c r="BH450" s="163">
        <v>0</v>
      </c>
      <c r="BI450" s="163">
        <v>0</v>
      </c>
      <c r="BJ450" s="163">
        <v>0</v>
      </c>
      <c r="BK450" s="163">
        <v>0</v>
      </c>
      <c r="BL450" s="62">
        <v>0</v>
      </c>
      <c r="BM450" s="275">
        <v>2</v>
      </c>
      <c r="BN450" s="62">
        <v>0</v>
      </c>
      <c r="BO450" s="33" t="s">
        <v>526</v>
      </c>
    </row>
    <row r="451" spans="1:67">
      <c r="A451" s="33" t="str">
        <f>Database_Productkaarten[[#This Row],[Product]]&amp;", "&amp;Database_Productkaarten[[#This Row],[Levensfase]]</f>
        <v>AC Surf G.M. 0% PR - PCR 2.0, A1-A3</v>
      </c>
      <c r="B451" s="33" t="str">
        <f>B450</f>
        <v>AC Surf G.M. 0% PR - PCR 2.0</v>
      </c>
      <c r="C451" s="33" t="str">
        <f>C450</f>
        <v>Bitumineuze verhardingen</v>
      </c>
      <c r="D451" s="33" t="str">
        <f>D450</f>
        <v>AC surf</v>
      </c>
      <c r="E451" s="33" t="str">
        <f>E450</f>
        <v>Ton</v>
      </c>
      <c r="F451" s="33" t="s">
        <v>77</v>
      </c>
      <c r="L451" s="33">
        <f>L450</f>
        <v>2.35</v>
      </c>
      <c r="M451" s="45">
        <f>M450</f>
        <v>1</v>
      </c>
      <c r="N451" s="41">
        <f>SUM(N448:N450)</f>
        <v>14.620589788100887</v>
      </c>
      <c r="O451" s="33">
        <f>O450</f>
        <v>14</v>
      </c>
      <c r="P451" s="40">
        <f>SUM(P448:P450)</f>
        <v>7.3334476355864263E-3</v>
      </c>
      <c r="Q451" s="40">
        <f t="shared" ref="Q451:BK451" si="50">SUM(Q448:Q450)</f>
        <v>1.9136963032615371</v>
      </c>
      <c r="R451" s="40">
        <f t="shared" si="50"/>
        <v>129.99917452087439</v>
      </c>
      <c r="S451" s="40">
        <f t="shared" si="50"/>
        <v>1.5048810828595389E-5</v>
      </c>
      <c r="T451" s="40">
        <f t="shared" si="50"/>
        <v>0.1742770186593339</v>
      </c>
      <c r="U451" s="40">
        <f t="shared" si="50"/>
        <v>0.65766579519161628</v>
      </c>
      <c r="V451" s="40">
        <f t="shared" si="50"/>
        <v>8.6735007787239304E-2</v>
      </c>
      <c r="W451" s="40">
        <f t="shared" si="50"/>
        <v>32.845526087313196</v>
      </c>
      <c r="X451" s="40">
        <f t="shared" si="50"/>
        <v>2.376842358890209</v>
      </c>
      <c r="Y451" s="40">
        <f t="shared" si="50"/>
        <v>10042.49857660007</v>
      </c>
      <c r="Z451" s="40">
        <f t="shared" si="50"/>
        <v>0.35550121889306169</v>
      </c>
      <c r="AA451" s="40">
        <f t="shared" si="50"/>
        <v>134.4840105890097</v>
      </c>
      <c r="AB451" s="40">
        <f t="shared" si="50"/>
        <v>134.37914145997061</v>
      </c>
      <c r="AC451" s="40">
        <f t="shared" si="50"/>
        <v>3.7845926975087298E-2</v>
      </c>
      <c r="AD451" s="40">
        <f t="shared" si="50"/>
        <v>9.9804802063980513E-2</v>
      </c>
      <c r="AE451" s="40">
        <f t="shared" si="50"/>
        <v>1.8110785302499181E-5</v>
      </c>
      <c r="AF451" s="40">
        <f t="shared" si="50"/>
        <v>0.81896720683344704</v>
      </c>
      <c r="AG451" s="40">
        <f t="shared" si="50"/>
        <v>2.2606489408299479E-3</v>
      </c>
      <c r="AH451" s="40">
        <f t="shared" si="50"/>
        <v>0.1982968810812939</v>
      </c>
      <c r="AI451" s="40">
        <f t="shared" si="50"/>
        <v>2.1365727091137052</v>
      </c>
      <c r="AJ451" s="40">
        <f t="shared" si="50"/>
        <v>0.8396721038384003</v>
      </c>
      <c r="AK451" s="40">
        <f t="shared" si="50"/>
        <v>7.3333779211819886E-3</v>
      </c>
      <c r="AL451" s="40">
        <f t="shared" si="50"/>
        <v>3972.347419723867</v>
      </c>
      <c r="AM451" s="40">
        <f t="shared" si="50"/>
        <v>67.507611260254308</v>
      </c>
      <c r="AN451" s="40">
        <f t="shared" si="50"/>
        <v>4.2831588684868985E-6</v>
      </c>
      <c r="AO451" s="40">
        <f t="shared" si="50"/>
        <v>5.2650825136095749</v>
      </c>
      <c r="AP451" s="40">
        <f t="shared" si="50"/>
        <v>4080.7954277270546</v>
      </c>
      <c r="AQ451" s="40">
        <f t="shared" si="50"/>
        <v>4.3824296460410579E-8</v>
      </c>
      <c r="AR451" s="40">
        <f t="shared" si="50"/>
        <v>1.3429144091279788E-6</v>
      </c>
      <c r="AS451" s="40">
        <f t="shared" si="50"/>
        <v>799.71723477720752</v>
      </c>
      <c r="AT451" s="40">
        <f t="shared" si="50"/>
        <v>0</v>
      </c>
      <c r="AU451" s="40">
        <f t="shared" si="50"/>
        <v>0</v>
      </c>
      <c r="AV451" s="317">
        <f t="shared" si="50"/>
        <v>61.941821265314537</v>
      </c>
      <c r="AW451" s="317">
        <f t="shared" si="50"/>
        <v>0</v>
      </c>
      <c r="AX451" s="317">
        <f t="shared" si="50"/>
        <v>0</v>
      </c>
      <c r="AY451" s="317">
        <f t="shared" si="50"/>
        <v>4242.3590385631487</v>
      </c>
      <c r="AZ451" s="40">
        <f t="shared" si="50"/>
        <v>0</v>
      </c>
      <c r="BA451" s="40">
        <f t="shared" si="50"/>
        <v>0</v>
      </c>
      <c r="BB451" s="40">
        <f t="shared" si="50"/>
        <v>0</v>
      </c>
      <c r="BC451" s="40">
        <f t="shared" si="50"/>
        <v>1.7144775868689901</v>
      </c>
      <c r="BD451" s="40">
        <f t="shared" si="50"/>
        <v>2.91261109911187E-3</v>
      </c>
      <c r="BE451" s="40">
        <f t="shared" si="50"/>
        <v>12.795085266670705</v>
      </c>
      <c r="BF451" s="40">
        <f t="shared" si="50"/>
        <v>6.1622694402267489E-3</v>
      </c>
      <c r="BG451" s="40">
        <f t="shared" si="50"/>
        <v>0</v>
      </c>
      <c r="BH451" s="40">
        <f t="shared" si="50"/>
        <v>0</v>
      </c>
      <c r="BI451" s="40">
        <f t="shared" si="50"/>
        <v>0</v>
      </c>
      <c r="BJ451" s="40">
        <f t="shared" si="50"/>
        <v>0</v>
      </c>
      <c r="BK451" s="40">
        <f t="shared" si="50"/>
        <v>0</v>
      </c>
      <c r="BL451" s="62">
        <f>BL450</f>
        <v>0</v>
      </c>
      <c r="BM451" s="275">
        <f>BM450</f>
        <v>2</v>
      </c>
      <c r="BN451" s="62">
        <v>0</v>
      </c>
      <c r="BO451" s="33" t="str">
        <f>BO450</f>
        <v>Ecochain 2022 LCA Achtergrondrapport voor Nederlandse branchereferentiemengsels 2022</v>
      </c>
    </row>
    <row r="452" spans="1:67">
      <c r="A452" s="33" t="str">
        <f>Database_Productkaarten[[#This Row],[Product]]&amp;", "&amp;Database_Productkaarten[[#This Row],[Levensfase]]</f>
        <v>AC Surf G.M. 0% PR - PCR 2.0, A4</v>
      </c>
      <c r="B452" s="33" t="s">
        <v>530</v>
      </c>
      <c r="C452" s="33" t="s">
        <v>483</v>
      </c>
      <c r="D452" s="33" t="s">
        <v>377</v>
      </c>
      <c r="E452" s="33" t="s">
        <v>378</v>
      </c>
      <c r="F452" s="33" t="s">
        <v>78</v>
      </c>
      <c r="L452" s="33">
        <v>2.35</v>
      </c>
      <c r="M452" s="269">
        <v>1</v>
      </c>
      <c r="N452" s="211">
        <v>0.37546048090943995</v>
      </c>
      <c r="O452" s="33">
        <v>14</v>
      </c>
      <c r="P452" s="163">
        <v>6.8533509000000002E-5</v>
      </c>
      <c r="Q452" s="163">
        <v>2.9713889699999999E-2</v>
      </c>
      <c r="R452" s="163">
        <v>3.9891474704999998</v>
      </c>
      <c r="S452" s="163">
        <v>7.557213E-7</v>
      </c>
      <c r="T452" s="163">
        <v>2.4773701499999998E-3</v>
      </c>
      <c r="U452" s="163">
        <v>1.36398132E-2</v>
      </c>
      <c r="V452" s="163">
        <v>2.5682192100000001E-3</v>
      </c>
      <c r="W452" s="163">
        <v>0.8608144794</v>
      </c>
      <c r="X452" s="163">
        <v>3.6189873900000002E-2</v>
      </c>
      <c r="Y452" s="163">
        <v>97.376595929999993</v>
      </c>
      <c r="Z452" s="163">
        <v>4.8437180999999999E-3</v>
      </c>
      <c r="AA452" s="163">
        <v>4.0259382761999998</v>
      </c>
      <c r="AB452" s="163">
        <v>4.0229543298000001</v>
      </c>
      <c r="AC452" s="163">
        <v>1.9814632200000001E-3</v>
      </c>
      <c r="AD452" s="163">
        <v>1.0024609799999999E-3</v>
      </c>
      <c r="AE452" s="163">
        <v>9.4976262000000003E-7</v>
      </c>
      <c r="AF452" s="163">
        <v>1.7739576E-2</v>
      </c>
      <c r="AG452" s="163">
        <v>2.7841996800000001E-5</v>
      </c>
      <c r="AH452" s="163">
        <v>5.5484582100000001E-3</v>
      </c>
      <c r="AI452" s="163">
        <v>6.1385308800000003E-2</v>
      </c>
      <c r="AJ452" s="163">
        <v>1.9235744999999999E-2</v>
      </c>
      <c r="AK452" s="163">
        <v>6.8533397999999998E-5</v>
      </c>
      <c r="AL452" s="163">
        <v>62.400806729999999</v>
      </c>
      <c r="AM452" s="163">
        <v>0.212954166</v>
      </c>
      <c r="AN452" s="163">
        <v>2.9338876200000002E-7</v>
      </c>
      <c r="AO452" s="163">
        <v>0.26868483510000002</v>
      </c>
      <c r="AP452" s="163">
        <v>45.56587296</v>
      </c>
      <c r="AQ452" s="163">
        <v>1.16371179E-9</v>
      </c>
      <c r="AR452" s="163">
        <v>3.8268015899999999E-8</v>
      </c>
      <c r="AS452" s="163">
        <v>71.806844609999999</v>
      </c>
      <c r="AT452" s="163">
        <v>0</v>
      </c>
      <c r="AU452" s="163">
        <v>0</v>
      </c>
      <c r="AV452" s="313">
        <v>0.63474917099999995</v>
      </c>
      <c r="AW452" s="315">
        <v>0</v>
      </c>
      <c r="AX452" s="315">
        <v>0</v>
      </c>
      <c r="AY452" s="313">
        <v>66.265108560000002</v>
      </c>
      <c r="AZ452" s="163">
        <v>0</v>
      </c>
      <c r="BA452" s="163">
        <v>0</v>
      </c>
      <c r="BB452" s="163">
        <v>0</v>
      </c>
      <c r="BC452" s="163">
        <v>6.7467797999999999E-3</v>
      </c>
      <c r="BD452" s="163">
        <v>1.54707915E-4</v>
      </c>
      <c r="BE452" s="163">
        <v>5.4635493149999999</v>
      </c>
      <c r="BF452" s="163">
        <v>4.25149758E-4</v>
      </c>
      <c r="BG452" s="163">
        <v>0</v>
      </c>
      <c r="BH452" s="163">
        <v>0</v>
      </c>
      <c r="BI452" s="163">
        <v>0</v>
      </c>
      <c r="BJ452" s="163">
        <v>0</v>
      </c>
      <c r="BK452" s="163">
        <v>0</v>
      </c>
      <c r="BL452" s="62">
        <v>0</v>
      </c>
      <c r="BM452" s="275">
        <v>2</v>
      </c>
      <c r="BN452" s="62">
        <v>0</v>
      </c>
      <c r="BO452" s="33" t="s">
        <v>526</v>
      </c>
    </row>
    <row r="453" spans="1:67">
      <c r="A453" s="33" t="str">
        <f>Database_Productkaarten[[#This Row],[Product]]&amp;", "&amp;Database_Productkaarten[[#This Row],[Levensfase]]</f>
        <v>AC Surf G.M. 0% PR - PCR 2.0, A5</v>
      </c>
      <c r="B453" s="33" t="s">
        <v>530</v>
      </c>
      <c r="C453" s="33" t="s">
        <v>483</v>
      </c>
      <c r="D453" s="33" t="s">
        <v>377</v>
      </c>
      <c r="E453" s="33" t="s">
        <v>378</v>
      </c>
      <c r="F453" s="33" t="s">
        <v>79</v>
      </c>
      <c r="L453" s="33">
        <v>2.35</v>
      </c>
      <c r="M453" s="269">
        <v>1</v>
      </c>
      <c r="N453" s="211">
        <v>0.25970533328944417</v>
      </c>
      <c r="O453" s="33">
        <v>14</v>
      </c>
      <c r="P453" s="163">
        <v>2.9238192702336198E-6</v>
      </c>
      <c r="Q453" s="163">
        <v>1.2437869009839699E-2</v>
      </c>
      <c r="R453" s="163">
        <v>2.5295292158044198</v>
      </c>
      <c r="S453" s="163">
        <v>3.2687703926461799E-7</v>
      </c>
      <c r="T453" s="163">
        <v>9.4117069237233998E-4</v>
      </c>
      <c r="U453" s="163">
        <v>1.0497394447035501E-2</v>
      </c>
      <c r="V453" s="163">
        <v>2.4039520962731101E-3</v>
      </c>
      <c r="W453" s="163">
        <v>0.68877613966134299</v>
      </c>
      <c r="X453" s="163">
        <v>9.7024793875735496E-3</v>
      </c>
      <c r="Y453" s="163">
        <v>33.711839780216202</v>
      </c>
      <c r="Z453" s="163">
        <v>1.1490061145542599E-3</v>
      </c>
      <c r="AA453" s="163">
        <v>2.5482276276019298</v>
      </c>
      <c r="AB453" s="163">
        <v>2.5474969808171801</v>
      </c>
      <c r="AC453" s="163">
        <v>5.81950307989873E-4</v>
      </c>
      <c r="AD453" s="163">
        <v>1.4869647676085001E-4</v>
      </c>
      <c r="AE453" s="163">
        <v>4.11877979769449E-7</v>
      </c>
      <c r="AF453" s="163">
        <v>1.4654717100391301E-2</v>
      </c>
      <c r="AG453" s="163">
        <v>6.9471842613085899E-6</v>
      </c>
      <c r="AH453" s="163">
        <v>6.3596059780874504E-3</v>
      </c>
      <c r="AI453" s="163">
        <v>6.9798399525328805E-2</v>
      </c>
      <c r="AJ453" s="163">
        <v>1.82004994537374E-2</v>
      </c>
      <c r="AK453" s="163">
        <v>2.92379632667407E-6</v>
      </c>
      <c r="AL453" s="163">
        <v>26.243144472483099</v>
      </c>
      <c r="AM453" s="163">
        <v>3.49515818847791E-2</v>
      </c>
      <c r="AN453" s="163">
        <v>5.4485692575873398E-8</v>
      </c>
      <c r="AO453" s="163">
        <v>0.112638013519801</v>
      </c>
      <c r="AP453" s="163">
        <v>15.7470627241676</v>
      </c>
      <c r="AQ453" s="163">
        <v>5.5245137245815495E-10</v>
      </c>
      <c r="AR453" s="163">
        <v>1.3239865413112201E-8</v>
      </c>
      <c r="AS453" s="163">
        <v>3.3519896116494201</v>
      </c>
      <c r="AT453" s="163">
        <v>0</v>
      </c>
      <c r="AU453" s="163">
        <v>0</v>
      </c>
      <c r="AV453" s="313">
        <v>0.144245360319008</v>
      </c>
      <c r="AW453" s="315">
        <v>0</v>
      </c>
      <c r="AX453" s="315">
        <v>0</v>
      </c>
      <c r="AY453" s="313">
        <v>27.8693894026664</v>
      </c>
      <c r="AZ453" s="163">
        <v>0</v>
      </c>
      <c r="BA453" s="163">
        <v>0</v>
      </c>
      <c r="BB453" s="163">
        <v>0</v>
      </c>
      <c r="BC453" s="163">
        <v>1.35659658066793E-3</v>
      </c>
      <c r="BD453" s="163">
        <v>7.1467090350123107E-5</v>
      </c>
      <c r="BE453" s="163">
        <v>3.1052769834831202E-2</v>
      </c>
      <c r="BF453" s="163">
        <v>1.8239126238351399E-4</v>
      </c>
      <c r="BG453" s="163">
        <v>0</v>
      </c>
      <c r="BH453" s="163">
        <v>0</v>
      </c>
      <c r="BI453" s="163">
        <v>0</v>
      </c>
      <c r="BJ453" s="163">
        <v>0</v>
      </c>
      <c r="BK453" s="163">
        <v>0</v>
      </c>
      <c r="BL453" s="62">
        <v>0</v>
      </c>
      <c r="BM453" s="275">
        <v>2</v>
      </c>
      <c r="BN453" s="62">
        <v>0</v>
      </c>
      <c r="BO453" s="33" t="s">
        <v>526</v>
      </c>
    </row>
    <row r="454" spans="1:67">
      <c r="A454" s="33" t="str">
        <f>Database_Productkaarten[[#This Row],[Product]]&amp;", "&amp;Database_Productkaarten[[#This Row],[Levensfase]]</f>
        <v>AC Surf G.M. 0% PR - PCR 2.0, B1</v>
      </c>
      <c r="B454" s="33" t="s">
        <v>530</v>
      </c>
      <c r="C454" s="33" t="s">
        <v>483</v>
      </c>
      <c r="D454" s="33" t="s">
        <v>377</v>
      </c>
      <c r="E454" s="33" t="s">
        <v>378</v>
      </c>
      <c r="F454" s="33" t="s">
        <v>80</v>
      </c>
      <c r="L454" s="33">
        <v>2.35</v>
      </c>
      <c r="M454" s="269">
        <v>1</v>
      </c>
      <c r="N454" s="211">
        <v>8.2079854524338774E-2</v>
      </c>
      <c r="O454" s="33">
        <v>14</v>
      </c>
      <c r="P454" s="163">
        <v>0</v>
      </c>
      <c r="Q454" s="163">
        <v>0</v>
      </c>
      <c r="R454" s="163">
        <v>0</v>
      </c>
      <c r="S454" s="163">
        <v>0</v>
      </c>
      <c r="T454" s="163">
        <v>0</v>
      </c>
      <c r="U454" s="163">
        <v>0</v>
      </c>
      <c r="V454" s="163">
        <v>0</v>
      </c>
      <c r="W454" s="163">
        <v>0.33065065287376499</v>
      </c>
      <c r="X454" s="163">
        <v>0.35447901498708101</v>
      </c>
      <c r="Y454" s="163">
        <v>416.74823543935599</v>
      </c>
      <c r="Z454" s="163">
        <v>2.0169620253149699E-4</v>
      </c>
      <c r="AA454" s="163">
        <v>0</v>
      </c>
      <c r="AB454" s="163">
        <v>0</v>
      </c>
      <c r="AC454" s="163">
        <v>0</v>
      </c>
      <c r="AD454" s="163">
        <v>0</v>
      </c>
      <c r="AE454" s="163">
        <v>0</v>
      </c>
      <c r="AF454" s="163">
        <v>0</v>
      </c>
      <c r="AG454" s="163">
        <v>0</v>
      </c>
      <c r="AH454" s="163">
        <v>0</v>
      </c>
      <c r="AI454" s="163">
        <v>0</v>
      </c>
      <c r="AJ454" s="163">
        <v>0</v>
      </c>
      <c r="AK454" s="163">
        <v>0</v>
      </c>
      <c r="AL454" s="163">
        <v>0</v>
      </c>
      <c r="AM454" s="163">
        <v>0</v>
      </c>
      <c r="AN454" s="163">
        <v>0</v>
      </c>
      <c r="AO454" s="163">
        <v>0</v>
      </c>
      <c r="AP454" s="163">
        <v>2.4574834227146498</v>
      </c>
      <c r="AQ454" s="163">
        <v>6.1425360401853599E-10</v>
      </c>
      <c r="AR454" s="163">
        <v>3.6903212873143E-8</v>
      </c>
      <c r="AS454" s="163">
        <v>0</v>
      </c>
      <c r="AT454" s="163">
        <v>0</v>
      </c>
      <c r="AU454" s="163">
        <v>0</v>
      </c>
      <c r="AV454" s="313">
        <v>0</v>
      </c>
      <c r="AW454" s="315">
        <v>0</v>
      </c>
      <c r="AX454" s="315">
        <v>0</v>
      </c>
      <c r="AY454" s="313">
        <v>0</v>
      </c>
      <c r="AZ454" s="163">
        <v>0</v>
      </c>
      <c r="BA454" s="163">
        <v>0</v>
      </c>
      <c r="BB454" s="163">
        <v>0</v>
      </c>
      <c r="BC454" s="163">
        <v>0</v>
      </c>
      <c r="BD454" s="163">
        <v>0</v>
      </c>
      <c r="BE454" s="163">
        <v>0</v>
      </c>
      <c r="BF454" s="163">
        <v>0</v>
      </c>
      <c r="BG454" s="163">
        <v>0</v>
      </c>
      <c r="BH454" s="163">
        <v>0</v>
      </c>
      <c r="BI454" s="163">
        <v>0</v>
      </c>
      <c r="BJ454" s="163">
        <v>0</v>
      </c>
      <c r="BK454" s="163">
        <v>0</v>
      </c>
      <c r="BL454" s="62">
        <v>0</v>
      </c>
      <c r="BM454" s="275">
        <v>2</v>
      </c>
      <c r="BN454" s="62">
        <v>0</v>
      </c>
      <c r="BO454" s="33" t="s">
        <v>526</v>
      </c>
    </row>
    <row r="455" spans="1:67">
      <c r="A455" s="33" t="str">
        <f>Database_Productkaarten[[#This Row],[Product]]&amp;", "&amp;Database_Productkaarten[[#This Row],[Levensfase]]</f>
        <v>AC Surf G.M. 0% PR - PCR 2.0, B2</v>
      </c>
      <c r="B455" s="33" t="s">
        <v>530</v>
      </c>
      <c r="C455" s="33" t="s">
        <v>483</v>
      </c>
      <c r="D455" s="33" t="s">
        <v>377</v>
      </c>
      <c r="E455" s="33" t="s">
        <v>378</v>
      </c>
      <c r="F455" s="33" t="s">
        <v>527</v>
      </c>
      <c r="L455" s="33">
        <v>2.35</v>
      </c>
      <c r="M455" s="269">
        <v>1</v>
      </c>
      <c r="N455" s="211">
        <v>0</v>
      </c>
      <c r="O455" s="33">
        <v>14</v>
      </c>
      <c r="P455" s="163">
        <v>0</v>
      </c>
      <c r="Q455" s="163">
        <v>0</v>
      </c>
      <c r="R455" s="163">
        <v>0</v>
      </c>
      <c r="S455" s="163">
        <v>0</v>
      </c>
      <c r="T455" s="163">
        <v>0</v>
      </c>
      <c r="U455" s="163">
        <v>0</v>
      </c>
      <c r="V455" s="163">
        <v>0</v>
      </c>
      <c r="W455" s="163">
        <v>0</v>
      </c>
      <c r="X455" s="163">
        <v>0</v>
      </c>
      <c r="Y455" s="163">
        <v>0</v>
      </c>
      <c r="Z455" s="163">
        <v>0</v>
      </c>
      <c r="AA455" s="163">
        <v>0</v>
      </c>
      <c r="AB455" s="163">
        <v>0</v>
      </c>
      <c r="AC455" s="163">
        <v>0</v>
      </c>
      <c r="AD455" s="163">
        <v>0</v>
      </c>
      <c r="AE455" s="163">
        <v>0</v>
      </c>
      <c r="AF455" s="163">
        <v>0</v>
      </c>
      <c r="AG455" s="163">
        <v>0</v>
      </c>
      <c r="AH455" s="163">
        <v>0</v>
      </c>
      <c r="AI455" s="163">
        <v>0</v>
      </c>
      <c r="AJ455" s="163">
        <v>0</v>
      </c>
      <c r="AK455" s="163">
        <v>0</v>
      </c>
      <c r="AL455" s="163">
        <v>0</v>
      </c>
      <c r="AM455" s="163">
        <v>0</v>
      </c>
      <c r="AN455" s="163">
        <v>0</v>
      </c>
      <c r="AO455" s="163">
        <v>0</v>
      </c>
      <c r="AP455" s="163">
        <v>0</v>
      </c>
      <c r="AQ455" s="163">
        <v>0</v>
      </c>
      <c r="AR455" s="163">
        <v>0</v>
      </c>
      <c r="AS455" s="163">
        <v>0</v>
      </c>
      <c r="AT455" s="163">
        <v>0</v>
      </c>
      <c r="AU455" s="163">
        <v>0</v>
      </c>
      <c r="AV455" s="313">
        <v>0</v>
      </c>
      <c r="AW455" s="315">
        <v>0</v>
      </c>
      <c r="AX455" s="315">
        <v>0</v>
      </c>
      <c r="AY455" s="313">
        <v>0</v>
      </c>
      <c r="AZ455" s="163">
        <v>0</v>
      </c>
      <c r="BA455" s="163">
        <v>0</v>
      </c>
      <c r="BB455" s="163">
        <v>0</v>
      </c>
      <c r="BC455" s="163">
        <v>0</v>
      </c>
      <c r="BD455" s="163">
        <v>0</v>
      </c>
      <c r="BE455" s="163">
        <v>0</v>
      </c>
      <c r="BF455" s="163">
        <v>0</v>
      </c>
      <c r="BG455" s="163">
        <v>0</v>
      </c>
      <c r="BH455" s="163">
        <v>0</v>
      </c>
      <c r="BI455" s="163">
        <v>0</v>
      </c>
      <c r="BJ455" s="163">
        <v>0</v>
      </c>
      <c r="BK455" s="163">
        <v>0</v>
      </c>
      <c r="BL455" s="62">
        <v>0</v>
      </c>
      <c r="BM455" s="275">
        <v>2</v>
      </c>
      <c r="BN455" s="62">
        <v>0</v>
      </c>
      <c r="BO455" s="33" t="s">
        <v>526</v>
      </c>
    </row>
    <row r="456" spans="1:67">
      <c r="A456" s="33" t="str">
        <f>Database_Productkaarten[[#This Row],[Product]]&amp;", "&amp;Database_Productkaarten[[#This Row],[Levensfase]]</f>
        <v>AC Surf G.M. 0% PR - PCR 2.0, B3</v>
      </c>
      <c r="B456" s="33" t="s">
        <v>530</v>
      </c>
      <c r="C456" s="33" t="s">
        <v>483</v>
      </c>
      <c r="D456" s="33" t="s">
        <v>377</v>
      </c>
      <c r="E456" s="33" t="s">
        <v>378</v>
      </c>
      <c r="F456" s="33" t="s">
        <v>81</v>
      </c>
      <c r="L456" s="33">
        <v>2.35</v>
      </c>
      <c r="M456" s="269">
        <v>1</v>
      </c>
      <c r="N456" s="211">
        <v>0</v>
      </c>
      <c r="O456" s="33">
        <v>14</v>
      </c>
      <c r="P456" s="163">
        <v>0</v>
      </c>
      <c r="Q456" s="163">
        <v>0</v>
      </c>
      <c r="R456" s="163">
        <v>0</v>
      </c>
      <c r="S456" s="163">
        <v>0</v>
      </c>
      <c r="T456" s="163">
        <v>0</v>
      </c>
      <c r="U456" s="163">
        <v>0</v>
      </c>
      <c r="V456" s="163">
        <v>0</v>
      </c>
      <c r="W456" s="163">
        <v>0</v>
      </c>
      <c r="X456" s="163">
        <v>0</v>
      </c>
      <c r="Y456" s="163">
        <v>0</v>
      </c>
      <c r="Z456" s="163">
        <v>0</v>
      </c>
      <c r="AA456" s="163">
        <v>0</v>
      </c>
      <c r="AB456" s="163">
        <v>0</v>
      </c>
      <c r="AC456" s="163">
        <v>0</v>
      </c>
      <c r="AD456" s="163">
        <v>0</v>
      </c>
      <c r="AE456" s="163">
        <v>0</v>
      </c>
      <c r="AF456" s="163">
        <v>0</v>
      </c>
      <c r="AG456" s="163">
        <v>0</v>
      </c>
      <c r="AH456" s="163">
        <v>0</v>
      </c>
      <c r="AI456" s="163">
        <v>0</v>
      </c>
      <c r="AJ456" s="163">
        <v>0</v>
      </c>
      <c r="AK456" s="163">
        <v>0</v>
      </c>
      <c r="AL456" s="163">
        <v>0</v>
      </c>
      <c r="AM456" s="163">
        <v>0</v>
      </c>
      <c r="AN456" s="163">
        <v>0</v>
      </c>
      <c r="AO456" s="163">
        <v>0</v>
      </c>
      <c r="AP456" s="163">
        <v>0</v>
      </c>
      <c r="AQ456" s="163">
        <v>0</v>
      </c>
      <c r="AR456" s="163">
        <v>0</v>
      </c>
      <c r="AS456" s="163">
        <v>0</v>
      </c>
      <c r="AT456" s="163">
        <v>0</v>
      </c>
      <c r="AU456" s="163">
        <v>0</v>
      </c>
      <c r="AV456" s="313">
        <v>0</v>
      </c>
      <c r="AW456" s="315">
        <v>0</v>
      </c>
      <c r="AX456" s="315">
        <v>0</v>
      </c>
      <c r="AY456" s="313">
        <v>0</v>
      </c>
      <c r="AZ456" s="163">
        <v>0</v>
      </c>
      <c r="BA456" s="163">
        <v>0</v>
      </c>
      <c r="BB456" s="163">
        <v>0</v>
      </c>
      <c r="BC456" s="163">
        <v>0</v>
      </c>
      <c r="BD456" s="163">
        <v>0</v>
      </c>
      <c r="BE456" s="163">
        <v>0</v>
      </c>
      <c r="BF456" s="163">
        <v>0</v>
      </c>
      <c r="BG456" s="163">
        <v>0</v>
      </c>
      <c r="BH456" s="163">
        <v>0</v>
      </c>
      <c r="BI456" s="163">
        <v>0</v>
      </c>
      <c r="BJ456" s="163">
        <v>0</v>
      </c>
      <c r="BK456" s="163">
        <v>0</v>
      </c>
      <c r="BL456" s="62">
        <v>0</v>
      </c>
      <c r="BM456" s="275">
        <v>2</v>
      </c>
      <c r="BN456" s="62">
        <v>0</v>
      </c>
      <c r="BO456" s="33" t="s">
        <v>526</v>
      </c>
    </row>
    <row r="457" spans="1:67">
      <c r="A457" s="33" t="str">
        <f>Database_Productkaarten[[#This Row],[Product]]&amp;", "&amp;Database_Productkaarten[[#This Row],[Levensfase]]</f>
        <v>AC Surf G.M. 0% PR - PCR 2.0, B4</v>
      </c>
      <c r="B457" s="33" t="s">
        <v>530</v>
      </c>
      <c r="C457" s="33" t="s">
        <v>483</v>
      </c>
      <c r="D457" s="33" t="s">
        <v>377</v>
      </c>
      <c r="E457" s="33" t="s">
        <v>378</v>
      </c>
      <c r="F457" s="33" t="s">
        <v>82</v>
      </c>
      <c r="L457" s="33">
        <v>2.35</v>
      </c>
      <c r="M457" s="269">
        <v>1</v>
      </c>
      <c r="N457" s="211">
        <v>0</v>
      </c>
      <c r="O457" s="33">
        <v>14</v>
      </c>
      <c r="P457" s="163">
        <v>0</v>
      </c>
      <c r="Q457" s="163">
        <v>0</v>
      </c>
      <c r="R457" s="163">
        <v>0</v>
      </c>
      <c r="S457" s="163">
        <v>0</v>
      </c>
      <c r="T457" s="163">
        <v>0</v>
      </c>
      <c r="U457" s="163">
        <v>0</v>
      </c>
      <c r="V457" s="163">
        <v>0</v>
      </c>
      <c r="W457" s="163">
        <v>0</v>
      </c>
      <c r="X457" s="163">
        <v>0</v>
      </c>
      <c r="Y457" s="163">
        <v>0</v>
      </c>
      <c r="Z457" s="163">
        <v>0</v>
      </c>
      <c r="AA457" s="163">
        <v>0</v>
      </c>
      <c r="AB457" s="163">
        <v>0</v>
      </c>
      <c r="AC457" s="163">
        <v>0</v>
      </c>
      <c r="AD457" s="163">
        <v>0</v>
      </c>
      <c r="AE457" s="163">
        <v>0</v>
      </c>
      <c r="AF457" s="163">
        <v>0</v>
      </c>
      <c r="AG457" s="163">
        <v>0</v>
      </c>
      <c r="AH457" s="163">
        <v>0</v>
      </c>
      <c r="AI457" s="163">
        <v>0</v>
      </c>
      <c r="AJ457" s="163">
        <v>0</v>
      </c>
      <c r="AK457" s="163">
        <v>0</v>
      </c>
      <c r="AL457" s="163">
        <v>0</v>
      </c>
      <c r="AM457" s="163">
        <v>0</v>
      </c>
      <c r="AN457" s="163">
        <v>0</v>
      </c>
      <c r="AO457" s="163">
        <v>0</v>
      </c>
      <c r="AP457" s="163">
        <v>0</v>
      </c>
      <c r="AQ457" s="163">
        <v>0</v>
      </c>
      <c r="AR457" s="163">
        <v>0</v>
      </c>
      <c r="AS457" s="163">
        <v>0</v>
      </c>
      <c r="AT457" s="163">
        <v>0</v>
      </c>
      <c r="AU457" s="163">
        <v>0</v>
      </c>
      <c r="AV457" s="313">
        <v>0</v>
      </c>
      <c r="AW457" s="315">
        <v>0</v>
      </c>
      <c r="AX457" s="315">
        <v>0</v>
      </c>
      <c r="AY457" s="313">
        <v>0</v>
      </c>
      <c r="AZ457" s="163">
        <v>0</v>
      </c>
      <c r="BA457" s="163">
        <v>0</v>
      </c>
      <c r="BB457" s="163">
        <v>0</v>
      </c>
      <c r="BC457" s="163">
        <v>0</v>
      </c>
      <c r="BD457" s="163">
        <v>0</v>
      </c>
      <c r="BE457" s="163">
        <v>0</v>
      </c>
      <c r="BF457" s="163">
        <v>0</v>
      </c>
      <c r="BG457" s="163">
        <v>0</v>
      </c>
      <c r="BH457" s="163">
        <v>0</v>
      </c>
      <c r="BI457" s="163">
        <v>0</v>
      </c>
      <c r="BJ457" s="163">
        <v>0</v>
      </c>
      <c r="BK457" s="163">
        <v>0</v>
      </c>
      <c r="BL457" s="62">
        <v>0</v>
      </c>
      <c r="BM457" s="275">
        <v>2</v>
      </c>
      <c r="BN457" s="62">
        <v>0</v>
      </c>
      <c r="BO457" s="33" t="s">
        <v>526</v>
      </c>
    </row>
    <row r="458" spans="1:67">
      <c r="A458" s="33" t="str">
        <f>Database_Productkaarten[[#This Row],[Product]]&amp;", "&amp;Database_Productkaarten[[#This Row],[Levensfase]]</f>
        <v>AC Surf G.M. 0% PR - PCR 2.0, B5</v>
      </c>
      <c r="B458" s="33" t="s">
        <v>530</v>
      </c>
      <c r="C458" s="33" t="s">
        <v>483</v>
      </c>
      <c r="D458" s="33" t="s">
        <v>377</v>
      </c>
      <c r="E458" s="33" t="s">
        <v>378</v>
      </c>
      <c r="F458" s="33" t="s">
        <v>528</v>
      </c>
      <c r="L458" s="33">
        <v>2.35</v>
      </c>
      <c r="M458" s="269">
        <v>1</v>
      </c>
      <c r="N458" s="211">
        <v>0</v>
      </c>
      <c r="O458" s="33">
        <v>14</v>
      </c>
      <c r="P458" s="163">
        <v>0</v>
      </c>
      <c r="Q458" s="163">
        <v>0</v>
      </c>
      <c r="R458" s="163">
        <v>0</v>
      </c>
      <c r="S458" s="163">
        <v>0</v>
      </c>
      <c r="T458" s="163">
        <v>0</v>
      </c>
      <c r="U458" s="163">
        <v>0</v>
      </c>
      <c r="V458" s="163">
        <v>0</v>
      </c>
      <c r="W458" s="163">
        <v>0</v>
      </c>
      <c r="X458" s="163">
        <v>0</v>
      </c>
      <c r="Y458" s="163">
        <v>0</v>
      </c>
      <c r="Z458" s="163">
        <v>0</v>
      </c>
      <c r="AA458" s="163">
        <v>0</v>
      </c>
      <c r="AB458" s="163">
        <v>0</v>
      </c>
      <c r="AC458" s="163">
        <v>0</v>
      </c>
      <c r="AD458" s="163">
        <v>0</v>
      </c>
      <c r="AE458" s="163">
        <v>0</v>
      </c>
      <c r="AF458" s="163">
        <v>0</v>
      </c>
      <c r="AG458" s="163">
        <v>0</v>
      </c>
      <c r="AH458" s="163">
        <v>0</v>
      </c>
      <c r="AI458" s="163">
        <v>0</v>
      </c>
      <c r="AJ458" s="163">
        <v>0</v>
      </c>
      <c r="AK458" s="163">
        <v>0</v>
      </c>
      <c r="AL458" s="163">
        <v>0</v>
      </c>
      <c r="AM458" s="163">
        <v>0</v>
      </c>
      <c r="AN458" s="163">
        <v>0</v>
      </c>
      <c r="AO458" s="163">
        <v>0</v>
      </c>
      <c r="AP458" s="163">
        <v>0</v>
      </c>
      <c r="AQ458" s="163">
        <v>0</v>
      </c>
      <c r="AR458" s="163">
        <v>0</v>
      </c>
      <c r="AS458" s="163">
        <v>0</v>
      </c>
      <c r="AT458" s="163">
        <v>0</v>
      </c>
      <c r="AU458" s="163">
        <v>0</v>
      </c>
      <c r="AV458" s="313">
        <v>0</v>
      </c>
      <c r="AW458" s="315">
        <v>0</v>
      </c>
      <c r="AX458" s="315">
        <v>0</v>
      </c>
      <c r="AY458" s="313">
        <v>0</v>
      </c>
      <c r="AZ458" s="163">
        <v>0</v>
      </c>
      <c r="BA458" s="163">
        <v>0</v>
      </c>
      <c r="BB458" s="163">
        <v>0</v>
      </c>
      <c r="BC458" s="163">
        <v>0</v>
      </c>
      <c r="BD458" s="163">
        <v>0</v>
      </c>
      <c r="BE458" s="163">
        <v>0</v>
      </c>
      <c r="BF458" s="163">
        <v>0</v>
      </c>
      <c r="BG458" s="163">
        <v>0</v>
      </c>
      <c r="BH458" s="163">
        <v>0</v>
      </c>
      <c r="BI458" s="163">
        <v>0</v>
      </c>
      <c r="BJ458" s="163">
        <v>0</v>
      </c>
      <c r="BK458" s="163">
        <v>0</v>
      </c>
      <c r="BL458" s="62">
        <v>0</v>
      </c>
      <c r="BM458" s="275">
        <v>2</v>
      </c>
      <c r="BN458" s="62">
        <v>0</v>
      </c>
      <c r="BO458" s="33" t="s">
        <v>526</v>
      </c>
    </row>
    <row r="459" spans="1:67">
      <c r="A459" s="33" t="str">
        <f>Database_Productkaarten[[#This Row],[Product]]&amp;", "&amp;Database_Productkaarten[[#This Row],[Levensfase]]</f>
        <v>AC Surf G.M. 0% PR - PCR 2.0, C1</v>
      </c>
      <c r="B459" s="33" t="s">
        <v>530</v>
      </c>
      <c r="C459" s="33" t="s">
        <v>483</v>
      </c>
      <c r="D459" s="33" t="s">
        <v>377</v>
      </c>
      <c r="E459" s="33" t="s">
        <v>378</v>
      </c>
      <c r="F459" s="33" t="s">
        <v>83</v>
      </c>
      <c r="L459" s="33">
        <v>2.35</v>
      </c>
      <c r="M459" s="269">
        <v>1</v>
      </c>
      <c r="N459" s="211">
        <v>0.13541602853131343</v>
      </c>
      <c r="O459" s="33">
        <v>14</v>
      </c>
      <c r="P459" s="163">
        <v>1.6635523434087801E-6</v>
      </c>
      <c r="Q459" s="163">
        <v>7.0767185745639703E-3</v>
      </c>
      <c r="R459" s="163">
        <v>1.4392148986473401</v>
      </c>
      <c r="S459" s="163">
        <v>1.8598176371952399E-7</v>
      </c>
      <c r="T459" s="163">
        <v>4.7349882836818702E-4</v>
      </c>
      <c r="U459" s="163">
        <v>4.1086089095212497E-3</v>
      </c>
      <c r="V459" s="163">
        <v>8.83113744431522E-4</v>
      </c>
      <c r="W459" s="163">
        <v>0.38738647330731701</v>
      </c>
      <c r="X459" s="163">
        <v>5.5203762032745903E-3</v>
      </c>
      <c r="Y459" s="163">
        <v>19.1808743577092</v>
      </c>
      <c r="Z459" s="163">
        <v>6.5374485828087003E-4</v>
      </c>
      <c r="AA459" s="163">
        <v>1.4480810795838599</v>
      </c>
      <c r="AB459" s="163">
        <v>1.4476653667580499</v>
      </c>
      <c r="AC459" s="163">
        <v>3.3110965799423901E-4</v>
      </c>
      <c r="AD459" s="163">
        <v>8.4603167812207397E-5</v>
      </c>
      <c r="AE459" s="163">
        <v>2.3434436779985899E-7</v>
      </c>
      <c r="AF459" s="163">
        <v>5.5792397985000497E-3</v>
      </c>
      <c r="AG459" s="163">
        <v>3.9527082866066103E-6</v>
      </c>
      <c r="AH459" s="163">
        <v>2.1681682875333199E-3</v>
      </c>
      <c r="AI459" s="163">
        <v>2.3831205867868299E-2</v>
      </c>
      <c r="AJ459" s="163">
        <v>6.5087102478182503E-3</v>
      </c>
      <c r="AK459" s="163">
        <v>1.66353928931456E-6</v>
      </c>
      <c r="AL459" s="163">
        <v>14.931444268826599</v>
      </c>
      <c r="AM459" s="163">
        <v>1.9886244865477701E-2</v>
      </c>
      <c r="AN459" s="163">
        <v>2.3049580053518599E-8</v>
      </c>
      <c r="AO459" s="163">
        <v>6.4087145623334896E-2</v>
      </c>
      <c r="AP459" s="163">
        <v>8.9589317863358495</v>
      </c>
      <c r="AQ459" s="163">
        <v>3.1432578088136199E-10</v>
      </c>
      <c r="AR459" s="163">
        <v>6.3100664426983299E-9</v>
      </c>
      <c r="AS459" s="163">
        <v>1.9071665031798399</v>
      </c>
      <c r="AT459" s="163">
        <v>0</v>
      </c>
      <c r="AU459" s="163">
        <v>0</v>
      </c>
      <c r="AV459" s="313">
        <v>8.2070636043573203E-2</v>
      </c>
      <c r="AW459" s="315">
        <v>0</v>
      </c>
      <c r="AX459" s="315">
        <v>0</v>
      </c>
      <c r="AY459" s="313">
        <v>15.8567215566895</v>
      </c>
      <c r="AZ459" s="163">
        <v>0</v>
      </c>
      <c r="BA459" s="163">
        <v>0</v>
      </c>
      <c r="BB459" s="163">
        <v>0</v>
      </c>
      <c r="BC459" s="163">
        <v>7.7185667520761705E-4</v>
      </c>
      <c r="BD459" s="163">
        <v>4.0662310026794199E-5</v>
      </c>
      <c r="BE459" s="163">
        <v>1.7667955250852199E-2</v>
      </c>
      <c r="BF459" s="163">
        <v>1.03774338942344E-4</v>
      </c>
      <c r="BG459" s="163">
        <v>0</v>
      </c>
      <c r="BH459" s="163">
        <v>0</v>
      </c>
      <c r="BI459" s="163">
        <v>0</v>
      </c>
      <c r="BJ459" s="163">
        <v>0</v>
      </c>
      <c r="BK459" s="163">
        <v>0</v>
      </c>
      <c r="BL459" s="62">
        <v>0</v>
      </c>
      <c r="BM459" s="275">
        <v>2</v>
      </c>
      <c r="BN459" s="62">
        <v>0</v>
      </c>
      <c r="BO459" s="33" t="s">
        <v>526</v>
      </c>
    </row>
    <row r="460" spans="1:67">
      <c r="A460" s="33" t="str">
        <f>Database_Productkaarten[[#This Row],[Product]]&amp;", "&amp;Database_Productkaarten[[#This Row],[Levensfase]]</f>
        <v>AC Surf G.M. 0% PR - PCR 2.0, C2</v>
      </c>
      <c r="B460" s="33" t="s">
        <v>530</v>
      </c>
      <c r="C460" s="33" t="s">
        <v>483</v>
      </c>
      <c r="D460" s="33" t="s">
        <v>377</v>
      </c>
      <c r="E460" s="33" t="s">
        <v>378</v>
      </c>
      <c r="F460" s="33" t="s">
        <v>84</v>
      </c>
      <c r="L460" s="33">
        <v>2.35</v>
      </c>
      <c r="M460" s="269">
        <v>1</v>
      </c>
      <c r="N460" s="211">
        <v>0.31791357541832999</v>
      </c>
      <c r="O460" s="33">
        <v>14</v>
      </c>
      <c r="P460" s="163">
        <v>7.2195843000000002E-5</v>
      </c>
      <c r="Q460" s="163">
        <v>2.5045429500000001E-2</v>
      </c>
      <c r="R460" s="163">
        <v>3.2726104581</v>
      </c>
      <c r="S460" s="163">
        <v>6.2448211500000004E-7</v>
      </c>
      <c r="T460" s="163">
        <v>2.3663202E-3</v>
      </c>
      <c r="U460" s="163">
        <v>9.9103019999999993E-3</v>
      </c>
      <c r="V460" s="163">
        <v>1.66070541E-3</v>
      </c>
      <c r="W460" s="163">
        <v>0.89062466159999998</v>
      </c>
      <c r="X460" s="163">
        <v>3.5055542699999998E-2</v>
      </c>
      <c r="Y460" s="163">
        <v>92.682047400000002</v>
      </c>
      <c r="Z460" s="163">
        <v>7.4868390000000003E-3</v>
      </c>
      <c r="AA460" s="163">
        <v>3.3150718431000001</v>
      </c>
      <c r="AB460" s="163">
        <v>3.3001817481</v>
      </c>
      <c r="AC460" s="163">
        <v>1.3607189190000001E-2</v>
      </c>
      <c r="AD460" s="163">
        <v>1.2829113599999999E-3</v>
      </c>
      <c r="AE460" s="163">
        <v>7.8107336699999998E-7</v>
      </c>
      <c r="AF460" s="163">
        <v>1.2482505E-2</v>
      </c>
      <c r="AG460" s="163">
        <v>3.4632532799999998E-5</v>
      </c>
      <c r="AH460" s="163">
        <v>2.8897329300000001E-3</v>
      </c>
      <c r="AI460" s="163">
        <v>3.3662059799999998E-2</v>
      </c>
      <c r="AJ460" s="163">
        <v>1.2098522699999999E-2</v>
      </c>
      <c r="AK460" s="163">
        <v>7.2195510000000004E-5</v>
      </c>
      <c r="AL460" s="163">
        <v>52.307882313</v>
      </c>
      <c r="AM460" s="163">
        <v>0.28570883850000001</v>
      </c>
      <c r="AN460" s="163">
        <v>2.8544027399999998E-7</v>
      </c>
      <c r="AO460" s="163">
        <v>0.22308385950000001</v>
      </c>
      <c r="AP460" s="163">
        <v>50.61443379</v>
      </c>
      <c r="AQ460" s="163">
        <v>1.35209877E-9</v>
      </c>
      <c r="AR460" s="163">
        <v>4.3221490799999998E-8</v>
      </c>
      <c r="AS460" s="163">
        <v>98.528772599999996</v>
      </c>
      <c r="AT460" s="163">
        <v>8.065825212</v>
      </c>
      <c r="AU460" s="163">
        <v>0</v>
      </c>
      <c r="AV460" s="313">
        <v>8.6963547624000004</v>
      </c>
      <c r="AW460" s="315">
        <v>0.70667511750000001</v>
      </c>
      <c r="AX460" s="315">
        <v>9.926829900000001E-4</v>
      </c>
      <c r="AY460" s="313">
        <v>55.561210727999999</v>
      </c>
      <c r="AZ460" s="163">
        <v>0</v>
      </c>
      <c r="BA460" s="163">
        <v>0</v>
      </c>
      <c r="BB460" s="163">
        <v>0</v>
      </c>
      <c r="BC460" s="163">
        <v>8.7338241000000007E-3</v>
      </c>
      <c r="BD460" s="163">
        <v>1.5376752299999999E-4</v>
      </c>
      <c r="BE460" s="163">
        <v>5.5583861609999996</v>
      </c>
      <c r="BF460" s="163">
        <v>3.4865666099999999E-4</v>
      </c>
      <c r="BG460" s="163">
        <v>0</v>
      </c>
      <c r="BH460" s="163">
        <v>0</v>
      </c>
      <c r="BI460" s="163">
        <v>0</v>
      </c>
      <c r="BJ460" s="163">
        <v>0</v>
      </c>
      <c r="BK460" s="163">
        <v>0</v>
      </c>
      <c r="BL460" s="62">
        <v>0</v>
      </c>
      <c r="BM460" s="275">
        <v>2</v>
      </c>
      <c r="BN460" s="62">
        <v>0</v>
      </c>
      <c r="BO460" s="33" t="s">
        <v>526</v>
      </c>
    </row>
    <row r="461" spans="1:67">
      <c r="A461" s="33" t="str">
        <f>Database_Productkaarten[[#This Row],[Product]]&amp;", "&amp;Database_Productkaarten[[#This Row],[Levensfase]]</f>
        <v>AC Surf G.M. 0% PR - PCR 2.0, C3</v>
      </c>
      <c r="B461" s="33" t="s">
        <v>530</v>
      </c>
      <c r="C461" s="33" t="s">
        <v>483</v>
      </c>
      <c r="D461" s="33" t="s">
        <v>377</v>
      </c>
      <c r="E461" s="33" t="s">
        <v>378</v>
      </c>
      <c r="F461" s="33" t="s">
        <v>85</v>
      </c>
      <c r="L461" s="33">
        <v>2.35</v>
      </c>
      <c r="M461" s="269">
        <v>1</v>
      </c>
      <c r="N461" s="211">
        <v>0.15929996450657533</v>
      </c>
      <c r="O461" s="33">
        <v>14</v>
      </c>
      <c r="P461" s="163">
        <v>1.86519505170076E-6</v>
      </c>
      <c r="Q461" s="163">
        <v>7.9345026442080892E-3</v>
      </c>
      <c r="R461" s="163">
        <v>1.61366518939248</v>
      </c>
      <c r="S461" s="163">
        <v>2.08525007806739E-7</v>
      </c>
      <c r="T461" s="163">
        <v>5.8559282689024195E-4</v>
      </c>
      <c r="U461" s="163">
        <v>5.7290955955232002E-3</v>
      </c>
      <c r="V461" s="163">
        <v>1.2820009407260901E-3</v>
      </c>
      <c r="W461" s="163">
        <v>0.43705340518396102</v>
      </c>
      <c r="X461" s="163">
        <v>6.1895127127624397E-3</v>
      </c>
      <c r="Y461" s="163">
        <v>21.5058288253102</v>
      </c>
      <c r="Z461" s="163">
        <v>7.32986659284615E-4</v>
      </c>
      <c r="AA461" s="163">
        <v>1.62432602286675</v>
      </c>
      <c r="AB461" s="163">
        <v>1.6238599206075099</v>
      </c>
      <c r="AC461" s="163">
        <v>3.7124416199354001E-4</v>
      </c>
      <c r="AD461" s="163">
        <v>9.4858097243990196E-5</v>
      </c>
      <c r="AE461" s="163">
        <v>2.6274974571499303E-7</v>
      </c>
      <c r="AF461" s="163">
        <v>7.9167720468021601E-3</v>
      </c>
      <c r="AG461" s="163">
        <v>4.4318244425589198E-6</v>
      </c>
      <c r="AH461" s="163">
        <v>3.30426093602172E-3</v>
      </c>
      <c r="AI461" s="163">
        <v>3.6283310973059098E-2</v>
      </c>
      <c r="AJ461" s="163">
        <v>9.6537099687646205E-3</v>
      </c>
      <c r="AK461" s="163">
        <v>1.86518041529208E-6</v>
      </c>
      <c r="AL461" s="163">
        <v>16.741316301411601</v>
      </c>
      <c r="AM461" s="163">
        <v>2.22966987885659E-2</v>
      </c>
      <c r="AN461" s="163">
        <v>3.0576571299093999E-8</v>
      </c>
      <c r="AO461" s="163">
        <v>7.1855284486769394E-2</v>
      </c>
      <c r="AP461" s="163">
        <v>10.0456497862841</v>
      </c>
      <c r="AQ461" s="163">
        <v>3.5242587553365099E-10</v>
      </c>
      <c r="AR461" s="163">
        <v>7.5755651315496593E-9</v>
      </c>
      <c r="AS461" s="163">
        <v>2.13833820053497</v>
      </c>
      <c r="AT461" s="163">
        <v>0</v>
      </c>
      <c r="AU461" s="163">
        <v>0</v>
      </c>
      <c r="AV461" s="313">
        <v>9.2018591927642696E-2</v>
      </c>
      <c r="AW461" s="315">
        <v>0</v>
      </c>
      <c r="AX461" s="315">
        <v>0</v>
      </c>
      <c r="AY461" s="313">
        <v>17.7787484120458</v>
      </c>
      <c r="AZ461" s="163">
        <v>0</v>
      </c>
      <c r="BA461" s="163">
        <v>0</v>
      </c>
      <c r="BB461" s="163">
        <v>0</v>
      </c>
      <c r="BC461" s="163">
        <v>8.6541506008126605E-4</v>
      </c>
      <c r="BD461" s="163">
        <v>4.5591074878526798E-5</v>
      </c>
      <c r="BE461" s="163">
        <v>1.98095255842889E-2</v>
      </c>
      <c r="BF461" s="163">
        <v>1.16353046692931E-4</v>
      </c>
      <c r="BG461" s="163">
        <v>0</v>
      </c>
      <c r="BH461" s="163">
        <v>1000</v>
      </c>
      <c r="BI461" s="163">
        <v>0</v>
      </c>
      <c r="BJ461" s="163">
        <v>0</v>
      </c>
      <c r="BK461" s="163">
        <v>0</v>
      </c>
      <c r="BL461" s="62">
        <v>0</v>
      </c>
      <c r="BM461" s="275">
        <v>2</v>
      </c>
      <c r="BN461" s="62">
        <v>0</v>
      </c>
      <c r="BO461" s="33" t="s">
        <v>526</v>
      </c>
    </row>
    <row r="462" spans="1:67">
      <c r="A462" s="33" t="str">
        <f>Database_Productkaarten[[#This Row],[Product]]&amp;", "&amp;Database_Productkaarten[[#This Row],[Levensfase]]</f>
        <v>AC Surf G.M. 0% PR - PCR 2.0, C4</v>
      </c>
      <c r="B462" s="33" t="s">
        <v>530</v>
      </c>
      <c r="C462" s="33" t="s">
        <v>483</v>
      </c>
      <c r="D462" s="33" t="s">
        <v>377</v>
      </c>
      <c r="E462" s="33" t="s">
        <v>378</v>
      </c>
      <c r="F462" s="33" t="s">
        <v>86</v>
      </c>
      <c r="L462" s="33">
        <v>2.35</v>
      </c>
      <c r="M462" s="269">
        <v>1</v>
      </c>
      <c r="N462" s="211">
        <v>0</v>
      </c>
      <c r="O462" s="33">
        <v>14</v>
      </c>
      <c r="P462" s="163">
        <v>0</v>
      </c>
      <c r="Q462" s="163">
        <v>0</v>
      </c>
      <c r="R462" s="163">
        <v>0</v>
      </c>
      <c r="S462" s="163">
        <v>0</v>
      </c>
      <c r="T462" s="163">
        <v>0</v>
      </c>
      <c r="U462" s="163">
        <v>0</v>
      </c>
      <c r="V462" s="163">
        <v>0</v>
      </c>
      <c r="W462" s="163">
        <v>0</v>
      </c>
      <c r="X462" s="163">
        <v>0</v>
      </c>
      <c r="Y462" s="163">
        <v>0</v>
      </c>
      <c r="Z462" s="163">
        <v>0</v>
      </c>
      <c r="AA462" s="163">
        <v>0</v>
      </c>
      <c r="AB462" s="163">
        <v>0</v>
      </c>
      <c r="AC462" s="163">
        <v>0</v>
      </c>
      <c r="AD462" s="163">
        <v>0</v>
      </c>
      <c r="AE462" s="163">
        <v>0</v>
      </c>
      <c r="AF462" s="163">
        <v>0</v>
      </c>
      <c r="AG462" s="163">
        <v>0</v>
      </c>
      <c r="AH462" s="163">
        <v>0</v>
      </c>
      <c r="AI462" s="163">
        <v>0</v>
      </c>
      <c r="AJ462" s="163">
        <v>0</v>
      </c>
      <c r="AK462" s="163">
        <v>0</v>
      </c>
      <c r="AL462" s="163">
        <v>0</v>
      </c>
      <c r="AM462" s="163">
        <v>0</v>
      </c>
      <c r="AN462" s="163">
        <v>0</v>
      </c>
      <c r="AO462" s="163">
        <v>0</v>
      </c>
      <c r="AP462" s="163">
        <v>0</v>
      </c>
      <c r="AQ462" s="163">
        <v>0</v>
      </c>
      <c r="AR462" s="163">
        <v>0</v>
      </c>
      <c r="AS462" s="163">
        <v>0</v>
      </c>
      <c r="AT462" s="163">
        <v>0</v>
      </c>
      <c r="AU462" s="163">
        <v>0</v>
      </c>
      <c r="AV462" s="313">
        <v>0</v>
      </c>
      <c r="AW462" s="315">
        <v>0</v>
      </c>
      <c r="AX462" s="315">
        <v>0</v>
      </c>
      <c r="AY462" s="313">
        <v>0</v>
      </c>
      <c r="AZ462" s="163">
        <v>0</v>
      </c>
      <c r="BA462" s="163">
        <v>0</v>
      </c>
      <c r="BB462" s="163">
        <v>0</v>
      </c>
      <c r="BC462" s="163">
        <v>0</v>
      </c>
      <c r="BD462" s="163">
        <v>0</v>
      </c>
      <c r="BE462" s="163">
        <v>0</v>
      </c>
      <c r="BF462" s="163">
        <v>0</v>
      </c>
      <c r="BG462" s="163">
        <v>0</v>
      </c>
      <c r="BH462" s="163">
        <v>0</v>
      </c>
      <c r="BI462" s="163">
        <v>0</v>
      </c>
      <c r="BJ462" s="163">
        <v>0</v>
      </c>
      <c r="BK462" s="163">
        <v>0</v>
      </c>
      <c r="BL462" s="62">
        <v>0</v>
      </c>
      <c r="BM462" s="275">
        <v>2</v>
      </c>
      <c r="BN462" s="62">
        <v>0</v>
      </c>
      <c r="BO462" s="33" t="s">
        <v>526</v>
      </c>
    </row>
    <row r="463" spans="1:67">
      <c r="A463" s="33" t="str">
        <f>Database_Productkaarten[[#This Row],[Product]]&amp;", "&amp;Database_Productkaarten[[#This Row],[Levensfase]]</f>
        <v>AC Surf G.M. 0% PR - PCR 2.0, D</v>
      </c>
      <c r="B463" s="33" t="s">
        <v>530</v>
      </c>
      <c r="C463" s="33" t="s">
        <v>483</v>
      </c>
      <c r="D463" s="33" t="s">
        <v>377</v>
      </c>
      <c r="E463" s="33" t="s">
        <v>378</v>
      </c>
      <c r="F463" s="33" t="s">
        <v>89</v>
      </c>
      <c r="L463" s="33">
        <v>2.35</v>
      </c>
      <c r="M463" s="269">
        <v>1</v>
      </c>
      <c r="N463" s="211">
        <v>-4.3679865577583028</v>
      </c>
      <c r="O463" s="33">
        <v>14</v>
      </c>
      <c r="P463" s="163">
        <v>-4.9038813343444396E-4</v>
      </c>
      <c r="Q463" s="163">
        <v>-0.74558617477925904</v>
      </c>
      <c r="R463" s="163">
        <v>-32.476786373400202</v>
      </c>
      <c r="S463" s="163">
        <v>-2.7847203972508001E-6</v>
      </c>
      <c r="T463" s="163">
        <v>-8.0189532053413504E-2</v>
      </c>
      <c r="U463" s="163">
        <v>-0.229417962141439</v>
      </c>
      <c r="V463" s="163">
        <v>-2.1887334346775401E-2</v>
      </c>
      <c r="W463" s="163">
        <v>-8.9008105660211392</v>
      </c>
      <c r="X463" s="163">
        <v>-1.1557979045270099</v>
      </c>
      <c r="Y463" s="163">
        <v>-5047.7740666956297</v>
      </c>
      <c r="Z463" s="163">
        <v>-0.15217051449176799</v>
      </c>
      <c r="AA463" s="163">
        <v>-8.6996419492415402</v>
      </c>
      <c r="AB463" s="163">
        <v>-8.5956686653178807</v>
      </c>
      <c r="AC463" s="163">
        <v>-9.3379173063269899E-2</v>
      </c>
      <c r="AD463" s="163">
        <v>-1.0594110860387199E-2</v>
      </c>
      <c r="AE463" s="163">
        <v>-1.1395939883434601E-6</v>
      </c>
      <c r="AF463" s="163">
        <v>-8.4050570716118905E-2</v>
      </c>
      <c r="AG463" s="163">
        <v>-3.67338491151746E-4</v>
      </c>
      <c r="AH463" s="163">
        <v>-2.4828159586046301E-2</v>
      </c>
      <c r="AI463" s="163">
        <v>-0.312436815439458</v>
      </c>
      <c r="AJ463" s="163">
        <v>-7.7086420601061398E-2</v>
      </c>
      <c r="AK463" s="163">
        <v>-4.86996783722652E-4</v>
      </c>
      <c r="AL463" s="163">
        <v>-125.345592779578</v>
      </c>
      <c r="AM463" s="163">
        <v>-30.7201818477802</v>
      </c>
      <c r="AN463" s="163">
        <v>-1.1872978178766E-6</v>
      </c>
      <c r="AO463" s="163">
        <v>-0.67077370904272904</v>
      </c>
      <c r="AP463" s="163">
        <v>-1140.60846336756</v>
      </c>
      <c r="AQ463" s="163">
        <v>-6.3431836737825303E-9</v>
      </c>
      <c r="AR463" s="163">
        <v>-1.44941238576683E-7</v>
      </c>
      <c r="AS463" s="163">
        <v>-1407.44851823565</v>
      </c>
      <c r="AT463" s="163">
        <v>0</v>
      </c>
      <c r="AU463" s="163">
        <v>0</v>
      </c>
      <c r="AV463" s="313">
        <v>-16.262676038725701</v>
      </c>
      <c r="AW463" s="315">
        <v>0</v>
      </c>
      <c r="AX463" s="315">
        <v>0</v>
      </c>
      <c r="AY463" s="313">
        <v>-1683.87225429464</v>
      </c>
      <c r="AZ463" s="163">
        <v>0</v>
      </c>
      <c r="BA463" s="163">
        <v>0</v>
      </c>
      <c r="BB463" s="163">
        <v>0</v>
      </c>
      <c r="BC463" s="163">
        <v>-17.998471227244</v>
      </c>
      <c r="BD463" s="163">
        <v>-7.7956597525978295E-4</v>
      </c>
      <c r="BE463" s="163">
        <v>-3.0846445794053401</v>
      </c>
      <c r="BF463" s="163">
        <v>-9.1037909232616105E-4</v>
      </c>
      <c r="BG463" s="163">
        <v>0</v>
      </c>
      <c r="BH463" s="163">
        <v>0</v>
      </c>
      <c r="BI463" s="163">
        <v>0</v>
      </c>
      <c r="BJ463" s="163">
        <v>0</v>
      </c>
      <c r="BK463" s="163">
        <v>0</v>
      </c>
      <c r="BL463" s="62">
        <v>0</v>
      </c>
      <c r="BM463" s="275">
        <v>2</v>
      </c>
      <c r="BN463" s="62">
        <v>0</v>
      </c>
      <c r="BO463" s="33" t="s">
        <v>526</v>
      </c>
    </row>
    <row r="464" spans="1:67">
      <c r="A464" s="33" t="str">
        <f>Database_Productkaarten[[#This Row],[Product]]&amp;", "&amp;Database_Productkaarten[[#This Row],[Levensfase]]</f>
        <v>AC Surf G.M. 30% PR - PCR 2.0, Totaal</v>
      </c>
      <c r="B464" s="33" t="s">
        <v>531</v>
      </c>
      <c r="C464" s="33" t="s">
        <v>483</v>
      </c>
      <c r="D464" s="33" t="s">
        <v>377</v>
      </c>
      <c r="E464" s="33" t="s">
        <v>378</v>
      </c>
      <c r="F464" s="33" t="s">
        <v>90</v>
      </c>
      <c r="L464" s="33">
        <v>2.35</v>
      </c>
      <c r="M464" s="269">
        <v>1</v>
      </c>
      <c r="N464" s="41">
        <f>SUM(N465:N480)</f>
        <v>21.541363051639241</v>
      </c>
      <c r="O464" s="33">
        <v>14</v>
      </c>
      <c r="P464" s="40">
        <f>SUM(P465:P480)</f>
        <v>1.1346901790817281E-2</v>
      </c>
      <c r="Q464" s="40">
        <f t="shared" ref="Q464:BK464" si="51">SUM(Q465:Q480)</f>
        <v>2.6511686785063469</v>
      </c>
      <c r="R464" s="40">
        <f t="shared" si="51"/>
        <v>200.58288252566115</v>
      </c>
      <c r="S464" s="40">
        <f t="shared" si="51"/>
        <v>2.4603864986950096E-5</v>
      </c>
      <c r="T464" s="40">
        <f t="shared" si="51"/>
        <v>0.22504025675878236</v>
      </c>
      <c r="U464" s="40">
        <f t="shared" si="51"/>
        <v>0.90637285333053819</v>
      </c>
      <c r="V464" s="40">
        <f t="shared" si="51"/>
        <v>0.12723941531459365</v>
      </c>
      <c r="W464" s="40">
        <f t="shared" si="51"/>
        <v>49.344443289756526</v>
      </c>
      <c r="X464" s="40">
        <f t="shared" si="51"/>
        <v>3.3717440997400221</v>
      </c>
      <c r="Y464" s="40">
        <f t="shared" si="51"/>
        <v>12943.624198365382</v>
      </c>
      <c r="Z464" s="40">
        <f t="shared" si="51"/>
        <v>0.47061688301910332</v>
      </c>
      <c r="AA464" s="40">
        <f t="shared" si="51"/>
        <v>224.6536427393518</v>
      </c>
      <c r="AB464" s="40">
        <f t="shared" si="51"/>
        <v>224.5582793131889</v>
      </c>
      <c r="AC464" s="40">
        <f t="shared" si="51"/>
        <v>-2.33832692634664E-3</v>
      </c>
      <c r="AD464" s="40">
        <f t="shared" si="51"/>
        <v>0.14970013643933999</v>
      </c>
      <c r="AE464" s="40">
        <f t="shared" si="51"/>
        <v>3.1181870236331698E-5</v>
      </c>
      <c r="AF464" s="40">
        <f t="shared" si="51"/>
        <v>1.272780401368349</v>
      </c>
      <c r="AG464" s="40">
        <f t="shared" si="51"/>
        <v>3.3622313651066695E-3</v>
      </c>
      <c r="AH464" s="40">
        <f t="shared" si="51"/>
        <v>0.30827894613797896</v>
      </c>
      <c r="AI464" s="40">
        <f t="shared" si="51"/>
        <v>3.2916028801444344</v>
      </c>
      <c r="AJ464" s="40">
        <f t="shared" si="51"/>
        <v>1.3169750603234016</v>
      </c>
      <c r="AK464" s="40">
        <f t="shared" si="51"/>
        <v>1.1349186618478046E-2</v>
      </c>
      <c r="AL464" s="40">
        <f t="shared" si="51"/>
        <v>6488.0542870723493</v>
      </c>
      <c r="AM464" s="40">
        <f t="shared" si="51"/>
        <v>78.418109126550306</v>
      </c>
      <c r="AN464" s="40">
        <f t="shared" si="51"/>
        <v>6.3540252983378939E-6</v>
      </c>
      <c r="AO464" s="40">
        <f t="shared" si="51"/>
        <v>8.4073552969941723</v>
      </c>
      <c r="AP464" s="40">
        <f t="shared" si="51"/>
        <v>5684.3107222686958</v>
      </c>
      <c r="AQ464" s="40">
        <f t="shared" si="51"/>
        <v>6.8128612435694501E-8</v>
      </c>
      <c r="AR464" s="40">
        <f t="shared" si="51"/>
        <v>2.121818396282524E-6</v>
      </c>
      <c r="AS464" s="40">
        <f t="shared" si="51"/>
        <v>276.72310568723992</v>
      </c>
      <c r="AT464" s="40">
        <f t="shared" si="51"/>
        <v>8.065825212</v>
      </c>
      <c r="AU464" s="40">
        <f t="shared" si="51"/>
        <v>0</v>
      </c>
      <c r="AV464" s="313">
        <f t="shared" si="51"/>
        <v>94.136180674677504</v>
      </c>
      <c r="AW464" s="317">
        <f t="shared" si="51"/>
        <v>0.70667511750000001</v>
      </c>
      <c r="AX464" s="317">
        <f t="shared" si="51"/>
        <v>9.926829900000001E-4</v>
      </c>
      <c r="AY464" s="313">
        <f t="shared" si="51"/>
        <v>5840.7197396815436</v>
      </c>
      <c r="AZ464" s="40">
        <f t="shared" si="51"/>
        <v>588</v>
      </c>
      <c r="BA464" s="40">
        <f t="shared" si="51"/>
        <v>0</v>
      </c>
      <c r="BB464" s="40">
        <f t="shared" si="51"/>
        <v>0</v>
      </c>
      <c r="BC464" s="40">
        <f t="shared" si="51"/>
        <v>-10.147977780509152</v>
      </c>
      <c r="BD464" s="40">
        <f t="shared" si="51"/>
        <v>4.5562077757425315E-3</v>
      </c>
      <c r="BE464" s="40">
        <f t="shared" si="51"/>
        <v>27.126093807218773</v>
      </c>
      <c r="BF464" s="40">
        <f t="shared" si="51"/>
        <v>1.0023575795733668E-2</v>
      </c>
      <c r="BG464" s="40">
        <f t="shared" si="51"/>
        <v>0</v>
      </c>
      <c r="BH464" s="40">
        <f t="shared" si="51"/>
        <v>1000</v>
      </c>
      <c r="BI464" s="40">
        <f t="shared" si="51"/>
        <v>0</v>
      </c>
      <c r="BJ464" s="40">
        <f t="shared" si="51"/>
        <v>0</v>
      </c>
      <c r="BK464" s="40">
        <f t="shared" si="51"/>
        <v>0</v>
      </c>
      <c r="BL464" s="62">
        <v>0.3</v>
      </c>
      <c r="BM464" s="275">
        <v>2</v>
      </c>
      <c r="BN464" s="62">
        <v>0</v>
      </c>
      <c r="BO464" s="33" t="s">
        <v>526</v>
      </c>
    </row>
    <row r="465" spans="1:67">
      <c r="A465" s="33" t="str">
        <f>Database_Productkaarten[[#This Row],[Product]]&amp;", "&amp;Database_Productkaarten[[#This Row],[Levensfase]]</f>
        <v>AC Surf G.M. 30% PR - PCR 2.0, A1</v>
      </c>
      <c r="B465" s="33" t="s">
        <v>531</v>
      </c>
      <c r="C465" s="33" t="s">
        <v>483</v>
      </c>
      <c r="D465" s="33" t="s">
        <v>377</v>
      </c>
      <c r="E465" s="33" t="s">
        <v>378</v>
      </c>
      <c r="F465" s="33" t="s">
        <v>74</v>
      </c>
      <c r="L465" s="33">
        <v>2.35</v>
      </c>
      <c r="M465" s="269">
        <v>1</v>
      </c>
      <c r="N465" s="211">
        <v>7.1569728190792148</v>
      </c>
      <c r="O465" s="33">
        <v>14</v>
      </c>
      <c r="P465" s="163">
        <v>5.5072686937398703E-3</v>
      </c>
      <c r="Q465" s="163">
        <v>1.1928448997716801</v>
      </c>
      <c r="R465" s="163">
        <v>57.849137115650201</v>
      </c>
      <c r="S465" s="163">
        <v>6.0027267443094598E-6</v>
      </c>
      <c r="T465" s="163">
        <v>0.119839298885761</v>
      </c>
      <c r="U465" s="163">
        <v>0.333175318006178</v>
      </c>
      <c r="V465" s="163">
        <v>2.8605085065727599E-2</v>
      </c>
      <c r="W465" s="163">
        <v>16.118366582807699</v>
      </c>
      <c r="X465" s="163">
        <v>1.68291837516981</v>
      </c>
      <c r="Y465" s="163">
        <v>7278.4837374790804</v>
      </c>
      <c r="Z465" s="163">
        <v>0.22974969494050099</v>
      </c>
      <c r="AA465" s="163">
        <v>60.810915304634101</v>
      </c>
      <c r="AB465" s="163">
        <v>60.859757863236403</v>
      </c>
      <c r="AC465" s="163">
        <v>-6.0011216989127598E-2</v>
      </c>
      <c r="AD465" s="163">
        <v>3.71678583868435E-2</v>
      </c>
      <c r="AE465" s="163">
        <v>7.2434314684707201E-6</v>
      </c>
      <c r="AF465" s="163">
        <v>0.39041868682079001</v>
      </c>
      <c r="AG465" s="163">
        <v>1.25052684450262E-3</v>
      </c>
      <c r="AH465" s="163">
        <v>5.3134536509383302E-2</v>
      </c>
      <c r="AI465" s="163">
        <v>0.54462439297215604</v>
      </c>
      <c r="AJ465" s="163">
        <v>0.36275894698997702</v>
      </c>
      <c r="AK465" s="163">
        <v>5.5072246020964099E-3</v>
      </c>
      <c r="AL465" s="163">
        <v>2514.4215141826098</v>
      </c>
      <c r="AM465" s="163">
        <v>47.8829427478653</v>
      </c>
      <c r="AN465" s="163">
        <v>2.2897470902486099E-6</v>
      </c>
      <c r="AO465" s="163">
        <v>2.4922245727305401</v>
      </c>
      <c r="AP465" s="163">
        <v>2835.5794498076498</v>
      </c>
      <c r="AQ465" s="163">
        <v>2.02604558035879E-8</v>
      </c>
      <c r="AR465" s="163">
        <v>7.8695375956595101E-7</v>
      </c>
      <c r="AS465" s="163">
        <v>292.88640134731702</v>
      </c>
      <c r="AT465" s="163">
        <v>0</v>
      </c>
      <c r="AU465" s="163">
        <v>0</v>
      </c>
      <c r="AV465" s="313">
        <v>34.977761898614901</v>
      </c>
      <c r="AW465" s="315">
        <v>0</v>
      </c>
      <c r="AX465" s="315">
        <v>0</v>
      </c>
      <c r="AY465" s="313">
        <v>2677.2965098613399</v>
      </c>
      <c r="AZ465" s="163">
        <v>294</v>
      </c>
      <c r="BA465" s="163">
        <v>0</v>
      </c>
      <c r="BB465" s="163">
        <v>0</v>
      </c>
      <c r="BC465" s="163">
        <v>1.1782705593348199</v>
      </c>
      <c r="BD465" s="163">
        <v>1.0628554958660001E-3</v>
      </c>
      <c r="BE465" s="163">
        <v>4.24765262774417</v>
      </c>
      <c r="BF465" s="163">
        <v>2.4255566822762699E-3</v>
      </c>
      <c r="BG465" s="163">
        <v>0</v>
      </c>
      <c r="BH465" s="163">
        <v>0</v>
      </c>
      <c r="BI465" s="163">
        <v>0</v>
      </c>
      <c r="BJ465" s="163">
        <v>0</v>
      </c>
      <c r="BK465" s="163">
        <v>0</v>
      </c>
      <c r="BL465" s="62">
        <v>0.3</v>
      </c>
      <c r="BM465" s="275">
        <v>2</v>
      </c>
      <c r="BN465" s="62">
        <v>0</v>
      </c>
      <c r="BO465" s="33" t="s">
        <v>526</v>
      </c>
    </row>
    <row r="466" spans="1:67">
      <c r="A466" s="33" t="str">
        <f>Database_Productkaarten[[#This Row],[Product]]&amp;", "&amp;Database_Productkaarten[[#This Row],[Levensfase]]</f>
        <v>AC Surf G.M. 30% PR - PCR 2.0, A2</v>
      </c>
      <c r="B466" s="33" t="s">
        <v>531</v>
      </c>
      <c r="C466" s="33" t="s">
        <v>483</v>
      </c>
      <c r="D466" s="33" t="s">
        <v>377</v>
      </c>
      <c r="E466" s="33" t="s">
        <v>378</v>
      </c>
      <c r="F466" s="33" t="s">
        <v>75</v>
      </c>
      <c r="L466" s="33">
        <v>2.35</v>
      </c>
      <c r="M466" s="269">
        <v>1</v>
      </c>
      <c r="N466" s="211">
        <v>2.7624609024647073</v>
      </c>
      <c r="O466" s="33">
        <v>14</v>
      </c>
      <c r="P466" s="163">
        <v>2.4432568828345702E-4</v>
      </c>
      <c r="Q466" s="163">
        <v>0.146529059652105</v>
      </c>
      <c r="R466" s="163">
        <v>23.124138323017899</v>
      </c>
      <c r="S466" s="163">
        <v>3.4327538072829601E-6</v>
      </c>
      <c r="T466" s="163">
        <v>1.3648553651903801E-2</v>
      </c>
      <c r="U466" s="163">
        <v>0.15580461796554701</v>
      </c>
      <c r="V466" s="163">
        <v>3.4471940587116702E-2</v>
      </c>
      <c r="W466" s="163">
        <v>6.2455125343064299</v>
      </c>
      <c r="X466" s="163">
        <v>0.16228137510508001</v>
      </c>
      <c r="Y466" s="163">
        <v>532.25913278396001</v>
      </c>
      <c r="Z466" s="163">
        <v>2.8562249599313399E-2</v>
      </c>
      <c r="AA466" s="163">
        <v>23.389771611534002</v>
      </c>
      <c r="AB466" s="163">
        <v>23.3178056059032</v>
      </c>
      <c r="AC466" s="163">
        <v>3.3770827466224798E-2</v>
      </c>
      <c r="AD466" s="163">
        <v>3.8195178164617399E-2</v>
      </c>
      <c r="AE466" s="163">
        <v>4.2699796780895796E-6</v>
      </c>
      <c r="AF466" s="163">
        <v>0.21659299181832201</v>
      </c>
      <c r="AG466" s="163">
        <v>2.7375947870377101E-4</v>
      </c>
      <c r="AH466" s="163">
        <v>9.1249095139150804E-2</v>
      </c>
      <c r="AI466" s="163">
        <v>1.0044462725757699</v>
      </c>
      <c r="AJ466" s="163">
        <v>0.26118137804672797</v>
      </c>
      <c r="AK466" s="163">
        <v>2.4431559003214998E-4</v>
      </c>
      <c r="AL466" s="163">
        <v>303.70408422957001</v>
      </c>
      <c r="AM466" s="163">
        <v>1.37205191321637</v>
      </c>
      <c r="AN466" s="163">
        <v>7.6572675344055697E-7</v>
      </c>
      <c r="AO466" s="163">
        <v>1.30940519055553</v>
      </c>
      <c r="AP466" s="163">
        <v>268.84139307331799</v>
      </c>
      <c r="AQ466" s="163">
        <v>1.0931237417606999E-8</v>
      </c>
      <c r="AR466" s="163">
        <v>2.0357443907408399E-7</v>
      </c>
      <c r="AS466" s="163">
        <v>237.69204270426101</v>
      </c>
      <c r="AT466" s="163">
        <v>0</v>
      </c>
      <c r="AU466" s="163">
        <v>0</v>
      </c>
      <c r="AV466" s="313">
        <v>6.5609476774045898</v>
      </c>
      <c r="AW466" s="315">
        <v>0</v>
      </c>
      <c r="AX466" s="315">
        <v>0</v>
      </c>
      <c r="AY466" s="313">
        <v>322.31151260754001</v>
      </c>
      <c r="AZ466" s="163">
        <v>0</v>
      </c>
      <c r="BA466" s="163">
        <v>0</v>
      </c>
      <c r="BB466" s="163">
        <v>0</v>
      </c>
      <c r="BC466" s="163">
        <v>5.4385069592512901E-2</v>
      </c>
      <c r="BD466" s="163">
        <v>7.8762336978531597E-4</v>
      </c>
      <c r="BE466" s="163">
        <v>4.5887980243316697</v>
      </c>
      <c r="BF466" s="163">
        <v>1.9727255777862301E-3</v>
      </c>
      <c r="BG466" s="163">
        <v>0</v>
      </c>
      <c r="BH466" s="163">
        <v>0</v>
      </c>
      <c r="BI466" s="163">
        <v>0</v>
      </c>
      <c r="BJ466" s="163">
        <v>0</v>
      </c>
      <c r="BK466" s="163">
        <v>0</v>
      </c>
      <c r="BL466" s="62">
        <v>0.3</v>
      </c>
      <c r="BM466" s="275">
        <v>2</v>
      </c>
      <c r="BN466" s="62">
        <v>0</v>
      </c>
      <c r="BO466" s="33" t="s">
        <v>526</v>
      </c>
    </row>
    <row r="467" spans="1:67">
      <c r="A467" s="33" t="str">
        <f>Database_Productkaarten[[#This Row],[Product]]&amp;", "&amp;Database_Productkaarten[[#This Row],[Levensfase]]</f>
        <v>AC Surf G.M. 30% PR - PCR 2.0, A3</v>
      </c>
      <c r="B467" s="33" t="s">
        <v>531</v>
      </c>
      <c r="C467" s="33" t="s">
        <v>483</v>
      </c>
      <c r="D467" s="33" t="s">
        <v>377</v>
      </c>
      <c r="E467" s="33" t="s">
        <v>378</v>
      </c>
      <c r="F467" s="33" t="s">
        <v>76</v>
      </c>
      <c r="L467" s="33">
        <v>2.35</v>
      </c>
      <c r="M467" s="269">
        <v>1</v>
      </c>
      <c r="N467" s="211">
        <v>1.72820944057466</v>
      </c>
      <c r="O467" s="33">
        <v>14</v>
      </c>
      <c r="P467" s="163">
        <v>2.13725651549994E-5</v>
      </c>
      <c r="Q467" s="163">
        <v>0.20829809481216099</v>
      </c>
      <c r="R467" s="163">
        <v>24.360387797750601</v>
      </c>
      <c r="S467" s="163">
        <v>2.7986646292167201E-6</v>
      </c>
      <c r="T467" s="163">
        <v>3.9172043077659998E-3</v>
      </c>
      <c r="U467" s="163">
        <v>2.3248424253432199E-2</v>
      </c>
      <c r="V467" s="163">
        <v>3.8699153281488599E-3</v>
      </c>
      <c r="W467" s="163">
        <v>3.6526757515564001</v>
      </c>
      <c r="X467" s="163">
        <v>2.51005599478114E-2</v>
      </c>
      <c r="Y467" s="163">
        <v>102.33076359691501</v>
      </c>
      <c r="Z467" s="163">
        <v>2.3178693118005699E-2</v>
      </c>
      <c r="AA467" s="163">
        <v>24.716285636913799</v>
      </c>
      <c r="AB467" s="163">
        <v>24.664768053270699</v>
      </c>
      <c r="AC467" s="163">
        <v>4.9597595882074602E-2</v>
      </c>
      <c r="AD467" s="163">
        <v>1.9199877610172301E-3</v>
      </c>
      <c r="AE467" s="163">
        <v>3.1598966093486399E-6</v>
      </c>
      <c r="AF467" s="163">
        <v>2.9861968535005699E-2</v>
      </c>
      <c r="AG467" s="163">
        <v>2.4759672342827301E-4</v>
      </c>
      <c r="AH467" s="163">
        <v>8.3850685835084506E-3</v>
      </c>
      <c r="AI467" s="163">
        <v>9.4540827891292006E-2</v>
      </c>
      <c r="AJ467" s="163">
        <v>2.89101179120104E-2</v>
      </c>
      <c r="AK467" s="163">
        <v>2.1372269748918299E-5</v>
      </c>
      <c r="AL467" s="163">
        <v>383.83624233232501</v>
      </c>
      <c r="AM467" s="163">
        <v>0.51038532944047399</v>
      </c>
      <c r="AN467" s="163">
        <v>1.9718449522597899E-7</v>
      </c>
      <c r="AO467" s="163">
        <v>0.26865643538814699</v>
      </c>
      <c r="AP467" s="163">
        <v>73.674588587375297</v>
      </c>
      <c r="AQ467" s="163">
        <v>2.9371232370517201E-9</v>
      </c>
      <c r="AR467" s="163">
        <v>4.8786148438544597E-8</v>
      </c>
      <c r="AS467" s="163">
        <v>15.745879966544701</v>
      </c>
      <c r="AT467" s="163">
        <v>0</v>
      </c>
      <c r="AU467" s="163">
        <v>0</v>
      </c>
      <c r="AV467" s="313">
        <v>6.4453861421442999</v>
      </c>
      <c r="AW467" s="315">
        <v>0</v>
      </c>
      <c r="AX467" s="315">
        <v>0</v>
      </c>
      <c r="AY467" s="313">
        <v>423.49316380820102</v>
      </c>
      <c r="AZ467" s="163">
        <v>0</v>
      </c>
      <c r="BA467" s="163">
        <v>0</v>
      </c>
      <c r="BB467" s="163">
        <v>0</v>
      </c>
      <c r="BC467" s="163">
        <v>3.75785879272625E-2</v>
      </c>
      <c r="BD467" s="163">
        <v>4.6971385485893101E-4</v>
      </c>
      <c r="BE467" s="163">
        <v>0.27024292472864597</v>
      </c>
      <c r="BF467" s="163">
        <v>3.4670692388607502E-4</v>
      </c>
      <c r="BG467" s="163">
        <v>0</v>
      </c>
      <c r="BH467" s="163">
        <v>0</v>
      </c>
      <c r="BI467" s="163">
        <v>0</v>
      </c>
      <c r="BJ467" s="163">
        <v>0</v>
      </c>
      <c r="BK467" s="163">
        <v>0</v>
      </c>
      <c r="BL467" s="62">
        <v>0.3</v>
      </c>
      <c r="BM467" s="275">
        <v>2</v>
      </c>
      <c r="BN467" s="62">
        <v>0</v>
      </c>
      <c r="BO467" s="33" t="s">
        <v>526</v>
      </c>
    </row>
    <row r="468" spans="1:67">
      <c r="A468" s="33" t="str">
        <f>Database_Productkaarten[[#This Row],[Product]]&amp;", "&amp;Database_Productkaarten[[#This Row],[Levensfase]]</f>
        <v>AC Surf G.M. 30% PR - PCR 2.0, A1-A3</v>
      </c>
      <c r="B468" s="33" t="str">
        <f>B467</f>
        <v>AC Surf G.M. 30% PR - PCR 2.0</v>
      </c>
      <c r="C468" s="33" t="str">
        <f>C467</f>
        <v>Bitumineuze verhardingen</v>
      </c>
      <c r="D468" s="33" t="str">
        <f>D467</f>
        <v>AC surf</v>
      </c>
      <c r="E468" s="33" t="str">
        <f>E467</f>
        <v>Ton</v>
      </c>
      <c r="F468" s="33" t="s">
        <v>77</v>
      </c>
      <c r="L468" s="33">
        <f>L467</f>
        <v>2.35</v>
      </c>
      <c r="M468" s="45">
        <f>M467</f>
        <v>1</v>
      </c>
      <c r="N468" s="41">
        <f>SUM(N465:N467)</f>
        <v>11.64764316211858</v>
      </c>
      <c r="O468" s="33">
        <f>O467</f>
        <v>14</v>
      </c>
      <c r="P468" s="40">
        <f>SUM(P465:P467)</f>
        <v>5.7729669471783271E-3</v>
      </c>
      <c r="Q468" s="40">
        <f t="shared" ref="Q468:BK468" si="52">SUM(Q465:Q467)</f>
        <v>1.5476720542359459</v>
      </c>
      <c r="R468" s="40">
        <f t="shared" si="52"/>
        <v>105.3336632364187</v>
      </c>
      <c r="S468" s="40">
        <f t="shared" si="52"/>
        <v>1.2234145180809139E-5</v>
      </c>
      <c r="T468" s="40">
        <f t="shared" si="52"/>
        <v>0.13740505684543078</v>
      </c>
      <c r="U468" s="40">
        <f t="shared" si="52"/>
        <v>0.51222836022515716</v>
      </c>
      <c r="V468" s="40">
        <f t="shared" si="52"/>
        <v>6.6946940980993158E-2</v>
      </c>
      <c r="W468" s="40">
        <f t="shared" si="52"/>
        <v>26.016554868670532</v>
      </c>
      <c r="X468" s="40">
        <f t="shared" si="52"/>
        <v>1.8703003102227014</v>
      </c>
      <c r="Y468" s="40">
        <f t="shared" si="52"/>
        <v>7913.0736338599554</v>
      </c>
      <c r="Z468" s="40">
        <f t="shared" si="52"/>
        <v>0.28149063765782006</v>
      </c>
      <c r="AA468" s="40">
        <f t="shared" si="52"/>
        <v>108.91697255308191</v>
      </c>
      <c r="AB468" s="40">
        <f t="shared" si="52"/>
        <v>108.84233152241029</v>
      </c>
      <c r="AC468" s="40">
        <f t="shared" si="52"/>
        <v>2.3357206359171802E-2</v>
      </c>
      <c r="AD468" s="40">
        <f t="shared" si="52"/>
        <v>7.7283024312478132E-2</v>
      </c>
      <c r="AE468" s="40">
        <f t="shared" si="52"/>
        <v>1.4673307755908939E-5</v>
      </c>
      <c r="AF468" s="40">
        <f t="shared" si="52"/>
        <v>0.63687364717411765</v>
      </c>
      <c r="AG468" s="40">
        <f t="shared" si="52"/>
        <v>1.7718830466346642E-3</v>
      </c>
      <c r="AH468" s="40">
        <f t="shared" si="52"/>
        <v>0.15276870023204256</v>
      </c>
      <c r="AI468" s="40">
        <f t="shared" si="52"/>
        <v>1.6436114934392181</v>
      </c>
      <c r="AJ468" s="40">
        <f t="shared" si="52"/>
        <v>0.65285044294871541</v>
      </c>
      <c r="AK468" s="40">
        <f t="shared" si="52"/>
        <v>5.7729124618774779E-3</v>
      </c>
      <c r="AL468" s="40">
        <f t="shared" si="52"/>
        <v>3201.961840744505</v>
      </c>
      <c r="AM468" s="40">
        <f t="shared" si="52"/>
        <v>49.765379990522142</v>
      </c>
      <c r="AN468" s="40">
        <f t="shared" si="52"/>
        <v>3.2526583389151459E-6</v>
      </c>
      <c r="AO468" s="40">
        <f t="shared" si="52"/>
        <v>4.0702861986742169</v>
      </c>
      <c r="AP468" s="40">
        <f t="shared" si="52"/>
        <v>3178.0954314683431</v>
      </c>
      <c r="AQ468" s="40">
        <f t="shared" si="52"/>
        <v>3.4128816458246619E-8</v>
      </c>
      <c r="AR468" s="40">
        <f t="shared" si="52"/>
        <v>1.0393143470785795E-6</v>
      </c>
      <c r="AS468" s="40">
        <f t="shared" si="52"/>
        <v>546.32432401812275</v>
      </c>
      <c r="AT468" s="40">
        <f t="shared" si="52"/>
        <v>0</v>
      </c>
      <c r="AU468" s="40">
        <f t="shared" si="52"/>
        <v>0</v>
      </c>
      <c r="AV468" s="317">
        <f t="shared" si="52"/>
        <v>47.984095718163793</v>
      </c>
      <c r="AW468" s="317">
        <f t="shared" si="52"/>
        <v>0</v>
      </c>
      <c r="AX468" s="317">
        <f t="shared" si="52"/>
        <v>0</v>
      </c>
      <c r="AY468" s="317">
        <f t="shared" si="52"/>
        <v>3423.1011862770811</v>
      </c>
      <c r="AZ468" s="40">
        <f t="shared" si="52"/>
        <v>294</v>
      </c>
      <c r="BA468" s="40">
        <f t="shared" si="52"/>
        <v>0</v>
      </c>
      <c r="BB468" s="40">
        <f t="shared" si="52"/>
        <v>0</v>
      </c>
      <c r="BC468" s="40">
        <f t="shared" si="52"/>
        <v>1.2702342168545955</v>
      </c>
      <c r="BD468" s="40">
        <f t="shared" si="52"/>
        <v>2.320192720510247E-3</v>
      </c>
      <c r="BE468" s="40">
        <f t="shared" si="52"/>
        <v>9.106693576804485</v>
      </c>
      <c r="BF468" s="40">
        <f t="shared" si="52"/>
        <v>4.7449891839485749E-3</v>
      </c>
      <c r="BG468" s="40">
        <f t="shared" si="52"/>
        <v>0</v>
      </c>
      <c r="BH468" s="40">
        <f t="shared" si="52"/>
        <v>0</v>
      </c>
      <c r="BI468" s="40">
        <f t="shared" si="52"/>
        <v>0</v>
      </c>
      <c r="BJ468" s="40">
        <f t="shared" si="52"/>
        <v>0</v>
      </c>
      <c r="BK468" s="40">
        <f t="shared" si="52"/>
        <v>0</v>
      </c>
      <c r="BL468" s="62">
        <f>BL467</f>
        <v>0.3</v>
      </c>
      <c r="BM468" s="275">
        <f>BM467</f>
        <v>2</v>
      </c>
      <c r="BN468" s="62">
        <v>0</v>
      </c>
      <c r="BO468" s="33" t="str">
        <f>BO467</f>
        <v>Ecochain 2022 LCA Achtergrondrapport voor Nederlandse branchereferentiemengsels 2022</v>
      </c>
    </row>
    <row r="469" spans="1:67">
      <c r="A469" s="33" t="str">
        <f>Database_Productkaarten[[#This Row],[Product]]&amp;", "&amp;Database_Productkaarten[[#This Row],[Levensfase]]</f>
        <v>AC Surf G.M. 30% PR - PCR 2.0, A4</v>
      </c>
      <c r="B469" s="33" t="s">
        <v>531</v>
      </c>
      <c r="C469" s="33" t="s">
        <v>483</v>
      </c>
      <c r="D469" s="33" t="s">
        <v>377</v>
      </c>
      <c r="E469" s="33" t="s">
        <v>378</v>
      </c>
      <c r="F469" s="33" t="s">
        <v>78</v>
      </c>
      <c r="L469" s="33">
        <v>2.35</v>
      </c>
      <c r="M469" s="269">
        <v>1</v>
      </c>
      <c r="N469" s="211">
        <v>0.37546048090943995</v>
      </c>
      <c r="O469" s="33">
        <v>14</v>
      </c>
      <c r="P469" s="163">
        <v>6.8533509000000002E-5</v>
      </c>
      <c r="Q469" s="163">
        <v>2.9713889699999999E-2</v>
      </c>
      <c r="R469" s="163">
        <v>3.9891474704999998</v>
      </c>
      <c r="S469" s="163">
        <v>7.557213E-7</v>
      </c>
      <c r="T469" s="163">
        <v>2.4773701499999998E-3</v>
      </c>
      <c r="U469" s="163">
        <v>1.36398132E-2</v>
      </c>
      <c r="V469" s="163">
        <v>2.5682192100000001E-3</v>
      </c>
      <c r="W469" s="163">
        <v>0.8608144794</v>
      </c>
      <c r="X469" s="163">
        <v>3.6189873900000002E-2</v>
      </c>
      <c r="Y469" s="163">
        <v>97.376595929999993</v>
      </c>
      <c r="Z469" s="163">
        <v>4.8437180999999999E-3</v>
      </c>
      <c r="AA469" s="163">
        <v>4.0259382761999998</v>
      </c>
      <c r="AB469" s="163">
        <v>4.0229543298000001</v>
      </c>
      <c r="AC469" s="163">
        <v>1.9814632200000001E-3</v>
      </c>
      <c r="AD469" s="163">
        <v>1.0024609799999999E-3</v>
      </c>
      <c r="AE469" s="163">
        <v>9.4976262000000003E-7</v>
      </c>
      <c r="AF469" s="163">
        <v>1.7739576E-2</v>
      </c>
      <c r="AG469" s="163">
        <v>2.7841996800000001E-5</v>
      </c>
      <c r="AH469" s="163">
        <v>5.5484582100000001E-3</v>
      </c>
      <c r="AI469" s="163">
        <v>6.1385308800000003E-2</v>
      </c>
      <c r="AJ469" s="163">
        <v>1.9235744999999999E-2</v>
      </c>
      <c r="AK469" s="163">
        <v>6.8533397999999998E-5</v>
      </c>
      <c r="AL469" s="163">
        <v>62.400806729999999</v>
      </c>
      <c r="AM469" s="163">
        <v>0.212954166</v>
      </c>
      <c r="AN469" s="163">
        <v>2.9338876200000002E-7</v>
      </c>
      <c r="AO469" s="163">
        <v>0.26868483510000002</v>
      </c>
      <c r="AP469" s="163">
        <v>45.56587296</v>
      </c>
      <c r="AQ469" s="163">
        <v>1.16371179E-9</v>
      </c>
      <c r="AR469" s="163">
        <v>3.8268015899999999E-8</v>
      </c>
      <c r="AS469" s="163">
        <v>71.806844609999999</v>
      </c>
      <c r="AT469" s="163">
        <v>0</v>
      </c>
      <c r="AU469" s="163">
        <v>0</v>
      </c>
      <c r="AV469" s="313">
        <v>0.63474917099999995</v>
      </c>
      <c r="AW469" s="315">
        <v>0</v>
      </c>
      <c r="AX469" s="315">
        <v>0</v>
      </c>
      <c r="AY469" s="313">
        <v>66.265108560000002</v>
      </c>
      <c r="AZ469" s="163">
        <v>0</v>
      </c>
      <c r="BA469" s="163">
        <v>0</v>
      </c>
      <c r="BB469" s="163">
        <v>0</v>
      </c>
      <c r="BC469" s="163">
        <v>6.7467797999999999E-3</v>
      </c>
      <c r="BD469" s="163">
        <v>1.54707915E-4</v>
      </c>
      <c r="BE469" s="163">
        <v>5.4635493149999999</v>
      </c>
      <c r="BF469" s="163">
        <v>4.25149758E-4</v>
      </c>
      <c r="BG469" s="163">
        <v>0</v>
      </c>
      <c r="BH469" s="163">
        <v>0</v>
      </c>
      <c r="BI469" s="163">
        <v>0</v>
      </c>
      <c r="BJ469" s="163">
        <v>0</v>
      </c>
      <c r="BK469" s="163">
        <v>0</v>
      </c>
      <c r="BL469" s="62">
        <v>0.3</v>
      </c>
      <c r="BM469" s="275">
        <v>2</v>
      </c>
      <c r="BN469" s="62">
        <v>0</v>
      </c>
      <c r="BO469" s="33" t="s">
        <v>526</v>
      </c>
    </row>
    <row r="470" spans="1:67">
      <c r="A470" s="33" t="str">
        <f>Database_Productkaarten[[#This Row],[Product]]&amp;", "&amp;Database_Productkaarten[[#This Row],[Levensfase]]</f>
        <v>AC Surf G.M. 30% PR - PCR 2.0, A5</v>
      </c>
      <c r="B470" s="33" t="s">
        <v>531</v>
      </c>
      <c r="C470" s="33" t="s">
        <v>483</v>
      </c>
      <c r="D470" s="33" t="s">
        <v>377</v>
      </c>
      <c r="E470" s="33" t="s">
        <v>378</v>
      </c>
      <c r="F470" s="33" t="s">
        <v>79</v>
      </c>
      <c r="L470" s="33">
        <v>2.35</v>
      </c>
      <c r="M470" s="269">
        <v>1</v>
      </c>
      <c r="N470" s="211">
        <v>0.25970533328944417</v>
      </c>
      <c r="O470" s="33">
        <v>14</v>
      </c>
      <c r="P470" s="163">
        <v>2.9238192702336198E-6</v>
      </c>
      <c r="Q470" s="163">
        <v>1.2437869009839699E-2</v>
      </c>
      <c r="R470" s="163">
        <v>2.5295292158044198</v>
      </c>
      <c r="S470" s="163">
        <v>3.2687703926461799E-7</v>
      </c>
      <c r="T470" s="163">
        <v>9.4117069237233998E-4</v>
      </c>
      <c r="U470" s="163">
        <v>1.0497394447035501E-2</v>
      </c>
      <c r="V470" s="163">
        <v>2.4039520962731101E-3</v>
      </c>
      <c r="W470" s="163">
        <v>0.68877613966134299</v>
      </c>
      <c r="X470" s="163">
        <v>9.7024793875735496E-3</v>
      </c>
      <c r="Y470" s="163">
        <v>33.711839780216202</v>
      </c>
      <c r="Z470" s="163">
        <v>1.1490061145542599E-3</v>
      </c>
      <c r="AA470" s="163">
        <v>2.5482276276019298</v>
      </c>
      <c r="AB470" s="163">
        <v>2.5474969808171801</v>
      </c>
      <c r="AC470" s="163">
        <v>5.81950307989873E-4</v>
      </c>
      <c r="AD470" s="163">
        <v>1.4869647676085001E-4</v>
      </c>
      <c r="AE470" s="163">
        <v>4.11877979769449E-7</v>
      </c>
      <c r="AF470" s="163">
        <v>1.4654717100391301E-2</v>
      </c>
      <c r="AG470" s="163">
        <v>6.9471842613085899E-6</v>
      </c>
      <c r="AH470" s="163">
        <v>6.3596059780874504E-3</v>
      </c>
      <c r="AI470" s="163">
        <v>6.9798399525328805E-2</v>
      </c>
      <c r="AJ470" s="163">
        <v>1.82004994537374E-2</v>
      </c>
      <c r="AK470" s="163">
        <v>2.92379632667407E-6</v>
      </c>
      <c r="AL470" s="163">
        <v>26.243144472483099</v>
      </c>
      <c r="AM470" s="163">
        <v>3.49515818847791E-2</v>
      </c>
      <c r="AN470" s="163">
        <v>5.4485692575873398E-8</v>
      </c>
      <c r="AO470" s="163">
        <v>0.112638013519801</v>
      </c>
      <c r="AP470" s="163">
        <v>15.7470627241676</v>
      </c>
      <c r="AQ470" s="163">
        <v>5.5245137245815495E-10</v>
      </c>
      <c r="AR470" s="163">
        <v>1.3239865413112201E-8</v>
      </c>
      <c r="AS470" s="163">
        <v>3.3519896116494099</v>
      </c>
      <c r="AT470" s="163">
        <v>0</v>
      </c>
      <c r="AU470" s="163">
        <v>0</v>
      </c>
      <c r="AV470" s="313">
        <v>0.144245360319008</v>
      </c>
      <c r="AW470" s="315">
        <v>0</v>
      </c>
      <c r="AX470" s="315">
        <v>0</v>
      </c>
      <c r="AY470" s="313">
        <v>27.8693894026664</v>
      </c>
      <c r="AZ470" s="163">
        <v>0</v>
      </c>
      <c r="BA470" s="163">
        <v>0</v>
      </c>
      <c r="BB470" s="163">
        <v>0</v>
      </c>
      <c r="BC470" s="163">
        <v>1.35659658066793E-3</v>
      </c>
      <c r="BD470" s="163">
        <v>7.1467090350123107E-5</v>
      </c>
      <c r="BE470" s="163">
        <v>3.1052769834831202E-2</v>
      </c>
      <c r="BF470" s="163">
        <v>1.8239126238351399E-4</v>
      </c>
      <c r="BG470" s="163">
        <v>0</v>
      </c>
      <c r="BH470" s="163">
        <v>0</v>
      </c>
      <c r="BI470" s="163">
        <v>0</v>
      </c>
      <c r="BJ470" s="163">
        <v>0</v>
      </c>
      <c r="BK470" s="163">
        <v>0</v>
      </c>
      <c r="BL470" s="62">
        <v>0.3</v>
      </c>
      <c r="BM470" s="275">
        <v>2</v>
      </c>
      <c r="BN470" s="62">
        <v>0</v>
      </c>
      <c r="BO470" s="33" t="s">
        <v>526</v>
      </c>
    </row>
    <row r="471" spans="1:67">
      <c r="A471" s="33" t="str">
        <f>Database_Productkaarten[[#This Row],[Product]]&amp;", "&amp;Database_Productkaarten[[#This Row],[Levensfase]]</f>
        <v>AC Surf G.M. 30% PR - PCR 2.0, B1</v>
      </c>
      <c r="B471" s="33" t="s">
        <v>531</v>
      </c>
      <c r="C471" s="33" t="s">
        <v>483</v>
      </c>
      <c r="D471" s="33" t="s">
        <v>377</v>
      </c>
      <c r="E471" s="33" t="s">
        <v>378</v>
      </c>
      <c r="F471" s="33" t="s">
        <v>80</v>
      </c>
      <c r="L471" s="33">
        <v>2.35</v>
      </c>
      <c r="M471" s="269">
        <v>1</v>
      </c>
      <c r="N471" s="211">
        <v>8.2079854524338774E-2</v>
      </c>
      <c r="O471" s="33">
        <v>14</v>
      </c>
      <c r="P471" s="163">
        <v>0</v>
      </c>
      <c r="Q471" s="163">
        <v>0</v>
      </c>
      <c r="R471" s="163">
        <v>0</v>
      </c>
      <c r="S471" s="163">
        <v>0</v>
      </c>
      <c r="T471" s="163">
        <v>0</v>
      </c>
      <c r="U471" s="163">
        <v>0</v>
      </c>
      <c r="V471" s="163">
        <v>0</v>
      </c>
      <c r="W471" s="163">
        <v>0.33065065287376499</v>
      </c>
      <c r="X471" s="163">
        <v>0.35447901498708101</v>
      </c>
      <c r="Y471" s="163">
        <v>416.74823543935599</v>
      </c>
      <c r="Z471" s="163">
        <v>2.0169620253149699E-4</v>
      </c>
      <c r="AA471" s="163">
        <v>0</v>
      </c>
      <c r="AB471" s="163">
        <v>0</v>
      </c>
      <c r="AC471" s="163">
        <v>0</v>
      </c>
      <c r="AD471" s="163">
        <v>0</v>
      </c>
      <c r="AE471" s="163">
        <v>0</v>
      </c>
      <c r="AF471" s="163">
        <v>0</v>
      </c>
      <c r="AG471" s="163">
        <v>0</v>
      </c>
      <c r="AH471" s="163">
        <v>0</v>
      </c>
      <c r="AI471" s="163">
        <v>0</v>
      </c>
      <c r="AJ471" s="163">
        <v>0</v>
      </c>
      <c r="AK471" s="163">
        <v>0</v>
      </c>
      <c r="AL471" s="163">
        <v>0</v>
      </c>
      <c r="AM471" s="163">
        <v>0</v>
      </c>
      <c r="AN471" s="163">
        <v>0</v>
      </c>
      <c r="AO471" s="163">
        <v>0</v>
      </c>
      <c r="AP471" s="163">
        <v>2.4574834227146498</v>
      </c>
      <c r="AQ471" s="163">
        <v>6.1425360401853599E-10</v>
      </c>
      <c r="AR471" s="163">
        <v>3.6903212873143E-8</v>
      </c>
      <c r="AS471" s="163">
        <v>0</v>
      </c>
      <c r="AT471" s="163">
        <v>0</v>
      </c>
      <c r="AU471" s="163">
        <v>0</v>
      </c>
      <c r="AV471" s="313">
        <v>0</v>
      </c>
      <c r="AW471" s="315">
        <v>0</v>
      </c>
      <c r="AX471" s="315">
        <v>0</v>
      </c>
      <c r="AY471" s="313">
        <v>0</v>
      </c>
      <c r="AZ471" s="163">
        <v>0</v>
      </c>
      <c r="BA471" s="163">
        <v>0</v>
      </c>
      <c r="BB471" s="163">
        <v>0</v>
      </c>
      <c r="BC471" s="163">
        <v>0</v>
      </c>
      <c r="BD471" s="163">
        <v>0</v>
      </c>
      <c r="BE471" s="163">
        <v>0</v>
      </c>
      <c r="BF471" s="163">
        <v>0</v>
      </c>
      <c r="BG471" s="163">
        <v>0</v>
      </c>
      <c r="BH471" s="163">
        <v>0</v>
      </c>
      <c r="BI471" s="163">
        <v>0</v>
      </c>
      <c r="BJ471" s="163">
        <v>0</v>
      </c>
      <c r="BK471" s="163">
        <v>0</v>
      </c>
      <c r="BL471" s="62">
        <v>0.3</v>
      </c>
      <c r="BM471" s="275">
        <v>2</v>
      </c>
      <c r="BN471" s="62">
        <v>0</v>
      </c>
      <c r="BO471" s="33" t="s">
        <v>526</v>
      </c>
    </row>
    <row r="472" spans="1:67">
      <c r="A472" s="33" t="str">
        <f>Database_Productkaarten[[#This Row],[Product]]&amp;", "&amp;Database_Productkaarten[[#This Row],[Levensfase]]</f>
        <v>AC Surf G.M. 30% PR - PCR 2.0, B2</v>
      </c>
      <c r="B472" s="33" t="s">
        <v>531</v>
      </c>
      <c r="C472" s="33" t="s">
        <v>483</v>
      </c>
      <c r="D472" s="33" t="s">
        <v>377</v>
      </c>
      <c r="E472" s="33" t="s">
        <v>378</v>
      </c>
      <c r="F472" s="33" t="s">
        <v>527</v>
      </c>
      <c r="L472" s="33">
        <v>2.35</v>
      </c>
      <c r="M472" s="269">
        <v>1</v>
      </c>
      <c r="N472" s="211">
        <v>0</v>
      </c>
      <c r="O472" s="33">
        <v>14</v>
      </c>
      <c r="P472" s="163">
        <v>0</v>
      </c>
      <c r="Q472" s="163">
        <v>0</v>
      </c>
      <c r="R472" s="163">
        <v>0</v>
      </c>
      <c r="S472" s="163">
        <v>0</v>
      </c>
      <c r="T472" s="163">
        <v>0</v>
      </c>
      <c r="U472" s="163">
        <v>0</v>
      </c>
      <c r="V472" s="163">
        <v>0</v>
      </c>
      <c r="W472" s="163">
        <v>0</v>
      </c>
      <c r="X472" s="163">
        <v>0</v>
      </c>
      <c r="Y472" s="163">
        <v>0</v>
      </c>
      <c r="Z472" s="163">
        <v>0</v>
      </c>
      <c r="AA472" s="163">
        <v>0</v>
      </c>
      <c r="AB472" s="163">
        <v>0</v>
      </c>
      <c r="AC472" s="163">
        <v>0</v>
      </c>
      <c r="AD472" s="163">
        <v>0</v>
      </c>
      <c r="AE472" s="163">
        <v>0</v>
      </c>
      <c r="AF472" s="163">
        <v>0</v>
      </c>
      <c r="AG472" s="163">
        <v>0</v>
      </c>
      <c r="AH472" s="163">
        <v>0</v>
      </c>
      <c r="AI472" s="163">
        <v>0</v>
      </c>
      <c r="AJ472" s="163">
        <v>0</v>
      </c>
      <c r="AK472" s="163">
        <v>0</v>
      </c>
      <c r="AL472" s="163">
        <v>0</v>
      </c>
      <c r="AM472" s="163">
        <v>0</v>
      </c>
      <c r="AN472" s="163">
        <v>0</v>
      </c>
      <c r="AO472" s="163">
        <v>0</v>
      </c>
      <c r="AP472" s="163">
        <v>0</v>
      </c>
      <c r="AQ472" s="163">
        <v>0</v>
      </c>
      <c r="AR472" s="163">
        <v>0</v>
      </c>
      <c r="AS472" s="163">
        <v>0</v>
      </c>
      <c r="AT472" s="163">
        <v>0</v>
      </c>
      <c r="AU472" s="163">
        <v>0</v>
      </c>
      <c r="AV472" s="313">
        <v>0</v>
      </c>
      <c r="AW472" s="315">
        <v>0</v>
      </c>
      <c r="AX472" s="315">
        <v>0</v>
      </c>
      <c r="AY472" s="313">
        <v>0</v>
      </c>
      <c r="AZ472" s="163">
        <v>0</v>
      </c>
      <c r="BA472" s="163">
        <v>0</v>
      </c>
      <c r="BB472" s="163">
        <v>0</v>
      </c>
      <c r="BC472" s="163">
        <v>0</v>
      </c>
      <c r="BD472" s="163">
        <v>0</v>
      </c>
      <c r="BE472" s="163">
        <v>0</v>
      </c>
      <c r="BF472" s="163">
        <v>0</v>
      </c>
      <c r="BG472" s="163">
        <v>0</v>
      </c>
      <c r="BH472" s="163">
        <v>0</v>
      </c>
      <c r="BI472" s="163">
        <v>0</v>
      </c>
      <c r="BJ472" s="163">
        <v>0</v>
      </c>
      <c r="BK472" s="163">
        <v>0</v>
      </c>
      <c r="BL472" s="62">
        <v>0.3</v>
      </c>
      <c r="BM472" s="275">
        <v>2</v>
      </c>
      <c r="BN472" s="62">
        <v>0</v>
      </c>
      <c r="BO472" s="33" t="s">
        <v>526</v>
      </c>
    </row>
    <row r="473" spans="1:67">
      <c r="A473" s="33" t="str">
        <f>Database_Productkaarten[[#This Row],[Product]]&amp;", "&amp;Database_Productkaarten[[#This Row],[Levensfase]]</f>
        <v>AC Surf G.M. 30% PR - PCR 2.0, B3</v>
      </c>
      <c r="B473" s="33" t="s">
        <v>531</v>
      </c>
      <c r="C473" s="33" t="s">
        <v>483</v>
      </c>
      <c r="D473" s="33" t="s">
        <v>377</v>
      </c>
      <c r="E473" s="33" t="s">
        <v>378</v>
      </c>
      <c r="F473" s="33" t="s">
        <v>81</v>
      </c>
      <c r="L473" s="33">
        <v>2.35</v>
      </c>
      <c r="M473" s="269">
        <v>1</v>
      </c>
      <c r="N473" s="211">
        <v>0</v>
      </c>
      <c r="O473" s="33">
        <v>14</v>
      </c>
      <c r="P473" s="163">
        <v>0</v>
      </c>
      <c r="Q473" s="163">
        <v>0</v>
      </c>
      <c r="R473" s="163">
        <v>0</v>
      </c>
      <c r="S473" s="163">
        <v>0</v>
      </c>
      <c r="T473" s="163">
        <v>0</v>
      </c>
      <c r="U473" s="163">
        <v>0</v>
      </c>
      <c r="V473" s="163">
        <v>0</v>
      </c>
      <c r="W473" s="163">
        <v>0</v>
      </c>
      <c r="X473" s="163">
        <v>0</v>
      </c>
      <c r="Y473" s="163">
        <v>0</v>
      </c>
      <c r="Z473" s="163">
        <v>0</v>
      </c>
      <c r="AA473" s="163">
        <v>0</v>
      </c>
      <c r="AB473" s="163">
        <v>0</v>
      </c>
      <c r="AC473" s="163">
        <v>0</v>
      </c>
      <c r="AD473" s="163">
        <v>0</v>
      </c>
      <c r="AE473" s="163">
        <v>0</v>
      </c>
      <c r="AF473" s="163">
        <v>0</v>
      </c>
      <c r="AG473" s="163">
        <v>0</v>
      </c>
      <c r="AH473" s="163">
        <v>0</v>
      </c>
      <c r="AI473" s="163">
        <v>0</v>
      </c>
      <c r="AJ473" s="163">
        <v>0</v>
      </c>
      <c r="AK473" s="163">
        <v>0</v>
      </c>
      <c r="AL473" s="163">
        <v>0</v>
      </c>
      <c r="AM473" s="163">
        <v>0</v>
      </c>
      <c r="AN473" s="163">
        <v>0</v>
      </c>
      <c r="AO473" s="163">
        <v>0</v>
      </c>
      <c r="AP473" s="163">
        <v>0</v>
      </c>
      <c r="AQ473" s="163">
        <v>0</v>
      </c>
      <c r="AR473" s="163">
        <v>0</v>
      </c>
      <c r="AS473" s="163">
        <v>0</v>
      </c>
      <c r="AT473" s="163">
        <v>0</v>
      </c>
      <c r="AU473" s="163">
        <v>0</v>
      </c>
      <c r="AV473" s="313">
        <v>0</v>
      </c>
      <c r="AW473" s="315">
        <v>0</v>
      </c>
      <c r="AX473" s="315">
        <v>0</v>
      </c>
      <c r="AY473" s="313">
        <v>0</v>
      </c>
      <c r="AZ473" s="163">
        <v>0</v>
      </c>
      <c r="BA473" s="163">
        <v>0</v>
      </c>
      <c r="BB473" s="163">
        <v>0</v>
      </c>
      <c r="BC473" s="163">
        <v>0</v>
      </c>
      <c r="BD473" s="163">
        <v>0</v>
      </c>
      <c r="BE473" s="163">
        <v>0</v>
      </c>
      <c r="BF473" s="163">
        <v>0</v>
      </c>
      <c r="BG473" s="163">
        <v>0</v>
      </c>
      <c r="BH473" s="163">
        <v>0</v>
      </c>
      <c r="BI473" s="163">
        <v>0</v>
      </c>
      <c r="BJ473" s="163">
        <v>0</v>
      </c>
      <c r="BK473" s="163">
        <v>0</v>
      </c>
      <c r="BL473" s="62">
        <v>0.3</v>
      </c>
      <c r="BM473" s="275">
        <v>2</v>
      </c>
      <c r="BN473" s="62">
        <v>0</v>
      </c>
      <c r="BO473" s="33" t="s">
        <v>526</v>
      </c>
    </row>
    <row r="474" spans="1:67">
      <c r="A474" s="33" t="str">
        <f>Database_Productkaarten[[#This Row],[Product]]&amp;", "&amp;Database_Productkaarten[[#This Row],[Levensfase]]</f>
        <v>AC Surf G.M. 30% PR - PCR 2.0, B4</v>
      </c>
      <c r="B474" s="33" t="s">
        <v>531</v>
      </c>
      <c r="C474" s="33" t="s">
        <v>483</v>
      </c>
      <c r="D474" s="33" t="s">
        <v>377</v>
      </c>
      <c r="E474" s="33" t="s">
        <v>378</v>
      </c>
      <c r="F474" s="33" t="s">
        <v>82</v>
      </c>
      <c r="L474" s="33">
        <v>2.35</v>
      </c>
      <c r="M474" s="269">
        <v>1</v>
      </c>
      <c r="N474" s="211">
        <v>0</v>
      </c>
      <c r="O474" s="33">
        <v>14</v>
      </c>
      <c r="P474" s="163">
        <v>0</v>
      </c>
      <c r="Q474" s="163">
        <v>0</v>
      </c>
      <c r="R474" s="163">
        <v>0</v>
      </c>
      <c r="S474" s="163">
        <v>0</v>
      </c>
      <c r="T474" s="163">
        <v>0</v>
      </c>
      <c r="U474" s="163">
        <v>0</v>
      </c>
      <c r="V474" s="163">
        <v>0</v>
      </c>
      <c r="W474" s="163">
        <v>0</v>
      </c>
      <c r="X474" s="163">
        <v>0</v>
      </c>
      <c r="Y474" s="163">
        <v>0</v>
      </c>
      <c r="Z474" s="163">
        <v>0</v>
      </c>
      <c r="AA474" s="163">
        <v>0</v>
      </c>
      <c r="AB474" s="163">
        <v>0</v>
      </c>
      <c r="AC474" s="163">
        <v>0</v>
      </c>
      <c r="AD474" s="163">
        <v>0</v>
      </c>
      <c r="AE474" s="163">
        <v>0</v>
      </c>
      <c r="AF474" s="163">
        <v>0</v>
      </c>
      <c r="AG474" s="163">
        <v>0</v>
      </c>
      <c r="AH474" s="163">
        <v>0</v>
      </c>
      <c r="AI474" s="163">
        <v>0</v>
      </c>
      <c r="AJ474" s="163">
        <v>0</v>
      </c>
      <c r="AK474" s="163">
        <v>0</v>
      </c>
      <c r="AL474" s="163">
        <v>0</v>
      </c>
      <c r="AM474" s="163">
        <v>0</v>
      </c>
      <c r="AN474" s="163">
        <v>0</v>
      </c>
      <c r="AO474" s="163">
        <v>0</v>
      </c>
      <c r="AP474" s="163">
        <v>0</v>
      </c>
      <c r="AQ474" s="163">
        <v>0</v>
      </c>
      <c r="AR474" s="163">
        <v>0</v>
      </c>
      <c r="AS474" s="163">
        <v>0</v>
      </c>
      <c r="AT474" s="163">
        <v>0</v>
      </c>
      <c r="AU474" s="163">
        <v>0</v>
      </c>
      <c r="AV474" s="313">
        <v>0</v>
      </c>
      <c r="AW474" s="315">
        <v>0</v>
      </c>
      <c r="AX474" s="315">
        <v>0</v>
      </c>
      <c r="AY474" s="313">
        <v>0</v>
      </c>
      <c r="AZ474" s="163">
        <v>0</v>
      </c>
      <c r="BA474" s="163">
        <v>0</v>
      </c>
      <c r="BB474" s="163">
        <v>0</v>
      </c>
      <c r="BC474" s="163">
        <v>0</v>
      </c>
      <c r="BD474" s="163">
        <v>0</v>
      </c>
      <c r="BE474" s="163">
        <v>0</v>
      </c>
      <c r="BF474" s="163">
        <v>0</v>
      </c>
      <c r="BG474" s="163">
        <v>0</v>
      </c>
      <c r="BH474" s="163">
        <v>0</v>
      </c>
      <c r="BI474" s="163">
        <v>0</v>
      </c>
      <c r="BJ474" s="163">
        <v>0</v>
      </c>
      <c r="BK474" s="163">
        <v>0</v>
      </c>
      <c r="BL474" s="62">
        <v>0.3</v>
      </c>
      <c r="BM474" s="275">
        <v>2</v>
      </c>
      <c r="BN474" s="62">
        <v>0</v>
      </c>
      <c r="BO474" s="33" t="s">
        <v>526</v>
      </c>
    </row>
    <row r="475" spans="1:67">
      <c r="A475" s="33" t="str">
        <f>Database_Productkaarten[[#This Row],[Product]]&amp;", "&amp;Database_Productkaarten[[#This Row],[Levensfase]]</f>
        <v>AC Surf G.M. 30% PR - PCR 2.0, B5</v>
      </c>
      <c r="B475" s="33" t="s">
        <v>531</v>
      </c>
      <c r="C475" s="33" t="s">
        <v>483</v>
      </c>
      <c r="D475" s="33" t="s">
        <v>377</v>
      </c>
      <c r="E475" s="33" t="s">
        <v>378</v>
      </c>
      <c r="F475" s="33" t="s">
        <v>528</v>
      </c>
      <c r="L475" s="33">
        <v>2.35</v>
      </c>
      <c r="M475" s="269">
        <v>1</v>
      </c>
      <c r="N475" s="211">
        <v>0</v>
      </c>
      <c r="O475" s="33">
        <v>14</v>
      </c>
      <c r="P475" s="163">
        <v>0</v>
      </c>
      <c r="Q475" s="163">
        <v>0</v>
      </c>
      <c r="R475" s="163">
        <v>0</v>
      </c>
      <c r="S475" s="163">
        <v>0</v>
      </c>
      <c r="T475" s="163">
        <v>0</v>
      </c>
      <c r="U475" s="163">
        <v>0</v>
      </c>
      <c r="V475" s="163">
        <v>0</v>
      </c>
      <c r="W475" s="163">
        <v>0</v>
      </c>
      <c r="X475" s="163">
        <v>0</v>
      </c>
      <c r="Y475" s="163">
        <v>0</v>
      </c>
      <c r="Z475" s="163">
        <v>0</v>
      </c>
      <c r="AA475" s="163">
        <v>0</v>
      </c>
      <c r="AB475" s="163">
        <v>0</v>
      </c>
      <c r="AC475" s="163">
        <v>0</v>
      </c>
      <c r="AD475" s="163">
        <v>0</v>
      </c>
      <c r="AE475" s="163">
        <v>0</v>
      </c>
      <c r="AF475" s="163">
        <v>0</v>
      </c>
      <c r="AG475" s="163">
        <v>0</v>
      </c>
      <c r="AH475" s="163">
        <v>0</v>
      </c>
      <c r="AI475" s="163">
        <v>0</v>
      </c>
      <c r="AJ475" s="163">
        <v>0</v>
      </c>
      <c r="AK475" s="163">
        <v>0</v>
      </c>
      <c r="AL475" s="163">
        <v>0</v>
      </c>
      <c r="AM475" s="163">
        <v>0</v>
      </c>
      <c r="AN475" s="163">
        <v>0</v>
      </c>
      <c r="AO475" s="163">
        <v>0</v>
      </c>
      <c r="AP475" s="163">
        <v>0</v>
      </c>
      <c r="AQ475" s="163">
        <v>0</v>
      </c>
      <c r="AR475" s="163">
        <v>0</v>
      </c>
      <c r="AS475" s="163">
        <v>0</v>
      </c>
      <c r="AT475" s="163">
        <v>0</v>
      </c>
      <c r="AU475" s="163">
        <v>0</v>
      </c>
      <c r="AV475" s="313">
        <v>0</v>
      </c>
      <c r="AW475" s="315">
        <v>0</v>
      </c>
      <c r="AX475" s="315">
        <v>0</v>
      </c>
      <c r="AY475" s="313">
        <v>0</v>
      </c>
      <c r="AZ475" s="163">
        <v>0</v>
      </c>
      <c r="BA475" s="163">
        <v>0</v>
      </c>
      <c r="BB475" s="163">
        <v>0</v>
      </c>
      <c r="BC475" s="163">
        <v>0</v>
      </c>
      <c r="BD475" s="163">
        <v>0</v>
      </c>
      <c r="BE475" s="163">
        <v>0</v>
      </c>
      <c r="BF475" s="163">
        <v>0</v>
      </c>
      <c r="BG475" s="163">
        <v>0</v>
      </c>
      <c r="BH475" s="163">
        <v>0</v>
      </c>
      <c r="BI475" s="163">
        <v>0</v>
      </c>
      <c r="BJ475" s="163">
        <v>0</v>
      </c>
      <c r="BK475" s="163">
        <v>0</v>
      </c>
      <c r="BL475" s="62">
        <v>0.3</v>
      </c>
      <c r="BM475" s="275">
        <v>2</v>
      </c>
      <c r="BN475" s="62">
        <v>0</v>
      </c>
      <c r="BO475" s="33" t="s">
        <v>526</v>
      </c>
    </row>
    <row r="476" spans="1:67">
      <c r="A476" s="33" t="str">
        <f>Database_Productkaarten[[#This Row],[Product]]&amp;", "&amp;Database_Productkaarten[[#This Row],[Levensfase]]</f>
        <v>AC Surf G.M. 30% PR - PCR 2.0, C1</v>
      </c>
      <c r="B476" s="33" t="s">
        <v>531</v>
      </c>
      <c r="C476" s="33" t="s">
        <v>483</v>
      </c>
      <c r="D476" s="33" t="s">
        <v>377</v>
      </c>
      <c r="E476" s="33" t="s">
        <v>378</v>
      </c>
      <c r="F476" s="33" t="s">
        <v>83</v>
      </c>
      <c r="L476" s="33">
        <v>2.35</v>
      </c>
      <c r="M476" s="269">
        <v>1</v>
      </c>
      <c r="N476" s="211">
        <v>0.13541602853131343</v>
      </c>
      <c r="O476" s="33">
        <v>14</v>
      </c>
      <c r="P476" s="163">
        <v>1.6635523434087801E-6</v>
      </c>
      <c r="Q476" s="163">
        <v>7.0767185745639703E-3</v>
      </c>
      <c r="R476" s="163">
        <v>1.4392148986473401</v>
      </c>
      <c r="S476" s="163">
        <v>1.8598176371952399E-7</v>
      </c>
      <c r="T476" s="163">
        <v>4.7349882836818702E-4</v>
      </c>
      <c r="U476" s="163">
        <v>4.1086089095212497E-3</v>
      </c>
      <c r="V476" s="163">
        <v>8.83113744431522E-4</v>
      </c>
      <c r="W476" s="163">
        <v>0.38738647330731701</v>
      </c>
      <c r="X476" s="163">
        <v>5.5203762032745903E-3</v>
      </c>
      <c r="Y476" s="163">
        <v>19.1808743577092</v>
      </c>
      <c r="Z476" s="163">
        <v>6.5374485828087003E-4</v>
      </c>
      <c r="AA476" s="163">
        <v>1.4480810795838599</v>
      </c>
      <c r="AB476" s="163">
        <v>1.4476653667580499</v>
      </c>
      <c r="AC476" s="163">
        <v>3.3110965799423901E-4</v>
      </c>
      <c r="AD476" s="163">
        <v>8.4603167812207397E-5</v>
      </c>
      <c r="AE476" s="163">
        <v>2.3434436779985899E-7</v>
      </c>
      <c r="AF476" s="163">
        <v>5.5792397985000497E-3</v>
      </c>
      <c r="AG476" s="163">
        <v>3.9527082866066103E-6</v>
      </c>
      <c r="AH476" s="163">
        <v>2.1681682875333199E-3</v>
      </c>
      <c r="AI476" s="163">
        <v>2.3831205867868299E-2</v>
      </c>
      <c r="AJ476" s="163">
        <v>6.5087102478182503E-3</v>
      </c>
      <c r="AK476" s="163">
        <v>1.66353928931456E-6</v>
      </c>
      <c r="AL476" s="163">
        <v>14.931444268826599</v>
      </c>
      <c r="AM476" s="163">
        <v>1.9886244865477701E-2</v>
      </c>
      <c r="AN476" s="163">
        <v>2.3049580053518599E-8</v>
      </c>
      <c r="AO476" s="163">
        <v>6.4087145623334896E-2</v>
      </c>
      <c r="AP476" s="163">
        <v>8.9589317863358495</v>
      </c>
      <c r="AQ476" s="163">
        <v>3.1432578088136199E-10</v>
      </c>
      <c r="AR476" s="163">
        <v>6.3100664426983299E-9</v>
      </c>
      <c r="AS476" s="163">
        <v>1.9071665031798399</v>
      </c>
      <c r="AT476" s="163">
        <v>0</v>
      </c>
      <c r="AU476" s="163">
        <v>0</v>
      </c>
      <c r="AV476" s="313">
        <v>8.2070636043573203E-2</v>
      </c>
      <c r="AW476" s="315">
        <v>0</v>
      </c>
      <c r="AX476" s="315">
        <v>0</v>
      </c>
      <c r="AY476" s="313">
        <v>15.8567215566895</v>
      </c>
      <c r="AZ476" s="163">
        <v>0</v>
      </c>
      <c r="BA476" s="163">
        <v>0</v>
      </c>
      <c r="BB476" s="163">
        <v>0</v>
      </c>
      <c r="BC476" s="163">
        <v>7.7185667520761705E-4</v>
      </c>
      <c r="BD476" s="163">
        <v>4.0662310026794199E-5</v>
      </c>
      <c r="BE476" s="163">
        <v>1.7667955250852199E-2</v>
      </c>
      <c r="BF476" s="163">
        <v>1.03774338942344E-4</v>
      </c>
      <c r="BG476" s="163">
        <v>0</v>
      </c>
      <c r="BH476" s="163">
        <v>0</v>
      </c>
      <c r="BI476" s="163">
        <v>0</v>
      </c>
      <c r="BJ476" s="163">
        <v>0</v>
      </c>
      <c r="BK476" s="163">
        <v>0</v>
      </c>
      <c r="BL476" s="62">
        <v>0.3</v>
      </c>
      <c r="BM476" s="275">
        <v>2</v>
      </c>
      <c r="BN476" s="62">
        <v>0</v>
      </c>
      <c r="BO476" s="33" t="s">
        <v>526</v>
      </c>
    </row>
    <row r="477" spans="1:67">
      <c r="A477" s="33" t="str">
        <f>Database_Productkaarten[[#This Row],[Product]]&amp;", "&amp;Database_Productkaarten[[#This Row],[Levensfase]]</f>
        <v>AC Surf G.M. 30% PR - PCR 2.0, C2</v>
      </c>
      <c r="B477" s="33" t="s">
        <v>531</v>
      </c>
      <c r="C477" s="33" t="s">
        <v>483</v>
      </c>
      <c r="D477" s="33" t="s">
        <v>377</v>
      </c>
      <c r="E477" s="33" t="s">
        <v>378</v>
      </c>
      <c r="F477" s="33" t="s">
        <v>84</v>
      </c>
      <c r="L477" s="33">
        <v>2.35</v>
      </c>
      <c r="M477" s="269">
        <v>1</v>
      </c>
      <c r="N477" s="211">
        <v>0.31791357541832999</v>
      </c>
      <c r="O477" s="33">
        <v>14</v>
      </c>
      <c r="P477" s="163">
        <v>7.2195843000000002E-5</v>
      </c>
      <c r="Q477" s="163">
        <v>2.5045429500000001E-2</v>
      </c>
      <c r="R477" s="163">
        <v>3.2726104581</v>
      </c>
      <c r="S477" s="163">
        <v>6.2448211500000004E-7</v>
      </c>
      <c r="T477" s="163">
        <v>2.3663202E-3</v>
      </c>
      <c r="U477" s="163">
        <v>9.9103019999999993E-3</v>
      </c>
      <c r="V477" s="163">
        <v>1.66070541E-3</v>
      </c>
      <c r="W477" s="163">
        <v>0.89062466159999998</v>
      </c>
      <c r="X477" s="163">
        <v>3.5055542699999998E-2</v>
      </c>
      <c r="Y477" s="163">
        <v>92.682047400000002</v>
      </c>
      <c r="Z477" s="163">
        <v>7.4868390000000003E-3</v>
      </c>
      <c r="AA477" s="163">
        <v>3.3150718431000001</v>
      </c>
      <c r="AB477" s="163">
        <v>3.3001817481</v>
      </c>
      <c r="AC477" s="163">
        <v>1.3607189190000001E-2</v>
      </c>
      <c r="AD477" s="163">
        <v>1.2829113599999999E-3</v>
      </c>
      <c r="AE477" s="163">
        <v>7.8107336699999998E-7</v>
      </c>
      <c r="AF477" s="163">
        <v>1.2482505E-2</v>
      </c>
      <c r="AG477" s="163">
        <v>3.4632532799999998E-5</v>
      </c>
      <c r="AH477" s="163">
        <v>2.8897329300000001E-3</v>
      </c>
      <c r="AI477" s="163">
        <v>3.3662059799999998E-2</v>
      </c>
      <c r="AJ477" s="163">
        <v>1.2098522699999999E-2</v>
      </c>
      <c r="AK477" s="163">
        <v>7.2195510000000004E-5</v>
      </c>
      <c r="AL477" s="163">
        <v>52.307882313</v>
      </c>
      <c r="AM477" s="163">
        <v>0.28570883850000001</v>
      </c>
      <c r="AN477" s="163">
        <v>2.8544027399999998E-7</v>
      </c>
      <c r="AO477" s="163">
        <v>0.22308385950000001</v>
      </c>
      <c r="AP477" s="163">
        <v>50.61443379</v>
      </c>
      <c r="AQ477" s="163">
        <v>1.35209877E-9</v>
      </c>
      <c r="AR477" s="163">
        <v>4.3221490799999998E-8</v>
      </c>
      <c r="AS477" s="163">
        <v>98.528772599999996</v>
      </c>
      <c r="AT477" s="163">
        <v>8.065825212</v>
      </c>
      <c r="AU477" s="163">
        <v>0</v>
      </c>
      <c r="AV477" s="313">
        <v>8.6963547624000004</v>
      </c>
      <c r="AW477" s="315">
        <v>0.70667511750000001</v>
      </c>
      <c r="AX477" s="315">
        <v>9.926829900000001E-4</v>
      </c>
      <c r="AY477" s="313">
        <v>55.561210727999999</v>
      </c>
      <c r="AZ477" s="163">
        <v>0</v>
      </c>
      <c r="BA477" s="163">
        <v>0</v>
      </c>
      <c r="BB477" s="163">
        <v>0</v>
      </c>
      <c r="BC477" s="163">
        <v>8.7338241000000007E-3</v>
      </c>
      <c r="BD477" s="163">
        <v>1.5376752299999999E-4</v>
      </c>
      <c r="BE477" s="163">
        <v>5.5583861609999996</v>
      </c>
      <c r="BF477" s="163">
        <v>3.4865666099999999E-4</v>
      </c>
      <c r="BG477" s="163">
        <v>0</v>
      </c>
      <c r="BH477" s="163">
        <v>0</v>
      </c>
      <c r="BI477" s="163">
        <v>0</v>
      </c>
      <c r="BJ477" s="163">
        <v>0</v>
      </c>
      <c r="BK477" s="163">
        <v>0</v>
      </c>
      <c r="BL477" s="62">
        <v>0.3</v>
      </c>
      <c r="BM477" s="275">
        <v>2</v>
      </c>
      <c r="BN477" s="62">
        <v>0</v>
      </c>
      <c r="BO477" s="33" t="s">
        <v>526</v>
      </c>
    </row>
    <row r="478" spans="1:67">
      <c r="A478" s="33" t="str">
        <f>Database_Productkaarten[[#This Row],[Product]]&amp;", "&amp;Database_Productkaarten[[#This Row],[Levensfase]]</f>
        <v>AC Surf G.M. 30% PR - PCR 2.0, C3</v>
      </c>
      <c r="B478" s="33" t="s">
        <v>531</v>
      </c>
      <c r="C478" s="33" t="s">
        <v>483</v>
      </c>
      <c r="D478" s="33" t="s">
        <v>377</v>
      </c>
      <c r="E478" s="33" t="s">
        <v>378</v>
      </c>
      <c r="F478" s="33" t="s">
        <v>85</v>
      </c>
      <c r="L478" s="33">
        <v>2.35</v>
      </c>
      <c r="M478" s="269">
        <v>1</v>
      </c>
      <c r="N478" s="211">
        <v>0.15929996450657533</v>
      </c>
      <c r="O478" s="33">
        <v>14</v>
      </c>
      <c r="P478" s="163">
        <v>1.86519505170076E-6</v>
      </c>
      <c r="Q478" s="163">
        <v>7.9345026442080892E-3</v>
      </c>
      <c r="R478" s="163">
        <v>1.61366518939248</v>
      </c>
      <c r="S478" s="163">
        <v>2.08525007806739E-7</v>
      </c>
      <c r="T478" s="163">
        <v>5.8559282689024195E-4</v>
      </c>
      <c r="U478" s="163">
        <v>5.7290955955232002E-3</v>
      </c>
      <c r="V478" s="163">
        <v>1.2820009407260901E-3</v>
      </c>
      <c r="W478" s="163">
        <v>0.43705340518396102</v>
      </c>
      <c r="X478" s="163">
        <v>6.1895127127624397E-3</v>
      </c>
      <c r="Y478" s="163">
        <v>21.5058288253102</v>
      </c>
      <c r="Z478" s="163">
        <v>7.32986659284615E-4</v>
      </c>
      <c r="AA478" s="163">
        <v>1.62432602286675</v>
      </c>
      <c r="AB478" s="163">
        <v>1.6238599206075099</v>
      </c>
      <c r="AC478" s="163">
        <v>3.7124416199354001E-4</v>
      </c>
      <c r="AD478" s="163">
        <v>9.4858097243990196E-5</v>
      </c>
      <c r="AE478" s="163">
        <v>2.6274974571499303E-7</v>
      </c>
      <c r="AF478" s="163">
        <v>7.9167720468021601E-3</v>
      </c>
      <c r="AG478" s="163">
        <v>4.4318244425589198E-6</v>
      </c>
      <c r="AH478" s="163">
        <v>3.30426093602172E-3</v>
      </c>
      <c r="AI478" s="163">
        <v>3.6283310973059098E-2</v>
      </c>
      <c r="AJ478" s="163">
        <v>9.6537099687646205E-3</v>
      </c>
      <c r="AK478" s="163">
        <v>1.86518041529208E-6</v>
      </c>
      <c r="AL478" s="163">
        <v>16.741316301411601</v>
      </c>
      <c r="AM478" s="163">
        <v>2.22966987885659E-2</v>
      </c>
      <c r="AN478" s="163">
        <v>3.0576571299093999E-8</v>
      </c>
      <c r="AO478" s="163">
        <v>7.1855284486769394E-2</v>
      </c>
      <c r="AP478" s="163">
        <v>10.0456497862841</v>
      </c>
      <c r="AQ478" s="163">
        <v>3.5242587553365099E-10</v>
      </c>
      <c r="AR478" s="163">
        <v>7.5755651315496593E-9</v>
      </c>
      <c r="AS478" s="163">
        <v>2.13833820053497</v>
      </c>
      <c r="AT478" s="163">
        <v>0</v>
      </c>
      <c r="AU478" s="163">
        <v>0</v>
      </c>
      <c r="AV478" s="313">
        <v>9.2018591927642696E-2</v>
      </c>
      <c r="AW478" s="315">
        <v>0</v>
      </c>
      <c r="AX478" s="315">
        <v>0</v>
      </c>
      <c r="AY478" s="313">
        <v>17.7787484120458</v>
      </c>
      <c r="AZ478" s="163">
        <v>0</v>
      </c>
      <c r="BA478" s="163">
        <v>0</v>
      </c>
      <c r="BB478" s="163">
        <v>0</v>
      </c>
      <c r="BC478" s="163">
        <v>8.6541506008126605E-4</v>
      </c>
      <c r="BD478" s="163">
        <v>4.5591074878526798E-5</v>
      </c>
      <c r="BE478" s="163">
        <v>1.98095255842889E-2</v>
      </c>
      <c r="BF478" s="163">
        <v>1.16353046692931E-4</v>
      </c>
      <c r="BG478" s="163">
        <v>0</v>
      </c>
      <c r="BH478" s="163">
        <v>1000</v>
      </c>
      <c r="BI478" s="163">
        <v>0</v>
      </c>
      <c r="BJ478" s="163">
        <v>0</v>
      </c>
      <c r="BK478" s="163">
        <v>0</v>
      </c>
      <c r="BL478" s="62">
        <v>0.3</v>
      </c>
      <c r="BM478" s="275">
        <v>2</v>
      </c>
      <c r="BN478" s="62">
        <v>0</v>
      </c>
      <c r="BO478" s="33" t="s">
        <v>526</v>
      </c>
    </row>
    <row r="479" spans="1:67">
      <c r="A479" s="33" t="str">
        <f>Database_Productkaarten[[#This Row],[Product]]&amp;", "&amp;Database_Productkaarten[[#This Row],[Levensfase]]</f>
        <v>AC Surf G.M. 30% PR - PCR 2.0, C4</v>
      </c>
      <c r="B479" s="33" t="s">
        <v>531</v>
      </c>
      <c r="C479" s="33" t="s">
        <v>483</v>
      </c>
      <c r="D479" s="33" t="s">
        <v>377</v>
      </c>
      <c r="E479" s="33" t="s">
        <v>378</v>
      </c>
      <c r="F479" s="33" t="s">
        <v>86</v>
      </c>
      <c r="L479" s="33">
        <v>2.35</v>
      </c>
      <c r="M479" s="269">
        <v>1</v>
      </c>
      <c r="N479" s="211">
        <v>0</v>
      </c>
      <c r="O479" s="33">
        <v>14</v>
      </c>
      <c r="P479" s="163">
        <v>0</v>
      </c>
      <c r="Q479" s="163">
        <v>0</v>
      </c>
      <c r="R479" s="163">
        <v>0</v>
      </c>
      <c r="S479" s="163">
        <v>0</v>
      </c>
      <c r="T479" s="163">
        <v>0</v>
      </c>
      <c r="U479" s="163">
        <v>0</v>
      </c>
      <c r="V479" s="163">
        <v>0</v>
      </c>
      <c r="W479" s="163">
        <v>0</v>
      </c>
      <c r="X479" s="163">
        <v>0</v>
      </c>
      <c r="Y479" s="163">
        <v>0</v>
      </c>
      <c r="Z479" s="163">
        <v>0</v>
      </c>
      <c r="AA479" s="163">
        <v>0</v>
      </c>
      <c r="AB479" s="163">
        <v>0</v>
      </c>
      <c r="AC479" s="163">
        <v>0</v>
      </c>
      <c r="AD479" s="163">
        <v>0</v>
      </c>
      <c r="AE479" s="163">
        <v>0</v>
      </c>
      <c r="AF479" s="163">
        <v>0</v>
      </c>
      <c r="AG479" s="163">
        <v>0</v>
      </c>
      <c r="AH479" s="163">
        <v>0</v>
      </c>
      <c r="AI479" s="163">
        <v>0</v>
      </c>
      <c r="AJ479" s="163">
        <v>0</v>
      </c>
      <c r="AK479" s="163">
        <v>0</v>
      </c>
      <c r="AL479" s="163">
        <v>0</v>
      </c>
      <c r="AM479" s="163">
        <v>0</v>
      </c>
      <c r="AN479" s="163">
        <v>0</v>
      </c>
      <c r="AO479" s="163">
        <v>0</v>
      </c>
      <c r="AP479" s="163">
        <v>0</v>
      </c>
      <c r="AQ479" s="163">
        <v>0</v>
      </c>
      <c r="AR479" s="163">
        <v>0</v>
      </c>
      <c r="AS479" s="163">
        <v>0</v>
      </c>
      <c r="AT479" s="163">
        <v>0</v>
      </c>
      <c r="AU479" s="163">
        <v>0</v>
      </c>
      <c r="AV479" s="313">
        <v>0</v>
      </c>
      <c r="AW479" s="315">
        <v>0</v>
      </c>
      <c r="AX479" s="315">
        <v>0</v>
      </c>
      <c r="AY479" s="313">
        <v>0</v>
      </c>
      <c r="AZ479" s="163">
        <v>0</v>
      </c>
      <c r="BA479" s="163">
        <v>0</v>
      </c>
      <c r="BB479" s="163">
        <v>0</v>
      </c>
      <c r="BC479" s="163">
        <v>0</v>
      </c>
      <c r="BD479" s="163">
        <v>0</v>
      </c>
      <c r="BE479" s="163">
        <v>0</v>
      </c>
      <c r="BF479" s="163">
        <v>0</v>
      </c>
      <c r="BG479" s="163">
        <v>0</v>
      </c>
      <c r="BH479" s="163">
        <v>0</v>
      </c>
      <c r="BI479" s="163">
        <v>0</v>
      </c>
      <c r="BJ479" s="163">
        <v>0</v>
      </c>
      <c r="BK479" s="163">
        <v>0</v>
      </c>
      <c r="BL479" s="62">
        <v>0.3</v>
      </c>
      <c r="BM479" s="275">
        <v>2</v>
      </c>
      <c r="BN479" s="62">
        <v>0</v>
      </c>
      <c r="BO479" s="33" t="s">
        <v>526</v>
      </c>
    </row>
    <row r="480" spans="1:67">
      <c r="A480" s="33" t="str">
        <f>Database_Productkaarten[[#This Row],[Product]]&amp;", "&amp;Database_Productkaarten[[#This Row],[Levensfase]]</f>
        <v>AC Surf G.M. 30% PR - PCR 2.0, D</v>
      </c>
      <c r="B480" s="33" t="s">
        <v>531</v>
      </c>
      <c r="C480" s="33" t="s">
        <v>483</v>
      </c>
      <c r="D480" s="33" t="s">
        <v>377</v>
      </c>
      <c r="E480" s="33" t="s">
        <v>378</v>
      </c>
      <c r="F480" s="33" t="s">
        <v>89</v>
      </c>
      <c r="L480" s="33">
        <v>2.35</v>
      </c>
      <c r="M480" s="269">
        <v>1</v>
      </c>
      <c r="N480" s="211">
        <v>-3.0837985097773593</v>
      </c>
      <c r="O480" s="33">
        <v>14</v>
      </c>
      <c r="P480" s="163">
        <v>-3.4621402220471698E-4</v>
      </c>
      <c r="Q480" s="163">
        <v>-0.526383839394157</v>
      </c>
      <c r="R480" s="163">
        <v>-22.9286111796205</v>
      </c>
      <c r="S480" s="163">
        <v>-1.96601260045906E-6</v>
      </c>
      <c r="T480" s="163">
        <v>-5.6613809629709903E-2</v>
      </c>
      <c r="U480" s="163">
        <v>-0.161969081271856</v>
      </c>
      <c r="V480" s="163">
        <v>-1.5452458048823401E-2</v>
      </c>
      <c r="W480" s="163">
        <v>-6.2839722596109198</v>
      </c>
      <c r="X480" s="163">
        <v>-0.81599332059607199</v>
      </c>
      <c r="Y480" s="163">
        <v>-3563.7284910871199</v>
      </c>
      <c r="Z480" s="163">
        <v>-0.10743238323118801</v>
      </c>
      <c r="AA480" s="163">
        <v>-6.1419472161645299</v>
      </c>
      <c r="AB480" s="163">
        <v>-6.0685420777144401</v>
      </c>
      <c r="AC480" s="163">
        <v>-6.5925696182667901E-2</v>
      </c>
      <c r="AD480" s="163">
        <v>-7.47944226743333E-3</v>
      </c>
      <c r="AE480" s="163">
        <v>-8.0455335577048201E-7</v>
      </c>
      <c r="AF480" s="163">
        <v>-5.9339702925579503E-2</v>
      </c>
      <c r="AG480" s="163">
        <v>-2.5934097475313302E-4</v>
      </c>
      <c r="AH480" s="163">
        <v>-1.7528680667748601E-2</v>
      </c>
      <c r="AI480" s="163">
        <v>-0.22058039170025801</v>
      </c>
      <c r="AJ480" s="163">
        <v>-5.4423012944349397E-2</v>
      </c>
      <c r="AK480" s="163">
        <v>-3.43819729308192E-4</v>
      </c>
      <c r="AL480" s="163">
        <v>-88.493988502382095</v>
      </c>
      <c r="AM480" s="163">
        <v>-21.688448384532801</v>
      </c>
      <c r="AN480" s="163">
        <v>-8.38232259420884E-7</v>
      </c>
      <c r="AO480" s="163">
        <v>-0.47356623858416702</v>
      </c>
      <c r="AP480" s="163">
        <v>-805.26957513749198</v>
      </c>
      <c r="AQ480" s="163">
        <v>-4.4782876736904498E-9</v>
      </c>
      <c r="AR480" s="163">
        <v>-1.02328514435138E-7</v>
      </c>
      <c r="AS480" s="163">
        <v>-993.65865387436997</v>
      </c>
      <c r="AT480" s="163">
        <v>0</v>
      </c>
      <c r="AU480" s="163">
        <v>0</v>
      </c>
      <c r="AV480" s="313">
        <v>-11.4814492833403</v>
      </c>
      <c r="AW480" s="315">
        <v>0</v>
      </c>
      <c r="AX480" s="315">
        <v>0</v>
      </c>
      <c r="AY480" s="313">
        <v>-1188.8138115320201</v>
      </c>
      <c r="AZ480" s="163">
        <v>0</v>
      </c>
      <c r="BA480" s="163">
        <v>0</v>
      </c>
      <c r="BB480" s="163">
        <v>0</v>
      </c>
      <c r="BC480" s="163">
        <v>-12.7069206864343</v>
      </c>
      <c r="BD480" s="163">
        <v>-5.50373578533407E-4</v>
      </c>
      <c r="BE480" s="163">
        <v>-2.1777590730601699</v>
      </c>
      <c r="BF480" s="163">
        <v>-6.4272763918226999E-4</v>
      </c>
      <c r="BG480" s="163">
        <v>0</v>
      </c>
      <c r="BH480" s="163">
        <v>0</v>
      </c>
      <c r="BI480" s="163">
        <v>0</v>
      </c>
      <c r="BJ480" s="163">
        <v>0</v>
      </c>
      <c r="BK480" s="163">
        <v>0</v>
      </c>
      <c r="BL480" s="62">
        <v>0.3</v>
      </c>
      <c r="BM480" s="275">
        <v>2</v>
      </c>
      <c r="BN480" s="62">
        <v>0</v>
      </c>
      <c r="BO480" s="33" t="s">
        <v>526</v>
      </c>
    </row>
    <row r="481" spans="1:67">
      <c r="A481" s="33" t="str">
        <f>Database_Productkaarten[[#This Row],[Product]]&amp;", "&amp;Database_Productkaarten[[#This Row],[Levensfase]]</f>
        <v>AC surf rood, met penbitumen - PCR 2.0, Totaal</v>
      </c>
      <c r="B481" s="33" t="s">
        <v>241</v>
      </c>
      <c r="C481" s="33" t="s">
        <v>483</v>
      </c>
      <c r="D481" s="33" t="s">
        <v>494</v>
      </c>
      <c r="E481" s="33" t="s">
        <v>378</v>
      </c>
      <c r="F481" s="33" t="s">
        <v>90</v>
      </c>
      <c r="L481" s="33">
        <v>2.35</v>
      </c>
      <c r="M481" s="269">
        <v>1</v>
      </c>
      <c r="N481" s="41">
        <f>SUM(N482:N497)</f>
        <v>47.17531517301623</v>
      </c>
      <c r="O481" s="33">
        <v>14</v>
      </c>
      <c r="P481" s="40">
        <f>SUM(P482:P497)</f>
        <v>2.7435392451318919E-2</v>
      </c>
      <c r="Q481" s="40">
        <f t="shared" ref="Q481:BK481" si="53">SUM(Q482:Q497)</f>
        <v>4.0934383712887108</v>
      </c>
      <c r="R481" s="40">
        <f t="shared" si="53"/>
        <v>378.23825033226308</v>
      </c>
      <c r="S481" s="40">
        <f t="shared" si="53"/>
        <v>4.3113215763970701E-5</v>
      </c>
      <c r="T481" s="40">
        <f t="shared" si="53"/>
        <v>0.36578352678253245</v>
      </c>
      <c r="U481" s="40">
        <f t="shared" si="53"/>
        <v>2.3386408500657421</v>
      </c>
      <c r="V481" s="40">
        <f t="shared" si="53"/>
        <v>0.29573415172015349</v>
      </c>
      <c r="W481" s="40">
        <f t="shared" si="53"/>
        <v>129.82896749638564</v>
      </c>
      <c r="X481" s="40">
        <f t="shared" si="53"/>
        <v>10.652882839779595</v>
      </c>
      <c r="Y481" s="40">
        <f t="shared" si="53"/>
        <v>27964.232326010388</v>
      </c>
      <c r="Z481" s="40">
        <f t="shared" si="53"/>
        <v>0.90691409922010591</v>
      </c>
      <c r="AA481" s="40">
        <f t="shared" si="53"/>
        <v>419.16973238304388</v>
      </c>
      <c r="AB481" s="40">
        <f t="shared" si="53"/>
        <v>417.94125283491405</v>
      </c>
      <c r="AC481" s="40">
        <f t="shared" si="53"/>
        <v>0.99558764219277107</v>
      </c>
      <c r="AD481" s="40">
        <f t="shared" si="53"/>
        <v>0.31076388928764204</v>
      </c>
      <c r="AE481" s="40">
        <f t="shared" si="53"/>
        <v>5.1396684073375833E-5</v>
      </c>
      <c r="AF481" s="40">
        <f t="shared" si="53"/>
        <v>3.073109785001467</v>
      </c>
      <c r="AG481" s="40">
        <f t="shared" si="53"/>
        <v>9.2723709809667595E-3</v>
      </c>
      <c r="AH481" s="40">
        <f t="shared" si="53"/>
        <v>0.53325540241244074</v>
      </c>
      <c r="AI481" s="40">
        <f t="shared" si="53"/>
        <v>6.3542688952599136</v>
      </c>
      <c r="AJ481" s="40">
        <f t="shared" si="53"/>
        <v>2.1516376911046424</v>
      </c>
      <c r="AK481" s="40">
        <f t="shared" si="53"/>
        <v>2.7438606216438292E-2</v>
      </c>
      <c r="AL481" s="40">
        <f t="shared" si="53"/>
        <v>9710.0167528585207</v>
      </c>
      <c r="AM481" s="40">
        <f t="shared" si="53"/>
        <v>240.89749260613675</v>
      </c>
      <c r="AN481" s="40">
        <f t="shared" si="53"/>
        <v>1.9387119738928946E-5</v>
      </c>
      <c r="AO481" s="40">
        <f t="shared" si="53"/>
        <v>12.996402944770093</v>
      </c>
      <c r="AP481" s="40">
        <f t="shared" si="53"/>
        <v>15221.713823754399</v>
      </c>
      <c r="AQ481" s="40">
        <f t="shared" si="53"/>
        <v>2.4100871733199998E-7</v>
      </c>
      <c r="AR481" s="40">
        <f t="shared" si="53"/>
        <v>6.756441908194501E-6</v>
      </c>
      <c r="AS481" s="40">
        <f t="shared" si="53"/>
        <v>4051.0479291629072</v>
      </c>
      <c r="AT481" s="40">
        <f t="shared" si="53"/>
        <v>8.065825212</v>
      </c>
      <c r="AU481" s="40">
        <f t="shared" si="53"/>
        <v>0</v>
      </c>
      <c r="AV481" s="313">
        <f t="shared" si="53"/>
        <v>218.14771504023906</v>
      </c>
      <c r="AW481" s="317">
        <f t="shared" si="53"/>
        <v>0.70667511750000001</v>
      </c>
      <c r="AX481" s="317">
        <f t="shared" si="53"/>
        <v>9.926829900000001E-4</v>
      </c>
      <c r="AY481" s="313">
        <f t="shared" si="53"/>
        <v>8825.8103642302412</v>
      </c>
      <c r="AZ481" s="40">
        <f t="shared" si="53"/>
        <v>0</v>
      </c>
      <c r="BA481" s="40">
        <f t="shared" si="53"/>
        <v>0</v>
      </c>
      <c r="BB481" s="40">
        <f t="shared" si="53"/>
        <v>0</v>
      </c>
      <c r="BC481" s="40">
        <f t="shared" si="53"/>
        <v>-11.224051061125483</v>
      </c>
      <c r="BD481" s="40">
        <f t="shared" si="53"/>
        <v>9.1423678486993384E-3</v>
      </c>
      <c r="BE481" s="40">
        <f t="shared" si="53"/>
        <v>70.846306204922641</v>
      </c>
      <c r="BF481" s="40">
        <f t="shared" si="53"/>
        <v>1.3625392689550748E-2</v>
      </c>
      <c r="BG481" s="40">
        <f t="shared" si="53"/>
        <v>0</v>
      </c>
      <c r="BH481" s="40">
        <f t="shared" si="53"/>
        <v>1000</v>
      </c>
      <c r="BI481" s="40">
        <f t="shared" si="53"/>
        <v>0</v>
      </c>
      <c r="BJ481" s="40">
        <f t="shared" si="53"/>
        <v>0</v>
      </c>
      <c r="BK481" s="40">
        <f t="shared" si="53"/>
        <v>0</v>
      </c>
      <c r="BL481" s="62">
        <v>0</v>
      </c>
      <c r="BM481" s="275">
        <v>2</v>
      </c>
      <c r="BN481" s="62">
        <v>0</v>
      </c>
      <c r="BO481" s="33" t="s">
        <v>526</v>
      </c>
    </row>
    <row r="482" spans="1:67">
      <c r="A482" s="33" t="str">
        <f>Database_Productkaarten[[#This Row],[Product]]&amp;", "&amp;Database_Productkaarten[[#This Row],[Levensfase]]</f>
        <v>AC surf rood, met penbitumen - PCR 2.0, A1</v>
      </c>
      <c r="B482" s="33" t="s">
        <v>241</v>
      </c>
      <c r="C482" s="33" t="s">
        <v>483</v>
      </c>
      <c r="D482" s="33" t="s">
        <v>494</v>
      </c>
      <c r="E482" s="33" t="s">
        <v>378</v>
      </c>
      <c r="F482" s="33" t="s">
        <v>74</v>
      </c>
      <c r="L482" s="33">
        <v>2.35</v>
      </c>
      <c r="M482" s="269">
        <v>1</v>
      </c>
      <c r="N482" s="211">
        <v>20.03759244342482</v>
      </c>
      <c r="O482" s="33">
        <v>14</v>
      </c>
      <c r="P482" s="163">
        <v>1.3492627771307299E-2</v>
      </c>
      <c r="Q482" s="163">
        <v>2.01091736208343</v>
      </c>
      <c r="R482" s="163">
        <v>150.10855180977401</v>
      </c>
      <c r="S482" s="163">
        <v>1.5240065052943401E-5</v>
      </c>
      <c r="T482" s="163">
        <v>0.198660184213903</v>
      </c>
      <c r="U482" s="163">
        <v>1.03202258999851</v>
      </c>
      <c r="V482" s="163">
        <v>0.113580848257067</v>
      </c>
      <c r="W482" s="163">
        <v>55.058325424719399</v>
      </c>
      <c r="X482" s="163">
        <v>5.3525763423564001</v>
      </c>
      <c r="Y482" s="163">
        <v>15166.366708743701</v>
      </c>
      <c r="Z482" s="163">
        <v>0.46167400837526801</v>
      </c>
      <c r="AA482" s="163">
        <v>158.013585042969</v>
      </c>
      <c r="AB482" s="163">
        <v>157.468953216741</v>
      </c>
      <c r="AC482" s="163">
        <v>0.45579109432356302</v>
      </c>
      <c r="AD482" s="163">
        <v>0.127776731904757</v>
      </c>
      <c r="AE482" s="163">
        <v>1.69527694943531E-5</v>
      </c>
      <c r="AF482" s="163">
        <v>1.2441261486976001</v>
      </c>
      <c r="AG482" s="163">
        <v>4.2348189190356102E-3</v>
      </c>
      <c r="AH482" s="163">
        <v>0.16347498724544199</v>
      </c>
      <c r="AI482" s="163">
        <v>2.05495496478974</v>
      </c>
      <c r="AJ482" s="163">
        <v>0.770231460125821</v>
      </c>
      <c r="AK482" s="163">
        <v>1.3492547398630201E-2</v>
      </c>
      <c r="AL482" s="163">
        <v>4115.7646698377303</v>
      </c>
      <c r="AM482" s="163">
        <v>133.60243964680299</v>
      </c>
      <c r="AN482" s="163">
        <v>8.4763971823959201E-6</v>
      </c>
      <c r="AO482" s="163">
        <v>4.7023800787435803</v>
      </c>
      <c r="AP482" s="163">
        <v>7733.2388680651902</v>
      </c>
      <c r="AQ482" s="163">
        <v>1.06400406135103E-7</v>
      </c>
      <c r="AR482" s="163">
        <v>3.0547558731421502E-6</v>
      </c>
      <c r="AS482" s="163">
        <v>2363.9728948506799</v>
      </c>
      <c r="AT482" s="163">
        <v>0</v>
      </c>
      <c r="AU482" s="163">
        <v>0</v>
      </c>
      <c r="AV482" s="313">
        <v>99.216061884088305</v>
      </c>
      <c r="AW482" s="315">
        <v>0</v>
      </c>
      <c r="AX482" s="315">
        <v>0</v>
      </c>
      <c r="AY482" s="313">
        <v>4388.6103071064899</v>
      </c>
      <c r="AZ482" s="163">
        <v>0</v>
      </c>
      <c r="BA482" s="163">
        <v>0</v>
      </c>
      <c r="BB482" s="163">
        <v>0</v>
      </c>
      <c r="BC482" s="163">
        <v>3.2848129150113401</v>
      </c>
      <c r="BD482" s="163">
        <v>3.44607985454919E-3</v>
      </c>
      <c r="BE482" s="163">
        <v>20.751133723382001</v>
      </c>
      <c r="BF482" s="163">
        <v>4.0454887832290596E-3</v>
      </c>
      <c r="BG482" s="163">
        <v>0</v>
      </c>
      <c r="BH482" s="163">
        <v>0</v>
      </c>
      <c r="BI482" s="163">
        <v>0</v>
      </c>
      <c r="BJ482" s="163">
        <v>0</v>
      </c>
      <c r="BK482" s="163">
        <v>0</v>
      </c>
      <c r="BL482" s="62">
        <v>0</v>
      </c>
      <c r="BM482" s="275">
        <v>2</v>
      </c>
      <c r="BN482" s="62">
        <v>0</v>
      </c>
      <c r="BO482" s="33" t="s">
        <v>526</v>
      </c>
    </row>
    <row r="483" spans="1:67">
      <c r="A483" s="33" t="str">
        <f>Database_Productkaarten[[#This Row],[Product]]&amp;", "&amp;Database_Productkaarten[[#This Row],[Levensfase]]</f>
        <v>AC surf rood, met penbitumen - PCR 2.0, A2</v>
      </c>
      <c r="B483" s="33" t="s">
        <v>241</v>
      </c>
      <c r="C483" s="33" t="s">
        <v>483</v>
      </c>
      <c r="D483" s="33" t="s">
        <v>494</v>
      </c>
      <c r="E483" s="33" t="s">
        <v>378</v>
      </c>
      <c r="F483" s="33" t="s">
        <v>75</v>
      </c>
      <c r="L483" s="33">
        <v>2.35</v>
      </c>
      <c r="M483" s="269">
        <v>1</v>
      </c>
      <c r="N483" s="211">
        <v>3.3695195353397596</v>
      </c>
      <c r="O483" s="33">
        <v>14</v>
      </c>
      <c r="P483" s="163">
        <v>3.7328660314562499E-4</v>
      </c>
      <c r="Q483" s="163">
        <v>0.16788846863874701</v>
      </c>
      <c r="R483" s="163">
        <v>25.3726102449147</v>
      </c>
      <c r="S483" s="163">
        <v>4.0188286045780402E-6</v>
      </c>
      <c r="T483" s="163">
        <v>1.7118457616652299E-2</v>
      </c>
      <c r="U483" s="163">
        <v>0.20669220482435499</v>
      </c>
      <c r="V483" s="163">
        <v>3.6863233381127E-2</v>
      </c>
      <c r="W483" s="163">
        <v>8.8026229583899305</v>
      </c>
      <c r="X483" s="163">
        <v>0.223948183772161</v>
      </c>
      <c r="Y483" s="163">
        <v>800.54510267011403</v>
      </c>
      <c r="Z483" s="163">
        <v>3.4378673350778599E-2</v>
      </c>
      <c r="AA483" s="163">
        <v>25.6352654735127</v>
      </c>
      <c r="AB483" s="163">
        <v>25.581049586950002</v>
      </c>
      <c r="AC483" s="163">
        <v>2.4660408035166798E-2</v>
      </c>
      <c r="AD483" s="163">
        <v>2.9555478527618299E-2</v>
      </c>
      <c r="AE483" s="163">
        <v>5.0206803819121697E-6</v>
      </c>
      <c r="AF483" s="163">
        <v>0.27525384946646497</v>
      </c>
      <c r="AG483" s="163">
        <v>2.6653838867339103E-4</v>
      </c>
      <c r="AH483" s="163">
        <v>9.7091616005812606E-2</v>
      </c>
      <c r="AI483" s="163">
        <v>1.0714944749117099</v>
      </c>
      <c r="AJ483" s="163">
        <v>0.28276835508456299</v>
      </c>
      <c r="AK483" s="163">
        <v>3.7327875092756102E-4</v>
      </c>
      <c r="AL483" s="163">
        <v>348.24861558171898</v>
      </c>
      <c r="AM483" s="163">
        <v>1.3566024069462199</v>
      </c>
      <c r="AN483" s="163">
        <v>1.26994335484266E-6</v>
      </c>
      <c r="AO483" s="163">
        <v>1.4866828919966</v>
      </c>
      <c r="AP483" s="163">
        <v>300.48829344295598</v>
      </c>
      <c r="AQ483" s="163">
        <v>1.20150356474664E-8</v>
      </c>
      <c r="AR483" s="163">
        <v>2.6309084255299398E-7</v>
      </c>
      <c r="AS483" s="163">
        <v>259.40264986134099</v>
      </c>
      <c r="AT483" s="163">
        <v>0</v>
      </c>
      <c r="AU483" s="163">
        <v>0</v>
      </c>
      <c r="AV483" s="313">
        <v>5.9493329567995001</v>
      </c>
      <c r="AW483" s="315">
        <v>0</v>
      </c>
      <c r="AX483" s="315">
        <v>0</v>
      </c>
      <c r="AY483" s="313">
        <v>369.651134706253</v>
      </c>
      <c r="AZ483" s="163">
        <v>0</v>
      </c>
      <c r="BA483" s="163">
        <v>0</v>
      </c>
      <c r="BB483" s="163">
        <v>0</v>
      </c>
      <c r="BC483" s="163">
        <v>5.1260868549893798E-2</v>
      </c>
      <c r="BD483" s="163">
        <v>8.3687085366688596E-4</v>
      </c>
      <c r="BE483" s="163">
        <v>10.3843694114207</v>
      </c>
      <c r="BF483" s="163">
        <v>2.28654481150947E-3</v>
      </c>
      <c r="BG483" s="163">
        <v>0</v>
      </c>
      <c r="BH483" s="163">
        <v>0</v>
      </c>
      <c r="BI483" s="163">
        <v>0</v>
      </c>
      <c r="BJ483" s="163">
        <v>0</v>
      </c>
      <c r="BK483" s="163">
        <v>0</v>
      </c>
      <c r="BL483" s="62">
        <v>0</v>
      </c>
      <c r="BM483" s="275">
        <v>2</v>
      </c>
      <c r="BN483" s="62">
        <v>0</v>
      </c>
      <c r="BO483" s="33" t="s">
        <v>526</v>
      </c>
    </row>
    <row r="484" spans="1:67">
      <c r="A484" s="33" t="str">
        <f>Database_Productkaarten[[#This Row],[Product]]&amp;", "&amp;Database_Productkaarten[[#This Row],[Levensfase]]</f>
        <v>AC surf rood, met penbitumen - PCR 2.0, A3</v>
      </c>
      <c r="B484" s="33" t="s">
        <v>241</v>
      </c>
      <c r="C484" s="33" t="s">
        <v>483</v>
      </c>
      <c r="D484" s="33" t="s">
        <v>494</v>
      </c>
      <c r="E484" s="33" t="s">
        <v>378</v>
      </c>
      <c r="F484" s="33" t="s">
        <v>76</v>
      </c>
      <c r="L484" s="33">
        <v>2.35</v>
      </c>
      <c r="M484" s="269">
        <v>1</v>
      </c>
      <c r="N484" s="211">
        <v>1.6815137603378565</v>
      </c>
      <c r="O484" s="33">
        <v>14</v>
      </c>
      <c r="P484" s="163">
        <v>2.33849588943861E-5</v>
      </c>
      <c r="Q484" s="163">
        <v>0.19960223737851701</v>
      </c>
      <c r="R484" s="163">
        <v>23.454272674084201</v>
      </c>
      <c r="S484" s="163">
        <v>2.6392808042848099E-6</v>
      </c>
      <c r="T484" s="163">
        <v>3.78591122635815E-3</v>
      </c>
      <c r="U484" s="163">
        <v>2.3372004142148399E-2</v>
      </c>
      <c r="V484" s="163">
        <v>3.9676656794029102E-3</v>
      </c>
      <c r="W484" s="163">
        <v>3.6334239866800799</v>
      </c>
      <c r="X484" s="163">
        <v>2.61327693935757E-2</v>
      </c>
      <c r="Y484" s="163">
        <v>106.652056410283</v>
      </c>
      <c r="Z484" s="163">
        <v>2.59111829258836E-2</v>
      </c>
      <c r="AA484" s="163">
        <v>23.8050142170271</v>
      </c>
      <c r="AB484" s="163">
        <v>23.747378765364999</v>
      </c>
      <c r="AC484" s="163">
        <v>5.5595427055878603E-2</v>
      </c>
      <c r="AD484" s="163">
        <v>2.0400246061344899E-3</v>
      </c>
      <c r="AE484" s="163">
        <v>2.9747851068484401E-6</v>
      </c>
      <c r="AF484" s="163">
        <v>3.0013774637882101E-2</v>
      </c>
      <c r="AG484" s="163">
        <v>2.7959430526432199E-4</v>
      </c>
      <c r="AH484" s="163">
        <v>8.3400645445631198E-3</v>
      </c>
      <c r="AI484" s="163">
        <v>9.4423272814494905E-2</v>
      </c>
      <c r="AJ484" s="163">
        <v>2.8513646848488099E-2</v>
      </c>
      <c r="AK484" s="163">
        <v>2.3384638810364502E-5</v>
      </c>
      <c r="AL484" s="163">
        <v>367.35558991307801</v>
      </c>
      <c r="AM484" s="163">
        <v>0.56189641902260201</v>
      </c>
      <c r="AN484" s="163">
        <v>1.9739779911938301E-7</v>
      </c>
      <c r="AO484" s="163">
        <v>0.274350785697207</v>
      </c>
      <c r="AP484" s="163">
        <v>80.197722161822995</v>
      </c>
      <c r="AQ484" s="163">
        <v>2.95051528065096E-9</v>
      </c>
      <c r="AR484" s="163">
        <v>5.1953582460757299E-8</v>
      </c>
      <c r="AS484" s="163">
        <v>17.006123180250601</v>
      </c>
      <c r="AT484" s="163">
        <v>0</v>
      </c>
      <c r="AU484" s="163">
        <v>0</v>
      </c>
      <c r="AV484" s="313">
        <v>7.2150814431540597</v>
      </c>
      <c r="AW484" s="315">
        <v>0</v>
      </c>
      <c r="AX484" s="315">
        <v>0</v>
      </c>
      <c r="AY484" s="313">
        <v>404.91427764892802</v>
      </c>
      <c r="AZ484" s="163">
        <v>0</v>
      </c>
      <c r="BA484" s="163">
        <v>0</v>
      </c>
      <c r="BB484" s="163">
        <v>0</v>
      </c>
      <c r="BC484" s="163">
        <v>4.1899063666436497E-2</v>
      </c>
      <c r="BD484" s="163">
        <v>4.4491824741930302E-4</v>
      </c>
      <c r="BE484" s="163">
        <v>0.28473938764136703</v>
      </c>
      <c r="BF484" s="163">
        <v>3.4768976034573297E-4</v>
      </c>
      <c r="BG484" s="163">
        <v>0</v>
      </c>
      <c r="BH484" s="163">
        <v>0</v>
      </c>
      <c r="BI484" s="163">
        <v>0</v>
      </c>
      <c r="BJ484" s="163">
        <v>0</v>
      </c>
      <c r="BK484" s="163">
        <v>0</v>
      </c>
      <c r="BL484" s="62">
        <v>0</v>
      </c>
      <c r="BM484" s="275">
        <v>2</v>
      </c>
      <c r="BN484" s="62">
        <v>0</v>
      </c>
      <c r="BO484" s="33" t="s">
        <v>526</v>
      </c>
    </row>
    <row r="485" spans="1:67">
      <c r="A485" s="33" t="str">
        <f>Database_Productkaarten[[#This Row],[Product]]&amp;", "&amp;Database_Productkaarten[[#This Row],[Levensfase]]</f>
        <v>AC surf rood, met penbitumen - PCR 2.0, A1-A3</v>
      </c>
      <c r="B485" s="33" t="str">
        <f>B484</f>
        <v>AC surf rood, met penbitumen - PCR 2.0</v>
      </c>
      <c r="C485" s="33" t="str">
        <f>C484</f>
        <v>Bitumineuze verhardingen</v>
      </c>
      <c r="D485" s="33" t="str">
        <f>D484</f>
        <v>AC surf rood</v>
      </c>
      <c r="E485" s="33" t="str">
        <f>E484</f>
        <v>Ton</v>
      </c>
      <c r="F485" s="33" t="s">
        <v>77</v>
      </c>
      <c r="L485" s="33">
        <f>L484</f>
        <v>2.35</v>
      </c>
      <c r="M485" s="45">
        <f>M484</f>
        <v>1</v>
      </c>
      <c r="N485" s="41">
        <f>SUM(N482:N484)</f>
        <v>25.088625739102437</v>
      </c>
      <c r="O485" s="33">
        <f>O484</f>
        <v>14</v>
      </c>
      <c r="P485" s="40">
        <f>SUM(P482:P484)</f>
        <v>1.3889299333347309E-2</v>
      </c>
      <c r="Q485" s="40">
        <f t="shared" ref="Q485:BK485" si="54">SUM(Q482:Q484)</f>
        <v>2.3784080681006938</v>
      </c>
      <c r="R485" s="40">
        <f t="shared" si="54"/>
        <v>198.93543472877292</v>
      </c>
      <c r="S485" s="40">
        <f t="shared" si="54"/>
        <v>2.1898174461806251E-5</v>
      </c>
      <c r="T485" s="40">
        <f t="shared" si="54"/>
        <v>0.21956455305691344</v>
      </c>
      <c r="U485" s="40">
        <f t="shared" si="54"/>
        <v>1.2620867989650133</v>
      </c>
      <c r="V485" s="40">
        <f t="shared" si="54"/>
        <v>0.15441174731759691</v>
      </c>
      <c r="W485" s="40">
        <f t="shared" si="54"/>
        <v>67.494372369789417</v>
      </c>
      <c r="X485" s="40">
        <f t="shared" si="54"/>
        <v>5.6026572955221372</v>
      </c>
      <c r="Y485" s="40">
        <f t="shared" si="54"/>
        <v>16073.563867824098</v>
      </c>
      <c r="Z485" s="40">
        <f t="shared" si="54"/>
        <v>0.52196386465193023</v>
      </c>
      <c r="AA485" s="40">
        <f t="shared" si="54"/>
        <v>207.45386473350879</v>
      </c>
      <c r="AB485" s="40">
        <f t="shared" si="54"/>
        <v>206.797381569056</v>
      </c>
      <c r="AC485" s="40">
        <f t="shared" si="54"/>
        <v>0.53604692941460841</v>
      </c>
      <c r="AD485" s="40">
        <f t="shared" si="54"/>
        <v>0.15937223503850978</v>
      </c>
      <c r="AE485" s="40">
        <f t="shared" si="54"/>
        <v>2.4948234983113709E-5</v>
      </c>
      <c r="AF485" s="40">
        <f t="shared" si="54"/>
        <v>1.5493937728019471</v>
      </c>
      <c r="AG485" s="40">
        <f t="shared" si="54"/>
        <v>4.7809516129733234E-3</v>
      </c>
      <c r="AH485" s="40">
        <f t="shared" si="54"/>
        <v>0.26890666779581768</v>
      </c>
      <c r="AI485" s="40">
        <f t="shared" si="54"/>
        <v>3.2208727125159449</v>
      </c>
      <c r="AJ485" s="40">
        <f t="shared" si="54"/>
        <v>1.081513462058872</v>
      </c>
      <c r="AK485" s="40">
        <f t="shared" si="54"/>
        <v>1.3889210788368127E-2</v>
      </c>
      <c r="AL485" s="40">
        <f t="shared" si="54"/>
        <v>4831.3688753325268</v>
      </c>
      <c r="AM485" s="40">
        <f t="shared" si="54"/>
        <v>135.5209384727718</v>
      </c>
      <c r="AN485" s="40">
        <f t="shared" si="54"/>
        <v>9.9437383363579624E-6</v>
      </c>
      <c r="AO485" s="40">
        <f t="shared" si="54"/>
        <v>6.4634137564373875</v>
      </c>
      <c r="AP485" s="40">
        <f t="shared" si="54"/>
        <v>8113.9248836699689</v>
      </c>
      <c r="AQ485" s="40">
        <f t="shared" si="54"/>
        <v>1.2136595706322037E-7</v>
      </c>
      <c r="AR485" s="40">
        <f t="shared" si="54"/>
        <v>3.3698002981559014E-6</v>
      </c>
      <c r="AS485" s="40">
        <f t="shared" si="54"/>
        <v>2640.3816678922717</v>
      </c>
      <c r="AT485" s="40">
        <f t="shared" si="54"/>
        <v>0</v>
      </c>
      <c r="AU485" s="40">
        <f t="shared" si="54"/>
        <v>0</v>
      </c>
      <c r="AV485" s="317">
        <f t="shared" si="54"/>
        <v>112.38047628404186</v>
      </c>
      <c r="AW485" s="317">
        <f t="shared" si="54"/>
        <v>0</v>
      </c>
      <c r="AX485" s="317">
        <f t="shared" si="54"/>
        <v>0</v>
      </c>
      <c r="AY485" s="317">
        <f t="shared" si="54"/>
        <v>5163.1757194616712</v>
      </c>
      <c r="AZ485" s="40">
        <f t="shared" si="54"/>
        <v>0</v>
      </c>
      <c r="BA485" s="40">
        <f t="shared" si="54"/>
        <v>0</v>
      </c>
      <c r="BB485" s="40">
        <f t="shared" si="54"/>
        <v>0</v>
      </c>
      <c r="BC485" s="40">
        <f t="shared" si="54"/>
        <v>3.3779728472276704</v>
      </c>
      <c r="BD485" s="40">
        <f t="shared" si="54"/>
        <v>4.7278689556353786E-3</v>
      </c>
      <c r="BE485" s="40">
        <f t="shared" si="54"/>
        <v>31.420242522444067</v>
      </c>
      <c r="BF485" s="40">
        <f t="shared" si="54"/>
        <v>6.6797233550842626E-3</v>
      </c>
      <c r="BG485" s="40">
        <f t="shared" si="54"/>
        <v>0</v>
      </c>
      <c r="BH485" s="40">
        <f t="shared" si="54"/>
        <v>0</v>
      </c>
      <c r="BI485" s="40">
        <f t="shared" si="54"/>
        <v>0</v>
      </c>
      <c r="BJ485" s="40">
        <f t="shared" si="54"/>
        <v>0</v>
      </c>
      <c r="BK485" s="40">
        <f t="shared" si="54"/>
        <v>0</v>
      </c>
      <c r="BL485" s="62">
        <f>BL484</f>
        <v>0</v>
      </c>
      <c r="BM485" s="275">
        <f>BM484</f>
        <v>2</v>
      </c>
      <c r="BN485" s="62">
        <v>0</v>
      </c>
      <c r="BO485" s="33" t="str">
        <f>BO484</f>
        <v>Ecochain 2022 LCA Achtergrondrapport voor Nederlandse branchereferentiemengsels 2022</v>
      </c>
    </row>
    <row r="486" spans="1:67">
      <c r="A486" s="33" t="str">
        <f>Database_Productkaarten[[#This Row],[Product]]&amp;", "&amp;Database_Productkaarten[[#This Row],[Levensfase]]</f>
        <v>AC surf rood, met penbitumen - PCR 2.0, A4</v>
      </c>
      <c r="B486" s="33" t="s">
        <v>241</v>
      </c>
      <c r="C486" s="33" t="s">
        <v>483</v>
      </c>
      <c r="D486" s="33" t="s">
        <v>494</v>
      </c>
      <c r="E486" s="33" t="s">
        <v>378</v>
      </c>
      <c r="F486" s="33" t="s">
        <v>78</v>
      </c>
      <c r="L486" s="33">
        <v>2.35</v>
      </c>
      <c r="M486" s="269">
        <v>1</v>
      </c>
      <c r="N486" s="211">
        <v>0.37546048090943995</v>
      </c>
      <c r="O486" s="33">
        <v>14</v>
      </c>
      <c r="P486" s="163">
        <v>6.8533509000000002E-5</v>
      </c>
      <c r="Q486" s="163">
        <v>2.9713889699999999E-2</v>
      </c>
      <c r="R486" s="163">
        <v>3.9891474704999998</v>
      </c>
      <c r="S486" s="163">
        <v>7.557213E-7</v>
      </c>
      <c r="T486" s="163">
        <v>2.4773701499999998E-3</v>
      </c>
      <c r="U486" s="163">
        <v>1.36398132E-2</v>
      </c>
      <c r="V486" s="163">
        <v>2.5682192100000001E-3</v>
      </c>
      <c r="W486" s="163">
        <v>0.8608144794</v>
      </c>
      <c r="X486" s="163">
        <v>3.6189873900000002E-2</v>
      </c>
      <c r="Y486" s="163">
        <v>97.376595929999993</v>
      </c>
      <c r="Z486" s="163">
        <v>4.8437180999999999E-3</v>
      </c>
      <c r="AA486" s="163">
        <v>4.0259382761999998</v>
      </c>
      <c r="AB486" s="163">
        <v>4.0229543298000001</v>
      </c>
      <c r="AC486" s="163">
        <v>1.9814632200000001E-3</v>
      </c>
      <c r="AD486" s="163">
        <v>1.0024609799999999E-3</v>
      </c>
      <c r="AE486" s="163">
        <v>9.4976262000000003E-7</v>
      </c>
      <c r="AF486" s="163">
        <v>1.7739576E-2</v>
      </c>
      <c r="AG486" s="163">
        <v>2.7841996800000001E-5</v>
      </c>
      <c r="AH486" s="163">
        <v>5.5484582100000001E-3</v>
      </c>
      <c r="AI486" s="163">
        <v>6.1385308800000003E-2</v>
      </c>
      <c r="AJ486" s="163">
        <v>1.9235744999999999E-2</v>
      </c>
      <c r="AK486" s="163">
        <v>6.8533397999999998E-5</v>
      </c>
      <c r="AL486" s="163">
        <v>62.400806729999999</v>
      </c>
      <c r="AM486" s="163">
        <v>0.212954166</v>
      </c>
      <c r="AN486" s="163">
        <v>2.9338876200000002E-7</v>
      </c>
      <c r="AO486" s="163">
        <v>0.26868483510000002</v>
      </c>
      <c r="AP486" s="163">
        <v>45.56587296</v>
      </c>
      <c r="AQ486" s="163">
        <v>1.16371179E-9</v>
      </c>
      <c r="AR486" s="163">
        <v>3.8268015899999999E-8</v>
      </c>
      <c r="AS486" s="163">
        <v>71.806844609999999</v>
      </c>
      <c r="AT486" s="163">
        <v>0</v>
      </c>
      <c r="AU486" s="163">
        <v>0</v>
      </c>
      <c r="AV486" s="313">
        <v>0.63474917099999995</v>
      </c>
      <c r="AW486" s="315">
        <v>0</v>
      </c>
      <c r="AX486" s="315">
        <v>0</v>
      </c>
      <c r="AY486" s="313">
        <v>66.265108560000002</v>
      </c>
      <c r="AZ486" s="163">
        <v>0</v>
      </c>
      <c r="BA486" s="163">
        <v>0</v>
      </c>
      <c r="BB486" s="163">
        <v>0</v>
      </c>
      <c r="BC486" s="163">
        <v>6.7467797999999999E-3</v>
      </c>
      <c r="BD486" s="163">
        <v>1.54707915E-4</v>
      </c>
      <c r="BE486" s="163">
        <v>5.4635493149999999</v>
      </c>
      <c r="BF486" s="163">
        <v>4.25149758E-4</v>
      </c>
      <c r="BG486" s="163">
        <v>0</v>
      </c>
      <c r="BH486" s="163">
        <v>0</v>
      </c>
      <c r="BI486" s="163">
        <v>0</v>
      </c>
      <c r="BJ486" s="163">
        <v>0</v>
      </c>
      <c r="BK486" s="163">
        <v>0</v>
      </c>
      <c r="BL486" s="62">
        <v>0</v>
      </c>
      <c r="BM486" s="275">
        <v>2</v>
      </c>
      <c r="BN486" s="62">
        <v>0</v>
      </c>
      <c r="BO486" s="33" t="s">
        <v>526</v>
      </c>
    </row>
    <row r="487" spans="1:67">
      <c r="A487" s="33" t="str">
        <f>Database_Productkaarten[[#This Row],[Product]]&amp;", "&amp;Database_Productkaarten[[#This Row],[Levensfase]]</f>
        <v>AC surf rood, met penbitumen - PCR 2.0, A5</v>
      </c>
      <c r="B487" s="33" t="s">
        <v>241</v>
      </c>
      <c r="C487" s="33" t="s">
        <v>483</v>
      </c>
      <c r="D487" s="33" t="s">
        <v>494</v>
      </c>
      <c r="E487" s="33" t="s">
        <v>378</v>
      </c>
      <c r="F487" s="33" t="s">
        <v>79</v>
      </c>
      <c r="L487" s="33">
        <v>2.35</v>
      </c>
      <c r="M487" s="269">
        <v>1</v>
      </c>
      <c r="N487" s="211">
        <v>0.25970533364895826</v>
      </c>
      <c r="O487" s="33">
        <v>14</v>
      </c>
      <c r="P487" s="163">
        <v>2.9238193009951299E-6</v>
      </c>
      <c r="Q487" s="163">
        <v>1.2437869088134801E-2</v>
      </c>
      <c r="R487" s="163">
        <v>2.5295292173160902</v>
      </c>
      <c r="S487" s="163">
        <v>3.2687704143202798E-7</v>
      </c>
      <c r="T487" s="163">
        <v>9.4117069521297396E-4</v>
      </c>
      <c r="U487" s="163">
        <v>1.04973944644685E-2</v>
      </c>
      <c r="V487" s="163">
        <v>2.4039520989896199E-3</v>
      </c>
      <c r="W487" s="163">
        <v>0.68877614131187204</v>
      </c>
      <c r="X487" s="163">
        <v>9.7024794481253996E-3</v>
      </c>
      <c r="Y487" s="163">
        <v>33.711839989285899</v>
      </c>
      <c r="Z487" s="163">
        <v>1.14900611789572E-3</v>
      </c>
      <c r="AA487" s="163">
        <v>2.54822762914932</v>
      </c>
      <c r="AB487" s="163">
        <v>2.5474969823626701</v>
      </c>
      <c r="AC487" s="163">
        <v>5.8195031043270702E-4</v>
      </c>
      <c r="AD487" s="163">
        <v>1.4869647622315201E-4</v>
      </c>
      <c r="AE487" s="163">
        <v>4.1187798250998598E-7</v>
      </c>
      <c r="AF487" s="163">
        <v>1.4654717120868899E-2</v>
      </c>
      <c r="AG487" s="163">
        <v>6.9471843033608797E-6</v>
      </c>
      <c r="AH487" s="163">
        <v>6.3596059808253298E-3</v>
      </c>
      <c r="AI487" s="163">
        <v>6.9798399555789994E-2</v>
      </c>
      <c r="AJ487" s="163">
        <v>1.82004994663327E-2</v>
      </c>
      <c r="AK487" s="163">
        <v>2.9237963574354898E-6</v>
      </c>
      <c r="AL487" s="163">
        <v>26.243144640263999</v>
      </c>
      <c r="AM487" s="163">
        <v>3.49515819165322E-2</v>
      </c>
      <c r="AN487" s="163">
        <v>5.4485692658538302E-8</v>
      </c>
      <c r="AO487" s="163">
        <v>0.11263801424094499</v>
      </c>
      <c r="AP487" s="163">
        <v>15.7470628147061</v>
      </c>
      <c r="AQ487" s="163">
        <v>5.5245137463924401E-10</v>
      </c>
      <c r="AR487" s="163">
        <v>1.32398654454107E-8</v>
      </c>
      <c r="AS487" s="163">
        <v>3.35198963145133</v>
      </c>
      <c r="AT487" s="163">
        <v>0</v>
      </c>
      <c r="AU487" s="163">
        <v>0</v>
      </c>
      <c r="AV487" s="313">
        <v>0.14424535995787399</v>
      </c>
      <c r="AW487" s="315">
        <v>0</v>
      </c>
      <c r="AX487" s="315">
        <v>0</v>
      </c>
      <c r="AY487" s="313">
        <v>27.869389580856499</v>
      </c>
      <c r="AZ487" s="163">
        <v>0</v>
      </c>
      <c r="BA487" s="163">
        <v>0</v>
      </c>
      <c r="BB487" s="163">
        <v>0</v>
      </c>
      <c r="BC487" s="163">
        <v>1.3565965821263899E-3</v>
      </c>
      <c r="BD487" s="163">
        <v>7.1467090724506899E-5</v>
      </c>
      <c r="BE487" s="163">
        <v>3.1052769848688499E-2</v>
      </c>
      <c r="BF487" s="163">
        <v>1.8239126358313899E-4</v>
      </c>
      <c r="BG487" s="163">
        <v>0</v>
      </c>
      <c r="BH487" s="163">
        <v>0</v>
      </c>
      <c r="BI487" s="163">
        <v>0</v>
      </c>
      <c r="BJ487" s="163">
        <v>0</v>
      </c>
      <c r="BK487" s="163">
        <v>0</v>
      </c>
      <c r="BL487" s="62">
        <v>0</v>
      </c>
      <c r="BM487" s="275">
        <v>2</v>
      </c>
      <c r="BN487" s="62">
        <v>0</v>
      </c>
      <c r="BO487" s="33" t="s">
        <v>526</v>
      </c>
    </row>
    <row r="488" spans="1:67">
      <c r="A488" s="33" t="str">
        <f>Database_Productkaarten[[#This Row],[Product]]&amp;", "&amp;Database_Productkaarten[[#This Row],[Levensfase]]</f>
        <v>AC surf rood, met penbitumen - PCR 2.0, B1</v>
      </c>
      <c r="B488" s="33" t="s">
        <v>241</v>
      </c>
      <c r="C488" s="33" t="s">
        <v>483</v>
      </c>
      <c r="D488" s="33" t="s">
        <v>494</v>
      </c>
      <c r="E488" s="33" t="s">
        <v>378</v>
      </c>
      <c r="F488" s="33" t="s">
        <v>80</v>
      </c>
      <c r="L488" s="33">
        <v>2.35</v>
      </c>
      <c r="M488" s="269">
        <v>1</v>
      </c>
      <c r="N488" s="211">
        <v>0.11825486639676779</v>
      </c>
      <c r="O488" s="33">
        <v>14</v>
      </c>
      <c r="P488" s="163">
        <v>0</v>
      </c>
      <c r="Q488" s="163">
        <v>0</v>
      </c>
      <c r="R488" s="163">
        <v>0</v>
      </c>
      <c r="S488" s="163">
        <v>0</v>
      </c>
      <c r="T488" s="163">
        <v>0</v>
      </c>
      <c r="U488" s="163">
        <v>0</v>
      </c>
      <c r="V488" s="163">
        <v>0</v>
      </c>
      <c r="W488" s="163">
        <v>0.47637814426189901</v>
      </c>
      <c r="X488" s="163">
        <v>0.51070836809688902</v>
      </c>
      <c r="Y488" s="163">
        <v>600.42146990351</v>
      </c>
      <c r="Z488" s="163">
        <v>2.9058966565328201E-4</v>
      </c>
      <c r="AA488" s="163">
        <v>0</v>
      </c>
      <c r="AB488" s="163">
        <v>0</v>
      </c>
      <c r="AC488" s="163">
        <v>0</v>
      </c>
      <c r="AD488" s="163">
        <v>0</v>
      </c>
      <c r="AE488" s="163">
        <v>0</v>
      </c>
      <c r="AF488" s="163">
        <v>0</v>
      </c>
      <c r="AG488" s="163">
        <v>0</v>
      </c>
      <c r="AH488" s="163">
        <v>0</v>
      </c>
      <c r="AI488" s="163">
        <v>0</v>
      </c>
      <c r="AJ488" s="163">
        <v>0</v>
      </c>
      <c r="AK488" s="163">
        <v>0</v>
      </c>
      <c r="AL488" s="163">
        <v>0</v>
      </c>
      <c r="AM488" s="163">
        <v>0</v>
      </c>
      <c r="AN488" s="163">
        <v>0</v>
      </c>
      <c r="AO488" s="163">
        <v>0</v>
      </c>
      <c r="AP488" s="163">
        <v>3.5405688217834199</v>
      </c>
      <c r="AQ488" s="163">
        <v>8.8497327752214597E-10</v>
      </c>
      <c r="AR488" s="163">
        <v>5.3167546814193901E-8</v>
      </c>
      <c r="AS488" s="163">
        <v>0</v>
      </c>
      <c r="AT488" s="163">
        <v>0</v>
      </c>
      <c r="AU488" s="163">
        <v>0</v>
      </c>
      <c r="AV488" s="313">
        <v>0</v>
      </c>
      <c r="AW488" s="315">
        <v>0</v>
      </c>
      <c r="AX488" s="315">
        <v>0</v>
      </c>
      <c r="AY488" s="313">
        <v>0</v>
      </c>
      <c r="AZ488" s="163">
        <v>0</v>
      </c>
      <c r="BA488" s="163">
        <v>0</v>
      </c>
      <c r="BB488" s="163">
        <v>0</v>
      </c>
      <c r="BC488" s="163">
        <v>0</v>
      </c>
      <c r="BD488" s="163">
        <v>0</v>
      </c>
      <c r="BE488" s="163">
        <v>0</v>
      </c>
      <c r="BF488" s="163">
        <v>0</v>
      </c>
      <c r="BG488" s="163">
        <v>0</v>
      </c>
      <c r="BH488" s="163">
        <v>0</v>
      </c>
      <c r="BI488" s="163">
        <v>0</v>
      </c>
      <c r="BJ488" s="163">
        <v>0</v>
      </c>
      <c r="BK488" s="163">
        <v>0</v>
      </c>
      <c r="BL488" s="62">
        <v>0</v>
      </c>
      <c r="BM488" s="275">
        <v>2</v>
      </c>
      <c r="BN488" s="62">
        <v>0</v>
      </c>
      <c r="BO488" s="33" t="s">
        <v>526</v>
      </c>
    </row>
    <row r="489" spans="1:67">
      <c r="A489" s="33" t="str">
        <f>Database_Productkaarten[[#This Row],[Product]]&amp;", "&amp;Database_Productkaarten[[#This Row],[Levensfase]]</f>
        <v>AC surf rood, met penbitumen - PCR 2.0, B2</v>
      </c>
      <c r="B489" s="33" t="s">
        <v>241</v>
      </c>
      <c r="C489" s="33" t="s">
        <v>483</v>
      </c>
      <c r="D489" s="33" t="s">
        <v>494</v>
      </c>
      <c r="E489" s="33" t="s">
        <v>378</v>
      </c>
      <c r="F489" s="33" t="s">
        <v>527</v>
      </c>
      <c r="L489" s="33">
        <v>2.35</v>
      </c>
      <c r="M489" s="269">
        <v>1</v>
      </c>
      <c r="N489" s="211">
        <v>0</v>
      </c>
      <c r="O489" s="33">
        <v>14</v>
      </c>
      <c r="P489" s="163">
        <v>0</v>
      </c>
      <c r="Q489" s="163">
        <v>0</v>
      </c>
      <c r="R489" s="163">
        <v>0</v>
      </c>
      <c r="S489" s="163">
        <v>0</v>
      </c>
      <c r="T489" s="163">
        <v>0</v>
      </c>
      <c r="U489" s="163">
        <v>0</v>
      </c>
      <c r="V489" s="163">
        <v>0</v>
      </c>
      <c r="W489" s="163">
        <v>0</v>
      </c>
      <c r="X489" s="163">
        <v>0</v>
      </c>
      <c r="Y489" s="163">
        <v>0</v>
      </c>
      <c r="Z489" s="163">
        <v>0</v>
      </c>
      <c r="AA489" s="163">
        <v>0</v>
      </c>
      <c r="AB489" s="163">
        <v>0</v>
      </c>
      <c r="AC489" s="163">
        <v>0</v>
      </c>
      <c r="AD489" s="163">
        <v>0</v>
      </c>
      <c r="AE489" s="163">
        <v>0</v>
      </c>
      <c r="AF489" s="163">
        <v>0</v>
      </c>
      <c r="AG489" s="163">
        <v>0</v>
      </c>
      <c r="AH489" s="163">
        <v>0</v>
      </c>
      <c r="AI489" s="163">
        <v>0</v>
      </c>
      <c r="AJ489" s="163">
        <v>0</v>
      </c>
      <c r="AK489" s="163">
        <v>0</v>
      </c>
      <c r="AL489" s="163">
        <v>0</v>
      </c>
      <c r="AM489" s="163">
        <v>0</v>
      </c>
      <c r="AN489" s="163">
        <v>0</v>
      </c>
      <c r="AO489" s="163">
        <v>0</v>
      </c>
      <c r="AP489" s="163">
        <v>0</v>
      </c>
      <c r="AQ489" s="163">
        <v>0</v>
      </c>
      <c r="AR489" s="163">
        <v>0</v>
      </c>
      <c r="AS489" s="163">
        <v>0</v>
      </c>
      <c r="AT489" s="163">
        <v>0</v>
      </c>
      <c r="AU489" s="163">
        <v>0</v>
      </c>
      <c r="AV489" s="313">
        <v>0</v>
      </c>
      <c r="AW489" s="315">
        <v>0</v>
      </c>
      <c r="AX489" s="315">
        <v>0</v>
      </c>
      <c r="AY489" s="313">
        <v>0</v>
      </c>
      <c r="AZ489" s="163">
        <v>0</v>
      </c>
      <c r="BA489" s="163">
        <v>0</v>
      </c>
      <c r="BB489" s="163">
        <v>0</v>
      </c>
      <c r="BC489" s="163">
        <v>0</v>
      </c>
      <c r="BD489" s="163">
        <v>0</v>
      </c>
      <c r="BE489" s="163">
        <v>0</v>
      </c>
      <c r="BF489" s="163">
        <v>0</v>
      </c>
      <c r="BG489" s="163">
        <v>0</v>
      </c>
      <c r="BH489" s="163">
        <v>0</v>
      </c>
      <c r="BI489" s="163">
        <v>0</v>
      </c>
      <c r="BJ489" s="163">
        <v>0</v>
      </c>
      <c r="BK489" s="163">
        <v>0</v>
      </c>
      <c r="BL489" s="62">
        <v>0</v>
      </c>
      <c r="BM489" s="275">
        <v>2</v>
      </c>
      <c r="BN489" s="62">
        <v>0</v>
      </c>
      <c r="BO489" s="33" t="s">
        <v>526</v>
      </c>
    </row>
    <row r="490" spans="1:67">
      <c r="A490" s="33" t="str">
        <f>Database_Productkaarten[[#This Row],[Product]]&amp;", "&amp;Database_Productkaarten[[#This Row],[Levensfase]]</f>
        <v>AC surf rood, met penbitumen - PCR 2.0, B3</v>
      </c>
      <c r="B490" s="33" t="s">
        <v>241</v>
      </c>
      <c r="C490" s="33" t="s">
        <v>483</v>
      </c>
      <c r="D490" s="33" t="s">
        <v>494</v>
      </c>
      <c r="E490" s="33" t="s">
        <v>378</v>
      </c>
      <c r="F490" s="33" t="s">
        <v>81</v>
      </c>
      <c r="L490" s="33">
        <v>2.35</v>
      </c>
      <c r="M490" s="269">
        <v>1</v>
      </c>
      <c r="N490" s="211">
        <v>0</v>
      </c>
      <c r="O490" s="33">
        <v>14</v>
      </c>
      <c r="P490" s="163">
        <v>0</v>
      </c>
      <c r="Q490" s="163">
        <v>0</v>
      </c>
      <c r="R490" s="163">
        <v>0</v>
      </c>
      <c r="S490" s="163">
        <v>0</v>
      </c>
      <c r="T490" s="163">
        <v>0</v>
      </c>
      <c r="U490" s="163">
        <v>0</v>
      </c>
      <c r="V490" s="163">
        <v>0</v>
      </c>
      <c r="W490" s="163">
        <v>0</v>
      </c>
      <c r="X490" s="163">
        <v>0</v>
      </c>
      <c r="Y490" s="163">
        <v>0</v>
      </c>
      <c r="Z490" s="163">
        <v>0</v>
      </c>
      <c r="AA490" s="163">
        <v>0</v>
      </c>
      <c r="AB490" s="163">
        <v>0</v>
      </c>
      <c r="AC490" s="163">
        <v>0</v>
      </c>
      <c r="AD490" s="163">
        <v>0</v>
      </c>
      <c r="AE490" s="163">
        <v>0</v>
      </c>
      <c r="AF490" s="163">
        <v>0</v>
      </c>
      <c r="AG490" s="163">
        <v>0</v>
      </c>
      <c r="AH490" s="163">
        <v>0</v>
      </c>
      <c r="AI490" s="163">
        <v>0</v>
      </c>
      <c r="AJ490" s="163">
        <v>0</v>
      </c>
      <c r="AK490" s="163">
        <v>0</v>
      </c>
      <c r="AL490" s="163">
        <v>0</v>
      </c>
      <c r="AM490" s="163">
        <v>0</v>
      </c>
      <c r="AN490" s="163">
        <v>0</v>
      </c>
      <c r="AO490" s="163">
        <v>0</v>
      </c>
      <c r="AP490" s="163">
        <v>0</v>
      </c>
      <c r="AQ490" s="163">
        <v>0</v>
      </c>
      <c r="AR490" s="163">
        <v>0</v>
      </c>
      <c r="AS490" s="163">
        <v>0</v>
      </c>
      <c r="AT490" s="163">
        <v>0</v>
      </c>
      <c r="AU490" s="163">
        <v>0</v>
      </c>
      <c r="AV490" s="313">
        <v>0</v>
      </c>
      <c r="AW490" s="315">
        <v>0</v>
      </c>
      <c r="AX490" s="315">
        <v>0</v>
      </c>
      <c r="AY490" s="313">
        <v>0</v>
      </c>
      <c r="AZ490" s="163">
        <v>0</v>
      </c>
      <c r="BA490" s="163">
        <v>0</v>
      </c>
      <c r="BB490" s="163">
        <v>0</v>
      </c>
      <c r="BC490" s="163">
        <v>0</v>
      </c>
      <c r="BD490" s="163">
        <v>0</v>
      </c>
      <c r="BE490" s="163">
        <v>0</v>
      </c>
      <c r="BF490" s="163">
        <v>0</v>
      </c>
      <c r="BG490" s="163">
        <v>0</v>
      </c>
      <c r="BH490" s="163">
        <v>0</v>
      </c>
      <c r="BI490" s="163">
        <v>0</v>
      </c>
      <c r="BJ490" s="163">
        <v>0</v>
      </c>
      <c r="BK490" s="163">
        <v>0</v>
      </c>
      <c r="BL490" s="62">
        <v>0</v>
      </c>
      <c r="BM490" s="275">
        <v>2</v>
      </c>
      <c r="BN490" s="62">
        <v>0</v>
      </c>
      <c r="BO490" s="33" t="s">
        <v>526</v>
      </c>
    </row>
    <row r="491" spans="1:67">
      <c r="A491" s="33" t="str">
        <f>Database_Productkaarten[[#This Row],[Product]]&amp;", "&amp;Database_Productkaarten[[#This Row],[Levensfase]]</f>
        <v>AC surf rood, met penbitumen - PCR 2.0, B4</v>
      </c>
      <c r="B491" s="33" t="s">
        <v>241</v>
      </c>
      <c r="C491" s="33" t="s">
        <v>483</v>
      </c>
      <c r="D491" s="33" t="s">
        <v>494</v>
      </c>
      <c r="E491" s="33" t="s">
        <v>378</v>
      </c>
      <c r="F491" s="33" t="s">
        <v>82</v>
      </c>
      <c r="L491" s="33">
        <v>2.35</v>
      </c>
      <c r="M491" s="269">
        <v>1</v>
      </c>
      <c r="N491" s="211">
        <v>0</v>
      </c>
      <c r="O491" s="33">
        <v>14</v>
      </c>
      <c r="P491" s="163">
        <v>0</v>
      </c>
      <c r="Q491" s="163">
        <v>0</v>
      </c>
      <c r="R491" s="163">
        <v>0</v>
      </c>
      <c r="S491" s="163">
        <v>0</v>
      </c>
      <c r="T491" s="163">
        <v>0</v>
      </c>
      <c r="U491" s="163">
        <v>0</v>
      </c>
      <c r="V491" s="163">
        <v>0</v>
      </c>
      <c r="W491" s="163">
        <v>0</v>
      </c>
      <c r="X491" s="163">
        <v>0</v>
      </c>
      <c r="Y491" s="163">
        <v>0</v>
      </c>
      <c r="Z491" s="163">
        <v>0</v>
      </c>
      <c r="AA491" s="163">
        <v>0</v>
      </c>
      <c r="AB491" s="163">
        <v>0</v>
      </c>
      <c r="AC491" s="163">
        <v>0</v>
      </c>
      <c r="AD491" s="163">
        <v>0</v>
      </c>
      <c r="AE491" s="163">
        <v>0</v>
      </c>
      <c r="AF491" s="163">
        <v>0</v>
      </c>
      <c r="AG491" s="163">
        <v>0</v>
      </c>
      <c r="AH491" s="163">
        <v>0</v>
      </c>
      <c r="AI491" s="163">
        <v>0</v>
      </c>
      <c r="AJ491" s="163">
        <v>0</v>
      </c>
      <c r="AK491" s="163">
        <v>0</v>
      </c>
      <c r="AL491" s="163">
        <v>0</v>
      </c>
      <c r="AM491" s="163">
        <v>0</v>
      </c>
      <c r="AN491" s="163">
        <v>0</v>
      </c>
      <c r="AO491" s="163">
        <v>0</v>
      </c>
      <c r="AP491" s="163">
        <v>0</v>
      </c>
      <c r="AQ491" s="163">
        <v>0</v>
      </c>
      <c r="AR491" s="163">
        <v>0</v>
      </c>
      <c r="AS491" s="163">
        <v>0</v>
      </c>
      <c r="AT491" s="163">
        <v>0</v>
      </c>
      <c r="AU491" s="163">
        <v>0</v>
      </c>
      <c r="AV491" s="313">
        <v>0</v>
      </c>
      <c r="AW491" s="315">
        <v>0</v>
      </c>
      <c r="AX491" s="315">
        <v>0</v>
      </c>
      <c r="AY491" s="313">
        <v>0</v>
      </c>
      <c r="AZ491" s="163">
        <v>0</v>
      </c>
      <c r="BA491" s="163">
        <v>0</v>
      </c>
      <c r="BB491" s="163">
        <v>0</v>
      </c>
      <c r="BC491" s="163">
        <v>0</v>
      </c>
      <c r="BD491" s="163">
        <v>0</v>
      </c>
      <c r="BE491" s="163">
        <v>0</v>
      </c>
      <c r="BF491" s="163">
        <v>0</v>
      </c>
      <c r="BG491" s="163">
        <v>0</v>
      </c>
      <c r="BH491" s="163">
        <v>0</v>
      </c>
      <c r="BI491" s="163">
        <v>0</v>
      </c>
      <c r="BJ491" s="163">
        <v>0</v>
      </c>
      <c r="BK491" s="163">
        <v>0</v>
      </c>
      <c r="BL491" s="62">
        <v>0</v>
      </c>
      <c r="BM491" s="275">
        <v>2</v>
      </c>
      <c r="BN491" s="62">
        <v>0</v>
      </c>
      <c r="BO491" s="33" t="s">
        <v>526</v>
      </c>
    </row>
    <row r="492" spans="1:67">
      <c r="A492" s="33" t="str">
        <f>Database_Productkaarten[[#This Row],[Product]]&amp;", "&amp;Database_Productkaarten[[#This Row],[Levensfase]]</f>
        <v>AC surf rood, met penbitumen - PCR 2.0, B5</v>
      </c>
      <c r="B492" s="33" t="s">
        <v>241</v>
      </c>
      <c r="C492" s="33" t="s">
        <v>483</v>
      </c>
      <c r="D492" s="33" t="s">
        <v>494</v>
      </c>
      <c r="E492" s="33" t="s">
        <v>378</v>
      </c>
      <c r="F492" s="33" t="s">
        <v>528</v>
      </c>
      <c r="L492" s="33">
        <v>2.35</v>
      </c>
      <c r="M492" s="269">
        <v>1</v>
      </c>
      <c r="N492" s="211">
        <v>0</v>
      </c>
      <c r="O492" s="33">
        <v>14</v>
      </c>
      <c r="P492" s="163">
        <v>0</v>
      </c>
      <c r="Q492" s="163">
        <v>0</v>
      </c>
      <c r="R492" s="163">
        <v>0</v>
      </c>
      <c r="S492" s="163">
        <v>0</v>
      </c>
      <c r="T492" s="163">
        <v>0</v>
      </c>
      <c r="U492" s="163">
        <v>0</v>
      </c>
      <c r="V492" s="163">
        <v>0</v>
      </c>
      <c r="W492" s="163">
        <v>0</v>
      </c>
      <c r="X492" s="163">
        <v>0</v>
      </c>
      <c r="Y492" s="163">
        <v>0</v>
      </c>
      <c r="Z492" s="163">
        <v>0</v>
      </c>
      <c r="AA492" s="163">
        <v>0</v>
      </c>
      <c r="AB492" s="163">
        <v>0</v>
      </c>
      <c r="AC492" s="163">
        <v>0</v>
      </c>
      <c r="AD492" s="163">
        <v>0</v>
      </c>
      <c r="AE492" s="163">
        <v>0</v>
      </c>
      <c r="AF492" s="163">
        <v>0</v>
      </c>
      <c r="AG492" s="163">
        <v>0</v>
      </c>
      <c r="AH492" s="163">
        <v>0</v>
      </c>
      <c r="AI492" s="163">
        <v>0</v>
      </c>
      <c r="AJ492" s="163">
        <v>0</v>
      </c>
      <c r="AK492" s="163">
        <v>0</v>
      </c>
      <c r="AL492" s="163">
        <v>0</v>
      </c>
      <c r="AM492" s="163">
        <v>0</v>
      </c>
      <c r="AN492" s="163">
        <v>0</v>
      </c>
      <c r="AO492" s="163">
        <v>0</v>
      </c>
      <c r="AP492" s="163">
        <v>0</v>
      </c>
      <c r="AQ492" s="163">
        <v>0</v>
      </c>
      <c r="AR492" s="163">
        <v>0</v>
      </c>
      <c r="AS492" s="163">
        <v>0</v>
      </c>
      <c r="AT492" s="163">
        <v>0</v>
      </c>
      <c r="AU492" s="163">
        <v>0</v>
      </c>
      <c r="AV492" s="313">
        <v>0</v>
      </c>
      <c r="AW492" s="315">
        <v>0</v>
      </c>
      <c r="AX492" s="315">
        <v>0</v>
      </c>
      <c r="AY492" s="313">
        <v>0</v>
      </c>
      <c r="AZ492" s="163">
        <v>0</v>
      </c>
      <c r="BA492" s="163">
        <v>0</v>
      </c>
      <c r="BB492" s="163">
        <v>0</v>
      </c>
      <c r="BC492" s="163">
        <v>0</v>
      </c>
      <c r="BD492" s="163">
        <v>0</v>
      </c>
      <c r="BE492" s="163">
        <v>0</v>
      </c>
      <c r="BF492" s="163">
        <v>0</v>
      </c>
      <c r="BG492" s="163">
        <v>0</v>
      </c>
      <c r="BH492" s="163">
        <v>0</v>
      </c>
      <c r="BI492" s="163">
        <v>0</v>
      </c>
      <c r="BJ492" s="163">
        <v>0</v>
      </c>
      <c r="BK492" s="163">
        <v>0</v>
      </c>
      <c r="BL492" s="62">
        <v>0</v>
      </c>
      <c r="BM492" s="275">
        <v>2</v>
      </c>
      <c r="BN492" s="62">
        <v>0</v>
      </c>
      <c r="BO492" s="33" t="s">
        <v>526</v>
      </c>
    </row>
    <row r="493" spans="1:67">
      <c r="A493" s="33" t="str">
        <f>Database_Productkaarten[[#This Row],[Product]]&amp;", "&amp;Database_Productkaarten[[#This Row],[Levensfase]]</f>
        <v>AC surf rood, met penbitumen - PCR 2.0, C1</v>
      </c>
      <c r="B493" s="33" t="s">
        <v>241</v>
      </c>
      <c r="C493" s="33" t="s">
        <v>483</v>
      </c>
      <c r="D493" s="33" t="s">
        <v>494</v>
      </c>
      <c r="E493" s="33" t="s">
        <v>378</v>
      </c>
      <c r="F493" s="33" t="s">
        <v>83</v>
      </c>
      <c r="L493" s="33">
        <v>2.35</v>
      </c>
      <c r="M493" s="269">
        <v>1</v>
      </c>
      <c r="N493" s="211">
        <v>0.13541602873586453</v>
      </c>
      <c r="O493" s="33">
        <v>14</v>
      </c>
      <c r="P493" s="163">
        <v>1.66355236091102E-6</v>
      </c>
      <c r="Q493" s="163">
        <v>7.0767186191111903E-3</v>
      </c>
      <c r="R493" s="163">
        <v>1.4392148995074301</v>
      </c>
      <c r="S493" s="163">
        <v>1.8598176495270599E-7</v>
      </c>
      <c r="T493" s="163">
        <v>4.7349882998440899E-4</v>
      </c>
      <c r="U493" s="163">
        <v>4.10860891943999E-3</v>
      </c>
      <c r="V493" s="163">
        <v>8.8311374597711898E-4</v>
      </c>
      <c r="W493" s="163">
        <v>0.38738647424641198</v>
      </c>
      <c r="X493" s="163">
        <v>5.5203762377265203E-3</v>
      </c>
      <c r="Y493" s="163">
        <v>19.180874476662598</v>
      </c>
      <c r="Z493" s="163">
        <v>6.5374486018204695E-4</v>
      </c>
      <c r="AA493" s="163">
        <v>1.4480810804642701</v>
      </c>
      <c r="AB493" s="163">
        <v>1.4476653676373801</v>
      </c>
      <c r="AC493" s="163">
        <v>3.3110965938412098E-4</v>
      </c>
      <c r="AD493" s="163">
        <v>8.46031675062762E-5</v>
      </c>
      <c r="AE493" s="163">
        <v>2.3434436935912999E-7</v>
      </c>
      <c r="AF493" s="163">
        <v>5.5792398101510996E-3</v>
      </c>
      <c r="AG493" s="163">
        <v>3.9527083105329101E-6</v>
      </c>
      <c r="AH493" s="163">
        <v>2.1681682890910799E-3</v>
      </c>
      <c r="AI493" s="163">
        <v>2.3831205885199699E-2</v>
      </c>
      <c r="AJ493" s="163">
        <v>6.5087102549844997E-3</v>
      </c>
      <c r="AK493" s="163">
        <v>1.6635393068167499E-6</v>
      </c>
      <c r="AL493" s="163">
        <v>14.9314443642882</v>
      </c>
      <c r="AM493" s="163">
        <v>1.98862448835442E-2</v>
      </c>
      <c r="AN493" s="163">
        <v>2.3049580100552101E-8</v>
      </c>
      <c r="AO493" s="163">
        <v>6.4087146033641296E-2</v>
      </c>
      <c r="AP493" s="163">
        <v>8.9589318378491196</v>
      </c>
      <c r="AQ493" s="163">
        <v>3.14325782122329E-10</v>
      </c>
      <c r="AR493" s="163">
        <v>6.3100664610750596E-9</v>
      </c>
      <c r="AS493" s="163">
        <v>1.90716651444644</v>
      </c>
      <c r="AT493" s="163">
        <v>0</v>
      </c>
      <c r="AU493" s="163">
        <v>0</v>
      </c>
      <c r="AV493" s="313">
        <v>8.2070635838100703E-2</v>
      </c>
      <c r="AW493" s="315">
        <v>0</v>
      </c>
      <c r="AX493" s="315">
        <v>0</v>
      </c>
      <c r="AY493" s="313">
        <v>15.8567216580735</v>
      </c>
      <c r="AZ493" s="163">
        <v>0</v>
      </c>
      <c r="BA493" s="163">
        <v>0</v>
      </c>
      <c r="BB493" s="163">
        <v>0</v>
      </c>
      <c r="BC493" s="163">
        <v>7.7185667603743005E-4</v>
      </c>
      <c r="BD493" s="163">
        <v>4.0662310239805699E-5</v>
      </c>
      <c r="BE493" s="163">
        <v>1.7667955258736601E-2</v>
      </c>
      <c r="BF493" s="163">
        <v>1.03774339624889E-4</v>
      </c>
      <c r="BG493" s="163">
        <v>0</v>
      </c>
      <c r="BH493" s="163">
        <v>0</v>
      </c>
      <c r="BI493" s="163">
        <v>0</v>
      </c>
      <c r="BJ493" s="163">
        <v>0</v>
      </c>
      <c r="BK493" s="163">
        <v>0</v>
      </c>
      <c r="BL493" s="62">
        <v>0</v>
      </c>
      <c r="BM493" s="275">
        <v>2</v>
      </c>
      <c r="BN493" s="62">
        <v>0</v>
      </c>
      <c r="BO493" s="33" t="s">
        <v>526</v>
      </c>
    </row>
    <row r="494" spans="1:67">
      <c r="A494" s="33" t="str">
        <f>Database_Productkaarten[[#This Row],[Product]]&amp;", "&amp;Database_Productkaarten[[#This Row],[Levensfase]]</f>
        <v>AC surf rood, met penbitumen - PCR 2.0, C2</v>
      </c>
      <c r="B494" s="33" t="s">
        <v>241</v>
      </c>
      <c r="C494" s="33" t="s">
        <v>483</v>
      </c>
      <c r="D494" s="33" t="s">
        <v>494</v>
      </c>
      <c r="E494" s="33" t="s">
        <v>378</v>
      </c>
      <c r="F494" s="33" t="s">
        <v>84</v>
      </c>
      <c r="L494" s="33">
        <v>2.35</v>
      </c>
      <c r="M494" s="269">
        <v>1</v>
      </c>
      <c r="N494" s="211">
        <v>0.31791357541832999</v>
      </c>
      <c r="O494" s="33">
        <v>14</v>
      </c>
      <c r="P494" s="163">
        <v>7.2195843000000002E-5</v>
      </c>
      <c r="Q494" s="163">
        <v>2.5045429500000001E-2</v>
      </c>
      <c r="R494" s="163">
        <v>3.2726104581</v>
      </c>
      <c r="S494" s="163">
        <v>6.2448211500000004E-7</v>
      </c>
      <c r="T494" s="163">
        <v>2.3663202E-3</v>
      </c>
      <c r="U494" s="163">
        <v>9.9103019999999993E-3</v>
      </c>
      <c r="V494" s="163">
        <v>1.66070541E-3</v>
      </c>
      <c r="W494" s="163">
        <v>0.89062466159999998</v>
      </c>
      <c r="X494" s="163">
        <v>3.5055542699999998E-2</v>
      </c>
      <c r="Y494" s="163">
        <v>92.682047400000002</v>
      </c>
      <c r="Z494" s="163">
        <v>7.4868390000000003E-3</v>
      </c>
      <c r="AA494" s="163">
        <v>3.3150718431000001</v>
      </c>
      <c r="AB494" s="163">
        <v>3.3001817481</v>
      </c>
      <c r="AC494" s="163">
        <v>1.3607189190000001E-2</v>
      </c>
      <c r="AD494" s="163">
        <v>1.2829113599999999E-3</v>
      </c>
      <c r="AE494" s="163">
        <v>7.8107336699999998E-7</v>
      </c>
      <c r="AF494" s="163">
        <v>1.2482505E-2</v>
      </c>
      <c r="AG494" s="163">
        <v>3.4632532799999998E-5</v>
      </c>
      <c r="AH494" s="163">
        <v>2.8897329300000001E-3</v>
      </c>
      <c r="AI494" s="163">
        <v>3.3662059799999998E-2</v>
      </c>
      <c r="AJ494" s="163">
        <v>1.2098522699999999E-2</v>
      </c>
      <c r="AK494" s="163">
        <v>7.2195510000000004E-5</v>
      </c>
      <c r="AL494" s="163">
        <v>52.307882313</v>
      </c>
      <c r="AM494" s="163">
        <v>0.28570883850000001</v>
      </c>
      <c r="AN494" s="163">
        <v>2.8544027399999998E-7</v>
      </c>
      <c r="AO494" s="163">
        <v>0.22308385950000001</v>
      </c>
      <c r="AP494" s="163">
        <v>50.61443379</v>
      </c>
      <c r="AQ494" s="163">
        <v>1.35209877E-9</v>
      </c>
      <c r="AR494" s="163">
        <v>4.3221490799999998E-8</v>
      </c>
      <c r="AS494" s="163">
        <v>98.528772599999996</v>
      </c>
      <c r="AT494" s="163">
        <v>8.065825212</v>
      </c>
      <c r="AU494" s="163">
        <v>0</v>
      </c>
      <c r="AV494" s="313">
        <v>8.6963547624000004</v>
      </c>
      <c r="AW494" s="315">
        <v>0.70667511750000001</v>
      </c>
      <c r="AX494" s="315">
        <v>9.926829900000001E-4</v>
      </c>
      <c r="AY494" s="313">
        <v>55.561210727999999</v>
      </c>
      <c r="AZ494" s="163">
        <v>0</v>
      </c>
      <c r="BA494" s="163">
        <v>0</v>
      </c>
      <c r="BB494" s="163">
        <v>0</v>
      </c>
      <c r="BC494" s="163">
        <v>8.7338241000000007E-3</v>
      </c>
      <c r="BD494" s="163">
        <v>1.5376752299999999E-4</v>
      </c>
      <c r="BE494" s="163">
        <v>5.5583861609999996</v>
      </c>
      <c r="BF494" s="163">
        <v>3.4865666099999999E-4</v>
      </c>
      <c r="BG494" s="163">
        <v>0</v>
      </c>
      <c r="BH494" s="163">
        <v>0</v>
      </c>
      <c r="BI494" s="163">
        <v>0</v>
      </c>
      <c r="BJ494" s="163">
        <v>0</v>
      </c>
      <c r="BK494" s="163">
        <v>0</v>
      </c>
      <c r="BL494" s="62">
        <v>0</v>
      </c>
      <c r="BM494" s="275">
        <v>2</v>
      </c>
      <c r="BN494" s="62">
        <v>0</v>
      </c>
      <c r="BO494" s="33" t="s">
        <v>526</v>
      </c>
    </row>
    <row r="495" spans="1:67">
      <c r="A495" s="33" t="str">
        <f>Database_Productkaarten[[#This Row],[Product]]&amp;", "&amp;Database_Productkaarten[[#This Row],[Levensfase]]</f>
        <v>AC surf rood, met penbitumen - PCR 2.0, C3</v>
      </c>
      <c r="B495" s="33" t="s">
        <v>241</v>
      </c>
      <c r="C495" s="33" t="s">
        <v>483</v>
      </c>
      <c r="D495" s="33" t="s">
        <v>494</v>
      </c>
      <c r="E495" s="33" t="s">
        <v>378</v>
      </c>
      <c r="F495" s="33" t="s">
        <v>85</v>
      </c>
      <c r="L495" s="33">
        <v>2.35</v>
      </c>
      <c r="M495" s="269">
        <v>1</v>
      </c>
      <c r="N495" s="211">
        <v>0.15929996473591981</v>
      </c>
      <c r="O495" s="33">
        <v>14</v>
      </c>
      <c r="P495" s="163">
        <v>1.8651950713244801E-6</v>
      </c>
      <c r="Q495" s="163">
        <v>7.9345026941549691E-3</v>
      </c>
      <c r="R495" s="163">
        <v>1.61366519035681</v>
      </c>
      <c r="S495" s="163">
        <v>2.08525009189398E-7</v>
      </c>
      <c r="T495" s="163">
        <v>5.85592828702369E-4</v>
      </c>
      <c r="U495" s="163">
        <v>5.7290956066442201E-3</v>
      </c>
      <c r="V495" s="163">
        <v>1.28200094245903E-3</v>
      </c>
      <c r="W495" s="163">
        <v>0.43705340623688499</v>
      </c>
      <c r="X495" s="163">
        <v>6.1895127513903504E-3</v>
      </c>
      <c r="Y495" s="163">
        <v>21.505828958682301</v>
      </c>
      <c r="Z495" s="163">
        <v>7.3298666141623605E-4</v>
      </c>
      <c r="AA495" s="163">
        <v>1.6243260238538799</v>
      </c>
      <c r="AB495" s="163">
        <v>1.62385992159343</v>
      </c>
      <c r="AC495" s="163">
        <v>3.7124416355189703E-4</v>
      </c>
      <c r="AD495" s="163">
        <v>9.4858096900976398E-5</v>
      </c>
      <c r="AE495" s="163">
        <v>2.6274974746326702E-7</v>
      </c>
      <c r="AF495" s="163">
        <v>7.9167720598654692E-3</v>
      </c>
      <c r="AG495" s="163">
        <v>4.4318244693854002E-6</v>
      </c>
      <c r="AH495" s="163">
        <v>3.3042609377682999E-3</v>
      </c>
      <c r="AI495" s="163">
        <v>3.6283310992491297E-2</v>
      </c>
      <c r="AJ495" s="163">
        <v>9.6537099767995006E-3</v>
      </c>
      <c r="AK495" s="163">
        <v>1.8651804349157501E-6</v>
      </c>
      <c r="AL495" s="163">
        <v>16.741316408444298</v>
      </c>
      <c r="AM495" s="163">
        <v>2.22966988088222E-2</v>
      </c>
      <c r="AN495" s="163">
        <v>3.0576571351828497E-8</v>
      </c>
      <c r="AO495" s="163">
        <v>7.1855284946809997E-2</v>
      </c>
      <c r="AP495" s="163">
        <v>10.045649844041399</v>
      </c>
      <c r="AQ495" s="163">
        <v>3.5242587692503702E-10</v>
      </c>
      <c r="AR495" s="163">
        <v>7.5755651521538797E-9</v>
      </c>
      <c r="AS495" s="163">
        <v>2.1383382131672199</v>
      </c>
      <c r="AT495" s="163">
        <v>0</v>
      </c>
      <c r="AU495" s="163">
        <v>0</v>
      </c>
      <c r="AV495" s="313">
        <v>9.2018591697264202E-2</v>
      </c>
      <c r="AW495" s="315">
        <v>0</v>
      </c>
      <c r="AX495" s="315">
        <v>0</v>
      </c>
      <c r="AY495" s="313">
        <v>17.7787485257188</v>
      </c>
      <c r="AZ495" s="163">
        <v>0</v>
      </c>
      <c r="BA495" s="163">
        <v>0</v>
      </c>
      <c r="BB495" s="163">
        <v>0</v>
      </c>
      <c r="BC495" s="163">
        <v>8.6541506101166395E-4</v>
      </c>
      <c r="BD495" s="163">
        <v>4.55910751173578E-5</v>
      </c>
      <c r="BE495" s="163">
        <v>1.9809525593128902E-2</v>
      </c>
      <c r="BF495" s="163">
        <v>1.16353047458209E-4</v>
      </c>
      <c r="BG495" s="163">
        <v>0</v>
      </c>
      <c r="BH495" s="163">
        <v>1000</v>
      </c>
      <c r="BI495" s="163">
        <v>0</v>
      </c>
      <c r="BJ495" s="163">
        <v>0</v>
      </c>
      <c r="BK495" s="163">
        <v>0</v>
      </c>
      <c r="BL495" s="62">
        <v>0</v>
      </c>
      <c r="BM495" s="275">
        <v>2</v>
      </c>
      <c r="BN495" s="62">
        <v>0</v>
      </c>
      <c r="BO495" s="33" t="s">
        <v>526</v>
      </c>
    </row>
    <row r="496" spans="1:67">
      <c r="A496" s="33" t="str">
        <f>Database_Productkaarten[[#This Row],[Product]]&amp;", "&amp;Database_Productkaarten[[#This Row],[Levensfase]]</f>
        <v>AC surf rood, met penbitumen - PCR 2.0, C4</v>
      </c>
      <c r="B496" s="33" t="s">
        <v>241</v>
      </c>
      <c r="C496" s="33" t="s">
        <v>483</v>
      </c>
      <c r="D496" s="33" t="s">
        <v>494</v>
      </c>
      <c r="E496" s="33" t="s">
        <v>378</v>
      </c>
      <c r="F496" s="33" t="s">
        <v>86</v>
      </c>
      <c r="L496" s="33">
        <v>2.35</v>
      </c>
      <c r="M496" s="269">
        <v>1</v>
      </c>
      <c r="N496" s="211">
        <v>0</v>
      </c>
      <c r="O496" s="33">
        <v>14</v>
      </c>
      <c r="P496" s="163">
        <v>0</v>
      </c>
      <c r="Q496" s="163">
        <v>0</v>
      </c>
      <c r="R496" s="163">
        <v>0</v>
      </c>
      <c r="S496" s="163">
        <v>0</v>
      </c>
      <c r="T496" s="163">
        <v>0</v>
      </c>
      <c r="U496" s="163">
        <v>0</v>
      </c>
      <c r="V496" s="163">
        <v>0</v>
      </c>
      <c r="W496" s="163">
        <v>0</v>
      </c>
      <c r="X496" s="163">
        <v>0</v>
      </c>
      <c r="Y496" s="163">
        <v>0</v>
      </c>
      <c r="Z496" s="163">
        <v>0</v>
      </c>
      <c r="AA496" s="163">
        <v>0</v>
      </c>
      <c r="AB496" s="163">
        <v>0</v>
      </c>
      <c r="AC496" s="163">
        <v>0</v>
      </c>
      <c r="AD496" s="163">
        <v>0</v>
      </c>
      <c r="AE496" s="163">
        <v>0</v>
      </c>
      <c r="AF496" s="163">
        <v>0</v>
      </c>
      <c r="AG496" s="163">
        <v>0</v>
      </c>
      <c r="AH496" s="163">
        <v>0</v>
      </c>
      <c r="AI496" s="163">
        <v>0</v>
      </c>
      <c r="AJ496" s="163">
        <v>0</v>
      </c>
      <c r="AK496" s="163">
        <v>0</v>
      </c>
      <c r="AL496" s="163">
        <v>0</v>
      </c>
      <c r="AM496" s="163">
        <v>0</v>
      </c>
      <c r="AN496" s="163">
        <v>0</v>
      </c>
      <c r="AO496" s="163">
        <v>0</v>
      </c>
      <c r="AP496" s="163">
        <v>0</v>
      </c>
      <c r="AQ496" s="163">
        <v>0</v>
      </c>
      <c r="AR496" s="163">
        <v>0</v>
      </c>
      <c r="AS496" s="163">
        <v>0</v>
      </c>
      <c r="AT496" s="163">
        <v>0</v>
      </c>
      <c r="AU496" s="163">
        <v>0</v>
      </c>
      <c r="AV496" s="313">
        <v>0</v>
      </c>
      <c r="AW496" s="315">
        <v>0</v>
      </c>
      <c r="AX496" s="315">
        <v>0</v>
      </c>
      <c r="AY496" s="313">
        <v>0</v>
      </c>
      <c r="AZ496" s="163">
        <v>0</v>
      </c>
      <c r="BA496" s="163">
        <v>0</v>
      </c>
      <c r="BB496" s="163">
        <v>0</v>
      </c>
      <c r="BC496" s="163">
        <v>0</v>
      </c>
      <c r="BD496" s="163">
        <v>0</v>
      </c>
      <c r="BE496" s="163">
        <v>0</v>
      </c>
      <c r="BF496" s="163">
        <v>0</v>
      </c>
      <c r="BG496" s="163">
        <v>0</v>
      </c>
      <c r="BH496" s="163">
        <v>0</v>
      </c>
      <c r="BI496" s="163">
        <v>0</v>
      </c>
      <c r="BJ496" s="163">
        <v>0</v>
      </c>
      <c r="BK496" s="163">
        <v>0</v>
      </c>
      <c r="BL496" s="62">
        <v>0</v>
      </c>
      <c r="BM496" s="275">
        <v>2</v>
      </c>
      <c r="BN496" s="62">
        <v>0</v>
      </c>
      <c r="BO496" s="33" t="s">
        <v>526</v>
      </c>
    </row>
    <row r="497" spans="1:67">
      <c r="A497" s="33" t="str">
        <f>Database_Productkaarten[[#This Row],[Product]]&amp;", "&amp;Database_Productkaarten[[#This Row],[Levensfase]]</f>
        <v>AC surf rood, met penbitumen - PCR 2.0, D</v>
      </c>
      <c r="B497" s="33" t="s">
        <v>241</v>
      </c>
      <c r="C497" s="33" t="s">
        <v>483</v>
      </c>
      <c r="D497" s="33" t="s">
        <v>494</v>
      </c>
      <c r="E497" s="33" t="s">
        <v>378</v>
      </c>
      <c r="F497" s="33" t="s">
        <v>89</v>
      </c>
      <c r="L497" s="33">
        <v>2.35</v>
      </c>
      <c r="M497" s="269">
        <v>1</v>
      </c>
      <c r="N497" s="211">
        <v>-4.3679865550339212</v>
      </c>
      <c r="O497" s="33">
        <v>14</v>
      </c>
      <c r="P497" s="163">
        <v>-4.9038813410892505E-4</v>
      </c>
      <c r="Q497" s="163">
        <v>-0.74558617451407905</v>
      </c>
      <c r="R497" s="163">
        <v>-32.476786361063098</v>
      </c>
      <c r="S497" s="163">
        <v>-2.7847203902159399E-6</v>
      </c>
      <c r="T497" s="163">
        <v>-8.0189532035194203E-2</v>
      </c>
      <c r="U497" s="163">
        <v>-0.229417962054838</v>
      </c>
      <c r="V497" s="163">
        <v>-2.18873343224661E-2</v>
      </c>
      <c r="W497" s="163">
        <v>-8.9008105502502506</v>
      </c>
      <c r="X497" s="163">
        <v>-1.15579790439881</v>
      </c>
      <c r="Y497" s="163">
        <v>-5047.7740662959404</v>
      </c>
      <c r="Z497" s="163">
        <v>-0.15217051448890201</v>
      </c>
      <c r="AA497" s="163">
        <v>-8.6996419367411697</v>
      </c>
      <c r="AB497" s="163">
        <v>-8.5956686526913408</v>
      </c>
      <c r="AC497" s="163">
        <v>-9.3379173179814506E-2</v>
      </c>
      <c r="AD497" s="163">
        <v>-1.0594110870008E-2</v>
      </c>
      <c r="AE497" s="163">
        <v>-1.13959397918397E-6</v>
      </c>
      <c r="AF497" s="163">
        <v>-8.4050570593312904E-2</v>
      </c>
      <c r="AG497" s="163">
        <v>-3.6733849166316801E-4</v>
      </c>
      <c r="AH497" s="163">
        <v>-2.48281595268793E-2</v>
      </c>
      <c r="AI497" s="163">
        <v>-0.31243681480545799</v>
      </c>
      <c r="AJ497" s="163">
        <v>-7.7086420411218201E-2</v>
      </c>
      <c r="AK497" s="163">
        <v>-4.8699678439713401E-4</v>
      </c>
      <c r="AL497" s="163">
        <v>-125.345592262531</v>
      </c>
      <c r="AM497" s="163">
        <v>-30.720181869515699</v>
      </c>
      <c r="AN497" s="163">
        <v>-1.1872978138979001E-6</v>
      </c>
      <c r="AO497" s="163">
        <v>-0.67077370792608004</v>
      </c>
      <c r="AP497" s="163">
        <v>-1140.6084636539199</v>
      </c>
      <c r="AQ497" s="163">
        <v>-6.3431836656495896E-9</v>
      </c>
      <c r="AR497" s="163">
        <v>-1.4494123869013599E-7</v>
      </c>
      <c r="AS497" s="163">
        <v>-1407.4485181907</v>
      </c>
      <c r="AT497" s="163">
        <v>0</v>
      </c>
      <c r="AU497" s="163">
        <v>0</v>
      </c>
      <c r="AV497" s="313">
        <v>-16.262676048737902</v>
      </c>
      <c r="AW497" s="315">
        <v>0</v>
      </c>
      <c r="AX497" s="315">
        <v>0</v>
      </c>
      <c r="AY497" s="313">
        <v>-1683.87225374575</v>
      </c>
      <c r="AZ497" s="163">
        <v>0</v>
      </c>
      <c r="BA497" s="163">
        <v>0</v>
      </c>
      <c r="BB497" s="163">
        <v>0</v>
      </c>
      <c r="BC497" s="163">
        <v>-17.9984712278</v>
      </c>
      <c r="BD497" s="163">
        <v>-7.7956597665308899E-4</v>
      </c>
      <c r="BE497" s="163">
        <v>-3.0846445666660398</v>
      </c>
      <c r="BF497" s="163">
        <v>-9.1037909028401302E-4</v>
      </c>
      <c r="BG497" s="163">
        <v>0</v>
      </c>
      <c r="BH497" s="163">
        <v>0</v>
      </c>
      <c r="BI497" s="163">
        <v>0</v>
      </c>
      <c r="BJ497" s="163">
        <v>0</v>
      </c>
      <c r="BK497" s="163">
        <v>0</v>
      </c>
      <c r="BL497" s="62">
        <v>0</v>
      </c>
      <c r="BM497" s="275">
        <v>2</v>
      </c>
      <c r="BN497" s="62">
        <v>0</v>
      </c>
      <c r="BO497" s="33" t="s">
        <v>526</v>
      </c>
    </row>
    <row r="498" spans="1:67">
      <c r="A498" s="33" t="str">
        <f>Database_Productkaarten[[#This Row],[Product]]&amp;", "&amp;Database_Productkaarten[[#This Row],[Levensfase]]</f>
        <v>AC surf rood, met blank bindmiddel - PCR 2.0, Totaal</v>
      </c>
      <c r="B498" s="33" t="s">
        <v>532</v>
      </c>
      <c r="C498" s="33" t="s">
        <v>483</v>
      </c>
      <c r="D498" s="33" t="s">
        <v>494</v>
      </c>
      <c r="E498" s="33" t="s">
        <v>378</v>
      </c>
      <c r="F498" s="33" t="s">
        <v>90</v>
      </c>
      <c r="L498" s="33">
        <v>2.35</v>
      </c>
      <c r="M498" s="269">
        <v>1</v>
      </c>
      <c r="N498" s="41">
        <f>SUM(N499:N514)</f>
        <v>88.953254494014345</v>
      </c>
      <c r="O498" s="33">
        <v>14</v>
      </c>
      <c r="P498" s="40">
        <f>SUM(P499:P514)</f>
        <v>1.5385364376360119E-2</v>
      </c>
      <c r="Q498" s="40">
        <f t="shared" ref="Q498:BK498" si="55">SUM(Q499:Q514)</f>
        <v>5.2852808833664291</v>
      </c>
      <c r="R498" s="40">
        <f t="shared" si="55"/>
        <v>551.65189322057745</v>
      </c>
      <c r="S498" s="40">
        <f t="shared" si="55"/>
        <v>1.1364674874763115E-4</v>
      </c>
      <c r="T498" s="40">
        <f t="shared" si="55"/>
        <v>0.47833728926787633</v>
      </c>
      <c r="U498" s="40">
        <f t="shared" si="55"/>
        <v>2.4508707111111465</v>
      </c>
      <c r="V498" s="40">
        <f t="shared" si="55"/>
        <v>0.57501411777945255</v>
      </c>
      <c r="W498" s="40">
        <f t="shared" si="55"/>
        <v>475.04742177079265</v>
      </c>
      <c r="X498" s="40">
        <f t="shared" si="55"/>
        <v>6.8692421403997637</v>
      </c>
      <c r="Y498" s="40">
        <f t="shared" si="55"/>
        <v>15792.890363718774</v>
      </c>
      <c r="Z498" s="40">
        <f t="shared" si="55"/>
        <v>0.73708479889293654</v>
      </c>
      <c r="AA498" s="40">
        <f t="shared" si="55"/>
        <v>593.44633239613358</v>
      </c>
      <c r="AB498" s="40">
        <f t="shared" si="55"/>
        <v>591.56121181062053</v>
      </c>
      <c r="AC498" s="40">
        <f t="shared" si="55"/>
        <v>1.5676116360839862</v>
      </c>
      <c r="AD498" s="40">
        <f t="shared" si="55"/>
        <v>0.31750893277987147</v>
      </c>
      <c r="AE498" s="40">
        <f t="shared" si="55"/>
        <v>1.2511195518718137E-4</v>
      </c>
      <c r="AF498" s="40">
        <f t="shared" si="55"/>
        <v>3.1629573903457544</v>
      </c>
      <c r="AG498" s="40">
        <f t="shared" si="55"/>
        <v>1.3629083921820558E-2</v>
      </c>
      <c r="AH498" s="40">
        <f t="shared" si="55"/>
        <v>0.61519999873363618</v>
      </c>
      <c r="AI498" s="40">
        <f t="shared" si="55"/>
        <v>7.1143611766018058</v>
      </c>
      <c r="AJ498" s="40">
        <f t="shared" si="55"/>
        <v>2.5147976376482286</v>
      </c>
      <c r="AK498" s="40">
        <f t="shared" si="55"/>
        <v>1.5387731787370858E-2</v>
      </c>
      <c r="AL498" s="40">
        <f t="shared" si="55"/>
        <v>11561.719214510727</v>
      </c>
      <c r="AM498" s="40">
        <f t="shared" si="55"/>
        <v>278.5344479648769</v>
      </c>
      <c r="AN498" s="40">
        <f t="shared" si="55"/>
        <v>2.5791084952858398E-5</v>
      </c>
      <c r="AO498" s="40">
        <f t="shared" si="55"/>
        <v>28.375986166564736</v>
      </c>
      <c r="AP498" s="40">
        <f t="shared" si="55"/>
        <v>17837.643491747669</v>
      </c>
      <c r="AQ498" s="40">
        <f t="shared" si="55"/>
        <v>4.0483364262825147E-7</v>
      </c>
      <c r="AR498" s="40">
        <f t="shared" si="55"/>
        <v>1.2863807723276947E-5</v>
      </c>
      <c r="AS498" s="40">
        <f t="shared" si="55"/>
        <v>4952.6038867505313</v>
      </c>
      <c r="AT498" s="40">
        <f t="shared" si="55"/>
        <v>8.065825212</v>
      </c>
      <c r="AU498" s="40">
        <f t="shared" si="55"/>
        <v>0</v>
      </c>
      <c r="AV498" s="313">
        <f t="shared" si="55"/>
        <v>365.46373338213351</v>
      </c>
      <c r="AW498" s="317">
        <f t="shared" si="55"/>
        <v>0.70667511750000001</v>
      </c>
      <c r="AX498" s="317">
        <f t="shared" si="55"/>
        <v>9.926829900000001E-4</v>
      </c>
      <c r="AY498" s="313">
        <f t="shared" si="55"/>
        <v>11275.988151258993</v>
      </c>
      <c r="AZ498" s="40">
        <f t="shared" si="55"/>
        <v>0</v>
      </c>
      <c r="BA498" s="40">
        <f t="shared" si="55"/>
        <v>0</v>
      </c>
      <c r="BB498" s="40">
        <f t="shared" si="55"/>
        <v>0</v>
      </c>
      <c r="BC498" s="40">
        <f t="shared" si="55"/>
        <v>-5.0392936736808895</v>
      </c>
      <c r="BD498" s="40">
        <f t="shared" si="55"/>
        <v>1.4004017966943162E-2</v>
      </c>
      <c r="BE498" s="40">
        <f t="shared" si="55"/>
        <v>70.213465330939272</v>
      </c>
      <c r="BF498" s="40">
        <f t="shared" si="55"/>
        <v>3.7836772388023299E-2</v>
      </c>
      <c r="BG498" s="40">
        <f t="shared" si="55"/>
        <v>0</v>
      </c>
      <c r="BH498" s="40">
        <f t="shared" si="55"/>
        <v>1000</v>
      </c>
      <c r="BI498" s="40">
        <f t="shared" si="55"/>
        <v>0</v>
      </c>
      <c r="BJ498" s="40">
        <f t="shared" si="55"/>
        <v>0</v>
      </c>
      <c r="BK498" s="40">
        <f t="shared" si="55"/>
        <v>0</v>
      </c>
      <c r="BL498" s="62">
        <v>0</v>
      </c>
      <c r="BM498" s="275">
        <v>2</v>
      </c>
      <c r="BN498" s="62">
        <v>0</v>
      </c>
      <c r="BO498" s="33" t="s">
        <v>526</v>
      </c>
    </row>
    <row r="499" spans="1:67">
      <c r="A499" s="33" t="str">
        <f>Database_Productkaarten[[#This Row],[Product]]&amp;", "&amp;Database_Productkaarten[[#This Row],[Levensfase]]</f>
        <v>AC surf rood, met blank bindmiddel - PCR 2.0, A1</v>
      </c>
      <c r="B499" s="33" t="s">
        <v>532</v>
      </c>
      <c r="C499" s="33" t="s">
        <v>483</v>
      </c>
      <c r="D499" s="33" t="s">
        <v>494</v>
      </c>
      <c r="E499" s="33" t="s">
        <v>378</v>
      </c>
      <c r="F499" s="33" t="s">
        <v>74</v>
      </c>
      <c r="L499" s="33">
        <v>2.35</v>
      </c>
      <c r="M499" s="269">
        <v>1</v>
      </c>
      <c r="N499" s="211">
        <v>40.454523586146678</v>
      </c>
      <c r="O499" s="33">
        <v>14</v>
      </c>
      <c r="P499" s="163">
        <v>7.45255093554108E-3</v>
      </c>
      <c r="Q499" s="163">
        <v>2.5084580365434999</v>
      </c>
      <c r="R499" s="163">
        <v>233.337590190957</v>
      </c>
      <c r="S499" s="163">
        <v>5.0278681620456199E-5</v>
      </c>
      <c r="T499" s="163">
        <v>0.244324446872178</v>
      </c>
      <c r="U499" s="163">
        <v>1.0602682428122201</v>
      </c>
      <c r="V499" s="163">
        <v>0.25105569475824302</v>
      </c>
      <c r="W499" s="163">
        <v>227.02032798145299</v>
      </c>
      <c r="X499" s="163">
        <v>3.3110870329506801</v>
      </c>
      <c r="Y499" s="163">
        <v>8417.3552146094007</v>
      </c>
      <c r="Z499" s="163">
        <v>0.35782089259858602</v>
      </c>
      <c r="AA499" s="163">
        <v>245.09287259228799</v>
      </c>
      <c r="AB499" s="163">
        <v>244.23086841854899</v>
      </c>
      <c r="AC499" s="163">
        <v>0.73174213419100598</v>
      </c>
      <c r="AD499" s="163">
        <v>0.13026203954837201</v>
      </c>
      <c r="AE499" s="163">
        <v>5.3860037069453602E-5</v>
      </c>
      <c r="AF499" s="163">
        <v>1.2835157056091899</v>
      </c>
      <c r="AG499" s="163">
        <v>6.3928272466249499E-3</v>
      </c>
      <c r="AH499" s="163">
        <v>0.20295735072778001</v>
      </c>
      <c r="AI499" s="163">
        <v>2.4137618491723498</v>
      </c>
      <c r="AJ499" s="163">
        <v>0.94769318402782199</v>
      </c>
      <c r="AK499" s="163">
        <v>7.4525317998899504E-3</v>
      </c>
      <c r="AL499" s="163">
        <v>5040.2158237261301</v>
      </c>
      <c r="AM499" s="163">
        <v>156.67904485901499</v>
      </c>
      <c r="AN499" s="163">
        <v>1.16721772138543E-5</v>
      </c>
      <c r="AO499" s="163">
        <v>12.378970981120601</v>
      </c>
      <c r="AP499" s="163">
        <v>8902.2217516778492</v>
      </c>
      <c r="AQ499" s="163">
        <v>1.8817721901458501E-7</v>
      </c>
      <c r="AR499" s="163">
        <v>6.1141707740678896E-6</v>
      </c>
      <c r="AS499" s="163">
        <v>2635.3157247957702</v>
      </c>
      <c r="AT499" s="163">
        <v>0</v>
      </c>
      <c r="AU499" s="163">
        <v>0</v>
      </c>
      <c r="AV499" s="313">
        <v>171.24813385290301</v>
      </c>
      <c r="AW499" s="315">
        <v>0</v>
      </c>
      <c r="AX499" s="315">
        <v>0</v>
      </c>
      <c r="AY499" s="313">
        <v>5390.4793942737097</v>
      </c>
      <c r="AZ499" s="163">
        <v>0</v>
      </c>
      <c r="BA499" s="163">
        <v>0</v>
      </c>
      <c r="BB499" s="163">
        <v>0</v>
      </c>
      <c r="BC499" s="163">
        <v>4.0091204710621096</v>
      </c>
      <c r="BD499" s="163">
        <v>5.8091527785037499E-3</v>
      </c>
      <c r="BE499" s="163">
        <v>21.081752026485301</v>
      </c>
      <c r="BF499" s="163">
        <v>1.6136291901317198E-2</v>
      </c>
      <c r="BG499" s="163">
        <v>0</v>
      </c>
      <c r="BH499" s="163">
        <v>0</v>
      </c>
      <c r="BI499" s="163">
        <v>0</v>
      </c>
      <c r="BJ499" s="163">
        <v>0</v>
      </c>
      <c r="BK499" s="163">
        <v>0</v>
      </c>
      <c r="BL499" s="62">
        <v>0</v>
      </c>
      <c r="BM499" s="275">
        <v>2</v>
      </c>
      <c r="BN499" s="62">
        <v>0</v>
      </c>
      <c r="BO499" s="33" t="s">
        <v>526</v>
      </c>
    </row>
    <row r="500" spans="1:67">
      <c r="A500" s="33" t="str">
        <f>Database_Productkaarten[[#This Row],[Product]]&amp;", "&amp;Database_Productkaarten[[#This Row],[Levensfase]]</f>
        <v>AC surf rood, met blank bindmiddel - PCR 2.0, A2</v>
      </c>
      <c r="B500" s="33" t="s">
        <v>532</v>
      </c>
      <c r="C500" s="33" t="s">
        <v>483</v>
      </c>
      <c r="D500" s="33" t="s">
        <v>494</v>
      </c>
      <c r="E500" s="33" t="s">
        <v>378</v>
      </c>
      <c r="F500" s="33" t="s">
        <v>75</v>
      </c>
      <c r="L500" s="33">
        <v>2.35</v>
      </c>
      <c r="M500" s="269">
        <v>1</v>
      </c>
      <c r="N500" s="211">
        <v>3.2797604854371198</v>
      </c>
      <c r="O500" s="33">
        <v>14</v>
      </c>
      <c r="P500" s="163">
        <v>3.4825448000623999E-4</v>
      </c>
      <c r="Q500" s="163">
        <v>0.16168302962502801</v>
      </c>
      <c r="R500" s="163">
        <v>24.570742274402299</v>
      </c>
      <c r="S500" s="163">
        <v>3.8688501906888998E-6</v>
      </c>
      <c r="T500" s="163">
        <v>1.6675291689712501E-2</v>
      </c>
      <c r="U500" s="163">
        <v>0.20501264723754101</v>
      </c>
      <c r="V500" s="163">
        <v>3.6435602835895899E-2</v>
      </c>
      <c r="W500" s="163">
        <v>8.4386422097073694</v>
      </c>
      <c r="X500" s="163">
        <v>0.212686241782548</v>
      </c>
      <c r="Y500" s="163">
        <v>760.14139232112404</v>
      </c>
      <c r="Z500" s="163">
        <v>3.3136292376240398E-2</v>
      </c>
      <c r="AA500" s="163">
        <v>24.826333979183001</v>
      </c>
      <c r="AB500" s="163">
        <v>24.772288960960299</v>
      </c>
      <c r="AC500" s="163">
        <v>2.4470088110264802E-2</v>
      </c>
      <c r="AD500" s="163">
        <v>2.95749301124099E-2</v>
      </c>
      <c r="AE500" s="163">
        <v>4.83219990379531E-6</v>
      </c>
      <c r="AF500" s="163">
        <v>0.27298753624598798</v>
      </c>
      <c r="AG500" s="163">
        <v>2.5840386423627601E-4</v>
      </c>
      <c r="AH500" s="163">
        <v>9.6232852310224506E-2</v>
      </c>
      <c r="AI500" s="163">
        <v>1.06205595434929</v>
      </c>
      <c r="AJ500" s="163">
        <v>0.27967617094559499</v>
      </c>
      <c r="AK500" s="163">
        <v>3.4824662464206E-4</v>
      </c>
      <c r="AL500" s="163">
        <v>335.43296047646999</v>
      </c>
      <c r="AM500" s="163">
        <v>1.31198204861729</v>
      </c>
      <c r="AN500" s="163">
        <v>1.1804826783863099E-6</v>
      </c>
      <c r="AO500" s="163">
        <v>1.4334335701715399</v>
      </c>
      <c r="AP500" s="163">
        <v>288.849604041058</v>
      </c>
      <c r="AQ500" s="163">
        <v>1.16775342170943E-8</v>
      </c>
      <c r="AR500" s="163">
        <v>2.4931188763575801E-7</v>
      </c>
      <c r="AS500" s="163">
        <v>247.46749641076801</v>
      </c>
      <c r="AT500" s="163">
        <v>0</v>
      </c>
      <c r="AU500" s="163">
        <v>0</v>
      </c>
      <c r="AV500" s="313">
        <v>5.8120043186141501</v>
      </c>
      <c r="AW500" s="315">
        <v>0</v>
      </c>
      <c r="AX500" s="315">
        <v>0</v>
      </c>
      <c r="AY500" s="313">
        <v>356.04311834500999</v>
      </c>
      <c r="AZ500" s="163">
        <v>0</v>
      </c>
      <c r="BA500" s="163">
        <v>0</v>
      </c>
      <c r="BB500" s="163">
        <v>0</v>
      </c>
      <c r="BC500" s="163">
        <v>4.9820011985594298E-2</v>
      </c>
      <c r="BD500" s="163">
        <v>8.0332610111392803E-4</v>
      </c>
      <c r="BE500" s="163">
        <v>9.3777223111032004</v>
      </c>
      <c r="BF500" s="163">
        <v>2.2024739846519198E-3</v>
      </c>
      <c r="BG500" s="163">
        <v>0</v>
      </c>
      <c r="BH500" s="163">
        <v>0</v>
      </c>
      <c r="BI500" s="163">
        <v>0</v>
      </c>
      <c r="BJ500" s="163">
        <v>0</v>
      </c>
      <c r="BK500" s="163">
        <v>0</v>
      </c>
      <c r="BL500" s="62">
        <v>0</v>
      </c>
      <c r="BM500" s="275">
        <v>2</v>
      </c>
      <c r="BN500" s="62">
        <v>0</v>
      </c>
      <c r="BO500" s="33" t="s">
        <v>526</v>
      </c>
    </row>
    <row r="501" spans="1:67">
      <c r="A501" s="33" t="str">
        <f>Database_Productkaarten[[#This Row],[Product]]&amp;", "&amp;Database_Productkaarten[[#This Row],[Levensfase]]</f>
        <v>AC surf rood, met blank bindmiddel - PCR 2.0, A3</v>
      </c>
      <c r="B501" s="33" t="s">
        <v>532</v>
      </c>
      <c r="C501" s="33" t="s">
        <v>483</v>
      </c>
      <c r="D501" s="33" t="s">
        <v>494</v>
      </c>
      <c r="E501" s="33" t="s">
        <v>378</v>
      </c>
      <c r="F501" s="33" t="s">
        <v>76</v>
      </c>
      <c r="L501" s="33">
        <v>2.35</v>
      </c>
      <c r="M501" s="269">
        <v>1</v>
      </c>
      <c r="N501" s="211">
        <v>1.6946320820129672</v>
      </c>
      <c r="O501" s="33">
        <v>14</v>
      </c>
      <c r="P501" s="163">
        <v>2.3297942560165799E-5</v>
      </c>
      <c r="Q501" s="163">
        <v>0.20163086983595699</v>
      </c>
      <c r="R501" s="163">
        <v>23.6798293971842</v>
      </c>
      <c r="S501" s="163">
        <v>2.6706489476309799E-6</v>
      </c>
      <c r="T501" s="163">
        <v>3.8188593385687902E-3</v>
      </c>
      <c r="U501" s="163">
        <v>2.34731469141072E-2</v>
      </c>
      <c r="V501" s="163">
        <v>3.9757107753382098E-3</v>
      </c>
      <c r="W501" s="163">
        <v>3.6442086398471498</v>
      </c>
      <c r="X501" s="163">
        <v>2.61542984790155E-2</v>
      </c>
      <c r="Y501" s="163">
        <v>106.749004424522</v>
      </c>
      <c r="Z501" s="163">
        <v>2.57635924348221E-2</v>
      </c>
      <c r="AA501" s="163">
        <v>24.033058648034299</v>
      </c>
      <c r="AB501" s="163">
        <v>23.9757535281326</v>
      </c>
      <c r="AC501" s="163">
        <v>5.5266649534704899E-2</v>
      </c>
      <c r="AD501" s="163">
        <v>2.0384703670165102E-3</v>
      </c>
      <c r="AE501" s="163">
        <v>3.0106730819229198E-6</v>
      </c>
      <c r="AF501" s="163">
        <v>3.01424548162081E-2</v>
      </c>
      <c r="AG501" s="163">
        <v>2.7774050590900399E-4</v>
      </c>
      <c r="AH501" s="163">
        <v>8.3813474838671798E-3</v>
      </c>
      <c r="AI501" s="163">
        <v>9.4852445897240997E-2</v>
      </c>
      <c r="AJ501" s="163">
        <v>2.86847240247672E-2</v>
      </c>
      <c r="AK501" s="163">
        <v>2.3297623342349001E-5</v>
      </c>
      <c r="AL501" s="163">
        <v>371.13608454242802</v>
      </c>
      <c r="AM501" s="163">
        <v>0.55950969194864897</v>
      </c>
      <c r="AN501" s="163">
        <v>1.97870279736264E-7</v>
      </c>
      <c r="AO501" s="163">
        <v>0.27514870629532501</v>
      </c>
      <c r="AP501" s="163">
        <v>79.932868534075396</v>
      </c>
      <c r="AQ501" s="163">
        <v>2.9633658074958402E-9</v>
      </c>
      <c r="AR501" s="163">
        <v>5.1890855858408502E-8</v>
      </c>
      <c r="AS501" s="163">
        <v>16.963086578856</v>
      </c>
      <c r="AT501" s="163">
        <v>0</v>
      </c>
      <c r="AU501" s="163">
        <v>0</v>
      </c>
      <c r="AV501" s="313">
        <v>7.1732553246092898</v>
      </c>
      <c r="AW501" s="315">
        <v>0</v>
      </c>
      <c r="AX501" s="315">
        <v>0</v>
      </c>
      <c r="AY501" s="313">
        <v>409.12654572207202</v>
      </c>
      <c r="AZ501" s="163">
        <v>0</v>
      </c>
      <c r="BA501" s="163">
        <v>0</v>
      </c>
      <c r="BB501" s="163">
        <v>0</v>
      </c>
      <c r="BC501" s="163">
        <v>4.16714704441742E-2</v>
      </c>
      <c r="BD501" s="163">
        <v>4.4996637592279798E-4</v>
      </c>
      <c r="BE501" s="163">
        <v>0.28475139152359302</v>
      </c>
      <c r="BF501" s="163">
        <v>3.4931941697684802E-4</v>
      </c>
      <c r="BG501" s="163">
        <v>0</v>
      </c>
      <c r="BH501" s="163">
        <v>0</v>
      </c>
      <c r="BI501" s="163">
        <v>0</v>
      </c>
      <c r="BJ501" s="163">
        <v>0</v>
      </c>
      <c r="BK501" s="163">
        <v>0</v>
      </c>
      <c r="BL501" s="62">
        <v>0</v>
      </c>
      <c r="BM501" s="275">
        <v>2</v>
      </c>
      <c r="BN501" s="62">
        <v>0</v>
      </c>
      <c r="BO501" s="33" t="s">
        <v>526</v>
      </c>
    </row>
    <row r="502" spans="1:67">
      <c r="A502" s="33" t="str">
        <f>Database_Productkaarten[[#This Row],[Product]]&amp;", "&amp;Database_Productkaarten[[#This Row],[Levensfase]]</f>
        <v>AC surf rood, met blank bindmiddel - PCR 2.0, A1-A3</v>
      </c>
      <c r="B502" s="33" t="str">
        <f>B501</f>
        <v>AC surf rood, met blank bindmiddel - PCR 2.0</v>
      </c>
      <c r="C502" s="33" t="str">
        <f>C501</f>
        <v>Bitumineuze verhardingen</v>
      </c>
      <c r="D502" s="33" t="str">
        <f>D501</f>
        <v>AC surf rood</v>
      </c>
      <c r="E502" s="33" t="str">
        <f>E501</f>
        <v>Ton</v>
      </c>
      <c r="F502" s="33" t="s">
        <v>77</v>
      </c>
      <c r="L502" s="33">
        <f>L501</f>
        <v>2.35</v>
      </c>
      <c r="M502" s="45">
        <f>M501</f>
        <v>1</v>
      </c>
      <c r="N502" s="41">
        <f>SUM(N499:N501)</f>
        <v>45.428916153596766</v>
      </c>
      <c r="O502" s="33">
        <f>O501</f>
        <v>14</v>
      </c>
      <c r="P502" s="40">
        <f>SUM(P499:P501)</f>
        <v>7.8241033581074853E-3</v>
      </c>
      <c r="Q502" s="40">
        <f t="shared" ref="Q502:BK502" si="56">SUM(Q499:Q501)</f>
        <v>2.8717719360044844</v>
      </c>
      <c r="R502" s="40">
        <f t="shared" si="56"/>
        <v>281.58816186254353</v>
      </c>
      <c r="S502" s="40">
        <f t="shared" si="56"/>
        <v>5.6818180758776074E-5</v>
      </c>
      <c r="T502" s="40">
        <f t="shared" si="56"/>
        <v>0.26481859790045931</v>
      </c>
      <c r="U502" s="40">
        <f t="shared" si="56"/>
        <v>1.2887540369638684</v>
      </c>
      <c r="V502" s="40">
        <f t="shared" si="56"/>
        <v>0.29146700836947714</v>
      </c>
      <c r="W502" s="40">
        <f t="shared" si="56"/>
        <v>239.10317883100751</v>
      </c>
      <c r="X502" s="40">
        <f t="shared" si="56"/>
        <v>3.5499275732122433</v>
      </c>
      <c r="Y502" s="40">
        <f t="shared" si="56"/>
        <v>9284.245611355047</v>
      </c>
      <c r="Z502" s="40">
        <f t="shared" si="56"/>
        <v>0.41672077740964852</v>
      </c>
      <c r="AA502" s="40">
        <f t="shared" si="56"/>
        <v>293.95226521950525</v>
      </c>
      <c r="AB502" s="40">
        <f t="shared" si="56"/>
        <v>292.97891090764188</v>
      </c>
      <c r="AC502" s="40">
        <f t="shared" si="56"/>
        <v>0.81147887183597578</v>
      </c>
      <c r="AD502" s="40">
        <f t="shared" si="56"/>
        <v>0.16187544002779844</v>
      </c>
      <c r="AE502" s="40">
        <f t="shared" si="56"/>
        <v>6.1702910055171832E-5</v>
      </c>
      <c r="AF502" s="40">
        <f t="shared" si="56"/>
        <v>1.586645696671386</v>
      </c>
      <c r="AG502" s="40">
        <f t="shared" si="56"/>
        <v>6.9289716167702303E-3</v>
      </c>
      <c r="AH502" s="40">
        <f t="shared" si="56"/>
        <v>0.30757155052187168</v>
      </c>
      <c r="AI502" s="40">
        <f t="shared" si="56"/>
        <v>3.5706702494188804</v>
      </c>
      <c r="AJ502" s="40">
        <f t="shared" si="56"/>
        <v>1.2560540789981842</v>
      </c>
      <c r="AK502" s="40">
        <f t="shared" si="56"/>
        <v>7.82407604787436E-3</v>
      </c>
      <c r="AL502" s="40">
        <f t="shared" si="56"/>
        <v>5746.7848687450278</v>
      </c>
      <c r="AM502" s="40">
        <f t="shared" si="56"/>
        <v>158.55053659958094</v>
      </c>
      <c r="AN502" s="40">
        <f t="shared" si="56"/>
        <v>1.3050530171976874E-5</v>
      </c>
      <c r="AO502" s="40">
        <f t="shared" si="56"/>
        <v>14.087553257587464</v>
      </c>
      <c r="AP502" s="40">
        <f t="shared" si="56"/>
        <v>9271.0042242529817</v>
      </c>
      <c r="AQ502" s="40">
        <f t="shared" si="56"/>
        <v>2.0281811903917513E-7</v>
      </c>
      <c r="AR502" s="40">
        <f t="shared" si="56"/>
        <v>6.4153735175620563E-6</v>
      </c>
      <c r="AS502" s="40">
        <f t="shared" si="56"/>
        <v>2899.746307785394</v>
      </c>
      <c r="AT502" s="40">
        <f t="shared" si="56"/>
        <v>0</v>
      </c>
      <c r="AU502" s="40">
        <f t="shared" si="56"/>
        <v>0</v>
      </c>
      <c r="AV502" s="317">
        <f t="shared" si="56"/>
        <v>184.23339349612647</v>
      </c>
      <c r="AW502" s="317">
        <f t="shared" si="56"/>
        <v>0</v>
      </c>
      <c r="AX502" s="317">
        <f t="shared" si="56"/>
        <v>0</v>
      </c>
      <c r="AY502" s="317">
        <f t="shared" si="56"/>
        <v>6155.6490583407922</v>
      </c>
      <c r="AZ502" s="40">
        <f t="shared" si="56"/>
        <v>0</v>
      </c>
      <c r="BA502" s="40">
        <f t="shared" si="56"/>
        <v>0</v>
      </c>
      <c r="BB502" s="40">
        <f t="shared" si="56"/>
        <v>0</v>
      </c>
      <c r="BC502" s="40">
        <f t="shared" si="56"/>
        <v>4.1006119534918781</v>
      </c>
      <c r="BD502" s="40">
        <f t="shared" si="56"/>
        <v>7.0624452555404756E-3</v>
      </c>
      <c r="BE502" s="40">
        <f t="shared" si="56"/>
        <v>30.744225729112095</v>
      </c>
      <c r="BF502" s="40">
        <f t="shared" si="56"/>
        <v>1.8688085302945967E-2</v>
      </c>
      <c r="BG502" s="40">
        <f t="shared" si="56"/>
        <v>0</v>
      </c>
      <c r="BH502" s="40">
        <f t="shared" si="56"/>
        <v>0</v>
      </c>
      <c r="BI502" s="40">
        <f t="shared" si="56"/>
        <v>0</v>
      </c>
      <c r="BJ502" s="40">
        <f t="shared" si="56"/>
        <v>0</v>
      </c>
      <c r="BK502" s="40">
        <f t="shared" si="56"/>
        <v>0</v>
      </c>
      <c r="BL502" s="62">
        <f>BL501</f>
        <v>0</v>
      </c>
      <c r="BM502" s="275">
        <f>BM501</f>
        <v>2</v>
      </c>
      <c r="BN502" s="62">
        <v>0</v>
      </c>
      <c r="BO502" s="33" t="str">
        <f>BO501</f>
        <v>Ecochain 2022 LCA Achtergrondrapport voor Nederlandse branchereferentiemengsels 2022</v>
      </c>
    </row>
    <row r="503" spans="1:67">
      <c r="A503" s="33" t="str">
        <f>Database_Productkaarten[[#This Row],[Product]]&amp;", "&amp;Database_Productkaarten[[#This Row],[Levensfase]]</f>
        <v>AC surf rood, met blank bindmiddel - PCR 2.0, A4</v>
      </c>
      <c r="B503" s="33" t="s">
        <v>532</v>
      </c>
      <c r="C503" s="33" t="s">
        <v>483</v>
      </c>
      <c r="D503" s="33" t="s">
        <v>494</v>
      </c>
      <c r="E503" s="33" t="s">
        <v>378</v>
      </c>
      <c r="F503" s="33" t="s">
        <v>78</v>
      </c>
      <c r="L503" s="33">
        <v>2.35</v>
      </c>
      <c r="M503" s="269">
        <v>1</v>
      </c>
      <c r="N503" s="211">
        <v>0.37546048090943995</v>
      </c>
      <c r="O503" s="33">
        <v>14</v>
      </c>
      <c r="P503" s="163">
        <v>6.8533509000000002E-5</v>
      </c>
      <c r="Q503" s="163">
        <v>2.9713889699999999E-2</v>
      </c>
      <c r="R503" s="163">
        <v>3.9891474704999998</v>
      </c>
      <c r="S503" s="163">
        <v>7.557213E-7</v>
      </c>
      <c r="T503" s="163">
        <v>2.4773701499999998E-3</v>
      </c>
      <c r="U503" s="163">
        <v>1.36398132E-2</v>
      </c>
      <c r="V503" s="163">
        <v>2.5682192100000001E-3</v>
      </c>
      <c r="W503" s="163">
        <v>0.8608144794</v>
      </c>
      <c r="X503" s="163">
        <v>3.6189873900000002E-2</v>
      </c>
      <c r="Y503" s="163">
        <v>97.376595929999993</v>
      </c>
      <c r="Z503" s="163">
        <v>4.8437180999999999E-3</v>
      </c>
      <c r="AA503" s="163">
        <v>4.0259382761999998</v>
      </c>
      <c r="AB503" s="163">
        <v>4.0229543298000001</v>
      </c>
      <c r="AC503" s="163">
        <v>1.9814632200000001E-3</v>
      </c>
      <c r="AD503" s="163">
        <v>1.0024609799999999E-3</v>
      </c>
      <c r="AE503" s="163">
        <v>9.4976262000000003E-7</v>
      </c>
      <c r="AF503" s="163">
        <v>1.7739576E-2</v>
      </c>
      <c r="AG503" s="163">
        <v>2.7841996800000001E-5</v>
      </c>
      <c r="AH503" s="163">
        <v>5.5484582100000001E-3</v>
      </c>
      <c r="AI503" s="163">
        <v>6.1385308800000003E-2</v>
      </c>
      <c r="AJ503" s="163">
        <v>1.9235744999999999E-2</v>
      </c>
      <c r="AK503" s="163">
        <v>6.8533397999999998E-5</v>
      </c>
      <c r="AL503" s="163">
        <v>62.400806729999999</v>
      </c>
      <c r="AM503" s="163">
        <v>0.212954166</v>
      </c>
      <c r="AN503" s="163">
        <v>2.9338876200000002E-7</v>
      </c>
      <c r="AO503" s="163">
        <v>0.26868483510000002</v>
      </c>
      <c r="AP503" s="163">
        <v>45.56587296</v>
      </c>
      <c r="AQ503" s="163">
        <v>1.16371179E-9</v>
      </c>
      <c r="AR503" s="163">
        <v>3.8268015899999999E-8</v>
      </c>
      <c r="AS503" s="163">
        <v>71.806844609999999</v>
      </c>
      <c r="AT503" s="163">
        <v>0</v>
      </c>
      <c r="AU503" s="163">
        <v>0</v>
      </c>
      <c r="AV503" s="313">
        <v>0.63474917099999995</v>
      </c>
      <c r="AW503" s="315">
        <v>0</v>
      </c>
      <c r="AX503" s="315">
        <v>0</v>
      </c>
      <c r="AY503" s="313">
        <v>66.265108560000002</v>
      </c>
      <c r="AZ503" s="163">
        <v>0</v>
      </c>
      <c r="BA503" s="163">
        <v>0</v>
      </c>
      <c r="BB503" s="163">
        <v>0</v>
      </c>
      <c r="BC503" s="163">
        <v>6.7467797999999999E-3</v>
      </c>
      <c r="BD503" s="163">
        <v>1.54707915E-4</v>
      </c>
      <c r="BE503" s="163">
        <v>5.4635493149999999</v>
      </c>
      <c r="BF503" s="163">
        <v>4.25149758E-4</v>
      </c>
      <c r="BG503" s="163">
        <v>0</v>
      </c>
      <c r="BH503" s="163">
        <v>0</v>
      </c>
      <c r="BI503" s="163">
        <v>0</v>
      </c>
      <c r="BJ503" s="163">
        <v>0</v>
      </c>
      <c r="BK503" s="163">
        <v>0</v>
      </c>
      <c r="BL503" s="62">
        <v>0</v>
      </c>
      <c r="BM503" s="275">
        <v>2</v>
      </c>
      <c r="BN503" s="62">
        <v>0</v>
      </c>
      <c r="BO503" s="33" t="s">
        <v>526</v>
      </c>
    </row>
    <row r="504" spans="1:67">
      <c r="A504" s="33" t="str">
        <f>Database_Productkaarten[[#This Row],[Product]]&amp;", "&amp;Database_Productkaarten[[#This Row],[Levensfase]]</f>
        <v>AC surf rood, met blank bindmiddel - PCR 2.0, A5</v>
      </c>
      <c r="B504" s="33" t="s">
        <v>532</v>
      </c>
      <c r="C504" s="33" t="s">
        <v>483</v>
      </c>
      <c r="D504" s="33" t="s">
        <v>494</v>
      </c>
      <c r="E504" s="33" t="s">
        <v>378</v>
      </c>
      <c r="F504" s="33" t="s">
        <v>79</v>
      </c>
      <c r="L504" s="33">
        <v>2.35</v>
      </c>
      <c r="M504" s="269">
        <v>1</v>
      </c>
      <c r="N504" s="211">
        <v>0.25970533389165884</v>
      </c>
      <c r="O504" s="33">
        <v>14</v>
      </c>
      <c r="P504" s="163">
        <v>2.9238192915063199E-6</v>
      </c>
      <c r="Q504" s="163">
        <v>1.24378690995773E-2</v>
      </c>
      <c r="R504" s="163">
        <v>2.5295292180725801</v>
      </c>
      <c r="S504" s="163">
        <v>3.2687704163110999E-7</v>
      </c>
      <c r="T504" s="163">
        <v>9.41170695911211E-4</v>
      </c>
      <c r="U504" s="163">
        <v>1.04973944694028E-2</v>
      </c>
      <c r="V504" s="163">
        <v>2.40395209926291E-3</v>
      </c>
      <c r="W504" s="163">
        <v>0.688776143249339</v>
      </c>
      <c r="X504" s="163">
        <v>9.7024794599566509E-3</v>
      </c>
      <c r="Y504" s="163">
        <v>33.711840032408297</v>
      </c>
      <c r="Z504" s="163">
        <v>1.1490061246999599E-3</v>
      </c>
      <c r="AA504" s="163">
        <v>2.54822762994249</v>
      </c>
      <c r="AB504" s="163">
        <v>2.5474969831504999</v>
      </c>
      <c r="AC504" s="163">
        <v>5.8195031542883E-4</v>
      </c>
      <c r="AD504" s="163">
        <v>1.48696476561169E-4</v>
      </c>
      <c r="AE504" s="163">
        <v>4.1187798275656003E-7</v>
      </c>
      <c r="AF504" s="163">
        <v>1.4654717126520399E-2</v>
      </c>
      <c r="AG504" s="163">
        <v>6.9471842894863301E-6</v>
      </c>
      <c r="AH504" s="163">
        <v>6.3596059812636796E-3</v>
      </c>
      <c r="AI504" s="163">
        <v>6.9798399560504598E-2</v>
      </c>
      <c r="AJ504" s="163">
        <v>1.8200499468558201E-2</v>
      </c>
      <c r="AK504" s="163">
        <v>2.9237963479465498E-6</v>
      </c>
      <c r="AL504" s="163">
        <v>26.243144659798102</v>
      </c>
      <c r="AM504" s="163">
        <v>3.4951582060356999E-2</v>
      </c>
      <c r="AN504" s="163">
        <v>5.4485692763622003E-8</v>
      </c>
      <c r="AO504" s="163">
        <v>0.112638014261606</v>
      </c>
      <c r="AP504" s="163">
        <v>15.747062856182101</v>
      </c>
      <c r="AQ504" s="163">
        <v>5.5245137874318595E-10</v>
      </c>
      <c r="AR504" s="163">
        <v>1.3239865481235901E-8</v>
      </c>
      <c r="AS504" s="163">
        <v>3.3519896355243799</v>
      </c>
      <c r="AT504" s="163">
        <v>0</v>
      </c>
      <c r="AU504" s="163">
        <v>0</v>
      </c>
      <c r="AV504" s="313">
        <v>0.144245360474268</v>
      </c>
      <c r="AW504" s="315">
        <v>0</v>
      </c>
      <c r="AX504" s="315">
        <v>0</v>
      </c>
      <c r="AY504" s="313">
        <v>27.869389601727899</v>
      </c>
      <c r="AZ504" s="163">
        <v>0</v>
      </c>
      <c r="BA504" s="163">
        <v>0</v>
      </c>
      <c r="BB504" s="163">
        <v>0</v>
      </c>
      <c r="BC504" s="163">
        <v>1.3565965867842001E-3</v>
      </c>
      <c r="BD504" s="163">
        <v>7.1467091013573494E-5</v>
      </c>
      <c r="BE504" s="163">
        <v>3.1052770121103201E-2</v>
      </c>
      <c r="BF504" s="163">
        <v>1.82391263598584E-4</v>
      </c>
      <c r="BG504" s="163">
        <v>0</v>
      </c>
      <c r="BH504" s="163">
        <v>0</v>
      </c>
      <c r="BI504" s="163">
        <v>0</v>
      </c>
      <c r="BJ504" s="163">
        <v>0</v>
      </c>
      <c r="BK504" s="163">
        <v>0</v>
      </c>
      <c r="BL504" s="62">
        <v>0</v>
      </c>
      <c r="BM504" s="275">
        <v>2</v>
      </c>
      <c r="BN504" s="62">
        <v>0</v>
      </c>
      <c r="BO504" s="33" t="s">
        <v>526</v>
      </c>
    </row>
    <row r="505" spans="1:67">
      <c r="A505" s="33" t="str">
        <f>Database_Productkaarten[[#This Row],[Product]]&amp;", "&amp;Database_Productkaarten[[#This Row],[Levensfase]]</f>
        <v>AC surf rood, met blank bindmiddel - PCR 2.0, B1</v>
      </c>
      <c r="B505" s="33" t="s">
        <v>532</v>
      </c>
      <c r="C505" s="33" t="s">
        <v>483</v>
      </c>
      <c r="D505" s="33" t="s">
        <v>494</v>
      </c>
      <c r="E505" s="33" t="s">
        <v>378</v>
      </c>
      <c r="F505" s="33" t="s">
        <v>80</v>
      </c>
      <c r="L505" s="33">
        <v>2.35</v>
      </c>
      <c r="M505" s="269">
        <v>1</v>
      </c>
      <c r="N505" s="211">
        <v>0.11825486639676779</v>
      </c>
      <c r="O505" s="33">
        <v>14</v>
      </c>
      <c r="P505" s="163">
        <v>0</v>
      </c>
      <c r="Q505" s="163">
        <v>0</v>
      </c>
      <c r="R505" s="163">
        <v>0</v>
      </c>
      <c r="S505" s="163">
        <v>0</v>
      </c>
      <c r="T505" s="163">
        <v>0</v>
      </c>
      <c r="U505" s="163">
        <v>0</v>
      </c>
      <c r="V505" s="163">
        <v>0</v>
      </c>
      <c r="W505" s="163">
        <v>0.47637814426189901</v>
      </c>
      <c r="X505" s="163">
        <v>0.51070836809688902</v>
      </c>
      <c r="Y505" s="163">
        <v>600.42146990351</v>
      </c>
      <c r="Z505" s="163">
        <v>2.9058966565328201E-4</v>
      </c>
      <c r="AA505" s="163">
        <v>0</v>
      </c>
      <c r="AB505" s="163">
        <v>0</v>
      </c>
      <c r="AC505" s="163">
        <v>0</v>
      </c>
      <c r="AD505" s="163">
        <v>0</v>
      </c>
      <c r="AE505" s="163">
        <v>0</v>
      </c>
      <c r="AF505" s="163">
        <v>0</v>
      </c>
      <c r="AG505" s="163">
        <v>0</v>
      </c>
      <c r="AH505" s="163">
        <v>0</v>
      </c>
      <c r="AI505" s="163">
        <v>0</v>
      </c>
      <c r="AJ505" s="163">
        <v>0</v>
      </c>
      <c r="AK505" s="163">
        <v>0</v>
      </c>
      <c r="AL505" s="163">
        <v>0</v>
      </c>
      <c r="AM505" s="163">
        <v>0</v>
      </c>
      <c r="AN505" s="163">
        <v>0</v>
      </c>
      <c r="AO505" s="163">
        <v>0</v>
      </c>
      <c r="AP505" s="163">
        <v>3.5405688217834199</v>
      </c>
      <c r="AQ505" s="163">
        <v>8.8497327752214597E-10</v>
      </c>
      <c r="AR505" s="163">
        <v>5.3167546814193901E-8</v>
      </c>
      <c r="AS505" s="163">
        <v>0</v>
      </c>
      <c r="AT505" s="163">
        <v>0</v>
      </c>
      <c r="AU505" s="163">
        <v>0</v>
      </c>
      <c r="AV505" s="313">
        <v>0</v>
      </c>
      <c r="AW505" s="315">
        <v>0</v>
      </c>
      <c r="AX505" s="315">
        <v>0</v>
      </c>
      <c r="AY505" s="313">
        <v>0</v>
      </c>
      <c r="AZ505" s="163">
        <v>0</v>
      </c>
      <c r="BA505" s="163">
        <v>0</v>
      </c>
      <c r="BB505" s="163">
        <v>0</v>
      </c>
      <c r="BC505" s="163">
        <v>0</v>
      </c>
      <c r="BD505" s="163">
        <v>0</v>
      </c>
      <c r="BE505" s="163">
        <v>0</v>
      </c>
      <c r="BF505" s="163">
        <v>0</v>
      </c>
      <c r="BG505" s="163">
        <v>0</v>
      </c>
      <c r="BH505" s="163">
        <v>0</v>
      </c>
      <c r="BI505" s="163">
        <v>0</v>
      </c>
      <c r="BJ505" s="163">
        <v>0</v>
      </c>
      <c r="BK505" s="163">
        <v>0</v>
      </c>
      <c r="BL505" s="62">
        <v>0</v>
      </c>
      <c r="BM505" s="275">
        <v>2</v>
      </c>
      <c r="BN505" s="62">
        <v>0</v>
      </c>
      <c r="BO505" s="33" t="s">
        <v>526</v>
      </c>
    </row>
    <row r="506" spans="1:67">
      <c r="A506" s="33" t="str">
        <f>Database_Productkaarten[[#This Row],[Product]]&amp;", "&amp;Database_Productkaarten[[#This Row],[Levensfase]]</f>
        <v>AC surf rood, met blank bindmiddel - PCR 2.0, B2</v>
      </c>
      <c r="B506" s="33" t="s">
        <v>532</v>
      </c>
      <c r="C506" s="33" t="s">
        <v>483</v>
      </c>
      <c r="D506" s="33" t="s">
        <v>494</v>
      </c>
      <c r="E506" s="33" t="s">
        <v>378</v>
      </c>
      <c r="F506" s="33" t="s">
        <v>527</v>
      </c>
      <c r="L506" s="33">
        <v>2.35</v>
      </c>
      <c r="M506" s="269">
        <v>1</v>
      </c>
      <c r="N506" s="211">
        <v>0</v>
      </c>
      <c r="O506" s="33">
        <v>14</v>
      </c>
      <c r="P506" s="163">
        <v>0</v>
      </c>
      <c r="Q506" s="163">
        <v>0</v>
      </c>
      <c r="R506" s="163">
        <v>0</v>
      </c>
      <c r="S506" s="163">
        <v>0</v>
      </c>
      <c r="T506" s="163">
        <v>0</v>
      </c>
      <c r="U506" s="163">
        <v>0</v>
      </c>
      <c r="V506" s="163">
        <v>0</v>
      </c>
      <c r="W506" s="163">
        <v>0</v>
      </c>
      <c r="X506" s="163">
        <v>0</v>
      </c>
      <c r="Y506" s="163">
        <v>0</v>
      </c>
      <c r="Z506" s="163">
        <v>0</v>
      </c>
      <c r="AA506" s="163">
        <v>0</v>
      </c>
      <c r="AB506" s="163">
        <v>0</v>
      </c>
      <c r="AC506" s="163">
        <v>0</v>
      </c>
      <c r="AD506" s="163">
        <v>0</v>
      </c>
      <c r="AE506" s="163">
        <v>0</v>
      </c>
      <c r="AF506" s="163">
        <v>0</v>
      </c>
      <c r="AG506" s="163">
        <v>0</v>
      </c>
      <c r="AH506" s="163">
        <v>0</v>
      </c>
      <c r="AI506" s="163">
        <v>0</v>
      </c>
      <c r="AJ506" s="163">
        <v>0</v>
      </c>
      <c r="AK506" s="163">
        <v>0</v>
      </c>
      <c r="AL506" s="163">
        <v>0</v>
      </c>
      <c r="AM506" s="163">
        <v>0</v>
      </c>
      <c r="AN506" s="163">
        <v>0</v>
      </c>
      <c r="AO506" s="163">
        <v>0</v>
      </c>
      <c r="AP506" s="163">
        <v>0</v>
      </c>
      <c r="AQ506" s="163">
        <v>0</v>
      </c>
      <c r="AR506" s="163">
        <v>0</v>
      </c>
      <c r="AS506" s="163">
        <v>0</v>
      </c>
      <c r="AT506" s="163">
        <v>0</v>
      </c>
      <c r="AU506" s="163">
        <v>0</v>
      </c>
      <c r="AV506" s="313">
        <v>0</v>
      </c>
      <c r="AW506" s="315">
        <v>0</v>
      </c>
      <c r="AX506" s="315">
        <v>0</v>
      </c>
      <c r="AY506" s="313">
        <v>0</v>
      </c>
      <c r="AZ506" s="163">
        <v>0</v>
      </c>
      <c r="BA506" s="163">
        <v>0</v>
      </c>
      <c r="BB506" s="163">
        <v>0</v>
      </c>
      <c r="BC506" s="163">
        <v>0</v>
      </c>
      <c r="BD506" s="163">
        <v>0</v>
      </c>
      <c r="BE506" s="163">
        <v>0</v>
      </c>
      <c r="BF506" s="163">
        <v>0</v>
      </c>
      <c r="BG506" s="163">
        <v>0</v>
      </c>
      <c r="BH506" s="163">
        <v>0</v>
      </c>
      <c r="BI506" s="163">
        <v>0</v>
      </c>
      <c r="BJ506" s="163">
        <v>0</v>
      </c>
      <c r="BK506" s="163">
        <v>0</v>
      </c>
      <c r="BL506" s="62">
        <v>0</v>
      </c>
      <c r="BM506" s="275">
        <v>2</v>
      </c>
      <c r="BN506" s="62">
        <v>0</v>
      </c>
      <c r="BO506" s="33" t="s">
        <v>526</v>
      </c>
    </row>
    <row r="507" spans="1:67">
      <c r="A507" s="33" t="str">
        <f>Database_Productkaarten[[#This Row],[Product]]&amp;", "&amp;Database_Productkaarten[[#This Row],[Levensfase]]</f>
        <v>AC surf rood, met blank bindmiddel - PCR 2.0, B3</v>
      </c>
      <c r="B507" s="33" t="s">
        <v>532</v>
      </c>
      <c r="C507" s="33" t="s">
        <v>483</v>
      </c>
      <c r="D507" s="33" t="s">
        <v>494</v>
      </c>
      <c r="E507" s="33" t="s">
        <v>378</v>
      </c>
      <c r="F507" s="33" t="s">
        <v>81</v>
      </c>
      <c r="L507" s="33">
        <v>2.35</v>
      </c>
      <c r="M507" s="269">
        <v>1</v>
      </c>
      <c r="N507" s="211">
        <v>0</v>
      </c>
      <c r="O507" s="33">
        <v>14</v>
      </c>
      <c r="P507" s="163">
        <v>0</v>
      </c>
      <c r="Q507" s="163">
        <v>0</v>
      </c>
      <c r="R507" s="163">
        <v>0</v>
      </c>
      <c r="S507" s="163">
        <v>0</v>
      </c>
      <c r="T507" s="163">
        <v>0</v>
      </c>
      <c r="U507" s="163">
        <v>0</v>
      </c>
      <c r="V507" s="163">
        <v>0</v>
      </c>
      <c r="W507" s="163">
        <v>0</v>
      </c>
      <c r="X507" s="163">
        <v>0</v>
      </c>
      <c r="Y507" s="163">
        <v>0</v>
      </c>
      <c r="Z507" s="163">
        <v>0</v>
      </c>
      <c r="AA507" s="163">
        <v>0</v>
      </c>
      <c r="AB507" s="163">
        <v>0</v>
      </c>
      <c r="AC507" s="163">
        <v>0</v>
      </c>
      <c r="AD507" s="163">
        <v>0</v>
      </c>
      <c r="AE507" s="163">
        <v>0</v>
      </c>
      <c r="AF507" s="163">
        <v>0</v>
      </c>
      <c r="AG507" s="163">
        <v>0</v>
      </c>
      <c r="AH507" s="163">
        <v>0</v>
      </c>
      <c r="AI507" s="163">
        <v>0</v>
      </c>
      <c r="AJ507" s="163">
        <v>0</v>
      </c>
      <c r="AK507" s="163">
        <v>0</v>
      </c>
      <c r="AL507" s="163">
        <v>0</v>
      </c>
      <c r="AM507" s="163">
        <v>0</v>
      </c>
      <c r="AN507" s="163">
        <v>0</v>
      </c>
      <c r="AO507" s="163">
        <v>0</v>
      </c>
      <c r="AP507" s="163">
        <v>0</v>
      </c>
      <c r="AQ507" s="163">
        <v>0</v>
      </c>
      <c r="AR507" s="163">
        <v>0</v>
      </c>
      <c r="AS507" s="163">
        <v>0</v>
      </c>
      <c r="AT507" s="163">
        <v>0</v>
      </c>
      <c r="AU507" s="163">
        <v>0</v>
      </c>
      <c r="AV507" s="313">
        <v>0</v>
      </c>
      <c r="AW507" s="315">
        <v>0</v>
      </c>
      <c r="AX507" s="315">
        <v>0</v>
      </c>
      <c r="AY507" s="313">
        <v>0</v>
      </c>
      <c r="AZ507" s="163">
        <v>0</v>
      </c>
      <c r="BA507" s="163">
        <v>0</v>
      </c>
      <c r="BB507" s="163">
        <v>0</v>
      </c>
      <c r="BC507" s="163">
        <v>0</v>
      </c>
      <c r="BD507" s="163">
        <v>0</v>
      </c>
      <c r="BE507" s="163">
        <v>0</v>
      </c>
      <c r="BF507" s="163">
        <v>0</v>
      </c>
      <c r="BG507" s="163">
        <v>0</v>
      </c>
      <c r="BH507" s="163">
        <v>0</v>
      </c>
      <c r="BI507" s="163">
        <v>0</v>
      </c>
      <c r="BJ507" s="163">
        <v>0</v>
      </c>
      <c r="BK507" s="163">
        <v>0</v>
      </c>
      <c r="BL507" s="62">
        <v>0</v>
      </c>
      <c r="BM507" s="275">
        <v>2</v>
      </c>
      <c r="BN507" s="62">
        <v>0</v>
      </c>
      <c r="BO507" s="33" t="s">
        <v>526</v>
      </c>
    </row>
    <row r="508" spans="1:67">
      <c r="A508" s="33" t="str">
        <f>Database_Productkaarten[[#This Row],[Product]]&amp;", "&amp;Database_Productkaarten[[#This Row],[Levensfase]]</f>
        <v>AC surf rood, met blank bindmiddel - PCR 2.0, B4</v>
      </c>
      <c r="B508" s="33" t="s">
        <v>532</v>
      </c>
      <c r="C508" s="33" t="s">
        <v>483</v>
      </c>
      <c r="D508" s="33" t="s">
        <v>494</v>
      </c>
      <c r="E508" s="33" t="s">
        <v>378</v>
      </c>
      <c r="F508" s="33" t="s">
        <v>82</v>
      </c>
      <c r="L508" s="33">
        <v>2.35</v>
      </c>
      <c r="M508" s="269">
        <v>1</v>
      </c>
      <c r="N508" s="211">
        <v>0</v>
      </c>
      <c r="O508" s="33">
        <v>14</v>
      </c>
      <c r="P508" s="163">
        <v>0</v>
      </c>
      <c r="Q508" s="163">
        <v>0</v>
      </c>
      <c r="R508" s="163">
        <v>0</v>
      </c>
      <c r="S508" s="163">
        <v>0</v>
      </c>
      <c r="T508" s="163">
        <v>0</v>
      </c>
      <c r="U508" s="163">
        <v>0</v>
      </c>
      <c r="V508" s="163">
        <v>0</v>
      </c>
      <c r="W508" s="163">
        <v>0</v>
      </c>
      <c r="X508" s="163">
        <v>0</v>
      </c>
      <c r="Y508" s="163">
        <v>0</v>
      </c>
      <c r="Z508" s="163">
        <v>0</v>
      </c>
      <c r="AA508" s="163">
        <v>0</v>
      </c>
      <c r="AB508" s="163">
        <v>0</v>
      </c>
      <c r="AC508" s="163">
        <v>0</v>
      </c>
      <c r="AD508" s="163">
        <v>0</v>
      </c>
      <c r="AE508" s="163">
        <v>0</v>
      </c>
      <c r="AF508" s="163">
        <v>0</v>
      </c>
      <c r="AG508" s="163">
        <v>0</v>
      </c>
      <c r="AH508" s="163">
        <v>0</v>
      </c>
      <c r="AI508" s="163">
        <v>0</v>
      </c>
      <c r="AJ508" s="163">
        <v>0</v>
      </c>
      <c r="AK508" s="163">
        <v>0</v>
      </c>
      <c r="AL508" s="163">
        <v>0</v>
      </c>
      <c r="AM508" s="163">
        <v>0</v>
      </c>
      <c r="AN508" s="163">
        <v>0</v>
      </c>
      <c r="AO508" s="163">
        <v>0</v>
      </c>
      <c r="AP508" s="163">
        <v>0</v>
      </c>
      <c r="AQ508" s="163">
        <v>0</v>
      </c>
      <c r="AR508" s="163">
        <v>0</v>
      </c>
      <c r="AS508" s="163">
        <v>0</v>
      </c>
      <c r="AT508" s="163">
        <v>0</v>
      </c>
      <c r="AU508" s="163">
        <v>0</v>
      </c>
      <c r="AV508" s="313">
        <v>0</v>
      </c>
      <c r="AW508" s="315">
        <v>0</v>
      </c>
      <c r="AX508" s="315">
        <v>0</v>
      </c>
      <c r="AY508" s="313">
        <v>0</v>
      </c>
      <c r="AZ508" s="163">
        <v>0</v>
      </c>
      <c r="BA508" s="163">
        <v>0</v>
      </c>
      <c r="BB508" s="163">
        <v>0</v>
      </c>
      <c r="BC508" s="163">
        <v>0</v>
      </c>
      <c r="BD508" s="163">
        <v>0</v>
      </c>
      <c r="BE508" s="163">
        <v>0</v>
      </c>
      <c r="BF508" s="163">
        <v>0</v>
      </c>
      <c r="BG508" s="163">
        <v>0</v>
      </c>
      <c r="BH508" s="163">
        <v>0</v>
      </c>
      <c r="BI508" s="163">
        <v>0</v>
      </c>
      <c r="BJ508" s="163">
        <v>0</v>
      </c>
      <c r="BK508" s="163">
        <v>0</v>
      </c>
      <c r="BL508" s="62">
        <v>0</v>
      </c>
      <c r="BM508" s="275">
        <v>2</v>
      </c>
      <c r="BN508" s="62">
        <v>0</v>
      </c>
      <c r="BO508" s="33" t="s">
        <v>526</v>
      </c>
    </row>
    <row r="509" spans="1:67">
      <c r="A509" s="33" t="str">
        <f>Database_Productkaarten[[#This Row],[Product]]&amp;", "&amp;Database_Productkaarten[[#This Row],[Levensfase]]</f>
        <v>AC surf rood, met blank bindmiddel - PCR 2.0, B5</v>
      </c>
      <c r="B509" s="33" t="s">
        <v>532</v>
      </c>
      <c r="C509" s="33" t="s">
        <v>483</v>
      </c>
      <c r="D509" s="33" t="s">
        <v>494</v>
      </c>
      <c r="E509" s="33" t="s">
        <v>378</v>
      </c>
      <c r="F509" s="33" t="s">
        <v>528</v>
      </c>
      <c r="L509" s="33">
        <v>2.35</v>
      </c>
      <c r="M509" s="269">
        <v>1</v>
      </c>
      <c r="N509" s="211">
        <v>0</v>
      </c>
      <c r="O509" s="33">
        <v>14</v>
      </c>
      <c r="P509" s="163">
        <v>0</v>
      </c>
      <c r="Q509" s="163">
        <v>0</v>
      </c>
      <c r="R509" s="163">
        <v>0</v>
      </c>
      <c r="S509" s="163">
        <v>0</v>
      </c>
      <c r="T509" s="163">
        <v>0</v>
      </c>
      <c r="U509" s="163">
        <v>0</v>
      </c>
      <c r="V509" s="163">
        <v>0</v>
      </c>
      <c r="W509" s="163">
        <v>0</v>
      </c>
      <c r="X509" s="163">
        <v>0</v>
      </c>
      <c r="Y509" s="163">
        <v>0</v>
      </c>
      <c r="Z509" s="163">
        <v>0</v>
      </c>
      <c r="AA509" s="163">
        <v>0</v>
      </c>
      <c r="AB509" s="163">
        <v>0</v>
      </c>
      <c r="AC509" s="163">
        <v>0</v>
      </c>
      <c r="AD509" s="163">
        <v>0</v>
      </c>
      <c r="AE509" s="163">
        <v>0</v>
      </c>
      <c r="AF509" s="163">
        <v>0</v>
      </c>
      <c r="AG509" s="163">
        <v>0</v>
      </c>
      <c r="AH509" s="163">
        <v>0</v>
      </c>
      <c r="AI509" s="163">
        <v>0</v>
      </c>
      <c r="AJ509" s="163">
        <v>0</v>
      </c>
      <c r="AK509" s="163">
        <v>0</v>
      </c>
      <c r="AL509" s="163">
        <v>0</v>
      </c>
      <c r="AM509" s="163">
        <v>0</v>
      </c>
      <c r="AN509" s="163">
        <v>0</v>
      </c>
      <c r="AO509" s="163">
        <v>0</v>
      </c>
      <c r="AP509" s="163">
        <v>0</v>
      </c>
      <c r="AQ509" s="163">
        <v>0</v>
      </c>
      <c r="AR509" s="163">
        <v>0</v>
      </c>
      <c r="AS509" s="163">
        <v>0</v>
      </c>
      <c r="AT509" s="163">
        <v>0</v>
      </c>
      <c r="AU509" s="163">
        <v>0</v>
      </c>
      <c r="AV509" s="313">
        <v>0</v>
      </c>
      <c r="AW509" s="315">
        <v>0</v>
      </c>
      <c r="AX509" s="315">
        <v>0</v>
      </c>
      <c r="AY509" s="313">
        <v>0</v>
      </c>
      <c r="AZ509" s="163">
        <v>0</v>
      </c>
      <c r="BA509" s="163">
        <v>0</v>
      </c>
      <c r="BB509" s="163">
        <v>0</v>
      </c>
      <c r="BC509" s="163">
        <v>0</v>
      </c>
      <c r="BD509" s="163">
        <v>0</v>
      </c>
      <c r="BE509" s="163">
        <v>0</v>
      </c>
      <c r="BF509" s="163">
        <v>0</v>
      </c>
      <c r="BG509" s="163">
        <v>0</v>
      </c>
      <c r="BH509" s="163">
        <v>0</v>
      </c>
      <c r="BI509" s="163">
        <v>0</v>
      </c>
      <c r="BJ509" s="163">
        <v>0</v>
      </c>
      <c r="BK509" s="163">
        <v>0</v>
      </c>
      <c r="BL509" s="62">
        <v>0</v>
      </c>
      <c r="BM509" s="275">
        <v>2</v>
      </c>
      <c r="BN509" s="62">
        <v>0</v>
      </c>
      <c r="BO509" s="33" t="s">
        <v>526</v>
      </c>
    </row>
    <row r="510" spans="1:67">
      <c r="A510" s="33" t="str">
        <f>Database_Productkaarten[[#This Row],[Product]]&amp;", "&amp;Database_Productkaarten[[#This Row],[Levensfase]]</f>
        <v>AC surf rood, met blank bindmiddel - PCR 2.0, C1</v>
      </c>
      <c r="B510" s="33" t="s">
        <v>532</v>
      </c>
      <c r="C510" s="33" t="s">
        <v>483</v>
      </c>
      <c r="D510" s="33" t="s">
        <v>494</v>
      </c>
      <c r="E510" s="33" t="s">
        <v>378</v>
      </c>
      <c r="F510" s="33" t="s">
        <v>83</v>
      </c>
      <c r="L510" s="33">
        <v>2.35</v>
      </c>
      <c r="M510" s="269">
        <v>1</v>
      </c>
      <c r="N510" s="211">
        <v>0.13541602887395304</v>
      </c>
      <c r="O510" s="33">
        <v>14</v>
      </c>
      <c r="P510" s="163">
        <v>1.66355235551222E-6</v>
      </c>
      <c r="Q510" s="163">
        <v>7.0767186256215798E-3</v>
      </c>
      <c r="R510" s="163">
        <v>1.43921489993785</v>
      </c>
      <c r="S510" s="163">
        <v>1.85981765065976E-7</v>
      </c>
      <c r="T510" s="163">
        <v>4.73498830381683E-4</v>
      </c>
      <c r="U510" s="163">
        <v>4.1086089222474604E-3</v>
      </c>
      <c r="V510" s="163">
        <v>8.8311374613261201E-4</v>
      </c>
      <c r="W510" s="163">
        <v>0.38738647534876403</v>
      </c>
      <c r="X510" s="163">
        <v>5.5203762444581096E-3</v>
      </c>
      <c r="Y510" s="163">
        <v>19.180874501197799</v>
      </c>
      <c r="Z510" s="163">
        <v>6.5374486405342998E-4</v>
      </c>
      <c r="AA510" s="163">
        <v>1.44808108091556</v>
      </c>
      <c r="AB510" s="163">
        <v>1.44766536808563</v>
      </c>
      <c r="AC510" s="163">
        <v>3.3110966222674702E-4</v>
      </c>
      <c r="AD510" s="163">
        <v>8.4603167698596196E-5</v>
      </c>
      <c r="AE510" s="163">
        <v>2.3434436949942199E-7</v>
      </c>
      <c r="AF510" s="163">
        <v>5.5792398133666203E-3</v>
      </c>
      <c r="AG510" s="163">
        <v>3.9527083026387604E-6</v>
      </c>
      <c r="AH510" s="163">
        <v>2.1681682893404798E-3</v>
      </c>
      <c r="AI510" s="163">
        <v>2.3831205887882099E-2</v>
      </c>
      <c r="AJ510" s="163">
        <v>6.5087102562507498E-3</v>
      </c>
      <c r="AK510" s="163">
        <v>1.66353930141786E-6</v>
      </c>
      <c r="AL510" s="163">
        <v>14.9314443754023</v>
      </c>
      <c r="AM510" s="163">
        <v>1.9886244965375499E-2</v>
      </c>
      <c r="AN510" s="163">
        <v>2.30495801603411E-8</v>
      </c>
      <c r="AO510" s="163">
        <v>6.4087146045396406E-2</v>
      </c>
      <c r="AP510" s="163">
        <v>8.9589318614475495</v>
      </c>
      <c r="AQ510" s="163">
        <v>3.1432578445733E-10</v>
      </c>
      <c r="AR510" s="163">
        <v>6.3100664814583202E-9</v>
      </c>
      <c r="AS510" s="163">
        <v>1.9071665167638701</v>
      </c>
      <c r="AT510" s="163">
        <v>0</v>
      </c>
      <c r="AU510" s="163">
        <v>0</v>
      </c>
      <c r="AV510" s="313">
        <v>8.2070636131910804E-2</v>
      </c>
      <c r="AW510" s="315">
        <v>0</v>
      </c>
      <c r="AX510" s="315">
        <v>0</v>
      </c>
      <c r="AY510" s="313">
        <v>15.8567216699486</v>
      </c>
      <c r="AZ510" s="163">
        <v>0</v>
      </c>
      <c r="BA510" s="163">
        <v>0</v>
      </c>
      <c r="BB510" s="163">
        <v>0</v>
      </c>
      <c r="BC510" s="163">
        <v>7.7185667868756103E-4</v>
      </c>
      <c r="BD510" s="163">
        <v>4.0662310404274602E-5</v>
      </c>
      <c r="BE510" s="163">
        <v>1.7667955413731101E-2</v>
      </c>
      <c r="BF510" s="163">
        <v>1.03774339633677E-4</v>
      </c>
      <c r="BG510" s="163">
        <v>0</v>
      </c>
      <c r="BH510" s="163">
        <v>0</v>
      </c>
      <c r="BI510" s="163">
        <v>0</v>
      </c>
      <c r="BJ510" s="163">
        <v>0</v>
      </c>
      <c r="BK510" s="163">
        <v>0</v>
      </c>
      <c r="BL510" s="62">
        <v>0</v>
      </c>
      <c r="BM510" s="275">
        <v>2</v>
      </c>
      <c r="BN510" s="62">
        <v>0</v>
      </c>
      <c r="BO510" s="33" t="s">
        <v>526</v>
      </c>
    </row>
    <row r="511" spans="1:67">
      <c r="A511" s="33" t="str">
        <f>Database_Productkaarten[[#This Row],[Product]]&amp;", "&amp;Database_Productkaarten[[#This Row],[Levensfase]]</f>
        <v>AC surf rood, met blank bindmiddel - PCR 2.0, C2</v>
      </c>
      <c r="B511" s="33" t="s">
        <v>532</v>
      </c>
      <c r="C511" s="33" t="s">
        <v>483</v>
      </c>
      <c r="D511" s="33" t="s">
        <v>494</v>
      </c>
      <c r="E511" s="33" t="s">
        <v>378</v>
      </c>
      <c r="F511" s="33" t="s">
        <v>84</v>
      </c>
      <c r="L511" s="33">
        <v>2.35</v>
      </c>
      <c r="M511" s="269">
        <v>1</v>
      </c>
      <c r="N511" s="211">
        <v>0.31791357541832999</v>
      </c>
      <c r="O511" s="33">
        <v>14</v>
      </c>
      <c r="P511" s="163">
        <v>7.2195843000000002E-5</v>
      </c>
      <c r="Q511" s="163">
        <v>2.5045429500000001E-2</v>
      </c>
      <c r="R511" s="163">
        <v>3.2726104581</v>
      </c>
      <c r="S511" s="163">
        <v>6.2448211500000004E-7</v>
      </c>
      <c r="T511" s="163">
        <v>2.3663202E-3</v>
      </c>
      <c r="U511" s="163">
        <v>9.9103019999999993E-3</v>
      </c>
      <c r="V511" s="163">
        <v>1.66070541E-3</v>
      </c>
      <c r="W511" s="163">
        <v>0.89062466159999998</v>
      </c>
      <c r="X511" s="163">
        <v>3.5055542699999998E-2</v>
      </c>
      <c r="Y511" s="163">
        <v>92.682047400000002</v>
      </c>
      <c r="Z511" s="163">
        <v>7.4868390000000003E-3</v>
      </c>
      <c r="AA511" s="163">
        <v>3.3150718431000001</v>
      </c>
      <c r="AB511" s="163">
        <v>3.3001817481</v>
      </c>
      <c r="AC511" s="163">
        <v>1.3607189190000001E-2</v>
      </c>
      <c r="AD511" s="163">
        <v>1.2829113599999999E-3</v>
      </c>
      <c r="AE511" s="163">
        <v>7.8107336699999998E-7</v>
      </c>
      <c r="AF511" s="163">
        <v>1.2482505E-2</v>
      </c>
      <c r="AG511" s="163">
        <v>3.4632532799999998E-5</v>
      </c>
      <c r="AH511" s="163">
        <v>2.8897329300000001E-3</v>
      </c>
      <c r="AI511" s="163">
        <v>3.3662059799999998E-2</v>
      </c>
      <c r="AJ511" s="163">
        <v>1.2098522699999999E-2</v>
      </c>
      <c r="AK511" s="163">
        <v>7.2195510000000004E-5</v>
      </c>
      <c r="AL511" s="163">
        <v>52.307882313</v>
      </c>
      <c r="AM511" s="163">
        <v>0.28570883850000001</v>
      </c>
      <c r="AN511" s="163">
        <v>2.8544027399999998E-7</v>
      </c>
      <c r="AO511" s="163">
        <v>0.22308385950000001</v>
      </c>
      <c r="AP511" s="163">
        <v>50.61443379</v>
      </c>
      <c r="AQ511" s="163">
        <v>1.35209877E-9</v>
      </c>
      <c r="AR511" s="163">
        <v>4.3221490799999998E-8</v>
      </c>
      <c r="AS511" s="163">
        <v>98.528772599999996</v>
      </c>
      <c r="AT511" s="163">
        <v>8.065825212</v>
      </c>
      <c r="AU511" s="163">
        <v>0</v>
      </c>
      <c r="AV511" s="313">
        <v>8.6963547624000004</v>
      </c>
      <c r="AW511" s="315">
        <v>0.70667511750000001</v>
      </c>
      <c r="AX511" s="315">
        <v>9.926829900000001E-4</v>
      </c>
      <c r="AY511" s="313">
        <v>55.561210727999999</v>
      </c>
      <c r="AZ511" s="163">
        <v>0</v>
      </c>
      <c r="BA511" s="163">
        <v>0</v>
      </c>
      <c r="BB511" s="163">
        <v>0</v>
      </c>
      <c r="BC511" s="163">
        <v>8.7338241000000007E-3</v>
      </c>
      <c r="BD511" s="163">
        <v>1.5376752299999999E-4</v>
      </c>
      <c r="BE511" s="163">
        <v>5.5583861609999996</v>
      </c>
      <c r="BF511" s="163">
        <v>3.4865666099999999E-4</v>
      </c>
      <c r="BG511" s="163">
        <v>0</v>
      </c>
      <c r="BH511" s="163">
        <v>0</v>
      </c>
      <c r="BI511" s="163">
        <v>0</v>
      </c>
      <c r="BJ511" s="163">
        <v>0</v>
      </c>
      <c r="BK511" s="163">
        <v>0</v>
      </c>
      <c r="BL511" s="62">
        <v>0</v>
      </c>
      <c r="BM511" s="275">
        <v>2</v>
      </c>
      <c r="BN511" s="62">
        <v>0</v>
      </c>
      <c r="BO511" s="33" t="s">
        <v>526</v>
      </c>
    </row>
    <row r="512" spans="1:67">
      <c r="A512" s="33" t="str">
        <f>Database_Productkaarten[[#This Row],[Product]]&amp;", "&amp;Database_Productkaarten[[#This Row],[Levensfase]]</f>
        <v>AC surf rood, met blank bindmiddel - PCR 2.0, C3</v>
      </c>
      <c r="B512" s="33" t="s">
        <v>532</v>
      </c>
      <c r="C512" s="33" t="s">
        <v>483</v>
      </c>
      <c r="D512" s="33" t="s">
        <v>494</v>
      </c>
      <c r="E512" s="33" t="s">
        <v>378</v>
      </c>
      <c r="F512" s="33" t="s">
        <v>85</v>
      </c>
      <c r="L512" s="33">
        <v>2.35</v>
      </c>
      <c r="M512" s="269">
        <v>1</v>
      </c>
      <c r="N512" s="211">
        <v>0.15929996489074674</v>
      </c>
      <c r="O512" s="33">
        <v>14</v>
      </c>
      <c r="P512" s="163">
        <v>1.8651950652712701E-6</v>
      </c>
      <c r="Q512" s="163">
        <v>7.9345027014544999E-3</v>
      </c>
      <c r="R512" s="163">
        <v>1.61366519083941</v>
      </c>
      <c r="S512" s="163">
        <v>2.0852500931639799E-7</v>
      </c>
      <c r="T512" s="163">
        <v>5.8559282914780002E-4</v>
      </c>
      <c r="U512" s="163">
        <v>5.7290956097919704E-3</v>
      </c>
      <c r="V512" s="163">
        <v>1.28200094263337E-3</v>
      </c>
      <c r="W512" s="163">
        <v>0.43705340747285598</v>
      </c>
      <c r="X512" s="163">
        <v>6.1895127589378903E-3</v>
      </c>
      <c r="Y512" s="163">
        <v>21.505828986191499</v>
      </c>
      <c r="Z512" s="163">
        <v>7.3298666575687501E-4</v>
      </c>
      <c r="AA512" s="163">
        <v>1.6243260243598701</v>
      </c>
      <c r="AB512" s="163">
        <v>1.6238599220960099</v>
      </c>
      <c r="AC512" s="163">
        <v>3.7124416673908203E-4</v>
      </c>
      <c r="AD512" s="163">
        <v>9.4858097116608001E-5</v>
      </c>
      <c r="AE512" s="163">
        <v>2.62749747620564E-7</v>
      </c>
      <c r="AF512" s="163">
        <v>7.9167720634707398E-3</v>
      </c>
      <c r="AG512" s="163">
        <v>4.4318244605343802E-6</v>
      </c>
      <c r="AH512" s="163">
        <v>3.30426093804793E-3</v>
      </c>
      <c r="AI512" s="163">
        <v>3.6283310995498898E-2</v>
      </c>
      <c r="AJ512" s="163">
        <v>9.6537099782192295E-3</v>
      </c>
      <c r="AK512" s="163">
        <v>1.8651804288624501E-6</v>
      </c>
      <c r="AL512" s="163">
        <v>16.741316420905701</v>
      </c>
      <c r="AM512" s="163">
        <v>2.2296698900572499E-2</v>
      </c>
      <c r="AN512" s="163">
        <v>3.0576571418864703E-8</v>
      </c>
      <c r="AO512" s="163">
        <v>7.1855284959989899E-2</v>
      </c>
      <c r="AP512" s="163">
        <v>10.0456498705003</v>
      </c>
      <c r="AQ512" s="163">
        <v>3.5242587954306801E-10</v>
      </c>
      <c r="AR512" s="163">
        <v>7.5755651750078394E-9</v>
      </c>
      <c r="AS512" s="163">
        <v>2.1383382157655499</v>
      </c>
      <c r="AT512" s="163">
        <v>0</v>
      </c>
      <c r="AU512" s="163">
        <v>0</v>
      </c>
      <c r="AV512" s="313">
        <v>9.2018592026687898E-2</v>
      </c>
      <c r="AW512" s="315">
        <v>0</v>
      </c>
      <c r="AX512" s="315">
        <v>0</v>
      </c>
      <c r="AY512" s="313">
        <v>17.778748539033302</v>
      </c>
      <c r="AZ512" s="163">
        <v>0</v>
      </c>
      <c r="BA512" s="163">
        <v>0</v>
      </c>
      <c r="BB512" s="163">
        <v>0</v>
      </c>
      <c r="BC512" s="163">
        <v>8.6541506398302398E-4</v>
      </c>
      <c r="BD512" s="163">
        <v>4.5591075301762402E-5</v>
      </c>
      <c r="BE512" s="163">
        <v>1.9809525766910599E-2</v>
      </c>
      <c r="BF512" s="163">
        <v>1.1635304746806199E-4</v>
      </c>
      <c r="BG512" s="163">
        <v>0</v>
      </c>
      <c r="BH512" s="163">
        <v>1000</v>
      </c>
      <c r="BI512" s="163">
        <v>0</v>
      </c>
      <c r="BJ512" s="163">
        <v>0</v>
      </c>
      <c r="BK512" s="163">
        <v>0</v>
      </c>
      <c r="BL512" s="62">
        <v>0</v>
      </c>
      <c r="BM512" s="275">
        <v>2</v>
      </c>
      <c r="BN512" s="62">
        <v>0</v>
      </c>
      <c r="BO512" s="33" t="s">
        <v>526</v>
      </c>
    </row>
    <row r="513" spans="1:67">
      <c r="A513" s="33" t="str">
        <f>Database_Productkaarten[[#This Row],[Product]]&amp;", "&amp;Database_Productkaarten[[#This Row],[Levensfase]]</f>
        <v>AC surf rood, met blank bindmiddel - PCR 2.0, C4</v>
      </c>
      <c r="B513" s="33" t="s">
        <v>532</v>
      </c>
      <c r="C513" s="33" t="s">
        <v>483</v>
      </c>
      <c r="D513" s="33" t="s">
        <v>494</v>
      </c>
      <c r="E513" s="33" t="s">
        <v>378</v>
      </c>
      <c r="F513" s="33" t="s">
        <v>86</v>
      </c>
      <c r="L513" s="33">
        <v>2.35</v>
      </c>
      <c r="M513" s="269">
        <v>1</v>
      </c>
      <c r="N513" s="211">
        <v>0</v>
      </c>
      <c r="O513" s="33">
        <v>14</v>
      </c>
      <c r="P513" s="163">
        <v>0</v>
      </c>
      <c r="Q513" s="163">
        <v>0</v>
      </c>
      <c r="R513" s="163">
        <v>0</v>
      </c>
      <c r="S513" s="163">
        <v>0</v>
      </c>
      <c r="T513" s="163">
        <v>0</v>
      </c>
      <c r="U513" s="163">
        <v>0</v>
      </c>
      <c r="V513" s="163">
        <v>0</v>
      </c>
      <c r="W513" s="163">
        <v>0</v>
      </c>
      <c r="X513" s="163">
        <v>0</v>
      </c>
      <c r="Y513" s="163">
        <v>0</v>
      </c>
      <c r="Z513" s="163">
        <v>0</v>
      </c>
      <c r="AA513" s="163">
        <v>0</v>
      </c>
      <c r="AB513" s="163">
        <v>0</v>
      </c>
      <c r="AC513" s="163">
        <v>0</v>
      </c>
      <c r="AD513" s="163">
        <v>0</v>
      </c>
      <c r="AE513" s="163">
        <v>0</v>
      </c>
      <c r="AF513" s="163">
        <v>0</v>
      </c>
      <c r="AG513" s="163">
        <v>0</v>
      </c>
      <c r="AH513" s="163">
        <v>0</v>
      </c>
      <c r="AI513" s="163">
        <v>0</v>
      </c>
      <c r="AJ513" s="163">
        <v>0</v>
      </c>
      <c r="AK513" s="163">
        <v>0</v>
      </c>
      <c r="AL513" s="163">
        <v>0</v>
      </c>
      <c r="AM513" s="163">
        <v>0</v>
      </c>
      <c r="AN513" s="163">
        <v>0</v>
      </c>
      <c r="AO513" s="163">
        <v>0</v>
      </c>
      <c r="AP513" s="163">
        <v>0</v>
      </c>
      <c r="AQ513" s="163">
        <v>0</v>
      </c>
      <c r="AR513" s="163">
        <v>0</v>
      </c>
      <c r="AS513" s="163">
        <v>0</v>
      </c>
      <c r="AT513" s="163">
        <v>0</v>
      </c>
      <c r="AU513" s="163">
        <v>0</v>
      </c>
      <c r="AV513" s="313">
        <v>0</v>
      </c>
      <c r="AW513" s="315">
        <v>0</v>
      </c>
      <c r="AX513" s="315">
        <v>0</v>
      </c>
      <c r="AY513" s="313">
        <v>0</v>
      </c>
      <c r="AZ513" s="163">
        <v>0</v>
      </c>
      <c r="BA513" s="163">
        <v>0</v>
      </c>
      <c r="BB513" s="163">
        <v>0</v>
      </c>
      <c r="BC513" s="163">
        <v>0</v>
      </c>
      <c r="BD513" s="163">
        <v>0</v>
      </c>
      <c r="BE513" s="163">
        <v>0</v>
      </c>
      <c r="BF513" s="163">
        <v>0</v>
      </c>
      <c r="BG513" s="163">
        <v>0</v>
      </c>
      <c r="BH513" s="163">
        <v>0</v>
      </c>
      <c r="BI513" s="163">
        <v>0</v>
      </c>
      <c r="BJ513" s="163">
        <v>0</v>
      </c>
      <c r="BK513" s="163">
        <v>0</v>
      </c>
      <c r="BL513" s="62">
        <v>0</v>
      </c>
      <c r="BM513" s="275">
        <v>2</v>
      </c>
      <c r="BN513" s="62">
        <v>0</v>
      </c>
      <c r="BO513" s="33" t="s">
        <v>526</v>
      </c>
    </row>
    <row r="514" spans="1:67">
      <c r="A514" s="33" t="str">
        <f>Database_Productkaarten[[#This Row],[Product]]&amp;", "&amp;Database_Productkaarten[[#This Row],[Levensfase]]</f>
        <v>AC surf rood, met blank bindmiddel - PCR 2.0, D</v>
      </c>
      <c r="B514" s="33" t="s">
        <v>532</v>
      </c>
      <c r="C514" s="33" t="s">
        <v>483</v>
      </c>
      <c r="D514" s="33" t="s">
        <v>494</v>
      </c>
      <c r="E514" s="33" t="s">
        <v>378</v>
      </c>
      <c r="F514" s="33" t="s">
        <v>89</v>
      </c>
      <c r="L514" s="33">
        <v>2.35</v>
      </c>
      <c r="M514" s="269">
        <v>1</v>
      </c>
      <c r="N514" s="211">
        <v>-3.2706280635600846</v>
      </c>
      <c r="O514" s="33">
        <v>14</v>
      </c>
      <c r="P514" s="163">
        <v>-4.1002425856713801E-4</v>
      </c>
      <c r="Q514" s="163">
        <v>-0.54047139826919399</v>
      </c>
      <c r="R514" s="163">
        <v>-24.368597741959299</v>
      </c>
      <c r="S514" s="163">
        <v>-2.0912000009344802E-6</v>
      </c>
      <c r="T514" s="163">
        <v>-5.8143859238483198E-2</v>
      </c>
      <c r="U514" s="163">
        <v>-0.170522577018033</v>
      </c>
      <c r="V514" s="163">
        <v>-1.6717890367530699E-2</v>
      </c>
      <c r="W514" s="163">
        <v>-6.8999692025552397</v>
      </c>
      <c r="X514" s="163">
        <v>-0.83397915918496501</v>
      </c>
      <c r="Y514" s="163">
        <v>-3640.4795157446301</v>
      </c>
      <c r="Z514" s="163">
        <v>-0.111513640346524</v>
      </c>
      <c r="AA514" s="163">
        <v>-7.4198428973948598</v>
      </c>
      <c r="AB514" s="163">
        <v>-7.33876835589541</v>
      </c>
      <c r="AC514" s="163">
        <v>-7.2219064142359804E-2</v>
      </c>
      <c r="AD514" s="163">
        <v>-8.8554773571018295E-3</v>
      </c>
      <c r="AE514" s="163">
        <v>-9.3367301003883295E-7</v>
      </c>
      <c r="AF514" s="163">
        <v>-6.8706813000375094E-2</v>
      </c>
      <c r="AG514" s="163">
        <v>-3.06665558372563E-4</v>
      </c>
      <c r="AH514" s="163">
        <v>-2.0213328658759501E-2</v>
      </c>
      <c r="AI514" s="163">
        <v>-0.25193960727984099</v>
      </c>
      <c r="AJ514" s="163">
        <v>-6.3007707751168304E-2</v>
      </c>
      <c r="AK514" s="163">
        <v>-4.0760173245609301E-4</v>
      </c>
      <c r="AL514" s="163">
        <v>-104.475117478436</v>
      </c>
      <c r="AM514" s="163">
        <v>-39.142422764711199</v>
      </c>
      <c r="AN514" s="163">
        <v>-9.969162714381769E-7</v>
      </c>
      <c r="AO514" s="163">
        <v>-0.53946948847718501</v>
      </c>
      <c r="AP514" s="163">
        <v>-838.83747691820702</v>
      </c>
      <c r="AQ514" s="163">
        <v>-5.4225823303645397E-9</v>
      </c>
      <c r="AR514" s="163">
        <v>-1.2872186249905901E-7</v>
      </c>
      <c r="AS514" s="163">
        <v>-1024.62184039831</v>
      </c>
      <c r="AT514" s="163">
        <v>0</v>
      </c>
      <c r="AU514" s="163">
        <v>0</v>
      </c>
      <c r="AV514" s="313">
        <v>-12.6524921321523</v>
      </c>
      <c r="AW514" s="315">
        <v>0</v>
      </c>
      <c r="AX514" s="315">
        <v>0</v>
      </c>
      <c r="AY514" s="313">
        <v>-1218.6411445213</v>
      </c>
      <c r="AZ514" s="163">
        <v>0</v>
      </c>
      <c r="BA514" s="163">
        <v>0</v>
      </c>
      <c r="BB514" s="163">
        <v>0</v>
      </c>
      <c r="BC514" s="163">
        <v>-13.258992052894101</v>
      </c>
      <c r="BD514" s="163">
        <v>-5.8706845885739896E-4</v>
      </c>
      <c r="BE514" s="163">
        <v>-2.3654518545866701</v>
      </c>
      <c r="BF514" s="163">
        <v>-7.1572328756896401E-4</v>
      </c>
      <c r="BG514" s="163">
        <v>0</v>
      </c>
      <c r="BH514" s="163">
        <v>0</v>
      </c>
      <c r="BI514" s="163">
        <v>0</v>
      </c>
      <c r="BJ514" s="163">
        <v>0</v>
      </c>
      <c r="BK514" s="163">
        <v>0</v>
      </c>
      <c r="BL514" s="62">
        <v>0</v>
      </c>
      <c r="BM514" s="275">
        <v>2</v>
      </c>
      <c r="BN514" s="62">
        <v>0</v>
      </c>
      <c r="BO514" s="33" t="s">
        <v>526</v>
      </c>
    </row>
    <row r="515" spans="1:67">
      <c r="A515" s="33" t="str">
        <f>Database_Productkaarten[[#This Row],[Product]]&amp;", "&amp;Database_Productkaarten[[#This Row],[Levensfase]]</f>
        <v>AC bin/base 50% PR - PCR 2.0, Totaal</v>
      </c>
      <c r="B515" s="33" t="s">
        <v>238</v>
      </c>
      <c r="C515" s="33" t="s">
        <v>483</v>
      </c>
      <c r="D515" s="33" t="s">
        <v>381</v>
      </c>
      <c r="E515" s="33" t="s">
        <v>378</v>
      </c>
      <c r="F515" s="33" t="s">
        <v>90</v>
      </c>
      <c r="L515" s="33">
        <v>2.37</v>
      </c>
      <c r="M515" s="269">
        <v>1</v>
      </c>
      <c r="N515" s="41">
        <f>SUM(N516:N531)</f>
        <v>10.801935929694348</v>
      </c>
      <c r="O515" s="33">
        <v>45</v>
      </c>
      <c r="P515" s="40">
        <f>SUM(P516:P531)</f>
        <v>8.7489530059281593E-4</v>
      </c>
      <c r="Q515" s="40">
        <f t="shared" ref="Q515:BK515" si="57">SUM(Q516:Q531)</f>
        <v>1.2234084626826223</v>
      </c>
      <c r="R515" s="40">
        <f t="shared" si="57"/>
        <v>111.00062245839841</v>
      </c>
      <c r="S515" s="40">
        <f t="shared" si="57"/>
        <v>1.3435608255240513E-5</v>
      </c>
      <c r="T515" s="40">
        <f t="shared" si="57"/>
        <v>8.9581270977655975E-2</v>
      </c>
      <c r="U515" s="40">
        <f t="shared" si="57"/>
        <v>0.40718959119499332</v>
      </c>
      <c r="V515" s="40">
        <f t="shared" si="57"/>
        <v>6.3747617555479766E-2</v>
      </c>
      <c r="W515" s="40">
        <f t="shared" si="57"/>
        <v>23.661061347379682</v>
      </c>
      <c r="X515" s="40">
        <f t="shared" si="57"/>
        <v>1.212557511017158</v>
      </c>
      <c r="Y515" s="40">
        <f t="shared" si="57"/>
        <v>4961.4946439492178</v>
      </c>
      <c r="Z515" s="40">
        <f t="shared" si="57"/>
        <v>0.19908709208743341</v>
      </c>
      <c r="AA515" s="40">
        <f t="shared" si="57"/>
        <v>127.78099216255339</v>
      </c>
      <c r="AB515" s="40">
        <f t="shared" si="57"/>
        <v>127.52028689450826</v>
      </c>
      <c r="AC515" s="40">
        <f t="shared" si="57"/>
        <v>0.21899681305437388</v>
      </c>
      <c r="AD515" s="40">
        <f t="shared" si="57"/>
        <v>6.6828438340616678E-2</v>
      </c>
      <c r="AE515" s="40">
        <f t="shared" si="57"/>
        <v>1.7265992256694566E-5</v>
      </c>
      <c r="AF515" s="40">
        <f t="shared" si="57"/>
        <v>0.62628745269573349</v>
      </c>
      <c r="AG515" s="40">
        <f t="shared" si="57"/>
        <v>1.3045855318203038E-3</v>
      </c>
      <c r="AH515" s="40">
        <f t="shared" si="57"/>
        <v>0.16652104384946156</v>
      </c>
      <c r="AI515" s="40">
        <f t="shared" si="57"/>
        <v>1.7749859772464511</v>
      </c>
      <c r="AJ515" s="40">
        <f t="shared" si="57"/>
        <v>0.67248452015035098</v>
      </c>
      <c r="AK515" s="40">
        <f t="shared" si="57"/>
        <v>8.7668310364551693E-4</v>
      </c>
      <c r="AL515" s="40">
        <f t="shared" si="57"/>
        <v>3263.4000267268698</v>
      </c>
      <c r="AM515" s="40">
        <f t="shared" si="57"/>
        <v>41.596914857032715</v>
      </c>
      <c r="AN515" s="40">
        <f t="shared" si="57"/>
        <v>3.118060813247195E-6</v>
      </c>
      <c r="AO515" s="40">
        <f t="shared" si="57"/>
        <v>3.7033037157609998</v>
      </c>
      <c r="AP515" s="40">
        <f t="shared" si="57"/>
        <v>2499.3245461875313</v>
      </c>
      <c r="AQ515" s="40">
        <f t="shared" si="57"/>
        <v>3.2497550039135271E-8</v>
      </c>
      <c r="AR515" s="40">
        <f t="shared" si="57"/>
        <v>9.7539523177288514E-7</v>
      </c>
      <c r="AS515" s="40">
        <f t="shared" si="57"/>
        <v>314.43732136426945</v>
      </c>
      <c r="AT515" s="40">
        <f t="shared" si="57"/>
        <v>8.065825212</v>
      </c>
      <c r="AU515" s="40">
        <f t="shared" si="57"/>
        <v>0</v>
      </c>
      <c r="AV515" s="313">
        <f t="shared" si="57"/>
        <v>35.929027664404195</v>
      </c>
      <c r="AW515" s="317">
        <f t="shared" si="57"/>
        <v>0.70667511750000001</v>
      </c>
      <c r="AX515" s="317">
        <f t="shared" si="57"/>
        <v>9.926829900000001E-4</v>
      </c>
      <c r="AY515" s="313">
        <f t="shared" si="57"/>
        <v>2659.7785947481525</v>
      </c>
      <c r="AZ515" s="40">
        <f t="shared" si="57"/>
        <v>1002</v>
      </c>
      <c r="BA515" s="40">
        <f t="shared" si="57"/>
        <v>0</v>
      </c>
      <c r="BB515" s="40">
        <f t="shared" si="57"/>
        <v>0</v>
      </c>
      <c r="BC515" s="40">
        <f t="shared" si="57"/>
        <v>-8.3137186047735252</v>
      </c>
      <c r="BD515" s="40">
        <f t="shared" si="57"/>
        <v>2.8670040065251882E-3</v>
      </c>
      <c r="BE515" s="40">
        <f t="shared" si="57"/>
        <v>20.593449131574513</v>
      </c>
      <c r="BF515" s="40">
        <f t="shared" si="57"/>
        <v>4.5379050923953701E-3</v>
      </c>
      <c r="BG515" s="40">
        <f t="shared" si="57"/>
        <v>0</v>
      </c>
      <c r="BH515" s="40">
        <f t="shared" si="57"/>
        <v>1000</v>
      </c>
      <c r="BI515" s="40">
        <f t="shared" si="57"/>
        <v>0</v>
      </c>
      <c r="BJ515" s="40">
        <f t="shared" si="57"/>
        <v>0</v>
      </c>
      <c r="BK515" s="40">
        <f t="shared" si="57"/>
        <v>0</v>
      </c>
      <c r="BL515" s="62">
        <v>0.5</v>
      </c>
      <c r="BM515" s="275">
        <v>2</v>
      </c>
      <c r="BN515" s="62">
        <v>0</v>
      </c>
      <c r="BO515" s="33" t="s">
        <v>526</v>
      </c>
    </row>
    <row r="516" spans="1:67">
      <c r="A516" s="33" t="str">
        <f>Database_Productkaarten[[#This Row],[Product]]&amp;", "&amp;Database_Productkaarten[[#This Row],[Levensfase]]</f>
        <v>AC bin/base 50% PR - PCR 2.0, A1</v>
      </c>
      <c r="B516" s="33" t="s">
        <v>238</v>
      </c>
      <c r="C516" s="33" t="s">
        <v>483</v>
      </c>
      <c r="D516" s="33" t="s">
        <v>381</v>
      </c>
      <c r="E516" s="33" t="s">
        <v>378</v>
      </c>
      <c r="F516" s="33" t="s">
        <v>74</v>
      </c>
      <c r="L516" s="33">
        <v>2.37</v>
      </c>
      <c r="M516" s="269">
        <v>1</v>
      </c>
      <c r="N516" s="211">
        <v>2.7740951495482511</v>
      </c>
      <c r="O516" s="33">
        <v>45</v>
      </c>
      <c r="P516" s="163">
        <v>3.2750851091353003E-4</v>
      </c>
      <c r="Q516" s="163">
        <v>0.48876942043413002</v>
      </c>
      <c r="R516" s="163">
        <v>21.474959546248002</v>
      </c>
      <c r="S516" s="163">
        <v>1.73837041783756E-6</v>
      </c>
      <c r="T516" s="163">
        <v>5.1840390148508698E-2</v>
      </c>
      <c r="U516" s="163">
        <v>0.13968796205134701</v>
      </c>
      <c r="V516" s="163">
        <v>1.17641763411966E-2</v>
      </c>
      <c r="W516" s="163">
        <v>5.4741577833958601</v>
      </c>
      <c r="X516" s="163">
        <v>0.75937566035092197</v>
      </c>
      <c r="Y516" s="163">
        <v>3323.2535184148201</v>
      </c>
      <c r="Z516" s="163">
        <v>9.9141246021614907E-2</v>
      </c>
      <c r="AA516" s="163">
        <v>22.870132635704699</v>
      </c>
      <c r="AB516" s="163">
        <v>22.8019563328209</v>
      </c>
      <c r="AC516" s="163">
        <v>6.7105406108054905E-2</v>
      </c>
      <c r="AD516" s="163">
        <v>1.3630896775809601E-2</v>
      </c>
      <c r="AE516" s="163">
        <v>2.1091717437771199E-6</v>
      </c>
      <c r="AF516" s="163">
        <v>0.164401123378981</v>
      </c>
      <c r="AG516" s="163">
        <v>3.6628791544495202E-4</v>
      </c>
      <c r="AH516" s="163">
        <v>2.43280350908394E-2</v>
      </c>
      <c r="AI516" s="163">
        <v>0.24555617534993501</v>
      </c>
      <c r="AJ516" s="163">
        <v>0.15977542278378801</v>
      </c>
      <c r="AK516" s="163">
        <v>3.2748761025284799E-4</v>
      </c>
      <c r="AL516" s="163">
        <v>1036.0822239338499</v>
      </c>
      <c r="AM516" s="163">
        <v>27.315931849049701</v>
      </c>
      <c r="AN516" s="163">
        <v>8.7679819479842398E-7</v>
      </c>
      <c r="AO516" s="163">
        <v>0.68757003201841804</v>
      </c>
      <c r="AP516" s="163">
        <v>1250.5866516823401</v>
      </c>
      <c r="AQ516" s="163">
        <v>7.3851475358664202E-9</v>
      </c>
      <c r="AR516" s="163">
        <v>3.1505523213096202E-7</v>
      </c>
      <c r="AS516" s="163">
        <v>269.67786925939703</v>
      </c>
      <c r="AT516" s="163">
        <v>0</v>
      </c>
      <c r="AU516" s="163">
        <v>0</v>
      </c>
      <c r="AV516" s="313">
        <v>8.7222627538642303</v>
      </c>
      <c r="AW516" s="315">
        <v>0</v>
      </c>
      <c r="AX516" s="315">
        <v>0</v>
      </c>
      <c r="AY516" s="313">
        <v>1102.5157309388001</v>
      </c>
      <c r="AZ516" s="163">
        <v>501</v>
      </c>
      <c r="BA516" s="163">
        <v>0</v>
      </c>
      <c r="BB516" s="163">
        <v>0</v>
      </c>
      <c r="BC516" s="163">
        <v>0.65094897128599205</v>
      </c>
      <c r="BD516" s="163">
        <v>5.1245506786644704E-4</v>
      </c>
      <c r="BE516" s="163">
        <v>2.4107530906329</v>
      </c>
      <c r="BF516" s="163">
        <v>5.0600725283806499E-4</v>
      </c>
      <c r="BG516" s="163">
        <v>0</v>
      </c>
      <c r="BH516" s="163">
        <v>0</v>
      </c>
      <c r="BI516" s="163">
        <v>0</v>
      </c>
      <c r="BJ516" s="163">
        <v>0</v>
      </c>
      <c r="BK516" s="163">
        <v>0</v>
      </c>
      <c r="BL516" s="62">
        <v>0.5</v>
      </c>
      <c r="BM516" s="275">
        <v>2</v>
      </c>
      <c r="BN516" s="62">
        <v>0</v>
      </c>
      <c r="BO516" s="33" t="s">
        <v>526</v>
      </c>
    </row>
    <row r="517" spans="1:67">
      <c r="A517" s="33" t="str">
        <f>Database_Productkaarten[[#This Row],[Product]]&amp;", "&amp;Database_Productkaarten[[#This Row],[Levensfase]]</f>
        <v>AC bin/base 50% PR - PCR 2.0, A2</v>
      </c>
      <c r="B517" s="33" t="s">
        <v>238</v>
      </c>
      <c r="C517" s="33" t="s">
        <v>483</v>
      </c>
      <c r="D517" s="33" t="s">
        <v>381</v>
      </c>
      <c r="E517" s="33" t="s">
        <v>378</v>
      </c>
      <c r="F517" s="33" t="s">
        <v>75</v>
      </c>
      <c r="L517" s="33">
        <v>2.37</v>
      </c>
      <c r="M517" s="269">
        <v>1</v>
      </c>
      <c r="N517" s="211">
        <v>1.4653902547148507</v>
      </c>
      <c r="O517" s="33">
        <v>45</v>
      </c>
      <c r="P517" s="163">
        <v>1.39223781196203E-4</v>
      </c>
      <c r="Q517" s="163">
        <v>7.8348909750853998E-2</v>
      </c>
      <c r="R517" s="163">
        <v>12.260806480351899</v>
      </c>
      <c r="S517" s="163">
        <v>1.83881057853449E-6</v>
      </c>
      <c r="T517" s="163">
        <v>7.2451912276389396E-3</v>
      </c>
      <c r="U517" s="163">
        <v>8.1098385479695598E-2</v>
      </c>
      <c r="V517" s="163">
        <v>1.7872703615385999E-2</v>
      </c>
      <c r="W517" s="163">
        <v>3.40895880752272</v>
      </c>
      <c r="X517" s="163">
        <v>8.94502334776245E-2</v>
      </c>
      <c r="Y517" s="163">
        <v>295.90157509641398</v>
      </c>
      <c r="Z517" s="163">
        <v>1.53075151870424E-2</v>
      </c>
      <c r="AA517" s="163">
        <v>12.400224917334199</v>
      </c>
      <c r="AB517" s="163">
        <v>12.363537563961801</v>
      </c>
      <c r="AC517" s="163">
        <v>1.7263748979387799E-2</v>
      </c>
      <c r="AD517" s="163">
        <v>1.9423604393015399E-2</v>
      </c>
      <c r="AE517" s="163">
        <v>2.28851421723856E-6</v>
      </c>
      <c r="AF517" s="163">
        <v>0.112569260083619</v>
      </c>
      <c r="AG517" s="163">
        <v>1.4407597428140601E-4</v>
      </c>
      <c r="AH517" s="163">
        <v>4.7164306266147198E-2</v>
      </c>
      <c r="AI517" s="163">
        <v>0.51919552919183498</v>
      </c>
      <c r="AJ517" s="163">
        <v>0.135377890939677</v>
      </c>
      <c r="AK517" s="163">
        <v>1.3921864442483401E-4</v>
      </c>
      <c r="AL517" s="163">
        <v>162.3696118853</v>
      </c>
      <c r="AM517" s="163">
        <v>0.724301734799358</v>
      </c>
      <c r="AN517" s="163">
        <v>4.43103851787307E-7</v>
      </c>
      <c r="AO517" s="163">
        <v>0.69885413483224401</v>
      </c>
      <c r="AP517" s="163">
        <v>143.79490933053199</v>
      </c>
      <c r="AQ517" s="163">
        <v>5.7748239525369304E-9</v>
      </c>
      <c r="AR517" s="163">
        <v>1.1183265193400099E-7</v>
      </c>
      <c r="AS517" s="163">
        <v>127.908507080391</v>
      </c>
      <c r="AT517" s="163">
        <v>0</v>
      </c>
      <c r="AU517" s="163">
        <v>0</v>
      </c>
      <c r="AV517" s="313">
        <v>3.4184511377505098</v>
      </c>
      <c r="AW517" s="315">
        <v>0</v>
      </c>
      <c r="AX517" s="315">
        <v>0</v>
      </c>
      <c r="AY517" s="313">
        <v>172.322136809846</v>
      </c>
      <c r="AZ517" s="163">
        <v>0</v>
      </c>
      <c r="BA517" s="163">
        <v>0</v>
      </c>
      <c r="BB517" s="163">
        <v>0</v>
      </c>
      <c r="BC517" s="163">
        <v>2.85133229127871E-2</v>
      </c>
      <c r="BD517" s="163">
        <v>4.2050522584460501E-4</v>
      </c>
      <c r="BE517" s="163">
        <v>2.9279950902130198</v>
      </c>
      <c r="BF517" s="163">
        <v>1.05537804396727E-3</v>
      </c>
      <c r="BG517" s="163">
        <v>0</v>
      </c>
      <c r="BH517" s="163">
        <v>0</v>
      </c>
      <c r="BI517" s="163">
        <v>0</v>
      </c>
      <c r="BJ517" s="163">
        <v>0</v>
      </c>
      <c r="BK517" s="163">
        <v>0</v>
      </c>
      <c r="BL517" s="62">
        <v>0.5</v>
      </c>
      <c r="BM517" s="275">
        <v>2</v>
      </c>
      <c r="BN517" s="62">
        <v>0</v>
      </c>
      <c r="BO517" s="33" t="s">
        <v>526</v>
      </c>
    </row>
    <row r="518" spans="1:67">
      <c r="A518" s="33" t="str">
        <f>Database_Productkaarten[[#This Row],[Product]]&amp;", "&amp;Database_Productkaarten[[#This Row],[Levensfase]]</f>
        <v>AC bin/base 50% PR - PCR 2.0, A3</v>
      </c>
      <c r="B518" s="33" t="s">
        <v>238</v>
      </c>
      <c r="C518" s="33" t="s">
        <v>483</v>
      </c>
      <c r="D518" s="33" t="s">
        <v>381</v>
      </c>
      <c r="E518" s="33" t="s">
        <v>378</v>
      </c>
      <c r="F518" s="33" t="s">
        <v>76</v>
      </c>
      <c r="L518" s="33">
        <v>2.37</v>
      </c>
      <c r="M518" s="269">
        <v>1</v>
      </c>
      <c r="N518" s="211">
        <v>1.6691827309115628</v>
      </c>
      <c r="O518" s="33">
        <v>45</v>
      </c>
      <c r="P518" s="163">
        <v>1.75221471812503E-5</v>
      </c>
      <c r="Q518" s="163">
        <v>0.20284439429617501</v>
      </c>
      <c r="R518" s="163">
        <v>23.6026624250125</v>
      </c>
      <c r="S518" s="163">
        <v>2.7764265033234102E-6</v>
      </c>
      <c r="T518" s="163">
        <v>3.80386090478894E-3</v>
      </c>
      <c r="U518" s="163">
        <v>2.1588482274775202E-2</v>
      </c>
      <c r="V518" s="163">
        <v>3.5188368837801298E-3</v>
      </c>
      <c r="W518" s="163">
        <v>3.55647192692998</v>
      </c>
      <c r="X518" s="163">
        <v>2.2241138790628799E-2</v>
      </c>
      <c r="Y518" s="163">
        <v>90.268805783170507</v>
      </c>
      <c r="Z518" s="163">
        <v>1.8343986774449601E-2</v>
      </c>
      <c r="AA518" s="163">
        <v>23.9381513125353</v>
      </c>
      <c r="AB518" s="163">
        <v>23.8974598546077</v>
      </c>
      <c r="AC518" s="163">
        <v>3.9049750662162201E-2</v>
      </c>
      <c r="AD518" s="163">
        <v>1.6417072653309001E-3</v>
      </c>
      <c r="AE518" s="163">
        <v>3.1413355944547199E-6</v>
      </c>
      <c r="AF518" s="163">
        <v>2.7763589444059902E-2</v>
      </c>
      <c r="AG518" s="163">
        <v>1.9265988312221801E-4</v>
      </c>
      <c r="AH518" s="163">
        <v>7.9453280378262402E-3</v>
      </c>
      <c r="AI518" s="163">
        <v>8.9096596140603404E-2</v>
      </c>
      <c r="AJ518" s="163">
        <v>2.7610949722309999E-2</v>
      </c>
      <c r="AK518" s="163">
        <v>1.7521901678027301E-5</v>
      </c>
      <c r="AL518" s="163">
        <v>374.358851798579</v>
      </c>
      <c r="AM518" s="163">
        <v>0.413957004318808</v>
      </c>
      <c r="AN518" s="163">
        <v>1.9033705044398901E-7</v>
      </c>
      <c r="AO518" s="163">
        <v>0.24380320062670299</v>
      </c>
      <c r="AP518" s="163">
        <v>60.963504578344903</v>
      </c>
      <c r="AQ518" s="163">
        <v>2.73197506392119E-9</v>
      </c>
      <c r="AR518" s="163">
        <v>4.1733387882570097E-8</v>
      </c>
      <c r="AS518" s="163">
        <v>13.181442438659801</v>
      </c>
      <c r="AT518" s="163">
        <v>0</v>
      </c>
      <c r="AU518" s="163">
        <v>0</v>
      </c>
      <c r="AV518" s="313">
        <v>5.0869073521177004</v>
      </c>
      <c r="AW518" s="315">
        <v>0</v>
      </c>
      <c r="AX518" s="315">
        <v>0</v>
      </c>
      <c r="AY518" s="313">
        <v>413.47140232975698</v>
      </c>
      <c r="AZ518" s="163">
        <v>0</v>
      </c>
      <c r="BA518" s="163">
        <v>0</v>
      </c>
      <c r="BB518" s="163">
        <v>0</v>
      </c>
      <c r="BC518" s="163">
        <v>2.9857069165504499E-2</v>
      </c>
      <c r="BD518" s="163">
        <v>4.64006666666618E-4</v>
      </c>
      <c r="BE518" s="163">
        <v>0.233966253145449</v>
      </c>
      <c r="BF518" s="163">
        <v>3.22473392759947E-4</v>
      </c>
      <c r="BG518" s="163">
        <v>0</v>
      </c>
      <c r="BH518" s="163">
        <v>0</v>
      </c>
      <c r="BI518" s="163">
        <v>0</v>
      </c>
      <c r="BJ518" s="163">
        <v>0</v>
      </c>
      <c r="BK518" s="163">
        <v>0</v>
      </c>
      <c r="BL518" s="62">
        <v>0.5</v>
      </c>
      <c r="BM518" s="275">
        <v>2</v>
      </c>
      <c r="BN518" s="62">
        <v>0</v>
      </c>
      <c r="BO518" s="33" t="s">
        <v>526</v>
      </c>
    </row>
    <row r="519" spans="1:67">
      <c r="A519" s="33" t="str">
        <f>Database_Productkaarten[[#This Row],[Product]]&amp;", "&amp;Database_Productkaarten[[#This Row],[Levensfase]]</f>
        <v>AC bin/base 50% PR - PCR 2.0, A1-A3</v>
      </c>
      <c r="B519" s="33" t="str">
        <f>B518</f>
        <v>AC bin/base 50% PR - PCR 2.0</v>
      </c>
      <c r="C519" s="33" t="str">
        <f>C518</f>
        <v>Bitumineuze verhardingen</v>
      </c>
      <c r="D519" s="33" t="str">
        <f>D518</f>
        <v>AC bin/base</v>
      </c>
      <c r="E519" s="33" t="str">
        <f>E518</f>
        <v>Ton</v>
      </c>
      <c r="F519" s="33" t="s">
        <v>77</v>
      </c>
      <c r="L519" s="33">
        <f>L518</f>
        <v>2.37</v>
      </c>
      <c r="M519" s="45">
        <f>M518</f>
        <v>1</v>
      </c>
      <c r="N519" s="41">
        <f>SUM(N516:N518)</f>
        <v>5.9086681351746639</v>
      </c>
      <c r="O519" s="33">
        <f>O518</f>
        <v>45</v>
      </c>
      <c r="P519" s="40">
        <f>SUM(P516:P518)</f>
        <v>4.842544392909833E-4</v>
      </c>
      <c r="Q519" s="40">
        <f t="shared" ref="Q519:BK519" si="58">SUM(Q516:Q518)</f>
        <v>0.7699627244811591</v>
      </c>
      <c r="R519" s="40">
        <f t="shared" si="58"/>
        <v>57.338428451612401</v>
      </c>
      <c r="S519" s="40">
        <f t="shared" si="58"/>
        <v>6.3536074996954605E-6</v>
      </c>
      <c r="T519" s="40">
        <f t="shared" si="58"/>
        <v>6.2889442280936583E-2</v>
      </c>
      <c r="U519" s="40">
        <f t="shared" si="58"/>
        <v>0.24237482980581779</v>
      </c>
      <c r="V519" s="40">
        <f t="shared" si="58"/>
        <v>3.3155716840362726E-2</v>
      </c>
      <c r="W519" s="40">
        <f t="shared" si="58"/>
        <v>12.439588517848559</v>
      </c>
      <c r="X519" s="40">
        <f t="shared" si="58"/>
        <v>0.87106703261917529</v>
      </c>
      <c r="Y519" s="40">
        <f t="shared" si="58"/>
        <v>3709.4238992944047</v>
      </c>
      <c r="Z519" s="40">
        <f t="shared" si="58"/>
        <v>0.13279274798310692</v>
      </c>
      <c r="AA519" s="40">
        <f t="shared" si="58"/>
        <v>59.208508865574203</v>
      </c>
      <c r="AB519" s="40">
        <f t="shared" si="58"/>
        <v>59.062953751390395</v>
      </c>
      <c r="AC519" s="40">
        <f t="shared" si="58"/>
        <v>0.1234189057496049</v>
      </c>
      <c r="AD519" s="40">
        <f t="shared" si="58"/>
        <v>3.4696208434155898E-2</v>
      </c>
      <c r="AE519" s="40">
        <f t="shared" si="58"/>
        <v>7.5390215554703994E-6</v>
      </c>
      <c r="AF519" s="40">
        <f t="shared" si="58"/>
        <v>0.30473397290665988</v>
      </c>
      <c r="AG519" s="40">
        <f t="shared" si="58"/>
        <v>7.0302377284857604E-4</v>
      </c>
      <c r="AH519" s="40">
        <f t="shared" si="58"/>
        <v>7.9437669394812838E-2</v>
      </c>
      <c r="AI519" s="40">
        <f t="shared" si="58"/>
        <v>0.85384830068237338</v>
      </c>
      <c r="AJ519" s="40">
        <f t="shared" si="58"/>
        <v>0.32276426344577497</v>
      </c>
      <c r="AK519" s="40">
        <f t="shared" si="58"/>
        <v>4.8422815635570932E-4</v>
      </c>
      <c r="AL519" s="40">
        <f t="shared" si="58"/>
        <v>1572.8106876177289</v>
      </c>
      <c r="AM519" s="40">
        <f t="shared" si="58"/>
        <v>28.454190588167865</v>
      </c>
      <c r="AN519" s="40">
        <f t="shared" si="58"/>
        <v>1.5102390970297201E-6</v>
      </c>
      <c r="AO519" s="40">
        <f t="shared" si="58"/>
        <v>1.6302273674773651</v>
      </c>
      <c r="AP519" s="40">
        <f t="shared" si="58"/>
        <v>1455.345065591217</v>
      </c>
      <c r="AQ519" s="40">
        <f t="shared" si="58"/>
        <v>1.5891946552324539E-8</v>
      </c>
      <c r="AR519" s="40">
        <f t="shared" si="58"/>
        <v>4.6862127194753312E-7</v>
      </c>
      <c r="AS519" s="40">
        <f t="shared" si="58"/>
        <v>410.76781877844786</v>
      </c>
      <c r="AT519" s="40">
        <f t="shared" si="58"/>
        <v>0</v>
      </c>
      <c r="AU519" s="40">
        <f t="shared" si="58"/>
        <v>0</v>
      </c>
      <c r="AV519" s="317">
        <f t="shared" si="58"/>
        <v>17.227621243732443</v>
      </c>
      <c r="AW519" s="317">
        <f t="shared" si="58"/>
        <v>0</v>
      </c>
      <c r="AX519" s="317">
        <f t="shared" si="58"/>
        <v>0</v>
      </c>
      <c r="AY519" s="317">
        <f t="shared" si="58"/>
        <v>1688.309270078403</v>
      </c>
      <c r="AZ519" s="40">
        <f t="shared" si="58"/>
        <v>501</v>
      </c>
      <c r="BA519" s="40">
        <f t="shared" si="58"/>
        <v>0</v>
      </c>
      <c r="BB519" s="40">
        <f t="shared" si="58"/>
        <v>0</v>
      </c>
      <c r="BC519" s="40">
        <f t="shared" si="58"/>
        <v>0.70931936336428358</v>
      </c>
      <c r="BD519" s="40">
        <f t="shared" si="58"/>
        <v>1.3969669603776701E-3</v>
      </c>
      <c r="BE519" s="40">
        <f t="shared" si="58"/>
        <v>5.5727144339913695</v>
      </c>
      <c r="BF519" s="40">
        <f t="shared" si="58"/>
        <v>1.8838586895652818E-3</v>
      </c>
      <c r="BG519" s="40">
        <f t="shared" si="58"/>
        <v>0</v>
      </c>
      <c r="BH519" s="40">
        <f t="shared" si="58"/>
        <v>0</v>
      </c>
      <c r="BI519" s="40">
        <f t="shared" si="58"/>
        <v>0</v>
      </c>
      <c r="BJ519" s="40">
        <f t="shared" si="58"/>
        <v>0</v>
      </c>
      <c r="BK519" s="40">
        <f t="shared" si="58"/>
        <v>0</v>
      </c>
      <c r="BL519" s="62">
        <f>BL518</f>
        <v>0.5</v>
      </c>
      <c r="BM519" s="275">
        <f>BM518</f>
        <v>2</v>
      </c>
      <c r="BN519" s="62">
        <v>0</v>
      </c>
      <c r="BO519" s="33" t="str">
        <f>BO518</f>
        <v>Ecochain 2022 LCA Achtergrondrapport voor Nederlandse branchereferentiemengsels 2022</v>
      </c>
    </row>
    <row r="520" spans="1:67">
      <c r="A520" s="33" t="str">
        <f>Database_Productkaarten[[#This Row],[Product]]&amp;", "&amp;Database_Productkaarten[[#This Row],[Levensfase]]</f>
        <v>AC bin/base 50% PR - PCR 2.0, A4</v>
      </c>
      <c r="B520" s="33" t="s">
        <v>238</v>
      </c>
      <c r="C520" s="33" t="s">
        <v>483</v>
      </c>
      <c r="D520" s="33" t="s">
        <v>381</v>
      </c>
      <c r="E520" s="33" t="s">
        <v>378</v>
      </c>
      <c r="F520" s="33" t="s">
        <v>78</v>
      </c>
      <c r="L520" s="33">
        <v>2.37</v>
      </c>
      <c r="M520" s="269">
        <v>1</v>
      </c>
      <c r="N520" s="211">
        <v>0.37546048090943995</v>
      </c>
      <c r="O520" s="33">
        <v>45</v>
      </c>
      <c r="P520" s="163">
        <v>6.8533509000000002E-5</v>
      </c>
      <c r="Q520" s="163">
        <v>2.9713889699999999E-2</v>
      </c>
      <c r="R520" s="163">
        <v>3.9891474704999998</v>
      </c>
      <c r="S520" s="163">
        <v>7.557213E-7</v>
      </c>
      <c r="T520" s="163">
        <v>2.4773701499999998E-3</v>
      </c>
      <c r="U520" s="163">
        <v>1.36398132E-2</v>
      </c>
      <c r="V520" s="163">
        <v>2.5682192100000001E-3</v>
      </c>
      <c r="W520" s="163">
        <v>0.8608144794</v>
      </c>
      <c r="X520" s="163">
        <v>3.6189873900000002E-2</v>
      </c>
      <c r="Y520" s="163">
        <v>97.376595929999993</v>
      </c>
      <c r="Z520" s="163">
        <v>4.8437180999999999E-3</v>
      </c>
      <c r="AA520" s="163">
        <v>4.0259382761999998</v>
      </c>
      <c r="AB520" s="163">
        <v>4.0229543298000001</v>
      </c>
      <c r="AC520" s="163">
        <v>1.9814632200000001E-3</v>
      </c>
      <c r="AD520" s="163">
        <v>1.0024609799999999E-3</v>
      </c>
      <c r="AE520" s="163">
        <v>9.4976262000000003E-7</v>
      </c>
      <c r="AF520" s="163">
        <v>1.7739576E-2</v>
      </c>
      <c r="AG520" s="163">
        <v>2.7841996800000001E-5</v>
      </c>
      <c r="AH520" s="163">
        <v>5.5484582100000001E-3</v>
      </c>
      <c r="AI520" s="163">
        <v>6.1385308800000003E-2</v>
      </c>
      <c r="AJ520" s="163">
        <v>1.9235744999999999E-2</v>
      </c>
      <c r="AK520" s="163">
        <v>6.8533397999999998E-5</v>
      </c>
      <c r="AL520" s="163">
        <v>62.400806729999999</v>
      </c>
      <c r="AM520" s="163">
        <v>0.212954166</v>
      </c>
      <c r="AN520" s="163">
        <v>2.9338876200000002E-7</v>
      </c>
      <c r="AO520" s="163">
        <v>0.26868483510000002</v>
      </c>
      <c r="AP520" s="163">
        <v>45.56587296</v>
      </c>
      <c r="AQ520" s="163">
        <v>1.16371179E-9</v>
      </c>
      <c r="AR520" s="163">
        <v>3.8268015899999999E-8</v>
      </c>
      <c r="AS520" s="163">
        <v>71.806844609999999</v>
      </c>
      <c r="AT520" s="163">
        <v>0</v>
      </c>
      <c r="AU520" s="163">
        <v>0</v>
      </c>
      <c r="AV520" s="313">
        <v>0.63474917099999995</v>
      </c>
      <c r="AW520" s="315">
        <v>0</v>
      </c>
      <c r="AX520" s="315">
        <v>0</v>
      </c>
      <c r="AY520" s="313">
        <v>66.265108560000002</v>
      </c>
      <c r="AZ520" s="163">
        <v>0</v>
      </c>
      <c r="BA520" s="163">
        <v>0</v>
      </c>
      <c r="BB520" s="163">
        <v>0</v>
      </c>
      <c r="BC520" s="163">
        <v>6.7467797999999999E-3</v>
      </c>
      <c r="BD520" s="163">
        <v>1.54707915E-4</v>
      </c>
      <c r="BE520" s="163">
        <v>5.4635493149999999</v>
      </c>
      <c r="BF520" s="163">
        <v>4.25149758E-4</v>
      </c>
      <c r="BG520" s="163">
        <v>0</v>
      </c>
      <c r="BH520" s="163">
        <v>0</v>
      </c>
      <c r="BI520" s="163">
        <v>0</v>
      </c>
      <c r="BJ520" s="163">
        <v>0</v>
      </c>
      <c r="BK520" s="163">
        <v>0</v>
      </c>
      <c r="BL520" s="62">
        <v>0.5</v>
      </c>
      <c r="BM520" s="275">
        <v>2</v>
      </c>
      <c r="BN520" s="62">
        <v>0</v>
      </c>
      <c r="BO520" s="33" t="s">
        <v>526</v>
      </c>
    </row>
    <row r="521" spans="1:67">
      <c r="A521" s="33" t="str">
        <f>Database_Productkaarten[[#This Row],[Product]]&amp;", "&amp;Database_Productkaarten[[#This Row],[Levensfase]]</f>
        <v>AC bin/base 50% PR - PCR 2.0, A5</v>
      </c>
      <c r="B521" s="33" t="s">
        <v>238</v>
      </c>
      <c r="C521" s="33" t="s">
        <v>483</v>
      </c>
      <c r="D521" s="33" t="s">
        <v>381</v>
      </c>
      <c r="E521" s="33" t="s">
        <v>378</v>
      </c>
      <c r="F521" s="33" t="s">
        <v>79</v>
      </c>
      <c r="L521" s="33">
        <v>2.37</v>
      </c>
      <c r="M521" s="269">
        <v>1</v>
      </c>
      <c r="N521" s="211">
        <v>0.14177533127618935</v>
      </c>
      <c r="O521" s="33">
        <v>45</v>
      </c>
      <c r="P521" s="163">
        <v>1.6131416714689599E-6</v>
      </c>
      <c r="Q521" s="163">
        <v>6.8622725952800102E-3</v>
      </c>
      <c r="R521" s="163">
        <v>1.39560232681359</v>
      </c>
      <c r="S521" s="163">
        <v>1.80345953791279E-7</v>
      </c>
      <c r="T521" s="163">
        <v>5.1654444148408905E-4</v>
      </c>
      <c r="U521" s="163">
        <v>5.5620934986418003E-3</v>
      </c>
      <c r="V521" s="163">
        <v>1.2666295717526899E-3</v>
      </c>
      <c r="W521" s="163">
        <v>0.37946512669385002</v>
      </c>
      <c r="X521" s="163">
        <v>5.3530921075864704E-3</v>
      </c>
      <c r="Y521" s="163">
        <v>18.5996358535537</v>
      </c>
      <c r="Z521" s="163">
        <v>6.3393441074713298E-4</v>
      </c>
      <c r="AA521" s="163">
        <v>1.4061400511337501</v>
      </c>
      <c r="AB521" s="163">
        <v>1.4057369356633</v>
      </c>
      <c r="AC521" s="163">
        <v>3.2107603494744099E-4</v>
      </c>
      <c r="AD521" s="163">
        <v>8.2039435495729002E-5</v>
      </c>
      <c r="AE521" s="163">
        <v>2.2724302470551701E-7</v>
      </c>
      <c r="AF521" s="163">
        <v>7.7455939988716003E-3</v>
      </c>
      <c r="AG521" s="163">
        <v>3.8329292479681096E-6</v>
      </c>
      <c r="AH521" s="163">
        <v>3.3301407895062998E-3</v>
      </c>
      <c r="AI521" s="163">
        <v>3.65535048593379E-2</v>
      </c>
      <c r="AJ521" s="163">
        <v>9.5750220949219807E-3</v>
      </c>
      <c r="AK521" s="163">
        <v>1.6131290129532501E-6</v>
      </c>
      <c r="AL521" s="163">
        <v>14.478976342411899</v>
      </c>
      <c r="AM521" s="163">
        <v>1.9283631399492501E-2</v>
      </c>
      <c r="AN521" s="163">
        <v>2.9438644917987999E-8</v>
      </c>
      <c r="AO521" s="163">
        <v>6.2145111108775401E-2</v>
      </c>
      <c r="AP521" s="163">
        <v>8.6879180918054804</v>
      </c>
      <c r="AQ521" s="163">
        <v>3.0480075914693101E-10</v>
      </c>
      <c r="AR521" s="163">
        <v>7.4560899513887093E-9</v>
      </c>
      <c r="AS521" s="163">
        <v>1.8493735889060301</v>
      </c>
      <c r="AT521" s="163">
        <v>0</v>
      </c>
      <c r="AU521" s="163">
        <v>0</v>
      </c>
      <c r="AV521" s="313">
        <v>7.9583646875925201E-2</v>
      </c>
      <c r="AW521" s="315">
        <v>0</v>
      </c>
      <c r="AX521" s="315">
        <v>0</v>
      </c>
      <c r="AY521" s="313">
        <v>15.3762149296575</v>
      </c>
      <c r="AZ521" s="163">
        <v>0</v>
      </c>
      <c r="BA521" s="163">
        <v>0</v>
      </c>
      <c r="BB521" s="163">
        <v>0</v>
      </c>
      <c r="BC521" s="163">
        <v>7.4846707954374101E-4</v>
      </c>
      <c r="BD521" s="163">
        <v>3.9430118883656602E-5</v>
      </c>
      <c r="BE521" s="163">
        <v>1.7132562793932E-2</v>
      </c>
      <c r="BF521" s="163">
        <v>1.0062966228481601E-4</v>
      </c>
      <c r="BG521" s="163">
        <v>0</v>
      </c>
      <c r="BH521" s="163">
        <v>0</v>
      </c>
      <c r="BI521" s="163">
        <v>0</v>
      </c>
      <c r="BJ521" s="163">
        <v>0</v>
      </c>
      <c r="BK521" s="163">
        <v>0</v>
      </c>
      <c r="BL521" s="62">
        <v>0.5</v>
      </c>
      <c r="BM521" s="275">
        <v>2</v>
      </c>
      <c r="BN521" s="62">
        <v>0</v>
      </c>
      <c r="BO521" s="33" t="s">
        <v>526</v>
      </c>
    </row>
    <row r="522" spans="1:67">
      <c r="A522" s="33" t="str">
        <f>Database_Productkaarten[[#This Row],[Product]]&amp;", "&amp;Database_Productkaarten[[#This Row],[Levensfase]]</f>
        <v>AC bin/base 50% PR - PCR 2.0, B1</v>
      </c>
      <c r="B522" s="33" t="s">
        <v>238</v>
      </c>
      <c r="C522" s="33" t="s">
        <v>483</v>
      </c>
      <c r="D522" s="33" t="s">
        <v>381</v>
      </c>
      <c r="E522" s="33" t="s">
        <v>378</v>
      </c>
      <c r="F522" s="33" t="s">
        <v>80</v>
      </c>
      <c r="L522" s="33">
        <v>2.37</v>
      </c>
      <c r="M522" s="269">
        <v>1</v>
      </c>
      <c r="N522" s="211">
        <v>0</v>
      </c>
      <c r="O522" s="33">
        <v>45</v>
      </c>
      <c r="P522" s="163">
        <v>0</v>
      </c>
      <c r="Q522" s="163">
        <v>0</v>
      </c>
      <c r="R522" s="163">
        <v>0</v>
      </c>
      <c r="S522" s="163">
        <v>0</v>
      </c>
      <c r="T522" s="163">
        <v>0</v>
      </c>
      <c r="U522" s="163">
        <v>0</v>
      </c>
      <c r="V522" s="163">
        <v>0</v>
      </c>
      <c r="W522" s="163">
        <v>0</v>
      </c>
      <c r="X522" s="163">
        <v>0</v>
      </c>
      <c r="Y522" s="163">
        <v>0</v>
      </c>
      <c r="Z522" s="163">
        <v>0</v>
      </c>
      <c r="AA522" s="163">
        <v>0</v>
      </c>
      <c r="AB522" s="163">
        <v>0</v>
      </c>
      <c r="AC522" s="163">
        <v>0</v>
      </c>
      <c r="AD522" s="163">
        <v>0</v>
      </c>
      <c r="AE522" s="163">
        <v>0</v>
      </c>
      <c r="AF522" s="163">
        <v>0</v>
      </c>
      <c r="AG522" s="163">
        <v>0</v>
      </c>
      <c r="AH522" s="163">
        <v>0</v>
      </c>
      <c r="AI522" s="163">
        <v>0</v>
      </c>
      <c r="AJ522" s="163">
        <v>0</v>
      </c>
      <c r="AK522" s="163">
        <v>0</v>
      </c>
      <c r="AL522" s="163">
        <v>0</v>
      </c>
      <c r="AM522" s="163">
        <v>0</v>
      </c>
      <c r="AN522" s="163">
        <v>0</v>
      </c>
      <c r="AO522" s="163">
        <v>0</v>
      </c>
      <c r="AP522" s="163">
        <v>0</v>
      </c>
      <c r="AQ522" s="163">
        <v>0</v>
      </c>
      <c r="AR522" s="163">
        <v>0</v>
      </c>
      <c r="AS522" s="163">
        <v>0</v>
      </c>
      <c r="AT522" s="163">
        <v>0</v>
      </c>
      <c r="AU522" s="163">
        <v>0</v>
      </c>
      <c r="AV522" s="313">
        <v>0</v>
      </c>
      <c r="AW522" s="315">
        <v>0</v>
      </c>
      <c r="AX522" s="315">
        <v>0</v>
      </c>
      <c r="AY522" s="313">
        <v>0</v>
      </c>
      <c r="AZ522" s="163">
        <v>0</v>
      </c>
      <c r="BA522" s="163">
        <v>0</v>
      </c>
      <c r="BB522" s="163">
        <v>0</v>
      </c>
      <c r="BC522" s="163">
        <v>0</v>
      </c>
      <c r="BD522" s="163">
        <v>0</v>
      </c>
      <c r="BE522" s="163">
        <v>0</v>
      </c>
      <c r="BF522" s="163">
        <v>0</v>
      </c>
      <c r="BG522" s="163">
        <v>0</v>
      </c>
      <c r="BH522" s="163">
        <v>0</v>
      </c>
      <c r="BI522" s="163">
        <v>0</v>
      </c>
      <c r="BJ522" s="163">
        <v>0</v>
      </c>
      <c r="BK522" s="163">
        <v>0</v>
      </c>
      <c r="BL522" s="62">
        <v>0.5</v>
      </c>
      <c r="BM522" s="275">
        <v>2</v>
      </c>
      <c r="BN522" s="62">
        <v>0</v>
      </c>
      <c r="BO522" s="33" t="s">
        <v>526</v>
      </c>
    </row>
    <row r="523" spans="1:67">
      <c r="A523" s="33" t="str">
        <f>Database_Productkaarten[[#This Row],[Product]]&amp;", "&amp;Database_Productkaarten[[#This Row],[Levensfase]]</f>
        <v>AC bin/base 50% PR - PCR 2.0, B2</v>
      </c>
      <c r="B523" s="33" t="s">
        <v>238</v>
      </c>
      <c r="C523" s="33" t="s">
        <v>483</v>
      </c>
      <c r="D523" s="33" t="s">
        <v>381</v>
      </c>
      <c r="E523" s="33" t="s">
        <v>378</v>
      </c>
      <c r="F523" s="33" t="s">
        <v>527</v>
      </c>
      <c r="L523" s="33">
        <v>2.37</v>
      </c>
      <c r="M523" s="269">
        <v>1</v>
      </c>
      <c r="N523" s="211">
        <v>0</v>
      </c>
      <c r="O523" s="33">
        <v>45</v>
      </c>
      <c r="P523" s="163">
        <v>0</v>
      </c>
      <c r="Q523" s="163">
        <v>0</v>
      </c>
      <c r="R523" s="163">
        <v>0</v>
      </c>
      <c r="S523" s="163">
        <v>0</v>
      </c>
      <c r="T523" s="163">
        <v>0</v>
      </c>
      <c r="U523" s="163">
        <v>0</v>
      </c>
      <c r="V523" s="163">
        <v>0</v>
      </c>
      <c r="W523" s="163">
        <v>0</v>
      </c>
      <c r="X523" s="163">
        <v>0</v>
      </c>
      <c r="Y523" s="163">
        <v>0</v>
      </c>
      <c r="Z523" s="163">
        <v>0</v>
      </c>
      <c r="AA523" s="163">
        <v>0</v>
      </c>
      <c r="AB523" s="163">
        <v>0</v>
      </c>
      <c r="AC523" s="163">
        <v>0</v>
      </c>
      <c r="AD523" s="163">
        <v>0</v>
      </c>
      <c r="AE523" s="163">
        <v>0</v>
      </c>
      <c r="AF523" s="163">
        <v>0</v>
      </c>
      <c r="AG523" s="163">
        <v>0</v>
      </c>
      <c r="AH523" s="163">
        <v>0</v>
      </c>
      <c r="AI523" s="163">
        <v>0</v>
      </c>
      <c r="AJ523" s="163">
        <v>0</v>
      </c>
      <c r="AK523" s="163">
        <v>0</v>
      </c>
      <c r="AL523" s="163">
        <v>0</v>
      </c>
      <c r="AM523" s="163">
        <v>0</v>
      </c>
      <c r="AN523" s="163">
        <v>0</v>
      </c>
      <c r="AO523" s="163">
        <v>0</v>
      </c>
      <c r="AP523" s="163">
        <v>0</v>
      </c>
      <c r="AQ523" s="163">
        <v>0</v>
      </c>
      <c r="AR523" s="163">
        <v>0</v>
      </c>
      <c r="AS523" s="163">
        <v>0</v>
      </c>
      <c r="AT523" s="163">
        <v>0</v>
      </c>
      <c r="AU523" s="163">
        <v>0</v>
      </c>
      <c r="AV523" s="313">
        <v>0</v>
      </c>
      <c r="AW523" s="315">
        <v>0</v>
      </c>
      <c r="AX523" s="315">
        <v>0</v>
      </c>
      <c r="AY523" s="313">
        <v>0</v>
      </c>
      <c r="AZ523" s="163">
        <v>0</v>
      </c>
      <c r="BA523" s="163">
        <v>0</v>
      </c>
      <c r="BB523" s="163">
        <v>0</v>
      </c>
      <c r="BC523" s="163">
        <v>0</v>
      </c>
      <c r="BD523" s="163">
        <v>0</v>
      </c>
      <c r="BE523" s="163">
        <v>0</v>
      </c>
      <c r="BF523" s="163">
        <v>0</v>
      </c>
      <c r="BG523" s="163">
        <v>0</v>
      </c>
      <c r="BH523" s="163">
        <v>0</v>
      </c>
      <c r="BI523" s="163">
        <v>0</v>
      </c>
      <c r="BJ523" s="163">
        <v>0</v>
      </c>
      <c r="BK523" s="163">
        <v>0</v>
      </c>
      <c r="BL523" s="62">
        <v>0.5</v>
      </c>
      <c r="BM523" s="275">
        <v>2</v>
      </c>
      <c r="BN523" s="62">
        <v>0</v>
      </c>
      <c r="BO523" s="33" t="s">
        <v>526</v>
      </c>
    </row>
    <row r="524" spans="1:67">
      <c r="A524" s="33" t="str">
        <f>Database_Productkaarten[[#This Row],[Product]]&amp;", "&amp;Database_Productkaarten[[#This Row],[Levensfase]]</f>
        <v>AC bin/base 50% PR - PCR 2.0, B3</v>
      </c>
      <c r="B524" s="33" t="s">
        <v>238</v>
      </c>
      <c r="C524" s="33" t="s">
        <v>483</v>
      </c>
      <c r="D524" s="33" t="s">
        <v>381</v>
      </c>
      <c r="E524" s="33" t="s">
        <v>378</v>
      </c>
      <c r="F524" s="33" t="s">
        <v>81</v>
      </c>
      <c r="L524" s="33">
        <v>2.37</v>
      </c>
      <c r="M524" s="269">
        <v>1</v>
      </c>
      <c r="N524" s="211">
        <v>0</v>
      </c>
      <c r="O524" s="33">
        <v>45</v>
      </c>
      <c r="P524" s="163">
        <v>0</v>
      </c>
      <c r="Q524" s="163">
        <v>0</v>
      </c>
      <c r="R524" s="163">
        <v>0</v>
      </c>
      <c r="S524" s="163">
        <v>0</v>
      </c>
      <c r="T524" s="163">
        <v>0</v>
      </c>
      <c r="U524" s="163">
        <v>0</v>
      </c>
      <c r="V524" s="163">
        <v>0</v>
      </c>
      <c r="W524" s="163">
        <v>0</v>
      </c>
      <c r="X524" s="163">
        <v>0</v>
      </c>
      <c r="Y524" s="163">
        <v>0</v>
      </c>
      <c r="Z524" s="163">
        <v>0</v>
      </c>
      <c r="AA524" s="163">
        <v>0</v>
      </c>
      <c r="AB524" s="163">
        <v>0</v>
      </c>
      <c r="AC524" s="163">
        <v>0</v>
      </c>
      <c r="AD524" s="163">
        <v>0</v>
      </c>
      <c r="AE524" s="163">
        <v>0</v>
      </c>
      <c r="AF524" s="163">
        <v>0</v>
      </c>
      <c r="AG524" s="163">
        <v>0</v>
      </c>
      <c r="AH524" s="163">
        <v>0</v>
      </c>
      <c r="AI524" s="163">
        <v>0</v>
      </c>
      <c r="AJ524" s="163">
        <v>0</v>
      </c>
      <c r="AK524" s="163">
        <v>0</v>
      </c>
      <c r="AL524" s="163">
        <v>0</v>
      </c>
      <c r="AM524" s="163">
        <v>0</v>
      </c>
      <c r="AN524" s="163">
        <v>0</v>
      </c>
      <c r="AO524" s="163">
        <v>0</v>
      </c>
      <c r="AP524" s="163">
        <v>0</v>
      </c>
      <c r="AQ524" s="163">
        <v>0</v>
      </c>
      <c r="AR524" s="163">
        <v>0</v>
      </c>
      <c r="AS524" s="163">
        <v>0</v>
      </c>
      <c r="AT524" s="163">
        <v>0</v>
      </c>
      <c r="AU524" s="163">
        <v>0</v>
      </c>
      <c r="AV524" s="313">
        <v>0</v>
      </c>
      <c r="AW524" s="315">
        <v>0</v>
      </c>
      <c r="AX524" s="315">
        <v>0</v>
      </c>
      <c r="AY524" s="313">
        <v>0</v>
      </c>
      <c r="AZ524" s="163">
        <v>0</v>
      </c>
      <c r="BA524" s="163">
        <v>0</v>
      </c>
      <c r="BB524" s="163">
        <v>0</v>
      </c>
      <c r="BC524" s="163">
        <v>0</v>
      </c>
      <c r="BD524" s="163">
        <v>0</v>
      </c>
      <c r="BE524" s="163">
        <v>0</v>
      </c>
      <c r="BF524" s="163">
        <v>0</v>
      </c>
      <c r="BG524" s="163">
        <v>0</v>
      </c>
      <c r="BH524" s="163">
        <v>0</v>
      </c>
      <c r="BI524" s="163">
        <v>0</v>
      </c>
      <c r="BJ524" s="163">
        <v>0</v>
      </c>
      <c r="BK524" s="163">
        <v>0</v>
      </c>
      <c r="BL524" s="62">
        <v>0.5</v>
      </c>
      <c r="BM524" s="275">
        <v>2</v>
      </c>
      <c r="BN524" s="62">
        <v>0</v>
      </c>
      <c r="BO524" s="33" t="s">
        <v>526</v>
      </c>
    </row>
    <row r="525" spans="1:67">
      <c r="A525" s="33" t="str">
        <f>Database_Productkaarten[[#This Row],[Product]]&amp;", "&amp;Database_Productkaarten[[#This Row],[Levensfase]]</f>
        <v>AC bin/base 50% PR - PCR 2.0, B4</v>
      </c>
      <c r="B525" s="33" t="s">
        <v>238</v>
      </c>
      <c r="C525" s="33" t="s">
        <v>483</v>
      </c>
      <c r="D525" s="33" t="s">
        <v>381</v>
      </c>
      <c r="E525" s="33" t="s">
        <v>378</v>
      </c>
      <c r="F525" s="33" t="s">
        <v>82</v>
      </c>
      <c r="L525" s="33">
        <v>2.37</v>
      </c>
      <c r="M525" s="269">
        <v>1</v>
      </c>
      <c r="N525" s="211">
        <v>0</v>
      </c>
      <c r="O525" s="33">
        <v>45</v>
      </c>
      <c r="P525" s="163">
        <v>0</v>
      </c>
      <c r="Q525" s="163">
        <v>0</v>
      </c>
      <c r="R525" s="163">
        <v>0</v>
      </c>
      <c r="S525" s="163">
        <v>0</v>
      </c>
      <c r="T525" s="163">
        <v>0</v>
      </c>
      <c r="U525" s="163">
        <v>0</v>
      </c>
      <c r="V525" s="163">
        <v>0</v>
      </c>
      <c r="W525" s="163">
        <v>0</v>
      </c>
      <c r="X525" s="163">
        <v>0</v>
      </c>
      <c r="Y525" s="163">
        <v>0</v>
      </c>
      <c r="Z525" s="163">
        <v>0</v>
      </c>
      <c r="AA525" s="163">
        <v>0</v>
      </c>
      <c r="AB525" s="163">
        <v>0</v>
      </c>
      <c r="AC525" s="163">
        <v>0</v>
      </c>
      <c r="AD525" s="163">
        <v>0</v>
      </c>
      <c r="AE525" s="163">
        <v>0</v>
      </c>
      <c r="AF525" s="163">
        <v>0</v>
      </c>
      <c r="AG525" s="163">
        <v>0</v>
      </c>
      <c r="AH525" s="163">
        <v>0</v>
      </c>
      <c r="AI525" s="163">
        <v>0</v>
      </c>
      <c r="AJ525" s="163">
        <v>0</v>
      </c>
      <c r="AK525" s="163">
        <v>0</v>
      </c>
      <c r="AL525" s="163">
        <v>0</v>
      </c>
      <c r="AM525" s="163">
        <v>0</v>
      </c>
      <c r="AN525" s="163">
        <v>0</v>
      </c>
      <c r="AO525" s="163">
        <v>0</v>
      </c>
      <c r="AP525" s="163">
        <v>0</v>
      </c>
      <c r="AQ525" s="163">
        <v>0</v>
      </c>
      <c r="AR525" s="163">
        <v>0</v>
      </c>
      <c r="AS525" s="163">
        <v>0</v>
      </c>
      <c r="AT525" s="163">
        <v>0</v>
      </c>
      <c r="AU525" s="163">
        <v>0</v>
      </c>
      <c r="AV525" s="313">
        <v>0</v>
      </c>
      <c r="AW525" s="315">
        <v>0</v>
      </c>
      <c r="AX525" s="315">
        <v>0</v>
      </c>
      <c r="AY525" s="313">
        <v>0</v>
      </c>
      <c r="AZ525" s="163">
        <v>0</v>
      </c>
      <c r="BA525" s="163">
        <v>0</v>
      </c>
      <c r="BB525" s="163">
        <v>0</v>
      </c>
      <c r="BC525" s="163">
        <v>0</v>
      </c>
      <c r="BD525" s="163">
        <v>0</v>
      </c>
      <c r="BE525" s="163">
        <v>0</v>
      </c>
      <c r="BF525" s="163">
        <v>0</v>
      </c>
      <c r="BG525" s="163">
        <v>0</v>
      </c>
      <c r="BH525" s="163">
        <v>0</v>
      </c>
      <c r="BI525" s="163">
        <v>0</v>
      </c>
      <c r="BJ525" s="163">
        <v>0</v>
      </c>
      <c r="BK525" s="163">
        <v>0</v>
      </c>
      <c r="BL525" s="62">
        <v>0.5</v>
      </c>
      <c r="BM525" s="275">
        <v>2</v>
      </c>
      <c r="BN525" s="62">
        <v>0</v>
      </c>
      <c r="BO525" s="33" t="s">
        <v>526</v>
      </c>
    </row>
    <row r="526" spans="1:67">
      <c r="A526" s="33" t="str">
        <f>Database_Productkaarten[[#This Row],[Product]]&amp;", "&amp;Database_Productkaarten[[#This Row],[Levensfase]]</f>
        <v>AC bin/base 50% PR - PCR 2.0, B5</v>
      </c>
      <c r="B526" s="33" t="s">
        <v>238</v>
      </c>
      <c r="C526" s="33" t="s">
        <v>483</v>
      </c>
      <c r="D526" s="33" t="s">
        <v>381</v>
      </c>
      <c r="E526" s="33" t="s">
        <v>378</v>
      </c>
      <c r="F526" s="33" t="s">
        <v>528</v>
      </c>
      <c r="L526" s="33">
        <v>2.37</v>
      </c>
      <c r="M526" s="269">
        <v>1</v>
      </c>
      <c r="N526" s="211">
        <v>0</v>
      </c>
      <c r="O526" s="33">
        <v>45</v>
      </c>
      <c r="P526" s="163">
        <v>0</v>
      </c>
      <c r="Q526" s="163">
        <v>0</v>
      </c>
      <c r="R526" s="163">
        <v>0</v>
      </c>
      <c r="S526" s="163">
        <v>0</v>
      </c>
      <c r="T526" s="163">
        <v>0</v>
      </c>
      <c r="U526" s="163">
        <v>0</v>
      </c>
      <c r="V526" s="163">
        <v>0</v>
      </c>
      <c r="W526" s="163">
        <v>0</v>
      </c>
      <c r="X526" s="163">
        <v>0</v>
      </c>
      <c r="Y526" s="163">
        <v>0</v>
      </c>
      <c r="Z526" s="163">
        <v>0</v>
      </c>
      <c r="AA526" s="163">
        <v>0</v>
      </c>
      <c r="AB526" s="163">
        <v>0</v>
      </c>
      <c r="AC526" s="163">
        <v>0</v>
      </c>
      <c r="AD526" s="163">
        <v>0</v>
      </c>
      <c r="AE526" s="163">
        <v>0</v>
      </c>
      <c r="AF526" s="163">
        <v>0</v>
      </c>
      <c r="AG526" s="163">
        <v>0</v>
      </c>
      <c r="AH526" s="163">
        <v>0</v>
      </c>
      <c r="AI526" s="163">
        <v>0</v>
      </c>
      <c r="AJ526" s="163">
        <v>0</v>
      </c>
      <c r="AK526" s="163">
        <v>0</v>
      </c>
      <c r="AL526" s="163">
        <v>0</v>
      </c>
      <c r="AM526" s="163">
        <v>0</v>
      </c>
      <c r="AN526" s="163">
        <v>0</v>
      </c>
      <c r="AO526" s="163">
        <v>0</v>
      </c>
      <c r="AP526" s="163">
        <v>0</v>
      </c>
      <c r="AQ526" s="163">
        <v>0</v>
      </c>
      <c r="AR526" s="163">
        <v>0</v>
      </c>
      <c r="AS526" s="163">
        <v>0</v>
      </c>
      <c r="AT526" s="163">
        <v>0</v>
      </c>
      <c r="AU526" s="163">
        <v>0</v>
      </c>
      <c r="AV526" s="313">
        <v>0</v>
      </c>
      <c r="AW526" s="315">
        <v>0</v>
      </c>
      <c r="AX526" s="315">
        <v>0</v>
      </c>
      <c r="AY526" s="313">
        <v>0</v>
      </c>
      <c r="AZ526" s="163">
        <v>0</v>
      </c>
      <c r="BA526" s="163">
        <v>0</v>
      </c>
      <c r="BB526" s="163">
        <v>0</v>
      </c>
      <c r="BC526" s="163">
        <v>0</v>
      </c>
      <c r="BD526" s="163">
        <v>0</v>
      </c>
      <c r="BE526" s="163">
        <v>0</v>
      </c>
      <c r="BF526" s="163">
        <v>0</v>
      </c>
      <c r="BG526" s="163">
        <v>0</v>
      </c>
      <c r="BH526" s="163">
        <v>0</v>
      </c>
      <c r="BI526" s="163">
        <v>0</v>
      </c>
      <c r="BJ526" s="163">
        <v>0</v>
      </c>
      <c r="BK526" s="163">
        <v>0</v>
      </c>
      <c r="BL526" s="62">
        <v>0.5</v>
      </c>
      <c r="BM526" s="275">
        <v>2</v>
      </c>
      <c r="BN526" s="62">
        <v>0</v>
      </c>
      <c r="BO526" s="33" t="s">
        <v>526</v>
      </c>
    </row>
    <row r="527" spans="1:67">
      <c r="A527" s="33" t="str">
        <f>Database_Productkaarten[[#This Row],[Product]]&amp;", "&amp;Database_Productkaarten[[#This Row],[Levensfase]]</f>
        <v>AC bin/base 50% PR - PCR 2.0, C1</v>
      </c>
      <c r="B527" s="33" t="s">
        <v>238</v>
      </c>
      <c r="C527" s="33" t="s">
        <v>483</v>
      </c>
      <c r="D527" s="33" t="s">
        <v>381</v>
      </c>
      <c r="E527" s="33" t="s">
        <v>378</v>
      </c>
      <c r="F527" s="33" t="s">
        <v>83</v>
      </c>
      <c r="L527" s="33">
        <v>2.37</v>
      </c>
      <c r="M527" s="269">
        <v>1</v>
      </c>
      <c r="N527" s="211">
        <v>0.31586755498759506</v>
      </c>
      <c r="O527" s="33">
        <v>45</v>
      </c>
      <c r="P527" s="163">
        <v>3.8816221469721803E-6</v>
      </c>
      <c r="Q527" s="163">
        <v>1.6512343432392499E-2</v>
      </c>
      <c r="R527" s="163">
        <v>3.3581680988952098</v>
      </c>
      <c r="S527" s="163">
        <v>4.3395745131026602E-7</v>
      </c>
      <c r="T527" s="163">
        <v>1.10377739732131E-3</v>
      </c>
      <c r="U527" s="163">
        <v>9.5713374811089401E-3</v>
      </c>
      <c r="V527" s="163">
        <v>2.0565904070304602E-3</v>
      </c>
      <c r="W527" s="163">
        <v>0.90386476593207798</v>
      </c>
      <c r="X527" s="163">
        <v>1.2880877883879999E-2</v>
      </c>
      <c r="Y527" s="163">
        <v>44.755373772613702</v>
      </c>
      <c r="Z527" s="163">
        <v>1.52540467586029E-3</v>
      </c>
      <c r="AA527" s="163">
        <v>3.3788329847905798</v>
      </c>
      <c r="AB527" s="163">
        <v>3.3778629881898299</v>
      </c>
      <c r="AC527" s="163">
        <v>7.7258920909228305E-4</v>
      </c>
      <c r="AD527" s="163">
        <v>1.9740739166159801E-4</v>
      </c>
      <c r="AE527" s="163">
        <v>5.4680352819764898E-7</v>
      </c>
      <c r="AF527" s="163">
        <v>1.2995409559787899E-2</v>
      </c>
      <c r="AG527" s="163">
        <v>9.2229860029232798E-6</v>
      </c>
      <c r="AH527" s="163">
        <v>5.04706517475119E-3</v>
      </c>
      <c r="AI527" s="163">
        <v>5.5474797067799897E-2</v>
      </c>
      <c r="AJ527" s="163">
        <v>1.5154086355910401E-2</v>
      </c>
      <c r="AK527" s="163">
        <v>3.8815916874187598E-6</v>
      </c>
      <c r="AL527" s="163">
        <v>34.840036823928699</v>
      </c>
      <c r="AM527" s="163">
        <v>4.6401238055028798E-2</v>
      </c>
      <c r="AN527" s="163">
        <v>5.3732471761418201E-8</v>
      </c>
      <c r="AO527" s="163">
        <v>0.149536673605491</v>
      </c>
      <c r="AP527" s="163">
        <v>20.9041618496978</v>
      </c>
      <c r="AQ527" s="163">
        <v>7.3342682669729701E-10</v>
      </c>
      <c r="AR527" s="163">
        <v>1.47076762285959E-8</v>
      </c>
      <c r="AS527" s="163">
        <v>4.4500551983051402</v>
      </c>
      <c r="AT527" s="163">
        <v>0</v>
      </c>
      <c r="AU527" s="163">
        <v>0</v>
      </c>
      <c r="AV527" s="313">
        <v>0.19149815029519501</v>
      </c>
      <c r="AW527" s="315">
        <v>0</v>
      </c>
      <c r="AX527" s="315">
        <v>0</v>
      </c>
      <c r="AY527" s="313">
        <v>36.999017174488401</v>
      </c>
      <c r="AZ527" s="163">
        <v>0</v>
      </c>
      <c r="BA527" s="163">
        <v>0</v>
      </c>
      <c r="BB527" s="163">
        <v>0</v>
      </c>
      <c r="BC527" s="163">
        <v>1.80099891015212E-3</v>
      </c>
      <c r="BD527" s="163">
        <v>9.4878723563798594E-5</v>
      </c>
      <c r="BE527" s="163">
        <v>4.1225229222898799E-2</v>
      </c>
      <c r="BF527" s="163">
        <v>2.4214012487283799E-4</v>
      </c>
      <c r="BG527" s="163">
        <v>0</v>
      </c>
      <c r="BH527" s="163">
        <v>0</v>
      </c>
      <c r="BI527" s="163">
        <v>0</v>
      </c>
      <c r="BJ527" s="163">
        <v>0</v>
      </c>
      <c r="BK527" s="163">
        <v>0</v>
      </c>
      <c r="BL527" s="62">
        <v>0.5</v>
      </c>
      <c r="BM527" s="275">
        <v>2</v>
      </c>
      <c r="BN527" s="62">
        <v>0</v>
      </c>
      <c r="BO527" s="33" t="s">
        <v>526</v>
      </c>
    </row>
    <row r="528" spans="1:67">
      <c r="A528" s="33" t="str">
        <f>Database_Productkaarten[[#This Row],[Product]]&amp;", "&amp;Database_Productkaarten[[#This Row],[Levensfase]]</f>
        <v>AC bin/base 50% PR - PCR 2.0, C2</v>
      </c>
      <c r="B528" s="33" t="s">
        <v>238</v>
      </c>
      <c r="C528" s="33" t="s">
        <v>483</v>
      </c>
      <c r="D528" s="33" t="s">
        <v>381</v>
      </c>
      <c r="E528" s="33" t="s">
        <v>378</v>
      </c>
      <c r="F528" s="33" t="s">
        <v>84</v>
      </c>
      <c r="L528" s="33">
        <v>2.37</v>
      </c>
      <c r="M528" s="269">
        <v>1</v>
      </c>
      <c r="N528" s="211">
        <v>0.31791357541832999</v>
      </c>
      <c r="O528" s="33">
        <v>45</v>
      </c>
      <c r="P528" s="163">
        <v>7.2195843000000002E-5</v>
      </c>
      <c r="Q528" s="163">
        <v>2.5045429500000001E-2</v>
      </c>
      <c r="R528" s="163">
        <v>3.2726104581</v>
      </c>
      <c r="S528" s="163">
        <v>6.2448211500000004E-7</v>
      </c>
      <c r="T528" s="163">
        <v>2.3663202E-3</v>
      </c>
      <c r="U528" s="163">
        <v>9.9103019999999993E-3</v>
      </c>
      <c r="V528" s="163">
        <v>1.66070541E-3</v>
      </c>
      <c r="W528" s="163">
        <v>0.89062466159999998</v>
      </c>
      <c r="X528" s="163">
        <v>3.5055542699999998E-2</v>
      </c>
      <c r="Y528" s="163">
        <v>92.682047400000002</v>
      </c>
      <c r="Z528" s="163">
        <v>7.4868390000000003E-3</v>
      </c>
      <c r="AA528" s="163">
        <v>3.3150718431000001</v>
      </c>
      <c r="AB528" s="163">
        <v>3.3001817481</v>
      </c>
      <c r="AC528" s="163">
        <v>1.3607189190000001E-2</v>
      </c>
      <c r="AD528" s="163">
        <v>1.2829113599999999E-3</v>
      </c>
      <c r="AE528" s="163">
        <v>7.8107336699999998E-7</v>
      </c>
      <c r="AF528" s="163">
        <v>1.2482505E-2</v>
      </c>
      <c r="AG528" s="163">
        <v>3.4632532799999998E-5</v>
      </c>
      <c r="AH528" s="163">
        <v>2.8897329300000001E-3</v>
      </c>
      <c r="AI528" s="163">
        <v>3.3662059799999998E-2</v>
      </c>
      <c r="AJ528" s="163">
        <v>1.2098522699999999E-2</v>
      </c>
      <c r="AK528" s="163">
        <v>7.2195510000000004E-5</v>
      </c>
      <c r="AL528" s="163">
        <v>52.307882313</v>
      </c>
      <c r="AM528" s="163">
        <v>0.28570883850000001</v>
      </c>
      <c r="AN528" s="163">
        <v>2.8544027399999998E-7</v>
      </c>
      <c r="AO528" s="163">
        <v>0.22308385950000001</v>
      </c>
      <c r="AP528" s="163">
        <v>50.61443379</v>
      </c>
      <c r="AQ528" s="163">
        <v>1.35209877E-9</v>
      </c>
      <c r="AR528" s="163">
        <v>4.3221490799999998E-8</v>
      </c>
      <c r="AS528" s="163">
        <v>98.528772599999996</v>
      </c>
      <c r="AT528" s="163">
        <v>8.065825212</v>
      </c>
      <c r="AU528" s="163">
        <v>0</v>
      </c>
      <c r="AV528" s="313">
        <v>8.6963547624000004</v>
      </c>
      <c r="AW528" s="315">
        <v>0.70667511750000001</v>
      </c>
      <c r="AX528" s="315">
        <v>9.926829900000001E-4</v>
      </c>
      <c r="AY528" s="313">
        <v>55.561210727999999</v>
      </c>
      <c r="AZ528" s="163">
        <v>0</v>
      </c>
      <c r="BA528" s="163">
        <v>0</v>
      </c>
      <c r="BB528" s="163">
        <v>0</v>
      </c>
      <c r="BC528" s="163">
        <v>8.7338241000000007E-3</v>
      </c>
      <c r="BD528" s="163">
        <v>1.5376752299999999E-4</v>
      </c>
      <c r="BE528" s="163">
        <v>5.5583861609999996</v>
      </c>
      <c r="BF528" s="163">
        <v>3.4865666099999999E-4</v>
      </c>
      <c r="BG528" s="163">
        <v>0</v>
      </c>
      <c r="BH528" s="163">
        <v>0</v>
      </c>
      <c r="BI528" s="163">
        <v>0</v>
      </c>
      <c r="BJ528" s="163">
        <v>0</v>
      </c>
      <c r="BK528" s="163">
        <v>0</v>
      </c>
      <c r="BL528" s="62">
        <v>0.5</v>
      </c>
      <c r="BM528" s="275">
        <v>2</v>
      </c>
      <c r="BN528" s="62">
        <v>0</v>
      </c>
      <c r="BO528" s="33" t="s">
        <v>526</v>
      </c>
    </row>
    <row r="529" spans="1:67">
      <c r="A529" s="33" t="str">
        <f>Database_Productkaarten[[#This Row],[Product]]&amp;", "&amp;Database_Productkaarten[[#This Row],[Levensfase]]</f>
        <v>AC bin/base 50% PR - PCR 2.0, C3</v>
      </c>
      <c r="B529" s="33" t="s">
        <v>238</v>
      </c>
      <c r="C529" s="33" t="s">
        <v>483</v>
      </c>
      <c r="D529" s="33" t="s">
        <v>381</v>
      </c>
      <c r="E529" s="33" t="s">
        <v>378</v>
      </c>
      <c r="F529" s="33" t="s">
        <v>85</v>
      </c>
      <c r="L529" s="33">
        <v>2.37</v>
      </c>
      <c r="M529" s="269">
        <v>1</v>
      </c>
      <c r="N529" s="211">
        <v>0.15929996477807531</v>
      </c>
      <c r="O529" s="33">
        <v>45</v>
      </c>
      <c r="P529" s="163">
        <v>1.8651950576359899E-6</v>
      </c>
      <c r="Q529" s="163">
        <v>7.9345026882925093E-3</v>
      </c>
      <c r="R529" s="163">
        <v>1.61366519037822</v>
      </c>
      <c r="S529" s="163">
        <v>2.08525009071167E-7</v>
      </c>
      <c r="T529" s="163">
        <v>5.8559282883023395E-4</v>
      </c>
      <c r="U529" s="163">
        <v>5.7290956078049696E-3</v>
      </c>
      <c r="V529" s="163">
        <v>1.28200094233915E-3</v>
      </c>
      <c r="W529" s="163">
        <v>0.437053406664765</v>
      </c>
      <c r="X529" s="163">
        <v>6.18951274939686E-3</v>
      </c>
      <c r="Y529" s="163">
        <v>21.505828955671401</v>
      </c>
      <c r="Z529" s="163">
        <v>7.3298666242637301E-4</v>
      </c>
      <c r="AA529" s="163">
        <v>1.6243260238734001</v>
      </c>
      <c r="AB529" s="163">
        <v>1.6238599216106999</v>
      </c>
      <c r="AC529" s="163">
        <v>3.7124416540798002E-4</v>
      </c>
      <c r="AD529" s="163">
        <v>9.4858097291936706E-5</v>
      </c>
      <c r="AE529" s="163">
        <v>2.62749747315753E-7</v>
      </c>
      <c r="AF529" s="163">
        <v>7.9167720611958703E-3</v>
      </c>
      <c r="AG529" s="163">
        <v>4.43182444296314E-6</v>
      </c>
      <c r="AH529" s="163">
        <v>3.3042609378669701E-3</v>
      </c>
      <c r="AI529" s="163">
        <v>3.6283310993612802E-2</v>
      </c>
      <c r="AJ529" s="163">
        <v>9.6537099772543208E-3</v>
      </c>
      <c r="AK529" s="163">
        <v>1.8651804212272E-6</v>
      </c>
      <c r="AL529" s="163">
        <v>16.741316395913799</v>
      </c>
      <c r="AM529" s="163">
        <v>2.2296698805663099E-2</v>
      </c>
      <c r="AN529" s="163">
        <v>3.05765713839256E-8</v>
      </c>
      <c r="AO529" s="163">
        <v>7.1855284719521503E-2</v>
      </c>
      <c r="AP529" s="163">
        <v>10.0456498445331</v>
      </c>
      <c r="AQ529" s="163">
        <v>3.52425877763638E-10</v>
      </c>
      <c r="AR529" s="163">
        <v>7.5755651574687798E-9</v>
      </c>
      <c r="AS529" s="163">
        <v>2.1383382121726</v>
      </c>
      <c r="AT529" s="163">
        <v>0</v>
      </c>
      <c r="AU529" s="163">
        <v>0</v>
      </c>
      <c r="AV529" s="313">
        <v>9.2018591700288296E-2</v>
      </c>
      <c r="AW529" s="315">
        <v>0</v>
      </c>
      <c r="AX529" s="315">
        <v>0</v>
      </c>
      <c r="AY529" s="313">
        <v>17.778748512416499</v>
      </c>
      <c r="AZ529" s="163">
        <v>0</v>
      </c>
      <c r="BA529" s="163">
        <v>0</v>
      </c>
      <c r="BB529" s="163">
        <v>0</v>
      </c>
      <c r="BC529" s="163">
        <v>8.6541506072244901E-4</v>
      </c>
      <c r="BD529" s="163">
        <v>4.5591074959227903E-5</v>
      </c>
      <c r="BE529" s="163">
        <v>1.98095257304838E-2</v>
      </c>
      <c r="BF529" s="163">
        <v>1.16353047016818E-4</v>
      </c>
      <c r="BG529" s="163">
        <v>0</v>
      </c>
      <c r="BH529" s="163">
        <v>1000</v>
      </c>
      <c r="BI529" s="163">
        <v>0</v>
      </c>
      <c r="BJ529" s="163">
        <v>0</v>
      </c>
      <c r="BK529" s="163">
        <v>0</v>
      </c>
      <c r="BL529" s="62">
        <v>0.5</v>
      </c>
      <c r="BM529" s="275">
        <v>2</v>
      </c>
      <c r="BN529" s="62">
        <v>0</v>
      </c>
      <c r="BO529" s="33" t="s">
        <v>526</v>
      </c>
    </row>
    <row r="530" spans="1:67">
      <c r="A530" s="33" t="str">
        <f>Database_Productkaarten[[#This Row],[Product]]&amp;", "&amp;Database_Productkaarten[[#This Row],[Levensfase]]</f>
        <v>AC bin/base 50% PR - PCR 2.0, C4</v>
      </c>
      <c r="B530" s="33" t="s">
        <v>238</v>
      </c>
      <c r="C530" s="33" t="s">
        <v>483</v>
      </c>
      <c r="D530" s="33" t="s">
        <v>381</v>
      </c>
      <c r="E530" s="33" t="s">
        <v>378</v>
      </c>
      <c r="F530" s="33" t="s">
        <v>86</v>
      </c>
      <c r="L530" s="33">
        <v>2.37</v>
      </c>
      <c r="M530" s="269">
        <v>1</v>
      </c>
      <c r="N530" s="211">
        <v>0</v>
      </c>
      <c r="O530" s="33">
        <v>45</v>
      </c>
      <c r="P530" s="163">
        <v>0</v>
      </c>
      <c r="Q530" s="163">
        <v>0</v>
      </c>
      <c r="R530" s="163">
        <v>0</v>
      </c>
      <c r="S530" s="163">
        <v>0</v>
      </c>
      <c r="T530" s="163">
        <v>0</v>
      </c>
      <c r="U530" s="163">
        <v>0</v>
      </c>
      <c r="V530" s="163">
        <v>0</v>
      </c>
      <c r="W530" s="163">
        <v>0</v>
      </c>
      <c r="X530" s="163">
        <v>0</v>
      </c>
      <c r="Y530" s="163">
        <v>0</v>
      </c>
      <c r="Z530" s="163">
        <v>0</v>
      </c>
      <c r="AA530" s="163">
        <v>0</v>
      </c>
      <c r="AB530" s="163">
        <v>0</v>
      </c>
      <c r="AC530" s="163">
        <v>0</v>
      </c>
      <c r="AD530" s="163">
        <v>0</v>
      </c>
      <c r="AE530" s="163">
        <v>0</v>
      </c>
      <c r="AF530" s="163">
        <v>0</v>
      </c>
      <c r="AG530" s="163">
        <v>0</v>
      </c>
      <c r="AH530" s="163">
        <v>0</v>
      </c>
      <c r="AI530" s="163">
        <v>0</v>
      </c>
      <c r="AJ530" s="163">
        <v>0</v>
      </c>
      <c r="AK530" s="163">
        <v>0</v>
      </c>
      <c r="AL530" s="163">
        <v>0</v>
      </c>
      <c r="AM530" s="163">
        <v>0</v>
      </c>
      <c r="AN530" s="163">
        <v>0</v>
      </c>
      <c r="AO530" s="163">
        <v>0</v>
      </c>
      <c r="AP530" s="163">
        <v>0</v>
      </c>
      <c r="AQ530" s="163">
        <v>0</v>
      </c>
      <c r="AR530" s="163">
        <v>0</v>
      </c>
      <c r="AS530" s="163">
        <v>0</v>
      </c>
      <c r="AT530" s="163">
        <v>0</v>
      </c>
      <c r="AU530" s="163">
        <v>0</v>
      </c>
      <c r="AV530" s="313">
        <v>0</v>
      </c>
      <c r="AW530" s="315">
        <v>0</v>
      </c>
      <c r="AX530" s="315">
        <v>0</v>
      </c>
      <c r="AY530" s="313">
        <v>0</v>
      </c>
      <c r="AZ530" s="163">
        <v>0</v>
      </c>
      <c r="BA530" s="163">
        <v>0</v>
      </c>
      <c r="BB530" s="163">
        <v>0</v>
      </c>
      <c r="BC530" s="163">
        <v>0</v>
      </c>
      <c r="BD530" s="163">
        <v>0</v>
      </c>
      <c r="BE530" s="163">
        <v>0</v>
      </c>
      <c r="BF530" s="163">
        <v>0</v>
      </c>
      <c r="BG530" s="163">
        <v>0</v>
      </c>
      <c r="BH530" s="163">
        <v>0</v>
      </c>
      <c r="BI530" s="163">
        <v>0</v>
      </c>
      <c r="BJ530" s="163">
        <v>0</v>
      </c>
      <c r="BK530" s="163">
        <v>0</v>
      </c>
      <c r="BL530" s="62">
        <v>0.5</v>
      </c>
      <c r="BM530" s="275">
        <v>2</v>
      </c>
      <c r="BN530" s="62">
        <v>0</v>
      </c>
      <c r="BO530" s="33" t="s">
        <v>526</v>
      </c>
    </row>
    <row r="531" spans="1:67">
      <c r="A531" s="33" t="str">
        <f>Database_Productkaarten[[#This Row],[Product]]&amp;", "&amp;Database_Productkaarten[[#This Row],[Levensfase]]</f>
        <v>AC bin/base 50% PR - PCR 2.0, D</v>
      </c>
      <c r="B531" s="33" t="s">
        <v>238</v>
      </c>
      <c r="C531" s="33" t="s">
        <v>483</v>
      </c>
      <c r="D531" s="33" t="s">
        <v>381</v>
      </c>
      <c r="E531" s="33" t="s">
        <v>378</v>
      </c>
      <c r="F531" s="33" t="s">
        <v>89</v>
      </c>
      <c r="L531" s="33">
        <v>2.37</v>
      </c>
      <c r="M531" s="269">
        <v>1</v>
      </c>
      <c r="N531" s="211">
        <v>-2.3257172480246089</v>
      </c>
      <c r="O531" s="33">
        <v>45</v>
      </c>
      <c r="P531" s="163">
        <v>-2.41702888865228E-4</v>
      </c>
      <c r="Q531" s="163">
        <v>-0.40258542419566101</v>
      </c>
      <c r="R531" s="163">
        <v>-17.305427989513401</v>
      </c>
      <c r="S531" s="163">
        <v>-1.4746385733231201E-6</v>
      </c>
      <c r="T531" s="163">
        <v>-4.3247218601852801E-2</v>
      </c>
      <c r="U531" s="163">
        <v>-0.121972710204198</v>
      </c>
      <c r="V531" s="163">
        <v>-1.1397961666368001E-2</v>
      </c>
      <c r="W531" s="163">
        <v>-4.6899381286081301</v>
      </c>
      <c r="X531" s="163">
        <v>-0.62524545356205596</v>
      </c>
      <c r="Y531" s="163">
        <v>-2732.27263655143</v>
      </c>
      <c r="Z531" s="163">
        <v>-8.1721286727814202E-2</v>
      </c>
      <c r="AA531" s="163">
        <v>-4.3863347476927501</v>
      </c>
      <c r="AB531" s="163">
        <v>-4.3362165316363397</v>
      </c>
      <c r="AC531" s="163">
        <v>-4.4894560264283602E-2</v>
      </c>
      <c r="AD531" s="163">
        <v>-5.2236557921443803E-3</v>
      </c>
      <c r="AE531" s="163">
        <v>-5.7968314146515203E-7</v>
      </c>
      <c r="AF531" s="163">
        <v>-4.2060349737441799E-2</v>
      </c>
      <c r="AG531" s="163">
        <v>-1.8142428317070299E-4</v>
      </c>
      <c r="AH531" s="163">
        <v>-1.2473952982288599E-2</v>
      </c>
      <c r="AI531" s="163">
        <v>-0.15606960563904601</v>
      </c>
      <c r="AJ531" s="163">
        <v>-3.87610928692858E-2</v>
      </c>
      <c r="AK531" s="163">
        <v>-2.3986201818750101E-4</v>
      </c>
      <c r="AL531" s="163">
        <v>-62.990367113842296</v>
      </c>
      <c r="AM531" s="163">
        <v>-15.898110892063199</v>
      </c>
      <c r="AN531" s="163">
        <v>-5.9499410487557703E-7</v>
      </c>
      <c r="AO531" s="163">
        <v>-0.33245678322751798</v>
      </c>
      <c r="AP531" s="163">
        <v>-547.18362153093904</v>
      </c>
      <c r="AQ531" s="163">
        <v>-3.1928070891216702E-9</v>
      </c>
      <c r="AR531" s="163">
        <v>-7.3076150159634596E-8</v>
      </c>
      <c r="AS531" s="163">
        <v>-685.87170040200999</v>
      </c>
      <c r="AT531" s="163">
        <v>0</v>
      </c>
      <c r="AU531" s="163">
        <v>0</v>
      </c>
      <c r="AV531" s="313">
        <v>-8.2204191453320998</v>
      </c>
      <c r="AW531" s="315">
        <v>0</v>
      </c>
      <c r="AX531" s="315">
        <v>0</v>
      </c>
      <c r="AY531" s="313">
        <v>-908.82024531321599</v>
      </c>
      <c r="AZ531" s="163">
        <v>0</v>
      </c>
      <c r="BA531" s="163">
        <v>0</v>
      </c>
      <c r="BB531" s="163">
        <v>0</v>
      </c>
      <c r="BC531" s="163">
        <v>-9.7512528164525101</v>
      </c>
      <c r="BD531" s="163">
        <v>-4.1530526963683498E-4</v>
      </c>
      <c r="BE531" s="163">
        <v>-1.65208253015554</v>
      </c>
      <c r="BF531" s="163">
        <v>-4.6274153990966501E-4</v>
      </c>
      <c r="BG531" s="163">
        <v>0</v>
      </c>
      <c r="BH531" s="163">
        <v>0</v>
      </c>
      <c r="BI531" s="163">
        <v>0</v>
      </c>
      <c r="BJ531" s="163">
        <v>0</v>
      </c>
      <c r="BK531" s="163">
        <v>0</v>
      </c>
      <c r="BL531" s="62">
        <v>0.5</v>
      </c>
      <c r="BM531" s="275">
        <v>2</v>
      </c>
      <c r="BN531" s="62">
        <v>0</v>
      </c>
      <c r="BO531" s="33" t="s">
        <v>526</v>
      </c>
    </row>
    <row r="532" spans="1:67">
      <c r="A532" s="33" t="str">
        <f>Database_Productkaarten[[#This Row],[Product]]&amp;", "&amp;Database_Productkaarten[[#This Row],[Levensfase]]</f>
        <v>AC bin/base 50% PR G.M. - PCR 2.0, Totaal</v>
      </c>
      <c r="B532" s="33" t="s">
        <v>533</v>
      </c>
      <c r="C532" s="33" t="s">
        <v>483</v>
      </c>
      <c r="D532" s="33" t="s">
        <v>381</v>
      </c>
      <c r="E532" s="33" t="s">
        <v>378</v>
      </c>
      <c r="F532" s="33" t="s">
        <v>90</v>
      </c>
      <c r="L532" s="33">
        <v>2.37</v>
      </c>
      <c r="M532" s="269">
        <v>1</v>
      </c>
      <c r="N532" s="41">
        <f>SUM(N533:N548)</f>
        <v>11.96296915540773</v>
      </c>
      <c r="O532" s="33">
        <v>45</v>
      </c>
      <c r="P532" s="40">
        <f>SUM(P533:P548)</f>
        <v>5.1379637224722927E-3</v>
      </c>
      <c r="Q532" s="40">
        <f t="shared" ref="Q532:BK532" si="59">SUM(Q533:Q548)</f>
        <v>1.3093368631397191</v>
      </c>
      <c r="R532" s="40">
        <f t="shared" si="59"/>
        <v>121.82620263431947</v>
      </c>
      <c r="S532" s="40">
        <f t="shared" si="59"/>
        <v>1.5641119344298385E-5</v>
      </c>
      <c r="T532" s="40">
        <f t="shared" si="59"/>
        <v>9.3476560843784112E-2</v>
      </c>
      <c r="U532" s="40">
        <f t="shared" si="59"/>
        <v>0.44365731671523362</v>
      </c>
      <c r="V532" s="40">
        <f t="shared" si="59"/>
        <v>6.9625202030885708E-2</v>
      </c>
      <c r="W532" s="40">
        <f t="shared" si="59"/>
        <v>28.314533814259867</v>
      </c>
      <c r="X532" s="40">
        <f t="shared" si="59"/>
        <v>1.1878919418981768</v>
      </c>
      <c r="Y532" s="40">
        <f t="shared" si="59"/>
        <v>4762.9112441850812</v>
      </c>
      <c r="Z532" s="40">
        <f t="shared" si="59"/>
        <v>0.20714475046924025</v>
      </c>
      <c r="AA532" s="40">
        <f t="shared" si="59"/>
        <v>138.45650809905516</v>
      </c>
      <c r="AB532" s="40">
        <f t="shared" si="59"/>
        <v>138.36872991228944</v>
      </c>
      <c r="AC532" s="40">
        <f t="shared" si="59"/>
        <v>3.5726930186508646E-2</v>
      </c>
      <c r="AD532" s="40">
        <f t="shared" si="59"/>
        <v>7.4659239928780097E-2</v>
      </c>
      <c r="AE532" s="40">
        <f t="shared" si="59"/>
        <v>1.9916566739523049E-5</v>
      </c>
      <c r="AF532" s="40">
        <f t="shared" si="59"/>
        <v>0.67145484047324744</v>
      </c>
      <c r="AG532" s="40">
        <f t="shared" si="59"/>
        <v>1.7582247926055338E-3</v>
      </c>
      <c r="AH532" s="40">
        <f t="shared" si="59"/>
        <v>0.17534087937657092</v>
      </c>
      <c r="AI532" s="40">
        <f t="shared" si="59"/>
        <v>1.8839370238821089</v>
      </c>
      <c r="AJ532" s="40">
        <f t="shared" si="59"/>
        <v>0.70374863289619427</v>
      </c>
      <c r="AK532" s="40">
        <f t="shared" si="59"/>
        <v>5.1397545654648545E-3</v>
      </c>
      <c r="AL532" s="40">
        <f t="shared" si="59"/>
        <v>3428.2045789318367</v>
      </c>
      <c r="AM532" s="40">
        <f t="shared" si="59"/>
        <v>45.972553279682103</v>
      </c>
      <c r="AN532" s="40">
        <f t="shared" si="59"/>
        <v>3.8554897627289359E-6</v>
      </c>
      <c r="AO532" s="40">
        <f t="shared" si="59"/>
        <v>4.685726371741425</v>
      </c>
      <c r="AP532" s="40">
        <f t="shared" si="59"/>
        <v>2544.4055476743679</v>
      </c>
      <c r="AQ532" s="40">
        <f t="shared" si="59"/>
        <v>3.823224798417951E-8</v>
      </c>
      <c r="AR532" s="40">
        <f t="shared" si="59"/>
        <v>1.0908508168263498E-6</v>
      </c>
      <c r="AS532" s="40">
        <f t="shared" si="59"/>
        <v>379.72663385377871</v>
      </c>
      <c r="AT532" s="40">
        <f t="shared" si="59"/>
        <v>8.065825212</v>
      </c>
      <c r="AU532" s="40">
        <f t="shared" si="59"/>
        <v>0</v>
      </c>
      <c r="AV532" s="313">
        <f t="shared" si="59"/>
        <v>50.312363828990954</v>
      </c>
      <c r="AW532" s="317">
        <f t="shared" si="59"/>
        <v>0.70667511750000001</v>
      </c>
      <c r="AX532" s="317">
        <f t="shared" si="59"/>
        <v>9.926829900000001E-4</v>
      </c>
      <c r="AY532" s="313">
        <f t="shared" si="59"/>
        <v>2836.4570742816463</v>
      </c>
      <c r="AZ532" s="40">
        <f t="shared" si="59"/>
        <v>1002</v>
      </c>
      <c r="BA532" s="40">
        <f t="shared" si="59"/>
        <v>0</v>
      </c>
      <c r="BB532" s="40">
        <f t="shared" si="59"/>
        <v>0</v>
      </c>
      <c r="BC532" s="40">
        <f t="shared" si="59"/>
        <v>-8.1827162365224027</v>
      </c>
      <c r="BD532" s="40">
        <f t="shared" si="59"/>
        <v>3.0432884150013236E-3</v>
      </c>
      <c r="BE532" s="40">
        <f t="shared" si="59"/>
        <v>21.929817611876572</v>
      </c>
      <c r="BF532" s="40">
        <f t="shared" si="59"/>
        <v>5.901185667586125E-3</v>
      </c>
      <c r="BG532" s="40">
        <f t="shared" si="59"/>
        <v>0</v>
      </c>
      <c r="BH532" s="40">
        <f t="shared" si="59"/>
        <v>1000</v>
      </c>
      <c r="BI532" s="40">
        <f t="shared" si="59"/>
        <v>0</v>
      </c>
      <c r="BJ532" s="40">
        <f t="shared" si="59"/>
        <v>0</v>
      </c>
      <c r="BK532" s="40">
        <f t="shared" si="59"/>
        <v>0</v>
      </c>
      <c r="BL532" s="62">
        <v>0.5</v>
      </c>
      <c r="BM532" s="275">
        <v>2</v>
      </c>
      <c r="BN532" s="62">
        <v>0</v>
      </c>
      <c r="BO532" s="33" t="s">
        <v>526</v>
      </c>
    </row>
    <row r="533" spans="1:67">
      <c r="A533" s="33" t="str">
        <f>Database_Productkaarten[[#This Row],[Product]]&amp;", "&amp;Database_Productkaarten[[#This Row],[Levensfase]]</f>
        <v>AC bin/base 50% PR G.M. - PCR 2.0, A1</v>
      </c>
      <c r="B533" s="33" t="s">
        <v>533</v>
      </c>
      <c r="C533" s="33" t="s">
        <v>483</v>
      </c>
      <c r="D533" s="33" t="s">
        <v>381</v>
      </c>
      <c r="E533" s="33" t="s">
        <v>378</v>
      </c>
      <c r="F533" s="33" t="s">
        <v>74</v>
      </c>
      <c r="L533" s="33">
        <v>2.37</v>
      </c>
      <c r="M533" s="269">
        <v>1</v>
      </c>
      <c r="N533" s="211">
        <v>3.3868702647197693</v>
      </c>
      <c r="O533" s="33">
        <v>45</v>
      </c>
      <c r="P533" s="163">
        <v>2.4658813897512799E-3</v>
      </c>
      <c r="Q533" s="163">
        <v>0.53370176376517098</v>
      </c>
      <c r="R533" s="163">
        <v>27.155397141957199</v>
      </c>
      <c r="S533" s="163">
        <v>2.8886102677123999E-6</v>
      </c>
      <c r="T533" s="163">
        <v>5.3949530602910502E-2</v>
      </c>
      <c r="U533" s="163">
        <v>0.15909864350853301</v>
      </c>
      <c r="V533" s="163">
        <v>1.4934165613422101E-2</v>
      </c>
      <c r="W533" s="163">
        <v>7.91358001226636</v>
      </c>
      <c r="X533" s="163">
        <v>0.75033263288920904</v>
      </c>
      <c r="Y533" s="163">
        <v>3235.7951914489099</v>
      </c>
      <c r="Z533" s="163">
        <v>0.103568351546642</v>
      </c>
      <c r="AA533" s="163">
        <v>28.478022201856799</v>
      </c>
      <c r="AB533" s="163">
        <v>28.496085757341</v>
      </c>
      <c r="AC533" s="163">
        <v>-2.4404756247065802E-2</v>
      </c>
      <c r="AD533" s="163">
        <v>1.76452007627994E-2</v>
      </c>
      <c r="AE533" s="163">
        <v>3.4940340979101702E-6</v>
      </c>
      <c r="AF533" s="163">
        <v>0.188550212406465</v>
      </c>
      <c r="AG533" s="163">
        <v>5.9583027911598596E-4</v>
      </c>
      <c r="AH533" s="163">
        <v>2.9289560582435498E-2</v>
      </c>
      <c r="AI533" s="163">
        <v>0.30611323829755599</v>
      </c>
      <c r="AJ533" s="163">
        <v>0.177143802445936</v>
      </c>
      <c r="AK533" s="163">
        <v>2.4658619823102498E-3</v>
      </c>
      <c r="AL533" s="163">
        <v>1122.5552466486699</v>
      </c>
      <c r="AM533" s="163">
        <v>29.518312544002601</v>
      </c>
      <c r="AN533" s="163">
        <v>1.2697512275190799E-6</v>
      </c>
      <c r="AO533" s="163">
        <v>1.1958371922711799</v>
      </c>
      <c r="AP533" s="163">
        <v>1276.7571222910899</v>
      </c>
      <c r="AQ533" s="163">
        <v>1.03702739814281E-8</v>
      </c>
      <c r="AR533" s="163">
        <v>3.76753015117147E-7</v>
      </c>
      <c r="AS533" s="163">
        <v>305.85283575892299</v>
      </c>
      <c r="AT533" s="163">
        <v>0</v>
      </c>
      <c r="AU533" s="163">
        <v>0</v>
      </c>
      <c r="AV533" s="313">
        <v>15.964891742422701</v>
      </c>
      <c r="AW533" s="315">
        <v>0</v>
      </c>
      <c r="AX533" s="315">
        <v>0</v>
      </c>
      <c r="AY533" s="313">
        <v>1195.1769555472599</v>
      </c>
      <c r="AZ533" s="163">
        <v>501</v>
      </c>
      <c r="BA533" s="163">
        <v>0</v>
      </c>
      <c r="BB533" s="163">
        <v>0</v>
      </c>
      <c r="BC533" s="163">
        <v>0.71694595880289302</v>
      </c>
      <c r="BD533" s="163">
        <v>6.1091286010553998E-4</v>
      </c>
      <c r="BE533" s="163">
        <v>3.33715721192124</v>
      </c>
      <c r="BF533" s="163">
        <v>1.2143784772268101E-3</v>
      </c>
      <c r="BG533" s="163">
        <v>0</v>
      </c>
      <c r="BH533" s="163">
        <v>0</v>
      </c>
      <c r="BI533" s="163">
        <v>0</v>
      </c>
      <c r="BJ533" s="163">
        <v>0</v>
      </c>
      <c r="BK533" s="163">
        <v>0</v>
      </c>
      <c r="BL533" s="62">
        <v>0.5</v>
      </c>
      <c r="BM533" s="275">
        <v>2</v>
      </c>
      <c r="BN533" s="62">
        <v>0</v>
      </c>
      <c r="BO533" s="33" t="s">
        <v>526</v>
      </c>
    </row>
    <row r="534" spans="1:67">
      <c r="A534" s="33" t="str">
        <f>Database_Productkaarten[[#This Row],[Product]]&amp;", "&amp;Database_Productkaarten[[#This Row],[Levensfase]]</f>
        <v>AC bin/base 50% PR G.M. - PCR 2.0, A2</v>
      </c>
      <c r="B534" s="33" t="s">
        <v>533</v>
      </c>
      <c r="C534" s="33" t="s">
        <v>483</v>
      </c>
      <c r="D534" s="33" t="s">
        <v>381</v>
      </c>
      <c r="E534" s="33" t="s">
        <v>378</v>
      </c>
      <c r="F534" s="33" t="s">
        <v>75</v>
      </c>
      <c r="L534" s="33">
        <v>2.37</v>
      </c>
      <c r="M534" s="269">
        <v>1</v>
      </c>
      <c r="N534" s="211">
        <v>1.4331317519874223</v>
      </c>
      <c r="O534" s="33">
        <v>45</v>
      </c>
      <c r="P534" s="163">
        <v>1.3238511310425201E-4</v>
      </c>
      <c r="Q534" s="163">
        <v>7.6380766641097997E-2</v>
      </c>
      <c r="R534" s="163">
        <v>11.993158972815101</v>
      </c>
      <c r="S534" s="163">
        <v>1.79132627335581E-6</v>
      </c>
      <c r="T534" s="163">
        <v>7.0836957018398199E-3</v>
      </c>
      <c r="U534" s="163">
        <v>7.9921566762222299E-2</v>
      </c>
      <c r="V534" s="163">
        <v>1.7641506577342501E-2</v>
      </c>
      <c r="W534" s="163">
        <v>3.2962728091506501</v>
      </c>
      <c r="X534" s="163">
        <v>8.6160476268544298E-2</v>
      </c>
      <c r="Y534" s="163">
        <v>284.06820185164497</v>
      </c>
      <c r="Z534" s="163">
        <v>1.49092388727216E-2</v>
      </c>
      <c r="AA534" s="163">
        <v>12.130093319878799</v>
      </c>
      <c r="AB534" s="163">
        <v>12.093629648552501</v>
      </c>
      <c r="AC534" s="163">
        <v>1.7138970118527899E-2</v>
      </c>
      <c r="AD534" s="163">
        <v>1.9324701207707001E-2</v>
      </c>
      <c r="AE534" s="163">
        <v>2.2289391040821901E-6</v>
      </c>
      <c r="AF534" s="163">
        <v>0.111003864916244</v>
      </c>
      <c r="AG534" s="163">
        <v>1.4135324217894499E-4</v>
      </c>
      <c r="AH534" s="163">
        <v>4.66126985235297E-2</v>
      </c>
      <c r="AI534" s="163">
        <v>0.51311398941197495</v>
      </c>
      <c r="AJ534" s="163">
        <v>0.13364156760304799</v>
      </c>
      <c r="AK534" s="163">
        <v>1.3238000308316101E-4</v>
      </c>
      <c r="AL534" s="163">
        <v>158.29886516759399</v>
      </c>
      <c r="AM534" s="163">
        <v>0.70974025409445196</v>
      </c>
      <c r="AN534" s="163">
        <v>4.18865292735581E-7</v>
      </c>
      <c r="AO534" s="163">
        <v>0.68179830171162703</v>
      </c>
      <c r="AP534" s="163">
        <v>140.16493951610599</v>
      </c>
      <c r="AQ534" s="163">
        <v>5.6570464778667302E-9</v>
      </c>
      <c r="AR534" s="163">
        <v>1.07862661528545E-7</v>
      </c>
      <c r="AS534" s="163">
        <v>124.378196879737</v>
      </c>
      <c r="AT534" s="163">
        <v>0</v>
      </c>
      <c r="AU534" s="163">
        <v>0</v>
      </c>
      <c r="AV534" s="313">
        <v>3.3674902308219798</v>
      </c>
      <c r="AW534" s="315">
        <v>0</v>
      </c>
      <c r="AX534" s="315">
        <v>0</v>
      </c>
      <c r="AY534" s="313">
        <v>168.000151857932</v>
      </c>
      <c r="AZ534" s="163">
        <v>0</v>
      </c>
      <c r="BA534" s="163">
        <v>0</v>
      </c>
      <c r="BB534" s="163">
        <v>0</v>
      </c>
      <c r="BC534" s="163">
        <v>2.8017519544063799E-2</v>
      </c>
      <c r="BD534" s="163">
        <v>4.10189633425134E-4</v>
      </c>
      <c r="BE534" s="163">
        <v>2.66977520900029</v>
      </c>
      <c r="BF534" s="163">
        <v>1.0286471083037799E-3</v>
      </c>
      <c r="BG534" s="163">
        <v>0</v>
      </c>
      <c r="BH534" s="163">
        <v>0</v>
      </c>
      <c r="BI534" s="163">
        <v>0</v>
      </c>
      <c r="BJ534" s="163">
        <v>0</v>
      </c>
      <c r="BK534" s="163">
        <v>0</v>
      </c>
      <c r="BL534" s="62">
        <v>0.5</v>
      </c>
      <c r="BM534" s="275">
        <v>2</v>
      </c>
      <c r="BN534" s="62">
        <v>0</v>
      </c>
      <c r="BO534" s="33" t="s">
        <v>526</v>
      </c>
    </row>
    <row r="535" spans="1:67">
      <c r="A535" s="33" t="str">
        <f>Database_Productkaarten[[#This Row],[Product]]&amp;", "&amp;Database_Productkaarten[[#This Row],[Levensfase]]</f>
        <v>AC bin/base 50% PR G.M. - PCR 2.0, A3</v>
      </c>
      <c r="B535" s="33" t="s">
        <v>533</v>
      </c>
      <c r="C535" s="33" t="s">
        <v>483</v>
      </c>
      <c r="D535" s="33" t="s">
        <v>381</v>
      </c>
      <c r="E535" s="33" t="s">
        <v>378</v>
      </c>
      <c r="F535" s="33" t="s">
        <v>76</v>
      </c>
      <c r="L535" s="33">
        <v>2.37</v>
      </c>
      <c r="M535" s="269">
        <v>1</v>
      </c>
      <c r="N535" s="211">
        <v>1.6691827309930898</v>
      </c>
      <c r="O535" s="33">
        <v>45</v>
      </c>
      <c r="P535" s="163">
        <v>1.75221472516947E-5</v>
      </c>
      <c r="Q535" s="163">
        <v>0.20284439422943901</v>
      </c>
      <c r="R535" s="163">
        <v>23.602662423368301</v>
      </c>
      <c r="S535" s="163">
        <v>2.7764265012603802E-6</v>
      </c>
      <c r="T535" s="163">
        <v>3.8038609087761902E-3</v>
      </c>
      <c r="U535" s="163">
        <v>2.1588482285889402E-2</v>
      </c>
      <c r="V535" s="163">
        <v>3.5188368856603701E-3</v>
      </c>
      <c r="W535" s="163">
        <v>3.5564719278521499</v>
      </c>
      <c r="X535" s="163">
        <v>2.2241138866920099E-2</v>
      </c>
      <c r="Y535" s="163">
        <v>90.268805997708895</v>
      </c>
      <c r="Z535" s="163">
        <v>1.8343986747348301E-2</v>
      </c>
      <c r="AA535" s="163">
        <v>23.938151310628101</v>
      </c>
      <c r="AB535" s="163">
        <v>23.897459852898301</v>
      </c>
      <c r="AC535" s="163">
        <v>3.9049750470293201E-2</v>
      </c>
      <c r="AD535" s="163">
        <v>1.6417072594388099E-3</v>
      </c>
      <c r="AE535" s="163">
        <v>3.1413355925138998E-6</v>
      </c>
      <c r="AF535" s="163">
        <v>2.77635894612379E-2</v>
      </c>
      <c r="AG535" s="163">
        <v>1.9265988214330101E-4</v>
      </c>
      <c r="AH535" s="163">
        <v>7.9453280503768708E-3</v>
      </c>
      <c r="AI535" s="163">
        <v>8.9096596265984193E-2</v>
      </c>
      <c r="AJ535" s="163">
        <v>2.76109497638698E-2</v>
      </c>
      <c r="AK535" s="163">
        <v>1.7521901748471999E-5</v>
      </c>
      <c r="AL535" s="163">
        <v>374.35885169561698</v>
      </c>
      <c r="AM535" s="163">
        <v>0.41395700190219398</v>
      </c>
      <c r="AN535" s="163">
        <v>1.90337051469141E-7</v>
      </c>
      <c r="AO535" s="163">
        <v>0.243803200412823</v>
      </c>
      <c r="AP535" s="163">
        <v>60.963504415939603</v>
      </c>
      <c r="AQ535" s="163">
        <v>2.7319750632821598E-9</v>
      </c>
      <c r="AR535" s="163">
        <v>4.1733387855227099E-8</v>
      </c>
      <c r="AS535" s="163">
        <v>13.181442422731299</v>
      </c>
      <c r="AT535" s="163">
        <v>0</v>
      </c>
      <c r="AU535" s="163">
        <v>0</v>
      </c>
      <c r="AV535" s="313">
        <v>5.0869073514409902</v>
      </c>
      <c r="AW535" s="315">
        <v>0</v>
      </c>
      <c r="AX535" s="315">
        <v>0</v>
      </c>
      <c r="AY535" s="313">
        <v>413.47140222165001</v>
      </c>
      <c r="AZ535" s="163">
        <v>0</v>
      </c>
      <c r="BA535" s="163">
        <v>0</v>
      </c>
      <c r="BB535" s="163">
        <v>0</v>
      </c>
      <c r="BC535" s="163">
        <v>2.9857069150750801E-2</v>
      </c>
      <c r="BD535" s="163">
        <v>4.6400666948372398E-4</v>
      </c>
      <c r="BE535" s="163">
        <v>0.23396625273972799</v>
      </c>
      <c r="BF535" s="163">
        <v>3.2247338991195498E-4</v>
      </c>
      <c r="BG535" s="163">
        <v>0</v>
      </c>
      <c r="BH535" s="163">
        <v>0</v>
      </c>
      <c r="BI535" s="163">
        <v>0</v>
      </c>
      <c r="BJ535" s="163">
        <v>0</v>
      </c>
      <c r="BK535" s="163">
        <v>0</v>
      </c>
      <c r="BL535" s="62">
        <v>0.5</v>
      </c>
      <c r="BM535" s="275">
        <v>2</v>
      </c>
      <c r="BN535" s="62">
        <v>0</v>
      </c>
      <c r="BO535" s="33" t="s">
        <v>526</v>
      </c>
    </row>
    <row r="536" spans="1:67">
      <c r="A536" s="33" t="str">
        <f>Database_Productkaarten[[#This Row],[Product]]&amp;", "&amp;Database_Productkaarten[[#This Row],[Levensfase]]</f>
        <v>AC bin/base 50% PR G.M. - PCR 2.0, A1-A3</v>
      </c>
      <c r="B536" s="33" t="str">
        <f>B535</f>
        <v>AC bin/base 50% PR G.M. - PCR 2.0</v>
      </c>
      <c r="C536" s="33" t="str">
        <f>C535</f>
        <v>Bitumineuze verhardingen</v>
      </c>
      <c r="D536" s="33" t="str">
        <f>D535</f>
        <v>AC bin/base</v>
      </c>
      <c r="E536" s="33" t="str">
        <f>E535</f>
        <v>Ton</v>
      </c>
      <c r="F536" s="33" t="s">
        <v>77</v>
      </c>
      <c r="L536" s="33">
        <f>L535</f>
        <v>2.37</v>
      </c>
      <c r="M536" s="45">
        <f>M535</f>
        <v>1</v>
      </c>
      <c r="N536" s="41">
        <f>SUM(N533:N535)</f>
        <v>6.489184747700282</v>
      </c>
      <c r="O536" s="33">
        <f>O535</f>
        <v>45</v>
      </c>
      <c r="P536" s="40">
        <f>SUM(P533:P535)</f>
        <v>2.6157886501072267E-3</v>
      </c>
      <c r="Q536" s="40">
        <f t="shared" ref="Q536:BK536" si="60">SUM(Q533:Q535)</f>
        <v>0.81292692463570793</v>
      </c>
      <c r="R536" s="40">
        <f t="shared" si="60"/>
        <v>62.751218538140598</v>
      </c>
      <c r="S536" s="40">
        <f t="shared" si="60"/>
        <v>7.4563630423285902E-6</v>
      </c>
      <c r="T536" s="40">
        <f t="shared" si="60"/>
        <v>6.4837087213526504E-2</v>
      </c>
      <c r="U536" s="40">
        <f t="shared" si="60"/>
        <v>0.26060869255664471</v>
      </c>
      <c r="V536" s="40">
        <f t="shared" si="60"/>
        <v>3.6094509076424967E-2</v>
      </c>
      <c r="W536" s="40">
        <f t="shared" si="60"/>
        <v>14.76632474926916</v>
      </c>
      <c r="X536" s="40">
        <f t="shared" si="60"/>
        <v>0.85873424802467346</v>
      </c>
      <c r="Y536" s="40">
        <f t="shared" si="60"/>
        <v>3610.1321992982639</v>
      </c>
      <c r="Z536" s="40">
        <f t="shared" si="60"/>
        <v>0.13682157716671189</v>
      </c>
      <c r="AA536" s="40">
        <f t="shared" si="60"/>
        <v>64.546266832363699</v>
      </c>
      <c r="AB536" s="40">
        <f t="shared" si="60"/>
        <v>64.487175258791808</v>
      </c>
      <c r="AC536" s="40">
        <f t="shared" si="60"/>
        <v>3.1783964341755302E-2</v>
      </c>
      <c r="AD536" s="40">
        <f t="shared" si="60"/>
        <v>3.8611609229945207E-2</v>
      </c>
      <c r="AE536" s="40">
        <f t="shared" si="60"/>
        <v>8.8643087945062601E-6</v>
      </c>
      <c r="AF536" s="40">
        <f t="shared" si="60"/>
        <v>0.32731766678394691</v>
      </c>
      <c r="AG536" s="40">
        <f t="shared" si="60"/>
        <v>9.298434034382319E-4</v>
      </c>
      <c r="AH536" s="40">
        <f t="shared" si="60"/>
        <v>8.3847587156342065E-2</v>
      </c>
      <c r="AI536" s="40">
        <f t="shared" si="60"/>
        <v>0.90832382397551514</v>
      </c>
      <c r="AJ536" s="40">
        <f t="shared" si="60"/>
        <v>0.33839631981285379</v>
      </c>
      <c r="AK536" s="40">
        <f t="shared" si="60"/>
        <v>2.6157638871418826E-3</v>
      </c>
      <c r="AL536" s="40">
        <f t="shared" si="60"/>
        <v>1655.2129635118808</v>
      </c>
      <c r="AM536" s="40">
        <f t="shared" si="60"/>
        <v>30.642009799999247</v>
      </c>
      <c r="AN536" s="40">
        <f t="shared" si="60"/>
        <v>1.8789535717238019E-6</v>
      </c>
      <c r="AO536" s="40">
        <f t="shared" si="60"/>
        <v>2.1214386943956298</v>
      </c>
      <c r="AP536" s="40">
        <f t="shared" si="60"/>
        <v>1477.8855662231354</v>
      </c>
      <c r="AQ536" s="40">
        <f t="shared" si="60"/>
        <v>1.8759295522576991E-8</v>
      </c>
      <c r="AR536" s="40">
        <f t="shared" si="60"/>
        <v>5.2634906450091913E-7</v>
      </c>
      <c r="AS536" s="40">
        <f t="shared" si="60"/>
        <v>443.41247506139132</v>
      </c>
      <c r="AT536" s="40">
        <f t="shared" si="60"/>
        <v>0</v>
      </c>
      <c r="AU536" s="40">
        <f t="shared" si="60"/>
        <v>0</v>
      </c>
      <c r="AV536" s="317">
        <f t="shared" si="60"/>
        <v>24.419289324685671</v>
      </c>
      <c r="AW536" s="317">
        <f t="shared" si="60"/>
        <v>0</v>
      </c>
      <c r="AX536" s="317">
        <f t="shared" si="60"/>
        <v>0</v>
      </c>
      <c r="AY536" s="317">
        <f t="shared" si="60"/>
        <v>1776.648509626842</v>
      </c>
      <c r="AZ536" s="40">
        <f t="shared" si="60"/>
        <v>501</v>
      </c>
      <c r="BA536" s="40">
        <f t="shared" si="60"/>
        <v>0</v>
      </c>
      <c r="BB536" s="40">
        <f t="shared" si="60"/>
        <v>0</v>
      </c>
      <c r="BC536" s="40">
        <f t="shared" si="60"/>
        <v>0.77482054749770768</v>
      </c>
      <c r="BD536" s="40">
        <f t="shared" si="60"/>
        <v>1.4851091630143981E-3</v>
      </c>
      <c r="BE536" s="40">
        <f t="shared" si="60"/>
        <v>6.2408986736612579</v>
      </c>
      <c r="BF536" s="40">
        <f t="shared" si="60"/>
        <v>2.5654989754425451E-3</v>
      </c>
      <c r="BG536" s="40">
        <f t="shared" si="60"/>
        <v>0</v>
      </c>
      <c r="BH536" s="40">
        <f t="shared" si="60"/>
        <v>0</v>
      </c>
      <c r="BI536" s="40">
        <f t="shared" si="60"/>
        <v>0</v>
      </c>
      <c r="BJ536" s="40">
        <f t="shared" si="60"/>
        <v>0</v>
      </c>
      <c r="BK536" s="40">
        <f t="shared" si="60"/>
        <v>0</v>
      </c>
      <c r="BL536" s="62">
        <f>BL535</f>
        <v>0.5</v>
      </c>
      <c r="BM536" s="275">
        <f>BM535</f>
        <v>2</v>
      </c>
      <c r="BN536" s="62">
        <v>0</v>
      </c>
      <c r="BO536" s="33" t="str">
        <f>BO535</f>
        <v>Ecochain 2022 LCA Achtergrondrapport voor Nederlandse branchereferentiemengsels 2022</v>
      </c>
    </row>
    <row r="537" spans="1:67">
      <c r="A537" s="33" t="str">
        <f>Database_Productkaarten[[#This Row],[Product]]&amp;", "&amp;Database_Productkaarten[[#This Row],[Levensfase]]</f>
        <v>AC bin/base 50% PR G.M. - PCR 2.0, A4</v>
      </c>
      <c r="B537" s="33" t="s">
        <v>533</v>
      </c>
      <c r="C537" s="33" t="s">
        <v>483</v>
      </c>
      <c r="D537" s="33" t="s">
        <v>381</v>
      </c>
      <c r="E537" s="33" t="s">
        <v>378</v>
      </c>
      <c r="F537" s="33" t="s">
        <v>78</v>
      </c>
      <c r="L537" s="33">
        <v>2.37</v>
      </c>
      <c r="M537" s="269">
        <v>1</v>
      </c>
      <c r="N537" s="211">
        <v>0.37546048090943995</v>
      </c>
      <c r="O537" s="33">
        <v>45</v>
      </c>
      <c r="P537" s="163">
        <v>6.8533509000000002E-5</v>
      </c>
      <c r="Q537" s="163">
        <v>2.9713889699999999E-2</v>
      </c>
      <c r="R537" s="163">
        <v>3.9891474704999998</v>
      </c>
      <c r="S537" s="163">
        <v>7.557213E-7</v>
      </c>
      <c r="T537" s="163">
        <v>2.4773701499999998E-3</v>
      </c>
      <c r="U537" s="163">
        <v>1.36398132E-2</v>
      </c>
      <c r="V537" s="163">
        <v>2.5682192100000001E-3</v>
      </c>
      <c r="W537" s="163">
        <v>0.8608144794</v>
      </c>
      <c r="X537" s="163">
        <v>3.6189873900000002E-2</v>
      </c>
      <c r="Y537" s="163">
        <v>97.376595929999993</v>
      </c>
      <c r="Z537" s="163">
        <v>4.8437180999999999E-3</v>
      </c>
      <c r="AA537" s="163">
        <v>4.0259382761999998</v>
      </c>
      <c r="AB537" s="163">
        <v>4.0229543298000001</v>
      </c>
      <c r="AC537" s="163">
        <v>1.9814632200000001E-3</v>
      </c>
      <c r="AD537" s="163">
        <v>1.0024609799999999E-3</v>
      </c>
      <c r="AE537" s="163">
        <v>9.4976262000000003E-7</v>
      </c>
      <c r="AF537" s="163">
        <v>1.7739576E-2</v>
      </c>
      <c r="AG537" s="163">
        <v>2.7841996800000001E-5</v>
      </c>
      <c r="AH537" s="163">
        <v>5.5484582100000001E-3</v>
      </c>
      <c r="AI537" s="163">
        <v>6.1385308800000003E-2</v>
      </c>
      <c r="AJ537" s="163">
        <v>1.9235744999999999E-2</v>
      </c>
      <c r="AK537" s="163">
        <v>6.8533397999999998E-5</v>
      </c>
      <c r="AL537" s="163">
        <v>62.400806729999999</v>
      </c>
      <c r="AM537" s="163">
        <v>0.212954166</v>
      </c>
      <c r="AN537" s="163">
        <v>2.9338876200000002E-7</v>
      </c>
      <c r="AO537" s="163">
        <v>0.26868483510000002</v>
      </c>
      <c r="AP537" s="163">
        <v>45.56587296</v>
      </c>
      <c r="AQ537" s="163">
        <v>1.16371179E-9</v>
      </c>
      <c r="AR537" s="163">
        <v>3.8268015899999999E-8</v>
      </c>
      <c r="AS537" s="163">
        <v>71.806844609999999</v>
      </c>
      <c r="AT537" s="163">
        <v>0</v>
      </c>
      <c r="AU537" s="163">
        <v>0</v>
      </c>
      <c r="AV537" s="313">
        <v>0.63474917099999995</v>
      </c>
      <c r="AW537" s="315">
        <v>0</v>
      </c>
      <c r="AX537" s="315">
        <v>0</v>
      </c>
      <c r="AY537" s="313">
        <v>66.265108560000002</v>
      </c>
      <c r="AZ537" s="163">
        <v>0</v>
      </c>
      <c r="BA537" s="163">
        <v>0</v>
      </c>
      <c r="BB537" s="163">
        <v>0</v>
      </c>
      <c r="BC537" s="163">
        <v>6.7467797999999999E-3</v>
      </c>
      <c r="BD537" s="163">
        <v>1.54707915E-4</v>
      </c>
      <c r="BE537" s="163">
        <v>5.4635493149999999</v>
      </c>
      <c r="BF537" s="163">
        <v>4.25149758E-4</v>
      </c>
      <c r="BG537" s="163">
        <v>0</v>
      </c>
      <c r="BH537" s="163">
        <v>0</v>
      </c>
      <c r="BI537" s="163">
        <v>0</v>
      </c>
      <c r="BJ537" s="163">
        <v>0</v>
      </c>
      <c r="BK537" s="163">
        <v>0</v>
      </c>
      <c r="BL537" s="62">
        <v>0.5</v>
      </c>
      <c r="BM537" s="275">
        <v>2</v>
      </c>
      <c r="BN537" s="62">
        <v>0</v>
      </c>
      <c r="BO537" s="33" t="s">
        <v>526</v>
      </c>
    </row>
    <row r="538" spans="1:67">
      <c r="A538" s="33" t="str">
        <f>Database_Productkaarten[[#This Row],[Product]]&amp;", "&amp;Database_Productkaarten[[#This Row],[Levensfase]]</f>
        <v>AC bin/base 50% PR G.M. - PCR 2.0, A5</v>
      </c>
      <c r="B538" s="33" t="s">
        <v>533</v>
      </c>
      <c r="C538" s="33" t="s">
        <v>483</v>
      </c>
      <c r="D538" s="33" t="s">
        <v>381</v>
      </c>
      <c r="E538" s="33" t="s">
        <v>378</v>
      </c>
      <c r="F538" s="33" t="s">
        <v>79</v>
      </c>
      <c r="L538" s="33">
        <v>2.37</v>
      </c>
      <c r="M538" s="269">
        <v>1</v>
      </c>
      <c r="N538" s="211">
        <v>0.14177533139592638</v>
      </c>
      <c r="O538" s="33">
        <v>45</v>
      </c>
      <c r="P538" s="163">
        <v>1.6131416789032499E-6</v>
      </c>
      <c r="Q538" s="163">
        <v>6.8622726271645798E-3</v>
      </c>
      <c r="R538" s="163">
        <v>1.39560232741361</v>
      </c>
      <c r="S538" s="163">
        <v>1.8034595460964901E-7</v>
      </c>
      <c r="T538" s="163">
        <v>5.1654444180298804E-4</v>
      </c>
      <c r="U538" s="163">
        <v>5.5620935043642298E-3</v>
      </c>
      <c r="V538" s="163">
        <v>1.2666295728095401E-3</v>
      </c>
      <c r="W538" s="163">
        <v>0.37946512717893199</v>
      </c>
      <c r="X538" s="163">
        <v>5.3530921287655801E-3</v>
      </c>
      <c r="Y538" s="163">
        <v>18.5996359254254</v>
      </c>
      <c r="Z538" s="163">
        <v>6.3393441224210997E-4</v>
      </c>
      <c r="AA538" s="163">
        <v>1.40614005174948</v>
      </c>
      <c r="AB538" s="163">
        <v>1.40573693628318</v>
      </c>
      <c r="AC538" s="163">
        <v>3.2107603084401999E-4</v>
      </c>
      <c r="AD538" s="163">
        <v>8.2039435457084798E-5</v>
      </c>
      <c r="AE538" s="163">
        <v>2.2724302573953301E-7</v>
      </c>
      <c r="AF538" s="163">
        <v>7.7455940056365804E-3</v>
      </c>
      <c r="AG538" s="163">
        <v>3.83292928151715E-6</v>
      </c>
      <c r="AH538" s="163">
        <v>3.3301407905204699E-3</v>
      </c>
      <c r="AI538" s="163">
        <v>3.6553504870411702E-2</v>
      </c>
      <c r="AJ538" s="163">
        <v>9.5750220980646093E-3</v>
      </c>
      <c r="AK538" s="163">
        <v>1.6131290203875901E-6</v>
      </c>
      <c r="AL538" s="163">
        <v>14.4789764093968</v>
      </c>
      <c r="AM538" s="163">
        <v>1.9283631413194498E-2</v>
      </c>
      <c r="AN538" s="163">
        <v>2.9438644941179199E-8</v>
      </c>
      <c r="AO538" s="163">
        <v>6.2145111546488899E-2</v>
      </c>
      <c r="AP538" s="163">
        <v>8.6879181273261494</v>
      </c>
      <c r="AQ538" s="163">
        <v>3.04800759380677E-10</v>
      </c>
      <c r="AR538" s="163">
        <v>7.4560899594076099E-9</v>
      </c>
      <c r="AS538" s="163">
        <v>1.8493735975619101</v>
      </c>
      <c r="AT538" s="163">
        <v>0</v>
      </c>
      <c r="AU538" s="163">
        <v>0</v>
      </c>
      <c r="AV538" s="313">
        <v>7.9583647237735006E-2</v>
      </c>
      <c r="AW538" s="315">
        <v>0</v>
      </c>
      <c r="AX538" s="315">
        <v>0</v>
      </c>
      <c r="AY538" s="313">
        <v>15.376215000775799</v>
      </c>
      <c r="AZ538" s="163">
        <v>0</v>
      </c>
      <c r="BA538" s="163">
        <v>0</v>
      </c>
      <c r="BB538" s="163">
        <v>0</v>
      </c>
      <c r="BC538" s="163">
        <v>7.4846708082643696E-4</v>
      </c>
      <c r="BD538" s="163">
        <v>3.9430119275153997E-5</v>
      </c>
      <c r="BE538" s="163">
        <v>1.7132562713945299E-2</v>
      </c>
      <c r="BF538" s="163">
        <v>1.00629663045344E-4</v>
      </c>
      <c r="BG538" s="163">
        <v>0</v>
      </c>
      <c r="BH538" s="163">
        <v>0</v>
      </c>
      <c r="BI538" s="163">
        <v>0</v>
      </c>
      <c r="BJ538" s="163">
        <v>0</v>
      </c>
      <c r="BK538" s="163">
        <v>0</v>
      </c>
      <c r="BL538" s="62">
        <v>0.5</v>
      </c>
      <c r="BM538" s="275">
        <v>2</v>
      </c>
      <c r="BN538" s="62">
        <v>0</v>
      </c>
      <c r="BO538" s="33" t="s">
        <v>526</v>
      </c>
    </row>
    <row r="539" spans="1:67">
      <c r="A539" s="33" t="str">
        <f>Database_Productkaarten[[#This Row],[Product]]&amp;", "&amp;Database_Productkaarten[[#This Row],[Levensfase]]</f>
        <v>AC bin/base 50% PR G.M. - PCR 2.0, B1</v>
      </c>
      <c r="B539" s="33" t="s">
        <v>533</v>
      </c>
      <c r="C539" s="33" t="s">
        <v>483</v>
      </c>
      <c r="D539" s="33" t="s">
        <v>381</v>
      </c>
      <c r="E539" s="33" t="s">
        <v>378</v>
      </c>
      <c r="F539" s="33" t="s">
        <v>80</v>
      </c>
      <c r="L539" s="33">
        <v>2.37</v>
      </c>
      <c r="M539" s="269">
        <v>1</v>
      </c>
      <c r="N539" s="211">
        <v>0</v>
      </c>
      <c r="O539" s="33">
        <v>45</v>
      </c>
      <c r="P539" s="163">
        <v>0</v>
      </c>
      <c r="Q539" s="163">
        <v>0</v>
      </c>
      <c r="R539" s="163">
        <v>0</v>
      </c>
      <c r="S539" s="163">
        <v>0</v>
      </c>
      <c r="T539" s="163">
        <v>0</v>
      </c>
      <c r="U539" s="163">
        <v>0</v>
      </c>
      <c r="V539" s="163">
        <v>0</v>
      </c>
      <c r="W539" s="163">
        <v>0</v>
      </c>
      <c r="X539" s="163">
        <v>0</v>
      </c>
      <c r="Y539" s="163">
        <v>0</v>
      </c>
      <c r="Z539" s="163">
        <v>0</v>
      </c>
      <c r="AA539" s="163">
        <v>0</v>
      </c>
      <c r="AB539" s="163">
        <v>0</v>
      </c>
      <c r="AC539" s="163">
        <v>0</v>
      </c>
      <c r="AD539" s="163">
        <v>0</v>
      </c>
      <c r="AE539" s="163">
        <v>0</v>
      </c>
      <c r="AF539" s="163">
        <v>0</v>
      </c>
      <c r="AG539" s="163">
        <v>0</v>
      </c>
      <c r="AH539" s="163">
        <v>0</v>
      </c>
      <c r="AI539" s="163">
        <v>0</v>
      </c>
      <c r="AJ539" s="163">
        <v>0</v>
      </c>
      <c r="AK539" s="163">
        <v>0</v>
      </c>
      <c r="AL539" s="163">
        <v>0</v>
      </c>
      <c r="AM539" s="163">
        <v>0</v>
      </c>
      <c r="AN539" s="163">
        <v>0</v>
      </c>
      <c r="AO539" s="163">
        <v>0</v>
      </c>
      <c r="AP539" s="163">
        <v>0</v>
      </c>
      <c r="AQ539" s="163">
        <v>0</v>
      </c>
      <c r="AR539" s="163">
        <v>0</v>
      </c>
      <c r="AS539" s="163">
        <v>0</v>
      </c>
      <c r="AT539" s="163">
        <v>0</v>
      </c>
      <c r="AU539" s="163">
        <v>0</v>
      </c>
      <c r="AV539" s="313">
        <v>0</v>
      </c>
      <c r="AW539" s="315">
        <v>0</v>
      </c>
      <c r="AX539" s="315">
        <v>0</v>
      </c>
      <c r="AY539" s="313">
        <v>0</v>
      </c>
      <c r="AZ539" s="163">
        <v>0</v>
      </c>
      <c r="BA539" s="163">
        <v>0</v>
      </c>
      <c r="BB539" s="163">
        <v>0</v>
      </c>
      <c r="BC539" s="163">
        <v>0</v>
      </c>
      <c r="BD539" s="163">
        <v>0</v>
      </c>
      <c r="BE539" s="163">
        <v>0</v>
      </c>
      <c r="BF539" s="163">
        <v>0</v>
      </c>
      <c r="BG539" s="163">
        <v>0</v>
      </c>
      <c r="BH539" s="163">
        <v>0</v>
      </c>
      <c r="BI539" s="163">
        <v>0</v>
      </c>
      <c r="BJ539" s="163">
        <v>0</v>
      </c>
      <c r="BK539" s="163">
        <v>0</v>
      </c>
      <c r="BL539" s="62">
        <v>0.5</v>
      </c>
      <c r="BM539" s="275">
        <v>2</v>
      </c>
      <c r="BN539" s="62">
        <v>0</v>
      </c>
      <c r="BO539" s="33" t="s">
        <v>526</v>
      </c>
    </row>
    <row r="540" spans="1:67">
      <c r="A540" s="33" t="str">
        <f>Database_Productkaarten[[#This Row],[Product]]&amp;", "&amp;Database_Productkaarten[[#This Row],[Levensfase]]</f>
        <v>AC bin/base 50% PR G.M. - PCR 2.0, B2</v>
      </c>
      <c r="B540" s="33" t="s">
        <v>533</v>
      </c>
      <c r="C540" s="33" t="s">
        <v>483</v>
      </c>
      <c r="D540" s="33" t="s">
        <v>381</v>
      </c>
      <c r="E540" s="33" t="s">
        <v>378</v>
      </c>
      <c r="F540" s="33" t="s">
        <v>527</v>
      </c>
      <c r="L540" s="33">
        <v>2.37</v>
      </c>
      <c r="M540" s="269">
        <v>1</v>
      </c>
      <c r="N540" s="211">
        <v>0</v>
      </c>
      <c r="O540" s="33">
        <v>45</v>
      </c>
      <c r="P540" s="163">
        <v>0</v>
      </c>
      <c r="Q540" s="163">
        <v>0</v>
      </c>
      <c r="R540" s="163">
        <v>0</v>
      </c>
      <c r="S540" s="163">
        <v>0</v>
      </c>
      <c r="T540" s="163">
        <v>0</v>
      </c>
      <c r="U540" s="163">
        <v>0</v>
      </c>
      <c r="V540" s="163">
        <v>0</v>
      </c>
      <c r="W540" s="163">
        <v>0</v>
      </c>
      <c r="X540" s="163">
        <v>0</v>
      </c>
      <c r="Y540" s="163">
        <v>0</v>
      </c>
      <c r="Z540" s="163">
        <v>0</v>
      </c>
      <c r="AA540" s="163">
        <v>0</v>
      </c>
      <c r="AB540" s="163">
        <v>0</v>
      </c>
      <c r="AC540" s="163">
        <v>0</v>
      </c>
      <c r="AD540" s="163">
        <v>0</v>
      </c>
      <c r="AE540" s="163">
        <v>0</v>
      </c>
      <c r="AF540" s="163">
        <v>0</v>
      </c>
      <c r="AG540" s="163">
        <v>0</v>
      </c>
      <c r="AH540" s="163">
        <v>0</v>
      </c>
      <c r="AI540" s="163">
        <v>0</v>
      </c>
      <c r="AJ540" s="163">
        <v>0</v>
      </c>
      <c r="AK540" s="163">
        <v>0</v>
      </c>
      <c r="AL540" s="163">
        <v>0</v>
      </c>
      <c r="AM540" s="163">
        <v>0</v>
      </c>
      <c r="AN540" s="163">
        <v>0</v>
      </c>
      <c r="AO540" s="163">
        <v>0</v>
      </c>
      <c r="AP540" s="163">
        <v>0</v>
      </c>
      <c r="AQ540" s="163">
        <v>0</v>
      </c>
      <c r="AR540" s="163">
        <v>0</v>
      </c>
      <c r="AS540" s="163">
        <v>0</v>
      </c>
      <c r="AT540" s="163">
        <v>0</v>
      </c>
      <c r="AU540" s="163">
        <v>0</v>
      </c>
      <c r="AV540" s="313">
        <v>0</v>
      </c>
      <c r="AW540" s="315">
        <v>0</v>
      </c>
      <c r="AX540" s="315">
        <v>0</v>
      </c>
      <c r="AY540" s="313">
        <v>0</v>
      </c>
      <c r="AZ540" s="163">
        <v>0</v>
      </c>
      <c r="BA540" s="163">
        <v>0</v>
      </c>
      <c r="BB540" s="163">
        <v>0</v>
      </c>
      <c r="BC540" s="163">
        <v>0</v>
      </c>
      <c r="BD540" s="163">
        <v>0</v>
      </c>
      <c r="BE540" s="163">
        <v>0</v>
      </c>
      <c r="BF540" s="163">
        <v>0</v>
      </c>
      <c r="BG540" s="163">
        <v>0</v>
      </c>
      <c r="BH540" s="163">
        <v>0</v>
      </c>
      <c r="BI540" s="163">
        <v>0</v>
      </c>
      <c r="BJ540" s="163">
        <v>0</v>
      </c>
      <c r="BK540" s="163">
        <v>0</v>
      </c>
      <c r="BL540" s="62">
        <v>0.5</v>
      </c>
      <c r="BM540" s="275">
        <v>2</v>
      </c>
      <c r="BN540" s="62">
        <v>0</v>
      </c>
      <c r="BO540" s="33" t="s">
        <v>526</v>
      </c>
    </row>
    <row r="541" spans="1:67">
      <c r="A541" s="33" t="str">
        <f>Database_Productkaarten[[#This Row],[Product]]&amp;", "&amp;Database_Productkaarten[[#This Row],[Levensfase]]</f>
        <v>AC bin/base 50% PR G.M. - PCR 2.0, B3</v>
      </c>
      <c r="B541" s="33" t="s">
        <v>533</v>
      </c>
      <c r="C541" s="33" t="s">
        <v>483</v>
      </c>
      <c r="D541" s="33" t="s">
        <v>381</v>
      </c>
      <c r="E541" s="33" t="s">
        <v>378</v>
      </c>
      <c r="F541" s="33" t="s">
        <v>81</v>
      </c>
      <c r="L541" s="33">
        <v>2.37</v>
      </c>
      <c r="M541" s="269">
        <v>1</v>
      </c>
      <c r="N541" s="211">
        <v>0</v>
      </c>
      <c r="O541" s="33">
        <v>45</v>
      </c>
      <c r="P541" s="163">
        <v>0</v>
      </c>
      <c r="Q541" s="163">
        <v>0</v>
      </c>
      <c r="R541" s="163">
        <v>0</v>
      </c>
      <c r="S541" s="163">
        <v>0</v>
      </c>
      <c r="T541" s="163">
        <v>0</v>
      </c>
      <c r="U541" s="163">
        <v>0</v>
      </c>
      <c r="V541" s="163">
        <v>0</v>
      </c>
      <c r="W541" s="163">
        <v>0</v>
      </c>
      <c r="X541" s="163">
        <v>0</v>
      </c>
      <c r="Y541" s="163">
        <v>0</v>
      </c>
      <c r="Z541" s="163">
        <v>0</v>
      </c>
      <c r="AA541" s="163">
        <v>0</v>
      </c>
      <c r="AB541" s="163">
        <v>0</v>
      </c>
      <c r="AC541" s="163">
        <v>0</v>
      </c>
      <c r="AD541" s="163">
        <v>0</v>
      </c>
      <c r="AE541" s="163">
        <v>0</v>
      </c>
      <c r="AF541" s="163">
        <v>0</v>
      </c>
      <c r="AG541" s="163">
        <v>0</v>
      </c>
      <c r="AH541" s="163">
        <v>0</v>
      </c>
      <c r="AI541" s="163">
        <v>0</v>
      </c>
      <c r="AJ541" s="163">
        <v>0</v>
      </c>
      <c r="AK541" s="163">
        <v>0</v>
      </c>
      <c r="AL541" s="163">
        <v>0</v>
      </c>
      <c r="AM541" s="163">
        <v>0</v>
      </c>
      <c r="AN541" s="163">
        <v>0</v>
      </c>
      <c r="AO541" s="163">
        <v>0</v>
      </c>
      <c r="AP541" s="163">
        <v>0</v>
      </c>
      <c r="AQ541" s="163">
        <v>0</v>
      </c>
      <c r="AR541" s="163">
        <v>0</v>
      </c>
      <c r="AS541" s="163">
        <v>0</v>
      </c>
      <c r="AT541" s="163">
        <v>0</v>
      </c>
      <c r="AU541" s="163">
        <v>0</v>
      </c>
      <c r="AV541" s="313">
        <v>0</v>
      </c>
      <c r="AW541" s="315">
        <v>0</v>
      </c>
      <c r="AX541" s="315">
        <v>0</v>
      </c>
      <c r="AY541" s="313">
        <v>0</v>
      </c>
      <c r="AZ541" s="163">
        <v>0</v>
      </c>
      <c r="BA541" s="163">
        <v>0</v>
      </c>
      <c r="BB541" s="163">
        <v>0</v>
      </c>
      <c r="BC541" s="163">
        <v>0</v>
      </c>
      <c r="BD541" s="163">
        <v>0</v>
      </c>
      <c r="BE541" s="163">
        <v>0</v>
      </c>
      <c r="BF541" s="163">
        <v>0</v>
      </c>
      <c r="BG541" s="163">
        <v>0</v>
      </c>
      <c r="BH541" s="163">
        <v>0</v>
      </c>
      <c r="BI541" s="163">
        <v>0</v>
      </c>
      <c r="BJ541" s="163">
        <v>0</v>
      </c>
      <c r="BK541" s="163">
        <v>0</v>
      </c>
      <c r="BL541" s="62">
        <v>0.5</v>
      </c>
      <c r="BM541" s="275">
        <v>2</v>
      </c>
      <c r="BN541" s="62">
        <v>0</v>
      </c>
      <c r="BO541" s="33" t="s">
        <v>526</v>
      </c>
    </row>
    <row r="542" spans="1:67">
      <c r="A542" s="33" t="str">
        <f>Database_Productkaarten[[#This Row],[Product]]&amp;", "&amp;Database_Productkaarten[[#This Row],[Levensfase]]</f>
        <v>AC bin/base 50% PR G.M. - PCR 2.0, B4</v>
      </c>
      <c r="B542" s="33" t="s">
        <v>533</v>
      </c>
      <c r="C542" s="33" t="s">
        <v>483</v>
      </c>
      <c r="D542" s="33" t="s">
        <v>381</v>
      </c>
      <c r="E542" s="33" t="s">
        <v>378</v>
      </c>
      <c r="F542" s="33" t="s">
        <v>82</v>
      </c>
      <c r="L542" s="33">
        <v>2.37</v>
      </c>
      <c r="M542" s="269">
        <v>1</v>
      </c>
      <c r="N542" s="211">
        <v>0</v>
      </c>
      <c r="O542" s="33">
        <v>45</v>
      </c>
      <c r="P542" s="163">
        <v>0</v>
      </c>
      <c r="Q542" s="163">
        <v>0</v>
      </c>
      <c r="R542" s="163">
        <v>0</v>
      </c>
      <c r="S542" s="163">
        <v>0</v>
      </c>
      <c r="T542" s="163">
        <v>0</v>
      </c>
      <c r="U542" s="163">
        <v>0</v>
      </c>
      <c r="V542" s="163">
        <v>0</v>
      </c>
      <c r="W542" s="163">
        <v>0</v>
      </c>
      <c r="X542" s="163">
        <v>0</v>
      </c>
      <c r="Y542" s="163">
        <v>0</v>
      </c>
      <c r="Z542" s="163">
        <v>0</v>
      </c>
      <c r="AA542" s="163">
        <v>0</v>
      </c>
      <c r="AB542" s="163">
        <v>0</v>
      </c>
      <c r="AC542" s="163">
        <v>0</v>
      </c>
      <c r="AD542" s="163">
        <v>0</v>
      </c>
      <c r="AE542" s="163">
        <v>0</v>
      </c>
      <c r="AF542" s="163">
        <v>0</v>
      </c>
      <c r="AG542" s="163">
        <v>0</v>
      </c>
      <c r="AH542" s="163">
        <v>0</v>
      </c>
      <c r="AI542" s="163">
        <v>0</v>
      </c>
      <c r="AJ542" s="163">
        <v>0</v>
      </c>
      <c r="AK542" s="163">
        <v>0</v>
      </c>
      <c r="AL542" s="163">
        <v>0</v>
      </c>
      <c r="AM542" s="163">
        <v>0</v>
      </c>
      <c r="AN542" s="163">
        <v>0</v>
      </c>
      <c r="AO542" s="163">
        <v>0</v>
      </c>
      <c r="AP542" s="163">
        <v>0</v>
      </c>
      <c r="AQ542" s="163">
        <v>0</v>
      </c>
      <c r="AR542" s="163">
        <v>0</v>
      </c>
      <c r="AS542" s="163">
        <v>0</v>
      </c>
      <c r="AT542" s="163">
        <v>0</v>
      </c>
      <c r="AU542" s="163">
        <v>0</v>
      </c>
      <c r="AV542" s="313">
        <v>0</v>
      </c>
      <c r="AW542" s="315">
        <v>0</v>
      </c>
      <c r="AX542" s="315">
        <v>0</v>
      </c>
      <c r="AY542" s="313">
        <v>0</v>
      </c>
      <c r="AZ542" s="163">
        <v>0</v>
      </c>
      <c r="BA542" s="163">
        <v>0</v>
      </c>
      <c r="BB542" s="163">
        <v>0</v>
      </c>
      <c r="BC542" s="163">
        <v>0</v>
      </c>
      <c r="BD542" s="163">
        <v>0</v>
      </c>
      <c r="BE542" s="163">
        <v>0</v>
      </c>
      <c r="BF542" s="163">
        <v>0</v>
      </c>
      <c r="BG542" s="163">
        <v>0</v>
      </c>
      <c r="BH542" s="163">
        <v>0</v>
      </c>
      <c r="BI542" s="163">
        <v>0</v>
      </c>
      <c r="BJ542" s="163">
        <v>0</v>
      </c>
      <c r="BK542" s="163">
        <v>0</v>
      </c>
      <c r="BL542" s="62">
        <v>0.5</v>
      </c>
      <c r="BM542" s="275">
        <v>2</v>
      </c>
      <c r="BN542" s="62">
        <v>0</v>
      </c>
      <c r="BO542" s="33" t="s">
        <v>526</v>
      </c>
    </row>
    <row r="543" spans="1:67">
      <c r="A543" s="33" t="str">
        <f>Database_Productkaarten[[#This Row],[Product]]&amp;", "&amp;Database_Productkaarten[[#This Row],[Levensfase]]</f>
        <v>AC bin/base 50% PR G.M. - PCR 2.0, B5</v>
      </c>
      <c r="B543" s="33" t="s">
        <v>533</v>
      </c>
      <c r="C543" s="33" t="s">
        <v>483</v>
      </c>
      <c r="D543" s="33" t="s">
        <v>381</v>
      </c>
      <c r="E543" s="33" t="s">
        <v>378</v>
      </c>
      <c r="F543" s="33" t="s">
        <v>528</v>
      </c>
      <c r="L543" s="33">
        <v>2.37</v>
      </c>
      <c r="M543" s="269">
        <v>1</v>
      </c>
      <c r="N543" s="211">
        <v>0</v>
      </c>
      <c r="O543" s="33">
        <v>45</v>
      </c>
      <c r="P543" s="163">
        <v>0</v>
      </c>
      <c r="Q543" s="163">
        <v>0</v>
      </c>
      <c r="R543" s="163">
        <v>0</v>
      </c>
      <c r="S543" s="163">
        <v>0</v>
      </c>
      <c r="T543" s="163">
        <v>0</v>
      </c>
      <c r="U543" s="163">
        <v>0</v>
      </c>
      <c r="V543" s="163">
        <v>0</v>
      </c>
      <c r="W543" s="163">
        <v>0</v>
      </c>
      <c r="X543" s="163">
        <v>0</v>
      </c>
      <c r="Y543" s="163">
        <v>0</v>
      </c>
      <c r="Z543" s="163">
        <v>0</v>
      </c>
      <c r="AA543" s="163">
        <v>0</v>
      </c>
      <c r="AB543" s="163">
        <v>0</v>
      </c>
      <c r="AC543" s="163">
        <v>0</v>
      </c>
      <c r="AD543" s="163">
        <v>0</v>
      </c>
      <c r="AE543" s="163">
        <v>0</v>
      </c>
      <c r="AF543" s="163">
        <v>0</v>
      </c>
      <c r="AG543" s="163">
        <v>0</v>
      </c>
      <c r="AH543" s="163">
        <v>0</v>
      </c>
      <c r="AI543" s="163">
        <v>0</v>
      </c>
      <c r="AJ543" s="163">
        <v>0</v>
      </c>
      <c r="AK543" s="163">
        <v>0</v>
      </c>
      <c r="AL543" s="163">
        <v>0</v>
      </c>
      <c r="AM543" s="163">
        <v>0</v>
      </c>
      <c r="AN543" s="163">
        <v>0</v>
      </c>
      <c r="AO543" s="163">
        <v>0</v>
      </c>
      <c r="AP543" s="163">
        <v>0</v>
      </c>
      <c r="AQ543" s="163">
        <v>0</v>
      </c>
      <c r="AR543" s="163">
        <v>0</v>
      </c>
      <c r="AS543" s="163">
        <v>0</v>
      </c>
      <c r="AT543" s="163">
        <v>0</v>
      </c>
      <c r="AU543" s="163">
        <v>0</v>
      </c>
      <c r="AV543" s="313">
        <v>0</v>
      </c>
      <c r="AW543" s="315">
        <v>0</v>
      </c>
      <c r="AX543" s="315">
        <v>0</v>
      </c>
      <c r="AY543" s="313">
        <v>0</v>
      </c>
      <c r="AZ543" s="163">
        <v>0</v>
      </c>
      <c r="BA543" s="163">
        <v>0</v>
      </c>
      <c r="BB543" s="163">
        <v>0</v>
      </c>
      <c r="BC543" s="163">
        <v>0</v>
      </c>
      <c r="BD543" s="163">
        <v>0</v>
      </c>
      <c r="BE543" s="163">
        <v>0</v>
      </c>
      <c r="BF543" s="163">
        <v>0</v>
      </c>
      <c r="BG543" s="163">
        <v>0</v>
      </c>
      <c r="BH543" s="163">
        <v>0</v>
      </c>
      <c r="BI543" s="163">
        <v>0</v>
      </c>
      <c r="BJ543" s="163">
        <v>0</v>
      </c>
      <c r="BK543" s="163">
        <v>0</v>
      </c>
      <c r="BL543" s="62">
        <v>0.5</v>
      </c>
      <c r="BM543" s="275">
        <v>2</v>
      </c>
      <c r="BN543" s="62">
        <v>0</v>
      </c>
      <c r="BO543" s="33" t="s">
        <v>526</v>
      </c>
    </row>
    <row r="544" spans="1:67">
      <c r="A544" s="33" t="str">
        <f>Database_Productkaarten[[#This Row],[Product]]&amp;", "&amp;Database_Productkaarten[[#This Row],[Levensfase]]</f>
        <v>AC bin/base 50% PR G.M. - PCR 2.0, C1</v>
      </c>
      <c r="B544" s="33" t="s">
        <v>533</v>
      </c>
      <c r="C544" s="33" t="s">
        <v>483</v>
      </c>
      <c r="D544" s="33" t="s">
        <v>381</v>
      </c>
      <c r="E544" s="33" t="s">
        <v>378</v>
      </c>
      <c r="F544" s="33" t="s">
        <v>83</v>
      </c>
      <c r="L544" s="33">
        <v>2.37</v>
      </c>
      <c r="M544" s="269">
        <v>1</v>
      </c>
      <c r="N544" s="211">
        <v>0.31586755527571259</v>
      </c>
      <c r="O544" s="33">
        <v>45</v>
      </c>
      <c r="P544" s="163">
        <v>3.8816221648609503E-6</v>
      </c>
      <c r="Q544" s="163">
        <v>1.6512343509114801E-2</v>
      </c>
      <c r="R544" s="163">
        <v>3.35816810033901</v>
      </c>
      <c r="S544" s="163">
        <v>4.3395745327946801E-7</v>
      </c>
      <c r="T544" s="163">
        <v>1.1037773980886699E-3</v>
      </c>
      <c r="U544" s="163">
        <v>9.5713374948785505E-3</v>
      </c>
      <c r="V544" s="163">
        <v>2.0565904095735002E-3</v>
      </c>
      <c r="W544" s="163">
        <v>0.90386476709930796</v>
      </c>
      <c r="X544" s="163">
        <v>1.2880877934842201E-2</v>
      </c>
      <c r="Y544" s="163">
        <v>44.755373945554801</v>
      </c>
      <c r="Z544" s="163">
        <v>1.52540467945757E-3</v>
      </c>
      <c r="AA544" s="163">
        <v>3.3788329862722</v>
      </c>
      <c r="AB544" s="163">
        <v>3.3778629896814101</v>
      </c>
      <c r="AC544" s="163">
        <v>7.72589199218426E-4</v>
      </c>
      <c r="AD544" s="163">
        <v>1.9740739156861E-4</v>
      </c>
      <c r="AE544" s="163">
        <v>5.4680353068575204E-7</v>
      </c>
      <c r="AF544" s="163">
        <v>1.2995409576066199E-2</v>
      </c>
      <c r="AG544" s="163">
        <v>9.2229860836506493E-6</v>
      </c>
      <c r="AH544" s="163">
        <v>5.04706517719152E-3</v>
      </c>
      <c r="AI544" s="163">
        <v>5.54747970944462E-2</v>
      </c>
      <c r="AJ544" s="163">
        <v>1.51540863634724E-2</v>
      </c>
      <c r="AK544" s="163">
        <v>3.8815917053076399E-6</v>
      </c>
      <c r="AL544" s="163">
        <v>34.840036985110999</v>
      </c>
      <c r="AM544" s="163">
        <v>4.6401238087999397E-2</v>
      </c>
      <c r="AN544" s="163">
        <v>5.3732471817221903E-8</v>
      </c>
      <c r="AO544" s="163">
        <v>0.14953667465873899</v>
      </c>
      <c r="AP544" s="163">
        <v>20.904161935169402</v>
      </c>
      <c r="AQ544" s="163">
        <v>7.3342682725975397E-10</v>
      </c>
      <c r="AR544" s="163">
        <v>1.4707676247891399E-8</v>
      </c>
      <c r="AS544" s="163">
        <v>4.4500552191333496</v>
      </c>
      <c r="AT544" s="163">
        <v>0</v>
      </c>
      <c r="AU544" s="163">
        <v>0</v>
      </c>
      <c r="AV544" s="313">
        <v>0.19149815116579999</v>
      </c>
      <c r="AW544" s="315">
        <v>0</v>
      </c>
      <c r="AX544" s="315">
        <v>0</v>
      </c>
      <c r="AY544" s="313">
        <v>36.999017345616899</v>
      </c>
      <c r="AZ544" s="163">
        <v>0</v>
      </c>
      <c r="BA544" s="163">
        <v>0</v>
      </c>
      <c r="BB544" s="163">
        <v>0</v>
      </c>
      <c r="BC544" s="163">
        <v>1.80099891323861E-3</v>
      </c>
      <c r="BD544" s="163">
        <v>9.4878724505839297E-5</v>
      </c>
      <c r="BE544" s="163">
        <v>4.1225229030430799E-2</v>
      </c>
      <c r="BF544" s="163">
        <v>2.4214012670285899E-4</v>
      </c>
      <c r="BG544" s="163">
        <v>0</v>
      </c>
      <c r="BH544" s="163">
        <v>0</v>
      </c>
      <c r="BI544" s="163">
        <v>0</v>
      </c>
      <c r="BJ544" s="163">
        <v>0</v>
      </c>
      <c r="BK544" s="163">
        <v>0</v>
      </c>
      <c r="BL544" s="62">
        <v>0.5</v>
      </c>
      <c r="BM544" s="275">
        <v>2</v>
      </c>
      <c r="BN544" s="62">
        <v>0</v>
      </c>
      <c r="BO544" s="33" t="s">
        <v>526</v>
      </c>
    </row>
    <row r="545" spans="1:67">
      <c r="A545" s="33" t="str">
        <f>Database_Productkaarten[[#This Row],[Product]]&amp;", "&amp;Database_Productkaarten[[#This Row],[Levensfase]]</f>
        <v>AC bin/base 50% PR G.M. - PCR 2.0, C2</v>
      </c>
      <c r="B545" s="33" t="s">
        <v>533</v>
      </c>
      <c r="C545" s="33" t="s">
        <v>483</v>
      </c>
      <c r="D545" s="33" t="s">
        <v>381</v>
      </c>
      <c r="E545" s="33" t="s">
        <v>378</v>
      </c>
      <c r="F545" s="33" t="s">
        <v>84</v>
      </c>
      <c r="L545" s="33">
        <v>2.37</v>
      </c>
      <c r="M545" s="269">
        <v>1</v>
      </c>
      <c r="N545" s="211">
        <v>0.31791357541832999</v>
      </c>
      <c r="O545" s="33">
        <v>45</v>
      </c>
      <c r="P545" s="163">
        <v>7.2195843000000002E-5</v>
      </c>
      <c r="Q545" s="163">
        <v>2.5045429500000001E-2</v>
      </c>
      <c r="R545" s="163">
        <v>3.2726104581</v>
      </c>
      <c r="S545" s="163">
        <v>6.2448211500000004E-7</v>
      </c>
      <c r="T545" s="163">
        <v>2.3663202E-3</v>
      </c>
      <c r="U545" s="163">
        <v>9.9103019999999993E-3</v>
      </c>
      <c r="V545" s="163">
        <v>1.66070541E-3</v>
      </c>
      <c r="W545" s="163">
        <v>0.89062466159999998</v>
      </c>
      <c r="X545" s="163">
        <v>3.5055542699999998E-2</v>
      </c>
      <c r="Y545" s="163">
        <v>92.682047400000002</v>
      </c>
      <c r="Z545" s="163">
        <v>7.4868390000000003E-3</v>
      </c>
      <c r="AA545" s="163">
        <v>3.3150718431000001</v>
      </c>
      <c r="AB545" s="163">
        <v>3.3001817481</v>
      </c>
      <c r="AC545" s="163">
        <v>1.3607189190000001E-2</v>
      </c>
      <c r="AD545" s="163">
        <v>1.2829113599999999E-3</v>
      </c>
      <c r="AE545" s="163">
        <v>7.8107336699999998E-7</v>
      </c>
      <c r="AF545" s="163">
        <v>1.2482505E-2</v>
      </c>
      <c r="AG545" s="163">
        <v>3.4632532799999998E-5</v>
      </c>
      <c r="AH545" s="163">
        <v>2.8897329300000001E-3</v>
      </c>
      <c r="AI545" s="163">
        <v>3.3662059799999998E-2</v>
      </c>
      <c r="AJ545" s="163">
        <v>1.2098522699999999E-2</v>
      </c>
      <c r="AK545" s="163">
        <v>7.2195510000000004E-5</v>
      </c>
      <c r="AL545" s="163">
        <v>52.307882313</v>
      </c>
      <c r="AM545" s="163">
        <v>0.28570883850000001</v>
      </c>
      <c r="AN545" s="163">
        <v>2.8544027399999998E-7</v>
      </c>
      <c r="AO545" s="163">
        <v>0.22308385950000001</v>
      </c>
      <c r="AP545" s="163">
        <v>50.61443379</v>
      </c>
      <c r="AQ545" s="163">
        <v>1.35209877E-9</v>
      </c>
      <c r="AR545" s="163">
        <v>4.3221490799999998E-8</v>
      </c>
      <c r="AS545" s="163">
        <v>98.528772599999996</v>
      </c>
      <c r="AT545" s="163">
        <v>8.065825212</v>
      </c>
      <c r="AU545" s="163">
        <v>0</v>
      </c>
      <c r="AV545" s="313">
        <v>8.6963547624000004</v>
      </c>
      <c r="AW545" s="315">
        <v>0.70667511750000001</v>
      </c>
      <c r="AX545" s="315">
        <v>9.926829900000001E-4</v>
      </c>
      <c r="AY545" s="313">
        <v>55.561210727999999</v>
      </c>
      <c r="AZ545" s="163">
        <v>0</v>
      </c>
      <c r="BA545" s="163">
        <v>0</v>
      </c>
      <c r="BB545" s="163">
        <v>0</v>
      </c>
      <c r="BC545" s="163">
        <v>8.7338241000000007E-3</v>
      </c>
      <c r="BD545" s="163">
        <v>1.5376752299999999E-4</v>
      </c>
      <c r="BE545" s="163">
        <v>5.5583861609999996</v>
      </c>
      <c r="BF545" s="163">
        <v>3.4865666099999999E-4</v>
      </c>
      <c r="BG545" s="163">
        <v>0</v>
      </c>
      <c r="BH545" s="163">
        <v>0</v>
      </c>
      <c r="BI545" s="163">
        <v>0</v>
      </c>
      <c r="BJ545" s="163">
        <v>0</v>
      </c>
      <c r="BK545" s="163">
        <v>0</v>
      </c>
      <c r="BL545" s="62">
        <v>0.5</v>
      </c>
      <c r="BM545" s="275">
        <v>2</v>
      </c>
      <c r="BN545" s="62">
        <v>0</v>
      </c>
      <c r="BO545" s="33" t="s">
        <v>526</v>
      </c>
    </row>
    <row r="546" spans="1:67">
      <c r="A546" s="33" t="str">
        <f>Database_Productkaarten[[#This Row],[Product]]&amp;", "&amp;Database_Productkaarten[[#This Row],[Levensfase]]</f>
        <v>AC bin/base 50% PR G.M. - PCR 2.0, C3</v>
      </c>
      <c r="B546" s="33" t="s">
        <v>533</v>
      </c>
      <c r="C546" s="33" t="s">
        <v>483</v>
      </c>
      <c r="D546" s="33" t="s">
        <v>381</v>
      </c>
      <c r="E546" s="33" t="s">
        <v>378</v>
      </c>
      <c r="F546" s="33" t="s">
        <v>85</v>
      </c>
      <c r="L546" s="33">
        <v>2.37</v>
      </c>
      <c r="M546" s="269">
        <v>1</v>
      </c>
      <c r="N546" s="211">
        <v>0.15929996491652115</v>
      </c>
      <c r="O546" s="33">
        <v>45</v>
      </c>
      <c r="P546" s="163">
        <v>1.86519506623188E-6</v>
      </c>
      <c r="Q546" s="163">
        <v>7.9345027251590504E-3</v>
      </c>
      <c r="R546" s="163">
        <v>1.6136651910719899</v>
      </c>
      <c r="S546" s="163">
        <v>2.0852501001740701E-7</v>
      </c>
      <c r="T546" s="163">
        <v>5.8559282919896103E-4</v>
      </c>
      <c r="U546" s="163">
        <v>5.7290956144215302E-3</v>
      </c>
      <c r="V546" s="163">
        <v>1.28200094356113E-3</v>
      </c>
      <c r="W546" s="163">
        <v>0.43705340722564101</v>
      </c>
      <c r="X546" s="163">
        <v>6.1895127738852296E-3</v>
      </c>
      <c r="Y546" s="163">
        <v>21.505829038773101</v>
      </c>
      <c r="Z546" s="163">
        <v>7.32986664154938E-4</v>
      </c>
      <c r="AA546" s="163">
        <v>1.6243260245853399</v>
      </c>
      <c r="AB546" s="163">
        <v>1.6238599223274299</v>
      </c>
      <c r="AC546" s="163">
        <v>3.7124416066339699E-4</v>
      </c>
      <c r="AD546" s="163">
        <v>9.4858097247254105E-5</v>
      </c>
      <c r="AE546" s="163">
        <v>2.6274974851133498E-7</v>
      </c>
      <c r="AF546" s="163">
        <v>7.9167720690178807E-3</v>
      </c>
      <c r="AG546" s="163">
        <v>4.4318244817542098E-6</v>
      </c>
      <c r="AH546" s="163">
        <v>3.3042609390395898E-3</v>
      </c>
      <c r="AI546" s="163">
        <v>3.62833110064169E-2</v>
      </c>
      <c r="AJ546" s="163">
        <v>9.6537099808879992E-3</v>
      </c>
      <c r="AK546" s="163">
        <v>1.86518042982315E-6</v>
      </c>
      <c r="AL546" s="163">
        <v>16.741316473365</v>
      </c>
      <c r="AM546" s="163">
        <v>2.2296698821506099E-2</v>
      </c>
      <c r="AN546" s="163">
        <v>3.05765714107403E-8</v>
      </c>
      <c r="AO546" s="163">
        <v>7.1855285225627799E-2</v>
      </c>
      <c r="AP546" s="163">
        <v>10.0456498856039</v>
      </c>
      <c r="AQ546" s="163">
        <v>3.5242587803390898E-10</v>
      </c>
      <c r="AR546" s="163">
        <v>7.5755651667406308E-9</v>
      </c>
      <c r="AS546" s="163">
        <v>2.1383382221809599</v>
      </c>
      <c r="AT546" s="163">
        <v>0</v>
      </c>
      <c r="AU546" s="163">
        <v>0</v>
      </c>
      <c r="AV546" s="313">
        <v>9.2018592118631004E-2</v>
      </c>
      <c r="AW546" s="315">
        <v>0</v>
      </c>
      <c r="AX546" s="315">
        <v>0</v>
      </c>
      <c r="AY546" s="313">
        <v>17.778748594647102</v>
      </c>
      <c r="AZ546" s="163">
        <v>0</v>
      </c>
      <c r="BA546" s="163">
        <v>0</v>
      </c>
      <c r="BB546" s="163">
        <v>0</v>
      </c>
      <c r="BC546" s="163">
        <v>8.65415062205567E-4</v>
      </c>
      <c r="BD546" s="163">
        <v>4.5591075411896797E-5</v>
      </c>
      <c r="BE546" s="163">
        <v>1.98095256379992E-2</v>
      </c>
      <c r="BF546" s="163">
        <v>1.16353047896179E-4</v>
      </c>
      <c r="BG546" s="163">
        <v>0</v>
      </c>
      <c r="BH546" s="163">
        <v>1000</v>
      </c>
      <c r="BI546" s="163">
        <v>0</v>
      </c>
      <c r="BJ546" s="163">
        <v>0</v>
      </c>
      <c r="BK546" s="163">
        <v>0</v>
      </c>
      <c r="BL546" s="62">
        <v>0.5</v>
      </c>
      <c r="BM546" s="275">
        <v>2</v>
      </c>
      <c r="BN546" s="62">
        <v>0</v>
      </c>
      <c r="BO546" s="33" t="s">
        <v>526</v>
      </c>
    </row>
    <row r="547" spans="1:67">
      <c r="A547" s="33" t="str">
        <f>Database_Productkaarten[[#This Row],[Product]]&amp;", "&amp;Database_Productkaarten[[#This Row],[Levensfase]]</f>
        <v>AC bin/base 50% PR G.M. - PCR 2.0, C4</v>
      </c>
      <c r="B547" s="33" t="s">
        <v>533</v>
      </c>
      <c r="C547" s="33" t="s">
        <v>483</v>
      </c>
      <c r="D547" s="33" t="s">
        <v>381</v>
      </c>
      <c r="E547" s="33" t="s">
        <v>378</v>
      </c>
      <c r="F547" s="33" t="s">
        <v>86</v>
      </c>
      <c r="L547" s="33">
        <v>2.37</v>
      </c>
      <c r="M547" s="269">
        <v>1</v>
      </c>
      <c r="N547" s="211">
        <v>0</v>
      </c>
      <c r="O547" s="33">
        <v>45</v>
      </c>
      <c r="P547" s="163">
        <v>0</v>
      </c>
      <c r="Q547" s="163">
        <v>0</v>
      </c>
      <c r="R547" s="163">
        <v>0</v>
      </c>
      <c r="S547" s="163">
        <v>0</v>
      </c>
      <c r="T547" s="163">
        <v>0</v>
      </c>
      <c r="U547" s="163">
        <v>0</v>
      </c>
      <c r="V547" s="163">
        <v>0</v>
      </c>
      <c r="W547" s="163">
        <v>0</v>
      </c>
      <c r="X547" s="163">
        <v>0</v>
      </c>
      <c r="Y547" s="163">
        <v>0</v>
      </c>
      <c r="Z547" s="163">
        <v>0</v>
      </c>
      <c r="AA547" s="163">
        <v>0</v>
      </c>
      <c r="AB547" s="163">
        <v>0</v>
      </c>
      <c r="AC547" s="163">
        <v>0</v>
      </c>
      <c r="AD547" s="163">
        <v>0</v>
      </c>
      <c r="AE547" s="163">
        <v>0</v>
      </c>
      <c r="AF547" s="163">
        <v>0</v>
      </c>
      <c r="AG547" s="163">
        <v>0</v>
      </c>
      <c r="AH547" s="163">
        <v>0</v>
      </c>
      <c r="AI547" s="163">
        <v>0</v>
      </c>
      <c r="AJ547" s="163">
        <v>0</v>
      </c>
      <c r="AK547" s="163">
        <v>0</v>
      </c>
      <c r="AL547" s="163">
        <v>0</v>
      </c>
      <c r="AM547" s="163">
        <v>0</v>
      </c>
      <c r="AN547" s="163">
        <v>0</v>
      </c>
      <c r="AO547" s="163">
        <v>0</v>
      </c>
      <c r="AP547" s="163">
        <v>0</v>
      </c>
      <c r="AQ547" s="163">
        <v>0</v>
      </c>
      <c r="AR547" s="163">
        <v>0</v>
      </c>
      <c r="AS547" s="163">
        <v>0</v>
      </c>
      <c r="AT547" s="163">
        <v>0</v>
      </c>
      <c r="AU547" s="163">
        <v>0</v>
      </c>
      <c r="AV547" s="313">
        <v>0</v>
      </c>
      <c r="AW547" s="315">
        <v>0</v>
      </c>
      <c r="AX547" s="315">
        <v>0</v>
      </c>
      <c r="AY547" s="313">
        <v>0</v>
      </c>
      <c r="AZ547" s="163">
        <v>0</v>
      </c>
      <c r="BA547" s="163">
        <v>0</v>
      </c>
      <c r="BB547" s="163">
        <v>0</v>
      </c>
      <c r="BC547" s="163">
        <v>0</v>
      </c>
      <c r="BD547" s="163">
        <v>0</v>
      </c>
      <c r="BE547" s="163">
        <v>0</v>
      </c>
      <c r="BF547" s="163">
        <v>0</v>
      </c>
      <c r="BG547" s="163">
        <v>0</v>
      </c>
      <c r="BH547" s="163">
        <v>0</v>
      </c>
      <c r="BI547" s="163">
        <v>0</v>
      </c>
      <c r="BJ547" s="163">
        <v>0</v>
      </c>
      <c r="BK547" s="163">
        <v>0</v>
      </c>
      <c r="BL547" s="62">
        <v>0.5</v>
      </c>
      <c r="BM547" s="275">
        <v>2</v>
      </c>
      <c r="BN547" s="62">
        <v>0</v>
      </c>
      <c r="BO547" s="33" t="s">
        <v>526</v>
      </c>
    </row>
    <row r="548" spans="1:67">
      <c r="A548" s="33" t="str">
        <f>Database_Productkaarten[[#This Row],[Product]]&amp;", "&amp;Database_Productkaarten[[#This Row],[Levensfase]]</f>
        <v>AC bin/base 50% PR G.M. - PCR 2.0, D</v>
      </c>
      <c r="B548" s="33" t="s">
        <v>533</v>
      </c>
      <c r="C548" s="33" t="s">
        <v>483</v>
      </c>
      <c r="D548" s="33" t="s">
        <v>381</v>
      </c>
      <c r="E548" s="33" t="s">
        <v>378</v>
      </c>
      <c r="F548" s="33" t="s">
        <v>89</v>
      </c>
      <c r="L548" s="33">
        <v>2.37</v>
      </c>
      <c r="M548" s="269">
        <v>1</v>
      </c>
      <c r="N548" s="211">
        <v>-2.3257172479087651</v>
      </c>
      <c r="O548" s="33">
        <v>45</v>
      </c>
      <c r="P548" s="163">
        <v>-2.4170288865215701E-4</v>
      </c>
      <c r="Q548" s="163">
        <v>-0.40258542419313498</v>
      </c>
      <c r="R548" s="163">
        <v>-17.305427989386299</v>
      </c>
      <c r="S548" s="163">
        <v>-1.47463857326532E-6</v>
      </c>
      <c r="T548" s="163">
        <v>-4.32472186023595E-2</v>
      </c>
      <c r="U548" s="163">
        <v>-0.12197271021172</v>
      </c>
      <c r="V548" s="163">
        <v>-1.13979616679084E-2</v>
      </c>
      <c r="W548" s="163">
        <v>-4.6899381267823301</v>
      </c>
      <c r="X548" s="163">
        <v>-0.62524545358866301</v>
      </c>
      <c r="Y548" s="163">
        <v>-2732.2726366512002</v>
      </c>
      <c r="Z548" s="163">
        <v>-8.17212867200382E-2</v>
      </c>
      <c r="AA548" s="163">
        <v>-4.3863347475792702</v>
      </c>
      <c r="AB548" s="163">
        <v>-4.3362165314861603</v>
      </c>
      <c r="AC548" s="163">
        <v>-4.4894560297727801E-2</v>
      </c>
      <c r="AD548" s="163">
        <v>-5.2236557953832504E-3</v>
      </c>
      <c r="AE548" s="163">
        <v>-5.7968314142609196E-7</v>
      </c>
      <c r="AF548" s="163">
        <v>-4.2060349745367001E-2</v>
      </c>
      <c r="AG548" s="163">
        <v>-1.8142428371785199E-4</v>
      </c>
      <c r="AH548" s="163">
        <v>-1.24739529828648E-2</v>
      </c>
      <c r="AI548" s="163">
        <v>-0.15606960564019601</v>
      </c>
      <c r="AJ548" s="163">
        <v>-3.8761092871938303E-2</v>
      </c>
      <c r="AK548" s="163">
        <v>-2.3986201797443E-4</v>
      </c>
      <c r="AL548" s="163">
        <v>-62.990367002797498</v>
      </c>
      <c r="AM548" s="163">
        <v>-15.8981108931391</v>
      </c>
      <c r="AN548" s="163">
        <v>-5.9499410488780998E-7</v>
      </c>
      <c r="AO548" s="163">
        <v>-0.33245678308069099</v>
      </c>
      <c r="AP548" s="163">
        <v>-547.18362147000198</v>
      </c>
      <c r="AQ548" s="163">
        <v>-3.1928070856488198E-9</v>
      </c>
      <c r="AR548" s="163">
        <v>-7.3076150249528204E-8</v>
      </c>
      <c r="AS548" s="163">
        <v>-685.87170051787996</v>
      </c>
      <c r="AT548" s="163">
        <v>0</v>
      </c>
      <c r="AU548" s="163">
        <v>0</v>
      </c>
      <c r="AV548" s="313">
        <v>-8.2204191443025607</v>
      </c>
      <c r="AW548" s="315">
        <v>0</v>
      </c>
      <c r="AX548" s="315">
        <v>0</v>
      </c>
      <c r="AY548" s="313">
        <v>-908.820245201077</v>
      </c>
      <c r="AZ548" s="163">
        <v>0</v>
      </c>
      <c r="BA548" s="163">
        <v>0</v>
      </c>
      <c r="BB548" s="163">
        <v>0</v>
      </c>
      <c r="BC548" s="163">
        <v>-9.7512528164740893</v>
      </c>
      <c r="BD548" s="163">
        <v>-4.15305268220363E-4</v>
      </c>
      <c r="BE548" s="163">
        <v>-1.6520825288283201</v>
      </c>
      <c r="BF548" s="163">
        <v>-4.62741539943347E-4</v>
      </c>
      <c r="BG548" s="163">
        <v>0</v>
      </c>
      <c r="BH548" s="163">
        <v>0</v>
      </c>
      <c r="BI548" s="163">
        <v>0</v>
      </c>
      <c r="BJ548" s="163">
        <v>0</v>
      </c>
      <c r="BK548" s="163">
        <v>0</v>
      </c>
      <c r="BL548" s="62">
        <v>0.5</v>
      </c>
      <c r="BM548" s="275">
        <v>2</v>
      </c>
      <c r="BN548" s="62">
        <v>0</v>
      </c>
      <c r="BO548" s="33" t="s">
        <v>526</v>
      </c>
    </row>
    <row r="549" spans="1:67">
      <c r="A549" s="33" t="str">
        <f>Database_Productkaarten[[#This Row],[Product]]&amp;", "&amp;Database_Productkaarten[[#This Row],[Levensfase]]</f>
        <v>ZOAB Regulier - PCR 2.0, Totaal</v>
      </c>
      <c r="B549" s="33" t="s">
        <v>534</v>
      </c>
      <c r="C549" s="33" t="s">
        <v>483</v>
      </c>
      <c r="D549" s="33" t="s">
        <v>484</v>
      </c>
      <c r="E549" s="33" t="s">
        <v>378</v>
      </c>
      <c r="F549" s="33" t="s">
        <v>90</v>
      </c>
      <c r="L549" s="33">
        <v>2</v>
      </c>
      <c r="M549" s="269">
        <v>1</v>
      </c>
      <c r="N549" s="41">
        <f>SUM(N550:N565)</f>
        <v>21.148811129759657</v>
      </c>
      <c r="O549" s="33">
        <v>12</v>
      </c>
      <c r="P549" s="40">
        <f>SUM(P550:P565)</f>
        <v>1.8737454958279937E-3</v>
      </c>
      <c r="Q549" s="40">
        <f t="shared" ref="Q549:BK549" si="61">SUM(Q550:Q565)</f>
        <v>2.3003217311003343</v>
      </c>
      <c r="R549" s="40">
        <f t="shared" si="61"/>
        <v>179.32329571740206</v>
      </c>
      <c r="S549" s="40">
        <f t="shared" si="61"/>
        <v>1.9001595577465841E-5</v>
      </c>
      <c r="T549" s="40">
        <f t="shared" si="61"/>
        <v>0.22397887081097331</v>
      </c>
      <c r="U549" s="40">
        <f t="shared" si="61"/>
        <v>1.0723104032843433</v>
      </c>
      <c r="V549" s="40">
        <f t="shared" si="61"/>
        <v>0.12694937783459032</v>
      </c>
      <c r="W549" s="40">
        <f t="shared" si="61"/>
        <v>45.527108465059626</v>
      </c>
      <c r="X549" s="40">
        <f t="shared" si="61"/>
        <v>6.1531613457985781</v>
      </c>
      <c r="Y549" s="40">
        <f t="shared" si="61"/>
        <v>16253.966067726542</v>
      </c>
      <c r="Z549" s="40">
        <f t="shared" si="61"/>
        <v>0.44250092490396487</v>
      </c>
      <c r="AA549" s="40">
        <f t="shared" si="61"/>
        <v>204.83963845271148</v>
      </c>
      <c r="AB549" s="40">
        <f t="shared" si="61"/>
        <v>204.19910991600125</v>
      </c>
      <c r="AC549" s="40">
        <f t="shared" si="61"/>
        <v>0.60417308690436644</v>
      </c>
      <c r="AD549" s="40">
        <f t="shared" si="61"/>
        <v>9.2875433155744369E-2</v>
      </c>
      <c r="AE549" s="40">
        <f t="shared" si="61"/>
        <v>2.4634983547443009E-5</v>
      </c>
      <c r="AF549" s="40">
        <f t="shared" si="61"/>
        <v>1.4791478019120143</v>
      </c>
      <c r="AG549" s="40">
        <f t="shared" si="61"/>
        <v>2.0144340743242818E-3</v>
      </c>
      <c r="AH549" s="40">
        <f t="shared" si="61"/>
        <v>0.32190593383176214</v>
      </c>
      <c r="AI549" s="40">
        <f t="shared" si="61"/>
        <v>3.5381466455773301</v>
      </c>
      <c r="AJ549" s="40">
        <f t="shared" si="61"/>
        <v>1.3516757163999726</v>
      </c>
      <c r="AK549" s="40">
        <f t="shared" si="61"/>
        <v>1.8761816286018197E-3</v>
      </c>
      <c r="AL549" s="40">
        <f t="shared" si="61"/>
        <v>5898.1343290863533</v>
      </c>
      <c r="AM549" s="40">
        <f t="shared" si="61"/>
        <v>47.275696160393814</v>
      </c>
      <c r="AN549" s="40">
        <f t="shared" si="61"/>
        <v>6.6809584684437231E-6</v>
      </c>
      <c r="AO549" s="40">
        <f t="shared" si="61"/>
        <v>6.2017961459262807</v>
      </c>
      <c r="AP549" s="40">
        <f t="shared" si="61"/>
        <v>9108.9436342802655</v>
      </c>
      <c r="AQ549" s="40">
        <f t="shared" si="61"/>
        <v>5.6178951762951888E-8</v>
      </c>
      <c r="AR549" s="40">
        <f t="shared" si="61"/>
        <v>2.0583754200189374E-6</v>
      </c>
      <c r="AS549" s="40">
        <f t="shared" si="61"/>
        <v>4912.1153936819619</v>
      </c>
      <c r="AT549" s="40">
        <f t="shared" si="61"/>
        <v>8.065825212</v>
      </c>
      <c r="AU549" s="40">
        <f t="shared" si="61"/>
        <v>0</v>
      </c>
      <c r="AV549" s="313">
        <f t="shared" si="61"/>
        <v>73.170353077234907</v>
      </c>
      <c r="AW549" s="317">
        <f t="shared" si="61"/>
        <v>0.70667511750000001</v>
      </c>
      <c r="AX549" s="317">
        <f t="shared" si="61"/>
        <v>9.926829900000001E-4</v>
      </c>
      <c r="AY549" s="313">
        <f t="shared" si="61"/>
        <v>5127.9526067632551</v>
      </c>
      <c r="AZ549" s="40">
        <f t="shared" si="61"/>
        <v>0</v>
      </c>
      <c r="BA549" s="40">
        <f t="shared" si="61"/>
        <v>0</v>
      </c>
      <c r="BB549" s="40">
        <f t="shared" si="61"/>
        <v>0</v>
      </c>
      <c r="BC549" s="40">
        <f t="shared" si="61"/>
        <v>-11.763245648206503</v>
      </c>
      <c r="BD549" s="40">
        <f t="shared" si="61"/>
        <v>3.5287547955619404E-3</v>
      </c>
      <c r="BE549" s="40">
        <f t="shared" si="61"/>
        <v>26.346322768447521</v>
      </c>
      <c r="BF549" s="40">
        <f t="shared" si="61"/>
        <v>7.2165974832500554E-3</v>
      </c>
      <c r="BG549" s="40">
        <f t="shared" si="61"/>
        <v>0</v>
      </c>
      <c r="BH549" s="40">
        <f t="shared" si="61"/>
        <v>1000</v>
      </c>
      <c r="BI549" s="40">
        <f t="shared" si="61"/>
        <v>0</v>
      </c>
      <c r="BJ549" s="40">
        <f t="shared" si="61"/>
        <v>0</v>
      </c>
      <c r="BK549" s="40">
        <f t="shared" si="61"/>
        <v>0</v>
      </c>
      <c r="BL549" s="62">
        <v>0</v>
      </c>
      <c r="BM549" s="275">
        <v>2</v>
      </c>
      <c r="BN549" s="62">
        <v>0</v>
      </c>
      <c r="BO549" s="33" t="s">
        <v>526</v>
      </c>
    </row>
    <row r="550" spans="1:67">
      <c r="A550" s="33" t="str">
        <f>Database_Productkaarten[[#This Row],[Product]]&amp;", "&amp;Database_Productkaarten[[#This Row],[Levensfase]]</f>
        <v>ZOAB Regulier - PCR 2.0, A1</v>
      </c>
      <c r="B550" s="33" t="s">
        <v>534</v>
      </c>
      <c r="C550" s="33" t="s">
        <v>483</v>
      </c>
      <c r="D550" s="33" t="s">
        <v>484</v>
      </c>
      <c r="E550" s="33" t="s">
        <v>378</v>
      </c>
      <c r="F550" s="33" t="s">
        <v>74</v>
      </c>
      <c r="L550" s="33">
        <v>2</v>
      </c>
      <c r="M550" s="269">
        <v>1</v>
      </c>
      <c r="N550" s="211">
        <v>6.951276628346486</v>
      </c>
      <c r="O550" s="33">
        <v>12</v>
      </c>
      <c r="P550" s="163">
        <v>8.5668624915962105E-4</v>
      </c>
      <c r="Q550" s="163">
        <v>1.1090464631936301</v>
      </c>
      <c r="R550" s="163">
        <v>58.563946862743798</v>
      </c>
      <c r="S550" s="163">
        <v>4.5097217261990498E-6</v>
      </c>
      <c r="T550" s="163">
        <v>0.120508180676846</v>
      </c>
      <c r="U550" s="163">
        <v>0.33839286350619102</v>
      </c>
      <c r="V550" s="163">
        <v>3.2762658745192401E-2</v>
      </c>
      <c r="W550" s="163">
        <v>12.722959440933201</v>
      </c>
      <c r="X550" s="163">
        <v>1.71655426714145</v>
      </c>
      <c r="Y550" s="163">
        <v>7458.8982578405903</v>
      </c>
      <c r="Z550" s="163">
        <v>0.22424903465311599</v>
      </c>
      <c r="AA550" s="163">
        <v>61.855632100434804</v>
      </c>
      <c r="AB550" s="163">
        <v>61.564878784884598</v>
      </c>
      <c r="AC550" s="163">
        <v>0.28462668861196</v>
      </c>
      <c r="AD550" s="163">
        <v>3.4386626938190099E-2</v>
      </c>
      <c r="AE550" s="163">
        <v>5.4487397230297997E-6</v>
      </c>
      <c r="AF550" s="163">
        <v>0.40852478760809002</v>
      </c>
      <c r="AG550" s="163">
        <v>7.6296974596396004E-4</v>
      </c>
      <c r="AH550" s="163">
        <v>6.7920987511757694E-2</v>
      </c>
      <c r="AI550" s="163">
        <v>0.75455986229474703</v>
      </c>
      <c r="AJ550" s="163">
        <v>0.40008605911314699</v>
      </c>
      <c r="AK550" s="163">
        <v>8.5662844038862705E-4</v>
      </c>
      <c r="AL550" s="163">
        <v>2366.9155158982799</v>
      </c>
      <c r="AM550" s="163">
        <v>35.487402958397404</v>
      </c>
      <c r="AN550" s="163">
        <v>2.5432802664872799E-6</v>
      </c>
      <c r="AO550" s="163">
        <v>1.81657197750888</v>
      </c>
      <c r="AP550" s="163">
        <v>4799.4259307836101</v>
      </c>
      <c r="AQ550" s="163">
        <v>1.6299612582759901E-8</v>
      </c>
      <c r="AR550" s="163">
        <v>7.3271894568557904E-7</v>
      </c>
      <c r="AS550" s="163">
        <v>2928.7215858856398</v>
      </c>
      <c r="AT550" s="163">
        <v>0</v>
      </c>
      <c r="AU550" s="163">
        <v>0</v>
      </c>
      <c r="AV550" s="313">
        <v>29.776990147087201</v>
      </c>
      <c r="AW550" s="315">
        <v>0</v>
      </c>
      <c r="AX550" s="315">
        <v>0</v>
      </c>
      <c r="AY550" s="313">
        <v>2517.9107261540998</v>
      </c>
      <c r="AZ550" s="163">
        <v>0</v>
      </c>
      <c r="BA550" s="163">
        <v>0</v>
      </c>
      <c r="BB550" s="163">
        <v>0</v>
      </c>
      <c r="BC550" s="163">
        <v>0.88213548668491604</v>
      </c>
      <c r="BD550" s="163">
        <v>1.0193862391630799E-3</v>
      </c>
      <c r="BE550" s="163">
        <v>2.8342377692559402</v>
      </c>
      <c r="BF550" s="163">
        <v>1.5690221720220201E-3</v>
      </c>
      <c r="BG550" s="163">
        <v>0</v>
      </c>
      <c r="BH550" s="163">
        <v>0</v>
      </c>
      <c r="BI550" s="163">
        <v>0</v>
      </c>
      <c r="BJ550" s="163">
        <v>0</v>
      </c>
      <c r="BK550" s="163">
        <v>0</v>
      </c>
      <c r="BL550" s="62">
        <v>0</v>
      </c>
      <c r="BM550" s="275">
        <v>2</v>
      </c>
      <c r="BN550" s="62">
        <v>0</v>
      </c>
      <c r="BO550" s="33" t="s">
        <v>526</v>
      </c>
    </row>
    <row r="551" spans="1:67">
      <c r="A551" s="33" t="str">
        <f>Database_Productkaarten[[#This Row],[Product]]&amp;", "&amp;Database_Productkaarten[[#This Row],[Levensfase]]</f>
        <v>ZOAB Regulier - PCR 2.0, A2</v>
      </c>
      <c r="B551" s="33" t="s">
        <v>534</v>
      </c>
      <c r="C551" s="33" t="s">
        <v>483</v>
      </c>
      <c r="D551" s="33" t="s">
        <v>484</v>
      </c>
      <c r="E551" s="33" t="s">
        <v>378</v>
      </c>
      <c r="F551" s="33" t="s">
        <v>75</v>
      </c>
      <c r="L551" s="33">
        <v>2</v>
      </c>
      <c r="M551" s="269">
        <v>1</v>
      </c>
      <c r="N551" s="211">
        <v>2.8763438017531731</v>
      </c>
      <c r="O551" s="33">
        <v>12</v>
      </c>
      <c r="P551" s="163">
        <v>2.2359816874795599E-4</v>
      </c>
      <c r="Q551" s="163">
        <v>0.107734382266786</v>
      </c>
      <c r="R551" s="163">
        <v>16.484261239084901</v>
      </c>
      <c r="S551" s="163">
        <v>2.6762290295857898E-6</v>
      </c>
      <c r="T551" s="163">
        <v>1.5370550196283099E-2</v>
      </c>
      <c r="U551" s="163">
        <v>0.245775992308886</v>
      </c>
      <c r="V551" s="163">
        <v>3.1899058632690998E-2</v>
      </c>
      <c r="W551" s="163">
        <v>7.3802110963545902</v>
      </c>
      <c r="X551" s="163">
        <v>0.15727829137643901</v>
      </c>
      <c r="Y551" s="163">
        <v>634.24527497858799</v>
      </c>
      <c r="Z551" s="163">
        <v>2.4645063749346399E-2</v>
      </c>
      <c r="AA551" s="163">
        <v>16.629982433445999</v>
      </c>
      <c r="AB551" s="163">
        <v>16.6101209054655</v>
      </c>
      <c r="AC551" s="163">
        <v>6.01348404577244E-3</v>
      </c>
      <c r="AD551" s="163">
        <v>1.38480439347346E-2</v>
      </c>
      <c r="AE551" s="163">
        <v>3.35792907757336E-6</v>
      </c>
      <c r="AF551" s="163">
        <v>0.31286997035300601</v>
      </c>
      <c r="AG551" s="163">
        <v>1.29201486678641E-4</v>
      </c>
      <c r="AH551" s="163">
        <v>8.6687908012734405E-2</v>
      </c>
      <c r="AI551" s="163">
        <v>0.96113693152852497</v>
      </c>
      <c r="AJ551" s="163">
        <v>0.25206945781476597</v>
      </c>
      <c r="AK551" s="163">
        <v>2.23594438973053E-4</v>
      </c>
      <c r="AL551" s="163">
        <v>224.54969436373301</v>
      </c>
      <c r="AM551" s="163">
        <v>0.649895276502096</v>
      </c>
      <c r="AN551" s="163">
        <v>8.0754869512883904E-7</v>
      </c>
      <c r="AO551" s="163">
        <v>0.95714796304649497</v>
      </c>
      <c r="AP551" s="163">
        <v>175.95028317849</v>
      </c>
      <c r="AQ551" s="163">
        <v>8.3679372927838607E-9</v>
      </c>
      <c r="AR551" s="163">
        <v>1.57889413118496E-7</v>
      </c>
      <c r="AS551" s="163">
        <v>119.421453933929</v>
      </c>
      <c r="AT551" s="163">
        <v>0</v>
      </c>
      <c r="AU551" s="163">
        <v>0</v>
      </c>
      <c r="AV551" s="313">
        <v>2.7465313404729299</v>
      </c>
      <c r="AW551" s="315">
        <v>0</v>
      </c>
      <c r="AX551" s="315">
        <v>0</v>
      </c>
      <c r="AY551" s="313">
        <v>238.37891548185399</v>
      </c>
      <c r="AZ551" s="163">
        <v>0</v>
      </c>
      <c r="BA551" s="163">
        <v>0</v>
      </c>
      <c r="BB551" s="163">
        <v>0</v>
      </c>
      <c r="BC551" s="163">
        <v>2.37278384021796E-2</v>
      </c>
      <c r="BD551" s="163">
        <v>4.15730420109477E-4</v>
      </c>
      <c r="BE551" s="163">
        <v>5.7151244667818402</v>
      </c>
      <c r="BF551" s="163">
        <v>1.5082544174320799E-3</v>
      </c>
      <c r="BG551" s="163">
        <v>0</v>
      </c>
      <c r="BH551" s="163">
        <v>0</v>
      </c>
      <c r="BI551" s="163">
        <v>0</v>
      </c>
      <c r="BJ551" s="163">
        <v>0</v>
      </c>
      <c r="BK551" s="163">
        <v>0</v>
      </c>
      <c r="BL551" s="62">
        <v>0</v>
      </c>
      <c r="BM551" s="275">
        <v>2</v>
      </c>
      <c r="BN551" s="62">
        <v>0</v>
      </c>
      <c r="BO551" s="33" t="s">
        <v>526</v>
      </c>
    </row>
    <row r="552" spans="1:67">
      <c r="A552" s="33" t="str">
        <f>Database_Productkaarten[[#This Row],[Product]]&amp;", "&amp;Database_Productkaarten[[#This Row],[Levensfase]]</f>
        <v>ZOAB Regulier - PCR 2.0, A3</v>
      </c>
      <c r="B552" s="33" t="s">
        <v>534</v>
      </c>
      <c r="C552" s="33" t="s">
        <v>483</v>
      </c>
      <c r="D552" s="33" t="s">
        <v>484</v>
      </c>
      <c r="E552" s="33" t="s">
        <v>378</v>
      </c>
      <c r="F552" s="33" t="s">
        <v>76</v>
      </c>
      <c r="L552" s="33">
        <v>2</v>
      </c>
      <c r="M552" s="269">
        <v>1</v>
      </c>
      <c r="N552" s="211">
        <v>1.4989979500878003</v>
      </c>
      <c r="O552" s="33">
        <v>12</v>
      </c>
      <c r="P552" s="163">
        <v>2.0221565186947199E-5</v>
      </c>
      <c r="Q552" s="163">
        <v>0.175166472196252</v>
      </c>
      <c r="R552" s="163">
        <v>20.581281794629799</v>
      </c>
      <c r="S552" s="163">
        <v>2.3254620979551199E-6</v>
      </c>
      <c r="T552" s="163">
        <v>3.3634985568570101E-3</v>
      </c>
      <c r="U552" s="163">
        <v>2.0722435996330599E-2</v>
      </c>
      <c r="V552" s="163">
        <v>3.5310490956480399E-3</v>
      </c>
      <c r="W552" s="163">
        <v>3.4342142723902902</v>
      </c>
      <c r="X552" s="163">
        <v>2.29846549334802E-2</v>
      </c>
      <c r="Y552" s="163">
        <v>93.315439129046595</v>
      </c>
      <c r="Z552" s="163">
        <v>2.2294574260623298E-2</v>
      </c>
      <c r="AA552" s="163">
        <v>20.887909397158602</v>
      </c>
      <c r="AB552" s="163">
        <v>20.838373939900801</v>
      </c>
      <c r="AC552" s="163">
        <v>4.7767966253372401E-2</v>
      </c>
      <c r="AD552" s="163">
        <v>1.7674910044115401E-3</v>
      </c>
      <c r="AE552" s="163">
        <v>2.6228440049962099E-6</v>
      </c>
      <c r="AF552" s="163">
        <v>2.6656751572729401E-2</v>
      </c>
      <c r="AG552" s="163">
        <v>2.4013759465104501E-4</v>
      </c>
      <c r="AH552" s="163">
        <v>7.5037983838064197E-3</v>
      </c>
      <c r="AI552" s="163">
        <v>8.4829624182845301E-2</v>
      </c>
      <c r="AJ552" s="163">
        <v>2.55875609450508E-2</v>
      </c>
      <c r="AK552" s="163">
        <v>2.02212885272358E-5</v>
      </c>
      <c r="AL552" s="163">
        <v>322.52519138463299</v>
      </c>
      <c r="AM552" s="163">
        <v>0.48459811244849199</v>
      </c>
      <c r="AN552" s="163">
        <v>1.85955642786789E-7</v>
      </c>
      <c r="AO552" s="163">
        <v>0.241324181456331</v>
      </c>
      <c r="AP552" s="163">
        <v>69.546875692342496</v>
      </c>
      <c r="AQ552" s="163">
        <v>2.6198108980871801E-9</v>
      </c>
      <c r="AR552" s="163">
        <v>4.5262873668137599E-8</v>
      </c>
      <c r="AS552" s="163">
        <v>14.7609189250425</v>
      </c>
      <c r="AT552" s="163">
        <v>0</v>
      </c>
      <c r="AU552" s="163">
        <v>0</v>
      </c>
      <c r="AV552" s="313">
        <v>6.2021659229805701</v>
      </c>
      <c r="AW552" s="315">
        <v>0</v>
      </c>
      <c r="AX552" s="315">
        <v>0</v>
      </c>
      <c r="AY552" s="313">
        <v>355.51856731032598</v>
      </c>
      <c r="AZ552" s="163">
        <v>0</v>
      </c>
      <c r="BA552" s="163">
        <v>0</v>
      </c>
      <c r="BB552" s="163">
        <v>0</v>
      </c>
      <c r="BC552" s="163">
        <v>3.6047636497648597E-2</v>
      </c>
      <c r="BD552" s="163">
        <v>3.9222024054264801E-4</v>
      </c>
      <c r="BE552" s="163">
        <v>0.24722166518921199</v>
      </c>
      <c r="BF552" s="163">
        <v>3.07589200006827E-4</v>
      </c>
      <c r="BG552" s="163">
        <v>0</v>
      </c>
      <c r="BH552" s="163">
        <v>0</v>
      </c>
      <c r="BI552" s="163">
        <v>0</v>
      </c>
      <c r="BJ552" s="163">
        <v>0</v>
      </c>
      <c r="BK552" s="163">
        <v>0</v>
      </c>
      <c r="BL552" s="62">
        <v>0</v>
      </c>
      <c r="BM552" s="275">
        <v>2</v>
      </c>
      <c r="BN552" s="62">
        <v>0</v>
      </c>
      <c r="BO552" s="33" t="s">
        <v>526</v>
      </c>
    </row>
    <row r="553" spans="1:67">
      <c r="A553" s="33" t="str">
        <f>Database_Productkaarten[[#This Row],[Product]]&amp;", "&amp;Database_Productkaarten[[#This Row],[Levensfase]]</f>
        <v>ZOAB Regulier - PCR 2.0, A1-A3</v>
      </c>
      <c r="B553" s="33" t="str">
        <f>B552</f>
        <v>ZOAB Regulier - PCR 2.0</v>
      </c>
      <c r="C553" s="33" t="str">
        <f>C552</f>
        <v>Bitumineuze verhardingen</v>
      </c>
      <c r="D553" s="33" t="str">
        <f>D552</f>
        <v>ZOAB</v>
      </c>
      <c r="E553" s="33" t="str">
        <f>E552</f>
        <v>Ton</v>
      </c>
      <c r="F553" s="33" t="s">
        <v>77</v>
      </c>
      <c r="L553" s="33">
        <f>L552</f>
        <v>2</v>
      </c>
      <c r="M553" s="45">
        <f>M552</f>
        <v>1</v>
      </c>
      <c r="N553" s="41">
        <f>SUM(N550:N552)</f>
        <v>11.326618380187458</v>
      </c>
      <c r="O553" s="33">
        <f>O552</f>
        <v>12</v>
      </c>
      <c r="P553" s="40">
        <f>SUM(P550:P552)</f>
        <v>1.1005059830945241E-3</v>
      </c>
      <c r="Q553" s="40">
        <f t="shared" ref="Q553:BK553" si="62">SUM(Q550:Q552)</f>
        <v>1.3919473176566681</v>
      </c>
      <c r="R553" s="40">
        <f t="shared" si="62"/>
        <v>95.629489896458495</v>
      </c>
      <c r="S553" s="40">
        <f t="shared" si="62"/>
        <v>9.5114128537399587E-6</v>
      </c>
      <c r="T553" s="40">
        <f t="shared" si="62"/>
        <v>0.1392422294299861</v>
      </c>
      <c r="U553" s="40">
        <f t="shared" si="62"/>
        <v>0.60489129181140766</v>
      </c>
      <c r="V553" s="40">
        <f t="shared" si="62"/>
        <v>6.8192766473531438E-2</v>
      </c>
      <c r="W553" s="40">
        <f t="shared" si="62"/>
        <v>23.53738480967808</v>
      </c>
      <c r="X553" s="40">
        <f t="shared" si="62"/>
        <v>1.8968172134513692</v>
      </c>
      <c r="Y553" s="40">
        <f t="shared" si="62"/>
        <v>8186.4589719482246</v>
      </c>
      <c r="Z553" s="40">
        <f t="shared" si="62"/>
        <v>0.27118867266308572</v>
      </c>
      <c r="AA553" s="40">
        <f t="shared" si="62"/>
        <v>99.373523931039415</v>
      </c>
      <c r="AB553" s="40">
        <f t="shared" si="62"/>
        <v>99.013373630250896</v>
      </c>
      <c r="AC553" s="40">
        <f t="shared" si="62"/>
        <v>0.33840813891110488</v>
      </c>
      <c r="AD553" s="40">
        <f t="shared" si="62"/>
        <v>5.0002161877336235E-2</v>
      </c>
      <c r="AE553" s="40">
        <f t="shared" si="62"/>
        <v>1.1429512805599369E-5</v>
      </c>
      <c r="AF553" s="40">
        <f t="shared" si="62"/>
        <v>0.74805150953382538</v>
      </c>
      <c r="AG553" s="40">
        <f t="shared" si="62"/>
        <v>1.132308827293646E-3</v>
      </c>
      <c r="AH553" s="40">
        <f t="shared" si="62"/>
        <v>0.16211269390829849</v>
      </c>
      <c r="AI553" s="40">
        <f t="shared" si="62"/>
        <v>1.8005264180061171</v>
      </c>
      <c r="AJ553" s="40">
        <f t="shared" si="62"/>
        <v>0.67774307787296373</v>
      </c>
      <c r="AK553" s="40">
        <f t="shared" si="62"/>
        <v>1.1004441678889158E-3</v>
      </c>
      <c r="AL553" s="40">
        <f t="shared" si="62"/>
        <v>2913.9904016466462</v>
      </c>
      <c r="AM553" s="40">
        <f t="shared" si="62"/>
        <v>36.621896347347992</v>
      </c>
      <c r="AN553" s="40">
        <f t="shared" si="62"/>
        <v>3.5367846044029075E-6</v>
      </c>
      <c r="AO553" s="40">
        <f t="shared" si="62"/>
        <v>3.0150441220117057</v>
      </c>
      <c r="AP553" s="40">
        <f t="shared" si="62"/>
        <v>5044.9230896544432</v>
      </c>
      <c r="AQ553" s="40">
        <f t="shared" si="62"/>
        <v>2.7287360773630945E-8</v>
      </c>
      <c r="AR553" s="40">
        <f t="shared" si="62"/>
        <v>9.3587123247221266E-7</v>
      </c>
      <c r="AS553" s="40">
        <f t="shared" si="62"/>
        <v>3062.9039587446114</v>
      </c>
      <c r="AT553" s="40">
        <f t="shared" si="62"/>
        <v>0</v>
      </c>
      <c r="AU553" s="40">
        <f t="shared" si="62"/>
        <v>0</v>
      </c>
      <c r="AV553" s="317">
        <f t="shared" si="62"/>
        <v>38.725687410540701</v>
      </c>
      <c r="AW553" s="317">
        <f t="shared" si="62"/>
        <v>0</v>
      </c>
      <c r="AX553" s="317">
        <f t="shared" si="62"/>
        <v>0</v>
      </c>
      <c r="AY553" s="317">
        <f t="shared" si="62"/>
        <v>3111.80820894628</v>
      </c>
      <c r="AZ553" s="40">
        <f t="shared" si="62"/>
        <v>0</v>
      </c>
      <c r="BA553" s="40">
        <f t="shared" si="62"/>
        <v>0</v>
      </c>
      <c r="BB553" s="40">
        <f t="shared" si="62"/>
        <v>0</v>
      </c>
      <c r="BC553" s="40">
        <f t="shared" si="62"/>
        <v>0.9419109615847443</v>
      </c>
      <c r="BD553" s="40">
        <f t="shared" si="62"/>
        <v>1.8273368998152049E-3</v>
      </c>
      <c r="BE553" s="40">
        <f t="shared" si="62"/>
        <v>8.7965839012269917</v>
      </c>
      <c r="BF553" s="40">
        <f t="shared" si="62"/>
        <v>3.3848657894609271E-3</v>
      </c>
      <c r="BG553" s="40">
        <f t="shared" si="62"/>
        <v>0</v>
      </c>
      <c r="BH553" s="40">
        <f t="shared" si="62"/>
        <v>0</v>
      </c>
      <c r="BI553" s="40">
        <f t="shared" si="62"/>
        <v>0</v>
      </c>
      <c r="BJ553" s="40">
        <f t="shared" si="62"/>
        <v>0</v>
      </c>
      <c r="BK553" s="40">
        <f t="shared" si="62"/>
        <v>0</v>
      </c>
      <c r="BL553" s="62">
        <f>BL552</f>
        <v>0</v>
      </c>
      <c r="BM553" s="275">
        <f>BM552</f>
        <v>2</v>
      </c>
      <c r="BN553" s="62">
        <v>0</v>
      </c>
      <c r="BO553" s="33" t="str">
        <f>BO552</f>
        <v>Ecochain 2022 LCA Achtergrondrapport voor Nederlandse branchereferentiemengsels 2022</v>
      </c>
    </row>
    <row r="554" spans="1:67">
      <c r="A554" s="33" t="str">
        <f>Database_Productkaarten[[#This Row],[Product]]&amp;", "&amp;Database_Productkaarten[[#This Row],[Levensfase]]</f>
        <v>ZOAB Regulier - PCR 2.0, A4</v>
      </c>
      <c r="B554" s="33" t="s">
        <v>534</v>
      </c>
      <c r="C554" s="33" t="s">
        <v>483</v>
      </c>
      <c r="D554" s="33" t="s">
        <v>484</v>
      </c>
      <c r="E554" s="33" t="s">
        <v>378</v>
      </c>
      <c r="F554" s="33" t="s">
        <v>78</v>
      </c>
      <c r="L554" s="33">
        <v>2</v>
      </c>
      <c r="M554" s="269">
        <v>1</v>
      </c>
      <c r="N554" s="211">
        <v>0.37546048090943995</v>
      </c>
      <c r="O554" s="33">
        <v>12</v>
      </c>
      <c r="P554" s="163">
        <v>6.8533509000000002E-5</v>
      </c>
      <c r="Q554" s="163">
        <v>2.9713889699999999E-2</v>
      </c>
      <c r="R554" s="163">
        <v>3.9891474704999998</v>
      </c>
      <c r="S554" s="163">
        <v>7.557213E-7</v>
      </c>
      <c r="T554" s="163">
        <v>2.4773701499999998E-3</v>
      </c>
      <c r="U554" s="163">
        <v>1.36398132E-2</v>
      </c>
      <c r="V554" s="163">
        <v>2.5682192100000001E-3</v>
      </c>
      <c r="W554" s="163">
        <v>0.8608144794</v>
      </c>
      <c r="X554" s="163">
        <v>3.6189873900000002E-2</v>
      </c>
      <c r="Y554" s="163">
        <v>97.376595929999993</v>
      </c>
      <c r="Z554" s="163">
        <v>4.8437180999999999E-3</v>
      </c>
      <c r="AA554" s="163">
        <v>4.0259382761999998</v>
      </c>
      <c r="AB554" s="163">
        <v>4.0229543298000001</v>
      </c>
      <c r="AC554" s="163">
        <v>1.9814632200000001E-3</v>
      </c>
      <c r="AD554" s="163">
        <v>1.0024609799999999E-3</v>
      </c>
      <c r="AE554" s="163">
        <v>9.4976262000000003E-7</v>
      </c>
      <c r="AF554" s="163">
        <v>1.7739576E-2</v>
      </c>
      <c r="AG554" s="163">
        <v>2.7841996800000001E-5</v>
      </c>
      <c r="AH554" s="163">
        <v>5.5484582100000001E-3</v>
      </c>
      <c r="AI554" s="163">
        <v>6.1385308800000003E-2</v>
      </c>
      <c r="AJ554" s="163">
        <v>1.9235744999999999E-2</v>
      </c>
      <c r="AK554" s="163">
        <v>6.8533397999999998E-5</v>
      </c>
      <c r="AL554" s="163">
        <v>62.400806729999999</v>
      </c>
      <c r="AM554" s="163">
        <v>0.212954166</v>
      </c>
      <c r="AN554" s="163">
        <v>2.9338876200000002E-7</v>
      </c>
      <c r="AO554" s="163">
        <v>0.26868483510000002</v>
      </c>
      <c r="AP554" s="163">
        <v>45.56587296</v>
      </c>
      <c r="AQ554" s="163">
        <v>1.16371179E-9</v>
      </c>
      <c r="AR554" s="163">
        <v>3.8268015899999999E-8</v>
      </c>
      <c r="AS554" s="163">
        <v>71.806844609999999</v>
      </c>
      <c r="AT554" s="163">
        <v>0</v>
      </c>
      <c r="AU554" s="163">
        <v>0</v>
      </c>
      <c r="AV554" s="313">
        <v>0.63474917099999995</v>
      </c>
      <c r="AW554" s="315">
        <v>0</v>
      </c>
      <c r="AX554" s="315">
        <v>0</v>
      </c>
      <c r="AY554" s="313">
        <v>66.265108560000002</v>
      </c>
      <c r="AZ554" s="163">
        <v>0</v>
      </c>
      <c r="BA554" s="163">
        <v>0</v>
      </c>
      <c r="BB554" s="163">
        <v>0</v>
      </c>
      <c r="BC554" s="163">
        <v>6.7467797999999999E-3</v>
      </c>
      <c r="BD554" s="163">
        <v>1.54707915E-4</v>
      </c>
      <c r="BE554" s="163">
        <v>5.4635493149999999</v>
      </c>
      <c r="BF554" s="163">
        <v>4.25149758E-4</v>
      </c>
      <c r="BG554" s="163">
        <v>0</v>
      </c>
      <c r="BH554" s="163">
        <v>0</v>
      </c>
      <c r="BI554" s="163">
        <v>0</v>
      </c>
      <c r="BJ554" s="163">
        <v>0</v>
      </c>
      <c r="BK554" s="163">
        <v>0</v>
      </c>
      <c r="BL554" s="62">
        <v>0</v>
      </c>
      <c r="BM554" s="275">
        <v>2</v>
      </c>
      <c r="BN554" s="62">
        <v>0</v>
      </c>
      <c r="BO554" s="33" t="s">
        <v>526</v>
      </c>
    </row>
    <row r="555" spans="1:67">
      <c r="A555" s="33" t="str">
        <f>Database_Productkaarten[[#This Row],[Product]]&amp;", "&amp;Database_Productkaarten[[#This Row],[Levensfase]]</f>
        <v>ZOAB Regulier - PCR 2.0, A5</v>
      </c>
      <c r="B555" s="33" t="s">
        <v>534</v>
      </c>
      <c r="C555" s="33" t="s">
        <v>483</v>
      </c>
      <c r="D555" s="33" t="s">
        <v>484</v>
      </c>
      <c r="E555" s="33" t="s">
        <v>378</v>
      </c>
      <c r="F555" s="33" t="s">
        <v>79</v>
      </c>
      <c r="L555" s="33">
        <v>2</v>
      </c>
      <c r="M555" s="269">
        <v>1</v>
      </c>
      <c r="N555" s="211">
        <v>0.14177533094071404</v>
      </c>
      <c r="O555" s="33">
        <v>12</v>
      </c>
      <c r="P555" s="163">
        <v>1.61314166622507E-6</v>
      </c>
      <c r="Q555" s="163">
        <v>6.8622725362608404E-3</v>
      </c>
      <c r="R555" s="163">
        <v>1.3956023254324501</v>
      </c>
      <c r="S555" s="163">
        <v>1.8034595210437101E-7</v>
      </c>
      <c r="T555" s="163">
        <v>5.16544439028269E-4</v>
      </c>
      <c r="U555" s="163">
        <v>5.5620934816408901E-3</v>
      </c>
      <c r="V555" s="163">
        <v>1.2666295693661599E-3</v>
      </c>
      <c r="W555" s="163">
        <v>0.37946512509448699</v>
      </c>
      <c r="X555" s="163">
        <v>5.3530920601637597E-3</v>
      </c>
      <c r="Y555" s="163">
        <v>18.599635683899098</v>
      </c>
      <c r="Z555" s="163">
        <v>6.3393440743158397E-4</v>
      </c>
      <c r="AA555" s="163">
        <v>1.40614004972486</v>
      </c>
      <c r="AB555" s="163">
        <v>1.40573693426074</v>
      </c>
      <c r="AC555" s="163">
        <v>3.2107602882369397E-4</v>
      </c>
      <c r="AD555" s="163">
        <v>8.2039435288081098E-5</v>
      </c>
      <c r="AE555" s="163">
        <v>2.27243022570309E-7</v>
      </c>
      <c r="AF555" s="163">
        <v>7.7455939788341997E-3</v>
      </c>
      <c r="AG555" s="163">
        <v>3.8329292561506503E-6</v>
      </c>
      <c r="AH555" s="163">
        <v>3.33014078668372E-3</v>
      </c>
      <c r="AI555" s="163">
        <v>3.6553504828003201E-2</v>
      </c>
      <c r="AJ555" s="163">
        <v>9.5750220828411496E-3</v>
      </c>
      <c r="AK555" s="163">
        <v>1.6131290077094099E-6</v>
      </c>
      <c r="AL555" s="163">
        <v>14.478976214773899</v>
      </c>
      <c r="AM555" s="163">
        <v>1.92836313771424E-2</v>
      </c>
      <c r="AN555" s="163">
        <v>2.94386448146316E-8</v>
      </c>
      <c r="AO555" s="163">
        <v>6.21451107223846E-2</v>
      </c>
      <c r="AP555" s="163">
        <v>8.6879180219657002</v>
      </c>
      <c r="AQ555" s="163">
        <v>3.0480075758854998E-10</v>
      </c>
      <c r="AR555" s="163">
        <v>7.4560899272087708E-9</v>
      </c>
      <c r="AS555" s="163">
        <v>1.8493735733718</v>
      </c>
      <c r="AT555" s="163">
        <v>0</v>
      </c>
      <c r="AU555" s="163">
        <v>0</v>
      </c>
      <c r="AV555" s="313">
        <v>7.9583647088195694E-2</v>
      </c>
      <c r="AW555" s="315">
        <v>0</v>
      </c>
      <c r="AX555" s="315">
        <v>0</v>
      </c>
      <c r="AY555" s="313">
        <v>15.376214794170799</v>
      </c>
      <c r="AZ555" s="163">
        <v>0</v>
      </c>
      <c r="BA555" s="163">
        <v>0</v>
      </c>
      <c r="BB555" s="163">
        <v>0</v>
      </c>
      <c r="BC555" s="163">
        <v>7.4846707807309796E-4</v>
      </c>
      <c r="BD555" s="163">
        <v>3.9430118715126E-5</v>
      </c>
      <c r="BE555" s="163">
        <v>1.7132562710248999E-2</v>
      </c>
      <c r="BF555" s="163">
        <v>1.00629661697752E-4</v>
      </c>
      <c r="BG555" s="163">
        <v>0</v>
      </c>
      <c r="BH555" s="163">
        <v>0</v>
      </c>
      <c r="BI555" s="163">
        <v>0</v>
      </c>
      <c r="BJ555" s="163">
        <v>0</v>
      </c>
      <c r="BK555" s="163">
        <v>0</v>
      </c>
      <c r="BL555" s="62">
        <v>0</v>
      </c>
      <c r="BM555" s="275">
        <v>2</v>
      </c>
      <c r="BN555" s="62">
        <v>0</v>
      </c>
      <c r="BO555" s="33" t="s">
        <v>526</v>
      </c>
    </row>
    <row r="556" spans="1:67">
      <c r="A556" s="33" t="str">
        <f>Database_Productkaarten[[#This Row],[Product]]&amp;", "&amp;Database_Productkaarten[[#This Row],[Levensfase]]</f>
        <v>ZOAB Regulier - PCR 2.0, B1</v>
      </c>
      <c r="B556" s="33" t="s">
        <v>534</v>
      </c>
      <c r="C556" s="33" t="s">
        <v>483</v>
      </c>
      <c r="D556" s="33" t="s">
        <v>484</v>
      </c>
      <c r="E556" s="33" t="s">
        <v>378</v>
      </c>
      <c r="F556" s="33" t="s">
        <v>80</v>
      </c>
      <c r="L556" s="33">
        <v>2</v>
      </c>
      <c r="M556" s="269">
        <v>1</v>
      </c>
      <c r="N556" s="211">
        <v>0.63803196066933088</v>
      </c>
      <c r="O556" s="33">
        <v>12</v>
      </c>
      <c r="P556" s="163">
        <v>0</v>
      </c>
      <c r="Q556" s="163">
        <v>0</v>
      </c>
      <c r="R556" s="163">
        <v>0</v>
      </c>
      <c r="S556" s="163">
        <v>0</v>
      </c>
      <c r="T556" s="163">
        <v>0</v>
      </c>
      <c r="U556" s="163">
        <v>0</v>
      </c>
      <c r="V556" s="163">
        <v>0</v>
      </c>
      <c r="W556" s="163">
        <v>2.21599595321837</v>
      </c>
      <c r="X556" s="163">
        <v>3.1435906259976898</v>
      </c>
      <c r="Y556" s="163">
        <v>3441.17206099747</v>
      </c>
      <c r="Z556" s="163">
        <v>2.7899999999979499E-3</v>
      </c>
      <c r="AA556" s="163">
        <v>0</v>
      </c>
      <c r="AB556" s="163">
        <v>0</v>
      </c>
      <c r="AC556" s="163">
        <v>0</v>
      </c>
      <c r="AD556" s="163">
        <v>0</v>
      </c>
      <c r="AE556" s="163">
        <v>0</v>
      </c>
      <c r="AF556" s="163">
        <v>0</v>
      </c>
      <c r="AG556" s="163">
        <v>0</v>
      </c>
      <c r="AH556" s="163">
        <v>0</v>
      </c>
      <c r="AI556" s="163">
        <v>0</v>
      </c>
      <c r="AJ556" s="163">
        <v>0</v>
      </c>
      <c r="AK556" s="163">
        <v>0</v>
      </c>
      <c r="AL556" s="163">
        <v>0</v>
      </c>
      <c r="AM556" s="163">
        <v>0</v>
      </c>
      <c r="AN556" s="163">
        <v>0</v>
      </c>
      <c r="AO556" s="163">
        <v>0</v>
      </c>
      <c r="AP556" s="163">
        <v>19.2904605006858</v>
      </c>
      <c r="AQ556" s="163">
        <v>3.4029317760975E-9</v>
      </c>
      <c r="AR556" s="163">
        <v>2.0449895299124001E-7</v>
      </c>
      <c r="AS556" s="163">
        <v>0</v>
      </c>
      <c r="AT556" s="163">
        <v>0</v>
      </c>
      <c r="AU556" s="163">
        <v>0</v>
      </c>
      <c r="AV556" s="313">
        <v>0</v>
      </c>
      <c r="AW556" s="315">
        <v>0</v>
      </c>
      <c r="AX556" s="315">
        <v>0</v>
      </c>
      <c r="AY556" s="313">
        <v>0</v>
      </c>
      <c r="AZ556" s="163">
        <v>0</v>
      </c>
      <c r="BA556" s="163">
        <v>0</v>
      </c>
      <c r="BB556" s="163">
        <v>0</v>
      </c>
      <c r="BC556" s="163">
        <v>0</v>
      </c>
      <c r="BD556" s="163">
        <v>0</v>
      </c>
      <c r="BE556" s="163">
        <v>0</v>
      </c>
      <c r="BF556" s="163">
        <v>0</v>
      </c>
      <c r="BG556" s="163">
        <v>0</v>
      </c>
      <c r="BH556" s="163">
        <v>0</v>
      </c>
      <c r="BI556" s="163">
        <v>0</v>
      </c>
      <c r="BJ556" s="163">
        <v>0</v>
      </c>
      <c r="BK556" s="163">
        <v>0</v>
      </c>
      <c r="BL556" s="62">
        <v>0</v>
      </c>
      <c r="BM556" s="275">
        <v>2</v>
      </c>
      <c r="BN556" s="62">
        <v>0</v>
      </c>
      <c r="BO556" s="33" t="s">
        <v>526</v>
      </c>
    </row>
    <row r="557" spans="1:67">
      <c r="A557" s="33" t="str">
        <f>Database_Productkaarten[[#This Row],[Product]]&amp;", "&amp;Database_Productkaarten[[#This Row],[Levensfase]]</f>
        <v>ZOAB Regulier - PCR 2.0, B2</v>
      </c>
      <c r="B557" s="33" t="s">
        <v>534</v>
      </c>
      <c r="C557" s="33" t="s">
        <v>483</v>
      </c>
      <c r="D557" s="33" t="s">
        <v>484</v>
      </c>
      <c r="E557" s="33" t="s">
        <v>378</v>
      </c>
      <c r="F557" s="33" t="s">
        <v>527</v>
      </c>
      <c r="L557" s="33">
        <v>2</v>
      </c>
      <c r="M557" s="269">
        <v>1</v>
      </c>
      <c r="N557" s="211">
        <v>0</v>
      </c>
      <c r="O557" s="33">
        <v>12</v>
      </c>
      <c r="P557" s="163">
        <v>0</v>
      </c>
      <c r="Q557" s="163">
        <v>0</v>
      </c>
      <c r="R557" s="163">
        <v>0</v>
      </c>
      <c r="S557" s="163">
        <v>0</v>
      </c>
      <c r="T557" s="163">
        <v>0</v>
      </c>
      <c r="U557" s="163">
        <v>0</v>
      </c>
      <c r="V557" s="163">
        <v>0</v>
      </c>
      <c r="W557" s="163">
        <v>0</v>
      </c>
      <c r="X557" s="163">
        <v>0</v>
      </c>
      <c r="Y557" s="163">
        <v>0</v>
      </c>
      <c r="Z557" s="163">
        <v>0</v>
      </c>
      <c r="AA557" s="163">
        <v>0</v>
      </c>
      <c r="AB557" s="163">
        <v>0</v>
      </c>
      <c r="AC557" s="163">
        <v>0</v>
      </c>
      <c r="AD557" s="163">
        <v>0</v>
      </c>
      <c r="AE557" s="163">
        <v>0</v>
      </c>
      <c r="AF557" s="163">
        <v>0</v>
      </c>
      <c r="AG557" s="163">
        <v>0</v>
      </c>
      <c r="AH557" s="163">
        <v>0</v>
      </c>
      <c r="AI557" s="163">
        <v>0</v>
      </c>
      <c r="AJ557" s="163">
        <v>0</v>
      </c>
      <c r="AK557" s="163">
        <v>0</v>
      </c>
      <c r="AL557" s="163">
        <v>0</v>
      </c>
      <c r="AM557" s="163">
        <v>0</v>
      </c>
      <c r="AN557" s="163">
        <v>0</v>
      </c>
      <c r="AO557" s="163">
        <v>0</v>
      </c>
      <c r="AP557" s="163">
        <v>0</v>
      </c>
      <c r="AQ557" s="163">
        <v>0</v>
      </c>
      <c r="AR557" s="163">
        <v>0</v>
      </c>
      <c r="AS557" s="163">
        <v>0</v>
      </c>
      <c r="AT557" s="163">
        <v>0</v>
      </c>
      <c r="AU557" s="163">
        <v>0</v>
      </c>
      <c r="AV557" s="313">
        <v>0</v>
      </c>
      <c r="AW557" s="315">
        <v>0</v>
      </c>
      <c r="AX557" s="315">
        <v>0</v>
      </c>
      <c r="AY557" s="313">
        <v>0</v>
      </c>
      <c r="AZ557" s="163">
        <v>0</v>
      </c>
      <c r="BA557" s="163">
        <v>0</v>
      </c>
      <c r="BB557" s="163">
        <v>0</v>
      </c>
      <c r="BC557" s="163">
        <v>0</v>
      </c>
      <c r="BD557" s="163">
        <v>0</v>
      </c>
      <c r="BE557" s="163">
        <v>0</v>
      </c>
      <c r="BF557" s="163">
        <v>0</v>
      </c>
      <c r="BG557" s="163">
        <v>0</v>
      </c>
      <c r="BH557" s="163">
        <v>0</v>
      </c>
      <c r="BI557" s="163">
        <v>0</v>
      </c>
      <c r="BJ557" s="163">
        <v>0</v>
      </c>
      <c r="BK557" s="163">
        <v>0</v>
      </c>
      <c r="BL557" s="62">
        <v>0</v>
      </c>
      <c r="BM557" s="275">
        <v>2</v>
      </c>
      <c r="BN557" s="62">
        <v>0</v>
      </c>
      <c r="BO557" s="33" t="s">
        <v>526</v>
      </c>
    </row>
    <row r="558" spans="1:67">
      <c r="A558" s="33" t="str">
        <f>Database_Productkaarten[[#This Row],[Product]]&amp;", "&amp;Database_Productkaarten[[#This Row],[Levensfase]]</f>
        <v>ZOAB Regulier - PCR 2.0, B3</v>
      </c>
      <c r="B558" s="33" t="s">
        <v>534</v>
      </c>
      <c r="C558" s="33" t="s">
        <v>483</v>
      </c>
      <c r="D558" s="33" t="s">
        <v>484</v>
      </c>
      <c r="E558" s="33" t="s">
        <v>378</v>
      </c>
      <c r="F558" s="33" t="s">
        <v>81</v>
      </c>
      <c r="L558" s="33">
        <v>2</v>
      </c>
      <c r="M558" s="269">
        <v>1</v>
      </c>
      <c r="N558" s="211">
        <v>0</v>
      </c>
      <c r="O558" s="33">
        <v>12</v>
      </c>
      <c r="P558" s="163">
        <v>0</v>
      </c>
      <c r="Q558" s="163">
        <v>0</v>
      </c>
      <c r="R558" s="163">
        <v>0</v>
      </c>
      <c r="S558" s="163">
        <v>0</v>
      </c>
      <c r="T558" s="163">
        <v>0</v>
      </c>
      <c r="U558" s="163">
        <v>0</v>
      </c>
      <c r="V558" s="163">
        <v>0</v>
      </c>
      <c r="W558" s="163">
        <v>0</v>
      </c>
      <c r="X558" s="163">
        <v>0</v>
      </c>
      <c r="Y558" s="163">
        <v>0</v>
      </c>
      <c r="Z558" s="163">
        <v>0</v>
      </c>
      <c r="AA558" s="163">
        <v>0</v>
      </c>
      <c r="AB558" s="163">
        <v>0</v>
      </c>
      <c r="AC558" s="163">
        <v>0</v>
      </c>
      <c r="AD558" s="163">
        <v>0</v>
      </c>
      <c r="AE558" s="163">
        <v>0</v>
      </c>
      <c r="AF558" s="163">
        <v>0</v>
      </c>
      <c r="AG558" s="163">
        <v>0</v>
      </c>
      <c r="AH558" s="163">
        <v>0</v>
      </c>
      <c r="AI558" s="163">
        <v>0</v>
      </c>
      <c r="AJ558" s="163">
        <v>0</v>
      </c>
      <c r="AK558" s="163">
        <v>0</v>
      </c>
      <c r="AL558" s="163">
        <v>0</v>
      </c>
      <c r="AM558" s="163">
        <v>0</v>
      </c>
      <c r="AN558" s="163">
        <v>0</v>
      </c>
      <c r="AO558" s="163">
        <v>0</v>
      </c>
      <c r="AP558" s="163">
        <v>0</v>
      </c>
      <c r="AQ558" s="163">
        <v>0</v>
      </c>
      <c r="AR558" s="163">
        <v>0</v>
      </c>
      <c r="AS558" s="163">
        <v>0</v>
      </c>
      <c r="AT558" s="163">
        <v>0</v>
      </c>
      <c r="AU558" s="163">
        <v>0</v>
      </c>
      <c r="AV558" s="313">
        <v>0</v>
      </c>
      <c r="AW558" s="315">
        <v>0</v>
      </c>
      <c r="AX558" s="315">
        <v>0</v>
      </c>
      <c r="AY558" s="313">
        <v>0</v>
      </c>
      <c r="AZ558" s="163">
        <v>0</v>
      </c>
      <c r="BA558" s="163">
        <v>0</v>
      </c>
      <c r="BB558" s="163">
        <v>0</v>
      </c>
      <c r="BC558" s="163">
        <v>0</v>
      </c>
      <c r="BD558" s="163">
        <v>0</v>
      </c>
      <c r="BE558" s="163">
        <v>0</v>
      </c>
      <c r="BF558" s="163">
        <v>0</v>
      </c>
      <c r="BG558" s="163">
        <v>0</v>
      </c>
      <c r="BH558" s="163">
        <v>0</v>
      </c>
      <c r="BI558" s="163">
        <v>0</v>
      </c>
      <c r="BJ558" s="163">
        <v>0</v>
      </c>
      <c r="BK558" s="163">
        <v>0</v>
      </c>
      <c r="BL558" s="62">
        <v>0</v>
      </c>
      <c r="BM558" s="275">
        <v>2</v>
      </c>
      <c r="BN558" s="62">
        <v>0</v>
      </c>
      <c r="BO558" s="33" t="s">
        <v>526</v>
      </c>
    </row>
    <row r="559" spans="1:67">
      <c r="A559" s="33" t="str">
        <f>Database_Productkaarten[[#This Row],[Product]]&amp;", "&amp;Database_Productkaarten[[#This Row],[Levensfase]]</f>
        <v>ZOAB Regulier - PCR 2.0, B4</v>
      </c>
      <c r="B559" s="33" t="s">
        <v>534</v>
      </c>
      <c r="C559" s="33" t="s">
        <v>483</v>
      </c>
      <c r="D559" s="33" t="s">
        <v>484</v>
      </c>
      <c r="E559" s="33" t="s">
        <v>378</v>
      </c>
      <c r="F559" s="33" t="s">
        <v>82</v>
      </c>
      <c r="L559" s="33">
        <v>2</v>
      </c>
      <c r="M559" s="269">
        <v>1</v>
      </c>
      <c r="N559" s="211">
        <v>0</v>
      </c>
      <c r="O559" s="33">
        <v>12</v>
      </c>
      <c r="P559" s="163">
        <v>0</v>
      </c>
      <c r="Q559" s="163">
        <v>0</v>
      </c>
      <c r="R559" s="163">
        <v>0</v>
      </c>
      <c r="S559" s="163">
        <v>0</v>
      </c>
      <c r="T559" s="163">
        <v>0</v>
      </c>
      <c r="U559" s="163">
        <v>0</v>
      </c>
      <c r="V559" s="163">
        <v>0</v>
      </c>
      <c r="W559" s="163">
        <v>0</v>
      </c>
      <c r="X559" s="163">
        <v>0</v>
      </c>
      <c r="Y559" s="163">
        <v>0</v>
      </c>
      <c r="Z559" s="163">
        <v>0</v>
      </c>
      <c r="AA559" s="163">
        <v>0</v>
      </c>
      <c r="AB559" s="163">
        <v>0</v>
      </c>
      <c r="AC559" s="163">
        <v>0</v>
      </c>
      <c r="AD559" s="163">
        <v>0</v>
      </c>
      <c r="AE559" s="163">
        <v>0</v>
      </c>
      <c r="AF559" s="163">
        <v>0</v>
      </c>
      <c r="AG559" s="163">
        <v>0</v>
      </c>
      <c r="AH559" s="163">
        <v>0</v>
      </c>
      <c r="AI559" s="163">
        <v>0</v>
      </c>
      <c r="AJ559" s="163">
        <v>0</v>
      </c>
      <c r="AK559" s="163">
        <v>0</v>
      </c>
      <c r="AL559" s="163">
        <v>0</v>
      </c>
      <c r="AM559" s="163">
        <v>0</v>
      </c>
      <c r="AN559" s="163">
        <v>0</v>
      </c>
      <c r="AO559" s="163">
        <v>0</v>
      </c>
      <c r="AP559" s="163">
        <v>0</v>
      </c>
      <c r="AQ559" s="163">
        <v>0</v>
      </c>
      <c r="AR559" s="163">
        <v>0</v>
      </c>
      <c r="AS559" s="163">
        <v>0</v>
      </c>
      <c r="AT559" s="163">
        <v>0</v>
      </c>
      <c r="AU559" s="163">
        <v>0</v>
      </c>
      <c r="AV559" s="313">
        <v>0</v>
      </c>
      <c r="AW559" s="315">
        <v>0</v>
      </c>
      <c r="AX559" s="315">
        <v>0</v>
      </c>
      <c r="AY559" s="313">
        <v>0</v>
      </c>
      <c r="AZ559" s="163">
        <v>0</v>
      </c>
      <c r="BA559" s="163">
        <v>0</v>
      </c>
      <c r="BB559" s="163">
        <v>0</v>
      </c>
      <c r="BC559" s="163">
        <v>0</v>
      </c>
      <c r="BD559" s="163">
        <v>0</v>
      </c>
      <c r="BE559" s="163">
        <v>0</v>
      </c>
      <c r="BF559" s="163">
        <v>0</v>
      </c>
      <c r="BG559" s="163">
        <v>0</v>
      </c>
      <c r="BH559" s="163">
        <v>0</v>
      </c>
      <c r="BI559" s="163">
        <v>0</v>
      </c>
      <c r="BJ559" s="163">
        <v>0</v>
      </c>
      <c r="BK559" s="163">
        <v>0</v>
      </c>
      <c r="BL559" s="62">
        <v>0</v>
      </c>
      <c r="BM559" s="275">
        <v>2</v>
      </c>
      <c r="BN559" s="62">
        <v>0</v>
      </c>
      <c r="BO559" s="33" t="s">
        <v>526</v>
      </c>
    </row>
    <row r="560" spans="1:67">
      <c r="A560" s="33" t="str">
        <f>Database_Productkaarten[[#This Row],[Product]]&amp;", "&amp;Database_Productkaarten[[#This Row],[Levensfase]]</f>
        <v>ZOAB Regulier - PCR 2.0, B5</v>
      </c>
      <c r="B560" s="33" t="s">
        <v>534</v>
      </c>
      <c r="C560" s="33" t="s">
        <v>483</v>
      </c>
      <c r="D560" s="33" t="s">
        <v>484</v>
      </c>
      <c r="E560" s="33" t="s">
        <v>378</v>
      </c>
      <c r="F560" s="33" t="s">
        <v>528</v>
      </c>
      <c r="L560" s="33">
        <v>2</v>
      </c>
      <c r="M560" s="269">
        <v>1</v>
      </c>
      <c r="N560" s="211">
        <v>0</v>
      </c>
      <c r="O560" s="33">
        <v>12</v>
      </c>
      <c r="P560" s="163">
        <v>0</v>
      </c>
      <c r="Q560" s="163">
        <v>0</v>
      </c>
      <c r="R560" s="163">
        <v>0</v>
      </c>
      <c r="S560" s="163">
        <v>0</v>
      </c>
      <c r="T560" s="163">
        <v>0</v>
      </c>
      <c r="U560" s="163">
        <v>0</v>
      </c>
      <c r="V560" s="163">
        <v>0</v>
      </c>
      <c r="W560" s="163">
        <v>0</v>
      </c>
      <c r="X560" s="163">
        <v>0</v>
      </c>
      <c r="Y560" s="163">
        <v>0</v>
      </c>
      <c r="Z560" s="163">
        <v>0</v>
      </c>
      <c r="AA560" s="163">
        <v>0</v>
      </c>
      <c r="AB560" s="163">
        <v>0</v>
      </c>
      <c r="AC560" s="163">
        <v>0</v>
      </c>
      <c r="AD560" s="163">
        <v>0</v>
      </c>
      <c r="AE560" s="163">
        <v>0</v>
      </c>
      <c r="AF560" s="163">
        <v>0</v>
      </c>
      <c r="AG560" s="163">
        <v>0</v>
      </c>
      <c r="AH560" s="163">
        <v>0</v>
      </c>
      <c r="AI560" s="163">
        <v>0</v>
      </c>
      <c r="AJ560" s="163">
        <v>0</v>
      </c>
      <c r="AK560" s="163">
        <v>0</v>
      </c>
      <c r="AL560" s="163">
        <v>0</v>
      </c>
      <c r="AM560" s="163">
        <v>0</v>
      </c>
      <c r="AN560" s="163">
        <v>0</v>
      </c>
      <c r="AO560" s="163">
        <v>0</v>
      </c>
      <c r="AP560" s="163">
        <v>0</v>
      </c>
      <c r="AQ560" s="163">
        <v>0</v>
      </c>
      <c r="AR560" s="163">
        <v>0</v>
      </c>
      <c r="AS560" s="163">
        <v>0</v>
      </c>
      <c r="AT560" s="163">
        <v>0</v>
      </c>
      <c r="AU560" s="163">
        <v>0</v>
      </c>
      <c r="AV560" s="313">
        <v>0</v>
      </c>
      <c r="AW560" s="315">
        <v>0</v>
      </c>
      <c r="AX560" s="315">
        <v>0</v>
      </c>
      <c r="AY560" s="313">
        <v>0</v>
      </c>
      <c r="AZ560" s="163">
        <v>0</v>
      </c>
      <c r="BA560" s="163">
        <v>0</v>
      </c>
      <c r="BB560" s="163">
        <v>0</v>
      </c>
      <c r="BC560" s="163">
        <v>0</v>
      </c>
      <c r="BD560" s="163">
        <v>0</v>
      </c>
      <c r="BE560" s="163">
        <v>0</v>
      </c>
      <c r="BF560" s="163">
        <v>0</v>
      </c>
      <c r="BG560" s="163">
        <v>0</v>
      </c>
      <c r="BH560" s="163">
        <v>0</v>
      </c>
      <c r="BI560" s="163">
        <v>0</v>
      </c>
      <c r="BJ560" s="163">
        <v>0</v>
      </c>
      <c r="BK560" s="163">
        <v>0</v>
      </c>
      <c r="BL560" s="62">
        <v>0</v>
      </c>
      <c r="BM560" s="275">
        <v>2</v>
      </c>
      <c r="BN560" s="62">
        <v>0</v>
      </c>
      <c r="BO560" s="33" t="s">
        <v>526</v>
      </c>
    </row>
    <row r="561" spans="1:67">
      <c r="A561" s="33" t="str">
        <f>Database_Productkaarten[[#This Row],[Product]]&amp;", "&amp;Database_Productkaarten[[#This Row],[Levensfase]]</f>
        <v>ZOAB Regulier - PCR 2.0, C1</v>
      </c>
      <c r="B561" s="33" t="s">
        <v>534</v>
      </c>
      <c r="C561" s="33" t="s">
        <v>483</v>
      </c>
      <c r="D561" s="33" t="s">
        <v>484</v>
      </c>
      <c r="E561" s="33" t="s">
        <v>378</v>
      </c>
      <c r="F561" s="33" t="s">
        <v>83</v>
      </c>
      <c r="L561" s="33">
        <v>2</v>
      </c>
      <c r="M561" s="269">
        <v>1</v>
      </c>
      <c r="N561" s="211">
        <v>0.31586755418035783</v>
      </c>
      <c r="O561" s="33">
        <v>12</v>
      </c>
      <c r="P561" s="163">
        <v>3.8816221343540804E-6</v>
      </c>
      <c r="Q561" s="163">
        <v>1.65123432903777E-2</v>
      </c>
      <c r="R561" s="163">
        <v>3.3581680955718398</v>
      </c>
      <c r="S561" s="163">
        <v>4.33957447251143E-7</v>
      </c>
      <c r="T561" s="163">
        <v>1.103777391412E-3</v>
      </c>
      <c r="U561" s="163">
        <v>9.5713374402005193E-3</v>
      </c>
      <c r="V561" s="163">
        <v>2.0565904012878602E-3</v>
      </c>
      <c r="W561" s="163">
        <v>0.90386476208361499</v>
      </c>
      <c r="X561" s="163">
        <v>1.28808777697691E-2</v>
      </c>
      <c r="Y561" s="163">
        <v>44.755373364382301</v>
      </c>
      <c r="Z561" s="163">
        <v>1.5254046678822499E-3</v>
      </c>
      <c r="AA561" s="163">
        <v>3.3788329814004299</v>
      </c>
      <c r="AB561" s="163">
        <v>3.3778629848149202</v>
      </c>
      <c r="AC561" s="163">
        <v>7.7258919435702197E-4</v>
      </c>
      <c r="AD561" s="163">
        <v>1.9740739116194499E-4</v>
      </c>
      <c r="AE561" s="163">
        <v>5.46803523059806E-7</v>
      </c>
      <c r="AF561" s="163">
        <v>1.29954095115729E-2</v>
      </c>
      <c r="AG561" s="163">
        <v>9.22298602261252E-6</v>
      </c>
      <c r="AH561" s="163">
        <v>5.0470651679593503E-3</v>
      </c>
      <c r="AI561" s="163">
        <v>5.5474796992400897E-2</v>
      </c>
      <c r="AJ561" s="163">
        <v>1.51540863268409E-2</v>
      </c>
      <c r="AK561" s="163">
        <v>3.8815916748007599E-6</v>
      </c>
      <c r="AL561" s="163">
        <v>34.840036516799699</v>
      </c>
      <c r="AM561" s="163">
        <v>4.6401238001248998E-2</v>
      </c>
      <c r="AN561" s="163">
        <v>5.37324715127169E-8</v>
      </c>
      <c r="AO561" s="163">
        <v>0.149536672675738</v>
      </c>
      <c r="AP561" s="163">
        <v>20.9041616816458</v>
      </c>
      <c r="AQ561" s="163">
        <v>7.3342682294744596E-10</v>
      </c>
      <c r="AR561" s="163">
        <v>1.47076761704129E-8</v>
      </c>
      <c r="AS561" s="163">
        <v>4.4500551609258698</v>
      </c>
      <c r="AT561" s="163">
        <v>0</v>
      </c>
      <c r="AU561" s="163">
        <v>0</v>
      </c>
      <c r="AV561" s="313">
        <v>0.19149815080596999</v>
      </c>
      <c r="AW561" s="315">
        <v>0</v>
      </c>
      <c r="AX561" s="315">
        <v>0</v>
      </c>
      <c r="AY561" s="313">
        <v>36.999016848473403</v>
      </c>
      <c r="AZ561" s="163">
        <v>0</v>
      </c>
      <c r="BA561" s="163">
        <v>0</v>
      </c>
      <c r="BB561" s="163">
        <v>0</v>
      </c>
      <c r="BC561" s="163">
        <v>1.8009989066133901E-3</v>
      </c>
      <c r="BD561" s="163">
        <v>9.4878723158271799E-5</v>
      </c>
      <c r="BE561" s="163">
        <v>4.1225229021536601E-2</v>
      </c>
      <c r="BF561" s="163">
        <v>2.4214012346021699E-4</v>
      </c>
      <c r="BG561" s="163">
        <v>0</v>
      </c>
      <c r="BH561" s="163">
        <v>0</v>
      </c>
      <c r="BI561" s="163">
        <v>0</v>
      </c>
      <c r="BJ561" s="163">
        <v>0</v>
      </c>
      <c r="BK561" s="163">
        <v>0</v>
      </c>
      <c r="BL561" s="62">
        <v>0</v>
      </c>
      <c r="BM561" s="275">
        <v>2</v>
      </c>
      <c r="BN561" s="62">
        <v>0</v>
      </c>
      <c r="BO561" s="33" t="s">
        <v>526</v>
      </c>
    </row>
    <row r="562" spans="1:67">
      <c r="A562" s="33" t="str">
        <f>Database_Productkaarten[[#This Row],[Product]]&amp;", "&amp;Database_Productkaarten[[#This Row],[Levensfase]]</f>
        <v>ZOAB Regulier - PCR 2.0, C2</v>
      </c>
      <c r="B562" s="33" t="s">
        <v>534</v>
      </c>
      <c r="C562" s="33" t="s">
        <v>483</v>
      </c>
      <c r="D562" s="33" t="s">
        <v>484</v>
      </c>
      <c r="E562" s="33" t="s">
        <v>378</v>
      </c>
      <c r="F562" s="33" t="s">
        <v>84</v>
      </c>
      <c r="L562" s="33">
        <v>2</v>
      </c>
      <c r="M562" s="269">
        <v>1</v>
      </c>
      <c r="N562" s="211">
        <v>0.31791357541832999</v>
      </c>
      <c r="O562" s="33">
        <v>12</v>
      </c>
      <c r="P562" s="163">
        <v>7.2195843000000002E-5</v>
      </c>
      <c r="Q562" s="163">
        <v>2.5045429500000001E-2</v>
      </c>
      <c r="R562" s="163">
        <v>3.2726104581</v>
      </c>
      <c r="S562" s="163">
        <v>6.2448211500000004E-7</v>
      </c>
      <c r="T562" s="163">
        <v>2.3663202E-3</v>
      </c>
      <c r="U562" s="163">
        <v>9.9103019999999993E-3</v>
      </c>
      <c r="V562" s="163">
        <v>1.66070541E-3</v>
      </c>
      <c r="W562" s="163">
        <v>0.89062466159999998</v>
      </c>
      <c r="X562" s="163">
        <v>3.5055542699999998E-2</v>
      </c>
      <c r="Y562" s="163">
        <v>92.682047400000002</v>
      </c>
      <c r="Z562" s="163">
        <v>7.4868390000000003E-3</v>
      </c>
      <c r="AA562" s="163">
        <v>3.3150718431000001</v>
      </c>
      <c r="AB562" s="163">
        <v>3.3001817481</v>
      </c>
      <c r="AC562" s="163">
        <v>1.3607189190000001E-2</v>
      </c>
      <c r="AD562" s="163">
        <v>1.2829113599999999E-3</v>
      </c>
      <c r="AE562" s="163">
        <v>7.8107336699999998E-7</v>
      </c>
      <c r="AF562" s="163">
        <v>1.2482505E-2</v>
      </c>
      <c r="AG562" s="163">
        <v>3.4632532799999998E-5</v>
      </c>
      <c r="AH562" s="163">
        <v>2.8897329300000001E-3</v>
      </c>
      <c r="AI562" s="163">
        <v>3.3662059799999998E-2</v>
      </c>
      <c r="AJ562" s="163">
        <v>1.2098522699999999E-2</v>
      </c>
      <c r="AK562" s="163">
        <v>7.2195510000000004E-5</v>
      </c>
      <c r="AL562" s="163">
        <v>52.307882313</v>
      </c>
      <c r="AM562" s="163">
        <v>0.28570883850000001</v>
      </c>
      <c r="AN562" s="163">
        <v>2.8544027399999998E-7</v>
      </c>
      <c r="AO562" s="163">
        <v>0.22308385950000001</v>
      </c>
      <c r="AP562" s="163">
        <v>50.61443379</v>
      </c>
      <c r="AQ562" s="163">
        <v>1.35209877E-9</v>
      </c>
      <c r="AR562" s="163">
        <v>4.3221490799999998E-8</v>
      </c>
      <c r="AS562" s="163">
        <v>98.528772599999996</v>
      </c>
      <c r="AT562" s="163">
        <v>8.065825212</v>
      </c>
      <c r="AU562" s="163">
        <v>0</v>
      </c>
      <c r="AV562" s="313">
        <v>8.6963547624000004</v>
      </c>
      <c r="AW562" s="315">
        <v>0.70667511750000001</v>
      </c>
      <c r="AX562" s="315">
        <v>9.926829900000001E-4</v>
      </c>
      <c r="AY562" s="313">
        <v>55.561210727999999</v>
      </c>
      <c r="AZ562" s="163">
        <v>0</v>
      </c>
      <c r="BA562" s="163">
        <v>0</v>
      </c>
      <c r="BB562" s="163">
        <v>0</v>
      </c>
      <c r="BC562" s="163">
        <v>8.7338241000000007E-3</v>
      </c>
      <c r="BD562" s="163">
        <v>1.5376752299999999E-4</v>
      </c>
      <c r="BE562" s="163">
        <v>5.5583861609999996</v>
      </c>
      <c r="BF562" s="163">
        <v>3.4865666099999999E-4</v>
      </c>
      <c r="BG562" s="163">
        <v>0</v>
      </c>
      <c r="BH562" s="163">
        <v>0</v>
      </c>
      <c r="BI562" s="163">
        <v>0</v>
      </c>
      <c r="BJ562" s="163">
        <v>0</v>
      </c>
      <c r="BK562" s="163">
        <v>0</v>
      </c>
      <c r="BL562" s="62">
        <v>0</v>
      </c>
      <c r="BM562" s="275">
        <v>2</v>
      </c>
      <c r="BN562" s="62">
        <v>0</v>
      </c>
      <c r="BO562" s="33" t="s">
        <v>526</v>
      </c>
    </row>
    <row r="563" spans="1:67">
      <c r="A563" s="33" t="str">
        <f>Database_Productkaarten[[#This Row],[Product]]&amp;", "&amp;Database_Productkaarten[[#This Row],[Levensfase]]</f>
        <v>ZOAB Regulier - PCR 2.0, C3</v>
      </c>
      <c r="B563" s="33" t="s">
        <v>534</v>
      </c>
      <c r="C563" s="33" t="s">
        <v>483</v>
      </c>
      <c r="D563" s="33" t="s">
        <v>484</v>
      </c>
      <c r="E563" s="33" t="s">
        <v>378</v>
      </c>
      <c r="F563" s="33" t="s">
        <v>85</v>
      </c>
      <c r="L563" s="33">
        <v>2</v>
      </c>
      <c r="M563" s="269">
        <v>1</v>
      </c>
      <c r="N563" s="211">
        <v>0.15929996439018168</v>
      </c>
      <c r="O563" s="33">
        <v>12</v>
      </c>
      <c r="P563" s="163">
        <v>1.8651950515727401E-6</v>
      </c>
      <c r="Q563" s="163">
        <v>7.9345026200515999E-3</v>
      </c>
      <c r="R563" s="163">
        <v>1.6136651887812701</v>
      </c>
      <c r="S563" s="163">
        <v>2.08525007120679E-7</v>
      </c>
      <c r="T563" s="163">
        <v>5.8559282599069101E-4</v>
      </c>
      <c r="U563" s="163">
        <v>5.7290955881476703E-3</v>
      </c>
      <c r="V563" s="163">
        <v>1.28200093957972E-3</v>
      </c>
      <c r="W563" s="163">
        <v>0.43705340481550198</v>
      </c>
      <c r="X563" s="163">
        <v>6.1895126945643603E-3</v>
      </c>
      <c r="Y563" s="163">
        <v>21.505828759508301</v>
      </c>
      <c r="Z563" s="163">
        <v>7.3298665859276803E-4</v>
      </c>
      <c r="AA563" s="163">
        <v>1.6243260222443601</v>
      </c>
      <c r="AB563" s="163">
        <v>1.62385991998899</v>
      </c>
      <c r="AC563" s="163">
        <v>3.7124415832740101E-4</v>
      </c>
      <c r="AD563" s="163">
        <v>9.4858097051843794E-5</v>
      </c>
      <c r="AE563" s="163">
        <v>2.6274974484691999E-7</v>
      </c>
      <c r="AF563" s="163">
        <v>7.91677203802762E-3</v>
      </c>
      <c r="AG563" s="163">
        <v>4.4318244524241897E-6</v>
      </c>
      <c r="AH563" s="163">
        <v>3.3042609346033598E-3</v>
      </c>
      <c r="AI563" s="163">
        <v>3.6283310957382103E-2</v>
      </c>
      <c r="AJ563" s="163">
        <v>9.6537099632858694E-3</v>
      </c>
      <c r="AK563" s="163">
        <v>1.8651804151639999E-6</v>
      </c>
      <c r="AL563" s="163">
        <v>16.7413162483323</v>
      </c>
      <c r="AM563" s="163">
        <v>2.2296698779821E-2</v>
      </c>
      <c r="AN563" s="163">
        <v>3.0576571264419799E-8</v>
      </c>
      <c r="AO563" s="163">
        <v>7.1855284272757197E-2</v>
      </c>
      <c r="AP563" s="163">
        <v>10.045649763780901</v>
      </c>
      <c r="AQ563" s="163">
        <v>3.5242587596176002E-10</v>
      </c>
      <c r="AR563" s="163">
        <v>7.5755651295107104E-9</v>
      </c>
      <c r="AS563" s="163">
        <v>2.1383381942111401</v>
      </c>
      <c r="AT563" s="163">
        <v>0</v>
      </c>
      <c r="AU563" s="163">
        <v>0</v>
      </c>
      <c r="AV563" s="313">
        <v>9.2018591945726105E-2</v>
      </c>
      <c r="AW563" s="315">
        <v>0</v>
      </c>
      <c r="AX563" s="315">
        <v>0</v>
      </c>
      <c r="AY563" s="313">
        <v>17.778748355760001</v>
      </c>
      <c r="AZ563" s="163">
        <v>0</v>
      </c>
      <c r="BA563" s="163">
        <v>0</v>
      </c>
      <c r="BB563" s="163">
        <v>0</v>
      </c>
      <c r="BC563" s="163">
        <v>8.6541505902201896E-4</v>
      </c>
      <c r="BD563" s="163">
        <v>4.5591074764364402E-5</v>
      </c>
      <c r="BE563" s="163">
        <v>1.98095256337254E-2</v>
      </c>
      <c r="BF563" s="163">
        <v>1.16353046338026E-4</v>
      </c>
      <c r="BG563" s="163">
        <v>0</v>
      </c>
      <c r="BH563" s="163">
        <v>1000</v>
      </c>
      <c r="BI563" s="163">
        <v>0</v>
      </c>
      <c r="BJ563" s="163">
        <v>0</v>
      </c>
      <c r="BK563" s="163">
        <v>0</v>
      </c>
      <c r="BL563" s="62">
        <v>0</v>
      </c>
      <c r="BM563" s="275">
        <v>2</v>
      </c>
      <c r="BN563" s="62">
        <v>0</v>
      </c>
      <c r="BO563" s="33" t="s">
        <v>526</v>
      </c>
    </row>
    <row r="564" spans="1:67">
      <c r="A564" s="33" t="str">
        <f>Database_Productkaarten[[#This Row],[Product]]&amp;", "&amp;Database_Productkaarten[[#This Row],[Levensfase]]</f>
        <v>ZOAB Regulier - PCR 2.0, C4</v>
      </c>
      <c r="B564" s="33" t="s">
        <v>534</v>
      </c>
      <c r="C564" s="33" t="s">
        <v>483</v>
      </c>
      <c r="D564" s="33" t="s">
        <v>484</v>
      </c>
      <c r="E564" s="33" t="s">
        <v>378</v>
      </c>
      <c r="F564" s="33" t="s">
        <v>86</v>
      </c>
      <c r="L564" s="33">
        <v>2</v>
      </c>
      <c r="M564" s="269">
        <v>1</v>
      </c>
      <c r="N564" s="211">
        <v>0</v>
      </c>
      <c r="O564" s="33">
        <v>12</v>
      </c>
      <c r="P564" s="163">
        <v>0</v>
      </c>
      <c r="Q564" s="163">
        <v>0</v>
      </c>
      <c r="R564" s="163">
        <v>0</v>
      </c>
      <c r="S564" s="163">
        <v>0</v>
      </c>
      <c r="T564" s="163">
        <v>0</v>
      </c>
      <c r="U564" s="163">
        <v>0</v>
      </c>
      <c r="V564" s="163">
        <v>0</v>
      </c>
      <c r="W564" s="163">
        <v>0</v>
      </c>
      <c r="X564" s="163">
        <v>0</v>
      </c>
      <c r="Y564" s="163">
        <v>0</v>
      </c>
      <c r="Z564" s="163">
        <v>0</v>
      </c>
      <c r="AA564" s="163">
        <v>0</v>
      </c>
      <c r="AB564" s="163">
        <v>0</v>
      </c>
      <c r="AC564" s="163">
        <v>0</v>
      </c>
      <c r="AD564" s="163">
        <v>0</v>
      </c>
      <c r="AE564" s="163">
        <v>0</v>
      </c>
      <c r="AF564" s="163">
        <v>0</v>
      </c>
      <c r="AG564" s="163">
        <v>0</v>
      </c>
      <c r="AH564" s="163">
        <v>0</v>
      </c>
      <c r="AI564" s="163">
        <v>0</v>
      </c>
      <c r="AJ564" s="163">
        <v>0</v>
      </c>
      <c r="AK564" s="163">
        <v>0</v>
      </c>
      <c r="AL564" s="163">
        <v>0</v>
      </c>
      <c r="AM564" s="163">
        <v>0</v>
      </c>
      <c r="AN564" s="163">
        <v>0</v>
      </c>
      <c r="AO564" s="163">
        <v>0</v>
      </c>
      <c r="AP564" s="163">
        <v>0</v>
      </c>
      <c r="AQ564" s="163">
        <v>0</v>
      </c>
      <c r="AR564" s="163">
        <v>0</v>
      </c>
      <c r="AS564" s="163">
        <v>0</v>
      </c>
      <c r="AT564" s="163">
        <v>0</v>
      </c>
      <c r="AU564" s="163">
        <v>0</v>
      </c>
      <c r="AV564" s="313">
        <v>0</v>
      </c>
      <c r="AW564" s="315">
        <v>0</v>
      </c>
      <c r="AX564" s="315">
        <v>0</v>
      </c>
      <c r="AY564" s="313">
        <v>0</v>
      </c>
      <c r="AZ564" s="163">
        <v>0</v>
      </c>
      <c r="BA564" s="163">
        <v>0</v>
      </c>
      <c r="BB564" s="163">
        <v>0</v>
      </c>
      <c r="BC564" s="163">
        <v>0</v>
      </c>
      <c r="BD564" s="163">
        <v>0</v>
      </c>
      <c r="BE564" s="163">
        <v>0</v>
      </c>
      <c r="BF564" s="163">
        <v>0</v>
      </c>
      <c r="BG564" s="163">
        <v>0</v>
      </c>
      <c r="BH564" s="163">
        <v>0</v>
      </c>
      <c r="BI564" s="163">
        <v>0</v>
      </c>
      <c r="BJ564" s="163">
        <v>0</v>
      </c>
      <c r="BK564" s="163">
        <v>0</v>
      </c>
      <c r="BL564" s="62">
        <v>0</v>
      </c>
      <c r="BM564" s="275">
        <v>2</v>
      </c>
      <c r="BN564" s="62">
        <v>0</v>
      </c>
      <c r="BO564" s="33" t="s">
        <v>526</v>
      </c>
    </row>
    <row r="565" spans="1:67">
      <c r="A565" s="33" t="str">
        <f>Database_Productkaarten[[#This Row],[Product]]&amp;", "&amp;Database_Productkaarten[[#This Row],[Levensfase]]</f>
        <v>ZOAB Regulier - PCR 2.0, D</v>
      </c>
      <c r="B565" s="33" t="s">
        <v>534</v>
      </c>
      <c r="C565" s="33" t="s">
        <v>483</v>
      </c>
      <c r="D565" s="33" t="s">
        <v>484</v>
      </c>
      <c r="E565" s="33" t="s">
        <v>378</v>
      </c>
      <c r="F565" s="33" t="s">
        <v>89</v>
      </c>
      <c r="L565" s="33">
        <v>2</v>
      </c>
      <c r="M565" s="269">
        <v>1</v>
      </c>
      <c r="N565" s="211">
        <v>-3.4527744971236145</v>
      </c>
      <c r="O565" s="33">
        <v>12</v>
      </c>
      <c r="P565" s="163">
        <v>-4.75355781213206E-4</v>
      </c>
      <c r="Q565" s="163">
        <v>-0.56964134185969195</v>
      </c>
      <c r="R565" s="163">
        <v>-25.564877613900499</v>
      </c>
      <c r="S565" s="163">
        <v>-2.2242619514902701E-6</v>
      </c>
      <c r="T565" s="163">
        <v>-6.1555193055429801E-2</v>
      </c>
      <c r="U565" s="163">
        <v>-0.18188482204846099</v>
      </c>
      <c r="V565" s="163">
        <v>-1.8270300642706301E-2</v>
      </c>
      <c r="W565" s="163">
        <v>-7.2354795405085</v>
      </c>
      <c r="X565" s="163">
        <v>-0.87973260622634697</v>
      </c>
      <c r="Y565" s="163">
        <v>-3835.0434183051698</v>
      </c>
      <c r="Z565" s="163">
        <v>-0.11788930325611099</v>
      </c>
      <c r="AA565" s="163">
        <v>-7.6577185820369902</v>
      </c>
      <c r="AB565" s="163">
        <v>-7.5582332614652099</v>
      </c>
      <c r="AC565" s="163">
        <v>-8.9696752709351596E-2</v>
      </c>
      <c r="AD565" s="163">
        <v>-9.7885678624299605E-3</v>
      </c>
      <c r="AE565" s="163">
        <v>-9.9167434123276906E-7</v>
      </c>
      <c r="AF565" s="163">
        <v>-7.5835073684071094E-2</v>
      </c>
      <c r="AG565" s="163">
        <v>-3.30145849594198E-4</v>
      </c>
      <c r="AH565" s="163">
        <v>-2.2439112014081199E-2</v>
      </c>
      <c r="AI565" s="163">
        <v>-0.28626517181269001</v>
      </c>
      <c r="AJ565" s="163">
        <v>-6.9527525418922695E-2</v>
      </c>
      <c r="AK565" s="163">
        <v>-4.72795516273686E-4</v>
      </c>
      <c r="AL565" s="163">
        <v>-110.615492229846</v>
      </c>
      <c r="AM565" s="163">
        <v>-26.5547411069604</v>
      </c>
      <c r="AN565" s="163">
        <v>-1.0851874639538601E-6</v>
      </c>
      <c r="AO565" s="163">
        <v>-0.60359786036801</v>
      </c>
      <c r="AP565" s="163">
        <v>-1136.0110417466999</v>
      </c>
      <c r="AQ565" s="163">
        <v>-5.7051655769052599E-9</v>
      </c>
      <c r="AR565" s="163">
        <v>-1.2909483584386E-7</v>
      </c>
      <c r="AS565" s="163">
        <v>-1392.4659079457699</v>
      </c>
      <c r="AT565" s="163">
        <v>0</v>
      </c>
      <c r="AU565" s="163">
        <v>0</v>
      </c>
      <c r="AV565" s="313">
        <v>-13.9752260670864</v>
      </c>
      <c r="AW565" s="315">
        <v>0</v>
      </c>
      <c r="AX565" s="315">
        <v>0</v>
      </c>
      <c r="AY565" s="313">
        <v>-1287.64411041571</v>
      </c>
      <c r="AZ565" s="163">
        <v>0</v>
      </c>
      <c r="BA565" s="163">
        <v>0</v>
      </c>
      <c r="BB565" s="163">
        <v>0</v>
      </c>
      <c r="BC565" s="163">
        <v>-13.665963056319701</v>
      </c>
      <c r="BD565" s="163">
        <v>-6.1429435870623099E-4</v>
      </c>
      <c r="BE565" s="163">
        <v>-2.3469478273719702</v>
      </c>
      <c r="BF565" s="163">
        <v>-7.8606334616779499E-4</v>
      </c>
      <c r="BG565" s="163">
        <v>0</v>
      </c>
      <c r="BH565" s="163">
        <v>0</v>
      </c>
      <c r="BI565" s="163">
        <v>0</v>
      </c>
      <c r="BJ565" s="163">
        <v>0</v>
      </c>
      <c r="BK565" s="163">
        <v>0</v>
      </c>
      <c r="BL565" s="62">
        <v>0</v>
      </c>
      <c r="BM565" s="275">
        <v>2</v>
      </c>
      <c r="BN565" s="62">
        <v>0</v>
      </c>
      <c r="BO565" s="33" t="s">
        <v>526</v>
      </c>
    </row>
    <row r="566" spans="1:67">
      <c r="A566" s="33" t="str">
        <f>Database_Productkaarten[[#This Row],[Product]]&amp;", "&amp;Database_Productkaarten[[#This Row],[Levensfase]]</f>
        <v>DZOAB - PCR 2.0, Totaal</v>
      </c>
      <c r="B566" s="33" t="s">
        <v>535</v>
      </c>
      <c r="C566" s="33" t="s">
        <v>483</v>
      </c>
      <c r="D566" s="33" t="s">
        <v>484</v>
      </c>
      <c r="E566" s="33" t="s">
        <v>378</v>
      </c>
      <c r="F566" s="33" t="s">
        <v>90</v>
      </c>
      <c r="L566" s="33">
        <v>2</v>
      </c>
      <c r="M566" s="269">
        <v>1</v>
      </c>
      <c r="N566" s="41">
        <f>SUM(N567:N582)</f>
        <v>22.745704874649601</v>
      </c>
      <c r="O566" s="33">
        <v>14</v>
      </c>
      <c r="P566" s="40">
        <f>SUM(P567:P582)</f>
        <v>1.9141717742853399E-3</v>
      </c>
      <c r="Q566" s="40">
        <f t="shared" ref="Q566:BK566" si="63">SUM(Q567:Q582)</f>
        <v>2.6175736452063245</v>
      </c>
      <c r="R566" s="40">
        <f t="shared" si="63"/>
        <v>189.56564928277243</v>
      </c>
      <c r="S566" s="40">
        <f t="shared" si="63"/>
        <v>1.9645957696692541E-5</v>
      </c>
      <c r="T566" s="40">
        <f t="shared" si="63"/>
        <v>0.25737156755067203</v>
      </c>
      <c r="U566" s="40">
        <f t="shared" si="63"/>
        <v>1.1463678575442282</v>
      </c>
      <c r="V566" s="40">
        <f t="shared" si="63"/>
        <v>0.13106012098243325</v>
      </c>
      <c r="W566" s="40">
        <f t="shared" si="63"/>
        <v>49.812908569213327</v>
      </c>
      <c r="X566" s="40">
        <f t="shared" si="63"/>
        <v>6.6842142273576357</v>
      </c>
      <c r="Y566" s="40">
        <f t="shared" si="63"/>
        <v>18534.168581683669</v>
      </c>
      <c r="Z566" s="40">
        <f t="shared" si="63"/>
        <v>0.51423784541204087</v>
      </c>
      <c r="AA566" s="40">
        <f t="shared" si="63"/>
        <v>215.46830446664148</v>
      </c>
      <c r="AB566" s="40">
        <f t="shared" si="63"/>
        <v>215.18764555084829</v>
      </c>
      <c r="AC566" s="40">
        <f t="shared" si="63"/>
        <v>0.24381998020294565</v>
      </c>
      <c r="AD566" s="40">
        <f t="shared" si="63"/>
        <v>0.10215091894019603</v>
      </c>
      <c r="AE566" s="40">
        <f t="shared" si="63"/>
        <v>2.5423755781711395E-5</v>
      </c>
      <c r="AF566" s="40">
        <f t="shared" si="63"/>
        <v>1.5624147902787999</v>
      </c>
      <c r="AG566" s="40">
        <f t="shared" si="63"/>
        <v>2.2025696200141617E-3</v>
      </c>
      <c r="AH566" s="40">
        <f t="shared" si="63"/>
        <v>0.32863506757840943</v>
      </c>
      <c r="AI566" s="40">
        <f t="shared" si="63"/>
        <v>3.5891065967401561</v>
      </c>
      <c r="AJ566" s="40">
        <f t="shared" si="63"/>
        <v>1.4313168800382434</v>
      </c>
      <c r="AK566" s="40">
        <f t="shared" si="63"/>
        <v>1.9165820957236844E-3</v>
      </c>
      <c r="AL566" s="40">
        <f t="shared" si="63"/>
        <v>6568.8736743252384</v>
      </c>
      <c r="AM566" s="40">
        <f t="shared" si="63"/>
        <v>57.69785773387251</v>
      </c>
      <c r="AN566" s="40">
        <f t="shared" si="63"/>
        <v>7.0044083622867815E-6</v>
      </c>
      <c r="AO566" s="40">
        <f t="shared" si="63"/>
        <v>6.3807633879728609</v>
      </c>
      <c r="AP566" s="40">
        <f t="shared" si="63"/>
        <v>9956.4010025246753</v>
      </c>
      <c r="AQ566" s="40">
        <f t="shared" si="63"/>
        <v>6.0477112899392145E-8</v>
      </c>
      <c r="AR566" s="40">
        <f t="shared" si="63"/>
        <v>2.2502819157146968E-6</v>
      </c>
      <c r="AS566" s="40">
        <f t="shared" si="63"/>
        <v>4975.9930676297308</v>
      </c>
      <c r="AT566" s="40">
        <f t="shared" si="63"/>
        <v>8.065825212</v>
      </c>
      <c r="AU566" s="40">
        <f t="shared" si="63"/>
        <v>0</v>
      </c>
      <c r="AV566" s="313">
        <f t="shared" si="63"/>
        <v>88.178692016418168</v>
      </c>
      <c r="AW566" s="317">
        <f t="shared" si="63"/>
        <v>0.70667511750000001</v>
      </c>
      <c r="AX566" s="317">
        <f t="shared" si="63"/>
        <v>9.926829900000001E-4</v>
      </c>
      <c r="AY566" s="313">
        <f t="shared" si="63"/>
        <v>5841.7851291317529</v>
      </c>
      <c r="AZ566" s="40">
        <f t="shared" si="63"/>
        <v>0</v>
      </c>
      <c r="BA566" s="40">
        <f t="shared" si="63"/>
        <v>0</v>
      </c>
      <c r="BB566" s="40">
        <f t="shared" si="63"/>
        <v>0</v>
      </c>
      <c r="BC566" s="40">
        <f t="shared" si="63"/>
        <v>-11.516422217895496</v>
      </c>
      <c r="BD566" s="40">
        <f t="shared" si="63"/>
        <v>3.7122567974684608E-3</v>
      </c>
      <c r="BE566" s="40">
        <f t="shared" si="63"/>
        <v>27.308186979467546</v>
      </c>
      <c r="BF566" s="40">
        <f t="shared" si="63"/>
        <v>7.211530908541864E-3</v>
      </c>
      <c r="BG566" s="40">
        <f t="shared" si="63"/>
        <v>0</v>
      </c>
      <c r="BH566" s="40">
        <f t="shared" si="63"/>
        <v>1000</v>
      </c>
      <c r="BI566" s="40">
        <f t="shared" si="63"/>
        <v>0</v>
      </c>
      <c r="BJ566" s="40">
        <f t="shared" si="63"/>
        <v>0</v>
      </c>
      <c r="BK566" s="40">
        <f t="shared" si="63"/>
        <v>0</v>
      </c>
      <c r="BL566" s="62">
        <v>0</v>
      </c>
      <c r="BM566" s="275">
        <v>2</v>
      </c>
      <c r="BN566" s="62">
        <v>0</v>
      </c>
      <c r="BO566" s="33" t="s">
        <v>526</v>
      </c>
    </row>
    <row r="567" spans="1:67">
      <c r="A567" s="33" t="str">
        <f>Database_Productkaarten[[#This Row],[Product]]&amp;", "&amp;Database_Productkaarten[[#This Row],[Levensfase]]</f>
        <v>DZOAB - PCR 2.0, A1</v>
      </c>
      <c r="B567" s="33" t="s">
        <v>535</v>
      </c>
      <c r="C567" s="33" t="s">
        <v>483</v>
      </c>
      <c r="D567" s="33" t="s">
        <v>484</v>
      </c>
      <c r="E567" s="33" t="s">
        <v>378</v>
      </c>
      <c r="F567" s="33" t="s">
        <v>74</v>
      </c>
      <c r="L567" s="33">
        <v>2</v>
      </c>
      <c r="M567" s="269">
        <v>1</v>
      </c>
      <c r="N567" s="211">
        <v>7.810592275395889</v>
      </c>
      <c r="O567" s="33">
        <v>14</v>
      </c>
      <c r="P567" s="163">
        <v>8.7147296155702496E-4</v>
      </c>
      <c r="Q567" s="163">
        <v>1.26965188574424</v>
      </c>
      <c r="R567" s="163">
        <v>64.235905784847901</v>
      </c>
      <c r="S567" s="163">
        <v>4.9147717236313402E-6</v>
      </c>
      <c r="T567" s="163">
        <v>0.13744734797330099</v>
      </c>
      <c r="U567" s="163">
        <v>0.37883028393373003</v>
      </c>
      <c r="V567" s="163">
        <v>3.5398243674847299E-2</v>
      </c>
      <c r="W567" s="163">
        <v>15.0171723083327</v>
      </c>
      <c r="X567" s="163">
        <v>1.9824387560130401</v>
      </c>
      <c r="Y567" s="163">
        <v>8600.0889928814195</v>
      </c>
      <c r="Z567" s="163">
        <v>0.25897018558721002</v>
      </c>
      <c r="AA567" s="163">
        <v>67.7201393982604</v>
      </c>
      <c r="AB567" s="163">
        <v>67.612130962905695</v>
      </c>
      <c r="AC567" s="163">
        <v>0.101665548364167</v>
      </c>
      <c r="AD567" s="163">
        <v>3.8998886990507103E-2</v>
      </c>
      <c r="AE567" s="163">
        <v>5.9494527342562997E-6</v>
      </c>
      <c r="AF567" s="163">
        <v>0.45472127300242698</v>
      </c>
      <c r="AG567" s="163">
        <v>8.4245919630537695E-4</v>
      </c>
      <c r="AH567" s="163">
        <v>7.2983393289275E-2</v>
      </c>
      <c r="AI567" s="163">
        <v>0.79857528072319195</v>
      </c>
      <c r="AJ567" s="163">
        <v>0.44475559687406502</v>
      </c>
      <c r="AK567" s="163">
        <v>8.7140225315484395E-4</v>
      </c>
      <c r="AL567" s="163">
        <v>2706.9592078200099</v>
      </c>
      <c r="AM567" s="163">
        <v>40.673674706584499</v>
      </c>
      <c r="AN567" s="163">
        <v>2.7001120937126498E-6</v>
      </c>
      <c r="AO567" s="163">
        <v>1.9273657245161899</v>
      </c>
      <c r="AP567" s="163">
        <v>5222.6009029963498</v>
      </c>
      <c r="AQ567" s="163">
        <v>1.8527890189579698E-8</v>
      </c>
      <c r="AR567" s="163">
        <v>8.27970379987412E-7</v>
      </c>
      <c r="AS567" s="163">
        <v>2958.29127040707</v>
      </c>
      <c r="AT567" s="163">
        <v>0</v>
      </c>
      <c r="AU567" s="163">
        <v>0</v>
      </c>
      <c r="AV567" s="313">
        <v>36.925682521026701</v>
      </c>
      <c r="AW567" s="315">
        <v>0</v>
      </c>
      <c r="AX567" s="315">
        <v>0</v>
      </c>
      <c r="AY567" s="313">
        <v>2879.8453364604202</v>
      </c>
      <c r="AZ567" s="163">
        <v>0</v>
      </c>
      <c r="BA567" s="163">
        <v>0</v>
      </c>
      <c r="BB567" s="163">
        <v>0</v>
      </c>
      <c r="BC567" s="163">
        <v>1.00355421409386</v>
      </c>
      <c r="BD567" s="163">
        <v>1.1271088278698501E-3</v>
      </c>
      <c r="BE567" s="163">
        <v>3.09097225513058</v>
      </c>
      <c r="BF567" s="163">
        <v>1.60598716495631E-3</v>
      </c>
      <c r="BG567" s="163">
        <v>0</v>
      </c>
      <c r="BH567" s="163">
        <v>0</v>
      </c>
      <c r="BI567" s="163">
        <v>0</v>
      </c>
      <c r="BJ567" s="163">
        <v>0</v>
      </c>
      <c r="BK567" s="163">
        <v>0</v>
      </c>
      <c r="BL567" s="62">
        <v>0</v>
      </c>
      <c r="BM567" s="275">
        <v>2</v>
      </c>
      <c r="BN567" s="62">
        <v>0</v>
      </c>
      <c r="BO567" s="33" t="s">
        <v>526</v>
      </c>
    </row>
    <row r="568" spans="1:67">
      <c r="A568" s="33" t="str">
        <f>Database_Productkaarten[[#This Row],[Product]]&amp;", "&amp;Database_Productkaarten[[#This Row],[Levensfase]]</f>
        <v>DZOAB - PCR 2.0, A2</v>
      </c>
      <c r="B568" s="33" t="s">
        <v>535</v>
      </c>
      <c r="C568" s="33" t="s">
        <v>483</v>
      </c>
      <c r="D568" s="33" t="s">
        <v>484</v>
      </c>
      <c r="E568" s="33" t="s">
        <v>378</v>
      </c>
      <c r="F568" s="33" t="s">
        <v>75</v>
      </c>
      <c r="L568" s="33">
        <v>2</v>
      </c>
      <c r="M568" s="269">
        <v>1</v>
      </c>
      <c r="N568" s="211">
        <v>2.8857327766458236</v>
      </c>
      <c r="O568" s="33">
        <v>14</v>
      </c>
      <c r="P568" s="163">
        <v>2.28962845800299E-4</v>
      </c>
      <c r="Q568" s="163">
        <v>0.108923442403247</v>
      </c>
      <c r="R568" s="163">
        <v>16.630948772594301</v>
      </c>
      <c r="S568" s="163">
        <v>2.7041352572143099E-6</v>
      </c>
      <c r="T568" s="163">
        <v>1.5408408397940099E-2</v>
      </c>
      <c r="U568" s="163">
        <v>0.24484348840769099</v>
      </c>
      <c r="V568" s="163">
        <v>3.1870754762748699E-2</v>
      </c>
      <c r="W568" s="163">
        <v>7.4356475276774496</v>
      </c>
      <c r="X568" s="163">
        <v>0.15942509962231599</v>
      </c>
      <c r="Y568" s="163">
        <v>641.29723324107897</v>
      </c>
      <c r="Z568" s="163">
        <v>2.4858533723563898E-2</v>
      </c>
      <c r="AA568" s="163">
        <v>16.7781316486757</v>
      </c>
      <c r="AB568" s="163">
        <v>16.758170501187699</v>
      </c>
      <c r="AC568" s="163">
        <v>6.1121088858245897E-3</v>
      </c>
      <c r="AD568" s="163">
        <v>1.3849038602190999E-2</v>
      </c>
      <c r="AE568" s="163">
        <v>3.3929150486791198E-6</v>
      </c>
      <c r="AF568" s="163">
        <v>0.31176631499354901</v>
      </c>
      <c r="AG568" s="163">
        <v>1.31076372414378E-4</v>
      </c>
      <c r="AH568" s="163">
        <v>8.6527706043328004E-2</v>
      </c>
      <c r="AI568" s="163">
        <v>0.959319509036346</v>
      </c>
      <c r="AJ568" s="163">
        <v>0.25174205013912898</v>
      </c>
      <c r="AK568" s="163">
        <v>2.2895911575879999E-4</v>
      </c>
      <c r="AL568" s="163">
        <v>226.993448929686</v>
      </c>
      <c r="AM568" s="163">
        <v>0.66024579678347395</v>
      </c>
      <c r="AN568" s="163">
        <v>8.2635896427938402E-7</v>
      </c>
      <c r="AO568" s="163">
        <v>0.96725874064717998</v>
      </c>
      <c r="AP568" s="163">
        <v>178.35407656773299</v>
      </c>
      <c r="AQ568" s="163">
        <v>8.4226058886884694E-9</v>
      </c>
      <c r="AR568" s="163">
        <v>1.6078190247686301E-7</v>
      </c>
      <c r="AS568" s="163">
        <v>122.22497833734199</v>
      </c>
      <c r="AT568" s="163">
        <v>0</v>
      </c>
      <c r="AU568" s="163">
        <v>0</v>
      </c>
      <c r="AV568" s="313">
        <v>2.7794875427549899</v>
      </c>
      <c r="AW568" s="315">
        <v>0</v>
      </c>
      <c r="AX568" s="315">
        <v>0</v>
      </c>
      <c r="AY568" s="313">
        <v>240.97368107176001</v>
      </c>
      <c r="AZ568" s="163">
        <v>0</v>
      </c>
      <c r="BA568" s="163">
        <v>0</v>
      </c>
      <c r="BB568" s="163">
        <v>0</v>
      </c>
      <c r="BC568" s="163">
        <v>2.40702823837186E-2</v>
      </c>
      <c r="BD568" s="163">
        <v>4.2336060362629501E-4</v>
      </c>
      <c r="BE568" s="163">
        <v>5.9400994323549998</v>
      </c>
      <c r="BF568" s="163">
        <v>1.52397402601272E-3</v>
      </c>
      <c r="BG568" s="163">
        <v>0</v>
      </c>
      <c r="BH568" s="163">
        <v>0</v>
      </c>
      <c r="BI568" s="163">
        <v>0</v>
      </c>
      <c r="BJ568" s="163">
        <v>0</v>
      </c>
      <c r="BK568" s="163">
        <v>0</v>
      </c>
      <c r="BL568" s="62">
        <v>0</v>
      </c>
      <c r="BM568" s="275">
        <v>2</v>
      </c>
      <c r="BN568" s="62">
        <v>0</v>
      </c>
      <c r="BO568" s="33" t="s">
        <v>526</v>
      </c>
    </row>
    <row r="569" spans="1:67">
      <c r="A569" s="33" t="str">
        <f>Database_Productkaarten[[#This Row],[Product]]&amp;", "&amp;Database_Productkaarten[[#This Row],[Levensfase]]</f>
        <v>DZOAB - PCR 2.0, A3</v>
      </c>
      <c r="B569" s="33" t="s">
        <v>535</v>
      </c>
      <c r="C569" s="33" t="s">
        <v>483</v>
      </c>
      <c r="D569" s="33" t="s">
        <v>484</v>
      </c>
      <c r="E569" s="33" t="s">
        <v>378</v>
      </c>
      <c r="F569" s="33" t="s">
        <v>76</v>
      </c>
      <c r="L569" s="33">
        <v>2</v>
      </c>
      <c r="M569" s="269">
        <v>1</v>
      </c>
      <c r="N569" s="211">
        <v>1.5118802065171901</v>
      </c>
      <c r="O569" s="33">
        <v>14</v>
      </c>
      <c r="P569" s="163">
        <v>2.1266323640890599E-5</v>
      </c>
      <c r="Q569" s="163">
        <v>0.17617964390784999</v>
      </c>
      <c r="R569" s="163">
        <v>20.734257289898199</v>
      </c>
      <c r="S569" s="163">
        <v>2.3245852476337099E-6</v>
      </c>
      <c r="T569" s="163">
        <v>3.38655282287432E-3</v>
      </c>
      <c r="U569" s="163">
        <v>2.11427723538514E-2</v>
      </c>
      <c r="V569" s="163">
        <v>3.6228445160965601E-3</v>
      </c>
      <c r="W569" s="163">
        <v>3.4575078813707298</v>
      </c>
      <c r="X569" s="163">
        <v>2.37418390857537E-2</v>
      </c>
      <c r="Y569" s="163">
        <v>96.508155812660803</v>
      </c>
      <c r="Z569" s="163">
        <v>2.3614717409747299E-2</v>
      </c>
      <c r="AA569" s="163">
        <v>21.045783134755901</v>
      </c>
      <c r="AB569" s="163">
        <v>20.993291579004001</v>
      </c>
      <c r="AC569" s="163">
        <v>5.0649583796841799E-2</v>
      </c>
      <c r="AD569" s="163">
        <v>1.8419719550528599E-3</v>
      </c>
      <c r="AE569" s="163">
        <v>2.6200073572172599E-6</v>
      </c>
      <c r="AF569" s="163">
        <v>2.7187932115855001E-2</v>
      </c>
      <c r="AG569" s="163">
        <v>2.5517672310700399E-4</v>
      </c>
      <c r="AH569" s="163">
        <v>7.6120092666922996E-3</v>
      </c>
      <c r="AI569" s="163">
        <v>8.6187101203146099E-2</v>
      </c>
      <c r="AJ569" s="163">
        <v>2.5896609598575301E-2</v>
      </c>
      <c r="AK569" s="163">
        <v>2.12660334974361E-5</v>
      </c>
      <c r="AL569" s="163">
        <v>324.23054372370899</v>
      </c>
      <c r="AM569" s="163">
        <v>0.510807624704949</v>
      </c>
      <c r="AN569" s="163">
        <v>1.8767759521431499E-7</v>
      </c>
      <c r="AO569" s="163">
        <v>0.24777295614689501</v>
      </c>
      <c r="AP569" s="163">
        <v>72.990996126138199</v>
      </c>
      <c r="AQ569" s="163">
        <v>2.67168323058591E-9</v>
      </c>
      <c r="AR569" s="163">
        <v>4.7155584181688602E-8</v>
      </c>
      <c r="AS569" s="163">
        <v>15.4535093544422</v>
      </c>
      <c r="AT569" s="163">
        <v>0</v>
      </c>
      <c r="AU569" s="163">
        <v>0</v>
      </c>
      <c r="AV569" s="313">
        <v>6.5731831107408798</v>
      </c>
      <c r="AW569" s="315">
        <v>0</v>
      </c>
      <c r="AX569" s="315">
        <v>0</v>
      </c>
      <c r="AY569" s="313">
        <v>357.27533356895202</v>
      </c>
      <c r="AZ569" s="163">
        <v>0</v>
      </c>
      <c r="BA569" s="163">
        <v>0</v>
      </c>
      <c r="BB569" s="163">
        <v>0</v>
      </c>
      <c r="BC569" s="163">
        <v>3.81542781332041E-2</v>
      </c>
      <c r="BD569" s="163">
        <v>3.9264619818341799E-4</v>
      </c>
      <c r="BE569" s="163">
        <v>0.256884471464354</v>
      </c>
      <c r="BF569" s="163">
        <v>3.13692512368398E-4</v>
      </c>
      <c r="BG569" s="163">
        <v>0</v>
      </c>
      <c r="BH569" s="163">
        <v>0</v>
      </c>
      <c r="BI569" s="163">
        <v>0</v>
      </c>
      <c r="BJ569" s="163">
        <v>0</v>
      </c>
      <c r="BK569" s="163">
        <v>0</v>
      </c>
      <c r="BL569" s="62">
        <v>0</v>
      </c>
      <c r="BM569" s="275">
        <v>2</v>
      </c>
      <c r="BN569" s="62">
        <v>0</v>
      </c>
      <c r="BO569" s="33" t="s">
        <v>526</v>
      </c>
    </row>
    <row r="570" spans="1:67">
      <c r="A570" s="33" t="str">
        <f>Database_Productkaarten[[#This Row],[Product]]&amp;", "&amp;Database_Productkaarten[[#This Row],[Levensfase]]</f>
        <v>DZOAB - PCR 2.0, A1-A3</v>
      </c>
      <c r="B570" s="33" t="str">
        <f>B569</f>
        <v>DZOAB - PCR 2.0</v>
      </c>
      <c r="C570" s="33" t="str">
        <f>C569</f>
        <v>Bitumineuze verhardingen</v>
      </c>
      <c r="D570" s="33" t="str">
        <f>D569</f>
        <v>ZOAB</v>
      </c>
      <c r="E570" s="33" t="str">
        <f>E569</f>
        <v>Ton</v>
      </c>
      <c r="F570" s="33" t="s">
        <v>77</v>
      </c>
      <c r="L570" s="33">
        <f>L569</f>
        <v>2</v>
      </c>
      <c r="M570" s="45">
        <f>M569</f>
        <v>1</v>
      </c>
      <c r="N570" s="41">
        <f>SUM(N567:N569)</f>
        <v>12.208205258558904</v>
      </c>
      <c r="O570" s="33">
        <f>O569</f>
        <v>14</v>
      </c>
      <c r="P570" s="40">
        <f>SUM(P567:P569)</f>
        <v>1.1217021309982145E-3</v>
      </c>
      <c r="Q570" s="40">
        <f t="shared" ref="Q570:BK570" si="64">SUM(Q567:Q569)</f>
        <v>1.5547549720553371</v>
      </c>
      <c r="R570" s="40">
        <f t="shared" si="64"/>
        <v>101.60111184734039</v>
      </c>
      <c r="S570" s="40">
        <f t="shared" si="64"/>
        <v>9.9434922284793604E-6</v>
      </c>
      <c r="T570" s="40">
        <f t="shared" si="64"/>
        <v>0.15624230919411541</v>
      </c>
      <c r="U570" s="40">
        <f t="shared" si="64"/>
        <v>0.64481654469527239</v>
      </c>
      <c r="V570" s="40">
        <f t="shared" si="64"/>
        <v>7.0891842953692552E-2</v>
      </c>
      <c r="W570" s="40">
        <f t="shared" si="64"/>
        <v>25.910327717380881</v>
      </c>
      <c r="X570" s="40">
        <f t="shared" si="64"/>
        <v>2.1656056947211098</v>
      </c>
      <c r="Y570" s="40">
        <f t="shared" si="64"/>
        <v>9337.8943819351589</v>
      </c>
      <c r="Z570" s="40">
        <f t="shared" si="64"/>
        <v>0.30744343672052121</v>
      </c>
      <c r="AA570" s="40">
        <f t="shared" si="64"/>
        <v>105.54405418169199</v>
      </c>
      <c r="AB570" s="40">
        <f t="shared" si="64"/>
        <v>105.36359304309738</v>
      </c>
      <c r="AC570" s="40">
        <f t="shared" si="64"/>
        <v>0.15842724104683337</v>
      </c>
      <c r="AD570" s="40">
        <f t="shared" si="64"/>
        <v>5.4689897547750964E-2</v>
      </c>
      <c r="AE570" s="40">
        <f t="shared" si="64"/>
        <v>1.1962375140152679E-5</v>
      </c>
      <c r="AF570" s="40">
        <f t="shared" si="64"/>
        <v>0.79367552011183107</v>
      </c>
      <c r="AG570" s="40">
        <f t="shared" si="64"/>
        <v>1.228712291826759E-3</v>
      </c>
      <c r="AH570" s="40">
        <f t="shared" si="64"/>
        <v>0.1671231085992953</v>
      </c>
      <c r="AI570" s="40">
        <f t="shared" si="64"/>
        <v>1.8440818909626842</v>
      </c>
      <c r="AJ570" s="40">
        <f t="shared" si="64"/>
        <v>0.72239425661176937</v>
      </c>
      <c r="AK570" s="40">
        <f t="shared" si="64"/>
        <v>1.1216274024110802E-3</v>
      </c>
      <c r="AL570" s="40">
        <f t="shared" si="64"/>
        <v>3258.1832004734051</v>
      </c>
      <c r="AM570" s="40">
        <f t="shared" si="64"/>
        <v>41.844728128072923</v>
      </c>
      <c r="AN570" s="40">
        <f t="shared" si="64"/>
        <v>3.714148653206349E-6</v>
      </c>
      <c r="AO570" s="40">
        <f t="shared" si="64"/>
        <v>3.1423974213102648</v>
      </c>
      <c r="AP570" s="40">
        <f t="shared" si="64"/>
        <v>5473.9459756902206</v>
      </c>
      <c r="AQ570" s="40">
        <f t="shared" si="64"/>
        <v>2.9622179308854076E-8</v>
      </c>
      <c r="AR570" s="40">
        <f t="shared" si="64"/>
        <v>1.0359078666459635E-6</v>
      </c>
      <c r="AS570" s="40">
        <f t="shared" si="64"/>
        <v>3095.9697580988541</v>
      </c>
      <c r="AT570" s="40">
        <f t="shared" si="64"/>
        <v>0</v>
      </c>
      <c r="AU570" s="40">
        <f t="shared" si="64"/>
        <v>0</v>
      </c>
      <c r="AV570" s="317">
        <f t="shared" si="64"/>
        <v>46.278353174522572</v>
      </c>
      <c r="AW570" s="317">
        <f t="shared" si="64"/>
        <v>0</v>
      </c>
      <c r="AX570" s="317">
        <f t="shared" si="64"/>
        <v>0</v>
      </c>
      <c r="AY570" s="317">
        <f t="shared" si="64"/>
        <v>3478.0943511011324</v>
      </c>
      <c r="AZ570" s="40">
        <f t="shared" si="64"/>
        <v>0</v>
      </c>
      <c r="BA570" s="40">
        <f t="shared" si="64"/>
        <v>0</v>
      </c>
      <c r="BB570" s="40">
        <f t="shared" si="64"/>
        <v>0</v>
      </c>
      <c r="BC570" s="40">
        <f t="shared" si="64"/>
        <v>1.0657787746107827</v>
      </c>
      <c r="BD570" s="40">
        <f t="shared" si="64"/>
        <v>1.9431156296795631E-3</v>
      </c>
      <c r="BE570" s="40">
        <f t="shared" si="64"/>
        <v>9.2879561589499335</v>
      </c>
      <c r="BF570" s="40">
        <f t="shared" si="64"/>
        <v>3.4436537033374283E-3</v>
      </c>
      <c r="BG570" s="40">
        <f t="shared" si="64"/>
        <v>0</v>
      </c>
      <c r="BH570" s="40">
        <f t="shared" si="64"/>
        <v>0</v>
      </c>
      <c r="BI570" s="40">
        <f t="shared" si="64"/>
        <v>0</v>
      </c>
      <c r="BJ570" s="40">
        <f t="shared" si="64"/>
        <v>0</v>
      </c>
      <c r="BK570" s="40">
        <f t="shared" si="64"/>
        <v>0</v>
      </c>
      <c r="BL570" s="62">
        <f>BL569</f>
        <v>0</v>
      </c>
      <c r="BM570" s="275">
        <f>BM569</f>
        <v>2</v>
      </c>
      <c r="BN570" s="62">
        <v>0</v>
      </c>
      <c r="BO570" s="33" t="str">
        <f>BO569</f>
        <v>Ecochain 2022 LCA Achtergrondrapport voor Nederlandse branchereferentiemengsels 2022</v>
      </c>
    </row>
    <row r="571" spans="1:67">
      <c r="A571" s="33" t="str">
        <f>Database_Productkaarten[[#This Row],[Product]]&amp;", "&amp;Database_Productkaarten[[#This Row],[Levensfase]]</f>
        <v>DZOAB - PCR 2.0, A4</v>
      </c>
      <c r="B571" s="33" t="s">
        <v>535</v>
      </c>
      <c r="C571" s="33" t="s">
        <v>483</v>
      </c>
      <c r="D571" s="33" t="s">
        <v>484</v>
      </c>
      <c r="E571" s="33" t="s">
        <v>378</v>
      </c>
      <c r="F571" s="33" t="s">
        <v>78</v>
      </c>
      <c r="L571" s="33">
        <v>2</v>
      </c>
      <c r="M571" s="269">
        <v>1</v>
      </c>
      <c r="N571" s="211">
        <v>0.37546048090943995</v>
      </c>
      <c r="O571" s="33">
        <v>14</v>
      </c>
      <c r="P571" s="163">
        <v>6.8533509000000002E-5</v>
      </c>
      <c r="Q571" s="163">
        <v>2.9713889699999999E-2</v>
      </c>
      <c r="R571" s="163">
        <v>3.9891474704999998</v>
      </c>
      <c r="S571" s="163">
        <v>7.557213E-7</v>
      </c>
      <c r="T571" s="163">
        <v>2.4773701499999998E-3</v>
      </c>
      <c r="U571" s="163">
        <v>1.36398132E-2</v>
      </c>
      <c r="V571" s="163">
        <v>2.5682192100000001E-3</v>
      </c>
      <c r="W571" s="163">
        <v>0.8608144794</v>
      </c>
      <c r="X571" s="163">
        <v>3.6189873900000002E-2</v>
      </c>
      <c r="Y571" s="163">
        <v>97.376595929999993</v>
      </c>
      <c r="Z571" s="163">
        <v>4.8437180999999999E-3</v>
      </c>
      <c r="AA571" s="163">
        <v>4.0259382761999998</v>
      </c>
      <c r="AB571" s="163">
        <v>4.0229543298000001</v>
      </c>
      <c r="AC571" s="163">
        <v>1.9814632200000001E-3</v>
      </c>
      <c r="AD571" s="163">
        <v>1.0024609799999999E-3</v>
      </c>
      <c r="AE571" s="163">
        <v>9.4976262000000003E-7</v>
      </c>
      <c r="AF571" s="163">
        <v>1.7739576E-2</v>
      </c>
      <c r="AG571" s="163">
        <v>2.7841996800000001E-5</v>
      </c>
      <c r="AH571" s="163">
        <v>5.5484582100000001E-3</v>
      </c>
      <c r="AI571" s="163">
        <v>6.1385308800000003E-2</v>
      </c>
      <c r="AJ571" s="163">
        <v>1.9235744999999999E-2</v>
      </c>
      <c r="AK571" s="163">
        <v>6.8533397999999998E-5</v>
      </c>
      <c r="AL571" s="163">
        <v>62.400806729999999</v>
      </c>
      <c r="AM571" s="163">
        <v>0.212954166</v>
      </c>
      <c r="AN571" s="163">
        <v>2.9338876200000002E-7</v>
      </c>
      <c r="AO571" s="163">
        <v>0.26868483510000002</v>
      </c>
      <c r="AP571" s="163">
        <v>45.56587296</v>
      </c>
      <c r="AQ571" s="163">
        <v>1.16371179E-9</v>
      </c>
      <c r="AR571" s="163">
        <v>3.8268015899999999E-8</v>
      </c>
      <c r="AS571" s="163">
        <v>71.806844609999999</v>
      </c>
      <c r="AT571" s="163">
        <v>0</v>
      </c>
      <c r="AU571" s="163">
        <v>0</v>
      </c>
      <c r="AV571" s="313">
        <v>0.63474917099999995</v>
      </c>
      <c r="AW571" s="315">
        <v>0</v>
      </c>
      <c r="AX571" s="315">
        <v>0</v>
      </c>
      <c r="AY571" s="313">
        <v>66.265108560000002</v>
      </c>
      <c r="AZ571" s="163">
        <v>0</v>
      </c>
      <c r="BA571" s="163">
        <v>0</v>
      </c>
      <c r="BB571" s="163">
        <v>0</v>
      </c>
      <c r="BC571" s="163">
        <v>6.7467797999999999E-3</v>
      </c>
      <c r="BD571" s="163">
        <v>1.54707915E-4</v>
      </c>
      <c r="BE571" s="163">
        <v>5.4635493149999999</v>
      </c>
      <c r="BF571" s="163">
        <v>4.25149758E-4</v>
      </c>
      <c r="BG571" s="163">
        <v>0</v>
      </c>
      <c r="BH571" s="163">
        <v>0</v>
      </c>
      <c r="BI571" s="163">
        <v>0</v>
      </c>
      <c r="BJ571" s="163">
        <v>0</v>
      </c>
      <c r="BK571" s="163">
        <v>0</v>
      </c>
      <c r="BL571" s="62">
        <v>0</v>
      </c>
      <c r="BM571" s="275">
        <v>2</v>
      </c>
      <c r="BN571" s="62">
        <v>0</v>
      </c>
      <c r="BO571" s="33" t="s">
        <v>526</v>
      </c>
    </row>
    <row r="572" spans="1:67">
      <c r="A572" s="33" t="str">
        <f>Database_Productkaarten[[#This Row],[Product]]&amp;", "&amp;Database_Productkaarten[[#This Row],[Levensfase]]</f>
        <v>DZOAB - PCR 2.0, A5</v>
      </c>
      <c r="B572" s="33" t="s">
        <v>535</v>
      </c>
      <c r="C572" s="33" t="s">
        <v>483</v>
      </c>
      <c r="D572" s="33" t="s">
        <v>484</v>
      </c>
      <c r="E572" s="33" t="s">
        <v>378</v>
      </c>
      <c r="F572" s="33" t="s">
        <v>79</v>
      </c>
      <c r="L572" s="33">
        <v>2</v>
      </c>
      <c r="M572" s="269">
        <v>1</v>
      </c>
      <c r="N572" s="211">
        <v>0.11508990381964965</v>
      </c>
      <c r="O572" s="33">
        <v>14</v>
      </c>
      <c r="P572" s="163">
        <v>1.36108829181357E-6</v>
      </c>
      <c r="Q572" s="163">
        <v>5.7900424930806098E-3</v>
      </c>
      <c r="R572" s="163">
        <v>1.1775394631625</v>
      </c>
      <c r="S572" s="163">
        <v>1.52166898235464E-7</v>
      </c>
      <c r="T572" s="163">
        <v>3.97694910772289E-4</v>
      </c>
      <c r="U572" s="163">
        <v>4.0133663874677896E-3</v>
      </c>
      <c r="V572" s="163">
        <v>8.9200970091015297E-4</v>
      </c>
      <c r="W572" s="163">
        <v>0.31853178951413802</v>
      </c>
      <c r="X572" s="163">
        <v>4.5166714584730597E-3</v>
      </c>
      <c r="Y572" s="163">
        <v>15.6934427232963</v>
      </c>
      <c r="Z572" s="163">
        <v>5.3488215991063799E-4</v>
      </c>
      <c r="AA572" s="163">
        <v>1.18572452130924</v>
      </c>
      <c r="AB572" s="163">
        <v>1.18538439263335</v>
      </c>
      <c r="AC572" s="163">
        <v>2.7090790254075001E-4</v>
      </c>
      <c r="AD572" s="163">
        <v>6.9220773347382895E-5</v>
      </c>
      <c r="AE572" s="163">
        <v>1.9173630174513001E-7</v>
      </c>
      <c r="AF572" s="163">
        <v>5.5294629342482896E-3</v>
      </c>
      <c r="AG572" s="163">
        <v>3.23403406414887E-6</v>
      </c>
      <c r="AH572" s="163">
        <v>2.2810385909082802E-3</v>
      </c>
      <c r="AI572" s="163">
        <v>2.5051401722491699E-2</v>
      </c>
      <c r="AJ572" s="163">
        <v>6.6437026513872198E-3</v>
      </c>
      <c r="AK572" s="163">
        <v>1.3610776111909301E-6</v>
      </c>
      <c r="AL572" s="163">
        <v>12.2166362681858</v>
      </c>
      <c r="AM572" s="163">
        <v>1.62705640115949E-2</v>
      </c>
      <c r="AN572" s="163">
        <v>2.1944772140985E-8</v>
      </c>
      <c r="AO572" s="163">
        <v>5.2434937515878598E-2</v>
      </c>
      <c r="AP572" s="163">
        <v>7.3299436880678597</v>
      </c>
      <c r="AQ572" s="163">
        <v>2.5717564105218098E-10</v>
      </c>
      <c r="AR572" s="163">
        <v>5.8020979040395996E-9</v>
      </c>
      <c r="AS572" s="163">
        <v>1.56040896283329</v>
      </c>
      <c r="AT572" s="163">
        <v>0</v>
      </c>
      <c r="AU572" s="163">
        <v>0</v>
      </c>
      <c r="AV572" s="313">
        <v>6.7148701937644301E-2</v>
      </c>
      <c r="AW572" s="315">
        <v>0</v>
      </c>
      <c r="AX572" s="315">
        <v>0</v>
      </c>
      <c r="AY572" s="313">
        <v>12.9736813249164</v>
      </c>
      <c r="AZ572" s="163">
        <v>0</v>
      </c>
      <c r="BA572" s="163">
        <v>0</v>
      </c>
      <c r="BB572" s="163">
        <v>0</v>
      </c>
      <c r="BC572" s="163">
        <v>6.3151909846996795E-4</v>
      </c>
      <c r="BD572" s="163">
        <v>3.3269162781749603E-5</v>
      </c>
      <c r="BE572" s="163">
        <v>1.4455599868438199E-2</v>
      </c>
      <c r="BF572" s="163">
        <v>8.4906277653172795E-5</v>
      </c>
      <c r="BG572" s="163">
        <v>0</v>
      </c>
      <c r="BH572" s="163">
        <v>0</v>
      </c>
      <c r="BI572" s="163">
        <v>0</v>
      </c>
      <c r="BJ572" s="163">
        <v>0</v>
      </c>
      <c r="BK572" s="163">
        <v>0</v>
      </c>
      <c r="BL572" s="62">
        <v>0</v>
      </c>
      <c r="BM572" s="275">
        <v>2</v>
      </c>
      <c r="BN572" s="62">
        <v>0</v>
      </c>
      <c r="BO572" s="33" t="s">
        <v>526</v>
      </c>
    </row>
    <row r="573" spans="1:67">
      <c r="A573" s="33" t="str">
        <f>Database_Productkaarten[[#This Row],[Product]]&amp;", "&amp;Database_Productkaarten[[#This Row],[Levensfase]]</f>
        <v>DZOAB - PCR 2.0, B1</v>
      </c>
      <c r="B573" s="33" t="s">
        <v>535</v>
      </c>
      <c r="C573" s="33" t="s">
        <v>483</v>
      </c>
      <c r="D573" s="33" t="s">
        <v>484</v>
      </c>
      <c r="E573" s="33" t="s">
        <v>378</v>
      </c>
      <c r="F573" s="33" t="s">
        <v>80</v>
      </c>
      <c r="L573" s="33">
        <v>2</v>
      </c>
      <c r="M573" s="269">
        <v>1</v>
      </c>
      <c r="N573" s="211">
        <v>0.63803196066933088</v>
      </c>
      <c r="O573" s="33">
        <v>14</v>
      </c>
      <c r="P573" s="163">
        <v>0</v>
      </c>
      <c r="Q573" s="163">
        <v>0</v>
      </c>
      <c r="R573" s="163">
        <v>0</v>
      </c>
      <c r="S573" s="163">
        <v>0</v>
      </c>
      <c r="T573" s="163">
        <v>0</v>
      </c>
      <c r="U573" s="163">
        <v>0</v>
      </c>
      <c r="V573" s="163">
        <v>0</v>
      </c>
      <c r="W573" s="163">
        <v>2.21599595321837</v>
      </c>
      <c r="X573" s="163">
        <v>3.1435906259976898</v>
      </c>
      <c r="Y573" s="163">
        <v>3441.17206099747</v>
      </c>
      <c r="Z573" s="163">
        <v>2.7899999999979499E-3</v>
      </c>
      <c r="AA573" s="163">
        <v>0</v>
      </c>
      <c r="AB573" s="163">
        <v>0</v>
      </c>
      <c r="AC573" s="163">
        <v>0</v>
      </c>
      <c r="AD573" s="163">
        <v>0</v>
      </c>
      <c r="AE573" s="163">
        <v>0</v>
      </c>
      <c r="AF573" s="163">
        <v>0</v>
      </c>
      <c r="AG573" s="163">
        <v>0</v>
      </c>
      <c r="AH573" s="163">
        <v>0</v>
      </c>
      <c r="AI573" s="163">
        <v>0</v>
      </c>
      <c r="AJ573" s="163">
        <v>0</v>
      </c>
      <c r="AK573" s="163">
        <v>0</v>
      </c>
      <c r="AL573" s="163">
        <v>0</v>
      </c>
      <c r="AM573" s="163">
        <v>0</v>
      </c>
      <c r="AN573" s="163">
        <v>0</v>
      </c>
      <c r="AO573" s="163">
        <v>0</v>
      </c>
      <c r="AP573" s="163">
        <v>19.2904605006858</v>
      </c>
      <c r="AQ573" s="163">
        <v>3.4029317760975E-9</v>
      </c>
      <c r="AR573" s="163">
        <v>2.0449895299124001E-7</v>
      </c>
      <c r="AS573" s="163">
        <v>0</v>
      </c>
      <c r="AT573" s="163">
        <v>0</v>
      </c>
      <c r="AU573" s="163">
        <v>0</v>
      </c>
      <c r="AV573" s="313">
        <v>0</v>
      </c>
      <c r="AW573" s="315">
        <v>0</v>
      </c>
      <c r="AX573" s="315">
        <v>0</v>
      </c>
      <c r="AY573" s="313">
        <v>0</v>
      </c>
      <c r="AZ573" s="163">
        <v>0</v>
      </c>
      <c r="BA573" s="163">
        <v>0</v>
      </c>
      <c r="BB573" s="163">
        <v>0</v>
      </c>
      <c r="BC573" s="163">
        <v>0</v>
      </c>
      <c r="BD573" s="163">
        <v>0</v>
      </c>
      <c r="BE573" s="163">
        <v>0</v>
      </c>
      <c r="BF573" s="163">
        <v>0</v>
      </c>
      <c r="BG573" s="163">
        <v>0</v>
      </c>
      <c r="BH573" s="163">
        <v>0</v>
      </c>
      <c r="BI573" s="163">
        <v>0</v>
      </c>
      <c r="BJ573" s="163">
        <v>0</v>
      </c>
      <c r="BK573" s="163">
        <v>0</v>
      </c>
      <c r="BL573" s="62">
        <v>0</v>
      </c>
      <c r="BM573" s="275">
        <v>2</v>
      </c>
      <c r="BN573" s="62">
        <v>0</v>
      </c>
      <c r="BO573" s="33" t="s">
        <v>526</v>
      </c>
    </row>
    <row r="574" spans="1:67">
      <c r="A574" s="33" t="str">
        <f>Database_Productkaarten[[#This Row],[Product]]&amp;", "&amp;Database_Productkaarten[[#This Row],[Levensfase]]</f>
        <v>DZOAB - PCR 2.0, B2</v>
      </c>
      <c r="B574" s="33" t="s">
        <v>535</v>
      </c>
      <c r="C574" s="33" t="s">
        <v>483</v>
      </c>
      <c r="D574" s="33" t="s">
        <v>484</v>
      </c>
      <c r="E574" s="33" t="s">
        <v>378</v>
      </c>
      <c r="F574" s="33" t="s">
        <v>527</v>
      </c>
      <c r="L574" s="33">
        <v>2</v>
      </c>
      <c r="M574" s="269">
        <v>1</v>
      </c>
      <c r="N574" s="211">
        <v>0</v>
      </c>
      <c r="O574" s="33">
        <v>14</v>
      </c>
      <c r="P574" s="163">
        <v>0</v>
      </c>
      <c r="Q574" s="163">
        <v>0</v>
      </c>
      <c r="R574" s="163">
        <v>0</v>
      </c>
      <c r="S574" s="163">
        <v>0</v>
      </c>
      <c r="T574" s="163">
        <v>0</v>
      </c>
      <c r="U574" s="163">
        <v>0</v>
      </c>
      <c r="V574" s="163">
        <v>0</v>
      </c>
      <c r="W574" s="163">
        <v>0</v>
      </c>
      <c r="X574" s="163">
        <v>0</v>
      </c>
      <c r="Y574" s="163">
        <v>0</v>
      </c>
      <c r="Z574" s="163">
        <v>0</v>
      </c>
      <c r="AA574" s="163">
        <v>0</v>
      </c>
      <c r="AB574" s="163">
        <v>0</v>
      </c>
      <c r="AC574" s="163">
        <v>0</v>
      </c>
      <c r="AD574" s="163">
        <v>0</v>
      </c>
      <c r="AE574" s="163">
        <v>0</v>
      </c>
      <c r="AF574" s="163">
        <v>0</v>
      </c>
      <c r="AG574" s="163">
        <v>0</v>
      </c>
      <c r="AH574" s="163">
        <v>0</v>
      </c>
      <c r="AI574" s="163">
        <v>0</v>
      </c>
      <c r="AJ574" s="163">
        <v>0</v>
      </c>
      <c r="AK574" s="163">
        <v>0</v>
      </c>
      <c r="AL574" s="163">
        <v>0</v>
      </c>
      <c r="AM574" s="163">
        <v>0</v>
      </c>
      <c r="AN574" s="163">
        <v>0</v>
      </c>
      <c r="AO574" s="163">
        <v>0</v>
      </c>
      <c r="AP574" s="163">
        <v>0</v>
      </c>
      <c r="AQ574" s="163">
        <v>0</v>
      </c>
      <c r="AR574" s="163">
        <v>0</v>
      </c>
      <c r="AS574" s="163">
        <v>0</v>
      </c>
      <c r="AT574" s="163">
        <v>0</v>
      </c>
      <c r="AU574" s="163">
        <v>0</v>
      </c>
      <c r="AV574" s="313">
        <v>0</v>
      </c>
      <c r="AW574" s="315">
        <v>0</v>
      </c>
      <c r="AX574" s="315">
        <v>0</v>
      </c>
      <c r="AY574" s="313">
        <v>0</v>
      </c>
      <c r="AZ574" s="163">
        <v>0</v>
      </c>
      <c r="BA574" s="163">
        <v>0</v>
      </c>
      <c r="BB574" s="163">
        <v>0</v>
      </c>
      <c r="BC574" s="163">
        <v>0</v>
      </c>
      <c r="BD574" s="163">
        <v>0</v>
      </c>
      <c r="BE574" s="163">
        <v>0</v>
      </c>
      <c r="BF574" s="163">
        <v>0</v>
      </c>
      <c r="BG574" s="163">
        <v>0</v>
      </c>
      <c r="BH574" s="163">
        <v>0</v>
      </c>
      <c r="BI574" s="163">
        <v>0</v>
      </c>
      <c r="BJ574" s="163">
        <v>0</v>
      </c>
      <c r="BK574" s="163">
        <v>0</v>
      </c>
      <c r="BL574" s="62">
        <v>0</v>
      </c>
      <c r="BM574" s="275">
        <v>2</v>
      </c>
      <c r="BN574" s="62">
        <v>0</v>
      </c>
      <c r="BO574" s="33" t="s">
        <v>526</v>
      </c>
    </row>
    <row r="575" spans="1:67">
      <c r="A575" s="33" t="str">
        <f>Database_Productkaarten[[#This Row],[Product]]&amp;", "&amp;Database_Productkaarten[[#This Row],[Levensfase]]</f>
        <v>DZOAB - PCR 2.0, B3</v>
      </c>
      <c r="B575" s="33" t="s">
        <v>535</v>
      </c>
      <c r="C575" s="33" t="s">
        <v>483</v>
      </c>
      <c r="D575" s="33" t="s">
        <v>484</v>
      </c>
      <c r="E575" s="33" t="s">
        <v>378</v>
      </c>
      <c r="F575" s="33" t="s">
        <v>81</v>
      </c>
      <c r="L575" s="33">
        <v>2</v>
      </c>
      <c r="M575" s="269">
        <v>1</v>
      </c>
      <c r="N575" s="211">
        <v>0</v>
      </c>
      <c r="O575" s="33">
        <v>14</v>
      </c>
      <c r="P575" s="163">
        <v>0</v>
      </c>
      <c r="Q575" s="163">
        <v>0</v>
      </c>
      <c r="R575" s="163">
        <v>0</v>
      </c>
      <c r="S575" s="163">
        <v>0</v>
      </c>
      <c r="T575" s="163">
        <v>0</v>
      </c>
      <c r="U575" s="163">
        <v>0</v>
      </c>
      <c r="V575" s="163">
        <v>0</v>
      </c>
      <c r="W575" s="163">
        <v>0</v>
      </c>
      <c r="X575" s="163">
        <v>0</v>
      </c>
      <c r="Y575" s="163">
        <v>0</v>
      </c>
      <c r="Z575" s="163">
        <v>0</v>
      </c>
      <c r="AA575" s="163">
        <v>0</v>
      </c>
      <c r="AB575" s="163">
        <v>0</v>
      </c>
      <c r="AC575" s="163">
        <v>0</v>
      </c>
      <c r="AD575" s="163">
        <v>0</v>
      </c>
      <c r="AE575" s="163">
        <v>0</v>
      </c>
      <c r="AF575" s="163">
        <v>0</v>
      </c>
      <c r="AG575" s="163">
        <v>0</v>
      </c>
      <c r="AH575" s="163">
        <v>0</v>
      </c>
      <c r="AI575" s="163">
        <v>0</v>
      </c>
      <c r="AJ575" s="163">
        <v>0</v>
      </c>
      <c r="AK575" s="163">
        <v>0</v>
      </c>
      <c r="AL575" s="163">
        <v>0</v>
      </c>
      <c r="AM575" s="163">
        <v>0</v>
      </c>
      <c r="AN575" s="163">
        <v>0</v>
      </c>
      <c r="AO575" s="163">
        <v>0</v>
      </c>
      <c r="AP575" s="163">
        <v>0</v>
      </c>
      <c r="AQ575" s="163">
        <v>0</v>
      </c>
      <c r="AR575" s="163">
        <v>0</v>
      </c>
      <c r="AS575" s="163">
        <v>0</v>
      </c>
      <c r="AT575" s="163">
        <v>0</v>
      </c>
      <c r="AU575" s="163">
        <v>0</v>
      </c>
      <c r="AV575" s="313">
        <v>0</v>
      </c>
      <c r="AW575" s="315">
        <v>0</v>
      </c>
      <c r="AX575" s="315">
        <v>0</v>
      </c>
      <c r="AY575" s="313">
        <v>0</v>
      </c>
      <c r="AZ575" s="163">
        <v>0</v>
      </c>
      <c r="BA575" s="163">
        <v>0</v>
      </c>
      <c r="BB575" s="163">
        <v>0</v>
      </c>
      <c r="BC575" s="163">
        <v>0</v>
      </c>
      <c r="BD575" s="163">
        <v>0</v>
      </c>
      <c r="BE575" s="163">
        <v>0</v>
      </c>
      <c r="BF575" s="163">
        <v>0</v>
      </c>
      <c r="BG575" s="163">
        <v>0</v>
      </c>
      <c r="BH575" s="163">
        <v>0</v>
      </c>
      <c r="BI575" s="163">
        <v>0</v>
      </c>
      <c r="BJ575" s="163">
        <v>0</v>
      </c>
      <c r="BK575" s="163">
        <v>0</v>
      </c>
      <c r="BL575" s="62">
        <v>0</v>
      </c>
      <c r="BM575" s="275">
        <v>2</v>
      </c>
      <c r="BN575" s="62">
        <v>0</v>
      </c>
      <c r="BO575" s="33" t="s">
        <v>526</v>
      </c>
    </row>
    <row r="576" spans="1:67">
      <c r="A576" s="33" t="str">
        <f>Database_Productkaarten[[#This Row],[Product]]&amp;", "&amp;Database_Productkaarten[[#This Row],[Levensfase]]</f>
        <v>DZOAB - PCR 2.0, B4</v>
      </c>
      <c r="B576" s="33" t="s">
        <v>535</v>
      </c>
      <c r="C576" s="33" t="s">
        <v>483</v>
      </c>
      <c r="D576" s="33" t="s">
        <v>484</v>
      </c>
      <c r="E576" s="33" t="s">
        <v>378</v>
      </c>
      <c r="F576" s="33" t="s">
        <v>82</v>
      </c>
      <c r="L576" s="33">
        <v>2</v>
      </c>
      <c r="M576" s="269">
        <v>1</v>
      </c>
      <c r="N576" s="211">
        <v>0</v>
      </c>
      <c r="O576" s="33">
        <v>14</v>
      </c>
      <c r="P576" s="163">
        <v>0</v>
      </c>
      <c r="Q576" s="163">
        <v>0</v>
      </c>
      <c r="R576" s="163">
        <v>0</v>
      </c>
      <c r="S576" s="163">
        <v>0</v>
      </c>
      <c r="T576" s="163">
        <v>0</v>
      </c>
      <c r="U576" s="163">
        <v>0</v>
      </c>
      <c r="V576" s="163">
        <v>0</v>
      </c>
      <c r="W576" s="163">
        <v>0</v>
      </c>
      <c r="X576" s="163">
        <v>0</v>
      </c>
      <c r="Y576" s="163">
        <v>0</v>
      </c>
      <c r="Z576" s="163">
        <v>0</v>
      </c>
      <c r="AA576" s="163">
        <v>0</v>
      </c>
      <c r="AB576" s="163">
        <v>0</v>
      </c>
      <c r="AC576" s="163">
        <v>0</v>
      </c>
      <c r="AD576" s="163">
        <v>0</v>
      </c>
      <c r="AE576" s="163">
        <v>0</v>
      </c>
      <c r="AF576" s="163">
        <v>0</v>
      </c>
      <c r="AG576" s="163">
        <v>0</v>
      </c>
      <c r="AH576" s="163">
        <v>0</v>
      </c>
      <c r="AI576" s="163">
        <v>0</v>
      </c>
      <c r="AJ576" s="163">
        <v>0</v>
      </c>
      <c r="AK576" s="163">
        <v>0</v>
      </c>
      <c r="AL576" s="163">
        <v>0</v>
      </c>
      <c r="AM576" s="163">
        <v>0</v>
      </c>
      <c r="AN576" s="163">
        <v>0</v>
      </c>
      <c r="AO576" s="163">
        <v>0</v>
      </c>
      <c r="AP576" s="163">
        <v>0</v>
      </c>
      <c r="AQ576" s="163">
        <v>0</v>
      </c>
      <c r="AR576" s="163">
        <v>0</v>
      </c>
      <c r="AS576" s="163">
        <v>0</v>
      </c>
      <c r="AT576" s="163">
        <v>0</v>
      </c>
      <c r="AU576" s="163">
        <v>0</v>
      </c>
      <c r="AV576" s="313">
        <v>0</v>
      </c>
      <c r="AW576" s="315">
        <v>0</v>
      </c>
      <c r="AX576" s="315">
        <v>0</v>
      </c>
      <c r="AY576" s="313">
        <v>0</v>
      </c>
      <c r="AZ576" s="163">
        <v>0</v>
      </c>
      <c r="BA576" s="163">
        <v>0</v>
      </c>
      <c r="BB576" s="163">
        <v>0</v>
      </c>
      <c r="BC576" s="163">
        <v>0</v>
      </c>
      <c r="BD576" s="163">
        <v>0</v>
      </c>
      <c r="BE576" s="163">
        <v>0</v>
      </c>
      <c r="BF576" s="163">
        <v>0</v>
      </c>
      <c r="BG576" s="163">
        <v>0</v>
      </c>
      <c r="BH576" s="163">
        <v>0</v>
      </c>
      <c r="BI576" s="163">
        <v>0</v>
      </c>
      <c r="BJ576" s="163">
        <v>0</v>
      </c>
      <c r="BK576" s="163">
        <v>0</v>
      </c>
      <c r="BL576" s="62">
        <v>0</v>
      </c>
      <c r="BM576" s="275">
        <v>2</v>
      </c>
      <c r="BN576" s="62">
        <v>0</v>
      </c>
      <c r="BO576" s="33" t="s">
        <v>526</v>
      </c>
    </row>
    <row r="577" spans="1:67">
      <c r="A577" s="33" t="str">
        <f>Database_Productkaarten[[#This Row],[Product]]&amp;", "&amp;Database_Productkaarten[[#This Row],[Levensfase]]</f>
        <v>DZOAB - PCR 2.0, B5</v>
      </c>
      <c r="B577" s="33" t="s">
        <v>535</v>
      </c>
      <c r="C577" s="33" t="s">
        <v>483</v>
      </c>
      <c r="D577" s="33" t="s">
        <v>484</v>
      </c>
      <c r="E577" s="33" t="s">
        <v>378</v>
      </c>
      <c r="F577" s="33" t="s">
        <v>528</v>
      </c>
      <c r="L577" s="33">
        <v>2</v>
      </c>
      <c r="M577" s="269">
        <v>1</v>
      </c>
      <c r="N577" s="211">
        <v>0</v>
      </c>
      <c r="O577" s="33">
        <v>14</v>
      </c>
      <c r="P577" s="163">
        <v>0</v>
      </c>
      <c r="Q577" s="163">
        <v>0</v>
      </c>
      <c r="R577" s="163">
        <v>0</v>
      </c>
      <c r="S577" s="163">
        <v>0</v>
      </c>
      <c r="T577" s="163">
        <v>0</v>
      </c>
      <c r="U577" s="163">
        <v>0</v>
      </c>
      <c r="V577" s="163">
        <v>0</v>
      </c>
      <c r="W577" s="163">
        <v>0</v>
      </c>
      <c r="X577" s="163">
        <v>0</v>
      </c>
      <c r="Y577" s="163">
        <v>0</v>
      </c>
      <c r="Z577" s="163">
        <v>0</v>
      </c>
      <c r="AA577" s="163">
        <v>0</v>
      </c>
      <c r="AB577" s="163">
        <v>0</v>
      </c>
      <c r="AC577" s="163">
        <v>0</v>
      </c>
      <c r="AD577" s="163">
        <v>0</v>
      </c>
      <c r="AE577" s="163">
        <v>0</v>
      </c>
      <c r="AF577" s="163">
        <v>0</v>
      </c>
      <c r="AG577" s="163">
        <v>0</v>
      </c>
      <c r="AH577" s="163">
        <v>0</v>
      </c>
      <c r="AI577" s="163">
        <v>0</v>
      </c>
      <c r="AJ577" s="163">
        <v>0</v>
      </c>
      <c r="AK577" s="163">
        <v>0</v>
      </c>
      <c r="AL577" s="163">
        <v>0</v>
      </c>
      <c r="AM577" s="163">
        <v>0</v>
      </c>
      <c r="AN577" s="163">
        <v>0</v>
      </c>
      <c r="AO577" s="163">
        <v>0</v>
      </c>
      <c r="AP577" s="163">
        <v>0</v>
      </c>
      <c r="AQ577" s="163">
        <v>0</v>
      </c>
      <c r="AR577" s="163">
        <v>0</v>
      </c>
      <c r="AS577" s="163">
        <v>0</v>
      </c>
      <c r="AT577" s="163">
        <v>0</v>
      </c>
      <c r="AU577" s="163">
        <v>0</v>
      </c>
      <c r="AV577" s="313">
        <v>0</v>
      </c>
      <c r="AW577" s="315">
        <v>0</v>
      </c>
      <c r="AX577" s="315">
        <v>0</v>
      </c>
      <c r="AY577" s="313">
        <v>0</v>
      </c>
      <c r="AZ577" s="163">
        <v>0</v>
      </c>
      <c r="BA577" s="163">
        <v>0</v>
      </c>
      <c r="BB577" s="163">
        <v>0</v>
      </c>
      <c r="BC577" s="163">
        <v>0</v>
      </c>
      <c r="BD577" s="163">
        <v>0</v>
      </c>
      <c r="BE577" s="163">
        <v>0</v>
      </c>
      <c r="BF577" s="163">
        <v>0</v>
      </c>
      <c r="BG577" s="163">
        <v>0</v>
      </c>
      <c r="BH577" s="163">
        <v>0</v>
      </c>
      <c r="BI577" s="163">
        <v>0</v>
      </c>
      <c r="BJ577" s="163">
        <v>0</v>
      </c>
      <c r="BK577" s="163">
        <v>0</v>
      </c>
      <c r="BL577" s="62">
        <v>0</v>
      </c>
      <c r="BM577" s="275">
        <v>2</v>
      </c>
      <c r="BN577" s="62">
        <v>0</v>
      </c>
      <c r="BO577" s="33" t="s">
        <v>526</v>
      </c>
    </row>
    <row r="578" spans="1:67">
      <c r="A578" s="33" t="str">
        <f>Database_Productkaarten[[#This Row],[Product]]&amp;", "&amp;Database_Productkaarten[[#This Row],[Levensfase]]</f>
        <v>DZOAB - PCR 2.0, C1</v>
      </c>
      <c r="B578" s="33" t="s">
        <v>535</v>
      </c>
      <c r="C578" s="33" t="s">
        <v>483</v>
      </c>
      <c r="D578" s="33" t="s">
        <v>484</v>
      </c>
      <c r="E578" s="33" t="s">
        <v>378</v>
      </c>
      <c r="F578" s="33" t="s">
        <v>83</v>
      </c>
      <c r="L578" s="33">
        <v>2</v>
      </c>
      <c r="M578" s="269">
        <v>1</v>
      </c>
      <c r="N578" s="211">
        <v>0.17627297103268477</v>
      </c>
      <c r="O578" s="33">
        <v>14</v>
      </c>
      <c r="P578" s="163">
        <v>2.1676591314068E-6</v>
      </c>
      <c r="Q578" s="163">
        <v>9.2211787852765296E-3</v>
      </c>
      <c r="R578" s="163">
        <v>1.8753406265180499</v>
      </c>
      <c r="S578" s="163">
        <v>2.42339874967592E-7</v>
      </c>
      <c r="T578" s="163">
        <v>6.1516414921984597E-4</v>
      </c>
      <c r="U578" s="163">
        <v>5.3270131355974398E-3</v>
      </c>
      <c r="V578" s="163">
        <v>1.14380048663484E-3</v>
      </c>
      <c r="W578" s="163">
        <v>0.504712392315111</v>
      </c>
      <c r="X578" s="163">
        <v>7.1932175079385697E-3</v>
      </c>
      <c r="Y578" s="163">
        <v>24.993260633397899</v>
      </c>
      <c r="Z578" s="163">
        <v>8.51849365783606E-4</v>
      </c>
      <c r="AA578" s="163">
        <v>1.88685402682583</v>
      </c>
      <c r="AB578" s="163">
        <v>1.88631234041608</v>
      </c>
      <c r="AC578" s="163">
        <v>4.31445918861195E-4</v>
      </c>
      <c r="AD578" s="163">
        <v>1.10240490886573E-4</v>
      </c>
      <c r="AE578" s="163">
        <v>3.0535781389039202E-7</v>
      </c>
      <c r="AF578" s="163">
        <v>7.2305079323222096E-3</v>
      </c>
      <c r="AG578" s="163">
        <v>5.1504986947556099E-6</v>
      </c>
      <c r="AH578" s="163">
        <v>2.8044717855210599E-3</v>
      </c>
      <c r="AI578" s="163">
        <v>3.08259061506399E-2</v>
      </c>
      <c r="AJ578" s="163">
        <v>8.42421209813639E-3</v>
      </c>
      <c r="AK578" s="163">
        <v>2.1676421215263001E-6</v>
      </c>
      <c r="AL578" s="163">
        <v>19.456124427110701</v>
      </c>
      <c r="AM578" s="163">
        <v>2.5912379722169698E-2</v>
      </c>
      <c r="AN578" s="163">
        <v>2.9948141779349198E-8</v>
      </c>
      <c r="AO578" s="163">
        <v>8.3507493080843695E-2</v>
      </c>
      <c r="AP578" s="163">
        <v>11.673738177703401</v>
      </c>
      <c r="AQ578" s="163">
        <v>4.0957602093495501E-10</v>
      </c>
      <c r="AR578" s="163">
        <v>8.19489585454959E-9</v>
      </c>
      <c r="AS578" s="163">
        <v>2.4850957556233899</v>
      </c>
      <c r="AT578" s="163">
        <v>0</v>
      </c>
      <c r="AU578" s="163">
        <v>0</v>
      </c>
      <c r="AV578" s="313">
        <v>0.1069405253081</v>
      </c>
      <c r="AW578" s="315">
        <v>0</v>
      </c>
      <c r="AX578" s="315">
        <v>0</v>
      </c>
      <c r="AY578" s="313">
        <v>20.661788776718801</v>
      </c>
      <c r="AZ578" s="163">
        <v>0</v>
      </c>
      <c r="BA578" s="163">
        <v>0</v>
      </c>
      <c r="BB578" s="163">
        <v>0</v>
      </c>
      <c r="BC578" s="163">
        <v>1.00575263830402E-3</v>
      </c>
      <c r="BD578" s="163">
        <v>5.29842222079716E-5</v>
      </c>
      <c r="BE578" s="163">
        <v>2.30218812719571E-2</v>
      </c>
      <c r="BF578" s="163">
        <v>1.3522110885505299E-4</v>
      </c>
      <c r="BG578" s="163">
        <v>0</v>
      </c>
      <c r="BH578" s="163">
        <v>0</v>
      </c>
      <c r="BI578" s="163">
        <v>0</v>
      </c>
      <c r="BJ578" s="163">
        <v>0</v>
      </c>
      <c r="BK578" s="163">
        <v>0</v>
      </c>
      <c r="BL578" s="62">
        <v>0</v>
      </c>
      <c r="BM578" s="275">
        <v>2</v>
      </c>
      <c r="BN578" s="62">
        <v>0</v>
      </c>
      <c r="BO578" s="33" t="s">
        <v>526</v>
      </c>
    </row>
    <row r="579" spans="1:67">
      <c r="A579" s="33" t="str">
        <f>Database_Productkaarten[[#This Row],[Product]]&amp;", "&amp;Database_Productkaarten[[#This Row],[Levensfase]]</f>
        <v>DZOAB - PCR 2.0, C2</v>
      </c>
      <c r="B579" s="33" t="s">
        <v>535</v>
      </c>
      <c r="C579" s="33" t="s">
        <v>483</v>
      </c>
      <c r="D579" s="33" t="s">
        <v>484</v>
      </c>
      <c r="E579" s="33" t="s">
        <v>378</v>
      </c>
      <c r="F579" s="33" t="s">
        <v>84</v>
      </c>
      <c r="L579" s="33">
        <v>2</v>
      </c>
      <c r="M579" s="269">
        <v>1</v>
      </c>
      <c r="N579" s="211">
        <v>0.31791357541832999</v>
      </c>
      <c r="O579" s="33">
        <v>14</v>
      </c>
      <c r="P579" s="163">
        <v>7.2195843000000002E-5</v>
      </c>
      <c r="Q579" s="163">
        <v>2.5045429500000001E-2</v>
      </c>
      <c r="R579" s="163">
        <v>3.2726104581</v>
      </c>
      <c r="S579" s="163">
        <v>6.2448211500000004E-7</v>
      </c>
      <c r="T579" s="163">
        <v>2.3663202E-3</v>
      </c>
      <c r="U579" s="163">
        <v>9.9103019999999993E-3</v>
      </c>
      <c r="V579" s="163">
        <v>1.66070541E-3</v>
      </c>
      <c r="W579" s="163">
        <v>0.89062466159999998</v>
      </c>
      <c r="X579" s="163">
        <v>3.5055542699999998E-2</v>
      </c>
      <c r="Y579" s="163">
        <v>92.682047400000002</v>
      </c>
      <c r="Z579" s="163">
        <v>7.4868390000000003E-3</v>
      </c>
      <c r="AA579" s="163">
        <v>3.3150718431000001</v>
      </c>
      <c r="AB579" s="163">
        <v>3.3001817481</v>
      </c>
      <c r="AC579" s="163">
        <v>1.3607189190000001E-2</v>
      </c>
      <c r="AD579" s="163">
        <v>1.2829113599999999E-3</v>
      </c>
      <c r="AE579" s="163">
        <v>7.8107336699999998E-7</v>
      </c>
      <c r="AF579" s="163">
        <v>1.2482505E-2</v>
      </c>
      <c r="AG579" s="163">
        <v>3.4632532799999998E-5</v>
      </c>
      <c r="AH579" s="163">
        <v>2.8897329300000001E-3</v>
      </c>
      <c r="AI579" s="163">
        <v>3.3662059799999998E-2</v>
      </c>
      <c r="AJ579" s="163">
        <v>1.2098522699999999E-2</v>
      </c>
      <c r="AK579" s="163">
        <v>7.2195510000000004E-5</v>
      </c>
      <c r="AL579" s="163">
        <v>52.307882313</v>
      </c>
      <c r="AM579" s="163">
        <v>0.28570883850000001</v>
      </c>
      <c r="AN579" s="163">
        <v>2.8544027399999998E-7</v>
      </c>
      <c r="AO579" s="163">
        <v>0.22308385950000001</v>
      </c>
      <c r="AP579" s="163">
        <v>50.61443379</v>
      </c>
      <c r="AQ579" s="163">
        <v>1.35209877E-9</v>
      </c>
      <c r="AR579" s="163">
        <v>4.3221490799999998E-8</v>
      </c>
      <c r="AS579" s="163">
        <v>98.528772599999996</v>
      </c>
      <c r="AT579" s="163">
        <v>8.065825212</v>
      </c>
      <c r="AU579" s="163">
        <v>0</v>
      </c>
      <c r="AV579" s="313">
        <v>8.6963547624000004</v>
      </c>
      <c r="AW579" s="315">
        <v>0.70667511750000001</v>
      </c>
      <c r="AX579" s="315">
        <v>9.926829900000001E-4</v>
      </c>
      <c r="AY579" s="313">
        <v>55.561210727999999</v>
      </c>
      <c r="AZ579" s="163">
        <v>0</v>
      </c>
      <c r="BA579" s="163">
        <v>0</v>
      </c>
      <c r="BB579" s="163">
        <v>0</v>
      </c>
      <c r="BC579" s="163">
        <v>8.7338241000000007E-3</v>
      </c>
      <c r="BD579" s="163">
        <v>1.5376752299999999E-4</v>
      </c>
      <c r="BE579" s="163">
        <v>5.5583861609999996</v>
      </c>
      <c r="BF579" s="163">
        <v>3.4865666099999999E-4</v>
      </c>
      <c r="BG579" s="163">
        <v>0</v>
      </c>
      <c r="BH579" s="163">
        <v>0</v>
      </c>
      <c r="BI579" s="163">
        <v>0</v>
      </c>
      <c r="BJ579" s="163">
        <v>0</v>
      </c>
      <c r="BK579" s="163">
        <v>0</v>
      </c>
      <c r="BL579" s="62">
        <v>0</v>
      </c>
      <c r="BM579" s="275">
        <v>2</v>
      </c>
      <c r="BN579" s="62">
        <v>0</v>
      </c>
      <c r="BO579" s="33" t="s">
        <v>526</v>
      </c>
    </row>
    <row r="580" spans="1:67">
      <c r="A580" s="33" t="str">
        <f>Database_Productkaarten[[#This Row],[Product]]&amp;", "&amp;Database_Productkaarten[[#This Row],[Levensfase]]</f>
        <v>DZOAB - PCR 2.0, C3</v>
      </c>
      <c r="B580" s="33" t="s">
        <v>535</v>
      </c>
      <c r="C580" s="33" t="s">
        <v>483</v>
      </c>
      <c r="D580" s="33" t="s">
        <v>484</v>
      </c>
      <c r="E580" s="33" t="s">
        <v>378</v>
      </c>
      <c r="F580" s="33" t="s">
        <v>85</v>
      </c>
      <c r="L580" s="33">
        <v>2</v>
      </c>
      <c r="M580" s="269">
        <v>1</v>
      </c>
      <c r="N580" s="211">
        <v>0.15929996476235939</v>
      </c>
      <c r="O580" s="33">
        <v>14</v>
      </c>
      <c r="P580" s="163">
        <v>1.8651950665593399E-6</v>
      </c>
      <c r="Q580" s="163">
        <v>7.9345026757030503E-3</v>
      </c>
      <c r="R580" s="163">
        <v>1.6136651902597201</v>
      </c>
      <c r="S580" s="163">
        <v>2.08525008693044E-7</v>
      </c>
      <c r="T580" s="163">
        <v>5.8559282845998303E-4</v>
      </c>
      <c r="U580" s="163">
        <v>5.7290956050483196E-3</v>
      </c>
      <c r="V580" s="163">
        <v>1.28200094198795E-3</v>
      </c>
      <c r="W580" s="163">
        <v>0.43705340678974602</v>
      </c>
      <c r="X580" s="163">
        <v>6.189512739389E-3</v>
      </c>
      <c r="Y580" s="163">
        <v>21.505828917109799</v>
      </c>
      <c r="Z580" s="163">
        <v>7.3298666358124597E-4</v>
      </c>
      <c r="AA580" s="163">
        <v>1.62432602375711</v>
      </c>
      <c r="AB580" s="163">
        <v>1.62385992149756</v>
      </c>
      <c r="AC580" s="163">
        <v>3.7124416274102997E-4</v>
      </c>
      <c r="AD580" s="163">
        <v>9.4858096809376601E-5</v>
      </c>
      <c r="AE580" s="163">
        <v>2.6274974683591799E-7</v>
      </c>
      <c r="AF580" s="163">
        <v>7.9167720580437598E-3</v>
      </c>
      <c r="AG580" s="163">
        <v>4.4318244582780996E-6</v>
      </c>
      <c r="AH580" s="163">
        <v>3.3042609375408898E-3</v>
      </c>
      <c r="AI580" s="163">
        <v>3.62833109900801E-2</v>
      </c>
      <c r="AJ580" s="163">
        <v>9.6537099756043993E-3</v>
      </c>
      <c r="AK580" s="163">
        <v>1.8651804301505401E-6</v>
      </c>
      <c r="AL580" s="163">
        <v>16.7413163675138</v>
      </c>
      <c r="AM580" s="163">
        <v>2.2296698830704099E-2</v>
      </c>
      <c r="AN580" s="163">
        <v>3.0576571382460597E-8</v>
      </c>
      <c r="AO580" s="163">
        <v>7.1855284743981701E-2</v>
      </c>
      <c r="AP580" s="163">
        <v>10.0456498413344</v>
      </c>
      <c r="AQ580" s="163">
        <v>3.5242587847891602E-10</v>
      </c>
      <c r="AR580" s="163">
        <v>7.5755651599081901E-9</v>
      </c>
      <c r="AS580" s="163">
        <v>2.1383382083271001</v>
      </c>
      <c r="AT580" s="163">
        <v>0</v>
      </c>
      <c r="AU580" s="163">
        <v>0</v>
      </c>
      <c r="AV580" s="313">
        <v>9.2018591544179101E-2</v>
      </c>
      <c r="AW580" s="315">
        <v>0</v>
      </c>
      <c r="AX580" s="315">
        <v>0</v>
      </c>
      <c r="AY580" s="313">
        <v>17.778748482292901</v>
      </c>
      <c r="AZ580" s="163">
        <v>0</v>
      </c>
      <c r="BA580" s="163">
        <v>0</v>
      </c>
      <c r="BB580" s="163">
        <v>0</v>
      </c>
      <c r="BC580" s="163">
        <v>8.6541506086625195E-4</v>
      </c>
      <c r="BD580" s="163">
        <v>4.5591074923138397E-5</v>
      </c>
      <c r="BE580" s="163">
        <v>1.9809525745637501E-2</v>
      </c>
      <c r="BF580" s="163">
        <v>1.16353047154348E-4</v>
      </c>
      <c r="BG580" s="163">
        <v>0</v>
      </c>
      <c r="BH580" s="163">
        <v>1000</v>
      </c>
      <c r="BI580" s="163">
        <v>0</v>
      </c>
      <c r="BJ580" s="163">
        <v>0</v>
      </c>
      <c r="BK580" s="163">
        <v>0</v>
      </c>
      <c r="BL580" s="62">
        <v>0</v>
      </c>
      <c r="BM580" s="275">
        <v>2</v>
      </c>
      <c r="BN580" s="62">
        <v>0</v>
      </c>
      <c r="BO580" s="33" t="s">
        <v>526</v>
      </c>
    </row>
    <row r="581" spans="1:67">
      <c r="A581" s="33" t="str">
        <f>Database_Productkaarten[[#This Row],[Product]]&amp;", "&amp;Database_Productkaarten[[#This Row],[Levensfase]]</f>
        <v>DZOAB - PCR 2.0, C4</v>
      </c>
      <c r="B581" s="33" t="s">
        <v>535</v>
      </c>
      <c r="C581" s="33" t="s">
        <v>483</v>
      </c>
      <c r="D581" s="33" t="s">
        <v>484</v>
      </c>
      <c r="E581" s="33" t="s">
        <v>378</v>
      </c>
      <c r="F581" s="33" t="s">
        <v>86</v>
      </c>
      <c r="L581" s="33">
        <v>2</v>
      </c>
      <c r="M581" s="269">
        <v>1</v>
      </c>
      <c r="N581" s="211">
        <v>0</v>
      </c>
      <c r="O581" s="33">
        <v>14</v>
      </c>
      <c r="P581" s="163">
        <v>0</v>
      </c>
      <c r="Q581" s="163">
        <v>0</v>
      </c>
      <c r="R581" s="163">
        <v>0</v>
      </c>
      <c r="S581" s="163">
        <v>0</v>
      </c>
      <c r="T581" s="163">
        <v>0</v>
      </c>
      <c r="U581" s="163">
        <v>0</v>
      </c>
      <c r="V581" s="163">
        <v>0</v>
      </c>
      <c r="W581" s="163">
        <v>0</v>
      </c>
      <c r="X581" s="163">
        <v>0</v>
      </c>
      <c r="Y581" s="163">
        <v>0</v>
      </c>
      <c r="Z581" s="163">
        <v>0</v>
      </c>
      <c r="AA581" s="163">
        <v>0</v>
      </c>
      <c r="AB581" s="163">
        <v>0</v>
      </c>
      <c r="AC581" s="163">
        <v>0</v>
      </c>
      <c r="AD581" s="163">
        <v>0</v>
      </c>
      <c r="AE581" s="163">
        <v>0</v>
      </c>
      <c r="AF581" s="163">
        <v>0</v>
      </c>
      <c r="AG581" s="163">
        <v>0</v>
      </c>
      <c r="AH581" s="163">
        <v>0</v>
      </c>
      <c r="AI581" s="163">
        <v>0</v>
      </c>
      <c r="AJ581" s="163">
        <v>0</v>
      </c>
      <c r="AK581" s="163">
        <v>0</v>
      </c>
      <c r="AL581" s="163">
        <v>0</v>
      </c>
      <c r="AM581" s="163">
        <v>0</v>
      </c>
      <c r="AN581" s="163">
        <v>0</v>
      </c>
      <c r="AO581" s="163">
        <v>0</v>
      </c>
      <c r="AP581" s="163">
        <v>0</v>
      </c>
      <c r="AQ581" s="163">
        <v>0</v>
      </c>
      <c r="AR581" s="163">
        <v>0</v>
      </c>
      <c r="AS581" s="163">
        <v>0</v>
      </c>
      <c r="AT581" s="163">
        <v>0</v>
      </c>
      <c r="AU581" s="163">
        <v>0</v>
      </c>
      <c r="AV581" s="313">
        <v>0</v>
      </c>
      <c r="AW581" s="315">
        <v>0</v>
      </c>
      <c r="AX581" s="315">
        <v>0</v>
      </c>
      <c r="AY581" s="313">
        <v>0</v>
      </c>
      <c r="AZ581" s="163">
        <v>0</v>
      </c>
      <c r="BA581" s="163">
        <v>0</v>
      </c>
      <c r="BB581" s="163">
        <v>0</v>
      </c>
      <c r="BC581" s="163">
        <v>0</v>
      </c>
      <c r="BD581" s="163">
        <v>0</v>
      </c>
      <c r="BE581" s="163">
        <v>0</v>
      </c>
      <c r="BF581" s="163">
        <v>0</v>
      </c>
      <c r="BG581" s="163">
        <v>0</v>
      </c>
      <c r="BH581" s="163">
        <v>0</v>
      </c>
      <c r="BI581" s="163">
        <v>0</v>
      </c>
      <c r="BJ581" s="163">
        <v>0</v>
      </c>
      <c r="BK581" s="163">
        <v>0</v>
      </c>
      <c r="BL581" s="62">
        <v>0</v>
      </c>
      <c r="BM581" s="275">
        <v>2</v>
      </c>
      <c r="BN581" s="62">
        <v>0</v>
      </c>
      <c r="BO581" s="33" t="s">
        <v>526</v>
      </c>
    </row>
    <row r="582" spans="1:67">
      <c r="A582" s="33" t="str">
        <f>Database_Productkaarten[[#This Row],[Product]]&amp;", "&amp;Database_Productkaarten[[#This Row],[Levensfase]]</f>
        <v>DZOAB - PCR 2.0, D</v>
      </c>
      <c r="B582" s="33" t="s">
        <v>535</v>
      </c>
      <c r="C582" s="33" t="s">
        <v>483</v>
      </c>
      <c r="D582" s="33" t="s">
        <v>484</v>
      </c>
      <c r="E582" s="33" t="s">
        <v>378</v>
      </c>
      <c r="F582" s="33" t="s">
        <v>89</v>
      </c>
      <c r="L582" s="33">
        <v>2</v>
      </c>
      <c r="M582" s="269">
        <v>1</v>
      </c>
      <c r="N582" s="211">
        <v>-3.4527744990800007</v>
      </c>
      <c r="O582" s="33">
        <v>14</v>
      </c>
      <c r="P582" s="163">
        <v>-4.7535578220086902E-4</v>
      </c>
      <c r="Q582" s="163">
        <v>-0.56964134205840999</v>
      </c>
      <c r="R582" s="163">
        <v>-25.564877620448598</v>
      </c>
      <c r="S582" s="163">
        <v>-2.2242619571622801E-6</v>
      </c>
      <c r="T582" s="163">
        <v>-6.15551930760109E-2</v>
      </c>
      <c r="U582" s="163">
        <v>-0.18188482217443</v>
      </c>
      <c r="V582" s="163">
        <v>-1.8270300674484801E-2</v>
      </c>
      <c r="W582" s="163">
        <v>-7.2354795483857997</v>
      </c>
      <c r="X582" s="163">
        <v>-0.87973260638807504</v>
      </c>
      <c r="Y582" s="163">
        <v>-3835.04341878792</v>
      </c>
      <c r="Z582" s="163">
        <v>-0.117889303318275</v>
      </c>
      <c r="AA582" s="163">
        <v>-7.6577185879346699</v>
      </c>
      <c r="AB582" s="163">
        <v>-7.5582332677934696</v>
      </c>
      <c r="AC582" s="163">
        <v>-8.9696752284863998E-2</v>
      </c>
      <c r="AD582" s="163">
        <v>-9.7885678563492395E-3</v>
      </c>
      <c r="AE582" s="163">
        <v>-9.9167434806540098E-7</v>
      </c>
      <c r="AF582" s="163">
        <v>-7.5835073869476605E-2</v>
      </c>
      <c r="AG582" s="163">
        <v>-3.3014585045653902E-4</v>
      </c>
      <c r="AH582" s="163">
        <v>-2.2439112074151401E-2</v>
      </c>
      <c r="AI582" s="163">
        <v>-0.28626517264842399</v>
      </c>
      <c r="AJ582" s="163">
        <v>-6.9527525610423302E-2</v>
      </c>
      <c r="AK582" s="163">
        <v>-4.7279551726134398E-4</v>
      </c>
      <c r="AL582" s="163">
        <v>-110.61549272738201</v>
      </c>
      <c r="AM582" s="163">
        <v>-26.554741169337799</v>
      </c>
      <c r="AN582" s="163">
        <v>-1.08518746542871E-6</v>
      </c>
      <c r="AO582" s="163">
        <v>-0.60359786458837295</v>
      </c>
      <c r="AP582" s="163">
        <v>-1136.01104781356</v>
      </c>
      <c r="AQ582" s="163">
        <v>-5.7051655948795604E-9</v>
      </c>
      <c r="AR582" s="163">
        <v>-1.29094836186967E-7</v>
      </c>
      <c r="AS582" s="163">
        <v>-1392.4659087047601</v>
      </c>
      <c r="AT582" s="163">
        <v>0</v>
      </c>
      <c r="AU582" s="163">
        <v>0</v>
      </c>
      <c r="AV582" s="313">
        <v>-13.975226084816899</v>
      </c>
      <c r="AW582" s="315">
        <v>0</v>
      </c>
      <c r="AX582" s="315">
        <v>0</v>
      </c>
      <c r="AY582" s="313">
        <v>-1287.64411094244</v>
      </c>
      <c r="AZ582" s="163">
        <v>0</v>
      </c>
      <c r="BA582" s="163">
        <v>0</v>
      </c>
      <c r="BB582" s="163">
        <v>0</v>
      </c>
      <c r="BC582" s="163">
        <v>-13.6659630578147</v>
      </c>
      <c r="BD582" s="163">
        <v>-6.1429435980352501E-4</v>
      </c>
      <c r="BE582" s="163">
        <v>-2.3469478213183499</v>
      </c>
      <c r="BF582" s="163">
        <v>-7.8606335079556603E-4</v>
      </c>
      <c r="BG582" s="163">
        <v>0</v>
      </c>
      <c r="BH582" s="163">
        <v>0</v>
      </c>
      <c r="BI582" s="163">
        <v>0</v>
      </c>
      <c r="BJ582" s="163">
        <v>0</v>
      </c>
      <c r="BK582" s="163">
        <v>0</v>
      </c>
      <c r="BL582" s="62">
        <v>0</v>
      </c>
      <c r="BM582" s="275">
        <v>2</v>
      </c>
      <c r="BN582" s="62">
        <v>0</v>
      </c>
      <c r="BO582" s="33" t="s">
        <v>526</v>
      </c>
    </row>
    <row r="583" spans="1:67">
      <c r="A583" s="33" t="str">
        <f>Database_Productkaarten[[#This Row],[Product]]&amp;", "&amp;Database_Productkaarten[[#This Row],[Levensfase]]</f>
        <v>DZOAB 30% PR - PCR 2.0, Totaal</v>
      </c>
      <c r="B583" s="33" t="s">
        <v>536</v>
      </c>
      <c r="C583" s="33" t="s">
        <v>483</v>
      </c>
      <c r="D583" s="33" t="s">
        <v>484</v>
      </c>
      <c r="E583" s="33" t="s">
        <v>378</v>
      </c>
      <c r="F583" s="33" t="s">
        <v>90</v>
      </c>
      <c r="L583" s="33">
        <v>2</v>
      </c>
      <c r="M583" s="269">
        <v>1</v>
      </c>
      <c r="N583" s="41">
        <f>SUM(N584:N599)</f>
        <v>18.281048526602795</v>
      </c>
      <c r="O583" s="33">
        <v>14</v>
      </c>
      <c r="P583" s="40">
        <f>SUM(P584:P599)</f>
        <v>1.4143787187503247E-3</v>
      </c>
      <c r="Q583" s="40">
        <f t="shared" ref="Q583:BK583" si="65">SUM(Q584:Q599)</f>
        <v>2.1884137514507334</v>
      </c>
      <c r="R583" s="40">
        <f t="shared" si="65"/>
        <v>153.77869923643254</v>
      </c>
      <c r="S583" s="40">
        <f t="shared" si="65"/>
        <v>1.6366759242250872E-5</v>
      </c>
      <c r="T583" s="40">
        <f t="shared" si="65"/>
        <v>0.20654223109558323</v>
      </c>
      <c r="U583" s="40">
        <f t="shared" si="65"/>
        <v>0.87391143945516148</v>
      </c>
      <c r="V583" s="40">
        <f t="shared" si="65"/>
        <v>9.8973863365358503E-2</v>
      </c>
      <c r="W583" s="40">
        <f t="shared" si="65"/>
        <v>40.784518245843486</v>
      </c>
      <c r="X583" s="40">
        <f t="shared" si="65"/>
        <v>6.0107124054558332</v>
      </c>
      <c r="Y583" s="40">
        <f t="shared" si="65"/>
        <v>15656.538110312273</v>
      </c>
      <c r="Z583" s="40">
        <f t="shared" si="65"/>
        <v>0.41955409259873055</v>
      </c>
      <c r="AA583" s="40">
        <f t="shared" si="65"/>
        <v>172.51336708629131</v>
      </c>
      <c r="AB583" s="40">
        <f t="shared" si="65"/>
        <v>172.43984005943449</v>
      </c>
      <c r="AC583" s="40">
        <f t="shared" si="65"/>
        <v>4.6883031969229105E-2</v>
      </c>
      <c r="AD583" s="40">
        <f t="shared" si="65"/>
        <v>7.8391178237503342E-2</v>
      </c>
      <c r="AE583" s="40">
        <f t="shared" si="65"/>
        <v>2.0873683139921305E-5</v>
      </c>
      <c r="AF583" s="40">
        <f t="shared" si="65"/>
        <v>1.1789672121438197</v>
      </c>
      <c r="AG583" s="40">
        <f t="shared" si="65"/>
        <v>1.7459500180756642E-3</v>
      </c>
      <c r="AH583" s="40">
        <f t="shared" si="65"/>
        <v>0.24559529928342885</v>
      </c>
      <c r="AI583" s="40">
        <f t="shared" si="65"/>
        <v>2.668536794780358</v>
      </c>
      <c r="AJ583" s="40">
        <f t="shared" si="65"/>
        <v>1.0917311611819189</v>
      </c>
      <c r="AK583" s="40">
        <f t="shared" si="65"/>
        <v>1.4160532435815647E-3</v>
      </c>
      <c r="AL583" s="40">
        <f t="shared" si="65"/>
        <v>5318.0319959357957</v>
      </c>
      <c r="AM583" s="40">
        <f t="shared" si="65"/>
        <v>47.34813860778376</v>
      </c>
      <c r="AN583" s="40">
        <f t="shared" si="65"/>
        <v>5.3984193474490891E-6</v>
      </c>
      <c r="AO583" s="40">
        <f t="shared" si="65"/>
        <v>4.8632216650407942</v>
      </c>
      <c r="AP583" s="40">
        <f t="shared" si="65"/>
        <v>7564.9846902751269</v>
      </c>
      <c r="AQ583" s="40">
        <f t="shared" si="65"/>
        <v>4.8349344203343139E-8</v>
      </c>
      <c r="AR583" s="40">
        <f t="shared" si="65"/>
        <v>1.7873412675599641E-6</v>
      </c>
      <c r="AS583" s="40">
        <f t="shared" si="65"/>
        <v>3578.8316830933154</v>
      </c>
      <c r="AT583" s="40">
        <f t="shared" si="65"/>
        <v>8.065825212</v>
      </c>
      <c r="AU583" s="40">
        <f t="shared" si="65"/>
        <v>0</v>
      </c>
      <c r="AV583" s="313">
        <f t="shared" si="65"/>
        <v>69.995661671241365</v>
      </c>
      <c r="AW583" s="317">
        <f t="shared" si="65"/>
        <v>0.70667511750000001</v>
      </c>
      <c r="AX583" s="317">
        <f t="shared" si="65"/>
        <v>9.926829900000001E-4</v>
      </c>
      <c r="AY583" s="313">
        <f t="shared" si="65"/>
        <v>4864.4676879611061</v>
      </c>
      <c r="AZ583" s="40">
        <f t="shared" si="65"/>
        <v>600</v>
      </c>
      <c r="BA583" s="40">
        <f t="shared" si="65"/>
        <v>0</v>
      </c>
      <c r="BB583" s="40">
        <f t="shared" si="65"/>
        <v>0</v>
      </c>
      <c r="BC583" s="40">
        <f t="shared" si="65"/>
        <v>-7.8921767745393137</v>
      </c>
      <c r="BD583" s="40">
        <f t="shared" si="65"/>
        <v>3.1563796072798106E-3</v>
      </c>
      <c r="BE583" s="40">
        <f t="shared" si="65"/>
        <v>22.835915154955948</v>
      </c>
      <c r="BF583" s="40">
        <f t="shared" si="65"/>
        <v>5.4890002471081802E-3</v>
      </c>
      <c r="BG583" s="40">
        <f t="shared" si="65"/>
        <v>0</v>
      </c>
      <c r="BH583" s="40">
        <f t="shared" si="65"/>
        <v>1000</v>
      </c>
      <c r="BI583" s="40">
        <f t="shared" si="65"/>
        <v>0</v>
      </c>
      <c r="BJ583" s="40">
        <f t="shared" si="65"/>
        <v>0</v>
      </c>
      <c r="BK583" s="40">
        <f t="shared" si="65"/>
        <v>0</v>
      </c>
      <c r="BL583" s="62">
        <v>0.3</v>
      </c>
      <c r="BM583" s="275">
        <v>2</v>
      </c>
      <c r="BN583" s="62">
        <v>0</v>
      </c>
      <c r="BO583" s="33" t="s">
        <v>526</v>
      </c>
    </row>
    <row r="584" spans="1:67">
      <c r="A584" s="33" t="str">
        <f>Database_Productkaarten[[#This Row],[Product]]&amp;", "&amp;Database_Productkaarten[[#This Row],[Levensfase]]</f>
        <v>DZOAB 30% PR - PCR 2.0, A1</v>
      </c>
      <c r="B584" s="33" t="s">
        <v>536</v>
      </c>
      <c r="C584" s="33" t="s">
        <v>483</v>
      </c>
      <c r="D584" s="33" t="s">
        <v>484</v>
      </c>
      <c r="E584" s="33" t="s">
        <v>378</v>
      </c>
      <c r="F584" s="33" t="s">
        <v>74</v>
      </c>
      <c r="L584" s="33">
        <v>2</v>
      </c>
      <c r="M584" s="269">
        <v>1</v>
      </c>
      <c r="N584" s="211">
        <v>5.8775109814535194</v>
      </c>
      <c r="O584" s="33">
        <v>14</v>
      </c>
      <c r="P584" s="163">
        <v>6.1883980617890102E-4</v>
      </c>
      <c r="Q584" s="163">
        <v>0.99357490664359804</v>
      </c>
      <c r="R584" s="163">
        <v>46.5315399447312</v>
      </c>
      <c r="S584" s="163">
        <v>3.5993075199060901E-6</v>
      </c>
      <c r="T584" s="163">
        <v>0.107299940750248</v>
      </c>
      <c r="U584" s="163">
        <v>0.28970719344638002</v>
      </c>
      <c r="V584" s="163">
        <v>2.6181442404417599E-2</v>
      </c>
      <c r="W584" s="163">
        <v>11.6183459431613</v>
      </c>
      <c r="X584" s="163">
        <v>1.5615530303643801</v>
      </c>
      <c r="Y584" s="163">
        <v>6780.0957913497296</v>
      </c>
      <c r="Z584" s="163">
        <v>0.20310106172002501</v>
      </c>
      <c r="AA584" s="163">
        <v>49.153707749424797</v>
      </c>
      <c r="AB584" s="163">
        <v>49.154764055088599</v>
      </c>
      <c r="AC584" s="163">
        <v>-4.7926695309480297E-3</v>
      </c>
      <c r="AD584" s="163">
        <v>2.96099638671555E-2</v>
      </c>
      <c r="AE584" s="163">
        <v>4.3650991053962102E-6</v>
      </c>
      <c r="AF584" s="163">
        <v>0.34612782318903001</v>
      </c>
      <c r="AG584" s="163">
        <v>6.2318530444015305E-4</v>
      </c>
      <c r="AH584" s="163">
        <v>5.3905731320713302E-2</v>
      </c>
      <c r="AI584" s="163">
        <v>0.58182897100664999</v>
      </c>
      <c r="AJ584" s="163">
        <v>0.33940719735685698</v>
      </c>
      <c r="AK584" s="163">
        <v>6.18784174594752E-4</v>
      </c>
      <c r="AL584" s="163">
        <v>2116.48868472818</v>
      </c>
      <c r="AM584" s="163">
        <v>31.7368417434725</v>
      </c>
      <c r="AN584" s="163">
        <v>1.9779256733719301E-6</v>
      </c>
      <c r="AO584" s="163">
        <v>1.3640543938920999</v>
      </c>
      <c r="AP584" s="163">
        <v>3912.59136567013</v>
      </c>
      <c r="AQ584" s="163">
        <v>1.40810266984432E-8</v>
      </c>
      <c r="AR584" s="163">
        <v>6.2614284311428604E-7</v>
      </c>
      <c r="AS584" s="163">
        <v>2086.414945169</v>
      </c>
      <c r="AT584" s="163">
        <v>0</v>
      </c>
      <c r="AU584" s="163">
        <v>0</v>
      </c>
      <c r="AV584" s="313">
        <v>27.029362475374</v>
      </c>
      <c r="AW584" s="315">
        <v>0</v>
      </c>
      <c r="AX584" s="315">
        <v>0</v>
      </c>
      <c r="AY584" s="313">
        <v>2251.8385335927801</v>
      </c>
      <c r="AZ584" s="163">
        <v>300</v>
      </c>
      <c r="BA584" s="163">
        <v>0</v>
      </c>
      <c r="BB584" s="163">
        <v>0</v>
      </c>
      <c r="BC584" s="163">
        <v>0.77542728455422405</v>
      </c>
      <c r="BD584" s="163">
        <v>8.5654535512919396E-4</v>
      </c>
      <c r="BE584" s="163">
        <v>2.2571608688993998</v>
      </c>
      <c r="BF584" s="163">
        <v>1.0732634218617401E-3</v>
      </c>
      <c r="BG584" s="163">
        <v>0</v>
      </c>
      <c r="BH584" s="163">
        <v>0</v>
      </c>
      <c r="BI584" s="163">
        <v>0</v>
      </c>
      <c r="BJ584" s="163">
        <v>0</v>
      </c>
      <c r="BK584" s="163">
        <v>0</v>
      </c>
      <c r="BL584" s="62">
        <v>0.3</v>
      </c>
      <c r="BM584" s="275">
        <v>2</v>
      </c>
      <c r="BN584" s="62">
        <v>0</v>
      </c>
      <c r="BO584" s="33" t="s">
        <v>526</v>
      </c>
    </row>
    <row r="585" spans="1:67">
      <c r="A585" s="33" t="str">
        <f>Database_Productkaarten[[#This Row],[Product]]&amp;", "&amp;Database_Productkaarten[[#This Row],[Levensfase]]</f>
        <v>DZOAB 30% PR - PCR 2.0, A2</v>
      </c>
      <c r="B585" s="33" t="s">
        <v>536</v>
      </c>
      <c r="C585" s="33" t="s">
        <v>483</v>
      </c>
      <c r="D585" s="33" t="s">
        <v>484</v>
      </c>
      <c r="E585" s="33" t="s">
        <v>378</v>
      </c>
      <c r="F585" s="33" t="s">
        <v>75</v>
      </c>
      <c r="L585" s="33">
        <v>2</v>
      </c>
      <c r="M585" s="269">
        <v>1</v>
      </c>
      <c r="N585" s="211">
        <v>2.022223024862023</v>
      </c>
      <c r="O585" s="33">
        <v>14</v>
      </c>
      <c r="P585" s="163">
        <v>1.61686959839816E-4</v>
      </c>
      <c r="Q585" s="163">
        <v>7.6955353326423795E-2</v>
      </c>
      <c r="R585" s="163">
        <v>11.750598381264499</v>
      </c>
      <c r="S585" s="163">
        <v>1.9079719175863999E-6</v>
      </c>
      <c r="T585" s="163">
        <v>1.0783370614549001E-2</v>
      </c>
      <c r="U585" s="163">
        <v>0.17037763556327801</v>
      </c>
      <c r="V585" s="163">
        <v>2.2348458698920801E-2</v>
      </c>
      <c r="W585" s="163">
        <v>5.20790818947824</v>
      </c>
      <c r="X585" s="163">
        <v>0.11216441476587</v>
      </c>
      <c r="Y585" s="163">
        <v>449.57141300747497</v>
      </c>
      <c r="Z585" s="163">
        <v>1.74986271034267E-2</v>
      </c>
      <c r="AA585" s="163">
        <v>11.855274672968701</v>
      </c>
      <c r="AB585" s="163">
        <v>11.8407160279013</v>
      </c>
      <c r="AC585" s="163">
        <v>4.5972115919332996E-3</v>
      </c>
      <c r="AD585" s="163">
        <v>9.9614334754175894E-3</v>
      </c>
      <c r="AE585" s="163">
        <v>2.3935563838351399E-6</v>
      </c>
      <c r="AF585" s="163">
        <v>0.217158333709153</v>
      </c>
      <c r="AG585" s="163">
        <v>9.3738037449531394E-5</v>
      </c>
      <c r="AH585" s="163">
        <v>6.0632647960163599E-2</v>
      </c>
      <c r="AI585" s="163">
        <v>0.67213935009152204</v>
      </c>
      <c r="AJ585" s="163">
        <v>0.17638678218772499</v>
      </c>
      <c r="AK585" s="163">
        <v>1.6168427888461499E-4</v>
      </c>
      <c r="AL585" s="163">
        <v>160.34797870568801</v>
      </c>
      <c r="AM585" s="163">
        <v>0.47228528864010699</v>
      </c>
      <c r="AN585" s="163">
        <v>5.8219809939876702E-7</v>
      </c>
      <c r="AO585" s="163">
        <v>0.68336997029204105</v>
      </c>
      <c r="AP585" s="163">
        <v>126.412665997678</v>
      </c>
      <c r="AQ585" s="163">
        <v>5.93856488540343E-9</v>
      </c>
      <c r="AR585" s="163">
        <v>1.1369700433469599E-7</v>
      </c>
      <c r="AS585" s="163">
        <v>87.442189785827594</v>
      </c>
      <c r="AT585" s="163">
        <v>0</v>
      </c>
      <c r="AU585" s="163">
        <v>0</v>
      </c>
      <c r="AV585" s="313">
        <v>1.9943516552617899</v>
      </c>
      <c r="AW585" s="315">
        <v>0</v>
      </c>
      <c r="AX585" s="315">
        <v>0</v>
      </c>
      <c r="AY585" s="313">
        <v>170.222671408579</v>
      </c>
      <c r="AZ585" s="163">
        <v>0</v>
      </c>
      <c r="BA585" s="163">
        <v>0</v>
      </c>
      <c r="BB585" s="163">
        <v>0</v>
      </c>
      <c r="BC585" s="163">
        <v>1.7257079082809601E-2</v>
      </c>
      <c r="BD585" s="163">
        <v>3.0206358146992699E-4</v>
      </c>
      <c r="BE585" s="163">
        <v>4.1940879644449902</v>
      </c>
      <c r="BF585" s="163">
        <v>1.0756835888308799E-3</v>
      </c>
      <c r="BG585" s="163">
        <v>0</v>
      </c>
      <c r="BH585" s="163">
        <v>0</v>
      </c>
      <c r="BI585" s="163">
        <v>0</v>
      </c>
      <c r="BJ585" s="163">
        <v>0</v>
      </c>
      <c r="BK585" s="163">
        <v>0</v>
      </c>
      <c r="BL585" s="62">
        <v>0.3</v>
      </c>
      <c r="BM585" s="275">
        <v>2</v>
      </c>
      <c r="BN585" s="62">
        <v>0</v>
      </c>
      <c r="BO585" s="33" t="s">
        <v>526</v>
      </c>
    </row>
    <row r="586" spans="1:67">
      <c r="A586" s="33" t="str">
        <f>Database_Productkaarten[[#This Row],[Product]]&amp;", "&amp;Database_Productkaarten[[#This Row],[Levensfase]]</f>
        <v>DZOAB 30% PR - PCR 2.0, A3</v>
      </c>
      <c r="B586" s="33" t="s">
        <v>536</v>
      </c>
      <c r="C586" s="33" t="s">
        <v>483</v>
      </c>
      <c r="D586" s="33" t="s">
        <v>484</v>
      </c>
      <c r="E586" s="33" t="s">
        <v>378</v>
      </c>
      <c r="F586" s="33" t="s">
        <v>76</v>
      </c>
      <c r="L586" s="33">
        <v>2</v>
      </c>
      <c r="M586" s="269">
        <v>1</v>
      </c>
      <c r="N586" s="211">
        <v>1.5582269020755506</v>
      </c>
      <c r="O586" s="33">
        <v>14</v>
      </c>
      <c r="P586" s="163">
        <v>1.9975468619137799E-5</v>
      </c>
      <c r="Q586" s="163">
        <v>0.184198563726442</v>
      </c>
      <c r="R586" s="163">
        <v>21.590766848199401</v>
      </c>
      <c r="S586" s="163">
        <v>2.46297426510541E-6</v>
      </c>
      <c r="T586" s="163">
        <v>3.5110506290424101E-3</v>
      </c>
      <c r="U586" s="163">
        <v>2.1220783245907E-2</v>
      </c>
      <c r="V586" s="163">
        <v>3.5782679283879299E-3</v>
      </c>
      <c r="W586" s="163">
        <v>3.4845564857451898</v>
      </c>
      <c r="X586" s="163">
        <v>2.3177447554697E-2</v>
      </c>
      <c r="Y586" s="163">
        <v>94.155428676242806</v>
      </c>
      <c r="Z586" s="163">
        <v>2.1818475964686598E-2</v>
      </c>
      <c r="AA586" s="163">
        <v>21.908945273768701</v>
      </c>
      <c r="AB586" s="163">
        <v>21.860475217279699</v>
      </c>
      <c r="AC586" s="163">
        <v>4.6699711806424703E-2</v>
      </c>
      <c r="AD586" s="163">
        <v>1.77034468258275E-3</v>
      </c>
      <c r="AE586" s="163">
        <v>2.7799321713062602E-6</v>
      </c>
      <c r="AF586" s="163">
        <v>2.72903129744397E-2</v>
      </c>
      <c r="AG586" s="163">
        <v>2.3395727211209701E-4</v>
      </c>
      <c r="AH586" s="163">
        <v>7.6989783281967098E-3</v>
      </c>
      <c r="AI586" s="163">
        <v>8.6888892639530202E-2</v>
      </c>
      <c r="AJ586" s="163">
        <v>2.6378288693053201E-2</v>
      </c>
      <c r="AK586" s="163">
        <v>1.99751940087159E-5</v>
      </c>
      <c r="AL586" s="163">
        <v>339.33337359305699</v>
      </c>
      <c r="AM586" s="163">
        <v>0.47753030388725298</v>
      </c>
      <c r="AN586" s="163">
        <v>1.8825225123504801E-7</v>
      </c>
      <c r="AO586" s="163">
        <v>0.245662514079133</v>
      </c>
      <c r="AP586" s="163">
        <v>68.832131679518596</v>
      </c>
      <c r="AQ586" s="163">
        <v>2.6829285336826199E-9</v>
      </c>
      <c r="AR586" s="163">
        <v>4.5233469549542098E-8</v>
      </c>
      <c r="AS586" s="163">
        <v>14.662044480258199</v>
      </c>
      <c r="AT586" s="163">
        <v>0</v>
      </c>
      <c r="AU586" s="163">
        <v>0</v>
      </c>
      <c r="AV586" s="313">
        <v>6.0668399691233699</v>
      </c>
      <c r="AW586" s="315">
        <v>0</v>
      </c>
      <c r="AX586" s="315">
        <v>0</v>
      </c>
      <c r="AY586" s="313">
        <v>374.227808507502</v>
      </c>
      <c r="AZ586" s="163">
        <v>0</v>
      </c>
      <c r="BA586" s="163">
        <v>0</v>
      </c>
      <c r="BB586" s="163">
        <v>0</v>
      </c>
      <c r="BC586" s="163">
        <v>3.5322672765965901E-2</v>
      </c>
      <c r="BD586" s="163">
        <v>4.1442394391834602E-4</v>
      </c>
      <c r="BE586" s="163">
        <v>0.248529245695641</v>
      </c>
      <c r="BF586" s="163">
        <v>3.1553185410505602E-4</v>
      </c>
      <c r="BG586" s="163">
        <v>0</v>
      </c>
      <c r="BH586" s="163">
        <v>0</v>
      </c>
      <c r="BI586" s="163">
        <v>0</v>
      </c>
      <c r="BJ586" s="163">
        <v>0</v>
      </c>
      <c r="BK586" s="163">
        <v>0</v>
      </c>
      <c r="BL586" s="62">
        <v>0.3</v>
      </c>
      <c r="BM586" s="275">
        <v>2</v>
      </c>
      <c r="BN586" s="62">
        <v>0</v>
      </c>
      <c r="BO586" s="33" t="s">
        <v>526</v>
      </c>
    </row>
    <row r="587" spans="1:67">
      <c r="A587" s="33" t="str">
        <f>Database_Productkaarten[[#This Row],[Product]]&amp;", "&amp;Database_Productkaarten[[#This Row],[Levensfase]]</f>
        <v>DZOAB 30% PR - PCR 2.0, A1-A3</v>
      </c>
      <c r="B587" s="33" t="str">
        <f>B586</f>
        <v>DZOAB 30% PR - PCR 2.0</v>
      </c>
      <c r="C587" s="33" t="str">
        <f>C586</f>
        <v>Bitumineuze verhardingen</v>
      </c>
      <c r="D587" s="33" t="str">
        <f>D586</f>
        <v>ZOAB</v>
      </c>
      <c r="E587" s="33" t="str">
        <f>E586</f>
        <v>Ton</v>
      </c>
      <c r="F587" s="33" t="s">
        <v>77</v>
      </c>
      <c r="L587" s="33">
        <f>L586</f>
        <v>2</v>
      </c>
      <c r="M587" s="45">
        <f>M586</f>
        <v>1</v>
      </c>
      <c r="N587" s="41">
        <f>SUM(N584:N586)</f>
        <v>9.4579609083910938</v>
      </c>
      <c r="O587" s="33">
        <f>O586</f>
        <v>14</v>
      </c>
      <c r="P587" s="40">
        <f>SUM(P584:P586)</f>
        <v>8.0050223463785485E-4</v>
      </c>
      <c r="Q587" s="40">
        <f t="shared" ref="Q587:BK587" si="66">SUM(Q584:Q586)</f>
        <v>1.254728823696464</v>
      </c>
      <c r="R587" s="40">
        <f t="shared" si="66"/>
        <v>79.872905174195097</v>
      </c>
      <c r="S587" s="40">
        <f t="shared" si="66"/>
        <v>7.9702537025979008E-6</v>
      </c>
      <c r="T587" s="40">
        <f t="shared" si="66"/>
        <v>0.12159436199383941</v>
      </c>
      <c r="U587" s="40">
        <f t="shared" si="66"/>
        <v>0.48130561225556501</v>
      </c>
      <c r="V587" s="40">
        <f t="shared" si="66"/>
        <v>5.2108169031726333E-2</v>
      </c>
      <c r="W587" s="40">
        <f t="shared" si="66"/>
        <v>20.310810618384732</v>
      </c>
      <c r="X587" s="40">
        <f t="shared" si="66"/>
        <v>1.6968948926849472</v>
      </c>
      <c r="Y587" s="40">
        <f t="shared" si="66"/>
        <v>7323.8226330334473</v>
      </c>
      <c r="Z587" s="40">
        <f t="shared" si="66"/>
        <v>0.24241816478813832</v>
      </c>
      <c r="AA587" s="40">
        <f t="shared" si="66"/>
        <v>82.917927696162195</v>
      </c>
      <c r="AB587" s="40">
        <f t="shared" si="66"/>
        <v>82.855955300269599</v>
      </c>
      <c r="AC587" s="40">
        <f t="shared" si="66"/>
        <v>4.6504253867409973E-2</v>
      </c>
      <c r="AD587" s="40">
        <f t="shared" si="66"/>
        <v>4.1341742025155837E-2</v>
      </c>
      <c r="AE587" s="40">
        <f t="shared" si="66"/>
        <v>9.5385876605376103E-6</v>
      </c>
      <c r="AF587" s="40">
        <f t="shared" si="66"/>
        <v>0.5905764698726228</v>
      </c>
      <c r="AG587" s="40">
        <f t="shared" si="66"/>
        <v>9.5088061400178147E-4</v>
      </c>
      <c r="AH587" s="40">
        <f t="shared" si="66"/>
        <v>0.12223735760907362</v>
      </c>
      <c r="AI587" s="40">
        <f t="shared" si="66"/>
        <v>1.3408572137377022</v>
      </c>
      <c r="AJ587" s="40">
        <f t="shared" si="66"/>
        <v>0.5421722682376352</v>
      </c>
      <c r="AK587" s="40">
        <f t="shared" si="66"/>
        <v>8.0044364748808286E-4</v>
      </c>
      <c r="AL587" s="40">
        <f t="shared" si="66"/>
        <v>2616.170037026925</v>
      </c>
      <c r="AM587" s="40">
        <f t="shared" si="66"/>
        <v>32.686657335999861</v>
      </c>
      <c r="AN587" s="40">
        <f t="shared" si="66"/>
        <v>2.7483760240057451E-6</v>
      </c>
      <c r="AO587" s="40">
        <f t="shared" si="66"/>
        <v>2.2930868782632738</v>
      </c>
      <c r="AP587" s="40">
        <f t="shared" si="66"/>
        <v>4107.836163347326</v>
      </c>
      <c r="AQ587" s="40">
        <f t="shared" si="66"/>
        <v>2.270252011752925E-8</v>
      </c>
      <c r="AR587" s="40">
        <f t="shared" si="66"/>
        <v>7.8507331699852414E-7</v>
      </c>
      <c r="AS587" s="40">
        <f t="shared" si="66"/>
        <v>2188.5191794350858</v>
      </c>
      <c r="AT587" s="40">
        <f t="shared" si="66"/>
        <v>0</v>
      </c>
      <c r="AU587" s="40">
        <f t="shared" si="66"/>
        <v>0</v>
      </c>
      <c r="AV587" s="317">
        <f t="shared" si="66"/>
        <v>35.09055409975916</v>
      </c>
      <c r="AW587" s="317">
        <f t="shared" si="66"/>
        <v>0</v>
      </c>
      <c r="AX587" s="317">
        <f t="shared" si="66"/>
        <v>0</v>
      </c>
      <c r="AY587" s="317">
        <f t="shared" si="66"/>
        <v>2796.289013508861</v>
      </c>
      <c r="AZ587" s="40">
        <f t="shared" si="66"/>
        <v>300</v>
      </c>
      <c r="BA587" s="40">
        <f t="shared" si="66"/>
        <v>0</v>
      </c>
      <c r="BB587" s="40">
        <f t="shared" si="66"/>
        <v>0</v>
      </c>
      <c r="BC587" s="40">
        <f t="shared" si="66"/>
        <v>0.82800703640299955</v>
      </c>
      <c r="BD587" s="40">
        <f t="shared" si="66"/>
        <v>1.5730328805174669E-3</v>
      </c>
      <c r="BE587" s="40">
        <f t="shared" si="66"/>
        <v>6.6997780790400316</v>
      </c>
      <c r="BF587" s="40">
        <f t="shared" si="66"/>
        <v>2.4644788647976762E-3</v>
      </c>
      <c r="BG587" s="40">
        <f t="shared" si="66"/>
        <v>0</v>
      </c>
      <c r="BH587" s="40">
        <f t="shared" si="66"/>
        <v>0</v>
      </c>
      <c r="BI587" s="40">
        <f t="shared" si="66"/>
        <v>0</v>
      </c>
      <c r="BJ587" s="40">
        <f t="shared" si="66"/>
        <v>0</v>
      </c>
      <c r="BK587" s="40">
        <f t="shared" si="66"/>
        <v>0</v>
      </c>
      <c r="BL587" s="62">
        <f>BL586</f>
        <v>0.3</v>
      </c>
      <c r="BM587" s="275">
        <f>BM586</f>
        <v>2</v>
      </c>
      <c r="BN587" s="62">
        <v>0</v>
      </c>
      <c r="BO587" s="33" t="str">
        <f>BO586</f>
        <v>Ecochain 2022 LCA Achtergrondrapport voor Nederlandse branchereferentiemengsels 2022</v>
      </c>
    </row>
    <row r="588" spans="1:67">
      <c r="A588" s="33" t="str">
        <f>Database_Productkaarten[[#This Row],[Product]]&amp;", "&amp;Database_Productkaarten[[#This Row],[Levensfase]]</f>
        <v>DZOAB 30% PR - PCR 2.0, A4</v>
      </c>
      <c r="B588" s="33" t="s">
        <v>536</v>
      </c>
      <c r="C588" s="33" t="s">
        <v>483</v>
      </c>
      <c r="D588" s="33" t="s">
        <v>484</v>
      </c>
      <c r="E588" s="33" t="s">
        <v>378</v>
      </c>
      <c r="F588" s="33" t="s">
        <v>78</v>
      </c>
      <c r="L588" s="33">
        <v>2</v>
      </c>
      <c r="M588" s="269">
        <v>1</v>
      </c>
      <c r="N588" s="211">
        <v>0.37546048090943995</v>
      </c>
      <c r="O588" s="33">
        <v>14</v>
      </c>
      <c r="P588" s="163">
        <v>6.8533509000000002E-5</v>
      </c>
      <c r="Q588" s="163">
        <v>2.9713889699999999E-2</v>
      </c>
      <c r="R588" s="163">
        <v>3.9891474704999998</v>
      </c>
      <c r="S588" s="163">
        <v>7.557213E-7</v>
      </c>
      <c r="T588" s="163">
        <v>2.4773701499999998E-3</v>
      </c>
      <c r="U588" s="163">
        <v>1.36398132E-2</v>
      </c>
      <c r="V588" s="163">
        <v>2.5682192100000001E-3</v>
      </c>
      <c r="W588" s="163">
        <v>0.8608144794</v>
      </c>
      <c r="X588" s="163">
        <v>3.6189873900000002E-2</v>
      </c>
      <c r="Y588" s="163">
        <v>97.376595929999993</v>
      </c>
      <c r="Z588" s="163">
        <v>4.8437180999999999E-3</v>
      </c>
      <c r="AA588" s="163">
        <v>4.0259382761999998</v>
      </c>
      <c r="AB588" s="163">
        <v>4.0229543298000001</v>
      </c>
      <c r="AC588" s="163">
        <v>1.9814632200000001E-3</v>
      </c>
      <c r="AD588" s="163">
        <v>1.0024609799999999E-3</v>
      </c>
      <c r="AE588" s="163">
        <v>9.4976262000000003E-7</v>
      </c>
      <c r="AF588" s="163">
        <v>1.7739576E-2</v>
      </c>
      <c r="AG588" s="163">
        <v>2.7841996800000001E-5</v>
      </c>
      <c r="AH588" s="163">
        <v>5.5484582100000001E-3</v>
      </c>
      <c r="AI588" s="163">
        <v>6.1385308800000003E-2</v>
      </c>
      <c r="AJ588" s="163">
        <v>1.9235744999999999E-2</v>
      </c>
      <c r="AK588" s="163">
        <v>6.8533397999999998E-5</v>
      </c>
      <c r="AL588" s="163">
        <v>62.400806729999999</v>
      </c>
      <c r="AM588" s="163">
        <v>0.212954166</v>
      </c>
      <c r="AN588" s="163">
        <v>2.9338876200000002E-7</v>
      </c>
      <c r="AO588" s="163">
        <v>0.26868483510000002</v>
      </c>
      <c r="AP588" s="163">
        <v>45.56587296</v>
      </c>
      <c r="AQ588" s="163">
        <v>1.16371179E-9</v>
      </c>
      <c r="AR588" s="163">
        <v>3.8268015899999999E-8</v>
      </c>
      <c r="AS588" s="163">
        <v>71.806844609999999</v>
      </c>
      <c r="AT588" s="163">
        <v>0</v>
      </c>
      <c r="AU588" s="163">
        <v>0</v>
      </c>
      <c r="AV588" s="313">
        <v>0.63474917099999995</v>
      </c>
      <c r="AW588" s="315">
        <v>0</v>
      </c>
      <c r="AX588" s="315">
        <v>0</v>
      </c>
      <c r="AY588" s="313">
        <v>66.265108560000002</v>
      </c>
      <c r="AZ588" s="163">
        <v>0</v>
      </c>
      <c r="BA588" s="163">
        <v>0</v>
      </c>
      <c r="BB588" s="163">
        <v>0</v>
      </c>
      <c r="BC588" s="163">
        <v>6.7467797999999999E-3</v>
      </c>
      <c r="BD588" s="163">
        <v>1.54707915E-4</v>
      </c>
      <c r="BE588" s="163">
        <v>5.4635493149999999</v>
      </c>
      <c r="BF588" s="163">
        <v>4.25149758E-4</v>
      </c>
      <c r="BG588" s="163">
        <v>0</v>
      </c>
      <c r="BH588" s="163">
        <v>0</v>
      </c>
      <c r="BI588" s="163">
        <v>0</v>
      </c>
      <c r="BJ588" s="163">
        <v>0</v>
      </c>
      <c r="BK588" s="163">
        <v>0</v>
      </c>
      <c r="BL588" s="62">
        <v>0.3</v>
      </c>
      <c r="BM588" s="275">
        <v>2</v>
      </c>
      <c r="BN588" s="62">
        <v>0</v>
      </c>
      <c r="BO588" s="33" t="s">
        <v>526</v>
      </c>
    </row>
    <row r="589" spans="1:67">
      <c r="A589" s="33" t="str">
        <f>Database_Productkaarten[[#This Row],[Product]]&amp;", "&amp;Database_Productkaarten[[#This Row],[Levensfase]]</f>
        <v>DZOAB 30% PR - PCR 2.0, A5</v>
      </c>
      <c r="B589" s="33" t="s">
        <v>536</v>
      </c>
      <c r="C589" s="33" t="s">
        <v>483</v>
      </c>
      <c r="D589" s="33" t="s">
        <v>484</v>
      </c>
      <c r="E589" s="33" t="s">
        <v>378</v>
      </c>
      <c r="F589" s="33" t="s">
        <v>79</v>
      </c>
      <c r="L589" s="33">
        <v>2</v>
      </c>
      <c r="M589" s="269">
        <v>1</v>
      </c>
      <c r="N589" s="211">
        <v>0.11508990390996034</v>
      </c>
      <c r="O589" s="33">
        <v>14</v>
      </c>
      <c r="P589" s="163">
        <v>1.3610882842235401E-6</v>
      </c>
      <c r="Q589" s="163">
        <v>5.7900425147760903E-3</v>
      </c>
      <c r="R589" s="163">
        <v>1.1775394636323699</v>
      </c>
      <c r="S589" s="163">
        <v>1.52166898761414E-7</v>
      </c>
      <c r="T589" s="163">
        <v>3.9769491139306901E-4</v>
      </c>
      <c r="U589" s="163">
        <v>4.01336639075824E-3</v>
      </c>
      <c r="V589" s="163">
        <v>8.9200970149072101E-4</v>
      </c>
      <c r="W589" s="163">
        <v>0.31853178993374698</v>
      </c>
      <c r="X589" s="163">
        <v>4.5166714735928697E-3</v>
      </c>
      <c r="Y589" s="163">
        <v>15.6934427776505</v>
      </c>
      <c r="Z589" s="163">
        <v>5.3488216072845396E-4</v>
      </c>
      <c r="AA589" s="163">
        <v>1.1857245217951999</v>
      </c>
      <c r="AB589" s="163">
        <v>1.1853843931193599</v>
      </c>
      <c r="AC589" s="163">
        <v>2.7090790203859998E-4</v>
      </c>
      <c r="AD589" s="163">
        <v>6.9220773799629005E-5</v>
      </c>
      <c r="AE589" s="163">
        <v>1.9173630240781399E-7</v>
      </c>
      <c r="AF589" s="163">
        <v>5.5294629380236203E-3</v>
      </c>
      <c r="AG589" s="163">
        <v>3.2340340812744299E-6</v>
      </c>
      <c r="AH589" s="163">
        <v>2.2810385913506299E-3</v>
      </c>
      <c r="AI589" s="163">
        <v>2.5051401727069999E-2</v>
      </c>
      <c r="AJ589" s="163">
        <v>6.6437026538040999E-3</v>
      </c>
      <c r="AK589" s="163">
        <v>1.3610776036009101E-6</v>
      </c>
      <c r="AL589" s="163">
        <v>12.216636313782301</v>
      </c>
      <c r="AM589" s="163">
        <v>1.6270564084109401E-2</v>
      </c>
      <c r="AN589" s="163">
        <v>2.1944772160155401E-8</v>
      </c>
      <c r="AO589" s="163">
        <v>5.24349377095659E-2</v>
      </c>
      <c r="AP589" s="163">
        <v>7.3299437048563298</v>
      </c>
      <c r="AQ589" s="163">
        <v>2.5717564130149502E-10</v>
      </c>
      <c r="AR589" s="163">
        <v>5.8020979115662103E-9</v>
      </c>
      <c r="AS589" s="163">
        <v>1.5604089684381699</v>
      </c>
      <c r="AT589" s="163">
        <v>0</v>
      </c>
      <c r="AU589" s="163">
        <v>0</v>
      </c>
      <c r="AV589" s="313">
        <v>6.7148702313369404E-2</v>
      </c>
      <c r="AW589" s="315">
        <v>0</v>
      </c>
      <c r="AX589" s="315">
        <v>0</v>
      </c>
      <c r="AY589" s="313">
        <v>12.973681373314299</v>
      </c>
      <c r="AZ589" s="163">
        <v>0</v>
      </c>
      <c r="BA589" s="163">
        <v>0</v>
      </c>
      <c r="BB589" s="163">
        <v>0</v>
      </c>
      <c r="BC589" s="163">
        <v>6.3151910101772704E-4</v>
      </c>
      <c r="BD589" s="163">
        <v>3.3269162772420199E-5</v>
      </c>
      <c r="BE589" s="163">
        <v>1.44555999060475E-2</v>
      </c>
      <c r="BF589" s="163">
        <v>8.4906277939310296E-5</v>
      </c>
      <c r="BG589" s="163">
        <v>0</v>
      </c>
      <c r="BH589" s="163">
        <v>0</v>
      </c>
      <c r="BI589" s="163">
        <v>0</v>
      </c>
      <c r="BJ589" s="163">
        <v>0</v>
      </c>
      <c r="BK589" s="163">
        <v>0</v>
      </c>
      <c r="BL589" s="62">
        <v>0.3</v>
      </c>
      <c r="BM589" s="275">
        <v>2</v>
      </c>
      <c r="BN589" s="62">
        <v>0</v>
      </c>
      <c r="BO589" s="33" t="s">
        <v>526</v>
      </c>
    </row>
    <row r="590" spans="1:67">
      <c r="A590" s="33" t="str">
        <f>Database_Productkaarten[[#This Row],[Product]]&amp;", "&amp;Database_Productkaarten[[#This Row],[Levensfase]]</f>
        <v>DZOAB 30% PR - PCR 2.0, B1</v>
      </c>
      <c r="B590" s="33" t="s">
        <v>536</v>
      </c>
      <c r="C590" s="33" t="s">
        <v>483</v>
      </c>
      <c r="D590" s="33" t="s">
        <v>484</v>
      </c>
      <c r="E590" s="33" t="s">
        <v>378</v>
      </c>
      <c r="F590" s="33" t="s">
        <v>80</v>
      </c>
      <c r="L590" s="33">
        <v>2</v>
      </c>
      <c r="M590" s="269">
        <v>1</v>
      </c>
      <c r="N590" s="211">
        <v>0.63803196066933088</v>
      </c>
      <c r="O590" s="33">
        <v>14</v>
      </c>
      <c r="P590" s="163">
        <v>0</v>
      </c>
      <c r="Q590" s="163">
        <v>0</v>
      </c>
      <c r="R590" s="163">
        <v>0</v>
      </c>
      <c r="S590" s="163">
        <v>0</v>
      </c>
      <c r="T590" s="163">
        <v>0</v>
      </c>
      <c r="U590" s="163">
        <v>0</v>
      </c>
      <c r="V590" s="163">
        <v>0</v>
      </c>
      <c r="W590" s="163">
        <v>2.21599595321837</v>
      </c>
      <c r="X590" s="163">
        <v>3.1435906259976898</v>
      </c>
      <c r="Y590" s="163">
        <v>3441.17206099747</v>
      </c>
      <c r="Z590" s="163">
        <v>2.7899999999979499E-3</v>
      </c>
      <c r="AA590" s="163">
        <v>0</v>
      </c>
      <c r="AB590" s="163">
        <v>0</v>
      </c>
      <c r="AC590" s="163">
        <v>0</v>
      </c>
      <c r="AD590" s="163">
        <v>0</v>
      </c>
      <c r="AE590" s="163">
        <v>0</v>
      </c>
      <c r="AF590" s="163">
        <v>0</v>
      </c>
      <c r="AG590" s="163">
        <v>0</v>
      </c>
      <c r="AH590" s="163">
        <v>0</v>
      </c>
      <c r="AI590" s="163">
        <v>0</v>
      </c>
      <c r="AJ590" s="163">
        <v>0</v>
      </c>
      <c r="AK590" s="163">
        <v>0</v>
      </c>
      <c r="AL590" s="163">
        <v>0</v>
      </c>
      <c r="AM590" s="163">
        <v>0</v>
      </c>
      <c r="AN590" s="163">
        <v>0</v>
      </c>
      <c r="AO590" s="163">
        <v>0</v>
      </c>
      <c r="AP590" s="163">
        <v>19.2904605006858</v>
      </c>
      <c r="AQ590" s="163">
        <v>3.4029317760975E-9</v>
      </c>
      <c r="AR590" s="163">
        <v>2.0449895299124001E-7</v>
      </c>
      <c r="AS590" s="163">
        <v>0</v>
      </c>
      <c r="AT590" s="163">
        <v>0</v>
      </c>
      <c r="AU590" s="163">
        <v>0</v>
      </c>
      <c r="AV590" s="313">
        <v>0</v>
      </c>
      <c r="AW590" s="315">
        <v>0</v>
      </c>
      <c r="AX590" s="315">
        <v>0</v>
      </c>
      <c r="AY590" s="313">
        <v>0</v>
      </c>
      <c r="AZ590" s="163">
        <v>0</v>
      </c>
      <c r="BA590" s="163">
        <v>0</v>
      </c>
      <c r="BB590" s="163">
        <v>0</v>
      </c>
      <c r="BC590" s="163">
        <v>0</v>
      </c>
      <c r="BD590" s="163">
        <v>0</v>
      </c>
      <c r="BE590" s="163">
        <v>0</v>
      </c>
      <c r="BF590" s="163">
        <v>0</v>
      </c>
      <c r="BG590" s="163">
        <v>0</v>
      </c>
      <c r="BH590" s="163">
        <v>0</v>
      </c>
      <c r="BI590" s="163">
        <v>0</v>
      </c>
      <c r="BJ590" s="163">
        <v>0</v>
      </c>
      <c r="BK590" s="163">
        <v>0</v>
      </c>
      <c r="BL590" s="62">
        <v>0.3</v>
      </c>
      <c r="BM590" s="275">
        <v>2</v>
      </c>
      <c r="BN590" s="62">
        <v>0</v>
      </c>
      <c r="BO590" s="33" t="s">
        <v>526</v>
      </c>
    </row>
    <row r="591" spans="1:67">
      <c r="A591" s="33" t="str">
        <f>Database_Productkaarten[[#This Row],[Product]]&amp;", "&amp;Database_Productkaarten[[#This Row],[Levensfase]]</f>
        <v>DZOAB 30% PR - PCR 2.0, B2</v>
      </c>
      <c r="B591" s="33" t="s">
        <v>536</v>
      </c>
      <c r="C591" s="33" t="s">
        <v>483</v>
      </c>
      <c r="D591" s="33" t="s">
        <v>484</v>
      </c>
      <c r="E591" s="33" t="s">
        <v>378</v>
      </c>
      <c r="F591" s="33" t="s">
        <v>527</v>
      </c>
      <c r="L591" s="33">
        <v>2</v>
      </c>
      <c r="M591" s="269">
        <v>1</v>
      </c>
      <c r="N591" s="211">
        <v>0</v>
      </c>
      <c r="O591" s="33">
        <v>14</v>
      </c>
      <c r="P591" s="163">
        <v>0</v>
      </c>
      <c r="Q591" s="163">
        <v>0</v>
      </c>
      <c r="R591" s="163">
        <v>0</v>
      </c>
      <c r="S591" s="163">
        <v>0</v>
      </c>
      <c r="T591" s="163">
        <v>0</v>
      </c>
      <c r="U591" s="163">
        <v>0</v>
      </c>
      <c r="V591" s="163">
        <v>0</v>
      </c>
      <c r="W591" s="163">
        <v>0</v>
      </c>
      <c r="X591" s="163">
        <v>0</v>
      </c>
      <c r="Y591" s="163">
        <v>0</v>
      </c>
      <c r="Z591" s="163">
        <v>0</v>
      </c>
      <c r="AA591" s="163">
        <v>0</v>
      </c>
      <c r="AB591" s="163">
        <v>0</v>
      </c>
      <c r="AC591" s="163">
        <v>0</v>
      </c>
      <c r="AD591" s="163">
        <v>0</v>
      </c>
      <c r="AE591" s="163">
        <v>0</v>
      </c>
      <c r="AF591" s="163">
        <v>0</v>
      </c>
      <c r="AG591" s="163">
        <v>0</v>
      </c>
      <c r="AH591" s="163">
        <v>0</v>
      </c>
      <c r="AI591" s="163">
        <v>0</v>
      </c>
      <c r="AJ591" s="163">
        <v>0</v>
      </c>
      <c r="AK591" s="163">
        <v>0</v>
      </c>
      <c r="AL591" s="163">
        <v>0</v>
      </c>
      <c r="AM591" s="163">
        <v>0</v>
      </c>
      <c r="AN591" s="163">
        <v>0</v>
      </c>
      <c r="AO591" s="163">
        <v>0</v>
      </c>
      <c r="AP591" s="163">
        <v>0</v>
      </c>
      <c r="AQ591" s="163">
        <v>0</v>
      </c>
      <c r="AR591" s="163">
        <v>0</v>
      </c>
      <c r="AS591" s="163">
        <v>0</v>
      </c>
      <c r="AT591" s="163">
        <v>0</v>
      </c>
      <c r="AU591" s="163">
        <v>0</v>
      </c>
      <c r="AV591" s="313">
        <v>0</v>
      </c>
      <c r="AW591" s="315">
        <v>0</v>
      </c>
      <c r="AX591" s="315">
        <v>0</v>
      </c>
      <c r="AY591" s="313">
        <v>0</v>
      </c>
      <c r="AZ591" s="163">
        <v>0</v>
      </c>
      <c r="BA591" s="163">
        <v>0</v>
      </c>
      <c r="BB591" s="163">
        <v>0</v>
      </c>
      <c r="BC591" s="163">
        <v>0</v>
      </c>
      <c r="BD591" s="163">
        <v>0</v>
      </c>
      <c r="BE591" s="163">
        <v>0</v>
      </c>
      <c r="BF591" s="163">
        <v>0</v>
      </c>
      <c r="BG591" s="163">
        <v>0</v>
      </c>
      <c r="BH591" s="163">
        <v>0</v>
      </c>
      <c r="BI591" s="163">
        <v>0</v>
      </c>
      <c r="BJ591" s="163">
        <v>0</v>
      </c>
      <c r="BK591" s="163">
        <v>0</v>
      </c>
      <c r="BL591" s="62">
        <v>0.3</v>
      </c>
      <c r="BM591" s="275">
        <v>2</v>
      </c>
      <c r="BN591" s="62">
        <v>0</v>
      </c>
      <c r="BO591" s="33" t="s">
        <v>526</v>
      </c>
    </row>
    <row r="592" spans="1:67">
      <c r="A592" s="33" t="str">
        <f>Database_Productkaarten[[#This Row],[Product]]&amp;", "&amp;Database_Productkaarten[[#This Row],[Levensfase]]</f>
        <v>DZOAB 30% PR - PCR 2.0, B3</v>
      </c>
      <c r="B592" s="33" t="s">
        <v>536</v>
      </c>
      <c r="C592" s="33" t="s">
        <v>483</v>
      </c>
      <c r="D592" s="33" t="s">
        <v>484</v>
      </c>
      <c r="E592" s="33" t="s">
        <v>378</v>
      </c>
      <c r="F592" s="33" t="s">
        <v>81</v>
      </c>
      <c r="L592" s="33">
        <v>2</v>
      </c>
      <c r="M592" s="269">
        <v>1</v>
      </c>
      <c r="N592" s="211">
        <v>0</v>
      </c>
      <c r="O592" s="33">
        <v>14</v>
      </c>
      <c r="P592" s="163">
        <v>0</v>
      </c>
      <c r="Q592" s="163">
        <v>0</v>
      </c>
      <c r="R592" s="163">
        <v>0</v>
      </c>
      <c r="S592" s="163">
        <v>0</v>
      </c>
      <c r="T592" s="163">
        <v>0</v>
      </c>
      <c r="U592" s="163">
        <v>0</v>
      </c>
      <c r="V592" s="163">
        <v>0</v>
      </c>
      <c r="W592" s="163">
        <v>0</v>
      </c>
      <c r="X592" s="163">
        <v>0</v>
      </c>
      <c r="Y592" s="163">
        <v>0</v>
      </c>
      <c r="Z592" s="163">
        <v>0</v>
      </c>
      <c r="AA592" s="163">
        <v>0</v>
      </c>
      <c r="AB592" s="163">
        <v>0</v>
      </c>
      <c r="AC592" s="163">
        <v>0</v>
      </c>
      <c r="AD592" s="163">
        <v>0</v>
      </c>
      <c r="AE592" s="163">
        <v>0</v>
      </c>
      <c r="AF592" s="163">
        <v>0</v>
      </c>
      <c r="AG592" s="163">
        <v>0</v>
      </c>
      <c r="AH592" s="163">
        <v>0</v>
      </c>
      <c r="AI592" s="163">
        <v>0</v>
      </c>
      <c r="AJ592" s="163">
        <v>0</v>
      </c>
      <c r="AK592" s="163">
        <v>0</v>
      </c>
      <c r="AL592" s="163">
        <v>0</v>
      </c>
      <c r="AM592" s="163">
        <v>0</v>
      </c>
      <c r="AN592" s="163">
        <v>0</v>
      </c>
      <c r="AO592" s="163">
        <v>0</v>
      </c>
      <c r="AP592" s="163">
        <v>0</v>
      </c>
      <c r="AQ592" s="163">
        <v>0</v>
      </c>
      <c r="AR592" s="163">
        <v>0</v>
      </c>
      <c r="AS592" s="163">
        <v>0</v>
      </c>
      <c r="AT592" s="163">
        <v>0</v>
      </c>
      <c r="AU592" s="163">
        <v>0</v>
      </c>
      <c r="AV592" s="313">
        <v>0</v>
      </c>
      <c r="AW592" s="315">
        <v>0</v>
      </c>
      <c r="AX592" s="315">
        <v>0</v>
      </c>
      <c r="AY592" s="313">
        <v>0</v>
      </c>
      <c r="AZ592" s="163">
        <v>0</v>
      </c>
      <c r="BA592" s="163">
        <v>0</v>
      </c>
      <c r="BB592" s="163">
        <v>0</v>
      </c>
      <c r="BC592" s="163">
        <v>0</v>
      </c>
      <c r="BD592" s="163">
        <v>0</v>
      </c>
      <c r="BE592" s="163">
        <v>0</v>
      </c>
      <c r="BF592" s="163">
        <v>0</v>
      </c>
      <c r="BG592" s="163">
        <v>0</v>
      </c>
      <c r="BH592" s="163">
        <v>0</v>
      </c>
      <c r="BI592" s="163">
        <v>0</v>
      </c>
      <c r="BJ592" s="163">
        <v>0</v>
      </c>
      <c r="BK592" s="163">
        <v>0</v>
      </c>
      <c r="BL592" s="62">
        <v>0.3</v>
      </c>
      <c r="BM592" s="275">
        <v>2</v>
      </c>
      <c r="BN592" s="62">
        <v>0</v>
      </c>
      <c r="BO592" s="33" t="s">
        <v>526</v>
      </c>
    </row>
    <row r="593" spans="1:67">
      <c r="A593" s="33" t="str">
        <f>Database_Productkaarten[[#This Row],[Product]]&amp;", "&amp;Database_Productkaarten[[#This Row],[Levensfase]]</f>
        <v>DZOAB 30% PR - PCR 2.0, B4</v>
      </c>
      <c r="B593" s="33" t="s">
        <v>536</v>
      </c>
      <c r="C593" s="33" t="s">
        <v>483</v>
      </c>
      <c r="D593" s="33" t="s">
        <v>484</v>
      </c>
      <c r="E593" s="33" t="s">
        <v>378</v>
      </c>
      <c r="F593" s="33" t="s">
        <v>82</v>
      </c>
      <c r="L593" s="33">
        <v>2</v>
      </c>
      <c r="M593" s="269">
        <v>1</v>
      </c>
      <c r="N593" s="211">
        <v>0</v>
      </c>
      <c r="O593" s="33">
        <v>14</v>
      </c>
      <c r="P593" s="163">
        <v>0</v>
      </c>
      <c r="Q593" s="163">
        <v>0</v>
      </c>
      <c r="R593" s="163">
        <v>0</v>
      </c>
      <c r="S593" s="163">
        <v>0</v>
      </c>
      <c r="T593" s="163">
        <v>0</v>
      </c>
      <c r="U593" s="163">
        <v>0</v>
      </c>
      <c r="V593" s="163">
        <v>0</v>
      </c>
      <c r="W593" s="163">
        <v>0</v>
      </c>
      <c r="X593" s="163">
        <v>0</v>
      </c>
      <c r="Y593" s="163">
        <v>0</v>
      </c>
      <c r="Z593" s="163">
        <v>0</v>
      </c>
      <c r="AA593" s="163">
        <v>0</v>
      </c>
      <c r="AB593" s="163">
        <v>0</v>
      </c>
      <c r="AC593" s="163">
        <v>0</v>
      </c>
      <c r="AD593" s="163">
        <v>0</v>
      </c>
      <c r="AE593" s="163">
        <v>0</v>
      </c>
      <c r="AF593" s="163">
        <v>0</v>
      </c>
      <c r="AG593" s="163">
        <v>0</v>
      </c>
      <c r="AH593" s="163">
        <v>0</v>
      </c>
      <c r="AI593" s="163">
        <v>0</v>
      </c>
      <c r="AJ593" s="163">
        <v>0</v>
      </c>
      <c r="AK593" s="163">
        <v>0</v>
      </c>
      <c r="AL593" s="163">
        <v>0</v>
      </c>
      <c r="AM593" s="163">
        <v>0</v>
      </c>
      <c r="AN593" s="163">
        <v>0</v>
      </c>
      <c r="AO593" s="163">
        <v>0</v>
      </c>
      <c r="AP593" s="163">
        <v>0</v>
      </c>
      <c r="AQ593" s="163">
        <v>0</v>
      </c>
      <c r="AR593" s="163">
        <v>0</v>
      </c>
      <c r="AS593" s="163">
        <v>0</v>
      </c>
      <c r="AT593" s="163">
        <v>0</v>
      </c>
      <c r="AU593" s="163">
        <v>0</v>
      </c>
      <c r="AV593" s="313">
        <v>0</v>
      </c>
      <c r="AW593" s="315">
        <v>0</v>
      </c>
      <c r="AX593" s="315">
        <v>0</v>
      </c>
      <c r="AY593" s="313">
        <v>0</v>
      </c>
      <c r="AZ593" s="163">
        <v>0</v>
      </c>
      <c r="BA593" s="163">
        <v>0</v>
      </c>
      <c r="BB593" s="163">
        <v>0</v>
      </c>
      <c r="BC593" s="163">
        <v>0</v>
      </c>
      <c r="BD593" s="163">
        <v>0</v>
      </c>
      <c r="BE593" s="163">
        <v>0</v>
      </c>
      <c r="BF593" s="163">
        <v>0</v>
      </c>
      <c r="BG593" s="163">
        <v>0</v>
      </c>
      <c r="BH593" s="163">
        <v>0</v>
      </c>
      <c r="BI593" s="163">
        <v>0</v>
      </c>
      <c r="BJ593" s="163">
        <v>0</v>
      </c>
      <c r="BK593" s="163">
        <v>0</v>
      </c>
      <c r="BL593" s="62">
        <v>0.3</v>
      </c>
      <c r="BM593" s="275">
        <v>2</v>
      </c>
      <c r="BN593" s="62">
        <v>0</v>
      </c>
      <c r="BO593" s="33" t="s">
        <v>526</v>
      </c>
    </row>
    <row r="594" spans="1:67">
      <c r="A594" s="33" t="str">
        <f>Database_Productkaarten[[#This Row],[Product]]&amp;", "&amp;Database_Productkaarten[[#This Row],[Levensfase]]</f>
        <v>DZOAB 30% PR - PCR 2.0, B5</v>
      </c>
      <c r="B594" s="33" t="s">
        <v>536</v>
      </c>
      <c r="C594" s="33" t="s">
        <v>483</v>
      </c>
      <c r="D594" s="33" t="s">
        <v>484</v>
      </c>
      <c r="E594" s="33" t="s">
        <v>378</v>
      </c>
      <c r="F594" s="33" t="s">
        <v>528</v>
      </c>
      <c r="L594" s="33">
        <v>2</v>
      </c>
      <c r="M594" s="269">
        <v>1</v>
      </c>
      <c r="N594" s="211">
        <v>0</v>
      </c>
      <c r="O594" s="33">
        <v>14</v>
      </c>
      <c r="P594" s="163">
        <v>0</v>
      </c>
      <c r="Q594" s="163">
        <v>0</v>
      </c>
      <c r="R594" s="163">
        <v>0</v>
      </c>
      <c r="S594" s="163">
        <v>0</v>
      </c>
      <c r="T594" s="163">
        <v>0</v>
      </c>
      <c r="U594" s="163">
        <v>0</v>
      </c>
      <c r="V594" s="163">
        <v>0</v>
      </c>
      <c r="W594" s="163">
        <v>0</v>
      </c>
      <c r="X594" s="163">
        <v>0</v>
      </c>
      <c r="Y594" s="163">
        <v>0</v>
      </c>
      <c r="Z594" s="163">
        <v>0</v>
      </c>
      <c r="AA594" s="163">
        <v>0</v>
      </c>
      <c r="AB594" s="163">
        <v>0</v>
      </c>
      <c r="AC594" s="163">
        <v>0</v>
      </c>
      <c r="AD594" s="163">
        <v>0</v>
      </c>
      <c r="AE594" s="163">
        <v>0</v>
      </c>
      <c r="AF594" s="163">
        <v>0</v>
      </c>
      <c r="AG594" s="163">
        <v>0</v>
      </c>
      <c r="AH594" s="163">
        <v>0</v>
      </c>
      <c r="AI594" s="163">
        <v>0</v>
      </c>
      <c r="AJ594" s="163">
        <v>0</v>
      </c>
      <c r="AK594" s="163">
        <v>0</v>
      </c>
      <c r="AL594" s="163">
        <v>0</v>
      </c>
      <c r="AM594" s="163">
        <v>0</v>
      </c>
      <c r="AN594" s="163">
        <v>0</v>
      </c>
      <c r="AO594" s="163">
        <v>0</v>
      </c>
      <c r="AP594" s="163">
        <v>0</v>
      </c>
      <c r="AQ594" s="163">
        <v>0</v>
      </c>
      <c r="AR594" s="163">
        <v>0</v>
      </c>
      <c r="AS594" s="163">
        <v>0</v>
      </c>
      <c r="AT594" s="163">
        <v>0</v>
      </c>
      <c r="AU594" s="163">
        <v>0</v>
      </c>
      <c r="AV594" s="313">
        <v>0</v>
      </c>
      <c r="AW594" s="315">
        <v>0</v>
      </c>
      <c r="AX594" s="315">
        <v>0</v>
      </c>
      <c r="AY594" s="313">
        <v>0</v>
      </c>
      <c r="AZ594" s="163">
        <v>0</v>
      </c>
      <c r="BA594" s="163">
        <v>0</v>
      </c>
      <c r="BB594" s="163">
        <v>0</v>
      </c>
      <c r="BC594" s="163">
        <v>0</v>
      </c>
      <c r="BD594" s="163">
        <v>0</v>
      </c>
      <c r="BE594" s="163">
        <v>0</v>
      </c>
      <c r="BF594" s="163">
        <v>0</v>
      </c>
      <c r="BG594" s="163">
        <v>0</v>
      </c>
      <c r="BH594" s="163">
        <v>0</v>
      </c>
      <c r="BI594" s="163">
        <v>0</v>
      </c>
      <c r="BJ594" s="163">
        <v>0</v>
      </c>
      <c r="BK594" s="163">
        <v>0</v>
      </c>
      <c r="BL594" s="62">
        <v>0.3</v>
      </c>
      <c r="BM594" s="275">
        <v>2</v>
      </c>
      <c r="BN594" s="62">
        <v>0</v>
      </c>
      <c r="BO594" s="33" t="s">
        <v>526</v>
      </c>
    </row>
    <row r="595" spans="1:67">
      <c r="A595" s="33" t="str">
        <f>Database_Productkaarten[[#This Row],[Product]]&amp;", "&amp;Database_Productkaarten[[#This Row],[Levensfase]]</f>
        <v>DZOAB 30% PR - PCR 2.0, C1</v>
      </c>
      <c r="B595" s="33" t="s">
        <v>536</v>
      </c>
      <c r="C595" s="33" t="s">
        <v>483</v>
      </c>
      <c r="D595" s="33" t="s">
        <v>484</v>
      </c>
      <c r="E595" s="33" t="s">
        <v>378</v>
      </c>
      <c r="F595" s="33" t="s">
        <v>83</v>
      </c>
      <c r="L595" s="33">
        <v>2</v>
      </c>
      <c r="M595" s="269">
        <v>1</v>
      </c>
      <c r="N595" s="211">
        <v>0.17627297117651325</v>
      </c>
      <c r="O595" s="33">
        <v>14</v>
      </c>
      <c r="P595" s="163">
        <v>2.1676591193189698E-6</v>
      </c>
      <c r="Q595" s="163">
        <v>9.2211788198286095E-3</v>
      </c>
      <c r="R595" s="163">
        <v>1.87534062726637</v>
      </c>
      <c r="S595" s="163">
        <v>2.4233987580521499E-7</v>
      </c>
      <c r="T595" s="163">
        <v>6.1516415020849502E-4</v>
      </c>
      <c r="U595" s="163">
        <v>5.3270131408377896E-3</v>
      </c>
      <c r="V595" s="163">
        <v>1.14380048755945E-3</v>
      </c>
      <c r="W595" s="163">
        <v>0.504712392983376</v>
      </c>
      <c r="X595" s="163">
        <v>7.1932175320183001E-3</v>
      </c>
      <c r="Y595" s="163">
        <v>24.993260719961899</v>
      </c>
      <c r="Z595" s="163">
        <v>8.5184936708605503E-4</v>
      </c>
      <c r="AA595" s="163">
        <v>1.8868540275997601</v>
      </c>
      <c r="AB595" s="163">
        <v>1.8863123411900999</v>
      </c>
      <c r="AC595" s="163">
        <v>4.3144591806147398E-4</v>
      </c>
      <c r="AD595" s="163">
        <v>1.1024049160681599E-4</v>
      </c>
      <c r="AE595" s="163">
        <v>3.0535781494577802E-7</v>
      </c>
      <c r="AF595" s="163">
        <v>7.2305079383347898E-3</v>
      </c>
      <c r="AG595" s="163">
        <v>5.1504987220296498E-6</v>
      </c>
      <c r="AH595" s="163">
        <v>2.8044717862255302E-3</v>
      </c>
      <c r="AI595" s="163">
        <v>3.08259061579313E-2</v>
      </c>
      <c r="AJ595" s="163">
        <v>8.4242121019855003E-3</v>
      </c>
      <c r="AK595" s="163">
        <v>2.1676421094384899E-6</v>
      </c>
      <c r="AL595" s="163">
        <v>19.456124499727402</v>
      </c>
      <c r="AM595" s="163">
        <v>2.5912379837655701E-2</v>
      </c>
      <c r="AN595" s="163">
        <v>2.9948141809879799E-8</v>
      </c>
      <c r="AO595" s="163">
        <v>8.3507493389308796E-2</v>
      </c>
      <c r="AP595" s="163">
        <v>11.6737382044405</v>
      </c>
      <c r="AQ595" s="163">
        <v>4.0957602133201199E-10</v>
      </c>
      <c r="AR595" s="163">
        <v>8.19489586653638E-9</v>
      </c>
      <c r="AS595" s="163">
        <v>2.4850957645496901</v>
      </c>
      <c r="AT595" s="163">
        <v>0</v>
      </c>
      <c r="AU595" s="163">
        <v>0</v>
      </c>
      <c r="AV595" s="313">
        <v>0.106940525906477</v>
      </c>
      <c r="AW595" s="315">
        <v>0</v>
      </c>
      <c r="AX595" s="315">
        <v>0</v>
      </c>
      <c r="AY595" s="313">
        <v>20.6617888537968</v>
      </c>
      <c r="AZ595" s="163">
        <v>0</v>
      </c>
      <c r="BA595" s="163">
        <v>0</v>
      </c>
      <c r="BB595" s="163">
        <v>0</v>
      </c>
      <c r="BC595" s="163">
        <v>1.0057526423615599E-3</v>
      </c>
      <c r="BD595" s="163">
        <v>5.2984222193113598E-5</v>
      </c>
      <c r="BE595" s="163">
        <v>2.30218813318534E-2</v>
      </c>
      <c r="BF595" s="163">
        <v>1.3522110931075301E-4</v>
      </c>
      <c r="BG595" s="163">
        <v>0</v>
      </c>
      <c r="BH595" s="163">
        <v>0</v>
      </c>
      <c r="BI595" s="163">
        <v>0</v>
      </c>
      <c r="BJ595" s="163">
        <v>0</v>
      </c>
      <c r="BK595" s="163">
        <v>0</v>
      </c>
      <c r="BL595" s="62">
        <v>0.3</v>
      </c>
      <c r="BM595" s="275">
        <v>2</v>
      </c>
      <c r="BN595" s="62">
        <v>0</v>
      </c>
      <c r="BO595" s="33" t="s">
        <v>526</v>
      </c>
    </row>
    <row r="596" spans="1:67">
      <c r="A596" s="33" t="str">
        <f>Database_Productkaarten[[#This Row],[Product]]&amp;", "&amp;Database_Productkaarten[[#This Row],[Levensfase]]</f>
        <v>DZOAB 30% PR - PCR 2.0, C2</v>
      </c>
      <c r="B596" s="33" t="s">
        <v>536</v>
      </c>
      <c r="C596" s="33" t="s">
        <v>483</v>
      </c>
      <c r="D596" s="33" t="s">
        <v>484</v>
      </c>
      <c r="E596" s="33" t="s">
        <v>378</v>
      </c>
      <c r="F596" s="33" t="s">
        <v>84</v>
      </c>
      <c r="L596" s="33">
        <v>2</v>
      </c>
      <c r="M596" s="269">
        <v>1</v>
      </c>
      <c r="N596" s="211">
        <v>0.31791357541832999</v>
      </c>
      <c r="O596" s="33">
        <v>14</v>
      </c>
      <c r="P596" s="163">
        <v>7.2195843000000002E-5</v>
      </c>
      <c r="Q596" s="163">
        <v>2.5045429500000001E-2</v>
      </c>
      <c r="R596" s="163">
        <v>3.2726104581</v>
      </c>
      <c r="S596" s="163">
        <v>6.2448211500000004E-7</v>
      </c>
      <c r="T596" s="163">
        <v>2.3663202E-3</v>
      </c>
      <c r="U596" s="163">
        <v>9.9103019999999993E-3</v>
      </c>
      <c r="V596" s="163">
        <v>1.66070541E-3</v>
      </c>
      <c r="W596" s="163">
        <v>0.89062466159999998</v>
      </c>
      <c r="X596" s="163">
        <v>3.5055542699999998E-2</v>
      </c>
      <c r="Y596" s="163">
        <v>92.682047400000002</v>
      </c>
      <c r="Z596" s="163">
        <v>7.4868390000000003E-3</v>
      </c>
      <c r="AA596" s="163">
        <v>3.3150718431000001</v>
      </c>
      <c r="AB596" s="163">
        <v>3.3001817481</v>
      </c>
      <c r="AC596" s="163">
        <v>1.3607189190000001E-2</v>
      </c>
      <c r="AD596" s="163">
        <v>1.2829113599999999E-3</v>
      </c>
      <c r="AE596" s="163">
        <v>7.8107336699999998E-7</v>
      </c>
      <c r="AF596" s="163">
        <v>1.2482505E-2</v>
      </c>
      <c r="AG596" s="163">
        <v>3.4632532799999998E-5</v>
      </c>
      <c r="AH596" s="163">
        <v>2.8897329300000001E-3</v>
      </c>
      <c r="AI596" s="163">
        <v>3.3662059799999998E-2</v>
      </c>
      <c r="AJ596" s="163">
        <v>1.2098522699999999E-2</v>
      </c>
      <c r="AK596" s="163">
        <v>7.2195510000000004E-5</v>
      </c>
      <c r="AL596" s="163">
        <v>52.307882313</v>
      </c>
      <c r="AM596" s="163">
        <v>0.28570883850000001</v>
      </c>
      <c r="AN596" s="163">
        <v>2.8544027399999998E-7</v>
      </c>
      <c r="AO596" s="163">
        <v>0.22308385950000001</v>
      </c>
      <c r="AP596" s="163">
        <v>50.61443379</v>
      </c>
      <c r="AQ596" s="163">
        <v>1.35209877E-9</v>
      </c>
      <c r="AR596" s="163">
        <v>4.3221490799999998E-8</v>
      </c>
      <c r="AS596" s="163">
        <v>98.528772599999996</v>
      </c>
      <c r="AT596" s="163">
        <v>8.065825212</v>
      </c>
      <c r="AU596" s="163">
        <v>0</v>
      </c>
      <c r="AV596" s="313">
        <v>8.6963547624000004</v>
      </c>
      <c r="AW596" s="315">
        <v>0.70667511750000001</v>
      </c>
      <c r="AX596" s="315">
        <v>9.926829900000001E-4</v>
      </c>
      <c r="AY596" s="313">
        <v>55.561210727999999</v>
      </c>
      <c r="AZ596" s="163">
        <v>0</v>
      </c>
      <c r="BA596" s="163">
        <v>0</v>
      </c>
      <c r="BB596" s="163">
        <v>0</v>
      </c>
      <c r="BC596" s="163">
        <v>8.7338241000000007E-3</v>
      </c>
      <c r="BD596" s="163">
        <v>1.5376752299999999E-4</v>
      </c>
      <c r="BE596" s="163">
        <v>5.5583861609999996</v>
      </c>
      <c r="BF596" s="163">
        <v>3.4865666099999999E-4</v>
      </c>
      <c r="BG596" s="163">
        <v>0</v>
      </c>
      <c r="BH596" s="163">
        <v>0</v>
      </c>
      <c r="BI596" s="163">
        <v>0</v>
      </c>
      <c r="BJ596" s="163">
        <v>0</v>
      </c>
      <c r="BK596" s="163">
        <v>0</v>
      </c>
      <c r="BL596" s="62">
        <v>0.3</v>
      </c>
      <c r="BM596" s="275">
        <v>2</v>
      </c>
      <c r="BN596" s="62">
        <v>0</v>
      </c>
      <c r="BO596" s="33" t="s">
        <v>526</v>
      </c>
    </row>
    <row r="597" spans="1:67">
      <c r="A597" s="33" t="str">
        <f>Database_Productkaarten[[#This Row],[Product]]&amp;", "&amp;Database_Productkaarten[[#This Row],[Levensfase]]</f>
        <v>DZOAB 30% PR - PCR 2.0, C3</v>
      </c>
      <c r="B597" s="33" t="s">
        <v>536</v>
      </c>
      <c r="C597" s="33" t="s">
        <v>483</v>
      </c>
      <c r="D597" s="33" t="s">
        <v>484</v>
      </c>
      <c r="E597" s="33" t="s">
        <v>378</v>
      </c>
      <c r="F597" s="33" t="s">
        <v>85</v>
      </c>
      <c r="L597" s="33">
        <v>2</v>
      </c>
      <c r="M597" s="269">
        <v>1</v>
      </c>
      <c r="N597" s="211">
        <v>0.15929996488611861</v>
      </c>
      <c r="O597" s="33">
        <v>14</v>
      </c>
      <c r="P597" s="163">
        <v>1.86519505615819E-6</v>
      </c>
      <c r="Q597" s="163">
        <v>7.9345027054339001E-3</v>
      </c>
      <c r="R597" s="163">
        <v>1.6136651909036199</v>
      </c>
      <c r="S597" s="163">
        <v>2.0852500941379E-7</v>
      </c>
      <c r="T597" s="163">
        <v>5.8559282931068297E-4</v>
      </c>
      <c r="U597" s="163">
        <v>5.7290956095574601E-3</v>
      </c>
      <c r="V597" s="163">
        <v>1.2820009427835499E-3</v>
      </c>
      <c r="W597" s="163">
        <v>0.437053407364764</v>
      </c>
      <c r="X597" s="163">
        <v>6.1895127601087696E-3</v>
      </c>
      <c r="Y597" s="163">
        <v>21.505828991594999</v>
      </c>
      <c r="Z597" s="163">
        <v>7.3298666470195399E-4</v>
      </c>
      <c r="AA597" s="163">
        <v>1.62432602442305</v>
      </c>
      <c r="AB597" s="163">
        <v>1.6238599221635699</v>
      </c>
      <c r="AC597" s="163">
        <v>3.7124416205289699E-4</v>
      </c>
      <c r="AD597" s="163">
        <v>9.4858097429121105E-5</v>
      </c>
      <c r="AE597" s="163">
        <v>2.6274974774404198E-7</v>
      </c>
      <c r="AF597" s="163">
        <v>7.9167720632173696E-3</v>
      </c>
      <c r="AG597" s="163">
        <v>4.4318244817464502E-6</v>
      </c>
      <c r="AH597" s="163">
        <v>3.3042609381470599E-3</v>
      </c>
      <c r="AI597" s="163">
        <v>3.6283310996354103E-2</v>
      </c>
      <c r="AJ597" s="163">
        <v>9.65370997891642E-3</v>
      </c>
      <c r="AK597" s="163">
        <v>1.8651804197494001E-6</v>
      </c>
      <c r="AL597" s="163">
        <v>16.741316429998001</v>
      </c>
      <c r="AM597" s="163">
        <v>2.2296698930075801E-2</v>
      </c>
      <c r="AN597" s="163">
        <v>3.0576571408731198E-8</v>
      </c>
      <c r="AO597" s="163">
        <v>7.1855285009405107E-2</v>
      </c>
      <c r="AP597" s="163">
        <v>10.045649864340801</v>
      </c>
      <c r="AQ597" s="163">
        <v>3.5242587882056901E-10</v>
      </c>
      <c r="AR597" s="163">
        <v>7.5755651702224408E-9</v>
      </c>
      <c r="AS597" s="163">
        <v>2.1383382160078699</v>
      </c>
      <c r="AT597" s="163">
        <v>0</v>
      </c>
      <c r="AU597" s="163">
        <v>0</v>
      </c>
      <c r="AV597" s="313">
        <v>9.2018592059061793E-2</v>
      </c>
      <c r="AW597" s="315">
        <v>0</v>
      </c>
      <c r="AX597" s="315">
        <v>0</v>
      </c>
      <c r="AY597" s="313">
        <v>17.778748548615901</v>
      </c>
      <c r="AZ597" s="163">
        <v>0</v>
      </c>
      <c r="BA597" s="163">
        <v>0</v>
      </c>
      <c r="BB597" s="163">
        <v>0</v>
      </c>
      <c r="BC597" s="163">
        <v>8.6541506435762298E-4</v>
      </c>
      <c r="BD597" s="163">
        <v>4.55910749103536E-5</v>
      </c>
      <c r="BE597" s="163">
        <v>1.9809525797176201E-2</v>
      </c>
      <c r="BF597" s="163">
        <v>1.16353047546462E-4</v>
      </c>
      <c r="BG597" s="163">
        <v>0</v>
      </c>
      <c r="BH597" s="163">
        <v>1000</v>
      </c>
      <c r="BI597" s="163">
        <v>0</v>
      </c>
      <c r="BJ597" s="163">
        <v>0</v>
      </c>
      <c r="BK597" s="163">
        <v>0</v>
      </c>
      <c r="BL597" s="62">
        <v>0.3</v>
      </c>
      <c r="BM597" s="275">
        <v>2</v>
      </c>
      <c r="BN597" s="62">
        <v>0</v>
      </c>
      <c r="BO597" s="33" t="s">
        <v>526</v>
      </c>
    </row>
    <row r="598" spans="1:67">
      <c r="A598" s="33" t="str">
        <f>Database_Productkaarten[[#This Row],[Product]]&amp;", "&amp;Database_Productkaarten[[#This Row],[Levensfase]]</f>
        <v>DZOAB 30% PR - PCR 2.0, C4</v>
      </c>
      <c r="B598" s="33" t="s">
        <v>536</v>
      </c>
      <c r="C598" s="33" t="s">
        <v>483</v>
      </c>
      <c r="D598" s="33" t="s">
        <v>484</v>
      </c>
      <c r="E598" s="33" t="s">
        <v>378</v>
      </c>
      <c r="F598" s="33" t="s">
        <v>86</v>
      </c>
      <c r="L598" s="33">
        <v>2</v>
      </c>
      <c r="M598" s="269">
        <v>1</v>
      </c>
      <c r="N598" s="211">
        <v>0</v>
      </c>
      <c r="O598" s="33">
        <v>14</v>
      </c>
      <c r="P598" s="163">
        <v>0</v>
      </c>
      <c r="Q598" s="163">
        <v>0</v>
      </c>
      <c r="R598" s="163">
        <v>0</v>
      </c>
      <c r="S598" s="163">
        <v>0</v>
      </c>
      <c r="T598" s="163">
        <v>0</v>
      </c>
      <c r="U598" s="163">
        <v>0</v>
      </c>
      <c r="V598" s="163">
        <v>0</v>
      </c>
      <c r="W598" s="163">
        <v>0</v>
      </c>
      <c r="X598" s="163">
        <v>0</v>
      </c>
      <c r="Y598" s="163">
        <v>0</v>
      </c>
      <c r="Z598" s="163">
        <v>0</v>
      </c>
      <c r="AA598" s="163">
        <v>0</v>
      </c>
      <c r="AB598" s="163">
        <v>0</v>
      </c>
      <c r="AC598" s="163">
        <v>0</v>
      </c>
      <c r="AD598" s="163">
        <v>0</v>
      </c>
      <c r="AE598" s="163">
        <v>0</v>
      </c>
      <c r="AF598" s="163">
        <v>0</v>
      </c>
      <c r="AG598" s="163">
        <v>0</v>
      </c>
      <c r="AH598" s="163">
        <v>0</v>
      </c>
      <c r="AI598" s="163">
        <v>0</v>
      </c>
      <c r="AJ598" s="163">
        <v>0</v>
      </c>
      <c r="AK598" s="163">
        <v>0</v>
      </c>
      <c r="AL598" s="163">
        <v>0</v>
      </c>
      <c r="AM598" s="163">
        <v>0</v>
      </c>
      <c r="AN598" s="163">
        <v>0</v>
      </c>
      <c r="AO598" s="163">
        <v>0</v>
      </c>
      <c r="AP598" s="163">
        <v>0</v>
      </c>
      <c r="AQ598" s="163">
        <v>0</v>
      </c>
      <c r="AR598" s="163">
        <v>0</v>
      </c>
      <c r="AS598" s="163">
        <v>0</v>
      </c>
      <c r="AT598" s="163">
        <v>0</v>
      </c>
      <c r="AU598" s="163">
        <v>0</v>
      </c>
      <c r="AV598" s="313">
        <v>0</v>
      </c>
      <c r="AW598" s="315">
        <v>0</v>
      </c>
      <c r="AX598" s="315">
        <v>0</v>
      </c>
      <c r="AY598" s="313">
        <v>0</v>
      </c>
      <c r="AZ598" s="163">
        <v>0</v>
      </c>
      <c r="BA598" s="163">
        <v>0</v>
      </c>
      <c r="BB598" s="163">
        <v>0</v>
      </c>
      <c r="BC598" s="163">
        <v>0</v>
      </c>
      <c r="BD598" s="163">
        <v>0</v>
      </c>
      <c r="BE598" s="163">
        <v>0</v>
      </c>
      <c r="BF598" s="163">
        <v>0</v>
      </c>
      <c r="BG598" s="163">
        <v>0</v>
      </c>
      <c r="BH598" s="163">
        <v>0</v>
      </c>
      <c r="BI598" s="163">
        <v>0</v>
      </c>
      <c r="BJ598" s="163">
        <v>0</v>
      </c>
      <c r="BK598" s="163">
        <v>0</v>
      </c>
      <c r="BL598" s="62">
        <v>0.3</v>
      </c>
      <c r="BM598" s="275">
        <v>2</v>
      </c>
      <c r="BN598" s="62">
        <v>0</v>
      </c>
      <c r="BO598" s="33" t="s">
        <v>526</v>
      </c>
    </row>
    <row r="599" spans="1:67">
      <c r="A599" s="33" t="str">
        <f>Database_Productkaarten[[#This Row],[Product]]&amp;", "&amp;Database_Productkaarten[[#This Row],[Levensfase]]</f>
        <v>DZOAB 30% PR - PCR 2.0, D</v>
      </c>
      <c r="B599" s="33" t="s">
        <v>536</v>
      </c>
      <c r="C599" s="33" t="s">
        <v>483</v>
      </c>
      <c r="D599" s="33" t="s">
        <v>484</v>
      </c>
      <c r="E599" s="33" t="s">
        <v>378</v>
      </c>
      <c r="F599" s="33" t="s">
        <v>89</v>
      </c>
      <c r="L599" s="33">
        <v>2</v>
      </c>
      <c r="M599" s="269">
        <v>1</v>
      </c>
      <c r="N599" s="211">
        <v>-2.416942147149086</v>
      </c>
      <c r="O599" s="33">
        <v>14</v>
      </c>
      <c r="P599" s="163">
        <v>-3.3274904498508599E-4</v>
      </c>
      <c r="Q599" s="163">
        <v>-0.39874893918223298</v>
      </c>
      <c r="R599" s="163">
        <v>-17.895414322360001</v>
      </c>
      <c r="S599" s="163">
        <v>-1.55698336192535E-6</v>
      </c>
      <c r="T599" s="163">
        <v>-4.3088635133007799E-2</v>
      </c>
      <c r="U599" s="163">
        <v>-0.12731937539712199</v>
      </c>
      <c r="V599" s="163">
        <v>-1.2789210449927899E-2</v>
      </c>
      <c r="W599" s="163">
        <v>-5.06483567542623</v>
      </c>
      <c r="X599" s="163">
        <v>-0.61581282427747197</v>
      </c>
      <c r="Y599" s="163">
        <v>-2684.5303925713001</v>
      </c>
      <c r="Z599" s="163">
        <v>-8.2522512270060605E-2</v>
      </c>
      <c r="AA599" s="163">
        <v>-5.3604029991510904</v>
      </c>
      <c r="AB599" s="163">
        <v>-5.2907632754777199</v>
      </c>
      <c r="AC599" s="163">
        <v>-6.2787726157743806E-2</v>
      </c>
      <c r="AD599" s="163">
        <v>-6.8519975156439003E-3</v>
      </c>
      <c r="AE599" s="163">
        <v>-6.9417203325155104E-7</v>
      </c>
      <c r="AF599" s="163">
        <v>-5.3084551541001598E-2</v>
      </c>
      <c r="AG599" s="163">
        <v>-2.31102096812949E-4</v>
      </c>
      <c r="AH599" s="163">
        <v>-1.57073783904416E-2</v>
      </c>
      <c r="AI599" s="163">
        <v>-0.20038562017640199</v>
      </c>
      <c r="AJ599" s="163">
        <v>-4.8669267728057602E-2</v>
      </c>
      <c r="AK599" s="163">
        <v>-3.3095685952739E-4</v>
      </c>
      <c r="AL599" s="163">
        <v>-77.430844404562293</v>
      </c>
      <c r="AM599" s="163">
        <v>-18.588318711567801</v>
      </c>
      <c r="AN599" s="163">
        <v>-7.5963122194116802E-7</v>
      </c>
      <c r="AO599" s="163">
        <v>-0.42251850219403297</v>
      </c>
      <c r="AP599" s="163">
        <v>-795.20773544385202</v>
      </c>
      <c r="AQ599" s="163">
        <v>-3.99361590926694E-9</v>
      </c>
      <c r="AR599" s="163">
        <v>-9.0366385076649305E-8</v>
      </c>
      <c r="AS599" s="163">
        <v>-974.72613593585095</v>
      </c>
      <c r="AT599" s="163">
        <v>0</v>
      </c>
      <c r="AU599" s="163">
        <v>0</v>
      </c>
      <c r="AV599" s="313">
        <v>-9.7826582819558805</v>
      </c>
      <c r="AW599" s="315">
        <v>0</v>
      </c>
      <c r="AX599" s="315">
        <v>0</v>
      </c>
      <c r="AY599" s="313">
        <v>-901.35087712034294</v>
      </c>
      <c r="AZ599" s="163">
        <v>0</v>
      </c>
      <c r="BA599" s="163">
        <v>0</v>
      </c>
      <c r="BB599" s="163">
        <v>0</v>
      </c>
      <c r="BC599" s="163">
        <v>-9.5661741380530501</v>
      </c>
      <c r="BD599" s="163">
        <v>-4.3000605163101102E-4</v>
      </c>
      <c r="BE599" s="163">
        <v>-1.64286348615919</v>
      </c>
      <c r="BF599" s="163">
        <v>-5.5024433628369704E-4</v>
      </c>
      <c r="BG599" s="163">
        <v>0</v>
      </c>
      <c r="BH599" s="163">
        <v>0</v>
      </c>
      <c r="BI599" s="163">
        <v>0</v>
      </c>
      <c r="BJ599" s="163">
        <v>0</v>
      </c>
      <c r="BK599" s="163">
        <v>0</v>
      </c>
      <c r="BL599" s="62">
        <v>0.3</v>
      </c>
      <c r="BM599" s="275">
        <v>2</v>
      </c>
      <c r="BN599" s="62">
        <v>0</v>
      </c>
      <c r="BO599" s="33" t="s">
        <v>526</v>
      </c>
    </row>
    <row r="600" spans="1:67">
      <c r="A600" s="33" t="str">
        <f>Database_Productkaarten[[#This Row],[Product]]&amp;", "&amp;Database_Productkaarten[[#This Row],[Levensfase]]</f>
        <v>2L-ZOAB toplaag G.M. - PCR 2.0, Totaal</v>
      </c>
      <c r="B600" s="33" t="s">
        <v>537</v>
      </c>
      <c r="C600" s="33" t="s">
        <v>483</v>
      </c>
      <c r="D600" s="33" t="s">
        <v>484</v>
      </c>
      <c r="E600" s="33" t="s">
        <v>378</v>
      </c>
      <c r="F600" s="33" t="s">
        <v>90</v>
      </c>
      <c r="L600" s="33">
        <v>2</v>
      </c>
      <c r="M600" s="269">
        <v>1</v>
      </c>
      <c r="N600" s="41">
        <f>SUM(N601:N616)</f>
        <v>27.101125376315924</v>
      </c>
      <c r="O600" s="33">
        <v>10</v>
      </c>
      <c r="P600" s="40">
        <f>SUM(P601:P616)</f>
        <v>1.4239053100496992E-2</v>
      </c>
      <c r="Q600" s="40">
        <f t="shared" ref="Q600:BK600" si="67">SUM(Q601:Q616)</f>
        <v>3.1389970485366021</v>
      </c>
      <c r="R600" s="40">
        <f t="shared" si="67"/>
        <v>229.9117597342649</v>
      </c>
      <c r="S600" s="40">
        <f t="shared" si="67"/>
        <v>2.6763476893706356E-5</v>
      </c>
      <c r="T600" s="40">
        <f t="shared" si="67"/>
        <v>0.29696866573291497</v>
      </c>
      <c r="U600" s="40">
        <f t="shared" si="67"/>
        <v>1.3078696136235144</v>
      </c>
      <c r="V600" s="40">
        <f t="shared" si="67"/>
        <v>0.15155337657913062</v>
      </c>
      <c r="W600" s="40">
        <f t="shared" si="67"/>
        <v>63.157509074276774</v>
      </c>
      <c r="X600" s="40">
        <f t="shared" si="67"/>
        <v>7.020342347999228</v>
      </c>
      <c r="Y600" s="40">
        <f t="shared" si="67"/>
        <v>19810.012488100554</v>
      </c>
      <c r="Z600" s="40">
        <f t="shared" si="67"/>
        <v>0.58388663211549319</v>
      </c>
      <c r="AA600" s="40">
        <f t="shared" si="67"/>
        <v>256.62850172180191</v>
      </c>
      <c r="AB600" s="40">
        <f t="shared" si="67"/>
        <v>256.46258522830942</v>
      </c>
      <c r="AC600" s="40">
        <f t="shared" si="67"/>
        <v>0.104102406957673</v>
      </c>
      <c r="AD600" s="40">
        <f t="shared" si="67"/>
        <v>0.1273772698850896</v>
      </c>
      <c r="AE600" s="40">
        <f t="shared" si="67"/>
        <v>3.4014850079158226E-5</v>
      </c>
      <c r="AF600" s="40">
        <f t="shared" si="67"/>
        <v>1.7568085903031232</v>
      </c>
      <c r="AG600" s="40">
        <f t="shared" si="67"/>
        <v>3.564591299658278E-3</v>
      </c>
      <c r="AH600" s="40">
        <f t="shared" si="67"/>
        <v>0.3613616976374398</v>
      </c>
      <c r="AI600" s="40">
        <f t="shared" si="67"/>
        <v>3.9627700168136872</v>
      </c>
      <c r="AJ600" s="40">
        <f t="shared" si="67"/>
        <v>1.59405430359037</v>
      </c>
      <c r="AK600" s="40">
        <f t="shared" si="67"/>
        <v>1.4241472481928596E-2</v>
      </c>
      <c r="AL600" s="40">
        <f t="shared" si="67"/>
        <v>7624.5946792029645</v>
      </c>
      <c r="AM600" s="40">
        <f t="shared" si="67"/>
        <v>78.638263622718938</v>
      </c>
      <c r="AN600" s="40">
        <f t="shared" si="67"/>
        <v>9.3113070540519888E-6</v>
      </c>
      <c r="AO600" s="40">
        <f t="shared" si="67"/>
        <v>9.394523756294225</v>
      </c>
      <c r="AP600" s="40">
        <f t="shared" si="67"/>
        <v>10600.10602912727</v>
      </c>
      <c r="AQ600" s="40">
        <f t="shared" si="67"/>
        <v>7.7350740382062773E-8</v>
      </c>
      <c r="AR600" s="40">
        <f t="shared" si="67"/>
        <v>2.682829866808117E-6</v>
      </c>
      <c r="AS600" s="40">
        <f t="shared" si="67"/>
        <v>5035.3129696130509</v>
      </c>
      <c r="AT600" s="40">
        <f t="shared" si="67"/>
        <v>8.065825212</v>
      </c>
      <c r="AU600" s="40">
        <f t="shared" si="67"/>
        <v>0</v>
      </c>
      <c r="AV600" s="313">
        <f t="shared" si="67"/>
        <v>119.86765861190401</v>
      </c>
      <c r="AW600" s="317">
        <f t="shared" si="67"/>
        <v>0.70667511750000001</v>
      </c>
      <c r="AX600" s="317">
        <f t="shared" si="67"/>
        <v>9.926829900000001E-4</v>
      </c>
      <c r="AY600" s="313">
        <f t="shared" si="67"/>
        <v>6969.173258884015</v>
      </c>
      <c r="AZ600" s="40">
        <f t="shared" si="67"/>
        <v>0</v>
      </c>
      <c r="BA600" s="40">
        <f t="shared" si="67"/>
        <v>0</v>
      </c>
      <c r="BB600" s="40">
        <f t="shared" si="67"/>
        <v>0</v>
      </c>
      <c r="BC600" s="40">
        <f t="shared" si="67"/>
        <v>-10.945260371935595</v>
      </c>
      <c r="BD600" s="40">
        <f t="shared" si="67"/>
        <v>4.4008701726329109E-3</v>
      </c>
      <c r="BE600" s="40">
        <f t="shared" si="67"/>
        <v>31.343186341180044</v>
      </c>
      <c r="BF600" s="40">
        <f t="shared" si="67"/>
        <v>1.1231462080708139E-2</v>
      </c>
      <c r="BG600" s="40">
        <f t="shared" si="67"/>
        <v>0</v>
      </c>
      <c r="BH600" s="40">
        <f t="shared" si="67"/>
        <v>1000</v>
      </c>
      <c r="BI600" s="40">
        <f t="shared" si="67"/>
        <v>0</v>
      </c>
      <c r="BJ600" s="40">
        <f t="shared" si="67"/>
        <v>0</v>
      </c>
      <c r="BK600" s="40">
        <f t="shared" si="67"/>
        <v>0</v>
      </c>
      <c r="BL600" s="62">
        <v>0</v>
      </c>
      <c r="BM600" s="275">
        <v>2</v>
      </c>
      <c r="BN600" s="62">
        <v>0</v>
      </c>
      <c r="BO600" s="33" t="s">
        <v>526</v>
      </c>
    </row>
    <row r="601" spans="1:67">
      <c r="A601" s="33" t="str">
        <f>Database_Productkaarten[[#This Row],[Product]]&amp;", "&amp;Database_Productkaarten[[#This Row],[Levensfase]]</f>
        <v>2L-ZOAB toplaag G.M. - PCR 2.0, A1</v>
      </c>
      <c r="B601" s="33" t="s">
        <v>537</v>
      </c>
      <c r="C601" s="33" t="s">
        <v>483</v>
      </c>
      <c r="D601" s="33" t="s">
        <v>484</v>
      </c>
      <c r="E601" s="33" t="s">
        <v>378</v>
      </c>
      <c r="F601" s="33" t="s">
        <v>74</v>
      </c>
      <c r="L601" s="33">
        <v>2</v>
      </c>
      <c r="M601" s="269">
        <v>1</v>
      </c>
      <c r="N601" s="211">
        <v>10.05687757897684</v>
      </c>
      <c r="O601" s="33">
        <v>10</v>
      </c>
      <c r="P601" s="163">
        <v>7.0485598450145698E-3</v>
      </c>
      <c r="Q601" s="163">
        <v>1.5325118308383801</v>
      </c>
      <c r="R601" s="163">
        <v>84.690224335510095</v>
      </c>
      <c r="S601" s="163">
        <v>8.5601990668472799E-6</v>
      </c>
      <c r="T601" s="163">
        <v>0.157669919121872</v>
      </c>
      <c r="U601" s="163">
        <v>0.464747227965851</v>
      </c>
      <c r="V601" s="163">
        <v>4.6156653553408297E-2</v>
      </c>
      <c r="W601" s="163">
        <v>21.967720840627202</v>
      </c>
      <c r="X601" s="163">
        <v>2.1576235176019098</v>
      </c>
      <c r="Y601" s="163">
        <v>9266.0284678984808</v>
      </c>
      <c r="Z601" s="163">
        <v>0.29358056096350099</v>
      </c>
      <c r="AA601" s="163">
        <v>88.579557487932107</v>
      </c>
      <c r="AB601" s="163">
        <v>88.531932309774902</v>
      </c>
      <c r="AC601" s="163">
        <v>2.9092248158350199E-2</v>
      </c>
      <c r="AD601" s="163">
        <v>5.1314529998837302E-2</v>
      </c>
      <c r="AE601" s="163">
        <v>1.03576556366527E-5</v>
      </c>
      <c r="AF601" s="163">
        <v>0.55826191764369204</v>
      </c>
      <c r="AG601" s="163">
        <v>1.5143502719031799E-3</v>
      </c>
      <c r="AH601" s="163">
        <v>9.0738580353824802E-2</v>
      </c>
      <c r="AI601" s="163">
        <v>1.0007882970888999</v>
      </c>
      <c r="AJ601" s="163">
        <v>0.53052987240980898</v>
      </c>
      <c r="AK601" s="163">
        <v>7.0484937364320302E-3</v>
      </c>
      <c r="AL601" s="163">
        <v>3239.83300874926</v>
      </c>
      <c r="AM601" s="163">
        <v>51.141135868248298</v>
      </c>
      <c r="AN601" s="163">
        <v>3.9093808741272803E-6</v>
      </c>
      <c r="AO601" s="163">
        <v>3.46238671478587</v>
      </c>
      <c r="AP601" s="163">
        <v>5548.2811753269098</v>
      </c>
      <c r="AQ601" s="163">
        <v>2.71544102983942E-8</v>
      </c>
      <c r="AR601" s="163">
        <v>1.05102191889547E-6</v>
      </c>
      <c r="AS601" s="163">
        <v>2993.1333959066501</v>
      </c>
      <c r="AT601" s="163">
        <v>0</v>
      </c>
      <c r="AU601" s="163">
        <v>0</v>
      </c>
      <c r="AV601" s="313">
        <v>52.500721942357998</v>
      </c>
      <c r="AW601" s="315">
        <v>0</v>
      </c>
      <c r="AX601" s="315">
        <v>0</v>
      </c>
      <c r="AY601" s="313">
        <v>3448.8218321559002</v>
      </c>
      <c r="AZ601" s="163">
        <v>0</v>
      </c>
      <c r="BA601" s="163">
        <v>0</v>
      </c>
      <c r="BB601" s="163">
        <v>0</v>
      </c>
      <c r="BC601" s="163">
        <v>1.28790043784175</v>
      </c>
      <c r="BD601" s="163">
        <v>1.48538043644364E-3</v>
      </c>
      <c r="BE601" s="163">
        <v>5.71426169373819</v>
      </c>
      <c r="BF601" s="163">
        <v>3.6653481630230201E-3</v>
      </c>
      <c r="BG601" s="163">
        <v>0</v>
      </c>
      <c r="BH601" s="163">
        <v>0</v>
      </c>
      <c r="BI601" s="163">
        <v>0</v>
      </c>
      <c r="BJ601" s="163">
        <v>0</v>
      </c>
      <c r="BK601" s="163">
        <v>0</v>
      </c>
      <c r="BL601" s="62">
        <v>0</v>
      </c>
      <c r="BM601" s="275">
        <v>2</v>
      </c>
      <c r="BN601" s="62">
        <v>0</v>
      </c>
      <c r="BO601" s="33" t="s">
        <v>526</v>
      </c>
    </row>
    <row r="602" spans="1:67">
      <c r="A602" s="33" t="str">
        <f>Database_Productkaarten[[#This Row],[Product]]&amp;", "&amp;Database_Productkaarten[[#This Row],[Levensfase]]</f>
        <v>2L-ZOAB toplaag G.M. - PCR 2.0, A2</v>
      </c>
      <c r="B602" s="33" t="s">
        <v>537</v>
      </c>
      <c r="C602" s="33" t="s">
        <v>483</v>
      </c>
      <c r="D602" s="33" t="s">
        <v>484</v>
      </c>
      <c r="E602" s="33" t="s">
        <v>378</v>
      </c>
      <c r="F602" s="33" t="s">
        <v>75</v>
      </c>
      <c r="L602" s="33">
        <v>2</v>
      </c>
      <c r="M602" s="269">
        <v>1</v>
      </c>
      <c r="N602" s="211">
        <v>2.7996225951288167</v>
      </c>
      <c r="O602" s="33">
        <v>10</v>
      </c>
      <c r="P602" s="163">
        <v>2.13420155110849E-4</v>
      </c>
      <c r="Q602" s="163">
        <v>0.10494079045435099</v>
      </c>
      <c r="R602" s="163">
        <v>16.109589182023399</v>
      </c>
      <c r="S602" s="163">
        <v>2.60392705480855E-6</v>
      </c>
      <c r="T602" s="163">
        <v>1.49486795149709E-2</v>
      </c>
      <c r="U602" s="163">
        <v>0.23925456417448701</v>
      </c>
      <c r="V602" s="163">
        <v>3.1273040150042702E-2</v>
      </c>
      <c r="W602" s="163">
        <v>7.1316002764179798</v>
      </c>
      <c r="X602" s="163">
        <v>0.15161604987623001</v>
      </c>
      <c r="Y602" s="163">
        <v>610.37442736072296</v>
      </c>
      <c r="Z602" s="163">
        <v>2.3956972170616701E-2</v>
      </c>
      <c r="AA602" s="163">
        <v>16.253190419585099</v>
      </c>
      <c r="AB602" s="163">
        <v>16.2327153315941</v>
      </c>
      <c r="AC602" s="163">
        <v>6.3945497816173796E-3</v>
      </c>
      <c r="AD602" s="163">
        <v>1.4080538209387599E-2</v>
      </c>
      <c r="AE602" s="163">
        <v>3.2664107588635802E-6</v>
      </c>
      <c r="AF602" s="163">
        <v>0.30488780754799999</v>
      </c>
      <c r="AG602" s="163">
        <v>1.27566164022406E-4</v>
      </c>
      <c r="AH602" s="163">
        <v>8.5020011409540297E-2</v>
      </c>
      <c r="AI602" s="163">
        <v>0.94252575383808401</v>
      </c>
      <c r="AJ602" s="163">
        <v>0.246981413683145</v>
      </c>
      <c r="AK602" s="163">
        <v>2.1341636693357E-4</v>
      </c>
      <c r="AL602" s="163">
        <v>218.72537931022899</v>
      </c>
      <c r="AM602" s="163">
        <v>0.64059118256492498</v>
      </c>
      <c r="AN602" s="163">
        <v>7.6878069437594902E-7</v>
      </c>
      <c r="AO602" s="163">
        <v>0.93297474233756195</v>
      </c>
      <c r="AP602" s="163">
        <v>171.560989063086</v>
      </c>
      <c r="AQ602" s="163">
        <v>8.1805475160203497E-9</v>
      </c>
      <c r="AR602" s="163">
        <v>1.52336921085494E-7</v>
      </c>
      <c r="AS602" s="163">
        <v>116.441826010284</v>
      </c>
      <c r="AT602" s="163">
        <v>0</v>
      </c>
      <c r="AU602" s="163">
        <v>0</v>
      </c>
      <c r="AV602" s="313">
        <v>2.7355638826263999</v>
      </c>
      <c r="AW602" s="315">
        <v>0</v>
      </c>
      <c r="AX602" s="315">
        <v>0</v>
      </c>
      <c r="AY602" s="313">
        <v>232.19321070966899</v>
      </c>
      <c r="AZ602" s="163">
        <v>0</v>
      </c>
      <c r="BA602" s="163">
        <v>0</v>
      </c>
      <c r="BB602" s="163">
        <v>0</v>
      </c>
      <c r="BC602" s="163">
        <v>2.3521156138375798E-2</v>
      </c>
      <c r="BD602" s="163">
        <v>4.0670843532648198E-4</v>
      </c>
      <c r="BE602" s="163">
        <v>5.3256453100073902</v>
      </c>
      <c r="BF602" s="163">
        <v>1.4683651318944601E-3</v>
      </c>
      <c r="BG602" s="163">
        <v>0</v>
      </c>
      <c r="BH602" s="163">
        <v>0</v>
      </c>
      <c r="BI602" s="163">
        <v>0</v>
      </c>
      <c r="BJ602" s="163">
        <v>0</v>
      </c>
      <c r="BK602" s="163">
        <v>0</v>
      </c>
      <c r="BL602" s="62">
        <v>0</v>
      </c>
      <c r="BM602" s="275">
        <v>2</v>
      </c>
      <c r="BN602" s="62">
        <v>0</v>
      </c>
      <c r="BO602" s="33" t="s">
        <v>526</v>
      </c>
    </row>
    <row r="603" spans="1:67">
      <c r="A603" s="33" t="str">
        <f>Database_Productkaarten[[#This Row],[Product]]&amp;", "&amp;Database_Productkaarten[[#This Row],[Levensfase]]</f>
        <v>2L-ZOAB toplaag G.M. - PCR 2.0, A3</v>
      </c>
      <c r="B603" s="33" t="s">
        <v>537</v>
      </c>
      <c r="C603" s="33" t="s">
        <v>483</v>
      </c>
      <c r="D603" s="33" t="s">
        <v>484</v>
      </c>
      <c r="E603" s="33" t="s">
        <v>378</v>
      </c>
      <c r="F603" s="33" t="s">
        <v>76</v>
      </c>
      <c r="L603" s="33">
        <v>2</v>
      </c>
      <c r="M603" s="269">
        <v>1</v>
      </c>
      <c r="N603" s="211">
        <v>1.5294153357869176</v>
      </c>
      <c r="O603" s="33">
        <v>10</v>
      </c>
      <c r="P603" s="163">
        <v>2.2162794740024399E-5</v>
      </c>
      <c r="Q603" s="163">
        <v>0.17801405249353799</v>
      </c>
      <c r="R603" s="163">
        <v>20.9743535596992</v>
      </c>
      <c r="S603" s="163">
        <v>2.3381257066619901E-6</v>
      </c>
      <c r="T603" s="163">
        <v>3.4222596503588301E-3</v>
      </c>
      <c r="U603" s="163">
        <v>2.15656306237327E-2</v>
      </c>
      <c r="V603" s="163">
        <v>3.7087770509450502E-3</v>
      </c>
      <c r="W603" s="163">
        <v>3.4833068543260501</v>
      </c>
      <c r="X603" s="163">
        <v>2.4430187573776099E-2</v>
      </c>
      <c r="Y603" s="163">
        <v>99.413439982048303</v>
      </c>
      <c r="Z603" s="163">
        <v>2.4730296928612599E-2</v>
      </c>
      <c r="AA603" s="163">
        <v>21.291404905874199</v>
      </c>
      <c r="AB603" s="163">
        <v>21.236415244729201</v>
      </c>
      <c r="AC603" s="163">
        <v>5.3081656342937197E-2</v>
      </c>
      <c r="AD603" s="163">
        <v>1.9080048021748799E-3</v>
      </c>
      <c r="AE603" s="163">
        <v>2.6338558949919698E-6</v>
      </c>
      <c r="AF603" s="163">
        <v>2.7722694969124901E-2</v>
      </c>
      <c r="AG603" s="163">
        <v>2.6780669531013699E-4</v>
      </c>
      <c r="AH603" s="163">
        <v>7.7278318717700096E-3</v>
      </c>
      <c r="AI603" s="163">
        <v>8.7599550161384002E-2</v>
      </c>
      <c r="AJ603" s="163">
        <v>2.62516823151056E-2</v>
      </c>
      <c r="AK603" s="163">
        <v>2.2162492909336799E-5</v>
      </c>
      <c r="AL603" s="163">
        <v>327.48531497469003</v>
      </c>
      <c r="AM603" s="163">
        <v>0.53320403108913805</v>
      </c>
      <c r="AN603" s="163">
        <v>1.8943643093064601E-7</v>
      </c>
      <c r="AO603" s="163">
        <v>0.25391614819859099</v>
      </c>
      <c r="AP603" s="163">
        <v>75.956325210655905</v>
      </c>
      <c r="AQ603" s="163">
        <v>2.7240352298618502E-9</v>
      </c>
      <c r="AR603" s="163">
        <v>4.88230021573485E-8</v>
      </c>
      <c r="AS603" s="163">
        <v>16.054487205260799</v>
      </c>
      <c r="AT603" s="163">
        <v>0</v>
      </c>
      <c r="AU603" s="163">
        <v>0</v>
      </c>
      <c r="AV603" s="313">
        <v>6.8865506591334196</v>
      </c>
      <c r="AW603" s="315">
        <v>0</v>
      </c>
      <c r="AX603" s="315">
        <v>0</v>
      </c>
      <c r="AY603" s="313">
        <v>360.77337324221799</v>
      </c>
      <c r="AZ603" s="163">
        <v>0</v>
      </c>
      <c r="BA603" s="163">
        <v>0</v>
      </c>
      <c r="BB603" s="163">
        <v>0</v>
      </c>
      <c r="BC603" s="163">
        <v>3.9938103864018699E-2</v>
      </c>
      <c r="BD603" s="163">
        <v>3.9533344612320201E-4</v>
      </c>
      <c r="BE603" s="163">
        <v>0.26554883555020897</v>
      </c>
      <c r="BF603" s="163">
        <v>3.1990599475560498E-4</v>
      </c>
      <c r="BG603" s="163">
        <v>0</v>
      </c>
      <c r="BH603" s="163">
        <v>0</v>
      </c>
      <c r="BI603" s="163">
        <v>0</v>
      </c>
      <c r="BJ603" s="163">
        <v>0</v>
      </c>
      <c r="BK603" s="163">
        <v>0</v>
      </c>
      <c r="BL603" s="62">
        <v>0</v>
      </c>
      <c r="BM603" s="275">
        <v>2</v>
      </c>
      <c r="BN603" s="62">
        <v>0</v>
      </c>
      <c r="BO603" s="33" t="s">
        <v>526</v>
      </c>
    </row>
    <row r="604" spans="1:67">
      <c r="A604" s="33" t="str">
        <f>Database_Productkaarten[[#This Row],[Product]]&amp;", "&amp;Database_Productkaarten[[#This Row],[Levensfase]]</f>
        <v>2L-ZOAB toplaag G.M. - PCR 2.0, A1-A3</v>
      </c>
      <c r="B604" s="33" t="str">
        <f>B603</f>
        <v>2L-ZOAB toplaag G.M. - PCR 2.0</v>
      </c>
      <c r="C604" s="33" t="str">
        <f>C603</f>
        <v>Bitumineuze verhardingen</v>
      </c>
      <c r="D604" s="33" t="str">
        <f>D603</f>
        <v>ZOAB</v>
      </c>
      <c r="E604" s="33" t="str">
        <f>E603</f>
        <v>Ton</v>
      </c>
      <c r="F604" s="33" t="s">
        <v>77</v>
      </c>
      <c r="L604" s="33">
        <f>L603</f>
        <v>2</v>
      </c>
      <c r="M604" s="45">
        <f>M603</f>
        <v>1</v>
      </c>
      <c r="N604" s="41">
        <f>SUM(N601:N603)</f>
        <v>14.385915509892573</v>
      </c>
      <c r="O604" s="33">
        <f>O603</f>
        <v>10</v>
      </c>
      <c r="P604" s="40">
        <f>SUM(P601:P603)</f>
        <v>7.2841427948654438E-3</v>
      </c>
      <c r="Q604" s="40">
        <f t="shared" ref="Q604:BK604" si="68">SUM(Q601:Q603)</f>
        <v>1.815466673786269</v>
      </c>
      <c r="R604" s="40">
        <f t="shared" si="68"/>
        <v>121.77416707723269</v>
      </c>
      <c r="S604" s="40">
        <f t="shared" si="68"/>
        <v>1.3502251828317821E-5</v>
      </c>
      <c r="T604" s="40">
        <f t="shared" si="68"/>
        <v>0.17604085828720173</v>
      </c>
      <c r="U604" s="40">
        <f t="shared" si="68"/>
        <v>0.72556742276407071</v>
      </c>
      <c r="V604" s="40">
        <f t="shared" si="68"/>
        <v>8.113847075439605E-2</v>
      </c>
      <c r="W604" s="40">
        <f t="shared" si="68"/>
        <v>32.582627971371231</v>
      </c>
      <c r="X604" s="40">
        <f t="shared" si="68"/>
        <v>2.3336697550519161</v>
      </c>
      <c r="Y604" s="40">
        <f t="shared" si="68"/>
        <v>9975.8163352412521</v>
      </c>
      <c r="Z604" s="40">
        <f t="shared" si="68"/>
        <v>0.34226783006273032</v>
      </c>
      <c r="AA604" s="40">
        <f t="shared" si="68"/>
        <v>126.1241528133914</v>
      </c>
      <c r="AB604" s="40">
        <f t="shared" si="68"/>
        <v>126.00106288609821</v>
      </c>
      <c r="AC604" s="40">
        <f t="shared" si="68"/>
        <v>8.8568454282904774E-2</v>
      </c>
      <c r="AD604" s="40">
        <f t="shared" si="68"/>
        <v>6.7303073010399783E-2</v>
      </c>
      <c r="AE604" s="40">
        <f t="shared" si="68"/>
        <v>1.6257922290508251E-5</v>
      </c>
      <c r="AF604" s="40">
        <f t="shared" si="68"/>
        <v>0.89087242016081691</v>
      </c>
      <c r="AG604" s="40">
        <f t="shared" si="68"/>
        <v>1.9097231312357229E-3</v>
      </c>
      <c r="AH604" s="40">
        <f t="shared" si="68"/>
        <v>0.18348642363513512</v>
      </c>
      <c r="AI604" s="40">
        <f t="shared" si="68"/>
        <v>2.0309136010883679</v>
      </c>
      <c r="AJ604" s="40">
        <f t="shared" si="68"/>
        <v>0.8037629684080595</v>
      </c>
      <c r="AK604" s="40">
        <f t="shared" si="68"/>
        <v>7.2840725962749365E-3</v>
      </c>
      <c r="AL604" s="40">
        <f t="shared" si="68"/>
        <v>3786.0437030341791</v>
      </c>
      <c r="AM604" s="40">
        <f t="shared" si="68"/>
        <v>52.314931081902365</v>
      </c>
      <c r="AN604" s="40">
        <f t="shared" si="68"/>
        <v>4.8675979994338747E-6</v>
      </c>
      <c r="AO604" s="40">
        <f t="shared" si="68"/>
        <v>4.6492776053220233</v>
      </c>
      <c r="AP604" s="40">
        <f t="shared" si="68"/>
        <v>5795.798489600651</v>
      </c>
      <c r="AQ604" s="40">
        <f t="shared" si="68"/>
        <v>3.8058993044276402E-8</v>
      </c>
      <c r="AR604" s="40">
        <f t="shared" si="68"/>
        <v>1.2521818421383125E-6</v>
      </c>
      <c r="AS604" s="40">
        <f t="shared" si="68"/>
        <v>3125.629709122195</v>
      </c>
      <c r="AT604" s="40">
        <f t="shared" si="68"/>
        <v>0</v>
      </c>
      <c r="AU604" s="40">
        <f t="shared" si="68"/>
        <v>0</v>
      </c>
      <c r="AV604" s="317">
        <f t="shared" si="68"/>
        <v>62.122836484117819</v>
      </c>
      <c r="AW604" s="317">
        <f t="shared" si="68"/>
        <v>0</v>
      </c>
      <c r="AX604" s="317">
        <f t="shared" si="68"/>
        <v>0</v>
      </c>
      <c r="AY604" s="317">
        <f t="shared" si="68"/>
        <v>4041.7884161077873</v>
      </c>
      <c r="AZ604" s="40">
        <f t="shared" si="68"/>
        <v>0</v>
      </c>
      <c r="BA604" s="40">
        <f t="shared" si="68"/>
        <v>0</v>
      </c>
      <c r="BB604" s="40">
        <f t="shared" si="68"/>
        <v>0</v>
      </c>
      <c r="BC604" s="40">
        <f t="shared" si="68"/>
        <v>1.3513596978441444</v>
      </c>
      <c r="BD604" s="40">
        <f t="shared" si="68"/>
        <v>2.287422317893324E-3</v>
      </c>
      <c r="BE604" s="40">
        <f t="shared" si="68"/>
        <v>11.305455839295789</v>
      </c>
      <c r="BF604" s="40">
        <f t="shared" si="68"/>
        <v>5.4536192896730848E-3</v>
      </c>
      <c r="BG604" s="40">
        <f t="shared" si="68"/>
        <v>0</v>
      </c>
      <c r="BH604" s="40">
        <f t="shared" si="68"/>
        <v>0</v>
      </c>
      <c r="BI604" s="40">
        <f t="shared" si="68"/>
        <v>0</v>
      </c>
      <c r="BJ604" s="40">
        <f t="shared" si="68"/>
        <v>0</v>
      </c>
      <c r="BK604" s="40">
        <f t="shared" si="68"/>
        <v>0</v>
      </c>
      <c r="BL604" s="62">
        <f>BL603</f>
        <v>0</v>
      </c>
      <c r="BM604" s="275">
        <f>BM603</f>
        <v>2</v>
      </c>
      <c r="BN604" s="62">
        <v>0</v>
      </c>
      <c r="BO604" s="33" t="str">
        <f>BO603</f>
        <v>Ecochain 2022 LCA Achtergrondrapport voor Nederlandse branchereferentiemengsels 2022</v>
      </c>
    </row>
    <row r="605" spans="1:67">
      <c r="A605" s="33" t="str">
        <f>Database_Productkaarten[[#This Row],[Product]]&amp;", "&amp;Database_Productkaarten[[#This Row],[Levensfase]]</f>
        <v>2L-ZOAB toplaag G.M. - PCR 2.0, A4</v>
      </c>
      <c r="B605" s="33" t="s">
        <v>537</v>
      </c>
      <c r="C605" s="33" t="s">
        <v>483</v>
      </c>
      <c r="D605" s="33" t="s">
        <v>484</v>
      </c>
      <c r="E605" s="33" t="s">
        <v>378</v>
      </c>
      <c r="F605" s="33" t="s">
        <v>78</v>
      </c>
      <c r="L605" s="33">
        <v>2</v>
      </c>
      <c r="M605" s="269">
        <v>1</v>
      </c>
      <c r="N605" s="211">
        <v>0.37546048090943995</v>
      </c>
      <c r="O605" s="33">
        <v>10</v>
      </c>
      <c r="P605" s="163">
        <v>6.8533509000000002E-5</v>
      </c>
      <c r="Q605" s="163">
        <v>2.9713889699999999E-2</v>
      </c>
      <c r="R605" s="163">
        <v>3.9891474704999998</v>
      </c>
      <c r="S605" s="163">
        <v>7.557213E-7</v>
      </c>
      <c r="T605" s="163">
        <v>2.4773701499999998E-3</v>
      </c>
      <c r="U605" s="163">
        <v>1.36398132E-2</v>
      </c>
      <c r="V605" s="163">
        <v>2.5682192100000001E-3</v>
      </c>
      <c r="W605" s="163">
        <v>0.8608144794</v>
      </c>
      <c r="X605" s="163">
        <v>3.6189873900000002E-2</v>
      </c>
      <c r="Y605" s="163">
        <v>97.376595929999993</v>
      </c>
      <c r="Z605" s="163">
        <v>4.8437180999999999E-3</v>
      </c>
      <c r="AA605" s="163">
        <v>4.0259382761999998</v>
      </c>
      <c r="AB605" s="163">
        <v>4.0229543298000001</v>
      </c>
      <c r="AC605" s="163">
        <v>1.9814632200000001E-3</v>
      </c>
      <c r="AD605" s="163">
        <v>1.0024609799999999E-3</v>
      </c>
      <c r="AE605" s="163">
        <v>9.4976262000000003E-7</v>
      </c>
      <c r="AF605" s="163">
        <v>1.7739576E-2</v>
      </c>
      <c r="AG605" s="163">
        <v>2.7841996800000001E-5</v>
      </c>
      <c r="AH605" s="163">
        <v>5.5484582100000001E-3</v>
      </c>
      <c r="AI605" s="163">
        <v>6.1385308800000003E-2</v>
      </c>
      <c r="AJ605" s="163">
        <v>1.9235744999999999E-2</v>
      </c>
      <c r="AK605" s="163">
        <v>6.8533397999999998E-5</v>
      </c>
      <c r="AL605" s="163">
        <v>62.400806729999999</v>
      </c>
      <c r="AM605" s="163">
        <v>0.212954166</v>
      </c>
      <c r="AN605" s="163">
        <v>2.9338876200000002E-7</v>
      </c>
      <c r="AO605" s="163">
        <v>0.26868483510000002</v>
      </c>
      <c r="AP605" s="163">
        <v>45.56587296</v>
      </c>
      <c r="AQ605" s="163">
        <v>1.16371179E-9</v>
      </c>
      <c r="AR605" s="163">
        <v>3.8268015899999999E-8</v>
      </c>
      <c r="AS605" s="163">
        <v>71.806844609999999</v>
      </c>
      <c r="AT605" s="163">
        <v>0</v>
      </c>
      <c r="AU605" s="163">
        <v>0</v>
      </c>
      <c r="AV605" s="313">
        <v>0.63474917099999995</v>
      </c>
      <c r="AW605" s="315">
        <v>0</v>
      </c>
      <c r="AX605" s="315">
        <v>0</v>
      </c>
      <c r="AY605" s="313">
        <v>66.265108560000002</v>
      </c>
      <c r="AZ605" s="163">
        <v>0</v>
      </c>
      <c r="BA605" s="163">
        <v>0</v>
      </c>
      <c r="BB605" s="163">
        <v>0</v>
      </c>
      <c r="BC605" s="163">
        <v>6.7467797999999999E-3</v>
      </c>
      <c r="BD605" s="163">
        <v>1.54707915E-4</v>
      </c>
      <c r="BE605" s="163">
        <v>5.4635493149999999</v>
      </c>
      <c r="BF605" s="163">
        <v>4.25149758E-4</v>
      </c>
      <c r="BG605" s="163">
        <v>0</v>
      </c>
      <c r="BH605" s="163">
        <v>0</v>
      </c>
      <c r="BI605" s="163">
        <v>0</v>
      </c>
      <c r="BJ605" s="163">
        <v>0</v>
      </c>
      <c r="BK605" s="163">
        <v>0</v>
      </c>
      <c r="BL605" s="62">
        <v>0</v>
      </c>
      <c r="BM605" s="275">
        <v>2</v>
      </c>
      <c r="BN605" s="62">
        <v>0</v>
      </c>
      <c r="BO605" s="33" t="s">
        <v>526</v>
      </c>
    </row>
    <row r="606" spans="1:67">
      <c r="A606" s="33" t="str">
        <f>Database_Productkaarten[[#This Row],[Product]]&amp;", "&amp;Database_Productkaarten[[#This Row],[Levensfase]]</f>
        <v>2L-ZOAB toplaag G.M. - PCR 2.0, A5</v>
      </c>
      <c r="B606" s="33" t="s">
        <v>537</v>
      </c>
      <c r="C606" s="33" t="s">
        <v>483</v>
      </c>
      <c r="D606" s="33" t="s">
        <v>484</v>
      </c>
      <c r="E606" s="33" t="s">
        <v>378</v>
      </c>
      <c r="F606" s="33" t="s">
        <v>79</v>
      </c>
      <c r="L606" s="33">
        <v>2</v>
      </c>
      <c r="M606" s="269">
        <v>1</v>
      </c>
      <c r="N606" s="211">
        <v>0.11508990362375504</v>
      </c>
      <c r="O606" s="33">
        <v>10</v>
      </c>
      <c r="P606" s="163">
        <v>1.36108828104143E-6</v>
      </c>
      <c r="Q606" s="163">
        <v>5.7900424683895004E-3</v>
      </c>
      <c r="R606" s="163">
        <v>1.17753946243218</v>
      </c>
      <c r="S606" s="163">
        <v>1.5216689751433599E-7</v>
      </c>
      <c r="T606" s="163">
        <v>3.9769490948388401E-4</v>
      </c>
      <c r="U606" s="163">
        <v>4.0133663785198101E-3</v>
      </c>
      <c r="V606" s="163">
        <v>8.9200969965179703E-4</v>
      </c>
      <c r="W606" s="163">
        <v>0.31853178842924001</v>
      </c>
      <c r="X606" s="163">
        <v>4.5166714373625003E-3</v>
      </c>
      <c r="Y606" s="163">
        <v>15.693442650594999</v>
      </c>
      <c r="Z606" s="163">
        <v>5.3488215713622198E-4</v>
      </c>
      <c r="AA606" s="163">
        <v>1.1857245205685201</v>
      </c>
      <c r="AB606" s="163">
        <v>1.18538439189217</v>
      </c>
      <c r="AC606" s="163">
        <v>2.7090790290362901E-4</v>
      </c>
      <c r="AD606" s="163">
        <v>6.9220773445965197E-5</v>
      </c>
      <c r="AE606" s="163">
        <v>1.9173630083564101E-7</v>
      </c>
      <c r="AF606" s="163">
        <v>5.5294629236189103E-3</v>
      </c>
      <c r="AG606" s="163">
        <v>3.2340340552449402E-6</v>
      </c>
      <c r="AH606" s="163">
        <v>2.2810385893332402E-3</v>
      </c>
      <c r="AI606" s="163">
        <v>2.5051401704775801E-2</v>
      </c>
      <c r="AJ606" s="163">
        <v>6.6437026448536302E-3</v>
      </c>
      <c r="AK606" s="163">
        <v>1.3610776004189201E-6</v>
      </c>
      <c r="AL606" s="163">
        <v>12.216636214458701</v>
      </c>
      <c r="AM606" s="163">
        <v>1.6270563972286999E-2</v>
      </c>
      <c r="AN606" s="163">
        <v>2.1944772079733801E-8</v>
      </c>
      <c r="AO606" s="163">
        <v>5.2434937324987801E-2</v>
      </c>
      <c r="AP606" s="163">
        <v>7.3299436517983496</v>
      </c>
      <c r="AQ606" s="163">
        <v>2.57175639572881E-10</v>
      </c>
      <c r="AR606" s="163">
        <v>5.8020978885754804E-9</v>
      </c>
      <c r="AS606" s="163">
        <v>1.56040895674874</v>
      </c>
      <c r="AT606" s="163">
        <v>0</v>
      </c>
      <c r="AU606" s="163">
        <v>0</v>
      </c>
      <c r="AV606" s="313">
        <v>6.7148702105156499E-2</v>
      </c>
      <c r="AW606" s="315">
        <v>0</v>
      </c>
      <c r="AX606" s="315">
        <v>0</v>
      </c>
      <c r="AY606" s="313">
        <v>12.973681267896399</v>
      </c>
      <c r="AZ606" s="163">
        <v>0</v>
      </c>
      <c r="BA606" s="163">
        <v>0</v>
      </c>
      <c r="BB606" s="163">
        <v>0</v>
      </c>
      <c r="BC606" s="163">
        <v>6.3151909649569998E-4</v>
      </c>
      <c r="BD606" s="163">
        <v>3.3269162717371399E-5</v>
      </c>
      <c r="BE606" s="163">
        <v>1.44555997987563E-2</v>
      </c>
      <c r="BF606" s="163">
        <v>8.49062773282903E-5</v>
      </c>
      <c r="BG606" s="163">
        <v>0</v>
      </c>
      <c r="BH606" s="163">
        <v>0</v>
      </c>
      <c r="BI606" s="163">
        <v>0</v>
      </c>
      <c r="BJ606" s="163">
        <v>0</v>
      </c>
      <c r="BK606" s="163">
        <v>0</v>
      </c>
      <c r="BL606" s="62">
        <v>0</v>
      </c>
      <c r="BM606" s="275">
        <v>2</v>
      </c>
      <c r="BN606" s="62">
        <v>0</v>
      </c>
      <c r="BO606" s="33" t="s">
        <v>526</v>
      </c>
    </row>
    <row r="607" spans="1:67">
      <c r="A607" s="33" t="str">
        <f>Database_Productkaarten[[#This Row],[Product]]&amp;", "&amp;Database_Productkaarten[[#This Row],[Levensfase]]</f>
        <v>2L-ZOAB toplaag G.M. - PCR 2.0, B1</v>
      </c>
      <c r="B607" s="33" t="s">
        <v>537</v>
      </c>
      <c r="C607" s="33" t="s">
        <v>483</v>
      </c>
      <c r="D607" s="33" t="s">
        <v>484</v>
      </c>
      <c r="E607" s="33" t="s">
        <v>378</v>
      </c>
      <c r="F607" s="33" t="s">
        <v>80</v>
      </c>
      <c r="L607" s="33">
        <v>2</v>
      </c>
      <c r="M607" s="269">
        <v>1</v>
      </c>
      <c r="N607" s="211">
        <v>0.63803196066933088</v>
      </c>
      <c r="O607" s="33">
        <v>10</v>
      </c>
      <c r="P607" s="163">
        <v>0</v>
      </c>
      <c r="Q607" s="163">
        <v>0</v>
      </c>
      <c r="R607" s="163">
        <v>0</v>
      </c>
      <c r="S607" s="163">
        <v>0</v>
      </c>
      <c r="T607" s="163">
        <v>0</v>
      </c>
      <c r="U607" s="163">
        <v>0</v>
      </c>
      <c r="V607" s="163">
        <v>0</v>
      </c>
      <c r="W607" s="163">
        <v>2.21599595321837</v>
      </c>
      <c r="X607" s="163">
        <v>3.1435906259976898</v>
      </c>
      <c r="Y607" s="163">
        <v>3441.17206099747</v>
      </c>
      <c r="Z607" s="163">
        <v>2.7899999999979499E-3</v>
      </c>
      <c r="AA607" s="163">
        <v>0</v>
      </c>
      <c r="AB607" s="163">
        <v>0</v>
      </c>
      <c r="AC607" s="163">
        <v>0</v>
      </c>
      <c r="AD607" s="163">
        <v>0</v>
      </c>
      <c r="AE607" s="163">
        <v>0</v>
      </c>
      <c r="AF607" s="163">
        <v>0</v>
      </c>
      <c r="AG607" s="163">
        <v>0</v>
      </c>
      <c r="AH607" s="163">
        <v>0</v>
      </c>
      <c r="AI607" s="163">
        <v>0</v>
      </c>
      <c r="AJ607" s="163">
        <v>0</v>
      </c>
      <c r="AK607" s="163">
        <v>0</v>
      </c>
      <c r="AL607" s="163">
        <v>0</v>
      </c>
      <c r="AM607" s="163">
        <v>0</v>
      </c>
      <c r="AN607" s="163">
        <v>0</v>
      </c>
      <c r="AO607" s="163">
        <v>0</v>
      </c>
      <c r="AP607" s="163">
        <v>19.2904605006858</v>
      </c>
      <c r="AQ607" s="163">
        <v>3.4029317760975E-9</v>
      </c>
      <c r="AR607" s="163">
        <v>2.0449895299124001E-7</v>
      </c>
      <c r="AS607" s="163">
        <v>0</v>
      </c>
      <c r="AT607" s="163">
        <v>0</v>
      </c>
      <c r="AU607" s="163">
        <v>0</v>
      </c>
      <c r="AV607" s="313">
        <v>0</v>
      </c>
      <c r="AW607" s="315">
        <v>0</v>
      </c>
      <c r="AX607" s="315">
        <v>0</v>
      </c>
      <c r="AY607" s="313">
        <v>0</v>
      </c>
      <c r="AZ607" s="163">
        <v>0</v>
      </c>
      <c r="BA607" s="163">
        <v>0</v>
      </c>
      <c r="BB607" s="163">
        <v>0</v>
      </c>
      <c r="BC607" s="163">
        <v>0</v>
      </c>
      <c r="BD607" s="163">
        <v>0</v>
      </c>
      <c r="BE607" s="163">
        <v>0</v>
      </c>
      <c r="BF607" s="163">
        <v>0</v>
      </c>
      <c r="BG607" s="163">
        <v>0</v>
      </c>
      <c r="BH607" s="163">
        <v>0</v>
      </c>
      <c r="BI607" s="163">
        <v>0</v>
      </c>
      <c r="BJ607" s="163">
        <v>0</v>
      </c>
      <c r="BK607" s="163">
        <v>0</v>
      </c>
      <c r="BL607" s="62">
        <v>0</v>
      </c>
      <c r="BM607" s="275">
        <v>2</v>
      </c>
      <c r="BN607" s="62">
        <v>0</v>
      </c>
      <c r="BO607" s="33" t="s">
        <v>526</v>
      </c>
    </row>
    <row r="608" spans="1:67">
      <c r="A608" s="33" t="str">
        <f>Database_Productkaarten[[#This Row],[Product]]&amp;", "&amp;Database_Productkaarten[[#This Row],[Levensfase]]</f>
        <v>2L-ZOAB toplaag G.M. - PCR 2.0, B2</v>
      </c>
      <c r="B608" s="33" t="s">
        <v>537</v>
      </c>
      <c r="C608" s="33" t="s">
        <v>483</v>
      </c>
      <c r="D608" s="33" t="s">
        <v>484</v>
      </c>
      <c r="E608" s="33" t="s">
        <v>378</v>
      </c>
      <c r="F608" s="33" t="s">
        <v>527</v>
      </c>
      <c r="L608" s="33">
        <v>2</v>
      </c>
      <c r="M608" s="269">
        <v>1</v>
      </c>
      <c r="N608" s="211">
        <v>0</v>
      </c>
      <c r="O608" s="33">
        <v>10</v>
      </c>
      <c r="P608" s="163">
        <v>0</v>
      </c>
      <c r="Q608" s="163">
        <v>0</v>
      </c>
      <c r="R608" s="163">
        <v>0</v>
      </c>
      <c r="S608" s="163">
        <v>0</v>
      </c>
      <c r="T608" s="163">
        <v>0</v>
      </c>
      <c r="U608" s="163">
        <v>0</v>
      </c>
      <c r="V608" s="163">
        <v>0</v>
      </c>
      <c r="W608" s="163">
        <v>0</v>
      </c>
      <c r="X608" s="163">
        <v>0</v>
      </c>
      <c r="Y608" s="163">
        <v>0</v>
      </c>
      <c r="Z608" s="163">
        <v>0</v>
      </c>
      <c r="AA608" s="163">
        <v>0</v>
      </c>
      <c r="AB608" s="163">
        <v>0</v>
      </c>
      <c r="AC608" s="163">
        <v>0</v>
      </c>
      <c r="AD608" s="163">
        <v>0</v>
      </c>
      <c r="AE608" s="163">
        <v>0</v>
      </c>
      <c r="AF608" s="163">
        <v>0</v>
      </c>
      <c r="AG608" s="163">
        <v>0</v>
      </c>
      <c r="AH608" s="163">
        <v>0</v>
      </c>
      <c r="AI608" s="163">
        <v>0</v>
      </c>
      <c r="AJ608" s="163">
        <v>0</v>
      </c>
      <c r="AK608" s="163">
        <v>0</v>
      </c>
      <c r="AL608" s="163">
        <v>0</v>
      </c>
      <c r="AM608" s="163">
        <v>0</v>
      </c>
      <c r="AN608" s="163">
        <v>0</v>
      </c>
      <c r="AO608" s="163">
        <v>0</v>
      </c>
      <c r="AP608" s="163">
        <v>0</v>
      </c>
      <c r="AQ608" s="163">
        <v>0</v>
      </c>
      <c r="AR608" s="163">
        <v>0</v>
      </c>
      <c r="AS608" s="163">
        <v>0</v>
      </c>
      <c r="AT608" s="163">
        <v>0</v>
      </c>
      <c r="AU608" s="163">
        <v>0</v>
      </c>
      <c r="AV608" s="313">
        <v>0</v>
      </c>
      <c r="AW608" s="315">
        <v>0</v>
      </c>
      <c r="AX608" s="315">
        <v>0</v>
      </c>
      <c r="AY608" s="313">
        <v>0</v>
      </c>
      <c r="AZ608" s="163">
        <v>0</v>
      </c>
      <c r="BA608" s="163">
        <v>0</v>
      </c>
      <c r="BB608" s="163">
        <v>0</v>
      </c>
      <c r="BC608" s="163">
        <v>0</v>
      </c>
      <c r="BD608" s="163">
        <v>0</v>
      </c>
      <c r="BE608" s="163">
        <v>0</v>
      </c>
      <c r="BF608" s="163">
        <v>0</v>
      </c>
      <c r="BG608" s="163">
        <v>0</v>
      </c>
      <c r="BH608" s="163">
        <v>0</v>
      </c>
      <c r="BI608" s="163">
        <v>0</v>
      </c>
      <c r="BJ608" s="163">
        <v>0</v>
      </c>
      <c r="BK608" s="163">
        <v>0</v>
      </c>
      <c r="BL608" s="62">
        <v>0</v>
      </c>
      <c r="BM608" s="275">
        <v>2</v>
      </c>
      <c r="BN608" s="62">
        <v>0</v>
      </c>
      <c r="BO608" s="33" t="s">
        <v>526</v>
      </c>
    </row>
    <row r="609" spans="1:67">
      <c r="A609" s="33" t="str">
        <f>Database_Productkaarten[[#This Row],[Product]]&amp;", "&amp;Database_Productkaarten[[#This Row],[Levensfase]]</f>
        <v>2L-ZOAB toplaag G.M. - PCR 2.0, B3</v>
      </c>
      <c r="B609" s="33" t="s">
        <v>537</v>
      </c>
      <c r="C609" s="33" t="s">
        <v>483</v>
      </c>
      <c r="D609" s="33" t="s">
        <v>484</v>
      </c>
      <c r="E609" s="33" t="s">
        <v>378</v>
      </c>
      <c r="F609" s="33" t="s">
        <v>81</v>
      </c>
      <c r="L609" s="33">
        <v>2</v>
      </c>
      <c r="M609" s="269">
        <v>1</v>
      </c>
      <c r="N609" s="211">
        <v>0</v>
      </c>
      <c r="O609" s="33">
        <v>10</v>
      </c>
      <c r="P609" s="163">
        <v>0</v>
      </c>
      <c r="Q609" s="163">
        <v>0</v>
      </c>
      <c r="R609" s="163">
        <v>0</v>
      </c>
      <c r="S609" s="163">
        <v>0</v>
      </c>
      <c r="T609" s="163">
        <v>0</v>
      </c>
      <c r="U609" s="163">
        <v>0</v>
      </c>
      <c r="V609" s="163">
        <v>0</v>
      </c>
      <c r="W609" s="163">
        <v>0</v>
      </c>
      <c r="X609" s="163">
        <v>0</v>
      </c>
      <c r="Y609" s="163">
        <v>0</v>
      </c>
      <c r="Z609" s="163">
        <v>0</v>
      </c>
      <c r="AA609" s="163">
        <v>0</v>
      </c>
      <c r="AB609" s="163">
        <v>0</v>
      </c>
      <c r="AC609" s="163">
        <v>0</v>
      </c>
      <c r="AD609" s="163">
        <v>0</v>
      </c>
      <c r="AE609" s="163">
        <v>0</v>
      </c>
      <c r="AF609" s="163">
        <v>0</v>
      </c>
      <c r="AG609" s="163">
        <v>0</v>
      </c>
      <c r="AH609" s="163">
        <v>0</v>
      </c>
      <c r="AI609" s="163">
        <v>0</v>
      </c>
      <c r="AJ609" s="163">
        <v>0</v>
      </c>
      <c r="AK609" s="163">
        <v>0</v>
      </c>
      <c r="AL609" s="163">
        <v>0</v>
      </c>
      <c r="AM609" s="163">
        <v>0</v>
      </c>
      <c r="AN609" s="163">
        <v>0</v>
      </c>
      <c r="AO609" s="163">
        <v>0</v>
      </c>
      <c r="AP609" s="163">
        <v>0</v>
      </c>
      <c r="AQ609" s="163">
        <v>0</v>
      </c>
      <c r="AR609" s="163">
        <v>0</v>
      </c>
      <c r="AS609" s="163">
        <v>0</v>
      </c>
      <c r="AT609" s="163">
        <v>0</v>
      </c>
      <c r="AU609" s="163">
        <v>0</v>
      </c>
      <c r="AV609" s="313">
        <v>0</v>
      </c>
      <c r="AW609" s="315">
        <v>0</v>
      </c>
      <c r="AX609" s="315">
        <v>0</v>
      </c>
      <c r="AY609" s="313">
        <v>0</v>
      </c>
      <c r="AZ609" s="163">
        <v>0</v>
      </c>
      <c r="BA609" s="163">
        <v>0</v>
      </c>
      <c r="BB609" s="163">
        <v>0</v>
      </c>
      <c r="BC609" s="163">
        <v>0</v>
      </c>
      <c r="BD609" s="163">
        <v>0</v>
      </c>
      <c r="BE609" s="163">
        <v>0</v>
      </c>
      <c r="BF609" s="163">
        <v>0</v>
      </c>
      <c r="BG609" s="163">
        <v>0</v>
      </c>
      <c r="BH609" s="163">
        <v>0</v>
      </c>
      <c r="BI609" s="163">
        <v>0</v>
      </c>
      <c r="BJ609" s="163">
        <v>0</v>
      </c>
      <c r="BK609" s="163">
        <v>0</v>
      </c>
      <c r="BL609" s="62">
        <v>0</v>
      </c>
      <c r="BM609" s="275">
        <v>2</v>
      </c>
      <c r="BN609" s="62">
        <v>0</v>
      </c>
      <c r="BO609" s="33" t="s">
        <v>526</v>
      </c>
    </row>
    <row r="610" spans="1:67">
      <c r="A610" s="33" t="str">
        <f>Database_Productkaarten[[#This Row],[Product]]&amp;", "&amp;Database_Productkaarten[[#This Row],[Levensfase]]</f>
        <v>2L-ZOAB toplaag G.M. - PCR 2.0, B4</v>
      </c>
      <c r="B610" s="33" t="s">
        <v>537</v>
      </c>
      <c r="C610" s="33" t="s">
        <v>483</v>
      </c>
      <c r="D610" s="33" t="s">
        <v>484</v>
      </c>
      <c r="E610" s="33" t="s">
        <v>378</v>
      </c>
      <c r="F610" s="33" t="s">
        <v>82</v>
      </c>
      <c r="L610" s="33">
        <v>2</v>
      </c>
      <c r="M610" s="269">
        <v>1</v>
      </c>
      <c r="N610" s="211">
        <v>0</v>
      </c>
      <c r="O610" s="33">
        <v>10</v>
      </c>
      <c r="P610" s="163">
        <v>0</v>
      </c>
      <c r="Q610" s="163">
        <v>0</v>
      </c>
      <c r="R610" s="163">
        <v>0</v>
      </c>
      <c r="S610" s="163">
        <v>0</v>
      </c>
      <c r="T610" s="163">
        <v>0</v>
      </c>
      <c r="U610" s="163">
        <v>0</v>
      </c>
      <c r="V610" s="163">
        <v>0</v>
      </c>
      <c r="W610" s="163">
        <v>0</v>
      </c>
      <c r="X610" s="163">
        <v>0</v>
      </c>
      <c r="Y610" s="163">
        <v>0</v>
      </c>
      <c r="Z610" s="163">
        <v>0</v>
      </c>
      <c r="AA610" s="163">
        <v>0</v>
      </c>
      <c r="AB610" s="163">
        <v>0</v>
      </c>
      <c r="AC610" s="163">
        <v>0</v>
      </c>
      <c r="AD610" s="163">
        <v>0</v>
      </c>
      <c r="AE610" s="163">
        <v>0</v>
      </c>
      <c r="AF610" s="163">
        <v>0</v>
      </c>
      <c r="AG610" s="163">
        <v>0</v>
      </c>
      <c r="AH610" s="163">
        <v>0</v>
      </c>
      <c r="AI610" s="163">
        <v>0</v>
      </c>
      <c r="AJ610" s="163">
        <v>0</v>
      </c>
      <c r="AK610" s="163">
        <v>0</v>
      </c>
      <c r="AL610" s="163">
        <v>0</v>
      </c>
      <c r="AM610" s="163">
        <v>0</v>
      </c>
      <c r="AN610" s="163">
        <v>0</v>
      </c>
      <c r="AO610" s="163">
        <v>0</v>
      </c>
      <c r="AP610" s="163">
        <v>0</v>
      </c>
      <c r="AQ610" s="163">
        <v>0</v>
      </c>
      <c r="AR610" s="163">
        <v>0</v>
      </c>
      <c r="AS610" s="163">
        <v>0</v>
      </c>
      <c r="AT610" s="163">
        <v>0</v>
      </c>
      <c r="AU610" s="163">
        <v>0</v>
      </c>
      <c r="AV610" s="313">
        <v>0</v>
      </c>
      <c r="AW610" s="315">
        <v>0</v>
      </c>
      <c r="AX610" s="315">
        <v>0</v>
      </c>
      <c r="AY610" s="313">
        <v>0</v>
      </c>
      <c r="AZ610" s="163">
        <v>0</v>
      </c>
      <c r="BA610" s="163">
        <v>0</v>
      </c>
      <c r="BB610" s="163">
        <v>0</v>
      </c>
      <c r="BC610" s="163">
        <v>0</v>
      </c>
      <c r="BD610" s="163">
        <v>0</v>
      </c>
      <c r="BE610" s="163">
        <v>0</v>
      </c>
      <c r="BF610" s="163">
        <v>0</v>
      </c>
      <c r="BG610" s="163">
        <v>0</v>
      </c>
      <c r="BH610" s="163">
        <v>0</v>
      </c>
      <c r="BI610" s="163">
        <v>0</v>
      </c>
      <c r="BJ610" s="163">
        <v>0</v>
      </c>
      <c r="BK610" s="163">
        <v>0</v>
      </c>
      <c r="BL610" s="62">
        <v>0</v>
      </c>
      <c r="BM610" s="275">
        <v>2</v>
      </c>
      <c r="BN610" s="62">
        <v>0</v>
      </c>
      <c r="BO610" s="33" t="s">
        <v>526</v>
      </c>
    </row>
    <row r="611" spans="1:67">
      <c r="A611" s="33" t="str">
        <f>Database_Productkaarten[[#This Row],[Product]]&amp;", "&amp;Database_Productkaarten[[#This Row],[Levensfase]]</f>
        <v>2L-ZOAB toplaag G.M. - PCR 2.0, B5</v>
      </c>
      <c r="B611" s="33" t="s">
        <v>537</v>
      </c>
      <c r="C611" s="33" t="s">
        <v>483</v>
      </c>
      <c r="D611" s="33" t="s">
        <v>484</v>
      </c>
      <c r="E611" s="33" t="s">
        <v>378</v>
      </c>
      <c r="F611" s="33" t="s">
        <v>528</v>
      </c>
      <c r="L611" s="33">
        <v>2</v>
      </c>
      <c r="M611" s="269">
        <v>1</v>
      </c>
      <c r="N611" s="211">
        <v>0</v>
      </c>
      <c r="O611" s="33">
        <v>10</v>
      </c>
      <c r="P611" s="163">
        <v>0</v>
      </c>
      <c r="Q611" s="163">
        <v>0</v>
      </c>
      <c r="R611" s="163">
        <v>0</v>
      </c>
      <c r="S611" s="163">
        <v>0</v>
      </c>
      <c r="T611" s="163">
        <v>0</v>
      </c>
      <c r="U611" s="163">
        <v>0</v>
      </c>
      <c r="V611" s="163">
        <v>0</v>
      </c>
      <c r="W611" s="163">
        <v>0</v>
      </c>
      <c r="X611" s="163">
        <v>0</v>
      </c>
      <c r="Y611" s="163">
        <v>0</v>
      </c>
      <c r="Z611" s="163">
        <v>0</v>
      </c>
      <c r="AA611" s="163">
        <v>0</v>
      </c>
      <c r="AB611" s="163">
        <v>0</v>
      </c>
      <c r="AC611" s="163">
        <v>0</v>
      </c>
      <c r="AD611" s="163">
        <v>0</v>
      </c>
      <c r="AE611" s="163">
        <v>0</v>
      </c>
      <c r="AF611" s="163">
        <v>0</v>
      </c>
      <c r="AG611" s="163">
        <v>0</v>
      </c>
      <c r="AH611" s="163">
        <v>0</v>
      </c>
      <c r="AI611" s="163">
        <v>0</v>
      </c>
      <c r="AJ611" s="163">
        <v>0</v>
      </c>
      <c r="AK611" s="163">
        <v>0</v>
      </c>
      <c r="AL611" s="163">
        <v>0</v>
      </c>
      <c r="AM611" s="163">
        <v>0</v>
      </c>
      <c r="AN611" s="163">
        <v>0</v>
      </c>
      <c r="AO611" s="163">
        <v>0</v>
      </c>
      <c r="AP611" s="163">
        <v>0</v>
      </c>
      <c r="AQ611" s="163">
        <v>0</v>
      </c>
      <c r="AR611" s="163">
        <v>0</v>
      </c>
      <c r="AS611" s="163">
        <v>0</v>
      </c>
      <c r="AT611" s="163">
        <v>0</v>
      </c>
      <c r="AU611" s="163">
        <v>0</v>
      </c>
      <c r="AV611" s="313">
        <v>0</v>
      </c>
      <c r="AW611" s="315">
        <v>0</v>
      </c>
      <c r="AX611" s="315">
        <v>0</v>
      </c>
      <c r="AY611" s="313">
        <v>0</v>
      </c>
      <c r="AZ611" s="163">
        <v>0</v>
      </c>
      <c r="BA611" s="163">
        <v>0</v>
      </c>
      <c r="BB611" s="163">
        <v>0</v>
      </c>
      <c r="BC611" s="163">
        <v>0</v>
      </c>
      <c r="BD611" s="163">
        <v>0</v>
      </c>
      <c r="BE611" s="163">
        <v>0</v>
      </c>
      <c r="BF611" s="163">
        <v>0</v>
      </c>
      <c r="BG611" s="163">
        <v>0</v>
      </c>
      <c r="BH611" s="163">
        <v>0</v>
      </c>
      <c r="BI611" s="163">
        <v>0</v>
      </c>
      <c r="BJ611" s="163">
        <v>0</v>
      </c>
      <c r="BK611" s="163">
        <v>0</v>
      </c>
      <c r="BL611" s="62">
        <v>0</v>
      </c>
      <c r="BM611" s="275">
        <v>2</v>
      </c>
      <c r="BN611" s="62">
        <v>0</v>
      </c>
      <c r="BO611" s="33" t="s">
        <v>526</v>
      </c>
    </row>
    <row r="612" spans="1:67">
      <c r="A612" s="33" t="str">
        <f>Database_Productkaarten[[#This Row],[Product]]&amp;", "&amp;Database_Productkaarten[[#This Row],[Levensfase]]</f>
        <v>2L-ZOAB toplaag G.M. - PCR 2.0, C1</v>
      </c>
      <c r="B612" s="33" t="s">
        <v>537</v>
      </c>
      <c r="C612" s="33" t="s">
        <v>483</v>
      </c>
      <c r="D612" s="33" t="s">
        <v>484</v>
      </c>
      <c r="E612" s="33" t="s">
        <v>378</v>
      </c>
      <c r="F612" s="33" t="s">
        <v>83</v>
      </c>
      <c r="L612" s="33">
        <v>2</v>
      </c>
      <c r="M612" s="269">
        <v>1</v>
      </c>
      <c r="N612" s="211">
        <v>0.17627297072070458</v>
      </c>
      <c r="O612" s="33">
        <v>10</v>
      </c>
      <c r="P612" s="163">
        <v>2.16765911425117E-6</v>
      </c>
      <c r="Q612" s="163">
        <v>9.2211787459536496E-3</v>
      </c>
      <c r="R612" s="163">
        <v>1.8753406253549501</v>
      </c>
      <c r="S612" s="163">
        <v>2.4233987381912798E-7</v>
      </c>
      <c r="T612" s="163">
        <v>6.1516414716794197E-4</v>
      </c>
      <c r="U612" s="163">
        <v>5.3270131213469501E-3</v>
      </c>
      <c r="V612" s="163">
        <v>1.1438004846307901E-3</v>
      </c>
      <c r="W612" s="163">
        <v>0.50471239058731099</v>
      </c>
      <c r="X612" s="163">
        <v>7.1932174743180701E-3</v>
      </c>
      <c r="Y612" s="163">
        <v>24.9932605176142</v>
      </c>
      <c r="Z612" s="163">
        <v>8.5184936136509302E-4</v>
      </c>
      <c r="AA612" s="163">
        <v>1.8868540256461599</v>
      </c>
      <c r="AB612" s="163">
        <v>1.88631233923568</v>
      </c>
      <c r="AC612" s="163">
        <v>4.3144591943911401E-4</v>
      </c>
      <c r="AD612" s="163">
        <v>1.10240491043574E-4</v>
      </c>
      <c r="AE612" s="163">
        <v>3.0535781244194598E-7</v>
      </c>
      <c r="AF612" s="163">
        <v>7.2305079153939496E-3</v>
      </c>
      <c r="AG612" s="163">
        <v>5.1504986805752704E-6</v>
      </c>
      <c r="AH612" s="163">
        <v>2.8044717830126502E-3</v>
      </c>
      <c r="AI612" s="163">
        <v>3.0825906122425702E-2</v>
      </c>
      <c r="AJ612" s="163">
        <v>8.4242120877310502E-3</v>
      </c>
      <c r="AK612" s="163">
        <v>2.16764210437087E-6</v>
      </c>
      <c r="AL612" s="163">
        <v>19.456124341545301</v>
      </c>
      <c r="AM612" s="163">
        <v>2.5912379659568101E-2</v>
      </c>
      <c r="AN612" s="163">
        <v>2.9948141681801098E-8</v>
      </c>
      <c r="AO612" s="163">
        <v>8.3507492776832504E-2</v>
      </c>
      <c r="AP612" s="163">
        <v>11.673738119940801</v>
      </c>
      <c r="AQ612" s="163">
        <v>4.0957601857903399E-10</v>
      </c>
      <c r="AR612" s="163">
        <v>8.1948958299215297E-9</v>
      </c>
      <c r="AS612" s="163">
        <v>2.4850957459331799</v>
      </c>
      <c r="AT612" s="163">
        <v>0</v>
      </c>
      <c r="AU612" s="163">
        <v>0</v>
      </c>
      <c r="AV612" s="313">
        <v>0.106940525574879</v>
      </c>
      <c r="AW612" s="315">
        <v>0</v>
      </c>
      <c r="AX612" s="315">
        <v>0</v>
      </c>
      <c r="AY612" s="313">
        <v>20.661788685909102</v>
      </c>
      <c r="AZ612" s="163">
        <v>0</v>
      </c>
      <c r="BA612" s="163">
        <v>0</v>
      </c>
      <c r="BB612" s="163">
        <v>0</v>
      </c>
      <c r="BC612" s="163">
        <v>1.0057526351598099E-3</v>
      </c>
      <c r="BD612" s="163">
        <v>5.2984222105443303E-5</v>
      </c>
      <c r="BE612" s="163">
        <v>2.3021881160982201E-2</v>
      </c>
      <c r="BF612" s="163">
        <v>1.35221108337648E-4</v>
      </c>
      <c r="BG612" s="163">
        <v>0</v>
      </c>
      <c r="BH612" s="163">
        <v>0</v>
      </c>
      <c r="BI612" s="163">
        <v>0</v>
      </c>
      <c r="BJ612" s="163">
        <v>0</v>
      </c>
      <c r="BK612" s="163">
        <v>0</v>
      </c>
      <c r="BL612" s="62">
        <v>0</v>
      </c>
      <c r="BM612" s="275">
        <v>2</v>
      </c>
      <c r="BN612" s="62">
        <v>0</v>
      </c>
      <c r="BO612" s="33" t="s">
        <v>526</v>
      </c>
    </row>
    <row r="613" spans="1:67">
      <c r="A613" s="33" t="str">
        <f>Database_Productkaarten[[#This Row],[Product]]&amp;", "&amp;Database_Productkaarten[[#This Row],[Levensfase]]</f>
        <v>2L-ZOAB toplaag G.M. - PCR 2.0, C2</v>
      </c>
      <c r="B613" s="33" t="s">
        <v>537</v>
      </c>
      <c r="C613" s="33" t="s">
        <v>483</v>
      </c>
      <c r="D613" s="33" t="s">
        <v>484</v>
      </c>
      <c r="E613" s="33" t="s">
        <v>378</v>
      </c>
      <c r="F613" s="33" t="s">
        <v>84</v>
      </c>
      <c r="L613" s="33">
        <v>2</v>
      </c>
      <c r="M613" s="269">
        <v>1</v>
      </c>
      <c r="N613" s="211">
        <v>0.31791357541832999</v>
      </c>
      <c r="O613" s="33">
        <v>10</v>
      </c>
      <c r="P613" s="163">
        <v>7.2195843000000002E-5</v>
      </c>
      <c r="Q613" s="163">
        <v>2.5045429500000001E-2</v>
      </c>
      <c r="R613" s="163">
        <v>3.2726104581</v>
      </c>
      <c r="S613" s="163">
        <v>6.2448211500000004E-7</v>
      </c>
      <c r="T613" s="163">
        <v>2.3663202E-3</v>
      </c>
      <c r="U613" s="163">
        <v>9.9103019999999993E-3</v>
      </c>
      <c r="V613" s="163">
        <v>1.66070541E-3</v>
      </c>
      <c r="W613" s="163">
        <v>0.89062466159999998</v>
      </c>
      <c r="X613" s="163">
        <v>3.5055542699999998E-2</v>
      </c>
      <c r="Y613" s="163">
        <v>92.682047400000002</v>
      </c>
      <c r="Z613" s="163">
        <v>7.4868390000000003E-3</v>
      </c>
      <c r="AA613" s="163">
        <v>3.3150718431000001</v>
      </c>
      <c r="AB613" s="163">
        <v>3.3001817481</v>
      </c>
      <c r="AC613" s="163">
        <v>1.3607189190000001E-2</v>
      </c>
      <c r="AD613" s="163">
        <v>1.2829113599999999E-3</v>
      </c>
      <c r="AE613" s="163">
        <v>7.8107336699999998E-7</v>
      </c>
      <c r="AF613" s="163">
        <v>1.2482505E-2</v>
      </c>
      <c r="AG613" s="163">
        <v>3.4632532799999998E-5</v>
      </c>
      <c r="AH613" s="163">
        <v>2.8897329300000001E-3</v>
      </c>
      <c r="AI613" s="163">
        <v>3.3662059799999998E-2</v>
      </c>
      <c r="AJ613" s="163">
        <v>1.2098522699999999E-2</v>
      </c>
      <c r="AK613" s="163">
        <v>7.2195510000000004E-5</v>
      </c>
      <c r="AL613" s="163">
        <v>52.307882313</v>
      </c>
      <c r="AM613" s="163">
        <v>0.28570883850000001</v>
      </c>
      <c r="AN613" s="163">
        <v>2.8544027399999998E-7</v>
      </c>
      <c r="AO613" s="163">
        <v>0.22308385950000001</v>
      </c>
      <c r="AP613" s="163">
        <v>50.61443379</v>
      </c>
      <c r="AQ613" s="163">
        <v>1.35209877E-9</v>
      </c>
      <c r="AR613" s="163">
        <v>4.3221490799999998E-8</v>
      </c>
      <c r="AS613" s="163">
        <v>98.528772599999996</v>
      </c>
      <c r="AT613" s="163">
        <v>8.065825212</v>
      </c>
      <c r="AU613" s="163">
        <v>0</v>
      </c>
      <c r="AV613" s="313">
        <v>8.6963547624000004</v>
      </c>
      <c r="AW613" s="315">
        <v>0.70667511750000001</v>
      </c>
      <c r="AX613" s="315">
        <v>9.926829900000001E-4</v>
      </c>
      <c r="AY613" s="313">
        <v>55.561210727999999</v>
      </c>
      <c r="AZ613" s="163">
        <v>0</v>
      </c>
      <c r="BA613" s="163">
        <v>0</v>
      </c>
      <c r="BB613" s="163">
        <v>0</v>
      </c>
      <c r="BC613" s="163">
        <v>8.7338241000000007E-3</v>
      </c>
      <c r="BD613" s="163">
        <v>1.5376752299999999E-4</v>
      </c>
      <c r="BE613" s="163">
        <v>5.5583861609999996</v>
      </c>
      <c r="BF613" s="163">
        <v>3.4865666099999999E-4</v>
      </c>
      <c r="BG613" s="163">
        <v>0</v>
      </c>
      <c r="BH613" s="163">
        <v>0</v>
      </c>
      <c r="BI613" s="163">
        <v>0</v>
      </c>
      <c r="BJ613" s="163">
        <v>0</v>
      </c>
      <c r="BK613" s="163">
        <v>0</v>
      </c>
      <c r="BL613" s="62">
        <v>0</v>
      </c>
      <c r="BM613" s="275">
        <v>2</v>
      </c>
      <c r="BN613" s="62">
        <v>0</v>
      </c>
      <c r="BO613" s="33" t="s">
        <v>526</v>
      </c>
    </row>
    <row r="614" spans="1:67">
      <c r="A614" s="33" t="str">
        <f>Database_Productkaarten[[#This Row],[Product]]&amp;", "&amp;Database_Productkaarten[[#This Row],[Levensfase]]</f>
        <v>2L-ZOAB toplaag G.M. - PCR 2.0, C3</v>
      </c>
      <c r="B614" s="33" t="s">
        <v>537</v>
      </c>
      <c r="C614" s="33" t="s">
        <v>483</v>
      </c>
      <c r="D614" s="33" t="s">
        <v>484</v>
      </c>
      <c r="E614" s="33" t="s">
        <v>378</v>
      </c>
      <c r="F614" s="33" t="s">
        <v>85</v>
      </c>
      <c r="L614" s="33">
        <v>2</v>
      </c>
      <c r="M614" s="269">
        <v>1</v>
      </c>
      <c r="N614" s="211">
        <v>0.15929996449391112</v>
      </c>
      <c r="O614" s="33">
        <v>10</v>
      </c>
      <c r="P614" s="163">
        <v>1.8651950517975199E-6</v>
      </c>
      <c r="Q614" s="163">
        <v>7.9345026418670903E-3</v>
      </c>
      <c r="R614" s="163">
        <v>1.61366518925891</v>
      </c>
      <c r="S614" s="163">
        <v>2.0852500770483101E-7</v>
      </c>
      <c r="T614" s="163">
        <v>5.8559282669439102E-4</v>
      </c>
      <c r="U614" s="163">
        <v>5.7290955927862697E-3</v>
      </c>
      <c r="V614" s="163">
        <v>1.2820009402635399E-3</v>
      </c>
      <c r="W614" s="163">
        <v>0.43705340530303299</v>
      </c>
      <c r="X614" s="163">
        <v>6.1895127104597304E-3</v>
      </c>
      <c r="Y614" s="163">
        <v>21.505828817481898</v>
      </c>
      <c r="Z614" s="163">
        <v>7.3298665977926598E-4</v>
      </c>
      <c r="AA614" s="163">
        <v>1.62432602274205</v>
      </c>
      <c r="AB614" s="163">
        <v>1.62385992048186</v>
      </c>
      <c r="AC614" s="163">
        <v>3.7124416323830602E-4</v>
      </c>
      <c r="AD614" s="163">
        <v>9.4858096944470699E-5</v>
      </c>
      <c r="AE614" s="163">
        <v>2.6274974558958202E-7</v>
      </c>
      <c r="AF614" s="163">
        <v>7.9167720434775695E-3</v>
      </c>
      <c r="AG614" s="163">
        <v>4.4318244460763901E-6</v>
      </c>
      <c r="AH614" s="163">
        <v>3.30426093538249E-3</v>
      </c>
      <c r="AI614" s="163">
        <v>3.6283310965802798E-2</v>
      </c>
      <c r="AJ614" s="163">
        <v>9.6537099666509692E-3</v>
      </c>
      <c r="AK614" s="163">
        <v>1.8651804153888899E-6</v>
      </c>
      <c r="AL614" s="163">
        <v>16.741316293887799</v>
      </c>
      <c r="AM614" s="163">
        <v>2.2296698776837699E-2</v>
      </c>
      <c r="AN614" s="163">
        <v>3.05765712985239E-8</v>
      </c>
      <c r="AO614" s="163">
        <v>7.1855284482390702E-2</v>
      </c>
      <c r="AP614" s="163">
        <v>10.0456497916317</v>
      </c>
      <c r="AQ614" s="163">
        <v>3.5242587645172898E-10</v>
      </c>
      <c r="AR614" s="163">
        <v>7.5755651387166102E-9</v>
      </c>
      <c r="AS614" s="163">
        <v>2.1383381999890201</v>
      </c>
      <c r="AT614" s="163">
        <v>0</v>
      </c>
      <c r="AU614" s="163">
        <v>0</v>
      </c>
      <c r="AV614" s="313">
        <v>9.2018591773732603E-2</v>
      </c>
      <c r="AW614" s="315">
        <v>0</v>
      </c>
      <c r="AX614" s="315">
        <v>0</v>
      </c>
      <c r="AY614" s="313">
        <v>17.7787484041543</v>
      </c>
      <c r="AZ614" s="163">
        <v>0</v>
      </c>
      <c r="BA614" s="163">
        <v>0</v>
      </c>
      <c r="BB614" s="163">
        <v>0</v>
      </c>
      <c r="BC614" s="163">
        <v>8.6541505816076995E-4</v>
      </c>
      <c r="BD614" s="163">
        <v>4.5591074834916297E-5</v>
      </c>
      <c r="BE614" s="163">
        <v>1.98095256501475E-2</v>
      </c>
      <c r="BF614" s="163">
        <v>1.16353046709139E-4</v>
      </c>
      <c r="BG614" s="163">
        <v>0</v>
      </c>
      <c r="BH614" s="163">
        <v>1000</v>
      </c>
      <c r="BI614" s="163">
        <v>0</v>
      </c>
      <c r="BJ614" s="163">
        <v>0</v>
      </c>
      <c r="BK614" s="163">
        <v>0</v>
      </c>
      <c r="BL614" s="62">
        <v>0</v>
      </c>
      <c r="BM614" s="275">
        <v>2</v>
      </c>
      <c r="BN614" s="62">
        <v>0</v>
      </c>
      <c r="BO614" s="33" t="s">
        <v>526</v>
      </c>
    </row>
    <row r="615" spans="1:67">
      <c r="A615" s="33" t="str">
        <f>Database_Productkaarten[[#This Row],[Product]]&amp;", "&amp;Database_Productkaarten[[#This Row],[Levensfase]]</f>
        <v>2L-ZOAB toplaag G.M. - PCR 2.0, C4</v>
      </c>
      <c r="B615" s="33" t="s">
        <v>537</v>
      </c>
      <c r="C615" s="33" t="s">
        <v>483</v>
      </c>
      <c r="D615" s="33" t="s">
        <v>484</v>
      </c>
      <c r="E615" s="33" t="s">
        <v>378</v>
      </c>
      <c r="F615" s="33" t="s">
        <v>86</v>
      </c>
      <c r="L615" s="33">
        <v>2</v>
      </c>
      <c r="M615" s="269">
        <v>1</v>
      </c>
      <c r="N615" s="211">
        <v>0</v>
      </c>
      <c r="O615" s="33">
        <v>10</v>
      </c>
      <c r="P615" s="163">
        <v>0</v>
      </c>
      <c r="Q615" s="163">
        <v>0</v>
      </c>
      <c r="R615" s="163">
        <v>0</v>
      </c>
      <c r="S615" s="163">
        <v>0</v>
      </c>
      <c r="T615" s="163">
        <v>0</v>
      </c>
      <c r="U615" s="163">
        <v>0</v>
      </c>
      <c r="V615" s="163">
        <v>0</v>
      </c>
      <c r="W615" s="163">
        <v>0</v>
      </c>
      <c r="X615" s="163">
        <v>0</v>
      </c>
      <c r="Y615" s="163">
        <v>0</v>
      </c>
      <c r="Z615" s="163">
        <v>0</v>
      </c>
      <c r="AA615" s="163">
        <v>0</v>
      </c>
      <c r="AB615" s="163">
        <v>0</v>
      </c>
      <c r="AC615" s="163">
        <v>0</v>
      </c>
      <c r="AD615" s="163">
        <v>0</v>
      </c>
      <c r="AE615" s="163">
        <v>0</v>
      </c>
      <c r="AF615" s="163">
        <v>0</v>
      </c>
      <c r="AG615" s="163">
        <v>0</v>
      </c>
      <c r="AH615" s="163">
        <v>0</v>
      </c>
      <c r="AI615" s="163">
        <v>0</v>
      </c>
      <c r="AJ615" s="163">
        <v>0</v>
      </c>
      <c r="AK615" s="163">
        <v>0</v>
      </c>
      <c r="AL615" s="163">
        <v>0</v>
      </c>
      <c r="AM615" s="163">
        <v>0</v>
      </c>
      <c r="AN615" s="163">
        <v>0</v>
      </c>
      <c r="AO615" s="163">
        <v>0</v>
      </c>
      <c r="AP615" s="163">
        <v>0</v>
      </c>
      <c r="AQ615" s="163">
        <v>0</v>
      </c>
      <c r="AR615" s="163">
        <v>0</v>
      </c>
      <c r="AS615" s="163">
        <v>0</v>
      </c>
      <c r="AT615" s="163">
        <v>0</v>
      </c>
      <c r="AU615" s="163">
        <v>0</v>
      </c>
      <c r="AV615" s="313">
        <v>0</v>
      </c>
      <c r="AW615" s="315">
        <v>0</v>
      </c>
      <c r="AX615" s="315">
        <v>0</v>
      </c>
      <c r="AY615" s="313">
        <v>0</v>
      </c>
      <c r="AZ615" s="163">
        <v>0</v>
      </c>
      <c r="BA615" s="163">
        <v>0</v>
      </c>
      <c r="BB615" s="163">
        <v>0</v>
      </c>
      <c r="BC615" s="163">
        <v>0</v>
      </c>
      <c r="BD615" s="163">
        <v>0</v>
      </c>
      <c r="BE615" s="163">
        <v>0</v>
      </c>
      <c r="BF615" s="163">
        <v>0</v>
      </c>
      <c r="BG615" s="163">
        <v>0</v>
      </c>
      <c r="BH615" s="163">
        <v>0</v>
      </c>
      <c r="BI615" s="163">
        <v>0</v>
      </c>
      <c r="BJ615" s="163">
        <v>0</v>
      </c>
      <c r="BK615" s="163">
        <v>0</v>
      </c>
      <c r="BL615" s="62">
        <v>0</v>
      </c>
      <c r="BM615" s="275">
        <v>2</v>
      </c>
      <c r="BN615" s="62">
        <v>0</v>
      </c>
      <c r="BO615" s="33" t="s">
        <v>526</v>
      </c>
    </row>
    <row r="616" spans="1:67">
      <c r="A616" s="33" t="str">
        <f>Database_Productkaarten[[#This Row],[Product]]&amp;", "&amp;Database_Productkaarten[[#This Row],[Levensfase]]</f>
        <v>2L-ZOAB toplaag G.M. - PCR 2.0, D</v>
      </c>
      <c r="B616" s="33" t="s">
        <v>537</v>
      </c>
      <c r="C616" s="33" t="s">
        <v>483</v>
      </c>
      <c r="D616" s="33" t="s">
        <v>484</v>
      </c>
      <c r="E616" s="33" t="s">
        <v>378</v>
      </c>
      <c r="F616" s="33" t="s">
        <v>89</v>
      </c>
      <c r="L616" s="33">
        <v>2</v>
      </c>
      <c r="M616" s="269">
        <v>1</v>
      </c>
      <c r="N616" s="211">
        <v>-3.4527744993046916</v>
      </c>
      <c r="O616" s="33">
        <v>10</v>
      </c>
      <c r="P616" s="163">
        <v>-4.75355783680986E-4</v>
      </c>
      <c r="Q616" s="163">
        <v>-0.56964134209214601</v>
      </c>
      <c r="R616" s="163">
        <v>-25.564877625846499</v>
      </c>
      <c r="S616" s="163">
        <v>-2.2242619569675798E-6</v>
      </c>
      <c r="T616" s="163">
        <v>-6.1555193074834702E-2</v>
      </c>
      <c r="U616" s="163">
        <v>-0.18188482219728</v>
      </c>
      <c r="V616" s="163">
        <v>-1.8270300674207599E-2</v>
      </c>
      <c r="W616" s="163">
        <v>-7.2354795470036501</v>
      </c>
      <c r="X616" s="163">
        <v>-0.87973260632443395</v>
      </c>
      <c r="Y616" s="163">
        <v>-3835.0434186951102</v>
      </c>
      <c r="Z616" s="163">
        <v>-0.117889303288246</v>
      </c>
      <c r="AA616" s="163">
        <v>-7.6577185932375498</v>
      </c>
      <c r="AB616" s="163">
        <v>-7.5582332733966897</v>
      </c>
      <c r="AC616" s="163">
        <v>-8.96967520037176E-2</v>
      </c>
      <c r="AD616" s="163">
        <v>-9.7885678371439997E-3</v>
      </c>
      <c r="AE616" s="163">
        <v>-9.9167434772545405E-7</v>
      </c>
      <c r="AF616" s="163">
        <v>-7.5835073901001193E-2</v>
      </c>
      <c r="AG616" s="163">
        <v>-3.3014584959506499E-4</v>
      </c>
      <c r="AH616" s="163">
        <v>-2.24391120805588E-2</v>
      </c>
      <c r="AI616" s="163">
        <v>-0.28626517275605301</v>
      </c>
      <c r="AJ616" s="163">
        <v>-6.9527525624984501E-2</v>
      </c>
      <c r="AK616" s="163">
        <v>-4.7279551874145602E-4</v>
      </c>
      <c r="AL616" s="163">
        <v>-110.615492758286</v>
      </c>
      <c r="AM616" s="163">
        <v>-26.554741187994502</v>
      </c>
      <c r="AN616" s="163">
        <v>-1.08518746587582E-6</v>
      </c>
      <c r="AO616" s="163">
        <v>-0.603597863534032</v>
      </c>
      <c r="AP616" s="163">
        <v>-1136.01104888809</v>
      </c>
      <c r="AQ616" s="163">
        <v>-5.7051655771911699E-9</v>
      </c>
      <c r="AR616" s="163">
        <v>-1.2909483601696201E-7</v>
      </c>
      <c r="AS616" s="163">
        <v>-1392.46590874401</v>
      </c>
      <c r="AT616" s="163">
        <v>0</v>
      </c>
      <c r="AU616" s="163">
        <v>0</v>
      </c>
      <c r="AV616" s="313">
        <v>-13.9752261091854</v>
      </c>
      <c r="AW616" s="315">
        <v>0</v>
      </c>
      <c r="AX616" s="315">
        <v>0</v>
      </c>
      <c r="AY616" s="313">
        <v>-1287.6441109775201</v>
      </c>
      <c r="AZ616" s="163">
        <v>0</v>
      </c>
      <c r="BA616" s="163">
        <v>0</v>
      </c>
      <c r="BB616" s="163">
        <v>0</v>
      </c>
      <c r="BC616" s="163">
        <v>-13.6659630583137</v>
      </c>
      <c r="BD616" s="163">
        <v>-6.1429436081146798E-4</v>
      </c>
      <c r="BE616" s="163">
        <v>-2.3469478200214202</v>
      </c>
      <c r="BF616" s="163">
        <v>-7.8606335001310795E-4</v>
      </c>
      <c r="BG616" s="163">
        <v>0</v>
      </c>
      <c r="BH616" s="163">
        <v>0</v>
      </c>
      <c r="BI616" s="163">
        <v>0</v>
      </c>
      <c r="BJ616" s="163">
        <v>0</v>
      </c>
      <c r="BK616" s="163">
        <v>0</v>
      </c>
      <c r="BL616" s="62">
        <v>0</v>
      </c>
      <c r="BM616" s="275">
        <v>2</v>
      </c>
      <c r="BN616" s="62">
        <v>0</v>
      </c>
      <c r="BO616" s="33" t="s">
        <v>526</v>
      </c>
    </row>
    <row r="617" spans="1:67">
      <c r="A617" s="33" t="str">
        <f>Database_Productkaarten[[#This Row],[Product]]&amp;", "&amp;Database_Productkaarten[[#This Row],[Levensfase]]</f>
        <v>2L-ZOAB onderlaag - PCR 2.0, Totaal</v>
      </c>
      <c r="B617" s="33" t="s">
        <v>538</v>
      </c>
      <c r="C617" s="33" t="s">
        <v>483</v>
      </c>
      <c r="D617" s="33" t="s">
        <v>484</v>
      </c>
      <c r="E617" s="33" t="s">
        <v>378</v>
      </c>
      <c r="F617" s="33" t="s">
        <v>90</v>
      </c>
      <c r="L617" s="33">
        <v>2.1</v>
      </c>
      <c r="M617" s="269">
        <v>1</v>
      </c>
      <c r="N617" s="41">
        <f>SUM(N618:N633)</f>
        <v>22.255488012759667</v>
      </c>
      <c r="O617" s="33">
        <v>13</v>
      </c>
      <c r="P617" s="40">
        <f>SUM(P618:P633)</f>
        <v>2.1624404508001731E-3</v>
      </c>
      <c r="Q617" s="40">
        <f t="shared" ref="Q617:BK617" si="69">SUM(Q618:Q633)</f>
        <v>2.3614763099850418</v>
      </c>
      <c r="R617" s="40">
        <f t="shared" si="69"/>
        <v>206.8328572866244</v>
      </c>
      <c r="S617" s="40">
        <f t="shared" si="69"/>
        <v>2.2271610616676665E-5</v>
      </c>
      <c r="T617" s="40">
        <f t="shared" si="69"/>
        <v>0.21039722785900811</v>
      </c>
      <c r="U617" s="40">
        <f t="shared" si="69"/>
        <v>0.93455916707680942</v>
      </c>
      <c r="V617" s="40">
        <f t="shared" si="69"/>
        <v>0.14320553951253859</v>
      </c>
      <c r="W617" s="40">
        <f t="shared" si="69"/>
        <v>47.961358545915274</v>
      </c>
      <c r="X617" s="40">
        <f t="shared" si="69"/>
        <v>6.092971860271243</v>
      </c>
      <c r="Y617" s="40">
        <f t="shared" si="69"/>
        <v>15602.883805270125</v>
      </c>
      <c r="Z617" s="40">
        <f t="shared" si="69"/>
        <v>0.45856691557644153</v>
      </c>
      <c r="AA617" s="40">
        <f t="shared" si="69"/>
        <v>231.9802078886882</v>
      </c>
      <c r="AB617" s="40">
        <f t="shared" si="69"/>
        <v>231.61929313612256</v>
      </c>
      <c r="AC617" s="40">
        <f t="shared" si="69"/>
        <v>0.24296903217099319</v>
      </c>
      <c r="AD617" s="40">
        <f t="shared" si="69"/>
        <v>0.17069770374455956</v>
      </c>
      <c r="AE617" s="40">
        <f t="shared" si="69"/>
        <v>2.8615337083573185E-5</v>
      </c>
      <c r="AF617" s="40">
        <f t="shared" si="69"/>
        <v>1.3398231152873348</v>
      </c>
      <c r="AG617" s="40">
        <f t="shared" si="69"/>
        <v>2.848566244316124E-3</v>
      </c>
      <c r="AH617" s="40">
        <f t="shared" si="69"/>
        <v>0.36335885188458561</v>
      </c>
      <c r="AI617" s="40">
        <f t="shared" si="69"/>
        <v>3.8895232709728655</v>
      </c>
      <c r="AJ617" s="40">
        <f t="shared" si="69"/>
        <v>1.434159552319507</v>
      </c>
      <c r="AK617" s="40">
        <f t="shared" si="69"/>
        <v>2.1648633527077566E-3</v>
      </c>
      <c r="AL617" s="40">
        <f t="shared" si="69"/>
        <v>6000.844494885002</v>
      </c>
      <c r="AM617" s="40">
        <f t="shared" si="69"/>
        <v>68.775524642539494</v>
      </c>
      <c r="AN617" s="40">
        <f t="shared" si="69"/>
        <v>5.3866760061538356E-6</v>
      </c>
      <c r="AO617" s="40">
        <f t="shared" si="69"/>
        <v>7.9595061229850534</v>
      </c>
      <c r="AP617" s="40">
        <f t="shared" si="69"/>
        <v>5428.7017050043851</v>
      </c>
      <c r="AQ617" s="40">
        <f t="shared" si="69"/>
        <v>7.0651332721467408E-8</v>
      </c>
      <c r="AR617" s="40">
        <f t="shared" si="69"/>
        <v>2.338859511579304E-6</v>
      </c>
      <c r="AS617" s="40">
        <f t="shared" si="69"/>
        <v>112.56843574604773</v>
      </c>
      <c r="AT617" s="40">
        <f t="shared" si="69"/>
        <v>8.065825212</v>
      </c>
      <c r="AU617" s="40">
        <f t="shared" si="69"/>
        <v>0</v>
      </c>
      <c r="AV617" s="313">
        <f t="shared" si="69"/>
        <v>97.323956304013279</v>
      </c>
      <c r="AW617" s="317">
        <f t="shared" si="69"/>
        <v>0.70667511750000001</v>
      </c>
      <c r="AX617" s="317">
        <f t="shared" si="69"/>
        <v>9.926829900000001E-4</v>
      </c>
      <c r="AY617" s="313">
        <f t="shared" si="69"/>
        <v>5236.7254397857087</v>
      </c>
      <c r="AZ617" s="40">
        <f t="shared" si="69"/>
        <v>0</v>
      </c>
      <c r="BA617" s="40">
        <f t="shared" si="69"/>
        <v>0</v>
      </c>
      <c r="BB617" s="40">
        <f t="shared" si="69"/>
        <v>0</v>
      </c>
      <c r="BC617" s="40">
        <f t="shared" si="69"/>
        <v>-11.216493593175933</v>
      </c>
      <c r="BD617" s="40">
        <f t="shared" si="69"/>
        <v>4.6528831406746152E-3</v>
      </c>
      <c r="BE617" s="40">
        <f t="shared" si="69"/>
        <v>29.050556616384846</v>
      </c>
      <c r="BF617" s="40">
        <f t="shared" si="69"/>
        <v>9.3597851061217353E-3</v>
      </c>
      <c r="BG617" s="40">
        <f t="shared" si="69"/>
        <v>0</v>
      </c>
      <c r="BH617" s="40">
        <f t="shared" si="69"/>
        <v>1000</v>
      </c>
      <c r="BI617" s="40">
        <f t="shared" si="69"/>
        <v>0</v>
      </c>
      <c r="BJ617" s="40">
        <f t="shared" si="69"/>
        <v>0</v>
      </c>
      <c r="BK617" s="40">
        <f t="shared" si="69"/>
        <v>0</v>
      </c>
      <c r="BL617" s="62">
        <v>0</v>
      </c>
      <c r="BM617" s="275">
        <v>2</v>
      </c>
      <c r="BN617" s="62">
        <v>0</v>
      </c>
      <c r="BO617" s="33" t="s">
        <v>526</v>
      </c>
    </row>
    <row r="618" spans="1:67">
      <c r="A618" s="33" t="str">
        <f>Database_Productkaarten[[#This Row],[Product]]&amp;", "&amp;Database_Productkaarten[[#This Row],[Levensfase]]</f>
        <v>2L-ZOAB onderlaag - PCR 2.0, A1</v>
      </c>
      <c r="B618" s="33" t="s">
        <v>538</v>
      </c>
      <c r="C618" s="33" t="s">
        <v>483</v>
      </c>
      <c r="D618" s="33" t="s">
        <v>484</v>
      </c>
      <c r="E618" s="33" t="s">
        <v>378</v>
      </c>
      <c r="F618" s="33" t="s">
        <v>74</v>
      </c>
      <c r="L618" s="33">
        <v>2.1</v>
      </c>
      <c r="M618" s="269">
        <v>1</v>
      </c>
      <c r="N618" s="211">
        <v>6.4875487735069139</v>
      </c>
      <c r="O618" s="33">
        <v>13</v>
      </c>
      <c r="P618" s="163">
        <v>8.6652305272699097E-4</v>
      </c>
      <c r="Q618" s="163">
        <v>1.04184169316933</v>
      </c>
      <c r="R618" s="163">
        <v>56.5197333628468</v>
      </c>
      <c r="S618" s="163">
        <v>3.9847873575016503E-6</v>
      </c>
      <c r="T618" s="163">
        <v>0.10968408859026101</v>
      </c>
      <c r="U618" s="163">
        <v>0.29401702928569101</v>
      </c>
      <c r="V618" s="163">
        <v>2.3862887833399501E-2</v>
      </c>
      <c r="W618" s="163">
        <v>12.476592349069699</v>
      </c>
      <c r="X618" s="163">
        <v>1.6104960041446901</v>
      </c>
      <c r="Y618" s="163">
        <v>7002.1023650708203</v>
      </c>
      <c r="Z618" s="163">
        <v>0.21647557127904901</v>
      </c>
      <c r="AA618" s="163">
        <v>59.400352324758401</v>
      </c>
      <c r="AB618" s="163">
        <v>59.331188398775403</v>
      </c>
      <c r="AC618" s="163">
        <v>6.3058948193474906E-2</v>
      </c>
      <c r="AD618" s="163">
        <v>3.2480977789619399E-2</v>
      </c>
      <c r="AE618" s="163">
        <v>4.7778203681891497E-6</v>
      </c>
      <c r="AF618" s="163">
        <v>0.344150485449569</v>
      </c>
      <c r="AG618" s="163">
        <v>9.2269583706633201E-4</v>
      </c>
      <c r="AH618" s="163">
        <v>4.5800334395055202E-2</v>
      </c>
      <c r="AI618" s="163">
        <v>0.46550933369000402</v>
      </c>
      <c r="AJ618" s="163">
        <v>0.322569762177982</v>
      </c>
      <c r="AK618" s="163">
        <v>8.6646936177997905E-4</v>
      </c>
      <c r="AL618" s="163">
        <v>2216.34456485701</v>
      </c>
      <c r="AM618" s="163">
        <v>44.927880595176902</v>
      </c>
      <c r="AN618" s="163">
        <v>1.58960851401648E-6</v>
      </c>
      <c r="AO618" s="163">
        <v>1.7972944753008699</v>
      </c>
      <c r="AP618" s="163">
        <v>2752.4154917938499</v>
      </c>
      <c r="AQ618" s="163">
        <v>1.6327523835552E-8</v>
      </c>
      <c r="AR618" s="163">
        <v>7.3892930684526999E-7</v>
      </c>
      <c r="AS618" s="163">
        <v>304.71148649026702</v>
      </c>
      <c r="AT618" s="163">
        <v>0</v>
      </c>
      <c r="AU618" s="163">
        <v>0</v>
      </c>
      <c r="AV618" s="313">
        <v>35.359288395955097</v>
      </c>
      <c r="AW618" s="315">
        <v>0</v>
      </c>
      <c r="AX618" s="315">
        <v>0</v>
      </c>
      <c r="AY618" s="313">
        <v>2358.2584365105799</v>
      </c>
      <c r="AZ618" s="163">
        <v>0</v>
      </c>
      <c r="BA618" s="163">
        <v>0</v>
      </c>
      <c r="BB618" s="163">
        <v>0</v>
      </c>
      <c r="BC618" s="163">
        <v>1.1021562173517601</v>
      </c>
      <c r="BD618" s="163">
        <v>8.8529203500163699E-4</v>
      </c>
      <c r="BE618" s="163">
        <v>2.9684816295280201</v>
      </c>
      <c r="BF618" s="163">
        <v>1.35484370259828E-3</v>
      </c>
      <c r="BG618" s="163">
        <v>0</v>
      </c>
      <c r="BH618" s="163">
        <v>0</v>
      </c>
      <c r="BI618" s="163">
        <v>0</v>
      </c>
      <c r="BJ618" s="163">
        <v>0</v>
      </c>
      <c r="BK618" s="163">
        <v>0</v>
      </c>
      <c r="BL618" s="62">
        <v>0</v>
      </c>
      <c r="BM618" s="275">
        <v>2</v>
      </c>
      <c r="BN618" s="62">
        <v>0</v>
      </c>
      <c r="BO618" s="33" t="s">
        <v>526</v>
      </c>
    </row>
    <row r="619" spans="1:67">
      <c r="A619" s="33" t="str">
        <f>Database_Productkaarten[[#This Row],[Product]]&amp;", "&amp;Database_Productkaarten[[#This Row],[Levensfase]]</f>
        <v>2L-ZOAB onderlaag - PCR 2.0, A2</v>
      </c>
      <c r="B619" s="33" t="s">
        <v>538</v>
      </c>
      <c r="C619" s="33" t="s">
        <v>483</v>
      </c>
      <c r="D619" s="33" t="s">
        <v>484</v>
      </c>
      <c r="E619" s="33" t="s">
        <v>378</v>
      </c>
      <c r="F619" s="33" t="s">
        <v>75</v>
      </c>
      <c r="L619" s="33">
        <v>2.1</v>
      </c>
      <c r="M619" s="269">
        <v>1</v>
      </c>
      <c r="N619" s="211">
        <v>3.9979667587058727</v>
      </c>
      <c r="O619" s="33">
        <v>13</v>
      </c>
      <c r="P619" s="163">
        <v>3.5959562431778002E-4</v>
      </c>
      <c r="Q619" s="163">
        <v>0.21245063313582899</v>
      </c>
      <c r="R619" s="163">
        <v>33.462783516383297</v>
      </c>
      <c r="S619" s="163">
        <v>4.97917696114497E-6</v>
      </c>
      <c r="T619" s="163">
        <v>1.9756027688169499E-2</v>
      </c>
      <c r="U619" s="163">
        <v>0.22452129390438499</v>
      </c>
      <c r="V619" s="163">
        <v>4.96316895750804E-2</v>
      </c>
      <c r="W619" s="163">
        <v>9.0986117220456997</v>
      </c>
      <c r="X619" s="163">
        <v>0.23695959584853499</v>
      </c>
      <c r="Y619" s="163">
        <v>778.76247280495795</v>
      </c>
      <c r="Z619" s="163">
        <v>4.1434061109704601E-2</v>
      </c>
      <c r="AA619" s="163">
        <v>33.8462913992811</v>
      </c>
      <c r="AB619" s="163">
        <v>33.7430664527731</v>
      </c>
      <c r="AC619" s="163">
        <v>4.8469230046065799E-2</v>
      </c>
      <c r="AD619" s="163">
        <v>5.4755716461940301E-2</v>
      </c>
      <c r="AE619" s="163">
        <v>6.19433194671388E-6</v>
      </c>
      <c r="AF619" s="163">
        <v>0.31201384927232001</v>
      </c>
      <c r="AG619" s="163">
        <v>3.9548474431739497E-4</v>
      </c>
      <c r="AH619" s="163">
        <v>0.13128693454613399</v>
      </c>
      <c r="AI619" s="163">
        <v>1.44518680033631</v>
      </c>
      <c r="AJ619" s="163">
        <v>0.376018166132432</v>
      </c>
      <c r="AK619" s="163">
        <v>3.5958114679506198E-4</v>
      </c>
      <c r="AL619" s="163">
        <v>440.323878908653</v>
      </c>
      <c r="AM619" s="163">
        <v>1.9835025195420899</v>
      </c>
      <c r="AN619" s="163">
        <v>1.13120852025092E-6</v>
      </c>
      <c r="AO619" s="163">
        <v>1.8976900616452801</v>
      </c>
      <c r="AP619" s="163">
        <v>389.81825750510899</v>
      </c>
      <c r="AQ619" s="163">
        <v>1.5805364271497299E-8</v>
      </c>
      <c r="AR619" s="163">
        <v>2.9701882617373299E-7</v>
      </c>
      <c r="AS619" s="163">
        <v>345.13469204524802</v>
      </c>
      <c r="AT619" s="163">
        <v>0</v>
      </c>
      <c r="AU619" s="163">
        <v>0</v>
      </c>
      <c r="AV619" s="313">
        <v>9.4567271205702603</v>
      </c>
      <c r="AW619" s="315">
        <v>0</v>
      </c>
      <c r="AX619" s="315">
        <v>0</v>
      </c>
      <c r="AY619" s="313">
        <v>467.30452161602</v>
      </c>
      <c r="AZ619" s="163">
        <v>0</v>
      </c>
      <c r="BA619" s="163">
        <v>0</v>
      </c>
      <c r="BB619" s="163">
        <v>0</v>
      </c>
      <c r="BC619" s="163">
        <v>7.8499178207999204E-2</v>
      </c>
      <c r="BD619" s="163">
        <v>1.14156865283044E-3</v>
      </c>
      <c r="BE619" s="163">
        <v>6.9489721518335301</v>
      </c>
      <c r="BF619" s="163">
        <v>2.8605815630412101E-3</v>
      </c>
      <c r="BG619" s="163">
        <v>0</v>
      </c>
      <c r="BH619" s="163">
        <v>0</v>
      </c>
      <c r="BI619" s="163">
        <v>0</v>
      </c>
      <c r="BJ619" s="163">
        <v>0</v>
      </c>
      <c r="BK619" s="163">
        <v>0</v>
      </c>
      <c r="BL619" s="62">
        <v>0</v>
      </c>
      <c r="BM619" s="275">
        <v>2</v>
      </c>
      <c r="BN619" s="62">
        <v>0</v>
      </c>
      <c r="BO619" s="33" t="s">
        <v>526</v>
      </c>
    </row>
    <row r="620" spans="1:67">
      <c r="A620" s="33" t="str">
        <f>Database_Productkaarten[[#This Row],[Product]]&amp;", "&amp;Database_Productkaarten[[#This Row],[Levensfase]]</f>
        <v>2L-ZOAB onderlaag - PCR 2.0, A3</v>
      </c>
      <c r="B620" s="33" t="s">
        <v>538</v>
      </c>
      <c r="C620" s="33" t="s">
        <v>483</v>
      </c>
      <c r="D620" s="33" t="s">
        <v>484</v>
      </c>
      <c r="E620" s="33" t="s">
        <v>378</v>
      </c>
      <c r="F620" s="33" t="s">
        <v>76</v>
      </c>
      <c r="L620" s="33">
        <v>2.1</v>
      </c>
      <c r="M620" s="269">
        <v>1</v>
      </c>
      <c r="N620" s="211">
        <v>1.4775812949094209</v>
      </c>
      <c r="O620" s="33">
        <v>13</v>
      </c>
      <c r="P620" s="163">
        <v>1.9717792095824001E-5</v>
      </c>
      <c r="Q620" s="163">
        <v>0.17241397811428</v>
      </c>
      <c r="R620" s="163">
        <v>20.2521989659475</v>
      </c>
      <c r="S620" s="163">
        <v>2.2923543693083999E-6</v>
      </c>
      <c r="T620" s="163">
        <v>3.3150230670284798E-3</v>
      </c>
      <c r="U620" s="163">
        <v>2.0373876249317802E-2</v>
      </c>
      <c r="V620" s="163">
        <v>3.46997480536302E-3</v>
      </c>
      <c r="W620" s="163">
        <v>3.4093486332287699</v>
      </c>
      <c r="X620" s="163">
        <v>2.25289111504865E-2</v>
      </c>
      <c r="Y620" s="163">
        <v>91.387155675313494</v>
      </c>
      <c r="Z620" s="163">
        <v>2.1698339395266501E-2</v>
      </c>
      <c r="AA620" s="163">
        <v>20.553362164470801</v>
      </c>
      <c r="AB620" s="163">
        <v>20.5051619800978</v>
      </c>
      <c r="AC620" s="163">
        <v>4.6473588670332501E-2</v>
      </c>
      <c r="AD620" s="163">
        <v>1.7265957025445801E-3</v>
      </c>
      <c r="AE620" s="163">
        <v>2.5860134757582001E-6</v>
      </c>
      <c r="AF620" s="163">
        <v>2.6215347866435802E-2</v>
      </c>
      <c r="AG620" s="163">
        <v>2.3353002178278399E-4</v>
      </c>
      <c r="AH620" s="163">
        <v>7.3977318044779602E-3</v>
      </c>
      <c r="AI620" s="163">
        <v>8.3594093976711706E-2</v>
      </c>
      <c r="AJ620" s="163">
        <v>2.52276644190263E-2</v>
      </c>
      <c r="AK620" s="163">
        <v>1.97175222130363E-5</v>
      </c>
      <c r="AL620" s="163">
        <v>317.50016689956698</v>
      </c>
      <c r="AM620" s="163">
        <v>0.47217845280902698</v>
      </c>
      <c r="AN620" s="163">
        <v>1.8446544070047E-7</v>
      </c>
      <c r="AO620" s="163">
        <v>0.23678425095824801</v>
      </c>
      <c r="AP620" s="163">
        <v>67.862577820677998</v>
      </c>
      <c r="AQ620" s="163">
        <v>2.5764011084211299E-9</v>
      </c>
      <c r="AR620" s="163">
        <v>4.4248531457620198E-8</v>
      </c>
      <c r="AS620" s="163">
        <v>14.4112635368966</v>
      </c>
      <c r="AT620" s="163">
        <v>0</v>
      </c>
      <c r="AU620" s="163">
        <v>0</v>
      </c>
      <c r="AV620" s="313">
        <v>6.0349697951911896</v>
      </c>
      <c r="AW620" s="315">
        <v>0</v>
      </c>
      <c r="AX620" s="315">
        <v>0</v>
      </c>
      <c r="AY620" s="313">
        <v>350.00154820896199</v>
      </c>
      <c r="AZ620" s="163">
        <v>0</v>
      </c>
      <c r="BA620" s="163">
        <v>0</v>
      </c>
      <c r="BB620" s="163">
        <v>0</v>
      </c>
      <c r="BC620" s="163">
        <v>3.5087691036690502E-2</v>
      </c>
      <c r="BD620" s="163">
        <v>3.8656811388128201E-4</v>
      </c>
      <c r="BE620" s="163">
        <v>0.24168719463407501</v>
      </c>
      <c r="BF620" s="163">
        <v>3.02355536105754E-4</v>
      </c>
      <c r="BG620" s="163">
        <v>0</v>
      </c>
      <c r="BH620" s="163">
        <v>0</v>
      </c>
      <c r="BI620" s="163">
        <v>0</v>
      </c>
      <c r="BJ620" s="163">
        <v>0</v>
      </c>
      <c r="BK620" s="163">
        <v>0</v>
      </c>
      <c r="BL620" s="62">
        <v>0</v>
      </c>
      <c r="BM620" s="275">
        <v>2</v>
      </c>
      <c r="BN620" s="62">
        <v>0</v>
      </c>
      <c r="BO620" s="33" t="s">
        <v>526</v>
      </c>
    </row>
    <row r="621" spans="1:67">
      <c r="A621" s="33" t="str">
        <f>Database_Productkaarten[[#This Row],[Product]]&amp;", "&amp;Database_Productkaarten[[#This Row],[Levensfase]]</f>
        <v>2L-ZOAB onderlaag - PCR 2.0, A1-A3</v>
      </c>
      <c r="B621" s="33" t="str">
        <f>B620</f>
        <v>2L-ZOAB onderlaag - PCR 2.0</v>
      </c>
      <c r="C621" s="33" t="str">
        <f>C620</f>
        <v>Bitumineuze verhardingen</v>
      </c>
      <c r="D621" s="33" t="str">
        <f>D620</f>
        <v>ZOAB</v>
      </c>
      <c r="E621" s="33" t="str">
        <f>E620</f>
        <v>Ton</v>
      </c>
      <c r="F621" s="33" t="s">
        <v>77</v>
      </c>
      <c r="L621" s="33">
        <f>L620</f>
        <v>2.1</v>
      </c>
      <c r="M621" s="45">
        <f>M620</f>
        <v>1</v>
      </c>
      <c r="N621" s="41">
        <f>SUM(N618:N620)</f>
        <v>11.963096827122207</v>
      </c>
      <c r="O621" s="33">
        <f>O620</f>
        <v>13</v>
      </c>
      <c r="P621" s="40">
        <f>SUM(P618:P620)</f>
        <v>1.245836469140595E-3</v>
      </c>
      <c r="Q621" s="40">
        <f t="shared" ref="Q621:BK621" si="70">SUM(Q618:Q620)</f>
        <v>1.4267063044194388</v>
      </c>
      <c r="R621" s="40">
        <f t="shared" si="70"/>
        <v>110.2347158451776</v>
      </c>
      <c r="S621" s="40">
        <f t="shared" si="70"/>
        <v>1.1256318687955022E-5</v>
      </c>
      <c r="T621" s="40">
        <f t="shared" si="70"/>
        <v>0.13275513934545896</v>
      </c>
      <c r="U621" s="40">
        <f t="shared" si="70"/>
        <v>0.53891219943939372</v>
      </c>
      <c r="V621" s="40">
        <f t="shared" si="70"/>
        <v>7.6964552213842907E-2</v>
      </c>
      <c r="W621" s="40">
        <f t="shared" si="70"/>
        <v>24.984552704344171</v>
      </c>
      <c r="X621" s="40">
        <f t="shared" si="70"/>
        <v>1.8699845111437114</v>
      </c>
      <c r="Y621" s="40">
        <f t="shared" si="70"/>
        <v>7872.2519935510918</v>
      </c>
      <c r="Z621" s="40">
        <f t="shared" si="70"/>
        <v>0.27960797178402014</v>
      </c>
      <c r="AA621" s="40">
        <f t="shared" si="70"/>
        <v>113.8000058885103</v>
      </c>
      <c r="AB621" s="40">
        <f t="shared" si="70"/>
        <v>113.5794168316463</v>
      </c>
      <c r="AC621" s="40">
        <f t="shared" si="70"/>
        <v>0.15800176690987319</v>
      </c>
      <c r="AD621" s="40">
        <f t="shared" si="70"/>
        <v>8.8963289954104269E-2</v>
      </c>
      <c r="AE621" s="40">
        <f t="shared" si="70"/>
        <v>1.355816579066123E-5</v>
      </c>
      <c r="AF621" s="40">
        <f t="shared" si="70"/>
        <v>0.68237968258832482</v>
      </c>
      <c r="AG621" s="40">
        <f t="shared" si="70"/>
        <v>1.5517106031665109E-3</v>
      </c>
      <c r="AH621" s="40">
        <f t="shared" si="70"/>
        <v>0.18448500074566715</v>
      </c>
      <c r="AI621" s="40">
        <f t="shared" si="70"/>
        <v>1.9942902280030257</v>
      </c>
      <c r="AJ621" s="40">
        <f t="shared" si="70"/>
        <v>0.72381559272944029</v>
      </c>
      <c r="AK621" s="40">
        <f t="shared" si="70"/>
        <v>1.2457680307880773E-3</v>
      </c>
      <c r="AL621" s="40">
        <f t="shared" si="70"/>
        <v>2974.1686106652301</v>
      </c>
      <c r="AM621" s="40">
        <f t="shared" si="70"/>
        <v>47.38356156752802</v>
      </c>
      <c r="AN621" s="40">
        <f t="shared" si="70"/>
        <v>2.9052824749678699E-6</v>
      </c>
      <c r="AO621" s="40">
        <f t="shared" si="70"/>
        <v>3.9317687879043981</v>
      </c>
      <c r="AP621" s="40">
        <f t="shared" si="70"/>
        <v>3210.096327119637</v>
      </c>
      <c r="AQ621" s="40">
        <f t="shared" si="70"/>
        <v>3.4709289215470431E-8</v>
      </c>
      <c r="AR621" s="40">
        <f t="shared" si="70"/>
        <v>1.0801966644766231E-6</v>
      </c>
      <c r="AS621" s="40">
        <f t="shared" si="70"/>
        <v>664.25744207241166</v>
      </c>
      <c r="AT621" s="40">
        <f t="shared" si="70"/>
        <v>0</v>
      </c>
      <c r="AU621" s="40">
        <f t="shared" si="70"/>
        <v>0</v>
      </c>
      <c r="AV621" s="317">
        <f t="shared" si="70"/>
        <v>50.850985311716542</v>
      </c>
      <c r="AW621" s="317">
        <f t="shared" si="70"/>
        <v>0</v>
      </c>
      <c r="AX621" s="317">
        <f t="shared" si="70"/>
        <v>0</v>
      </c>
      <c r="AY621" s="317">
        <f t="shared" si="70"/>
        <v>3175.5645063355619</v>
      </c>
      <c r="AZ621" s="40">
        <f t="shared" si="70"/>
        <v>0</v>
      </c>
      <c r="BA621" s="40">
        <f t="shared" si="70"/>
        <v>0</v>
      </c>
      <c r="BB621" s="40">
        <f t="shared" si="70"/>
        <v>0</v>
      </c>
      <c r="BC621" s="40">
        <f t="shared" si="70"/>
        <v>1.2157430865964496</v>
      </c>
      <c r="BD621" s="40">
        <f t="shared" si="70"/>
        <v>2.4134288017133589E-3</v>
      </c>
      <c r="BE621" s="40">
        <f t="shared" si="70"/>
        <v>10.159140975995625</v>
      </c>
      <c r="BF621" s="40">
        <f t="shared" si="70"/>
        <v>4.5177808017452439E-3</v>
      </c>
      <c r="BG621" s="40">
        <f t="shared" si="70"/>
        <v>0</v>
      </c>
      <c r="BH621" s="40">
        <f t="shared" si="70"/>
        <v>0</v>
      </c>
      <c r="BI621" s="40">
        <f t="shared" si="70"/>
        <v>0</v>
      </c>
      <c r="BJ621" s="40">
        <f t="shared" si="70"/>
        <v>0</v>
      </c>
      <c r="BK621" s="40">
        <f t="shared" si="70"/>
        <v>0</v>
      </c>
      <c r="BL621" s="62">
        <f>BL620</f>
        <v>0</v>
      </c>
      <c r="BM621" s="275">
        <f>BM620</f>
        <v>2</v>
      </c>
      <c r="BN621" s="62">
        <v>0</v>
      </c>
      <c r="BO621" s="33" t="str">
        <f>BO620</f>
        <v>Ecochain 2022 LCA Achtergrondrapport voor Nederlandse branchereferentiemengsels 2022</v>
      </c>
    </row>
    <row r="622" spans="1:67">
      <c r="A622" s="33" t="str">
        <f>Database_Productkaarten[[#This Row],[Product]]&amp;", "&amp;Database_Productkaarten[[#This Row],[Levensfase]]</f>
        <v>2L-ZOAB onderlaag - PCR 2.0, A4</v>
      </c>
      <c r="B622" s="33" t="s">
        <v>538</v>
      </c>
      <c r="C622" s="33" t="s">
        <v>483</v>
      </c>
      <c r="D622" s="33" t="s">
        <v>484</v>
      </c>
      <c r="E622" s="33" t="s">
        <v>378</v>
      </c>
      <c r="F622" s="33" t="s">
        <v>78</v>
      </c>
      <c r="L622" s="33">
        <v>2.1</v>
      </c>
      <c r="M622" s="269">
        <v>1</v>
      </c>
      <c r="N622" s="211">
        <v>0.37546048090943995</v>
      </c>
      <c r="O622" s="33">
        <v>13</v>
      </c>
      <c r="P622" s="163">
        <v>6.8533509000000002E-5</v>
      </c>
      <c r="Q622" s="163">
        <v>2.9713889699999999E-2</v>
      </c>
      <c r="R622" s="163">
        <v>3.9891474704999998</v>
      </c>
      <c r="S622" s="163">
        <v>7.557213E-7</v>
      </c>
      <c r="T622" s="163">
        <v>2.4773701499999998E-3</v>
      </c>
      <c r="U622" s="163">
        <v>1.36398132E-2</v>
      </c>
      <c r="V622" s="163">
        <v>2.5682192100000001E-3</v>
      </c>
      <c r="W622" s="163">
        <v>0.8608144794</v>
      </c>
      <c r="X622" s="163">
        <v>3.6189873900000002E-2</v>
      </c>
      <c r="Y622" s="163">
        <v>97.376595929999993</v>
      </c>
      <c r="Z622" s="163">
        <v>4.8437180999999999E-3</v>
      </c>
      <c r="AA622" s="163">
        <v>4.0259382761999998</v>
      </c>
      <c r="AB622" s="163">
        <v>4.0229543298000001</v>
      </c>
      <c r="AC622" s="163">
        <v>1.9814632200000001E-3</v>
      </c>
      <c r="AD622" s="163">
        <v>1.0024609799999999E-3</v>
      </c>
      <c r="AE622" s="163">
        <v>9.4976262000000003E-7</v>
      </c>
      <c r="AF622" s="163">
        <v>1.7739576E-2</v>
      </c>
      <c r="AG622" s="163">
        <v>2.7841996800000001E-5</v>
      </c>
      <c r="AH622" s="163">
        <v>5.5484582100000001E-3</v>
      </c>
      <c r="AI622" s="163">
        <v>6.1385308800000003E-2</v>
      </c>
      <c r="AJ622" s="163">
        <v>1.9235744999999999E-2</v>
      </c>
      <c r="AK622" s="163">
        <v>6.8533397999999998E-5</v>
      </c>
      <c r="AL622" s="163">
        <v>62.400806729999999</v>
      </c>
      <c r="AM622" s="163">
        <v>0.212954166</v>
      </c>
      <c r="AN622" s="163">
        <v>2.9338876200000002E-7</v>
      </c>
      <c r="AO622" s="163">
        <v>0.26868483510000002</v>
      </c>
      <c r="AP622" s="163">
        <v>45.56587296</v>
      </c>
      <c r="AQ622" s="163">
        <v>1.16371179E-9</v>
      </c>
      <c r="AR622" s="163">
        <v>3.8268015899999999E-8</v>
      </c>
      <c r="AS622" s="163">
        <v>71.806844609999999</v>
      </c>
      <c r="AT622" s="163">
        <v>0</v>
      </c>
      <c r="AU622" s="163">
        <v>0</v>
      </c>
      <c r="AV622" s="313">
        <v>0.63474917099999995</v>
      </c>
      <c r="AW622" s="315">
        <v>0</v>
      </c>
      <c r="AX622" s="315">
        <v>0</v>
      </c>
      <c r="AY622" s="313">
        <v>66.265108560000002</v>
      </c>
      <c r="AZ622" s="163">
        <v>0</v>
      </c>
      <c r="BA622" s="163">
        <v>0</v>
      </c>
      <c r="BB622" s="163">
        <v>0</v>
      </c>
      <c r="BC622" s="163">
        <v>6.7467797999999999E-3</v>
      </c>
      <c r="BD622" s="163">
        <v>1.54707915E-4</v>
      </c>
      <c r="BE622" s="163">
        <v>5.4635493149999999</v>
      </c>
      <c r="BF622" s="163">
        <v>4.25149758E-4</v>
      </c>
      <c r="BG622" s="163">
        <v>0</v>
      </c>
      <c r="BH622" s="163">
        <v>0</v>
      </c>
      <c r="BI622" s="163">
        <v>0</v>
      </c>
      <c r="BJ622" s="163">
        <v>0</v>
      </c>
      <c r="BK622" s="163">
        <v>0</v>
      </c>
      <c r="BL622" s="62">
        <v>0</v>
      </c>
      <c r="BM622" s="275">
        <v>2</v>
      </c>
      <c r="BN622" s="62">
        <v>0</v>
      </c>
      <c r="BO622" s="33" t="s">
        <v>526</v>
      </c>
    </row>
    <row r="623" spans="1:67">
      <c r="A623" s="33" t="str">
        <f>Database_Productkaarten[[#This Row],[Product]]&amp;", "&amp;Database_Productkaarten[[#This Row],[Levensfase]]</f>
        <v>2L-ZOAB onderlaag - PCR 2.0, A5</v>
      </c>
      <c r="B623" s="33" t="s">
        <v>538</v>
      </c>
      <c r="C623" s="33" t="s">
        <v>483</v>
      </c>
      <c r="D623" s="33" t="s">
        <v>484</v>
      </c>
      <c r="E623" s="33" t="s">
        <v>378</v>
      </c>
      <c r="F623" s="33" t="s">
        <v>79</v>
      </c>
      <c r="L623" s="33">
        <v>2.1</v>
      </c>
      <c r="M623" s="269">
        <v>1</v>
      </c>
      <c r="N623" s="211">
        <v>0.11508990378010658</v>
      </c>
      <c r="O623" s="33">
        <v>13</v>
      </c>
      <c r="P623" s="163">
        <v>1.36108828981769E-6</v>
      </c>
      <c r="Q623" s="163">
        <v>5.79004248289125E-3</v>
      </c>
      <c r="R623" s="163">
        <v>1.17753946298029</v>
      </c>
      <c r="S623" s="163">
        <v>1.52166897964891E-7</v>
      </c>
      <c r="T623" s="163">
        <v>3.9769491049019802E-4</v>
      </c>
      <c r="U623" s="163">
        <v>4.0133663857477202E-3</v>
      </c>
      <c r="V623" s="163">
        <v>8.9200970058883502E-4</v>
      </c>
      <c r="W623" s="163">
        <v>0.31853178933092602</v>
      </c>
      <c r="X623" s="163">
        <v>4.51667145319847E-3</v>
      </c>
      <c r="Y623" s="163">
        <v>15.6934427054804</v>
      </c>
      <c r="Z623" s="163">
        <v>5.3488215943393305E-4</v>
      </c>
      <c r="AA623" s="163">
        <v>1.1857245211160901</v>
      </c>
      <c r="AB623" s="163">
        <v>1.18538439244556</v>
      </c>
      <c r="AC623" s="163">
        <v>2.70907897295604E-4</v>
      </c>
      <c r="AD623" s="163">
        <v>6.9220773232827801E-5</v>
      </c>
      <c r="AE623" s="163">
        <v>1.91736301404201E-7</v>
      </c>
      <c r="AF623" s="163">
        <v>5.5294629322026403E-3</v>
      </c>
      <c r="AG623" s="163">
        <v>3.23403406207994E-6</v>
      </c>
      <c r="AH623" s="163">
        <v>2.2810385905776501E-3</v>
      </c>
      <c r="AI623" s="163">
        <v>2.5051401718894702E-2</v>
      </c>
      <c r="AJ623" s="163">
        <v>6.6437026499939402E-3</v>
      </c>
      <c r="AK623" s="163">
        <v>1.36107760919511E-6</v>
      </c>
      <c r="AL623" s="163">
        <v>12.216636247232801</v>
      </c>
      <c r="AM623" s="163">
        <v>1.6270564011363502E-2</v>
      </c>
      <c r="AN623" s="163">
        <v>2.19447721329002E-8</v>
      </c>
      <c r="AO623" s="163">
        <v>5.2434937314588197E-2</v>
      </c>
      <c r="AP623" s="163">
        <v>7.3299436755695702</v>
      </c>
      <c r="AQ623" s="163">
        <v>2.5717564081712199E-10</v>
      </c>
      <c r="AR623" s="163">
        <v>5.8020979012863397E-9</v>
      </c>
      <c r="AS623" s="163">
        <v>1.5604089603832501</v>
      </c>
      <c r="AT623" s="163">
        <v>0</v>
      </c>
      <c r="AU623" s="163">
        <v>0</v>
      </c>
      <c r="AV623" s="313">
        <v>6.7148701818558407E-2</v>
      </c>
      <c r="AW623" s="315">
        <v>0</v>
      </c>
      <c r="AX623" s="315">
        <v>0</v>
      </c>
      <c r="AY623" s="313">
        <v>12.9736813026595</v>
      </c>
      <c r="AZ623" s="163">
        <v>0</v>
      </c>
      <c r="BA623" s="163">
        <v>0</v>
      </c>
      <c r="BB623" s="163">
        <v>0</v>
      </c>
      <c r="BC623" s="163">
        <v>6.3151909794721705E-4</v>
      </c>
      <c r="BD623" s="163">
        <v>3.3269162758990797E-5</v>
      </c>
      <c r="BE623" s="163">
        <v>1.4455599839186499E-2</v>
      </c>
      <c r="BF623" s="163">
        <v>8.4906277276028394E-5</v>
      </c>
      <c r="BG623" s="163">
        <v>0</v>
      </c>
      <c r="BH623" s="163">
        <v>0</v>
      </c>
      <c r="BI623" s="163">
        <v>0</v>
      </c>
      <c r="BJ623" s="163">
        <v>0</v>
      </c>
      <c r="BK623" s="163">
        <v>0</v>
      </c>
      <c r="BL623" s="62">
        <v>0</v>
      </c>
      <c r="BM623" s="275">
        <v>2</v>
      </c>
      <c r="BN623" s="62">
        <v>0</v>
      </c>
      <c r="BO623" s="33" t="s">
        <v>526</v>
      </c>
    </row>
    <row r="624" spans="1:67">
      <c r="A624" s="33" t="str">
        <f>Database_Productkaarten[[#This Row],[Product]]&amp;", "&amp;Database_Productkaarten[[#This Row],[Levensfase]]</f>
        <v>2L-ZOAB onderlaag - PCR 2.0, B1</v>
      </c>
      <c r="B624" s="33" t="s">
        <v>538</v>
      </c>
      <c r="C624" s="33" t="s">
        <v>483</v>
      </c>
      <c r="D624" s="33" t="s">
        <v>484</v>
      </c>
      <c r="E624" s="33" t="s">
        <v>378</v>
      </c>
      <c r="F624" s="33" t="s">
        <v>80</v>
      </c>
      <c r="L624" s="33">
        <v>2.1</v>
      </c>
      <c r="M624" s="269">
        <v>1</v>
      </c>
      <c r="N624" s="211">
        <v>0.63803196066933088</v>
      </c>
      <c r="O624" s="33">
        <v>13</v>
      </c>
      <c r="P624" s="163">
        <v>0</v>
      </c>
      <c r="Q624" s="163">
        <v>0</v>
      </c>
      <c r="R624" s="163">
        <v>0</v>
      </c>
      <c r="S624" s="163">
        <v>0</v>
      </c>
      <c r="T624" s="163">
        <v>0</v>
      </c>
      <c r="U624" s="163">
        <v>0</v>
      </c>
      <c r="V624" s="163">
        <v>0</v>
      </c>
      <c r="W624" s="163">
        <v>2.21599595321837</v>
      </c>
      <c r="X624" s="163">
        <v>3.1435906259976898</v>
      </c>
      <c r="Y624" s="163">
        <v>3441.17206099747</v>
      </c>
      <c r="Z624" s="163">
        <v>2.7899999999979499E-3</v>
      </c>
      <c r="AA624" s="163">
        <v>0</v>
      </c>
      <c r="AB624" s="163">
        <v>0</v>
      </c>
      <c r="AC624" s="163">
        <v>0</v>
      </c>
      <c r="AD624" s="163">
        <v>0</v>
      </c>
      <c r="AE624" s="163">
        <v>0</v>
      </c>
      <c r="AF624" s="163">
        <v>0</v>
      </c>
      <c r="AG624" s="163">
        <v>0</v>
      </c>
      <c r="AH624" s="163">
        <v>0</v>
      </c>
      <c r="AI624" s="163">
        <v>0</v>
      </c>
      <c r="AJ624" s="163">
        <v>0</v>
      </c>
      <c r="AK624" s="163">
        <v>0</v>
      </c>
      <c r="AL624" s="163">
        <v>0</v>
      </c>
      <c r="AM624" s="163">
        <v>0</v>
      </c>
      <c r="AN624" s="163">
        <v>0</v>
      </c>
      <c r="AO624" s="163">
        <v>0</v>
      </c>
      <c r="AP624" s="163">
        <v>19.2904605006858</v>
      </c>
      <c r="AQ624" s="163">
        <v>3.4029317760975E-9</v>
      </c>
      <c r="AR624" s="163">
        <v>2.0449895299124001E-7</v>
      </c>
      <c r="AS624" s="163">
        <v>0</v>
      </c>
      <c r="AT624" s="163">
        <v>0</v>
      </c>
      <c r="AU624" s="163">
        <v>0</v>
      </c>
      <c r="AV624" s="313">
        <v>0</v>
      </c>
      <c r="AW624" s="315">
        <v>0</v>
      </c>
      <c r="AX624" s="315">
        <v>0</v>
      </c>
      <c r="AY624" s="313">
        <v>0</v>
      </c>
      <c r="AZ624" s="163">
        <v>0</v>
      </c>
      <c r="BA624" s="163">
        <v>0</v>
      </c>
      <c r="BB624" s="163">
        <v>0</v>
      </c>
      <c r="BC624" s="163">
        <v>0</v>
      </c>
      <c r="BD624" s="163">
        <v>0</v>
      </c>
      <c r="BE624" s="163">
        <v>0</v>
      </c>
      <c r="BF624" s="163">
        <v>0</v>
      </c>
      <c r="BG624" s="163">
        <v>0</v>
      </c>
      <c r="BH624" s="163">
        <v>0</v>
      </c>
      <c r="BI624" s="163">
        <v>0</v>
      </c>
      <c r="BJ624" s="163">
        <v>0</v>
      </c>
      <c r="BK624" s="163">
        <v>0</v>
      </c>
      <c r="BL624" s="62">
        <v>0</v>
      </c>
      <c r="BM624" s="275">
        <v>2</v>
      </c>
      <c r="BN624" s="62">
        <v>0</v>
      </c>
      <c r="BO624" s="33" t="s">
        <v>526</v>
      </c>
    </row>
    <row r="625" spans="1:67">
      <c r="A625" s="33" t="str">
        <f>Database_Productkaarten[[#This Row],[Product]]&amp;", "&amp;Database_Productkaarten[[#This Row],[Levensfase]]</f>
        <v>2L-ZOAB onderlaag - PCR 2.0, B2</v>
      </c>
      <c r="B625" s="33" t="s">
        <v>538</v>
      </c>
      <c r="C625" s="33" t="s">
        <v>483</v>
      </c>
      <c r="D625" s="33" t="s">
        <v>484</v>
      </c>
      <c r="E625" s="33" t="s">
        <v>378</v>
      </c>
      <c r="F625" s="33" t="s">
        <v>527</v>
      </c>
      <c r="L625" s="33">
        <v>2.1</v>
      </c>
      <c r="M625" s="269">
        <v>1</v>
      </c>
      <c r="N625" s="211">
        <v>0</v>
      </c>
      <c r="O625" s="33">
        <v>13</v>
      </c>
      <c r="P625" s="163">
        <v>0</v>
      </c>
      <c r="Q625" s="163">
        <v>0</v>
      </c>
      <c r="R625" s="163">
        <v>0</v>
      </c>
      <c r="S625" s="163">
        <v>0</v>
      </c>
      <c r="T625" s="163">
        <v>0</v>
      </c>
      <c r="U625" s="163">
        <v>0</v>
      </c>
      <c r="V625" s="163">
        <v>0</v>
      </c>
      <c r="W625" s="163">
        <v>0</v>
      </c>
      <c r="X625" s="163">
        <v>0</v>
      </c>
      <c r="Y625" s="163">
        <v>0</v>
      </c>
      <c r="Z625" s="163">
        <v>0</v>
      </c>
      <c r="AA625" s="163">
        <v>0</v>
      </c>
      <c r="AB625" s="163">
        <v>0</v>
      </c>
      <c r="AC625" s="163">
        <v>0</v>
      </c>
      <c r="AD625" s="163">
        <v>0</v>
      </c>
      <c r="AE625" s="163">
        <v>0</v>
      </c>
      <c r="AF625" s="163">
        <v>0</v>
      </c>
      <c r="AG625" s="163">
        <v>0</v>
      </c>
      <c r="AH625" s="163">
        <v>0</v>
      </c>
      <c r="AI625" s="163">
        <v>0</v>
      </c>
      <c r="AJ625" s="163">
        <v>0</v>
      </c>
      <c r="AK625" s="163">
        <v>0</v>
      </c>
      <c r="AL625" s="163">
        <v>0</v>
      </c>
      <c r="AM625" s="163">
        <v>0</v>
      </c>
      <c r="AN625" s="163">
        <v>0</v>
      </c>
      <c r="AO625" s="163">
        <v>0</v>
      </c>
      <c r="AP625" s="163">
        <v>0</v>
      </c>
      <c r="AQ625" s="163">
        <v>0</v>
      </c>
      <c r="AR625" s="163">
        <v>0</v>
      </c>
      <c r="AS625" s="163">
        <v>0</v>
      </c>
      <c r="AT625" s="163">
        <v>0</v>
      </c>
      <c r="AU625" s="163">
        <v>0</v>
      </c>
      <c r="AV625" s="313">
        <v>0</v>
      </c>
      <c r="AW625" s="315">
        <v>0</v>
      </c>
      <c r="AX625" s="315">
        <v>0</v>
      </c>
      <c r="AY625" s="313">
        <v>0</v>
      </c>
      <c r="AZ625" s="163">
        <v>0</v>
      </c>
      <c r="BA625" s="163">
        <v>0</v>
      </c>
      <c r="BB625" s="163">
        <v>0</v>
      </c>
      <c r="BC625" s="163">
        <v>0</v>
      </c>
      <c r="BD625" s="163">
        <v>0</v>
      </c>
      <c r="BE625" s="163">
        <v>0</v>
      </c>
      <c r="BF625" s="163">
        <v>0</v>
      </c>
      <c r="BG625" s="163">
        <v>0</v>
      </c>
      <c r="BH625" s="163">
        <v>0</v>
      </c>
      <c r="BI625" s="163">
        <v>0</v>
      </c>
      <c r="BJ625" s="163">
        <v>0</v>
      </c>
      <c r="BK625" s="163">
        <v>0</v>
      </c>
      <c r="BL625" s="62">
        <v>0</v>
      </c>
      <c r="BM625" s="275">
        <v>2</v>
      </c>
      <c r="BN625" s="62">
        <v>0</v>
      </c>
      <c r="BO625" s="33" t="s">
        <v>526</v>
      </c>
    </row>
    <row r="626" spans="1:67">
      <c r="A626" s="33" t="str">
        <f>Database_Productkaarten[[#This Row],[Product]]&amp;", "&amp;Database_Productkaarten[[#This Row],[Levensfase]]</f>
        <v>2L-ZOAB onderlaag - PCR 2.0, B3</v>
      </c>
      <c r="B626" s="33" t="s">
        <v>538</v>
      </c>
      <c r="C626" s="33" t="s">
        <v>483</v>
      </c>
      <c r="D626" s="33" t="s">
        <v>484</v>
      </c>
      <c r="E626" s="33" t="s">
        <v>378</v>
      </c>
      <c r="F626" s="33" t="s">
        <v>81</v>
      </c>
      <c r="L626" s="33">
        <v>2.1</v>
      </c>
      <c r="M626" s="269">
        <v>1</v>
      </c>
      <c r="N626" s="211">
        <v>0</v>
      </c>
      <c r="O626" s="33">
        <v>13</v>
      </c>
      <c r="P626" s="163">
        <v>0</v>
      </c>
      <c r="Q626" s="163">
        <v>0</v>
      </c>
      <c r="R626" s="163">
        <v>0</v>
      </c>
      <c r="S626" s="163">
        <v>0</v>
      </c>
      <c r="T626" s="163">
        <v>0</v>
      </c>
      <c r="U626" s="163">
        <v>0</v>
      </c>
      <c r="V626" s="163">
        <v>0</v>
      </c>
      <c r="W626" s="163">
        <v>0</v>
      </c>
      <c r="X626" s="163">
        <v>0</v>
      </c>
      <c r="Y626" s="163">
        <v>0</v>
      </c>
      <c r="Z626" s="163">
        <v>0</v>
      </c>
      <c r="AA626" s="163">
        <v>0</v>
      </c>
      <c r="AB626" s="163">
        <v>0</v>
      </c>
      <c r="AC626" s="163">
        <v>0</v>
      </c>
      <c r="AD626" s="163">
        <v>0</v>
      </c>
      <c r="AE626" s="163">
        <v>0</v>
      </c>
      <c r="AF626" s="163">
        <v>0</v>
      </c>
      <c r="AG626" s="163">
        <v>0</v>
      </c>
      <c r="AH626" s="163">
        <v>0</v>
      </c>
      <c r="AI626" s="163">
        <v>0</v>
      </c>
      <c r="AJ626" s="163">
        <v>0</v>
      </c>
      <c r="AK626" s="163">
        <v>0</v>
      </c>
      <c r="AL626" s="163">
        <v>0</v>
      </c>
      <c r="AM626" s="163">
        <v>0</v>
      </c>
      <c r="AN626" s="163">
        <v>0</v>
      </c>
      <c r="AO626" s="163">
        <v>0</v>
      </c>
      <c r="AP626" s="163">
        <v>0</v>
      </c>
      <c r="AQ626" s="163">
        <v>0</v>
      </c>
      <c r="AR626" s="163">
        <v>0</v>
      </c>
      <c r="AS626" s="163">
        <v>0</v>
      </c>
      <c r="AT626" s="163">
        <v>0</v>
      </c>
      <c r="AU626" s="163">
        <v>0</v>
      </c>
      <c r="AV626" s="313">
        <v>0</v>
      </c>
      <c r="AW626" s="315">
        <v>0</v>
      </c>
      <c r="AX626" s="315">
        <v>0</v>
      </c>
      <c r="AY626" s="313">
        <v>0</v>
      </c>
      <c r="AZ626" s="163">
        <v>0</v>
      </c>
      <c r="BA626" s="163">
        <v>0</v>
      </c>
      <c r="BB626" s="163">
        <v>0</v>
      </c>
      <c r="BC626" s="163">
        <v>0</v>
      </c>
      <c r="BD626" s="163">
        <v>0</v>
      </c>
      <c r="BE626" s="163">
        <v>0</v>
      </c>
      <c r="BF626" s="163">
        <v>0</v>
      </c>
      <c r="BG626" s="163">
        <v>0</v>
      </c>
      <c r="BH626" s="163">
        <v>0</v>
      </c>
      <c r="BI626" s="163">
        <v>0</v>
      </c>
      <c r="BJ626" s="163">
        <v>0</v>
      </c>
      <c r="BK626" s="163">
        <v>0</v>
      </c>
      <c r="BL626" s="62">
        <v>0</v>
      </c>
      <c r="BM626" s="275">
        <v>2</v>
      </c>
      <c r="BN626" s="62">
        <v>0</v>
      </c>
      <c r="BO626" s="33" t="s">
        <v>526</v>
      </c>
    </row>
    <row r="627" spans="1:67">
      <c r="A627" s="33" t="str">
        <f>Database_Productkaarten[[#This Row],[Product]]&amp;", "&amp;Database_Productkaarten[[#This Row],[Levensfase]]</f>
        <v>2L-ZOAB onderlaag - PCR 2.0, B4</v>
      </c>
      <c r="B627" s="33" t="s">
        <v>538</v>
      </c>
      <c r="C627" s="33" t="s">
        <v>483</v>
      </c>
      <c r="D627" s="33" t="s">
        <v>484</v>
      </c>
      <c r="E627" s="33" t="s">
        <v>378</v>
      </c>
      <c r="F627" s="33" t="s">
        <v>82</v>
      </c>
      <c r="L627" s="33">
        <v>2.1</v>
      </c>
      <c r="M627" s="269">
        <v>1</v>
      </c>
      <c r="N627" s="211">
        <v>0</v>
      </c>
      <c r="O627" s="33">
        <v>13</v>
      </c>
      <c r="P627" s="163">
        <v>0</v>
      </c>
      <c r="Q627" s="163">
        <v>0</v>
      </c>
      <c r="R627" s="163">
        <v>0</v>
      </c>
      <c r="S627" s="163">
        <v>0</v>
      </c>
      <c r="T627" s="163">
        <v>0</v>
      </c>
      <c r="U627" s="163">
        <v>0</v>
      </c>
      <c r="V627" s="163">
        <v>0</v>
      </c>
      <c r="W627" s="163">
        <v>0</v>
      </c>
      <c r="X627" s="163">
        <v>0</v>
      </c>
      <c r="Y627" s="163">
        <v>0</v>
      </c>
      <c r="Z627" s="163">
        <v>0</v>
      </c>
      <c r="AA627" s="163">
        <v>0</v>
      </c>
      <c r="AB627" s="163">
        <v>0</v>
      </c>
      <c r="AC627" s="163">
        <v>0</v>
      </c>
      <c r="AD627" s="163">
        <v>0</v>
      </c>
      <c r="AE627" s="163">
        <v>0</v>
      </c>
      <c r="AF627" s="163">
        <v>0</v>
      </c>
      <c r="AG627" s="163">
        <v>0</v>
      </c>
      <c r="AH627" s="163">
        <v>0</v>
      </c>
      <c r="AI627" s="163">
        <v>0</v>
      </c>
      <c r="AJ627" s="163">
        <v>0</v>
      </c>
      <c r="AK627" s="163">
        <v>0</v>
      </c>
      <c r="AL627" s="163">
        <v>0</v>
      </c>
      <c r="AM627" s="163">
        <v>0</v>
      </c>
      <c r="AN627" s="163">
        <v>0</v>
      </c>
      <c r="AO627" s="163">
        <v>0</v>
      </c>
      <c r="AP627" s="163">
        <v>0</v>
      </c>
      <c r="AQ627" s="163">
        <v>0</v>
      </c>
      <c r="AR627" s="163">
        <v>0</v>
      </c>
      <c r="AS627" s="163">
        <v>0</v>
      </c>
      <c r="AT627" s="163">
        <v>0</v>
      </c>
      <c r="AU627" s="163">
        <v>0</v>
      </c>
      <c r="AV627" s="313">
        <v>0</v>
      </c>
      <c r="AW627" s="315">
        <v>0</v>
      </c>
      <c r="AX627" s="315">
        <v>0</v>
      </c>
      <c r="AY627" s="313">
        <v>0</v>
      </c>
      <c r="AZ627" s="163">
        <v>0</v>
      </c>
      <c r="BA627" s="163">
        <v>0</v>
      </c>
      <c r="BB627" s="163">
        <v>0</v>
      </c>
      <c r="BC627" s="163">
        <v>0</v>
      </c>
      <c r="BD627" s="163">
        <v>0</v>
      </c>
      <c r="BE627" s="163">
        <v>0</v>
      </c>
      <c r="BF627" s="163">
        <v>0</v>
      </c>
      <c r="BG627" s="163">
        <v>0</v>
      </c>
      <c r="BH627" s="163">
        <v>0</v>
      </c>
      <c r="BI627" s="163">
        <v>0</v>
      </c>
      <c r="BJ627" s="163">
        <v>0</v>
      </c>
      <c r="BK627" s="163">
        <v>0</v>
      </c>
      <c r="BL627" s="62">
        <v>0</v>
      </c>
      <c r="BM627" s="275">
        <v>2</v>
      </c>
      <c r="BN627" s="62">
        <v>0</v>
      </c>
      <c r="BO627" s="33" t="s">
        <v>526</v>
      </c>
    </row>
    <row r="628" spans="1:67">
      <c r="A628" s="33" t="str">
        <f>Database_Productkaarten[[#This Row],[Product]]&amp;", "&amp;Database_Productkaarten[[#This Row],[Levensfase]]</f>
        <v>2L-ZOAB onderlaag - PCR 2.0, B5</v>
      </c>
      <c r="B628" s="33" t="s">
        <v>538</v>
      </c>
      <c r="C628" s="33" t="s">
        <v>483</v>
      </c>
      <c r="D628" s="33" t="s">
        <v>484</v>
      </c>
      <c r="E628" s="33" t="s">
        <v>378</v>
      </c>
      <c r="F628" s="33" t="s">
        <v>528</v>
      </c>
      <c r="L628" s="33">
        <v>2.1</v>
      </c>
      <c r="M628" s="269">
        <v>1</v>
      </c>
      <c r="N628" s="211">
        <v>0</v>
      </c>
      <c r="O628" s="33">
        <v>13</v>
      </c>
      <c r="P628" s="163">
        <v>0</v>
      </c>
      <c r="Q628" s="163">
        <v>0</v>
      </c>
      <c r="R628" s="163">
        <v>0</v>
      </c>
      <c r="S628" s="163">
        <v>0</v>
      </c>
      <c r="T628" s="163">
        <v>0</v>
      </c>
      <c r="U628" s="163">
        <v>0</v>
      </c>
      <c r="V628" s="163">
        <v>0</v>
      </c>
      <c r="W628" s="163">
        <v>0</v>
      </c>
      <c r="X628" s="163">
        <v>0</v>
      </c>
      <c r="Y628" s="163">
        <v>0</v>
      </c>
      <c r="Z628" s="163">
        <v>0</v>
      </c>
      <c r="AA628" s="163">
        <v>0</v>
      </c>
      <c r="AB628" s="163">
        <v>0</v>
      </c>
      <c r="AC628" s="163">
        <v>0</v>
      </c>
      <c r="AD628" s="163">
        <v>0</v>
      </c>
      <c r="AE628" s="163">
        <v>0</v>
      </c>
      <c r="AF628" s="163">
        <v>0</v>
      </c>
      <c r="AG628" s="163">
        <v>0</v>
      </c>
      <c r="AH628" s="163">
        <v>0</v>
      </c>
      <c r="AI628" s="163">
        <v>0</v>
      </c>
      <c r="AJ628" s="163">
        <v>0</v>
      </c>
      <c r="AK628" s="163">
        <v>0</v>
      </c>
      <c r="AL628" s="163">
        <v>0</v>
      </c>
      <c r="AM628" s="163">
        <v>0</v>
      </c>
      <c r="AN628" s="163">
        <v>0</v>
      </c>
      <c r="AO628" s="163">
        <v>0</v>
      </c>
      <c r="AP628" s="163">
        <v>0</v>
      </c>
      <c r="AQ628" s="163">
        <v>0</v>
      </c>
      <c r="AR628" s="163">
        <v>0</v>
      </c>
      <c r="AS628" s="163">
        <v>0</v>
      </c>
      <c r="AT628" s="163">
        <v>0</v>
      </c>
      <c r="AU628" s="163">
        <v>0</v>
      </c>
      <c r="AV628" s="313">
        <v>0</v>
      </c>
      <c r="AW628" s="315">
        <v>0</v>
      </c>
      <c r="AX628" s="315">
        <v>0</v>
      </c>
      <c r="AY628" s="313">
        <v>0</v>
      </c>
      <c r="AZ628" s="163">
        <v>0</v>
      </c>
      <c r="BA628" s="163">
        <v>0</v>
      </c>
      <c r="BB628" s="163">
        <v>0</v>
      </c>
      <c r="BC628" s="163">
        <v>0</v>
      </c>
      <c r="BD628" s="163">
        <v>0</v>
      </c>
      <c r="BE628" s="163">
        <v>0</v>
      </c>
      <c r="BF628" s="163">
        <v>0</v>
      </c>
      <c r="BG628" s="163">
        <v>0</v>
      </c>
      <c r="BH628" s="163">
        <v>0</v>
      </c>
      <c r="BI628" s="163">
        <v>0</v>
      </c>
      <c r="BJ628" s="163">
        <v>0</v>
      </c>
      <c r="BK628" s="163">
        <v>0</v>
      </c>
      <c r="BL628" s="62">
        <v>0</v>
      </c>
      <c r="BM628" s="275">
        <v>2</v>
      </c>
      <c r="BN628" s="62">
        <v>0</v>
      </c>
      <c r="BO628" s="33" t="s">
        <v>526</v>
      </c>
    </row>
    <row r="629" spans="1:67">
      <c r="A629" s="33" t="str">
        <f>Database_Productkaarten[[#This Row],[Product]]&amp;", "&amp;Database_Productkaarten[[#This Row],[Levensfase]]</f>
        <v>2L-ZOAB onderlaag - PCR 2.0, C1</v>
      </c>
      <c r="B629" s="33" t="s">
        <v>538</v>
      </c>
      <c r="C629" s="33" t="s">
        <v>483</v>
      </c>
      <c r="D629" s="33" t="s">
        <v>484</v>
      </c>
      <c r="E629" s="33" t="s">
        <v>378</v>
      </c>
      <c r="F629" s="33" t="s">
        <v>83</v>
      </c>
      <c r="L629" s="33">
        <v>2.1</v>
      </c>
      <c r="M629" s="269">
        <v>1</v>
      </c>
      <c r="N629" s="211">
        <v>0.17627297096970898</v>
      </c>
      <c r="O629" s="33">
        <v>13</v>
      </c>
      <c r="P629" s="163">
        <v>2.1676591282281801E-6</v>
      </c>
      <c r="Q629" s="163">
        <v>9.2211787690490293E-3</v>
      </c>
      <c r="R629" s="163">
        <v>1.87534062622787</v>
      </c>
      <c r="S629" s="163">
        <v>2.4233987453667902E-7</v>
      </c>
      <c r="T629" s="163">
        <v>6.1516414877058902E-4</v>
      </c>
      <c r="U629" s="163">
        <v>5.3270131328580703E-3</v>
      </c>
      <c r="V629" s="163">
        <v>1.14380048612312E-3</v>
      </c>
      <c r="W629" s="163">
        <v>0.50471239202332696</v>
      </c>
      <c r="X629" s="163">
        <v>7.19321749953831E-3</v>
      </c>
      <c r="Y629" s="163">
        <v>24.9932606050244</v>
      </c>
      <c r="Z629" s="163">
        <v>8.5184936502441001E-4</v>
      </c>
      <c r="AA629" s="163">
        <v>1.8868540265182101</v>
      </c>
      <c r="AB629" s="163">
        <v>1.8863123401170001</v>
      </c>
      <c r="AC629" s="163">
        <v>4.3144591050781397E-4</v>
      </c>
      <c r="AD629" s="163">
        <v>1.10240490704133E-4</v>
      </c>
      <c r="AE629" s="163">
        <v>3.0535781334742998E-7</v>
      </c>
      <c r="AF629" s="163">
        <v>7.2305079290643304E-3</v>
      </c>
      <c r="AG629" s="163">
        <v>5.1504986914606399E-6</v>
      </c>
      <c r="AH629" s="163">
        <v>2.8044717849945002E-3</v>
      </c>
      <c r="AI629" s="163">
        <v>3.0825906144911399E-2</v>
      </c>
      <c r="AJ629" s="163">
        <v>8.4242120959174601E-3</v>
      </c>
      <c r="AK629" s="163">
        <v>2.16764211834777E-6</v>
      </c>
      <c r="AL629" s="163">
        <v>19.456124393741</v>
      </c>
      <c r="AM629" s="163">
        <v>2.5912379721801101E-2</v>
      </c>
      <c r="AN629" s="163">
        <v>2.9948141766473503E-8</v>
      </c>
      <c r="AO629" s="163">
        <v>8.3507492760270197E-2</v>
      </c>
      <c r="AP629" s="163">
        <v>11.6737381577987</v>
      </c>
      <c r="AQ629" s="163">
        <v>4.09576020560603E-10</v>
      </c>
      <c r="AR629" s="163">
        <v>8.1948958501647601E-9</v>
      </c>
      <c r="AS629" s="163">
        <v>2.4850957517214698</v>
      </c>
      <c r="AT629" s="163">
        <v>0</v>
      </c>
      <c r="AU629" s="163">
        <v>0</v>
      </c>
      <c r="AV629" s="313">
        <v>0.106940525118445</v>
      </c>
      <c r="AW629" s="315">
        <v>0</v>
      </c>
      <c r="AX629" s="315">
        <v>0</v>
      </c>
      <c r="AY629" s="313">
        <v>20.661788741272598</v>
      </c>
      <c r="AZ629" s="163">
        <v>0</v>
      </c>
      <c r="BA629" s="163">
        <v>0</v>
      </c>
      <c r="BB629" s="163">
        <v>0</v>
      </c>
      <c r="BC629" s="163">
        <v>1.00575263747149E-3</v>
      </c>
      <c r="BD629" s="163">
        <v>5.2984222171726098E-5</v>
      </c>
      <c r="BE629" s="163">
        <v>2.3021881225371198E-2</v>
      </c>
      <c r="BF629" s="163">
        <v>1.35221108254416E-4</v>
      </c>
      <c r="BG629" s="163">
        <v>0</v>
      </c>
      <c r="BH629" s="163">
        <v>0</v>
      </c>
      <c r="BI629" s="163">
        <v>0</v>
      </c>
      <c r="BJ629" s="163">
        <v>0</v>
      </c>
      <c r="BK629" s="163">
        <v>0</v>
      </c>
      <c r="BL629" s="62">
        <v>0</v>
      </c>
      <c r="BM629" s="275">
        <v>2</v>
      </c>
      <c r="BN629" s="62">
        <v>0</v>
      </c>
      <c r="BO629" s="33" t="s">
        <v>526</v>
      </c>
    </row>
    <row r="630" spans="1:67">
      <c r="A630" s="33" t="str">
        <f>Database_Productkaarten[[#This Row],[Product]]&amp;", "&amp;Database_Productkaarten[[#This Row],[Levensfase]]</f>
        <v>2L-ZOAB onderlaag - PCR 2.0, C2</v>
      </c>
      <c r="B630" s="33" t="s">
        <v>538</v>
      </c>
      <c r="C630" s="33" t="s">
        <v>483</v>
      </c>
      <c r="D630" s="33" t="s">
        <v>484</v>
      </c>
      <c r="E630" s="33" t="s">
        <v>378</v>
      </c>
      <c r="F630" s="33" t="s">
        <v>84</v>
      </c>
      <c r="L630" s="33">
        <v>2.1</v>
      </c>
      <c r="M630" s="269">
        <v>1</v>
      </c>
      <c r="N630" s="211">
        <v>0.31791357541832999</v>
      </c>
      <c r="O630" s="33">
        <v>13</v>
      </c>
      <c r="P630" s="163">
        <v>7.2195843000000002E-5</v>
      </c>
      <c r="Q630" s="163">
        <v>2.5045429500000001E-2</v>
      </c>
      <c r="R630" s="163">
        <v>3.2726104581</v>
      </c>
      <c r="S630" s="163">
        <v>6.2448211500000004E-7</v>
      </c>
      <c r="T630" s="163">
        <v>2.3663202E-3</v>
      </c>
      <c r="U630" s="163">
        <v>9.9103019999999993E-3</v>
      </c>
      <c r="V630" s="163">
        <v>1.66070541E-3</v>
      </c>
      <c r="W630" s="163">
        <v>0.89062466159999998</v>
      </c>
      <c r="X630" s="163">
        <v>3.5055542699999998E-2</v>
      </c>
      <c r="Y630" s="163">
        <v>92.682047400000002</v>
      </c>
      <c r="Z630" s="163">
        <v>7.4868390000000003E-3</v>
      </c>
      <c r="AA630" s="163">
        <v>3.3150718431000001</v>
      </c>
      <c r="AB630" s="163">
        <v>3.3001817481</v>
      </c>
      <c r="AC630" s="163">
        <v>1.3607189190000001E-2</v>
      </c>
      <c r="AD630" s="163">
        <v>1.2829113599999999E-3</v>
      </c>
      <c r="AE630" s="163">
        <v>7.8107336699999998E-7</v>
      </c>
      <c r="AF630" s="163">
        <v>1.2482505E-2</v>
      </c>
      <c r="AG630" s="163">
        <v>3.4632532799999998E-5</v>
      </c>
      <c r="AH630" s="163">
        <v>2.8897329300000001E-3</v>
      </c>
      <c r="AI630" s="163">
        <v>3.3662059799999998E-2</v>
      </c>
      <c r="AJ630" s="163">
        <v>1.2098522699999999E-2</v>
      </c>
      <c r="AK630" s="163">
        <v>7.2195510000000004E-5</v>
      </c>
      <c r="AL630" s="163">
        <v>52.307882313</v>
      </c>
      <c r="AM630" s="163">
        <v>0.28570883850000001</v>
      </c>
      <c r="AN630" s="163">
        <v>2.8544027399999998E-7</v>
      </c>
      <c r="AO630" s="163">
        <v>0.22308385950000001</v>
      </c>
      <c r="AP630" s="163">
        <v>50.61443379</v>
      </c>
      <c r="AQ630" s="163">
        <v>1.35209877E-9</v>
      </c>
      <c r="AR630" s="163">
        <v>4.3221490799999998E-8</v>
      </c>
      <c r="AS630" s="163">
        <v>98.528772599999996</v>
      </c>
      <c r="AT630" s="163">
        <v>8.065825212</v>
      </c>
      <c r="AU630" s="163">
        <v>0</v>
      </c>
      <c r="AV630" s="313">
        <v>8.6963547624000004</v>
      </c>
      <c r="AW630" s="315">
        <v>0.70667511750000001</v>
      </c>
      <c r="AX630" s="315">
        <v>9.926829900000001E-4</v>
      </c>
      <c r="AY630" s="313">
        <v>55.561210727999999</v>
      </c>
      <c r="AZ630" s="163">
        <v>0</v>
      </c>
      <c r="BA630" s="163">
        <v>0</v>
      </c>
      <c r="BB630" s="163">
        <v>0</v>
      </c>
      <c r="BC630" s="163">
        <v>8.7338241000000007E-3</v>
      </c>
      <c r="BD630" s="163">
        <v>1.5376752299999999E-4</v>
      </c>
      <c r="BE630" s="163">
        <v>5.5583861609999996</v>
      </c>
      <c r="BF630" s="163">
        <v>3.4865666099999999E-4</v>
      </c>
      <c r="BG630" s="163">
        <v>0</v>
      </c>
      <c r="BH630" s="163">
        <v>0</v>
      </c>
      <c r="BI630" s="163">
        <v>0</v>
      </c>
      <c r="BJ630" s="163">
        <v>0</v>
      </c>
      <c r="BK630" s="163">
        <v>0</v>
      </c>
      <c r="BL630" s="62">
        <v>0</v>
      </c>
      <c r="BM630" s="275">
        <v>2</v>
      </c>
      <c r="BN630" s="62">
        <v>0</v>
      </c>
      <c r="BO630" s="33" t="s">
        <v>526</v>
      </c>
    </row>
    <row r="631" spans="1:67">
      <c r="A631" s="33" t="str">
        <f>Database_Productkaarten[[#This Row],[Product]]&amp;", "&amp;Database_Productkaarten[[#This Row],[Levensfase]]</f>
        <v>2L-ZOAB onderlaag - PCR 2.0, C3</v>
      </c>
      <c r="B631" s="33" t="s">
        <v>538</v>
      </c>
      <c r="C631" s="33" t="s">
        <v>483</v>
      </c>
      <c r="D631" s="33" t="s">
        <v>484</v>
      </c>
      <c r="E631" s="33" t="s">
        <v>378</v>
      </c>
      <c r="F631" s="33" t="s">
        <v>85</v>
      </c>
      <c r="L631" s="33">
        <v>2.1</v>
      </c>
      <c r="M631" s="269">
        <v>1</v>
      </c>
      <c r="N631" s="211">
        <v>0.15929996470817095</v>
      </c>
      <c r="O631" s="33">
        <v>13</v>
      </c>
      <c r="P631" s="163">
        <v>1.8651950638242401E-6</v>
      </c>
      <c r="Q631" s="163">
        <v>7.9345026617398604E-3</v>
      </c>
      <c r="R631" s="163">
        <v>1.6136651900100301</v>
      </c>
      <c r="S631" s="163">
        <v>2.08525008322258E-7</v>
      </c>
      <c r="T631" s="163">
        <v>5.85592828073414E-4</v>
      </c>
      <c r="U631" s="163">
        <v>5.7290956026911999E-3</v>
      </c>
      <c r="V631" s="163">
        <v>1.2820009415476299E-3</v>
      </c>
      <c r="W631" s="163">
        <v>0.43705340653867603</v>
      </c>
      <c r="X631" s="163">
        <v>6.1895127321608696E-3</v>
      </c>
      <c r="Y631" s="163">
        <v>21.505828892695501</v>
      </c>
      <c r="Z631" s="163">
        <v>7.3298666292797904E-4</v>
      </c>
      <c r="AA631" s="163">
        <v>1.62432602349241</v>
      </c>
      <c r="AB631" s="163">
        <v>1.6238599212402101</v>
      </c>
      <c r="AC631" s="163">
        <v>3.7124415555323702E-4</v>
      </c>
      <c r="AD631" s="163">
        <v>9.4858096652393695E-5</v>
      </c>
      <c r="AE631" s="163">
        <v>2.6274974636871903E-7</v>
      </c>
      <c r="AF631" s="163">
        <v>7.9167720552404692E-3</v>
      </c>
      <c r="AG631" s="163">
        <v>4.4318244554428796E-6</v>
      </c>
      <c r="AH631" s="163">
        <v>3.3042609370878E-3</v>
      </c>
      <c r="AI631" s="163">
        <v>3.6283310985150898E-2</v>
      </c>
      <c r="AJ631" s="163">
        <v>9.6537099736950793E-3</v>
      </c>
      <c r="AK631" s="163">
        <v>1.86518042741552E-6</v>
      </c>
      <c r="AL631" s="163">
        <v>16.741316338800399</v>
      </c>
      <c r="AM631" s="163">
        <v>2.2296698830386898E-2</v>
      </c>
      <c r="AN631" s="163">
        <v>3.0576571371381498E-8</v>
      </c>
      <c r="AO631" s="163">
        <v>7.1855284468139394E-2</v>
      </c>
      <c r="AP631" s="163">
        <v>10.0456498242071</v>
      </c>
      <c r="AQ631" s="163">
        <v>3.5242587815679602E-10</v>
      </c>
      <c r="AR631" s="163">
        <v>7.5755651561351893E-9</v>
      </c>
      <c r="AS631" s="163">
        <v>2.13833820496964</v>
      </c>
      <c r="AT631" s="163">
        <v>0</v>
      </c>
      <c r="AU631" s="163">
        <v>0</v>
      </c>
      <c r="AV631" s="313">
        <v>9.2018591380987294E-2</v>
      </c>
      <c r="AW631" s="315">
        <v>0</v>
      </c>
      <c r="AX631" s="315">
        <v>0</v>
      </c>
      <c r="AY631" s="313">
        <v>17.778748451792701</v>
      </c>
      <c r="AZ631" s="163">
        <v>0</v>
      </c>
      <c r="BA631" s="163">
        <v>0</v>
      </c>
      <c r="BB631" s="163">
        <v>0</v>
      </c>
      <c r="BC631" s="163">
        <v>8.6541506014988802E-4</v>
      </c>
      <c r="BD631" s="163">
        <v>4.55910748919504E-5</v>
      </c>
      <c r="BE631" s="163">
        <v>1.98095257055519E-2</v>
      </c>
      <c r="BF631" s="163">
        <v>1.16353046637521E-4</v>
      </c>
      <c r="BG631" s="163">
        <v>0</v>
      </c>
      <c r="BH631" s="163">
        <v>1000</v>
      </c>
      <c r="BI631" s="163">
        <v>0</v>
      </c>
      <c r="BJ631" s="163">
        <v>0</v>
      </c>
      <c r="BK631" s="163">
        <v>0</v>
      </c>
      <c r="BL631" s="62">
        <v>0</v>
      </c>
      <c r="BM631" s="275">
        <v>2</v>
      </c>
      <c r="BN631" s="62">
        <v>0</v>
      </c>
      <c r="BO631" s="33" t="s">
        <v>526</v>
      </c>
    </row>
    <row r="632" spans="1:67">
      <c r="A632" s="33" t="str">
        <f>Database_Productkaarten[[#This Row],[Product]]&amp;", "&amp;Database_Productkaarten[[#This Row],[Levensfase]]</f>
        <v>2L-ZOAB onderlaag - PCR 2.0, C4</v>
      </c>
      <c r="B632" s="33" t="s">
        <v>538</v>
      </c>
      <c r="C632" s="33" t="s">
        <v>483</v>
      </c>
      <c r="D632" s="33" t="s">
        <v>484</v>
      </c>
      <c r="E632" s="33" t="s">
        <v>378</v>
      </c>
      <c r="F632" s="33" t="s">
        <v>86</v>
      </c>
      <c r="L632" s="33">
        <v>2.1</v>
      </c>
      <c r="M632" s="269">
        <v>1</v>
      </c>
      <c r="N632" s="211">
        <v>0</v>
      </c>
      <c r="O632" s="33">
        <v>13</v>
      </c>
      <c r="P632" s="163">
        <v>0</v>
      </c>
      <c r="Q632" s="163">
        <v>0</v>
      </c>
      <c r="R632" s="163">
        <v>0</v>
      </c>
      <c r="S632" s="163">
        <v>0</v>
      </c>
      <c r="T632" s="163">
        <v>0</v>
      </c>
      <c r="U632" s="163">
        <v>0</v>
      </c>
      <c r="V632" s="163">
        <v>0</v>
      </c>
      <c r="W632" s="163">
        <v>0</v>
      </c>
      <c r="X632" s="163">
        <v>0</v>
      </c>
      <c r="Y632" s="163">
        <v>0</v>
      </c>
      <c r="Z632" s="163">
        <v>0</v>
      </c>
      <c r="AA632" s="163">
        <v>0</v>
      </c>
      <c r="AB632" s="163">
        <v>0</v>
      </c>
      <c r="AC632" s="163">
        <v>0</v>
      </c>
      <c r="AD632" s="163">
        <v>0</v>
      </c>
      <c r="AE632" s="163">
        <v>0</v>
      </c>
      <c r="AF632" s="163">
        <v>0</v>
      </c>
      <c r="AG632" s="163">
        <v>0</v>
      </c>
      <c r="AH632" s="163">
        <v>0</v>
      </c>
      <c r="AI632" s="163">
        <v>0</v>
      </c>
      <c r="AJ632" s="163">
        <v>0</v>
      </c>
      <c r="AK632" s="163">
        <v>0</v>
      </c>
      <c r="AL632" s="163">
        <v>0</v>
      </c>
      <c r="AM632" s="163">
        <v>0</v>
      </c>
      <c r="AN632" s="163">
        <v>0</v>
      </c>
      <c r="AO632" s="163">
        <v>0</v>
      </c>
      <c r="AP632" s="163">
        <v>0</v>
      </c>
      <c r="AQ632" s="163">
        <v>0</v>
      </c>
      <c r="AR632" s="163">
        <v>0</v>
      </c>
      <c r="AS632" s="163">
        <v>0</v>
      </c>
      <c r="AT632" s="163">
        <v>0</v>
      </c>
      <c r="AU632" s="163">
        <v>0</v>
      </c>
      <c r="AV632" s="313">
        <v>0</v>
      </c>
      <c r="AW632" s="315">
        <v>0</v>
      </c>
      <c r="AX632" s="315">
        <v>0</v>
      </c>
      <c r="AY632" s="313">
        <v>0</v>
      </c>
      <c r="AZ632" s="163">
        <v>0</v>
      </c>
      <c r="BA632" s="163">
        <v>0</v>
      </c>
      <c r="BB632" s="163">
        <v>0</v>
      </c>
      <c r="BC632" s="163">
        <v>0</v>
      </c>
      <c r="BD632" s="163">
        <v>0</v>
      </c>
      <c r="BE632" s="163">
        <v>0</v>
      </c>
      <c r="BF632" s="163">
        <v>0</v>
      </c>
      <c r="BG632" s="163">
        <v>0</v>
      </c>
      <c r="BH632" s="163">
        <v>0</v>
      </c>
      <c r="BI632" s="163">
        <v>0</v>
      </c>
      <c r="BJ632" s="163">
        <v>0</v>
      </c>
      <c r="BK632" s="163">
        <v>0</v>
      </c>
      <c r="BL632" s="62">
        <v>0</v>
      </c>
      <c r="BM632" s="275">
        <v>2</v>
      </c>
      <c r="BN632" s="62">
        <v>0</v>
      </c>
      <c r="BO632" s="33" t="s">
        <v>526</v>
      </c>
    </row>
    <row r="633" spans="1:67">
      <c r="A633" s="33" t="str">
        <f>Database_Productkaarten[[#This Row],[Product]]&amp;", "&amp;Database_Productkaarten[[#This Row],[Levensfase]]</f>
        <v>2L-ZOAB onderlaag - PCR 2.0, D</v>
      </c>
      <c r="B633" s="33" t="s">
        <v>538</v>
      </c>
      <c r="C633" s="33" t="s">
        <v>483</v>
      </c>
      <c r="D633" s="33" t="s">
        <v>484</v>
      </c>
      <c r="E633" s="33" t="s">
        <v>378</v>
      </c>
      <c r="F633" s="33" t="s">
        <v>89</v>
      </c>
      <c r="L633" s="33">
        <v>2.1</v>
      </c>
      <c r="M633" s="269">
        <v>1</v>
      </c>
      <c r="N633" s="211">
        <v>-3.4527744979398345</v>
      </c>
      <c r="O633" s="33">
        <v>13</v>
      </c>
      <c r="P633" s="163">
        <v>-4.7535578196288703E-4</v>
      </c>
      <c r="Q633" s="163">
        <v>-0.56964134196751604</v>
      </c>
      <c r="R633" s="163">
        <v>-25.564877611549001</v>
      </c>
      <c r="S633" s="163">
        <v>-2.2242619550572101E-6</v>
      </c>
      <c r="T633" s="163">
        <v>-6.1555193069244001E-2</v>
      </c>
      <c r="U633" s="163">
        <v>-0.181884822123275</v>
      </c>
      <c r="V633" s="163">
        <v>-1.8270300663406801E-2</v>
      </c>
      <c r="W633" s="163">
        <v>-7.2354795448843596</v>
      </c>
      <c r="X633" s="163">
        <v>-0.87973260629876804</v>
      </c>
      <c r="Y633" s="163">
        <v>-3835.0434183627299</v>
      </c>
      <c r="Z633" s="163">
        <v>-0.117889303278983</v>
      </c>
      <c r="AA633" s="163">
        <v>-7.6577185787591704</v>
      </c>
      <c r="AB633" s="163">
        <v>-7.5582332588728001</v>
      </c>
      <c r="AC633" s="163">
        <v>-8.9696752022109805E-2</v>
      </c>
      <c r="AD633" s="163">
        <v>-9.7885678642383091E-3</v>
      </c>
      <c r="AE633" s="163">
        <v>-9.91674345869629E-7</v>
      </c>
      <c r="AF633" s="163">
        <v>-7.5835073805822398E-2</v>
      </c>
      <c r="AG633" s="163">
        <v>-3.3014584882588101E-4</v>
      </c>
      <c r="AH633" s="163">
        <v>-2.24391120594086E-2</v>
      </c>
      <c r="AI633" s="163">
        <v>-0.286265172482143</v>
      </c>
      <c r="AJ633" s="163">
        <v>-6.9527525558980105E-2</v>
      </c>
      <c r="AK633" s="163">
        <v>-4.7279551702335602E-4</v>
      </c>
      <c r="AL633" s="163">
        <v>-110.61549246823201</v>
      </c>
      <c r="AM633" s="163">
        <v>-26.554741139580099</v>
      </c>
      <c r="AN633" s="163">
        <v>-1.08518746505266E-6</v>
      </c>
      <c r="AO633" s="163">
        <v>-0.60359786196674103</v>
      </c>
      <c r="AP633" s="163">
        <v>-1136.01104814315</v>
      </c>
      <c r="AQ633" s="163">
        <v>-5.7051655851054702E-9</v>
      </c>
      <c r="AR633" s="163">
        <v>-1.2909483597276799E-7</v>
      </c>
      <c r="AS633" s="163">
        <v>-1392.46590852585</v>
      </c>
      <c r="AT633" s="163">
        <v>0</v>
      </c>
      <c r="AU633" s="163">
        <v>0</v>
      </c>
      <c r="AV633" s="313">
        <v>-13.975226071137801</v>
      </c>
      <c r="AW633" s="315">
        <v>0</v>
      </c>
      <c r="AX633" s="315">
        <v>0</v>
      </c>
      <c r="AY633" s="313">
        <v>-1287.64411066914</v>
      </c>
      <c r="AZ633" s="163">
        <v>0</v>
      </c>
      <c r="BA633" s="163">
        <v>0</v>
      </c>
      <c r="BB633" s="163">
        <v>0</v>
      </c>
      <c r="BC633" s="163">
        <v>-13.665963057064401</v>
      </c>
      <c r="BD633" s="163">
        <v>-6.1429436057476995E-4</v>
      </c>
      <c r="BE633" s="163">
        <v>-2.3469478183765098</v>
      </c>
      <c r="BF633" s="163">
        <v>-7.86063348536717E-4</v>
      </c>
      <c r="BG633" s="163">
        <v>0</v>
      </c>
      <c r="BH633" s="163">
        <v>0</v>
      </c>
      <c r="BI633" s="163">
        <v>0</v>
      </c>
      <c r="BJ633" s="163">
        <v>0</v>
      </c>
      <c r="BK633" s="163">
        <v>0</v>
      </c>
      <c r="BL633" s="62">
        <v>0</v>
      </c>
      <c r="BM633" s="275">
        <v>2</v>
      </c>
      <c r="BN633" s="62">
        <v>0</v>
      </c>
      <c r="BO633" s="33" t="s">
        <v>526</v>
      </c>
    </row>
    <row r="634" spans="1:67">
      <c r="A634" s="33" t="str">
        <f>Database_Productkaarten[[#This Row],[Product]]&amp;", "&amp;Database_Productkaarten[[#This Row],[Levensfase]]</f>
        <v>2L-ZOAB onderlaag 30% PR - PCR 2.0, Totaal</v>
      </c>
      <c r="B634" s="33" t="s">
        <v>539</v>
      </c>
      <c r="C634" s="33" t="s">
        <v>483</v>
      </c>
      <c r="D634" s="33" t="s">
        <v>484</v>
      </c>
      <c r="E634" s="33" t="s">
        <v>378</v>
      </c>
      <c r="F634" s="33" t="s">
        <v>90</v>
      </c>
      <c r="L634" s="33">
        <v>2.1</v>
      </c>
      <c r="M634" s="269">
        <v>1</v>
      </c>
      <c r="N634" s="41">
        <f>SUM(N635:N650)</f>
        <v>18.14774380774389</v>
      </c>
      <c r="O634" s="33">
        <v>13</v>
      </c>
      <c r="P634" s="40">
        <f>SUM(P635:P650)</f>
        <v>1.651404928622484E-3</v>
      </c>
      <c r="Q634" s="40">
        <f t="shared" ref="Q634:BK634" si="71">SUM(Q635:Q650)</f>
        <v>2.0565136891032196</v>
      </c>
      <c r="R634" s="40">
        <f t="shared" si="71"/>
        <v>164.50251366443825</v>
      </c>
      <c r="S634" s="40">
        <f t="shared" si="71"/>
        <v>1.8340713331181684E-5</v>
      </c>
      <c r="T634" s="40">
        <f t="shared" si="71"/>
        <v>0.17845801716883108</v>
      </c>
      <c r="U634" s="40">
        <f t="shared" si="71"/>
        <v>0.74875292972379448</v>
      </c>
      <c r="V634" s="40">
        <f t="shared" si="71"/>
        <v>0.11081214078035173</v>
      </c>
      <c r="W634" s="40">
        <f t="shared" si="71"/>
        <v>40.627569305460312</v>
      </c>
      <c r="X634" s="40">
        <f t="shared" si="71"/>
        <v>5.6743968397157438</v>
      </c>
      <c r="Y634" s="40">
        <f t="shared" si="71"/>
        <v>13932.522999392149</v>
      </c>
      <c r="Z634" s="40">
        <f t="shared" si="71"/>
        <v>0.39265041998051053</v>
      </c>
      <c r="AA634" s="40">
        <f t="shared" si="71"/>
        <v>183.12881551501616</v>
      </c>
      <c r="AB634" s="40">
        <f t="shared" si="71"/>
        <v>183.09566758667478</v>
      </c>
      <c r="AC634" s="40">
        <f t="shared" si="71"/>
        <v>-5.3444898220182363E-2</v>
      </c>
      <c r="AD634" s="40">
        <f t="shared" si="71"/>
        <v>0.13105520991139852</v>
      </c>
      <c r="AE634" s="40">
        <f t="shared" si="71"/>
        <v>2.3312907512546041E-5</v>
      </c>
      <c r="AF634" s="40">
        <f t="shared" si="71"/>
        <v>1.0559878096331221</v>
      </c>
      <c r="AG634" s="40">
        <f t="shared" si="71"/>
        <v>2.2484918432650667E-3</v>
      </c>
      <c r="AH634" s="40">
        <f t="shared" si="71"/>
        <v>0.2791110545207714</v>
      </c>
      <c r="AI634" s="40">
        <f t="shared" si="71"/>
        <v>2.9760916230973011</v>
      </c>
      <c r="AJ634" s="40">
        <f t="shared" si="71"/>
        <v>1.1288128520165734</v>
      </c>
      <c r="AK634" s="40">
        <f t="shared" si="71"/>
        <v>1.6531418117610866E-3</v>
      </c>
      <c r="AL634" s="40">
        <f t="shared" si="71"/>
        <v>5043.0075140251183</v>
      </c>
      <c r="AM634" s="40">
        <f t="shared" si="71"/>
        <v>56.610844332467224</v>
      </c>
      <c r="AN634" s="40">
        <f t="shared" si="71"/>
        <v>4.3409130088570313E-6</v>
      </c>
      <c r="AO634" s="40">
        <f t="shared" si="71"/>
        <v>6.0031906267691522</v>
      </c>
      <c r="AP634" s="40">
        <f t="shared" si="71"/>
        <v>4501.5938971869464</v>
      </c>
      <c r="AQ634" s="40">
        <f t="shared" si="71"/>
        <v>5.7274038108587631E-8</v>
      </c>
      <c r="AR634" s="40">
        <f t="shared" si="71"/>
        <v>1.8742604496649054E-6</v>
      </c>
      <c r="AS634" s="40">
        <f t="shared" si="71"/>
        <v>188.41314205351762</v>
      </c>
      <c r="AT634" s="40">
        <f t="shared" si="71"/>
        <v>8.065825212</v>
      </c>
      <c r="AU634" s="40">
        <f t="shared" si="71"/>
        <v>0</v>
      </c>
      <c r="AV634" s="313">
        <f t="shared" si="71"/>
        <v>76.14033008909179</v>
      </c>
      <c r="AW634" s="317">
        <f t="shared" si="71"/>
        <v>0.70667511750000001</v>
      </c>
      <c r="AX634" s="317">
        <f t="shared" si="71"/>
        <v>9.926829900000001E-4</v>
      </c>
      <c r="AY634" s="313">
        <f t="shared" si="71"/>
        <v>4545.2508210912001</v>
      </c>
      <c r="AZ634" s="40">
        <f t="shared" si="71"/>
        <v>555</v>
      </c>
      <c r="BA634" s="40">
        <f t="shared" si="71"/>
        <v>0</v>
      </c>
      <c r="BB634" s="40">
        <f t="shared" si="71"/>
        <v>0</v>
      </c>
      <c r="BC634" s="40">
        <f t="shared" si="71"/>
        <v>-7.9438089751486114</v>
      </c>
      <c r="BD634" s="40">
        <f t="shared" si="71"/>
        <v>3.9027893376966357E-3</v>
      </c>
      <c r="BE634" s="40">
        <f t="shared" si="71"/>
        <v>24.177574635448099</v>
      </c>
      <c r="BF634" s="40">
        <f t="shared" si="71"/>
        <v>7.0004097586500794E-3</v>
      </c>
      <c r="BG634" s="40">
        <f t="shared" si="71"/>
        <v>0</v>
      </c>
      <c r="BH634" s="40">
        <f t="shared" si="71"/>
        <v>1000</v>
      </c>
      <c r="BI634" s="40">
        <f t="shared" si="71"/>
        <v>0</v>
      </c>
      <c r="BJ634" s="40">
        <f t="shared" si="71"/>
        <v>0</v>
      </c>
      <c r="BK634" s="40">
        <f t="shared" si="71"/>
        <v>0</v>
      </c>
      <c r="BL634" s="62">
        <v>0.3</v>
      </c>
      <c r="BM634" s="275">
        <v>2</v>
      </c>
      <c r="BN634" s="62">
        <v>0</v>
      </c>
      <c r="BO634" s="33" t="s">
        <v>526</v>
      </c>
    </row>
    <row r="635" spans="1:67">
      <c r="A635" s="33" t="str">
        <f>Database_Productkaarten[[#This Row],[Product]]&amp;", "&amp;Database_Productkaarten[[#This Row],[Levensfase]]</f>
        <v>2L-ZOAB onderlaag 30% PR - PCR 2.0, A1</v>
      </c>
      <c r="B635" s="33" t="s">
        <v>539</v>
      </c>
      <c r="C635" s="33" t="s">
        <v>483</v>
      </c>
      <c r="D635" s="33" t="s">
        <v>484</v>
      </c>
      <c r="E635" s="33" t="s">
        <v>378</v>
      </c>
      <c r="F635" s="33" t="s">
        <v>74</v>
      </c>
      <c r="L635" s="33">
        <v>2.1</v>
      </c>
      <c r="M635" s="269">
        <v>1</v>
      </c>
      <c r="N635" s="211">
        <v>4.9684508522483704</v>
      </c>
      <c r="O635" s="33">
        <v>13</v>
      </c>
      <c r="P635" s="163">
        <v>6.4540691050864695E-4</v>
      </c>
      <c r="Q635" s="163">
        <v>0.85778555310050497</v>
      </c>
      <c r="R635" s="163">
        <v>39.721335216990802</v>
      </c>
      <c r="S635" s="163">
        <v>2.9002088098448398E-6</v>
      </c>
      <c r="T635" s="163">
        <v>9.0336696868963701E-2</v>
      </c>
      <c r="U635" s="163">
        <v>0.23547422833986201</v>
      </c>
      <c r="V635" s="163">
        <v>1.83558098621894E-2</v>
      </c>
      <c r="W635" s="163">
        <v>10.2357624185668</v>
      </c>
      <c r="X635" s="163">
        <v>1.3440147013880299</v>
      </c>
      <c r="Y635" s="163">
        <v>5848.7467878690304</v>
      </c>
      <c r="Z635" s="163">
        <v>0.179363302935621</v>
      </c>
      <c r="AA635" s="163">
        <v>41.917424190835902</v>
      </c>
      <c r="AB635" s="163">
        <v>41.996353973736298</v>
      </c>
      <c r="AC635" s="163">
        <v>-8.2523935147704702E-2</v>
      </c>
      <c r="AD635" s="163">
        <v>2.58253522472414E-2</v>
      </c>
      <c r="AE635" s="163">
        <v>3.4844962485481601E-6</v>
      </c>
      <c r="AF635" s="163">
        <v>0.27452991779214603</v>
      </c>
      <c r="AG635" s="163">
        <v>6.9524856695510904E-4</v>
      </c>
      <c r="AH635" s="163">
        <v>3.5375397673682502E-2</v>
      </c>
      <c r="AI635" s="163">
        <v>0.35244941708507599</v>
      </c>
      <c r="AJ635" s="163">
        <v>0.25980429130931298</v>
      </c>
      <c r="AK635" s="163">
        <v>6.4536160531683605E-4</v>
      </c>
      <c r="AL635" s="163">
        <v>1822.4876501572501</v>
      </c>
      <c r="AM635" s="163">
        <v>35.7113779116521</v>
      </c>
      <c r="AN635" s="163">
        <v>1.2297958192549199E-6</v>
      </c>
      <c r="AO635" s="163">
        <v>1.2451082100980699</v>
      </c>
      <c r="AP635" s="163">
        <v>2238.5946395792898</v>
      </c>
      <c r="AQ635" s="163">
        <v>1.30436348009907E-8</v>
      </c>
      <c r="AR635" s="163">
        <v>5.7054987659167005E-7</v>
      </c>
      <c r="AS635" s="163">
        <v>243.290485635914</v>
      </c>
      <c r="AT635" s="163">
        <v>0</v>
      </c>
      <c r="AU635" s="163">
        <v>0</v>
      </c>
      <c r="AV635" s="313">
        <v>25.638970053639799</v>
      </c>
      <c r="AW635" s="315">
        <v>0</v>
      </c>
      <c r="AX635" s="315">
        <v>0</v>
      </c>
      <c r="AY635" s="313">
        <v>1939.41243348277</v>
      </c>
      <c r="AZ635" s="163">
        <v>277.5</v>
      </c>
      <c r="BA635" s="163">
        <v>0</v>
      </c>
      <c r="BB635" s="163">
        <v>0</v>
      </c>
      <c r="BC635" s="163">
        <v>0.86494114669034605</v>
      </c>
      <c r="BD635" s="163">
        <v>7.0815474483889305E-4</v>
      </c>
      <c r="BE635" s="163">
        <v>2.2264910464426402</v>
      </c>
      <c r="BF635" s="163">
        <v>8.3234320176210001E-4</v>
      </c>
      <c r="BG635" s="163">
        <v>0</v>
      </c>
      <c r="BH635" s="163">
        <v>0</v>
      </c>
      <c r="BI635" s="163">
        <v>0</v>
      </c>
      <c r="BJ635" s="163">
        <v>0</v>
      </c>
      <c r="BK635" s="163">
        <v>0</v>
      </c>
      <c r="BL635" s="62">
        <v>0.3</v>
      </c>
      <c r="BM635" s="275">
        <v>2</v>
      </c>
      <c r="BN635" s="62">
        <v>0</v>
      </c>
      <c r="BO635" s="33" t="s">
        <v>526</v>
      </c>
    </row>
    <row r="636" spans="1:67">
      <c r="A636" s="33" t="str">
        <f>Database_Productkaarten[[#This Row],[Product]]&amp;", "&amp;Database_Productkaarten[[#This Row],[Levensfase]]</f>
        <v>2L-ZOAB onderlaag 30% PR - PCR 2.0, A2</v>
      </c>
      <c r="B636" s="33" t="s">
        <v>539</v>
      </c>
      <c r="C636" s="33" t="s">
        <v>483</v>
      </c>
      <c r="D636" s="33" t="s">
        <v>484</v>
      </c>
      <c r="E636" s="33" t="s">
        <v>378</v>
      </c>
      <c r="F636" s="33" t="s">
        <v>75</v>
      </c>
      <c r="L636" s="33">
        <v>2.1</v>
      </c>
      <c r="M636" s="269">
        <v>1</v>
      </c>
      <c r="N636" s="211">
        <v>2.921009622000287</v>
      </c>
      <c r="O636" s="33">
        <v>13</v>
      </c>
      <c r="P636" s="163">
        <v>2.5987718471179099E-4</v>
      </c>
      <c r="Q636" s="163">
        <v>0.15503754538159201</v>
      </c>
      <c r="R636" s="163">
        <v>24.450411240235301</v>
      </c>
      <c r="S636" s="163">
        <v>3.6326110290931298E-6</v>
      </c>
      <c r="T636" s="163">
        <v>1.4432710216796501E-2</v>
      </c>
      <c r="U636" s="163">
        <v>0.164500408073324</v>
      </c>
      <c r="V636" s="163">
        <v>3.6384703350037802E-2</v>
      </c>
      <c r="W636" s="163">
        <v>6.6192153426023799</v>
      </c>
      <c r="X636" s="163">
        <v>0.17213030103318</v>
      </c>
      <c r="Y636" s="163">
        <v>564.96238293394595</v>
      </c>
      <c r="Z636" s="163">
        <v>3.0226383520119301E-2</v>
      </c>
      <c r="AA636" s="163">
        <v>24.731053321181498</v>
      </c>
      <c r="AB636" s="163">
        <v>24.655193432513101</v>
      </c>
      <c r="AC636" s="163">
        <v>3.5605673527559903E-2</v>
      </c>
      <c r="AD636" s="163">
        <v>4.02542151408729E-2</v>
      </c>
      <c r="AE636" s="163">
        <v>4.5187762462707899E-6</v>
      </c>
      <c r="AF636" s="163">
        <v>0.22865444498077001</v>
      </c>
      <c r="AG636" s="163">
        <v>2.8928980054306698E-4</v>
      </c>
      <c r="AH636" s="163">
        <v>9.6289121789091506E-2</v>
      </c>
      <c r="AI636" s="163">
        <v>1.05992924969909</v>
      </c>
      <c r="AJ636" s="163">
        <v>0.27566779077126802</v>
      </c>
      <c r="AK636" s="163">
        <v>2.5986654185014698E-4</v>
      </c>
      <c r="AL636" s="163">
        <v>321.33596050774202</v>
      </c>
      <c r="AM636" s="163">
        <v>1.45023927176573</v>
      </c>
      <c r="AN636" s="163">
        <v>8.1554197924102395E-7</v>
      </c>
      <c r="AO636" s="163">
        <v>1.38523430299373</v>
      </c>
      <c r="AP636" s="163">
        <v>284.45944555898501</v>
      </c>
      <c r="AQ636" s="163">
        <v>1.1554838803296E-8</v>
      </c>
      <c r="AR636" s="163">
        <v>2.1586929615289199E-7</v>
      </c>
      <c r="AS636" s="163">
        <v>251.62359809433099</v>
      </c>
      <c r="AT636" s="163">
        <v>0</v>
      </c>
      <c r="AU636" s="163">
        <v>0</v>
      </c>
      <c r="AV636" s="313">
        <v>6.9276671129196696</v>
      </c>
      <c r="AW636" s="315">
        <v>0</v>
      </c>
      <c r="AX636" s="315">
        <v>0</v>
      </c>
      <c r="AY636" s="313">
        <v>341.02436582231701</v>
      </c>
      <c r="AZ636" s="163">
        <v>0</v>
      </c>
      <c r="BA636" s="163">
        <v>0</v>
      </c>
      <c r="BB636" s="163">
        <v>0</v>
      </c>
      <c r="BC636" s="163">
        <v>5.7453027858926503E-2</v>
      </c>
      <c r="BD636" s="163">
        <v>8.3325710579648595E-4</v>
      </c>
      <c r="BE636" s="163">
        <v>4.9306550477761002</v>
      </c>
      <c r="BF636" s="163">
        <v>2.0873652620729401E-3</v>
      </c>
      <c r="BG636" s="163">
        <v>0</v>
      </c>
      <c r="BH636" s="163">
        <v>0</v>
      </c>
      <c r="BI636" s="163">
        <v>0</v>
      </c>
      <c r="BJ636" s="163">
        <v>0</v>
      </c>
      <c r="BK636" s="163">
        <v>0</v>
      </c>
      <c r="BL636" s="62">
        <v>0.3</v>
      </c>
      <c r="BM636" s="275">
        <v>2</v>
      </c>
      <c r="BN636" s="62">
        <v>0</v>
      </c>
      <c r="BO636" s="33" t="s">
        <v>526</v>
      </c>
    </row>
    <row r="637" spans="1:67">
      <c r="A637" s="33" t="str">
        <f>Database_Productkaarten[[#This Row],[Product]]&amp;", "&amp;Database_Productkaarten[[#This Row],[Levensfase]]</f>
        <v>2L-ZOAB onderlaag 30% PR - PCR 2.0, A3</v>
      </c>
      <c r="B637" s="33" t="s">
        <v>539</v>
      </c>
      <c r="C637" s="33" t="s">
        <v>483</v>
      </c>
      <c r="D637" s="33" t="s">
        <v>484</v>
      </c>
      <c r="E637" s="33" t="s">
        <v>378</v>
      </c>
      <c r="F637" s="33" t="s">
        <v>76</v>
      </c>
      <c r="L637" s="33">
        <v>2.1</v>
      </c>
      <c r="M637" s="269">
        <v>1</v>
      </c>
      <c r="N637" s="211">
        <v>1.5406917879382334</v>
      </c>
      <c r="O637" s="33">
        <v>13</v>
      </c>
      <c r="P637" s="163">
        <v>1.9078997752960299E-5</v>
      </c>
      <c r="Q637" s="163">
        <v>0.18236415929882199</v>
      </c>
      <c r="R637" s="163">
        <v>21.350670806170701</v>
      </c>
      <c r="S637" s="163">
        <v>2.44943385999852E-6</v>
      </c>
      <c r="T637" s="163">
        <v>3.47534387167587E-3</v>
      </c>
      <c r="U637" s="163">
        <v>2.07979252357447E-2</v>
      </c>
      <c r="V637" s="163">
        <v>3.4923354090068198E-3</v>
      </c>
      <c r="W637" s="163">
        <v>3.4587575311122301</v>
      </c>
      <c r="X637" s="163">
        <v>2.2489099282196799E-2</v>
      </c>
      <c r="Y637" s="163">
        <v>91.250145407541098</v>
      </c>
      <c r="Z637" s="163">
        <v>2.0702896662222501E-2</v>
      </c>
      <c r="AA637" s="163">
        <v>21.663323734552598</v>
      </c>
      <c r="AB637" s="163">
        <v>21.6173517839919</v>
      </c>
      <c r="AC637" s="163">
        <v>4.4267638716130403E-2</v>
      </c>
      <c r="AD637" s="163">
        <v>1.70431184452102E-3</v>
      </c>
      <c r="AE637" s="163">
        <v>2.76608369508471E-6</v>
      </c>
      <c r="AF637" s="163">
        <v>2.6755550433355601E-2</v>
      </c>
      <c r="AG637" s="163">
        <v>2.2132729806728299E-4</v>
      </c>
      <c r="AH637" s="163">
        <v>7.5831557856286796E-3</v>
      </c>
      <c r="AI637" s="163">
        <v>8.5476444338350402E-2</v>
      </c>
      <c r="AJ637" s="163">
        <v>2.60232162753475E-2</v>
      </c>
      <c r="AK637" s="163">
        <v>1.90787348297696E-5</v>
      </c>
      <c r="AL637" s="163">
        <v>336.07860995294499</v>
      </c>
      <c r="AM637" s="163">
        <v>0.45513389750693201</v>
      </c>
      <c r="AN637" s="163">
        <v>1.86493416523649E-7</v>
      </c>
      <c r="AO637" s="163">
        <v>0.239519322889159</v>
      </c>
      <c r="AP637" s="163">
        <v>65.866802447914907</v>
      </c>
      <c r="AQ637" s="163">
        <v>2.63057656971886E-9</v>
      </c>
      <c r="AR637" s="163">
        <v>4.3566052056473299E-8</v>
      </c>
      <c r="AS637" s="163">
        <v>14.0610666996325</v>
      </c>
      <c r="AT637" s="163">
        <v>0</v>
      </c>
      <c r="AU637" s="163">
        <v>0</v>
      </c>
      <c r="AV637" s="313">
        <v>5.7534724068346597</v>
      </c>
      <c r="AW637" s="315">
        <v>0</v>
      </c>
      <c r="AX637" s="315">
        <v>0</v>
      </c>
      <c r="AY637" s="313">
        <v>370.72977729173999</v>
      </c>
      <c r="AZ637" s="163">
        <v>0</v>
      </c>
      <c r="BA637" s="163">
        <v>0</v>
      </c>
      <c r="BB637" s="163">
        <v>0</v>
      </c>
      <c r="BC637" s="163">
        <v>3.3538846890688603E-2</v>
      </c>
      <c r="BD637" s="163">
        <v>4.1173670625064E-4</v>
      </c>
      <c r="BE637" s="163">
        <v>0.239864882950199</v>
      </c>
      <c r="BF637" s="163">
        <v>3.0931837388925099E-4</v>
      </c>
      <c r="BG637" s="163">
        <v>0</v>
      </c>
      <c r="BH637" s="163">
        <v>0</v>
      </c>
      <c r="BI637" s="163">
        <v>0</v>
      </c>
      <c r="BJ637" s="163">
        <v>0</v>
      </c>
      <c r="BK637" s="163">
        <v>0</v>
      </c>
      <c r="BL637" s="62">
        <v>0.3</v>
      </c>
      <c r="BM637" s="275">
        <v>2</v>
      </c>
      <c r="BN637" s="62">
        <v>0</v>
      </c>
      <c r="BO637" s="33" t="s">
        <v>526</v>
      </c>
    </row>
    <row r="638" spans="1:67">
      <c r="A638" s="33" t="str">
        <f>Database_Productkaarten[[#This Row],[Product]]&amp;", "&amp;Database_Productkaarten[[#This Row],[Levensfase]]</f>
        <v>2L-ZOAB onderlaag 30% PR - PCR 2.0, A1-A3</v>
      </c>
      <c r="B638" s="33" t="str">
        <f>B637</f>
        <v>2L-ZOAB onderlaag 30% PR - PCR 2.0</v>
      </c>
      <c r="C638" s="33" t="str">
        <f>C637</f>
        <v>Bitumineuze verhardingen</v>
      </c>
      <c r="D638" s="33" t="str">
        <f>D637</f>
        <v>ZOAB</v>
      </c>
      <c r="E638" s="33" t="str">
        <f>E637</f>
        <v>Ton</v>
      </c>
      <c r="F638" s="33" t="s">
        <v>77</v>
      </c>
      <c r="L638" s="33">
        <f>L637</f>
        <v>2.1</v>
      </c>
      <c r="M638" s="45">
        <f>M637</f>
        <v>1</v>
      </c>
      <c r="N638" s="41">
        <f>SUM(N635:N637)</f>
        <v>9.4301522621868905</v>
      </c>
      <c r="O638" s="33">
        <f>O637</f>
        <v>13</v>
      </c>
      <c r="P638" s="40">
        <f>SUM(P635:P637)</f>
        <v>9.2436309297339828E-4</v>
      </c>
      <c r="Q638" s="40">
        <f t="shared" ref="Q638:BK638" si="72">SUM(Q635:Q637)</f>
        <v>1.1951872577809191</v>
      </c>
      <c r="R638" s="40">
        <f t="shared" si="72"/>
        <v>85.522417263396804</v>
      </c>
      <c r="S638" s="40">
        <f t="shared" si="72"/>
        <v>8.9822536989364906E-6</v>
      </c>
      <c r="T638" s="40">
        <f t="shared" si="72"/>
        <v>0.10824475095743608</v>
      </c>
      <c r="U638" s="40">
        <f t="shared" si="72"/>
        <v>0.42077256164893068</v>
      </c>
      <c r="V638" s="40">
        <f t="shared" si="72"/>
        <v>5.8232848621234019E-2</v>
      </c>
      <c r="W638" s="40">
        <f t="shared" si="72"/>
        <v>20.313735292281411</v>
      </c>
      <c r="X638" s="40">
        <f t="shared" si="72"/>
        <v>1.5386341017034069</v>
      </c>
      <c r="Y638" s="40">
        <f t="shared" si="72"/>
        <v>6504.9593162105175</v>
      </c>
      <c r="Z638" s="40">
        <f t="shared" si="72"/>
        <v>0.2302925831179628</v>
      </c>
      <c r="AA638" s="40">
        <f t="shared" si="72"/>
        <v>88.311801246569985</v>
      </c>
      <c r="AB638" s="40">
        <f t="shared" si="72"/>
        <v>88.268899190241285</v>
      </c>
      <c r="AC638" s="40">
        <f t="shared" si="72"/>
        <v>-2.6506229040143964E-3</v>
      </c>
      <c r="AD638" s="40">
        <f t="shared" si="72"/>
        <v>6.7783879232635319E-2</v>
      </c>
      <c r="AE638" s="40">
        <f t="shared" si="72"/>
        <v>1.076935618990366E-5</v>
      </c>
      <c r="AF638" s="40">
        <f t="shared" si="72"/>
        <v>0.52993991320627165</v>
      </c>
      <c r="AG638" s="40">
        <f t="shared" si="72"/>
        <v>1.2058656655654591E-3</v>
      </c>
      <c r="AH638" s="40">
        <f t="shared" si="72"/>
        <v>0.1392476752484027</v>
      </c>
      <c r="AI638" s="40">
        <f t="shared" si="72"/>
        <v>1.4978551111225165</v>
      </c>
      <c r="AJ638" s="40">
        <f t="shared" si="72"/>
        <v>0.56149529835592848</v>
      </c>
      <c r="AK638" s="40">
        <f t="shared" si="72"/>
        <v>9.2430688199675261E-4</v>
      </c>
      <c r="AL638" s="40">
        <f t="shared" si="72"/>
        <v>2479.902220617937</v>
      </c>
      <c r="AM638" s="40">
        <f t="shared" si="72"/>
        <v>37.616751080924764</v>
      </c>
      <c r="AN638" s="40">
        <f t="shared" si="72"/>
        <v>2.2318312150195929E-6</v>
      </c>
      <c r="AO638" s="40">
        <f t="shared" si="72"/>
        <v>2.8698618359809589</v>
      </c>
      <c r="AP638" s="40">
        <f t="shared" si="72"/>
        <v>2588.9208875861896</v>
      </c>
      <c r="AQ638" s="40">
        <f t="shared" si="72"/>
        <v>2.7229050174005559E-8</v>
      </c>
      <c r="AR638" s="40">
        <f t="shared" si="72"/>
        <v>8.2998522480103532E-7</v>
      </c>
      <c r="AS638" s="40">
        <f t="shared" si="72"/>
        <v>508.97515042987749</v>
      </c>
      <c r="AT638" s="40">
        <f t="shared" si="72"/>
        <v>0</v>
      </c>
      <c r="AU638" s="40">
        <f t="shared" si="72"/>
        <v>0</v>
      </c>
      <c r="AV638" s="317">
        <f t="shared" si="72"/>
        <v>38.320109573394127</v>
      </c>
      <c r="AW638" s="317">
        <f t="shared" si="72"/>
        <v>0</v>
      </c>
      <c r="AX638" s="317">
        <f t="shared" si="72"/>
        <v>0</v>
      </c>
      <c r="AY638" s="317">
        <f t="shared" si="72"/>
        <v>2651.1665765968269</v>
      </c>
      <c r="AZ638" s="40">
        <f t="shared" si="72"/>
        <v>277.5</v>
      </c>
      <c r="BA638" s="40">
        <f t="shared" si="72"/>
        <v>0</v>
      </c>
      <c r="BB638" s="40">
        <f t="shared" si="72"/>
        <v>0</v>
      </c>
      <c r="BC638" s="40">
        <f t="shared" si="72"/>
        <v>0.95593302143996117</v>
      </c>
      <c r="BD638" s="40">
        <f t="shared" si="72"/>
        <v>1.9531485568860191E-3</v>
      </c>
      <c r="BE638" s="40">
        <f t="shared" si="72"/>
        <v>7.3970109771689394</v>
      </c>
      <c r="BF638" s="40">
        <f t="shared" si="72"/>
        <v>3.2290268377242908E-3</v>
      </c>
      <c r="BG638" s="40">
        <f t="shared" si="72"/>
        <v>0</v>
      </c>
      <c r="BH638" s="40">
        <f t="shared" si="72"/>
        <v>0</v>
      </c>
      <c r="BI638" s="40">
        <f t="shared" si="72"/>
        <v>0</v>
      </c>
      <c r="BJ638" s="40">
        <f t="shared" si="72"/>
        <v>0</v>
      </c>
      <c r="BK638" s="40">
        <f t="shared" si="72"/>
        <v>0</v>
      </c>
      <c r="BL638" s="62">
        <f>BL637</f>
        <v>0.3</v>
      </c>
      <c r="BM638" s="275">
        <f>BM637</f>
        <v>2</v>
      </c>
      <c r="BN638" s="62">
        <v>0</v>
      </c>
      <c r="BO638" s="33" t="str">
        <f>BO637</f>
        <v>Ecochain 2022 LCA Achtergrondrapport voor Nederlandse branchereferentiemengsels 2022</v>
      </c>
    </row>
    <row r="639" spans="1:67">
      <c r="A639" s="33" t="str">
        <f>Database_Productkaarten[[#This Row],[Product]]&amp;", "&amp;Database_Productkaarten[[#This Row],[Levensfase]]</f>
        <v>2L-ZOAB onderlaag 30% PR - PCR 2.0, A4</v>
      </c>
      <c r="B639" s="33" t="s">
        <v>539</v>
      </c>
      <c r="C639" s="33" t="s">
        <v>483</v>
      </c>
      <c r="D639" s="33" t="s">
        <v>484</v>
      </c>
      <c r="E639" s="33" t="s">
        <v>378</v>
      </c>
      <c r="F639" s="33" t="s">
        <v>78</v>
      </c>
      <c r="L639" s="33">
        <v>2.1</v>
      </c>
      <c r="M639" s="269">
        <v>1</v>
      </c>
      <c r="N639" s="211">
        <v>0.37546048090943995</v>
      </c>
      <c r="O639" s="33">
        <v>13</v>
      </c>
      <c r="P639" s="163">
        <v>6.8533509000000002E-5</v>
      </c>
      <c r="Q639" s="163">
        <v>2.9713889699999999E-2</v>
      </c>
      <c r="R639" s="163">
        <v>3.9891474704999998</v>
      </c>
      <c r="S639" s="163">
        <v>7.557213E-7</v>
      </c>
      <c r="T639" s="163">
        <v>2.4773701499999998E-3</v>
      </c>
      <c r="U639" s="163">
        <v>1.36398132E-2</v>
      </c>
      <c r="V639" s="163">
        <v>2.5682192100000001E-3</v>
      </c>
      <c r="W639" s="163">
        <v>0.8608144794</v>
      </c>
      <c r="X639" s="163">
        <v>3.6189873900000002E-2</v>
      </c>
      <c r="Y639" s="163">
        <v>97.376595929999993</v>
      </c>
      <c r="Z639" s="163">
        <v>4.8437180999999999E-3</v>
      </c>
      <c r="AA639" s="163">
        <v>4.0259382761999998</v>
      </c>
      <c r="AB639" s="163">
        <v>4.0229543298000001</v>
      </c>
      <c r="AC639" s="163">
        <v>1.9814632200000001E-3</v>
      </c>
      <c r="AD639" s="163">
        <v>1.0024609799999999E-3</v>
      </c>
      <c r="AE639" s="163">
        <v>9.4976262000000003E-7</v>
      </c>
      <c r="AF639" s="163">
        <v>1.7739576E-2</v>
      </c>
      <c r="AG639" s="163">
        <v>2.7841996800000001E-5</v>
      </c>
      <c r="AH639" s="163">
        <v>5.5484582100000001E-3</v>
      </c>
      <c r="AI639" s="163">
        <v>6.1385308800000003E-2</v>
      </c>
      <c r="AJ639" s="163">
        <v>1.9235744999999999E-2</v>
      </c>
      <c r="AK639" s="163">
        <v>6.8533397999999998E-5</v>
      </c>
      <c r="AL639" s="163">
        <v>62.400806729999999</v>
      </c>
      <c r="AM639" s="163">
        <v>0.212954166</v>
      </c>
      <c r="AN639" s="163">
        <v>2.9338876200000002E-7</v>
      </c>
      <c r="AO639" s="163">
        <v>0.26868483510000002</v>
      </c>
      <c r="AP639" s="163">
        <v>45.56587296</v>
      </c>
      <c r="AQ639" s="163">
        <v>1.16371179E-9</v>
      </c>
      <c r="AR639" s="163">
        <v>3.8268015899999999E-8</v>
      </c>
      <c r="AS639" s="163">
        <v>71.806844609999999</v>
      </c>
      <c r="AT639" s="163">
        <v>0</v>
      </c>
      <c r="AU639" s="163">
        <v>0</v>
      </c>
      <c r="AV639" s="313">
        <v>0.63474917099999995</v>
      </c>
      <c r="AW639" s="315">
        <v>0</v>
      </c>
      <c r="AX639" s="315">
        <v>0</v>
      </c>
      <c r="AY639" s="313">
        <v>66.265108560000002</v>
      </c>
      <c r="AZ639" s="163">
        <v>0</v>
      </c>
      <c r="BA639" s="163">
        <v>0</v>
      </c>
      <c r="BB639" s="163">
        <v>0</v>
      </c>
      <c r="BC639" s="163">
        <v>6.7467797999999999E-3</v>
      </c>
      <c r="BD639" s="163">
        <v>1.54707915E-4</v>
      </c>
      <c r="BE639" s="163">
        <v>5.4635493149999999</v>
      </c>
      <c r="BF639" s="163">
        <v>4.25149758E-4</v>
      </c>
      <c r="BG639" s="163">
        <v>0</v>
      </c>
      <c r="BH639" s="163">
        <v>0</v>
      </c>
      <c r="BI639" s="163">
        <v>0</v>
      </c>
      <c r="BJ639" s="163">
        <v>0</v>
      </c>
      <c r="BK639" s="163">
        <v>0</v>
      </c>
      <c r="BL639" s="62">
        <v>0.3</v>
      </c>
      <c r="BM639" s="275">
        <v>2</v>
      </c>
      <c r="BN639" s="62">
        <v>0</v>
      </c>
      <c r="BO639" s="33" t="s">
        <v>526</v>
      </c>
    </row>
    <row r="640" spans="1:67">
      <c r="A640" s="33" t="str">
        <f>Database_Productkaarten[[#This Row],[Product]]&amp;", "&amp;Database_Productkaarten[[#This Row],[Levensfase]]</f>
        <v>2L-ZOAB onderlaag 30% PR - PCR 2.0, A5</v>
      </c>
      <c r="B640" s="33" t="s">
        <v>539</v>
      </c>
      <c r="C640" s="33" t="s">
        <v>483</v>
      </c>
      <c r="D640" s="33" t="s">
        <v>484</v>
      </c>
      <c r="E640" s="33" t="s">
        <v>378</v>
      </c>
      <c r="F640" s="33" t="s">
        <v>79</v>
      </c>
      <c r="L640" s="33">
        <v>2.1</v>
      </c>
      <c r="M640" s="269">
        <v>1</v>
      </c>
      <c r="N640" s="211">
        <v>0.1150899037173802</v>
      </c>
      <c r="O640" s="33">
        <v>13</v>
      </c>
      <c r="P640" s="163">
        <v>1.3610882803202799E-6</v>
      </c>
      <c r="Q640" s="163">
        <v>5.7900424655479496E-3</v>
      </c>
      <c r="R640" s="163">
        <v>1.1775394627687701</v>
      </c>
      <c r="S640" s="163">
        <v>1.5216689743321401E-7</v>
      </c>
      <c r="T640" s="163">
        <v>3.9769491006163199E-4</v>
      </c>
      <c r="U640" s="163">
        <v>4.0133663814565399E-3</v>
      </c>
      <c r="V640" s="163">
        <v>8.9200970009758801E-4</v>
      </c>
      <c r="W640" s="163">
        <v>0.31853178909208402</v>
      </c>
      <c r="X640" s="163">
        <v>4.5166714395449403E-3</v>
      </c>
      <c r="Y640" s="163">
        <v>15.6934426552481</v>
      </c>
      <c r="Z640" s="163">
        <v>5.3488215966213603E-4</v>
      </c>
      <c r="AA640" s="163">
        <v>1.18572452090862</v>
      </c>
      <c r="AB640" s="163">
        <v>1.1853843922338201</v>
      </c>
      <c r="AC640" s="163">
        <v>2.7090790137921099E-4</v>
      </c>
      <c r="AD640" s="163">
        <v>6.9220773423951502E-5</v>
      </c>
      <c r="AE640" s="163">
        <v>1.9173630072743999E-7</v>
      </c>
      <c r="AF640" s="163">
        <v>5.5294629273183998E-3</v>
      </c>
      <c r="AG640" s="163">
        <v>3.2340340731227399E-6</v>
      </c>
      <c r="AH640" s="163">
        <v>2.28103859024501E-3</v>
      </c>
      <c r="AI640" s="163">
        <v>2.5051401714889801E-2</v>
      </c>
      <c r="AJ640" s="163">
        <v>6.6437026482355603E-3</v>
      </c>
      <c r="AK640" s="163">
        <v>1.36107759969769E-6</v>
      </c>
      <c r="AL640" s="163">
        <v>12.216636209242999</v>
      </c>
      <c r="AM640" s="163">
        <v>1.62705640241394E-2</v>
      </c>
      <c r="AN640" s="163">
        <v>2.1944772103168301E-8</v>
      </c>
      <c r="AO640" s="163">
        <v>5.2434937264853897E-2</v>
      </c>
      <c r="AP640" s="163">
        <v>7.3299436612956796</v>
      </c>
      <c r="AQ640" s="163">
        <v>2.5717564149839198E-10</v>
      </c>
      <c r="AR640" s="163">
        <v>5.8020979041153197E-9</v>
      </c>
      <c r="AS640" s="163">
        <v>1.56040895601234</v>
      </c>
      <c r="AT640" s="163">
        <v>0</v>
      </c>
      <c r="AU640" s="163">
        <v>0</v>
      </c>
      <c r="AV640" s="313">
        <v>6.7148702279514999E-2</v>
      </c>
      <c r="AW640" s="315">
        <v>0</v>
      </c>
      <c r="AX640" s="315">
        <v>0</v>
      </c>
      <c r="AY640" s="313">
        <v>12.9736812623433</v>
      </c>
      <c r="AZ640" s="163">
        <v>0</v>
      </c>
      <c r="BA640" s="163">
        <v>0</v>
      </c>
      <c r="BB640" s="163">
        <v>0</v>
      </c>
      <c r="BC640" s="163">
        <v>6.3151909880966605E-4</v>
      </c>
      <c r="BD640" s="163">
        <v>3.3269162711583901E-5</v>
      </c>
      <c r="BE640" s="163">
        <v>1.4455599871999901E-2</v>
      </c>
      <c r="BF640" s="163">
        <v>8.4906277212326597E-5</v>
      </c>
      <c r="BG640" s="163">
        <v>0</v>
      </c>
      <c r="BH640" s="163">
        <v>0</v>
      </c>
      <c r="BI640" s="163">
        <v>0</v>
      </c>
      <c r="BJ640" s="163">
        <v>0</v>
      </c>
      <c r="BK640" s="163">
        <v>0</v>
      </c>
      <c r="BL640" s="62">
        <v>0.3</v>
      </c>
      <c r="BM640" s="275">
        <v>2</v>
      </c>
      <c r="BN640" s="62">
        <v>0</v>
      </c>
      <c r="BO640" s="33" t="s">
        <v>526</v>
      </c>
    </row>
    <row r="641" spans="1:67">
      <c r="A641" s="33" t="str">
        <f>Database_Productkaarten[[#This Row],[Product]]&amp;", "&amp;Database_Productkaarten[[#This Row],[Levensfase]]</f>
        <v>2L-ZOAB onderlaag 30% PR - PCR 2.0, B1</v>
      </c>
      <c r="B641" s="33" t="s">
        <v>539</v>
      </c>
      <c r="C641" s="33" t="s">
        <v>483</v>
      </c>
      <c r="D641" s="33" t="s">
        <v>484</v>
      </c>
      <c r="E641" s="33" t="s">
        <v>378</v>
      </c>
      <c r="F641" s="33" t="s">
        <v>80</v>
      </c>
      <c r="L641" s="33">
        <v>2.1</v>
      </c>
      <c r="M641" s="269">
        <v>1</v>
      </c>
      <c r="N641" s="211">
        <v>0.63803196066933088</v>
      </c>
      <c r="O641" s="33">
        <v>13</v>
      </c>
      <c r="P641" s="163">
        <v>0</v>
      </c>
      <c r="Q641" s="163">
        <v>0</v>
      </c>
      <c r="R641" s="163">
        <v>0</v>
      </c>
      <c r="S641" s="163">
        <v>0</v>
      </c>
      <c r="T641" s="163">
        <v>0</v>
      </c>
      <c r="U641" s="163">
        <v>0</v>
      </c>
      <c r="V641" s="163">
        <v>0</v>
      </c>
      <c r="W641" s="163">
        <v>2.21599595321837</v>
      </c>
      <c r="X641" s="163">
        <v>3.1435906259976898</v>
      </c>
      <c r="Y641" s="163">
        <v>3441.17206099747</v>
      </c>
      <c r="Z641" s="163">
        <v>2.7899999999979499E-3</v>
      </c>
      <c r="AA641" s="163">
        <v>0</v>
      </c>
      <c r="AB641" s="163">
        <v>0</v>
      </c>
      <c r="AC641" s="163">
        <v>0</v>
      </c>
      <c r="AD641" s="163">
        <v>0</v>
      </c>
      <c r="AE641" s="163">
        <v>0</v>
      </c>
      <c r="AF641" s="163">
        <v>0</v>
      </c>
      <c r="AG641" s="163">
        <v>0</v>
      </c>
      <c r="AH641" s="163">
        <v>0</v>
      </c>
      <c r="AI641" s="163">
        <v>0</v>
      </c>
      <c r="AJ641" s="163">
        <v>0</v>
      </c>
      <c r="AK641" s="163">
        <v>0</v>
      </c>
      <c r="AL641" s="163">
        <v>0</v>
      </c>
      <c r="AM641" s="163">
        <v>0</v>
      </c>
      <c r="AN641" s="163">
        <v>0</v>
      </c>
      <c r="AO641" s="163">
        <v>0</v>
      </c>
      <c r="AP641" s="163">
        <v>19.2904605006858</v>
      </c>
      <c r="AQ641" s="163">
        <v>3.4029317760975E-9</v>
      </c>
      <c r="AR641" s="163">
        <v>2.0449895299124001E-7</v>
      </c>
      <c r="AS641" s="163">
        <v>0</v>
      </c>
      <c r="AT641" s="163">
        <v>0</v>
      </c>
      <c r="AU641" s="163">
        <v>0</v>
      </c>
      <c r="AV641" s="313">
        <v>0</v>
      </c>
      <c r="AW641" s="315">
        <v>0</v>
      </c>
      <c r="AX641" s="315">
        <v>0</v>
      </c>
      <c r="AY641" s="313">
        <v>0</v>
      </c>
      <c r="AZ641" s="163">
        <v>0</v>
      </c>
      <c r="BA641" s="163">
        <v>0</v>
      </c>
      <c r="BB641" s="163">
        <v>0</v>
      </c>
      <c r="BC641" s="163">
        <v>0</v>
      </c>
      <c r="BD641" s="163">
        <v>0</v>
      </c>
      <c r="BE641" s="163">
        <v>0</v>
      </c>
      <c r="BF641" s="163">
        <v>0</v>
      </c>
      <c r="BG641" s="163">
        <v>0</v>
      </c>
      <c r="BH641" s="163">
        <v>0</v>
      </c>
      <c r="BI641" s="163">
        <v>0</v>
      </c>
      <c r="BJ641" s="163">
        <v>0</v>
      </c>
      <c r="BK641" s="163">
        <v>0</v>
      </c>
      <c r="BL641" s="62">
        <v>0.3</v>
      </c>
      <c r="BM641" s="275">
        <v>2</v>
      </c>
      <c r="BN641" s="62">
        <v>0</v>
      </c>
      <c r="BO641" s="33" t="s">
        <v>526</v>
      </c>
    </row>
    <row r="642" spans="1:67">
      <c r="A642" s="33" t="str">
        <f>Database_Productkaarten[[#This Row],[Product]]&amp;", "&amp;Database_Productkaarten[[#This Row],[Levensfase]]</f>
        <v>2L-ZOAB onderlaag 30% PR - PCR 2.0, B2</v>
      </c>
      <c r="B642" s="33" t="s">
        <v>539</v>
      </c>
      <c r="C642" s="33" t="s">
        <v>483</v>
      </c>
      <c r="D642" s="33" t="s">
        <v>484</v>
      </c>
      <c r="E642" s="33" t="s">
        <v>378</v>
      </c>
      <c r="F642" s="33" t="s">
        <v>527</v>
      </c>
      <c r="L642" s="33">
        <v>2.1</v>
      </c>
      <c r="M642" s="269">
        <v>1</v>
      </c>
      <c r="N642" s="211">
        <v>0</v>
      </c>
      <c r="O642" s="33">
        <v>13</v>
      </c>
      <c r="P642" s="163">
        <v>0</v>
      </c>
      <c r="Q642" s="163">
        <v>0</v>
      </c>
      <c r="R642" s="163">
        <v>0</v>
      </c>
      <c r="S642" s="163">
        <v>0</v>
      </c>
      <c r="T642" s="163">
        <v>0</v>
      </c>
      <c r="U642" s="163">
        <v>0</v>
      </c>
      <c r="V642" s="163">
        <v>0</v>
      </c>
      <c r="W642" s="163">
        <v>0</v>
      </c>
      <c r="X642" s="163">
        <v>0</v>
      </c>
      <c r="Y642" s="163">
        <v>0</v>
      </c>
      <c r="Z642" s="163">
        <v>0</v>
      </c>
      <c r="AA642" s="163">
        <v>0</v>
      </c>
      <c r="AB642" s="163">
        <v>0</v>
      </c>
      <c r="AC642" s="163">
        <v>0</v>
      </c>
      <c r="AD642" s="163">
        <v>0</v>
      </c>
      <c r="AE642" s="163">
        <v>0</v>
      </c>
      <c r="AF642" s="163">
        <v>0</v>
      </c>
      <c r="AG642" s="163">
        <v>0</v>
      </c>
      <c r="AH642" s="163">
        <v>0</v>
      </c>
      <c r="AI642" s="163">
        <v>0</v>
      </c>
      <c r="AJ642" s="163">
        <v>0</v>
      </c>
      <c r="AK642" s="163">
        <v>0</v>
      </c>
      <c r="AL642" s="163">
        <v>0</v>
      </c>
      <c r="AM642" s="163">
        <v>0</v>
      </c>
      <c r="AN642" s="163">
        <v>0</v>
      </c>
      <c r="AO642" s="163">
        <v>0</v>
      </c>
      <c r="AP642" s="163">
        <v>0</v>
      </c>
      <c r="AQ642" s="163">
        <v>0</v>
      </c>
      <c r="AR642" s="163">
        <v>0</v>
      </c>
      <c r="AS642" s="163">
        <v>0</v>
      </c>
      <c r="AT642" s="163">
        <v>0</v>
      </c>
      <c r="AU642" s="163">
        <v>0</v>
      </c>
      <c r="AV642" s="313">
        <v>0</v>
      </c>
      <c r="AW642" s="315">
        <v>0</v>
      </c>
      <c r="AX642" s="315">
        <v>0</v>
      </c>
      <c r="AY642" s="313">
        <v>0</v>
      </c>
      <c r="AZ642" s="163">
        <v>0</v>
      </c>
      <c r="BA642" s="163">
        <v>0</v>
      </c>
      <c r="BB642" s="163">
        <v>0</v>
      </c>
      <c r="BC642" s="163">
        <v>0</v>
      </c>
      <c r="BD642" s="163">
        <v>0</v>
      </c>
      <c r="BE642" s="163">
        <v>0</v>
      </c>
      <c r="BF642" s="163">
        <v>0</v>
      </c>
      <c r="BG642" s="163">
        <v>0</v>
      </c>
      <c r="BH642" s="163">
        <v>0</v>
      </c>
      <c r="BI642" s="163">
        <v>0</v>
      </c>
      <c r="BJ642" s="163">
        <v>0</v>
      </c>
      <c r="BK642" s="163">
        <v>0</v>
      </c>
      <c r="BL642" s="62">
        <v>0.3</v>
      </c>
      <c r="BM642" s="275">
        <v>2</v>
      </c>
      <c r="BN642" s="62">
        <v>0</v>
      </c>
      <c r="BO642" s="33" t="s">
        <v>526</v>
      </c>
    </row>
    <row r="643" spans="1:67">
      <c r="A643" s="33" t="str">
        <f>Database_Productkaarten[[#This Row],[Product]]&amp;", "&amp;Database_Productkaarten[[#This Row],[Levensfase]]</f>
        <v>2L-ZOAB onderlaag 30% PR - PCR 2.0, B3</v>
      </c>
      <c r="B643" s="33" t="s">
        <v>539</v>
      </c>
      <c r="C643" s="33" t="s">
        <v>483</v>
      </c>
      <c r="D643" s="33" t="s">
        <v>484</v>
      </c>
      <c r="E643" s="33" t="s">
        <v>378</v>
      </c>
      <c r="F643" s="33" t="s">
        <v>81</v>
      </c>
      <c r="L643" s="33">
        <v>2.1</v>
      </c>
      <c r="M643" s="269">
        <v>1</v>
      </c>
      <c r="N643" s="211">
        <v>0</v>
      </c>
      <c r="O643" s="33">
        <v>13</v>
      </c>
      <c r="P643" s="163">
        <v>0</v>
      </c>
      <c r="Q643" s="163">
        <v>0</v>
      </c>
      <c r="R643" s="163">
        <v>0</v>
      </c>
      <c r="S643" s="163">
        <v>0</v>
      </c>
      <c r="T643" s="163">
        <v>0</v>
      </c>
      <c r="U643" s="163">
        <v>0</v>
      </c>
      <c r="V643" s="163">
        <v>0</v>
      </c>
      <c r="W643" s="163">
        <v>0</v>
      </c>
      <c r="X643" s="163">
        <v>0</v>
      </c>
      <c r="Y643" s="163">
        <v>0</v>
      </c>
      <c r="Z643" s="163">
        <v>0</v>
      </c>
      <c r="AA643" s="163">
        <v>0</v>
      </c>
      <c r="AB643" s="163">
        <v>0</v>
      </c>
      <c r="AC643" s="163">
        <v>0</v>
      </c>
      <c r="AD643" s="163">
        <v>0</v>
      </c>
      <c r="AE643" s="163">
        <v>0</v>
      </c>
      <c r="AF643" s="163">
        <v>0</v>
      </c>
      <c r="AG643" s="163">
        <v>0</v>
      </c>
      <c r="AH643" s="163">
        <v>0</v>
      </c>
      <c r="AI643" s="163">
        <v>0</v>
      </c>
      <c r="AJ643" s="163">
        <v>0</v>
      </c>
      <c r="AK643" s="163">
        <v>0</v>
      </c>
      <c r="AL643" s="163">
        <v>0</v>
      </c>
      <c r="AM643" s="163">
        <v>0</v>
      </c>
      <c r="AN643" s="163">
        <v>0</v>
      </c>
      <c r="AO643" s="163">
        <v>0</v>
      </c>
      <c r="AP643" s="163">
        <v>0</v>
      </c>
      <c r="AQ643" s="163">
        <v>0</v>
      </c>
      <c r="AR643" s="163">
        <v>0</v>
      </c>
      <c r="AS643" s="163">
        <v>0</v>
      </c>
      <c r="AT643" s="163">
        <v>0</v>
      </c>
      <c r="AU643" s="163">
        <v>0</v>
      </c>
      <c r="AV643" s="313">
        <v>0</v>
      </c>
      <c r="AW643" s="315">
        <v>0</v>
      </c>
      <c r="AX643" s="315">
        <v>0</v>
      </c>
      <c r="AY643" s="313">
        <v>0</v>
      </c>
      <c r="AZ643" s="163">
        <v>0</v>
      </c>
      <c r="BA643" s="163">
        <v>0</v>
      </c>
      <c r="BB643" s="163">
        <v>0</v>
      </c>
      <c r="BC643" s="163">
        <v>0</v>
      </c>
      <c r="BD643" s="163">
        <v>0</v>
      </c>
      <c r="BE643" s="163">
        <v>0</v>
      </c>
      <c r="BF643" s="163">
        <v>0</v>
      </c>
      <c r="BG643" s="163">
        <v>0</v>
      </c>
      <c r="BH643" s="163">
        <v>0</v>
      </c>
      <c r="BI643" s="163">
        <v>0</v>
      </c>
      <c r="BJ643" s="163">
        <v>0</v>
      </c>
      <c r="BK643" s="163">
        <v>0</v>
      </c>
      <c r="BL643" s="62">
        <v>0.3</v>
      </c>
      <c r="BM643" s="275">
        <v>2</v>
      </c>
      <c r="BN643" s="62">
        <v>0</v>
      </c>
      <c r="BO643" s="33" t="s">
        <v>526</v>
      </c>
    </row>
    <row r="644" spans="1:67">
      <c r="A644" s="33" t="str">
        <f>Database_Productkaarten[[#This Row],[Product]]&amp;", "&amp;Database_Productkaarten[[#This Row],[Levensfase]]</f>
        <v>2L-ZOAB onderlaag 30% PR - PCR 2.0, B4</v>
      </c>
      <c r="B644" s="33" t="s">
        <v>539</v>
      </c>
      <c r="C644" s="33" t="s">
        <v>483</v>
      </c>
      <c r="D644" s="33" t="s">
        <v>484</v>
      </c>
      <c r="E644" s="33" t="s">
        <v>378</v>
      </c>
      <c r="F644" s="33" t="s">
        <v>82</v>
      </c>
      <c r="L644" s="33">
        <v>2.1</v>
      </c>
      <c r="M644" s="269">
        <v>1</v>
      </c>
      <c r="N644" s="211">
        <v>0</v>
      </c>
      <c r="O644" s="33">
        <v>13</v>
      </c>
      <c r="P644" s="163">
        <v>0</v>
      </c>
      <c r="Q644" s="163">
        <v>0</v>
      </c>
      <c r="R644" s="163">
        <v>0</v>
      </c>
      <c r="S644" s="163">
        <v>0</v>
      </c>
      <c r="T644" s="163">
        <v>0</v>
      </c>
      <c r="U644" s="163">
        <v>0</v>
      </c>
      <c r="V644" s="163">
        <v>0</v>
      </c>
      <c r="W644" s="163">
        <v>0</v>
      </c>
      <c r="X644" s="163">
        <v>0</v>
      </c>
      <c r="Y644" s="163">
        <v>0</v>
      </c>
      <c r="Z644" s="163">
        <v>0</v>
      </c>
      <c r="AA644" s="163">
        <v>0</v>
      </c>
      <c r="AB644" s="163">
        <v>0</v>
      </c>
      <c r="AC644" s="163">
        <v>0</v>
      </c>
      <c r="AD644" s="163">
        <v>0</v>
      </c>
      <c r="AE644" s="163">
        <v>0</v>
      </c>
      <c r="AF644" s="163">
        <v>0</v>
      </c>
      <c r="AG644" s="163">
        <v>0</v>
      </c>
      <c r="AH644" s="163">
        <v>0</v>
      </c>
      <c r="AI644" s="163">
        <v>0</v>
      </c>
      <c r="AJ644" s="163">
        <v>0</v>
      </c>
      <c r="AK644" s="163">
        <v>0</v>
      </c>
      <c r="AL644" s="163">
        <v>0</v>
      </c>
      <c r="AM644" s="163">
        <v>0</v>
      </c>
      <c r="AN644" s="163">
        <v>0</v>
      </c>
      <c r="AO644" s="163">
        <v>0</v>
      </c>
      <c r="AP644" s="163">
        <v>0</v>
      </c>
      <c r="AQ644" s="163">
        <v>0</v>
      </c>
      <c r="AR644" s="163">
        <v>0</v>
      </c>
      <c r="AS644" s="163">
        <v>0</v>
      </c>
      <c r="AT644" s="163">
        <v>0</v>
      </c>
      <c r="AU644" s="163">
        <v>0</v>
      </c>
      <c r="AV644" s="313">
        <v>0</v>
      </c>
      <c r="AW644" s="315">
        <v>0</v>
      </c>
      <c r="AX644" s="315">
        <v>0</v>
      </c>
      <c r="AY644" s="313">
        <v>0</v>
      </c>
      <c r="AZ644" s="163">
        <v>0</v>
      </c>
      <c r="BA644" s="163">
        <v>0</v>
      </c>
      <c r="BB644" s="163">
        <v>0</v>
      </c>
      <c r="BC644" s="163">
        <v>0</v>
      </c>
      <c r="BD644" s="163">
        <v>0</v>
      </c>
      <c r="BE644" s="163">
        <v>0</v>
      </c>
      <c r="BF644" s="163">
        <v>0</v>
      </c>
      <c r="BG644" s="163">
        <v>0</v>
      </c>
      <c r="BH644" s="163">
        <v>0</v>
      </c>
      <c r="BI644" s="163">
        <v>0</v>
      </c>
      <c r="BJ644" s="163">
        <v>0</v>
      </c>
      <c r="BK644" s="163">
        <v>0</v>
      </c>
      <c r="BL644" s="62">
        <v>0.3</v>
      </c>
      <c r="BM644" s="275">
        <v>2</v>
      </c>
      <c r="BN644" s="62">
        <v>0</v>
      </c>
      <c r="BO644" s="33" t="s">
        <v>526</v>
      </c>
    </row>
    <row r="645" spans="1:67">
      <c r="A645" s="33" t="str">
        <f>Database_Productkaarten[[#This Row],[Product]]&amp;", "&amp;Database_Productkaarten[[#This Row],[Levensfase]]</f>
        <v>2L-ZOAB onderlaag 30% PR - PCR 2.0, B5</v>
      </c>
      <c r="B645" s="33" t="s">
        <v>539</v>
      </c>
      <c r="C645" s="33" t="s">
        <v>483</v>
      </c>
      <c r="D645" s="33" t="s">
        <v>484</v>
      </c>
      <c r="E645" s="33" t="s">
        <v>378</v>
      </c>
      <c r="F645" s="33" t="s">
        <v>528</v>
      </c>
      <c r="L645" s="33">
        <v>2.1</v>
      </c>
      <c r="M645" s="269">
        <v>1</v>
      </c>
      <c r="N645" s="211">
        <v>0</v>
      </c>
      <c r="O645" s="33">
        <v>13</v>
      </c>
      <c r="P645" s="163">
        <v>0</v>
      </c>
      <c r="Q645" s="163">
        <v>0</v>
      </c>
      <c r="R645" s="163">
        <v>0</v>
      </c>
      <c r="S645" s="163">
        <v>0</v>
      </c>
      <c r="T645" s="163">
        <v>0</v>
      </c>
      <c r="U645" s="163">
        <v>0</v>
      </c>
      <c r="V645" s="163">
        <v>0</v>
      </c>
      <c r="W645" s="163">
        <v>0</v>
      </c>
      <c r="X645" s="163">
        <v>0</v>
      </c>
      <c r="Y645" s="163">
        <v>0</v>
      </c>
      <c r="Z645" s="163">
        <v>0</v>
      </c>
      <c r="AA645" s="163">
        <v>0</v>
      </c>
      <c r="AB645" s="163">
        <v>0</v>
      </c>
      <c r="AC645" s="163">
        <v>0</v>
      </c>
      <c r="AD645" s="163">
        <v>0</v>
      </c>
      <c r="AE645" s="163">
        <v>0</v>
      </c>
      <c r="AF645" s="163">
        <v>0</v>
      </c>
      <c r="AG645" s="163">
        <v>0</v>
      </c>
      <c r="AH645" s="163">
        <v>0</v>
      </c>
      <c r="AI645" s="163">
        <v>0</v>
      </c>
      <c r="AJ645" s="163">
        <v>0</v>
      </c>
      <c r="AK645" s="163">
        <v>0</v>
      </c>
      <c r="AL645" s="163">
        <v>0</v>
      </c>
      <c r="AM645" s="163">
        <v>0</v>
      </c>
      <c r="AN645" s="163">
        <v>0</v>
      </c>
      <c r="AO645" s="163">
        <v>0</v>
      </c>
      <c r="AP645" s="163">
        <v>0</v>
      </c>
      <c r="AQ645" s="163">
        <v>0</v>
      </c>
      <c r="AR645" s="163">
        <v>0</v>
      </c>
      <c r="AS645" s="163">
        <v>0</v>
      </c>
      <c r="AT645" s="163">
        <v>0</v>
      </c>
      <c r="AU645" s="163">
        <v>0</v>
      </c>
      <c r="AV645" s="313">
        <v>0</v>
      </c>
      <c r="AW645" s="315">
        <v>0</v>
      </c>
      <c r="AX645" s="315">
        <v>0</v>
      </c>
      <c r="AY645" s="313">
        <v>0</v>
      </c>
      <c r="AZ645" s="163">
        <v>0</v>
      </c>
      <c r="BA645" s="163">
        <v>0</v>
      </c>
      <c r="BB645" s="163">
        <v>0</v>
      </c>
      <c r="BC645" s="163">
        <v>0</v>
      </c>
      <c r="BD645" s="163">
        <v>0</v>
      </c>
      <c r="BE645" s="163">
        <v>0</v>
      </c>
      <c r="BF645" s="163">
        <v>0</v>
      </c>
      <c r="BG645" s="163">
        <v>0</v>
      </c>
      <c r="BH645" s="163">
        <v>0</v>
      </c>
      <c r="BI645" s="163">
        <v>0</v>
      </c>
      <c r="BJ645" s="163">
        <v>0</v>
      </c>
      <c r="BK645" s="163">
        <v>0</v>
      </c>
      <c r="BL645" s="62">
        <v>0.3</v>
      </c>
      <c r="BM645" s="275">
        <v>2</v>
      </c>
      <c r="BN645" s="62">
        <v>0</v>
      </c>
      <c r="BO645" s="33" t="s">
        <v>526</v>
      </c>
    </row>
    <row r="646" spans="1:67">
      <c r="A646" s="33" t="str">
        <f>Database_Productkaarten[[#This Row],[Product]]&amp;", "&amp;Database_Productkaarten[[#This Row],[Levensfase]]</f>
        <v>2L-ZOAB onderlaag 30% PR - PCR 2.0, C1</v>
      </c>
      <c r="B646" s="33" t="s">
        <v>539</v>
      </c>
      <c r="C646" s="33" t="s">
        <v>483</v>
      </c>
      <c r="D646" s="33" t="s">
        <v>484</v>
      </c>
      <c r="E646" s="33" t="s">
        <v>378</v>
      </c>
      <c r="F646" s="33" t="s">
        <v>83</v>
      </c>
      <c r="L646" s="33">
        <v>2.1</v>
      </c>
      <c r="M646" s="269">
        <v>1</v>
      </c>
      <c r="N646" s="211">
        <v>0.1762729708698112</v>
      </c>
      <c r="O646" s="33">
        <v>13</v>
      </c>
      <c r="P646" s="163">
        <v>2.16765911310267E-6</v>
      </c>
      <c r="Q646" s="163">
        <v>9.2211787414282192E-3</v>
      </c>
      <c r="R646" s="163">
        <v>1.8753406258909999</v>
      </c>
      <c r="S646" s="163">
        <v>2.4233987368993301E-7</v>
      </c>
      <c r="T646" s="163">
        <v>6.1516414808806099E-4</v>
      </c>
      <c r="U646" s="163">
        <v>5.3270131260239597E-3</v>
      </c>
      <c r="V646" s="163">
        <v>1.1438004853407599E-3</v>
      </c>
      <c r="W646" s="163">
        <v>0.50471239164295001</v>
      </c>
      <c r="X646" s="163">
        <v>7.1932174777938002E-3</v>
      </c>
      <c r="Y646" s="163">
        <v>24.993260525024901</v>
      </c>
      <c r="Z646" s="163">
        <v>8.5184936538784803E-4</v>
      </c>
      <c r="AA646" s="163">
        <v>1.88685402618781</v>
      </c>
      <c r="AB646" s="163">
        <v>1.8863123397797901</v>
      </c>
      <c r="AC646" s="163">
        <v>4.31445917011333E-4</v>
      </c>
      <c r="AD646" s="163">
        <v>1.10240491008515E-4</v>
      </c>
      <c r="AE646" s="163">
        <v>3.0535781226962698E-7</v>
      </c>
      <c r="AF646" s="163">
        <v>7.2305079212857202E-3</v>
      </c>
      <c r="AG646" s="163">
        <v>5.15049870904733E-6</v>
      </c>
      <c r="AH646" s="163">
        <v>2.8044717844647399E-3</v>
      </c>
      <c r="AI646" s="163">
        <v>3.0825906138533199E-2</v>
      </c>
      <c r="AJ646" s="163">
        <v>8.4242120931170804E-3</v>
      </c>
      <c r="AK646" s="163">
        <v>2.1676421032222502E-6</v>
      </c>
      <c r="AL646" s="163">
        <v>19.4561243332389</v>
      </c>
      <c r="AM646" s="163">
        <v>2.5912379742147999E-2</v>
      </c>
      <c r="AN646" s="163">
        <v>2.9948141719122601E-8</v>
      </c>
      <c r="AO646" s="163">
        <v>8.3507492681063694E-2</v>
      </c>
      <c r="AP646" s="163">
        <v>11.6737381350662</v>
      </c>
      <c r="AQ646" s="163">
        <v>4.0957602164558903E-10</v>
      </c>
      <c r="AR646" s="163">
        <v>8.1948958546701499E-9</v>
      </c>
      <c r="AS646" s="163">
        <v>2.4850957447603998</v>
      </c>
      <c r="AT646" s="163">
        <v>0</v>
      </c>
      <c r="AU646" s="163">
        <v>0</v>
      </c>
      <c r="AV646" s="313">
        <v>0.106940525852561</v>
      </c>
      <c r="AW646" s="315">
        <v>0</v>
      </c>
      <c r="AX646" s="315">
        <v>0</v>
      </c>
      <c r="AY646" s="313">
        <v>20.661788677065299</v>
      </c>
      <c r="AZ646" s="163">
        <v>0</v>
      </c>
      <c r="BA646" s="163">
        <v>0</v>
      </c>
      <c r="BB646" s="163">
        <v>0</v>
      </c>
      <c r="BC646" s="163">
        <v>1.00575263884502E-3</v>
      </c>
      <c r="BD646" s="163">
        <v>5.2984222096226101E-5</v>
      </c>
      <c r="BE646" s="163">
        <v>2.30218812776295E-2</v>
      </c>
      <c r="BF646" s="163">
        <v>1.35221108152965E-4</v>
      </c>
      <c r="BG646" s="163">
        <v>0</v>
      </c>
      <c r="BH646" s="163">
        <v>0</v>
      </c>
      <c r="BI646" s="163">
        <v>0</v>
      </c>
      <c r="BJ646" s="163">
        <v>0</v>
      </c>
      <c r="BK646" s="163">
        <v>0</v>
      </c>
      <c r="BL646" s="62">
        <v>0.3</v>
      </c>
      <c r="BM646" s="275">
        <v>2</v>
      </c>
      <c r="BN646" s="62">
        <v>0</v>
      </c>
      <c r="BO646" s="33" t="s">
        <v>526</v>
      </c>
    </row>
    <row r="647" spans="1:67">
      <c r="A647" s="33" t="str">
        <f>Database_Productkaarten[[#This Row],[Product]]&amp;", "&amp;Database_Productkaarten[[#This Row],[Levensfase]]</f>
        <v>2L-ZOAB onderlaag 30% PR - PCR 2.0, C2</v>
      </c>
      <c r="B647" s="33" t="s">
        <v>539</v>
      </c>
      <c r="C647" s="33" t="s">
        <v>483</v>
      </c>
      <c r="D647" s="33" t="s">
        <v>484</v>
      </c>
      <c r="E647" s="33" t="s">
        <v>378</v>
      </c>
      <c r="F647" s="33" t="s">
        <v>84</v>
      </c>
      <c r="L647" s="33">
        <v>2.1</v>
      </c>
      <c r="M647" s="269">
        <v>1</v>
      </c>
      <c r="N647" s="211">
        <v>0.31791357541832999</v>
      </c>
      <c r="O647" s="33">
        <v>13</v>
      </c>
      <c r="P647" s="163">
        <v>7.2195843000000002E-5</v>
      </c>
      <c r="Q647" s="163">
        <v>2.5045429500000001E-2</v>
      </c>
      <c r="R647" s="163">
        <v>3.2726104581</v>
      </c>
      <c r="S647" s="163">
        <v>6.2448211500000004E-7</v>
      </c>
      <c r="T647" s="163">
        <v>2.3663202E-3</v>
      </c>
      <c r="U647" s="163">
        <v>9.9103019999999993E-3</v>
      </c>
      <c r="V647" s="163">
        <v>1.66070541E-3</v>
      </c>
      <c r="W647" s="163">
        <v>0.89062466159999998</v>
      </c>
      <c r="X647" s="163">
        <v>3.5055542699999998E-2</v>
      </c>
      <c r="Y647" s="163">
        <v>92.682047400000002</v>
      </c>
      <c r="Z647" s="163">
        <v>7.4868390000000003E-3</v>
      </c>
      <c r="AA647" s="163">
        <v>3.3150718431000001</v>
      </c>
      <c r="AB647" s="163">
        <v>3.3001817481</v>
      </c>
      <c r="AC647" s="163">
        <v>1.3607189190000001E-2</v>
      </c>
      <c r="AD647" s="163">
        <v>1.2829113599999999E-3</v>
      </c>
      <c r="AE647" s="163">
        <v>7.8107336699999998E-7</v>
      </c>
      <c r="AF647" s="163">
        <v>1.2482505E-2</v>
      </c>
      <c r="AG647" s="163">
        <v>3.4632532799999998E-5</v>
      </c>
      <c r="AH647" s="163">
        <v>2.8897329300000001E-3</v>
      </c>
      <c r="AI647" s="163">
        <v>3.3662059799999998E-2</v>
      </c>
      <c r="AJ647" s="163">
        <v>1.2098522699999999E-2</v>
      </c>
      <c r="AK647" s="163">
        <v>7.2195510000000004E-5</v>
      </c>
      <c r="AL647" s="163">
        <v>52.307882313</v>
      </c>
      <c r="AM647" s="163">
        <v>0.28570883850000001</v>
      </c>
      <c r="AN647" s="163">
        <v>2.8544027399999998E-7</v>
      </c>
      <c r="AO647" s="163">
        <v>0.22308385950000001</v>
      </c>
      <c r="AP647" s="163">
        <v>50.61443379</v>
      </c>
      <c r="AQ647" s="163">
        <v>1.35209877E-9</v>
      </c>
      <c r="AR647" s="163">
        <v>4.3221490799999998E-8</v>
      </c>
      <c r="AS647" s="163">
        <v>98.528772599999996</v>
      </c>
      <c r="AT647" s="163">
        <v>8.065825212</v>
      </c>
      <c r="AU647" s="163">
        <v>0</v>
      </c>
      <c r="AV647" s="313">
        <v>8.6963547624000004</v>
      </c>
      <c r="AW647" s="315">
        <v>0.70667511750000001</v>
      </c>
      <c r="AX647" s="315">
        <v>9.926829900000001E-4</v>
      </c>
      <c r="AY647" s="313">
        <v>55.561210727999999</v>
      </c>
      <c r="AZ647" s="163">
        <v>0</v>
      </c>
      <c r="BA647" s="163">
        <v>0</v>
      </c>
      <c r="BB647" s="163">
        <v>0</v>
      </c>
      <c r="BC647" s="163">
        <v>8.7338241000000007E-3</v>
      </c>
      <c r="BD647" s="163">
        <v>1.5376752299999999E-4</v>
      </c>
      <c r="BE647" s="163">
        <v>5.5583861609999996</v>
      </c>
      <c r="BF647" s="163">
        <v>3.4865666099999999E-4</v>
      </c>
      <c r="BG647" s="163">
        <v>0</v>
      </c>
      <c r="BH647" s="163">
        <v>0</v>
      </c>
      <c r="BI647" s="163">
        <v>0</v>
      </c>
      <c r="BJ647" s="163">
        <v>0</v>
      </c>
      <c r="BK647" s="163">
        <v>0</v>
      </c>
      <c r="BL647" s="62">
        <v>0.3</v>
      </c>
      <c r="BM647" s="275">
        <v>2</v>
      </c>
      <c r="BN647" s="62">
        <v>0</v>
      </c>
      <c r="BO647" s="33" t="s">
        <v>526</v>
      </c>
    </row>
    <row r="648" spans="1:67">
      <c r="A648" s="33" t="str">
        <f>Database_Productkaarten[[#This Row],[Product]]&amp;", "&amp;Database_Productkaarten[[#This Row],[Levensfase]]</f>
        <v>2L-ZOAB onderlaag 30% PR - PCR 2.0, C3</v>
      </c>
      <c r="B648" s="33" t="s">
        <v>539</v>
      </c>
      <c r="C648" s="33" t="s">
        <v>483</v>
      </c>
      <c r="D648" s="33" t="s">
        <v>484</v>
      </c>
      <c r="E648" s="33" t="s">
        <v>378</v>
      </c>
      <c r="F648" s="33" t="s">
        <v>85</v>
      </c>
      <c r="L648" s="33">
        <v>2.1</v>
      </c>
      <c r="M648" s="269">
        <v>1</v>
      </c>
      <c r="N648" s="211">
        <v>0.1592999646222121</v>
      </c>
      <c r="O648" s="33">
        <v>13</v>
      </c>
      <c r="P648" s="163">
        <v>1.86519505080928E-6</v>
      </c>
      <c r="Q648" s="163">
        <v>7.9345026379731096E-3</v>
      </c>
      <c r="R648" s="163">
        <v>1.6136651897201599</v>
      </c>
      <c r="S648" s="163">
        <v>2.0852500759366299E-7</v>
      </c>
      <c r="T648" s="163">
        <v>5.8559282748612195E-4</v>
      </c>
      <c r="U648" s="163">
        <v>5.7290955968106799E-3</v>
      </c>
      <c r="V648" s="163">
        <v>1.2820009408744399E-3</v>
      </c>
      <c r="W648" s="163">
        <v>0.43705340621137501</v>
      </c>
      <c r="X648" s="163">
        <v>6.1895127134504596E-3</v>
      </c>
      <c r="Y648" s="163">
        <v>21.505828823858501</v>
      </c>
      <c r="Z648" s="163">
        <v>7.3298666324070696E-4</v>
      </c>
      <c r="AA648" s="163">
        <v>1.62432602320811</v>
      </c>
      <c r="AB648" s="163">
        <v>1.6238599209500499</v>
      </c>
      <c r="AC648" s="163">
        <v>3.71244161149292E-4</v>
      </c>
      <c r="AD648" s="163">
        <v>9.4858096914303899E-5</v>
      </c>
      <c r="AE648" s="163">
        <v>2.6274974544130599E-7</v>
      </c>
      <c r="AF648" s="163">
        <v>7.9167720485472503E-3</v>
      </c>
      <c r="AG648" s="163">
        <v>4.4318244705756204E-6</v>
      </c>
      <c r="AH648" s="163">
        <v>3.3042609366319602E-3</v>
      </c>
      <c r="AI648" s="163">
        <v>3.62833109796626E-2</v>
      </c>
      <c r="AJ648" s="163">
        <v>9.6537099712854599E-3</v>
      </c>
      <c r="AK648" s="163">
        <v>1.8651804144005399E-6</v>
      </c>
      <c r="AL648" s="163">
        <v>16.7413162867404</v>
      </c>
      <c r="AM648" s="163">
        <v>2.22966988478948E-2</v>
      </c>
      <c r="AN648" s="163">
        <v>3.0576571330637698E-8</v>
      </c>
      <c r="AO648" s="163">
        <v>7.1855284399984995E-2</v>
      </c>
      <c r="AP648" s="163">
        <v>10.045649804646599</v>
      </c>
      <c r="AQ648" s="163">
        <v>3.5242587909039099E-10</v>
      </c>
      <c r="AR648" s="163">
        <v>7.5755651600119301E-9</v>
      </c>
      <c r="AS648" s="163">
        <v>2.1383381989798802</v>
      </c>
      <c r="AT648" s="163">
        <v>0</v>
      </c>
      <c r="AU648" s="163">
        <v>0</v>
      </c>
      <c r="AV648" s="313">
        <v>9.2018592012668599E-2</v>
      </c>
      <c r="AW648" s="315">
        <v>0</v>
      </c>
      <c r="AX648" s="315">
        <v>0</v>
      </c>
      <c r="AY648" s="313">
        <v>17.778748396544501</v>
      </c>
      <c r="AZ648" s="163">
        <v>0</v>
      </c>
      <c r="BA648" s="163">
        <v>0</v>
      </c>
      <c r="BB648" s="163">
        <v>0</v>
      </c>
      <c r="BC648" s="163">
        <v>8.6541506133176196E-4</v>
      </c>
      <c r="BD648" s="163">
        <v>4.5591074826985202E-5</v>
      </c>
      <c r="BE648" s="163">
        <v>1.9809525750518399E-2</v>
      </c>
      <c r="BF648" s="163">
        <v>1.1635304655022499E-4</v>
      </c>
      <c r="BG648" s="163">
        <v>0</v>
      </c>
      <c r="BH648" s="163">
        <v>1000</v>
      </c>
      <c r="BI648" s="163">
        <v>0</v>
      </c>
      <c r="BJ648" s="163">
        <v>0</v>
      </c>
      <c r="BK648" s="163">
        <v>0</v>
      </c>
      <c r="BL648" s="62">
        <v>0.3</v>
      </c>
      <c r="BM648" s="275">
        <v>2</v>
      </c>
      <c r="BN648" s="62">
        <v>0</v>
      </c>
      <c r="BO648" s="33" t="s">
        <v>526</v>
      </c>
    </row>
    <row r="649" spans="1:67">
      <c r="A649" s="33" t="str">
        <f>Database_Productkaarten[[#This Row],[Product]]&amp;", "&amp;Database_Productkaarten[[#This Row],[Levensfase]]</f>
        <v>2L-ZOAB onderlaag 30% PR - PCR 2.0, C4</v>
      </c>
      <c r="B649" s="33" t="s">
        <v>539</v>
      </c>
      <c r="C649" s="33" t="s">
        <v>483</v>
      </c>
      <c r="D649" s="33" t="s">
        <v>484</v>
      </c>
      <c r="E649" s="33" t="s">
        <v>378</v>
      </c>
      <c r="F649" s="33" t="s">
        <v>86</v>
      </c>
      <c r="L649" s="33">
        <v>2.1</v>
      </c>
      <c r="M649" s="269">
        <v>1</v>
      </c>
      <c r="N649" s="211">
        <v>0</v>
      </c>
      <c r="O649" s="33">
        <v>13</v>
      </c>
      <c r="P649" s="163">
        <v>0</v>
      </c>
      <c r="Q649" s="163">
        <v>0</v>
      </c>
      <c r="R649" s="163">
        <v>0</v>
      </c>
      <c r="S649" s="163">
        <v>0</v>
      </c>
      <c r="T649" s="163">
        <v>0</v>
      </c>
      <c r="U649" s="163">
        <v>0</v>
      </c>
      <c r="V649" s="163">
        <v>0</v>
      </c>
      <c r="W649" s="163">
        <v>0</v>
      </c>
      <c r="X649" s="163">
        <v>0</v>
      </c>
      <c r="Y649" s="163">
        <v>0</v>
      </c>
      <c r="Z649" s="163">
        <v>0</v>
      </c>
      <c r="AA649" s="163">
        <v>0</v>
      </c>
      <c r="AB649" s="163">
        <v>0</v>
      </c>
      <c r="AC649" s="163">
        <v>0</v>
      </c>
      <c r="AD649" s="163">
        <v>0</v>
      </c>
      <c r="AE649" s="163">
        <v>0</v>
      </c>
      <c r="AF649" s="163">
        <v>0</v>
      </c>
      <c r="AG649" s="163">
        <v>0</v>
      </c>
      <c r="AH649" s="163">
        <v>0</v>
      </c>
      <c r="AI649" s="163">
        <v>0</v>
      </c>
      <c r="AJ649" s="163">
        <v>0</v>
      </c>
      <c r="AK649" s="163">
        <v>0</v>
      </c>
      <c r="AL649" s="163">
        <v>0</v>
      </c>
      <c r="AM649" s="163">
        <v>0</v>
      </c>
      <c r="AN649" s="163">
        <v>0</v>
      </c>
      <c r="AO649" s="163">
        <v>0</v>
      </c>
      <c r="AP649" s="163">
        <v>0</v>
      </c>
      <c r="AQ649" s="163">
        <v>0</v>
      </c>
      <c r="AR649" s="163">
        <v>0</v>
      </c>
      <c r="AS649" s="163">
        <v>0</v>
      </c>
      <c r="AT649" s="163">
        <v>0</v>
      </c>
      <c r="AU649" s="163">
        <v>0</v>
      </c>
      <c r="AV649" s="313">
        <v>0</v>
      </c>
      <c r="AW649" s="315">
        <v>0</v>
      </c>
      <c r="AX649" s="315">
        <v>0</v>
      </c>
      <c r="AY649" s="313">
        <v>0</v>
      </c>
      <c r="AZ649" s="163">
        <v>0</v>
      </c>
      <c r="BA649" s="163">
        <v>0</v>
      </c>
      <c r="BB649" s="163">
        <v>0</v>
      </c>
      <c r="BC649" s="163">
        <v>0</v>
      </c>
      <c r="BD649" s="163">
        <v>0</v>
      </c>
      <c r="BE649" s="163">
        <v>0</v>
      </c>
      <c r="BF649" s="163">
        <v>0</v>
      </c>
      <c r="BG649" s="163">
        <v>0</v>
      </c>
      <c r="BH649" s="163">
        <v>0</v>
      </c>
      <c r="BI649" s="163">
        <v>0</v>
      </c>
      <c r="BJ649" s="163">
        <v>0</v>
      </c>
      <c r="BK649" s="163">
        <v>0</v>
      </c>
      <c r="BL649" s="62">
        <v>0.3</v>
      </c>
      <c r="BM649" s="275">
        <v>2</v>
      </c>
      <c r="BN649" s="62">
        <v>0</v>
      </c>
      <c r="BO649" s="33" t="s">
        <v>526</v>
      </c>
    </row>
    <row r="650" spans="1:67">
      <c r="A650" s="33" t="str">
        <f>Database_Productkaarten[[#This Row],[Product]]&amp;", "&amp;Database_Productkaarten[[#This Row],[Levensfase]]</f>
        <v>2L-ZOAB onderlaag 30% PR - PCR 2.0, D</v>
      </c>
      <c r="B650" s="33" t="s">
        <v>539</v>
      </c>
      <c r="C650" s="33" t="s">
        <v>483</v>
      </c>
      <c r="D650" s="33" t="s">
        <v>484</v>
      </c>
      <c r="E650" s="33" t="s">
        <v>378</v>
      </c>
      <c r="F650" s="33" t="s">
        <v>89</v>
      </c>
      <c r="L650" s="33">
        <v>2.1</v>
      </c>
      <c r="M650" s="269">
        <v>1</v>
      </c>
      <c r="N650" s="211">
        <v>-2.4946295728363919</v>
      </c>
      <c r="O650" s="33">
        <v>13</v>
      </c>
      <c r="P650" s="163">
        <v>-3.4344455176854501E-4</v>
      </c>
      <c r="Q650" s="163">
        <v>-0.41156586950356799</v>
      </c>
      <c r="R650" s="163">
        <v>-18.470624069335301</v>
      </c>
      <c r="S650" s="163">
        <v>-1.6070292604081101E-6</v>
      </c>
      <c r="T650" s="163">
        <v>-4.4473626981676902E-2</v>
      </c>
      <c r="U650" s="163">
        <v>-0.131411783878358</v>
      </c>
      <c r="V650" s="163">
        <v>-1.3200292208429099E-2</v>
      </c>
      <c r="W650" s="163">
        <v>-5.2276339602672799</v>
      </c>
      <c r="X650" s="163">
        <v>-0.63560680791954904</v>
      </c>
      <c r="Y650" s="163">
        <v>-2770.8188693604902</v>
      </c>
      <c r="Z650" s="163">
        <v>-8.5175021543703794E-2</v>
      </c>
      <c r="AA650" s="163">
        <v>-5.5327016677283698</v>
      </c>
      <c r="AB650" s="163">
        <v>-5.4608235246714498</v>
      </c>
      <c r="AC650" s="163">
        <v>-6.4805902801693405E-2</v>
      </c>
      <c r="AD650" s="163">
        <v>-7.0722402552189003E-3</v>
      </c>
      <c r="AE650" s="163">
        <v>-7.1648471269965299E-7</v>
      </c>
      <c r="AF650" s="163">
        <v>-5.4790840676572798E-2</v>
      </c>
      <c r="AG650" s="163">
        <v>-2.3853037471859701E-4</v>
      </c>
      <c r="AH650" s="163">
        <v>-1.6212258427375701E-2</v>
      </c>
      <c r="AI650" s="163">
        <v>-0.20682658658081701</v>
      </c>
      <c r="AJ650" s="163">
        <v>-5.02336371079216E-2</v>
      </c>
      <c r="AK650" s="163">
        <v>-3.4159476034973898E-4</v>
      </c>
      <c r="AL650" s="163">
        <v>-79.919693082978696</v>
      </c>
      <c r="AM650" s="163">
        <v>-19.1858004764965</v>
      </c>
      <c r="AN650" s="163">
        <v>-7.8404794233508399E-7</v>
      </c>
      <c r="AO650" s="163">
        <v>-0.43609945413866802</v>
      </c>
      <c r="AP650" s="163">
        <v>-820.76797683712698</v>
      </c>
      <c r="AQ650" s="163">
        <v>-4.1219821177553596E-9</v>
      </c>
      <c r="AR650" s="163">
        <v>-9.32710185472027E-8</v>
      </c>
      <c r="AS650" s="163">
        <v>-1006.05661891599</v>
      </c>
      <c r="AT650" s="163">
        <v>0</v>
      </c>
      <c r="AU650" s="163">
        <v>0</v>
      </c>
      <c r="AV650" s="313">
        <v>-10.0971008112412</v>
      </c>
      <c r="AW650" s="315">
        <v>0</v>
      </c>
      <c r="AX650" s="315">
        <v>0</v>
      </c>
      <c r="AY650" s="313">
        <v>-930.32286972640804</v>
      </c>
      <c r="AZ650" s="163">
        <v>0</v>
      </c>
      <c r="BA650" s="163">
        <v>0</v>
      </c>
      <c r="BB650" s="163">
        <v>0</v>
      </c>
      <c r="BC650" s="163">
        <v>-9.8736583087275207</v>
      </c>
      <c r="BD650" s="163">
        <v>-4.43827673710197E-4</v>
      </c>
      <c r="BE650" s="163">
        <v>-1.6956698017899301</v>
      </c>
      <c r="BF650" s="163">
        <v>-5.67930767714019E-4</v>
      </c>
      <c r="BG650" s="163">
        <v>0</v>
      </c>
      <c r="BH650" s="163">
        <v>0</v>
      </c>
      <c r="BI650" s="163">
        <v>0</v>
      </c>
      <c r="BJ650" s="163">
        <v>0</v>
      </c>
      <c r="BK650" s="163">
        <v>0</v>
      </c>
      <c r="BL650" s="62">
        <v>0.3</v>
      </c>
      <c r="BM650" s="275">
        <v>2</v>
      </c>
      <c r="BN650" s="62">
        <v>0</v>
      </c>
      <c r="BO650" s="33" t="s">
        <v>526</v>
      </c>
    </row>
    <row r="651" spans="1:67">
      <c r="A651" s="33" t="str">
        <f>Database_Productkaarten[[#This Row],[Product]]&amp;", "&amp;Database_Productkaarten[[#This Row],[Levensfase]]</f>
        <v>SMA 8-11 - PCR 2.0, Totaal</v>
      </c>
      <c r="B651" s="33" t="s">
        <v>540</v>
      </c>
      <c r="C651" s="33" t="s">
        <v>483</v>
      </c>
      <c r="D651" s="33" t="s">
        <v>501</v>
      </c>
      <c r="E651" s="33" t="s">
        <v>378</v>
      </c>
      <c r="F651" s="33" t="s">
        <v>90</v>
      </c>
      <c r="L651" s="33">
        <v>2.35</v>
      </c>
      <c r="M651" s="269">
        <v>1</v>
      </c>
      <c r="N651" s="41">
        <f>SUM(N652:N667)</f>
        <v>24.627863217174969</v>
      </c>
      <c r="O651" s="33">
        <v>16</v>
      </c>
      <c r="P651" s="40">
        <f>SUM(P652:P667)</f>
        <v>2.0644697296093809E-3</v>
      </c>
      <c r="Q651" s="40">
        <f t="shared" ref="Q651:BK651" si="73">SUM(Q652:Q667)</f>
        <v>3.322408330169587</v>
      </c>
      <c r="R651" s="40">
        <f t="shared" si="73"/>
        <v>214.64612190016638</v>
      </c>
      <c r="S651" s="40">
        <f t="shared" si="73"/>
        <v>2.3221453946707332E-5</v>
      </c>
      <c r="T651" s="40">
        <f t="shared" si="73"/>
        <v>0.31005133330506202</v>
      </c>
      <c r="U651" s="40">
        <f t="shared" si="73"/>
        <v>1.1218202667274964</v>
      </c>
      <c r="V651" s="40">
        <f t="shared" si="73"/>
        <v>0.14841149975033008</v>
      </c>
      <c r="W651" s="40">
        <f t="shared" si="73"/>
        <v>52.945372200957308</v>
      </c>
      <c r="X651" s="40">
        <f t="shared" si="73"/>
        <v>5.0112209869325604</v>
      </c>
      <c r="Y651" s="40">
        <f t="shared" si="73"/>
        <v>19655.132191005392</v>
      </c>
      <c r="Z651" s="40">
        <f t="shared" si="73"/>
        <v>0.64873754161034336</v>
      </c>
      <c r="AA651" s="40">
        <f t="shared" si="73"/>
        <v>248.316981771662</v>
      </c>
      <c r="AB651" s="40">
        <f t="shared" si="73"/>
        <v>248.27835219874447</v>
      </c>
      <c r="AC651" s="40">
        <f t="shared" si="73"/>
        <v>-5.4592982322313979E-2</v>
      </c>
      <c r="AD651" s="40">
        <f t="shared" si="73"/>
        <v>0.17863053859020708</v>
      </c>
      <c r="AE651" s="40">
        <f t="shared" si="73"/>
        <v>3.0347857267627053E-5</v>
      </c>
      <c r="AF651" s="40">
        <f t="shared" si="73"/>
        <v>1.5915873346851592</v>
      </c>
      <c r="AG651" s="40">
        <f t="shared" si="73"/>
        <v>3.0682257687607512E-3</v>
      </c>
      <c r="AH651" s="40">
        <f t="shared" si="73"/>
        <v>0.37487245482291487</v>
      </c>
      <c r="AI651" s="40">
        <f t="shared" si="73"/>
        <v>3.9368891881886054</v>
      </c>
      <c r="AJ651" s="40">
        <f t="shared" si="73"/>
        <v>1.6851421671601383</v>
      </c>
      <c r="AK651" s="40">
        <f t="shared" si="73"/>
        <v>2.0676759944920774E-3</v>
      </c>
      <c r="AL651" s="40">
        <f t="shared" si="73"/>
        <v>8381.8985683809424</v>
      </c>
      <c r="AM651" s="40">
        <f t="shared" si="73"/>
        <v>101.84991397047006</v>
      </c>
      <c r="AN651" s="40">
        <f t="shared" si="73"/>
        <v>6.3969057121629675E-6</v>
      </c>
      <c r="AO651" s="40">
        <f t="shared" si="73"/>
        <v>7.7523370760817318</v>
      </c>
      <c r="AP651" s="40">
        <f t="shared" si="73"/>
        <v>8440.7169859980131</v>
      </c>
      <c r="AQ651" s="40">
        <f t="shared" si="73"/>
        <v>7.468925121053238E-8</v>
      </c>
      <c r="AR651" s="40">
        <f t="shared" si="73"/>
        <v>2.5904429257502899E-6</v>
      </c>
      <c r="AS651" s="40">
        <f t="shared" si="73"/>
        <v>750.59896165688315</v>
      </c>
      <c r="AT651" s="40">
        <f t="shared" si="73"/>
        <v>8.065825212</v>
      </c>
      <c r="AU651" s="40">
        <f t="shared" si="73"/>
        <v>0</v>
      </c>
      <c r="AV651" s="313">
        <f t="shared" si="73"/>
        <v>90.841402695973102</v>
      </c>
      <c r="AW651" s="317">
        <f t="shared" si="73"/>
        <v>0.70667511750000001</v>
      </c>
      <c r="AX651" s="317">
        <f t="shared" si="73"/>
        <v>9.926829900000001E-4</v>
      </c>
      <c r="AY651" s="313">
        <f t="shared" si="73"/>
        <v>7393.402110800118</v>
      </c>
      <c r="AZ651" s="40">
        <f t="shared" si="73"/>
        <v>0</v>
      </c>
      <c r="BA651" s="40">
        <f t="shared" si="73"/>
        <v>0</v>
      </c>
      <c r="BB651" s="40">
        <f t="shared" si="73"/>
        <v>0</v>
      </c>
      <c r="BC651" s="40">
        <f t="shared" si="73"/>
        <v>-14.715789213922715</v>
      </c>
      <c r="BD651" s="40">
        <f t="shared" si="73"/>
        <v>5.1827996438831344E-3</v>
      </c>
      <c r="BE651" s="40">
        <f t="shared" si="73"/>
        <v>29.820315435952448</v>
      </c>
      <c r="BF651" s="40">
        <f t="shared" si="73"/>
        <v>8.3573644177949991E-3</v>
      </c>
      <c r="BG651" s="40">
        <f t="shared" si="73"/>
        <v>0</v>
      </c>
      <c r="BH651" s="40">
        <f t="shared" si="73"/>
        <v>1000</v>
      </c>
      <c r="BI651" s="40">
        <f t="shared" si="73"/>
        <v>0</v>
      </c>
      <c r="BJ651" s="40">
        <f t="shared" si="73"/>
        <v>0</v>
      </c>
      <c r="BK651" s="40">
        <f t="shared" si="73"/>
        <v>0</v>
      </c>
      <c r="BL651" s="62">
        <v>0</v>
      </c>
      <c r="BM651" s="275">
        <v>2</v>
      </c>
      <c r="BN651" s="62">
        <v>0</v>
      </c>
      <c r="BO651" s="33" t="s">
        <v>526</v>
      </c>
    </row>
    <row r="652" spans="1:67">
      <c r="A652" s="33" t="str">
        <f>Database_Productkaarten[[#This Row],[Product]]&amp;", "&amp;Database_Productkaarten[[#This Row],[Levensfase]]</f>
        <v>SMA 8-11 - PCR 2.0, A1</v>
      </c>
      <c r="B652" s="33" t="s">
        <v>540</v>
      </c>
      <c r="C652" s="33" t="s">
        <v>483</v>
      </c>
      <c r="D652" s="33" t="s">
        <v>501</v>
      </c>
      <c r="E652" s="33" t="s">
        <v>378</v>
      </c>
      <c r="F652" s="33" t="s">
        <v>74</v>
      </c>
      <c r="L652" s="33">
        <v>2.35</v>
      </c>
      <c r="M652" s="269">
        <v>1</v>
      </c>
      <c r="N652" s="211">
        <v>8.5564591237137009</v>
      </c>
      <c r="O652" s="33">
        <v>16</v>
      </c>
      <c r="P652" s="163">
        <v>8.4118242326634905E-4</v>
      </c>
      <c r="Q652" s="163">
        <v>1.60749523685128</v>
      </c>
      <c r="R652" s="163">
        <v>64.192731646963196</v>
      </c>
      <c r="S652" s="163">
        <v>4.89762791036313E-6</v>
      </c>
      <c r="T652" s="163">
        <v>0.170116874235205</v>
      </c>
      <c r="U652" s="163">
        <v>0.42907216797813003</v>
      </c>
      <c r="V652" s="163">
        <v>3.2336766356416601E-2</v>
      </c>
      <c r="W652" s="163">
        <v>17.0799731157412</v>
      </c>
      <c r="X652" s="163">
        <v>2.5363237793573399</v>
      </c>
      <c r="Y652" s="163">
        <v>11088.0456605009</v>
      </c>
      <c r="Z652" s="163">
        <v>0.328276800101721</v>
      </c>
      <c r="AA652" s="163">
        <v>68.392782711509099</v>
      </c>
      <c r="AB652" s="163">
        <v>68.482542650512102</v>
      </c>
      <c r="AC652" s="163">
        <v>-8.9754716158337605E-2</v>
      </c>
      <c r="AD652" s="163">
        <v>4.2698777155409401E-2</v>
      </c>
      <c r="AE652" s="163">
        <v>5.9427260851654098E-6</v>
      </c>
      <c r="AF652" s="163">
        <v>0.49916161401452402</v>
      </c>
      <c r="AG652" s="163">
        <v>1.03111371368173E-3</v>
      </c>
      <c r="AH652" s="163">
        <v>6.4110900563792095E-2</v>
      </c>
      <c r="AI652" s="163">
        <v>0.62676051263697197</v>
      </c>
      <c r="AJ652" s="163">
        <v>0.48359961473260499</v>
      </c>
      <c r="AK652" s="163">
        <v>8.4110329148858604E-4</v>
      </c>
      <c r="AL652" s="163">
        <v>3413.3546754952599</v>
      </c>
      <c r="AM652" s="163">
        <v>63.625508182292201</v>
      </c>
      <c r="AN652" s="163">
        <v>2.1785203041684799E-6</v>
      </c>
      <c r="AO652" s="163">
        <v>1.8423771671470901</v>
      </c>
      <c r="AP652" s="163">
        <v>4286.3302080020703</v>
      </c>
      <c r="AQ652" s="163">
        <v>2.0994113465683301E-8</v>
      </c>
      <c r="AR652" s="163">
        <v>9.5977542561878489E-7</v>
      </c>
      <c r="AS652" s="163">
        <v>657.503658778253</v>
      </c>
      <c r="AT652" s="163">
        <v>0</v>
      </c>
      <c r="AU652" s="163">
        <v>0</v>
      </c>
      <c r="AV652" s="313">
        <v>32.760827900228001</v>
      </c>
      <c r="AW652" s="315">
        <v>0</v>
      </c>
      <c r="AX652" s="315">
        <v>0</v>
      </c>
      <c r="AY652" s="313">
        <v>3632.5559229926098</v>
      </c>
      <c r="AZ652" s="163">
        <v>0</v>
      </c>
      <c r="BA652" s="163">
        <v>0</v>
      </c>
      <c r="BB652" s="163">
        <v>0</v>
      </c>
      <c r="BC652" s="163">
        <v>1.5180447548527001</v>
      </c>
      <c r="BD652" s="163">
        <v>1.28418644528239E-3</v>
      </c>
      <c r="BE652" s="163">
        <v>3.6707695724875999</v>
      </c>
      <c r="BF652" s="163">
        <v>1.09759665926028E-3</v>
      </c>
      <c r="BG652" s="163">
        <v>0</v>
      </c>
      <c r="BH652" s="163">
        <v>0</v>
      </c>
      <c r="BI652" s="163">
        <v>0</v>
      </c>
      <c r="BJ652" s="163">
        <v>0</v>
      </c>
      <c r="BK652" s="163">
        <v>0</v>
      </c>
      <c r="BL652" s="62">
        <v>0</v>
      </c>
      <c r="BM652" s="275">
        <v>2</v>
      </c>
      <c r="BN652" s="62">
        <v>0</v>
      </c>
      <c r="BO652" s="33" t="s">
        <v>526</v>
      </c>
    </row>
    <row r="653" spans="1:67">
      <c r="A653" s="33" t="str">
        <f>Database_Productkaarten[[#This Row],[Product]]&amp;", "&amp;Database_Productkaarten[[#This Row],[Levensfase]]</f>
        <v>SMA 8-11 - PCR 2.0, A2</v>
      </c>
      <c r="B653" s="33" t="s">
        <v>540</v>
      </c>
      <c r="C653" s="33" t="s">
        <v>483</v>
      </c>
      <c r="D653" s="33" t="s">
        <v>501</v>
      </c>
      <c r="E653" s="33" t="s">
        <v>378</v>
      </c>
      <c r="F653" s="33" t="s">
        <v>75</v>
      </c>
      <c r="L653" s="33">
        <v>2.35</v>
      </c>
      <c r="M653" s="269">
        <v>1</v>
      </c>
      <c r="N653" s="211">
        <v>3.624634398132383</v>
      </c>
      <c r="O653" s="33">
        <v>16</v>
      </c>
      <c r="P653" s="163">
        <v>3.38660578773901E-4</v>
      </c>
      <c r="Q653" s="163">
        <v>0.19342738877293</v>
      </c>
      <c r="R653" s="163">
        <v>30.330448516796402</v>
      </c>
      <c r="S653" s="163">
        <v>4.5376903586259901E-6</v>
      </c>
      <c r="T653" s="163">
        <v>1.79179093280557E-2</v>
      </c>
      <c r="U653" s="163">
        <v>0.201516781415602</v>
      </c>
      <c r="V653" s="163">
        <v>4.4453455949507101E-2</v>
      </c>
      <c r="W653" s="163">
        <v>8.3750987591225403</v>
      </c>
      <c r="X653" s="163">
        <v>0.21925693480535999</v>
      </c>
      <c r="Y653" s="163">
        <v>723.86410304796095</v>
      </c>
      <c r="Z653" s="163">
        <v>3.7770319191041499E-2</v>
      </c>
      <c r="AA653" s="163">
        <v>30.676184157507599</v>
      </c>
      <c r="AB653" s="163">
        <v>30.584554884857599</v>
      </c>
      <c r="AC653" s="163">
        <v>4.3087909259489597E-2</v>
      </c>
      <c r="AD653" s="163">
        <v>4.8541363390497097E-2</v>
      </c>
      <c r="AE653" s="163">
        <v>5.64671511710711E-6</v>
      </c>
      <c r="AF653" s="163">
        <v>0.27981998382761097</v>
      </c>
      <c r="AG653" s="163">
        <v>3.5705013652520898E-4</v>
      </c>
      <c r="AH653" s="163">
        <v>0.117396785992601</v>
      </c>
      <c r="AI653" s="163">
        <v>1.2923167260514901</v>
      </c>
      <c r="AJ653" s="163">
        <v>0.33673795969186399</v>
      </c>
      <c r="AK653" s="163">
        <v>3.3864774241151998E-4</v>
      </c>
      <c r="AL653" s="163">
        <v>400.86939588181099</v>
      </c>
      <c r="AM653" s="163">
        <v>1.79364823158693</v>
      </c>
      <c r="AN653" s="163">
        <v>1.07410474302821E-6</v>
      </c>
      <c r="AO653" s="163">
        <v>1.72608318351743</v>
      </c>
      <c r="AP653" s="163">
        <v>354.973201668775</v>
      </c>
      <c r="AQ653" s="163">
        <v>1.4298133250972201E-8</v>
      </c>
      <c r="AR653" s="163">
        <v>2.74336066688064E-7</v>
      </c>
      <c r="AS653" s="163">
        <v>315.30001864656998</v>
      </c>
      <c r="AT653" s="163">
        <v>0</v>
      </c>
      <c r="AU653" s="163">
        <v>0</v>
      </c>
      <c r="AV653" s="313">
        <v>8.4922646196180693</v>
      </c>
      <c r="AW653" s="315">
        <v>0</v>
      </c>
      <c r="AX653" s="315">
        <v>0</v>
      </c>
      <c r="AY653" s="313">
        <v>425.43828038776297</v>
      </c>
      <c r="AZ653" s="163">
        <v>0</v>
      </c>
      <c r="BA653" s="163">
        <v>0</v>
      </c>
      <c r="BB653" s="163">
        <v>0</v>
      </c>
      <c r="BC653" s="163">
        <v>7.0727029373840997E-2</v>
      </c>
      <c r="BD653" s="163">
        <v>1.0385156951504199E-3</v>
      </c>
      <c r="BE653" s="163">
        <v>6.9492750786339998</v>
      </c>
      <c r="BF653" s="163">
        <v>2.6051797657451301E-3</v>
      </c>
      <c r="BG653" s="163">
        <v>0</v>
      </c>
      <c r="BH653" s="163">
        <v>0</v>
      </c>
      <c r="BI653" s="163">
        <v>0</v>
      </c>
      <c r="BJ653" s="163">
        <v>0</v>
      </c>
      <c r="BK653" s="163">
        <v>0</v>
      </c>
      <c r="BL653" s="62">
        <v>0</v>
      </c>
      <c r="BM653" s="275">
        <v>2</v>
      </c>
      <c r="BN653" s="62">
        <v>0</v>
      </c>
      <c r="BO653" s="33" t="s">
        <v>526</v>
      </c>
    </row>
    <row r="654" spans="1:67">
      <c r="A654" s="33" t="str">
        <f>Database_Productkaarten[[#This Row],[Product]]&amp;", "&amp;Database_Productkaarten[[#This Row],[Levensfase]]</f>
        <v>SMA 8-11 - PCR 2.0, A3</v>
      </c>
      <c r="B654" s="33" t="s">
        <v>540</v>
      </c>
      <c r="C654" s="33" t="s">
        <v>483</v>
      </c>
      <c r="D654" s="33" t="s">
        <v>501</v>
      </c>
      <c r="E654" s="33" t="s">
        <v>378</v>
      </c>
      <c r="F654" s="33" t="s">
        <v>76</v>
      </c>
      <c r="L654" s="33">
        <v>2.35</v>
      </c>
      <c r="M654" s="269">
        <v>1</v>
      </c>
      <c r="N654" s="211">
        <v>1.6338062362706796</v>
      </c>
      <c r="O654" s="33">
        <v>16</v>
      </c>
      <c r="P654" s="163">
        <v>2.3994972742492198E-5</v>
      </c>
      <c r="Q654" s="163">
        <v>0.19197042178352799</v>
      </c>
      <c r="R654" s="163">
        <v>22.616190324055701</v>
      </c>
      <c r="S654" s="163">
        <v>2.5169752834762498E-6</v>
      </c>
      <c r="T654" s="163">
        <v>3.6636727486878901E-3</v>
      </c>
      <c r="U654" s="163">
        <v>2.3087557753461399E-2</v>
      </c>
      <c r="V654" s="163">
        <v>3.9601990021627502E-3</v>
      </c>
      <c r="W654" s="163">
        <v>3.5975028373407998</v>
      </c>
      <c r="X654" s="163">
        <v>2.62456547827138E-2</v>
      </c>
      <c r="Y654" s="163">
        <v>107.104036077476</v>
      </c>
      <c r="Z654" s="163">
        <v>2.68284664299944E-2</v>
      </c>
      <c r="AA654" s="163">
        <v>22.958522533168502</v>
      </c>
      <c r="AB654" s="163">
        <v>22.898833690555399</v>
      </c>
      <c r="AC654" s="163">
        <v>5.7623423534978603E-2</v>
      </c>
      <c r="AD654" s="163">
        <v>2.0654190782425498E-3</v>
      </c>
      <c r="AE654" s="163">
        <v>2.8343803788578098E-6</v>
      </c>
      <c r="AF654" s="163">
        <v>2.965094961337E-2</v>
      </c>
      <c r="AG654" s="163">
        <v>2.9071515231592797E-4</v>
      </c>
      <c r="AH654" s="163">
        <v>8.2075074163398595E-3</v>
      </c>
      <c r="AI654" s="163">
        <v>9.3105619865529093E-2</v>
      </c>
      <c r="AJ654" s="163">
        <v>2.7928125583036201E-2</v>
      </c>
      <c r="AK654" s="163">
        <v>2.3994645785132801E-5</v>
      </c>
      <c r="AL654" s="163">
        <v>353.085711219899</v>
      </c>
      <c r="AM654" s="163">
        <v>0.577992690506414</v>
      </c>
      <c r="AN654" s="163">
        <v>1.9600627588992901E-7</v>
      </c>
      <c r="AO654" s="163">
        <v>0.27292046805998599</v>
      </c>
      <c r="AP654" s="163">
        <v>82.123050129760301</v>
      </c>
      <c r="AQ654" s="163">
        <v>2.9139772600449801E-9</v>
      </c>
      <c r="AR654" s="163">
        <v>5.2689314058077003E-8</v>
      </c>
      <c r="AS654" s="163">
        <v>17.3535059288239</v>
      </c>
      <c r="AT654" s="163">
        <v>0</v>
      </c>
      <c r="AU654" s="163">
        <v>0</v>
      </c>
      <c r="AV654" s="313">
        <v>7.47422749020018</v>
      </c>
      <c r="AW654" s="315">
        <v>0</v>
      </c>
      <c r="AX654" s="315">
        <v>0</v>
      </c>
      <c r="AY654" s="313">
        <v>388.97738885024302</v>
      </c>
      <c r="AZ654" s="163">
        <v>0</v>
      </c>
      <c r="BA654" s="163">
        <v>0</v>
      </c>
      <c r="BB654" s="163">
        <v>0</v>
      </c>
      <c r="BC654" s="163">
        <v>4.3331985092934101E-2</v>
      </c>
      <c r="BD654" s="163">
        <v>4.25382712628512E-4</v>
      </c>
      <c r="BE654" s="163">
        <v>0.28720248501386703</v>
      </c>
      <c r="BF654" s="163">
        <v>3.4293279267640298E-4</v>
      </c>
      <c r="BG654" s="163">
        <v>0</v>
      </c>
      <c r="BH654" s="163">
        <v>0</v>
      </c>
      <c r="BI654" s="163">
        <v>0</v>
      </c>
      <c r="BJ654" s="163">
        <v>0</v>
      </c>
      <c r="BK654" s="163">
        <v>0</v>
      </c>
      <c r="BL654" s="62">
        <v>0</v>
      </c>
      <c r="BM654" s="275">
        <v>2</v>
      </c>
      <c r="BN654" s="62">
        <v>0</v>
      </c>
      <c r="BO654" s="33" t="s">
        <v>526</v>
      </c>
    </row>
    <row r="655" spans="1:67">
      <c r="A655" s="33" t="str">
        <f>Database_Productkaarten[[#This Row],[Product]]&amp;", "&amp;Database_Productkaarten[[#This Row],[Levensfase]]</f>
        <v>SMA 8-11 - PCR 2.0, A1-A3</v>
      </c>
      <c r="B655" s="33" t="str">
        <f>B654</f>
        <v>SMA 8-11 - PCR 2.0</v>
      </c>
      <c r="C655" s="33" t="str">
        <f>C654</f>
        <v>Bitumineuze verhardingen</v>
      </c>
      <c r="D655" s="33" t="str">
        <f>D654</f>
        <v>SMA</v>
      </c>
      <c r="E655" s="33" t="str">
        <f>E654</f>
        <v>Ton</v>
      </c>
      <c r="F655" s="33" t="s">
        <v>77</v>
      </c>
      <c r="L655" s="33">
        <f>L654</f>
        <v>2.35</v>
      </c>
      <c r="M655" s="45">
        <f>M654</f>
        <v>1</v>
      </c>
      <c r="N655" s="41">
        <f>SUM(N652:N654)</f>
        <v>13.814899758116763</v>
      </c>
      <c r="O655" s="33">
        <f>O654</f>
        <v>16</v>
      </c>
      <c r="P655" s="40">
        <f>SUM(P652:P654)</f>
        <v>1.2038379747827423E-3</v>
      </c>
      <c r="Q655" s="40">
        <f t="shared" ref="Q655:BK655" si="74">SUM(Q652:Q654)</f>
        <v>1.9928930474077382</v>
      </c>
      <c r="R655" s="40">
        <f t="shared" si="74"/>
        <v>117.13937048781531</v>
      </c>
      <c r="S655" s="40">
        <f t="shared" si="74"/>
        <v>1.1952293552465369E-5</v>
      </c>
      <c r="T655" s="40">
        <f t="shared" si="74"/>
        <v>0.1916984563119486</v>
      </c>
      <c r="U655" s="40">
        <f t="shared" si="74"/>
        <v>0.65367650714719339</v>
      </c>
      <c r="V655" s="40">
        <f t="shared" si="74"/>
        <v>8.0750421308086448E-2</v>
      </c>
      <c r="W655" s="40">
        <f t="shared" si="74"/>
        <v>29.052574712204539</v>
      </c>
      <c r="X655" s="40">
        <f t="shared" si="74"/>
        <v>2.7818263689454135</v>
      </c>
      <c r="Y655" s="40">
        <f t="shared" si="74"/>
        <v>11919.013799626338</v>
      </c>
      <c r="Z655" s="40">
        <f t="shared" si="74"/>
        <v>0.39287558572275694</v>
      </c>
      <c r="AA655" s="40">
        <f t="shared" si="74"/>
        <v>122.0274894021852</v>
      </c>
      <c r="AB655" s="40">
        <f t="shared" si="74"/>
        <v>121.96593122592509</v>
      </c>
      <c r="AC655" s="40">
        <f t="shared" si="74"/>
        <v>1.0956616636130595E-2</v>
      </c>
      <c r="AD655" s="40">
        <f t="shared" si="74"/>
        <v>9.3305559624149048E-2</v>
      </c>
      <c r="AE655" s="40">
        <f t="shared" si="74"/>
        <v>1.442382158113033E-5</v>
      </c>
      <c r="AF655" s="40">
        <f t="shared" si="74"/>
        <v>0.80863254745550506</v>
      </c>
      <c r="AG655" s="40">
        <f t="shared" si="74"/>
        <v>1.6788790025228668E-3</v>
      </c>
      <c r="AH655" s="40">
        <f t="shared" si="74"/>
        <v>0.18971519397273295</v>
      </c>
      <c r="AI655" s="40">
        <f t="shared" si="74"/>
        <v>2.0121828585539911</v>
      </c>
      <c r="AJ655" s="40">
        <f t="shared" si="74"/>
        <v>0.84826570000750512</v>
      </c>
      <c r="AK655" s="40">
        <f t="shared" si="74"/>
        <v>1.2037456796852389E-3</v>
      </c>
      <c r="AL655" s="40">
        <f t="shared" si="74"/>
        <v>4167.3097825969699</v>
      </c>
      <c r="AM655" s="40">
        <f t="shared" si="74"/>
        <v>65.997149104385556</v>
      </c>
      <c r="AN655" s="40">
        <f t="shared" si="74"/>
        <v>3.448631323086619E-6</v>
      </c>
      <c r="AO655" s="40">
        <f t="shared" si="74"/>
        <v>3.841380818724506</v>
      </c>
      <c r="AP655" s="40">
        <f t="shared" si="74"/>
        <v>4723.4264598006057</v>
      </c>
      <c r="AQ655" s="40">
        <f t="shared" si="74"/>
        <v>3.8206223976700483E-8</v>
      </c>
      <c r="AR655" s="40">
        <f t="shared" si="74"/>
        <v>1.2868008063649258E-6</v>
      </c>
      <c r="AS655" s="40">
        <f t="shared" si="74"/>
        <v>990.15718335364693</v>
      </c>
      <c r="AT655" s="40">
        <f t="shared" si="74"/>
        <v>0</v>
      </c>
      <c r="AU655" s="40">
        <f t="shared" si="74"/>
        <v>0</v>
      </c>
      <c r="AV655" s="317">
        <f t="shared" si="74"/>
        <v>48.727320010046249</v>
      </c>
      <c r="AW655" s="317">
        <f t="shared" si="74"/>
        <v>0</v>
      </c>
      <c r="AX655" s="317">
        <f t="shared" si="74"/>
        <v>0</v>
      </c>
      <c r="AY655" s="317">
        <f t="shared" si="74"/>
        <v>4446.9715922306159</v>
      </c>
      <c r="AZ655" s="40">
        <f t="shared" si="74"/>
        <v>0</v>
      </c>
      <c r="BA655" s="40">
        <f t="shared" si="74"/>
        <v>0</v>
      </c>
      <c r="BB655" s="40">
        <f t="shared" si="74"/>
        <v>0</v>
      </c>
      <c r="BC655" s="40">
        <f t="shared" si="74"/>
        <v>1.6321037693194751</v>
      </c>
      <c r="BD655" s="40">
        <f t="shared" si="74"/>
        <v>2.7480848530613217E-3</v>
      </c>
      <c r="BE655" s="40">
        <f t="shared" si="74"/>
        <v>10.907247136135467</v>
      </c>
      <c r="BF655" s="40">
        <f t="shared" si="74"/>
        <v>4.0457092176818124E-3</v>
      </c>
      <c r="BG655" s="40">
        <f t="shared" si="74"/>
        <v>0</v>
      </c>
      <c r="BH655" s="40">
        <f t="shared" si="74"/>
        <v>0</v>
      </c>
      <c r="BI655" s="40">
        <f t="shared" si="74"/>
        <v>0</v>
      </c>
      <c r="BJ655" s="40">
        <f t="shared" si="74"/>
        <v>0</v>
      </c>
      <c r="BK655" s="40">
        <f t="shared" si="74"/>
        <v>0</v>
      </c>
      <c r="BL655" s="62">
        <f>BL654</f>
        <v>0</v>
      </c>
      <c r="BM655" s="275">
        <f>BM654</f>
        <v>2</v>
      </c>
      <c r="BN655" s="62">
        <v>0</v>
      </c>
      <c r="BO655" s="33" t="str">
        <f>BO654</f>
        <v>Ecochain 2022 LCA Achtergrondrapport voor Nederlandse branchereferentiemengsels 2022</v>
      </c>
    </row>
    <row r="656" spans="1:67">
      <c r="A656" s="33" t="str">
        <f>Database_Productkaarten[[#This Row],[Product]]&amp;", "&amp;Database_Productkaarten[[#This Row],[Levensfase]]</f>
        <v>SMA 8-11 - PCR 2.0, A4</v>
      </c>
      <c r="B656" s="33" t="s">
        <v>540</v>
      </c>
      <c r="C656" s="33" t="s">
        <v>483</v>
      </c>
      <c r="D656" s="33" t="s">
        <v>501</v>
      </c>
      <c r="E656" s="33" t="s">
        <v>378</v>
      </c>
      <c r="F656" s="33" t="s">
        <v>78</v>
      </c>
      <c r="L656" s="33">
        <v>2.35</v>
      </c>
      <c r="M656" s="269">
        <v>1</v>
      </c>
      <c r="N656" s="211">
        <v>0.37546048090943995</v>
      </c>
      <c r="O656" s="33">
        <v>16</v>
      </c>
      <c r="P656" s="163">
        <v>6.8533509000000002E-5</v>
      </c>
      <c r="Q656" s="163">
        <v>2.9713889699999999E-2</v>
      </c>
      <c r="R656" s="163">
        <v>3.9891474704999998</v>
      </c>
      <c r="S656" s="163">
        <v>7.557213E-7</v>
      </c>
      <c r="T656" s="163">
        <v>2.4773701499999998E-3</v>
      </c>
      <c r="U656" s="163">
        <v>1.36398132E-2</v>
      </c>
      <c r="V656" s="163">
        <v>2.5682192100000001E-3</v>
      </c>
      <c r="W656" s="163">
        <v>0.8608144794</v>
      </c>
      <c r="X656" s="163">
        <v>3.6189873900000002E-2</v>
      </c>
      <c r="Y656" s="163">
        <v>97.376595929999993</v>
      </c>
      <c r="Z656" s="163">
        <v>4.8437180999999999E-3</v>
      </c>
      <c r="AA656" s="163">
        <v>4.0259382761999998</v>
      </c>
      <c r="AB656" s="163">
        <v>4.0229543298000001</v>
      </c>
      <c r="AC656" s="163">
        <v>1.9814632200000001E-3</v>
      </c>
      <c r="AD656" s="163">
        <v>1.0024609799999999E-3</v>
      </c>
      <c r="AE656" s="163">
        <v>9.4976262000000003E-7</v>
      </c>
      <c r="AF656" s="163">
        <v>1.7739576E-2</v>
      </c>
      <c r="AG656" s="163">
        <v>2.7841996800000001E-5</v>
      </c>
      <c r="AH656" s="163">
        <v>5.5484582100000001E-3</v>
      </c>
      <c r="AI656" s="163">
        <v>6.1385308800000003E-2</v>
      </c>
      <c r="AJ656" s="163">
        <v>1.9235744999999999E-2</v>
      </c>
      <c r="AK656" s="163">
        <v>6.8533397999999998E-5</v>
      </c>
      <c r="AL656" s="163">
        <v>62.400806729999999</v>
      </c>
      <c r="AM656" s="163">
        <v>0.212954166</v>
      </c>
      <c r="AN656" s="163">
        <v>2.9338876200000002E-7</v>
      </c>
      <c r="AO656" s="163">
        <v>0.26868483510000002</v>
      </c>
      <c r="AP656" s="163">
        <v>45.56587296</v>
      </c>
      <c r="AQ656" s="163">
        <v>1.16371179E-9</v>
      </c>
      <c r="AR656" s="163">
        <v>3.8268015899999999E-8</v>
      </c>
      <c r="AS656" s="163">
        <v>71.806844609999999</v>
      </c>
      <c r="AT656" s="163">
        <v>0</v>
      </c>
      <c r="AU656" s="163">
        <v>0</v>
      </c>
      <c r="AV656" s="313">
        <v>0.63474917099999995</v>
      </c>
      <c r="AW656" s="315">
        <v>0</v>
      </c>
      <c r="AX656" s="315">
        <v>0</v>
      </c>
      <c r="AY656" s="313">
        <v>66.265108560000002</v>
      </c>
      <c r="AZ656" s="163">
        <v>0</v>
      </c>
      <c r="BA656" s="163">
        <v>0</v>
      </c>
      <c r="BB656" s="163">
        <v>0</v>
      </c>
      <c r="BC656" s="163">
        <v>6.7467797999999999E-3</v>
      </c>
      <c r="BD656" s="163">
        <v>1.54707915E-4</v>
      </c>
      <c r="BE656" s="163">
        <v>5.4635493149999999</v>
      </c>
      <c r="BF656" s="163">
        <v>4.25149758E-4</v>
      </c>
      <c r="BG656" s="163">
        <v>0</v>
      </c>
      <c r="BH656" s="163">
        <v>0</v>
      </c>
      <c r="BI656" s="163">
        <v>0</v>
      </c>
      <c r="BJ656" s="163">
        <v>0</v>
      </c>
      <c r="BK656" s="163">
        <v>0</v>
      </c>
      <c r="BL656" s="62">
        <v>0</v>
      </c>
      <c r="BM656" s="275">
        <v>2</v>
      </c>
      <c r="BN656" s="62">
        <v>0</v>
      </c>
      <c r="BO656" s="33" t="s">
        <v>526</v>
      </c>
    </row>
    <row r="657" spans="1:67">
      <c r="A657" s="33" t="str">
        <f>Database_Productkaarten[[#This Row],[Product]]&amp;", "&amp;Database_Productkaarten[[#This Row],[Levensfase]]</f>
        <v>SMA 8-11 - PCR 2.0, A5</v>
      </c>
      <c r="B657" s="33" t="s">
        <v>540</v>
      </c>
      <c r="C657" s="33" t="s">
        <v>483</v>
      </c>
      <c r="D657" s="33" t="s">
        <v>501</v>
      </c>
      <c r="E657" s="33" t="s">
        <v>378</v>
      </c>
      <c r="F657" s="33" t="s">
        <v>79</v>
      </c>
      <c r="L657" s="33">
        <v>2.35</v>
      </c>
      <c r="M657" s="269">
        <v>1</v>
      </c>
      <c r="N657" s="211">
        <v>0.2597053336061183</v>
      </c>
      <c r="O657" s="33">
        <v>16</v>
      </c>
      <c r="P657" s="163">
        <v>2.9238192601566899E-6</v>
      </c>
      <c r="Q657" s="163">
        <v>1.2437869082647501E-2</v>
      </c>
      <c r="R657" s="163">
        <v>2.5295292172695301</v>
      </c>
      <c r="S657" s="163">
        <v>3.26877041223101E-7</v>
      </c>
      <c r="T657" s="163">
        <v>9.4117069382570703E-4</v>
      </c>
      <c r="U657" s="163">
        <v>1.04973944636062E-2</v>
      </c>
      <c r="V657" s="163">
        <v>2.4039520987081502E-3</v>
      </c>
      <c r="W657" s="163">
        <v>0.68877614098758899</v>
      </c>
      <c r="X657" s="163">
        <v>9.70247944156938E-3</v>
      </c>
      <c r="Y657" s="163">
        <v>33.711839975113598</v>
      </c>
      <c r="Z657" s="163">
        <v>1.14900611681374E-3</v>
      </c>
      <c r="AA657" s="163">
        <v>2.5482276291047801</v>
      </c>
      <c r="AB657" s="163">
        <v>2.5474969823195002</v>
      </c>
      <c r="AC657" s="163">
        <v>5.8195030848014401E-4</v>
      </c>
      <c r="AD657" s="163">
        <v>1.4869647680517201E-4</v>
      </c>
      <c r="AE657" s="163">
        <v>4.1187798224910598E-7</v>
      </c>
      <c r="AF657" s="163">
        <v>1.4654717119940401E-2</v>
      </c>
      <c r="AG657" s="163">
        <v>6.9471842668600303E-6</v>
      </c>
      <c r="AH657" s="163">
        <v>6.3596059807787602E-3</v>
      </c>
      <c r="AI657" s="163">
        <v>6.9798399555511204E-2</v>
      </c>
      <c r="AJ657" s="163">
        <v>1.8200499463318101E-2</v>
      </c>
      <c r="AK657" s="163">
        <v>2.9237963165969499E-6</v>
      </c>
      <c r="AL657" s="163">
        <v>26.2431446264793</v>
      </c>
      <c r="AM657" s="163">
        <v>3.4951581827788299E-2</v>
      </c>
      <c r="AN657" s="163">
        <v>5.4485692668444001E-8</v>
      </c>
      <c r="AO657" s="163">
        <v>0.11263801417770899</v>
      </c>
      <c r="AP657" s="163">
        <v>15.7470628327907</v>
      </c>
      <c r="AQ657" s="163">
        <v>5.5245137302842195E-10</v>
      </c>
      <c r="AR657" s="163">
        <v>1.3239865434751001E-8</v>
      </c>
      <c r="AS657" s="163">
        <v>3.3519896295273299</v>
      </c>
      <c r="AT657" s="163">
        <v>0</v>
      </c>
      <c r="AU657" s="163">
        <v>0</v>
      </c>
      <c r="AV657" s="313">
        <v>0.144245360416561</v>
      </c>
      <c r="AW657" s="315">
        <v>0</v>
      </c>
      <c r="AX657" s="315">
        <v>0</v>
      </c>
      <c r="AY657" s="313">
        <v>27.869389566283299</v>
      </c>
      <c r="AZ657" s="163">
        <v>0</v>
      </c>
      <c r="BA657" s="163">
        <v>0</v>
      </c>
      <c r="BB657" s="163">
        <v>0</v>
      </c>
      <c r="BC657" s="163">
        <v>1.35659657975171E-3</v>
      </c>
      <c r="BD657" s="163">
        <v>7.1467090743758304E-5</v>
      </c>
      <c r="BE657" s="163">
        <v>3.1052769961088501E-2</v>
      </c>
      <c r="BF657" s="163">
        <v>1.82391263466533E-4</v>
      </c>
      <c r="BG657" s="163">
        <v>0</v>
      </c>
      <c r="BH657" s="163">
        <v>0</v>
      </c>
      <c r="BI657" s="163">
        <v>0</v>
      </c>
      <c r="BJ657" s="163">
        <v>0</v>
      </c>
      <c r="BK657" s="163">
        <v>0</v>
      </c>
      <c r="BL657" s="62">
        <v>0</v>
      </c>
      <c r="BM657" s="275">
        <v>2</v>
      </c>
      <c r="BN657" s="62">
        <v>0</v>
      </c>
      <c r="BO657" s="33" t="s">
        <v>526</v>
      </c>
    </row>
    <row r="658" spans="1:67">
      <c r="A658" s="33" t="str">
        <f>Database_Productkaarten[[#This Row],[Product]]&amp;", "&amp;Database_Productkaarten[[#This Row],[Levensfase]]</f>
        <v>SMA 8-11 - PCR 2.0, B1</v>
      </c>
      <c r="B658" s="33" t="s">
        <v>540</v>
      </c>
      <c r="C658" s="33" t="s">
        <v>483</v>
      </c>
      <c r="D658" s="33" t="s">
        <v>501</v>
      </c>
      <c r="E658" s="33" t="s">
        <v>378</v>
      </c>
      <c r="F658" s="33" t="s">
        <v>80</v>
      </c>
      <c r="L658" s="33">
        <v>2.35</v>
      </c>
      <c r="M658" s="269">
        <v>1</v>
      </c>
      <c r="N658" s="211">
        <v>0.11825486639676779</v>
      </c>
      <c r="O658" s="33">
        <v>16</v>
      </c>
      <c r="P658" s="163">
        <v>0</v>
      </c>
      <c r="Q658" s="163">
        <v>0</v>
      </c>
      <c r="R658" s="163">
        <v>0</v>
      </c>
      <c r="S658" s="163">
        <v>0</v>
      </c>
      <c r="T658" s="163">
        <v>0</v>
      </c>
      <c r="U658" s="163">
        <v>0</v>
      </c>
      <c r="V658" s="163">
        <v>0</v>
      </c>
      <c r="W658" s="163">
        <v>0.47637814426189901</v>
      </c>
      <c r="X658" s="163">
        <v>0.51070836809688902</v>
      </c>
      <c r="Y658" s="163">
        <v>600.42146990351</v>
      </c>
      <c r="Z658" s="163">
        <v>2.9058966565328201E-4</v>
      </c>
      <c r="AA658" s="163">
        <v>0</v>
      </c>
      <c r="AB658" s="163">
        <v>0</v>
      </c>
      <c r="AC658" s="163">
        <v>0</v>
      </c>
      <c r="AD658" s="163">
        <v>0</v>
      </c>
      <c r="AE658" s="163">
        <v>0</v>
      </c>
      <c r="AF658" s="163">
        <v>0</v>
      </c>
      <c r="AG658" s="163">
        <v>0</v>
      </c>
      <c r="AH658" s="163">
        <v>0</v>
      </c>
      <c r="AI658" s="163">
        <v>0</v>
      </c>
      <c r="AJ658" s="163">
        <v>0</v>
      </c>
      <c r="AK658" s="163">
        <v>0</v>
      </c>
      <c r="AL658" s="163">
        <v>0</v>
      </c>
      <c r="AM658" s="163">
        <v>0</v>
      </c>
      <c r="AN658" s="163">
        <v>0</v>
      </c>
      <c r="AO658" s="163">
        <v>0</v>
      </c>
      <c r="AP658" s="163">
        <v>3.5405688217834199</v>
      </c>
      <c r="AQ658" s="163">
        <v>8.8497327752214597E-10</v>
      </c>
      <c r="AR658" s="163">
        <v>5.3167546814193901E-8</v>
      </c>
      <c r="AS658" s="163">
        <v>0</v>
      </c>
      <c r="AT658" s="163">
        <v>0</v>
      </c>
      <c r="AU658" s="163">
        <v>0</v>
      </c>
      <c r="AV658" s="313">
        <v>0</v>
      </c>
      <c r="AW658" s="315">
        <v>0</v>
      </c>
      <c r="AX658" s="315">
        <v>0</v>
      </c>
      <c r="AY658" s="313">
        <v>0</v>
      </c>
      <c r="AZ658" s="163">
        <v>0</v>
      </c>
      <c r="BA658" s="163">
        <v>0</v>
      </c>
      <c r="BB658" s="163">
        <v>0</v>
      </c>
      <c r="BC658" s="163">
        <v>0</v>
      </c>
      <c r="BD658" s="163">
        <v>0</v>
      </c>
      <c r="BE658" s="163">
        <v>0</v>
      </c>
      <c r="BF658" s="163">
        <v>0</v>
      </c>
      <c r="BG658" s="163">
        <v>0</v>
      </c>
      <c r="BH658" s="163">
        <v>0</v>
      </c>
      <c r="BI658" s="163">
        <v>0</v>
      </c>
      <c r="BJ658" s="163">
        <v>0</v>
      </c>
      <c r="BK658" s="163">
        <v>0</v>
      </c>
      <c r="BL658" s="62">
        <v>0</v>
      </c>
      <c r="BM658" s="275">
        <v>2</v>
      </c>
      <c r="BN658" s="62">
        <v>0</v>
      </c>
      <c r="BO658" s="33" t="s">
        <v>526</v>
      </c>
    </row>
    <row r="659" spans="1:67">
      <c r="A659" s="33" t="str">
        <f>Database_Productkaarten[[#This Row],[Product]]&amp;", "&amp;Database_Productkaarten[[#This Row],[Levensfase]]</f>
        <v>SMA 8-11 - PCR 2.0, B2</v>
      </c>
      <c r="B659" s="33" t="s">
        <v>540</v>
      </c>
      <c r="C659" s="33" t="s">
        <v>483</v>
      </c>
      <c r="D659" s="33" t="s">
        <v>501</v>
      </c>
      <c r="E659" s="33" t="s">
        <v>378</v>
      </c>
      <c r="F659" s="33" t="s">
        <v>527</v>
      </c>
      <c r="L659" s="33">
        <v>2.35</v>
      </c>
      <c r="M659" s="269">
        <v>1</v>
      </c>
      <c r="N659" s="211">
        <v>0</v>
      </c>
      <c r="O659" s="33">
        <v>16</v>
      </c>
      <c r="P659" s="163">
        <v>0</v>
      </c>
      <c r="Q659" s="163">
        <v>0</v>
      </c>
      <c r="R659" s="163">
        <v>0</v>
      </c>
      <c r="S659" s="163">
        <v>0</v>
      </c>
      <c r="T659" s="163">
        <v>0</v>
      </c>
      <c r="U659" s="163">
        <v>0</v>
      </c>
      <c r="V659" s="163">
        <v>0</v>
      </c>
      <c r="W659" s="163">
        <v>0</v>
      </c>
      <c r="X659" s="163">
        <v>0</v>
      </c>
      <c r="Y659" s="163">
        <v>0</v>
      </c>
      <c r="Z659" s="163">
        <v>0</v>
      </c>
      <c r="AA659" s="163">
        <v>0</v>
      </c>
      <c r="AB659" s="163">
        <v>0</v>
      </c>
      <c r="AC659" s="163">
        <v>0</v>
      </c>
      <c r="AD659" s="163">
        <v>0</v>
      </c>
      <c r="AE659" s="163">
        <v>0</v>
      </c>
      <c r="AF659" s="163">
        <v>0</v>
      </c>
      <c r="AG659" s="163">
        <v>0</v>
      </c>
      <c r="AH659" s="163">
        <v>0</v>
      </c>
      <c r="AI659" s="163">
        <v>0</v>
      </c>
      <c r="AJ659" s="163">
        <v>0</v>
      </c>
      <c r="AK659" s="163">
        <v>0</v>
      </c>
      <c r="AL659" s="163">
        <v>0</v>
      </c>
      <c r="AM659" s="163">
        <v>0</v>
      </c>
      <c r="AN659" s="163">
        <v>0</v>
      </c>
      <c r="AO659" s="163">
        <v>0</v>
      </c>
      <c r="AP659" s="163">
        <v>0</v>
      </c>
      <c r="AQ659" s="163">
        <v>0</v>
      </c>
      <c r="AR659" s="163">
        <v>0</v>
      </c>
      <c r="AS659" s="163">
        <v>0</v>
      </c>
      <c r="AT659" s="163">
        <v>0</v>
      </c>
      <c r="AU659" s="163">
        <v>0</v>
      </c>
      <c r="AV659" s="313">
        <v>0</v>
      </c>
      <c r="AW659" s="315">
        <v>0</v>
      </c>
      <c r="AX659" s="315">
        <v>0</v>
      </c>
      <c r="AY659" s="313">
        <v>0</v>
      </c>
      <c r="AZ659" s="163">
        <v>0</v>
      </c>
      <c r="BA659" s="163">
        <v>0</v>
      </c>
      <c r="BB659" s="163">
        <v>0</v>
      </c>
      <c r="BC659" s="163">
        <v>0</v>
      </c>
      <c r="BD659" s="163">
        <v>0</v>
      </c>
      <c r="BE659" s="163">
        <v>0</v>
      </c>
      <c r="BF659" s="163">
        <v>0</v>
      </c>
      <c r="BG659" s="163">
        <v>0</v>
      </c>
      <c r="BH659" s="163">
        <v>0</v>
      </c>
      <c r="BI659" s="163">
        <v>0</v>
      </c>
      <c r="BJ659" s="163">
        <v>0</v>
      </c>
      <c r="BK659" s="163">
        <v>0</v>
      </c>
      <c r="BL659" s="62">
        <v>0</v>
      </c>
      <c r="BM659" s="275">
        <v>2</v>
      </c>
      <c r="BN659" s="62">
        <v>0</v>
      </c>
      <c r="BO659" s="33" t="s">
        <v>526</v>
      </c>
    </row>
    <row r="660" spans="1:67">
      <c r="A660" s="33" t="str">
        <f>Database_Productkaarten[[#This Row],[Product]]&amp;", "&amp;Database_Productkaarten[[#This Row],[Levensfase]]</f>
        <v>SMA 8-11 - PCR 2.0, B3</v>
      </c>
      <c r="B660" s="33" t="s">
        <v>540</v>
      </c>
      <c r="C660" s="33" t="s">
        <v>483</v>
      </c>
      <c r="D660" s="33" t="s">
        <v>501</v>
      </c>
      <c r="E660" s="33" t="s">
        <v>378</v>
      </c>
      <c r="F660" s="33" t="s">
        <v>81</v>
      </c>
      <c r="L660" s="33">
        <v>2.35</v>
      </c>
      <c r="M660" s="269">
        <v>1</v>
      </c>
      <c r="N660" s="211">
        <v>0</v>
      </c>
      <c r="O660" s="33">
        <v>16</v>
      </c>
      <c r="P660" s="163">
        <v>0</v>
      </c>
      <c r="Q660" s="163">
        <v>0</v>
      </c>
      <c r="R660" s="163">
        <v>0</v>
      </c>
      <c r="S660" s="163">
        <v>0</v>
      </c>
      <c r="T660" s="163">
        <v>0</v>
      </c>
      <c r="U660" s="163">
        <v>0</v>
      </c>
      <c r="V660" s="163">
        <v>0</v>
      </c>
      <c r="W660" s="163">
        <v>0</v>
      </c>
      <c r="X660" s="163">
        <v>0</v>
      </c>
      <c r="Y660" s="163">
        <v>0</v>
      </c>
      <c r="Z660" s="163">
        <v>0</v>
      </c>
      <c r="AA660" s="163">
        <v>0</v>
      </c>
      <c r="AB660" s="163">
        <v>0</v>
      </c>
      <c r="AC660" s="163">
        <v>0</v>
      </c>
      <c r="AD660" s="163">
        <v>0</v>
      </c>
      <c r="AE660" s="163">
        <v>0</v>
      </c>
      <c r="AF660" s="163">
        <v>0</v>
      </c>
      <c r="AG660" s="163">
        <v>0</v>
      </c>
      <c r="AH660" s="163">
        <v>0</v>
      </c>
      <c r="AI660" s="163">
        <v>0</v>
      </c>
      <c r="AJ660" s="163">
        <v>0</v>
      </c>
      <c r="AK660" s="163">
        <v>0</v>
      </c>
      <c r="AL660" s="163">
        <v>0</v>
      </c>
      <c r="AM660" s="163">
        <v>0</v>
      </c>
      <c r="AN660" s="163">
        <v>0</v>
      </c>
      <c r="AO660" s="163">
        <v>0</v>
      </c>
      <c r="AP660" s="163">
        <v>0</v>
      </c>
      <c r="AQ660" s="163">
        <v>0</v>
      </c>
      <c r="AR660" s="163">
        <v>0</v>
      </c>
      <c r="AS660" s="163">
        <v>0</v>
      </c>
      <c r="AT660" s="163">
        <v>0</v>
      </c>
      <c r="AU660" s="163">
        <v>0</v>
      </c>
      <c r="AV660" s="313">
        <v>0</v>
      </c>
      <c r="AW660" s="315">
        <v>0</v>
      </c>
      <c r="AX660" s="315">
        <v>0</v>
      </c>
      <c r="AY660" s="313">
        <v>0</v>
      </c>
      <c r="AZ660" s="163">
        <v>0</v>
      </c>
      <c r="BA660" s="163">
        <v>0</v>
      </c>
      <c r="BB660" s="163">
        <v>0</v>
      </c>
      <c r="BC660" s="163">
        <v>0</v>
      </c>
      <c r="BD660" s="163">
        <v>0</v>
      </c>
      <c r="BE660" s="163">
        <v>0</v>
      </c>
      <c r="BF660" s="163">
        <v>0</v>
      </c>
      <c r="BG660" s="163">
        <v>0</v>
      </c>
      <c r="BH660" s="163">
        <v>0</v>
      </c>
      <c r="BI660" s="163">
        <v>0</v>
      </c>
      <c r="BJ660" s="163">
        <v>0</v>
      </c>
      <c r="BK660" s="163">
        <v>0</v>
      </c>
      <c r="BL660" s="62">
        <v>0</v>
      </c>
      <c r="BM660" s="275">
        <v>2</v>
      </c>
      <c r="BN660" s="62">
        <v>0</v>
      </c>
      <c r="BO660" s="33" t="s">
        <v>526</v>
      </c>
    </row>
    <row r="661" spans="1:67">
      <c r="A661" s="33" t="str">
        <f>Database_Productkaarten[[#This Row],[Product]]&amp;", "&amp;Database_Productkaarten[[#This Row],[Levensfase]]</f>
        <v>SMA 8-11 - PCR 2.0, B4</v>
      </c>
      <c r="B661" s="33" t="s">
        <v>540</v>
      </c>
      <c r="C661" s="33" t="s">
        <v>483</v>
      </c>
      <c r="D661" s="33" t="s">
        <v>501</v>
      </c>
      <c r="E661" s="33" t="s">
        <v>378</v>
      </c>
      <c r="F661" s="33" t="s">
        <v>82</v>
      </c>
      <c r="L661" s="33">
        <v>2.35</v>
      </c>
      <c r="M661" s="269">
        <v>1</v>
      </c>
      <c r="N661" s="211">
        <v>0</v>
      </c>
      <c r="O661" s="33">
        <v>16</v>
      </c>
      <c r="P661" s="163">
        <v>0</v>
      </c>
      <c r="Q661" s="163">
        <v>0</v>
      </c>
      <c r="R661" s="163">
        <v>0</v>
      </c>
      <c r="S661" s="163">
        <v>0</v>
      </c>
      <c r="T661" s="163">
        <v>0</v>
      </c>
      <c r="U661" s="163">
        <v>0</v>
      </c>
      <c r="V661" s="163">
        <v>0</v>
      </c>
      <c r="W661" s="163">
        <v>0</v>
      </c>
      <c r="X661" s="163">
        <v>0</v>
      </c>
      <c r="Y661" s="163">
        <v>0</v>
      </c>
      <c r="Z661" s="163">
        <v>0</v>
      </c>
      <c r="AA661" s="163">
        <v>0</v>
      </c>
      <c r="AB661" s="163">
        <v>0</v>
      </c>
      <c r="AC661" s="163">
        <v>0</v>
      </c>
      <c r="AD661" s="163">
        <v>0</v>
      </c>
      <c r="AE661" s="163">
        <v>0</v>
      </c>
      <c r="AF661" s="163">
        <v>0</v>
      </c>
      <c r="AG661" s="163">
        <v>0</v>
      </c>
      <c r="AH661" s="163">
        <v>0</v>
      </c>
      <c r="AI661" s="163">
        <v>0</v>
      </c>
      <c r="AJ661" s="163">
        <v>0</v>
      </c>
      <c r="AK661" s="163">
        <v>0</v>
      </c>
      <c r="AL661" s="163">
        <v>0</v>
      </c>
      <c r="AM661" s="163">
        <v>0</v>
      </c>
      <c r="AN661" s="163">
        <v>0</v>
      </c>
      <c r="AO661" s="163">
        <v>0</v>
      </c>
      <c r="AP661" s="163">
        <v>0</v>
      </c>
      <c r="AQ661" s="163">
        <v>0</v>
      </c>
      <c r="AR661" s="163">
        <v>0</v>
      </c>
      <c r="AS661" s="163">
        <v>0</v>
      </c>
      <c r="AT661" s="163">
        <v>0</v>
      </c>
      <c r="AU661" s="163">
        <v>0</v>
      </c>
      <c r="AV661" s="313">
        <v>0</v>
      </c>
      <c r="AW661" s="315">
        <v>0</v>
      </c>
      <c r="AX661" s="315">
        <v>0</v>
      </c>
      <c r="AY661" s="313">
        <v>0</v>
      </c>
      <c r="AZ661" s="163">
        <v>0</v>
      </c>
      <c r="BA661" s="163">
        <v>0</v>
      </c>
      <c r="BB661" s="163">
        <v>0</v>
      </c>
      <c r="BC661" s="163">
        <v>0</v>
      </c>
      <c r="BD661" s="163">
        <v>0</v>
      </c>
      <c r="BE661" s="163">
        <v>0</v>
      </c>
      <c r="BF661" s="163">
        <v>0</v>
      </c>
      <c r="BG661" s="163">
        <v>0</v>
      </c>
      <c r="BH661" s="163">
        <v>0</v>
      </c>
      <c r="BI661" s="163">
        <v>0</v>
      </c>
      <c r="BJ661" s="163">
        <v>0</v>
      </c>
      <c r="BK661" s="163">
        <v>0</v>
      </c>
      <c r="BL661" s="62">
        <v>0</v>
      </c>
      <c r="BM661" s="275">
        <v>2</v>
      </c>
      <c r="BN661" s="62">
        <v>0</v>
      </c>
      <c r="BO661" s="33" t="s">
        <v>526</v>
      </c>
    </row>
    <row r="662" spans="1:67">
      <c r="A662" s="33" t="str">
        <f>Database_Productkaarten[[#This Row],[Product]]&amp;", "&amp;Database_Productkaarten[[#This Row],[Levensfase]]</f>
        <v>SMA 8-11 - PCR 2.0, B5</v>
      </c>
      <c r="B662" s="33" t="s">
        <v>540</v>
      </c>
      <c r="C662" s="33" t="s">
        <v>483</v>
      </c>
      <c r="D662" s="33" t="s">
        <v>501</v>
      </c>
      <c r="E662" s="33" t="s">
        <v>378</v>
      </c>
      <c r="F662" s="33" t="s">
        <v>528</v>
      </c>
      <c r="L662" s="33">
        <v>2.35</v>
      </c>
      <c r="M662" s="269">
        <v>1</v>
      </c>
      <c r="N662" s="211">
        <v>0</v>
      </c>
      <c r="O662" s="33">
        <v>16</v>
      </c>
      <c r="P662" s="163">
        <v>0</v>
      </c>
      <c r="Q662" s="163">
        <v>0</v>
      </c>
      <c r="R662" s="163">
        <v>0</v>
      </c>
      <c r="S662" s="163">
        <v>0</v>
      </c>
      <c r="T662" s="163">
        <v>0</v>
      </c>
      <c r="U662" s="163">
        <v>0</v>
      </c>
      <c r="V662" s="163">
        <v>0</v>
      </c>
      <c r="W662" s="163">
        <v>0</v>
      </c>
      <c r="X662" s="163">
        <v>0</v>
      </c>
      <c r="Y662" s="163">
        <v>0</v>
      </c>
      <c r="Z662" s="163">
        <v>0</v>
      </c>
      <c r="AA662" s="163">
        <v>0</v>
      </c>
      <c r="AB662" s="163">
        <v>0</v>
      </c>
      <c r="AC662" s="163">
        <v>0</v>
      </c>
      <c r="AD662" s="163">
        <v>0</v>
      </c>
      <c r="AE662" s="163">
        <v>0</v>
      </c>
      <c r="AF662" s="163">
        <v>0</v>
      </c>
      <c r="AG662" s="163">
        <v>0</v>
      </c>
      <c r="AH662" s="163">
        <v>0</v>
      </c>
      <c r="AI662" s="163">
        <v>0</v>
      </c>
      <c r="AJ662" s="163">
        <v>0</v>
      </c>
      <c r="AK662" s="163">
        <v>0</v>
      </c>
      <c r="AL662" s="163">
        <v>0</v>
      </c>
      <c r="AM662" s="163">
        <v>0</v>
      </c>
      <c r="AN662" s="163">
        <v>0</v>
      </c>
      <c r="AO662" s="163">
        <v>0</v>
      </c>
      <c r="AP662" s="163">
        <v>0</v>
      </c>
      <c r="AQ662" s="163">
        <v>0</v>
      </c>
      <c r="AR662" s="163">
        <v>0</v>
      </c>
      <c r="AS662" s="163">
        <v>0</v>
      </c>
      <c r="AT662" s="163">
        <v>0</v>
      </c>
      <c r="AU662" s="163">
        <v>0</v>
      </c>
      <c r="AV662" s="313">
        <v>0</v>
      </c>
      <c r="AW662" s="315">
        <v>0</v>
      </c>
      <c r="AX662" s="315">
        <v>0</v>
      </c>
      <c r="AY662" s="313">
        <v>0</v>
      </c>
      <c r="AZ662" s="163">
        <v>0</v>
      </c>
      <c r="BA662" s="163">
        <v>0</v>
      </c>
      <c r="BB662" s="163">
        <v>0</v>
      </c>
      <c r="BC662" s="163">
        <v>0</v>
      </c>
      <c r="BD662" s="163">
        <v>0</v>
      </c>
      <c r="BE662" s="163">
        <v>0</v>
      </c>
      <c r="BF662" s="163">
        <v>0</v>
      </c>
      <c r="BG662" s="163">
        <v>0</v>
      </c>
      <c r="BH662" s="163">
        <v>0</v>
      </c>
      <c r="BI662" s="163">
        <v>0</v>
      </c>
      <c r="BJ662" s="163">
        <v>0</v>
      </c>
      <c r="BK662" s="163">
        <v>0</v>
      </c>
      <c r="BL662" s="62">
        <v>0</v>
      </c>
      <c r="BM662" s="275">
        <v>2</v>
      </c>
      <c r="BN662" s="62">
        <v>0</v>
      </c>
      <c r="BO662" s="33" t="s">
        <v>526</v>
      </c>
    </row>
    <row r="663" spans="1:67">
      <c r="A663" s="33" t="str">
        <f>Database_Productkaarten[[#This Row],[Product]]&amp;", "&amp;Database_Productkaarten[[#This Row],[Levensfase]]</f>
        <v>SMA 8-11 - PCR 2.0, C1</v>
      </c>
      <c r="B663" s="33" t="s">
        <v>540</v>
      </c>
      <c r="C663" s="33" t="s">
        <v>483</v>
      </c>
      <c r="D663" s="33" t="s">
        <v>501</v>
      </c>
      <c r="E663" s="33" t="s">
        <v>378</v>
      </c>
      <c r="F663" s="33" t="s">
        <v>83</v>
      </c>
      <c r="L663" s="33">
        <v>2.35</v>
      </c>
      <c r="M663" s="269">
        <v>1</v>
      </c>
      <c r="N663" s="211">
        <v>0.13541602871149014</v>
      </c>
      <c r="O663" s="33">
        <v>16</v>
      </c>
      <c r="P663" s="163">
        <v>1.66355233767536E-6</v>
      </c>
      <c r="Q663" s="163">
        <v>7.0767186159891096E-3</v>
      </c>
      <c r="R663" s="163">
        <v>1.4392148994809399</v>
      </c>
      <c r="S663" s="163">
        <v>1.8598176483383299E-7</v>
      </c>
      <c r="T663" s="163">
        <v>4.7349882919510297E-4</v>
      </c>
      <c r="U663" s="163">
        <v>4.1086089189493798E-3</v>
      </c>
      <c r="V663" s="163">
        <v>8.8311374581697397E-4</v>
      </c>
      <c r="W663" s="163">
        <v>0.38738647406190602</v>
      </c>
      <c r="X663" s="163">
        <v>5.52037623399638E-3</v>
      </c>
      <c r="Y663" s="163">
        <v>19.1808744685991</v>
      </c>
      <c r="Z663" s="163">
        <v>6.5374485956643696E-4</v>
      </c>
      <c r="AA663" s="163">
        <v>1.4480810804389299</v>
      </c>
      <c r="AB663" s="163">
        <v>1.4476653676128199</v>
      </c>
      <c r="AC663" s="163">
        <v>3.3110965827318298E-4</v>
      </c>
      <c r="AD663" s="163">
        <v>8.4603167837425398E-5</v>
      </c>
      <c r="AE663" s="163">
        <v>2.34344369210698E-7</v>
      </c>
      <c r="AF663" s="163">
        <v>5.57923980962278E-3</v>
      </c>
      <c r="AG663" s="163">
        <v>3.9527082897651801E-6</v>
      </c>
      <c r="AH663" s="163">
        <v>2.1681682890645798E-3</v>
      </c>
      <c r="AI663" s="163">
        <v>2.3831205885041E-2</v>
      </c>
      <c r="AJ663" s="163">
        <v>6.50871025326933E-3</v>
      </c>
      <c r="AK663" s="163">
        <v>1.6635392835810201E-6</v>
      </c>
      <c r="AL663" s="163">
        <v>14.9314443564451</v>
      </c>
      <c r="AM663" s="163">
        <v>1.9886244833052E-2</v>
      </c>
      <c r="AN663" s="163">
        <v>2.30495801061881E-8</v>
      </c>
      <c r="AO663" s="163">
        <v>6.4087145997662104E-2</v>
      </c>
      <c r="AP663" s="163">
        <v>8.9589318481386204</v>
      </c>
      <c r="AQ663" s="163">
        <v>3.1432578120582601E-10</v>
      </c>
      <c r="AR663" s="163">
        <v>6.3100664550100597E-9</v>
      </c>
      <c r="AS663" s="163">
        <v>1.9071665133517599</v>
      </c>
      <c r="AT663" s="163">
        <v>0</v>
      </c>
      <c r="AU663" s="163">
        <v>0</v>
      </c>
      <c r="AV663" s="313">
        <v>8.2070636099077901E-2</v>
      </c>
      <c r="AW663" s="315">
        <v>0</v>
      </c>
      <c r="AX663" s="315">
        <v>0</v>
      </c>
      <c r="AY663" s="313">
        <v>15.8567216497819</v>
      </c>
      <c r="AZ663" s="163">
        <v>0</v>
      </c>
      <c r="BA663" s="163">
        <v>0</v>
      </c>
      <c r="BB663" s="163">
        <v>0</v>
      </c>
      <c r="BC663" s="163">
        <v>7.7185667468631898E-4</v>
      </c>
      <c r="BD663" s="163">
        <v>4.0662310250759001E-5</v>
      </c>
      <c r="BE663" s="163">
        <v>1.7667955322688299E-2</v>
      </c>
      <c r="BF663" s="163">
        <v>1.03774339558545E-4</v>
      </c>
      <c r="BG663" s="163">
        <v>0</v>
      </c>
      <c r="BH663" s="163">
        <v>0</v>
      </c>
      <c r="BI663" s="163">
        <v>0</v>
      </c>
      <c r="BJ663" s="163">
        <v>0</v>
      </c>
      <c r="BK663" s="163">
        <v>0</v>
      </c>
      <c r="BL663" s="62">
        <v>0</v>
      </c>
      <c r="BM663" s="275">
        <v>2</v>
      </c>
      <c r="BN663" s="62">
        <v>0</v>
      </c>
      <c r="BO663" s="33" t="s">
        <v>526</v>
      </c>
    </row>
    <row r="664" spans="1:67">
      <c r="A664" s="33" t="str">
        <f>Database_Productkaarten[[#This Row],[Product]]&amp;", "&amp;Database_Productkaarten[[#This Row],[Levensfase]]</f>
        <v>SMA 8-11 - PCR 2.0, C2</v>
      </c>
      <c r="B664" s="33" t="s">
        <v>540</v>
      </c>
      <c r="C664" s="33" t="s">
        <v>483</v>
      </c>
      <c r="D664" s="33" t="s">
        <v>501</v>
      </c>
      <c r="E664" s="33" t="s">
        <v>378</v>
      </c>
      <c r="F664" s="33" t="s">
        <v>84</v>
      </c>
      <c r="L664" s="33">
        <v>2.35</v>
      </c>
      <c r="M664" s="269">
        <v>1</v>
      </c>
      <c r="N664" s="211">
        <v>0.31791357541832999</v>
      </c>
      <c r="O664" s="33">
        <v>16</v>
      </c>
      <c r="P664" s="163">
        <v>7.2195843000000002E-5</v>
      </c>
      <c r="Q664" s="163">
        <v>2.5045429500000001E-2</v>
      </c>
      <c r="R664" s="163">
        <v>3.2726104581</v>
      </c>
      <c r="S664" s="163">
        <v>6.2448211500000004E-7</v>
      </c>
      <c r="T664" s="163">
        <v>2.3663202E-3</v>
      </c>
      <c r="U664" s="163">
        <v>9.9103019999999993E-3</v>
      </c>
      <c r="V664" s="163">
        <v>1.66070541E-3</v>
      </c>
      <c r="W664" s="163">
        <v>0.89062466159999998</v>
      </c>
      <c r="X664" s="163">
        <v>3.5055542699999998E-2</v>
      </c>
      <c r="Y664" s="163">
        <v>92.682047400000002</v>
      </c>
      <c r="Z664" s="163">
        <v>7.4868390000000003E-3</v>
      </c>
      <c r="AA664" s="163">
        <v>3.3150718431000001</v>
      </c>
      <c r="AB664" s="163">
        <v>3.3001817481</v>
      </c>
      <c r="AC664" s="163">
        <v>1.3607189190000001E-2</v>
      </c>
      <c r="AD664" s="163">
        <v>1.2829113599999999E-3</v>
      </c>
      <c r="AE664" s="163">
        <v>7.8107336699999998E-7</v>
      </c>
      <c r="AF664" s="163">
        <v>1.2482505E-2</v>
      </c>
      <c r="AG664" s="163">
        <v>3.4632532799999998E-5</v>
      </c>
      <c r="AH664" s="163">
        <v>2.8897329300000001E-3</v>
      </c>
      <c r="AI664" s="163">
        <v>3.3662059799999998E-2</v>
      </c>
      <c r="AJ664" s="163">
        <v>1.2098522699999999E-2</v>
      </c>
      <c r="AK664" s="163">
        <v>7.2195510000000004E-5</v>
      </c>
      <c r="AL664" s="163">
        <v>52.307882313</v>
      </c>
      <c r="AM664" s="163">
        <v>0.28570883850000001</v>
      </c>
      <c r="AN664" s="163">
        <v>2.8544027399999998E-7</v>
      </c>
      <c r="AO664" s="163">
        <v>0.22308385950000001</v>
      </c>
      <c r="AP664" s="163">
        <v>50.61443379</v>
      </c>
      <c r="AQ664" s="163">
        <v>1.35209877E-9</v>
      </c>
      <c r="AR664" s="163">
        <v>4.3221490799999998E-8</v>
      </c>
      <c r="AS664" s="163">
        <v>98.528772599999996</v>
      </c>
      <c r="AT664" s="163">
        <v>8.065825212</v>
      </c>
      <c r="AU664" s="163">
        <v>0</v>
      </c>
      <c r="AV664" s="313">
        <v>8.6963547624000004</v>
      </c>
      <c r="AW664" s="315">
        <v>0.70667511750000001</v>
      </c>
      <c r="AX664" s="315">
        <v>9.926829900000001E-4</v>
      </c>
      <c r="AY664" s="313">
        <v>55.561210727999999</v>
      </c>
      <c r="AZ664" s="163">
        <v>0</v>
      </c>
      <c r="BA664" s="163">
        <v>0</v>
      </c>
      <c r="BB664" s="163">
        <v>0</v>
      </c>
      <c r="BC664" s="163">
        <v>8.7338241000000007E-3</v>
      </c>
      <c r="BD664" s="163">
        <v>1.5376752299999999E-4</v>
      </c>
      <c r="BE664" s="163">
        <v>5.5583861609999996</v>
      </c>
      <c r="BF664" s="163">
        <v>3.4865666099999999E-4</v>
      </c>
      <c r="BG664" s="163">
        <v>0</v>
      </c>
      <c r="BH664" s="163">
        <v>0</v>
      </c>
      <c r="BI664" s="163">
        <v>0</v>
      </c>
      <c r="BJ664" s="163">
        <v>0</v>
      </c>
      <c r="BK664" s="163">
        <v>0</v>
      </c>
      <c r="BL664" s="62">
        <v>0</v>
      </c>
      <c r="BM664" s="275">
        <v>2</v>
      </c>
      <c r="BN664" s="62">
        <v>0</v>
      </c>
      <c r="BO664" s="33" t="s">
        <v>526</v>
      </c>
    </row>
    <row r="665" spans="1:67">
      <c r="A665" s="33" t="str">
        <f>Database_Productkaarten[[#This Row],[Product]]&amp;", "&amp;Database_Productkaarten[[#This Row],[Levensfase]]</f>
        <v>SMA 8-11 - PCR 2.0, C3</v>
      </c>
      <c r="B665" s="33" t="s">
        <v>540</v>
      </c>
      <c r="C665" s="33" t="s">
        <v>483</v>
      </c>
      <c r="D665" s="33" t="s">
        <v>501</v>
      </c>
      <c r="E665" s="33" t="s">
        <v>378</v>
      </c>
      <c r="F665" s="33" t="s">
        <v>85</v>
      </c>
      <c r="L665" s="33">
        <v>2.35</v>
      </c>
      <c r="M665" s="269">
        <v>1</v>
      </c>
      <c r="N665" s="211">
        <v>0.15929996470859115</v>
      </c>
      <c r="O665" s="33">
        <v>16</v>
      </c>
      <c r="P665" s="163">
        <v>1.8651950452723701E-6</v>
      </c>
      <c r="Q665" s="163">
        <v>7.9345026906544498E-3</v>
      </c>
      <c r="R665" s="163">
        <v>1.61366519032711</v>
      </c>
      <c r="S665" s="163">
        <v>2.0852500905611699E-7</v>
      </c>
      <c r="T665" s="163">
        <v>5.8559282781739104E-4</v>
      </c>
      <c r="U665" s="163">
        <v>5.7290956060941298E-3</v>
      </c>
      <c r="V665" s="163">
        <v>1.2820009422794801E-3</v>
      </c>
      <c r="W665" s="163">
        <v>0.43705340603001602</v>
      </c>
      <c r="X665" s="163">
        <v>6.1895127472080501E-3</v>
      </c>
      <c r="Y665" s="163">
        <v>21.505828949641401</v>
      </c>
      <c r="Z665" s="163">
        <v>7.32986660726004E-4</v>
      </c>
      <c r="AA665" s="163">
        <v>1.62432602382546</v>
      </c>
      <c r="AB665" s="163">
        <v>1.62385992156589</v>
      </c>
      <c r="AC665" s="163">
        <v>3.7124416230629803E-4</v>
      </c>
      <c r="AD665" s="163">
        <v>9.4858097272264901E-5</v>
      </c>
      <c r="AE665" s="163">
        <v>2.62749747296844E-7</v>
      </c>
      <c r="AF665" s="163">
        <v>7.9167720592731097E-3</v>
      </c>
      <c r="AG665" s="163">
        <v>4.4318244461003603E-6</v>
      </c>
      <c r="AH665" s="163">
        <v>3.3042609377385902E-3</v>
      </c>
      <c r="AI665" s="163">
        <v>3.6283310992313397E-2</v>
      </c>
      <c r="AJ665" s="163">
        <v>9.6537099748764208E-3</v>
      </c>
      <c r="AK665" s="163">
        <v>1.86518040886357E-6</v>
      </c>
      <c r="AL665" s="163">
        <v>16.7413163996506</v>
      </c>
      <c r="AM665" s="163">
        <v>2.2296698752209701E-2</v>
      </c>
      <c r="AN665" s="163">
        <v>3.0576571358147701E-8</v>
      </c>
      <c r="AO665" s="163">
        <v>7.1855284906469793E-2</v>
      </c>
      <c r="AP665" s="163">
        <v>10.045649855578199</v>
      </c>
      <c r="AQ665" s="163">
        <v>3.5242587589744399E-10</v>
      </c>
      <c r="AR665" s="163">
        <v>7.5755651453537404E-9</v>
      </c>
      <c r="AS665" s="163">
        <v>2.1383382119398502</v>
      </c>
      <c r="AT665" s="163">
        <v>0</v>
      </c>
      <c r="AU665" s="163">
        <v>0</v>
      </c>
      <c r="AV665" s="313">
        <v>9.2018591989875095E-2</v>
      </c>
      <c r="AW665" s="315">
        <v>0</v>
      </c>
      <c r="AX665" s="315">
        <v>0</v>
      </c>
      <c r="AY665" s="313">
        <v>17.778748516422102</v>
      </c>
      <c r="AZ665" s="163">
        <v>0</v>
      </c>
      <c r="BA665" s="163">
        <v>0</v>
      </c>
      <c r="BB665" s="163">
        <v>0</v>
      </c>
      <c r="BC665" s="163">
        <v>8.65415059496781E-4</v>
      </c>
      <c r="BD665" s="163">
        <v>4.5591075129638897E-5</v>
      </c>
      <c r="BE665" s="163">
        <v>1.9809525664832298E-2</v>
      </c>
      <c r="BF665" s="163">
        <v>1.16353047383823E-4</v>
      </c>
      <c r="BG665" s="163">
        <v>0</v>
      </c>
      <c r="BH665" s="163">
        <v>1000</v>
      </c>
      <c r="BI665" s="163">
        <v>0</v>
      </c>
      <c r="BJ665" s="163">
        <v>0</v>
      </c>
      <c r="BK665" s="163">
        <v>0</v>
      </c>
      <c r="BL665" s="62">
        <v>0</v>
      </c>
      <c r="BM665" s="275">
        <v>2</v>
      </c>
      <c r="BN665" s="62">
        <v>0</v>
      </c>
      <c r="BO665" s="33" t="s">
        <v>526</v>
      </c>
    </row>
    <row r="666" spans="1:67">
      <c r="A666" s="33" t="str">
        <f>Database_Productkaarten[[#This Row],[Product]]&amp;", "&amp;Database_Productkaarten[[#This Row],[Levensfase]]</f>
        <v>SMA 8-11 - PCR 2.0, C4</v>
      </c>
      <c r="B666" s="33" t="s">
        <v>540</v>
      </c>
      <c r="C666" s="33" t="s">
        <v>483</v>
      </c>
      <c r="D666" s="33" t="s">
        <v>501</v>
      </c>
      <c r="E666" s="33" t="s">
        <v>378</v>
      </c>
      <c r="F666" s="33" t="s">
        <v>86</v>
      </c>
      <c r="L666" s="33">
        <v>2.35</v>
      </c>
      <c r="M666" s="269">
        <v>1</v>
      </c>
      <c r="N666" s="211">
        <v>0</v>
      </c>
      <c r="O666" s="33">
        <v>16</v>
      </c>
      <c r="P666" s="163">
        <v>0</v>
      </c>
      <c r="Q666" s="163">
        <v>0</v>
      </c>
      <c r="R666" s="163">
        <v>0</v>
      </c>
      <c r="S666" s="163">
        <v>0</v>
      </c>
      <c r="T666" s="163">
        <v>0</v>
      </c>
      <c r="U666" s="163">
        <v>0</v>
      </c>
      <c r="V666" s="163">
        <v>0</v>
      </c>
      <c r="W666" s="163">
        <v>0</v>
      </c>
      <c r="X666" s="163">
        <v>0</v>
      </c>
      <c r="Y666" s="163">
        <v>0</v>
      </c>
      <c r="Z666" s="163">
        <v>0</v>
      </c>
      <c r="AA666" s="163">
        <v>0</v>
      </c>
      <c r="AB666" s="163">
        <v>0</v>
      </c>
      <c r="AC666" s="163">
        <v>0</v>
      </c>
      <c r="AD666" s="163">
        <v>0</v>
      </c>
      <c r="AE666" s="163">
        <v>0</v>
      </c>
      <c r="AF666" s="163">
        <v>0</v>
      </c>
      <c r="AG666" s="163">
        <v>0</v>
      </c>
      <c r="AH666" s="163">
        <v>0</v>
      </c>
      <c r="AI666" s="163">
        <v>0</v>
      </c>
      <c r="AJ666" s="163">
        <v>0</v>
      </c>
      <c r="AK666" s="163">
        <v>0</v>
      </c>
      <c r="AL666" s="163">
        <v>0</v>
      </c>
      <c r="AM666" s="163">
        <v>0</v>
      </c>
      <c r="AN666" s="163">
        <v>0</v>
      </c>
      <c r="AO666" s="163">
        <v>0</v>
      </c>
      <c r="AP666" s="163">
        <v>0</v>
      </c>
      <c r="AQ666" s="163">
        <v>0</v>
      </c>
      <c r="AR666" s="163">
        <v>0</v>
      </c>
      <c r="AS666" s="163">
        <v>0</v>
      </c>
      <c r="AT666" s="163">
        <v>0</v>
      </c>
      <c r="AU666" s="163">
        <v>0</v>
      </c>
      <c r="AV666" s="313">
        <v>0</v>
      </c>
      <c r="AW666" s="315">
        <v>0</v>
      </c>
      <c r="AX666" s="315">
        <v>0</v>
      </c>
      <c r="AY666" s="313">
        <v>0</v>
      </c>
      <c r="AZ666" s="163">
        <v>0</v>
      </c>
      <c r="BA666" s="163">
        <v>0</v>
      </c>
      <c r="BB666" s="163">
        <v>0</v>
      </c>
      <c r="BC666" s="163">
        <v>0</v>
      </c>
      <c r="BD666" s="163">
        <v>0</v>
      </c>
      <c r="BE666" s="163">
        <v>0</v>
      </c>
      <c r="BF666" s="163">
        <v>0</v>
      </c>
      <c r="BG666" s="163">
        <v>0</v>
      </c>
      <c r="BH666" s="163">
        <v>0</v>
      </c>
      <c r="BI666" s="163">
        <v>0</v>
      </c>
      <c r="BJ666" s="163">
        <v>0</v>
      </c>
      <c r="BK666" s="163">
        <v>0</v>
      </c>
      <c r="BL666" s="62">
        <v>0</v>
      </c>
      <c r="BM666" s="275">
        <v>2</v>
      </c>
      <c r="BN666" s="62">
        <v>0</v>
      </c>
      <c r="BO666" s="33" t="s">
        <v>526</v>
      </c>
    </row>
    <row r="667" spans="1:67">
      <c r="A667" s="33" t="str">
        <f>Database_Productkaarten[[#This Row],[Product]]&amp;", "&amp;Database_Productkaarten[[#This Row],[Levensfase]]</f>
        <v>SMA 8-11 - PCR 2.0, D</v>
      </c>
      <c r="B667" s="33" t="s">
        <v>540</v>
      </c>
      <c r="C667" s="33" t="s">
        <v>483</v>
      </c>
      <c r="D667" s="33" t="s">
        <v>501</v>
      </c>
      <c r="E667" s="33" t="s">
        <v>378</v>
      </c>
      <c r="F667" s="33" t="s">
        <v>89</v>
      </c>
      <c r="L667" s="33">
        <v>2.35</v>
      </c>
      <c r="M667" s="269">
        <v>1</v>
      </c>
      <c r="N667" s="211">
        <v>-4.3679865488092933</v>
      </c>
      <c r="O667" s="33">
        <v>16</v>
      </c>
      <c r="P667" s="163">
        <v>-4.9038813859920798E-4</v>
      </c>
      <c r="Q667" s="163">
        <v>-0.74558617423518103</v>
      </c>
      <c r="R667" s="163">
        <v>-32.476786311141801</v>
      </c>
      <c r="S667" s="163">
        <v>-2.7847203883364602E-6</v>
      </c>
      <c r="T667" s="163">
        <v>-8.0189532019673396E-2</v>
      </c>
      <c r="U667" s="163">
        <v>-0.22941796175554</v>
      </c>
      <c r="V667" s="163">
        <v>-2.1887334272647399E-2</v>
      </c>
      <c r="W667" s="163">
        <v>-8.9008105297931799</v>
      </c>
      <c r="X667" s="163">
        <v>-1.15579790407793</v>
      </c>
      <c r="Y667" s="163">
        <v>-5047.7740648741501</v>
      </c>
      <c r="Z667" s="163">
        <v>-0.15217051423792999</v>
      </c>
      <c r="AA667" s="163">
        <v>-8.6996418853775808</v>
      </c>
      <c r="AB667" s="163">
        <v>-8.5956686025039204</v>
      </c>
      <c r="AC667" s="163">
        <v>-9.3379172133634794E-2</v>
      </c>
      <c r="AD667" s="163">
        <v>-1.0594110740005901E-2</v>
      </c>
      <c r="AE667" s="163">
        <v>-1.1395939803902499E-6</v>
      </c>
      <c r="AF667" s="163">
        <v>-8.4050570214687398E-2</v>
      </c>
      <c r="AG667" s="163">
        <v>-3.67338482887708E-4</v>
      </c>
      <c r="AH667" s="163">
        <v>-2.4828159470133001E-2</v>
      </c>
      <c r="AI667" s="163">
        <v>-0.31243681395224299</v>
      </c>
      <c r="AJ667" s="163">
        <v>-7.7086420246335496E-2</v>
      </c>
      <c r="AK667" s="163">
        <v>-4.8699678888744198E-4</v>
      </c>
      <c r="AL667" s="163">
        <v>-125.345591238572</v>
      </c>
      <c r="AM667" s="163">
        <v>-30.720181768214101</v>
      </c>
      <c r="AN667" s="163">
        <v>-1.1872978141430501E-6</v>
      </c>
      <c r="AO667" s="163">
        <v>-0.67077370104912104</v>
      </c>
      <c r="AP667" s="163">
        <v>-1140.60845371149</v>
      </c>
      <c r="AQ667" s="163">
        <v>-6.3431836105224197E-9</v>
      </c>
      <c r="AR667" s="163">
        <v>-1.4494123752886999E-7</v>
      </c>
      <c r="AS667" s="163">
        <v>-1407.4485166152299</v>
      </c>
      <c r="AT667" s="163">
        <v>0</v>
      </c>
      <c r="AU667" s="163">
        <v>0</v>
      </c>
      <c r="AV667" s="313">
        <v>-16.262675846024901</v>
      </c>
      <c r="AW667" s="315">
        <v>0</v>
      </c>
      <c r="AX667" s="315">
        <v>0</v>
      </c>
      <c r="AY667" s="313">
        <v>-1683.8722526816</v>
      </c>
      <c r="AZ667" s="163">
        <v>0</v>
      </c>
      <c r="BA667" s="163">
        <v>0</v>
      </c>
      <c r="BB667" s="163">
        <v>0</v>
      </c>
      <c r="BC667" s="163">
        <v>-17.998471224775599</v>
      </c>
      <c r="BD667" s="163">
        <v>-7.7956597636366501E-4</v>
      </c>
      <c r="BE667" s="163">
        <v>-3.0846445632671</v>
      </c>
      <c r="BF667" s="163">
        <v>-9.1037908697752697E-4</v>
      </c>
      <c r="BG667" s="163">
        <v>0</v>
      </c>
      <c r="BH667" s="163">
        <v>0</v>
      </c>
      <c r="BI667" s="163">
        <v>0</v>
      </c>
      <c r="BJ667" s="163">
        <v>0</v>
      </c>
      <c r="BK667" s="163">
        <v>0</v>
      </c>
      <c r="BL667" s="62">
        <v>0</v>
      </c>
      <c r="BM667" s="275">
        <v>2</v>
      </c>
      <c r="BN667" s="62">
        <v>0</v>
      </c>
      <c r="BO667" s="33" t="s">
        <v>526</v>
      </c>
    </row>
    <row r="668" spans="1:67">
      <c r="A668" s="33" t="str">
        <f>Database_Productkaarten[[#This Row],[Product]]&amp;", "&amp;Database_Productkaarten[[#This Row],[Levensfase]]</f>
        <v>SMA 8-11 G.M. - PCR 2.0, Totaal</v>
      </c>
      <c r="B668" s="33" t="s">
        <v>541</v>
      </c>
      <c r="C668" s="33" t="s">
        <v>483</v>
      </c>
      <c r="D668" s="33" t="s">
        <v>501</v>
      </c>
      <c r="E668" s="33" t="s">
        <v>378</v>
      </c>
      <c r="F668" s="33" t="s">
        <v>90</v>
      </c>
      <c r="L668" s="33">
        <v>2.35</v>
      </c>
      <c r="M668" s="269">
        <v>1</v>
      </c>
      <c r="N668" s="41">
        <f>SUM(N669:N684)</f>
        <v>28.575376235912074</v>
      </c>
      <c r="O668" s="33">
        <v>16</v>
      </c>
      <c r="P668" s="40">
        <f>SUM(P669:P684)</f>
        <v>1.6558902240141993E-2</v>
      </c>
      <c r="Q668" s="40">
        <f t="shared" ref="Q668:BK668" si="75">SUM(Q669:Q684)</f>
        <v>3.6145648949275495</v>
      </c>
      <c r="R668" s="40">
        <f t="shared" si="75"/>
        <v>251.45309503374068</v>
      </c>
      <c r="S668" s="40">
        <f t="shared" si="75"/>
        <v>3.0720191682361441E-5</v>
      </c>
      <c r="T668" s="40">
        <f t="shared" si="75"/>
        <v>0.32329531909201747</v>
      </c>
      <c r="U668" s="40">
        <f t="shared" si="75"/>
        <v>1.2458105357443279</v>
      </c>
      <c r="V668" s="40">
        <f t="shared" si="75"/>
        <v>0.16839528740028065</v>
      </c>
      <c r="W668" s="40">
        <f t="shared" si="75"/>
        <v>68.767178699117764</v>
      </c>
      <c r="X668" s="40">
        <f t="shared" si="75"/>
        <v>4.9273580535119867</v>
      </c>
      <c r="Y668" s="40">
        <f t="shared" si="75"/>
        <v>18979.948638146292</v>
      </c>
      <c r="Z668" s="40">
        <f t="shared" si="75"/>
        <v>0.67613358038805282</v>
      </c>
      <c r="AA668" s="40">
        <f t="shared" si="75"/>
        <v>284.61373649224981</v>
      </c>
      <c r="AB668" s="40">
        <f t="shared" si="75"/>
        <v>285.16305900435049</v>
      </c>
      <c r="AC668" s="40">
        <f t="shared" si="75"/>
        <v>-0.67771059238582221</v>
      </c>
      <c r="AD668" s="40">
        <f t="shared" si="75"/>
        <v>0.2052552636348777</v>
      </c>
      <c r="AE668" s="40">
        <f t="shared" si="75"/>
        <v>3.9359810548897417E-5</v>
      </c>
      <c r="AF668" s="40">
        <f t="shared" si="75"/>
        <v>1.7451564562567301</v>
      </c>
      <c r="AG668" s="40">
        <f t="shared" si="75"/>
        <v>4.6105992491164991E-3</v>
      </c>
      <c r="AH668" s="40">
        <f t="shared" si="75"/>
        <v>0.40485989695614394</v>
      </c>
      <c r="AI668" s="40">
        <f t="shared" si="75"/>
        <v>4.3073227613493748</v>
      </c>
      <c r="AJ668" s="40">
        <f t="shared" si="75"/>
        <v>1.791440154423265</v>
      </c>
      <c r="AK668" s="40">
        <f t="shared" si="75"/>
        <v>1.6562118840820268E-2</v>
      </c>
      <c r="AL668" s="40">
        <f t="shared" si="75"/>
        <v>8942.2340494809905</v>
      </c>
      <c r="AM668" s="40">
        <f t="shared" si="75"/>
        <v>116.72708468718481</v>
      </c>
      <c r="AN668" s="40">
        <f t="shared" si="75"/>
        <v>8.904164152350685E-6</v>
      </c>
      <c r="AO668" s="40">
        <f t="shared" si="75"/>
        <v>11.09257408329738</v>
      </c>
      <c r="AP668" s="40">
        <f t="shared" si="75"/>
        <v>8593.9923822424971</v>
      </c>
      <c r="AQ668" s="40">
        <f t="shared" si="75"/>
        <v>9.4187224382117275E-8</v>
      </c>
      <c r="AR668" s="40">
        <f t="shared" si="75"/>
        <v>2.9829919192202071E-6</v>
      </c>
      <c r="AS668" s="40">
        <f t="shared" si="75"/>
        <v>972.58262682991221</v>
      </c>
      <c r="AT668" s="40">
        <f t="shared" si="75"/>
        <v>8.065825212</v>
      </c>
      <c r="AU668" s="40">
        <f t="shared" si="75"/>
        <v>0</v>
      </c>
      <c r="AV668" s="313">
        <f t="shared" si="75"/>
        <v>139.74474572835547</v>
      </c>
      <c r="AW668" s="317">
        <f t="shared" si="75"/>
        <v>0.70667511750000001</v>
      </c>
      <c r="AX668" s="317">
        <f t="shared" si="75"/>
        <v>9.926829900000001E-4</v>
      </c>
      <c r="AY668" s="313">
        <f t="shared" si="75"/>
        <v>7994.1089453445857</v>
      </c>
      <c r="AZ668" s="40">
        <f t="shared" si="75"/>
        <v>0</v>
      </c>
      <c r="BA668" s="40">
        <f t="shared" si="75"/>
        <v>0</v>
      </c>
      <c r="BB668" s="40">
        <f t="shared" si="75"/>
        <v>0</v>
      </c>
      <c r="BC668" s="40">
        <f t="shared" si="75"/>
        <v>-14.27038116072713</v>
      </c>
      <c r="BD668" s="40">
        <f t="shared" si="75"/>
        <v>5.7821666316587705E-3</v>
      </c>
      <c r="BE668" s="40">
        <f t="shared" si="75"/>
        <v>34.363968262214883</v>
      </c>
      <c r="BF668" s="40">
        <f t="shared" si="75"/>
        <v>1.2992518341923361E-2</v>
      </c>
      <c r="BG668" s="40">
        <f t="shared" si="75"/>
        <v>0</v>
      </c>
      <c r="BH668" s="40">
        <f t="shared" si="75"/>
        <v>1000</v>
      </c>
      <c r="BI668" s="40">
        <f t="shared" si="75"/>
        <v>0</v>
      </c>
      <c r="BJ668" s="40">
        <f t="shared" si="75"/>
        <v>0</v>
      </c>
      <c r="BK668" s="40">
        <f t="shared" si="75"/>
        <v>0</v>
      </c>
      <c r="BL668" s="62">
        <v>0</v>
      </c>
      <c r="BM668" s="275">
        <v>2</v>
      </c>
      <c r="BN668" s="62">
        <v>0</v>
      </c>
      <c r="BO668" s="33" t="s">
        <v>526</v>
      </c>
    </row>
    <row r="669" spans="1:67">
      <c r="A669" s="33" t="str">
        <f>Database_Productkaarten[[#This Row],[Product]]&amp;", "&amp;Database_Productkaarten[[#This Row],[Levensfase]]</f>
        <v>SMA 8-11 G.M. - PCR 2.0, A1</v>
      </c>
      <c r="B669" s="33" t="s">
        <v>541</v>
      </c>
      <c r="C669" s="33" t="s">
        <v>483</v>
      </c>
      <c r="D669" s="33" t="s">
        <v>501</v>
      </c>
      <c r="E669" s="33" t="s">
        <v>378</v>
      </c>
      <c r="F669" s="33" t="s">
        <v>74</v>
      </c>
      <c r="L669" s="33">
        <v>2.35</v>
      </c>
      <c r="M669" s="269">
        <v>1</v>
      </c>
      <c r="N669" s="211">
        <v>10.639894525209048</v>
      </c>
      <c r="O669" s="33">
        <v>16</v>
      </c>
      <c r="P669" s="163">
        <v>8.1116501476564806E-3</v>
      </c>
      <c r="Q669" s="163">
        <v>1.76026520670717</v>
      </c>
      <c r="R669" s="163">
        <v>83.506219487724707</v>
      </c>
      <c r="S669" s="163">
        <v>8.8084434503888407E-6</v>
      </c>
      <c r="T669" s="163">
        <v>0.17728795188600599</v>
      </c>
      <c r="U669" s="163">
        <v>0.49506848531023201</v>
      </c>
      <c r="V669" s="163">
        <v>4.3114729904972698E-2</v>
      </c>
      <c r="W669" s="163">
        <v>25.374008762258701</v>
      </c>
      <c r="X669" s="163">
        <v>2.5055774878257502</v>
      </c>
      <c r="Y669" s="163">
        <v>10790.6873549709</v>
      </c>
      <c r="Z669" s="163">
        <v>0.34332895882812697</v>
      </c>
      <c r="AA669" s="163">
        <v>87.459607247361006</v>
      </c>
      <c r="AB669" s="163">
        <v>87.842582712182093</v>
      </c>
      <c r="AC669" s="163">
        <v>-0.40088927553395798</v>
      </c>
      <c r="AD669" s="163">
        <v>5.6347410712814301E-2</v>
      </c>
      <c r="AE669" s="163">
        <v>1.06512581571845E-5</v>
      </c>
      <c r="AF669" s="163">
        <v>0.58126851714593197</v>
      </c>
      <c r="AG669" s="163">
        <v>1.8115577375154501E-3</v>
      </c>
      <c r="AH669" s="163">
        <v>8.0980087301939105E-2</v>
      </c>
      <c r="AI669" s="163">
        <v>0.83265452730266498</v>
      </c>
      <c r="AJ669" s="163">
        <v>0.54265210596805102</v>
      </c>
      <c r="AK669" s="163">
        <v>8.1115760928254007E-3</v>
      </c>
      <c r="AL669" s="163">
        <v>3707.36295732179</v>
      </c>
      <c r="AM669" s="163">
        <v>71.113602539295002</v>
      </c>
      <c r="AN669" s="163">
        <v>3.5145606202932598E-6</v>
      </c>
      <c r="AO669" s="163">
        <v>3.57048552144047</v>
      </c>
      <c r="AP669" s="163">
        <v>4375.3098093517201</v>
      </c>
      <c r="AQ669" s="163">
        <v>3.11435434569271E-8</v>
      </c>
      <c r="AR669" s="163">
        <v>1.16954788884471E-6</v>
      </c>
      <c r="AS669" s="163">
        <v>780.49854501030097</v>
      </c>
      <c r="AT669" s="163">
        <v>0</v>
      </c>
      <c r="AU669" s="163">
        <v>0</v>
      </c>
      <c r="AV669" s="313">
        <v>57.385766380121098</v>
      </c>
      <c r="AW669" s="315">
        <v>0</v>
      </c>
      <c r="AX669" s="315">
        <v>0</v>
      </c>
      <c r="AY669" s="313">
        <v>3947.6040916288998</v>
      </c>
      <c r="AZ669" s="163">
        <v>0</v>
      </c>
      <c r="BA669" s="163">
        <v>0</v>
      </c>
      <c r="BB669" s="163">
        <v>0</v>
      </c>
      <c r="BC669" s="163">
        <v>1.74243451146163</v>
      </c>
      <c r="BD669" s="163">
        <v>1.61894294978207E-3</v>
      </c>
      <c r="BE669" s="163">
        <v>6.8205435516451001</v>
      </c>
      <c r="BF669" s="163">
        <v>3.50605883468456E-3</v>
      </c>
      <c r="BG669" s="163">
        <v>0</v>
      </c>
      <c r="BH669" s="163">
        <v>0</v>
      </c>
      <c r="BI669" s="163">
        <v>0</v>
      </c>
      <c r="BJ669" s="163">
        <v>0</v>
      </c>
      <c r="BK669" s="163">
        <v>0</v>
      </c>
      <c r="BL669" s="62">
        <v>0</v>
      </c>
      <c r="BM669" s="275">
        <v>2</v>
      </c>
      <c r="BN669" s="62">
        <v>0</v>
      </c>
      <c r="BO669" s="33" t="s">
        <v>526</v>
      </c>
    </row>
    <row r="670" spans="1:67">
      <c r="A670" s="33" t="str">
        <f>Database_Productkaarten[[#This Row],[Product]]&amp;", "&amp;Database_Productkaarten[[#This Row],[Levensfase]]</f>
        <v>SMA 8-11 G.M. - PCR 2.0, A2</v>
      </c>
      <c r="B670" s="33" t="s">
        <v>541</v>
      </c>
      <c r="C670" s="33" t="s">
        <v>483</v>
      </c>
      <c r="D670" s="33" t="s">
        <v>501</v>
      </c>
      <c r="E670" s="33" t="s">
        <v>378</v>
      </c>
      <c r="F670" s="33" t="s">
        <v>75</v>
      </c>
      <c r="L670" s="33">
        <v>2.35</v>
      </c>
      <c r="M670" s="269">
        <v>1</v>
      </c>
      <c r="N670" s="211">
        <v>3.5149555011492208</v>
      </c>
      <c r="O670" s="33">
        <v>16</v>
      </c>
      <c r="P670" s="163">
        <v>3.15409109033715E-4</v>
      </c>
      <c r="Q670" s="163">
        <v>0.18673570054420999</v>
      </c>
      <c r="R670" s="163">
        <v>29.4204471561074</v>
      </c>
      <c r="S670" s="163">
        <v>4.3762436699706401E-6</v>
      </c>
      <c r="T670" s="163">
        <v>1.7368824561244601E-2</v>
      </c>
      <c r="U670" s="163">
        <v>0.19751559856913001</v>
      </c>
      <c r="V670" s="163">
        <v>4.3667386215602802E-2</v>
      </c>
      <c r="W670" s="163">
        <v>7.9919663600198696</v>
      </c>
      <c r="X670" s="163">
        <v>0.208071759508316</v>
      </c>
      <c r="Y670" s="163">
        <v>683.63063167459904</v>
      </c>
      <c r="Z670" s="163">
        <v>3.6416179921682099E-2</v>
      </c>
      <c r="AA670" s="163">
        <v>29.757736892347399</v>
      </c>
      <c r="AB670" s="163">
        <v>29.666868137562599</v>
      </c>
      <c r="AC670" s="163">
        <v>4.2663662403156E-2</v>
      </c>
      <c r="AD670" s="163">
        <v>4.8205092381574298E-2</v>
      </c>
      <c r="AE670" s="163">
        <v>5.4441596657991798E-6</v>
      </c>
      <c r="AF670" s="163">
        <v>0.27449764144521599</v>
      </c>
      <c r="AG670" s="163">
        <v>3.4779285348861402E-4</v>
      </c>
      <c r="AH670" s="163">
        <v>0.115521320292024</v>
      </c>
      <c r="AI670" s="163">
        <v>1.27163949767505</v>
      </c>
      <c r="AJ670" s="163">
        <v>0.33083446199487099</v>
      </c>
      <c r="AK670" s="163">
        <v>3.1539636362244299E-4</v>
      </c>
      <c r="AL670" s="163">
        <v>387.02885351671802</v>
      </c>
      <c r="AM670" s="163">
        <v>1.74413921138223</v>
      </c>
      <c r="AN670" s="163">
        <v>9.9169364622139895E-7</v>
      </c>
      <c r="AO670" s="163">
        <v>1.6680933334801999</v>
      </c>
      <c r="AP670" s="163">
        <v>342.63130106348302</v>
      </c>
      <c r="AQ670" s="163">
        <v>1.38976898431559E-8</v>
      </c>
      <c r="AR670" s="163">
        <v>2.6083810012089001E-7</v>
      </c>
      <c r="AS670" s="163">
        <v>303.29696537739397</v>
      </c>
      <c r="AT670" s="163">
        <v>0</v>
      </c>
      <c r="AU670" s="163">
        <v>0</v>
      </c>
      <c r="AV670" s="313">
        <v>8.3189976803714405</v>
      </c>
      <c r="AW670" s="315">
        <v>0</v>
      </c>
      <c r="AX670" s="315">
        <v>0</v>
      </c>
      <c r="AY670" s="313">
        <v>410.74352781212599</v>
      </c>
      <c r="AZ670" s="163">
        <v>0</v>
      </c>
      <c r="BA670" s="163">
        <v>0</v>
      </c>
      <c r="BB670" s="163">
        <v>0</v>
      </c>
      <c r="BC670" s="163">
        <v>6.9041298775639096E-2</v>
      </c>
      <c r="BD670" s="163">
        <v>1.00344268087237E-3</v>
      </c>
      <c r="BE670" s="163">
        <v>6.07132751019134</v>
      </c>
      <c r="BF670" s="163">
        <v>2.5142945504070999E-3</v>
      </c>
      <c r="BG670" s="163">
        <v>0</v>
      </c>
      <c r="BH670" s="163">
        <v>0</v>
      </c>
      <c r="BI670" s="163">
        <v>0</v>
      </c>
      <c r="BJ670" s="163">
        <v>0</v>
      </c>
      <c r="BK670" s="163">
        <v>0</v>
      </c>
      <c r="BL670" s="62">
        <v>0</v>
      </c>
      <c r="BM670" s="275">
        <v>2</v>
      </c>
      <c r="BN670" s="62">
        <v>0</v>
      </c>
      <c r="BO670" s="33" t="s">
        <v>526</v>
      </c>
    </row>
    <row r="671" spans="1:67">
      <c r="A671" s="33" t="str">
        <f>Database_Productkaarten[[#This Row],[Product]]&amp;", "&amp;Database_Productkaarten[[#This Row],[Levensfase]]</f>
        <v>SMA 8-11 G.M. - PCR 2.0, A3</v>
      </c>
      <c r="B671" s="33" t="s">
        <v>541</v>
      </c>
      <c r="C671" s="33" t="s">
        <v>483</v>
      </c>
      <c r="D671" s="33" t="s">
        <v>501</v>
      </c>
      <c r="E671" s="33" t="s">
        <v>378</v>
      </c>
      <c r="F671" s="33" t="s">
        <v>76</v>
      </c>
      <c r="L671" s="33">
        <v>2.35</v>
      </c>
      <c r="M671" s="269">
        <v>1</v>
      </c>
      <c r="N671" s="211">
        <v>1.633806244071959</v>
      </c>
      <c r="O671" s="33">
        <v>16</v>
      </c>
      <c r="P671" s="163">
        <v>2.3994972756162101E-5</v>
      </c>
      <c r="Q671" s="163">
        <v>0.19197042269683501</v>
      </c>
      <c r="R671" s="163">
        <v>22.616190433793999</v>
      </c>
      <c r="S671" s="163">
        <v>2.5169753019766699E-6</v>
      </c>
      <c r="T671" s="163">
        <v>3.6636727658607101E-3</v>
      </c>
      <c r="U671" s="163">
        <v>2.3087557911507999E-2</v>
      </c>
      <c r="V671" s="163">
        <v>3.96019903873027E-3</v>
      </c>
      <c r="W671" s="163">
        <v>3.5975028490102199</v>
      </c>
      <c r="X671" s="163">
        <v>2.6245655050666498E-2</v>
      </c>
      <c r="Y671" s="163">
        <v>107.104037193396</v>
      </c>
      <c r="Z671" s="163">
        <v>2.6828466466000199E-2</v>
      </c>
      <c r="AA671" s="163">
        <v>22.958522646512801</v>
      </c>
      <c r="AB671" s="163">
        <v>22.898833802127498</v>
      </c>
      <c r="AC671" s="163">
        <v>5.7623425289260399E-2</v>
      </c>
      <c r="AD671" s="163">
        <v>2.0654190960719999E-3</v>
      </c>
      <c r="AE671" s="163">
        <v>2.8343803997564699E-6</v>
      </c>
      <c r="AF671" s="163">
        <v>2.9650949823188399E-2</v>
      </c>
      <c r="AG671" s="163">
        <v>2.9071515590315999E-4</v>
      </c>
      <c r="AH671" s="163">
        <v>8.2075074792283195E-3</v>
      </c>
      <c r="AI671" s="163">
        <v>9.31056206100499E-2</v>
      </c>
      <c r="AJ671" s="163">
        <v>2.7928125773848501E-2</v>
      </c>
      <c r="AK671" s="163">
        <v>2.39946457987965E-5</v>
      </c>
      <c r="AL671" s="163">
        <v>353.08571285758501</v>
      </c>
      <c r="AM671" s="163">
        <v>0.57799269452650104</v>
      </c>
      <c r="AN671" s="163">
        <v>1.96006277380364E-7</v>
      </c>
      <c r="AO671" s="163">
        <v>0.27292047094947702</v>
      </c>
      <c r="AP671" s="163">
        <v>82.123051666601498</v>
      </c>
      <c r="AQ671" s="163">
        <v>2.91397728013967E-9</v>
      </c>
      <c r="AR671" s="163">
        <v>5.2689314599103502E-8</v>
      </c>
      <c r="AS671" s="163">
        <v>17.3535060562707</v>
      </c>
      <c r="AT671" s="163">
        <v>0</v>
      </c>
      <c r="AU671" s="163">
        <v>0</v>
      </c>
      <c r="AV671" s="313">
        <v>7.4742275570227799</v>
      </c>
      <c r="AW671" s="315">
        <v>0</v>
      </c>
      <c r="AX671" s="315">
        <v>0</v>
      </c>
      <c r="AY671" s="313">
        <v>388.97739063329101</v>
      </c>
      <c r="AZ671" s="163">
        <v>0</v>
      </c>
      <c r="BA671" s="163">
        <v>0</v>
      </c>
      <c r="BB671" s="163">
        <v>0</v>
      </c>
      <c r="BC671" s="163">
        <v>4.3331985572712797E-2</v>
      </c>
      <c r="BD671" s="163">
        <v>4.2538271470696199E-4</v>
      </c>
      <c r="BE671" s="163">
        <v>0.287202487775293</v>
      </c>
      <c r="BF671" s="163">
        <v>3.4293279689086097E-4</v>
      </c>
      <c r="BG671" s="163">
        <v>0</v>
      </c>
      <c r="BH671" s="163">
        <v>0</v>
      </c>
      <c r="BI671" s="163">
        <v>0</v>
      </c>
      <c r="BJ671" s="163">
        <v>0</v>
      </c>
      <c r="BK671" s="163">
        <v>0</v>
      </c>
      <c r="BL671" s="62">
        <v>0</v>
      </c>
      <c r="BM671" s="275">
        <v>2</v>
      </c>
      <c r="BN671" s="62">
        <v>0</v>
      </c>
      <c r="BO671" s="33" t="s">
        <v>526</v>
      </c>
    </row>
    <row r="672" spans="1:67">
      <c r="A672" s="33" t="str">
        <f>Database_Productkaarten[[#This Row],[Product]]&amp;", "&amp;Database_Productkaarten[[#This Row],[Levensfase]]</f>
        <v>SMA 8-11 G.M. - PCR 2.0, A1-A3</v>
      </c>
      <c r="B672" s="33" t="str">
        <f>B671</f>
        <v>SMA 8-11 G.M. - PCR 2.0</v>
      </c>
      <c r="C672" s="33" t="str">
        <f>C671</f>
        <v>Bitumineuze verhardingen</v>
      </c>
      <c r="D672" s="33" t="str">
        <f>D671</f>
        <v>SMA</v>
      </c>
      <c r="E672" s="33" t="str">
        <f>E671</f>
        <v>Ton</v>
      </c>
      <c r="F672" s="33" t="s">
        <v>77</v>
      </c>
      <c r="L672" s="33">
        <f>L671</f>
        <v>2.35</v>
      </c>
      <c r="M672" s="45">
        <f>M671</f>
        <v>1</v>
      </c>
      <c r="N672" s="41">
        <f>SUM(N669:N671)</f>
        <v>15.788656270430227</v>
      </c>
      <c r="O672" s="33">
        <f>O671</f>
        <v>16</v>
      </c>
      <c r="P672" s="40">
        <f>SUM(P669:P671)</f>
        <v>8.4510542294463573E-3</v>
      </c>
      <c r="Q672" s="40">
        <f t="shared" ref="Q672:BK672" si="76">SUM(Q669:Q671)</f>
        <v>2.1389713299482151</v>
      </c>
      <c r="R672" s="40">
        <f t="shared" si="76"/>
        <v>135.54285707762611</v>
      </c>
      <c r="S672" s="40">
        <f t="shared" si="76"/>
        <v>1.5701662422336152E-5</v>
      </c>
      <c r="T672" s="40">
        <f t="shared" si="76"/>
        <v>0.19832044921311132</v>
      </c>
      <c r="U672" s="40">
        <f t="shared" si="76"/>
        <v>0.71567164179086995</v>
      </c>
      <c r="V672" s="40">
        <f t="shared" si="76"/>
        <v>9.0742315159305767E-2</v>
      </c>
      <c r="W672" s="40">
        <f t="shared" si="76"/>
        <v>36.963477971288789</v>
      </c>
      <c r="X672" s="40">
        <f t="shared" si="76"/>
        <v>2.7398949023847328</v>
      </c>
      <c r="Y672" s="40">
        <f t="shared" si="76"/>
        <v>11581.422023838895</v>
      </c>
      <c r="Z672" s="40">
        <f t="shared" si="76"/>
        <v>0.40657360521580926</v>
      </c>
      <c r="AA672" s="40">
        <f t="shared" si="76"/>
        <v>140.17586678622121</v>
      </c>
      <c r="AB672" s="40">
        <f t="shared" si="76"/>
        <v>140.40828465187218</v>
      </c>
      <c r="AC672" s="40">
        <f t="shared" si="76"/>
        <v>-0.30060218784154158</v>
      </c>
      <c r="AD672" s="40">
        <f t="shared" si="76"/>
        <v>0.1066179221904606</v>
      </c>
      <c r="AE672" s="40">
        <f t="shared" si="76"/>
        <v>1.8929798222740149E-5</v>
      </c>
      <c r="AF672" s="40">
        <f t="shared" si="76"/>
        <v>0.88541710841433641</v>
      </c>
      <c r="AG672" s="40">
        <f t="shared" si="76"/>
        <v>2.4500657469072244E-3</v>
      </c>
      <c r="AH672" s="40">
        <f t="shared" si="76"/>
        <v>0.20470891507319144</v>
      </c>
      <c r="AI672" s="40">
        <f t="shared" si="76"/>
        <v>2.1973996455877649</v>
      </c>
      <c r="AJ672" s="40">
        <f t="shared" si="76"/>
        <v>0.90141469373677052</v>
      </c>
      <c r="AK672" s="40">
        <f t="shared" si="76"/>
        <v>8.4509671022466402E-3</v>
      </c>
      <c r="AL672" s="40">
        <f t="shared" si="76"/>
        <v>4447.4775236960932</v>
      </c>
      <c r="AM672" s="40">
        <f t="shared" si="76"/>
        <v>73.435734445203735</v>
      </c>
      <c r="AN672" s="40">
        <f t="shared" si="76"/>
        <v>4.702260543895022E-6</v>
      </c>
      <c r="AO672" s="40">
        <f t="shared" si="76"/>
        <v>5.5114993258701466</v>
      </c>
      <c r="AP672" s="40">
        <f t="shared" si="76"/>
        <v>4800.0641620818051</v>
      </c>
      <c r="AQ672" s="40">
        <f t="shared" si="76"/>
        <v>4.7955210580222667E-8</v>
      </c>
      <c r="AR672" s="40">
        <f t="shared" si="76"/>
        <v>1.4830753035647037E-6</v>
      </c>
      <c r="AS672" s="40">
        <f t="shared" si="76"/>
        <v>1101.1490164439656</v>
      </c>
      <c r="AT672" s="40">
        <f t="shared" si="76"/>
        <v>0</v>
      </c>
      <c r="AU672" s="40">
        <f t="shared" si="76"/>
        <v>0</v>
      </c>
      <c r="AV672" s="317">
        <f t="shared" si="76"/>
        <v>73.178991617515322</v>
      </c>
      <c r="AW672" s="317">
        <f t="shared" si="76"/>
        <v>0</v>
      </c>
      <c r="AX672" s="317">
        <f t="shared" si="76"/>
        <v>0</v>
      </c>
      <c r="AY672" s="317">
        <f t="shared" si="76"/>
        <v>4747.3250100743171</v>
      </c>
      <c r="AZ672" s="40">
        <f t="shared" si="76"/>
        <v>0</v>
      </c>
      <c r="BA672" s="40">
        <f t="shared" si="76"/>
        <v>0</v>
      </c>
      <c r="BB672" s="40">
        <f t="shared" si="76"/>
        <v>0</v>
      </c>
      <c r="BC672" s="40">
        <f t="shared" si="76"/>
        <v>1.8548077958099818</v>
      </c>
      <c r="BD672" s="40">
        <f t="shared" si="76"/>
        <v>3.047768345361402E-3</v>
      </c>
      <c r="BE672" s="40">
        <f t="shared" si="76"/>
        <v>13.179073549611733</v>
      </c>
      <c r="BF672" s="40">
        <f t="shared" si="76"/>
        <v>6.3632861819825212E-3</v>
      </c>
      <c r="BG672" s="40">
        <f t="shared" si="76"/>
        <v>0</v>
      </c>
      <c r="BH672" s="40">
        <f t="shared" si="76"/>
        <v>0</v>
      </c>
      <c r="BI672" s="40">
        <f t="shared" si="76"/>
        <v>0</v>
      </c>
      <c r="BJ672" s="40">
        <f t="shared" si="76"/>
        <v>0</v>
      </c>
      <c r="BK672" s="40">
        <f t="shared" si="76"/>
        <v>0</v>
      </c>
      <c r="BL672" s="62">
        <f>BL671</f>
        <v>0</v>
      </c>
      <c r="BM672" s="275">
        <f>BM671</f>
        <v>2</v>
      </c>
      <c r="BN672" s="62">
        <v>0</v>
      </c>
      <c r="BO672" s="33" t="str">
        <f>BO671</f>
        <v>Ecochain 2022 LCA Achtergrondrapport voor Nederlandse branchereferentiemengsels 2022</v>
      </c>
    </row>
    <row r="673" spans="1:67">
      <c r="A673" s="33" t="str">
        <f>Database_Productkaarten[[#This Row],[Product]]&amp;", "&amp;Database_Productkaarten[[#This Row],[Levensfase]]</f>
        <v>SMA 8-11 G.M. - PCR 2.0, A4</v>
      </c>
      <c r="B673" s="33" t="s">
        <v>541</v>
      </c>
      <c r="C673" s="33" t="s">
        <v>483</v>
      </c>
      <c r="D673" s="33" t="s">
        <v>501</v>
      </c>
      <c r="E673" s="33" t="s">
        <v>378</v>
      </c>
      <c r="F673" s="33" t="s">
        <v>78</v>
      </c>
      <c r="L673" s="33">
        <v>2.35</v>
      </c>
      <c r="M673" s="269">
        <v>1</v>
      </c>
      <c r="N673" s="211">
        <v>0.37546048090943995</v>
      </c>
      <c r="O673" s="33">
        <v>16</v>
      </c>
      <c r="P673" s="163">
        <v>6.8533509000000002E-5</v>
      </c>
      <c r="Q673" s="163">
        <v>2.9713889699999999E-2</v>
      </c>
      <c r="R673" s="163">
        <v>3.9891474704999998</v>
      </c>
      <c r="S673" s="163">
        <v>7.557213E-7</v>
      </c>
      <c r="T673" s="163">
        <v>2.4773701499999998E-3</v>
      </c>
      <c r="U673" s="163">
        <v>1.36398132E-2</v>
      </c>
      <c r="V673" s="163">
        <v>2.5682192100000001E-3</v>
      </c>
      <c r="W673" s="163">
        <v>0.8608144794</v>
      </c>
      <c r="X673" s="163">
        <v>3.6189873900000002E-2</v>
      </c>
      <c r="Y673" s="163">
        <v>97.376595929999993</v>
      </c>
      <c r="Z673" s="163">
        <v>4.8437180999999999E-3</v>
      </c>
      <c r="AA673" s="163">
        <v>4.0259382761999998</v>
      </c>
      <c r="AB673" s="163">
        <v>4.0229543298000001</v>
      </c>
      <c r="AC673" s="163">
        <v>1.9814632200000001E-3</v>
      </c>
      <c r="AD673" s="163">
        <v>1.0024609799999999E-3</v>
      </c>
      <c r="AE673" s="163">
        <v>9.4976262000000003E-7</v>
      </c>
      <c r="AF673" s="163">
        <v>1.7739576E-2</v>
      </c>
      <c r="AG673" s="163">
        <v>2.7841996800000001E-5</v>
      </c>
      <c r="AH673" s="163">
        <v>5.5484582100000001E-3</v>
      </c>
      <c r="AI673" s="163">
        <v>6.1385308800000003E-2</v>
      </c>
      <c r="AJ673" s="163">
        <v>1.9235744999999999E-2</v>
      </c>
      <c r="AK673" s="163">
        <v>6.8533397999999998E-5</v>
      </c>
      <c r="AL673" s="163">
        <v>62.400806729999999</v>
      </c>
      <c r="AM673" s="163">
        <v>0.212954166</v>
      </c>
      <c r="AN673" s="163">
        <v>2.9338876200000002E-7</v>
      </c>
      <c r="AO673" s="163">
        <v>0.26868483510000002</v>
      </c>
      <c r="AP673" s="163">
        <v>45.56587296</v>
      </c>
      <c r="AQ673" s="163">
        <v>1.16371179E-9</v>
      </c>
      <c r="AR673" s="163">
        <v>3.8268015899999999E-8</v>
      </c>
      <c r="AS673" s="163">
        <v>71.806844609999999</v>
      </c>
      <c r="AT673" s="163">
        <v>0</v>
      </c>
      <c r="AU673" s="163">
        <v>0</v>
      </c>
      <c r="AV673" s="313">
        <v>0.63474917099999995</v>
      </c>
      <c r="AW673" s="315">
        <v>0</v>
      </c>
      <c r="AX673" s="315">
        <v>0</v>
      </c>
      <c r="AY673" s="313">
        <v>66.265108560000002</v>
      </c>
      <c r="AZ673" s="163">
        <v>0</v>
      </c>
      <c r="BA673" s="163">
        <v>0</v>
      </c>
      <c r="BB673" s="163">
        <v>0</v>
      </c>
      <c r="BC673" s="163">
        <v>6.7467797999999999E-3</v>
      </c>
      <c r="BD673" s="163">
        <v>1.54707915E-4</v>
      </c>
      <c r="BE673" s="163">
        <v>5.4635493149999999</v>
      </c>
      <c r="BF673" s="163">
        <v>4.25149758E-4</v>
      </c>
      <c r="BG673" s="163">
        <v>0</v>
      </c>
      <c r="BH673" s="163">
        <v>0</v>
      </c>
      <c r="BI673" s="163">
        <v>0</v>
      </c>
      <c r="BJ673" s="163">
        <v>0</v>
      </c>
      <c r="BK673" s="163">
        <v>0</v>
      </c>
      <c r="BL673" s="62">
        <v>0</v>
      </c>
      <c r="BM673" s="275">
        <v>2</v>
      </c>
      <c r="BN673" s="62">
        <v>0</v>
      </c>
      <c r="BO673" s="33" t="s">
        <v>526</v>
      </c>
    </row>
    <row r="674" spans="1:67">
      <c r="A674" s="33" t="str">
        <f>Database_Productkaarten[[#This Row],[Product]]&amp;", "&amp;Database_Productkaarten[[#This Row],[Levensfase]]</f>
        <v>SMA 8-11 G.M. - PCR 2.0, A5</v>
      </c>
      <c r="B674" s="33" t="s">
        <v>541</v>
      </c>
      <c r="C674" s="33" t="s">
        <v>483</v>
      </c>
      <c r="D674" s="33" t="s">
        <v>501</v>
      </c>
      <c r="E674" s="33" t="s">
        <v>378</v>
      </c>
      <c r="F674" s="33" t="s">
        <v>79</v>
      </c>
      <c r="L674" s="33">
        <v>2.35</v>
      </c>
      <c r="M674" s="269">
        <v>1</v>
      </c>
      <c r="N674" s="211">
        <v>0.2597053337787914</v>
      </c>
      <c r="O674" s="33">
        <v>16</v>
      </c>
      <c r="P674" s="163">
        <v>2.9238192814477198E-6</v>
      </c>
      <c r="Q674" s="163">
        <v>1.2437869090607401E-2</v>
      </c>
      <c r="R674" s="163">
        <v>2.5295292177078901</v>
      </c>
      <c r="S674" s="163">
        <v>3.2687704153464501E-7</v>
      </c>
      <c r="T674" s="163">
        <v>9.41170695593257E-4</v>
      </c>
      <c r="U674" s="163">
        <v>1.0497394468115401E-2</v>
      </c>
      <c r="V674" s="163">
        <v>2.4039520991419802E-3</v>
      </c>
      <c r="W674" s="163">
        <v>0.688776142316325</v>
      </c>
      <c r="X674" s="163">
        <v>9.7024794539388604E-3</v>
      </c>
      <c r="Y674" s="163">
        <v>33.711840013179199</v>
      </c>
      <c r="Z674" s="163">
        <v>1.1490061206239101E-3</v>
      </c>
      <c r="AA674" s="163">
        <v>2.5482276295534101</v>
      </c>
      <c r="AB674" s="163">
        <v>2.5474969827618001</v>
      </c>
      <c r="AC674" s="163">
        <v>5.8195031507652501E-4</v>
      </c>
      <c r="AD674" s="163">
        <v>1.4869647653104699E-4</v>
      </c>
      <c r="AE674" s="163">
        <v>4.1187798263569499E-7</v>
      </c>
      <c r="AF674" s="163">
        <v>1.4654717125157399E-2</v>
      </c>
      <c r="AG674" s="163">
        <v>6.9471842634864903E-6</v>
      </c>
      <c r="AH674" s="163">
        <v>6.3596059813714996E-3</v>
      </c>
      <c r="AI674" s="163">
        <v>6.97983995619256E-2</v>
      </c>
      <c r="AJ674" s="163">
        <v>1.8200499468351401E-2</v>
      </c>
      <c r="AK674" s="163">
        <v>2.9237963378879798E-6</v>
      </c>
      <c r="AL674" s="163">
        <v>26.2431446460734</v>
      </c>
      <c r="AM674" s="163">
        <v>3.4951581948955202E-2</v>
      </c>
      <c r="AN674" s="163">
        <v>5.4485692724514697E-8</v>
      </c>
      <c r="AO674" s="163">
        <v>0.112638014199544</v>
      </c>
      <c r="AP674" s="163">
        <v>15.7470628359518</v>
      </c>
      <c r="AQ674" s="163">
        <v>5.52451376540438E-10</v>
      </c>
      <c r="AR674" s="163">
        <v>1.32398654611375E-8</v>
      </c>
      <c r="AS674" s="163">
        <v>3.35198963216554</v>
      </c>
      <c r="AT674" s="163">
        <v>0</v>
      </c>
      <c r="AU674" s="163">
        <v>0</v>
      </c>
      <c r="AV674" s="313">
        <v>0.14424536025460999</v>
      </c>
      <c r="AW674" s="315">
        <v>0</v>
      </c>
      <c r="AX674" s="315">
        <v>0</v>
      </c>
      <c r="AY674" s="313">
        <v>27.8693895870164</v>
      </c>
      <c r="AZ674" s="163">
        <v>0</v>
      </c>
      <c r="BA674" s="163">
        <v>0</v>
      </c>
      <c r="BB674" s="163">
        <v>0</v>
      </c>
      <c r="BC674" s="163">
        <v>1.35659658318307E-3</v>
      </c>
      <c r="BD674" s="163">
        <v>7.1467090699886605E-5</v>
      </c>
      <c r="BE674" s="163">
        <v>3.1052769995257402E-2</v>
      </c>
      <c r="BF674" s="163">
        <v>1.82391263493328E-4</v>
      </c>
      <c r="BG674" s="163">
        <v>0</v>
      </c>
      <c r="BH674" s="163">
        <v>0</v>
      </c>
      <c r="BI674" s="163">
        <v>0</v>
      </c>
      <c r="BJ674" s="163">
        <v>0</v>
      </c>
      <c r="BK674" s="163">
        <v>0</v>
      </c>
      <c r="BL674" s="62">
        <v>0</v>
      </c>
      <c r="BM674" s="275">
        <v>2</v>
      </c>
      <c r="BN674" s="62">
        <v>0</v>
      </c>
      <c r="BO674" s="33" t="s">
        <v>526</v>
      </c>
    </row>
    <row r="675" spans="1:67">
      <c r="A675" s="33" t="str">
        <f>Database_Productkaarten[[#This Row],[Product]]&amp;", "&amp;Database_Productkaarten[[#This Row],[Levensfase]]</f>
        <v>SMA 8-11 G.M. - PCR 2.0, B1</v>
      </c>
      <c r="B675" s="33" t="s">
        <v>541</v>
      </c>
      <c r="C675" s="33" t="s">
        <v>483</v>
      </c>
      <c r="D675" s="33" t="s">
        <v>501</v>
      </c>
      <c r="E675" s="33" t="s">
        <v>378</v>
      </c>
      <c r="F675" s="33" t="s">
        <v>80</v>
      </c>
      <c r="L675" s="33">
        <v>2.35</v>
      </c>
      <c r="M675" s="269">
        <v>1</v>
      </c>
      <c r="N675" s="211">
        <v>0.11825486639676779</v>
      </c>
      <c r="O675" s="33">
        <v>16</v>
      </c>
      <c r="P675" s="163">
        <v>0</v>
      </c>
      <c r="Q675" s="163">
        <v>0</v>
      </c>
      <c r="R675" s="163">
        <v>0</v>
      </c>
      <c r="S675" s="163">
        <v>0</v>
      </c>
      <c r="T675" s="163">
        <v>0</v>
      </c>
      <c r="U675" s="163">
        <v>0</v>
      </c>
      <c r="V675" s="163">
        <v>0</v>
      </c>
      <c r="W675" s="163">
        <v>0.47637814426189901</v>
      </c>
      <c r="X675" s="163">
        <v>0.51070836809688902</v>
      </c>
      <c r="Y675" s="163">
        <v>600.42146990351</v>
      </c>
      <c r="Z675" s="163">
        <v>2.9058966565328201E-4</v>
      </c>
      <c r="AA675" s="163">
        <v>0</v>
      </c>
      <c r="AB675" s="163">
        <v>0</v>
      </c>
      <c r="AC675" s="163">
        <v>0</v>
      </c>
      <c r="AD675" s="163">
        <v>0</v>
      </c>
      <c r="AE675" s="163">
        <v>0</v>
      </c>
      <c r="AF675" s="163">
        <v>0</v>
      </c>
      <c r="AG675" s="163">
        <v>0</v>
      </c>
      <c r="AH675" s="163">
        <v>0</v>
      </c>
      <c r="AI675" s="163">
        <v>0</v>
      </c>
      <c r="AJ675" s="163">
        <v>0</v>
      </c>
      <c r="AK675" s="163">
        <v>0</v>
      </c>
      <c r="AL675" s="163">
        <v>0</v>
      </c>
      <c r="AM675" s="163">
        <v>0</v>
      </c>
      <c r="AN675" s="163">
        <v>0</v>
      </c>
      <c r="AO675" s="163">
        <v>0</v>
      </c>
      <c r="AP675" s="163">
        <v>3.5405688217834199</v>
      </c>
      <c r="AQ675" s="163">
        <v>8.8497327752214597E-10</v>
      </c>
      <c r="AR675" s="163">
        <v>5.3167546814193901E-8</v>
      </c>
      <c r="AS675" s="163">
        <v>0</v>
      </c>
      <c r="AT675" s="163">
        <v>0</v>
      </c>
      <c r="AU675" s="163">
        <v>0</v>
      </c>
      <c r="AV675" s="313">
        <v>0</v>
      </c>
      <c r="AW675" s="315">
        <v>0</v>
      </c>
      <c r="AX675" s="315">
        <v>0</v>
      </c>
      <c r="AY675" s="313">
        <v>0</v>
      </c>
      <c r="AZ675" s="163">
        <v>0</v>
      </c>
      <c r="BA675" s="163">
        <v>0</v>
      </c>
      <c r="BB675" s="163">
        <v>0</v>
      </c>
      <c r="BC675" s="163">
        <v>0</v>
      </c>
      <c r="BD675" s="163">
        <v>0</v>
      </c>
      <c r="BE675" s="163">
        <v>0</v>
      </c>
      <c r="BF675" s="163">
        <v>0</v>
      </c>
      <c r="BG675" s="163">
        <v>0</v>
      </c>
      <c r="BH675" s="163">
        <v>0</v>
      </c>
      <c r="BI675" s="163">
        <v>0</v>
      </c>
      <c r="BJ675" s="163">
        <v>0</v>
      </c>
      <c r="BK675" s="163">
        <v>0</v>
      </c>
      <c r="BL675" s="62">
        <v>0</v>
      </c>
      <c r="BM675" s="275">
        <v>2</v>
      </c>
      <c r="BN675" s="62">
        <v>0</v>
      </c>
      <c r="BO675" s="33" t="s">
        <v>526</v>
      </c>
    </row>
    <row r="676" spans="1:67">
      <c r="A676" s="33" t="str">
        <f>Database_Productkaarten[[#This Row],[Product]]&amp;", "&amp;Database_Productkaarten[[#This Row],[Levensfase]]</f>
        <v>SMA 8-11 G.M. - PCR 2.0, B2</v>
      </c>
      <c r="B676" s="33" t="s">
        <v>541</v>
      </c>
      <c r="C676" s="33" t="s">
        <v>483</v>
      </c>
      <c r="D676" s="33" t="s">
        <v>501</v>
      </c>
      <c r="E676" s="33" t="s">
        <v>378</v>
      </c>
      <c r="F676" s="33" t="s">
        <v>527</v>
      </c>
      <c r="L676" s="33">
        <v>2.35</v>
      </c>
      <c r="M676" s="269">
        <v>1</v>
      </c>
      <c r="N676" s="211">
        <v>0</v>
      </c>
      <c r="O676" s="33">
        <v>16</v>
      </c>
      <c r="P676" s="163">
        <v>0</v>
      </c>
      <c r="Q676" s="163">
        <v>0</v>
      </c>
      <c r="R676" s="163">
        <v>0</v>
      </c>
      <c r="S676" s="163">
        <v>0</v>
      </c>
      <c r="T676" s="163">
        <v>0</v>
      </c>
      <c r="U676" s="163">
        <v>0</v>
      </c>
      <c r="V676" s="163">
        <v>0</v>
      </c>
      <c r="W676" s="163">
        <v>0</v>
      </c>
      <c r="X676" s="163">
        <v>0</v>
      </c>
      <c r="Y676" s="163">
        <v>0</v>
      </c>
      <c r="Z676" s="163">
        <v>0</v>
      </c>
      <c r="AA676" s="163">
        <v>0</v>
      </c>
      <c r="AB676" s="163">
        <v>0</v>
      </c>
      <c r="AC676" s="163">
        <v>0</v>
      </c>
      <c r="AD676" s="163">
        <v>0</v>
      </c>
      <c r="AE676" s="163">
        <v>0</v>
      </c>
      <c r="AF676" s="163">
        <v>0</v>
      </c>
      <c r="AG676" s="163">
        <v>0</v>
      </c>
      <c r="AH676" s="163">
        <v>0</v>
      </c>
      <c r="AI676" s="163">
        <v>0</v>
      </c>
      <c r="AJ676" s="163">
        <v>0</v>
      </c>
      <c r="AK676" s="163">
        <v>0</v>
      </c>
      <c r="AL676" s="163">
        <v>0</v>
      </c>
      <c r="AM676" s="163">
        <v>0</v>
      </c>
      <c r="AN676" s="163">
        <v>0</v>
      </c>
      <c r="AO676" s="163">
        <v>0</v>
      </c>
      <c r="AP676" s="163">
        <v>0</v>
      </c>
      <c r="AQ676" s="163">
        <v>0</v>
      </c>
      <c r="AR676" s="163">
        <v>0</v>
      </c>
      <c r="AS676" s="163">
        <v>0</v>
      </c>
      <c r="AT676" s="163">
        <v>0</v>
      </c>
      <c r="AU676" s="163">
        <v>0</v>
      </c>
      <c r="AV676" s="313">
        <v>0</v>
      </c>
      <c r="AW676" s="315">
        <v>0</v>
      </c>
      <c r="AX676" s="315">
        <v>0</v>
      </c>
      <c r="AY676" s="313">
        <v>0</v>
      </c>
      <c r="AZ676" s="163">
        <v>0</v>
      </c>
      <c r="BA676" s="163">
        <v>0</v>
      </c>
      <c r="BB676" s="163">
        <v>0</v>
      </c>
      <c r="BC676" s="163">
        <v>0</v>
      </c>
      <c r="BD676" s="163">
        <v>0</v>
      </c>
      <c r="BE676" s="163">
        <v>0</v>
      </c>
      <c r="BF676" s="163">
        <v>0</v>
      </c>
      <c r="BG676" s="163">
        <v>0</v>
      </c>
      <c r="BH676" s="163">
        <v>0</v>
      </c>
      <c r="BI676" s="163">
        <v>0</v>
      </c>
      <c r="BJ676" s="163">
        <v>0</v>
      </c>
      <c r="BK676" s="163">
        <v>0</v>
      </c>
      <c r="BL676" s="62">
        <v>0</v>
      </c>
      <c r="BM676" s="275">
        <v>2</v>
      </c>
      <c r="BN676" s="62">
        <v>0</v>
      </c>
      <c r="BO676" s="33" t="s">
        <v>526</v>
      </c>
    </row>
    <row r="677" spans="1:67">
      <c r="A677" s="33" t="str">
        <f>Database_Productkaarten[[#This Row],[Product]]&amp;", "&amp;Database_Productkaarten[[#This Row],[Levensfase]]</f>
        <v>SMA 8-11 G.M. - PCR 2.0, B3</v>
      </c>
      <c r="B677" s="33" t="s">
        <v>541</v>
      </c>
      <c r="C677" s="33" t="s">
        <v>483</v>
      </c>
      <c r="D677" s="33" t="s">
        <v>501</v>
      </c>
      <c r="E677" s="33" t="s">
        <v>378</v>
      </c>
      <c r="F677" s="33" t="s">
        <v>81</v>
      </c>
      <c r="L677" s="33">
        <v>2.35</v>
      </c>
      <c r="M677" s="269">
        <v>1</v>
      </c>
      <c r="N677" s="211">
        <v>0</v>
      </c>
      <c r="O677" s="33">
        <v>16</v>
      </c>
      <c r="P677" s="163">
        <v>0</v>
      </c>
      <c r="Q677" s="163">
        <v>0</v>
      </c>
      <c r="R677" s="163">
        <v>0</v>
      </c>
      <c r="S677" s="163">
        <v>0</v>
      </c>
      <c r="T677" s="163">
        <v>0</v>
      </c>
      <c r="U677" s="163">
        <v>0</v>
      </c>
      <c r="V677" s="163">
        <v>0</v>
      </c>
      <c r="W677" s="163">
        <v>0</v>
      </c>
      <c r="X677" s="163">
        <v>0</v>
      </c>
      <c r="Y677" s="163">
        <v>0</v>
      </c>
      <c r="Z677" s="163">
        <v>0</v>
      </c>
      <c r="AA677" s="163">
        <v>0</v>
      </c>
      <c r="AB677" s="163">
        <v>0</v>
      </c>
      <c r="AC677" s="163">
        <v>0</v>
      </c>
      <c r="AD677" s="163">
        <v>0</v>
      </c>
      <c r="AE677" s="163">
        <v>0</v>
      </c>
      <c r="AF677" s="163">
        <v>0</v>
      </c>
      <c r="AG677" s="163">
        <v>0</v>
      </c>
      <c r="AH677" s="163">
        <v>0</v>
      </c>
      <c r="AI677" s="163">
        <v>0</v>
      </c>
      <c r="AJ677" s="163">
        <v>0</v>
      </c>
      <c r="AK677" s="163">
        <v>0</v>
      </c>
      <c r="AL677" s="163">
        <v>0</v>
      </c>
      <c r="AM677" s="163">
        <v>0</v>
      </c>
      <c r="AN677" s="163">
        <v>0</v>
      </c>
      <c r="AO677" s="163">
        <v>0</v>
      </c>
      <c r="AP677" s="163">
        <v>0</v>
      </c>
      <c r="AQ677" s="163">
        <v>0</v>
      </c>
      <c r="AR677" s="163">
        <v>0</v>
      </c>
      <c r="AS677" s="163">
        <v>0</v>
      </c>
      <c r="AT677" s="163">
        <v>0</v>
      </c>
      <c r="AU677" s="163">
        <v>0</v>
      </c>
      <c r="AV677" s="313">
        <v>0</v>
      </c>
      <c r="AW677" s="315">
        <v>0</v>
      </c>
      <c r="AX677" s="315">
        <v>0</v>
      </c>
      <c r="AY677" s="313">
        <v>0</v>
      </c>
      <c r="AZ677" s="163">
        <v>0</v>
      </c>
      <c r="BA677" s="163">
        <v>0</v>
      </c>
      <c r="BB677" s="163">
        <v>0</v>
      </c>
      <c r="BC677" s="163">
        <v>0</v>
      </c>
      <c r="BD677" s="163">
        <v>0</v>
      </c>
      <c r="BE677" s="163">
        <v>0</v>
      </c>
      <c r="BF677" s="163">
        <v>0</v>
      </c>
      <c r="BG677" s="163">
        <v>0</v>
      </c>
      <c r="BH677" s="163">
        <v>0</v>
      </c>
      <c r="BI677" s="163">
        <v>0</v>
      </c>
      <c r="BJ677" s="163">
        <v>0</v>
      </c>
      <c r="BK677" s="163">
        <v>0</v>
      </c>
      <c r="BL677" s="62">
        <v>0</v>
      </c>
      <c r="BM677" s="275">
        <v>2</v>
      </c>
      <c r="BN677" s="62">
        <v>0</v>
      </c>
      <c r="BO677" s="33" t="s">
        <v>526</v>
      </c>
    </row>
    <row r="678" spans="1:67">
      <c r="A678" s="33" t="str">
        <f>Database_Productkaarten[[#This Row],[Product]]&amp;", "&amp;Database_Productkaarten[[#This Row],[Levensfase]]</f>
        <v>SMA 8-11 G.M. - PCR 2.0, B4</v>
      </c>
      <c r="B678" s="33" t="s">
        <v>541</v>
      </c>
      <c r="C678" s="33" t="s">
        <v>483</v>
      </c>
      <c r="D678" s="33" t="s">
        <v>501</v>
      </c>
      <c r="E678" s="33" t="s">
        <v>378</v>
      </c>
      <c r="F678" s="33" t="s">
        <v>82</v>
      </c>
      <c r="L678" s="33">
        <v>2.35</v>
      </c>
      <c r="M678" s="269">
        <v>1</v>
      </c>
      <c r="N678" s="211">
        <v>0</v>
      </c>
      <c r="O678" s="33">
        <v>16</v>
      </c>
      <c r="P678" s="163">
        <v>0</v>
      </c>
      <c r="Q678" s="163">
        <v>0</v>
      </c>
      <c r="R678" s="163">
        <v>0</v>
      </c>
      <c r="S678" s="163">
        <v>0</v>
      </c>
      <c r="T678" s="163">
        <v>0</v>
      </c>
      <c r="U678" s="163">
        <v>0</v>
      </c>
      <c r="V678" s="163">
        <v>0</v>
      </c>
      <c r="W678" s="163">
        <v>0</v>
      </c>
      <c r="X678" s="163">
        <v>0</v>
      </c>
      <c r="Y678" s="163">
        <v>0</v>
      </c>
      <c r="Z678" s="163">
        <v>0</v>
      </c>
      <c r="AA678" s="163">
        <v>0</v>
      </c>
      <c r="AB678" s="163">
        <v>0</v>
      </c>
      <c r="AC678" s="163">
        <v>0</v>
      </c>
      <c r="AD678" s="163">
        <v>0</v>
      </c>
      <c r="AE678" s="163">
        <v>0</v>
      </c>
      <c r="AF678" s="163">
        <v>0</v>
      </c>
      <c r="AG678" s="163">
        <v>0</v>
      </c>
      <c r="AH678" s="163">
        <v>0</v>
      </c>
      <c r="AI678" s="163">
        <v>0</v>
      </c>
      <c r="AJ678" s="163">
        <v>0</v>
      </c>
      <c r="AK678" s="163">
        <v>0</v>
      </c>
      <c r="AL678" s="163">
        <v>0</v>
      </c>
      <c r="AM678" s="163">
        <v>0</v>
      </c>
      <c r="AN678" s="163">
        <v>0</v>
      </c>
      <c r="AO678" s="163">
        <v>0</v>
      </c>
      <c r="AP678" s="163">
        <v>0</v>
      </c>
      <c r="AQ678" s="163">
        <v>0</v>
      </c>
      <c r="AR678" s="163">
        <v>0</v>
      </c>
      <c r="AS678" s="163">
        <v>0</v>
      </c>
      <c r="AT678" s="163">
        <v>0</v>
      </c>
      <c r="AU678" s="163">
        <v>0</v>
      </c>
      <c r="AV678" s="313">
        <v>0</v>
      </c>
      <c r="AW678" s="315">
        <v>0</v>
      </c>
      <c r="AX678" s="315">
        <v>0</v>
      </c>
      <c r="AY678" s="313">
        <v>0</v>
      </c>
      <c r="AZ678" s="163">
        <v>0</v>
      </c>
      <c r="BA678" s="163">
        <v>0</v>
      </c>
      <c r="BB678" s="163">
        <v>0</v>
      </c>
      <c r="BC678" s="163">
        <v>0</v>
      </c>
      <c r="BD678" s="163">
        <v>0</v>
      </c>
      <c r="BE678" s="163">
        <v>0</v>
      </c>
      <c r="BF678" s="163">
        <v>0</v>
      </c>
      <c r="BG678" s="163">
        <v>0</v>
      </c>
      <c r="BH678" s="163">
        <v>0</v>
      </c>
      <c r="BI678" s="163">
        <v>0</v>
      </c>
      <c r="BJ678" s="163">
        <v>0</v>
      </c>
      <c r="BK678" s="163">
        <v>0</v>
      </c>
      <c r="BL678" s="62">
        <v>0</v>
      </c>
      <c r="BM678" s="275">
        <v>2</v>
      </c>
      <c r="BN678" s="62">
        <v>0</v>
      </c>
      <c r="BO678" s="33" t="s">
        <v>526</v>
      </c>
    </row>
    <row r="679" spans="1:67">
      <c r="A679" s="33" t="str">
        <f>Database_Productkaarten[[#This Row],[Product]]&amp;", "&amp;Database_Productkaarten[[#This Row],[Levensfase]]</f>
        <v>SMA 8-11 G.M. - PCR 2.0, B5</v>
      </c>
      <c r="B679" s="33" t="s">
        <v>541</v>
      </c>
      <c r="C679" s="33" t="s">
        <v>483</v>
      </c>
      <c r="D679" s="33" t="s">
        <v>501</v>
      </c>
      <c r="E679" s="33" t="s">
        <v>378</v>
      </c>
      <c r="F679" s="33" t="s">
        <v>528</v>
      </c>
      <c r="L679" s="33">
        <v>2.35</v>
      </c>
      <c r="M679" s="269">
        <v>1</v>
      </c>
      <c r="N679" s="211">
        <v>0</v>
      </c>
      <c r="O679" s="33">
        <v>16</v>
      </c>
      <c r="P679" s="163">
        <v>0</v>
      </c>
      <c r="Q679" s="163">
        <v>0</v>
      </c>
      <c r="R679" s="163">
        <v>0</v>
      </c>
      <c r="S679" s="163">
        <v>0</v>
      </c>
      <c r="T679" s="163">
        <v>0</v>
      </c>
      <c r="U679" s="163">
        <v>0</v>
      </c>
      <c r="V679" s="163">
        <v>0</v>
      </c>
      <c r="W679" s="163">
        <v>0</v>
      </c>
      <c r="X679" s="163">
        <v>0</v>
      </c>
      <c r="Y679" s="163">
        <v>0</v>
      </c>
      <c r="Z679" s="163">
        <v>0</v>
      </c>
      <c r="AA679" s="163">
        <v>0</v>
      </c>
      <c r="AB679" s="163">
        <v>0</v>
      </c>
      <c r="AC679" s="163">
        <v>0</v>
      </c>
      <c r="AD679" s="163">
        <v>0</v>
      </c>
      <c r="AE679" s="163">
        <v>0</v>
      </c>
      <c r="AF679" s="163">
        <v>0</v>
      </c>
      <c r="AG679" s="163">
        <v>0</v>
      </c>
      <c r="AH679" s="163">
        <v>0</v>
      </c>
      <c r="AI679" s="163">
        <v>0</v>
      </c>
      <c r="AJ679" s="163">
        <v>0</v>
      </c>
      <c r="AK679" s="163">
        <v>0</v>
      </c>
      <c r="AL679" s="163">
        <v>0</v>
      </c>
      <c r="AM679" s="163">
        <v>0</v>
      </c>
      <c r="AN679" s="163">
        <v>0</v>
      </c>
      <c r="AO679" s="163">
        <v>0</v>
      </c>
      <c r="AP679" s="163">
        <v>0</v>
      </c>
      <c r="AQ679" s="163">
        <v>0</v>
      </c>
      <c r="AR679" s="163">
        <v>0</v>
      </c>
      <c r="AS679" s="163">
        <v>0</v>
      </c>
      <c r="AT679" s="163">
        <v>0</v>
      </c>
      <c r="AU679" s="163">
        <v>0</v>
      </c>
      <c r="AV679" s="313">
        <v>0</v>
      </c>
      <c r="AW679" s="315">
        <v>0</v>
      </c>
      <c r="AX679" s="315">
        <v>0</v>
      </c>
      <c r="AY679" s="313">
        <v>0</v>
      </c>
      <c r="AZ679" s="163">
        <v>0</v>
      </c>
      <c r="BA679" s="163">
        <v>0</v>
      </c>
      <c r="BB679" s="163">
        <v>0</v>
      </c>
      <c r="BC679" s="163">
        <v>0</v>
      </c>
      <c r="BD679" s="163">
        <v>0</v>
      </c>
      <c r="BE679" s="163">
        <v>0</v>
      </c>
      <c r="BF679" s="163">
        <v>0</v>
      </c>
      <c r="BG679" s="163">
        <v>0</v>
      </c>
      <c r="BH679" s="163">
        <v>0</v>
      </c>
      <c r="BI679" s="163">
        <v>0</v>
      </c>
      <c r="BJ679" s="163">
        <v>0</v>
      </c>
      <c r="BK679" s="163">
        <v>0</v>
      </c>
      <c r="BL679" s="62">
        <v>0</v>
      </c>
      <c r="BM679" s="275">
        <v>2</v>
      </c>
      <c r="BN679" s="62">
        <v>0</v>
      </c>
      <c r="BO679" s="33" t="s">
        <v>526</v>
      </c>
    </row>
    <row r="680" spans="1:67">
      <c r="A680" s="33" t="str">
        <f>Database_Productkaarten[[#This Row],[Product]]&amp;", "&amp;Database_Productkaarten[[#This Row],[Levensfase]]</f>
        <v>SMA 8-11 G.M. - PCR 2.0, C1</v>
      </c>
      <c r="B680" s="33" t="s">
        <v>541</v>
      </c>
      <c r="C680" s="33" t="s">
        <v>483</v>
      </c>
      <c r="D680" s="33" t="s">
        <v>501</v>
      </c>
      <c r="E680" s="33" t="s">
        <v>378</v>
      </c>
      <c r="F680" s="33" t="s">
        <v>83</v>
      </c>
      <c r="L680" s="33">
        <v>2.35</v>
      </c>
      <c r="M680" s="269">
        <v>1</v>
      </c>
      <c r="N680" s="211">
        <v>0.13541602880973516</v>
      </c>
      <c r="O680" s="33">
        <v>16</v>
      </c>
      <c r="P680" s="163">
        <v>1.6635523497892201E-6</v>
      </c>
      <c r="Q680" s="163">
        <v>7.0767186205179904E-3</v>
      </c>
      <c r="R680" s="163">
        <v>1.43921489973035</v>
      </c>
      <c r="S680" s="163">
        <v>1.85981765011091E-7</v>
      </c>
      <c r="T680" s="163">
        <v>4.7349883020077898E-4</v>
      </c>
      <c r="U680" s="163">
        <v>4.1086089215149604E-3</v>
      </c>
      <c r="V680" s="163">
        <v>8.8311374606381103E-4</v>
      </c>
      <c r="W680" s="163">
        <v>0.387386474817911</v>
      </c>
      <c r="X680" s="163">
        <v>5.5203762410341696E-3</v>
      </c>
      <c r="Y680" s="163">
        <v>19.180874490257199</v>
      </c>
      <c r="Z680" s="163">
        <v>6.5374486173429302E-4</v>
      </c>
      <c r="AA680" s="163">
        <v>1.44808108069418</v>
      </c>
      <c r="AB680" s="163">
        <v>1.44766536786447</v>
      </c>
      <c r="AC680" s="163">
        <v>3.3110966202629598E-4</v>
      </c>
      <c r="AD680" s="163">
        <v>8.4603167681457494E-5</v>
      </c>
      <c r="AE680" s="163">
        <v>2.3434436943065401E-7</v>
      </c>
      <c r="AF680" s="163">
        <v>5.5792398125911E-3</v>
      </c>
      <c r="AG680" s="163">
        <v>3.9527082878457501E-6</v>
      </c>
      <c r="AH680" s="163">
        <v>2.16816828940183E-3</v>
      </c>
      <c r="AI680" s="163">
        <v>2.3831205888690601E-2</v>
      </c>
      <c r="AJ680" s="163">
        <v>6.50871025613308E-3</v>
      </c>
      <c r="AK680" s="163">
        <v>1.66353929569488E-6</v>
      </c>
      <c r="AL680" s="163">
        <v>14.9314443675935</v>
      </c>
      <c r="AM680" s="163">
        <v>1.9886244901991701E-2</v>
      </c>
      <c r="AN680" s="163">
        <v>2.3049580138090401E-8</v>
      </c>
      <c r="AO680" s="163">
        <v>6.4087146010085402E-2</v>
      </c>
      <c r="AP680" s="163">
        <v>8.9589318499371906</v>
      </c>
      <c r="AQ680" s="163">
        <v>3.1432578320404301E-10</v>
      </c>
      <c r="AR680" s="163">
        <v>6.3100664700230197E-9</v>
      </c>
      <c r="AS680" s="163">
        <v>1.9071665148528101</v>
      </c>
      <c r="AT680" s="163">
        <v>0</v>
      </c>
      <c r="AU680" s="163">
        <v>0</v>
      </c>
      <c r="AV680" s="313">
        <v>8.2070636006933206E-2</v>
      </c>
      <c r="AW680" s="315">
        <v>0</v>
      </c>
      <c r="AX680" s="315">
        <v>0</v>
      </c>
      <c r="AY680" s="313">
        <v>15.8567216615783</v>
      </c>
      <c r="AZ680" s="163">
        <v>0</v>
      </c>
      <c r="BA680" s="163">
        <v>0</v>
      </c>
      <c r="BB680" s="163">
        <v>0</v>
      </c>
      <c r="BC680" s="163">
        <v>7.7185667663863999E-4</v>
      </c>
      <c r="BD680" s="163">
        <v>4.0662310225797597E-5</v>
      </c>
      <c r="BE680" s="163">
        <v>1.7667955342129199E-2</v>
      </c>
      <c r="BF680" s="163">
        <v>1.0377433957379E-4</v>
      </c>
      <c r="BG680" s="163">
        <v>0</v>
      </c>
      <c r="BH680" s="163">
        <v>0</v>
      </c>
      <c r="BI680" s="163">
        <v>0</v>
      </c>
      <c r="BJ680" s="163">
        <v>0</v>
      </c>
      <c r="BK680" s="163">
        <v>0</v>
      </c>
      <c r="BL680" s="62">
        <v>0</v>
      </c>
      <c r="BM680" s="275">
        <v>2</v>
      </c>
      <c r="BN680" s="62">
        <v>0</v>
      </c>
      <c r="BO680" s="33" t="s">
        <v>526</v>
      </c>
    </row>
    <row r="681" spans="1:67">
      <c r="A681" s="33" t="str">
        <f>Database_Productkaarten[[#This Row],[Product]]&amp;", "&amp;Database_Productkaarten[[#This Row],[Levensfase]]</f>
        <v>SMA 8-11 G.M. - PCR 2.0, C2</v>
      </c>
      <c r="B681" s="33" t="s">
        <v>541</v>
      </c>
      <c r="C681" s="33" t="s">
        <v>483</v>
      </c>
      <c r="D681" s="33" t="s">
        <v>501</v>
      </c>
      <c r="E681" s="33" t="s">
        <v>378</v>
      </c>
      <c r="F681" s="33" t="s">
        <v>84</v>
      </c>
      <c r="L681" s="33">
        <v>2.35</v>
      </c>
      <c r="M681" s="269">
        <v>1</v>
      </c>
      <c r="N681" s="211">
        <v>0.31791357541832999</v>
      </c>
      <c r="O681" s="33">
        <v>16</v>
      </c>
      <c r="P681" s="163">
        <v>7.2195843000000002E-5</v>
      </c>
      <c r="Q681" s="163">
        <v>2.5045429500000001E-2</v>
      </c>
      <c r="R681" s="163">
        <v>3.2726104581</v>
      </c>
      <c r="S681" s="163">
        <v>6.2448211500000004E-7</v>
      </c>
      <c r="T681" s="163">
        <v>2.3663202E-3</v>
      </c>
      <c r="U681" s="163">
        <v>9.9103019999999993E-3</v>
      </c>
      <c r="V681" s="163">
        <v>1.66070541E-3</v>
      </c>
      <c r="W681" s="163">
        <v>0.89062466159999998</v>
      </c>
      <c r="X681" s="163">
        <v>3.5055542699999998E-2</v>
      </c>
      <c r="Y681" s="163">
        <v>92.682047400000002</v>
      </c>
      <c r="Z681" s="163">
        <v>7.4868390000000003E-3</v>
      </c>
      <c r="AA681" s="163">
        <v>3.3150718431000001</v>
      </c>
      <c r="AB681" s="163">
        <v>3.3001817481</v>
      </c>
      <c r="AC681" s="163">
        <v>1.3607189190000001E-2</v>
      </c>
      <c r="AD681" s="163">
        <v>1.2829113599999999E-3</v>
      </c>
      <c r="AE681" s="163">
        <v>7.8107336699999998E-7</v>
      </c>
      <c r="AF681" s="163">
        <v>1.2482505E-2</v>
      </c>
      <c r="AG681" s="163">
        <v>3.4632532799999998E-5</v>
      </c>
      <c r="AH681" s="163">
        <v>2.8897329300000001E-3</v>
      </c>
      <c r="AI681" s="163">
        <v>3.3662059799999998E-2</v>
      </c>
      <c r="AJ681" s="163">
        <v>1.2098522699999999E-2</v>
      </c>
      <c r="AK681" s="163">
        <v>7.2195510000000004E-5</v>
      </c>
      <c r="AL681" s="163">
        <v>52.307882313</v>
      </c>
      <c r="AM681" s="163">
        <v>0.28570883850000001</v>
      </c>
      <c r="AN681" s="163">
        <v>2.8544027399999998E-7</v>
      </c>
      <c r="AO681" s="163">
        <v>0.22308385950000001</v>
      </c>
      <c r="AP681" s="163">
        <v>50.61443379</v>
      </c>
      <c r="AQ681" s="163">
        <v>1.35209877E-9</v>
      </c>
      <c r="AR681" s="163">
        <v>4.3221490799999998E-8</v>
      </c>
      <c r="AS681" s="163">
        <v>98.528772599999996</v>
      </c>
      <c r="AT681" s="163">
        <v>8.065825212</v>
      </c>
      <c r="AU681" s="163">
        <v>0</v>
      </c>
      <c r="AV681" s="313">
        <v>8.6963547624000004</v>
      </c>
      <c r="AW681" s="315">
        <v>0.70667511750000001</v>
      </c>
      <c r="AX681" s="315">
        <v>9.926829900000001E-4</v>
      </c>
      <c r="AY681" s="313">
        <v>55.561210727999999</v>
      </c>
      <c r="AZ681" s="163">
        <v>0</v>
      </c>
      <c r="BA681" s="163">
        <v>0</v>
      </c>
      <c r="BB681" s="163">
        <v>0</v>
      </c>
      <c r="BC681" s="163">
        <v>8.7338241000000007E-3</v>
      </c>
      <c r="BD681" s="163">
        <v>1.5376752299999999E-4</v>
      </c>
      <c r="BE681" s="163">
        <v>5.5583861609999996</v>
      </c>
      <c r="BF681" s="163">
        <v>3.4865666099999999E-4</v>
      </c>
      <c r="BG681" s="163">
        <v>0</v>
      </c>
      <c r="BH681" s="163">
        <v>0</v>
      </c>
      <c r="BI681" s="163">
        <v>0</v>
      </c>
      <c r="BJ681" s="163">
        <v>0</v>
      </c>
      <c r="BK681" s="163">
        <v>0</v>
      </c>
      <c r="BL681" s="62">
        <v>0</v>
      </c>
      <c r="BM681" s="275">
        <v>2</v>
      </c>
      <c r="BN681" s="62">
        <v>0</v>
      </c>
      <c r="BO681" s="33" t="s">
        <v>526</v>
      </c>
    </row>
    <row r="682" spans="1:67">
      <c r="A682" s="33" t="str">
        <f>Database_Productkaarten[[#This Row],[Product]]&amp;", "&amp;Database_Productkaarten[[#This Row],[Levensfase]]</f>
        <v>SMA 8-11 G.M. - PCR 2.0, C3</v>
      </c>
      <c r="B682" s="33" t="s">
        <v>541</v>
      </c>
      <c r="C682" s="33" t="s">
        <v>483</v>
      </c>
      <c r="D682" s="33" t="s">
        <v>501</v>
      </c>
      <c r="E682" s="33" t="s">
        <v>378</v>
      </c>
      <c r="F682" s="33" t="s">
        <v>85</v>
      </c>
      <c r="L682" s="33">
        <v>2.35</v>
      </c>
      <c r="M682" s="269">
        <v>1</v>
      </c>
      <c r="N682" s="211">
        <v>0.15929996481874498</v>
      </c>
      <c r="O682" s="33">
        <v>16</v>
      </c>
      <c r="P682" s="163">
        <v>1.86519505885458E-6</v>
      </c>
      <c r="Q682" s="163">
        <v>7.9345026957322908E-3</v>
      </c>
      <c r="R682" s="163">
        <v>1.6136651906067601</v>
      </c>
      <c r="S682" s="163">
        <v>2.0852500925485999E-7</v>
      </c>
      <c r="T682" s="163">
        <v>5.8559282894496596E-4</v>
      </c>
      <c r="U682" s="163">
        <v>5.7290956089707003E-3</v>
      </c>
      <c r="V682" s="163">
        <v>1.2820009425562301E-3</v>
      </c>
      <c r="W682" s="163">
        <v>0.43705340687765698</v>
      </c>
      <c r="X682" s="163">
        <v>6.1895127550989299E-3</v>
      </c>
      <c r="Y682" s="163">
        <v>21.5058289739247</v>
      </c>
      <c r="Z682" s="163">
        <v>7.3298666315663402E-4</v>
      </c>
      <c r="AA682" s="163">
        <v>1.6243260241116599</v>
      </c>
      <c r="AB682" s="163">
        <v>1.6238599218480401</v>
      </c>
      <c r="AC682" s="163">
        <v>3.7124416651432898E-4</v>
      </c>
      <c r="AD682" s="163">
        <v>9.4858097097391805E-5</v>
      </c>
      <c r="AE682" s="163">
        <v>2.6274974754346103E-7</v>
      </c>
      <c r="AF682" s="163">
        <v>7.9167720626012201E-3</v>
      </c>
      <c r="AG682" s="163">
        <v>4.43182444394828E-6</v>
      </c>
      <c r="AH682" s="163">
        <v>3.30426093811672E-3</v>
      </c>
      <c r="AI682" s="163">
        <v>3.6283310996405402E-2</v>
      </c>
      <c r="AJ682" s="163">
        <v>9.6537099780873107E-3</v>
      </c>
      <c r="AK682" s="163">
        <v>1.86518042244578E-6</v>
      </c>
      <c r="AL682" s="163">
        <v>16.741316412150301</v>
      </c>
      <c r="AM682" s="163">
        <v>2.2296698829505801E-2</v>
      </c>
      <c r="AN682" s="163">
        <v>3.0576571393916903E-8</v>
      </c>
      <c r="AO682" s="163">
        <v>7.1855284920398596E-2</v>
      </c>
      <c r="AP682" s="163">
        <v>10.0456498575947</v>
      </c>
      <c r="AQ682" s="163">
        <v>3.5242587813786801E-10</v>
      </c>
      <c r="AR682" s="163">
        <v>7.5755651621864605E-9</v>
      </c>
      <c r="AS682" s="163">
        <v>2.1383382136228501</v>
      </c>
      <c r="AT682" s="163">
        <v>0</v>
      </c>
      <c r="AU682" s="163">
        <v>0</v>
      </c>
      <c r="AV682" s="313">
        <v>9.2018591886561404E-2</v>
      </c>
      <c r="AW682" s="315">
        <v>0</v>
      </c>
      <c r="AX682" s="315">
        <v>0</v>
      </c>
      <c r="AY682" s="313">
        <v>17.7787485296484</v>
      </c>
      <c r="AZ682" s="163">
        <v>0</v>
      </c>
      <c r="BA682" s="163">
        <v>0</v>
      </c>
      <c r="BB682" s="163">
        <v>0</v>
      </c>
      <c r="BC682" s="163">
        <v>8.65415061685748E-4</v>
      </c>
      <c r="BD682" s="163">
        <v>4.5591075101651702E-5</v>
      </c>
      <c r="BE682" s="163">
        <v>1.9809525686629699E-2</v>
      </c>
      <c r="BF682" s="163">
        <v>1.16353047400916E-4</v>
      </c>
      <c r="BG682" s="163">
        <v>0</v>
      </c>
      <c r="BH682" s="163">
        <v>1000</v>
      </c>
      <c r="BI682" s="163">
        <v>0</v>
      </c>
      <c r="BJ682" s="163">
        <v>0</v>
      </c>
      <c r="BK682" s="163">
        <v>0</v>
      </c>
      <c r="BL682" s="62">
        <v>0</v>
      </c>
      <c r="BM682" s="275">
        <v>2</v>
      </c>
      <c r="BN682" s="62">
        <v>0</v>
      </c>
      <c r="BO682" s="33" t="s">
        <v>526</v>
      </c>
    </row>
    <row r="683" spans="1:67">
      <c r="A683" s="33" t="str">
        <f>Database_Productkaarten[[#This Row],[Product]]&amp;", "&amp;Database_Productkaarten[[#This Row],[Levensfase]]</f>
        <v>SMA 8-11 G.M. - PCR 2.0, C4</v>
      </c>
      <c r="B683" s="33" t="s">
        <v>541</v>
      </c>
      <c r="C683" s="33" t="s">
        <v>483</v>
      </c>
      <c r="D683" s="33" t="s">
        <v>501</v>
      </c>
      <c r="E683" s="33" t="s">
        <v>378</v>
      </c>
      <c r="F683" s="33" t="s">
        <v>86</v>
      </c>
      <c r="L683" s="33">
        <v>2.35</v>
      </c>
      <c r="M683" s="269">
        <v>1</v>
      </c>
      <c r="N683" s="211">
        <v>0</v>
      </c>
      <c r="O683" s="33">
        <v>16</v>
      </c>
      <c r="P683" s="163">
        <v>0</v>
      </c>
      <c r="Q683" s="163">
        <v>0</v>
      </c>
      <c r="R683" s="163">
        <v>0</v>
      </c>
      <c r="S683" s="163">
        <v>0</v>
      </c>
      <c r="T683" s="163">
        <v>0</v>
      </c>
      <c r="U683" s="163">
        <v>0</v>
      </c>
      <c r="V683" s="163">
        <v>0</v>
      </c>
      <c r="W683" s="163">
        <v>0</v>
      </c>
      <c r="X683" s="163">
        <v>0</v>
      </c>
      <c r="Y683" s="163">
        <v>0</v>
      </c>
      <c r="Z683" s="163">
        <v>0</v>
      </c>
      <c r="AA683" s="163">
        <v>0</v>
      </c>
      <c r="AB683" s="163">
        <v>0</v>
      </c>
      <c r="AC683" s="163">
        <v>0</v>
      </c>
      <c r="AD683" s="163">
        <v>0</v>
      </c>
      <c r="AE683" s="163">
        <v>0</v>
      </c>
      <c r="AF683" s="163">
        <v>0</v>
      </c>
      <c r="AG683" s="163">
        <v>0</v>
      </c>
      <c r="AH683" s="163">
        <v>0</v>
      </c>
      <c r="AI683" s="163">
        <v>0</v>
      </c>
      <c r="AJ683" s="163">
        <v>0</v>
      </c>
      <c r="AK683" s="163">
        <v>0</v>
      </c>
      <c r="AL683" s="163">
        <v>0</v>
      </c>
      <c r="AM683" s="163">
        <v>0</v>
      </c>
      <c r="AN683" s="163">
        <v>0</v>
      </c>
      <c r="AO683" s="163">
        <v>0</v>
      </c>
      <c r="AP683" s="163">
        <v>0</v>
      </c>
      <c r="AQ683" s="163">
        <v>0</v>
      </c>
      <c r="AR683" s="163">
        <v>0</v>
      </c>
      <c r="AS683" s="163">
        <v>0</v>
      </c>
      <c r="AT683" s="163">
        <v>0</v>
      </c>
      <c r="AU683" s="163">
        <v>0</v>
      </c>
      <c r="AV683" s="313">
        <v>0</v>
      </c>
      <c r="AW683" s="315">
        <v>0</v>
      </c>
      <c r="AX683" s="315">
        <v>0</v>
      </c>
      <c r="AY683" s="313">
        <v>0</v>
      </c>
      <c r="AZ683" s="163">
        <v>0</v>
      </c>
      <c r="BA683" s="163">
        <v>0</v>
      </c>
      <c r="BB683" s="163">
        <v>0</v>
      </c>
      <c r="BC683" s="163">
        <v>0</v>
      </c>
      <c r="BD683" s="163">
        <v>0</v>
      </c>
      <c r="BE683" s="163">
        <v>0</v>
      </c>
      <c r="BF683" s="163">
        <v>0</v>
      </c>
      <c r="BG683" s="163">
        <v>0</v>
      </c>
      <c r="BH683" s="163">
        <v>0</v>
      </c>
      <c r="BI683" s="163">
        <v>0</v>
      </c>
      <c r="BJ683" s="163">
        <v>0</v>
      </c>
      <c r="BK683" s="163">
        <v>0</v>
      </c>
      <c r="BL683" s="62">
        <v>0</v>
      </c>
      <c r="BM683" s="275">
        <v>2</v>
      </c>
      <c r="BN683" s="62">
        <v>0</v>
      </c>
      <c r="BO683" s="33" t="s">
        <v>526</v>
      </c>
    </row>
    <row r="684" spans="1:67">
      <c r="A684" s="33" t="str">
        <f>Database_Productkaarten[[#This Row],[Product]]&amp;", "&amp;Database_Productkaarten[[#This Row],[Levensfase]]</f>
        <v>SMA 8-11 G.M. - PCR 2.0, D</v>
      </c>
      <c r="B684" s="33" t="s">
        <v>541</v>
      </c>
      <c r="C684" s="33" t="s">
        <v>483</v>
      </c>
      <c r="D684" s="33" t="s">
        <v>501</v>
      </c>
      <c r="E684" s="33" t="s">
        <v>378</v>
      </c>
      <c r="F684" s="33" t="s">
        <v>89</v>
      </c>
      <c r="L684" s="33">
        <v>2.35</v>
      </c>
      <c r="M684" s="269">
        <v>1</v>
      </c>
      <c r="N684" s="211">
        <v>-4.3679865550801846</v>
      </c>
      <c r="O684" s="33">
        <v>16</v>
      </c>
      <c r="P684" s="163">
        <v>-4.9038813744081298E-4</v>
      </c>
      <c r="Q684" s="163">
        <v>-0.74558617457573995</v>
      </c>
      <c r="R684" s="163">
        <v>-32.476786358156502</v>
      </c>
      <c r="S684" s="163">
        <v>-2.7847203931114602E-6</v>
      </c>
      <c r="T684" s="163">
        <v>-8.0189532038944106E-2</v>
      </c>
      <c r="U684" s="163">
        <v>-0.229417962036013</v>
      </c>
      <c r="V684" s="163">
        <v>-2.1887334326092901E-2</v>
      </c>
      <c r="W684" s="163">
        <v>-8.9008105527336205</v>
      </c>
      <c r="X684" s="163">
        <v>-1.15579790440444</v>
      </c>
      <c r="Y684" s="163">
        <v>-5047.7740662423703</v>
      </c>
      <c r="Z684" s="163">
        <v>-0.15217051445473401</v>
      </c>
      <c r="AA684" s="163">
        <v>-8.6996419338518791</v>
      </c>
      <c r="AB684" s="163">
        <v>-8.5956686497681698</v>
      </c>
      <c r="AC684" s="163">
        <v>-9.3379173256356404E-2</v>
      </c>
      <c r="AD684" s="163">
        <v>-1.05941108273534E-2</v>
      </c>
      <c r="AE684" s="163">
        <v>-1.13959398319269E-6</v>
      </c>
      <c r="AF684" s="163">
        <v>-8.4050570572292399E-2</v>
      </c>
      <c r="AG684" s="163">
        <v>-3.6733849129322999E-4</v>
      </c>
      <c r="AH684" s="163">
        <v>-2.48281595391289E-2</v>
      </c>
      <c r="AI684" s="163">
        <v>-0.31243681487317698</v>
      </c>
      <c r="AJ684" s="163">
        <v>-7.7086420452847595E-2</v>
      </c>
      <c r="AK684" s="163">
        <v>-4.8699678772903799E-4</v>
      </c>
      <c r="AL684" s="163">
        <v>-125.345592380013</v>
      </c>
      <c r="AM684" s="163">
        <v>-30.720181733403098</v>
      </c>
      <c r="AN684" s="163">
        <v>-1.18729781569588E-6</v>
      </c>
      <c r="AO684" s="163">
        <v>-0.67077370817293902</v>
      </c>
      <c r="AP684" s="163">
        <v>-1140.6084620363799</v>
      </c>
      <c r="AQ684" s="163">
        <v>-6.3431836537325399E-9</v>
      </c>
      <c r="AR684" s="163">
        <v>-1.4494123851674099E-7</v>
      </c>
      <c r="AS684" s="163">
        <v>-1407.4485176286601</v>
      </c>
      <c r="AT684" s="163">
        <v>0</v>
      </c>
      <c r="AU684" s="163">
        <v>0</v>
      </c>
      <c r="AV684" s="313">
        <v>-16.2626760282233</v>
      </c>
      <c r="AW684" s="315">
        <v>0</v>
      </c>
      <c r="AX684" s="315">
        <v>0</v>
      </c>
      <c r="AY684" s="313">
        <v>-1683.87225387029</v>
      </c>
      <c r="AZ684" s="163">
        <v>0</v>
      </c>
      <c r="BA684" s="163">
        <v>0</v>
      </c>
      <c r="BB684" s="163">
        <v>0</v>
      </c>
      <c r="BC684" s="163">
        <v>-17.9984712245686</v>
      </c>
      <c r="BD684" s="163">
        <v>-7.7956597309136895E-4</v>
      </c>
      <c r="BE684" s="163">
        <v>-3.0846445640326001</v>
      </c>
      <c r="BF684" s="163">
        <v>-9.1037909150971604E-4</v>
      </c>
      <c r="BG684" s="163">
        <v>0</v>
      </c>
      <c r="BH684" s="163">
        <v>0</v>
      </c>
      <c r="BI684" s="163">
        <v>0</v>
      </c>
      <c r="BJ684" s="163">
        <v>0</v>
      </c>
      <c r="BK684" s="163">
        <v>0</v>
      </c>
      <c r="BL684" s="62">
        <v>0</v>
      </c>
      <c r="BM684" s="275">
        <v>2</v>
      </c>
      <c r="BN684" s="62">
        <v>0</v>
      </c>
      <c r="BO684" s="33" t="s">
        <v>526</v>
      </c>
    </row>
    <row r="685" spans="1:67">
      <c r="A685" s="33" t="str">
        <f>Database_Productkaarten[[#This Row],[Product]]&amp;", "&amp;Database_Productkaarten[[#This Row],[Levensfase]]</f>
        <v>SMA 5 - PCR 2.0, Totaal</v>
      </c>
      <c r="B685" s="33" t="s">
        <v>542</v>
      </c>
      <c r="C685" s="33" t="s">
        <v>483</v>
      </c>
      <c r="D685" s="33" t="s">
        <v>501</v>
      </c>
      <c r="E685" s="33" t="s">
        <v>378</v>
      </c>
      <c r="F685" s="33" t="s">
        <v>90</v>
      </c>
      <c r="L685" s="33">
        <v>2.2999999999999998</v>
      </c>
      <c r="M685" s="269">
        <v>1</v>
      </c>
      <c r="N685" s="41">
        <f>SUM(N686:N701)</f>
        <v>26.996488241641629</v>
      </c>
      <c r="O685" s="33">
        <v>13</v>
      </c>
      <c r="P685" s="40">
        <f>SUM(P686:P701)</f>
        <v>2.0008762191841716E-3</v>
      </c>
      <c r="Q685" s="40">
        <f t="shared" ref="Q685:BK685" si="77">SUM(Q686:Q701)</f>
        <v>3.6269864861587822</v>
      </c>
      <c r="R685" s="40">
        <f t="shared" si="77"/>
        <v>240.11856040470312</v>
      </c>
      <c r="S685" s="40">
        <f t="shared" si="77"/>
        <v>2.4812887447172551E-5</v>
      </c>
      <c r="T685" s="40">
        <f t="shared" si="77"/>
        <v>0.34291738236582453</v>
      </c>
      <c r="U685" s="40">
        <f t="shared" si="77"/>
        <v>1.2148176555995127</v>
      </c>
      <c r="V685" s="40">
        <f t="shared" si="77"/>
        <v>0.15558355162525533</v>
      </c>
      <c r="W685" s="40">
        <f t="shared" si="77"/>
        <v>56.270223705645293</v>
      </c>
      <c r="X685" s="40">
        <f t="shared" si="77"/>
        <v>5.5962784410801785</v>
      </c>
      <c r="Y685" s="40">
        <f t="shared" si="77"/>
        <v>21888.965054757235</v>
      </c>
      <c r="Z685" s="40">
        <f t="shared" si="77"/>
        <v>0.71192521382291529</v>
      </c>
      <c r="AA685" s="40">
        <f t="shared" si="77"/>
        <v>274.8990238479094</v>
      </c>
      <c r="AB685" s="40">
        <f t="shared" si="77"/>
        <v>274.63617351823933</v>
      </c>
      <c r="AC685" s="40">
        <f t="shared" si="77"/>
        <v>0.16912591407626326</v>
      </c>
      <c r="AD685" s="40">
        <f t="shared" si="77"/>
        <v>0.18666839894407625</v>
      </c>
      <c r="AE685" s="40">
        <f t="shared" si="77"/>
        <v>3.2278714719517305E-5</v>
      </c>
      <c r="AF685" s="40">
        <f t="shared" si="77"/>
        <v>1.6985791576722649</v>
      </c>
      <c r="AG685" s="40">
        <f t="shared" si="77"/>
        <v>3.4098605877841558E-3</v>
      </c>
      <c r="AH685" s="40">
        <f t="shared" si="77"/>
        <v>0.38733108301280905</v>
      </c>
      <c r="AI685" s="40">
        <f t="shared" si="77"/>
        <v>4.0549084089962903</v>
      </c>
      <c r="AJ685" s="40">
        <f t="shared" si="77"/>
        <v>1.7785747902769979</v>
      </c>
      <c r="AK685" s="40">
        <f t="shared" si="77"/>
        <v>2.0040685881126149E-3</v>
      </c>
      <c r="AL685" s="40">
        <f t="shared" si="77"/>
        <v>9042.2532868207945</v>
      </c>
      <c r="AM685" s="40">
        <f t="shared" si="77"/>
        <v>115.50063568052016</v>
      </c>
      <c r="AN685" s="40">
        <f t="shared" si="77"/>
        <v>6.8503451992684108E-6</v>
      </c>
      <c r="AO685" s="40">
        <f t="shared" si="77"/>
        <v>8.6493772172562551</v>
      </c>
      <c r="AP685" s="40">
        <f t="shared" si="77"/>
        <v>9206.5680579959972</v>
      </c>
      <c r="AQ685" s="40">
        <f t="shared" si="77"/>
        <v>7.7903678424232882E-8</v>
      </c>
      <c r="AR685" s="40">
        <f t="shared" si="77"/>
        <v>2.8621655783398391E-6</v>
      </c>
      <c r="AS685" s="40">
        <f t="shared" si="77"/>
        <v>292.73244993138428</v>
      </c>
      <c r="AT685" s="40">
        <f t="shared" si="77"/>
        <v>8.065825212</v>
      </c>
      <c r="AU685" s="40">
        <f t="shared" si="77"/>
        <v>0</v>
      </c>
      <c r="AV685" s="313">
        <f t="shared" si="77"/>
        <v>109.11551180025911</v>
      </c>
      <c r="AW685" s="317">
        <f t="shared" si="77"/>
        <v>0.70667511750000001</v>
      </c>
      <c r="AX685" s="317">
        <f t="shared" si="77"/>
        <v>9.926829900000001E-4</v>
      </c>
      <c r="AY685" s="313">
        <f t="shared" si="77"/>
        <v>8093.1803652250965</v>
      </c>
      <c r="AZ685" s="40">
        <f t="shared" si="77"/>
        <v>0</v>
      </c>
      <c r="BA685" s="40">
        <f t="shared" si="77"/>
        <v>0</v>
      </c>
      <c r="BB685" s="40">
        <f t="shared" si="77"/>
        <v>0</v>
      </c>
      <c r="BC685" s="40">
        <f t="shared" si="77"/>
        <v>-14.35599532503686</v>
      </c>
      <c r="BD685" s="40">
        <f t="shared" si="77"/>
        <v>5.357239825308089E-3</v>
      </c>
      <c r="BE685" s="40">
        <f t="shared" si="77"/>
        <v>32.622365752221377</v>
      </c>
      <c r="BF685" s="40">
        <f t="shared" si="77"/>
        <v>9.2714378689563431E-3</v>
      </c>
      <c r="BG685" s="40">
        <f t="shared" si="77"/>
        <v>0</v>
      </c>
      <c r="BH685" s="40">
        <f t="shared" si="77"/>
        <v>1000</v>
      </c>
      <c r="BI685" s="40">
        <f t="shared" si="77"/>
        <v>0</v>
      </c>
      <c r="BJ685" s="40">
        <f t="shared" si="77"/>
        <v>0</v>
      </c>
      <c r="BK685" s="40">
        <f t="shared" si="77"/>
        <v>0</v>
      </c>
      <c r="BL685" s="62">
        <v>0</v>
      </c>
      <c r="BM685" s="275">
        <v>2</v>
      </c>
      <c r="BN685" s="62">
        <v>0</v>
      </c>
      <c r="BO685" s="33" t="s">
        <v>526</v>
      </c>
    </row>
    <row r="686" spans="1:67">
      <c r="A686" s="33" t="str">
        <f>Database_Productkaarten[[#This Row],[Product]]&amp;", "&amp;Database_Productkaarten[[#This Row],[Levensfase]]</f>
        <v>SMA 5 - PCR 2.0, A1</v>
      </c>
      <c r="B686" s="33" t="s">
        <v>542</v>
      </c>
      <c r="C686" s="33" t="s">
        <v>483</v>
      </c>
      <c r="D686" s="33" t="s">
        <v>501</v>
      </c>
      <c r="E686" s="33" t="s">
        <v>378</v>
      </c>
      <c r="F686" s="33" t="s">
        <v>74</v>
      </c>
      <c r="L686" s="33">
        <v>2.2999999999999998</v>
      </c>
      <c r="M686" s="269">
        <v>1</v>
      </c>
      <c r="N686" s="211">
        <v>9.6818731737250214</v>
      </c>
      <c r="O686" s="33">
        <v>13</v>
      </c>
      <c r="P686" s="163">
        <v>7.7562297151886005E-4</v>
      </c>
      <c r="Q686" s="163">
        <v>1.7633403983810101</v>
      </c>
      <c r="R686" s="163">
        <v>77.197889100783996</v>
      </c>
      <c r="S686" s="163">
        <v>5.6781399123178896E-6</v>
      </c>
      <c r="T686" s="163">
        <v>0.18612387724104701</v>
      </c>
      <c r="U686" s="163">
        <v>0.47291321977837297</v>
      </c>
      <c r="V686" s="163">
        <v>3.5418500861472697E-2</v>
      </c>
      <c r="W686" s="163">
        <v>18.258087203405701</v>
      </c>
      <c r="X686" s="163">
        <v>2.7649114892534099</v>
      </c>
      <c r="Y686" s="163">
        <v>12092.663054663701</v>
      </c>
      <c r="Z686" s="163">
        <v>0.357352854545327</v>
      </c>
      <c r="AA686" s="163">
        <v>81.958499519038597</v>
      </c>
      <c r="AB686" s="163">
        <v>81.937774552743207</v>
      </c>
      <c r="AC686" s="163">
        <v>2.0208472312760399E-2</v>
      </c>
      <c r="AD686" s="163">
        <v>4.6988493982606801E-2</v>
      </c>
      <c r="AE686" s="163">
        <v>6.8687024048335802E-6</v>
      </c>
      <c r="AF686" s="163">
        <v>0.54929540924891496</v>
      </c>
      <c r="AG686" s="163">
        <v>1.1817015308990999E-3</v>
      </c>
      <c r="AH686" s="163">
        <v>6.9462846512765505E-2</v>
      </c>
      <c r="AI686" s="163">
        <v>0.67591097628860897</v>
      </c>
      <c r="AJ686" s="163">
        <v>0.52721477307610898</v>
      </c>
      <c r="AK686" s="163">
        <v>7.7553682598355299E-4</v>
      </c>
      <c r="AL686" s="163">
        <v>3748.56202616778</v>
      </c>
      <c r="AM686" s="163">
        <v>70.384637926896303</v>
      </c>
      <c r="AN686" s="163">
        <v>2.287837018695E-6</v>
      </c>
      <c r="AO686" s="163">
        <v>2.2277283577065798</v>
      </c>
      <c r="AP686" s="163">
        <v>4652.7430430346903</v>
      </c>
      <c r="AQ686" s="163">
        <v>2.2163025683659502E-8</v>
      </c>
      <c r="AR686" s="163">
        <v>1.07218723366005E-6</v>
      </c>
      <c r="AS686" s="163">
        <v>413.60139405399002</v>
      </c>
      <c r="AT686" s="163">
        <v>0</v>
      </c>
      <c r="AU686" s="163">
        <v>0</v>
      </c>
      <c r="AV686" s="313">
        <v>41.508207262928799</v>
      </c>
      <c r="AW686" s="315">
        <v>0</v>
      </c>
      <c r="AX686" s="315">
        <v>0</v>
      </c>
      <c r="AY686" s="313">
        <v>3988.9062738716402</v>
      </c>
      <c r="AZ686" s="163">
        <v>0</v>
      </c>
      <c r="BA686" s="163">
        <v>0</v>
      </c>
      <c r="BB686" s="163">
        <v>0</v>
      </c>
      <c r="BC686" s="163">
        <v>1.6949960934644199</v>
      </c>
      <c r="BD686" s="163">
        <v>1.35901832814216E-3</v>
      </c>
      <c r="BE686" s="163">
        <v>3.7144097420461599</v>
      </c>
      <c r="BF686" s="163">
        <v>1.45613205490544E-3</v>
      </c>
      <c r="BG686" s="163">
        <v>0</v>
      </c>
      <c r="BH686" s="163">
        <v>0</v>
      </c>
      <c r="BI686" s="163">
        <v>0</v>
      </c>
      <c r="BJ686" s="163">
        <v>0</v>
      </c>
      <c r="BK686" s="163">
        <v>0</v>
      </c>
      <c r="BL686" s="62">
        <v>0</v>
      </c>
      <c r="BM686" s="275">
        <v>2</v>
      </c>
      <c r="BN686" s="62">
        <v>0</v>
      </c>
      <c r="BO686" s="33" t="s">
        <v>526</v>
      </c>
    </row>
    <row r="687" spans="1:67">
      <c r="A687" s="33" t="str">
        <f>Database_Productkaarten[[#This Row],[Product]]&amp;", "&amp;Database_Productkaarten[[#This Row],[Levensfase]]</f>
        <v>SMA 5 - PCR 2.0, A2</v>
      </c>
      <c r="B687" s="33" t="s">
        <v>542</v>
      </c>
      <c r="C687" s="33" t="s">
        <v>483</v>
      </c>
      <c r="D687" s="33" t="s">
        <v>501</v>
      </c>
      <c r="E687" s="33" t="s">
        <v>378</v>
      </c>
      <c r="F687" s="33" t="s">
        <v>75</v>
      </c>
      <c r="L687" s="33">
        <v>2.2999999999999998</v>
      </c>
      <c r="M687" s="269">
        <v>1</v>
      </c>
      <c r="N687" s="211">
        <v>3.7460392798365416</v>
      </c>
      <c r="O687" s="33">
        <v>13</v>
      </c>
      <c r="P687" s="163">
        <v>3.7190398794563403E-4</v>
      </c>
      <c r="Q687" s="163">
        <v>0.201318616771334</v>
      </c>
      <c r="R687" s="163">
        <v>31.333251071402302</v>
      </c>
      <c r="S687" s="163">
        <v>4.7303312797012602E-6</v>
      </c>
      <c r="T687" s="163">
        <v>1.8529681425807E-2</v>
      </c>
      <c r="U687" s="163">
        <v>0.204735553766942</v>
      </c>
      <c r="V687" s="163">
        <v>4.5000864814470201E-2</v>
      </c>
      <c r="W687" s="163">
        <v>8.8740625078812805</v>
      </c>
      <c r="X687" s="163">
        <v>0.234264644477476</v>
      </c>
      <c r="Y687" s="163">
        <v>778.97937012404304</v>
      </c>
      <c r="Z687" s="163">
        <v>3.9391161681549401E-2</v>
      </c>
      <c r="AA687" s="163">
        <v>31.687172014768301</v>
      </c>
      <c r="AB687" s="163">
        <v>31.595862352104799</v>
      </c>
      <c r="AC687" s="163">
        <v>4.30498110589713E-2</v>
      </c>
      <c r="AD687" s="163">
        <v>4.8259851604614601E-2</v>
      </c>
      <c r="AE687" s="163">
        <v>5.8892180723047504E-6</v>
      </c>
      <c r="AF687" s="163">
        <v>0.28389609795412202</v>
      </c>
      <c r="AG687" s="163">
        <v>3.6640428641644001E-4</v>
      </c>
      <c r="AH687" s="163">
        <v>0.11850483328455801</v>
      </c>
      <c r="AI687" s="163">
        <v>1.30456794904465</v>
      </c>
      <c r="AJ687" s="163">
        <v>0.34079867137825998</v>
      </c>
      <c r="AK687" s="163">
        <v>3.71891222613015E-4</v>
      </c>
      <c r="AL687" s="163">
        <v>417.17699585661302</v>
      </c>
      <c r="AM687" s="163">
        <v>1.8456996135972701</v>
      </c>
      <c r="AN687" s="163">
        <v>1.1941353165847999E-6</v>
      </c>
      <c r="AO687" s="163">
        <v>1.7935974732729401</v>
      </c>
      <c r="AP687" s="163">
        <v>369.55852628290103</v>
      </c>
      <c r="AQ687" s="163">
        <v>1.47227976295946E-8</v>
      </c>
      <c r="AR687" s="163">
        <v>2.9227679569994799E-7</v>
      </c>
      <c r="AS687" s="163">
        <v>330.00762929766103</v>
      </c>
      <c r="AT687" s="163">
        <v>0</v>
      </c>
      <c r="AU687" s="163">
        <v>0</v>
      </c>
      <c r="AV687" s="313">
        <v>8.6357407722046595</v>
      </c>
      <c r="AW687" s="315">
        <v>0</v>
      </c>
      <c r="AX687" s="315">
        <v>0</v>
      </c>
      <c r="AY687" s="313">
        <v>442.75535591437603</v>
      </c>
      <c r="AZ687" s="163">
        <v>0</v>
      </c>
      <c r="BA687" s="163">
        <v>0</v>
      </c>
      <c r="BB687" s="163">
        <v>0</v>
      </c>
      <c r="BC687" s="163">
        <v>7.2330684656779096E-2</v>
      </c>
      <c r="BD687" s="163">
        <v>1.0794442708460801E-3</v>
      </c>
      <c r="BE687" s="163">
        <v>8.3064769842310806</v>
      </c>
      <c r="BF687" s="163">
        <v>2.7127396323501501E-3</v>
      </c>
      <c r="BG687" s="163">
        <v>0</v>
      </c>
      <c r="BH687" s="163">
        <v>0</v>
      </c>
      <c r="BI687" s="163">
        <v>0</v>
      </c>
      <c r="BJ687" s="163">
        <v>0</v>
      </c>
      <c r="BK687" s="163">
        <v>0</v>
      </c>
      <c r="BL687" s="62">
        <v>0</v>
      </c>
      <c r="BM687" s="275">
        <v>2</v>
      </c>
      <c r="BN687" s="62">
        <v>0</v>
      </c>
      <c r="BO687" s="33" t="s">
        <v>526</v>
      </c>
    </row>
    <row r="688" spans="1:67">
      <c r="A688" s="33" t="str">
        <f>Database_Productkaarten[[#This Row],[Product]]&amp;", "&amp;Database_Productkaarten[[#This Row],[Levensfase]]</f>
        <v>SMA 5 - PCR 2.0, A3</v>
      </c>
      <c r="B688" s="33" t="s">
        <v>542</v>
      </c>
      <c r="C688" s="33" t="s">
        <v>483</v>
      </c>
      <c r="D688" s="33" t="s">
        <v>501</v>
      </c>
      <c r="E688" s="33" t="s">
        <v>378</v>
      </c>
      <c r="F688" s="33" t="s">
        <v>76</v>
      </c>
      <c r="L688" s="33">
        <v>2.2999999999999998</v>
      </c>
      <c r="M688" s="269">
        <v>1</v>
      </c>
      <c r="N688" s="211">
        <v>1.5599456357757979</v>
      </c>
      <c r="O688" s="33">
        <v>13</v>
      </c>
      <c r="P688" s="163">
        <v>2.4514260105643702E-5</v>
      </c>
      <c r="Q688" s="163">
        <v>0.18052311024999201</v>
      </c>
      <c r="R688" s="163">
        <v>21.344449567897399</v>
      </c>
      <c r="S688" s="163">
        <v>2.33953911067883E-6</v>
      </c>
      <c r="T688" s="163">
        <v>3.4779221754758401E-3</v>
      </c>
      <c r="U688" s="163">
        <v>2.2526428037886601E-2</v>
      </c>
      <c r="V688" s="163">
        <v>3.9170815696061697E-3</v>
      </c>
      <c r="W688" s="163">
        <v>3.5371115473813299</v>
      </c>
      <c r="X688" s="163">
        <v>2.61435573804835E-2</v>
      </c>
      <c r="Y688" s="163">
        <v>106.638643843346</v>
      </c>
      <c r="Z688" s="163">
        <v>2.7697504782819401E-2</v>
      </c>
      <c r="AA688" s="163">
        <v>21.672838906502001</v>
      </c>
      <c r="AB688" s="163">
        <v>21.6112049808245</v>
      </c>
      <c r="AC688" s="163">
        <v>5.9557781463687502E-2</v>
      </c>
      <c r="AD688" s="163">
        <v>2.0761442138622298E-3</v>
      </c>
      <c r="AE688" s="163">
        <v>2.6313298299371202E-6</v>
      </c>
      <c r="AF688" s="163">
        <v>2.89369517460209E-2</v>
      </c>
      <c r="AG688" s="163">
        <v>3.0159059471902898E-4</v>
      </c>
      <c r="AH688" s="163">
        <v>7.9768282703565393E-3</v>
      </c>
      <c r="AI688" s="163">
        <v>9.0713543624574802E-2</v>
      </c>
      <c r="AJ688" s="163">
        <v>2.6968567111565901E-2</v>
      </c>
      <c r="AK688" s="163">
        <v>2.4513927898939699E-5</v>
      </c>
      <c r="AL688" s="163">
        <v>331.74811979250302</v>
      </c>
      <c r="AM688" s="163">
        <v>0.59217241891702399</v>
      </c>
      <c r="AN688" s="163">
        <v>1.9337873135954E-7</v>
      </c>
      <c r="AO688" s="163">
        <v>0.26857505833224798</v>
      </c>
      <c r="AP688" s="163">
        <v>83.710480562523898</v>
      </c>
      <c r="AQ688" s="163">
        <v>2.84264400995483E-9</v>
      </c>
      <c r="AR688" s="163">
        <v>5.3093248261382897E-8</v>
      </c>
      <c r="AS688" s="163">
        <v>17.614904139246601</v>
      </c>
      <c r="AT688" s="163">
        <v>0</v>
      </c>
      <c r="AU688" s="163">
        <v>0</v>
      </c>
      <c r="AV688" s="313">
        <v>7.7204265270557899</v>
      </c>
      <c r="AW688" s="315">
        <v>0</v>
      </c>
      <c r="AX688" s="315">
        <v>0</v>
      </c>
      <c r="AY688" s="313">
        <v>365.19908965708902</v>
      </c>
      <c r="AZ688" s="163">
        <v>0</v>
      </c>
      <c r="BA688" s="163">
        <v>0</v>
      </c>
      <c r="BB688" s="163">
        <v>0</v>
      </c>
      <c r="BC688" s="163">
        <v>4.4673935641203699E-2</v>
      </c>
      <c r="BD688" s="163">
        <v>3.96842344785559E-4</v>
      </c>
      <c r="BE688" s="163">
        <v>0.28738556799268899</v>
      </c>
      <c r="BF688" s="163">
        <v>3.3387425600689402E-4</v>
      </c>
      <c r="BG688" s="163">
        <v>0</v>
      </c>
      <c r="BH688" s="163">
        <v>0</v>
      </c>
      <c r="BI688" s="163">
        <v>0</v>
      </c>
      <c r="BJ688" s="163">
        <v>0</v>
      </c>
      <c r="BK688" s="163">
        <v>0</v>
      </c>
      <c r="BL688" s="62">
        <v>0</v>
      </c>
      <c r="BM688" s="275">
        <v>2</v>
      </c>
      <c r="BN688" s="62">
        <v>0</v>
      </c>
      <c r="BO688" s="33" t="s">
        <v>526</v>
      </c>
    </row>
    <row r="689" spans="1:67">
      <c r="A689" s="33" t="str">
        <f>Database_Productkaarten[[#This Row],[Product]]&amp;", "&amp;Database_Productkaarten[[#This Row],[Levensfase]]</f>
        <v>SMA 5 - PCR 2.0, A1-A3</v>
      </c>
      <c r="B689" s="33" t="str">
        <f>B688</f>
        <v>SMA 5 - PCR 2.0</v>
      </c>
      <c r="C689" s="33" t="str">
        <f>C688</f>
        <v>Bitumineuze verhardingen</v>
      </c>
      <c r="D689" s="33" t="str">
        <f>D688</f>
        <v>SMA</v>
      </c>
      <c r="E689" s="33" t="str">
        <f>E688</f>
        <v>Ton</v>
      </c>
      <c r="F689" s="33" t="s">
        <v>77</v>
      </c>
      <c r="L689" s="33">
        <f>L688</f>
        <v>2.2999999999999998</v>
      </c>
      <c r="M689" s="45">
        <f>M688</f>
        <v>1</v>
      </c>
      <c r="N689" s="41">
        <f>SUM(N686:N688)</f>
        <v>14.98785808933736</v>
      </c>
      <c r="O689" s="33">
        <f>O688</f>
        <v>13</v>
      </c>
      <c r="P689" s="40">
        <f>SUM(P686:P688)</f>
        <v>1.1720412195701376E-3</v>
      </c>
      <c r="Q689" s="40">
        <f t="shared" ref="Q689:BK689" si="78">SUM(Q686:Q688)</f>
        <v>2.1451821254023358</v>
      </c>
      <c r="R689" s="40">
        <f t="shared" si="78"/>
        <v>129.87558974008368</v>
      </c>
      <c r="S689" s="40">
        <f t="shared" si="78"/>
        <v>1.2748010302697979E-5</v>
      </c>
      <c r="T689" s="40">
        <f t="shared" si="78"/>
        <v>0.20813148084232985</v>
      </c>
      <c r="U689" s="40">
        <f t="shared" si="78"/>
        <v>0.70017520158320157</v>
      </c>
      <c r="V689" s="40">
        <f t="shared" si="78"/>
        <v>8.4336447245549076E-2</v>
      </c>
      <c r="W689" s="40">
        <f t="shared" si="78"/>
        <v>30.66926125866831</v>
      </c>
      <c r="X689" s="40">
        <f t="shared" si="78"/>
        <v>3.0253196911113691</v>
      </c>
      <c r="Y689" s="40">
        <f t="shared" si="78"/>
        <v>12978.28106863109</v>
      </c>
      <c r="Z689" s="40">
        <f t="shared" si="78"/>
        <v>0.42444152100969579</v>
      </c>
      <c r="AA689" s="40">
        <f t="shared" si="78"/>
        <v>135.3185104403089</v>
      </c>
      <c r="AB689" s="40">
        <f t="shared" si="78"/>
        <v>135.14484188567252</v>
      </c>
      <c r="AC689" s="40">
        <f t="shared" si="78"/>
        <v>0.12281606483541921</v>
      </c>
      <c r="AD689" s="40">
        <f t="shared" si="78"/>
        <v>9.732448980108363E-2</v>
      </c>
      <c r="AE689" s="40">
        <f t="shared" si="78"/>
        <v>1.5389250307075452E-5</v>
      </c>
      <c r="AF689" s="40">
        <f t="shared" si="78"/>
        <v>0.86212845894905787</v>
      </c>
      <c r="AG689" s="40">
        <f t="shared" si="78"/>
        <v>1.8496964120345691E-3</v>
      </c>
      <c r="AH689" s="40">
        <f t="shared" si="78"/>
        <v>0.19594450806768005</v>
      </c>
      <c r="AI689" s="40">
        <f t="shared" si="78"/>
        <v>2.0711924689578338</v>
      </c>
      <c r="AJ689" s="40">
        <f t="shared" si="78"/>
        <v>0.89498201156593493</v>
      </c>
      <c r="AK689" s="40">
        <f t="shared" si="78"/>
        <v>1.1719419764955076E-3</v>
      </c>
      <c r="AL689" s="40">
        <f t="shared" si="78"/>
        <v>4497.4871418168959</v>
      </c>
      <c r="AM689" s="40">
        <f t="shared" si="78"/>
        <v>72.82250995941061</v>
      </c>
      <c r="AN689" s="40">
        <f t="shared" si="78"/>
        <v>3.6753510666393398E-6</v>
      </c>
      <c r="AO689" s="40">
        <f t="shared" si="78"/>
        <v>4.2899008893117676</v>
      </c>
      <c r="AP689" s="40">
        <f t="shared" si="78"/>
        <v>5106.0120498801152</v>
      </c>
      <c r="AQ689" s="40">
        <f t="shared" si="78"/>
        <v>3.972846732320893E-8</v>
      </c>
      <c r="AR689" s="40">
        <f t="shared" si="78"/>
        <v>1.417557277621381E-6</v>
      </c>
      <c r="AS689" s="40">
        <f t="shared" si="78"/>
        <v>761.22392749089772</v>
      </c>
      <c r="AT689" s="40">
        <f t="shared" si="78"/>
        <v>0</v>
      </c>
      <c r="AU689" s="40">
        <f t="shared" si="78"/>
        <v>0</v>
      </c>
      <c r="AV689" s="317">
        <f t="shared" si="78"/>
        <v>57.864374562189255</v>
      </c>
      <c r="AW689" s="317">
        <f t="shared" si="78"/>
        <v>0</v>
      </c>
      <c r="AX689" s="317">
        <f t="shared" si="78"/>
        <v>0</v>
      </c>
      <c r="AY689" s="317">
        <f t="shared" si="78"/>
        <v>4796.8607194431052</v>
      </c>
      <c r="AZ689" s="40">
        <f t="shared" si="78"/>
        <v>0</v>
      </c>
      <c r="BA689" s="40">
        <f t="shared" si="78"/>
        <v>0</v>
      </c>
      <c r="BB689" s="40">
        <f t="shared" si="78"/>
        <v>0</v>
      </c>
      <c r="BC689" s="40">
        <f t="shared" si="78"/>
        <v>1.8120007137624028</v>
      </c>
      <c r="BD689" s="40">
        <f t="shared" si="78"/>
        <v>2.835304943773799E-3</v>
      </c>
      <c r="BE689" s="40">
        <f t="shared" si="78"/>
        <v>12.30827229426993</v>
      </c>
      <c r="BF689" s="40">
        <f t="shared" si="78"/>
        <v>4.5027459432624845E-3</v>
      </c>
      <c r="BG689" s="40">
        <f t="shared" si="78"/>
        <v>0</v>
      </c>
      <c r="BH689" s="40">
        <f t="shared" si="78"/>
        <v>0</v>
      </c>
      <c r="BI689" s="40">
        <f t="shared" si="78"/>
        <v>0</v>
      </c>
      <c r="BJ689" s="40">
        <f t="shared" si="78"/>
        <v>0</v>
      </c>
      <c r="BK689" s="40">
        <f t="shared" si="78"/>
        <v>0</v>
      </c>
      <c r="BL689" s="62">
        <f>BL688</f>
        <v>0</v>
      </c>
      <c r="BM689" s="275">
        <f>BM688</f>
        <v>2</v>
      </c>
      <c r="BN689" s="62">
        <v>0</v>
      </c>
      <c r="BO689" s="33" t="str">
        <f>BO688</f>
        <v>Ecochain 2022 LCA Achtergrondrapport voor Nederlandse branchereferentiemengsels 2022</v>
      </c>
    </row>
    <row r="690" spans="1:67">
      <c r="A690" s="33" t="str">
        <f>Database_Productkaarten[[#This Row],[Product]]&amp;", "&amp;Database_Productkaarten[[#This Row],[Levensfase]]</f>
        <v>SMA 5 - PCR 2.0, A4</v>
      </c>
      <c r="B690" s="33" t="s">
        <v>542</v>
      </c>
      <c r="C690" s="33" t="s">
        <v>483</v>
      </c>
      <c r="D690" s="33" t="s">
        <v>501</v>
      </c>
      <c r="E690" s="33" t="s">
        <v>378</v>
      </c>
      <c r="F690" s="33" t="s">
        <v>78</v>
      </c>
      <c r="L690" s="33">
        <v>2.2999999999999998</v>
      </c>
      <c r="M690" s="269">
        <v>1</v>
      </c>
      <c r="N690" s="211">
        <v>0.37546048090943995</v>
      </c>
      <c r="O690" s="33">
        <v>13</v>
      </c>
      <c r="P690" s="163">
        <v>6.8533509000000002E-5</v>
      </c>
      <c r="Q690" s="163">
        <v>2.9713889699999999E-2</v>
      </c>
      <c r="R690" s="163">
        <v>3.9891474704999998</v>
      </c>
      <c r="S690" s="163">
        <v>7.557213E-7</v>
      </c>
      <c r="T690" s="163">
        <v>2.4773701499999998E-3</v>
      </c>
      <c r="U690" s="163">
        <v>1.36398132E-2</v>
      </c>
      <c r="V690" s="163">
        <v>2.5682192100000001E-3</v>
      </c>
      <c r="W690" s="163">
        <v>0.8608144794</v>
      </c>
      <c r="X690" s="163">
        <v>3.6189873900000002E-2</v>
      </c>
      <c r="Y690" s="163">
        <v>97.376595929999993</v>
      </c>
      <c r="Z690" s="163">
        <v>4.8437180999999999E-3</v>
      </c>
      <c r="AA690" s="163">
        <v>4.0259382761999998</v>
      </c>
      <c r="AB690" s="163">
        <v>4.0229543298000001</v>
      </c>
      <c r="AC690" s="163">
        <v>1.9814632200000001E-3</v>
      </c>
      <c r="AD690" s="163">
        <v>1.0024609799999999E-3</v>
      </c>
      <c r="AE690" s="163">
        <v>9.4976262000000003E-7</v>
      </c>
      <c r="AF690" s="163">
        <v>1.7739576E-2</v>
      </c>
      <c r="AG690" s="163">
        <v>2.7841996800000001E-5</v>
      </c>
      <c r="AH690" s="163">
        <v>5.5484582100000001E-3</v>
      </c>
      <c r="AI690" s="163">
        <v>6.1385308800000003E-2</v>
      </c>
      <c r="AJ690" s="163">
        <v>1.9235744999999999E-2</v>
      </c>
      <c r="AK690" s="163">
        <v>6.8533397999999998E-5</v>
      </c>
      <c r="AL690" s="163">
        <v>62.400806729999999</v>
      </c>
      <c r="AM690" s="163">
        <v>0.212954166</v>
      </c>
      <c r="AN690" s="163">
        <v>2.9338876200000002E-7</v>
      </c>
      <c r="AO690" s="163">
        <v>0.26868483510000002</v>
      </c>
      <c r="AP690" s="163">
        <v>45.56587296</v>
      </c>
      <c r="AQ690" s="163">
        <v>1.16371179E-9</v>
      </c>
      <c r="AR690" s="163">
        <v>3.8268015899999999E-8</v>
      </c>
      <c r="AS690" s="163">
        <v>71.806844609999999</v>
      </c>
      <c r="AT690" s="163">
        <v>0</v>
      </c>
      <c r="AU690" s="163">
        <v>0</v>
      </c>
      <c r="AV690" s="313">
        <v>0.63474917099999995</v>
      </c>
      <c r="AW690" s="315">
        <v>0</v>
      </c>
      <c r="AX690" s="315">
        <v>0</v>
      </c>
      <c r="AY690" s="313">
        <v>66.265108560000002</v>
      </c>
      <c r="AZ690" s="163">
        <v>0</v>
      </c>
      <c r="BA690" s="163">
        <v>0</v>
      </c>
      <c r="BB690" s="163">
        <v>0</v>
      </c>
      <c r="BC690" s="163">
        <v>6.7467797999999999E-3</v>
      </c>
      <c r="BD690" s="163">
        <v>1.54707915E-4</v>
      </c>
      <c r="BE690" s="163">
        <v>5.4635493149999999</v>
      </c>
      <c r="BF690" s="163">
        <v>4.25149758E-4</v>
      </c>
      <c r="BG690" s="163">
        <v>0</v>
      </c>
      <c r="BH690" s="163">
        <v>0</v>
      </c>
      <c r="BI690" s="163">
        <v>0</v>
      </c>
      <c r="BJ690" s="163">
        <v>0</v>
      </c>
      <c r="BK690" s="163">
        <v>0</v>
      </c>
      <c r="BL690" s="62">
        <v>0</v>
      </c>
      <c r="BM690" s="275">
        <v>2</v>
      </c>
      <c r="BN690" s="62">
        <v>0</v>
      </c>
      <c r="BO690" s="33" t="s">
        <v>526</v>
      </c>
    </row>
    <row r="691" spans="1:67">
      <c r="A691" s="33" t="str">
        <f>Database_Productkaarten[[#This Row],[Product]]&amp;", "&amp;Database_Productkaarten[[#This Row],[Levensfase]]</f>
        <v>SMA 5 - PCR 2.0, A5</v>
      </c>
      <c r="B691" s="33" t="s">
        <v>542</v>
      </c>
      <c r="C691" s="33" t="s">
        <v>483</v>
      </c>
      <c r="D691" s="33" t="s">
        <v>501</v>
      </c>
      <c r="E691" s="33" t="s">
        <v>378</v>
      </c>
      <c r="F691" s="33" t="s">
        <v>79</v>
      </c>
      <c r="L691" s="33">
        <v>2.2999999999999998</v>
      </c>
      <c r="M691" s="269">
        <v>1</v>
      </c>
      <c r="N691" s="211">
        <v>0.2597053336061183</v>
      </c>
      <c r="O691" s="33">
        <v>13</v>
      </c>
      <c r="P691" s="163">
        <v>2.9238192601566899E-6</v>
      </c>
      <c r="Q691" s="163">
        <v>1.2437869082647501E-2</v>
      </c>
      <c r="R691" s="163">
        <v>2.5295292172695301</v>
      </c>
      <c r="S691" s="163">
        <v>3.26877041223101E-7</v>
      </c>
      <c r="T691" s="163">
        <v>9.4117069382570703E-4</v>
      </c>
      <c r="U691" s="163">
        <v>1.04973944636062E-2</v>
      </c>
      <c r="V691" s="163">
        <v>2.4039520987081502E-3</v>
      </c>
      <c r="W691" s="163">
        <v>0.68877614098758899</v>
      </c>
      <c r="X691" s="163">
        <v>9.70247944156938E-3</v>
      </c>
      <c r="Y691" s="163">
        <v>33.711839975113598</v>
      </c>
      <c r="Z691" s="163">
        <v>1.14900611681374E-3</v>
      </c>
      <c r="AA691" s="163">
        <v>2.5482276291047801</v>
      </c>
      <c r="AB691" s="163">
        <v>2.5474969823195002</v>
      </c>
      <c r="AC691" s="163">
        <v>5.8195030848014401E-4</v>
      </c>
      <c r="AD691" s="163">
        <v>1.4869647680517201E-4</v>
      </c>
      <c r="AE691" s="163">
        <v>4.1187798224910598E-7</v>
      </c>
      <c r="AF691" s="163">
        <v>1.4654717119940401E-2</v>
      </c>
      <c r="AG691" s="163">
        <v>6.9471842668600303E-6</v>
      </c>
      <c r="AH691" s="163">
        <v>6.3596059807787602E-3</v>
      </c>
      <c r="AI691" s="163">
        <v>6.9798399555511204E-2</v>
      </c>
      <c r="AJ691" s="163">
        <v>1.8200499463318101E-2</v>
      </c>
      <c r="AK691" s="163">
        <v>2.9237963165969499E-6</v>
      </c>
      <c r="AL691" s="163">
        <v>26.2431446264793</v>
      </c>
      <c r="AM691" s="163">
        <v>3.4951581827788299E-2</v>
      </c>
      <c r="AN691" s="163">
        <v>5.4485692668444001E-8</v>
      </c>
      <c r="AO691" s="163">
        <v>0.11263801417770899</v>
      </c>
      <c r="AP691" s="163">
        <v>15.7470628327907</v>
      </c>
      <c r="AQ691" s="163">
        <v>5.5245137302842195E-10</v>
      </c>
      <c r="AR691" s="163">
        <v>1.3239865434751001E-8</v>
      </c>
      <c r="AS691" s="163">
        <v>3.3519896295273299</v>
      </c>
      <c r="AT691" s="163">
        <v>0</v>
      </c>
      <c r="AU691" s="163">
        <v>0</v>
      </c>
      <c r="AV691" s="313">
        <v>0.144245360416561</v>
      </c>
      <c r="AW691" s="315">
        <v>0</v>
      </c>
      <c r="AX691" s="315">
        <v>0</v>
      </c>
      <c r="AY691" s="313">
        <v>27.869389566283299</v>
      </c>
      <c r="AZ691" s="163">
        <v>0</v>
      </c>
      <c r="BA691" s="163">
        <v>0</v>
      </c>
      <c r="BB691" s="163">
        <v>0</v>
      </c>
      <c r="BC691" s="163">
        <v>1.35659657975171E-3</v>
      </c>
      <c r="BD691" s="163">
        <v>7.1467090743758304E-5</v>
      </c>
      <c r="BE691" s="163">
        <v>3.1052769961088501E-2</v>
      </c>
      <c r="BF691" s="163">
        <v>1.82391263466533E-4</v>
      </c>
      <c r="BG691" s="163">
        <v>0</v>
      </c>
      <c r="BH691" s="163">
        <v>0</v>
      </c>
      <c r="BI691" s="163">
        <v>0</v>
      </c>
      <c r="BJ691" s="163">
        <v>0</v>
      </c>
      <c r="BK691" s="163">
        <v>0</v>
      </c>
      <c r="BL691" s="62">
        <v>0</v>
      </c>
      <c r="BM691" s="275">
        <v>2</v>
      </c>
      <c r="BN691" s="62">
        <v>0</v>
      </c>
      <c r="BO691" s="33" t="s">
        <v>526</v>
      </c>
    </row>
    <row r="692" spans="1:67">
      <c r="A692" s="33" t="str">
        <f>Database_Productkaarten[[#This Row],[Product]]&amp;", "&amp;Database_Productkaarten[[#This Row],[Levensfase]]</f>
        <v>SMA 5 - PCR 2.0, B1</v>
      </c>
      <c r="B692" s="33" t="s">
        <v>542</v>
      </c>
      <c r="C692" s="33" t="s">
        <v>483</v>
      </c>
      <c r="D692" s="33" t="s">
        <v>501</v>
      </c>
      <c r="E692" s="33" t="s">
        <v>378</v>
      </c>
      <c r="F692" s="33" t="s">
        <v>80</v>
      </c>
      <c r="L692" s="33">
        <v>2.2999999999999998</v>
      </c>
      <c r="M692" s="269">
        <v>1</v>
      </c>
      <c r="N692" s="211">
        <v>0.14096322842223419</v>
      </c>
      <c r="O692" s="33">
        <v>13</v>
      </c>
      <c r="P692" s="163">
        <v>0</v>
      </c>
      <c r="Q692" s="163">
        <v>0</v>
      </c>
      <c r="R692" s="163">
        <v>0</v>
      </c>
      <c r="S692" s="163">
        <v>0</v>
      </c>
      <c r="T692" s="163">
        <v>0</v>
      </c>
      <c r="U692" s="163">
        <v>0</v>
      </c>
      <c r="V692" s="163">
        <v>0</v>
      </c>
      <c r="W692" s="163">
        <v>0.56785655602233698</v>
      </c>
      <c r="X692" s="163">
        <v>0.60877917791259695</v>
      </c>
      <c r="Y692" s="163">
        <v>715.71979564585104</v>
      </c>
      <c r="Z692" s="163">
        <v>3.4639130434757198E-4</v>
      </c>
      <c r="AA692" s="163">
        <v>0</v>
      </c>
      <c r="AB692" s="163">
        <v>0</v>
      </c>
      <c r="AC692" s="163">
        <v>0</v>
      </c>
      <c r="AD692" s="163">
        <v>0</v>
      </c>
      <c r="AE692" s="163">
        <v>0</v>
      </c>
      <c r="AF692" s="163">
        <v>0</v>
      </c>
      <c r="AG692" s="163">
        <v>0</v>
      </c>
      <c r="AH692" s="163">
        <v>0</v>
      </c>
      <c r="AI692" s="163">
        <v>0</v>
      </c>
      <c r="AJ692" s="163">
        <v>0</v>
      </c>
      <c r="AK692" s="163">
        <v>0</v>
      </c>
      <c r="AL692" s="163">
        <v>0</v>
      </c>
      <c r="AM692" s="163">
        <v>0</v>
      </c>
      <c r="AN692" s="163">
        <v>0</v>
      </c>
      <c r="AO692" s="163">
        <v>0</v>
      </c>
      <c r="AP692" s="163">
        <v>4.2204606607490804</v>
      </c>
      <c r="AQ692" s="163">
        <v>1.0549137982057499E-9</v>
      </c>
      <c r="AR692" s="163">
        <v>6.3377256890832599E-8</v>
      </c>
      <c r="AS692" s="163">
        <v>0</v>
      </c>
      <c r="AT692" s="163">
        <v>0</v>
      </c>
      <c r="AU692" s="163">
        <v>0</v>
      </c>
      <c r="AV692" s="313">
        <v>0</v>
      </c>
      <c r="AW692" s="315">
        <v>0</v>
      </c>
      <c r="AX692" s="315">
        <v>0</v>
      </c>
      <c r="AY692" s="313">
        <v>0</v>
      </c>
      <c r="AZ692" s="163">
        <v>0</v>
      </c>
      <c r="BA692" s="163">
        <v>0</v>
      </c>
      <c r="BB692" s="163">
        <v>0</v>
      </c>
      <c r="BC692" s="163">
        <v>0</v>
      </c>
      <c r="BD692" s="163">
        <v>0</v>
      </c>
      <c r="BE692" s="163">
        <v>0</v>
      </c>
      <c r="BF692" s="163">
        <v>0</v>
      </c>
      <c r="BG692" s="163">
        <v>0</v>
      </c>
      <c r="BH692" s="163">
        <v>0</v>
      </c>
      <c r="BI692" s="163">
        <v>0</v>
      </c>
      <c r="BJ692" s="163">
        <v>0</v>
      </c>
      <c r="BK692" s="163">
        <v>0</v>
      </c>
      <c r="BL692" s="62">
        <v>0</v>
      </c>
      <c r="BM692" s="275">
        <v>2</v>
      </c>
      <c r="BN692" s="62">
        <v>0</v>
      </c>
      <c r="BO692" s="33" t="s">
        <v>526</v>
      </c>
    </row>
    <row r="693" spans="1:67">
      <c r="A693" s="33" t="str">
        <f>Database_Productkaarten[[#This Row],[Product]]&amp;", "&amp;Database_Productkaarten[[#This Row],[Levensfase]]</f>
        <v>SMA 5 - PCR 2.0, B2</v>
      </c>
      <c r="B693" s="33" t="s">
        <v>542</v>
      </c>
      <c r="C693" s="33" t="s">
        <v>483</v>
      </c>
      <c r="D693" s="33" t="s">
        <v>501</v>
      </c>
      <c r="E693" s="33" t="s">
        <v>378</v>
      </c>
      <c r="F693" s="33" t="s">
        <v>527</v>
      </c>
      <c r="L693" s="33">
        <v>2.2999999999999998</v>
      </c>
      <c r="M693" s="269">
        <v>1</v>
      </c>
      <c r="N693" s="211">
        <v>0</v>
      </c>
      <c r="O693" s="33">
        <v>13</v>
      </c>
      <c r="P693" s="163">
        <v>0</v>
      </c>
      <c r="Q693" s="163">
        <v>0</v>
      </c>
      <c r="R693" s="163">
        <v>0</v>
      </c>
      <c r="S693" s="163">
        <v>0</v>
      </c>
      <c r="T693" s="163">
        <v>0</v>
      </c>
      <c r="U693" s="163">
        <v>0</v>
      </c>
      <c r="V693" s="163">
        <v>0</v>
      </c>
      <c r="W693" s="163">
        <v>0</v>
      </c>
      <c r="X693" s="163">
        <v>0</v>
      </c>
      <c r="Y693" s="163">
        <v>0</v>
      </c>
      <c r="Z693" s="163">
        <v>0</v>
      </c>
      <c r="AA693" s="163">
        <v>0</v>
      </c>
      <c r="AB693" s="163">
        <v>0</v>
      </c>
      <c r="AC693" s="163">
        <v>0</v>
      </c>
      <c r="AD693" s="163">
        <v>0</v>
      </c>
      <c r="AE693" s="163">
        <v>0</v>
      </c>
      <c r="AF693" s="163">
        <v>0</v>
      </c>
      <c r="AG693" s="163">
        <v>0</v>
      </c>
      <c r="AH693" s="163">
        <v>0</v>
      </c>
      <c r="AI693" s="163">
        <v>0</v>
      </c>
      <c r="AJ693" s="163">
        <v>0</v>
      </c>
      <c r="AK693" s="163">
        <v>0</v>
      </c>
      <c r="AL693" s="163">
        <v>0</v>
      </c>
      <c r="AM693" s="163">
        <v>0</v>
      </c>
      <c r="AN693" s="163">
        <v>0</v>
      </c>
      <c r="AO693" s="163">
        <v>0</v>
      </c>
      <c r="AP693" s="163">
        <v>0</v>
      </c>
      <c r="AQ693" s="163">
        <v>0</v>
      </c>
      <c r="AR693" s="163">
        <v>0</v>
      </c>
      <c r="AS693" s="163">
        <v>0</v>
      </c>
      <c r="AT693" s="163">
        <v>0</v>
      </c>
      <c r="AU693" s="163">
        <v>0</v>
      </c>
      <c r="AV693" s="313">
        <v>0</v>
      </c>
      <c r="AW693" s="315">
        <v>0</v>
      </c>
      <c r="AX693" s="315">
        <v>0</v>
      </c>
      <c r="AY693" s="313">
        <v>0</v>
      </c>
      <c r="AZ693" s="163">
        <v>0</v>
      </c>
      <c r="BA693" s="163">
        <v>0</v>
      </c>
      <c r="BB693" s="163">
        <v>0</v>
      </c>
      <c r="BC693" s="163">
        <v>0</v>
      </c>
      <c r="BD693" s="163">
        <v>0</v>
      </c>
      <c r="BE693" s="163">
        <v>0</v>
      </c>
      <c r="BF693" s="163">
        <v>0</v>
      </c>
      <c r="BG693" s="163">
        <v>0</v>
      </c>
      <c r="BH693" s="163">
        <v>0</v>
      </c>
      <c r="BI693" s="163">
        <v>0</v>
      </c>
      <c r="BJ693" s="163">
        <v>0</v>
      </c>
      <c r="BK693" s="163">
        <v>0</v>
      </c>
      <c r="BL693" s="62">
        <v>0</v>
      </c>
      <c r="BM693" s="275">
        <v>2</v>
      </c>
      <c r="BN693" s="62">
        <v>0</v>
      </c>
      <c r="BO693" s="33" t="s">
        <v>526</v>
      </c>
    </row>
    <row r="694" spans="1:67">
      <c r="A694" s="33" t="str">
        <f>Database_Productkaarten[[#This Row],[Product]]&amp;", "&amp;Database_Productkaarten[[#This Row],[Levensfase]]</f>
        <v>SMA 5 - PCR 2.0, B3</v>
      </c>
      <c r="B694" s="33" t="s">
        <v>542</v>
      </c>
      <c r="C694" s="33" t="s">
        <v>483</v>
      </c>
      <c r="D694" s="33" t="s">
        <v>501</v>
      </c>
      <c r="E694" s="33" t="s">
        <v>378</v>
      </c>
      <c r="F694" s="33" t="s">
        <v>81</v>
      </c>
      <c r="L694" s="33">
        <v>2.2999999999999998</v>
      </c>
      <c r="M694" s="269">
        <v>1</v>
      </c>
      <c r="N694" s="211">
        <v>0</v>
      </c>
      <c r="O694" s="33">
        <v>13</v>
      </c>
      <c r="P694" s="163">
        <v>0</v>
      </c>
      <c r="Q694" s="163">
        <v>0</v>
      </c>
      <c r="R694" s="163">
        <v>0</v>
      </c>
      <c r="S694" s="163">
        <v>0</v>
      </c>
      <c r="T694" s="163">
        <v>0</v>
      </c>
      <c r="U694" s="163">
        <v>0</v>
      </c>
      <c r="V694" s="163">
        <v>0</v>
      </c>
      <c r="W694" s="163">
        <v>0</v>
      </c>
      <c r="X694" s="163">
        <v>0</v>
      </c>
      <c r="Y694" s="163">
        <v>0</v>
      </c>
      <c r="Z694" s="163">
        <v>0</v>
      </c>
      <c r="AA694" s="163">
        <v>0</v>
      </c>
      <c r="AB694" s="163">
        <v>0</v>
      </c>
      <c r="AC694" s="163">
        <v>0</v>
      </c>
      <c r="AD694" s="163">
        <v>0</v>
      </c>
      <c r="AE694" s="163">
        <v>0</v>
      </c>
      <c r="AF694" s="163">
        <v>0</v>
      </c>
      <c r="AG694" s="163">
        <v>0</v>
      </c>
      <c r="AH694" s="163">
        <v>0</v>
      </c>
      <c r="AI694" s="163">
        <v>0</v>
      </c>
      <c r="AJ694" s="163">
        <v>0</v>
      </c>
      <c r="AK694" s="163">
        <v>0</v>
      </c>
      <c r="AL694" s="163">
        <v>0</v>
      </c>
      <c r="AM694" s="163">
        <v>0</v>
      </c>
      <c r="AN694" s="163">
        <v>0</v>
      </c>
      <c r="AO694" s="163">
        <v>0</v>
      </c>
      <c r="AP694" s="163">
        <v>0</v>
      </c>
      <c r="AQ694" s="163">
        <v>0</v>
      </c>
      <c r="AR694" s="163">
        <v>0</v>
      </c>
      <c r="AS694" s="163">
        <v>0</v>
      </c>
      <c r="AT694" s="163">
        <v>0</v>
      </c>
      <c r="AU694" s="163">
        <v>0</v>
      </c>
      <c r="AV694" s="313">
        <v>0</v>
      </c>
      <c r="AW694" s="315">
        <v>0</v>
      </c>
      <c r="AX694" s="315">
        <v>0</v>
      </c>
      <c r="AY694" s="313">
        <v>0</v>
      </c>
      <c r="AZ694" s="163">
        <v>0</v>
      </c>
      <c r="BA694" s="163">
        <v>0</v>
      </c>
      <c r="BB694" s="163">
        <v>0</v>
      </c>
      <c r="BC694" s="163">
        <v>0</v>
      </c>
      <c r="BD694" s="163">
        <v>0</v>
      </c>
      <c r="BE694" s="163">
        <v>0</v>
      </c>
      <c r="BF694" s="163">
        <v>0</v>
      </c>
      <c r="BG694" s="163">
        <v>0</v>
      </c>
      <c r="BH694" s="163">
        <v>0</v>
      </c>
      <c r="BI694" s="163">
        <v>0</v>
      </c>
      <c r="BJ694" s="163">
        <v>0</v>
      </c>
      <c r="BK694" s="163">
        <v>0</v>
      </c>
      <c r="BL694" s="62">
        <v>0</v>
      </c>
      <c r="BM694" s="275">
        <v>2</v>
      </c>
      <c r="BN694" s="62">
        <v>0</v>
      </c>
      <c r="BO694" s="33" t="s">
        <v>526</v>
      </c>
    </row>
    <row r="695" spans="1:67">
      <c r="A695" s="33" t="str">
        <f>Database_Productkaarten[[#This Row],[Product]]&amp;", "&amp;Database_Productkaarten[[#This Row],[Levensfase]]</f>
        <v>SMA 5 - PCR 2.0, B4</v>
      </c>
      <c r="B695" s="33" t="s">
        <v>542</v>
      </c>
      <c r="C695" s="33" t="s">
        <v>483</v>
      </c>
      <c r="D695" s="33" t="s">
        <v>501</v>
      </c>
      <c r="E695" s="33" t="s">
        <v>378</v>
      </c>
      <c r="F695" s="33" t="s">
        <v>82</v>
      </c>
      <c r="L695" s="33">
        <v>2.2999999999999998</v>
      </c>
      <c r="M695" s="269">
        <v>1</v>
      </c>
      <c r="N695" s="211">
        <v>0</v>
      </c>
      <c r="O695" s="33">
        <v>13</v>
      </c>
      <c r="P695" s="163">
        <v>0</v>
      </c>
      <c r="Q695" s="163">
        <v>0</v>
      </c>
      <c r="R695" s="163">
        <v>0</v>
      </c>
      <c r="S695" s="163">
        <v>0</v>
      </c>
      <c r="T695" s="163">
        <v>0</v>
      </c>
      <c r="U695" s="163">
        <v>0</v>
      </c>
      <c r="V695" s="163">
        <v>0</v>
      </c>
      <c r="W695" s="163">
        <v>0</v>
      </c>
      <c r="X695" s="163">
        <v>0</v>
      </c>
      <c r="Y695" s="163">
        <v>0</v>
      </c>
      <c r="Z695" s="163">
        <v>0</v>
      </c>
      <c r="AA695" s="163">
        <v>0</v>
      </c>
      <c r="AB695" s="163">
        <v>0</v>
      </c>
      <c r="AC695" s="163">
        <v>0</v>
      </c>
      <c r="AD695" s="163">
        <v>0</v>
      </c>
      <c r="AE695" s="163">
        <v>0</v>
      </c>
      <c r="AF695" s="163">
        <v>0</v>
      </c>
      <c r="AG695" s="163">
        <v>0</v>
      </c>
      <c r="AH695" s="163">
        <v>0</v>
      </c>
      <c r="AI695" s="163">
        <v>0</v>
      </c>
      <c r="AJ695" s="163">
        <v>0</v>
      </c>
      <c r="AK695" s="163">
        <v>0</v>
      </c>
      <c r="AL695" s="163">
        <v>0</v>
      </c>
      <c r="AM695" s="163">
        <v>0</v>
      </c>
      <c r="AN695" s="163">
        <v>0</v>
      </c>
      <c r="AO695" s="163">
        <v>0</v>
      </c>
      <c r="AP695" s="163">
        <v>0</v>
      </c>
      <c r="AQ695" s="163">
        <v>0</v>
      </c>
      <c r="AR695" s="163">
        <v>0</v>
      </c>
      <c r="AS695" s="163">
        <v>0</v>
      </c>
      <c r="AT695" s="163">
        <v>0</v>
      </c>
      <c r="AU695" s="163">
        <v>0</v>
      </c>
      <c r="AV695" s="313">
        <v>0</v>
      </c>
      <c r="AW695" s="315">
        <v>0</v>
      </c>
      <c r="AX695" s="315">
        <v>0</v>
      </c>
      <c r="AY695" s="313">
        <v>0</v>
      </c>
      <c r="AZ695" s="163">
        <v>0</v>
      </c>
      <c r="BA695" s="163">
        <v>0</v>
      </c>
      <c r="BB695" s="163">
        <v>0</v>
      </c>
      <c r="BC695" s="163">
        <v>0</v>
      </c>
      <c r="BD695" s="163">
        <v>0</v>
      </c>
      <c r="BE695" s="163">
        <v>0</v>
      </c>
      <c r="BF695" s="163">
        <v>0</v>
      </c>
      <c r="BG695" s="163">
        <v>0</v>
      </c>
      <c r="BH695" s="163">
        <v>0</v>
      </c>
      <c r="BI695" s="163">
        <v>0</v>
      </c>
      <c r="BJ695" s="163">
        <v>0</v>
      </c>
      <c r="BK695" s="163">
        <v>0</v>
      </c>
      <c r="BL695" s="62">
        <v>0</v>
      </c>
      <c r="BM695" s="275">
        <v>2</v>
      </c>
      <c r="BN695" s="62">
        <v>0</v>
      </c>
      <c r="BO695" s="33" t="s">
        <v>526</v>
      </c>
    </row>
    <row r="696" spans="1:67">
      <c r="A696" s="33" t="str">
        <f>Database_Productkaarten[[#This Row],[Product]]&amp;", "&amp;Database_Productkaarten[[#This Row],[Levensfase]]</f>
        <v>SMA 5 - PCR 2.0, B5</v>
      </c>
      <c r="B696" s="33" t="s">
        <v>542</v>
      </c>
      <c r="C696" s="33" t="s">
        <v>483</v>
      </c>
      <c r="D696" s="33" t="s">
        <v>501</v>
      </c>
      <c r="E696" s="33" t="s">
        <v>378</v>
      </c>
      <c r="F696" s="33" t="s">
        <v>528</v>
      </c>
      <c r="L696" s="33">
        <v>2.2999999999999998</v>
      </c>
      <c r="M696" s="269">
        <v>1</v>
      </c>
      <c r="N696" s="211">
        <v>0</v>
      </c>
      <c r="O696" s="33">
        <v>13</v>
      </c>
      <c r="P696" s="163">
        <v>0</v>
      </c>
      <c r="Q696" s="163">
        <v>0</v>
      </c>
      <c r="R696" s="163">
        <v>0</v>
      </c>
      <c r="S696" s="163">
        <v>0</v>
      </c>
      <c r="T696" s="163">
        <v>0</v>
      </c>
      <c r="U696" s="163">
        <v>0</v>
      </c>
      <c r="V696" s="163">
        <v>0</v>
      </c>
      <c r="W696" s="163">
        <v>0</v>
      </c>
      <c r="X696" s="163">
        <v>0</v>
      </c>
      <c r="Y696" s="163">
        <v>0</v>
      </c>
      <c r="Z696" s="163">
        <v>0</v>
      </c>
      <c r="AA696" s="163">
        <v>0</v>
      </c>
      <c r="AB696" s="163">
        <v>0</v>
      </c>
      <c r="AC696" s="163">
        <v>0</v>
      </c>
      <c r="AD696" s="163">
        <v>0</v>
      </c>
      <c r="AE696" s="163">
        <v>0</v>
      </c>
      <c r="AF696" s="163">
        <v>0</v>
      </c>
      <c r="AG696" s="163">
        <v>0</v>
      </c>
      <c r="AH696" s="163">
        <v>0</v>
      </c>
      <c r="AI696" s="163">
        <v>0</v>
      </c>
      <c r="AJ696" s="163">
        <v>0</v>
      </c>
      <c r="AK696" s="163">
        <v>0</v>
      </c>
      <c r="AL696" s="163">
        <v>0</v>
      </c>
      <c r="AM696" s="163">
        <v>0</v>
      </c>
      <c r="AN696" s="163">
        <v>0</v>
      </c>
      <c r="AO696" s="163">
        <v>0</v>
      </c>
      <c r="AP696" s="163">
        <v>0</v>
      </c>
      <c r="AQ696" s="163">
        <v>0</v>
      </c>
      <c r="AR696" s="163">
        <v>0</v>
      </c>
      <c r="AS696" s="163">
        <v>0</v>
      </c>
      <c r="AT696" s="163">
        <v>0</v>
      </c>
      <c r="AU696" s="163">
        <v>0</v>
      </c>
      <c r="AV696" s="313">
        <v>0</v>
      </c>
      <c r="AW696" s="315">
        <v>0</v>
      </c>
      <c r="AX696" s="315">
        <v>0</v>
      </c>
      <c r="AY696" s="313">
        <v>0</v>
      </c>
      <c r="AZ696" s="163">
        <v>0</v>
      </c>
      <c r="BA696" s="163">
        <v>0</v>
      </c>
      <c r="BB696" s="163">
        <v>0</v>
      </c>
      <c r="BC696" s="163">
        <v>0</v>
      </c>
      <c r="BD696" s="163">
        <v>0</v>
      </c>
      <c r="BE696" s="163">
        <v>0</v>
      </c>
      <c r="BF696" s="163">
        <v>0</v>
      </c>
      <c r="BG696" s="163">
        <v>0</v>
      </c>
      <c r="BH696" s="163">
        <v>0</v>
      </c>
      <c r="BI696" s="163">
        <v>0</v>
      </c>
      <c r="BJ696" s="163">
        <v>0</v>
      </c>
      <c r="BK696" s="163">
        <v>0</v>
      </c>
      <c r="BL696" s="62">
        <v>0</v>
      </c>
      <c r="BM696" s="275">
        <v>2</v>
      </c>
      <c r="BN696" s="62">
        <v>0</v>
      </c>
      <c r="BO696" s="33" t="s">
        <v>526</v>
      </c>
    </row>
    <row r="697" spans="1:67">
      <c r="A697" s="33" t="str">
        <f>Database_Productkaarten[[#This Row],[Product]]&amp;", "&amp;Database_Productkaarten[[#This Row],[Levensfase]]</f>
        <v>SMA 5 - PCR 2.0, C1</v>
      </c>
      <c r="B697" s="33" t="s">
        <v>542</v>
      </c>
      <c r="C697" s="33" t="s">
        <v>483</v>
      </c>
      <c r="D697" s="33" t="s">
        <v>501</v>
      </c>
      <c r="E697" s="33" t="s">
        <v>378</v>
      </c>
      <c r="F697" s="33" t="s">
        <v>83</v>
      </c>
      <c r="L697" s="33">
        <v>2.2999999999999998</v>
      </c>
      <c r="M697" s="269">
        <v>1</v>
      </c>
      <c r="N697" s="211">
        <v>0.13541602871149014</v>
      </c>
      <c r="O697" s="33">
        <v>13</v>
      </c>
      <c r="P697" s="163">
        <v>1.66355233767536E-6</v>
      </c>
      <c r="Q697" s="163">
        <v>7.0767186159891096E-3</v>
      </c>
      <c r="R697" s="163">
        <v>1.4392148994809399</v>
      </c>
      <c r="S697" s="163">
        <v>1.8598176483383299E-7</v>
      </c>
      <c r="T697" s="163">
        <v>4.7349882919510297E-4</v>
      </c>
      <c r="U697" s="163">
        <v>4.1086089189493798E-3</v>
      </c>
      <c r="V697" s="163">
        <v>8.8311374581697397E-4</v>
      </c>
      <c r="W697" s="163">
        <v>0.38738647406190602</v>
      </c>
      <c r="X697" s="163">
        <v>5.52037623399638E-3</v>
      </c>
      <c r="Y697" s="163">
        <v>19.1808744685991</v>
      </c>
      <c r="Z697" s="163">
        <v>6.5374485956643696E-4</v>
      </c>
      <c r="AA697" s="163">
        <v>1.4480810804389299</v>
      </c>
      <c r="AB697" s="163">
        <v>1.4476653676128199</v>
      </c>
      <c r="AC697" s="163">
        <v>3.3110965827318298E-4</v>
      </c>
      <c r="AD697" s="163">
        <v>8.4603167837425398E-5</v>
      </c>
      <c r="AE697" s="163">
        <v>2.34344369210698E-7</v>
      </c>
      <c r="AF697" s="163">
        <v>5.57923980962278E-3</v>
      </c>
      <c r="AG697" s="163">
        <v>3.9527082897651801E-6</v>
      </c>
      <c r="AH697" s="163">
        <v>2.1681682890645798E-3</v>
      </c>
      <c r="AI697" s="163">
        <v>2.3831205885041E-2</v>
      </c>
      <c r="AJ697" s="163">
        <v>6.50871025326933E-3</v>
      </c>
      <c r="AK697" s="163">
        <v>1.6635392835810201E-6</v>
      </c>
      <c r="AL697" s="163">
        <v>14.9314443564451</v>
      </c>
      <c r="AM697" s="163">
        <v>1.9886244833052E-2</v>
      </c>
      <c r="AN697" s="163">
        <v>2.30495801061881E-8</v>
      </c>
      <c r="AO697" s="163">
        <v>6.4087145997662104E-2</v>
      </c>
      <c r="AP697" s="163">
        <v>8.9589318481386204</v>
      </c>
      <c r="AQ697" s="163">
        <v>3.1432578120582601E-10</v>
      </c>
      <c r="AR697" s="163">
        <v>6.3100664550100597E-9</v>
      </c>
      <c r="AS697" s="163">
        <v>1.9071665133517599</v>
      </c>
      <c r="AT697" s="163">
        <v>0</v>
      </c>
      <c r="AU697" s="163">
        <v>0</v>
      </c>
      <c r="AV697" s="313">
        <v>8.2070636099077901E-2</v>
      </c>
      <c r="AW697" s="315">
        <v>0</v>
      </c>
      <c r="AX697" s="315">
        <v>0</v>
      </c>
      <c r="AY697" s="313">
        <v>15.8567216497819</v>
      </c>
      <c r="AZ697" s="163">
        <v>0</v>
      </c>
      <c r="BA697" s="163">
        <v>0</v>
      </c>
      <c r="BB697" s="163">
        <v>0</v>
      </c>
      <c r="BC697" s="163">
        <v>7.7185667468631898E-4</v>
      </c>
      <c r="BD697" s="163">
        <v>4.0662310250759001E-5</v>
      </c>
      <c r="BE697" s="163">
        <v>1.7667955322688299E-2</v>
      </c>
      <c r="BF697" s="163">
        <v>1.03774339558545E-4</v>
      </c>
      <c r="BG697" s="163">
        <v>0</v>
      </c>
      <c r="BH697" s="163">
        <v>0</v>
      </c>
      <c r="BI697" s="163">
        <v>0</v>
      </c>
      <c r="BJ697" s="163">
        <v>0</v>
      </c>
      <c r="BK697" s="163">
        <v>0</v>
      </c>
      <c r="BL697" s="62">
        <v>0</v>
      </c>
      <c r="BM697" s="275">
        <v>2</v>
      </c>
      <c r="BN697" s="62">
        <v>0</v>
      </c>
      <c r="BO697" s="33" t="s">
        <v>526</v>
      </c>
    </row>
    <row r="698" spans="1:67">
      <c r="A698" s="33" t="str">
        <f>Database_Productkaarten[[#This Row],[Product]]&amp;", "&amp;Database_Productkaarten[[#This Row],[Levensfase]]</f>
        <v>SMA 5 - PCR 2.0, C2</v>
      </c>
      <c r="B698" s="33" t="s">
        <v>542</v>
      </c>
      <c r="C698" s="33" t="s">
        <v>483</v>
      </c>
      <c r="D698" s="33" t="s">
        <v>501</v>
      </c>
      <c r="E698" s="33" t="s">
        <v>378</v>
      </c>
      <c r="F698" s="33" t="s">
        <v>84</v>
      </c>
      <c r="L698" s="33">
        <v>2.2999999999999998</v>
      </c>
      <c r="M698" s="269">
        <v>1</v>
      </c>
      <c r="N698" s="211">
        <v>0.31791357541832999</v>
      </c>
      <c r="O698" s="33">
        <v>13</v>
      </c>
      <c r="P698" s="163">
        <v>7.2195843000000002E-5</v>
      </c>
      <c r="Q698" s="163">
        <v>2.5045429500000001E-2</v>
      </c>
      <c r="R698" s="163">
        <v>3.2726104581</v>
      </c>
      <c r="S698" s="163">
        <v>6.2448211500000004E-7</v>
      </c>
      <c r="T698" s="163">
        <v>2.3663202E-3</v>
      </c>
      <c r="U698" s="163">
        <v>9.9103019999999993E-3</v>
      </c>
      <c r="V698" s="163">
        <v>1.66070541E-3</v>
      </c>
      <c r="W698" s="163">
        <v>0.89062466159999998</v>
      </c>
      <c r="X698" s="163">
        <v>3.5055542699999998E-2</v>
      </c>
      <c r="Y698" s="163">
        <v>92.682047400000002</v>
      </c>
      <c r="Z698" s="163">
        <v>7.4868390000000003E-3</v>
      </c>
      <c r="AA698" s="163">
        <v>3.3150718431000001</v>
      </c>
      <c r="AB698" s="163">
        <v>3.3001817481</v>
      </c>
      <c r="AC698" s="163">
        <v>1.3607189190000001E-2</v>
      </c>
      <c r="AD698" s="163">
        <v>1.2829113599999999E-3</v>
      </c>
      <c r="AE698" s="163">
        <v>7.8107336699999998E-7</v>
      </c>
      <c r="AF698" s="163">
        <v>1.2482505E-2</v>
      </c>
      <c r="AG698" s="163">
        <v>3.4632532799999998E-5</v>
      </c>
      <c r="AH698" s="163">
        <v>2.8897329300000001E-3</v>
      </c>
      <c r="AI698" s="163">
        <v>3.3662059799999998E-2</v>
      </c>
      <c r="AJ698" s="163">
        <v>1.2098522699999999E-2</v>
      </c>
      <c r="AK698" s="163">
        <v>7.2195510000000004E-5</v>
      </c>
      <c r="AL698" s="163">
        <v>52.307882313</v>
      </c>
      <c r="AM698" s="163">
        <v>0.28570883850000001</v>
      </c>
      <c r="AN698" s="163">
        <v>2.8544027399999998E-7</v>
      </c>
      <c r="AO698" s="163">
        <v>0.22308385950000001</v>
      </c>
      <c r="AP698" s="163">
        <v>50.61443379</v>
      </c>
      <c r="AQ698" s="163">
        <v>1.35209877E-9</v>
      </c>
      <c r="AR698" s="163">
        <v>4.3221490799999998E-8</v>
      </c>
      <c r="AS698" s="163">
        <v>98.528772599999996</v>
      </c>
      <c r="AT698" s="163">
        <v>8.065825212</v>
      </c>
      <c r="AU698" s="163">
        <v>0</v>
      </c>
      <c r="AV698" s="313">
        <v>8.6963547624000004</v>
      </c>
      <c r="AW698" s="315">
        <v>0.70667511750000001</v>
      </c>
      <c r="AX698" s="315">
        <v>9.926829900000001E-4</v>
      </c>
      <c r="AY698" s="313">
        <v>55.561210727999999</v>
      </c>
      <c r="AZ698" s="163">
        <v>0</v>
      </c>
      <c r="BA698" s="163">
        <v>0</v>
      </c>
      <c r="BB698" s="163">
        <v>0</v>
      </c>
      <c r="BC698" s="163">
        <v>8.7338241000000007E-3</v>
      </c>
      <c r="BD698" s="163">
        <v>1.5376752299999999E-4</v>
      </c>
      <c r="BE698" s="163">
        <v>5.5583861609999996</v>
      </c>
      <c r="BF698" s="163">
        <v>3.4865666099999999E-4</v>
      </c>
      <c r="BG698" s="163">
        <v>0</v>
      </c>
      <c r="BH698" s="163">
        <v>0</v>
      </c>
      <c r="BI698" s="163">
        <v>0</v>
      </c>
      <c r="BJ698" s="163">
        <v>0</v>
      </c>
      <c r="BK698" s="163">
        <v>0</v>
      </c>
      <c r="BL698" s="62">
        <v>0</v>
      </c>
      <c r="BM698" s="275">
        <v>2</v>
      </c>
      <c r="BN698" s="62">
        <v>0</v>
      </c>
      <c r="BO698" s="33" t="s">
        <v>526</v>
      </c>
    </row>
    <row r="699" spans="1:67">
      <c r="A699" s="33" t="str">
        <f>Database_Productkaarten[[#This Row],[Product]]&amp;", "&amp;Database_Productkaarten[[#This Row],[Levensfase]]</f>
        <v>SMA 5 - PCR 2.0, C3</v>
      </c>
      <c r="B699" s="33" t="s">
        <v>542</v>
      </c>
      <c r="C699" s="33" t="s">
        <v>483</v>
      </c>
      <c r="D699" s="33" t="s">
        <v>501</v>
      </c>
      <c r="E699" s="33" t="s">
        <v>378</v>
      </c>
      <c r="F699" s="33" t="s">
        <v>85</v>
      </c>
      <c r="L699" s="33">
        <v>2.2999999999999998</v>
      </c>
      <c r="M699" s="269">
        <v>1</v>
      </c>
      <c r="N699" s="211">
        <v>0.15929996470859115</v>
      </c>
      <c r="O699" s="33">
        <v>13</v>
      </c>
      <c r="P699" s="163">
        <v>1.8651950452723701E-6</v>
      </c>
      <c r="Q699" s="163">
        <v>7.9345026906544498E-3</v>
      </c>
      <c r="R699" s="163">
        <v>1.61366519032711</v>
      </c>
      <c r="S699" s="163">
        <v>2.0852500905611699E-7</v>
      </c>
      <c r="T699" s="163">
        <v>5.8559282781739104E-4</v>
      </c>
      <c r="U699" s="163">
        <v>5.7290956060941298E-3</v>
      </c>
      <c r="V699" s="163">
        <v>1.2820009422794801E-3</v>
      </c>
      <c r="W699" s="163">
        <v>0.43705340603001602</v>
      </c>
      <c r="X699" s="163">
        <v>6.1895127472080501E-3</v>
      </c>
      <c r="Y699" s="163">
        <v>21.505828949641401</v>
      </c>
      <c r="Z699" s="163">
        <v>7.32986660726004E-4</v>
      </c>
      <c r="AA699" s="163">
        <v>1.62432602382546</v>
      </c>
      <c r="AB699" s="163">
        <v>1.62385992156589</v>
      </c>
      <c r="AC699" s="163">
        <v>3.7124416230629803E-4</v>
      </c>
      <c r="AD699" s="163">
        <v>9.4858097272264901E-5</v>
      </c>
      <c r="AE699" s="163">
        <v>2.62749747296844E-7</v>
      </c>
      <c r="AF699" s="163">
        <v>7.9167720592731097E-3</v>
      </c>
      <c r="AG699" s="163">
        <v>4.4318244461003603E-6</v>
      </c>
      <c r="AH699" s="163">
        <v>3.3042609377385902E-3</v>
      </c>
      <c r="AI699" s="163">
        <v>3.6283310992313397E-2</v>
      </c>
      <c r="AJ699" s="163">
        <v>9.6537099748764208E-3</v>
      </c>
      <c r="AK699" s="163">
        <v>1.86518040886357E-6</v>
      </c>
      <c r="AL699" s="163">
        <v>16.7413163996506</v>
      </c>
      <c r="AM699" s="163">
        <v>2.2296698752209701E-2</v>
      </c>
      <c r="AN699" s="163">
        <v>3.0576571358147701E-8</v>
      </c>
      <c r="AO699" s="163">
        <v>7.1855284906469793E-2</v>
      </c>
      <c r="AP699" s="163">
        <v>10.045649855578199</v>
      </c>
      <c r="AQ699" s="163">
        <v>3.5242587589744399E-10</v>
      </c>
      <c r="AR699" s="163">
        <v>7.5755651453537404E-9</v>
      </c>
      <c r="AS699" s="163">
        <v>2.1383382119398502</v>
      </c>
      <c r="AT699" s="163">
        <v>0</v>
      </c>
      <c r="AU699" s="163">
        <v>0</v>
      </c>
      <c r="AV699" s="313">
        <v>9.2018591989875095E-2</v>
      </c>
      <c r="AW699" s="315">
        <v>0</v>
      </c>
      <c r="AX699" s="315">
        <v>0</v>
      </c>
      <c r="AY699" s="313">
        <v>17.778748516422102</v>
      </c>
      <c r="AZ699" s="163">
        <v>0</v>
      </c>
      <c r="BA699" s="163">
        <v>0</v>
      </c>
      <c r="BB699" s="163">
        <v>0</v>
      </c>
      <c r="BC699" s="163">
        <v>8.65415059496781E-4</v>
      </c>
      <c r="BD699" s="163">
        <v>4.5591075129638897E-5</v>
      </c>
      <c r="BE699" s="163">
        <v>1.9809525664832298E-2</v>
      </c>
      <c r="BF699" s="163">
        <v>1.16353047383823E-4</v>
      </c>
      <c r="BG699" s="163">
        <v>0</v>
      </c>
      <c r="BH699" s="163">
        <v>1000</v>
      </c>
      <c r="BI699" s="163">
        <v>0</v>
      </c>
      <c r="BJ699" s="163">
        <v>0</v>
      </c>
      <c r="BK699" s="163">
        <v>0</v>
      </c>
      <c r="BL699" s="62">
        <v>0</v>
      </c>
      <c r="BM699" s="275">
        <v>2</v>
      </c>
      <c r="BN699" s="62">
        <v>0</v>
      </c>
      <c r="BO699" s="33" t="s">
        <v>526</v>
      </c>
    </row>
    <row r="700" spans="1:67">
      <c r="A700" s="33" t="str">
        <f>Database_Productkaarten[[#This Row],[Product]]&amp;", "&amp;Database_Productkaarten[[#This Row],[Levensfase]]</f>
        <v>SMA 5 - PCR 2.0, C4</v>
      </c>
      <c r="B700" s="33" t="s">
        <v>542</v>
      </c>
      <c r="C700" s="33" t="s">
        <v>483</v>
      </c>
      <c r="D700" s="33" t="s">
        <v>501</v>
      </c>
      <c r="E700" s="33" t="s">
        <v>378</v>
      </c>
      <c r="F700" s="33" t="s">
        <v>86</v>
      </c>
      <c r="L700" s="33">
        <v>2.2999999999999998</v>
      </c>
      <c r="M700" s="269">
        <v>1</v>
      </c>
      <c r="N700" s="211">
        <v>0</v>
      </c>
      <c r="O700" s="33">
        <v>13</v>
      </c>
      <c r="P700" s="163">
        <v>0</v>
      </c>
      <c r="Q700" s="163">
        <v>0</v>
      </c>
      <c r="R700" s="163">
        <v>0</v>
      </c>
      <c r="S700" s="163">
        <v>0</v>
      </c>
      <c r="T700" s="163">
        <v>0</v>
      </c>
      <c r="U700" s="163">
        <v>0</v>
      </c>
      <c r="V700" s="163">
        <v>0</v>
      </c>
      <c r="W700" s="163">
        <v>0</v>
      </c>
      <c r="X700" s="163">
        <v>0</v>
      </c>
      <c r="Y700" s="163">
        <v>0</v>
      </c>
      <c r="Z700" s="163">
        <v>0</v>
      </c>
      <c r="AA700" s="163">
        <v>0</v>
      </c>
      <c r="AB700" s="163">
        <v>0</v>
      </c>
      <c r="AC700" s="163">
        <v>0</v>
      </c>
      <c r="AD700" s="163">
        <v>0</v>
      </c>
      <c r="AE700" s="163">
        <v>0</v>
      </c>
      <c r="AF700" s="163">
        <v>0</v>
      </c>
      <c r="AG700" s="163">
        <v>0</v>
      </c>
      <c r="AH700" s="163">
        <v>0</v>
      </c>
      <c r="AI700" s="163">
        <v>0</v>
      </c>
      <c r="AJ700" s="163">
        <v>0</v>
      </c>
      <c r="AK700" s="163">
        <v>0</v>
      </c>
      <c r="AL700" s="163">
        <v>0</v>
      </c>
      <c r="AM700" s="163">
        <v>0</v>
      </c>
      <c r="AN700" s="163">
        <v>0</v>
      </c>
      <c r="AO700" s="163">
        <v>0</v>
      </c>
      <c r="AP700" s="163">
        <v>0</v>
      </c>
      <c r="AQ700" s="163">
        <v>0</v>
      </c>
      <c r="AR700" s="163">
        <v>0</v>
      </c>
      <c r="AS700" s="163">
        <v>0</v>
      </c>
      <c r="AT700" s="163">
        <v>0</v>
      </c>
      <c r="AU700" s="163">
        <v>0</v>
      </c>
      <c r="AV700" s="313">
        <v>0</v>
      </c>
      <c r="AW700" s="315">
        <v>0</v>
      </c>
      <c r="AX700" s="315">
        <v>0</v>
      </c>
      <c r="AY700" s="313">
        <v>0</v>
      </c>
      <c r="AZ700" s="163">
        <v>0</v>
      </c>
      <c r="BA700" s="163">
        <v>0</v>
      </c>
      <c r="BB700" s="163">
        <v>0</v>
      </c>
      <c r="BC700" s="163">
        <v>0</v>
      </c>
      <c r="BD700" s="163">
        <v>0</v>
      </c>
      <c r="BE700" s="163">
        <v>0</v>
      </c>
      <c r="BF700" s="163">
        <v>0</v>
      </c>
      <c r="BG700" s="163">
        <v>0</v>
      </c>
      <c r="BH700" s="163">
        <v>0</v>
      </c>
      <c r="BI700" s="163">
        <v>0</v>
      </c>
      <c r="BJ700" s="163">
        <v>0</v>
      </c>
      <c r="BK700" s="163">
        <v>0</v>
      </c>
      <c r="BL700" s="62">
        <v>0</v>
      </c>
      <c r="BM700" s="275">
        <v>2</v>
      </c>
      <c r="BN700" s="62">
        <v>0</v>
      </c>
      <c r="BO700" s="33" t="s">
        <v>526</v>
      </c>
    </row>
    <row r="701" spans="1:67">
      <c r="A701" s="33" t="str">
        <f>Database_Productkaarten[[#This Row],[Product]]&amp;", "&amp;Database_Productkaarten[[#This Row],[Levensfase]]</f>
        <v>SMA 5 - PCR 2.0, D</v>
      </c>
      <c r="B701" s="33" t="s">
        <v>542</v>
      </c>
      <c r="C701" s="33" t="s">
        <v>483</v>
      </c>
      <c r="D701" s="33" t="s">
        <v>501</v>
      </c>
      <c r="E701" s="33" t="s">
        <v>378</v>
      </c>
      <c r="F701" s="33" t="s">
        <v>89</v>
      </c>
      <c r="L701" s="33">
        <v>2.2999999999999998</v>
      </c>
      <c r="M701" s="269">
        <v>1</v>
      </c>
      <c r="N701" s="211">
        <v>-4.3679865488092933</v>
      </c>
      <c r="O701" s="33">
        <v>13</v>
      </c>
      <c r="P701" s="163">
        <v>-4.9038813859920798E-4</v>
      </c>
      <c r="Q701" s="163">
        <v>-0.74558617423518103</v>
      </c>
      <c r="R701" s="163">
        <v>-32.476786311141801</v>
      </c>
      <c r="S701" s="163">
        <v>-2.7847203883364602E-6</v>
      </c>
      <c r="T701" s="163">
        <v>-8.0189532019673396E-2</v>
      </c>
      <c r="U701" s="163">
        <v>-0.22941796175554</v>
      </c>
      <c r="V701" s="163">
        <v>-2.1887334272647399E-2</v>
      </c>
      <c r="W701" s="163">
        <v>-8.9008105297931799</v>
      </c>
      <c r="X701" s="163">
        <v>-1.15579790407793</v>
      </c>
      <c r="Y701" s="163">
        <v>-5047.7740648741501</v>
      </c>
      <c r="Z701" s="163">
        <v>-0.15217051423792999</v>
      </c>
      <c r="AA701" s="163">
        <v>-8.6996418853775808</v>
      </c>
      <c r="AB701" s="163">
        <v>-8.5956686025039204</v>
      </c>
      <c r="AC701" s="163">
        <v>-9.3379172133634794E-2</v>
      </c>
      <c r="AD701" s="163">
        <v>-1.0594110740005901E-2</v>
      </c>
      <c r="AE701" s="163">
        <v>-1.1395939803902499E-6</v>
      </c>
      <c r="AF701" s="163">
        <v>-8.4050570214687398E-2</v>
      </c>
      <c r="AG701" s="163">
        <v>-3.67338482887708E-4</v>
      </c>
      <c r="AH701" s="163">
        <v>-2.4828159470133001E-2</v>
      </c>
      <c r="AI701" s="163">
        <v>-0.31243681395224299</v>
      </c>
      <c r="AJ701" s="163">
        <v>-7.7086420246335496E-2</v>
      </c>
      <c r="AK701" s="163">
        <v>-4.8699678888744198E-4</v>
      </c>
      <c r="AL701" s="163">
        <v>-125.345591238572</v>
      </c>
      <c r="AM701" s="163">
        <v>-30.720181768214101</v>
      </c>
      <c r="AN701" s="163">
        <v>-1.1872978141430501E-6</v>
      </c>
      <c r="AO701" s="163">
        <v>-0.67077370104912104</v>
      </c>
      <c r="AP701" s="163">
        <v>-1140.60845371149</v>
      </c>
      <c r="AQ701" s="163">
        <v>-6.3431836105224197E-9</v>
      </c>
      <c r="AR701" s="163">
        <v>-1.4494123752886999E-7</v>
      </c>
      <c r="AS701" s="163">
        <v>-1407.4485166152299</v>
      </c>
      <c r="AT701" s="163">
        <v>0</v>
      </c>
      <c r="AU701" s="163">
        <v>0</v>
      </c>
      <c r="AV701" s="313">
        <v>-16.262675846024901</v>
      </c>
      <c r="AW701" s="315">
        <v>0</v>
      </c>
      <c r="AX701" s="315">
        <v>0</v>
      </c>
      <c r="AY701" s="313">
        <v>-1683.8722526816</v>
      </c>
      <c r="AZ701" s="163">
        <v>0</v>
      </c>
      <c r="BA701" s="163">
        <v>0</v>
      </c>
      <c r="BB701" s="163">
        <v>0</v>
      </c>
      <c r="BC701" s="163">
        <v>-17.998471224775599</v>
      </c>
      <c r="BD701" s="163">
        <v>-7.7956597636366501E-4</v>
      </c>
      <c r="BE701" s="163">
        <v>-3.0846445632671</v>
      </c>
      <c r="BF701" s="163">
        <v>-9.1037908697752697E-4</v>
      </c>
      <c r="BG701" s="163">
        <v>0</v>
      </c>
      <c r="BH701" s="163">
        <v>0</v>
      </c>
      <c r="BI701" s="163">
        <v>0</v>
      </c>
      <c r="BJ701" s="163">
        <v>0</v>
      </c>
      <c r="BK701" s="163">
        <v>0</v>
      </c>
      <c r="BL701" s="62">
        <v>0</v>
      </c>
      <c r="BM701" s="275">
        <v>2</v>
      </c>
      <c r="BN701" s="62">
        <v>0</v>
      </c>
      <c r="BO701" s="33" t="s">
        <v>526</v>
      </c>
    </row>
    <row r="702" spans="1:67">
      <c r="A702" s="33" t="str">
        <f>Database_Productkaarten[[#This Row],[Product]]&amp;", "&amp;Database_Productkaarten[[#This Row],[Levensfase]]</f>
        <v>SMA G.R. (obv 8G+) - PCR 2.0, Totaal</v>
      </c>
      <c r="B702" s="33" t="s">
        <v>543</v>
      </c>
      <c r="C702" s="33" t="s">
        <v>483</v>
      </c>
      <c r="D702" s="33" t="s">
        <v>504</v>
      </c>
      <c r="E702" s="33" t="s">
        <v>378</v>
      </c>
      <c r="F702" s="33" t="s">
        <v>90</v>
      </c>
      <c r="L702" s="33">
        <v>2.2999999999999998</v>
      </c>
      <c r="M702" s="269">
        <v>1</v>
      </c>
      <c r="N702" s="41">
        <f>SUM(N703:N718)</f>
        <v>29.443711845126174</v>
      </c>
      <c r="O702" s="33">
        <v>16</v>
      </c>
      <c r="P702" s="40">
        <f>SUM(P703:P718)</f>
        <v>1.6543602860348165E-2</v>
      </c>
      <c r="Q702" s="40">
        <f t="shared" ref="Q702:BK702" si="79">SUM(Q703:Q718)</f>
        <v>3.6422709769891837</v>
      </c>
      <c r="R702" s="40">
        <f t="shared" si="79"/>
        <v>263.35089383684846</v>
      </c>
      <c r="S702" s="40">
        <f t="shared" si="79"/>
        <v>3.149925235517026E-5</v>
      </c>
      <c r="T702" s="40">
        <f t="shared" si="79"/>
        <v>0.32663558285544347</v>
      </c>
      <c r="U702" s="40">
        <f t="shared" si="79"/>
        <v>1.2747691698073031</v>
      </c>
      <c r="V702" s="40">
        <f t="shared" si="79"/>
        <v>0.17293923494522748</v>
      </c>
      <c r="W702" s="40">
        <f t="shared" si="79"/>
        <v>69.590080927737006</v>
      </c>
      <c r="X702" s="40">
        <f t="shared" si="79"/>
        <v>5.0647576776735042</v>
      </c>
      <c r="Y702" s="40">
        <f t="shared" si="79"/>
        <v>19249.771569495577</v>
      </c>
      <c r="Z702" s="40">
        <f t="shared" si="79"/>
        <v>0.68306187856572742</v>
      </c>
      <c r="AA702" s="40">
        <f t="shared" si="79"/>
        <v>296.8485697578634</v>
      </c>
      <c r="AB702" s="40">
        <f t="shared" si="79"/>
        <v>297.18762560762815</v>
      </c>
      <c r="AC702" s="40">
        <f t="shared" si="79"/>
        <v>-0.47300435513376932</v>
      </c>
      <c r="AD702" s="40">
        <f t="shared" si="79"/>
        <v>0.21081568871928832</v>
      </c>
      <c r="AE702" s="40">
        <f t="shared" si="79"/>
        <v>4.0297024540173452E-5</v>
      </c>
      <c r="AF702" s="40">
        <f t="shared" si="79"/>
        <v>1.7814993373104437</v>
      </c>
      <c r="AG702" s="40">
        <f t="shared" si="79"/>
        <v>4.8007311592470105E-3</v>
      </c>
      <c r="AH702" s="40">
        <f t="shared" si="79"/>
        <v>0.41466947945153121</v>
      </c>
      <c r="AI702" s="40">
        <f t="shared" si="79"/>
        <v>4.4126752316523454</v>
      </c>
      <c r="AJ702" s="40">
        <f t="shared" si="79"/>
        <v>1.8227801738349867</v>
      </c>
      <c r="AK702" s="40">
        <f t="shared" si="79"/>
        <v>1.6546819571460064E-2</v>
      </c>
      <c r="AL702" s="40">
        <f t="shared" si="79"/>
        <v>9011.3692650199573</v>
      </c>
      <c r="AM702" s="40">
        <f t="shared" si="79"/>
        <v>119.98566153966986</v>
      </c>
      <c r="AN702" s="40">
        <f t="shared" si="79"/>
        <v>8.9847983464388068E-6</v>
      </c>
      <c r="AO702" s="40">
        <f t="shared" si="79"/>
        <v>11.678290762224401</v>
      </c>
      <c r="AP702" s="40">
        <f t="shared" si="79"/>
        <v>8537.0909445094749</v>
      </c>
      <c r="AQ702" s="40">
        <f t="shared" si="79"/>
        <v>9.5521591154780314E-8</v>
      </c>
      <c r="AR702" s="40">
        <f t="shared" si="79"/>
        <v>3.0859645298756857E-6</v>
      </c>
      <c r="AS702" s="40">
        <f t="shared" si="79"/>
        <v>467.4920012677012</v>
      </c>
      <c r="AT702" s="40">
        <f t="shared" si="79"/>
        <v>8.065825212</v>
      </c>
      <c r="AU702" s="40">
        <f t="shared" si="79"/>
        <v>0</v>
      </c>
      <c r="AV702" s="313">
        <f t="shared" si="79"/>
        <v>148.93355870963319</v>
      </c>
      <c r="AW702" s="317">
        <f t="shared" si="79"/>
        <v>0.70667511750000001</v>
      </c>
      <c r="AX702" s="317">
        <f t="shared" si="79"/>
        <v>9.926829900000001E-4</v>
      </c>
      <c r="AY702" s="313">
        <f t="shared" si="79"/>
        <v>8065.380490606296</v>
      </c>
      <c r="AZ702" s="40">
        <f t="shared" si="79"/>
        <v>0</v>
      </c>
      <c r="BA702" s="40">
        <f t="shared" si="79"/>
        <v>0</v>
      </c>
      <c r="BB702" s="40">
        <f t="shared" si="79"/>
        <v>0</v>
      </c>
      <c r="BC702" s="40">
        <f t="shared" si="79"/>
        <v>-14.165527528471063</v>
      </c>
      <c r="BD702" s="40">
        <f t="shared" si="79"/>
        <v>5.8170949847538827E-3</v>
      </c>
      <c r="BE702" s="40">
        <f t="shared" si="79"/>
        <v>35.75591995708271</v>
      </c>
      <c r="BF702" s="40">
        <f t="shared" si="79"/>
        <v>1.3691006312056057E-2</v>
      </c>
      <c r="BG702" s="40">
        <f t="shared" si="79"/>
        <v>0</v>
      </c>
      <c r="BH702" s="40">
        <f t="shared" si="79"/>
        <v>1000</v>
      </c>
      <c r="BI702" s="40">
        <f t="shared" si="79"/>
        <v>0</v>
      </c>
      <c r="BJ702" s="40">
        <f t="shared" si="79"/>
        <v>0</v>
      </c>
      <c r="BK702" s="40">
        <f t="shared" si="79"/>
        <v>0</v>
      </c>
      <c r="BL702" s="62">
        <v>0</v>
      </c>
      <c r="BM702" s="275">
        <v>2</v>
      </c>
      <c r="BN702" s="62">
        <v>0</v>
      </c>
      <c r="BO702" s="33" t="s">
        <v>526</v>
      </c>
    </row>
    <row r="703" spans="1:67">
      <c r="A703" s="33" t="str">
        <f>Database_Productkaarten[[#This Row],[Product]]&amp;", "&amp;Database_Productkaarten[[#This Row],[Levensfase]]</f>
        <v>SMA G.R. (obv 8G+) - PCR 2.0, A1</v>
      </c>
      <c r="B703" s="33" t="s">
        <v>543</v>
      </c>
      <c r="C703" s="33" t="s">
        <v>483</v>
      </c>
      <c r="D703" s="33" t="s">
        <v>504</v>
      </c>
      <c r="E703" s="33" t="s">
        <v>378</v>
      </c>
      <c r="F703" s="33" t="s">
        <v>74</v>
      </c>
      <c r="L703" s="33">
        <v>2.2999999999999998</v>
      </c>
      <c r="M703" s="269">
        <v>1</v>
      </c>
      <c r="N703" s="211">
        <v>10.928361363273851</v>
      </c>
      <c r="O703" s="33">
        <v>16</v>
      </c>
      <c r="P703" s="163">
        <v>8.0762691796710997E-3</v>
      </c>
      <c r="Q703" s="163">
        <v>1.7727184852285001</v>
      </c>
      <c r="R703" s="163">
        <v>88.901136638666102</v>
      </c>
      <c r="S703" s="163">
        <v>9.0705370258173493E-6</v>
      </c>
      <c r="T703" s="163">
        <v>0.178114524904642</v>
      </c>
      <c r="U703" s="163">
        <v>0.50043314450993204</v>
      </c>
      <c r="V703" s="163">
        <v>4.33765373950609E-2</v>
      </c>
      <c r="W703" s="163">
        <v>25.244908639142199</v>
      </c>
      <c r="X703" s="163">
        <v>2.5103833151621702</v>
      </c>
      <c r="Y703" s="163">
        <v>10817.190459363201</v>
      </c>
      <c r="Z703" s="163">
        <v>0.34470778676538899</v>
      </c>
      <c r="AA703" s="163">
        <v>93.019808066132299</v>
      </c>
      <c r="AB703" s="163">
        <v>93.300930043718196</v>
      </c>
      <c r="AC703" s="163">
        <v>-0.29991776635740502</v>
      </c>
      <c r="AD703" s="163">
        <v>5.7229388771670602E-2</v>
      </c>
      <c r="AE703" s="163">
        <v>1.0944438639766699E-5</v>
      </c>
      <c r="AF703" s="163">
        <v>0.58685580211685895</v>
      </c>
      <c r="AG703" s="163">
        <v>1.8892430647806499E-3</v>
      </c>
      <c r="AH703" s="163">
        <v>8.0717025792903394E-2</v>
      </c>
      <c r="AI703" s="163">
        <v>0.82841602223863597</v>
      </c>
      <c r="AJ703" s="163">
        <v>0.54337770339573799</v>
      </c>
      <c r="AK703" s="163">
        <v>8.0761956897301302E-3</v>
      </c>
      <c r="AL703" s="163">
        <v>3736.8269554317499</v>
      </c>
      <c r="AM703" s="163">
        <v>72.652136740005005</v>
      </c>
      <c r="AN703" s="163">
        <v>3.4632964946646999E-6</v>
      </c>
      <c r="AO703" s="163">
        <v>3.7704401110483499</v>
      </c>
      <c r="AP703" s="163">
        <v>4326.5756103759704</v>
      </c>
      <c r="AQ703" s="163">
        <v>3.10393348985202E-8</v>
      </c>
      <c r="AR703" s="163">
        <v>1.1979072984615599E-6</v>
      </c>
      <c r="AS703" s="163">
        <v>508.80620222504501</v>
      </c>
      <c r="AT703" s="163">
        <v>0</v>
      </c>
      <c r="AU703" s="163">
        <v>0</v>
      </c>
      <c r="AV703" s="313">
        <v>61.618751277163803</v>
      </c>
      <c r="AW703" s="315">
        <v>0</v>
      </c>
      <c r="AX703" s="315">
        <v>0</v>
      </c>
      <c r="AY703" s="313">
        <v>3978.7067507571301</v>
      </c>
      <c r="AZ703" s="163">
        <v>0</v>
      </c>
      <c r="BA703" s="163">
        <v>0</v>
      </c>
      <c r="BB703" s="163">
        <v>0</v>
      </c>
      <c r="BC703" s="163">
        <v>1.7915761970897399</v>
      </c>
      <c r="BD703" s="163">
        <v>1.59913159984655E-3</v>
      </c>
      <c r="BE703" s="163">
        <v>6.6699782087769597</v>
      </c>
      <c r="BF703" s="163">
        <v>3.7122648518213E-3</v>
      </c>
      <c r="BG703" s="163">
        <v>0</v>
      </c>
      <c r="BH703" s="163">
        <v>0</v>
      </c>
      <c r="BI703" s="163">
        <v>0</v>
      </c>
      <c r="BJ703" s="163">
        <v>0</v>
      </c>
      <c r="BK703" s="163">
        <v>0</v>
      </c>
      <c r="BL703" s="62">
        <v>0</v>
      </c>
      <c r="BM703" s="275">
        <v>2</v>
      </c>
      <c r="BN703" s="62">
        <v>0</v>
      </c>
      <c r="BO703" s="33" t="s">
        <v>526</v>
      </c>
    </row>
    <row r="704" spans="1:67">
      <c r="A704" s="33" t="str">
        <f>Database_Productkaarten[[#This Row],[Product]]&amp;", "&amp;Database_Productkaarten[[#This Row],[Levensfase]]</f>
        <v>SMA G.R. (obv 8G+) - PCR 2.0, A2</v>
      </c>
      <c r="B704" s="33" t="s">
        <v>543</v>
      </c>
      <c r="C704" s="33" t="s">
        <v>483</v>
      </c>
      <c r="D704" s="33" t="s">
        <v>504</v>
      </c>
      <c r="E704" s="33" t="s">
        <v>378</v>
      </c>
      <c r="F704" s="33" t="s">
        <v>75</v>
      </c>
      <c r="L704" s="33">
        <v>2.2999999999999998</v>
      </c>
      <c r="M704" s="269">
        <v>1</v>
      </c>
      <c r="N704" s="211">
        <v>3.7185393803920634</v>
      </c>
      <c r="O704" s="33">
        <v>16</v>
      </c>
      <c r="P704" s="163">
        <v>3.4344438237098599E-4</v>
      </c>
      <c r="Q704" s="163">
        <v>0.19818125140700199</v>
      </c>
      <c r="R704" s="163">
        <v>31.118618831548101</v>
      </c>
      <c r="S704" s="163">
        <v>4.6478435008358204E-6</v>
      </c>
      <c r="T704" s="163">
        <v>1.83799988311561E-2</v>
      </c>
      <c r="U704" s="163">
        <v>0.20738086531588201</v>
      </c>
      <c r="V704" s="163">
        <v>4.5776670023098903E-2</v>
      </c>
      <c r="W704" s="163">
        <v>8.5522772901826905</v>
      </c>
      <c r="X704" s="163">
        <v>0.22354103482444701</v>
      </c>
      <c r="Y704" s="163">
        <v>736.99333674896195</v>
      </c>
      <c r="Z704" s="163">
        <v>3.8684036892196197E-2</v>
      </c>
      <c r="AA704" s="163">
        <v>31.473930117883299</v>
      </c>
      <c r="AB704" s="163">
        <v>31.379309577635901</v>
      </c>
      <c r="AC704" s="163">
        <v>4.4474086953005303E-2</v>
      </c>
      <c r="AD704" s="163">
        <v>5.0146453294297497E-2</v>
      </c>
      <c r="AE704" s="163">
        <v>5.7832835102059602E-6</v>
      </c>
      <c r="AF704" s="163">
        <v>0.28803433910251902</v>
      </c>
      <c r="AG704" s="163">
        <v>3.6677500321503101E-4</v>
      </c>
      <c r="AH704" s="163">
        <v>0.12095275967491199</v>
      </c>
      <c r="AI704" s="163">
        <v>1.3314514885637201</v>
      </c>
      <c r="AJ704" s="163">
        <v>0.34677705552940002</v>
      </c>
      <c r="AK704" s="163">
        <v>3.4343112217779598E-4</v>
      </c>
      <c r="AL704" s="163">
        <v>410.73004971100499</v>
      </c>
      <c r="AM704" s="163">
        <v>1.8415792914642699</v>
      </c>
      <c r="AN704" s="163">
        <v>1.08661810651378E-6</v>
      </c>
      <c r="AO704" s="163">
        <v>1.7690342765763001</v>
      </c>
      <c r="AP704" s="163">
        <v>363.67850968835302</v>
      </c>
      <c r="AQ704" s="163">
        <v>1.46784437817301E-8</v>
      </c>
      <c r="AR704" s="163">
        <v>2.7984886888034101E-7</v>
      </c>
      <c r="AS704" s="163">
        <v>322.713116661237</v>
      </c>
      <c r="AT704" s="163">
        <v>0</v>
      </c>
      <c r="AU704" s="163">
        <v>0</v>
      </c>
      <c r="AV704" s="313">
        <v>8.7379604343281905</v>
      </c>
      <c r="AW704" s="315">
        <v>0</v>
      </c>
      <c r="AX704" s="315">
        <v>0</v>
      </c>
      <c r="AY704" s="313">
        <v>435.90146209903099</v>
      </c>
      <c r="AZ704" s="163">
        <v>0</v>
      </c>
      <c r="BA704" s="163">
        <v>0</v>
      </c>
      <c r="BB704" s="163">
        <v>0</v>
      </c>
      <c r="BC704" s="163">
        <v>7.2698817302730395E-2</v>
      </c>
      <c r="BD704" s="163">
        <v>1.0643015658238801E-3</v>
      </c>
      <c r="BE704" s="163">
        <v>6.9244496348847102</v>
      </c>
      <c r="BF704" s="163">
        <v>2.6689746237921899E-3</v>
      </c>
      <c r="BG704" s="163">
        <v>0</v>
      </c>
      <c r="BH704" s="163">
        <v>0</v>
      </c>
      <c r="BI704" s="163">
        <v>0</v>
      </c>
      <c r="BJ704" s="163">
        <v>0</v>
      </c>
      <c r="BK704" s="163">
        <v>0</v>
      </c>
      <c r="BL704" s="62">
        <v>0</v>
      </c>
      <c r="BM704" s="275">
        <v>2</v>
      </c>
      <c r="BN704" s="62">
        <v>0</v>
      </c>
      <c r="BO704" s="33" t="s">
        <v>526</v>
      </c>
    </row>
    <row r="705" spans="1:67">
      <c r="A705" s="33" t="str">
        <f>Database_Productkaarten[[#This Row],[Product]]&amp;", "&amp;Database_Productkaarten[[#This Row],[Levensfase]]</f>
        <v>SMA G.R. (obv 8G+) - PCR 2.0, A3</v>
      </c>
      <c r="B705" s="33" t="s">
        <v>543</v>
      </c>
      <c r="C705" s="33" t="s">
        <v>483</v>
      </c>
      <c r="D705" s="33" t="s">
        <v>504</v>
      </c>
      <c r="E705" s="33" t="s">
        <v>378</v>
      </c>
      <c r="F705" s="33" t="s">
        <v>76</v>
      </c>
      <c r="L705" s="33">
        <v>2.2999999999999998</v>
      </c>
      <c r="M705" s="269">
        <v>1</v>
      </c>
      <c r="N705" s="211">
        <v>1.5645691503586305</v>
      </c>
      <c r="O705" s="33">
        <v>16</v>
      </c>
      <c r="P705" s="163">
        <v>2.3690977507357398E-5</v>
      </c>
      <c r="Q705" s="163">
        <v>0.18192463434353001</v>
      </c>
      <c r="R705" s="163">
        <v>21.472001008965801</v>
      </c>
      <c r="S705" s="163">
        <v>2.37281223208739E-6</v>
      </c>
      <c r="T705" s="163">
        <v>3.4960573590262002E-3</v>
      </c>
      <c r="U705" s="163">
        <v>2.2336948996543499E-2</v>
      </c>
      <c r="V705" s="163">
        <v>3.8610815136193798E-3</v>
      </c>
      <c r="W705" s="163">
        <v>3.5320039503933001</v>
      </c>
      <c r="X705" s="163">
        <v>2.5634959571020501E-2</v>
      </c>
      <c r="Y705" s="163">
        <v>104.50053053020601</v>
      </c>
      <c r="Z705" s="163">
        <v>2.6618029827714301E-2</v>
      </c>
      <c r="AA705" s="163">
        <v>21.799545235012399</v>
      </c>
      <c r="AB705" s="163">
        <v>21.740328332156899</v>
      </c>
      <c r="AC705" s="163">
        <v>5.7194610188884699E-2</v>
      </c>
      <c r="AD705" s="163">
        <v>2.02229266669782E-3</v>
      </c>
      <c r="AE705" s="163">
        <v>2.6706830684055099E-6</v>
      </c>
      <c r="AF705" s="163">
        <v>2.8698407721815301E-2</v>
      </c>
      <c r="AG705" s="163">
        <v>2.8911363397679898E-4</v>
      </c>
      <c r="AH705" s="163">
        <v>7.9439208530696793E-3</v>
      </c>
      <c r="AI705" s="163">
        <v>9.0208369936894101E-2</v>
      </c>
      <c r="AJ705" s="163">
        <v>2.69299445174934E-2</v>
      </c>
      <c r="AK705" s="163">
        <v>2.3690655658611902E-5</v>
      </c>
      <c r="AL705" s="163">
        <v>334.48812632282198</v>
      </c>
      <c r="AM705" s="163">
        <v>0.57130683997697895</v>
      </c>
      <c r="AN705" s="163">
        <v>1.9266303976060299E-7</v>
      </c>
      <c r="AO705" s="163">
        <v>0.26488327770900699</v>
      </c>
      <c r="AP705" s="163">
        <v>81.019377231487994</v>
      </c>
      <c r="AQ705" s="163">
        <v>2.8196450259620801E-9</v>
      </c>
      <c r="AR705" s="163">
        <v>5.1700586512222503E-8</v>
      </c>
      <c r="AS705" s="163">
        <v>17.084384776578101</v>
      </c>
      <c r="AT705" s="163">
        <v>0</v>
      </c>
      <c r="AU705" s="163">
        <v>0</v>
      </c>
      <c r="AV705" s="313">
        <v>7.4166863966621897</v>
      </c>
      <c r="AW705" s="315">
        <v>0</v>
      </c>
      <c r="AX705" s="315">
        <v>0</v>
      </c>
      <c r="AY705" s="313">
        <v>368.35256984901099</v>
      </c>
      <c r="AZ705" s="163">
        <v>0</v>
      </c>
      <c r="BA705" s="163">
        <v>0</v>
      </c>
      <c r="BB705" s="163">
        <v>0</v>
      </c>
      <c r="BC705" s="163">
        <v>4.2959597545544598E-2</v>
      </c>
      <c r="BD705" s="163">
        <v>4.0179935623852798E-4</v>
      </c>
      <c r="BE705" s="163">
        <v>0.28062155338397698</v>
      </c>
      <c r="BF705" s="163">
        <v>3.3129069143537899E-4</v>
      </c>
      <c r="BG705" s="163">
        <v>0</v>
      </c>
      <c r="BH705" s="163">
        <v>0</v>
      </c>
      <c r="BI705" s="163">
        <v>0</v>
      </c>
      <c r="BJ705" s="163">
        <v>0</v>
      </c>
      <c r="BK705" s="163">
        <v>0</v>
      </c>
      <c r="BL705" s="62">
        <v>0</v>
      </c>
      <c r="BM705" s="275">
        <v>2</v>
      </c>
      <c r="BN705" s="62">
        <v>0</v>
      </c>
      <c r="BO705" s="33" t="s">
        <v>526</v>
      </c>
    </row>
    <row r="706" spans="1:67">
      <c r="A706" s="33" t="str">
        <f>Database_Productkaarten[[#This Row],[Product]]&amp;", "&amp;Database_Productkaarten[[#This Row],[Levensfase]]</f>
        <v>SMA G.R. (obv 8G+) - PCR 2.0, A1-A3</v>
      </c>
      <c r="B706" s="33" t="str">
        <f>B705</f>
        <v>SMA G.R. (obv 8G+) - PCR 2.0</v>
      </c>
      <c r="C706" s="33" t="str">
        <f>C705</f>
        <v>Bitumineuze verhardingen</v>
      </c>
      <c r="D706" s="33" t="s">
        <v>504</v>
      </c>
      <c r="E706" s="33" t="str">
        <f>E705</f>
        <v>Ton</v>
      </c>
      <c r="F706" s="33" t="s">
        <v>77</v>
      </c>
      <c r="L706" s="33">
        <f>L705</f>
        <v>2.2999999999999998</v>
      </c>
      <c r="M706" s="45">
        <f>M705</f>
        <v>1</v>
      </c>
      <c r="N706" s="41">
        <f>SUM(N703:N705)</f>
        <v>16.211469894024543</v>
      </c>
      <c r="O706" s="33">
        <f>O705</f>
        <v>16</v>
      </c>
      <c r="P706" s="40">
        <f>SUM(P703:P705)</f>
        <v>8.4434045395494432E-3</v>
      </c>
      <c r="Q706" s="40">
        <f t="shared" ref="Q706:BK706" si="80">SUM(Q703:Q705)</f>
        <v>2.1528243709790322</v>
      </c>
      <c r="R706" s="40">
        <f t="shared" si="80"/>
        <v>141.49175647918</v>
      </c>
      <c r="S706" s="40">
        <f t="shared" si="80"/>
        <v>1.6091192758740561E-5</v>
      </c>
      <c r="T706" s="40">
        <f t="shared" si="80"/>
        <v>0.19999058109482429</v>
      </c>
      <c r="U706" s="40">
        <f t="shared" si="80"/>
        <v>0.73015095882235759</v>
      </c>
      <c r="V706" s="40">
        <f t="shared" si="80"/>
        <v>9.3014288931779182E-2</v>
      </c>
      <c r="W706" s="40">
        <f t="shared" si="80"/>
        <v>37.329189879718193</v>
      </c>
      <c r="X706" s="40">
        <f t="shared" si="80"/>
        <v>2.7595593095576376</v>
      </c>
      <c r="Y706" s="40">
        <f t="shared" si="80"/>
        <v>11658.684326642368</v>
      </c>
      <c r="Z706" s="40">
        <f t="shared" si="80"/>
        <v>0.4100098534852995</v>
      </c>
      <c r="AA706" s="40">
        <f t="shared" si="80"/>
        <v>146.293283419028</v>
      </c>
      <c r="AB706" s="40">
        <f t="shared" si="80"/>
        <v>146.42056795351101</v>
      </c>
      <c r="AC706" s="40">
        <f t="shared" si="80"/>
        <v>-0.19824906921551502</v>
      </c>
      <c r="AD706" s="40">
        <f t="shared" si="80"/>
        <v>0.10939813473266591</v>
      </c>
      <c r="AE706" s="40">
        <f t="shared" si="80"/>
        <v>1.9398405218378166E-5</v>
      </c>
      <c r="AF706" s="40">
        <f t="shared" si="80"/>
        <v>0.90358854894119323</v>
      </c>
      <c r="AG706" s="40">
        <f t="shared" si="80"/>
        <v>2.5451317019724801E-3</v>
      </c>
      <c r="AH706" s="40">
        <f t="shared" si="80"/>
        <v>0.20961370632088508</v>
      </c>
      <c r="AI706" s="40">
        <f t="shared" si="80"/>
        <v>2.2500758807392502</v>
      </c>
      <c r="AJ706" s="40">
        <f t="shared" si="80"/>
        <v>0.91708470344263138</v>
      </c>
      <c r="AK706" s="40">
        <f t="shared" si="80"/>
        <v>8.4433174675665381E-3</v>
      </c>
      <c r="AL706" s="40">
        <f t="shared" si="80"/>
        <v>4482.0451314655766</v>
      </c>
      <c r="AM706" s="40">
        <f t="shared" si="80"/>
        <v>75.06502287144626</v>
      </c>
      <c r="AN706" s="40">
        <f t="shared" si="80"/>
        <v>4.7425776409390829E-6</v>
      </c>
      <c r="AO706" s="40">
        <f t="shared" si="80"/>
        <v>5.804357665333657</v>
      </c>
      <c r="AP706" s="40">
        <f t="shared" si="80"/>
        <v>4771.2734972958115</v>
      </c>
      <c r="AQ706" s="40">
        <f t="shared" si="80"/>
        <v>4.8537423706212382E-8</v>
      </c>
      <c r="AR706" s="40">
        <f t="shared" si="80"/>
        <v>1.5294567538541235E-6</v>
      </c>
      <c r="AS706" s="40">
        <f t="shared" si="80"/>
        <v>848.60370366286008</v>
      </c>
      <c r="AT706" s="40">
        <f t="shared" si="80"/>
        <v>0</v>
      </c>
      <c r="AU706" s="40">
        <f t="shared" si="80"/>
        <v>0</v>
      </c>
      <c r="AV706" s="317">
        <f t="shared" si="80"/>
        <v>77.773398108154183</v>
      </c>
      <c r="AW706" s="317">
        <f t="shared" si="80"/>
        <v>0</v>
      </c>
      <c r="AX706" s="317">
        <f t="shared" si="80"/>
        <v>0</v>
      </c>
      <c r="AY706" s="317">
        <f t="shared" si="80"/>
        <v>4782.9607827051723</v>
      </c>
      <c r="AZ706" s="40">
        <f t="shared" si="80"/>
        <v>0</v>
      </c>
      <c r="BA706" s="40">
        <f t="shared" si="80"/>
        <v>0</v>
      </c>
      <c r="BB706" s="40">
        <f t="shared" si="80"/>
        <v>0</v>
      </c>
      <c r="BC706" s="40">
        <f t="shared" si="80"/>
        <v>1.9072346119380148</v>
      </c>
      <c r="BD706" s="40">
        <f t="shared" si="80"/>
        <v>3.0652325219089581E-3</v>
      </c>
      <c r="BE706" s="40">
        <f t="shared" si="80"/>
        <v>13.875049397045647</v>
      </c>
      <c r="BF706" s="40">
        <f t="shared" si="80"/>
        <v>6.7125301670488691E-3</v>
      </c>
      <c r="BG706" s="40">
        <f t="shared" si="80"/>
        <v>0</v>
      </c>
      <c r="BH706" s="40">
        <f t="shared" si="80"/>
        <v>0</v>
      </c>
      <c r="BI706" s="40">
        <f t="shared" si="80"/>
        <v>0</v>
      </c>
      <c r="BJ706" s="40">
        <f t="shared" si="80"/>
        <v>0</v>
      </c>
      <c r="BK706" s="40">
        <f t="shared" si="80"/>
        <v>0</v>
      </c>
      <c r="BL706" s="62">
        <f>BL705</f>
        <v>0</v>
      </c>
      <c r="BM706" s="275">
        <f>BM705</f>
        <v>2</v>
      </c>
      <c r="BN706" s="62">
        <v>0</v>
      </c>
      <c r="BO706" s="33" t="str">
        <f>BO705</f>
        <v>Ecochain 2022 LCA Achtergrondrapport voor Nederlandse branchereferentiemengsels 2022</v>
      </c>
    </row>
    <row r="707" spans="1:67">
      <c r="A707" s="33" t="str">
        <f>Database_Productkaarten[[#This Row],[Product]]&amp;", "&amp;Database_Productkaarten[[#This Row],[Levensfase]]</f>
        <v>SMA G.R. (obv 8G+) - PCR 2.0, A4</v>
      </c>
      <c r="B707" s="33" t="s">
        <v>543</v>
      </c>
      <c r="C707" s="33" t="s">
        <v>483</v>
      </c>
      <c r="D707" s="33" t="s">
        <v>504</v>
      </c>
      <c r="E707" s="33" t="s">
        <v>378</v>
      </c>
      <c r="F707" s="33" t="s">
        <v>78</v>
      </c>
      <c r="L707" s="33">
        <v>2.2999999999999998</v>
      </c>
      <c r="M707" s="269">
        <v>1</v>
      </c>
      <c r="N707" s="211">
        <v>0.37546048090943995</v>
      </c>
      <c r="O707" s="33">
        <v>16</v>
      </c>
      <c r="P707" s="163">
        <v>6.8533509000000002E-5</v>
      </c>
      <c r="Q707" s="163">
        <v>2.9713889699999999E-2</v>
      </c>
      <c r="R707" s="163">
        <v>3.9891474704999998</v>
      </c>
      <c r="S707" s="163">
        <v>7.557213E-7</v>
      </c>
      <c r="T707" s="163">
        <v>2.4773701499999998E-3</v>
      </c>
      <c r="U707" s="163">
        <v>1.36398132E-2</v>
      </c>
      <c r="V707" s="163">
        <v>2.5682192100000001E-3</v>
      </c>
      <c r="W707" s="163">
        <v>0.8608144794</v>
      </c>
      <c r="X707" s="163">
        <v>3.6189873900000002E-2</v>
      </c>
      <c r="Y707" s="163">
        <v>97.376595929999993</v>
      </c>
      <c r="Z707" s="163">
        <v>4.8437180999999999E-3</v>
      </c>
      <c r="AA707" s="163">
        <v>4.0259382761999998</v>
      </c>
      <c r="AB707" s="163">
        <v>4.0229543298000001</v>
      </c>
      <c r="AC707" s="163">
        <v>1.9814632200000001E-3</v>
      </c>
      <c r="AD707" s="163">
        <v>1.0024609799999999E-3</v>
      </c>
      <c r="AE707" s="163">
        <v>9.4976262000000003E-7</v>
      </c>
      <c r="AF707" s="163">
        <v>1.7739576E-2</v>
      </c>
      <c r="AG707" s="163">
        <v>2.7841996800000001E-5</v>
      </c>
      <c r="AH707" s="163">
        <v>5.5484582100000001E-3</v>
      </c>
      <c r="AI707" s="163">
        <v>6.1385308800000003E-2</v>
      </c>
      <c r="AJ707" s="163">
        <v>1.9235744999999999E-2</v>
      </c>
      <c r="AK707" s="163">
        <v>6.8533397999999998E-5</v>
      </c>
      <c r="AL707" s="163">
        <v>62.400806729999999</v>
      </c>
      <c r="AM707" s="163">
        <v>0.212954166</v>
      </c>
      <c r="AN707" s="163">
        <v>2.9338876200000002E-7</v>
      </c>
      <c r="AO707" s="163">
        <v>0.26868483510000002</v>
      </c>
      <c r="AP707" s="163">
        <v>45.56587296</v>
      </c>
      <c r="AQ707" s="163">
        <v>1.16371179E-9</v>
      </c>
      <c r="AR707" s="163">
        <v>3.8268015899999999E-8</v>
      </c>
      <c r="AS707" s="163">
        <v>71.806844609999999</v>
      </c>
      <c r="AT707" s="163">
        <v>0</v>
      </c>
      <c r="AU707" s="163">
        <v>0</v>
      </c>
      <c r="AV707" s="313">
        <v>0.63474917099999995</v>
      </c>
      <c r="AW707" s="315">
        <v>0</v>
      </c>
      <c r="AX707" s="315">
        <v>0</v>
      </c>
      <c r="AY707" s="313">
        <v>66.265108560000002</v>
      </c>
      <c r="AZ707" s="163">
        <v>0</v>
      </c>
      <c r="BA707" s="163">
        <v>0</v>
      </c>
      <c r="BB707" s="163">
        <v>0</v>
      </c>
      <c r="BC707" s="163">
        <v>6.7467797999999999E-3</v>
      </c>
      <c r="BD707" s="163">
        <v>1.54707915E-4</v>
      </c>
      <c r="BE707" s="163">
        <v>5.4635493149999999</v>
      </c>
      <c r="BF707" s="163">
        <v>4.25149758E-4</v>
      </c>
      <c r="BG707" s="163">
        <v>0</v>
      </c>
      <c r="BH707" s="163">
        <v>0</v>
      </c>
      <c r="BI707" s="163">
        <v>0</v>
      </c>
      <c r="BJ707" s="163">
        <v>0</v>
      </c>
      <c r="BK707" s="163">
        <v>0</v>
      </c>
      <c r="BL707" s="62">
        <v>0</v>
      </c>
      <c r="BM707" s="275">
        <v>2</v>
      </c>
      <c r="BN707" s="62">
        <v>0</v>
      </c>
      <c r="BO707" s="33" t="s">
        <v>526</v>
      </c>
    </row>
    <row r="708" spans="1:67">
      <c r="A708" s="33" t="str">
        <f>Database_Productkaarten[[#This Row],[Product]]&amp;", "&amp;Database_Productkaarten[[#This Row],[Levensfase]]</f>
        <v>SMA G.R. (obv 8G+) - PCR 2.0, A5</v>
      </c>
      <c r="B708" s="33" t="s">
        <v>543</v>
      </c>
      <c r="C708" s="33" t="s">
        <v>483</v>
      </c>
      <c r="D708" s="33" t="s">
        <v>504</v>
      </c>
      <c r="E708" s="33" t="s">
        <v>378</v>
      </c>
      <c r="F708" s="33" t="s">
        <v>79</v>
      </c>
      <c r="L708" s="33">
        <v>2.2999999999999998</v>
      </c>
      <c r="M708" s="269">
        <v>1</v>
      </c>
      <c r="N708" s="211">
        <v>0.2597053337787914</v>
      </c>
      <c r="O708" s="33">
        <v>16</v>
      </c>
      <c r="P708" s="163">
        <v>2.9238192814477198E-6</v>
      </c>
      <c r="Q708" s="163">
        <v>1.2437869090607401E-2</v>
      </c>
      <c r="R708" s="163">
        <v>2.5295292177078901</v>
      </c>
      <c r="S708" s="163">
        <v>3.2687704153464501E-7</v>
      </c>
      <c r="T708" s="163">
        <v>9.41170695593257E-4</v>
      </c>
      <c r="U708" s="163">
        <v>1.0497394468115401E-2</v>
      </c>
      <c r="V708" s="163">
        <v>2.4039520991419802E-3</v>
      </c>
      <c r="W708" s="163">
        <v>0.688776142316325</v>
      </c>
      <c r="X708" s="163">
        <v>9.7024794539388604E-3</v>
      </c>
      <c r="Y708" s="163">
        <v>33.711840013179199</v>
      </c>
      <c r="Z708" s="163">
        <v>1.1490061206239101E-3</v>
      </c>
      <c r="AA708" s="163">
        <v>2.5482276295534101</v>
      </c>
      <c r="AB708" s="163">
        <v>2.5474969827618001</v>
      </c>
      <c r="AC708" s="163">
        <v>5.8195031507652501E-4</v>
      </c>
      <c r="AD708" s="163">
        <v>1.4869647653104699E-4</v>
      </c>
      <c r="AE708" s="163">
        <v>4.1187798263569499E-7</v>
      </c>
      <c r="AF708" s="163">
        <v>1.4654717125157399E-2</v>
      </c>
      <c r="AG708" s="163">
        <v>6.9471842634864903E-6</v>
      </c>
      <c r="AH708" s="163">
        <v>6.3596059813714996E-3</v>
      </c>
      <c r="AI708" s="163">
        <v>6.97983995619256E-2</v>
      </c>
      <c r="AJ708" s="163">
        <v>1.8200499468351401E-2</v>
      </c>
      <c r="AK708" s="163">
        <v>2.9237963378879798E-6</v>
      </c>
      <c r="AL708" s="163">
        <v>26.2431446460734</v>
      </c>
      <c r="AM708" s="163">
        <v>3.4951581948955202E-2</v>
      </c>
      <c r="AN708" s="163">
        <v>5.4485692724514697E-8</v>
      </c>
      <c r="AO708" s="163">
        <v>0.112638014199544</v>
      </c>
      <c r="AP708" s="163">
        <v>15.7470628359518</v>
      </c>
      <c r="AQ708" s="163">
        <v>5.52451376540438E-10</v>
      </c>
      <c r="AR708" s="163">
        <v>1.32398654611375E-8</v>
      </c>
      <c r="AS708" s="163">
        <v>3.35198963216554</v>
      </c>
      <c r="AT708" s="163">
        <v>0</v>
      </c>
      <c r="AU708" s="163">
        <v>0</v>
      </c>
      <c r="AV708" s="313">
        <v>0.14424536025460999</v>
      </c>
      <c r="AW708" s="315">
        <v>0</v>
      </c>
      <c r="AX708" s="315">
        <v>0</v>
      </c>
      <c r="AY708" s="313">
        <v>27.8693895870164</v>
      </c>
      <c r="AZ708" s="163">
        <v>0</v>
      </c>
      <c r="BA708" s="163">
        <v>0</v>
      </c>
      <c r="BB708" s="163">
        <v>0</v>
      </c>
      <c r="BC708" s="163">
        <v>1.35659658318307E-3</v>
      </c>
      <c r="BD708" s="163">
        <v>7.1467090699886605E-5</v>
      </c>
      <c r="BE708" s="163">
        <v>3.1052769995257402E-2</v>
      </c>
      <c r="BF708" s="163">
        <v>1.82391263493328E-4</v>
      </c>
      <c r="BG708" s="163">
        <v>0</v>
      </c>
      <c r="BH708" s="163">
        <v>0</v>
      </c>
      <c r="BI708" s="163">
        <v>0</v>
      </c>
      <c r="BJ708" s="163">
        <v>0</v>
      </c>
      <c r="BK708" s="163">
        <v>0</v>
      </c>
      <c r="BL708" s="62">
        <v>0</v>
      </c>
      <c r="BM708" s="275">
        <v>2</v>
      </c>
      <c r="BN708" s="62">
        <v>0</v>
      </c>
      <c r="BO708" s="33" t="s">
        <v>526</v>
      </c>
    </row>
    <row r="709" spans="1:67">
      <c r="A709" s="33" t="str">
        <f>Database_Productkaarten[[#This Row],[Product]]&amp;", "&amp;Database_Productkaarten[[#This Row],[Levensfase]]</f>
        <v>SMA G.R. (obv 8G+) - PCR 2.0, B1</v>
      </c>
      <c r="B709" s="33" t="s">
        <v>543</v>
      </c>
      <c r="C709" s="33" t="s">
        <v>483</v>
      </c>
      <c r="D709" s="33" t="s">
        <v>504</v>
      </c>
      <c r="E709" s="33" t="s">
        <v>378</v>
      </c>
      <c r="F709" s="33" t="s">
        <v>80</v>
      </c>
      <c r="L709" s="33">
        <v>2.2999999999999998</v>
      </c>
      <c r="M709" s="269">
        <v>1</v>
      </c>
      <c r="N709" s="211">
        <v>0.14096322842223419</v>
      </c>
      <c r="O709" s="33">
        <v>16</v>
      </c>
      <c r="P709" s="163">
        <v>0</v>
      </c>
      <c r="Q709" s="163">
        <v>0</v>
      </c>
      <c r="R709" s="163">
        <v>0</v>
      </c>
      <c r="S709" s="163">
        <v>0</v>
      </c>
      <c r="T709" s="163">
        <v>0</v>
      </c>
      <c r="U709" s="163">
        <v>0</v>
      </c>
      <c r="V709" s="163">
        <v>0</v>
      </c>
      <c r="W709" s="163">
        <v>0.56785655602233698</v>
      </c>
      <c r="X709" s="163">
        <v>0.60877917791259695</v>
      </c>
      <c r="Y709" s="163">
        <v>715.71979564585104</v>
      </c>
      <c r="Z709" s="163">
        <v>3.4639130434757198E-4</v>
      </c>
      <c r="AA709" s="163">
        <v>0</v>
      </c>
      <c r="AB709" s="163">
        <v>0</v>
      </c>
      <c r="AC709" s="163">
        <v>0</v>
      </c>
      <c r="AD709" s="163">
        <v>0</v>
      </c>
      <c r="AE709" s="163">
        <v>0</v>
      </c>
      <c r="AF709" s="163">
        <v>0</v>
      </c>
      <c r="AG709" s="163">
        <v>0</v>
      </c>
      <c r="AH709" s="163">
        <v>0</v>
      </c>
      <c r="AI709" s="163">
        <v>0</v>
      </c>
      <c r="AJ709" s="163">
        <v>0</v>
      </c>
      <c r="AK709" s="163">
        <v>0</v>
      </c>
      <c r="AL709" s="163">
        <v>0</v>
      </c>
      <c r="AM709" s="163">
        <v>0</v>
      </c>
      <c r="AN709" s="163">
        <v>0</v>
      </c>
      <c r="AO709" s="163">
        <v>0</v>
      </c>
      <c r="AP709" s="163">
        <v>4.2204606607490804</v>
      </c>
      <c r="AQ709" s="163">
        <v>1.0549137982057499E-9</v>
      </c>
      <c r="AR709" s="163">
        <v>6.3377256890832599E-8</v>
      </c>
      <c r="AS709" s="163">
        <v>0</v>
      </c>
      <c r="AT709" s="163">
        <v>0</v>
      </c>
      <c r="AU709" s="163">
        <v>0</v>
      </c>
      <c r="AV709" s="313">
        <v>0</v>
      </c>
      <c r="AW709" s="315">
        <v>0</v>
      </c>
      <c r="AX709" s="315">
        <v>0</v>
      </c>
      <c r="AY709" s="313">
        <v>0</v>
      </c>
      <c r="AZ709" s="163">
        <v>0</v>
      </c>
      <c r="BA709" s="163">
        <v>0</v>
      </c>
      <c r="BB709" s="163">
        <v>0</v>
      </c>
      <c r="BC709" s="163">
        <v>0</v>
      </c>
      <c r="BD709" s="163">
        <v>0</v>
      </c>
      <c r="BE709" s="163">
        <v>0</v>
      </c>
      <c r="BF709" s="163">
        <v>0</v>
      </c>
      <c r="BG709" s="163">
        <v>0</v>
      </c>
      <c r="BH709" s="163">
        <v>0</v>
      </c>
      <c r="BI709" s="163">
        <v>0</v>
      </c>
      <c r="BJ709" s="163">
        <v>0</v>
      </c>
      <c r="BK709" s="163">
        <v>0</v>
      </c>
      <c r="BL709" s="62">
        <v>0</v>
      </c>
      <c r="BM709" s="275">
        <v>2</v>
      </c>
      <c r="BN709" s="62">
        <v>0</v>
      </c>
      <c r="BO709" s="33" t="s">
        <v>526</v>
      </c>
    </row>
    <row r="710" spans="1:67">
      <c r="A710" s="33" t="str">
        <f>Database_Productkaarten[[#This Row],[Product]]&amp;", "&amp;Database_Productkaarten[[#This Row],[Levensfase]]</f>
        <v>SMA G.R. (obv 8G+) - PCR 2.0, B2</v>
      </c>
      <c r="B710" s="33" t="s">
        <v>543</v>
      </c>
      <c r="C710" s="33" t="s">
        <v>483</v>
      </c>
      <c r="D710" s="33" t="s">
        <v>504</v>
      </c>
      <c r="E710" s="33" t="s">
        <v>378</v>
      </c>
      <c r="F710" s="33" t="s">
        <v>527</v>
      </c>
      <c r="L710" s="33">
        <v>2.2999999999999998</v>
      </c>
      <c r="M710" s="269">
        <v>1</v>
      </c>
      <c r="N710" s="211">
        <v>0</v>
      </c>
      <c r="O710" s="33">
        <v>16</v>
      </c>
      <c r="P710" s="163">
        <v>0</v>
      </c>
      <c r="Q710" s="163">
        <v>0</v>
      </c>
      <c r="R710" s="163">
        <v>0</v>
      </c>
      <c r="S710" s="163">
        <v>0</v>
      </c>
      <c r="T710" s="163">
        <v>0</v>
      </c>
      <c r="U710" s="163">
        <v>0</v>
      </c>
      <c r="V710" s="163">
        <v>0</v>
      </c>
      <c r="W710" s="163">
        <v>0</v>
      </c>
      <c r="X710" s="163">
        <v>0</v>
      </c>
      <c r="Y710" s="163">
        <v>0</v>
      </c>
      <c r="Z710" s="163">
        <v>0</v>
      </c>
      <c r="AA710" s="163">
        <v>0</v>
      </c>
      <c r="AB710" s="163">
        <v>0</v>
      </c>
      <c r="AC710" s="163">
        <v>0</v>
      </c>
      <c r="AD710" s="163">
        <v>0</v>
      </c>
      <c r="AE710" s="163">
        <v>0</v>
      </c>
      <c r="AF710" s="163">
        <v>0</v>
      </c>
      <c r="AG710" s="163">
        <v>0</v>
      </c>
      <c r="AH710" s="163">
        <v>0</v>
      </c>
      <c r="AI710" s="163">
        <v>0</v>
      </c>
      <c r="AJ710" s="163">
        <v>0</v>
      </c>
      <c r="AK710" s="163">
        <v>0</v>
      </c>
      <c r="AL710" s="163">
        <v>0</v>
      </c>
      <c r="AM710" s="163">
        <v>0</v>
      </c>
      <c r="AN710" s="163">
        <v>0</v>
      </c>
      <c r="AO710" s="163">
        <v>0</v>
      </c>
      <c r="AP710" s="163">
        <v>0</v>
      </c>
      <c r="AQ710" s="163">
        <v>0</v>
      </c>
      <c r="AR710" s="163">
        <v>0</v>
      </c>
      <c r="AS710" s="163">
        <v>0</v>
      </c>
      <c r="AT710" s="163">
        <v>0</v>
      </c>
      <c r="AU710" s="163">
        <v>0</v>
      </c>
      <c r="AV710" s="313">
        <v>0</v>
      </c>
      <c r="AW710" s="315">
        <v>0</v>
      </c>
      <c r="AX710" s="315">
        <v>0</v>
      </c>
      <c r="AY710" s="313">
        <v>0</v>
      </c>
      <c r="AZ710" s="163">
        <v>0</v>
      </c>
      <c r="BA710" s="163">
        <v>0</v>
      </c>
      <c r="BB710" s="163">
        <v>0</v>
      </c>
      <c r="BC710" s="163">
        <v>0</v>
      </c>
      <c r="BD710" s="163">
        <v>0</v>
      </c>
      <c r="BE710" s="163">
        <v>0</v>
      </c>
      <c r="BF710" s="163">
        <v>0</v>
      </c>
      <c r="BG710" s="163">
        <v>0</v>
      </c>
      <c r="BH710" s="163">
        <v>0</v>
      </c>
      <c r="BI710" s="163">
        <v>0</v>
      </c>
      <c r="BJ710" s="163">
        <v>0</v>
      </c>
      <c r="BK710" s="163">
        <v>0</v>
      </c>
      <c r="BL710" s="62">
        <v>0</v>
      </c>
      <c r="BM710" s="275">
        <v>2</v>
      </c>
      <c r="BN710" s="62">
        <v>0</v>
      </c>
      <c r="BO710" s="33" t="s">
        <v>526</v>
      </c>
    </row>
    <row r="711" spans="1:67">
      <c r="A711" s="33" t="str">
        <f>Database_Productkaarten[[#This Row],[Product]]&amp;", "&amp;Database_Productkaarten[[#This Row],[Levensfase]]</f>
        <v>SMA G.R. (obv 8G+) - PCR 2.0, B3</v>
      </c>
      <c r="B711" s="33" t="s">
        <v>543</v>
      </c>
      <c r="C711" s="33" t="s">
        <v>483</v>
      </c>
      <c r="D711" s="33" t="s">
        <v>504</v>
      </c>
      <c r="E711" s="33" t="s">
        <v>378</v>
      </c>
      <c r="F711" s="33" t="s">
        <v>81</v>
      </c>
      <c r="L711" s="33">
        <v>2.2999999999999998</v>
      </c>
      <c r="M711" s="269">
        <v>1</v>
      </c>
      <c r="N711" s="211">
        <v>0</v>
      </c>
      <c r="O711" s="33">
        <v>16</v>
      </c>
      <c r="P711" s="163">
        <v>0</v>
      </c>
      <c r="Q711" s="163">
        <v>0</v>
      </c>
      <c r="R711" s="163">
        <v>0</v>
      </c>
      <c r="S711" s="163">
        <v>0</v>
      </c>
      <c r="T711" s="163">
        <v>0</v>
      </c>
      <c r="U711" s="163">
        <v>0</v>
      </c>
      <c r="V711" s="163">
        <v>0</v>
      </c>
      <c r="W711" s="163">
        <v>0</v>
      </c>
      <c r="X711" s="163">
        <v>0</v>
      </c>
      <c r="Y711" s="163">
        <v>0</v>
      </c>
      <c r="Z711" s="163">
        <v>0</v>
      </c>
      <c r="AA711" s="163">
        <v>0</v>
      </c>
      <c r="AB711" s="163">
        <v>0</v>
      </c>
      <c r="AC711" s="163">
        <v>0</v>
      </c>
      <c r="AD711" s="163">
        <v>0</v>
      </c>
      <c r="AE711" s="163">
        <v>0</v>
      </c>
      <c r="AF711" s="163">
        <v>0</v>
      </c>
      <c r="AG711" s="163">
        <v>0</v>
      </c>
      <c r="AH711" s="163">
        <v>0</v>
      </c>
      <c r="AI711" s="163">
        <v>0</v>
      </c>
      <c r="AJ711" s="163">
        <v>0</v>
      </c>
      <c r="AK711" s="163">
        <v>0</v>
      </c>
      <c r="AL711" s="163">
        <v>0</v>
      </c>
      <c r="AM711" s="163">
        <v>0</v>
      </c>
      <c r="AN711" s="163">
        <v>0</v>
      </c>
      <c r="AO711" s="163">
        <v>0</v>
      </c>
      <c r="AP711" s="163">
        <v>0</v>
      </c>
      <c r="AQ711" s="163">
        <v>0</v>
      </c>
      <c r="AR711" s="163">
        <v>0</v>
      </c>
      <c r="AS711" s="163">
        <v>0</v>
      </c>
      <c r="AT711" s="163">
        <v>0</v>
      </c>
      <c r="AU711" s="163">
        <v>0</v>
      </c>
      <c r="AV711" s="313">
        <v>0</v>
      </c>
      <c r="AW711" s="315">
        <v>0</v>
      </c>
      <c r="AX711" s="315">
        <v>0</v>
      </c>
      <c r="AY711" s="313">
        <v>0</v>
      </c>
      <c r="AZ711" s="163">
        <v>0</v>
      </c>
      <c r="BA711" s="163">
        <v>0</v>
      </c>
      <c r="BB711" s="163">
        <v>0</v>
      </c>
      <c r="BC711" s="163">
        <v>0</v>
      </c>
      <c r="BD711" s="163">
        <v>0</v>
      </c>
      <c r="BE711" s="163">
        <v>0</v>
      </c>
      <c r="BF711" s="163">
        <v>0</v>
      </c>
      <c r="BG711" s="163">
        <v>0</v>
      </c>
      <c r="BH711" s="163">
        <v>0</v>
      </c>
      <c r="BI711" s="163">
        <v>0</v>
      </c>
      <c r="BJ711" s="163">
        <v>0</v>
      </c>
      <c r="BK711" s="163">
        <v>0</v>
      </c>
      <c r="BL711" s="62">
        <v>0</v>
      </c>
      <c r="BM711" s="275">
        <v>2</v>
      </c>
      <c r="BN711" s="62">
        <v>0</v>
      </c>
      <c r="BO711" s="33" t="s">
        <v>526</v>
      </c>
    </row>
    <row r="712" spans="1:67">
      <c r="A712" s="33" t="str">
        <f>Database_Productkaarten[[#This Row],[Product]]&amp;", "&amp;Database_Productkaarten[[#This Row],[Levensfase]]</f>
        <v>SMA G.R. (obv 8G+) - PCR 2.0, B4</v>
      </c>
      <c r="B712" s="33" t="s">
        <v>543</v>
      </c>
      <c r="C712" s="33" t="s">
        <v>483</v>
      </c>
      <c r="D712" s="33" t="s">
        <v>504</v>
      </c>
      <c r="E712" s="33" t="s">
        <v>378</v>
      </c>
      <c r="F712" s="33" t="s">
        <v>82</v>
      </c>
      <c r="L712" s="33">
        <v>2.2999999999999998</v>
      </c>
      <c r="M712" s="269">
        <v>1</v>
      </c>
      <c r="N712" s="211">
        <v>0</v>
      </c>
      <c r="O712" s="33">
        <v>16</v>
      </c>
      <c r="P712" s="163">
        <v>0</v>
      </c>
      <c r="Q712" s="163">
        <v>0</v>
      </c>
      <c r="R712" s="163">
        <v>0</v>
      </c>
      <c r="S712" s="163">
        <v>0</v>
      </c>
      <c r="T712" s="163">
        <v>0</v>
      </c>
      <c r="U712" s="163">
        <v>0</v>
      </c>
      <c r="V712" s="163">
        <v>0</v>
      </c>
      <c r="W712" s="163">
        <v>0</v>
      </c>
      <c r="X712" s="163">
        <v>0</v>
      </c>
      <c r="Y712" s="163">
        <v>0</v>
      </c>
      <c r="Z712" s="163">
        <v>0</v>
      </c>
      <c r="AA712" s="163">
        <v>0</v>
      </c>
      <c r="AB712" s="163">
        <v>0</v>
      </c>
      <c r="AC712" s="163">
        <v>0</v>
      </c>
      <c r="AD712" s="163">
        <v>0</v>
      </c>
      <c r="AE712" s="163">
        <v>0</v>
      </c>
      <c r="AF712" s="163">
        <v>0</v>
      </c>
      <c r="AG712" s="163">
        <v>0</v>
      </c>
      <c r="AH712" s="163">
        <v>0</v>
      </c>
      <c r="AI712" s="163">
        <v>0</v>
      </c>
      <c r="AJ712" s="163">
        <v>0</v>
      </c>
      <c r="AK712" s="163">
        <v>0</v>
      </c>
      <c r="AL712" s="163">
        <v>0</v>
      </c>
      <c r="AM712" s="163">
        <v>0</v>
      </c>
      <c r="AN712" s="163">
        <v>0</v>
      </c>
      <c r="AO712" s="163">
        <v>0</v>
      </c>
      <c r="AP712" s="163">
        <v>0</v>
      </c>
      <c r="AQ712" s="163">
        <v>0</v>
      </c>
      <c r="AR712" s="163">
        <v>0</v>
      </c>
      <c r="AS712" s="163">
        <v>0</v>
      </c>
      <c r="AT712" s="163">
        <v>0</v>
      </c>
      <c r="AU712" s="163">
        <v>0</v>
      </c>
      <c r="AV712" s="313">
        <v>0</v>
      </c>
      <c r="AW712" s="315">
        <v>0</v>
      </c>
      <c r="AX712" s="315">
        <v>0</v>
      </c>
      <c r="AY712" s="313">
        <v>0</v>
      </c>
      <c r="AZ712" s="163">
        <v>0</v>
      </c>
      <c r="BA712" s="163">
        <v>0</v>
      </c>
      <c r="BB712" s="163">
        <v>0</v>
      </c>
      <c r="BC712" s="163">
        <v>0</v>
      </c>
      <c r="BD712" s="163">
        <v>0</v>
      </c>
      <c r="BE712" s="163">
        <v>0</v>
      </c>
      <c r="BF712" s="163">
        <v>0</v>
      </c>
      <c r="BG712" s="163">
        <v>0</v>
      </c>
      <c r="BH712" s="163">
        <v>0</v>
      </c>
      <c r="BI712" s="163">
        <v>0</v>
      </c>
      <c r="BJ712" s="163">
        <v>0</v>
      </c>
      <c r="BK712" s="163">
        <v>0</v>
      </c>
      <c r="BL712" s="62">
        <v>0</v>
      </c>
      <c r="BM712" s="275">
        <v>2</v>
      </c>
      <c r="BN712" s="62">
        <v>0</v>
      </c>
      <c r="BO712" s="33" t="s">
        <v>526</v>
      </c>
    </row>
    <row r="713" spans="1:67">
      <c r="A713" s="33" t="str">
        <f>Database_Productkaarten[[#This Row],[Product]]&amp;", "&amp;Database_Productkaarten[[#This Row],[Levensfase]]</f>
        <v>SMA G.R. (obv 8G+) - PCR 2.0, B5</v>
      </c>
      <c r="B713" s="33" t="s">
        <v>543</v>
      </c>
      <c r="C713" s="33" t="s">
        <v>483</v>
      </c>
      <c r="D713" s="33" t="s">
        <v>504</v>
      </c>
      <c r="E713" s="33" t="s">
        <v>378</v>
      </c>
      <c r="F713" s="33" t="s">
        <v>528</v>
      </c>
      <c r="L713" s="33">
        <v>2.2999999999999998</v>
      </c>
      <c r="M713" s="269">
        <v>1</v>
      </c>
      <c r="N713" s="211">
        <v>0</v>
      </c>
      <c r="O713" s="33">
        <v>16</v>
      </c>
      <c r="P713" s="163">
        <v>0</v>
      </c>
      <c r="Q713" s="163">
        <v>0</v>
      </c>
      <c r="R713" s="163">
        <v>0</v>
      </c>
      <c r="S713" s="163">
        <v>0</v>
      </c>
      <c r="T713" s="163">
        <v>0</v>
      </c>
      <c r="U713" s="163">
        <v>0</v>
      </c>
      <c r="V713" s="163">
        <v>0</v>
      </c>
      <c r="W713" s="163">
        <v>0</v>
      </c>
      <c r="X713" s="163">
        <v>0</v>
      </c>
      <c r="Y713" s="163">
        <v>0</v>
      </c>
      <c r="Z713" s="163">
        <v>0</v>
      </c>
      <c r="AA713" s="163">
        <v>0</v>
      </c>
      <c r="AB713" s="163">
        <v>0</v>
      </c>
      <c r="AC713" s="163">
        <v>0</v>
      </c>
      <c r="AD713" s="163">
        <v>0</v>
      </c>
      <c r="AE713" s="163">
        <v>0</v>
      </c>
      <c r="AF713" s="163">
        <v>0</v>
      </c>
      <c r="AG713" s="163">
        <v>0</v>
      </c>
      <c r="AH713" s="163">
        <v>0</v>
      </c>
      <c r="AI713" s="163">
        <v>0</v>
      </c>
      <c r="AJ713" s="163">
        <v>0</v>
      </c>
      <c r="AK713" s="163">
        <v>0</v>
      </c>
      <c r="AL713" s="163">
        <v>0</v>
      </c>
      <c r="AM713" s="163">
        <v>0</v>
      </c>
      <c r="AN713" s="163">
        <v>0</v>
      </c>
      <c r="AO713" s="163">
        <v>0</v>
      </c>
      <c r="AP713" s="163">
        <v>0</v>
      </c>
      <c r="AQ713" s="163">
        <v>0</v>
      </c>
      <c r="AR713" s="163">
        <v>0</v>
      </c>
      <c r="AS713" s="163">
        <v>0</v>
      </c>
      <c r="AT713" s="163">
        <v>0</v>
      </c>
      <c r="AU713" s="163">
        <v>0</v>
      </c>
      <c r="AV713" s="313">
        <v>0</v>
      </c>
      <c r="AW713" s="315">
        <v>0</v>
      </c>
      <c r="AX713" s="315">
        <v>0</v>
      </c>
      <c r="AY713" s="313">
        <v>0</v>
      </c>
      <c r="AZ713" s="163">
        <v>0</v>
      </c>
      <c r="BA713" s="163">
        <v>0</v>
      </c>
      <c r="BB713" s="163">
        <v>0</v>
      </c>
      <c r="BC713" s="163">
        <v>0</v>
      </c>
      <c r="BD713" s="163">
        <v>0</v>
      </c>
      <c r="BE713" s="163">
        <v>0</v>
      </c>
      <c r="BF713" s="163">
        <v>0</v>
      </c>
      <c r="BG713" s="163">
        <v>0</v>
      </c>
      <c r="BH713" s="163">
        <v>0</v>
      </c>
      <c r="BI713" s="163">
        <v>0</v>
      </c>
      <c r="BJ713" s="163">
        <v>0</v>
      </c>
      <c r="BK713" s="163">
        <v>0</v>
      </c>
      <c r="BL713" s="62">
        <v>0</v>
      </c>
      <c r="BM713" s="275">
        <v>2</v>
      </c>
      <c r="BN713" s="62">
        <v>0</v>
      </c>
      <c r="BO713" s="33" t="s">
        <v>526</v>
      </c>
    </row>
    <row r="714" spans="1:67">
      <c r="A714" s="33" t="str">
        <f>Database_Productkaarten[[#This Row],[Product]]&amp;", "&amp;Database_Productkaarten[[#This Row],[Levensfase]]</f>
        <v>SMA G.R. (obv 8G+) - PCR 2.0, C1</v>
      </c>
      <c r="B714" s="33" t="s">
        <v>543</v>
      </c>
      <c r="C714" s="33" t="s">
        <v>483</v>
      </c>
      <c r="D714" s="33" t="s">
        <v>504</v>
      </c>
      <c r="E714" s="33" t="s">
        <v>378</v>
      </c>
      <c r="F714" s="33" t="s">
        <v>83</v>
      </c>
      <c r="L714" s="33">
        <v>2.2999999999999998</v>
      </c>
      <c r="M714" s="269">
        <v>1</v>
      </c>
      <c r="N714" s="211">
        <v>0.13541602880973516</v>
      </c>
      <c r="O714" s="33">
        <v>16</v>
      </c>
      <c r="P714" s="163">
        <v>1.6635523497892201E-6</v>
      </c>
      <c r="Q714" s="163">
        <v>7.0767186205179904E-3</v>
      </c>
      <c r="R714" s="163">
        <v>1.43921489973035</v>
      </c>
      <c r="S714" s="163">
        <v>1.85981765011091E-7</v>
      </c>
      <c r="T714" s="163">
        <v>4.7349883020077898E-4</v>
      </c>
      <c r="U714" s="163">
        <v>4.1086089215149604E-3</v>
      </c>
      <c r="V714" s="163">
        <v>8.8311374606381103E-4</v>
      </c>
      <c r="W714" s="163">
        <v>0.387386474817911</v>
      </c>
      <c r="X714" s="163">
        <v>5.5203762410341696E-3</v>
      </c>
      <c r="Y714" s="163">
        <v>19.180874490257199</v>
      </c>
      <c r="Z714" s="163">
        <v>6.5374486173429302E-4</v>
      </c>
      <c r="AA714" s="163">
        <v>1.44808108069418</v>
      </c>
      <c r="AB714" s="163">
        <v>1.44766536786447</v>
      </c>
      <c r="AC714" s="163">
        <v>3.3110966202629598E-4</v>
      </c>
      <c r="AD714" s="163">
        <v>8.4603167681457494E-5</v>
      </c>
      <c r="AE714" s="163">
        <v>2.3434436943065401E-7</v>
      </c>
      <c r="AF714" s="163">
        <v>5.5792398125911E-3</v>
      </c>
      <c r="AG714" s="163">
        <v>3.9527082878457501E-6</v>
      </c>
      <c r="AH714" s="163">
        <v>2.16816828940183E-3</v>
      </c>
      <c r="AI714" s="163">
        <v>2.3831205888690601E-2</v>
      </c>
      <c r="AJ714" s="163">
        <v>6.50871025613308E-3</v>
      </c>
      <c r="AK714" s="163">
        <v>1.66353929569488E-6</v>
      </c>
      <c r="AL714" s="163">
        <v>14.9314443675935</v>
      </c>
      <c r="AM714" s="163">
        <v>1.9886244901991701E-2</v>
      </c>
      <c r="AN714" s="163">
        <v>2.3049580138090401E-8</v>
      </c>
      <c r="AO714" s="163">
        <v>6.4087146010085402E-2</v>
      </c>
      <c r="AP714" s="163">
        <v>8.9589318499371906</v>
      </c>
      <c r="AQ714" s="163">
        <v>3.1432578320404301E-10</v>
      </c>
      <c r="AR714" s="163">
        <v>6.3100664700230197E-9</v>
      </c>
      <c r="AS714" s="163">
        <v>1.9071665148528101</v>
      </c>
      <c r="AT714" s="163">
        <v>0</v>
      </c>
      <c r="AU714" s="163">
        <v>0</v>
      </c>
      <c r="AV714" s="313">
        <v>8.2070636006933206E-2</v>
      </c>
      <c r="AW714" s="315">
        <v>0</v>
      </c>
      <c r="AX714" s="315">
        <v>0</v>
      </c>
      <c r="AY714" s="313">
        <v>15.8567216615783</v>
      </c>
      <c r="AZ714" s="163">
        <v>0</v>
      </c>
      <c r="BA714" s="163">
        <v>0</v>
      </c>
      <c r="BB714" s="163">
        <v>0</v>
      </c>
      <c r="BC714" s="163">
        <v>7.7185667663863999E-4</v>
      </c>
      <c r="BD714" s="163">
        <v>4.0662310225797597E-5</v>
      </c>
      <c r="BE714" s="163">
        <v>1.7667955342129199E-2</v>
      </c>
      <c r="BF714" s="163">
        <v>1.0377433957379E-4</v>
      </c>
      <c r="BG714" s="163">
        <v>0</v>
      </c>
      <c r="BH714" s="163">
        <v>0</v>
      </c>
      <c r="BI714" s="163">
        <v>0</v>
      </c>
      <c r="BJ714" s="163">
        <v>0</v>
      </c>
      <c r="BK714" s="163">
        <v>0</v>
      </c>
      <c r="BL714" s="62">
        <v>0</v>
      </c>
      <c r="BM714" s="275">
        <v>2</v>
      </c>
      <c r="BN714" s="62">
        <v>0</v>
      </c>
      <c r="BO714" s="33" t="s">
        <v>526</v>
      </c>
    </row>
    <row r="715" spans="1:67">
      <c r="A715" s="33" t="str">
        <f>Database_Productkaarten[[#This Row],[Product]]&amp;", "&amp;Database_Productkaarten[[#This Row],[Levensfase]]</f>
        <v>SMA G.R. (obv 8G+) - PCR 2.0, C2</v>
      </c>
      <c r="B715" s="33" t="s">
        <v>543</v>
      </c>
      <c r="C715" s="33" t="s">
        <v>483</v>
      </c>
      <c r="D715" s="33" t="s">
        <v>504</v>
      </c>
      <c r="E715" s="33" t="s">
        <v>378</v>
      </c>
      <c r="F715" s="33" t="s">
        <v>84</v>
      </c>
      <c r="L715" s="33">
        <v>2.2999999999999998</v>
      </c>
      <c r="M715" s="269">
        <v>1</v>
      </c>
      <c r="N715" s="211">
        <v>0.31791357541832999</v>
      </c>
      <c r="O715" s="33">
        <v>16</v>
      </c>
      <c r="P715" s="163">
        <v>7.2195843000000002E-5</v>
      </c>
      <c r="Q715" s="163">
        <v>2.5045429500000001E-2</v>
      </c>
      <c r="R715" s="163">
        <v>3.2726104581</v>
      </c>
      <c r="S715" s="163">
        <v>6.2448211500000004E-7</v>
      </c>
      <c r="T715" s="163">
        <v>2.3663202E-3</v>
      </c>
      <c r="U715" s="163">
        <v>9.9103019999999993E-3</v>
      </c>
      <c r="V715" s="163">
        <v>1.66070541E-3</v>
      </c>
      <c r="W715" s="163">
        <v>0.89062466159999998</v>
      </c>
      <c r="X715" s="163">
        <v>3.5055542699999998E-2</v>
      </c>
      <c r="Y715" s="163">
        <v>92.682047400000002</v>
      </c>
      <c r="Z715" s="163">
        <v>7.4868390000000003E-3</v>
      </c>
      <c r="AA715" s="163">
        <v>3.3150718431000001</v>
      </c>
      <c r="AB715" s="163">
        <v>3.3001817481</v>
      </c>
      <c r="AC715" s="163">
        <v>1.3607189190000001E-2</v>
      </c>
      <c r="AD715" s="163">
        <v>1.2829113599999999E-3</v>
      </c>
      <c r="AE715" s="163">
        <v>7.8107336699999998E-7</v>
      </c>
      <c r="AF715" s="163">
        <v>1.2482505E-2</v>
      </c>
      <c r="AG715" s="163">
        <v>3.4632532799999998E-5</v>
      </c>
      <c r="AH715" s="163">
        <v>2.8897329300000001E-3</v>
      </c>
      <c r="AI715" s="163">
        <v>3.3662059799999998E-2</v>
      </c>
      <c r="AJ715" s="163">
        <v>1.2098522699999999E-2</v>
      </c>
      <c r="AK715" s="163">
        <v>7.2195510000000004E-5</v>
      </c>
      <c r="AL715" s="163">
        <v>52.307882313</v>
      </c>
      <c r="AM715" s="163">
        <v>0.28570883850000001</v>
      </c>
      <c r="AN715" s="163">
        <v>2.8544027399999998E-7</v>
      </c>
      <c r="AO715" s="163">
        <v>0.22308385950000001</v>
      </c>
      <c r="AP715" s="163">
        <v>50.61443379</v>
      </c>
      <c r="AQ715" s="163">
        <v>1.35209877E-9</v>
      </c>
      <c r="AR715" s="163">
        <v>4.3221490799999998E-8</v>
      </c>
      <c r="AS715" s="163">
        <v>98.528772599999996</v>
      </c>
      <c r="AT715" s="163">
        <v>8.065825212</v>
      </c>
      <c r="AU715" s="163">
        <v>0</v>
      </c>
      <c r="AV715" s="313">
        <v>8.6963547624000004</v>
      </c>
      <c r="AW715" s="315">
        <v>0.70667511750000001</v>
      </c>
      <c r="AX715" s="315">
        <v>9.926829900000001E-4</v>
      </c>
      <c r="AY715" s="313">
        <v>55.561210727999999</v>
      </c>
      <c r="AZ715" s="163">
        <v>0</v>
      </c>
      <c r="BA715" s="163">
        <v>0</v>
      </c>
      <c r="BB715" s="163">
        <v>0</v>
      </c>
      <c r="BC715" s="163">
        <v>8.7338241000000007E-3</v>
      </c>
      <c r="BD715" s="163">
        <v>1.5376752299999999E-4</v>
      </c>
      <c r="BE715" s="163">
        <v>5.5583861609999996</v>
      </c>
      <c r="BF715" s="163">
        <v>3.4865666099999999E-4</v>
      </c>
      <c r="BG715" s="163">
        <v>0</v>
      </c>
      <c r="BH715" s="163">
        <v>0</v>
      </c>
      <c r="BI715" s="163">
        <v>0</v>
      </c>
      <c r="BJ715" s="163">
        <v>0</v>
      </c>
      <c r="BK715" s="163">
        <v>0</v>
      </c>
      <c r="BL715" s="62">
        <v>0</v>
      </c>
      <c r="BM715" s="275">
        <v>2</v>
      </c>
      <c r="BN715" s="62">
        <v>0</v>
      </c>
      <c r="BO715" s="33" t="s">
        <v>526</v>
      </c>
    </row>
    <row r="716" spans="1:67">
      <c r="A716" s="33" t="str">
        <f>Database_Productkaarten[[#This Row],[Product]]&amp;", "&amp;Database_Productkaarten[[#This Row],[Levensfase]]</f>
        <v>SMA G.R. (obv 8G+) - PCR 2.0, C3</v>
      </c>
      <c r="B716" s="33" t="s">
        <v>543</v>
      </c>
      <c r="C716" s="33" t="s">
        <v>483</v>
      </c>
      <c r="D716" s="33" t="s">
        <v>504</v>
      </c>
      <c r="E716" s="33" t="s">
        <v>378</v>
      </c>
      <c r="F716" s="33" t="s">
        <v>85</v>
      </c>
      <c r="L716" s="33">
        <v>2.2999999999999998</v>
      </c>
      <c r="M716" s="269">
        <v>1</v>
      </c>
      <c r="N716" s="211">
        <v>0.15929996481874498</v>
      </c>
      <c r="O716" s="33">
        <v>16</v>
      </c>
      <c r="P716" s="163">
        <v>1.86519505885458E-6</v>
      </c>
      <c r="Q716" s="163">
        <v>7.9345026957322908E-3</v>
      </c>
      <c r="R716" s="163">
        <v>1.6136651906067601</v>
      </c>
      <c r="S716" s="163">
        <v>2.0852500925485999E-7</v>
      </c>
      <c r="T716" s="163">
        <v>5.8559282894496596E-4</v>
      </c>
      <c r="U716" s="163">
        <v>5.7290956089707003E-3</v>
      </c>
      <c r="V716" s="163">
        <v>1.2820009425562301E-3</v>
      </c>
      <c r="W716" s="163">
        <v>0.43705340687765698</v>
      </c>
      <c r="X716" s="163">
        <v>6.1895127550989299E-3</v>
      </c>
      <c r="Y716" s="163">
        <v>21.5058289739247</v>
      </c>
      <c r="Z716" s="163">
        <v>7.3298666315663402E-4</v>
      </c>
      <c r="AA716" s="163">
        <v>1.6243260241116599</v>
      </c>
      <c r="AB716" s="163">
        <v>1.6238599218480401</v>
      </c>
      <c r="AC716" s="163">
        <v>3.7124416651432898E-4</v>
      </c>
      <c r="AD716" s="163">
        <v>9.4858097097391805E-5</v>
      </c>
      <c r="AE716" s="163">
        <v>2.6274974754346103E-7</v>
      </c>
      <c r="AF716" s="163">
        <v>7.9167720626012201E-3</v>
      </c>
      <c r="AG716" s="163">
        <v>4.43182444394828E-6</v>
      </c>
      <c r="AH716" s="163">
        <v>3.30426093811672E-3</v>
      </c>
      <c r="AI716" s="163">
        <v>3.6283310996405402E-2</v>
      </c>
      <c r="AJ716" s="163">
        <v>9.6537099780873107E-3</v>
      </c>
      <c r="AK716" s="163">
        <v>1.86518042244578E-6</v>
      </c>
      <c r="AL716" s="163">
        <v>16.741316412150301</v>
      </c>
      <c r="AM716" s="163">
        <v>2.2296698829505801E-2</v>
      </c>
      <c r="AN716" s="163">
        <v>3.0576571393916903E-8</v>
      </c>
      <c r="AO716" s="163">
        <v>7.1855284920398596E-2</v>
      </c>
      <c r="AP716" s="163">
        <v>10.0456498575947</v>
      </c>
      <c r="AQ716" s="163">
        <v>3.5242587813786801E-10</v>
      </c>
      <c r="AR716" s="163">
        <v>7.5755651621864605E-9</v>
      </c>
      <c r="AS716" s="163">
        <v>2.1383382136228501</v>
      </c>
      <c r="AT716" s="163">
        <v>0</v>
      </c>
      <c r="AU716" s="163">
        <v>0</v>
      </c>
      <c r="AV716" s="313">
        <v>9.2018591886561404E-2</v>
      </c>
      <c r="AW716" s="315">
        <v>0</v>
      </c>
      <c r="AX716" s="315">
        <v>0</v>
      </c>
      <c r="AY716" s="313">
        <v>17.7787485296484</v>
      </c>
      <c r="AZ716" s="163">
        <v>0</v>
      </c>
      <c r="BA716" s="163">
        <v>0</v>
      </c>
      <c r="BB716" s="163">
        <v>0</v>
      </c>
      <c r="BC716" s="163">
        <v>8.65415061685748E-4</v>
      </c>
      <c r="BD716" s="163">
        <v>4.5591075101651702E-5</v>
      </c>
      <c r="BE716" s="163">
        <v>1.9809525686629699E-2</v>
      </c>
      <c r="BF716" s="163">
        <v>1.16353047400916E-4</v>
      </c>
      <c r="BG716" s="163">
        <v>0</v>
      </c>
      <c r="BH716" s="163">
        <v>1000</v>
      </c>
      <c r="BI716" s="163">
        <v>0</v>
      </c>
      <c r="BJ716" s="163">
        <v>0</v>
      </c>
      <c r="BK716" s="163">
        <v>0</v>
      </c>
      <c r="BL716" s="62">
        <v>0</v>
      </c>
      <c r="BM716" s="275">
        <v>2</v>
      </c>
      <c r="BN716" s="62">
        <v>0</v>
      </c>
      <c r="BO716" s="33" t="s">
        <v>526</v>
      </c>
    </row>
    <row r="717" spans="1:67">
      <c r="A717" s="33" t="str">
        <f>Database_Productkaarten[[#This Row],[Product]]&amp;", "&amp;Database_Productkaarten[[#This Row],[Levensfase]]</f>
        <v>SMA G.R. (obv 8G+) - PCR 2.0, C4</v>
      </c>
      <c r="B717" s="33" t="s">
        <v>543</v>
      </c>
      <c r="C717" s="33" t="s">
        <v>483</v>
      </c>
      <c r="D717" s="33" t="s">
        <v>504</v>
      </c>
      <c r="E717" s="33" t="s">
        <v>378</v>
      </c>
      <c r="F717" s="33" t="s">
        <v>86</v>
      </c>
      <c r="L717" s="33">
        <v>2.2999999999999998</v>
      </c>
      <c r="M717" s="269">
        <v>1</v>
      </c>
      <c r="N717" s="211">
        <v>0</v>
      </c>
      <c r="O717" s="33">
        <v>16</v>
      </c>
      <c r="P717" s="163">
        <v>0</v>
      </c>
      <c r="Q717" s="163">
        <v>0</v>
      </c>
      <c r="R717" s="163">
        <v>0</v>
      </c>
      <c r="S717" s="163">
        <v>0</v>
      </c>
      <c r="T717" s="163">
        <v>0</v>
      </c>
      <c r="U717" s="163">
        <v>0</v>
      </c>
      <c r="V717" s="163">
        <v>0</v>
      </c>
      <c r="W717" s="163">
        <v>0</v>
      </c>
      <c r="X717" s="163">
        <v>0</v>
      </c>
      <c r="Y717" s="163">
        <v>0</v>
      </c>
      <c r="Z717" s="163">
        <v>0</v>
      </c>
      <c r="AA717" s="163">
        <v>0</v>
      </c>
      <c r="AB717" s="163">
        <v>0</v>
      </c>
      <c r="AC717" s="163">
        <v>0</v>
      </c>
      <c r="AD717" s="163">
        <v>0</v>
      </c>
      <c r="AE717" s="163">
        <v>0</v>
      </c>
      <c r="AF717" s="163">
        <v>0</v>
      </c>
      <c r="AG717" s="163">
        <v>0</v>
      </c>
      <c r="AH717" s="163">
        <v>0</v>
      </c>
      <c r="AI717" s="163">
        <v>0</v>
      </c>
      <c r="AJ717" s="163">
        <v>0</v>
      </c>
      <c r="AK717" s="163">
        <v>0</v>
      </c>
      <c r="AL717" s="163">
        <v>0</v>
      </c>
      <c r="AM717" s="163">
        <v>0</v>
      </c>
      <c r="AN717" s="163">
        <v>0</v>
      </c>
      <c r="AO717" s="163">
        <v>0</v>
      </c>
      <c r="AP717" s="163">
        <v>0</v>
      </c>
      <c r="AQ717" s="163">
        <v>0</v>
      </c>
      <c r="AR717" s="163">
        <v>0</v>
      </c>
      <c r="AS717" s="163">
        <v>0</v>
      </c>
      <c r="AT717" s="163">
        <v>0</v>
      </c>
      <c r="AU717" s="163">
        <v>0</v>
      </c>
      <c r="AV717" s="313">
        <v>0</v>
      </c>
      <c r="AW717" s="315">
        <v>0</v>
      </c>
      <c r="AX717" s="315">
        <v>0</v>
      </c>
      <c r="AY717" s="313">
        <v>0</v>
      </c>
      <c r="AZ717" s="163">
        <v>0</v>
      </c>
      <c r="BA717" s="163">
        <v>0</v>
      </c>
      <c r="BB717" s="163">
        <v>0</v>
      </c>
      <c r="BC717" s="163">
        <v>0</v>
      </c>
      <c r="BD717" s="163">
        <v>0</v>
      </c>
      <c r="BE717" s="163">
        <v>0</v>
      </c>
      <c r="BF717" s="163">
        <v>0</v>
      </c>
      <c r="BG717" s="163">
        <v>0</v>
      </c>
      <c r="BH717" s="163">
        <v>0</v>
      </c>
      <c r="BI717" s="163">
        <v>0</v>
      </c>
      <c r="BJ717" s="163">
        <v>0</v>
      </c>
      <c r="BK717" s="163">
        <v>0</v>
      </c>
      <c r="BL717" s="62">
        <v>0</v>
      </c>
      <c r="BM717" s="275">
        <v>2</v>
      </c>
      <c r="BN717" s="62">
        <v>0</v>
      </c>
      <c r="BO717" s="33" t="s">
        <v>526</v>
      </c>
    </row>
    <row r="718" spans="1:67">
      <c r="A718" s="33" t="str">
        <f>Database_Productkaarten[[#This Row],[Product]]&amp;", "&amp;Database_Productkaarten[[#This Row],[Levensfase]]</f>
        <v>SMA G.R. (obv 8G+) - PCR 2.0, D</v>
      </c>
      <c r="B718" s="33" t="s">
        <v>543</v>
      </c>
      <c r="C718" s="33" t="s">
        <v>483</v>
      </c>
      <c r="D718" s="33" t="s">
        <v>504</v>
      </c>
      <c r="E718" s="33" t="s">
        <v>378</v>
      </c>
      <c r="F718" s="33" t="s">
        <v>89</v>
      </c>
      <c r="L718" s="33">
        <v>2.2999999999999998</v>
      </c>
      <c r="M718" s="269">
        <v>1</v>
      </c>
      <c r="N718" s="211">
        <v>-4.3679865550801846</v>
      </c>
      <c r="O718" s="33">
        <v>16</v>
      </c>
      <c r="P718" s="163">
        <v>-4.9038813744081298E-4</v>
      </c>
      <c r="Q718" s="163">
        <v>-0.74558617457573995</v>
      </c>
      <c r="R718" s="163">
        <v>-32.476786358156502</v>
      </c>
      <c r="S718" s="163">
        <v>-2.7847203931114602E-6</v>
      </c>
      <c r="T718" s="163">
        <v>-8.0189532038944106E-2</v>
      </c>
      <c r="U718" s="163">
        <v>-0.229417962036013</v>
      </c>
      <c r="V718" s="163">
        <v>-2.1887334326092901E-2</v>
      </c>
      <c r="W718" s="163">
        <v>-8.9008105527336205</v>
      </c>
      <c r="X718" s="163">
        <v>-1.15579790440444</v>
      </c>
      <c r="Y718" s="163">
        <v>-5047.7740662423703</v>
      </c>
      <c r="Z718" s="163">
        <v>-0.15217051445473401</v>
      </c>
      <c r="AA718" s="163">
        <v>-8.6996419338518791</v>
      </c>
      <c r="AB718" s="163">
        <v>-8.5956686497681698</v>
      </c>
      <c r="AC718" s="163">
        <v>-9.3379173256356404E-2</v>
      </c>
      <c r="AD718" s="163">
        <v>-1.05941108273534E-2</v>
      </c>
      <c r="AE718" s="163">
        <v>-1.13959398319269E-6</v>
      </c>
      <c r="AF718" s="163">
        <v>-8.4050570572292399E-2</v>
      </c>
      <c r="AG718" s="163">
        <v>-3.6733849129322999E-4</v>
      </c>
      <c r="AH718" s="163">
        <v>-2.48281595391289E-2</v>
      </c>
      <c r="AI718" s="163">
        <v>-0.31243681487317698</v>
      </c>
      <c r="AJ718" s="163">
        <v>-7.7086420452847595E-2</v>
      </c>
      <c r="AK718" s="163">
        <v>-4.8699678772903799E-4</v>
      </c>
      <c r="AL718" s="163">
        <v>-125.345592380013</v>
      </c>
      <c r="AM718" s="163">
        <v>-30.720181733403098</v>
      </c>
      <c r="AN718" s="163">
        <v>-1.18729781569588E-6</v>
      </c>
      <c r="AO718" s="163">
        <v>-0.67077370817293902</v>
      </c>
      <c r="AP718" s="163">
        <v>-1140.6084620363799</v>
      </c>
      <c r="AQ718" s="163">
        <v>-6.3431836537325399E-9</v>
      </c>
      <c r="AR718" s="163">
        <v>-1.4494123851674099E-7</v>
      </c>
      <c r="AS718" s="163">
        <v>-1407.4485176286601</v>
      </c>
      <c r="AT718" s="163">
        <v>0</v>
      </c>
      <c r="AU718" s="163">
        <v>0</v>
      </c>
      <c r="AV718" s="313">
        <v>-16.2626760282233</v>
      </c>
      <c r="AW718" s="315">
        <v>0</v>
      </c>
      <c r="AX718" s="315">
        <v>0</v>
      </c>
      <c r="AY718" s="313">
        <v>-1683.87225387029</v>
      </c>
      <c r="AZ718" s="163">
        <v>0</v>
      </c>
      <c r="BA718" s="163">
        <v>0</v>
      </c>
      <c r="BB718" s="163">
        <v>0</v>
      </c>
      <c r="BC718" s="163">
        <v>-17.9984712245686</v>
      </c>
      <c r="BD718" s="163">
        <v>-7.7956597309136895E-4</v>
      </c>
      <c r="BE718" s="163">
        <v>-3.0846445640326001</v>
      </c>
      <c r="BF718" s="163">
        <v>-9.1037909150971604E-4</v>
      </c>
      <c r="BG718" s="163">
        <v>0</v>
      </c>
      <c r="BH718" s="163">
        <v>0</v>
      </c>
      <c r="BI718" s="163">
        <v>0</v>
      </c>
      <c r="BJ718" s="163">
        <v>0</v>
      </c>
      <c r="BK718" s="163">
        <v>0</v>
      </c>
      <c r="BL718" s="62">
        <v>0</v>
      </c>
      <c r="BM718" s="275">
        <v>2</v>
      </c>
      <c r="BN718" s="62">
        <v>0</v>
      </c>
      <c r="BO718" s="33" t="s">
        <v>526</v>
      </c>
    </row>
    <row r="719" spans="1:67">
      <c r="A719" s="33" t="str">
        <f>Database_Productkaarten[[#This Row],[Product]]&amp;", "&amp;Database_Productkaarten[[#This Row],[Levensfase]]</f>
        <v>WB asfaltbeton - PCR 2.0, Totaal</v>
      </c>
      <c r="B719" s="33" t="s">
        <v>544</v>
      </c>
      <c r="C719" s="33" t="s">
        <v>483</v>
      </c>
      <c r="D719" s="33" t="s">
        <v>506</v>
      </c>
      <c r="E719" s="33" t="s">
        <v>378</v>
      </c>
      <c r="F719" s="33" t="s">
        <v>90</v>
      </c>
      <c r="L719" s="33">
        <v>2.35</v>
      </c>
      <c r="M719" s="269">
        <v>1</v>
      </c>
      <c r="N719" s="41">
        <f>SUM(N720:N735)</f>
        <v>26.511761306317279</v>
      </c>
      <c r="O719" s="33">
        <v>55</v>
      </c>
      <c r="P719" s="40">
        <f>SUM(P720:P735)</f>
        <v>2.0956922258193846E-3</v>
      </c>
      <c r="Q719" s="40">
        <f t="shared" ref="Q719:BK719" si="81">SUM(Q720:Q735)</f>
        <v>3.7751085657208878</v>
      </c>
      <c r="R719" s="40">
        <f t="shared" si="81"/>
        <v>229.39830551847169</v>
      </c>
      <c r="S719" s="40">
        <f t="shared" si="81"/>
        <v>2.5759895786253729E-5</v>
      </c>
      <c r="T719" s="40">
        <f t="shared" si="81"/>
        <v>0.35656450046274751</v>
      </c>
      <c r="U719" s="40">
        <f t="shared" si="81"/>
        <v>1.2306083698069845</v>
      </c>
      <c r="V719" s="40">
        <f t="shared" si="81"/>
        <v>0.15359383849756822</v>
      </c>
      <c r="W719" s="40">
        <f t="shared" si="81"/>
        <v>55.654550617133943</v>
      </c>
      <c r="X719" s="40">
        <f t="shared" si="81"/>
        <v>5.118782778095512</v>
      </c>
      <c r="Y719" s="40">
        <f t="shared" si="81"/>
        <v>22133.8294304708</v>
      </c>
      <c r="Z719" s="40">
        <f t="shared" si="81"/>
        <v>0.71595906141798904</v>
      </c>
      <c r="AA719" s="40">
        <f t="shared" si="81"/>
        <v>239.0807701811523</v>
      </c>
      <c r="AB719" s="40">
        <f t="shared" si="81"/>
        <v>238.47923348876026</v>
      </c>
      <c r="AC719" s="40">
        <f t="shared" si="81"/>
        <v>0.5223338610747168</v>
      </c>
      <c r="AD719" s="40">
        <f t="shared" si="81"/>
        <v>0.15581881256741306</v>
      </c>
      <c r="AE719" s="40">
        <f t="shared" si="81"/>
        <v>3.1228638503249072E-5</v>
      </c>
      <c r="AF719" s="40">
        <f t="shared" si="81"/>
        <v>1.5222722470296324</v>
      </c>
      <c r="AG719" s="40">
        <f t="shared" si="81"/>
        <v>3.0828466230608878E-3</v>
      </c>
      <c r="AH719" s="40">
        <f t="shared" si="81"/>
        <v>0.35877888923399032</v>
      </c>
      <c r="AI719" s="40">
        <f t="shared" si="81"/>
        <v>3.8047298904097948</v>
      </c>
      <c r="AJ719" s="40">
        <f t="shared" si="81"/>
        <v>1.5950100122998947</v>
      </c>
      <c r="AK719" s="40">
        <f t="shared" si="81"/>
        <v>2.0955461430868126E-3</v>
      </c>
      <c r="AL719" s="40">
        <f t="shared" si="81"/>
        <v>7875.7952371981519</v>
      </c>
      <c r="AM719" s="40">
        <f t="shared" si="81"/>
        <v>150.5286584748138</v>
      </c>
      <c r="AN719" s="40">
        <f t="shared" si="81"/>
        <v>8.3302333956825751E-6</v>
      </c>
      <c r="AO719" s="40">
        <f t="shared" si="81"/>
        <v>8.0513006124603166</v>
      </c>
      <c r="AP719" s="40">
        <f t="shared" si="81"/>
        <v>8442.0726789952769</v>
      </c>
      <c r="AQ719" s="40">
        <f t="shared" si="81"/>
        <v>7.1480298500518953E-8</v>
      </c>
      <c r="AR719" s="40">
        <f t="shared" si="81"/>
        <v>2.4503295342497649E-6</v>
      </c>
      <c r="AS719" s="40">
        <f t="shared" si="81"/>
        <v>2194.6715079887927</v>
      </c>
      <c r="AT719" s="40">
        <f t="shared" si="81"/>
        <v>9.0831365000000002</v>
      </c>
      <c r="AU719" s="40">
        <f t="shared" si="81"/>
        <v>0</v>
      </c>
      <c r="AV719" s="313">
        <f t="shared" si="81"/>
        <v>82.900679832563156</v>
      </c>
      <c r="AW719" s="317">
        <f t="shared" si="81"/>
        <v>0.79580531249999997</v>
      </c>
      <c r="AX719" s="317">
        <f t="shared" si="81"/>
        <v>1.1178862500000001E-3</v>
      </c>
      <c r="AY719" s="313">
        <f t="shared" si="81"/>
        <v>8407.3352704650115</v>
      </c>
      <c r="AZ719" s="40">
        <f t="shared" si="81"/>
        <v>0</v>
      </c>
      <c r="BA719" s="40">
        <f t="shared" si="81"/>
        <v>0</v>
      </c>
      <c r="BB719" s="40">
        <f t="shared" si="81"/>
        <v>0</v>
      </c>
      <c r="BC719" s="40">
        <f t="shared" si="81"/>
        <v>3.6811428141471532</v>
      </c>
      <c r="BD719" s="40">
        <f t="shared" si="81"/>
        <v>5.8744071429418562E-3</v>
      </c>
      <c r="BE719" s="40">
        <f t="shared" si="81"/>
        <v>1036.3980625744823</v>
      </c>
      <c r="BF719" s="40">
        <f t="shared" si="81"/>
        <v>9.2402956288299299E-3</v>
      </c>
      <c r="BG719" s="40">
        <f t="shared" si="81"/>
        <v>0</v>
      </c>
      <c r="BH719" s="40">
        <f t="shared" si="81"/>
        <v>0</v>
      </c>
      <c r="BI719" s="40">
        <f t="shared" si="81"/>
        <v>0</v>
      </c>
      <c r="BJ719" s="40">
        <f t="shared" si="81"/>
        <v>0</v>
      </c>
      <c r="BK719" s="40">
        <f t="shared" si="81"/>
        <v>0</v>
      </c>
      <c r="BL719" s="62">
        <v>0</v>
      </c>
      <c r="BM719" s="275">
        <v>2</v>
      </c>
      <c r="BN719" s="62">
        <v>0</v>
      </c>
      <c r="BO719" s="33" t="s">
        <v>526</v>
      </c>
    </row>
    <row r="720" spans="1:67">
      <c r="A720" s="33" t="str">
        <f>Database_Productkaarten[[#This Row],[Product]]&amp;", "&amp;Database_Productkaarten[[#This Row],[Levensfase]]</f>
        <v>WB asfaltbeton - PCR 2.0, A1</v>
      </c>
      <c r="B720" s="33" t="s">
        <v>544</v>
      </c>
      <c r="C720" s="33" t="s">
        <v>483</v>
      </c>
      <c r="D720" s="33" t="s">
        <v>506</v>
      </c>
      <c r="E720" s="33" t="s">
        <v>378</v>
      </c>
      <c r="F720" s="33" t="s">
        <v>74</v>
      </c>
      <c r="L720" s="33">
        <v>2.35</v>
      </c>
      <c r="M720" s="269">
        <v>1</v>
      </c>
      <c r="N720" s="211">
        <v>7.7018663127819575</v>
      </c>
      <c r="O720" s="33">
        <v>55</v>
      </c>
      <c r="P720" s="163">
        <v>6.2274710492964103E-4</v>
      </c>
      <c r="Q720" s="163">
        <v>1.4526656995348499</v>
      </c>
      <c r="R720" s="163">
        <v>58.128080122554699</v>
      </c>
      <c r="S720" s="163">
        <v>4.6402052687181401E-6</v>
      </c>
      <c r="T720" s="163">
        <v>0.15396395504285501</v>
      </c>
      <c r="U720" s="163">
        <v>0.39618050793887399</v>
      </c>
      <c r="V720" s="163">
        <v>3.0929817276134801E-2</v>
      </c>
      <c r="W720" s="163">
        <v>14.5328599073442</v>
      </c>
      <c r="X720" s="163">
        <v>2.2744158304764501</v>
      </c>
      <c r="Y720" s="163">
        <v>9981.5900785160502</v>
      </c>
      <c r="Z720" s="163">
        <v>0.29049628800833899</v>
      </c>
      <c r="AA720" s="163">
        <v>62.228515574098701</v>
      </c>
      <c r="AB720" s="163">
        <v>62.071791287186301</v>
      </c>
      <c r="AC720" s="163">
        <v>0.158333371776016</v>
      </c>
      <c r="AD720" s="163">
        <v>3.6698915136396199E-2</v>
      </c>
      <c r="AE720" s="163">
        <v>5.6502571096799998E-6</v>
      </c>
      <c r="AF720" s="163">
        <v>0.462504718440512</v>
      </c>
      <c r="AG720" s="163">
        <v>9.0952231142254895E-4</v>
      </c>
      <c r="AH720" s="163">
        <v>6.3448528776882507E-2</v>
      </c>
      <c r="AI720" s="163">
        <v>0.62211688869807003</v>
      </c>
      <c r="AJ720" s="163">
        <v>0.45213038891976598</v>
      </c>
      <c r="AK720" s="163">
        <v>6.22684649086277E-4</v>
      </c>
      <c r="AL720" s="163">
        <v>3082.2730473584902</v>
      </c>
      <c r="AM720" s="163">
        <v>69.665114236743307</v>
      </c>
      <c r="AN720" s="163">
        <v>2.17329809436301E-6</v>
      </c>
      <c r="AO720" s="163">
        <v>1.70033654595543</v>
      </c>
      <c r="AP720" s="163">
        <v>3740.4638754078601</v>
      </c>
      <c r="AQ720" s="163">
        <v>1.84221292511845E-8</v>
      </c>
      <c r="AR720" s="163">
        <v>8.5450978798050201E-7</v>
      </c>
      <c r="AS720" s="163">
        <v>569.42814792713898</v>
      </c>
      <c r="AT720" s="163">
        <v>0</v>
      </c>
      <c r="AU720" s="163">
        <v>0</v>
      </c>
      <c r="AV720" s="313">
        <v>21.636737275935801</v>
      </c>
      <c r="AW720" s="315">
        <v>0</v>
      </c>
      <c r="AX720" s="315">
        <v>0</v>
      </c>
      <c r="AY720" s="313">
        <v>3280.0152006811099</v>
      </c>
      <c r="AZ720" s="163">
        <v>0</v>
      </c>
      <c r="BA720" s="163">
        <v>0</v>
      </c>
      <c r="BB720" s="163">
        <v>0</v>
      </c>
      <c r="BC720" s="163">
        <v>1.6544960375600599</v>
      </c>
      <c r="BD720" s="163">
        <v>1.31143245265545E-3</v>
      </c>
      <c r="BE720" s="163">
        <v>5.0226975307905404</v>
      </c>
      <c r="BF720" s="163">
        <v>1.11758347180719E-3</v>
      </c>
      <c r="BG720" s="163">
        <v>0</v>
      </c>
      <c r="BH720" s="163">
        <v>0</v>
      </c>
      <c r="BI720" s="163">
        <v>0</v>
      </c>
      <c r="BJ720" s="163">
        <v>0</v>
      </c>
      <c r="BK720" s="163">
        <v>0</v>
      </c>
      <c r="BL720" s="62">
        <v>0</v>
      </c>
      <c r="BM720" s="275">
        <v>2</v>
      </c>
      <c r="BN720" s="62">
        <v>0</v>
      </c>
      <c r="BO720" s="33" t="s">
        <v>526</v>
      </c>
    </row>
    <row r="721" spans="1:67">
      <c r="A721" s="33" t="str">
        <f>Database_Productkaarten[[#This Row],[Product]]&amp;", "&amp;Database_Productkaarten[[#This Row],[Levensfase]]</f>
        <v>WB asfaltbeton - PCR 2.0, A2</v>
      </c>
      <c r="B721" s="33" t="s">
        <v>544</v>
      </c>
      <c r="C721" s="33" t="s">
        <v>483</v>
      </c>
      <c r="D721" s="33" t="s">
        <v>506</v>
      </c>
      <c r="E721" s="33" t="s">
        <v>378</v>
      </c>
      <c r="F721" s="33" t="s">
        <v>75</v>
      </c>
      <c r="L721" s="33">
        <v>2.35</v>
      </c>
      <c r="M721" s="269">
        <v>1</v>
      </c>
      <c r="N721" s="211">
        <v>2.9209376076244413</v>
      </c>
      <c r="O721" s="33">
        <v>55</v>
      </c>
      <c r="P721" s="163">
        <v>2.9663152184272599E-4</v>
      </c>
      <c r="Q721" s="163">
        <v>0.15740468321588799</v>
      </c>
      <c r="R721" s="163">
        <v>24.427824327953399</v>
      </c>
      <c r="S721" s="163">
        <v>3.70076125828098E-6</v>
      </c>
      <c r="T721" s="163">
        <v>1.4451864007216901E-2</v>
      </c>
      <c r="U721" s="163">
        <v>0.15856951705636799</v>
      </c>
      <c r="V721" s="163">
        <v>3.4803389388315002E-2</v>
      </c>
      <c r="W721" s="163">
        <v>6.9857249484717503</v>
      </c>
      <c r="X721" s="163">
        <v>0.18499025341077099</v>
      </c>
      <c r="Y721" s="163">
        <v>616.765372811475</v>
      </c>
      <c r="Z721" s="163">
        <v>3.0822784171944902E-2</v>
      </c>
      <c r="AA721" s="163">
        <v>24.702760954579698</v>
      </c>
      <c r="AB721" s="163">
        <v>24.632591026987001</v>
      </c>
      <c r="AC721" s="163">
        <v>3.3118345640213799E-2</v>
      </c>
      <c r="AD721" s="163">
        <v>3.7051581952507101E-2</v>
      </c>
      <c r="AE721" s="163">
        <v>4.6082490754108699E-6</v>
      </c>
      <c r="AF721" s="163">
        <v>0.219758685875177</v>
      </c>
      <c r="AG721" s="163">
        <v>2.84909986295502E-4</v>
      </c>
      <c r="AH721" s="163">
        <v>9.1546354751638997E-2</v>
      </c>
      <c r="AI721" s="163">
        <v>1.0078105160761199</v>
      </c>
      <c r="AJ721" s="163">
        <v>0.26354495995882299</v>
      </c>
      <c r="AK721" s="163">
        <v>2.9662172016087902E-4</v>
      </c>
      <c r="AL721" s="163">
        <v>326.16350982458198</v>
      </c>
      <c r="AM721" s="163">
        <v>1.43673182103302</v>
      </c>
      <c r="AN721" s="163">
        <v>9.5661161483635998E-7</v>
      </c>
      <c r="AO721" s="163">
        <v>1.4014825126500801</v>
      </c>
      <c r="AP721" s="163">
        <v>288.97735395213101</v>
      </c>
      <c r="AQ721" s="163">
        <v>1.1463504450401099E-8</v>
      </c>
      <c r="AR721" s="163">
        <v>2.30554742174145E-7</v>
      </c>
      <c r="AS721" s="163">
        <v>258.578096569747</v>
      </c>
      <c r="AT721" s="163">
        <v>0</v>
      </c>
      <c r="AU721" s="163">
        <v>0</v>
      </c>
      <c r="AV721" s="313">
        <v>6.6908750171429396</v>
      </c>
      <c r="AW721" s="315">
        <v>0</v>
      </c>
      <c r="AX721" s="315">
        <v>0</v>
      </c>
      <c r="AY721" s="313">
        <v>346.16457495379098</v>
      </c>
      <c r="AZ721" s="163">
        <v>0</v>
      </c>
      <c r="BA721" s="163">
        <v>0</v>
      </c>
      <c r="BB721" s="163">
        <v>0</v>
      </c>
      <c r="BC721" s="163">
        <v>5.6167006162053001E-2</v>
      </c>
      <c r="BD721" s="163">
        <v>8.4354985795401705E-4</v>
      </c>
      <c r="BE721" s="163">
        <v>6.8179724371706696</v>
      </c>
      <c r="BF721" s="163">
        <v>2.12139019248262E-3</v>
      </c>
      <c r="BG721" s="163">
        <v>0</v>
      </c>
      <c r="BH721" s="163">
        <v>0</v>
      </c>
      <c r="BI721" s="163">
        <v>0</v>
      </c>
      <c r="BJ721" s="163">
        <v>0</v>
      </c>
      <c r="BK721" s="163">
        <v>0</v>
      </c>
      <c r="BL721" s="62">
        <v>0</v>
      </c>
      <c r="BM721" s="275">
        <v>2</v>
      </c>
      <c r="BN721" s="62">
        <v>0</v>
      </c>
      <c r="BO721" s="33" t="s">
        <v>526</v>
      </c>
    </row>
    <row r="722" spans="1:67">
      <c r="A722" s="33" t="str">
        <f>Database_Productkaarten[[#This Row],[Product]]&amp;", "&amp;Database_Productkaarten[[#This Row],[Levensfase]]</f>
        <v>WB asfaltbeton - PCR 2.0, A3</v>
      </c>
      <c r="B722" s="33" t="s">
        <v>544</v>
      </c>
      <c r="C722" s="33" t="s">
        <v>483</v>
      </c>
      <c r="D722" s="33" t="s">
        <v>506</v>
      </c>
      <c r="E722" s="33" t="s">
        <v>378</v>
      </c>
      <c r="F722" s="33" t="s">
        <v>76</v>
      </c>
      <c r="L722" s="33">
        <v>2.35</v>
      </c>
      <c r="M722" s="269">
        <v>1</v>
      </c>
      <c r="N722" s="211">
        <v>1.7106098789630175</v>
      </c>
      <c r="O722" s="33">
        <v>55</v>
      </c>
      <c r="P722" s="163">
        <v>2.3368095373248199E-5</v>
      </c>
      <c r="Q722" s="163">
        <v>0.20394912993626099</v>
      </c>
      <c r="R722" s="163">
        <v>23.943873220652499</v>
      </c>
      <c r="S722" s="163">
        <v>2.7039173746115999E-6</v>
      </c>
      <c r="T722" s="163">
        <v>3.8575398381124298E-3</v>
      </c>
      <c r="U722" s="163">
        <v>2.3646364381881099E-2</v>
      </c>
      <c r="V722" s="163">
        <v>3.9985840453411001E-3</v>
      </c>
      <c r="W722" s="163">
        <v>3.6593237733467401</v>
      </c>
      <c r="X722" s="163">
        <v>2.6295228241793499E-2</v>
      </c>
      <c r="Y722" s="163">
        <v>107.349813719294</v>
      </c>
      <c r="Z722" s="163">
        <v>2.5812154864726301E-2</v>
      </c>
      <c r="AA722" s="163">
        <v>24.300515085879599</v>
      </c>
      <c r="AB722" s="163">
        <v>24.243101056667498</v>
      </c>
      <c r="AC722" s="163">
        <v>5.5365606594678499E-2</v>
      </c>
      <c r="AD722" s="163">
        <v>2.0484226174138499E-3</v>
      </c>
      <c r="AE722" s="163">
        <v>3.04844941865756E-6</v>
      </c>
      <c r="AF722" s="163">
        <v>3.0362272251963002E-2</v>
      </c>
      <c r="AG722" s="163">
        <v>2.78110086717633E-4</v>
      </c>
      <c r="AH722" s="163">
        <v>8.4421751683242396E-3</v>
      </c>
      <c r="AI722" s="163">
        <v>9.55210422111719E-2</v>
      </c>
      <c r="AJ722" s="163">
        <v>2.8915073590836698E-2</v>
      </c>
      <c r="AK722" s="163">
        <v>2.3367774976517501E-5</v>
      </c>
      <c r="AL722" s="163">
        <v>375.42783770203101</v>
      </c>
      <c r="AM722" s="163">
        <v>0.56105257740730097</v>
      </c>
      <c r="AN722" s="163">
        <v>1.98641795259724E-7</v>
      </c>
      <c r="AO722" s="163">
        <v>0.27700344318974202</v>
      </c>
      <c r="AP722" s="163">
        <v>80.187562755709905</v>
      </c>
      <c r="AQ722" s="163">
        <v>2.9851347990015499E-9</v>
      </c>
      <c r="AR722" s="163">
        <v>5.2119023868804899E-8</v>
      </c>
      <c r="AS722" s="163">
        <v>17.025191436750099</v>
      </c>
      <c r="AT722" s="163">
        <v>0</v>
      </c>
      <c r="AU722" s="163">
        <v>0</v>
      </c>
      <c r="AV722" s="313">
        <v>7.1865340222117098</v>
      </c>
      <c r="AW722" s="315">
        <v>0</v>
      </c>
      <c r="AX722" s="315">
        <v>0</v>
      </c>
      <c r="AY722" s="313">
        <v>413.88612245425003</v>
      </c>
      <c r="AZ722" s="163">
        <v>0</v>
      </c>
      <c r="BA722" s="163">
        <v>0</v>
      </c>
      <c r="BB722" s="163">
        <v>0</v>
      </c>
      <c r="BC722" s="163">
        <v>4.1757405895311198E-2</v>
      </c>
      <c r="BD722" s="163">
        <v>4.5540869333339002E-4</v>
      </c>
      <c r="BE722" s="163">
        <v>0.28627006863365501</v>
      </c>
      <c r="BF722" s="163">
        <v>3.5200605752163798E-4</v>
      </c>
      <c r="BG722" s="163">
        <v>0</v>
      </c>
      <c r="BH722" s="163">
        <v>0</v>
      </c>
      <c r="BI722" s="163">
        <v>0</v>
      </c>
      <c r="BJ722" s="163">
        <v>0</v>
      </c>
      <c r="BK722" s="163">
        <v>0</v>
      </c>
      <c r="BL722" s="62">
        <v>0</v>
      </c>
      <c r="BM722" s="275">
        <v>2</v>
      </c>
      <c r="BN722" s="62">
        <v>0</v>
      </c>
      <c r="BO722" s="33" t="s">
        <v>526</v>
      </c>
    </row>
    <row r="723" spans="1:67">
      <c r="A723" s="33" t="str">
        <f>Database_Productkaarten[[#This Row],[Product]]&amp;", "&amp;Database_Productkaarten[[#This Row],[Levensfase]]</f>
        <v>WB asfaltbeton - PCR 2.0, A1-A3</v>
      </c>
      <c r="B723" s="33" t="str">
        <f>B722</f>
        <v>WB asfaltbeton - PCR 2.0</v>
      </c>
      <c r="C723" s="33" t="str">
        <f>C722</f>
        <v>Bitumineuze verhardingen</v>
      </c>
      <c r="D723" s="33" t="str">
        <f>D722</f>
        <v>Asfaltbeton</v>
      </c>
      <c r="E723" s="33" t="str">
        <f>E722</f>
        <v>Ton</v>
      </c>
      <c r="F723" s="33" t="s">
        <v>77</v>
      </c>
      <c r="L723" s="33">
        <f>L722</f>
        <v>2.35</v>
      </c>
      <c r="M723" s="45">
        <f>M722</f>
        <v>1</v>
      </c>
      <c r="N723" s="41">
        <f>SUM(N720:N722)</f>
        <v>12.333413799369417</v>
      </c>
      <c r="O723" s="33">
        <f>O722</f>
        <v>55</v>
      </c>
      <c r="P723" s="40">
        <f>SUM(P720:P722)</f>
        <v>9.4274672214561528E-4</v>
      </c>
      <c r="Q723" s="40">
        <f t="shared" ref="Q723:BK723" si="82">SUM(Q720:Q722)</f>
        <v>1.8140195126869989</v>
      </c>
      <c r="R723" s="40">
        <f t="shared" si="82"/>
        <v>106.49977767116059</v>
      </c>
      <c r="S723" s="40">
        <f t="shared" si="82"/>
        <v>1.1044883901610719E-5</v>
      </c>
      <c r="T723" s="40">
        <f t="shared" si="82"/>
        <v>0.17227335888818435</v>
      </c>
      <c r="U723" s="40">
        <f t="shared" si="82"/>
        <v>0.57839638937712301</v>
      </c>
      <c r="V723" s="40">
        <f t="shared" si="82"/>
        <v>6.9731790709790908E-2</v>
      </c>
      <c r="W723" s="40">
        <f t="shared" si="82"/>
        <v>25.177908629162694</v>
      </c>
      <c r="X723" s="40">
        <f t="shared" si="82"/>
        <v>2.4857013121290148</v>
      </c>
      <c r="Y723" s="40">
        <f t="shared" si="82"/>
        <v>10705.705265046819</v>
      </c>
      <c r="Z723" s="40">
        <f t="shared" si="82"/>
        <v>0.3471312270450102</v>
      </c>
      <c r="AA723" s="40">
        <f t="shared" si="82"/>
        <v>111.23179161455799</v>
      </c>
      <c r="AB723" s="40">
        <f t="shared" si="82"/>
        <v>110.9474833708408</v>
      </c>
      <c r="AC723" s="40">
        <f t="shared" si="82"/>
        <v>0.24681732401090828</v>
      </c>
      <c r="AD723" s="40">
        <f t="shared" si="82"/>
        <v>7.579891970631715E-2</v>
      </c>
      <c r="AE723" s="40">
        <f t="shared" si="82"/>
        <v>1.3306955603748429E-5</v>
      </c>
      <c r="AF723" s="40">
        <f t="shared" si="82"/>
        <v>0.71262567656765197</v>
      </c>
      <c r="AG723" s="40">
        <f t="shared" si="82"/>
        <v>1.4725423844356841E-3</v>
      </c>
      <c r="AH723" s="40">
        <f t="shared" si="82"/>
        <v>0.16343705869684574</v>
      </c>
      <c r="AI723" s="40">
        <f t="shared" si="82"/>
        <v>1.7254484469853619</v>
      </c>
      <c r="AJ723" s="40">
        <f t="shared" si="82"/>
        <v>0.74459042246942564</v>
      </c>
      <c r="AK723" s="40">
        <f t="shared" si="82"/>
        <v>9.4267414422367348E-4</v>
      </c>
      <c r="AL723" s="40">
        <f t="shared" si="82"/>
        <v>3783.8643948851031</v>
      </c>
      <c r="AM723" s="40">
        <f t="shared" si="82"/>
        <v>71.662898635183623</v>
      </c>
      <c r="AN723" s="40">
        <f t="shared" si="82"/>
        <v>3.3285515044590944E-6</v>
      </c>
      <c r="AO723" s="40">
        <f t="shared" si="82"/>
        <v>3.378822501795252</v>
      </c>
      <c r="AP723" s="40">
        <f t="shared" si="82"/>
        <v>4109.6287921157009</v>
      </c>
      <c r="AQ723" s="40">
        <f t="shared" si="82"/>
        <v>3.287076850058715E-8</v>
      </c>
      <c r="AR723" s="40">
        <f t="shared" si="82"/>
        <v>1.1371835540234517E-6</v>
      </c>
      <c r="AS723" s="40">
        <f t="shared" si="82"/>
        <v>845.03143593363609</v>
      </c>
      <c r="AT723" s="40">
        <f t="shared" si="82"/>
        <v>0</v>
      </c>
      <c r="AU723" s="40">
        <f t="shared" si="82"/>
        <v>0</v>
      </c>
      <c r="AV723" s="317">
        <f t="shared" si="82"/>
        <v>35.514146315290446</v>
      </c>
      <c r="AW723" s="317">
        <f t="shared" si="82"/>
        <v>0</v>
      </c>
      <c r="AX723" s="317">
        <f t="shared" si="82"/>
        <v>0</v>
      </c>
      <c r="AY723" s="317">
        <f t="shared" si="82"/>
        <v>4040.0658980891512</v>
      </c>
      <c r="AZ723" s="40">
        <f t="shared" si="82"/>
        <v>0</v>
      </c>
      <c r="BA723" s="40">
        <f t="shared" si="82"/>
        <v>0</v>
      </c>
      <c r="BB723" s="40">
        <f t="shared" si="82"/>
        <v>0</v>
      </c>
      <c r="BC723" s="40">
        <f t="shared" si="82"/>
        <v>1.752420449617424</v>
      </c>
      <c r="BD723" s="40">
        <f t="shared" si="82"/>
        <v>2.610391003942857E-3</v>
      </c>
      <c r="BE723" s="40">
        <f t="shared" si="82"/>
        <v>12.126940036594865</v>
      </c>
      <c r="BF723" s="40">
        <f t="shared" si="82"/>
        <v>3.5909797218114476E-3</v>
      </c>
      <c r="BG723" s="40">
        <f t="shared" si="82"/>
        <v>0</v>
      </c>
      <c r="BH723" s="40">
        <f t="shared" si="82"/>
        <v>0</v>
      </c>
      <c r="BI723" s="40">
        <f t="shared" si="82"/>
        <v>0</v>
      </c>
      <c r="BJ723" s="40">
        <f t="shared" si="82"/>
        <v>0</v>
      </c>
      <c r="BK723" s="40">
        <f t="shared" si="82"/>
        <v>0</v>
      </c>
      <c r="BL723" s="62">
        <f>BL722</f>
        <v>0</v>
      </c>
      <c r="BM723" s="275">
        <f>BM722</f>
        <v>2</v>
      </c>
      <c r="BN723" s="62">
        <v>0</v>
      </c>
      <c r="BO723" s="33" t="str">
        <f>BO722</f>
        <v>Ecochain 2022 LCA Achtergrondrapport voor Nederlandse branchereferentiemengsels 2022</v>
      </c>
    </row>
    <row r="724" spans="1:67">
      <c r="A724" s="33" t="str">
        <f>Database_Productkaarten[[#This Row],[Product]]&amp;", "&amp;Database_Productkaarten[[#This Row],[Levensfase]]</f>
        <v>WB asfaltbeton - PCR 2.0, A4</v>
      </c>
      <c r="B724" s="33" t="s">
        <v>544</v>
      </c>
      <c r="C724" s="33" t="s">
        <v>483</v>
      </c>
      <c r="D724" s="33" t="s">
        <v>506</v>
      </c>
      <c r="E724" s="33" t="s">
        <v>378</v>
      </c>
      <c r="F724" s="33" t="s">
        <v>78</v>
      </c>
      <c r="L724" s="33">
        <v>2.35</v>
      </c>
      <c r="M724" s="269">
        <v>1</v>
      </c>
      <c r="N724" s="211">
        <v>0.42281585688000006</v>
      </c>
      <c r="O724" s="33">
        <v>55</v>
      </c>
      <c r="P724" s="163">
        <v>7.7177375000000002E-5</v>
      </c>
      <c r="Q724" s="163">
        <v>3.3461587500000001E-2</v>
      </c>
      <c r="R724" s="163">
        <v>4.4922831875</v>
      </c>
      <c r="S724" s="163">
        <v>8.5103749999999996E-7</v>
      </c>
      <c r="T724" s="163">
        <v>2.7898312499999999E-3</v>
      </c>
      <c r="U724" s="163">
        <v>1.5360149999999999E-2</v>
      </c>
      <c r="V724" s="163">
        <v>2.8921387499999999E-3</v>
      </c>
      <c r="W724" s="163">
        <v>0.96938567499999995</v>
      </c>
      <c r="X724" s="163">
        <v>4.0754362500000002E-2</v>
      </c>
      <c r="Y724" s="163">
        <v>109.65832875</v>
      </c>
      <c r="Z724" s="163">
        <v>5.4546374999999998E-3</v>
      </c>
      <c r="AA724" s="163">
        <v>4.5337142750000003</v>
      </c>
      <c r="AB724" s="163">
        <v>4.5303539749999997</v>
      </c>
      <c r="AC724" s="163">
        <v>2.2313774999999998E-3</v>
      </c>
      <c r="AD724" s="163">
        <v>1.1288975E-3</v>
      </c>
      <c r="AE724" s="163">
        <v>1.0695525E-6</v>
      </c>
      <c r="AF724" s="163">
        <v>1.9977000000000002E-2</v>
      </c>
      <c r="AG724" s="163">
        <v>3.1353599999999997E-5</v>
      </c>
      <c r="AH724" s="163">
        <v>6.24826375E-3</v>
      </c>
      <c r="AI724" s="163">
        <v>6.9127599999999997E-2</v>
      </c>
      <c r="AJ724" s="163">
        <v>2.1661875000000001E-2</v>
      </c>
      <c r="AK724" s="163">
        <v>7.717725E-5</v>
      </c>
      <c r="AL724" s="163">
        <v>70.271178750000004</v>
      </c>
      <c r="AM724" s="163">
        <v>0.23981325000000001</v>
      </c>
      <c r="AN724" s="163">
        <v>3.3039275000000001E-7</v>
      </c>
      <c r="AO724" s="163">
        <v>0.30257301250000002</v>
      </c>
      <c r="AP724" s="163">
        <v>51.312919999999998</v>
      </c>
      <c r="AQ724" s="163">
        <v>1.3104862499999999E-9</v>
      </c>
      <c r="AR724" s="163">
        <v>4.30946125E-8</v>
      </c>
      <c r="AS724" s="163">
        <v>80.863563749999997</v>
      </c>
      <c r="AT724" s="163">
        <v>0</v>
      </c>
      <c r="AU724" s="163">
        <v>0</v>
      </c>
      <c r="AV724" s="313">
        <v>0.71480762499999995</v>
      </c>
      <c r="AW724" s="315">
        <v>0</v>
      </c>
      <c r="AX724" s="315">
        <v>0</v>
      </c>
      <c r="AY724" s="313">
        <v>74.622870000000006</v>
      </c>
      <c r="AZ724" s="163">
        <v>0</v>
      </c>
      <c r="BA724" s="163">
        <v>0</v>
      </c>
      <c r="BB724" s="163">
        <v>0</v>
      </c>
      <c r="BC724" s="163">
        <v>7.5977249999999996E-3</v>
      </c>
      <c r="BD724" s="163">
        <v>1.7422062499999999E-4</v>
      </c>
      <c r="BE724" s="163">
        <v>6.1526456249999999</v>
      </c>
      <c r="BF724" s="163">
        <v>4.7877225000000001E-4</v>
      </c>
      <c r="BG724" s="163">
        <v>0</v>
      </c>
      <c r="BH724" s="163">
        <v>0</v>
      </c>
      <c r="BI724" s="163">
        <v>0</v>
      </c>
      <c r="BJ724" s="163">
        <v>0</v>
      </c>
      <c r="BK724" s="163">
        <v>0</v>
      </c>
      <c r="BL724" s="62">
        <v>0</v>
      </c>
      <c r="BM724" s="275">
        <v>2</v>
      </c>
      <c r="BN724" s="62">
        <v>0</v>
      </c>
      <c r="BO724" s="33" t="s">
        <v>526</v>
      </c>
    </row>
    <row r="725" spans="1:67">
      <c r="A725" s="33" t="str">
        <f>Database_Productkaarten[[#This Row],[Product]]&amp;", "&amp;Database_Productkaarten[[#This Row],[Levensfase]]</f>
        <v>WB asfaltbeton - PCR 2.0, A5</v>
      </c>
      <c r="B725" s="33" t="s">
        <v>544</v>
      </c>
      <c r="C725" s="33" t="s">
        <v>483</v>
      </c>
      <c r="D725" s="33" t="s">
        <v>506</v>
      </c>
      <c r="E725" s="33" t="s">
        <v>378</v>
      </c>
      <c r="F725" s="33" t="s">
        <v>79</v>
      </c>
      <c r="L725" s="33">
        <v>2.35</v>
      </c>
      <c r="M725" s="269">
        <v>1</v>
      </c>
      <c r="N725" s="211">
        <v>0.20892775788363147</v>
      </c>
      <c r="O725" s="33">
        <v>55</v>
      </c>
      <c r="P725" s="163">
        <v>2.52053385503491E-6</v>
      </c>
      <c r="Q725" s="163">
        <v>1.0722300852191001E-2</v>
      </c>
      <c r="R725" s="163">
        <v>2.1806286343541599</v>
      </c>
      <c r="S725" s="163">
        <v>2.8179055050305898E-7</v>
      </c>
      <c r="T725" s="163">
        <v>7.5572087597003098E-4</v>
      </c>
      <c r="U725" s="163">
        <v>6.7857710719034497E-3</v>
      </c>
      <c r="V725" s="163">
        <v>1.4838087034341799E-3</v>
      </c>
      <c r="W725" s="163">
        <v>0.58829495594473902</v>
      </c>
      <c r="X725" s="163">
        <v>8.3642063590304294E-3</v>
      </c>
      <c r="Y725" s="163">
        <v>29.061930803190499</v>
      </c>
      <c r="Z725" s="163">
        <v>9.9052251771749103E-4</v>
      </c>
      <c r="AA725" s="163">
        <v>2.1948938660897999</v>
      </c>
      <c r="AB725" s="163">
        <v>2.1942639981727301</v>
      </c>
      <c r="AC725" s="163">
        <v>5.0168129909830496E-4</v>
      </c>
      <c r="AD725" s="163">
        <v>1.28186617970418E-4</v>
      </c>
      <c r="AE725" s="163">
        <v>3.5506722318440998E-7</v>
      </c>
      <c r="AF725" s="163">
        <v>9.2830906004344599E-3</v>
      </c>
      <c r="AG725" s="163">
        <v>5.9889520057721299E-6</v>
      </c>
      <c r="AH725" s="163">
        <v>3.7212549811088901E-3</v>
      </c>
      <c r="AI725" s="163">
        <v>4.08842513151043E-2</v>
      </c>
      <c r="AJ725" s="163">
        <v>1.1058200011401001E-2</v>
      </c>
      <c r="AK725" s="163">
        <v>2.5205140761041601E-6</v>
      </c>
      <c r="AL725" s="163">
        <v>22.623400365069401</v>
      </c>
      <c r="AM725" s="163">
        <v>3.0130674143176699E-2</v>
      </c>
      <c r="AN725" s="163">
        <v>3.6737492451707402E-8</v>
      </c>
      <c r="AO725" s="163">
        <v>9.7101735622394797E-2</v>
      </c>
      <c r="AP725" s="163">
        <v>13.5745914341014</v>
      </c>
      <c r="AQ725" s="163">
        <v>4.7625118821209999E-10</v>
      </c>
      <c r="AR725" s="163">
        <v>1.01356955548823E-8</v>
      </c>
      <c r="AS725" s="163">
        <v>2.88964621378457</v>
      </c>
      <c r="AT725" s="163">
        <v>0</v>
      </c>
      <c r="AU725" s="163">
        <v>0</v>
      </c>
      <c r="AV725" s="313">
        <v>0.124349448867524</v>
      </c>
      <c r="AW725" s="315">
        <v>0</v>
      </c>
      <c r="AX725" s="315">
        <v>0</v>
      </c>
      <c r="AY725" s="313">
        <v>24.025335647212199</v>
      </c>
      <c r="AZ725" s="163">
        <v>0</v>
      </c>
      <c r="BA725" s="163">
        <v>0</v>
      </c>
      <c r="BB725" s="163">
        <v>0</v>
      </c>
      <c r="BC725" s="163">
        <v>1.1694798144477199E-3</v>
      </c>
      <c r="BD725" s="163">
        <v>6.1609560452003097E-5</v>
      </c>
      <c r="BE725" s="163">
        <v>2.6769629501804601E-2</v>
      </c>
      <c r="BF725" s="163">
        <v>1.5723384660734001E-4</v>
      </c>
      <c r="BG725" s="163">
        <v>0</v>
      </c>
      <c r="BH725" s="163">
        <v>0</v>
      </c>
      <c r="BI725" s="163">
        <v>0</v>
      </c>
      <c r="BJ725" s="163">
        <v>0</v>
      </c>
      <c r="BK725" s="163">
        <v>0</v>
      </c>
      <c r="BL725" s="62">
        <v>0</v>
      </c>
      <c r="BM725" s="275">
        <v>2</v>
      </c>
      <c r="BN725" s="62">
        <v>0</v>
      </c>
      <c r="BO725" s="33" t="s">
        <v>526</v>
      </c>
    </row>
    <row r="726" spans="1:67">
      <c r="A726" s="33" t="str">
        <f>Database_Productkaarten[[#This Row],[Product]]&amp;", "&amp;Database_Productkaarten[[#This Row],[Levensfase]]</f>
        <v>WB asfaltbeton - PCR 2.0, B1</v>
      </c>
      <c r="B726" s="33" t="s">
        <v>544</v>
      </c>
      <c r="C726" s="33" t="s">
        <v>483</v>
      </c>
      <c r="D726" s="33" t="s">
        <v>506</v>
      </c>
      <c r="E726" s="33" t="s">
        <v>378</v>
      </c>
      <c r="F726" s="33" t="s">
        <v>80</v>
      </c>
      <c r="L726" s="33">
        <v>2.35</v>
      </c>
      <c r="M726" s="269">
        <v>1</v>
      </c>
      <c r="N726" s="211">
        <v>4.1994031882593215E-2</v>
      </c>
      <c r="O726" s="33">
        <v>55</v>
      </c>
      <c r="P726" s="163">
        <v>0</v>
      </c>
      <c r="Q726" s="163">
        <v>0</v>
      </c>
      <c r="R726" s="163">
        <v>0</v>
      </c>
      <c r="S726" s="163">
        <v>0</v>
      </c>
      <c r="T726" s="163">
        <v>0</v>
      </c>
      <c r="U726" s="163">
        <v>0</v>
      </c>
      <c r="V726" s="163">
        <v>0</v>
      </c>
      <c r="W726" s="163">
        <v>0.16678892317576399</v>
      </c>
      <c r="X726" s="163">
        <v>4.9358581560247402E-7</v>
      </c>
      <c r="Y726" s="163">
        <v>269.49593053029798</v>
      </c>
      <c r="Z726" s="163">
        <v>5.5701560283646998E-4</v>
      </c>
      <c r="AA726" s="163">
        <v>0</v>
      </c>
      <c r="AB726" s="163">
        <v>0</v>
      </c>
      <c r="AC726" s="163">
        <v>0</v>
      </c>
      <c r="AD726" s="163">
        <v>0</v>
      </c>
      <c r="AE726" s="163">
        <v>0</v>
      </c>
      <c r="AF726" s="163">
        <v>0</v>
      </c>
      <c r="AG726" s="163">
        <v>0</v>
      </c>
      <c r="AH726" s="163">
        <v>0</v>
      </c>
      <c r="AI726" s="163">
        <v>0</v>
      </c>
      <c r="AJ726" s="163">
        <v>0</v>
      </c>
      <c r="AK726" s="163">
        <v>0</v>
      </c>
      <c r="AL726" s="163">
        <v>0</v>
      </c>
      <c r="AM726" s="163">
        <v>0</v>
      </c>
      <c r="AN726" s="163">
        <v>0</v>
      </c>
      <c r="AO726" s="163">
        <v>0</v>
      </c>
      <c r="AP726" s="163">
        <v>1.62682173972323E-4</v>
      </c>
      <c r="AQ726" s="163">
        <v>3.1314622792884798E-11</v>
      </c>
      <c r="AR726" s="163">
        <v>2.1106584295655098E-9</v>
      </c>
      <c r="AS726" s="163">
        <v>0</v>
      </c>
      <c r="AT726" s="163">
        <v>0</v>
      </c>
      <c r="AU726" s="163">
        <v>0</v>
      </c>
      <c r="AV726" s="313">
        <v>0</v>
      </c>
      <c r="AW726" s="315">
        <v>0</v>
      </c>
      <c r="AX726" s="315">
        <v>0</v>
      </c>
      <c r="AY726" s="313">
        <v>0</v>
      </c>
      <c r="AZ726" s="163">
        <v>0</v>
      </c>
      <c r="BA726" s="163">
        <v>0</v>
      </c>
      <c r="BB726" s="163">
        <v>0</v>
      </c>
      <c r="BC726" s="163">
        <v>0</v>
      </c>
      <c r="BD726" s="163">
        <v>0</v>
      </c>
      <c r="BE726" s="163">
        <v>0</v>
      </c>
      <c r="BF726" s="163">
        <v>0</v>
      </c>
      <c r="BG726" s="163">
        <v>0</v>
      </c>
      <c r="BH726" s="163">
        <v>0</v>
      </c>
      <c r="BI726" s="163">
        <v>0</v>
      </c>
      <c r="BJ726" s="163">
        <v>0</v>
      </c>
      <c r="BK726" s="163">
        <v>0</v>
      </c>
      <c r="BL726" s="62">
        <v>0</v>
      </c>
      <c r="BM726" s="275">
        <v>2</v>
      </c>
      <c r="BN726" s="62">
        <v>0</v>
      </c>
      <c r="BO726" s="33" t="s">
        <v>526</v>
      </c>
    </row>
    <row r="727" spans="1:67">
      <c r="A727" s="33" t="str">
        <f>Database_Productkaarten[[#This Row],[Product]]&amp;", "&amp;Database_Productkaarten[[#This Row],[Levensfase]]</f>
        <v>WB asfaltbeton - PCR 2.0, B2</v>
      </c>
      <c r="B727" s="33" t="s">
        <v>544</v>
      </c>
      <c r="C727" s="33" t="s">
        <v>483</v>
      </c>
      <c r="D727" s="33" t="s">
        <v>506</v>
      </c>
      <c r="E727" s="33" t="s">
        <v>378</v>
      </c>
      <c r="F727" s="33" t="s">
        <v>527</v>
      </c>
      <c r="L727" s="33">
        <v>2.35</v>
      </c>
      <c r="M727" s="269">
        <v>1</v>
      </c>
      <c r="N727" s="211">
        <v>0</v>
      </c>
      <c r="O727" s="33">
        <v>55</v>
      </c>
      <c r="P727" s="163">
        <v>0</v>
      </c>
      <c r="Q727" s="163">
        <v>0</v>
      </c>
      <c r="R727" s="163">
        <v>0</v>
      </c>
      <c r="S727" s="163">
        <v>0</v>
      </c>
      <c r="T727" s="163">
        <v>0</v>
      </c>
      <c r="U727" s="163">
        <v>0</v>
      </c>
      <c r="V727" s="163">
        <v>0</v>
      </c>
      <c r="W727" s="163">
        <v>0</v>
      </c>
      <c r="X727" s="163">
        <v>0</v>
      </c>
      <c r="Y727" s="163">
        <v>0</v>
      </c>
      <c r="Z727" s="163">
        <v>0</v>
      </c>
      <c r="AA727" s="163">
        <v>0</v>
      </c>
      <c r="AB727" s="163">
        <v>0</v>
      </c>
      <c r="AC727" s="163">
        <v>0</v>
      </c>
      <c r="AD727" s="163">
        <v>0</v>
      </c>
      <c r="AE727" s="163">
        <v>0</v>
      </c>
      <c r="AF727" s="163">
        <v>0</v>
      </c>
      <c r="AG727" s="163">
        <v>0</v>
      </c>
      <c r="AH727" s="163">
        <v>0</v>
      </c>
      <c r="AI727" s="163">
        <v>0</v>
      </c>
      <c r="AJ727" s="163">
        <v>0</v>
      </c>
      <c r="AK727" s="163">
        <v>0</v>
      </c>
      <c r="AL727" s="163">
        <v>0</v>
      </c>
      <c r="AM727" s="163">
        <v>0</v>
      </c>
      <c r="AN727" s="163">
        <v>0</v>
      </c>
      <c r="AO727" s="163">
        <v>0</v>
      </c>
      <c r="AP727" s="163">
        <v>0</v>
      </c>
      <c r="AQ727" s="163">
        <v>0</v>
      </c>
      <c r="AR727" s="163">
        <v>0</v>
      </c>
      <c r="AS727" s="163">
        <v>0</v>
      </c>
      <c r="AT727" s="163">
        <v>0</v>
      </c>
      <c r="AU727" s="163">
        <v>0</v>
      </c>
      <c r="AV727" s="313">
        <v>0</v>
      </c>
      <c r="AW727" s="315">
        <v>0</v>
      </c>
      <c r="AX727" s="315">
        <v>0</v>
      </c>
      <c r="AY727" s="313">
        <v>0</v>
      </c>
      <c r="AZ727" s="163">
        <v>0</v>
      </c>
      <c r="BA727" s="163">
        <v>0</v>
      </c>
      <c r="BB727" s="163">
        <v>0</v>
      </c>
      <c r="BC727" s="163">
        <v>0</v>
      </c>
      <c r="BD727" s="163">
        <v>0</v>
      </c>
      <c r="BE727" s="163">
        <v>0</v>
      </c>
      <c r="BF727" s="163">
        <v>0</v>
      </c>
      <c r="BG727" s="163">
        <v>0</v>
      </c>
      <c r="BH727" s="163">
        <v>0</v>
      </c>
      <c r="BI727" s="163">
        <v>0</v>
      </c>
      <c r="BJ727" s="163">
        <v>0</v>
      </c>
      <c r="BK727" s="163">
        <v>0</v>
      </c>
      <c r="BL727" s="62">
        <v>0</v>
      </c>
      <c r="BM727" s="275">
        <v>2</v>
      </c>
      <c r="BN727" s="62">
        <v>0</v>
      </c>
      <c r="BO727" s="33" t="s">
        <v>526</v>
      </c>
    </row>
    <row r="728" spans="1:67">
      <c r="A728" s="33" t="str">
        <f>Database_Productkaarten[[#This Row],[Product]]&amp;", "&amp;Database_Productkaarten[[#This Row],[Levensfase]]</f>
        <v>WB asfaltbeton - PCR 2.0, B3</v>
      </c>
      <c r="B728" s="33" t="s">
        <v>544</v>
      </c>
      <c r="C728" s="33" t="s">
        <v>483</v>
      </c>
      <c r="D728" s="33" t="s">
        <v>506</v>
      </c>
      <c r="E728" s="33" t="s">
        <v>378</v>
      </c>
      <c r="F728" s="33" t="s">
        <v>81</v>
      </c>
      <c r="L728" s="33">
        <v>2.35</v>
      </c>
      <c r="M728" s="269">
        <v>1</v>
      </c>
      <c r="N728" s="211">
        <v>0</v>
      </c>
      <c r="O728" s="33">
        <v>55</v>
      </c>
      <c r="P728" s="163">
        <v>0</v>
      </c>
      <c r="Q728" s="163">
        <v>0</v>
      </c>
      <c r="R728" s="163">
        <v>0</v>
      </c>
      <c r="S728" s="163">
        <v>0</v>
      </c>
      <c r="T728" s="163">
        <v>0</v>
      </c>
      <c r="U728" s="163">
        <v>0</v>
      </c>
      <c r="V728" s="163">
        <v>0</v>
      </c>
      <c r="W728" s="163">
        <v>0</v>
      </c>
      <c r="X728" s="163">
        <v>0</v>
      </c>
      <c r="Y728" s="163">
        <v>0</v>
      </c>
      <c r="Z728" s="163">
        <v>0</v>
      </c>
      <c r="AA728" s="163">
        <v>0</v>
      </c>
      <c r="AB728" s="163">
        <v>0</v>
      </c>
      <c r="AC728" s="163">
        <v>0</v>
      </c>
      <c r="AD728" s="163">
        <v>0</v>
      </c>
      <c r="AE728" s="163">
        <v>0</v>
      </c>
      <c r="AF728" s="163">
        <v>0</v>
      </c>
      <c r="AG728" s="163">
        <v>0</v>
      </c>
      <c r="AH728" s="163">
        <v>0</v>
      </c>
      <c r="AI728" s="163">
        <v>0</v>
      </c>
      <c r="AJ728" s="163">
        <v>0</v>
      </c>
      <c r="AK728" s="163">
        <v>0</v>
      </c>
      <c r="AL728" s="163">
        <v>0</v>
      </c>
      <c r="AM728" s="163">
        <v>0</v>
      </c>
      <c r="AN728" s="163">
        <v>0</v>
      </c>
      <c r="AO728" s="163">
        <v>0</v>
      </c>
      <c r="AP728" s="163">
        <v>0</v>
      </c>
      <c r="AQ728" s="163">
        <v>0</v>
      </c>
      <c r="AR728" s="163">
        <v>0</v>
      </c>
      <c r="AS728" s="163">
        <v>0</v>
      </c>
      <c r="AT728" s="163">
        <v>0</v>
      </c>
      <c r="AU728" s="163">
        <v>0</v>
      </c>
      <c r="AV728" s="313">
        <v>0</v>
      </c>
      <c r="AW728" s="315">
        <v>0</v>
      </c>
      <c r="AX728" s="315">
        <v>0</v>
      </c>
      <c r="AY728" s="313">
        <v>0</v>
      </c>
      <c r="AZ728" s="163">
        <v>0</v>
      </c>
      <c r="BA728" s="163">
        <v>0</v>
      </c>
      <c r="BB728" s="163">
        <v>0</v>
      </c>
      <c r="BC728" s="163">
        <v>0</v>
      </c>
      <c r="BD728" s="163">
        <v>0</v>
      </c>
      <c r="BE728" s="163">
        <v>0</v>
      </c>
      <c r="BF728" s="163">
        <v>0</v>
      </c>
      <c r="BG728" s="163">
        <v>0</v>
      </c>
      <c r="BH728" s="163">
        <v>0</v>
      </c>
      <c r="BI728" s="163">
        <v>0</v>
      </c>
      <c r="BJ728" s="163">
        <v>0</v>
      </c>
      <c r="BK728" s="163">
        <v>0</v>
      </c>
      <c r="BL728" s="62">
        <v>0</v>
      </c>
      <c r="BM728" s="275">
        <v>2</v>
      </c>
      <c r="BN728" s="62">
        <v>0</v>
      </c>
      <c r="BO728" s="33" t="s">
        <v>526</v>
      </c>
    </row>
    <row r="729" spans="1:67">
      <c r="A729" s="33" t="str">
        <f>Database_Productkaarten[[#This Row],[Product]]&amp;", "&amp;Database_Productkaarten[[#This Row],[Levensfase]]</f>
        <v>WB asfaltbeton - PCR 2.0, B4</v>
      </c>
      <c r="B729" s="33" t="s">
        <v>544</v>
      </c>
      <c r="C729" s="33" t="s">
        <v>483</v>
      </c>
      <c r="D729" s="33" t="s">
        <v>506</v>
      </c>
      <c r="E729" s="33" t="s">
        <v>378</v>
      </c>
      <c r="F729" s="33" t="s">
        <v>82</v>
      </c>
      <c r="L729" s="33">
        <v>2.35</v>
      </c>
      <c r="M729" s="269">
        <v>1</v>
      </c>
      <c r="N729" s="211">
        <v>0</v>
      </c>
      <c r="O729" s="33">
        <v>55</v>
      </c>
      <c r="P729" s="163">
        <v>0</v>
      </c>
      <c r="Q729" s="163">
        <v>0</v>
      </c>
      <c r="R729" s="163">
        <v>0</v>
      </c>
      <c r="S729" s="163">
        <v>0</v>
      </c>
      <c r="T729" s="163">
        <v>0</v>
      </c>
      <c r="U729" s="163">
        <v>0</v>
      </c>
      <c r="V729" s="163">
        <v>0</v>
      </c>
      <c r="W729" s="163">
        <v>0</v>
      </c>
      <c r="X729" s="163">
        <v>0</v>
      </c>
      <c r="Y729" s="163">
        <v>0</v>
      </c>
      <c r="Z729" s="163">
        <v>0</v>
      </c>
      <c r="AA729" s="163">
        <v>0</v>
      </c>
      <c r="AB729" s="163">
        <v>0</v>
      </c>
      <c r="AC729" s="163">
        <v>0</v>
      </c>
      <c r="AD729" s="163">
        <v>0</v>
      </c>
      <c r="AE729" s="163">
        <v>0</v>
      </c>
      <c r="AF729" s="163">
        <v>0</v>
      </c>
      <c r="AG729" s="163">
        <v>0</v>
      </c>
      <c r="AH729" s="163">
        <v>0</v>
      </c>
      <c r="AI729" s="163">
        <v>0</v>
      </c>
      <c r="AJ729" s="163">
        <v>0</v>
      </c>
      <c r="AK729" s="163">
        <v>0</v>
      </c>
      <c r="AL729" s="163">
        <v>0</v>
      </c>
      <c r="AM729" s="163">
        <v>0</v>
      </c>
      <c r="AN729" s="163">
        <v>0</v>
      </c>
      <c r="AO729" s="163">
        <v>0</v>
      </c>
      <c r="AP729" s="163">
        <v>0</v>
      </c>
      <c r="AQ729" s="163">
        <v>0</v>
      </c>
      <c r="AR729" s="163">
        <v>0</v>
      </c>
      <c r="AS729" s="163">
        <v>0</v>
      </c>
      <c r="AT729" s="163">
        <v>0</v>
      </c>
      <c r="AU729" s="163">
        <v>0</v>
      </c>
      <c r="AV729" s="313">
        <v>0</v>
      </c>
      <c r="AW729" s="315">
        <v>0</v>
      </c>
      <c r="AX729" s="315">
        <v>0</v>
      </c>
      <c r="AY729" s="313">
        <v>0</v>
      </c>
      <c r="AZ729" s="163">
        <v>0</v>
      </c>
      <c r="BA729" s="163">
        <v>0</v>
      </c>
      <c r="BB729" s="163">
        <v>0</v>
      </c>
      <c r="BC729" s="163">
        <v>0</v>
      </c>
      <c r="BD729" s="163">
        <v>0</v>
      </c>
      <c r="BE729" s="163">
        <v>0</v>
      </c>
      <c r="BF729" s="163">
        <v>0</v>
      </c>
      <c r="BG729" s="163">
        <v>0</v>
      </c>
      <c r="BH729" s="163">
        <v>0</v>
      </c>
      <c r="BI729" s="163">
        <v>0</v>
      </c>
      <c r="BJ729" s="163">
        <v>0</v>
      </c>
      <c r="BK729" s="163">
        <v>0</v>
      </c>
      <c r="BL729" s="62">
        <v>0</v>
      </c>
      <c r="BM729" s="275">
        <v>2</v>
      </c>
      <c r="BN729" s="62">
        <v>0</v>
      </c>
      <c r="BO729" s="33" t="s">
        <v>526</v>
      </c>
    </row>
    <row r="730" spans="1:67">
      <c r="A730" s="33" t="str">
        <f>Database_Productkaarten[[#This Row],[Product]]&amp;", "&amp;Database_Productkaarten[[#This Row],[Levensfase]]</f>
        <v>WB asfaltbeton - PCR 2.0, B5</v>
      </c>
      <c r="B730" s="33" t="s">
        <v>544</v>
      </c>
      <c r="C730" s="33" t="s">
        <v>483</v>
      </c>
      <c r="D730" s="33" t="s">
        <v>506</v>
      </c>
      <c r="E730" s="33" t="s">
        <v>378</v>
      </c>
      <c r="F730" s="33" t="s">
        <v>528</v>
      </c>
      <c r="L730" s="33">
        <v>2.35</v>
      </c>
      <c r="M730" s="269">
        <v>1</v>
      </c>
      <c r="N730" s="211">
        <v>0</v>
      </c>
      <c r="O730" s="33">
        <v>55</v>
      </c>
      <c r="P730" s="163">
        <v>0</v>
      </c>
      <c r="Q730" s="163">
        <v>0</v>
      </c>
      <c r="R730" s="163">
        <v>0</v>
      </c>
      <c r="S730" s="163">
        <v>0</v>
      </c>
      <c r="T730" s="163">
        <v>0</v>
      </c>
      <c r="U730" s="163">
        <v>0</v>
      </c>
      <c r="V730" s="163">
        <v>0</v>
      </c>
      <c r="W730" s="163">
        <v>0</v>
      </c>
      <c r="X730" s="163">
        <v>0</v>
      </c>
      <c r="Y730" s="163">
        <v>0</v>
      </c>
      <c r="Z730" s="163">
        <v>0</v>
      </c>
      <c r="AA730" s="163">
        <v>0</v>
      </c>
      <c r="AB730" s="163">
        <v>0</v>
      </c>
      <c r="AC730" s="163">
        <v>0</v>
      </c>
      <c r="AD730" s="163">
        <v>0</v>
      </c>
      <c r="AE730" s="163">
        <v>0</v>
      </c>
      <c r="AF730" s="163">
        <v>0</v>
      </c>
      <c r="AG730" s="163">
        <v>0</v>
      </c>
      <c r="AH730" s="163">
        <v>0</v>
      </c>
      <c r="AI730" s="163">
        <v>0</v>
      </c>
      <c r="AJ730" s="163">
        <v>0</v>
      </c>
      <c r="AK730" s="163">
        <v>0</v>
      </c>
      <c r="AL730" s="163">
        <v>0</v>
      </c>
      <c r="AM730" s="163">
        <v>0</v>
      </c>
      <c r="AN730" s="163">
        <v>0</v>
      </c>
      <c r="AO730" s="163">
        <v>0</v>
      </c>
      <c r="AP730" s="163">
        <v>0</v>
      </c>
      <c r="AQ730" s="163">
        <v>0</v>
      </c>
      <c r="AR730" s="163">
        <v>0</v>
      </c>
      <c r="AS730" s="163">
        <v>0</v>
      </c>
      <c r="AT730" s="163">
        <v>0</v>
      </c>
      <c r="AU730" s="163">
        <v>0</v>
      </c>
      <c r="AV730" s="313">
        <v>0</v>
      </c>
      <c r="AW730" s="315">
        <v>0</v>
      </c>
      <c r="AX730" s="315">
        <v>0</v>
      </c>
      <c r="AY730" s="313">
        <v>0</v>
      </c>
      <c r="AZ730" s="163">
        <v>0</v>
      </c>
      <c r="BA730" s="163">
        <v>0</v>
      </c>
      <c r="BB730" s="163">
        <v>0</v>
      </c>
      <c r="BC730" s="163">
        <v>0</v>
      </c>
      <c r="BD730" s="163">
        <v>0</v>
      </c>
      <c r="BE730" s="163">
        <v>0</v>
      </c>
      <c r="BF730" s="163">
        <v>0</v>
      </c>
      <c r="BG730" s="163">
        <v>0</v>
      </c>
      <c r="BH730" s="163">
        <v>0</v>
      </c>
      <c r="BI730" s="163">
        <v>0</v>
      </c>
      <c r="BJ730" s="163">
        <v>0</v>
      </c>
      <c r="BK730" s="163">
        <v>0</v>
      </c>
      <c r="BL730" s="62">
        <v>0</v>
      </c>
      <c r="BM730" s="275">
        <v>2</v>
      </c>
      <c r="BN730" s="62">
        <v>0</v>
      </c>
      <c r="BO730" s="33" t="s">
        <v>526</v>
      </c>
    </row>
    <row r="731" spans="1:67">
      <c r="A731" s="33" t="str">
        <f>Database_Productkaarten[[#This Row],[Product]]&amp;", "&amp;Database_Productkaarten[[#This Row],[Levensfase]]</f>
        <v>WB asfaltbeton - PCR 2.0, C1</v>
      </c>
      <c r="B731" s="33" t="s">
        <v>544</v>
      </c>
      <c r="C731" s="33" t="s">
        <v>483</v>
      </c>
      <c r="D731" s="33" t="s">
        <v>506</v>
      </c>
      <c r="E731" s="33" t="s">
        <v>378</v>
      </c>
      <c r="F731" s="33" t="s">
        <v>83</v>
      </c>
      <c r="L731" s="33">
        <v>2.35</v>
      </c>
      <c r="M731" s="269">
        <v>1</v>
      </c>
      <c r="N731" s="211">
        <v>8.3571103153452633E-2</v>
      </c>
      <c r="O731" s="33">
        <v>55</v>
      </c>
      <c r="P731" s="163">
        <v>1.0082135420139601E-6</v>
      </c>
      <c r="Q731" s="163">
        <v>4.2889203408764103E-3</v>
      </c>
      <c r="R731" s="163">
        <v>0.87225145374166402</v>
      </c>
      <c r="S731" s="163">
        <v>1.12716220201224E-7</v>
      </c>
      <c r="T731" s="163">
        <v>3.0228835038801201E-4</v>
      </c>
      <c r="U731" s="163">
        <v>2.71430842876138E-3</v>
      </c>
      <c r="V731" s="163">
        <v>5.9352348137367301E-4</v>
      </c>
      <c r="W731" s="163">
        <v>0.235317982377896</v>
      </c>
      <c r="X731" s="163">
        <v>3.34568254361219E-3</v>
      </c>
      <c r="Y731" s="163">
        <v>11.6247723212762</v>
      </c>
      <c r="Z731" s="163">
        <v>3.9620900708699599E-4</v>
      </c>
      <c r="AA731" s="163">
        <v>0.87795754643591795</v>
      </c>
      <c r="AB731" s="163">
        <v>0.87770559926909097</v>
      </c>
      <c r="AC731" s="163">
        <v>2.0067251963932199E-4</v>
      </c>
      <c r="AD731" s="163">
        <v>5.1274647188167198E-5</v>
      </c>
      <c r="AE731" s="163">
        <v>1.4202688927376401E-7</v>
      </c>
      <c r="AF731" s="163">
        <v>3.7132362401737801E-3</v>
      </c>
      <c r="AG731" s="163">
        <v>2.3955808023088498E-6</v>
      </c>
      <c r="AH731" s="163">
        <v>1.48850199244356E-3</v>
      </c>
      <c r="AI731" s="163">
        <v>1.6353700526041699E-2</v>
      </c>
      <c r="AJ731" s="163">
        <v>4.4232800045604197E-3</v>
      </c>
      <c r="AK731" s="163">
        <v>1.0082056304416699E-6</v>
      </c>
      <c r="AL731" s="163">
        <v>9.0493601460277606</v>
      </c>
      <c r="AM731" s="163">
        <v>1.2052269657270701E-2</v>
      </c>
      <c r="AN731" s="163">
        <v>1.4694996980682999E-8</v>
      </c>
      <c r="AO731" s="163">
        <v>3.8840694248957898E-2</v>
      </c>
      <c r="AP731" s="163">
        <v>5.42983657364059</v>
      </c>
      <c r="AQ731" s="163">
        <v>1.9050047528483999E-10</v>
      </c>
      <c r="AR731" s="163">
        <v>4.0542782219529099E-9</v>
      </c>
      <c r="AS731" s="163">
        <v>1.1558584855138301</v>
      </c>
      <c r="AT731" s="163">
        <v>0</v>
      </c>
      <c r="AU731" s="163">
        <v>0</v>
      </c>
      <c r="AV731" s="313">
        <v>4.9739779547009602E-2</v>
      </c>
      <c r="AW731" s="315">
        <v>0</v>
      </c>
      <c r="AX731" s="315">
        <v>0</v>
      </c>
      <c r="AY731" s="313">
        <v>9.6101342588848997</v>
      </c>
      <c r="AZ731" s="163">
        <v>0</v>
      </c>
      <c r="BA731" s="163">
        <v>0</v>
      </c>
      <c r="BB731" s="163">
        <v>0</v>
      </c>
      <c r="BC731" s="163">
        <v>4.67791925779088E-4</v>
      </c>
      <c r="BD731" s="163">
        <v>2.4643824180801299E-5</v>
      </c>
      <c r="BE731" s="163">
        <v>1.0707851800721899E-2</v>
      </c>
      <c r="BF731" s="163">
        <v>6.2893538642935995E-5</v>
      </c>
      <c r="BG731" s="163">
        <v>0</v>
      </c>
      <c r="BH731" s="163">
        <v>0</v>
      </c>
      <c r="BI731" s="163">
        <v>0</v>
      </c>
      <c r="BJ731" s="163">
        <v>0</v>
      </c>
      <c r="BK731" s="163">
        <v>0</v>
      </c>
      <c r="BL731" s="62">
        <v>0</v>
      </c>
      <c r="BM731" s="275">
        <v>2</v>
      </c>
      <c r="BN731" s="62">
        <v>0</v>
      </c>
      <c r="BO731" s="33" t="s">
        <v>526</v>
      </c>
    </row>
    <row r="732" spans="1:67">
      <c r="A732" s="33" t="str">
        <f>Database_Productkaarten[[#This Row],[Product]]&amp;", "&amp;Database_Productkaarten[[#This Row],[Levensfase]]</f>
        <v>WB asfaltbeton - PCR 2.0, C2</v>
      </c>
      <c r="B732" s="33" t="s">
        <v>544</v>
      </c>
      <c r="C732" s="33" t="s">
        <v>483</v>
      </c>
      <c r="D732" s="33" t="s">
        <v>506</v>
      </c>
      <c r="E732" s="33" t="s">
        <v>378</v>
      </c>
      <c r="F732" s="33" t="s">
        <v>84</v>
      </c>
      <c r="L732" s="33">
        <v>2.35</v>
      </c>
      <c r="M732" s="269">
        <v>1</v>
      </c>
      <c r="N732" s="211">
        <v>0.35801078312874995</v>
      </c>
      <c r="O732" s="33">
        <v>55</v>
      </c>
      <c r="P732" s="163">
        <v>8.1301624999999996E-5</v>
      </c>
      <c r="Q732" s="163">
        <v>2.8204312499999998E-2</v>
      </c>
      <c r="R732" s="163">
        <v>3.6853721374999999</v>
      </c>
      <c r="S732" s="163">
        <v>7.0324562500000001E-7</v>
      </c>
      <c r="T732" s="163">
        <v>2.6647749999999999E-3</v>
      </c>
      <c r="U732" s="163">
        <v>1.116025E-2</v>
      </c>
      <c r="V732" s="163">
        <v>1.87016375E-3</v>
      </c>
      <c r="W732" s="163">
        <v>1.0029557</v>
      </c>
      <c r="X732" s="163">
        <v>3.9476962499999997E-2</v>
      </c>
      <c r="Y732" s="163">
        <v>104.371675</v>
      </c>
      <c r="Z732" s="163">
        <v>8.4311249999999994E-3</v>
      </c>
      <c r="AA732" s="163">
        <v>3.7331890125</v>
      </c>
      <c r="AB732" s="163">
        <v>3.7164208875</v>
      </c>
      <c r="AC732" s="163">
        <v>1.532341125E-2</v>
      </c>
      <c r="AD732" s="163">
        <v>1.44472E-3</v>
      </c>
      <c r="AE732" s="163">
        <v>8.79587125E-7</v>
      </c>
      <c r="AF732" s="163">
        <v>1.4056875E-2</v>
      </c>
      <c r="AG732" s="163">
        <v>3.9000600000000001E-5</v>
      </c>
      <c r="AH732" s="163">
        <v>3.2542037499999998E-3</v>
      </c>
      <c r="AI732" s="163">
        <v>3.7907725000000003E-2</v>
      </c>
      <c r="AJ732" s="163">
        <v>1.36244625E-2</v>
      </c>
      <c r="AK732" s="163">
        <v>8.1301250000000004E-5</v>
      </c>
      <c r="AL732" s="163">
        <v>58.905272875000001</v>
      </c>
      <c r="AM732" s="163">
        <v>0.3217441875</v>
      </c>
      <c r="AN732" s="163">
        <v>3.2144174999999999E-7</v>
      </c>
      <c r="AO732" s="163">
        <v>0.25122056250000002</v>
      </c>
      <c r="AP732" s="163">
        <v>56.998236249999998</v>
      </c>
      <c r="AQ732" s="163">
        <v>1.5226337500000001E-9</v>
      </c>
      <c r="AR732" s="163">
        <v>4.867285E-8</v>
      </c>
      <c r="AS732" s="163">
        <v>110.955825</v>
      </c>
      <c r="AT732" s="163">
        <v>9.0831365000000002</v>
      </c>
      <c r="AU732" s="163">
        <v>0</v>
      </c>
      <c r="AV732" s="313">
        <v>9.7931922999999994</v>
      </c>
      <c r="AW732" s="315">
        <v>0.79580531249999997</v>
      </c>
      <c r="AX732" s="315">
        <v>1.1178862500000001E-3</v>
      </c>
      <c r="AY732" s="313">
        <v>62.568930999999999</v>
      </c>
      <c r="AZ732" s="163">
        <v>0</v>
      </c>
      <c r="BA732" s="163">
        <v>0</v>
      </c>
      <c r="BB732" s="163">
        <v>0</v>
      </c>
      <c r="BC732" s="163">
        <v>9.8353875000000007E-3</v>
      </c>
      <c r="BD732" s="163">
        <v>1.7316162499999999E-4</v>
      </c>
      <c r="BE732" s="163">
        <v>6.2594438749999997</v>
      </c>
      <c r="BF732" s="163">
        <v>3.9263137500000002E-4</v>
      </c>
      <c r="BG732" s="163">
        <v>0</v>
      </c>
      <c r="BH732" s="163">
        <v>0</v>
      </c>
      <c r="BI732" s="163">
        <v>0</v>
      </c>
      <c r="BJ732" s="163">
        <v>0</v>
      </c>
      <c r="BK732" s="163">
        <v>0</v>
      </c>
      <c r="BL732" s="62">
        <v>0</v>
      </c>
      <c r="BM732" s="275">
        <v>2</v>
      </c>
      <c r="BN732" s="62">
        <v>0</v>
      </c>
      <c r="BO732" s="33" t="s">
        <v>526</v>
      </c>
    </row>
    <row r="733" spans="1:67">
      <c r="A733" s="33" t="str">
        <f>Database_Productkaarten[[#This Row],[Product]]&amp;", "&amp;Database_Productkaarten[[#This Row],[Levensfase]]</f>
        <v>WB asfaltbeton - PCR 2.0, C3</v>
      </c>
      <c r="B733" s="33" t="s">
        <v>544</v>
      </c>
      <c r="C733" s="33" t="s">
        <v>483</v>
      </c>
      <c r="D733" s="33" t="s">
        <v>506</v>
      </c>
      <c r="E733" s="33" t="s">
        <v>378</v>
      </c>
      <c r="F733" s="33" t="s">
        <v>85</v>
      </c>
      <c r="L733" s="33">
        <v>2.35</v>
      </c>
      <c r="M733" s="269">
        <v>1</v>
      </c>
      <c r="N733" s="211">
        <v>0</v>
      </c>
      <c r="O733" s="33">
        <v>55</v>
      </c>
      <c r="P733" s="163">
        <v>0</v>
      </c>
      <c r="Q733" s="163">
        <v>0</v>
      </c>
      <c r="R733" s="163">
        <v>0</v>
      </c>
      <c r="S733" s="163">
        <v>0</v>
      </c>
      <c r="T733" s="163">
        <v>0</v>
      </c>
      <c r="U733" s="163">
        <v>0</v>
      </c>
      <c r="V733" s="163">
        <v>0</v>
      </c>
      <c r="W733" s="163">
        <v>0</v>
      </c>
      <c r="X733" s="163">
        <v>0</v>
      </c>
      <c r="Y733" s="163">
        <v>0</v>
      </c>
      <c r="Z733" s="163">
        <v>0</v>
      </c>
      <c r="AA733" s="163">
        <v>0</v>
      </c>
      <c r="AB733" s="163">
        <v>0</v>
      </c>
      <c r="AC733" s="163">
        <v>0</v>
      </c>
      <c r="AD733" s="163">
        <v>0</v>
      </c>
      <c r="AE733" s="163">
        <v>0</v>
      </c>
      <c r="AF733" s="163">
        <v>0</v>
      </c>
      <c r="AG733" s="163">
        <v>0</v>
      </c>
      <c r="AH733" s="163">
        <v>0</v>
      </c>
      <c r="AI733" s="163">
        <v>0</v>
      </c>
      <c r="AJ733" s="163">
        <v>0</v>
      </c>
      <c r="AK733" s="163">
        <v>0</v>
      </c>
      <c r="AL733" s="163">
        <v>0</v>
      </c>
      <c r="AM733" s="163">
        <v>0</v>
      </c>
      <c r="AN733" s="163">
        <v>0</v>
      </c>
      <c r="AO733" s="163">
        <v>0</v>
      </c>
      <c r="AP733" s="163">
        <v>0</v>
      </c>
      <c r="AQ733" s="163">
        <v>0</v>
      </c>
      <c r="AR733" s="163">
        <v>0</v>
      </c>
      <c r="AS733" s="163">
        <v>0</v>
      </c>
      <c r="AT733" s="163">
        <v>0</v>
      </c>
      <c r="AU733" s="163">
        <v>0</v>
      </c>
      <c r="AV733" s="313">
        <v>0</v>
      </c>
      <c r="AW733" s="315">
        <v>0</v>
      </c>
      <c r="AX733" s="315">
        <v>0</v>
      </c>
      <c r="AY733" s="313">
        <v>0</v>
      </c>
      <c r="AZ733" s="163">
        <v>0</v>
      </c>
      <c r="BA733" s="163">
        <v>0</v>
      </c>
      <c r="BB733" s="163">
        <v>0</v>
      </c>
      <c r="BC733" s="163">
        <v>0</v>
      </c>
      <c r="BD733" s="163">
        <v>0</v>
      </c>
      <c r="BE733" s="163">
        <v>0</v>
      </c>
      <c r="BF733" s="163">
        <v>0</v>
      </c>
      <c r="BG733" s="163">
        <v>0</v>
      </c>
      <c r="BH733" s="163">
        <v>0</v>
      </c>
      <c r="BI733" s="163">
        <v>0</v>
      </c>
      <c r="BJ733" s="163">
        <v>0</v>
      </c>
      <c r="BK733" s="163">
        <v>0</v>
      </c>
      <c r="BL733" s="62">
        <v>0</v>
      </c>
      <c r="BM733" s="275">
        <v>2</v>
      </c>
      <c r="BN733" s="62">
        <v>0</v>
      </c>
      <c r="BO733" s="33" t="s">
        <v>526</v>
      </c>
    </row>
    <row r="734" spans="1:67">
      <c r="A734" s="33" t="str">
        <f>Database_Productkaarten[[#This Row],[Product]]&amp;", "&amp;Database_Productkaarten[[#This Row],[Levensfase]]</f>
        <v>WB asfaltbeton - PCR 2.0, C4</v>
      </c>
      <c r="B734" s="33" t="s">
        <v>544</v>
      </c>
      <c r="C734" s="33" t="s">
        <v>483</v>
      </c>
      <c r="D734" s="33" t="s">
        <v>506</v>
      </c>
      <c r="E734" s="33" t="s">
        <v>378</v>
      </c>
      <c r="F734" s="33" t="s">
        <v>86</v>
      </c>
      <c r="L734" s="33">
        <v>2.35</v>
      </c>
      <c r="M734" s="269">
        <v>1</v>
      </c>
      <c r="N734" s="211">
        <v>0.7296141746500171</v>
      </c>
      <c r="O734" s="33">
        <v>55</v>
      </c>
      <c r="P734" s="163">
        <v>4.8191034131105399E-5</v>
      </c>
      <c r="Q734" s="163">
        <v>7.0392419153822203E-2</v>
      </c>
      <c r="R734" s="163">
        <v>5.1682147630547304</v>
      </c>
      <c r="S734" s="163">
        <v>1.72133808732801E-6</v>
      </c>
      <c r="T734" s="163">
        <v>5.50516721002073E-3</v>
      </c>
      <c r="U734" s="163">
        <v>3.7795111552073699E-2</v>
      </c>
      <c r="V734" s="163">
        <v>7.2906223931785696E-3</v>
      </c>
      <c r="W734" s="163">
        <v>2.33599012231016</v>
      </c>
      <c r="X734" s="163">
        <v>5.5438446349023597E-2</v>
      </c>
      <c r="Y734" s="163">
        <v>198.2062629724</v>
      </c>
      <c r="Z734" s="163">
        <v>5.8670977003276803E-3</v>
      </c>
      <c r="AA734" s="163">
        <v>5.2774322520106196</v>
      </c>
      <c r="AB734" s="163">
        <v>5.2655222871368297</v>
      </c>
      <c r="AC734" s="163">
        <v>1.04420704841626E-2</v>
      </c>
      <c r="AD734" s="163">
        <v>1.4678943896201801E-3</v>
      </c>
      <c r="AE734" s="163">
        <v>2.1684935582940401E-6</v>
      </c>
      <c r="AF734" s="163">
        <v>4.9990692053720302E-2</v>
      </c>
      <c r="AG734" s="163">
        <v>5.9023121381438599E-5</v>
      </c>
      <c r="AH734" s="163">
        <v>1.71925473667464E-2</v>
      </c>
      <c r="AI734" s="163">
        <v>0.189559719597925</v>
      </c>
      <c r="AJ734" s="163">
        <v>5.5061349845082097E-2</v>
      </c>
      <c r="AK734" s="163">
        <v>4.8190634932919702E-5</v>
      </c>
      <c r="AL734" s="163">
        <v>147.217235291848</v>
      </c>
      <c r="AM734" s="163">
        <v>6.5991208231461096</v>
      </c>
      <c r="AN734" s="163">
        <v>9.6986339733199702E-7</v>
      </c>
      <c r="AO734" s="163">
        <v>0.60391960399846001</v>
      </c>
      <c r="AP734" s="163">
        <v>95.499347823959994</v>
      </c>
      <c r="AQ734" s="163">
        <v>2.20757521305483E-9</v>
      </c>
      <c r="AR734" s="163">
        <v>6.7894331496460696E-8</v>
      </c>
      <c r="AS734" s="163">
        <v>308.74374267222203</v>
      </c>
      <c r="AT734" s="163">
        <v>0</v>
      </c>
      <c r="AU734" s="163">
        <v>0</v>
      </c>
      <c r="AV734" s="313">
        <v>1.1902980485677299</v>
      </c>
      <c r="AW734" s="315">
        <v>0</v>
      </c>
      <c r="AX734" s="315">
        <v>0</v>
      </c>
      <c r="AY734" s="313">
        <v>156.37620338061299</v>
      </c>
      <c r="AZ734" s="163">
        <v>0</v>
      </c>
      <c r="BA734" s="163">
        <v>0</v>
      </c>
      <c r="BB734" s="163">
        <v>0</v>
      </c>
      <c r="BC734" s="163">
        <v>0.15723153067207801</v>
      </c>
      <c r="BD734" s="163">
        <v>2.1998950042333799E-4</v>
      </c>
      <c r="BE734" s="163">
        <v>999.69461551998995</v>
      </c>
      <c r="BF734" s="163">
        <v>9.6680517495675801E-4</v>
      </c>
      <c r="BG734" s="163">
        <v>0</v>
      </c>
      <c r="BH734" s="163">
        <v>0</v>
      </c>
      <c r="BI734" s="163">
        <v>0</v>
      </c>
      <c r="BJ734" s="163">
        <v>0</v>
      </c>
      <c r="BK734" s="163">
        <v>0</v>
      </c>
      <c r="BL734" s="62">
        <v>0</v>
      </c>
      <c r="BM734" s="275">
        <v>2</v>
      </c>
      <c r="BN734" s="62">
        <v>0</v>
      </c>
      <c r="BO734" s="33" t="s">
        <v>526</v>
      </c>
    </row>
    <row r="735" spans="1:67">
      <c r="A735" s="33" t="str">
        <f>Database_Productkaarten[[#This Row],[Product]]&amp;", "&amp;Database_Productkaarten[[#This Row],[Levensfase]]</f>
        <v>WB asfaltbeton - PCR 2.0, D</v>
      </c>
      <c r="B735" s="33" t="s">
        <v>544</v>
      </c>
      <c r="C735" s="33" t="s">
        <v>483</v>
      </c>
      <c r="D735" s="33" t="s">
        <v>506</v>
      </c>
      <c r="E735" s="33" t="s">
        <v>378</v>
      </c>
      <c r="F735" s="33" t="s">
        <v>89</v>
      </c>
      <c r="L735" s="33">
        <v>2.35</v>
      </c>
      <c r="M735" s="269">
        <v>1</v>
      </c>
      <c r="N735" s="211">
        <v>0</v>
      </c>
      <c r="O735" s="33">
        <v>55</v>
      </c>
      <c r="P735" s="163">
        <v>0</v>
      </c>
      <c r="Q735" s="163">
        <v>0</v>
      </c>
      <c r="R735" s="163">
        <v>0</v>
      </c>
      <c r="S735" s="163">
        <v>0</v>
      </c>
      <c r="T735" s="163">
        <v>0</v>
      </c>
      <c r="U735" s="163">
        <v>0</v>
      </c>
      <c r="V735" s="163">
        <v>0</v>
      </c>
      <c r="W735" s="163">
        <v>0</v>
      </c>
      <c r="X735" s="163">
        <v>0</v>
      </c>
      <c r="Y735" s="163">
        <v>0</v>
      </c>
      <c r="Z735" s="163">
        <v>0</v>
      </c>
      <c r="AA735" s="163">
        <v>0</v>
      </c>
      <c r="AB735" s="163">
        <v>0</v>
      </c>
      <c r="AC735" s="163">
        <v>0</v>
      </c>
      <c r="AD735" s="163">
        <v>0</v>
      </c>
      <c r="AE735" s="163">
        <v>0</v>
      </c>
      <c r="AF735" s="163">
        <v>0</v>
      </c>
      <c r="AG735" s="163">
        <v>0</v>
      </c>
      <c r="AH735" s="163">
        <v>0</v>
      </c>
      <c r="AI735" s="163">
        <v>0</v>
      </c>
      <c r="AJ735" s="163">
        <v>0</v>
      </c>
      <c r="AK735" s="163">
        <v>0</v>
      </c>
      <c r="AL735" s="163">
        <v>0</v>
      </c>
      <c r="AM735" s="163">
        <v>0</v>
      </c>
      <c r="AN735" s="163">
        <v>0</v>
      </c>
      <c r="AO735" s="163">
        <v>0</v>
      </c>
      <c r="AP735" s="163">
        <v>0</v>
      </c>
      <c r="AQ735" s="163">
        <v>0</v>
      </c>
      <c r="AR735" s="163">
        <v>0</v>
      </c>
      <c r="AS735" s="163">
        <v>0</v>
      </c>
      <c r="AT735" s="163">
        <v>0</v>
      </c>
      <c r="AU735" s="163">
        <v>0</v>
      </c>
      <c r="AV735" s="313">
        <v>0</v>
      </c>
      <c r="AW735" s="315">
        <v>0</v>
      </c>
      <c r="AX735" s="315">
        <v>0</v>
      </c>
      <c r="AY735" s="313">
        <v>0</v>
      </c>
      <c r="AZ735" s="163">
        <v>0</v>
      </c>
      <c r="BA735" s="163">
        <v>0</v>
      </c>
      <c r="BB735" s="163">
        <v>0</v>
      </c>
      <c r="BC735" s="163">
        <v>0</v>
      </c>
      <c r="BD735" s="163">
        <v>0</v>
      </c>
      <c r="BE735" s="163">
        <v>0</v>
      </c>
      <c r="BF735" s="163">
        <v>0</v>
      </c>
      <c r="BG735" s="163">
        <v>0</v>
      </c>
      <c r="BH735" s="163">
        <v>0</v>
      </c>
      <c r="BI735" s="163">
        <v>0</v>
      </c>
      <c r="BJ735" s="163">
        <v>0</v>
      </c>
      <c r="BK735" s="163">
        <v>0</v>
      </c>
      <c r="BL735" s="62">
        <v>0</v>
      </c>
      <c r="BM735" s="275">
        <v>2</v>
      </c>
      <c r="BN735" s="62">
        <v>0</v>
      </c>
      <c r="BO735" s="33" t="s">
        <v>526</v>
      </c>
    </row>
    <row r="736" spans="1:67">
      <c r="A736" s="33" t="str">
        <f>Database_Productkaarten[[#This Row],[Product]]&amp;", "&amp;Database_Productkaarten[[#This Row],[Levensfase]]</f>
        <v>Open steenasfalt - PCR 2.0, Totaal</v>
      </c>
      <c r="B736" s="33" t="s">
        <v>545</v>
      </c>
      <c r="C736" s="33" t="s">
        <v>483</v>
      </c>
      <c r="D736" s="33" t="s">
        <v>546</v>
      </c>
      <c r="E736" s="33" t="s">
        <v>378</v>
      </c>
      <c r="F736" s="33" t="s">
        <v>90</v>
      </c>
      <c r="L736" s="33">
        <v>2</v>
      </c>
      <c r="M736" s="269">
        <v>1</v>
      </c>
      <c r="N736" s="41">
        <f>SUM(N737:N752)</f>
        <v>21.816853302602315</v>
      </c>
      <c r="O736" s="33">
        <v>30</v>
      </c>
      <c r="P736" s="40">
        <f>SUM(P737:P752)</f>
        <v>2.4978542209433286E-3</v>
      </c>
      <c r="Q736" s="40">
        <f t="shared" ref="Q736:BK736" si="83">SUM(Q737:Q752)</f>
        <v>2.3722525893967643</v>
      </c>
      <c r="R736" s="40">
        <f t="shared" si="83"/>
        <v>187.95172141907932</v>
      </c>
      <c r="S736" s="40">
        <f t="shared" si="83"/>
        <v>2.3309985396859531E-5</v>
      </c>
      <c r="T736" s="40">
        <f t="shared" si="83"/>
        <v>0.20734872515900993</v>
      </c>
      <c r="U736" s="40">
        <f t="shared" si="83"/>
        <v>0.95380978438979536</v>
      </c>
      <c r="V736" s="40">
        <f t="shared" si="83"/>
        <v>0.14945144551401654</v>
      </c>
      <c r="W736" s="40">
        <f t="shared" si="83"/>
        <v>49.87496840874784</v>
      </c>
      <c r="X736" s="40">
        <f t="shared" si="83"/>
        <v>2.8438289503995784</v>
      </c>
      <c r="Y736" s="40">
        <f t="shared" si="83"/>
        <v>18617.119992004191</v>
      </c>
      <c r="Z736" s="40">
        <f t="shared" si="83"/>
        <v>0.46390398507575731</v>
      </c>
      <c r="AA736" s="40">
        <f t="shared" si="83"/>
        <v>193.75099456787271</v>
      </c>
      <c r="AB736" s="40">
        <f t="shared" si="83"/>
        <v>193.14789379812683</v>
      </c>
      <c r="AC736" s="40">
        <f t="shared" si="83"/>
        <v>0.48218162984174984</v>
      </c>
      <c r="AD736" s="40">
        <f t="shared" si="83"/>
        <v>0.15734312115405627</v>
      </c>
      <c r="AE736" s="40">
        <f t="shared" si="83"/>
        <v>2.8134856425232075E-5</v>
      </c>
      <c r="AF736" s="40">
        <f t="shared" si="83"/>
        <v>1.2273284504015438</v>
      </c>
      <c r="AG736" s="40">
        <f t="shared" si="83"/>
        <v>2.7730839132384276E-3</v>
      </c>
      <c r="AH736" s="40">
        <f t="shared" si="83"/>
        <v>0.36280207502347933</v>
      </c>
      <c r="AI736" s="40">
        <f t="shared" si="83"/>
        <v>3.9559696235213493</v>
      </c>
      <c r="AJ736" s="40">
        <f t="shared" si="83"/>
        <v>1.3247629007345065</v>
      </c>
      <c r="AK736" s="40">
        <f t="shared" si="83"/>
        <v>2.4977655162073203E-3</v>
      </c>
      <c r="AL736" s="40">
        <f t="shared" si="83"/>
        <v>4903.9034522283855</v>
      </c>
      <c r="AM736" s="40">
        <f t="shared" si="83"/>
        <v>90.524323116375953</v>
      </c>
      <c r="AN736" s="40">
        <f t="shared" si="83"/>
        <v>6.745849615317744E-6</v>
      </c>
      <c r="AO736" s="40">
        <f t="shared" si="83"/>
        <v>7.7762874780370872</v>
      </c>
      <c r="AP736" s="40">
        <f t="shared" si="83"/>
        <v>4793.0245012168489</v>
      </c>
      <c r="AQ736" s="40">
        <f t="shared" si="83"/>
        <v>6.6386021334929513E-8</v>
      </c>
      <c r="AR736" s="40">
        <f t="shared" si="83"/>
        <v>1.8412842952885955E-6</v>
      </c>
      <c r="AS736" s="40">
        <f t="shared" si="83"/>
        <v>1753.4524426779449</v>
      </c>
      <c r="AT736" s="40">
        <f t="shared" si="83"/>
        <v>9.0831365000000002</v>
      </c>
      <c r="AU736" s="40">
        <f t="shared" si="83"/>
        <v>0</v>
      </c>
      <c r="AV736" s="313">
        <f t="shared" si="83"/>
        <v>73.646872969662155</v>
      </c>
      <c r="AW736" s="317">
        <f t="shared" si="83"/>
        <v>0.79580531249999997</v>
      </c>
      <c r="AX736" s="317">
        <f t="shared" si="83"/>
        <v>1.1178862500000001E-3</v>
      </c>
      <c r="AY736" s="313">
        <f t="shared" si="83"/>
        <v>5244.1397138633192</v>
      </c>
      <c r="AZ736" s="40">
        <f t="shared" si="83"/>
        <v>0</v>
      </c>
      <c r="BA736" s="40">
        <f t="shared" si="83"/>
        <v>0</v>
      </c>
      <c r="BB736" s="40">
        <f t="shared" si="83"/>
        <v>0</v>
      </c>
      <c r="BC736" s="40">
        <f t="shared" si="83"/>
        <v>2.2915646797138649</v>
      </c>
      <c r="BD736" s="40">
        <f t="shared" si="83"/>
        <v>5.117816208911264E-3</v>
      </c>
      <c r="BE736" s="40">
        <f t="shared" si="83"/>
        <v>1030.9513660212413</v>
      </c>
      <c r="BF736" s="40">
        <f t="shared" si="83"/>
        <v>9.6846645192543938E-3</v>
      </c>
      <c r="BG736" s="40">
        <f t="shared" si="83"/>
        <v>0</v>
      </c>
      <c r="BH736" s="40">
        <f t="shared" si="83"/>
        <v>0</v>
      </c>
      <c r="BI736" s="40">
        <f t="shared" si="83"/>
        <v>0</v>
      </c>
      <c r="BJ736" s="40">
        <f t="shared" si="83"/>
        <v>0</v>
      </c>
      <c r="BK736" s="40">
        <f t="shared" si="83"/>
        <v>0</v>
      </c>
      <c r="BL736" s="62">
        <v>0</v>
      </c>
      <c r="BM736" s="275">
        <v>2</v>
      </c>
      <c r="BN736" s="62">
        <v>0</v>
      </c>
      <c r="BO736" s="33" t="s">
        <v>526</v>
      </c>
    </row>
    <row r="737" spans="1:67">
      <c r="A737" s="33" t="str">
        <f>Database_Productkaarten[[#This Row],[Product]]&amp;", "&amp;Database_Productkaarten[[#This Row],[Levensfase]]</f>
        <v>Open steenasfalt - PCR 2.0, A1</v>
      </c>
      <c r="B737" s="33" t="s">
        <v>545</v>
      </c>
      <c r="C737" s="33" t="s">
        <v>483</v>
      </c>
      <c r="D737" s="33" t="s">
        <v>546</v>
      </c>
      <c r="E737" s="33" t="s">
        <v>378</v>
      </c>
      <c r="F737" s="33" t="s">
        <v>74</v>
      </c>
      <c r="L737" s="33">
        <v>2</v>
      </c>
      <c r="M737" s="269">
        <v>1</v>
      </c>
      <c r="N737" s="211">
        <v>4.1774400567224026</v>
      </c>
      <c r="O737" s="33">
        <v>30</v>
      </c>
      <c r="P737" s="163">
        <v>8.0068977074919899E-4</v>
      </c>
      <c r="Q737" s="163">
        <v>0.72042575886308902</v>
      </c>
      <c r="R737" s="163">
        <v>31.945376356939601</v>
      </c>
      <c r="S737" s="163">
        <v>2.5698222563563499E-6</v>
      </c>
      <c r="T737" s="163">
        <v>7.5716932794270803E-2</v>
      </c>
      <c r="U737" s="163">
        <v>0.209848206674045</v>
      </c>
      <c r="V737" s="163">
        <v>1.7932703821600501E-2</v>
      </c>
      <c r="W737" s="163">
        <v>8.7180670110213807</v>
      </c>
      <c r="X737" s="163">
        <v>1.10928420155467</v>
      </c>
      <c r="Y737" s="163">
        <v>4854.5540537108</v>
      </c>
      <c r="Z737" s="163">
        <v>0.15194872229246301</v>
      </c>
      <c r="AA737" s="163">
        <v>34.0501082581643</v>
      </c>
      <c r="AB737" s="163">
        <v>33.905548785986298</v>
      </c>
      <c r="AC737" s="163">
        <v>0.13915071799978801</v>
      </c>
      <c r="AD737" s="163">
        <v>2.3620754178286501E-2</v>
      </c>
      <c r="AE737" s="163">
        <v>3.0444298447821598E-6</v>
      </c>
      <c r="AF737" s="163">
        <v>0.24741833261835999</v>
      </c>
      <c r="AG737" s="163">
        <v>7.4131312371376597E-4</v>
      </c>
      <c r="AH737" s="163">
        <v>3.5322753631355598E-2</v>
      </c>
      <c r="AI737" s="163">
        <v>0.36683466146609101</v>
      </c>
      <c r="AJ737" s="163">
        <v>0.232408553717184</v>
      </c>
      <c r="AK737" s="163">
        <v>8.00659686718822E-4</v>
      </c>
      <c r="AL737" s="163">
        <v>1529.94705112115</v>
      </c>
      <c r="AM737" s="163">
        <v>39.384377332325897</v>
      </c>
      <c r="AN737" s="163">
        <v>1.3307425539971999E-6</v>
      </c>
      <c r="AO737" s="163">
        <v>1.2461473062081001</v>
      </c>
      <c r="AP737" s="163">
        <v>1861.5681907287501</v>
      </c>
      <c r="AQ737" s="163">
        <v>1.27336005361923E-8</v>
      </c>
      <c r="AR737" s="163">
        <v>5.0082372683719002E-7</v>
      </c>
      <c r="AS737" s="163">
        <v>293.23014973469901</v>
      </c>
      <c r="AT737" s="163">
        <v>0</v>
      </c>
      <c r="AU737" s="163">
        <v>0</v>
      </c>
      <c r="AV737" s="313">
        <v>16.598911550902901</v>
      </c>
      <c r="AW737" s="315">
        <v>0</v>
      </c>
      <c r="AX737" s="315">
        <v>0</v>
      </c>
      <c r="AY737" s="313">
        <v>1628.01428036522</v>
      </c>
      <c r="AZ737" s="163">
        <v>0</v>
      </c>
      <c r="BA737" s="163">
        <v>0</v>
      </c>
      <c r="BB737" s="163">
        <v>0</v>
      </c>
      <c r="BC737" s="163">
        <v>0.952664877777473</v>
      </c>
      <c r="BD737" s="163">
        <v>7.3328848006914298E-4</v>
      </c>
      <c r="BE737" s="163">
        <v>3.1343644303594198</v>
      </c>
      <c r="BF737" s="163">
        <v>8.5678863621186502E-4</v>
      </c>
      <c r="BG737" s="163">
        <v>0</v>
      </c>
      <c r="BH737" s="163">
        <v>0</v>
      </c>
      <c r="BI737" s="163">
        <v>0</v>
      </c>
      <c r="BJ737" s="163">
        <v>0</v>
      </c>
      <c r="BK737" s="163">
        <v>0</v>
      </c>
      <c r="BL737" s="62">
        <v>0</v>
      </c>
      <c r="BM737" s="275">
        <v>2</v>
      </c>
      <c r="BN737" s="62">
        <v>0</v>
      </c>
      <c r="BO737" s="33" t="s">
        <v>526</v>
      </c>
    </row>
    <row r="738" spans="1:67">
      <c r="A738" s="33" t="str">
        <f>Database_Productkaarten[[#This Row],[Product]]&amp;", "&amp;Database_Productkaarten[[#This Row],[Levensfase]]</f>
        <v>Open steenasfalt - PCR 2.0, A2</v>
      </c>
      <c r="B738" s="33" t="s">
        <v>545</v>
      </c>
      <c r="C738" s="33" t="s">
        <v>483</v>
      </c>
      <c r="D738" s="33" t="s">
        <v>546</v>
      </c>
      <c r="E738" s="33" t="s">
        <v>378</v>
      </c>
      <c r="F738" s="33" t="s">
        <v>75</v>
      </c>
      <c r="L738" s="33">
        <v>2</v>
      </c>
      <c r="M738" s="269">
        <v>1</v>
      </c>
      <c r="N738" s="211">
        <v>3.6928449536567944</v>
      </c>
      <c r="O738" s="33">
        <v>30</v>
      </c>
      <c r="P738" s="163">
        <v>3.2454878345927399E-4</v>
      </c>
      <c r="Q738" s="163">
        <v>0.195746204653446</v>
      </c>
      <c r="R738" s="163">
        <v>30.9134758700588</v>
      </c>
      <c r="S738" s="163">
        <v>4.58505673601962E-6</v>
      </c>
      <c r="T738" s="163">
        <v>1.8244227622999001E-2</v>
      </c>
      <c r="U738" s="163">
        <v>0.20861177314569099</v>
      </c>
      <c r="V738" s="163">
        <v>4.61706948032264E-2</v>
      </c>
      <c r="W738" s="163">
        <v>8.3283780770872706</v>
      </c>
      <c r="X738" s="163">
        <v>0.21621447420810799</v>
      </c>
      <c r="Y738" s="163">
        <v>708.61125017601501</v>
      </c>
      <c r="Z738" s="163">
        <v>3.81483443728323E-2</v>
      </c>
      <c r="AA738" s="163">
        <v>31.2688932792828</v>
      </c>
      <c r="AB738" s="163">
        <v>31.1723699845701</v>
      </c>
      <c r="AC738" s="163">
        <v>4.5284337059765097E-2</v>
      </c>
      <c r="AD738" s="163">
        <v>5.12389576529656E-2</v>
      </c>
      <c r="AE738" s="163">
        <v>5.7030576001149297E-6</v>
      </c>
      <c r="AF738" s="163">
        <v>0.290039823038028</v>
      </c>
      <c r="AG738" s="163">
        <v>3.6620599551782901E-4</v>
      </c>
      <c r="AH738" s="163">
        <v>0.122247612365322</v>
      </c>
      <c r="AI738" s="163">
        <v>1.3456649107285601</v>
      </c>
      <c r="AJ738" s="163">
        <v>0.34982655482314601</v>
      </c>
      <c r="AK738" s="163">
        <v>3.24535236933533E-4</v>
      </c>
      <c r="AL738" s="163">
        <v>405.71863161175997</v>
      </c>
      <c r="AM738" s="163">
        <v>1.8349092869453201</v>
      </c>
      <c r="AN738" s="163">
        <v>1.0156956768356099E-6</v>
      </c>
      <c r="AO738" s="163">
        <v>1.74949230925345</v>
      </c>
      <c r="AP738" s="163">
        <v>359.13178770629497</v>
      </c>
      <c r="AQ738" s="163">
        <v>1.4617941356336199E-8</v>
      </c>
      <c r="AR738" s="163">
        <v>2.71312261134916E-7</v>
      </c>
      <c r="AS738" s="163">
        <v>317.354676532518</v>
      </c>
      <c r="AT738" s="163">
        <v>0</v>
      </c>
      <c r="AU738" s="163">
        <v>0</v>
      </c>
      <c r="AV738" s="313">
        <v>8.7839343542803103</v>
      </c>
      <c r="AW738" s="315">
        <v>0</v>
      </c>
      <c r="AX738" s="315">
        <v>0</v>
      </c>
      <c r="AY738" s="313">
        <v>430.57536805875498</v>
      </c>
      <c r="AZ738" s="163">
        <v>0</v>
      </c>
      <c r="BA738" s="163">
        <v>0</v>
      </c>
      <c r="BB738" s="163">
        <v>0</v>
      </c>
      <c r="BC738" s="163">
        <v>7.2773859310867495E-2</v>
      </c>
      <c r="BD738" s="163">
        <v>1.0523120199725799E-3</v>
      </c>
      <c r="BE738" s="163">
        <v>6.0282759635812404</v>
      </c>
      <c r="BF738" s="163">
        <v>2.63521653653165E-3</v>
      </c>
      <c r="BG738" s="163">
        <v>0</v>
      </c>
      <c r="BH738" s="163">
        <v>0</v>
      </c>
      <c r="BI738" s="163">
        <v>0</v>
      </c>
      <c r="BJ738" s="163">
        <v>0</v>
      </c>
      <c r="BK738" s="163">
        <v>0</v>
      </c>
      <c r="BL738" s="62">
        <v>0</v>
      </c>
      <c r="BM738" s="275">
        <v>2</v>
      </c>
      <c r="BN738" s="62">
        <v>0</v>
      </c>
      <c r="BO738" s="33" t="s">
        <v>526</v>
      </c>
    </row>
    <row r="739" spans="1:67">
      <c r="A739" s="33" t="str">
        <f>Database_Productkaarten[[#This Row],[Product]]&amp;", "&amp;Database_Productkaarten[[#This Row],[Levensfase]]</f>
        <v>Open steenasfalt - PCR 2.0, A3</v>
      </c>
      <c r="B739" s="33" t="s">
        <v>545</v>
      </c>
      <c r="C739" s="33" t="s">
        <v>483</v>
      </c>
      <c r="D739" s="33" t="s">
        <v>546</v>
      </c>
      <c r="E739" s="33" t="s">
        <v>378</v>
      </c>
      <c r="F739" s="33" t="s">
        <v>76</v>
      </c>
      <c r="L739" s="33">
        <v>2</v>
      </c>
      <c r="M739" s="269">
        <v>1</v>
      </c>
      <c r="N739" s="211">
        <v>1.6322399767994049</v>
      </c>
      <c r="O739" s="33">
        <v>30</v>
      </c>
      <c r="P739" s="163">
        <v>1.8589165499114299E-5</v>
      </c>
      <c r="Q739" s="163">
        <v>0.19641956100840199</v>
      </c>
      <c r="R739" s="163">
        <v>22.917633394466002</v>
      </c>
      <c r="S739" s="163">
        <v>2.66504971453765E-6</v>
      </c>
      <c r="T739" s="163">
        <v>3.7043108190457702E-3</v>
      </c>
      <c r="U739" s="163">
        <v>2.1537116848792399E-2</v>
      </c>
      <c r="V739" s="163">
        <v>3.55719559318816E-3</v>
      </c>
      <c r="W739" s="163">
        <v>3.5353396359501899</v>
      </c>
      <c r="X739" s="163">
        <v>2.27158143111779E-2</v>
      </c>
      <c r="Y739" s="163">
        <v>92.248527194362097</v>
      </c>
      <c r="Z739" s="163">
        <v>1.9825130010025699E-2</v>
      </c>
      <c r="AA739" s="163">
        <v>23.247902270471101</v>
      </c>
      <c r="AB739" s="163">
        <v>23.203894754967699</v>
      </c>
      <c r="AC739" s="163">
        <v>4.2306153334871699E-2</v>
      </c>
      <c r="AD739" s="163">
        <v>1.70136216838665E-3</v>
      </c>
      <c r="AE739" s="163">
        <v>3.01257711984284E-6</v>
      </c>
      <c r="AF739" s="163">
        <v>2.76956225972197E-2</v>
      </c>
      <c r="AG739" s="163">
        <v>2.10141910292859E-4</v>
      </c>
      <c r="AH739" s="163">
        <v>7.8782855949126492E-3</v>
      </c>
      <c r="AI739" s="163">
        <v>8.8568741346488206E-2</v>
      </c>
      <c r="AJ739" s="163">
        <v>2.72317581464015E-2</v>
      </c>
      <c r="AK739" s="163">
        <v>1.8588907131572301E-5</v>
      </c>
      <c r="AL739" s="163">
        <v>362.25281966731001</v>
      </c>
      <c r="AM739" s="163">
        <v>0.44144433669347799</v>
      </c>
      <c r="AN739" s="163">
        <v>1.8992138344386899E-7</v>
      </c>
      <c r="AO739" s="163">
        <v>0.24567631912208701</v>
      </c>
      <c r="AP739" s="163">
        <v>64.403333456320397</v>
      </c>
      <c r="AQ739" s="163">
        <v>2.7243341353205699E-9</v>
      </c>
      <c r="AR739" s="163">
        <v>4.3331348983928802E-8</v>
      </c>
      <c r="AS739" s="163">
        <v>13.8370770109952</v>
      </c>
      <c r="AT739" s="163">
        <v>0</v>
      </c>
      <c r="AU739" s="163">
        <v>0</v>
      </c>
      <c r="AV739" s="313">
        <v>5.5043969786567404</v>
      </c>
      <c r="AW739" s="315">
        <v>0</v>
      </c>
      <c r="AX739" s="315">
        <v>0</v>
      </c>
      <c r="AY739" s="313">
        <v>399.87847136432998</v>
      </c>
      <c r="AZ739" s="163">
        <v>0</v>
      </c>
      <c r="BA739" s="163">
        <v>0</v>
      </c>
      <c r="BB739" s="163">
        <v>0</v>
      </c>
      <c r="BC739" s="163">
        <v>3.21926453124394E-2</v>
      </c>
      <c r="BD739" s="163">
        <v>4.4649503688583801E-4</v>
      </c>
      <c r="BE739" s="163">
        <v>0.24095136603372</v>
      </c>
      <c r="BF739" s="163">
        <v>3.2115899428016497E-4</v>
      </c>
      <c r="BG739" s="163">
        <v>0</v>
      </c>
      <c r="BH739" s="163">
        <v>0</v>
      </c>
      <c r="BI739" s="163">
        <v>0</v>
      </c>
      <c r="BJ739" s="163">
        <v>0</v>
      </c>
      <c r="BK739" s="163">
        <v>0</v>
      </c>
      <c r="BL739" s="62">
        <v>0</v>
      </c>
      <c r="BM739" s="275">
        <v>2</v>
      </c>
      <c r="BN739" s="62">
        <v>0</v>
      </c>
      <c r="BO739" s="33" t="s">
        <v>526</v>
      </c>
    </row>
    <row r="740" spans="1:67">
      <c r="A740" s="33" t="str">
        <f>Database_Productkaarten[[#This Row],[Product]]&amp;", "&amp;Database_Productkaarten[[#This Row],[Levensfase]]</f>
        <v>Open steenasfalt - PCR 2.0, A1-A3</v>
      </c>
      <c r="B740" s="33" t="str">
        <f>B739</f>
        <v>Open steenasfalt - PCR 2.0</v>
      </c>
      <c r="C740" s="33" t="str">
        <f>C739</f>
        <v>Bitumineuze verhardingen</v>
      </c>
      <c r="D740" s="33" t="str">
        <f>D739</f>
        <v>Open steenasfalt</v>
      </c>
      <c r="E740" s="33" t="str">
        <f>E739</f>
        <v>Ton</v>
      </c>
      <c r="F740" s="33" t="s">
        <v>77</v>
      </c>
      <c r="L740" s="33">
        <f>L739</f>
        <v>2</v>
      </c>
      <c r="M740" s="45">
        <f>M739</f>
        <v>1</v>
      </c>
      <c r="N740" s="41">
        <f>SUM(N737:N739)</f>
        <v>9.5025249871786013</v>
      </c>
      <c r="O740" s="33">
        <f>O739</f>
        <v>30</v>
      </c>
      <c r="P740" s="40">
        <f>SUM(P737:P739)</f>
        <v>1.1438277197075872E-3</v>
      </c>
      <c r="Q740" s="40">
        <f t="shared" ref="Q740:BK740" si="84">SUM(Q737:Q739)</f>
        <v>1.1125915245249371</v>
      </c>
      <c r="R740" s="40">
        <f t="shared" si="84"/>
        <v>85.776485621464403</v>
      </c>
      <c r="S740" s="40">
        <f t="shared" si="84"/>
        <v>9.8199287069136203E-6</v>
      </c>
      <c r="T740" s="40">
        <f t="shared" si="84"/>
        <v>9.7665471236315568E-2</v>
      </c>
      <c r="U740" s="40">
        <f t="shared" si="84"/>
        <v>0.43999709666852838</v>
      </c>
      <c r="V740" s="40">
        <f t="shared" si="84"/>
        <v>6.7660594218015069E-2</v>
      </c>
      <c r="W740" s="40">
        <f t="shared" si="84"/>
        <v>20.581784724058842</v>
      </c>
      <c r="X740" s="40">
        <f t="shared" si="84"/>
        <v>1.3482144900739559</v>
      </c>
      <c r="Y740" s="40">
        <f t="shared" si="84"/>
        <v>5655.4138310811777</v>
      </c>
      <c r="Z740" s="40">
        <f t="shared" si="84"/>
        <v>0.209922196675321</v>
      </c>
      <c r="AA740" s="40">
        <f t="shared" si="84"/>
        <v>88.566903807918195</v>
      </c>
      <c r="AB740" s="40">
        <f t="shared" si="84"/>
        <v>88.281813525524086</v>
      </c>
      <c r="AC740" s="40">
        <f t="shared" si="84"/>
        <v>0.2267412083944248</v>
      </c>
      <c r="AD740" s="40">
        <f t="shared" si="84"/>
        <v>7.6561073999638754E-2</v>
      </c>
      <c r="AE740" s="40">
        <f t="shared" si="84"/>
        <v>1.176006456473993E-5</v>
      </c>
      <c r="AF740" s="40">
        <f t="shared" si="84"/>
        <v>0.56515377825360769</v>
      </c>
      <c r="AG740" s="40">
        <f t="shared" si="84"/>
        <v>1.317661029524454E-3</v>
      </c>
      <c r="AH740" s="40">
        <f t="shared" si="84"/>
        <v>0.16544865159159025</v>
      </c>
      <c r="AI740" s="40">
        <f t="shared" si="84"/>
        <v>1.8010683135411392</v>
      </c>
      <c r="AJ740" s="40">
        <f t="shared" si="84"/>
        <v>0.60946686668673156</v>
      </c>
      <c r="AK740" s="40">
        <f t="shared" si="84"/>
        <v>1.1437838307839273E-3</v>
      </c>
      <c r="AL740" s="40">
        <f t="shared" si="84"/>
        <v>2297.9185024002199</v>
      </c>
      <c r="AM740" s="40">
        <f t="shared" si="84"/>
        <v>41.660730955964695</v>
      </c>
      <c r="AN740" s="40">
        <f t="shared" si="84"/>
        <v>2.5363596142766785E-6</v>
      </c>
      <c r="AO740" s="40">
        <f t="shared" si="84"/>
        <v>3.2413159345836369</v>
      </c>
      <c r="AP740" s="40">
        <f t="shared" si="84"/>
        <v>2285.1033118913656</v>
      </c>
      <c r="AQ740" s="40">
        <f t="shared" si="84"/>
        <v>3.0075876027849065E-8</v>
      </c>
      <c r="AR740" s="40">
        <f t="shared" si="84"/>
        <v>8.1546733695603482E-7</v>
      </c>
      <c r="AS740" s="40">
        <f t="shared" si="84"/>
        <v>624.42190327821231</v>
      </c>
      <c r="AT740" s="40">
        <f t="shared" si="84"/>
        <v>0</v>
      </c>
      <c r="AU740" s="40">
        <f t="shared" si="84"/>
        <v>0</v>
      </c>
      <c r="AV740" s="317">
        <f t="shared" si="84"/>
        <v>30.887242883839949</v>
      </c>
      <c r="AW740" s="317">
        <f t="shared" si="84"/>
        <v>0</v>
      </c>
      <c r="AX740" s="317">
        <f t="shared" si="84"/>
        <v>0</v>
      </c>
      <c r="AY740" s="317">
        <f t="shared" si="84"/>
        <v>2458.4681197883046</v>
      </c>
      <c r="AZ740" s="40">
        <f t="shared" si="84"/>
        <v>0</v>
      </c>
      <c r="BA740" s="40">
        <f t="shared" si="84"/>
        <v>0</v>
      </c>
      <c r="BB740" s="40">
        <f t="shared" si="84"/>
        <v>0</v>
      </c>
      <c r="BC740" s="40">
        <f t="shared" si="84"/>
        <v>1.0576313824007799</v>
      </c>
      <c r="BD740" s="40">
        <f t="shared" si="84"/>
        <v>2.2320955369275609E-3</v>
      </c>
      <c r="BE740" s="40">
        <f t="shared" si="84"/>
        <v>9.403591759974379</v>
      </c>
      <c r="BF740" s="40">
        <f t="shared" si="84"/>
        <v>3.81316416702368E-3</v>
      </c>
      <c r="BG740" s="40">
        <f t="shared" si="84"/>
        <v>0</v>
      </c>
      <c r="BH740" s="40">
        <f t="shared" si="84"/>
        <v>0</v>
      </c>
      <c r="BI740" s="40">
        <f t="shared" si="84"/>
        <v>0</v>
      </c>
      <c r="BJ740" s="40">
        <f t="shared" si="84"/>
        <v>0</v>
      </c>
      <c r="BK740" s="40">
        <f t="shared" si="84"/>
        <v>0</v>
      </c>
      <c r="BL740" s="62">
        <f>BL739</f>
        <v>0</v>
      </c>
      <c r="BM740" s="275">
        <f>BM739</f>
        <v>2</v>
      </c>
      <c r="BN740" s="62">
        <v>0</v>
      </c>
      <c r="BO740" s="33" t="str">
        <f>BO739</f>
        <v>Ecochain 2022 LCA Achtergrondrapport voor Nederlandse branchereferentiemengsels 2022</v>
      </c>
    </row>
    <row r="741" spans="1:67">
      <c r="A741" s="33" t="str">
        <f>Database_Productkaarten[[#This Row],[Product]]&amp;", "&amp;Database_Productkaarten[[#This Row],[Levensfase]]</f>
        <v>Open steenasfalt - PCR 2.0, A4</v>
      </c>
      <c r="B741" s="33" t="s">
        <v>545</v>
      </c>
      <c r="C741" s="33" t="s">
        <v>483</v>
      </c>
      <c r="D741" s="33" t="s">
        <v>546</v>
      </c>
      <c r="E741" s="33" t="s">
        <v>378</v>
      </c>
      <c r="F741" s="33" t="s">
        <v>78</v>
      </c>
      <c r="L741" s="33">
        <v>2</v>
      </c>
      <c r="M741" s="269">
        <v>1</v>
      </c>
      <c r="N741" s="211">
        <v>0.42281585688000006</v>
      </c>
      <c r="O741" s="33">
        <v>30</v>
      </c>
      <c r="P741" s="163">
        <v>7.7177375000000002E-5</v>
      </c>
      <c r="Q741" s="163">
        <v>3.3461587500000001E-2</v>
      </c>
      <c r="R741" s="163">
        <v>4.4922831875</v>
      </c>
      <c r="S741" s="163">
        <v>8.5103749999999996E-7</v>
      </c>
      <c r="T741" s="163">
        <v>2.7898312499999999E-3</v>
      </c>
      <c r="U741" s="163">
        <v>1.5360149999999999E-2</v>
      </c>
      <c r="V741" s="163">
        <v>2.8921387499999999E-3</v>
      </c>
      <c r="W741" s="163">
        <v>0.96938567499999995</v>
      </c>
      <c r="X741" s="163">
        <v>4.0754362500000002E-2</v>
      </c>
      <c r="Y741" s="163">
        <v>109.65832875</v>
      </c>
      <c r="Z741" s="163">
        <v>5.4546374999999998E-3</v>
      </c>
      <c r="AA741" s="163">
        <v>4.5337142750000003</v>
      </c>
      <c r="AB741" s="163">
        <v>4.5303539749999997</v>
      </c>
      <c r="AC741" s="163">
        <v>2.2313774999999998E-3</v>
      </c>
      <c r="AD741" s="163">
        <v>1.1288975E-3</v>
      </c>
      <c r="AE741" s="163">
        <v>1.0695525E-6</v>
      </c>
      <c r="AF741" s="163">
        <v>1.9977000000000002E-2</v>
      </c>
      <c r="AG741" s="163">
        <v>3.1353599999999997E-5</v>
      </c>
      <c r="AH741" s="163">
        <v>6.24826375E-3</v>
      </c>
      <c r="AI741" s="163">
        <v>6.9127599999999997E-2</v>
      </c>
      <c r="AJ741" s="163">
        <v>2.1661875000000001E-2</v>
      </c>
      <c r="AK741" s="163">
        <v>7.717725E-5</v>
      </c>
      <c r="AL741" s="163">
        <v>70.271178750000004</v>
      </c>
      <c r="AM741" s="163">
        <v>0.23981325000000001</v>
      </c>
      <c r="AN741" s="163">
        <v>3.3039275000000001E-7</v>
      </c>
      <c r="AO741" s="163">
        <v>0.30257301250000002</v>
      </c>
      <c r="AP741" s="163">
        <v>51.312919999999998</v>
      </c>
      <c r="AQ741" s="163">
        <v>1.3104862499999999E-9</v>
      </c>
      <c r="AR741" s="163">
        <v>4.30946125E-8</v>
      </c>
      <c r="AS741" s="163">
        <v>80.863563749999997</v>
      </c>
      <c r="AT741" s="163">
        <v>0</v>
      </c>
      <c r="AU741" s="163">
        <v>0</v>
      </c>
      <c r="AV741" s="313">
        <v>0.71480762499999995</v>
      </c>
      <c r="AW741" s="315">
        <v>0</v>
      </c>
      <c r="AX741" s="315">
        <v>0</v>
      </c>
      <c r="AY741" s="313">
        <v>74.622870000000006</v>
      </c>
      <c r="AZ741" s="163">
        <v>0</v>
      </c>
      <c r="BA741" s="163">
        <v>0</v>
      </c>
      <c r="BB741" s="163">
        <v>0</v>
      </c>
      <c r="BC741" s="163">
        <v>7.5977249999999996E-3</v>
      </c>
      <c r="BD741" s="163">
        <v>1.7422062499999999E-4</v>
      </c>
      <c r="BE741" s="163">
        <v>6.1526456249999999</v>
      </c>
      <c r="BF741" s="163">
        <v>4.7877225000000001E-4</v>
      </c>
      <c r="BG741" s="163">
        <v>0</v>
      </c>
      <c r="BH741" s="163">
        <v>0</v>
      </c>
      <c r="BI741" s="163">
        <v>0</v>
      </c>
      <c r="BJ741" s="163">
        <v>0</v>
      </c>
      <c r="BK741" s="163">
        <v>0</v>
      </c>
      <c r="BL741" s="62">
        <v>0</v>
      </c>
      <c r="BM741" s="275">
        <v>2</v>
      </c>
      <c r="BN741" s="62">
        <v>0</v>
      </c>
      <c r="BO741" s="33" t="s">
        <v>526</v>
      </c>
    </row>
    <row r="742" spans="1:67">
      <c r="A742" s="33" t="str">
        <f>Database_Productkaarten[[#This Row],[Product]]&amp;", "&amp;Database_Productkaarten[[#This Row],[Levensfase]]</f>
        <v>Open steenasfalt - PCR 2.0, A5</v>
      </c>
      <c r="B742" s="33" t="s">
        <v>545</v>
      </c>
      <c r="C742" s="33" t="s">
        <v>483</v>
      </c>
      <c r="D742" s="33" t="s">
        <v>546</v>
      </c>
      <c r="E742" s="33" t="s">
        <v>378</v>
      </c>
      <c r="F742" s="33" t="s">
        <v>79</v>
      </c>
      <c r="L742" s="33">
        <v>2</v>
      </c>
      <c r="M742" s="269">
        <v>1</v>
      </c>
      <c r="N742" s="211">
        <v>0.20892775788363147</v>
      </c>
      <c r="O742" s="33">
        <v>30</v>
      </c>
      <c r="P742" s="163">
        <v>2.52053385503491E-6</v>
      </c>
      <c r="Q742" s="163">
        <v>1.0722300852191001E-2</v>
      </c>
      <c r="R742" s="163">
        <v>2.1806286343541599</v>
      </c>
      <c r="S742" s="163">
        <v>2.8179055050305898E-7</v>
      </c>
      <c r="T742" s="163">
        <v>7.5572087597003098E-4</v>
      </c>
      <c r="U742" s="163">
        <v>6.7857710719034497E-3</v>
      </c>
      <c r="V742" s="163">
        <v>1.4838087034341799E-3</v>
      </c>
      <c r="W742" s="163">
        <v>0.58829495594473902</v>
      </c>
      <c r="X742" s="163">
        <v>8.3642063590304294E-3</v>
      </c>
      <c r="Y742" s="163">
        <v>29.061930803190499</v>
      </c>
      <c r="Z742" s="163">
        <v>9.9052251771749103E-4</v>
      </c>
      <c r="AA742" s="163">
        <v>2.1948938660897999</v>
      </c>
      <c r="AB742" s="163">
        <v>2.1942639981727301</v>
      </c>
      <c r="AC742" s="163">
        <v>5.0168129909830496E-4</v>
      </c>
      <c r="AD742" s="163">
        <v>1.28186617970418E-4</v>
      </c>
      <c r="AE742" s="163">
        <v>3.5506722318440998E-7</v>
      </c>
      <c r="AF742" s="163">
        <v>9.2830906004344599E-3</v>
      </c>
      <c r="AG742" s="163">
        <v>5.9889520057721299E-6</v>
      </c>
      <c r="AH742" s="163">
        <v>3.7212549811088901E-3</v>
      </c>
      <c r="AI742" s="163">
        <v>4.08842513151043E-2</v>
      </c>
      <c r="AJ742" s="163">
        <v>1.1058200011401001E-2</v>
      </c>
      <c r="AK742" s="163">
        <v>2.5205140761041601E-6</v>
      </c>
      <c r="AL742" s="163">
        <v>22.623400365069401</v>
      </c>
      <c r="AM742" s="163">
        <v>3.0130674143176699E-2</v>
      </c>
      <c r="AN742" s="163">
        <v>3.6737492451707402E-8</v>
      </c>
      <c r="AO742" s="163">
        <v>9.7101735622394797E-2</v>
      </c>
      <c r="AP742" s="163">
        <v>13.5745914341014</v>
      </c>
      <c r="AQ742" s="163">
        <v>4.7625118821209999E-10</v>
      </c>
      <c r="AR742" s="163">
        <v>1.01356955548823E-8</v>
      </c>
      <c r="AS742" s="163">
        <v>2.88964621378457</v>
      </c>
      <c r="AT742" s="163">
        <v>0</v>
      </c>
      <c r="AU742" s="163">
        <v>0</v>
      </c>
      <c r="AV742" s="313">
        <v>0.124349448867524</v>
      </c>
      <c r="AW742" s="315">
        <v>0</v>
      </c>
      <c r="AX742" s="315">
        <v>0</v>
      </c>
      <c r="AY742" s="313">
        <v>24.025335647212199</v>
      </c>
      <c r="AZ742" s="163">
        <v>0</v>
      </c>
      <c r="BA742" s="163">
        <v>0</v>
      </c>
      <c r="BB742" s="163">
        <v>0</v>
      </c>
      <c r="BC742" s="163">
        <v>1.1694798144477199E-3</v>
      </c>
      <c r="BD742" s="163">
        <v>6.1609560452003097E-5</v>
      </c>
      <c r="BE742" s="163">
        <v>2.6769629501804601E-2</v>
      </c>
      <c r="BF742" s="163">
        <v>1.5723384660734001E-4</v>
      </c>
      <c r="BG742" s="163">
        <v>0</v>
      </c>
      <c r="BH742" s="163">
        <v>0</v>
      </c>
      <c r="BI742" s="163">
        <v>0</v>
      </c>
      <c r="BJ742" s="163">
        <v>0</v>
      </c>
      <c r="BK742" s="163">
        <v>0</v>
      </c>
      <c r="BL742" s="62">
        <v>0</v>
      </c>
      <c r="BM742" s="275">
        <v>2</v>
      </c>
      <c r="BN742" s="62">
        <v>0</v>
      </c>
      <c r="BO742" s="33" t="s">
        <v>526</v>
      </c>
    </row>
    <row r="743" spans="1:67">
      <c r="A743" s="33" t="str">
        <f>Database_Productkaarten[[#This Row],[Product]]&amp;", "&amp;Database_Productkaarten[[#This Row],[Levensfase]]</f>
        <v>Open steenasfalt - PCR 2.0, B1</v>
      </c>
      <c r="B743" s="33" t="s">
        <v>545</v>
      </c>
      <c r="C743" s="33" t="s">
        <v>483</v>
      </c>
      <c r="D743" s="33" t="s">
        <v>546</v>
      </c>
      <c r="E743" s="33" t="s">
        <v>378</v>
      </c>
      <c r="F743" s="33" t="s">
        <v>80</v>
      </c>
      <c r="L743" s="33">
        <v>2</v>
      </c>
      <c r="M743" s="269">
        <v>1</v>
      </c>
      <c r="N743" s="211">
        <v>1.0088636525492594</v>
      </c>
      <c r="O743" s="33">
        <v>30</v>
      </c>
      <c r="P743" s="163">
        <v>0</v>
      </c>
      <c r="Q743" s="163">
        <v>0</v>
      </c>
      <c r="R743" s="163">
        <v>0</v>
      </c>
      <c r="S743" s="163">
        <v>0</v>
      </c>
      <c r="T743" s="163">
        <v>0</v>
      </c>
      <c r="U743" s="163">
        <v>0</v>
      </c>
      <c r="V743" s="163">
        <v>0</v>
      </c>
      <c r="W743" s="163">
        <v>3.5794545249973702</v>
      </c>
      <c r="X743" s="163">
        <v>2.0309999999985099E-5</v>
      </c>
      <c r="Y743" s="163">
        <v>6853.3693599949702</v>
      </c>
      <c r="Z743" s="163">
        <v>2.29199999999832E-2</v>
      </c>
      <c r="AA743" s="163">
        <v>0</v>
      </c>
      <c r="AB743" s="163">
        <v>0</v>
      </c>
      <c r="AC743" s="163">
        <v>0</v>
      </c>
      <c r="AD743" s="163">
        <v>0</v>
      </c>
      <c r="AE743" s="163">
        <v>0</v>
      </c>
      <c r="AF743" s="163">
        <v>0</v>
      </c>
      <c r="AG743" s="163">
        <v>0</v>
      </c>
      <c r="AH743" s="163">
        <v>0</v>
      </c>
      <c r="AI743" s="163">
        <v>0</v>
      </c>
      <c r="AJ743" s="163">
        <v>0</v>
      </c>
      <c r="AK743" s="163">
        <v>0</v>
      </c>
      <c r="AL743" s="163">
        <v>0</v>
      </c>
      <c r="AM743" s="163">
        <v>0</v>
      </c>
      <c r="AN743" s="163">
        <v>0</v>
      </c>
      <c r="AO743" s="163">
        <v>0</v>
      </c>
      <c r="AP743" s="163">
        <v>2.9453524149703099E-3</v>
      </c>
      <c r="AQ743" s="163">
        <v>5.2682240267961301E-10</v>
      </c>
      <c r="AR743" s="163">
        <v>3.6497853603229803E-8</v>
      </c>
      <c r="AS743" s="163">
        <v>0</v>
      </c>
      <c r="AT743" s="163">
        <v>0</v>
      </c>
      <c r="AU743" s="163">
        <v>0</v>
      </c>
      <c r="AV743" s="313">
        <v>0</v>
      </c>
      <c r="AW743" s="315">
        <v>0</v>
      </c>
      <c r="AX743" s="315">
        <v>0</v>
      </c>
      <c r="AY743" s="313">
        <v>0</v>
      </c>
      <c r="AZ743" s="163">
        <v>0</v>
      </c>
      <c r="BA743" s="163">
        <v>0</v>
      </c>
      <c r="BB743" s="163">
        <v>0</v>
      </c>
      <c r="BC743" s="163">
        <v>0</v>
      </c>
      <c r="BD743" s="163">
        <v>0</v>
      </c>
      <c r="BE743" s="163">
        <v>0</v>
      </c>
      <c r="BF743" s="163">
        <v>0</v>
      </c>
      <c r="BG743" s="163">
        <v>0</v>
      </c>
      <c r="BH743" s="163">
        <v>0</v>
      </c>
      <c r="BI743" s="163">
        <v>0</v>
      </c>
      <c r="BJ743" s="163">
        <v>0</v>
      </c>
      <c r="BK743" s="163">
        <v>0</v>
      </c>
      <c r="BL743" s="62">
        <v>0</v>
      </c>
      <c r="BM743" s="275">
        <v>2</v>
      </c>
      <c r="BN743" s="62">
        <v>0</v>
      </c>
      <c r="BO743" s="33" t="s">
        <v>526</v>
      </c>
    </row>
    <row r="744" spans="1:67">
      <c r="A744" s="33" t="str">
        <f>Database_Productkaarten[[#This Row],[Product]]&amp;", "&amp;Database_Productkaarten[[#This Row],[Levensfase]]</f>
        <v>Open steenasfalt - PCR 2.0, B2</v>
      </c>
      <c r="B744" s="33" t="s">
        <v>545</v>
      </c>
      <c r="C744" s="33" t="s">
        <v>483</v>
      </c>
      <c r="D744" s="33" t="s">
        <v>546</v>
      </c>
      <c r="E744" s="33" t="s">
        <v>378</v>
      </c>
      <c r="F744" s="33" t="s">
        <v>527</v>
      </c>
      <c r="L744" s="33">
        <v>2</v>
      </c>
      <c r="M744" s="269">
        <v>1</v>
      </c>
      <c r="N744" s="211">
        <v>0</v>
      </c>
      <c r="O744" s="33">
        <v>30</v>
      </c>
      <c r="P744" s="163">
        <v>0</v>
      </c>
      <c r="Q744" s="163">
        <v>0</v>
      </c>
      <c r="R744" s="163">
        <v>0</v>
      </c>
      <c r="S744" s="163">
        <v>0</v>
      </c>
      <c r="T744" s="163">
        <v>0</v>
      </c>
      <c r="U744" s="163">
        <v>0</v>
      </c>
      <c r="V744" s="163">
        <v>0</v>
      </c>
      <c r="W744" s="163">
        <v>0</v>
      </c>
      <c r="X744" s="163">
        <v>0</v>
      </c>
      <c r="Y744" s="163">
        <v>0</v>
      </c>
      <c r="Z744" s="163">
        <v>0</v>
      </c>
      <c r="AA744" s="163">
        <v>0</v>
      </c>
      <c r="AB744" s="163">
        <v>0</v>
      </c>
      <c r="AC744" s="163">
        <v>0</v>
      </c>
      <c r="AD744" s="163">
        <v>0</v>
      </c>
      <c r="AE744" s="163">
        <v>0</v>
      </c>
      <c r="AF744" s="163">
        <v>0</v>
      </c>
      <c r="AG744" s="163">
        <v>0</v>
      </c>
      <c r="AH744" s="163">
        <v>0</v>
      </c>
      <c r="AI744" s="163">
        <v>0</v>
      </c>
      <c r="AJ744" s="163">
        <v>0</v>
      </c>
      <c r="AK744" s="163">
        <v>0</v>
      </c>
      <c r="AL744" s="163">
        <v>0</v>
      </c>
      <c r="AM744" s="163">
        <v>0</v>
      </c>
      <c r="AN744" s="163">
        <v>0</v>
      </c>
      <c r="AO744" s="163">
        <v>0</v>
      </c>
      <c r="AP744" s="163">
        <v>0</v>
      </c>
      <c r="AQ744" s="163">
        <v>0</v>
      </c>
      <c r="AR744" s="163">
        <v>0</v>
      </c>
      <c r="AS744" s="163">
        <v>0</v>
      </c>
      <c r="AT744" s="163">
        <v>0</v>
      </c>
      <c r="AU744" s="163">
        <v>0</v>
      </c>
      <c r="AV744" s="313">
        <v>0</v>
      </c>
      <c r="AW744" s="315">
        <v>0</v>
      </c>
      <c r="AX744" s="315">
        <v>0</v>
      </c>
      <c r="AY744" s="313">
        <v>0</v>
      </c>
      <c r="AZ744" s="163">
        <v>0</v>
      </c>
      <c r="BA744" s="163">
        <v>0</v>
      </c>
      <c r="BB744" s="163">
        <v>0</v>
      </c>
      <c r="BC744" s="163">
        <v>0</v>
      </c>
      <c r="BD744" s="163">
        <v>0</v>
      </c>
      <c r="BE744" s="163">
        <v>0</v>
      </c>
      <c r="BF744" s="163">
        <v>0</v>
      </c>
      <c r="BG744" s="163">
        <v>0</v>
      </c>
      <c r="BH744" s="163">
        <v>0</v>
      </c>
      <c r="BI744" s="163">
        <v>0</v>
      </c>
      <c r="BJ744" s="163">
        <v>0</v>
      </c>
      <c r="BK744" s="163">
        <v>0</v>
      </c>
      <c r="BL744" s="62">
        <v>0</v>
      </c>
      <c r="BM744" s="275">
        <v>2</v>
      </c>
      <c r="BN744" s="62">
        <v>0</v>
      </c>
      <c r="BO744" s="33" t="s">
        <v>526</v>
      </c>
    </row>
    <row r="745" spans="1:67">
      <c r="A745" s="33" t="str">
        <f>Database_Productkaarten[[#This Row],[Product]]&amp;", "&amp;Database_Productkaarten[[#This Row],[Levensfase]]</f>
        <v>Open steenasfalt - PCR 2.0, B3</v>
      </c>
      <c r="B745" s="33" t="s">
        <v>545</v>
      </c>
      <c r="C745" s="33" t="s">
        <v>483</v>
      </c>
      <c r="D745" s="33" t="s">
        <v>546</v>
      </c>
      <c r="E745" s="33" t="s">
        <v>378</v>
      </c>
      <c r="F745" s="33" t="s">
        <v>81</v>
      </c>
      <c r="L745" s="33">
        <v>2</v>
      </c>
      <c r="M745" s="269">
        <v>1</v>
      </c>
      <c r="N745" s="211">
        <v>0</v>
      </c>
      <c r="O745" s="33">
        <v>30</v>
      </c>
      <c r="P745" s="163">
        <v>0</v>
      </c>
      <c r="Q745" s="163">
        <v>0</v>
      </c>
      <c r="R745" s="163">
        <v>0</v>
      </c>
      <c r="S745" s="163">
        <v>0</v>
      </c>
      <c r="T745" s="163">
        <v>0</v>
      </c>
      <c r="U745" s="163">
        <v>0</v>
      </c>
      <c r="V745" s="163">
        <v>0</v>
      </c>
      <c r="W745" s="163">
        <v>0</v>
      </c>
      <c r="X745" s="163">
        <v>0</v>
      </c>
      <c r="Y745" s="163">
        <v>0</v>
      </c>
      <c r="Z745" s="163">
        <v>0</v>
      </c>
      <c r="AA745" s="163">
        <v>0</v>
      </c>
      <c r="AB745" s="163">
        <v>0</v>
      </c>
      <c r="AC745" s="163">
        <v>0</v>
      </c>
      <c r="AD745" s="163">
        <v>0</v>
      </c>
      <c r="AE745" s="163">
        <v>0</v>
      </c>
      <c r="AF745" s="163">
        <v>0</v>
      </c>
      <c r="AG745" s="163">
        <v>0</v>
      </c>
      <c r="AH745" s="163">
        <v>0</v>
      </c>
      <c r="AI745" s="163">
        <v>0</v>
      </c>
      <c r="AJ745" s="163">
        <v>0</v>
      </c>
      <c r="AK745" s="163">
        <v>0</v>
      </c>
      <c r="AL745" s="163">
        <v>0</v>
      </c>
      <c r="AM745" s="163">
        <v>0</v>
      </c>
      <c r="AN745" s="163">
        <v>0</v>
      </c>
      <c r="AO745" s="163">
        <v>0</v>
      </c>
      <c r="AP745" s="163">
        <v>0</v>
      </c>
      <c r="AQ745" s="163">
        <v>0</v>
      </c>
      <c r="AR745" s="163">
        <v>0</v>
      </c>
      <c r="AS745" s="163">
        <v>0</v>
      </c>
      <c r="AT745" s="163">
        <v>0</v>
      </c>
      <c r="AU745" s="163">
        <v>0</v>
      </c>
      <c r="AV745" s="313">
        <v>0</v>
      </c>
      <c r="AW745" s="315">
        <v>0</v>
      </c>
      <c r="AX745" s="315">
        <v>0</v>
      </c>
      <c r="AY745" s="313">
        <v>0</v>
      </c>
      <c r="AZ745" s="163">
        <v>0</v>
      </c>
      <c r="BA745" s="163">
        <v>0</v>
      </c>
      <c r="BB745" s="163">
        <v>0</v>
      </c>
      <c r="BC745" s="163">
        <v>0</v>
      </c>
      <c r="BD745" s="163">
        <v>0</v>
      </c>
      <c r="BE745" s="163">
        <v>0</v>
      </c>
      <c r="BF745" s="163">
        <v>0</v>
      </c>
      <c r="BG745" s="163">
        <v>0</v>
      </c>
      <c r="BH745" s="163">
        <v>0</v>
      </c>
      <c r="BI745" s="163">
        <v>0</v>
      </c>
      <c r="BJ745" s="163">
        <v>0</v>
      </c>
      <c r="BK745" s="163">
        <v>0</v>
      </c>
      <c r="BL745" s="62">
        <v>0</v>
      </c>
      <c r="BM745" s="275">
        <v>2</v>
      </c>
      <c r="BN745" s="62">
        <v>0</v>
      </c>
      <c r="BO745" s="33" t="s">
        <v>526</v>
      </c>
    </row>
    <row r="746" spans="1:67">
      <c r="A746" s="33" t="str">
        <f>Database_Productkaarten[[#This Row],[Product]]&amp;", "&amp;Database_Productkaarten[[#This Row],[Levensfase]]</f>
        <v>Open steenasfalt - PCR 2.0, B4</v>
      </c>
      <c r="B746" s="33" t="s">
        <v>545</v>
      </c>
      <c r="C746" s="33" t="s">
        <v>483</v>
      </c>
      <c r="D746" s="33" t="s">
        <v>546</v>
      </c>
      <c r="E746" s="33" t="s">
        <v>378</v>
      </c>
      <c r="F746" s="33" t="s">
        <v>82</v>
      </c>
      <c r="L746" s="33">
        <v>2</v>
      </c>
      <c r="M746" s="269">
        <v>1</v>
      </c>
      <c r="N746" s="211">
        <v>0</v>
      </c>
      <c r="O746" s="33">
        <v>30</v>
      </c>
      <c r="P746" s="163">
        <v>0</v>
      </c>
      <c r="Q746" s="163">
        <v>0</v>
      </c>
      <c r="R746" s="163">
        <v>0</v>
      </c>
      <c r="S746" s="163">
        <v>0</v>
      </c>
      <c r="T746" s="163">
        <v>0</v>
      </c>
      <c r="U746" s="163">
        <v>0</v>
      </c>
      <c r="V746" s="163">
        <v>0</v>
      </c>
      <c r="W746" s="163">
        <v>0</v>
      </c>
      <c r="X746" s="163">
        <v>0</v>
      </c>
      <c r="Y746" s="163">
        <v>0</v>
      </c>
      <c r="Z746" s="163">
        <v>0</v>
      </c>
      <c r="AA746" s="163">
        <v>0</v>
      </c>
      <c r="AB746" s="163">
        <v>0</v>
      </c>
      <c r="AC746" s="163">
        <v>0</v>
      </c>
      <c r="AD746" s="163">
        <v>0</v>
      </c>
      <c r="AE746" s="163">
        <v>0</v>
      </c>
      <c r="AF746" s="163">
        <v>0</v>
      </c>
      <c r="AG746" s="163">
        <v>0</v>
      </c>
      <c r="AH746" s="163">
        <v>0</v>
      </c>
      <c r="AI746" s="163">
        <v>0</v>
      </c>
      <c r="AJ746" s="163">
        <v>0</v>
      </c>
      <c r="AK746" s="163">
        <v>0</v>
      </c>
      <c r="AL746" s="163">
        <v>0</v>
      </c>
      <c r="AM746" s="163">
        <v>0</v>
      </c>
      <c r="AN746" s="163">
        <v>0</v>
      </c>
      <c r="AO746" s="163">
        <v>0</v>
      </c>
      <c r="AP746" s="163">
        <v>0</v>
      </c>
      <c r="AQ746" s="163">
        <v>0</v>
      </c>
      <c r="AR746" s="163">
        <v>0</v>
      </c>
      <c r="AS746" s="163">
        <v>0</v>
      </c>
      <c r="AT746" s="163">
        <v>0</v>
      </c>
      <c r="AU746" s="163">
        <v>0</v>
      </c>
      <c r="AV746" s="313">
        <v>0</v>
      </c>
      <c r="AW746" s="315">
        <v>0</v>
      </c>
      <c r="AX746" s="315">
        <v>0</v>
      </c>
      <c r="AY746" s="313">
        <v>0</v>
      </c>
      <c r="AZ746" s="163">
        <v>0</v>
      </c>
      <c r="BA746" s="163">
        <v>0</v>
      </c>
      <c r="BB746" s="163">
        <v>0</v>
      </c>
      <c r="BC746" s="163">
        <v>0</v>
      </c>
      <c r="BD746" s="163">
        <v>0</v>
      </c>
      <c r="BE746" s="163">
        <v>0</v>
      </c>
      <c r="BF746" s="163">
        <v>0</v>
      </c>
      <c r="BG746" s="163">
        <v>0</v>
      </c>
      <c r="BH746" s="163">
        <v>0</v>
      </c>
      <c r="BI746" s="163">
        <v>0</v>
      </c>
      <c r="BJ746" s="163">
        <v>0</v>
      </c>
      <c r="BK746" s="163">
        <v>0</v>
      </c>
      <c r="BL746" s="62">
        <v>0</v>
      </c>
      <c r="BM746" s="275">
        <v>2</v>
      </c>
      <c r="BN746" s="62">
        <v>0</v>
      </c>
      <c r="BO746" s="33" t="s">
        <v>526</v>
      </c>
    </row>
    <row r="747" spans="1:67">
      <c r="A747" s="33" t="str">
        <f>Database_Productkaarten[[#This Row],[Product]]&amp;", "&amp;Database_Productkaarten[[#This Row],[Levensfase]]</f>
        <v>Open steenasfalt - PCR 2.0, B5</v>
      </c>
      <c r="B747" s="33" t="s">
        <v>545</v>
      </c>
      <c r="C747" s="33" t="s">
        <v>483</v>
      </c>
      <c r="D747" s="33" t="s">
        <v>546</v>
      </c>
      <c r="E747" s="33" t="s">
        <v>378</v>
      </c>
      <c r="F747" s="33" t="s">
        <v>528</v>
      </c>
      <c r="L747" s="33">
        <v>2</v>
      </c>
      <c r="M747" s="269">
        <v>1</v>
      </c>
      <c r="N747" s="211">
        <v>0</v>
      </c>
      <c r="O747" s="33">
        <v>30</v>
      </c>
      <c r="P747" s="163">
        <v>0</v>
      </c>
      <c r="Q747" s="163">
        <v>0</v>
      </c>
      <c r="R747" s="163">
        <v>0</v>
      </c>
      <c r="S747" s="163">
        <v>0</v>
      </c>
      <c r="T747" s="163">
        <v>0</v>
      </c>
      <c r="U747" s="163">
        <v>0</v>
      </c>
      <c r="V747" s="163">
        <v>0</v>
      </c>
      <c r="W747" s="163">
        <v>0</v>
      </c>
      <c r="X747" s="163">
        <v>0</v>
      </c>
      <c r="Y747" s="163">
        <v>0</v>
      </c>
      <c r="Z747" s="163">
        <v>0</v>
      </c>
      <c r="AA747" s="163">
        <v>0</v>
      </c>
      <c r="AB747" s="163">
        <v>0</v>
      </c>
      <c r="AC747" s="163">
        <v>0</v>
      </c>
      <c r="AD747" s="163">
        <v>0</v>
      </c>
      <c r="AE747" s="163">
        <v>0</v>
      </c>
      <c r="AF747" s="163">
        <v>0</v>
      </c>
      <c r="AG747" s="163">
        <v>0</v>
      </c>
      <c r="AH747" s="163">
        <v>0</v>
      </c>
      <c r="AI747" s="163">
        <v>0</v>
      </c>
      <c r="AJ747" s="163">
        <v>0</v>
      </c>
      <c r="AK747" s="163">
        <v>0</v>
      </c>
      <c r="AL747" s="163">
        <v>0</v>
      </c>
      <c r="AM747" s="163">
        <v>0</v>
      </c>
      <c r="AN747" s="163">
        <v>0</v>
      </c>
      <c r="AO747" s="163">
        <v>0</v>
      </c>
      <c r="AP747" s="163">
        <v>0</v>
      </c>
      <c r="AQ747" s="163">
        <v>0</v>
      </c>
      <c r="AR747" s="163">
        <v>0</v>
      </c>
      <c r="AS747" s="163">
        <v>0</v>
      </c>
      <c r="AT747" s="163">
        <v>0</v>
      </c>
      <c r="AU747" s="163">
        <v>0</v>
      </c>
      <c r="AV747" s="313">
        <v>0</v>
      </c>
      <c r="AW747" s="315">
        <v>0</v>
      </c>
      <c r="AX747" s="315">
        <v>0</v>
      </c>
      <c r="AY747" s="313">
        <v>0</v>
      </c>
      <c r="AZ747" s="163">
        <v>0</v>
      </c>
      <c r="BA747" s="163">
        <v>0</v>
      </c>
      <c r="BB747" s="163">
        <v>0</v>
      </c>
      <c r="BC747" s="163">
        <v>0</v>
      </c>
      <c r="BD747" s="163">
        <v>0</v>
      </c>
      <c r="BE747" s="163">
        <v>0</v>
      </c>
      <c r="BF747" s="163">
        <v>0</v>
      </c>
      <c r="BG747" s="163">
        <v>0</v>
      </c>
      <c r="BH747" s="163">
        <v>0</v>
      </c>
      <c r="BI747" s="163">
        <v>0</v>
      </c>
      <c r="BJ747" s="163">
        <v>0</v>
      </c>
      <c r="BK747" s="163">
        <v>0</v>
      </c>
      <c r="BL747" s="62">
        <v>0</v>
      </c>
      <c r="BM747" s="275">
        <v>2</v>
      </c>
      <c r="BN747" s="62">
        <v>0</v>
      </c>
      <c r="BO747" s="33" t="s">
        <v>526</v>
      </c>
    </row>
    <row r="748" spans="1:67">
      <c r="A748" s="33" t="str">
        <f>Database_Productkaarten[[#This Row],[Product]]&amp;", "&amp;Database_Productkaarten[[#This Row],[Levensfase]]</f>
        <v>Open steenasfalt - PCR 2.0, C1</v>
      </c>
      <c r="B748" s="33" t="s">
        <v>545</v>
      </c>
      <c r="C748" s="33" t="s">
        <v>483</v>
      </c>
      <c r="D748" s="33" t="s">
        <v>546</v>
      </c>
      <c r="E748" s="33" t="s">
        <v>378</v>
      </c>
      <c r="F748" s="33" t="s">
        <v>83</v>
      </c>
      <c r="L748" s="33">
        <v>2</v>
      </c>
      <c r="M748" s="269">
        <v>1</v>
      </c>
      <c r="N748" s="211">
        <v>8.3571103153452633E-2</v>
      </c>
      <c r="O748" s="33">
        <v>30</v>
      </c>
      <c r="P748" s="163">
        <v>1.0082135420139601E-6</v>
      </c>
      <c r="Q748" s="163">
        <v>4.2889203408764103E-3</v>
      </c>
      <c r="R748" s="163">
        <v>0.87225145374166402</v>
      </c>
      <c r="S748" s="163">
        <v>1.12716220201224E-7</v>
      </c>
      <c r="T748" s="163">
        <v>3.0228835038801201E-4</v>
      </c>
      <c r="U748" s="163">
        <v>2.71430842876138E-3</v>
      </c>
      <c r="V748" s="163">
        <v>5.9352348137367301E-4</v>
      </c>
      <c r="W748" s="163">
        <v>0.235317982377896</v>
      </c>
      <c r="X748" s="163">
        <v>3.34568254361219E-3</v>
      </c>
      <c r="Y748" s="163">
        <v>11.6247723212762</v>
      </c>
      <c r="Z748" s="163">
        <v>3.9620900708699599E-4</v>
      </c>
      <c r="AA748" s="163">
        <v>0.87795754643591795</v>
      </c>
      <c r="AB748" s="163">
        <v>0.87770559926909097</v>
      </c>
      <c r="AC748" s="163">
        <v>2.0067251963932199E-4</v>
      </c>
      <c r="AD748" s="163">
        <v>5.1274647188167198E-5</v>
      </c>
      <c r="AE748" s="163">
        <v>1.4202688927376401E-7</v>
      </c>
      <c r="AF748" s="163">
        <v>3.7132362401737801E-3</v>
      </c>
      <c r="AG748" s="163">
        <v>2.3955808023088498E-6</v>
      </c>
      <c r="AH748" s="163">
        <v>1.48850199244356E-3</v>
      </c>
      <c r="AI748" s="163">
        <v>1.6353700526041699E-2</v>
      </c>
      <c r="AJ748" s="163">
        <v>4.4232800045604197E-3</v>
      </c>
      <c r="AK748" s="163">
        <v>1.0082056304416699E-6</v>
      </c>
      <c r="AL748" s="163">
        <v>9.0493601460277606</v>
      </c>
      <c r="AM748" s="163">
        <v>1.2052269657270701E-2</v>
      </c>
      <c r="AN748" s="163">
        <v>1.4694996980682999E-8</v>
      </c>
      <c r="AO748" s="163">
        <v>3.8840694248957898E-2</v>
      </c>
      <c r="AP748" s="163">
        <v>5.42983657364059</v>
      </c>
      <c r="AQ748" s="163">
        <v>1.9050047528483999E-10</v>
      </c>
      <c r="AR748" s="163">
        <v>4.0542782219529099E-9</v>
      </c>
      <c r="AS748" s="163">
        <v>1.1558584855138301</v>
      </c>
      <c r="AT748" s="163">
        <v>0</v>
      </c>
      <c r="AU748" s="163">
        <v>0</v>
      </c>
      <c r="AV748" s="313">
        <v>4.9739779547009602E-2</v>
      </c>
      <c r="AW748" s="315">
        <v>0</v>
      </c>
      <c r="AX748" s="315">
        <v>0</v>
      </c>
      <c r="AY748" s="313">
        <v>9.6101342588848997</v>
      </c>
      <c r="AZ748" s="163">
        <v>0</v>
      </c>
      <c r="BA748" s="163">
        <v>0</v>
      </c>
      <c r="BB748" s="163">
        <v>0</v>
      </c>
      <c r="BC748" s="163">
        <v>4.67791925779088E-4</v>
      </c>
      <c r="BD748" s="163">
        <v>2.4643824180801299E-5</v>
      </c>
      <c r="BE748" s="163">
        <v>1.0707851800721899E-2</v>
      </c>
      <c r="BF748" s="163">
        <v>6.2893538642935995E-5</v>
      </c>
      <c r="BG748" s="163">
        <v>0</v>
      </c>
      <c r="BH748" s="163">
        <v>0</v>
      </c>
      <c r="BI748" s="163">
        <v>0</v>
      </c>
      <c r="BJ748" s="163">
        <v>0</v>
      </c>
      <c r="BK748" s="163">
        <v>0</v>
      </c>
      <c r="BL748" s="62">
        <v>0</v>
      </c>
      <c r="BM748" s="275">
        <v>2</v>
      </c>
      <c r="BN748" s="62">
        <v>0</v>
      </c>
      <c r="BO748" s="33" t="s">
        <v>526</v>
      </c>
    </row>
    <row r="749" spans="1:67">
      <c r="A749" s="33" t="str">
        <f>Database_Productkaarten[[#This Row],[Product]]&amp;", "&amp;Database_Productkaarten[[#This Row],[Levensfase]]</f>
        <v>Open steenasfalt - PCR 2.0, C2</v>
      </c>
      <c r="B749" s="33" t="s">
        <v>545</v>
      </c>
      <c r="C749" s="33" t="s">
        <v>483</v>
      </c>
      <c r="D749" s="33" t="s">
        <v>546</v>
      </c>
      <c r="E749" s="33" t="s">
        <v>378</v>
      </c>
      <c r="F749" s="33" t="s">
        <v>84</v>
      </c>
      <c r="L749" s="33">
        <v>2</v>
      </c>
      <c r="M749" s="269">
        <v>1</v>
      </c>
      <c r="N749" s="211">
        <v>0.35801078312874995</v>
      </c>
      <c r="O749" s="33">
        <v>30</v>
      </c>
      <c r="P749" s="163">
        <v>8.1301624999999996E-5</v>
      </c>
      <c r="Q749" s="163">
        <v>2.8204312499999998E-2</v>
      </c>
      <c r="R749" s="163">
        <v>3.6853721374999999</v>
      </c>
      <c r="S749" s="163">
        <v>7.0324562500000001E-7</v>
      </c>
      <c r="T749" s="163">
        <v>2.6647749999999999E-3</v>
      </c>
      <c r="U749" s="163">
        <v>1.116025E-2</v>
      </c>
      <c r="V749" s="163">
        <v>1.87016375E-3</v>
      </c>
      <c r="W749" s="163">
        <v>1.0029557</v>
      </c>
      <c r="X749" s="163">
        <v>3.9476962499999997E-2</v>
      </c>
      <c r="Y749" s="163">
        <v>104.371675</v>
      </c>
      <c r="Z749" s="163">
        <v>8.4311249999999994E-3</v>
      </c>
      <c r="AA749" s="163">
        <v>3.7331890125</v>
      </c>
      <c r="AB749" s="163">
        <v>3.7164208875</v>
      </c>
      <c r="AC749" s="163">
        <v>1.532341125E-2</v>
      </c>
      <c r="AD749" s="163">
        <v>1.44472E-3</v>
      </c>
      <c r="AE749" s="163">
        <v>8.79587125E-7</v>
      </c>
      <c r="AF749" s="163">
        <v>1.4056875E-2</v>
      </c>
      <c r="AG749" s="163">
        <v>3.9000600000000001E-5</v>
      </c>
      <c r="AH749" s="163">
        <v>3.2542037499999998E-3</v>
      </c>
      <c r="AI749" s="163">
        <v>3.7907725000000003E-2</v>
      </c>
      <c r="AJ749" s="163">
        <v>1.36244625E-2</v>
      </c>
      <c r="AK749" s="163">
        <v>8.1301250000000004E-5</v>
      </c>
      <c r="AL749" s="163">
        <v>58.905272875000001</v>
      </c>
      <c r="AM749" s="163">
        <v>0.3217441875</v>
      </c>
      <c r="AN749" s="163">
        <v>3.2144174999999999E-7</v>
      </c>
      <c r="AO749" s="163">
        <v>0.25122056250000002</v>
      </c>
      <c r="AP749" s="163">
        <v>56.998236249999998</v>
      </c>
      <c r="AQ749" s="163">
        <v>1.5226337500000001E-9</v>
      </c>
      <c r="AR749" s="163">
        <v>4.867285E-8</v>
      </c>
      <c r="AS749" s="163">
        <v>110.955825</v>
      </c>
      <c r="AT749" s="163">
        <v>9.0831365000000002</v>
      </c>
      <c r="AU749" s="163">
        <v>0</v>
      </c>
      <c r="AV749" s="313">
        <v>9.7931922999999994</v>
      </c>
      <c r="AW749" s="315">
        <v>0.79580531249999997</v>
      </c>
      <c r="AX749" s="315">
        <v>1.1178862500000001E-3</v>
      </c>
      <c r="AY749" s="313">
        <v>62.568930999999999</v>
      </c>
      <c r="AZ749" s="163">
        <v>0</v>
      </c>
      <c r="BA749" s="163">
        <v>0</v>
      </c>
      <c r="BB749" s="163">
        <v>0</v>
      </c>
      <c r="BC749" s="163">
        <v>9.8353875000000007E-3</v>
      </c>
      <c r="BD749" s="163">
        <v>1.7316162499999999E-4</v>
      </c>
      <c r="BE749" s="163">
        <v>6.2594438749999997</v>
      </c>
      <c r="BF749" s="163">
        <v>3.9263137500000002E-4</v>
      </c>
      <c r="BG749" s="163">
        <v>0</v>
      </c>
      <c r="BH749" s="163">
        <v>0</v>
      </c>
      <c r="BI749" s="163">
        <v>0</v>
      </c>
      <c r="BJ749" s="163">
        <v>0</v>
      </c>
      <c r="BK749" s="163">
        <v>0</v>
      </c>
      <c r="BL749" s="62">
        <v>0</v>
      </c>
      <c r="BM749" s="275">
        <v>2</v>
      </c>
      <c r="BN749" s="62">
        <v>0</v>
      </c>
      <c r="BO749" s="33" t="s">
        <v>526</v>
      </c>
    </row>
    <row r="750" spans="1:67">
      <c r="A750" s="33" t="str">
        <f>Database_Productkaarten[[#This Row],[Product]]&amp;", "&amp;Database_Productkaarten[[#This Row],[Levensfase]]</f>
        <v>Open steenasfalt - PCR 2.0, C3</v>
      </c>
      <c r="B750" s="33" t="s">
        <v>545</v>
      </c>
      <c r="C750" s="33" t="s">
        <v>483</v>
      </c>
      <c r="D750" s="33" t="s">
        <v>546</v>
      </c>
      <c r="E750" s="33" t="s">
        <v>378</v>
      </c>
      <c r="F750" s="33" t="s">
        <v>85</v>
      </c>
      <c r="L750" s="33">
        <v>2</v>
      </c>
      <c r="M750" s="269">
        <v>1</v>
      </c>
      <c r="N750" s="211">
        <v>0</v>
      </c>
      <c r="O750" s="33">
        <v>30</v>
      </c>
      <c r="P750" s="163">
        <v>0</v>
      </c>
      <c r="Q750" s="163">
        <v>0</v>
      </c>
      <c r="R750" s="163">
        <v>0</v>
      </c>
      <c r="S750" s="163">
        <v>0</v>
      </c>
      <c r="T750" s="163">
        <v>0</v>
      </c>
      <c r="U750" s="163">
        <v>0</v>
      </c>
      <c r="V750" s="163">
        <v>0</v>
      </c>
      <c r="W750" s="163">
        <v>0</v>
      </c>
      <c r="X750" s="163">
        <v>0</v>
      </c>
      <c r="Y750" s="163">
        <v>0</v>
      </c>
      <c r="Z750" s="163">
        <v>0</v>
      </c>
      <c r="AA750" s="163">
        <v>0</v>
      </c>
      <c r="AB750" s="163">
        <v>0</v>
      </c>
      <c r="AC750" s="163">
        <v>0</v>
      </c>
      <c r="AD750" s="163">
        <v>0</v>
      </c>
      <c r="AE750" s="163">
        <v>0</v>
      </c>
      <c r="AF750" s="163">
        <v>0</v>
      </c>
      <c r="AG750" s="163">
        <v>0</v>
      </c>
      <c r="AH750" s="163">
        <v>0</v>
      </c>
      <c r="AI750" s="163">
        <v>0</v>
      </c>
      <c r="AJ750" s="163">
        <v>0</v>
      </c>
      <c r="AK750" s="163">
        <v>0</v>
      </c>
      <c r="AL750" s="163">
        <v>0</v>
      </c>
      <c r="AM750" s="163">
        <v>0</v>
      </c>
      <c r="AN750" s="163">
        <v>0</v>
      </c>
      <c r="AO750" s="163">
        <v>0</v>
      </c>
      <c r="AP750" s="163">
        <v>0</v>
      </c>
      <c r="AQ750" s="163">
        <v>0</v>
      </c>
      <c r="AR750" s="163">
        <v>0</v>
      </c>
      <c r="AS750" s="163">
        <v>0</v>
      </c>
      <c r="AT750" s="163">
        <v>0</v>
      </c>
      <c r="AU750" s="163">
        <v>0</v>
      </c>
      <c r="AV750" s="313">
        <v>0</v>
      </c>
      <c r="AW750" s="315">
        <v>0</v>
      </c>
      <c r="AX750" s="315">
        <v>0</v>
      </c>
      <c r="AY750" s="313">
        <v>0</v>
      </c>
      <c r="AZ750" s="163">
        <v>0</v>
      </c>
      <c r="BA750" s="163">
        <v>0</v>
      </c>
      <c r="BB750" s="163">
        <v>0</v>
      </c>
      <c r="BC750" s="163">
        <v>0</v>
      </c>
      <c r="BD750" s="163">
        <v>0</v>
      </c>
      <c r="BE750" s="163">
        <v>0</v>
      </c>
      <c r="BF750" s="163">
        <v>0</v>
      </c>
      <c r="BG750" s="163">
        <v>0</v>
      </c>
      <c r="BH750" s="163">
        <v>0</v>
      </c>
      <c r="BI750" s="163">
        <v>0</v>
      </c>
      <c r="BJ750" s="163">
        <v>0</v>
      </c>
      <c r="BK750" s="163">
        <v>0</v>
      </c>
      <c r="BL750" s="62">
        <v>0</v>
      </c>
      <c r="BM750" s="275">
        <v>2</v>
      </c>
      <c r="BN750" s="62">
        <v>0</v>
      </c>
      <c r="BO750" s="33" t="s">
        <v>526</v>
      </c>
    </row>
    <row r="751" spans="1:67">
      <c r="A751" s="33" t="str">
        <f>Database_Productkaarten[[#This Row],[Product]]&amp;", "&amp;Database_Productkaarten[[#This Row],[Levensfase]]</f>
        <v>Open steenasfalt - PCR 2.0, C4</v>
      </c>
      <c r="B751" s="33" t="s">
        <v>545</v>
      </c>
      <c r="C751" s="33" t="s">
        <v>483</v>
      </c>
      <c r="D751" s="33" t="s">
        <v>546</v>
      </c>
      <c r="E751" s="33" t="s">
        <v>378</v>
      </c>
      <c r="F751" s="33" t="s">
        <v>86</v>
      </c>
      <c r="L751" s="33">
        <v>2</v>
      </c>
      <c r="M751" s="269">
        <v>1</v>
      </c>
      <c r="N751" s="211">
        <v>0.7296141746500171</v>
      </c>
      <c r="O751" s="33">
        <v>30</v>
      </c>
      <c r="P751" s="163">
        <v>4.8191034131105399E-5</v>
      </c>
      <c r="Q751" s="163">
        <v>7.0392419153822203E-2</v>
      </c>
      <c r="R751" s="163">
        <v>5.1682147630547304</v>
      </c>
      <c r="S751" s="163">
        <v>1.72133808732801E-6</v>
      </c>
      <c r="T751" s="163">
        <v>5.50516721002073E-3</v>
      </c>
      <c r="U751" s="163">
        <v>3.7795111552073699E-2</v>
      </c>
      <c r="V751" s="163">
        <v>7.2906223931785696E-3</v>
      </c>
      <c r="W751" s="163">
        <v>2.33599012231016</v>
      </c>
      <c r="X751" s="163">
        <v>5.5438446349023597E-2</v>
      </c>
      <c r="Y751" s="163">
        <v>198.2062629724</v>
      </c>
      <c r="Z751" s="163">
        <v>5.8670977003276803E-3</v>
      </c>
      <c r="AA751" s="163">
        <v>5.2774322520106196</v>
      </c>
      <c r="AB751" s="163">
        <v>5.2655222871368297</v>
      </c>
      <c r="AC751" s="163">
        <v>1.04420704841626E-2</v>
      </c>
      <c r="AD751" s="163">
        <v>1.4678943896201801E-3</v>
      </c>
      <c r="AE751" s="163">
        <v>2.1684935582940401E-6</v>
      </c>
      <c r="AF751" s="163">
        <v>4.9990692053720302E-2</v>
      </c>
      <c r="AG751" s="163">
        <v>5.9023121381438599E-5</v>
      </c>
      <c r="AH751" s="163">
        <v>1.71925473667464E-2</v>
      </c>
      <c r="AI751" s="163">
        <v>0.189559719597925</v>
      </c>
      <c r="AJ751" s="163">
        <v>5.5061349845082097E-2</v>
      </c>
      <c r="AK751" s="163">
        <v>4.8190634932919702E-5</v>
      </c>
      <c r="AL751" s="163">
        <v>147.217235291848</v>
      </c>
      <c r="AM751" s="163">
        <v>6.5991208231461096</v>
      </c>
      <c r="AN751" s="163">
        <v>9.6986339733199702E-7</v>
      </c>
      <c r="AO751" s="163">
        <v>0.60391960399846001</v>
      </c>
      <c r="AP751" s="163">
        <v>95.499347823959994</v>
      </c>
      <c r="AQ751" s="163">
        <v>2.20757521305483E-9</v>
      </c>
      <c r="AR751" s="163">
        <v>6.7894331496460696E-8</v>
      </c>
      <c r="AS751" s="163">
        <v>308.74374267222203</v>
      </c>
      <c r="AT751" s="163">
        <v>0</v>
      </c>
      <c r="AU751" s="163">
        <v>0</v>
      </c>
      <c r="AV751" s="313">
        <v>1.1902980485677299</v>
      </c>
      <c r="AW751" s="315">
        <v>0</v>
      </c>
      <c r="AX751" s="315">
        <v>0</v>
      </c>
      <c r="AY751" s="313">
        <v>156.37620338061299</v>
      </c>
      <c r="AZ751" s="163">
        <v>0</v>
      </c>
      <c r="BA751" s="163">
        <v>0</v>
      </c>
      <c r="BB751" s="163">
        <v>0</v>
      </c>
      <c r="BC751" s="163">
        <v>0.15723153067207801</v>
      </c>
      <c r="BD751" s="163">
        <v>2.1998950042333799E-4</v>
      </c>
      <c r="BE751" s="163">
        <v>999.69461551998995</v>
      </c>
      <c r="BF751" s="163">
        <v>9.6680517495675801E-4</v>
      </c>
      <c r="BG751" s="163">
        <v>0</v>
      </c>
      <c r="BH751" s="163">
        <v>0</v>
      </c>
      <c r="BI751" s="163">
        <v>0</v>
      </c>
      <c r="BJ751" s="163">
        <v>0</v>
      </c>
      <c r="BK751" s="163">
        <v>0</v>
      </c>
      <c r="BL751" s="62">
        <v>0</v>
      </c>
      <c r="BM751" s="275">
        <v>2</v>
      </c>
      <c r="BN751" s="62">
        <v>0</v>
      </c>
      <c r="BO751" s="33" t="s">
        <v>526</v>
      </c>
    </row>
    <row r="752" spans="1:67">
      <c r="A752" s="33" t="str">
        <f>Database_Productkaarten[[#This Row],[Product]]&amp;", "&amp;Database_Productkaarten[[#This Row],[Levensfase]]</f>
        <v>Open steenasfalt - PCR 2.0, D</v>
      </c>
      <c r="B752" s="33" t="s">
        <v>545</v>
      </c>
      <c r="C752" s="33" t="s">
        <v>483</v>
      </c>
      <c r="D752" s="33" t="s">
        <v>546</v>
      </c>
      <c r="E752" s="33" t="s">
        <v>378</v>
      </c>
      <c r="F752" s="33" t="s">
        <v>89</v>
      </c>
      <c r="L752" s="33">
        <v>2</v>
      </c>
      <c r="M752" s="269">
        <v>1</v>
      </c>
      <c r="N752" s="211">
        <v>0</v>
      </c>
      <c r="O752" s="33">
        <v>30</v>
      </c>
      <c r="P752" s="163">
        <v>0</v>
      </c>
      <c r="Q752" s="163">
        <v>0</v>
      </c>
      <c r="R752" s="163">
        <v>0</v>
      </c>
      <c r="S752" s="163">
        <v>0</v>
      </c>
      <c r="T752" s="163">
        <v>0</v>
      </c>
      <c r="U752" s="163">
        <v>0</v>
      </c>
      <c r="V752" s="163">
        <v>0</v>
      </c>
      <c r="W752" s="163">
        <v>0</v>
      </c>
      <c r="X752" s="163">
        <v>0</v>
      </c>
      <c r="Y752" s="163">
        <v>0</v>
      </c>
      <c r="Z752" s="163">
        <v>0</v>
      </c>
      <c r="AA752" s="163">
        <v>0</v>
      </c>
      <c r="AB752" s="163">
        <v>0</v>
      </c>
      <c r="AC752" s="163">
        <v>0</v>
      </c>
      <c r="AD752" s="163">
        <v>0</v>
      </c>
      <c r="AE752" s="163">
        <v>0</v>
      </c>
      <c r="AF752" s="163">
        <v>0</v>
      </c>
      <c r="AG752" s="163">
        <v>0</v>
      </c>
      <c r="AH752" s="163">
        <v>0</v>
      </c>
      <c r="AI752" s="163">
        <v>0</v>
      </c>
      <c r="AJ752" s="163">
        <v>0</v>
      </c>
      <c r="AK752" s="163">
        <v>0</v>
      </c>
      <c r="AL752" s="163">
        <v>0</v>
      </c>
      <c r="AM752" s="163">
        <v>0</v>
      </c>
      <c r="AN752" s="163">
        <v>0</v>
      </c>
      <c r="AO752" s="163">
        <v>0</v>
      </c>
      <c r="AP752" s="163">
        <v>0</v>
      </c>
      <c r="AQ752" s="163">
        <v>0</v>
      </c>
      <c r="AR752" s="163">
        <v>0</v>
      </c>
      <c r="AS752" s="163">
        <v>0</v>
      </c>
      <c r="AT752" s="163">
        <v>0</v>
      </c>
      <c r="AU752" s="163">
        <v>0</v>
      </c>
      <c r="AV752" s="313">
        <v>0</v>
      </c>
      <c r="AW752" s="315">
        <v>0</v>
      </c>
      <c r="AX752" s="315">
        <v>0</v>
      </c>
      <c r="AY752" s="313">
        <v>0</v>
      </c>
      <c r="AZ752" s="163">
        <v>0</v>
      </c>
      <c r="BA752" s="163">
        <v>0</v>
      </c>
      <c r="BB752" s="163">
        <v>0</v>
      </c>
      <c r="BC752" s="163">
        <v>0</v>
      </c>
      <c r="BD752" s="163">
        <v>0</v>
      </c>
      <c r="BE752" s="163">
        <v>0</v>
      </c>
      <c r="BF752" s="163">
        <v>0</v>
      </c>
      <c r="BG752" s="163">
        <v>0</v>
      </c>
      <c r="BH752" s="163">
        <v>0</v>
      </c>
      <c r="BI752" s="163">
        <v>0</v>
      </c>
      <c r="BJ752" s="163">
        <v>0</v>
      </c>
      <c r="BK752" s="163">
        <v>0</v>
      </c>
      <c r="BL752" s="62">
        <v>0</v>
      </c>
      <c r="BM752" s="275">
        <v>2</v>
      </c>
      <c r="BN752" s="62">
        <v>0</v>
      </c>
      <c r="BO752" s="33" t="s">
        <v>526</v>
      </c>
    </row>
    <row r="753" spans="1:67">
      <c r="A753" s="33" t="str">
        <f>Database_Productkaarten[[#This Row],[Product]]&amp;", "&amp;Database_Productkaarten[[#This Row],[Levensfase]]</f>
        <v>WB gietasfalt  - PCR 2.0, Totaal</v>
      </c>
      <c r="B753" s="33" t="s">
        <v>547</v>
      </c>
      <c r="C753" s="33" t="s">
        <v>483</v>
      </c>
      <c r="D753" s="33" t="s">
        <v>510</v>
      </c>
      <c r="E753" s="33" t="s">
        <v>378</v>
      </c>
      <c r="F753" s="33" t="s">
        <v>90</v>
      </c>
      <c r="L753" s="33">
        <v>2.1</v>
      </c>
      <c r="M753" s="269">
        <v>1</v>
      </c>
      <c r="N753" s="41">
        <f>SUM(N754:N769)</f>
        <v>35.065090452111306</v>
      </c>
      <c r="O753" s="33">
        <v>75</v>
      </c>
      <c r="P753" s="40">
        <f>SUM(P754:P769)</f>
        <v>2.0420864405898609E-3</v>
      </c>
      <c r="Q753" s="40">
        <f t="shared" ref="Q753:BK753" si="85">SUM(Q754:Q769)</f>
        <v>5.5841650677889225</v>
      </c>
      <c r="R753" s="40">
        <f t="shared" si="85"/>
        <v>295.31022259143953</v>
      </c>
      <c r="S753" s="40">
        <f t="shared" si="85"/>
        <v>3.1124721901300933E-5</v>
      </c>
      <c r="T753" s="40">
        <f t="shared" si="85"/>
        <v>0.54679782282332456</v>
      </c>
      <c r="U753" s="40">
        <f t="shared" si="85"/>
        <v>1.6540991567409609</v>
      </c>
      <c r="V753" s="40">
        <f t="shared" si="85"/>
        <v>0.17723919526128182</v>
      </c>
      <c r="W753" s="40">
        <f t="shared" si="85"/>
        <v>70.34921227139229</v>
      </c>
      <c r="X753" s="40">
        <f t="shared" si="85"/>
        <v>8.0012557924748755</v>
      </c>
      <c r="Y753" s="40">
        <f t="shared" si="85"/>
        <v>34637.722496977338</v>
      </c>
      <c r="Z753" s="40">
        <f t="shared" si="85"/>
        <v>1.0744729724375539</v>
      </c>
      <c r="AA753" s="40">
        <f t="shared" si="85"/>
        <v>309.95221616453375</v>
      </c>
      <c r="AB753" s="40">
        <f t="shared" si="85"/>
        <v>309.2577182919573</v>
      </c>
      <c r="AC753" s="40">
        <f t="shared" si="85"/>
        <v>0.6426477442035603</v>
      </c>
      <c r="AD753" s="40">
        <f t="shared" si="85"/>
        <v>0.1774500726230851</v>
      </c>
      <c r="AE753" s="40">
        <f t="shared" si="85"/>
        <v>3.7904445300192209E-5</v>
      </c>
      <c r="AF753" s="40">
        <f t="shared" si="85"/>
        <v>2.0000338241658677</v>
      </c>
      <c r="AG753" s="40">
        <f t="shared" si="85"/>
        <v>3.7891646385324234E-3</v>
      </c>
      <c r="AH753" s="40">
        <f t="shared" si="85"/>
        <v>0.39937867035085883</v>
      </c>
      <c r="AI753" s="40">
        <f t="shared" si="85"/>
        <v>4.1316324689255017</v>
      </c>
      <c r="AJ753" s="40">
        <f t="shared" si="85"/>
        <v>2.057484962178536</v>
      </c>
      <c r="AK753" s="40">
        <f t="shared" si="85"/>
        <v>2.0418651703002512E-3</v>
      </c>
      <c r="AL753" s="40">
        <f t="shared" si="85"/>
        <v>11714.316753017258</v>
      </c>
      <c r="AM753" s="40">
        <f t="shared" si="85"/>
        <v>211.17893217532668</v>
      </c>
      <c r="AN753" s="40">
        <f t="shared" si="85"/>
        <v>1.0675853392375072E-5</v>
      </c>
      <c r="AO753" s="40">
        <f t="shared" si="85"/>
        <v>9.5579923149096846</v>
      </c>
      <c r="AP753" s="40">
        <f t="shared" si="85"/>
        <v>13107.859428074278</v>
      </c>
      <c r="AQ753" s="40">
        <f t="shared" si="85"/>
        <v>8.5091616298614334E-8</v>
      </c>
      <c r="AR753" s="40">
        <f t="shared" si="85"/>
        <v>3.3827707413547947E-6</v>
      </c>
      <c r="AS753" s="40">
        <f t="shared" si="85"/>
        <v>2598.6903165224362</v>
      </c>
      <c r="AT753" s="40">
        <f t="shared" si="85"/>
        <v>9.0831365000000002</v>
      </c>
      <c r="AU753" s="40">
        <f t="shared" si="85"/>
        <v>0</v>
      </c>
      <c r="AV753" s="313">
        <f t="shared" si="85"/>
        <v>102.57553399434987</v>
      </c>
      <c r="AW753" s="317">
        <f t="shared" si="85"/>
        <v>0.79580531249999997</v>
      </c>
      <c r="AX753" s="317">
        <f t="shared" si="85"/>
        <v>1.1178862500000001E-3</v>
      </c>
      <c r="AY753" s="313">
        <f t="shared" si="85"/>
        <v>12491.525632641467</v>
      </c>
      <c r="AZ753" s="40">
        <f t="shared" si="85"/>
        <v>0</v>
      </c>
      <c r="BA753" s="40">
        <f t="shared" si="85"/>
        <v>0</v>
      </c>
      <c r="BB753" s="40">
        <f t="shared" si="85"/>
        <v>0</v>
      </c>
      <c r="BC753" s="40">
        <f t="shared" si="85"/>
        <v>5.11205836045984</v>
      </c>
      <c r="BD753" s="40">
        <f t="shared" si="85"/>
        <v>7.1562917754071998E-3</v>
      </c>
      <c r="BE753" s="40">
        <f t="shared" si="85"/>
        <v>1050.4435120407982</v>
      </c>
      <c r="BF753" s="40">
        <f t="shared" si="85"/>
        <v>1.022805049776024E-2</v>
      </c>
      <c r="BG753" s="40">
        <f t="shared" si="85"/>
        <v>0</v>
      </c>
      <c r="BH753" s="40">
        <f t="shared" si="85"/>
        <v>0</v>
      </c>
      <c r="BI753" s="40">
        <f t="shared" si="85"/>
        <v>0</v>
      </c>
      <c r="BJ753" s="40">
        <f t="shared" si="85"/>
        <v>0</v>
      </c>
      <c r="BK753" s="40">
        <f t="shared" si="85"/>
        <v>0</v>
      </c>
      <c r="BL753" s="62">
        <v>0</v>
      </c>
      <c r="BM753" s="275">
        <v>2</v>
      </c>
      <c r="BN753" s="62">
        <v>0</v>
      </c>
      <c r="BO753" s="33" t="s">
        <v>526</v>
      </c>
    </row>
    <row r="754" spans="1:67">
      <c r="A754" s="33" t="str">
        <f>Database_Productkaarten[[#This Row],[Product]]&amp;", "&amp;Database_Productkaarten[[#This Row],[Levensfase]]</f>
        <v>WB gietasfalt  - PCR 2.0, A1</v>
      </c>
      <c r="B754" s="33" t="s">
        <v>547</v>
      </c>
      <c r="C754" s="33" t="s">
        <v>483</v>
      </c>
      <c r="D754" s="33" t="s">
        <v>510</v>
      </c>
      <c r="E754" s="33" t="s">
        <v>378</v>
      </c>
      <c r="F754" s="33" t="s">
        <v>74</v>
      </c>
      <c r="L754" s="33">
        <v>2.1</v>
      </c>
      <c r="M754" s="269">
        <v>1</v>
      </c>
      <c r="N754" s="211">
        <v>11.908780898320451</v>
      </c>
      <c r="O754" s="33">
        <v>75</v>
      </c>
      <c r="P754" s="163">
        <v>5.2166946753379596E-4</v>
      </c>
      <c r="Q754" s="163">
        <v>2.3411693979450301</v>
      </c>
      <c r="R754" s="163">
        <v>89.544423967799901</v>
      </c>
      <c r="S754" s="163">
        <v>7.0107226350406403E-6</v>
      </c>
      <c r="T754" s="163">
        <v>0.24835768562881799</v>
      </c>
      <c r="U754" s="163">
        <v>0.61724086288304703</v>
      </c>
      <c r="V754" s="163">
        <v>4.5465677027945503E-2</v>
      </c>
      <c r="W754" s="163">
        <v>21.374557783325699</v>
      </c>
      <c r="X754" s="163">
        <v>3.6856776367744302</v>
      </c>
      <c r="Y754" s="163">
        <v>16198.6159962232</v>
      </c>
      <c r="Z754" s="163">
        <v>0.461112703319907</v>
      </c>
      <c r="AA754" s="163">
        <v>96.103059787107696</v>
      </c>
      <c r="AB754" s="163">
        <v>95.904829859276305</v>
      </c>
      <c r="AC754" s="163">
        <v>0.20733724320212901</v>
      </c>
      <c r="AD754" s="163">
        <v>5.3692684629284997E-2</v>
      </c>
      <c r="AE754" s="163">
        <v>8.5953826509320093E-6</v>
      </c>
      <c r="AF754" s="163">
        <v>0.71630528101095403</v>
      </c>
      <c r="AG754" s="163">
        <v>1.1914950357549299E-3</v>
      </c>
      <c r="AH754" s="163">
        <v>9.3281601005396203E-2</v>
      </c>
      <c r="AI754" s="163">
        <v>0.889249119201314</v>
      </c>
      <c r="AJ754" s="163">
        <v>0.70638982344355705</v>
      </c>
      <c r="AK754" s="163">
        <v>5.21567628501464E-4</v>
      </c>
      <c r="AL754" s="163">
        <v>4969.6785913917902</v>
      </c>
      <c r="AM754" s="163">
        <v>99.832091236748496</v>
      </c>
      <c r="AN754" s="163">
        <v>3.0298814086250302E-6</v>
      </c>
      <c r="AO754" s="163">
        <v>2.3197749879983598</v>
      </c>
      <c r="AP754" s="163">
        <v>6041.0146449908298</v>
      </c>
      <c r="AQ754" s="163">
        <v>2.5263076184341501E-8</v>
      </c>
      <c r="AR754" s="163">
        <v>1.2858934715442599E-6</v>
      </c>
      <c r="AS754" s="163">
        <v>726.31701157115594</v>
      </c>
      <c r="AT754" s="163">
        <v>0</v>
      </c>
      <c r="AU754" s="163">
        <v>0</v>
      </c>
      <c r="AV754" s="313">
        <v>29.874785257088</v>
      </c>
      <c r="AW754" s="315">
        <v>0</v>
      </c>
      <c r="AX754" s="315">
        <v>0</v>
      </c>
      <c r="AY754" s="313">
        <v>5288.6217071309302</v>
      </c>
      <c r="AZ754" s="163">
        <v>0</v>
      </c>
      <c r="BA754" s="163">
        <v>0</v>
      </c>
      <c r="BB754" s="163">
        <v>0</v>
      </c>
      <c r="BC754" s="163">
        <v>2.36004536143628</v>
      </c>
      <c r="BD754" s="163">
        <v>1.8976049668550799E-3</v>
      </c>
      <c r="BE754" s="163">
        <v>5.9923649858067396</v>
      </c>
      <c r="BF754" s="163">
        <v>1.40262359633414E-3</v>
      </c>
      <c r="BG754" s="163">
        <v>0</v>
      </c>
      <c r="BH754" s="163">
        <v>0</v>
      </c>
      <c r="BI754" s="163">
        <v>0</v>
      </c>
      <c r="BJ754" s="163">
        <v>0</v>
      </c>
      <c r="BK754" s="163">
        <v>0</v>
      </c>
      <c r="BL754" s="62">
        <v>0</v>
      </c>
      <c r="BM754" s="275">
        <v>2</v>
      </c>
      <c r="BN754" s="62">
        <v>0</v>
      </c>
      <c r="BO754" s="33" t="s">
        <v>526</v>
      </c>
    </row>
    <row r="755" spans="1:67">
      <c r="A755" s="33" t="str">
        <f>Database_Productkaarten[[#This Row],[Product]]&amp;", "&amp;Database_Productkaarten[[#This Row],[Levensfase]]</f>
        <v>WB gietasfalt  - PCR 2.0, A2</v>
      </c>
      <c r="B755" s="33" t="s">
        <v>547</v>
      </c>
      <c r="C755" s="33" t="s">
        <v>483</v>
      </c>
      <c r="D755" s="33" t="s">
        <v>510</v>
      </c>
      <c r="E755" s="33" t="s">
        <v>378</v>
      </c>
      <c r="F755" s="33" t="s">
        <v>75</v>
      </c>
      <c r="L755" s="33">
        <v>2.1</v>
      </c>
      <c r="M755" s="269">
        <v>1</v>
      </c>
      <c r="N755" s="211">
        <v>2.622906616410102</v>
      </c>
      <c r="O755" s="33">
        <v>75</v>
      </c>
      <c r="P755" s="163">
        <v>3.0811443689878599E-4</v>
      </c>
      <c r="Q755" s="163">
        <v>0.14403695629957999</v>
      </c>
      <c r="R755" s="163">
        <v>21.910421481789399</v>
      </c>
      <c r="S755" s="163">
        <v>3.40066242944456E-6</v>
      </c>
      <c r="T755" s="163">
        <v>1.29994590657576E-2</v>
      </c>
      <c r="U755" s="163">
        <v>0.135659168852132</v>
      </c>
      <c r="V755" s="163">
        <v>2.9457434938549201E-2</v>
      </c>
      <c r="W755" s="163">
        <v>6.6893816553582797</v>
      </c>
      <c r="X755" s="163">
        <v>0.18072501963621199</v>
      </c>
      <c r="Y755" s="163">
        <v>612.68341774019905</v>
      </c>
      <c r="Z755" s="163">
        <v>2.83560299595704E-2</v>
      </c>
      <c r="AA755" s="163">
        <v>22.150833796618699</v>
      </c>
      <c r="AB755" s="163">
        <v>22.094283431738901</v>
      </c>
      <c r="AC755" s="163">
        <v>2.6915343113911399E-2</v>
      </c>
      <c r="AD755" s="163">
        <v>2.96350217658309E-2</v>
      </c>
      <c r="AE755" s="163">
        <v>4.2397976606989598E-6</v>
      </c>
      <c r="AF755" s="163">
        <v>0.187239653521552</v>
      </c>
      <c r="AG755" s="163">
        <v>2.50873831671193E-4</v>
      </c>
      <c r="AH755" s="163">
        <v>7.6821994347517103E-2</v>
      </c>
      <c r="AI755" s="163">
        <v>0.84581960362477304</v>
      </c>
      <c r="AJ755" s="163">
        <v>0.22289464332169701</v>
      </c>
      <c r="AK755" s="163">
        <v>3.0810659033461398E-4</v>
      </c>
      <c r="AL755" s="163">
        <v>298.37580847624201</v>
      </c>
      <c r="AM755" s="163">
        <v>1.27483852612181</v>
      </c>
      <c r="AN755" s="163">
        <v>1.0192409984907601E-6</v>
      </c>
      <c r="AO755" s="163">
        <v>1.2769773580942401</v>
      </c>
      <c r="AP755" s="163">
        <v>264.63116508357803</v>
      </c>
      <c r="AQ755" s="163">
        <v>1.0190448313151999E-8</v>
      </c>
      <c r="AR755" s="163">
        <v>2.2371487311405601E-7</v>
      </c>
      <c r="AS755" s="163">
        <v>240.099926874803</v>
      </c>
      <c r="AT755" s="163">
        <v>0</v>
      </c>
      <c r="AU755" s="163">
        <v>0</v>
      </c>
      <c r="AV755" s="313">
        <v>5.7394575525544997</v>
      </c>
      <c r="AW755" s="315">
        <v>0</v>
      </c>
      <c r="AX755" s="315">
        <v>0</v>
      </c>
      <c r="AY755" s="313">
        <v>316.69174969631899</v>
      </c>
      <c r="AZ755" s="163">
        <v>0</v>
      </c>
      <c r="BA755" s="163">
        <v>0</v>
      </c>
      <c r="BB755" s="163">
        <v>0</v>
      </c>
      <c r="BC755" s="163">
        <v>4.8977217350469601E-2</v>
      </c>
      <c r="BD755" s="163">
        <v>7.69193004704606E-4</v>
      </c>
      <c r="BE755" s="163">
        <v>8.2658726822090607</v>
      </c>
      <c r="BF755" s="163">
        <v>1.94363956292854E-3</v>
      </c>
      <c r="BG755" s="163">
        <v>0</v>
      </c>
      <c r="BH755" s="163">
        <v>0</v>
      </c>
      <c r="BI755" s="163">
        <v>0</v>
      </c>
      <c r="BJ755" s="163">
        <v>0</v>
      </c>
      <c r="BK755" s="163">
        <v>0</v>
      </c>
      <c r="BL755" s="62">
        <v>0</v>
      </c>
      <c r="BM755" s="275">
        <v>2</v>
      </c>
      <c r="BN755" s="62">
        <v>0</v>
      </c>
      <c r="BO755" s="33" t="s">
        <v>526</v>
      </c>
    </row>
    <row r="756" spans="1:67">
      <c r="A756" s="33" t="str">
        <f>Database_Productkaarten[[#This Row],[Product]]&amp;", "&amp;Database_Productkaarten[[#This Row],[Levensfase]]</f>
        <v>WB gietasfalt  - PCR 2.0, A3</v>
      </c>
      <c r="B756" s="33" t="s">
        <v>547</v>
      </c>
      <c r="C756" s="33" t="s">
        <v>483</v>
      </c>
      <c r="D756" s="33" t="s">
        <v>510</v>
      </c>
      <c r="E756" s="33" t="s">
        <v>378</v>
      </c>
      <c r="F756" s="33" t="s">
        <v>76</v>
      </c>
      <c r="L756" s="33">
        <v>2.1</v>
      </c>
      <c r="M756" s="269">
        <v>1</v>
      </c>
      <c r="N756" s="211">
        <v>1.7747558090378694</v>
      </c>
      <c r="O756" s="33">
        <v>75</v>
      </c>
      <c r="P756" s="163">
        <v>2.9048667598271299E-5</v>
      </c>
      <c r="Q756" s="163">
        <v>0.20857983472640701</v>
      </c>
      <c r="R756" s="163">
        <v>24.6766011993052</v>
      </c>
      <c r="S756" s="163">
        <v>2.6861441446491199E-6</v>
      </c>
      <c r="T756" s="163">
        <v>3.9684002488973198E-3</v>
      </c>
      <c r="U756" s="163">
        <v>2.5875240108932201E-2</v>
      </c>
      <c r="V756" s="163">
        <v>4.4911744501529996E-3</v>
      </c>
      <c r="W756" s="163">
        <v>3.7806878928549299</v>
      </c>
      <c r="X756" s="163">
        <v>3.03770433644539E-2</v>
      </c>
      <c r="Y756" s="163">
        <v>124.558491476093</v>
      </c>
      <c r="Z756" s="163">
        <v>3.3005693580701802E-2</v>
      </c>
      <c r="AA756" s="163">
        <v>25.058672459022301</v>
      </c>
      <c r="AB756" s="163">
        <v>24.985150539924099</v>
      </c>
      <c r="AC756" s="163">
        <v>7.1070459909289604E-2</v>
      </c>
      <c r="AD756" s="163">
        <v>2.4514591890372698E-3</v>
      </c>
      <c r="AE756" s="163">
        <v>3.01820984058903E-6</v>
      </c>
      <c r="AF756" s="163">
        <v>3.31785506032636E-2</v>
      </c>
      <c r="AG756" s="163">
        <v>3.6013086074532903E-4</v>
      </c>
      <c r="AH756" s="163">
        <v>9.0096387273666898E-3</v>
      </c>
      <c r="AI756" s="163">
        <v>0.102676589417128</v>
      </c>
      <c r="AJ756" s="163">
        <v>3.05136431434921E-2</v>
      </c>
      <c r="AK756" s="163">
        <v>2.9048273994314799E-5</v>
      </c>
      <c r="AL756" s="163">
        <v>383.07008065162398</v>
      </c>
      <c r="AM756" s="163">
        <v>0.70364391756975098</v>
      </c>
      <c r="AN756" s="163">
        <v>2.07748460689554E-7</v>
      </c>
      <c r="AO756" s="163">
        <v>0.31151197767733602</v>
      </c>
      <c r="AP756" s="163">
        <v>98.904831609606802</v>
      </c>
      <c r="AQ756" s="163">
        <v>3.26003975001834E-9</v>
      </c>
      <c r="AR756" s="163">
        <v>6.2370647059876296E-8</v>
      </c>
      <c r="AS756" s="163">
        <v>20.784864579498901</v>
      </c>
      <c r="AT756" s="163">
        <v>0</v>
      </c>
      <c r="AU756" s="163">
        <v>0</v>
      </c>
      <c r="AV756" s="313">
        <v>9.2083729440413098</v>
      </c>
      <c r="AW756" s="315">
        <v>0</v>
      </c>
      <c r="AX756" s="315">
        <v>0</v>
      </c>
      <c r="AY756" s="313">
        <v>421.62669855013002</v>
      </c>
      <c r="AZ756" s="163">
        <v>0</v>
      </c>
      <c r="BA756" s="163">
        <v>0</v>
      </c>
      <c r="BB756" s="163">
        <v>0</v>
      </c>
      <c r="BC756" s="163">
        <v>5.32333274870187E-2</v>
      </c>
      <c r="BD756" s="163">
        <v>4.5561208611584301E-4</v>
      </c>
      <c r="BE756" s="163">
        <v>0.338469339237081</v>
      </c>
      <c r="BF756" s="163">
        <v>3.8430253201392298E-4</v>
      </c>
      <c r="BG756" s="163">
        <v>0</v>
      </c>
      <c r="BH756" s="163">
        <v>0</v>
      </c>
      <c r="BI756" s="163">
        <v>0</v>
      </c>
      <c r="BJ756" s="163">
        <v>0</v>
      </c>
      <c r="BK756" s="163">
        <v>0</v>
      </c>
      <c r="BL756" s="62">
        <v>0</v>
      </c>
      <c r="BM756" s="275">
        <v>2</v>
      </c>
      <c r="BN756" s="62">
        <v>0</v>
      </c>
      <c r="BO756" s="33" t="s">
        <v>526</v>
      </c>
    </row>
    <row r="757" spans="1:67">
      <c r="A757" s="33" t="str">
        <f>Database_Productkaarten[[#This Row],[Product]]&amp;", "&amp;Database_Productkaarten[[#This Row],[Levensfase]]</f>
        <v>WB gietasfalt  - PCR 2.0, A1-A3</v>
      </c>
      <c r="B757" s="33" t="str">
        <f>B756</f>
        <v>WB gietasfalt  - PCR 2.0</v>
      </c>
      <c r="C757" s="33" t="str">
        <f>C756</f>
        <v>Bitumineuze verhardingen</v>
      </c>
      <c r="D757" s="33" t="str">
        <f>D756</f>
        <v>Gietasfalt</v>
      </c>
      <c r="E757" s="33" t="str">
        <f>E756</f>
        <v>Ton</v>
      </c>
      <c r="F757" s="33" t="s">
        <v>77</v>
      </c>
      <c r="L757" s="33">
        <f>L756</f>
        <v>2.1</v>
      </c>
      <c r="M757" s="45">
        <f>M756</f>
        <v>1</v>
      </c>
      <c r="N757" s="41">
        <f>SUM(N754:N756)</f>
        <v>16.306443323768423</v>
      </c>
      <c r="O757" s="33">
        <f>O756</f>
        <v>75</v>
      </c>
      <c r="P757" s="40">
        <f>SUM(P754:P756)</f>
        <v>8.5883257203085326E-4</v>
      </c>
      <c r="Q757" s="40">
        <f t="shared" ref="Q757:BK757" si="86">SUM(Q754:Q756)</f>
        <v>2.6937861889710168</v>
      </c>
      <c r="R757" s="40">
        <f t="shared" si="86"/>
        <v>136.1314466488945</v>
      </c>
      <c r="S757" s="40">
        <f t="shared" si="86"/>
        <v>1.3097529209134319E-5</v>
      </c>
      <c r="T757" s="40">
        <f t="shared" si="86"/>
        <v>0.26532554494347294</v>
      </c>
      <c r="U757" s="40">
        <f t="shared" si="86"/>
        <v>0.77877527184411122</v>
      </c>
      <c r="V757" s="40">
        <f t="shared" si="86"/>
        <v>7.9414286416647703E-2</v>
      </c>
      <c r="W757" s="40">
        <f t="shared" si="86"/>
        <v>31.844627331538909</v>
      </c>
      <c r="X757" s="40">
        <f t="shared" si="86"/>
        <v>3.8967796997750961</v>
      </c>
      <c r="Y757" s="40">
        <f t="shared" si="86"/>
        <v>16935.857905439494</v>
      </c>
      <c r="Z757" s="40">
        <f t="shared" si="86"/>
        <v>0.5224744268601792</v>
      </c>
      <c r="AA757" s="40">
        <f t="shared" si="86"/>
        <v>143.3125660427487</v>
      </c>
      <c r="AB757" s="40">
        <f t="shared" si="86"/>
        <v>142.98426383093931</v>
      </c>
      <c r="AC757" s="40">
        <f t="shared" si="86"/>
        <v>0.30532304622533002</v>
      </c>
      <c r="AD757" s="40">
        <f t="shared" si="86"/>
        <v>8.5779165584153175E-2</v>
      </c>
      <c r="AE757" s="40">
        <f t="shared" si="86"/>
        <v>1.5853390152219999E-5</v>
      </c>
      <c r="AF757" s="40">
        <f t="shared" si="86"/>
        <v>0.93672348513576964</v>
      </c>
      <c r="AG757" s="40">
        <f t="shared" si="86"/>
        <v>1.8024997281714519E-3</v>
      </c>
      <c r="AH757" s="40">
        <f t="shared" si="86"/>
        <v>0.17911323408027999</v>
      </c>
      <c r="AI757" s="40">
        <f t="shared" si="86"/>
        <v>1.837745312243215</v>
      </c>
      <c r="AJ757" s="40">
        <f t="shared" si="86"/>
        <v>0.95979810990874614</v>
      </c>
      <c r="AK757" s="40">
        <f t="shared" si="86"/>
        <v>8.5872249283039284E-4</v>
      </c>
      <c r="AL757" s="40">
        <f t="shared" si="86"/>
        <v>5651.1244805196566</v>
      </c>
      <c r="AM757" s="40">
        <f t="shared" si="86"/>
        <v>101.81057368044006</v>
      </c>
      <c r="AN757" s="40">
        <f t="shared" si="86"/>
        <v>4.2568708678053438E-6</v>
      </c>
      <c r="AO757" s="40">
        <f t="shared" si="86"/>
        <v>3.9082643237699357</v>
      </c>
      <c r="AP757" s="40">
        <f t="shared" si="86"/>
        <v>6404.5506416840144</v>
      </c>
      <c r="AQ757" s="40">
        <f t="shared" si="86"/>
        <v>3.871356424751184E-8</v>
      </c>
      <c r="AR757" s="40">
        <f t="shared" si="86"/>
        <v>1.5719789917181923E-6</v>
      </c>
      <c r="AS757" s="40">
        <f t="shared" si="86"/>
        <v>987.20180302545782</v>
      </c>
      <c r="AT757" s="40">
        <f t="shared" si="86"/>
        <v>0</v>
      </c>
      <c r="AU757" s="40">
        <f t="shared" si="86"/>
        <v>0</v>
      </c>
      <c r="AV757" s="317">
        <f t="shared" si="86"/>
        <v>44.822615753683806</v>
      </c>
      <c r="AW757" s="317">
        <f t="shared" si="86"/>
        <v>0</v>
      </c>
      <c r="AX757" s="317">
        <f t="shared" si="86"/>
        <v>0</v>
      </c>
      <c r="AY757" s="317">
        <f t="shared" si="86"/>
        <v>6026.9401553773787</v>
      </c>
      <c r="AZ757" s="40">
        <f t="shared" si="86"/>
        <v>0</v>
      </c>
      <c r="BA757" s="40">
        <f t="shared" si="86"/>
        <v>0</v>
      </c>
      <c r="BB757" s="40">
        <f t="shared" si="86"/>
        <v>0</v>
      </c>
      <c r="BC757" s="40">
        <f t="shared" si="86"/>
        <v>2.4622559062737679</v>
      </c>
      <c r="BD757" s="40">
        <f t="shared" si="86"/>
        <v>3.1224100576755288E-3</v>
      </c>
      <c r="BE757" s="40">
        <f t="shared" si="86"/>
        <v>14.596707007252881</v>
      </c>
      <c r="BF757" s="40">
        <f t="shared" si="86"/>
        <v>3.7305656912766027E-3</v>
      </c>
      <c r="BG757" s="40">
        <f t="shared" si="86"/>
        <v>0</v>
      </c>
      <c r="BH757" s="40">
        <f t="shared" si="86"/>
        <v>0</v>
      </c>
      <c r="BI757" s="40">
        <f t="shared" si="86"/>
        <v>0</v>
      </c>
      <c r="BJ757" s="40">
        <f t="shared" si="86"/>
        <v>0</v>
      </c>
      <c r="BK757" s="40">
        <f t="shared" si="86"/>
        <v>0</v>
      </c>
      <c r="BL757" s="62">
        <f>BL756</f>
        <v>0</v>
      </c>
      <c r="BM757" s="275">
        <f>BM756</f>
        <v>2</v>
      </c>
      <c r="BN757" s="62">
        <v>0</v>
      </c>
      <c r="BO757" s="33" t="str">
        <f>BO756</f>
        <v>Ecochain 2022 LCA Achtergrondrapport voor Nederlandse branchereferentiemengsels 2022</v>
      </c>
    </row>
    <row r="758" spans="1:67">
      <c r="A758" s="33" t="str">
        <f>Database_Productkaarten[[#This Row],[Product]]&amp;", "&amp;Database_Productkaarten[[#This Row],[Levensfase]]</f>
        <v>WB gietasfalt  - PCR 2.0, A4</v>
      </c>
      <c r="B758" s="33" t="s">
        <v>547</v>
      </c>
      <c r="C758" s="33" t="s">
        <v>483</v>
      </c>
      <c r="D758" s="33" t="s">
        <v>510</v>
      </c>
      <c r="E758" s="33" t="s">
        <v>378</v>
      </c>
      <c r="F758" s="33" t="s">
        <v>78</v>
      </c>
      <c r="L758" s="33">
        <v>2.1</v>
      </c>
      <c r="M758" s="269">
        <v>1</v>
      </c>
      <c r="N758" s="211">
        <v>1.0485833250624002</v>
      </c>
      <c r="O758" s="33">
        <v>75</v>
      </c>
      <c r="P758" s="163">
        <v>1.9139989E-4</v>
      </c>
      <c r="Q758" s="163">
        <v>8.2984737000000003E-2</v>
      </c>
      <c r="R758" s="163">
        <v>11.140862305000001</v>
      </c>
      <c r="S758" s="163">
        <v>2.1105730000000001E-6</v>
      </c>
      <c r="T758" s="163">
        <v>6.9187815000000003E-3</v>
      </c>
      <c r="U758" s="163">
        <v>3.8093172000000002E-2</v>
      </c>
      <c r="V758" s="163">
        <v>7.1725041000000002E-3</v>
      </c>
      <c r="W758" s="163">
        <v>2.404076474</v>
      </c>
      <c r="X758" s="163">
        <v>0.10107081900000001</v>
      </c>
      <c r="Y758" s="163">
        <v>271.9526553</v>
      </c>
      <c r="Z758" s="163">
        <v>1.3527501000000001E-2</v>
      </c>
      <c r="AA758" s="163">
        <v>11.243611402000001</v>
      </c>
      <c r="AB758" s="163">
        <v>11.235277858</v>
      </c>
      <c r="AC758" s="163">
        <v>5.5338161999999996E-3</v>
      </c>
      <c r="AD758" s="163">
        <v>2.7996658000000001E-3</v>
      </c>
      <c r="AE758" s="163">
        <v>2.6524902E-6</v>
      </c>
      <c r="AF758" s="163">
        <v>4.9542959999999997E-2</v>
      </c>
      <c r="AG758" s="163">
        <v>7.7756927999999997E-5</v>
      </c>
      <c r="AH758" s="163">
        <v>1.54956941E-2</v>
      </c>
      <c r="AI758" s="163">
        <v>0.17143644799999999</v>
      </c>
      <c r="AJ758" s="163">
        <v>5.3721449999999997E-2</v>
      </c>
      <c r="AK758" s="163">
        <v>1.9139957999999999E-4</v>
      </c>
      <c r="AL758" s="163">
        <v>174.27252329999999</v>
      </c>
      <c r="AM758" s="163">
        <v>0.59473686000000003</v>
      </c>
      <c r="AN758" s="163">
        <v>8.1937402000000003E-7</v>
      </c>
      <c r="AO758" s="163">
        <v>0.75038107099999996</v>
      </c>
      <c r="AP758" s="163">
        <v>127.2560416</v>
      </c>
      <c r="AQ758" s="163">
        <v>3.2500059E-9</v>
      </c>
      <c r="AR758" s="163">
        <v>1.06874639E-7</v>
      </c>
      <c r="AS758" s="163">
        <v>200.5416381</v>
      </c>
      <c r="AT758" s="163">
        <v>0</v>
      </c>
      <c r="AU758" s="163">
        <v>0</v>
      </c>
      <c r="AV758" s="313">
        <v>1.7727229099999999</v>
      </c>
      <c r="AW758" s="315">
        <v>0</v>
      </c>
      <c r="AX758" s="315">
        <v>0</v>
      </c>
      <c r="AY758" s="313">
        <v>185.06471759999999</v>
      </c>
      <c r="AZ758" s="163">
        <v>0</v>
      </c>
      <c r="BA758" s="163">
        <v>0</v>
      </c>
      <c r="BB758" s="163">
        <v>0</v>
      </c>
      <c r="BC758" s="163">
        <v>1.8842358E-2</v>
      </c>
      <c r="BD758" s="163">
        <v>4.3206715000000001E-4</v>
      </c>
      <c r="BE758" s="163">
        <v>15.25856115</v>
      </c>
      <c r="BF758" s="163">
        <v>1.1873551799999999E-3</v>
      </c>
      <c r="BG758" s="163">
        <v>0</v>
      </c>
      <c r="BH758" s="163">
        <v>0</v>
      </c>
      <c r="BI758" s="163">
        <v>0</v>
      </c>
      <c r="BJ758" s="163">
        <v>0</v>
      </c>
      <c r="BK758" s="163">
        <v>0</v>
      </c>
      <c r="BL758" s="62">
        <v>0</v>
      </c>
      <c r="BM758" s="275">
        <v>2</v>
      </c>
      <c r="BN758" s="62">
        <v>0</v>
      </c>
      <c r="BO758" s="33" t="s">
        <v>526</v>
      </c>
    </row>
    <row r="759" spans="1:67">
      <c r="A759" s="33" t="str">
        <f>Database_Productkaarten[[#This Row],[Product]]&amp;", "&amp;Database_Productkaarten[[#This Row],[Levensfase]]</f>
        <v>WB gietasfalt  - PCR 2.0, A5</v>
      </c>
      <c r="B759" s="33" t="s">
        <v>547</v>
      </c>
      <c r="C759" s="33" t="s">
        <v>483</v>
      </c>
      <c r="D759" s="33" t="s">
        <v>510</v>
      </c>
      <c r="E759" s="33" t="s">
        <v>378</v>
      </c>
      <c r="F759" s="33" t="s">
        <v>79</v>
      </c>
      <c r="L759" s="33">
        <v>2.1</v>
      </c>
      <c r="M759" s="269">
        <v>1</v>
      </c>
      <c r="N759" s="211">
        <v>0.20892775788363147</v>
      </c>
      <c r="O759" s="33">
        <v>75</v>
      </c>
      <c r="P759" s="163">
        <v>2.52053385503491E-6</v>
      </c>
      <c r="Q759" s="163">
        <v>1.0722300852191001E-2</v>
      </c>
      <c r="R759" s="163">
        <v>2.1806286343541599</v>
      </c>
      <c r="S759" s="163">
        <v>2.8179055050305898E-7</v>
      </c>
      <c r="T759" s="163">
        <v>7.5572087597003098E-4</v>
      </c>
      <c r="U759" s="163">
        <v>6.7857710719034497E-3</v>
      </c>
      <c r="V759" s="163">
        <v>1.4838087034341799E-3</v>
      </c>
      <c r="W759" s="163">
        <v>0.58829495594473902</v>
      </c>
      <c r="X759" s="163">
        <v>8.3642063590304294E-3</v>
      </c>
      <c r="Y759" s="163">
        <v>29.061930803190499</v>
      </c>
      <c r="Z759" s="163">
        <v>9.9052251771749103E-4</v>
      </c>
      <c r="AA759" s="163">
        <v>2.1948938660897999</v>
      </c>
      <c r="AB759" s="163">
        <v>2.1942639981727301</v>
      </c>
      <c r="AC759" s="163">
        <v>5.0168129909830496E-4</v>
      </c>
      <c r="AD759" s="163">
        <v>1.28186617970418E-4</v>
      </c>
      <c r="AE759" s="163">
        <v>3.5506722318440998E-7</v>
      </c>
      <c r="AF759" s="163">
        <v>9.2830906004344599E-3</v>
      </c>
      <c r="AG759" s="163">
        <v>5.9889520057721299E-6</v>
      </c>
      <c r="AH759" s="163">
        <v>3.7212549811088901E-3</v>
      </c>
      <c r="AI759" s="163">
        <v>4.08842513151043E-2</v>
      </c>
      <c r="AJ759" s="163">
        <v>1.1058200011401001E-2</v>
      </c>
      <c r="AK759" s="163">
        <v>2.5205140761041601E-6</v>
      </c>
      <c r="AL759" s="163">
        <v>22.623400365069401</v>
      </c>
      <c r="AM759" s="163">
        <v>3.0130674143176699E-2</v>
      </c>
      <c r="AN759" s="163">
        <v>3.6737492451707402E-8</v>
      </c>
      <c r="AO759" s="163">
        <v>9.7101735622394797E-2</v>
      </c>
      <c r="AP759" s="163">
        <v>13.5745914341014</v>
      </c>
      <c r="AQ759" s="163">
        <v>4.7625118821209999E-10</v>
      </c>
      <c r="AR759" s="163">
        <v>1.01356955548823E-8</v>
      </c>
      <c r="AS759" s="163">
        <v>2.88964621378457</v>
      </c>
      <c r="AT759" s="163">
        <v>0</v>
      </c>
      <c r="AU759" s="163">
        <v>0</v>
      </c>
      <c r="AV759" s="313">
        <v>0.124349448867524</v>
      </c>
      <c r="AW759" s="315">
        <v>0</v>
      </c>
      <c r="AX759" s="315">
        <v>0</v>
      </c>
      <c r="AY759" s="313">
        <v>24.025335647212199</v>
      </c>
      <c r="AZ759" s="163">
        <v>0</v>
      </c>
      <c r="BA759" s="163">
        <v>0</v>
      </c>
      <c r="BB759" s="163">
        <v>0</v>
      </c>
      <c r="BC759" s="163">
        <v>1.1694798144477199E-3</v>
      </c>
      <c r="BD759" s="163">
        <v>6.1609560452003097E-5</v>
      </c>
      <c r="BE759" s="163">
        <v>2.6769629501804601E-2</v>
      </c>
      <c r="BF759" s="163">
        <v>1.5723384660734001E-4</v>
      </c>
      <c r="BG759" s="163">
        <v>0</v>
      </c>
      <c r="BH759" s="163">
        <v>0</v>
      </c>
      <c r="BI759" s="163">
        <v>0</v>
      </c>
      <c r="BJ759" s="163">
        <v>0</v>
      </c>
      <c r="BK759" s="163">
        <v>0</v>
      </c>
      <c r="BL759" s="62">
        <v>0</v>
      </c>
      <c r="BM759" s="275">
        <v>2</v>
      </c>
      <c r="BN759" s="62">
        <v>0</v>
      </c>
      <c r="BO759" s="33" t="s">
        <v>526</v>
      </c>
    </row>
    <row r="760" spans="1:67">
      <c r="A760" s="33" t="str">
        <f>Database_Productkaarten[[#This Row],[Product]]&amp;", "&amp;Database_Productkaarten[[#This Row],[Levensfase]]</f>
        <v>WB gietasfalt  - PCR 2.0, B1</v>
      </c>
      <c r="B760" s="33" t="s">
        <v>547</v>
      </c>
      <c r="C760" s="33" t="s">
        <v>483</v>
      </c>
      <c r="D760" s="33" t="s">
        <v>510</v>
      </c>
      <c r="E760" s="33" t="s">
        <v>378</v>
      </c>
      <c r="F760" s="33" t="s">
        <v>80</v>
      </c>
      <c r="L760" s="33">
        <v>2.1</v>
      </c>
      <c r="M760" s="269">
        <v>1</v>
      </c>
      <c r="N760" s="211">
        <v>2.3496660696212947E-2</v>
      </c>
      <c r="O760" s="33">
        <v>75</v>
      </c>
      <c r="P760" s="163">
        <v>0</v>
      </c>
      <c r="Q760" s="163">
        <v>0</v>
      </c>
      <c r="R760" s="163">
        <v>0</v>
      </c>
      <c r="S760" s="163">
        <v>0</v>
      </c>
      <c r="T760" s="163">
        <v>0</v>
      </c>
      <c r="U760" s="163">
        <v>0</v>
      </c>
      <c r="V760" s="163">
        <v>0</v>
      </c>
      <c r="W760" s="163">
        <v>9.3322373681677506E-2</v>
      </c>
      <c r="X760" s="163">
        <v>2.7617301587281303E-7</v>
      </c>
      <c r="Y760" s="163">
        <v>150.78938970147701</v>
      </c>
      <c r="Z760" s="163">
        <v>3.1166349206326302E-4</v>
      </c>
      <c r="AA760" s="163">
        <v>0</v>
      </c>
      <c r="AB760" s="163">
        <v>0</v>
      </c>
      <c r="AC760" s="163">
        <v>0</v>
      </c>
      <c r="AD760" s="163">
        <v>0</v>
      </c>
      <c r="AE760" s="163">
        <v>0</v>
      </c>
      <c r="AF760" s="163">
        <v>0</v>
      </c>
      <c r="AG760" s="163">
        <v>0</v>
      </c>
      <c r="AH760" s="163">
        <v>0</v>
      </c>
      <c r="AI760" s="163">
        <v>0</v>
      </c>
      <c r="AJ760" s="163">
        <v>0</v>
      </c>
      <c r="AK760" s="163">
        <v>0</v>
      </c>
      <c r="AL760" s="163">
        <v>0</v>
      </c>
      <c r="AM760" s="163">
        <v>0</v>
      </c>
      <c r="AN760" s="163">
        <v>0</v>
      </c>
      <c r="AO760" s="163">
        <v>0</v>
      </c>
      <c r="AP760" s="163">
        <v>9.1024549722609502E-5</v>
      </c>
      <c r="AQ760" s="163">
        <v>1.7521277038876001E-11</v>
      </c>
      <c r="AR760" s="163">
        <v>1.1809636451140399E-9</v>
      </c>
      <c r="AS760" s="163">
        <v>0</v>
      </c>
      <c r="AT760" s="163">
        <v>0</v>
      </c>
      <c r="AU760" s="163">
        <v>0</v>
      </c>
      <c r="AV760" s="313">
        <v>0</v>
      </c>
      <c r="AW760" s="315">
        <v>0</v>
      </c>
      <c r="AX760" s="315">
        <v>0</v>
      </c>
      <c r="AY760" s="313">
        <v>0</v>
      </c>
      <c r="AZ760" s="163">
        <v>0</v>
      </c>
      <c r="BA760" s="163">
        <v>0</v>
      </c>
      <c r="BB760" s="163">
        <v>0</v>
      </c>
      <c r="BC760" s="163">
        <v>0</v>
      </c>
      <c r="BD760" s="163">
        <v>0</v>
      </c>
      <c r="BE760" s="163">
        <v>0</v>
      </c>
      <c r="BF760" s="163">
        <v>0</v>
      </c>
      <c r="BG760" s="163">
        <v>0</v>
      </c>
      <c r="BH760" s="163">
        <v>0</v>
      </c>
      <c r="BI760" s="163">
        <v>0</v>
      </c>
      <c r="BJ760" s="163">
        <v>0</v>
      </c>
      <c r="BK760" s="163">
        <v>0</v>
      </c>
      <c r="BL760" s="62">
        <v>0</v>
      </c>
      <c r="BM760" s="275">
        <v>2</v>
      </c>
      <c r="BN760" s="62">
        <v>0</v>
      </c>
      <c r="BO760" s="33" t="s">
        <v>526</v>
      </c>
    </row>
    <row r="761" spans="1:67">
      <c r="A761" s="33" t="str">
        <f>Database_Productkaarten[[#This Row],[Product]]&amp;", "&amp;Database_Productkaarten[[#This Row],[Levensfase]]</f>
        <v>WB gietasfalt  - PCR 2.0, B2</v>
      </c>
      <c r="B761" s="33" t="s">
        <v>547</v>
      </c>
      <c r="C761" s="33" t="s">
        <v>483</v>
      </c>
      <c r="D761" s="33" t="s">
        <v>510</v>
      </c>
      <c r="E761" s="33" t="s">
        <v>378</v>
      </c>
      <c r="F761" s="33" t="s">
        <v>527</v>
      </c>
      <c r="L761" s="33">
        <v>2.1</v>
      </c>
      <c r="M761" s="269">
        <v>1</v>
      </c>
      <c r="N761" s="211">
        <v>0</v>
      </c>
      <c r="O761" s="33">
        <v>75</v>
      </c>
      <c r="P761" s="163">
        <v>0</v>
      </c>
      <c r="Q761" s="163">
        <v>0</v>
      </c>
      <c r="R761" s="163">
        <v>0</v>
      </c>
      <c r="S761" s="163">
        <v>0</v>
      </c>
      <c r="T761" s="163">
        <v>0</v>
      </c>
      <c r="U761" s="163">
        <v>0</v>
      </c>
      <c r="V761" s="163">
        <v>0</v>
      </c>
      <c r="W761" s="163">
        <v>0</v>
      </c>
      <c r="X761" s="163">
        <v>0</v>
      </c>
      <c r="Y761" s="163">
        <v>0</v>
      </c>
      <c r="Z761" s="163">
        <v>0</v>
      </c>
      <c r="AA761" s="163">
        <v>0</v>
      </c>
      <c r="AB761" s="163">
        <v>0</v>
      </c>
      <c r="AC761" s="163">
        <v>0</v>
      </c>
      <c r="AD761" s="163">
        <v>0</v>
      </c>
      <c r="AE761" s="163">
        <v>0</v>
      </c>
      <c r="AF761" s="163">
        <v>0</v>
      </c>
      <c r="AG761" s="163">
        <v>0</v>
      </c>
      <c r="AH761" s="163">
        <v>0</v>
      </c>
      <c r="AI761" s="163">
        <v>0</v>
      </c>
      <c r="AJ761" s="163">
        <v>0</v>
      </c>
      <c r="AK761" s="163">
        <v>0</v>
      </c>
      <c r="AL761" s="163">
        <v>0</v>
      </c>
      <c r="AM761" s="163">
        <v>0</v>
      </c>
      <c r="AN761" s="163">
        <v>0</v>
      </c>
      <c r="AO761" s="163">
        <v>0</v>
      </c>
      <c r="AP761" s="163">
        <v>0</v>
      </c>
      <c r="AQ761" s="163">
        <v>0</v>
      </c>
      <c r="AR761" s="163">
        <v>0</v>
      </c>
      <c r="AS761" s="163">
        <v>0</v>
      </c>
      <c r="AT761" s="163">
        <v>0</v>
      </c>
      <c r="AU761" s="163">
        <v>0</v>
      </c>
      <c r="AV761" s="313">
        <v>0</v>
      </c>
      <c r="AW761" s="315">
        <v>0</v>
      </c>
      <c r="AX761" s="315">
        <v>0</v>
      </c>
      <c r="AY761" s="313">
        <v>0</v>
      </c>
      <c r="AZ761" s="163">
        <v>0</v>
      </c>
      <c r="BA761" s="163">
        <v>0</v>
      </c>
      <c r="BB761" s="163">
        <v>0</v>
      </c>
      <c r="BC761" s="163">
        <v>0</v>
      </c>
      <c r="BD761" s="163">
        <v>0</v>
      </c>
      <c r="BE761" s="163">
        <v>0</v>
      </c>
      <c r="BF761" s="163">
        <v>0</v>
      </c>
      <c r="BG761" s="163">
        <v>0</v>
      </c>
      <c r="BH761" s="163">
        <v>0</v>
      </c>
      <c r="BI761" s="163">
        <v>0</v>
      </c>
      <c r="BJ761" s="163">
        <v>0</v>
      </c>
      <c r="BK761" s="163">
        <v>0</v>
      </c>
      <c r="BL761" s="62">
        <v>0</v>
      </c>
      <c r="BM761" s="275">
        <v>2</v>
      </c>
      <c r="BN761" s="62">
        <v>0</v>
      </c>
      <c r="BO761" s="33" t="s">
        <v>526</v>
      </c>
    </row>
    <row r="762" spans="1:67">
      <c r="A762" s="33" t="str">
        <f>Database_Productkaarten[[#This Row],[Product]]&amp;", "&amp;Database_Productkaarten[[#This Row],[Levensfase]]</f>
        <v>WB gietasfalt  - PCR 2.0, B3</v>
      </c>
      <c r="B762" s="33" t="s">
        <v>547</v>
      </c>
      <c r="C762" s="33" t="s">
        <v>483</v>
      </c>
      <c r="D762" s="33" t="s">
        <v>510</v>
      </c>
      <c r="E762" s="33" t="s">
        <v>378</v>
      </c>
      <c r="F762" s="33" t="s">
        <v>81</v>
      </c>
      <c r="L762" s="33">
        <v>2.1</v>
      </c>
      <c r="M762" s="269">
        <v>1</v>
      </c>
      <c r="N762" s="211">
        <v>0</v>
      </c>
      <c r="O762" s="33">
        <v>75</v>
      </c>
      <c r="P762" s="163">
        <v>0</v>
      </c>
      <c r="Q762" s="163">
        <v>0</v>
      </c>
      <c r="R762" s="163">
        <v>0</v>
      </c>
      <c r="S762" s="163">
        <v>0</v>
      </c>
      <c r="T762" s="163">
        <v>0</v>
      </c>
      <c r="U762" s="163">
        <v>0</v>
      </c>
      <c r="V762" s="163">
        <v>0</v>
      </c>
      <c r="W762" s="163">
        <v>0</v>
      </c>
      <c r="X762" s="163">
        <v>0</v>
      </c>
      <c r="Y762" s="163">
        <v>0</v>
      </c>
      <c r="Z762" s="163">
        <v>0</v>
      </c>
      <c r="AA762" s="163">
        <v>0</v>
      </c>
      <c r="AB762" s="163">
        <v>0</v>
      </c>
      <c r="AC762" s="163">
        <v>0</v>
      </c>
      <c r="AD762" s="163">
        <v>0</v>
      </c>
      <c r="AE762" s="163">
        <v>0</v>
      </c>
      <c r="AF762" s="163">
        <v>0</v>
      </c>
      <c r="AG762" s="163">
        <v>0</v>
      </c>
      <c r="AH762" s="163">
        <v>0</v>
      </c>
      <c r="AI762" s="163">
        <v>0</v>
      </c>
      <c r="AJ762" s="163">
        <v>0</v>
      </c>
      <c r="AK762" s="163">
        <v>0</v>
      </c>
      <c r="AL762" s="163">
        <v>0</v>
      </c>
      <c r="AM762" s="163">
        <v>0</v>
      </c>
      <c r="AN762" s="163">
        <v>0</v>
      </c>
      <c r="AO762" s="163">
        <v>0</v>
      </c>
      <c r="AP762" s="163">
        <v>0</v>
      </c>
      <c r="AQ762" s="163">
        <v>0</v>
      </c>
      <c r="AR762" s="163">
        <v>0</v>
      </c>
      <c r="AS762" s="163">
        <v>0</v>
      </c>
      <c r="AT762" s="163">
        <v>0</v>
      </c>
      <c r="AU762" s="163">
        <v>0</v>
      </c>
      <c r="AV762" s="313">
        <v>0</v>
      </c>
      <c r="AW762" s="315">
        <v>0</v>
      </c>
      <c r="AX762" s="315">
        <v>0</v>
      </c>
      <c r="AY762" s="313">
        <v>0</v>
      </c>
      <c r="AZ762" s="163">
        <v>0</v>
      </c>
      <c r="BA762" s="163">
        <v>0</v>
      </c>
      <c r="BB762" s="163">
        <v>0</v>
      </c>
      <c r="BC762" s="163">
        <v>0</v>
      </c>
      <c r="BD762" s="163">
        <v>0</v>
      </c>
      <c r="BE762" s="163">
        <v>0</v>
      </c>
      <c r="BF762" s="163">
        <v>0</v>
      </c>
      <c r="BG762" s="163">
        <v>0</v>
      </c>
      <c r="BH762" s="163">
        <v>0</v>
      </c>
      <c r="BI762" s="163">
        <v>0</v>
      </c>
      <c r="BJ762" s="163">
        <v>0</v>
      </c>
      <c r="BK762" s="163">
        <v>0</v>
      </c>
      <c r="BL762" s="62">
        <v>0</v>
      </c>
      <c r="BM762" s="275">
        <v>2</v>
      </c>
      <c r="BN762" s="62">
        <v>0</v>
      </c>
      <c r="BO762" s="33" t="s">
        <v>526</v>
      </c>
    </row>
    <row r="763" spans="1:67">
      <c r="A763" s="33" t="str">
        <f>Database_Productkaarten[[#This Row],[Product]]&amp;", "&amp;Database_Productkaarten[[#This Row],[Levensfase]]</f>
        <v>WB gietasfalt  - PCR 2.0, B4</v>
      </c>
      <c r="B763" s="33" t="s">
        <v>547</v>
      </c>
      <c r="C763" s="33" t="s">
        <v>483</v>
      </c>
      <c r="D763" s="33" t="s">
        <v>510</v>
      </c>
      <c r="E763" s="33" t="s">
        <v>378</v>
      </c>
      <c r="F763" s="33" t="s">
        <v>82</v>
      </c>
      <c r="L763" s="33">
        <v>2.1</v>
      </c>
      <c r="M763" s="269">
        <v>1</v>
      </c>
      <c r="N763" s="211">
        <v>0</v>
      </c>
      <c r="O763" s="33">
        <v>75</v>
      </c>
      <c r="P763" s="163">
        <v>0</v>
      </c>
      <c r="Q763" s="163">
        <v>0</v>
      </c>
      <c r="R763" s="163">
        <v>0</v>
      </c>
      <c r="S763" s="163">
        <v>0</v>
      </c>
      <c r="T763" s="163">
        <v>0</v>
      </c>
      <c r="U763" s="163">
        <v>0</v>
      </c>
      <c r="V763" s="163">
        <v>0</v>
      </c>
      <c r="W763" s="163">
        <v>0</v>
      </c>
      <c r="X763" s="163">
        <v>0</v>
      </c>
      <c r="Y763" s="163">
        <v>0</v>
      </c>
      <c r="Z763" s="163">
        <v>0</v>
      </c>
      <c r="AA763" s="163">
        <v>0</v>
      </c>
      <c r="AB763" s="163">
        <v>0</v>
      </c>
      <c r="AC763" s="163">
        <v>0</v>
      </c>
      <c r="AD763" s="163">
        <v>0</v>
      </c>
      <c r="AE763" s="163">
        <v>0</v>
      </c>
      <c r="AF763" s="163">
        <v>0</v>
      </c>
      <c r="AG763" s="163">
        <v>0</v>
      </c>
      <c r="AH763" s="163">
        <v>0</v>
      </c>
      <c r="AI763" s="163">
        <v>0</v>
      </c>
      <c r="AJ763" s="163">
        <v>0</v>
      </c>
      <c r="AK763" s="163">
        <v>0</v>
      </c>
      <c r="AL763" s="163">
        <v>0</v>
      </c>
      <c r="AM763" s="163">
        <v>0</v>
      </c>
      <c r="AN763" s="163">
        <v>0</v>
      </c>
      <c r="AO763" s="163">
        <v>0</v>
      </c>
      <c r="AP763" s="163">
        <v>0</v>
      </c>
      <c r="AQ763" s="163">
        <v>0</v>
      </c>
      <c r="AR763" s="163">
        <v>0</v>
      </c>
      <c r="AS763" s="163">
        <v>0</v>
      </c>
      <c r="AT763" s="163">
        <v>0</v>
      </c>
      <c r="AU763" s="163">
        <v>0</v>
      </c>
      <c r="AV763" s="313">
        <v>0</v>
      </c>
      <c r="AW763" s="315">
        <v>0</v>
      </c>
      <c r="AX763" s="315">
        <v>0</v>
      </c>
      <c r="AY763" s="313">
        <v>0</v>
      </c>
      <c r="AZ763" s="163">
        <v>0</v>
      </c>
      <c r="BA763" s="163">
        <v>0</v>
      </c>
      <c r="BB763" s="163">
        <v>0</v>
      </c>
      <c r="BC763" s="163">
        <v>0</v>
      </c>
      <c r="BD763" s="163">
        <v>0</v>
      </c>
      <c r="BE763" s="163">
        <v>0</v>
      </c>
      <c r="BF763" s="163">
        <v>0</v>
      </c>
      <c r="BG763" s="163">
        <v>0</v>
      </c>
      <c r="BH763" s="163">
        <v>0</v>
      </c>
      <c r="BI763" s="163">
        <v>0</v>
      </c>
      <c r="BJ763" s="163">
        <v>0</v>
      </c>
      <c r="BK763" s="163">
        <v>0</v>
      </c>
      <c r="BL763" s="62">
        <v>0</v>
      </c>
      <c r="BM763" s="275">
        <v>2</v>
      </c>
      <c r="BN763" s="62">
        <v>0</v>
      </c>
      <c r="BO763" s="33" t="s">
        <v>526</v>
      </c>
    </row>
    <row r="764" spans="1:67">
      <c r="A764" s="33" t="str">
        <f>Database_Productkaarten[[#This Row],[Product]]&amp;", "&amp;Database_Productkaarten[[#This Row],[Levensfase]]</f>
        <v>WB gietasfalt  - PCR 2.0, B5</v>
      </c>
      <c r="B764" s="33" t="s">
        <v>547</v>
      </c>
      <c r="C764" s="33" t="s">
        <v>483</v>
      </c>
      <c r="D764" s="33" t="s">
        <v>510</v>
      </c>
      <c r="E764" s="33" t="s">
        <v>378</v>
      </c>
      <c r="F764" s="33" t="s">
        <v>528</v>
      </c>
      <c r="L764" s="33">
        <v>2.1</v>
      </c>
      <c r="M764" s="269">
        <v>1</v>
      </c>
      <c r="N764" s="211">
        <v>0</v>
      </c>
      <c r="O764" s="33">
        <v>75</v>
      </c>
      <c r="P764" s="163">
        <v>0</v>
      </c>
      <c r="Q764" s="163">
        <v>0</v>
      </c>
      <c r="R764" s="163">
        <v>0</v>
      </c>
      <c r="S764" s="163">
        <v>0</v>
      </c>
      <c r="T764" s="163">
        <v>0</v>
      </c>
      <c r="U764" s="163">
        <v>0</v>
      </c>
      <c r="V764" s="163">
        <v>0</v>
      </c>
      <c r="W764" s="163">
        <v>0</v>
      </c>
      <c r="X764" s="163">
        <v>0</v>
      </c>
      <c r="Y764" s="163">
        <v>0</v>
      </c>
      <c r="Z764" s="163">
        <v>0</v>
      </c>
      <c r="AA764" s="163">
        <v>0</v>
      </c>
      <c r="AB764" s="163">
        <v>0</v>
      </c>
      <c r="AC764" s="163">
        <v>0</v>
      </c>
      <c r="AD764" s="163">
        <v>0</v>
      </c>
      <c r="AE764" s="163">
        <v>0</v>
      </c>
      <c r="AF764" s="163">
        <v>0</v>
      </c>
      <c r="AG764" s="163">
        <v>0</v>
      </c>
      <c r="AH764" s="163">
        <v>0</v>
      </c>
      <c r="AI764" s="163">
        <v>0</v>
      </c>
      <c r="AJ764" s="163">
        <v>0</v>
      </c>
      <c r="AK764" s="163">
        <v>0</v>
      </c>
      <c r="AL764" s="163">
        <v>0</v>
      </c>
      <c r="AM764" s="163">
        <v>0</v>
      </c>
      <c r="AN764" s="163">
        <v>0</v>
      </c>
      <c r="AO764" s="163">
        <v>0</v>
      </c>
      <c r="AP764" s="163">
        <v>0</v>
      </c>
      <c r="AQ764" s="163">
        <v>0</v>
      </c>
      <c r="AR764" s="163">
        <v>0</v>
      </c>
      <c r="AS764" s="163">
        <v>0</v>
      </c>
      <c r="AT764" s="163">
        <v>0</v>
      </c>
      <c r="AU764" s="163">
        <v>0</v>
      </c>
      <c r="AV764" s="313">
        <v>0</v>
      </c>
      <c r="AW764" s="315">
        <v>0</v>
      </c>
      <c r="AX764" s="315">
        <v>0</v>
      </c>
      <c r="AY764" s="313">
        <v>0</v>
      </c>
      <c r="AZ764" s="163">
        <v>0</v>
      </c>
      <c r="BA764" s="163">
        <v>0</v>
      </c>
      <c r="BB764" s="163">
        <v>0</v>
      </c>
      <c r="BC764" s="163">
        <v>0</v>
      </c>
      <c r="BD764" s="163">
        <v>0</v>
      </c>
      <c r="BE764" s="163">
        <v>0</v>
      </c>
      <c r="BF764" s="163">
        <v>0</v>
      </c>
      <c r="BG764" s="163">
        <v>0</v>
      </c>
      <c r="BH764" s="163">
        <v>0</v>
      </c>
      <c r="BI764" s="163">
        <v>0</v>
      </c>
      <c r="BJ764" s="163">
        <v>0</v>
      </c>
      <c r="BK764" s="163">
        <v>0</v>
      </c>
      <c r="BL764" s="62">
        <v>0</v>
      </c>
      <c r="BM764" s="275">
        <v>2</v>
      </c>
      <c r="BN764" s="62">
        <v>0</v>
      </c>
      <c r="BO764" s="33" t="s">
        <v>526</v>
      </c>
    </row>
    <row r="765" spans="1:67">
      <c r="A765" s="33" t="str">
        <f>Database_Productkaarten[[#This Row],[Product]]&amp;", "&amp;Database_Productkaarten[[#This Row],[Levensfase]]</f>
        <v>WB gietasfalt  - PCR 2.0, C1</v>
      </c>
      <c r="B765" s="33" t="s">
        <v>547</v>
      </c>
      <c r="C765" s="33" t="s">
        <v>483</v>
      </c>
      <c r="D765" s="33" t="s">
        <v>510</v>
      </c>
      <c r="E765" s="33" t="s">
        <v>378</v>
      </c>
      <c r="F765" s="33" t="s">
        <v>83</v>
      </c>
      <c r="L765" s="33">
        <v>2.1</v>
      </c>
      <c r="M765" s="269">
        <v>1</v>
      </c>
      <c r="N765" s="211">
        <v>8.3571103153452633E-2</v>
      </c>
      <c r="O765" s="33">
        <v>75</v>
      </c>
      <c r="P765" s="163">
        <v>1.0082135420139601E-6</v>
      </c>
      <c r="Q765" s="163">
        <v>4.2889203408764103E-3</v>
      </c>
      <c r="R765" s="163">
        <v>0.87225145374166402</v>
      </c>
      <c r="S765" s="163">
        <v>1.12716220201224E-7</v>
      </c>
      <c r="T765" s="163">
        <v>3.0228835038801201E-4</v>
      </c>
      <c r="U765" s="163">
        <v>2.71430842876138E-3</v>
      </c>
      <c r="V765" s="163">
        <v>5.9352348137367301E-4</v>
      </c>
      <c r="W765" s="163">
        <v>0.235317982377896</v>
      </c>
      <c r="X765" s="163">
        <v>3.34568254361219E-3</v>
      </c>
      <c r="Y765" s="163">
        <v>11.6247723212762</v>
      </c>
      <c r="Z765" s="163">
        <v>3.9620900708699599E-4</v>
      </c>
      <c r="AA765" s="163">
        <v>0.87795754643591795</v>
      </c>
      <c r="AB765" s="163">
        <v>0.87770559926909097</v>
      </c>
      <c r="AC765" s="163">
        <v>2.0067251963932199E-4</v>
      </c>
      <c r="AD765" s="163">
        <v>5.1274647188167198E-5</v>
      </c>
      <c r="AE765" s="163">
        <v>1.4202688927376401E-7</v>
      </c>
      <c r="AF765" s="163">
        <v>3.7132362401737801E-3</v>
      </c>
      <c r="AG765" s="163">
        <v>2.3955808023088498E-6</v>
      </c>
      <c r="AH765" s="163">
        <v>1.48850199244356E-3</v>
      </c>
      <c r="AI765" s="163">
        <v>1.6353700526041699E-2</v>
      </c>
      <c r="AJ765" s="163">
        <v>4.4232800045604197E-3</v>
      </c>
      <c r="AK765" s="163">
        <v>1.0082056304416699E-6</v>
      </c>
      <c r="AL765" s="163">
        <v>9.0493601460277606</v>
      </c>
      <c r="AM765" s="163">
        <v>1.2052269657270701E-2</v>
      </c>
      <c r="AN765" s="163">
        <v>1.4694996980682999E-8</v>
      </c>
      <c r="AO765" s="163">
        <v>3.8840694248957898E-2</v>
      </c>
      <c r="AP765" s="163">
        <v>5.42983657364059</v>
      </c>
      <c r="AQ765" s="163">
        <v>1.9050047528483999E-10</v>
      </c>
      <c r="AR765" s="163">
        <v>4.0542782219529099E-9</v>
      </c>
      <c r="AS765" s="163">
        <v>1.1558584855138301</v>
      </c>
      <c r="AT765" s="163">
        <v>0</v>
      </c>
      <c r="AU765" s="163">
        <v>0</v>
      </c>
      <c r="AV765" s="313">
        <v>4.9739779547009602E-2</v>
      </c>
      <c r="AW765" s="315">
        <v>0</v>
      </c>
      <c r="AX765" s="315">
        <v>0</v>
      </c>
      <c r="AY765" s="313">
        <v>9.6101342588848997</v>
      </c>
      <c r="AZ765" s="163">
        <v>0</v>
      </c>
      <c r="BA765" s="163">
        <v>0</v>
      </c>
      <c r="BB765" s="163">
        <v>0</v>
      </c>
      <c r="BC765" s="163">
        <v>4.67791925779088E-4</v>
      </c>
      <c r="BD765" s="163">
        <v>2.4643824180801299E-5</v>
      </c>
      <c r="BE765" s="163">
        <v>1.0707851800721899E-2</v>
      </c>
      <c r="BF765" s="163">
        <v>6.2893538642935995E-5</v>
      </c>
      <c r="BG765" s="163">
        <v>0</v>
      </c>
      <c r="BH765" s="163">
        <v>0</v>
      </c>
      <c r="BI765" s="163">
        <v>0</v>
      </c>
      <c r="BJ765" s="163">
        <v>0</v>
      </c>
      <c r="BK765" s="163">
        <v>0</v>
      </c>
      <c r="BL765" s="62">
        <v>0</v>
      </c>
      <c r="BM765" s="275">
        <v>2</v>
      </c>
      <c r="BN765" s="62">
        <v>0</v>
      </c>
      <c r="BO765" s="33" t="s">
        <v>526</v>
      </c>
    </row>
    <row r="766" spans="1:67">
      <c r="A766" s="33" t="str">
        <f>Database_Productkaarten[[#This Row],[Product]]&amp;", "&amp;Database_Productkaarten[[#This Row],[Levensfase]]</f>
        <v>WB gietasfalt  - PCR 2.0, C2</v>
      </c>
      <c r="B766" s="33" t="s">
        <v>547</v>
      </c>
      <c r="C766" s="33" t="s">
        <v>483</v>
      </c>
      <c r="D766" s="33" t="s">
        <v>510</v>
      </c>
      <c r="E766" s="33" t="s">
        <v>378</v>
      </c>
      <c r="F766" s="33" t="s">
        <v>84</v>
      </c>
      <c r="L766" s="33">
        <v>2.1</v>
      </c>
      <c r="M766" s="269">
        <v>1</v>
      </c>
      <c r="N766" s="211">
        <v>0.35801078312874995</v>
      </c>
      <c r="O766" s="33">
        <v>75</v>
      </c>
      <c r="P766" s="163">
        <v>8.1301624999999996E-5</v>
      </c>
      <c r="Q766" s="163">
        <v>2.8204312499999998E-2</v>
      </c>
      <c r="R766" s="163">
        <v>3.6853721374999999</v>
      </c>
      <c r="S766" s="163">
        <v>7.0324562500000001E-7</v>
      </c>
      <c r="T766" s="163">
        <v>2.6647749999999999E-3</v>
      </c>
      <c r="U766" s="163">
        <v>1.116025E-2</v>
      </c>
      <c r="V766" s="163">
        <v>1.87016375E-3</v>
      </c>
      <c r="W766" s="163">
        <v>1.0029557</v>
      </c>
      <c r="X766" s="163">
        <v>3.9476962499999997E-2</v>
      </c>
      <c r="Y766" s="163">
        <v>104.371675</v>
      </c>
      <c r="Z766" s="163">
        <v>8.4311249999999994E-3</v>
      </c>
      <c r="AA766" s="163">
        <v>3.7331890125</v>
      </c>
      <c r="AB766" s="163">
        <v>3.7164208875</v>
      </c>
      <c r="AC766" s="163">
        <v>1.532341125E-2</v>
      </c>
      <c r="AD766" s="163">
        <v>1.44472E-3</v>
      </c>
      <c r="AE766" s="163">
        <v>8.79587125E-7</v>
      </c>
      <c r="AF766" s="163">
        <v>1.4056875E-2</v>
      </c>
      <c r="AG766" s="163">
        <v>3.9000600000000001E-5</v>
      </c>
      <c r="AH766" s="163">
        <v>3.2542037499999998E-3</v>
      </c>
      <c r="AI766" s="163">
        <v>3.7907725000000003E-2</v>
      </c>
      <c r="AJ766" s="163">
        <v>1.36244625E-2</v>
      </c>
      <c r="AK766" s="163">
        <v>8.1301250000000004E-5</v>
      </c>
      <c r="AL766" s="163">
        <v>58.905272875000001</v>
      </c>
      <c r="AM766" s="163">
        <v>0.3217441875</v>
      </c>
      <c r="AN766" s="163">
        <v>3.2144174999999999E-7</v>
      </c>
      <c r="AO766" s="163">
        <v>0.25122056250000002</v>
      </c>
      <c r="AP766" s="163">
        <v>56.998236249999998</v>
      </c>
      <c r="AQ766" s="163">
        <v>1.5226337500000001E-9</v>
      </c>
      <c r="AR766" s="163">
        <v>4.867285E-8</v>
      </c>
      <c r="AS766" s="163">
        <v>110.955825</v>
      </c>
      <c r="AT766" s="163">
        <v>9.0831365000000002</v>
      </c>
      <c r="AU766" s="163">
        <v>0</v>
      </c>
      <c r="AV766" s="313">
        <v>9.7931922999999994</v>
      </c>
      <c r="AW766" s="315">
        <v>0.79580531249999997</v>
      </c>
      <c r="AX766" s="315">
        <v>1.1178862500000001E-3</v>
      </c>
      <c r="AY766" s="313">
        <v>62.568930999999999</v>
      </c>
      <c r="AZ766" s="163">
        <v>0</v>
      </c>
      <c r="BA766" s="163">
        <v>0</v>
      </c>
      <c r="BB766" s="163">
        <v>0</v>
      </c>
      <c r="BC766" s="163">
        <v>9.8353875000000007E-3</v>
      </c>
      <c r="BD766" s="163">
        <v>1.7316162499999999E-4</v>
      </c>
      <c r="BE766" s="163">
        <v>6.2594438749999997</v>
      </c>
      <c r="BF766" s="163">
        <v>3.9263137500000002E-4</v>
      </c>
      <c r="BG766" s="163">
        <v>0</v>
      </c>
      <c r="BH766" s="163">
        <v>0</v>
      </c>
      <c r="BI766" s="163">
        <v>0</v>
      </c>
      <c r="BJ766" s="163">
        <v>0</v>
      </c>
      <c r="BK766" s="163">
        <v>0</v>
      </c>
      <c r="BL766" s="62">
        <v>0</v>
      </c>
      <c r="BM766" s="275">
        <v>2</v>
      </c>
      <c r="BN766" s="62">
        <v>0</v>
      </c>
      <c r="BO766" s="33" t="s">
        <v>526</v>
      </c>
    </row>
    <row r="767" spans="1:67">
      <c r="A767" s="33" t="str">
        <f>Database_Productkaarten[[#This Row],[Product]]&amp;", "&amp;Database_Productkaarten[[#This Row],[Levensfase]]</f>
        <v>WB gietasfalt  - PCR 2.0, C3</v>
      </c>
      <c r="B767" s="33" t="s">
        <v>547</v>
      </c>
      <c r="C767" s="33" t="s">
        <v>483</v>
      </c>
      <c r="D767" s="33" t="s">
        <v>510</v>
      </c>
      <c r="E767" s="33" t="s">
        <v>378</v>
      </c>
      <c r="F767" s="33" t="s">
        <v>85</v>
      </c>
      <c r="L767" s="33">
        <v>2.1</v>
      </c>
      <c r="M767" s="269">
        <v>1</v>
      </c>
      <c r="N767" s="211">
        <v>0</v>
      </c>
      <c r="O767" s="33">
        <v>75</v>
      </c>
      <c r="P767" s="163">
        <v>0</v>
      </c>
      <c r="Q767" s="163">
        <v>0</v>
      </c>
      <c r="R767" s="163">
        <v>0</v>
      </c>
      <c r="S767" s="163">
        <v>0</v>
      </c>
      <c r="T767" s="163">
        <v>0</v>
      </c>
      <c r="U767" s="163">
        <v>0</v>
      </c>
      <c r="V767" s="163">
        <v>0</v>
      </c>
      <c r="W767" s="163">
        <v>0</v>
      </c>
      <c r="X767" s="163">
        <v>0</v>
      </c>
      <c r="Y767" s="163">
        <v>0</v>
      </c>
      <c r="Z767" s="163">
        <v>0</v>
      </c>
      <c r="AA767" s="163">
        <v>0</v>
      </c>
      <c r="AB767" s="163">
        <v>0</v>
      </c>
      <c r="AC767" s="163">
        <v>0</v>
      </c>
      <c r="AD767" s="163">
        <v>0</v>
      </c>
      <c r="AE767" s="163">
        <v>0</v>
      </c>
      <c r="AF767" s="163">
        <v>0</v>
      </c>
      <c r="AG767" s="163">
        <v>0</v>
      </c>
      <c r="AH767" s="163">
        <v>0</v>
      </c>
      <c r="AI767" s="163">
        <v>0</v>
      </c>
      <c r="AJ767" s="163">
        <v>0</v>
      </c>
      <c r="AK767" s="163">
        <v>0</v>
      </c>
      <c r="AL767" s="163">
        <v>0</v>
      </c>
      <c r="AM767" s="163">
        <v>0</v>
      </c>
      <c r="AN767" s="163">
        <v>0</v>
      </c>
      <c r="AO767" s="163">
        <v>0</v>
      </c>
      <c r="AP767" s="163">
        <v>0</v>
      </c>
      <c r="AQ767" s="163">
        <v>0</v>
      </c>
      <c r="AR767" s="163">
        <v>0</v>
      </c>
      <c r="AS767" s="163">
        <v>0</v>
      </c>
      <c r="AT767" s="163">
        <v>0</v>
      </c>
      <c r="AU767" s="163">
        <v>0</v>
      </c>
      <c r="AV767" s="313">
        <v>0</v>
      </c>
      <c r="AW767" s="315">
        <v>0</v>
      </c>
      <c r="AX767" s="315">
        <v>0</v>
      </c>
      <c r="AY767" s="313">
        <v>0</v>
      </c>
      <c r="AZ767" s="163">
        <v>0</v>
      </c>
      <c r="BA767" s="163">
        <v>0</v>
      </c>
      <c r="BB767" s="163">
        <v>0</v>
      </c>
      <c r="BC767" s="163">
        <v>0</v>
      </c>
      <c r="BD767" s="163">
        <v>0</v>
      </c>
      <c r="BE767" s="163">
        <v>0</v>
      </c>
      <c r="BF767" s="163">
        <v>0</v>
      </c>
      <c r="BG767" s="163">
        <v>0</v>
      </c>
      <c r="BH767" s="163">
        <v>0</v>
      </c>
      <c r="BI767" s="163">
        <v>0</v>
      </c>
      <c r="BJ767" s="163">
        <v>0</v>
      </c>
      <c r="BK767" s="163">
        <v>0</v>
      </c>
      <c r="BL767" s="62">
        <v>0</v>
      </c>
      <c r="BM767" s="275">
        <v>2</v>
      </c>
      <c r="BN767" s="62">
        <v>0</v>
      </c>
      <c r="BO767" s="33" t="s">
        <v>526</v>
      </c>
    </row>
    <row r="768" spans="1:67">
      <c r="A768" s="33" t="str">
        <f>Database_Productkaarten[[#This Row],[Product]]&amp;", "&amp;Database_Productkaarten[[#This Row],[Levensfase]]</f>
        <v>WB gietasfalt  - PCR 2.0, C4</v>
      </c>
      <c r="B768" s="33" t="s">
        <v>547</v>
      </c>
      <c r="C768" s="33" t="s">
        <v>483</v>
      </c>
      <c r="D768" s="33" t="s">
        <v>510</v>
      </c>
      <c r="E768" s="33" t="s">
        <v>378</v>
      </c>
      <c r="F768" s="33" t="s">
        <v>86</v>
      </c>
      <c r="L768" s="33">
        <v>2.1</v>
      </c>
      <c r="M768" s="269">
        <v>1</v>
      </c>
      <c r="N768" s="211">
        <v>0.7296141746500171</v>
      </c>
      <c r="O768" s="33">
        <v>75</v>
      </c>
      <c r="P768" s="163">
        <v>4.8191034131105399E-5</v>
      </c>
      <c r="Q768" s="163">
        <v>7.0392419153822203E-2</v>
      </c>
      <c r="R768" s="163">
        <v>5.1682147630547304</v>
      </c>
      <c r="S768" s="163">
        <v>1.72133808732801E-6</v>
      </c>
      <c r="T768" s="163">
        <v>5.50516721002073E-3</v>
      </c>
      <c r="U768" s="163">
        <v>3.7795111552073699E-2</v>
      </c>
      <c r="V768" s="163">
        <v>7.2906223931785696E-3</v>
      </c>
      <c r="W768" s="163">
        <v>2.33599012231016</v>
      </c>
      <c r="X768" s="163">
        <v>5.5438446349023597E-2</v>
      </c>
      <c r="Y768" s="163">
        <v>198.2062629724</v>
      </c>
      <c r="Z768" s="163">
        <v>5.8670977003276803E-3</v>
      </c>
      <c r="AA768" s="163">
        <v>5.2774322520106196</v>
      </c>
      <c r="AB768" s="163">
        <v>5.2655222871368297</v>
      </c>
      <c r="AC768" s="163">
        <v>1.04420704841626E-2</v>
      </c>
      <c r="AD768" s="163">
        <v>1.4678943896201801E-3</v>
      </c>
      <c r="AE768" s="163">
        <v>2.1684935582940401E-6</v>
      </c>
      <c r="AF768" s="163">
        <v>4.9990692053720302E-2</v>
      </c>
      <c r="AG768" s="163">
        <v>5.9023121381438599E-5</v>
      </c>
      <c r="AH768" s="163">
        <v>1.71925473667464E-2</v>
      </c>
      <c r="AI768" s="163">
        <v>0.189559719597925</v>
      </c>
      <c r="AJ768" s="163">
        <v>5.5061349845082097E-2</v>
      </c>
      <c r="AK768" s="163">
        <v>4.8190634932919702E-5</v>
      </c>
      <c r="AL768" s="163">
        <v>147.217235291848</v>
      </c>
      <c r="AM768" s="163">
        <v>6.5991208231461096</v>
      </c>
      <c r="AN768" s="163">
        <v>9.6986339733199702E-7</v>
      </c>
      <c r="AO768" s="163">
        <v>0.60391960399846001</v>
      </c>
      <c r="AP768" s="163">
        <v>95.499347823959994</v>
      </c>
      <c r="AQ768" s="163">
        <v>2.20757521305483E-9</v>
      </c>
      <c r="AR768" s="163">
        <v>6.7894331496460696E-8</v>
      </c>
      <c r="AS768" s="163">
        <v>308.74374267222203</v>
      </c>
      <c r="AT768" s="163">
        <v>0</v>
      </c>
      <c r="AU768" s="163">
        <v>0</v>
      </c>
      <c r="AV768" s="313">
        <v>1.1902980485677299</v>
      </c>
      <c r="AW768" s="315">
        <v>0</v>
      </c>
      <c r="AX768" s="315">
        <v>0</v>
      </c>
      <c r="AY768" s="313">
        <v>156.37620338061299</v>
      </c>
      <c r="AZ768" s="163">
        <v>0</v>
      </c>
      <c r="BA768" s="163">
        <v>0</v>
      </c>
      <c r="BB768" s="163">
        <v>0</v>
      </c>
      <c r="BC768" s="163">
        <v>0.15723153067207801</v>
      </c>
      <c r="BD768" s="163">
        <v>2.1998950042333799E-4</v>
      </c>
      <c r="BE768" s="163">
        <v>999.69461551998995</v>
      </c>
      <c r="BF768" s="163">
        <v>9.6680517495675801E-4</v>
      </c>
      <c r="BG768" s="163">
        <v>0</v>
      </c>
      <c r="BH768" s="163">
        <v>0</v>
      </c>
      <c r="BI768" s="163">
        <v>0</v>
      </c>
      <c r="BJ768" s="163">
        <v>0</v>
      </c>
      <c r="BK768" s="163">
        <v>0</v>
      </c>
      <c r="BL768" s="62">
        <v>0</v>
      </c>
      <c r="BM768" s="275">
        <v>2</v>
      </c>
      <c r="BN768" s="62">
        <v>0</v>
      </c>
      <c r="BO768" s="33" t="s">
        <v>526</v>
      </c>
    </row>
    <row r="769" spans="1:67">
      <c r="A769" s="33" t="str">
        <f>Database_Productkaarten[[#This Row],[Product]]&amp;", "&amp;Database_Productkaarten[[#This Row],[Levensfase]]</f>
        <v>WB gietasfalt  - PCR 2.0, D</v>
      </c>
      <c r="B769" s="33" t="s">
        <v>547</v>
      </c>
      <c r="C769" s="33" t="s">
        <v>483</v>
      </c>
      <c r="D769" s="33" t="s">
        <v>510</v>
      </c>
      <c r="E769" s="33" t="s">
        <v>378</v>
      </c>
      <c r="F769" s="33" t="s">
        <v>89</v>
      </c>
      <c r="L769" s="33">
        <v>2.1</v>
      </c>
      <c r="M769" s="269">
        <v>1</v>
      </c>
      <c r="N769" s="211">
        <v>0</v>
      </c>
      <c r="O769" s="33">
        <v>75</v>
      </c>
      <c r="P769" s="163">
        <v>0</v>
      </c>
      <c r="Q769" s="163">
        <v>0</v>
      </c>
      <c r="R769" s="163">
        <v>0</v>
      </c>
      <c r="S769" s="163">
        <v>0</v>
      </c>
      <c r="T769" s="163">
        <v>0</v>
      </c>
      <c r="U769" s="163">
        <v>0</v>
      </c>
      <c r="V769" s="163">
        <v>0</v>
      </c>
      <c r="W769" s="163">
        <v>0</v>
      </c>
      <c r="X769" s="163">
        <v>0</v>
      </c>
      <c r="Y769" s="163">
        <v>0</v>
      </c>
      <c r="Z769" s="163">
        <v>0</v>
      </c>
      <c r="AA769" s="163">
        <v>0</v>
      </c>
      <c r="AB769" s="163">
        <v>0</v>
      </c>
      <c r="AC769" s="163">
        <v>0</v>
      </c>
      <c r="AD769" s="163">
        <v>0</v>
      </c>
      <c r="AE769" s="163">
        <v>0</v>
      </c>
      <c r="AF769" s="163">
        <v>0</v>
      </c>
      <c r="AG769" s="163">
        <v>0</v>
      </c>
      <c r="AH769" s="163">
        <v>0</v>
      </c>
      <c r="AI769" s="163">
        <v>0</v>
      </c>
      <c r="AJ769" s="163">
        <v>0</v>
      </c>
      <c r="AK769" s="163">
        <v>0</v>
      </c>
      <c r="AL769" s="163">
        <v>0</v>
      </c>
      <c r="AM769" s="163">
        <v>0</v>
      </c>
      <c r="AN769" s="163">
        <v>0</v>
      </c>
      <c r="AO769" s="163">
        <v>0</v>
      </c>
      <c r="AP769" s="163">
        <v>0</v>
      </c>
      <c r="AQ769" s="163">
        <v>0</v>
      </c>
      <c r="AR769" s="163">
        <v>0</v>
      </c>
      <c r="AS769" s="163">
        <v>0</v>
      </c>
      <c r="AT769" s="163">
        <v>0</v>
      </c>
      <c r="AU769" s="163">
        <v>0</v>
      </c>
      <c r="AV769" s="313">
        <v>0</v>
      </c>
      <c r="AW769" s="315">
        <v>0</v>
      </c>
      <c r="AX769" s="315">
        <v>0</v>
      </c>
      <c r="AY769" s="313">
        <v>0</v>
      </c>
      <c r="AZ769" s="163">
        <v>0</v>
      </c>
      <c r="BA769" s="163">
        <v>0</v>
      </c>
      <c r="BB769" s="163">
        <v>0</v>
      </c>
      <c r="BC769" s="163">
        <v>0</v>
      </c>
      <c r="BD769" s="163">
        <v>0</v>
      </c>
      <c r="BE769" s="163">
        <v>0</v>
      </c>
      <c r="BF769" s="163">
        <v>0</v>
      </c>
      <c r="BG769" s="163">
        <v>0</v>
      </c>
      <c r="BH769" s="163">
        <v>0</v>
      </c>
      <c r="BI769" s="163">
        <v>0</v>
      </c>
      <c r="BJ769" s="163">
        <v>0</v>
      </c>
      <c r="BK769" s="163">
        <v>0</v>
      </c>
      <c r="BL769" s="62">
        <v>0</v>
      </c>
      <c r="BM769" s="275">
        <v>2</v>
      </c>
      <c r="BN769" s="62">
        <v>0</v>
      </c>
      <c r="BO769" s="33" t="s">
        <v>526</v>
      </c>
    </row>
    <row r="770" spans="1:67">
      <c r="A770" s="33" t="str">
        <f>Database_Productkaarten[[#This Row],[Product]]&amp;", "&amp;Database_Productkaarten[[#This Row],[Levensfase]]</f>
        <v>WB asfaltmastiek - PCR 2.0, Totaal</v>
      </c>
      <c r="B770" s="33" t="s">
        <v>548</v>
      </c>
      <c r="C770" s="33" t="s">
        <v>483</v>
      </c>
      <c r="D770" s="33" t="s">
        <v>508</v>
      </c>
      <c r="E770" s="33" t="s">
        <v>378</v>
      </c>
      <c r="F770" s="33" t="s">
        <v>90</v>
      </c>
      <c r="L770" s="33">
        <v>2</v>
      </c>
      <c r="M770" s="269">
        <v>1</v>
      </c>
      <c r="N770" s="41">
        <f>SUM(N771:N786)</f>
        <v>45.154020037514236</v>
      </c>
      <c r="O770" s="33">
        <v>75</v>
      </c>
      <c r="P770" s="40">
        <f>SUM(P771:P786)</f>
        <v>1.6069152635419279E-3</v>
      </c>
      <c r="Q770" s="40">
        <f t="shared" ref="Q770:BK770" si="87">SUM(Q771:Q786)</f>
        <v>7.9337415850020063</v>
      </c>
      <c r="R770" s="40">
        <f t="shared" si="87"/>
        <v>369.14011626243075</v>
      </c>
      <c r="S770" s="40">
        <f t="shared" si="87"/>
        <v>3.5847948709712153E-5</v>
      </c>
      <c r="T770" s="40">
        <f t="shared" si="87"/>
        <v>0.79683102921292681</v>
      </c>
      <c r="U770" s="40">
        <f t="shared" si="87"/>
        <v>2.1574524906212114</v>
      </c>
      <c r="V770" s="40">
        <f t="shared" si="87"/>
        <v>0.19427979231858811</v>
      </c>
      <c r="W770" s="40">
        <f t="shared" si="87"/>
        <v>87.15291700310253</v>
      </c>
      <c r="X770" s="40">
        <f t="shared" si="87"/>
        <v>11.804461673724751</v>
      </c>
      <c r="Y770" s="40">
        <f t="shared" si="87"/>
        <v>51639.458775737075</v>
      </c>
      <c r="Z770" s="40">
        <f t="shared" si="87"/>
        <v>1.5408436007707667</v>
      </c>
      <c r="AA770" s="40">
        <f t="shared" si="87"/>
        <v>390.31914385221899</v>
      </c>
      <c r="AB770" s="40">
        <f t="shared" si="87"/>
        <v>389.56219474683843</v>
      </c>
      <c r="AC770" s="40">
        <f t="shared" si="87"/>
        <v>0.75855493561831255</v>
      </c>
      <c r="AD770" s="40">
        <f t="shared" si="87"/>
        <v>0.19056211401294212</v>
      </c>
      <c r="AE770" s="40">
        <f t="shared" si="87"/>
        <v>4.3819708451775605E-5</v>
      </c>
      <c r="AF770" s="40">
        <f t="shared" si="87"/>
        <v>2.5514267077540089</v>
      </c>
      <c r="AG770" s="40">
        <f t="shared" si="87"/>
        <v>4.5066379167500335E-3</v>
      </c>
      <c r="AH770" s="40">
        <f t="shared" si="87"/>
        <v>0.41843327026038862</v>
      </c>
      <c r="AI770" s="40">
        <f t="shared" si="87"/>
        <v>4.1715012335859054</v>
      </c>
      <c r="AJ770" s="40">
        <f t="shared" si="87"/>
        <v>2.5765281708657115</v>
      </c>
      <c r="AK770" s="40">
        <f t="shared" si="87"/>
        <v>1.6065953159935848E-3</v>
      </c>
      <c r="AL770" s="40">
        <f t="shared" si="87"/>
        <v>16699.6450848118</v>
      </c>
      <c r="AM770" s="40">
        <f t="shared" si="87"/>
        <v>301.33272400717101</v>
      </c>
      <c r="AN770" s="40">
        <f t="shared" si="87"/>
        <v>1.3247042645678284E-5</v>
      </c>
      <c r="AO770" s="40">
        <f t="shared" si="87"/>
        <v>10.530780689062953</v>
      </c>
      <c r="AP770" s="40">
        <f t="shared" si="87"/>
        <v>19260.160997824529</v>
      </c>
      <c r="AQ770" s="40">
        <f t="shared" si="87"/>
        <v>9.7779305479010115E-8</v>
      </c>
      <c r="AR770" s="40">
        <f t="shared" si="87"/>
        <v>4.5106656593332328E-6</v>
      </c>
      <c r="AS770" s="40">
        <f t="shared" si="87"/>
        <v>3147.2103004598357</v>
      </c>
      <c r="AT770" s="40">
        <f t="shared" si="87"/>
        <v>9.0831365000000002</v>
      </c>
      <c r="AU770" s="40">
        <f t="shared" si="87"/>
        <v>0</v>
      </c>
      <c r="AV770" s="313">
        <f t="shared" si="87"/>
        <v>123.26155302047623</v>
      </c>
      <c r="AW770" s="317">
        <f t="shared" si="87"/>
        <v>0.79580531249999997</v>
      </c>
      <c r="AX770" s="317">
        <f t="shared" si="87"/>
        <v>1.1178862500000001E-3</v>
      </c>
      <c r="AY770" s="313">
        <f t="shared" si="87"/>
        <v>17796.099531561526</v>
      </c>
      <c r="AZ770" s="40">
        <f t="shared" si="87"/>
        <v>0</v>
      </c>
      <c r="BA770" s="40">
        <f t="shared" si="87"/>
        <v>0</v>
      </c>
      <c r="BB770" s="40">
        <f t="shared" si="87"/>
        <v>0</v>
      </c>
      <c r="BC770" s="40">
        <f t="shared" si="87"/>
        <v>7.2168024466013945</v>
      </c>
      <c r="BD770" s="40">
        <f t="shared" si="87"/>
        <v>8.4583956518478887E-3</v>
      </c>
      <c r="BE770" s="40">
        <f t="shared" si="87"/>
        <v>1058.2587496806996</v>
      </c>
      <c r="BF770" s="40">
        <f t="shared" si="87"/>
        <v>1.0074670028368125E-2</v>
      </c>
      <c r="BG770" s="40">
        <f t="shared" si="87"/>
        <v>0</v>
      </c>
      <c r="BH770" s="40">
        <f t="shared" si="87"/>
        <v>0</v>
      </c>
      <c r="BI770" s="40">
        <f t="shared" si="87"/>
        <v>0</v>
      </c>
      <c r="BJ770" s="40">
        <f t="shared" si="87"/>
        <v>0</v>
      </c>
      <c r="BK770" s="40">
        <f t="shared" si="87"/>
        <v>0</v>
      </c>
      <c r="BL770" s="62">
        <v>0</v>
      </c>
      <c r="BM770" s="275">
        <v>2</v>
      </c>
      <c r="BN770" s="62">
        <v>0</v>
      </c>
      <c r="BO770" s="33" t="s">
        <v>526</v>
      </c>
    </row>
    <row r="771" spans="1:67">
      <c r="A771" s="33" t="str">
        <f>Database_Productkaarten[[#This Row],[Product]]&amp;", "&amp;Database_Productkaarten[[#This Row],[Levensfase]]</f>
        <v>WB asfaltmastiek - PCR 2.0, A1</v>
      </c>
      <c r="B771" s="33" t="s">
        <v>548</v>
      </c>
      <c r="C771" s="33" t="s">
        <v>483</v>
      </c>
      <c r="D771" s="33" t="s">
        <v>508</v>
      </c>
      <c r="E771" s="33" t="s">
        <v>378</v>
      </c>
      <c r="F771" s="33" t="s">
        <v>74</v>
      </c>
      <c r="L771" s="33">
        <v>2</v>
      </c>
      <c r="M771" s="269">
        <v>1</v>
      </c>
      <c r="N771" s="211">
        <v>17.684206306398643</v>
      </c>
      <c r="O771" s="33">
        <v>75</v>
      </c>
      <c r="P771" s="163">
        <v>3.0964854745425699E-4</v>
      </c>
      <c r="Q771" s="163">
        <v>3.5512366372863098</v>
      </c>
      <c r="R771" s="163">
        <v>132.57070712081801</v>
      </c>
      <c r="S771" s="163">
        <v>1.0331246074068299E-5</v>
      </c>
      <c r="T771" s="163">
        <v>0.37726247509640798</v>
      </c>
      <c r="U771" s="163">
        <v>0.92163494011859504</v>
      </c>
      <c r="V771" s="163">
        <v>6.6069048446824902E-2</v>
      </c>
      <c r="W771" s="163">
        <v>30.831645145811301</v>
      </c>
      <c r="X771" s="163">
        <v>5.6091927770204899</v>
      </c>
      <c r="Y771" s="163">
        <v>24667.899955119901</v>
      </c>
      <c r="Z771" s="163">
        <v>0.69189364346460203</v>
      </c>
      <c r="AA771" s="163">
        <v>142.454054537372</v>
      </c>
      <c r="AB771" s="163">
        <v>142.21594863351899</v>
      </c>
      <c r="AC771" s="163">
        <v>0.25804343183595801</v>
      </c>
      <c r="AD771" s="163">
        <v>7.6146472017301806E-2</v>
      </c>
      <c r="AE771" s="163">
        <v>1.2746105193368899E-5</v>
      </c>
      <c r="AF771" s="163">
        <v>1.0666970308477399</v>
      </c>
      <c r="AG771" s="163">
        <v>1.5272166132737201E-3</v>
      </c>
      <c r="AH771" s="163">
        <v>0.13668757838242701</v>
      </c>
      <c r="AI771" s="163">
        <v>1.28073459557915</v>
      </c>
      <c r="AJ771" s="163">
        <v>1.06063405585086</v>
      </c>
      <c r="AK771" s="163">
        <v>3.0949313158553E-4</v>
      </c>
      <c r="AL771" s="163">
        <v>7537.79222497521</v>
      </c>
      <c r="AM771" s="163">
        <v>145.144181685691</v>
      </c>
      <c r="AN771" s="163">
        <v>4.3036427030034103E-6</v>
      </c>
      <c r="AO771" s="163">
        <v>3.1220145538289801</v>
      </c>
      <c r="AP771" s="163">
        <v>9164.2177817463798</v>
      </c>
      <c r="AQ771" s="163">
        <v>3.46219764590632E-8</v>
      </c>
      <c r="AR771" s="163">
        <v>1.87208435870727E-6</v>
      </c>
      <c r="AS771" s="163">
        <v>1054.6367450390601</v>
      </c>
      <c r="AT771" s="163">
        <v>0</v>
      </c>
      <c r="AU771" s="163">
        <v>0</v>
      </c>
      <c r="AV771" s="313">
        <v>39.805646751040001</v>
      </c>
      <c r="AW771" s="315">
        <v>0</v>
      </c>
      <c r="AX771" s="315">
        <v>0</v>
      </c>
      <c r="AY771" s="313">
        <v>8021.6361528861798</v>
      </c>
      <c r="AZ771" s="163">
        <v>0</v>
      </c>
      <c r="BA771" s="163">
        <v>0</v>
      </c>
      <c r="BB771" s="163">
        <v>0</v>
      </c>
      <c r="BC771" s="163">
        <v>3.4150633680393798</v>
      </c>
      <c r="BD771" s="163">
        <v>2.7695140870298098E-3</v>
      </c>
      <c r="BE771" s="163">
        <v>8.1562963658087693</v>
      </c>
      <c r="BF771" s="163">
        <v>1.81308239601166E-3</v>
      </c>
      <c r="BG771" s="163">
        <v>0</v>
      </c>
      <c r="BH771" s="163">
        <v>0</v>
      </c>
      <c r="BI771" s="163">
        <v>0</v>
      </c>
      <c r="BJ771" s="163">
        <v>0</v>
      </c>
      <c r="BK771" s="163">
        <v>0</v>
      </c>
      <c r="BL771" s="62">
        <v>0</v>
      </c>
      <c r="BM771" s="275">
        <v>2</v>
      </c>
      <c r="BN771" s="62">
        <v>0</v>
      </c>
      <c r="BO771" s="33" t="s">
        <v>526</v>
      </c>
    </row>
    <row r="772" spans="1:67">
      <c r="A772" s="33" t="str">
        <f>Database_Productkaarten[[#This Row],[Product]]&amp;", "&amp;Database_Productkaarten[[#This Row],[Levensfase]]</f>
        <v>WB asfaltmastiek - PCR 2.0, A2</v>
      </c>
      <c r="B772" s="33" t="s">
        <v>548</v>
      </c>
      <c r="C772" s="33" t="s">
        <v>483</v>
      </c>
      <c r="D772" s="33" t="s">
        <v>508</v>
      </c>
      <c r="E772" s="33" t="s">
        <v>378</v>
      </c>
      <c r="F772" s="33" t="s">
        <v>75</v>
      </c>
      <c r="L772" s="33">
        <v>2</v>
      </c>
      <c r="M772" s="269">
        <v>1</v>
      </c>
      <c r="N772" s="211">
        <v>1.8060433164217475</v>
      </c>
      <c r="O772" s="33">
        <v>75</v>
      </c>
      <c r="P772" s="163">
        <v>2.9490222146635501E-4</v>
      </c>
      <c r="Q772" s="163">
        <v>0.104515720889001</v>
      </c>
      <c r="R772" s="163">
        <v>15.0372785136781</v>
      </c>
      <c r="S772" s="163">
        <v>2.4951810453037299E-6</v>
      </c>
      <c r="T772" s="163">
        <v>8.9948950012656605E-3</v>
      </c>
      <c r="U772" s="163">
        <v>8.0069452021788307E-2</v>
      </c>
      <c r="V772" s="163">
        <v>1.6725996771226999E-2</v>
      </c>
      <c r="W772" s="163">
        <v>5.4314266128861597</v>
      </c>
      <c r="X772" s="163">
        <v>0.153397214132447</v>
      </c>
      <c r="Y772" s="163">
        <v>538.50808364796103</v>
      </c>
      <c r="Z772" s="163">
        <v>2.086911049262E-2</v>
      </c>
      <c r="AA772" s="163">
        <v>15.1899912658328</v>
      </c>
      <c r="AB772" s="163">
        <v>15.163856023016701</v>
      </c>
      <c r="AC772" s="163">
        <v>1.29361984841885E-2</v>
      </c>
      <c r="AD772" s="163">
        <v>1.3199044331974901E-2</v>
      </c>
      <c r="AE772" s="163">
        <v>3.12102520518896E-6</v>
      </c>
      <c r="AF772" s="163">
        <v>0.108915902012013</v>
      </c>
      <c r="AG772" s="163">
        <v>1.6290057265239401E-4</v>
      </c>
      <c r="AH772" s="163">
        <v>4.2226774097186802E-2</v>
      </c>
      <c r="AI772" s="163">
        <v>0.46514641128287598</v>
      </c>
      <c r="AJ772" s="163">
        <v>0.12620545488188001</v>
      </c>
      <c r="AK772" s="163">
        <v>2.9489871142331401E-4</v>
      </c>
      <c r="AL772" s="163">
        <v>216.335548921651</v>
      </c>
      <c r="AM772" s="163">
        <v>0.84748636898639196</v>
      </c>
      <c r="AN772" s="163">
        <v>1.01939495507752E-6</v>
      </c>
      <c r="AO772" s="163">
        <v>0.91593289849762805</v>
      </c>
      <c r="AP772" s="163">
        <v>192.40112843547001</v>
      </c>
      <c r="AQ772" s="163">
        <v>6.8118480639354096E-9</v>
      </c>
      <c r="AR772" s="163">
        <v>1.87110002976505E-7</v>
      </c>
      <c r="AS772" s="163">
        <v>180.992483000894</v>
      </c>
      <c r="AT772" s="163">
        <v>0</v>
      </c>
      <c r="AU772" s="163">
        <v>0</v>
      </c>
      <c r="AV772" s="313">
        <v>3.419379302766</v>
      </c>
      <c r="AW772" s="315">
        <v>0</v>
      </c>
      <c r="AX772" s="315">
        <v>0</v>
      </c>
      <c r="AY772" s="313">
        <v>229.652138934813</v>
      </c>
      <c r="AZ772" s="163">
        <v>0</v>
      </c>
      <c r="BA772" s="163">
        <v>0</v>
      </c>
      <c r="BB772" s="163">
        <v>0</v>
      </c>
      <c r="BC772" s="163">
        <v>3.0832493939876901E-2</v>
      </c>
      <c r="BD772" s="163">
        <v>5.5285419668059301E-4</v>
      </c>
      <c r="BE772" s="163">
        <v>9.9400553419347197</v>
      </c>
      <c r="BF772" s="163">
        <v>1.4150263971606401E-3</v>
      </c>
      <c r="BG772" s="163">
        <v>0</v>
      </c>
      <c r="BH772" s="163">
        <v>0</v>
      </c>
      <c r="BI772" s="163">
        <v>0</v>
      </c>
      <c r="BJ772" s="163">
        <v>0</v>
      </c>
      <c r="BK772" s="163">
        <v>0</v>
      </c>
      <c r="BL772" s="62">
        <v>0</v>
      </c>
      <c r="BM772" s="275">
        <v>2</v>
      </c>
      <c r="BN772" s="62">
        <v>0</v>
      </c>
      <c r="BO772" s="33" t="s">
        <v>526</v>
      </c>
    </row>
    <row r="773" spans="1:67">
      <c r="A773" s="33" t="str">
        <f>Database_Productkaarten[[#This Row],[Product]]&amp;", "&amp;Database_Productkaarten[[#This Row],[Levensfase]]</f>
        <v>WB asfaltmastiek - PCR 2.0, A3</v>
      </c>
      <c r="B773" s="33" t="s">
        <v>548</v>
      </c>
      <c r="C773" s="33" t="s">
        <v>483</v>
      </c>
      <c r="D773" s="33" t="s">
        <v>508</v>
      </c>
      <c r="E773" s="33" t="s">
        <v>378</v>
      </c>
      <c r="F773" s="33" t="s">
        <v>76</v>
      </c>
      <c r="L773" s="33">
        <v>2</v>
      </c>
      <c r="M773" s="269">
        <v>1</v>
      </c>
      <c r="N773" s="211">
        <v>1.847735329871298</v>
      </c>
      <c r="O773" s="33">
        <v>75</v>
      </c>
      <c r="P773" s="163">
        <v>3.6696214261351001E-5</v>
      </c>
      <c r="Q773" s="163">
        <v>0.21282208934441499</v>
      </c>
      <c r="R773" s="163">
        <v>25.4384078464795</v>
      </c>
      <c r="S773" s="163">
        <v>2.6327154919851499E-6</v>
      </c>
      <c r="T773" s="163">
        <v>4.0847780382791904E-3</v>
      </c>
      <c r="U773" s="163">
        <v>2.87475466225957E-2</v>
      </c>
      <c r="V773" s="163">
        <v>5.1395397256409703E-3</v>
      </c>
      <c r="W773" s="163">
        <v>3.9320806323904698</v>
      </c>
      <c r="X773" s="163">
        <v>3.57924972628803E-2</v>
      </c>
      <c r="Y773" s="163">
        <v>147.38384133627599</v>
      </c>
      <c r="Z773" s="163">
        <v>4.2725572146813398E-2</v>
      </c>
      <c r="AA773" s="163">
        <v>25.8519840799398</v>
      </c>
      <c r="AB773" s="163">
        <v>25.7566973983817</v>
      </c>
      <c r="AC773" s="163">
        <v>9.2297011633200504E-2</v>
      </c>
      <c r="AD773" s="163">
        <v>2.9896699249101501E-3</v>
      </c>
      <c r="AE773" s="163">
        <v>2.9438913269446801E-6</v>
      </c>
      <c r="AF773" s="163">
        <v>3.6806994046661497E-2</v>
      </c>
      <c r="AG773" s="163">
        <v>4.7111918131202397E-4</v>
      </c>
      <c r="AH773" s="163">
        <v>9.7261815558000592E-3</v>
      </c>
      <c r="AI773" s="163">
        <v>0.111798687711369</v>
      </c>
      <c r="AJ773" s="163">
        <v>3.2480203516256197E-2</v>
      </c>
      <c r="AK773" s="163">
        <v>3.6695722343293402E-5</v>
      </c>
      <c r="AL773" s="163">
        <v>389.66087239538899</v>
      </c>
      <c r="AM773" s="163">
        <v>0.89580152422276105</v>
      </c>
      <c r="AN773" s="163">
        <v>2.1942783645897E-7</v>
      </c>
      <c r="AO773" s="163">
        <v>0.35671105742574399</v>
      </c>
      <c r="AP773" s="163">
        <v>124.082466175638</v>
      </c>
      <c r="AQ773" s="163">
        <v>3.6139476172632999E-9</v>
      </c>
      <c r="AR773" s="163">
        <v>7.6082558940184104E-8</v>
      </c>
      <c r="AS773" s="163">
        <v>25.832566640117999</v>
      </c>
      <c r="AT773" s="163">
        <v>0</v>
      </c>
      <c r="AU773" s="163">
        <v>0</v>
      </c>
      <c r="AV773" s="313">
        <v>11.9405992111259</v>
      </c>
      <c r="AW773" s="315">
        <v>0</v>
      </c>
      <c r="AX773" s="315">
        <v>0</v>
      </c>
      <c r="AY773" s="313">
        <v>427.93881288477797</v>
      </c>
      <c r="AZ773" s="163">
        <v>0</v>
      </c>
      <c r="BA773" s="163">
        <v>0</v>
      </c>
      <c r="BB773" s="163">
        <v>0</v>
      </c>
      <c r="BC773" s="163">
        <v>6.8732086950317905E-2</v>
      </c>
      <c r="BD773" s="163">
        <v>4.51093711342164E-4</v>
      </c>
      <c r="BE773" s="163">
        <v>0.407973324352849</v>
      </c>
      <c r="BF773" s="163">
        <v>4.2576666286569799E-4</v>
      </c>
      <c r="BG773" s="163">
        <v>0</v>
      </c>
      <c r="BH773" s="163">
        <v>0</v>
      </c>
      <c r="BI773" s="163">
        <v>0</v>
      </c>
      <c r="BJ773" s="163">
        <v>0</v>
      </c>
      <c r="BK773" s="163">
        <v>0</v>
      </c>
      <c r="BL773" s="62">
        <v>0</v>
      </c>
      <c r="BM773" s="275">
        <v>2</v>
      </c>
      <c r="BN773" s="62">
        <v>0</v>
      </c>
      <c r="BO773" s="33" t="s">
        <v>526</v>
      </c>
    </row>
    <row r="774" spans="1:67">
      <c r="A774" s="33" t="str">
        <f>Database_Productkaarten[[#This Row],[Product]]&amp;", "&amp;Database_Productkaarten[[#This Row],[Levensfase]]</f>
        <v>WB asfaltmastiek - PCR 2.0, A1-A3</v>
      </c>
      <c r="B774" s="33" t="str">
        <f>B773</f>
        <v>WB asfaltmastiek - PCR 2.0</v>
      </c>
      <c r="C774" s="33" t="str">
        <f>C773</f>
        <v>Bitumineuze verhardingen</v>
      </c>
      <c r="D774" s="33" t="str">
        <f>D773</f>
        <v>Asfaltmastiek</v>
      </c>
      <c r="E774" s="33" t="str">
        <f>E773</f>
        <v>Ton</v>
      </c>
      <c r="F774" s="33" t="s">
        <v>77</v>
      </c>
      <c r="L774" s="33">
        <f>L773</f>
        <v>2</v>
      </c>
      <c r="M774" s="45">
        <f>M773</f>
        <v>1</v>
      </c>
      <c r="N774" s="41">
        <f>SUM(N771:N773)</f>
        <v>21.337984952691688</v>
      </c>
      <c r="O774" s="33">
        <f>O773</f>
        <v>75</v>
      </c>
      <c r="P774" s="40">
        <f>SUM(P771:P773)</f>
        <v>6.4124698318196297E-4</v>
      </c>
      <c r="Q774" s="40">
        <f t="shared" ref="Q774:BK774" si="88">SUM(Q771:Q773)</f>
        <v>3.8685744475197259</v>
      </c>
      <c r="R774" s="40">
        <f t="shared" si="88"/>
        <v>173.04639348097561</v>
      </c>
      <c r="S774" s="40">
        <f t="shared" si="88"/>
        <v>1.5459142611357177E-5</v>
      </c>
      <c r="T774" s="40">
        <f t="shared" si="88"/>
        <v>0.3903421481359528</v>
      </c>
      <c r="U774" s="40">
        <f t="shared" si="88"/>
        <v>1.0304519387629791</v>
      </c>
      <c r="V774" s="40">
        <f t="shared" si="88"/>
        <v>8.793458494369287E-2</v>
      </c>
      <c r="W774" s="40">
        <f t="shared" si="88"/>
        <v>40.19515239108793</v>
      </c>
      <c r="X774" s="40">
        <f t="shared" si="88"/>
        <v>5.7983824884158173</v>
      </c>
      <c r="Y774" s="40">
        <f t="shared" si="88"/>
        <v>25353.791880104138</v>
      </c>
      <c r="Z774" s="40">
        <f t="shared" si="88"/>
        <v>0.75548832610403538</v>
      </c>
      <c r="AA774" s="40">
        <f t="shared" si="88"/>
        <v>183.49602988314459</v>
      </c>
      <c r="AB774" s="40">
        <f t="shared" si="88"/>
        <v>183.1365020549174</v>
      </c>
      <c r="AC774" s="40">
        <f t="shared" si="88"/>
        <v>0.36327664195334697</v>
      </c>
      <c r="AD774" s="40">
        <f t="shared" si="88"/>
        <v>9.2335186274186853E-2</v>
      </c>
      <c r="AE774" s="40">
        <f t="shared" si="88"/>
        <v>1.8811021725502541E-5</v>
      </c>
      <c r="AF774" s="40">
        <f t="shared" si="88"/>
        <v>1.2124199269064144</v>
      </c>
      <c r="AG774" s="40">
        <f t="shared" si="88"/>
        <v>2.1612363672381379E-3</v>
      </c>
      <c r="AH774" s="40">
        <f t="shared" si="88"/>
        <v>0.18864053403541386</v>
      </c>
      <c r="AI774" s="40">
        <f t="shared" si="88"/>
        <v>1.8576796945733951</v>
      </c>
      <c r="AJ774" s="40">
        <f t="shared" si="88"/>
        <v>1.2193197142489962</v>
      </c>
      <c r="AK774" s="40">
        <f t="shared" si="88"/>
        <v>6.4108756535213743E-4</v>
      </c>
      <c r="AL774" s="40">
        <f t="shared" si="88"/>
        <v>8143.7886462922497</v>
      </c>
      <c r="AM774" s="40">
        <f t="shared" si="88"/>
        <v>146.88746957890012</v>
      </c>
      <c r="AN774" s="40">
        <f t="shared" si="88"/>
        <v>5.5424654945398999E-6</v>
      </c>
      <c r="AO774" s="40">
        <f t="shared" si="88"/>
        <v>4.3946585097523521</v>
      </c>
      <c r="AP774" s="40">
        <f t="shared" si="88"/>
        <v>9480.7013763574869</v>
      </c>
      <c r="AQ774" s="40">
        <f t="shared" si="88"/>
        <v>4.5047772140261907E-8</v>
      </c>
      <c r="AR774" s="40">
        <f t="shared" si="88"/>
        <v>2.135276920623959E-6</v>
      </c>
      <c r="AS774" s="40">
        <f t="shared" si="88"/>
        <v>1261.4617946800722</v>
      </c>
      <c r="AT774" s="40">
        <f t="shared" si="88"/>
        <v>0</v>
      </c>
      <c r="AU774" s="40">
        <f t="shared" si="88"/>
        <v>0</v>
      </c>
      <c r="AV774" s="317">
        <f t="shared" si="88"/>
        <v>55.165625264931904</v>
      </c>
      <c r="AW774" s="317">
        <f t="shared" si="88"/>
        <v>0</v>
      </c>
      <c r="AX774" s="317">
        <f t="shared" si="88"/>
        <v>0</v>
      </c>
      <c r="AY774" s="317">
        <f t="shared" si="88"/>
        <v>8679.2271047057711</v>
      </c>
      <c r="AZ774" s="40">
        <f t="shared" si="88"/>
        <v>0</v>
      </c>
      <c r="BA774" s="40">
        <f t="shared" si="88"/>
        <v>0</v>
      </c>
      <c r="BB774" s="40">
        <f t="shared" si="88"/>
        <v>0</v>
      </c>
      <c r="BC774" s="40">
        <f t="shared" si="88"/>
        <v>3.5146279489295744</v>
      </c>
      <c r="BD774" s="40">
        <f t="shared" si="88"/>
        <v>3.7734619950525669E-3</v>
      </c>
      <c r="BE774" s="40">
        <f t="shared" si="88"/>
        <v>18.504325032096336</v>
      </c>
      <c r="BF774" s="40">
        <f t="shared" si="88"/>
        <v>3.6538754560379977E-3</v>
      </c>
      <c r="BG774" s="40">
        <f t="shared" si="88"/>
        <v>0</v>
      </c>
      <c r="BH774" s="40">
        <f t="shared" si="88"/>
        <v>0</v>
      </c>
      <c r="BI774" s="40">
        <f t="shared" si="88"/>
        <v>0</v>
      </c>
      <c r="BJ774" s="40">
        <f t="shared" si="88"/>
        <v>0</v>
      </c>
      <c r="BK774" s="40">
        <f t="shared" si="88"/>
        <v>0</v>
      </c>
      <c r="BL774" s="62">
        <f>BL773</f>
        <v>0</v>
      </c>
      <c r="BM774" s="275">
        <f>BM773</f>
        <v>2</v>
      </c>
      <c r="BN774" s="62">
        <v>0</v>
      </c>
      <c r="BO774" s="33" t="str">
        <f>BO773</f>
        <v>Ecochain 2022 LCA Achtergrondrapport voor Nederlandse branchereferentiemengsels 2022</v>
      </c>
    </row>
    <row r="775" spans="1:67">
      <c r="A775" s="33" t="str">
        <f>Database_Productkaarten[[#This Row],[Product]]&amp;", "&amp;Database_Productkaarten[[#This Row],[Levensfase]]</f>
        <v>WB asfaltmastiek - PCR 2.0, A4</v>
      </c>
      <c r="B775" s="33" t="s">
        <v>548</v>
      </c>
      <c r="C775" s="33" t="s">
        <v>483</v>
      </c>
      <c r="D775" s="33" t="s">
        <v>508</v>
      </c>
      <c r="E775" s="33" t="s">
        <v>378</v>
      </c>
      <c r="F775" s="33" t="s">
        <v>78</v>
      </c>
      <c r="L775" s="33">
        <v>2</v>
      </c>
      <c r="M775" s="269">
        <v>1</v>
      </c>
      <c r="N775" s="211">
        <v>1.0485833250624002</v>
      </c>
      <c r="O775" s="33">
        <v>75</v>
      </c>
      <c r="P775" s="163">
        <v>1.9139989E-4</v>
      </c>
      <c r="Q775" s="163">
        <v>8.2984737000000003E-2</v>
      </c>
      <c r="R775" s="163">
        <v>11.140862305000001</v>
      </c>
      <c r="S775" s="163">
        <v>2.1105730000000001E-6</v>
      </c>
      <c r="T775" s="163">
        <v>6.9187815000000003E-3</v>
      </c>
      <c r="U775" s="163">
        <v>3.8093172000000002E-2</v>
      </c>
      <c r="V775" s="163">
        <v>7.1725041000000002E-3</v>
      </c>
      <c r="W775" s="163">
        <v>2.404076474</v>
      </c>
      <c r="X775" s="163">
        <v>0.10107081900000001</v>
      </c>
      <c r="Y775" s="163">
        <v>271.9526553</v>
      </c>
      <c r="Z775" s="163">
        <v>1.3527501000000001E-2</v>
      </c>
      <c r="AA775" s="163">
        <v>11.243611402000001</v>
      </c>
      <c r="AB775" s="163">
        <v>11.235277858</v>
      </c>
      <c r="AC775" s="163">
        <v>5.5338161999999996E-3</v>
      </c>
      <c r="AD775" s="163">
        <v>2.7996658000000001E-3</v>
      </c>
      <c r="AE775" s="163">
        <v>2.6524902E-6</v>
      </c>
      <c r="AF775" s="163">
        <v>4.9542959999999997E-2</v>
      </c>
      <c r="AG775" s="163">
        <v>7.7756927999999997E-5</v>
      </c>
      <c r="AH775" s="163">
        <v>1.54956941E-2</v>
      </c>
      <c r="AI775" s="163">
        <v>0.17143644799999999</v>
      </c>
      <c r="AJ775" s="163">
        <v>5.3721449999999997E-2</v>
      </c>
      <c r="AK775" s="163">
        <v>1.9139957999999999E-4</v>
      </c>
      <c r="AL775" s="163">
        <v>174.27252329999999</v>
      </c>
      <c r="AM775" s="163">
        <v>0.59473686000000003</v>
      </c>
      <c r="AN775" s="163">
        <v>8.1937402000000003E-7</v>
      </c>
      <c r="AO775" s="163">
        <v>0.75038107099999996</v>
      </c>
      <c r="AP775" s="163">
        <v>127.2560416</v>
      </c>
      <c r="AQ775" s="163">
        <v>3.2500059E-9</v>
      </c>
      <c r="AR775" s="163">
        <v>1.06874639E-7</v>
      </c>
      <c r="AS775" s="163">
        <v>200.5416381</v>
      </c>
      <c r="AT775" s="163">
        <v>0</v>
      </c>
      <c r="AU775" s="163">
        <v>0</v>
      </c>
      <c r="AV775" s="313">
        <v>1.7727229099999999</v>
      </c>
      <c r="AW775" s="315">
        <v>0</v>
      </c>
      <c r="AX775" s="315">
        <v>0</v>
      </c>
      <c r="AY775" s="313">
        <v>185.06471759999999</v>
      </c>
      <c r="AZ775" s="163">
        <v>0</v>
      </c>
      <c r="BA775" s="163">
        <v>0</v>
      </c>
      <c r="BB775" s="163">
        <v>0</v>
      </c>
      <c r="BC775" s="163">
        <v>1.8842358E-2</v>
      </c>
      <c r="BD775" s="163">
        <v>4.3206715000000001E-4</v>
      </c>
      <c r="BE775" s="163">
        <v>15.25856115</v>
      </c>
      <c r="BF775" s="163">
        <v>1.1873551799999999E-3</v>
      </c>
      <c r="BG775" s="163">
        <v>0</v>
      </c>
      <c r="BH775" s="163">
        <v>0</v>
      </c>
      <c r="BI775" s="163">
        <v>0</v>
      </c>
      <c r="BJ775" s="163">
        <v>0</v>
      </c>
      <c r="BK775" s="163">
        <v>0</v>
      </c>
      <c r="BL775" s="62">
        <v>0</v>
      </c>
      <c r="BM775" s="275">
        <v>2</v>
      </c>
      <c r="BN775" s="62">
        <v>0</v>
      </c>
      <c r="BO775" s="33" t="s">
        <v>526</v>
      </c>
    </row>
    <row r="776" spans="1:67">
      <c r="A776" s="33" t="str">
        <f>Database_Productkaarten[[#This Row],[Product]]&amp;", "&amp;Database_Productkaarten[[#This Row],[Levensfase]]</f>
        <v>WB asfaltmastiek - PCR 2.0, A5</v>
      </c>
      <c r="B776" s="33" t="s">
        <v>548</v>
      </c>
      <c r="C776" s="33" t="s">
        <v>483</v>
      </c>
      <c r="D776" s="33" t="s">
        <v>508</v>
      </c>
      <c r="E776" s="33" t="s">
        <v>378</v>
      </c>
      <c r="F776" s="33" t="s">
        <v>79</v>
      </c>
      <c r="L776" s="33">
        <v>2</v>
      </c>
      <c r="M776" s="269">
        <v>1</v>
      </c>
      <c r="N776" s="211">
        <v>0.20892775828852939</v>
      </c>
      <c r="O776" s="33">
        <v>75</v>
      </c>
      <c r="P776" s="163">
        <v>2.5205338716535901E-6</v>
      </c>
      <c r="Q776" s="163">
        <v>1.0722300968714101E-2</v>
      </c>
      <c r="R776" s="163">
        <v>2.1806286363432501</v>
      </c>
      <c r="S776" s="163">
        <v>2.8179055373045599E-7</v>
      </c>
      <c r="T776" s="163">
        <v>7.5572087944418998E-4</v>
      </c>
      <c r="U776" s="163">
        <v>6.7857710973849902E-3</v>
      </c>
      <c r="V776" s="163">
        <v>1.48380870687252E-3</v>
      </c>
      <c r="W776" s="163">
        <v>0.58829495721612501</v>
      </c>
      <c r="X776" s="163">
        <v>8.3642064422302306E-3</v>
      </c>
      <c r="Y776" s="163">
        <v>29.061931102719399</v>
      </c>
      <c r="Z776" s="163">
        <v>9.9052251783514106E-4</v>
      </c>
      <c r="AA776" s="163">
        <v>2.1948938681182399</v>
      </c>
      <c r="AB776" s="163">
        <v>2.19426400020193</v>
      </c>
      <c r="AC776" s="163">
        <v>5.0168129849255795E-4</v>
      </c>
      <c r="AD776" s="163">
        <v>1.2818661781322999E-4</v>
      </c>
      <c r="AE776" s="163">
        <v>3.55067227287619E-7</v>
      </c>
      <c r="AF776" s="163">
        <v>9.2830906298320102E-3</v>
      </c>
      <c r="AG776" s="163">
        <v>5.9889519810291997E-6</v>
      </c>
      <c r="AH776" s="163">
        <v>3.7212549842097699E-3</v>
      </c>
      <c r="AI776" s="163">
        <v>4.0884251349212697E-2</v>
      </c>
      <c r="AJ776" s="163">
        <v>1.1058200026453E-2</v>
      </c>
      <c r="AK776" s="163">
        <v>2.5205140927226598E-6</v>
      </c>
      <c r="AL776" s="163">
        <v>22.623400613763302</v>
      </c>
      <c r="AM776" s="163">
        <v>3.0130674070765098E-2</v>
      </c>
      <c r="AN776" s="163">
        <v>3.6737492597500301E-8</v>
      </c>
      <c r="AO776" s="163">
        <v>9.7101736626817703E-2</v>
      </c>
      <c r="AP776" s="163">
        <v>13.574591546638599</v>
      </c>
      <c r="AQ776" s="163">
        <v>4.7625118609987E-10</v>
      </c>
      <c r="AR776" s="163">
        <v>1.01356955593905E-8</v>
      </c>
      <c r="AS776" s="163">
        <v>2.8896462424929998</v>
      </c>
      <c r="AT776" s="163">
        <v>0</v>
      </c>
      <c r="AU776" s="163">
        <v>0</v>
      </c>
      <c r="AV776" s="313">
        <v>0.124349448406053</v>
      </c>
      <c r="AW776" s="315">
        <v>0</v>
      </c>
      <c r="AX776" s="315">
        <v>0</v>
      </c>
      <c r="AY776" s="313">
        <v>24.025335911179301</v>
      </c>
      <c r="AZ776" s="163">
        <v>0</v>
      </c>
      <c r="BA776" s="163">
        <v>0</v>
      </c>
      <c r="BB776" s="163">
        <v>0</v>
      </c>
      <c r="BC776" s="163">
        <v>1.1694798123938999E-3</v>
      </c>
      <c r="BD776" s="163">
        <v>6.1609561251140506E-5</v>
      </c>
      <c r="BE776" s="163">
        <v>2.6769629394970799E-2</v>
      </c>
      <c r="BF776" s="163">
        <v>1.5723384797385799E-4</v>
      </c>
      <c r="BG776" s="163">
        <v>0</v>
      </c>
      <c r="BH776" s="163">
        <v>0</v>
      </c>
      <c r="BI776" s="163">
        <v>0</v>
      </c>
      <c r="BJ776" s="163">
        <v>0</v>
      </c>
      <c r="BK776" s="163">
        <v>0</v>
      </c>
      <c r="BL776" s="62">
        <v>0</v>
      </c>
      <c r="BM776" s="275">
        <v>2</v>
      </c>
      <c r="BN776" s="62">
        <v>0</v>
      </c>
      <c r="BO776" s="33" t="s">
        <v>526</v>
      </c>
    </row>
    <row r="777" spans="1:67">
      <c r="A777" s="33" t="str">
        <f>Database_Productkaarten[[#This Row],[Product]]&amp;", "&amp;Database_Productkaarten[[#This Row],[Levensfase]]</f>
        <v>WB asfaltmastiek - PCR 2.0, B1</v>
      </c>
      <c r="B777" s="33" t="s">
        <v>548</v>
      </c>
      <c r="C777" s="33" t="s">
        <v>483</v>
      </c>
      <c r="D777" s="33" t="s">
        <v>508</v>
      </c>
      <c r="E777" s="33" t="s">
        <v>378</v>
      </c>
      <c r="F777" s="33" t="s">
        <v>80</v>
      </c>
      <c r="L777" s="33">
        <v>2</v>
      </c>
      <c r="M777" s="269">
        <v>1</v>
      </c>
      <c r="N777" s="211">
        <v>4.9342987462047135E-2</v>
      </c>
      <c r="O777" s="33">
        <v>75</v>
      </c>
      <c r="P777" s="163">
        <v>0</v>
      </c>
      <c r="Q777" s="163">
        <v>0</v>
      </c>
      <c r="R777" s="163">
        <v>0</v>
      </c>
      <c r="S777" s="163">
        <v>0</v>
      </c>
      <c r="T777" s="163">
        <v>0</v>
      </c>
      <c r="U777" s="163">
        <v>0</v>
      </c>
      <c r="V777" s="163">
        <v>0</v>
      </c>
      <c r="W777" s="163">
        <v>0.195976984731523</v>
      </c>
      <c r="X777" s="163">
        <v>5.7996333333290696E-7</v>
      </c>
      <c r="Y777" s="163">
        <v>316.65771837310098</v>
      </c>
      <c r="Z777" s="163">
        <v>6.5449333333285299E-4</v>
      </c>
      <c r="AA777" s="163">
        <v>0</v>
      </c>
      <c r="AB777" s="163">
        <v>0</v>
      </c>
      <c r="AC777" s="163">
        <v>0</v>
      </c>
      <c r="AD777" s="163">
        <v>0</v>
      </c>
      <c r="AE777" s="163">
        <v>0</v>
      </c>
      <c r="AF777" s="163">
        <v>0</v>
      </c>
      <c r="AG777" s="163">
        <v>0</v>
      </c>
      <c r="AH777" s="163">
        <v>0</v>
      </c>
      <c r="AI777" s="163">
        <v>0</v>
      </c>
      <c r="AJ777" s="163">
        <v>0</v>
      </c>
      <c r="AK777" s="163">
        <v>0</v>
      </c>
      <c r="AL777" s="163">
        <v>0</v>
      </c>
      <c r="AM777" s="163">
        <v>0</v>
      </c>
      <c r="AN777" s="163">
        <v>0</v>
      </c>
      <c r="AO777" s="163">
        <v>0</v>
      </c>
      <c r="AP777" s="163">
        <v>1.9115155441748E-4</v>
      </c>
      <c r="AQ777" s="163">
        <v>3.67946817816396E-11</v>
      </c>
      <c r="AR777" s="163">
        <v>2.48002365473948E-9</v>
      </c>
      <c r="AS777" s="163">
        <v>0</v>
      </c>
      <c r="AT777" s="163">
        <v>0</v>
      </c>
      <c r="AU777" s="163">
        <v>0</v>
      </c>
      <c r="AV777" s="313">
        <v>0</v>
      </c>
      <c r="AW777" s="315">
        <v>0</v>
      </c>
      <c r="AX777" s="315">
        <v>0</v>
      </c>
      <c r="AY777" s="313">
        <v>0</v>
      </c>
      <c r="AZ777" s="163">
        <v>0</v>
      </c>
      <c r="BA777" s="163">
        <v>0</v>
      </c>
      <c r="BB777" s="163">
        <v>0</v>
      </c>
      <c r="BC777" s="163">
        <v>0</v>
      </c>
      <c r="BD777" s="163">
        <v>0</v>
      </c>
      <c r="BE777" s="163">
        <v>0</v>
      </c>
      <c r="BF777" s="163">
        <v>0</v>
      </c>
      <c r="BG777" s="163">
        <v>0</v>
      </c>
      <c r="BH777" s="163">
        <v>0</v>
      </c>
      <c r="BI777" s="163">
        <v>0</v>
      </c>
      <c r="BJ777" s="163">
        <v>0</v>
      </c>
      <c r="BK777" s="163">
        <v>0</v>
      </c>
      <c r="BL777" s="62">
        <v>0</v>
      </c>
      <c r="BM777" s="275">
        <v>2</v>
      </c>
      <c r="BN777" s="62">
        <v>0</v>
      </c>
      <c r="BO777" s="33" t="s">
        <v>526</v>
      </c>
    </row>
    <row r="778" spans="1:67">
      <c r="A778" s="33" t="str">
        <f>Database_Productkaarten[[#This Row],[Product]]&amp;", "&amp;Database_Productkaarten[[#This Row],[Levensfase]]</f>
        <v>WB asfaltmastiek - PCR 2.0, B2</v>
      </c>
      <c r="B778" s="33" t="s">
        <v>548</v>
      </c>
      <c r="C778" s="33" t="s">
        <v>483</v>
      </c>
      <c r="D778" s="33" t="s">
        <v>508</v>
      </c>
      <c r="E778" s="33" t="s">
        <v>378</v>
      </c>
      <c r="F778" s="33" t="s">
        <v>527</v>
      </c>
      <c r="L778" s="33">
        <v>2</v>
      </c>
      <c r="M778" s="269">
        <v>1</v>
      </c>
      <c r="N778" s="211">
        <v>0</v>
      </c>
      <c r="O778" s="33">
        <v>75</v>
      </c>
      <c r="P778" s="163">
        <v>0</v>
      </c>
      <c r="Q778" s="163">
        <v>0</v>
      </c>
      <c r="R778" s="163">
        <v>0</v>
      </c>
      <c r="S778" s="163">
        <v>0</v>
      </c>
      <c r="T778" s="163">
        <v>0</v>
      </c>
      <c r="U778" s="163">
        <v>0</v>
      </c>
      <c r="V778" s="163">
        <v>0</v>
      </c>
      <c r="W778" s="163">
        <v>0</v>
      </c>
      <c r="X778" s="163">
        <v>0</v>
      </c>
      <c r="Y778" s="163">
        <v>0</v>
      </c>
      <c r="Z778" s="163">
        <v>0</v>
      </c>
      <c r="AA778" s="163">
        <v>0</v>
      </c>
      <c r="AB778" s="163">
        <v>0</v>
      </c>
      <c r="AC778" s="163">
        <v>0</v>
      </c>
      <c r="AD778" s="163">
        <v>0</v>
      </c>
      <c r="AE778" s="163">
        <v>0</v>
      </c>
      <c r="AF778" s="163">
        <v>0</v>
      </c>
      <c r="AG778" s="163">
        <v>0</v>
      </c>
      <c r="AH778" s="163">
        <v>0</v>
      </c>
      <c r="AI778" s="163">
        <v>0</v>
      </c>
      <c r="AJ778" s="163">
        <v>0</v>
      </c>
      <c r="AK778" s="163">
        <v>0</v>
      </c>
      <c r="AL778" s="163">
        <v>0</v>
      </c>
      <c r="AM778" s="163">
        <v>0</v>
      </c>
      <c r="AN778" s="163">
        <v>0</v>
      </c>
      <c r="AO778" s="163">
        <v>0</v>
      </c>
      <c r="AP778" s="163">
        <v>0</v>
      </c>
      <c r="AQ778" s="163">
        <v>0</v>
      </c>
      <c r="AR778" s="163">
        <v>0</v>
      </c>
      <c r="AS778" s="163">
        <v>0</v>
      </c>
      <c r="AT778" s="163">
        <v>0</v>
      </c>
      <c r="AU778" s="163">
        <v>0</v>
      </c>
      <c r="AV778" s="313">
        <v>0</v>
      </c>
      <c r="AW778" s="315">
        <v>0</v>
      </c>
      <c r="AX778" s="315">
        <v>0</v>
      </c>
      <c r="AY778" s="313">
        <v>0</v>
      </c>
      <c r="AZ778" s="163">
        <v>0</v>
      </c>
      <c r="BA778" s="163">
        <v>0</v>
      </c>
      <c r="BB778" s="163">
        <v>0</v>
      </c>
      <c r="BC778" s="163">
        <v>0</v>
      </c>
      <c r="BD778" s="163">
        <v>0</v>
      </c>
      <c r="BE778" s="163">
        <v>0</v>
      </c>
      <c r="BF778" s="163">
        <v>0</v>
      </c>
      <c r="BG778" s="163">
        <v>0</v>
      </c>
      <c r="BH778" s="163">
        <v>0</v>
      </c>
      <c r="BI778" s="163">
        <v>0</v>
      </c>
      <c r="BJ778" s="163">
        <v>0</v>
      </c>
      <c r="BK778" s="163">
        <v>0</v>
      </c>
      <c r="BL778" s="62">
        <v>0</v>
      </c>
      <c r="BM778" s="275">
        <v>2</v>
      </c>
      <c r="BN778" s="62">
        <v>0</v>
      </c>
      <c r="BO778" s="33" t="s">
        <v>526</v>
      </c>
    </row>
    <row r="779" spans="1:67">
      <c r="A779" s="33" t="str">
        <f>Database_Productkaarten[[#This Row],[Product]]&amp;", "&amp;Database_Productkaarten[[#This Row],[Levensfase]]</f>
        <v>WB asfaltmastiek - PCR 2.0, B3</v>
      </c>
      <c r="B779" s="33" t="s">
        <v>548</v>
      </c>
      <c r="C779" s="33" t="s">
        <v>483</v>
      </c>
      <c r="D779" s="33" t="s">
        <v>508</v>
      </c>
      <c r="E779" s="33" t="s">
        <v>378</v>
      </c>
      <c r="F779" s="33" t="s">
        <v>81</v>
      </c>
      <c r="L779" s="33">
        <v>2</v>
      </c>
      <c r="M779" s="269">
        <v>1</v>
      </c>
      <c r="N779" s="211">
        <v>0</v>
      </c>
      <c r="O779" s="33">
        <v>75</v>
      </c>
      <c r="P779" s="163">
        <v>0</v>
      </c>
      <c r="Q779" s="163">
        <v>0</v>
      </c>
      <c r="R779" s="163">
        <v>0</v>
      </c>
      <c r="S779" s="163">
        <v>0</v>
      </c>
      <c r="T779" s="163">
        <v>0</v>
      </c>
      <c r="U779" s="163">
        <v>0</v>
      </c>
      <c r="V779" s="163">
        <v>0</v>
      </c>
      <c r="W779" s="163">
        <v>0</v>
      </c>
      <c r="X779" s="163">
        <v>0</v>
      </c>
      <c r="Y779" s="163">
        <v>0</v>
      </c>
      <c r="Z779" s="163">
        <v>0</v>
      </c>
      <c r="AA779" s="163">
        <v>0</v>
      </c>
      <c r="AB779" s="163">
        <v>0</v>
      </c>
      <c r="AC779" s="163">
        <v>0</v>
      </c>
      <c r="AD779" s="163">
        <v>0</v>
      </c>
      <c r="AE779" s="163">
        <v>0</v>
      </c>
      <c r="AF779" s="163">
        <v>0</v>
      </c>
      <c r="AG779" s="163">
        <v>0</v>
      </c>
      <c r="AH779" s="163">
        <v>0</v>
      </c>
      <c r="AI779" s="163">
        <v>0</v>
      </c>
      <c r="AJ779" s="163">
        <v>0</v>
      </c>
      <c r="AK779" s="163">
        <v>0</v>
      </c>
      <c r="AL779" s="163">
        <v>0</v>
      </c>
      <c r="AM779" s="163">
        <v>0</v>
      </c>
      <c r="AN779" s="163">
        <v>0</v>
      </c>
      <c r="AO779" s="163">
        <v>0</v>
      </c>
      <c r="AP779" s="163">
        <v>0</v>
      </c>
      <c r="AQ779" s="163">
        <v>0</v>
      </c>
      <c r="AR779" s="163">
        <v>0</v>
      </c>
      <c r="AS779" s="163">
        <v>0</v>
      </c>
      <c r="AT779" s="163">
        <v>0</v>
      </c>
      <c r="AU779" s="163">
        <v>0</v>
      </c>
      <c r="AV779" s="313">
        <v>0</v>
      </c>
      <c r="AW779" s="315">
        <v>0</v>
      </c>
      <c r="AX779" s="315">
        <v>0</v>
      </c>
      <c r="AY779" s="313">
        <v>0</v>
      </c>
      <c r="AZ779" s="163">
        <v>0</v>
      </c>
      <c r="BA779" s="163">
        <v>0</v>
      </c>
      <c r="BB779" s="163">
        <v>0</v>
      </c>
      <c r="BC779" s="163">
        <v>0</v>
      </c>
      <c r="BD779" s="163">
        <v>0</v>
      </c>
      <c r="BE779" s="163">
        <v>0</v>
      </c>
      <c r="BF779" s="163">
        <v>0</v>
      </c>
      <c r="BG779" s="163">
        <v>0</v>
      </c>
      <c r="BH779" s="163">
        <v>0</v>
      </c>
      <c r="BI779" s="163">
        <v>0</v>
      </c>
      <c r="BJ779" s="163">
        <v>0</v>
      </c>
      <c r="BK779" s="163">
        <v>0</v>
      </c>
      <c r="BL779" s="62">
        <v>0</v>
      </c>
      <c r="BM779" s="275">
        <v>2</v>
      </c>
      <c r="BN779" s="62">
        <v>0</v>
      </c>
      <c r="BO779" s="33" t="s">
        <v>526</v>
      </c>
    </row>
    <row r="780" spans="1:67">
      <c r="A780" s="33" t="str">
        <f>Database_Productkaarten[[#This Row],[Product]]&amp;", "&amp;Database_Productkaarten[[#This Row],[Levensfase]]</f>
        <v>WB asfaltmastiek - PCR 2.0, B4</v>
      </c>
      <c r="B780" s="33" t="s">
        <v>548</v>
      </c>
      <c r="C780" s="33" t="s">
        <v>483</v>
      </c>
      <c r="D780" s="33" t="s">
        <v>508</v>
      </c>
      <c r="E780" s="33" t="s">
        <v>378</v>
      </c>
      <c r="F780" s="33" t="s">
        <v>82</v>
      </c>
      <c r="L780" s="33">
        <v>2</v>
      </c>
      <c r="M780" s="269">
        <v>1</v>
      </c>
      <c r="N780" s="211">
        <v>0</v>
      </c>
      <c r="O780" s="33">
        <v>75</v>
      </c>
      <c r="P780" s="163">
        <v>0</v>
      </c>
      <c r="Q780" s="163">
        <v>0</v>
      </c>
      <c r="R780" s="163">
        <v>0</v>
      </c>
      <c r="S780" s="163">
        <v>0</v>
      </c>
      <c r="T780" s="163">
        <v>0</v>
      </c>
      <c r="U780" s="163">
        <v>0</v>
      </c>
      <c r="V780" s="163">
        <v>0</v>
      </c>
      <c r="W780" s="163">
        <v>0</v>
      </c>
      <c r="X780" s="163">
        <v>0</v>
      </c>
      <c r="Y780" s="163">
        <v>0</v>
      </c>
      <c r="Z780" s="163">
        <v>0</v>
      </c>
      <c r="AA780" s="163">
        <v>0</v>
      </c>
      <c r="AB780" s="163">
        <v>0</v>
      </c>
      <c r="AC780" s="163">
        <v>0</v>
      </c>
      <c r="AD780" s="163">
        <v>0</v>
      </c>
      <c r="AE780" s="163">
        <v>0</v>
      </c>
      <c r="AF780" s="163">
        <v>0</v>
      </c>
      <c r="AG780" s="163">
        <v>0</v>
      </c>
      <c r="AH780" s="163">
        <v>0</v>
      </c>
      <c r="AI780" s="163">
        <v>0</v>
      </c>
      <c r="AJ780" s="163">
        <v>0</v>
      </c>
      <c r="AK780" s="163">
        <v>0</v>
      </c>
      <c r="AL780" s="163">
        <v>0</v>
      </c>
      <c r="AM780" s="163">
        <v>0</v>
      </c>
      <c r="AN780" s="163">
        <v>0</v>
      </c>
      <c r="AO780" s="163">
        <v>0</v>
      </c>
      <c r="AP780" s="163">
        <v>0</v>
      </c>
      <c r="AQ780" s="163">
        <v>0</v>
      </c>
      <c r="AR780" s="163">
        <v>0</v>
      </c>
      <c r="AS780" s="163">
        <v>0</v>
      </c>
      <c r="AT780" s="163">
        <v>0</v>
      </c>
      <c r="AU780" s="163">
        <v>0</v>
      </c>
      <c r="AV780" s="313">
        <v>0</v>
      </c>
      <c r="AW780" s="315">
        <v>0</v>
      </c>
      <c r="AX780" s="315">
        <v>0</v>
      </c>
      <c r="AY780" s="313">
        <v>0</v>
      </c>
      <c r="AZ780" s="163">
        <v>0</v>
      </c>
      <c r="BA780" s="163">
        <v>0</v>
      </c>
      <c r="BB780" s="163">
        <v>0</v>
      </c>
      <c r="BC780" s="163">
        <v>0</v>
      </c>
      <c r="BD780" s="163">
        <v>0</v>
      </c>
      <c r="BE780" s="163">
        <v>0</v>
      </c>
      <c r="BF780" s="163">
        <v>0</v>
      </c>
      <c r="BG780" s="163">
        <v>0</v>
      </c>
      <c r="BH780" s="163">
        <v>0</v>
      </c>
      <c r="BI780" s="163">
        <v>0</v>
      </c>
      <c r="BJ780" s="163">
        <v>0</v>
      </c>
      <c r="BK780" s="163">
        <v>0</v>
      </c>
      <c r="BL780" s="62">
        <v>0</v>
      </c>
      <c r="BM780" s="275">
        <v>2</v>
      </c>
      <c r="BN780" s="62">
        <v>0</v>
      </c>
      <c r="BO780" s="33" t="s">
        <v>526</v>
      </c>
    </row>
    <row r="781" spans="1:67">
      <c r="A781" s="33" t="str">
        <f>Database_Productkaarten[[#This Row],[Product]]&amp;", "&amp;Database_Productkaarten[[#This Row],[Levensfase]]</f>
        <v>WB asfaltmastiek - PCR 2.0, B5</v>
      </c>
      <c r="B781" s="33" t="s">
        <v>548</v>
      </c>
      <c r="C781" s="33" t="s">
        <v>483</v>
      </c>
      <c r="D781" s="33" t="s">
        <v>508</v>
      </c>
      <c r="E781" s="33" t="s">
        <v>378</v>
      </c>
      <c r="F781" s="33" t="s">
        <v>528</v>
      </c>
      <c r="L781" s="33">
        <v>2</v>
      </c>
      <c r="M781" s="269">
        <v>1</v>
      </c>
      <c r="N781" s="211">
        <v>0</v>
      </c>
      <c r="O781" s="33">
        <v>75</v>
      </c>
      <c r="P781" s="163">
        <v>0</v>
      </c>
      <c r="Q781" s="163">
        <v>0</v>
      </c>
      <c r="R781" s="163">
        <v>0</v>
      </c>
      <c r="S781" s="163">
        <v>0</v>
      </c>
      <c r="T781" s="163">
        <v>0</v>
      </c>
      <c r="U781" s="163">
        <v>0</v>
      </c>
      <c r="V781" s="163">
        <v>0</v>
      </c>
      <c r="W781" s="163">
        <v>0</v>
      </c>
      <c r="X781" s="163">
        <v>0</v>
      </c>
      <c r="Y781" s="163">
        <v>0</v>
      </c>
      <c r="Z781" s="163">
        <v>0</v>
      </c>
      <c r="AA781" s="163">
        <v>0</v>
      </c>
      <c r="AB781" s="163">
        <v>0</v>
      </c>
      <c r="AC781" s="163">
        <v>0</v>
      </c>
      <c r="AD781" s="163">
        <v>0</v>
      </c>
      <c r="AE781" s="163">
        <v>0</v>
      </c>
      <c r="AF781" s="163">
        <v>0</v>
      </c>
      <c r="AG781" s="163">
        <v>0</v>
      </c>
      <c r="AH781" s="163">
        <v>0</v>
      </c>
      <c r="AI781" s="163">
        <v>0</v>
      </c>
      <c r="AJ781" s="163">
        <v>0</v>
      </c>
      <c r="AK781" s="163">
        <v>0</v>
      </c>
      <c r="AL781" s="163">
        <v>0</v>
      </c>
      <c r="AM781" s="163">
        <v>0</v>
      </c>
      <c r="AN781" s="163">
        <v>0</v>
      </c>
      <c r="AO781" s="163">
        <v>0</v>
      </c>
      <c r="AP781" s="163">
        <v>0</v>
      </c>
      <c r="AQ781" s="163">
        <v>0</v>
      </c>
      <c r="AR781" s="163">
        <v>0</v>
      </c>
      <c r="AS781" s="163">
        <v>0</v>
      </c>
      <c r="AT781" s="163">
        <v>0</v>
      </c>
      <c r="AU781" s="163">
        <v>0</v>
      </c>
      <c r="AV781" s="313">
        <v>0</v>
      </c>
      <c r="AW781" s="315">
        <v>0</v>
      </c>
      <c r="AX781" s="315">
        <v>0</v>
      </c>
      <c r="AY781" s="313">
        <v>0</v>
      </c>
      <c r="AZ781" s="163">
        <v>0</v>
      </c>
      <c r="BA781" s="163">
        <v>0</v>
      </c>
      <c r="BB781" s="163">
        <v>0</v>
      </c>
      <c r="BC781" s="163">
        <v>0</v>
      </c>
      <c r="BD781" s="163">
        <v>0</v>
      </c>
      <c r="BE781" s="163">
        <v>0</v>
      </c>
      <c r="BF781" s="163">
        <v>0</v>
      </c>
      <c r="BG781" s="163">
        <v>0</v>
      </c>
      <c r="BH781" s="163">
        <v>0</v>
      </c>
      <c r="BI781" s="163">
        <v>0</v>
      </c>
      <c r="BJ781" s="163">
        <v>0</v>
      </c>
      <c r="BK781" s="163">
        <v>0</v>
      </c>
      <c r="BL781" s="62">
        <v>0</v>
      </c>
      <c r="BM781" s="275">
        <v>2</v>
      </c>
      <c r="BN781" s="62">
        <v>0</v>
      </c>
      <c r="BO781" s="33" t="s">
        <v>526</v>
      </c>
    </row>
    <row r="782" spans="1:67">
      <c r="A782" s="33" t="str">
        <f>Database_Productkaarten[[#This Row],[Product]]&amp;", "&amp;Database_Productkaarten[[#This Row],[Levensfase]]</f>
        <v>WB asfaltmastiek - PCR 2.0, C1</v>
      </c>
      <c r="B782" s="33" t="s">
        <v>548</v>
      </c>
      <c r="C782" s="33" t="s">
        <v>483</v>
      </c>
      <c r="D782" s="33" t="s">
        <v>508</v>
      </c>
      <c r="E782" s="33" t="s">
        <v>378</v>
      </c>
      <c r="F782" s="33" t="s">
        <v>83</v>
      </c>
      <c r="L782" s="33">
        <v>2</v>
      </c>
      <c r="M782" s="269">
        <v>1</v>
      </c>
      <c r="N782" s="211">
        <v>8.3571103315411871E-2</v>
      </c>
      <c r="O782" s="33">
        <v>75</v>
      </c>
      <c r="P782" s="163">
        <v>1.00821354866143E-6</v>
      </c>
      <c r="Q782" s="163">
        <v>4.2889203874856398E-3</v>
      </c>
      <c r="R782" s="163">
        <v>0.87225145453730202</v>
      </c>
      <c r="S782" s="163">
        <v>1.12716221492183E-7</v>
      </c>
      <c r="T782" s="163">
        <v>3.02288351777676E-4</v>
      </c>
      <c r="U782" s="163">
        <v>2.7143084389539998E-3</v>
      </c>
      <c r="V782" s="163">
        <v>5.9352348274900797E-4</v>
      </c>
      <c r="W782" s="163">
        <v>0.23531798288645001</v>
      </c>
      <c r="X782" s="163">
        <v>3.34568257689211E-3</v>
      </c>
      <c r="Y782" s="163">
        <v>11.624772441087799</v>
      </c>
      <c r="Z782" s="163">
        <v>3.9620900713405503E-4</v>
      </c>
      <c r="AA782" s="163">
        <v>0.87795754724729602</v>
      </c>
      <c r="AB782" s="163">
        <v>0.87770560008077403</v>
      </c>
      <c r="AC782" s="163">
        <v>2.00672519397023E-4</v>
      </c>
      <c r="AD782" s="163">
        <v>5.1274647125291901E-5</v>
      </c>
      <c r="AE782" s="163">
        <v>1.42026890915048E-7</v>
      </c>
      <c r="AF782" s="163">
        <v>3.7132362519328101E-3</v>
      </c>
      <c r="AG782" s="163">
        <v>2.3955807924116798E-6</v>
      </c>
      <c r="AH782" s="163">
        <v>1.48850199368391E-3</v>
      </c>
      <c r="AI782" s="163">
        <v>1.6353700539685101E-2</v>
      </c>
      <c r="AJ782" s="163">
        <v>4.4232800105811999E-3</v>
      </c>
      <c r="AK782" s="163">
        <v>1.00820563708906E-6</v>
      </c>
      <c r="AL782" s="163">
        <v>9.0493602455053104</v>
      </c>
      <c r="AM782" s="163">
        <v>1.2052269628306101E-2</v>
      </c>
      <c r="AN782" s="163">
        <v>1.4694997039000099E-8</v>
      </c>
      <c r="AO782" s="163">
        <v>3.8840694650727099E-2</v>
      </c>
      <c r="AP782" s="163">
        <v>5.4298366186554397</v>
      </c>
      <c r="AQ782" s="163">
        <v>1.9050047443994799E-10</v>
      </c>
      <c r="AR782" s="163">
        <v>4.0542782237561901E-9</v>
      </c>
      <c r="AS782" s="163">
        <v>1.1558584969971999</v>
      </c>
      <c r="AT782" s="163">
        <v>0</v>
      </c>
      <c r="AU782" s="163">
        <v>0</v>
      </c>
      <c r="AV782" s="313">
        <v>4.9739779362421202E-2</v>
      </c>
      <c r="AW782" s="315">
        <v>0</v>
      </c>
      <c r="AX782" s="315">
        <v>0</v>
      </c>
      <c r="AY782" s="313">
        <v>9.6101343644717403</v>
      </c>
      <c r="AZ782" s="163">
        <v>0</v>
      </c>
      <c r="BA782" s="163">
        <v>0</v>
      </c>
      <c r="BB782" s="163">
        <v>0</v>
      </c>
      <c r="BC782" s="163">
        <v>4.6779192495755798E-4</v>
      </c>
      <c r="BD782" s="163">
        <v>2.4643824500456202E-5</v>
      </c>
      <c r="BE782" s="163">
        <v>1.07078517579883E-2</v>
      </c>
      <c r="BF782" s="163">
        <v>6.2893539189543094E-5</v>
      </c>
      <c r="BG782" s="163">
        <v>0</v>
      </c>
      <c r="BH782" s="163">
        <v>0</v>
      </c>
      <c r="BI782" s="163">
        <v>0</v>
      </c>
      <c r="BJ782" s="163">
        <v>0</v>
      </c>
      <c r="BK782" s="163">
        <v>0</v>
      </c>
      <c r="BL782" s="62">
        <v>0</v>
      </c>
      <c r="BM782" s="275">
        <v>2</v>
      </c>
      <c r="BN782" s="62">
        <v>0</v>
      </c>
      <c r="BO782" s="33" t="s">
        <v>526</v>
      </c>
    </row>
    <row r="783" spans="1:67">
      <c r="A783" s="33" t="str">
        <f>Database_Productkaarten[[#This Row],[Product]]&amp;", "&amp;Database_Productkaarten[[#This Row],[Levensfase]]</f>
        <v>WB asfaltmastiek - PCR 2.0, C2</v>
      </c>
      <c r="B783" s="33" t="s">
        <v>548</v>
      </c>
      <c r="C783" s="33" t="s">
        <v>483</v>
      </c>
      <c r="D783" s="33" t="s">
        <v>508</v>
      </c>
      <c r="E783" s="33" t="s">
        <v>378</v>
      </c>
      <c r="F783" s="33" t="s">
        <v>84</v>
      </c>
      <c r="L783" s="33">
        <v>2</v>
      </c>
      <c r="M783" s="269">
        <v>1</v>
      </c>
      <c r="N783" s="211">
        <v>0.35801078312874995</v>
      </c>
      <c r="O783" s="33">
        <v>75</v>
      </c>
      <c r="P783" s="163">
        <v>8.1301624999999996E-5</v>
      </c>
      <c r="Q783" s="163">
        <v>2.8204312499999998E-2</v>
      </c>
      <c r="R783" s="163">
        <v>3.6853721374999999</v>
      </c>
      <c r="S783" s="163">
        <v>7.0324562500000001E-7</v>
      </c>
      <c r="T783" s="163">
        <v>2.6647749999999999E-3</v>
      </c>
      <c r="U783" s="163">
        <v>1.116025E-2</v>
      </c>
      <c r="V783" s="163">
        <v>1.87016375E-3</v>
      </c>
      <c r="W783" s="163">
        <v>1.0029557</v>
      </c>
      <c r="X783" s="163">
        <v>3.9476962499999997E-2</v>
      </c>
      <c r="Y783" s="163">
        <v>104.371675</v>
      </c>
      <c r="Z783" s="163">
        <v>8.4311249999999994E-3</v>
      </c>
      <c r="AA783" s="163">
        <v>3.7331890125</v>
      </c>
      <c r="AB783" s="163">
        <v>3.7164208875</v>
      </c>
      <c r="AC783" s="163">
        <v>1.532341125E-2</v>
      </c>
      <c r="AD783" s="163">
        <v>1.44472E-3</v>
      </c>
      <c r="AE783" s="163">
        <v>8.79587125E-7</v>
      </c>
      <c r="AF783" s="163">
        <v>1.4056875E-2</v>
      </c>
      <c r="AG783" s="163">
        <v>3.9000600000000001E-5</v>
      </c>
      <c r="AH783" s="163">
        <v>3.2542037499999998E-3</v>
      </c>
      <c r="AI783" s="163">
        <v>3.7907725000000003E-2</v>
      </c>
      <c r="AJ783" s="163">
        <v>1.36244625E-2</v>
      </c>
      <c r="AK783" s="163">
        <v>8.1301250000000004E-5</v>
      </c>
      <c r="AL783" s="163">
        <v>58.905272875000001</v>
      </c>
      <c r="AM783" s="163">
        <v>0.3217441875</v>
      </c>
      <c r="AN783" s="163">
        <v>3.2144174999999999E-7</v>
      </c>
      <c r="AO783" s="163">
        <v>0.25122056250000002</v>
      </c>
      <c r="AP783" s="163">
        <v>56.998236249999998</v>
      </c>
      <c r="AQ783" s="163">
        <v>1.5226337500000001E-9</v>
      </c>
      <c r="AR783" s="163">
        <v>4.867285E-8</v>
      </c>
      <c r="AS783" s="163">
        <v>110.955825</v>
      </c>
      <c r="AT783" s="163">
        <v>9.0831365000000002</v>
      </c>
      <c r="AU783" s="163">
        <v>0</v>
      </c>
      <c r="AV783" s="313">
        <v>9.7931922999999994</v>
      </c>
      <c r="AW783" s="315">
        <v>0.79580531249999997</v>
      </c>
      <c r="AX783" s="315">
        <v>1.1178862500000001E-3</v>
      </c>
      <c r="AY783" s="313">
        <v>62.568930999999999</v>
      </c>
      <c r="AZ783" s="163">
        <v>0</v>
      </c>
      <c r="BA783" s="163">
        <v>0</v>
      </c>
      <c r="BB783" s="163">
        <v>0</v>
      </c>
      <c r="BC783" s="163">
        <v>9.8353875000000007E-3</v>
      </c>
      <c r="BD783" s="163">
        <v>1.7316162499999999E-4</v>
      </c>
      <c r="BE783" s="163">
        <v>6.2594438749999997</v>
      </c>
      <c r="BF783" s="163">
        <v>3.9263137500000002E-4</v>
      </c>
      <c r="BG783" s="163">
        <v>0</v>
      </c>
      <c r="BH783" s="163">
        <v>0</v>
      </c>
      <c r="BI783" s="163">
        <v>0</v>
      </c>
      <c r="BJ783" s="163">
        <v>0</v>
      </c>
      <c r="BK783" s="163">
        <v>0</v>
      </c>
      <c r="BL783" s="62">
        <v>0</v>
      </c>
      <c r="BM783" s="275">
        <v>2</v>
      </c>
      <c r="BN783" s="62">
        <v>0</v>
      </c>
      <c r="BO783" s="33" t="s">
        <v>526</v>
      </c>
    </row>
    <row r="784" spans="1:67">
      <c r="A784" s="33" t="str">
        <f>Database_Productkaarten[[#This Row],[Product]]&amp;", "&amp;Database_Productkaarten[[#This Row],[Levensfase]]</f>
        <v>WB asfaltmastiek - PCR 2.0, C3</v>
      </c>
      <c r="B784" s="33" t="s">
        <v>548</v>
      </c>
      <c r="C784" s="33" t="s">
        <v>483</v>
      </c>
      <c r="D784" s="33" t="s">
        <v>508</v>
      </c>
      <c r="E784" s="33" t="s">
        <v>378</v>
      </c>
      <c r="F784" s="33" t="s">
        <v>85</v>
      </c>
      <c r="L784" s="33">
        <v>2</v>
      </c>
      <c r="M784" s="269">
        <v>1</v>
      </c>
      <c r="N784" s="211">
        <v>0</v>
      </c>
      <c r="O784" s="33">
        <v>75</v>
      </c>
      <c r="P784" s="163">
        <v>0</v>
      </c>
      <c r="Q784" s="163">
        <v>0</v>
      </c>
      <c r="R784" s="163">
        <v>0</v>
      </c>
      <c r="S784" s="163">
        <v>0</v>
      </c>
      <c r="T784" s="163">
        <v>0</v>
      </c>
      <c r="U784" s="163">
        <v>0</v>
      </c>
      <c r="V784" s="163">
        <v>0</v>
      </c>
      <c r="W784" s="163">
        <v>0</v>
      </c>
      <c r="X784" s="163">
        <v>0</v>
      </c>
      <c r="Y784" s="163">
        <v>0</v>
      </c>
      <c r="Z784" s="163">
        <v>0</v>
      </c>
      <c r="AA784" s="163">
        <v>0</v>
      </c>
      <c r="AB784" s="163">
        <v>0</v>
      </c>
      <c r="AC784" s="163">
        <v>0</v>
      </c>
      <c r="AD784" s="163">
        <v>0</v>
      </c>
      <c r="AE784" s="163">
        <v>0</v>
      </c>
      <c r="AF784" s="163">
        <v>0</v>
      </c>
      <c r="AG784" s="163">
        <v>0</v>
      </c>
      <c r="AH784" s="163">
        <v>0</v>
      </c>
      <c r="AI784" s="163">
        <v>0</v>
      </c>
      <c r="AJ784" s="163">
        <v>0</v>
      </c>
      <c r="AK784" s="163">
        <v>0</v>
      </c>
      <c r="AL784" s="163">
        <v>0</v>
      </c>
      <c r="AM784" s="163">
        <v>0</v>
      </c>
      <c r="AN784" s="163">
        <v>0</v>
      </c>
      <c r="AO784" s="163">
        <v>0</v>
      </c>
      <c r="AP784" s="163">
        <v>0</v>
      </c>
      <c r="AQ784" s="163">
        <v>0</v>
      </c>
      <c r="AR784" s="163">
        <v>0</v>
      </c>
      <c r="AS784" s="163">
        <v>0</v>
      </c>
      <c r="AT784" s="163">
        <v>0</v>
      </c>
      <c r="AU784" s="163">
        <v>0</v>
      </c>
      <c r="AV784" s="313">
        <v>0</v>
      </c>
      <c r="AW784" s="315">
        <v>0</v>
      </c>
      <c r="AX784" s="315">
        <v>0</v>
      </c>
      <c r="AY784" s="313">
        <v>0</v>
      </c>
      <c r="AZ784" s="163">
        <v>0</v>
      </c>
      <c r="BA784" s="163">
        <v>0</v>
      </c>
      <c r="BB784" s="163">
        <v>0</v>
      </c>
      <c r="BC784" s="163">
        <v>0</v>
      </c>
      <c r="BD784" s="163">
        <v>0</v>
      </c>
      <c r="BE784" s="163">
        <v>0</v>
      </c>
      <c r="BF784" s="163">
        <v>0</v>
      </c>
      <c r="BG784" s="163">
        <v>0</v>
      </c>
      <c r="BH784" s="163">
        <v>0</v>
      </c>
      <c r="BI784" s="163">
        <v>0</v>
      </c>
      <c r="BJ784" s="163">
        <v>0</v>
      </c>
      <c r="BK784" s="163">
        <v>0</v>
      </c>
      <c r="BL784" s="62">
        <v>0</v>
      </c>
      <c r="BM784" s="275">
        <v>2</v>
      </c>
      <c r="BN784" s="62">
        <v>0</v>
      </c>
      <c r="BO784" s="33" t="s">
        <v>526</v>
      </c>
    </row>
    <row r="785" spans="1:77">
      <c r="A785" s="33" t="str">
        <f>Database_Productkaarten[[#This Row],[Product]]&amp;", "&amp;Database_Productkaarten[[#This Row],[Levensfase]]</f>
        <v>WB asfaltmastiek - PCR 2.0, C4</v>
      </c>
      <c r="B785" s="33" t="s">
        <v>548</v>
      </c>
      <c r="C785" s="33" t="s">
        <v>483</v>
      </c>
      <c r="D785" s="33" t="s">
        <v>508</v>
      </c>
      <c r="E785" s="33" t="s">
        <v>378</v>
      </c>
      <c r="F785" s="33" t="s">
        <v>86</v>
      </c>
      <c r="L785" s="33">
        <v>2</v>
      </c>
      <c r="M785" s="269">
        <v>1</v>
      </c>
      <c r="N785" s="211">
        <v>0.72961417487371549</v>
      </c>
      <c r="O785" s="33">
        <v>75</v>
      </c>
      <c r="P785" s="163">
        <v>4.81910347576868E-5</v>
      </c>
      <c r="Q785" s="163">
        <v>7.0392419106354395E-2</v>
      </c>
      <c r="R785" s="163">
        <v>5.1682147670989602</v>
      </c>
      <c r="S785" s="163">
        <v>1.7213380867751599E-6</v>
      </c>
      <c r="T785" s="163">
        <v>5.5051672097993004E-3</v>
      </c>
      <c r="U785" s="163">
        <v>3.7795111558913998E-2</v>
      </c>
      <c r="V785" s="163">
        <v>7.2906223915808399E-3</v>
      </c>
      <c r="W785" s="163">
        <v>2.3359901220925701</v>
      </c>
      <c r="X785" s="163">
        <v>5.5438446410660001E-2</v>
      </c>
      <c r="Y785" s="163">
        <v>198.206263311893</v>
      </c>
      <c r="Z785" s="163">
        <v>5.86709770439403E-3</v>
      </c>
      <c r="AA785" s="163">
        <v>5.2774322560642197</v>
      </c>
      <c r="AB785" s="163">
        <v>5.2655222912208499</v>
      </c>
      <c r="AC785" s="163">
        <v>1.04420704437289E-2</v>
      </c>
      <c r="AD785" s="163">
        <v>1.4678943996299201E-3</v>
      </c>
      <c r="AE785" s="163">
        <v>2.1684935575678601E-6</v>
      </c>
      <c r="AF785" s="163">
        <v>4.9990692059414699E-2</v>
      </c>
      <c r="AG785" s="163">
        <v>5.9023121500316698E-5</v>
      </c>
      <c r="AH785" s="163">
        <v>1.7192547361667199E-2</v>
      </c>
      <c r="AI785" s="163">
        <v>0.189559719550217</v>
      </c>
      <c r="AJ785" s="163">
        <v>5.5061349830685002E-2</v>
      </c>
      <c r="AK785" s="163">
        <v>4.8190635559498203E-5</v>
      </c>
      <c r="AL785" s="163">
        <v>147.21723519303299</v>
      </c>
      <c r="AM785" s="163">
        <v>6.5991208581716396</v>
      </c>
      <c r="AN785" s="163">
        <v>9.6986339696198698E-7</v>
      </c>
      <c r="AO785" s="163">
        <v>0.60391960478070394</v>
      </c>
      <c r="AP785" s="163">
        <v>95.499347942702499</v>
      </c>
      <c r="AQ785" s="163">
        <v>2.2075752061648299E-9</v>
      </c>
      <c r="AR785" s="163">
        <v>6.7894331647429496E-8</v>
      </c>
      <c r="AS785" s="163">
        <v>308.74374326020097</v>
      </c>
      <c r="AT785" s="163">
        <v>0</v>
      </c>
      <c r="AU785" s="163">
        <v>0</v>
      </c>
      <c r="AV785" s="313">
        <v>1.19029805284394</v>
      </c>
      <c r="AW785" s="315">
        <v>0</v>
      </c>
      <c r="AX785" s="315">
        <v>0</v>
      </c>
      <c r="AY785" s="313">
        <v>156.376203274331</v>
      </c>
      <c r="AZ785" s="163">
        <v>0</v>
      </c>
      <c r="BA785" s="163">
        <v>0</v>
      </c>
      <c r="BB785" s="163">
        <v>0</v>
      </c>
      <c r="BC785" s="163">
        <v>0.15723153150489499</v>
      </c>
      <c r="BD785" s="163">
        <v>2.1998950099115901E-4</v>
      </c>
      <c r="BE785" s="163">
        <v>999.69461711035399</v>
      </c>
      <c r="BF785" s="163">
        <v>9.6680517412872798E-4</v>
      </c>
      <c r="BG785" s="163">
        <v>0</v>
      </c>
      <c r="BH785" s="163">
        <v>0</v>
      </c>
      <c r="BI785" s="163">
        <v>0</v>
      </c>
      <c r="BJ785" s="163">
        <v>0</v>
      </c>
      <c r="BK785" s="163">
        <v>0</v>
      </c>
      <c r="BL785" s="62">
        <v>0</v>
      </c>
      <c r="BM785" s="275">
        <v>2</v>
      </c>
      <c r="BN785" s="62">
        <v>0</v>
      </c>
      <c r="BO785" s="33" t="s">
        <v>526</v>
      </c>
    </row>
    <row r="786" spans="1:77">
      <c r="A786" s="33" t="str">
        <f>Database_Productkaarten[[#This Row],[Product]]&amp;", "&amp;Database_Productkaarten[[#This Row],[Levensfase]]</f>
        <v>WB asfaltmastiek - PCR 2.0, D</v>
      </c>
      <c r="B786" s="33" t="s">
        <v>548</v>
      </c>
      <c r="C786" s="33" t="s">
        <v>483</v>
      </c>
      <c r="D786" s="33" t="s">
        <v>508</v>
      </c>
      <c r="E786" s="33" t="s">
        <v>378</v>
      </c>
      <c r="F786" s="33" t="s">
        <v>89</v>
      </c>
      <c r="L786" s="33">
        <v>2</v>
      </c>
      <c r="M786" s="269">
        <v>1</v>
      </c>
      <c r="N786" s="211">
        <v>0</v>
      </c>
      <c r="O786" s="33">
        <v>75</v>
      </c>
      <c r="P786" s="163">
        <v>0</v>
      </c>
      <c r="Q786" s="163">
        <v>0</v>
      </c>
      <c r="R786" s="163">
        <v>0</v>
      </c>
      <c r="S786" s="163">
        <v>0</v>
      </c>
      <c r="T786" s="163">
        <v>0</v>
      </c>
      <c r="U786" s="163">
        <v>0</v>
      </c>
      <c r="V786" s="163">
        <v>0</v>
      </c>
      <c r="W786" s="163">
        <v>0</v>
      </c>
      <c r="X786" s="163">
        <v>0</v>
      </c>
      <c r="Y786" s="163">
        <v>0</v>
      </c>
      <c r="Z786" s="163">
        <v>0</v>
      </c>
      <c r="AA786" s="163">
        <v>0</v>
      </c>
      <c r="AB786" s="163">
        <v>0</v>
      </c>
      <c r="AC786" s="163">
        <v>0</v>
      </c>
      <c r="AD786" s="163">
        <v>0</v>
      </c>
      <c r="AE786" s="163">
        <v>0</v>
      </c>
      <c r="AF786" s="163">
        <v>0</v>
      </c>
      <c r="AG786" s="163">
        <v>0</v>
      </c>
      <c r="AH786" s="163">
        <v>0</v>
      </c>
      <c r="AI786" s="163">
        <v>0</v>
      </c>
      <c r="AJ786" s="163">
        <v>0</v>
      </c>
      <c r="AK786" s="163">
        <v>0</v>
      </c>
      <c r="AL786" s="163">
        <v>0</v>
      </c>
      <c r="AM786" s="163">
        <v>0</v>
      </c>
      <c r="AN786" s="163">
        <v>0</v>
      </c>
      <c r="AO786" s="163">
        <v>0</v>
      </c>
      <c r="AP786" s="163">
        <v>0</v>
      </c>
      <c r="AQ786" s="163">
        <v>0</v>
      </c>
      <c r="AR786" s="163">
        <v>0</v>
      </c>
      <c r="AS786" s="163">
        <v>0</v>
      </c>
      <c r="AT786" s="163">
        <v>0</v>
      </c>
      <c r="AU786" s="163">
        <v>0</v>
      </c>
      <c r="AV786" s="313">
        <v>0</v>
      </c>
      <c r="AW786" s="315">
        <v>0</v>
      </c>
      <c r="AX786" s="315">
        <v>0</v>
      </c>
      <c r="AY786" s="313">
        <v>0</v>
      </c>
      <c r="AZ786" s="163">
        <v>0</v>
      </c>
      <c r="BA786" s="163">
        <v>0</v>
      </c>
      <c r="BB786" s="163">
        <v>0</v>
      </c>
      <c r="BC786" s="163">
        <v>0</v>
      </c>
      <c r="BD786" s="163">
        <v>0</v>
      </c>
      <c r="BE786" s="163">
        <v>0</v>
      </c>
      <c r="BF786" s="163">
        <v>0</v>
      </c>
      <c r="BG786" s="163">
        <v>0</v>
      </c>
      <c r="BH786" s="163">
        <v>0</v>
      </c>
      <c r="BI786" s="163">
        <v>0</v>
      </c>
      <c r="BJ786" s="163">
        <v>0</v>
      </c>
      <c r="BK786" s="163">
        <v>0</v>
      </c>
      <c r="BL786" s="62">
        <v>0</v>
      </c>
      <c r="BM786" s="275">
        <v>2</v>
      </c>
      <c r="BN786" s="62">
        <v>0</v>
      </c>
      <c r="BO786" s="33" t="s">
        <v>526</v>
      </c>
    </row>
    <row r="787" spans="1:77">
      <c r="A787" s="33" t="str">
        <f>Database_Productkaarten[[#This Row],[Product]]&amp;", "&amp;Database_Productkaarten[[#This Row],[Levensfase]]</f>
        <v>AC Surf 0% PR Rood, Totaal</v>
      </c>
      <c r="B787" s="33" t="s">
        <v>549</v>
      </c>
      <c r="C787" s="33" t="s">
        <v>483</v>
      </c>
      <c r="D787" s="33" t="s">
        <v>494</v>
      </c>
      <c r="E787" s="33" t="s">
        <v>378</v>
      </c>
      <c r="F787" s="33" t="s">
        <v>90</v>
      </c>
      <c r="L787" s="33">
        <v>2.35</v>
      </c>
      <c r="M787" s="269">
        <v>1</v>
      </c>
      <c r="N787" s="41">
        <v>13.007047425700355</v>
      </c>
      <c r="O787" s="33">
        <v>14</v>
      </c>
      <c r="P787" s="33">
        <v>1.6437419994578953E-4</v>
      </c>
      <c r="Q787" s="33">
        <v>2.6109205940176641</v>
      </c>
      <c r="R787" s="33">
        <v>133.69017265136625</v>
      </c>
      <c r="S787" s="33">
        <v>1.3228757594840656E-5</v>
      </c>
      <c r="T787" s="33">
        <v>0.26233034172880937</v>
      </c>
      <c r="U787" s="33">
        <v>0.88510184921080404</v>
      </c>
      <c r="V787" s="33">
        <v>9.0715302903872086E-2</v>
      </c>
      <c r="W787" s="33">
        <v>33.731613992465725</v>
      </c>
      <c r="X787" s="33">
        <v>3.7387467509239976</v>
      </c>
      <c r="Y787" s="33">
        <v>16299.387155686392</v>
      </c>
      <c r="Z787" s="33">
        <v>0.50613817848862741</v>
      </c>
      <c r="AV787" s="316">
        <v>45.327894439414983</v>
      </c>
      <c r="AW787" s="314"/>
      <c r="AX787" s="314"/>
      <c r="AY787" s="316">
        <v>5845.7715570555938</v>
      </c>
      <c r="BC787" s="33">
        <v>55.087165441672234</v>
      </c>
      <c r="BD787" s="33">
        <v>2.5118285976153112E-3</v>
      </c>
      <c r="BE787" s="33">
        <v>10.156763890080018</v>
      </c>
      <c r="BF787" s="33">
        <v>4.0218021366078176E-3</v>
      </c>
      <c r="BL787" s="62">
        <v>0</v>
      </c>
      <c r="BM787" s="275">
        <v>2</v>
      </c>
      <c r="BN787" s="62">
        <v>0</v>
      </c>
      <c r="BO787" s="33" t="s">
        <v>550</v>
      </c>
    </row>
    <row r="788" spans="1:77">
      <c r="A788" s="33" t="str">
        <f>Database_Productkaarten[[#This Row],[Product]]&amp;", "&amp;Database_Productkaarten[[#This Row],[Levensfase]]</f>
        <v>AC Surf 0% PR Rood, A1</v>
      </c>
      <c r="B788" s="33" t="s">
        <v>549</v>
      </c>
      <c r="C788" s="33" t="s">
        <v>483</v>
      </c>
      <c r="D788" s="33" t="s">
        <v>494</v>
      </c>
      <c r="E788" s="33" t="s">
        <v>378</v>
      </c>
      <c r="F788" s="33" t="s">
        <v>74</v>
      </c>
      <c r="L788" s="33">
        <v>2.35</v>
      </c>
      <c r="M788" s="269">
        <v>1</v>
      </c>
      <c r="N788" s="41">
        <v>12.3185918361</v>
      </c>
      <c r="O788" s="33">
        <v>14</v>
      </c>
      <c r="P788" s="33">
        <v>1.4079803892000001E-4</v>
      </c>
      <c r="Q788" s="33">
        <v>2.2786126273349998</v>
      </c>
      <c r="R788" s="33">
        <v>90.98257171905</v>
      </c>
      <c r="S788" s="33">
        <v>7.4453411834999998E-6</v>
      </c>
      <c r="T788" s="33">
        <v>0.24422988242399998</v>
      </c>
      <c r="U788" s="33">
        <v>0.64820080957500004</v>
      </c>
      <c r="V788" s="33">
        <v>5.713892382E-2</v>
      </c>
      <c r="W788" s="33">
        <v>23.485059069449999</v>
      </c>
      <c r="X788" s="33">
        <v>3.5619316974449995</v>
      </c>
      <c r="Y788" s="33">
        <v>15617.45166076755</v>
      </c>
      <c r="Z788" s="33">
        <v>0.45605605930499998</v>
      </c>
      <c r="AV788" s="316">
        <v>32.8527110307</v>
      </c>
      <c r="AW788" s="314"/>
      <c r="AX788" s="314"/>
      <c r="AY788" s="316">
        <v>5144.7409018697999</v>
      </c>
      <c r="BC788" s="33">
        <v>54.981667491464997</v>
      </c>
      <c r="BD788" s="33">
        <v>1.76506006545E-3</v>
      </c>
      <c r="BE788" s="33">
        <v>5.1986001044999997</v>
      </c>
      <c r="BF788" s="33">
        <v>1.8707668946999999E-3</v>
      </c>
      <c r="BL788" s="62">
        <v>0</v>
      </c>
      <c r="BM788" s="275">
        <v>2</v>
      </c>
      <c r="BN788" s="62">
        <v>0</v>
      </c>
      <c r="BO788" s="33" t="s">
        <v>550</v>
      </c>
    </row>
    <row r="789" spans="1:77">
      <c r="A789" s="33" t="str">
        <f>Database_Productkaarten[[#This Row],[Product]]&amp;", "&amp;Database_Productkaarten[[#This Row],[Levensfase]]</f>
        <v>AC Surf 0% PR Rood, A2</v>
      </c>
      <c r="B789" s="33" t="s">
        <v>549</v>
      </c>
      <c r="C789" s="33" t="s">
        <v>483</v>
      </c>
      <c r="D789" s="33" t="s">
        <v>494</v>
      </c>
      <c r="E789" s="33" t="s">
        <v>378</v>
      </c>
      <c r="F789" s="33" t="s">
        <v>75</v>
      </c>
      <c r="L789" s="33">
        <v>2.35</v>
      </c>
      <c r="M789" s="269">
        <v>1</v>
      </c>
      <c r="N789" s="41">
        <v>2.7393857558250008</v>
      </c>
      <c r="O789" s="33">
        <v>14</v>
      </c>
      <c r="P789" s="33">
        <v>1.8490090033950002E-5</v>
      </c>
      <c r="Q789" s="33">
        <v>0.1274367225461</v>
      </c>
      <c r="R789" s="33">
        <v>18.627666669179998</v>
      </c>
      <c r="S789" s="33">
        <v>3.0335723029899996E-6</v>
      </c>
      <c r="T789" s="33">
        <v>1.4201976708700001E-2</v>
      </c>
      <c r="U789" s="33">
        <v>0.21031537546960002</v>
      </c>
      <c r="V789" s="33">
        <v>2.8731476857200001E-2</v>
      </c>
      <c r="W789" s="33">
        <v>6.61666717588</v>
      </c>
      <c r="X789" s="33">
        <v>0.15118794417599998</v>
      </c>
      <c r="Y789" s="33">
        <v>577.5016847979449</v>
      </c>
      <c r="Z789" s="33">
        <v>2.4635907337700005E-2</v>
      </c>
      <c r="AV789" s="316">
        <v>5.1652706683049994</v>
      </c>
      <c r="AW789" s="314"/>
      <c r="AX789" s="314"/>
      <c r="AY789" s="316">
        <v>282.53445500789502</v>
      </c>
      <c r="BC789" s="33">
        <v>5.6923448071799998E-2</v>
      </c>
      <c r="BD789" s="33">
        <v>1.79156480277E-4</v>
      </c>
      <c r="BE789" s="33">
        <v>4.6820975916700016</v>
      </c>
      <c r="BF789" s="33">
        <v>1.75929121313E-3</v>
      </c>
      <c r="BL789" s="62">
        <v>0</v>
      </c>
      <c r="BM789" s="275">
        <v>2</v>
      </c>
      <c r="BN789" s="62">
        <v>0</v>
      </c>
      <c r="BO789" s="33" t="s">
        <v>550</v>
      </c>
    </row>
    <row r="790" spans="1:77">
      <c r="A790" s="33" t="str">
        <f>Database_Productkaarten[[#This Row],[Product]]&amp;", "&amp;Database_Productkaarten[[#This Row],[Levensfase]]</f>
        <v>AC Surf 0% PR Rood, A3</v>
      </c>
      <c r="B790" s="33" t="s">
        <v>549</v>
      </c>
      <c r="C790" s="33" t="s">
        <v>483</v>
      </c>
      <c r="D790" s="33" t="s">
        <v>494</v>
      </c>
      <c r="E790" s="33" t="s">
        <v>378</v>
      </c>
      <c r="F790" s="33" t="s">
        <v>76</v>
      </c>
      <c r="L790" s="33">
        <v>2.35</v>
      </c>
      <c r="M790" s="269">
        <v>1</v>
      </c>
      <c r="N790" s="41">
        <v>1.7340321317986724</v>
      </c>
      <c r="O790" s="33">
        <v>14</v>
      </c>
      <c r="P790" s="33">
        <v>5.086070991839545E-6</v>
      </c>
      <c r="Q790" s="33">
        <v>0.20487124413656413</v>
      </c>
      <c r="R790" s="33">
        <v>24.079934263136241</v>
      </c>
      <c r="S790" s="33">
        <v>2.7498441083506566E-6</v>
      </c>
      <c r="T790" s="33">
        <v>3.8984825961093385E-3</v>
      </c>
      <c r="U790" s="33">
        <v>2.6585664166204028E-2</v>
      </c>
      <c r="V790" s="33">
        <v>4.8449022266720864E-3</v>
      </c>
      <c r="W790" s="33">
        <v>3.6298877471357263</v>
      </c>
      <c r="X790" s="33">
        <v>2.5627109302998257E-2</v>
      </c>
      <c r="Y790" s="33">
        <v>104.43381012089762</v>
      </c>
      <c r="Z790" s="33">
        <v>2.5446211845927394E-2</v>
      </c>
      <c r="AV790" s="316">
        <v>7.3099127404099828</v>
      </c>
      <c r="AW790" s="314"/>
      <c r="AX790" s="314"/>
      <c r="AY790" s="316">
        <v>418.49620017789823</v>
      </c>
      <c r="BC790" s="33">
        <v>4.8574502135439478E-2</v>
      </c>
      <c r="BD790" s="33">
        <v>5.6761205188831103E-4</v>
      </c>
      <c r="BE790" s="33">
        <v>0.27606619391001763</v>
      </c>
      <c r="BF790" s="33">
        <v>3.9174402877781777E-4</v>
      </c>
      <c r="BL790" s="62">
        <v>0</v>
      </c>
      <c r="BM790" s="275">
        <v>2</v>
      </c>
      <c r="BN790" s="62">
        <v>0</v>
      </c>
      <c r="BO790" s="33" t="s">
        <v>550</v>
      </c>
    </row>
    <row r="791" spans="1:77">
      <c r="A791" s="33" t="str">
        <f>Database_Productkaarten[[#This Row],[Product]]&amp;", "&amp;Database_Productkaarten[[#This Row],[Levensfase]]</f>
        <v>AC Surf 0% PR Rood, A1-A3</v>
      </c>
      <c r="B791" s="33" t="str">
        <f>B790</f>
        <v>AC Surf 0% PR Rood</v>
      </c>
      <c r="C791" s="33" t="str">
        <f>C790</f>
        <v>Bitumineuze verhardingen</v>
      </c>
      <c r="D791" s="33" t="str">
        <f>D790</f>
        <v>AC surf rood</v>
      </c>
      <c r="E791" s="33" t="str">
        <f>E790</f>
        <v>Ton</v>
      </c>
      <c r="F791" s="33" t="s">
        <v>77</v>
      </c>
      <c r="L791" s="33">
        <f>L790</f>
        <v>2.35</v>
      </c>
      <c r="M791" s="45">
        <f>M790</f>
        <v>1</v>
      </c>
      <c r="N791" s="41">
        <f>SUM(N788:N790)</f>
        <v>16.792009723723673</v>
      </c>
      <c r="O791" s="33">
        <f>O790</f>
        <v>14</v>
      </c>
      <c r="P791" s="40">
        <f>SUM(P788:P790)</f>
        <v>1.6437419994578953E-4</v>
      </c>
      <c r="Q791" s="40">
        <f t="shared" ref="Q791:BK791" si="89">SUM(Q788:Q790)</f>
        <v>2.6109205940176641</v>
      </c>
      <c r="R791" s="40">
        <f t="shared" si="89"/>
        <v>133.69017265136625</v>
      </c>
      <c r="S791" s="40">
        <f t="shared" si="89"/>
        <v>1.3228757594840656E-5</v>
      </c>
      <c r="T791" s="40">
        <f t="shared" si="89"/>
        <v>0.26233034172880937</v>
      </c>
      <c r="U791" s="40">
        <f t="shared" si="89"/>
        <v>0.88510184921080404</v>
      </c>
      <c r="V791" s="40">
        <f t="shared" si="89"/>
        <v>9.0715302903872086E-2</v>
      </c>
      <c r="W791" s="40">
        <f t="shared" si="89"/>
        <v>33.731613992465725</v>
      </c>
      <c r="X791" s="40">
        <f t="shared" si="89"/>
        <v>3.7387467509239976</v>
      </c>
      <c r="Y791" s="40">
        <f t="shared" si="89"/>
        <v>16299.387155686392</v>
      </c>
      <c r="Z791" s="40">
        <f t="shared" si="89"/>
        <v>0.50613817848862741</v>
      </c>
      <c r="AA791" s="40">
        <f t="shared" si="89"/>
        <v>0</v>
      </c>
      <c r="AB791" s="40">
        <f t="shared" si="89"/>
        <v>0</v>
      </c>
      <c r="AC791" s="40">
        <f t="shared" si="89"/>
        <v>0</v>
      </c>
      <c r="AD791" s="40">
        <f t="shared" si="89"/>
        <v>0</v>
      </c>
      <c r="AE791" s="40">
        <f t="shared" si="89"/>
        <v>0</v>
      </c>
      <c r="AF791" s="40">
        <f t="shared" si="89"/>
        <v>0</v>
      </c>
      <c r="AG791" s="40">
        <f t="shared" si="89"/>
        <v>0</v>
      </c>
      <c r="AH791" s="40">
        <f t="shared" si="89"/>
        <v>0</v>
      </c>
      <c r="AI791" s="40">
        <f t="shared" si="89"/>
        <v>0</v>
      </c>
      <c r="AJ791" s="40">
        <f t="shared" si="89"/>
        <v>0</v>
      </c>
      <c r="AK791" s="40">
        <f t="shared" si="89"/>
        <v>0</v>
      </c>
      <c r="AL791" s="40">
        <f t="shared" si="89"/>
        <v>0</v>
      </c>
      <c r="AM791" s="40">
        <f t="shared" si="89"/>
        <v>0</v>
      </c>
      <c r="AN791" s="40">
        <f t="shared" si="89"/>
        <v>0</v>
      </c>
      <c r="AO791" s="40">
        <f t="shared" si="89"/>
        <v>0</v>
      </c>
      <c r="AP791" s="40">
        <f t="shared" si="89"/>
        <v>0</v>
      </c>
      <c r="AQ791" s="40">
        <f t="shared" si="89"/>
        <v>0</v>
      </c>
      <c r="AR791" s="40">
        <f t="shared" si="89"/>
        <v>0</v>
      </c>
      <c r="AS791" s="40">
        <f t="shared" si="89"/>
        <v>0</v>
      </c>
      <c r="AT791" s="40">
        <f t="shared" si="89"/>
        <v>0</v>
      </c>
      <c r="AU791" s="40">
        <f t="shared" si="89"/>
        <v>0</v>
      </c>
      <c r="AV791" s="317">
        <f t="shared" si="89"/>
        <v>45.327894439414983</v>
      </c>
      <c r="AW791" s="317">
        <f t="shared" si="89"/>
        <v>0</v>
      </c>
      <c r="AX791" s="317">
        <f t="shared" si="89"/>
        <v>0</v>
      </c>
      <c r="AY791" s="317">
        <f t="shared" si="89"/>
        <v>5845.7715570555938</v>
      </c>
      <c r="AZ791" s="40">
        <f t="shared" si="89"/>
        <v>0</v>
      </c>
      <c r="BA791" s="40">
        <f t="shared" si="89"/>
        <v>0</v>
      </c>
      <c r="BB791" s="40">
        <f t="shared" si="89"/>
        <v>0</v>
      </c>
      <c r="BC791" s="40">
        <f t="shared" si="89"/>
        <v>55.087165441672234</v>
      </c>
      <c r="BD791" s="40">
        <f t="shared" si="89"/>
        <v>2.5118285976153112E-3</v>
      </c>
      <c r="BE791" s="40">
        <f t="shared" si="89"/>
        <v>10.156763890080018</v>
      </c>
      <c r="BF791" s="40">
        <f t="shared" si="89"/>
        <v>4.0218021366078176E-3</v>
      </c>
      <c r="BG791" s="40">
        <f t="shared" si="89"/>
        <v>0</v>
      </c>
      <c r="BH791" s="40">
        <f t="shared" si="89"/>
        <v>0</v>
      </c>
      <c r="BI791" s="40">
        <f t="shared" si="89"/>
        <v>0</v>
      </c>
      <c r="BJ791" s="40">
        <f t="shared" si="89"/>
        <v>0</v>
      </c>
      <c r="BK791" s="40">
        <f t="shared" si="89"/>
        <v>0</v>
      </c>
      <c r="BL791" s="62">
        <f>BL790</f>
        <v>0</v>
      </c>
      <c r="BM791" s="275">
        <f>BM790</f>
        <v>2</v>
      </c>
      <c r="BN791" s="62">
        <v>0</v>
      </c>
      <c r="BO791" s="33" t="str">
        <f>BO790</f>
        <v>(obv AC Surf 0% PR * 1,65)</v>
      </c>
    </row>
    <row r="792" spans="1:77">
      <c r="A792" s="33" t="str">
        <f>Database_Productkaarten[[#This Row],[Product]]&amp;", "&amp;Database_Productkaarten[[#This Row],[Levensfase]]</f>
        <v>AC Surf 0% PR Rood, A4</v>
      </c>
      <c r="B792" s="33" t="s">
        <v>549</v>
      </c>
      <c r="C792" s="33" t="s">
        <v>483</v>
      </c>
      <c r="D792" s="33" t="s">
        <v>494</v>
      </c>
      <c r="E792" s="33" t="s">
        <v>378</v>
      </c>
      <c r="F792" s="33" t="s">
        <v>78</v>
      </c>
      <c r="L792" s="33">
        <v>2.35</v>
      </c>
      <c r="M792" s="269">
        <v>1</v>
      </c>
      <c r="N792" s="41">
        <v>0.62892669999999995</v>
      </c>
      <c r="O792" s="33">
        <v>14</v>
      </c>
      <c r="P792" s="33">
        <v>1.0978337000000001E-5</v>
      </c>
      <c r="Q792" s="33">
        <v>4.3183727999999998E-2</v>
      </c>
      <c r="R792" s="33">
        <v>5.7021305</v>
      </c>
      <c r="S792" s="33">
        <v>1.1335356E-6</v>
      </c>
      <c r="T792" s="33">
        <v>3.5752850000000001E-3</v>
      </c>
      <c r="U792" s="33">
        <v>1.9151161E-2</v>
      </c>
      <c r="V792" s="33">
        <v>3.8023555000000001E-3</v>
      </c>
      <c r="W792" s="33">
        <v>2.0049337999999999</v>
      </c>
      <c r="X792" s="33">
        <v>0.12926487</v>
      </c>
      <c r="Y792" s="33">
        <v>338.63108999999997</v>
      </c>
      <c r="Z792" s="33">
        <v>1.1891815999999999E-2</v>
      </c>
      <c r="AV792" s="316">
        <v>0</v>
      </c>
      <c r="AW792" s="314"/>
      <c r="AX792" s="314"/>
      <c r="AY792" s="316">
        <v>0</v>
      </c>
      <c r="BC792" s="33">
        <v>0</v>
      </c>
      <c r="BD792" s="33">
        <v>0</v>
      </c>
      <c r="BE792" s="33">
        <v>0</v>
      </c>
      <c r="BF792" s="33">
        <v>0</v>
      </c>
      <c r="BL792" s="62">
        <v>0</v>
      </c>
      <c r="BM792" s="275">
        <v>2</v>
      </c>
      <c r="BN792" s="62">
        <v>0</v>
      </c>
      <c r="BO792" s="33" t="s">
        <v>550</v>
      </c>
    </row>
    <row r="793" spans="1:77">
      <c r="A793" s="33" t="str">
        <f>Database_Productkaarten[[#This Row],[Product]]&amp;", "&amp;Database_Productkaarten[[#This Row],[Levensfase]]</f>
        <v>AC Surf 0% PR Rood, A5</v>
      </c>
      <c r="B793" s="33" t="s">
        <v>549</v>
      </c>
      <c r="C793" s="33" t="s">
        <v>483</v>
      </c>
      <c r="D793" s="33" t="s">
        <v>494</v>
      </c>
      <c r="E793" s="33" t="s">
        <v>378</v>
      </c>
      <c r="F793" s="33" t="s">
        <v>79</v>
      </c>
      <c r="L793" s="33">
        <v>2.35</v>
      </c>
      <c r="M793" s="269">
        <v>1</v>
      </c>
      <c r="N793" s="41">
        <v>0.26142994000000003</v>
      </c>
      <c r="O793" s="33">
        <v>14</v>
      </c>
      <c r="P793" s="33">
        <v>6.4405276999999999E-7</v>
      </c>
      <c r="Q793" s="33">
        <v>1.3221688000000001E-2</v>
      </c>
      <c r="R793" s="33">
        <v>2.554217</v>
      </c>
      <c r="S793" s="33">
        <v>3.4623921999999999E-7</v>
      </c>
      <c r="T793" s="33">
        <v>9.5560771999999997E-4</v>
      </c>
      <c r="U793" s="33">
        <v>1.0774331999999999E-2</v>
      </c>
      <c r="V793" s="33">
        <v>2.4326081999999998E-3</v>
      </c>
      <c r="W793" s="33">
        <v>0.67890231999999995</v>
      </c>
      <c r="X793" s="33">
        <v>9.5891563000000003E-3</v>
      </c>
      <c r="Y793" s="33">
        <v>32.339298999999997</v>
      </c>
      <c r="Z793" s="33">
        <v>1.1383995E-3</v>
      </c>
      <c r="AV793" s="316">
        <v>0.16170355</v>
      </c>
      <c r="AW793" s="314"/>
      <c r="AX793" s="314"/>
      <c r="AY793" s="316">
        <v>29.640834999999999</v>
      </c>
      <c r="BC793" s="33">
        <v>3.6528305999999999E-3</v>
      </c>
      <c r="BD793" s="33">
        <v>1.2448785000000001E-5</v>
      </c>
      <c r="BE793" s="33">
        <v>2.9724645000000001E-2</v>
      </c>
      <c r="BF793" s="33">
        <v>1.9389087E-4</v>
      </c>
      <c r="BL793" s="62">
        <v>0</v>
      </c>
      <c r="BM793" s="275">
        <v>2</v>
      </c>
      <c r="BN793" s="62">
        <v>0</v>
      </c>
      <c r="BO793" s="33" t="s">
        <v>550</v>
      </c>
    </row>
    <row r="794" spans="1:77">
      <c r="A794" s="33" t="str">
        <f>Database_Productkaarten[[#This Row],[Product]]&amp;", "&amp;Database_Productkaarten[[#This Row],[Levensfase]]</f>
        <v>AC Surf 0% PR Rood, B1</v>
      </c>
      <c r="B794" s="33" t="s">
        <v>549</v>
      </c>
      <c r="C794" s="33" t="s">
        <v>483</v>
      </c>
      <c r="D794" s="33" t="s">
        <v>494</v>
      </c>
      <c r="E794" s="33" t="s">
        <v>378</v>
      </c>
      <c r="F794" s="33" t="s">
        <v>80</v>
      </c>
      <c r="L794" s="33">
        <v>2.35</v>
      </c>
      <c r="M794" s="269">
        <v>1</v>
      </c>
      <c r="N794" s="41">
        <v>0.13543176074999999</v>
      </c>
      <c r="O794" s="33">
        <v>14</v>
      </c>
      <c r="P794" s="33">
        <v>0</v>
      </c>
      <c r="Q794" s="33">
        <v>0</v>
      </c>
      <c r="R794" s="33">
        <v>0</v>
      </c>
      <c r="S794" s="33">
        <v>0</v>
      </c>
      <c r="T794" s="33">
        <v>0</v>
      </c>
      <c r="U794" s="33">
        <v>0</v>
      </c>
      <c r="V794" s="33">
        <v>0</v>
      </c>
      <c r="W794" s="33">
        <v>0.54557357249999994</v>
      </c>
      <c r="X794" s="33">
        <v>0.58489036649999993</v>
      </c>
      <c r="Y794" s="33">
        <v>687.63459599999999</v>
      </c>
      <c r="Z794" s="33">
        <v>3.3279872999999999E-4</v>
      </c>
      <c r="AV794" s="316">
        <v>0</v>
      </c>
      <c r="AW794" s="314"/>
      <c r="AX794" s="314"/>
      <c r="AY794" s="316">
        <v>0</v>
      </c>
      <c r="BC794" s="33">
        <v>0</v>
      </c>
      <c r="BD794" s="33">
        <v>0</v>
      </c>
      <c r="BE794" s="33">
        <v>0</v>
      </c>
      <c r="BF794" s="33">
        <v>0</v>
      </c>
      <c r="BL794" s="62">
        <v>0</v>
      </c>
      <c r="BM794" s="275">
        <v>2</v>
      </c>
      <c r="BN794" s="62">
        <v>0</v>
      </c>
      <c r="BO794" s="33" t="s">
        <v>550</v>
      </c>
    </row>
    <row r="795" spans="1:77">
      <c r="A795" s="33" t="str">
        <f>Database_Productkaarten[[#This Row],[Product]]&amp;", "&amp;Database_Productkaarten[[#This Row],[Levensfase]]</f>
        <v>AC Surf 0% PR Rood, C1</v>
      </c>
      <c r="B795" s="33" t="s">
        <v>549</v>
      </c>
      <c r="C795" s="33" t="s">
        <v>483</v>
      </c>
      <c r="D795" s="33" t="s">
        <v>494</v>
      </c>
      <c r="E795" s="33" t="s">
        <v>378</v>
      </c>
      <c r="F795" s="33" t="s">
        <v>83</v>
      </c>
      <c r="L795" s="33">
        <v>2.35</v>
      </c>
      <c r="M795" s="269">
        <v>1</v>
      </c>
      <c r="N795" s="41">
        <v>0.13639726999999999</v>
      </c>
      <c r="O795" s="33">
        <v>14</v>
      </c>
      <c r="P795" s="33">
        <v>3.6644380999999999E-7</v>
      </c>
      <c r="Q795" s="33">
        <v>7.5226846000000002E-3</v>
      </c>
      <c r="R795" s="33">
        <v>1.4532613999999999</v>
      </c>
      <c r="S795" s="33">
        <v>1.9699817000000001E-7</v>
      </c>
      <c r="T795" s="33">
        <v>4.8171299999999999E-4</v>
      </c>
      <c r="U795" s="33">
        <v>4.2661764999999997E-3</v>
      </c>
      <c r="V795" s="33">
        <v>8.9941806E-4</v>
      </c>
      <c r="W795" s="33">
        <v>0.38176861000000001</v>
      </c>
      <c r="X795" s="33">
        <v>5.4558992000000002E-3</v>
      </c>
      <c r="Y795" s="33">
        <v>18.399946</v>
      </c>
      <c r="Z795" s="33">
        <v>6.4771006999999995E-4</v>
      </c>
      <c r="AV795" s="316">
        <v>9.2003741E-2</v>
      </c>
      <c r="AW795" s="314"/>
      <c r="AX795" s="314"/>
      <c r="AY795" s="316">
        <v>16.864612999999999</v>
      </c>
      <c r="BC795" s="33">
        <v>2.0783346E-3</v>
      </c>
      <c r="BD795" s="33">
        <v>7.0829294000000003E-6</v>
      </c>
      <c r="BE795" s="33">
        <v>1.6912297999999999E-2</v>
      </c>
      <c r="BF795" s="33">
        <v>1.1031722E-4</v>
      </c>
      <c r="BL795" s="62">
        <v>0</v>
      </c>
      <c r="BM795" s="275">
        <v>2</v>
      </c>
      <c r="BN795" s="62">
        <v>0</v>
      </c>
      <c r="BO795" s="33" t="s">
        <v>550</v>
      </c>
    </row>
    <row r="796" spans="1:77">
      <c r="A796" s="33" t="str">
        <f>Database_Productkaarten[[#This Row],[Product]]&amp;", "&amp;Database_Productkaarten[[#This Row],[Levensfase]]</f>
        <v>AC Surf 0% PR Rood, C2</v>
      </c>
      <c r="B796" s="33" t="s">
        <v>549</v>
      </c>
      <c r="C796" s="33" t="s">
        <v>483</v>
      </c>
      <c r="D796" s="33" t="s">
        <v>494</v>
      </c>
      <c r="E796" s="33" t="s">
        <v>378</v>
      </c>
      <c r="F796" s="33" t="s">
        <v>84</v>
      </c>
      <c r="L796" s="33">
        <v>2.35</v>
      </c>
      <c r="M796" s="269">
        <v>1</v>
      </c>
      <c r="N796" s="41">
        <v>0.62892669999999995</v>
      </c>
      <c r="O796" s="33">
        <v>14</v>
      </c>
      <c r="P796" s="33">
        <v>1.0978337000000001E-5</v>
      </c>
      <c r="Q796" s="33">
        <v>4.3183727999999998E-2</v>
      </c>
      <c r="R796" s="33">
        <v>5.7021305</v>
      </c>
      <c r="S796" s="33">
        <v>1.1335356E-6</v>
      </c>
      <c r="T796" s="33">
        <v>3.5752850000000001E-3</v>
      </c>
      <c r="U796" s="33">
        <v>1.9151161E-2</v>
      </c>
      <c r="V796" s="33">
        <v>3.8023555000000001E-3</v>
      </c>
      <c r="W796" s="33">
        <v>2.0049337999999999</v>
      </c>
      <c r="X796" s="33">
        <v>0.12926487</v>
      </c>
      <c r="Y796" s="33">
        <v>338.63108999999997</v>
      </c>
      <c r="Z796" s="33">
        <v>1.1891815999999999E-2</v>
      </c>
      <c r="AV796" s="316">
        <v>0</v>
      </c>
      <c r="AW796" s="314"/>
      <c r="AX796" s="314"/>
      <c r="AY796" s="316">
        <v>0</v>
      </c>
      <c r="BC796" s="33">
        <v>0</v>
      </c>
      <c r="BD796" s="33">
        <v>0</v>
      </c>
      <c r="BE796" s="33">
        <v>0</v>
      </c>
      <c r="BF796" s="33">
        <v>0</v>
      </c>
      <c r="BL796" s="62">
        <v>0</v>
      </c>
      <c r="BM796" s="275">
        <v>2</v>
      </c>
      <c r="BN796" s="62">
        <v>0</v>
      </c>
      <c r="BO796" s="33" t="s">
        <v>550</v>
      </c>
    </row>
    <row r="797" spans="1:77">
      <c r="A797" s="33" t="str">
        <f>Database_Productkaarten[[#This Row],[Product]]&amp;", "&amp;Database_Productkaarten[[#This Row],[Levensfase]]</f>
        <v>AC Surf 0% PR Rood, C3</v>
      </c>
      <c r="B797" s="33" t="s">
        <v>549</v>
      </c>
      <c r="C797" s="33" t="s">
        <v>483</v>
      </c>
      <c r="D797" s="33" t="s">
        <v>494</v>
      </c>
      <c r="E797" s="33" t="s">
        <v>378</v>
      </c>
      <c r="F797" s="33" t="s">
        <v>85</v>
      </c>
      <c r="L797" s="33">
        <v>2.35</v>
      </c>
      <c r="M797" s="269">
        <v>1</v>
      </c>
      <c r="N797" s="41">
        <v>0.16120214999999999</v>
      </c>
      <c r="O797" s="33">
        <v>14</v>
      </c>
      <c r="P797" s="33">
        <v>4.1291555000000003E-7</v>
      </c>
      <c r="Q797" s="33">
        <v>8.4766977000000007E-3</v>
      </c>
      <c r="R797" s="33">
        <v>1.6375614000000001</v>
      </c>
      <c r="S797" s="33">
        <v>2.2198113E-7</v>
      </c>
      <c r="T797" s="33">
        <v>5.9777666999999998E-4</v>
      </c>
      <c r="U797" s="33">
        <v>5.9352911999999997E-3</v>
      </c>
      <c r="V797" s="33">
        <v>1.3067828999999999E-3</v>
      </c>
      <c r="W797" s="33">
        <v>0.43290835999999999</v>
      </c>
      <c r="X797" s="33">
        <v>6.1478065000000002E-3</v>
      </c>
      <c r="Y797" s="33">
        <v>20.733394000000001</v>
      </c>
      <c r="Z797" s="33">
        <v>7.2985148000000004E-4</v>
      </c>
      <c r="AV797" s="316">
        <v>0.10367149000000001</v>
      </c>
      <c r="AW797" s="314"/>
      <c r="AX797" s="314"/>
      <c r="AY797" s="316">
        <v>19.003353000000001</v>
      </c>
      <c r="BC797" s="33">
        <v>2.3419052000000001E-3</v>
      </c>
      <c r="BD797" s="33">
        <v>7.9811735999999999E-6</v>
      </c>
      <c r="BE797" s="33">
        <v>1.9057085000000001E-2</v>
      </c>
      <c r="BF797" s="33">
        <v>1.2430745000000001E-4</v>
      </c>
      <c r="BL797" s="62">
        <v>0</v>
      </c>
      <c r="BM797" s="275">
        <v>2</v>
      </c>
      <c r="BN797" s="62">
        <v>0</v>
      </c>
      <c r="BO797" s="33" t="s">
        <v>550</v>
      </c>
    </row>
    <row r="798" spans="1:77">
      <c r="A798" s="33" t="str">
        <f>Database_Productkaarten[[#This Row],[Product]]&amp;", "&amp;Database_Productkaarten[[#This Row],[Levensfase]]</f>
        <v>AC Surf 0% PR Rood, D</v>
      </c>
      <c r="B798" s="33" t="str">
        <f>B799</f>
        <v>AC Surf 0% PR Rood</v>
      </c>
      <c r="C798" s="33" t="str">
        <f>C799</f>
        <v>Bitumineuze verhardingen</v>
      </c>
      <c r="D798" s="33" t="str">
        <f>D799</f>
        <v>AC surf rood</v>
      </c>
      <c r="E798" s="33" t="str">
        <f>E799</f>
        <v>Ton</v>
      </c>
      <c r="F798" s="33" t="s">
        <v>89</v>
      </c>
      <c r="L798" s="33">
        <f>L799</f>
        <v>2.35</v>
      </c>
      <c r="M798" s="45">
        <f>M799</f>
        <v>1</v>
      </c>
      <c r="N798" s="41">
        <f>SUM(N799:N800)</f>
        <v>-5.737276818773319</v>
      </c>
      <c r="O798" s="33">
        <f>O799</f>
        <v>14</v>
      </c>
      <c r="P798" s="40">
        <f>SUM(P799:P800)</f>
        <v>-6.4785322070175661E-5</v>
      </c>
      <c r="Q798" s="40">
        <f>SUM(Q799:Q800)</f>
        <v>-0.79793229123339982</v>
      </c>
      <c r="R798" s="40">
        <f>SUM(R799:R800)</f>
        <v>-41.295946971624161</v>
      </c>
      <c r="S798" s="40">
        <f t="shared" ref="S798:BK798" si="90">SUM(S799:S800)</f>
        <v>-4.3850978324681309E-6</v>
      </c>
      <c r="T798" s="40">
        <f t="shared" si="90"/>
        <v>-8.6050684554342477E-2</v>
      </c>
      <c r="U798" s="40">
        <f t="shared" si="90"/>
        <v>-0.34452574388493384</v>
      </c>
      <c r="V798" s="40">
        <f t="shared" si="90"/>
        <v>-3.7790660442688896E-2</v>
      </c>
      <c r="W798" s="40">
        <f t="shared" si="90"/>
        <v>-12.030135430465279</v>
      </c>
      <c r="X798" s="40">
        <f t="shared" si="90"/>
        <v>-1.2126813496228319</v>
      </c>
      <c r="Y798" s="40">
        <f t="shared" si="90"/>
        <v>-5258.2416539973055</v>
      </c>
      <c r="Z798" s="40">
        <f t="shared" si="90"/>
        <v>-0.16032179758313483</v>
      </c>
      <c r="AA798" s="40">
        <f t="shared" si="90"/>
        <v>0</v>
      </c>
      <c r="AB798" s="40">
        <f t="shared" si="90"/>
        <v>0</v>
      </c>
      <c r="AC798" s="40">
        <f t="shared" si="90"/>
        <v>0</v>
      </c>
      <c r="AD798" s="40">
        <f t="shared" si="90"/>
        <v>0</v>
      </c>
      <c r="AE798" s="40">
        <f t="shared" si="90"/>
        <v>0</v>
      </c>
      <c r="AF798" s="40">
        <f t="shared" si="90"/>
        <v>0</v>
      </c>
      <c r="AG798" s="40">
        <f t="shared" si="90"/>
        <v>0</v>
      </c>
      <c r="AH798" s="40">
        <f t="shared" si="90"/>
        <v>0</v>
      </c>
      <c r="AI798" s="40">
        <f t="shared" si="90"/>
        <v>0</v>
      </c>
      <c r="AJ798" s="40">
        <f t="shared" si="90"/>
        <v>0</v>
      </c>
      <c r="AK798" s="40">
        <f t="shared" si="90"/>
        <v>0</v>
      </c>
      <c r="AL798" s="40">
        <f t="shared" si="90"/>
        <v>0</v>
      </c>
      <c r="AM798" s="40">
        <f t="shared" si="90"/>
        <v>0</v>
      </c>
      <c r="AN798" s="40">
        <f t="shared" si="90"/>
        <v>0</v>
      </c>
      <c r="AO798" s="40">
        <f t="shared" si="90"/>
        <v>0</v>
      </c>
      <c r="AP798" s="40">
        <f t="shared" si="90"/>
        <v>0</v>
      </c>
      <c r="AQ798" s="40">
        <f t="shared" si="90"/>
        <v>0</v>
      </c>
      <c r="AR798" s="40">
        <f t="shared" si="90"/>
        <v>0</v>
      </c>
      <c r="AS798" s="40">
        <f t="shared" si="90"/>
        <v>0</v>
      </c>
      <c r="AT798" s="40">
        <f t="shared" si="90"/>
        <v>0</v>
      </c>
      <c r="AU798" s="40">
        <f t="shared" si="90"/>
        <v>0</v>
      </c>
      <c r="AV798" s="317">
        <f t="shared" si="90"/>
        <v>-14.657039053258359</v>
      </c>
      <c r="AW798" s="317">
        <f t="shared" si="90"/>
        <v>0</v>
      </c>
      <c r="AX798" s="317">
        <f t="shared" si="90"/>
        <v>0</v>
      </c>
      <c r="AY798" s="317">
        <f t="shared" si="90"/>
        <v>-1798.3114465371875</v>
      </c>
      <c r="AZ798" s="40">
        <f t="shared" si="90"/>
        <v>0</v>
      </c>
      <c r="BA798" s="40">
        <f t="shared" si="90"/>
        <v>0</v>
      </c>
      <c r="BB798" s="40">
        <f t="shared" si="90"/>
        <v>0</v>
      </c>
      <c r="BC798" s="40">
        <f t="shared" si="90"/>
        <v>-17.182989473025962</v>
      </c>
      <c r="BD798" s="40">
        <f t="shared" si="90"/>
        <v>-6.9457904127098768E-4</v>
      </c>
      <c r="BE798" s="40">
        <f t="shared" si="90"/>
        <v>-4.870079512241519</v>
      </c>
      <c r="BF798" s="40">
        <f t="shared" si="90"/>
        <v>-1.7995967308705183E-3</v>
      </c>
      <c r="BG798" s="40">
        <f t="shared" si="90"/>
        <v>0</v>
      </c>
      <c r="BH798" s="40">
        <f t="shared" si="90"/>
        <v>0</v>
      </c>
      <c r="BI798" s="40">
        <f t="shared" si="90"/>
        <v>0</v>
      </c>
      <c r="BJ798" s="40">
        <f t="shared" si="90"/>
        <v>0</v>
      </c>
      <c r="BK798" s="40">
        <f t="shared" si="90"/>
        <v>0</v>
      </c>
      <c r="BL798" s="62">
        <f>BL799</f>
        <v>0</v>
      </c>
      <c r="BM798" s="275">
        <f>BM799</f>
        <v>2</v>
      </c>
      <c r="BN798" s="62">
        <v>0</v>
      </c>
      <c r="BO798" s="33" t="str">
        <f>BO799</f>
        <v>(obv AC Surf 0% PR * 1,65)</v>
      </c>
    </row>
    <row r="799" spans="1:77">
      <c r="A799" s="33" t="str">
        <f>Database_Productkaarten[[#This Row],[Product]]&amp;", "&amp;Database_Productkaarten[[#This Row],[Levensfase]]</f>
        <v>AC Surf 0% PR Rood, D1</v>
      </c>
      <c r="B799" s="33" t="s">
        <v>549</v>
      </c>
      <c r="C799" s="33" t="s">
        <v>483</v>
      </c>
      <c r="D799" s="33" t="s">
        <v>494</v>
      </c>
      <c r="E799" s="33" t="s">
        <v>378</v>
      </c>
      <c r="F799" s="33" t="s">
        <v>87</v>
      </c>
      <c r="L799" s="33">
        <v>2.35</v>
      </c>
      <c r="M799" s="269">
        <v>1</v>
      </c>
      <c r="N799" s="41">
        <v>-3.9940282190082397</v>
      </c>
      <c r="O799" s="33">
        <v>14</v>
      </c>
      <c r="P799" s="33">
        <v>-5.3083861559999999E-5</v>
      </c>
      <c r="Q799" s="33">
        <v>-0.71692586487599985</v>
      </c>
      <c r="R799" s="33">
        <v>-29.453415403005039</v>
      </c>
      <c r="S799" s="33">
        <v>-2.4570558369599997E-6</v>
      </c>
      <c r="T799" s="33">
        <v>-7.7011500167679978E-2</v>
      </c>
      <c r="U799" s="33">
        <v>-0.21047290098895999</v>
      </c>
      <c r="V799" s="33">
        <v>-1.950378109216E-2</v>
      </c>
      <c r="W799" s="33">
        <v>-7.8223977558315188</v>
      </c>
      <c r="X799" s="33">
        <v>-1.1166398682647993</v>
      </c>
      <c r="Y799" s="33">
        <v>-4891.1566199070849</v>
      </c>
      <c r="Z799" s="33">
        <v>-0.14465848866560002</v>
      </c>
      <c r="AV799" s="316">
        <v>-11.369800508735439</v>
      </c>
      <c r="AW799" s="314"/>
      <c r="AX799" s="314"/>
      <c r="AY799" s="316">
        <v>-1618.7164207527067</v>
      </c>
      <c r="BC799" s="33">
        <v>-17.146799885022556</v>
      </c>
      <c r="BD799" s="33">
        <v>-5.8071008679999982E-4</v>
      </c>
      <c r="BE799" s="33">
        <v>-1.9123424257876798</v>
      </c>
      <c r="BF799" s="33">
        <v>-6.8135050495999998E-4</v>
      </c>
      <c r="BL799" s="62">
        <v>0</v>
      </c>
      <c r="BM799" s="275">
        <v>2</v>
      </c>
      <c r="BN799" s="62">
        <v>0</v>
      </c>
      <c r="BO799" s="33" t="s">
        <v>550</v>
      </c>
      <c r="BY799" s="33">
        <f>39.461-22.5-1.571-0.264-0.003-0.025-0.008-0.008-0.025-0.014</f>
        <v>15.043000000000001</v>
      </c>
    </row>
    <row r="800" spans="1:77">
      <c r="A800" s="33" t="str">
        <f>Database_Productkaarten[[#This Row],[Product]]&amp;", "&amp;Database_Productkaarten[[#This Row],[Levensfase]]</f>
        <v>AC Surf 0% PR Rood, D2</v>
      </c>
      <c r="B800" s="33" t="s">
        <v>549</v>
      </c>
      <c r="C800" s="33" t="s">
        <v>483</v>
      </c>
      <c r="D800" s="33" t="s">
        <v>494</v>
      </c>
      <c r="E800" s="33" t="s">
        <v>378</v>
      </c>
      <c r="F800" s="33" t="s">
        <v>88</v>
      </c>
      <c r="L800" s="33">
        <v>2.35</v>
      </c>
      <c r="M800" s="269">
        <v>1</v>
      </c>
      <c r="N800" s="41">
        <v>-1.7432485997650797</v>
      </c>
      <c r="O800" s="33">
        <v>14</v>
      </c>
      <c r="P800" s="33">
        <v>-1.1701460510175659E-5</v>
      </c>
      <c r="Q800" s="33">
        <v>-8.1006426357399977E-2</v>
      </c>
      <c r="R800" s="33">
        <v>-11.842531568619121</v>
      </c>
      <c r="S800" s="33">
        <v>-1.9280419955081308E-6</v>
      </c>
      <c r="T800" s="33">
        <v>-9.0391843866624959E-3</v>
      </c>
      <c r="U800" s="33">
        <v>-0.13405284289597388</v>
      </c>
      <c r="V800" s="33">
        <v>-1.8286879350528897E-2</v>
      </c>
      <c r="W800" s="33">
        <v>-4.2077376746337602</v>
      </c>
      <c r="X800" s="33">
        <v>-9.6041481358032629E-2</v>
      </c>
      <c r="Y800" s="33">
        <v>-367.08503409022074</v>
      </c>
      <c r="Z800" s="33">
        <v>-1.5663308917534816E-2</v>
      </c>
      <c r="AV800" s="316">
        <v>-3.2872385445229195</v>
      </c>
      <c r="AW800" s="314"/>
      <c r="AX800" s="314"/>
      <c r="AY800" s="316">
        <v>-179.59502578448095</v>
      </c>
      <c r="BC800" s="33">
        <v>-3.6189588003407429E-2</v>
      </c>
      <c r="BD800" s="33">
        <v>-1.1386895447098782E-4</v>
      </c>
      <c r="BE800" s="33">
        <v>-2.9577370864538395</v>
      </c>
      <c r="BF800" s="33">
        <v>-1.1182462259105182E-3</v>
      </c>
      <c r="BL800" s="62">
        <v>0</v>
      </c>
      <c r="BM800" s="275">
        <v>2</v>
      </c>
      <c r="BN800" s="62">
        <v>0</v>
      </c>
      <c r="BO800" s="33" t="s">
        <v>550</v>
      </c>
    </row>
    <row r="801" spans="1:67">
      <c r="A801" s="33" t="str">
        <f>Database_Productkaarten[[#This Row],[Product]]&amp;", "&amp;Database_Productkaarten[[#This Row],[Levensfase]]</f>
        <v>SMA 8-11 Rood, Totaal</v>
      </c>
      <c r="B801" s="33" t="s">
        <v>551</v>
      </c>
      <c r="C801" s="33" t="s">
        <v>483</v>
      </c>
      <c r="D801" s="33" t="s">
        <v>516</v>
      </c>
      <c r="E801" s="33" t="s">
        <v>378</v>
      </c>
      <c r="F801" s="33" t="s">
        <v>90</v>
      </c>
      <c r="L801" s="33">
        <v>2.35</v>
      </c>
      <c r="M801" s="269">
        <v>1</v>
      </c>
      <c r="N801" s="41">
        <v>13.102682692738266</v>
      </c>
      <c r="O801" s="33">
        <v>16</v>
      </c>
      <c r="P801" s="33">
        <v>1.2975117855943425E-4</v>
      </c>
      <c r="Q801" s="33">
        <v>1.8946863108368341</v>
      </c>
      <c r="R801" s="33">
        <v>107.03488024389046</v>
      </c>
      <c r="S801" s="33">
        <v>1.1614561117163846E-5</v>
      </c>
      <c r="T801" s="33">
        <v>0.18406777371754912</v>
      </c>
      <c r="U801" s="33">
        <v>0.60270031135647384</v>
      </c>
      <c r="V801" s="33">
        <v>6.5510801649347875E-2</v>
      </c>
      <c r="W801" s="33">
        <v>29.893492246725806</v>
      </c>
      <c r="X801" s="33">
        <v>3.5625144962551896</v>
      </c>
      <c r="Y801" s="33">
        <v>12589.563687379823</v>
      </c>
      <c r="Z801" s="33">
        <v>0.37718314004541409</v>
      </c>
      <c r="AV801" s="316">
        <v>44.528391406999646</v>
      </c>
      <c r="AW801" s="314"/>
      <c r="AX801" s="314"/>
      <c r="AY801" s="316">
        <v>4042.6807550580797</v>
      </c>
      <c r="BC801" s="33">
        <v>37.377054857760498</v>
      </c>
      <c r="BD801" s="33">
        <v>1.8031693264975804E-3</v>
      </c>
      <c r="BE801" s="33">
        <v>5.4443383257309499</v>
      </c>
      <c r="BF801" s="33">
        <v>2.6520808435421895E-3</v>
      </c>
      <c r="BL801" s="62">
        <v>0</v>
      </c>
      <c r="BM801" s="275">
        <v>2</v>
      </c>
      <c r="BN801" s="62">
        <v>0</v>
      </c>
      <c r="BO801" s="33" t="s">
        <v>552</v>
      </c>
    </row>
    <row r="802" spans="1:67">
      <c r="A802" s="33" t="str">
        <f>Database_Productkaarten[[#This Row],[Product]]&amp;", "&amp;Database_Productkaarten[[#This Row],[Levensfase]]</f>
        <v>SMA 8-11 Rood, A1</v>
      </c>
      <c r="B802" s="33" t="s">
        <v>551</v>
      </c>
      <c r="C802" s="33" t="s">
        <v>483</v>
      </c>
      <c r="D802" s="33" t="s">
        <v>516</v>
      </c>
      <c r="E802" s="33" t="s">
        <v>378</v>
      </c>
      <c r="F802" s="33" t="s">
        <v>74</v>
      </c>
      <c r="L802" s="33">
        <v>2.35</v>
      </c>
      <c r="M802" s="269">
        <v>1</v>
      </c>
      <c r="N802" s="41">
        <v>12.879648440999997</v>
      </c>
      <c r="O802" s="33">
        <v>16</v>
      </c>
      <c r="P802" s="33">
        <v>1.456609044E-4</v>
      </c>
      <c r="Q802" s="33">
        <v>2.3508632936999998</v>
      </c>
      <c r="R802" s="33">
        <v>93.356903873999997</v>
      </c>
      <c r="S802" s="33">
        <v>7.7213363700000005E-6</v>
      </c>
      <c r="T802" s="33">
        <v>0.25309327667999998</v>
      </c>
      <c r="U802" s="33">
        <v>0.67153724549999994</v>
      </c>
      <c r="V802" s="33">
        <v>6.0270069900000001E-2</v>
      </c>
      <c r="W802" s="33">
        <v>26.073554318999999</v>
      </c>
      <c r="X802" s="33">
        <v>3.6992468288999998</v>
      </c>
      <c r="Y802" s="33">
        <v>16144.2295868325</v>
      </c>
      <c r="Z802" s="33">
        <v>0.47687047560000007</v>
      </c>
      <c r="AV802" s="316">
        <v>46.667058574500004</v>
      </c>
      <c r="AW802" s="314"/>
      <c r="AX802" s="314"/>
      <c r="AY802" s="316">
        <v>5314.9783656734999</v>
      </c>
      <c r="BC802" s="33">
        <v>56.740654666800005</v>
      </c>
      <c r="BD802" s="33">
        <v>1.7979368189999997E-3</v>
      </c>
      <c r="BE802" s="33">
        <v>5.0981155920000001</v>
      </c>
      <c r="BF802" s="33">
        <v>1.9688769540000001E-3</v>
      </c>
      <c r="BL802" s="62">
        <v>0</v>
      </c>
      <c r="BM802" s="275">
        <v>2</v>
      </c>
      <c r="BN802" s="62">
        <v>0</v>
      </c>
      <c r="BO802" s="33" t="s">
        <v>552</v>
      </c>
    </row>
    <row r="803" spans="1:67">
      <c r="A803" s="33" t="str">
        <f>Database_Productkaarten[[#This Row],[Product]]&amp;", "&amp;Database_Productkaarten[[#This Row],[Levensfase]]</f>
        <v>SMA 8-11 Rood, A2</v>
      </c>
      <c r="B803" s="33" t="s">
        <v>551</v>
      </c>
      <c r="C803" s="33" t="s">
        <v>483</v>
      </c>
      <c r="D803" s="33" t="s">
        <v>516</v>
      </c>
      <c r="E803" s="33" t="s">
        <v>378</v>
      </c>
      <c r="F803" s="33" t="s">
        <v>75</v>
      </c>
      <c r="L803" s="33">
        <v>2.35</v>
      </c>
      <c r="M803" s="269">
        <v>1</v>
      </c>
      <c r="N803" s="41">
        <v>2.4307964394150003</v>
      </c>
      <c r="O803" s="33">
        <v>16</v>
      </c>
      <c r="P803" s="33">
        <v>1.5064990869629999E-5</v>
      </c>
      <c r="Q803" s="33">
        <v>0.10455005876800001</v>
      </c>
      <c r="R803" s="33">
        <v>15.003097835616002</v>
      </c>
      <c r="S803" s="33">
        <v>2.4817267241000006E-6</v>
      </c>
      <c r="T803" s="33">
        <v>1.2816067583900002E-2</v>
      </c>
      <c r="U803" s="33">
        <v>0.20588537639540005</v>
      </c>
      <c r="V803" s="33">
        <v>2.3472284118600004E-2</v>
      </c>
      <c r="W803" s="33">
        <v>6.0515928570560007</v>
      </c>
      <c r="X803" s="33">
        <v>0.1307750831676</v>
      </c>
      <c r="Y803" s="33">
        <v>535.92296399565896</v>
      </c>
      <c r="Z803" s="33">
        <v>2.0800316694400009E-2</v>
      </c>
      <c r="AV803" s="316">
        <v>4.1844821066910001</v>
      </c>
      <c r="AW803" s="314"/>
      <c r="AX803" s="314"/>
      <c r="AY803" s="316">
        <v>231.69305034644901</v>
      </c>
      <c r="BC803" s="33">
        <v>4.2908625141899998E-2</v>
      </c>
      <c r="BD803" s="33">
        <v>1.3900675574579998E-4</v>
      </c>
      <c r="BE803" s="33">
        <v>4.1705277317539995</v>
      </c>
      <c r="BF803" s="33">
        <v>1.4404183863400003E-3</v>
      </c>
      <c r="BL803" s="62">
        <v>0</v>
      </c>
      <c r="BM803" s="275">
        <v>2</v>
      </c>
      <c r="BN803" s="62">
        <v>0</v>
      </c>
      <c r="BO803" s="33" t="s">
        <v>552</v>
      </c>
    </row>
    <row r="804" spans="1:67">
      <c r="A804" s="33" t="str">
        <f>Database_Productkaarten[[#This Row],[Product]]&amp;", "&amp;Database_Productkaarten[[#This Row],[Levensfase]]</f>
        <v>SMA 8-11 Rood, A3</v>
      </c>
      <c r="B804" s="33" t="s">
        <v>551</v>
      </c>
      <c r="C804" s="33" t="s">
        <v>483</v>
      </c>
      <c r="D804" s="33" t="s">
        <v>516</v>
      </c>
      <c r="E804" s="33" t="s">
        <v>378</v>
      </c>
      <c r="F804" s="33" t="s">
        <v>76</v>
      </c>
      <c r="L804" s="33">
        <v>2.35</v>
      </c>
      <c r="M804" s="269">
        <v>1</v>
      </c>
      <c r="N804" s="41">
        <v>1.6535537506540927</v>
      </c>
      <c r="O804" s="33">
        <v>16</v>
      </c>
      <c r="P804" s="33">
        <v>5.2713531167084548E-6</v>
      </c>
      <c r="Q804" s="33">
        <v>0.19207865336915458</v>
      </c>
      <c r="R804" s="33">
        <v>22.669455609947878</v>
      </c>
      <c r="S804" s="33">
        <v>2.5506295190080962E-6</v>
      </c>
      <c r="T804" s="33">
        <v>3.6927587031904642E-3</v>
      </c>
      <c r="U804" s="33">
        <v>2.6185219957496675E-2</v>
      </c>
      <c r="V804" s="33">
        <v>4.8609564714452522E-3</v>
      </c>
      <c r="W804" s="33">
        <v>3.5625618886590238</v>
      </c>
      <c r="X804" s="33">
        <v>2.5530337415448572E-2</v>
      </c>
      <c r="Y804" s="33">
        <v>104.00297466151824</v>
      </c>
      <c r="Z804" s="33">
        <v>2.6652329923810936E-2</v>
      </c>
      <c r="AV804" s="316">
        <v>7.6727774558279922</v>
      </c>
      <c r="AW804" s="314"/>
      <c r="AX804" s="314"/>
      <c r="AY804" s="316">
        <v>392.03275105654564</v>
      </c>
      <c r="BC804" s="33">
        <v>5.1312985347488176E-2</v>
      </c>
      <c r="BD804" s="33">
        <v>5.4391746066704031E-4</v>
      </c>
      <c r="BE804" s="33">
        <v>0.27772677342255825</v>
      </c>
      <c r="BF804" s="33">
        <v>3.8469637044231497E-4</v>
      </c>
      <c r="BL804" s="62">
        <v>0</v>
      </c>
      <c r="BM804" s="275">
        <v>2</v>
      </c>
      <c r="BN804" s="62">
        <v>0</v>
      </c>
      <c r="BO804" s="33" t="s">
        <v>552</v>
      </c>
    </row>
    <row r="805" spans="1:67">
      <c r="A805" s="33" t="str">
        <f>Database_Productkaarten[[#This Row],[Product]]&amp;", "&amp;Database_Productkaarten[[#This Row],[Levensfase]]</f>
        <v>SMA 8-11 Rood, A1-A3</v>
      </c>
      <c r="B805" s="33" t="str">
        <f>B804</f>
        <v>SMA 8-11 Rood</v>
      </c>
      <c r="C805" s="33" t="str">
        <f>C804</f>
        <v>Bitumineuze verhardingen</v>
      </c>
      <c r="D805" s="33" t="str">
        <f>D804</f>
        <v>SMA rood</v>
      </c>
      <c r="E805" s="33" t="str">
        <f>E804</f>
        <v>Ton</v>
      </c>
      <c r="F805" s="33" t="s">
        <v>77</v>
      </c>
      <c r="L805" s="33">
        <f>L804</f>
        <v>2.35</v>
      </c>
      <c r="M805" s="45">
        <f>M804</f>
        <v>1</v>
      </c>
      <c r="N805" s="41">
        <f>SUM(N802:N804)</f>
        <v>16.963998631069092</v>
      </c>
      <c r="O805" s="33">
        <f>O804</f>
        <v>16</v>
      </c>
      <c r="P805" s="40">
        <f>SUM(P802:P804)</f>
        <v>1.6599724838633844E-4</v>
      </c>
      <c r="Q805" s="40">
        <f t="shared" ref="Q805:BK805" si="91">SUM(Q802:Q804)</f>
        <v>2.6474920058371545</v>
      </c>
      <c r="R805" s="40">
        <f t="shared" si="91"/>
        <v>131.02945731956387</v>
      </c>
      <c r="S805" s="40">
        <f t="shared" si="91"/>
        <v>1.2753692613108098E-5</v>
      </c>
      <c r="T805" s="40">
        <f t="shared" si="91"/>
        <v>0.26960210296709047</v>
      </c>
      <c r="U805" s="40">
        <f t="shared" si="91"/>
        <v>0.90360784185289666</v>
      </c>
      <c r="V805" s="40">
        <f t="shared" si="91"/>
        <v>8.8603310490045259E-2</v>
      </c>
      <c r="W805" s="40">
        <f t="shared" si="91"/>
        <v>35.68770906471503</v>
      </c>
      <c r="X805" s="40">
        <f t="shared" si="91"/>
        <v>3.8555522494830483</v>
      </c>
      <c r="Y805" s="40">
        <f t="shared" si="91"/>
        <v>16784.155525489678</v>
      </c>
      <c r="Z805" s="40">
        <f t="shared" si="91"/>
        <v>0.52432312221821098</v>
      </c>
      <c r="AA805" s="40">
        <f t="shared" si="91"/>
        <v>0</v>
      </c>
      <c r="AB805" s="40">
        <f t="shared" si="91"/>
        <v>0</v>
      </c>
      <c r="AC805" s="40">
        <f t="shared" si="91"/>
        <v>0</v>
      </c>
      <c r="AD805" s="40">
        <f t="shared" si="91"/>
        <v>0</v>
      </c>
      <c r="AE805" s="40">
        <f t="shared" si="91"/>
        <v>0</v>
      </c>
      <c r="AF805" s="40">
        <f t="shared" si="91"/>
        <v>0</v>
      </c>
      <c r="AG805" s="40">
        <f t="shared" si="91"/>
        <v>0</v>
      </c>
      <c r="AH805" s="40">
        <f t="shared" si="91"/>
        <v>0</v>
      </c>
      <c r="AI805" s="40">
        <f t="shared" si="91"/>
        <v>0</v>
      </c>
      <c r="AJ805" s="40">
        <f t="shared" si="91"/>
        <v>0</v>
      </c>
      <c r="AK805" s="40">
        <f t="shared" si="91"/>
        <v>0</v>
      </c>
      <c r="AL805" s="40">
        <f t="shared" si="91"/>
        <v>0</v>
      </c>
      <c r="AM805" s="40">
        <f t="shared" si="91"/>
        <v>0</v>
      </c>
      <c r="AN805" s="40">
        <f t="shared" si="91"/>
        <v>0</v>
      </c>
      <c r="AO805" s="40">
        <f t="shared" si="91"/>
        <v>0</v>
      </c>
      <c r="AP805" s="40">
        <f t="shared" si="91"/>
        <v>0</v>
      </c>
      <c r="AQ805" s="40">
        <f t="shared" si="91"/>
        <v>0</v>
      </c>
      <c r="AR805" s="40">
        <f t="shared" si="91"/>
        <v>0</v>
      </c>
      <c r="AS805" s="40">
        <f t="shared" si="91"/>
        <v>0</v>
      </c>
      <c r="AT805" s="40">
        <f t="shared" si="91"/>
        <v>0</v>
      </c>
      <c r="AU805" s="40">
        <f t="shared" si="91"/>
        <v>0</v>
      </c>
      <c r="AV805" s="317">
        <f t="shared" si="91"/>
        <v>58.524318137018994</v>
      </c>
      <c r="AW805" s="317">
        <f t="shared" si="91"/>
        <v>0</v>
      </c>
      <c r="AX805" s="317">
        <f t="shared" si="91"/>
        <v>0</v>
      </c>
      <c r="AY805" s="317">
        <f t="shared" si="91"/>
        <v>5938.7041670764947</v>
      </c>
      <c r="AZ805" s="40">
        <f t="shared" si="91"/>
        <v>0</v>
      </c>
      <c r="BA805" s="40">
        <f t="shared" si="91"/>
        <v>0</v>
      </c>
      <c r="BB805" s="40">
        <f t="shared" si="91"/>
        <v>0</v>
      </c>
      <c r="BC805" s="40">
        <f t="shared" si="91"/>
        <v>56.834876277289389</v>
      </c>
      <c r="BD805" s="40">
        <f t="shared" si="91"/>
        <v>2.4808610354128402E-3</v>
      </c>
      <c r="BE805" s="40">
        <f t="shared" si="91"/>
        <v>9.5463700971765562</v>
      </c>
      <c r="BF805" s="40">
        <f t="shared" si="91"/>
        <v>3.7939917107823158E-3</v>
      </c>
      <c r="BG805" s="40">
        <f t="shared" si="91"/>
        <v>0</v>
      </c>
      <c r="BH805" s="40">
        <f t="shared" si="91"/>
        <v>0</v>
      </c>
      <c r="BI805" s="40">
        <f t="shared" si="91"/>
        <v>0</v>
      </c>
      <c r="BJ805" s="40">
        <f t="shared" si="91"/>
        <v>0</v>
      </c>
      <c r="BK805" s="40">
        <f t="shared" si="91"/>
        <v>0</v>
      </c>
      <c r="BL805" s="62">
        <f>BL804</f>
        <v>0</v>
      </c>
      <c r="BM805" s="275">
        <f>BM804</f>
        <v>2</v>
      </c>
      <c r="BN805" s="62">
        <v>0</v>
      </c>
      <c r="BO805" s="33" t="str">
        <f>BO804</f>
        <v>(o.b.v. SMA 8-11 * 1,5)</v>
      </c>
    </row>
    <row r="806" spans="1:67">
      <c r="A806" s="33" t="str">
        <f>Database_Productkaarten[[#This Row],[Product]]&amp;", "&amp;Database_Productkaarten[[#This Row],[Levensfase]]</f>
        <v>SMA 8-11 Rood, A4</v>
      </c>
      <c r="B806" s="33" t="s">
        <v>551</v>
      </c>
      <c r="C806" s="33" t="s">
        <v>483</v>
      </c>
      <c r="D806" s="33" t="s">
        <v>516</v>
      </c>
      <c r="E806" s="33" t="s">
        <v>378</v>
      </c>
      <c r="F806" s="33" t="s">
        <v>78</v>
      </c>
      <c r="L806" s="33">
        <v>2.35</v>
      </c>
      <c r="M806" s="269">
        <v>1</v>
      </c>
      <c r="N806" s="41">
        <v>0.62892669999999995</v>
      </c>
      <c r="O806" s="33">
        <v>16</v>
      </c>
      <c r="P806" s="33">
        <v>1.0978337000000001E-5</v>
      </c>
      <c r="Q806" s="33">
        <v>4.3183727999999998E-2</v>
      </c>
      <c r="R806" s="33">
        <v>5.7021305</v>
      </c>
      <c r="S806" s="33">
        <v>1.1335356E-6</v>
      </c>
      <c r="T806" s="33">
        <v>3.5752850000000001E-3</v>
      </c>
      <c r="U806" s="33">
        <v>1.9151161E-2</v>
      </c>
      <c r="V806" s="33">
        <v>3.8023555000000001E-3</v>
      </c>
      <c r="W806" s="33">
        <v>2.0049337999999999</v>
      </c>
      <c r="X806" s="33">
        <v>0.12926487</v>
      </c>
      <c r="Y806" s="33">
        <v>338.63108999999997</v>
      </c>
      <c r="Z806" s="33">
        <v>1.1891815999999999E-2</v>
      </c>
      <c r="AV806" s="316">
        <v>0</v>
      </c>
      <c r="AW806" s="314"/>
      <c r="AX806" s="314"/>
      <c r="AY806" s="316">
        <v>0</v>
      </c>
      <c r="BC806" s="33">
        <v>0</v>
      </c>
      <c r="BD806" s="33">
        <v>0</v>
      </c>
      <c r="BE806" s="33">
        <v>0</v>
      </c>
      <c r="BF806" s="33">
        <v>0</v>
      </c>
      <c r="BL806" s="62">
        <v>0</v>
      </c>
      <c r="BM806" s="275">
        <v>2</v>
      </c>
      <c r="BN806" s="62">
        <v>0</v>
      </c>
      <c r="BO806" s="33" t="s">
        <v>552</v>
      </c>
    </row>
    <row r="807" spans="1:67">
      <c r="A807" s="33" t="str">
        <f>Database_Productkaarten[[#This Row],[Product]]&amp;", "&amp;Database_Productkaarten[[#This Row],[Levensfase]]</f>
        <v>SMA 8-11 Rood, A5</v>
      </c>
      <c r="B807" s="33" t="s">
        <v>551</v>
      </c>
      <c r="C807" s="33" t="s">
        <v>483</v>
      </c>
      <c r="D807" s="33" t="s">
        <v>516</v>
      </c>
      <c r="E807" s="33" t="s">
        <v>378</v>
      </c>
      <c r="F807" s="33" t="s">
        <v>79</v>
      </c>
      <c r="L807" s="33">
        <v>2.35</v>
      </c>
      <c r="M807" s="269">
        <v>1</v>
      </c>
      <c r="N807" s="41">
        <v>0.26142994000000003</v>
      </c>
      <c r="O807" s="33">
        <v>16</v>
      </c>
      <c r="P807" s="33">
        <v>6.4405276999999999E-7</v>
      </c>
      <c r="Q807" s="33">
        <v>1.3221688000000001E-2</v>
      </c>
      <c r="R807" s="33">
        <v>2.554217</v>
      </c>
      <c r="S807" s="33">
        <v>3.4623921999999999E-7</v>
      </c>
      <c r="T807" s="33">
        <v>9.5560771999999997E-4</v>
      </c>
      <c r="U807" s="33">
        <v>1.0774331999999999E-2</v>
      </c>
      <c r="V807" s="33">
        <v>2.4326081999999998E-3</v>
      </c>
      <c r="W807" s="33">
        <v>0.67890231999999995</v>
      </c>
      <c r="X807" s="33">
        <v>9.5891563000000003E-3</v>
      </c>
      <c r="Y807" s="33">
        <v>32.339298999999997</v>
      </c>
      <c r="Z807" s="33">
        <v>1.1383995E-3</v>
      </c>
      <c r="AV807" s="316">
        <v>0.16170355</v>
      </c>
      <c r="AW807" s="314"/>
      <c r="AX807" s="314"/>
      <c r="AY807" s="316">
        <v>29.640834999999999</v>
      </c>
      <c r="BC807" s="33">
        <v>3.6528305999999999E-3</v>
      </c>
      <c r="BD807" s="33">
        <v>1.2448785000000001E-5</v>
      </c>
      <c r="BE807" s="33">
        <v>2.9724645000000001E-2</v>
      </c>
      <c r="BF807" s="33">
        <v>1.9389087E-4</v>
      </c>
      <c r="BL807" s="62">
        <v>0</v>
      </c>
      <c r="BM807" s="275">
        <v>2</v>
      </c>
      <c r="BN807" s="62">
        <v>0</v>
      </c>
      <c r="BO807" s="33" t="s">
        <v>552</v>
      </c>
    </row>
    <row r="808" spans="1:67">
      <c r="A808" s="33" t="str">
        <f>Database_Productkaarten[[#This Row],[Product]]&amp;", "&amp;Database_Productkaarten[[#This Row],[Levensfase]]</f>
        <v>SMA 8-11 Rood, B1</v>
      </c>
      <c r="B808" s="33" t="s">
        <v>551</v>
      </c>
      <c r="C808" s="33" t="s">
        <v>483</v>
      </c>
      <c r="D808" s="33" t="s">
        <v>516</v>
      </c>
      <c r="E808" s="33" t="s">
        <v>378</v>
      </c>
      <c r="F808" s="33" t="s">
        <v>80</v>
      </c>
      <c r="L808" s="33">
        <v>2.35</v>
      </c>
      <c r="M808" s="269">
        <v>1</v>
      </c>
      <c r="N808" s="41">
        <v>0.17738230499999999</v>
      </c>
      <c r="O808" s="33">
        <v>16</v>
      </c>
      <c r="P808" s="33">
        <v>0</v>
      </c>
      <c r="Q808" s="33">
        <v>0</v>
      </c>
      <c r="R808" s="33">
        <v>0</v>
      </c>
      <c r="S808" s="33">
        <v>0</v>
      </c>
      <c r="T808" s="33">
        <v>0</v>
      </c>
      <c r="U808" s="33">
        <v>0</v>
      </c>
      <c r="V808" s="33">
        <v>0</v>
      </c>
      <c r="W808" s="33">
        <v>0.71456721000000001</v>
      </c>
      <c r="X808" s="33">
        <v>0.76606255499999998</v>
      </c>
      <c r="Y808" s="33">
        <v>900.632205</v>
      </c>
      <c r="Z808" s="33">
        <v>4.3588450499999998E-4</v>
      </c>
      <c r="AV808" s="316">
        <v>0</v>
      </c>
      <c r="AW808" s="314"/>
      <c r="AX808" s="314"/>
      <c r="AY808" s="316">
        <v>0</v>
      </c>
      <c r="BC808" s="33">
        <v>0</v>
      </c>
      <c r="BD808" s="33">
        <v>0</v>
      </c>
      <c r="BE808" s="33">
        <v>0</v>
      </c>
      <c r="BF808" s="33">
        <v>0</v>
      </c>
      <c r="BL808" s="62">
        <v>0</v>
      </c>
      <c r="BM808" s="275">
        <v>2</v>
      </c>
      <c r="BN808" s="62">
        <v>0</v>
      </c>
      <c r="BO808" s="33" t="s">
        <v>552</v>
      </c>
    </row>
    <row r="809" spans="1:67">
      <c r="A809" s="33" t="str">
        <f>Database_Productkaarten[[#This Row],[Product]]&amp;", "&amp;Database_Productkaarten[[#This Row],[Levensfase]]</f>
        <v>SMA 8-11 Rood, C1</v>
      </c>
      <c r="B809" s="33" t="s">
        <v>551</v>
      </c>
      <c r="C809" s="33" t="s">
        <v>483</v>
      </c>
      <c r="D809" s="33" t="s">
        <v>516</v>
      </c>
      <c r="E809" s="33" t="s">
        <v>378</v>
      </c>
      <c r="F809" s="33" t="s">
        <v>83</v>
      </c>
      <c r="L809" s="33">
        <v>2.35</v>
      </c>
      <c r="M809" s="269">
        <v>1</v>
      </c>
      <c r="N809" s="41">
        <v>0.13639726999999999</v>
      </c>
      <c r="O809" s="33">
        <v>16</v>
      </c>
      <c r="P809" s="33">
        <v>3.6644380999999999E-7</v>
      </c>
      <c r="Q809" s="33">
        <v>7.5226846000000002E-3</v>
      </c>
      <c r="R809" s="33">
        <v>1.4532613999999999</v>
      </c>
      <c r="S809" s="33">
        <v>1.9699817000000001E-7</v>
      </c>
      <c r="T809" s="33">
        <v>4.8171299999999999E-4</v>
      </c>
      <c r="U809" s="33">
        <v>4.2661764999999997E-3</v>
      </c>
      <c r="V809" s="33">
        <v>8.9941806E-4</v>
      </c>
      <c r="W809" s="33">
        <v>0.38176861000000001</v>
      </c>
      <c r="X809" s="33">
        <v>5.4558992000000002E-3</v>
      </c>
      <c r="Y809" s="33">
        <v>18.399946</v>
      </c>
      <c r="Z809" s="33">
        <v>6.4771006999999995E-4</v>
      </c>
      <c r="AV809" s="316">
        <v>9.2003741E-2</v>
      </c>
      <c r="AW809" s="314"/>
      <c r="AX809" s="314"/>
      <c r="AY809" s="316">
        <v>16.864612999999999</v>
      </c>
      <c r="BC809" s="33">
        <v>2.0783346E-3</v>
      </c>
      <c r="BD809" s="33">
        <v>7.0829294000000003E-6</v>
      </c>
      <c r="BE809" s="33">
        <v>1.6912297999999999E-2</v>
      </c>
      <c r="BF809" s="33">
        <v>1.1031722E-4</v>
      </c>
      <c r="BL809" s="62">
        <v>0</v>
      </c>
      <c r="BM809" s="275">
        <v>2</v>
      </c>
      <c r="BN809" s="62">
        <v>0</v>
      </c>
      <c r="BO809" s="33" t="s">
        <v>552</v>
      </c>
    </row>
    <row r="810" spans="1:67">
      <c r="A810" s="33" t="str">
        <f>Database_Productkaarten[[#This Row],[Product]]&amp;", "&amp;Database_Productkaarten[[#This Row],[Levensfase]]</f>
        <v>SMA 8-11 Rood, C2</v>
      </c>
      <c r="B810" s="33" t="s">
        <v>551</v>
      </c>
      <c r="C810" s="33" t="s">
        <v>483</v>
      </c>
      <c r="D810" s="33" t="s">
        <v>516</v>
      </c>
      <c r="E810" s="33" t="s">
        <v>378</v>
      </c>
      <c r="F810" s="33" t="s">
        <v>84</v>
      </c>
      <c r="L810" s="33">
        <v>2.35</v>
      </c>
      <c r="M810" s="269">
        <v>1</v>
      </c>
      <c r="N810" s="41">
        <v>0.62892669999999995</v>
      </c>
      <c r="O810" s="33">
        <v>16</v>
      </c>
      <c r="P810" s="33">
        <v>1.0978337000000001E-5</v>
      </c>
      <c r="Q810" s="33">
        <v>4.3183727999999998E-2</v>
      </c>
      <c r="R810" s="33">
        <v>5.7021305</v>
      </c>
      <c r="S810" s="33">
        <v>1.1335356E-6</v>
      </c>
      <c r="T810" s="33">
        <v>3.5752850000000001E-3</v>
      </c>
      <c r="U810" s="33">
        <v>1.9151161E-2</v>
      </c>
      <c r="V810" s="33">
        <v>3.8023555000000001E-3</v>
      </c>
      <c r="W810" s="33">
        <v>2.0049337999999999</v>
      </c>
      <c r="X810" s="33">
        <v>0.12926487</v>
      </c>
      <c r="Y810" s="33">
        <v>338.63108999999997</v>
      </c>
      <c r="Z810" s="33">
        <v>1.1891815999999999E-2</v>
      </c>
      <c r="AV810" s="316">
        <v>0</v>
      </c>
      <c r="AW810" s="314"/>
      <c r="AX810" s="314"/>
      <c r="AY810" s="316">
        <v>0</v>
      </c>
      <c r="BC810" s="33">
        <v>0</v>
      </c>
      <c r="BD810" s="33">
        <v>0</v>
      </c>
      <c r="BE810" s="33">
        <v>0</v>
      </c>
      <c r="BF810" s="33">
        <v>0</v>
      </c>
      <c r="BL810" s="62">
        <v>0</v>
      </c>
      <c r="BM810" s="275">
        <v>2</v>
      </c>
      <c r="BN810" s="62">
        <v>0</v>
      </c>
      <c r="BO810" s="33" t="s">
        <v>552</v>
      </c>
    </row>
    <row r="811" spans="1:67">
      <c r="A811" s="33" t="str">
        <f>Database_Productkaarten[[#This Row],[Product]]&amp;", "&amp;Database_Productkaarten[[#This Row],[Levensfase]]</f>
        <v>SMA 8-11 Rood, C3</v>
      </c>
      <c r="B811" s="33" t="s">
        <v>551</v>
      </c>
      <c r="C811" s="33" t="s">
        <v>483</v>
      </c>
      <c r="D811" s="33" t="s">
        <v>516</v>
      </c>
      <c r="E811" s="33" t="s">
        <v>378</v>
      </c>
      <c r="F811" s="33" t="s">
        <v>85</v>
      </c>
      <c r="L811" s="33">
        <v>2.35</v>
      </c>
      <c r="M811" s="269">
        <v>1</v>
      </c>
      <c r="N811" s="41">
        <v>0.16120214999999999</v>
      </c>
      <c r="O811" s="33">
        <v>16</v>
      </c>
      <c r="P811" s="33">
        <v>4.1291555000000003E-7</v>
      </c>
      <c r="Q811" s="33">
        <v>8.4766977000000007E-3</v>
      </c>
      <c r="R811" s="33">
        <v>1.6375614000000001</v>
      </c>
      <c r="S811" s="33">
        <v>2.2198113E-7</v>
      </c>
      <c r="T811" s="33">
        <v>5.9777666999999998E-4</v>
      </c>
      <c r="U811" s="33">
        <v>5.9352911999999997E-3</v>
      </c>
      <c r="V811" s="33">
        <v>1.3067828999999999E-3</v>
      </c>
      <c r="W811" s="33">
        <v>0.43290835999999999</v>
      </c>
      <c r="X811" s="33">
        <v>6.1478065000000002E-3</v>
      </c>
      <c r="Y811" s="33">
        <v>20.733394000000001</v>
      </c>
      <c r="Z811" s="33">
        <v>7.2985148000000004E-4</v>
      </c>
      <c r="AV811" s="316">
        <v>0.10367149000000001</v>
      </c>
      <c r="AW811" s="314"/>
      <c r="AX811" s="314"/>
      <c r="AY811" s="316">
        <v>19.003353000000001</v>
      </c>
      <c r="BC811" s="33">
        <v>2.3419052000000001E-3</v>
      </c>
      <c r="BD811" s="33">
        <v>7.9811735999999999E-6</v>
      </c>
      <c r="BE811" s="33">
        <v>1.9057085000000001E-2</v>
      </c>
      <c r="BF811" s="33">
        <v>1.2430745000000001E-4</v>
      </c>
      <c r="BL811" s="62">
        <v>0</v>
      </c>
      <c r="BM811" s="275">
        <v>2</v>
      </c>
      <c r="BN811" s="62">
        <v>0</v>
      </c>
      <c r="BO811" s="33" t="s">
        <v>552</v>
      </c>
    </row>
    <row r="812" spans="1:67">
      <c r="A812" s="33" t="str">
        <f>Database_Productkaarten[[#This Row],[Product]]&amp;", "&amp;Database_Productkaarten[[#This Row],[Levensfase]]</f>
        <v>SMA 8-11 Rood, D</v>
      </c>
      <c r="B812" s="33" t="str">
        <f>B813</f>
        <v>SMA 8-11 Rood</v>
      </c>
      <c r="C812" s="33" t="str">
        <f>C813</f>
        <v>Bitumineuze verhardingen</v>
      </c>
      <c r="D812" s="33" t="str">
        <f>D813</f>
        <v>SMA rood</v>
      </c>
      <c r="E812" s="33" t="str">
        <f>E813</f>
        <v>Ton</v>
      </c>
      <c r="F812" s="33" t="s">
        <v>89</v>
      </c>
      <c r="L812" s="33">
        <f>L813</f>
        <v>2.35</v>
      </c>
      <c r="M812" s="45">
        <f>M813</f>
        <v>1</v>
      </c>
      <c r="N812" s="41">
        <f>SUM(N813:N814)</f>
        <v>-5.8555810033308253</v>
      </c>
      <c r="O812" s="33">
        <f>O813</f>
        <v>16</v>
      </c>
      <c r="P812" s="40">
        <f>SUM(P813:P814)</f>
        <v>-5.9626155956904198E-5</v>
      </c>
      <c r="Q812" s="40">
        <f>SUM(Q813:Q814)</f>
        <v>-0.86839422130031996</v>
      </c>
      <c r="R812" s="40">
        <f>SUM(R813:R814)</f>
        <v>-41.043877875673459</v>
      </c>
      <c r="S812" s="40">
        <f t="shared" ref="S812:BK812" si="92">SUM(S813:S814)</f>
        <v>-4.1714212159442528E-6</v>
      </c>
      <c r="T812" s="40">
        <f t="shared" si="92"/>
        <v>-9.4719996639541268E-2</v>
      </c>
      <c r="U812" s="40">
        <f t="shared" si="92"/>
        <v>-0.36018565219642296</v>
      </c>
      <c r="V812" s="40">
        <f t="shared" si="92"/>
        <v>-3.5336029000697392E-2</v>
      </c>
      <c r="W812" s="40">
        <f t="shared" si="92"/>
        <v>-12.012230917989223</v>
      </c>
      <c r="X812" s="40">
        <f t="shared" si="92"/>
        <v>-1.3388229102278595</v>
      </c>
      <c r="Y812" s="40">
        <f t="shared" si="92"/>
        <v>-5843.9588621098537</v>
      </c>
      <c r="Z812" s="40">
        <f t="shared" si="92"/>
        <v>-0.17387545972779692</v>
      </c>
      <c r="AA812" s="40">
        <f t="shared" si="92"/>
        <v>0</v>
      </c>
      <c r="AB812" s="40">
        <f t="shared" si="92"/>
        <v>0</v>
      </c>
      <c r="AC812" s="40">
        <f t="shared" si="92"/>
        <v>0</v>
      </c>
      <c r="AD812" s="40">
        <f t="shared" si="92"/>
        <v>0</v>
      </c>
      <c r="AE812" s="40">
        <f t="shared" si="92"/>
        <v>0</v>
      </c>
      <c r="AF812" s="40">
        <f t="shared" si="92"/>
        <v>0</v>
      </c>
      <c r="AG812" s="40">
        <f t="shared" si="92"/>
        <v>0</v>
      </c>
      <c r="AH812" s="40">
        <f t="shared" si="92"/>
        <v>0</v>
      </c>
      <c r="AI812" s="40">
        <f t="shared" si="92"/>
        <v>0</v>
      </c>
      <c r="AJ812" s="40">
        <f t="shared" si="92"/>
        <v>0</v>
      </c>
      <c r="AK812" s="40">
        <f t="shared" si="92"/>
        <v>0</v>
      </c>
      <c r="AL812" s="40">
        <f t="shared" si="92"/>
        <v>0</v>
      </c>
      <c r="AM812" s="40">
        <f t="shared" si="92"/>
        <v>0</v>
      </c>
      <c r="AN812" s="40">
        <f t="shared" si="92"/>
        <v>0</v>
      </c>
      <c r="AO812" s="40">
        <f t="shared" si="92"/>
        <v>0</v>
      </c>
      <c r="AP812" s="40">
        <f t="shared" si="92"/>
        <v>0</v>
      </c>
      <c r="AQ812" s="40">
        <f t="shared" si="92"/>
        <v>0</v>
      </c>
      <c r="AR812" s="40">
        <f t="shared" si="92"/>
        <v>0</v>
      </c>
      <c r="AS812" s="40">
        <f t="shared" si="92"/>
        <v>0</v>
      </c>
      <c r="AT812" s="40">
        <f t="shared" si="92"/>
        <v>0</v>
      </c>
      <c r="AU812" s="40">
        <f t="shared" si="92"/>
        <v>0</v>
      </c>
      <c r="AV812" s="317">
        <f t="shared" si="92"/>
        <v>-14.35330551101935</v>
      </c>
      <c r="AW812" s="317">
        <f t="shared" si="92"/>
        <v>0</v>
      </c>
      <c r="AX812" s="317">
        <f t="shared" si="92"/>
        <v>0</v>
      </c>
      <c r="AY812" s="317">
        <f t="shared" si="92"/>
        <v>-1961.5322130184152</v>
      </c>
      <c r="AZ812" s="40">
        <f t="shared" si="92"/>
        <v>0</v>
      </c>
      <c r="BA812" s="40">
        <f t="shared" si="92"/>
        <v>0</v>
      </c>
      <c r="BB812" s="40">
        <f t="shared" si="92"/>
        <v>0</v>
      </c>
      <c r="BC812" s="40">
        <f t="shared" si="92"/>
        <v>-19.465894489928889</v>
      </c>
      <c r="BD812" s="40">
        <f t="shared" si="92"/>
        <v>-7.0520459691525981E-4</v>
      </c>
      <c r="BE812" s="40">
        <f t="shared" si="92"/>
        <v>-4.1677257994456056</v>
      </c>
      <c r="BF812" s="40">
        <f t="shared" si="92"/>
        <v>-1.5704264072401268E-3</v>
      </c>
      <c r="BG812" s="40">
        <f t="shared" si="92"/>
        <v>0</v>
      </c>
      <c r="BH812" s="40">
        <f t="shared" si="92"/>
        <v>0</v>
      </c>
      <c r="BI812" s="40">
        <f t="shared" si="92"/>
        <v>0</v>
      </c>
      <c r="BJ812" s="40">
        <f t="shared" si="92"/>
        <v>0</v>
      </c>
      <c r="BK812" s="40">
        <f t="shared" si="92"/>
        <v>0</v>
      </c>
      <c r="BL812" s="62">
        <f>BL813</f>
        <v>0</v>
      </c>
      <c r="BM812" s="275">
        <f>BM813</f>
        <v>2</v>
      </c>
      <c r="BN812" s="62">
        <v>0</v>
      </c>
      <c r="BO812" s="33" t="str">
        <f>BO813</f>
        <v>(o.b.v. SMA 8-11 * 1,5)</v>
      </c>
    </row>
    <row r="813" spans="1:67">
      <c r="A813" s="33" t="str">
        <f>Database_Productkaarten[[#This Row],[Product]]&amp;", "&amp;Database_Productkaarten[[#This Row],[Levensfase]]</f>
        <v>SMA 8-11 Rood, D1</v>
      </c>
      <c r="B813" s="33" t="s">
        <v>551</v>
      </c>
      <c r="C813" s="33" t="s">
        <v>483</v>
      </c>
      <c r="D813" s="33" t="s">
        <v>516</v>
      </c>
      <c r="E813" s="33" t="s">
        <v>378</v>
      </c>
      <c r="F813" s="33" t="s">
        <v>87</v>
      </c>
      <c r="L813" s="33">
        <v>2.35</v>
      </c>
      <c r="M813" s="269">
        <v>1</v>
      </c>
      <c r="N813" s="41">
        <v>-4.3817123265254798</v>
      </c>
      <c r="O813" s="33">
        <v>16</v>
      </c>
      <c r="P813" s="33">
        <v>-5.1048255323199997E-5</v>
      </c>
      <c r="Q813" s="33">
        <v>-0.80617084251509985</v>
      </c>
      <c r="R813" s="33">
        <v>-32.122321411378074</v>
      </c>
      <c r="S813" s="33">
        <v>-2.69695287011E-6</v>
      </c>
      <c r="T813" s="33">
        <v>-8.692507497639998E-2</v>
      </c>
      <c r="U813" s="33">
        <v>-0.23261877696141997</v>
      </c>
      <c r="V813" s="33">
        <v>-2.1201775043519999E-2</v>
      </c>
      <c r="W813" s="33">
        <v>-8.353246859814039</v>
      </c>
      <c r="X813" s="33">
        <v>-1.2609720491412999</v>
      </c>
      <c r="Y813" s="33">
        <v>-5520.6604356928601</v>
      </c>
      <c r="Z813" s="33">
        <v>-0.16143045076449999</v>
      </c>
      <c r="AV813" s="316">
        <v>-11.83821820720188</v>
      </c>
      <c r="AW813" s="314"/>
      <c r="AX813" s="314"/>
      <c r="AY813" s="316">
        <v>-1823.6523511269206</v>
      </c>
      <c r="BC813" s="33">
        <v>-19.440585285810016</v>
      </c>
      <c r="BD813" s="33">
        <v>-6.2314055375699989E-4</v>
      </c>
      <c r="BE813" s="33">
        <v>-1.79768618192736</v>
      </c>
      <c r="BF813" s="33">
        <v>-7.1383789006200006E-4</v>
      </c>
      <c r="BL813" s="62">
        <v>0</v>
      </c>
      <c r="BM813" s="275">
        <v>2</v>
      </c>
      <c r="BN813" s="62">
        <v>0</v>
      </c>
      <c r="BO813" s="33" t="s">
        <v>552</v>
      </c>
    </row>
    <row r="814" spans="1:67">
      <c r="A814" s="33" t="str">
        <f>Database_Productkaarten[[#This Row],[Product]]&amp;", "&amp;Database_Productkaarten[[#This Row],[Levensfase]]</f>
        <v>SMA 8-11 Rood, D2</v>
      </c>
      <c r="B814" s="33" t="s">
        <v>551</v>
      </c>
      <c r="C814" s="33" t="s">
        <v>483</v>
      </c>
      <c r="D814" s="33" t="s">
        <v>516</v>
      </c>
      <c r="E814" s="33" t="s">
        <v>378</v>
      </c>
      <c r="F814" s="33" t="s">
        <v>88</v>
      </c>
      <c r="L814" s="33">
        <v>2.35</v>
      </c>
      <c r="M814" s="269">
        <v>1</v>
      </c>
      <c r="N814" s="41">
        <v>-1.4738686768053453</v>
      </c>
      <c r="O814" s="33">
        <v>16</v>
      </c>
      <c r="P814" s="33">
        <v>-8.5779006337041975E-6</v>
      </c>
      <c r="Q814" s="33">
        <v>-6.2223378785220052E-2</v>
      </c>
      <c r="R814" s="33">
        <v>-8.9215564642953851</v>
      </c>
      <c r="S814" s="33">
        <v>-1.4744683458342524E-6</v>
      </c>
      <c r="T814" s="33">
        <v>-7.7949216631412925E-3</v>
      </c>
      <c r="U814" s="33">
        <v>-0.12756687523500299</v>
      </c>
      <c r="V814" s="33">
        <v>-1.4134253957177394E-2</v>
      </c>
      <c r="W814" s="33">
        <v>-3.6589840581751845</v>
      </c>
      <c r="X814" s="33">
        <v>-7.7850861086559683E-2</v>
      </c>
      <c r="Y814" s="33">
        <v>-323.29842641699315</v>
      </c>
      <c r="Z814" s="33">
        <v>-1.2445008963296932E-2</v>
      </c>
      <c r="AV814" s="316">
        <v>-2.5150873038174693</v>
      </c>
      <c r="AW814" s="314"/>
      <c r="AX814" s="314"/>
      <c r="AY814" s="316">
        <v>-137.8798618914945</v>
      </c>
      <c r="BC814" s="33">
        <v>-2.5309204118872251E-2</v>
      </c>
      <c r="BD814" s="33">
        <v>-8.206404315825989E-5</v>
      </c>
      <c r="BE814" s="33">
        <v>-2.3700396175182457</v>
      </c>
      <c r="BF814" s="33">
        <v>-8.5658851717812685E-4</v>
      </c>
      <c r="BL814" s="62">
        <v>0</v>
      </c>
      <c r="BM814" s="275">
        <v>2</v>
      </c>
      <c r="BN814" s="62">
        <v>0</v>
      </c>
      <c r="BO814" s="33" t="s">
        <v>552</v>
      </c>
    </row>
    <row r="815" spans="1:67">
      <c r="A815" s="33" t="str">
        <f>Database_Productkaarten[[#This Row],[Product]]&amp;", "&amp;Database_Productkaarten[[#This Row],[Levensfase]]</f>
        <v>Kleeflaag, Totaal</v>
      </c>
      <c r="B815" s="33" t="s">
        <v>553</v>
      </c>
      <c r="C815" s="33" t="s">
        <v>483</v>
      </c>
      <c r="D815" s="33" t="s">
        <v>553</v>
      </c>
      <c r="E815" s="33" t="s">
        <v>385</v>
      </c>
      <c r="F815" s="33" t="s">
        <v>90</v>
      </c>
      <c r="G815" s="33">
        <v>1</v>
      </c>
      <c r="H815" s="33">
        <v>1</v>
      </c>
      <c r="L815" s="33">
        <v>4.0000000000000002E-4</v>
      </c>
      <c r="M815" s="33">
        <v>4.0000000000000002E-4</v>
      </c>
      <c r="N815" s="41"/>
      <c r="O815" s="33">
        <v>45</v>
      </c>
      <c r="AV815" s="108"/>
      <c r="AY815" s="108"/>
      <c r="BL815" s="62">
        <v>0</v>
      </c>
      <c r="BM815" s="275">
        <v>3</v>
      </c>
      <c r="BN815" s="62">
        <v>0.05</v>
      </c>
      <c r="BO815" s="33" t="s">
        <v>554</v>
      </c>
    </row>
    <row r="816" spans="1:67">
      <c r="A816" s="33" t="str">
        <f>Database_Productkaarten[[#This Row],[Product]]&amp;", "&amp;Database_Productkaarten[[#This Row],[Levensfase]]</f>
        <v>Kleeflaag, A1</v>
      </c>
      <c r="B816" s="33" t="s">
        <v>553</v>
      </c>
      <c r="C816" s="33" t="s">
        <v>483</v>
      </c>
      <c r="D816" s="33" t="s">
        <v>553</v>
      </c>
      <c r="E816" s="33" t="s">
        <v>385</v>
      </c>
      <c r="F816" s="33" t="s">
        <v>74</v>
      </c>
      <c r="G816" s="33">
        <v>1</v>
      </c>
      <c r="H816" s="33">
        <v>1</v>
      </c>
      <c r="L816" s="33">
        <v>4.0000000000000002E-4</v>
      </c>
      <c r="M816" s="33">
        <v>4.0000000000000002E-4</v>
      </c>
      <c r="N816" s="41"/>
      <c r="O816" s="33">
        <v>45</v>
      </c>
      <c r="P816" s="321"/>
      <c r="Q816" s="321"/>
      <c r="R816" s="40"/>
      <c r="S816" s="321"/>
      <c r="T816" s="321"/>
      <c r="U816" s="321"/>
      <c r="V816" s="321"/>
      <c r="W816" s="321"/>
      <c r="X816" s="321"/>
      <c r="Y816" s="321"/>
      <c r="Z816" s="321"/>
      <c r="AA816" s="162"/>
      <c r="AB816" s="162"/>
      <c r="AC816" s="162"/>
      <c r="AD816" s="162"/>
      <c r="AE816" s="162"/>
      <c r="AF816" s="162"/>
      <c r="AG816" s="162"/>
      <c r="AH816" s="162"/>
      <c r="AI816" s="162"/>
      <c r="AJ816" s="162"/>
      <c r="AK816" s="162"/>
      <c r="AL816" s="162"/>
      <c r="AM816" s="162"/>
      <c r="AN816" s="162"/>
      <c r="AO816" s="162"/>
      <c r="AP816" s="162"/>
      <c r="AQ816" s="162"/>
      <c r="AR816" s="162"/>
      <c r="AS816" s="162"/>
      <c r="AT816" s="162"/>
      <c r="AU816" s="162"/>
      <c r="AV816" s="108"/>
      <c r="AW816" s="312"/>
      <c r="AX816" s="312"/>
      <c r="AY816" s="108"/>
      <c r="AZ816" s="312"/>
      <c r="BA816" s="312"/>
      <c r="BB816" s="312"/>
      <c r="BC816" s="312"/>
      <c r="BD816" s="312"/>
      <c r="BE816" s="312"/>
      <c r="BF816" s="312"/>
      <c r="BG816" s="312"/>
      <c r="BH816" s="312"/>
      <c r="BI816" s="312"/>
      <c r="BJ816" s="312"/>
      <c r="BK816" s="312"/>
      <c r="BL816" s="62">
        <v>0</v>
      </c>
      <c r="BM816" s="275">
        <v>3</v>
      </c>
      <c r="BN816" s="62">
        <v>0.05</v>
      </c>
      <c r="BO816" s="33" t="s">
        <v>554</v>
      </c>
    </row>
    <row r="817" spans="1:67">
      <c r="A817" s="33" t="str">
        <f>Database_Productkaarten[[#This Row],[Product]]&amp;", "&amp;Database_Productkaarten[[#This Row],[Levensfase]]</f>
        <v>Kleeflaag, A2</v>
      </c>
      <c r="B817" s="33" t="s">
        <v>553</v>
      </c>
      <c r="C817" s="33" t="s">
        <v>483</v>
      </c>
      <c r="D817" s="33" t="s">
        <v>553</v>
      </c>
      <c r="E817" s="33" t="s">
        <v>385</v>
      </c>
      <c r="F817" s="33" t="s">
        <v>75</v>
      </c>
      <c r="G817" s="33">
        <v>1</v>
      </c>
      <c r="H817" s="33">
        <v>1</v>
      </c>
      <c r="L817" s="33">
        <v>4.0000000000000002E-4</v>
      </c>
      <c r="M817" s="33">
        <v>4.0000000000000002E-4</v>
      </c>
      <c r="N817" s="41"/>
      <c r="O817" s="33">
        <v>45</v>
      </c>
      <c r="P817" s="40"/>
      <c r="Q817" s="40"/>
      <c r="R817" s="40"/>
      <c r="S817" s="40"/>
      <c r="T817" s="40"/>
      <c r="U817" s="40"/>
      <c r="V817" s="40"/>
      <c r="W817" s="40"/>
      <c r="X817" s="40"/>
      <c r="Y817" s="40"/>
      <c r="Z817" s="40"/>
      <c r="AA817" s="40"/>
      <c r="AB817" s="40"/>
      <c r="AC817" s="40"/>
      <c r="AD817" s="40"/>
      <c r="AE817" s="40"/>
      <c r="AF817" s="40"/>
      <c r="AG817" s="40"/>
      <c r="AH817" s="40"/>
      <c r="AI817" s="40"/>
      <c r="AJ817" s="40"/>
      <c r="AK817" s="40"/>
      <c r="AL817" s="40"/>
      <c r="AM817" s="40"/>
      <c r="AN817" s="40"/>
      <c r="AO817" s="40"/>
      <c r="AP817" s="40"/>
      <c r="AQ817" s="40"/>
      <c r="AR817" s="40"/>
      <c r="AS817" s="40"/>
      <c r="AT817" s="40"/>
      <c r="AU817" s="40"/>
      <c r="AV817" s="281"/>
      <c r="AW817" s="40"/>
      <c r="AX817" s="40"/>
      <c r="AY817" s="281"/>
      <c r="AZ817" s="40"/>
      <c r="BA817" s="40"/>
      <c r="BB817" s="40"/>
      <c r="BC817" s="40"/>
      <c r="BD817" s="40"/>
      <c r="BE817" s="40"/>
      <c r="BF817" s="40"/>
      <c r="BG817" s="40"/>
      <c r="BH817" s="40"/>
      <c r="BI817" s="40"/>
      <c r="BJ817" s="40"/>
      <c r="BK817" s="40"/>
      <c r="BL817" s="62">
        <v>0</v>
      </c>
      <c r="BM817" s="275">
        <v>3</v>
      </c>
      <c r="BN817" s="62">
        <v>0.05</v>
      </c>
      <c r="BO817" s="33" t="s">
        <v>554</v>
      </c>
    </row>
    <row r="818" spans="1:67">
      <c r="A818" s="33" t="str">
        <f>Database_Productkaarten[[#This Row],[Product]]&amp;", "&amp;Database_Productkaarten[[#This Row],[Levensfase]]</f>
        <v>Kleeflaag, A3</v>
      </c>
      <c r="B818" s="33" t="s">
        <v>553</v>
      </c>
      <c r="C818" s="33" t="s">
        <v>483</v>
      </c>
      <c r="D818" s="33" t="s">
        <v>553</v>
      </c>
      <c r="E818" s="33" t="s">
        <v>385</v>
      </c>
      <c r="F818" s="33" t="s">
        <v>76</v>
      </c>
      <c r="G818" s="33">
        <v>1</v>
      </c>
      <c r="H818" s="33">
        <v>1</v>
      </c>
      <c r="L818" s="33">
        <v>4.0000000000000002E-4</v>
      </c>
      <c r="M818" s="33">
        <v>4.0000000000000002E-4</v>
      </c>
      <c r="N818" s="41"/>
      <c r="O818" s="33">
        <v>45</v>
      </c>
      <c r="P818" s="321"/>
      <c r="Q818" s="321"/>
      <c r="R818" s="40"/>
      <c r="S818" s="321"/>
      <c r="T818" s="321"/>
      <c r="U818" s="321"/>
      <c r="V818" s="321"/>
      <c r="W818" s="321"/>
      <c r="X818" s="321"/>
      <c r="Y818" s="321"/>
      <c r="Z818" s="40"/>
      <c r="AV818" s="322"/>
      <c r="AW818" s="323"/>
      <c r="AX818" s="323"/>
      <c r="AY818" s="322"/>
      <c r="AZ818" s="323"/>
      <c r="BA818" s="323"/>
      <c r="BB818" s="323"/>
      <c r="BC818" s="323"/>
      <c r="BD818" s="323"/>
      <c r="BE818" s="323"/>
      <c r="BF818" s="323"/>
      <c r="BG818" s="323"/>
      <c r="BH818" s="323"/>
      <c r="BI818" s="323"/>
      <c r="BJ818" s="323"/>
      <c r="BK818" s="323"/>
      <c r="BL818" s="324">
        <v>0</v>
      </c>
      <c r="BM818" s="325">
        <v>3</v>
      </c>
      <c r="BN818" s="62">
        <v>0.05</v>
      </c>
      <c r="BO818" s="33" t="s">
        <v>554</v>
      </c>
    </row>
    <row r="819" spans="1:67">
      <c r="A819" s="33" t="str">
        <f>Database_Productkaarten[[#This Row],[Product]]&amp;", "&amp;Database_Productkaarten[[#This Row],[Levensfase]]</f>
        <v>Kleeflaag, A1-A3</v>
      </c>
      <c r="B819" s="33" t="str">
        <f>B818</f>
        <v>Kleeflaag</v>
      </c>
      <c r="C819" s="33" t="str">
        <f>C818</f>
        <v>Bitumineuze verhardingen</v>
      </c>
      <c r="D819" s="33" t="str">
        <f>D818</f>
        <v>Kleeflaag</v>
      </c>
      <c r="E819" s="33" t="str">
        <f>E818</f>
        <v>m2</v>
      </c>
      <c r="F819" s="33" t="s">
        <v>77</v>
      </c>
      <c r="G819" s="33">
        <v>1</v>
      </c>
      <c r="H819" s="33">
        <v>1</v>
      </c>
      <c r="L819" s="33">
        <v>4.0000000000000002E-4</v>
      </c>
      <c r="M819" s="33">
        <v>4.0000000000000002E-4</v>
      </c>
      <c r="N819" s="41">
        <v>5.6300000000000003E-2</v>
      </c>
      <c r="O819" s="33">
        <f>O818</f>
        <v>45</v>
      </c>
      <c r="P819" s="40"/>
      <c r="Q819" s="40"/>
      <c r="R819" s="40">
        <v>0.35858156000000002</v>
      </c>
      <c r="S819" s="40"/>
      <c r="T819" s="40"/>
      <c r="U819" s="40"/>
      <c r="V819" s="40"/>
      <c r="W819" s="40"/>
      <c r="X819" s="40"/>
      <c r="Y819" s="40"/>
      <c r="Z819" s="40"/>
      <c r="AA819" s="40"/>
      <c r="AB819" s="40"/>
      <c r="AC819" s="40"/>
      <c r="AD819" s="40"/>
      <c r="AE819" s="40"/>
      <c r="AF819" s="40"/>
      <c r="AG819" s="40"/>
      <c r="AH819" s="40"/>
      <c r="AI819" s="40"/>
      <c r="AJ819" s="40"/>
      <c r="AK819" s="40"/>
      <c r="AL819" s="40"/>
      <c r="AM819" s="40"/>
      <c r="AN819" s="40"/>
      <c r="AO819" s="40"/>
      <c r="AP819" s="40"/>
      <c r="AQ819" s="40"/>
      <c r="AR819" s="40"/>
      <c r="AS819" s="40"/>
      <c r="AT819" s="40"/>
      <c r="AU819" s="40"/>
      <c r="AV819" s="40"/>
      <c r="AW819" s="40"/>
      <c r="AX819" s="40"/>
      <c r="AY819" s="40"/>
      <c r="AZ819" s="40"/>
      <c r="BA819" s="40"/>
      <c r="BB819" s="40"/>
      <c r="BC819" s="40"/>
      <c r="BD819" s="40"/>
      <c r="BE819" s="40"/>
      <c r="BF819" s="40"/>
      <c r="BG819" s="40"/>
      <c r="BH819" s="40"/>
      <c r="BI819" s="40"/>
      <c r="BJ819" s="40"/>
      <c r="BK819" s="40"/>
      <c r="BL819" s="62">
        <f>BL818</f>
        <v>0</v>
      </c>
      <c r="BM819" s="275">
        <f>BM818</f>
        <v>3</v>
      </c>
      <c r="BN819" s="62">
        <v>0.05</v>
      </c>
      <c r="BO819" s="33" t="str">
        <f>BO818</f>
        <v>NMD ASFALTVERHARDING, Bitumen emulsie kleeflaag 0,3 kgm2</v>
      </c>
    </row>
    <row r="820" spans="1:67">
      <c r="A820" s="33" t="str">
        <f>Database_Productkaarten[[#This Row],[Product]]&amp;", "&amp;Database_Productkaarten[[#This Row],[Levensfase]]</f>
        <v>Kleeflaag, A4</v>
      </c>
      <c r="B820" s="33" t="s">
        <v>553</v>
      </c>
      <c r="C820" s="33" t="s">
        <v>483</v>
      </c>
      <c r="D820" s="33" t="s">
        <v>553</v>
      </c>
      <c r="E820" s="33" t="s">
        <v>385</v>
      </c>
      <c r="F820" s="33" t="s">
        <v>78</v>
      </c>
      <c r="G820" s="33">
        <v>1</v>
      </c>
      <c r="H820" s="33">
        <v>1</v>
      </c>
      <c r="L820" s="33">
        <v>4.0000000000000002E-4</v>
      </c>
      <c r="M820" s="33">
        <v>4.0000000000000002E-4</v>
      </c>
      <c r="N820" s="41">
        <v>3.1E-4</v>
      </c>
      <c r="O820" s="33">
        <v>45</v>
      </c>
      <c r="P820" s="40"/>
      <c r="Q820" s="40"/>
      <c r="R820" s="40">
        <v>2.6116104E-3</v>
      </c>
      <c r="S820" s="40"/>
      <c r="T820" s="40"/>
      <c r="U820" s="40"/>
      <c r="V820" s="40"/>
      <c r="W820" s="40"/>
      <c r="X820" s="40"/>
      <c r="Y820" s="40"/>
      <c r="Z820" s="40"/>
      <c r="AV820" s="108"/>
      <c r="AY820" s="108"/>
      <c r="BL820" s="62">
        <v>0</v>
      </c>
      <c r="BM820" s="275">
        <v>3</v>
      </c>
      <c r="BN820" s="62">
        <v>0.05</v>
      </c>
      <c r="BO820" s="33" t="s">
        <v>554</v>
      </c>
    </row>
    <row r="821" spans="1:67">
      <c r="A821" s="33" t="str">
        <f>Database_Productkaarten[[#This Row],[Product]]&amp;", "&amp;Database_Productkaarten[[#This Row],[Levensfase]]</f>
        <v>Kleeflaag, A5</v>
      </c>
      <c r="B821" s="33" t="s">
        <v>553</v>
      </c>
      <c r="C821" s="33" t="s">
        <v>483</v>
      </c>
      <c r="D821" s="33" t="s">
        <v>553</v>
      </c>
      <c r="E821" s="33" t="s">
        <v>385</v>
      </c>
      <c r="F821" s="33" t="s">
        <v>79</v>
      </c>
      <c r="G821" s="33">
        <v>1</v>
      </c>
      <c r="H821" s="33">
        <v>1</v>
      </c>
      <c r="L821" s="33">
        <v>4.0000000000000002E-4</v>
      </c>
      <c r="M821" s="33">
        <v>4.0000000000000002E-4</v>
      </c>
      <c r="N821" s="41">
        <v>2.9139999999999999E-2</v>
      </c>
      <c r="O821" s="33">
        <v>45</v>
      </c>
      <c r="P821" s="40"/>
      <c r="Q821" s="40"/>
      <c r="R821" s="329">
        <f>0.0180919969+0.197577974</f>
        <v>0.21566997089999998</v>
      </c>
      <c r="S821" s="40"/>
      <c r="T821" s="40"/>
      <c r="U821" s="40"/>
      <c r="V821" s="40"/>
      <c r="W821" s="40"/>
      <c r="X821" s="40"/>
      <c r="Y821" s="40"/>
      <c r="Z821" s="40"/>
      <c r="AV821" s="108"/>
      <c r="AY821" s="108"/>
      <c r="BL821" s="62">
        <v>0</v>
      </c>
      <c r="BM821" s="275">
        <v>3</v>
      </c>
      <c r="BN821" s="62">
        <v>0.05</v>
      </c>
      <c r="BO821" s="33" t="s">
        <v>554</v>
      </c>
    </row>
    <row r="822" spans="1:67">
      <c r="A822" s="33" t="str">
        <f>Database_Productkaarten[[#This Row],[Product]]&amp;", "&amp;Database_Productkaarten[[#This Row],[Levensfase]]</f>
        <v>Kleeflaag, B1</v>
      </c>
      <c r="B822" s="33" t="s">
        <v>553</v>
      </c>
      <c r="C822" s="33" t="s">
        <v>483</v>
      </c>
      <c r="D822" s="33" t="s">
        <v>553</v>
      </c>
      <c r="E822" s="33" t="s">
        <v>385</v>
      </c>
      <c r="F822" s="33" t="s">
        <v>80</v>
      </c>
      <c r="G822" s="33">
        <v>1</v>
      </c>
      <c r="H822" s="33">
        <v>1</v>
      </c>
      <c r="L822" s="33">
        <v>4.0000000000000002E-4</v>
      </c>
      <c r="M822" s="33">
        <v>4.0000000000000002E-4</v>
      </c>
      <c r="N822" s="41"/>
      <c r="O822" s="33">
        <v>45</v>
      </c>
      <c r="P822" s="40"/>
      <c r="Q822" s="40"/>
      <c r="R822" s="40"/>
      <c r="S822" s="40"/>
      <c r="T822" s="40"/>
      <c r="U822" s="40"/>
      <c r="V822" s="40"/>
      <c r="W822" s="40"/>
      <c r="X822" s="40"/>
      <c r="Y822" s="40"/>
      <c r="Z822" s="40"/>
      <c r="AV822" s="108"/>
      <c r="AY822" s="108"/>
      <c r="BL822" s="62">
        <v>0</v>
      </c>
      <c r="BM822" s="275">
        <v>3</v>
      </c>
      <c r="BN822" s="62">
        <v>0.05</v>
      </c>
      <c r="BO822" s="33" t="s">
        <v>554</v>
      </c>
    </row>
    <row r="823" spans="1:67">
      <c r="A823" s="33" t="str">
        <f>Database_Productkaarten[[#This Row],[Product]]&amp;", "&amp;Database_Productkaarten[[#This Row],[Levensfase]]</f>
        <v>Kleeflaag, C1</v>
      </c>
      <c r="B823" s="33" t="s">
        <v>553</v>
      </c>
      <c r="C823" s="33" t="s">
        <v>483</v>
      </c>
      <c r="D823" s="33" t="s">
        <v>553</v>
      </c>
      <c r="E823" s="33" t="s">
        <v>385</v>
      </c>
      <c r="F823" s="33" t="s">
        <v>83</v>
      </c>
      <c r="G823" s="33">
        <v>1</v>
      </c>
      <c r="H823" s="33">
        <v>1</v>
      </c>
      <c r="L823" s="33">
        <v>4.0000000000000002E-4</v>
      </c>
      <c r="M823" s="33">
        <v>4.0000000000000002E-4</v>
      </c>
      <c r="N823" s="41">
        <v>1.7000000000000001E-4</v>
      </c>
      <c r="O823" s="33">
        <v>45</v>
      </c>
      <c r="P823" s="40"/>
      <c r="Q823" s="40"/>
      <c r="R823" s="40">
        <v>1.3108204E-3</v>
      </c>
      <c r="S823" s="40"/>
      <c r="T823" s="40"/>
      <c r="U823" s="40"/>
      <c r="V823" s="40"/>
      <c r="W823" s="40"/>
      <c r="X823" s="40"/>
      <c r="Y823" s="40"/>
      <c r="Z823" s="40"/>
      <c r="AV823" s="108"/>
      <c r="AY823" s="108"/>
      <c r="BL823" s="62">
        <v>0</v>
      </c>
      <c r="BM823" s="275">
        <v>3</v>
      </c>
      <c r="BN823" s="62">
        <v>0.05</v>
      </c>
      <c r="BO823" s="33" t="s">
        <v>554</v>
      </c>
    </row>
    <row r="824" spans="1:67">
      <c r="A824" s="33" t="str">
        <f>Database_Productkaarten[[#This Row],[Product]]&amp;", "&amp;Database_Productkaarten[[#This Row],[Levensfase]]</f>
        <v>Kleeflaag, C2</v>
      </c>
      <c r="B824" s="33" t="s">
        <v>553</v>
      </c>
      <c r="C824" s="33" t="s">
        <v>483</v>
      </c>
      <c r="D824" s="33" t="s">
        <v>553</v>
      </c>
      <c r="E824" s="33" t="s">
        <v>385</v>
      </c>
      <c r="F824" s="33" t="s">
        <v>84</v>
      </c>
      <c r="G824" s="33">
        <v>1</v>
      </c>
      <c r="H824" s="33">
        <v>1</v>
      </c>
      <c r="L824" s="33">
        <v>4.0000000000000002E-4</v>
      </c>
      <c r="M824" s="33">
        <v>4.0000000000000002E-4</v>
      </c>
      <c r="N824" s="41"/>
      <c r="O824" s="33">
        <v>45</v>
      </c>
      <c r="P824" s="40"/>
      <c r="Q824" s="40"/>
      <c r="R824" s="40"/>
      <c r="S824" s="40"/>
      <c r="T824" s="40"/>
      <c r="U824" s="40"/>
      <c r="V824" s="40"/>
      <c r="W824" s="40"/>
      <c r="X824" s="40"/>
      <c r="Y824" s="40"/>
      <c r="Z824" s="40"/>
      <c r="AV824" s="108"/>
      <c r="AY824" s="108"/>
      <c r="BL824" s="62">
        <v>0</v>
      </c>
      <c r="BM824" s="275">
        <v>3</v>
      </c>
      <c r="BN824" s="62">
        <v>0.05</v>
      </c>
      <c r="BO824" s="33" t="s">
        <v>554</v>
      </c>
    </row>
    <row r="825" spans="1:67">
      <c r="A825" s="33" t="str">
        <f>Database_Productkaarten[[#This Row],[Product]]&amp;", "&amp;Database_Productkaarten[[#This Row],[Levensfase]]</f>
        <v>Kleeflaag, C3</v>
      </c>
      <c r="B825" s="33" t="s">
        <v>553</v>
      </c>
      <c r="C825" s="33" t="s">
        <v>483</v>
      </c>
      <c r="D825" s="33" t="s">
        <v>553</v>
      </c>
      <c r="E825" s="33" t="s">
        <v>385</v>
      </c>
      <c r="F825" s="33" t="s">
        <v>85</v>
      </c>
      <c r="G825" s="33">
        <v>1</v>
      </c>
      <c r="H825" s="33">
        <v>1</v>
      </c>
      <c r="L825" s="33">
        <v>4.0000000000000002E-4</v>
      </c>
      <c r="M825" s="33">
        <v>4.0000000000000002E-4</v>
      </c>
      <c r="N825" s="41">
        <v>6.9999999999999994E-5</v>
      </c>
      <c r="O825" s="33">
        <v>45</v>
      </c>
      <c r="P825" s="40"/>
      <c r="Q825" s="40"/>
      <c r="R825" s="40">
        <v>6.4676719999999998E-4</v>
      </c>
      <c r="S825" s="40"/>
      <c r="T825" s="40"/>
      <c r="U825" s="40"/>
      <c r="V825" s="40"/>
      <c r="W825" s="40"/>
      <c r="X825" s="40"/>
      <c r="Y825" s="40"/>
      <c r="Z825" s="40"/>
      <c r="AV825" s="108"/>
      <c r="AY825" s="108"/>
      <c r="BL825" s="62">
        <v>0</v>
      </c>
      <c r="BM825" s="275">
        <v>3</v>
      </c>
      <c r="BN825" s="62">
        <v>0.05</v>
      </c>
      <c r="BO825" s="33" t="s">
        <v>554</v>
      </c>
    </row>
    <row r="826" spans="1:67">
      <c r="A826" s="33" t="str">
        <f>Database_Productkaarten[[#This Row],[Product]]&amp;", "&amp;Database_Productkaarten[[#This Row],[Levensfase]]</f>
        <v>Kleeflaag, C4</v>
      </c>
      <c r="B826" s="33" t="s">
        <v>553</v>
      </c>
      <c r="C826" s="33" t="s">
        <v>483</v>
      </c>
      <c r="D826" s="33" t="s">
        <v>553</v>
      </c>
      <c r="E826" s="33" t="s">
        <v>385</v>
      </c>
      <c r="F826" s="33" t="s">
        <v>86</v>
      </c>
      <c r="G826" s="33">
        <v>1</v>
      </c>
      <c r="H826" s="33">
        <v>1</v>
      </c>
      <c r="L826" s="33">
        <v>4.0000000000000002E-4</v>
      </c>
      <c r="M826" s="33">
        <v>4.0000000000000002E-4</v>
      </c>
      <c r="N826" s="41"/>
      <c r="O826" s="33">
        <v>45</v>
      </c>
      <c r="P826" s="40"/>
      <c r="Q826" s="40"/>
      <c r="R826" s="40"/>
      <c r="S826" s="40"/>
      <c r="T826" s="40"/>
      <c r="U826" s="40"/>
      <c r="V826" s="40"/>
      <c r="W826" s="40"/>
      <c r="X826" s="40"/>
      <c r="Y826" s="40"/>
      <c r="Z826" s="40"/>
      <c r="AV826" s="108"/>
      <c r="AY826" s="108"/>
      <c r="BL826" s="62">
        <v>0</v>
      </c>
      <c r="BM826" s="275">
        <v>3</v>
      </c>
      <c r="BN826" s="62">
        <v>0.05</v>
      </c>
      <c r="BO826" s="33" t="s">
        <v>554</v>
      </c>
    </row>
    <row r="827" spans="1:67">
      <c r="A827" s="33" t="str">
        <f>Database_Productkaarten[[#This Row],[Product]]&amp;", "&amp;Database_Productkaarten[[#This Row],[Levensfase]]</f>
        <v>Kleeflaag, D</v>
      </c>
      <c r="B827" s="33" t="str">
        <f>B828</f>
        <v>Kleeflaag</v>
      </c>
      <c r="C827" s="33" t="str">
        <f>C828</f>
        <v>Bitumineuze verhardingen</v>
      </c>
      <c r="D827" s="33" t="str">
        <f>D828</f>
        <v>Kleeflaag</v>
      </c>
      <c r="E827" s="33" t="str">
        <f>E828</f>
        <v>m2</v>
      </c>
      <c r="F827" s="33" t="s">
        <v>89</v>
      </c>
      <c r="G827" s="33">
        <v>1</v>
      </c>
      <c r="H827" s="33">
        <v>1</v>
      </c>
      <c r="L827" s="33">
        <v>4.0000000000000002E-4</v>
      </c>
      <c r="M827" s="33">
        <v>4.0000000000000002E-4</v>
      </c>
      <c r="N827" s="41">
        <v>-2.1000000000000001E-4</v>
      </c>
      <c r="O827" s="33">
        <f>O828</f>
        <v>45</v>
      </c>
      <c r="P827" s="40"/>
      <c r="Q827" s="40"/>
      <c r="R827" s="40">
        <v>-1.6791356E-3</v>
      </c>
      <c r="S827" s="40"/>
      <c r="T827" s="40"/>
      <c r="U827" s="40"/>
      <c r="V827" s="40"/>
      <c r="W827" s="40"/>
      <c r="X827" s="40"/>
      <c r="Y827" s="40"/>
      <c r="Z827" s="40"/>
      <c r="AA827" s="40"/>
      <c r="AB827" s="40"/>
      <c r="AC827" s="40"/>
      <c r="AD827" s="40"/>
      <c r="AE827" s="40"/>
      <c r="AF827" s="40"/>
      <c r="AG827" s="40"/>
      <c r="AH827" s="40"/>
      <c r="AI827" s="40"/>
      <c r="AJ827" s="40"/>
      <c r="AK827" s="40"/>
      <c r="AL827" s="40"/>
      <c r="AM827" s="40"/>
      <c r="AN827" s="40"/>
      <c r="AO827" s="40"/>
      <c r="AP827" s="40"/>
      <c r="AQ827" s="40"/>
      <c r="AR827" s="40"/>
      <c r="AS827" s="40"/>
      <c r="AT827" s="40"/>
      <c r="AU827" s="40"/>
      <c r="AV827" s="40"/>
      <c r="AW827" s="40"/>
      <c r="AX827" s="40"/>
      <c r="AY827" s="40"/>
      <c r="AZ827" s="40"/>
      <c r="BA827" s="40"/>
      <c r="BB827" s="40"/>
      <c r="BC827" s="40"/>
      <c r="BD827" s="40"/>
      <c r="BE827" s="40"/>
      <c r="BF827" s="40"/>
      <c r="BG827" s="40"/>
      <c r="BH827" s="40"/>
      <c r="BI827" s="40"/>
      <c r="BJ827" s="40"/>
      <c r="BK827" s="40"/>
      <c r="BL827" s="62">
        <f>BL828</f>
        <v>0</v>
      </c>
      <c r="BM827" s="275">
        <f>BM828</f>
        <v>3</v>
      </c>
      <c r="BN827" s="62">
        <v>0.05</v>
      </c>
      <c r="BO827" s="33" t="str">
        <f>BO828</f>
        <v>NMD ASFALTVERHARDING, Bitumen emulsie kleeflaag 0,3 kgm2</v>
      </c>
    </row>
    <row r="828" spans="1:67">
      <c r="A828" s="33" t="str">
        <f>Database_Productkaarten[[#This Row],[Product]]&amp;", "&amp;Database_Productkaarten[[#This Row],[Levensfase]]</f>
        <v>Kleeflaag, D1</v>
      </c>
      <c r="B828" s="33" t="s">
        <v>553</v>
      </c>
      <c r="C828" s="33" t="s">
        <v>483</v>
      </c>
      <c r="D828" s="33" t="s">
        <v>553</v>
      </c>
      <c r="E828" s="33" t="s">
        <v>385</v>
      </c>
      <c r="F828" s="33" t="s">
        <v>87</v>
      </c>
      <c r="G828" s="33">
        <v>1</v>
      </c>
      <c r="H828" s="33">
        <v>1</v>
      </c>
      <c r="L828" s="33">
        <v>4.0000000000000002E-4</v>
      </c>
      <c r="M828" s="33">
        <v>4.0000000000000002E-4</v>
      </c>
      <c r="N828" s="41"/>
      <c r="O828" s="33">
        <v>45</v>
      </c>
      <c r="P828" s="40"/>
      <c r="Q828" s="40"/>
      <c r="R828" s="40"/>
      <c r="S828" s="40"/>
      <c r="T828" s="40"/>
      <c r="U828" s="40"/>
      <c r="V828" s="40"/>
      <c r="W828" s="40"/>
      <c r="X828" s="40"/>
      <c r="Y828" s="40"/>
      <c r="Z828" s="40"/>
      <c r="AV828" s="108"/>
      <c r="AY828" s="108"/>
      <c r="BL828" s="62">
        <v>0</v>
      </c>
      <c r="BM828" s="275">
        <v>3</v>
      </c>
      <c r="BN828" s="62">
        <v>0.05</v>
      </c>
      <c r="BO828" s="33" t="s">
        <v>554</v>
      </c>
    </row>
    <row r="829" spans="1:67">
      <c r="A829" s="33" t="str">
        <f>Database_Productkaarten[[#This Row],[Product]]&amp;", "&amp;Database_Productkaarten[[#This Row],[Levensfase]]</f>
        <v>Kleeflaag, D2</v>
      </c>
      <c r="B829" s="33" t="s">
        <v>553</v>
      </c>
      <c r="C829" s="33" t="s">
        <v>483</v>
      </c>
      <c r="D829" s="33" t="s">
        <v>553</v>
      </c>
      <c r="E829" s="33" t="s">
        <v>385</v>
      </c>
      <c r="F829" s="33" t="s">
        <v>88</v>
      </c>
      <c r="G829" s="33">
        <v>1</v>
      </c>
      <c r="H829" s="33">
        <v>1</v>
      </c>
      <c r="L829" s="33">
        <v>4.0000000000000002E-4</v>
      </c>
      <c r="M829" s="33">
        <v>4.0000000000000002E-4</v>
      </c>
      <c r="N829" s="41"/>
      <c r="O829" s="33">
        <v>45</v>
      </c>
      <c r="P829" s="40"/>
      <c r="Q829" s="40"/>
      <c r="R829" s="40"/>
      <c r="S829" s="40"/>
      <c r="T829" s="40"/>
      <c r="U829" s="40"/>
      <c r="V829" s="40"/>
      <c r="W829" s="40"/>
      <c r="X829" s="40"/>
      <c r="Y829" s="40"/>
      <c r="Z829" s="40"/>
      <c r="AV829" s="108"/>
      <c r="AY829" s="108"/>
      <c r="BL829" s="62">
        <v>0</v>
      </c>
      <c r="BM829" s="275">
        <v>3</v>
      </c>
      <c r="BN829" s="62">
        <v>0.05</v>
      </c>
      <c r="BO829" s="33" t="s">
        <v>554</v>
      </c>
    </row>
    <row r="830" spans="1:67">
      <c r="A830" s="33" t="str">
        <f>Database_Productkaarten[[#This Row],[Product]]&amp;", "&amp;Database_Productkaarten[[#This Row],[Levensfase]]</f>
        <v>Lengtemarkeringen, Thermoplast, Totaal</v>
      </c>
      <c r="B830" t="s">
        <v>555</v>
      </c>
      <c r="C830" s="33" t="s">
        <v>556</v>
      </c>
      <c r="D830" s="33" t="s">
        <v>557</v>
      </c>
      <c r="E830" s="33" t="s">
        <v>389</v>
      </c>
      <c r="F830" s="33" t="s">
        <v>90</v>
      </c>
      <c r="G830" s="33">
        <v>1</v>
      </c>
      <c r="H830" s="33">
        <v>0.2</v>
      </c>
      <c r="I830" s="33">
        <v>3.0000000000000001E-3</v>
      </c>
      <c r="M830" s="308">
        <v>2E-3</v>
      </c>
      <c r="N830" s="41">
        <v>1.21831</v>
      </c>
      <c r="O830" s="33">
        <v>12</v>
      </c>
      <c r="P830" s="163">
        <v>1.7100000000000002E-5</v>
      </c>
      <c r="Q830" s="163">
        <v>3.8700000000000005E-2</v>
      </c>
      <c r="R830" s="163">
        <v>9.58</v>
      </c>
      <c r="S830" s="163">
        <v>5.1199999999999993E-7</v>
      </c>
      <c r="T830" s="163">
        <v>5.1700000000000001E-3</v>
      </c>
      <c r="U830" s="163">
        <v>5.11E-2</v>
      </c>
      <c r="V830" s="163">
        <v>3.9199999999999999E-3</v>
      </c>
      <c r="W830" s="163">
        <v>4.4800000000000004</v>
      </c>
      <c r="X830" s="163">
        <v>0.95499999999999996</v>
      </c>
      <c r="Y830" s="163">
        <v>508</v>
      </c>
      <c r="Z830" s="163">
        <v>8.5900000000000004E-3</v>
      </c>
      <c r="AA830" s="40"/>
      <c r="AB830" s="40"/>
      <c r="AC830" s="40"/>
      <c r="AD830" s="40"/>
      <c r="AE830" s="40"/>
      <c r="AF830" s="40"/>
      <c r="AG830" s="40"/>
      <c r="AH830" s="40"/>
      <c r="AI830" s="40"/>
      <c r="AJ830" s="40"/>
      <c r="AK830" s="40"/>
      <c r="AL830" s="40"/>
      <c r="AM830" s="40"/>
      <c r="AN830" s="40"/>
      <c r="AO830" s="40"/>
      <c r="AP830" s="40"/>
      <c r="AQ830" s="40"/>
      <c r="AR830" s="40"/>
      <c r="AS830" s="40"/>
      <c r="AT830" s="40"/>
      <c r="AU830" s="40"/>
      <c r="AV830" s="315">
        <v>5.22</v>
      </c>
      <c r="AW830" s="317"/>
      <c r="AX830" s="317"/>
      <c r="AY830" s="313">
        <v>83.8</v>
      </c>
      <c r="AZ830" s="40"/>
      <c r="BA830" s="40"/>
      <c r="BB830" s="40"/>
      <c r="BC830" s="40">
        <v>4.6200000000000005E-2</v>
      </c>
      <c r="BD830" s="163">
        <v>3.0600000000000001E-4</v>
      </c>
      <c r="BE830" s="163">
        <v>2.23</v>
      </c>
      <c r="BF830" s="40"/>
      <c r="BG830" s="40"/>
      <c r="BH830" s="40"/>
      <c r="BI830" s="40"/>
      <c r="BJ830" s="40"/>
      <c r="BK830" s="40"/>
      <c r="BL830" s="62">
        <v>0</v>
      </c>
      <c r="BM830" s="275">
        <v>3</v>
      </c>
      <c r="BN830" s="62">
        <v>0</v>
      </c>
      <c r="BO830" s="33" t="s">
        <v>558</v>
      </c>
    </row>
    <row r="831" spans="1:67">
      <c r="A831" s="33" t="str">
        <f>Database_Productkaarten[[#This Row],[Product]]&amp;", "&amp;Database_Productkaarten[[#This Row],[Levensfase]]</f>
        <v>Lengtemarkeringen, Thermoplast, A1</v>
      </c>
      <c r="B831" t="s">
        <v>555</v>
      </c>
      <c r="C831" s="33" t="s">
        <v>556</v>
      </c>
      <c r="D831" s="33" t="s">
        <v>557</v>
      </c>
      <c r="E831" s="33" t="s">
        <v>389</v>
      </c>
      <c r="F831" s="33" t="s">
        <v>74</v>
      </c>
      <c r="G831" s="33">
        <v>1</v>
      </c>
      <c r="H831" s="33">
        <v>0.2</v>
      </c>
      <c r="I831" s="33">
        <v>3.0000000000000001E-3</v>
      </c>
      <c r="M831" s="308">
        <v>2E-3</v>
      </c>
      <c r="N831" s="41"/>
      <c r="O831" s="33">
        <v>12</v>
      </c>
      <c r="P831" s="40"/>
      <c r="Q831" s="40"/>
      <c r="R831" s="40"/>
      <c r="S831" s="40"/>
      <c r="T831" s="40"/>
      <c r="U831" s="40"/>
      <c r="V831" s="40"/>
      <c r="W831" s="40"/>
      <c r="X831" s="40"/>
      <c r="Y831" s="40"/>
      <c r="Z831" s="40"/>
      <c r="AA831" s="40"/>
      <c r="AB831" s="40"/>
      <c r="AC831" s="40"/>
      <c r="AD831" s="40"/>
      <c r="AE831" s="40"/>
      <c r="AF831" s="40"/>
      <c r="AG831" s="40"/>
      <c r="AH831" s="40"/>
      <c r="AI831" s="40"/>
      <c r="AJ831" s="40"/>
      <c r="AK831" s="40"/>
      <c r="AL831" s="40"/>
      <c r="AM831" s="40"/>
      <c r="AN831" s="40"/>
      <c r="AO831" s="40"/>
      <c r="AP831" s="40"/>
      <c r="AQ831" s="40"/>
      <c r="AR831" s="40"/>
      <c r="AS831" s="40"/>
      <c r="AT831" s="40"/>
      <c r="AU831" s="40"/>
      <c r="AV831" s="317"/>
      <c r="AW831" s="317"/>
      <c r="AX831" s="317"/>
      <c r="AY831" s="313"/>
      <c r="AZ831" s="40"/>
      <c r="BA831" s="40"/>
      <c r="BB831" s="40"/>
      <c r="BC831" s="40"/>
      <c r="BD831" s="40"/>
      <c r="BE831" s="40"/>
      <c r="BF831" s="40"/>
      <c r="BG831" s="40"/>
      <c r="BH831" s="40"/>
      <c r="BI831" s="40"/>
      <c r="BJ831" s="40"/>
      <c r="BK831" s="40"/>
      <c r="BL831" s="62">
        <v>0</v>
      </c>
      <c r="BM831" s="275">
        <v>3</v>
      </c>
      <c r="BN831" s="62">
        <v>0</v>
      </c>
      <c r="BO831" s="33" t="s">
        <v>558</v>
      </c>
    </row>
    <row r="832" spans="1:67">
      <c r="A832" s="33" t="str">
        <f>Database_Productkaarten[[#This Row],[Product]]&amp;", "&amp;Database_Productkaarten[[#This Row],[Levensfase]]</f>
        <v>Lengtemarkeringen, Thermoplast, A2</v>
      </c>
      <c r="B832" t="s">
        <v>555</v>
      </c>
      <c r="C832" s="33" t="s">
        <v>556</v>
      </c>
      <c r="D832" s="33" t="s">
        <v>557</v>
      </c>
      <c r="E832" s="33" t="s">
        <v>389</v>
      </c>
      <c r="F832" s="33" t="s">
        <v>75</v>
      </c>
      <c r="G832" s="33">
        <v>1</v>
      </c>
      <c r="H832" s="33">
        <v>0.2</v>
      </c>
      <c r="I832" s="33">
        <v>3.0000000000000001E-3</v>
      </c>
      <c r="M832" s="308">
        <v>2E-3</v>
      </c>
      <c r="N832" s="41"/>
      <c r="O832" s="33">
        <v>12</v>
      </c>
      <c r="P832" s="40"/>
      <c r="Q832" s="40"/>
      <c r="R832" s="40"/>
      <c r="S832" s="40"/>
      <c r="T832" s="40"/>
      <c r="U832" s="40"/>
      <c r="V832" s="40"/>
      <c r="W832" s="40"/>
      <c r="X832" s="40"/>
      <c r="Y832" s="40"/>
      <c r="Z832" s="40"/>
      <c r="AA832" s="40"/>
      <c r="AB832" s="40"/>
      <c r="AC832" s="40"/>
      <c r="AD832" s="40"/>
      <c r="AE832" s="40"/>
      <c r="AF832" s="40"/>
      <c r="AG832" s="40"/>
      <c r="AH832" s="40"/>
      <c r="AI832" s="40"/>
      <c r="AJ832" s="40"/>
      <c r="AK832" s="40"/>
      <c r="AL832" s="40"/>
      <c r="AM832" s="40"/>
      <c r="AN832" s="40"/>
      <c r="AO832" s="40"/>
      <c r="AP832" s="40"/>
      <c r="AQ832" s="40"/>
      <c r="AR832" s="40"/>
      <c r="AS832" s="40"/>
      <c r="AT832" s="40"/>
      <c r="AU832" s="40"/>
      <c r="AV832" s="317"/>
      <c r="AW832" s="317"/>
      <c r="AX832" s="317"/>
      <c r="AY832" s="313"/>
      <c r="AZ832" s="40"/>
      <c r="BA832" s="40"/>
      <c r="BB832" s="40"/>
      <c r="BC832" s="40"/>
      <c r="BD832" s="40"/>
      <c r="BE832" s="40"/>
      <c r="BF832" s="40"/>
      <c r="BG832" s="40"/>
      <c r="BH832" s="40"/>
      <c r="BI832" s="40"/>
      <c r="BJ832" s="40"/>
      <c r="BK832" s="40"/>
      <c r="BL832" s="62">
        <v>0</v>
      </c>
      <c r="BM832" s="275">
        <v>3</v>
      </c>
      <c r="BN832" s="62">
        <v>0</v>
      </c>
      <c r="BO832" s="33" t="s">
        <v>558</v>
      </c>
    </row>
    <row r="833" spans="1:67">
      <c r="A833" s="33" t="str">
        <f>Database_Productkaarten[[#This Row],[Product]]&amp;", "&amp;Database_Productkaarten[[#This Row],[Levensfase]]</f>
        <v>Lengtemarkeringen, Thermoplast, A3</v>
      </c>
      <c r="B833" t="s">
        <v>555</v>
      </c>
      <c r="C833" s="33" t="s">
        <v>556</v>
      </c>
      <c r="D833" s="33" t="s">
        <v>557</v>
      </c>
      <c r="E833" s="33" t="s">
        <v>389</v>
      </c>
      <c r="F833" s="33" t="s">
        <v>76</v>
      </c>
      <c r="G833" s="33">
        <v>1</v>
      </c>
      <c r="H833" s="33">
        <v>0.2</v>
      </c>
      <c r="I833" s="33">
        <v>3.0000000000000001E-3</v>
      </c>
      <c r="M833" s="308">
        <v>2E-3</v>
      </c>
      <c r="N833" s="41"/>
      <c r="O833" s="33">
        <v>12</v>
      </c>
      <c r="P833" s="40"/>
      <c r="Q833" s="40"/>
      <c r="R833" s="40"/>
      <c r="S833" s="40"/>
      <c r="T833" s="40"/>
      <c r="U833" s="40"/>
      <c r="V833" s="40"/>
      <c r="W833" s="40"/>
      <c r="X833" s="40"/>
      <c r="Y833" s="40"/>
      <c r="Z833" s="40"/>
      <c r="AA833" s="40"/>
      <c r="AB833" s="40"/>
      <c r="AC833" s="40"/>
      <c r="AD833" s="40"/>
      <c r="AE833" s="40"/>
      <c r="AF833" s="40"/>
      <c r="AG833" s="40"/>
      <c r="AH833" s="40"/>
      <c r="AI833" s="40"/>
      <c r="AJ833" s="40"/>
      <c r="AK833" s="40"/>
      <c r="AL833" s="40"/>
      <c r="AM833" s="40"/>
      <c r="AN833" s="40"/>
      <c r="AO833" s="40"/>
      <c r="AP833" s="40"/>
      <c r="AQ833" s="40"/>
      <c r="AR833" s="40"/>
      <c r="AS833" s="40"/>
      <c r="AT833" s="40"/>
      <c r="AU833" s="40"/>
      <c r="AV833" s="317"/>
      <c r="AW833" s="317"/>
      <c r="AX833" s="317"/>
      <c r="AY833" s="313"/>
      <c r="AZ833" s="40"/>
      <c r="BA833" s="40"/>
      <c r="BB833" s="40"/>
      <c r="BC833" s="40"/>
      <c r="BD833" s="40"/>
      <c r="BE833" s="40"/>
      <c r="BF833" s="40"/>
      <c r="BG833" s="40"/>
      <c r="BH833" s="40"/>
      <c r="BI833" s="40"/>
      <c r="BJ833" s="40"/>
      <c r="BK833" s="40"/>
      <c r="BL833" s="62">
        <v>0</v>
      </c>
      <c r="BM833" s="275">
        <v>3</v>
      </c>
      <c r="BN833" s="62">
        <v>0</v>
      </c>
      <c r="BO833" s="33" t="s">
        <v>558</v>
      </c>
    </row>
    <row r="834" spans="1:67">
      <c r="A834" s="33" t="str">
        <f>Database_Productkaarten[[#This Row],[Product]]&amp;", "&amp;Database_Productkaarten[[#This Row],[Levensfase]]</f>
        <v>Lengtemarkeringen, Thermoplast, A1-A3</v>
      </c>
      <c r="B834" t="s">
        <v>555</v>
      </c>
      <c r="C834" s="33" t="s">
        <v>556</v>
      </c>
      <c r="D834" s="33" t="s">
        <v>557</v>
      </c>
      <c r="E834" s="33" t="s">
        <v>389</v>
      </c>
      <c r="F834" s="33" t="s">
        <v>77</v>
      </c>
      <c r="G834" s="33">
        <v>1</v>
      </c>
      <c r="H834" s="33">
        <v>0.2</v>
      </c>
      <c r="I834" s="33">
        <v>3.0000000000000001E-3</v>
      </c>
      <c r="M834" s="308">
        <v>2E-3</v>
      </c>
      <c r="N834" s="41">
        <v>0.94940999999999998</v>
      </c>
      <c r="O834" s="33">
        <v>12</v>
      </c>
      <c r="P834" s="40">
        <v>1.6899999999999997E-5</v>
      </c>
      <c r="Q834" s="40">
        <v>3.7399999999999996E-2</v>
      </c>
      <c r="R834" s="40">
        <v>4.88</v>
      </c>
      <c r="S834" s="40">
        <v>4.8100000000000003E-7</v>
      </c>
      <c r="T834" s="40">
        <v>5.0199999999999993E-3</v>
      </c>
      <c r="U834" s="40">
        <v>4.9799999999999997E-2</v>
      </c>
      <c r="V834" s="40">
        <v>3.5699999999999998E-3</v>
      </c>
      <c r="W834" s="40">
        <v>4.2699999999999996</v>
      </c>
      <c r="X834" s="40">
        <v>0.94</v>
      </c>
      <c r="Y834" s="40">
        <v>452</v>
      </c>
      <c r="Z834" s="40">
        <v>7.2399999999999999E-3</v>
      </c>
      <c r="AA834" s="40"/>
      <c r="AB834" s="40"/>
      <c r="AC834" s="40"/>
      <c r="AD834" s="40"/>
      <c r="AE834" s="40"/>
      <c r="AF834" s="40"/>
      <c r="AG834" s="40"/>
      <c r="AH834" s="40"/>
      <c r="AI834" s="40"/>
      <c r="AJ834" s="40"/>
      <c r="AK834" s="40"/>
      <c r="AL834" s="40"/>
      <c r="AM834" s="40"/>
      <c r="AN834" s="40"/>
      <c r="AO834" s="40"/>
      <c r="AP834" s="40"/>
      <c r="AQ834" s="40"/>
      <c r="AR834" s="40"/>
      <c r="AS834" s="40"/>
      <c r="AT834" s="40"/>
      <c r="AU834" s="40"/>
      <c r="AV834" s="317">
        <v>5.19</v>
      </c>
      <c r="AW834" s="317"/>
      <c r="AX834" s="317"/>
      <c r="AY834" s="313">
        <v>81</v>
      </c>
      <c r="AZ834" s="40"/>
      <c r="BA834" s="40"/>
      <c r="BB834" s="40"/>
      <c r="BC834" s="40">
        <v>4.4700000000000004E-2</v>
      </c>
      <c r="BD834" s="40">
        <v>2.8199999999999997E-4</v>
      </c>
      <c r="BE834" s="40">
        <v>1.97</v>
      </c>
      <c r="BF834" s="40"/>
      <c r="BG834" s="40"/>
      <c r="BH834" s="40"/>
      <c r="BI834" s="40"/>
      <c r="BJ834" s="40"/>
      <c r="BK834" s="40"/>
      <c r="BL834" s="62">
        <v>0</v>
      </c>
      <c r="BM834" s="275">
        <v>3</v>
      </c>
      <c r="BN834" s="62">
        <v>0</v>
      </c>
      <c r="BO834" s="33" t="s">
        <v>558</v>
      </c>
    </row>
    <row r="835" spans="1:67">
      <c r="A835" s="33" t="str">
        <f>Database_Productkaarten[[#This Row],[Product]]&amp;", "&amp;Database_Productkaarten[[#This Row],[Levensfase]]</f>
        <v>Lengtemarkeringen, Thermoplast, A4</v>
      </c>
      <c r="B835" t="s">
        <v>555</v>
      </c>
      <c r="C835" s="33" t="s">
        <v>556</v>
      </c>
      <c r="D835" s="33" t="s">
        <v>557</v>
      </c>
      <c r="E835" s="33" t="s">
        <v>389</v>
      </c>
      <c r="F835" s="33" t="s">
        <v>78</v>
      </c>
      <c r="G835" s="33">
        <v>1</v>
      </c>
      <c r="H835" s="33">
        <v>0.2</v>
      </c>
      <c r="I835" s="33">
        <v>3.0000000000000001E-3</v>
      </c>
      <c r="M835" s="308">
        <v>2E-3</v>
      </c>
      <c r="N835" s="41">
        <v>2.8700000000000002E-3</v>
      </c>
      <c r="O835" s="33">
        <v>12</v>
      </c>
      <c r="P835" s="40">
        <v>4.9200000000000004E-8</v>
      </c>
      <c r="Q835" s="40">
        <v>1.94E-4</v>
      </c>
      <c r="R835" s="40">
        <v>2.5600000000000001E-2</v>
      </c>
      <c r="S835" s="40">
        <v>5.0900000000000004E-9</v>
      </c>
      <c r="T835" s="40">
        <v>1.6200000000000001E-5</v>
      </c>
      <c r="U835" s="40">
        <v>9.3399999999999993E-5</v>
      </c>
      <c r="V835" s="40">
        <v>1.9000000000000001E-5</v>
      </c>
      <c r="W835" s="40">
        <v>9.0200000000000002E-3</v>
      </c>
      <c r="X835" s="40">
        <v>5.8199999999999994E-4</v>
      </c>
      <c r="Y835" s="40">
        <v>1.52</v>
      </c>
      <c r="Z835" s="40">
        <v>5.3499999999999999E-5</v>
      </c>
      <c r="AA835" s="40"/>
      <c r="AB835" s="40"/>
      <c r="AC835" s="40"/>
      <c r="AD835" s="40"/>
      <c r="AE835" s="40"/>
      <c r="AF835" s="40"/>
      <c r="AG835" s="40"/>
      <c r="AH835" s="40"/>
      <c r="AI835" s="40"/>
      <c r="AJ835" s="40"/>
      <c r="AK835" s="40"/>
      <c r="AL835" s="40"/>
      <c r="AM835" s="40"/>
      <c r="AN835" s="40"/>
      <c r="AO835" s="40"/>
      <c r="AP835" s="40"/>
      <c r="AQ835" s="40"/>
      <c r="AR835" s="40"/>
      <c r="AS835" s="40"/>
      <c r="AT835" s="40"/>
      <c r="AU835" s="40"/>
      <c r="AV835" s="317">
        <v>6.9299999999999995E-3</v>
      </c>
      <c r="AW835" s="317"/>
      <c r="AX835" s="317"/>
      <c r="AY835" s="313">
        <v>0.443</v>
      </c>
      <c r="AZ835" s="40"/>
      <c r="BA835" s="40"/>
      <c r="BB835" s="40"/>
      <c r="BC835" s="40">
        <v>8.989999999999999E-5</v>
      </c>
      <c r="BD835" s="40">
        <v>3.14E-6</v>
      </c>
      <c r="BE835" s="40">
        <v>3.6600000000000001E-2</v>
      </c>
      <c r="BF835" s="40"/>
      <c r="BG835" s="40"/>
      <c r="BH835" s="40"/>
      <c r="BI835" s="40"/>
      <c r="BJ835" s="40"/>
      <c r="BK835" s="40"/>
      <c r="BL835" s="62">
        <v>0</v>
      </c>
      <c r="BM835" s="275">
        <v>3</v>
      </c>
      <c r="BN835" s="62">
        <v>0</v>
      </c>
      <c r="BO835" s="33" t="s">
        <v>558</v>
      </c>
    </row>
    <row r="836" spans="1:67">
      <c r="A836" s="33" t="str">
        <f>Database_Productkaarten[[#This Row],[Product]]&amp;", "&amp;Database_Productkaarten[[#This Row],[Levensfase]]</f>
        <v>Lengtemarkeringen, Thermoplast, A5</v>
      </c>
      <c r="B836" t="s">
        <v>555</v>
      </c>
      <c r="C836" s="33" t="s">
        <v>556</v>
      </c>
      <c r="D836" s="33" t="s">
        <v>557</v>
      </c>
      <c r="E836" s="33" t="s">
        <v>389</v>
      </c>
      <c r="F836" s="33" t="s">
        <v>79</v>
      </c>
      <c r="G836" s="33">
        <v>1</v>
      </c>
      <c r="H836" s="33">
        <v>0.2</v>
      </c>
      <c r="I836" s="33">
        <v>3.0000000000000001E-3</v>
      </c>
      <c r="M836" s="308">
        <v>2E-3</v>
      </c>
      <c r="N836" s="41">
        <v>6.2500000000000003E-3</v>
      </c>
      <c r="O836" s="33">
        <v>12</v>
      </c>
      <c r="P836" s="40">
        <v>1.5800000000000003E-8</v>
      </c>
      <c r="Q836" s="40">
        <v>3.2499999999999999E-4</v>
      </c>
      <c r="R836" s="40">
        <v>4.7E-2</v>
      </c>
      <c r="S836" s="40">
        <v>8.5099999999999998E-9</v>
      </c>
      <c r="T836" s="40">
        <v>4.7600000000000005E-5</v>
      </c>
      <c r="U836" s="40">
        <v>3.5599999999999998E-4</v>
      </c>
      <c r="V836" s="40">
        <v>8.0199999999999998E-5</v>
      </c>
      <c r="W836" s="40">
        <v>1.6899999999999998E-2</v>
      </c>
      <c r="X836" s="40">
        <v>2.3599999999999999E-4</v>
      </c>
      <c r="Y836" s="40">
        <v>0.79500000000000004</v>
      </c>
      <c r="Z836" s="40">
        <v>2.8E-5</v>
      </c>
      <c r="AA836" s="40"/>
      <c r="AB836" s="40"/>
      <c r="AC836" s="40"/>
      <c r="AD836" s="40"/>
      <c r="AE836" s="40"/>
      <c r="AF836" s="40"/>
      <c r="AG836" s="40"/>
      <c r="AH836" s="40"/>
      <c r="AI836" s="40"/>
      <c r="AJ836" s="40"/>
      <c r="AK836" s="40"/>
      <c r="AL836" s="40"/>
      <c r="AM836" s="40"/>
      <c r="AN836" s="40"/>
      <c r="AO836" s="40"/>
      <c r="AP836" s="40"/>
      <c r="AQ836" s="40"/>
      <c r="AR836" s="40"/>
      <c r="AS836" s="40"/>
      <c r="AT836" s="40"/>
      <c r="AU836" s="40"/>
      <c r="AV836" s="317">
        <v>3.9399999999999999E-3</v>
      </c>
      <c r="AW836" s="317"/>
      <c r="AX836" s="317"/>
      <c r="AY836" s="313">
        <v>0.73099999999999998</v>
      </c>
      <c r="AZ836" s="40"/>
      <c r="BA836" s="40"/>
      <c r="BB836" s="40"/>
      <c r="BC836" s="40">
        <v>5.5800000000000001E-5</v>
      </c>
      <c r="BD836" s="40">
        <v>5.0699999999999997E-6</v>
      </c>
      <c r="BE836" s="40">
        <v>7.4799999999999997E-4</v>
      </c>
      <c r="BF836" s="40"/>
      <c r="BG836" s="40"/>
      <c r="BH836" s="40"/>
      <c r="BI836" s="40"/>
      <c r="BJ836" s="40"/>
      <c r="BK836" s="40"/>
      <c r="BL836" s="62">
        <v>0</v>
      </c>
      <c r="BM836" s="275">
        <v>3</v>
      </c>
      <c r="BN836" s="62">
        <v>0</v>
      </c>
      <c r="BO836" s="33" t="s">
        <v>558</v>
      </c>
    </row>
    <row r="837" spans="1:67">
      <c r="A837" s="33" t="str">
        <f>Database_Productkaarten[[#This Row],[Product]]&amp;", "&amp;Database_Productkaarten[[#This Row],[Levensfase]]</f>
        <v>Lengtemarkeringen, Thermoplast, B1</v>
      </c>
      <c r="B837" t="s">
        <v>555</v>
      </c>
      <c r="C837" s="33" t="s">
        <v>556</v>
      </c>
      <c r="D837" s="33" t="s">
        <v>557</v>
      </c>
      <c r="E837" s="33" t="s">
        <v>389</v>
      </c>
      <c r="F837" s="33" t="s">
        <v>80</v>
      </c>
      <c r="G837" s="33">
        <v>1</v>
      </c>
      <c r="H837" s="33">
        <v>0.2</v>
      </c>
      <c r="I837" s="33">
        <v>3.0000000000000001E-3</v>
      </c>
      <c r="M837" s="308">
        <v>2E-3</v>
      </c>
      <c r="N837" s="41">
        <v>0</v>
      </c>
      <c r="O837" s="33">
        <v>12</v>
      </c>
      <c r="P837" s="40">
        <v>0</v>
      </c>
      <c r="Q837" s="40">
        <v>0</v>
      </c>
      <c r="R837" s="40">
        <v>0</v>
      </c>
      <c r="S837" s="40">
        <v>0</v>
      </c>
      <c r="T837" s="40">
        <v>0</v>
      </c>
      <c r="U837" s="40">
        <v>0</v>
      </c>
      <c r="V837" s="40">
        <v>0</v>
      </c>
      <c r="W837" s="40">
        <v>0</v>
      </c>
      <c r="X837" s="40">
        <v>0</v>
      </c>
      <c r="Y837" s="40">
        <v>0</v>
      </c>
      <c r="Z837" s="40">
        <v>0</v>
      </c>
      <c r="AA837" s="40"/>
      <c r="AB837" s="40"/>
      <c r="AC837" s="40"/>
      <c r="AD837" s="40"/>
      <c r="AE837" s="40"/>
      <c r="AF837" s="40"/>
      <c r="AG837" s="40"/>
      <c r="AH837" s="40"/>
      <c r="AI837" s="40"/>
      <c r="AJ837" s="40"/>
      <c r="AK837" s="40"/>
      <c r="AL837" s="40"/>
      <c r="AM837" s="40"/>
      <c r="AN837" s="40"/>
      <c r="AO837" s="40"/>
      <c r="AP837" s="40"/>
      <c r="AQ837" s="40"/>
      <c r="AR837" s="40"/>
      <c r="AS837" s="40"/>
      <c r="AT837" s="40"/>
      <c r="AU837" s="40"/>
      <c r="AV837" s="317">
        <v>0</v>
      </c>
      <c r="AW837" s="317"/>
      <c r="AX837" s="317"/>
      <c r="AY837" s="313">
        <v>0</v>
      </c>
      <c r="AZ837" s="40"/>
      <c r="BA837" s="40"/>
      <c r="BB837" s="40"/>
      <c r="BC837" s="40">
        <v>0</v>
      </c>
      <c r="BD837" s="40">
        <v>0</v>
      </c>
      <c r="BE837" s="40">
        <v>0</v>
      </c>
      <c r="BF837" s="40"/>
      <c r="BG837" s="40"/>
      <c r="BH837" s="40"/>
      <c r="BI837" s="40"/>
      <c r="BJ837" s="40"/>
      <c r="BK837" s="40"/>
      <c r="BL837" s="62">
        <v>0</v>
      </c>
      <c r="BM837" s="275">
        <v>3</v>
      </c>
      <c r="BN837" s="62">
        <v>0</v>
      </c>
      <c r="BO837" s="33" t="s">
        <v>558</v>
      </c>
    </row>
    <row r="838" spans="1:67">
      <c r="A838" s="33" t="str">
        <f>Database_Productkaarten[[#This Row],[Product]]&amp;", "&amp;Database_Productkaarten[[#This Row],[Levensfase]]</f>
        <v>Lengtemarkeringen, Thermoplast, C1</v>
      </c>
      <c r="B838" t="s">
        <v>555</v>
      </c>
      <c r="C838" s="33" t="s">
        <v>556</v>
      </c>
      <c r="D838" s="33" t="s">
        <v>557</v>
      </c>
      <c r="E838" s="33" t="s">
        <v>389</v>
      </c>
      <c r="F838" s="33" t="s">
        <v>83</v>
      </c>
      <c r="G838" s="33">
        <v>1</v>
      </c>
      <c r="H838" s="33">
        <v>0.2</v>
      </c>
      <c r="I838" s="33">
        <v>3.0000000000000001E-3</v>
      </c>
      <c r="M838" s="308">
        <v>2E-3</v>
      </c>
      <c r="N838" s="41">
        <v>8.7399999999999995E-3</v>
      </c>
      <c r="O838" s="33">
        <v>12</v>
      </c>
      <c r="P838" s="40">
        <v>2.2099999999999999E-8</v>
      </c>
      <c r="Q838" s="40">
        <v>4.55E-4</v>
      </c>
      <c r="R838" s="40">
        <v>6.5700000000000008E-2</v>
      </c>
      <c r="S838" s="40">
        <v>1.1899999999999999E-8</v>
      </c>
      <c r="T838" s="40">
        <v>6.6500000000000004E-5</v>
      </c>
      <c r="U838" s="40">
        <v>4.9799999999999996E-4</v>
      </c>
      <c r="V838" s="40">
        <v>1.12E-4</v>
      </c>
      <c r="W838" s="40">
        <v>2.3699999999999999E-2</v>
      </c>
      <c r="X838" s="40">
        <v>3.3E-4</v>
      </c>
      <c r="Y838" s="40">
        <v>1.1100000000000001</v>
      </c>
      <c r="Z838" s="40">
        <v>3.9100000000000002E-5</v>
      </c>
      <c r="AA838" s="40"/>
      <c r="AB838" s="40"/>
      <c r="AC838" s="40"/>
      <c r="AD838" s="40"/>
      <c r="AE838" s="40"/>
      <c r="AF838" s="40"/>
      <c r="AG838" s="40"/>
      <c r="AH838" s="40"/>
      <c r="AI838" s="40"/>
      <c r="AJ838" s="40"/>
      <c r="AK838" s="40"/>
      <c r="AL838" s="40"/>
      <c r="AM838" s="40"/>
      <c r="AN838" s="40"/>
      <c r="AO838" s="40"/>
      <c r="AP838" s="40"/>
      <c r="AQ838" s="40"/>
      <c r="AR838" s="40"/>
      <c r="AS838" s="40"/>
      <c r="AT838" s="40"/>
      <c r="AU838" s="40"/>
      <c r="AV838" s="317">
        <v>5.5100000000000001E-3</v>
      </c>
      <c r="AW838" s="317"/>
      <c r="AX838" s="317"/>
      <c r="AY838" s="313">
        <v>1.02</v>
      </c>
      <c r="AZ838" s="40"/>
      <c r="BA838" s="40"/>
      <c r="BB838" s="40"/>
      <c r="BC838" s="40">
        <v>7.8100000000000001E-5</v>
      </c>
      <c r="BD838" s="40">
        <v>7.1000000000000006E-6</v>
      </c>
      <c r="BE838" s="40">
        <v>1.0500000000000002E-3</v>
      </c>
      <c r="BF838" s="40"/>
      <c r="BG838" s="40"/>
      <c r="BH838" s="40"/>
      <c r="BI838" s="40"/>
      <c r="BJ838" s="40"/>
      <c r="BK838" s="40"/>
      <c r="BL838" s="62">
        <v>0</v>
      </c>
      <c r="BM838" s="275">
        <v>3</v>
      </c>
      <c r="BN838" s="62">
        <v>0</v>
      </c>
      <c r="BO838" s="33" t="s">
        <v>558</v>
      </c>
    </row>
    <row r="839" spans="1:67">
      <c r="A839" s="33" t="str">
        <f>Database_Productkaarten[[#This Row],[Product]]&amp;", "&amp;Database_Productkaarten[[#This Row],[Levensfase]]</f>
        <v>Lengtemarkeringen, Thermoplast, C2</v>
      </c>
      <c r="B839" t="s">
        <v>555</v>
      </c>
      <c r="C839" s="33" t="s">
        <v>556</v>
      </c>
      <c r="D839" s="33" t="s">
        <v>557</v>
      </c>
      <c r="E839" s="33" t="s">
        <v>389</v>
      </c>
      <c r="F839" s="33" t="s">
        <v>84</v>
      </c>
      <c r="G839" s="33">
        <v>1</v>
      </c>
      <c r="H839" s="33">
        <v>0.2</v>
      </c>
      <c r="I839" s="33">
        <v>3.0000000000000001E-3</v>
      </c>
      <c r="M839" s="308">
        <v>2E-3</v>
      </c>
      <c r="N839" s="41">
        <v>9.5999999999999992E-4</v>
      </c>
      <c r="O839" s="33">
        <v>12</v>
      </c>
      <c r="P839" s="40">
        <v>1.6399999999999998E-8</v>
      </c>
      <c r="Q839" s="40">
        <v>6.4599999999999998E-5</v>
      </c>
      <c r="R839" s="40">
        <v>8.539999999999999E-3</v>
      </c>
      <c r="S839" s="40">
        <v>1.7000000000000001E-9</v>
      </c>
      <c r="T839" s="40">
        <v>5.3900000000000001E-6</v>
      </c>
      <c r="U839" s="40">
        <v>3.1099999999999997E-5</v>
      </c>
      <c r="V839" s="40">
        <v>6.3400000000000003E-6</v>
      </c>
      <c r="W839" s="40">
        <v>3.0099999999999997E-3</v>
      </c>
      <c r="X839" s="40">
        <v>1.94E-4</v>
      </c>
      <c r="Y839" s="40">
        <v>0.50800000000000001</v>
      </c>
      <c r="Z839" s="40">
        <v>1.7799999999999999E-5</v>
      </c>
      <c r="AA839" s="40"/>
      <c r="AB839" s="40"/>
      <c r="AC839" s="40"/>
      <c r="AD839" s="40"/>
      <c r="AE839" s="40"/>
      <c r="AF839" s="40"/>
      <c r="AG839" s="40"/>
      <c r="AH839" s="40"/>
      <c r="AI839" s="40"/>
      <c r="AJ839" s="40"/>
      <c r="AK839" s="40"/>
      <c r="AL839" s="40"/>
      <c r="AM839" s="40"/>
      <c r="AN839" s="40"/>
      <c r="AO839" s="40"/>
      <c r="AP839" s="40"/>
      <c r="AQ839" s="40"/>
      <c r="AR839" s="40"/>
      <c r="AS839" s="40"/>
      <c r="AT839" s="40"/>
      <c r="AU839" s="40"/>
      <c r="AV839" s="317">
        <v>2.31E-3</v>
      </c>
      <c r="AW839" s="317"/>
      <c r="AX839" s="317"/>
      <c r="AY839" s="313">
        <v>0.14799999999999999</v>
      </c>
      <c r="AZ839" s="40"/>
      <c r="BA839" s="40"/>
      <c r="BB839" s="40"/>
      <c r="BC839" s="40">
        <v>2.9999999999999997E-5</v>
      </c>
      <c r="BD839" s="40">
        <v>1.0499999999999999E-6</v>
      </c>
      <c r="BE839" s="40">
        <v>1.2199999999999999E-2</v>
      </c>
      <c r="BF839" s="40"/>
      <c r="BG839" s="40"/>
      <c r="BH839" s="40"/>
      <c r="BI839" s="40"/>
      <c r="BJ839" s="40"/>
      <c r="BK839" s="40"/>
      <c r="BL839" s="62">
        <v>0</v>
      </c>
      <c r="BM839" s="275">
        <v>3</v>
      </c>
      <c r="BN839" s="62">
        <v>0</v>
      </c>
      <c r="BO839" s="33" t="s">
        <v>558</v>
      </c>
    </row>
    <row r="840" spans="1:67">
      <c r="A840" s="33" t="str">
        <f>Database_Productkaarten[[#This Row],[Product]]&amp;", "&amp;Database_Productkaarten[[#This Row],[Levensfase]]</f>
        <v>Lengtemarkeringen, Thermoplast, C3</v>
      </c>
      <c r="B840" t="s">
        <v>555</v>
      </c>
      <c r="C840" s="33" t="s">
        <v>556</v>
      </c>
      <c r="D840" s="33" t="s">
        <v>557</v>
      </c>
      <c r="E840" s="33" t="s">
        <v>389</v>
      </c>
      <c r="F840" s="33" t="s">
        <v>85</v>
      </c>
      <c r="G840" s="33">
        <v>1</v>
      </c>
      <c r="H840" s="33">
        <v>0.2</v>
      </c>
      <c r="I840" s="33">
        <v>3.0000000000000001E-3</v>
      </c>
      <c r="M840" s="308">
        <v>2E-3</v>
      </c>
      <c r="N840" s="41">
        <v>0</v>
      </c>
      <c r="O840" s="33">
        <v>12</v>
      </c>
      <c r="P840" s="163">
        <v>0</v>
      </c>
      <c r="Q840" s="163">
        <v>0</v>
      </c>
      <c r="R840" s="163">
        <v>0</v>
      </c>
      <c r="S840" s="163">
        <v>0</v>
      </c>
      <c r="T840" s="163">
        <v>0</v>
      </c>
      <c r="U840" s="163">
        <v>0</v>
      </c>
      <c r="V840" s="163">
        <v>0</v>
      </c>
      <c r="W840" s="163">
        <v>0</v>
      </c>
      <c r="X840" s="163">
        <v>0</v>
      </c>
      <c r="Y840" s="163">
        <v>0</v>
      </c>
      <c r="Z840" s="163">
        <v>0</v>
      </c>
      <c r="AA840" s="40"/>
      <c r="AB840" s="40"/>
      <c r="AC840" s="40"/>
      <c r="AD840" s="40"/>
      <c r="AE840" s="40"/>
      <c r="AF840" s="40"/>
      <c r="AG840" s="40"/>
      <c r="AH840" s="40"/>
      <c r="AI840" s="40"/>
      <c r="AJ840" s="40"/>
      <c r="AK840" s="40"/>
      <c r="AL840" s="40"/>
      <c r="AM840" s="40"/>
      <c r="AN840" s="40"/>
      <c r="AO840" s="40"/>
      <c r="AP840" s="40"/>
      <c r="AQ840" s="40"/>
      <c r="AR840" s="40"/>
      <c r="AS840" s="40"/>
      <c r="AT840" s="40"/>
      <c r="AU840" s="40"/>
      <c r="AV840" s="315">
        <v>0</v>
      </c>
      <c r="AW840" s="317"/>
      <c r="AX840" s="317"/>
      <c r="AY840" s="313">
        <v>0</v>
      </c>
      <c r="AZ840" s="40"/>
      <c r="BA840" s="40"/>
      <c r="BB840" s="40"/>
      <c r="BC840" s="40">
        <v>0</v>
      </c>
      <c r="BD840" s="163">
        <v>0</v>
      </c>
      <c r="BE840" s="163">
        <v>0</v>
      </c>
      <c r="BF840" s="40"/>
      <c r="BG840" s="40"/>
      <c r="BH840" s="40"/>
      <c r="BI840" s="40"/>
      <c r="BJ840" s="40"/>
      <c r="BK840" s="40"/>
      <c r="BL840" s="62">
        <v>0</v>
      </c>
      <c r="BM840" s="275">
        <v>3</v>
      </c>
      <c r="BN840" s="62">
        <v>0</v>
      </c>
      <c r="BO840" s="33" t="s">
        <v>558</v>
      </c>
    </row>
    <row r="841" spans="1:67">
      <c r="A841" s="33" t="str">
        <f>Database_Productkaarten[[#This Row],[Product]]&amp;", "&amp;Database_Productkaarten[[#This Row],[Levensfase]]</f>
        <v>Lengtemarkeringen, Thermoplast, C4</v>
      </c>
      <c r="B841" t="s">
        <v>555</v>
      </c>
      <c r="C841" s="33" t="s">
        <v>556</v>
      </c>
      <c r="D841" s="33" t="s">
        <v>557</v>
      </c>
      <c r="E841" s="33" t="s">
        <v>389</v>
      </c>
      <c r="F841" s="33" t="s">
        <v>86</v>
      </c>
      <c r="G841" s="33">
        <v>1</v>
      </c>
      <c r="H841" s="33">
        <v>0.2</v>
      </c>
      <c r="I841" s="33">
        <v>3.0000000000000001E-3</v>
      </c>
      <c r="M841" s="308">
        <v>2E-3</v>
      </c>
      <c r="N841" s="41">
        <v>0.25008000000000002</v>
      </c>
      <c r="O841" s="33">
        <v>12</v>
      </c>
      <c r="P841" s="163">
        <v>5.6300000000000001E-8</v>
      </c>
      <c r="Q841" s="163">
        <v>2.3499999999999999E-4</v>
      </c>
      <c r="R841" s="163">
        <v>4.5599999999999996</v>
      </c>
      <c r="S841" s="163">
        <v>4.2799999999999993E-9</v>
      </c>
      <c r="T841" s="163">
        <v>1.9199999999999999E-5</v>
      </c>
      <c r="U841" s="163">
        <v>2.9700000000000001E-4</v>
      </c>
      <c r="V841" s="163">
        <v>1.3000000000000002E-4</v>
      </c>
      <c r="W841" s="163">
        <v>0.156</v>
      </c>
      <c r="X841" s="163">
        <v>1.3800000000000002E-2</v>
      </c>
      <c r="Y841" s="163">
        <v>52</v>
      </c>
      <c r="Z841" s="163">
        <v>1.2199999999999999E-3</v>
      </c>
      <c r="AA841" s="40"/>
      <c r="AB841" s="40"/>
      <c r="AC841" s="40"/>
      <c r="AD841" s="40"/>
      <c r="AE841" s="40"/>
      <c r="AF841" s="40"/>
      <c r="AG841" s="40"/>
      <c r="AH841" s="40"/>
      <c r="AI841" s="40"/>
      <c r="AJ841" s="40"/>
      <c r="AK841" s="40"/>
      <c r="AL841" s="40"/>
      <c r="AM841" s="40"/>
      <c r="AN841" s="40"/>
      <c r="AO841" s="40"/>
      <c r="AP841" s="40"/>
      <c r="AQ841" s="40"/>
      <c r="AR841" s="40"/>
      <c r="AS841" s="40"/>
      <c r="AT841" s="40"/>
      <c r="AU841" s="40"/>
      <c r="AV841" s="315">
        <v>1.0999999999999999E-2</v>
      </c>
      <c r="AW841" s="317"/>
      <c r="AX841" s="317"/>
      <c r="AY841" s="313">
        <v>0.497</v>
      </c>
      <c r="AZ841" s="40"/>
      <c r="BA841" s="40"/>
      <c r="BB841" s="40"/>
      <c r="BC841" s="40">
        <v>1.24E-3</v>
      </c>
      <c r="BD841" s="163">
        <v>7.6599999999999995E-6</v>
      </c>
      <c r="BE841" s="163">
        <v>0.215</v>
      </c>
      <c r="BF841" s="40"/>
      <c r="BG841" s="40"/>
      <c r="BH841" s="40"/>
      <c r="BI841" s="40"/>
      <c r="BJ841" s="40"/>
      <c r="BK841" s="40"/>
      <c r="BL841" s="62">
        <v>0</v>
      </c>
      <c r="BM841" s="275">
        <v>3</v>
      </c>
      <c r="BN841" s="62">
        <v>0</v>
      </c>
      <c r="BO841" s="33" t="s">
        <v>558</v>
      </c>
    </row>
    <row r="842" spans="1:67">
      <c r="A842" s="33" t="str">
        <f>Database_Productkaarten[[#This Row],[Product]]&amp;", "&amp;Database_Productkaarten[[#This Row],[Levensfase]]</f>
        <v>Lengtemarkeringen, Thermoplast, D</v>
      </c>
      <c r="B842" t="s">
        <v>555</v>
      </c>
      <c r="C842" s="33" t="s">
        <v>556</v>
      </c>
      <c r="D842" s="33" t="s">
        <v>557</v>
      </c>
      <c r="E842" s="33" t="s">
        <v>389</v>
      </c>
      <c r="F842" s="33" t="s">
        <v>89</v>
      </c>
      <c r="G842" s="33">
        <v>1</v>
      </c>
      <c r="H842" s="33">
        <v>0.2</v>
      </c>
      <c r="I842" s="33">
        <v>3.0000000000000001E-3</v>
      </c>
      <c r="M842" s="308">
        <v>2E-3</v>
      </c>
      <c r="N842" s="41">
        <v>0</v>
      </c>
      <c r="O842" s="33">
        <v>12</v>
      </c>
      <c r="P842" s="163">
        <v>0</v>
      </c>
      <c r="Q842" s="163">
        <v>0</v>
      </c>
      <c r="R842" s="163">
        <v>0</v>
      </c>
      <c r="S842" s="163">
        <v>0</v>
      </c>
      <c r="T842" s="163">
        <v>0</v>
      </c>
      <c r="U842" s="163">
        <v>0</v>
      </c>
      <c r="V842" s="163">
        <v>0</v>
      </c>
      <c r="W842" s="163">
        <v>0</v>
      </c>
      <c r="X842" s="163">
        <v>0</v>
      </c>
      <c r="Y842" s="163">
        <v>0</v>
      </c>
      <c r="Z842" s="163">
        <v>0</v>
      </c>
      <c r="AA842" s="40"/>
      <c r="AB842" s="40"/>
      <c r="AC842" s="40"/>
      <c r="AD842" s="40"/>
      <c r="AE842" s="40"/>
      <c r="AF842" s="40"/>
      <c r="AG842" s="40"/>
      <c r="AH842" s="40"/>
      <c r="AI842" s="40"/>
      <c r="AJ842" s="40"/>
      <c r="AK842" s="40"/>
      <c r="AL842" s="40"/>
      <c r="AM842" s="40"/>
      <c r="AN842" s="40"/>
      <c r="AO842" s="40"/>
      <c r="AP842" s="40"/>
      <c r="AQ842" s="40"/>
      <c r="AR842" s="40"/>
      <c r="AS842" s="40"/>
      <c r="AT842" s="40"/>
      <c r="AU842" s="40"/>
      <c r="AV842" s="315">
        <v>0</v>
      </c>
      <c r="AW842" s="317"/>
      <c r="AX842" s="317"/>
      <c r="AY842" s="313">
        <v>0</v>
      </c>
      <c r="AZ842" s="40"/>
      <c r="BA842" s="40"/>
      <c r="BB842" s="40"/>
      <c r="BC842" s="40">
        <v>0</v>
      </c>
      <c r="BD842" s="163">
        <v>0</v>
      </c>
      <c r="BE842" s="163">
        <v>0</v>
      </c>
      <c r="BF842" s="40"/>
      <c r="BG842" s="40"/>
      <c r="BH842" s="40"/>
      <c r="BI842" s="40"/>
      <c r="BJ842" s="40"/>
      <c r="BK842" s="40"/>
      <c r="BL842" s="62">
        <v>0</v>
      </c>
      <c r="BM842" s="275">
        <v>3</v>
      </c>
      <c r="BN842" s="62">
        <v>0</v>
      </c>
      <c r="BO842" s="33" t="s">
        <v>558</v>
      </c>
    </row>
    <row r="843" spans="1:67">
      <c r="A843" s="33" t="str">
        <f>Database_Productkaarten[[#This Row],[Product]]&amp;", "&amp;Database_Productkaarten[[#This Row],[Levensfase]]</f>
        <v>Lengtemarkeringen, Thermoplast, D1</v>
      </c>
      <c r="B843" t="s">
        <v>555</v>
      </c>
      <c r="C843" s="33" t="s">
        <v>556</v>
      </c>
      <c r="D843" s="33" t="s">
        <v>557</v>
      </c>
      <c r="E843" s="33" t="s">
        <v>389</v>
      </c>
      <c r="F843" s="33" t="s">
        <v>87</v>
      </c>
      <c r="G843" s="33">
        <v>1</v>
      </c>
      <c r="H843" s="33">
        <v>0.2</v>
      </c>
      <c r="I843" s="33">
        <v>3.0000000000000001E-3</v>
      </c>
      <c r="M843" s="308">
        <v>2E-3</v>
      </c>
      <c r="N843" s="41"/>
      <c r="O843" s="33">
        <v>12</v>
      </c>
      <c r="P843" s="40"/>
      <c r="Q843" s="40"/>
      <c r="R843" s="40"/>
      <c r="S843" s="40"/>
      <c r="T843" s="40"/>
      <c r="U843" s="40"/>
      <c r="V843" s="40"/>
      <c r="W843" s="40"/>
      <c r="X843" s="40"/>
      <c r="Y843" s="40"/>
      <c r="Z843" s="40"/>
      <c r="AA843" s="40"/>
      <c r="AB843" s="40"/>
      <c r="AC843" s="40"/>
      <c r="AD843" s="40"/>
      <c r="AE843" s="40"/>
      <c r="AF843" s="40"/>
      <c r="AG843" s="40"/>
      <c r="AH843" s="40"/>
      <c r="AI843" s="40"/>
      <c r="AJ843" s="40"/>
      <c r="AK843" s="40"/>
      <c r="AL843" s="40"/>
      <c r="AM843" s="40"/>
      <c r="AN843" s="40"/>
      <c r="AO843" s="40"/>
      <c r="AP843" s="40"/>
      <c r="AQ843" s="40"/>
      <c r="AR843" s="40"/>
      <c r="AS843" s="40"/>
      <c r="AT843" s="40"/>
      <c r="AU843" s="40"/>
      <c r="AV843" s="316"/>
      <c r="AW843" s="317"/>
      <c r="AX843" s="317"/>
      <c r="AY843" s="316"/>
      <c r="AZ843" s="40"/>
      <c r="BA843" s="40"/>
      <c r="BB843" s="40"/>
      <c r="BC843" s="40"/>
      <c r="BD843" s="40"/>
      <c r="BE843" s="40"/>
      <c r="BF843" s="40"/>
      <c r="BG843" s="40"/>
      <c r="BH843" s="40"/>
      <c r="BI843" s="40"/>
      <c r="BJ843" s="40"/>
      <c r="BK843" s="40"/>
      <c r="BL843" s="62">
        <v>0</v>
      </c>
      <c r="BM843" s="275">
        <v>3</v>
      </c>
      <c r="BN843" s="62">
        <v>0</v>
      </c>
      <c r="BO843" s="33" t="s">
        <v>558</v>
      </c>
    </row>
    <row r="844" spans="1:67">
      <c r="A844" s="33" t="str">
        <f>Database_Productkaarten[[#This Row],[Product]]&amp;", "&amp;Database_Productkaarten[[#This Row],[Levensfase]]</f>
        <v>Lengtemarkeringen, Thermoplast, D2</v>
      </c>
      <c r="B844" t="s">
        <v>555</v>
      </c>
      <c r="C844" s="33" t="s">
        <v>556</v>
      </c>
      <c r="D844" s="33" t="s">
        <v>557</v>
      </c>
      <c r="E844" s="33" t="s">
        <v>389</v>
      </c>
      <c r="F844" s="33" t="s">
        <v>88</v>
      </c>
      <c r="G844" s="33">
        <v>1</v>
      </c>
      <c r="H844" s="33">
        <v>0.2</v>
      </c>
      <c r="I844" s="33">
        <v>3.0000000000000001E-3</v>
      </c>
      <c r="M844" s="308">
        <v>2E-3</v>
      </c>
      <c r="N844" s="41"/>
      <c r="O844" s="33">
        <v>12</v>
      </c>
      <c r="P844" s="40"/>
      <c r="Q844" s="40"/>
      <c r="R844" s="40"/>
      <c r="S844" s="40"/>
      <c r="T844" s="40"/>
      <c r="U844" s="40"/>
      <c r="V844" s="40"/>
      <c r="W844" s="40"/>
      <c r="X844" s="40"/>
      <c r="Y844" s="40"/>
      <c r="Z844" s="40"/>
      <c r="AA844" s="40"/>
      <c r="AB844" s="40"/>
      <c r="AC844" s="40"/>
      <c r="AD844" s="40"/>
      <c r="AE844" s="40"/>
      <c r="AF844" s="40"/>
      <c r="AG844" s="40"/>
      <c r="AH844" s="40"/>
      <c r="AI844" s="40"/>
      <c r="AJ844" s="40"/>
      <c r="AK844" s="40"/>
      <c r="AL844" s="40"/>
      <c r="AM844" s="40"/>
      <c r="AN844" s="40"/>
      <c r="AO844" s="40"/>
      <c r="AP844" s="40"/>
      <c r="AQ844" s="40"/>
      <c r="AR844" s="40"/>
      <c r="AS844" s="40"/>
      <c r="AT844" s="40"/>
      <c r="AU844" s="40"/>
      <c r="AV844" s="316"/>
      <c r="AW844" s="317"/>
      <c r="AX844" s="317"/>
      <c r="AY844" s="316"/>
      <c r="AZ844" s="40"/>
      <c r="BA844" s="40"/>
      <c r="BB844" s="40"/>
      <c r="BC844" s="40"/>
      <c r="BD844" s="40"/>
      <c r="BE844" s="40"/>
      <c r="BF844" s="40"/>
      <c r="BG844" s="40"/>
      <c r="BH844" s="40"/>
      <c r="BI844" s="40"/>
      <c r="BJ844" s="40"/>
      <c r="BK844" s="40"/>
      <c r="BL844" s="62">
        <v>0</v>
      </c>
      <c r="BM844" s="275">
        <v>3</v>
      </c>
      <c r="BN844" s="62">
        <v>0</v>
      </c>
      <c r="BO844" s="33" t="s">
        <v>558</v>
      </c>
    </row>
    <row r="845" spans="1:67">
      <c r="A845" s="33" t="str">
        <f>Database_Productkaarten[[#This Row],[Product]]&amp;", "&amp;Database_Productkaarten[[#This Row],[Levensfase]]</f>
        <v>Lengtemarkeringen, Koudplastisch, Totaal</v>
      </c>
      <c r="B845" t="s">
        <v>559</v>
      </c>
      <c r="C845" s="33" t="s">
        <v>556</v>
      </c>
      <c r="D845" s="33" t="s">
        <v>557</v>
      </c>
      <c r="E845" s="33" t="s">
        <v>389</v>
      </c>
      <c r="F845" s="33" t="s">
        <v>90</v>
      </c>
      <c r="G845" s="33">
        <v>1</v>
      </c>
      <c r="H845" s="33">
        <v>0.2</v>
      </c>
      <c r="I845" s="33">
        <v>3.0000000000000001E-3</v>
      </c>
      <c r="M845" s="308">
        <v>5.0000000000000001E-3</v>
      </c>
      <c r="N845" s="41">
        <v>0.60807999999999995</v>
      </c>
      <c r="O845" s="33">
        <v>7</v>
      </c>
      <c r="P845" s="40">
        <v>8.5599999999999994E-6</v>
      </c>
      <c r="Q845" s="40">
        <v>1.9400000000000001E-2</v>
      </c>
      <c r="R845" s="40">
        <v>4.8</v>
      </c>
      <c r="S845" s="40">
        <v>2.5800000000000001E-7</v>
      </c>
      <c r="T845" s="40">
        <v>2.5500000000000002E-3</v>
      </c>
      <c r="U845" s="40">
        <v>2.53E-2</v>
      </c>
      <c r="V845" s="40">
        <v>1.9E-3</v>
      </c>
      <c r="W845" s="40">
        <v>2.2400000000000002</v>
      </c>
      <c r="X845" s="40">
        <v>0.47799999999999998</v>
      </c>
      <c r="Y845" s="40">
        <v>255</v>
      </c>
      <c r="Z845" s="40">
        <v>4.3299999999999996E-3</v>
      </c>
      <c r="AA845" s="40"/>
      <c r="AB845" s="40"/>
      <c r="AC845" s="40"/>
      <c r="AD845" s="40"/>
      <c r="AE845" s="40"/>
      <c r="AF845" s="40"/>
      <c r="AG845" s="40"/>
      <c r="AH845" s="40"/>
      <c r="AI845" s="40"/>
      <c r="AJ845" s="40"/>
      <c r="AK845" s="40"/>
      <c r="AL845" s="40"/>
      <c r="AM845" s="40"/>
      <c r="AN845" s="40"/>
      <c r="AO845" s="40"/>
      <c r="AP845" s="40"/>
      <c r="AQ845" s="40"/>
      <c r="AR845" s="40"/>
      <c r="AS845" s="40"/>
      <c r="AT845" s="40"/>
      <c r="AU845" s="40"/>
      <c r="AV845" s="317">
        <v>2.62</v>
      </c>
      <c r="AW845" s="317"/>
      <c r="AX845" s="317"/>
      <c r="AY845" s="313">
        <v>42.1</v>
      </c>
      <c r="AZ845" s="40"/>
      <c r="BA845" s="40"/>
      <c r="BB845" s="40"/>
      <c r="BC845" s="40">
        <v>3.2399999999999998E-2</v>
      </c>
      <c r="BD845" s="40">
        <v>1.54E-4</v>
      </c>
      <c r="BE845" s="40">
        <v>1.1299999999999999</v>
      </c>
      <c r="BF845" s="40"/>
      <c r="BG845" s="40"/>
      <c r="BH845" s="40"/>
      <c r="BI845" s="40"/>
      <c r="BJ845" s="40"/>
      <c r="BK845" s="40"/>
      <c r="BL845" s="62">
        <v>0</v>
      </c>
      <c r="BM845" s="275">
        <v>3</v>
      </c>
      <c r="BN845" s="62">
        <v>0</v>
      </c>
      <c r="BO845" s="33" t="s">
        <v>558</v>
      </c>
    </row>
    <row r="846" spans="1:67">
      <c r="A846" s="33" t="str">
        <f>Database_Productkaarten[[#This Row],[Product]]&amp;", "&amp;Database_Productkaarten[[#This Row],[Levensfase]]</f>
        <v>Lengtemarkeringen, Koudplastisch, A1</v>
      </c>
      <c r="B846" t="s">
        <v>559</v>
      </c>
      <c r="C846" s="33" t="s">
        <v>556</v>
      </c>
      <c r="D846" s="33" t="s">
        <v>557</v>
      </c>
      <c r="E846" s="33" t="s">
        <v>389</v>
      </c>
      <c r="F846" s="33" t="s">
        <v>74</v>
      </c>
      <c r="G846" s="33">
        <v>1</v>
      </c>
      <c r="H846" s="33">
        <v>0.2</v>
      </c>
      <c r="I846" s="33">
        <v>3.0000000000000001E-3</v>
      </c>
      <c r="M846" s="308">
        <v>5.0000000000000001E-3</v>
      </c>
      <c r="N846" s="41"/>
      <c r="O846" s="33">
        <v>7</v>
      </c>
      <c r="P846" s="40"/>
      <c r="Q846" s="40"/>
      <c r="R846" s="40"/>
      <c r="S846" s="40"/>
      <c r="T846" s="40"/>
      <c r="U846" s="40"/>
      <c r="V846" s="40"/>
      <c r="W846" s="40"/>
      <c r="X846" s="40"/>
      <c r="Y846" s="40"/>
      <c r="Z846" s="40"/>
      <c r="AA846" s="40"/>
      <c r="AB846" s="40"/>
      <c r="AC846" s="40"/>
      <c r="AD846" s="40"/>
      <c r="AE846" s="40"/>
      <c r="AF846" s="40"/>
      <c r="AG846" s="40"/>
      <c r="AH846" s="40"/>
      <c r="AI846" s="40"/>
      <c r="AJ846" s="40"/>
      <c r="AK846" s="40"/>
      <c r="AL846" s="40"/>
      <c r="AM846" s="40"/>
      <c r="AN846" s="40"/>
      <c r="AO846" s="40"/>
      <c r="AP846" s="40"/>
      <c r="AQ846" s="40"/>
      <c r="AR846" s="40"/>
      <c r="AS846" s="40"/>
      <c r="AT846" s="40"/>
      <c r="AU846" s="40"/>
      <c r="AV846" s="316"/>
      <c r="AW846" s="317"/>
      <c r="AX846" s="317"/>
      <c r="AY846" s="316"/>
      <c r="AZ846" s="40"/>
      <c r="BA846" s="40"/>
      <c r="BB846" s="40"/>
      <c r="BC846" s="40"/>
      <c r="BD846" s="40"/>
      <c r="BE846" s="40"/>
      <c r="BF846" s="40"/>
      <c r="BG846" s="40"/>
      <c r="BH846" s="40"/>
      <c r="BI846" s="40"/>
      <c r="BJ846" s="40"/>
      <c r="BK846" s="40"/>
      <c r="BL846" s="62">
        <v>0</v>
      </c>
      <c r="BM846" s="275">
        <v>3</v>
      </c>
      <c r="BN846" s="62">
        <v>0</v>
      </c>
      <c r="BO846" s="33" t="s">
        <v>558</v>
      </c>
    </row>
    <row r="847" spans="1:67">
      <c r="A847" s="33" t="str">
        <f>Database_Productkaarten[[#This Row],[Product]]&amp;", "&amp;Database_Productkaarten[[#This Row],[Levensfase]]</f>
        <v>Lengtemarkeringen, Koudplastisch, A2</v>
      </c>
      <c r="B847" t="s">
        <v>559</v>
      </c>
      <c r="C847" s="33" t="s">
        <v>556</v>
      </c>
      <c r="D847" s="33" t="s">
        <v>557</v>
      </c>
      <c r="E847" s="33" t="s">
        <v>389</v>
      </c>
      <c r="F847" s="33" t="s">
        <v>75</v>
      </c>
      <c r="G847" s="33">
        <v>1</v>
      </c>
      <c r="H847" s="33">
        <v>0.2</v>
      </c>
      <c r="I847" s="33">
        <v>3.0000000000000001E-3</v>
      </c>
      <c r="M847" s="308">
        <v>5.0000000000000001E-3</v>
      </c>
      <c r="N847" s="41"/>
      <c r="O847" s="33">
        <v>7</v>
      </c>
      <c r="P847" s="40"/>
      <c r="Q847" s="40"/>
      <c r="R847" s="40"/>
      <c r="S847" s="40"/>
      <c r="T847" s="40"/>
      <c r="U847" s="40"/>
      <c r="V847" s="40"/>
      <c r="W847" s="40"/>
      <c r="X847" s="40"/>
      <c r="Y847" s="40"/>
      <c r="Z847" s="40"/>
      <c r="AA847" s="40"/>
      <c r="AB847" s="40"/>
      <c r="AC847" s="40"/>
      <c r="AD847" s="40"/>
      <c r="AE847" s="40"/>
      <c r="AF847" s="40"/>
      <c r="AG847" s="40"/>
      <c r="AH847" s="40"/>
      <c r="AI847" s="40"/>
      <c r="AJ847" s="40"/>
      <c r="AK847" s="40"/>
      <c r="AL847" s="40"/>
      <c r="AM847" s="40"/>
      <c r="AN847" s="40"/>
      <c r="AO847" s="40"/>
      <c r="AP847" s="40"/>
      <c r="AQ847" s="40"/>
      <c r="AR847" s="40"/>
      <c r="AS847" s="40"/>
      <c r="AT847" s="40"/>
      <c r="AU847" s="40"/>
      <c r="AV847" s="316"/>
      <c r="AW847" s="317"/>
      <c r="AX847" s="317"/>
      <c r="AY847" s="316"/>
      <c r="AZ847" s="40"/>
      <c r="BA847" s="40"/>
      <c r="BB847" s="40"/>
      <c r="BC847" s="40"/>
      <c r="BD847" s="40"/>
      <c r="BE847" s="40"/>
      <c r="BF847" s="40"/>
      <c r="BG847" s="40"/>
      <c r="BH847" s="40"/>
      <c r="BI847" s="40"/>
      <c r="BJ847" s="40"/>
      <c r="BK847" s="40"/>
      <c r="BL847" s="62">
        <v>0</v>
      </c>
      <c r="BM847" s="275">
        <v>3</v>
      </c>
      <c r="BN847" s="62">
        <v>0</v>
      </c>
      <c r="BO847" s="33" t="s">
        <v>558</v>
      </c>
    </row>
    <row r="848" spans="1:67">
      <c r="A848" s="33" t="str">
        <f>Database_Productkaarten[[#This Row],[Product]]&amp;", "&amp;Database_Productkaarten[[#This Row],[Levensfase]]</f>
        <v>Lengtemarkeringen, Koudplastisch, A3</v>
      </c>
      <c r="B848" t="s">
        <v>559</v>
      </c>
      <c r="C848" s="33" t="s">
        <v>556</v>
      </c>
      <c r="D848" s="33" t="s">
        <v>557</v>
      </c>
      <c r="E848" s="33" t="s">
        <v>389</v>
      </c>
      <c r="F848" s="33" t="s">
        <v>76</v>
      </c>
      <c r="G848" s="33">
        <v>1</v>
      </c>
      <c r="H848" s="33">
        <v>0.2</v>
      </c>
      <c r="I848" s="33">
        <v>3.0000000000000001E-3</v>
      </c>
      <c r="M848" s="308">
        <v>5.0000000000000001E-3</v>
      </c>
      <c r="N848" s="41"/>
      <c r="O848" s="33">
        <v>7</v>
      </c>
      <c r="P848" s="40"/>
      <c r="Q848" s="40"/>
      <c r="R848" s="40"/>
      <c r="S848" s="40"/>
      <c r="T848" s="40"/>
      <c r="U848" s="40"/>
      <c r="V848" s="40"/>
      <c r="W848" s="40"/>
      <c r="X848" s="40"/>
      <c r="Y848" s="40"/>
      <c r="Z848" s="40"/>
      <c r="AA848" s="40"/>
      <c r="AB848" s="40"/>
      <c r="AC848" s="40"/>
      <c r="AD848" s="40"/>
      <c r="AE848" s="40"/>
      <c r="AF848" s="40"/>
      <c r="AG848" s="40"/>
      <c r="AH848" s="40"/>
      <c r="AI848" s="40"/>
      <c r="AJ848" s="40"/>
      <c r="AK848" s="40"/>
      <c r="AL848" s="40"/>
      <c r="AM848" s="40"/>
      <c r="AN848" s="40"/>
      <c r="AO848" s="40"/>
      <c r="AP848" s="40"/>
      <c r="AQ848" s="40"/>
      <c r="AR848" s="40"/>
      <c r="AS848" s="40"/>
      <c r="AT848" s="40"/>
      <c r="AU848" s="40"/>
      <c r="AV848" s="316"/>
      <c r="AW848" s="317"/>
      <c r="AX848" s="317"/>
      <c r="AY848" s="316"/>
      <c r="AZ848" s="40"/>
      <c r="BA848" s="40"/>
      <c r="BB848" s="40"/>
      <c r="BC848" s="40"/>
      <c r="BD848" s="40"/>
      <c r="BE848" s="40"/>
      <c r="BF848" s="40"/>
      <c r="BG848" s="40"/>
      <c r="BH848" s="40"/>
      <c r="BI848" s="40"/>
      <c r="BJ848" s="40"/>
      <c r="BK848" s="40"/>
      <c r="BL848" s="62">
        <v>0</v>
      </c>
      <c r="BM848" s="275">
        <v>3</v>
      </c>
      <c r="BN848" s="62">
        <v>0</v>
      </c>
      <c r="BO848" s="33" t="s">
        <v>558</v>
      </c>
    </row>
    <row r="849" spans="1:67">
      <c r="A849" s="33" t="str">
        <f>Database_Productkaarten[[#This Row],[Product]]&amp;", "&amp;Database_Productkaarten[[#This Row],[Levensfase]]</f>
        <v>Lengtemarkeringen, Koudplastisch, A1-A3</v>
      </c>
      <c r="B849" t="s">
        <v>559</v>
      </c>
      <c r="C849" s="33" t="s">
        <v>556</v>
      </c>
      <c r="D849" s="33" t="s">
        <v>557</v>
      </c>
      <c r="E849" s="33" t="s">
        <v>389</v>
      </c>
      <c r="F849" s="33" t="s">
        <v>77</v>
      </c>
      <c r="G849" s="33">
        <v>1</v>
      </c>
      <c r="H849" s="33">
        <v>0.2</v>
      </c>
      <c r="I849" s="33">
        <v>3.0000000000000001E-3</v>
      </c>
      <c r="M849" s="308">
        <v>5.0000000000000001E-3</v>
      </c>
      <c r="N849" s="41">
        <v>0.47470000000000001</v>
      </c>
      <c r="O849" s="33">
        <v>7</v>
      </c>
      <c r="P849" s="40">
        <v>8.4600000000000003E-6</v>
      </c>
      <c r="Q849" s="40">
        <v>1.8700000000000001E-2</v>
      </c>
      <c r="R849" s="40">
        <v>2.44</v>
      </c>
      <c r="S849" s="40">
        <v>2.3999999999999998E-7</v>
      </c>
      <c r="T849" s="40">
        <v>2.5100000000000001E-3</v>
      </c>
      <c r="U849" s="40">
        <v>2.4899999999999999E-2</v>
      </c>
      <c r="V849" s="40">
        <v>1.7799999999999999E-3</v>
      </c>
      <c r="W849" s="40">
        <v>2.13</v>
      </c>
      <c r="X849" s="40">
        <v>0.47</v>
      </c>
      <c r="Y849" s="40">
        <v>226</v>
      </c>
      <c r="Z849" s="40">
        <v>3.62E-3</v>
      </c>
      <c r="AA849" s="40"/>
      <c r="AB849" s="40"/>
      <c r="AC849" s="40"/>
      <c r="AD849" s="40"/>
      <c r="AE849" s="40"/>
      <c r="AF849" s="40"/>
      <c r="AG849" s="40"/>
      <c r="AH849" s="40"/>
      <c r="AI849" s="40"/>
      <c r="AJ849" s="40"/>
      <c r="AK849" s="40"/>
      <c r="AL849" s="40"/>
      <c r="AM849" s="40"/>
      <c r="AN849" s="40"/>
      <c r="AO849" s="40"/>
      <c r="AP849" s="40"/>
      <c r="AQ849" s="40"/>
      <c r="AR849" s="40"/>
      <c r="AS849" s="40"/>
      <c r="AT849" s="40"/>
      <c r="AU849" s="40"/>
      <c r="AV849" s="317">
        <v>2.6</v>
      </c>
      <c r="AW849" s="317"/>
      <c r="AX849" s="317"/>
      <c r="AY849" s="313">
        <v>40.5</v>
      </c>
      <c r="AZ849" s="40"/>
      <c r="BA849" s="40"/>
      <c r="BB849" s="40"/>
      <c r="BC849" s="40">
        <v>3.1600000000000003E-2</v>
      </c>
      <c r="BD849" s="40">
        <v>1.4100000000000001E-4</v>
      </c>
      <c r="BE849" s="40">
        <v>0.98399999999999999</v>
      </c>
      <c r="BF849" s="40"/>
      <c r="BG849" s="40"/>
      <c r="BH849" s="40"/>
      <c r="BI849" s="40"/>
      <c r="BJ849" s="40"/>
      <c r="BK849" s="40"/>
      <c r="BL849" s="62">
        <v>0</v>
      </c>
      <c r="BM849" s="275">
        <v>3</v>
      </c>
      <c r="BN849" s="62">
        <v>0</v>
      </c>
      <c r="BO849" s="33" t="s">
        <v>558</v>
      </c>
    </row>
    <row r="850" spans="1:67">
      <c r="A850" s="33" t="str">
        <f>Database_Productkaarten[[#This Row],[Product]]&amp;", "&amp;Database_Productkaarten[[#This Row],[Levensfase]]</f>
        <v>Lengtemarkeringen, Koudplastisch, A4</v>
      </c>
      <c r="B850" t="s">
        <v>559</v>
      </c>
      <c r="C850" s="33" t="s">
        <v>556</v>
      </c>
      <c r="D850" s="33" t="s">
        <v>557</v>
      </c>
      <c r="E850" s="33" t="s">
        <v>389</v>
      </c>
      <c r="F850" s="33" t="s">
        <v>78</v>
      </c>
      <c r="G850" s="33">
        <v>1</v>
      </c>
      <c r="H850" s="33">
        <v>0.2</v>
      </c>
      <c r="I850" s="33">
        <v>3.0000000000000001E-3</v>
      </c>
      <c r="M850" s="308">
        <v>5.0000000000000001E-3</v>
      </c>
      <c r="N850" s="41">
        <v>1.42E-3</v>
      </c>
      <c r="O850" s="33">
        <v>7</v>
      </c>
      <c r="P850" s="40">
        <v>2.4599999999999999E-8</v>
      </c>
      <c r="Q850" s="40">
        <v>9.7E-5</v>
      </c>
      <c r="R850" s="40">
        <v>1.2800000000000001E-2</v>
      </c>
      <c r="S850" s="40">
        <v>2.5500000000000001E-9</v>
      </c>
      <c r="T850" s="40">
        <v>8.0900000000000005E-6</v>
      </c>
      <c r="U850" s="40">
        <v>4.6699999999999997E-5</v>
      </c>
      <c r="V850" s="40">
        <v>9.5200000000000003E-6</v>
      </c>
      <c r="W850" s="40">
        <v>4.5100000000000001E-3</v>
      </c>
      <c r="X850" s="40">
        <v>2.9100000000000003E-4</v>
      </c>
      <c r="Y850" s="40">
        <v>0.76100000000000001</v>
      </c>
      <c r="Z850" s="40">
        <v>2.6699999999999998E-5</v>
      </c>
      <c r="AA850" s="40"/>
      <c r="AB850" s="40"/>
      <c r="AC850" s="40"/>
      <c r="AD850" s="40"/>
      <c r="AE850" s="40"/>
      <c r="AF850" s="40"/>
      <c r="AG850" s="40"/>
      <c r="AH850" s="40"/>
      <c r="AI850" s="40"/>
      <c r="AJ850" s="40"/>
      <c r="AK850" s="40"/>
      <c r="AL850" s="40"/>
      <c r="AM850" s="40"/>
      <c r="AN850" s="40"/>
      <c r="AO850" s="40"/>
      <c r="AP850" s="40"/>
      <c r="AQ850" s="40"/>
      <c r="AR850" s="40"/>
      <c r="AS850" s="40"/>
      <c r="AT850" s="40"/>
      <c r="AU850" s="40"/>
      <c r="AV850" s="317">
        <v>3.46E-3</v>
      </c>
      <c r="AW850" s="317"/>
      <c r="AX850" s="317"/>
      <c r="AY850" s="313">
        <v>0.221</v>
      </c>
      <c r="AZ850" s="40"/>
      <c r="BA850" s="40"/>
      <c r="BB850" s="40"/>
      <c r="BC850" s="40">
        <v>4.5000000000000003E-5</v>
      </c>
      <c r="BD850" s="40">
        <v>1.57E-6</v>
      </c>
      <c r="BE850" s="40">
        <v>1.83E-2</v>
      </c>
      <c r="BF850" s="40"/>
      <c r="BG850" s="40"/>
      <c r="BH850" s="40"/>
      <c r="BI850" s="40"/>
      <c r="BJ850" s="40"/>
      <c r="BK850" s="40"/>
      <c r="BL850" s="62">
        <v>0</v>
      </c>
      <c r="BM850" s="275">
        <v>3</v>
      </c>
      <c r="BN850" s="62">
        <v>0</v>
      </c>
      <c r="BO850" s="33" t="s">
        <v>558</v>
      </c>
    </row>
    <row r="851" spans="1:67">
      <c r="A851" s="33" t="str">
        <f>Database_Productkaarten[[#This Row],[Product]]&amp;", "&amp;Database_Productkaarten[[#This Row],[Levensfase]]</f>
        <v>Lengtemarkeringen, Koudplastisch, A5</v>
      </c>
      <c r="B851" t="s">
        <v>559</v>
      </c>
      <c r="C851" s="33" t="s">
        <v>556</v>
      </c>
      <c r="D851" s="33" t="s">
        <v>557</v>
      </c>
      <c r="E851" s="33" t="s">
        <v>389</v>
      </c>
      <c r="F851" s="33" t="s">
        <v>79</v>
      </c>
      <c r="G851" s="33">
        <v>1</v>
      </c>
      <c r="H851" s="33">
        <v>0.2</v>
      </c>
      <c r="I851" s="33">
        <v>3.0000000000000001E-3</v>
      </c>
      <c r="M851" s="308">
        <v>5.0000000000000001E-3</v>
      </c>
      <c r="N851" s="41">
        <v>2.2799999999999999E-3</v>
      </c>
      <c r="O851" s="33">
        <v>7</v>
      </c>
      <c r="P851" s="40">
        <v>1.15E-8</v>
      </c>
      <c r="Q851" s="40">
        <v>1.6799999999999999E-4</v>
      </c>
      <c r="R851" s="40">
        <v>2.46E-2</v>
      </c>
      <c r="S851" s="40">
        <v>4.2800000000000001E-9</v>
      </c>
      <c r="T851" s="40">
        <v>8.1000000000000004E-6</v>
      </c>
      <c r="U851" s="40">
        <v>7.2100000000000004E-5</v>
      </c>
      <c r="V851" s="40">
        <v>1.38E-5</v>
      </c>
      <c r="W851" s="40">
        <v>6.0899999999999999E-3</v>
      </c>
      <c r="X851" s="40">
        <v>1.21E-4</v>
      </c>
      <c r="Y851" s="40">
        <v>0.40300000000000002</v>
      </c>
      <c r="Z851" s="40">
        <v>2.1699999999999999E-5</v>
      </c>
      <c r="AA851" s="40"/>
      <c r="AB851" s="40"/>
      <c r="AC851" s="40"/>
      <c r="AD851" s="40"/>
      <c r="AE851" s="40"/>
      <c r="AF851" s="40"/>
      <c r="AG851" s="40"/>
      <c r="AH851" s="40"/>
      <c r="AI851" s="40"/>
      <c r="AJ851" s="40"/>
      <c r="AK851" s="40"/>
      <c r="AL851" s="40"/>
      <c r="AM851" s="40"/>
      <c r="AN851" s="40"/>
      <c r="AO851" s="40"/>
      <c r="AP851" s="40"/>
      <c r="AQ851" s="40"/>
      <c r="AR851" s="40"/>
      <c r="AS851" s="40"/>
      <c r="AT851" s="40"/>
      <c r="AU851" s="40"/>
      <c r="AV851" s="317">
        <v>2.7299999999999998E-3</v>
      </c>
      <c r="AW851" s="317"/>
      <c r="AX851" s="317"/>
      <c r="AY851" s="313">
        <v>0.375</v>
      </c>
      <c r="AZ851" s="40"/>
      <c r="BA851" s="40"/>
      <c r="BB851" s="40"/>
      <c r="BC851" s="40">
        <v>3.54E-5</v>
      </c>
      <c r="BD851" s="40">
        <v>2.5900000000000002E-6</v>
      </c>
      <c r="BE851" s="40">
        <v>6.29E-4</v>
      </c>
      <c r="BF851" s="40"/>
      <c r="BG851" s="40"/>
      <c r="BH851" s="40"/>
      <c r="BI851" s="40"/>
      <c r="BJ851" s="40"/>
      <c r="BK851" s="40"/>
      <c r="BL851" s="62">
        <v>0</v>
      </c>
      <c r="BM851" s="275">
        <v>3</v>
      </c>
      <c r="BN851" s="62">
        <v>0</v>
      </c>
      <c r="BO851" s="33" t="s">
        <v>558</v>
      </c>
    </row>
    <row r="852" spans="1:67">
      <c r="A852" s="33" t="str">
        <f>Database_Productkaarten[[#This Row],[Product]]&amp;", "&amp;Database_Productkaarten[[#This Row],[Levensfase]]</f>
        <v>Lengtemarkeringen, Koudplastisch, B1</v>
      </c>
      <c r="B852" t="s">
        <v>559</v>
      </c>
      <c r="C852" s="33" t="s">
        <v>556</v>
      </c>
      <c r="D852" s="33" t="s">
        <v>557</v>
      </c>
      <c r="E852" s="33" t="s">
        <v>389</v>
      </c>
      <c r="F852" s="33" t="s">
        <v>80</v>
      </c>
      <c r="G852" s="33">
        <v>1</v>
      </c>
      <c r="H852" s="33">
        <v>0.2</v>
      </c>
      <c r="I852" s="33">
        <v>3.0000000000000001E-3</v>
      </c>
      <c r="M852" s="308">
        <v>5.0000000000000001E-3</v>
      </c>
      <c r="N852" s="41"/>
      <c r="O852" s="33">
        <v>7</v>
      </c>
      <c r="P852" s="40">
        <v>0</v>
      </c>
      <c r="Q852" s="40">
        <v>0</v>
      </c>
      <c r="R852" s="40">
        <v>0</v>
      </c>
      <c r="S852" s="40">
        <v>0</v>
      </c>
      <c r="T852" s="40">
        <v>0</v>
      </c>
      <c r="U852" s="40">
        <v>0</v>
      </c>
      <c r="V852" s="40">
        <v>0</v>
      </c>
      <c r="W852" s="40">
        <v>0</v>
      </c>
      <c r="X852" s="40">
        <v>0</v>
      </c>
      <c r="Y852" s="40">
        <v>0</v>
      </c>
      <c r="Z852" s="40">
        <v>0</v>
      </c>
      <c r="AA852" s="40"/>
      <c r="AB852" s="40"/>
      <c r="AC852" s="40"/>
      <c r="AD852" s="40"/>
      <c r="AE852" s="40"/>
      <c r="AF852" s="40"/>
      <c r="AG852" s="40"/>
      <c r="AH852" s="40"/>
      <c r="AI852" s="40"/>
      <c r="AJ852" s="40"/>
      <c r="AK852" s="40"/>
      <c r="AL852" s="40"/>
      <c r="AM852" s="40"/>
      <c r="AN852" s="40"/>
      <c r="AO852" s="40"/>
      <c r="AP852" s="40"/>
      <c r="AQ852" s="40"/>
      <c r="AR852" s="40"/>
      <c r="AS852" s="40"/>
      <c r="AT852" s="40"/>
      <c r="AU852" s="40"/>
      <c r="AV852" s="317">
        <v>0</v>
      </c>
      <c r="AW852" s="317"/>
      <c r="AX852" s="317"/>
      <c r="AY852" s="313">
        <v>0</v>
      </c>
      <c r="AZ852" s="40"/>
      <c r="BA852" s="40"/>
      <c r="BB852" s="40"/>
      <c r="BC852" s="40">
        <v>0</v>
      </c>
      <c r="BD852" s="40">
        <v>0</v>
      </c>
      <c r="BE852" s="40">
        <v>0</v>
      </c>
      <c r="BF852" s="40"/>
      <c r="BG852" s="40"/>
      <c r="BH852" s="40"/>
      <c r="BI852" s="40"/>
      <c r="BJ852" s="40"/>
      <c r="BK852" s="40"/>
      <c r="BL852" s="62">
        <v>0</v>
      </c>
      <c r="BM852" s="275">
        <v>3</v>
      </c>
      <c r="BN852" s="62">
        <v>0</v>
      </c>
      <c r="BO852" s="33" t="s">
        <v>558</v>
      </c>
    </row>
    <row r="853" spans="1:67">
      <c r="A853" s="33" t="str">
        <f>Database_Productkaarten[[#This Row],[Product]]&amp;", "&amp;Database_Productkaarten[[#This Row],[Levensfase]]</f>
        <v>Lengtemarkeringen, Koudplastisch, C1</v>
      </c>
      <c r="B853" t="s">
        <v>559</v>
      </c>
      <c r="C853" s="33" t="s">
        <v>556</v>
      </c>
      <c r="D853" s="33" t="s">
        <v>557</v>
      </c>
      <c r="E853" s="33" t="s">
        <v>389</v>
      </c>
      <c r="F853" s="33" t="s">
        <v>83</v>
      </c>
      <c r="G853" s="33">
        <v>1</v>
      </c>
      <c r="H853" s="33">
        <v>0.2</v>
      </c>
      <c r="I853" s="33">
        <v>3.0000000000000001E-3</v>
      </c>
      <c r="M853" s="308">
        <v>5.0000000000000001E-3</v>
      </c>
      <c r="N853" s="41">
        <v>3.1900000000000001E-3</v>
      </c>
      <c r="O853" s="33">
        <v>7</v>
      </c>
      <c r="P853" s="40">
        <v>1.6099999999999999E-8</v>
      </c>
      <c r="Q853" s="40">
        <v>2.3499999999999999E-4</v>
      </c>
      <c r="R853" s="40">
        <v>3.44E-2</v>
      </c>
      <c r="S853" s="40">
        <v>5.9900000000000002E-9</v>
      </c>
      <c r="T853" s="40">
        <v>1.13E-5</v>
      </c>
      <c r="U853" s="40">
        <v>1.01E-4</v>
      </c>
      <c r="V853" s="40">
        <v>1.9300000000000002E-5</v>
      </c>
      <c r="W853" s="40">
        <v>8.5199999999999998E-3</v>
      </c>
      <c r="X853" s="40">
        <v>1.6899999999999999E-4</v>
      </c>
      <c r="Y853" s="40">
        <v>0.56399999999999995</v>
      </c>
      <c r="Z853" s="40">
        <v>3.0300000000000001E-5</v>
      </c>
      <c r="AA853" s="40"/>
      <c r="AB853" s="40"/>
      <c r="AC853" s="40"/>
      <c r="AD853" s="40"/>
      <c r="AE853" s="40"/>
      <c r="AF853" s="40"/>
      <c r="AG853" s="40"/>
      <c r="AH853" s="40"/>
      <c r="AI853" s="40"/>
      <c r="AJ853" s="40"/>
      <c r="AK853" s="40"/>
      <c r="AL853" s="40"/>
      <c r="AM853" s="40"/>
      <c r="AN853" s="40"/>
      <c r="AO853" s="40"/>
      <c r="AP853" s="40"/>
      <c r="AQ853" s="40"/>
      <c r="AR853" s="40"/>
      <c r="AS853" s="40"/>
      <c r="AT853" s="40"/>
      <c r="AU853" s="40"/>
      <c r="AV853" s="317">
        <v>3.8300000000000001E-3</v>
      </c>
      <c r="AW853" s="317"/>
      <c r="AX853" s="317"/>
      <c r="AY853" s="313">
        <v>0.52500000000000002</v>
      </c>
      <c r="AZ853" s="40"/>
      <c r="BA853" s="40"/>
      <c r="BB853" s="40"/>
      <c r="BC853" s="40">
        <v>4.9599999999999999E-5</v>
      </c>
      <c r="BD853" s="40">
        <v>3.6200000000000001E-6</v>
      </c>
      <c r="BE853" s="40">
        <v>8.8000000000000003E-4</v>
      </c>
      <c r="BF853" s="40"/>
      <c r="BG853" s="40"/>
      <c r="BH853" s="40"/>
      <c r="BI853" s="40"/>
      <c r="BJ853" s="40"/>
      <c r="BK853" s="40"/>
      <c r="BL853" s="62">
        <v>0</v>
      </c>
      <c r="BM853" s="275">
        <v>3</v>
      </c>
      <c r="BN853" s="62">
        <v>0</v>
      </c>
      <c r="BO853" s="33" t="s">
        <v>558</v>
      </c>
    </row>
    <row r="854" spans="1:67">
      <c r="A854" s="33" t="str">
        <f>Database_Productkaarten[[#This Row],[Product]]&amp;", "&amp;Database_Productkaarten[[#This Row],[Levensfase]]</f>
        <v>Lengtemarkeringen, Koudplastisch, C2</v>
      </c>
      <c r="B854" t="s">
        <v>559</v>
      </c>
      <c r="C854" s="33" t="s">
        <v>556</v>
      </c>
      <c r="D854" s="33" t="s">
        <v>557</v>
      </c>
      <c r="E854" s="33" t="s">
        <v>389</v>
      </c>
      <c r="F854" s="33" t="s">
        <v>84</v>
      </c>
      <c r="G854" s="33">
        <v>1</v>
      </c>
      <c r="H854" s="33">
        <v>0.2</v>
      </c>
      <c r="I854" s="33">
        <v>3.0000000000000001E-3</v>
      </c>
      <c r="M854" s="308">
        <v>5.0000000000000001E-3</v>
      </c>
      <c r="N854" s="41">
        <v>1.4E-3</v>
      </c>
      <c r="O854" s="33">
        <v>7</v>
      </c>
      <c r="P854" s="40">
        <v>2.4599999999999999E-8</v>
      </c>
      <c r="Q854" s="40">
        <v>9.7E-5</v>
      </c>
      <c r="R854" s="40">
        <v>1.2800000000000001E-2</v>
      </c>
      <c r="S854" s="40">
        <v>2.5500000000000001E-9</v>
      </c>
      <c r="T854" s="40">
        <v>8.0900000000000005E-6</v>
      </c>
      <c r="U854" s="40">
        <v>4.6699999999999997E-5</v>
      </c>
      <c r="V854" s="40">
        <v>9.5200000000000003E-6</v>
      </c>
      <c r="W854" s="40">
        <v>4.5100000000000001E-3</v>
      </c>
      <c r="X854" s="40">
        <v>2.9100000000000003E-4</v>
      </c>
      <c r="Y854" s="40">
        <v>0.76100000000000001</v>
      </c>
      <c r="Z854" s="40">
        <v>2.6699999999999998E-5</v>
      </c>
      <c r="AA854" s="40"/>
      <c r="AB854" s="40"/>
      <c r="AC854" s="40"/>
      <c r="AD854" s="40"/>
      <c r="AE854" s="40"/>
      <c r="AF854" s="40"/>
      <c r="AG854" s="40"/>
      <c r="AH854" s="40"/>
      <c r="AI854" s="40"/>
      <c r="AJ854" s="40"/>
      <c r="AK854" s="40"/>
      <c r="AL854" s="40"/>
      <c r="AM854" s="40"/>
      <c r="AN854" s="40"/>
      <c r="AO854" s="40"/>
      <c r="AP854" s="40"/>
      <c r="AQ854" s="40"/>
      <c r="AR854" s="40"/>
      <c r="AS854" s="40"/>
      <c r="AT854" s="40"/>
      <c r="AU854" s="40"/>
      <c r="AV854" s="317">
        <v>3.46E-3</v>
      </c>
      <c r="AW854" s="317"/>
      <c r="AX854" s="317"/>
      <c r="AY854" s="313">
        <v>0.221</v>
      </c>
      <c r="AZ854" s="40"/>
      <c r="BA854" s="40"/>
      <c r="BB854" s="40"/>
      <c r="BC854" s="40">
        <v>4.5000000000000003E-5</v>
      </c>
      <c r="BD854" s="40">
        <v>1.57E-6</v>
      </c>
      <c r="BE854" s="40">
        <v>1.83E-2</v>
      </c>
      <c r="BF854" s="40"/>
      <c r="BG854" s="40"/>
      <c r="BH854" s="40"/>
      <c r="BI854" s="40"/>
      <c r="BJ854" s="40"/>
      <c r="BK854" s="40"/>
      <c r="BL854" s="62">
        <v>0</v>
      </c>
      <c r="BM854" s="275">
        <v>3</v>
      </c>
      <c r="BN854" s="62">
        <v>0</v>
      </c>
      <c r="BO854" s="33" t="s">
        <v>558</v>
      </c>
    </row>
    <row r="855" spans="1:67">
      <c r="A855" s="33" t="str">
        <f>Database_Productkaarten[[#This Row],[Product]]&amp;", "&amp;Database_Productkaarten[[#This Row],[Levensfase]]</f>
        <v>Lengtemarkeringen, Koudplastisch, C3</v>
      </c>
      <c r="B855" t="s">
        <v>559</v>
      </c>
      <c r="C855" s="33" t="s">
        <v>556</v>
      </c>
      <c r="D855" s="33" t="s">
        <v>557</v>
      </c>
      <c r="E855" s="33" t="s">
        <v>389</v>
      </c>
      <c r="F855" s="33" t="s">
        <v>85</v>
      </c>
      <c r="G855" s="33">
        <v>1</v>
      </c>
      <c r="H855" s="33">
        <v>0.2</v>
      </c>
      <c r="I855" s="33">
        <v>3.0000000000000001E-3</v>
      </c>
      <c r="M855" s="308">
        <v>5.0000000000000001E-3</v>
      </c>
      <c r="N855" s="41">
        <v>0.12471</v>
      </c>
      <c r="O855" s="33">
        <v>7</v>
      </c>
      <c r="P855" s="40">
        <v>2.7400000000000001E-8</v>
      </c>
      <c r="Q855" s="40">
        <v>1.11E-4</v>
      </c>
      <c r="R855" s="40">
        <v>2.27</v>
      </c>
      <c r="S855" s="40">
        <v>2.0000000000000001E-9</v>
      </c>
      <c r="T855" s="40">
        <v>8.32E-6</v>
      </c>
      <c r="U855" s="40">
        <v>1.45E-4</v>
      </c>
      <c r="V855" s="40">
        <v>6.4200000000000002E-5</v>
      </c>
      <c r="W855" s="40">
        <v>7.7899999999999997E-2</v>
      </c>
      <c r="X855" s="40">
        <v>6.7999999999999996E-3</v>
      </c>
      <c r="Y855" s="40">
        <v>25.8</v>
      </c>
      <c r="Z855" s="40">
        <v>6.0800000000000003E-4</v>
      </c>
      <c r="AA855" s="40"/>
      <c r="AB855" s="40"/>
      <c r="AC855" s="40"/>
      <c r="AD855" s="40"/>
      <c r="AE855" s="40"/>
      <c r="AF855" s="40"/>
      <c r="AG855" s="40"/>
      <c r="AH855" s="40"/>
      <c r="AI855" s="40"/>
      <c r="AJ855" s="40"/>
      <c r="AK855" s="40"/>
      <c r="AL855" s="40"/>
      <c r="AM855" s="40"/>
      <c r="AN855" s="40"/>
      <c r="AO855" s="40"/>
      <c r="AP855" s="40"/>
      <c r="AQ855" s="40"/>
      <c r="AR855" s="40"/>
      <c r="AS855" s="40"/>
      <c r="AT855" s="40"/>
      <c r="AU855" s="40"/>
      <c r="AV855" s="317">
        <v>5.2900000000000004E-3</v>
      </c>
      <c r="AW855" s="317"/>
      <c r="AX855" s="317"/>
      <c r="AY855" s="313">
        <v>0.23400000000000001</v>
      </c>
      <c r="AZ855" s="40"/>
      <c r="BA855" s="40"/>
      <c r="BB855" s="40"/>
      <c r="BC855" s="40">
        <v>6.1399999999999996E-4</v>
      </c>
      <c r="BD855" s="40">
        <v>3.7400000000000002E-6</v>
      </c>
      <c r="BE855" s="40">
        <v>5.7299999999999997E-2</v>
      </c>
      <c r="BF855" s="40"/>
      <c r="BG855" s="40"/>
      <c r="BH855" s="40"/>
      <c r="BI855" s="40"/>
      <c r="BJ855" s="40"/>
      <c r="BK855" s="40"/>
      <c r="BL855" s="62">
        <v>0</v>
      </c>
      <c r="BM855" s="275">
        <v>3</v>
      </c>
      <c r="BN855" s="62">
        <v>0</v>
      </c>
      <c r="BO855" s="33" t="s">
        <v>558</v>
      </c>
    </row>
    <row r="856" spans="1:67">
      <c r="A856" s="33" t="str">
        <f>Database_Productkaarten[[#This Row],[Product]]&amp;", "&amp;Database_Productkaarten[[#This Row],[Levensfase]]</f>
        <v>Lengtemarkeringen, Koudplastisch, C4</v>
      </c>
      <c r="B856" t="s">
        <v>559</v>
      </c>
      <c r="C856" s="33" t="s">
        <v>556</v>
      </c>
      <c r="D856" s="33" t="s">
        <v>557</v>
      </c>
      <c r="E856" s="33" t="s">
        <v>389</v>
      </c>
      <c r="F856" s="33" t="s">
        <v>86</v>
      </c>
      <c r="G856" s="33">
        <v>1</v>
      </c>
      <c r="H856" s="33">
        <v>0.2</v>
      </c>
      <c r="I856" s="33">
        <v>3.0000000000000001E-3</v>
      </c>
      <c r="M856" s="308">
        <v>5.0000000000000001E-3</v>
      </c>
      <c r="N856" s="41">
        <v>3.8000000000000002E-4</v>
      </c>
      <c r="O856" s="33">
        <v>7</v>
      </c>
      <c r="P856" s="40">
        <v>7.0199999999999995E-10</v>
      </c>
      <c r="Q856" s="40">
        <v>6.5899999999999996E-6</v>
      </c>
      <c r="R856" s="40">
        <v>5.4999999999999997E-3</v>
      </c>
      <c r="S856" s="40">
        <v>1.4399999999999999E-10</v>
      </c>
      <c r="T856" s="40">
        <v>1.3200000000000001E-6</v>
      </c>
      <c r="U856" s="40">
        <v>3.72E-6</v>
      </c>
      <c r="V856" s="40">
        <v>1.84E-6</v>
      </c>
      <c r="W856" s="40">
        <v>4.1199999999999999E-4</v>
      </c>
      <c r="X856" s="40">
        <v>2.61E-4</v>
      </c>
      <c r="Y856" s="40">
        <v>0.27200000000000002</v>
      </c>
      <c r="Z856" s="40">
        <v>1.0300000000000001E-6</v>
      </c>
      <c r="AA856" s="40"/>
      <c r="AB856" s="40"/>
      <c r="AC856" s="40"/>
      <c r="AD856" s="40"/>
      <c r="AE856" s="40"/>
      <c r="AF856" s="40"/>
      <c r="AG856" s="40"/>
      <c r="AH856" s="40"/>
      <c r="AI856" s="40"/>
      <c r="AJ856" s="40"/>
      <c r="AK856" s="40"/>
      <c r="AL856" s="40"/>
      <c r="AM856" s="40"/>
      <c r="AN856" s="40"/>
      <c r="AO856" s="40"/>
      <c r="AP856" s="40"/>
      <c r="AQ856" s="40"/>
      <c r="AR856" s="40"/>
      <c r="AS856" s="40"/>
      <c r="AT856" s="40"/>
      <c r="AU856" s="40"/>
      <c r="AV856" s="317">
        <v>2.2800000000000001E-4</v>
      </c>
      <c r="AW856" s="317"/>
      <c r="AX856" s="317"/>
      <c r="AY856" s="313">
        <v>1.46E-2</v>
      </c>
      <c r="AZ856" s="40"/>
      <c r="BA856" s="40"/>
      <c r="BB856" s="40"/>
      <c r="BC856" s="40">
        <v>1.36E-5</v>
      </c>
      <c r="BD856" s="40">
        <v>9.2900000000000005E-8</v>
      </c>
      <c r="BE856" s="40">
        <v>5.0099999999999999E-2</v>
      </c>
      <c r="BF856" s="40"/>
      <c r="BG856" s="40"/>
      <c r="BH856" s="40"/>
      <c r="BI856" s="40"/>
      <c r="BJ856" s="40"/>
      <c r="BK856" s="40"/>
      <c r="BL856" s="62">
        <v>0</v>
      </c>
      <c r="BM856" s="275">
        <v>3</v>
      </c>
      <c r="BN856" s="62">
        <v>0</v>
      </c>
      <c r="BO856" s="33" t="s">
        <v>558</v>
      </c>
    </row>
    <row r="857" spans="1:67">
      <c r="A857" s="33" t="str">
        <f>Database_Productkaarten[[#This Row],[Product]]&amp;", "&amp;Database_Productkaarten[[#This Row],[Levensfase]]</f>
        <v>Lengtemarkeringen, Koudplastisch, D</v>
      </c>
      <c r="B857" t="s">
        <v>559</v>
      </c>
      <c r="C857" s="33" t="s">
        <v>556</v>
      </c>
      <c r="D857" s="33" t="s">
        <v>557</v>
      </c>
      <c r="E857" s="33" t="s">
        <v>389</v>
      </c>
      <c r="F857" s="33" t="s">
        <v>89</v>
      </c>
      <c r="G857" s="33">
        <v>1</v>
      </c>
      <c r="H857" s="33">
        <v>0.2</v>
      </c>
      <c r="I857" s="33">
        <v>3.0000000000000001E-3</v>
      </c>
      <c r="M857" s="308">
        <v>5.0000000000000001E-3</v>
      </c>
      <c r="N857" s="41">
        <v>0</v>
      </c>
      <c r="O857" s="33">
        <v>7</v>
      </c>
      <c r="P857" s="40">
        <v>0</v>
      </c>
      <c r="Q857" s="40">
        <v>0</v>
      </c>
      <c r="R857" s="40">
        <v>0</v>
      </c>
      <c r="S857" s="40">
        <v>0</v>
      </c>
      <c r="T857" s="40">
        <v>0</v>
      </c>
      <c r="U857" s="40">
        <v>0</v>
      </c>
      <c r="V857" s="40">
        <v>0</v>
      </c>
      <c r="W857" s="40">
        <v>0</v>
      </c>
      <c r="X857" s="40">
        <v>0</v>
      </c>
      <c r="Y857" s="40">
        <v>0</v>
      </c>
      <c r="Z857" s="40">
        <v>0</v>
      </c>
      <c r="AA857" s="40"/>
      <c r="AB857" s="40"/>
      <c r="AC857" s="40"/>
      <c r="AD857" s="40"/>
      <c r="AE857" s="40"/>
      <c r="AF857" s="40"/>
      <c r="AG857" s="40"/>
      <c r="AH857" s="40"/>
      <c r="AI857" s="40"/>
      <c r="AJ857" s="40"/>
      <c r="AK857" s="40"/>
      <c r="AL857" s="40"/>
      <c r="AM857" s="40"/>
      <c r="AN857" s="40"/>
      <c r="AO857" s="40"/>
      <c r="AP857" s="40"/>
      <c r="AQ857" s="40"/>
      <c r="AR857" s="40"/>
      <c r="AS857" s="40"/>
      <c r="AT857" s="40"/>
      <c r="AU857" s="40"/>
      <c r="AV857" s="317">
        <v>0</v>
      </c>
      <c r="AW857" s="317"/>
      <c r="AX857" s="317"/>
      <c r="AY857" s="313">
        <v>0</v>
      </c>
      <c r="AZ857" s="40"/>
      <c r="BA857" s="40"/>
      <c r="BB857" s="40"/>
      <c r="BC857" s="40">
        <v>0</v>
      </c>
      <c r="BD857" s="40">
        <v>0</v>
      </c>
      <c r="BE857" s="40">
        <v>0</v>
      </c>
      <c r="BF857" s="40"/>
      <c r="BG857" s="40"/>
      <c r="BH857" s="40"/>
      <c r="BI857" s="40"/>
      <c r="BJ857" s="40"/>
      <c r="BK857" s="40"/>
      <c r="BL857" s="62">
        <v>0</v>
      </c>
      <c r="BM857" s="275">
        <v>3</v>
      </c>
      <c r="BN857" s="62">
        <v>0</v>
      </c>
      <c r="BO857" s="33" t="s">
        <v>558</v>
      </c>
    </row>
    <row r="858" spans="1:67">
      <c r="A858" s="33" t="str">
        <f>Database_Productkaarten[[#This Row],[Product]]&amp;", "&amp;Database_Productkaarten[[#This Row],[Levensfase]]</f>
        <v>Lengtemarkeringen, Koudplastisch, D1</v>
      </c>
      <c r="B858" t="s">
        <v>559</v>
      </c>
      <c r="C858" s="33" t="s">
        <v>556</v>
      </c>
      <c r="D858" s="33" t="s">
        <v>557</v>
      </c>
      <c r="E858" s="33" t="s">
        <v>389</v>
      </c>
      <c r="F858" s="33" t="s">
        <v>87</v>
      </c>
      <c r="G858" s="33">
        <v>1</v>
      </c>
      <c r="H858" s="33">
        <v>0.2</v>
      </c>
      <c r="I858" s="33">
        <v>3.0000000000000001E-3</v>
      </c>
      <c r="M858" s="308">
        <v>5.0000000000000001E-3</v>
      </c>
      <c r="N858" s="41"/>
      <c r="O858" s="33">
        <v>7</v>
      </c>
      <c r="P858" s="40"/>
      <c r="Q858" s="40"/>
      <c r="R858" s="40"/>
      <c r="S858" s="40"/>
      <c r="T858" s="40"/>
      <c r="U858" s="40"/>
      <c r="V858" s="40"/>
      <c r="W858" s="40"/>
      <c r="X858" s="40"/>
      <c r="Y858" s="40"/>
      <c r="Z858" s="40"/>
      <c r="AA858" s="40"/>
      <c r="AB858" s="40"/>
      <c r="AC858" s="40"/>
      <c r="AD858" s="40"/>
      <c r="AE858" s="40"/>
      <c r="AF858" s="40"/>
      <c r="AG858" s="40"/>
      <c r="AH858" s="40"/>
      <c r="AI858" s="40"/>
      <c r="AJ858" s="40"/>
      <c r="AK858" s="40"/>
      <c r="AL858" s="40"/>
      <c r="AM858" s="40"/>
      <c r="AN858" s="40"/>
      <c r="AO858" s="40"/>
      <c r="AP858" s="40"/>
      <c r="AQ858" s="40"/>
      <c r="AR858" s="40"/>
      <c r="AS858" s="40"/>
      <c r="AT858" s="40"/>
      <c r="AU858" s="40"/>
      <c r="AV858" s="316"/>
      <c r="AW858" s="317"/>
      <c r="AX858" s="317"/>
      <c r="AY858" s="316"/>
      <c r="AZ858" s="40"/>
      <c r="BA858" s="40"/>
      <c r="BB858" s="40"/>
      <c r="BC858" s="40"/>
      <c r="BD858" s="40"/>
      <c r="BE858" s="40"/>
      <c r="BF858" s="40"/>
      <c r="BG858" s="40"/>
      <c r="BH858" s="40"/>
      <c r="BI858" s="40"/>
      <c r="BJ858" s="40"/>
      <c r="BK858" s="40"/>
      <c r="BL858" s="62">
        <v>0</v>
      </c>
      <c r="BM858" s="275">
        <v>3</v>
      </c>
      <c r="BN858" s="62">
        <v>0</v>
      </c>
      <c r="BO858" s="33" t="s">
        <v>558</v>
      </c>
    </row>
    <row r="859" spans="1:67">
      <c r="A859" s="33" t="str">
        <f>Database_Productkaarten[[#This Row],[Product]]&amp;", "&amp;Database_Productkaarten[[#This Row],[Levensfase]]</f>
        <v>Lengtemarkeringen, Koudplastisch, D2</v>
      </c>
      <c r="B859" t="s">
        <v>559</v>
      </c>
      <c r="C859" s="33" t="s">
        <v>556</v>
      </c>
      <c r="D859" s="33" t="s">
        <v>557</v>
      </c>
      <c r="E859" s="33" t="s">
        <v>389</v>
      </c>
      <c r="F859" s="33" t="s">
        <v>88</v>
      </c>
      <c r="G859" s="33">
        <v>1</v>
      </c>
      <c r="H859" s="33">
        <v>0.2</v>
      </c>
      <c r="I859" s="33">
        <v>3.0000000000000001E-3</v>
      </c>
      <c r="M859" s="308">
        <v>5.0000000000000001E-3</v>
      </c>
      <c r="N859" s="41"/>
      <c r="O859" s="33">
        <v>7</v>
      </c>
      <c r="P859" s="40"/>
      <c r="Q859" s="40"/>
      <c r="R859" s="40"/>
      <c r="S859" s="40"/>
      <c r="T859" s="40"/>
      <c r="U859" s="40"/>
      <c r="V859" s="40"/>
      <c r="W859" s="40"/>
      <c r="X859" s="40"/>
      <c r="Y859" s="40"/>
      <c r="Z859" s="40"/>
      <c r="AA859" s="40"/>
      <c r="AB859" s="40"/>
      <c r="AC859" s="40"/>
      <c r="AD859" s="40"/>
      <c r="AE859" s="40"/>
      <c r="AF859" s="40"/>
      <c r="AG859" s="40"/>
      <c r="AH859" s="40"/>
      <c r="AI859" s="40"/>
      <c r="AJ859" s="40"/>
      <c r="AK859" s="40"/>
      <c r="AL859" s="40"/>
      <c r="AM859" s="40"/>
      <c r="AN859" s="40"/>
      <c r="AO859" s="40"/>
      <c r="AP859" s="40"/>
      <c r="AQ859" s="40"/>
      <c r="AR859" s="40"/>
      <c r="AS859" s="40"/>
      <c r="AT859" s="40"/>
      <c r="AU859" s="40"/>
      <c r="AV859" s="316"/>
      <c r="AW859" s="317"/>
      <c r="AX859" s="317"/>
      <c r="AY859" s="316"/>
      <c r="AZ859" s="40"/>
      <c r="BA859" s="40"/>
      <c r="BB859" s="40"/>
      <c r="BC859" s="40"/>
      <c r="BD859" s="40"/>
      <c r="BE859" s="40"/>
      <c r="BF859" s="40"/>
      <c r="BG859" s="40"/>
      <c r="BH859" s="40"/>
      <c r="BI859" s="40"/>
      <c r="BJ859" s="40"/>
      <c r="BK859" s="40"/>
      <c r="BL859" s="62">
        <v>0</v>
      </c>
      <c r="BM859" s="275">
        <v>3</v>
      </c>
      <c r="BN859" s="62">
        <v>0</v>
      </c>
      <c r="BO859" s="33" t="s">
        <v>558</v>
      </c>
    </row>
    <row r="860" spans="1:67">
      <c r="A860" s="33" t="str">
        <f>Database_Productkaarten[[#This Row],[Product]]&amp;", "&amp;Database_Productkaarten[[#This Row],[Levensfase]]</f>
        <v>Lengtemarkeringen, Wegenverf, Totaal</v>
      </c>
      <c r="B860" t="s">
        <v>560</v>
      </c>
      <c r="C860" s="33" t="s">
        <v>556</v>
      </c>
      <c r="D860" s="33" t="s">
        <v>557</v>
      </c>
      <c r="E860" s="33" t="s">
        <v>389</v>
      </c>
      <c r="F860" s="33" t="s">
        <v>90</v>
      </c>
      <c r="G860" s="33">
        <v>1</v>
      </c>
      <c r="H860" s="33">
        <v>0.2</v>
      </c>
      <c r="I860" s="33">
        <v>7.0000000000000007E-2</v>
      </c>
      <c r="M860" s="309">
        <v>1.2E-4</v>
      </c>
      <c r="N860" s="41">
        <v>0.1086</v>
      </c>
      <c r="O860" s="33">
        <v>1</v>
      </c>
      <c r="P860" s="163">
        <v>1.61E-6</v>
      </c>
      <c r="Q860" s="163">
        <v>3.1199999999999999E-3</v>
      </c>
      <c r="R860" s="163">
        <v>0.72099999999999997</v>
      </c>
      <c r="S860" s="163">
        <v>5.0799999999999998E-8</v>
      </c>
      <c r="T860" s="163">
        <v>1.2500000000000001E-2</v>
      </c>
      <c r="U860" s="163">
        <v>3.48E-3</v>
      </c>
      <c r="V860" s="163">
        <v>4.7699999999999999E-4</v>
      </c>
      <c r="W860" s="163">
        <v>0.23499999999999999</v>
      </c>
      <c r="X860" s="163">
        <v>9.0300000000000005E-2</v>
      </c>
      <c r="Y860" s="163">
        <v>38</v>
      </c>
      <c r="Z860" s="163">
        <v>1.8499999999999999E-2</v>
      </c>
      <c r="AA860" s="40"/>
      <c r="AB860" s="40"/>
      <c r="AC860" s="40"/>
      <c r="AD860" s="40"/>
      <c r="AE860" s="40"/>
      <c r="AF860" s="40"/>
      <c r="AG860" s="40"/>
      <c r="AH860" s="40"/>
      <c r="AI860" s="40"/>
      <c r="AJ860" s="40"/>
      <c r="AK860" s="40"/>
      <c r="AL860" s="40"/>
      <c r="AM860" s="40"/>
      <c r="AN860" s="40"/>
      <c r="AO860" s="40"/>
      <c r="AP860" s="40"/>
      <c r="AQ860" s="40"/>
      <c r="AR860" s="40"/>
      <c r="AS860" s="40"/>
      <c r="AT860" s="40"/>
      <c r="AU860" s="40"/>
      <c r="AV860" s="315">
        <v>2.4300000000000002</v>
      </c>
      <c r="AW860" s="317"/>
      <c r="AX860" s="317"/>
      <c r="AY860" s="313">
        <v>6.9</v>
      </c>
      <c r="AZ860" s="40"/>
      <c r="BA860" s="40"/>
      <c r="BB860" s="40"/>
      <c r="BC860" s="40">
        <v>9.7300000000000008E-3</v>
      </c>
      <c r="BD860" s="163">
        <v>3.1300000000000002E-5</v>
      </c>
      <c r="BE860" s="163">
        <v>0.153</v>
      </c>
      <c r="BF860" s="40"/>
      <c r="BG860" s="40"/>
      <c r="BH860" s="40"/>
      <c r="BI860" s="40"/>
      <c r="BJ860" s="40"/>
      <c r="BK860" s="40"/>
      <c r="BL860" s="62">
        <v>0</v>
      </c>
      <c r="BM860" s="275">
        <v>3</v>
      </c>
      <c r="BN860" s="62">
        <v>0</v>
      </c>
      <c r="BO860" s="33" t="s">
        <v>558</v>
      </c>
    </row>
    <row r="861" spans="1:67">
      <c r="A861" s="33" t="str">
        <f>Database_Productkaarten[[#This Row],[Product]]&amp;", "&amp;Database_Productkaarten[[#This Row],[Levensfase]]</f>
        <v>Lengtemarkeringen, Wegenverf, A1</v>
      </c>
      <c r="B861" t="s">
        <v>560</v>
      </c>
      <c r="C861" s="33" t="s">
        <v>556</v>
      </c>
      <c r="D861" s="33" t="s">
        <v>557</v>
      </c>
      <c r="E861" s="33" t="s">
        <v>389</v>
      </c>
      <c r="F861" s="33" t="s">
        <v>74</v>
      </c>
      <c r="G861" s="33">
        <v>1</v>
      </c>
      <c r="H861" s="33">
        <v>0.2</v>
      </c>
      <c r="I861" s="33">
        <v>7.0000000000000007E-2</v>
      </c>
      <c r="M861" s="309">
        <v>1.2E-4</v>
      </c>
      <c r="N861" s="41"/>
      <c r="O861" s="33">
        <v>1</v>
      </c>
      <c r="P861" s="40"/>
      <c r="Q861" s="40"/>
      <c r="R861" s="40"/>
      <c r="S861" s="40"/>
      <c r="T861" s="40"/>
      <c r="U861" s="40"/>
      <c r="V861" s="40"/>
      <c r="W861" s="40"/>
      <c r="X861" s="40"/>
      <c r="Y861" s="40"/>
      <c r="Z861" s="40"/>
      <c r="AA861" s="40"/>
      <c r="AB861" s="40"/>
      <c r="AC861" s="40"/>
      <c r="AD861" s="40"/>
      <c r="AE861" s="40"/>
      <c r="AF861" s="40"/>
      <c r="AG861" s="40"/>
      <c r="AH861" s="40"/>
      <c r="AI861" s="40"/>
      <c r="AJ861" s="40"/>
      <c r="AK861" s="40"/>
      <c r="AL861" s="40"/>
      <c r="AM861" s="40"/>
      <c r="AN861" s="40"/>
      <c r="AO861" s="40"/>
      <c r="AP861" s="40"/>
      <c r="AQ861" s="40"/>
      <c r="AR861" s="40"/>
      <c r="AS861" s="40"/>
      <c r="AT861" s="40"/>
      <c r="AU861" s="40"/>
      <c r="AV861" s="317"/>
      <c r="AW861" s="317"/>
      <c r="AX861" s="317"/>
      <c r="AY861" s="313"/>
      <c r="AZ861" s="40"/>
      <c r="BA861" s="40"/>
      <c r="BB861" s="40"/>
      <c r="BC861" s="40"/>
      <c r="BD861" s="40"/>
      <c r="BE861" s="40"/>
      <c r="BF861" s="40"/>
      <c r="BG861" s="40"/>
      <c r="BH861" s="40"/>
      <c r="BI861" s="40"/>
      <c r="BJ861" s="40"/>
      <c r="BK861" s="40"/>
      <c r="BL861" s="62">
        <v>0</v>
      </c>
      <c r="BM861" s="275">
        <v>3</v>
      </c>
      <c r="BN861" s="62">
        <v>0</v>
      </c>
      <c r="BO861" s="33" t="s">
        <v>558</v>
      </c>
    </row>
    <row r="862" spans="1:67">
      <c r="A862" s="33" t="str">
        <f>Database_Productkaarten[[#This Row],[Product]]&amp;", "&amp;Database_Productkaarten[[#This Row],[Levensfase]]</f>
        <v>Lengtemarkeringen, Wegenverf, A2</v>
      </c>
      <c r="B862" t="s">
        <v>560</v>
      </c>
      <c r="C862" s="33" t="s">
        <v>556</v>
      </c>
      <c r="D862" s="33" t="s">
        <v>557</v>
      </c>
      <c r="E862" s="33" t="s">
        <v>389</v>
      </c>
      <c r="F862" s="33" t="s">
        <v>75</v>
      </c>
      <c r="G862" s="33">
        <v>1</v>
      </c>
      <c r="H862" s="33">
        <v>0.2</v>
      </c>
      <c r="I862" s="33">
        <v>7.0000000000000007E-2</v>
      </c>
      <c r="M862" s="309">
        <v>1.2E-4</v>
      </c>
      <c r="N862" s="41"/>
      <c r="O862" s="33">
        <v>1</v>
      </c>
      <c r="P862" s="40"/>
      <c r="Q862" s="40"/>
      <c r="R862" s="40"/>
      <c r="S862" s="40"/>
      <c r="T862" s="40"/>
      <c r="U862" s="40"/>
      <c r="V862" s="40"/>
      <c r="W862" s="40"/>
      <c r="X862" s="40"/>
      <c r="Y862" s="40"/>
      <c r="Z862" s="40"/>
      <c r="AA862" s="40"/>
      <c r="AB862" s="40"/>
      <c r="AC862" s="40"/>
      <c r="AD862" s="40"/>
      <c r="AE862" s="40"/>
      <c r="AF862" s="40"/>
      <c r="AG862" s="40"/>
      <c r="AH862" s="40"/>
      <c r="AI862" s="40"/>
      <c r="AJ862" s="40"/>
      <c r="AK862" s="40"/>
      <c r="AL862" s="40"/>
      <c r="AM862" s="40"/>
      <c r="AN862" s="40"/>
      <c r="AO862" s="40"/>
      <c r="AP862" s="40"/>
      <c r="AQ862" s="40"/>
      <c r="AR862" s="40"/>
      <c r="AS862" s="40"/>
      <c r="AT862" s="40"/>
      <c r="AU862" s="40"/>
      <c r="AV862" s="317"/>
      <c r="AW862" s="317"/>
      <c r="AX862" s="317"/>
      <c r="AY862" s="313"/>
      <c r="AZ862" s="40"/>
      <c r="BA862" s="40"/>
      <c r="BB862" s="40"/>
      <c r="BC862" s="40"/>
      <c r="BD862" s="40"/>
      <c r="BE862" s="40"/>
      <c r="BF862" s="40"/>
      <c r="BG862" s="40"/>
      <c r="BH862" s="40"/>
      <c r="BI862" s="40"/>
      <c r="BJ862" s="40"/>
      <c r="BK862" s="40"/>
      <c r="BL862" s="62">
        <v>0</v>
      </c>
      <c r="BM862" s="275">
        <v>3</v>
      </c>
      <c r="BN862" s="62">
        <v>0</v>
      </c>
      <c r="BO862" s="33" t="s">
        <v>558</v>
      </c>
    </row>
    <row r="863" spans="1:67">
      <c r="A863" s="33" t="str">
        <f>Database_Productkaarten[[#This Row],[Product]]&amp;", "&amp;Database_Productkaarten[[#This Row],[Levensfase]]</f>
        <v>Lengtemarkeringen, Wegenverf, A3</v>
      </c>
      <c r="B863" t="s">
        <v>560</v>
      </c>
      <c r="C863" s="33" t="s">
        <v>556</v>
      </c>
      <c r="D863" s="33" t="s">
        <v>557</v>
      </c>
      <c r="E863" s="33" t="s">
        <v>389</v>
      </c>
      <c r="F863" s="33" t="s">
        <v>76</v>
      </c>
      <c r="G863" s="33">
        <v>1</v>
      </c>
      <c r="H863" s="33">
        <v>0.2</v>
      </c>
      <c r="I863" s="33">
        <v>7.0000000000000007E-2</v>
      </c>
      <c r="M863" s="309">
        <v>1.2E-4</v>
      </c>
      <c r="N863" s="41"/>
      <c r="O863" s="33">
        <v>1</v>
      </c>
      <c r="P863" s="40"/>
      <c r="Q863" s="40"/>
      <c r="R863" s="40"/>
      <c r="S863" s="40"/>
      <c r="T863" s="40"/>
      <c r="U863" s="40"/>
      <c r="V863" s="40"/>
      <c r="W863" s="40"/>
      <c r="X863" s="40"/>
      <c r="Y863" s="40"/>
      <c r="Z863" s="40"/>
      <c r="AA863" s="40"/>
      <c r="AB863" s="40"/>
      <c r="AC863" s="40"/>
      <c r="AD863" s="40"/>
      <c r="AE863" s="40"/>
      <c r="AF863" s="40"/>
      <c r="AG863" s="40"/>
      <c r="AH863" s="40"/>
      <c r="AI863" s="40"/>
      <c r="AJ863" s="40"/>
      <c r="AK863" s="40"/>
      <c r="AL863" s="40"/>
      <c r="AM863" s="40"/>
      <c r="AN863" s="40"/>
      <c r="AO863" s="40"/>
      <c r="AP863" s="40"/>
      <c r="AQ863" s="40"/>
      <c r="AR863" s="40"/>
      <c r="AS863" s="40"/>
      <c r="AT863" s="40"/>
      <c r="AU863" s="40"/>
      <c r="AV863" s="317"/>
      <c r="AW863" s="317"/>
      <c r="AX863" s="317"/>
      <c r="AY863" s="313"/>
      <c r="AZ863" s="40"/>
      <c r="BA863" s="40"/>
      <c r="BB863" s="40"/>
      <c r="BC863" s="40"/>
      <c r="BD863" s="40"/>
      <c r="BE863" s="40"/>
      <c r="BF863" s="40"/>
      <c r="BG863" s="40"/>
      <c r="BH863" s="40"/>
      <c r="BI863" s="40"/>
      <c r="BJ863" s="40"/>
      <c r="BK863" s="40"/>
      <c r="BL863" s="62">
        <v>0</v>
      </c>
      <c r="BM863" s="275">
        <v>3</v>
      </c>
      <c r="BN863" s="62">
        <v>0</v>
      </c>
      <c r="BO863" s="33" t="s">
        <v>558</v>
      </c>
    </row>
    <row r="864" spans="1:67">
      <c r="A864" s="33" t="str">
        <f>Database_Productkaarten[[#This Row],[Product]]&amp;", "&amp;Database_Productkaarten[[#This Row],[Levensfase]]</f>
        <v>Lengtemarkeringen, Wegenverf, A1-A3</v>
      </c>
      <c r="B864" t="s">
        <v>560</v>
      </c>
      <c r="C864" s="33" t="s">
        <v>556</v>
      </c>
      <c r="D864" s="33" t="s">
        <v>557</v>
      </c>
      <c r="E864" s="33" t="s">
        <v>389</v>
      </c>
      <c r="F864" s="33" t="s">
        <v>77</v>
      </c>
      <c r="G864" s="33">
        <v>1</v>
      </c>
      <c r="H864" s="33">
        <v>0.2</v>
      </c>
      <c r="I864" s="33">
        <v>7.0000000000000007E-2</v>
      </c>
      <c r="M864" s="309">
        <v>1.2E-4</v>
      </c>
      <c r="N864" s="41">
        <v>9.1939999999999994E-2</v>
      </c>
      <c r="O864" s="33">
        <v>1</v>
      </c>
      <c r="P864" s="163">
        <v>1.59E-6</v>
      </c>
      <c r="Q864" s="163">
        <v>2.99E-3</v>
      </c>
      <c r="R864" s="163">
        <v>0.432</v>
      </c>
      <c r="S864" s="163">
        <v>4.7699999999999997E-8</v>
      </c>
      <c r="T864" s="163">
        <v>1.2500000000000001E-2</v>
      </c>
      <c r="U864" s="163">
        <v>3.4099999999999998E-3</v>
      </c>
      <c r="V864" s="163">
        <v>4.5899999999999999E-4</v>
      </c>
      <c r="W864" s="163">
        <v>0.222</v>
      </c>
      <c r="X864" s="163">
        <v>8.9399999999999993E-2</v>
      </c>
      <c r="Y864" s="163">
        <v>34.5</v>
      </c>
      <c r="Z864" s="163">
        <v>1.8499999999999999E-2</v>
      </c>
      <c r="AA864" s="40"/>
      <c r="AB864" s="40"/>
      <c r="AC864" s="40"/>
      <c r="AD864" s="40"/>
      <c r="AE864" s="40"/>
      <c r="AF864" s="40"/>
      <c r="AG864" s="40"/>
      <c r="AH864" s="40"/>
      <c r="AI864" s="40"/>
      <c r="AJ864" s="40"/>
      <c r="AK864" s="40"/>
      <c r="AL864" s="40"/>
      <c r="AM864" s="40"/>
      <c r="AN864" s="40"/>
      <c r="AO864" s="40"/>
      <c r="AP864" s="40"/>
      <c r="AQ864" s="40"/>
      <c r="AR864" s="40"/>
      <c r="AS864" s="40"/>
      <c r="AT864" s="40"/>
      <c r="AU864" s="40"/>
      <c r="AV864" s="315">
        <v>2.42</v>
      </c>
      <c r="AW864" s="317"/>
      <c r="AX864" s="317"/>
      <c r="AY864" s="313">
        <v>6.62</v>
      </c>
      <c r="AZ864" s="40"/>
      <c r="BA864" s="40"/>
      <c r="BB864" s="40"/>
      <c r="BC864" s="40">
        <v>9.6200000000000001E-3</v>
      </c>
      <c r="BD864" s="163">
        <v>2.9099999999999999E-5</v>
      </c>
      <c r="BE864" s="163">
        <v>0.13700000000000001</v>
      </c>
      <c r="BF864" s="40"/>
      <c r="BG864" s="40"/>
      <c r="BH864" s="40"/>
      <c r="BI864" s="40"/>
      <c r="BJ864" s="40"/>
      <c r="BK864" s="40"/>
      <c r="BL864" s="62">
        <v>0</v>
      </c>
      <c r="BM864" s="275">
        <v>3</v>
      </c>
      <c r="BN864" s="62">
        <v>0</v>
      </c>
      <c r="BO864" s="33" t="s">
        <v>558</v>
      </c>
    </row>
    <row r="865" spans="1:68">
      <c r="A865" s="33" t="str">
        <f>Database_Productkaarten[[#This Row],[Product]]&amp;", "&amp;Database_Productkaarten[[#This Row],[Levensfase]]</f>
        <v>Lengtemarkeringen, Wegenverf, A4</v>
      </c>
      <c r="B865" t="s">
        <v>560</v>
      </c>
      <c r="C865" s="33" t="s">
        <v>556</v>
      </c>
      <c r="D865" s="33" t="s">
        <v>557</v>
      </c>
      <c r="E865" s="33" t="s">
        <v>389</v>
      </c>
      <c r="F865" s="33" t="s">
        <v>78</v>
      </c>
      <c r="G865" s="33">
        <v>1</v>
      </c>
      <c r="H865" s="33">
        <v>0.2</v>
      </c>
      <c r="I865" s="33">
        <v>7.0000000000000007E-2</v>
      </c>
      <c r="M865" s="309">
        <v>1.2E-4</v>
      </c>
      <c r="N865" s="41">
        <v>1.7000000000000001E-4</v>
      </c>
      <c r="O865" s="33">
        <v>1</v>
      </c>
      <c r="P865" s="163">
        <v>2.9499999999999999E-9</v>
      </c>
      <c r="Q865" s="163">
        <v>1.1600000000000001E-5</v>
      </c>
      <c r="R865" s="163">
        <v>1.5399999999999999E-3</v>
      </c>
      <c r="S865" s="163">
        <v>3.0599999999999998E-10</v>
      </c>
      <c r="T865" s="163">
        <v>9.7000000000000003E-7</v>
      </c>
      <c r="U865" s="163">
        <v>5.6099999999999997E-6</v>
      </c>
      <c r="V865" s="163">
        <v>1.1400000000000001E-6</v>
      </c>
      <c r="W865" s="163">
        <v>5.4100000000000003E-4</v>
      </c>
      <c r="X865" s="163">
        <v>3.4900000000000001E-5</v>
      </c>
      <c r="Y865" s="163">
        <v>9.1399999999999995E-2</v>
      </c>
      <c r="Z865" s="163">
        <v>3.2100000000000002E-6</v>
      </c>
      <c r="AA865" s="40"/>
      <c r="AB865" s="40"/>
      <c r="AC865" s="40"/>
      <c r="AD865" s="40"/>
      <c r="AE865" s="40"/>
      <c r="AF865" s="40"/>
      <c r="AG865" s="40"/>
      <c r="AH865" s="40"/>
      <c r="AI865" s="40"/>
      <c r="AJ865" s="40"/>
      <c r="AK865" s="40"/>
      <c r="AL865" s="40"/>
      <c r="AM865" s="40"/>
      <c r="AN865" s="40"/>
      <c r="AO865" s="40"/>
      <c r="AP865" s="40"/>
      <c r="AQ865" s="40"/>
      <c r="AR865" s="40"/>
      <c r="AS865" s="40"/>
      <c r="AT865" s="40"/>
      <c r="AU865" s="40"/>
      <c r="AV865" s="315">
        <v>4.1599999999999997E-4</v>
      </c>
      <c r="AW865" s="317"/>
      <c r="AX865" s="317"/>
      <c r="AY865" s="313">
        <v>2.6599999999999999E-2</v>
      </c>
      <c r="AZ865" s="40"/>
      <c r="BA865" s="40"/>
      <c r="BB865" s="40"/>
      <c r="BC865" s="40">
        <v>5.4E-6</v>
      </c>
      <c r="BD865" s="163">
        <v>1.8799999999999999E-7</v>
      </c>
      <c r="BE865" s="163">
        <v>2.1900000000000001E-3</v>
      </c>
      <c r="BF865" s="40"/>
      <c r="BG865" s="40"/>
      <c r="BH865" s="40"/>
      <c r="BI865" s="40"/>
      <c r="BJ865" s="40"/>
      <c r="BK865" s="40"/>
      <c r="BL865" s="62">
        <v>0</v>
      </c>
      <c r="BM865" s="275">
        <v>3</v>
      </c>
      <c r="BN865" s="62">
        <v>0</v>
      </c>
      <c r="BO865" s="33" t="s">
        <v>558</v>
      </c>
    </row>
    <row r="866" spans="1:68">
      <c r="A866" s="33" t="str">
        <f>Database_Productkaarten[[#This Row],[Product]]&amp;", "&amp;Database_Productkaarten[[#This Row],[Levensfase]]</f>
        <v>Lengtemarkeringen, Wegenverf, A5</v>
      </c>
      <c r="B866" t="s">
        <v>560</v>
      </c>
      <c r="C866" s="33" t="s">
        <v>556</v>
      </c>
      <c r="D866" s="33" t="s">
        <v>557</v>
      </c>
      <c r="E866" s="33" t="s">
        <v>389</v>
      </c>
      <c r="F866" s="33" t="s">
        <v>79</v>
      </c>
      <c r="G866" s="33">
        <v>1</v>
      </c>
      <c r="H866" s="33">
        <v>0.2</v>
      </c>
      <c r="I866" s="33">
        <v>7.0000000000000007E-2</v>
      </c>
      <c r="M866" s="309">
        <v>1.2E-4</v>
      </c>
      <c r="N866" s="41">
        <v>5.5000000000000003E-4</v>
      </c>
      <c r="O866" s="33">
        <v>1</v>
      </c>
      <c r="P866" s="163">
        <v>2.76E-9</v>
      </c>
      <c r="Q866" s="163">
        <v>4.0299999999999997E-5</v>
      </c>
      <c r="R866" s="163">
        <v>5.8999999999999999E-3</v>
      </c>
      <c r="S866" s="163">
        <v>1.03E-9</v>
      </c>
      <c r="T866" s="163">
        <v>1.9400000000000001E-6</v>
      </c>
      <c r="U866" s="163">
        <v>1.73E-5</v>
      </c>
      <c r="V866" s="163">
        <v>3.3100000000000001E-6</v>
      </c>
      <c r="W866" s="163">
        <v>1.4599999999999999E-3</v>
      </c>
      <c r="X866" s="163">
        <v>2.8900000000000001E-5</v>
      </c>
      <c r="Y866" s="163">
        <v>9.6799999999999997E-2</v>
      </c>
      <c r="Z866" s="163">
        <v>5.2000000000000002E-6</v>
      </c>
      <c r="AA866" s="40"/>
      <c r="AB866" s="40"/>
      <c r="AC866" s="40"/>
      <c r="AD866" s="40"/>
      <c r="AE866" s="40"/>
      <c r="AF866" s="40"/>
      <c r="AG866" s="40"/>
      <c r="AH866" s="40"/>
      <c r="AI866" s="40"/>
      <c r="AJ866" s="40"/>
      <c r="AK866" s="40"/>
      <c r="AL866" s="40"/>
      <c r="AM866" s="40"/>
      <c r="AN866" s="40"/>
      <c r="AO866" s="40"/>
      <c r="AP866" s="40"/>
      <c r="AQ866" s="40"/>
      <c r="AR866" s="40"/>
      <c r="AS866" s="40"/>
      <c r="AT866" s="40"/>
      <c r="AU866" s="40"/>
      <c r="AV866" s="315">
        <v>6.5600000000000001E-4</v>
      </c>
      <c r="AW866" s="317"/>
      <c r="AX866" s="317"/>
      <c r="AY866" s="313">
        <v>0.09</v>
      </c>
      <c r="AZ866" s="40"/>
      <c r="BA866" s="40"/>
      <c r="BB866" s="40"/>
      <c r="BC866" s="40">
        <v>8.4999999999999999E-6</v>
      </c>
      <c r="BD866" s="163">
        <v>6.2099999999999996E-7</v>
      </c>
      <c r="BE866" s="163">
        <v>1.5100000000000001E-4</v>
      </c>
      <c r="BF866" s="40"/>
      <c r="BG866" s="40"/>
      <c r="BH866" s="40"/>
      <c r="BI866" s="40"/>
      <c r="BJ866" s="40"/>
      <c r="BK866" s="40"/>
      <c r="BL866" s="62">
        <v>0</v>
      </c>
      <c r="BM866" s="275">
        <v>3</v>
      </c>
      <c r="BN866" s="62">
        <v>0</v>
      </c>
      <c r="BO866" s="33" t="s">
        <v>558</v>
      </c>
    </row>
    <row r="867" spans="1:68">
      <c r="A867" s="33" t="str">
        <f>Database_Productkaarten[[#This Row],[Product]]&amp;", "&amp;Database_Productkaarten[[#This Row],[Levensfase]]</f>
        <v>Lengtemarkeringen, Wegenverf, B1</v>
      </c>
      <c r="B867" t="s">
        <v>560</v>
      </c>
      <c r="C867" s="33" t="s">
        <v>556</v>
      </c>
      <c r="D867" s="33" t="s">
        <v>557</v>
      </c>
      <c r="E867" s="33" t="s">
        <v>389</v>
      </c>
      <c r="F867" s="33" t="s">
        <v>80</v>
      </c>
      <c r="G867" s="33">
        <v>1</v>
      </c>
      <c r="H867" s="33">
        <v>0.2</v>
      </c>
      <c r="I867" s="33">
        <v>7.0000000000000007E-2</v>
      </c>
      <c r="M867" s="309">
        <v>1.2E-4</v>
      </c>
      <c r="N867" s="41"/>
      <c r="O867" s="33">
        <v>1</v>
      </c>
      <c r="P867" s="163">
        <v>0</v>
      </c>
      <c r="Q867" s="163">
        <v>0</v>
      </c>
      <c r="R867" s="163">
        <v>0</v>
      </c>
      <c r="S867" s="163">
        <v>0</v>
      </c>
      <c r="T867" s="163">
        <v>0</v>
      </c>
      <c r="U867" s="163">
        <v>0</v>
      </c>
      <c r="V867" s="163">
        <v>0</v>
      </c>
      <c r="W867" s="163">
        <v>0</v>
      </c>
      <c r="X867" s="163">
        <v>0</v>
      </c>
      <c r="Y867" s="163">
        <v>0</v>
      </c>
      <c r="Z867" s="163">
        <v>0</v>
      </c>
      <c r="AA867" s="40"/>
      <c r="AB867" s="40"/>
      <c r="AC867" s="40"/>
      <c r="AD867" s="40"/>
      <c r="AE867" s="40"/>
      <c r="AF867" s="40"/>
      <c r="AG867" s="40"/>
      <c r="AH867" s="40"/>
      <c r="AI867" s="40"/>
      <c r="AJ867" s="40"/>
      <c r="AK867" s="40"/>
      <c r="AL867" s="40"/>
      <c r="AM867" s="40"/>
      <c r="AN867" s="40"/>
      <c r="AO867" s="40"/>
      <c r="AP867" s="40"/>
      <c r="AQ867" s="40"/>
      <c r="AR867" s="40"/>
      <c r="AS867" s="40"/>
      <c r="AT867" s="40"/>
      <c r="AU867" s="40"/>
      <c r="AV867" s="315">
        <v>0</v>
      </c>
      <c r="AW867" s="317"/>
      <c r="AX867" s="317"/>
      <c r="AY867" s="313">
        <v>0</v>
      </c>
      <c r="AZ867" s="40"/>
      <c r="BA867" s="40"/>
      <c r="BB867" s="40"/>
      <c r="BC867" s="40">
        <v>0</v>
      </c>
      <c r="BD867" s="163">
        <v>0</v>
      </c>
      <c r="BE867" s="163">
        <v>0</v>
      </c>
      <c r="BF867" s="40"/>
      <c r="BG867" s="40"/>
      <c r="BH867" s="40"/>
      <c r="BI867" s="40"/>
      <c r="BJ867" s="40"/>
      <c r="BK867" s="40"/>
      <c r="BL867" s="62">
        <v>0</v>
      </c>
      <c r="BM867" s="275">
        <v>3</v>
      </c>
      <c r="BN867" s="62">
        <v>0</v>
      </c>
      <c r="BO867" s="33" t="s">
        <v>558</v>
      </c>
    </row>
    <row r="868" spans="1:68">
      <c r="A868" s="33" t="str">
        <f>Database_Productkaarten[[#This Row],[Product]]&amp;", "&amp;Database_Productkaarten[[#This Row],[Levensfase]]</f>
        <v>Lengtemarkeringen, Wegenverf, C1</v>
      </c>
      <c r="B868" t="s">
        <v>560</v>
      </c>
      <c r="C868" s="33" t="s">
        <v>556</v>
      </c>
      <c r="D868" s="33" t="s">
        <v>557</v>
      </c>
      <c r="E868" s="33" t="s">
        <v>389</v>
      </c>
      <c r="F868" s="33" t="s">
        <v>83</v>
      </c>
      <c r="G868" s="33">
        <v>1</v>
      </c>
      <c r="H868" s="33">
        <v>0.2</v>
      </c>
      <c r="I868" s="33">
        <v>7.0000000000000007E-2</v>
      </c>
      <c r="M868" s="309">
        <v>1.2E-4</v>
      </c>
      <c r="N868" s="41">
        <v>7.6000000000000004E-4</v>
      </c>
      <c r="O868" s="33">
        <v>1</v>
      </c>
      <c r="P868" s="163">
        <v>3.8600000000000003E-9</v>
      </c>
      <c r="Q868" s="163">
        <v>5.6400000000000002E-5</v>
      </c>
      <c r="R868" s="163">
        <v>8.2500000000000004E-3</v>
      </c>
      <c r="S868" s="163">
        <v>1.44E-9</v>
      </c>
      <c r="T868" s="163">
        <v>2.7199999999999998E-6</v>
      </c>
      <c r="U868" s="163">
        <v>2.4199999999999999E-5</v>
      </c>
      <c r="V868" s="163">
        <v>4.6299999999999997E-6</v>
      </c>
      <c r="W868" s="163">
        <v>2.0400000000000001E-3</v>
      </c>
      <c r="X868" s="163">
        <v>4.0500000000000002E-5</v>
      </c>
      <c r="Y868" s="163">
        <v>0.13500000000000001</v>
      </c>
      <c r="Z868" s="163">
        <v>7.2699999999999999E-6</v>
      </c>
      <c r="AA868" s="40"/>
      <c r="AB868" s="40"/>
      <c r="AC868" s="40"/>
      <c r="AD868" s="40"/>
      <c r="AE868" s="40"/>
      <c r="AF868" s="40"/>
      <c r="AG868" s="40"/>
      <c r="AH868" s="40"/>
      <c r="AI868" s="40"/>
      <c r="AJ868" s="40"/>
      <c r="AK868" s="40"/>
      <c r="AL868" s="40"/>
      <c r="AM868" s="40"/>
      <c r="AN868" s="40"/>
      <c r="AO868" s="40"/>
      <c r="AP868" s="40"/>
      <c r="AQ868" s="40"/>
      <c r="AR868" s="40"/>
      <c r="AS868" s="40"/>
      <c r="AT868" s="40"/>
      <c r="AU868" s="40"/>
      <c r="AV868" s="315">
        <v>9.1799999999999998E-4</v>
      </c>
      <c r="AW868" s="317"/>
      <c r="AX868" s="317"/>
      <c r="AY868" s="313">
        <v>0.126</v>
      </c>
      <c r="AZ868" s="40"/>
      <c r="BA868" s="40"/>
      <c r="BB868" s="40"/>
      <c r="BC868" s="40">
        <v>1.19E-5</v>
      </c>
      <c r="BD868" s="163">
        <v>8.6899999999999996E-7</v>
      </c>
      <c r="BE868" s="163">
        <v>2.1100000000000001E-4</v>
      </c>
      <c r="BF868" s="40"/>
      <c r="BG868" s="40"/>
      <c r="BH868" s="40"/>
      <c r="BI868" s="40"/>
      <c r="BJ868" s="40"/>
      <c r="BK868" s="40"/>
      <c r="BL868" s="62">
        <v>0</v>
      </c>
      <c r="BM868" s="275">
        <v>3</v>
      </c>
      <c r="BN868" s="62">
        <v>0</v>
      </c>
      <c r="BO868" s="33" t="s">
        <v>558</v>
      </c>
    </row>
    <row r="869" spans="1:68">
      <c r="A869" s="33" t="str">
        <f>Database_Productkaarten[[#This Row],[Product]]&amp;", "&amp;Database_Productkaarten[[#This Row],[Levensfase]]</f>
        <v>Lengtemarkeringen, Wegenverf, C2</v>
      </c>
      <c r="B869" t="s">
        <v>560</v>
      </c>
      <c r="C869" s="33" t="s">
        <v>556</v>
      </c>
      <c r="D869" s="33" t="s">
        <v>557</v>
      </c>
      <c r="E869" s="33" t="s">
        <v>389</v>
      </c>
      <c r="F869" s="33" t="s">
        <v>84</v>
      </c>
      <c r="G869" s="33">
        <v>1</v>
      </c>
      <c r="H869" s="33">
        <v>0.2</v>
      </c>
      <c r="I869" s="33">
        <v>7.0000000000000007E-2</v>
      </c>
      <c r="M869" s="309">
        <v>1.2E-4</v>
      </c>
      <c r="N869" s="41">
        <v>1.7000000000000001E-4</v>
      </c>
      <c r="O869" s="33">
        <v>1</v>
      </c>
      <c r="P869" s="163">
        <v>9.8399999999999991E-10</v>
      </c>
      <c r="Q869" s="163">
        <v>3.8800000000000001E-6</v>
      </c>
      <c r="R869" s="163">
        <v>5.1199999999999998E-4</v>
      </c>
      <c r="S869" s="163">
        <v>1.02E-10</v>
      </c>
      <c r="T869" s="163">
        <v>3.2300000000000002E-7</v>
      </c>
      <c r="U869" s="163">
        <v>1.8700000000000001E-6</v>
      </c>
      <c r="V869" s="163">
        <v>3.8099999999999998E-7</v>
      </c>
      <c r="W869" s="163">
        <v>1.8000000000000001E-4</v>
      </c>
      <c r="X869" s="163">
        <v>1.1600000000000001E-5</v>
      </c>
      <c r="Y869" s="163">
        <v>3.0499999999999999E-2</v>
      </c>
      <c r="Z869" s="163">
        <v>1.0699999999999999E-6</v>
      </c>
      <c r="AA869" s="40"/>
      <c r="AB869" s="40"/>
      <c r="AC869" s="40"/>
      <c r="AD869" s="40"/>
      <c r="AE869" s="40"/>
      <c r="AF869" s="40"/>
      <c r="AG869" s="40"/>
      <c r="AH869" s="40"/>
      <c r="AI869" s="40"/>
      <c r="AJ869" s="40"/>
      <c r="AK869" s="40"/>
      <c r="AL869" s="40"/>
      <c r="AM869" s="40"/>
      <c r="AN869" s="40"/>
      <c r="AO869" s="40"/>
      <c r="AP869" s="40"/>
      <c r="AQ869" s="40"/>
      <c r="AR869" s="40"/>
      <c r="AS869" s="40"/>
      <c r="AT869" s="40"/>
      <c r="AU869" s="40"/>
      <c r="AV869" s="315">
        <v>1.3899999999999999E-4</v>
      </c>
      <c r="AW869" s="317"/>
      <c r="AX869" s="317"/>
      <c r="AY869" s="313">
        <v>8.8599999999999998E-3</v>
      </c>
      <c r="AZ869" s="40"/>
      <c r="BA869" s="40"/>
      <c r="BB869" s="40"/>
      <c r="BC869" s="40">
        <v>1.7999999999999999E-6</v>
      </c>
      <c r="BD869" s="163">
        <v>6.2800000000000006E-8</v>
      </c>
      <c r="BE869" s="163">
        <v>7.3200000000000001E-4</v>
      </c>
      <c r="BF869" s="40"/>
      <c r="BG869" s="40"/>
      <c r="BH869" s="40"/>
      <c r="BI869" s="40"/>
      <c r="BJ869" s="40"/>
      <c r="BK869" s="40"/>
      <c r="BL869" s="62">
        <v>0</v>
      </c>
      <c r="BM869" s="275">
        <v>3</v>
      </c>
      <c r="BN869" s="62">
        <v>0</v>
      </c>
      <c r="BO869" s="33" t="s">
        <v>558</v>
      </c>
    </row>
    <row r="870" spans="1:68">
      <c r="A870" s="33" t="str">
        <f>Database_Productkaarten[[#This Row],[Product]]&amp;", "&amp;Database_Productkaarten[[#This Row],[Levensfase]]</f>
        <v>Lengtemarkeringen, Wegenverf, C3</v>
      </c>
      <c r="B870" t="s">
        <v>560</v>
      </c>
      <c r="C870" s="33" t="s">
        <v>556</v>
      </c>
      <c r="D870" s="33" t="s">
        <v>557</v>
      </c>
      <c r="E870" s="33" t="s">
        <v>389</v>
      </c>
      <c r="F870" s="33" t="s">
        <v>85</v>
      </c>
      <c r="G870" s="33">
        <v>1</v>
      </c>
      <c r="H870" s="33">
        <v>0.2</v>
      </c>
      <c r="I870" s="33">
        <v>7.0000000000000007E-2</v>
      </c>
      <c r="M870" s="309">
        <v>1.2E-4</v>
      </c>
      <c r="N870" s="41">
        <v>1.4970000000000001E-2</v>
      </c>
      <c r="O870" s="33">
        <v>1</v>
      </c>
      <c r="P870" s="163">
        <v>3.29E-9</v>
      </c>
      <c r="Q870" s="163">
        <v>1.33E-5</v>
      </c>
      <c r="R870" s="163">
        <v>0.27300000000000002</v>
      </c>
      <c r="S870" s="163">
        <v>2.4E-10</v>
      </c>
      <c r="T870" s="163">
        <v>9.9900000000000009E-7</v>
      </c>
      <c r="U870" s="163">
        <v>1.7399999999999999E-5</v>
      </c>
      <c r="V870" s="163">
        <v>7.7100000000000007E-6</v>
      </c>
      <c r="W870" s="163">
        <v>9.3500000000000007E-3</v>
      </c>
      <c r="X870" s="163">
        <v>8.1599999999999999E-4</v>
      </c>
      <c r="Y870" s="163">
        <v>3.1</v>
      </c>
      <c r="Z870" s="163">
        <v>7.2899999999999997E-5</v>
      </c>
      <c r="AA870" s="40"/>
      <c r="AB870" s="40"/>
      <c r="AC870" s="40"/>
      <c r="AD870" s="40"/>
      <c r="AE870" s="40"/>
      <c r="AF870" s="40"/>
      <c r="AG870" s="40"/>
      <c r="AH870" s="40"/>
      <c r="AI870" s="40"/>
      <c r="AJ870" s="40"/>
      <c r="AK870" s="40"/>
      <c r="AL870" s="40"/>
      <c r="AM870" s="40"/>
      <c r="AN870" s="40"/>
      <c r="AO870" s="40"/>
      <c r="AP870" s="40"/>
      <c r="AQ870" s="40"/>
      <c r="AR870" s="40"/>
      <c r="AS870" s="40"/>
      <c r="AT870" s="40"/>
      <c r="AU870" s="40"/>
      <c r="AV870" s="315">
        <v>6.3500000000000004E-4</v>
      </c>
      <c r="AW870" s="317"/>
      <c r="AX870" s="317"/>
      <c r="AY870" s="313">
        <v>2.81E-2</v>
      </c>
      <c r="AZ870" s="40"/>
      <c r="BA870" s="40"/>
      <c r="BB870" s="40"/>
      <c r="BC870" s="40">
        <v>7.3700000000000002E-5</v>
      </c>
      <c r="BD870" s="163">
        <v>4.4900000000000001E-7</v>
      </c>
      <c r="BE870" s="163">
        <v>6.8799999999999998E-3</v>
      </c>
      <c r="BF870" s="40"/>
      <c r="BG870" s="40"/>
      <c r="BH870" s="40"/>
      <c r="BI870" s="40"/>
      <c r="BJ870" s="40"/>
      <c r="BK870" s="40"/>
      <c r="BL870" s="62">
        <v>0</v>
      </c>
      <c r="BM870" s="275">
        <v>3</v>
      </c>
      <c r="BN870" s="62">
        <v>0</v>
      </c>
      <c r="BO870" s="33" t="s">
        <v>558</v>
      </c>
    </row>
    <row r="871" spans="1:68">
      <c r="A871" s="33" t="str">
        <f>Database_Productkaarten[[#This Row],[Product]]&amp;", "&amp;Database_Productkaarten[[#This Row],[Levensfase]]</f>
        <v>Lengtemarkeringen, Wegenverf, C4</v>
      </c>
      <c r="B871" t="s">
        <v>560</v>
      </c>
      <c r="C871" s="33" t="s">
        <v>556</v>
      </c>
      <c r="D871" s="33" t="s">
        <v>557</v>
      </c>
      <c r="E871" s="33" t="s">
        <v>389</v>
      </c>
      <c r="F871" s="33" t="s">
        <v>86</v>
      </c>
      <c r="G871" s="33">
        <v>1</v>
      </c>
      <c r="H871" s="33">
        <v>0.2</v>
      </c>
      <c r="I871" s="33">
        <v>7.0000000000000007E-2</v>
      </c>
      <c r="M871" s="309">
        <v>1.2E-4</v>
      </c>
      <c r="N871" s="41">
        <v>5.0000000000000002E-5</v>
      </c>
      <c r="O871" s="33">
        <v>1</v>
      </c>
      <c r="P871" s="163">
        <v>8.4200000000000004E-11</v>
      </c>
      <c r="Q871" s="163">
        <v>7.9100000000000003E-7</v>
      </c>
      <c r="R871" s="163">
        <v>6.6E-4</v>
      </c>
      <c r="S871" s="163">
        <v>1.7300000000000001E-11</v>
      </c>
      <c r="T871" s="163">
        <v>1.5900000000000001E-7</v>
      </c>
      <c r="U871" s="163">
        <v>4.46E-7</v>
      </c>
      <c r="V871" s="163">
        <v>2.2000000000000001E-7</v>
      </c>
      <c r="W871" s="163">
        <v>4.9400000000000001E-5</v>
      </c>
      <c r="X871" s="163">
        <v>3.1300000000000002E-5</v>
      </c>
      <c r="Y871" s="163">
        <v>3.27E-2</v>
      </c>
      <c r="Z871" s="163">
        <v>1.24E-7</v>
      </c>
      <c r="AA871" s="40"/>
      <c r="AB871" s="40"/>
      <c r="AC871" s="40"/>
      <c r="AD871" s="40"/>
      <c r="AE871" s="40"/>
      <c r="AF871" s="40"/>
      <c r="AG871" s="40"/>
      <c r="AH871" s="40"/>
      <c r="AI871" s="40"/>
      <c r="AJ871" s="40"/>
      <c r="AK871" s="40"/>
      <c r="AL871" s="40"/>
      <c r="AM871" s="40"/>
      <c r="AN871" s="40"/>
      <c r="AO871" s="40"/>
      <c r="AP871" s="40"/>
      <c r="AQ871" s="40"/>
      <c r="AR871" s="40"/>
      <c r="AS871" s="40"/>
      <c r="AT871" s="40"/>
      <c r="AU871" s="40"/>
      <c r="AV871" s="315">
        <v>2.73E-5</v>
      </c>
      <c r="AW871" s="317"/>
      <c r="AX871" s="317"/>
      <c r="AY871" s="313">
        <v>1.75E-3</v>
      </c>
      <c r="AZ871" s="40"/>
      <c r="BA871" s="40"/>
      <c r="BB871" s="40"/>
      <c r="BC871" s="40">
        <v>1.6300000000000001E-6</v>
      </c>
      <c r="BD871" s="163">
        <v>1.1199999999999999E-8</v>
      </c>
      <c r="BE871" s="163">
        <v>6.0099999999999997E-3</v>
      </c>
      <c r="BF871" s="40"/>
      <c r="BG871" s="40"/>
      <c r="BH871" s="40"/>
      <c r="BI871" s="40"/>
      <c r="BJ871" s="40"/>
      <c r="BK871" s="40"/>
      <c r="BL871" s="62">
        <v>0</v>
      </c>
      <c r="BM871" s="275">
        <v>3</v>
      </c>
      <c r="BN871" s="62">
        <v>0</v>
      </c>
      <c r="BO871" s="33" t="s">
        <v>558</v>
      </c>
    </row>
    <row r="872" spans="1:68">
      <c r="A872" s="33" t="str">
        <f>Database_Productkaarten[[#This Row],[Product]]&amp;", "&amp;Database_Productkaarten[[#This Row],[Levensfase]]</f>
        <v>Lengtemarkeringen, Wegenverf, D</v>
      </c>
      <c r="B872" t="s">
        <v>560</v>
      </c>
      <c r="C872" s="33" t="s">
        <v>556</v>
      </c>
      <c r="D872" s="33" t="s">
        <v>557</v>
      </c>
      <c r="E872" s="33" t="s">
        <v>389</v>
      </c>
      <c r="F872" s="33" t="s">
        <v>89</v>
      </c>
      <c r="G872" s="33">
        <v>1</v>
      </c>
      <c r="H872" s="33">
        <v>0.2</v>
      </c>
      <c r="I872" s="33">
        <v>7.0000000000000007E-2</v>
      </c>
      <c r="M872" s="309">
        <v>1.2E-4</v>
      </c>
      <c r="N872" s="41">
        <v>0</v>
      </c>
      <c r="O872" s="33">
        <v>1</v>
      </c>
      <c r="P872" s="163">
        <v>0</v>
      </c>
      <c r="Q872" s="163">
        <v>0</v>
      </c>
      <c r="R872" s="163">
        <v>0</v>
      </c>
      <c r="S872" s="163">
        <v>0</v>
      </c>
      <c r="T872" s="163">
        <v>0</v>
      </c>
      <c r="U872" s="163">
        <v>0</v>
      </c>
      <c r="V872" s="163">
        <v>0</v>
      </c>
      <c r="W872" s="163">
        <v>0</v>
      </c>
      <c r="X872" s="163">
        <v>0</v>
      </c>
      <c r="Y872" s="163">
        <v>0</v>
      </c>
      <c r="Z872" s="163">
        <v>0</v>
      </c>
      <c r="AA872" s="40"/>
      <c r="AB872" s="40"/>
      <c r="AC872" s="40"/>
      <c r="AD872" s="40"/>
      <c r="AE872" s="40"/>
      <c r="AF872" s="40"/>
      <c r="AG872" s="40"/>
      <c r="AH872" s="40"/>
      <c r="AI872" s="40"/>
      <c r="AJ872" s="40"/>
      <c r="AK872" s="40"/>
      <c r="AL872" s="40"/>
      <c r="AM872" s="40"/>
      <c r="AN872" s="40"/>
      <c r="AO872" s="40"/>
      <c r="AP872" s="40"/>
      <c r="AQ872" s="40"/>
      <c r="AR872" s="40"/>
      <c r="AS872" s="40"/>
      <c r="AT872" s="40"/>
      <c r="AU872" s="40"/>
      <c r="AV872" s="315">
        <v>0</v>
      </c>
      <c r="AW872" s="317"/>
      <c r="AX872" s="317"/>
      <c r="AY872" s="313">
        <v>0</v>
      </c>
      <c r="AZ872" s="40"/>
      <c r="BA872" s="40"/>
      <c r="BB872" s="40"/>
      <c r="BC872" s="40">
        <v>0</v>
      </c>
      <c r="BD872" s="163">
        <v>0</v>
      </c>
      <c r="BE872" s="163">
        <v>0</v>
      </c>
      <c r="BF872" s="40"/>
      <c r="BG872" s="40"/>
      <c r="BH872" s="40"/>
      <c r="BI872" s="40"/>
      <c r="BJ872" s="40"/>
      <c r="BK872" s="40"/>
      <c r="BL872" s="62">
        <v>0</v>
      </c>
      <c r="BM872" s="275">
        <v>3</v>
      </c>
      <c r="BN872" s="62">
        <v>0</v>
      </c>
      <c r="BO872" s="33" t="s">
        <v>558</v>
      </c>
    </row>
    <row r="873" spans="1:68">
      <c r="A873" s="33" t="str">
        <f>Database_Productkaarten[[#This Row],[Product]]&amp;", "&amp;Database_Productkaarten[[#This Row],[Levensfase]]</f>
        <v>Lengtemarkeringen, Wegenverf, D1</v>
      </c>
      <c r="B873" t="s">
        <v>560</v>
      </c>
      <c r="C873" s="33" t="s">
        <v>556</v>
      </c>
      <c r="D873" s="33" t="s">
        <v>557</v>
      </c>
      <c r="E873" s="33" t="s">
        <v>389</v>
      </c>
      <c r="F873" s="33" t="s">
        <v>87</v>
      </c>
      <c r="G873" s="33">
        <v>1</v>
      </c>
      <c r="H873" s="33">
        <v>0.2</v>
      </c>
      <c r="I873" s="33">
        <v>7.0000000000000007E-2</v>
      </c>
      <c r="M873" s="309">
        <v>1.2E-4</v>
      </c>
      <c r="N873" s="41"/>
      <c r="O873" s="33">
        <v>1</v>
      </c>
      <c r="P873" s="40"/>
      <c r="Q873" s="40"/>
      <c r="R873" s="40"/>
      <c r="S873" s="40"/>
      <c r="T873" s="40"/>
      <c r="U873" s="40"/>
      <c r="V873" s="40"/>
      <c r="W873" s="40"/>
      <c r="X873" s="40"/>
      <c r="Y873" s="40"/>
      <c r="Z873" s="40"/>
      <c r="AA873" s="40"/>
      <c r="AB873" s="40"/>
      <c r="AC873" s="40"/>
      <c r="AD873" s="40"/>
      <c r="AE873" s="40"/>
      <c r="AF873" s="40"/>
      <c r="AG873" s="40"/>
      <c r="AH873" s="40"/>
      <c r="AI873" s="40"/>
      <c r="AJ873" s="40"/>
      <c r="AK873" s="40"/>
      <c r="AL873" s="40"/>
      <c r="AM873" s="40"/>
      <c r="AN873" s="40"/>
      <c r="AO873" s="40"/>
      <c r="AP873" s="40"/>
      <c r="AQ873" s="40"/>
      <c r="AR873" s="40"/>
      <c r="AS873" s="40"/>
      <c r="AT873" s="40"/>
      <c r="AU873" s="40"/>
      <c r="AV873" s="316"/>
      <c r="AW873" s="317"/>
      <c r="AX873" s="317"/>
      <c r="AY873" s="316"/>
      <c r="AZ873" s="40"/>
      <c r="BA873" s="40"/>
      <c r="BB873" s="40"/>
      <c r="BC873" s="40"/>
      <c r="BD873" s="40"/>
      <c r="BE873" s="40"/>
      <c r="BF873" s="40"/>
      <c r="BG873" s="40"/>
      <c r="BH873" s="40"/>
      <c r="BI873" s="40"/>
      <c r="BJ873" s="40"/>
      <c r="BK873" s="40"/>
      <c r="BL873" s="62">
        <v>0</v>
      </c>
      <c r="BM873" s="275">
        <v>3</v>
      </c>
      <c r="BN873" s="62">
        <v>0</v>
      </c>
      <c r="BO873" s="33" t="s">
        <v>558</v>
      </c>
    </row>
    <row r="874" spans="1:68">
      <c r="A874" s="33" t="str">
        <f>Database_Productkaarten[[#This Row],[Product]]&amp;", "&amp;Database_Productkaarten[[#This Row],[Levensfase]]</f>
        <v>Lengtemarkeringen, Wegenverf, D2</v>
      </c>
      <c r="B874" t="s">
        <v>560</v>
      </c>
      <c r="C874" s="33" t="s">
        <v>556</v>
      </c>
      <c r="D874" s="33" t="s">
        <v>557</v>
      </c>
      <c r="E874" s="33" t="s">
        <v>389</v>
      </c>
      <c r="F874" s="33" t="s">
        <v>88</v>
      </c>
      <c r="G874" s="33">
        <v>1</v>
      </c>
      <c r="H874" s="33">
        <v>0.2</v>
      </c>
      <c r="I874" s="33">
        <v>7.0000000000000007E-2</v>
      </c>
      <c r="M874" s="309">
        <v>1.2E-4</v>
      </c>
      <c r="N874" s="41"/>
      <c r="O874" s="33">
        <v>1</v>
      </c>
      <c r="P874" s="40"/>
      <c r="Q874" s="40"/>
      <c r="R874" s="40"/>
      <c r="S874" s="40"/>
      <c r="T874" s="40"/>
      <c r="U874" s="40"/>
      <c r="V874" s="40"/>
      <c r="W874" s="40"/>
      <c r="X874" s="40"/>
      <c r="Y874" s="40"/>
      <c r="Z874" s="40"/>
      <c r="AA874" s="40"/>
      <c r="AB874" s="40"/>
      <c r="AC874" s="40"/>
      <c r="AD874" s="40"/>
      <c r="AE874" s="40"/>
      <c r="AF874" s="40"/>
      <c r="AG874" s="40"/>
      <c r="AH874" s="40"/>
      <c r="AI874" s="40"/>
      <c r="AJ874" s="40"/>
      <c r="AK874" s="40"/>
      <c r="AL874" s="40"/>
      <c r="AM874" s="40"/>
      <c r="AN874" s="40"/>
      <c r="AO874" s="40"/>
      <c r="AP874" s="40"/>
      <c r="AQ874" s="40"/>
      <c r="AR874" s="40"/>
      <c r="AS874" s="40"/>
      <c r="AT874" s="40"/>
      <c r="AU874" s="40"/>
      <c r="AV874" s="316"/>
      <c r="AW874" s="317"/>
      <c r="AX874" s="317"/>
      <c r="AY874" s="316"/>
      <c r="AZ874" s="40"/>
      <c r="BA874" s="40"/>
      <c r="BB874" s="40"/>
      <c r="BC874" s="40"/>
      <c r="BD874" s="40"/>
      <c r="BE874" s="40"/>
      <c r="BF874" s="40"/>
      <c r="BG874" s="40"/>
      <c r="BH874" s="40"/>
      <c r="BI874" s="40"/>
      <c r="BJ874" s="40"/>
      <c r="BK874" s="40"/>
      <c r="BL874" s="62">
        <v>0</v>
      </c>
      <c r="BM874" s="275">
        <v>3</v>
      </c>
      <c r="BN874" s="62">
        <v>0</v>
      </c>
      <c r="BO874" s="33" t="s">
        <v>558</v>
      </c>
    </row>
    <row r="875" spans="1:68">
      <c r="A875" s="33" t="str">
        <f>Database_Productkaarten[[#This Row],[Product]]&amp;", "&amp;Database_Productkaarten[[#This Row],[Levensfase]]</f>
        <v>Thermoplastische coating rood, Totaal</v>
      </c>
      <c r="B875" t="s">
        <v>561</v>
      </c>
      <c r="C875" t="s">
        <v>562</v>
      </c>
      <c r="D875" s="33" t="s">
        <v>54</v>
      </c>
      <c r="E875" s="33" t="s">
        <v>385</v>
      </c>
      <c r="F875" s="33" t="s">
        <v>90</v>
      </c>
      <c r="G875" s="33">
        <v>1</v>
      </c>
      <c r="H875" s="33">
        <v>1</v>
      </c>
      <c r="I875" s="33">
        <v>3.0000000000000001E-3</v>
      </c>
      <c r="M875" s="33">
        <v>3.0000000000000001E-3</v>
      </c>
      <c r="N875" s="41">
        <f>N890*1.5</f>
        <v>0</v>
      </c>
      <c r="O875" s="33">
        <v>15</v>
      </c>
      <c r="P875" s="40">
        <f>P890*1.5</f>
        <v>0</v>
      </c>
      <c r="Q875" s="40">
        <f t="shared" ref="Q875:Z878" si="93">Q890*1.5</f>
        <v>0</v>
      </c>
      <c r="R875" s="40">
        <f t="shared" si="93"/>
        <v>0</v>
      </c>
      <c r="S875" s="40">
        <f t="shared" si="93"/>
        <v>0</v>
      </c>
      <c r="T875" s="40">
        <f t="shared" si="93"/>
        <v>0</v>
      </c>
      <c r="U875" s="40">
        <f t="shared" si="93"/>
        <v>0</v>
      </c>
      <c r="V875" s="40">
        <f t="shared" si="93"/>
        <v>0</v>
      </c>
      <c r="W875" s="40">
        <f t="shared" si="93"/>
        <v>0</v>
      </c>
      <c r="X875" s="40">
        <f t="shared" si="93"/>
        <v>0</v>
      </c>
      <c r="Y875" s="40">
        <f t="shared" si="93"/>
        <v>0</v>
      </c>
      <c r="Z875" s="40">
        <f t="shared" si="93"/>
        <v>0</v>
      </c>
      <c r="AA875" s="40"/>
      <c r="AB875" s="40"/>
      <c r="AC875" s="40"/>
      <c r="AD875" s="40"/>
      <c r="AE875" s="40"/>
      <c r="AF875" s="40"/>
      <c r="AG875" s="40"/>
      <c r="AH875" s="40"/>
      <c r="AI875" s="40"/>
      <c r="AJ875" s="40"/>
      <c r="AK875" s="40"/>
      <c r="AL875" s="40"/>
      <c r="AM875" s="40"/>
      <c r="AN875" s="40"/>
      <c r="AO875" s="40"/>
      <c r="AP875" s="40"/>
      <c r="AQ875" s="40"/>
      <c r="AR875" s="40"/>
      <c r="AS875" s="40"/>
      <c r="AT875" s="40"/>
      <c r="AU875" s="40"/>
      <c r="AV875" s="108"/>
      <c r="AY875" s="108"/>
      <c r="BL875" s="62">
        <v>0</v>
      </c>
      <c r="BM875" s="275">
        <v>3</v>
      </c>
      <c r="BN875" s="62">
        <v>0.03</v>
      </c>
      <c r="BO875" s="33" t="s">
        <v>563</v>
      </c>
    </row>
    <row r="876" spans="1:68">
      <c r="A876" s="33" t="str">
        <f>Database_Productkaarten[[#This Row],[Product]]&amp;", "&amp;Database_Productkaarten[[#This Row],[Levensfase]]</f>
        <v>Thermoplastische coating rood, A1</v>
      </c>
      <c r="B876" t="s">
        <v>561</v>
      </c>
      <c r="C876" t="s">
        <v>562</v>
      </c>
      <c r="D876" s="33" t="s">
        <v>54</v>
      </c>
      <c r="E876" s="33" t="s">
        <v>385</v>
      </c>
      <c r="F876" s="33" t="s">
        <v>74</v>
      </c>
      <c r="G876" s="33">
        <v>1</v>
      </c>
      <c r="H876" s="33">
        <v>1</v>
      </c>
      <c r="I876" s="33">
        <v>3.0000000000000001E-3</v>
      </c>
      <c r="M876" s="33">
        <v>3.0000000000000001E-3</v>
      </c>
      <c r="N876" s="41">
        <f>N891*1.5</f>
        <v>1.5152837399999999</v>
      </c>
      <c r="O876" s="33">
        <v>15</v>
      </c>
      <c r="P876" s="40">
        <f>P891*1.5</f>
        <v>1.53068643E-4</v>
      </c>
      <c r="Q876" s="40">
        <f t="shared" si="93"/>
        <v>6.0509817000000007E-2</v>
      </c>
      <c r="R876" s="40">
        <f t="shared" si="93"/>
        <v>7.8461805000000009</v>
      </c>
      <c r="S876" s="40">
        <f t="shared" si="93"/>
        <v>8.5852301999999998E-7</v>
      </c>
      <c r="T876" s="40">
        <f t="shared" si="93"/>
        <v>7.9764972E-3</v>
      </c>
      <c r="U876" s="40">
        <f t="shared" si="93"/>
        <v>7.8381230999999996E-2</v>
      </c>
      <c r="V876" s="40">
        <f t="shared" si="93"/>
        <v>5.1417641999999993E-3</v>
      </c>
      <c r="W876" s="40">
        <f t="shared" si="93"/>
        <v>6.9117611999999999</v>
      </c>
      <c r="X876" s="40">
        <f t="shared" si="93"/>
        <v>1.4799960599999999</v>
      </c>
      <c r="Y876" s="40">
        <f t="shared" si="93"/>
        <v>703.00694999999996</v>
      </c>
      <c r="Z876" s="40">
        <f t="shared" si="93"/>
        <v>1.21670067E-2</v>
      </c>
      <c r="AA876" s="40"/>
      <c r="AB876" s="40"/>
      <c r="AC876" s="40"/>
      <c r="AD876" s="40"/>
      <c r="AE876" s="40"/>
      <c r="AF876" s="40"/>
      <c r="AG876" s="40"/>
      <c r="AH876" s="40"/>
      <c r="AI876" s="40"/>
      <c r="AJ876" s="40"/>
      <c r="AK876" s="40"/>
      <c r="AL876" s="40"/>
      <c r="AM876" s="40"/>
      <c r="AN876" s="40"/>
      <c r="AO876" s="40"/>
      <c r="AP876" s="40"/>
      <c r="AQ876" s="40"/>
      <c r="AR876" s="40"/>
      <c r="AS876" s="40"/>
      <c r="AT876" s="40"/>
      <c r="AU876" s="40"/>
      <c r="AV876" s="281">
        <f>AV891*1.5</f>
        <v>8.8103160000000003</v>
      </c>
      <c r="AW876" s="40"/>
      <c r="AX876" s="40"/>
      <c r="AY876" s="281">
        <f>AY891*1.5</f>
        <v>127.167939</v>
      </c>
      <c r="AZ876" s="40"/>
      <c r="BA876" s="40"/>
      <c r="BB876" s="40"/>
      <c r="BC876" s="40">
        <f>BC891*1.5</f>
        <v>0.15360052499999999</v>
      </c>
      <c r="BD876" s="40">
        <f>BD891*1.5</f>
        <v>9.4318872000000013E-5</v>
      </c>
      <c r="BE876" s="40">
        <f>BE891*1.5</f>
        <v>2.96125755</v>
      </c>
      <c r="BF876" s="40">
        <f>BF891*1.5</f>
        <v>3.1257038999999998E-4</v>
      </c>
      <c r="BG876" s="40"/>
      <c r="BH876" s="40"/>
      <c r="BI876" s="40"/>
      <c r="BJ876" s="40"/>
      <c r="BK876" s="40"/>
      <c r="BL876" s="62">
        <v>0</v>
      </c>
      <c r="BM876" s="275">
        <v>3</v>
      </c>
      <c r="BN876" s="62">
        <v>0.03</v>
      </c>
      <c r="BO876" s="33" t="s">
        <v>563</v>
      </c>
      <c r="BP876" s="33" t="s">
        <v>564</v>
      </c>
    </row>
    <row r="877" spans="1:68">
      <c r="A877" s="33" t="str">
        <f>Database_Productkaarten[[#This Row],[Product]]&amp;", "&amp;Database_Productkaarten[[#This Row],[Levensfase]]</f>
        <v>Thermoplastische coating rood, A2</v>
      </c>
      <c r="B877" t="s">
        <v>561</v>
      </c>
      <c r="C877" t="s">
        <v>562</v>
      </c>
      <c r="D877" s="33" t="s">
        <v>54</v>
      </c>
      <c r="E877" s="33" t="s">
        <v>385</v>
      </c>
      <c r="F877" s="33" t="s">
        <v>75</v>
      </c>
      <c r="G877" s="33">
        <v>1</v>
      </c>
      <c r="H877" s="33">
        <v>1</v>
      </c>
      <c r="I877" s="33">
        <v>3.0000000000000001E-3</v>
      </c>
      <c r="M877" s="33">
        <v>3.0000000000000001E-3</v>
      </c>
      <c r="N877" s="41">
        <f>N892*1.5</f>
        <v>0</v>
      </c>
      <c r="O877" s="33">
        <v>15</v>
      </c>
      <c r="P877" s="40">
        <f>P892*1.5</f>
        <v>0</v>
      </c>
      <c r="Q877" s="40">
        <f t="shared" si="93"/>
        <v>0</v>
      </c>
      <c r="R877" s="40">
        <f t="shared" si="93"/>
        <v>0</v>
      </c>
      <c r="S877" s="40">
        <f t="shared" si="93"/>
        <v>0</v>
      </c>
      <c r="T877" s="40">
        <f t="shared" si="93"/>
        <v>0</v>
      </c>
      <c r="U877" s="40">
        <f t="shared" si="93"/>
        <v>0</v>
      </c>
      <c r="V877" s="40">
        <f t="shared" si="93"/>
        <v>0</v>
      </c>
      <c r="W877" s="40">
        <f t="shared" si="93"/>
        <v>0</v>
      </c>
      <c r="X877" s="40">
        <f t="shared" si="93"/>
        <v>0</v>
      </c>
      <c r="Y877" s="40">
        <f t="shared" si="93"/>
        <v>0</v>
      </c>
      <c r="Z877" s="40">
        <f t="shared" si="93"/>
        <v>0</v>
      </c>
      <c r="AA877" s="40"/>
      <c r="AB877" s="40"/>
      <c r="AC877" s="40"/>
      <c r="AD877" s="40"/>
      <c r="AE877" s="40"/>
      <c r="AF877" s="40"/>
      <c r="AG877" s="40"/>
      <c r="AH877" s="40"/>
      <c r="AI877" s="40"/>
      <c r="AJ877" s="40"/>
      <c r="AK877" s="40"/>
      <c r="AL877" s="40"/>
      <c r="AM877" s="40"/>
      <c r="AN877" s="40"/>
      <c r="AO877" s="40"/>
      <c r="AP877" s="40"/>
      <c r="AQ877" s="40"/>
      <c r="AR877" s="40"/>
      <c r="AS877" s="40"/>
      <c r="AT877" s="40"/>
      <c r="AU877" s="40"/>
      <c r="AV877" s="108"/>
      <c r="AW877" s="312"/>
      <c r="AX877" s="312"/>
      <c r="AY877" s="108"/>
      <c r="AZ877" s="312"/>
      <c r="BA877" s="312"/>
      <c r="BB877" s="312"/>
      <c r="BC877" s="312"/>
      <c r="BD877" s="312"/>
      <c r="BE877" s="312"/>
      <c r="BF877" s="312"/>
      <c r="BG877" s="312"/>
      <c r="BH877" s="312"/>
      <c r="BI877" s="312"/>
      <c r="BJ877" s="312"/>
      <c r="BK877" s="312"/>
      <c r="BL877" s="62">
        <v>0</v>
      </c>
      <c r="BM877" s="275">
        <v>3</v>
      </c>
      <c r="BN877" s="62">
        <v>0.03</v>
      </c>
      <c r="BO877" s="33" t="s">
        <v>563</v>
      </c>
      <c r="BP877" s="33" t="s">
        <v>564</v>
      </c>
    </row>
    <row r="878" spans="1:68">
      <c r="A878" s="33" t="str">
        <f>Database_Productkaarten[[#This Row],[Product]]&amp;", "&amp;Database_Productkaarten[[#This Row],[Levensfase]]</f>
        <v>Thermoplastische coating rood, A3</v>
      </c>
      <c r="B878" t="s">
        <v>561</v>
      </c>
      <c r="C878" t="s">
        <v>562</v>
      </c>
      <c r="D878" s="33" t="s">
        <v>54</v>
      </c>
      <c r="E878" s="33" t="s">
        <v>385</v>
      </c>
      <c r="F878" s="33" t="s">
        <v>76</v>
      </c>
      <c r="G878" s="33">
        <v>1</v>
      </c>
      <c r="H878" s="33">
        <v>1</v>
      </c>
      <c r="I878" s="33">
        <v>3.0000000000000001E-3</v>
      </c>
      <c r="M878" s="33">
        <v>3.0000000000000001E-3</v>
      </c>
      <c r="N878" s="41">
        <f>N893*1.5</f>
        <v>5.7586455000000001E-4</v>
      </c>
      <c r="O878" s="33">
        <v>15</v>
      </c>
      <c r="P878" s="40">
        <f>P893*1.5</f>
        <v>3.1652108999999996E-8</v>
      </c>
      <c r="Q878" s="40">
        <f t="shared" si="93"/>
        <v>5.8327593000000001E-5</v>
      </c>
      <c r="R878" s="40">
        <f t="shared" si="93"/>
        <v>7.7508353999999995E-3</v>
      </c>
      <c r="S878" s="40">
        <f t="shared" si="93"/>
        <v>3.8268840000000006E-10</v>
      </c>
      <c r="T878" s="40">
        <f t="shared" si="93"/>
        <v>1.1544350100000001E-6</v>
      </c>
      <c r="U878" s="40">
        <f t="shared" si="93"/>
        <v>1.4515044300000001E-5</v>
      </c>
      <c r="V878" s="40">
        <f t="shared" si="93"/>
        <v>2.9862328499999998E-6</v>
      </c>
      <c r="W878" s="40">
        <f t="shared" si="93"/>
        <v>8.7210990000000002E-4</v>
      </c>
      <c r="X878" s="40">
        <f t="shared" si="93"/>
        <v>2.4045982799999997E-5</v>
      </c>
      <c r="Y878" s="40">
        <f t="shared" si="93"/>
        <v>0.10147214100000002</v>
      </c>
      <c r="Z878" s="40">
        <f t="shared" si="93"/>
        <v>3.9502994999999997E-5</v>
      </c>
      <c r="AA878" s="40"/>
      <c r="AB878" s="40"/>
      <c r="AC878" s="40"/>
      <c r="AD878" s="40"/>
      <c r="AE878" s="40"/>
      <c r="AF878" s="40"/>
      <c r="AG878" s="40"/>
      <c r="AH878" s="40"/>
      <c r="AI878" s="40"/>
      <c r="AJ878" s="40"/>
      <c r="AK878" s="40"/>
      <c r="AL878" s="40"/>
      <c r="AM878" s="40"/>
      <c r="AN878" s="40"/>
      <c r="AO878" s="40"/>
      <c r="AP878" s="40"/>
      <c r="AQ878" s="40"/>
      <c r="AR878" s="40"/>
      <c r="AS878" s="40"/>
      <c r="AT878" s="40"/>
      <c r="AU878" s="40"/>
      <c r="AV878" s="281">
        <f>AV893*1.5</f>
        <v>1.10975103E-2</v>
      </c>
      <c r="AW878" s="40"/>
      <c r="AX878" s="40"/>
      <c r="AY878" s="281">
        <f>AY893*1.5</f>
        <v>0.110221443</v>
      </c>
      <c r="AZ878" s="40"/>
      <c r="BA878" s="40"/>
      <c r="BB878" s="40"/>
      <c r="BC878" s="40">
        <f>BC893*1.5</f>
        <v>6.3141260999999998E-5</v>
      </c>
      <c r="BD878" s="40">
        <f>BD893*1.5</f>
        <v>7.9384442999999997E-8</v>
      </c>
      <c r="BE878" s="40">
        <f>BE893*1.5</f>
        <v>3.0342693E-4</v>
      </c>
      <c r="BF878" s="40">
        <f>BF893*1.5</f>
        <v>2.1286545000000001E-7</v>
      </c>
      <c r="BG878" s="40"/>
      <c r="BH878" s="40"/>
      <c r="BI878" s="40"/>
      <c r="BJ878" s="40"/>
      <c r="BK878" s="40"/>
      <c r="BL878" s="62">
        <v>0</v>
      </c>
      <c r="BM878" s="275">
        <v>3</v>
      </c>
      <c r="BN878" s="62">
        <v>0.03</v>
      </c>
      <c r="BO878" s="33" t="s">
        <v>563</v>
      </c>
      <c r="BP878" s="33" t="s">
        <v>564</v>
      </c>
    </row>
    <row r="879" spans="1:68">
      <c r="A879" s="33" t="str">
        <f>Database_Productkaarten[[#This Row],[Product]]&amp;", "&amp;Database_Productkaarten[[#This Row],[Levensfase]]</f>
        <v>Thermoplastische coating rood, A1-A3</v>
      </c>
      <c r="B879" s="33" t="str">
        <f>B878</f>
        <v>Thermoplastische coating rood</v>
      </c>
      <c r="C879" s="33" t="str">
        <f>C878</f>
        <v>Kunststofverhadingen</v>
      </c>
      <c r="D879" s="33" t="str">
        <f>D878</f>
        <v>Toplaag</v>
      </c>
      <c r="E879" s="33" t="str">
        <f>E878</f>
        <v>m2</v>
      </c>
      <c r="F879" s="33" t="s">
        <v>77</v>
      </c>
      <c r="G879" s="33">
        <f>G878</f>
        <v>1</v>
      </c>
      <c r="H879" s="33">
        <f t="shared" ref="H879:M879" si="94">H878</f>
        <v>1</v>
      </c>
      <c r="I879" s="33">
        <f t="shared" si="94"/>
        <v>3.0000000000000001E-3</v>
      </c>
      <c r="L879" s="33">
        <f t="shared" si="94"/>
        <v>0</v>
      </c>
      <c r="M879" s="45">
        <f t="shared" si="94"/>
        <v>3.0000000000000001E-3</v>
      </c>
      <c r="N879" s="41">
        <f>SUM(N876:N878)</f>
        <v>1.5158596045499999</v>
      </c>
      <c r="O879" s="33">
        <f>O878</f>
        <v>15</v>
      </c>
      <c r="P879" s="40">
        <f>SUM(P876:P878)</f>
        <v>1.5310029510899999E-4</v>
      </c>
      <c r="Q879" s="40">
        <f t="shared" ref="Q879:BK879" si="95">SUM(Q876:Q878)</f>
        <v>6.0568144593000008E-2</v>
      </c>
      <c r="R879" s="40">
        <f t="shared" si="95"/>
        <v>7.8539313354000013</v>
      </c>
      <c r="S879" s="40">
        <f t="shared" si="95"/>
        <v>8.5890570839999998E-7</v>
      </c>
      <c r="T879" s="40">
        <f t="shared" si="95"/>
        <v>7.97765163501E-3</v>
      </c>
      <c r="U879" s="40">
        <f t="shared" si="95"/>
        <v>7.8395746044299996E-2</v>
      </c>
      <c r="V879" s="40">
        <f t="shared" si="95"/>
        <v>5.1447504328499989E-3</v>
      </c>
      <c r="W879" s="40">
        <f t="shared" si="95"/>
        <v>6.9126333099000004</v>
      </c>
      <c r="X879" s="40">
        <f t="shared" si="95"/>
        <v>1.4800201059828</v>
      </c>
      <c r="Y879" s="40">
        <f t="shared" si="95"/>
        <v>703.10842214100001</v>
      </c>
      <c r="Z879" s="40">
        <f t="shared" si="95"/>
        <v>1.2206509694999999E-2</v>
      </c>
      <c r="AA879" s="40">
        <f t="shared" si="95"/>
        <v>0</v>
      </c>
      <c r="AB879" s="40">
        <f t="shared" si="95"/>
        <v>0</v>
      </c>
      <c r="AC879" s="40">
        <f t="shared" si="95"/>
        <v>0</v>
      </c>
      <c r="AD879" s="40">
        <f t="shared" si="95"/>
        <v>0</v>
      </c>
      <c r="AE879" s="40">
        <f t="shared" si="95"/>
        <v>0</v>
      </c>
      <c r="AF879" s="40">
        <f t="shared" si="95"/>
        <v>0</v>
      </c>
      <c r="AG879" s="40">
        <f t="shared" si="95"/>
        <v>0</v>
      </c>
      <c r="AH879" s="40">
        <f t="shared" si="95"/>
        <v>0</v>
      </c>
      <c r="AI879" s="40">
        <f t="shared" si="95"/>
        <v>0</v>
      </c>
      <c r="AJ879" s="40">
        <f t="shared" si="95"/>
        <v>0</v>
      </c>
      <c r="AK879" s="40">
        <f t="shared" si="95"/>
        <v>0</v>
      </c>
      <c r="AL879" s="40">
        <f t="shared" si="95"/>
        <v>0</v>
      </c>
      <c r="AM879" s="40">
        <f t="shared" si="95"/>
        <v>0</v>
      </c>
      <c r="AN879" s="40">
        <f t="shared" si="95"/>
        <v>0</v>
      </c>
      <c r="AO879" s="40">
        <f t="shared" si="95"/>
        <v>0</v>
      </c>
      <c r="AP879" s="40">
        <f t="shared" si="95"/>
        <v>0</v>
      </c>
      <c r="AQ879" s="40">
        <f t="shared" si="95"/>
        <v>0</v>
      </c>
      <c r="AR879" s="40">
        <f t="shared" si="95"/>
        <v>0</v>
      </c>
      <c r="AS879" s="40">
        <f t="shared" si="95"/>
        <v>0</v>
      </c>
      <c r="AT879" s="40">
        <f t="shared" si="95"/>
        <v>0</v>
      </c>
      <c r="AU879" s="40">
        <f t="shared" si="95"/>
        <v>0</v>
      </c>
      <c r="AV879" s="40">
        <f t="shared" si="95"/>
        <v>8.8214135103000011</v>
      </c>
      <c r="AW879" s="40">
        <f t="shared" si="95"/>
        <v>0</v>
      </c>
      <c r="AX879" s="40">
        <f t="shared" si="95"/>
        <v>0</v>
      </c>
      <c r="AY879" s="40">
        <f t="shared" si="95"/>
        <v>127.278160443</v>
      </c>
      <c r="AZ879" s="40">
        <f t="shared" si="95"/>
        <v>0</v>
      </c>
      <c r="BA879" s="40">
        <f t="shared" si="95"/>
        <v>0</v>
      </c>
      <c r="BB879" s="40">
        <f t="shared" si="95"/>
        <v>0</v>
      </c>
      <c r="BC879" s="40">
        <f t="shared" si="95"/>
        <v>0.15366366626099998</v>
      </c>
      <c r="BD879" s="40">
        <f t="shared" si="95"/>
        <v>9.4398256443000014E-5</v>
      </c>
      <c r="BE879" s="40">
        <f t="shared" si="95"/>
        <v>2.96156097693</v>
      </c>
      <c r="BF879" s="40">
        <f t="shared" si="95"/>
        <v>3.1278325544999998E-4</v>
      </c>
      <c r="BG879" s="40">
        <f t="shared" si="95"/>
        <v>0</v>
      </c>
      <c r="BH879" s="40">
        <f t="shared" si="95"/>
        <v>0</v>
      </c>
      <c r="BI879" s="40">
        <f t="shared" si="95"/>
        <v>0</v>
      </c>
      <c r="BJ879" s="40">
        <f t="shared" si="95"/>
        <v>0</v>
      </c>
      <c r="BK879" s="40">
        <f t="shared" si="95"/>
        <v>0</v>
      </c>
      <c r="BL879" s="62">
        <f>BL878</f>
        <v>0</v>
      </c>
      <c r="BM879" s="275">
        <f>BM878</f>
        <v>3</v>
      </c>
      <c r="BN879" s="62">
        <v>0.03</v>
      </c>
      <c r="BO879" s="33" t="str">
        <f>BO878</f>
        <v>NMD Lengtemarkering, thermoplastisch, doorlopend</v>
      </c>
    </row>
    <row r="880" spans="1:68">
      <c r="A880" s="33" t="str">
        <f>Database_Productkaarten[[#This Row],[Product]]&amp;", "&amp;Database_Productkaarten[[#This Row],[Levensfase]]</f>
        <v>Thermoplastische coating rood, A4</v>
      </c>
      <c r="B880" t="s">
        <v>561</v>
      </c>
      <c r="C880" t="s">
        <v>562</v>
      </c>
      <c r="D880" s="33" t="s">
        <v>54</v>
      </c>
      <c r="E880" s="33" t="s">
        <v>385</v>
      </c>
      <c r="F880" s="33" t="s">
        <v>78</v>
      </c>
      <c r="G880" s="33">
        <v>1</v>
      </c>
      <c r="H880" s="33">
        <v>1</v>
      </c>
      <c r="I880" s="33">
        <v>3.0000000000000001E-3</v>
      </c>
      <c r="M880" s="33">
        <v>3.0000000000000001E-3</v>
      </c>
      <c r="N880" s="41">
        <f t="shared" ref="N880:N886" si="96">N895*1.5</f>
        <v>4.1999999999999997E-3</v>
      </c>
      <c r="O880" s="33">
        <v>15</v>
      </c>
      <c r="P880" s="40">
        <f t="shared" ref="P880:Z886" si="97">P895*1.5</f>
        <v>7.2899999999999998E-8</v>
      </c>
      <c r="Q880" s="40">
        <f t="shared" si="97"/>
        <v>2.877E-4</v>
      </c>
      <c r="R880" s="40">
        <f t="shared" si="97"/>
        <v>3.7949999999999998E-2</v>
      </c>
      <c r="S880" s="40">
        <f t="shared" si="97"/>
        <v>7.5599999999999995E-9</v>
      </c>
      <c r="T880" s="40" t="e">
        <f t="shared" si="97"/>
        <v>#VALUE!</v>
      </c>
      <c r="U880" s="40" t="e">
        <f t="shared" si="97"/>
        <v>#VALUE!</v>
      </c>
      <c r="V880" s="40" t="e">
        <f t="shared" si="97"/>
        <v>#VALUE!</v>
      </c>
      <c r="W880" s="40">
        <f t="shared" si="97"/>
        <v>1.3350000000000001E-2</v>
      </c>
      <c r="X880" s="40" t="e">
        <f t="shared" si="97"/>
        <v>#VALUE!</v>
      </c>
      <c r="Y880" s="40">
        <f t="shared" si="97"/>
        <v>2.2597499999999999</v>
      </c>
      <c r="Z880" s="40" t="e">
        <f t="shared" si="97"/>
        <v>#VALUE!</v>
      </c>
      <c r="AA880" s="40"/>
      <c r="AB880" s="40"/>
      <c r="AC880" s="40"/>
      <c r="AD880" s="40"/>
      <c r="AE880" s="40"/>
      <c r="AF880" s="40"/>
      <c r="AG880" s="40"/>
      <c r="AH880" s="40"/>
      <c r="AI880" s="40"/>
      <c r="AJ880" s="40"/>
      <c r="AK880" s="40"/>
      <c r="AL880" s="40"/>
      <c r="AM880" s="40"/>
      <c r="AN880" s="40"/>
      <c r="AO880" s="40"/>
      <c r="AP880" s="40"/>
      <c r="AQ880" s="40"/>
      <c r="AR880" s="40"/>
      <c r="AS880" s="40"/>
      <c r="AT880" s="40"/>
      <c r="AU880" s="40"/>
      <c r="AV880" s="108"/>
      <c r="AW880" s="312"/>
      <c r="AX880" s="312"/>
      <c r="AY880" s="108"/>
      <c r="AZ880" s="312"/>
      <c r="BA880" s="312"/>
      <c r="BB880" s="312"/>
      <c r="BC880" s="312"/>
      <c r="BD880" s="312"/>
      <c r="BE880" s="312"/>
      <c r="BF880" s="312"/>
      <c r="BG880" s="312"/>
      <c r="BH880" s="312"/>
      <c r="BI880" s="312"/>
      <c r="BJ880" s="312"/>
      <c r="BK880" s="312"/>
      <c r="BL880" s="62">
        <v>0</v>
      </c>
      <c r="BM880" s="275">
        <v>3</v>
      </c>
      <c r="BN880" s="62">
        <v>0.03</v>
      </c>
      <c r="BO880" s="33" t="s">
        <v>563</v>
      </c>
      <c r="BP880" s="33" t="s">
        <v>564</v>
      </c>
    </row>
    <row r="881" spans="1:68">
      <c r="A881" s="33" t="str">
        <f>Database_Productkaarten[[#This Row],[Product]]&amp;", "&amp;Database_Productkaarten[[#This Row],[Levensfase]]</f>
        <v>Thermoplastische coating rood, A5</v>
      </c>
      <c r="B881" t="s">
        <v>561</v>
      </c>
      <c r="C881" t="s">
        <v>562</v>
      </c>
      <c r="D881" s="33" t="s">
        <v>54</v>
      </c>
      <c r="E881" s="33" t="s">
        <v>385</v>
      </c>
      <c r="F881" s="33" t="s">
        <v>79</v>
      </c>
      <c r="G881" s="33">
        <v>1</v>
      </c>
      <c r="H881" s="33">
        <v>1</v>
      </c>
      <c r="I881" s="33">
        <v>3.0000000000000001E-3</v>
      </c>
      <c r="M881" s="33">
        <v>3.0000000000000001E-3</v>
      </c>
      <c r="N881" s="41">
        <f t="shared" si="96"/>
        <v>5.1150000000000001E-2</v>
      </c>
      <c r="O881" s="33">
        <v>15</v>
      </c>
      <c r="P881" s="40">
        <f t="shared" si="97"/>
        <v>8.0070000000000002E-7</v>
      </c>
      <c r="Q881" s="40">
        <f t="shared" si="97"/>
        <v>2.2500000000000003E-3</v>
      </c>
      <c r="R881" s="40">
        <f t="shared" si="97"/>
        <v>0.30630000000000002</v>
      </c>
      <c r="S881" s="40">
        <f t="shared" si="97"/>
        <v>4.0304999999999996E-8</v>
      </c>
      <c r="T881" s="40" t="e">
        <f t="shared" si="97"/>
        <v>#VALUE!</v>
      </c>
      <c r="U881" s="40">
        <f t="shared" si="97"/>
        <v>2.5499999999999997E-3</v>
      </c>
      <c r="V881" s="40" t="e">
        <f t="shared" si="97"/>
        <v>#VALUE!</v>
      </c>
      <c r="W881" s="40">
        <f t="shared" si="97"/>
        <v>0.21179999999999999</v>
      </c>
      <c r="X881" s="40">
        <f t="shared" si="97"/>
        <v>4.2750000000000003E-2</v>
      </c>
      <c r="Y881" s="40">
        <f t="shared" si="97"/>
        <v>21.703800000000001</v>
      </c>
      <c r="Z881" s="40" t="e">
        <f t="shared" si="97"/>
        <v>#VALUE!</v>
      </c>
      <c r="AA881" s="40"/>
      <c r="AB881" s="40"/>
      <c r="AC881" s="40"/>
      <c r="AD881" s="40"/>
      <c r="AE881" s="40"/>
      <c r="AF881" s="40"/>
      <c r="AG881" s="40"/>
      <c r="AH881" s="40"/>
      <c r="AI881" s="40"/>
      <c r="AJ881" s="40"/>
      <c r="AK881" s="40"/>
      <c r="AL881" s="40"/>
      <c r="AM881" s="40"/>
      <c r="AN881" s="40"/>
      <c r="AO881" s="40"/>
      <c r="AP881" s="40"/>
      <c r="AQ881" s="40"/>
      <c r="AR881" s="40"/>
      <c r="AS881" s="40"/>
      <c r="AT881" s="40"/>
      <c r="AU881" s="40"/>
      <c r="AV881" s="108"/>
      <c r="AW881" s="312"/>
      <c r="AX881" s="312"/>
      <c r="AY881" s="108"/>
      <c r="AZ881" s="312"/>
      <c r="BA881" s="312"/>
      <c r="BB881" s="312"/>
      <c r="BC881" s="312"/>
      <c r="BD881" s="312"/>
      <c r="BE881" s="312"/>
      <c r="BF881" s="312"/>
      <c r="BG881" s="312"/>
      <c r="BH881" s="312"/>
      <c r="BI881" s="312"/>
      <c r="BJ881" s="312"/>
      <c r="BK881" s="312"/>
      <c r="BL881" s="62">
        <v>0</v>
      </c>
      <c r="BM881" s="275">
        <v>3</v>
      </c>
      <c r="BN881" s="62">
        <v>0.03</v>
      </c>
      <c r="BO881" s="33" t="s">
        <v>563</v>
      </c>
      <c r="BP881" s="33" t="s">
        <v>564</v>
      </c>
    </row>
    <row r="882" spans="1:68">
      <c r="A882" s="33" t="str">
        <f>Database_Productkaarten[[#This Row],[Product]]&amp;", "&amp;Database_Productkaarten[[#This Row],[Levensfase]]</f>
        <v>Thermoplastische coating rood, B1</v>
      </c>
      <c r="B882" t="s">
        <v>561</v>
      </c>
      <c r="C882" t="s">
        <v>562</v>
      </c>
      <c r="D882" s="33" t="s">
        <v>54</v>
      </c>
      <c r="E882" s="33" t="s">
        <v>385</v>
      </c>
      <c r="F882" s="33" t="s">
        <v>80</v>
      </c>
      <c r="G882" s="33">
        <v>1</v>
      </c>
      <c r="H882" s="33">
        <v>1</v>
      </c>
      <c r="I882" s="33">
        <v>3.0000000000000001E-3</v>
      </c>
      <c r="M882" s="33">
        <v>3.0000000000000001E-3</v>
      </c>
      <c r="N882" s="41">
        <f t="shared" si="96"/>
        <v>0</v>
      </c>
      <c r="O882" s="33">
        <v>15</v>
      </c>
      <c r="P882" s="40">
        <f t="shared" si="97"/>
        <v>0</v>
      </c>
      <c r="Q882" s="40">
        <f t="shared" si="97"/>
        <v>0</v>
      </c>
      <c r="R882" s="40">
        <f t="shared" si="97"/>
        <v>0</v>
      </c>
      <c r="S882" s="40">
        <f t="shared" si="97"/>
        <v>0</v>
      </c>
      <c r="T882" s="40">
        <f t="shared" si="97"/>
        <v>0</v>
      </c>
      <c r="U882" s="40">
        <f t="shared" si="97"/>
        <v>0</v>
      </c>
      <c r="V882" s="40">
        <f t="shared" si="97"/>
        <v>0</v>
      </c>
      <c r="W882" s="40">
        <f t="shared" si="97"/>
        <v>0</v>
      </c>
      <c r="X882" s="40">
        <f t="shared" si="97"/>
        <v>0</v>
      </c>
      <c r="Y882" s="40">
        <f t="shared" si="97"/>
        <v>0</v>
      </c>
      <c r="Z882" s="40">
        <f t="shared" si="97"/>
        <v>0</v>
      </c>
      <c r="AA882" s="40"/>
      <c r="AB882" s="40"/>
      <c r="AC882" s="40"/>
      <c r="AD882" s="40"/>
      <c r="AE882" s="40"/>
      <c r="AF882" s="40"/>
      <c r="AG882" s="40"/>
      <c r="AH882" s="40"/>
      <c r="AI882" s="40"/>
      <c r="AJ882" s="40"/>
      <c r="AK882" s="40"/>
      <c r="AL882" s="40"/>
      <c r="AM882" s="40"/>
      <c r="AN882" s="40"/>
      <c r="AO882" s="40"/>
      <c r="AP882" s="40"/>
      <c r="AQ882" s="40"/>
      <c r="AR882" s="40"/>
      <c r="AS882" s="40"/>
      <c r="AT882" s="40"/>
      <c r="AU882" s="40"/>
      <c r="AV882" s="108"/>
      <c r="AW882" s="312"/>
      <c r="AX882" s="312"/>
      <c r="AY882" s="108"/>
      <c r="AZ882" s="312"/>
      <c r="BA882" s="312"/>
      <c r="BB882" s="312"/>
      <c r="BC882" s="312"/>
      <c r="BD882" s="312"/>
      <c r="BE882" s="312"/>
      <c r="BF882" s="312"/>
      <c r="BG882" s="312"/>
      <c r="BH882" s="312"/>
      <c r="BI882" s="312"/>
      <c r="BJ882" s="312"/>
      <c r="BK882" s="312"/>
      <c r="BL882" s="62">
        <v>0</v>
      </c>
      <c r="BM882" s="275">
        <v>3</v>
      </c>
      <c r="BN882" s="62">
        <v>0.03</v>
      </c>
      <c r="BO882" s="33" t="s">
        <v>563</v>
      </c>
      <c r="BP882" s="33" t="s">
        <v>564</v>
      </c>
    </row>
    <row r="883" spans="1:68">
      <c r="A883" s="33" t="str">
        <f>Database_Productkaarten[[#This Row],[Product]]&amp;", "&amp;Database_Productkaarten[[#This Row],[Levensfase]]</f>
        <v>Thermoplastische coating rood, C1</v>
      </c>
      <c r="B883" t="s">
        <v>561</v>
      </c>
      <c r="C883" t="s">
        <v>562</v>
      </c>
      <c r="D883" s="33" t="s">
        <v>54</v>
      </c>
      <c r="E883" s="33" t="s">
        <v>385</v>
      </c>
      <c r="F883" s="33" t="s">
        <v>83</v>
      </c>
      <c r="G883" s="33">
        <v>1</v>
      </c>
      <c r="H883" s="33">
        <v>1</v>
      </c>
      <c r="I883" s="33">
        <v>3.0000000000000001E-3</v>
      </c>
      <c r="M883" s="33">
        <v>3.0000000000000001E-3</v>
      </c>
      <c r="N883" s="41">
        <f t="shared" si="96"/>
        <v>9.6000000000000009E-3</v>
      </c>
      <c r="O883" s="33">
        <v>15</v>
      </c>
      <c r="P883" s="40">
        <f t="shared" si="97"/>
        <v>4.8299999999999996E-8</v>
      </c>
      <c r="Q883" s="40">
        <f t="shared" si="97"/>
        <v>7.0500000000000001E-4</v>
      </c>
      <c r="R883" s="40">
        <f t="shared" si="97"/>
        <v>0.1032</v>
      </c>
      <c r="S883" s="40">
        <f t="shared" si="97"/>
        <v>1.7970000000000001E-8</v>
      </c>
      <c r="T883" s="40" t="e">
        <f t="shared" si="97"/>
        <v>#VALUE!</v>
      </c>
      <c r="U883" s="40" t="e">
        <f t="shared" si="97"/>
        <v>#VALUE!</v>
      </c>
      <c r="V883" s="40" t="e">
        <f t="shared" si="97"/>
        <v>#VALUE!</v>
      </c>
      <c r="W883" s="40">
        <f t="shared" si="97"/>
        <v>2.5500000000000002E-2</v>
      </c>
      <c r="X883" s="40" t="e">
        <f t="shared" si="97"/>
        <v>#VALUE!</v>
      </c>
      <c r="Y883" s="40">
        <f t="shared" si="97"/>
        <v>1.6927500000000002</v>
      </c>
      <c r="Z883" s="40" t="e">
        <f t="shared" si="97"/>
        <v>#VALUE!</v>
      </c>
      <c r="AA883" s="40"/>
      <c r="AB883" s="40"/>
      <c r="AC883" s="40"/>
      <c r="AD883" s="40"/>
      <c r="AE883" s="40"/>
      <c r="AF883" s="40"/>
      <c r="AG883" s="40"/>
      <c r="AH883" s="40"/>
      <c r="AI883" s="40"/>
      <c r="AJ883" s="40"/>
      <c r="AK883" s="40"/>
      <c r="AL883" s="40"/>
      <c r="AM883" s="40"/>
      <c r="AN883" s="40"/>
      <c r="AO883" s="40"/>
      <c r="AP883" s="40"/>
      <c r="AQ883" s="40"/>
      <c r="AR883" s="40"/>
      <c r="AS883" s="40"/>
      <c r="AT883" s="40"/>
      <c r="AU883" s="40"/>
      <c r="AV883" s="108"/>
      <c r="AW883" s="312"/>
      <c r="AX883" s="312"/>
      <c r="AY883" s="108"/>
      <c r="AZ883" s="312"/>
      <c r="BA883" s="312"/>
      <c r="BB883" s="312"/>
      <c r="BC883" s="312"/>
      <c r="BD883" s="312"/>
      <c r="BE883" s="312"/>
      <c r="BF883" s="312"/>
      <c r="BG883" s="312"/>
      <c r="BH883" s="312"/>
      <c r="BI883" s="312"/>
      <c r="BJ883" s="312"/>
      <c r="BK883" s="312"/>
      <c r="BL883" s="62">
        <v>0</v>
      </c>
      <c r="BM883" s="275">
        <v>3</v>
      </c>
      <c r="BN883" s="62">
        <v>0.03</v>
      </c>
      <c r="BO883" s="33" t="s">
        <v>563</v>
      </c>
      <c r="BP883" s="33" t="s">
        <v>564</v>
      </c>
    </row>
    <row r="884" spans="1:68">
      <c r="A884" s="33" t="str">
        <f>Database_Productkaarten[[#This Row],[Product]]&amp;", "&amp;Database_Productkaarten[[#This Row],[Levensfase]]</f>
        <v>Thermoplastische coating rood, C2</v>
      </c>
      <c r="B884" t="s">
        <v>561</v>
      </c>
      <c r="C884" t="s">
        <v>562</v>
      </c>
      <c r="D884" s="33" t="s">
        <v>54</v>
      </c>
      <c r="E884" s="33" t="s">
        <v>385</v>
      </c>
      <c r="F884" s="33" t="s">
        <v>84</v>
      </c>
      <c r="G884" s="33">
        <v>1</v>
      </c>
      <c r="H884" s="33">
        <v>1</v>
      </c>
      <c r="I884" s="33">
        <v>3.0000000000000001E-3</v>
      </c>
      <c r="M884" s="33">
        <v>3.0000000000000001E-3</v>
      </c>
      <c r="N884" s="41">
        <f t="shared" si="96"/>
        <v>4.1999999999999997E-3</v>
      </c>
      <c r="O884" s="33">
        <v>15</v>
      </c>
      <c r="P884" s="40">
        <f t="shared" si="97"/>
        <v>7.1684999999999996E-8</v>
      </c>
      <c r="Q884" s="40">
        <f t="shared" si="97"/>
        <v>2.8289999999999999E-4</v>
      </c>
      <c r="R884" s="40">
        <f t="shared" si="97"/>
        <v>3.7349999999999994E-2</v>
      </c>
      <c r="S884" s="40">
        <f t="shared" si="97"/>
        <v>7.4339999999999998E-9</v>
      </c>
      <c r="T884" s="40" t="e">
        <f t="shared" si="97"/>
        <v>#VALUE!</v>
      </c>
      <c r="U884" s="40" t="e">
        <f t="shared" si="97"/>
        <v>#VALUE!</v>
      </c>
      <c r="V884" s="40" t="e">
        <f t="shared" si="97"/>
        <v>#VALUE!</v>
      </c>
      <c r="W884" s="40">
        <f t="shared" si="97"/>
        <v>1.32E-2</v>
      </c>
      <c r="X884" s="40" t="e">
        <f t="shared" si="97"/>
        <v>#VALUE!</v>
      </c>
      <c r="Y884" s="40">
        <f t="shared" si="97"/>
        <v>2.2221000000000002</v>
      </c>
      <c r="Z884" s="40" t="e">
        <f t="shared" si="97"/>
        <v>#VALUE!</v>
      </c>
      <c r="AA884" s="40"/>
      <c r="AB884" s="40"/>
      <c r="AC884" s="40"/>
      <c r="AD884" s="40"/>
      <c r="AE884" s="40"/>
      <c r="AF884" s="40"/>
      <c r="AG884" s="40"/>
      <c r="AH884" s="40"/>
      <c r="AI884" s="40"/>
      <c r="AJ884" s="40"/>
      <c r="AK884" s="40"/>
      <c r="AL884" s="40"/>
      <c r="AM884" s="40"/>
      <c r="AN884" s="40"/>
      <c r="AO884" s="40"/>
      <c r="AP884" s="40"/>
      <c r="AQ884" s="40"/>
      <c r="AR884" s="40"/>
      <c r="AS884" s="40"/>
      <c r="AT884" s="40"/>
      <c r="AU884" s="40"/>
      <c r="AV884" s="108"/>
      <c r="AW884" s="312"/>
      <c r="AX884" s="312"/>
      <c r="AY884" s="108"/>
      <c r="AZ884" s="312"/>
      <c r="BA884" s="312"/>
      <c r="BB884" s="312"/>
      <c r="BC884" s="312"/>
      <c r="BD884" s="312"/>
      <c r="BE884" s="312"/>
      <c r="BF884" s="312"/>
      <c r="BG884" s="312"/>
      <c r="BH884" s="312"/>
      <c r="BI884" s="312"/>
      <c r="BJ884" s="312"/>
      <c r="BK884" s="312"/>
      <c r="BL884" s="62">
        <v>0</v>
      </c>
      <c r="BM884" s="275">
        <v>3</v>
      </c>
      <c r="BN884" s="62">
        <v>0.03</v>
      </c>
      <c r="BO884" s="33" t="s">
        <v>563</v>
      </c>
      <c r="BP884" s="33" t="s">
        <v>564</v>
      </c>
    </row>
    <row r="885" spans="1:68">
      <c r="A885" s="33" t="str">
        <f>Database_Productkaarten[[#This Row],[Product]]&amp;", "&amp;Database_Productkaarten[[#This Row],[Levensfase]]</f>
        <v>Thermoplastische coating rood, C3</v>
      </c>
      <c r="B885" t="s">
        <v>561</v>
      </c>
      <c r="C885" t="s">
        <v>562</v>
      </c>
      <c r="D885" s="33" t="s">
        <v>54</v>
      </c>
      <c r="E885" s="33" t="s">
        <v>385</v>
      </c>
      <c r="F885" s="33" t="s">
        <v>85</v>
      </c>
      <c r="G885" s="33">
        <v>1</v>
      </c>
      <c r="H885" s="33">
        <v>1</v>
      </c>
      <c r="I885" s="33">
        <v>3.0000000000000001E-3</v>
      </c>
      <c r="M885" s="33">
        <v>3.0000000000000001E-3</v>
      </c>
      <c r="N885" s="41">
        <f t="shared" si="96"/>
        <v>4.1700000000000001E-2</v>
      </c>
      <c r="O885" s="33">
        <v>15</v>
      </c>
      <c r="P885" s="40">
        <f t="shared" si="97"/>
        <v>1.3179E-8</v>
      </c>
      <c r="Q885" s="40">
        <f t="shared" si="97"/>
        <v>5.3219999999999995E-5</v>
      </c>
      <c r="R885" s="40">
        <f t="shared" si="97"/>
        <v>0.34109999999999996</v>
      </c>
      <c r="S885" s="40">
        <f t="shared" si="97"/>
        <v>1.7954999999999999E-7</v>
      </c>
      <c r="T885" s="40" t="e">
        <f t="shared" si="97"/>
        <v>#VALUE!</v>
      </c>
      <c r="U885" s="40">
        <f t="shared" si="97"/>
        <v>1.8E-3</v>
      </c>
      <c r="V885" s="40">
        <f t="shared" si="97"/>
        <v>1.8E-3</v>
      </c>
      <c r="W885" s="40">
        <f t="shared" si="97"/>
        <v>2.1000000000000001E-2</v>
      </c>
      <c r="X885" s="40" t="e">
        <f t="shared" si="97"/>
        <v>#VALUE!</v>
      </c>
      <c r="Y885" s="40">
        <f t="shared" si="97"/>
        <v>7.7999999999999996E-3</v>
      </c>
      <c r="Z885" s="40" t="e">
        <f t="shared" si="97"/>
        <v>#VALUE!</v>
      </c>
      <c r="AA885" s="40"/>
      <c r="AB885" s="40"/>
      <c r="AC885" s="40"/>
      <c r="AD885" s="40"/>
      <c r="AE885" s="40"/>
      <c r="AF885" s="40"/>
      <c r="AG885" s="40"/>
      <c r="AH885" s="40"/>
      <c r="AI885" s="40"/>
      <c r="AJ885" s="40"/>
      <c r="AK885" s="40"/>
      <c r="AL885" s="40"/>
      <c r="AM885" s="40"/>
      <c r="AN885" s="40"/>
      <c r="AO885" s="40"/>
      <c r="AP885" s="40"/>
      <c r="AQ885" s="40"/>
      <c r="AR885" s="40"/>
      <c r="AS885" s="40"/>
      <c r="AT885" s="40"/>
      <c r="AU885" s="40"/>
      <c r="AV885" s="108"/>
      <c r="AW885" s="312"/>
      <c r="AX885" s="312"/>
      <c r="AY885" s="108"/>
      <c r="AZ885" s="312"/>
      <c r="BA885" s="312"/>
      <c r="BB885" s="312"/>
      <c r="BC885" s="312"/>
      <c r="BD885" s="312"/>
      <c r="BE885" s="312"/>
      <c r="BF885" s="312"/>
      <c r="BG885" s="312"/>
      <c r="BH885" s="312"/>
      <c r="BI885" s="312"/>
      <c r="BJ885" s="312"/>
      <c r="BK885" s="312"/>
      <c r="BL885" s="62">
        <v>0</v>
      </c>
      <c r="BM885" s="275">
        <v>3</v>
      </c>
      <c r="BN885" s="62">
        <v>0.03</v>
      </c>
      <c r="BO885" s="33" t="s">
        <v>563</v>
      </c>
      <c r="BP885" s="33" t="s">
        <v>564</v>
      </c>
    </row>
    <row r="886" spans="1:68">
      <c r="A886" s="33" t="str">
        <f>Database_Productkaarten[[#This Row],[Product]]&amp;", "&amp;Database_Productkaarten[[#This Row],[Levensfase]]</f>
        <v>Thermoplastische coating rood, C4</v>
      </c>
      <c r="B886" t="s">
        <v>561</v>
      </c>
      <c r="C886" t="s">
        <v>562</v>
      </c>
      <c r="D886" s="33" t="s">
        <v>54</v>
      </c>
      <c r="E886" s="33" t="s">
        <v>385</v>
      </c>
      <c r="F886" s="33" t="s">
        <v>86</v>
      </c>
      <c r="G886" s="33">
        <v>1</v>
      </c>
      <c r="H886" s="33">
        <v>1</v>
      </c>
      <c r="I886" s="33">
        <v>3.0000000000000001E-3</v>
      </c>
      <c r="M886" s="33">
        <v>3.0000000000000001E-3</v>
      </c>
      <c r="N886" s="41">
        <f t="shared" si="96"/>
        <v>9.8219999999999991E-4</v>
      </c>
      <c r="O886" s="33">
        <v>15</v>
      </c>
      <c r="P886" s="40">
        <f t="shared" si="97"/>
        <v>2.0850000000000001E-9</v>
      </c>
      <c r="Q886" s="40">
        <f t="shared" si="97"/>
        <v>1.9454999999999999E-5</v>
      </c>
      <c r="R886" s="40">
        <f t="shared" si="97"/>
        <v>1.5300000000000001E-2</v>
      </c>
      <c r="S886" s="40">
        <f t="shared" si="97"/>
        <v>4.3050000000000001E-10</v>
      </c>
      <c r="T886" s="40" t="e">
        <f t="shared" si="97"/>
        <v>#VALUE!</v>
      </c>
      <c r="U886" s="40" t="e">
        <f t="shared" si="97"/>
        <v>#VALUE!</v>
      </c>
      <c r="V886" s="40" t="e">
        <f t="shared" si="97"/>
        <v>#VALUE!</v>
      </c>
      <c r="W886" s="40" t="e">
        <f t="shared" si="97"/>
        <v>#VALUE!</v>
      </c>
      <c r="X886" s="40" t="e">
        <f t="shared" si="97"/>
        <v>#VALUE!</v>
      </c>
      <c r="Y886" s="40">
        <f t="shared" si="97"/>
        <v>0.47835000000000005</v>
      </c>
      <c r="Z886" s="40" t="e">
        <f t="shared" si="97"/>
        <v>#VALUE!</v>
      </c>
      <c r="AA886" s="40"/>
      <c r="AB886" s="40"/>
      <c r="AC886" s="40"/>
      <c r="AD886" s="40"/>
      <c r="AE886" s="40"/>
      <c r="AF886" s="40"/>
      <c r="AG886" s="40"/>
      <c r="AH886" s="40"/>
      <c r="AI886" s="40"/>
      <c r="AJ886" s="40"/>
      <c r="AK886" s="40"/>
      <c r="AL886" s="40"/>
      <c r="AM886" s="40"/>
      <c r="AN886" s="40"/>
      <c r="AO886" s="40"/>
      <c r="AP886" s="40"/>
      <c r="AQ886" s="40"/>
      <c r="AR886" s="40"/>
      <c r="AS886" s="40"/>
      <c r="AT886" s="40"/>
      <c r="AU886" s="40"/>
      <c r="AV886" s="108"/>
      <c r="AW886" s="312"/>
      <c r="AX886" s="312"/>
      <c r="AY886" s="108"/>
      <c r="AZ886" s="312"/>
      <c r="BA886" s="312"/>
      <c r="BB886" s="312"/>
      <c r="BC886" s="312"/>
      <c r="BD886" s="312"/>
      <c r="BE886" s="312"/>
      <c r="BF886" s="312"/>
      <c r="BG886" s="312"/>
      <c r="BH886" s="312"/>
      <c r="BI886" s="312"/>
      <c r="BJ886" s="312"/>
      <c r="BK886" s="312"/>
      <c r="BL886" s="62">
        <v>0</v>
      </c>
      <c r="BM886" s="275">
        <v>3</v>
      </c>
      <c r="BN886" s="62">
        <v>0.03</v>
      </c>
      <c r="BO886" s="33" t="s">
        <v>563</v>
      </c>
      <c r="BP886" s="33" t="s">
        <v>564</v>
      </c>
    </row>
    <row r="887" spans="1:68">
      <c r="A887" s="33" t="str">
        <f>Database_Productkaarten[[#This Row],[Product]]&amp;", "&amp;Database_Productkaarten[[#This Row],[Levensfase]]</f>
        <v>Thermoplastische coating rood, D</v>
      </c>
      <c r="B887" s="33" t="str">
        <f>B888</f>
        <v>Thermoplastische coating rood</v>
      </c>
      <c r="C887" s="33" t="str">
        <f>C888</f>
        <v>Kunststofverhadingen</v>
      </c>
      <c r="D887" s="33" t="str">
        <f>D888</f>
        <v>Toplaag</v>
      </c>
      <c r="E887" s="33" t="str">
        <f>E888</f>
        <v>m2</v>
      </c>
      <c r="F887" s="33" t="s">
        <v>89</v>
      </c>
      <c r="G887" s="33">
        <f t="shared" ref="G887:M887" si="98">G888</f>
        <v>1</v>
      </c>
      <c r="H887" s="33">
        <f t="shared" si="98"/>
        <v>1</v>
      </c>
      <c r="I887" s="33">
        <f t="shared" si="98"/>
        <v>3.0000000000000001E-3</v>
      </c>
      <c r="L887" s="33">
        <f t="shared" si="98"/>
        <v>0</v>
      </c>
      <c r="M887" s="45">
        <f t="shared" si="98"/>
        <v>3.0000000000000001E-3</v>
      </c>
      <c r="N887" s="41">
        <f>SUM(N888:N889)</f>
        <v>0</v>
      </c>
      <c r="O887" s="33">
        <f>O888</f>
        <v>15</v>
      </c>
      <c r="P887" s="40">
        <f>SUM(P888:P889)</f>
        <v>0</v>
      </c>
      <c r="Q887" s="40">
        <f>SUM(Q888:Q889)</f>
        <v>0</v>
      </c>
      <c r="R887" s="40">
        <f>SUM(R888:R889)</f>
        <v>0</v>
      </c>
      <c r="S887" s="40">
        <f t="shared" ref="S887:BK887" si="99">SUM(S888:S889)</f>
        <v>0</v>
      </c>
      <c r="T887" s="40">
        <f t="shared" si="99"/>
        <v>0</v>
      </c>
      <c r="U887" s="40">
        <f t="shared" si="99"/>
        <v>0</v>
      </c>
      <c r="V887" s="40">
        <f t="shared" si="99"/>
        <v>0</v>
      </c>
      <c r="W887" s="40">
        <f t="shared" si="99"/>
        <v>0</v>
      </c>
      <c r="X887" s="40">
        <f t="shared" si="99"/>
        <v>0</v>
      </c>
      <c r="Y887" s="40">
        <f t="shared" si="99"/>
        <v>0</v>
      </c>
      <c r="Z887" s="40">
        <f t="shared" si="99"/>
        <v>0</v>
      </c>
      <c r="AA887" s="40">
        <f t="shared" si="99"/>
        <v>0</v>
      </c>
      <c r="AB887" s="40">
        <f t="shared" si="99"/>
        <v>0</v>
      </c>
      <c r="AC887" s="40">
        <f t="shared" si="99"/>
        <v>0</v>
      </c>
      <c r="AD887" s="40">
        <f t="shared" si="99"/>
        <v>0</v>
      </c>
      <c r="AE887" s="40">
        <f t="shared" si="99"/>
        <v>0</v>
      </c>
      <c r="AF887" s="40">
        <f t="shared" si="99"/>
        <v>0</v>
      </c>
      <c r="AG887" s="40">
        <f t="shared" si="99"/>
        <v>0</v>
      </c>
      <c r="AH887" s="40">
        <f t="shared" si="99"/>
        <v>0</v>
      </c>
      <c r="AI887" s="40">
        <f t="shared" si="99"/>
        <v>0</v>
      </c>
      <c r="AJ887" s="40">
        <f t="shared" si="99"/>
        <v>0</v>
      </c>
      <c r="AK887" s="40">
        <f t="shared" si="99"/>
        <v>0</v>
      </c>
      <c r="AL887" s="40">
        <f t="shared" si="99"/>
        <v>0</v>
      </c>
      <c r="AM887" s="40">
        <f t="shared" si="99"/>
        <v>0</v>
      </c>
      <c r="AN887" s="40">
        <f t="shared" si="99"/>
        <v>0</v>
      </c>
      <c r="AO887" s="40">
        <f t="shared" si="99"/>
        <v>0</v>
      </c>
      <c r="AP887" s="40">
        <f t="shared" si="99"/>
        <v>0</v>
      </c>
      <c r="AQ887" s="40">
        <f t="shared" si="99"/>
        <v>0</v>
      </c>
      <c r="AR887" s="40">
        <f t="shared" si="99"/>
        <v>0</v>
      </c>
      <c r="AS887" s="40">
        <f t="shared" si="99"/>
        <v>0</v>
      </c>
      <c r="AT887" s="40">
        <f t="shared" si="99"/>
        <v>0</v>
      </c>
      <c r="AU887" s="40">
        <f t="shared" si="99"/>
        <v>0</v>
      </c>
      <c r="AV887" s="40">
        <f t="shared" si="99"/>
        <v>0</v>
      </c>
      <c r="AW887" s="40">
        <f t="shared" si="99"/>
        <v>0</v>
      </c>
      <c r="AX887" s="40">
        <f t="shared" si="99"/>
        <v>0</v>
      </c>
      <c r="AY887" s="40">
        <f t="shared" si="99"/>
        <v>0</v>
      </c>
      <c r="AZ887" s="40">
        <f t="shared" si="99"/>
        <v>0</v>
      </c>
      <c r="BA887" s="40">
        <f t="shared" si="99"/>
        <v>0</v>
      </c>
      <c r="BB887" s="40">
        <f t="shared" si="99"/>
        <v>0</v>
      </c>
      <c r="BC887" s="40">
        <f t="shared" si="99"/>
        <v>0</v>
      </c>
      <c r="BD887" s="40">
        <f t="shared" si="99"/>
        <v>0</v>
      </c>
      <c r="BE887" s="40">
        <f t="shared" si="99"/>
        <v>0</v>
      </c>
      <c r="BF887" s="40">
        <f t="shared" si="99"/>
        <v>0</v>
      </c>
      <c r="BG887" s="40">
        <f t="shared" si="99"/>
        <v>0</v>
      </c>
      <c r="BH887" s="40">
        <f t="shared" si="99"/>
        <v>0</v>
      </c>
      <c r="BI887" s="40">
        <f t="shared" si="99"/>
        <v>0</v>
      </c>
      <c r="BJ887" s="40">
        <f t="shared" si="99"/>
        <v>0</v>
      </c>
      <c r="BK887" s="40">
        <f t="shared" si="99"/>
        <v>0</v>
      </c>
      <c r="BL887" s="62">
        <f>BL888</f>
        <v>0</v>
      </c>
      <c r="BM887" s="275">
        <f>BM888</f>
        <v>3</v>
      </c>
      <c r="BN887" s="62">
        <v>0.03</v>
      </c>
      <c r="BO887" s="33" t="str">
        <f>BO888</f>
        <v>NMD Lengtemarkering, thermoplastisch, doorlopend</v>
      </c>
    </row>
    <row r="888" spans="1:68">
      <c r="A888" s="33" t="str">
        <f>Database_Productkaarten[[#This Row],[Product]]&amp;", "&amp;Database_Productkaarten[[#This Row],[Levensfase]]</f>
        <v>Thermoplastische coating rood, D1</v>
      </c>
      <c r="B888" t="s">
        <v>561</v>
      </c>
      <c r="C888" t="s">
        <v>562</v>
      </c>
      <c r="D888" s="33" t="s">
        <v>54</v>
      </c>
      <c r="E888" s="33" t="s">
        <v>385</v>
      </c>
      <c r="F888" s="33" t="s">
        <v>87</v>
      </c>
      <c r="G888" s="33">
        <v>1</v>
      </c>
      <c r="H888" s="33">
        <v>1</v>
      </c>
      <c r="I888" s="33">
        <v>3.0000000000000001E-3</v>
      </c>
      <c r="M888" s="33">
        <v>3.0000000000000001E-3</v>
      </c>
      <c r="N888" s="41">
        <f>N903*1.5</f>
        <v>0</v>
      </c>
      <c r="O888" s="33">
        <v>15</v>
      </c>
      <c r="P888" s="40">
        <f t="shared" ref="P888:Z889" si="100">P903*1.5</f>
        <v>0</v>
      </c>
      <c r="Q888" s="40">
        <f t="shared" si="100"/>
        <v>0</v>
      </c>
      <c r="R888" s="40">
        <f t="shared" si="100"/>
        <v>0</v>
      </c>
      <c r="S888" s="40">
        <f t="shared" si="100"/>
        <v>0</v>
      </c>
      <c r="T888" s="40">
        <f t="shared" si="100"/>
        <v>0</v>
      </c>
      <c r="U888" s="40">
        <f t="shared" si="100"/>
        <v>0</v>
      </c>
      <c r="V888" s="40">
        <f t="shared" si="100"/>
        <v>0</v>
      </c>
      <c r="W888" s="40">
        <f t="shared" si="100"/>
        <v>0</v>
      </c>
      <c r="X888" s="40">
        <f t="shared" si="100"/>
        <v>0</v>
      </c>
      <c r="Y888" s="40">
        <f t="shared" si="100"/>
        <v>0</v>
      </c>
      <c r="Z888" s="40">
        <f t="shared" si="100"/>
        <v>0</v>
      </c>
      <c r="AA888" s="40"/>
      <c r="AB888" s="40"/>
      <c r="AC888" s="40"/>
      <c r="AD888" s="40"/>
      <c r="AE888" s="40"/>
      <c r="AF888" s="40"/>
      <c r="AG888" s="40"/>
      <c r="AH888" s="40"/>
      <c r="AI888" s="40"/>
      <c r="AJ888" s="40"/>
      <c r="AK888" s="40"/>
      <c r="AL888" s="40"/>
      <c r="AM888" s="40"/>
      <c r="AN888" s="40"/>
      <c r="AO888" s="40"/>
      <c r="AP888" s="40"/>
      <c r="AQ888" s="40"/>
      <c r="AR888" s="40"/>
      <c r="AS888" s="40"/>
      <c r="AT888" s="40"/>
      <c r="AU888" s="40"/>
      <c r="AV888" s="108"/>
      <c r="AW888" s="312"/>
      <c r="AX888" s="312"/>
      <c r="AY888" s="108"/>
      <c r="AZ888" s="312"/>
      <c r="BA888" s="312"/>
      <c r="BB888" s="312"/>
      <c r="BC888" s="312"/>
      <c r="BD888" s="312"/>
      <c r="BE888" s="312"/>
      <c r="BF888" s="312"/>
      <c r="BG888" s="312"/>
      <c r="BH888" s="312"/>
      <c r="BI888" s="312"/>
      <c r="BJ888" s="312"/>
      <c r="BK888" s="312"/>
      <c r="BL888" s="62">
        <v>0</v>
      </c>
      <c r="BM888" s="275">
        <v>3</v>
      </c>
      <c r="BN888" s="62">
        <v>0.03</v>
      </c>
      <c r="BO888" s="33" t="s">
        <v>563</v>
      </c>
      <c r="BP888" s="33" t="s">
        <v>564</v>
      </c>
    </row>
    <row r="889" spans="1:68">
      <c r="A889" s="33" t="str">
        <f>Database_Productkaarten[[#This Row],[Product]]&amp;", "&amp;Database_Productkaarten[[#This Row],[Levensfase]]</f>
        <v>Thermoplastische coating rood, D2</v>
      </c>
      <c r="B889" t="s">
        <v>561</v>
      </c>
      <c r="C889" t="s">
        <v>562</v>
      </c>
      <c r="D889" s="33" t="s">
        <v>54</v>
      </c>
      <c r="E889" s="33" t="s">
        <v>385</v>
      </c>
      <c r="F889" s="33" t="s">
        <v>88</v>
      </c>
      <c r="G889" s="33">
        <v>1</v>
      </c>
      <c r="H889" s="33">
        <v>1</v>
      </c>
      <c r="I889" s="33">
        <v>3.0000000000000001E-3</v>
      </c>
      <c r="M889" s="33">
        <v>3.0000000000000001E-3</v>
      </c>
      <c r="N889" s="41">
        <f>N904*1.5</f>
        <v>0</v>
      </c>
      <c r="O889" s="33">
        <v>15</v>
      </c>
      <c r="P889" s="40">
        <f t="shared" si="100"/>
        <v>0</v>
      </c>
      <c r="Q889" s="40">
        <f t="shared" si="100"/>
        <v>0</v>
      </c>
      <c r="R889" s="40">
        <f t="shared" si="100"/>
        <v>0</v>
      </c>
      <c r="S889" s="40">
        <f t="shared" si="100"/>
        <v>0</v>
      </c>
      <c r="T889" s="40">
        <f t="shared" si="100"/>
        <v>0</v>
      </c>
      <c r="U889" s="40">
        <f t="shared" si="100"/>
        <v>0</v>
      </c>
      <c r="V889" s="40">
        <f t="shared" si="100"/>
        <v>0</v>
      </c>
      <c r="W889" s="40">
        <f t="shared" si="100"/>
        <v>0</v>
      </c>
      <c r="X889" s="40">
        <f t="shared" si="100"/>
        <v>0</v>
      </c>
      <c r="Y889" s="40">
        <f t="shared" si="100"/>
        <v>0</v>
      </c>
      <c r="Z889" s="40">
        <f t="shared" si="100"/>
        <v>0</v>
      </c>
      <c r="AA889" s="40"/>
      <c r="AB889" s="40"/>
      <c r="AC889" s="40"/>
      <c r="AD889" s="40"/>
      <c r="AE889" s="40"/>
      <c r="AF889" s="40"/>
      <c r="AG889" s="40"/>
      <c r="AH889" s="40"/>
      <c r="AI889" s="40"/>
      <c r="AJ889" s="40"/>
      <c r="AK889" s="40"/>
      <c r="AL889" s="40"/>
      <c r="AM889" s="40"/>
      <c r="AN889" s="40"/>
      <c r="AO889" s="40"/>
      <c r="AP889" s="40"/>
      <c r="AQ889" s="40"/>
      <c r="AR889" s="40"/>
      <c r="AS889" s="40"/>
      <c r="AT889" s="40"/>
      <c r="AU889" s="40"/>
      <c r="AV889" s="108"/>
      <c r="AW889" s="312"/>
      <c r="AX889" s="312"/>
      <c r="AY889" s="108"/>
      <c r="AZ889" s="312"/>
      <c r="BA889" s="312"/>
      <c r="BB889" s="312"/>
      <c r="BC889" s="312"/>
      <c r="BD889" s="312"/>
      <c r="BE889" s="312"/>
      <c r="BF889" s="312"/>
      <c r="BG889" s="312"/>
      <c r="BH889" s="312"/>
      <c r="BI889" s="312"/>
      <c r="BJ889" s="312"/>
      <c r="BK889" s="312"/>
      <c r="BL889" s="62">
        <v>0</v>
      </c>
      <c r="BM889" s="275">
        <v>3</v>
      </c>
      <c r="BN889" s="62">
        <v>0.03</v>
      </c>
      <c r="BO889" s="33" t="s">
        <v>563</v>
      </c>
      <c r="BP889" s="33" t="s">
        <v>564</v>
      </c>
    </row>
    <row r="890" spans="1:68">
      <c r="A890" s="33" t="str">
        <f>Database_Productkaarten[[#This Row],[Product]]&amp;", "&amp;Database_Productkaarten[[#This Row],[Levensfase]]</f>
        <v>Thermoplast markering, Totaal</v>
      </c>
      <c r="B890" t="s">
        <v>565</v>
      </c>
      <c r="C890" t="s">
        <v>562</v>
      </c>
      <c r="D890" s="33" t="s">
        <v>566</v>
      </c>
      <c r="E890" s="33" t="s">
        <v>389</v>
      </c>
      <c r="F890" s="33" t="s">
        <v>90</v>
      </c>
      <c r="G890" s="33">
        <v>1</v>
      </c>
      <c r="H890" s="33">
        <v>1</v>
      </c>
      <c r="I890" s="33">
        <v>3.0000000000000001E-3</v>
      </c>
      <c r="M890" s="33">
        <v>2E-3</v>
      </c>
      <c r="N890" s="41"/>
      <c r="O890" s="33">
        <v>12</v>
      </c>
      <c r="P890" s="40"/>
      <c r="Q890" s="40"/>
      <c r="R890" s="40"/>
      <c r="S890" s="40"/>
      <c r="T890" s="40"/>
      <c r="U890" s="40"/>
      <c r="V890" s="40"/>
      <c r="W890" s="40"/>
      <c r="X890" s="40"/>
      <c r="Y890" s="40"/>
      <c r="Z890" s="40"/>
      <c r="AA890" s="40"/>
      <c r="AB890" s="40"/>
      <c r="AC890" s="40"/>
      <c r="AD890" s="40"/>
      <c r="AE890" s="40"/>
      <c r="AF890" s="40"/>
      <c r="AG890" s="40"/>
      <c r="AH890" s="40"/>
      <c r="AI890" s="40"/>
      <c r="AJ890" s="40"/>
      <c r="AK890" s="40"/>
      <c r="AL890" s="40"/>
      <c r="AM890" s="40"/>
      <c r="AN890" s="40"/>
      <c r="AO890" s="40"/>
      <c r="AP890" s="40"/>
      <c r="AQ890" s="40"/>
      <c r="AR890" s="40"/>
      <c r="AS890" s="40"/>
      <c r="AT890" s="40"/>
      <c r="AU890" s="40"/>
      <c r="AV890" s="281"/>
      <c r="AW890" s="40"/>
      <c r="AX890" s="40"/>
      <c r="AY890" s="281"/>
      <c r="AZ890" s="40"/>
      <c r="BA890" s="40"/>
      <c r="BB890" s="40"/>
      <c r="BC890" s="40"/>
      <c r="BD890" s="40"/>
      <c r="BE890" s="40"/>
      <c r="BF890" s="40"/>
      <c r="BG890" s="40"/>
      <c r="BH890" s="40"/>
      <c r="BI890" s="40"/>
      <c r="BJ890" s="40"/>
      <c r="BK890" s="40"/>
      <c r="BL890" s="62">
        <v>0</v>
      </c>
      <c r="BM890" s="275">
        <v>3</v>
      </c>
      <c r="BN890" s="62">
        <v>0.03</v>
      </c>
      <c r="BO890" s="33" t="s">
        <v>563</v>
      </c>
    </row>
    <row r="891" spans="1:68">
      <c r="A891" s="33" t="str">
        <f>Database_Productkaarten[[#This Row],[Product]]&amp;", "&amp;Database_Productkaarten[[#This Row],[Levensfase]]</f>
        <v>Thermoplast markering, A1</v>
      </c>
      <c r="B891" t="s">
        <v>565</v>
      </c>
      <c r="C891" t="s">
        <v>562</v>
      </c>
      <c r="D891" s="33" t="s">
        <v>566</v>
      </c>
      <c r="E891" s="33" t="s">
        <v>389</v>
      </c>
      <c r="F891" s="33" t="s">
        <v>74</v>
      </c>
      <c r="G891" s="33">
        <v>1</v>
      </c>
      <c r="H891" s="33">
        <v>1</v>
      </c>
      <c r="I891" s="33">
        <v>3.0000000000000001E-3</v>
      </c>
      <c r="M891" s="33">
        <v>2E-3</v>
      </c>
      <c r="N891" s="41">
        <v>1.0101891599999999</v>
      </c>
      <c r="O891" s="33">
        <v>12</v>
      </c>
      <c r="P891" s="40">
        <v>1.0204576199999999E-4</v>
      </c>
      <c r="Q891" s="40">
        <v>4.0339878000000003E-2</v>
      </c>
      <c r="R891" s="40">
        <v>5.2307870000000003</v>
      </c>
      <c r="S891" s="40">
        <v>5.7234867999999999E-7</v>
      </c>
      <c r="T891" s="40">
        <v>5.3176648E-3</v>
      </c>
      <c r="U891" s="40">
        <v>5.2254153999999997E-2</v>
      </c>
      <c r="V891" s="40">
        <v>3.4278427999999998E-3</v>
      </c>
      <c r="W891" s="40">
        <v>4.6078408</v>
      </c>
      <c r="X891" s="40">
        <v>0.98666403999999996</v>
      </c>
      <c r="Y891" s="40">
        <v>468.67129999999997</v>
      </c>
      <c r="Z891" s="40">
        <v>8.1113378E-3</v>
      </c>
      <c r="AA891" s="40"/>
      <c r="AB891" s="40"/>
      <c r="AC891" s="40"/>
      <c r="AD891" s="40"/>
      <c r="AE891" s="40"/>
      <c r="AF891" s="40"/>
      <c r="AG891" s="40"/>
      <c r="AH891" s="40"/>
      <c r="AI891" s="40"/>
      <c r="AJ891" s="40"/>
      <c r="AK891" s="40"/>
      <c r="AL891" s="40"/>
      <c r="AM891" s="40"/>
      <c r="AN891" s="40"/>
      <c r="AO891" s="40"/>
      <c r="AP891" s="40"/>
      <c r="AQ891" s="40"/>
      <c r="AR891" s="40"/>
      <c r="AS891" s="40"/>
      <c r="AT891" s="40"/>
      <c r="AU891" s="40"/>
      <c r="AV891" s="281">
        <v>5.8735439999999999</v>
      </c>
      <c r="AW891" s="40"/>
      <c r="AX891" s="40"/>
      <c r="AY891" s="281">
        <v>84.778626000000003</v>
      </c>
      <c r="AZ891" s="40"/>
      <c r="BA891" s="40"/>
      <c r="BB891" s="40"/>
      <c r="BC891" s="40">
        <v>0.10240035</v>
      </c>
      <c r="BD891" s="40">
        <v>6.2879248000000004E-5</v>
      </c>
      <c r="BE891" s="40">
        <v>1.9741717000000001</v>
      </c>
      <c r="BF891" s="40">
        <v>2.0838026E-4</v>
      </c>
      <c r="BG891" s="40"/>
      <c r="BH891" s="40"/>
      <c r="BI891" s="40"/>
      <c r="BJ891" s="40"/>
      <c r="BK891" s="40"/>
      <c r="BL891" s="62">
        <v>0</v>
      </c>
      <c r="BM891" s="275">
        <v>3</v>
      </c>
      <c r="BN891" s="62">
        <v>0.03</v>
      </c>
      <c r="BO891" s="33" t="s">
        <v>563</v>
      </c>
      <c r="BP891" s="33" t="s">
        <v>567</v>
      </c>
    </row>
    <row r="892" spans="1:68">
      <c r="A892" s="33" t="str">
        <f>Database_Productkaarten[[#This Row],[Product]]&amp;", "&amp;Database_Productkaarten[[#This Row],[Levensfase]]</f>
        <v>Thermoplast markering, A2</v>
      </c>
      <c r="B892" t="s">
        <v>565</v>
      </c>
      <c r="C892" t="s">
        <v>562</v>
      </c>
      <c r="D892" s="33" t="s">
        <v>566</v>
      </c>
      <c r="E892" s="33" t="s">
        <v>389</v>
      </c>
      <c r="F892" s="33" t="s">
        <v>75</v>
      </c>
      <c r="G892" s="33">
        <v>1</v>
      </c>
      <c r="H892" s="33">
        <v>1</v>
      </c>
      <c r="I892" s="33">
        <v>3.0000000000000001E-3</v>
      </c>
      <c r="M892" s="33">
        <v>2E-3</v>
      </c>
      <c r="N892" s="41"/>
      <c r="O892" s="33">
        <v>12</v>
      </c>
      <c r="P892" s="40"/>
      <c r="Q892" s="40"/>
      <c r="R892" s="40"/>
      <c r="S892" s="40"/>
      <c r="T892" s="40"/>
      <c r="U892" s="40"/>
      <c r="V892" s="40"/>
      <c r="W892" s="40"/>
      <c r="X892" s="40"/>
      <c r="Y892" s="40"/>
      <c r="Z892" s="40"/>
      <c r="AA892" s="40"/>
      <c r="AB892" s="40"/>
      <c r="AC892" s="40"/>
      <c r="AD892" s="40"/>
      <c r="AE892" s="40"/>
      <c r="AF892" s="40"/>
      <c r="AG892" s="40"/>
      <c r="AH892" s="40"/>
      <c r="AI892" s="40"/>
      <c r="AJ892" s="40"/>
      <c r="AK892" s="40"/>
      <c r="AL892" s="40"/>
      <c r="AM892" s="40"/>
      <c r="AN892" s="40"/>
      <c r="AO892" s="40"/>
      <c r="AP892" s="40"/>
      <c r="AQ892" s="40"/>
      <c r="AR892" s="40"/>
      <c r="AS892" s="40"/>
      <c r="AT892" s="40"/>
      <c r="AU892" s="40"/>
      <c r="AV892" s="281"/>
      <c r="AW892" s="40"/>
      <c r="AX892" s="40"/>
      <c r="AY892" s="281"/>
      <c r="AZ892" s="40"/>
      <c r="BA892" s="40"/>
      <c r="BB892" s="40"/>
      <c r="BC892" s="40"/>
      <c r="BD892" s="40"/>
      <c r="BE892" s="40"/>
      <c r="BF892" s="40"/>
      <c r="BG892" s="40"/>
      <c r="BH892" s="40"/>
      <c r="BI892" s="40"/>
      <c r="BJ892" s="40"/>
      <c r="BK892" s="40"/>
      <c r="BL892" s="62">
        <v>0</v>
      </c>
      <c r="BM892" s="275">
        <v>3</v>
      </c>
      <c r="BN892" s="62">
        <v>0.03</v>
      </c>
      <c r="BO892" s="33" t="s">
        <v>563</v>
      </c>
      <c r="BP892" s="33" t="s">
        <v>567</v>
      </c>
    </row>
    <row r="893" spans="1:68">
      <c r="A893" s="33" t="str">
        <f>Database_Productkaarten[[#This Row],[Product]]&amp;", "&amp;Database_Productkaarten[[#This Row],[Levensfase]]</f>
        <v>Thermoplast markering, A3</v>
      </c>
      <c r="B893" t="s">
        <v>565</v>
      </c>
      <c r="C893" t="s">
        <v>562</v>
      </c>
      <c r="D893" s="33" t="s">
        <v>566</v>
      </c>
      <c r="E893" s="33" t="s">
        <v>389</v>
      </c>
      <c r="F893" s="33" t="s">
        <v>76</v>
      </c>
      <c r="G893" s="33">
        <v>1</v>
      </c>
      <c r="H893" s="33">
        <v>1</v>
      </c>
      <c r="I893" s="33">
        <v>3.0000000000000001E-3</v>
      </c>
      <c r="M893" s="33">
        <v>2E-3</v>
      </c>
      <c r="N893" s="41">
        <v>3.8390970000000001E-4</v>
      </c>
      <c r="O893" s="33">
        <v>12</v>
      </c>
      <c r="P893" s="40">
        <v>2.1101405999999999E-8</v>
      </c>
      <c r="Q893" s="40">
        <v>3.8885062000000001E-5</v>
      </c>
      <c r="R893" s="40">
        <v>5.1672235999999996E-3</v>
      </c>
      <c r="S893" s="40">
        <v>2.5512560000000002E-10</v>
      </c>
      <c r="T893" s="40">
        <v>7.6962333999999997E-7</v>
      </c>
      <c r="U893" s="40">
        <v>9.6766962000000006E-6</v>
      </c>
      <c r="V893" s="40">
        <v>1.9908218999999999E-6</v>
      </c>
      <c r="W893" s="40">
        <v>5.8140660000000001E-4</v>
      </c>
      <c r="X893" s="40">
        <v>1.6030655199999999E-5</v>
      </c>
      <c r="Y893" s="40">
        <v>6.7648094000000006E-2</v>
      </c>
      <c r="Z893" s="40">
        <v>2.633533E-5</v>
      </c>
      <c r="AA893" s="40"/>
      <c r="AB893" s="40"/>
      <c r="AC893" s="40"/>
      <c r="AD893" s="40"/>
      <c r="AE893" s="40"/>
      <c r="AF893" s="40"/>
      <c r="AG893" s="40"/>
      <c r="AH893" s="40"/>
      <c r="AI893" s="40"/>
      <c r="AJ893" s="40"/>
      <c r="AK893" s="40"/>
      <c r="AL893" s="40"/>
      <c r="AM893" s="40"/>
      <c r="AN893" s="40"/>
      <c r="AO893" s="40"/>
      <c r="AP893" s="40"/>
      <c r="AQ893" s="40"/>
      <c r="AR893" s="40"/>
      <c r="AS893" s="40"/>
      <c r="AT893" s="40"/>
      <c r="AU893" s="40"/>
      <c r="AV893" s="281">
        <v>7.3983401999999998E-3</v>
      </c>
      <c r="AW893" s="40"/>
      <c r="AX893" s="40"/>
      <c r="AY893" s="281">
        <v>7.3480961999999997E-2</v>
      </c>
      <c r="AZ893" s="40"/>
      <c r="BA893" s="40"/>
      <c r="BB893" s="40"/>
      <c r="BC893" s="40">
        <v>4.2094174000000003E-5</v>
      </c>
      <c r="BD893" s="40">
        <v>5.2922961999999998E-8</v>
      </c>
      <c r="BE893" s="40">
        <v>2.0228461999999999E-4</v>
      </c>
      <c r="BF893" s="40">
        <v>1.4191030000000001E-7</v>
      </c>
      <c r="BG893" s="40"/>
      <c r="BH893" s="40"/>
      <c r="BI893" s="40"/>
      <c r="BJ893" s="40"/>
      <c r="BK893" s="40"/>
      <c r="BL893" s="62">
        <v>0</v>
      </c>
      <c r="BM893" s="275">
        <v>3</v>
      </c>
      <c r="BN893" s="62">
        <v>0.03</v>
      </c>
      <c r="BO893" s="33" t="s">
        <v>563</v>
      </c>
      <c r="BP893" s="33" t="s">
        <v>567</v>
      </c>
    </row>
    <row r="894" spans="1:68">
      <c r="A894" s="33" t="str">
        <f>Database_Productkaarten[[#This Row],[Product]]&amp;", "&amp;Database_Productkaarten[[#This Row],[Levensfase]]</f>
        <v>Thermoplast markering, A1-A3</v>
      </c>
      <c r="B894" s="33" t="str">
        <f>B893</f>
        <v>Thermoplast markering</v>
      </c>
      <c r="C894" s="33" t="str">
        <f>C893</f>
        <v>Kunststofverhadingen</v>
      </c>
      <c r="D894" s="33" t="str">
        <f>D893</f>
        <v>Markering</v>
      </c>
      <c r="E894" s="33" t="str">
        <f>E893</f>
        <v>m1</v>
      </c>
      <c r="F894" s="33" t="s">
        <v>77</v>
      </c>
      <c r="G894" s="33">
        <f>G893</f>
        <v>1</v>
      </c>
      <c r="H894" s="33">
        <f t="shared" ref="H894:M894" si="101">H893</f>
        <v>1</v>
      </c>
      <c r="I894" s="33">
        <f t="shared" si="101"/>
        <v>3.0000000000000001E-3</v>
      </c>
      <c r="L894" s="33">
        <f t="shared" si="101"/>
        <v>0</v>
      </c>
      <c r="M894" s="45">
        <f t="shared" si="101"/>
        <v>2E-3</v>
      </c>
      <c r="N894" s="41">
        <f>SUM(N891:N893)</f>
        <v>1.0105730696999999</v>
      </c>
      <c r="O894" s="33">
        <f>O893</f>
        <v>12</v>
      </c>
      <c r="P894" s="40">
        <f>SUM(P891:P893)</f>
        <v>1.02066863406E-4</v>
      </c>
      <c r="Q894" s="40">
        <f t="shared" ref="Q894:BK894" si="102">SUM(Q891:Q893)</f>
        <v>4.0378763062E-2</v>
      </c>
      <c r="R894" s="40">
        <f t="shared" si="102"/>
        <v>5.2359542236000003</v>
      </c>
      <c r="S894" s="40">
        <f t="shared" si="102"/>
        <v>5.7260380559999999E-7</v>
      </c>
      <c r="T894" s="40">
        <f t="shared" si="102"/>
        <v>5.3184344233399997E-3</v>
      </c>
      <c r="U894" s="40">
        <f t="shared" si="102"/>
        <v>5.2263830696199998E-2</v>
      </c>
      <c r="V894" s="40">
        <f t="shared" si="102"/>
        <v>3.4298336219E-3</v>
      </c>
      <c r="W894" s="40">
        <f t="shared" si="102"/>
        <v>4.6084222066000002</v>
      </c>
      <c r="X894" s="40">
        <f t="shared" si="102"/>
        <v>0.98668007065519991</v>
      </c>
      <c r="Y894" s="40">
        <f t="shared" si="102"/>
        <v>468.73894809399997</v>
      </c>
      <c r="Z894" s="40">
        <f t="shared" si="102"/>
        <v>8.1376731300000001E-3</v>
      </c>
      <c r="AA894" s="40">
        <f t="shared" si="102"/>
        <v>0</v>
      </c>
      <c r="AB894" s="40">
        <f t="shared" si="102"/>
        <v>0</v>
      </c>
      <c r="AC894" s="40">
        <f t="shared" si="102"/>
        <v>0</v>
      </c>
      <c r="AD894" s="40">
        <f t="shared" si="102"/>
        <v>0</v>
      </c>
      <c r="AE894" s="40">
        <f t="shared" si="102"/>
        <v>0</v>
      </c>
      <c r="AF894" s="40">
        <f t="shared" si="102"/>
        <v>0</v>
      </c>
      <c r="AG894" s="40">
        <f t="shared" si="102"/>
        <v>0</v>
      </c>
      <c r="AH894" s="40">
        <f t="shared" si="102"/>
        <v>0</v>
      </c>
      <c r="AI894" s="40">
        <f t="shared" si="102"/>
        <v>0</v>
      </c>
      <c r="AJ894" s="40">
        <f t="shared" si="102"/>
        <v>0</v>
      </c>
      <c r="AK894" s="40">
        <f t="shared" si="102"/>
        <v>0</v>
      </c>
      <c r="AL894" s="40">
        <f t="shared" si="102"/>
        <v>0</v>
      </c>
      <c r="AM894" s="40">
        <f t="shared" si="102"/>
        <v>0</v>
      </c>
      <c r="AN894" s="40">
        <f t="shared" si="102"/>
        <v>0</v>
      </c>
      <c r="AO894" s="40">
        <f t="shared" si="102"/>
        <v>0</v>
      </c>
      <c r="AP894" s="40">
        <f t="shared" si="102"/>
        <v>0</v>
      </c>
      <c r="AQ894" s="40">
        <f t="shared" si="102"/>
        <v>0</v>
      </c>
      <c r="AR894" s="40">
        <f t="shared" si="102"/>
        <v>0</v>
      </c>
      <c r="AS894" s="40">
        <f t="shared" si="102"/>
        <v>0</v>
      </c>
      <c r="AT894" s="40">
        <f t="shared" si="102"/>
        <v>0</v>
      </c>
      <c r="AU894" s="40">
        <f t="shared" si="102"/>
        <v>0</v>
      </c>
      <c r="AV894" s="40">
        <f t="shared" si="102"/>
        <v>5.8809423401999998</v>
      </c>
      <c r="AW894" s="40">
        <f t="shared" si="102"/>
        <v>0</v>
      </c>
      <c r="AX894" s="40">
        <f t="shared" si="102"/>
        <v>0</v>
      </c>
      <c r="AY894" s="40">
        <f t="shared" si="102"/>
        <v>84.852106962000008</v>
      </c>
      <c r="AZ894" s="40">
        <f t="shared" si="102"/>
        <v>0</v>
      </c>
      <c r="BA894" s="40">
        <f t="shared" si="102"/>
        <v>0</v>
      </c>
      <c r="BB894" s="40">
        <f t="shared" si="102"/>
        <v>0</v>
      </c>
      <c r="BC894" s="40">
        <f t="shared" si="102"/>
        <v>0.102442444174</v>
      </c>
      <c r="BD894" s="40">
        <f t="shared" si="102"/>
        <v>6.2932170962000009E-5</v>
      </c>
      <c r="BE894" s="40">
        <f t="shared" si="102"/>
        <v>1.9743739846200001</v>
      </c>
      <c r="BF894" s="40">
        <f t="shared" si="102"/>
        <v>2.0852217030000001E-4</v>
      </c>
      <c r="BG894" s="40">
        <f t="shared" si="102"/>
        <v>0</v>
      </c>
      <c r="BH894" s="40">
        <f t="shared" si="102"/>
        <v>0</v>
      </c>
      <c r="BI894" s="40">
        <f t="shared" si="102"/>
        <v>0</v>
      </c>
      <c r="BJ894" s="40">
        <f t="shared" si="102"/>
        <v>0</v>
      </c>
      <c r="BK894" s="40">
        <f t="shared" si="102"/>
        <v>0</v>
      </c>
      <c r="BL894" s="62">
        <f>BL893</f>
        <v>0</v>
      </c>
      <c r="BM894" s="275">
        <f>BM893</f>
        <v>3</v>
      </c>
      <c r="BN894" s="62">
        <v>0.03</v>
      </c>
      <c r="BO894" s="33" t="str">
        <f>BO893</f>
        <v>NMD Lengtemarkering, thermoplastisch, doorlopend</v>
      </c>
    </row>
    <row r="895" spans="1:68">
      <c r="A895" s="33" t="str">
        <f>Database_Productkaarten[[#This Row],[Product]]&amp;", "&amp;Database_Productkaarten[[#This Row],[Levensfase]]</f>
        <v>Thermoplast markering, A4</v>
      </c>
      <c r="B895" t="s">
        <v>565</v>
      </c>
      <c r="C895" t="s">
        <v>562</v>
      </c>
      <c r="D895" s="33" t="s">
        <v>566</v>
      </c>
      <c r="E895" s="33" t="s">
        <v>389</v>
      </c>
      <c r="F895" s="33" t="s">
        <v>78</v>
      </c>
      <c r="G895" s="33">
        <v>1</v>
      </c>
      <c r="H895" s="33">
        <v>1</v>
      </c>
      <c r="I895" s="33">
        <v>3.0000000000000001E-3</v>
      </c>
      <c r="M895" s="33">
        <v>2E-3</v>
      </c>
      <c r="N895" s="41">
        <v>2.8E-3</v>
      </c>
      <c r="O895" s="33">
        <v>12</v>
      </c>
      <c r="P895" s="40">
        <v>4.8599999999999998E-8</v>
      </c>
      <c r="Q895" s="40">
        <v>1.918E-4</v>
      </c>
      <c r="R895" s="40">
        <v>2.53E-2</v>
      </c>
      <c r="S895" s="40">
        <v>5.04E-9</v>
      </c>
      <c r="T895" s="40" t="s">
        <v>568</v>
      </c>
      <c r="U895" s="40" t="s">
        <v>569</v>
      </c>
      <c r="V895" s="40" t="s">
        <v>570</v>
      </c>
      <c r="W895" s="40">
        <v>8.8999999999999999E-3</v>
      </c>
      <c r="X895" s="40" t="s">
        <v>571</v>
      </c>
      <c r="Y895" s="40">
        <v>1.5065</v>
      </c>
      <c r="Z895" s="40" t="s">
        <v>572</v>
      </c>
      <c r="AA895" s="40"/>
      <c r="AB895" s="40"/>
      <c r="AC895" s="40"/>
      <c r="AD895" s="40"/>
      <c r="AE895" s="40"/>
      <c r="AF895" s="40"/>
      <c r="AG895" s="40"/>
      <c r="AH895" s="40"/>
      <c r="AI895" s="40"/>
      <c r="AJ895" s="40"/>
      <c r="AK895" s="40"/>
      <c r="AL895" s="40"/>
      <c r="AM895" s="40"/>
      <c r="AN895" s="40"/>
      <c r="AO895" s="40"/>
      <c r="AP895" s="40"/>
      <c r="AQ895" s="40"/>
      <c r="AR895" s="40"/>
      <c r="AS895" s="40"/>
      <c r="AT895" s="40"/>
      <c r="AU895" s="40"/>
      <c r="AV895" s="281"/>
      <c r="AW895" s="40"/>
      <c r="AX895" s="40"/>
      <c r="AY895" s="281"/>
      <c r="AZ895" s="40"/>
      <c r="BA895" s="40"/>
      <c r="BB895" s="40"/>
      <c r="BC895" s="40"/>
      <c r="BD895" s="40"/>
      <c r="BE895" s="40"/>
      <c r="BF895" s="40"/>
      <c r="BG895" s="40"/>
      <c r="BH895" s="40"/>
      <c r="BI895" s="40"/>
      <c r="BJ895" s="40"/>
      <c r="BK895" s="40"/>
      <c r="BL895" s="62">
        <v>0</v>
      </c>
      <c r="BM895" s="275">
        <v>3</v>
      </c>
      <c r="BN895" s="62">
        <v>0.03</v>
      </c>
      <c r="BO895" s="33" t="s">
        <v>563</v>
      </c>
      <c r="BP895" s="33" t="s">
        <v>567</v>
      </c>
    </row>
    <row r="896" spans="1:68">
      <c r="A896" s="33" t="str">
        <f>Database_Productkaarten[[#This Row],[Product]]&amp;", "&amp;Database_Productkaarten[[#This Row],[Levensfase]]</f>
        <v>Thermoplast markering, A5</v>
      </c>
      <c r="B896" t="s">
        <v>565</v>
      </c>
      <c r="C896" t="s">
        <v>562</v>
      </c>
      <c r="D896" s="33" t="s">
        <v>566</v>
      </c>
      <c r="E896" s="33" t="s">
        <v>389</v>
      </c>
      <c r="F896" s="33" t="s">
        <v>79</v>
      </c>
      <c r="G896" s="33">
        <v>1</v>
      </c>
      <c r="H896" s="33">
        <v>1</v>
      </c>
      <c r="I896" s="33">
        <v>3.0000000000000001E-3</v>
      </c>
      <c r="M896" s="33">
        <v>2E-3</v>
      </c>
      <c r="N896" s="41">
        <v>3.4099999999999998E-2</v>
      </c>
      <c r="O896" s="33">
        <v>12</v>
      </c>
      <c r="P896" s="40">
        <v>5.3379999999999998E-7</v>
      </c>
      <c r="Q896" s="40">
        <v>1.5E-3</v>
      </c>
      <c r="R896" s="40">
        <v>0.20419999999999999</v>
      </c>
      <c r="S896" s="40">
        <v>2.6869999999999998E-8</v>
      </c>
      <c r="T896" s="40" t="s">
        <v>573</v>
      </c>
      <c r="U896" s="40">
        <v>1.6999999999999999E-3</v>
      </c>
      <c r="V896" s="40" t="s">
        <v>574</v>
      </c>
      <c r="W896" s="40">
        <v>0.14119999999999999</v>
      </c>
      <c r="X896" s="40">
        <v>2.8500000000000001E-2</v>
      </c>
      <c r="Y896" s="40">
        <v>14.469200000000001</v>
      </c>
      <c r="Z896" s="40" t="s">
        <v>575</v>
      </c>
      <c r="AA896" s="40"/>
      <c r="AB896" s="40"/>
      <c r="AC896" s="40"/>
      <c r="AD896" s="40"/>
      <c r="AE896" s="40"/>
      <c r="AF896" s="40"/>
      <c r="AG896" s="40"/>
      <c r="AH896" s="40"/>
      <c r="AI896" s="40"/>
      <c r="AJ896" s="40"/>
      <c r="AK896" s="40"/>
      <c r="AL896" s="40"/>
      <c r="AM896" s="40"/>
      <c r="AN896" s="40"/>
      <c r="AO896" s="40"/>
      <c r="AP896" s="40"/>
      <c r="AQ896" s="40"/>
      <c r="AR896" s="40"/>
      <c r="AS896" s="40"/>
      <c r="AT896" s="40"/>
      <c r="AU896" s="40"/>
      <c r="AV896" s="281"/>
      <c r="AW896" s="40"/>
      <c r="AX896" s="40"/>
      <c r="AY896" s="281"/>
      <c r="AZ896" s="40"/>
      <c r="BA896" s="40"/>
      <c r="BB896" s="40"/>
      <c r="BC896" s="40"/>
      <c r="BD896" s="40"/>
      <c r="BE896" s="40"/>
      <c r="BF896" s="40"/>
      <c r="BG896" s="40"/>
      <c r="BH896" s="40"/>
      <c r="BI896" s="40"/>
      <c r="BJ896" s="40"/>
      <c r="BK896" s="40"/>
      <c r="BL896" s="62">
        <v>0</v>
      </c>
      <c r="BM896" s="275">
        <v>3</v>
      </c>
      <c r="BN896" s="62">
        <v>0.03</v>
      </c>
      <c r="BO896" s="33" t="s">
        <v>563</v>
      </c>
      <c r="BP896" s="33" t="s">
        <v>567</v>
      </c>
    </row>
    <row r="897" spans="1:68">
      <c r="A897" s="33" t="str">
        <f>Database_Productkaarten[[#This Row],[Product]]&amp;", "&amp;Database_Productkaarten[[#This Row],[Levensfase]]</f>
        <v>Thermoplast markering, B1</v>
      </c>
      <c r="B897" t="s">
        <v>565</v>
      </c>
      <c r="C897" t="s">
        <v>562</v>
      </c>
      <c r="D897" s="33" t="s">
        <v>566</v>
      </c>
      <c r="E897" s="33" t="s">
        <v>389</v>
      </c>
      <c r="F897" s="33" t="s">
        <v>80</v>
      </c>
      <c r="G897" s="33">
        <v>1</v>
      </c>
      <c r="H897" s="33">
        <v>1</v>
      </c>
      <c r="I897" s="33">
        <v>3.0000000000000001E-3</v>
      </c>
      <c r="M897" s="33">
        <v>2E-3</v>
      </c>
      <c r="N897" s="41"/>
      <c r="O897" s="33">
        <v>12</v>
      </c>
      <c r="P897" s="40"/>
      <c r="Q897" s="40"/>
      <c r="R897" s="40"/>
      <c r="S897" s="40"/>
      <c r="T897" s="40"/>
      <c r="U897" s="40"/>
      <c r="V897" s="40"/>
      <c r="W897" s="40"/>
      <c r="X897" s="40"/>
      <c r="Y897" s="40"/>
      <c r="Z897" s="40"/>
      <c r="AA897" s="40"/>
      <c r="AB897" s="40"/>
      <c r="AC897" s="40"/>
      <c r="AD897" s="40"/>
      <c r="AE897" s="40"/>
      <c r="AF897" s="40"/>
      <c r="AG897" s="40"/>
      <c r="AH897" s="40"/>
      <c r="AI897" s="40"/>
      <c r="AJ897" s="40"/>
      <c r="AK897" s="40"/>
      <c r="AL897" s="40"/>
      <c r="AM897" s="40"/>
      <c r="AN897" s="40"/>
      <c r="AO897" s="40"/>
      <c r="AP897" s="40"/>
      <c r="AQ897" s="40"/>
      <c r="AR897" s="40"/>
      <c r="AS897" s="40"/>
      <c r="AT897" s="40"/>
      <c r="AU897" s="40"/>
      <c r="AV897" s="281"/>
      <c r="AW897" s="40"/>
      <c r="AX897" s="40"/>
      <c r="AY897" s="281"/>
      <c r="AZ897" s="40"/>
      <c r="BA897" s="40"/>
      <c r="BB897" s="40"/>
      <c r="BC897" s="40"/>
      <c r="BD897" s="40"/>
      <c r="BE897" s="40"/>
      <c r="BF897" s="40"/>
      <c r="BG897" s="40"/>
      <c r="BH897" s="40"/>
      <c r="BI897" s="40"/>
      <c r="BJ897" s="40"/>
      <c r="BK897" s="40"/>
      <c r="BL897" s="62">
        <v>0</v>
      </c>
      <c r="BM897" s="275">
        <v>3</v>
      </c>
      <c r="BN897" s="62">
        <v>0.03</v>
      </c>
      <c r="BO897" s="33" t="s">
        <v>563</v>
      </c>
      <c r="BP897" s="33" t="s">
        <v>567</v>
      </c>
    </row>
    <row r="898" spans="1:68">
      <c r="A898" s="33" t="str">
        <f>Database_Productkaarten[[#This Row],[Product]]&amp;", "&amp;Database_Productkaarten[[#This Row],[Levensfase]]</f>
        <v>Thermoplast markering, C1</v>
      </c>
      <c r="B898" t="s">
        <v>565</v>
      </c>
      <c r="C898" t="s">
        <v>562</v>
      </c>
      <c r="D898" s="33" t="s">
        <v>566</v>
      </c>
      <c r="E898" s="33" t="s">
        <v>389</v>
      </c>
      <c r="F898" s="33" t="s">
        <v>83</v>
      </c>
      <c r="G898" s="33">
        <v>1</v>
      </c>
      <c r="H898" s="33">
        <v>1</v>
      </c>
      <c r="I898" s="33">
        <v>3.0000000000000001E-3</v>
      </c>
      <c r="M898" s="33">
        <v>2E-3</v>
      </c>
      <c r="N898" s="41">
        <v>6.4000000000000003E-3</v>
      </c>
      <c r="O898" s="33">
        <v>12</v>
      </c>
      <c r="P898" s="40">
        <v>3.2199999999999997E-8</v>
      </c>
      <c r="Q898" s="40">
        <v>4.6999999999999999E-4</v>
      </c>
      <c r="R898" s="40">
        <v>6.88E-2</v>
      </c>
      <c r="S898" s="40">
        <v>1.198E-8</v>
      </c>
      <c r="T898" s="40" t="s">
        <v>576</v>
      </c>
      <c r="U898" s="40" t="s">
        <v>577</v>
      </c>
      <c r="V898" s="40" t="s">
        <v>578</v>
      </c>
      <c r="W898" s="40">
        <v>1.7000000000000001E-2</v>
      </c>
      <c r="X898" s="40" t="s">
        <v>579</v>
      </c>
      <c r="Y898" s="40">
        <v>1.1285000000000001</v>
      </c>
      <c r="Z898" s="40" t="s">
        <v>580</v>
      </c>
      <c r="AA898" s="40"/>
      <c r="AB898" s="40"/>
      <c r="AC898" s="40"/>
      <c r="AD898" s="40"/>
      <c r="AE898" s="40"/>
      <c r="AF898" s="40"/>
      <c r="AG898" s="40"/>
      <c r="AH898" s="40"/>
      <c r="AI898" s="40"/>
      <c r="AJ898" s="40"/>
      <c r="AK898" s="40"/>
      <c r="AL898" s="40"/>
      <c r="AM898" s="40"/>
      <c r="AN898" s="40"/>
      <c r="AO898" s="40"/>
      <c r="AP898" s="40"/>
      <c r="AQ898" s="40"/>
      <c r="AR898" s="40"/>
      <c r="AS898" s="40"/>
      <c r="AT898" s="40"/>
      <c r="AU898" s="40"/>
      <c r="AV898" s="281"/>
      <c r="AW898" s="40"/>
      <c r="AX898" s="40"/>
      <c r="AY898" s="281"/>
      <c r="AZ898" s="40"/>
      <c r="BA898" s="40"/>
      <c r="BB898" s="40"/>
      <c r="BC898" s="40"/>
      <c r="BD898" s="40"/>
      <c r="BE898" s="40"/>
      <c r="BF898" s="40"/>
      <c r="BG898" s="40"/>
      <c r="BH898" s="40"/>
      <c r="BI898" s="40"/>
      <c r="BJ898" s="40"/>
      <c r="BK898" s="40"/>
      <c r="BL898" s="62">
        <v>0</v>
      </c>
      <c r="BM898" s="275">
        <v>3</v>
      </c>
      <c r="BN898" s="62">
        <v>0.03</v>
      </c>
      <c r="BO898" s="33" t="s">
        <v>563</v>
      </c>
      <c r="BP898" s="33" t="s">
        <v>567</v>
      </c>
    </row>
    <row r="899" spans="1:68">
      <c r="A899" s="33" t="str">
        <f>Database_Productkaarten[[#This Row],[Product]]&amp;", "&amp;Database_Productkaarten[[#This Row],[Levensfase]]</f>
        <v>Thermoplast markering, C2</v>
      </c>
      <c r="B899" t="s">
        <v>565</v>
      </c>
      <c r="C899" t="s">
        <v>562</v>
      </c>
      <c r="D899" s="33" t="s">
        <v>566</v>
      </c>
      <c r="E899" s="33" t="s">
        <v>389</v>
      </c>
      <c r="F899" s="33" t="s">
        <v>84</v>
      </c>
      <c r="G899" s="33">
        <v>1</v>
      </c>
      <c r="H899" s="33">
        <v>1</v>
      </c>
      <c r="I899" s="33">
        <v>3.0000000000000001E-3</v>
      </c>
      <c r="M899" s="33">
        <v>2E-3</v>
      </c>
      <c r="N899" s="41">
        <v>2.8E-3</v>
      </c>
      <c r="O899" s="33">
        <v>12</v>
      </c>
      <c r="P899" s="40">
        <v>4.779E-8</v>
      </c>
      <c r="Q899" s="40">
        <v>1.886E-4</v>
      </c>
      <c r="R899" s="40">
        <v>2.4899999999999999E-2</v>
      </c>
      <c r="S899" s="40">
        <v>4.9559999999999998E-9</v>
      </c>
      <c r="T899" s="40" t="s">
        <v>581</v>
      </c>
      <c r="U899" s="40" t="s">
        <v>582</v>
      </c>
      <c r="V899" s="40" t="s">
        <v>583</v>
      </c>
      <c r="W899" s="40">
        <v>8.8000000000000005E-3</v>
      </c>
      <c r="X899" s="40" t="s">
        <v>584</v>
      </c>
      <c r="Y899" s="40">
        <v>1.4814000000000001</v>
      </c>
      <c r="Z899" s="40" t="s">
        <v>585</v>
      </c>
      <c r="AA899" s="40"/>
      <c r="AB899" s="40"/>
      <c r="AC899" s="40"/>
      <c r="AD899" s="40"/>
      <c r="AE899" s="40"/>
      <c r="AF899" s="40"/>
      <c r="AG899" s="40"/>
      <c r="AH899" s="40"/>
      <c r="AI899" s="40"/>
      <c r="AJ899" s="40"/>
      <c r="AK899" s="40"/>
      <c r="AL899" s="40"/>
      <c r="AM899" s="40"/>
      <c r="AN899" s="40"/>
      <c r="AO899" s="40"/>
      <c r="AP899" s="40"/>
      <c r="AQ899" s="40"/>
      <c r="AR899" s="40"/>
      <c r="AS899" s="40"/>
      <c r="AT899" s="40"/>
      <c r="AU899" s="40"/>
      <c r="AV899" s="281"/>
      <c r="AW899" s="40"/>
      <c r="AX899" s="40"/>
      <c r="AY899" s="281"/>
      <c r="AZ899" s="40"/>
      <c r="BA899" s="40"/>
      <c r="BB899" s="40"/>
      <c r="BC899" s="40"/>
      <c r="BD899" s="40"/>
      <c r="BE899" s="40"/>
      <c r="BF899" s="40"/>
      <c r="BG899" s="40"/>
      <c r="BH899" s="40"/>
      <c r="BI899" s="40"/>
      <c r="BJ899" s="40"/>
      <c r="BK899" s="40"/>
      <c r="BL899" s="62">
        <v>0</v>
      </c>
      <c r="BM899" s="275">
        <v>3</v>
      </c>
      <c r="BN899" s="62">
        <v>0.03</v>
      </c>
      <c r="BO899" s="33" t="s">
        <v>563</v>
      </c>
      <c r="BP899" s="33" t="s">
        <v>567</v>
      </c>
    </row>
    <row r="900" spans="1:68">
      <c r="A900" s="33" t="str">
        <f>Database_Productkaarten[[#This Row],[Product]]&amp;", "&amp;Database_Productkaarten[[#This Row],[Levensfase]]</f>
        <v>Thermoplast markering, C3</v>
      </c>
      <c r="B900" t="s">
        <v>565</v>
      </c>
      <c r="C900" t="s">
        <v>562</v>
      </c>
      <c r="D900" s="33" t="s">
        <v>566</v>
      </c>
      <c r="E900" s="33" t="s">
        <v>389</v>
      </c>
      <c r="F900" s="33" t="s">
        <v>85</v>
      </c>
      <c r="G900" s="33">
        <v>1</v>
      </c>
      <c r="H900" s="33">
        <v>1</v>
      </c>
      <c r="I900" s="33">
        <v>3.0000000000000001E-3</v>
      </c>
      <c r="M900" s="33">
        <v>2E-3</v>
      </c>
      <c r="N900" s="41">
        <v>2.7799999999999998E-2</v>
      </c>
      <c r="O900" s="33">
        <v>12</v>
      </c>
      <c r="P900" s="40">
        <v>8.7860000000000001E-9</v>
      </c>
      <c r="Q900" s="40">
        <v>3.5479999999999999E-5</v>
      </c>
      <c r="R900" s="40">
        <v>0.22739999999999999</v>
      </c>
      <c r="S900" s="40">
        <v>1.1969999999999999E-7</v>
      </c>
      <c r="T900" s="40" t="s">
        <v>586</v>
      </c>
      <c r="U900" s="40">
        <v>1.1999999999999999E-3</v>
      </c>
      <c r="V900" s="40">
        <v>1.1999999999999999E-3</v>
      </c>
      <c r="W900" s="40">
        <v>1.4E-2</v>
      </c>
      <c r="X900" s="40" t="s">
        <v>587</v>
      </c>
      <c r="Y900" s="40">
        <v>5.1999999999999998E-3</v>
      </c>
      <c r="Z900" s="40" t="s">
        <v>588</v>
      </c>
      <c r="AA900" s="40"/>
      <c r="AB900" s="40"/>
      <c r="AC900" s="40"/>
      <c r="AD900" s="40"/>
      <c r="AE900" s="40"/>
      <c r="AF900" s="40"/>
      <c r="AG900" s="40"/>
      <c r="AH900" s="40"/>
      <c r="AI900" s="40"/>
      <c r="AJ900" s="40"/>
      <c r="AK900" s="40"/>
      <c r="AL900" s="40"/>
      <c r="AM900" s="40"/>
      <c r="AN900" s="40"/>
      <c r="AO900" s="40"/>
      <c r="AP900" s="40"/>
      <c r="AQ900" s="40"/>
      <c r="AR900" s="40"/>
      <c r="AS900" s="40"/>
      <c r="AT900" s="40"/>
      <c r="AU900" s="40"/>
      <c r="AV900" s="281"/>
      <c r="AW900" s="40"/>
      <c r="AX900" s="40"/>
      <c r="AY900" s="281"/>
      <c r="AZ900" s="40"/>
      <c r="BA900" s="40"/>
      <c r="BB900" s="40"/>
      <c r="BC900" s="40"/>
      <c r="BD900" s="40"/>
      <c r="BE900" s="40"/>
      <c r="BF900" s="40"/>
      <c r="BG900" s="40"/>
      <c r="BH900" s="40"/>
      <c r="BI900" s="40"/>
      <c r="BJ900" s="40"/>
      <c r="BK900" s="40"/>
      <c r="BL900" s="62">
        <v>0</v>
      </c>
      <c r="BM900" s="275">
        <v>3</v>
      </c>
      <c r="BN900" s="62">
        <v>0.03</v>
      </c>
      <c r="BO900" s="33" t="s">
        <v>563</v>
      </c>
      <c r="BP900" s="33" t="s">
        <v>567</v>
      </c>
    </row>
    <row r="901" spans="1:68">
      <c r="A901" s="33" t="str">
        <f>Database_Productkaarten[[#This Row],[Product]]&amp;", "&amp;Database_Productkaarten[[#This Row],[Levensfase]]</f>
        <v>Thermoplast markering, C4</v>
      </c>
      <c r="B901" t="s">
        <v>565</v>
      </c>
      <c r="C901" t="s">
        <v>562</v>
      </c>
      <c r="D901" s="33" t="s">
        <v>566</v>
      </c>
      <c r="E901" s="33" t="s">
        <v>389</v>
      </c>
      <c r="F901" s="33" t="s">
        <v>86</v>
      </c>
      <c r="G901" s="33">
        <v>1</v>
      </c>
      <c r="H901" s="33">
        <v>1</v>
      </c>
      <c r="I901" s="33">
        <v>3.0000000000000001E-3</v>
      </c>
      <c r="M901" s="33">
        <v>2E-3</v>
      </c>
      <c r="N901" s="41">
        <v>6.5479999999999998E-4</v>
      </c>
      <c r="O901" s="33">
        <v>12</v>
      </c>
      <c r="P901" s="40">
        <v>1.39E-9</v>
      </c>
      <c r="Q901" s="40">
        <v>1.2969999999999999E-5</v>
      </c>
      <c r="R901" s="40">
        <v>1.0200000000000001E-2</v>
      </c>
      <c r="S901" s="40">
        <v>2.8699999999999999E-10</v>
      </c>
      <c r="T901" s="40" t="s">
        <v>589</v>
      </c>
      <c r="U901" s="40" t="s">
        <v>590</v>
      </c>
      <c r="V901" s="40" t="s">
        <v>591</v>
      </c>
      <c r="W901" s="40" t="s">
        <v>592</v>
      </c>
      <c r="X901" s="40" t="s">
        <v>593</v>
      </c>
      <c r="Y901" s="40">
        <v>0.31890000000000002</v>
      </c>
      <c r="Z901" s="40" t="s">
        <v>594</v>
      </c>
      <c r="AA901" s="40"/>
      <c r="AB901" s="40"/>
      <c r="AC901" s="40"/>
      <c r="AD901" s="40"/>
      <c r="AE901" s="40"/>
      <c r="AF901" s="40"/>
      <c r="AG901" s="40"/>
      <c r="AH901" s="40"/>
      <c r="AI901" s="40"/>
      <c r="AJ901" s="40"/>
      <c r="AK901" s="40"/>
      <c r="AL901" s="40"/>
      <c r="AM901" s="40"/>
      <c r="AN901" s="40"/>
      <c r="AO901" s="40"/>
      <c r="AP901" s="40"/>
      <c r="AQ901" s="40"/>
      <c r="AR901" s="40"/>
      <c r="AS901" s="40"/>
      <c r="AT901" s="40"/>
      <c r="AU901" s="40"/>
      <c r="AV901" s="281"/>
      <c r="AW901" s="40"/>
      <c r="AX901" s="40"/>
      <c r="AY901" s="281"/>
      <c r="AZ901" s="40"/>
      <c r="BA901" s="40"/>
      <c r="BB901" s="40"/>
      <c r="BC901" s="40"/>
      <c r="BD901" s="40"/>
      <c r="BE901" s="40"/>
      <c r="BF901" s="40"/>
      <c r="BG901" s="40"/>
      <c r="BH901" s="40"/>
      <c r="BI901" s="40"/>
      <c r="BJ901" s="40"/>
      <c r="BK901" s="40"/>
      <c r="BL901" s="62">
        <v>0</v>
      </c>
      <c r="BM901" s="275">
        <v>3</v>
      </c>
      <c r="BN901" s="62">
        <v>0.03</v>
      </c>
      <c r="BO901" s="33" t="s">
        <v>563</v>
      </c>
      <c r="BP901" s="33" t="s">
        <v>567</v>
      </c>
    </row>
    <row r="902" spans="1:68">
      <c r="A902" s="33" t="str">
        <f>Database_Productkaarten[[#This Row],[Product]]&amp;", "&amp;Database_Productkaarten[[#This Row],[Levensfase]]</f>
        <v>Thermoplast markering, D</v>
      </c>
      <c r="B902" s="33" t="str">
        <f>B903</f>
        <v>Thermoplast markering</v>
      </c>
      <c r="C902" s="33" t="str">
        <f>C903</f>
        <v>Kunststofverhadingen</v>
      </c>
      <c r="D902" s="33" t="str">
        <f>D903</f>
        <v>Markering</v>
      </c>
      <c r="E902" s="33" t="str">
        <f>E903</f>
        <v>m1</v>
      </c>
      <c r="F902" s="33" t="s">
        <v>89</v>
      </c>
      <c r="G902" s="33">
        <f t="shared" ref="G902:M902" si="103">G903</f>
        <v>1</v>
      </c>
      <c r="H902" s="33">
        <f t="shared" si="103"/>
        <v>1</v>
      </c>
      <c r="I902" s="33">
        <f t="shared" si="103"/>
        <v>3.0000000000000001E-3</v>
      </c>
      <c r="L902" s="33">
        <f t="shared" si="103"/>
        <v>0</v>
      </c>
      <c r="M902" s="45">
        <f t="shared" si="103"/>
        <v>2E-3</v>
      </c>
      <c r="N902" s="41">
        <f>SUM(N903:N904)</f>
        <v>0</v>
      </c>
      <c r="O902" s="33">
        <f>O903</f>
        <v>12</v>
      </c>
      <c r="P902" s="40">
        <f>SUM(P903:P904)</f>
        <v>0</v>
      </c>
      <c r="Q902" s="40">
        <f>SUM(Q903:Q904)</f>
        <v>0</v>
      </c>
      <c r="R902" s="40">
        <f>SUM(R903:R904)</f>
        <v>0</v>
      </c>
      <c r="S902" s="40">
        <f t="shared" ref="S902:BK902" si="104">SUM(S903:S904)</f>
        <v>0</v>
      </c>
      <c r="T902" s="40">
        <f t="shared" si="104"/>
        <v>0</v>
      </c>
      <c r="U902" s="40">
        <f t="shared" si="104"/>
        <v>0</v>
      </c>
      <c r="V902" s="40">
        <f t="shared" si="104"/>
        <v>0</v>
      </c>
      <c r="W902" s="40">
        <f t="shared" si="104"/>
        <v>0</v>
      </c>
      <c r="X902" s="40">
        <f t="shared" si="104"/>
        <v>0</v>
      </c>
      <c r="Y902" s="40">
        <f t="shared" si="104"/>
        <v>0</v>
      </c>
      <c r="Z902" s="40">
        <f t="shared" si="104"/>
        <v>0</v>
      </c>
      <c r="AA902" s="40">
        <f t="shared" si="104"/>
        <v>0</v>
      </c>
      <c r="AB902" s="40">
        <f t="shared" si="104"/>
        <v>0</v>
      </c>
      <c r="AC902" s="40">
        <f t="shared" si="104"/>
        <v>0</v>
      </c>
      <c r="AD902" s="40">
        <f t="shared" si="104"/>
        <v>0</v>
      </c>
      <c r="AE902" s="40">
        <f t="shared" si="104"/>
        <v>0</v>
      </c>
      <c r="AF902" s="40">
        <f t="shared" si="104"/>
        <v>0</v>
      </c>
      <c r="AG902" s="40">
        <f t="shared" si="104"/>
        <v>0</v>
      </c>
      <c r="AH902" s="40">
        <f t="shared" si="104"/>
        <v>0</v>
      </c>
      <c r="AI902" s="40">
        <f t="shared" si="104"/>
        <v>0</v>
      </c>
      <c r="AJ902" s="40">
        <f t="shared" si="104"/>
        <v>0</v>
      </c>
      <c r="AK902" s="40">
        <f t="shared" si="104"/>
        <v>0</v>
      </c>
      <c r="AL902" s="40">
        <f t="shared" si="104"/>
        <v>0</v>
      </c>
      <c r="AM902" s="40">
        <f t="shared" si="104"/>
        <v>0</v>
      </c>
      <c r="AN902" s="40">
        <f t="shared" si="104"/>
        <v>0</v>
      </c>
      <c r="AO902" s="40">
        <f t="shared" si="104"/>
        <v>0</v>
      </c>
      <c r="AP902" s="40">
        <f t="shared" si="104"/>
        <v>0</v>
      </c>
      <c r="AQ902" s="40">
        <f t="shared" si="104"/>
        <v>0</v>
      </c>
      <c r="AR902" s="40">
        <f t="shared" si="104"/>
        <v>0</v>
      </c>
      <c r="AS902" s="40">
        <f t="shared" si="104"/>
        <v>0</v>
      </c>
      <c r="AT902" s="40">
        <f t="shared" si="104"/>
        <v>0</v>
      </c>
      <c r="AU902" s="40">
        <f t="shared" si="104"/>
        <v>0</v>
      </c>
      <c r="AV902" s="40">
        <f t="shared" si="104"/>
        <v>0</v>
      </c>
      <c r="AW902" s="40">
        <f t="shared" si="104"/>
        <v>0</v>
      </c>
      <c r="AX902" s="40">
        <f t="shared" si="104"/>
        <v>0</v>
      </c>
      <c r="AY902" s="40">
        <f t="shared" si="104"/>
        <v>0</v>
      </c>
      <c r="AZ902" s="40">
        <f t="shared" si="104"/>
        <v>0</v>
      </c>
      <c r="BA902" s="40">
        <f t="shared" si="104"/>
        <v>0</v>
      </c>
      <c r="BB902" s="40">
        <f t="shared" si="104"/>
        <v>0</v>
      </c>
      <c r="BC902" s="40">
        <f t="shared" si="104"/>
        <v>0</v>
      </c>
      <c r="BD902" s="40">
        <f t="shared" si="104"/>
        <v>0</v>
      </c>
      <c r="BE902" s="40">
        <f t="shared" si="104"/>
        <v>0</v>
      </c>
      <c r="BF902" s="40">
        <f t="shared" si="104"/>
        <v>0</v>
      </c>
      <c r="BG902" s="40">
        <f t="shared" si="104"/>
        <v>0</v>
      </c>
      <c r="BH902" s="40">
        <f t="shared" si="104"/>
        <v>0</v>
      </c>
      <c r="BI902" s="40">
        <f t="shared" si="104"/>
        <v>0</v>
      </c>
      <c r="BJ902" s="40">
        <f t="shared" si="104"/>
        <v>0</v>
      </c>
      <c r="BK902" s="40">
        <f t="shared" si="104"/>
        <v>0</v>
      </c>
      <c r="BL902" s="62">
        <f>BL903</f>
        <v>0</v>
      </c>
      <c r="BM902" s="275">
        <f>BM903</f>
        <v>3</v>
      </c>
      <c r="BN902" s="62">
        <v>0.03</v>
      </c>
      <c r="BO902" s="33" t="str">
        <f>BO903</f>
        <v>NMD Lengtemarkering, thermoplastisch, doorlopend</v>
      </c>
    </row>
    <row r="903" spans="1:68">
      <c r="A903" s="33" t="str">
        <f>Database_Productkaarten[[#This Row],[Product]]&amp;", "&amp;Database_Productkaarten[[#This Row],[Levensfase]]</f>
        <v>Thermoplast markering, D1</v>
      </c>
      <c r="B903" t="s">
        <v>565</v>
      </c>
      <c r="C903" t="s">
        <v>562</v>
      </c>
      <c r="D903" s="33" t="s">
        <v>566</v>
      </c>
      <c r="E903" s="33" t="s">
        <v>389</v>
      </c>
      <c r="F903" s="33" t="s">
        <v>87</v>
      </c>
      <c r="G903" s="33">
        <v>1</v>
      </c>
      <c r="H903" s="33">
        <v>1</v>
      </c>
      <c r="I903" s="33">
        <v>3.0000000000000001E-3</v>
      </c>
      <c r="M903" s="33">
        <v>2E-3</v>
      </c>
      <c r="N903" s="41"/>
      <c r="O903" s="33">
        <v>12</v>
      </c>
      <c r="P903" s="40"/>
      <c r="Q903" s="40"/>
      <c r="R903" s="40"/>
      <c r="S903" s="40"/>
      <c r="T903" s="40"/>
      <c r="U903" s="40"/>
      <c r="V903" s="40"/>
      <c r="W903" s="40"/>
      <c r="X903" s="40"/>
      <c r="Y903" s="40"/>
      <c r="Z903" s="40"/>
      <c r="AA903" s="40"/>
      <c r="AB903" s="40"/>
      <c r="AC903" s="40"/>
      <c r="AD903" s="40"/>
      <c r="AE903" s="40"/>
      <c r="AF903" s="40"/>
      <c r="AG903" s="40"/>
      <c r="AH903" s="40"/>
      <c r="AI903" s="40"/>
      <c r="AJ903" s="40"/>
      <c r="AK903" s="40"/>
      <c r="AL903" s="40"/>
      <c r="AM903" s="40"/>
      <c r="AN903" s="40"/>
      <c r="AO903" s="40"/>
      <c r="AP903" s="40"/>
      <c r="AQ903" s="40"/>
      <c r="AR903" s="40"/>
      <c r="AS903" s="40"/>
      <c r="AT903" s="40"/>
      <c r="AU903" s="40"/>
      <c r="AV903" s="281"/>
      <c r="AW903" s="40"/>
      <c r="AX903" s="40"/>
      <c r="AY903" s="281"/>
      <c r="AZ903" s="40"/>
      <c r="BA903" s="40"/>
      <c r="BB903" s="40"/>
      <c r="BC903" s="40"/>
      <c r="BD903" s="40"/>
      <c r="BE903" s="40"/>
      <c r="BF903" s="40"/>
      <c r="BG903" s="40"/>
      <c r="BH903" s="40"/>
      <c r="BI903" s="40"/>
      <c r="BJ903" s="40"/>
      <c r="BK903" s="40"/>
      <c r="BL903" s="62">
        <v>0</v>
      </c>
      <c r="BM903" s="275">
        <v>3</v>
      </c>
      <c r="BN903" s="62">
        <v>0.03</v>
      </c>
      <c r="BO903" s="33" t="s">
        <v>563</v>
      </c>
      <c r="BP903" s="33" t="s">
        <v>567</v>
      </c>
    </row>
    <row r="904" spans="1:68">
      <c r="A904" s="33" t="str">
        <f>Database_Productkaarten[[#This Row],[Product]]&amp;", "&amp;Database_Productkaarten[[#This Row],[Levensfase]]</f>
        <v>Thermoplast markering, D2</v>
      </c>
      <c r="B904" t="s">
        <v>565</v>
      </c>
      <c r="C904" t="s">
        <v>562</v>
      </c>
      <c r="D904" s="33" t="s">
        <v>566</v>
      </c>
      <c r="E904" s="33" t="s">
        <v>389</v>
      </c>
      <c r="F904" s="33" t="s">
        <v>88</v>
      </c>
      <c r="G904" s="33">
        <v>1</v>
      </c>
      <c r="H904" s="33">
        <v>1</v>
      </c>
      <c r="I904" s="33">
        <v>3.0000000000000001E-3</v>
      </c>
      <c r="M904" s="33">
        <v>2E-3</v>
      </c>
      <c r="N904" s="41"/>
      <c r="O904" s="33">
        <v>12</v>
      </c>
      <c r="P904" s="40"/>
      <c r="Q904" s="40"/>
      <c r="R904" s="40"/>
      <c r="S904" s="40"/>
      <c r="T904" s="40"/>
      <c r="U904" s="40"/>
      <c r="V904" s="40"/>
      <c r="W904" s="40"/>
      <c r="X904" s="40"/>
      <c r="Y904" s="40"/>
      <c r="Z904" s="40"/>
      <c r="AA904" s="40"/>
      <c r="AB904" s="40"/>
      <c r="AC904" s="40"/>
      <c r="AD904" s="40"/>
      <c r="AE904" s="40"/>
      <c r="AF904" s="40"/>
      <c r="AG904" s="40"/>
      <c r="AH904" s="40"/>
      <c r="AI904" s="40"/>
      <c r="AJ904" s="40"/>
      <c r="AK904" s="40"/>
      <c r="AL904" s="40"/>
      <c r="AM904" s="40"/>
      <c r="AN904" s="40"/>
      <c r="AO904" s="40"/>
      <c r="AP904" s="40"/>
      <c r="AQ904" s="40"/>
      <c r="AR904" s="40"/>
      <c r="AS904" s="40"/>
      <c r="AT904" s="40"/>
      <c r="AU904" s="40"/>
      <c r="AV904" s="281"/>
      <c r="AW904" s="40"/>
      <c r="AX904" s="40"/>
      <c r="AY904" s="281"/>
      <c r="AZ904" s="40"/>
      <c r="BA904" s="40"/>
      <c r="BB904" s="40"/>
      <c r="BC904" s="40"/>
      <c r="BD904" s="40"/>
      <c r="BE904" s="40"/>
      <c r="BF904" s="40"/>
      <c r="BG904" s="40"/>
      <c r="BH904" s="40"/>
      <c r="BI904" s="40"/>
      <c r="BJ904" s="40"/>
      <c r="BK904" s="40"/>
      <c r="BL904" s="62">
        <v>0</v>
      </c>
      <c r="BM904" s="275">
        <v>3</v>
      </c>
      <c r="BN904" s="62">
        <v>0.03</v>
      </c>
      <c r="BO904" s="33" t="s">
        <v>563</v>
      </c>
      <c r="BP904" s="33" t="s">
        <v>567</v>
      </c>
    </row>
    <row r="905" spans="1:68">
      <c r="A905" s="33" t="str">
        <f>Database_Productkaarten[[#This Row],[Product]]&amp;", "&amp;Database_Productkaarten[[#This Row],[Levensfase]]</f>
        <v>Plastic Road CCL200, Totaal</v>
      </c>
      <c r="B905" s="33" t="s">
        <v>595</v>
      </c>
      <c r="C905" t="s">
        <v>562</v>
      </c>
      <c r="D905" s="33" t="s">
        <v>596</v>
      </c>
      <c r="E905" s="33" t="s">
        <v>385</v>
      </c>
      <c r="F905" s="33" t="s">
        <v>90</v>
      </c>
      <c r="M905" s="33">
        <v>0.04</v>
      </c>
      <c r="N905" s="41">
        <v>13.37</v>
      </c>
      <c r="O905" s="33">
        <v>50</v>
      </c>
      <c r="P905" s="40"/>
      <c r="Q905" s="40"/>
      <c r="R905" s="40"/>
      <c r="S905" s="40"/>
      <c r="T905" s="40"/>
      <c r="U905" s="40"/>
      <c r="V905" s="40"/>
      <c r="W905" s="40"/>
      <c r="X905" s="40"/>
      <c r="Y905" s="40"/>
      <c r="Z905" s="40"/>
      <c r="AA905" s="40"/>
      <c r="AB905" s="40"/>
      <c r="AC905" s="40"/>
      <c r="AD905" s="40"/>
      <c r="AE905" s="40"/>
      <c r="AF905" s="40"/>
      <c r="AG905" s="40"/>
      <c r="AH905" s="40"/>
      <c r="AI905" s="40"/>
      <c r="AJ905" s="40"/>
      <c r="AK905" s="40"/>
      <c r="AL905" s="40"/>
      <c r="AM905" s="40"/>
      <c r="AN905" s="40"/>
      <c r="AO905" s="40"/>
      <c r="AP905" s="40"/>
      <c r="AQ905" s="40"/>
      <c r="AR905" s="40"/>
      <c r="AS905" s="40"/>
      <c r="AT905" s="40"/>
      <c r="AU905" s="40"/>
      <c r="AV905" s="281"/>
      <c r="AW905" s="40"/>
      <c r="AX905" s="40"/>
      <c r="AY905" s="281"/>
      <c r="AZ905" s="40"/>
      <c r="BA905" s="40"/>
      <c r="BB905" s="40"/>
      <c r="BC905" s="40"/>
      <c r="BD905" s="40"/>
      <c r="BE905" s="40"/>
      <c r="BF905" s="40"/>
      <c r="BG905" s="40"/>
      <c r="BH905" s="40"/>
      <c r="BI905" s="40"/>
      <c r="BJ905" s="40"/>
      <c r="BK905" s="40"/>
      <c r="BL905" s="62">
        <v>0.38119999999999998</v>
      </c>
      <c r="BM905" s="275">
        <v>1</v>
      </c>
      <c r="BN905" s="62">
        <v>0.03</v>
      </c>
    </row>
    <row r="906" spans="1:68">
      <c r="A906" s="33" t="str">
        <f>Database_Productkaarten[[#This Row],[Product]]&amp;", "&amp;Database_Productkaarten[[#This Row],[Levensfase]]</f>
        <v>Plastic Road CCL200, A1</v>
      </c>
      <c r="B906" s="33" t="s">
        <v>595</v>
      </c>
      <c r="C906" t="s">
        <v>562</v>
      </c>
      <c r="D906" s="33" t="s">
        <v>596</v>
      </c>
      <c r="E906" s="33" t="s">
        <v>385</v>
      </c>
      <c r="F906" s="33" t="s">
        <v>74</v>
      </c>
      <c r="M906" s="33">
        <v>0.04</v>
      </c>
      <c r="N906" s="41">
        <v>8.66</v>
      </c>
      <c r="O906" s="33">
        <v>50</v>
      </c>
      <c r="P906" s="40"/>
      <c r="Q906" s="40"/>
      <c r="R906" s="40">
        <v>75.2</v>
      </c>
      <c r="S906" s="40"/>
      <c r="T906" s="40"/>
      <c r="U906" s="40"/>
      <c r="V906" s="40"/>
      <c r="W906" s="40"/>
      <c r="X906" s="40"/>
      <c r="Y906" s="40"/>
      <c r="Z906" s="40"/>
      <c r="AA906" s="40"/>
      <c r="AB906" s="40"/>
      <c r="AC906" s="40"/>
      <c r="AD906" s="40"/>
      <c r="AE906" s="40"/>
      <c r="AF906" s="40"/>
      <c r="AG906" s="40"/>
      <c r="AH906" s="40"/>
      <c r="AI906" s="40"/>
      <c r="AJ906" s="40"/>
      <c r="AK906" s="40"/>
      <c r="AL906" s="40"/>
      <c r="AM906" s="40"/>
      <c r="AN906" s="40"/>
      <c r="AO906" s="40"/>
      <c r="AP906" s="40"/>
      <c r="AQ906" s="40"/>
      <c r="AR906" s="40"/>
      <c r="AS906" s="40"/>
      <c r="AT906" s="40"/>
      <c r="AU906" s="40"/>
      <c r="AV906" s="281"/>
      <c r="AW906" s="40"/>
      <c r="AX906" s="40"/>
      <c r="AY906" s="281"/>
      <c r="AZ906" s="40"/>
      <c r="BA906" s="40"/>
      <c r="BB906" s="40"/>
      <c r="BC906" s="40"/>
      <c r="BD906" s="40"/>
      <c r="BE906" s="40"/>
      <c r="BF906" s="40"/>
      <c r="BG906" s="40"/>
      <c r="BH906" s="40"/>
      <c r="BI906" s="40"/>
      <c r="BJ906" s="40"/>
      <c r="BK906" s="40"/>
      <c r="BL906" s="62">
        <v>0.38119999999999998</v>
      </c>
      <c r="BM906" s="275">
        <v>1</v>
      </c>
      <c r="BN906" s="62">
        <v>0.03</v>
      </c>
      <c r="BP906" s="33" t="s">
        <v>597</v>
      </c>
    </row>
    <row r="907" spans="1:68">
      <c r="A907" s="33" t="str">
        <f>Database_Productkaarten[[#This Row],[Product]]&amp;", "&amp;Database_Productkaarten[[#This Row],[Levensfase]]</f>
        <v>Plastic Road CCL200, A2</v>
      </c>
      <c r="B907" s="33" t="s">
        <v>595</v>
      </c>
      <c r="C907" t="s">
        <v>562</v>
      </c>
      <c r="D907" s="33" t="s">
        <v>596</v>
      </c>
      <c r="E907" s="33" t="s">
        <v>385</v>
      </c>
      <c r="F907" s="33" t="s">
        <v>75</v>
      </c>
      <c r="M907" s="33">
        <v>0.04</v>
      </c>
      <c r="N907" s="41">
        <v>0.25</v>
      </c>
      <c r="O907" s="33">
        <v>50</v>
      </c>
      <c r="P907" s="40"/>
      <c r="Q907" s="40"/>
      <c r="R907" s="40">
        <v>2.1</v>
      </c>
      <c r="S907" s="40"/>
      <c r="T907" s="40"/>
      <c r="U907" s="40"/>
      <c r="V907" s="40"/>
      <c r="W907" s="40"/>
      <c r="X907" s="40"/>
      <c r="Y907" s="40"/>
      <c r="Z907" s="40"/>
      <c r="AA907" s="40"/>
      <c r="AB907" s="40"/>
      <c r="AC907" s="40"/>
      <c r="AD907" s="40"/>
      <c r="AE907" s="40"/>
      <c r="AF907" s="40"/>
      <c r="AG907" s="40"/>
      <c r="AH907" s="40"/>
      <c r="AI907" s="40"/>
      <c r="AJ907" s="40"/>
      <c r="AK907" s="40"/>
      <c r="AL907" s="40"/>
      <c r="AM907" s="40"/>
      <c r="AN907" s="40"/>
      <c r="AO907" s="40"/>
      <c r="AP907" s="40"/>
      <c r="AQ907" s="40"/>
      <c r="AR907" s="40"/>
      <c r="AS907" s="40"/>
      <c r="AT907" s="40"/>
      <c r="AU907" s="40"/>
      <c r="AV907" s="281"/>
      <c r="AW907" s="40"/>
      <c r="AX907" s="40"/>
      <c r="AY907" s="281"/>
      <c r="AZ907" s="40"/>
      <c r="BA907" s="40"/>
      <c r="BB907" s="40"/>
      <c r="BC907" s="40"/>
      <c r="BD907" s="40"/>
      <c r="BE907" s="40"/>
      <c r="BF907" s="40"/>
      <c r="BG907" s="40"/>
      <c r="BH907" s="40"/>
      <c r="BI907" s="40"/>
      <c r="BJ907" s="40"/>
      <c r="BK907" s="40"/>
      <c r="BL907" s="62">
        <v>0.38119999999999998</v>
      </c>
      <c r="BM907" s="275">
        <v>1</v>
      </c>
      <c r="BN907" s="62">
        <v>0.03</v>
      </c>
    </row>
    <row r="908" spans="1:68">
      <c r="A908" s="33" t="str">
        <f>Database_Productkaarten[[#This Row],[Product]]&amp;", "&amp;Database_Productkaarten[[#This Row],[Levensfase]]</f>
        <v>Plastic Road CCL200, A3</v>
      </c>
      <c r="B908" s="33" t="s">
        <v>595</v>
      </c>
      <c r="C908" t="s">
        <v>562</v>
      </c>
      <c r="D908" s="33" t="s">
        <v>596</v>
      </c>
      <c r="E908" s="33" t="s">
        <v>385</v>
      </c>
      <c r="F908" s="33" t="s">
        <v>76</v>
      </c>
      <c r="M908" s="33">
        <v>0.04</v>
      </c>
      <c r="N908" s="41">
        <v>1.98</v>
      </c>
      <c r="O908" s="33">
        <v>50</v>
      </c>
      <c r="P908" s="40"/>
      <c r="Q908" s="40"/>
      <c r="R908" s="40">
        <v>20</v>
      </c>
      <c r="S908" s="40"/>
      <c r="T908" s="40"/>
      <c r="U908" s="40"/>
      <c r="V908" s="40"/>
      <c r="W908" s="40"/>
      <c r="X908" s="40"/>
      <c r="Y908" s="40"/>
      <c r="Z908" s="40"/>
      <c r="AA908" s="40"/>
      <c r="AB908" s="40"/>
      <c r="AC908" s="40"/>
      <c r="AD908" s="40"/>
      <c r="AE908" s="40"/>
      <c r="AF908" s="40"/>
      <c r="AG908" s="40"/>
      <c r="AH908" s="40"/>
      <c r="AI908" s="40"/>
      <c r="AJ908" s="40"/>
      <c r="AK908" s="40"/>
      <c r="AL908" s="40"/>
      <c r="AM908" s="40"/>
      <c r="AN908" s="40"/>
      <c r="AO908" s="40"/>
      <c r="AP908" s="40"/>
      <c r="AQ908" s="40"/>
      <c r="AR908" s="40"/>
      <c r="AS908" s="40"/>
      <c r="AT908" s="40"/>
      <c r="AU908" s="40"/>
      <c r="AV908" s="281"/>
      <c r="AW908" s="40"/>
      <c r="AX908" s="40"/>
      <c r="AY908" s="281"/>
      <c r="AZ908" s="40"/>
      <c r="BA908" s="40"/>
      <c r="BB908" s="40"/>
      <c r="BC908" s="40"/>
      <c r="BD908" s="40"/>
      <c r="BE908" s="40"/>
      <c r="BF908" s="40"/>
      <c r="BG908" s="40"/>
      <c r="BH908" s="40"/>
      <c r="BI908" s="40"/>
      <c r="BJ908" s="40"/>
      <c r="BK908" s="40"/>
      <c r="BL908" s="62">
        <v>0.38119999999999998</v>
      </c>
      <c r="BM908" s="275">
        <v>1</v>
      </c>
      <c r="BN908" s="62">
        <v>0.03</v>
      </c>
    </row>
    <row r="909" spans="1:68">
      <c r="A909" s="33" t="str">
        <f>Database_Productkaarten[[#This Row],[Product]]&amp;", "&amp;Database_Productkaarten[[#This Row],[Levensfase]]</f>
        <v>Plastic Road CCL200, A1-A3</v>
      </c>
      <c r="B909" s="33" t="str">
        <f>B908</f>
        <v>Plastic Road CCL200</v>
      </c>
      <c r="C909" s="33" t="str">
        <f>C908</f>
        <v>Kunststofverhadingen</v>
      </c>
      <c r="D909" s="33" t="str">
        <f>D908</f>
        <v>Fietspad</v>
      </c>
      <c r="E909" s="33" t="str">
        <f>E908</f>
        <v>m2</v>
      </c>
      <c r="F909" s="33" t="s">
        <v>77</v>
      </c>
      <c r="G909" s="33">
        <f>G908</f>
        <v>0</v>
      </c>
      <c r="H909" s="33">
        <f t="shared" ref="H909:M909" si="105">H908</f>
        <v>0</v>
      </c>
      <c r="I909" s="33">
        <f t="shared" si="105"/>
        <v>0</v>
      </c>
      <c r="L909" s="33">
        <f t="shared" si="105"/>
        <v>0</v>
      </c>
      <c r="M909" s="45">
        <f t="shared" si="105"/>
        <v>0.04</v>
      </c>
      <c r="N909" s="41">
        <f>SUM(N906:N908)</f>
        <v>10.89</v>
      </c>
      <c r="O909" s="33">
        <f>O908</f>
        <v>50</v>
      </c>
      <c r="P909" s="40">
        <f>SUM(P906:P908)</f>
        <v>0</v>
      </c>
      <c r="Q909" s="40">
        <f t="shared" ref="Q909:BK909" si="106">SUM(Q906:Q908)</f>
        <v>0</v>
      </c>
      <c r="R909" s="40">
        <f t="shared" si="106"/>
        <v>97.3</v>
      </c>
      <c r="S909" s="40">
        <f t="shared" si="106"/>
        <v>0</v>
      </c>
      <c r="T909" s="40">
        <f t="shared" si="106"/>
        <v>0</v>
      </c>
      <c r="U909" s="40">
        <f t="shared" si="106"/>
        <v>0</v>
      </c>
      <c r="V909" s="40">
        <f t="shared" si="106"/>
        <v>0</v>
      </c>
      <c r="W909" s="40">
        <f t="shared" si="106"/>
        <v>0</v>
      </c>
      <c r="X909" s="40">
        <f t="shared" si="106"/>
        <v>0</v>
      </c>
      <c r="Y909" s="40">
        <f t="shared" si="106"/>
        <v>0</v>
      </c>
      <c r="Z909" s="40">
        <f t="shared" si="106"/>
        <v>0</v>
      </c>
      <c r="AA909" s="40">
        <f t="shared" si="106"/>
        <v>0</v>
      </c>
      <c r="AB909" s="40">
        <f t="shared" si="106"/>
        <v>0</v>
      </c>
      <c r="AC909" s="40">
        <f t="shared" si="106"/>
        <v>0</v>
      </c>
      <c r="AD909" s="40">
        <f t="shared" si="106"/>
        <v>0</v>
      </c>
      <c r="AE909" s="40">
        <f t="shared" si="106"/>
        <v>0</v>
      </c>
      <c r="AF909" s="40">
        <f t="shared" si="106"/>
        <v>0</v>
      </c>
      <c r="AG909" s="40">
        <f t="shared" si="106"/>
        <v>0</v>
      </c>
      <c r="AH909" s="40">
        <f t="shared" si="106"/>
        <v>0</v>
      </c>
      <c r="AI909" s="40">
        <f t="shared" si="106"/>
        <v>0</v>
      </c>
      <c r="AJ909" s="40">
        <f t="shared" si="106"/>
        <v>0</v>
      </c>
      <c r="AK909" s="40">
        <f t="shared" si="106"/>
        <v>0</v>
      </c>
      <c r="AL909" s="40">
        <f t="shared" si="106"/>
        <v>0</v>
      </c>
      <c r="AM909" s="40">
        <f t="shared" si="106"/>
        <v>0</v>
      </c>
      <c r="AN909" s="40">
        <f t="shared" si="106"/>
        <v>0</v>
      </c>
      <c r="AO909" s="40">
        <f t="shared" si="106"/>
        <v>0</v>
      </c>
      <c r="AP909" s="40">
        <f t="shared" si="106"/>
        <v>0</v>
      </c>
      <c r="AQ909" s="40">
        <f t="shared" si="106"/>
        <v>0</v>
      </c>
      <c r="AR909" s="40">
        <f t="shared" si="106"/>
        <v>0</v>
      </c>
      <c r="AS909" s="40">
        <f t="shared" si="106"/>
        <v>0</v>
      </c>
      <c r="AT909" s="40">
        <f t="shared" si="106"/>
        <v>0</v>
      </c>
      <c r="AU909" s="40">
        <f t="shared" si="106"/>
        <v>0</v>
      </c>
      <c r="AV909" s="40">
        <f t="shared" si="106"/>
        <v>0</v>
      </c>
      <c r="AW909" s="40">
        <f t="shared" si="106"/>
        <v>0</v>
      </c>
      <c r="AX909" s="40">
        <f t="shared" si="106"/>
        <v>0</v>
      </c>
      <c r="AY909" s="40">
        <f t="shared" si="106"/>
        <v>0</v>
      </c>
      <c r="AZ909" s="40">
        <f t="shared" si="106"/>
        <v>0</v>
      </c>
      <c r="BA909" s="40">
        <f t="shared" si="106"/>
        <v>0</v>
      </c>
      <c r="BB909" s="40">
        <f t="shared" si="106"/>
        <v>0</v>
      </c>
      <c r="BC909" s="40">
        <f t="shared" si="106"/>
        <v>0</v>
      </c>
      <c r="BD909" s="40">
        <f t="shared" si="106"/>
        <v>0</v>
      </c>
      <c r="BE909" s="40">
        <f t="shared" si="106"/>
        <v>0</v>
      </c>
      <c r="BF909" s="40">
        <f t="shared" si="106"/>
        <v>0</v>
      </c>
      <c r="BG909" s="40">
        <f t="shared" si="106"/>
        <v>0</v>
      </c>
      <c r="BH909" s="40">
        <f t="shared" si="106"/>
        <v>0</v>
      </c>
      <c r="BI909" s="40">
        <f t="shared" si="106"/>
        <v>0</v>
      </c>
      <c r="BJ909" s="40">
        <f t="shared" si="106"/>
        <v>0</v>
      </c>
      <c r="BK909" s="40">
        <f t="shared" si="106"/>
        <v>0</v>
      </c>
      <c r="BL909" s="62">
        <f>BL908</f>
        <v>0.38119999999999998</v>
      </c>
      <c r="BM909" s="275">
        <f>BM908</f>
        <v>1</v>
      </c>
      <c r="BN909" s="62">
        <v>0.03</v>
      </c>
      <c r="BO909" s="33">
        <f>BO908</f>
        <v>0</v>
      </c>
    </row>
    <row r="910" spans="1:68">
      <c r="A910" s="33" t="str">
        <f>Database_Productkaarten[[#This Row],[Product]]&amp;", "&amp;Database_Productkaarten[[#This Row],[Levensfase]]</f>
        <v>Plastic Road CCL200, A4</v>
      </c>
      <c r="B910" s="33" t="s">
        <v>595</v>
      </c>
      <c r="C910" t="s">
        <v>562</v>
      </c>
      <c r="D910" s="33" t="s">
        <v>596</v>
      </c>
      <c r="E910" s="33" t="s">
        <v>385</v>
      </c>
      <c r="F910" s="33" t="s">
        <v>78</v>
      </c>
      <c r="M910" s="33">
        <v>0.04</v>
      </c>
      <c r="N910" s="41">
        <v>0.09</v>
      </c>
      <c r="O910" s="33">
        <v>50</v>
      </c>
      <c r="P910" s="40"/>
      <c r="Q910" s="40"/>
      <c r="R910" s="40">
        <v>0.77300000000000002</v>
      </c>
      <c r="S910" s="40"/>
      <c r="T910" s="40"/>
      <c r="U910" s="40"/>
      <c r="V910" s="40"/>
      <c r="W910" s="40"/>
      <c r="X910" s="40"/>
      <c r="Y910" s="40"/>
      <c r="Z910" s="40"/>
      <c r="AA910" s="40"/>
      <c r="AB910" s="40"/>
      <c r="AC910" s="40"/>
      <c r="AD910" s="40"/>
      <c r="AE910" s="40"/>
      <c r="AF910" s="40"/>
      <c r="AG910" s="40"/>
      <c r="AH910" s="40"/>
      <c r="AI910" s="40"/>
      <c r="AJ910" s="40"/>
      <c r="AK910" s="40"/>
      <c r="AL910" s="40"/>
      <c r="AM910" s="40"/>
      <c r="AN910" s="40"/>
      <c r="AO910" s="40"/>
      <c r="AP910" s="40"/>
      <c r="AQ910" s="40"/>
      <c r="AR910" s="40"/>
      <c r="AS910" s="40"/>
      <c r="AT910" s="40"/>
      <c r="AU910" s="40"/>
      <c r="AV910" s="281"/>
      <c r="AW910" s="40"/>
      <c r="AX910" s="40"/>
      <c r="AY910" s="281"/>
      <c r="AZ910" s="40"/>
      <c r="BA910" s="40"/>
      <c r="BB910" s="40"/>
      <c r="BC910" s="40"/>
      <c r="BD910" s="40"/>
      <c r="BE910" s="40"/>
      <c r="BF910" s="40"/>
      <c r="BG910" s="40"/>
      <c r="BH910" s="40"/>
      <c r="BI910" s="40"/>
      <c r="BJ910" s="40"/>
      <c r="BK910" s="40"/>
      <c r="BL910" s="62">
        <v>0.38119999999999998</v>
      </c>
      <c r="BM910" s="275">
        <v>1</v>
      </c>
      <c r="BN910" s="62">
        <v>0.03</v>
      </c>
      <c r="BP910" s="33" t="s">
        <v>597</v>
      </c>
    </row>
    <row r="911" spans="1:68">
      <c r="A911" s="33" t="str">
        <f>Database_Productkaarten[[#This Row],[Product]]&amp;", "&amp;Database_Productkaarten[[#This Row],[Levensfase]]</f>
        <v>Plastic Road CCL200, A5</v>
      </c>
      <c r="B911" s="33" t="s">
        <v>595</v>
      </c>
      <c r="C911" t="s">
        <v>562</v>
      </c>
      <c r="D911" s="33" t="s">
        <v>596</v>
      </c>
      <c r="E911" s="33" t="s">
        <v>385</v>
      </c>
      <c r="F911" s="33" t="s">
        <v>79</v>
      </c>
      <c r="M911" s="33">
        <v>0.04</v>
      </c>
      <c r="N911" s="41">
        <v>0.55000000000000004</v>
      </c>
      <c r="O911" s="33">
        <v>50</v>
      </c>
      <c r="P911" s="40"/>
      <c r="Q911" s="40"/>
      <c r="R911" s="40">
        <v>5.25</v>
      </c>
      <c r="S911" s="40"/>
      <c r="T911" s="40"/>
      <c r="U911" s="40"/>
      <c r="V911" s="40"/>
      <c r="W911" s="40"/>
      <c r="X911" s="40"/>
      <c r="Y911" s="40"/>
      <c r="Z911" s="40"/>
      <c r="AA911" s="40"/>
      <c r="AB911" s="40"/>
      <c r="AC911" s="40"/>
      <c r="AD911" s="40"/>
      <c r="AE911" s="40"/>
      <c r="AF911" s="40"/>
      <c r="AG911" s="40"/>
      <c r="AH911" s="40"/>
      <c r="AI911" s="40"/>
      <c r="AJ911" s="40"/>
      <c r="AK911" s="40"/>
      <c r="AL911" s="40"/>
      <c r="AM911" s="40"/>
      <c r="AN911" s="40"/>
      <c r="AO911" s="40"/>
      <c r="AP911" s="40"/>
      <c r="AQ911" s="40"/>
      <c r="AR911" s="40"/>
      <c r="AS911" s="40"/>
      <c r="AT911" s="40"/>
      <c r="AU911" s="40"/>
      <c r="AV911" s="281"/>
      <c r="AW911" s="40"/>
      <c r="AX911" s="40"/>
      <c r="AY911" s="281"/>
      <c r="AZ911" s="40"/>
      <c r="BA911" s="40"/>
      <c r="BB911" s="40"/>
      <c r="BC911" s="40"/>
      <c r="BD911" s="40"/>
      <c r="BE911" s="40"/>
      <c r="BF911" s="40"/>
      <c r="BG911" s="40"/>
      <c r="BH911" s="40"/>
      <c r="BI911" s="40"/>
      <c r="BJ911" s="40"/>
      <c r="BK911" s="40"/>
      <c r="BL911" s="62">
        <v>0.38119999999999998</v>
      </c>
      <c r="BM911" s="275">
        <v>1</v>
      </c>
      <c r="BN911" s="62">
        <v>0.03</v>
      </c>
      <c r="BP911" s="33" t="s">
        <v>598</v>
      </c>
    </row>
    <row r="912" spans="1:68">
      <c r="A912" s="33" t="str">
        <f>Database_Productkaarten[[#This Row],[Product]]&amp;", "&amp;Database_Productkaarten[[#This Row],[Levensfase]]</f>
        <v>Plastic Road CCL200, B1</v>
      </c>
      <c r="B912" s="33" t="s">
        <v>595</v>
      </c>
      <c r="C912" t="s">
        <v>562</v>
      </c>
      <c r="D912" s="33" t="s">
        <v>596</v>
      </c>
      <c r="E912" s="33" t="s">
        <v>385</v>
      </c>
      <c r="F912" s="33" t="s">
        <v>80</v>
      </c>
      <c r="M912" s="33">
        <v>0.04</v>
      </c>
      <c r="N912" s="41">
        <v>0</v>
      </c>
      <c r="O912" s="33">
        <v>50</v>
      </c>
      <c r="P912" s="40"/>
      <c r="Q912" s="40"/>
      <c r="R912" s="40">
        <v>0</v>
      </c>
      <c r="S912" s="40"/>
      <c r="T912" s="40"/>
      <c r="U912" s="40"/>
      <c r="V912" s="40"/>
      <c r="W912" s="40"/>
      <c r="X912" s="40"/>
      <c r="Y912" s="40"/>
      <c r="Z912" s="40"/>
      <c r="AA912" s="40"/>
      <c r="AB912" s="40"/>
      <c r="AC912" s="40"/>
      <c r="AD912" s="40"/>
      <c r="AE912" s="40"/>
      <c r="AF912" s="40"/>
      <c r="AG912" s="40"/>
      <c r="AH912" s="40"/>
      <c r="AI912" s="40"/>
      <c r="AJ912" s="40"/>
      <c r="AK912" s="40"/>
      <c r="AL912" s="40"/>
      <c r="AM912" s="40"/>
      <c r="AN912" s="40"/>
      <c r="AO912" s="40"/>
      <c r="AP912" s="40"/>
      <c r="AQ912" s="40"/>
      <c r="AR912" s="40"/>
      <c r="AS912" s="40"/>
      <c r="AT912" s="40"/>
      <c r="AU912" s="40"/>
      <c r="AV912" s="281"/>
      <c r="AW912" s="40"/>
      <c r="AX912" s="40"/>
      <c r="AY912" s="281"/>
      <c r="AZ912" s="40"/>
      <c r="BA912" s="40"/>
      <c r="BB912" s="40"/>
      <c r="BC912" s="40"/>
      <c r="BD912" s="40"/>
      <c r="BE912" s="40"/>
      <c r="BF912" s="40"/>
      <c r="BG912" s="40"/>
      <c r="BH912" s="40"/>
      <c r="BI912" s="40"/>
      <c r="BJ912" s="40"/>
      <c r="BK912" s="40"/>
      <c r="BL912" s="62">
        <v>0.38119999999999998</v>
      </c>
      <c r="BM912" s="275">
        <v>1</v>
      </c>
      <c r="BN912" s="62">
        <v>0.03</v>
      </c>
    </row>
    <row r="913" spans="1:68">
      <c r="A913" s="33" t="str">
        <f>Database_Productkaarten[[#This Row],[Product]]&amp;", "&amp;Database_Productkaarten[[#This Row],[Levensfase]]</f>
        <v>Plastic Road CCL200, C1</v>
      </c>
      <c r="B913" s="33" t="s">
        <v>595</v>
      </c>
      <c r="C913" t="s">
        <v>562</v>
      </c>
      <c r="D913" s="33" t="s">
        <v>596</v>
      </c>
      <c r="E913" s="33" t="s">
        <v>385</v>
      </c>
      <c r="F913" s="33" t="s">
        <v>83</v>
      </c>
      <c r="M913" s="33">
        <v>0.04</v>
      </c>
      <c r="N913" s="41">
        <v>0.04</v>
      </c>
      <c r="O913" s="33">
        <v>50</v>
      </c>
      <c r="P913" s="40"/>
      <c r="Q913" s="40"/>
      <c r="R913" s="40">
        <v>0.45700000000000002</v>
      </c>
      <c r="S913" s="40"/>
      <c r="T913" s="40"/>
      <c r="U913" s="40"/>
      <c r="V913" s="40"/>
      <c r="W913" s="40"/>
      <c r="X913" s="40"/>
      <c r="Y913" s="40"/>
      <c r="Z913" s="40"/>
      <c r="AA913" s="40"/>
      <c r="AB913" s="40"/>
      <c r="AC913" s="40"/>
      <c r="AD913" s="40"/>
      <c r="AE913" s="40"/>
      <c r="AF913" s="40"/>
      <c r="AG913" s="40"/>
      <c r="AH913" s="40"/>
      <c r="AI913" s="40"/>
      <c r="AJ913" s="40"/>
      <c r="AK913" s="40"/>
      <c r="AL913" s="40"/>
      <c r="AM913" s="40"/>
      <c r="AN913" s="40"/>
      <c r="AO913" s="40"/>
      <c r="AP913" s="40"/>
      <c r="AQ913" s="40"/>
      <c r="AR913" s="40"/>
      <c r="AS913" s="40"/>
      <c r="AT913" s="40"/>
      <c r="AU913" s="40"/>
      <c r="AV913" s="281"/>
      <c r="AW913" s="40"/>
      <c r="AX913" s="40"/>
      <c r="AY913" s="281"/>
      <c r="AZ913" s="40"/>
      <c r="BA913" s="40"/>
      <c r="BB913" s="40"/>
      <c r="BC913" s="40"/>
      <c r="BD913" s="40"/>
      <c r="BE913" s="40"/>
      <c r="BF913" s="40"/>
      <c r="BG913" s="40"/>
      <c r="BH913" s="40"/>
      <c r="BI913" s="40"/>
      <c r="BJ913" s="40"/>
      <c r="BK913" s="40"/>
      <c r="BL913" s="62">
        <v>0.38119999999999998</v>
      </c>
      <c r="BM913" s="275">
        <v>1</v>
      </c>
      <c r="BN913" s="62">
        <v>0.03</v>
      </c>
      <c r="BP913" s="33" t="s">
        <v>598</v>
      </c>
    </row>
    <row r="914" spans="1:68">
      <c r="A914" s="33" t="str">
        <f>Database_Productkaarten[[#This Row],[Product]]&amp;", "&amp;Database_Productkaarten[[#This Row],[Levensfase]]</f>
        <v>Plastic Road CCL200, C2</v>
      </c>
      <c r="B914" s="33" t="s">
        <v>595</v>
      </c>
      <c r="C914" t="s">
        <v>562</v>
      </c>
      <c r="D914" s="33" t="s">
        <v>596</v>
      </c>
      <c r="E914" s="33" t="s">
        <v>385</v>
      </c>
      <c r="F914" s="33" t="s">
        <v>84</v>
      </c>
      <c r="M914" s="33">
        <v>0.04</v>
      </c>
      <c r="N914" s="41">
        <v>0.05</v>
      </c>
      <c r="O914" s="33">
        <v>50</v>
      </c>
      <c r="P914" s="40"/>
      <c r="Q914" s="40"/>
      <c r="R914" s="40">
        <v>0.42399999999999999</v>
      </c>
      <c r="S914" s="40"/>
      <c r="T914" s="40"/>
      <c r="U914" s="40"/>
      <c r="V914" s="40"/>
      <c r="W914" s="40"/>
      <c r="X914" s="40"/>
      <c r="Y914" s="40"/>
      <c r="Z914" s="40"/>
      <c r="AA914" s="40"/>
      <c r="AB914" s="40"/>
      <c r="AC914" s="40"/>
      <c r="AD914" s="40"/>
      <c r="AE914" s="40"/>
      <c r="AF914" s="40"/>
      <c r="AG914" s="40"/>
      <c r="AH914" s="40"/>
      <c r="AI914" s="40"/>
      <c r="AJ914" s="40"/>
      <c r="AK914" s="40"/>
      <c r="AL914" s="40"/>
      <c r="AM914" s="40"/>
      <c r="AN914" s="40"/>
      <c r="AO914" s="40"/>
      <c r="AP914" s="40"/>
      <c r="AQ914" s="40"/>
      <c r="AR914" s="40"/>
      <c r="AS914" s="40"/>
      <c r="AT914" s="40"/>
      <c r="AU914" s="40"/>
      <c r="AV914" s="281"/>
      <c r="AW914" s="40"/>
      <c r="AX914" s="40"/>
      <c r="AY914" s="281"/>
      <c r="AZ914" s="40"/>
      <c r="BA914" s="40"/>
      <c r="BB914" s="40"/>
      <c r="BC914" s="40"/>
      <c r="BD914" s="40"/>
      <c r="BE914" s="40"/>
      <c r="BF914" s="40"/>
      <c r="BG914" s="40"/>
      <c r="BH914" s="40"/>
      <c r="BI914" s="40"/>
      <c r="BJ914" s="40"/>
      <c r="BK914" s="40"/>
      <c r="BL914" s="62">
        <v>0.38119999999999998</v>
      </c>
      <c r="BM914" s="275">
        <v>1</v>
      </c>
      <c r="BN914" s="62">
        <v>0.03</v>
      </c>
    </row>
    <row r="915" spans="1:68">
      <c r="A915" s="33" t="str">
        <f>Database_Productkaarten[[#This Row],[Product]]&amp;", "&amp;Database_Productkaarten[[#This Row],[Levensfase]]</f>
        <v>Plastic Road CCL200, C3</v>
      </c>
      <c r="B915" s="33" t="s">
        <v>595</v>
      </c>
      <c r="C915" t="s">
        <v>562</v>
      </c>
      <c r="D915" s="33" t="s">
        <v>596</v>
      </c>
      <c r="E915" s="33" t="s">
        <v>385</v>
      </c>
      <c r="F915" s="33" t="s">
        <v>85</v>
      </c>
      <c r="M915" s="33">
        <v>0.04</v>
      </c>
      <c r="N915" s="41">
        <v>2.61</v>
      </c>
      <c r="O915" s="33">
        <v>50</v>
      </c>
      <c r="P915" s="40"/>
      <c r="Q915" s="40"/>
      <c r="R915" s="40">
        <v>36.799999999999997</v>
      </c>
      <c r="S915" s="40"/>
      <c r="T915" s="40"/>
      <c r="U915" s="40"/>
      <c r="V915" s="40"/>
      <c r="W915" s="40"/>
      <c r="X915" s="40"/>
      <c r="Y915" s="40"/>
      <c r="Z915" s="40"/>
      <c r="AA915" s="40"/>
      <c r="AB915" s="40"/>
      <c r="AC915" s="40"/>
      <c r="AD915" s="40"/>
      <c r="AE915" s="40"/>
      <c r="AF915" s="40"/>
      <c r="AG915" s="40"/>
      <c r="AH915" s="40"/>
      <c r="AI915" s="40"/>
      <c r="AJ915" s="40"/>
      <c r="AK915" s="40"/>
      <c r="AL915" s="40"/>
      <c r="AM915" s="40"/>
      <c r="AN915" s="40"/>
      <c r="AO915" s="40"/>
      <c r="AP915" s="40"/>
      <c r="AQ915" s="40"/>
      <c r="AR915" s="40"/>
      <c r="AS915" s="40"/>
      <c r="AT915" s="40"/>
      <c r="AU915" s="40"/>
      <c r="AV915" s="281"/>
      <c r="AW915" s="40"/>
      <c r="AX915" s="40"/>
      <c r="AY915" s="281"/>
      <c r="AZ915" s="40"/>
      <c r="BA915" s="40"/>
      <c r="BB915" s="40"/>
      <c r="BC915" s="40"/>
      <c r="BD915" s="40"/>
      <c r="BE915" s="40"/>
      <c r="BF915" s="40"/>
      <c r="BG915" s="40"/>
      <c r="BH915" s="40"/>
      <c r="BI915" s="40"/>
      <c r="BJ915" s="40"/>
      <c r="BK915" s="40"/>
      <c r="BL915" s="62">
        <v>0.38119999999999998</v>
      </c>
      <c r="BM915" s="275">
        <v>1</v>
      </c>
      <c r="BN915" s="62">
        <v>0.03</v>
      </c>
    </row>
    <row r="916" spans="1:68">
      <c r="A916" s="33" t="str">
        <f>Database_Productkaarten[[#This Row],[Product]]&amp;", "&amp;Database_Productkaarten[[#This Row],[Levensfase]]</f>
        <v>Plastic Road CCL200, C4</v>
      </c>
      <c r="B916" s="33" t="s">
        <v>595</v>
      </c>
      <c r="C916" t="s">
        <v>562</v>
      </c>
      <c r="D916" s="33" t="s">
        <v>596</v>
      </c>
      <c r="E916" s="33" t="s">
        <v>385</v>
      </c>
      <c r="F916" s="33" t="s">
        <v>86</v>
      </c>
      <c r="M916" s="33">
        <v>0.04</v>
      </c>
      <c r="N916" s="41">
        <v>0.01</v>
      </c>
      <c r="O916" s="33">
        <v>50</v>
      </c>
      <c r="P916" s="40"/>
      <c r="Q916" s="40"/>
      <c r="R916" s="40">
        <v>0.127</v>
      </c>
      <c r="S916" s="40"/>
      <c r="T916" s="40"/>
      <c r="U916" s="40"/>
      <c r="V916" s="40"/>
      <c r="W916" s="40"/>
      <c r="X916" s="40"/>
      <c r="Y916" s="40"/>
      <c r="Z916" s="40"/>
      <c r="AA916" s="40"/>
      <c r="AB916" s="40"/>
      <c r="AC916" s="40"/>
      <c r="AD916" s="40"/>
      <c r="AE916" s="40"/>
      <c r="AF916" s="40"/>
      <c r="AG916" s="40"/>
      <c r="AH916" s="40"/>
      <c r="AI916" s="40"/>
      <c r="AJ916" s="40"/>
      <c r="AK916" s="40"/>
      <c r="AL916" s="40"/>
      <c r="AM916" s="40"/>
      <c r="AN916" s="40"/>
      <c r="AO916" s="40"/>
      <c r="AP916" s="40"/>
      <c r="AQ916" s="40"/>
      <c r="AR916" s="40"/>
      <c r="AS916" s="40"/>
      <c r="AT916" s="40"/>
      <c r="AU916" s="40"/>
      <c r="AV916" s="281"/>
      <c r="AW916" s="40"/>
      <c r="AX916" s="40"/>
      <c r="AY916" s="281"/>
      <c r="AZ916" s="40"/>
      <c r="BA916" s="40"/>
      <c r="BB916" s="40"/>
      <c r="BC916" s="40"/>
      <c r="BD916" s="40"/>
      <c r="BE916" s="40"/>
      <c r="BF916" s="40"/>
      <c r="BG916" s="40"/>
      <c r="BH916" s="40"/>
      <c r="BI916" s="40"/>
      <c r="BJ916" s="40"/>
      <c r="BK916" s="40"/>
      <c r="BL916" s="62">
        <v>0.38119999999999998</v>
      </c>
      <c r="BM916" s="275">
        <v>1</v>
      </c>
      <c r="BN916" s="62">
        <v>0.03</v>
      </c>
    </row>
    <row r="917" spans="1:68">
      <c r="A917" s="33" t="str">
        <f>Database_Productkaarten[[#This Row],[Product]]&amp;", "&amp;Database_Productkaarten[[#This Row],[Levensfase]]</f>
        <v>Plastic Road CCL200, D</v>
      </c>
      <c r="B917" s="33" t="str">
        <f>B918</f>
        <v>Plastic Road CCL200</v>
      </c>
      <c r="C917" s="33" t="str">
        <f>C918</f>
        <v>Kunststofverhadingen</v>
      </c>
      <c r="D917" s="33" t="str">
        <f>D918</f>
        <v>Fietspad</v>
      </c>
      <c r="E917" s="33" t="str">
        <f>E918</f>
        <v>m2</v>
      </c>
      <c r="F917" s="33" t="s">
        <v>89</v>
      </c>
      <c r="G917" s="33">
        <f t="shared" ref="G917:M917" si="107">G918</f>
        <v>0</v>
      </c>
      <c r="H917" s="33">
        <f t="shared" si="107"/>
        <v>0</v>
      </c>
      <c r="I917" s="33">
        <f t="shared" si="107"/>
        <v>0</v>
      </c>
      <c r="L917" s="33">
        <f t="shared" si="107"/>
        <v>0</v>
      </c>
      <c r="M917" s="45">
        <f t="shared" si="107"/>
        <v>0.04</v>
      </c>
      <c r="N917" s="41">
        <f>SUM(N918:N919)</f>
        <v>-0.87</v>
      </c>
      <c r="O917" s="33">
        <f>O918</f>
        <v>50</v>
      </c>
      <c r="P917" s="40">
        <f>SUM(P918:P919)</f>
        <v>0</v>
      </c>
      <c r="Q917" s="40">
        <f>SUM(Q918:Q919)</f>
        <v>0</v>
      </c>
      <c r="R917" s="40">
        <f>SUM(R918:R919)</f>
        <v>-14.6</v>
      </c>
      <c r="S917" s="40">
        <f t="shared" ref="S917:BK917" si="108">SUM(S918:S919)</f>
        <v>0</v>
      </c>
      <c r="T917" s="40">
        <f t="shared" si="108"/>
        <v>0</v>
      </c>
      <c r="U917" s="40">
        <f t="shared" si="108"/>
        <v>0</v>
      </c>
      <c r="V917" s="40">
        <f t="shared" si="108"/>
        <v>0</v>
      </c>
      <c r="W917" s="40">
        <f t="shared" si="108"/>
        <v>0</v>
      </c>
      <c r="X917" s="40">
        <f t="shared" si="108"/>
        <v>0</v>
      </c>
      <c r="Y917" s="40">
        <f t="shared" si="108"/>
        <v>0</v>
      </c>
      <c r="Z917" s="40">
        <f t="shared" si="108"/>
        <v>0</v>
      </c>
      <c r="AA917" s="40">
        <f t="shared" si="108"/>
        <v>0</v>
      </c>
      <c r="AB917" s="40">
        <f t="shared" si="108"/>
        <v>0</v>
      </c>
      <c r="AC917" s="40">
        <f t="shared" si="108"/>
        <v>0</v>
      </c>
      <c r="AD917" s="40">
        <f t="shared" si="108"/>
        <v>0</v>
      </c>
      <c r="AE917" s="40">
        <f t="shared" si="108"/>
        <v>0</v>
      </c>
      <c r="AF917" s="40">
        <f t="shared" si="108"/>
        <v>0</v>
      </c>
      <c r="AG917" s="40">
        <f t="shared" si="108"/>
        <v>0</v>
      </c>
      <c r="AH917" s="40">
        <f t="shared" si="108"/>
        <v>0</v>
      </c>
      <c r="AI917" s="40">
        <f t="shared" si="108"/>
        <v>0</v>
      </c>
      <c r="AJ917" s="40">
        <f t="shared" si="108"/>
        <v>0</v>
      </c>
      <c r="AK917" s="40">
        <f t="shared" si="108"/>
        <v>0</v>
      </c>
      <c r="AL917" s="40">
        <f t="shared" si="108"/>
        <v>0</v>
      </c>
      <c r="AM917" s="40">
        <f t="shared" si="108"/>
        <v>0</v>
      </c>
      <c r="AN917" s="40">
        <f t="shared" si="108"/>
        <v>0</v>
      </c>
      <c r="AO917" s="40">
        <f t="shared" si="108"/>
        <v>0</v>
      </c>
      <c r="AP917" s="40">
        <f t="shared" si="108"/>
        <v>0</v>
      </c>
      <c r="AQ917" s="40">
        <f t="shared" si="108"/>
        <v>0</v>
      </c>
      <c r="AR917" s="40">
        <f t="shared" si="108"/>
        <v>0</v>
      </c>
      <c r="AS917" s="40">
        <f t="shared" si="108"/>
        <v>0</v>
      </c>
      <c r="AT917" s="40">
        <f t="shared" si="108"/>
        <v>0</v>
      </c>
      <c r="AU917" s="40">
        <f t="shared" si="108"/>
        <v>0</v>
      </c>
      <c r="AV917" s="40">
        <f t="shared" si="108"/>
        <v>0</v>
      </c>
      <c r="AW917" s="40">
        <f t="shared" si="108"/>
        <v>0</v>
      </c>
      <c r="AX917" s="40">
        <f t="shared" si="108"/>
        <v>0</v>
      </c>
      <c r="AY917" s="40">
        <f t="shared" si="108"/>
        <v>0</v>
      </c>
      <c r="AZ917" s="40">
        <f t="shared" si="108"/>
        <v>0</v>
      </c>
      <c r="BA917" s="40">
        <f t="shared" si="108"/>
        <v>0</v>
      </c>
      <c r="BB917" s="40">
        <f t="shared" si="108"/>
        <v>0</v>
      </c>
      <c r="BC917" s="40">
        <f t="shared" si="108"/>
        <v>0</v>
      </c>
      <c r="BD917" s="40">
        <f t="shared" si="108"/>
        <v>0</v>
      </c>
      <c r="BE917" s="40">
        <f t="shared" si="108"/>
        <v>0</v>
      </c>
      <c r="BF917" s="40">
        <f t="shared" si="108"/>
        <v>0</v>
      </c>
      <c r="BG917" s="40">
        <f t="shared" si="108"/>
        <v>0</v>
      </c>
      <c r="BH917" s="40">
        <f t="shared" si="108"/>
        <v>0</v>
      </c>
      <c r="BI917" s="40">
        <f t="shared" si="108"/>
        <v>0</v>
      </c>
      <c r="BJ917" s="40">
        <f t="shared" si="108"/>
        <v>0</v>
      </c>
      <c r="BK917" s="40">
        <f t="shared" si="108"/>
        <v>0</v>
      </c>
      <c r="BL917" s="62">
        <f>BL918</f>
        <v>0.38119999999999998</v>
      </c>
      <c r="BM917" s="275">
        <f>BM918</f>
        <v>1</v>
      </c>
      <c r="BN917" s="62">
        <v>0.03</v>
      </c>
      <c r="BO917" s="33">
        <f>BO918</f>
        <v>0</v>
      </c>
    </row>
    <row r="918" spans="1:68">
      <c r="A918" s="33" t="str">
        <f>Database_Productkaarten[[#This Row],[Product]]&amp;", "&amp;Database_Productkaarten[[#This Row],[Levensfase]]</f>
        <v>Plastic Road CCL200, D1</v>
      </c>
      <c r="B918" s="33" t="s">
        <v>595</v>
      </c>
      <c r="C918" t="s">
        <v>562</v>
      </c>
      <c r="D918" s="33" t="s">
        <v>596</v>
      </c>
      <c r="E918" s="33" t="s">
        <v>385</v>
      </c>
      <c r="F918" s="33" t="s">
        <v>87</v>
      </c>
      <c r="M918" s="33">
        <v>0.04</v>
      </c>
      <c r="N918" s="41">
        <v>-0.87</v>
      </c>
      <c r="O918" s="33">
        <v>50</v>
      </c>
      <c r="P918" s="40"/>
      <c r="Q918" s="40"/>
      <c r="R918" s="40">
        <v>-14.6</v>
      </c>
      <c r="S918" s="40"/>
      <c r="T918" s="40"/>
      <c r="U918" s="40"/>
      <c r="V918" s="40"/>
      <c r="W918" s="40"/>
      <c r="X918" s="40"/>
      <c r="Y918" s="40"/>
      <c r="Z918" s="40"/>
      <c r="AA918" s="40"/>
      <c r="AB918" s="40"/>
      <c r="AC918" s="40"/>
      <c r="AD918" s="40"/>
      <c r="AE918" s="40"/>
      <c r="AF918" s="40"/>
      <c r="AG918" s="40"/>
      <c r="AH918" s="40"/>
      <c r="AI918" s="40"/>
      <c r="AJ918" s="40"/>
      <c r="AK918" s="40"/>
      <c r="AL918" s="40"/>
      <c r="AM918" s="40"/>
      <c r="AN918" s="40"/>
      <c r="AO918" s="40"/>
      <c r="AP918" s="40"/>
      <c r="AQ918" s="40"/>
      <c r="AR918" s="40"/>
      <c r="AS918" s="40"/>
      <c r="AT918" s="40"/>
      <c r="AU918" s="40"/>
      <c r="AV918" s="281"/>
      <c r="AW918" s="40"/>
      <c r="AX918" s="40"/>
      <c r="AY918" s="281"/>
      <c r="AZ918" s="40"/>
      <c r="BA918" s="40"/>
      <c r="BB918" s="40"/>
      <c r="BC918" s="40"/>
      <c r="BD918" s="40"/>
      <c r="BE918" s="40"/>
      <c r="BF918" s="40"/>
      <c r="BG918" s="40"/>
      <c r="BH918" s="40"/>
      <c r="BI918" s="40"/>
      <c r="BJ918" s="40"/>
      <c r="BK918" s="40"/>
      <c r="BL918" s="62">
        <v>0.38119999999999998</v>
      </c>
      <c r="BM918" s="275">
        <v>1</v>
      </c>
      <c r="BN918" s="62">
        <v>0.03</v>
      </c>
    </row>
    <row r="919" spans="1:68">
      <c r="A919" s="33" t="str">
        <f>Database_Productkaarten[[#This Row],[Product]]&amp;", "&amp;Database_Productkaarten[[#This Row],[Levensfase]]</f>
        <v>Plastic Road CCL200, D2</v>
      </c>
      <c r="B919" s="33" t="s">
        <v>595</v>
      </c>
      <c r="C919" t="s">
        <v>562</v>
      </c>
      <c r="D919" s="33" t="s">
        <v>596</v>
      </c>
      <c r="E919" s="33" t="s">
        <v>385</v>
      </c>
      <c r="F919" s="33" t="s">
        <v>88</v>
      </c>
      <c r="M919" s="33">
        <v>0.04</v>
      </c>
      <c r="N919" s="41"/>
      <c r="O919" s="33">
        <v>50</v>
      </c>
      <c r="P919" s="40"/>
      <c r="Q919" s="40"/>
      <c r="R919" s="40"/>
      <c r="S919" s="40"/>
      <c r="T919" s="40"/>
      <c r="U919" s="40"/>
      <c r="V919" s="40"/>
      <c r="W919" s="40"/>
      <c r="X919" s="40"/>
      <c r="Y919" s="40"/>
      <c r="Z919" s="40"/>
      <c r="AA919" s="40"/>
      <c r="AB919" s="40"/>
      <c r="AC919" s="40"/>
      <c r="AD919" s="40"/>
      <c r="AE919" s="40"/>
      <c r="AF919" s="40"/>
      <c r="AG919" s="40"/>
      <c r="AH919" s="40"/>
      <c r="AI919" s="40"/>
      <c r="AJ919" s="40"/>
      <c r="AK919" s="40"/>
      <c r="AL919" s="40"/>
      <c r="AM919" s="40"/>
      <c r="AN919" s="40"/>
      <c r="AO919" s="40"/>
      <c r="AP919" s="40"/>
      <c r="AQ919" s="40"/>
      <c r="AR919" s="40"/>
      <c r="AS919" s="40"/>
      <c r="AT919" s="40"/>
      <c r="AU919" s="40"/>
      <c r="AV919" s="281"/>
      <c r="AW919" s="40"/>
      <c r="AX919" s="40"/>
      <c r="AY919" s="281"/>
      <c r="AZ919" s="40"/>
      <c r="BA919" s="40"/>
      <c r="BB919" s="40"/>
      <c r="BC919" s="40"/>
      <c r="BD919" s="40"/>
      <c r="BE919" s="40"/>
      <c r="BF919" s="40"/>
      <c r="BG919" s="40"/>
      <c r="BH919" s="40"/>
      <c r="BI919" s="40"/>
      <c r="BJ919" s="40"/>
      <c r="BK919" s="40"/>
      <c r="BL919" s="62">
        <v>0.38119999999999998</v>
      </c>
      <c r="BM919" s="275">
        <v>1</v>
      </c>
      <c r="BN919" s="62">
        <v>0.03</v>
      </c>
    </row>
    <row r="920" spans="1:68">
      <c r="A920" s="33" t="str">
        <f>Database_Productkaarten[[#This Row],[Product]]&amp;", "&amp;Database_Productkaarten[[#This Row],[Levensfase]]</f>
        <v>Opsluitband 100x200, Totaal</v>
      </c>
      <c r="B920" t="s">
        <v>228</v>
      </c>
      <c r="C920" t="s">
        <v>55</v>
      </c>
      <c r="D920" s="33" t="s">
        <v>599</v>
      </c>
      <c r="E920" s="33" t="s">
        <v>389</v>
      </c>
      <c r="F920" s="33" t="s">
        <v>90</v>
      </c>
      <c r="G920" s="33">
        <v>1</v>
      </c>
      <c r="H920" s="33">
        <v>0.2</v>
      </c>
      <c r="I920" s="33">
        <v>0.1</v>
      </c>
      <c r="L920" s="33">
        <v>2.4</v>
      </c>
      <c r="M920" s="33">
        <v>4.5499999999999999E-2</v>
      </c>
      <c r="N920" s="41"/>
      <c r="O920" s="33">
        <v>25</v>
      </c>
      <c r="P920" s="40"/>
      <c r="Q920" s="40"/>
      <c r="R920" s="40"/>
      <c r="S920" s="40"/>
      <c r="T920" s="40"/>
      <c r="U920" s="40"/>
      <c r="V920" s="40"/>
      <c r="W920" s="40"/>
      <c r="X920" s="40"/>
      <c r="Y920" s="40"/>
      <c r="Z920" s="40"/>
      <c r="AA920" s="40"/>
      <c r="AB920" s="40"/>
      <c r="AC920" s="40"/>
      <c r="AD920" s="40"/>
      <c r="AE920" s="40"/>
      <c r="AF920" s="40"/>
      <c r="AG920" s="40"/>
      <c r="AH920" s="40"/>
      <c r="AI920" s="40"/>
      <c r="AJ920" s="40"/>
      <c r="AK920" s="40"/>
      <c r="AL920" s="40"/>
      <c r="AM920" s="40"/>
      <c r="AN920" s="40"/>
      <c r="AO920" s="40"/>
      <c r="AP920" s="40"/>
      <c r="AQ920" s="40"/>
      <c r="AR920" s="40"/>
      <c r="AS920" s="40"/>
      <c r="AT920" s="40"/>
      <c r="AU920" s="40"/>
      <c r="AV920" s="316"/>
      <c r="AW920" s="314"/>
      <c r="AX920" s="314"/>
      <c r="AY920" s="316"/>
      <c r="AZ920" s="40"/>
      <c r="BA920" s="40"/>
      <c r="BB920" s="40"/>
      <c r="BC920" s="40"/>
      <c r="BD920" s="40"/>
      <c r="BE920" s="40"/>
      <c r="BF920" s="40"/>
      <c r="BG920" s="40"/>
      <c r="BH920" s="40"/>
      <c r="BI920" s="40"/>
      <c r="BJ920" s="40"/>
      <c r="BK920" s="40"/>
      <c r="BL920" s="62">
        <v>0</v>
      </c>
      <c r="BM920" s="275">
        <v>3</v>
      </c>
      <c r="BN920" s="62">
        <v>0.03</v>
      </c>
      <c r="BO920" s="33" t="s">
        <v>600</v>
      </c>
    </row>
    <row r="921" spans="1:68">
      <c r="A921" s="33" t="str">
        <f>Database_Productkaarten[[#This Row],[Product]]&amp;", "&amp;Database_Productkaarten[[#This Row],[Levensfase]]</f>
        <v>Opsluitband 100x200, A1</v>
      </c>
      <c r="B921" t="s">
        <v>228</v>
      </c>
      <c r="C921" t="s">
        <v>55</v>
      </c>
      <c r="D921" s="33" t="s">
        <v>599</v>
      </c>
      <c r="E921" s="33" t="s">
        <v>389</v>
      </c>
      <c r="F921" s="33" t="s">
        <v>74</v>
      </c>
      <c r="G921" s="33">
        <v>1</v>
      </c>
      <c r="H921" s="33">
        <v>0.2</v>
      </c>
      <c r="I921" s="33">
        <v>0.1</v>
      </c>
      <c r="L921" s="33">
        <v>2.4</v>
      </c>
      <c r="M921" s="33">
        <v>4.5499999999999999E-2</v>
      </c>
      <c r="N921" s="41">
        <f>SUM(N925:N933)</f>
        <v>0.29708999999999997</v>
      </c>
      <c r="O921" s="33">
        <v>25</v>
      </c>
      <c r="P921" s="163">
        <v>5.5755400999999996E-6</v>
      </c>
      <c r="Q921" s="163">
        <v>1.3394147E-2</v>
      </c>
      <c r="R921" s="163">
        <v>5.4507694999999998</v>
      </c>
      <c r="S921" s="163">
        <v>1.1211605000000001E-7</v>
      </c>
      <c r="T921" s="163">
        <v>1.0201672000000001E-3</v>
      </c>
      <c r="U921" s="163">
        <v>1.1504537E-2</v>
      </c>
      <c r="V921" s="163">
        <v>2.2582152000000001E-3</v>
      </c>
      <c r="W921" s="163">
        <v>0.45204970999999999</v>
      </c>
      <c r="X921" s="163">
        <v>1.1249017E-2</v>
      </c>
      <c r="Y921" s="163">
        <v>57.648273000000003</v>
      </c>
      <c r="Z921" s="163">
        <v>1.0309324999999999E-2</v>
      </c>
      <c r="AA921" s="163"/>
      <c r="AB921" s="163"/>
      <c r="AC921" s="163"/>
      <c r="AD921" s="163"/>
      <c r="AE921" s="163"/>
      <c r="AF921" s="163"/>
      <c r="AG921" s="40"/>
      <c r="AH921" s="40"/>
      <c r="AI921" s="40"/>
      <c r="AJ921" s="40"/>
      <c r="AK921" s="40"/>
      <c r="AL921" s="40"/>
      <c r="AM921" s="40"/>
      <c r="AN921" s="40"/>
      <c r="AO921" s="40"/>
      <c r="AP921" s="40"/>
      <c r="AQ921" s="40"/>
      <c r="AR921" s="40"/>
      <c r="AS921" s="40"/>
      <c r="AT921" s="40"/>
      <c r="AU921" s="40"/>
      <c r="AV921" s="163">
        <v>4.7802233000000003</v>
      </c>
      <c r="AW921" s="163"/>
      <c r="AX921" s="163"/>
      <c r="AY921" s="163">
        <v>30.234075000000001</v>
      </c>
      <c r="AZ921" s="163"/>
      <c r="BA921" s="40"/>
      <c r="BB921" s="40"/>
      <c r="BC921" s="163">
        <v>0.44794208000000002</v>
      </c>
      <c r="BD921" s="163">
        <v>2.9960452000000002</v>
      </c>
      <c r="BE921" s="163">
        <v>0.26367632000000002</v>
      </c>
      <c r="BF921" s="40"/>
      <c r="BG921" s="40"/>
      <c r="BH921" s="40"/>
      <c r="BI921" s="40"/>
      <c r="BJ921" s="40"/>
      <c r="BK921" s="40"/>
      <c r="BL921" s="62">
        <v>0</v>
      </c>
      <c r="BM921" s="275">
        <v>3</v>
      </c>
      <c r="BN921" s="62">
        <v>0.03</v>
      </c>
      <c r="BO921" s="33" t="s">
        <v>600</v>
      </c>
    </row>
    <row r="922" spans="1:68">
      <c r="A922" s="33" t="str">
        <f>Database_Productkaarten[[#This Row],[Product]]&amp;", "&amp;Database_Productkaarten[[#This Row],[Levensfase]]</f>
        <v>Opsluitband 100x200, A2</v>
      </c>
      <c r="B922" t="s">
        <v>228</v>
      </c>
      <c r="C922" t="s">
        <v>55</v>
      </c>
      <c r="D922" s="33" t="s">
        <v>599</v>
      </c>
      <c r="E922" s="33" t="s">
        <v>389</v>
      </c>
      <c r="F922" s="33" t="s">
        <v>75</v>
      </c>
      <c r="G922" s="33">
        <v>1</v>
      </c>
      <c r="H922" s="33">
        <v>0.2</v>
      </c>
      <c r="I922" s="33">
        <v>0.1</v>
      </c>
      <c r="L922" s="33">
        <v>2.4</v>
      </c>
      <c r="M922" s="33">
        <v>4.5499999999999999E-2</v>
      </c>
      <c r="N922" s="41"/>
      <c r="O922" s="33">
        <v>25</v>
      </c>
      <c r="P922" s="163">
        <v>9.1005583999999998E-7</v>
      </c>
      <c r="Q922" s="163">
        <v>2.3620810999999999E-3</v>
      </c>
      <c r="R922" s="163">
        <v>0.32001045</v>
      </c>
      <c r="S922" s="163">
        <v>5.8971610999999999E-8</v>
      </c>
      <c r="T922" s="163">
        <v>1.8888035999999999E-4</v>
      </c>
      <c r="U922" s="163">
        <v>1.3873834E-3</v>
      </c>
      <c r="V922" s="163">
        <v>2.7646782E-4</v>
      </c>
      <c r="W922" s="163">
        <v>0.12802918999999999</v>
      </c>
      <c r="X922" s="163">
        <v>3.7549239000000002E-3</v>
      </c>
      <c r="Y922" s="163">
        <v>13.552633</v>
      </c>
      <c r="Z922" s="163">
        <v>4.5362384000000001E-4</v>
      </c>
      <c r="AA922" s="163"/>
      <c r="AB922" s="163"/>
      <c r="AC922" s="163"/>
      <c r="AD922" s="163"/>
      <c r="AE922" s="163"/>
      <c r="AF922" s="163"/>
      <c r="AG922" s="40"/>
      <c r="AH922" s="40"/>
      <c r="AI922" s="40"/>
      <c r="AJ922" s="40"/>
      <c r="AK922" s="40"/>
      <c r="AL922" s="40"/>
      <c r="AM922" s="40"/>
      <c r="AN922" s="40"/>
      <c r="AO922" s="40"/>
      <c r="AP922" s="40"/>
      <c r="AQ922" s="40"/>
      <c r="AR922" s="40"/>
      <c r="AS922" s="40"/>
      <c r="AT922" s="40"/>
      <c r="AU922" s="40"/>
      <c r="AV922" s="163">
        <v>6.7389634000000004E-2</v>
      </c>
      <c r="AW922" s="163"/>
      <c r="AX922" s="163"/>
      <c r="AY922" s="163">
        <v>5.2658142000000003</v>
      </c>
      <c r="AZ922" s="163"/>
      <c r="BA922" s="40"/>
      <c r="BB922" s="40"/>
      <c r="BC922" s="163">
        <v>9.4704353E-4</v>
      </c>
      <c r="BD922" s="163">
        <v>3.6367128999999999E-5</v>
      </c>
      <c r="BE922" s="163">
        <v>0.30268297999999999</v>
      </c>
      <c r="BF922" s="40"/>
      <c r="BG922" s="40"/>
      <c r="BH922" s="40"/>
      <c r="BI922" s="40"/>
      <c r="BJ922" s="40"/>
      <c r="BK922" s="40"/>
      <c r="BL922" s="62">
        <v>0</v>
      </c>
      <c r="BM922" s="275">
        <v>3</v>
      </c>
      <c r="BN922" s="62">
        <v>0.03</v>
      </c>
      <c r="BO922" s="33" t="s">
        <v>600</v>
      </c>
    </row>
    <row r="923" spans="1:68">
      <c r="A923" s="33" t="str">
        <f>Database_Productkaarten[[#This Row],[Product]]&amp;", "&amp;Database_Productkaarten[[#This Row],[Levensfase]]</f>
        <v>Opsluitband 100x200, A3</v>
      </c>
      <c r="B923" t="s">
        <v>228</v>
      </c>
      <c r="C923" t="s">
        <v>55</v>
      </c>
      <c r="D923" s="33" t="s">
        <v>599</v>
      </c>
      <c r="E923" s="33" t="s">
        <v>389</v>
      </c>
      <c r="F923" s="33" t="s">
        <v>76</v>
      </c>
      <c r="G923" s="33">
        <v>1</v>
      </c>
      <c r="H923" s="33">
        <v>0.2</v>
      </c>
      <c r="I923" s="33">
        <v>0.1</v>
      </c>
      <c r="L923" s="33">
        <v>2.4</v>
      </c>
      <c r="M923" s="33">
        <v>4.5499999999999999E-2</v>
      </c>
      <c r="N923" s="41"/>
      <c r="O923" s="33">
        <v>25</v>
      </c>
      <c r="P923" s="163">
        <v>7.9395572000000001E-8</v>
      </c>
      <c r="Q923" s="163">
        <v>2.3864545999999999E-3</v>
      </c>
      <c r="R923" s="163">
        <v>0.29199183000000001</v>
      </c>
      <c r="S923" s="163">
        <v>2.0151698E-8</v>
      </c>
      <c r="T923" s="163">
        <v>4.8330427000000001E-5</v>
      </c>
      <c r="U923" s="163">
        <v>5.3170846999999995E-4</v>
      </c>
      <c r="V923" s="163">
        <v>1.1904976E-4</v>
      </c>
      <c r="W923" s="163">
        <v>2.4371037000000002E-2</v>
      </c>
      <c r="X923" s="163">
        <v>5.5768463999999996E-4</v>
      </c>
      <c r="Y923" s="163">
        <v>2.7369737999999999</v>
      </c>
      <c r="Z923" s="163">
        <v>4.1056825999999998E-4</v>
      </c>
      <c r="AA923" s="163"/>
      <c r="AB923" s="163"/>
      <c r="AC923" s="163"/>
      <c r="AD923" s="163"/>
      <c r="AE923" s="163"/>
      <c r="AF923" s="163"/>
      <c r="AG923" s="40"/>
      <c r="AH923" s="40"/>
      <c r="AI923" s="40"/>
      <c r="AJ923" s="40"/>
      <c r="AK923" s="40"/>
      <c r="AL923" s="40"/>
      <c r="AM923" s="40"/>
      <c r="AN923" s="40"/>
      <c r="AO923" s="40"/>
      <c r="AP923" s="40"/>
      <c r="AQ923" s="40"/>
      <c r="AR923" s="40"/>
      <c r="AS923" s="40"/>
      <c r="AT923" s="40"/>
      <c r="AU923" s="40"/>
      <c r="AV923" s="163">
        <v>0.36974736000000002</v>
      </c>
      <c r="AW923" s="163"/>
      <c r="AX923" s="163"/>
      <c r="AY923" s="163">
        <v>4.7879849999999999</v>
      </c>
      <c r="AZ923" s="163"/>
      <c r="BA923" s="40"/>
      <c r="BB923" s="40"/>
      <c r="BC923" s="163">
        <v>9.3932376000000004E-4</v>
      </c>
      <c r="BD923" s="163">
        <v>2.1014551999999999E-5</v>
      </c>
      <c r="BE923" s="163">
        <v>9.2242764000000001E-3</v>
      </c>
      <c r="BF923" s="40"/>
      <c r="BG923" s="40"/>
      <c r="BH923" s="40"/>
      <c r="BI923" s="40"/>
      <c r="BJ923" s="40"/>
      <c r="BK923" s="40"/>
      <c r="BL923" s="62">
        <v>0</v>
      </c>
      <c r="BM923" s="275">
        <v>3</v>
      </c>
      <c r="BN923" s="62">
        <v>0.03</v>
      </c>
      <c r="BO923" s="33" t="s">
        <v>600</v>
      </c>
    </row>
    <row r="924" spans="1:68">
      <c r="A924" s="33" t="str">
        <f>Database_Productkaarten[[#This Row],[Product]]&amp;", "&amp;Database_Productkaarten[[#This Row],[Levensfase]]</f>
        <v>Opsluitband 100x200, A1-A3</v>
      </c>
      <c r="B924" s="33" t="str">
        <f>B923</f>
        <v>Opsluitband 100x200</v>
      </c>
      <c r="C924" s="33" t="str">
        <f>C923</f>
        <v>Elementenverhardingen</v>
      </c>
      <c r="D924" s="33" t="str">
        <f>D923</f>
        <v>Opsluitband</v>
      </c>
      <c r="E924" s="33" t="str">
        <f>E923</f>
        <v>m1</v>
      </c>
      <c r="F924" s="33" t="s">
        <v>77</v>
      </c>
      <c r="G924" s="33">
        <f>G923</f>
        <v>1</v>
      </c>
      <c r="H924" s="33">
        <f t="shared" ref="H924:M924" si="109">H923</f>
        <v>0.2</v>
      </c>
      <c r="I924" s="33">
        <f t="shared" si="109"/>
        <v>0.1</v>
      </c>
      <c r="L924" s="33">
        <f t="shared" si="109"/>
        <v>2.4</v>
      </c>
      <c r="M924" s="45">
        <f t="shared" si="109"/>
        <v>4.5499999999999999E-2</v>
      </c>
      <c r="N924" s="41">
        <v>0.42692999999999998</v>
      </c>
      <c r="O924" s="33">
        <f>O923</f>
        <v>25</v>
      </c>
      <c r="P924" s="163">
        <f>SUM(P921:P923)</f>
        <v>6.5649915119999995E-6</v>
      </c>
      <c r="Q924" s="163">
        <f t="shared" ref="Q924:Z924" si="110">SUM(Q921:Q923)</f>
        <v>1.8142682699999999E-2</v>
      </c>
      <c r="R924" s="163">
        <f t="shared" si="110"/>
        <v>6.0627717799999994</v>
      </c>
      <c r="S924" s="163">
        <f t="shared" si="110"/>
        <v>1.9123935900000001E-7</v>
      </c>
      <c r="T924" s="163">
        <f t="shared" si="110"/>
        <v>1.2573779870000002E-3</v>
      </c>
      <c r="U924" s="163">
        <f t="shared" si="110"/>
        <v>1.3423628869999999E-2</v>
      </c>
      <c r="V924" s="163">
        <f t="shared" si="110"/>
        <v>2.6537327800000001E-3</v>
      </c>
      <c r="W924" s="163">
        <f t="shared" si="110"/>
        <v>0.60444993699999994</v>
      </c>
      <c r="X924" s="163">
        <f t="shared" si="110"/>
        <v>1.556162554E-2</v>
      </c>
      <c r="Y924" s="163">
        <f t="shared" si="110"/>
        <v>73.937879800000005</v>
      </c>
      <c r="Z924" s="163">
        <f t="shared" si="110"/>
        <v>1.11735171E-2</v>
      </c>
      <c r="AA924" s="163"/>
      <c r="AB924" s="163"/>
      <c r="AC924" s="163"/>
      <c r="AD924" s="163"/>
      <c r="AE924" s="163"/>
      <c r="AF924" s="163"/>
      <c r="AG924" s="40"/>
      <c r="AH924" s="40"/>
      <c r="AI924" s="40"/>
      <c r="AJ924" s="40"/>
      <c r="AK924" s="40"/>
      <c r="AL924" s="40"/>
      <c r="AM924" s="40"/>
      <c r="AN924" s="40"/>
      <c r="AO924" s="40"/>
      <c r="AP924" s="40"/>
      <c r="AQ924" s="40"/>
      <c r="AR924" s="40"/>
      <c r="AS924" s="40"/>
      <c r="AT924" s="40"/>
      <c r="AU924" s="40"/>
      <c r="AV924" s="163">
        <f>SUM(AV921:AV923)</f>
        <v>5.2173602940000006</v>
      </c>
      <c r="AW924" s="163"/>
      <c r="AX924" s="163"/>
      <c r="AY924" s="163">
        <f>SUM(AY921:AY923)</f>
        <v>40.287874199999997</v>
      </c>
      <c r="AZ924" s="163"/>
      <c r="BA924" s="40"/>
      <c r="BB924" s="40"/>
      <c r="BC924" s="163">
        <f>SUM(BC921:BC923)</f>
        <v>0.44982844729000004</v>
      </c>
      <c r="BD924" s="163">
        <f>SUM(BD921:BD923)</f>
        <v>2.9961025816809999</v>
      </c>
      <c r="BE924" s="163">
        <f>SUM(BE921:BE923)</f>
        <v>0.57558357640000002</v>
      </c>
      <c r="BF924" s="40">
        <f t="shared" ref="BF924:BK924" si="111">SUM(BF921:BF923)</f>
        <v>0</v>
      </c>
      <c r="BG924" s="40">
        <f t="shared" si="111"/>
        <v>0</v>
      </c>
      <c r="BH924" s="40">
        <f t="shared" si="111"/>
        <v>0</v>
      </c>
      <c r="BI924" s="40">
        <f t="shared" si="111"/>
        <v>0</v>
      </c>
      <c r="BJ924" s="40">
        <f t="shared" si="111"/>
        <v>0</v>
      </c>
      <c r="BK924" s="40">
        <f t="shared" si="111"/>
        <v>0</v>
      </c>
      <c r="BL924" s="62">
        <f>BL923</f>
        <v>0</v>
      </c>
      <c r="BM924" s="275">
        <f>BM923</f>
        <v>3</v>
      </c>
      <c r="BN924" s="62">
        <v>0.03</v>
      </c>
      <c r="BO924" s="33" t="str">
        <f>BO923</f>
        <v>NMD Opsluitband 100x200x1000mm grijs</v>
      </c>
    </row>
    <row r="925" spans="1:68">
      <c r="A925" s="33" t="str">
        <f>Database_Productkaarten[[#This Row],[Product]]&amp;", "&amp;Database_Productkaarten[[#This Row],[Levensfase]]</f>
        <v>Opsluitband 100x200, A4</v>
      </c>
      <c r="B925" t="s">
        <v>228</v>
      </c>
      <c r="C925" t="s">
        <v>55</v>
      </c>
      <c r="D925" s="33" t="s">
        <v>599</v>
      </c>
      <c r="E925" s="33" t="s">
        <v>389</v>
      </c>
      <c r="F925" s="33" t="s">
        <v>78</v>
      </c>
      <c r="G925" s="33">
        <v>1</v>
      </c>
      <c r="H925" s="33">
        <v>0.2</v>
      </c>
      <c r="I925" s="33">
        <v>0.1</v>
      </c>
      <c r="L925" s="33">
        <v>2.4</v>
      </c>
      <c r="M925" s="33">
        <v>4.5499999999999999E-2</v>
      </c>
      <c r="N925" s="41">
        <v>0.1048</v>
      </c>
      <c r="O925" s="33">
        <v>25</v>
      </c>
      <c r="P925" s="163">
        <v>2.5223153E-6</v>
      </c>
      <c r="Q925" s="163">
        <v>6.5467555000000002E-3</v>
      </c>
      <c r="R925" s="163">
        <v>0.88694255</v>
      </c>
      <c r="S925" s="163">
        <v>1.6344601E-7</v>
      </c>
      <c r="T925" s="163">
        <v>5.2350173000000001E-4</v>
      </c>
      <c r="U925" s="163">
        <v>3.8452785999999999E-3</v>
      </c>
      <c r="V925" s="163">
        <v>7.6625957000000004E-4</v>
      </c>
      <c r="W925" s="163">
        <v>0.35484633999999998</v>
      </c>
      <c r="X925" s="163">
        <v>1.0407166000000001E-2</v>
      </c>
      <c r="Y925" s="163">
        <v>37.562545</v>
      </c>
      <c r="Z925" s="163">
        <v>1.2572661E-3</v>
      </c>
      <c r="AA925" s="163"/>
      <c r="AB925" s="163"/>
      <c r="AC925" s="163"/>
      <c r="AD925" s="163"/>
      <c r="AE925" s="163"/>
      <c r="AF925" s="163"/>
      <c r="AG925" s="40"/>
      <c r="AH925" s="40"/>
      <c r="AI925" s="40"/>
      <c r="AJ925" s="40"/>
      <c r="AK925" s="40"/>
      <c r="AL925" s="40"/>
      <c r="AM925" s="40"/>
      <c r="AN925" s="40"/>
      <c r="AO925" s="40"/>
      <c r="AP925" s="40"/>
      <c r="AQ925" s="40"/>
      <c r="AR925" s="40"/>
      <c r="AS925" s="40"/>
      <c r="AT925" s="40"/>
      <c r="AU925" s="40"/>
      <c r="AV925" s="163">
        <v>0.18677743999999999</v>
      </c>
      <c r="AW925" s="163"/>
      <c r="AX925" s="163"/>
      <c r="AY925" s="163">
        <v>14.594757</v>
      </c>
      <c r="AZ925" s="163"/>
      <c r="BA925" s="40"/>
      <c r="BB925" s="40"/>
      <c r="BC925" s="163">
        <v>2.6248305E-3</v>
      </c>
      <c r="BD925" s="163">
        <v>1.0079530999999999E-4</v>
      </c>
      <c r="BE925" s="163">
        <v>0.83891764999999996</v>
      </c>
      <c r="BF925" s="40"/>
      <c r="BG925" s="40"/>
      <c r="BH925" s="40"/>
      <c r="BI925" s="40"/>
      <c r="BJ925" s="40"/>
      <c r="BK925" s="40"/>
      <c r="BL925" s="62">
        <v>0</v>
      </c>
      <c r="BM925" s="275">
        <v>3</v>
      </c>
      <c r="BN925" s="62">
        <v>0.03</v>
      </c>
      <c r="BO925" s="33" t="s">
        <v>600</v>
      </c>
    </row>
    <row r="926" spans="1:68">
      <c r="A926" s="33" t="str">
        <f>Database_Productkaarten[[#This Row],[Product]]&amp;", "&amp;Database_Productkaarten[[#This Row],[Levensfase]]</f>
        <v>Opsluitband 100x200, A5</v>
      </c>
      <c r="B926" t="s">
        <v>228</v>
      </c>
      <c r="C926" t="s">
        <v>55</v>
      </c>
      <c r="D926" s="33" t="s">
        <v>599</v>
      </c>
      <c r="E926" s="33" t="s">
        <v>389</v>
      </c>
      <c r="F926" s="33" t="s">
        <v>79</v>
      </c>
      <c r="G926" s="33">
        <v>1</v>
      </c>
      <c r="H926" s="33">
        <v>0.2</v>
      </c>
      <c r="I926" s="33">
        <v>0.1</v>
      </c>
      <c r="L926" s="33">
        <v>2.4</v>
      </c>
      <c r="M926" s="33">
        <v>4.5499999999999999E-2</v>
      </c>
      <c r="N926" s="41">
        <v>9.4060000000000005E-2</v>
      </c>
      <c r="O926" s="33">
        <v>25</v>
      </c>
      <c r="P926" s="163">
        <v>4.7065387000000001E-7</v>
      </c>
      <c r="Q926" s="163">
        <v>4.8934686999999996E-3</v>
      </c>
      <c r="R926" s="163">
        <v>0.80927543999999996</v>
      </c>
      <c r="S926" s="163">
        <v>1.1927556000000001E-7</v>
      </c>
      <c r="T926" s="163">
        <v>6.5596711999999998E-4</v>
      </c>
      <c r="U926" s="163">
        <v>5.0387588000000002E-3</v>
      </c>
      <c r="V926" s="163">
        <v>1.1157557E-3</v>
      </c>
      <c r="W926" s="163">
        <v>0.24140201</v>
      </c>
      <c r="X926" s="163">
        <v>3.8079466000000002E-3</v>
      </c>
      <c r="Y926" s="163">
        <v>13.597315</v>
      </c>
      <c r="Z926" s="163">
        <v>7.3219371E-4</v>
      </c>
      <c r="AA926" s="163"/>
      <c r="AB926" s="163"/>
      <c r="AC926" s="163"/>
      <c r="AD926" s="163"/>
      <c r="AE926" s="163"/>
      <c r="AF926" s="163"/>
      <c r="AG926" s="40"/>
      <c r="AH926" s="40"/>
      <c r="AI926" s="40"/>
      <c r="AJ926" s="40"/>
      <c r="AK926" s="40"/>
      <c r="AL926" s="40"/>
      <c r="AM926" s="40"/>
      <c r="AN926" s="40"/>
      <c r="AO926" s="40"/>
      <c r="AP926" s="40"/>
      <c r="AQ926" s="40"/>
      <c r="AR926" s="40"/>
      <c r="AS926" s="40"/>
      <c r="AT926" s="40"/>
      <c r="AU926" s="40"/>
      <c r="AV926" s="163">
        <v>0.21088109999999999</v>
      </c>
      <c r="AW926" s="163"/>
      <c r="AX926" s="163"/>
      <c r="AY926" s="163">
        <v>10.96696</v>
      </c>
      <c r="AZ926" s="163"/>
      <c r="BA926" s="40"/>
      <c r="BB926" s="40"/>
      <c r="BC926" s="163">
        <v>1.2660698E-2</v>
      </c>
      <c r="BD926" s="163">
        <v>8.9950698999999995E-2</v>
      </c>
      <c r="BE926" s="163">
        <v>7.7145081000000004E-2</v>
      </c>
      <c r="BF926" s="40"/>
      <c r="BG926" s="40"/>
      <c r="BH926" s="40"/>
      <c r="BI926" s="40"/>
      <c r="BJ926" s="40"/>
      <c r="BK926" s="40"/>
      <c r="BL926" s="62">
        <v>0</v>
      </c>
      <c r="BM926" s="275">
        <v>3</v>
      </c>
      <c r="BN926" s="62">
        <v>0.03</v>
      </c>
      <c r="BO926" s="33" t="s">
        <v>600</v>
      </c>
    </row>
    <row r="927" spans="1:68">
      <c r="A927" s="33" t="str">
        <f>Database_Productkaarten[[#This Row],[Product]]&amp;", "&amp;Database_Productkaarten[[#This Row],[Levensfase]]</f>
        <v>Opsluitband 100x200, B1</v>
      </c>
      <c r="B927" t="s">
        <v>228</v>
      </c>
      <c r="C927" t="s">
        <v>55</v>
      </c>
      <c r="D927" s="33" t="s">
        <v>599</v>
      </c>
      <c r="E927" s="33" t="s">
        <v>389</v>
      </c>
      <c r="F927" s="33" t="s">
        <v>80</v>
      </c>
      <c r="G927" s="33">
        <v>1</v>
      </c>
      <c r="H927" s="33">
        <v>0.2</v>
      </c>
      <c r="I927" s="33">
        <v>0.1</v>
      </c>
      <c r="L927" s="33">
        <v>2.4</v>
      </c>
      <c r="M927" s="33">
        <v>4.5499999999999999E-2</v>
      </c>
      <c r="N927" s="41"/>
      <c r="O927" s="33">
        <v>25</v>
      </c>
      <c r="P927" s="163">
        <v>0</v>
      </c>
      <c r="Q927" s="163">
        <v>0</v>
      </c>
      <c r="R927" s="163">
        <v>0</v>
      </c>
      <c r="S927" s="163">
        <v>0</v>
      </c>
      <c r="T927" s="163">
        <v>0</v>
      </c>
      <c r="U927" s="163">
        <v>0</v>
      </c>
      <c r="V927" s="163">
        <v>0</v>
      </c>
      <c r="W927" s="163">
        <v>0</v>
      </c>
      <c r="X927" s="163">
        <v>0</v>
      </c>
      <c r="Y927" s="163">
        <v>0</v>
      </c>
      <c r="Z927" s="163">
        <v>0</v>
      </c>
      <c r="AA927" s="163"/>
      <c r="AB927" s="163"/>
      <c r="AC927" s="163"/>
      <c r="AD927" s="163"/>
      <c r="AE927" s="163"/>
      <c r="AF927" s="163"/>
      <c r="AG927" s="40"/>
      <c r="AH927" s="40"/>
      <c r="AI927" s="40"/>
      <c r="AJ927" s="40"/>
      <c r="AK927" s="40"/>
      <c r="AL927" s="40"/>
      <c r="AM927" s="40"/>
      <c r="AN927" s="40"/>
      <c r="AO927" s="40"/>
      <c r="AP927" s="40"/>
      <c r="AQ927" s="40"/>
      <c r="AR927" s="40"/>
      <c r="AS927" s="40"/>
      <c r="AT927" s="40"/>
      <c r="AU927" s="40"/>
      <c r="AV927" s="163">
        <v>0</v>
      </c>
      <c r="AW927" s="163"/>
      <c r="AX927" s="163"/>
      <c r="AY927" s="163">
        <v>0</v>
      </c>
      <c r="AZ927" s="163"/>
      <c r="BA927" s="40"/>
      <c r="BB927" s="40"/>
      <c r="BC927" s="163">
        <v>0</v>
      </c>
      <c r="BD927" s="163">
        <v>0</v>
      </c>
      <c r="BE927" s="163">
        <v>0</v>
      </c>
      <c r="BF927" s="40"/>
      <c r="BG927" s="40"/>
      <c r="BH927" s="40"/>
      <c r="BI927" s="40"/>
      <c r="BJ927" s="40"/>
      <c r="BK927" s="40"/>
      <c r="BL927" s="62">
        <v>0</v>
      </c>
      <c r="BM927" s="275">
        <v>3</v>
      </c>
      <c r="BN927" s="62">
        <v>0.03</v>
      </c>
      <c r="BO927" s="33" t="s">
        <v>600</v>
      </c>
    </row>
    <row r="928" spans="1:68">
      <c r="A928" s="33" t="str">
        <f>Database_Productkaarten[[#This Row],[Product]]&amp;", "&amp;Database_Productkaarten[[#This Row],[Levensfase]]</f>
        <v>Opsluitband 100x200, C1</v>
      </c>
      <c r="B928" t="s">
        <v>228</v>
      </c>
      <c r="C928" t="s">
        <v>55</v>
      </c>
      <c r="D928" s="33" t="s">
        <v>599</v>
      </c>
      <c r="E928" s="33" t="s">
        <v>389</v>
      </c>
      <c r="F928" s="33" t="s">
        <v>83</v>
      </c>
      <c r="G928" s="33">
        <v>1</v>
      </c>
      <c r="H928" s="33">
        <v>0.2</v>
      </c>
      <c r="I928" s="33">
        <v>0.1</v>
      </c>
      <c r="L928" s="33">
        <v>2.4</v>
      </c>
      <c r="M928" s="33">
        <v>4.5499999999999999E-2</v>
      </c>
      <c r="N928" s="41">
        <v>7.8700000000000006E-2</v>
      </c>
      <c r="O928" s="33">
        <v>25</v>
      </c>
      <c r="P928" s="163">
        <v>1.9924427999999999E-7</v>
      </c>
      <c r="Q928" s="163">
        <v>4.1050855000000002E-3</v>
      </c>
      <c r="R928" s="163">
        <v>0.59497279999999997</v>
      </c>
      <c r="S928" s="163">
        <v>1.0716769E-7</v>
      </c>
      <c r="T928" s="163">
        <v>5.9971757000000004E-4</v>
      </c>
      <c r="U928" s="163">
        <v>4.5018584999999998E-3</v>
      </c>
      <c r="V928" s="163">
        <v>1.0080613000000001E-3</v>
      </c>
      <c r="W928" s="163">
        <v>0.21061642999999999</v>
      </c>
      <c r="X928" s="163">
        <v>2.9454494999999999E-3</v>
      </c>
      <c r="Y928" s="163">
        <v>9.9845778999999997</v>
      </c>
      <c r="Z928" s="163">
        <v>3.5193415999999999E-4</v>
      </c>
      <c r="AA928" s="163"/>
      <c r="AB928" s="163"/>
      <c r="AC928" s="163"/>
      <c r="AD928" s="163"/>
      <c r="AE928" s="163"/>
      <c r="AF928" s="163"/>
      <c r="AG928" s="40"/>
      <c r="AH928" s="40"/>
      <c r="AI928" s="40"/>
      <c r="AJ928" s="40"/>
      <c r="AK928" s="40"/>
      <c r="AL928" s="40"/>
      <c r="AM928" s="40"/>
      <c r="AN928" s="40"/>
      <c r="AO928" s="40"/>
      <c r="AP928" s="40"/>
      <c r="AQ928" s="40"/>
      <c r="AR928" s="40"/>
      <c r="AS928" s="40"/>
      <c r="AT928" s="40"/>
      <c r="AU928" s="40"/>
      <c r="AV928" s="163">
        <v>4.9442172999999999E-2</v>
      </c>
      <c r="AW928" s="163"/>
      <c r="AX928" s="163"/>
      <c r="AY928" s="163">
        <v>9.2085135000000005</v>
      </c>
      <c r="AZ928" s="163"/>
      <c r="BA928" s="40"/>
      <c r="BB928" s="40"/>
      <c r="BC928" s="163">
        <v>7.5919631999999998E-4</v>
      </c>
      <c r="BD928" s="163">
        <v>6.3751571999999998E-5</v>
      </c>
      <c r="BE928" s="163">
        <v>9.3962368000000008E-3</v>
      </c>
      <c r="BF928" s="40"/>
      <c r="BG928" s="40"/>
      <c r="BH928" s="40"/>
      <c r="BI928" s="40"/>
      <c r="BJ928" s="40"/>
      <c r="BK928" s="40"/>
      <c r="BL928" s="62">
        <v>0</v>
      </c>
      <c r="BM928" s="275">
        <v>3</v>
      </c>
      <c r="BN928" s="62">
        <v>0.03</v>
      </c>
      <c r="BO928" s="33" t="s">
        <v>600</v>
      </c>
    </row>
    <row r="929" spans="1:68">
      <c r="A929" s="33" t="str">
        <f>Database_Productkaarten[[#This Row],[Product]]&amp;", "&amp;Database_Productkaarten[[#This Row],[Levensfase]]</f>
        <v>Opsluitband 100x200, C2</v>
      </c>
      <c r="B929" t="s">
        <v>228</v>
      </c>
      <c r="C929" t="s">
        <v>55</v>
      </c>
      <c r="D929" s="33" t="s">
        <v>599</v>
      </c>
      <c r="E929" s="33" t="s">
        <v>389</v>
      </c>
      <c r="F929" s="33" t="s">
        <v>84</v>
      </c>
      <c r="G929" s="33">
        <v>1</v>
      </c>
      <c r="H929" s="33">
        <v>0.2</v>
      </c>
      <c r="I929" s="33">
        <v>0.1</v>
      </c>
      <c r="L929" s="33">
        <v>2.4</v>
      </c>
      <c r="M929" s="33">
        <v>4.5499999999999999E-2</v>
      </c>
      <c r="N929" s="41">
        <v>3.5279999999999999E-2</v>
      </c>
      <c r="O929" s="33">
        <v>25</v>
      </c>
      <c r="P929" s="163">
        <v>8.4917947000000002E-7</v>
      </c>
      <c r="Q929" s="163">
        <v>2.2040744E-3</v>
      </c>
      <c r="R929" s="163">
        <v>0.29860398999999999</v>
      </c>
      <c r="S929" s="163">
        <v>5.5026823E-8</v>
      </c>
      <c r="T929" s="163">
        <v>1.7624557999999999E-4</v>
      </c>
      <c r="U929" s="163">
        <v>1.2945770999999999E-3</v>
      </c>
      <c r="V929" s="163">
        <v>2.5797405999999998E-4</v>
      </c>
      <c r="W929" s="163">
        <v>0.11946494000000001</v>
      </c>
      <c r="X929" s="163">
        <v>3.5037457000000002E-3</v>
      </c>
      <c r="Y929" s="163">
        <v>12.646057000000001</v>
      </c>
      <c r="Z929" s="163">
        <v>4.2327958E-4</v>
      </c>
      <c r="AA929" s="163"/>
      <c r="AB929" s="163"/>
      <c r="AC929" s="163"/>
      <c r="AD929" s="163"/>
      <c r="AE929" s="163"/>
      <c r="AF929" s="163"/>
      <c r="AG929" s="40"/>
      <c r="AH929" s="40"/>
      <c r="AI929" s="40"/>
      <c r="AJ929" s="40"/>
      <c r="AK929" s="40"/>
      <c r="AL929" s="40"/>
      <c r="AM929" s="40"/>
      <c r="AN929" s="40"/>
      <c r="AO929" s="40"/>
      <c r="AP929" s="40"/>
      <c r="AQ929" s="40"/>
      <c r="AR929" s="40"/>
      <c r="AS929" s="40"/>
      <c r="AT929" s="40"/>
      <c r="AU929" s="40"/>
      <c r="AV929" s="163">
        <v>6.2881739000000006E-2</v>
      </c>
      <c r="AW929" s="163"/>
      <c r="AX929" s="163"/>
      <c r="AY929" s="163">
        <v>4.9135679999999997</v>
      </c>
      <c r="AZ929" s="163"/>
      <c r="BA929" s="40"/>
      <c r="BB929" s="40"/>
      <c r="BC929" s="163">
        <v>8.8369295000000005E-4</v>
      </c>
      <c r="BD929" s="163">
        <v>3.3934421999999998E-5</v>
      </c>
      <c r="BE929" s="163">
        <v>0.28243561</v>
      </c>
      <c r="BF929" s="40"/>
      <c r="BG929" s="40"/>
      <c r="BH929" s="40"/>
      <c r="BI929" s="40"/>
      <c r="BJ929" s="40"/>
      <c r="BK929" s="40"/>
      <c r="BL929" s="62">
        <v>0</v>
      </c>
      <c r="BM929" s="275">
        <v>3</v>
      </c>
      <c r="BN929" s="62">
        <v>0.03</v>
      </c>
      <c r="BO929" s="33" t="s">
        <v>600</v>
      </c>
    </row>
    <row r="930" spans="1:68">
      <c r="A930" s="33" t="str">
        <f>Database_Productkaarten[[#This Row],[Product]]&amp;", "&amp;Database_Productkaarten[[#This Row],[Levensfase]]</f>
        <v>Opsluitband 100x200, C3</v>
      </c>
      <c r="B930" t="s">
        <v>228</v>
      </c>
      <c r="C930" t="s">
        <v>55</v>
      </c>
      <c r="D930" s="33" t="s">
        <v>599</v>
      </c>
      <c r="E930" s="33" t="s">
        <v>389</v>
      </c>
      <c r="F930" s="33" t="s">
        <v>85</v>
      </c>
      <c r="G930" s="33">
        <v>1</v>
      </c>
      <c r="H930" s="33">
        <v>0.2</v>
      </c>
      <c r="I930" s="33">
        <v>0.1</v>
      </c>
      <c r="L930" s="33">
        <v>2.4</v>
      </c>
      <c r="M930" s="33">
        <v>4.5499999999999999E-2</v>
      </c>
      <c r="N930" s="41">
        <v>7.5300000000000002E-3</v>
      </c>
      <c r="O930" s="33">
        <v>25</v>
      </c>
      <c r="P930" s="163">
        <v>4.3056811999999999E-8</v>
      </c>
      <c r="Q930" s="163">
        <v>5.3424188999999999E-4</v>
      </c>
      <c r="R930" s="163">
        <v>7.0911241E-2</v>
      </c>
      <c r="S930" s="163">
        <v>8.2371932E-9</v>
      </c>
      <c r="T930" s="163">
        <v>3.9730648E-5</v>
      </c>
      <c r="U930" s="163">
        <v>3.2762493999999998E-4</v>
      </c>
      <c r="V930" s="163">
        <v>7.3882463999999998E-5</v>
      </c>
      <c r="W930" s="163">
        <v>1.551344E-2</v>
      </c>
      <c r="X930" s="163">
        <v>2.5895984999999998E-4</v>
      </c>
      <c r="Y930" s="163">
        <v>0.99339166999999995</v>
      </c>
      <c r="Z930" s="163">
        <v>2.0927871999999999E-4</v>
      </c>
      <c r="AA930" s="163"/>
      <c r="AB930" s="163"/>
      <c r="AC930" s="163"/>
      <c r="AD930" s="163"/>
      <c r="AE930" s="163"/>
      <c r="AF930" s="163"/>
      <c r="AG930" s="40"/>
      <c r="AH930" s="40"/>
      <c r="AI930" s="40"/>
      <c r="AJ930" s="40"/>
      <c r="AK930" s="40"/>
      <c r="AL930" s="40"/>
      <c r="AM930" s="40"/>
      <c r="AN930" s="40"/>
      <c r="AO930" s="40"/>
      <c r="AP930" s="40"/>
      <c r="AQ930" s="40"/>
      <c r="AR930" s="40"/>
      <c r="AS930" s="40"/>
      <c r="AT930" s="40"/>
      <c r="AU930" s="40"/>
      <c r="AV930" s="163">
        <v>5.7537804999999997E-2</v>
      </c>
      <c r="AW930" s="163"/>
      <c r="AX930" s="163"/>
      <c r="AY930" s="163">
        <v>1.1186049</v>
      </c>
      <c r="AZ930" s="163"/>
      <c r="BA930" s="40"/>
      <c r="BB930" s="40"/>
      <c r="BC930" s="163">
        <v>1.7849313E-4</v>
      </c>
      <c r="BD930" s="163">
        <v>6.4800047000000003E-6</v>
      </c>
      <c r="BE930" s="163">
        <v>0.13526584999999999</v>
      </c>
      <c r="BF930" s="40"/>
      <c r="BG930" s="40"/>
      <c r="BH930" s="40"/>
      <c r="BI930" s="40"/>
      <c r="BJ930" s="40"/>
      <c r="BK930" s="40"/>
      <c r="BL930" s="62">
        <v>0</v>
      </c>
      <c r="BM930" s="275">
        <v>3</v>
      </c>
      <c r="BN930" s="62">
        <v>0.03</v>
      </c>
      <c r="BO930" s="33" t="s">
        <v>600</v>
      </c>
    </row>
    <row r="931" spans="1:68">
      <c r="A931" s="33" t="str">
        <f>Database_Productkaarten[[#This Row],[Product]]&amp;", "&amp;Database_Productkaarten[[#This Row],[Levensfase]]</f>
        <v>Opsluitband 100x200, C4</v>
      </c>
      <c r="B931" t="s">
        <v>228</v>
      </c>
      <c r="C931" t="s">
        <v>55</v>
      </c>
      <c r="D931" s="33" t="s">
        <v>599</v>
      </c>
      <c r="E931" s="33" t="s">
        <v>389</v>
      </c>
      <c r="F931" s="33" t="s">
        <v>86</v>
      </c>
      <c r="G931" s="33">
        <v>1</v>
      </c>
      <c r="H931" s="33">
        <v>0.2</v>
      </c>
      <c r="I931" s="33">
        <v>0.1</v>
      </c>
      <c r="L931" s="33">
        <v>2.4</v>
      </c>
      <c r="M931" s="33">
        <v>4.5499999999999999E-2</v>
      </c>
      <c r="N931" s="41">
        <v>3.3E-4</v>
      </c>
      <c r="O931" s="33">
        <v>25</v>
      </c>
      <c r="P931" s="163">
        <v>2.7376705999999999E-9</v>
      </c>
      <c r="Q931" s="163">
        <v>3.2642511999999997E-5</v>
      </c>
      <c r="R931" s="163">
        <v>2.3986203999999999E-3</v>
      </c>
      <c r="S931" s="163">
        <v>7.9390559E-10</v>
      </c>
      <c r="T931" s="163">
        <v>2.5418786000000001E-6</v>
      </c>
      <c r="U931" s="163">
        <v>1.7724352000000001E-5</v>
      </c>
      <c r="V931" s="163">
        <v>3.3357622999999999E-6</v>
      </c>
      <c r="W931" s="163">
        <v>9.7791000000000002E-4</v>
      </c>
      <c r="X931" s="163">
        <v>2.4316829E-5</v>
      </c>
      <c r="Y931" s="163">
        <v>8.3634934999999994E-2</v>
      </c>
      <c r="Z931" s="163">
        <v>2.8961406999999999E-6</v>
      </c>
      <c r="AA931" s="163"/>
      <c r="AB931" s="163"/>
      <c r="AC931" s="163"/>
      <c r="AD931" s="163"/>
      <c r="AE931" s="163"/>
      <c r="AF931" s="163"/>
      <c r="AG931" s="40"/>
      <c r="AH931" s="40"/>
      <c r="AI931" s="40"/>
      <c r="AJ931" s="40"/>
      <c r="AK931" s="40"/>
      <c r="AL931" s="40"/>
      <c r="AM931" s="40"/>
      <c r="AN931" s="40"/>
      <c r="AO931" s="40"/>
      <c r="AP931" s="40"/>
      <c r="AQ931" s="40"/>
      <c r="AR931" s="40"/>
      <c r="AS931" s="40"/>
      <c r="AT931" s="40"/>
      <c r="AU931" s="40"/>
      <c r="AV931" s="163">
        <v>1.7484740000000001E-3</v>
      </c>
      <c r="AW931" s="163"/>
      <c r="AX931" s="163"/>
      <c r="AY931" s="163">
        <v>7.2917489000000002E-2</v>
      </c>
      <c r="AZ931" s="163"/>
      <c r="BA931" s="40"/>
      <c r="BB931" s="40"/>
      <c r="BC931" s="163">
        <v>7.3491519000000005E-5</v>
      </c>
      <c r="BD931" s="163">
        <v>4.9532311000000002E-7</v>
      </c>
      <c r="BE931" s="163">
        <v>0.44885494999999997</v>
      </c>
      <c r="BF931" s="40"/>
      <c r="BG931" s="40"/>
      <c r="BH931" s="40"/>
      <c r="BI931" s="40"/>
      <c r="BJ931" s="40"/>
      <c r="BK931" s="40"/>
      <c r="BL931" s="62">
        <v>0</v>
      </c>
      <c r="BM931" s="275">
        <v>3</v>
      </c>
      <c r="BN931" s="62">
        <v>0.03</v>
      </c>
      <c r="BO931" s="33" t="s">
        <v>600</v>
      </c>
    </row>
    <row r="932" spans="1:68">
      <c r="A932" s="33" t="str">
        <f>Database_Productkaarten[[#This Row],[Product]]&amp;", "&amp;Database_Productkaarten[[#This Row],[Levensfase]]</f>
        <v>Opsluitband 100x200, D</v>
      </c>
      <c r="B932" s="33" t="str">
        <f>B933</f>
        <v>Opsluitband 100x200</v>
      </c>
      <c r="C932" s="33" t="str">
        <f>C933</f>
        <v>Elementenverhardingen</v>
      </c>
      <c r="D932" s="33" t="str">
        <f>D933</f>
        <v>Opsluitband</v>
      </c>
      <c r="E932" s="33" t="str">
        <f>E933</f>
        <v>m1</v>
      </c>
      <c r="F932" s="33" t="s">
        <v>89</v>
      </c>
      <c r="G932" s="33">
        <f t="shared" ref="G932:M932" si="112">G933</f>
        <v>1</v>
      </c>
      <c r="H932" s="33">
        <f t="shared" si="112"/>
        <v>0.2</v>
      </c>
      <c r="I932" s="33">
        <f t="shared" si="112"/>
        <v>0.1</v>
      </c>
      <c r="L932" s="33">
        <f t="shared" si="112"/>
        <v>2.4</v>
      </c>
      <c r="M932" s="45">
        <f t="shared" si="112"/>
        <v>4.5499999999999999E-2</v>
      </c>
      <c r="N932" s="41">
        <v>-2.3609999999999999E-2</v>
      </c>
      <c r="O932" s="33">
        <f>O933</f>
        <v>25</v>
      </c>
      <c r="P932" s="163">
        <v>-9.3529418000000003E-7</v>
      </c>
      <c r="Q932" s="163">
        <v>-1.1809555E-3</v>
      </c>
      <c r="R932" s="163">
        <v>-0.17820658</v>
      </c>
      <c r="S932" s="163">
        <v>-1.5147622E-8</v>
      </c>
      <c r="T932" s="163">
        <v>-1.2441275E-4</v>
      </c>
      <c r="U932" s="163">
        <v>-1.0121576000000001E-3</v>
      </c>
      <c r="V932" s="163">
        <v>-1.6537187999999999E-4</v>
      </c>
      <c r="W932" s="163">
        <v>-6.9066458999999997E-2</v>
      </c>
      <c r="X932" s="163">
        <v>-1.0059089999999999E-3</v>
      </c>
      <c r="Y932" s="163">
        <v>-4.7989464999999996</v>
      </c>
      <c r="Z932" s="163">
        <v>-3.9091880999999999E-4</v>
      </c>
      <c r="AA932" s="40">
        <f t="shared" ref="AA932:BK932" si="113">SUM(AA933:AA934)</f>
        <v>0</v>
      </c>
      <c r="AB932" s="40">
        <f t="shared" si="113"/>
        <v>0</v>
      </c>
      <c r="AC932" s="40">
        <f t="shared" si="113"/>
        <v>0</v>
      </c>
      <c r="AD932" s="40">
        <f t="shared" si="113"/>
        <v>0</v>
      </c>
      <c r="AE932" s="40">
        <f t="shared" si="113"/>
        <v>0</v>
      </c>
      <c r="AF932" s="40">
        <f t="shared" si="113"/>
        <v>0</v>
      </c>
      <c r="AG932" s="40">
        <f t="shared" si="113"/>
        <v>0</v>
      </c>
      <c r="AH932" s="40">
        <f t="shared" si="113"/>
        <v>0</v>
      </c>
      <c r="AI932" s="40">
        <f t="shared" si="113"/>
        <v>0</v>
      </c>
      <c r="AJ932" s="40">
        <f t="shared" si="113"/>
        <v>0</v>
      </c>
      <c r="AK932" s="40">
        <f t="shared" si="113"/>
        <v>0</v>
      </c>
      <c r="AL932" s="40">
        <f t="shared" si="113"/>
        <v>0</v>
      </c>
      <c r="AM932" s="40">
        <f t="shared" si="113"/>
        <v>0</v>
      </c>
      <c r="AN932" s="40">
        <f t="shared" si="113"/>
        <v>0</v>
      </c>
      <c r="AO932" s="40">
        <f t="shared" si="113"/>
        <v>0</v>
      </c>
      <c r="AP932" s="40">
        <f t="shared" si="113"/>
        <v>0</v>
      </c>
      <c r="AQ932" s="40">
        <f t="shared" si="113"/>
        <v>0</v>
      </c>
      <c r="AR932" s="40">
        <f t="shared" si="113"/>
        <v>0</v>
      </c>
      <c r="AS932" s="40">
        <f t="shared" si="113"/>
        <v>0</v>
      </c>
      <c r="AT932" s="40">
        <f t="shared" si="113"/>
        <v>0</v>
      </c>
      <c r="AU932" s="40">
        <f t="shared" si="113"/>
        <v>0</v>
      </c>
      <c r="AV932" s="163">
        <v>-0.14500817999999999</v>
      </c>
      <c r="AW932" s="163"/>
      <c r="AX932" s="163"/>
      <c r="AY932" s="163">
        <v>-2.3728296000000002</v>
      </c>
      <c r="AZ932" s="163"/>
      <c r="BA932" s="40"/>
      <c r="BB932" s="40"/>
      <c r="BC932" s="163">
        <v>-5.6872223E-2</v>
      </c>
      <c r="BD932" s="163">
        <v>-1.2694637E-5</v>
      </c>
      <c r="BE932" s="163">
        <v>-2.2762850000000001E-2</v>
      </c>
      <c r="BF932" s="40">
        <f t="shared" si="113"/>
        <v>0</v>
      </c>
      <c r="BG932" s="40">
        <f t="shared" si="113"/>
        <v>0</v>
      </c>
      <c r="BH932" s="40">
        <f t="shared" si="113"/>
        <v>0</v>
      </c>
      <c r="BI932" s="40">
        <f t="shared" si="113"/>
        <v>0</v>
      </c>
      <c r="BJ932" s="40">
        <f t="shared" si="113"/>
        <v>0</v>
      </c>
      <c r="BK932" s="40">
        <f t="shared" si="113"/>
        <v>0</v>
      </c>
      <c r="BL932" s="62">
        <f>BL933</f>
        <v>0</v>
      </c>
      <c r="BM932" s="275">
        <f>BM933</f>
        <v>3</v>
      </c>
      <c r="BN932" s="62">
        <v>0.03</v>
      </c>
      <c r="BO932" s="33" t="str">
        <f>BO933</f>
        <v>NMD Opsluitband 100x200x1000mm grijs</v>
      </c>
    </row>
    <row r="933" spans="1:68">
      <c r="A933" s="33" t="str">
        <f>Database_Productkaarten[[#This Row],[Product]]&amp;", "&amp;Database_Productkaarten[[#This Row],[Levensfase]]</f>
        <v>Opsluitband 100x200, D1</v>
      </c>
      <c r="B933" t="s">
        <v>228</v>
      </c>
      <c r="C933" t="s">
        <v>55</v>
      </c>
      <c r="D933" s="33" t="s">
        <v>599</v>
      </c>
      <c r="E933" s="33" t="s">
        <v>389</v>
      </c>
      <c r="F933" s="33" t="s">
        <v>87</v>
      </c>
      <c r="G933" s="33">
        <v>1</v>
      </c>
      <c r="H933" s="33">
        <v>0.2</v>
      </c>
      <c r="I933" s="33">
        <v>0.1</v>
      </c>
      <c r="L933" s="33">
        <v>2.4</v>
      </c>
      <c r="M933" s="33">
        <v>4.5499999999999999E-2</v>
      </c>
      <c r="N933" s="41"/>
      <c r="O933" s="33">
        <v>25</v>
      </c>
      <c r="P933" s="40"/>
      <c r="Q933" s="40"/>
      <c r="R933" s="40"/>
      <c r="S933" s="40"/>
      <c r="T933" s="40"/>
      <c r="U933" s="40"/>
      <c r="V933" s="40"/>
      <c r="W933" s="40"/>
      <c r="X933" s="40"/>
      <c r="Y933" s="40"/>
      <c r="Z933" s="40"/>
      <c r="AA933" s="40"/>
      <c r="AB933" s="40"/>
      <c r="AC933" s="40"/>
      <c r="AD933" s="40"/>
      <c r="AE933" s="40"/>
      <c r="AF933" s="40"/>
      <c r="AG933" s="40"/>
      <c r="AH933" s="40"/>
      <c r="AI933" s="40"/>
      <c r="AJ933" s="40"/>
      <c r="AK933" s="40"/>
      <c r="AL933" s="40"/>
      <c r="AM933" s="40"/>
      <c r="AN933" s="40"/>
      <c r="AO933" s="40"/>
      <c r="AP933" s="40"/>
      <c r="AQ933" s="40"/>
      <c r="AR933" s="40"/>
      <c r="AS933" s="40"/>
      <c r="AT933" s="40"/>
      <c r="AU933" s="40"/>
      <c r="AV933" s="317"/>
      <c r="AW933" s="317"/>
      <c r="AX933" s="317"/>
      <c r="AY933" s="317"/>
      <c r="AZ933" s="40"/>
      <c r="BA933" s="40"/>
      <c r="BB933" s="40"/>
      <c r="BC933" s="40"/>
      <c r="BD933" s="40"/>
      <c r="BE933" s="40"/>
      <c r="BF933" s="40"/>
      <c r="BG933" s="40"/>
      <c r="BH933" s="40"/>
      <c r="BI933" s="40"/>
      <c r="BJ933" s="40"/>
      <c r="BK933" s="40"/>
      <c r="BL933" s="62">
        <v>0</v>
      </c>
      <c r="BM933" s="275">
        <v>3</v>
      </c>
      <c r="BN933" s="62">
        <v>0.03</v>
      </c>
      <c r="BO933" s="33" t="s">
        <v>600</v>
      </c>
    </row>
    <row r="934" spans="1:68">
      <c r="A934" s="33" t="str">
        <f>Database_Productkaarten[[#This Row],[Product]]&amp;", "&amp;Database_Productkaarten[[#This Row],[Levensfase]]</f>
        <v>Opsluitband 100x200, D2</v>
      </c>
      <c r="B934" t="s">
        <v>228</v>
      </c>
      <c r="C934" t="s">
        <v>55</v>
      </c>
      <c r="D934" s="33" t="s">
        <v>599</v>
      </c>
      <c r="E934" s="33" t="s">
        <v>389</v>
      </c>
      <c r="F934" s="33" t="s">
        <v>88</v>
      </c>
      <c r="G934" s="33">
        <v>1</v>
      </c>
      <c r="H934" s="33">
        <v>0.2</v>
      </c>
      <c r="I934" s="33">
        <v>0.1</v>
      </c>
      <c r="L934" s="33">
        <v>2.4</v>
      </c>
      <c r="M934" s="33">
        <v>4.5499999999999999E-2</v>
      </c>
      <c r="N934" s="41"/>
      <c r="O934" s="33">
        <v>25</v>
      </c>
      <c r="P934" s="40"/>
      <c r="Q934" s="40"/>
      <c r="R934" s="40"/>
      <c r="S934" s="40"/>
      <c r="T934" s="40"/>
      <c r="U934" s="40"/>
      <c r="V934" s="40"/>
      <c r="W934" s="40"/>
      <c r="X934" s="40"/>
      <c r="Y934" s="40"/>
      <c r="Z934" s="40"/>
      <c r="AA934" s="40"/>
      <c r="AB934" s="40"/>
      <c r="AC934" s="40"/>
      <c r="AD934" s="40"/>
      <c r="AE934" s="40"/>
      <c r="AF934" s="40"/>
      <c r="AG934" s="40"/>
      <c r="AH934" s="40"/>
      <c r="AI934" s="40"/>
      <c r="AJ934" s="40"/>
      <c r="AK934" s="40"/>
      <c r="AL934" s="40"/>
      <c r="AM934" s="40"/>
      <c r="AN934" s="40"/>
      <c r="AO934" s="40"/>
      <c r="AP934" s="40"/>
      <c r="AQ934" s="40"/>
      <c r="AR934" s="40"/>
      <c r="AS934" s="40"/>
      <c r="AT934" s="40"/>
      <c r="AU934" s="40"/>
      <c r="AV934" s="313"/>
      <c r="AW934" s="317"/>
      <c r="AX934" s="317"/>
      <c r="AY934" s="313"/>
      <c r="AZ934" s="40"/>
      <c r="BA934" s="40"/>
      <c r="BB934" s="40"/>
      <c r="BC934" s="40"/>
      <c r="BD934" s="40"/>
      <c r="BE934" s="40"/>
      <c r="BF934" s="40"/>
      <c r="BG934" s="40"/>
      <c r="BH934" s="40"/>
      <c r="BI934" s="40"/>
      <c r="BJ934" s="40"/>
      <c r="BK934" s="40"/>
      <c r="BL934" s="62">
        <v>0</v>
      </c>
      <c r="BM934" s="275">
        <v>3</v>
      </c>
      <c r="BN934" s="62">
        <v>0.03</v>
      </c>
      <c r="BO934" s="33" t="s">
        <v>600</v>
      </c>
    </row>
    <row r="935" spans="1:68">
      <c r="A935" s="33" t="str">
        <f>Database_Productkaarten[[#This Row],[Product]]&amp;", "&amp;Database_Productkaarten[[#This Row],[Levensfase]]</f>
        <v>Opsluitband 100x200 (hergebruik), Totaal</v>
      </c>
      <c r="B935" t="s">
        <v>601</v>
      </c>
      <c r="C935" t="s">
        <v>55</v>
      </c>
      <c r="D935" s="33" t="s">
        <v>599</v>
      </c>
      <c r="E935" s="33" t="s">
        <v>389</v>
      </c>
      <c r="F935" s="33" t="s">
        <v>90</v>
      </c>
      <c r="G935" s="33">
        <v>1</v>
      </c>
      <c r="H935" s="33">
        <v>0.2</v>
      </c>
      <c r="I935" s="33">
        <v>0.1</v>
      </c>
      <c r="L935" s="33">
        <v>2.4</v>
      </c>
      <c r="M935" s="33">
        <v>4.5499999999999999E-2</v>
      </c>
      <c r="N935" s="41">
        <f>SUM(N939:N947)</f>
        <v>0.36339299999999997</v>
      </c>
      <c r="O935" s="33">
        <v>25</v>
      </c>
      <c r="P935" s="163">
        <f t="shared" ref="P935:Z935" si="114">SUM(P939:P947)</f>
        <v>4.7436865537999996E-6</v>
      </c>
      <c r="Q935" s="163">
        <f t="shared" si="114"/>
        <v>2.0130536771999996E-2</v>
      </c>
      <c r="R935" s="163">
        <f t="shared" si="114"/>
        <v>3.2693818194000004</v>
      </c>
      <c r="S935" s="163">
        <f t="shared" si="114"/>
        <v>4.7307111768999999E-7</v>
      </c>
      <c r="T935" s="163">
        <f t="shared" si="114"/>
        <v>2.1234423253000002E-3</v>
      </c>
      <c r="U935" s="163">
        <f t="shared" si="114"/>
        <v>1.6368185178999999E-2</v>
      </c>
      <c r="V935" s="163">
        <f t="shared" si="114"/>
        <v>3.4906421343000003E-3</v>
      </c>
      <c r="W935" s="163">
        <f t="shared" si="114"/>
        <v>1.0032660636999999</v>
      </c>
      <c r="X935" s="163">
        <f t="shared" si="114"/>
        <v>2.2503747033000003E-2</v>
      </c>
      <c r="Y935" s="163">
        <f t="shared" si="114"/>
        <v>82.261309484999998</v>
      </c>
      <c r="Z935" s="163">
        <f t="shared" si="114"/>
        <v>4.0942001206999996E-3</v>
      </c>
      <c r="AA935" s="40"/>
      <c r="AB935" s="40"/>
      <c r="AC935" s="40"/>
      <c r="AD935" s="40"/>
      <c r="AE935" s="40"/>
      <c r="AF935" s="40"/>
      <c r="AG935" s="40"/>
      <c r="AH935" s="40"/>
      <c r="AI935" s="40"/>
      <c r="AJ935" s="40"/>
      <c r="AK935" s="40"/>
      <c r="AL935" s="40"/>
      <c r="AM935" s="40"/>
      <c r="AN935" s="40"/>
      <c r="AO935" s="40"/>
      <c r="AP935" s="40"/>
      <c r="AQ935" s="40"/>
      <c r="AR935" s="40"/>
      <c r="AS935" s="40"/>
      <c r="AT935" s="40"/>
      <c r="AU935" s="40"/>
      <c r="AV935" s="163">
        <f>SUM(AV939:AV947)</f>
        <v>1.0910047604000002</v>
      </c>
      <c r="AW935" s="40"/>
      <c r="AX935" s="40"/>
      <c r="AY935" s="163">
        <f>SUM(AY939:AY947)</f>
        <v>44.904108309000001</v>
      </c>
      <c r="AZ935" s="40"/>
      <c r="BA935" s="40"/>
      <c r="BB935" s="40"/>
      <c r="BC935" s="163">
        <f t="shared" ref="BC935:BE935" si="115">SUM(BC939:BC947)</f>
        <v>6.2163247148000006E-2</v>
      </c>
      <c r="BD935" s="163">
        <f t="shared" si="115"/>
        <v>0.38976641379991001</v>
      </c>
      <c r="BE935" s="163">
        <f t="shared" si="115"/>
        <v>1.8495737354399999</v>
      </c>
      <c r="BF935" s="40"/>
      <c r="BG935" s="40"/>
      <c r="BH935" s="40"/>
      <c r="BI935" s="40"/>
      <c r="BJ935" s="40"/>
      <c r="BK935" s="40"/>
      <c r="BL935" s="62">
        <v>1</v>
      </c>
      <c r="BM935" s="275">
        <v>3</v>
      </c>
      <c r="BN935" s="62">
        <v>0.03</v>
      </c>
      <c r="BO935" s="33" t="s">
        <v>600</v>
      </c>
      <c r="BP935" s="33" t="s">
        <v>602</v>
      </c>
    </row>
    <row r="936" spans="1:68">
      <c r="A936" s="33" t="str">
        <f>Database_Productkaarten[[#This Row],[Product]]&amp;", "&amp;Database_Productkaarten[[#This Row],[Levensfase]]</f>
        <v>Opsluitband 100x200 (hergebruik), A1</v>
      </c>
      <c r="B936" t="s">
        <v>601</v>
      </c>
      <c r="C936" t="s">
        <v>55</v>
      </c>
      <c r="D936" s="33" t="s">
        <v>599</v>
      </c>
      <c r="E936" s="33" t="s">
        <v>389</v>
      </c>
      <c r="F936" s="33" t="s">
        <v>74</v>
      </c>
      <c r="G936" s="33">
        <v>1</v>
      </c>
      <c r="H936" s="33">
        <v>0.2</v>
      </c>
      <c r="I936" s="33">
        <v>0.1</v>
      </c>
      <c r="L936" s="33">
        <v>2.4</v>
      </c>
      <c r="M936" s="33">
        <v>4.5499999999999999E-2</v>
      </c>
      <c r="N936" s="41">
        <v>0</v>
      </c>
      <c r="O936" s="33">
        <v>25</v>
      </c>
      <c r="P936" s="163">
        <v>0</v>
      </c>
      <c r="Q936" s="163">
        <v>0</v>
      </c>
      <c r="R936" s="163">
        <v>0</v>
      </c>
      <c r="S936" s="163">
        <v>0</v>
      </c>
      <c r="T936" s="163">
        <v>0</v>
      </c>
      <c r="U936" s="163">
        <v>0</v>
      </c>
      <c r="V936" s="163">
        <v>0</v>
      </c>
      <c r="W936" s="163">
        <v>0</v>
      </c>
      <c r="X936" s="163">
        <v>0</v>
      </c>
      <c r="Y936" s="163">
        <v>0</v>
      </c>
      <c r="Z936" s="163">
        <v>0</v>
      </c>
      <c r="AA936" s="40"/>
      <c r="AB936" s="40"/>
      <c r="AC936" s="40"/>
      <c r="AD936" s="40"/>
      <c r="AE936" s="40"/>
      <c r="AF936" s="40"/>
      <c r="AG936" s="40"/>
      <c r="AH936" s="40"/>
      <c r="AI936" s="40"/>
      <c r="AJ936" s="40"/>
      <c r="AK936" s="40"/>
      <c r="AL936" s="40"/>
      <c r="AM936" s="40"/>
      <c r="AN936" s="40"/>
      <c r="AO936" s="40"/>
      <c r="AP936" s="40"/>
      <c r="AQ936" s="40"/>
      <c r="AR936" s="40"/>
      <c r="AS936" s="40"/>
      <c r="AT936" s="40"/>
      <c r="AU936" s="40"/>
      <c r="AV936" s="163">
        <v>0</v>
      </c>
      <c r="AW936" s="40"/>
      <c r="AX936" s="40"/>
      <c r="AY936" s="163">
        <v>0</v>
      </c>
      <c r="AZ936" s="40"/>
      <c r="BA936" s="40"/>
      <c r="BB936" s="40"/>
      <c r="BC936" s="163">
        <v>0</v>
      </c>
      <c r="BD936" s="163">
        <v>0</v>
      </c>
      <c r="BE936" s="163">
        <v>0</v>
      </c>
      <c r="BF936" s="40"/>
      <c r="BG936" s="40"/>
      <c r="BH936" s="40"/>
      <c r="BI936" s="40"/>
      <c r="BJ936" s="40"/>
      <c r="BK936" s="40"/>
      <c r="BL936" s="62">
        <v>1</v>
      </c>
      <c r="BM936" s="275">
        <v>3</v>
      </c>
      <c r="BN936" s="62">
        <v>0.03</v>
      </c>
      <c r="BO936" s="33" t="s">
        <v>600</v>
      </c>
      <c r="BP936" s="33" t="s">
        <v>602</v>
      </c>
    </row>
    <row r="937" spans="1:68">
      <c r="A937" s="33" t="str">
        <f>Database_Productkaarten[[#This Row],[Product]]&amp;", "&amp;Database_Productkaarten[[#This Row],[Levensfase]]</f>
        <v>Opsluitband 100x200 (hergebruik), A2</v>
      </c>
      <c r="B937" t="s">
        <v>601</v>
      </c>
      <c r="C937" t="s">
        <v>55</v>
      </c>
      <c r="D937" s="33" t="s">
        <v>599</v>
      </c>
      <c r="E937" s="33" t="s">
        <v>389</v>
      </c>
      <c r="F937" s="33" t="s">
        <v>75</v>
      </c>
      <c r="G937" s="33">
        <v>1</v>
      </c>
      <c r="H937" s="33">
        <v>0.2</v>
      </c>
      <c r="I937" s="33">
        <v>0.1</v>
      </c>
      <c r="L937" s="33">
        <v>2.4</v>
      </c>
      <c r="M937" s="33">
        <v>4.5499999999999999E-2</v>
      </c>
      <c r="N937" s="41">
        <v>0</v>
      </c>
      <c r="O937" s="33">
        <v>25</v>
      </c>
      <c r="P937" s="163">
        <v>0</v>
      </c>
      <c r="Q937" s="163">
        <v>0</v>
      </c>
      <c r="R937" s="163">
        <v>0</v>
      </c>
      <c r="S937" s="163">
        <v>0</v>
      </c>
      <c r="T937" s="163">
        <v>0</v>
      </c>
      <c r="U937" s="163">
        <v>0</v>
      </c>
      <c r="V937" s="163">
        <v>0</v>
      </c>
      <c r="W937" s="163">
        <v>0</v>
      </c>
      <c r="X937" s="163">
        <v>0</v>
      </c>
      <c r="Y937" s="163">
        <v>0</v>
      </c>
      <c r="Z937" s="163">
        <v>0</v>
      </c>
      <c r="AA937" s="40"/>
      <c r="AB937" s="40"/>
      <c r="AC937" s="40"/>
      <c r="AD937" s="40"/>
      <c r="AE937" s="40"/>
      <c r="AF937" s="40"/>
      <c r="AG937" s="40"/>
      <c r="AH937" s="40"/>
      <c r="AI937" s="40"/>
      <c r="AJ937" s="40"/>
      <c r="AK937" s="40"/>
      <c r="AL937" s="40"/>
      <c r="AM937" s="40"/>
      <c r="AN937" s="40"/>
      <c r="AO937" s="40"/>
      <c r="AP937" s="40"/>
      <c r="AQ937" s="40"/>
      <c r="AR937" s="40"/>
      <c r="AS937" s="40"/>
      <c r="AT937" s="40"/>
      <c r="AU937" s="40"/>
      <c r="AV937" s="163">
        <v>0</v>
      </c>
      <c r="AW937" s="40"/>
      <c r="AX937" s="40"/>
      <c r="AY937" s="163">
        <v>0</v>
      </c>
      <c r="AZ937" s="40"/>
      <c r="BA937" s="40"/>
      <c r="BB937" s="40"/>
      <c r="BC937" s="163">
        <v>0</v>
      </c>
      <c r="BD937" s="163">
        <v>0</v>
      </c>
      <c r="BE937" s="163">
        <v>0</v>
      </c>
      <c r="BF937" s="40"/>
      <c r="BG937" s="40"/>
      <c r="BH937" s="40"/>
      <c r="BI937" s="40"/>
      <c r="BJ937" s="40"/>
      <c r="BK937" s="40"/>
      <c r="BL937" s="62">
        <v>1</v>
      </c>
      <c r="BM937" s="275">
        <v>3</v>
      </c>
      <c r="BN937" s="62">
        <v>0.03</v>
      </c>
      <c r="BO937" s="33" t="s">
        <v>600</v>
      </c>
      <c r="BP937" s="33" t="s">
        <v>602</v>
      </c>
    </row>
    <row r="938" spans="1:68">
      <c r="A938" s="33" t="str">
        <f>Database_Productkaarten[[#This Row],[Product]]&amp;", "&amp;Database_Productkaarten[[#This Row],[Levensfase]]</f>
        <v>Opsluitband 100x200 (hergebruik), A3</v>
      </c>
      <c r="B938" t="s">
        <v>601</v>
      </c>
      <c r="C938" t="s">
        <v>55</v>
      </c>
      <c r="D938" s="33" t="s">
        <v>599</v>
      </c>
      <c r="E938" s="33" t="s">
        <v>389</v>
      </c>
      <c r="F938" s="33" t="s">
        <v>76</v>
      </c>
      <c r="G938" s="33">
        <v>1</v>
      </c>
      <c r="H938" s="33">
        <v>0.2</v>
      </c>
      <c r="I938" s="33">
        <v>0.1</v>
      </c>
      <c r="L938" s="33">
        <v>2.4</v>
      </c>
      <c r="M938" s="33">
        <v>4.5499999999999999E-2</v>
      </c>
      <c r="N938" s="41">
        <v>0</v>
      </c>
      <c r="O938" s="33">
        <v>25</v>
      </c>
      <c r="P938" s="163">
        <v>0</v>
      </c>
      <c r="Q938" s="163">
        <v>0</v>
      </c>
      <c r="R938" s="163">
        <v>0</v>
      </c>
      <c r="S938" s="163">
        <v>0</v>
      </c>
      <c r="T938" s="163">
        <v>0</v>
      </c>
      <c r="U938" s="163">
        <v>0</v>
      </c>
      <c r="V938" s="163">
        <v>0</v>
      </c>
      <c r="W938" s="163">
        <v>0</v>
      </c>
      <c r="X938" s="163">
        <v>0</v>
      </c>
      <c r="Y938" s="163">
        <v>0</v>
      </c>
      <c r="Z938" s="163">
        <v>0</v>
      </c>
      <c r="AA938" s="40"/>
      <c r="AB938" s="40"/>
      <c r="AC938" s="40"/>
      <c r="AD938" s="40"/>
      <c r="AE938" s="40"/>
      <c r="AF938" s="40"/>
      <c r="AG938" s="40"/>
      <c r="AH938" s="40"/>
      <c r="AI938" s="40"/>
      <c r="AJ938" s="40"/>
      <c r="AK938" s="40"/>
      <c r="AL938" s="40"/>
      <c r="AM938" s="40"/>
      <c r="AN938" s="40"/>
      <c r="AO938" s="40"/>
      <c r="AP938" s="40"/>
      <c r="AQ938" s="40"/>
      <c r="AR938" s="40"/>
      <c r="AS938" s="40"/>
      <c r="AT938" s="40"/>
      <c r="AU938" s="40"/>
      <c r="AV938" s="163">
        <v>0</v>
      </c>
      <c r="AW938" s="40"/>
      <c r="AX938" s="40"/>
      <c r="AY938" s="163">
        <v>0</v>
      </c>
      <c r="AZ938" s="40"/>
      <c r="BA938" s="40"/>
      <c r="BB938" s="40"/>
      <c r="BC938" s="163">
        <v>0</v>
      </c>
      <c r="BD938" s="163">
        <v>0</v>
      </c>
      <c r="BE938" s="163">
        <v>0</v>
      </c>
      <c r="BF938" s="40"/>
      <c r="BG938" s="40"/>
      <c r="BH938" s="40"/>
      <c r="BI938" s="40"/>
      <c r="BJ938" s="40"/>
      <c r="BK938" s="40"/>
      <c r="BL938" s="62">
        <v>1</v>
      </c>
      <c r="BM938" s="275">
        <v>3</v>
      </c>
      <c r="BN938" s="62">
        <v>0.03</v>
      </c>
      <c r="BO938" s="33" t="s">
        <v>600</v>
      </c>
      <c r="BP938" s="33" t="s">
        <v>602</v>
      </c>
    </row>
    <row r="939" spans="1:68">
      <c r="A939" s="33" t="str">
        <f>Database_Productkaarten[[#This Row],[Product]]&amp;", "&amp;Database_Productkaarten[[#This Row],[Levensfase]]</f>
        <v>Opsluitband 100x200 (hergebruik), A1-A3</v>
      </c>
      <c r="B939" t="s">
        <v>601</v>
      </c>
      <c r="C939" s="33" t="str">
        <f>C938</f>
        <v>Elementenverhardingen</v>
      </c>
      <c r="D939" s="33" t="str">
        <f>D938</f>
        <v>Opsluitband</v>
      </c>
      <c r="E939" s="33" t="str">
        <f>E938</f>
        <v>m1</v>
      </c>
      <c r="F939" s="33" t="s">
        <v>77</v>
      </c>
      <c r="G939" s="33">
        <f>G938</f>
        <v>1</v>
      </c>
      <c r="H939" s="33">
        <f t="shared" ref="H939:I939" si="116">H938</f>
        <v>0.2</v>
      </c>
      <c r="I939" s="33">
        <f t="shared" si="116"/>
        <v>0.1</v>
      </c>
      <c r="L939" s="33">
        <v>2.4</v>
      </c>
      <c r="M939" s="33">
        <v>4.5499999999999999E-2</v>
      </c>
      <c r="N939" s="41">
        <v>0</v>
      </c>
      <c r="O939" s="33">
        <v>25</v>
      </c>
      <c r="P939" s="163">
        <v>0</v>
      </c>
      <c r="Q939" s="163">
        <v>0</v>
      </c>
      <c r="R939" s="163">
        <v>0</v>
      </c>
      <c r="S939" s="163">
        <v>0</v>
      </c>
      <c r="T939" s="163">
        <v>0</v>
      </c>
      <c r="U939" s="163">
        <v>0</v>
      </c>
      <c r="V939" s="163">
        <v>0</v>
      </c>
      <c r="W939" s="163">
        <v>0</v>
      </c>
      <c r="X939" s="163">
        <v>0</v>
      </c>
      <c r="Y939" s="163">
        <v>0</v>
      </c>
      <c r="Z939" s="163">
        <v>0</v>
      </c>
      <c r="AA939" s="40"/>
      <c r="AB939" s="40"/>
      <c r="AC939" s="40"/>
      <c r="AD939" s="40"/>
      <c r="AE939" s="40"/>
      <c r="AF939" s="40"/>
      <c r="AG939" s="40"/>
      <c r="AH939" s="40"/>
      <c r="AI939" s="40"/>
      <c r="AJ939" s="40"/>
      <c r="AK939" s="40"/>
      <c r="AL939" s="40"/>
      <c r="AM939" s="40"/>
      <c r="AN939" s="40"/>
      <c r="AO939" s="40"/>
      <c r="AP939" s="40"/>
      <c r="AQ939" s="40"/>
      <c r="AR939" s="40"/>
      <c r="AS939" s="40"/>
      <c r="AT939" s="40"/>
      <c r="AU939" s="40"/>
      <c r="AV939" s="163">
        <v>0</v>
      </c>
      <c r="AW939" s="40"/>
      <c r="AX939" s="40"/>
      <c r="AY939" s="163">
        <v>0</v>
      </c>
      <c r="AZ939" s="40"/>
      <c r="BA939" s="40"/>
      <c r="BB939" s="40"/>
      <c r="BC939" s="163">
        <v>0</v>
      </c>
      <c r="BD939" s="163">
        <v>0</v>
      </c>
      <c r="BE939" s="163">
        <v>0</v>
      </c>
      <c r="BF939" s="40"/>
      <c r="BG939" s="40"/>
      <c r="BH939" s="40"/>
      <c r="BI939" s="40"/>
      <c r="BJ939" s="40"/>
      <c r="BK939" s="40"/>
      <c r="BL939" s="62">
        <v>1</v>
      </c>
      <c r="BM939" s="275">
        <v>3</v>
      </c>
      <c r="BN939" s="62">
        <v>0.03</v>
      </c>
      <c r="BO939" s="33" t="s">
        <v>600</v>
      </c>
      <c r="BP939" s="33" t="s">
        <v>602</v>
      </c>
    </row>
    <row r="940" spans="1:68">
      <c r="A940" s="33" t="str">
        <f>Database_Productkaarten[[#This Row],[Product]]&amp;", "&amp;Database_Productkaarten[[#This Row],[Levensfase]]</f>
        <v>Opsluitband 100x200 (hergebruik), A4</v>
      </c>
      <c r="B940" t="s">
        <v>601</v>
      </c>
      <c r="C940" t="s">
        <v>55</v>
      </c>
      <c r="D940" s="33" t="s">
        <v>599</v>
      </c>
      <c r="E940" s="33" t="s">
        <v>389</v>
      </c>
      <c r="F940" s="33" t="s">
        <v>78</v>
      </c>
      <c r="G940" s="33">
        <v>1</v>
      </c>
      <c r="H940" s="33">
        <v>0.2</v>
      </c>
      <c r="I940" s="33">
        <v>0.1</v>
      </c>
      <c r="L940" s="33">
        <v>2.4</v>
      </c>
      <c r="M940" s="33">
        <v>4.5499999999999999E-2</v>
      </c>
      <c r="N940" s="41">
        <f>N925</f>
        <v>0.1048</v>
      </c>
      <c r="O940" s="33">
        <v>25</v>
      </c>
      <c r="P940" s="163">
        <f t="shared" ref="P940:Z946" si="117">P925</f>
        <v>2.5223153E-6</v>
      </c>
      <c r="Q940" s="163">
        <f t="shared" si="117"/>
        <v>6.5467555000000002E-3</v>
      </c>
      <c r="R940" s="163">
        <f t="shared" si="117"/>
        <v>0.88694255</v>
      </c>
      <c r="S940" s="163">
        <f t="shared" si="117"/>
        <v>1.6344601E-7</v>
      </c>
      <c r="T940" s="163">
        <f t="shared" si="117"/>
        <v>5.2350173000000001E-4</v>
      </c>
      <c r="U940" s="163">
        <f t="shared" si="117"/>
        <v>3.8452785999999999E-3</v>
      </c>
      <c r="V940" s="163">
        <f t="shared" si="117"/>
        <v>7.6625957000000004E-4</v>
      </c>
      <c r="W940" s="163">
        <f t="shared" si="117"/>
        <v>0.35484633999999998</v>
      </c>
      <c r="X940" s="163">
        <f t="shared" si="117"/>
        <v>1.0407166000000001E-2</v>
      </c>
      <c r="Y940" s="163">
        <f t="shared" si="117"/>
        <v>37.562545</v>
      </c>
      <c r="Z940" s="163">
        <f t="shared" si="117"/>
        <v>1.2572661E-3</v>
      </c>
      <c r="AA940" s="40"/>
      <c r="AB940" s="40"/>
      <c r="AC940" s="40"/>
      <c r="AD940" s="40"/>
      <c r="AE940" s="40"/>
      <c r="AF940" s="40"/>
      <c r="AG940" s="40"/>
      <c r="AH940" s="40"/>
      <c r="AI940" s="40"/>
      <c r="AJ940" s="40"/>
      <c r="AK940" s="40"/>
      <c r="AL940" s="40"/>
      <c r="AM940" s="40"/>
      <c r="AN940" s="40"/>
      <c r="AO940" s="40"/>
      <c r="AP940" s="40"/>
      <c r="AQ940" s="40"/>
      <c r="AR940" s="40"/>
      <c r="AS940" s="40"/>
      <c r="AT940" s="40"/>
      <c r="AU940" s="40"/>
      <c r="AV940" s="163">
        <f>AV925</f>
        <v>0.18677743999999999</v>
      </c>
      <c r="AW940" s="40"/>
      <c r="AX940" s="40"/>
      <c r="AY940" s="163">
        <f>AY925</f>
        <v>14.594757</v>
      </c>
      <c r="AZ940" s="40"/>
      <c r="BA940" s="40"/>
      <c r="BB940" s="40"/>
      <c r="BC940" s="163">
        <f t="shared" ref="BC940:BE946" si="118">BC925</f>
        <v>2.6248305E-3</v>
      </c>
      <c r="BD940" s="163">
        <f t="shared" si="118"/>
        <v>1.0079530999999999E-4</v>
      </c>
      <c r="BE940" s="163">
        <f t="shared" si="118"/>
        <v>0.83891764999999996</v>
      </c>
      <c r="BF940" s="40"/>
      <c r="BG940" s="40"/>
      <c r="BH940" s="40"/>
      <c r="BI940" s="40"/>
      <c r="BJ940" s="40"/>
      <c r="BK940" s="40"/>
      <c r="BL940" s="62">
        <v>1</v>
      </c>
      <c r="BM940" s="275">
        <v>3</v>
      </c>
      <c r="BN940" s="62">
        <v>0.03</v>
      </c>
      <c r="BO940" s="33" t="s">
        <v>600</v>
      </c>
      <c r="BP940" s="33" t="s">
        <v>602</v>
      </c>
    </row>
    <row r="941" spans="1:68">
      <c r="A941" s="33" t="str">
        <f>Database_Productkaarten[[#This Row],[Product]]&amp;", "&amp;Database_Productkaarten[[#This Row],[Levensfase]]</f>
        <v>Opsluitband 100x200 (hergebruik), A5</v>
      </c>
      <c r="B941" t="s">
        <v>601</v>
      </c>
      <c r="C941" t="s">
        <v>55</v>
      </c>
      <c r="D941" s="33" t="s">
        <v>599</v>
      </c>
      <c r="E941" s="33" t="s">
        <v>389</v>
      </c>
      <c r="F941" s="33" t="s">
        <v>79</v>
      </c>
      <c r="G941" s="33">
        <v>1</v>
      </c>
      <c r="H941" s="33">
        <v>0.2</v>
      </c>
      <c r="I941" s="33">
        <v>0.1</v>
      </c>
      <c r="L941" s="33">
        <v>2.4</v>
      </c>
      <c r="M941" s="33">
        <v>4.5499999999999999E-2</v>
      </c>
      <c r="N941" s="41">
        <f t="shared" ref="N941:N946" si="119">N926</f>
        <v>9.4060000000000005E-2</v>
      </c>
      <c r="O941" s="33">
        <v>25</v>
      </c>
      <c r="P941" s="163">
        <f t="shared" si="117"/>
        <v>4.7065387000000001E-7</v>
      </c>
      <c r="Q941" s="163">
        <f t="shared" si="117"/>
        <v>4.8934686999999996E-3</v>
      </c>
      <c r="R941" s="163">
        <f t="shared" si="117"/>
        <v>0.80927543999999996</v>
      </c>
      <c r="S941" s="163">
        <f t="shared" si="117"/>
        <v>1.1927556000000001E-7</v>
      </c>
      <c r="T941" s="163">
        <f t="shared" si="117"/>
        <v>6.5596711999999998E-4</v>
      </c>
      <c r="U941" s="163">
        <f t="shared" si="117"/>
        <v>5.0387588000000002E-3</v>
      </c>
      <c r="V941" s="163">
        <f t="shared" si="117"/>
        <v>1.1157557E-3</v>
      </c>
      <c r="W941" s="163">
        <f t="shared" si="117"/>
        <v>0.24140201</v>
      </c>
      <c r="X941" s="163">
        <f t="shared" si="117"/>
        <v>3.8079466000000002E-3</v>
      </c>
      <c r="Y941" s="163">
        <f t="shared" si="117"/>
        <v>13.597315</v>
      </c>
      <c r="Z941" s="163">
        <f t="shared" si="117"/>
        <v>7.3219371E-4</v>
      </c>
      <c r="AA941" s="40"/>
      <c r="AB941" s="40"/>
      <c r="AC941" s="40"/>
      <c r="AD941" s="40"/>
      <c r="AE941" s="40"/>
      <c r="AF941" s="40"/>
      <c r="AG941" s="40"/>
      <c r="AH941" s="40"/>
      <c r="AI941" s="40"/>
      <c r="AJ941" s="40"/>
      <c r="AK941" s="40"/>
      <c r="AL941" s="40"/>
      <c r="AM941" s="40"/>
      <c r="AN941" s="40"/>
      <c r="AO941" s="40"/>
      <c r="AP941" s="40"/>
      <c r="AQ941" s="40"/>
      <c r="AR941" s="40"/>
      <c r="AS941" s="40"/>
      <c r="AT941" s="40"/>
      <c r="AU941" s="40"/>
      <c r="AV941" s="163">
        <f t="shared" ref="AV941:AV946" si="120">AV926</f>
        <v>0.21088109999999999</v>
      </c>
      <c r="AW941" s="40"/>
      <c r="AX941" s="40"/>
      <c r="AY941" s="163">
        <f t="shared" ref="AY941:AY946" si="121">AY926</f>
        <v>10.96696</v>
      </c>
      <c r="AZ941" s="40"/>
      <c r="BA941" s="40"/>
      <c r="BB941" s="40"/>
      <c r="BC941" s="163">
        <f t="shared" si="118"/>
        <v>1.2660698E-2</v>
      </c>
      <c r="BD941" s="163">
        <f t="shared" si="118"/>
        <v>8.9950698999999995E-2</v>
      </c>
      <c r="BE941" s="163">
        <f t="shared" si="118"/>
        <v>7.7145081000000004E-2</v>
      </c>
      <c r="BF941" s="40"/>
      <c r="BG941" s="40"/>
      <c r="BH941" s="40"/>
      <c r="BI941" s="40"/>
      <c r="BJ941" s="40"/>
      <c r="BK941" s="40"/>
      <c r="BL941" s="62">
        <v>1</v>
      </c>
      <c r="BM941" s="275">
        <v>3</v>
      </c>
      <c r="BN941" s="62">
        <v>0.03</v>
      </c>
      <c r="BO941" s="33" t="s">
        <v>600</v>
      </c>
      <c r="BP941" s="33" t="s">
        <v>602</v>
      </c>
    </row>
    <row r="942" spans="1:68">
      <c r="A942" s="33" t="str">
        <f>Database_Productkaarten[[#This Row],[Product]]&amp;", "&amp;Database_Productkaarten[[#This Row],[Levensfase]]</f>
        <v>Opsluitband 100x200 (hergebruik), B1</v>
      </c>
      <c r="B942" t="s">
        <v>601</v>
      </c>
      <c r="C942" t="s">
        <v>55</v>
      </c>
      <c r="D942" s="33" t="s">
        <v>599</v>
      </c>
      <c r="E942" s="33" t="s">
        <v>389</v>
      </c>
      <c r="F942" s="33" t="s">
        <v>80</v>
      </c>
      <c r="G942" s="33">
        <v>1</v>
      </c>
      <c r="H942" s="33">
        <v>0.2</v>
      </c>
      <c r="I942" s="33">
        <v>0.1</v>
      </c>
      <c r="L942" s="33">
        <v>2.4</v>
      </c>
      <c r="M942" s="33">
        <v>4.5499999999999999E-2</v>
      </c>
      <c r="N942" s="41">
        <f t="shared" si="119"/>
        <v>0</v>
      </c>
      <c r="O942" s="33">
        <v>25</v>
      </c>
      <c r="P942" s="163">
        <f t="shared" si="117"/>
        <v>0</v>
      </c>
      <c r="Q942" s="163">
        <f t="shared" si="117"/>
        <v>0</v>
      </c>
      <c r="R942" s="163">
        <f t="shared" si="117"/>
        <v>0</v>
      </c>
      <c r="S942" s="163">
        <f t="shared" si="117"/>
        <v>0</v>
      </c>
      <c r="T942" s="163">
        <f t="shared" si="117"/>
        <v>0</v>
      </c>
      <c r="U942" s="163">
        <f t="shared" si="117"/>
        <v>0</v>
      </c>
      <c r="V942" s="163">
        <f t="shared" si="117"/>
        <v>0</v>
      </c>
      <c r="W942" s="163">
        <f t="shared" si="117"/>
        <v>0</v>
      </c>
      <c r="X942" s="163">
        <f t="shared" si="117"/>
        <v>0</v>
      </c>
      <c r="Y942" s="163">
        <f t="shared" si="117"/>
        <v>0</v>
      </c>
      <c r="Z942" s="163">
        <f t="shared" si="117"/>
        <v>0</v>
      </c>
      <c r="AA942" s="40"/>
      <c r="AB942" s="40"/>
      <c r="AC942" s="40"/>
      <c r="AD942" s="40"/>
      <c r="AE942" s="40"/>
      <c r="AF942" s="40"/>
      <c r="AG942" s="40"/>
      <c r="AH942" s="40"/>
      <c r="AI942" s="40"/>
      <c r="AJ942" s="40"/>
      <c r="AK942" s="40"/>
      <c r="AL942" s="40"/>
      <c r="AM942" s="40"/>
      <c r="AN942" s="40"/>
      <c r="AO942" s="40"/>
      <c r="AP942" s="40"/>
      <c r="AQ942" s="40"/>
      <c r="AR942" s="40"/>
      <c r="AS942" s="40"/>
      <c r="AT942" s="40"/>
      <c r="AU942" s="40"/>
      <c r="AV942" s="163">
        <f t="shared" si="120"/>
        <v>0</v>
      </c>
      <c r="AW942" s="40"/>
      <c r="AX942" s="40"/>
      <c r="AY942" s="163">
        <f t="shared" si="121"/>
        <v>0</v>
      </c>
      <c r="AZ942" s="40"/>
      <c r="BA942" s="40"/>
      <c r="BB942" s="40"/>
      <c r="BC942" s="163">
        <f t="shared" si="118"/>
        <v>0</v>
      </c>
      <c r="BD942" s="163">
        <f t="shared" si="118"/>
        <v>0</v>
      </c>
      <c r="BE942" s="163">
        <f t="shared" si="118"/>
        <v>0</v>
      </c>
      <c r="BF942" s="40"/>
      <c r="BG942" s="40"/>
      <c r="BH942" s="40"/>
      <c r="BI942" s="40"/>
      <c r="BJ942" s="40"/>
      <c r="BK942" s="40"/>
      <c r="BL942" s="62">
        <v>1</v>
      </c>
      <c r="BM942" s="275">
        <v>3</v>
      </c>
      <c r="BN942" s="62">
        <v>0.03</v>
      </c>
      <c r="BO942" s="33" t="s">
        <v>600</v>
      </c>
      <c r="BP942" s="33" t="s">
        <v>602</v>
      </c>
    </row>
    <row r="943" spans="1:68">
      <c r="A943" s="33" t="str">
        <f>Database_Productkaarten[[#This Row],[Product]]&amp;", "&amp;Database_Productkaarten[[#This Row],[Levensfase]]</f>
        <v>Opsluitband 100x200 (hergebruik), C1</v>
      </c>
      <c r="B943" t="s">
        <v>601</v>
      </c>
      <c r="C943" t="s">
        <v>55</v>
      </c>
      <c r="D943" s="33" t="s">
        <v>599</v>
      </c>
      <c r="E943" s="33" t="s">
        <v>389</v>
      </c>
      <c r="F943" s="33" t="s">
        <v>83</v>
      </c>
      <c r="G943" s="33">
        <v>1</v>
      </c>
      <c r="H943" s="33">
        <v>0.2</v>
      </c>
      <c r="I943" s="33">
        <v>0.1</v>
      </c>
      <c r="L943" s="33">
        <v>2.4</v>
      </c>
      <c r="M943" s="33">
        <v>4.5499999999999999E-2</v>
      </c>
      <c r="N943" s="41">
        <f t="shared" si="119"/>
        <v>7.8700000000000006E-2</v>
      </c>
      <c r="O943" s="33">
        <v>25</v>
      </c>
      <c r="P943" s="163">
        <f t="shared" si="117"/>
        <v>1.9924427999999999E-7</v>
      </c>
      <c r="Q943" s="163">
        <f t="shared" si="117"/>
        <v>4.1050855000000002E-3</v>
      </c>
      <c r="R943" s="163">
        <f t="shared" si="117"/>
        <v>0.59497279999999997</v>
      </c>
      <c r="S943" s="163">
        <f t="shared" si="117"/>
        <v>1.0716769E-7</v>
      </c>
      <c r="T943" s="163">
        <f t="shared" si="117"/>
        <v>5.9971757000000004E-4</v>
      </c>
      <c r="U943" s="163">
        <f t="shared" si="117"/>
        <v>4.5018584999999998E-3</v>
      </c>
      <c r="V943" s="163">
        <f t="shared" si="117"/>
        <v>1.0080613000000001E-3</v>
      </c>
      <c r="W943" s="163">
        <f t="shared" si="117"/>
        <v>0.21061642999999999</v>
      </c>
      <c r="X943" s="163">
        <f t="shared" si="117"/>
        <v>2.9454494999999999E-3</v>
      </c>
      <c r="Y943" s="163">
        <f t="shared" si="117"/>
        <v>9.9845778999999997</v>
      </c>
      <c r="Z943" s="163">
        <f t="shared" si="117"/>
        <v>3.5193415999999999E-4</v>
      </c>
      <c r="AA943" s="40"/>
      <c r="AB943" s="40"/>
      <c r="AC943" s="40"/>
      <c r="AD943" s="40"/>
      <c r="AE943" s="40"/>
      <c r="AF943" s="40"/>
      <c r="AG943" s="40"/>
      <c r="AH943" s="40"/>
      <c r="AI943" s="40"/>
      <c r="AJ943" s="40"/>
      <c r="AK943" s="40"/>
      <c r="AL943" s="40"/>
      <c r="AM943" s="40"/>
      <c r="AN943" s="40"/>
      <c r="AO943" s="40"/>
      <c r="AP943" s="40"/>
      <c r="AQ943" s="40"/>
      <c r="AR943" s="40"/>
      <c r="AS943" s="40"/>
      <c r="AT943" s="40"/>
      <c r="AU943" s="40"/>
      <c r="AV943" s="163">
        <f t="shared" si="120"/>
        <v>4.9442172999999999E-2</v>
      </c>
      <c r="AW943" s="40"/>
      <c r="AX943" s="40"/>
      <c r="AY943" s="163">
        <f t="shared" si="121"/>
        <v>9.2085135000000005</v>
      </c>
      <c r="AZ943" s="40"/>
      <c r="BA943" s="40"/>
      <c r="BB943" s="40"/>
      <c r="BC943" s="163">
        <f t="shared" si="118"/>
        <v>7.5919631999999998E-4</v>
      </c>
      <c r="BD943" s="163">
        <f t="shared" si="118"/>
        <v>6.3751571999999998E-5</v>
      </c>
      <c r="BE943" s="163">
        <f t="shared" si="118"/>
        <v>9.3962368000000008E-3</v>
      </c>
      <c r="BF943" s="40"/>
      <c r="BG943" s="40"/>
      <c r="BH943" s="40"/>
      <c r="BI943" s="40"/>
      <c r="BJ943" s="40"/>
      <c r="BK943" s="40"/>
      <c r="BL943" s="62">
        <v>1</v>
      </c>
      <c r="BM943" s="275">
        <v>3</v>
      </c>
      <c r="BN943" s="62">
        <v>0.03</v>
      </c>
      <c r="BO943" s="33" t="s">
        <v>600</v>
      </c>
      <c r="BP943" s="33" t="s">
        <v>602</v>
      </c>
    </row>
    <row r="944" spans="1:68">
      <c r="A944" s="33" t="str">
        <f>Database_Productkaarten[[#This Row],[Product]]&amp;", "&amp;Database_Productkaarten[[#This Row],[Levensfase]]</f>
        <v>Opsluitband 100x200 (hergebruik), C2</v>
      </c>
      <c r="B944" t="s">
        <v>601</v>
      </c>
      <c r="C944" t="s">
        <v>55</v>
      </c>
      <c r="D944" s="33" t="s">
        <v>599</v>
      </c>
      <c r="E944" s="33" t="s">
        <v>389</v>
      </c>
      <c r="F944" s="33" t="s">
        <v>84</v>
      </c>
      <c r="G944" s="33">
        <v>1</v>
      </c>
      <c r="H944" s="33">
        <v>0.2</v>
      </c>
      <c r="I944" s="33">
        <v>0.1</v>
      </c>
      <c r="L944" s="33">
        <v>2.4</v>
      </c>
      <c r="M944" s="33">
        <v>4.5499999999999999E-2</v>
      </c>
      <c r="N944" s="41">
        <f t="shared" si="119"/>
        <v>3.5279999999999999E-2</v>
      </c>
      <c r="O944" s="33">
        <v>25</v>
      </c>
      <c r="P944" s="163">
        <f t="shared" si="117"/>
        <v>8.4917947000000002E-7</v>
      </c>
      <c r="Q944" s="163">
        <f t="shared" si="117"/>
        <v>2.2040744E-3</v>
      </c>
      <c r="R944" s="163">
        <f t="shared" si="117"/>
        <v>0.29860398999999999</v>
      </c>
      <c r="S944" s="163">
        <f t="shared" si="117"/>
        <v>5.5026823E-8</v>
      </c>
      <c r="T944" s="163">
        <f t="shared" si="117"/>
        <v>1.7624557999999999E-4</v>
      </c>
      <c r="U944" s="163">
        <f t="shared" si="117"/>
        <v>1.2945770999999999E-3</v>
      </c>
      <c r="V944" s="163">
        <f t="shared" si="117"/>
        <v>2.5797405999999998E-4</v>
      </c>
      <c r="W944" s="163">
        <f t="shared" si="117"/>
        <v>0.11946494000000001</v>
      </c>
      <c r="X944" s="163">
        <f t="shared" si="117"/>
        <v>3.5037457000000002E-3</v>
      </c>
      <c r="Y944" s="163">
        <f t="shared" si="117"/>
        <v>12.646057000000001</v>
      </c>
      <c r="Z944" s="163">
        <f t="shared" si="117"/>
        <v>4.2327958E-4</v>
      </c>
      <c r="AA944" s="40"/>
      <c r="AB944" s="40"/>
      <c r="AC944" s="40"/>
      <c r="AD944" s="40"/>
      <c r="AE944" s="40"/>
      <c r="AF944" s="40"/>
      <c r="AG944" s="40"/>
      <c r="AH944" s="40"/>
      <c r="AI944" s="40"/>
      <c r="AJ944" s="40"/>
      <c r="AK944" s="40"/>
      <c r="AL944" s="40"/>
      <c r="AM944" s="40"/>
      <c r="AN944" s="40"/>
      <c r="AO944" s="40"/>
      <c r="AP944" s="40"/>
      <c r="AQ944" s="40"/>
      <c r="AR944" s="40"/>
      <c r="AS944" s="40"/>
      <c r="AT944" s="40"/>
      <c r="AU944" s="40"/>
      <c r="AV944" s="163">
        <f t="shared" si="120"/>
        <v>6.2881739000000006E-2</v>
      </c>
      <c r="AW944" s="40"/>
      <c r="AX944" s="40"/>
      <c r="AY944" s="163">
        <f t="shared" si="121"/>
        <v>4.9135679999999997</v>
      </c>
      <c r="AZ944" s="40"/>
      <c r="BA944" s="40"/>
      <c r="BB944" s="40"/>
      <c r="BC944" s="163">
        <f t="shared" si="118"/>
        <v>8.8369295000000005E-4</v>
      </c>
      <c r="BD944" s="163">
        <f t="shared" si="118"/>
        <v>3.3934421999999998E-5</v>
      </c>
      <c r="BE944" s="163">
        <f t="shared" si="118"/>
        <v>0.28243561</v>
      </c>
      <c r="BF944" s="40"/>
      <c r="BG944" s="40"/>
      <c r="BH944" s="40"/>
      <c r="BI944" s="40"/>
      <c r="BJ944" s="40"/>
      <c r="BK944" s="40"/>
      <c r="BL944" s="62">
        <v>1</v>
      </c>
      <c r="BM944" s="275">
        <v>3</v>
      </c>
      <c r="BN944" s="62">
        <v>0.03</v>
      </c>
      <c r="BO944" s="33" t="s">
        <v>600</v>
      </c>
      <c r="BP944" s="33" t="s">
        <v>602</v>
      </c>
    </row>
    <row r="945" spans="1:68">
      <c r="A945" s="33" t="str">
        <f>Database_Productkaarten[[#This Row],[Product]]&amp;", "&amp;Database_Productkaarten[[#This Row],[Levensfase]]</f>
        <v>Opsluitband 100x200 (hergebruik), C3</v>
      </c>
      <c r="B945" t="s">
        <v>601</v>
      </c>
      <c r="C945" t="s">
        <v>55</v>
      </c>
      <c r="D945" s="33" t="s">
        <v>599</v>
      </c>
      <c r="E945" s="33" t="s">
        <v>389</v>
      </c>
      <c r="F945" s="33" t="s">
        <v>85</v>
      </c>
      <c r="G945" s="33">
        <v>1</v>
      </c>
      <c r="H945" s="33">
        <v>0.2</v>
      </c>
      <c r="I945" s="33">
        <v>0.1</v>
      </c>
      <c r="L945" s="33">
        <v>2.4</v>
      </c>
      <c r="M945" s="33">
        <v>4.5499999999999999E-2</v>
      </c>
      <c r="N945" s="41">
        <f t="shared" si="119"/>
        <v>7.5300000000000002E-3</v>
      </c>
      <c r="O945" s="33">
        <v>25</v>
      </c>
      <c r="P945" s="163">
        <f t="shared" si="117"/>
        <v>4.3056811999999999E-8</v>
      </c>
      <c r="Q945" s="163">
        <f t="shared" si="117"/>
        <v>5.3424188999999999E-4</v>
      </c>
      <c r="R945" s="163">
        <f t="shared" si="117"/>
        <v>7.0911241E-2</v>
      </c>
      <c r="S945" s="163">
        <f t="shared" si="117"/>
        <v>8.2371932E-9</v>
      </c>
      <c r="T945" s="163">
        <f t="shared" si="117"/>
        <v>3.9730648E-5</v>
      </c>
      <c r="U945" s="163">
        <f t="shared" si="117"/>
        <v>3.2762493999999998E-4</v>
      </c>
      <c r="V945" s="163">
        <f t="shared" si="117"/>
        <v>7.3882463999999998E-5</v>
      </c>
      <c r="W945" s="163">
        <f t="shared" si="117"/>
        <v>1.551344E-2</v>
      </c>
      <c r="X945" s="163">
        <f t="shared" si="117"/>
        <v>2.5895984999999998E-4</v>
      </c>
      <c r="Y945" s="163">
        <f t="shared" si="117"/>
        <v>0.99339166999999995</v>
      </c>
      <c r="Z945" s="163">
        <f t="shared" si="117"/>
        <v>2.0927871999999999E-4</v>
      </c>
      <c r="AA945" s="40"/>
      <c r="AB945" s="40"/>
      <c r="AC945" s="40"/>
      <c r="AD945" s="40"/>
      <c r="AE945" s="40"/>
      <c r="AF945" s="40"/>
      <c r="AG945" s="40"/>
      <c r="AH945" s="40"/>
      <c r="AI945" s="40"/>
      <c r="AJ945" s="40"/>
      <c r="AK945" s="40"/>
      <c r="AL945" s="40"/>
      <c r="AM945" s="40"/>
      <c r="AN945" s="40"/>
      <c r="AO945" s="40"/>
      <c r="AP945" s="40"/>
      <c r="AQ945" s="40"/>
      <c r="AR945" s="40"/>
      <c r="AS945" s="40"/>
      <c r="AT945" s="40"/>
      <c r="AU945" s="40"/>
      <c r="AV945" s="163">
        <f t="shared" si="120"/>
        <v>5.7537804999999997E-2</v>
      </c>
      <c r="AW945" s="40"/>
      <c r="AX945" s="40"/>
      <c r="AY945" s="163">
        <f t="shared" si="121"/>
        <v>1.1186049</v>
      </c>
      <c r="AZ945" s="40"/>
      <c r="BA945" s="40"/>
      <c r="BB945" s="40"/>
      <c r="BC945" s="163">
        <f t="shared" si="118"/>
        <v>1.7849313E-4</v>
      </c>
      <c r="BD945" s="163">
        <f t="shared" si="118"/>
        <v>6.4800047000000003E-6</v>
      </c>
      <c r="BE945" s="163">
        <f t="shared" si="118"/>
        <v>0.13526584999999999</v>
      </c>
      <c r="BF945" s="40"/>
      <c r="BG945" s="40"/>
      <c r="BH945" s="40"/>
      <c r="BI945" s="40"/>
      <c r="BJ945" s="40"/>
      <c r="BK945" s="40"/>
      <c r="BL945" s="62">
        <v>1</v>
      </c>
      <c r="BM945" s="275">
        <v>3</v>
      </c>
      <c r="BN945" s="62">
        <v>0.03</v>
      </c>
      <c r="BO945" s="33" t="s">
        <v>600</v>
      </c>
      <c r="BP945" s="33" t="s">
        <v>602</v>
      </c>
    </row>
    <row r="946" spans="1:68">
      <c r="A946" s="33" t="str">
        <f>Database_Productkaarten[[#This Row],[Product]]&amp;", "&amp;Database_Productkaarten[[#This Row],[Levensfase]]</f>
        <v>Opsluitband 100x200 (hergebruik), C4</v>
      </c>
      <c r="B946" t="s">
        <v>601</v>
      </c>
      <c r="C946" t="s">
        <v>55</v>
      </c>
      <c r="D946" s="33" t="s">
        <v>599</v>
      </c>
      <c r="E946" s="33" t="s">
        <v>389</v>
      </c>
      <c r="F946" s="33" t="s">
        <v>86</v>
      </c>
      <c r="G946" s="33">
        <v>1</v>
      </c>
      <c r="H946" s="33">
        <v>0.2</v>
      </c>
      <c r="I946" s="33">
        <v>0.1</v>
      </c>
      <c r="L946" s="33">
        <v>2.4</v>
      </c>
      <c r="M946" s="33">
        <v>4.5499999999999999E-2</v>
      </c>
      <c r="N946" s="41">
        <f t="shared" si="119"/>
        <v>3.3E-4</v>
      </c>
      <c r="O946" s="33">
        <v>25</v>
      </c>
      <c r="P946" s="163">
        <f t="shared" si="117"/>
        <v>2.7376705999999999E-9</v>
      </c>
      <c r="Q946" s="163">
        <f t="shared" si="117"/>
        <v>3.2642511999999997E-5</v>
      </c>
      <c r="R946" s="163">
        <f t="shared" si="117"/>
        <v>2.3986203999999999E-3</v>
      </c>
      <c r="S946" s="163">
        <f t="shared" si="117"/>
        <v>7.9390559E-10</v>
      </c>
      <c r="T946" s="163">
        <f t="shared" si="117"/>
        <v>2.5418786000000001E-6</v>
      </c>
      <c r="U946" s="163">
        <f t="shared" si="117"/>
        <v>1.7724352000000001E-5</v>
      </c>
      <c r="V946" s="163">
        <f t="shared" si="117"/>
        <v>3.3357622999999999E-6</v>
      </c>
      <c r="W946" s="163">
        <f t="shared" si="117"/>
        <v>9.7791000000000002E-4</v>
      </c>
      <c r="X946" s="163">
        <f t="shared" si="117"/>
        <v>2.4316829E-5</v>
      </c>
      <c r="Y946" s="163">
        <f t="shared" si="117"/>
        <v>8.3634934999999994E-2</v>
      </c>
      <c r="Z946" s="163">
        <f t="shared" si="117"/>
        <v>2.8961406999999999E-6</v>
      </c>
      <c r="AA946" s="40"/>
      <c r="AB946" s="40"/>
      <c r="AC946" s="40"/>
      <c r="AD946" s="40"/>
      <c r="AE946" s="40"/>
      <c r="AF946" s="40"/>
      <c r="AG946" s="40"/>
      <c r="AH946" s="40"/>
      <c r="AI946" s="40"/>
      <c r="AJ946" s="40"/>
      <c r="AK946" s="40"/>
      <c r="AL946" s="40"/>
      <c r="AM946" s="40"/>
      <c r="AN946" s="40"/>
      <c r="AO946" s="40"/>
      <c r="AP946" s="40"/>
      <c r="AQ946" s="40"/>
      <c r="AR946" s="40"/>
      <c r="AS946" s="40"/>
      <c r="AT946" s="40"/>
      <c r="AU946" s="40"/>
      <c r="AV946" s="163">
        <f t="shared" si="120"/>
        <v>1.7484740000000001E-3</v>
      </c>
      <c r="AW946" s="40"/>
      <c r="AX946" s="40"/>
      <c r="AY946" s="163">
        <f t="shared" si="121"/>
        <v>7.2917489000000002E-2</v>
      </c>
      <c r="AZ946" s="40"/>
      <c r="BA946" s="40"/>
      <c r="BB946" s="40"/>
      <c r="BC946" s="163">
        <f t="shared" si="118"/>
        <v>7.3491519000000005E-5</v>
      </c>
      <c r="BD946" s="163">
        <f t="shared" si="118"/>
        <v>4.9532311000000002E-7</v>
      </c>
      <c r="BE946" s="163">
        <f t="shared" si="118"/>
        <v>0.44885494999999997</v>
      </c>
      <c r="BF946" s="40"/>
      <c r="BG946" s="40"/>
      <c r="BH946" s="40"/>
      <c r="BI946" s="40"/>
      <c r="BJ946" s="40"/>
      <c r="BK946" s="40"/>
      <c r="BL946" s="62">
        <v>1</v>
      </c>
      <c r="BM946" s="275">
        <v>3</v>
      </c>
      <c r="BN946" s="62">
        <v>0.03</v>
      </c>
      <c r="BO946" s="33" t="s">
        <v>600</v>
      </c>
      <c r="BP946" s="33" t="s">
        <v>602</v>
      </c>
    </row>
    <row r="947" spans="1:68">
      <c r="A947" s="33" t="str">
        <f>Database_Productkaarten[[#This Row],[Product]]&amp;", "&amp;Database_Productkaarten[[#This Row],[Levensfase]]</f>
        <v>Opsluitband 100x200 (hergebruik), D</v>
      </c>
      <c r="B947" t="s">
        <v>601</v>
      </c>
      <c r="C947" s="33" t="str">
        <f>C948</f>
        <v>Elementenverhardingen</v>
      </c>
      <c r="D947" s="33" t="str">
        <f>D948</f>
        <v>Opsluitband</v>
      </c>
      <c r="E947" s="33" t="str">
        <f>E948</f>
        <v>m1</v>
      </c>
      <c r="F947" s="33" t="s">
        <v>89</v>
      </c>
      <c r="G947" s="33">
        <f t="shared" ref="G947:I947" si="122">G948</f>
        <v>1</v>
      </c>
      <c r="H947" s="33">
        <f t="shared" si="122"/>
        <v>0.2</v>
      </c>
      <c r="I947" s="33">
        <f t="shared" si="122"/>
        <v>0.1</v>
      </c>
      <c r="L947" s="33">
        <v>2.4</v>
      </c>
      <c r="M947" s="33">
        <v>4.5499999999999999E-2</v>
      </c>
      <c r="N947" s="41">
        <f>N924*0.1</f>
        <v>4.2693000000000002E-2</v>
      </c>
      <c r="O947" s="33">
        <v>25</v>
      </c>
      <c r="P947" s="163">
        <f t="shared" ref="P947:Z947" si="123">P924*0.1</f>
        <v>6.5649915120000002E-7</v>
      </c>
      <c r="Q947" s="163">
        <f t="shared" si="123"/>
        <v>1.81426827E-3</v>
      </c>
      <c r="R947" s="163">
        <f t="shared" si="123"/>
        <v>0.60627717800000003</v>
      </c>
      <c r="S947" s="163">
        <f t="shared" si="123"/>
        <v>1.9123935900000004E-8</v>
      </c>
      <c r="T947" s="163">
        <f t="shared" si="123"/>
        <v>1.2573779870000002E-4</v>
      </c>
      <c r="U947" s="163">
        <f t="shared" si="123"/>
        <v>1.3423628870000001E-3</v>
      </c>
      <c r="V947" s="163">
        <f t="shared" si="123"/>
        <v>2.6537327800000004E-4</v>
      </c>
      <c r="W947" s="163">
        <f t="shared" si="123"/>
        <v>6.0444993699999998E-2</v>
      </c>
      <c r="X947" s="163">
        <f t="shared" si="123"/>
        <v>1.5561625540000002E-3</v>
      </c>
      <c r="Y947" s="163">
        <f t="shared" si="123"/>
        <v>7.3937879800000008</v>
      </c>
      <c r="Z947" s="163">
        <f t="shared" si="123"/>
        <v>1.1173517100000001E-3</v>
      </c>
      <c r="AA947" s="40"/>
      <c r="AB947" s="40"/>
      <c r="AC947" s="40"/>
      <c r="AD947" s="40"/>
      <c r="AE947" s="40"/>
      <c r="AF947" s="40"/>
      <c r="AG947" s="40"/>
      <c r="AH947" s="40"/>
      <c r="AI947" s="40"/>
      <c r="AJ947" s="40"/>
      <c r="AK947" s="40"/>
      <c r="AL947" s="40"/>
      <c r="AM947" s="40"/>
      <c r="AN947" s="40"/>
      <c r="AO947" s="40"/>
      <c r="AP947" s="40"/>
      <c r="AQ947" s="40"/>
      <c r="AR947" s="40"/>
      <c r="AS947" s="40"/>
      <c r="AT947" s="40"/>
      <c r="AU947" s="40"/>
      <c r="AV947" s="163">
        <f>AV924*0.1</f>
        <v>0.52173602940000008</v>
      </c>
      <c r="AW947" s="40"/>
      <c r="AX947" s="40"/>
      <c r="AY947" s="163">
        <f>AY924*0.1</f>
        <v>4.0287874199999996</v>
      </c>
      <c r="AZ947" s="40"/>
      <c r="BA947" s="40"/>
      <c r="BB947" s="40"/>
      <c r="BC947" s="163">
        <f t="shared" ref="BC947:BE947" si="124">BC924*0.1</f>
        <v>4.4982844729000007E-2</v>
      </c>
      <c r="BD947" s="163">
        <f t="shared" si="124"/>
        <v>0.2996102581681</v>
      </c>
      <c r="BE947" s="163">
        <f t="shared" si="124"/>
        <v>5.7558357640000002E-2</v>
      </c>
      <c r="BF947" s="40"/>
      <c r="BG947" s="40"/>
      <c r="BH947" s="40"/>
      <c r="BI947" s="40"/>
      <c r="BJ947" s="40"/>
      <c r="BK947" s="40"/>
      <c r="BL947" s="62">
        <v>1</v>
      </c>
      <c r="BM947" s="275">
        <v>3</v>
      </c>
      <c r="BN947" s="62">
        <v>0.03</v>
      </c>
      <c r="BO947" s="33" t="s">
        <v>600</v>
      </c>
      <c r="BP947" s="33" t="s">
        <v>602</v>
      </c>
    </row>
    <row r="948" spans="1:68">
      <c r="A948" s="33" t="str">
        <f>Database_Productkaarten[[#This Row],[Product]]&amp;", "&amp;Database_Productkaarten[[#This Row],[Levensfase]]</f>
        <v>Opsluitband 100x200 (hergebruik), D1</v>
      </c>
      <c r="B948" t="s">
        <v>601</v>
      </c>
      <c r="C948" t="s">
        <v>55</v>
      </c>
      <c r="D948" s="33" t="s">
        <v>599</v>
      </c>
      <c r="E948" s="33" t="s">
        <v>389</v>
      </c>
      <c r="F948" s="33" t="s">
        <v>87</v>
      </c>
      <c r="G948" s="33">
        <v>1</v>
      </c>
      <c r="H948" s="33">
        <v>0.2</v>
      </c>
      <c r="I948" s="33">
        <v>0.1</v>
      </c>
      <c r="L948" s="33">
        <v>2.4</v>
      </c>
      <c r="M948" s="33">
        <v>4.5499999999999999E-2</v>
      </c>
      <c r="N948" s="41"/>
      <c r="O948" s="33">
        <v>25</v>
      </c>
      <c r="P948" s="40"/>
      <c r="Q948" s="40"/>
      <c r="R948" s="40"/>
      <c r="S948" s="40"/>
      <c r="T948" s="40"/>
      <c r="U948" s="40"/>
      <c r="V948" s="40"/>
      <c r="W948" s="40"/>
      <c r="X948" s="40"/>
      <c r="Y948" s="40"/>
      <c r="Z948" s="40"/>
      <c r="AA948" s="40"/>
      <c r="AB948" s="40"/>
      <c r="AC948" s="40"/>
      <c r="AD948" s="40"/>
      <c r="AE948" s="40"/>
      <c r="AF948" s="40"/>
      <c r="AG948" s="40"/>
      <c r="AH948" s="40"/>
      <c r="AI948" s="40"/>
      <c r="AJ948" s="40"/>
      <c r="AK948" s="40"/>
      <c r="AL948" s="40"/>
      <c r="AM948" s="40"/>
      <c r="AN948" s="40"/>
      <c r="AO948" s="40"/>
      <c r="AP948" s="40"/>
      <c r="AQ948" s="40"/>
      <c r="AR948" s="40"/>
      <c r="AS948" s="40"/>
      <c r="AT948" s="40"/>
      <c r="AU948" s="40"/>
      <c r="AV948"/>
      <c r="AW948"/>
      <c r="AX948"/>
      <c r="AY948"/>
      <c r="AZ948" s="40"/>
      <c r="BA948" s="40"/>
      <c r="BB948" s="40"/>
      <c r="BC948" s="40"/>
      <c r="BD948" s="40"/>
      <c r="BE948" s="40"/>
      <c r="BF948" s="40"/>
      <c r="BG948" s="40"/>
      <c r="BH948" s="40"/>
      <c r="BI948" s="40"/>
      <c r="BJ948" s="40"/>
      <c r="BK948" s="40"/>
      <c r="BL948" s="62">
        <v>1</v>
      </c>
      <c r="BM948" s="275">
        <v>3</v>
      </c>
      <c r="BN948" s="62">
        <v>0.03</v>
      </c>
      <c r="BO948" s="33" t="s">
        <v>600</v>
      </c>
      <c r="BP948" s="33" t="s">
        <v>602</v>
      </c>
    </row>
    <row r="949" spans="1:68">
      <c r="A949" s="33" t="str">
        <f>Database_Productkaarten[[#This Row],[Product]]&amp;", "&amp;Database_Productkaarten[[#This Row],[Levensfase]]</f>
        <v>Opsluitband 100x200 (hergebruik), D2</v>
      </c>
      <c r="B949" t="s">
        <v>601</v>
      </c>
      <c r="C949" t="s">
        <v>55</v>
      </c>
      <c r="D949" s="33" t="s">
        <v>599</v>
      </c>
      <c r="E949" s="33" t="s">
        <v>389</v>
      </c>
      <c r="F949" s="33" t="s">
        <v>88</v>
      </c>
      <c r="G949" s="33">
        <v>1</v>
      </c>
      <c r="H949" s="33">
        <v>0.2</v>
      </c>
      <c r="I949" s="33">
        <v>0.1</v>
      </c>
      <c r="L949" s="33">
        <v>2.4</v>
      </c>
      <c r="M949" s="33">
        <v>4.5499999999999999E-2</v>
      </c>
      <c r="N949" s="41"/>
      <c r="O949" s="33">
        <v>25</v>
      </c>
      <c r="P949" s="40"/>
      <c r="Q949" s="40"/>
      <c r="R949" s="40"/>
      <c r="S949" s="40"/>
      <c r="T949" s="40"/>
      <c r="U949" s="40"/>
      <c r="V949" s="40"/>
      <c r="W949" s="40"/>
      <c r="X949" s="40"/>
      <c r="Y949" s="40"/>
      <c r="Z949" s="40"/>
      <c r="AA949" s="40"/>
      <c r="AB949" s="40"/>
      <c r="AC949" s="40"/>
      <c r="AD949" s="40"/>
      <c r="AE949" s="40"/>
      <c r="AF949" s="40"/>
      <c r="AG949" s="40"/>
      <c r="AH949" s="40"/>
      <c r="AI949" s="40"/>
      <c r="AJ949" s="40"/>
      <c r="AK949" s="40"/>
      <c r="AL949" s="40"/>
      <c r="AM949" s="40"/>
      <c r="AN949" s="40"/>
      <c r="AO949" s="40"/>
      <c r="AP949" s="40"/>
      <c r="AQ949" s="40"/>
      <c r="AR949" s="40"/>
      <c r="AS949" s="40"/>
      <c r="AT949" s="40"/>
      <c r="AU949" s="40"/>
      <c r="AV949"/>
      <c r="AW949"/>
      <c r="AX949"/>
      <c r="AY949"/>
      <c r="AZ949" s="40"/>
      <c r="BA949" s="40"/>
      <c r="BB949" s="40"/>
      <c r="BC949" s="40"/>
      <c r="BD949" s="40"/>
      <c r="BE949" s="40"/>
      <c r="BF949" s="40"/>
      <c r="BG949" s="40"/>
      <c r="BH949" s="40"/>
      <c r="BI949" s="40"/>
      <c r="BJ949" s="40"/>
      <c r="BK949" s="40"/>
      <c r="BL949" s="62">
        <v>1</v>
      </c>
      <c r="BM949" s="275">
        <v>3</v>
      </c>
      <c r="BN949" s="62">
        <v>0.03</v>
      </c>
      <c r="BO949" s="33" t="s">
        <v>600</v>
      </c>
      <c r="BP949" s="33" t="s">
        <v>602</v>
      </c>
    </row>
    <row r="950" spans="1:68">
      <c r="A950" s="33" t="str">
        <f>Database_Productkaarten[[#This Row],[Product]]&amp;", "&amp;Database_Productkaarten[[#This Row],[Levensfase]]</f>
        <v>Opsluitband 80x200, Totaal</v>
      </c>
      <c r="B950" t="s">
        <v>603</v>
      </c>
      <c r="C950" t="s">
        <v>55</v>
      </c>
      <c r="D950" s="33" t="s">
        <v>599</v>
      </c>
      <c r="E950" s="33" t="s">
        <v>389</v>
      </c>
      <c r="F950" s="33" t="s">
        <v>90</v>
      </c>
      <c r="G950" s="33">
        <v>1</v>
      </c>
      <c r="H950" s="33">
        <v>0.2</v>
      </c>
      <c r="I950" s="33">
        <v>0.08</v>
      </c>
      <c r="L950" s="33">
        <v>2.4</v>
      </c>
      <c r="M950" s="33">
        <f t="shared" ref="M950:N953" si="125">M920*0.8</f>
        <v>3.6400000000000002E-2</v>
      </c>
      <c r="N950" s="41">
        <f t="shared" si="125"/>
        <v>0</v>
      </c>
      <c r="O950" s="33">
        <v>25</v>
      </c>
      <c r="P950" s="40">
        <f t="shared" ref="P950:Z950" si="126">P920*0.8</f>
        <v>0</v>
      </c>
      <c r="Q950" s="40">
        <f t="shared" si="126"/>
        <v>0</v>
      </c>
      <c r="R950" s="40">
        <f t="shared" si="126"/>
        <v>0</v>
      </c>
      <c r="S950" s="40">
        <f t="shared" si="126"/>
        <v>0</v>
      </c>
      <c r="T950" s="40">
        <f t="shared" si="126"/>
        <v>0</v>
      </c>
      <c r="U950" s="40">
        <f t="shared" si="126"/>
        <v>0</v>
      </c>
      <c r="V950" s="40">
        <f t="shared" si="126"/>
        <v>0</v>
      </c>
      <c r="W950" s="40">
        <f t="shared" si="126"/>
        <v>0</v>
      </c>
      <c r="X950" s="40">
        <f t="shared" si="126"/>
        <v>0</v>
      </c>
      <c r="Y950" s="40">
        <f t="shared" si="126"/>
        <v>0</v>
      </c>
      <c r="Z950" s="40">
        <f t="shared" si="126"/>
        <v>0</v>
      </c>
      <c r="AA950" s="40"/>
      <c r="AB950" s="40"/>
      <c r="AC950" s="40"/>
      <c r="AD950" s="40"/>
      <c r="AE950" s="40"/>
      <c r="AF950" s="40"/>
      <c r="AG950" s="40"/>
      <c r="AH950" s="40"/>
      <c r="AI950" s="40"/>
      <c r="AJ950" s="40"/>
      <c r="AK950" s="40"/>
      <c r="AL950" s="40"/>
      <c r="AM950" s="40"/>
      <c r="AN950" s="40"/>
      <c r="AO950" s="40"/>
      <c r="AP950" s="40"/>
      <c r="AQ950" s="40"/>
      <c r="AR950" s="40"/>
      <c r="AS950" s="40"/>
      <c r="AT950" s="40"/>
      <c r="AU950" s="40"/>
      <c r="AV950" s="313"/>
      <c r="AW950" s="317"/>
      <c r="AX950" s="317"/>
      <c r="AY950" s="313"/>
      <c r="AZ950" s="40"/>
      <c r="BA950" s="40"/>
      <c r="BB950" s="40"/>
      <c r="BC950" s="40"/>
      <c r="BD950" s="40"/>
      <c r="BE950" s="40"/>
      <c r="BF950" s="40"/>
      <c r="BG950" s="40"/>
      <c r="BH950" s="40"/>
      <c r="BI950" s="40"/>
      <c r="BJ950" s="40"/>
      <c r="BK950" s="40"/>
      <c r="BL950" s="62">
        <v>0</v>
      </c>
      <c r="BM950" s="275">
        <v>3</v>
      </c>
      <c r="BN950" s="62">
        <v>0.03</v>
      </c>
      <c r="BO950" s="33" t="s">
        <v>600</v>
      </c>
      <c r="BP950" s="33" t="s">
        <v>604</v>
      </c>
    </row>
    <row r="951" spans="1:68">
      <c r="A951" s="33" t="str">
        <f>Database_Productkaarten[[#This Row],[Product]]&amp;", "&amp;Database_Productkaarten[[#This Row],[Levensfase]]</f>
        <v>Opsluitband 80x200, A1</v>
      </c>
      <c r="B951" t="s">
        <v>603</v>
      </c>
      <c r="C951" t="s">
        <v>55</v>
      </c>
      <c r="D951" s="33" t="s">
        <v>599</v>
      </c>
      <c r="E951" s="33" t="s">
        <v>389</v>
      </c>
      <c r="F951" s="33" t="s">
        <v>74</v>
      </c>
      <c r="G951" s="33">
        <v>1</v>
      </c>
      <c r="H951" s="33">
        <v>0.2</v>
      </c>
      <c r="I951" s="33">
        <v>0.08</v>
      </c>
      <c r="L951" s="33">
        <v>2.4</v>
      </c>
      <c r="M951" s="33">
        <f t="shared" si="125"/>
        <v>3.6400000000000002E-2</v>
      </c>
      <c r="N951" s="41">
        <f t="shared" si="125"/>
        <v>0.23767199999999999</v>
      </c>
      <c r="O951" s="33">
        <v>25</v>
      </c>
      <c r="P951" s="40">
        <f t="shared" ref="P951:Z951" si="127">P921*0.8</f>
        <v>4.46043208E-6</v>
      </c>
      <c r="Q951" s="40">
        <f t="shared" si="127"/>
        <v>1.0715317600000001E-2</v>
      </c>
      <c r="R951" s="40">
        <f t="shared" si="127"/>
        <v>4.3606156</v>
      </c>
      <c r="S951" s="40">
        <f t="shared" si="127"/>
        <v>8.969284000000001E-8</v>
      </c>
      <c r="T951" s="40">
        <f t="shared" si="127"/>
        <v>8.1613376000000014E-4</v>
      </c>
      <c r="U951" s="40">
        <f t="shared" si="127"/>
        <v>9.2036296000000007E-3</v>
      </c>
      <c r="V951" s="40">
        <f t="shared" si="127"/>
        <v>1.8065721600000002E-3</v>
      </c>
      <c r="W951" s="40">
        <f t="shared" si="127"/>
        <v>0.36163976800000003</v>
      </c>
      <c r="X951" s="40">
        <f t="shared" si="127"/>
        <v>8.9992136E-3</v>
      </c>
      <c r="Y951" s="40">
        <f t="shared" si="127"/>
        <v>46.118618400000003</v>
      </c>
      <c r="Z951" s="40">
        <f t="shared" si="127"/>
        <v>8.2474599999999999E-3</v>
      </c>
      <c r="AA951" s="40"/>
      <c r="AB951" s="40"/>
      <c r="AC951" s="40"/>
      <c r="AD951" s="40"/>
      <c r="AE951" s="40"/>
      <c r="AF951" s="40"/>
      <c r="AG951" s="40"/>
      <c r="AH951" s="40"/>
      <c r="AI951" s="40"/>
      <c r="AJ951" s="40"/>
      <c r="AK951" s="40"/>
      <c r="AL951" s="40"/>
      <c r="AM951" s="40"/>
      <c r="AN951" s="40"/>
      <c r="AO951" s="40"/>
      <c r="AP951" s="40"/>
      <c r="AQ951" s="40"/>
      <c r="AR951" s="40"/>
      <c r="AS951" s="40"/>
      <c r="AT951" s="40"/>
      <c r="AU951" s="40"/>
      <c r="AV951" s="313">
        <f t="shared" ref="AV951:AV964" si="128">AV921*0.8</f>
        <v>3.8241786400000004</v>
      </c>
      <c r="AW951" s="317"/>
      <c r="AX951" s="317"/>
      <c r="AY951" s="313">
        <f t="shared" ref="AY951:AY964" si="129">AY921*0.8</f>
        <v>24.187260000000002</v>
      </c>
      <c r="AZ951" s="40"/>
      <c r="BA951" s="40"/>
      <c r="BB951" s="40"/>
      <c r="BC951" s="313">
        <f t="shared" ref="BC951:BE964" si="130">BC921*0.8</f>
        <v>0.35835366400000002</v>
      </c>
      <c r="BD951" s="313">
        <f t="shared" si="130"/>
        <v>2.3968361600000003</v>
      </c>
      <c r="BE951" s="313">
        <f t="shared" si="130"/>
        <v>0.21094105600000002</v>
      </c>
      <c r="BF951" s="40"/>
      <c r="BG951" s="40"/>
      <c r="BH951" s="40"/>
      <c r="BI951" s="40"/>
      <c r="BJ951" s="40"/>
      <c r="BK951" s="40"/>
      <c r="BL951" s="62">
        <v>0</v>
      </c>
      <c r="BM951" s="275">
        <v>3</v>
      </c>
      <c r="BN951" s="62">
        <v>0.03</v>
      </c>
      <c r="BO951" s="33" t="s">
        <v>600</v>
      </c>
      <c r="BP951" s="33" t="s">
        <v>604</v>
      </c>
    </row>
    <row r="952" spans="1:68">
      <c r="A952" s="33" t="str">
        <f>Database_Productkaarten[[#This Row],[Product]]&amp;", "&amp;Database_Productkaarten[[#This Row],[Levensfase]]</f>
        <v>Opsluitband 80x200, A2</v>
      </c>
      <c r="B952" t="s">
        <v>603</v>
      </c>
      <c r="C952" t="s">
        <v>55</v>
      </c>
      <c r="D952" s="33" t="s">
        <v>599</v>
      </c>
      <c r="E952" s="33" t="s">
        <v>389</v>
      </c>
      <c r="F952" s="33" t="s">
        <v>75</v>
      </c>
      <c r="G952" s="33">
        <v>1</v>
      </c>
      <c r="H952" s="33">
        <v>0.2</v>
      </c>
      <c r="I952" s="33">
        <v>0.08</v>
      </c>
      <c r="L952" s="33">
        <v>2.4</v>
      </c>
      <c r="M952" s="33">
        <f t="shared" si="125"/>
        <v>3.6400000000000002E-2</v>
      </c>
      <c r="N952" s="41">
        <f t="shared" si="125"/>
        <v>0</v>
      </c>
      <c r="O952" s="33">
        <v>25</v>
      </c>
      <c r="P952" s="40">
        <f t="shared" ref="P952:Z952" si="131">P922*0.8</f>
        <v>7.2804467200000001E-7</v>
      </c>
      <c r="Q952" s="40">
        <f t="shared" si="131"/>
        <v>1.8896648800000001E-3</v>
      </c>
      <c r="R952" s="40">
        <f t="shared" si="131"/>
        <v>0.25600835999999999</v>
      </c>
      <c r="S952" s="40">
        <f t="shared" si="131"/>
        <v>4.7177288799999999E-8</v>
      </c>
      <c r="T952" s="40">
        <f t="shared" si="131"/>
        <v>1.5110428800000001E-4</v>
      </c>
      <c r="U952" s="40">
        <f t="shared" si="131"/>
        <v>1.1099067200000001E-3</v>
      </c>
      <c r="V952" s="40">
        <f t="shared" si="131"/>
        <v>2.2117425600000001E-4</v>
      </c>
      <c r="W952" s="40">
        <f t="shared" si="131"/>
        <v>0.102423352</v>
      </c>
      <c r="X952" s="40">
        <f t="shared" si="131"/>
        <v>3.0039391200000001E-3</v>
      </c>
      <c r="Y952" s="40">
        <f t="shared" si="131"/>
        <v>10.8421064</v>
      </c>
      <c r="Z952" s="40">
        <f t="shared" si="131"/>
        <v>3.6289907200000001E-4</v>
      </c>
      <c r="AA952" s="40"/>
      <c r="AB952" s="40"/>
      <c r="AC952" s="40"/>
      <c r="AD952" s="40"/>
      <c r="AE952" s="40"/>
      <c r="AF952" s="40"/>
      <c r="AG952" s="40"/>
      <c r="AH952" s="40"/>
      <c r="AI952" s="40"/>
      <c r="AJ952" s="40"/>
      <c r="AK952" s="40"/>
      <c r="AL952" s="40"/>
      <c r="AM952" s="40"/>
      <c r="AN952" s="40"/>
      <c r="AO952" s="40"/>
      <c r="AP952" s="40"/>
      <c r="AQ952" s="40"/>
      <c r="AR952" s="40"/>
      <c r="AS952" s="40"/>
      <c r="AT952" s="40"/>
      <c r="AU952" s="40"/>
      <c r="AV952" s="313">
        <f t="shared" si="128"/>
        <v>5.3911707200000006E-2</v>
      </c>
      <c r="AW952" s="317"/>
      <c r="AX952" s="317"/>
      <c r="AY952" s="313">
        <f t="shared" si="129"/>
        <v>4.2126513600000006</v>
      </c>
      <c r="AZ952" s="40"/>
      <c r="BA952" s="40"/>
      <c r="BB952" s="40"/>
      <c r="BC952" s="313">
        <f t="shared" si="130"/>
        <v>7.5763482400000005E-4</v>
      </c>
      <c r="BD952" s="313">
        <f t="shared" si="130"/>
        <v>2.90937032E-5</v>
      </c>
      <c r="BE952" s="313">
        <f t="shared" si="130"/>
        <v>0.24214638399999999</v>
      </c>
      <c r="BF952" s="40"/>
      <c r="BG952" s="40"/>
      <c r="BH952" s="40"/>
      <c r="BI952" s="40"/>
      <c r="BJ952" s="40"/>
      <c r="BK952" s="40"/>
      <c r="BL952" s="62">
        <v>0</v>
      </c>
      <c r="BM952" s="275">
        <v>3</v>
      </c>
      <c r="BN952" s="62">
        <v>0.03</v>
      </c>
      <c r="BO952" s="33" t="s">
        <v>600</v>
      </c>
      <c r="BP952" s="33" t="s">
        <v>604</v>
      </c>
    </row>
    <row r="953" spans="1:68">
      <c r="A953" s="33" t="str">
        <f>Database_Productkaarten[[#This Row],[Product]]&amp;", "&amp;Database_Productkaarten[[#This Row],[Levensfase]]</f>
        <v>Opsluitband 80x200, A3</v>
      </c>
      <c r="B953" t="s">
        <v>603</v>
      </c>
      <c r="C953" t="s">
        <v>55</v>
      </c>
      <c r="D953" s="33" t="s">
        <v>599</v>
      </c>
      <c r="E953" s="33" t="s">
        <v>389</v>
      </c>
      <c r="F953" s="33" t="s">
        <v>76</v>
      </c>
      <c r="G953" s="33">
        <v>1</v>
      </c>
      <c r="H953" s="33">
        <v>0.2</v>
      </c>
      <c r="I953" s="33">
        <v>0.08</v>
      </c>
      <c r="L953" s="33">
        <v>2.4</v>
      </c>
      <c r="M953" s="33">
        <f t="shared" si="125"/>
        <v>3.6400000000000002E-2</v>
      </c>
      <c r="N953" s="41">
        <f t="shared" si="125"/>
        <v>0</v>
      </c>
      <c r="O953" s="33">
        <v>25</v>
      </c>
      <c r="P953" s="40">
        <f t="shared" ref="P953:Z953" si="132">P923*0.8</f>
        <v>6.3516457599999998E-8</v>
      </c>
      <c r="Q953" s="40">
        <f t="shared" si="132"/>
        <v>1.9091636800000001E-3</v>
      </c>
      <c r="R953" s="40">
        <f t="shared" si="132"/>
        <v>0.23359346400000003</v>
      </c>
      <c r="S953" s="40">
        <f t="shared" si="132"/>
        <v>1.6121358400000001E-8</v>
      </c>
      <c r="T953" s="40">
        <f t="shared" si="132"/>
        <v>3.8664341600000004E-5</v>
      </c>
      <c r="U953" s="40">
        <f t="shared" si="132"/>
        <v>4.2536677599999998E-4</v>
      </c>
      <c r="V953" s="40">
        <f t="shared" si="132"/>
        <v>9.5239808000000011E-5</v>
      </c>
      <c r="W953" s="40">
        <f t="shared" si="132"/>
        <v>1.9496829600000001E-2</v>
      </c>
      <c r="X953" s="40">
        <f t="shared" si="132"/>
        <v>4.4614771200000001E-4</v>
      </c>
      <c r="Y953" s="40">
        <f t="shared" si="132"/>
        <v>2.1895790399999999</v>
      </c>
      <c r="Z953" s="40">
        <f t="shared" si="132"/>
        <v>3.2845460800000001E-4</v>
      </c>
      <c r="AA953" s="40"/>
      <c r="AB953" s="40"/>
      <c r="AC953" s="40"/>
      <c r="AD953" s="40"/>
      <c r="AE953" s="40"/>
      <c r="AF953" s="40"/>
      <c r="AG953" s="40"/>
      <c r="AH953" s="40"/>
      <c r="AI953" s="40"/>
      <c r="AJ953" s="40"/>
      <c r="AK953" s="40"/>
      <c r="AL953" s="40"/>
      <c r="AM953" s="40"/>
      <c r="AN953" s="40"/>
      <c r="AO953" s="40"/>
      <c r="AP953" s="40"/>
      <c r="AQ953" s="40"/>
      <c r="AR953" s="40"/>
      <c r="AS953" s="40"/>
      <c r="AT953" s="40"/>
      <c r="AU953" s="40"/>
      <c r="AV953" s="313">
        <f t="shared" si="128"/>
        <v>0.29579788800000001</v>
      </c>
      <c r="AW953" s="317"/>
      <c r="AX953" s="317"/>
      <c r="AY953" s="313">
        <f t="shared" si="129"/>
        <v>3.8303880000000001</v>
      </c>
      <c r="AZ953" s="40"/>
      <c r="BA953" s="40"/>
      <c r="BB953" s="40"/>
      <c r="BC953" s="313">
        <f t="shared" si="130"/>
        <v>7.5145900800000008E-4</v>
      </c>
      <c r="BD953" s="313">
        <f t="shared" si="130"/>
        <v>1.6811641599999999E-5</v>
      </c>
      <c r="BE953" s="313">
        <f t="shared" si="130"/>
        <v>7.3794211200000001E-3</v>
      </c>
      <c r="BF953" s="40"/>
      <c r="BG953" s="40"/>
      <c r="BH953" s="40"/>
      <c r="BI953" s="40"/>
      <c r="BJ953" s="40"/>
      <c r="BK953" s="40"/>
      <c r="BL953" s="62">
        <v>0</v>
      </c>
      <c r="BM953" s="275">
        <v>3</v>
      </c>
      <c r="BN953" s="62">
        <v>0.03</v>
      </c>
      <c r="BO953" s="33" t="s">
        <v>600</v>
      </c>
      <c r="BP953" s="33" t="s">
        <v>604</v>
      </c>
    </row>
    <row r="954" spans="1:68">
      <c r="A954" s="33" t="str">
        <f>Database_Productkaarten[[#This Row],[Product]]&amp;", "&amp;Database_Productkaarten[[#This Row],[Levensfase]]</f>
        <v>Opsluitband 80x200, A1-A3</v>
      </c>
      <c r="B954" s="33" t="str">
        <f>B953</f>
        <v>Opsluitband 80x200</v>
      </c>
      <c r="C954" s="33" t="str">
        <f>C953</f>
        <v>Elementenverhardingen</v>
      </c>
      <c r="D954" s="33" t="str">
        <f>D953</f>
        <v>Opsluitband</v>
      </c>
      <c r="E954" s="33" t="str">
        <f>E953</f>
        <v>m1</v>
      </c>
      <c r="F954" s="33" t="s">
        <v>77</v>
      </c>
      <c r="G954" s="33">
        <f>G953</f>
        <v>1</v>
      </c>
      <c r="H954" s="33">
        <f t="shared" ref="H954:M954" si="133">H953</f>
        <v>0.2</v>
      </c>
      <c r="I954" s="33">
        <f t="shared" si="133"/>
        <v>0.08</v>
      </c>
      <c r="L954" s="33">
        <f t="shared" si="133"/>
        <v>2.4</v>
      </c>
      <c r="M954" s="45">
        <f t="shared" si="133"/>
        <v>3.6400000000000002E-2</v>
      </c>
      <c r="N954" s="41">
        <f t="shared" ref="N954:N964" si="134">N924*0.8</f>
        <v>0.34154400000000001</v>
      </c>
      <c r="O954" s="33">
        <v>25</v>
      </c>
      <c r="P954" s="40">
        <f>SUM(P951:P953)</f>
        <v>5.2519932096000001E-6</v>
      </c>
      <c r="Q954" s="40">
        <f t="shared" ref="Q954:BK954" si="135">SUM(Q951:Q953)</f>
        <v>1.4514146160000001E-2</v>
      </c>
      <c r="R954" s="40">
        <f t="shared" si="135"/>
        <v>4.8502174240000002</v>
      </c>
      <c r="S954" s="40">
        <f t="shared" si="135"/>
        <v>1.5299148720000001E-7</v>
      </c>
      <c r="T954" s="40">
        <f t="shared" si="135"/>
        <v>1.0059023896000002E-3</v>
      </c>
      <c r="U954" s="40">
        <f t="shared" si="135"/>
        <v>1.0738903096000001E-2</v>
      </c>
      <c r="V954" s="40">
        <f t="shared" si="135"/>
        <v>2.1229862239999999E-3</v>
      </c>
      <c r="W954" s="40">
        <f t="shared" si="135"/>
        <v>0.48355994960000004</v>
      </c>
      <c r="X954" s="40">
        <f t="shared" si="135"/>
        <v>1.2449300432E-2</v>
      </c>
      <c r="Y954" s="40">
        <f t="shared" si="135"/>
        <v>59.150303839999999</v>
      </c>
      <c r="Z954" s="40">
        <f t="shared" si="135"/>
        <v>8.9388136799999993E-3</v>
      </c>
      <c r="AA954" s="40">
        <f t="shared" si="135"/>
        <v>0</v>
      </c>
      <c r="AB954" s="40">
        <f t="shared" si="135"/>
        <v>0</v>
      </c>
      <c r="AC954" s="40">
        <f t="shared" si="135"/>
        <v>0</v>
      </c>
      <c r="AD954" s="40">
        <f t="shared" si="135"/>
        <v>0</v>
      </c>
      <c r="AE954" s="40">
        <f t="shared" si="135"/>
        <v>0</v>
      </c>
      <c r="AF954" s="40">
        <f t="shared" si="135"/>
        <v>0</v>
      </c>
      <c r="AG954" s="40">
        <f t="shared" si="135"/>
        <v>0</v>
      </c>
      <c r="AH954" s="40">
        <f t="shared" si="135"/>
        <v>0</v>
      </c>
      <c r="AI954" s="40">
        <f t="shared" si="135"/>
        <v>0</v>
      </c>
      <c r="AJ954" s="40">
        <f t="shared" si="135"/>
        <v>0</v>
      </c>
      <c r="AK954" s="40">
        <f t="shared" si="135"/>
        <v>0</v>
      </c>
      <c r="AL954" s="40">
        <f t="shared" si="135"/>
        <v>0</v>
      </c>
      <c r="AM954" s="40">
        <f t="shared" si="135"/>
        <v>0</v>
      </c>
      <c r="AN954" s="40">
        <f t="shared" si="135"/>
        <v>0</v>
      </c>
      <c r="AO954" s="40">
        <f t="shared" si="135"/>
        <v>0</v>
      </c>
      <c r="AP954" s="40">
        <f t="shared" si="135"/>
        <v>0</v>
      </c>
      <c r="AQ954" s="40">
        <f t="shared" si="135"/>
        <v>0</v>
      </c>
      <c r="AR954" s="40">
        <f t="shared" si="135"/>
        <v>0</v>
      </c>
      <c r="AS954" s="40">
        <f t="shared" si="135"/>
        <v>0</v>
      </c>
      <c r="AT954" s="40">
        <f t="shared" si="135"/>
        <v>0</v>
      </c>
      <c r="AU954" s="40">
        <f t="shared" si="135"/>
        <v>0</v>
      </c>
      <c r="AV954" s="313">
        <f t="shared" si="128"/>
        <v>4.1738882352000006</v>
      </c>
      <c r="AW954" s="317">
        <f t="shared" si="135"/>
        <v>0</v>
      </c>
      <c r="AX954" s="317">
        <f t="shared" si="135"/>
        <v>0</v>
      </c>
      <c r="AY954" s="313">
        <f t="shared" si="129"/>
        <v>32.230299359999997</v>
      </c>
      <c r="AZ954" s="40">
        <f t="shared" si="135"/>
        <v>0</v>
      </c>
      <c r="BA954" s="40">
        <f t="shared" si="135"/>
        <v>0</v>
      </c>
      <c r="BB954" s="40">
        <f t="shared" si="135"/>
        <v>0</v>
      </c>
      <c r="BC954" s="313">
        <f t="shared" si="130"/>
        <v>0.35986275783200006</v>
      </c>
      <c r="BD954" s="313">
        <f t="shared" si="130"/>
        <v>2.3968820653448</v>
      </c>
      <c r="BE954" s="313">
        <f t="shared" si="130"/>
        <v>0.46046686112000002</v>
      </c>
      <c r="BF954" s="40">
        <f t="shared" si="135"/>
        <v>0</v>
      </c>
      <c r="BG954" s="40">
        <f t="shared" si="135"/>
        <v>0</v>
      </c>
      <c r="BH954" s="40">
        <f t="shared" si="135"/>
        <v>0</v>
      </c>
      <c r="BI954" s="40">
        <f t="shared" si="135"/>
        <v>0</v>
      </c>
      <c r="BJ954" s="40">
        <f t="shared" si="135"/>
        <v>0</v>
      </c>
      <c r="BK954" s="40">
        <f t="shared" si="135"/>
        <v>0</v>
      </c>
      <c r="BL954" s="62">
        <f>BL953</f>
        <v>0</v>
      </c>
      <c r="BM954" s="275">
        <f>BM953</f>
        <v>3</v>
      </c>
      <c r="BN954" s="62">
        <v>0.03</v>
      </c>
      <c r="BO954" s="33" t="str">
        <f>BO953</f>
        <v>NMD Opsluitband 100x200x1000mm grijs</v>
      </c>
    </row>
    <row r="955" spans="1:68">
      <c r="A955" s="33" t="str">
        <f>Database_Productkaarten[[#This Row],[Product]]&amp;", "&amp;Database_Productkaarten[[#This Row],[Levensfase]]</f>
        <v>Opsluitband 80x200, A4</v>
      </c>
      <c r="B955" t="s">
        <v>603</v>
      </c>
      <c r="C955" t="s">
        <v>55</v>
      </c>
      <c r="D955" s="33" t="s">
        <v>599</v>
      </c>
      <c r="E955" s="33" t="s">
        <v>389</v>
      </c>
      <c r="F955" s="33" t="s">
        <v>78</v>
      </c>
      <c r="G955" s="33">
        <v>1</v>
      </c>
      <c r="H955" s="33">
        <v>0.2</v>
      </c>
      <c r="I955" s="33">
        <v>0.08</v>
      </c>
      <c r="L955" s="33">
        <v>2.4</v>
      </c>
      <c r="M955" s="33">
        <f t="shared" ref="M955:M961" si="136">M925*0.8</f>
        <v>3.6400000000000002E-2</v>
      </c>
      <c r="N955" s="41">
        <f t="shared" si="134"/>
        <v>8.3840000000000012E-2</v>
      </c>
      <c r="O955" s="33">
        <v>25</v>
      </c>
      <c r="P955" s="40">
        <f t="shared" ref="P955:Z955" si="137">P925*0.8</f>
        <v>2.0178522400000002E-6</v>
      </c>
      <c r="Q955" s="40">
        <f t="shared" si="137"/>
        <v>5.2374044000000003E-3</v>
      </c>
      <c r="R955" s="40">
        <f t="shared" si="137"/>
        <v>0.70955404</v>
      </c>
      <c r="S955" s="40">
        <f t="shared" si="137"/>
        <v>1.30756808E-7</v>
      </c>
      <c r="T955" s="40">
        <f t="shared" si="137"/>
        <v>4.1880138400000004E-4</v>
      </c>
      <c r="U955" s="40">
        <f t="shared" si="137"/>
        <v>3.0762228799999999E-3</v>
      </c>
      <c r="V955" s="40">
        <f t="shared" si="137"/>
        <v>6.1300765600000003E-4</v>
      </c>
      <c r="W955" s="40">
        <f t="shared" si="137"/>
        <v>0.28387707200000001</v>
      </c>
      <c r="X955" s="40">
        <f t="shared" si="137"/>
        <v>8.3257328000000009E-3</v>
      </c>
      <c r="Y955" s="40">
        <f t="shared" si="137"/>
        <v>30.050036000000002</v>
      </c>
      <c r="Z955" s="40">
        <f t="shared" si="137"/>
        <v>1.00581288E-3</v>
      </c>
      <c r="AA955" s="40"/>
      <c r="AB955" s="40"/>
      <c r="AC955" s="40"/>
      <c r="AD955" s="40"/>
      <c r="AE955" s="40"/>
      <c r="AF955" s="40"/>
      <c r="AG955" s="40"/>
      <c r="AH955" s="40"/>
      <c r="AI955" s="40"/>
      <c r="AJ955" s="40"/>
      <c r="AK955" s="40"/>
      <c r="AL955" s="40"/>
      <c r="AM955" s="40"/>
      <c r="AN955" s="40"/>
      <c r="AO955" s="40"/>
      <c r="AP955" s="40"/>
      <c r="AQ955" s="40"/>
      <c r="AR955" s="40"/>
      <c r="AS955" s="40"/>
      <c r="AT955" s="40"/>
      <c r="AU955" s="40"/>
      <c r="AV955" s="313">
        <f t="shared" si="128"/>
        <v>0.149421952</v>
      </c>
      <c r="AW955" s="317"/>
      <c r="AX955" s="317"/>
      <c r="AY955" s="313">
        <f t="shared" si="129"/>
        <v>11.6758056</v>
      </c>
      <c r="AZ955" s="40"/>
      <c r="BA955" s="40"/>
      <c r="BB955" s="40"/>
      <c r="BC955" s="313">
        <f t="shared" si="130"/>
        <v>2.0998644E-3</v>
      </c>
      <c r="BD955" s="313">
        <f t="shared" si="130"/>
        <v>8.0636248000000004E-5</v>
      </c>
      <c r="BE955" s="313">
        <f t="shared" si="130"/>
        <v>0.67113412000000006</v>
      </c>
      <c r="BF955" s="40"/>
      <c r="BG955" s="40"/>
      <c r="BH955" s="40"/>
      <c r="BI955" s="40"/>
      <c r="BJ955" s="40"/>
      <c r="BK955" s="40"/>
      <c r="BL955" s="62">
        <v>0</v>
      </c>
      <c r="BM955" s="275">
        <v>3</v>
      </c>
      <c r="BN955" s="62">
        <v>0.03</v>
      </c>
      <c r="BO955" s="33" t="s">
        <v>600</v>
      </c>
      <c r="BP955" s="33" t="s">
        <v>604</v>
      </c>
    </row>
    <row r="956" spans="1:68">
      <c r="A956" s="33" t="str">
        <f>Database_Productkaarten[[#This Row],[Product]]&amp;", "&amp;Database_Productkaarten[[#This Row],[Levensfase]]</f>
        <v>Opsluitband 80x200, A5</v>
      </c>
      <c r="B956" t="s">
        <v>603</v>
      </c>
      <c r="C956" t="s">
        <v>55</v>
      </c>
      <c r="D956" s="33" t="s">
        <v>599</v>
      </c>
      <c r="E956" s="33" t="s">
        <v>389</v>
      </c>
      <c r="F956" s="33" t="s">
        <v>79</v>
      </c>
      <c r="G956" s="33">
        <v>1</v>
      </c>
      <c r="H956" s="33">
        <v>0.2</v>
      </c>
      <c r="I956" s="33">
        <v>0.08</v>
      </c>
      <c r="L956" s="33">
        <v>2.4</v>
      </c>
      <c r="M956" s="33">
        <f t="shared" si="136"/>
        <v>3.6400000000000002E-2</v>
      </c>
      <c r="N956" s="41">
        <f t="shared" si="134"/>
        <v>7.5248000000000009E-2</v>
      </c>
      <c r="O956" s="33">
        <v>25</v>
      </c>
      <c r="P956" s="40">
        <f t="shared" ref="P956:Z956" si="138">P926*0.8</f>
        <v>3.7652309600000005E-7</v>
      </c>
      <c r="Q956" s="40">
        <f t="shared" si="138"/>
        <v>3.9147749599999998E-3</v>
      </c>
      <c r="R956" s="40">
        <f t="shared" si="138"/>
        <v>0.64742035200000003</v>
      </c>
      <c r="S956" s="40">
        <f t="shared" si="138"/>
        <v>9.5420448000000014E-8</v>
      </c>
      <c r="T956" s="40">
        <f t="shared" si="138"/>
        <v>5.2477369600000001E-4</v>
      </c>
      <c r="U956" s="40">
        <f t="shared" si="138"/>
        <v>4.0310070400000004E-3</v>
      </c>
      <c r="V956" s="40">
        <f t="shared" si="138"/>
        <v>8.9260456000000001E-4</v>
      </c>
      <c r="W956" s="40">
        <f t="shared" si="138"/>
        <v>0.193121608</v>
      </c>
      <c r="X956" s="40">
        <f t="shared" si="138"/>
        <v>3.0463572800000002E-3</v>
      </c>
      <c r="Y956" s="40">
        <f t="shared" si="138"/>
        <v>10.877852000000001</v>
      </c>
      <c r="Z956" s="40">
        <f t="shared" si="138"/>
        <v>5.85754968E-4</v>
      </c>
      <c r="AA956" s="40"/>
      <c r="AB956" s="40"/>
      <c r="AC956" s="40"/>
      <c r="AD956" s="40"/>
      <c r="AE956" s="40"/>
      <c r="AF956" s="40"/>
      <c r="AG956" s="40"/>
      <c r="AH956" s="40"/>
      <c r="AI956" s="40"/>
      <c r="AJ956" s="40"/>
      <c r="AK956" s="40"/>
      <c r="AL956" s="40"/>
      <c r="AM956" s="40"/>
      <c r="AN956" s="40"/>
      <c r="AO956" s="40"/>
      <c r="AP956" s="40"/>
      <c r="AQ956" s="40"/>
      <c r="AR956" s="40"/>
      <c r="AS956" s="40"/>
      <c r="AT956" s="40"/>
      <c r="AU956" s="40"/>
      <c r="AV956" s="313">
        <f t="shared" si="128"/>
        <v>0.16870488</v>
      </c>
      <c r="AW956" s="317"/>
      <c r="AX956" s="317"/>
      <c r="AY956" s="313">
        <f t="shared" si="129"/>
        <v>8.7735680000000009</v>
      </c>
      <c r="AZ956" s="40"/>
      <c r="BA956" s="40"/>
      <c r="BB956" s="40"/>
      <c r="BC956" s="313">
        <f t="shared" si="130"/>
        <v>1.0128558400000001E-2</v>
      </c>
      <c r="BD956" s="313">
        <f t="shared" si="130"/>
        <v>7.1960559199999996E-2</v>
      </c>
      <c r="BE956" s="313">
        <f t="shared" si="130"/>
        <v>6.1716064800000005E-2</v>
      </c>
      <c r="BF956" s="40"/>
      <c r="BG956" s="40"/>
      <c r="BH956" s="40"/>
      <c r="BI956" s="40"/>
      <c r="BJ956" s="40"/>
      <c r="BK956" s="40"/>
      <c r="BL956" s="62">
        <v>0</v>
      </c>
      <c r="BM956" s="275">
        <v>3</v>
      </c>
      <c r="BN956" s="62">
        <v>0.03</v>
      </c>
      <c r="BO956" s="33" t="s">
        <v>600</v>
      </c>
      <c r="BP956" s="33" t="s">
        <v>604</v>
      </c>
    </row>
    <row r="957" spans="1:68">
      <c r="A957" s="33" t="str">
        <f>Database_Productkaarten[[#This Row],[Product]]&amp;", "&amp;Database_Productkaarten[[#This Row],[Levensfase]]</f>
        <v>Opsluitband 80x200, B1</v>
      </c>
      <c r="B957" t="s">
        <v>603</v>
      </c>
      <c r="C957" t="s">
        <v>55</v>
      </c>
      <c r="D957" s="33" t="s">
        <v>599</v>
      </c>
      <c r="E957" s="33" t="s">
        <v>389</v>
      </c>
      <c r="F957" s="33" t="s">
        <v>80</v>
      </c>
      <c r="G957" s="33">
        <v>1</v>
      </c>
      <c r="H957" s="33">
        <v>0.2</v>
      </c>
      <c r="I957" s="33">
        <v>0.08</v>
      </c>
      <c r="L957" s="33">
        <v>2.4</v>
      </c>
      <c r="M957" s="33">
        <f t="shared" si="136"/>
        <v>3.6400000000000002E-2</v>
      </c>
      <c r="N957" s="41">
        <f t="shared" si="134"/>
        <v>0</v>
      </c>
      <c r="O957" s="33">
        <v>25</v>
      </c>
      <c r="P957" s="40">
        <f t="shared" ref="P957:Z957" si="139">P927*0.8</f>
        <v>0</v>
      </c>
      <c r="Q957" s="40">
        <f t="shared" si="139"/>
        <v>0</v>
      </c>
      <c r="R957" s="40">
        <f t="shared" si="139"/>
        <v>0</v>
      </c>
      <c r="S957" s="40">
        <f t="shared" si="139"/>
        <v>0</v>
      </c>
      <c r="T957" s="40">
        <f t="shared" si="139"/>
        <v>0</v>
      </c>
      <c r="U957" s="40">
        <f t="shared" si="139"/>
        <v>0</v>
      </c>
      <c r="V957" s="40">
        <f t="shared" si="139"/>
        <v>0</v>
      </c>
      <c r="W957" s="40">
        <f t="shared" si="139"/>
        <v>0</v>
      </c>
      <c r="X957" s="40">
        <f t="shared" si="139"/>
        <v>0</v>
      </c>
      <c r="Y957" s="40">
        <f t="shared" si="139"/>
        <v>0</v>
      </c>
      <c r="Z957" s="40">
        <f t="shared" si="139"/>
        <v>0</v>
      </c>
      <c r="AA957" s="40"/>
      <c r="AB957" s="40"/>
      <c r="AC957" s="40"/>
      <c r="AD957" s="40"/>
      <c r="AE957" s="40"/>
      <c r="AF957" s="40"/>
      <c r="AG957" s="40"/>
      <c r="AH957" s="40"/>
      <c r="AI957" s="40"/>
      <c r="AJ957" s="40"/>
      <c r="AK957" s="40"/>
      <c r="AL957" s="40"/>
      <c r="AM957" s="40"/>
      <c r="AN957" s="40"/>
      <c r="AO957" s="40"/>
      <c r="AP957" s="40"/>
      <c r="AQ957" s="40"/>
      <c r="AR957" s="40"/>
      <c r="AS957" s="40"/>
      <c r="AT957" s="40"/>
      <c r="AU957" s="40"/>
      <c r="AV957" s="313">
        <f t="shared" si="128"/>
        <v>0</v>
      </c>
      <c r="AW957" s="317"/>
      <c r="AX957" s="317"/>
      <c r="AY957" s="313">
        <f t="shared" si="129"/>
        <v>0</v>
      </c>
      <c r="AZ957" s="40"/>
      <c r="BA957" s="40"/>
      <c r="BB957" s="40"/>
      <c r="BC957" s="313">
        <f t="shared" si="130"/>
        <v>0</v>
      </c>
      <c r="BD957" s="313">
        <f t="shared" si="130"/>
        <v>0</v>
      </c>
      <c r="BE957" s="313">
        <f t="shared" si="130"/>
        <v>0</v>
      </c>
      <c r="BF957" s="40"/>
      <c r="BG957" s="40"/>
      <c r="BH957" s="40"/>
      <c r="BI957" s="40"/>
      <c r="BJ957" s="40"/>
      <c r="BK957" s="40"/>
      <c r="BL957" s="62">
        <v>0</v>
      </c>
      <c r="BM957" s="275">
        <v>3</v>
      </c>
      <c r="BN957" s="62">
        <v>0.03</v>
      </c>
      <c r="BO957" s="33" t="s">
        <v>600</v>
      </c>
      <c r="BP957" s="33" t="s">
        <v>604</v>
      </c>
    </row>
    <row r="958" spans="1:68">
      <c r="A958" s="33" t="str">
        <f>Database_Productkaarten[[#This Row],[Product]]&amp;", "&amp;Database_Productkaarten[[#This Row],[Levensfase]]</f>
        <v>Opsluitband 80x200, C1</v>
      </c>
      <c r="B958" t="s">
        <v>603</v>
      </c>
      <c r="C958" t="s">
        <v>55</v>
      </c>
      <c r="D958" s="33" t="s">
        <v>599</v>
      </c>
      <c r="E958" s="33" t="s">
        <v>389</v>
      </c>
      <c r="F958" s="33" t="s">
        <v>83</v>
      </c>
      <c r="G958" s="33">
        <v>1</v>
      </c>
      <c r="H958" s="33">
        <v>0.2</v>
      </c>
      <c r="I958" s="33">
        <v>0.08</v>
      </c>
      <c r="L958" s="33">
        <v>2.4</v>
      </c>
      <c r="M958" s="33">
        <f t="shared" si="136"/>
        <v>3.6400000000000002E-2</v>
      </c>
      <c r="N958" s="41">
        <f t="shared" si="134"/>
        <v>6.2960000000000002E-2</v>
      </c>
      <c r="O958" s="33">
        <v>25</v>
      </c>
      <c r="P958" s="40">
        <f t="shared" ref="P958:Z958" si="140">P928*0.8</f>
        <v>1.5939542400000001E-7</v>
      </c>
      <c r="Q958" s="40">
        <f t="shared" si="140"/>
        <v>3.2840684000000004E-3</v>
      </c>
      <c r="R958" s="40">
        <f t="shared" si="140"/>
        <v>0.47597824</v>
      </c>
      <c r="S958" s="40">
        <f t="shared" si="140"/>
        <v>8.5734152000000001E-8</v>
      </c>
      <c r="T958" s="40">
        <f t="shared" si="140"/>
        <v>4.7977405600000008E-4</v>
      </c>
      <c r="U958" s="40">
        <f t="shared" si="140"/>
        <v>3.6014867999999999E-3</v>
      </c>
      <c r="V958" s="40">
        <f t="shared" si="140"/>
        <v>8.0644904000000016E-4</v>
      </c>
      <c r="W958" s="40">
        <f t="shared" si="140"/>
        <v>0.16849314400000001</v>
      </c>
      <c r="X958" s="40">
        <f t="shared" si="140"/>
        <v>2.3563595999999999E-3</v>
      </c>
      <c r="Y958" s="40">
        <f t="shared" si="140"/>
        <v>7.9876623200000001</v>
      </c>
      <c r="Z958" s="40">
        <f t="shared" si="140"/>
        <v>2.8154732799999998E-4</v>
      </c>
      <c r="AA958" s="40"/>
      <c r="AB958" s="40"/>
      <c r="AC958" s="40"/>
      <c r="AD958" s="40"/>
      <c r="AE958" s="40"/>
      <c r="AF958" s="40"/>
      <c r="AG958" s="40"/>
      <c r="AH958" s="40"/>
      <c r="AI958" s="40"/>
      <c r="AJ958" s="40"/>
      <c r="AK958" s="40"/>
      <c r="AL958" s="40"/>
      <c r="AM958" s="40"/>
      <c r="AN958" s="40"/>
      <c r="AO958" s="40"/>
      <c r="AP958" s="40"/>
      <c r="AQ958" s="40"/>
      <c r="AR958" s="40"/>
      <c r="AS958" s="40"/>
      <c r="AT958" s="40"/>
      <c r="AU958" s="40"/>
      <c r="AV958" s="313">
        <f t="shared" si="128"/>
        <v>3.9553738400000003E-2</v>
      </c>
      <c r="AW958" s="317"/>
      <c r="AX958" s="317"/>
      <c r="AY958" s="313">
        <f t="shared" si="129"/>
        <v>7.3668108000000005</v>
      </c>
      <c r="AZ958" s="40"/>
      <c r="BA958" s="40"/>
      <c r="BB958" s="40"/>
      <c r="BC958" s="313">
        <f t="shared" si="130"/>
        <v>6.0735705599999999E-4</v>
      </c>
      <c r="BD958" s="313">
        <f t="shared" si="130"/>
        <v>5.1001257600000001E-5</v>
      </c>
      <c r="BE958" s="313">
        <f t="shared" si="130"/>
        <v>7.5169894400000008E-3</v>
      </c>
      <c r="BF958" s="40"/>
      <c r="BG958" s="40"/>
      <c r="BH958" s="40"/>
      <c r="BI958" s="40"/>
      <c r="BJ958" s="40"/>
      <c r="BK958" s="40"/>
      <c r="BL958" s="62">
        <v>0</v>
      </c>
      <c r="BM958" s="275">
        <v>3</v>
      </c>
      <c r="BN958" s="62">
        <v>0.03</v>
      </c>
      <c r="BO958" s="33" t="s">
        <v>600</v>
      </c>
      <c r="BP958" s="33" t="s">
        <v>604</v>
      </c>
    </row>
    <row r="959" spans="1:68">
      <c r="A959" s="33" t="str">
        <f>Database_Productkaarten[[#This Row],[Product]]&amp;", "&amp;Database_Productkaarten[[#This Row],[Levensfase]]</f>
        <v>Opsluitband 80x200, C2</v>
      </c>
      <c r="B959" t="s">
        <v>603</v>
      </c>
      <c r="C959" t="s">
        <v>55</v>
      </c>
      <c r="D959" s="33" t="s">
        <v>599</v>
      </c>
      <c r="E959" s="33" t="s">
        <v>389</v>
      </c>
      <c r="F959" s="33" t="s">
        <v>84</v>
      </c>
      <c r="G959" s="33">
        <v>1</v>
      </c>
      <c r="H959" s="33">
        <v>0.2</v>
      </c>
      <c r="I959" s="33">
        <v>0.08</v>
      </c>
      <c r="L959" s="33">
        <v>2.4</v>
      </c>
      <c r="M959" s="33">
        <f t="shared" si="136"/>
        <v>3.6400000000000002E-2</v>
      </c>
      <c r="N959" s="41">
        <f t="shared" si="134"/>
        <v>2.8223999999999999E-2</v>
      </c>
      <c r="O959" s="33">
        <v>25</v>
      </c>
      <c r="P959" s="40">
        <f t="shared" ref="P959:Z959" si="141">P929*0.8</f>
        <v>6.793435760000001E-7</v>
      </c>
      <c r="Q959" s="40">
        <f t="shared" si="141"/>
        <v>1.7632595200000002E-3</v>
      </c>
      <c r="R959" s="40">
        <f t="shared" si="141"/>
        <v>0.23888319199999999</v>
      </c>
      <c r="S959" s="40">
        <f t="shared" si="141"/>
        <v>4.4021458400000001E-8</v>
      </c>
      <c r="T959" s="40">
        <f t="shared" si="141"/>
        <v>1.4099646399999999E-4</v>
      </c>
      <c r="U959" s="40">
        <f t="shared" si="141"/>
        <v>1.0356616799999999E-3</v>
      </c>
      <c r="V959" s="40">
        <f t="shared" si="141"/>
        <v>2.0637924800000001E-4</v>
      </c>
      <c r="W959" s="40">
        <f t="shared" si="141"/>
        <v>9.5571952000000016E-2</v>
      </c>
      <c r="X959" s="40">
        <f t="shared" si="141"/>
        <v>2.8029965600000002E-3</v>
      </c>
      <c r="Y959" s="40">
        <f t="shared" si="141"/>
        <v>10.116845600000001</v>
      </c>
      <c r="Z959" s="40">
        <f t="shared" si="141"/>
        <v>3.3862366400000003E-4</v>
      </c>
      <c r="AA959" s="40"/>
      <c r="AB959" s="40"/>
      <c r="AC959" s="40"/>
      <c r="AD959" s="40"/>
      <c r="AE959" s="40"/>
      <c r="AF959" s="40"/>
      <c r="AG959" s="40"/>
      <c r="AH959" s="40"/>
      <c r="AI959" s="40"/>
      <c r="AJ959" s="40"/>
      <c r="AK959" s="40"/>
      <c r="AL959" s="40"/>
      <c r="AM959" s="40"/>
      <c r="AN959" s="40"/>
      <c r="AO959" s="40"/>
      <c r="AP959" s="40"/>
      <c r="AQ959" s="40"/>
      <c r="AR959" s="40"/>
      <c r="AS959" s="40"/>
      <c r="AT959" s="40"/>
      <c r="AU959" s="40"/>
      <c r="AV959" s="313">
        <f t="shared" si="128"/>
        <v>5.0305391200000008E-2</v>
      </c>
      <c r="AW959" s="317"/>
      <c r="AX959" s="317"/>
      <c r="AY959" s="313">
        <f t="shared" si="129"/>
        <v>3.9308543999999999</v>
      </c>
      <c r="AZ959" s="40"/>
      <c r="BA959" s="40"/>
      <c r="BB959" s="40"/>
      <c r="BC959" s="313">
        <f t="shared" si="130"/>
        <v>7.0695436000000006E-4</v>
      </c>
      <c r="BD959" s="313">
        <f t="shared" si="130"/>
        <v>2.7147537600000001E-5</v>
      </c>
      <c r="BE959" s="313">
        <f t="shared" si="130"/>
        <v>0.225948488</v>
      </c>
      <c r="BF959" s="40"/>
      <c r="BG959" s="40"/>
      <c r="BH959" s="40"/>
      <c r="BI959" s="40"/>
      <c r="BJ959" s="40"/>
      <c r="BK959" s="40"/>
      <c r="BL959" s="62">
        <v>0</v>
      </c>
      <c r="BM959" s="275">
        <v>3</v>
      </c>
      <c r="BN959" s="62">
        <v>0.03</v>
      </c>
      <c r="BO959" s="33" t="s">
        <v>600</v>
      </c>
      <c r="BP959" s="33" t="s">
        <v>604</v>
      </c>
    </row>
    <row r="960" spans="1:68">
      <c r="A960" s="33" t="str">
        <f>Database_Productkaarten[[#This Row],[Product]]&amp;", "&amp;Database_Productkaarten[[#This Row],[Levensfase]]</f>
        <v>Opsluitband 80x200, C3</v>
      </c>
      <c r="B960" t="s">
        <v>603</v>
      </c>
      <c r="C960" t="s">
        <v>55</v>
      </c>
      <c r="D960" s="33" t="s">
        <v>599</v>
      </c>
      <c r="E960" s="33" t="s">
        <v>389</v>
      </c>
      <c r="F960" s="33" t="s">
        <v>85</v>
      </c>
      <c r="G960" s="33">
        <v>1</v>
      </c>
      <c r="H960" s="33">
        <v>0.2</v>
      </c>
      <c r="I960" s="33">
        <v>0.08</v>
      </c>
      <c r="L960" s="33">
        <v>2.4</v>
      </c>
      <c r="M960" s="33">
        <f t="shared" si="136"/>
        <v>3.6400000000000002E-2</v>
      </c>
      <c r="N960" s="41">
        <f t="shared" si="134"/>
        <v>6.0240000000000007E-3</v>
      </c>
      <c r="O960" s="33">
        <v>25</v>
      </c>
      <c r="P960" s="40">
        <f t="shared" ref="P960:Z960" si="142">P930*0.8</f>
        <v>3.4445449599999999E-8</v>
      </c>
      <c r="Q960" s="40">
        <f t="shared" si="142"/>
        <v>4.2739351199999999E-4</v>
      </c>
      <c r="R960" s="40">
        <f t="shared" si="142"/>
        <v>5.6728992800000003E-2</v>
      </c>
      <c r="S960" s="40">
        <f t="shared" si="142"/>
        <v>6.58975456E-9</v>
      </c>
      <c r="T960" s="40">
        <f t="shared" si="142"/>
        <v>3.1784518400000003E-5</v>
      </c>
      <c r="U960" s="40">
        <f t="shared" si="142"/>
        <v>2.62099952E-4</v>
      </c>
      <c r="V960" s="40">
        <f t="shared" si="142"/>
        <v>5.9105971200000004E-5</v>
      </c>
      <c r="W960" s="40">
        <f t="shared" si="142"/>
        <v>1.2410752000000001E-2</v>
      </c>
      <c r="X960" s="40">
        <f t="shared" si="142"/>
        <v>2.0716788E-4</v>
      </c>
      <c r="Y960" s="40">
        <f t="shared" si="142"/>
        <v>0.79471333600000005</v>
      </c>
      <c r="Z960" s="40">
        <f t="shared" si="142"/>
        <v>1.67422976E-4</v>
      </c>
      <c r="AA960" s="40"/>
      <c r="AB960" s="40"/>
      <c r="AC960" s="40"/>
      <c r="AD960" s="40"/>
      <c r="AE960" s="40"/>
      <c r="AF960" s="40"/>
      <c r="AG960" s="40"/>
      <c r="AH960" s="40"/>
      <c r="AI960" s="40"/>
      <c r="AJ960" s="40"/>
      <c r="AK960" s="40"/>
      <c r="AL960" s="40"/>
      <c r="AM960" s="40"/>
      <c r="AN960" s="40"/>
      <c r="AO960" s="40"/>
      <c r="AP960" s="40"/>
      <c r="AQ960" s="40"/>
      <c r="AR960" s="40"/>
      <c r="AS960" s="40"/>
      <c r="AT960" s="40"/>
      <c r="AU960" s="40"/>
      <c r="AV960" s="313">
        <f t="shared" si="128"/>
        <v>4.6030243999999998E-2</v>
      </c>
      <c r="AW960" s="317"/>
      <c r="AX960" s="317"/>
      <c r="AY960" s="313">
        <f t="shared" si="129"/>
        <v>0.89488392000000005</v>
      </c>
      <c r="AZ960" s="40"/>
      <c r="BA960" s="40"/>
      <c r="BB960" s="40"/>
      <c r="BC960" s="313">
        <f t="shared" si="130"/>
        <v>1.4279450400000001E-4</v>
      </c>
      <c r="BD960" s="313">
        <f t="shared" si="130"/>
        <v>5.1840037600000008E-6</v>
      </c>
      <c r="BE960" s="313">
        <f t="shared" si="130"/>
        <v>0.10821268000000001</v>
      </c>
      <c r="BF960" s="40"/>
      <c r="BG960" s="40"/>
      <c r="BH960" s="40"/>
      <c r="BI960" s="40"/>
      <c r="BJ960" s="40"/>
      <c r="BK960" s="40"/>
      <c r="BL960" s="62">
        <v>0</v>
      </c>
      <c r="BM960" s="275">
        <v>3</v>
      </c>
      <c r="BN960" s="62">
        <v>0.03</v>
      </c>
      <c r="BO960" s="33" t="s">
        <v>600</v>
      </c>
      <c r="BP960" s="33" t="s">
        <v>604</v>
      </c>
    </row>
    <row r="961" spans="1:68">
      <c r="A961" s="33" t="str">
        <f>Database_Productkaarten[[#This Row],[Product]]&amp;", "&amp;Database_Productkaarten[[#This Row],[Levensfase]]</f>
        <v>Opsluitband 80x200, C4</v>
      </c>
      <c r="B961" t="s">
        <v>603</v>
      </c>
      <c r="C961" t="s">
        <v>55</v>
      </c>
      <c r="D961" s="33" t="s">
        <v>599</v>
      </c>
      <c r="E961" s="33" t="s">
        <v>389</v>
      </c>
      <c r="F961" s="33" t="s">
        <v>86</v>
      </c>
      <c r="G961" s="33">
        <v>1</v>
      </c>
      <c r="H961" s="33">
        <v>0.2</v>
      </c>
      <c r="I961" s="33">
        <v>0.08</v>
      </c>
      <c r="L961" s="33">
        <v>2.4</v>
      </c>
      <c r="M961" s="33">
        <f t="shared" si="136"/>
        <v>3.6400000000000002E-2</v>
      </c>
      <c r="N961" s="41">
        <f t="shared" si="134"/>
        <v>2.6400000000000002E-4</v>
      </c>
      <c r="O961" s="33">
        <v>25</v>
      </c>
      <c r="P961" s="40">
        <f t="shared" ref="P961:Z961" si="143">P931*0.8</f>
        <v>2.1901364800000001E-9</v>
      </c>
      <c r="Q961" s="40">
        <f t="shared" si="143"/>
        <v>2.6114009599999999E-5</v>
      </c>
      <c r="R961" s="40">
        <f t="shared" si="143"/>
        <v>1.91889632E-3</v>
      </c>
      <c r="S961" s="40">
        <f t="shared" si="143"/>
        <v>6.3512447200000002E-10</v>
      </c>
      <c r="T961" s="40">
        <f t="shared" si="143"/>
        <v>2.03350288E-6</v>
      </c>
      <c r="U961" s="40">
        <f t="shared" si="143"/>
        <v>1.4179481600000001E-5</v>
      </c>
      <c r="V961" s="40">
        <f t="shared" si="143"/>
        <v>2.6686098400000003E-6</v>
      </c>
      <c r="W961" s="40">
        <f t="shared" si="143"/>
        <v>7.823280000000001E-4</v>
      </c>
      <c r="X961" s="40">
        <f t="shared" si="143"/>
        <v>1.9453463200000001E-5</v>
      </c>
      <c r="Y961" s="40">
        <f t="shared" si="143"/>
        <v>6.6907947999999995E-2</v>
      </c>
      <c r="Z961" s="40">
        <f t="shared" si="143"/>
        <v>2.31691256E-6</v>
      </c>
      <c r="AA961" s="40"/>
      <c r="AB961" s="40"/>
      <c r="AC961" s="40"/>
      <c r="AD961" s="40"/>
      <c r="AE961" s="40"/>
      <c r="AF961" s="40"/>
      <c r="AG961" s="40"/>
      <c r="AH961" s="40"/>
      <c r="AI961" s="40"/>
      <c r="AJ961" s="40"/>
      <c r="AK961" s="40"/>
      <c r="AL961" s="40"/>
      <c r="AM961" s="40"/>
      <c r="AN961" s="40"/>
      <c r="AO961" s="40"/>
      <c r="AP961" s="40"/>
      <c r="AQ961" s="40"/>
      <c r="AR961" s="40"/>
      <c r="AS961" s="40"/>
      <c r="AT961" s="40"/>
      <c r="AU961" s="40"/>
      <c r="AV961" s="313">
        <f t="shared" si="128"/>
        <v>1.3987792000000002E-3</v>
      </c>
      <c r="AW961" s="317"/>
      <c r="AX961" s="317"/>
      <c r="AY961" s="313">
        <f t="shared" si="129"/>
        <v>5.8333991200000004E-2</v>
      </c>
      <c r="AZ961" s="40"/>
      <c r="BA961" s="40"/>
      <c r="BB961" s="40"/>
      <c r="BC961" s="313">
        <f t="shared" si="130"/>
        <v>5.8793215200000009E-5</v>
      </c>
      <c r="BD961" s="313">
        <f t="shared" si="130"/>
        <v>3.9625848800000005E-7</v>
      </c>
      <c r="BE961" s="313">
        <f t="shared" si="130"/>
        <v>0.35908395999999998</v>
      </c>
      <c r="BF961" s="40"/>
      <c r="BG961" s="40"/>
      <c r="BH961" s="40"/>
      <c r="BI961" s="40"/>
      <c r="BJ961" s="40"/>
      <c r="BK961" s="40"/>
      <c r="BL961" s="62">
        <v>0</v>
      </c>
      <c r="BM961" s="275">
        <v>3</v>
      </c>
      <c r="BN961" s="62">
        <v>0.03</v>
      </c>
      <c r="BO961" s="33" t="s">
        <v>600</v>
      </c>
      <c r="BP961" s="33" t="s">
        <v>604</v>
      </c>
    </row>
    <row r="962" spans="1:68">
      <c r="A962" s="33" t="str">
        <f>Database_Productkaarten[[#This Row],[Product]]&amp;", "&amp;Database_Productkaarten[[#This Row],[Levensfase]]</f>
        <v>Opsluitband 80x200, D</v>
      </c>
      <c r="B962" s="33" t="str">
        <f>B963</f>
        <v>Opsluitband 80x200</v>
      </c>
      <c r="C962" s="33" t="str">
        <f>C963</f>
        <v>Elementenverhardingen</v>
      </c>
      <c r="D962" s="33" t="str">
        <f>D963</f>
        <v>Opsluitband</v>
      </c>
      <c r="E962" s="33" t="str">
        <f>E963</f>
        <v>m1</v>
      </c>
      <c r="F962" s="33" t="s">
        <v>89</v>
      </c>
      <c r="G962" s="33">
        <f t="shared" ref="G962:M962" si="144">G963</f>
        <v>1</v>
      </c>
      <c r="H962" s="33">
        <f t="shared" si="144"/>
        <v>0.2</v>
      </c>
      <c r="I962" s="33">
        <f t="shared" si="144"/>
        <v>0.08</v>
      </c>
      <c r="L962" s="33">
        <f t="shared" si="144"/>
        <v>2.4</v>
      </c>
      <c r="M962" s="45">
        <f t="shared" si="144"/>
        <v>3.6400000000000002E-2</v>
      </c>
      <c r="N962" s="41">
        <f t="shared" si="134"/>
        <v>-1.8888000000000002E-2</v>
      </c>
      <c r="O962" s="33">
        <v>25</v>
      </c>
      <c r="P962" s="40">
        <f>SUM(P963:P964)</f>
        <v>0</v>
      </c>
      <c r="Q962" s="40">
        <f>SUM(Q963:Q964)</f>
        <v>0</v>
      </c>
      <c r="R962" s="40">
        <f>SUM(R963:R964)</f>
        <v>0</v>
      </c>
      <c r="S962" s="40">
        <f t="shared" ref="S962:BK962" si="145">SUM(S963:S964)</f>
        <v>0</v>
      </c>
      <c r="T962" s="40">
        <f t="shared" si="145"/>
        <v>0</v>
      </c>
      <c r="U962" s="40">
        <f t="shared" si="145"/>
        <v>0</v>
      </c>
      <c r="V962" s="40">
        <f t="shared" si="145"/>
        <v>0</v>
      </c>
      <c r="W962" s="40">
        <f t="shared" si="145"/>
        <v>0</v>
      </c>
      <c r="X962" s="40">
        <f t="shared" si="145"/>
        <v>0</v>
      </c>
      <c r="Y962" s="40">
        <f t="shared" si="145"/>
        <v>0</v>
      </c>
      <c r="Z962" s="40">
        <f t="shared" si="145"/>
        <v>0</v>
      </c>
      <c r="AA962" s="40">
        <f t="shared" si="145"/>
        <v>0</v>
      </c>
      <c r="AB962" s="40">
        <f t="shared" si="145"/>
        <v>0</v>
      </c>
      <c r="AC962" s="40">
        <f t="shared" si="145"/>
        <v>0</v>
      </c>
      <c r="AD962" s="40">
        <f t="shared" si="145"/>
        <v>0</v>
      </c>
      <c r="AE962" s="40">
        <f t="shared" si="145"/>
        <v>0</v>
      </c>
      <c r="AF962" s="40">
        <f t="shared" si="145"/>
        <v>0</v>
      </c>
      <c r="AG962" s="40">
        <f t="shared" si="145"/>
        <v>0</v>
      </c>
      <c r="AH962" s="40">
        <f t="shared" si="145"/>
        <v>0</v>
      </c>
      <c r="AI962" s="40">
        <f t="shared" si="145"/>
        <v>0</v>
      </c>
      <c r="AJ962" s="40">
        <f t="shared" si="145"/>
        <v>0</v>
      </c>
      <c r="AK962" s="40">
        <f t="shared" si="145"/>
        <v>0</v>
      </c>
      <c r="AL962" s="40">
        <f t="shared" si="145"/>
        <v>0</v>
      </c>
      <c r="AM962" s="40">
        <f t="shared" si="145"/>
        <v>0</v>
      </c>
      <c r="AN962" s="40">
        <f t="shared" si="145"/>
        <v>0</v>
      </c>
      <c r="AO962" s="40">
        <f t="shared" si="145"/>
        <v>0</v>
      </c>
      <c r="AP962" s="40">
        <f t="shared" si="145"/>
        <v>0</v>
      </c>
      <c r="AQ962" s="40">
        <f t="shared" si="145"/>
        <v>0</v>
      </c>
      <c r="AR962" s="40">
        <f t="shared" si="145"/>
        <v>0</v>
      </c>
      <c r="AS962" s="40">
        <f t="shared" si="145"/>
        <v>0</v>
      </c>
      <c r="AT962" s="40">
        <f t="shared" si="145"/>
        <v>0</v>
      </c>
      <c r="AU962" s="40">
        <f t="shared" si="145"/>
        <v>0</v>
      </c>
      <c r="AV962" s="313">
        <f t="shared" si="128"/>
        <v>-0.11600654399999999</v>
      </c>
      <c r="AW962" s="317">
        <f t="shared" si="145"/>
        <v>0</v>
      </c>
      <c r="AX962" s="317">
        <f t="shared" si="145"/>
        <v>0</v>
      </c>
      <c r="AY962" s="313">
        <f t="shared" si="129"/>
        <v>-1.8982636800000003</v>
      </c>
      <c r="AZ962" s="40">
        <f t="shared" si="145"/>
        <v>0</v>
      </c>
      <c r="BA962" s="40">
        <f t="shared" si="145"/>
        <v>0</v>
      </c>
      <c r="BB962" s="40">
        <f t="shared" si="145"/>
        <v>0</v>
      </c>
      <c r="BC962" s="313">
        <f t="shared" si="130"/>
        <v>-4.5497778400000001E-2</v>
      </c>
      <c r="BD962" s="313">
        <f t="shared" si="130"/>
        <v>-1.0155709600000001E-5</v>
      </c>
      <c r="BE962" s="313">
        <f t="shared" si="130"/>
        <v>-1.8210280000000002E-2</v>
      </c>
      <c r="BF962" s="40">
        <f t="shared" si="145"/>
        <v>0</v>
      </c>
      <c r="BG962" s="40">
        <f t="shared" si="145"/>
        <v>0</v>
      </c>
      <c r="BH962" s="40">
        <f t="shared" si="145"/>
        <v>0</v>
      </c>
      <c r="BI962" s="40">
        <f t="shared" si="145"/>
        <v>0</v>
      </c>
      <c r="BJ962" s="40">
        <f t="shared" si="145"/>
        <v>0</v>
      </c>
      <c r="BK962" s="40">
        <f t="shared" si="145"/>
        <v>0</v>
      </c>
      <c r="BL962" s="62">
        <f>BL963</f>
        <v>0</v>
      </c>
      <c r="BM962" s="275">
        <f>BM963</f>
        <v>3</v>
      </c>
      <c r="BN962" s="62">
        <v>0.03</v>
      </c>
      <c r="BO962" s="33" t="str">
        <f>BO963</f>
        <v>NMD Opsluitband 100x200x1000mm grijs</v>
      </c>
    </row>
    <row r="963" spans="1:68">
      <c r="A963" s="33" t="str">
        <f>Database_Productkaarten[[#This Row],[Product]]&amp;", "&amp;Database_Productkaarten[[#This Row],[Levensfase]]</f>
        <v>Opsluitband 80x200, D1</v>
      </c>
      <c r="B963" t="s">
        <v>603</v>
      </c>
      <c r="C963" t="s">
        <v>55</v>
      </c>
      <c r="D963" s="33" t="s">
        <v>599</v>
      </c>
      <c r="E963" s="33" t="s">
        <v>389</v>
      </c>
      <c r="F963" s="33" t="s">
        <v>87</v>
      </c>
      <c r="G963" s="33">
        <v>1</v>
      </c>
      <c r="H963" s="33">
        <v>0.2</v>
      </c>
      <c r="I963" s="33">
        <v>0.08</v>
      </c>
      <c r="L963" s="33">
        <v>2.4</v>
      </c>
      <c r="M963" s="33">
        <f>M933*0.8</f>
        <v>3.6400000000000002E-2</v>
      </c>
      <c r="N963" s="41">
        <f t="shared" si="134"/>
        <v>0</v>
      </c>
      <c r="O963" s="33">
        <v>25</v>
      </c>
      <c r="P963" s="40">
        <f t="shared" ref="P963:Z963" si="146">P933*0.8</f>
        <v>0</v>
      </c>
      <c r="Q963" s="40">
        <f t="shared" si="146"/>
        <v>0</v>
      </c>
      <c r="R963" s="40">
        <f t="shared" si="146"/>
        <v>0</v>
      </c>
      <c r="S963" s="40">
        <f t="shared" si="146"/>
        <v>0</v>
      </c>
      <c r="T963" s="40">
        <f t="shared" si="146"/>
        <v>0</v>
      </c>
      <c r="U963" s="40">
        <f t="shared" si="146"/>
        <v>0</v>
      </c>
      <c r="V963" s="40">
        <f t="shared" si="146"/>
        <v>0</v>
      </c>
      <c r="W963" s="40">
        <f t="shared" si="146"/>
        <v>0</v>
      </c>
      <c r="X963" s="40">
        <f t="shared" si="146"/>
        <v>0</v>
      </c>
      <c r="Y963" s="40">
        <f t="shared" si="146"/>
        <v>0</v>
      </c>
      <c r="Z963" s="40">
        <f t="shared" si="146"/>
        <v>0</v>
      </c>
      <c r="AA963" s="40"/>
      <c r="AB963" s="40"/>
      <c r="AC963" s="40"/>
      <c r="AD963" s="40"/>
      <c r="AE963" s="40"/>
      <c r="AF963" s="40"/>
      <c r="AG963" s="40"/>
      <c r="AH963" s="40"/>
      <c r="AI963" s="40"/>
      <c r="AJ963" s="40"/>
      <c r="AK963" s="40"/>
      <c r="AL963" s="40"/>
      <c r="AM963" s="40"/>
      <c r="AN963" s="40"/>
      <c r="AO963" s="40"/>
      <c r="AP963" s="40"/>
      <c r="AQ963" s="40"/>
      <c r="AR963" s="40"/>
      <c r="AS963" s="40"/>
      <c r="AT963" s="40"/>
      <c r="AU963" s="40"/>
      <c r="AV963" s="313">
        <f t="shared" si="128"/>
        <v>0</v>
      </c>
      <c r="AW963" s="317"/>
      <c r="AX963" s="317"/>
      <c r="AY963" s="313">
        <f t="shared" si="129"/>
        <v>0</v>
      </c>
      <c r="AZ963" s="40"/>
      <c r="BA963" s="40"/>
      <c r="BB963" s="40"/>
      <c r="BC963" s="313">
        <f t="shared" si="130"/>
        <v>0</v>
      </c>
      <c r="BD963" s="313">
        <f t="shared" si="130"/>
        <v>0</v>
      </c>
      <c r="BE963" s="313">
        <f t="shared" si="130"/>
        <v>0</v>
      </c>
      <c r="BF963" s="40"/>
      <c r="BG963" s="40"/>
      <c r="BH963" s="40"/>
      <c r="BI963" s="40"/>
      <c r="BJ963" s="40"/>
      <c r="BK963" s="40"/>
      <c r="BL963" s="62">
        <v>0</v>
      </c>
      <c r="BM963" s="275">
        <v>3</v>
      </c>
      <c r="BN963" s="62">
        <v>0.03</v>
      </c>
      <c r="BO963" s="33" t="s">
        <v>600</v>
      </c>
      <c r="BP963" s="33" t="s">
        <v>604</v>
      </c>
    </row>
    <row r="964" spans="1:68">
      <c r="A964" s="33" t="str">
        <f>Database_Productkaarten[[#This Row],[Product]]&amp;", "&amp;Database_Productkaarten[[#This Row],[Levensfase]]</f>
        <v>Opsluitband 80x200, D2</v>
      </c>
      <c r="B964" t="s">
        <v>603</v>
      </c>
      <c r="C964" t="s">
        <v>55</v>
      </c>
      <c r="D964" s="33" t="s">
        <v>599</v>
      </c>
      <c r="E964" s="33" t="s">
        <v>389</v>
      </c>
      <c r="F964" s="33" t="s">
        <v>88</v>
      </c>
      <c r="G964" s="33">
        <v>1</v>
      </c>
      <c r="H964" s="33">
        <v>0.2</v>
      </c>
      <c r="I964" s="33">
        <v>0.08</v>
      </c>
      <c r="L964" s="33">
        <v>2.4</v>
      </c>
      <c r="M964" s="33">
        <f>M934*0.8</f>
        <v>3.6400000000000002E-2</v>
      </c>
      <c r="N964" s="41">
        <f t="shared" si="134"/>
        <v>0</v>
      </c>
      <c r="O964" s="33">
        <v>25</v>
      </c>
      <c r="P964" s="40">
        <f t="shared" ref="P964:Z964" si="147">P934*0.8</f>
        <v>0</v>
      </c>
      <c r="Q964" s="40">
        <f t="shared" si="147"/>
        <v>0</v>
      </c>
      <c r="R964" s="40">
        <f t="shared" si="147"/>
        <v>0</v>
      </c>
      <c r="S964" s="40">
        <f t="shared" si="147"/>
        <v>0</v>
      </c>
      <c r="T964" s="40">
        <f t="shared" si="147"/>
        <v>0</v>
      </c>
      <c r="U964" s="40">
        <f t="shared" si="147"/>
        <v>0</v>
      </c>
      <c r="V964" s="40">
        <f t="shared" si="147"/>
        <v>0</v>
      </c>
      <c r="W964" s="40">
        <f t="shared" si="147"/>
        <v>0</v>
      </c>
      <c r="X964" s="40">
        <f t="shared" si="147"/>
        <v>0</v>
      </c>
      <c r="Y964" s="40">
        <f t="shared" si="147"/>
        <v>0</v>
      </c>
      <c r="Z964" s="40">
        <f t="shared" si="147"/>
        <v>0</v>
      </c>
      <c r="AA964" s="40"/>
      <c r="AB964" s="40"/>
      <c r="AC964" s="40"/>
      <c r="AD964" s="40"/>
      <c r="AE964" s="40"/>
      <c r="AF964" s="40"/>
      <c r="AG964" s="40"/>
      <c r="AH964" s="40"/>
      <c r="AI964" s="40"/>
      <c r="AJ964" s="40"/>
      <c r="AK964" s="40"/>
      <c r="AL964" s="40"/>
      <c r="AM964" s="40"/>
      <c r="AN964" s="40"/>
      <c r="AO964" s="40"/>
      <c r="AP964" s="40"/>
      <c r="AQ964" s="40"/>
      <c r="AR964" s="40"/>
      <c r="AS964" s="40"/>
      <c r="AT964" s="40"/>
      <c r="AU964" s="40"/>
      <c r="AV964" s="313">
        <f t="shared" si="128"/>
        <v>0</v>
      </c>
      <c r="AW964" s="317"/>
      <c r="AX964" s="317"/>
      <c r="AY964" s="313">
        <f t="shared" si="129"/>
        <v>0</v>
      </c>
      <c r="AZ964" s="40"/>
      <c r="BA964" s="40"/>
      <c r="BB964" s="40"/>
      <c r="BC964" s="313">
        <f t="shared" si="130"/>
        <v>0</v>
      </c>
      <c r="BD964" s="313">
        <f t="shared" si="130"/>
        <v>0</v>
      </c>
      <c r="BE964" s="313">
        <f t="shared" si="130"/>
        <v>0</v>
      </c>
      <c r="BF964" s="40"/>
      <c r="BG964" s="40"/>
      <c r="BH964" s="40"/>
      <c r="BI964" s="40"/>
      <c r="BJ964" s="40"/>
      <c r="BK964" s="40"/>
      <c r="BL964" s="62">
        <v>0</v>
      </c>
      <c r="BM964" s="275">
        <v>3</v>
      </c>
      <c r="BN964" s="62">
        <v>0.03</v>
      </c>
      <c r="BO964" s="33" t="s">
        <v>600</v>
      </c>
      <c r="BP964" s="33" t="s">
        <v>604</v>
      </c>
    </row>
    <row r="965" spans="1:68">
      <c r="A965" s="33" t="str">
        <f>Database_Productkaarten[[#This Row],[Product]]&amp;", "&amp;Database_Productkaarten[[#This Row],[Levensfase]]</f>
        <v>Opsluitband 80x200 (hergebruik), Totaal</v>
      </c>
      <c r="B965" t="s">
        <v>605</v>
      </c>
      <c r="C965" t="s">
        <v>55</v>
      </c>
      <c r="D965" s="33" t="s">
        <v>599</v>
      </c>
      <c r="E965" s="33" t="s">
        <v>389</v>
      </c>
      <c r="F965" s="33" t="s">
        <v>90</v>
      </c>
      <c r="G965" s="33">
        <v>1</v>
      </c>
      <c r="H965" s="33">
        <v>0.2</v>
      </c>
      <c r="I965" s="33">
        <v>0.08</v>
      </c>
      <c r="L965" s="33">
        <v>2.4</v>
      </c>
      <c r="M965" s="33">
        <f t="shared" ref="M965:M979" si="148">M935*0.8</f>
        <v>3.6400000000000002E-2</v>
      </c>
      <c r="N965" s="41">
        <f>SUM(N969:N977)</f>
        <v>0.29071440000000004</v>
      </c>
      <c r="O965" s="33">
        <v>25</v>
      </c>
      <c r="P965" s="163">
        <f t="shared" ref="P965:Z965" si="149">SUM(P969:P977)</f>
        <v>3.7949492430400006E-6</v>
      </c>
      <c r="Q965" s="163">
        <f t="shared" si="149"/>
        <v>1.6104429417600003E-2</v>
      </c>
      <c r="R965" s="163">
        <f t="shared" si="149"/>
        <v>2.6155054555200001</v>
      </c>
      <c r="S965" s="163">
        <f t="shared" si="149"/>
        <v>3.7845689415200003E-7</v>
      </c>
      <c r="T965" s="163">
        <f t="shared" si="149"/>
        <v>1.6987538602400002E-3</v>
      </c>
      <c r="U965" s="163">
        <f t="shared" si="149"/>
        <v>1.30945481432E-2</v>
      </c>
      <c r="V965" s="163">
        <f t="shared" si="149"/>
        <v>2.7925137074400002E-3</v>
      </c>
      <c r="W965" s="163">
        <f t="shared" si="149"/>
        <v>0.80261285096000001</v>
      </c>
      <c r="X965" s="163">
        <f t="shared" si="149"/>
        <v>1.8002997626400001E-2</v>
      </c>
      <c r="Y965" s="163">
        <f t="shared" si="149"/>
        <v>65.809047587999999</v>
      </c>
      <c r="Z965" s="163">
        <f t="shared" si="149"/>
        <v>3.2753600965599997E-3</v>
      </c>
      <c r="AA965" s="40"/>
      <c r="AB965" s="40"/>
      <c r="AC965" s="40"/>
      <c r="AD965" s="40"/>
      <c r="AE965" s="40"/>
      <c r="AF965" s="40"/>
      <c r="AG965" s="40"/>
      <c r="AH965" s="40"/>
      <c r="AI965" s="40"/>
      <c r="AJ965" s="40"/>
      <c r="AK965" s="40"/>
      <c r="AL965" s="40"/>
      <c r="AM965" s="40"/>
      <c r="AN965" s="40"/>
      <c r="AO965" s="40"/>
      <c r="AP965" s="40"/>
      <c r="AQ965" s="40"/>
      <c r="AR965" s="40"/>
      <c r="AS965" s="40"/>
      <c r="AT965" s="40"/>
      <c r="AU965" s="40"/>
      <c r="AV965" s="163">
        <f>SUM(AV969:AV977)</f>
        <v>0.87280380832000004</v>
      </c>
      <c r="AW965" s="40"/>
      <c r="AX965" s="40"/>
      <c r="AY965" s="163">
        <f>SUM(AY969:AY977)</f>
        <v>35.923286647200001</v>
      </c>
      <c r="AZ965" s="40"/>
      <c r="BA965" s="40"/>
      <c r="BB965" s="40"/>
      <c r="BC965" s="163">
        <f t="shared" ref="BC965:BE965" si="150">SUM(BC969:BC977)</f>
        <v>4.9730597718400008E-2</v>
      </c>
      <c r="BD965" s="163">
        <f t="shared" si="150"/>
        <v>0.31181313103992803</v>
      </c>
      <c r="BE965" s="163">
        <f t="shared" si="150"/>
        <v>1.4796589883519999</v>
      </c>
      <c r="BF965" s="40"/>
      <c r="BG965" s="40"/>
      <c r="BH965" s="40"/>
      <c r="BI965" s="40"/>
      <c r="BJ965" s="40"/>
      <c r="BK965" s="40"/>
      <c r="BL965" s="62">
        <v>1</v>
      </c>
      <c r="BM965" s="275">
        <v>3</v>
      </c>
      <c r="BN965" s="62">
        <v>0.03</v>
      </c>
      <c r="BO965" s="33" t="s">
        <v>600</v>
      </c>
      <c r="BP965" s="33" t="s">
        <v>602</v>
      </c>
    </row>
    <row r="966" spans="1:68">
      <c r="A966" s="33" t="str">
        <f>Database_Productkaarten[[#This Row],[Product]]&amp;", "&amp;Database_Productkaarten[[#This Row],[Levensfase]]</f>
        <v>Opsluitband 80x200 (hergebruik), A1</v>
      </c>
      <c r="B966" t="s">
        <v>605</v>
      </c>
      <c r="C966" t="s">
        <v>55</v>
      </c>
      <c r="D966" s="33" t="s">
        <v>599</v>
      </c>
      <c r="E966" s="33" t="s">
        <v>389</v>
      </c>
      <c r="F966" s="33" t="s">
        <v>74</v>
      </c>
      <c r="G966" s="33">
        <v>1</v>
      </c>
      <c r="H966" s="33">
        <v>0.2</v>
      </c>
      <c r="I966" s="33">
        <v>0.08</v>
      </c>
      <c r="L966" s="33">
        <v>2.4</v>
      </c>
      <c r="M966" s="33">
        <f t="shared" si="148"/>
        <v>3.6400000000000002E-2</v>
      </c>
      <c r="N966" s="41">
        <v>0</v>
      </c>
      <c r="O966" s="33">
        <v>25</v>
      </c>
      <c r="P966" s="163">
        <v>0</v>
      </c>
      <c r="Q966" s="163">
        <v>0</v>
      </c>
      <c r="R966" s="163">
        <v>0</v>
      </c>
      <c r="S966" s="163">
        <v>0</v>
      </c>
      <c r="T966" s="163">
        <v>0</v>
      </c>
      <c r="U966" s="163">
        <v>0</v>
      </c>
      <c r="V966" s="163">
        <v>0</v>
      </c>
      <c r="W966" s="163">
        <v>0</v>
      </c>
      <c r="X966" s="163">
        <v>0</v>
      </c>
      <c r="Y966" s="163">
        <v>0</v>
      </c>
      <c r="Z966" s="163">
        <v>0</v>
      </c>
      <c r="AA966" s="40"/>
      <c r="AB966" s="40"/>
      <c r="AC966" s="40"/>
      <c r="AD966" s="40"/>
      <c r="AE966" s="40"/>
      <c r="AF966" s="40"/>
      <c r="AG966" s="40"/>
      <c r="AH966" s="40"/>
      <c r="AI966" s="40"/>
      <c r="AJ966" s="40"/>
      <c r="AK966" s="40"/>
      <c r="AL966" s="40"/>
      <c r="AM966" s="40"/>
      <c r="AN966" s="40"/>
      <c r="AO966" s="40"/>
      <c r="AP966" s="40"/>
      <c r="AQ966" s="40"/>
      <c r="AR966" s="40"/>
      <c r="AS966" s="40"/>
      <c r="AT966" s="40"/>
      <c r="AU966" s="40"/>
      <c r="AV966" s="163">
        <v>0</v>
      </c>
      <c r="AW966" s="40"/>
      <c r="AX966" s="40"/>
      <c r="AY966" s="163">
        <v>0</v>
      </c>
      <c r="AZ966" s="40"/>
      <c r="BA966" s="40"/>
      <c r="BB966" s="40"/>
      <c r="BC966" s="163">
        <v>0</v>
      </c>
      <c r="BD966" s="163">
        <v>0</v>
      </c>
      <c r="BE966" s="163">
        <v>0</v>
      </c>
      <c r="BF966" s="40"/>
      <c r="BG966" s="40"/>
      <c r="BH966" s="40"/>
      <c r="BI966" s="40"/>
      <c r="BJ966" s="40"/>
      <c r="BK966" s="40"/>
      <c r="BL966" s="62">
        <v>1</v>
      </c>
      <c r="BM966" s="275">
        <v>3</v>
      </c>
      <c r="BN966" s="62">
        <v>0.03</v>
      </c>
      <c r="BO966" s="33" t="s">
        <v>600</v>
      </c>
      <c r="BP966" s="33" t="s">
        <v>602</v>
      </c>
    </row>
    <row r="967" spans="1:68">
      <c r="A967" s="33" t="str">
        <f>Database_Productkaarten[[#This Row],[Product]]&amp;", "&amp;Database_Productkaarten[[#This Row],[Levensfase]]</f>
        <v>Opsluitband 80x200 (hergebruik), A2</v>
      </c>
      <c r="B967" t="s">
        <v>605</v>
      </c>
      <c r="C967" t="s">
        <v>55</v>
      </c>
      <c r="D967" s="33" t="s">
        <v>599</v>
      </c>
      <c r="E967" s="33" t="s">
        <v>389</v>
      </c>
      <c r="F967" s="33" t="s">
        <v>75</v>
      </c>
      <c r="G967" s="33">
        <v>1</v>
      </c>
      <c r="H967" s="33">
        <v>0.2</v>
      </c>
      <c r="I967" s="33">
        <v>0.08</v>
      </c>
      <c r="L967" s="33">
        <v>2.4</v>
      </c>
      <c r="M967" s="33">
        <f t="shared" si="148"/>
        <v>3.6400000000000002E-2</v>
      </c>
      <c r="N967" s="41">
        <v>0</v>
      </c>
      <c r="O967" s="33">
        <v>25</v>
      </c>
      <c r="P967" s="163">
        <v>0</v>
      </c>
      <c r="Q967" s="163">
        <v>0</v>
      </c>
      <c r="R967" s="163">
        <v>0</v>
      </c>
      <c r="S967" s="163">
        <v>0</v>
      </c>
      <c r="T967" s="163">
        <v>0</v>
      </c>
      <c r="U967" s="163">
        <v>0</v>
      </c>
      <c r="V967" s="163">
        <v>0</v>
      </c>
      <c r="W967" s="163">
        <v>0</v>
      </c>
      <c r="X967" s="163">
        <v>0</v>
      </c>
      <c r="Y967" s="163">
        <v>0</v>
      </c>
      <c r="Z967" s="163">
        <v>0</v>
      </c>
      <c r="AA967" s="40"/>
      <c r="AB967" s="40"/>
      <c r="AC967" s="40"/>
      <c r="AD967" s="40"/>
      <c r="AE967" s="40"/>
      <c r="AF967" s="40"/>
      <c r="AG967" s="40"/>
      <c r="AH967" s="40"/>
      <c r="AI967" s="40"/>
      <c r="AJ967" s="40"/>
      <c r="AK967" s="40"/>
      <c r="AL967" s="40"/>
      <c r="AM967" s="40"/>
      <c r="AN967" s="40"/>
      <c r="AO967" s="40"/>
      <c r="AP967" s="40"/>
      <c r="AQ967" s="40"/>
      <c r="AR967" s="40"/>
      <c r="AS967" s="40"/>
      <c r="AT967" s="40"/>
      <c r="AU967" s="40"/>
      <c r="AV967" s="163">
        <v>0</v>
      </c>
      <c r="AW967" s="40"/>
      <c r="AX967" s="40"/>
      <c r="AY967" s="163">
        <v>0</v>
      </c>
      <c r="AZ967" s="40"/>
      <c r="BA967" s="40"/>
      <c r="BB967" s="40"/>
      <c r="BC967" s="163">
        <v>0</v>
      </c>
      <c r="BD967" s="163">
        <v>0</v>
      </c>
      <c r="BE967" s="163">
        <v>0</v>
      </c>
      <c r="BF967" s="40"/>
      <c r="BG967" s="40"/>
      <c r="BH967" s="40"/>
      <c r="BI967" s="40"/>
      <c r="BJ967" s="40"/>
      <c r="BK967" s="40"/>
      <c r="BL967" s="62">
        <v>1</v>
      </c>
      <c r="BM967" s="275">
        <v>3</v>
      </c>
      <c r="BN967" s="62">
        <v>0.03</v>
      </c>
      <c r="BO967" s="33" t="s">
        <v>600</v>
      </c>
      <c r="BP967" s="33" t="s">
        <v>602</v>
      </c>
    </row>
    <row r="968" spans="1:68">
      <c r="A968" s="33" t="str">
        <f>Database_Productkaarten[[#This Row],[Product]]&amp;", "&amp;Database_Productkaarten[[#This Row],[Levensfase]]</f>
        <v>Opsluitband 80x200 (hergebruik), A3</v>
      </c>
      <c r="B968" t="s">
        <v>605</v>
      </c>
      <c r="C968" t="s">
        <v>55</v>
      </c>
      <c r="D968" s="33" t="s">
        <v>599</v>
      </c>
      <c r="E968" s="33" t="s">
        <v>389</v>
      </c>
      <c r="F968" s="33" t="s">
        <v>76</v>
      </c>
      <c r="G968" s="33">
        <v>1</v>
      </c>
      <c r="H968" s="33">
        <v>0.2</v>
      </c>
      <c r="I968" s="33">
        <v>0.08</v>
      </c>
      <c r="L968" s="33">
        <v>2.4</v>
      </c>
      <c r="M968" s="33">
        <f t="shared" si="148"/>
        <v>3.6400000000000002E-2</v>
      </c>
      <c r="N968" s="41">
        <v>0</v>
      </c>
      <c r="O968" s="33">
        <v>25</v>
      </c>
      <c r="P968" s="163">
        <v>0</v>
      </c>
      <c r="Q968" s="163">
        <v>0</v>
      </c>
      <c r="R968" s="163">
        <v>0</v>
      </c>
      <c r="S968" s="163">
        <v>0</v>
      </c>
      <c r="T968" s="163">
        <v>0</v>
      </c>
      <c r="U968" s="163">
        <v>0</v>
      </c>
      <c r="V968" s="163">
        <v>0</v>
      </c>
      <c r="W968" s="163">
        <v>0</v>
      </c>
      <c r="X968" s="163">
        <v>0</v>
      </c>
      <c r="Y968" s="163">
        <v>0</v>
      </c>
      <c r="Z968" s="163">
        <v>0</v>
      </c>
      <c r="AA968" s="40"/>
      <c r="AB968" s="40"/>
      <c r="AC968" s="40"/>
      <c r="AD968" s="40"/>
      <c r="AE968" s="40"/>
      <c r="AF968" s="40"/>
      <c r="AG968" s="40"/>
      <c r="AH968" s="40"/>
      <c r="AI968" s="40"/>
      <c r="AJ968" s="40"/>
      <c r="AK968" s="40"/>
      <c r="AL968" s="40"/>
      <c r="AM968" s="40"/>
      <c r="AN968" s="40"/>
      <c r="AO968" s="40"/>
      <c r="AP968" s="40"/>
      <c r="AQ968" s="40"/>
      <c r="AR968" s="40"/>
      <c r="AS968" s="40"/>
      <c r="AT968" s="40"/>
      <c r="AU968" s="40"/>
      <c r="AV968" s="163">
        <v>0</v>
      </c>
      <c r="AW968" s="40"/>
      <c r="AX968" s="40"/>
      <c r="AY968" s="163">
        <v>0</v>
      </c>
      <c r="AZ968" s="40"/>
      <c r="BA968" s="40"/>
      <c r="BB968" s="40"/>
      <c r="BC968" s="163">
        <v>0</v>
      </c>
      <c r="BD968" s="163">
        <v>0</v>
      </c>
      <c r="BE968" s="163">
        <v>0</v>
      </c>
      <c r="BF968" s="40"/>
      <c r="BG968" s="40"/>
      <c r="BH968" s="40"/>
      <c r="BI968" s="40"/>
      <c r="BJ968" s="40"/>
      <c r="BK968" s="40"/>
      <c r="BL968" s="62">
        <v>1</v>
      </c>
      <c r="BM968" s="275">
        <v>3</v>
      </c>
      <c r="BN968" s="62">
        <v>0.03</v>
      </c>
      <c r="BO968" s="33" t="s">
        <v>600</v>
      </c>
      <c r="BP968" s="33" t="s">
        <v>602</v>
      </c>
    </row>
    <row r="969" spans="1:68">
      <c r="A969" s="33" t="str">
        <f>Database_Productkaarten[[#This Row],[Product]]&amp;", "&amp;Database_Productkaarten[[#This Row],[Levensfase]]</f>
        <v>Opsluitband 80x200 (hergebruik), A1-A3</v>
      </c>
      <c r="B969" t="s">
        <v>605</v>
      </c>
      <c r="C969" s="33" t="str">
        <f>C968</f>
        <v>Elementenverhardingen</v>
      </c>
      <c r="D969" s="33" t="str">
        <f>D968</f>
        <v>Opsluitband</v>
      </c>
      <c r="E969" s="33" t="str">
        <f>E968</f>
        <v>m1</v>
      </c>
      <c r="F969" s="33" t="s">
        <v>77</v>
      </c>
      <c r="G969" s="33">
        <f>G968</f>
        <v>1</v>
      </c>
      <c r="H969" s="33">
        <f t="shared" ref="H969:I969" si="151">H968</f>
        <v>0.2</v>
      </c>
      <c r="I969" s="33">
        <f t="shared" si="151"/>
        <v>0.08</v>
      </c>
      <c r="L969" s="33">
        <v>2.4</v>
      </c>
      <c r="M969" s="33">
        <f t="shared" si="148"/>
        <v>3.6400000000000002E-2</v>
      </c>
      <c r="N969" s="41">
        <v>0</v>
      </c>
      <c r="O969" s="33">
        <v>25</v>
      </c>
      <c r="P969" s="163">
        <v>0</v>
      </c>
      <c r="Q969" s="163">
        <v>0</v>
      </c>
      <c r="R969" s="163">
        <v>0</v>
      </c>
      <c r="S969" s="163">
        <v>0</v>
      </c>
      <c r="T969" s="163">
        <v>0</v>
      </c>
      <c r="U969" s="163">
        <v>0</v>
      </c>
      <c r="V969" s="163">
        <v>0</v>
      </c>
      <c r="W969" s="163">
        <v>0</v>
      </c>
      <c r="X969" s="163">
        <v>0</v>
      </c>
      <c r="Y969" s="163">
        <v>0</v>
      </c>
      <c r="Z969" s="163">
        <v>0</v>
      </c>
      <c r="AA969" s="40"/>
      <c r="AB969" s="40"/>
      <c r="AC969" s="40"/>
      <c r="AD969" s="40"/>
      <c r="AE969" s="40"/>
      <c r="AF969" s="40"/>
      <c r="AG969" s="40"/>
      <c r="AH969" s="40"/>
      <c r="AI969" s="40"/>
      <c r="AJ969" s="40"/>
      <c r="AK969" s="40"/>
      <c r="AL969" s="40"/>
      <c r="AM969" s="40"/>
      <c r="AN969" s="40"/>
      <c r="AO969" s="40"/>
      <c r="AP969" s="40"/>
      <c r="AQ969" s="40"/>
      <c r="AR969" s="40"/>
      <c r="AS969" s="40"/>
      <c r="AT969" s="40"/>
      <c r="AU969" s="40"/>
      <c r="AV969" s="163">
        <v>0</v>
      </c>
      <c r="AW969" s="40"/>
      <c r="AX969" s="40"/>
      <c r="AY969" s="163">
        <v>0</v>
      </c>
      <c r="AZ969" s="40"/>
      <c r="BA969" s="40"/>
      <c r="BB969" s="40"/>
      <c r="BC969" s="163">
        <v>0</v>
      </c>
      <c r="BD969" s="163">
        <v>0</v>
      </c>
      <c r="BE969" s="163">
        <v>0</v>
      </c>
      <c r="BF969" s="40"/>
      <c r="BG969" s="40"/>
      <c r="BH969" s="40"/>
      <c r="BI969" s="40"/>
      <c r="BJ969" s="40"/>
      <c r="BK969" s="40"/>
      <c r="BL969" s="62">
        <v>1</v>
      </c>
      <c r="BM969" s="275">
        <v>3</v>
      </c>
      <c r="BN969" s="62">
        <v>0.03</v>
      </c>
      <c r="BO969" s="33" t="s">
        <v>600</v>
      </c>
      <c r="BP969" s="33" t="s">
        <v>602</v>
      </c>
    </row>
    <row r="970" spans="1:68">
      <c r="A970" s="33" t="str">
        <f>Database_Productkaarten[[#This Row],[Product]]&amp;", "&amp;Database_Productkaarten[[#This Row],[Levensfase]]</f>
        <v>Opsluitband 80x200 (hergebruik), A4</v>
      </c>
      <c r="B970" t="s">
        <v>605</v>
      </c>
      <c r="C970" t="s">
        <v>55</v>
      </c>
      <c r="D970" s="33" t="s">
        <v>599</v>
      </c>
      <c r="E970" s="33" t="s">
        <v>389</v>
      </c>
      <c r="F970" s="33" t="s">
        <v>78</v>
      </c>
      <c r="G970" s="33">
        <v>1</v>
      </c>
      <c r="H970" s="33">
        <v>0.2</v>
      </c>
      <c r="I970" s="33">
        <v>0.08</v>
      </c>
      <c r="L970" s="33">
        <v>2.4</v>
      </c>
      <c r="M970" s="33">
        <f t="shared" si="148"/>
        <v>3.6400000000000002E-2</v>
      </c>
      <c r="N970" s="41">
        <f>N955</f>
        <v>8.3840000000000012E-2</v>
      </c>
      <c r="O970" s="33">
        <v>25</v>
      </c>
      <c r="P970" s="163">
        <f t="shared" ref="P970:Z970" si="152">P955</f>
        <v>2.0178522400000002E-6</v>
      </c>
      <c r="Q970" s="163">
        <f t="shared" si="152"/>
        <v>5.2374044000000003E-3</v>
      </c>
      <c r="R970" s="163">
        <f t="shared" si="152"/>
        <v>0.70955404</v>
      </c>
      <c r="S970" s="163">
        <f t="shared" si="152"/>
        <v>1.30756808E-7</v>
      </c>
      <c r="T970" s="163">
        <f t="shared" si="152"/>
        <v>4.1880138400000004E-4</v>
      </c>
      <c r="U970" s="163">
        <f t="shared" si="152"/>
        <v>3.0762228799999999E-3</v>
      </c>
      <c r="V970" s="163">
        <f t="shared" si="152"/>
        <v>6.1300765600000003E-4</v>
      </c>
      <c r="W970" s="163">
        <f t="shared" si="152"/>
        <v>0.28387707200000001</v>
      </c>
      <c r="X970" s="163">
        <f t="shared" si="152"/>
        <v>8.3257328000000009E-3</v>
      </c>
      <c r="Y970" s="163">
        <f t="shared" si="152"/>
        <v>30.050036000000002</v>
      </c>
      <c r="Z970" s="163">
        <f t="shared" si="152"/>
        <v>1.00581288E-3</v>
      </c>
      <c r="AA970" s="40"/>
      <c r="AB970" s="40"/>
      <c r="AC970" s="40"/>
      <c r="AD970" s="40"/>
      <c r="AE970" s="40"/>
      <c r="AF970" s="40"/>
      <c r="AG970" s="40"/>
      <c r="AH970" s="40"/>
      <c r="AI970" s="40"/>
      <c r="AJ970" s="40"/>
      <c r="AK970" s="40"/>
      <c r="AL970" s="40"/>
      <c r="AM970" s="40"/>
      <c r="AN970" s="40"/>
      <c r="AO970" s="40"/>
      <c r="AP970" s="40"/>
      <c r="AQ970" s="40"/>
      <c r="AR970" s="40"/>
      <c r="AS970" s="40"/>
      <c r="AT970" s="40"/>
      <c r="AU970" s="40"/>
      <c r="AV970" s="163">
        <f>AV955</f>
        <v>0.149421952</v>
      </c>
      <c r="AW970" s="40"/>
      <c r="AX970" s="40"/>
      <c r="AY970" s="163">
        <f>AY955</f>
        <v>11.6758056</v>
      </c>
      <c r="AZ970" s="40"/>
      <c r="BA970" s="40"/>
      <c r="BB970" s="40"/>
      <c r="BC970" s="163">
        <f t="shared" ref="BC970:BE970" si="153">BC955</f>
        <v>2.0998644E-3</v>
      </c>
      <c r="BD970" s="163">
        <f t="shared" si="153"/>
        <v>8.0636248000000004E-5</v>
      </c>
      <c r="BE970" s="163">
        <f t="shared" si="153"/>
        <v>0.67113412000000006</v>
      </c>
      <c r="BF970" s="40"/>
      <c r="BG970" s="40"/>
      <c r="BH970" s="40"/>
      <c r="BI970" s="40"/>
      <c r="BJ970" s="40"/>
      <c r="BK970" s="40"/>
      <c r="BL970" s="62">
        <v>1</v>
      </c>
      <c r="BM970" s="275">
        <v>3</v>
      </c>
      <c r="BN970" s="62">
        <v>0.03</v>
      </c>
      <c r="BO970" s="33" t="s">
        <v>600</v>
      </c>
      <c r="BP970" s="33" t="s">
        <v>602</v>
      </c>
    </row>
    <row r="971" spans="1:68">
      <c r="A971" s="33" t="str">
        <f>Database_Productkaarten[[#This Row],[Product]]&amp;", "&amp;Database_Productkaarten[[#This Row],[Levensfase]]</f>
        <v>Opsluitband 80x200 (hergebruik), A5</v>
      </c>
      <c r="B971" t="s">
        <v>605</v>
      </c>
      <c r="C971" t="s">
        <v>55</v>
      </c>
      <c r="D971" s="33" t="s">
        <v>599</v>
      </c>
      <c r="E971" s="33" t="s">
        <v>389</v>
      </c>
      <c r="F971" s="33" t="s">
        <v>79</v>
      </c>
      <c r="G971" s="33">
        <v>1</v>
      </c>
      <c r="H971" s="33">
        <v>0.2</v>
      </c>
      <c r="I971" s="33">
        <v>0.08</v>
      </c>
      <c r="L971" s="33">
        <v>2.4</v>
      </c>
      <c r="M971" s="33">
        <f t="shared" si="148"/>
        <v>3.6400000000000002E-2</v>
      </c>
      <c r="N971" s="41">
        <f t="shared" ref="N971:N976" si="154">N956</f>
        <v>7.5248000000000009E-2</v>
      </c>
      <c r="O971" s="33">
        <v>25</v>
      </c>
      <c r="P971" s="163">
        <f t="shared" ref="P971:Z971" si="155">P956</f>
        <v>3.7652309600000005E-7</v>
      </c>
      <c r="Q971" s="163">
        <f t="shared" si="155"/>
        <v>3.9147749599999998E-3</v>
      </c>
      <c r="R971" s="163">
        <f t="shared" si="155"/>
        <v>0.64742035200000003</v>
      </c>
      <c r="S971" s="163">
        <f t="shared" si="155"/>
        <v>9.5420448000000014E-8</v>
      </c>
      <c r="T971" s="163">
        <f t="shared" si="155"/>
        <v>5.2477369600000001E-4</v>
      </c>
      <c r="U971" s="163">
        <f t="shared" si="155"/>
        <v>4.0310070400000004E-3</v>
      </c>
      <c r="V971" s="163">
        <f t="shared" si="155"/>
        <v>8.9260456000000001E-4</v>
      </c>
      <c r="W971" s="163">
        <f t="shared" si="155"/>
        <v>0.193121608</v>
      </c>
      <c r="X971" s="163">
        <f t="shared" si="155"/>
        <v>3.0463572800000002E-3</v>
      </c>
      <c r="Y971" s="163">
        <f t="shared" si="155"/>
        <v>10.877852000000001</v>
      </c>
      <c r="Z971" s="163">
        <f t="shared" si="155"/>
        <v>5.85754968E-4</v>
      </c>
      <c r="AA971" s="40"/>
      <c r="AB971" s="40"/>
      <c r="AC971" s="40"/>
      <c r="AD971" s="40"/>
      <c r="AE971" s="40"/>
      <c r="AF971" s="40"/>
      <c r="AG971" s="40"/>
      <c r="AH971" s="40"/>
      <c r="AI971" s="40"/>
      <c r="AJ971" s="40"/>
      <c r="AK971" s="40"/>
      <c r="AL971" s="40"/>
      <c r="AM971" s="40"/>
      <c r="AN971" s="40"/>
      <c r="AO971" s="40"/>
      <c r="AP971" s="40"/>
      <c r="AQ971" s="40"/>
      <c r="AR971" s="40"/>
      <c r="AS971" s="40"/>
      <c r="AT971" s="40"/>
      <c r="AU971" s="40"/>
      <c r="AV971" s="163">
        <f t="shared" ref="AV971:AV976" si="156">AV956</f>
        <v>0.16870488</v>
      </c>
      <c r="AW971" s="40"/>
      <c r="AX971" s="40"/>
      <c r="AY971" s="163">
        <f t="shared" ref="AY971:AY976" si="157">AY956</f>
        <v>8.7735680000000009</v>
      </c>
      <c r="AZ971" s="40"/>
      <c r="BA971" s="40"/>
      <c r="BB971" s="40"/>
      <c r="BC971" s="163">
        <f t="shared" ref="BC971:BE971" si="158">BC956</f>
        <v>1.0128558400000001E-2</v>
      </c>
      <c r="BD971" s="163">
        <f t="shared" si="158"/>
        <v>7.1960559199999996E-2</v>
      </c>
      <c r="BE971" s="163">
        <f t="shared" si="158"/>
        <v>6.1716064800000005E-2</v>
      </c>
      <c r="BF971" s="40"/>
      <c r="BG971" s="40"/>
      <c r="BH971" s="40"/>
      <c r="BI971" s="40"/>
      <c r="BJ971" s="40"/>
      <c r="BK971" s="40"/>
      <c r="BL971" s="62">
        <v>1</v>
      </c>
      <c r="BM971" s="275">
        <v>3</v>
      </c>
      <c r="BN971" s="62">
        <v>0.03</v>
      </c>
      <c r="BO971" s="33" t="s">
        <v>600</v>
      </c>
      <c r="BP971" s="33" t="s">
        <v>602</v>
      </c>
    </row>
    <row r="972" spans="1:68">
      <c r="A972" s="33" t="str">
        <f>Database_Productkaarten[[#This Row],[Product]]&amp;", "&amp;Database_Productkaarten[[#This Row],[Levensfase]]</f>
        <v>Opsluitband 80x200 (hergebruik), B1</v>
      </c>
      <c r="B972" t="s">
        <v>605</v>
      </c>
      <c r="C972" t="s">
        <v>55</v>
      </c>
      <c r="D972" s="33" t="s">
        <v>599</v>
      </c>
      <c r="E972" s="33" t="s">
        <v>389</v>
      </c>
      <c r="F972" s="33" t="s">
        <v>80</v>
      </c>
      <c r="G972" s="33">
        <v>1</v>
      </c>
      <c r="H972" s="33">
        <v>0.2</v>
      </c>
      <c r="I972" s="33">
        <v>0.08</v>
      </c>
      <c r="L972" s="33">
        <v>2.4</v>
      </c>
      <c r="M972" s="33">
        <f t="shared" si="148"/>
        <v>3.6400000000000002E-2</v>
      </c>
      <c r="N972" s="41">
        <f t="shared" si="154"/>
        <v>0</v>
      </c>
      <c r="O972" s="33">
        <v>25</v>
      </c>
      <c r="P972" s="163">
        <f t="shared" ref="P972:Z972" si="159">P957</f>
        <v>0</v>
      </c>
      <c r="Q972" s="163">
        <f t="shared" si="159"/>
        <v>0</v>
      </c>
      <c r="R972" s="163">
        <f t="shared" si="159"/>
        <v>0</v>
      </c>
      <c r="S972" s="163">
        <f t="shared" si="159"/>
        <v>0</v>
      </c>
      <c r="T972" s="163">
        <f t="shared" si="159"/>
        <v>0</v>
      </c>
      <c r="U972" s="163">
        <f t="shared" si="159"/>
        <v>0</v>
      </c>
      <c r="V972" s="163">
        <f t="shared" si="159"/>
        <v>0</v>
      </c>
      <c r="W972" s="163">
        <f t="shared" si="159"/>
        <v>0</v>
      </c>
      <c r="X972" s="163">
        <f t="shared" si="159"/>
        <v>0</v>
      </c>
      <c r="Y972" s="163">
        <f t="shared" si="159"/>
        <v>0</v>
      </c>
      <c r="Z972" s="163">
        <f t="shared" si="159"/>
        <v>0</v>
      </c>
      <c r="AA972" s="40"/>
      <c r="AB972" s="40"/>
      <c r="AC972" s="40"/>
      <c r="AD972" s="40"/>
      <c r="AE972" s="40"/>
      <c r="AF972" s="40"/>
      <c r="AG972" s="40"/>
      <c r="AH972" s="40"/>
      <c r="AI972" s="40"/>
      <c r="AJ972" s="40"/>
      <c r="AK972" s="40"/>
      <c r="AL972" s="40"/>
      <c r="AM972" s="40"/>
      <c r="AN972" s="40"/>
      <c r="AO972" s="40"/>
      <c r="AP972" s="40"/>
      <c r="AQ972" s="40"/>
      <c r="AR972" s="40"/>
      <c r="AS972" s="40"/>
      <c r="AT972" s="40"/>
      <c r="AU972" s="40"/>
      <c r="AV972" s="163">
        <f t="shared" si="156"/>
        <v>0</v>
      </c>
      <c r="AW972" s="40"/>
      <c r="AX972" s="40"/>
      <c r="AY972" s="163">
        <f t="shared" si="157"/>
        <v>0</v>
      </c>
      <c r="AZ972" s="40"/>
      <c r="BA972" s="40"/>
      <c r="BB972" s="40"/>
      <c r="BC972" s="163">
        <f t="shared" ref="BC972:BE972" si="160">BC957</f>
        <v>0</v>
      </c>
      <c r="BD972" s="163">
        <f t="shared" si="160"/>
        <v>0</v>
      </c>
      <c r="BE972" s="163">
        <f t="shared" si="160"/>
        <v>0</v>
      </c>
      <c r="BF972" s="40"/>
      <c r="BG972" s="40"/>
      <c r="BH972" s="40"/>
      <c r="BI972" s="40"/>
      <c r="BJ972" s="40"/>
      <c r="BK972" s="40"/>
      <c r="BL972" s="62">
        <v>1</v>
      </c>
      <c r="BM972" s="275">
        <v>3</v>
      </c>
      <c r="BN972" s="62">
        <v>0.03</v>
      </c>
      <c r="BO972" s="33" t="s">
        <v>600</v>
      </c>
      <c r="BP972" s="33" t="s">
        <v>602</v>
      </c>
    </row>
    <row r="973" spans="1:68">
      <c r="A973" s="33" t="str">
        <f>Database_Productkaarten[[#This Row],[Product]]&amp;", "&amp;Database_Productkaarten[[#This Row],[Levensfase]]</f>
        <v>Opsluitband 80x200 (hergebruik), C1</v>
      </c>
      <c r="B973" t="s">
        <v>605</v>
      </c>
      <c r="C973" t="s">
        <v>55</v>
      </c>
      <c r="D973" s="33" t="s">
        <v>599</v>
      </c>
      <c r="E973" s="33" t="s">
        <v>389</v>
      </c>
      <c r="F973" s="33" t="s">
        <v>83</v>
      </c>
      <c r="G973" s="33">
        <v>1</v>
      </c>
      <c r="H973" s="33">
        <v>0.2</v>
      </c>
      <c r="I973" s="33">
        <v>0.08</v>
      </c>
      <c r="L973" s="33">
        <v>2.4</v>
      </c>
      <c r="M973" s="33">
        <f t="shared" si="148"/>
        <v>3.6400000000000002E-2</v>
      </c>
      <c r="N973" s="41">
        <f t="shared" si="154"/>
        <v>6.2960000000000002E-2</v>
      </c>
      <c r="O973" s="33">
        <v>25</v>
      </c>
      <c r="P973" s="163">
        <f t="shared" ref="P973:Z973" si="161">P958</f>
        <v>1.5939542400000001E-7</v>
      </c>
      <c r="Q973" s="163">
        <f t="shared" si="161"/>
        <v>3.2840684000000004E-3</v>
      </c>
      <c r="R973" s="163">
        <f t="shared" si="161"/>
        <v>0.47597824</v>
      </c>
      <c r="S973" s="163">
        <f t="shared" si="161"/>
        <v>8.5734152000000001E-8</v>
      </c>
      <c r="T973" s="163">
        <f t="shared" si="161"/>
        <v>4.7977405600000008E-4</v>
      </c>
      <c r="U973" s="163">
        <f t="shared" si="161"/>
        <v>3.6014867999999999E-3</v>
      </c>
      <c r="V973" s="163">
        <f t="shared" si="161"/>
        <v>8.0644904000000016E-4</v>
      </c>
      <c r="W973" s="163">
        <f t="shared" si="161"/>
        <v>0.16849314400000001</v>
      </c>
      <c r="X973" s="163">
        <f t="shared" si="161"/>
        <v>2.3563595999999999E-3</v>
      </c>
      <c r="Y973" s="163">
        <f t="shared" si="161"/>
        <v>7.9876623200000001</v>
      </c>
      <c r="Z973" s="163">
        <f t="shared" si="161"/>
        <v>2.8154732799999998E-4</v>
      </c>
      <c r="AA973" s="40"/>
      <c r="AB973" s="40"/>
      <c r="AC973" s="40"/>
      <c r="AD973" s="40"/>
      <c r="AE973" s="40"/>
      <c r="AF973" s="40"/>
      <c r="AG973" s="40"/>
      <c r="AH973" s="40"/>
      <c r="AI973" s="40"/>
      <c r="AJ973" s="40"/>
      <c r="AK973" s="40"/>
      <c r="AL973" s="40"/>
      <c r="AM973" s="40"/>
      <c r="AN973" s="40"/>
      <c r="AO973" s="40"/>
      <c r="AP973" s="40"/>
      <c r="AQ973" s="40"/>
      <c r="AR973" s="40"/>
      <c r="AS973" s="40"/>
      <c r="AT973" s="40"/>
      <c r="AU973" s="40"/>
      <c r="AV973" s="163">
        <f t="shared" si="156"/>
        <v>3.9553738400000003E-2</v>
      </c>
      <c r="AW973" s="40"/>
      <c r="AX973" s="40"/>
      <c r="AY973" s="163">
        <f t="shared" si="157"/>
        <v>7.3668108000000005</v>
      </c>
      <c r="AZ973" s="40"/>
      <c r="BA973" s="40"/>
      <c r="BB973" s="40"/>
      <c r="BC973" s="163">
        <f t="shared" ref="BC973:BE973" si="162">BC958</f>
        <v>6.0735705599999999E-4</v>
      </c>
      <c r="BD973" s="163">
        <f t="shared" si="162"/>
        <v>5.1001257600000001E-5</v>
      </c>
      <c r="BE973" s="163">
        <f t="shared" si="162"/>
        <v>7.5169894400000008E-3</v>
      </c>
      <c r="BF973" s="40"/>
      <c r="BG973" s="40"/>
      <c r="BH973" s="40"/>
      <c r="BI973" s="40"/>
      <c r="BJ973" s="40"/>
      <c r="BK973" s="40"/>
      <c r="BL973" s="62">
        <v>1</v>
      </c>
      <c r="BM973" s="275">
        <v>3</v>
      </c>
      <c r="BN973" s="62">
        <v>0.03</v>
      </c>
      <c r="BO973" s="33" t="s">
        <v>600</v>
      </c>
      <c r="BP973" s="33" t="s">
        <v>602</v>
      </c>
    </row>
    <row r="974" spans="1:68">
      <c r="A974" s="33" t="str">
        <f>Database_Productkaarten[[#This Row],[Product]]&amp;", "&amp;Database_Productkaarten[[#This Row],[Levensfase]]</f>
        <v>Opsluitband 80x200 (hergebruik), C2</v>
      </c>
      <c r="B974" t="s">
        <v>605</v>
      </c>
      <c r="C974" t="s">
        <v>55</v>
      </c>
      <c r="D974" s="33" t="s">
        <v>599</v>
      </c>
      <c r="E974" s="33" t="s">
        <v>389</v>
      </c>
      <c r="F974" s="33" t="s">
        <v>84</v>
      </c>
      <c r="G974" s="33">
        <v>1</v>
      </c>
      <c r="H974" s="33">
        <v>0.2</v>
      </c>
      <c r="I974" s="33">
        <v>0.08</v>
      </c>
      <c r="L974" s="33">
        <v>2.4</v>
      </c>
      <c r="M974" s="33">
        <f t="shared" si="148"/>
        <v>3.6400000000000002E-2</v>
      </c>
      <c r="N974" s="41">
        <f t="shared" si="154"/>
        <v>2.8223999999999999E-2</v>
      </c>
      <c r="O974" s="33">
        <v>25</v>
      </c>
      <c r="P974" s="163">
        <f t="shared" ref="P974:Z974" si="163">P959</f>
        <v>6.793435760000001E-7</v>
      </c>
      <c r="Q974" s="163">
        <f t="shared" si="163"/>
        <v>1.7632595200000002E-3</v>
      </c>
      <c r="R974" s="163">
        <f t="shared" si="163"/>
        <v>0.23888319199999999</v>
      </c>
      <c r="S974" s="163">
        <f t="shared" si="163"/>
        <v>4.4021458400000001E-8</v>
      </c>
      <c r="T974" s="163">
        <f t="shared" si="163"/>
        <v>1.4099646399999999E-4</v>
      </c>
      <c r="U974" s="163">
        <f t="shared" si="163"/>
        <v>1.0356616799999999E-3</v>
      </c>
      <c r="V974" s="163">
        <f t="shared" si="163"/>
        <v>2.0637924800000001E-4</v>
      </c>
      <c r="W974" s="163">
        <f t="shared" si="163"/>
        <v>9.5571952000000016E-2</v>
      </c>
      <c r="X974" s="163">
        <f t="shared" si="163"/>
        <v>2.8029965600000002E-3</v>
      </c>
      <c r="Y974" s="163">
        <f t="shared" si="163"/>
        <v>10.116845600000001</v>
      </c>
      <c r="Z974" s="163">
        <f t="shared" si="163"/>
        <v>3.3862366400000003E-4</v>
      </c>
      <c r="AA974" s="40"/>
      <c r="AB974" s="40"/>
      <c r="AC974" s="40"/>
      <c r="AD974" s="40"/>
      <c r="AE974" s="40"/>
      <c r="AF974" s="40"/>
      <c r="AG974" s="40"/>
      <c r="AH974" s="40"/>
      <c r="AI974" s="40"/>
      <c r="AJ974" s="40"/>
      <c r="AK974" s="40"/>
      <c r="AL974" s="40"/>
      <c r="AM974" s="40"/>
      <c r="AN974" s="40"/>
      <c r="AO974" s="40"/>
      <c r="AP974" s="40"/>
      <c r="AQ974" s="40"/>
      <c r="AR974" s="40"/>
      <c r="AS974" s="40"/>
      <c r="AT974" s="40"/>
      <c r="AU974" s="40"/>
      <c r="AV974" s="163">
        <f t="shared" si="156"/>
        <v>5.0305391200000008E-2</v>
      </c>
      <c r="AW974" s="40"/>
      <c r="AX974" s="40"/>
      <c r="AY974" s="163">
        <f t="shared" si="157"/>
        <v>3.9308543999999999</v>
      </c>
      <c r="AZ974" s="40"/>
      <c r="BA974" s="40"/>
      <c r="BB974" s="40"/>
      <c r="BC974" s="163">
        <f t="shared" ref="BC974:BE974" si="164">BC959</f>
        <v>7.0695436000000006E-4</v>
      </c>
      <c r="BD974" s="163">
        <f t="shared" si="164"/>
        <v>2.7147537600000001E-5</v>
      </c>
      <c r="BE974" s="163">
        <f t="shared" si="164"/>
        <v>0.225948488</v>
      </c>
      <c r="BF974" s="40"/>
      <c r="BG974" s="40"/>
      <c r="BH974" s="40"/>
      <c r="BI974" s="40"/>
      <c r="BJ974" s="40"/>
      <c r="BK974" s="40"/>
      <c r="BL974" s="62">
        <v>1</v>
      </c>
      <c r="BM974" s="275">
        <v>3</v>
      </c>
      <c r="BN974" s="62">
        <v>0.03</v>
      </c>
      <c r="BO974" s="33" t="s">
        <v>600</v>
      </c>
      <c r="BP974" s="33" t="s">
        <v>602</v>
      </c>
    </row>
    <row r="975" spans="1:68">
      <c r="A975" s="33" t="str">
        <f>Database_Productkaarten[[#This Row],[Product]]&amp;", "&amp;Database_Productkaarten[[#This Row],[Levensfase]]</f>
        <v>Opsluitband 80x200 (hergebruik), C3</v>
      </c>
      <c r="B975" t="s">
        <v>605</v>
      </c>
      <c r="C975" t="s">
        <v>55</v>
      </c>
      <c r="D975" s="33" t="s">
        <v>599</v>
      </c>
      <c r="E975" s="33" t="s">
        <v>389</v>
      </c>
      <c r="F975" s="33" t="s">
        <v>85</v>
      </c>
      <c r="G975" s="33">
        <v>1</v>
      </c>
      <c r="H975" s="33">
        <v>0.2</v>
      </c>
      <c r="I975" s="33">
        <v>0.08</v>
      </c>
      <c r="L975" s="33">
        <v>2.4</v>
      </c>
      <c r="M975" s="33">
        <f t="shared" si="148"/>
        <v>3.6400000000000002E-2</v>
      </c>
      <c r="N975" s="41">
        <f t="shared" si="154"/>
        <v>6.0240000000000007E-3</v>
      </c>
      <c r="O975" s="33">
        <v>25</v>
      </c>
      <c r="P975" s="163">
        <f t="shared" ref="P975:Z975" si="165">P960</f>
        <v>3.4445449599999999E-8</v>
      </c>
      <c r="Q975" s="163">
        <f t="shared" si="165"/>
        <v>4.2739351199999999E-4</v>
      </c>
      <c r="R975" s="163">
        <f t="shared" si="165"/>
        <v>5.6728992800000003E-2</v>
      </c>
      <c r="S975" s="163">
        <f t="shared" si="165"/>
        <v>6.58975456E-9</v>
      </c>
      <c r="T975" s="163">
        <f t="shared" si="165"/>
        <v>3.1784518400000003E-5</v>
      </c>
      <c r="U975" s="163">
        <f t="shared" si="165"/>
        <v>2.62099952E-4</v>
      </c>
      <c r="V975" s="163">
        <f t="shared" si="165"/>
        <v>5.9105971200000004E-5</v>
      </c>
      <c r="W975" s="163">
        <f t="shared" si="165"/>
        <v>1.2410752000000001E-2</v>
      </c>
      <c r="X975" s="163">
        <f t="shared" si="165"/>
        <v>2.0716788E-4</v>
      </c>
      <c r="Y975" s="163">
        <f t="shared" si="165"/>
        <v>0.79471333600000005</v>
      </c>
      <c r="Z975" s="163">
        <f t="shared" si="165"/>
        <v>1.67422976E-4</v>
      </c>
      <c r="AA975" s="40"/>
      <c r="AB975" s="40"/>
      <c r="AC975" s="40"/>
      <c r="AD975" s="40"/>
      <c r="AE975" s="40"/>
      <c r="AF975" s="40"/>
      <c r="AG975" s="40"/>
      <c r="AH975" s="40"/>
      <c r="AI975" s="40"/>
      <c r="AJ975" s="40"/>
      <c r="AK975" s="40"/>
      <c r="AL975" s="40"/>
      <c r="AM975" s="40"/>
      <c r="AN975" s="40"/>
      <c r="AO975" s="40"/>
      <c r="AP975" s="40"/>
      <c r="AQ975" s="40"/>
      <c r="AR975" s="40"/>
      <c r="AS975" s="40"/>
      <c r="AT975" s="40"/>
      <c r="AU975" s="40"/>
      <c r="AV975" s="163">
        <f t="shared" si="156"/>
        <v>4.6030243999999998E-2</v>
      </c>
      <c r="AW975" s="40"/>
      <c r="AX975" s="40"/>
      <c r="AY975" s="163">
        <f t="shared" si="157"/>
        <v>0.89488392000000005</v>
      </c>
      <c r="AZ975" s="40"/>
      <c r="BA975" s="40"/>
      <c r="BB975" s="40"/>
      <c r="BC975" s="163">
        <f t="shared" ref="BC975:BE975" si="166">BC960</f>
        <v>1.4279450400000001E-4</v>
      </c>
      <c r="BD975" s="163">
        <f t="shared" si="166"/>
        <v>5.1840037600000008E-6</v>
      </c>
      <c r="BE975" s="163">
        <f t="shared" si="166"/>
        <v>0.10821268000000001</v>
      </c>
      <c r="BF975" s="40"/>
      <c r="BG975" s="40"/>
      <c r="BH975" s="40"/>
      <c r="BI975" s="40"/>
      <c r="BJ975" s="40"/>
      <c r="BK975" s="40"/>
      <c r="BL975" s="62">
        <v>1</v>
      </c>
      <c r="BM975" s="275">
        <v>3</v>
      </c>
      <c r="BN975" s="62">
        <v>0.03</v>
      </c>
      <c r="BO975" s="33" t="s">
        <v>600</v>
      </c>
      <c r="BP975" s="33" t="s">
        <v>602</v>
      </c>
    </row>
    <row r="976" spans="1:68">
      <c r="A976" s="33" t="str">
        <f>Database_Productkaarten[[#This Row],[Product]]&amp;", "&amp;Database_Productkaarten[[#This Row],[Levensfase]]</f>
        <v>Opsluitband 80x200 (hergebruik), C4</v>
      </c>
      <c r="B976" t="s">
        <v>605</v>
      </c>
      <c r="C976" t="s">
        <v>55</v>
      </c>
      <c r="D976" s="33" t="s">
        <v>599</v>
      </c>
      <c r="E976" s="33" t="s">
        <v>389</v>
      </c>
      <c r="F976" s="33" t="s">
        <v>86</v>
      </c>
      <c r="G976" s="33">
        <v>1</v>
      </c>
      <c r="H976" s="33">
        <v>0.2</v>
      </c>
      <c r="I976" s="33">
        <v>0.08</v>
      </c>
      <c r="L976" s="33">
        <v>2.4</v>
      </c>
      <c r="M976" s="33">
        <f t="shared" si="148"/>
        <v>3.6400000000000002E-2</v>
      </c>
      <c r="N976" s="41">
        <f t="shared" si="154"/>
        <v>2.6400000000000002E-4</v>
      </c>
      <c r="O976" s="33">
        <v>25</v>
      </c>
      <c r="P976" s="163">
        <f t="shared" ref="P976:Z976" si="167">P961</f>
        <v>2.1901364800000001E-9</v>
      </c>
      <c r="Q976" s="163">
        <f t="shared" si="167"/>
        <v>2.6114009599999999E-5</v>
      </c>
      <c r="R976" s="163">
        <f t="shared" si="167"/>
        <v>1.91889632E-3</v>
      </c>
      <c r="S976" s="163">
        <f t="shared" si="167"/>
        <v>6.3512447200000002E-10</v>
      </c>
      <c r="T976" s="163">
        <f t="shared" si="167"/>
        <v>2.03350288E-6</v>
      </c>
      <c r="U976" s="163">
        <f t="shared" si="167"/>
        <v>1.4179481600000001E-5</v>
      </c>
      <c r="V976" s="163">
        <f t="shared" si="167"/>
        <v>2.6686098400000003E-6</v>
      </c>
      <c r="W976" s="163">
        <f t="shared" si="167"/>
        <v>7.823280000000001E-4</v>
      </c>
      <c r="X976" s="163">
        <f t="shared" si="167"/>
        <v>1.9453463200000001E-5</v>
      </c>
      <c r="Y976" s="163">
        <f t="shared" si="167"/>
        <v>6.6907947999999995E-2</v>
      </c>
      <c r="Z976" s="163">
        <f t="shared" si="167"/>
        <v>2.31691256E-6</v>
      </c>
      <c r="AA976" s="40"/>
      <c r="AB976" s="40"/>
      <c r="AC976" s="40"/>
      <c r="AD976" s="40"/>
      <c r="AE976" s="40"/>
      <c r="AF976" s="40"/>
      <c r="AG976" s="40"/>
      <c r="AH976" s="40"/>
      <c r="AI976" s="40"/>
      <c r="AJ976" s="40"/>
      <c r="AK976" s="40"/>
      <c r="AL976" s="40"/>
      <c r="AM976" s="40"/>
      <c r="AN976" s="40"/>
      <c r="AO976" s="40"/>
      <c r="AP976" s="40"/>
      <c r="AQ976" s="40"/>
      <c r="AR976" s="40"/>
      <c r="AS976" s="40"/>
      <c r="AT976" s="40"/>
      <c r="AU976" s="40"/>
      <c r="AV976" s="163">
        <f t="shared" si="156"/>
        <v>1.3987792000000002E-3</v>
      </c>
      <c r="AW976" s="40"/>
      <c r="AX976" s="40"/>
      <c r="AY976" s="163">
        <f t="shared" si="157"/>
        <v>5.8333991200000004E-2</v>
      </c>
      <c r="AZ976" s="40"/>
      <c r="BA976" s="40"/>
      <c r="BB976" s="40"/>
      <c r="BC976" s="163">
        <f t="shared" ref="BC976:BE976" si="168">BC961</f>
        <v>5.8793215200000009E-5</v>
      </c>
      <c r="BD976" s="163">
        <f t="shared" si="168"/>
        <v>3.9625848800000005E-7</v>
      </c>
      <c r="BE976" s="163">
        <f t="shared" si="168"/>
        <v>0.35908395999999998</v>
      </c>
      <c r="BF976" s="40"/>
      <c r="BG976" s="40"/>
      <c r="BH976" s="40"/>
      <c r="BI976" s="40"/>
      <c r="BJ976" s="40"/>
      <c r="BK976" s="40"/>
      <c r="BL976" s="62">
        <v>1</v>
      </c>
      <c r="BM976" s="275">
        <v>3</v>
      </c>
      <c r="BN976" s="62">
        <v>0.03</v>
      </c>
      <c r="BO976" s="33" t="s">
        <v>600</v>
      </c>
      <c r="BP976" s="33" t="s">
        <v>602</v>
      </c>
    </row>
    <row r="977" spans="1:68">
      <c r="A977" s="33" t="str">
        <f>Database_Productkaarten[[#This Row],[Product]]&amp;", "&amp;Database_Productkaarten[[#This Row],[Levensfase]]</f>
        <v>Opsluitband 80x200 (hergebruik), D</v>
      </c>
      <c r="B977" t="s">
        <v>605</v>
      </c>
      <c r="C977" s="33" t="str">
        <f>C978</f>
        <v>Elementenverhardingen</v>
      </c>
      <c r="D977" s="33" t="str">
        <f>D978</f>
        <v>Opsluitband</v>
      </c>
      <c r="E977" s="33" t="str">
        <f>E978</f>
        <v>m1</v>
      </c>
      <c r="F977" s="33" t="s">
        <v>89</v>
      </c>
      <c r="G977" s="33">
        <f t="shared" ref="G977:I977" si="169">G978</f>
        <v>1</v>
      </c>
      <c r="H977" s="33">
        <f t="shared" si="169"/>
        <v>0.2</v>
      </c>
      <c r="I977" s="33">
        <f t="shared" si="169"/>
        <v>0.08</v>
      </c>
      <c r="L977" s="33">
        <v>2.4</v>
      </c>
      <c r="M977" s="33">
        <f t="shared" si="148"/>
        <v>3.6400000000000002E-2</v>
      </c>
      <c r="N977" s="41">
        <f>N954*0.1</f>
        <v>3.4154400000000001E-2</v>
      </c>
      <c r="O977" s="33">
        <v>25</v>
      </c>
      <c r="P977" s="163">
        <f t="shared" ref="P977:Z977" si="170">P954*0.1</f>
        <v>5.2519932096000008E-7</v>
      </c>
      <c r="Q977" s="163">
        <f t="shared" si="170"/>
        <v>1.4514146160000002E-3</v>
      </c>
      <c r="R977" s="163">
        <f t="shared" si="170"/>
        <v>0.48502174240000007</v>
      </c>
      <c r="S977" s="163">
        <f t="shared" si="170"/>
        <v>1.5299148720000003E-8</v>
      </c>
      <c r="T977" s="163">
        <f t="shared" si="170"/>
        <v>1.0059023896000002E-4</v>
      </c>
      <c r="U977" s="163">
        <f t="shared" si="170"/>
        <v>1.0738903096E-3</v>
      </c>
      <c r="V977" s="163">
        <f t="shared" si="170"/>
        <v>2.1229862240000001E-4</v>
      </c>
      <c r="W977" s="163">
        <f t="shared" si="170"/>
        <v>4.8355994960000009E-2</v>
      </c>
      <c r="X977" s="163">
        <f t="shared" si="170"/>
        <v>1.2449300432E-3</v>
      </c>
      <c r="Y977" s="163">
        <f t="shared" si="170"/>
        <v>5.9150303840000005</v>
      </c>
      <c r="Z977" s="163">
        <f t="shared" si="170"/>
        <v>8.9388136799999995E-4</v>
      </c>
      <c r="AA977" s="40"/>
      <c r="AB977" s="40"/>
      <c r="AC977" s="40"/>
      <c r="AD977" s="40"/>
      <c r="AE977" s="40"/>
      <c r="AF977" s="40"/>
      <c r="AG977" s="40"/>
      <c r="AH977" s="40"/>
      <c r="AI977" s="40"/>
      <c r="AJ977" s="40"/>
      <c r="AK977" s="40"/>
      <c r="AL977" s="40"/>
      <c r="AM977" s="40"/>
      <c r="AN977" s="40"/>
      <c r="AO977" s="40"/>
      <c r="AP977" s="40"/>
      <c r="AQ977" s="40"/>
      <c r="AR977" s="40"/>
      <c r="AS977" s="40"/>
      <c r="AT977" s="40"/>
      <c r="AU977" s="40"/>
      <c r="AV977" s="163">
        <f>AV954*0.1</f>
        <v>0.41738882352000006</v>
      </c>
      <c r="AW977" s="40"/>
      <c r="AX977" s="40"/>
      <c r="AY977" s="163">
        <f>AY954*0.1</f>
        <v>3.2230299359999997</v>
      </c>
      <c r="AZ977" s="40"/>
      <c r="BA977" s="40"/>
      <c r="BB977" s="40"/>
      <c r="BC977" s="163">
        <f t="shared" ref="BC977:BE977" si="171">BC954*0.1</f>
        <v>3.598627578320001E-2</v>
      </c>
      <c r="BD977" s="163">
        <f t="shared" si="171"/>
        <v>0.23968820653448</v>
      </c>
      <c r="BE977" s="163">
        <f t="shared" si="171"/>
        <v>4.6046686112000003E-2</v>
      </c>
      <c r="BF977" s="40"/>
      <c r="BG977" s="40"/>
      <c r="BH977" s="40"/>
      <c r="BI977" s="40"/>
      <c r="BJ977" s="40"/>
      <c r="BK977" s="40"/>
      <c r="BL977" s="62">
        <v>1</v>
      </c>
      <c r="BM977" s="275">
        <v>3</v>
      </c>
      <c r="BN977" s="62">
        <v>0.03</v>
      </c>
      <c r="BO977" s="33" t="s">
        <v>600</v>
      </c>
      <c r="BP977" s="33" t="s">
        <v>602</v>
      </c>
    </row>
    <row r="978" spans="1:68">
      <c r="A978" s="33" t="str">
        <f>Database_Productkaarten[[#This Row],[Product]]&amp;", "&amp;Database_Productkaarten[[#This Row],[Levensfase]]</f>
        <v>Opsluitband 80x200 (hergebruik), D1</v>
      </c>
      <c r="B978" t="s">
        <v>605</v>
      </c>
      <c r="C978" t="s">
        <v>55</v>
      </c>
      <c r="D978" s="33" t="s">
        <v>599</v>
      </c>
      <c r="E978" s="33" t="s">
        <v>389</v>
      </c>
      <c r="F978" s="33" t="s">
        <v>87</v>
      </c>
      <c r="G978" s="33">
        <v>1</v>
      </c>
      <c r="H978" s="33">
        <v>0.2</v>
      </c>
      <c r="I978" s="33">
        <v>0.08</v>
      </c>
      <c r="L978" s="33">
        <v>2.4</v>
      </c>
      <c r="M978" s="33">
        <f t="shared" si="148"/>
        <v>3.6400000000000002E-2</v>
      </c>
      <c r="N978" s="41"/>
      <c r="O978" s="33">
        <v>25</v>
      </c>
      <c r="P978" s="40"/>
      <c r="Q978" s="40"/>
      <c r="R978" s="40"/>
      <c r="S978" s="40"/>
      <c r="T978" s="40"/>
      <c r="U978" s="40"/>
      <c r="V978" s="40"/>
      <c r="W978" s="40"/>
      <c r="X978" s="40"/>
      <c r="Y978" s="40"/>
      <c r="Z978" s="40"/>
      <c r="AA978" s="40"/>
      <c r="AB978" s="40"/>
      <c r="AC978" s="40"/>
      <c r="AD978" s="40"/>
      <c r="AE978" s="40"/>
      <c r="AF978" s="40"/>
      <c r="AG978" s="40"/>
      <c r="AH978" s="40"/>
      <c r="AI978" s="40"/>
      <c r="AJ978" s="40"/>
      <c r="AK978" s="40"/>
      <c r="AL978" s="40"/>
      <c r="AM978" s="40"/>
      <c r="AN978" s="40"/>
      <c r="AO978" s="40"/>
      <c r="AP978" s="40"/>
      <c r="AQ978" s="40"/>
      <c r="AR978" s="40"/>
      <c r="AS978" s="40"/>
      <c r="AT978" s="40"/>
      <c r="AU978" s="40"/>
      <c r="AV978" s="281"/>
      <c r="AW978" s="40"/>
      <c r="AX978" s="40"/>
      <c r="AY978" s="281"/>
      <c r="AZ978" s="40"/>
      <c r="BA978" s="40"/>
      <c r="BB978" s="40"/>
      <c r="BC978" s="40"/>
      <c r="BD978" s="40"/>
      <c r="BE978" s="40"/>
      <c r="BF978" s="40"/>
      <c r="BG978" s="40"/>
      <c r="BH978" s="40"/>
      <c r="BI978" s="40"/>
      <c r="BJ978" s="40"/>
      <c r="BK978" s="40"/>
      <c r="BL978" s="62">
        <v>1</v>
      </c>
      <c r="BM978" s="275">
        <v>3</v>
      </c>
      <c r="BN978" s="62">
        <v>0.03</v>
      </c>
      <c r="BO978" s="33" t="s">
        <v>600</v>
      </c>
      <c r="BP978" s="33" t="s">
        <v>602</v>
      </c>
    </row>
    <row r="979" spans="1:68">
      <c r="A979" s="33" t="str">
        <f>Database_Productkaarten[[#This Row],[Product]]&amp;", "&amp;Database_Productkaarten[[#This Row],[Levensfase]]</f>
        <v>Opsluitband 80x200 (hergebruik), D2</v>
      </c>
      <c r="B979" t="s">
        <v>605</v>
      </c>
      <c r="C979" t="s">
        <v>55</v>
      </c>
      <c r="D979" s="33" t="s">
        <v>599</v>
      </c>
      <c r="E979" s="33" t="s">
        <v>389</v>
      </c>
      <c r="F979" s="33" t="s">
        <v>88</v>
      </c>
      <c r="G979" s="33">
        <v>1</v>
      </c>
      <c r="H979" s="33">
        <v>0.2</v>
      </c>
      <c r="I979" s="33">
        <v>0.08</v>
      </c>
      <c r="L979" s="33">
        <v>2.4</v>
      </c>
      <c r="M979" s="33">
        <f t="shared" si="148"/>
        <v>3.6400000000000002E-2</v>
      </c>
      <c r="N979" s="41"/>
      <c r="O979" s="33">
        <v>25</v>
      </c>
      <c r="P979" s="40"/>
      <c r="Q979" s="40"/>
      <c r="R979" s="40"/>
      <c r="S979" s="40"/>
      <c r="T979" s="40"/>
      <c r="U979" s="40"/>
      <c r="V979" s="40"/>
      <c r="W979" s="40"/>
      <c r="X979" s="40"/>
      <c r="Y979" s="40"/>
      <c r="Z979" s="40"/>
      <c r="AA979" s="40"/>
      <c r="AB979" s="40"/>
      <c r="AC979" s="40"/>
      <c r="AD979" s="40"/>
      <c r="AE979" s="40"/>
      <c r="AF979" s="40"/>
      <c r="AG979" s="40"/>
      <c r="AH979" s="40"/>
      <c r="AI979" s="40"/>
      <c r="AJ979" s="40"/>
      <c r="AK979" s="40"/>
      <c r="AL979" s="40"/>
      <c r="AM979" s="40"/>
      <c r="AN979" s="40"/>
      <c r="AO979" s="40"/>
      <c r="AP979" s="40"/>
      <c r="AQ979" s="40"/>
      <c r="AR979" s="40"/>
      <c r="AS979" s="40"/>
      <c r="AT979" s="40"/>
      <c r="AU979" s="40"/>
      <c r="AV979" s="281"/>
      <c r="AW979" s="40"/>
      <c r="AX979" s="40"/>
      <c r="AY979" s="281"/>
      <c r="AZ979" s="40"/>
      <c r="BA979" s="40"/>
      <c r="BB979" s="40"/>
      <c r="BC979" s="40"/>
      <c r="BD979" s="40"/>
      <c r="BE979" s="40"/>
      <c r="BF979" s="40"/>
      <c r="BG979" s="40"/>
      <c r="BH979" s="40"/>
      <c r="BI979" s="40"/>
      <c r="BJ979" s="40"/>
      <c r="BK979" s="40"/>
      <c r="BL979" s="62">
        <v>1</v>
      </c>
      <c r="BM979" s="275">
        <v>3</v>
      </c>
      <c r="BN979" s="62">
        <v>0.03</v>
      </c>
      <c r="BO979" s="33" t="s">
        <v>600</v>
      </c>
      <c r="BP979" s="33" t="s">
        <v>602</v>
      </c>
    </row>
    <row r="980" spans="1:68">
      <c r="A980" s="33" t="str">
        <f>Database_Productkaarten[[#This Row],[Product]]&amp;", "&amp;Database_Productkaarten[[#This Row],[Levensfase]]</f>
        <v>Opsluitband 150x200, Totaal</v>
      </c>
      <c r="B980" t="s">
        <v>606</v>
      </c>
      <c r="C980" t="s">
        <v>55</v>
      </c>
      <c r="D980" s="33" t="s">
        <v>599</v>
      </c>
      <c r="E980" s="33" t="s">
        <v>389</v>
      </c>
      <c r="F980" s="33" t="s">
        <v>90</v>
      </c>
      <c r="G980" s="33">
        <v>1</v>
      </c>
      <c r="H980" s="33">
        <v>0.2</v>
      </c>
      <c r="I980" s="33">
        <v>0.15</v>
      </c>
      <c r="L980" s="33">
        <v>2.4</v>
      </c>
      <c r="M980" s="271">
        <f t="shared" ref="M980:N983" si="172">M920*1.5</f>
        <v>6.8250000000000005E-2</v>
      </c>
      <c r="N980" s="41">
        <f t="shared" si="172"/>
        <v>0</v>
      </c>
      <c r="O980" s="33">
        <v>25</v>
      </c>
      <c r="P980" s="40">
        <f t="shared" ref="P980:Z980" si="173">P920*1.5</f>
        <v>0</v>
      </c>
      <c r="Q980" s="40">
        <f t="shared" si="173"/>
        <v>0</v>
      </c>
      <c r="R980" s="40">
        <f t="shared" si="173"/>
        <v>0</v>
      </c>
      <c r="S980" s="40">
        <f t="shared" si="173"/>
        <v>0</v>
      </c>
      <c r="T980" s="40">
        <f t="shared" si="173"/>
        <v>0</v>
      </c>
      <c r="U980" s="40">
        <f t="shared" si="173"/>
        <v>0</v>
      </c>
      <c r="V980" s="40">
        <f t="shared" si="173"/>
        <v>0</v>
      </c>
      <c r="W980" s="40">
        <f t="shared" si="173"/>
        <v>0</v>
      </c>
      <c r="X980" s="40">
        <f t="shared" si="173"/>
        <v>0</v>
      </c>
      <c r="Y980" s="40">
        <f t="shared" si="173"/>
        <v>0</v>
      </c>
      <c r="Z980" s="40">
        <f t="shared" si="173"/>
        <v>0</v>
      </c>
      <c r="AV980" s="316"/>
      <c r="AW980" s="314"/>
      <c r="AX980" s="314"/>
      <c r="AY980" s="316"/>
      <c r="BL980" s="62">
        <v>0</v>
      </c>
      <c r="BM980" s="275">
        <v>3</v>
      </c>
      <c r="BN980" s="62">
        <v>0.03</v>
      </c>
      <c r="BO980" s="33" t="s">
        <v>600</v>
      </c>
      <c r="BP980" s="33" t="s">
        <v>607</v>
      </c>
    </row>
    <row r="981" spans="1:68">
      <c r="A981" s="33" t="str">
        <f>Database_Productkaarten[[#This Row],[Product]]&amp;", "&amp;Database_Productkaarten[[#This Row],[Levensfase]]</f>
        <v>Opsluitband 150x200, A1</v>
      </c>
      <c r="B981" t="s">
        <v>606</v>
      </c>
      <c r="C981" t="s">
        <v>55</v>
      </c>
      <c r="D981" s="33" t="s">
        <v>599</v>
      </c>
      <c r="E981" s="33" t="s">
        <v>389</v>
      </c>
      <c r="F981" s="33" t="s">
        <v>74</v>
      </c>
      <c r="G981" s="33">
        <v>1</v>
      </c>
      <c r="H981" s="33">
        <v>0.2</v>
      </c>
      <c r="I981" s="33">
        <v>0.15</v>
      </c>
      <c r="L981" s="33">
        <v>2.4</v>
      </c>
      <c r="M981" s="271">
        <f t="shared" si="172"/>
        <v>6.8250000000000005E-2</v>
      </c>
      <c r="N981" s="41">
        <f t="shared" si="172"/>
        <v>0.44563499999999995</v>
      </c>
      <c r="O981" s="33">
        <v>25</v>
      </c>
      <c r="P981" s="40">
        <f t="shared" ref="P981:Z981" si="174">P921*1.5</f>
        <v>8.3633101499999998E-6</v>
      </c>
      <c r="Q981" s="40">
        <f t="shared" si="174"/>
        <v>2.00912205E-2</v>
      </c>
      <c r="R981" s="40">
        <f t="shared" si="174"/>
        <v>8.1761542499999997</v>
      </c>
      <c r="S981" s="40">
        <f t="shared" si="174"/>
        <v>1.6817407500000001E-7</v>
      </c>
      <c r="T981" s="40">
        <f t="shared" si="174"/>
        <v>1.5302508000000002E-3</v>
      </c>
      <c r="U981" s="40">
        <f t="shared" si="174"/>
        <v>1.72568055E-2</v>
      </c>
      <c r="V981" s="40">
        <f t="shared" si="174"/>
        <v>3.3873228000000002E-3</v>
      </c>
      <c r="W981" s="40">
        <f t="shared" si="174"/>
        <v>0.67807456499999996</v>
      </c>
      <c r="X981" s="40">
        <f t="shared" si="174"/>
        <v>1.68735255E-2</v>
      </c>
      <c r="Y981" s="40">
        <f t="shared" si="174"/>
        <v>86.472409499999998</v>
      </c>
      <c r="Z981" s="40">
        <f t="shared" si="174"/>
        <v>1.5463987499999998E-2</v>
      </c>
      <c r="AV981" s="313">
        <f t="shared" ref="AV981:AV994" si="175">AV921*1.5</f>
        <v>7.1703349500000009</v>
      </c>
      <c r="AW981" s="314"/>
      <c r="AX981" s="314"/>
      <c r="AY981" s="313">
        <f t="shared" ref="AY981:AY994" si="176">AY921*1.5</f>
        <v>45.351112499999999</v>
      </c>
      <c r="BC981" s="313">
        <f t="shared" ref="BC981:BE992" si="177">BC921*1.5</f>
        <v>0.67191312000000003</v>
      </c>
      <c r="BD981" s="313">
        <f t="shared" si="177"/>
        <v>4.4940677999999998</v>
      </c>
      <c r="BE981" s="313">
        <f t="shared" si="177"/>
        <v>0.39551448</v>
      </c>
      <c r="BL981" s="62">
        <v>0</v>
      </c>
      <c r="BM981" s="275">
        <v>3</v>
      </c>
      <c r="BN981" s="62">
        <v>0.03</v>
      </c>
      <c r="BO981" s="33" t="s">
        <v>600</v>
      </c>
      <c r="BP981" s="33" t="s">
        <v>607</v>
      </c>
    </row>
    <row r="982" spans="1:68">
      <c r="A982" s="33" t="str">
        <f>Database_Productkaarten[[#This Row],[Product]]&amp;", "&amp;Database_Productkaarten[[#This Row],[Levensfase]]</f>
        <v>Opsluitband 150x200, A2</v>
      </c>
      <c r="B982" t="s">
        <v>606</v>
      </c>
      <c r="C982" t="s">
        <v>55</v>
      </c>
      <c r="D982" s="33" t="s">
        <v>599</v>
      </c>
      <c r="E982" s="33" t="s">
        <v>389</v>
      </c>
      <c r="F982" s="33" t="s">
        <v>75</v>
      </c>
      <c r="G982" s="33">
        <v>1</v>
      </c>
      <c r="H982" s="33">
        <v>0.2</v>
      </c>
      <c r="I982" s="33">
        <v>0.15</v>
      </c>
      <c r="L982" s="33">
        <v>2.4</v>
      </c>
      <c r="M982" s="271">
        <f t="shared" si="172"/>
        <v>6.8250000000000005E-2</v>
      </c>
      <c r="N982" s="41">
        <f t="shared" si="172"/>
        <v>0</v>
      </c>
      <c r="O982" s="33">
        <v>25</v>
      </c>
      <c r="P982" s="40">
        <f t="shared" ref="P982:Z982" si="178">P922*1.5</f>
        <v>1.36508376E-6</v>
      </c>
      <c r="Q982" s="40">
        <f t="shared" si="178"/>
        <v>3.5431216499999998E-3</v>
      </c>
      <c r="R982" s="40">
        <f t="shared" si="178"/>
        <v>0.48001567499999998</v>
      </c>
      <c r="S982" s="40">
        <f t="shared" si="178"/>
        <v>8.8457416499999998E-8</v>
      </c>
      <c r="T982" s="40">
        <f t="shared" si="178"/>
        <v>2.8332054E-4</v>
      </c>
      <c r="U982" s="40">
        <f t="shared" si="178"/>
        <v>2.0810751E-3</v>
      </c>
      <c r="V982" s="40">
        <f t="shared" si="178"/>
        <v>4.1470172999999997E-4</v>
      </c>
      <c r="W982" s="40">
        <f t="shared" si="178"/>
        <v>0.19204378499999997</v>
      </c>
      <c r="X982" s="40">
        <f t="shared" si="178"/>
        <v>5.6323858500000002E-3</v>
      </c>
      <c r="Y982" s="40">
        <f t="shared" si="178"/>
        <v>20.3289495</v>
      </c>
      <c r="Z982" s="40">
        <f t="shared" si="178"/>
        <v>6.8043576000000007E-4</v>
      </c>
      <c r="AV982" s="313">
        <f t="shared" si="175"/>
        <v>0.10108445100000001</v>
      </c>
      <c r="AW982" s="314"/>
      <c r="AX982" s="314"/>
      <c r="AY982" s="313">
        <f t="shared" si="176"/>
        <v>7.8987213000000001</v>
      </c>
      <c r="BC982" s="313">
        <f t="shared" si="177"/>
        <v>1.4205652950000001E-3</v>
      </c>
      <c r="BD982" s="313">
        <f t="shared" si="177"/>
        <v>5.4550693499999998E-5</v>
      </c>
      <c r="BE982" s="313">
        <f t="shared" si="177"/>
        <v>0.45402447000000001</v>
      </c>
      <c r="BL982" s="62">
        <v>0</v>
      </c>
      <c r="BM982" s="275">
        <v>3</v>
      </c>
      <c r="BN982" s="62">
        <v>0.03</v>
      </c>
      <c r="BO982" s="33" t="s">
        <v>600</v>
      </c>
      <c r="BP982" s="33" t="s">
        <v>607</v>
      </c>
    </row>
    <row r="983" spans="1:68">
      <c r="A983" s="33" t="str">
        <f>Database_Productkaarten[[#This Row],[Product]]&amp;", "&amp;Database_Productkaarten[[#This Row],[Levensfase]]</f>
        <v>Opsluitband 150x200, A3</v>
      </c>
      <c r="B983" t="s">
        <v>606</v>
      </c>
      <c r="C983" t="s">
        <v>55</v>
      </c>
      <c r="D983" s="33" t="s">
        <v>599</v>
      </c>
      <c r="E983" s="33" t="s">
        <v>389</v>
      </c>
      <c r="F983" s="33" t="s">
        <v>76</v>
      </c>
      <c r="G983" s="33">
        <v>1</v>
      </c>
      <c r="H983" s="33">
        <v>0.2</v>
      </c>
      <c r="I983" s="33">
        <v>0.15</v>
      </c>
      <c r="L983" s="33">
        <v>2.4</v>
      </c>
      <c r="M983" s="271">
        <f t="shared" si="172"/>
        <v>6.8250000000000005E-2</v>
      </c>
      <c r="N983" s="41">
        <f t="shared" si="172"/>
        <v>0</v>
      </c>
      <c r="O983" s="33">
        <v>25</v>
      </c>
      <c r="P983" s="40">
        <f t="shared" ref="P983:Z983" si="179">P923*1.5</f>
        <v>1.1909335799999999E-7</v>
      </c>
      <c r="Q983" s="40">
        <f t="shared" si="179"/>
        <v>3.5796818999999998E-3</v>
      </c>
      <c r="R983" s="40">
        <f t="shared" si="179"/>
        <v>0.43798774500000004</v>
      </c>
      <c r="S983" s="40">
        <f t="shared" si="179"/>
        <v>3.0227547000000002E-8</v>
      </c>
      <c r="T983" s="40">
        <f t="shared" si="179"/>
        <v>7.2495640500000005E-5</v>
      </c>
      <c r="U983" s="40">
        <f t="shared" si="179"/>
        <v>7.9756270499999993E-4</v>
      </c>
      <c r="V983" s="40">
        <f t="shared" si="179"/>
        <v>1.7857464000000002E-4</v>
      </c>
      <c r="W983" s="40">
        <f t="shared" si="179"/>
        <v>3.6556555500000004E-2</v>
      </c>
      <c r="X983" s="40">
        <f t="shared" si="179"/>
        <v>8.3652695999999994E-4</v>
      </c>
      <c r="Y983" s="40">
        <f t="shared" si="179"/>
        <v>4.1054607000000001</v>
      </c>
      <c r="Z983" s="40">
        <f t="shared" si="179"/>
        <v>6.1585239000000003E-4</v>
      </c>
      <c r="AV983" s="313">
        <f t="shared" si="175"/>
        <v>0.55462104000000001</v>
      </c>
      <c r="AW983" s="314"/>
      <c r="AX983" s="314"/>
      <c r="AY983" s="313">
        <f t="shared" si="176"/>
        <v>7.1819775000000003</v>
      </c>
      <c r="BC983" s="313">
        <f t="shared" si="177"/>
        <v>1.40898564E-3</v>
      </c>
      <c r="BD983" s="313">
        <f t="shared" si="177"/>
        <v>3.1521827999999997E-5</v>
      </c>
      <c r="BE983" s="313">
        <f t="shared" si="177"/>
        <v>1.3836414599999999E-2</v>
      </c>
      <c r="BL983" s="62">
        <v>0</v>
      </c>
      <c r="BM983" s="275">
        <v>3</v>
      </c>
      <c r="BN983" s="62">
        <v>0.03</v>
      </c>
      <c r="BO983" s="33" t="s">
        <v>600</v>
      </c>
      <c r="BP983" s="33" t="s">
        <v>607</v>
      </c>
    </row>
    <row r="984" spans="1:68">
      <c r="A984" s="33" t="str">
        <f>Database_Productkaarten[[#This Row],[Product]]&amp;", "&amp;Database_Productkaarten[[#This Row],[Levensfase]]</f>
        <v>Opsluitband 150x200, A1-A3</v>
      </c>
      <c r="B984" s="33" t="str">
        <f>B983</f>
        <v>Opsluitband 150x200</v>
      </c>
      <c r="C984" s="33" t="str">
        <f>C983</f>
        <v>Elementenverhardingen</v>
      </c>
      <c r="D984" s="33" t="str">
        <f>D983</f>
        <v>Opsluitband</v>
      </c>
      <c r="E984" s="33" t="str">
        <f>E983</f>
        <v>m1</v>
      </c>
      <c r="F984" s="33" t="s">
        <v>77</v>
      </c>
      <c r="G984" s="33">
        <f>G983</f>
        <v>1</v>
      </c>
      <c r="H984" s="33">
        <f t="shared" ref="H984:M984" si="180">H983</f>
        <v>0.2</v>
      </c>
      <c r="I984" s="33">
        <f t="shared" si="180"/>
        <v>0.15</v>
      </c>
      <c r="L984" s="33">
        <f t="shared" si="180"/>
        <v>2.4</v>
      </c>
      <c r="M984" s="45">
        <f t="shared" si="180"/>
        <v>6.8250000000000005E-2</v>
      </c>
      <c r="N984" s="41">
        <f t="shared" ref="N984:N994" si="181">N924*1.5</f>
        <v>0.64039499999999994</v>
      </c>
      <c r="O984" s="33">
        <v>25</v>
      </c>
      <c r="P984" s="40">
        <f>SUM(P981:P983)</f>
        <v>9.8474872679999993E-6</v>
      </c>
      <c r="Q984" s="40">
        <f t="shared" ref="Q984:BK984" si="182">SUM(Q981:Q983)</f>
        <v>2.7214024050000001E-2</v>
      </c>
      <c r="R984" s="40">
        <f t="shared" si="182"/>
        <v>9.0941576700000013</v>
      </c>
      <c r="S984" s="40">
        <f t="shared" si="182"/>
        <v>2.8685903850000002E-7</v>
      </c>
      <c r="T984" s="40">
        <f t="shared" si="182"/>
        <v>1.8860669805000002E-3</v>
      </c>
      <c r="U984" s="40">
        <f t="shared" si="182"/>
        <v>2.0135443305E-2</v>
      </c>
      <c r="V984" s="40">
        <f t="shared" si="182"/>
        <v>3.9805991700000007E-3</v>
      </c>
      <c r="W984" s="40">
        <f t="shared" si="182"/>
        <v>0.90667490549999996</v>
      </c>
      <c r="X984" s="40">
        <f t="shared" si="182"/>
        <v>2.3342438310000001E-2</v>
      </c>
      <c r="Y984" s="40">
        <f t="shared" si="182"/>
        <v>110.90681969999999</v>
      </c>
      <c r="Z984" s="40">
        <f t="shared" si="182"/>
        <v>1.676027565E-2</v>
      </c>
      <c r="AA984" s="40">
        <f t="shared" si="182"/>
        <v>0</v>
      </c>
      <c r="AB984" s="40">
        <f t="shared" si="182"/>
        <v>0</v>
      </c>
      <c r="AC984" s="40">
        <f t="shared" si="182"/>
        <v>0</v>
      </c>
      <c r="AD984" s="40">
        <f t="shared" si="182"/>
        <v>0</v>
      </c>
      <c r="AE984" s="40">
        <f t="shared" si="182"/>
        <v>0</v>
      </c>
      <c r="AF984" s="40">
        <f t="shared" si="182"/>
        <v>0</v>
      </c>
      <c r="AG984" s="40">
        <f t="shared" si="182"/>
        <v>0</v>
      </c>
      <c r="AH984" s="40">
        <f t="shared" si="182"/>
        <v>0</v>
      </c>
      <c r="AI984" s="40">
        <f t="shared" si="182"/>
        <v>0</v>
      </c>
      <c r="AJ984" s="40">
        <f t="shared" si="182"/>
        <v>0</v>
      </c>
      <c r="AK984" s="40">
        <f t="shared" si="182"/>
        <v>0</v>
      </c>
      <c r="AL984" s="40">
        <f t="shared" si="182"/>
        <v>0</v>
      </c>
      <c r="AM984" s="40">
        <f t="shared" si="182"/>
        <v>0</v>
      </c>
      <c r="AN984" s="40">
        <f t="shared" si="182"/>
        <v>0</v>
      </c>
      <c r="AO984" s="40">
        <f t="shared" si="182"/>
        <v>0</v>
      </c>
      <c r="AP984" s="40">
        <f t="shared" si="182"/>
        <v>0</v>
      </c>
      <c r="AQ984" s="40">
        <f t="shared" si="182"/>
        <v>0</v>
      </c>
      <c r="AR984" s="40">
        <f t="shared" si="182"/>
        <v>0</v>
      </c>
      <c r="AS984" s="40">
        <f t="shared" si="182"/>
        <v>0</v>
      </c>
      <c r="AT984" s="40">
        <f t="shared" si="182"/>
        <v>0</v>
      </c>
      <c r="AU984" s="40">
        <f t="shared" si="182"/>
        <v>0</v>
      </c>
      <c r="AV984" s="313">
        <f t="shared" si="175"/>
        <v>7.8260404410000008</v>
      </c>
      <c r="AW984" s="317">
        <f t="shared" si="182"/>
        <v>0</v>
      </c>
      <c r="AX984" s="317">
        <f t="shared" si="182"/>
        <v>0</v>
      </c>
      <c r="AY984" s="313">
        <f t="shared" si="176"/>
        <v>60.431811299999993</v>
      </c>
      <c r="AZ984" s="40">
        <f t="shared" si="182"/>
        <v>0</v>
      </c>
      <c r="BA984" s="40">
        <f t="shared" si="182"/>
        <v>0</v>
      </c>
      <c r="BB984" s="40">
        <f t="shared" si="182"/>
        <v>0</v>
      </c>
      <c r="BC984" s="313">
        <f t="shared" si="177"/>
        <v>0.67474267093500007</v>
      </c>
      <c r="BD984" s="313">
        <f t="shared" si="177"/>
        <v>4.4941538725214993</v>
      </c>
      <c r="BE984" s="313">
        <f t="shared" si="177"/>
        <v>0.86337536459999997</v>
      </c>
      <c r="BF984" s="40">
        <f t="shared" si="182"/>
        <v>0</v>
      </c>
      <c r="BG984" s="40">
        <f t="shared" si="182"/>
        <v>0</v>
      </c>
      <c r="BH984" s="40">
        <f t="shared" si="182"/>
        <v>0</v>
      </c>
      <c r="BI984" s="40">
        <f t="shared" si="182"/>
        <v>0</v>
      </c>
      <c r="BJ984" s="40">
        <f t="shared" si="182"/>
        <v>0</v>
      </c>
      <c r="BK984" s="40">
        <f t="shared" si="182"/>
        <v>0</v>
      </c>
      <c r="BL984" s="62">
        <f>BL983</f>
        <v>0</v>
      </c>
      <c r="BM984" s="275">
        <f>BM983</f>
        <v>3</v>
      </c>
      <c r="BN984" s="62">
        <v>0.03</v>
      </c>
      <c r="BO984" s="33" t="str">
        <f>BO983</f>
        <v>NMD Opsluitband 100x200x1000mm grijs</v>
      </c>
    </row>
    <row r="985" spans="1:68">
      <c r="A985" s="33" t="str">
        <f>Database_Productkaarten[[#This Row],[Product]]&amp;", "&amp;Database_Productkaarten[[#This Row],[Levensfase]]</f>
        <v>Opsluitband 150x200, A4</v>
      </c>
      <c r="B985" t="s">
        <v>606</v>
      </c>
      <c r="C985" t="s">
        <v>55</v>
      </c>
      <c r="D985" s="33" t="s">
        <v>599</v>
      </c>
      <c r="E985" s="33" t="s">
        <v>389</v>
      </c>
      <c r="F985" s="33" t="s">
        <v>78</v>
      </c>
      <c r="G985" s="33">
        <v>1</v>
      </c>
      <c r="H985" s="33">
        <v>0.2</v>
      </c>
      <c r="I985" s="33">
        <v>0.15</v>
      </c>
      <c r="L985" s="33">
        <v>2.4</v>
      </c>
      <c r="M985" s="271">
        <f t="shared" ref="M985:M991" si="183">M925*1.5</f>
        <v>6.8250000000000005E-2</v>
      </c>
      <c r="N985" s="41">
        <f t="shared" si="181"/>
        <v>0.15720000000000001</v>
      </c>
      <c r="O985" s="33">
        <v>25</v>
      </c>
      <c r="P985" s="40">
        <f t="shared" ref="P985:Z985" si="184">P925*1.5</f>
        <v>3.7834729499999998E-6</v>
      </c>
      <c r="Q985" s="40">
        <f t="shared" si="184"/>
        <v>9.8201332499999999E-3</v>
      </c>
      <c r="R985" s="40">
        <f t="shared" si="184"/>
        <v>1.3304138249999999</v>
      </c>
      <c r="S985" s="40">
        <f t="shared" si="184"/>
        <v>2.4516901499999999E-7</v>
      </c>
      <c r="T985" s="40">
        <f t="shared" si="184"/>
        <v>7.8525259499999996E-4</v>
      </c>
      <c r="U985" s="40">
        <f t="shared" si="184"/>
        <v>5.7679178999999999E-3</v>
      </c>
      <c r="V985" s="40">
        <f t="shared" si="184"/>
        <v>1.1493893550000001E-3</v>
      </c>
      <c r="W985" s="40">
        <f t="shared" si="184"/>
        <v>0.53226951</v>
      </c>
      <c r="X985" s="40">
        <f t="shared" si="184"/>
        <v>1.5610749E-2</v>
      </c>
      <c r="Y985" s="40">
        <f t="shared" si="184"/>
        <v>56.3438175</v>
      </c>
      <c r="Z985" s="40">
        <f t="shared" si="184"/>
        <v>1.88589915E-3</v>
      </c>
      <c r="AV985" s="313">
        <f t="shared" si="175"/>
        <v>0.28016616</v>
      </c>
      <c r="AW985" s="314"/>
      <c r="AX985" s="314"/>
      <c r="AY985" s="313">
        <f t="shared" si="176"/>
        <v>21.892135499999998</v>
      </c>
      <c r="BC985" s="313">
        <f t="shared" si="177"/>
        <v>3.9372457500000003E-3</v>
      </c>
      <c r="BD985" s="313">
        <f t="shared" si="177"/>
        <v>1.5119296499999999E-4</v>
      </c>
      <c r="BE985" s="313">
        <f t="shared" si="177"/>
        <v>1.2583764749999999</v>
      </c>
      <c r="BL985" s="62">
        <v>0</v>
      </c>
      <c r="BM985" s="275">
        <v>3</v>
      </c>
      <c r="BN985" s="62">
        <v>0.03</v>
      </c>
      <c r="BO985" s="33" t="s">
        <v>600</v>
      </c>
      <c r="BP985" s="33" t="s">
        <v>607</v>
      </c>
    </row>
    <row r="986" spans="1:68">
      <c r="A986" s="33" t="str">
        <f>Database_Productkaarten[[#This Row],[Product]]&amp;", "&amp;Database_Productkaarten[[#This Row],[Levensfase]]</f>
        <v>Opsluitband 150x200, A5</v>
      </c>
      <c r="B986" t="s">
        <v>606</v>
      </c>
      <c r="C986" t="s">
        <v>55</v>
      </c>
      <c r="D986" s="33" t="s">
        <v>599</v>
      </c>
      <c r="E986" s="33" t="s">
        <v>389</v>
      </c>
      <c r="F986" s="33" t="s">
        <v>79</v>
      </c>
      <c r="G986" s="33">
        <v>1</v>
      </c>
      <c r="H986" s="33">
        <v>0.2</v>
      </c>
      <c r="I986" s="33">
        <v>0.15</v>
      </c>
      <c r="L986" s="33">
        <v>2.4</v>
      </c>
      <c r="M986" s="271">
        <f t="shared" si="183"/>
        <v>6.8250000000000005E-2</v>
      </c>
      <c r="N986" s="41">
        <f t="shared" si="181"/>
        <v>0.14108999999999999</v>
      </c>
      <c r="O986" s="33">
        <v>25</v>
      </c>
      <c r="P986" s="40">
        <f t="shared" ref="P986:Z986" si="185">P926*1.5</f>
        <v>7.0598080500000003E-7</v>
      </c>
      <c r="Q986" s="40">
        <f t="shared" si="185"/>
        <v>7.3402030499999989E-3</v>
      </c>
      <c r="R986" s="40">
        <f t="shared" si="185"/>
        <v>1.2139131599999999</v>
      </c>
      <c r="S986" s="40">
        <f t="shared" si="185"/>
        <v>1.7891334E-7</v>
      </c>
      <c r="T986" s="40">
        <f t="shared" si="185"/>
        <v>9.8395068000000003E-4</v>
      </c>
      <c r="U986" s="40">
        <f t="shared" si="185"/>
        <v>7.5581381999999999E-3</v>
      </c>
      <c r="V986" s="40">
        <f t="shared" si="185"/>
        <v>1.6736335499999999E-3</v>
      </c>
      <c r="W986" s="40">
        <f t="shared" si="185"/>
        <v>0.36210301499999997</v>
      </c>
      <c r="X986" s="40">
        <f t="shared" si="185"/>
        <v>5.7119199000000001E-3</v>
      </c>
      <c r="Y986" s="40">
        <f t="shared" si="185"/>
        <v>20.395972499999999</v>
      </c>
      <c r="Z986" s="40">
        <f t="shared" si="185"/>
        <v>1.0982905649999999E-3</v>
      </c>
      <c r="AV986" s="313">
        <f t="shared" si="175"/>
        <v>0.31632165000000001</v>
      </c>
      <c r="AW986" s="314"/>
      <c r="AX986" s="314"/>
      <c r="AY986" s="313">
        <f t="shared" si="176"/>
        <v>16.45044</v>
      </c>
      <c r="BC986" s="313">
        <f t="shared" si="177"/>
        <v>1.8991047E-2</v>
      </c>
      <c r="BD986" s="313">
        <f t="shared" si="177"/>
        <v>0.13492604850000001</v>
      </c>
      <c r="BE986" s="313">
        <f t="shared" si="177"/>
        <v>0.11571762150000001</v>
      </c>
      <c r="BL986" s="62">
        <v>0</v>
      </c>
      <c r="BM986" s="275">
        <v>3</v>
      </c>
      <c r="BN986" s="62">
        <v>0.03</v>
      </c>
      <c r="BO986" s="33" t="s">
        <v>600</v>
      </c>
      <c r="BP986" s="33" t="s">
        <v>607</v>
      </c>
    </row>
    <row r="987" spans="1:68">
      <c r="A987" s="33" t="str">
        <f>Database_Productkaarten[[#This Row],[Product]]&amp;", "&amp;Database_Productkaarten[[#This Row],[Levensfase]]</f>
        <v>Opsluitband 150x200, B1</v>
      </c>
      <c r="B987" t="s">
        <v>606</v>
      </c>
      <c r="C987" t="s">
        <v>55</v>
      </c>
      <c r="D987" s="33" t="s">
        <v>599</v>
      </c>
      <c r="E987" s="33" t="s">
        <v>389</v>
      </c>
      <c r="F987" s="33" t="s">
        <v>80</v>
      </c>
      <c r="G987" s="33">
        <v>1</v>
      </c>
      <c r="H987" s="33">
        <v>0.2</v>
      </c>
      <c r="I987" s="33">
        <v>0.15</v>
      </c>
      <c r="L987" s="33">
        <v>2.4</v>
      </c>
      <c r="M987" s="271">
        <f t="shared" si="183"/>
        <v>6.8250000000000005E-2</v>
      </c>
      <c r="N987" s="41">
        <f t="shared" si="181"/>
        <v>0</v>
      </c>
      <c r="O987" s="33">
        <v>25</v>
      </c>
      <c r="P987" s="40">
        <f t="shared" ref="P987:Z987" si="186">P927*1.5</f>
        <v>0</v>
      </c>
      <c r="Q987" s="40">
        <f t="shared" si="186"/>
        <v>0</v>
      </c>
      <c r="R987" s="40">
        <f t="shared" si="186"/>
        <v>0</v>
      </c>
      <c r="S987" s="40">
        <f t="shared" si="186"/>
        <v>0</v>
      </c>
      <c r="T987" s="40">
        <f t="shared" si="186"/>
        <v>0</v>
      </c>
      <c r="U987" s="40">
        <f t="shared" si="186"/>
        <v>0</v>
      </c>
      <c r="V987" s="40">
        <f t="shared" si="186"/>
        <v>0</v>
      </c>
      <c r="W987" s="40">
        <f t="shared" si="186"/>
        <v>0</v>
      </c>
      <c r="X987" s="40">
        <f t="shared" si="186"/>
        <v>0</v>
      </c>
      <c r="Y987" s="40">
        <f t="shared" si="186"/>
        <v>0</v>
      </c>
      <c r="Z987" s="40">
        <f t="shared" si="186"/>
        <v>0</v>
      </c>
      <c r="AV987" s="313">
        <f t="shared" si="175"/>
        <v>0</v>
      </c>
      <c r="AW987" s="314"/>
      <c r="AX987" s="314"/>
      <c r="AY987" s="313">
        <f t="shared" si="176"/>
        <v>0</v>
      </c>
      <c r="BC987" s="313">
        <f t="shared" si="177"/>
        <v>0</v>
      </c>
      <c r="BD987" s="313">
        <f t="shared" si="177"/>
        <v>0</v>
      </c>
      <c r="BE987" s="313">
        <f t="shared" si="177"/>
        <v>0</v>
      </c>
      <c r="BL987" s="62">
        <v>0</v>
      </c>
      <c r="BM987" s="275">
        <v>3</v>
      </c>
      <c r="BN987" s="62">
        <v>0.03</v>
      </c>
      <c r="BO987" s="33" t="s">
        <v>600</v>
      </c>
      <c r="BP987" s="33" t="s">
        <v>607</v>
      </c>
    </row>
    <row r="988" spans="1:68">
      <c r="A988" s="33" t="str">
        <f>Database_Productkaarten[[#This Row],[Product]]&amp;", "&amp;Database_Productkaarten[[#This Row],[Levensfase]]</f>
        <v>Opsluitband 150x200, C1</v>
      </c>
      <c r="B988" t="s">
        <v>606</v>
      </c>
      <c r="C988" t="s">
        <v>55</v>
      </c>
      <c r="D988" s="33" t="s">
        <v>599</v>
      </c>
      <c r="E988" s="33" t="s">
        <v>389</v>
      </c>
      <c r="F988" s="33" t="s">
        <v>83</v>
      </c>
      <c r="G988" s="33">
        <v>1</v>
      </c>
      <c r="H988" s="33">
        <v>0.2</v>
      </c>
      <c r="I988" s="33">
        <v>0.15</v>
      </c>
      <c r="L988" s="33">
        <v>2.4</v>
      </c>
      <c r="M988" s="271">
        <f t="shared" si="183"/>
        <v>6.8250000000000005E-2</v>
      </c>
      <c r="N988" s="41">
        <f t="shared" si="181"/>
        <v>0.11805000000000002</v>
      </c>
      <c r="O988" s="33">
        <v>25</v>
      </c>
      <c r="P988" s="40">
        <f t="shared" ref="P988:Z988" si="187">P928*1.5</f>
        <v>2.9886641999999996E-7</v>
      </c>
      <c r="Q988" s="40">
        <f t="shared" si="187"/>
        <v>6.1576282499999999E-3</v>
      </c>
      <c r="R988" s="40">
        <f t="shared" si="187"/>
        <v>0.89245920000000001</v>
      </c>
      <c r="S988" s="40">
        <f t="shared" si="187"/>
        <v>1.6075153499999999E-7</v>
      </c>
      <c r="T988" s="40">
        <f t="shared" si="187"/>
        <v>8.9957635500000012E-4</v>
      </c>
      <c r="U988" s="40">
        <f t="shared" si="187"/>
        <v>6.7527877499999993E-3</v>
      </c>
      <c r="V988" s="40">
        <f t="shared" si="187"/>
        <v>1.5120919500000002E-3</v>
      </c>
      <c r="W988" s="40">
        <f t="shared" si="187"/>
        <v>0.315924645</v>
      </c>
      <c r="X988" s="40">
        <f t="shared" si="187"/>
        <v>4.4181742500000003E-3</v>
      </c>
      <c r="Y988" s="40">
        <f t="shared" si="187"/>
        <v>14.97686685</v>
      </c>
      <c r="Z988" s="40">
        <f t="shared" si="187"/>
        <v>5.2790124000000002E-4</v>
      </c>
      <c r="AV988" s="313">
        <f t="shared" si="175"/>
        <v>7.4163259499999995E-2</v>
      </c>
      <c r="AW988" s="314"/>
      <c r="AX988" s="314"/>
      <c r="AY988" s="313">
        <f t="shared" si="176"/>
        <v>13.81277025</v>
      </c>
      <c r="BC988" s="313">
        <f t="shared" si="177"/>
        <v>1.1387944800000001E-3</v>
      </c>
      <c r="BD988" s="313">
        <f t="shared" si="177"/>
        <v>9.562735799999999E-5</v>
      </c>
      <c r="BE988" s="313">
        <f t="shared" si="177"/>
        <v>1.4094355200000002E-2</v>
      </c>
      <c r="BL988" s="62">
        <v>0</v>
      </c>
      <c r="BM988" s="275">
        <v>3</v>
      </c>
      <c r="BN988" s="62">
        <v>0.03</v>
      </c>
      <c r="BO988" s="33" t="s">
        <v>600</v>
      </c>
      <c r="BP988" s="33" t="s">
        <v>607</v>
      </c>
    </row>
    <row r="989" spans="1:68">
      <c r="A989" s="33" t="str">
        <f>Database_Productkaarten[[#This Row],[Product]]&amp;", "&amp;Database_Productkaarten[[#This Row],[Levensfase]]</f>
        <v>Opsluitband 150x200, C2</v>
      </c>
      <c r="B989" t="s">
        <v>606</v>
      </c>
      <c r="C989" t="s">
        <v>55</v>
      </c>
      <c r="D989" s="33" t="s">
        <v>599</v>
      </c>
      <c r="E989" s="33" t="s">
        <v>389</v>
      </c>
      <c r="F989" s="33" t="s">
        <v>84</v>
      </c>
      <c r="G989" s="33">
        <v>1</v>
      </c>
      <c r="H989" s="33">
        <v>0.2</v>
      </c>
      <c r="I989" s="33">
        <v>0.15</v>
      </c>
      <c r="L989" s="33">
        <v>2.4</v>
      </c>
      <c r="M989" s="271">
        <f t="shared" si="183"/>
        <v>6.8250000000000005E-2</v>
      </c>
      <c r="N989" s="41">
        <f t="shared" si="181"/>
        <v>5.2919999999999995E-2</v>
      </c>
      <c r="O989" s="33">
        <v>25</v>
      </c>
      <c r="P989" s="40">
        <f t="shared" ref="P989:Z989" si="188">P929*1.5</f>
        <v>1.273769205E-6</v>
      </c>
      <c r="Q989" s="40">
        <f t="shared" si="188"/>
        <v>3.3061115999999998E-3</v>
      </c>
      <c r="R989" s="40">
        <f t="shared" si="188"/>
        <v>0.44790598500000001</v>
      </c>
      <c r="S989" s="40">
        <f t="shared" si="188"/>
        <v>8.25402345E-8</v>
      </c>
      <c r="T989" s="40">
        <f t="shared" si="188"/>
        <v>2.6436837E-4</v>
      </c>
      <c r="U989" s="40">
        <f t="shared" si="188"/>
        <v>1.9418656499999999E-3</v>
      </c>
      <c r="V989" s="40">
        <f t="shared" si="188"/>
        <v>3.8696108999999998E-4</v>
      </c>
      <c r="W989" s="40">
        <f t="shared" si="188"/>
        <v>0.17919741</v>
      </c>
      <c r="X989" s="40">
        <f t="shared" si="188"/>
        <v>5.2556185500000005E-3</v>
      </c>
      <c r="Y989" s="40">
        <f t="shared" si="188"/>
        <v>18.969085500000002</v>
      </c>
      <c r="Z989" s="40">
        <f t="shared" si="188"/>
        <v>6.3491937E-4</v>
      </c>
      <c r="AV989" s="313">
        <f t="shared" si="175"/>
        <v>9.4322608500000016E-2</v>
      </c>
      <c r="AW989" s="314"/>
      <c r="AX989" s="314"/>
      <c r="AY989" s="313">
        <f t="shared" si="176"/>
        <v>7.3703519999999996</v>
      </c>
      <c r="BC989" s="313">
        <f t="shared" si="177"/>
        <v>1.3255394250000002E-3</v>
      </c>
      <c r="BD989" s="313">
        <f t="shared" si="177"/>
        <v>5.0901632999999998E-5</v>
      </c>
      <c r="BE989" s="313">
        <f t="shared" si="177"/>
        <v>0.42365341499999998</v>
      </c>
      <c r="BL989" s="62">
        <v>0</v>
      </c>
      <c r="BM989" s="275">
        <v>3</v>
      </c>
      <c r="BN989" s="62">
        <v>0.03</v>
      </c>
      <c r="BO989" s="33" t="s">
        <v>600</v>
      </c>
      <c r="BP989" s="33" t="s">
        <v>607</v>
      </c>
    </row>
    <row r="990" spans="1:68">
      <c r="A990" s="33" t="str">
        <f>Database_Productkaarten[[#This Row],[Product]]&amp;", "&amp;Database_Productkaarten[[#This Row],[Levensfase]]</f>
        <v>Opsluitband 150x200, C3</v>
      </c>
      <c r="B990" t="s">
        <v>606</v>
      </c>
      <c r="C990" t="s">
        <v>55</v>
      </c>
      <c r="D990" s="33" t="s">
        <v>599</v>
      </c>
      <c r="E990" s="33" t="s">
        <v>389</v>
      </c>
      <c r="F990" s="33" t="s">
        <v>85</v>
      </c>
      <c r="G990" s="33">
        <v>1</v>
      </c>
      <c r="H990" s="33">
        <v>0.2</v>
      </c>
      <c r="I990" s="33">
        <v>0.15</v>
      </c>
      <c r="L990" s="33">
        <v>2.4</v>
      </c>
      <c r="M990" s="271">
        <f t="shared" si="183"/>
        <v>6.8250000000000005E-2</v>
      </c>
      <c r="N990" s="41">
        <f t="shared" si="181"/>
        <v>1.1294999999999999E-2</v>
      </c>
      <c r="O990" s="33">
        <v>25</v>
      </c>
      <c r="P990" s="40">
        <f t="shared" ref="P990:Z990" si="189">P930*1.5</f>
        <v>6.4585218000000002E-8</v>
      </c>
      <c r="Q990" s="40">
        <f t="shared" si="189"/>
        <v>8.0136283500000004E-4</v>
      </c>
      <c r="R990" s="40">
        <f t="shared" si="189"/>
        <v>0.10636686149999999</v>
      </c>
      <c r="S990" s="40">
        <f t="shared" si="189"/>
        <v>1.2355789800000001E-8</v>
      </c>
      <c r="T990" s="40">
        <f t="shared" si="189"/>
        <v>5.9595972E-5</v>
      </c>
      <c r="U990" s="40">
        <f t="shared" si="189"/>
        <v>4.9143740999999994E-4</v>
      </c>
      <c r="V990" s="40">
        <f t="shared" si="189"/>
        <v>1.10823696E-4</v>
      </c>
      <c r="W990" s="40">
        <f t="shared" si="189"/>
        <v>2.3270159999999998E-2</v>
      </c>
      <c r="X990" s="40">
        <f t="shared" si="189"/>
        <v>3.8843977499999997E-4</v>
      </c>
      <c r="Y990" s="40">
        <f t="shared" si="189"/>
        <v>1.490087505</v>
      </c>
      <c r="Z990" s="40">
        <f t="shared" si="189"/>
        <v>3.1391808E-4</v>
      </c>
      <c r="AV990" s="313">
        <f t="shared" si="175"/>
        <v>8.6306707499999996E-2</v>
      </c>
      <c r="AW990" s="314"/>
      <c r="AX990" s="314"/>
      <c r="AY990" s="313">
        <f t="shared" si="176"/>
        <v>1.6779073499999999</v>
      </c>
      <c r="BC990" s="313">
        <f t="shared" si="177"/>
        <v>2.6773969500000001E-4</v>
      </c>
      <c r="BD990" s="313">
        <f t="shared" si="177"/>
        <v>9.7200070500000001E-6</v>
      </c>
      <c r="BE990" s="313">
        <f t="shared" si="177"/>
        <v>0.20289877499999998</v>
      </c>
      <c r="BL990" s="62">
        <v>0</v>
      </c>
      <c r="BM990" s="275">
        <v>3</v>
      </c>
      <c r="BN990" s="62">
        <v>0.03</v>
      </c>
      <c r="BO990" s="33" t="s">
        <v>600</v>
      </c>
      <c r="BP990" s="33" t="s">
        <v>607</v>
      </c>
    </row>
    <row r="991" spans="1:68">
      <c r="A991" s="33" t="str">
        <f>Database_Productkaarten[[#This Row],[Product]]&amp;", "&amp;Database_Productkaarten[[#This Row],[Levensfase]]</f>
        <v>Opsluitband 150x200, C4</v>
      </c>
      <c r="B991" t="s">
        <v>606</v>
      </c>
      <c r="C991" t="s">
        <v>55</v>
      </c>
      <c r="D991" s="33" t="s">
        <v>599</v>
      </c>
      <c r="E991" s="33" t="s">
        <v>389</v>
      </c>
      <c r="F991" s="33" t="s">
        <v>86</v>
      </c>
      <c r="G991" s="33">
        <v>1</v>
      </c>
      <c r="H991" s="33">
        <v>0.2</v>
      </c>
      <c r="I991" s="33">
        <v>0.15</v>
      </c>
      <c r="L991" s="33">
        <v>2.4</v>
      </c>
      <c r="M991" s="271">
        <f t="shared" si="183"/>
        <v>6.8250000000000005E-2</v>
      </c>
      <c r="N991" s="41">
        <f t="shared" si="181"/>
        <v>4.95E-4</v>
      </c>
      <c r="O991" s="33">
        <v>25</v>
      </c>
      <c r="P991" s="40">
        <f t="shared" ref="P991:Z991" si="190">P931*1.5</f>
        <v>4.1065058999999996E-9</v>
      </c>
      <c r="Q991" s="40">
        <f t="shared" si="190"/>
        <v>4.8963767999999993E-5</v>
      </c>
      <c r="R991" s="40">
        <f t="shared" si="190"/>
        <v>3.5979305999999998E-3</v>
      </c>
      <c r="S991" s="40">
        <f t="shared" si="190"/>
        <v>1.1908583849999999E-9</v>
      </c>
      <c r="T991" s="40">
        <f t="shared" si="190"/>
        <v>3.8128179000000003E-6</v>
      </c>
      <c r="U991" s="40">
        <f t="shared" si="190"/>
        <v>2.6586528000000004E-5</v>
      </c>
      <c r="V991" s="40">
        <f t="shared" si="190"/>
        <v>5.0036434499999997E-6</v>
      </c>
      <c r="W991" s="40">
        <f t="shared" si="190"/>
        <v>1.4668649999999999E-3</v>
      </c>
      <c r="X991" s="40">
        <f t="shared" si="190"/>
        <v>3.6475243500000002E-5</v>
      </c>
      <c r="Y991" s="40">
        <f t="shared" si="190"/>
        <v>0.1254524025</v>
      </c>
      <c r="Z991" s="40">
        <f t="shared" si="190"/>
        <v>4.3442110499999999E-6</v>
      </c>
      <c r="AV991" s="313">
        <f t="shared" si="175"/>
        <v>2.6227110000000002E-3</v>
      </c>
      <c r="AW991" s="314"/>
      <c r="AX991" s="314"/>
      <c r="AY991" s="313">
        <f t="shared" si="176"/>
        <v>0.1093762335</v>
      </c>
      <c r="BC991" s="313">
        <f t="shared" si="177"/>
        <v>1.1023727850000001E-4</v>
      </c>
      <c r="BD991" s="313">
        <f t="shared" si="177"/>
        <v>7.4298466500000009E-7</v>
      </c>
      <c r="BE991" s="313">
        <f t="shared" si="177"/>
        <v>0.67328242500000002</v>
      </c>
      <c r="BL991" s="62">
        <v>0</v>
      </c>
      <c r="BM991" s="275">
        <v>3</v>
      </c>
      <c r="BN991" s="62">
        <v>0.03</v>
      </c>
      <c r="BO991" s="33" t="s">
        <v>600</v>
      </c>
      <c r="BP991" s="33" t="s">
        <v>607</v>
      </c>
    </row>
    <row r="992" spans="1:68">
      <c r="A992" s="33" t="str">
        <f>Database_Productkaarten[[#This Row],[Product]]&amp;", "&amp;Database_Productkaarten[[#This Row],[Levensfase]]</f>
        <v>Opsluitband 150x200, D</v>
      </c>
      <c r="B992" s="33" t="str">
        <f>B993</f>
        <v>Opsluitband 150x200</v>
      </c>
      <c r="C992" s="33" t="str">
        <f>C993</f>
        <v>Elementenverhardingen</v>
      </c>
      <c r="D992" s="33" t="str">
        <f>D993</f>
        <v>Opsluitband</v>
      </c>
      <c r="E992" s="33" t="str">
        <f>E993</f>
        <v>m1</v>
      </c>
      <c r="F992" s="33" t="s">
        <v>89</v>
      </c>
      <c r="G992" s="33">
        <f t="shared" ref="G992:M992" si="191">G993</f>
        <v>1</v>
      </c>
      <c r="H992" s="33">
        <f t="shared" si="191"/>
        <v>0.2</v>
      </c>
      <c r="I992" s="33">
        <f t="shared" si="191"/>
        <v>0.15</v>
      </c>
      <c r="L992" s="33">
        <f t="shared" si="191"/>
        <v>2.4</v>
      </c>
      <c r="M992" s="45">
        <f t="shared" si="191"/>
        <v>6.8250000000000005E-2</v>
      </c>
      <c r="N992" s="41">
        <f t="shared" si="181"/>
        <v>-3.5415000000000002E-2</v>
      </c>
      <c r="O992" s="33">
        <v>25</v>
      </c>
      <c r="P992" s="40">
        <f>SUM(P993:P994)</f>
        <v>0</v>
      </c>
      <c r="Q992" s="40">
        <f>SUM(Q993:Q994)</f>
        <v>0</v>
      </c>
      <c r="R992" s="40">
        <f>SUM(R993:R994)</f>
        <v>0</v>
      </c>
      <c r="S992" s="40">
        <f t="shared" ref="S992:BK992" si="192">SUM(S993:S994)</f>
        <v>0</v>
      </c>
      <c r="T992" s="40">
        <f t="shared" si="192"/>
        <v>0</v>
      </c>
      <c r="U992" s="40">
        <f t="shared" si="192"/>
        <v>0</v>
      </c>
      <c r="V992" s="40">
        <f t="shared" si="192"/>
        <v>0</v>
      </c>
      <c r="W992" s="40">
        <f t="shared" si="192"/>
        <v>0</v>
      </c>
      <c r="X992" s="40">
        <f t="shared" si="192"/>
        <v>0</v>
      </c>
      <c r="Y992" s="40">
        <f t="shared" si="192"/>
        <v>0</v>
      </c>
      <c r="Z992" s="40">
        <f t="shared" si="192"/>
        <v>0</v>
      </c>
      <c r="AA992" s="40">
        <f t="shared" si="192"/>
        <v>0</v>
      </c>
      <c r="AB992" s="40">
        <f t="shared" si="192"/>
        <v>0</v>
      </c>
      <c r="AC992" s="40">
        <f t="shared" si="192"/>
        <v>0</v>
      </c>
      <c r="AD992" s="40">
        <f t="shared" si="192"/>
        <v>0</v>
      </c>
      <c r="AE992" s="40">
        <f t="shared" si="192"/>
        <v>0</v>
      </c>
      <c r="AF992" s="40">
        <f t="shared" si="192"/>
        <v>0</v>
      </c>
      <c r="AG992" s="40">
        <f t="shared" si="192"/>
        <v>0</v>
      </c>
      <c r="AH992" s="40">
        <f t="shared" si="192"/>
        <v>0</v>
      </c>
      <c r="AI992" s="40">
        <f t="shared" si="192"/>
        <v>0</v>
      </c>
      <c r="AJ992" s="40">
        <f t="shared" si="192"/>
        <v>0</v>
      </c>
      <c r="AK992" s="40">
        <f t="shared" si="192"/>
        <v>0</v>
      </c>
      <c r="AL992" s="40">
        <f t="shared" si="192"/>
        <v>0</v>
      </c>
      <c r="AM992" s="40">
        <f t="shared" si="192"/>
        <v>0</v>
      </c>
      <c r="AN992" s="40">
        <f t="shared" si="192"/>
        <v>0</v>
      </c>
      <c r="AO992" s="40">
        <f t="shared" si="192"/>
        <v>0</v>
      </c>
      <c r="AP992" s="40">
        <f t="shared" si="192"/>
        <v>0</v>
      </c>
      <c r="AQ992" s="40">
        <f t="shared" si="192"/>
        <v>0</v>
      </c>
      <c r="AR992" s="40">
        <f t="shared" si="192"/>
        <v>0</v>
      </c>
      <c r="AS992" s="40">
        <f t="shared" si="192"/>
        <v>0</v>
      </c>
      <c r="AT992" s="40">
        <f t="shared" si="192"/>
        <v>0</v>
      </c>
      <c r="AU992" s="40">
        <f t="shared" si="192"/>
        <v>0</v>
      </c>
      <c r="AV992" s="313">
        <f t="shared" si="175"/>
        <v>-0.21751226999999998</v>
      </c>
      <c r="AW992" s="317">
        <f t="shared" si="192"/>
        <v>0</v>
      </c>
      <c r="AX992" s="317">
        <f t="shared" si="192"/>
        <v>0</v>
      </c>
      <c r="AY992" s="313">
        <f t="shared" si="176"/>
        <v>-3.5592444000000003</v>
      </c>
      <c r="AZ992" s="40">
        <f t="shared" si="192"/>
        <v>0</v>
      </c>
      <c r="BA992" s="40">
        <f t="shared" si="192"/>
        <v>0</v>
      </c>
      <c r="BB992" s="40">
        <f t="shared" si="192"/>
        <v>0</v>
      </c>
      <c r="BC992" s="313">
        <f t="shared" si="177"/>
        <v>-8.5308334499999999E-2</v>
      </c>
      <c r="BD992" s="313">
        <f t="shared" si="177"/>
        <v>-1.90419555E-5</v>
      </c>
      <c r="BE992" s="313">
        <f t="shared" si="177"/>
        <v>-3.4144275000000002E-2</v>
      </c>
      <c r="BF992" s="40">
        <f t="shared" si="192"/>
        <v>0</v>
      </c>
      <c r="BG992" s="40">
        <f t="shared" si="192"/>
        <v>0</v>
      </c>
      <c r="BH992" s="40">
        <f t="shared" si="192"/>
        <v>0</v>
      </c>
      <c r="BI992" s="40">
        <f t="shared" si="192"/>
        <v>0</v>
      </c>
      <c r="BJ992" s="40">
        <f t="shared" si="192"/>
        <v>0</v>
      </c>
      <c r="BK992" s="40">
        <f t="shared" si="192"/>
        <v>0</v>
      </c>
      <c r="BL992" s="62">
        <f>BL993</f>
        <v>0</v>
      </c>
      <c r="BM992" s="275">
        <f>BM993</f>
        <v>3</v>
      </c>
      <c r="BN992" s="62">
        <v>0.03</v>
      </c>
      <c r="BO992" s="33" t="str">
        <f>BO993</f>
        <v>NMD Opsluitband 100x200x1000mm grijs</v>
      </c>
    </row>
    <row r="993" spans="1:68">
      <c r="A993" s="33" t="str">
        <f>Database_Productkaarten[[#This Row],[Product]]&amp;", "&amp;Database_Productkaarten[[#This Row],[Levensfase]]</f>
        <v>Opsluitband 150x200, D1</v>
      </c>
      <c r="B993" t="s">
        <v>606</v>
      </c>
      <c r="C993" t="s">
        <v>55</v>
      </c>
      <c r="D993" s="33" t="s">
        <v>599</v>
      </c>
      <c r="E993" s="33" t="s">
        <v>389</v>
      </c>
      <c r="F993" s="33" t="s">
        <v>87</v>
      </c>
      <c r="G993" s="33">
        <v>1</v>
      </c>
      <c r="H993" s="33">
        <v>0.2</v>
      </c>
      <c r="I993" s="33">
        <v>0.15</v>
      </c>
      <c r="L993" s="33">
        <v>2.4</v>
      </c>
      <c r="M993" s="271">
        <f>M933*1.5</f>
        <v>6.8250000000000005E-2</v>
      </c>
      <c r="N993" s="41">
        <f t="shared" si="181"/>
        <v>0</v>
      </c>
      <c r="O993" s="33">
        <v>25</v>
      </c>
      <c r="P993" s="40">
        <f t="shared" ref="P993:Z993" si="193">P933*1.5</f>
        <v>0</v>
      </c>
      <c r="Q993" s="40">
        <f t="shared" si="193"/>
        <v>0</v>
      </c>
      <c r="R993" s="40">
        <f t="shared" si="193"/>
        <v>0</v>
      </c>
      <c r="S993" s="40">
        <f t="shared" si="193"/>
        <v>0</v>
      </c>
      <c r="T993" s="40">
        <f t="shared" si="193"/>
        <v>0</v>
      </c>
      <c r="U993" s="40">
        <f t="shared" si="193"/>
        <v>0</v>
      </c>
      <c r="V993" s="40">
        <f t="shared" si="193"/>
        <v>0</v>
      </c>
      <c r="W993" s="40">
        <f t="shared" si="193"/>
        <v>0</v>
      </c>
      <c r="X993" s="40">
        <f t="shared" si="193"/>
        <v>0</v>
      </c>
      <c r="Y993" s="40">
        <f t="shared" si="193"/>
        <v>0</v>
      </c>
      <c r="Z993" s="40">
        <f t="shared" si="193"/>
        <v>0</v>
      </c>
      <c r="AV993" s="313">
        <f t="shared" si="175"/>
        <v>0</v>
      </c>
      <c r="AW993" s="314"/>
      <c r="AX993" s="314"/>
      <c r="AY993" s="313">
        <f t="shared" si="176"/>
        <v>0</v>
      </c>
      <c r="BC993" s="313"/>
      <c r="BD993" s="313"/>
      <c r="BE993" s="313"/>
      <c r="BL993" s="62">
        <v>0</v>
      </c>
      <c r="BM993" s="275">
        <v>3</v>
      </c>
      <c r="BN993" s="62">
        <v>0.03</v>
      </c>
      <c r="BO993" s="33" t="s">
        <v>600</v>
      </c>
      <c r="BP993" s="33" t="s">
        <v>607</v>
      </c>
    </row>
    <row r="994" spans="1:68">
      <c r="A994" s="33" t="str">
        <f>Database_Productkaarten[[#This Row],[Product]]&amp;", "&amp;Database_Productkaarten[[#This Row],[Levensfase]]</f>
        <v>Opsluitband 150x200, D2</v>
      </c>
      <c r="B994" t="s">
        <v>606</v>
      </c>
      <c r="C994" t="s">
        <v>55</v>
      </c>
      <c r="D994" s="33" t="s">
        <v>599</v>
      </c>
      <c r="E994" s="33" t="s">
        <v>389</v>
      </c>
      <c r="F994" s="33" t="s">
        <v>88</v>
      </c>
      <c r="G994" s="33">
        <v>1</v>
      </c>
      <c r="H994" s="33">
        <v>0.2</v>
      </c>
      <c r="I994" s="33">
        <v>0.15</v>
      </c>
      <c r="L994" s="33">
        <v>2.4</v>
      </c>
      <c r="M994" s="271">
        <f>M934*1.5</f>
        <v>6.8250000000000005E-2</v>
      </c>
      <c r="N994" s="41">
        <f t="shared" si="181"/>
        <v>0</v>
      </c>
      <c r="O994" s="33">
        <v>25</v>
      </c>
      <c r="P994" s="40">
        <f t="shared" ref="P994:Z994" si="194">P934*1.5</f>
        <v>0</v>
      </c>
      <c r="Q994" s="40">
        <f t="shared" si="194"/>
        <v>0</v>
      </c>
      <c r="R994" s="40">
        <f t="shared" si="194"/>
        <v>0</v>
      </c>
      <c r="S994" s="40">
        <f t="shared" si="194"/>
        <v>0</v>
      </c>
      <c r="T994" s="40">
        <f t="shared" si="194"/>
        <v>0</v>
      </c>
      <c r="U994" s="40">
        <f t="shared" si="194"/>
        <v>0</v>
      </c>
      <c r="V994" s="40">
        <f t="shared" si="194"/>
        <v>0</v>
      </c>
      <c r="W994" s="40">
        <f t="shared" si="194"/>
        <v>0</v>
      </c>
      <c r="X994" s="40">
        <f t="shared" si="194"/>
        <v>0</v>
      </c>
      <c r="Y994" s="40">
        <f t="shared" si="194"/>
        <v>0</v>
      </c>
      <c r="Z994" s="40">
        <f t="shared" si="194"/>
        <v>0</v>
      </c>
      <c r="AV994" s="313">
        <f t="shared" si="175"/>
        <v>0</v>
      </c>
      <c r="AW994" s="314"/>
      <c r="AX994" s="314"/>
      <c r="AY994" s="313">
        <f t="shared" si="176"/>
        <v>0</v>
      </c>
      <c r="BL994" s="62">
        <v>0</v>
      </c>
      <c r="BM994" s="275">
        <v>3</v>
      </c>
      <c r="BN994" s="62">
        <v>0.03</v>
      </c>
      <c r="BO994" s="33" t="s">
        <v>600</v>
      </c>
      <c r="BP994" s="33" t="s">
        <v>607</v>
      </c>
    </row>
    <row r="995" spans="1:68">
      <c r="A995" s="33" t="str">
        <f>Database_Productkaarten[[#This Row],[Product]]&amp;", "&amp;Database_Productkaarten[[#This Row],[Levensfase]]</f>
        <v>Opsluitband 150x200 (hergebruik), Totaal</v>
      </c>
      <c r="B995" t="s">
        <v>608</v>
      </c>
      <c r="C995" t="s">
        <v>55</v>
      </c>
      <c r="D995" s="33" t="s">
        <v>599</v>
      </c>
      <c r="E995" s="33" t="s">
        <v>389</v>
      </c>
      <c r="F995" s="33" t="s">
        <v>90</v>
      </c>
      <c r="G995" s="33">
        <v>1</v>
      </c>
      <c r="H995" s="33">
        <v>0.2</v>
      </c>
      <c r="I995" s="33">
        <v>0.15</v>
      </c>
      <c r="L995" s="33">
        <v>2.4</v>
      </c>
      <c r="M995" s="271">
        <f t="shared" ref="M995:M1009" si="195">M935*1.5</f>
        <v>6.8250000000000005E-2</v>
      </c>
      <c r="N995" s="41">
        <f>SUM(N999:N1007)</f>
        <v>0.5450895</v>
      </c>
      <c r="O995" s="33">
        <v>25</v>
      </c>
      <c r="P995" s="163">
        <f t="shared" ref="P995:Z995" si="196">SUM(P999:P1007)</f>
        <v>7.1155298306999989E-6</v>
      </c>
      <c r="Q995" s="163">
        <f t="shared" si="196"/>
        <v>3.0195805158000001E-2</v>
      </c>
      <c r="R995" s="163">
        <f t="shared" si="196"/>
        <v>4.9040727291000001</v>
      </c>
      <c r="S995" s="163">
        <f t="shared" si="196"/>
        <v>7.0960667653500012E-7</v>
      </c>
      <c r="T995" s="163">
        <f t="shared" si="196"/>
        <v>3.1851634879500003E-3</v>
      </c>
      <c r="U995" s="163">
        <f t="shared" si="196"/>
        <v>2.4552277768500001E-2</v>
      </c>
      <c r="V995" s="163">
        <f t="shared" si="196"/>
        <v>5.2359632014500014E-3</v>
      </c>
      <c r="W995" s="163">
        <f t="shared" si="196"/>
        <v>1.5048990955500001</v>
      </c>
      <c r="X995" s="163">
        <f t="shared" si="196"/>
        <v>3.3755620549500001E-2</v>
      </c>
      <c r="Y995" s="163">
        <f t="shared" si="196"/>
        <v>123.39196422750001</v>
      </c>
      <c r="Z995" s="163">
        <f t="shared" si="196"/>
        <v>6.1413001810500002E-3</v>
      </c>
      <c r="AA995" s="40"/>
      <c r="AB995" s="40"/>
      <c r="AC995" s="40"/>
      <c r="AD995" s="40"/>
      <c r="AE995" s="40"/>
      <c r="AF995" s="40"/>
      <c r="AG995" s="40"/>
      <c r="AH995" s="40"/>
      <c r="AI995" s="40"/>
      <c r="AJ995" s="40"/>
      <c r="AK995" s="40"/>
      <c r="AL995" s="40"/>
      <c r="AM995" s="40"/>
      <c r="AN995" s="40"/>
      <c r="AO995" s="40"/>
      <c r="AP995" s="40"/>
      <c r="AQ995" s="40"/>
      <c r="AR995" s="40"/>
      <c r="AS995" s="40"/>
      <c r="AT995" s="40"/>
      <c r="AU995" s="40"/>
      <c r="AV995" s="163">
        <f>SUM(AV999:AV1007)</f>
        <v>1.6365071406000002</v>
      </c>
      <c r="AW995" s="40"/>
      <c r="AX995" s="40"/>
      <c r="AY995" s="163">
        <f>SUM(AY999:AY1007)</f>
        <v>67.356162463499984</v>
      </c>
      <c r="AZ995" s="40"/>
      <c r="BA995" s="40"/>
      <c r="BB995" s="40"/>
      <c r="BC995" s="163">
        <f t="shared" ref="BC995:BE995" si="197">SUM(BC999:BC1007)</f>
        <v>9.3244870722000009E-2</v>
      </c>
      <c r="BD995" s="163">
        <f t="shared" si="197"/>
        <v>0.58464962069986492</v>
      </c>
      <c r="BE995" s="163">
        <f t="shared" si="197"/>
        <v>2.7743606031599994</v>
      </c>
      <c r="BF995" s="40"/>
      <c r="BG995" s="40"/>
      <c r="BH995" s="40"/>
      <c r="BI995" s="40"/>
      <c r="BJ995" s="40"/>
      <c r="BK995" s="40"/>
      <c r="BL995" s="62">
        <v>1</v>
      </c>
      <c r="BM995" s="275">
        <v>3</v>
      </c>
      <c r="BN995" s="62">
        <v>0.03</v>
      </c>
      <c r="BO995" s="33" t="s">
        <v>600</v>
      </c>
      <c r="BP995" s="33" t="s">
        <v>602</v>
      </c>
    </row>
    <row r="996" spans="1:68">
      <c r="A996" s="33" t="str">
        <f>Database_Productkaarten[[#This Row],[Product]]&amp;", "&amp;Database_Productkaarten[[#This Row],[Levensfase]]</f>
        <v>Opsluitband 150x200 (hergebruik), A1</v>
      </c>
      <c r="B996" t="s">
        <v>608</v>
      </c>
      <c r="C996" t="s">
        <v>55</v>
      </c>
      <c r="D996" s="33" t="s">
        <v>599</v>
      </c>
      <c r="E996" s="33" t="s">
        <v>389</v>
      </c>
      <c r="F996" s="33" t="s">
        <v>74</v>
      </c>
      <c r="G996" s="33">
        <v>1</v>
      </c>
      <c r="H996" s="33">
        <v>0.2</v>
      </c>
      <c r="I996" s="33">
        <v>0.15</v>
      </c>
      <c r="L996" s="33">
        <v>2.4</v>
      </c>
      <c r="M996" s="271">
        <f t="shared" si="195"/>
        <v>6.8250000000000005E-2</v>
      </c>
      <c r="N996" s="41">
        <v>0</v>
      </c>
      <c r="O996" s="33">
        <v>25</v>
      </c>
      <c r="P996" s="163">
        <v>0</v>
      </c>
      <c r="Q996" s="163">
        <v>0</v>
      </c>
      <c r="R996" s="163">
        <v>0</v>
      </c>
      <c r="S996" s="163">
        <v>0</v>
      </c>
      <c r="T996" s="163">
        <v>0</v>
      </c>
      <c r="U996" s="163">
        <v>0</v>
      </c>
      <c r="V996" s="163">
        <v>0</v>
      </c>
      <c r="W996" s="163">
        <v>0</v>
      </c>
      <c r="X996" s="163">
        <v>0</v>
      </c>
      <c r="Y996" s="163">
        <v>0</v>
      </c>
      <c r="Z996" s="163">
        <v>0</v>
      </c>
      <c r="AA996" s="40"/>
      <c r="AB996" s="40"/>
      <c r="AC996" s="40"/>
      <c r="AD996" s="40"/>
      <c r="AE996" s="40"/>
      <c r="AF996" s="40"/>
      <c r="AG996" s="40"/>
      <c r="AH996" s="40"/>
      <c r="AI996" s="40"/>
      <c r="AJ996" s="40"/>
      <c r="AK996" s="40"/>
      <c r="AL996" s="40"/>
      <c r="AM996" s="40"/>
      <c r="AN996" s="40"/>
      <c r="AO996" s="40"/>
      <c r="AP996" s="40"/>
      <c r="AQ996" s="40"/>
      <c r="AR996" s="40"/>
      <c r="AS996" s="40"/>
      <c r="AT996" s="40"/>
      <c r="AU996" s="40"/>
      <c r="AV996" s="163">
        <v>0</v>
      </c>
      <c r="AW996" s="40"/>
      <c r="AX996" s="40"/>
      <c r="AY996" s="163">
        <v>0</v>
      </c>
      <c r="AZ996" s="40"/>
      <c r="BA996" s="40"/>
      <c r="BB996" s="40"/>
      <c r="BC996" s="163">
        <v>0</v>
      </c>
      <c r="BD996" s="163">
        <v>0</v>
      </c>
      <c r="BE996" s="163">
        <v>0</v>
      </c>
      <c r="BF996" s="40"/>
      <c r="BG996" s="40"/>
      <c r="BH996" s="40"/>
      <c r="BI996" s="40"/>
      <c r="BJ996" s="40"/>
      <c r="BK996" s="40"/>
      <c r="BL996" s="62">
        <v>1</v>
      </c>
      <c r="BM996" s="275">
        <v>3</v>
      </c>
      <c r="BN996" s="62">
        <v>0.03</v>
      </c>
      <c r="BO996" s="33" t="s">
        <v>600</v>
      </c>
      <c r="BP996" s="33" t="s">
        <v>602</v>
      </c>
    </row>
    <row r="997" spans="1:68">
      <c r="A997" s="33" t="str">
        <f>Database_Productkaarten[[#This Row],[Product]]&amp;", "&amp;Database_Productkaarten[[#This Row],[Levensfase]]</f>
        <v>Opsluitband 150x200 (hergebruik), A2</v>
      </c>
      <c r="B997" t="s">
        <v>608</v>
      </c>
      <c r="C997" t="s">
        <v>55</v>
      </c>
      <c r="D997" s="33" t="s">
        <v>599</v>
      </c>
      <c r="E997" s="33" t="s">
        <v>389</v>
      </c>
      <c r="F997" s="33" t="s">
        <v>75</v>
      </c>
      <c r="G997" s="33">
        <v>1</v>
      </c>
      <c r="H997" s="33">
        <v>0.2</v>
      </c>
      <c r="I997" s="33">
        <v>0.15</v>
      </c>
      <c r="L997" s="33">
        <v>2.4</v>
      </c>
      <c r="M997" s="271">
        <f t="shared" si="195"/>
        <v>6.8250000000000005E-2</v>
      </c>
      <c r="N997" s="41">
        <v>0</v>
      </c>
      <c r="O997" s="33">
        <v>25</v>
      </c>
      <c r="P997" s="163">
        <v>0</v>
      </c>
      <c r="Q997" s="163">
        <v>0</v>
      </c>
      <c r="R997" s="163">
        <v>0</v>
      </c>
      <c r="S997" s="163">
        <v>0</v>
      </c>
      <c r="T997" s="163">
        <v>0</v>
      </c>
      <c r="U997" s="163">
        <v>0</v>
      </c>
      <c r="V997" s="163">
        <v>0</v>
      </c>
      <c r="W997" s="163">
        <v>0</v>
      </c>
      <c r="X997" s="163">
        <v>0</v>
      </c>
      <c r="Y997" s="163">
        <v>0</v>
      </c>
      <c r="Z997" s="163">
        <v>0</v>
      </c>
      <c r="AA997" s="40"/>
      <c r="AB997" s="40"/>
      <c r="AC997" s="40"/>
      <c r="AD997" s="40"/>
      <c r="AE997" s="40"/>
      <c r="AF997" s="40"/>
      <c r="AG997" s="40"/>
      <c r="AH997" s="40"/>
      <c r="AI997" s="40"/>
      <c r="AJ997" s="40"/>
      <c r="AK997" s="40"/>
      <c r="AL997" s="40"/>
      <c r="AM997" s="40"/>
      <c r="AN997" s="40"/>
      <c r="AO997" s="40"/>
      <c r="AP997" s="40"/>
      <c r="AQ997" s="40"/>
      <c r="AR997" s="40"/>
      <c r="AS997" s="40"/>
      <c r="AT997" s="40"/>
      <c r="AU997" s="40"/>
      <c r="AV997" s="163">
        <v>0</v>
      </c>
      <c r="AW997" s="40"/>
      <c r="AX997" s="40"/>
      <c r="AY997" s="163">
        <v>0</v>
      </c>
      <c r="AZ997" s="40"/>
      <c r="BA997" s="40"/>
      <c r="BB997" s="40"/>
      <c r="BC997" s="163">
        <v>0</v>
      </c>
      <c r="BD997" s="163">
        <v>0</v>
      </c>
      <c r="BE997" s="163">
        <v>0</v>
      </c>
      <c r="BF997" s="40"/>
      <c r="BG997" s="40"/>
      <c r="BH997" s="40"/>
      <c r="BI997" s="40"/>
      <c r="BJ997" s="40"/>
      <c r="BK997" s="40"/>
      <c r="BL997" s="62">
        <v>1</v>
      </c>
      <c r="BM997" s="275">
        <v>3</v>
      </c>
      <c r="BN997" s="62">
        <v>0.03</v>
      </c>
      <c r="BO997" s="33" t="s">
        <v>600</v>
      </c>
      <c r="BP997" s="33" t="s">
        <v>602</v>
      </c>
    </row>
    <row r="998" spans="1:68">
      <c r="A998" s="33" t="str">
        <f>Database_Productkaarten[[#This Row],[Product]]&amp;", "&amp;Database_Productkaarten[[#This Row],[Levensfase]]</f>
        <v>Opsluitband 150x200 (hergebruik), A3</v>
      </c>
      <c r="B998" t="s">
        <v>608</v>
      </c>
      <c r="C998" t="s">
        <v>55</v>
      </c>
      <c r="D998" s="33" t="s">
        <v>599</v>
      </c>
      <c r="E998" s="33" t="s">
        <v>389</v>
      </c>
      <c r="F998" s="33" t="s">
        <v>76</v>
      </c>
      <c r="G998" s="33">
        <v>1</v>
      </c>
      <c r="H998" s="33">
        <v>0.2</v>
      </c>
      <c r="I998" s="33">
        <v>0.15</v>
      </c>
      <c r="L998" s="33">
        <v>2.4</v>
      </c>
      <c r="M998" s="271">
        <f t="shared" si="195"/>
        <v>6.8250000000000005E-2</v>
      </c>
      <c r="N998" s="41">
        <v>0</v>
      </c>
      <c r="O998" s="33">
        <v>25</v>
      </c>
      <c r="P998" s="163">
        <v>0</v>
      </c>
      <c r="Q998" s="163">
        <v>0</v>
      </c>
      <c r="R998" s="163">
        <v>0</v>
      </c>
      <c r="S998" s="163">
        <v>0</v>
      </c>
      <c r="T998" s="163">
        <v>0</v>
      </c>
      <c r="U998" s="163">
        <v>0</v>
      </c>
      <c r="V998" s="163">
        <v>0</v>
      </c>
      <c r="W998" s="163">
        <v>0</v>
      </c>
      <c r="X998" s="163">
        <v>0</v>
      </c>
      <c r="Y998" s="163">
        <v>0</v>
      </c>
      <c r="Z998" s="163">
        <v>0</v>
      </c>
      <c r="AA998" s="40"/>
      <c r="AB998" s="40"/>
      <c r="AC998" s="40"/>
      <c r="AD998" s="40"/>
      <c r="AE998" s="40"/>
      <c r="AF998" s="40"/>
      <c r="AG998" s="40"/>
      <c r="AH998" s="40"/>
      <c r="AI998" s="40"/>
      <c r="AJ998" s="40"/>
      <c r="AK998" s="40"/>
      <c r="AL998" s="40"/>
      <c r="AM998" s="40"/>
      <c r="AN998" s="40"/>
      <c r="AO998" s="40"/>
      <c r="AP998" s="40"/>
      <c r="AQ998" s="40"/>
      <c r="AR998" s="40"/>
      <c r="AS998" s="40"/>
      <c r="AT998" s="40"/>
      <c r="AU998" s="40"/>
      <c r="AV998" s="163">
        <v>0</v>
      </c>
      <c r="AW998" s="40"/>
      <c r="AX998" s="40"/>
      <c r="AY998" s="163">
        <v>0</v>
      </c>
      <c r="AZ998" s="40"/>
      <c r="BA998" s="40"/>
      <c r="BB998" s="40"/>
      <c r="BC998" s="163">
        <v>0</v>
      </c>
      <c r="BD998" s="163">
        <v>0</v>
      </c>
      <c r="BE998" s="163">
        <v>0</v>
      </c>
      <c r="BF998" s="40"/>
      <c r="BG998" s="40"/>
      <c r="BH998" s="40"/>
      <c r="BI998" s="40"/>
      <c r="BJ998" s="40"/>
      <c r="BK998" s="40"/>
      <c r="BL998" s="62">
        <v>1</v>
      </c>
      <c r="BM998" s="275">
        <v>3</v>
      </c>
      <c r="BN998" s="62">
        <v>0.03</v>
      </c>
      <c r="BO998" s="33" t="s">
        <v>600</v>
      </c>
      <c r="BP998" s="33" t="s">
        <v>602</v>
      </c>
    </row>
    <row r="999" spans="1:68">
      <c r="A999" s="33" t="str">
        <f>Database_Productkaarten[[#This Row],[Product]]&amp;", "&amp;Database_Productkaarten[[#This Row],[Levensfase]]</f>
        <v>Opsluitband 150x200 (hergebruik), A1-A3</v>
      </c>
      <c r="B999" t="s">
        <v>608</v>
      </c>
      <c r="C999" s="33" t="str">
        <f>C998</f>
        <v>Elementenverhardingen</v>
      </c>
      <c r="D999" s="33" t="str">
        <f>D998</f>
        <v>Opsluitband</v>
      </c>
      <c r="E999" s="33" t="str">
        <f>E998</f>
        <v>m1</v>
      </c>
      <c r="F999" s="33" t="s">
        <v>77</v>
      </c>
      <c r="G999" s="33">
        <f>G998</f>
        <v>1</v>
      </c>
      <c r="H999" s="33">
        <f t="shared" ref="H999:I999" si="198">H998</f>
        <v>0.2</v>
      </c>
      <c r="I999" s="33">
        <f t="shared" si="198"/>
        <v>0.15</v>
      </c>
      <c r="L999" s="33">
        <v>2.4</v>
      </c>
      <c r="M999" s="271">
        <f t="shared" si="195"/>
        <v>6.8250000000000005E-2</v>
      </c>
      <c r="N999" s="41">
        <v>0</v>
      </c>
      <c r="O999" s="33">
        <v>25</v>
      </c>
      <c r="P999" s="163">
        <v>0</v>
      </c>
      <c r="Q999" s="163">
        <v>0</v>
      </c>
      <c r="R999" s="163">
        <v>0</v>
      </c>
      <c r="S999" s="163">
        <v>0</v>
      </c>
      <c r="T999" s="163">
        <v>0</v>
      </c>
      <c r="U999" s="163">
        <v>0</v>
      </c>
      <c r="V999" s="163">
        <v>0</v>
      </c>
      <c r="W999" s="163">
        <v>0</v>
      </c>
      <c r="X999" s="163">
        <v>0</v>
      </c>
      <c r="Y999" s="163">
        <v>0</v>
      </c>
      <c r="Z999" s="163">
        <v>0</v>
      </c>
      <c r="AA999" s="40"/>
      <c r="AB999" s="40"/>
      <c r="AC999" s="40"/>
      <c r="AD999" s="40"/>
      <c r="AE999" s="40"/>
      <c r="AF999" s="40"/>
      <c r="AG999" s="40"/>
      <c r="AH999" s="40"/>
      <c r="AI999" s="40"/>
      <c r="AJ999" s="40"/>
      <c r="AK999" s="40"/>
      <c r="AL999" s="40"/>
      <c r="AM999" s="40"/>
      <c r="AN999" s="40"/>
      <c r="AO999" s="40"/>
      <c r="AP999" s="40"/>
      <c r="AQ999" s="40"/>
      <c r="AR999" s="40"/>
      <c r="AS999" s="40"/>
      <c r="AT999" s="40"/>
      <c r="AU999" s="40"/>
      <c r="AV999" s="163">
        <v>0</v>
      </c>
      <c r="AW999" s="40"/>
      <c r="AX999" s="40"/>
      <c r="AY999" s="163">
        <v>0</v>
      </c>
      <c r="AZ999" s="40"/>
      <c r="BA999" s="40"/>
      <c r="BB999" s="40"/>
      <c r="BC999" s="163">
        <v>0</v>
      </c>
      <c r="BD999" s="163">
        <v>0</v>
      </c>
      <c r="BE999" s="163">
        <v>0</v>
      </c>
      <c r="BF999" s="40"/>
      <c r="BG999" s="40"/>
      <c r="BH999" s="40"/>
      <c r="BI999" s="40"/>
      <c r="BJ999" s="40"/>
      <c r="BK999" s="40"/>
      <c r="BL999" s="62">
        <v>1</v>
      </c>
      <c r="BM999" s="275">
        <v>3</v>
      </c>
      <c r="BN999" s="62">
        <v>0.03</v>
      </c>
      <c r="BO999" s="33" t="s">
        <v>600</v>
      </c>
      <c r="BP999" s="33" t="s">
        <v>602</v>
      </c>
    </row>
    <row r="1000" spans="1:68">
      <c r="A1000" s="33" t="str">
        <f>Database_Productkaarten[[#This Row],[Product]]&amp;", "&amp;Database_Productkaarten[[#This Row],[Levensfase]]</f>
        <v>Opsluitband 150x200 (hergebruik), A4</v>
      </c>
      <c r="B1000" t="s">
        <v>608</v>
      </c>
      <c r="C1000" t="s">
        <v>55</v>
      </c>
      <c r="D1000" s="33" t="s">
        <v>599</v>
      </c>
      <c r="E1000" s="33" t="s">
        <v>389</v>
      </c>
      <c r="F1000" s="33" t="s">
        <v>78</v>
      </c>
      <c r="G1000" s="33">
        <v>1</v>
      </c>
      <c r="H1000" s="33">
        <v>0.2</v>
      </c>
      <c r="I1000" s="33">
        <v>0.15</v>
      </c>
      <c r="L1000" s="33">
        <v>2.4</v>
      </c>
      <c r="M1000" s="271">
        <f t="shared" si="195"/>
        <v>6.8250000000000005E-2</v>
      </c>
      <c r="N1000" s="41">
        <f>N985</f>
        <v>0.15720000000000001</v>
      </c>
      <c r="O1000" s="33">
        <v>25</v>
      </c>
      <c r="P1000" s="163">
        <f t="shared" ref="P1000:Z1000" si="199">P985</f>
        <v>3.7834729499999998E-6</v>
      </c>
      <c r="Q1000" s="163">
        <f t="shared" si="199"/>
        <v>9.8201332499999999E-3</v>
      </c>
      <c r="R1000" s="163">
        <f t="shared" si="199"/>
        <v>1.3304138249999999</v>
      </c>
      <c r="S1000" s="163">
        <f t="shared" si="199"/>
        <v>2.4516901499999999E-7</v>
      </c>
      <c r="T1000" s="163">
        <f t="shared" si="199"/>
        <v>7.8525259499999996E-4</v>
      </c>
      <c r="U1000" s="163">
        <f t="shared" si="199"/>
        <v>5.7679178999999999E-3</v>
      </c>
      <c r="V1000" s="163">
        <f t="shared" si="199"/>
        <v>1.1493893550000001E-3</v>
      </c>
      <c r="W1000" s="163">
        <f t="shared" si="199"/>
        <v>0.53226951</v>
      </c>
      <c r="X1000" s="163">
        <f t="shared" si="199"/>
        <v>1.5610749E-2</v>
      </c>
      <c r="Y1000" s="163">
        <f t="shared" si="199"/>
        <v>56.3438175</v>
      </c>
      <c r="Z1000" s="163">
        <f t="shared" si="199"/>
        <v>1.88589915E-3</v>
      </c>
      <c r="AA1000" s="40"/>
      <c r="AB1000" s="40"/>
      <c r="AC1000" s="40"/>
      <c r="AD1000" s="40"/>
      <c r="AE1000" s="40"/>
      <c r="AF1000" s="40"/>
      <c r="AG1000" s="40"/>
      <c r="AH1000" s="40"/>
      <c r="AI1000" s="40"/>
      <c r="AJ1000" s="40"/>
      <c r="AK1000" s="40"/>
      <c r="AL1000" s="40"/>
      <c r="AM1000" s="40"/>
      <c r="AN1000" s="40"/>
      <c r="AO1000" s="40"/>
      <c r="AP1000" s="40"/>
      <c r="AQ1000" s="40"/>
      <c r="AR1000" s="40"/>
      <c r="AS1000" s="40"/>
      <c r="AT1000" s="40"/>
      <c r="AU1000" s="40"/>
      <c r="AV1000" s="163">
        <f>AV985</f>
        <v>0.28016616</v>
      </c>
      <c r="AW1000" s="40"/>
      <c r="AX1000" s="40"/>
      <c r="AY1000" s="163">
        <f>AY985</f>
        <v>21.892135499999998</v>
      </c>
      <c r="AZ1000" s="40"/>
      <c r="BA1000" s="40"/>
      <c r="BB1000" s="40"/>
      <c r="BC1000" s="163">
        <f t="shared" ref="BC1000:BE1000" si="200">BC985</f>
        <v>3.9372457500000003E-3</v>
      </c>
      <c r="BD1000" s="163">
        <f t="shared" si="200"/>
        <v>1.5119296499999999E-4</v>
      </c>
      <c r="BE1000" s="163">
        <f t="shared" si="200"/>
        <v>1.2583764749999999</v>
      </c>
      <c r="BF1000" s="40"/>
      <c r="BG1000" s="40"/>
      <c r="BH1000" s="40"/>
      <c r="BI1000" s="40"/>
      <c r="BJ1000" s="40"/>
      <c r="BK1000" s="40"/>
      <c r="BL1000" s="62">
        <v>1</v>
      </c>
      <c r="BM1000" s="275">
        <v>3</v>
      </c>
      <c r="BN1000" s="62">
        <v>0.03</v>
      </c>
      <c r="BO1000" s="33" t="s">
        <v>600</v>
      </c>
      <c r="BP1000" s="33" t="s">
        <v>602</v>
      </c>
    </row>
    <row r="1001" spans="1:68">
      <c r="A1001" s="33" t="str">
        <f>Database_Productkaarten[[#This Row],[Product]]&amp;", "&amp;Database_Productkaarten[[#This Row],[Levensfase]]</f>
        <v>Opsluitband 150x200 (hergebruik), A5</v>
      </c>
      <c r="B1001" t="s">
        <v>608</v>
      </c>
      <c r="C1001" t="s">
        <v>55</v>
      </c>
      <c r="D1001" s="33" t="s">
        <v>599</v>
      </c>
      <c r="E1001" s="33" t="s">
        <v>389</v>
      </c>
      <c r="F1001" s="33" t="s">
        <v>79</v>
      </c>
      <c r="G1001" s="33">
        <v>1</v>
      </c>
      <c r="H1001" s="33">
        <v>0.2</v>
      </c>
      <c r="I1001" s="33">
        <v>0.15</v>
      </c>
      <c r="L1001" s="33">
        <v>2.4</v>
      </c>
      <c r="M1001" s="271">
        <f t="shared" si="195"/>
        <v>6.8250000000000005E-2</v>
      </c>
      <c r="N1001" s="41">
        <f t="shared" ref="N1001:N1006" si="201">N986</f>
        <v>0.14108999999999999</v>
      </c>
      <c r="O1001" s="33">
        <v>25</v>
      </c>
      <c r="P1001" s="163">
        <f t="shared" ref="P1001:Z1001" si="202">P986</f>
        <v>7.0598080500000003E-7</v>
      </c>
      <c r="Q1001" s="163">
        <f t="shared" si="202"/>
        <v>7.3402030499999989E-3</v>
      </c>
      <c r="R1001" s="163">
        <f t="shared" si="202"/>
        <v>1.2139131599999999</v>
      </c>
      <c r="S1001" s="163">
        <f t="shared" si="202"/>
        <v>1.7891334E-7</v>
      </c>
      <c r="T1001" s="163">
        <f t="shared" si="202"/>
        <v>9.8395068000000003E-4</v>
      </c>
      <c r="U1001" s="163">
        <f t="shared" si="202"/>
        <v>7.5581381999999999E-3</v>
      </c>
      <c r="V1001" s="163">
        <f t="shared" si="202"/>
        <v>1.6736335499999999E-3</v>
      </c>
      <c r="W1001" s="163">
        <f t="shared" si="202"/>
        <v>0.36210301499999997</v>
      </c>
      <c r="X1001" s="163">
        <f t="shared" si="202"/>
        <v>5.7119199000000001E-3</v>
      </c>
      <c r="Y1001" s="163">
        <f t="shared" si="202"/>
        <v>20.395972499999999</v>
      </c>
      <c r="Z1001" s="163">
        <f t="shared" si="202"/>
        <v>1.0982905649999999E-3</v>
      </c>
      <c r="AA1001" s="40"/>
      <c r="AB1001" s="40"/>
      <c r="AC1001" s="40"/>
      <c r="AD1001" s="40"/>
      <c r="AE1001" s="40"/>
      <c r="AF1001" s="40"/>
      <c r="AG1001" s="40"/>
      <c r="AH1001" s="40"/>
      <c r="AI1001" s="40"/>
      <c r="AJ1001" s="40"/>
      <c r="AK1001" s="40"/>
      <c r="AL1001" s="40"/>
      <c r="AM1001" s="40"/>
      <c r="AN1001" s="40"/>
      <c r="AO1001" s="40"/>
      <c r="AP1001" s="40"/>
      <c r="AQ1001" s="40"/>
      <c r="AR1001" s="40"/>
      <c r="AS1001" s="40"/>
      <c r="AT1001" s="40"/>
      <c r="AU1001" s="40"/>
      <c r="AV1001" s="163">
        <f t="shared" ref="AV1001:AV1006" si="203">AV986</f>
        <v>0.31632165000000001</v>
      </c>
      <c r="AW1001" s="40"/>
      <c r="AX1001" s="40"/>
      <c r="AY1001" s="163">
        <f t="shared" ref="AY1001:AY1006" si="204">AY986</f>
        <v>16.45044</v>
      </c>
      <c r="AZ1001" s="40"/>
      <c r="BA1001" s="40"/>
      <c r="BB1001" s="40"/>
      <c r="BC1001" s="163">
        <f t="shared" ref="BC1001:BE1001" si="205">BC986</f>
        <v>1.8991047E-2</v>
      </c>
      <c r="BD1001" s="163">
        <f t="shared" si="205"/>
        <v>0.13492604850000001</v>
      </c>
      <c r="BE1001" s="163">
        <f t="shared" si="205"/>
        <v>0.11571762150000001</v>
      </c>
      <c r="BF1001" s="40"/>
      <c r="BG1001" s="40"/>
      <c r="BH1001" s="40"/>
      <c r="BI1001" s="40"/>
      <c r="BJ1001" s="40"/>
      <c r="BK1001" s="40"/>
      <c r="BL1001" s="62">
        <v>1</v>
      </c>
      <c r="BM1001" s="275">
        <v>3</v>
      </c>
      <c r="BN1001" s="62">
        <v>0.03</v>
      </c>
      <c r="BO1001" s="33" t="s">
        <v>600</v>
      </c>
      <c r="BP1001" s="33" t="s">
        <v>602</v>
      </c>
    </row>
    <row r="1002" spans="1:68">
      <c r="A1002" s="33" t="str">
        <f>Database_Productkaarten[[#This Row],[Product]]&amp;", "&amp;Database_Productkaarten[[#This Row],[Levensfase]]</f>
        <v>Opsluitband 150x200 (hergebruik), B1</v>
      </c>
      <c r="B1002" t="s">
        <v>608</v>
      </c>
      <c r="C1002" t="s">
        <v>55</v>
      </c>
      <c r="D1002" s="33" t="s">
        <v>599</v>
      </c>
      <c r="E1002" s="33" t="s">
        <v>389</v>
      </c>
      <c r="F1002" s="33" t="s">
        <v>80</v>
      </c>
      <c r="G1002" s="33">
        <v>1</v>
      </c>
      <c r="H1002" s="33">
        <v>0.2</v>
      </c>
      <c r="I1002" s="33">
        <v>0.15</v>
      </c>
      <c r="L1002" s="33">
        <v>2.4</v>
      </c>
      <c r="M1002" s="271">
        <f t="shared" si="195"/>
        <v>6.8250000000000005E-2</v>
      </c>
      <c r="N1002" s="41">
        <f t="shared" si="201"/>
        <v>0</v>
      </c>
      <c r="O1002" s="33">
        <v>25</v>
      </c>
      <c r="P1002" s="163">
        <f t="shared" ref="P1002:Z1002" si="206">P987</f>
        <v>0</v>
      </c>
      <c r="Q1002" s="163">
        <f t="shared" si="206"/>
        <v>0</v>
      </c>
      <c r="R1002" s="163">
        <f t="shared" si="206"/>
        <v>0</v>
      </c>
      <c r="S1002" s="163">
        <f t="shared" si="206"/>
        <v>0</v>
      </c>
      <c r="T1002" s="163">
        <f t="shared" si="206"/>
        <v>0</v>
      </c>
      <c r="U1002" s="163">
        <f t="shared" si="206"/>
        <v>0</v>
      </c>
      <c r="V1002" s="163">
        <f t="shared" si="206"/>
        <v>0</v>
      </c>
      <c r="W1002" s="163">
        <f t="shared" si="206"/>
        <v>0</v>
      </c>
      <c r="X1002" s="163">
        <f t="shared" si="206"/>
        <v>0</v>
      </c>
      <c r="Y1002" s="163">
        <f t="shared" si="206"/>
        <v>0</v>
      </c>
      <c r="Z1002" s="163">
        <f t="shared" si="206"/>
        <v>0</v>
      </c>
      <c r="AA1002" s="40"/>
      <c r="AB1002" s="40"/>
      <c r="AC1002" s="40"/>
      <c r="AD1002" s="40"/>
      <c r="AE1002" s="40"/>
      <c r="AF1002" s="40"/>
      <c r="AG1002" s="40"/>
      <c r="AH1002" s="40"/>
      <c r="AI1002" s="40"/>
      <c r="AJ1002" s="40"/>
      <c r="AK1002" s="40"/>
      <c r="AL1002" s="40"/>
      <c r="AM1002" s="40"/>
      <c r="AN1002" s="40"/>
      <c r="AO1002" s="40"/>
      <c r="AP1002" s="40"/>
      <c r="AQ1002" s="40"/>
      <c r="AR1002" s="40"/>
      <c r="AS1002" s="40"/>
      <c r="AT1002" s="40"/>
      <c r="AU1002" s="40"/>
      <c r="AV1002" s="163">
        <f t="shared" si="203"/>
        <v>0</v>
      </c>
      <c r="AW1002" s="40"/>
      <c r="AX1002" s="40"/>
      <c r="AY1002" s="163">
        <f t="shared" si="204"/>
        <v>0</v>
      </c>
      <c r="AZ1002" s="40"/>
      <c r="BA1002" s="40"/>
      <c r="BB1002" s="40"/>
      <c r="BC1002" s="163">
        <f t="shared" ref="BC1002:BE1002" si="207">BC987</f>
        <v>0</v>
      </c>
      <c r="BD1002" s="163">
        <f t="shared" si="207"/>
        <v>0</v>
      </c>
      <c r="BE1002" s="163">
        <f t="shared" si="207"/>
        <v>0</v>
      </c>
      <c r="BF1002" s="40"/>
      <c r="BG1002" s="40"/>
      <c r="BH1002" s="40"/>
      <c r="BI1002" s="40"/>
      <c r="BJ1002" s="40"/>
      <c r="BK1002" s="40"/>
      <c r="BL1002" s="62">
        <v>1</v>
      </c>
      <c r="BM1002" s="275">
        <v>3</v>
      </c>
      <c r="BN1002" s="62">
        <v>0.03</v>
      </c>
      <c r="BO1002" s="33" t="s">
        <v>600</v>
      </c>
      <c r="BP1002" s="33" t="s">
        <v>602</v>
      </c>
    </row>
    <row r="1003" spans="1:68">
      <c r="A1003" s="33" t="str">
        <f>Database_Productkaarten[[#This Row],[Product]]&amp;", "&amp;Database_Productkaarten[[#This Row],[Levensfase]]</f>
        <v>Opsluitband 150x200 (hergebruik), C1</v>
      </c>
      <c r="B1003" t="s">
        <v>608</v>
      </c>
      <c r="C1003" t="s">
        <v>55</v>
      </c>
      <c r="D1003" s="33" t="s">
        <v>599</v>
      </c>
      <c r="E1003" s="33" t="s">
        <v>389</v>
      </c>
      <c r="F1003" s="33" t="s">
        <v>83</v>
      </c>
      <c r="G1003" s="33">
        <v>1</v>
      </c>
      <c r="H1003" s="33">
        <v>0.2</v>
      </c>
      <c r="I1003" s="33">
        <v>0.15</v>
      </c>
      <c r="L1003" s="33">
        <v>2.4</v>
      </c>
      <c r="M1003" s="271">
        <f t="shared" si="195"/>
        <v>6.8250000000000005E-2</v>
      </c>
      <c r="N1003" s="41">
        <f t="shared" si="201"/>
        <v>0.11805000000000002</v>
      </c>
      <c r="O1003" s="33">
        <v>25</v>
      </c>
      <c r="P1003" s="163">
        <f t="shared" ref="P1003:Z1003" si="208">P988</f>
        <v>2.9886641999999996E-7</v>
      </c>
      <c r="Q1003" s="163">
        <f t="shared" si="208"/>
        <v>6.1576282499999999E-3</v>
      </c>
      <c r="R1003" s="163">
        <f t="shared" si="208"/>
        <v>0.89245920000000001</v>
      </c>
      <c r="S1003" s="163">
        <f t="shared" si="208"/>
        <v>1.6075153499999999E-7</v>
      </c>
      <c r="T1003" s="163">
        <f t="shared" si="208"/>
        <v>8.9957635500000012E-4</v>
      </c>
      <c r="U1003" s="163">
        <f t="shared" si="208"/>
        <v>6.7527877499999993E-3</v>
      </c>
      <c r="V1003" s="163">
        <f t="shared" si="208"/>
        <v>1.5120919500000002E-3</v>
      </c>
      <c r="W1003" s="163">
        <f t="shared" si="208"/>
        <v>0.315924645</v>
      </c>
      <c r="X1003" s="163">
        <f t="shared" si="208"/>
        <v>4.4181742500000003E-3</v>
      </c>
      <c r="Y1003" s="163">
        <f t="shared" si="208"/>
        <v>14.97686685</v>
      </c>
      <c r="Z1003" s="163">
        <f t="shared" si="208"/>
        <v>5.2790124000000002E-4</v>
      </c>
      <c r="AA1003" s="40"/>
      <c r="AB1003" s="40"/>
      <c r="AC1003" s="40"/>
      <c r="AD1003" s="40"/>
      <c r="AE1003" s="40"/>
      <c r="AF1003" s="40"/>
      <c r="AG1003" s="40"/>
      <c r="AH1003" s="40"/>
      <c r="AI1003" s="40"/>
      <c r="AJ1003" s="40"/>
      <c r="AK1003" s="40"/>
      <c r="AL1003" s="40"/>
      <c r="AM1003" s="40"/>
      <c r="AN1003" s="40"/>
      <c r="AO1003" s="40"/>
      <c r="AP1003" s="40"/>
      <c r="AQ1003" s="40"/>
      <c r="AR1003" s="40"/>
      <c r="AS1003" s="40"/>
      <c r="AT1003" s="40"/>
      <c r="AU1003" s="40"/>
      <c r="AV1003" s="163">
        <f t="shared" si="203"/>
        <v>7.4163259499999995E-2</v>
      </c>
      <c r="AW1003" s="40"/>
      <c r="AX1003" s="40"/>
      <c r="AY1003" s="163">
        <f t="shared" si="204"/>
        <v>13.81277025</v>
      </c>
      <c r="AZ1003" s="40"/>
      <c r="BA1003" s="40"/>
      <c r="BB1003" s="40"/>
      <c r="BC1003" s="163">
        <f t="shared" ref="BC1003:BE1003" si="209">BC988</f>
        <v>1.1387944800000001E-3</v>
      </c>
      <c r="BD1003" s="163">
        <f t="shared" si="209"/>
        <v>9.562735799999999E-5</v>
      </c>
      <c r="BE1003" s="163">
        <f t="shared" si="209"/>
        <v>1.4094355200000002E-2</v>
      </c>
      <c r="BF1003" s="40"/>
      <c r="BG1003" s="40"/>
      <c r="BH1003" s="40"/>
      <c r="BI1003" s="40"/>
      <c r="BJ1003" s="40"/>
      <c r="BK1003" s="40"/>
      <c r="BL1003" s="62">
        <v>1</v>
      </c>
      <c r="BM1003" s="275">
        <v>3</v>
      </c>
      <c r="BN1003" s="62">
        <v>0.03</v>
      </c>
      <c r="BO1003" s="33" t="s">
        <v>600</v>
      </c>
      <c r="BP1003" s="33" t="s">
        <v>602</v>
      </c>
    </row>
    <row r="1004" spans="1:68">
      <c r="A1004" s="33" t="str">
        <f>Database_Productkaarten[[#This Row],[Product]]&amp;", "&amp;Database_Productkaarten[[#This Row],[Levensfase]]</f>
        <v>Opsluitband 150x200 (hergebruik), C2</v>
      </c>
      <c r="B1004" t="s">
        <v>608</v>
      </c>
      <c r="C1004" t="s">
        <v>55</v>
      </c>
      <c r="D1004" s="33" t="s">
        <v>599</v>
      </c>
      <c r="E1004" s="33" t="s">
        <v>389</v>
      </c>
      <c r="F1004" s="33" t="s">
        <v>84</v>
      </c>
      <c r="G1004" s="33">
        <v>1</v>
      </c>
      <c r="H1004" s="33">
        <v>0.2</v>
      </c>
      <c r="I1004" s="33">
        <v>0.15</v>
      </c>
      <c r="L1004" s="33">
        <v>2.4</v>
      </c>
      <c r="M1004" s="271">
        <f t="shared" si="195"/>
        <v>6.8250000000000005E-2</v>
      </c>
      <c r="N1004" s="41">
        <f t="shared" si="201"/>
        <v>5.2919999999999995E-2</v>
      </c>
      <c r="O1004" s="33">
        <v>25</v>
      </c>
      <c r="P1004" s="163">
        <f t="shared" ref="P1004:Z1004" si="210">P989</f>
        <v>1.273769205E-6</v>
      </c>
      <c r="Q1004" s="163">
        <f t="shared" si="210"/>
        <v>3.3061115999999998E-3</v>
      </c>
      <c r="R1004" s="163">
        <f t="shared" si="210"/>
        <v>0.44790598500000001</v>
      </c>
      <c r="S1004" s="163">
        <f t="shared" si="210"/>
        <v>8.25402345E-8</v>
      </c>
      <c r="T1004" s="163">
        <f t="shared" si="210"/>
        <v>2.6436837E-4</v>
      </c>
      <c r="U1004" s="163">
        <f t="shared" si="210"/>
        <v>1.9418656499999999E-3</v>
      </c>
      <c r="V1004" s="163">
        <f t="shared" si="210"/>
        <v>3.8696108999999998E-4</v>
      </c>
      <c r="W1004" s="163">
        <f t="shared" si="210"/>
        <v>0.17919741</v>
      </c>
      <c r="X1004" s="163">
        <f t="shared" si="210"/>
        <v>5.2556185500000005E-3</v>
      </c>
      <c r="Y1004" s="163">
        <f t="shared" si="210"/>
        <v>18.969085500000002</v>
      </c>
      <c r="Z1004" s="163">
        <f t="shared" si="210"/>
        <v>6.3491937E-4</v>
      </c>
      <c r="AA1004" s="40"/>
      <c r="AB1004" s="40"/>
      <c r="AC1004" s="40"/>
      <c r="AD1004" s="40"/>
      <c r="AE1004" s="40"/>
      <c r="AF1004" s="40"/>
      <c r="AG1004" s="40"/>
      <c r="AH1004" s="40"/>
      <c r="AI1004" s="40"/>
      <c r="AJ1004" s="40"/>
      <c r="AK1004" s="40"/>
      <c r="AL1004" s="40"/>
      <c r="AM1004" s="40"/>
      <c r="AN1004" s="40"/>
      <c r="AO1004" s="40"/>
      <c r="AP1004" s="40"/>
      <c r="AQ1004" s="40"/>
      <c r="AR1004" s="40"/>
      <c r="AS1004" s="40"/>
      <c r="AT1004" s="40"/>
      <c r="AU1004" s="40"/>
      <c r="AV1004" s="163">
        <f t="shared" si="203"/>
        <v>9.4322608500000016E-2</v>
      </c>
      <c r="AW1004" s="40"/>
      <c r="AX1004" s="40"/>
      <c r="AY1004" s="163">
        <f t="shared" si="204"/>
        <v>7.3703519999999996</v>
      </c>
      <c r="AZ1004" s="40"/>
      <c r="BA1004" s="40"/>
      <c r="BB1004" s="40"/>
      <c r="BC1004" s="163">
        <f t="shared" ref="BC1004:BE1004" si="211">BC989</f>
        <v>1.3255394250000002E-3</v>
      </c>
      <c r="BD1004" s="163">
        <f t="shared" si="211"/>
        <v>5.0901632999999998E-5</v>
      </c>
      <c r="BE1004" s="163">
        <f t="shared" si="211"/>
        <v>0.42365341499999998</v>
      </c>
      <c r="BF1004" s="40"/>
      <c r="BG1004" s="40"/>
      <c r="BH1004" s="40"/>
      <c r="BI1004" s="40"/>
      <c r="BJ1004" s="40"/>
      <c r="BK1004" s="40"/>
      <c r="BL1004" s="62">
        <v>1</v>
      </c>
      <c r="BM1004" s="275">
        <v>3</v>
      </c>
      <c r="BN1004" s="62">
        <v>0.03</v>
      </c>
      <c r="BO1004" s="33" t="s">
        <v>600</v>
      </c>
      <c r="BP1004" s="33" t="s">
        <v>602</v>
      </c>
    </row>
    <row r="1005" spans="1:68">
      <c r="A1005" s="33" t="str">
        <f>Database_Productkaarten[[#This Row],[Product]]&amp;", "&amp;Database_Productkaarten[[#This Row],[Levensfase]]</f>
        <v>Opsluitband 150x200 (hergebruik), C3</v>
      </c>
      <c r="B1005" t="s">
        <v>608</v>
      </c>
      <c r="C1005" t="s">
        <v>55</v>
      </c>
      <c r="D1005" s="33" t="s">
        <v>599</v>
      </c>
      <c r="E1005" s="33" t="s">
        <v>389</v>
      </c>
      <c r="F1005" s="33" t="s">
        <v>85</v>
      </c>
      <c r="G1005" s="33">
        <v>1</v>
      </c>
      <c r="H1005" s="33">
        <v>0.2</v>
      </c>
      <c r="I1005" s="33">
        <v>0.15</v>
      </c>
      <c r="L1005" s="33">
        <v>2.4</v>
      </c>
      <c r="M1005" s="271">
        <f t="shared" si="195"/>
        <v>6.8250000000000005E-2</v>
      </c>
      <c r="N1005" s="41">
        <f t="shared" si="201"/>
        <v>1.1294999999999999E-2</v>
      </c>
      <c r="O1005" s="33">
        <v>25</v>
      </c>
      <c r="P1005" s="163">
        <f t="shared" ref="P1005:Z1005" si="212">P990</f>
        <v>6.4585218000000002E-8</v>
      </c>
      <c r="Q1005" s="163">
        <f t="shared" si="212"/>
        <v>8.0136283500000004E-4</v>
      </c>
      <c r="R1005" s="163">
        <f t="shared" si="212"/>
        <v>0.10636686149999999</v>
      </c>
      <c r="S1005" s="163">
        <f t="shared" si="212"/>
        <v>1.2355789800000001E-8</v>
      </c>
      <c r="T1005" s="163">
        <f t="shared" si="212"/>
        <v>5.9595972E-5</v>
      </c>
      <c r="U1005" s="163">
        <f t="shared" si="212"/>
        <v>4.9143740999999994E-4</v>
      </c>
      <c r="V1005" s="163">
        <f t="shared" si="212"/>
        <v>1.10823696E-4</v>
      </c>
      <c r="W1005" s="163">
        <f t="shared" si="212"/>
        <v>2.3270159999999998E-2</v>
      </c>
      <c r="X1005" s="163">
        <f t="shared" si="212"/>
        <v>3.8843977499999997E-4</v>
      </c>
      <c r="Y1005" s="163">
        <f t="shared" si="212"/>
        <v>1.490087505</v>
      </c>
      <c r="Z1005" s="163">
        <f t="shared" si="212"/>
        <v>3.1391808E-4</v>
      </c>
      <c r="AA1005" s="40"/>
      <c r="AB1005" s="40"/>
      <c r="AC1005" s="40"/>
      <c r="AD1005" s="40"/>
      <c r="AE1005" s="40"/>
      <c r="AF1005" s="40"/>
      <c r="AG1005" s="40"/>
      <c r="AH1005" s="40"/>
      <c r="AI1005" s="40"/>
      <c r="AJ1005" s="40"/>
      <c r="AK1005" s="40"/>
      <c r="AL1005" s="40"/>
      <c r="AM1005" s="40"/>
      <c r="AN1005" s="40"/>
      <c r="AO1005" s="40"/>
      <c r="AP1005" s="40"/>
      <c r="AQ1005" s="40"/>
      <c r="AR1005" s="40"/>
      <c r="AS1005" s="40"/>
      <c r="AT1005" s="40"/>
      <c r="AU1005" s="40"/>
      <c r="AV1005" s="163">
        <f t="shared" si="203"/>
        <v>8.6306707499999996E-2</v>
      </c>
      <c r="AW1005" s="40"/>
      <c r="AX1005" s="40"/>
      <c r="AY1005" s="163">
        <f t="shared" si="204"/>
        <v>1.6779073499999999</v>
      </c>
      <c r="AZ1005" s="40"/>
      <c r="BA1005" s="40"/>
      <c r="BB1005" s="40"/>
      <c r="BC1005" s="163">
        <f t="shared" ref="BC1005:BE1005" si="213">BC990</f>
        <v>2.6773969500000001E-4</v>
      </c>
      <c r="BD1005" s="163">
        <f t="shared" si="213"/>
        <v>9.7200070500000001E-6</v>
      </c>
      <c r="BE1005" s="163">
        <f t="shared" si="213"/>
        <v>0.20289877499999998</v>
      </c>
      <c r="BF1005" s="40"/>
      <c r="BG1005" s="40"/>
      <c r="BH1005" s="40"/>
      <c r="BI1005" s="40"/>
      <c r="BJ1005" s="40"/>
      <c r="BK1005" s="40"/>
      <c r="BL1005" s="62">
        <v>1</v>
      </c>
      <c r="BM1005" s="275">
        <v>3</v>
      </c>
      <c r="BN1005" s="62">
        <v>0.03</v>
      </c>
      <c r="BO1005" s="33" t="s">
        <v>600</v>
      </c>
      <c r="BP1005" s="33" t="s">
        <v>602</v>
      </c>
    </row>
    <row r="1006" spans="1:68">
      <c r="A1006" s="33" t="str">
        <f>Database_Productkaarten[[#This Row],[Product]]&amp;", "&amp;Database_Productkaarten[[#This Row],[Levensfase]]</f>
        <v>Opsluitband 150x200 (hergebruik), C4</v>
      </c>
      <c r="B1006" t="s">
        <v>608</v>
      </c>
      <c r="C1006" t="s">
        <v>55</v>
      </c>
      <c r="D1006" s="33" t="s">
        <v>599</v>
      </c>
      <c r="E1006" s="33" t="s">
        <v>389</v>
      </c>
      <c r="F1006" s="33" t="s">
        <v>86</v>
      </c>
      <c r="G1006" s="33">
        <v>1</v>
      </c>
      <c r="H1006" s="33">
        <v>0.2</v>
      </c>
      <c r="I1006" s="33">
        <v>0.15</v>
      </c>
      <c r="L1006" s="33">
        <v>2.4</v>
      </c>
      <c r="M1006" s="271">
        <f t="shared" si="195"/>
        <v>6.8250000000000005E-2</v>
      </c>
      <c r="N1006" s="41">
        <f t="shared" si="201"/>
        <v>4.95E-4</v>
      </c>
      <c r="O1006" s="33">
        <v>25</v>
      </c>
      <c r="P1006" s="163">
        <f t="shared" ref="P1006:Z1006" si="214">P991</f>
        <v>4.1065058999999996E-9</v>
      </c>
      <c r="Q1006" s="163">
        <f t="shared" si="214"/>
        <v>4.8963767999999993E-5</v>
      </c>
      <c r="R1006" s="163">
        <f t="shared" si="214"/>
        <v>3.5979305999999998E-3</v>
      </c>
      <c r="S1006" s="163">
        <f t="shared" si="214"/>
        <v>1.1908583849999999E-9</v>
      </c>
      <c r="T1006" s="163">
        <f t="shared" si="214"/>
        <v>3.8128179000000003E-6</v>
      </c>
      <c r="U1006" s="163">
        <f t="shared" si="214"/>
        <v>2.6586528000000004E-5</v>
      </c>
      <c r="V1006" s="163">
        <f t="shared" si="214"/>
        <v>5.0036434499999997E-6</v>
      </c>
      <c r="W1006" s="163">
        <f t="shared" si="214"/>
        <v>1.4668649999999999E-3</v>
      </c>
      <c r="X1006" s="163">
        <f t="shared" si="214"/>
        <v>3.6475243500000002E-5</v>
      </c>
      <c r="Y1006" s="163">
        <f t="shared" si="214"/>
        <v>0.1254524025</v>
      </c>
      <c r="Z1006" s="163">
        <f t="shared" si="214"/>
        <v>4.3442110499999999E-6</v>
      </c>
      <c r="AA1006" s="40"/>
      <c r="AB1006" s="40"/>
      <c r="AC1006" s="40"/>
      <c r="AD1006" s="40"/>
      <c r="AE1006" s="40"/>
      <c r="AF1006" s="40"/>
      <c r="AG1006" s="40"/>
      <c r="AH1006" s="40"/>
      <c r="AI1006" s="40"/>
      <c r="AJ1006" s="40"/>
      <c r="AK1006" s="40"/>
      <c r="AL1006" s="40"/>
      <c r="AM1006" s="40"/>
      <c r="AN1006" s="40"/>
      <c r="AO1006" s="40"/>
      <c r="AP1006" s="40"/>
      <c r="AQ1006" s="40"/>
      <c r="AR1006" s="40"/>
      <c r="AS1006" s="40"/>
      <c r="AT1006" s="40"/>
      <c r="AU1006" s="40"/>
      <c r="AV1006" s="163">
        <f t="shared" si="203"/>
        <v>2.6227110000000002E-3</v>
      </c>
      <c r="AW1006" s="40"/>
      <c r="AX1006" s="40"/>
      <c r="AY1006" s="163">
        <f t="shared" si="204"/>
        <v>0.1093762335</v>
      </c>
      <c r="AZ1006" s="40"/>
      <c r="BA1006" s="40"/>
      <c r="BB1006" s="40"/>
      <c r="BC1006" s="163">
        <f t="shared" ref="BC1006:BE1006" si="215">BC991</f>
        <v>1.1023727850000001E-4</v>
      </c>
      <c r="BD1006" s="163">
        <f t="shared" si="215"/>
        <v>7.4298466500000009E-7</v>
      </c>
      <c r="BE1006" s="163">
        <f t="shared" si="215"/>
        <v>0.67328242500000002</v>
      </c>
      <c r="BF1006" s="40"/>
      <c r="BG1006" s="40"/>
      <c r="BH1006" s="40"/>
      <c r="BI1006" s="40"/>
      <c r="BJ1006" s="40"/>
      <c r="BK1006" s="40"/>
      <c r="BL1006" s="62">
        <v>1</v>
      </c>
      <c r="BM1006" s="275">
        <v>3</v>
      </c>
      <c r="BN1006" s="62">
        <v>0.03</v>
      </c>
      <c r="BO1006" s="33" t="s">
        <v>600</v>
      </c>
      <c r="BP1006" s="33" t="s">
        <v>602</v>
      </c>
    </row>
    <row r="1007" spans="1:68">
      <c r="A1007" s="33" t="str">
        <f>Database_Productkaarten[[#This Row],[Product]]&amp;", "&amp;Database_Productkaarten[[#This Row],[Levensfase]]</f>
        <v>Opsluitband 150x200 (hergebruik), D</v>
      </c>
      <c r="B1007" t="s">
        <v>608</v>
      </c>
      <c r="C1007" s="33" t="str">
        <f>C1008</f>
        <v>Elementenverhardingen</v>
      </c>
      <c r="D1007" s="33" t="str">
        <f>D1008</f>
        <v>Opsluitband</v>
      </c>
      <c r="E1007" s="33" t="str">
        <f>E1008</f>
        <v>m1</v>
      </c>
      <c r="F1007" s="33" t="s">
        <v>89</v>
      </c>
      <c r="G1007" s="33">
        <f t="shared" ref="G1007:I1007" si="216">G1008</f>
        <v>1</v>
      </c>
      <c r="H1007" s="33">
        <f t="shared" si="216"/>
        <v>0.2</v>
      </c>
      <c r="I1007" s="33">
        <f t="shared" si="216"/>
        <v>0.15</v>
      </c>
      <c r="L1007" s="33">
        <v>2.4</v>
      </c>
      <c r="M1007" s="271">
        <f t="shared" si="195"/>
        <v>6.8250000000000005E-2</v>
      </c>
      <c r="N1007" s="41">
        <f>N984*0.1</f>
        <v>6.4039499999999999E-2</v>
      </c>
      <c r="O1007" s="33">
        <v>25</v>
      </c>
      <c r="P1007" s="163">
        <f t="shared" ref="P1007:Z1007" si="217">P984*0.1</f>
        <v>9.8474872679999997E-7</v>
      </c>
      <c r="Q1007" s="163">
        <f t="shared" si="217"/>
        <v>2.7214024050000001E-3</v>
      </c>
      <c r="R1007" s="163">
        <f t="shared" si="217"/>
        <v>0.90941576700000015</v>
      </c>
      <c r="S1007" s="163">
        <f t="shared" si="217"/>
        <v>2.8685903850000003E-8</v>
      </c>
      <c r="T1007" s="163">
        <f t="shared" si="217"/>
        <v>1.8860669805000004E-4</v>
      </c>
      <c r="U1007" s="163">
        <f t="shared" si="217"/>
        <v>2.0135443305000001E-3</v>
      </c>
      <c r="V1007" s="163">
        <f t="shared" si="217"/>
        <v>3.9805991700000011E-4</v>
      </c>
      <c r="W1007" s="163">
        <f t="shared" si="217"/>
        <v>9.0667490550000007E-2</v>
      </c>
      <c r="X1007" s="163">
        <f t="shared" si="217"/>
        <v>2.3342438310000003E-3</v>
      </c>
      <c r="Y1007" s="163">
        <f t="shared" si="217"/>
        <v>11.090681969999999</v>
      </c>
      <c r="Z1007" s="163">
        <f t="shared" si="217"/>
        <v>1.676027565E-3</v>
      </c>
      <c r="AA1007" s="40"/>
      <c r="AB1007" s="40"/>
      <c r="AC1007" s="40"/>
      <c r="AD1007" s="40"/>
      <c r="AE1007" s="40"/>
      <c r="AF1007" s="40"/>
      <c r="AG1007" s="40"/>
      <c r="AH1007" s="40"/>
      <c r="AI1007" s="40"/>
      <c r="AJ1007" s="40"/>
      <c r="AK1007" s="40"/>
      <c r="AL1007" s="40"/>
      <c r="AM1007" s="40"/>
      <c r="AN1007" s="40"/>
      <c r="AO1007" s="40"/>
      <c r="AP1007" s="40"/>
      <c r="AQ1007" s="40"/>
      <c r="AR1007" s="40"/>
      <c r="AS1007" s="40"/>
      <c r="AT1007" s="40"/>
      <c r="AU1007" s="40"/>
      <c r="AV1007" s="163">
        <f>AV984*0.1</f>
        <v>0.78260404410000017</v>
      </c>
      <c r="AW1007" s="40"/>
      <c r="AX1007" s="40"/>
      <c r="AY1007" s="163">
        <f>AY984*0.1</f>
        <v>6.0431811299999998</v>
      </c>
      <c r="AZ1007" s="40"/>
      <c r="BA1007" s="40"/>
      <c r="BB1007" s="40"/>
      <c r="BC1007" s="163">
        <f t="shared" ref="BC1007:BE1007" si="218">BC984*0.1</f>
        <v>6.7474267093500004E-2</v>
      </c>
      <c r="BD1007" s="163">
        <f t="shared" si="218"/>
        <v>0.44941538725214997</v>
      </c>
      <c r="BE1007" s="163">
        <f t="shared" si="218"/>
        <v>8.6337536460000003E-2</v>
      </c>
      <c r="BF1007" s="40"/>
      <c r="BG1007" s="40"/>
      <c r="BH1007" s="40"/>
      <c r="BI1007" s="40"/>
      <c r="BJ1007" s="40"/>
      <c r="BK1007" s="40"/>
      <c r="BL1007" s="62">
        <v>1</v>
      </c>
      <c r="BM1007" s="275">
        <v>3</v>
      </c>
      <c r="BN1007" s="62">
        <v>0.03</v>
      </c>
      <c r="BO1007" s="33" t="s">
        <v>600</v>
      </c>
      <c r="BP1007" s="33" t="s">
        <v>602</v>
      </c>
    </row>
    <row r="1008" spans="1:68">
      <c r="A1008" s="33" t="str">
        <f>Database_Productkaarten[[#This Row],[Product]]&amp;", "&amp;Database_Productkaarten[[#This Row],[Levensfase]]</f>
        <v>Opsluitband 150x200 (hergebruik), D1</v>
      </c>
      <c r="B1008" t="s">
        <v>608</v>
      </c>
      <c r="C1008" t="s">
        <v>55</v>
      </c>
      <c r="D1008" s="33" t="s">
        <v>599</v>
      </c>
      <c r="E1008" s="33" t="s">
        <v>389</v>
      </c>
      <c r="F1008" s="33" t="s">
        <v>87</v>
      </c>
      <c r="G1008" s="33">
        <v>1</v>
      </c>
      <c r="H1008" s="33">
        <v>0.2</v>
      </c>
      <c r="I1008" s="33">
        <v>0.15</v>
      </c>
      <c r="L1008" s="33">
        <v>2.4</v>
      </c>
      <c r="M1008" s="271">
        <f t="shared" si="195"/>
        <v>6.8250000000000005E-2</v>
      </c>
      <c r="N1008" s="41"/>
      <c r="O1008" s="33">
        <v>25</v>
      </c>
      <c r="P1008" s="40"/>
      <c r="Q1008" s="40"/>
      <c r="R1008" s="40"/>
      <c r="S1008" s="40"/>
      <c r="T1008" s="40"/>
      <c r="U1008" s="40"/>
      <c r="V1008" s="40"/>
      <c r="W1008" s="40"/>
      <c r="X1008" s="40"/>
      <c r="Y1008" s="40"/>
      <c r="Z1008" s="40"/>
      <c r="AA1008" s="40"/>
      <c r="AB1008" s="40"/>
      <c r="AC1008" s="40"/>
      <c r="AD1008" s="40"/>
      <c r="AE1008" s="40"/>
      <c r="AF1008" s="40"/>
      <c r="AG1008" s="40"/>
      <c r="AH1008" s="40"/>
      <c r="AI1008" s="40"/>
      <c r="AJ1008" s="40"/>
      <c r="AK1008" s="40"/>
      <c r="AL1008" s="40"/>
      <c r="AM1008" s="40"/>
      <c r="AN1008" s="40"/>
      <c r="AO1008" s="40"/>
      <c r="AP1008" s="40"/>
      <c r="AQ1008" s="40"/>
      <c r="AR1008" s="40"/>
      <c r="AS1008" s="40"/>
      <c r="AT1008" s="40"/>
      <c r="AU1008" s="40"/>
      <c r="AV1008" s="281"/>
      <c r="AW1008" s="40"/>
      <c r="AX1008" s="40"/>
      <c r="AY1008" s="281"/>
      <c r="AZ1008" s="40"/>
      <c r="BA1008" s="40"/>
      <c r="BB1008" s="40"/>
      <c r="BC1008" s="40"/>
      <c r="BD1008" s="40"/>
      <c r="BE1008" s="40"/>
      <c r="BF1008" s="40"/>
      <c r="BG1008" s="40"/>
      <c r="BH1008" s="40"/>
      <c r="BI1008" s="40"/>
      <c r="BJ1008" s="40"/>
      <c r="BK1008" s="40"/>
      <c r="BL1008" s="62">
        <v>1</v>
      </c>
      <c r="BM1008" s="275">
        <v>3</v>
      </c>
      <c r="BN1008" s="62">
        <v>0.03</v>
      </c>
      <c r="BO1008" s="33" t="s">
        <v>600</v>
      </c>
      <c r="BP1008" s="33" t="s">
        <v>602</v>
      </c>
    </row>
    <row r="1009" spans="1:68">
      <c r="A1009" s="33" t="str">
        <f>Database_Productkaarten[[#This Row],[Product]]&amp;", "&amp;Database_Productkaarten[[#This Row],[Levensfase]]</f>
        <v>Opsluitband 150x200 (hergebruik), D2</v>
      </c>
      <c r="B1009" t="s">
        <v>608</v>
      </c>
      <c r="C1009" t="s">
        <v>55</v>
      </c>
      <c r="D1009" s="33" t="s">
        <v>599</v>
      </c>
      <c r="E1009" s="33" t="s">
        <v>389</v>
      </c>
      <c r="F1009" s="33" t="s">
        <v>88</v>
      </c>
      <c r="G1009" s="33">
        <v>1</v>
      </c>
      <c r="H1009" s="33">
        <v>0.2</v>
      </c>
      <c r="I1009" s="33">
        <v>0.15</v>
      </c>
      <c r="L1009" s="33">
        <v>2.4</v>
      </c>
      <c r="M1009" s="271">
        <f t="shared" si="195"/>
        <v>6.8250000000000005E-2</v>
      </c>
      <c r="N1009" s="41"/>
      <c r="O1009" s="33">
        <v>25</v>
      </c>
      <c r="P1009" s="40"/>
      <c r="Q1009" s="40"/>
      <c r="R1009" s="40"/>
      <c r="S1009" s="40"/>
      <c r="T1009" s="40"/>
      <c r="U1009" s="40"/>
      <c r="V1009" s="40"/>
      <c r="W1009" s="40"/>
      <c r="X1009" s="40"/>
      <c r="Y1009" s="40"/>
      <c r="Z1009" s="40"/>
      <c r="AA1009" s="40"/>
      <c r="AB1009" s="40"/>
      <c r="AC1009" s="40"/>
      <c r="AD1009" s="40"/>
      <c r="AE1009" s="40"/>
      <c r="AF1009" s="40"/>
      <c r="AG1009" s="40"/>
      <c r="AH1009" s="40"/>
      <c r="AI1009" s="40"/>
      <c r="AJ1009" s="40"/>
      <c r="AK1009" s="40"/>
      <c r="AL1009" s="40"/>
      <c r="AM1009" s="40"/>
      <c r="AN1009" s="40"/>
      <c r="AO1009" s="40"/>
      <c r="AP1009" s="40"/>
      <c r="AQ1009" s="40"/>
      <c r="AR1009" s="40"/>
      <c r="AS1009" s="40"/>
      <c r="AT1009" s="40"/>
      <c r="AU1009" s="40"/>
      <c r="AV1009" s="281"/>
      <c r="AW1009" s="40"/>
      <c r="AX1009" s="40"/>
      <c r="AY1009" s="281"/>
      <c r="AZ1009" s="40"/>
      <c r="BA1009" s="40"/>
      <c r="BB1009" s="40"/>
      <c r="BC1009" s="40"/>
      <c r="BD1009" s="40"/>
      <c r="BE1009" s="40"/>
      <c r="BF1009" s="40"/>
      <c r="BG1009" s="40"/>
      <c r="BH1009" s="40"/>
      <c r="BI1009" s="40"/>
      <c r="BJ1009" s="40"/>
      <c r="BK1009" s="40"/>
      <c r="BL1009" s="62">
        <v>1</v>
      </c>
      <c r="BM1009" s="275">
        <v>3</v>
      </c>
      <c r="BN1009" s="62">
        <v>0.03</v>
      </c>
      <c r="BO1009" s="33" t="s">
        <v>600</v>
      </c>
      <c r="BP1009" s="33" t="s">
        <v>602</v>
      </c>
    </row>
    <row r="1010" spans="1:68">
      <c r="A1010" s="33" t="str">
        <f>Database_Productkaarten[[#This Row],[Product]]&amp;", "&amp;Database_Productkaarten[[#This Row],[Levensfase]]</f>
        <v>Opsluitband 150x250, Totaal</v>
      </c>
      <c r="B1010" t="s">
        <v>266</v>
      </c>
      <c r="C1010" t="s">
        <v>55</v>
      </c>
      <c r="D1010" s="33" t="s">
        <v>599</v>
      </c>
      <c r="E1010" s="33" t="s">
        <v>389</v>
      </c>
      <c r="F1010" s="33" t="s">
        <v>90</v>
      </c>
      <c r="G1010" s="33">
        <v>1</v>
      </c>
      <c r="H1010" s="33">
        <v>0.25</v>
      </c>
      <c r="I1010" s="33">
        <v>0.15</v>
      </c>
      <c r="L1010" s="33">
        <v>2.4</v>
      </c>
      <c r="M1010" s="271">
        <f t="shared" ref="M1010:N1013" si="219">M920*1.5*1.25</f>
        <v>8.5312500000000013E-2</v>
      </c>
      <c r="N1010" s="41">
        <f t="shared" si="219"/>
        <v>0</v>
      </c>
      <c r="O1010" s="33">
        <v>25</v>
      </c>
      <c r="P1010" s="40">
        <f t="shared" ref="P1010:Z1010" si="220">P950*1.5</f>
        <v>0</v>
      </c>
      <c r="Q1010" s="40">
        <f t="shared" si="220"/>
        <v>0</v>
      </c>
      <c r="R1010" s="40">
        <f t="shared" si="220"/>
        <v>0</v>
      </c>
      <c r="S1010" s="40">
        <f t="shared" si="220"/>
        <v>0</v>
      </c>
      <c r="T1010" s="40">
        <f t="shared" si="220"/>
        <v>0</v>
      </c>
      <c r="U1010" s="40">
        <f t="shared" si="220"/>
        <v>0</v>
      </c>
      <c r="V1010" s="40">
        <f t="shared" si="220"/>
        <v>0</v>
      </c>
      <c r="W1010" s="40">
        <f t="shared" si="220"/>
        <v>0</v>
      </c>
      <c r="X1010" s="40">
        <f t="shared" si="220"/>
        <v>0</v>
      </c>
      <c r="Y1010" s="40">
        <f t="shared" si="220"/>
        <v>0</v>
      </c>
      <c r="Z1010" s="40">
        <f t="shared" si="220"/>
        <v>0</v>
      </c>
      <c r="AV1010" s="316"/>
      <c r="AW1010" s="314"/>
      <c r="AX1010" s="314"/>
      <c r="AY1010" s="316"/>
      <c r="BL1010" s="62">
        <v>0</v>
      </c>
      <c r="BM1010" s="275">
        <v>3</v>
      </c>
      <c r="BN1010" s="62">
        <v>0.03</v>
      </c>
      <c r="BO1010" s="33" t="s">
        <v>600</v>
      </c>
      <c r="BP1010" s="33" t="s">
        <v>609</v>
      </c>
    </row>
    <row r="1011" spans="1:68">
      <c r="A1011" s="33" t="str">
        <f>Database_Productkaarten[[#This Row],[Product]]&amp;", "&amp;Database_Productkaarten[[#This Row],[Levensfase]]</f>
        <v>Opsluitband 150x250, A1</v>
      </c>
      <c r="B1011" t="s">
        <v>266</v>
      </c>
      <c r="C1011" t="s">
        <v>55</v>
      </c>
      <c r="D1011" s="33" t="s">
        <v>599</v>
      </c>
      <c r="E1011" s="33" t="s">
        <v>389</v>
      </c>
      <c r="F1011" s="33" t="s">
        <v>74</v>
      </c>
      <c r="G1011" s="33">
        <v>1</v>
      </c>
      <c r="H1011" s="33">
        <v>0.25</v>
      </c>
      <c r="I1011" s="33">
        <v>0.15</v>
      </c>
      <c r="L1011" s="33">
        <v>2.4</v>
      </c>
      <c r="M1011" s="271">
        <f t="shared" si="219"/>
        <v>8.5312500000000013E-2</v>
      </c>
      <c r="N1011" s="41">
        <f t="shared" si="219"/>
        <v>0.55704374999999995</v>
      </c>
      <c r="O1011" s="33">
        <v>25</v>
      </c>
      <c r="P1011" s="40">
        <f t="shared" ref="P1011:Z1011" si="221">P920*1.5*1.25</f>
        <v>0</v>
      </c>
      <c r="Q1011" s="40">
        <f t="shared" si="221"/>
        <v>0</v>
      </c>
      <c r="R1011" s="40">
        <f t="shared" si="221"/>
        <v>0</v>
      </c>
      <c r="S1011" s="40">
        <f t="shared" si="221"/>
        <v>0</v>
      </c>
      <c r="T1011" s="40">
        <f t="shared" si="221"/>
        <v>0</v>
      </c>
      <c r="U1011" s="40">
        <f t="shared" si="221"/>
        <v>0</v>
      </c>
      <c r="V1011" s="40">
        <f t="shared" si="221"/>
        <v>0</v>
      </c>
      <c r="W1011" s="40">
        <f t="shared" si="221"/>
        <v>0</v>
      </c>
      <c r="X1011" s="40">
        <f t="shared" si="221"/>
        <v>0</v>
      </c>
      <c r="Y1011" s="40">
        <f t="shared" si="221"/>
        <v>0</v>
      </c>
      <c r="Z1011" s="40">
        <f t="shared" si="221"/>
        <v>0</v>
      </c>
      <c r="AV1011" s="313">
        <f t="shared" ref="AV1011:AV1022" si="222">AV921*1.5*1.25</f>
        <v>8.9629186875000002</v>
      </c>
      <c r="AW1011" s="314"/>
      <c r="AX1011" s="314"/>
      <c r="AY1011" s="313">
        <f t="shared" ref="AY1011:AY1022" si="223">AY921*1.5*1.25</f>
        <v>56.688890624999999</v>
      </c>
      <c r="BC1011" s="313">
        <f t="shared" ref="BC1011:BE1022" si="224">BC921*1.5*1.25</f>
        <v>0.83989140000000007</v>
      </c>
      <c r="BD1011" s="313">
        <f t="shared" si="224"/>
        <v>5.6175847499999998</v>
      </c>
      <c r="BE1011" s="313">
        <f t="shared" si="224"/>
        <v>0.49439310000000003</v>
      </c>
      <c r="BL1011" s="62">
        <v>0</v>
      </c>
      <c r="BM1011" s="275">
        <v>3</v>
      </c>
      <c r="BN1011" s="62">
        <v>0.03</v>
      </c>
      <c r="BO1011" s="33" t="s">
        <v>600</v>
      </c>
      <c r="BP1011" s="33" t="s">
        <v>609</v>
      </c>
    </row>
    <row r="1012" spans="1:68">
      <c r="A1012" s="33" t="str">
        <f>Database_Productkaarten[[#This Row],[Product]]&amp;", "&amp;Database_Productkaarten[[#This Row],[Levensfase]]</f>
        <v>Opsluitband 150x250, A2</v>
      </c>
      <c r="B1012" t="s">
        <v>266</v>
      </c>
      <c r="C1012" t="s">
        <v>55</v>
      </c>
      <c r="D1012" s="33" t="s">
        <v>599</v>
      </c>
      <c r="E1012" s="33" t="s">
        <v>389</v>
      </c>
      <c r="F1012" s="33" t="s">
        <v>75</v>
      </c>
      <c r="G1012" s="33">
        <v>1</v>
      </c>
      <c r="H1012" s="33">
        <v>0.25</v>
      </c>
      <c r="I1012" s="33">
        <v>0.15</v>
      </c>
      <c r="L1012" s="33">
        <v>2.4</v>
      </c>
      <c r="M1012" s="271">
        <f t="shared" si="219"/>
        <v>8.5312500000000013E-2</v>
      </c>
      <c r="N1012" s="41">
        <f t="shared" si="219"/>
        <v>0</v>
      </c>
      <c r="O1012" s="33">
        <v>25</v>
      </c>
      <c r="P1012" s="40">
        <f t="shared" ref="P1012:Z1012" si="225">P921*1.5*1.25</f>
        <v>1.0454137687500001E-5</v>
      </c>
      <c r="Q1012" s="40">
        <f t="shared" si="225"/>
        <v>2.5114025625000001E-2</v>
      </c>
      <c r="R1012" s="40">
        <f t="shared" si="225"/>
        <v>10.220192812499999</v>
      </c>
      <c r="S1012" s="40">
        <f t="shared" si="225"/>
        <v>2.1021759375000002E-7</v>
      </c>
      <c r="T1012" s="40">
        <f t="shared" si="225"/>
        <v>1.9128135000000004E-3</v>
      </c>
      <c r="U1012" s="40">
        <f t="shared" si="225"/>
        <v>2.1571006875E-2</v>
      </c>
      <c r="V1012" s="40">
        <f t="shared" si="225"/>
        <v>4.2341535000000007E-3</v>
      </c>
      <c r="W1012" s="40">
        <f t="shared" si="225"/>
        <v>0.84759320625000001</v>
      </c>
      <c r="X1012" s="40">
        <f t="shared" si="225"/>
        <v>2.1091906875E-2</v>
      </c>
      <c r="Y1012" s="40">
        <f t="shared" si="225"/>
        <v>108.090511875</v>
      </c>
      <c r="Z1012" s="40">
        <f t="shared" si="225"/>
        <v>1.9329984374999998E-2</v>
      </c>
      <c r="AV1012" s="313">
        <f t="shared" si="222"/>
        <v>0.12635556375000001</v>
      </c>
      <c r="AW1012" s="314"/>
      <c r="AX1012" s="314"/>
      <c r="AY1012" s="313">
        <f t="shared" si="223"/>
        <v>9.8734016249999996</v>
      </c>
      <c r="BC1012" s="313">
        <f t="shared" si="224"/>
        <v>1.7757066187500002E-3</v>
      </c>
      <c r="BD1012" s="313">
        <f t="shared" si="224"/>
        <v>6.8188366875000003E-5</v>
      </c>
      <c r="BE1012" s="313">
        <f t="shared" si="224"/>
        <v>0.56753058750000007</v>
      </c>
      <c r="BL1012" s="62">
        <v>0</v>
      </c>
      <c r="BM1012" s="275">
        <v>3</v>
      </c>
      <c r="BN1012" s="62">
        <v>0.03</v>
      </c>
      <c r="BO1012" s="33" t="s">
        <v>600</v>
      </c>
      <c r="BP1012" s="33" t="s">
        <v>609</v>
      </c>
    </row>
    <row r="1013" spans="1:68">
      <c r="A1013" s="33" t="str">
        <f>Database_Productkaarten[[#This Row],[Product]]&amp;", "&amp;Database_Productkaarten[[#This Row],[Levensfase]]</f>
        <v>Opsluitband 150x250, A3</v>
      </c>
      <c r="B1013" t="s">
        <v>266</v>
      </c>
      <c r="C1013" t="s">
        <v>55</v>
      </c>
      <c r="D1013" s="33" t="s">
        <v>599</v>
      </c>
      <c r="E1013" s="33" t="s">
        <v>389</v>
      </c>
      <c r="F1013" s="33" t="s">
        <v>76</v>
      </c>
      <c r="G1013" s="33">
        <v>1</v>
      </c>
      <c r="H1013" s="33">
        <v>0.25</v>
      </c>
      <c r="I1013" s="33">
        <v>0.15</v>
      </c>
      <c r="L1013" s="33">
        <v>2.4</v>
      </c>
      <c r="M1013" s="271">
        <f t="shared" si="219"/>
        <v>8.5312500000000013E-2</v>
      </c>
      <c r="N1013" s="41">
        <f t="shared" si="219"/>
        <v>0</v>
      </c>
      <c r="O1013" s="33">
        <v>25</v>
      </c>
      <c r="P1013" s="40">
        <f t="shared" ref="P1013:Z1013" si="226">P922*1.5*1.25</f>
        <v>1.7063547000000001E-6</v>
      </c>
      <c r="Q1013" s="40">
        <f t="shared" si="226"/>
        <v>4.4289020625000002E-3</v>
      </c>
      <c r="R1013" s="40">
        <f t="shared" si="226"/>
        <v>0.60001959374999991</v>
      </c>
      <c r="S1013" s="40">
        <f t="shared" si="226"/>
        <v>1.1057177062499999E-7</v>
      </c>
      <c r="T1013" s="40">
        <f t="shared" si="226"/>
        <v>3.5415067500000003E-4</v>
      </c>
      <c r="U1013" s="40">
        <f t="shared" si="226"/>
        <v>2.6013438749999999E-3</v>
      </c>
      <c r="V1013" s="40">
        <f t="shared" si="226"/>
        <v>5.1837716249999999E-4</v>
      </c>
      <c r="W1013" s="40">
        <f t="shared" si="226"/>
        <v>0.24005473124999996</v>
      </c>
      <c r="X1013" s="40">
        <f t="shared" si="226"/>
        <v>7.0404823125000005E-3</v>
      </c>
      <c r="Y1013" s="40">
        <f t="shared" si="226"/>
        <v>25.411186874999999</v>
      </c>
      <c r="Z1013" s="40">
        <f t="shared" si="226"/>
        <v>8.5054470000000008E-4</v>
      </c>
      <c r="AV1013" s="313">
        <f t="shared" si="222"/>
        <v>0.69327629999999996</v>
      </c>
      <c r="AW1013" s="314"/>
      <c r="AX1013" s="314"/>
      <c r="AY1013" s="313">
        <f t="shared" si="223"/>
        <v>8.9774718750000009</v>
      </c>
      <c r="BC1013" s="313">
        <f t="shared" si="224"/>
        <v>1.76123205E-3</v>
      </c>
      <c r="BD1013" s="313">
        <f t="shared" si="224"/>
        <v>3.9402284999999999E-5</v>
      </c>
      <c r="BE1013" s="313">
        <f t="shared" si="224"/>
        <v>1.7295518249999999E-2</v>
      </c>
      <c r="BL1013" s="62">
        <v>0</v>
      </c>
      <c r="BM1013" s="275">
        <v>3</v>
      </c>
      <c r="BN1013" s="62">
        <v>0.03</v>
      </c>
      <c r="BO1013" s="33" t="s">
        <v>600</v>
      </c>
      <c r="BP1013" s="33" t="s">
        <v>609</v>
      </c>
    </row>
    <row r="1014" spans="1:68">
      <c r="A1014" s="33" t="str">
        <f>Database_Productkaarten[[#This Row],[Product]]&amp;", "&amp;Database_Productkaarten[[#This Row],[Levensfase]]</f>
        <v>Opsluitband 150x250, A1-A3</v>
      </c>
      <c r="B1014" s="33" t="str">
        <f>B1013</f>
        <v>Opsluitband 150x250</v>
      </c>
      <c r="C1014" s="33" t="str">
        <f>C1013</f>
        <v>Elementenverhardingen</v>
      </c>
      <c r="D1014" s="33" t="str">
        <f>D1013</f>
        <v>Opsluitband</v>
      </c>
      <c r="E1014" s="33" t="str">
        <f>E1013</f>
        <v>m1</v>
      </c>
      <c r="F1014" s="33" t="s">
        <v>77</v>
      </c>
      <c r="G1014" s="33">
        <f>G1013</f>
        <v>1</v>
      </c>
      <c r="H1014" s="33">
        <f t="shared" ref="H1014:M1014" si="227">H1013</f>
        <v>0.25</v>
      </c>
      <c r="I1014" s="33">
        <f t="shared" si="227"/>
        <v>0.15</v>
      </c>
      <c r="L1014" s="33">
        <f t="shared" si="227"/>
        <v>2.4</v>
      </c>
      <c r="M1014" s="45">
        <f t="shared" si="227"/>
        <v>8.5312500000000013E-2</v>
      </c>
      <c r="N1014" s="41">
        <f t="shared" ref="N1014:N1024" si="228">N924*1.5*1.25</f>
        <v>0.80049374999999989</v>
      </c>
      <c r="O1014" s="33">
        <v>25</v>
      </c>
      <c r="P1014" s="40">
        <f>SUM(P1011:P1013)</f>
        <v>1.21604923875E-5</v>
      </c>
      <c r="Q1014" s="40">
        <f t="shared" ref="Q1014:BK1014" si="229">SUM(Q1011:Q1013)</f>
        <v>2.9542927687500001E-2</v>
      </c>
      <c r="R1014" s="40">
        <f t="shared" si="229"/>
        <v>10.820212406249999</v>
      </c>
      <c r="S1014" s="40">
        <f t="shared" si="229"/>
        <v>3.2078936437500004E-7</v>
      </c>
      <c r="T1014" s="40">
        <f t="shared" si="229"/>
        <v>2.2669641750000004E-3</v>
      </c>
      <c r="U1014" s="40">
        <f t="shared" si="229"/>
        <v>2.4172350749999998E-2</v>
      </c>
      <c r="V1014" s="40">
        <f t="shared" si="229"/>
        <v>4.7525306625000006E-3</v>
      </c>
      <c r="W1014" s="40">
        <f t="shared" si="229"/>
        <v>1.0876479374999999</v>
      </c>
      <c r="X1014" s="40">
        <f t="shared" si="229"/>
        <v>2.8132389187500002E-2</v>
      </c>
      <c r="Y1014" s="40">
        <f t="shared" si="229"/>
        <v>133.50169875</v>
      </c>
      <c r="Z1014" s="40">
        <f t="shared" si="229"/>
        <v>2.0180529074999998E-2</v>
      </c>
      <c r="AA1014" s="40">
        <f t="shared" si="229"/>
        <v>0</v>
      </c>
      <c r="AB1014" s="40">
        <f t="shared" si="229"/>
        <v>0</v>
      </c>
      <c r="AC1014" s="40">
        <f t="shared" si="229"/>
        <v>0</v>
      </c>
      <c r="AD1014" s="40">
        <f t="shared" si="229"/>
        <v>0</v>
      </c>
      <c r="AE1014" s="40">
        <f t="shared" si="229"/>
        <v>0</v>
      </c>
      <c r="AF1014" s="40">
        <f t="shared" si="229"/>
        <v>0</v>
      </c>
      <c r="AG1014" s="40">
        <f t="shared" si="229"/>
        <v>0</v>
      </c>
      <c r="AH1014" s="40">
        <f t="shared" si="229"/>
        <v>0</v>
      </c>
      <c r="AI1014" s="40">
        <f t="shared" si="229"/>
        <v>0</v>
      </c>
      <c r="AJ1014" s="40">
        <f t="shared" si="229"/>
        <v>0</v>
      </c>
      <c r="AK1014" s="40">
        <f t="shared" si="229"/>
        <v>0</v>
      </c>
      <c r="AL1014" s="40">
        <f t="shared" si="229"/>
        <v>0</v>
      </c>
      <c r="AM1014" s="40">
        <f t="shared" si="229"/>
        <v>0</v>
      </c>
      <c r="AN1014" s="40">
        <f t="shared" si="229"/>
        <v>0</v>
      </c>
      <c r="AO1014" s="40">
        <f t="shared" si="229"/>
        <v>0</v>
      </c>
      <c r="AP1014" s="40">
        <f t="shared" si="229"/>
        <v>0</v>
      </c>
      <c r="AQ1014" s="40">
        <f t="shared" si="229"/>
        <v>0</v>
      </c>
      <c r="AR1014" s="40">
        <f t="shared" si="229"/>
        <v>0</v>
      </c>
      <c r="AS1014" s="40">
        <f t="shared" si="229"/>
        <v>0</v>
      </c>
      <c r="AT1014" s="40">
        <f t="shared" si="229"/>
        <v>0</v>
      </c>
      <c r="AU1014" s="40">
        <f t="shared" si="229"/>
        <v>0</v>
      </c>
      <c r="AV1014" s="313">
        <f t="shared" si="222"/>
        <v>9.7825505512500008</v>
      </c>
      <c r="AW1014" s="317">
        <f t="shared" si="229"/>
        <v>0</v>
      </c>
      <c r="AX1014" s="317">
        <f t="shared" si="229"/>
        <v>0</v>
      </c>
      <c r="AY1014" s="313">
        <f t="shared" si="223"/>
        <v>75.539764124999991</v>
      </c>
      <c r="AZ1014" s="40">
        <f t="shared" si="229"/>
        <v>0</v>
      </c>
      <c r="BA1014" s="40">
        <f t="shared" si="229"/>
        <v>0</v>
      </c>
      <c r="BB1014" s="40">
        <f t="shared" si="229"/>
        <v>0</v>
      </c>
      <c r="BC1014" s="313">
        <f t="shared" si="224"/>
        <v>0.84342833866875011</v>
      </c>
      <c r="BD1014" s="313">
        <f t="shared" si="224"/>
        <v>5.6176923406518746</v>
      </c>
      <c r="BE1014" s="313">
        <f t="shared" si="224"/>
        <v>1.0792192057499999</v>
      </c>
      <c r="BF1014" s="40">
        <f t="shared" si="229"/>
        <v>0</v>
      </c>
      <c r="BG1014" s="40">
        <f t="shared" si="229"/>
        <v>0</v>
      </c>
      <c r="BH1014" s="40">
        <f t="shared" si="229"/>
        <v>0</v>
      </c>
      <c r="BI1014" s="40">
        <f t="shared" si="229"/>
        <v>0</v>
      </c>
      <c r="BJ1014" s="40">
        <f t="shared" si="229"/>
        <v>0</v>
      </c>
      <c r="BK1014" s="40">
        <f t="shared" si="229"/>
        <v>0</v>
      </c>
      <c r="BL1014" s="62">
        <f>BL1013</f>
        <v>0</v>
      </c>
      <c r="BM1014" s="275">
        <f>BM1013</f>
        <v>3</v>
      </c>
      <c r="BN1014" s="62">
        <v>0.03</v>
      </c>
      <c r="BO1014" s="33" t="str">
        <f>BO1013</f>
        <v>NMD Opsluitband 100x200x1000mm grijs</v>
      </c>
    </row>
    <row r="1015" spans="1:68">
      <c r="A1015" s="33" t="str">
        <f>Database_Productkaarten[[#This Row],[Product]]&amp;", "&amp;Database_Productkaarten[[#This Row],[Levensfase]]</f>
        <v>Opsluitband 150x250, A4</v>
      </c>
      <c r="B1015" t="s">
        <v>266</v>
      </c>
      <c r="C1015" t="s">
        <v>55</v>
      </c>
      <c r="D1015" s="33" t="s">
        <v>599</v>
      </c>
      <c r="E1015" s="33" t="s">
        <v>389</v>
      </c>
      <c r="F1015" s="33" t="s">
        <v>78</v>
      </c>
      <c r="G1015" s="33">
        <v>1</v>
      </c>
      <c r="H1015" s="33">
        <v>0.25</v>
      </c>
      <c r="I1015" s="33">
        <v>0.15</v>
      </c>
      <c r="L1015" s="33">
        <v>2.4</v>
      </c>
      <c r="M1015" s="271">
        <f t="shared" ref="M1015:M1021" si="230">M925*1.5*1.25</f>
        <v>8.5312500000000013E-2</v>
      </c>
      <c r="N1015" s="41">
        <f t="shared" si="228"/>
        <v>0.19650000000000001</v>
      </c>
      <c r="O1015" s="33">
        <v>25</v>
      </c>
      <c r="P1015" s="40">
        <f t="shared" ref="P1015:Z1015" si="231">P923*1.5*1.25</f>
        <v>1.4886669749999999E-7</v>
      </c>
      <c r="Q1015" s="40">
        <f t="shared" si="231"/>
        <v>4.4746023750000001E-3</v>
      </c>
      <c r="R1015" s="40">
        <f t="shared" si="231"/>
        <v>0.54748468125000005</v>
      </c>
      <c r="S1015" s="40">
        <f t="shared" si="231"/>
        <v>3.7784433750000001E-8</v>
      </c>
      <c r="T1015" s="40">
        <f t="shared" si="231"/>
        <v>9.0619550625000003E-5</v>
      </c>
      <c r="U1015" s="40">
        <f t="shared" si="231"/>
        <v>9.9695338124999996E-4</v>
      </c>
      <c r="V1015" s="40">
        <f t="shared" si="231"/>
        <v>2.2321830000000001E-4</v>
      </c>
      <c r="W1015" s="40">
        <f t="shared" si="231"/>
        <v>4.5695694375000005E-2</v>
      </c>
      <c r="X1015" s="40">
        <f t="shared" si="231"/>
        <v>1.0456586999999999E-3</v>
      </c>
      <c r="Y1015" s="40">
        <f t="shared" si="231"/>
        <v>5.1318258750000005</v>
      </c>
      <c r="Z1015" s="40">
        <f t="shared" si="231"/>
        <v>7.6981548750000009E-4</v>
      </c>
      <c r="AV1015" s="313">
        <f t="shared" si="222"/>
        <v>0.35020770000000001</v>
      </c>
      <c r="AW1015" s="314"/>
      <c r="AX1015" s="314"/>
      <c r="AY1015" s="313">
        <f t="shared" si="223"/>
        <v>27.365169374999997</v>
      </c>
      <c r="BC1015" s="313">
        <f t="shared" si="224"/>
        <v>4.9215571874999999E-3</v>
      </c>
      <c r="BD1015" s="313">
        <f t="shared" si="224"/>
        <v>1.8899120625E-4</v>
      </c>
      <c r="BE1015" s="313">
        <f t="shared" si="224"/>
        <v>1.57297059375</v>
      </c>
      <c r="BL1015" s="62">
        <v>0</v>
      </c>
      <c r="BM1015" s="275">
        <v>3</v>
      </c>
      <c r="BN1015" s="62">
        <v>0.03</v>
      </c>
      <c r="BO1015" s="33" t="s">
        <v>600</v>
      </c>
      <c r="BP1015" s="33" t="s">
        <v>609</v>
      </c>
    </row>
    <row r="1016" spans="1:68">
      <c r="A1016" s="33" t="str">
        <f>Database_Productkaarten[[#This Row],[Product]]&amp;", "&amp;Database_Productkaarten[[#This Row],[Levensfase]]</f>
        <v>Opsluitband 150x250, A5</v>
      </c>
      <c r="B1016" t="s">
        <v>266</v>
      </c>
      <c r="C1016" t="s">
        <v>55</v>
      </c>
      <c r="D1016" s="33" t="s">
        <v>599</v>
      </c>
      <c r="E1016" s="33" t="s">
        <v>389</v>
      </c>
      <c r="F1016" s="33" t="s">
        <v>79</v>
      </c>
      <c r="G1016" s="33">
        <v>1</v>
      </c>
      <c r="H1016" s="33">
        <v>0.25</v>
      </c>
      <c r="I1016" s="33">
        <v>0.15</v>
      </c>
      <c r="L1016" s="33">
        <v>2.4</v>
      </c>
      <c r="M1016" s="271">
        <f t="shared" si="230"/>
        <v>8.5312500000000013E-2</v>
      </c>
      <c r="N1016" s="41">
        <f t="shared" si="228"/>
        <v>0.17636249999999998</v>
      </c>
      <c r="O1016" s="33">
        <v>25</v>
      </c>
      <c r="P1016" s="40">
        <f t="shared" ref="P1016:Z1016" si="232">P925*1.5*1.25</f>
        <v>4.7293411874999995E-6</v>
      </c>
      <c r="Q1016" s="40">
        <f t="shared" si="232"/>
        <v>1.22751665625E-2</v>
      </c>
      <c r="R1016" s="40">
        <f t="shared" si="232"/>
        <v>1.6630172812499999</v>
      </c>
      <c r="S1016" s="40">
        <f t="shared" si="232"/>
        <v>3.0646126874999998E-7</v>
      </c>
      <c r="T1016" s="40">
        <f t="shared" si="232"/>
        <v>9.8156574374999995E-4</v>
      </c>
      <c r="U1016" s="40">
        <f t="shared" si="232"/>
        <v>7.2098973749999996E-3</v>
      </c>
      <c r="V1016" s="40">
        <f t="shared" si="232"/>
        <v>1.4367366937500002E-3</v>
      </c>
      <c r="W1016" s="40">
        <f t="shared" si="232"/>
        <v>0.66533688749999997</v>
      </c>
      <c r="X1016" s="40">
        <f t="shared" si="232"/>
        <v>1.9513436250000002E-2</v>
      </c>
      <c r="Y1016" s="40">
        <f t="shared" si="232"/>
        <v>70.429771875</v>
      </c>
      <c r="Z1016" s="40">
        <f t="shared" si="232"/>
        <v>2.3573739374999998E-3</v>
      </c>
      <c r="AV1016" s="313">
        <f t="shared" si="222"/>
        <v>0.39540206249999998</v>
      </c>
      <c r="AW1016" s="314"/>
      <c r="AX1016" s="314"/>
      <c r="AY1016" s="313">
        <f t="shared" si="223"/>
        <v>20.56305</v>
      </c>
      <c r="BC1016" s="313">
        <f t="shared" si="224"/>
        <v>2.373880875E-2</v>
      </c>
      <c r="BD1016" s="313">
        <f t="shared" si="224"/>
        <v>0.16865756062500001</v>
      </c>
      <c r="BE1016" s="313">
        <f t="shared" si="224"/>
        <v>0.144647026875</v>
      </c>
      <c r="BL1016" s="62">
        <v>0</v>
      </c>
      <c r="BM1016" s="275">
        <v>3</v>
      </c>
      <c r="BN1016" s="62">
        <v>0.03</v>
      </c>
      <c r="BO1016" s="33" t="s">
        <v>600</v>
      </c>
      <c r="BP1016" s="33" t="s">
        <v>609</v>
      </c>
    </row>
    <row r="1017" spans="1:68">
      <c r="A1017" s="33" t="str">
        <f>Database_Productkaarten[[#This Row],[Product]]&amp;", "&amp;Database_Productkaarten[[#This Row],[Levensfase]]</f>
        <v>Opsluitband 150x250, B1</v>
      </c>
      <c r="B1017" t="s">
        <v>266</v>
      </c>
      <c r="C1017" t="s">
        <v>55</v>
      </c>
      <c r="D1017" s="33" t="s">
        <v>599</v>
      </c>
      <c r="E1017" s="33" t="s">
        <v>389</v>
      </c>
      <c r="F1017" s="33" t="s">
        <v>80</v>
      </c>
      <c r="G1017" s="33">
        <v>1</v>
      </c>
      <c r="H1017" s="33">
        <v>0.25</v>
      </c>
      <c r="I1017" s="33">
        <v>0.15</v>
      </c>
      <c r="L1017" s="33">
        <v>2.4</v>
      </c>
      <c r="M1017" s="271">
        <f t="shared" si="230"/>
        <v>8.5312500000000013E-2</v>
      </c>
      <c r="N1017" s="41">
        <f t="shared" si="228"/>
        <v>0</v>
      </c>
      <c r="O1017" s="33">
        <v>25</v>
      </c>
      <c r="P1017" s="40">
        <f t="shared" ref="P1017:Z1017" si="233">P926*1.5*1.25</f>
        <v>8.824760062500001E-7</v>
      </c>
      <c r="Q1017" s="40">
        <f t="shared" si="233"/>
        <v>9.1752538124999991E-3</v>
      </c>
      <c r="R1017" s="40">
        <f t="shared" si="233"/>
        <v>1.5173914499999999</v>
      </c>
      <c r="S1017" s="40">
        <f t="shared" si="233"/>
        <v>2.23641675E-7</v>
      </c>
      <c r="T1017" s="40">
        <f t="shared" si="233"/>
        <v>1.22993835E-3</v>
      </c>
      <c r="U1017" s="40">
        <f t="shared" si="233"/>
        <v>9.4476727500000003E-3</v>
      </c>
      <c r="V1017" s="40">
        <f t="shared" si="233"/>
        <v>2.0920419374999997E-3</v>
      </c>
      <c r="W1017" s="40">
        <f t="shared" si="233"/>
        <v>0.45262876874999997</v>
      </c>
      <c r="X1017" s="40">
        <f t="shared" si="233"/>
        <v>7.1398998750000003E-3</v>
      </c>
      <c r="Y1017" s="40">
        <f t="shared" si="233"/>
        <v>25.494965624999999</v>
      </c>
      <c r="Z1017" s="40">
        <f t="shared" si="233"/>
        <v>1.3728632062499999E-3</v>
      </c>
      <c r="AV1017" s="313">
        <f t="shared" si="222"/>
        <v>0</v>
      </c>
      <c r="AW1017" s="314"/>
      <c r="AX1017" s="314"/>
      <c r="AY1017" s="313">
        <f t="shared" si="223"/>
        <v>0</v>
      </c>
      <c r="BC1017" s="313">
        <f t="shared" si="224"/>
        <v>0</v>
      </c>
      <c r="BD1017" s="313">
        <f t="shared" si="224"/>
        <v>0</v>
      </c>
      <c r="BE1017" s="313">
        <f t="shared" si="224"/>
        <v>0</v>
      </c>
      <c r="BL1017" s="62">
        <v>0</v>
      </c>
      <c r="BM1017" s="275">
        <v>3</v>
      </c>
      <c r="BN1017" s="62">
        <v>0.03</v>
      </c>
      <c r="BO1017" s="33" t="s">
        <v>600</v>
      </c>
      <c r="BP1017" s="33" t="s">
        <v>609</v>
      </c>
    </row>
    <row r="1018" spans="1:68">
      <c r="A1018" s="33" t="str">
        <f>Database_Productkaarten[[#This Row],[Product]]&amp;", "&amp;Database_Productkaarten[[#This Row],[Levensfase]]</f>
        <v>Opsluitband 150x250, C1</v>
      </c>
      <c r="B1018" t="s">
        <v>266</v>
      </c>
      <c r="C1018" t="s">
        <v>55</v>
      </c>
      <c r="D1018" s="33" t="s">
        <v>599</v>
      </c>
      <c r="E1018" s="33" t="s">
        <v>389</v>
      </c>
      <c r="F1018" s="33" t="s">
        <v>83</v>
      </c>
      <c r="G1018" s="33">
        <v>1</v>
      </c>
      <c r="H1018" s="33">
        <v>0.25</v>
      </c>
      <c r="I1018" s="33">
        <v>0.15</v>
      </c>
      <c r="L1018" s="33">
        <v>2.4</v>
      </c>
      <c r="M1018" s="271">
        <f t="shared" si="230"/>
        <v>8.5312500000000013E-2</v>
      </c>
      <c r="N1018" s="41">
        <f t="shared" si="228"/>
        <v>0.14756250000000001</v>
      </c>
      <c r="O1018" s="33">
        <v>25</v>
      </c>
      <c r="P1018" s="40">
        <f t="shared" ref="P1018:Z1018" si="234">P927*1.5*1.25</f>
        <v>0</v>
      </c>
      <c r="Q1018" s="40">
        <f t="shared" si="234"/>
        <v>0</v>
      </c>
      <c r="R1018" s="40">
        <f t="shared" si="234"/>
        <v>0</v>
      </c>
      <c r="S1018" s="40">
        <f t="shared" si="234"/>
        <v>0</v>
      </c>
      <c r="T1018" s="40">
        <f t="shared" si="234"/>
        <v>0</v>
      </c>
      <c r="U1018" s="40">
        <f t="shared" si="234"/>
        <v>0</v>
      </c>
      <c r="V1018" s="40">
        <f t="shared" si="234"/>
        <v>0</v>
      </c>
      <c r="W1018" s="40">
        <f t="shared" si="234"/>
        <v>0</v>
      </c>
      <c r="X1018" s="40">
        <f t="shared" si="234"/>
        <v>0</v>
      </c>
      <c r="Y1018" s="40">
        <f t="shared" si="234"/>
        <v>0</v>
      </c>
      <c r="Z1018" s="40">
        <f t="shared" si="234"/>
        <v>0</v>
      </c>
      <c r="AV1018" s="313">
        <f t="shared" si="222"/>
        <v>9.2704074375000001E-2</v>
      </c>
      <c r="AW1018" s="314"/>
      <c r="AX1018" s="314"/>
      <c r="AY1018" s="313">
        <f t="shared" si="223"/>
        <v>17.2659628125</v>
      </c>
      <c r="BC1018" s="313">
        <f t="shared" si="224"/>
        <v>1.4234931000000001E-3</v>
      </c>
      <c r="BD1018" s="313">
        <f t="shared" si="224"/>
        <v>1.1953419749999999E-4</v>
      </c>
      <c r="BE1018" s="313">
        <f t="shared" si="224"/>
        <v>1.7617944000000003E-2</v>
      </c>
      <c r="BL1018" s="62">
        <v>0</v>
      </c>
      <c r="BM1018" s="275">
        <v>3</v>
      </c>
      <c r="BN1018" s="62">
        <v>0.03</v>
      </c>
      <c r="BO1018" s="33" t="s">
        <v>600</v>
      </c>
      <c r="BP1018" s="33" t="s">
        <v>609</v>
      </c>
    </row>
    <row r="1019" spans="1:68">
      <c r="A1019" s="33" t="str">
        <f>Database_Productkaarten[[#This Row],[Product]]&amp;", "&amp;Database_Productkaarten[[#This Row],[Levensfase]]</f>
        <v>Opsluitband 150x250, C2</v>
      </c>
      <c r="B1019" t="s">
        <v>266</v>
      </c>
      <c r="C1019" t="s">
        <v>55</v>
      </c>
      <c r="D1019" s="33" t="s">
        <v>599</v>
      </c>
      <c r="E1019" s="33" t="s">
        <v>389</v>
      </c>
      <c r="F1019" s="33" t="s">
        <v>84</v>
      </c>
      <c r="G1019" s="33">
        <v>1</v>
      </c>
      <c r="H1019" s="33">
        <v>0.25</v>
      </c>
      <c r="I1019" s="33">
        <v>0.15</v>
      </c>
      <c r="L1019" s="33">
        <v>2.4</v>
      </c>
      <c r="M1019" s="271">
        <f t="shared" si="230"/>
        <v>8.5312500000000013E-2</v>
      </c>
      <c r="N1019" s="41">
        <f t="shared" si="228"/>
        <v>6.6149999999999987E-2</v>
      </c>
      <c r="O1019" s="33">
        <v>25</v>
      </c>
      <c r="P1019" s="40">
        <f t="shared" ref="P1019:Z1019" si="235">P928*1.5*1.25</f>
        <v>3.7358302499999995E-7</v>
      </c>
      <c r="Q1019" s="40">
        <f t="shared" si="235"/>
        <v>7.6970353124999995E-3</v>
      </c>
      <c r="R1019" s="40">
        <f t="shared" si="235"/>
        <v>1.1155740000000001</v>
      </c>
      <c r="S1019" s="40">
        <f t="shared" si="235"/>
        <v>2.0093941874999998E-7</v>
      </c>
      <c r="T1019" s="40">
        <f t="shared" si="235"/>
        <v>1.1244704437500001E-3</v>
      </c>
      <c r="U1019" s="40">
        <f t="shared" si="235"/>
        <v>8.4409846875E-3</v>
      </c>
      <c r="V1019" s="40">
        <f t="shared" si="235"/>
        <v>1.8901149375000004E-3</v>
      </c>
      <c r="W1019" s="40">
        <f t="shared" si="235"/>
        <v>0.39490580624999999</v>
      </c>
      <c r="X1019" s="40">
        <f t="shared" si="235"/>
        <v>5.5227178125000003E-3</v>
      </c>
      <c r="Y1019" s="40">
        <f t="shared" si="235"/>
        <v>18.721083562499999</v>
      </c>
      <c r="Z1019" s="40">
        <f t="shared" si="235"/>
        <v>6.5987654999999997E-4</v>
      </c>
      <c r="AV1019" s="313">
        <f t="shared" si="222"/>
        <v>0.11790326062500002</v>
      </c>
      <c r="AW1019" s="314"/>
      <c r="AX1019" s="314"/>
      <c r="AY1019" s="313">
        <f t="shared" si="223"/>
        <v>9.2129399999999997</v>
      </c>
      <c r="BC1019" s="313">
        <f t="shared" si="224"/>
        <v>1.6569242812500002E-3</v>
      </c>
      <c r="BD1019" s="313">
        <f t="shared" si="224"/>
        <v>6.362704124999999E-5</v>
      </c>
      <c r="BE1019" s="313">
        <f t="shared" si="224"/>
        <v>0.52956676874999997</v>
      </c>
      <c r="BL1019" s="62">
        <v>0</v>
      </c>
      <c r="BM1019" s="275">
        <v>3</v>
      </c>
      <c r="BN1019" s="62">
        <v>0.03</v>
      </c>
      <c r="BO1019" s="33" t="s">
        <v>600</v>
      </c>
      <c r="BP1019" s="33" t="s">
        <v>609</v>
      </c>
    </row>
    <row r="1020" spans="1:68">
      <c r="A1020" s="33" t="str">
        <f>Database_Productkaarten[[#This Row],[Product]]&amp;", "&amp;Database_Productkaarten[[#This Row],[Levensfase]]</f>
        <v>Opsluitband 150x250, C3</v>
      </c>
      <c r="B1020" t="s">
        <v>266</v>
      </c>
      <c r="C1020" t="s">
        <v>55</v>
      </c>
      <c r="D1020" s="33" t="s">
        <v>599</v>
      </c>
      <c r="E1020" s="33" t="s">
        <v>389</v>
      </c>
      <c r="F1020" s="33" t="s">
        <v>85</v>
      </c>
      <c r="G1020" s="33">
        <v>1</v>
      </c>
      <c r="H1020" s="33">
        <v>0.25</v>
      </c>
      <c r="I1020" s="33">
        <v>0.15</v>
      </c>
      <c r="L1020" s="33">
        <v>2.4</v>
      </c>
      <c r="M1020" s="271">
        <f t="shared" si="230"/>
        <v>8.5312500000000013E-2</v>
      </c>
      <c r="N1020" s="41">
        <f t="shared" si="228"/>
        <v>1.4118749999999999E-2</v>
      </c>
      <c r="O1020" s="33">
        <v>25</v>
      </c>
      <c r="P1020" s="40">
        <f t="shared" ref="P1020:Z1020" si="236">P929*1.5*1.25</f>
        <v>1.5922115062499999E-6</v>
      </c>
      <c r="Q1020" s="40">
        <f t="shared" si="236"/>
        <v>4.1326395000000002E-3</v>
      </c>
      <c r="R1020" s="40">
        <f t="shared" si="236"/>
        <v>0.55988248125000006</v>
      </c>
      <c r="S1020" s="40">
        <f t="shared" si="236"/>
        <v>1.03175293125E-7</v>
      </c>
      <c r="T1020" s="40">
        <f t="shared" si="236"/>
        <v>3.3046046249999997E-4</v>
      </c>
      <c r="U1020" s="40">
        <f t="shared" si="236"/>
        <v>2.4273320624999999E-3</v>
      </c>
      <c r="V1020" s="40">
        <f t="shared" si="236"/>
        <v>4.8370136249999997E-4</v>
      </c>
      <c r="W1020" s="40">
        <f t="shared" si="236"/>
        <v>0.2239967625</v>
      </c>
      <c r="X1020" s="40">
        <f t="shared" si="236"/>
        <v>6.5695231875000006E-3</v>
      </c>
      <c r="Y1020" s="40">
        <f t="shared" si="236"/>
        <v>23.711356875000003</v>
      </c>
      <c r="Z1020" s="40">
        <f t="shared" si="236"/>
        <v>7.9364921250000002E-4</v>
      </c>
      <c r="AV1020" s="313">
        <f t="shared" si="222"/>
        <v>0.107883384375</v>
      </c>
      <c r="AW1020" s="314"/>
      <c r="AX1020" s="314"/>
      <c r="AY1020" s="313">
        <f t="shared" si="223"/>
        <v>2.0973841874999999</v>
      </c>
      <c r="BC1020" s="313">
        <f t="shared" si="224"/>
        <v>3.3467461875E-4</v>
      </c>
      <c r="BD1020" s="313">
        <f t="shared" si="224"/>
        <v>1.2150008812499999E-5</v>
      </c>
      <c r="BE1020" s="313">
        <f t="shared" si="224"/>
        <v>0.25362346874999997</v>
      </c>
      <c r="BL1020" s="62">
        <v>0</v>
      </c>
      <c r="BM1020" s="275">
        <v>3</v>
      </c>
      <c r="BN1020" s="62">
        <v>0.03</v>
      </c>
      <c r="BO1020" s="33" t="s">
        <v>600</v>
      </c>
      <c r="BP1020" s="33" t="s">
        <v>609</v>
      </c>
    </row>
    <row r="1021" spans="1:68">
      <c r="A1021" s="33" t="str">
        <f>Database_Productkaarten[[#This Row],[Product]]&amp;", "&amp;Database_Productkaarten[[#This Row],[Levensfase]]</f>
        <v>Opsluitband 150x250, C4</v>
      </c>
      <c r="B1021" t="s">
        <v>266</v>
      </c>
      <c r="C1021" t="s">
        <v>55</v>
      </c>
      <c r="D1021" s="33" t="s">
        <v>599</v>
      </c>
      <c r="E1021" s="33" t="s">
        <v>389</v>
      </c>
      <c r="F1021" s="33" t="s">
        <v>86</v>
      </c>
      <c r="G1021" s="33">
        <v>1</v>
      </c>
      <c r="H1021" s="33">
        <v>0.25</v>
      </c>
      <c r="I1021" s="33">
        <v>0.15</v>
      </c>
      <c r="L1021" s="33">
        <v>2.4</v>
      </c>
      <c r="M1021" s="271">
        <f t="shared" si="230"/>
        <v>8.5312500000000013E-2</v>
      </c>
      <c r="N1021" s="41">
        <f t="shared" si="228"/>
        <v>6.1874999999999994E-4</v>
      </c>
      <c r="O1021" s="33">
        <v>25</v>
      </c>
      <c r="P1021" s="40">
        <f t="shared" ref="P1021:Z1021" si="237">P930*1.5*1.25</f>
        <v>8.07315225E-8</v>
      </c>
      <c r="Q1021" s="40">
        <f t="shared" si="237"/>
        <v>1.0017035437499999E-3</v>
      </c>
      <c r="R1021" s="40">
        <f t="shared" si="237"/>
        <v>0.13295857687499998</v>
      </c>
      <c r="S1021" s="40">
        <f t="shared" si="237"/>
        <v>1.544473725E-8</v>
      </c>
      <c r="T1021" s="40">
        <f t="shared" si="237"/>
        <v>7.4494965000000002E-5</v>
      </c>
      <c r="U1021" s="40">
        <f t="shared" si="237"/>
        <v>6.1429676249999995E-4</v>
      </c>
      <c r="V1021" s="40">
        <f t="shared" si="237"/>
        <v>1.3852961999999999E-4</v>
      </c>
      <c r="W1021" s="40">
        <f t="shared" si="237"/>
        <v>2.9087699999999998E-2</v>
      </c>
      <c r="X1021" s="40">
        <f t="shared" si="237"/>
        <v>4.8554971874999994E-4</v>
      </c>
      <c r="Y1021" s="40">
        <f t="shared" si="237"/>
        <v>1.86260938125</v>
      </c>
      <c r="Z1021" s="40">
        <f t="shared" si="237"/>
        <v>3.9239759999999999E-4</v>
      </c>
      <c r="AV1021" s="313">
        <f t="shared" si="222"/>
        <v>3.2783887500000002E-3</v>
      </c>
      <c r="AW1021" s="314"/>
      <c r="AX1021" s="314"/>
      <c r="AY1021" s="313">
        <f t="shared" si="223"/>
        <v>0.13672029187500001</v>
      </c>
      <c r="BC1021" s="313">
        <f t="shared" si="224"/>
        <v>1.37796598125E-4</v>
      </c>
      <c r="BD1021" s="313">
        <f t="shared" si="224"/>
        <v>9.2873083125000011E-7</v>
      </c>
      <c r="BE1021" s="313">
        <f t="shared" si="224"/>
        <v>0.84160303125000002</v>
      </c>
      <c r="BL1021" s="62">
        <v>0</v>
      </c>
      <c r="BM1021" s="275">
        <v>3</v>
      </c>
      <c r="BN1021" s="62">
        <v>0.03</v>
      </c>
      <c r="BO1021" s="33" t="s">
        <v>600</v>
      </c>
      <c r="BP1021" s="33" t="s">
        <v>609</v>
      </c>
    </row>
    <row r="1022" spans="1:68">
      <c r="A1022" s="33" t="str">
        <f>Database_Productkaarten[[#This Row],[Product]]&amp;", "&amp;Database_Productkaarten[[#This Row],[Levensfase]]</f>
        <v>Opsluitband 150x250, D</v>
      </c>
      <c r="B1022" s="33" t="str">
        <f>B1023</f>
        <v>Opsluitband 150x250</v>
      </c>
      <c r="C1022" s="33" t="str">
        <f>C1023</f>
        <v>Elementenverhardingen</v>
      </c>
      <c r="D1022" s="33" t="str">
        <f>D1023</f>
        <v>Opsluitband</v>
      </c>
      <c r="E1022" s="33" t="str">
        <f>E1023</f>
        <v>m1</v>
      </c>
      <c r="F1022" s="33" t="s">
        <v>89</v>
      </c>
      <c r="G1022" s="33">
        <f t="shared" ref="G1022:M1022" si="238">G1023</f>
        <v>1</v>
      </c>
      <c r="H1022" s="33">
        <f t="shared" si="238"/>
        <v>0.25</v>
      </c>
      <c r="I1022" s="33">
        <f t="shared" si="238"/>
        <v>0.15</v>
      </c>
      <c r="L1022" s="33">
        <f t="shared" si="238"/>
        <v>2.4</v>
      </c>
      <c r="M1022" s="45">
        <f t="shared" si="238"/>
        <v>8.5312500000000013E-2</v>
      </c>
      <c r="N1022" s="41">
        <f t="shared" si="228"/>
        <v>-4.4268750000000003E-2</v>
      </c>
      <c r="O1022" s="33">
        <v>25</v>
      </c>
      <c r="P1022" s="40">
        <f>SUM(P1023:P1024)</f>
        <v>5.1331323749999991E-9</v>
      </c>
      <c r="Q1022" s="40">
        <f>SUM(Q1023:Q1024)</f>
        <v>6.1204709999999987E-5</v>
      </c>
      <c r="R1022" s="40">
        <f>SUM(R1023:R1024)</f>
        <v>4.4974132499999995E-3</v>
      </c>
      <c r="S1022" s="40">
        <f t="shared" ref="S1022:BK1022" si="239">SUM(S1023:S1024)</f>
        <v>1.4885729812499998E-9</v>
      </c>
      <c r="T1022" s="40">
        <f t="shared" si="239"/>
        <v>4.7660223750000001E-6</v>
      </c>
      <c r="U1022" s="40">
        <f t="shared" si="239"/>
        <v>3.3233160000000003E-5</v>
      </c>
      <c r="V1022" s="40">
        <f t="shared" si="239"/>
        <v>6.2545543124999998E-6</v>
      </c>
      <c r="W1022" s="40">
        <f t="shared" si="239"/>
        <v>1.8335812499999998E-3</v>
      </c>
      <c r="X1022" s="40">
        <f t="shared" si="239"/>
        <v>4.5594054375000004E-5</v>
      </c>
      <c r="Y1022" s="40">
        <f t="shared" si="239"/>
        <v>0.15681550312500001</v>
      </c>
      <c r="Z1022" s="40">
        <f t="shared" si="239"/>
        <v>5.4302638125000001E-6</v>
      </c>
      <c r="AA1022" s="40">
        <f t="shared" si="239"/>
        <v>0</v>
      </c>
      <c r="AB1022" s="40">
        <f t="shared" si="239"/>
        <v>0</v>
      </c>
      <c r="AC1022" s="40">
        <f t="shared" si="239"/>
        <v>0</v>
      </c>
      <c r="AD1022" s="40">
        <f t="shared" si="239"/>
        <v>0</v>
      </c>
      <c r="AE1022" s="40">
        <f t="shared" si="239"/>
        <v>0</v>
      </c>
      <c r="AF1022" s="40">
        <f t="shared" si="239"/>
        <v>0</v>
      </c>
      <c r="AG1022" s="40">
        <f t="shared" si="239"/>
        <v>0</v>
      </c>
      <c r="AH1022" s="40">
        <f t="shared" si="239"/>
        <v>0</v>
      </c>
      <c r="AI1022" s="40">
        <f t="shared" si="239"/>
        <v>0</v>
      </c>
      <c r="AJ1022" s="40">
        <f t="shared" si="239"/>
        <v>0</v>
      </c>
      <c r="AK1022" s="40">
        <f t="shared" si="239"/>
        <v>0</v>
      </c>
      <c r="AL1022" s="40">
        <f t="shared" si="239"/>
        <v>0</v>
      </c>
      <c r="AM1022" s="40">
        <f t="shared" si="239"/>
        <v>0</v>
      </c>
      <c r="AN1022" s="40">
        <f t="shared" si="239"/>
        <v>0</v>
      </c>
      <c r="AO1022" s="40">
        <f t="shared" si="239"/>
        <v>0</v>
      </c>
      <c r="AP1022" s="40">
        <f t="shared" si="239"/>
        <v>0</v>
      </c>
      <c r="AQ1022" s="40">
        <f t="shared" si="239"/>
        <v>0</v>
      </c>
      <c r="AR1022" s="40">
        <f t="shared" si="239"/>
        <v>0</v>
      </c>
      <c r="AS1022" s="40">
        <f t="shared" si="239"/>
        <v>0</v>
      </c>
      <c r="AT1022" s="40">
        <f t="shared" si="239"/>
        <v>0</v>
      </c>
      <c r="AU1022" s="40">
        <f t="shared" si="239"/>
        <v>0</v>
      </c>
      <c r="AV1022" s="313">
        <f t="shared" si="222"/>
        <v>-0.27189033749999997</v>
      </c>
      <c r="AW1022" s="317">
        <f t="shared" si="239"/>
        <v>0</v>
      </c>
      <c r="AX1022" s="317">
        <f t="shared" si="239"/>
        <v>0</v>
      </c>
      <c r="AY1022" s="313">
        <f t="shared" si="223"/>
        <v>-4.4490555000000001</v>
      </c>
      <c r="AZ1022" s="40">
        <f t="shared" si="239"/>
        <v>0</v>
      </c>
      <c r="BA1022" s="40">
        <f t="shared" si="239"/>
        <v>0</v>
      </c>
      <c r="BB1022" s="40">
        <f t="shared" si="239"/>
        <v>0</v>
      </c>
      <c r="BC1022" s="313">
        <f t="shared" si="224"/>
        <v>-0.10663541812499999</v>
      </c>
      <c r="BD1022" s="313">
        <f t="shared" si="224"/>
        <v>-2.3802444375E-5</v>
      </c>
      <c r="BE1022" s="313">
        <f t="shared" si="224"/>
        <v>-4.2680343750000002E-2</v>
      </c>
      <c r="BF1022" s="40">
        <f t="shared" si="239"/>
        <v>0</v>
      </c>
      <c r="BG1022" s="40">
        <f t="shared" si="239"/>
        <v>0</v>
      </c>
      <c r="BH1022" s="40">
        <f t="shared" si="239"/>
        <v>0</v>
      </c>
      <c r="BI1022" s="40">
        <f t="shared" si="239"/>
        <v>0</v>
      </c>
      <c r="BJ1022" s="40">
        <f t="shared" si="239"/>
        <v>0</v>
      </c>
      <c r="BK1022" s="40">
        <f t="shared" si="239"/>
        <v>0</v>
      </c>
      <c r="BL1022" s="62">
        <f>BL1023</f>
        <v>0</v>
      </c>
      <c r="BM1022" s="275">
        <f>BM1023</f>
        <v>3</v>
      </c>
      <c r="BN1022" s="62">
        <v>0.03</v>
      </c>
      <c r="BO1022" s="33" t="str">
        <f>BO1023</f>
        <v>NMD Opsluitband 100x200x1000mm grijs</v>
      </c>
    </row>
    <row r="1023" spans="1:68">
      <c r="A1023" s="33" t="str">
        <f>Database_Productkaarten[[#This Row],[Product]]&amp;", "&amp;Database_Productkaarten[[#This Row],[Levensfase]]</f>
        <v>Opsluitband 150x250, D1</v>
      </c>
      <c r="B1023" t="s">
        <v>266</v>
      </c>
      <c r="C1023" t="s">
        <v>55</v>
      </c>
      <c r="D1023" s="33" t="s">
        <v>599</v>
      </c>
      <c r="E1023" s="33" t="s">
        <v>389</v>
      </c>
      <c r="F1023" s="33" t="s">
        <v>87</v>
      </c>
      <c r="G1023" s="33">
        <v>1</v>
      </c>
      <c r="H1023" s="33">
        <v>0.25</v>
      </c>
      <c r="I1023" s="33">
        <v>0.15</v>
      </c>
      <c r="L1023" s="33">
        <v>2.4</v>
      </c>
      <c r="M1023" s="271">
        <f>M933*1.5*1.25</f>
        <v>8.5312500000000013E-2</v>
      </c>
      <c r="N1023" s="41">
        <f t="shared" si="228"/>
        <v>0</v>
      </c>
      <c r="O1023" s="33">
        <v>25</v>
      </c>
      <c r="P1023" s="40">
        <f t="shared" ref="P1023:Z1023" si="240">P931*1.5*1.25</f>
        <v>5.1331323749999991E-9</v>
      </c>
      <c r="Q1023" s="40">
        <f t="shared" si="240"/>
        <v>6.1204709999999987E-5</v>
      </c>
      <c r="R1023" s="40">
        <f t="shared" si="240"/>
        <v>4.4974132499999995E-3</v>
      </c>
      <c r="S1023" s="40">
        <f t="shared" si="240"/>
        <v>1.4885729812499998E-9</v>
      </c>
      <c r="T1023" s="40">
        <f t="shared" si="240"/>
        <v>4.7660223750000001E-6</v>
      </c>
      <c r="U1023" s="40">
        <f t="shared" si="240"/>
        <v>3.3233160000000003E-5</v>
      </c>
      <c r="V1023" s="40">
        <f t="shared" si="240"/>
        <v>6.2545543124999998E-6</v>
      </c>
      <c r="W1023" s="40">
        <f t="shared" si="240"/>
        <v>1.8335812499999998E-3</v>
      </c>
      <c r="X1023" s="40">
        <f t="shared" si="240"/>
        <v>4.5594054375000004E-5</v>
      </c>
      <c r="Y1023" s="40">
        <f t="shared" si="240"/>
        <v>0.15681550312500001</v>
      </c>
      <c r="Z1023" s="40">
        <f t="shared" si="240"/>
        <v>5.4302638125000001E-6</v>
      </c>
      <c r="AV1023" s="313"/>
      <c r="AW1023" s="314"/>
      <c r="AX1023" s="314"/>
      <c r="AY1023" s="313"/>
      <c r="BL1023" s="62">
        <v>0</v>
      </c>
      <c r="BM1023" s="275">
        <v>3</v>
      </c>
      <c r="BN1023" s="62">
        <v>0.03</v>
      </c>
      <c r="BO1023" s="33" t="s">
        <v>600</v>
      </c>
      <c r="BP1023" s="33" t="s">
        <v>609</v>
      </c>
    </row>
    <row r="1024" spans="1:68">
      <c r="A1024" s="33" t="str">
        <f>Database_Productkaarten[[#This Row],[Product]]&amp;", "&amp;Database_Productkaarten[[#This Row],[Levensfase]]</f>
        <v>Opsluitband 150x250, D2</v>
      </c>
      <c r="B1024" t="s">
        <v>266</v>
      </c>
      <c r="C1024" t="s">
        <v>55</v>
      </c>
      <c r="D1024" s="33" t="s">
        <v>599</v>
      </c>
      <c r="E1024" s="33" t="s">
        <v>389</v>
      </c>
      <c r="F1024" s="33" t="s">
        <v>88</v>
      </c>
      <c r="G1024" s="33">
        <v>1</v>
      </c>
      <c r="H1024" s="33">
        <v>0.25</v>
      </c>
      <c r="I1024" s="33">
        <v>0.15</v>
      </c>
      <c r="L1024" s="33">
        <v>2.4</v>
      </c>
      <c r="M1024" s="271">
        <f>M934*1.5*1.25</f>
        <v>8.5312500000000013E-2</v>
      </c>
      <c r="N1024" s="41">
        <f t="shared" si="228"/>
        <v>0</v>
      </c>
      <c r="O1024" s="33">
        <v>25</v>
      </c>
      <c r="P1024" s="40">
        <f t="shared" ref="P1024:Z1024" si="241">P933*1.5*1.25</f>
        <v>0</v>
      </c>
      <c r="Q1024" s="40">
        <f t="shared" si="241"/>
        <v>0</v>
      </c>
      <c r="R1024" s="40">
        <f t="shared" si="241"/>
        <v>0</v>
      </c>
      <c r="S1024" s="40">
        <f t="shared" si="241"/>
        <v>0</v>
      </c>
      <c r="T1024" s="40">
        <f t="shared" si="241"/>
        <v>0</v>
      </c>
      <c r="U1024" s="40">
        <f t="shared" si="241"/>
        <v>0</v>
      </c>
      <c r="V1024" s="40">
        <f t="shared" si="241"/>
        <v>0</v>
      </c>
      <c r="W1024" s="40">
        <f t="shared" si="241"/>
        <v>0</v>
      </c>
      <c r="X1024" s="40">
        <f t="shared" si="241"/>
        <v>0</v>
      </c>
      <c r="Y1024" s="40">
        <f t="shared" si="241"/>
        <v>0</v>
      </c>
      <c r="Z1024" s="40">
        <f t="shared" si="241"/>
        <v>0</v>
      </c>
      <c r="AV1024" s="313"/>
      <c r="AW1024" s="314"/>
      <c r="AX1024" s="314"/>
      <c r="AY1024" s="313"/>
      <c r="BL1024" s="62">
        <v>0</v>
      </c>
      <c r="BM1024" s="275">
        <v>3</v>
      </c>
      <c r="BN1024" s="62">
        <v>0.03</v>
      </c>
      <c r="BO1024" s="33" t="s">
        <v>600</v>
      </c>
      <c r="BP1024" s="33" t="s">
        <v>609</v>
      </c>
    </row>
    <row r="1025" spans="1:68">
      <c r="A1025" s="33" t="str">
        <f>Database_Productkaarten[[#This Row],[Product]]&amp;", "&amp;Database_Productkaarten[[#This Row],[Levensfase]]</f>
        <v>Opsluitband 150x250 (hergebruik), Totaal</v>
      </c>
      <c r="B1025" t="s">
        <v>610</v>
      </c>
      <c r="C1025" t="s">
        <v>55</v>
      </c>
      <c r="D1025" s="33" t="s">
        <v>599</v>
      </c>
      <c r="E1025" s="33" t="s">
        <v>389</v>
      </c>
      <c r="F1025" s="33" t="s">
        <v>90</v>
      </c>
      <c r="G1025" s="33">
        <v>1</v>
      </c>
      <c r="H1025" s="33">
        <v>0.25</v>
      </c>
      <c r="I1025" s="33">
        <v>0.15</v>
      </c>
      <c r="L1025" s="33">
        <v>2.4</v>
      </c>
      <c r="M1025" s="271">
        <f t="shared" ref="M1025:M1039" si="242">M935*1.5*1.25</f>
        <v>8.5312500000000013E-2</v>
      </c>
      <c r="N1025" s="41">
        <f>SUM(N1029:N1037)</f>
        <v>0.68136187500000001</v>
      </c>
      <c r="O1025" s="33">
        <v>25</v>
      </c>
      <c r="P1025" s="163">
        <f t="shared" ref="P1025:Z1025" si="243">SUM(P1029:P1037)</f>
        <v>9.0232591837500014E-6</v>
      </c>
      <c r="Q1025" s="163">
        <f t="shared" si="243"/>
        <v>4.1710693875000003E-2</v>
      </c>
      <c r="R1025" s="163">
        <f t="shared" si="243"/>
        <v>6.6183297112499995</v>
      </c>
      <c r="S1025" s="163">
        <f t="shared" si="243"/>
        <v>9.1952576306249993E-7</v>
      </c>
      <c r="T1025" s="163">
        <f t="shared" si="243"/>
        <v>4.0582459331250003E-3</v>
      </c>
      <c r="U1025" s="163">
        <f t="shared" si="243"/>
        <v>3.1554372093749998E-2</v>
      </c>
      <c r="V1025" s="163">
        <f t="shared" si="243"/>
        <v>6.7395959175000015E-3</v>
      </c>
      <c r="W1025" s="163">
        <f t="shared" si="243"/>
        <v>1.9204164131249999</v>
      </c>
      <c r="X1025" s="163">
        <f t="shared" si="243"/>
        <v>4.3090024462500008E-2</v>
      </c>
      <c r="Y1025" s="163">
        <f t="shared" si="243"/>
        <v>158.70178306874999</v>
      </c>
      <c r="Z1025" s="163">
        <f t="shared" si="243"/>
        <v>8.364028901249999E-3</v>
      </c>
      <c r="AA1025" s="40"/>
      <c r="AB1025" s="40"/>
      <c r="AC1025" s="40"/>
      <c r="AD1025" s="40"/>
      <c r="AE1025" s="40"/>
      <c r="AF1025" s="40"/>
      <c r="AG1025" s="40"/>
      <c r="AH1025" s="40"/>
      <c r="AI1025" s="40"/>
      <c r="AJ1025" s="40"/>
      <c r="AK1025" s="40"/>
      <c r="AL1025" s="40"/>
      <c r="AM1025" s="40"/>
      <c r="AN1025" s="40"/>
      <c r="AO1025" s="40"/>
      <c r="AP1025" s="40"/>
      <c r="AQ1025" s="40"/>
      <c r="AR1025" s="40"/>
      <c r="AS1025" s="40"/>
      <c r="AT1025" s="40"/>
      <c r="AU1025" s="40"/>
      <c r="AV1025" s="163">
        <f>SUM(AV1029:AV1037)</f>
        <v>2.0456339257500002</v>
      </c>
      <c r="AW1025" s="40"/>
      <c r="AX1025" s="40"/>
      <c r="AY1025" s="163">
        <f>SUM(AY1029:AY1037)</f>
        <v>84.195203079374977</v>
      </c>
      <c r="AZ1025" s="40"/>
      <c r="BA1025" s="40"/>
      <c r="BB1025" s="40"/>
      <c r="BC1025" s="163">
        <f t="shared" ref="BC1025:BE1025" si="244">SUM(BC1029:BC1037)</f>
        <v>0.11655608840250004</v>
      </c>
      <c r="BD1025" s="163">
        <f t="shared" si="244"/>
        <v>0.73081202587483118</v>
      </c>
      <c r="BE1025" s="163">
        <f t="shared" si="244"/>
        <v>3.4679507539499999</v>
      </c>
      <c r="BF1025" s="40"/>
      <c r="BG1025" s="40"/>
      <c r="BH1025" s="40"/>
      <c r="BI1025" s="40"/>
      <c r="BJ1025" s="40"/>
      <c r="BK1025" s="40"/>
      <c r="BL1025" s="62">
        <v>1</v>
      </c>
      <c r="BM1025" s="275">
        <v>3</v>
      </c>
      <c r="BN1025" s="62">
        <v>0.03</v>
      </c>
      <c r="BO1025" s="33" t="s">
        <v>600</v>
      </c>
      <c r="BP1025" s="33" t="s">
        <v>602</v>
      </c>
    </row>
    <row r="1026" spans="1:68">
      <c r="A1026" s="33" t="str">
        <f>Database_Productkaarten[[#This Row],[Product]]&amp;", "&amp;Database_Productkaarten[[#This Row],[Levensfase]]</f>
        <v>Opsluitband 150x250 (hergebruik), A1</v>
      </c>
      <c r="B1026" t="s">
        <v>610</v>
      </c>
      <c r="C1026" t="s">
        <v>55</v>
      </c>
      <c r="D1026" s="33" t="s">
        <v>599</v>
      </c>
      <c r="E1026" s="33" t="s">
        <v>389</v>
      </c>
      <c r="F1026" s="33" t="s">
        <v>74</v>
      </c>
      <c r="G1026" s="33">
        <v>1</v>
      </c>
      <c r="H1026" s="33">
        <v>0.25</v>
      </c>
      <c r="I1026" s="33">
        <v>0.15</v>
      </c>
      <c r="L1026" s="33">
        <v>2.4</v>
      </c>
      <c r="M1026" s="271">
        <f t="shared" si="242"/>
        <v>8.5312500000000013E-2</v>
      </c>
      <c r="N1026" s="41">
        <v>0</v>
      </c>
      <c r="O1026" s="33">
        <v>25</v>
      </c>
      <c r="P1026" s="163">
        <v>0</v>
      </c>
      <c r="Q1026" s="163">
        <v>0</v>
      </c>
      <c r="R1026" s="163">
        <v>0</v>
      </c>
      <c r="S1026" s="163">
        <v>0</v>
      </c>
      <c r="T1026" s="163">
        <v>0</v>
      </c>
      <c r="U1026" s="163">
        <v>0</v>
      </c>
      <c r="V1026" s="163">
        <v>0</v>
      </c>
      <c r="W1026" s="163">
        <v>0</v>
      </c>
      <c r="X1026" s="163">
        <v>0</v>
      </c>
      <c r="Y1026" s="163">
        <v>0</v>
      </c>
      <c r="Z1026" s="163">
        <v>0</v>
      </c>
      <c r="AA1026" s="40"/>
      <c r="AB1026" s="40"/>
      <c r="AC1026" s="40"/>
      <c r="AD1026" s="40"/>
      <c r="AE1026" s="40"/>
      <c r="AF1026" s="40"/>
      <c r="AG1026" s="40"/>
      <c r="AH1026" s="40"/>
      <c r="AI1026" s="40"/>
      <c r="AJ1026" s="40"/>
      <c r="AK1026" s="40"/>
      <c r="AL1026" s="40"/>
      <c r="AM1026" s="40"/>
      <c r="AN1026" s="40"/>
      <c r="AO1026" s="40"/>
      <c r="AP1026" s="40"/>
      <c r="AQ1026" s="40"/>
      <c r="AR1026" s="40"/>
      <c r="AS1026" s="40"/>
      <c r="AT1026" s="40"/>
      <c r="AU1026" s="40"/>
      <c r="AV1026" s="163">
        <v>0</v>
      </c>
      <c r="AW1026" s="40"/>
      <c r="AX1026" s="40"/>
      <c r="AY1026" s="163">
        <v>0</v>
      </c>
      <c r="AZ1026" s="40"/>
      <c r="BA1026" s="40"/>
      <c r="BB1026" s="40"/>
      <c r="BC1026" s="163">
        <v>0</v>
      </c>
      <c r="BD1026" s="163">
        <v>0</v>
      </c>
      <c r="BE1026" s="163">
        <v>0</v>
      </c>
      <c r="BF1026" s="40"/>
      <c r="BG1026" s="40"/>
      <c r="BH1026" s="40"/>
      <c r="BI1026" s="40"/>
      <c r="BJ1026" s="40"/>
      <c r="BK1026" s="40"/>
      <c r="BL1026" s="62">
        <v>1</v>
      </c>
      <c r="BM1026" s="275">
        <v>3</v>
      </c>
      <c r="BN1026" s="62">
        <v>0.03</v>
      </c>
      <c r="BO1026" s="33" t="s">
        <v>600</v>
      </c>
      <c r="BP1026" s="33" t="s">
        <v>602</v>
      </c>
    </row>
    <row r="1027" spans="1:68">
      <c r="A1027" s="33" t="str">
        <f>Database_Productkaarten[[#This Row],[Product]]&amp;", "&amp;Database_Productkaarten[[#This Row],[Levensfase]]</f>
        <v>Opsluitband 150x250 (hergebruik), A2</v>
      </c>
      <c r="B1027" t="s">
        <v>610</v>
      </c>
      <c r="C1027" t="s">
        <v>55</v>
      </c>
      <c r="D1027" s="33" t="s">
        <v>599</v>
      </c>
      <c r="E1027" s="33" t="s">
        <v>389</v>
      </c>
      <c r="F1027" s="33" t="s">
        <v>75</v>
      </c>
      <c r="G1027" s="33">
        <v>1</v>
      </c>
      <c r="H1027" s="33">
        <v>0.25</v>
      </c>
      <c r="I1027" s="33">
        <v>0.15</v>
      </c>
      <c r="L1027" s="33">
        <v>2.4</v>
      </c>
      <c r="M1027" s="271">
        <f t="shared" si="242"/>
        <v>8.5312500000000013E-2</v>
      </c>
      <c r="N1027" s="41">
        <v>0</v>
      </c>
      <c r="O1027" s="33">
        <v>25</v>
      </c>
      <c r="P1027" s="163">
        <v>0</v>
      </c>
      <c r="Q1027" s="163">
        <v>0</v>
      </c>
      <c r="R1027" s="163">
        <v>0</v>
      </c>
      <c r="S1027" s="163">
        <v>0</v>
      </c>
      <c r="T1027" s="163">
        <v>0</v>
      </c>
      <c r="U1027" s="163">
        <v>0</v>
      </c>
      <c r="V1027" s="163">
        <v>0</v>
      </c>
      <c r="W1027" s="163">
        <v>0</v>
      </c>
      <c r="X1027" s="163">
        <v>0</v>
      </c>
      <c r="Y1027" s="163">
        <v>0</v>
      </c>
      <c r="Z1027" s="163">
        <v>0</v>
      </c>
      <c r="AA1027" s="40"/>
      <c r="AB1027" s="40"/>
      <c r="AC1027" s="40"/>
      <c r="AD1027" s="40"/>
      <c r="AE1027" s="40"/>
      <c r="AF1027" s="40"/>
      <c r="AG1027" s="40"/>
      <c r="AH1027" s="40"/>
      <c r="AI1027" s="40"/>
      <c r="AJ1027" s="40"/>
      <c r="AK1027" s="40"/>
      <c r="AL1027" s="40"/>
      <c r="AM1027" s="40"/>
      <c r="AN1027" s="40"/>
      <c r="AO1027" s="40"/>
      <c r="AP1027" s="40"/>
      <c r="AQ1027" s="40"/>
      <c r="AR1027" s="40"/>
      <c r="AS1027" s="40"/>
      <c r="AT1027" s="40"/>
      <c r="AU1027" s="40"/>
      <c r="AV1027" s="163">
        <v>0</v>
      </c>
      <c r="AW1027" s="40"/>
      <c r="AX1027" s="40"/>
      <c r="AY1027" s="163">
        <v>0</v>
      </c>
      <c r="AZ1027" s="40"/>
      <c r="BA1027" s="40"/>
      <c r="BB1027" s="40"/>
      <c r="BC1027" s="163">
        <v>0</v>
      </c>
      <c r="BD1027" s="163">
        <v>0</v>
      </c>
      <c r="BE1027" s="163">
        <v>0</v>
      </c>
      <c r="BF1027" s="40"/>
      <c r="BG1027" s="40"/>
      <c r="BH1027" s="40"/>
      <c r="BI1027" s="40"/>
      <c r="BJ1027" s="40"/>
      <c r="BK1027" s="40"/>
      <c r="BL1027" s="62">
        <v>1</v>
      </c>
      <c r="BM1027" s="275">
        <v>3</v>
      </c>
      <c r="BN1027" s="62">
        <v>0.03</v>
      </c>
      <c r="BO1027" s="33" t="s">
        <v>600</v>
      </c>
      <c r="BP1027" s="33" t="s">
        <v>602</v>
      </c>
    </row>
    <row r="1028" spans="1:68">
      <c r="A1028" s="33" t="str">
        <f>Database_Productkaarten[[#This Row],[Product]]&amp;", "&amp;Database_Productkaarten[[#This Row],[Levensfase]]</f>
        <v>Opsluitband 150x250 (hergebruik), A3</v>
      </c>
      <c r="B1028" t="s">
        <v>610</v>
      </c>
      <c r="C1028" t="s">
        <v>55</v>
      </c>
      <c r="D1028" s="33" t="s">
        <v>599</v>
      </c>
      <c r="E1028" s="33" t="s">
        <v>389</v>
      </c>
      <c r="F1028" s="33" t="s">
        <v>76</v>
      </c>
      <c r="G1028" s="33">
        <v>1</v>
      </c>
      <c r="H1028" s="33">
        <v>0.25</v>
      </c>
      <c r="I1028" s="33">
        <v>0.15</v>
      </c>
      <c r="L1028" s="33">
        <v>2.4</v>
      </c>
      <c r="M1028" s="271">
        <f t="shared" si="242"/>
        <v>8.5312500000000013E-2</v>
      </c>
      <c r="N1028" s="41">
        <v>0</v>
      </c>
      <c r="O1028" s="33">
        <v>25</v>
      </c>
      <c r="P1028" s="163">
        <v>0</v>
      </c>
      <c r="Q1028" s="163">
        <v>0</v>
      </c>
      <c r="R1028" s="163">
        <v>0</v>
      </c>
      <c r="S1028" s="163">
        <v>0</v>
      </c>
      <c r="T1028" s="163">
        <v>0</v>
      </c>
      <c r="U1028" s="163">
        <v>0</v>
      </c>
      <c r="V1028" s="163">
        <v>0</v>
      </c>
      <c r="W1028" s="163">
        <v>0</v>
      </c>
      <c r="X1028" s="163">
        <v>0</v>
      </c>
      <c r="Y1028" s="163">
        <v>0</v>
      </c>
      <c r="Z1028" s="163">
        <v>0</v>
      </c>
      <c r="AA1028" s="40"/>
      <c r="AB1028" s="40"/>
      <c r="AC1028" s="40"/>
      <c r="AD1028" s="40"/>
      <c r="AE1028" s="40"/>
      <c r="AF1028" s="40"/>
      <c r="AG1028" s="40"/>
      <c r="AH1028" s="40"/>
      <c r="AI1028" s="40"/>
      <c r="AJ1028" s="40"/>
      <c r="AK1028" s="40"/>
      <c r="AL1028" s="40"/>
      <c r="AM1028" s="40"/>
      <c r="AN1028" s="40"/>
      <c r="AO1028" s="40"/>
      <c r="AP1028" s="40"/>
      <c r="AQ1028" s="40"/>
      <c r="AR1028" s="40"/>
      <c r="AS1028" s="40"/>
      <c r="AT1028" s="40"/>
      <c r="AU1028" s="40"/>
      <c r="AV1028" s="163">
        <v>0</v>
      </c>
      <c r="AW1028" s="40"/>
      <c r="AX1028" s="40"/>
      <c r="AY1028" s="163">
        <v>0</v>
      </c>
      <c r="AZ1028" s="40"/>
      <c r="BA1028" s="40"/>
      <c r="BB1028" s="40"/>
      <c r="BC1028" s="163">
        <v>0</v>
      </c>
      <c r="BD1028" s="163">
        <v>0</v>
      </c>
      <c r="BE1028" s="163">
        <v>0</v>
      </c>
      <c r="BF1028" s="40"/>
      <c r="BG1028" s="40"/>
      <c r="BH1028" s="40"/>
      <c r="BI1028" s="40"/>
      <c r="BJ1028" s="40"/>
      <c r="BK1028" s="40"/>
      <c r="BL1028" s="62">
        <v>1</v>
      </c>
      <c r="BM1028" s="275">
        <v>3</v>
      </c>
      <c r="BN1028" s="62">
        <v>0.03</v>
      </c>
      <c r="BO1028" s="33" t="s">
        <v>600</v>
      </c>
      <c r="BP1028" s="33" t="s">
        <v>602</v>
      </c>
    </row>
    <row r="1029" spans="1:68">
      <c r="A1029" s="33" t="str">
        <f>Database_Productkaarten[[#This Row],[Product]]&amp;", "&amp;Database_Productkaarten[[#This Row],[Levensfase]]</f>
        <v>Opsluitband 150x250 (hergebruik), A1-A3</v>
      </c>
      <c r="B1029" t="s">
        <v>610</v>
      </c>
      <c r="C1029" s="33" t="str">
        <f>C1028</f>
        <v>Elementenverhardingen</v>
      </c>
      <c r="D1029" s="33" t="str">
        <f>D1028</f>
        <v>Opsluitband</v>
      </c>
      <c r="E1029" s="33" t="str">
        <f>E1028</f>
        <v>m1</v>
      </c>
      <c r="F1029" s="33" t="s">
        <v>77</v>
      </c>
      <c r="G1029" s="33">
        <f>G1028</f>
        <v>1</v>
      </c>
      <c r="H1029" s="33">
        <f t="shared" ref="H1029:I1029" si="245">H1028</f>
        <v>0.25</v>
      </c>
      <c r="I1029" s="33">
        <f t="shared" si="245"/>
        <v>0.15</v>
      </c>
      <c r="L1029" s="33">
        <v>2.4</v>
      </c>
      <c r="M1029" s="271">
        <f t="shared" si="242"/>
        <v>8.5312500000000013E-2</v>
      </c>
      <c r="N1029" s="41">
        <v>0</v>
      </c>
      <c r="O1029" s="33">
        <v>25</v>
      </c>
      <c r="P1029" s="163">
        <v>0</v>
      </c>
      <c r="Q1029" s="163">
        <v>0</v>
      </c>
      <c r="R1029" s="163">
        <v>0</v>
      </c>
      <c r="S1029" s="163">
        <v>0</v>
      </c>
      <c r="T1029" s="163">
        <v>0</v>
      </c>
      <c r="U1029" s="163">
        <v>0</v>
      </c>
      <c r="V1029" s="163">
        <v>0</v>
      </c>
      <c r="W1029" s="163">
        <v>0</v>
      </c>
      <c r="X1029" s="163">
        <v>0</v>
      </c>
      <c r="Y1029" s="163">
        <v>0</v>
      </c>
      <c r="Z1029" s="163">
        <v>0</v>
      </c>
      <c r="AA1029" s="40"/>
      <c r="AB1029" s="40"/>
      <c r="AC1029" s="40"/>
      <c r="AD1029" s="40"/>
      <c r="AE1029" s="40"/>
      <c r="AF1029" s="40"/>
      <c r="AG1029" s="40"/>
      <c r="AH1029" s="40"/>
      <c r="AI1029" s="40"/>
      <c r="AJ1029" s="40"/>
      <c r="AK1029" s="40"/>
      <c r="AL1029" s="40"/>
      <c r="AM1029" s="40"/>
      <c r="AN1029" s="40"/>
      <c r="AO1029" s="40"/>
      <c r="AP1029" s="40"/>
      <c r="AQ1029" s="40"/>
      <c r="AR1029" s="40"/>
      <c r="AS1029" s="40"/>
      <c r="AT1029" s="40"/>
      <c r="AU1029" s="40"/>
      <c r="AV1029" s="163">
        <v>0</v>
      </c>
      <c r="AW1029" s="40"/>
      <c r="AX1029" s="40"/>
      <c r="AY1029" s="163">
        <v>0</v>
      </c>
      <c r="AZ1029" s="40"/>
      <c r="BA1029" s="40"/>
      <c r="BB1029" s="40"/>
      <c r="BC1029" s="163">
        <v>0</v>
      </c>
      <c r="BD1029" s="163">
        <v>0</v>
      </c>
      <c r="BE1029" s="163">
        <v>0</v>
      </c>
      <c r="BF1029" s="40"/>
      <c r="BG1029" s="40"/>
      <c r="BH1029" s="40"/>
      <c r="BI1029" s="40"/>
      <c r="BJ1029" s="40"/>
      <c r="BK1029" s="40"/>
      <c r="BL1029" s="62">
        <v>1</v>
      </c>
      <c r="BM1029" s="275">
        <v>3</v>
      </c>
      <c r="BN1029" s="62">
        <v>0.03</v>
      </c>
      <c r="BO1029" s="33" t="s">
        <v>600</v>
      </c>
      <c r="BP1029" s="33" t="s">
        <v>602</v>
      </c>
    </row>
    <row r="1030" spans="1:68">
      <c r="A1030" s="33" t="str">
        <f>Database_Productkaarten[[#This Row],[Product]]&amp;", "&amp;Database_Productkaarten[[#This Row],[Levensfase]]</f>
        <v>Opsluitband 150x250 (hergebruik), A4</v>
      </c>
      <c r="B1030" t="s">
        <v>610</v>
      </c>
      <c r="C1030" t="s">
        <v>55</v>
      </c>
      <c r="D1030" s="33" t="s">
        <v>599</v>
      </c>
      <c r="E1030" s="33" t="s">
        <v>389</v>
      </c>
      <c r="F1030" s="33" t="s">
        <v>78</v>
      </c>
      <c r="G1030" s="33">
        <v>1</v>
      </c>
      <c r="H1030" s="33">
        <v>0.25</v>
      </c>
      <c r="I1030" s="33">
        <v>0.15</v>
      </c>
      <c r="L1030" s="33">
        <v>2.4</v>
      </c>
      <c r="M1030" s="271">
        <f t="shared" si="242"/>
        <v>8.5312500000000013E-2</v>
      </c>
      <c r="N1030" s="41">
        <f>N1015</f>
        <v>0.19650000000000001</v>
      </c>
      <c r="O1030" s="33">
        <v>25</v>
      </c>
      <c r="P1030" s="163">
        <f t="shared" ref="P1030:Z1030" si="246">P1015</f>
        <v>1.4886669749999999E-7</v>
      </c>
      <c r="Q1030" s="163">
        <f t="shared" si="246"/>
        <v>4.4746023750000001E-3</v>
      </c>
      <c r="R1030" s="163">
        <f t="shared" si="246"/>
        <v>0.54748468125000005</v>
      </c>
      <c r="S1030" s="163">
        <f t="shared" si="246"/>
        <v>3.7784433750000001E-8</v>
      </c>
      <c r="T1030" s="163">
        <f t="shared" si="246"/>
        <v>9.0619550625000003E-5</v>
      </c>
      <c r="U1030" s="163">
        <f t="shared" si="246"/>
        <v>9.9695338124999996E-4</v>
      </c>
      <c r="V1030" s="163">
        <f t="shared" si="246"/>
        <v>2.2321830000000001E-4</v>
      </c>
      <c r="W1030" s="163">
        <f t="shared" si="246"/>
        <v>4.5695694375000005E-2</v>
      </c>
      <c r="X1030" s="163">
        <f t="shared" si="246"/>
        <v>1.0456586999999999E-3</v>
      </c>
      <c r="Y1030" s="163">
        <f t="shared" si="246"/>
        <v>5.1318258750000005</v>
      </c>
      <c r="Z1030" s="163">
        <f t="shared" si="246"/>
        <v>7.6981548750000009E-4</v>
      </c>
      <c r="AA1030" s="40"/>
      <c r="AB1030" s="40"/>
      <c r="AC1030" s="40"/>
      <c r="AD1030" s="40"/>
      <c r="AE1030" s="40"/>
      <c r="AF1030" s="40"/>
      <c r="AG1030" s="40"/>
      <c r="AH1030" s="40"/>
      <c r="AI1030" s="40"/>
      <c r="AJ1030" s="40"/>
      <c r="AK1030" s="40"/>
      <c r="AL1030" s="40"/>
      <c r="AM1030" s="40"/>
      <c r="AN1030" s="40"/>
      <c r="AO1030" s="40"/>
      <c r="AP1030" s="40"/>
      <c r="AQ1030" s="40"/>
      <c r="AR1030" s="40"/>
      <c r="AS1030" s="40"/>
      <c r="AT1030" s="40"/>
      <c r="AU1030" s="40"/>
      <c r="AV1030" s="163">
        <f>AV1015</f>
        <v>0.35020770000000001</v>
      </c>
      <c r="AW1030" s="40"/>
      <c r="AX1030" s="40"/>
      <c r="AY1030" s="163">
        <f>AY1015</f>
        <v>27.365169374999997</v>
      </c>
      <c r="AZ1030" s="40"/>
      <c r="BA1030" s="40"/>
      <c r="BB1030" s="40"/>
      <c r="BC1030" s="163">
        <f t="shared" ref="BC1030:BE1030" si="247">BC1015</f>
        <v>4.9215571874999999E-3</v>
      </c>
      <c r="BD1030" s="163">
        <f t="shared" si="247"/>
        <v>1.8899120625E-4</v>
      </c>
      <c r="BE1030" s="163">
        <f t="shared" si="247"/>
        <v>1.57297059375</v>
      </c>
      <c r="BF1030" s="40"/>
      <c r="BG1030" s="40"/>
      <c r="BH1030" s="40"/>
      <c r="BI1030" s="40"/>
      <c r="BJ1030" s="40"/>
      <c r="BK1030" s="40"/>
      <c r="BL1030" s="62">
        <v>1</v>
      </c>
      <c r="BM1030" s="275">
        <v>3</v>
      </c>
      <c r="BN1030" s="62">
        <v>0.03</v>
      </c>
      <c r="BO1030" s="33" t="s">
        <v>600</v>
      </c>
      <c r="BP1030" s="33" t="s">
        <v>602</v>
      </c>
    </row>
    <row r="1031" spans="1:68">
      <c r="A1031" s="33" t="str">
        <f>Database_Productkaarten[[#This Row],[Product]]&amp;", "&amp;Database_Productkaarten[[#This Row],[Levensfase]]</f>
        <v>Opsluitband 150x250 (hergebruik), A5</v>
      </c>
      <c r="B1031" t="s">
        <v>610</v>
      </c>
      <c r="C1031" t="s">
        <v>55</v>
      </c>
      <c r="D1031" s="33" t="s">
        <v>599</v>
      </c>
      <c r="E1031" s="33" t="s">
        <v>389</v>
      </c>
      <c r="F1031" s="33" t="s">
        <v>79</v>
      </c>
      <c r="G1031" s="33">
        <v>1</v>
      </c>
      <c r="H1031" s="33">
        <v>0.25</v>
      </c>
      <c r="I1031" s="33">
        <v>0.15</v>
      </c>
      <c r="L1031" s="33">
        <v>2.4</v>
      </c>
      <c r="M1031" s="271">
        <f t="shared" si="242"/>
        <v>8.5312500000000013E-2</v>
      </c>
      <c r="N1031" s="41">
        <f t="shared" ref="N1031:N1036" si="248">N1016</f>
        <v>0.17636249999999998</v>
      </c>
      <c r="O1031" s="33">
        <v>25</v>
      </c>
      <c r="P1031" s="163">
        <f t="shared" ref="P1031:Z1031" si="249">P1016</f>
        <v>4.7293411874999995E-6</v>
      </c>
      <c r="Q1031" s="163">
        <f t="shared" si="249"/>
        <v>1.22751665625E-2</v>
      </c>
      <c r="R1031" s="163">
        <f t="shared" si="249"/>
        <v>1.6630172812499999</v>
      </c>
      <c r="S1031" s="163">
        <f t="shared" si="249"/>
        <v>3.0646126874999998E-7</v>
      </c>
      <c r="T1031" s="163">
        <f t="shared" si="249"/>
        <v>9.8156574374999995E-4</v>
      </c>
      <c r="U1031" s="163">
        <f t="shared" si="249"/>
        <v>7.2098973749999996E-3</v>
      </c>
      <c r="V1031" s="163">
        <f t="shared" si="249"/>
        <v>1.4367366937500002E-3</v>
      </c>
      <c r="W1031" s="163">
        <f t="shared" si="249"/>
        <v>0.66533688749999997</v>
      </c>
      <c r="X1031" s="163">
        <f t="shared" si="249"/>
        <v>1.9513436250000002E-2</v>
      </c>
      <c r="Y1031" s="163">
        <f t="shared" si="249"/>
        <v>70.429771875</v>
      </c>
      <c r="Z1031" s="163">
        <f t="shared" si="249"/>
        <v>2.3573739374999998E-3</v>
      </c>
      <c r="AA1031" s="40"/>
      <c r="AB1031" s="40"/>
      <c r="AC1031" s="40"/>
      <c r="AD1031" s="40"/>
      <c r="AE1031" s="40"/>
      <c r="AF1031" s="40"/>
      <c r="AG1031" s="40"/>
      <c r="AH1031" s="40"/>
      <c r="AI1031" s="40"/>
      <c r="AJ1031" s="40"/>
      <c r="AK1031" s="40"/>
      <c r="AL1031" s="40"/>
      <c r="AM1031" s="40"/>
      <c r="AN1031" s="40"/>
      <c r="AO1031" s="40"/>
      <c r="AP1031" s="40"/>
      <c r="AQ1031" s="40"/>
      <c r="AR1031" s="40"/>
      <c r="AS1031" s="40"/>
      <c r="AT1031" s="40"/>
      <c r="AU1031" s="40"/>
      <c r="AV1031" s="163">
        <f t="shared" ref="AV1031:AV1036" si="250">AV1016</f>
        <v>0.39540206249999998</v>
      </c>
      <c r="AW1031" s="40"/>
      <c r="AX1031" s="40"/>
      <c r="AY1031" s="163">
        <f t="shared" ref="AY1031:AY1036" si="251">AY1016</f>
        <v>20.56305</v>
      </c>
      <c r="AZ1031" s="40"/>
      <c r="BA1031" s="40"/>
      <c r="BB1031" s="40"/>
      <c r="BC1031" s="163">
        <f t="shared" ref="BC1031:BE1031" si="252">BC1016</f>
        <v>2.373880875E-2</v>
      </c>
      <c r="BD1031" s="163">
        <f t="shared" si="252"/>
        <v>0.16865756062500001</v>
      </c>
      <c r="BE1031" s="163">
        <f t="shared" si="252"/>
        <v>0.144647026875</v>
      </c>
      <c r="BF1031" s="40"/>
      <c r="BG1031" s="40"/>
      <c r="BH1031" s="40"/>
      <c r="BI1031" s="40"/>
      <c r="BJ1031" s="40"/>
      <c r="BK1031" s="40"/>
      <c r="BL1031" s="62">
        <v>1</v>
      </c>
      <c r="BM1031" s="275">
        <v>3</v>
      </c>
      <c r="BN1031" s="62">
        <v>0.03</v>
      </c>
      <c r="BO1031" s="33" t="s">
        <v>600</v>
      </c>
      <c r="BP1031" s="33" t="s">
        <v>602</v>
      </c>
    </row>
    <row r="1032" spans="1:68">
      <c r="A1032" s="33" t="str">
        <f>Database_Productkaarten[[#This Row],[Product]]&amp;", "&amp;Database_Productkaarten[[#This Row],[Levensfase]]</f>
        <v>Opsluitband 150x250 (hergebruik), B1</v>
      </c>
      <c r="B1032" t="s">
        <v>610</v>
      </c>
      <c r="C1032" t="s">
        <v>55</v>
      </c>
      <c r="D1032" s="33" t="s">
        <v>599</v>
      </c>
      <c r="E1032" s="33" t="s">
        <v>389</v>
      </c>
      <c r="F1032" s="33" t="s">
        <v>80</v>
      </c>
      <c r="G1032" s="33">
        <v>1</v>
      </c>
      <c r="H1032" s="33">
        <v>0.25</v>
      </c>
      <c r="I1032" s="33">
        <v>0.15</v>
      </c>
      <c r="L1032" s="33">
        <v>2.4</v>
      </c>
      <c r="M1032" s="271">
        <f t="shared" si="242"/>
        <v>8.5312500000000013E-2</v>
      </c>
      <c r="N1032" s="41">
        <f t="shared" si="248"/>
        <v>0</v>
      </c>
      <c r="O1032" s="33">
        <v>25</v>
      </c>
      <c r="P1032" s="163">
        <f t="shared" ref="P1032:Z1032" si="253">P1017</f>
        <v>8.824760062500001E-7</v>
      </c>
      <c r="Q1032" s="163">
        <f t="shared" si="253"/>
        <v>9.1752538124999991E-3</v>
      </c>
      <c r="R1032" s="163">
        <f t="shared" si="253"/>
        <v>1.5173914499999999</v>
      </c>
      <c r="S1032" s="163">
        <f t="shared" si="253"/>
        <v>2.23641675E-7</v>
      </c>
      <c r="T1032" s="163">
        <f t="shared" si="253"/>
        <v>1.22993835E-3</v>
      </c>
      <c r="U1032" s="163">
        <f t="shared" si="253"/>
        <v>9.4476727500000003E-3</v>
      </c>
      <c r="V1032" s="163">
        <f t="shared" si="253"/>
        <v>2.0920419374999997E-3</v>
      </c>
      <c r="W1032" s="163">
        <f t="shared" si="253"/>
        <v>0.45262876874999997</v>
      </c>
      <c r="X1032" s="163">
        <f t="shared" si="253"/>
        <v>7.1398998750000003E-3</v>
      </c>
      <c r="Y1032" s="163">
        <f t="shared" si="253"/>
        <v>25.494965624999999</v>
      </c>
      <c r="Z1032" s="163">
        <f t="shared" si="253"/>
        <v>1.3728632062499999E-3</v>
      </c>
      <c r="AA1032" s="40"/>
      <c r="AB1032" s="40"/>
      <c r="AC1032" s="40"/>
      <c r="AD1032" s="40"/>
      <c r="AE1032" s="40"/>
      <c r="AF1032" s="40"/>
      <c r="AG1032" s="40"/>
      <c r="AH1032" s="40"/>
      <c r="AI1032" s="40"/>
      <c r="AJ1032" s="40"/>
      <c r="AK1032" s="40"/>
      <c r="AL1032" s="40"/>
      <c r="AM1032" s="40"/>
      <c r="AN1032" s="40"/>
      <c r="AO1032" s="40"/>
      <c r="AP1032" s="40"/>
      <c r="AQ1032" s="40"/>
      <c r="AR1032" s="40"/>
      <c r="AS1032" s="40"/>
      <c r="AT1032" s="40"/>
      <c r="AU1032" s="40"/>
      <c r="AV1032" s="163">
        <f t="shared" si="250"/>
        <v>0</v>
      </c>
      <c r="AW1032" s="40"/>
      <c r="AX1032" s="40"/>
      <c r="AY1032" s="163">
        <f t="shared" si="251"/>
        <v>0</v>
      </c>
      <c r="AZ1032" s="40"/>
      <c r="BA1032" s="40"/>
      <c r="BB1032" s="40"/>
      <c r="BC1032" s="163">
        <f t="shared" ref="BC1032:BE1032" si="254">BC1017</f>
        <v>0</v>
      </c>
      <c r="BD1032" s="163">
        <f t="shared" si="254"/>
        <v>0</v>
      </c>
      <c r="BE1032" s="163">
        <f t="shared" si="254"/>
        <v>0</v>
      </c>
      <c r="BF1032" s="40"/>
      <c r="BG1032" s="40"/>
      <c r="BH1032" s="40"/>
      <c r="BI1032" s="40"/>
      <c r="BJ1032" s="40"/>
      <c r="BK1032" s="40"/>
      <c r="BL1032" s="62">
        <v>1</v>
      </c>
      <c r="BM1032" s="275">
        <v>3</v>
      </c>
      <c r="BN1032" s="62">
        <v>0.03</v>
      </c>
      <c r="BO1032" s="33" t="s">
        <v>600</v>
      </c>
      <c r="BP1032" s="33" t="s">
        <v>602</v>
      </c>
    </row>
    <row r="1033" spans="1:68">
      <c r="A1033" s="33" t="str">
        <f>Database_Productkaarten[[#This Row],[Product]]&amp;", "&amp;Database_Productkaarten[[#This Row],[Levensfase]]</f>
        <v>Opsluitband 150x250 (hergebruik), C1</v>
      </c>
      <c r="B1033" t="s">
        <v>610</v>
      </c>
      <c r="C1033" t="s">
        <v>55</v>
      </c>
      <c r="D1033" s="33" t="s">
        <v>599</v>
      </c>
      <c r="E1033" s="33" t="s">
        <v>389</v>
      </c>
      <c r="F1033" s="33" t="s">
        <v>83</v>
      </c>
      <c r="G1033" s="33">
        <v>1</v>
      </c>
      <c r="H1033" s="33">
        <v>0.25</v>
      </c>
      <c r="I1033" s="33">
        <v>0.15</v>
      </c>
      <c r="L1033" s="33">
        <v>2.4</v>
      </c>
      <c r="M1033" s="271">
        <f t="shared" si="242"/>
        <v>8.5312500000000013E-2</v>
      </c>
      <c r="N1033" s="41">
        <f t="shared" si="248"/>
        <v>0.14756250000000001</v>
      </c>
      <c r="O1033" s="33">
        <v>25</v>
      </c>
      <c r="P1033" s="163">
        <f t="shared" ref="P1033:Z1033" si="255">P1018</f>
        <v>0</v>
      </c>
      <c r="Q1033" s="163">
        <f t="shared" si="255"/>
        <v>0</v>
      </c>
      <c r="R1033" s="163">
        <f t="shared" si="255"/>
        <v>0</v>
      </c>
      <c r="S1033" s="163">
        <f t="shared" si="255"/>
        <v>0</v>
      </c>
      <c r="T1033" s="163">
        <f t="shared" si="255"/>
        <v>0</v>
      </c>
      <c r="U1033" s="163">
        <f t="shared" si="255"/>
        <v>0</v>
      </c>
      <c r="V1033" s="163">
        <f t="shared" si="255"/>
        <v>0</v>
      </c>
      <c r="W1033" s="163">
        <f t="shared" si="255"/>
        <v>0</v>
      </c>
      <c r="X1033" s="163">
        <f t="shared" si="255"/>
        <v>0</v>
      </c>
      <c r="Y1033" s="163">
        <f t="shared" si="255"/>
        <v>0</v>
      </c>
      <c r="Z1033" s="163">
        <f t="shared" si="255"/>
        <v>0</v>
      </c>
      <c r="AA1033" s="40"/>
      <c r="AB1033" s="40"/>
      <c r="AC1033" s="40"/>
      <c r="AD1033" s="40"/>
      <c r="AE1033" s="40"/>
      <c r="AF1033" s="40"/>
      <c r="AG1033" s="40"/>
      <c r="AH1033" s="40"/>
      <c r="AI1033" s="40"/>
      <c r="AJ1033" s="40"/>
      <c r="AK1033" s="40"/>
      <c r="AL1033" s="40"/>
      <c r="AM1033" s="40"/>
      <c r="AN1033" s="40"/>
      <c r="AO1033" s="40"/>
      <c r="AP1033" s="40"/>
      <c r="AQ1033" s="40"/>
      <c r="AR1033" s="40"/>
      <c r="AS1033" s="40"/>
      <c r="AT1033" s="40"/>
      <c r="AU1033" s="40"/>
      <c r="AV1033" s="163">
        <f t="shared" si="250"/>
        <v>9.2704074375000001E-2</v>
      </c>
      <c r="AW1033" s="40"/>
      <c r="AX1033" s="40"/>
      <c r="AY1033" s="163">
        <f t="shared" si="251"/>
        <v>17.2659628125</v>
      </c>
      <c r="AZ1033" s="40"/>
      <c r="BA1033" s="40"/>
      <c r="BB1033" s="40"/>
      <c r="BC1033" s="163">
        <f t="shared" ref="BC1033:BE1033" si="256">BC1018</f>
        <v>1.4234931000000001E-3</v>
      </c>
      <c r="BD1033" s="163">
        <f t="shared" si="256"/>
        <v>1.1953419749999999E-4</v>
      </c>
      <c r="BE1033" s="163">
        <f t="shared" si="256"/>
        <v>1.7617944000000003E-2</v>
      </c>
      <c r="BF1033" s="40"/>
      <c r="BG1033" s="40"/>
      <c r="BH1033" s="40"/>
      <c r="BI1033" s="40"/>
      <c r="BJ1033" s="40"/>
      <c r="BK1033" s="40"/>
      <c r="BL1033" s="62">
        <v>1</v>
      </c>
      <c r="BM1033" s="275">
        <v>3</v>
      </c>
      <c r="BN1033" s="62">
        <v>0.03</v>
      </c>
      <c r="BO1033" s="33" t="s">
        <v>600</v>
      </c>
      <c r="BP1033" s="33" t="s">
        <v>602</v>
      </c>
    </row>
    <row r="1034" spans="1:68">
      <c r="A1034" s="33" t="str">
        <f>Database_Productkaarten[[#This Row],[Product]]&amp;", "&amp;Database_Productkaarten[[#This Row],[Levensfase]]</f>
        <v>Opsluitband 150x250 (hergebruik), C2</v>
      </c>
      <c r="B1034" t="s">
        <v>610</v>
      </c>
      <c r="C1034" t="s">
        <v>55</v>
      </c>
      <c r="D1034" s="33" t="s">
        <v>599</v>
      </c>
      <c r="E1034" s="33" t="s">
        <v>389</v>
      </c>
      <c r="F1034" s="33" t="s">
        <v>84</v>
      </c>
      <c r="G1034" s="33">
        <v>1</v>
      </c>
      <c r="H1034" s="33">
        <v>0.25</v>
      </c>
      <c r="I1034" s="33">
        <v>0.15</v>
      </c>
      <c r="L1034" s="33">
        <v>2.4</v>
      </c>
      <c r="M1034" s="271">
        <f t="shared" si="242"/>
        <v>8.5312500000000013E-2</v>
      </c>
      <c r="N1034" s="41">
        <f t="shared" si="248"/>
        <v>6.6149999999999987E-2</v>
      </c>
      <c r="O1034" s="33">
        <v>25</v>
      </c>
      <c r="P1034" s="163">
        <f t="shared" ref="P1034:Z1034" si="257">P1019</f>
        <v>3.7358302499999995E-7</v>
      </c>
      <c r="Q1034" s="163">
        <f t="shared" si="257"/>
        <v>7.6970353124999995E-3</v>
      </c>
      <c r="R1034" s="163">
        <f t="shared" si="257"/>
        <v>1.1155740000000001</v>
      </c>
      <c r="S1034" s="163">
        <f t="shared" si="257"/>
        <v>2.0093941874999998E-7</v>
      </c>
      <c r="T1034" s="163">
        <f t="shared" si="257"/>
        <v>1.1244704437500001E-3</v>
      </c>
      <c r="U1034" s="163">
        <f t="shared" si="257"/>
        <v>8.4409846875E-3</v>
      </c>
      <c r="V1034" s="163">
        <f t="shared" si="257"/>
        <v>1.8901149375000004E-3</v>
      </c>
      <c r="W1034" s="163">
        <f t="shared" si="257"/>
        <v>0.39490580624999999</v>
      </c>
      <c r="X1034" s="163">
        <f t="shared" si="257"/>
        <v>5.5227178125000003E-3</v>
      </c>
      <c r="Y1034" s="163">
        <f t="shared" si="257"/>
        <v>18.721083562499999</v>
      </c>
      <c r="Z1034" s="163">
        <f t="shared" si="257"/>
        <v>6.5987654999999997E-4</v>
      </c>
      <c r="AA1034" s="40"/>
      <c r="AB1034" s="40"/>
      <c r="AC1034" s="40"/>
      <c r="AD1034" s="40"/>
      <c r="AE1034" s="40"/>
      <c r="AF1034" s="40"/>
      <c r="AG1034" s="40"/>
      <c r="AH1034" s="40"/>
      <c r="AI1034" s="40"/>
      <c r="AJ1034" s="40"/>
      <c r="AK1034" s="40"/>
      <c r="AL1034" s="40"/>
      <c r="AM1034" s="40"/>
      <c r="AN1034" s="40"/>
      <c r="AO1034" s="40"/>
      <c r="AP1034" s="40"/>
      <c r="AQ1034" s="40"/>
      <c r="AR1034" s="40"/>
      <c r="AS1034" s="40"/>
      <c r="AT1034" s="40"/>
      <c r="AU1034" s="40"/>
      <c r="AV1034" s="163">
        <f t="shared" si="250"/>
        <v>0.11790326062500002</v>
      </c>
      <c r="AW1034" s="40"/>
      <c r="AX1034" s="40"/>
      <c r="AY1034" s="163">
        <f t="shared" si="251"/>
        <v>9.2129399999999997</v>
      </c>
      <c r="AZ1034" s="40"/>
      <c r="BA1034" s="40"/>
      <c r="BB1034" s="40"/>
      <c r="BC1034" s="163">
        <f t="shared" ref="BC1034:BE1034" si="258">BC1019</f>
        <v>1.6569242812500002E-3</v>
      </c>
      <c r="BD1034" s="163">
        <f t="shared" si="258"/>
        <v>6.362704124999999E-5</v>
      </c>
      <c r="BE1034" s="163">
        <f t="shared" si="258"/>
        <v>0.52956676874999997</v>
      </c>
      <c r="BF1034" s="40"/>
      <c r="BG1034" s="40"/>
      <c r="BH1034" s="40"/>
      <c r="BI1034" s="40"/>
      <c r="BJ1034" s="40"/>
      <c r="BK1034" s="40"/>
      <c r="BL1034" s="62">
        <v>1</v>
      </c>
      <c r="BM1034" s="275">
        <v>3</v>
      </c>
      <c r="BN1034" s="62">
        <v>0.03</v>
      </c>
      <c r="BO1034" s="33" t="s">
        <v>600</v>
      </c>
      <c r="BP1034" s="33" t="s">
        <v>602</v>
      </c>
    </row>
    <row r="1035" spans="1:68">
      <c r="A1035" s="33" t="str">
        <f>Database_Productkaarten[[#This Row],[Product]]&amp;", "&amp;Database_Productkaarten[[#This Row],[Levensfase]]</f>
        <v>Opsluitband 150x250 (hergebruik), C3</v>
      </c>
      <c r="B1035" t="s">
        <v>610</v>
      </c>
      <c r="C1035" t="s">
        <v>55</v>
      </c>
      <c r="D1035" s="33" t="s">
        <v>599</v>
      </c>
      <c r="E1035" s="33" t="s">
        <v>389</v>
      </c>
      <c r="F1035" s="33" t="s">
        <v>85</v>
      </c>
      <c r="G1035" s="33">
        <v>1</v>
      </c>
      <c r="H1035" s="33">
        <v>0.25</v>
      </c>
      <c r="I1035" s="33">
        <v>0.15</v>
      </c>
      <c r="L1035" s="33">
        <v>2.4</v>
      </c>
      <c r="M1035" s="271">
        <f t="shared" si="242"/>
        <v>8.5312500000000013E-2</v>
      </c>
      <c r="N1035" s="41">
        <f t="shared" si="248"/>
        <v>1.4118749999999999E-2</v>
      </c>
      <c r="O1035" s="33">
        <v>25</v>
      </c>
      <c r="P1035" s="163">
        <f t="shared" ref="P1035:Z1035" si="259">P1020</f>
        <v>1.5922115062499999E-6</v>
      </c>
      <c r="Q1035" s="163">
        <f t="shared" si="259"/>
        <v>4.1326395000000002E-3</v>
      </c>
      <c r="R1035" s="163">
        <f t="shared" si="259"/>
        <v>0.55988248125000006</v>
      </c>
      <c r="S1035" s="163">
        <f t="shared" si="259"/>
        <v>1.03175293125E-7</v>
      </c>
      <c r="T1035" s="163">
        <f t="shared" si="259"/>
        <v>3.3046046249999997E-4</v>
      </c>
      <c r="U1035" s="163">
        <f t="shared" si="259"/>
        <v>2.4273320624999999E-3</v>
      </c>
      <c r="V1035" s="163">
        <f t="shared" si="259"/>
        <v>4.8370136249999997E-4</v>
      </c>
      <c r="W1035" s="163">
        <f t="shared" si="259"/>
        <v>0.2239967625</v>
      </c>
      <c r="X1035" s="163">
        <f t="shared" si="259"/>
        <v>6.5695231875000006E-3</v>
      </c>
      <c r="Y1035" s="163">
        <f t="shared" si="259"/>
        <v>23.711356875000003</v>
      </c>
      <c r="Z1035" s="163">
        <f t="shared" si="259"/>
        <v>7.9364921250000002E-4</v>
      </c>
      <c r="AA1035" s="40"/>
      <c r="AB1035" s="40"/>
      <c r="AC1035" s="40"/>
      <c r="AD1035" s="40"/>
      <c r="AE1035" s="40"/>
      <c r="AF1035" s="40"/>
      <c r="AG1035" s="40"/>
      <c r="AH1035" s="40"/>
      <c r="AI1035" s="40"/>
      <c r="AJ1035" s="40"/>
      <c r="AK1035" s="40"/>
      <c r="AL1035" s="40"/>
      <c r="AM1035" s="40"/>
      <c r="AN1035" s="40"/>
      <c r="AO1035" s="40"/>
      <c r="AP1035" s="40"/>
      <c r="AQ1035" s="40"/>
      <c r="AR1035" s="40"/>
      <c r="AS1035" s="40"/>
      <c r="AT1035" s="40"/>
      <c r="AU1035" s="40"/>
      <c r="AV1035" s="163">
        <f t="shared" si="250"/>
        <v>0.107883384375</v>
      </c>
      <c r="AW1035" s="40"/>
      <c r="AX1035" s="40"/>
      <c r="AY1035" s="163">
        <f t="shared" si="251"/>
        <v>2.0973841874999999</v>
      </c>
      <c r="AZ1035" s="40"/>
      <c r="BA1035" s="40"/>
      <c r="BB1035" s="40"/>
      <c r="BC1035" s="163">
        <f t="shared" ref="BC1035:BE1035" si="260">BC1020</f>
        <v>3.3467461875E-4</v>
      </c>
      <c r="BD1035" s="163">
        <f t="shared" si="260"/>
        <v>1.2150008812499999E-5</v>
      </c>
      <c r="BE1035" s="163">
        <f t="shared" si="260"/>
        <v>0.25362346874999997</v>
      </c>
      <c r="BF1035" s="40"/>
      <c r="BG1035" s="40"/>
      <c r="BH1035" s="40"/>
      <c r="BI1035" s="40"/>
      <c r="BJ1035" s="40"/>
      <c r="BK1035" s="40"/>
      <c r="BL1035" s="62">
        <v>1</v>
      </c>
      <c r="BM1035" s="275">
        <v>3</v>
      </c>
      <c r="BN1035" s="62">
        <v>0.03</v>
      </c>
      <c r="BO1035" s="33" t="s">
        <v>600</v>
      </c>
      <c r="BP1035" s="33" t="s">
        <v>602</v>
      </c>
    </row>
    <row r="1036" spans="1:68">
      <c r="A1036" s="33" t="str">
        <f>Database_Productkaarten[[#This Row],[Product]]&amp;", "&amp;Database_Productkaarten[[#This Row],[Levensfase]]</f>
        <v>Opsluitband 150x250 (hergebruik), C4</v>
      </c>
      <c r="B1036" t="s">
        <v>610</v>
      </c>
      <c r="C1036" t="s">
        <v>55</v>
      </c>
      <c r="D1036" s="33" t="s">
        <v>599</v>
      </c>
      <c r="E1036" s="33" t="s">
        <v>389</v>
      </c>
      <c r="F1036" s="33" t="s">
        <v>86</v>
      </c>
      <c r="G1036" s="33">
        <v>1</v>
      </c>
      <c r="H1036" s="33">
        <v>0.25</v>
      </c>
      <c r="I1036" s="33">
        <v>0.15</v>
      </c>
      <c r="L1036" s="33">
        <v>2.4</v>
      </c>
      <c r="M1036" s="271">
        <f t="shared" si="242"/>
        <v>8.5312500000000013E-2</v>
      </c>
      <c r="N1036" s="41">
        <f t="shared" si="248"/>
        <v>6.1874999999999994E-4</v>
      </c>
      <c r="O1036" s="33">
        <v>25</v>
      </c>
      <c r="P1036" s="163">
        <f t="shared" ref="P1036:Z1036" si="261">P1021</f>
        <v>8.07315225E-8</v>
      </c>
      <c r="Q1036" s="163">
        <f t="shared" si="261"/>
        <v>1.0017035437499999E-3</v>
      </c>
      <c r="R1036" s="163">
        <f t="shared" si="261"/>
        <v>0.13295857687499998</v>
      </c>
      <c r="S1036" s="163">
        <f t="shared" si="261"/>
        <v>1.544473725E-8</v>
      </c>
      <c r="T1036" s="163">
        <f t="shared" si="261"/>
        <v>7.4494965000000002E-5</v>
      </c>
      <c r="U1036" s="163">
        <f t="shared" si="261"/>
        <v>6.1429676249999995E-4</v>
      </c>
      <c r="V1036" s="163">
        <f t="shared" si="261"/>
        <v>1.3852961999999999E-4</v>
      </c>
      <c r="W1036" s="163">
        <f t="shared" si="261"/>
        <v>2.9087699999999998E-2</v>
      </c>
      <c r="X1036" s="163">
        <f t="shared" si="261"/>
        <v>4.8554971874999994E-4</v>
      </c>
      <c r="Y1036" s="163">
        <f t="shared" si="261"/>
        <v>1.86260938125</v>
      </c>
      <c r="Z1036" s="163">
        <f t="shared" si="261"/>
        <v>3.9239759999999999E-4</v>
      </c>
      <c r="AA1036" s="40"/>
      <c r="AB1036" s="40"/>
      <c r="AC1036" s="40"/>
      <c r="AD1036" s="40"/>
      <c r="AE1036" s="40"/>
      <c r="AF1036" s="40"/>
      <c r="AG1036" s="40"/>
      <c r="AH1036" s="40"/>
      <c r="AI1036" s="40"/>
      <c r="AJ1036" s="40"/>
      <c r="AK1036" s="40"/>
      <c r="AL1036" s="40"/>
      <c r="AM1036" s="40"/>
      <c r="AN1036" s="40"/>
      <c r="AO1036" s="40"/>
      <c r="AP1036" s="40"/>
      <c r="AQ1036" s="40"/>
      <c r="AR1036" s="40"/>
      <c r="AS1036" s="40"/>
      <c r="AT1036" s="40"/>
      <c r="AU1036" s="40"/>
      <c r="AV1036" s="163">
        <f t="shared" si="250"/>
        <v>3.2783887500000002E-3</v>
      </c>
      <c r="AW1036" s="40"/>
      <c r="AX1036" s="40"/>
      <c r="AY1036" s="163">
        <f t="shared" si="251"/>
        <v>0.13672029187500001</v>
      </c>
      <c r="AZ1036" s="40"/>
      <c r="BA1036" s="40"/>
      <c r="BB1036" s="40"/>
      <c r="BC1036" s="163">
        <f t="shared" ref="BC1036:BE1036" si="262">BC1021</f>
        <v>1.37796598125E-4</v>
      </c>
      <c r="BD1036" s="163">
        <f t="shared" si="262"/>
        <v>9.2873083125000011E-7</v>
      </c>
      <c r="BE1036" s="163">
        <f t="shared" si="262"/>
        <v>0.84160303125000002</v>
      </c>
      <c r="BF1036" s="40"/>
      <c r="BG1036" s="40"/>
      <c r="BH1036" s="40"/>
      <c r="BI1036" s="40"/>
      <c r="BJ1036" s="40"/>
      <c r="BK1036" s="40"/>
      <c r="BL1036" s="62">
        <v>1</v>
      </c>
      <c r="BM1036" s="275">
        <v>3</v>
      </c>
      <c r="BN1036" s="62">
        <v>0.03</v>
      </c>
      <c r="BO1036" s="33" t="s">
        <v>600</v>
      </c>
      <c r="BP1036" s="33" t="s">
        <v>602</v>
      </c>
    </row>
    <row r="1037" spans="1:68">
      <c r="A1037" s="33" t="str">
        <f>Database_Productkaarten[[#This Row],[Product]]&amp;", "&amp;Database_Productkaarten[[#This Row],[Levensfase]]</f>
        <v>Opsluitband 150x250 (hergebruik), D</v>
      </c>
      <c r="B1037" t="s">
        <v>610</v>
      </c>
      <c r="C1037" s="33" t="str">
        <f>C1038</f>
        <v>Elementenverhardingen</v>
      </c>
      <c r="D1037" s="33" t="str">
        <f>D1038</f>
        <v>Opsluitband</v>
      </c>
      <c r="E1037" s="33" t="str">
        <f>E1038</f>
        <v>m1</v>
      </c>
      <c r="F1037" s="33" t="s">
        <v>89</v>
      </c>
      <c r="G1037" s="33">
        <f t="shared" ref="G1037:I1037" si="263">G1038</f>
        <v>1</v>
      </c>
      <c r="H1037" s="33">
        <f t="shared" si="263"/>
        <v>0.25</v>
      </c>
      <c r="I1037" s="33">
        <f t="shared" si="263"/>
        <v>0.15</v>
      </c>
      <c r="L1037" s="33">
        <v>2.4</v>
      </c>
      <c r="M1037" s="271">
        <f t="shared" si="242"/>
        <v>8.5312500000000013E-2</v>
      </c>
      <c r="N1037" s="41">
        <f>N1014*0.1</f>
        <v>8.0049374999999992E-2</v>
      </c>
      <c r="O1037" s="33">
        <v>25</v>
      </c>
      <c r="P1037" s="163">
        <f t="shared" ref="P1037:Z1037" si="264">P1014*0.1</f>
        <v>1.2160492387500002E-6</v>
      </c>
      <c r="Q1037" s="163">
        <f t="shared" si="264"/>
        <v>2.9542927687500001E-3</v>
      </c>
      <c r="R1037" s="163">
        <f t="shared" si="264"/>
        <v>1.0820212406249998</v>
      </c>
      <c r="S1037" s="163">
        <f t="shared" si="264"/>
        <v>3.2078936437500007E-8</v>
      </c>
      <c r="T1037" s="163">
        <f t="shared" si="264"/>
        <v>2.2669641750000004E-4</v>
      </c>
      <c r="U1037" s="163">
        <f t="shared" si="264"/>
        <v>2.4172350749999999E-3</v>
      </c>
      <c r="V1037" s="163">
        <f t="shared" si="264"/>
        <v>4.7525306625000009E-4</v>
      </c>
      <c r="W1037" s="163">
        <f t="shared" si="264"/>
        <v>0.10876479374999999</v>
      </c>
      <c r="X1037" s="163">
        <f t="shared" si="264"/>
        <v>2.8132389187500006E-3</v>
      </c>
      <c r="Y1037" s="163">
        <f t="shared" si="264"/>
        <v>13.350169875000001</v>
      </c>
      <c r="Z1037" s="163">
        <f t="shared" si="264"/>
        <v>2.0180529074999998E-3</v>
      </c>
      <c r="AA1037" s="40"/>
      <c r="AB1037" s="40"/>
      <c r="AC1037" s="40"/>
      <c r="AD1037" s="40"/>
      <c r="AE1037" s="40"/>
      <c r="AF1037" s="40"/>
      <c r="AG1037" s="40"/>
      <c r="AH1037" s="40"/>
      <c r="AI1037" s="40"/>
      <c r="AJ1037" s="40"/>
      <c r="AK1037" s="40"/>
      <c r="AL1037" s="40"/>
      <c r="AM1037" s="40"/>
      <c r="AN1037" s="40"/>
      <c r="AO1037" s="40"/>
      <c r="AP1037" s="40"/>
      <c r="AQ1037" s="40"/>
      <c r="AR1037" s="40"/>
      <c r="AS1037" s="40"/>
      <c r="AT1037" s="40"/>
      <c r="AU1037" s="40"/>
      <c r="AV1037" s="163">
        <f>AV1014*0.1</f>
        <v>0.97825505512500011</v>
      </c>
      <c r="AW1037" s="40"/>
      <c r="AX1037" s="40"/>
      <c r="AY1037" s="163">
        <f>AY1014*0.1</f>
        <v>7.5539764124999991</v>
      </c>
      <c r="AZ1037" s="40"/>
      <c r="BA1037" s="40"/>
      <c r="BB1037" s="40"/>
      <c r="BC1037" s="163">
        <f t="shared" ref="BC1037:BE1037" si="265">BC1014*0.1</f>
        <v>8.4342833866875022E-2</v>
      </c>
      <c r="BD1037" s="163">
        <f t="shared" si="265"/>
        <v>0.56176923406518753</v>
      </c>
      <c r="BE1037" s="163">
        <f t="shared" si="265"/>
        <v>0.107921920575</v>
      </c>
      <c r="BF1037" s="40"/>
      <c r="BG1037" s="40"/>
      <c r="BH1037" s="40"/>
      <c r="BI1037" s="40"/>
      <c r="BJ1037" s="40"/>
      <c r="BK1037" s="40"/>
      <c r="BL1037" s="62">
        <v>1</v>
      </c>
      <c r="BM1037" s="275">
        <v>3</v>
      </c>
      <c r="BN1037" s="62">
        <v>0.03</v>
      </c>
      <c r="BO1037" s="33" t="s">
        <v>600</v>
      </c>
      <c r="BP1037" s="33" t="s">
        <v>602</v>
      </c>
    </row>
    <row r="1038" spans="1:68">
      <c r="A1038" s="33" t="str">
        <f>Database_Productkaarten[[#This Row],[Product]]&amp;", "&amp;Database_Productkaarten[[#This Row],[Levensfase]]</f>
        <v>Opsluitband 150x250 (hergebruik), D1</v>
      </c>
      <c r="B1038" t="s">
        <v>610</v>
      </c>
      <c r="C1038" t="s">
        <v>55</v>
      </c>
      <c r="D1038" s="33" t="s">
        <v>599</v>
      </c>
      <c r="E1038" s="33" t="s">
        <v>389</v>
      </c>
      <c r="F1038" s="33" t="s">
        <v>87</v>
      </c>
      <c r="G1038" s="33">
        <v>1</v>
      </c>
      <c r="H1038" s="33">
        <v>0.25</v>
      </c>
      <c r="I1038" s="33">
        <v>0.15</v>
      </c>
      <c r="L1038" s="33">
        <v>2.4</v>
      </c>
      <c r="M1038" s="271">
        <f t="shared" si="242"/>
        <v>8.5312500000000013E-2</v>
      </c>
      <c r="N1038" s="41"/>
      <c r="O1038" s="33">
        <v>25</v>
      </c>
      <c r="P1038" s="40"/>
      <c r="Q1038" s="40"/>
      <c r="R1038" s="40"/>
      <c r="S1038" s="40"/>
      <c r="T1038" s="40"/>
      <c r="U1038" s="40"/>
      <c r="V1038" s="40"/>
      <c r="W1038" s="40"/>
      <c r="X1038" s="40"/>
      <c r="Y1038" s="40"/>
      <c r="Z1038" s="40"/>
      <c r="AA1038" s="40"/>
      <c r="AB1038" s="40"/>
      <c r="AC1038" s="40"/>
      <c r="AD1038" s="40"/>
      <c r="AE1038" s="40"/>
      <c r="AF1038" s="40"/>
      <c r="AG1038" s="40"/>
      <c r="AH1038" s="40"/>
      <c r="AI1038" s="40"/>
      <c r="AJ1038" s="40"/>
      <c r="AK1038" s="40"/>
      <c r="AL1038" s="40"/>
      <c r="AM1038" s="40"/>
      <c r="AN1038" s="40"/>
      <c r="AO1038" s="40"/>
      <c r="AP1038" s="40"/>
      <c r="AQ1038" s="40"/>
      <c r="AR1038" s="40"/>
      <c r="AS1038" s="40"/>
      <c r="AT1038" s="40"/>
      <c r="AU1038" s="40"/>
      <c r="AV1038" s="281"/>
      <c r="AW1038" s="40"/>
      <c r="AX1038" s="40"/>
      <c r="AY1038" s="281"/>
      <c r="AZ1038" s="40"/>
      <c r="BA1038" s="40"/>
      <c r="BB1038" s="40"/>
      <c r="BC1038" s="40"/>
      <c r="BD1038" s="40"/>
      <c r="BE1038" s="40"/>
      <c r="BF1038" s="40"/>
      <c r="BG1038" s="40"/>
      <c r="BH1038" s="40"/>
      <c r="BI1038" s="40"/>
      <c r="BJ1038" s="40"/>
      <c r="BK1038" s="40"/>
      <c r="BL1038" s="62">
        <v>1</v>
      </c>
      <c r="BM1038" s="275">
        <v>3</v>
      </c>
      <c r="BN1038" s="62">
        <v>0.03</v>
      </c>
      <c r="BO1038" s="33" t="s">
        <v>600</v>
      </c>
      <c r="BP1038" s="33" t="s">
        <v>602</v>
      </c>
    </row>
    <row r="1039" spans="1:68">
      <c r="A1039" s="33" t="str">
        <f>Database_Productkaarten[[#This Row],[Product]]&amp;", "&amp;Database_Productkaarten[[#This Row],[Levensfase]]</f>
        <v>Opsluitband 150x250 (hergebruik), D2</v>
      </c>
      <c r="B1039" t="s">
        <v>610</v>
      </c>
      <c r="C1039" t="s">
        <v>55</v>
      </c>
      <c r="D1039" s="33" t="s">
        <v>599</v>
      </c>
      <c r="E1039" s="33" t="s">
        <v>389</v>
      </c>
      <c r="F1039" s="33" t="s">
        <v>88</v>
      </c>
      <c r="G1039" s="33">
        <v>1</v>
      </c>
      <c r="H1039" s="33">
        <v>0.25</v>
      </c>
      <c r="I1039" s="33">
        <v>0.15</v>
      </c>
      <c r="L1039" s="33">
        <v>2.4</v>
      </c>
      <c r="M1039" s="271">
        <f t="shared" si="242"/>
        <v>8.5312500000000013E-2</v>
      </c>
      <c r="N1039" s="41"/>
      <c r="O1039" s="33">
        <v>25</v>
      </c>
      <c r="P1039" s="40"/>
      <c r="Q1039" s="40"/>
      <c r="R1039" s="40"/>
      <c r="S1039" s="40"/>
      <c r="T1039" s="40"/>
      <c r="U1039" s="40"/>
      <c r="V1039" s="40"/>
      <c r="W1039" s="40"/>
      <c r="X1039" s="40"/>
      <c r="Y1039" s="40"/>
      <c r="Z1039" s="40"/>
      <c r="AA1039" s="40"/>
      <c r="AB1039" s="40"/>
      <c r="AC1039" s="40"/>
      <c r="AD1039" s="40"/>
      <c r="AE1039" s="40"/>
      <c r="AF1039" s="40"/>
      <c r="AG1039" s="40"/>
      <c r="AH1039" s="40"/>
      <c r="AI1039" s="40"/>
      <c r="AJ1039" s="40"/>
      <c r="AK1039" s="40"/>
      <c r="AL1039" s="40"/>
      <c r="AM1039" s="40"/>
      <c r="AN1039" s="40"/>
      <c r="AO1039" s="40"/>
      <c r="AP1039" s="40"/>
      <c r="AQ1039" s="40"/>
      <c r="AR1039" s="40"/>
      <c r="AS1039" s="40"/>
      <c r="AT1039" s="40"/>
      <c r="AU1039" s="40"/>
      <c r="AV1039" s="281"/>
      <c r="AW1039" s="40"/>
      <c r="AX1039" s="40"/>
      <c r="AY1039" s="281"/>
      <c r="AZ1039" s="40"/>
      <c r="BA1039" s="40"/>
      <c r="BB1039" s="40"/>
      <c r="BC1039" s="40"/>
      <c r="BD1039" s="40"/>
      <c r="BE1039" s="40"/>
      <c r="BF1039" s="40"/>
      <c r="BG1039" s="40"/>
      <c r="BH1039" s="40"/>
      <c r="BI1039" s="40"/>
      <c r="BJ1039" s="40"/>
      <c r="BK1039" s="40"/>
      <c r="BL1039" s="62">
        <v>1</v>
      </c>
      <c r="BM1039" s="275">
        <v>3</v>
      </c>
      <c r="BN1039" s="62">
        <v>0.03</v>
      </c>
      <c r="BO1039" s="33" t="s">
        <v>600</v>
      </c>
      <c r="BP1039" s="33" t="s">
        <v>602</v>
      </c>
    </row>
    <row r="1040" spans="1:68">
      <c r="A1040" s="33" t="str">
        <f>Database_Productkaarten[[#This Row],[Product]]&amp;", "&amp;Database_Productkaarten[[#This Row],[Levensfase]]</f>
        <v>Opsluitband 300x150, CEM IIIB, Totaal</v>
      </c>
      <c r="B1040" s="33" t="s">
        <v>611</v>
      </c>
      <c r="C1040" t="s">
        <v>55</v>
      </c>
      <c r="D1040" s="33" t="s">
        <v>599</v>
      </c>
      <c r="E1040" s="33" t="s">
        <v>389</v>
      </c>
      <c r="F1040" s="33" t="s">
        <v>90</v>
      </c>
      <c r="G1040" s="33">
        <v>1</v>
      </c>
      <c r="H1040" s="33">
        <v>0.3</v>
      </c>
      <c r="I1040" s="33">
        <v>0.15</v>
      </c>
      <c r="L1040" s="33">
        <v>2.23</v>
      </c>
      <c r="M1040" s="271">
        <v>0.112</v>
      </c>
      <c r="N1040" s="41"/>
      <c r="O1040" s="33">
        <v>25</v>
      </c>
      <c r="P1040" s="163"/>
      <c r="Q1040" s="163"/>
      <c r="R1040" s="163"/>
      <c r="S1040" s="163"/>
      <c r="T1040" s="163"/>
      <c r="U1040" s="163"/>
      <c r="V1040" s="163"/>
      <c r="W1040" s="163"/>
      <c r="X1040" s="163"/>
      <c r="Y1040" s="163"/>
      <c r="Z1040" s="163"/>
      <c r="AA1040" s="40"/>
      <c r="AB1040" s="40"/>
      <c r="AC1040" s="40"/>
      <c r="AD1040" s="40"/>
      <c r="AE1040" s="40"/>
      <c r="AF1040" s="40"/>
      <c r="AG1040" s="40"/>
      <c r="AH1040" s="40"/>
      <c r="AI1040" s="40"/>
      <c r="AJ1040" s="40"/>
      <c r="AK1040" s="40"/>
      <c r="AL1040" s="40"/>
      <c r="AM1040" s="40"/>
      <c r="AN1040" s="40"/>
      <c r="AO1040" s="40"/>
      <c r="AP1040" s="40"/>
      <c r="AQ1040" s="40"/>
      <c r="AR1040" s="40"/>
      <c r="AS1040" s="40"/>
      <c r="AT1040" s="40"/>
      <c r="AU1040" s="40"/>
      <c r="AV1040" s="315"/>
      <c r="AW1040" s="317"/>
      <c r="AX1040" s="317"/>
      <c r="AY1040" s="313"/>
      <c r="AZ1040" s="40"/>
      <c r="BA1040" s="40"/>
      <c r="BB1040" s="40"/>
      <c r="BC1040" s="40"/>
      <c r="BD1040" s="163"/>
      <c r="BE1040" s="163"/>
      <c r="BF1040" s="40"/>
      <c r="BG1040" s="40"/>
      <c r="BH1040" s="40"/>
      <c r="BI1040" s="40"/>
      <c r="BJ1040" s="40"/>
      <c r="BK1040" s="40"/>
      <c r="BL1040" s="62">
        <v>0.15</v>
      </c>
      <c r="BM1040" s="275">
        <v>3</v>
      </c>
      <c r="BN1040" s="62">
        <v>0.03</v>
      </c>
      <c r="BO1040" s="33" t="s">
        <v>600</v>
      </c>
      <c r="BP1040" s="33" t="s">
        <v>612</v>
      </c>
    </row>
    <row r="1041" spans="1:68">
      <c r="A1041" s="33" t="str">
        <f>Database_Productkaarten[[#This Row],[Product]]&amp;", "&amp;Database_Productkaarten[[#This Row],[Levensfase]]</f>
        <v>Opsluitband 300x150, CEM IIIB, A1</v>
      </c>
      <c r="B1041" s="33" t="s">
        <v>611</v>
      </c>
      <c r="C1041" t="s">
        <v>55</v>
      </c>
      <c r="D1041" s="33" t="s">
        <v>599</v>
      </c>
      <c r="E1041" s="33" t="s">
        <v>389</v>
      </c>
      <c r="F1041" s="33" t="s">
        <v>74</v>
      </c>
      <c r="G1041" s="33">
        <v>1</v>
      </c>
      <c r="H1041" s="33">
        <v>0.3</v>
      </c>
      <c r="I1041" s="33">
        <v>0.15</v>
      </c>
      <c r="L1041" s="33">
        <v>2.23</v>
      </c>
      <c r="M1041" s="271">
        <v>0.112</v>
      </c>
      <c r="N1041" s="41"/>
      <c r="O1041" s="33">
        <v>25</v>
      </c>
      <c r="P1041" s="40">
        <f t="shared" ref="P1041:Z1041" si="266">P921*3*0.75</f>
        <v>1.2544965225E-5</v>
      </c>
      <c r="Q1041" s="40">
        <f t="shared" si="266"/>
        <v>3.0136830749999999E-2</v>
      </c>
      <c r="R1041" s="40">
        <f t="shared" si="266"/>
        <v>12.264231375</v>
      </c>
      <c r="S1041" s="40">
        <f t="shared" si="266"/>
        <v>2.5226111250000002E-7</v>
      </c>
      <c r="T1041" s="40">
        <f t="shared" si="266"/>
        <v>2.2953762000000001E-3</v>
      </c>
      <c r="U1041" s="40">
        <f t="shared" si="266"/>
        <v>2.588520825E-2</v>
      </c>
      <c r="V1041" s="40">
        <f t="shared" si="266"/>
        <v>5.0809842000000003E-3</v>
      </c>
      <c r="W1041" s="40">
        <f t="shared" si="266"/>
        <v>1.0171118474999998</v>
      </c>
      <c r="X1041" s="40">
        <f t="shared" si="266"/>
        <v>2.531028825E-2</v>
      </c>
      <c r="Y1041" s="40">
        <f t="shared" si="266"/>
        <v>129.70861424999998</v>
      </c>
      <c r="Z1041" s="40">
        <f t="shared" si="266"/>
        <v>2.3195981249999997E-2</v>
      </c>
      <c r="AA1041" s="40"/>
      <c r="AB1041" s="40"/>
      <c r="AC1041" s="40"/>
      <c r="AD1041" s="40"/>
      <c r="AE1041" s="40"/>
      <c r="AF1041" s="40"/>
      <c r="AG1041" s="40"/>
      <c r="AH1041" s="40"/>
      <c r="AI1041" s="40"/>
      <c r="AJ1041" s="40"/>
      <c r="AK1041" s="40"/>
      <c r="AL1041" s="40"/>
      <c r="AM1041" s="40"/>
      <c r="AN1041" s="40"/>
      <c r="AO1041" s="40"/>
      <c r="AP1041" s="40"/>
      <c r="AQ1041" s="40"/>
      <c r="AR1041" s="40"/>
      <c r="AS1041" s="40"/>
      <c r="AT1041" s="40"/>
      <c r="AU1041" s="40"/>
      <c r="AV1041" s="317">
        <f t="shared" ref="AV1041:AV1052" si="267">AV921*3*0.75</f>
        <v>10.755502425000001</v>
      </c>
      <c r="AW1041" s="317"/>
      <c r="AX1041" s="317"/>
      <c r="AY1041" s="317">
        <f t="shared" ref="AY1041:AY1052" si="268">AY921*3*0.75</f>
        <v>68.026668749999999</v>
      </c>
      <c r="AZ1041" s="40"/>
      <c r="BA1041" s="40"/>
      <c r="BB1041" s="40"/>
      <c r="BC1041" s="317">
        <f t="shared" ref="BC1041:BE1052" si="269">BC921*3*0.75</f>
        <v>1.00786968</v>
      </c>
      <c r="BD1041" s="317">
        <f t="shared" si="269"/>
        <v>6.7411016999999998</v>
      </c>
      <c r="BE1041" s="317">
        <f t="shared" si="269"/>
        <v>0.59327171999999995</v>
      </c>
      <c r="BF1041" s="40"/>
      <c r="BG1041" s="40"/>
      <c r="BH1041" s="40"/>
      <c r="BI1041" s="40"/>
      <c r="BJ1041" s="40"/>
      <c r="BK1041" s="40"/>
      <c r="BL1041" s="62">
        <v>0.15</v>
      </c>
      <c r="BM1041" s="275">
        <v>3</v>
      </c>
      <c r="BN1041" s="62">
        <v>0.03</v>
      </c>
      <c r="BO1041" s="33" t="s">
        <v>600</v>
      </c>
      <c r="BP1041" s="33" t="s">
        <v>612</v>
      </c>
    </row>
    <row r="1042" spans="1:68">
      <c r="A1042" s="33" t="str">
        <f>Database_Productkaarten[[#This Row],[Product]]&amp;", "&amp;Database_Productkaarten[[#This Row],[Levensfase]]</f>
        <v>Opsluitband 300x150, CEM IIIB, A2</v>
      </c>
      <c r="B1042" s="33" t="s">
        <v>611</v>
      </c>
      <c r="C1042" t="s">
        <v>55</v>
      </c>
      <c r="D1042" s="33" t="s">
        <v>599</v>
      </c>
      <c r="E1042" s="33" t="s">
        <v>389</v>
      </c>
      <c r="F1042" s="33" t="s">
        <v>75</v>
      </c>
      <c r="G1042" s="33">
        <v>1</v>
      </c>
      <c r="H1042" s="33">
        <v>0.3</v>
      </c>
      <c r="I1042" s="33">
        <v>0.15</v>
      </c>
      <c r="L1042" s="33">
        <v>2.23</v>
      </c>
      <c r="M1042" s="271">
        <v>0.112</v>
      </c>
      <c r="N1042" s="41"/>
      <c r="O1042" s="33">
        <v>25</v>
      </c>
      <c r="P1042" s="40">
        <f t="shared" ref="P1042:Z1042" si="270">P922*3*0.75</f>
        <v>2.0476256399999999E-6</v>
      </c>
      <c r="Q1042" s="40">
        <f t="shared" si="270"/>
        <v>5.3146824749999997E-3</v>
      </c>
      <c r="R1042" s="40">
        <f t="shared" si="270"/>
        <v>0.72002351249999996</v>
      </c>
      <c r="S1042" s="40">
        <f t="shared" si="270"/>
        <v>1.3268612475E-7</v>
      </c>
      <c r="T1042" s="40">
        <f t="shared" si="270"/>
        <v>4.2498081E-4</v>
      </c>
      <c r="U1042" s="40">
        <f t="shared" si="270"/>
        <v>3.1216126500000002E-3</v>
      </c>
      <c r="V1042" s="40">
        <f t="shared" si="270"/>
        <v>6.220525949999999E-4</v>
      </c>
      <c r="W1042" s="40">
        <f t="shared" si="270"/>
        <v>0.28806567749999995</v>
      </c>
      <c r="X1042" s="40">
        <f t="shared" si="270"/>
        <v>8.4485787749999999E-3</v>
      </c>
      <c r="Y1042" s="40">
        <f t="shared" si="270"/>
        <v>30.49342425</v>
      </c>
      <c r="Z1042" s="40">
        <f t="shared" si="270"/>
        <v>1.0206536400000001E-3</v>
      </c>
      <c r="AA1042" s="40"/>
      <c r="AB1042" s="40"/>
      <c r="AC1042" s="40"/>
      <c r="AD1042" s="40"/>
      <c r="AE1042" s="40"/>
      <c r="AF1042" s="40"/>
      <c r="AG1042" s="40"/>
      <c r="AH1042" s="40"/>
      <c r="AI1042" s="40"/>
      <c r="AJ1042" s="40"/>
      <c r="AK1042" s="40"/>
      <c r="AL1042" s="40"/>
      <c r="AM1042" s="40"/>
      <c r="AN1042" s="40"/>
      <c r="AO1042" s="40"/>
      <c r="AP1042" s="40"/>
      <c r="AQ1042" s="40"/>
      <c r="AR1042" s="40"/>
      <c r="AS1042" s="40"/>
      <c r="AT1042" s="40"/>
      <c r="AU1042" s="40"/>
      <c r="AV1042" s="317">
        <f t="shared" si="267"/>
        <v>0.1516266765</v>
      </c>
      <c r="AW1042" s="317"/>
      <c r="AX1042" s="317"/>
      <c r="AY1042" s="317">
        <f t="shared" si="268"/>
        <v>11.848081950000001</v>
      </c>
      <c r="AZ1042" s="40"/>
      <c r="BA1042" s="40"/>
      <c r="BB1042" s="40"/>
      <c r="BC1042" s="317">
        <f t="shared" si="269"/>
        <v>2.1308479424999999E-3</v>
      </c>
      <c r="BD1042" s="317">
        <f t="shared" si="269"/>
        <v>8.1826040250000001E-5</v>
      </c>
      <c r="BE1042" s="317">
        <f t="shared" si="269"/>
        <v>0.68103670500000002</v>
      </c>
      <c r="BF1042" s="40"/>
      <c r="BG1042" s="40"/>
      <c r="BH1042" s="40"/>
      <c r="BI1042" s="40"/>
      <c r="BJ1042" s="40"/>
      <c r="BK1042" s="40"/>
      <c r="BL1042" s="62">
        <v>0.15</v>
      </c>
      <c r="BM1042" s="275">
        <v>3</v>
      </c>
      <c r="BN1042" s="62">
        <v>0.03</v>
      </c>
      <c r="BO1042" s="33" t="s">
        <v>600</v>
      </c>
      <c r="BP1042" s="33" t="s">
        <v>612</v>
      </c>
    </row>
    <row r="1043" spans="1:68">
      <c r="A1043" s="33" t="str">
        <f>Database_Productkaarten[[#This Row],[Product]]&amp;", "&amp;Database_Productkaarten[[#This Row],[Levensfase]]</f>
        <v>Opsluitband 300x150, CEM IIIB, A3</v>
      </c>
      <c r="B1043" s="33" t="s">
        <v>611</v>
      </c>
      <c r="C1043" t="s">
        <v>55</v>
      </c>
      <c r="D1043" s="33" t="s">
        <v>599</v>
      </c>
      <c r="E1043" s="33" t="s">
        <v>389</v>
      </c>
      <c r="F1043" s="33" t="s">
        <v>76</v>
      </c>
      <c r="G1043" s="33">
        <v>1</v>
      </c>
      <c r="H1043" s="33">
        <v>0.3</v>
      </c>
      <c r="I1043" s="33">
        <v>0.15</v>
      </c>
      <c r="L1043" s="33">
        <v>2.23</v>
      </c>
      <c r="M1043" s="271">
        <v>0.112</v>
      </c>
      <c r="N1043" s="41"/>
      <c r="O1043" s="33">
        <v>25</v>
      </c>
      <c r="P1043" s="40">
        <f t="shared" ref="P1043:Z1043" si="271">P923*3*0.75</f>
        <v>1.7864003699999999E-7</v>
      </c>
      <c r="Q1043" s="40">
        <f t="shared" si="271"/>
        <v>5.3695228499999999E-3</v>
      </c>
      <c r="R1043" s="40">
        <f t="shared" si="271"/>
        <v>0.65698161750000006</v>
      </c>
      <c r="S1043" s="40">
        <f t="shared" si="271"/>
        <v>4.5341320500000007E-8</v>
      </c>
      <c r="T1043" s="40">
        <f t="shared" si="271"/>
        <v>1.0874346075000001E-4</v>
      </c>
      <c r="U1043" s="40">
        <f t="shared" si="271"/>
        <v>1.1963440574999998E-3</v>
      </c>
      <c r="V1043" s="40">
        <f t="shared" si="271"/>
        <v>2.6786196000000006E-4</v>
      </c>
      <c r="W1043" s="40">
        <f t="shared" si="271"/>
        <v>5.4834833250000006E-2</v>
      </c>
      <c r="X1043" s="40">
        <f t="shared" si="271"/>
        <v>1.25479044E-3</v>
      </c>
      <c r="Y1043" s="40">
        <f t="shared" si="271"/>
        <v>6.1581910500000001</v>
      </c>
      <c r="Z1043" s="40">
        <f t="shared" si="271"/>
        <v>9.2377858500000004E-4</v>
      </c>
      <c r="AA1043" s="40"/>
      <c r="AB1043" s="40"/>
      <c r="AC1043" s="40"/>
      <c r="AD1043" s="40"/>
      <c r="AE1043" s="40"/>
      <c r="AF1043" s="40"/>
      <c r="AG1043" s="40"/>
      <c r="AH1043" s="40"/>
      <c r="AI1043" s="40"/>
      <c r="AJ1043" s="40"/>
      <c r="AK1043" s="40"/>
      <c r="AL1043" s="40"/>
      <c r="AM1043" s="40"/>
      <c r="AN1043" s="40"/>
      <c r="AO1043" s="40"/>
      <c r="AP1043" s="40"/>
      <c r="AQ1043" s="40"/>
      <c r="AR1043" s="40"/>
      <c r="AS1043" s="40"/>
      <c r="AT1043" s="40"/>
      <c r="AU1043" s="40"/>
      <c r="AV1043" s="317">
        <f t="shared" si="267"/>
        <v>0.83193156000000001</v>
      </c>
      <c r="AW1043" s="317"/>
      <c r="AX1043" s="317"/>
      <c r="AY1043" s="317">
        <f t="shared" si="268"/>
        <v>10.77296625</v>
      </c>
      <c r="AZ1043" s="40"/>
      <c r="BA1043" s="40"/>
      <c r="BB1043" s="40"/>
      <c r="BC1043" s="317">
        <f t="shared" si="269"/>
        <v>2.1134784600000001E-3</v>
      </c>
      <c r="BD1043" s="317">
        <f t="shared" si="269"/>
        <v>4.7282741999999995E-5</v>
      </c>
      <c r="BE1043" s="317">
        <f t="shared" si="269"/>
        <v>2.0754621899999999E-2</v>
      </c>
      <c r="BF1043" s="40"/>
      <c r="BG1043" s="40"/>
      <c r="BH1043" s="40"/>
      <c r="BI1043" s="40"/>
      <c r="BJ1043" s="40"/>
      <c r="BK1043" s="40"/>
      <c r="BL1043" s="62">
        <v>0.15</v>
      </c>
      <c r="BM1043" s="275">
        <v>3</v>
      </c>
      <c r="BN1043" s="62">
        <v>0.03</v>
      </c>
      <c r="BO1043" s="33" t="s">
        <v>600</v>
      </c>
      <c r="BP1043" s="33" t="s">
        <v>612</v>
      </c>
    </row>
    <row r="1044" spans="1:68">
      <c r="A1044" s="33" t="str">
        <f>Database_Productkaarten[[#This Row],[Product]]&amp;", "&amp;Database_Productkaarten[[#This Row],[Levensfase]]</f>
        <v>Opsluitband 300x150, CEM IIIB, A1-A3</v>
      </c>
      <c r="B1044" s="33" t="s">
        <v>611</v>
      </c>
      <c r="C1044" t="s">
        <v>55</v>
      </c>
      <c r="D1044" s="33" t="s">
        <v>599</v>
      </c>
      <c r="E1044" s="33" t="s">
        <v>389</v>
      </c>
      <c r="F1044" s="33" t="s">
        <v>77</v>
      </c>
      <c r="G1044" s="33">
        <v>1</v>
      </c>
      <c r="H1044" s="33">
        <v>0.3</v>
      </c>
      <c r="I1044" s="33">
        <v>0.15</v>
      </c>
      <c r="L1044" s="33">
        <v>2.23</v>
      </c>
      <c r="M1044" s="271">
        <v>0.112</v>
      </c>
      <c r="N1044" s="41">
        <v>0.75090999999999997</v>
      </c>
      <c r="O1044" s="33">
        <v>25</v>
      </c>
      <c r="P1044" s="40">
        <f t="shared" ref="P1044:Z1044" si="272">P924*3*0.75</f>
        <v>1.4771230901999999E-5</v>
      </c>
      <c r="Q1044" s="40">
        <f t="shared" si="272"/>
        <v>4.0821036074999997E-2</v>
      </c>
      <c r="R1044" s="40">
        <f t="shared" si="272"/>
        <v>13.641236504999998</v>
      </c>
      <c r="S1044" s="40">
        <f t="shared" si="272"/>
        <v>4.3028855775000006E-7</v>
      </c>
      <c r="T1044" s="40">
        <f t="shared" si="272"/>
        <v>2.8291004707500004E-3</v>
      </c>
      <c r="U1044" s="40">
        <f t="shared" si="272"/>
        <v>3.0203164957500001E-2</v>
      </c>
      <c r="V1044" s="40">
        <f t="shared" si="272"/>
        <v>5.9708987549999997E-3</v>
      </c>
      <c r="W1044" s="40">
        <f t="shared" si="272"/>
        <v>1.3600123582499997</v>
      </c>
      <c r="X1044" s="40">
        <f t="shared" si="272"/>
        <v>3.5013657465E-2</v>
      </c>
      <c r="Y1044" s="40">
        <f t="shared" si="272"/>
        <v>166.36022954999999</v>
      </c>
      <c r="Z1044" s="40">
        <f t="shared" si="272"/>
        <v>2.5140413474999998E-2</v>
      </c>
      <c r="AA1044" s="40"/>
      <c r="AB1044" s="40"/>
      <c r="AC1044" s="40"/>
      <c r="AD1044" s="40"/>
      <c r="AE1044" s="40"/>
      <c r="AF1044" s="40"/>
      <c r="AG1044" s="40"/>
      <c r="AH1044" s="40"/>
      <c r="AI1044" s="40"/>
      <c r="AJ1044" s="40"/>
      <c r="AK1044" s="40"/>
      <c r="AL1044" s="40"/>
      <c r="AM1044" s="40"/>
      <c r="AN1044" s="40"/>
      <c r="AO1044" s="40"/>
      <c r="AP1044" s="40"/>
      <c r="AQ1044" s="40"/>
      <c r="AR1044" s="40"/>
      <c r="AS1044" s="40"/>
      <c r="AT1044" s="40"/>
      <c r="AU1044" s="40"/>
      <c r="AV1044" s="317">
        <f t="shared" si="267"/>
        <v>11.739060661500002</v>
      </c>
      <c r="AW1044" s="317"/>
      <c r="AX1044" s="317"/>
      <c r="AY1044" s="317">
        <f t="shared" si="268"/>
        <v>90.647716949999989</v>
      </c>
      <c r="AZ1044" s="40"/>
      <c r="BA1044" s="40"/>
      <c r="BB1044" s="40"/>
      <c r="BC1044" s="317">
        <f t="shared" si="269"/>
        <v>1.0121140064025</v>
      </c>
      <c r="BD1044" s="317">
        <f t="shared" si="269"/>
        <v>6.741230808782249</v>
      </c>
      <c r="BE1044" s="317">
        <f t="shared" si="269"/>
        <v>1.2950630469</v>
      </c>
      <c r="BF1044" s="40"/>
      <c r="BG1044" s="40"/>
      <c r="BH1044" s="40"/>
      <c r="BI1044" s="40"/>
      <c r="BJ1044" s="40"/>
      <c r="BK1044" s="40"/>
      <c r="BL1044" s="62">
        <v>0.15</v>
      </c>
      <c r="BM1044" s="275">
        <v>3</v>
      </c>
      <c r="BN1044" s="62">
        <v>0.03</v>
      </c>
      <c r="BO1044" s="33" t="s">
        <v>600</v>
      </c>
      <c r="BP1044" s="33" t="s">
        <v>612</v>
      </c>
    </row>
    <row r="1045" spans="1:68">
      <c r="A1045" s="33" t="str">
        <f>Database_Productkaarten[[#This Row],[Product]]&amp;", "&amp;Database_Productkaarten[[#This Row],[Levensfase]]</f>
        <v>Opsluitband 300x150, CEM IIIB, A4</v>
      </c>
      <c r="B1045" s="33" t="s">
        <v>611</v>
      </c>
      <c r="C1045" t="s">
        <v>55</v>
      </c>
      <c r="D1045" s="33" t="s">
        <v>599</v>
      </c>
      <c r="E1045" s="33" t="s">
        <v>389</v>
      </c>
      <c r="F1045" s="33" t="s">
        <v>78</v>
      </c>
      <c r="G1045" s="33">
        <v>1</v>
      </c>
      <c r="H1045" s="33">
        <v>0.3</v>
      </c>
      <c r="I1045" s="33">
        <v>0.15</v>
      </c>
      <c r="L1045" s="33">
        <v>2.23</v>
      </c>
      <c r="M1045" s="271">
        <v>0.112</v>
      </c>
      <c r="N1045" s="41">
        <v>5.3359999999999998E-2</v>
      </c>
      <c r="O1045" s="33">
        <v>25</v>
      </c>
      <c r="P1045" s="40">
        <f t="shared" ref="P1045:Z1045" si="273">P925*3*0.75</f>
        <v>5.6752094250000001E-6</v>
      </c>
      <c r="Q1045" s="40">
        <f t="shared" si="273"/>
        <v>1.4730199874999999E-2</v>
      </c>
      <c r="R1045" s="40">
        <f t="shared" si="273"/>
        <v>1.9956207374999999</v>
      </c>
      <c r="S1045" s="40">
        <f t="shared" si="273"/>
        <v>3.6775352250000001E-7</v>
      </c>
      <c r="T1045" s="40">
        <f t="shared" si="273"/>
        <v>1.1778788924999999E-3</v>
      </c>
      <c r="U1045" s="40">
        <f t="shared" si="273"/>
        <v>8.6518768500000003E-3</v>
      </c>
      <c r="V1045" s="40">
        <f t="shared" si="273"/>
        <v>1.7240840325000002E-3</v>
      </c>
      <c r="W1045" s="40">
        <f t="shared" si="273"/>
        <v>0.79840426500000006</v>
      </c>
      <c r="X1045" s="40">
        <f t="shared" si="273"/>
        <v>2.34161235E-2</v>
      </c>
      <c r="Y1045" s="40">
        <f t="shared" si="273"/>
        <v>84.51572625</v>
      </c>
      <c r="Z1045" s="40">
        <f t="shared" si="273"/>
        <v>2.8288487249999998E-3</v>
      </c>
      <c r="AA1045" s="40"/>
      <c r="AB1045" s="40"/>
      <c r="AC1045" s="40"/>
      <c r="AD1045" s="40"/>
      <c r="AE1045" s="40"/>
      <c r="AF1045" s="40"/>
      <c r="AG1045" s="40"/>
      <c r="AH1045" s="40"/>
      <c r="AI1045" s="40"/>
      <c r="AJ1045" s="40"/>
      <c r="AK1045" s="40"/>
      <c r="AL1045" s="40"/>
      <c r="AM1045" s="40"/>
      <c r="AN1045" s="40"/>
      <c r="AO1045" s="40"/>
      <c r="AP1045" s="40"/>
      <c r="AQ1045" s="40"/>
      <c r="AR1045" s="40"/>
      <c r="AS1045" s="40"/>
      <c r="AT1045" s="40"/>
      <c r="AU1045" s="40"/>
      <c r="AV1045" s="317">
        <f t="shared" si="267"/>
        <v>0.42024923999999997</v>
      </c>
      <c r="AW1045" s="317"/>
      <c r="AX1045" s="317"/>
      <c r="AY1045" s="317">
        <f t="shared" si="268"/>
        <v>32.838203249999999</v>
      </c>
      <c r="AZ1045" s="40"/>
      <c r="BA1045" s="40"/>
      <c r="BB1045" s="40"/>
      <c r="BC1045" s="317">
        <f t="shared" si="269"/>
        <v>5.9058686250000004E-3</v>
      </c>
      <c r="BD1045" s="317">
        <f t="shared" si="269"/>
        <v>2.2678944749999997E-4</v>
      </c>
      <c r="BE1045" s="317">
        <f t="shared" si="269"/>
        <v>1.8875647124999999</v>
      </c>
      <c r="BF1045" s="40"/>
      <c r="BG1045" s="40"/>
      <c r="BH1045" s="40"/>
      <c r="BI1045" s="40"/>
      <c r="BJ1045" s="40"/>
      <c r="BK1045" s="40"/>
      <c r="BL1045" s="62">
        <v>0.15</v>
      </c>
      <c r="BM1045" s="275">
        <v>3</v>
      </c>
      <c r="BN1045" s="62">
        <v>0.03</v>
      </c>
      <c r="BO1045" s="33" t="s">
        <v>600</v>
      </c>
      <c r="BP1045" s="33" t="s">
        <v>612</v>
      </c>
    </row>
    <row r="1046" spans="1:68">
      <c r="A1046" s="33" t="str">
        <f>Database_Productkaarten[[#This Row],[Product]]&amp;", "&amp;Database_Productkaarten[[#This Row],[Levensfase]]</f>
        <v>Opsluitband 300x150, CEM IIIB, A5</v>
      </c>
      <c r="B1046" s="33" t="s">
        <v>611</v>
      </c>
      <c r="C1046" t="s">
        <v>55</v>
      </c>
      <c r="D1046" s="33" t="s">
        <v>599</v>
      </c>
      <c r="E1046" s="33" t="s">
        <v>389</v>
      </c>
      <c r="F1046" s="33" t="s">
        <v>79</v>
      </c>
      <c r="G1046" s="33">
        <v>1</v>
      </c>
      <c r="H1046" s="33">
        <v>0.3</v>
      </c>
      <c r="I1046" s="33">
        <v>0.15</v>
      </c>
      <c r="L1046" s="33">
        <v>2.23</v>
      </c>
      <c r="M1046" s="271">
        <v>0.112</v>
      </c>
      <c r="N1046" s="41">
        <v>0.53939999999999999</v>
      </c>
      <c r="O1046" s="33">
        <v>25</v>
      </c>
      <c r="P1046" s="40">
        <f t="shared" ref="P1046:Z1046" si="274">P926*3*0.75</f>
        <v>1.0589712074999999E-6</v>
      </c>
      <c r="Q1046" s="40">
        <f t="shared" si="274"/>
        <v>1.1010304574999998E-2</v>
      </c>
      <c r="R1046" s="40">
        <f t="shared" si="274"/>
        <v>1.82086974</v>
      </c>
      <c r="S1046" s="40">
        <f t="shared" si="274"/>
        <v>2.6837001E-7</v>
      </c>
      <c r="T1046" s="40">
        <f t="shared" si="274"/>
        <v>1.4759260200000002E-3</v>
      </c>
      <c r="U1046" s="40">
        <f t="shared" si="274"/>
        <v>1.1337207299999999E-2</v>
      </c>
      <c r="V1046" s="40">
        <f t="shared" si="274"/>
        <v>2.510450325E-3</v>
      </c>
      <c r="W1046" s="40">
        <f t="shared" si="274"/>
        <v>0.54315452249999996</v>
      </c>
      <c r="X1046" s="40">
        <f t="shared" si="274"/>
        <v>8.5678798499999997E-3</v>
      </c>
      <c r="Y1046" s="40">
        <f t="shared" si="274"/>
        <v>30.593958749999999</v>
      </c>
      <c r="Z1046" s="40">
        <f t="shared" si="274"/>
        <v>1.6474358474999999E-3</v>
      </c>
      <c r="AA1046" s="40"/>
      <c r="AB1046" s="40"/>
      <c r="AC1046" s="40"/>
      <c r="AD1046" s="40"/>
      <c r="AE1046" s="40"/>
      <c r="AF1046" s="40"/>
      <c r="AG1046" s="40"/>
      <c r="AH1046" s="40"/>
      <c r="AI1046" s="40"/>
      <c r="AJ1046" s="40"/>
      <c r="AK1046" s="40"/>
      <c r="AL1046" s="40"/>
      <c r="AM1046" s="40"/>
      <c r="AN1046" s="40"/>
      <c r="AO1046" s="40"/>
      <c r="AP1046" s="40"/>
      <c r="AQ1046" s="40"/>
      <c r="AR1046" s="40"/>
      <c r="AS1046" s="40"/>
      <c r="AT1046" s="40"/>
      <c r="AU1046" s="40"/>
      <c r="AV1046" s="317">
        <f t="shared" si="267"/>
        <v>0.47448247500000001</v>
      </c>
      <c r="AW1046" s="317"/>
      <c r="AX1046" s="317"/>
      <c r="AY1046" s="317">
        <f t="shared" si="268"/>
        <v>24.675660000000001</v>
      </c>
      <c r="AZ1046" s="40"/>
      <c r="BA1046" s="40"/>
      <c r="BB1046" s="40"/>
      <c r="BC1046" s="317">
        <f t="shared" si="269"/>
        <v>2.8486570500000002E-2</v>
      </c>
      <c r="BD1046" s="317">
        <f t="shared" si="269"/>
        <v>0.20238907275000001</v>
      </c>
      <c r="BE1046" s="317">
        <f t="shared" si="269"/>
        <v>0.17357643225000002</v>
      </c>
      <c r="BF1046" s="40"/>
      <c r="BG1046" s="40"/>
      <c r="BH1046" s="40"/>
      <c r="BI1046" s="40"/>
      <c r="BJ1046" s="40"/>
      <c r="BK1046" s="40"/>
      <c r="BL1046" s="62">
        <v>0.15</v>
      </c>
      <c r="BM1046" s="275">
        <v>3</v>
      </c>
      <c r="BN1046" s="62">
        <v>0.03</v>
      </c>
      <c r="BO1046" s="33" t="s">
        <v>600</v>
      </c>
      <c r="BP1046" s="33" t="s">
        <v>612</v>
      </c>
    </row>
    <row r="1047" spans="1:68">
      <c r="A1047" s="33" t="str">
        <f>Database_Productkaarten[[#This Row],[Product]]&amp;", "&amp;Database_Productkaarten[[#This Row],[Levensfase]]</f>
        <v>Opsluitband 300x150, CEM IIIB, B1</v>
      </c>
      <c r="B1047" s="33" t="s">
        <v>611</v>
      </c>
      <c r="C1047" t="s">
        <v>55</v>
      </c>
      <c r="D1047" s="33" t="s">
        <v>599</v>
      </c>
      <c r="E1047" s="33" t="s">
        <v>389</v>
      </c>
      <c r="F1047" s="33" t="s">
        <v>80</v>
      </c>
      <c r="G1047" s="33">
        <v>1</v>
      </c>
      <c r="H1047" s="33">
        <v>0.3</v>
      </c>
      <c r="I1047" s="33">
        <v>0.15</v>
      </c>
      <c r="L1047" s="33">
        <v>2.23</v>
      </c>
      <c r="M1047" s="271">
        <v>0.112</v>
      </c>
      <c r="N1047" s="41">
        <v>0</v>
      </c>
      <c r="O1047" s="33">
        <v>25</v>
      </c>
      <c r="P1047" s="40">
        <f t="shared" ref="P1047:Z1047" si="275">P927*3*0.75</f>
        <v>0</v>
      </c>
      <c r="Q1047" s="40">
        <f t="shared" si="275"/>
        <v>0</v>
      </c>
      <c r="R1047" s="40">
        <f t="shared" si="275"/>
        <v>0</v>
      </c>
      <c r="S1047" s="40">
        <f t="shared" si="275"/>
        <v>0</v>
      </c>
      <c r="T1047" s="40">
        <f t="shared" si="275"/>
        <v>0</v>
      </c>
      <c r="U1047" s="40">
        <f t="shared" si="275"/>
        <v>0</v>
      </c>
      <c r="V1047" s="40">
        <f t="shared" si="275"/>
        <v>0</v>
      </c>
      <c r="W1047" s="40">
        <f t="shared" si="275"/>
        <v>0</v>
      </c>
      <c r="X1047" s="40">
        <f t="shared" si="275"/>
        <v>0</v>
      </c>
      <c r="Y1047" s="40">
        <f t="shared" si="275"/>
        <v>0</v>
      </c>
      <c r="Z1047" s="40">
        <f t="shared" si="275"/>
        <v>0</v>
      </c>
      <c r="AA1047" s="40"/>
      <c r="AB1047" s="40"/>
      <c r="AC1047" s="40"/>
      <c r="AD1047" s="40"/>
      <c r="AE1047" s="40"/>
      <c r="AF1047" s="40"/>
      <c r="AG1047" s="40"/>
      <c r="AH1047" s="40"/>
      <c r="AI1047" s="40"/>
      <c r="AJ1047" s="40"/>
      <c r="AK1047" s="40"/>
      <c r="AL1047" s="40"/>
      <c r="AM1047" s="40"/>
      <c r="AN1047" s="40"/>
      <c r="AO1047" s="40"/>
      <c r="AP1047" s="40"/>
      <c r="AQ1047" s="40"/>
      <c r="AR1047" s="40"/>
      <c r="AS1047" s="40"/>
      <c r="AT1047" s="40"/>
      <c r="AU1047" s="40"/>
      <c r="AV1047" s="317">
        <f t="shared" si="267"/>
        <v>0</v>
      </c>
      <c r="AW1047" s="317"/>
      <c r="AX1047" s="317"/>
      <c r="AY1047" s="317">
        <f t="shared" si="268"/>
        <v>0</v>
      </c>
      <c r="AZ1047" s="40"/>
      <c r="BA1047" s="40"/>
      <c r="BB1047" s="40"/>
      <c r="BC1047" s="317">
        <f t="shared" si="269"/>
        <v>0</v>
      </c>
      <c r="BD1047" s="317">
        <f t="shared" si="269"/>
        <v>0</v>
      </c>
      <c r="BE1047" s="317">
        <f t="shared" si="269"/>
        <v>0</v>
      </c>
      <c r="BF1047" s="40"/>
      <c r="BG1047" s="40"/>
      <c r="BH1047" s="40"/>
      <c r="BI1047" s="40"/>
      <c r="BJ1047" s="40"/>
      <c r="BK1047" s="40"/>
      <c r="BL1047" s="62">
        <v>0.15</v>
      </c>
      <c r="BM1047" s="275">
        <v>3</v>
      </c>
      <c r="BN1047" s="62">
        <v>0.03</v>
      </c>
      <c r="BO1047" s="33" t="s">
        <v>600</v>
      </c>
      <c r="BP1047" s="33" t="s">
        <v>612</v>
      </c>
    </row>
    <row r="1048" spans="1:68">
      <c r="A1048" s="33" t="str">
        <f>Database_Productkaarten[[#This Row],[Product]]&amp;", "&amp;Database_Productkaarten[[#This Row],[Levensfase]]</f>
        <v>Opsluitband 300x150, CEM IIIB, C1</v>
      </c>
      <c r="B1048" s="33" t="s">
        <v>611</v>
      </c>
      <c r="C1048" t="s">
        <v>55</v>
      </c>
      <c r="D1048" s="33" t="s">
        <v>599</v>
      </c>
      <c r="E1048" s="33" t="s">
        <v>389</v>
      </c>
      <c r="F1048" s="33" t="s">
        <v>83</v>
      </c>
      <c r="G1048" s="33">
        <v>1</v>
      </c>
      <c r="H1048" s="33">
        <v>0.3</v>
      </c>
      <c r="I1048" s="33">
        <v>0.15</v>
      </c>
      <c r="L1048" s="33">
        <v>2.23</v>
      </c>
      <c r="M1048" s="271">
        <v>0.112</v>
      </c>
      <c r="N1048" s="41">
        <v>0.25914999999999999</v>
      </c>
      <c r="O1048" s="33">
        <v>25</v>
      </c>
      <c r="P1048" s="40">
        <f t="shared" ref="P1048:Z1048" si="276">P928*3*0.75</f>
        <v>4.4829962999999994E-7</v>
      </c>
      <c r="Q1048" s="40">
        <f t="shared" si="276"/>
        <v>9.2364423750000008E-3</v>
      </c>
      <c r="R1048" s="40">
        <f t="shared" si="276"/>
        <v>1.3386887999999999</v>
      </c>
      <c r="S1048" s="40">
        <f t="shared" si="276"/>
        <v>2.411273025E-7</v>
      </c>
      <c r="T1048" s="40">
        <f t="shared" si="276"/>
        <v>1.3493645325000003E-3</v>
      </c>
      <c r="U1048" s="40">
        <f t="shared" si="276"/>
        <v>1.0129181624999999E-2</v>
      </c>
      <c r="V1048" s="40">
        <f t="shared" si="276"/>
        <v>2.2681379250000001E-3</v>
      </c>
      <c r="W1048" s="40">
        <f t="shared" si="276"/>
        <v>0.47388696750000003</v>
      </c>
      <c r="X1048" s="40">
        <f t="shared" si="276"/>
        <v>6.6272613750000004E-3</v>
      </c>
      <c r="Y1048" s="40">
        <f t="shared" si="276"/>
        <v>22.465300275000001</v>
      </c>
      <c r="Z1048" s="40">
        <f t="shared" si="276"/>
        <v>7.9185186000000002E-4</v>
      </c>
      <c r="AA1048" s="40"/>
      <c r="AB1048" s="40"/>
      <c r="AC1048" s="40"/>
      <c r="AD1048" s="40"/>
      <c r="AE1048" s="40"/>
      <c r="AF1048" s="40"/>
      <c r="AG1048" s="40"/>
      <c r="AH1048" s="40"/>
      <c r="AI1048" s="40"/>
      <c r="AJ1048" s="40"/>
      <c r="AK1048" s="40"/>
      <c r="AL1048" s="40"/>
      <c r="AM1048" s="40"/>
      <c r="AN1048" s="40"/>
      <c r="AO1048" s="40"/>
      <c r="AP1048" s="40"/>
      <c r="AQ1048" s="40"/>
      <c r="AR1048" s="40"/>
      <c r="AS1048" s="40"/>
      <c r="AT1048" s="40"/>
      <c r="AU1048" s="40"/>
      <c r="AV1048" s="317">
        <f t="shared" si="267"/>
        <v>0.11124488924999999</v>
      </c>
      <c r="AW1048" s="317"/>
      <c r="AX1048" s="317"/>
      <c r="AY1048" s="317">
        <f t="shared" si="268"/>
        <v>20.719155375</v>
      </c>
      <c r="AZ1048" s="40"/>
      <c r="BA1048" s="40"/>
      <c r="BB1048" s="40"/>
      <c r="BC1048" s="317">
        <f t="shared" si="269"/>
        <v>1.7081917200000001E-3</v>
      </c>
      <c r="BD1048" s="317">
        <f t="shared" si="269"/>
        <v>1.4344103699999997E-4</v>
      </c>
      <c r="BE1048" s="317">
        <f t="shared" si="269"/>
        <v>2.1141532800000001E-2</v>
      </c>
      <c r="BF1048" s="40"/>
      <c r="BG1048" s="40"/>
      <c r="BH1048" s="40"/>
      <c r="BI1048" s="40"/>
      <c r="BJ1048" s="40"/>
      <c r="BK1048" s="40"/>
      <c r="BL1048" s="62">
        <v>0.15</v>
      </c>
      <c r="BM1048" s="275">
        <v>3</v>
      </c>
      <c r="BN1048" s="62">
        <v>0.03</v>
      </c>
      <c r="BO1048" s="33" t="s">
        <v>600</v>
      </c>
      <c r="BP1048" s="33" t="s">
        <v>612</v>
      </c>
    </row>
    <row r="1049" spans="1:68">
      <c r="A1049" s="33" t="str">
        <f>Database_Productkaarten[[#This Row],[Product]]&amp;", "&amp;Database_Productkaarten[[#This Row],[Levensfase]]</f>
        <v>Opsluitband 300x150, CEM IIIB, C2</v>
      </c>
      <c r="B1049" s="33" t="s">
        <v>611</v>
      </c>
      <c r="C1049" t="s">
        <v>55</v>
      </c>
      <c r="D1049" s="33" t="s">
        <v>599</v>
      </c>
      <c r="E1049" s="33" t="s">
        <v>389</v>
      </c>
      <c r="F1049" s="33" t="s">
        <v>84</v>
      </c>
      <c r="G1049" s="33">
        <v>1</v>
      </c>
      <c r="H1049" s="33">
        <v>0.3</v>
      </c>
      <c r="I1049" s="33">
        <v>0.15</v>
      </c>
      <c r="L1049" s="33">
        <v>2.23</v>
      </c>
      <c r="M1049" s="271">
        <v>0.112</v>
      </c>
      <c r="N1049" s="41">
        <v>5.389E-2</v>
      </c>
      <c r="O1049" s="33">
        <v>25</v>
      </c>
      <c r="P1049" s="40">
        <f t="shared" ref="P1049:Z1049" si="277">P929*3*0.75</f>
        <v>1.9106538075000002E-6</v>
      </c>
      <c r="Q1049" s="40">
        <f t="shared" si="277"/>
        <v>4.9591673999999997E-3</v>
      </c>
      <c r="R1049" s="40">
        <f t="shared" si="277"/>
        <v>0.67185897750000001</v>
      </c>
      <c r="S1049" s="40">
        <f t="shared" si="277"/>
        <v>1.2381035175E-7</v>
      </c>
      <c r="T1049" s="40">
        <f t="shared" si="277"/>
        <v>3.96552555E-4</v>
      </c>
      <c r="U1049" s="40">
        <f t="shared" si="277"/>
        <v>2.9127984749999997E-3</v>
      </c>
      <c r="V1049" s="40">
        <f t="shared" si="277"/>
        <v>5.8044163499999996E-4</v>
      </c>
      <c r="W1049" s="40">
        <f t="shared" si="277"/>
        <v>0.268796115</v>
      </c>
      <c r="X1049" s="40">
        <f t="shared" si="277"/>
        <v>7.8834278250000007E-3</v>
      </c>
      <c r="Y1049" s="40">
        <f t="shared" si="277"/>
        <v>28.453628250000001</v>
      </c>
      <c r="Z1049" s="40">
        <f t="shared" si="277"/>
        <v>9.5237905499999994E-4</v>
      </c>
      <c r="AA1049" s="40"/>
      <c r="AB1049" s="40"/>
      <c r="AC1049" s="40"/>
      <c r="AD1049" s="40"/>
      <c r="AE1049" s="40"/>
      <c r="AF1049" s="40"/>
      <c r="AG1049" s="40"/>
      <c r="AH1049" s="40"/>
      <c r="AI1049" s="40"/>
      <c r="AJ1049" s="40"/>
      <c r="AK1049" s="40"/>
      <c r="AL1049" s="40"/>
      <c r="AM1049" s="40"/>
      <c r="AN1049" s="40"/>
      <c r="AO1049" s="40"/>
      <c r="AP1049" s="40"/>
      <c r="AQ1049" s="40"/>
      <c r="AR1049" s="40"/>
      <c r="AS1049" s="40"/>
      <c r="AT1049" s="40"/>
      <c r="AU1049" s="40"/>
      <c r="AV1049" s="317">
        <f t="shared" si="267"/>
        <v>0.14148391275000002</v>
      </c>
      <c r="AW1049" s="317"/>
      <c r="AX1049" s="317"/>
      <c r="AY1049" s="317">
        <f t="shared" si="268"/>
        <v>11.055527999999999</v>
      </c>
      <c r="AZ1049" s="40"/>
      <c r="BA1049" s="40"/>
      <c r="BB1049" s="40"/>
      <c r="BC1049" s="317">
        <f t="shared" si="269"/>
        <v>1.9883091375000003E-3</v>
      </c>
      <c r="BD1049" s="317">
        <f t="shared" si="269"/>
        <v>7.6352449499999996E-5</v>
      </c>
      <c r="BE1049" s="317">
        <f t="shared" si="269"/>
        <v>0.63548012249999997</v>
      </c>
      <c r="BF1049" s="40"/>
      <c r="BG1049" s="40"/>
      <c r="BH1049" s="40"/>
      <c r="BI1049" s="40"/>
      <c r="BJ1049" s="40"/>
      <c r="BK1049" s="40"/>
      <c r="BL1049" s="62">
        <v>0.15</v>
      </c>
      <c r="BM1049" s="275">
        <v>3</v>
      </c>
      <c r="BN1049" s="62">
        <v>0.03</v>
      </c>
      <c r="BO1049" s="33" t="s">
        <v>600</v>
      </c>
      <c r="BP1049" s="33" t="s">
        <v>612</v>
      </c>
    </row>
    <row r="1050" spans="1:68">
      <c r="A1050" s="33" t="str">
        <f>Database_Productkaarten[[#This Row],[Product]]&amp;", "&amp;Database_Productkaarten[[#This Row],[Levensfase]]</f>
        <v>Opsluitband 300x150, CEM IIIB, C3</v>
      </c>
      <c r="B1050" s="33" t="s">
        <v>611</v>
      </c>
      <c r="C1050" t="s">
        <v>55</v>
      </c>
      <c r="D1050" s="33" t="s">
        <v>599</v>
      </c>
      <c r="E1050" s="33" t="s">
        <v>389</v>
      </c>
      <c r="F1050" s="33" t="s">
        <v>85</v>
      </c>
      <c r="G1050" s="33">
        <v>1</v>
      </c>
      <c r="H1050" s="33">
        <v>0.3</v>
      </c>
      <c r="I1050" s="33">
        <v>0.15</v>
      </c>
      <c r="L1050" s="33">
        <v>2.23</v>
      </c>
      <c r="M1050" s="271">
        <v>0.112</v>
      </c>
      <c r="N1050" s="41">
        <v>9.2499999999999995E-3</v>
      </c>
      <c r="O1050" s="33">
        <v>25</v>
      </c>
      <c r="P1050" s="40">
        <f t="shared" ref="P1050:Z1050" si="278">P930*3*0.75</f>
        <v>9.687782700000001E-8</v>
      </c>
      <c r="Q1050" s="40">
        <f t="shared" si="278"/>
        <v>1.2020442525000001E-3</v>
      </c>
      <c r="R1050" s="40">
        <f t="shared" si="278"/>
        <v>0.15955029225</v>
      </c>
      <c r="S1050" s="40">
        <f t="shared" si="278"/>
        <v>1.8533684700000003E-8</v>
      </c>
      <c r="T1050" s="40">
        <f t="shared" si="278"/>
        <v>8.9393957999999997E-5</v>
      </c>
      <c r="U1050" s="40">
        <f t="shared" si="278"/>
        <v>7.3715611499999985E-4</v>
      </c>
      <c r="V1050" s="40">
        <f t="shared" si="278"/>
        <v>1.66235544E-4</v>
      </c>
      <c r="W1050" s="40">
        <f t="shared" si="278"/>
        <v>3.4905239999999997E-2</v>
      </c>
      <c r="X1050" s="40">
        <f t="shared" si="278"/>
        <v>5.8265966249999997E-4</v>
      </c>
      <c r="Y1050" s="40">
        <f t="shared" si="278"/>
        <v>2.2351312575</v>
      </c>
      <c r="Z1050" s="40">
        <f t="shared" si="278"/>
        <v>4.7087712000000003E-4</v>
      </c>
      <c r="AA1050" s="40"/>
      <c r="AB1050" s="40"/>
      <c r="AC1050" s="40"/>
      <c r="AD1050" s="40"/>
      <c r="AE1050" s="40"/>
      <c r="AF1050" s="40"/>
      <c r="AG1050" s="40"/>
      <c r="AH1050" s="40"/>
      <c r="AI1050" s="40"/>
      <c r="AJ1050" s="40"/>
      <c r="AK1050" s="40"/>
      <c r="AL1050" s="40"/>
      <c r="AM1050" s="40"/>
      <c r="AN1050" s="40"/>
      <c r="AO1050" s="40"/>
      <c r="AP1050" s="40"/>
      <c r="AQ1050" s="40"/>
      <c r="AR1050" s="40"/>
      <c r="AS1050" s="40"/>
      <c r="AT1050" s="40"/>
      <c r="AU1050" s="40"/>
      <c r="AV1050" s="317">
        <f t="shared" si="267"/>
        <v>0.12946006124999998</v>
      </c>
      <c r="AW1050" s="317"/>
      <c r="AX1050" s="317"/>
      <c r="AY1050" s="317">
        <f t="shared" si="268"/>
        <v>2.5168610249999999</v>
      </c>
      <c r="AZ1050" s="40"/>
      <c r="BA1050" s="40"/>
      <c r="BB1050" s="40"/>
      <c r="BC1050" s="317">
        <f t="shared" si="269"/>
        <v>4.0160954250000004E-4</v>
      </c>
      <c r="BD1050" s="317">
        <f t="shared" si="269"/>
        <v>1.4580010575E-5</v>
      </c>
      <c r="BE1050" s="317">
        <f t="shared" si="269"/>
        <v>0.30434816249999996</v>
      </c>
      <c r="BF1050" s="40"/>
      <c r="BG1050" s="40"/>
      <c r="BH1050" s="40"/>
      <c r="BI1050" s="40"/>
      <c r="BJ1050" s="40"/>
      <c r="BK1050" s="40"/>
      <c r="BL1050" s="62">
        <v>0.15</v>
      </c>
      <c r="BM1050" s="275">
        <v>3</v>
      </c>
      <c r="BN1050" s="62">
        <v>0.03</v>
      </c>
      <c r="BO1050" s="33" t="s">
        <v>600</v>
      </c>
      <c r="BP1050" s="33" t="s">
        <v>612</v>
      </c>
    </row>
    <row r="1051" spans="1:68">
      <c r="A1051" s="33" t="str">
        <f>Database_Productkaarten[[#This Row],[Product]]&amp;", "&amp;Database_Productkaarten[[#This Row],[Levensfase]]</f>
        <v>Opsluitband 300x150, CEM IIIB, C4</v>
      </c>
      <c r="B1051" s="33" t="s">
        <v>611</v>
      </c>
      <c r="C1051" t="s">
        <v>55</v>
      </c>
      <c r="D1051" s="33" t="s">
        <v>599</v>
      </c>
      <c r="E1051" s="33" t="s">
        <v>389</v>
      </c>
      <c r="F1051" s="33" t="s">
        <v>86</v>
      </c>
      <c r="G1051" s="33">
        <v>1</v>
      </c>
      <c r="H1051" s="33">
        <v>0.3</v>
      </c>
      <c r="I1051" s="33">
        <v>0.15</v>
      </c>
      <c r="L1051" s="33">
        <v>2.23</v>
      </c>
      <c r="M1051" s="271">
        <v>0.112</v>
      </c>
      <c r="N1051" s="41">
        <v>8.3000000000000001E-4</v>
      </c>
      <c r="O1051" s="33">
        <v>25</v>
      </c>
      <c r="P1051" s="40">
        <f t="shared" ref="P1051:Z1051" si="279">P931*3*0.75</f>
        <v>6.1597588499999995E-9</v>
      </c>
      <c r="Q1051" s="40">
        <f t="shared" si="279"/>
        <v>7.3445651999999996E-5</v>
      </c>
      <c r="R1051" s="40">
        <f t="shared" si="279"/>
        <v>5.3968958999999995E-3</v>
      </c>
      <c r="S1051" s="40">
        <f t="shared" si="279"/>
        <v>1.7862875774999998E-9</v>
      </c>
      <c r="T1051" s="40">
        <f t="shared" si="279"/>
        <v>5.7192268500000009E-6</v>
      </c>
      <c r="U1051" s="40">
        <f t="shared" si="279"/>
        <v>3.9879792000000009E-5</v>
      </c>
      <c r="V1051" s="40">
        <f t="shared" si="279"/>
        <v>7.5054651749999991E-6</v>
      </c>
      <c r="W1051" s="40">
        <f t="shared" si="279"/>
        <v>2.2002975000000001E-3</v>
      </c>
      <c r="X1051" s="40">
        <f t="shared" si="279"/>
        <v>5.4712865249999999E-5</v>
      </c>
      <c r="Y1051" s="40">
        <f t="shared" si="279"/>
        <v>0.18817860375000001</v>
      </c>
      <c r="Z1051" s="40">
        <f t="shared" si="279"/>
        <v>6.5163165749999994E-6</v>
      </c>
      <c r="AA1051" s="40"/>
      <c r="AB1051" s="40"/>
      <c r="AC1051" s="40"/>
      <c r="AD1051" s="40"/>
      <c r="AE1051" s="40"/>
      <c r="AF1051" s="40"/>
      <c r="AG1051" s="40"/>
      <c r="AH1051" s="40"/>
      <c r="AI1051" s="40"/>
      <c r="AJ1051" s="40"/>
      <c r="AK1051" s="40"/>
      <c r="AL1051" s="40"/>
      <c r="AM1051" s="40"/>
      <c r="AN1051" s="40"/>
      <c r="AO1051" s="40"/>
      <c r="AP1051" s="40"/>
      <c r="AQ1051" s="40"/>
      <c r="AR1051" s="40"/>
      <c r="AS1051" s="40"/>
      <c r="AT1051" s="40"/>
      <c r="AU1051" s="40"/>
      <c r="AV1051" s="317">
        <f t="shared" si="267"/>
        <v>3.9340665000000006E-3</v>
      </c>
      <c r="AW1051" s="317"/>
      <c r="AX1051" s="317"/>
      <c r="AY1051" s="317">
        <f t="shared" si="268"/>
        <v>0.16406435024999999</v>
      </c>
      <c r="AZ1051" s="40"/>
      <c r="BA1051" s="40"/>
      <c r="BB1051" s="40"/>
      <c r="BC1051" s="317">
        <f t="shared" si="269"/>
        <v>1.6535591775000002E-4</v>
      </c>
      <c r="BD1051" s="317">
        <f t="shared" si="269"/>
        <v>1.1144769975000001E-6</v>
      </c>
      <c r="BE1051" s="317">
        <f t="shared" si="269"/>
        <v>1.0099236375</v>
      </c>
      <c r="BF1051" s="40"/>
      <c r="BG1051" s="40"/>
      <c r="BH1051" s="40"/>
      <c r="BI1051" s="40"/>
      <c r="BJ1051" s="40"/>
      <c r="BK1051" s="40"/>
      <c r="BL1051" s="62">
        <v>0.15</v>
      </c>
      <c r="BM1051" s="275">
        <v>3</v>
      </c>
      <c r="BN1051" s="62">
        <v>0.03</v>
      </c>
      <c r="BO1051" s="33" t="s">
        <v>600</v>
      </c>
      <c r="BP1051" s="33" t="s">
        <v>612</v>
      </c>
    </row>
    <row r="1052" spans="1:68">
      <c r="A1052" s="33" t="str">
        <f>Database_Productkaarten[[#This Row],[Product]]&amp;", "&amp;Database_Productkaarten[[#This Row],[Levensfase]]</f>
        <v>Opsluitband 300x150, CEM IIIB, D</v>
      </c>
      <c r="B1052" s="33" t="s">
        <v>611</v>
      </c>
      <c r="C1052" t="s">
        <v>55</v>
      </c>
      <c r="D1052" s="33" t="s">
        <v>599</v>
      </c>
      <c r="E1052" s="33" t="s">
        <v>389</v>
      </c>
      <c r="F1052" s="33" t="s">
        <v>89</v>
      </c>
      <c r="G1052" s="33">
        <v>1</v>
      </c>
      <c r="H1052" s="33">
        <v>0.3</v>
      </c>
      <c r="I1052" s="33">
        <v>0.15</v>
      </c>
      <c r="L1052" s="33">
        <v>2.23</v>
      </c>
      <c r="M1052" s="271">
        <v>0.112</v>
      </c>
      <c r="N1052" s="41">
        <v>-0.37504999999999999</v>
      </c>
      <c r="O1052" s="33">
        <v>25</v>
      </c>
      <c r="P1052" s="40">
        <f t="shared" ref="P1052:Z1052" si="280">P932*3*0.75</f>
        <v>-2.104411905E-6</v>
      </c>
      <c r="Q1052" s="40">
        <f t="shared" si="280"/>
        <v>-2.6571498750000001E-3</v>
      </c>
      <c r="R1052" s="40">
        <f t="shared" si="280"/>
        <v>-0.40096480499999998</v>
      </c>
      <c r="S1052" s="40">
        <f t="shared" si="280"/>
        <v>-3.40821495E-8</v>
      </c>
      <c r="T1052" s="40">
        <f t="shared" si="280"/>
        <v>-2.799286875E-4</v>
      </c>
      <c r="U1052" s="40">
        <f t="shared" si="280"/>
        <v>-2.2773546000000003E-3</v>
      </c>
      <c r="V1052" s="40">
        <f t="shared" si="280"/>
        <v>-3.7208672999999994E-4</v>
      </c>
      <c r="W1052" s="40">
        <f t="shared" si="280"/>
        <v>-0.15539953274999999</v>
      </c>
      <c r="X1052" s="40">
        <f t="shared" si="280"/>
        <v>-2.2632952499999997E-3</v>
      </c>
      <c r="Y1052" s="40">
        <f t="shared" si="280"/>
        <v>-10.797629624999999</v>
      </c>
      <c r="Z1052" s="40">
        <f t="shared" si="280"/>
        <v>-8.7956732250000006E-4</v>
      </c>
      <c r="AA1052" s="40"/>
      <c r="AB1052" s="40"/>
      <c r="AC1052" s="40"/>
      <c r="AD1052" s="40"/>
      <c r="AE1052" s="40"/>
      <c r="AF1052" s="40"/>
      <c r="AG1052" s="40"/>
      <c r="AH1052" s="40"/>
      <c r="AI1052" s="40"/>
      <c r="AJ1052" s="40"/>
      <c r="AK1052" s="40"/>
      <c r="AL1052" s="40"/>
      <c r="AM1052" s="40"/>
      <c r="AN1052" s="40"/>
      <c r="AO1052" s="40"/>
      <c r="AP1052" s="40"/>
      <c r="AQ1052" s="40"/>
      <c r="AR1052" s="40"/>
      <c r="AS1052" s="40"/>
      <c r="AT1052" s="40"/>
      <c r="AU1052" s="40"/>
      <c r="AV1052" s="317">
        <f t="shared" si="267"/>
        <v>-0.32626840499999998</v>
      </c>
      <c r="AW1052" s="317"/>
      <c r="AX1052" s="317"/>
      <c r="AY1052" s="317">
        <f t="shared" si="268"/>
        <v>-5.3388666000000002</v>
      </c>
      <c r="AZ1052" s="40"/>
      <c r="BA1052" s="40"/>
      <c r="BB1052" s="40"/>
      <c r="BC1052" s="317">
        <f t="shared" si="269"/>
        <v>-0.12796250175000001</v>
      </c>
      <c r="BD1052" s="317">
        <f t="shared" si="269"/>
        <v>-2.856293325E-5</v>
      </c>
      <c r="BE1052" s="317">
        <f t="shared" si="269"/>
        <v>-5.1216412500000003E-2</v>
      </c>
      <c r="BF1052" s="40"/>
      <c r="BG1052" s="40"/>
      <c r="BH1052" s="40"/>
      <c r="BI1052" s="40"/>
      <c r="BJ1052" s="40"/>
      <c r="BK1052" s="40"/>
      <c r="BL1052" s="62">
        <v>0.15</v>
      </c>
      <c r="BM1052" s="275">
        <v>3</v>
      </c>
      <c r="BN1052" s="62">
        <v>0.03</v>
      </c>
      <c r="BO1052" s="33" t="s">
        <v>600</v>
      </c>
      <c r="BP1052" s="33" t="s">
        <v>612</v>
      </c>
    </row>
    <row r="1053" spans="1:68">
      <c r="A1053" s="33" t="str">
        <f>Database_Productkaarten[[#This Row],[Product]]&amp;", "&amp;Database_Productkaarten[[#This Row],[Levensfase]]</f>
        <v>Opsluitband 300x150, CEM IIIB, D1</v>
      </c>
      <c r="B1053" s="33" t="s">
        <v>611</v>
      </c>
      <c r="C1053" t="s">
        <v>55</v>
      </c>
      <c r="D1053" s="33" t="s">
        <v>599</v>
      </c>
      <c r="E1053" s="33" t="s">
        <v>389</v>
      </c>
      <c r="F1053" s="33" t="s">
        <v>87</v>
      </c>
      <c r="G1053" s="33">
        <v>1</v>
      </c>
      <c r="H1053" s="33">
        <v>0.3</v>
      </c>
      <c r="I1053" s="33">
        <v>0.15</v>
      </c>
      <c r="L1053" s="33">
        <v>2.23</v>
      </c>
      <c r="M1053" s="271">
        <v>0.112</v>
      </c>
      <c r="N1053" s="41"/>
      <c r="O1053" s="33">
        <v>25</v>
      </c>
      <c r="P1053" s="40"/>
      <c r="Q1053" s="40"/>
      <c r="R1053" s="40"/>
      <c r="S1053" s="40"/>
      <c r="T1053" s="40"/>
      <c r="U1053" s="40"/>
      <c r="V1053" s="40"/>
      <c r="W1053" s="40"/>
      <c r="X1053" s="40"/>
      <c r="Y1053" s="40"/>
      <c r="Z1053" s="40"/>
      <c r="AA1053" s="40"/>
      <c r="AB1053" s="40"/>
      <c r="AC1053" s="40"/>
      <c r="AD1053" s="40"/>
      <c r="AE1053" s="40"/>
      <c r="AF1053" s="40"/>
      <c r="AG1053" s="40"/>
      <c r="AH1053" s="40"/>
      <c r="AI1053" s="40"/>
      <c r="AJ1053" s="40"/>
      <c r="AK1053" s="40"/>
      <c r="AL1053" s="40"/>
      <c r="AM1053" s="40"/>
      <c r="AN1053" s="40"/>
      <c r="AO1053" s="40"/>
      <c r="AP1053" s="40"/>
      <c r="AQ1053" s="40"/>
      <c r="AR1053" s="40"/>
      <c r="AS1053" s="40"/>
      <c r="AT1053" s="40"/>
      <c r="AU1053" s="40"/>
      <c r="AV1053" s="313"/>
      <c r="AW1053" s="317"/>
      <c r="AX1053" s="317"/>
      <c r="AY1053" s="313"/>
      <c r="AZ1053" s="40"/>
      <c r="BA1053" s="40"/>
      <c r="BB1053" s="40"/>
      <c r="BC1053" s="40"/>
      <c r="BD1053" s="40"/>
      <c r="BE1053" s="40"/>
      <c r="BF1053" s="40"/>
      <c r="BG1053" s="40"/>
      <c r="BH1053" s="40"/>
      <c r="BI1053" s="40"/>
      <c r="BJ1053" s="40"/>
      <c r="BK1053" s="40"/>
      <c r="BL1053" s="62">
        <v>0.15</v>
      </c>
      <c r="BM1053" s="275">
        <v>3</v>
      </c>
      <c r="BN1053" s="62">
        <v>0.03</v>
      </c>
      <c r="BO1053" s="33" t="s">
        <v>600</v>
      </c>
      <c r="BP1053" s="33" t="s">
        <v>612</v>
      </c>
    </row>
    <row r="1054" spans="1:68">
      <c r="A1054" s="33" t="str">
        <f>Database_Productkaarten[[#This Row],[Product]]&amp;", "&amp;Database_Productkaarten[[#This Row],[Levensfase]]</f>
        <v>Opsluitband 300x150, CEM IIIB, D2</v>
      </c>
      <c r="B1054" s="33" t="s">
        <v>611</v>
      </c>
      <c r="C1054" t="s">
        <v>55</v>
      </c>
      <c r="D1054" s="33" t="s">
        <v>599</v>
      </c>
      <c r="E1054" s="33" t="s">
        <v>389</v>
      </c>
      <c r="F1054" s="33" t="s">
        <v>88</v>
      </c>
      <c r="G1054" s="33">
        <v>1</v>
      </c>
      <c r="H1054" s="33">
        <v>0.3</v>
      </c>
      <c r="I1054" s="33">
        <v>0.15</v>
      </c>
      <c r="L1054" s="33">
        <v>2.23</v>
      </c>
      <c r="M1054" s="271">
        <v>0.112</v>
      </c>
      <c r="N1054" s="41"/>
      <c r="O1054" s="33">
        <v>25</v>
      </c>
      <c r="P1054" s="40"/>
      <c r="Q1054" s="40"/>
      <c r="R1054" s="40"/>
      <c r="S1054" s="40"/>
      <c r="T1054" s="40"/>
      <c r="U1054" s="40"/>
      <c r="V1054" s="40"/>
      <c r="W1054" s="40"/>
      <c r="X1054" s="40"/>
      <c r="Y1054" s="40"/>
      <c r="Z1054" s="40"/>
      <c r="AA1054" s="40"/>
      <c r="AB1054" s="40"/>
      <c r="AC1054" s="40"/>
      <c r="AD1054" s="40"/>
      <c r="AE1054" s="40"/>
      <c r="AF1054" s="40"/>
      <c r="AG1054" s="40"/>
      <c r="AH1054" s="40"/>
      <c r="AI1054" s="40"/>
      <c r="AJ1054" s="40"/>
      <c r="AK1054" s="40"/>
      <c r="AL1054" s="40"/>
      <c r="AM1054" s="40"/>
      <c r="AN1054" s="40"/>
      <c r="AO1054" s="40"/>
      <c r="AP1054" s="40"/>
      <c r="AQ1054" s="40"/>
      <c r="AR1054" s="40"/>
      <c r="AS1054" s="40"/>
      <c r="AT1054" s="40"/>
      <c r="AU1054" s="40"/>
      <c r="AV1054" s="313"/>
      <c r="AW1054" s="317"/>
      <c r="AX1054" s="317"/>
      <c r="AY1054" s="313"/>
      <c r="AZ1054" s="40"/>
      <c r="BA1054" s="40"/>
      <c r="BB1054" s="40"/>
      <c r="BC1054" s="40"/>
      <c r="BD1054" s="40"/>
      <c r="BE1054" s="40"/>
      <c r="BF1054" s="40"/>
      <c r="BG1054" s="40"/>
      <c r="BH1054" s="40"/>
      <c r="BI1054" s="40"/>
      <c r="BJ1054" s="40"/>
      <c r="BK1054" s="40"/>
      <c r="BL1054" s="62">
        <v>0.15</v>
      </c>
      <c r="BM1054" s="275">
        <v>3</v>
      </c>
      <c r="BN1054" s="62">
        <v>0.03</v>
      </c>
      <c r="BO1054" s="33" t="s">
        <v>600</v>
      </c>
      <c r="BP1054" s="33" t="s">
        <v>612</v>
      </c>
    </row>
    <row r="1055" spans="1:68">
      <c r="A1055" s="33" t="str">
        <f>Database_Productkaarten[[#This Row],[Product]]&amp;", "&amp;Database_Productkaarten[[#This Row],[Levensfase]]</f>
        <v>Opsluitband 300x150, CEM IIIB (hergebruik), Totaal</v>
      </c>
      <c r="B1055" s="33" t="s">
        <v>613</v>
      </c>
      <c r="C1055" t="s">
        <v>55</v>
      </c>
      <c r="D1055" s="33" t="s">
        <v>599</v>
      </c>
      <c r="E1055" s="33" t="s">
        <v>389</v>
      </c>
      <c r="F1055" s="33" t="s">
        <v>90</v>
      </c>
      <c r="G1055" s="33">
        <v>1</v>
      </c>
      <c r="H1055" s="33">
        <v>0.3</v>
      </c>
      <c r="I1055" s="33">
        <v>0.15</v>
      </c>
      <c r="L1055" s="33">
        <v>2.23</v>
      </c>
      <c r="M1055" s="271">
        <v>0.112</v>
      </c>
      <c r="N1055" s="41">
        <f>SUM(N1059:N1067)</f>
        <v>0.99097099999999994</v>
      </c>
      <c r="O1055" s="33">
        <v>25</v>
      </c>
      <c r="P1055" s="163">
        <f t="shared" ref="P1055:Z1055" si="281">SUM(P1059:P1067)</f>
        <v>1.0673294746050003E-5</v>
      </c>
      <c r="Q1055" s="163">
        <f t="shared" si="281"/>
        <v>4.5293707736999991E-2</v>
      </c>
      <c r="R1055" s="163">
        <f t="shared" si="281"/>
        <v>7.3561090936499998</v>
      </c>
      <c r="S1055" s="163">
        <f t="shared" si="281"/>
        <v>1.0644100148025E-6</v>
      </c>
      <c r="T1055" s="163">
        <f t="shared" si="281"/>
        <v>4.7777452319249999E-3</v>
      </c>
      <c r="U1055" s="163">
        <f t="shared" si="281"/>
        <v>3.6828416652749996E-2</v>
      </c>
      <c r="V1055" s="163">
        <f t="shared" si="281"/>
        <v>7.8539448021749999E-3</v>
      </c>
      <c r="W1055" s="163">
        <f t="shared" si="281"/>
        <v>2.2573486433249994</v>
      </c>
      <c r="X1055" s="163">
        <f t="shared" si="281"/>
        <v>5.0633430824249995E-2</v>
      </c>
      <c r="Y1055" s="163">
        <f t="shared" si="281"/>
        <v>185.08794634124999</v>
      </c>
      <c r="Z1055" s="163">
        <f t="shared" si="281"/>
        <v>9.2119502715749986E-3</v>
      </c>
      <c r="AA1055" s="40"/>
      <c r="AB1055" s="40"/>
      <c r="AC1055" s="40"/>
      <c r="AD1055" s="40"/>
      <c r="AE1055" s="40"/>
      <c r="AF1055" s="40"/>
      <c r="AG1055" s="40"/>
      <c r="AH1055" s="40"/>
      <c r="AI1055" s="40"/>
      <c r="AJ1055" s="40"/>
      <c r="AK1055" s="40"/>
      <c r="AL1055" s="40"/>
      <c r="AM1055" s="40"/>
      <c r="AN1055" s="40"/>
      <c r="AO1055" s="40"/>
      <c r="AP1055" s="40"/>
      <c r="AQ1055" s="40"/>
      <c r="AR1055" s="40"/>
      <c r="AS1055" s="40"/>
      <c r="AT1055" s="40"/>
      <c r="AU1055" s="40"/>
      <c r="AV1055" s="163">
        <f>SUM(AV1059:AV1067)</f>
        <v>2.4547607109000005</v>
      </c>
      <c r="AW1055" s="40"/>
      <c r="AX1055" s="40"/>
      <c r="AY1055" s="163">
        <f>SUM(AY1059:AY1067)</f>
        <v>101.03424369525</v>
      </c>
      <c r="AZ1055" s="40"/>
      <c r="BA1055" s="40"/>
      <c r="BB1055" s="40"/>
      <c r="BC1055" s="163">
        <f t="shared" ref="BC1055:BE1055" si="282">SUM(BC1059:BC1067)</f>
        <v>0.13986730608300002</v>
      </c>
      <c r="BD1055" s="163">
        <f t="shared" si="282"/>
        <v>0.87697443104979744</v>
      </c>
      <c r="BE1055" s="163">
        <f t="shared" si="282"/>
        <v>4.1615409047399998</v>
      </c>
      <c r="BF1055" s="40"/>
      <c r="BG1055" s="40"/>
      <c r="BH1055" s="40"/>
      <c r="BI1055" s="40"/>
      <c r="BJ1055" s="40"/>
      <c r="BK1055" s="40"/>
      <c r="BL1055" s="62">
        <v>1</v>
      </c>
      <c r="BM1055" s="275">
        <v>3</v>
      </c>
      <c r="BN1055" s="62">
        <v>0.03</v>
      </c>
      <c r="BO1055" s="33" t="s">
        <v>600</v>
      </c>
      <c r="BP1055" s="33" t="s">
        <v>602</v>
      </c>
    </row>
    <row r="1056" spans="1:68">
      <c r="A1056" s="33" t="str">
        <f>Database_Productkaarten[[#This Row],[Product]]&amp;", "&amp;Database_Productkaarten[[#This Row],[Levensfase]]</f>
        <v>Opsluitband 300x150, CEM IIIB (hergebruik), A1</v>
      </c>
      <c r="B1056" s="33" t="s">
        <v>613</v>
      </c>
      <c r="C1056" t="s">
        <v>55</v>
      </c>
      <c r="D1056" s="33" t="s">
        <v>599</v>
      </c>
      <c r="E1056" s="33" t="s">
        <v>389</v>
      </c>
      <c r="F1056" s="33" t="s">
        <v>74</v>
      </c>
      <c r="G1056" s="33">
        <v>1</v>
      </c>
      <c r="H1056" s="33">
        <v>0.3</v>
      </c>
      <c r="I1056" s="33">
        <v>0.15</v>
      </c>
      <c r="L1056" s="33">
        <v>2.23</v>
      </c>
      <c r="M1056" s="271">
        <v>0.112</v>
      </c>
      <c r="N1056" s="41">
        <v>0</v>
      </c>
      <c r="O1056" s="33">
        <v>25</v>
      </c>
      <c r="P1056" s="163">
        <v>0</v>
      </c>
      <c r="Q1056" s="163">
        <v>0</v>
      </c>
      <c r="R1056" s="163">
        <v>0</v>
      </c>
      <c r="S1056" s="163">
        <v>0</v>
      </c>
      <c r="T1056" s="163">
        <v>0</v>
      </c>
      <c r="U1056" s="163">
        <v>0</v>
      </c>
      <c r="V1056" s="163">
        <v>0</v>
      </c>
      <c r="W1056" s="163">
        <v>0</v>
      </c>
      <c r="X1056" s="163">
        <v>0</v>
      </c>
      <c r="Y1056" s="163">
        <v>0</v>
      </c>
      <c r="Z1056" s="163">
        <v>0</v>
      </c>
      <c r="AA1056" s="40"/>
      <c r="AB1056" s="40"/>
      <c r="AC1056" s="40"/>
      <c r="AD1056" s="40"/>
      <c r="AE1056" s="40"/>
      <c r="AF1056" s="40"/>
      <c r="AG1056" s="40"/>
      <c r="AH1056" s="40"/>
      <c r="AI1056" s="40"/>
      <c r="AJ1056" s="40"/>
      <c r="AK1056" s="40"/>
      <c r="AL1056" s="40"/>
      <c r="AM1056" s="40"/>
      <c r="AN1056" s="40"/>
      <c r="AO1056" s="40"/>
      <c r="AP1056" s="40"/>
      <c r="AQ1056" s="40"/>
      <c r="AR1056" s="40"/>
      <c r="AS1056" s="40"/>
      <c r="AT1056" s="40"/>
      <c r="AU1056" s="40"/>
      <c r="AV1056" s="163">
        <v>0</v>
      </c>
      <c r="AW1056" s="40"/>
      <c r="AX1056" s="40"/>
      <c r="AY1056" s="163">
        <v>0</v>
      </c>
      <c r="AZ1056" s="40"/>
      <c r="BA1056" s="40"/>
      <c r="BB1056" s="40"/>
      <c r="BC1056" s="163">
        <v>0</v>
      </c>
      <c r="BD1056" s="163">
        <v>0</v>
      </c>
      <c r="BE1056" s="163">
        <v>0</v>
      </c>
      <c r="BF1056" s="40"/>
      <c r="BG1056" s="40"/>
      <c r="BH1056" s="40"/>
      <c r="BI1056" s="40"/>
      <c r="BJ1056" s="40"/>
      <c r="BK1056" s="40"/>
      <c r="BL1056" s="62">
        <v>1</v>
      </c>
      <c r="BM1056" s="275">
        <v>3</v>
      </c>
      <c r="BN1056" s="62">
        <v>0.03</v>
      </c>
      <c r="BO1056" s="33" t="s">
        <v>600</v>
      </c>
      <c r="BP1056" s="33" t="s">
        <v>602</v>
      </c>
    </row>
    <row r="1057" spans="1:68">
      <c r="A1057" s="33" t="str">
        <f>Database_Productkaarten[[#This Row],[Product]]&amp;", "&amp;Database_Productkaarten[[#This Row],[Levensfase]]</f>
        <v>Opsluitband 300x150, CEM IIIB (hergebruik), A2</v>
      </c>
      <c r="B1057" s="33" t="s">
        <v>613</v>
      </c>
      <c r="C1057" t="s">
        <v>55</v>
      </c>
      <c r="D1057" s="33" t="s">
        <v>599</v>
      </c>
      <c r="E1057" s="33" t="s">
        <v>389</v>
      </c>
      <c r="F1057" s="33" t="s">
        <v>75</v>
      </c>
      <c r="G1057" s="33">
        <v>1</v>
      </c>
      <c r="H1057" s="33">
        <v>0.3</v>
      </c>
      <c r="I1057" s="33">
        <v>0.15</v>
      </c>
      <c r="L1057" s="33">
        <v>2.23</v>
      </c>
      <c r="M1057" s="271">
        <v>0.112</v>
      </c>
      <c r="N1057" s="41">
        <v>0</v>
      </c>
      <c r="O1057" s="33">
        <v>25</v>
      </c>
      <c r="P1057" s="163">
        <v>0</v>
      </c>
      <c r="Q1057" s="163">
        <v>0</v>
      </c>
      <c r="R1057" s="163">
        <v>0</v>
      </c>
      <c r="S1057" s="163">
        <v>0</v>
      </c>
      <c r="T1057" s="163">
        <v>0</v>
      </c>
      <c r="U1057" s="163">
        <v>0</v>
      </c>
      <c r="V1057" s="163">
        <v>0</v>
      </c>
      <c r="W1057" s="163">
        <v>0</v>
      </c>
      <c r="X1057" s="163">
        <v>0</v>
      </c>
      <c r="Y1057" s="163">
        <v>0</v>
      </c>
      <c r="Z1057" s="163">
        <v>0</v>
      </c>
      <c r="AA1057" s="40"/>
      <c r="AB1057" s="40"/>
      <c r="AC1057" s="40"/>
      <c r="AD1057" s="40"/>
      <c r="AE1057" s="40"/>
      <c r="AF1057" s="40"/>
      <c r="AG1057" s="40"/>
      <c r="AH1057" s="40"/>
      <c r="AI1057" s="40"/>
      <c r="AJ1057" s="40"/>
      <c r="AK1057" s="40"/>
      <c r="AL1057" s="40"/>
      <c r="AM1057" s="40"/>
      <c r="AN1057" s="40"/>
      <c r="AO1057" s="40"/>
      <c r="AP1057" s="40"/>
      <c r="AQ1057" s="40"/>
      <c r="AR1057" s="40"/>
      <c r="AS1057" s="40"/>
      <c r="AT1057" s="40"/>
      <c r="AU1057" s="40"/>
      <c r="AV1057" s="163">
        <v>0</v>
      </c>
      <c r="AW1057" s="40"/>
      <c r="AX1057" s="40"/>
      <c r="AY1057" s="163">
        <v>0</v>
      </c>
      <c r="AZ1057" s="40"/>
      <c r="BA1057" s="40"/>
      <c r="BB1057" s="40"/>
      <c r="BC1057" s="163">
        <v>0</v>
      </c>
      <c r="BD1057" s="163">
        <v>0</v>
      </c>
      <c r="BE1057" s="163">
        <v>0</v>
      </c>
      <c r="BF1057" s="40"/>
      <c r="BG1057" s="40"/>
      <c r="BH1057" s="40"/>
      <c r="BI1057" s="40"/>
      <c r="BJ1057" s="40"/>
      <c r="BK1057" s="40"/>
      <c r="BL1057" s="62">
        <v>1</v>
      </c>
      <c r="BM1057" s="275">
        <v>3</v>
      </c>
      <c r="BN1057" s="62">
        <v>0.03</v>
      </c>
      <c r="BO1057" s="33" t="s">
        <v>600</v>
      </c>
      <c r="BP1057" s="33" t="s">
        <v>602</v>
      </c>
    </row>
    <row r="1058" spans="1:68">
      <c r="A1058" s="33" t="str">
        <f>Database_Productkaarten[[#This Row],[Product]]&amp;", "&amp;Database_Productkaarten[[#This Row],[Levensfase]]</f>
        <v>Opsluitband 300x150, CEM IIIB (hergebruik), A3</v>
      </c>
      <c r="B1058" s="33" t="s">
        <v>613</v>
      </c>
      <c r="C1058" t="s">
        <v>55</v>
      </c>
      <c r="D1058" s="33" t="s">
        <v>599</v>
      </c>
      <c r="E1058" s="33" t="s">
        <v>389</v>
      </c>
      <c r="F1058" s="33" t="s">
        <v>76</v>
      </c>
      <c r="G1058" s="33">
        <v>1</v>
      </c>
      <c r="H1058" s="33">
        <v>0.3</v>
      </c>
      <c r="I1058" s="33">
        <v>0.15</v>
      </c>
      <c r="L1058" s="33">
        <v>2.23</v>
      </c>
      <c r="M1058" s="271">
        <v>0.112</v>
      </c>
      <c r="N1058" s="41">
        <v>0</v>
      </c>
      <c r="O1058" s="33">
        <v>25</v>
      </c>
      <c r="P1058" s="163">
        <v>0</v>
      </c>
      <c r="Q1058" s="163">
        <v>0</v>
      </c>
      <c r="R1058" s="163">
        <v>0</v>
      </c>
      <c r="S1058" s="163">
        <v>0</v>
      </c>
      <c r="T1058" s="163">
        <v>0</v>
      </c>
      <c r="U1058" s="163">
        <v>0</v>
      </c>
      <c r="V1058" s="163">
        <v>0</v>
      </c>
      <c r="W1058" s="163">
        <v>0</v>
      </c>
      <c r="X1058" s="163">
        <v>0</v>
      </c>
      <c r="Y1058" s="163">
        <v>0</v>
      </c>
      <c r="Z1058" s="163">
        <v>0</v>
      </c>
      <c r="AA1058" s="40"/>
      <c r="AB1058" s="40"/>
      <c r="AC1058" s="40"/>
      <c r="AD1058" s="40"/>
      <c r="AE1058" s="40"/>
      <c r="AF1058" s="40"/>
      <c r="AG1058" s="40"/>
      <c r="AH1058" s="40"/>
      <c r="AI1058" s="40"/>
      <c r="AJ1058" s="40"/>
      <c r="AK1058" s="40"/>
      <c r="AL1058" s="40"/>
      <c r="AM1058" s="40"/>
      <c r="AN1058" s="40"/>
      <c r="AO1058" s="40"/>
      <c r="AP1058" s="40"/>
      <c r="AQ1058" s="40"/>
      <c r="AR1058" s="40"/>
      <c r="AS1058" s="40"/>
      <c r="AT1058" s="40"/>
      <c r="AU1058" s="40"/>
      <c r="AV1058" s="163">
        <v>0</v>
      </c>
      <c r="AW1058" s="40"/>
      <c r="AX1058" s="40"/>
      <c r="AY1058" s="163">
        <v>0</v>
      </c>
      <c r="AZ1058" s="40"/>
      <c r="BA1058" s="40"/>
      <c r="BB1058" s="40"/>
      <c r="BC1058" s="163">
        <v>0</v>
      </c>
      <c r="BD1058" s="163">
        <v>0</v>
      </c>
      <c r="BE1058" s="163">
        <v>0</v>
      </c>
      <c r="BF1058" s="40"/>
      <c r="BG1058" s="40"/>
      <c r="BH1058" s="40"/>
      <c r="BI1058" s="40"/>
      <c r="BJ1058" s="40"/>
      <c r="BK1058" s="40"/>
      <c r="BL1058" s="62">
        <v>1</v>
      </c>
      <c r="BM1058" s="275">
        <v>3</v>
      </c>
      <c r="BN1058" s="62">
        <v>0.03</v>
      </c>
      <c r="BO1058" s="33" t="s">
        <v>600</v>
      </c>
      <c r="BP1058" s="33" t="s">
        <v>602</v>
      </c>
    </row>
    <row r="1059" spans="1:68">
      <c r="A1059" s="33" t="str">
        <f>Database_Productkaarten[[#This Row],[Product]]&amp;", "&amp;Database_Productkaarten[[#This Row],[Levensfase]]</f>
        <v>Opsluitband 300x150, CEM IIIB (hergebruik), A1-A3</v>
      </c>
      <c r="B1059" s="33" t="s">
        <v>613</v>
      </c>
      <c r="C1059" t="s">
        <v>55</v>
      </c>
      <c r="D1059" s="33" t="s">
        <v>599</v>
      </c>
      <c r="E1059" s="33" t="s">
        <v>389</v>
      </c>
      <c r="F1059" s="33" t="s">
        <v>77</v>
      </c>
      <c r="G1059" s="33">
        <v>1</v>
      </c>
      <c r="H1059" s="33">
        <v>0.3</v>
      </c>
      <c r="I1059" s="33">
        <v>0.15</v>
      </c>
      <c r="L1059" s="33">
        <v>2.23</v>
      </c>
      <c r="M1059" s="271">
        <v>0.112</v>
      </c>
      <c r="N1059" s="41">
        <v>0</v>
      </c>
      <c r="O1059" s="33">
        <v>25</v>
      </c>
      <c r="P1059" s="163">
        <v>0</v>
      </c>
      <c r="Q1059" s="163">
        <v>0</v>
      </c>
      <c r="R1059" s="163">
        <v>0</v>
      </c>
      <c r="S1059" s="163">
        <v>0</v>
      </c>
      <c r="T1059" s="163">
        <v>0</v>
      </c>
      <c r="U1059" s="163">
        <v>0</v>
      </c>
      <c r="V1059" s="163">
        <v>0</v>
      </c>
      <c r="W1059" s="163">
        <v>0</v>
      </c>
      <c r="X1059" s="163">
        <v>0</v>
      </c>
      <c r="Y1059" s="163">
        <v>0</v>
      </c>
      <c r="Z1059" s="163">
        <v>0</v>
      </c>
      <c r="AA1059" s="40"/>
      <c r="AB1059" s="40"/>
      <c r="AC1059" s="40"/>
      <c r="AD1059" s="40"/>
      <c r="AE1059" s="40"/>
      <c r="AF1059" s="40"/>
      <c r="AG1059" s="40"/>
      <c r="AH1059" s="40"/>
      <c r="AI1059" s="40"/>
      <c r="AJ1059" s="40"/>
      <c r="AK1059" s="40"/>
      <c r="AL1059" s="40"/>
      <c r="AM1059" s="40"/>
      <c r="AN1059" s="40"/>
      <c r="AO1059" s="40"/>
      <c r="AP1059" s="40"/>
      <c r="AQ1059" s="40"/>
      <c r="AR1059" s="40"/>
      <c r="AS1059" s="40"/>
      <c r="AT1059" s="40"/>
      <c r="AU1059" s="40"/>
      <c r="AV1059" s="163">
        <v>0</v>
      </c>
      <c r="AW1059" s="40"/>
      <c r="AX1059" s="40"/>
      <c r="AY1059" s="163">
        <v>0</v>
      </c>
      <c r="AZ1059" s="40"/>
      <c r="BA1059" s="40"/>
      <c r="BB1059" s="40"/>
      <c r="BC1059" s="163">
        <v>0</v>
      </c>
      <c r="BD1059" s="163">
        <v>0</v>
      </c>
      <c r="BE1059" s="163">
        <v>0</v>
      </c>
      <c r="BF1059" s="40"/>
      <c r="BG1059" s="40"/>
      <c r="BH1059" s="40"/>
      <c r="BI1059" s="40"/>
      <c r="BJ1059" s="40"/>
      <c r="BK1059" s="40"/>
      <c r="BL1059" s="62">
        <v>1</v>
      </c>
      <c r="BM1059" s="275">
        <v>3</v>
      </c>
      <c r="BN1059" s="62">
        <v>0.03</v>
      </c>
      <c r="BO1059" s="33" t="s">
        <v>600</v>
      </c>
      <c r="BP1059" s="33" t="s">
        <v>602</v>
      </c>
    </row>
    <row r="1060" spans="1:68">
      <c r="A1060" s="33" t="str">
        <f>Database_Productkaarten[[#This Row],[Product]]&amp;", "&amp;Database_Productkaarten[[#This Row],[Levensfase]]</f>
        <v>Opsluitband 300x150, CEM IIIB (hergebruik), A4</v>
      </c>
      <c r="B1060" s="33" t="s">
        <v>613</v>
      </c>
      <c r="C1060" t="s">
        <v>55</v>
      </c>
      <c r="D1060" s="33" t="s">
        <v>599</v>
      </c>
      <c r="E1060" s="33" t="s">
        <v>389</v>
      </c>
      <c r="F1060" s="33" t="s">
        <v>78</v>
      </c>
      <c r="G1060" s="33">
        <v>1</v>
      </c>
      <c r="H1060" s="33">
        <v>0.3</v>
      </c>
      <c r="I1060" s="33">
        <v>0.15</v>
      </c>
      <c r="L1060" s="33">
        <v>2.23</v>
      </c>
      <c r="M1060" s="271">
        <v>0.112</v>
      </c>
      <c r="N1060" s="41">
        <f>N1045</f>
        <v>5.3359999999999998E-2</v>
      </c>
      <c r="O1060" s="33">
        <v>25</v>
      </c>
      <c r="P1060" s="163">
        <f t="shared" ref="P1060:Z1060" si="283">P1045</f>
        <v>5.6752094250000001E-6</v>
      </c>
      <c r="Q1060" s="163">
        <f t="shared" si="283"/>
        <v>1.4730199874999999E-2</v>
      </c>
      <c r="R1060" s="163">
        <f t="shared" si="283"/>
        <v>1.9956207374999999</v>
      </c>
      <c r="S1060" s="163">
        <f t="shared" si="283"/>
        <v>3.6775352250000001E-7</v>
      </c>
      <c r="T1060" s="163">
        <f t="shared" si="283"/>
        <v>1.1778788924999999E-3</v>
      </c>
      <c r="U1060" s="163">
        <f t="shared" si="283"/>
        <v>8.6518768500000003E-3</v>
      </c>
      <c r="V1060" s="163">
        <f t="shared" si="283"/>
        <v>1.7240840325000002E-3</v>
      </c>
      <c r="W1060" s="163">
        <f t="shared" si="283"/>
        <v>0.79840426500000006</v>
      </c>
      <c r="X1060" s="163">
        <f t="shared" si="283"/>
        <v>2.34161235E-2</v>
      </c>
      <c r="Y1060" s="163">
        <f t="shared" si="283"/>
        <v>84.51572625</v>
      </c>
      <c r="Z1060" s="163">
        <f t="shared" si="283"/>
        <v>2.8288487249999998E-3</v>
      </c>
      <c r="AA1060" s="40"/>
      <c r="AB1060" s="40"/>
      <c r="AC1060" s="40"/>
      <c r="AD1060" s="40"/>
      <c r="AE1060" s="40"/>
      <c r="AF1060" s="40"/>
      <c r="AG1060" s="40"/>
      <c r="AH1060" s="40"/>
      <c r="AI1060" s="40"/>
      <c r="AJ1060" s="40"/>
      <c r="AK1060" s="40"/>
      <c r="AL1060" s="40"/>
      <c r="AM1060" s="40"/>
      <c r="AN1060" s="40"/>
      <c r="AO1060" s="40"/>
      <c r="AP1060" s="40"/>
      <c r="AQ1060" s="40"/>
      <c r="AR1060" s="40"/>
      <c r="AS1060" s="40"/>
      <c r="AT1060" s="40"/>
      <c r="AU1060" s="40"/>
      <c r="AV1060" s="163">
        <f>AV1045</f>
        <v>0.42024923999999997</v>
      </c>
      <c r="AW1060" s="40"/>
      <c r="AX1060" s="40"/>
      <c r="AY1060" s="163">
        <f>AY1045</f>
        <v>32.838203249999999</v>
      </c>
      <c r="AZ1060" s="40"/>
      <c r="BA1060" s="40"/>
      <c r="BB1060" s="40"/>
      <c r="BC1060" s="163">
        <f t="shared" ref="BC1060:BE1060" si="284">BC1045</f>
        <v>5.9058686250000004E-3</v>
      </c>
      <c r="BD1060" s="163">
        <f t="shared" si="284"/>
        <v>2.2678944749999997E-4</v>
      </c>
      <c r="BE1060" s="163">
        <f t="shared" si="284"/>
        <v>1.8875647124999999</v>
      </c>
      <c r="BF1060" s="40"/>
      <c r="BG1060" s="40"/>
      <c r="BH1060" s="40"/>
      <c r="BI1060" s="40"/>
      <c r="BJ1060" s="40"/>
      <c r="BK1060" s="40"/>
      <c r="BL1060" s="62">
        <v>1</v>
      </c>
      <c r="BM1060" s="275">
        <v>3</v>
      </c>
      <c r="BN1060" s="62">
        <v>0.03</v>
      </c>
      <c r="BO1060" s="33" t="s">
        <v>600</v>
      </c>
      <c r="BP1060" s="33" t="s">
        <v>602</v>
      </c>
    </row>
    <row r="1061" spans="1:68">
      <c r="A1061" s="33" t="str">
        <f>Database_Productkaarten[[#This Row],[Product]]&amp;", "&amp;Database_Productkaarten[[#This Row],[Levensfase]]</f>
        <v>Opsluitband 300x150, CEM IIIB (hergebruik), A5</v>
      </c>
      <c r="B1061" s="33" t="s">
        <v>613</v>
      </c>
      <c r="C1061" t="s">
        <v>55</v>
      </c>
      <c r="D1061" s="33" t="s">
        <v>599</v>
      </c>
      <c r="E1061" s="33" t="s">
        <v>389</v>
      </c>
      <c r="F1061" s="33" t="s">
        <v>79</v>
      </c>
      <c r="G1061" s="33">
        <v>1</v>
      </c>
      <c r="H1061" s="33">
        <v>0.3</v>
      </c>
      <c r="I1061" s="33">
        <v>0.15</v>
      </c>
      <c r="L1061" s="33">
        <v>2.23</v>
      </c>
      <c r="M1061" s="271">
        <v>0.112</v>
      </c>
      <c r="N1061" s="41">
        <f t="shared" ref="N1061:N1066" si="285">N1046</f>
        <v>0.53939999999999999</v>
      </c>
      <c r="O1061" s="33">
        <v>25</v>
      </c>
      <c r="P1061" s="163">
        <f t="shared" ref="P1061:Z1061" si="286">P1046</f>
        <v>1.0589712074999999E-6</v>
      </c>
      <c r="Q1061" s="163">
        <f t="shared" si="286"/>
        <v>1.1010304574999998E-2</v>
      </c>
      <c r="R1061" s="163">
        <f t="shared" si="286"/>
        <v>1.82086974</v>
      </c>
      <c r="S1061" s="163">
        <f t="shared" si="286"/>
        <v>2.6837001E-7</v>
      </c>
      <c r="T1061" s="163">
        <f t="shared" si="286"/>
        <v>1.4759260200000002E-3</v>
      </c>
      <c r="U1061" s="163">
        <f t="shared" si="286"/>
        <v>1.1337207299999999E-2</v>
      </c>
      <c r="V1061" s="163">
        <f t="shared" si="286"/>
        <v>2.510450325E-3</v>
      </c>
      <c r="W1061" s="163">
        <f t="shared" si="286"/>
        <v>0.54315452249999996</v>
      </c>
      <c r="X1061" s="163">
        <f t="shared" si="286"/>
        <v>8.5678798499999997E-3</v>
      </c>
      <c r="Y1061" s="163">
        <f t="shared" si="286"/>
        <v>30.593958749999999</v>
      </c>
      <c r="Z1061" s="163">
        <f t="shared" si="286"/>
        <v>1.6474358474999999E-3</v>
      </c>
      <c r="AA1061" s="40"/>
      <c r="AB1061" s="40"/>
      <c r="AC1061" s="40"/>
      <c r="AD1061" s="40"/>
      <c r="AE1061" s="40"/>
      <c r="AF1061" s="40"/>
      <c r="AG1061" s="40"/>
      <c r="AH1061" s="40"/>
      <c r="AI1061" s="40"/>
      <c r="AJ1061" s="40"/>
      <c r="AK1061" s="40"/>
      <c r="AL1061" s="40"/>
      <c r="AM1061" s="40"/>
      <c r="AN1061" s="40"/>
      <c r="AO1061" s="40"/>
      <c r="AP1061" s="40"/>
      <c r="AQ1061" s="40"/>
      <c r="AR1061" s="40"/>
      <c r="AS1061" s="40"/>
      <c r="AT1061" s="40"/>
      <c r="AU1061" s="40"/>
      <c r="AV1061" s="163">
        <f t="shared" ref="AV1061:AV1066" si="287">AV1046</f>
        <v>0.47448247500000001</v>
      </c>
      <c r="AW1061" s="40"/>
      <c r="AX1061" s="40"/>
      <c r="AY1061" s="163">
        <f t="shared" ref="AY1061:AY1066" si="288">AY1046</f>
        <v>24.675660000000001</v>
      </c>
      <c r="AZ1061" s="40"/>
      <c r="BA1061" s="40"/>
      <c r="BB1061" s="40"/>
      <c r="BC1061" s="163">
        <f t="shared" ref="BC1061:BE1061" si="289">BC1046</f>
        <v>2.8486570500000002E-2</v>
      </c>
      <c r="BD1061" s="163">
        <f t="shared" si="289"/>
        <v>0.20238907275000001</v>
      </c>
      <c r="BE1061" s="163">
        <f t="shared" si="289"/>
        <v>0.17357643225000002</v>
      </c>
      <c r="BF1061" s="40"/>
      <c r="BG1061" s="40"/>
      <c r="BH1061" s="40"/>
      <c r="BI1061" s="40"/>
      <c r="BJ1061" s="40"/>
      <c r="BK1061" s="40"/>
      <c r="BL1061" s="62">
        <v>1</v>
      </c>
      <c r="BM1061" s="275">
        <v>3</v>
      </c>
      <c r="BN1061" s="62">
        <v>0.03</v>
      </c>
      <c r="BO1061" s="33" t="s">
        <v>600</v>
      </c>
      <c r="BP1061" s="33" t="s">
        <v>602</v>
      </c>
    </row>
    <row r="1062" spans="1:68">
      <c r="A1062" s="33" t="str">
        <f>Database_Productkaarten[[#This Row],[Product]]&amp;", "&amp;Database_Productkaarten[[#This Row],[Levensfase]]</f>
        <v>Opsluitband 300x150, CEM IIIB (hergebruik), B1</v>
      </c>
      <c r="B1062" s="33" t="s">
        <v>613</v>
      </c>
      <c r="C1062" t="s">
        <v>55</v>
      </c>
      <c r="D1062" s="33" t="s">
        <v>599</v>
      </c>
      <c r="E1062" s="33" t="s">
        <v>389</v>
      </c>
      <c r="F1062" s="33" t="s">
        <v>80</v>
      </c>
      <c r="G1062" s="33">
        <v>1</v>
      </c>
      <c r="H1062" s="33">
        <v>0.3</v>
      </c>
      <c r="I1062" s="33">
        <v>0.15</v>
      </c>
      <c r="L1062" s="33">
        <v>2.23</v>
      </c>
      <c r="M1062" s="271">
        <v>0.112</v>
      </c>
      <c r="N1062" s="41">
        <f t="shared" si="285"/>
        <v>0</v>
      </c>
      <c r="O1062" s="33">
        <v>25</v>
      </c>
      <c r="P1062" s="163">
        <f t="shared" ref="P1062:Z1062" si="290">P1047</f>
        <v>0</v>
      </c>
      <c r="Q1062" s="163">
        <f t="shared" si="290"/>
        <v>0</v>
      </c>
      <c r="R1062" s="163">
        <f t="shared" si="290"/>
        <v>0</v>
      </c>
      <c r="S1062" s="163">
        <f t="shared" si="290"/>
        <v>0</v>
      </c>
      <c r="T1062" s="163">
        <f t="shared" si="290"/>
        <v>0</v>
      </c>
      <c r="U1062" s="163">
        <f t="shared" si="290"/>
        <v>0</v>
      </c>
      <c r="V1062" s="163">
        <f t="shared" si="290"/>
        <v>0</v>
      </c>
      <c r="W1062" s="163">
        <f t="shared" si="290"/>
        <v>0</v>
      </c>
      <c r="X1062" s="163">
        <f t="shared" si="290"/>
        <v>0</v>
      </c>
      <c r="Y1062" s="163">
        <f t="shared" si="290"/>
        <v>0</v>
      </c>
      <c r="Z1062" s="163">
        <f t="shared" si="290"/>
        <v>0</v>
      </c>
      <c r="AA1062" s="40"/>
      <c r="AB1062" s="40"/>
      <c r="AC1062" s="40"/>
      <c r="AD1062" s="40"/>
      <c r="AE1062" s="40"/>
      <c r="AF1062" s="40"/>
      <c r="AG1062" s="40"/>
      <c r="AH1062" s="40"/>
      <c r="AI1062" s="40"/>
      <c r="AJ1062" s="40"/>
      <c r="AK1062" s="40"/>
      <c r="AL1062" s="40"/>
      <c r="AM1062" s="40"/>
      <c r="AN1062" s="40"/>
      <c r="AO1062" s="40"/>
      <c r="AP1062" s="40"/>
      <c r="AQ1062" s="40"/>
      <c r="AR1062" s="40"/>
      <c r="AS1062" s="40"/>
      <c r="AT1062" s="40"/>
      <c r="AU1062" s="40"/>
      <c r="AV1062" s="163">
        <f t="shared" si="287"/>
        <v>0</v>
      </c>
      <c r="AW1062" s="40"/>
      <c r="AX1062" s="40"/>
      <c r="AY1062" s="163">
        <f t="shared" si="288"/>
        <v>0</v>
      </c>
      <c r="AZ1062" s="40"/>
      <c r="BA1062" s="40"/>
      <c r="BB1062" s="40"/>
      <c r="BC1062" s="163">
        <f t="shared" ref="BC1062:BE1062" si="291">BC1047</f>
        <v>0</v>
      </c>
      <c r="BD1062" s="163">
        <f t="shared" si="291"/>
        <v>0</v>
      </c>
      <c r="BE1062" s="163">
        <f t="shared" si="291"/>
        <v>0</v>
      </c>
      <c r="BF1062" s="40"/>
      <c r="BG1062" s="40"/>
      <c r="BH1062" s="40"/>
      <c r="BI1062" s="40"/>
      <c r="BJ1062" s="40"/>
      <c r="BK1062" s="40"/>
      <c r="BL1062" s="62">
        <v>1</v>
      </c>
      <c r="BM1062" s="275">
        <v>3</v>
      </c>
      <c r="BN1062" s="62">
        <v>0.03</v>
      </c>
      <c r="BO1062" s="33" t="s">
        <v>600</v>
      </c>
      <c r="BP1062" s="33" t="s">
        <v>602</v>
      </c>
    </row>
    <row r="1063" spans="1:68">
      <c r="A1063" s="33" t="str">
        <f>Database_Productkaarten[[#This Row],[Product]]&amp;", "&amp;Database_Productkaarten[[#This Row],[Levensfase]]</f>
        <v>Opsluitband 300x150, CEM IIIB (hergebruik), C1</v>
      </c>
      <c r="B1063" s="33" t="s">
        <v>613</v>
      </c>
      <c r="C1063" t="s">
        <v>55</v>
      </c>
      <c r="D1063" s="33" t="s">
        <v>599</v>
      </c>
      <c r="E1063" s="33" t="s">
        <v>389</v>
      </c>
      <c r="F1063" s="33" t="s">
        <v>83</v>
      </c>
      <c r="G1063" s="33">
        <v>1</v>
      </c>
      <c r="H1063" s="33">
        <v>0.3</v>
      </c>
      <c r="I1063" s="33">
        <v>0.15</v>
      </c>
      <c r="L1063" s="33">
        <v>2.23</v>
      </c>
      <c r="M1063" s="271">
        <v>0.112</v>
      </c>
      <c r="N1063" s="41">
        <f t="shared" si="285"/>
        <v>0.25914999999999999</v>
      </c>
      <c r="O1063" s="33">
        <v>25</v>
      </c>
      <c r="P1063" s="163">
        <f t="shared" ref="P1063:Z1063" si="292">P1048</f>
        <v>4.4829962999999994E-7</v>
      </c>
      <c r="Q1063" s="163">
        <f t="shared" si="292"/>
        <v>9.2364423750000008E-3</v>
      </c>
      <c r="R1063" s="163">
        <f t="shared" si="292"/>
        <v>1.3386887999999999</v>
      </c>
      <c r="S1063" s="163">
        <f t="shared" si="292"/>
        <v>2.411273025E-7</v>
      </c>
      <c r="T1063" s="163">
        <f t="shared" si="292"/>
        <v>1.3493645325000003E-3</v>
      </c>
      <c r="U1063" s="163">
        <f t="shared" si="292"/>
        <v>1.0129181624999999E-2</v>
      </c>
      <c r="V1063" s="163">
        <f t="shared" si="292"/>
        <v>2.2681379250000001E-3</v>
      </c>
      <c r="W1063" s="163">
        <f t="shared" si="292"/>
        <v>0.47388696750000003</v>
      </c>
      <c r="X1063" s="163">
        <f t="shared" si="292"/>
        <v>6.6272613750000004E-3</v>
      </c>
      <c r="Y1063" s="163">
        <f t="shared" si="292"/>
        <v>22.465300275000001</v>
      </c>
      <c r="Z1063" s="163">
        <f t="shared" si="292"/>
        <v>7.9185186000000002E-4</v>
      </c>
      <c r="AA1063" s="40"/>
      <c r="AB1063" s="40"/>
      <c r="AC1063" s="40"/>
      <c r="AD1063" s="40"/>
      <c r="AE1063" s="40"/>
      <c r="AF1063" s="40"/>
      <c r="AG1063" s="40"/>
      <c r="AH1063" s="40"/>
      <c r="AI1063" s="40"/>
      <c r="AJ1063" s="40"/>
      <c r="AK1063" s="40"/>
      <c r="AL1063" s="40"/>
      <c r="AM1063" s="40"/>
      <c r="AN1063" s="40"/>
      <c r="AO1063" s="40"/>
      <c r="AP1063" s="40"/>
      <c r="AQ1063" s="40"/>
      <c r="AR1063" s="40"/>
      <c r="AS1063" s="40"/>
      <c r="AT1063" s="40"/>
      <c r="AU1063" s="40"/>
      <c r="AV1063" s="163">
        <f t="shared" si="287"/>
        <v>0.11124488924999999</v>
      </c>
      <c r="AW1063" s="40"/>
      <c r="AX1063" s="40"/>
      <c r="AY1063" s="163">
        <f t="shared" si="288"/>
        <v>20.719155375</v>
      </c>
      <c r="AZ1063" s="40"/>
      <c r="BA1063" s="40"/>
      <c r="BB1063" s="40"/>
      <c r="BC1063" s="163">
        <f t="shared" ref="BC1063:BE1063" si="293">BC1048</f>
        <v>1.7081917200000001E-3</v>
      </c>
      <c r="BD1063" s="163">
        <f t="shared" si="293"/>
        <v>1.4344103699999997E-4</v>
      </c>
      <c r="BE1063" s="163">
        <f t="shared" si="293"/>
        <v>2.1141532800000001E-2</v>
      </c>
      <c r="BF1063" s="40"/>
      <c r="BG1063" s="40"/>
      <c r="BH1063" s="40"/>
      <c r="BI1063" s="40"/>
      <c r="BJ1063" s="40"/>
      <c r="BK1063" s="40"/>
      <c r="BL1063" s="62">
        <v>1</v>
      </c>
      <c r="BM1063" s="275">
        <v>3</v>
      </c>
      <c r="BN1063" s="62">
        <v>0.03</v>
      </c>
      <c r="BO1063" s="33" t="s">
        <v>600</v>
      </c>
      <c r="BP1063" s="33" t="s">
        <v>602</v>
      </c>
    </row>
    <row r="1064" spans="1:68">
      <c r="A1064" s="33" t="str">
        <f>Database_Productkaarten[[#This Row],[Product]]&amp;", "&amp;Database_Productkaarten[[#This Row],[Levensfase]]</f>
        <v>Opsluitband 300x150, CEM IIIB (hergebruik), C2</v>
      </c>
      <c r="B1064" s="33" t="s">
        <v>613</v>
      </c>
      <c r="C1064" t="s">
        <v>55</v>
      </c>
      <c r="D1064" s="33" t="s">
        <v>599</v>
      </c>
      <c r="E1064" s="33" t="s">
        <v>389</v>
      </c>
      <c r="F1064" s="33" t="s">
        <v>84</v>
      </c>
      <c r="G1064" s="33">
        <v>1</v>
      </c>
      <c r="H1064" s="33">
        <v>0.3</v>
      </c>
      <c r="I1064" s="33">
        <v>0.15</v>
      </c>
      <c r="L1064" s="33">
        <v>2.23</v>
      </c>
      <c r="M1064" s="271">
        <v>0.112</v>
      </c>
      <c r="N1064" s="41">
        <f t="shared" si="285"/>
        <v>5.389E-2</v>
      </c>
      <c r="O1064" s="33">
        <v>25</v>
      </c>
      <c r="P1064" s="163">
        <f t="shared" ref="P1064:Z1064" si="294">P1049</f>
        <v>1.9106538075000002E-6</v>
      </c>
      <c r="Q1064" s="163">
        <f t="shared" si="294"/>
        <v>4.9591673999999997E-3</v>
      </c>
      <c r="R1064" s="163">
        <f t="shared" si="294"/>
        <v>0.67185897750000001</v>
      </c>
      <c r="S1064" s="163">
        <f t="shared" si="294"/>
        <v>1.2381035175E-7</v>
      </c>
      <c r="T1064" s="163">
        <f t="shared" si="294"/>
        <v>3.96552555E-4</v>
      </c>
      <c r="U1064" s="163">
        <f t="shared" si="294"/>
        <v>2.9127984749999997E-3</v>
      </c>
      <c r="V1064" s="163">
        <f t="shared" si="294"/>
        <v>5.8044163499999996E-4</v>
      </c>
      <c r="W1064" s="163">
        <f t="shared" si="294"/>
        <v>0.268796115</v>
      </c>
      <c r="X1064" s="163">
        <f t="shared" si="294"/>
        <v>7.8834278250000007E-3</v>
      </c>
      <c r="Y1064" s="163">
        <f t="shared" si="294"/>
        <v>28.453628250000001</v>
      </c>
      <c r="Z1064" s="163">
        <f t="shared" si="294"/>
        <v>9.5237905499999994E-4</v>
      </c>
      <c r="AA1064" s="40"/>
      <c r="AB1064" s="40"/>
      <c r="AC1064" s="40"/>
      <c r="AD1064" s="40"/>
      <c r="AE1064" s="40"/>
      <c r="AF1064" s="40"/>
      <c r="AG1064" s="40"/>
      <c r="AH1064" s="40"/>
      <c r="AI1064" s="40"/>
      <c r="AJ1064" s="40"/>
      <c r="AK1064" s="40"/>
      <c r="AL1064" s="40"/>
      <c r="AM1064" s="40"/>
      <c r="AN1064" s="40"/>
      <c r="AO1064" s="40"/>
      <c r="AP1064" s="40"/>
      <c r="AQ1064" s="40"/>
      <c r="AR1064" s="40"/>
      <c r="AS1064" s="40"/>
      <c r="AT1064" s="40"/>
      <c r="AU1064" s="40"/>
      <c r="AV1064" s="163">
        <f t="shared" si="287"/>
        <v>0.14148391275000002</v>
      </c>
      <c r="AW1064" s="40"/>
      <c r="AX1064" s="40"/>
      <c r="AY1064" s="163">
        <f t="shared" si="288"/>
        <v>11.055527999999999</v>
      </c>
      <c r="AZ1064" s="40"/>
      <c r="BA1064" s="40"/>
      <c r="BB1064" s="40"/>
      <c r="BC1064" s="163">
        <f t="shared" ref="BC1064:BE1064" si="295">BC1049</f>
        <v>1.9883091375000003E-3</v>
      </c>
      <c r="BD1064" s="163">
        <f t="shared" si="295"/>
        <v>7.6352449499999996E-5</v>
      </c>
      <c r="BE1064" s="163">
        <f t="shared" si="295"/>
        <v>0.63548012249999997</v>
      </c>
      <c r="BF1064" s="40"/>
      <c r="BG1064" s="40"/>
      <c r="BH1064" s="40"/>
      <c r="BI1064" s="40"/>
      <c r="BJ1064" s="40"/>
      <c r="BK1064" s="40"/>
      <c r="BL1064" s="62">
        <v>1</v>
      </c>
      <c r="BM1064" s="275">
        <v>3</v>
      </c>
      <c r="BN1064" s="62">
        <v>0.03</v>
      </c>
      <c r="BO1064" s="33" t="s">
        <v>600</v>
      </c>
      <c r="BP1064" s="33" t="s">
        <v>602</v>
      </c>
    </row>
    <row r="1065" spans="1:68">
      <c r="A1065" s="33" t="str">
        <f>Database_Productkaarten[[#This Row],[Product]]&amp;", "&amp;Database_Productkaarten[[#This Row],[Levensfase]]</f>
        <v>Opsluitband 300x150, CEM IIIB (hergebruik), C3</v>
      </c>
      <c r="B1065" s="33" t="s">
        <v>613</v>
      </c>
      <c r="C1065" t="s">
        <v>55</v>
      </c>
      <c r="D1065" s="33" t="s">
        <v>599</v>
      </c>
      <c r="E1065" s="33" t="s">
        <v>389</v>
      </c>
      <c r="F1065" s="33" t="s">
        <v>85</v>
      </c>
      <c r="G1065" s="33">
        <v>1</v>
      </c>
      <c r="H1065" s="33">
        <v>0.3</v>
      </c>
      <c r="I1065" s="33">
        <v>0.15</v>
      </c>
      <c r="L1065" s="33">
        <v>2.23</v>
      </c>
      <c r="M1065" s="271">
        <v>0.112</v>
      </c>
      <c r="N1065" s="41">
        <f t="shared" si="285"/>
        <v>9.2499999999999995E-3</v>
      </c>
      <c r="O1065" s="33">
        <v>25</v>
      </c>
      <c r="P1065" s="163">
        <f t="shared" ref="P1065:Z1065" si="296">P1050</f>
        <v>9.687782700000001E-8</v>
      </c>
      <c r="Q1065" s="163">
        <f t="shared" si="296"/>
        <v>1.2020442525000001E-3</v>
      </c>
      <c r="R1065" s="163">
        <f t="shared" si="296"/>
        <v>0.15955029225</v>
      </c>
      <c r="S1065" s="163">
        <f t="shared" si="296"/>
        <v>1.8533684700000003E-8</v>
      </c>
      <c r="T1065" s="163">
        <f t="shared" si="296"/>
        <v>8.9393957999999997E-5</v>
      </c>
      <c r="U1065" s="163">
        <f t="shared" si="296"/>
        <v>7.3715611499999985E-4</v>
      </c>
      <c r="V1065" s="163">
        <f t="shared" si="296"/>
        <v>1.66235544E-4</v>
      </c>
      <c r="W1065" s="163">
        <f t="shared" si="296"/>
        <v>3.4905239999999997E-2</v>
      </c>
      <c r="X1065" s="163">
        <f t="shared" si="296"/>
        <v>5.8265966249999997E-4</v>
      </c>
      <c r="Y1065" s="163">
        <f t="shared" si="296"/>
        <v>2.2351312575</v>
      </c>
      <c r="Z1065" s="163">
        <f t="shared" si="296"/>
        <v>4.7087712000000003E-4</v>
      </c>
      <c r="AA1065" s="40"/>
      <c r="AB1065" s="40"/>
      <c r="AC1065" s="40"/>
      <c r="AD1065" s="40"/>
      <c r="AE1065" s="40"/>
      <c r="AF1065" s="40"/>
      <c r="AG1065" s="40"/>
      <c r="AH1065" s="40"/>
      <c r="AI1065" s="40"/>
      <c r="AJ1065" s="40"/>
      <c r="AK1065" s="40"/>
      <c r="AL1065" s="40"/>
      <c r="AM1065" s="40"/>
      <c r="AN1065" s="40"/>
      <c r="AO1065" s="40"/>
      <c r="AP1065" s="40"/>
      <c r="AQ1065" s="40"/>
      <c r="AR1065" s="40"/>
      <c r="AS1065" s="40"/>
      <c r="AT1065" s="40"/>
      <c r="AU1065" s="40"/>
      <c r="AV1065" s="163">
        <f t="shared" si="287"/>
        <v>0.12946006124999998</v>
      </c>
      <c r="AW1065" s="40"/>
      <c r="AX1065" s="40"/>
      <c r="AY1065" s="163">
        <f t="shared" si="288"/>
        <v>2.5168610249999999</v>
      </c>
      <c r="AZ1065" s="40"/>
      <c r="BA1065" s="40"/>
      <c r="BB1065" s="40"/>
      <c r="BC1065" s="163">
        <f t="shared" ref="BC1065:BE1065" si="297">BC1050</f>
        <v>4.0160954250000004E-4</v>
      </c>
      <c r="BD1065" s="163">
        <f t="shared" si="297"/>
        <v>1.4580010575E-5</v>
      </c>
      <c r="BE1065" s="163">
        <f t="shared" si="297"/>
        <v>0.30434816249999996</v>
      </c>
      <c r="BF1065" s="40"/>
      <c r="BG1065" s="40"/>
      <c r="BH1065" s="40"/>
      <c r="BI1065" s="40"/>
      <c r="BJ1065" s="40"/>
      <c r="BK1065" s="40"/>
      <c r="BL1065" s="62">
        <v>1</v>
      </c>
      <c r="BM1065" s="275">
        <v>3</v>
      </c>
      <c r="BN1065" s="62">
        <v>0.03</v>
      </c>
      <c r="BO1065" s="33" t="s">
        <v>600</v>
      </c>
      <c r="BP1065" s="33" t="s">
        <v>602</v>
      </c>
    </row>
    <row r="1066" spans="1:68">
      <c r="A1066" s="33" t="str">
        <f>Database_Productkaarten[[#This Row],[Product]]&amp;", "&amp;Database_Productkaarten[[#This Row],[Levensfase]]</f>
        <v>Opsluitband 300x150, CEM IIIB (hergebruik), C4</v>
      </c>
      <c r="B1066" s="33" t="s">
        <v>613</v>
      </c>
      <c r="C1066" t="s">
        <v>55</v>
      </c>
      <c r="D1066" s="33" t="s">
        <v>599</v>
      </c>
      <c r="E1066" s="33" t="s">
        <v>389</v>
      </c>
      <c r="F1066" s="33" t="s">
        <v>86</v>
      </c>
      <c r="G1066" s="33">
        <v>1</v>
      </c>
      <c r="H1066" s="33">
        <v>0.3</v>
      </c>
      <c r="I1066" s="33">
        <v>0.15</v>
      </c>
      <c r="L1066" s="33">
        <v>2.23</v>
      </c>
      <c r="M1066" s="271">
        <v>0.112</v>
      </c>
      <c r="N1066" s="41">
        <f t="shared" si="285"/>
        <v>8.3000000000000001E-4</v>
      </c>
      <c r="O1066" s="33">
        <v>25</v>
      </c>
      <c r="P1066" s="163">
        <f t="shared" ref="P1066:Z1066" si="298">P1051</f>
        <v>6.1597588499999995E-9</v>
      </c>
      <c r="Q1066" s="163">
        <f t="shared" si="298"/>
        <v>7.3445651999999996E-5</v>
      </c>
      <c r="R1066" s="163">
        <f t="shared" si="298"/>
        <v>5.3968958999999995E-3</v>
      </c>
      <c r="S1066" s="163">
        <f t="shared" si="298"/>
        <v>1.7862875774999998E-9</v>
      </c>
      <c r="T1066" s="163">
        <f t="shared" si="298"/>
        <v>5.7192268500000009E-6</v>
      </c>
      <c r="U1066" s="163">
        <f t="shared" si="298"/>
        <v>3.9879792000000009E-5</v>
      </c>
      <c r="V1066" s="163">
        <f t="shared" si="298"/>
        <v>7.5054651749999991E-6</v>
      </c>
      <c r="W1066" s="163">
        <f t="shared" si="298"/>
        <v>2.2002975000000001E-3</v>
      </c>
      <c r="X1066" s="163">
        <f t="shared" si="298"/>
        <v>5.4712865249999999E-5</v>
      </c>
      <c r="Y1066" s="163">
        <f t="shared" si="298"/>
        <v>0.18817860375000001</v>
      </c>
      <c r="Z1066" s="163">
        <f t="shared" si="298"/>
        <v>6.5163165749999994E-6</v>
      </c>
      <c r="AA1066" s="40"/>
      <c r="AB1066" s="40"/>
      <c r="AC1066" s="40"/>
      <c r="AD1066" s="40"/>
      <c r="AE1066" s="40"/>
      <c r="AF1066" s="40"/>
      <c r="AG1066" s="40"/>
      <c r="AH1066" s="40"/>
      <c r="AI1066" s="40"/>
      <c r="AJ1066" s="40"/>
      <c r="AK1066" s="40"/>
      <c r="AL1066" s="40"/>
      <c r="AM1066" s="40"/>
      <c r="AN1066" s="40"/>
      <c r="AO1066" s="40"/>
      <c r="AP1066" s="40"/>
      <c r="AQ1066" s="40"/>
      <c r="AR1066" s="40"/>
      <c r="AS1066" s="40"/>
      <c r="AT1066" s="40"/>
      <c r="AU1066" s="40"/>
      <c r="AV1066" s="163">
        <f t="shared" si="287"/>
        <v>3.9340665000000006E-3</v>
      </c>
      <c r="AW1066" s="40"/>
      <c r="AX1066" s="40"/>
      <c r="AY1066" s="163">
        <f t="shared" si="288"/>
        <v>0.16406435024999999</v>
      </c>
      <c r="AZ1066" s="40"/>
      <c r="BA1066" s="40"/>
      <c r="BB1066" s="40"/>
      <c r="BC1066" s="163">
        <f t="shared" ref="BC1066:BE1066" si="299">BC1051</f>
        <v>1.6535591775000002E-4</v>
      </c>
      <c r="BD1066" s="163">
        <f t="shared" si="299"/>
        <v>1.1144769975000001E-6</v>
      </c>
      <c r="BE1066" s="163">
        <f t="shared" si="299"/>
        <v>1.0099236375</v>
      </c>
      <c r="BF1066" s="40"/>
      <c r="BG1066" s="40"/>
      <c r="BH1066" s="40"/>
      <c r="BI1066" s="40"/>
      <c r="BJ1066" s="40"/>
      <c r="BK1066" s="40"/>
      <c r="BL1066" s="62">
        <v>1</v>
      </c>
      <c r="BM1066" s="275">
        <v>3</v>
      </c>
      <c r="BN1066" s="62">
        <v>0.03</v>
      </c>
      <c r="BO1066" s="33" t="s">
        <v>600</v>
      </c>
      <c r="BP1066" s="33" t="s">
        <v>602</v>
      </c>
    </row>
    <row r="1067" spans="1:68">
      <c r="A1067" s="33" t="str">
        <f>Database_Productkaarten[[#This Row],[Product]]&amp;", "&amp;Database_Productkaarten[[#This Row],[Levensfase]]</f>
        <v>Opsluitband 300x150, CEM IIIB (hergebruik), D</v>
      </c>
      <c r="B1067" s="33" t="s">
        <v>613</v>
      </c>
      <c r="C1067" t="s">
        <v>55</v>
      </c>
      <c r="D1067" s="33" t="s">
        <v>599</v>
      </c>
      <c r="E1067" s="33" t="s">
        <v>389</v>
      </c>
      <c r="F1067" s="33" t="s">
        <v>89</v>
      </c>
      <c r="G1067" s="33">
        <v>1</v>
      </c>
      <c r="H1067" s="33">
        <v>0.3</v>
      </c>
      <c r="I1067" s="33">
        <v>0.15</v>
      </c>
      <c r="L1067" s="33">
        <v>2.23</v>
      </c>
      <c r="M1067" s="271">
        <v>0.112</v>
      </c>
      <c r="N1067" s="41">
        <f>N1044*0.1</f>
        <v>7.5091000000000005E-2</v>
      </c>
      <c r="O1067" s="33">
        <v>25</v>
      </c>
      <c r="P1067" s="163">
        <f t="shared" ref="P1067:Z1067" si="300">P1044*0.1</f>
        <v>1.4771230902000001E-6</v>
      </c>
      <c r="Q1067" s="163">
        <f t="shared" si="300"/>
        <v>4.0821036075000001E-3</v>
      </c>
      <c r="R1067" s="163">
        <f t="shared" si="300"/>
        <v>1.3641236504999998</v>
      </c>
      <c r="S1067" s="163">
        <f t="shared" si="300"/>
        <v>4.3028855775000006E-8</v>
      </c>
      <c r="T1067" s="163">
        <f t="shared" si="300"/>
        <v>2.8291004707500003E-4</v>
      </c>
      <c r="U1067" s="163">
        <f t="shared" si="300"/>
        <v>3.0203164957500004E-3</v>
      </c>
      <c r="V1067" s="163">
        <f t="shared" si="300"/>
        <v>5.9708987550000005E-4</v>
      </c>
      <c r="W1067" s="163">
        <f t="shared" si="300"/>
        <v>0.13600123582499998</v>
      </c>
      <c r="X1067" s="163">
        <f t="shared" si="300"/>
        <v>3.5013657465E-3</v>
      </c>
      <c r="Y1067" s="163">
        <f t="shared" si="300"/>
        <v>16.636022954999998</v>
      </c>
      <c r="Z1067" s="163">
        <f t="shared" si="300"/>
        <v>2.5140413475E-3</v>
      </c>
      <c r="AA1067" s="40"/>
      <c r="AB1067" s="40"/>
      <c r="AC1067" s="40"/>
      <c r="AD1067" s="40"/>
      <c r="AE1067" s="40"/>
      <c r="AF1067" s="40"/>
      <c r="AG1067" s="40"/>
      <c r="AH1067" s="40"/>
      <c r="AI1067" s="40"/>
      <c r="AJ1067" s="40"/>
      <c r="AK1067" s="40"/>
      <c r="AL1067" s="40"/>
      <c r="AM1067" s="40"/>
      <c r="AN1067" s="40"/>
      <c r="AO1067" s="40"/>
      <c r="AP1067" s="40"/>
      <c r="AQ1067" s="40"/>
      <c r="AR1067" s="40"/>
      <c r="AS1067" s="40"/>
      <c r="AT1067" s="40"/>
      <c r="AU1067" s="40"/>
      <c r="AV1067" s="163">
        <f>AV1044*0.1</f>
        <v>1.1739060661500003</v>
      </c>
      <c r="AW1067" s="40"/>
      <c r="AX1067" s="40"/>
      <c r="AY1067" s="163">
        <f>AY1044*0.1</f>
        <v>9.0647716949999992</v>
      </c>
      <c r="AZ1067" s="40"/>
      <c r="BA1067" s="40"/>
      <c r="BB1067" s="40"/>
      <c r="BC1067" s="163">
        <f t="shared" ref="BC1067:BE1067" si="301">BC1044*0.1</f>
        <v>0.10121140064025001</v>
      </c>
      <c r="BD1067" s="163">
        <f t="shared" si="301"/>
        <v>0.67412308087822492</v>
      </c>
      <c r="BE1067" s="163">
        <f t="shared" si="301"/>
        <v>0.12950630468999999</v>
      </c>
      <c r="BF1067" s="40"/>
      <c r="BG1067" s="40"/>
      <c r="BH1067" s="40"/>
      <c r="BI1067" s="40"/>
      <c r="BJ1067" s="40"/>
      <c r="BK1067" s="40"/>
      <c r="BL1067" s="62">
        <v>1</v>
      </c>
      <c r="BM1067" s="275">
        <v>3</v>
      </c>
      <c r="BN1067" s="62">
        <v>0.03</v>
      </c>
      <c r="BO1067" s="33" t="s">
        <v>600</v>
      </c>
      <c r="BP1067" s="33" t="s">
        <v>602</v>
      </c>
    </row>
    <row r="1068" spans="1:68">
      <c r="A1068" s="33" t="str">
        <f>Database_Productkaarten[[#This Row],[Product]]&amp;", "&amp;Database_Productkaarten[[#This Row],[Levensfase]]</f>
        <v>Opsluitband 300x150, CEM IIIB (hergebruik), D1</v>
      </c>
      <c r="B1068" s="33" t="s">
        <v>613</v>
      </c>
      <c r="C1068" t="s">
        <v>55</v>
      </c>
      <c r="D1068" s="33" t="s">
        <v>599</v>
      </c>
      <c r="E1068" s="33" t="s">
        <v>389</v>
      </c>
      <c r="F1068" s="33" t="s">
        <v>87</v>
      </c>
      <c r="G1068" s="33">
        <v>1</v>
      </c>
      <c r="H1068" s="33">
        <v>0.3</v>
      </c>
      <c r="I1068" s="33">
        <v>0.15</v>
      </c>
      <c r="L1068" s="33">
        <v>2.23</v>
      </c>
      <c r="M1068" s="271">
        <v>0.112</v>
      </c>
      <c r="N1068" s="41"/>
      <c r="O1068" s="33">
        <v>25</v>
      </c>
      <c r="P1068" s="40"/>
      <c r="Q1068" s="40"/>
      <c r="R1068" s="40"/>
      <c r="S1068" s="40"/>
      <c r="T1068" s="40"/>
      <c r="U1068" s="40"/>
      <c r="V1068" s="40"/>
      <c r="W1068" s="40"/>
      <c r="X1068" s="40"/>
      <c r="Y1068" s="40"/>
      <c r="Z1068" s="40"/>
      <c r="AA1068" s="40"/>
      <c r="AB1068" s="40"/>
      <c r="AC1068" s="40"/>
      <c r="AD1068" s="40"/>
      <c r="AE1068" s="40"/>
      <c r="AF1068" s="40"/>
      <c r="AG1068" s="40"/>
      <c r="AH1068" s="40"/>
      <c r="AI1068" s="40"/>
      <c r="AJ1068" s="40"/>
      <c r="AK1068" s="40"/>
      <c r="AL1068" s="40"/>
      <c r="AM1068" s="40"/>
      <c r="AN1068" s="40"/>
      <c r="AO1068" s="40"/>
      <c r="AP1068" s="40"/>
      <c r="AQ1068" s="40"/>
      <c r="AR1068" s="40"/>
      <c r="AS1068" s="40"/>
      <c r="AT1068" s="40"/>
      <c r="AU1068" s="40"/>
      <c r="AV1068" s="281"/>
      <c r="AW1068" s="40"/>
      <c r="AX1068" s="40"/>
      <c r="AY1068" s="281"/>
      <c r="AZ1068" s="40"/>
      <c r="BA1068" s="40"/>
      <c r="BB1068" s="40"/>
      <c r="BC1068" s="40"/>
      <c r="BD1068" s="40"/>
      <c r="BE1068" s="40"/>
      <c r="BF1068" s="40"/>
      <c r="BG1068" s="40"/>
      <c r="BH1068" s="40"/>
      <c r="BI1068" s="40"/>
      <c r="BJ1068" s="40"/>
      <c r="BK1068" s="40"/>
      <c r="BL1068" s="62">
        <v>1</v>
      </c>
      <c r="BM1068" s="275">
        <v>3</v>
      </c>
      <c r="BN1068" s="62">
        <v>0.03</v>
      </c>
      <c r="BO1068" s="33" t="s">
        <v>600</v>
      </c>
      <c r="BP1068" s="33" t="s">
        <v>602</v>
      </c>
    </row>
    <row r="1069" spans="1:68">
      <c r="A1069" s="33" t="str">
        <f>Database_Productkaarten[[#This Row],[Product]]&amp;", "&amp;Database_Productkaarten[[#This Row],[Levensfase]]</f>
        <v>Opsluitband 300x150, CEM IIIB (hergebruik), D2</v>
      </c>
      <c r="B1069" s="33" t="s">
        <v>613</v>
      </c>
      <c r="C1069" t="s">
        <v>55</v>
      </c>
      <c r="D1069" s="33" t="s">
        <v>599</v>
      </c>
      <c r="E1069" s="33" t="s">
        <v>389</v>
      </c>
      <c r="F1069" s="33" t="s">
        <v>88</v>
      </c>
      <c r="G1069" s="33">
        <v>1</v>
      </c>
      <c r="H1069" s="33">
        <v>0.3</v>
      </c>
      <c r="I1069" s="33">
        <v>0.15</v>
      </c>
      <c r="L1069" s="33">
        <v>2.23</v>
      </c>
      <c r="M1069" s="271">
        <v>0.112</v>
      </c>
      <c r="N1069" s="41"/>
      <c r="O1069" s="33">
        <v>25</v>
      </c>
      <c r="P1069" s="40"/>
      <c r="Q1069" s="40"/>
      <c r="R1069" s="40"/>
      <c r="S1069" s="40"/>
      <c r="T1069" s="40"/>
      <c r="U1069" s="40"/>
      <c r="V1069" s="40"/>
      <c r="W1069" s="40"/>
      <c r="X1069" s="40"/>
      <c r="Y1069" s="40"/>
      <c r="Z1069" s="40"/>
      <c r="AA1069" s="40"/>
      <c r="AB1069" s="40"/>
      <c r="AC1069" s="40"/>
      <c r="AD1069" s="40"/>
      <c r="AE1069" s="40"/>
      <c r="AF1069" s="40"/>
      <c r="AG1069" s="40"/>
      <c r="AH1069" s="40"/>
      <c r="AI1069" s="40"/>
      <c r="AJ1069" s="40"/>
      <c r="AK1069" s="40"/>
      <c r="AL1069" s="40"/>
      <c r="AM1069" s="40"/>
      <c r="AN1069" s="40"/>
      <c r="AO1069" s="40"/>
      <c r="AP1069" s="40"/>
      <c r="AQ1069" s="40"/>
      <c r="AR1069" s="40"/>
      <c r="AS1069" s="40"/>
      <c r="AT1069" s="40"/>
      <c r="AU1069" s="40"/>
      <c r="AV1069" s="281"/>
      <c r="AW1069" s="40"/>
      <c r="AX1069" s="40"/>
      <c r="AY1069" s="281"/>
      <c r="AZ1069" s="40"/>
      <c r="BA1069" s="40"/>
      <c r="BB1069" s="40"/>
      <c r="BC1069" s="40"/>
      <c r="BD1069" s="40"/>
      <c r="BE1069" s="40"/>
      <c r="BF1069" s="40"/>
      <c r="BG1069" s="40"/>
      <c r="BH1069" s="40"/>
      <c r="BI1069" s="40"/>
      <c r="BJ1069" s="40"/>
      <c r="BK1069" s="40"/>
      <c r="BL1069" s="62">
        <v>1</v>
      </c>
      <c r="BM1069" s="275">
        <v>3</v>
      </c>
      <c r="BN1069" s="62">
        <v>0.03</v>
      </c>
      <c r="BO1069" s="33" t="s">
        <v>600</v>
      </c>
      <c r="BP1069" s="33" t="s">
        <v>602</v>
      </c>
    </row>
    <row r="1070" spans="1:68">
      <c r="A1070" s="33" t="str">
        <f>Database_Productkaarten[[#This Row],[Product]]&amp;", "&amp;Database_Productkaarten[[#This Row],[Levensfase]]</f>
        <v>RWSband 115/225x250, Totaal</v>
      </c>
      <c r="B1070" s="33" t="s">
        <v>226</v>
      </c>
      <c r="C1070" t="s">
        <v>55</v>
      </c>
      <c r="D1070" s="33" t="s">
        <v>388</v>
      </c>
      <c r="E1070" s="33" t="s">
        <v>389</v>
      </c>
      <c r="F1070" s="33" t="s">
        <v>90</v>
      </c>
      <c r="G1070" s="33">
        <v>1</v>
      </c>
      <c r="H1070" s="33">
        <v>0.25</v>
      </c>
      <c r="I1070" s="33">
        <v>0.22500000000000001</v>
      </c>
      <c r="L1070" s="33">
        <v>2.4</v>
      </c>
      <c r="M1070" s="271">
        <v>0.1263</v>
      </c>
      <c r="N1070" s="41"/>
      <c r="O1070" s="33">
        <v>25</v>
      </c>
      <c r="P1070" s="40"/>
      <c r="Q1070" s="40"/>
      <c r="R1070" s="40"/>
      <c r="S1070" s="40"/>
      <c r="T1070" s="40"/>
      <c r="U1070" s="40"/>
      <c r="V1070" s="40"/>
      <c r="W1070" s="40"/>
      <c r="X1070" s="40"/>
      <c r="Y1070" s="40"/>
      <c r="Z1070" s="40"/>
      <c r="AA1070" s="40"/>
      <c r="AB1070" s="40"/>
      <c r="AC1070" s="40"/>
      <c r="AD1070" s="40"/>
      <c r="AE1070" s="40"/>
      <c r="AF1070" s="40"/>
      <c r="AG1070" s="40"/>
      <c r="AH1070" s="40"/>
      <c r="AI1070" s="40"/>
      <c r="AJ1070" s="40"/>
      <c r="AK1070" s="40"/>
      <c r="AL1070" s="40"/>
      <c r="AM1070" s="40"/>
      <c r="AN1070" s="40"/>
      <c r="AO1070" s="40"/>
      <c r="AP1070" s="40"/>
      <c r="AQ1070" s="40"/>
      <c r="AR1070" s="40"/>
      <c r="AS1070" s="40"/>
      <c r="AT1070" s="40"/>
      <c r="AU1070" s="40"/>
      <c r="AV1070" s="313"/>
      <c r="AW1070" s="317"/>
      <c r="AX1070" s="317"/>
      <c r="AY1070" s="313"/>
      <c r="AZ1070" s="317"/>
      <c r="BA1070" s="317"/>
      <c r="BB1070" s="317"/>
      <c r="BC1070" s="317"/>
      <c r="BD1070" s="317"/>
      <c r="BE1070" s="317"/>
      <c r="BF1070" s="317"/>
      <c r="BG1070" s="40"/>
      <c r="BH1070" s="40"/>
      <c r="BI1070" s="40"/>
      <c r="BJ1070" s="40"/>
      <c r="BK1070" s="40"/>
      <c r="BL1070" s="306">
        <v>0.11163895486935867</v>
      </c>
      <c r="BM1070" s="275">
        <v>3</v>
      </c>
      <c r="BN1070" s="62">
        <v>0.03</v>
      </c>
      <c r="BO1070" s="33" t="s">
        <v>614</v>
      </c>
      <c r="BP1070" s="33" t="s">
        <v>615</v>
      </c>
    </row>
    <row r="1071" spans="1:68">
      <c r="A1071" s="33" t="str">
        <f>Database_Productkaarten[[#This Row],[Product]]&amp;", "&amp;Database_Productkaarten[[#This Row],[Levensfase]]</f>
        <v>RWSband 115/225x250, A1</v>
      </c>
      <c r="B1071" s="33" t="s">
        <v>226</v>
      </c>
      <c r="C1071" t="s">
        <v>55</v>
      </c>
      <c r="D1071" s="33" t="s">
        <v>388</v>
      </c>
      <c r="E1071" s="33" t="s">
        <v>389</v>
      </c>
      <c r="F1071" s="33" t="s">
        <v>74</v>
      </c>
      <c r="G1071" s="33">
        <v>1</v>
      </c>
      <c r="H1071" s="33">
        <v>0.25</v>
      </c>
      <c r="I1071" s="33">
        <v>0.22500000000000001</v>
      </c>
      <c r="L1071" s="33">
        <v>2.4</v>
      </c>
      <c r="M1071" s="271">
        <v>0.1263</v>
      </c>
      <c r="N1071" s="41"/>
      <c r="O1071" s="33">
        <v>25</v>
      </c>
      <c r="P1071" s="163">
        <v>1.5611512000000001E-5</v>
      </c>
      <c r="Q1071" s="163">
        <v>3.7503611999999999E-2</v>
      </c>
      <c r="R1071" s="163">
        <v>15.262155</v>
      </c>
      <c r="S1071" s="163">
        <v>3.1392495E-7</v>
      </c>
      <c r="T1071" s="163">
        <v>2.8564682000000001E-3</v>
      </c>
      <c r="U1071" s="163">
        <v>3.2212703000000002E-2</v>
      </c>
      <c r="V1071" s="163">
        <v>6.3230025E-3</v>
      </c>
      <c r="W1071" s="163">
        <v>1.2657392000000001</v>
      </c>
      <c r="X1071" s="163">
        <v>3.1497247999999999E-2</v>
      </c>
      <c r="Y1071" s="163">
        <v>161.41515999999999</v>
      </c>
      <c r="Z1071" s="163">
        <v>2.886611E-2</v>
      </c>
      <c r="AA1071" s="163"/>
      <c r="AB1071" s="163"/>
      <c r="AC1071" s="163"/>
      <c r="AD1071" s="163"/>
      <c r="AE1071" s="163"/>
      <c r="AF1071" s="163"/>
      <c r="AG1071" s="40"/>
      <c r="AH1071" s="40"/>
      <c r="AI1071" s="40"/>
      <c r="AJ1071" s="40"/>
      <c r="AK1071" s="40"/>
      <c r="AL1071" s="40"/>
      <c r="AM1071" s="40"/>
      <c r="AN1071" s="40"/>
      <c r="AO1071" s="40"/>
      <c r="AP1071" s="40"/>
      <c r="AQ1071" s="40"/>
      <c r="AR1071" s="40"/>
      <c r="AS1071" s="40"/>
      <c r="AT1071" s="40"/>
      <c r="AU1071" s="40"/>
      <c r="AV1071" s="315">
        <v>13.384625</v>
      </c>
      <c r="AW1071" s="315"/>
      <c r="AX1071" s="315"/>
      <c r="AY1071" s="315">
        <v>84.655409000000006</v>
      </c>
      <c r="AZ1071" s="315"/>
      <c r="BA1071" s="317"/>
      <c r="BB1071" s="317"/>
      <c r="BC1071" s="315">
        <v>1.2542378000000001</v>
      </c>
      <c r="BD1071" s="315">
        <v>8.3889265000000002</v>
      </c>
      <c r="BE1071" s="315">
        <v>0.73829370000000005</v>
      </c>
      <c r="BF1071" s="317"/>
      <c r="BG1071" s="40"/>
      <c r="BH1071" s="40"/>
      <c r="BI1071" s="40"/>
      <c r="BJ1071" s="40"/>
      <c r="BK1071" s="40"/>
      <c r="BL1071" s="306">
        <v>0.11163895486935867</v>
      </c>
      <c r="BM1071" s="275">
        <v>3</v>
      </c>
      <c r="BN1071" s="62">
        <v>0.03</v>
      </c>
      <c r="BO1071" s="33" t="s">
        <v>614</v>
      </c>
      <c r="BP1071" s="33" t="s">
        <v>615</v>
      </c>
    </row>
    <row r="1072" spans="1:68">
      <c r="A1072" s="33" t="str">
        <f>Database_Productkaarten[[#This Row],[Product]]&amp;", "&amp;Database_Productkaarten[[#This Row],[Levensfase]]</f>
        <v>RWSband 115/225x250, A2</v>
      </c>
      <c r="B1072" s="33" t="s">
        <v>226</v>
      </c>
      <c r="C1072" t="s">
        <v>55</v>
      </c>
      <c r="D1072" s="33" t="s">
        <v>388</v>
      </c>
      <c r="E1072" s="33" t="s">
        <v>389</v>
      </c>
      <c r="F1072" s="33" t="s">
        <v>75</v>
      </c>
      <c r="G1072" s="33">
        <v>1</v>
      </c>
      <c r="H1072" s="33">
        <v>0.25</v>
      </c>
      <c r="I1072" s="33">
        <v>0.22500000000000001</v>
      </c>
      <c r="L1072" s="33">
        <v>2.4</v>
      </c>
      <c r="M1072" s="271">
        <v>0.1263</v>
      </c>
      <c r="N1072" s="41"/>
      <c r="O1072" s="33">
        <v>25</v>
      </c>
      <c r="P1072" s="163">
        <v>2.5481563999999998E-6</v>
      </c>
      <c r="Q1072" s="163">
        <v>6.6138270000000001E-3</v>
      </c>
      <c r="R1072" s="163">
        <v>0.89602926999999999</v>
      </c>
      <c r="S1072" s="163">
        <v>1.6512051000000001E-7</v>
      </c>
      <c r="T1072" s="163">
        <v>5.28865E-4</v>
      </c>
      <c r="U1072" s="163">
        <v>3.8846734000000001E-3</v>
      </c>
      <c r="V1072" s="163">
        <v>7.7410988999999995E-4</v>
      </c>
      <c r="W1072" s="163">
        <v>0.35848173999999999</v>
      </c>
      <c r="X1072" s="163">
        <v>1.0513787E-2</v>
      </c>
      <c r="Y1072" s="163">
        <v>37.947372999999999</v>
      </c>
      <c r="Z1072" s="163">
        <v>1.2701468E-3</v>
      </c>
      <c r="AA1072" s="163"/>
      <c r="AB1072" s="163"/>
      <c r="AC1072" s="163"/>
      <c r="AD1072" s="163"/>
      <c r="AE1072" s="163"/>
      <c r="AF1072" s="163"/>
      <c r="AG1072" s="40"/>
      <c r="AH1072" s="40"/>
      <c r="AI1072" s="40"/>
      <c r="AJ1072" s="40"/>
      <c r="AK1072" s="40"/>
      <c r="AL1072" s="40"/>
      <c r="AM1072" s="40"/>
      <c r="AN1072" s="40"/>
      <c r="AO1072" s="40"/>
      <c r="AP1072" s="40"/>
      <c r="AQ1072" s="40"/>
      <c r="AR1072" s="40"/>
      <c r="AS1072" s="40"/>
      <c r="AT1072" s="40"/>
      <c r="AU1072" s="40"/>
      <c r="AV1072" s="315">
        <v>0.18869097000000001</v>
      </c>
      <c r="AW1072" s="315"/>
      <c r="AX1072" s="315"/>
      <c r="AY1072" s="315">
        <v>14.74428</v>
      </c>
      <c r="AZ1072" s="315"/>
      <c r="BA1072" s="317"/>
      <c r="BB1072" s="317"/>
      <c r="BC1072" s="315">
        <v>2.6517219E-3</v>
      </c>
      <c r="BD1072" s="315">
        <v>1.0182796E-4</v>
      </c>
      <c r="BE1072" s="315">
        <v>0.84751235000000003</v>
      </c>
      <c r="BF1072" s="317"/>
      <c r="BG1072" s="40"/>
      <c r="BH1072" s="40"/>
      <c r="BI1072" s="40"/>
      <c r="BJ1072" s="40"/>
      <c r="BK1072" s="40"/>
      <c r="BL1072" s="306">
        <v>0.11163895486935867</v>
      </c>
      <c r="BM1072" s="275">
        <v>3</v>
      </c>
      <c r="BN1072" s="62">
        <v>0.03</v>
      </c>
      <c r="BO1072" s="33" t="s">
        <v>614</v>
      </c>
      <c r="BP1072" s="33" t="s">
        <v>615</v>
      </c>
    </row>
    <row r="1073" spans="1:68">
      <c r="A1073" s="33" t="str">
        <f>Database_Productkaarten[[#This Row],[Product]]&amp;", "&amp;Database_Productkaarten[[#This Row],[Levensfase]]</f>
        <v>RWSband 115/225x250, A3</v>
      </c>
      <c r="B1073" s="33" t="s">
        <v>226</v>
      </c>
      <c r="C1073" t="s">
        <v>55</v>
      </c>
      <c r="D1073" s="33" t="s">
        <v>388</v>
      </c>
      <c r="E1073" s="33" t="s">
        <v>389</v>
      </c>
      <c r="F1073" s="33" t="s">
        <v>76</v>
      </c>
      <c r="G1073" s="33">
        <v>1</v>
      </c>
      <c r="H1073" s="33">
        <v>0.25</v>
      </c>
      <c r="I1073" s="33">
        <v>0.22500000000000001</v>
      </c>
      <c r="L1073" s="33">
        <v>2.4</v>
      </c>
      <c r="M1073" s="271">
        <v>0.1263</v>
      </c>
      <c r="N1073" s="41"/>
      <c r="O1073" s="33">
        <v>25</v>
      </c>
      <c r="P1073" s="163">
        <v>2.2230760000000001E-7</v>
      </c>
      <c r="Q1073" s="163">
        <v>6.6820728999999997E-3</v>
      </c>
      <c r="R1073" s="163">
        <v>0.81757712999999999</v>
      </c>
      <c r="S1073" s="163">
        <v>5.6424753999999998E-8</v>
      </c>
      <c r="T1073" s="163">
        <v>1.3532520000000001E-4</v>
      </c>
      <c r="U1073" s="163">
        <v>1.4887837000000001E-3</v>
      </c>
      <c r="V1073" s="163">
        <v>3.3333933000000002E-4</v>
      </c>
      <c r="W1073" s="163">
        <v>6.8238903000000004E-2</v>
      </c>
      <c r="X1073" s="163">
        <v>1.5615169999999999E-3</v>
      </c>
      <c r="Y1073" s="163">
        <v>7.6635267000000002</v>
      </c>
      <c r="Z1073" s="163">
        <v>1.1495911E-3</v>
      </c>
      <c r="AA1073" s="163"/>
      <c r="AB1073" s="163"/>
      <c r="AC1073" s="163"/>
      <c r="AD1073" s="163"/>
      <c r="AE1073" s="163"/>
      <c r="AF1073" s="163"/>
      <c r="AG1073" s="40"/>
      <c r="AH1073" s="40"/>
      <c r="AI1073" s="40"/>
      <c r="AJ1073" s="40"/>
      <c r="AK1073" s="40"/>
      <c r="AL1073" s="40"/>
      <c r="AM1073" s="40"/>
      <c r="AN1073" s="40"/>
      <c r="AO1073" s="40"/>
      <c r="AP1073" s="40"/>
      <c r="AQ1073" s="40"/>
      <c r="AR1073" s="40"/>
      <c r="AS1073" s="40"/>
      <c r="AT1073" s="40"/>
      <c r="AU1073" s="40"/>
      <c r="AV1073" s="315">
        <v>1.0352926</v>
      </c>
      <c r="AW1073" s="315"/>
      <c r="AX1073" s="315"/>
      <c r="AY1073" s="315">
        <v>13.406358000000001</v>
      </c>
      <c r="AZ1073" s="315"/>
      <c r="BA1073" s="317"/>
      <c r="BB1073" s="317"/>
      <c r="BC1073" s="315">
        <v>2.6301064999999998E-3</v>
      </c>
      <c r="BD1073" s="315">
        <v>5.8840746E-5</v>
      </c>
      <c r="BE1073" s="315">
        <v>2.5827974E-2</v>
      </c>
      <c r="BF1073" s="317"/>
      <c r="BG1073" s="40"/>
      <c r="BH1073" s="40"/>
      <c r="BI1073" s="40"/>
      <c r="BJ1073" s="40"/>
      <c r="BK1073" s="40"/>
      <c r="BL1073" s="306">
        <v>0.11163895486935867</v>
      </c>
      <c r="BM1073" s="275">
        <v>3</v>
      </c>
      <c r="BN1073" s="62">
        <v>0.03</v>
      </c>
      <c r="BO1073" s="33" t="s">
        <v>614</v>
      </c>
      <c r="BP1073" s="33" t="s">
        <v>615</v>
      </c>
    </row>
    <row r="1074" spans="1:68">
      <c r="A1074" s="33" t="str">
        <f>Database_Productkaarten[[#This Row],[Product]]&amp;", "&amp;Database_Productkaarten[[#This Row],[Levensfase]]</f>
        <v>RWSband 115/225x250, A1-A3</v>
      </c>
      <c r="B1074" s="33" t="s">
        <v>226</v>
      </c>
      <c r="C1074" t="s">
        <v>55</v>
      </c>
      <c r="D1074" s="33" t="s">
        <v>388</v>
      </c>
      <c r="E1074" s="33" t="s">
        <v>389</v>
      </c>
      <c r="F1074" s="33" t="s">
        <v>77</v>
      </c>
      <c r="G1074" s="33">
        <v>1</v>
      </c>
      <c r="H1074" s="33">
        <v>0.25</v>
      </c>
      <c r="I1074" s="33">
        <v>0.22500000000000001</v>
      </c>
      <c r="L1074" s="33">
        <v>2.4</v>
      </c>
      <c r="M1074" s="271">
        <v>0.1263</v>
      </c>
      <c r="N1074" s="41">
        <v>1.1958</v>
      </c>
      <c r="O1074" s="33">
        <v>25</v>
      </c>
      <c r="P1074" s="163">
        <f>SUM(P1071:P1073)</f>
        <v>1.8381976000000002E-5</v>
      </c>
      <c r="Q1074" s="163">
        <f t="shared" ref="Q1074:Z1074" si="302">SUM(Q1071:Q1073)</f>
        <v>5.0799511900000004E-2</v>
      </c>
      <c r="R1074" s="163">
        <f t="shared" si="302"/>
        <v>16.9757614</v>
      </c>
      <c r="S1074" s="163">
        <f t="shared" si="302"/>
        <v>5.3547021400000005E-7</v>
      </c>
      <c r="T1074" s="163">
        <f t="shared" si="302"/>
        <v>3.5206584E-3</v>
      </c>
      <c r="U1074" s="163">
        <f t="shared" si="302"/>
        <v>3.7586160100000009E-2</v>
      </c>
      <c r="V1074" s="163">
        <f t="shared" si="302"/>
        <v>7.43045172E-3</v>
      </c>
      <c r="W1074" s="163">
        <f t="shared" si="302"/>
        <v>1.692459843</v>
      </c>
      <c r="X1074" s="163">
        <f t="shared" si="302"/>
        <v>4.3572552000000001E-2</v>
      </c>
      <c r="Y1074" s="163">
        <f t="shared" si="302"/>
        <v>207.02605969999999</v>
      </c>
      <c r="Z1074" s="163">
        <f t="shared" si="302"/>
        <v>3.1285847900000004E-2</v>
      </c>
      <c r="AA1074" s="163"/>
      <c r="AB1074" s="163"/>
      <c r="AC1074" s="163"/>
      <c r="AD1074" s="163"/>
      <c r="AE1074" s="163"/>
      <c r="AF1074" s="163"/>
      <c r="AG1074" s="40"/>
      <c r="AH1074" s="40"/>
      <c r="AI1074" s="40"/>
      <c r="AJ1074" s="40"/>
      <c r="AK1074" s="40"/>
      <c r="AL1074" s="40"/>
      <c r="AM1074" s="40"/>
      <c r="AN1074" s="40"/>
      <c r="AO1074" s="40"/>
      <c r="AP1074" s="40"/>
      <c r="AQ1074" s="40"/>
      <c r="AR1074" s="40"/>
      <c r="AS1074" s="40"/>
      <c r="AT1074" s="40"/>
      <c r="AU1074" s="40"/>
      <c r="AV1074" s="313">
        <f>SUM(AV1071:AV1073)</f>
        <v>14.608608569999999</v>
      </c>
      <c r="AW1074" s="313"/>
      <c r="AX1074" s="313"/>
      <c r="AY1074" s="313">
        <f>SUM(AY1071:AY1073)</f>
        <v>112.80604700000001</v>
      </c>
      <c r="AZ1074" s="313"/>
      <c r="BA1074" s="317"/>
      <c r="BB1074" s="317"/>
      <c r="BC1074" s="313">
        <f>SUM(BC1071:BC1073)</f>
        <v>1.2595196284000001</v>
      </c>
      <c r="BD1074" s="313">
        <f>SUM(BD1071:BD1073)</f>
        <v>8.3890871687060002</v>
      </c>
      <c r="BE1074" s="313">
        <f>SUM(BE1071:BE1073)</f>
        <v>1.611634024</v>
      </c>
      <c r="BF1074" s="317"/>
      <c r="BG1074" s="40"/>
      <c r="BH1074" s="40"/>
      <c r="BI1074" s="40"/>
      <c r="BJ1074" s="40"/>
      <c r="BK1074" s="40"/>
      <c r="BL1074" s="306">
        <v>0.11163895486935867</v>
      </c>
      <c r="BM1074" s="275">
        <v>3</v>
      </c>
      <c r="BN1074" s="62">
        <v>0.03</v>
      </c>
      <c r="BO1074" s="33" t="s">
        <v>614</v>
      </c>
      <c r="BP1074" s="33" t="s">
        <v>615</v>
      </c>
    </row>
    <row r="1075" spans="1:68">
      <c r="A1075" s="33" t="str">
        <f>Database_Productkaarten[[#This Row],[Product]]&amp;", "&amp;Database_Productkaarten[[#This Row],[Levensfase]]</f>
        <v>RWSband 115/225x250, A4</v>
      </c>
      <c r="B1075" s="33" t="s">
        <v>226</v>
      </c>
      <c r="C1075" t="s">
        <v>55</v>
      </c>
      <c r="D1075" s="33" t="s">
        <v>388</v>
      </c>
      <c r="E1075" s="33" t="s">
        <v>389</v>
      </c>
      <c r="F1075" s="33" t="s">
        <v>78</v>
      </c>
      <c r="G1075" s="33">
        <v>1</v>
      </c>
      <c r="H1075" s="33">
        <v>0.25</v>
      </c>
      <c r="I1075" s="33">
        <v>0.22500000000000001</v>
      </c>
      <c r="L1075" s="33">
        <v>2.4</v>
      </c>
      <c r="M1075" s="271">
        <v>0.1263</v>
      </c>
      <c r="N1075" s="41">
        <v>0.29471999999999998</v>
      </c>
      <c r="O1075" s="33">
        <v>25</v>
      </c>
      <c r="P1075" s="163">
        <v>7.0445062999999996E-6</v>
      </c>
      <c r="Q1075" s="163">
        <v>1.8284257000000002E-2</v>
      </c>
      <c r="R1075" s="163">
        <v>2.4771179999999999</v>
      </c>
      <c r="S1075" s="163">
        <v>4.5648395E-7</v>
      </c>
      <c r="T1075" s="163">
        <v>1.4620739E-3</v>
      </c>
      <c r="U1075" s="163">
        <v>1.0739375000000001E-2</v>
      </c>
      <c r="V1075" s="163">
        <v>2.1400656999999998E-3</v>
      </c>
      <c r="W1075" s="163">
        <v>0.99104079</v>
      </c>
      <c r="X1075" s="163">
        <v>2.9065891999999999E-2</v>
      </c>
      <c r="Y1075" s="163">
        <v>104.90742</v>
      </c>
      <c r="Z1075" s="163">
        <v>3.5113846E-3</v>
      </c>
      <c r="AA1075" s="163"/>
      <c r="AB1075" s="163"/>
      <c r="AC1075" s="163"/>
      <c r="AD1075" s="163"/>
      <c r="AE1075" s="163"/>
      <c r="AF1075" s="163"/>
      <c r="AG1075" s="40"/>
      <c r="AH1075" s="40"/>
      <c r="AI1075" s="40"/>
      <c r="AJ1075" s="40"/>
      <c r="AK1075" s="40"/>
      <c r="AL1075" s="40"/>
      <c r="AM1075" s="40"/>
      <c r="AN1075" s="40"/>
      <c r="AO1075" s="40"/>
      <c r="AP1075" s="40"/>
      <c r="AQ1075" s="40"/>
      <c r="AR1075" s="40"/>
      <c r="AS1075" s="40"/>
      <c r="AT1075" s="40"/>
      <c r="AU1075" s="40"/>
      <c r="AV1075" s="313">
        <v>0.52164568</v>
      </c>
      <c r="AW1075" s="317"/>
      <c r="AX1075" s="317"/>
      <c r="AY1075" s="317">
        <v>40.761302000000001</v>
      </c>
      <c r="AZ1075" s="317"/>
      <c r="BA1075" s="317"/>
      <c r="BB1075" s="317"/>
      <c r="BC1075" s="313">
        <v>7.3308185E-3</v>
      </c>
      <c r="BD1075" s="317">
        <v>2.8150852000000001E-4</v>
      </c>
      <c r="BE1075" s="317">
        <v>2.3429905</v>
      </c>
      <c r="BF1075" s="317"/>
      <c r="BG1075" s="40"/>
      <c r="BH1075" s="40"/>
      <c r="BI1075" s="40"/>
      <c r="BJ1075" s="40"/>
      <c r="BK1075" s="40"/>
      <c r="BL1075" s="306">
        <v>0.11163895486935867</v>
      </c>
      <c r="BM1075" s="275">
        <v>3</v>
      </c>
      <c r="BN1075" s="62">
        <v>0.03</v>
      </c>
      <c r="BO1075" s="33" t="s">
        <v>614</v>
      </c>
      <c r="BP1075" s="33" t="s">
        <v>615</v>
      </c>
    </row>
    <row r="1076" spans="1:68">
      <c r="A1076" s="33" t="str">
        <f>Database_Productkaarten[[#This Row],[Product]]&amp;", "&amp;Database_Productkaarten[[#This Row],[Levensfase]]</f>
        <v>RWSband 115/225x250, A5</v>
      </c>
      <c r="B1076" s="33" t="s">
        <v>226</v>
      </c>
      <c r="C1076" t="s">
        <v>55</v>
      </c>
      <c r="D1076" s="33" t="s">
        <v>388</v>
      </c>
      <c r="E1076" s="33" t="s">
        <v>389</v>
      </c>
      <c r="F1076" s="33" t="s">
        <v>79</v>
      </c>
      <c r="G1076" s="33">
        <v>1</v>
      </c>
      <c r="H1076" s="33">
        <v>0.25</v>
      </c>
      <c r="I1076" s="33">
        <v>0.22500000000000001</v>
      </c>
      <c r="L1076" s="33">
        <v>2.4</v>
      </c>
      <c r="M1076" s="271">
        <v>0.1263</v>
      </c>
      <c r="N1076" s="41">
        <v>0.12225</v>
      </c>
      <c r="O1076" s="33">
        <v>25</v>
      </c>
      <c r="P1076" s="163">
        <v>9.5874962000000003E-7</v>
      </c>
      <c r="Q1076" s="163">
        <v>6.3109313999999998E-3</v>
      </c>
      <c r="R1076" s="163">
        <v>1.1948061000000001</v>
      </c>
      <c r="S1076" s="163">
        <v>1.4102576999999999E-7</v>
      </c>
      <c r="T1076" s="163">
        <v>7.5709612999999999E-4</v>
      </c>
      <c r="U1076" s="163">
        <v>6.0043194000000003E-3</v>
      </c>
      <c r="V1076" s="163">
        <v>1.3094211999999999E-3</v>
      </c>
      <c r="W1076" s="163">
        <v>0.29673248000000002</v>
      </c>
      <c r="X1076" s="163">
        <v>5.3577175999999999E-3</v>
      </c>
      <c r="Y1076" s="163">
        <v>20.090758999999998</v>
      </c>
      <c r="Z1076" s="163">
        <v>1.4163770999999999E-3</v>
      </c>
      <c r="AA1076" s="163"/>
      <c r="AB1076" s="163"/>
      <c r="AC1076" s="163"/>
      <c r="AD1076" s="163"/>
      <c r="AE1076" s="163"/>
      <c r="AF1076" s="163"/>
      <c r="AG1076" s="40"/>
      <c r="AH1076" s="40"/>
      <c r="AI1076" s="40"/>
      <c r="AJ1076" s="40"/>
      <c r="AK1076" s="40"/>
      <c r="AL1076" s="40"/>
      <c r="AM1076" s="40"/>
      <c r="AN1076" s="40"/>
      <c r="AO1076" s="40"/>
      <c r="AP1076" s="40"/>
      <c r="AQ1076" s="40"/>
      <c r="AR1076" s="40"/>
      <c r="AS1076" s="40"/>
      <c r="AT1076" s="40"/>
      <c r="AU1076" s="40"/>
      <c r="AV1076" s="313">
        <v>0.50144993999999998</v>
      </c>
      <c r="AW1076" s="317"/>
      <c r="AX1076" s="317"/>
      <c r="AY1076" s="317">
        <v>14.128472</v>
      </c>
      <c r="AZ1076" s="317"/>
      <c r="BA1076" s="317"/>
      <c r="BB1076" s="317"/>
      <c r="BC1076" s="313">
        <v>3.4100178000000002E-2</v>
      </c>
      <c r="BD1076" s="317">
        <v>0.25174718000000001</v>
      </c>
      <c r="BE1076" s="317">
        <v>0.19873539000000001</v>
      </c>
      <c r="BF1076" s="317"/>
      <c r="BG1076" s="40"/>
      <c r="BH1076" s="40"/>
      <c r="BI1076" s="40"/>
      <c r="BJ1076" s="40"/>
      <c r="BK1076" s="40"/>
      <c r="BL1076" s="306">
        <v>0.11163895486935867</v>
      </c>
      <c r="BM1076" s="275">
        <v>3</v>
      </c>
      <c r="BN1076" s="62">
        <v>0.03</v>
      </c>
      <c r="BO1076" s="33" t="s">
        <v>614</v>
      </c>
      <c r="BP1076" s="33" t="s">
        <v>615</v>
      </c>
    </row>
    <row r="1077" spans="1:68">
      <c r="A1077" s="33" t="str">
        <f>Database_Productkaarten[[#This Row],[Product]]&amp;", "&amp;Database_Productkaarten[[#This Row],[Levensfase]]</f>
        <v>RWSband 115/225x250, B1</v>
      </c>
      <c r="B1077" s="33" t="s">
        <v>226</v>
      </c>
      <c r="C1077" t="s">
        <v>55</v>
      </c>
      <c r="D1077" s="33" t="s">
        <v>388</v>
      </c>
      <c r="E1077" s="33" t="s">
        <v>389</v>
      </c>
      <c r="F1077" s="33" t="s">
        <v>80</v>
      </c>
      <c r="G1077" s="33">
        <v>1</v>
      </c>
      <c r="H1077" s="33">
        <v>0.25</v>
      </c>
      <c r="I1077" s="33">
        <v>0.22500000000000001</v>
      </c>
      <c r="L1077" s="33">
        <v>2.4</v>
      </c>
      <c r="M1077" s="271">
        <v>0.1263</v>
      </c>
      <c r="N1077" s="41"/>
      <c r="O1077" s="33">
        <v>25</v>
      </c>
      <c r="P1077" s="163">
        <v>0</v>
      </c>
      <c r="Q1077" s="163">
        <v>0</v>
      </c>
      <c r="R1077" s="163">
        <v>0</v>
      </c>
      <c r="S1077" s="163">
        <v>0</v>
      </c>
      <c r="T1077" s="163">
        <v>0</v>
      </c>
      <c r="U1077" s="163">
        <v>0</v>
      </c>
      <c r="V1077" s="163">
        <v>0</v>
      </c>
      <c r="W1077" s="163">
        <v>0</v>
      </c>
      <c r="X1077" s="163">
        <v>0</v>
      </c>
      <c r="Y1077" s="163">
        <v>0</v>
      </c>
      <c r="Z1077" s="163">
        <v>0</v>
      </c>
      <c r="AA1077" s="163"/>
      <c r="AB1077" s="163"/>
      <c r="AC1077" s="163"/>
      <c r="AD1077" s="163"/>
      <c r="AE1077" s="163"/>
      <c r="AF1077" s="163"/>
      <c r="AG1077" s="40"/>
      <c r="AH1077" s="40"/>
      <c r="AI1077" s="40"/>
      <c r="AJ1077" s="40"/>
      <c r="AK1077" s="40"/>
      <c r="AL1077" s="40"/>
      <c r="AM1077" s="40"/>
      <c r="AN1077" s="40"/>
      <c r="AO1077" s="40"/>
      <c r="AP1077" s="40"/>
      <c r="AQ1077" s="40"/>
      <c r="AR1077" s="40"/>
      <c r="AS1077" s="40"/>
      <c r="AT1077" s="40"/>
      <c r="AU1077" s="40"/>
      <c r="AV1077" s="313">
        <v>0</v>
      </c>
      <c r="AW1077" s="317"/>
      <c r="AX1077" s="317"/>
      <c r="AY1077" s="317">
        <v>0</v>
      </c>
      <c r="AZ1077" s="317"/>
      <c r="BA1077" s="317"/>
      <c r="BB1077" s="317"/>
      <c r="BC1077" s="313">
        <v>0</v>
      </c>
      <c r="BD1077" s="317">
        <v>0</v>
      </c>
      <c r="BE1077" s="317">
        <v>0</v>
      </c>
      <c r="BF1077" s="317"/>
      <c r="BG1077" s="40"/>
      <c r="BH1077" s="40"/>
      <c r="BI1077" s="40"/>
      <c r="BJ1077" s="40"/>
      <c r="BK1077" s="40"/>
      <c r="BL1077" s="306">
        <v>0.11163895486935867</v>
      </c>
      <c r="BM1077" s="275">
        <v>3</v>
      </c>
      <c r="BN1077" s="62">
        <v>0.03</v>
      </c>
      <c r="BO1077" s="33" t="s">
        <v>614</v>
      </c>
      <c r="BP1077" s="33" t="s">
        <v>615</v>
      </c>
    </row>
    <row r="1078" spans="1:68">
      <c r="A1078" s="33" t="str">
        <f>Database_Productkaarten[[#This Row],[Product]]&amp;", "&amp;Database_Productkaarten[[#This Row],[Levensfase]]</f>
        <v>RWSband 115/225x250, C1</v>
      </c>
      <c r="B1078" s="33" t="s">
        <v>226</v>
      </c>
      <c r="C1078" t="s">
        <v>55</v>
      </c>
      <c r="D1078" s="33" t="s">
        <v>388</v>
      </c>
      <c r="E1078" s="33" t="s">
        <v>389</v>
      </c>
      <c r="F1078" s="33" t="s">
        <v>83</v>
      </c>
      <c r="G1078" s="33">
        <v>1</v>
      </c>
      <c r="H1078" s="33">
        <v>0.25</v>
      </c>
      <c r="I1078" s="33">
        <v>0.22500000000000001</v>
      </c>
      <c r="L1078" s="33">
        <v>2.4</v>
      </c>
      <c r="M1078" s="271">
        <v>0.1263</v>
      </c>
      <c r="N1078" s="41">
        <v>7.8710000000000002E-2</v>
      </c>
      <c r="O1078" s="33">
        <v>25</v>
      </c>
      <c r="P1078" s="163">
        <v>1.9924427999999999E-7</v>
      </c>
      <c r="Q1078" s="163">
        <v>4.1050855000000002E-3</v>
      </c>
      <c r="R1078" s="163">
        <v>0.59497279999999997</v>
      </c>
      <c r="S1078" s="163">
        <v>1.0716769E-7</v>
      </c>
      <c r="T1078" s="163">
        <v>5.9971757000000004E-4</v>
      </c>
      <c r="U1078" s="163">
        <v>4.5018584999999998E-3</v>
      </c>
      <c r="V1078" s="163">
        <v>1.0080613000000001E-3</v>
      </c>
      <c r="W1078" s="163">
        <v>0.21061642999999999</v>
      </c>
      <c r="X1078" s="163">
        <v>2.9454494999999999E-3</v>
      </c>
      <c r="Y1078" s="163">
        <v>9.9845778999999997</v>
      </c>
      <c r="Z1078" s="163">
        <v>3.5193415999999999E-4</v>
      </c>
      <c r="AA1078" s="163"/>
      <c r="AB1078" s="163"/>
      <c r="AC1078" s="163"/>
      <c r="AD1078" s="163"/>
      <c r="AE1078" s="163"/>
      <c r="AF1078" s="163"/>
      <c r="AG1078" s="40"/>
      <c r="AH1078" s="40"/>
      <c r="AI1078" s="40"/>
      <c r="AJ1078" s="40"/>
      <c r="AK1078" s="40"/>
      <c r="AL1078" s="40"/>
      <c r="AM1078" s="40"/>
      <c r="AN1078" s="40"/>
      <c r="AO1078" s="40"/>
      <c r="AP1078" s="40"/>
      <c r="AQ1078" s="40"/>
      <c r="AR1078" s="40"/>
      <c r="AS1078" s="40"/>
      <c r="AT1078" s="40"/>
      <c r="AU1078" s="40"/>
      <c r="AV1078" s="313">
        <v>4.9442172999999999E-2</v>
      </c>
      <c r="AW1078" s="317"/>
      <c r="AX1078" s="317"/>
      <c r="AY1078" s="317">
        <v>9.2085135000000005</v>
      </c>
      <c r="AZ1078" s="317"/>
      <c r="BA1078" s="317"/>
      <c r="BB1078" s="317"/>
      <c r="BC1078" s="313">
        <v>7.5919631999999998E-4</v>
      </c>
      <c r="BD1078" s="317">
        <v>6.3751571999999998E-5</v>
      </c>
      <c r="BE1078" s="317">
        <v>9.3962368000000008E-3</v>
      </c>
      <c r="BF1078" s="317"/>
      <c r="BG1078" s="40"/>
      <c r="BH1078" s="40"/>
      <c r="BI1078" s="40"/>
      <c r="BJ1078" s="40"/>
      <c r="BK1078" s="40"/>
      <c r="BL1078" s="306">
        <v>0.11163895486935867</v>
      </c>
      <c r="BM1078" s="275">
        <v>3</v>
      </c>
      <c r="BN1078" s="62">
        <v>0.03</v>
      </c>
      <c r="BO1078" s="33" t="s">
        <v>614</v>
      </c>
      <c r="BP1078" s="33" t="s">
        <v>615</v>
      </c>
    </row>
    <row r="1079" spans="1:68">
      <c r="A1079" s="33" t="str">
        <f>Database_Productkaarten[[#This Row],[Product]]&amp;", "&amp;Database_Productkaarten[[#This Row],[Levensfase]]</f>
        <v>RWSband 115/225x250, C2</v>
      </c>
      <c r="B1079" s="33" t="s">
        <v>226</v>
      </c>
      <c r="C1079" t="s">
        <v>55</v>
      </c>
      <c r="D1079" s="33" t="s">
        <v>388</v>
      </c>
      <c r="E1079" s="33" t="s">
        <v>389</v>
      </c>
      <c r="F1079" s="33" t="s">
        <v>84</v>
      </c>
      <c r="G1079" s="33">
        <v>1</v>
      </c>
      <c r="H1079" s="33">
        <v>0.25</v>
      </c>
      <c r="I1079" s="33">
        <v>0.22500000000000001</v>
      </c>
      <c r="L1079" s="33">
        <v>2.4</v>
      </c>
      <c r="M1079" s="271">
        <v>0.1263</v>
      </c>
      <c r="N1079" s="41">
        <v>0.99219999999999997</v>
      </c>
      <c r="O1079" s="33">
        <v>25</v>
      </c>
      <c r="P1079" s="163">
        <v>2.3716505000000001E-6</v>
      </c>
      <c r="Q1079" s="163">
        <v>6.1556998999999996E-3</v>
      </c>
      <c r="R1079" s="163">
        <v>0.83396303999999999</v>
      </c>
      <c r="S1079" s="163">
        <v>1.5368293E-7</v>
      </c>
      <c r="T1079" s="163">
        <v>4.9223153999999999E-4</v>
      </c>
      <c r="U1079" s="163">
        <v>3.6155896E-3</v>
      </c>
      <c r="V1079" s="163">
        <v>7.2048879000000002E-4</v>
      </c>
      <c r="W1079" s="163">
        <v>0.33365040000000001</v>
      </c>
      <c r="X1079" s="163">
        <v>9.7855171000000001E-3</v>
      </c>
      <c r="Y1079" s="163">
        <v>35.318832</v>
      </c>
      <c r="Z1079" s="163">
        <v>1.1821660999999999E-3</v>
      </c>
      <c r="AA1079" s="163"/>
      <c r="AB1079" s="163"/>
      <c r="AC1079" s="163"/>
      <c r="AD1079" s="163"/>
      <c r="AE1079" s="163"/>
      <c r="AF1079" s="163"/>
      <c r="AG1079" s="40"/>
      <c r="AH1079" s="40"/>
      <c r="AI1079" s="40"/>
      <c r="AJ1079" s="40"/>
      <c r="AK1079" s="40"/>
      <c r="AL1079" s="40"/>
      <c r="AM1079" s="40"/>
      <c r="AN1079" s="40"/>
      <c r="AO1079" s="40"/>
      <c r="AP1079" s="40"/>
      <c r="AQ1079" s="40"/>
      <c r="AR1079" s="40"/>
      <c r="AS1079" s="40"/>
      <c r="AT1079" s="40"/>
      <c r="AU1079" s="40"/>
      <c r="AV1079" s="313">
        <v>0.17562071000000001</v>
      </c>
      <c r="AW1079" s="317"/>
      <c r="AX1079" s="317"/>
      <c r="AY1079" s="317">
        <v>13.722972</v>
      </c>
      <c r="AZ1079" s="317"/>
      <c r="BA1079" s="317"/>
      <c r="BB1079" s="317"/>
      <c r="BC1079" s="313">
        <v>2.4680421999999998E-3</v>
      </c>
      <c r="BD1079" s="317">
        <v>9.4774534000000005E-5</v>
      </c>
      <c r="BE1079" s="317">
        <v>0.78880680000000003</v>
      </c>
      <c r="BF1079" s="317"/>
      <c r="BG1079" s="40"/>
      <c r="BH1079" s="40"/>
      <c r="BI1079" s="40"/>
      <c r="BJ1079" s="40"/>
      <c r="BK1079" s="40"/>
      <c r="BL1079" s="306">
        <v>0.11163895486935867</v>
      </c>
      <c r="BM1079" s="275">
        <v>3</v>
      </c>
      <c r="BN1079" s="62">
        <v>0.03</v>
      </c>
      <c r="BO1079" s="33" t="s">
        <v>614</v>
      </c>
      <c r="BP1079" s="33" t="s">
        <v>615</v>
      </c>
    </row>
    <row r="1080" spans="1:68">
      <c r="A1080" s="33" t="str">
        <f>Database_Productkaarten[[#This Row],[Product]]&amp;", "&amp;Database_Productkaarten[[#This Row],[Levensfase]]</f>
        <v>RWSband 115/225x250, C3</v>
      </c>
      <c r="B1080" s="33" t="s">
        <v>226</v>
      </c>
      <c r="C1080" t="s">
        <v>55</v>
      </c>
      <c r="D1080" s="33" t="s">
        <v>388</v>
      </c>
      <c r="E1080" s="33" t="s">
        <v>389</v>
      </c>
      <c r="F1080" s="33" t="s">
        <v>85</v>
      </c>
      <c r="G1080" s="33">
        <v>1</v>
      </c>
      <c r="H1080" s="33">
        <v>0.25</v>
      </c>
      <c r="I1080" s="33">
        <v>0.22500000000000001</v>
      </c>
      <c r="L1080" s="33">
        <v>2.4</v>
      </c>
      <c r="M1080" s="271">
        <v>0.1263</v>
      </c>
      <c r="N1080" s="41">
        <v>3.5959999999999999E-2</v>
      </c>
      <c r="O1080" s="33">
        <v>25</v>
      </c>
      <c r="P1080" s="163">
        <v>1.2025221E-7</v>
      </c>
      <c r="Q1080" s="163">
        <v>1.4920698E-3</v>
      </c>
      <c r="R1080" s="163">
        <v>0.19804609000000001</v>
      </c>
      <c r="S1080" s="163">
        <v>2.3005435E-8</v>
      </c>
      <c r="T1080" s="163">
        <v>1.1096266E-4</v>
      </c>
      <c r="U1080" s="163">
        <v>9.1501487999999997E-4</v>
      </c>
      <c r="V1080" s="163">
        <v>2.0634434000000001E-4</v>
      </c>
      <c r="W1080" s="163">
        <v>4.3327068000000003E-2</v>
      </c>
      <c r="X1080" s="163">
        <v>7.2324200000000003E-4</v>
      </c>
      <c r="Y1080" s="163">
        <v>2.7744168</v>
      </c>
      <c r="Z1080" s="163">
        <v>5.8448889E-4</v>
      </c>
      <c r="AA1080" s="163"/>
      <c r="AB1080" s="163"/>
      <c r="AC1080" s="163"/>
      <c r="AD1080" s="163"/>
      <c r="AE1080" s="163"/>
      <c r="AF1080" s="163"/>
      <c r="AG1080" s="40"/>
      <c r="AH1080" s="40"/>
      <c r="AI1080" s="40"/>
      <c r="AJ1080" s="40"/>
      <c r="AK1080" s="40"/>
      <c r="AL1080" s="40"/>
      <c r="AM1080" s="40"/>
      <c r="AN1080" s="40"/>
      <c r="AO1080" s="40"/>
      <c r="AP1080" s="40"/>
      <c r="AQ1080" s="40"/>
      <c r="AR1080" s="40"/>
      <c r="AS1080" s="40"/>
      <c r="AT1080" s="40"/>
      <c r="AU1080" s="40"/>
      <c r="AV1080" s="313">
        <v>0.16069579000000001</v>
      </c>
      <c r="AW1080" s="317"/>
      <c r="AX1080" s="317"/>
      <c r="AY1080" s="317">
        <v>3.1241215000000002</v>
      </c>
      <c r="AZ1080" s="317"/>
      <c r="BA1080" s="317"/>
      <c r="BB1080" s="317"/>
      <c r="BC1080" s="313">
        <v>4.9850865000000005E-4</v>
      </c>
      <c r="BD1080" s="317">
        <v>1.8097831E-5</v>
      </c>
      <c r="BE1080" s="317">
        <v>0.37778033999999999</v>
      </c>
      <c r="BF1080" s="317"/>
      <c r="BG1080" s="40"/>
      <c r="BH1080" s="40"/>
      <c r="BI1080" s="40"/>
      <c r="BJ1080" s="40"/>
      <c r="BK1080" s="40"/>
      <c r="BL1080" s="306">
        <v>0.11163895486935867</v>
      </c>
      <c r="BM1080" s="275">
        <v>3</v>
      </c>
      <c r="BN1080" s="62">
        <v>0.03</v>
      </c>
      <c r="BO1080" s="33" t="s">
        <v>614</v>
      </c>
      <c r="BP1080" s="33" t="s">
        <v>615</v>
      </c>
    </row>
    <row r="1081" spans="1:68">
      <c r="A1081" s="33" t="str">
        <f>Database_Productkaarten[[#This Row],[Product]]&amp;", "&amp;Database_Productkaarten[[#This Row],[Levensfase]]</f>
        <v>RWSband 115/225x250, C4</v>
      </c>
      <c r="B1081" s="33" t="s">
        <v>226</v>
      </c>
      <c r="C1081" t="s">
        <v>55</v>
      </c>
      <c r="D1081" s="33" t="s">
        <v>388</v>
      </c>
      <c r="E1081" s="33" t="s">
        <v>389</v>
      </c>
      <c r="F1081" s="33" t="s">
        <v>86</v>
      </c>
      <c r="G1081" s="33">
        <v>1</v>
      </c>
      <c r="H1081" s="33">
        <v>0.25</v>
      </c>
      <c r="I1081" s="33">
        <v>0.22500000000000001</v>
      </c>
      <c r="L1081" s="33">
        <v>2.4</v>
      </c>
      <c r="M1081" s="271">
        <v>0.1263</v>
      </c>
      <c r="N1081" s="41">
        <v>9.3999999999999997E-4</v>
      </c>
      <c r="O1081" s="33">
        <v>25</v>
      </c>
      <c r="P1081" s="163">
        <v>7.6459664000000003E-9</v>
      </c>
      <c r="Q1081" s="163">
        <v>9.1166393000000003E-5</v>
      </c>
      <c r="R1081" s="163">
        <v>6.6990421999999997E-3</v>
      </c>
      <c r="S1081" s="163">
        <v>2.2172775E-9</v>
      </c>
      <c r="T1081" s="163">
        <v>7.0991441999999998E-6</v>
      </c>
      <c r="U1081" s="163">
        <v>4.9501864999999999E-5</v>
      </c>
      <c r="V1081" s="163">
        <v>9.3163606999999996E-6</v>
      </c>
      <c r="W1081" s="163">
        <v>2.7311785000000001E-3</v>
      </c>
      <c r="X1081" s="163">
        <v>6.7913817E-5</v>
      </c>
      <c r="Y1081" s="163">
        <v>0.23358176</v>
      </c>
      <c r="Z1081" s="163">
        <v>8.0885533000000004E-6</v>
      </c>
      <c r="AA1081" s="163"/>
      <c r="AB1081" s="163"/>
      <c r="AC1081" s="163"/>
      <c r="AD1081" s="163"/>
      <c r="AE1081" s="163"/>
      <c r="AF1081" s="163"/>
      <c r="AG1081" s="40"/>
      <c r="AH1081" s="40"/>
      <c r="AI1081" s="40"/>
      <c r="AJ1081" s="40"/>
      <c r="AK1081" s="40"/>
      <c r="AL1081" s="40"/>
      <c r="AM1081" s="40"/>
      <c r="AN1081" s="40"/>
      <c r="AO1081" s="40"/>
      <c r="AP1081" s="40"/>
      <c r="AQ1081" s="40"/>
      <c r="AR1081" s="40"/>
      <c r="AS1081" s="40"/>
      <c r="AT1081" s="40"/>
      <c r="AU1081" s="40"/>
      <c r="AV1081" s="313">
        <v>4.8832659999999998E-3</v>
      </c>
      <c r="AW1081" s="317"/>
      <c r="AX1081" s="317"/>
      <c r="AY1081" s="317">
        <v>0.20364929000000001</v>
      </c>
      <c r="AZ1081" s="317"/>
      <c r="BA1081" s="317"/>
      <c r="BB1081" s="317"/>
      <c r="BC1081" s="313">
        <v>2.0525248000000001E-4</v>
      </c>
      <c r="BD1081" s="317">
        <v>1.3833745999999999E-6</v>
      </c>
      <c r="BE1081" s="317">
        <v>1.2535949</v>
      </c>
      <c r="BF1081" s="317"/>
      <c r="BG1081" s="40"/>
      <c r="BH1081" s="40"/>
      <c r="BI1081" s="40"/>
      <c r="BJ1081" s="40"/>
      <c r="BK1081" s="40"/>
      <c r="BL1081" s="306">
        <v>0.11163895486935867</v>
      </c>
      <c r="BM1081" s="275">
        <v>3</v>
      </c>
      <c r="BN1081" s="62">
        <v>0.03</v>
      </c>
      <c r="BO1081" s="33" t="s">
        <v>614</v>
      </c>
      <c r="BP1081" s="33" t="s">
        <v>615</v>
      </c>
    </row>
    <row r="1082" spans="1:68">
      <c r="A1082" s="33" t="str">
        <f>Database_Productkaarten[[#This Row],[Product]]&amp;", "&amp;Database_Productkaarten[[#This Row],[Levensfase]]</f>
        <v>RWSband 115/225x250, D</v>
      </c>
      <c r="B1082" s="33" t="s">
        <v>226</v>
      </c>
      <c r="C1082" t="s">
        <v>55</v>
      </c>
      <c r="D1082" s="33" t="s">
        <v>388</v>
      </c>
      <c r="E1082" s="33" t="s">
        <v>389</v>
      </c>
      <c r="F1082" s="33" t="s">
        <v>89</v>
      </c>
      <c r="G1082" s="33">
        <v>1</v>
      </c>
      <c r="H1082" s="33">
        <v>0.25</v>
      </c>
      <c r="I1082" s="33">
        <v>0.22500000000000001</v>
      </c>
      <c r="L1082" s="33">
        <v>2.4</v>
      </c>
      <c r="M1082" s="271">
        <v>0.1263</v>
      </c>
      <c r="N1082" s="41">
        <v>-6.7080000000000001E-2</v>
      </c>
      <c r="O1082" s="33">
        <v>25</v>
      </c>
      <c r="P1082" s="163">
        <v>-2.6091866E-6</v>
      </c>
      <c r="Q1082" s="163">
        <v>-3.2945072E-3</v>
      </c>
      <c r="R1082" s="163">
        <v>-0.49714223000000002</v>
      </c>
      <c r="S1082" s="163">
        <v>-4.2257263999999997E-8</v>
      </c>
      <c r="T1082" s="163">
        <v>-3.4707378000000002E-4</v>
      </c>
      <c r="U1082" s="163">
        <v>-2.8236122000000002E-3</v>
      </c>
      <c r="V1082" s="163">
        <v>-4.6133729000000001E-4</v>
      </c>
      <c r="W1082" s="163">
        <v>-0.19267444</v>
      </c>
      <c r="X1082" s="163">
        <v>-2.8061803999999998E-3</v>
      </c>
      <c r="Y1082" s="163">
        <v>-13.387603</v>
      </c>
      <c r="Z1082" s="163">
        <v>-1.0905447E-3</v>
      </c>
      <c r="AA1082" s="40"/>
      <c r="AB1082" s="40"/>
      <c r="AC1082" s="40"/>
      <c r="AD1082" s="40"/>
      <c r="AE1082" s="40"/>
      <c r="AF1082" s="40"/>
      <c r="AG1082" s="40"/>
      <c r="AH1082" s="40"/>
      <c r="AI1082" s="40"/>
      <c r="AJ1082" s="40"/>
      <c r="AK1082" s="40"/>
      <c r="AL1082" s="40"/>
      <c r="AM1082" s="40"/>
      <c r="AN1082" s="40"/>
      <c r="AO1082" s="40"/>
      <c r="AP1082" s="40"/>
      <c r="AQ1082" s="40"/>
      <c r="AR1082" s="40"/>
      <c r="AS1082" s="40"/>
      <c r="AT1082" s="40"/>
      <c r="AU1082" s="40"/>
      <c r="AV1082" s="315">
        <v>-0.40452876999999998</v>
      </c>
      <c r="AW1082" s="315"/>
      <c r="AX1082" s="315"/>
      <c r="AY1082" s="315">
        <v>-6.6194736000000001</v>
      </c>
      <c r="AZ1082" s="315"/>
      <c r="BA1082" s="317"/>
      <c r="BB1082" s="317"/>
      <c r="BC1082" s="315">
        <v>-0.15865621999999999</v>
      </c>
      <c r="BD1082" s="315">
        <v>-3.5414180000000003E-5</v>
      </c>
      <c r="BE1082" s="315">
        <v>-6.3501435999999994E-2</v>
      </c>
      <c r="BF1082" s="317"/>
      <c r="BG1082" s="40"/>
      <c r="BH1082" s="40"/>
      <c r="BI1082" s="40"/>
      <c r="BJ1082" s="40"/>
      <c r="BK1082" s="40"/>
      <c r="BL1082" s="306">
        <v>0.11163895486935867</v>
      </c>
      <c r="BM1082" s="275">
        <v>3</v>
      </c>
      <c r="BN1082" s="62">
        <v>0.03</v>
      </c>
      <c r="BO1082" s="33" t="s">
        <v>614</v>
      </c>
      <c r="BP1082" s="33" t="s">
        <v>615</v>
      </c>
    </row>
    <row r="1083" spans="1:68">
      <c r="A1083" s="33" t="str">
        <f>Database_Productkaarten[[#This Row],[Product]]&amp;", "&amp;Database_Productkaarten[[#This Row],[Levensfase]]</f>
        <v>RWSband 115/225x250, D1</v>
      </c>
      <c r="B1083" s="33" t="s">
        <v>226</v>
      </c>
      <c r="C1083" t="s">
        <v>55</v>
      </c>
      <c r="D1083" s="33" t="s">
        <v>388</v>
      </c>
      <c r="E1083" s="33" t="s">
        <v>389</v>
      </c>
      <c r="F1083" s="33" t="s">
        <v>87</v>
      </c>
      <c r="G1083" s="33">
        <v>1</v>
      </c>
      <c r="H1083" s="33">
        <v>0.25</v>
      </c>
      <c r="I1083" s="33">
        <v>0.22500000000000001</v>
      </c>
      <c r="L1083" s="33">
        <v>2.4</v>
      </c>
      <c r="M1083" s="271">
        <v>0.1263</v>
      </c>
      <c r="N1083" s="41"/>
      <c r="O1083" s="33">
        <v>25</v>
      </c>
      <c r="P1083" s="40"/>
      <c r="Q1083" s="40"/>
      <c r="R1083" s="40"/>
      <c r="S1083" s="40"/>
      <c r="T1083" s="40"/>
      <c r="U1083" s="40"/>
      <c r="V1083" s="40"/>
      <c r="W1083" s="40"/>
      <c r="X1083" s="40"/>
      <c r="Y1083" s="40"/>
      <c r="Z1083" s="40"/>
      <c r="AA1083" s="40"/>
      <c r="AB1083" s="40"/>
      <c r="AC1083" s="40"/>
      <c r="AD1083" s="40"/>
      <c r="AE1083" s="40"/>
      <c r="AF1083" s="40"/>
      <c r="AG1083" s="40"/>
      <c r="AH1083" s="40"/>
      <c r="AI1083" s="40"/>
      <c r="AJ1083" s="40"/>
      <c r="AK1083" s="40"/>
      <c r="AL1083" s="40"/>
      <c r="AM1083" s="40"/>
      <c r="AN1083" s="40"/>
      <c r="AO1083" s="40"/>
      <c r="AP1083" s="40"/>
      <c r="AQ1083" s="40"/>
      <c r="AR1083" s="40"/>
      <c r="AS1083" s="40"/>
      <c r="AT1083" s="40"/>
      <c r="AU1083" s="40"/>
      <c r="AV1083" s="310"/>
      <c r="AW1083" s="40"/>
      <c r="AX1083" s="40"/>
      <c r="AY1083" s="310"/>
      <c r="AZ1083" s="40"/>
      <c r="BA1083" s="40"/>
      <c r="BB1083" s="40"/>
      <c r="BC1083" s="40"/>
      <c r="BD1083" s="40"/>
      <c r="BE1083" s="40"/>
      <c r="BF1083" s="40"/>
      <c r="BG1083" s="40"/>
      <c r="BH1083" s="40"/>
      <c r="BI1083" s="40"/>
      <c r="BJ1083" s="40"/>
      <c r="BK1083" s="40"/>
      <c r="BL1083" s="306">
        <v>0.11163895486935867</v>
      </c>
      <c r="BM1083" s="275">
        <v>3</v>
      </c>
      <c r="BN1083" s="62">
        <v>0.03</v>
      </c>
      <c r="BO1083" s="33" t="s">
        <v>614</v>
      </c>
      <c r="BP1083" s="33" t="s">
        <v>615</v>
      </c>
    </row>
    <row r="1084" spans="1:68">
      <c r="A1084" s="33" t="str">
        <f>Database_Productkaarten[[#This Row],[Product]]&amp;", "&amp;Database_Productkaarten[[#This Row],[Levensfase]]</f>
        <v>RWSband 115/225x250, D2</v>
      </c>
      <c r="B1084" s="33" t="s">
        <v>226</v>
      </c>
      <c r="C1084" t="s">
        <v>55</v>
      </c>
      <c r="D1084" s="33" t="s">
        <v>388</v>
      </c>
      <c r="E1084" s="33" t="s">
        <v>389</v>
      </c>
      <c r="F1084" s="33" t="s">
        <v>88</v>
      </c>
      <c r="G1084" s="33">
        <v>1</v>
      </c>
      <c r="H1084" s="33">
        <v>0.25</v>
      </c>
      <c r="I1084" s="33">
        <v>0.22500000000000001</v>
      </c>
      <c r="L1084" s="33">
        <v>2.4</v>
      </c>
      <c r="M1084" s="271">
        <v>0.1263</v>
      </c>
      <c r="N1084" s="41"/>
      <c r="O1084" s="33">
        <v>25</v>
      </c>
      <c r="P1084" s="40"/>
      <c r="Q1084" s="40"/>
      <c r="R1084" s="40"/>
      <c r="S1084" s="40"/>
      <c r="T1084" s="40"/>
      <c r="U1084" s="40"/>
      <c r="V1084" s="40"/>
      <c r="W1084" s="40"/>
      <c r="X1084" s="40"/>
      <c r="Y1084" s="40"/>
      <c r="Z1084" s="40"/>
      <c r="AA1084" s="40"/>
      <c r="AB1084" s="40"/>
      <c r="AC1084" s="40"/>
      <c r="AD1084" s="40"/>
      <c r="AE1084" s="40"/>
      <c r="AF1084" s="40"/>
      <c r="AG1084" s="40"/>
      <c r="AH1084" s="40"/>
      <c r="AI1084" s="40"/>
      <c r="AJ1084" s="40"/>
      <c r="AK1084" s="40"/>
      <c r="AL1084" s="40"/>
      <c r="AM1084" s="40"/>
      <c r="AN1084" s="40"/>
      <c r="AO1084" s="40"/>
      <c r="AP1084" s="40"/>
      <c r="AQ1084" s="40"/>
      <c r="AR1084" s="40"/>
      <c r="AS1084" s="40"/>
      <c r="AT1084" s="40"/>
      <c r="AU1084" s="40"/>
      <c r="AV1084" s="310"/>
      <c r="AW1084" s="40"/>
      <c r="AX1084" s="40"/>
      <c r="AY1084" s="310"/>
      <c r="AZ1084" s="40"/>
      <c r="BA1084" s="40"/>
      <c r="BB1084" s="40"/>
      <c r="BC1084" s="40"/>
      <c r="BD1084" s="40"/>
      <c r="BE1084" s="40"/>
      <c r="BF1084" s="40"/>
      <c r="BG1084" s="40"/>
      <c r="BH1084" s="40"/>
      <c r="BI1084" s="40"/>
      <c r="BJ1084" s="40"/>
      <c r="BK1084" s="40"/>
      <c r="BL1084" s="306">
        <v>0.11163895486935867</v>
      </c>
      <c r="BM1084" s="275">
        <v>3</v>
      </c>
      <c r="BN1084" s="62">
        <v>0.03</v>
      </c>
      <c r="BO1084" s="33" t="s">
        <v>614</v>
      </c>
      <c r="BP1084" s="33" t="s">
        <v>615</v>
      </c>
    </row>
    <row r="1085" spans="1:68">
      <c r="A1085" s="33" t="str">
        <f>Database_Productkaarten[[#This Row],[Product]]&amp;", "&amp;Database_Productkaarten[[#This Row],[Levensfase]]</f>
        <v>RWSband 115/225x250 (hergebruik), Totaal</v>
      </c>
      <c r="B1085" s="33" t="s">
        <v>616</v>
      </c>
      <c r="C1085" t="s">
        <v>55</v>
      </c>
      <c r="D1085" s="33" t="s">
        <v>388</v>
      </c>
      <c r="E1085" s="33" t="s">
        <v>389</v>
      </c>
      <c r="F1085" s="33" t="s">
        <v>90</v>
      </c>
      <c r="G1085" s="33">
        <v>1</v>
      </c>
      <c r="H1085" s="33">
        <v>0.25</v>
      </c>
      <c r="I1085" s="33">
        <v>0.22500000000000001</v>
      </c>
      <c r="L1085" s="33">
        <v>2.4</v>
      </c>
      <c r="M1085" s="271">
        <v>0.1263</v>
      </c>
      <c r="N1085" s="41">
        <f>SUM(N1089:N1097)</f>
        <v>1.6443599999999998</v>
      </c>
      <c r="O1085" s="33">
        <v>25</v>
      </c>
      <c r="P1085" s="163">
        <f t="shared" ref="P1085:Z1085" si="303">SUM(P1089:P1097)</f>
        <v>1.2540246476399998E-5</v>
      </c>
      <c r="Q1085" s="163">
        <f t="shared" si="303"/>
        <v>4.1519161183000003E-2</v>
      </c>
      <c r="R1085" s="163">
        <f t="shared" si="303"/>
        <v>7.0031812121999995</v>
      </c>
      <c r="S1085" s="163">
        <f t="shared" si="303"/>
        <v>9.3713007389999996E-7</v>
      </c>
      <c r="T1085" s="163">
        <f t="shared" si="303"/>
        <v>3.7812467842000003E-3</v>
      </c>
      <c r="U1085" s="163">
        <f t="shared" si="303"/>
        <v>2.9584275255E-2</v>
      </c>
      <c r="V1085" s="163">
        <f t="shared" si="303"/>
        <v>6.1367428627000006E-3</v>
      </c>
      <c r="W1085" s="163">
        <f t="shared" si="303"/>
        <v>2.0473443307999997</v>
      </c>
      <c r="X1085" s="163">
        <f t="shared" si="303"/>
        <v>5.2302987217000003E-2</v>
      </c>
      <c r="Y1085" s="163">
        <f t="shared" si="303"/>
        <v>194.01219343000002</v>
      </c>
      <c r="Z1085" s="163">
        <f t="shared" si="303"/>
        <v>1.01830241933E-2</v>
      </c>
      <c r="AA1085" s="40"/>
      <c r="AB1085" s="40"/>
      <c r="AC1085" s="40"/>
      <c r="AD1085" s="40"/>
      <c r="AE1085" s="40"/>
      <c r="AF1085" s="40"/>
      <c r="AG1085" s="40"/>
      <c r="AH1085" s="40"/>
      <c r="AI1085" s="40"/>
      <c r="AJ1085" s="40"/>
      <c r="AK1085" s="40"/>
      <c r="AL1085" s="40"/>
      <c r="AM1085" s="40"/>
      <c r="AN1085" s="40"/>
      <c r="AO1085" s="40"/>
      <c r="AP1085" s="40"/>
      <c r="AQ1085" s="40"/>
      <c r="AR1085" s="40"/>
      <c r="AS1085" s="40"/>
      <c r="AT1085" s="40"/>
      <c r="AU1085" s="40"/>
      <c r="AV1085" s="163">
        <f>SUM(AV1089:AV1097)</f>
        <v>2.8745984160000004</v>
      </c>
      <c r="AW1085" s="40"/>
      <c r="AX1085" s="40"/>
      <c r="AY1085" s="163">
        <f>SUM(AY1089:AY1097)</f>
        <v>92.429634989999997</v>
      </c>
      <c r="AZ1085" s="40"/>
      <c r="BA1085" s="40"/>
      <c r="BB1085" s="40"/>
      <c r="BC1085" s="163">
        <f t="shared" ref="BC1085:BE1085" si="304">SUM(BC1089:BC1097)</f>
        <v>0.17131395899000001</v>
      </c>
      <c r="BD1085" s="163">
        <f t="shared" si="304"/>
        <v>1.0911154127022</v>
      </c>
      <c r="BE1085" s="163">
        <f t="shared" si="304"/>
        <v>5.1324675691999992</v>
      </c>
      <c r="BF1085" s="40"/>
      <c r="BG1085" s="40"/>
      <c r="BH1085" s="40"/>
      <c r="BI1085" s="40"/>
      <c r="BJ1085" s="40"/>
      <c r="BK1085" s="40"/>
      <c r="BL1085" s="62">
        <v>1</v>
      </c>
      <c r="BM1085" s="275">
        <v>3</v>
      </c>
      <c r="BN1085" s="62">
        <v>0.03</v>
      </c>
      <c r="BO1085" s="33" t="s">
        <v>614</v>
      </c>
      <c r="BP1085" s="33" t="s">
        <v>602</v>
      </c>
    </row>
    <row r="1086" spans="1:68">
      <c r="A1086" s="33" t="str">
        <f>Database_Productkaarten[[#This Row],[Product]]&amp;", "&amp;Database_Productkaarten[[#This Row],[Levensfase]]</f>
        <v>RWSband 115/225x250 (hergebruik), A1</v>
      </c>
      <c r="B1086" s="33" t="s">
        <v>616</v>
      </c>
      <c r="C1086" t="s">
        <v>55</v>
      </c>
      <c r="D1086" s="33" t="s">
        <v>388</v>
      </c>
      <c r="E1086" s="33" t="s">
        <v>389</v>
      </c>
      <c r="F1086" s="33" t="s">
        <v>74</v>
      </c>
      <c r="G1086" s="33">
        <v>1</v>
      </c>
      <c r="H1086" s="33">
        <v>0.25</v>
      </c>
      <c r="I1086" s="33">
        <v>0.22500000000000001</v>
      </c>
      <c r="L1086" s="33">
        <v>2.4</v>
      </c>
      <c r="M1086" s="271">
        <v>0.1263</v>
      </c>
      <c r="N1086" s="41">
        <v>0</v>
      </c>
      <c r="O1086" s="33">
        <v>25</v>
      </c>
      <c r="P1086" s="163">
        <v>0</v>
      </c>
      <c r="Q1086" s="163">
        <v>0</v>
      </c>
      <c r="R1086" s="163">
        <v>0</v>
      </c>
      <c r="S1086" s="163">
        <v>0</v>
      </c>
      <c r="T1086" s="163">
        <v>0</v>
      </c>
      <c r="U1086" s="163">
        <v>0</v>
      </c>
      <c r="V1086" s="163">
        <v>0</v>
      </c>
      <c r="W1086" s="163">
        <v>0</v>
      </c>
      <c r="X1086" s="163">
        <v>0</v>
      </c>
      <c r="Y1086" s="163">
        <v>0</v>
      </c>
      <c r="Z1086" s="163">
        <v>0</v>
      </c>
      <c r="AA1086" s="40"/>
      <c r="AB1086" s="40"/>
      <c r="AC1086" s="40"/>
      <c r="AD1086" s="40"/>
      <c r="AE1086" s="40"/>
      <c r="AF1086" s="40"/>
      <c r="AG1086" s="40"/>
      <c r="AH1086" s="40"/>
      <c r="AI1086" s="40"/>
      <c r="AJ1086" s="40"/>
      <c r="AK1086" s="40"/>
      <c r="AL1086" s="40"/>
      <c r="AM1086" s="40"/>
      <c r="AN1086" s="40"/>
      <c r="AO1086" s="40"/>
      <c r="AP1086" s="40"/>
      <c r="AQ1086" s="40"/>
      <c r="AR1086" s="40"/>
      <c r="AS1086" s="40"/>
      <c r="AT1086" s="40"/>
      <c r="AU1086" s="40"/>
      <c r="AV1086" s="163">
        <v>0</v>
      </c>
      <c r="AW1086" s="40"/>
      <c r="AX1086" s="40"/>
      <c r="AY1086" s="163">
        <v>0</v>
      </c>
      <c r="AZ1086" s="40"/>
      <c r="BA1086" s="40"/>
      <c r="BB1086" s="40"/>
      <c r="BC1086" s="163">
        <v>0</v>
      </c>
      <c r="BD1086" s="163">
        <v>0</v>
      </c>
      <c r="BE1086" s="163">
        <v>0</v>
      </c>
      <c r="BF1086" s="40"/>
      <c r="BG1086" s="40"/>
      <c r="BH1086" s="40"/>
      <c r="BI1086" s="40"/>
      <c r="BJ1086" s="40"/>
      <c r="BK1086" s="40"/>
      <c r="BL1086" s="62">
        <v>1</v>
      </c>
      <c r="BM1086" s="275">
        <v>3</v>
      </c>
      <c r="BN1086" s="62">
        <v>0.03</v>
      </c>
      <c r="BO1086" s="33" t="s">
        <v>614</v>
      </c>
      <c r="BP1086" s="33" t="s">
        <v>602</v>
      </c>
    </row>
    <row r="1087" spans="1:68">
      <c r="A1087" s="33" t="str">
        <f>Database_Productkaarten[[#This Row],[Product]]&amp;", "&amp;Database_Productkaarten[[#This Row],[Levensfase]]</f>
        <v>RWSband 115/225x250 (hergebruik), A2</v>
      </c>
      <c r="B1087" s="33" t="s">
        <v>616</v>
      </c>
      <c r="C1087" t="s">
        <v>55</v>
      </c>
      <c r="D1087" s="33" t="s">
        <v>388</v>
      </c>
      <c r="E1087" s="33" t="s">
        <v>389</v>
      </c>
      <c r="F1087" s="33" t="s">
        <v>75</v>
      </c>
      <c r="G1087" s="33">
        <v>1</v>
      </c>
      <c r="H1087" s="33">
        <v>0.25</v>
      </c>
      <c r="I1087" s="33">
        <v>0.22500000000000001</v>
      </c>
      <c r="L1087" s="33">
        <v>2.4</v>
      </c>
      <c r="M1087" s="271">
        <v>0.1263</v>
      </c>
      <c r="N1087" s="41">
        <v>0</v>
      </c>
      <c r="O1087" s="33">
        <v>25</v>
      </c>
      <c r="P1087" s="163">
        <v>0</v>
      </c>
      <c r="Q1087" s="163">
        <v>0</v>
      </c>
      <c r="R1087" s="163">
        <v>0</v>
      </c>
      <c r="S1087" s="163">
        <v>0</v>
      </c>
      <c r="T1087" s="163">
        <v>0</v>
      </c>
      <c r="U1087" s="163">
        <v>0</v>
      </c>
      <c r="V1087" s="163">
        <v>0</v>
      </c>
      <c r="W1087" s="163">
        <v>0</v>
      </c>
      <c r="X1087" s="163">
        <v>0</v>
      </c>
      <c r="Y1087" s="163">
        <v>0</v>
      </c>
      <c r="Z1087" s="163">
        <v>0</v>
      </c>
      <c r="AA1087" s="40"/>
      <c r="AB1087" s="40"/>
      <c r="AC1087" s="40"/>
      <c r="AD1087" s="40"/>
      <c r="AE1087" s="40"/>
      <c r="AF1087" s="40"/>
      <c r="AG1087" s="40"/>
      <c r="AH1087" s="40"/>
      <c r="AI1087" s="40"/>
      <c r="AJ1087" s="40"/>
      <c r="AK1087" s="40"/>
      <c r="AL1087" s="40"/>
      <c r="AM1087" s="40"/>
      <c r="AN1087" s="40"/>
      <c r="AO1087" s="40"/>
      <c r="AP1087" s="40"/>
      <c r="AQ1087" s="40"/>
      <c r="AR1087" s="40"/>
      <c r="AS1087" s="40"/>
      <c r="AT1087" s="40"/>
      <c r="AU1087" s="40"/>
      <c r="AV1087" s="163">
        <v>0</v>
      </c>
      <c r="AW1087" s="40"/>
      <c r="AX1087" s="40"/>
      <c r="AY1087" s="163">
        <v>0</v>
      </c>
      <c r="AZ1087" s="40"/>
      <c r="BA1087" s="40"/>
      <c r="BB1087" s="40"/>
      <c r="BC1087" s="163">
        <v>0</v>
      </c>
      <c r="BD1087" s="163">
        <v>0</v>
      </c>
      <c r="BE1087" s="163">
        <v>0</v>
      </c>
      <c r="BF1087" s="40"/>
      <c r="BG1087" s="40"/>
      <c r="BH1087" s="40"/>
      <c r="BI1087" s="40"/>
      <c r="BJ1087" s="40"/>
      <c r="BK1087" s="40"/>
      <c r="BL1087" s="62">
        <v>1</v>
      </c>
      <c r="BM1087" s="275">
        <v>3</v>
      </c>
      <c r="BN1087" s="62">
        <v>0.03</v>
      </c>
      <c r="BO1087" s="33" t="s">
        <v>614</v>
      </c>
      <c r="BP1087" s="33" t="s">
        <v>602</v>
      </c>
    </row>
    <row r="1088" spans="1:68">
      <c r="A1088" s="33" t="str">
        <f>Database_Productkaarten[[#This Row],[Product]]&amp;", "&amp;Database_Productkaarten[[#This Row],[Levensfase]]</f>
        <v>RWSband 115/225x250 (hergebruik), A3</v>
      </c>
      <c r="B1088" s="33" t="s">
        <v>616</v>
      </c>
      <c r="C1088" t="s">
        <v>55</v>
      </c>
      <c r="D1088" s="33" t="s">
        <v>388</v>
      </c>
      <c r="E1088" s="33" t="s">
        <v>389</v>
      </c>
      <c r="F1088" s="33" t="s">
        <v>76</v>
      </c>
      <c r="G1088" s="33">
        <v>1</v>
      </c>
      <c r="H1088" s="33">
        <v>0.25</v>
      </c>
      <c r="I1088" s="33">
        <v>0.22500000000000001</v>
      </c>
      <c r="L1088" s="33">
        <v>2.4</v>
      </c>
      <c r="M1088" s="271">
        <v>0.1263</v>
      </c>
      <c r="N1088" s="41">
        <v>0</v>
      </c>
      <c r="O1088" s="33">
        <v>25</v>
      </c>
      <c r="P1088" s="163">
        <v>0</v>
      </c>
      <c r="Q1088" s="163">
        <v>0</v>
      </c>
      <c r="R1088" s="163">
        <v>0</v>
      </c>
      <c r="S1088" s="163">
        <v>0</v>
      </c>
      <c r="T1088" s="163">
        <v>0</v>
      </c>
      <c r="U1088" s="163">
        <v>0</v>
      </c>
      <c r="V1088" s="163">
        <v>0</v>
      </c>
      <c r="W1088" s="163">
        <v>0</v>
      </c>
      <c r="X1088" s="163">
        <v>0</v>
      </c>
      <c r="Y1088" s="163">
        <v>0</v>
      </c>
      <c r="Z1088" s="163">
        <v>0</v>
      </c>
      <c r="AA1088" s="40"/>
      <c r="AB1088" s="40"/>
      <c r="AC1088" s="40"/>
      <c r="AD1088" s="40"/>
      <c r="AE1088" s="40"/>
      <c r="AF1088" s="40"/>
      <c r="AG1088" s="40"/>
      <c r="AH1088" s="40"/>
      <c r="AI1088" s="40"/>
      <c r="AJ1088" s="40"/>
      <c r="AK1088" s="40"/>
      <c r="AL1088" s="40"/>
      <c r="AM1088" s="40"/>
      <c r="AN1088" s="40"/>
      <c r="AO1088" s="40"/>
      <c r="AP1088" s="40"/>
      <c r="AQ1088" s="40"/>
      <c r="AR1088" s="40"/>
      <c r="AS1088" s="40"/>
      <c r="AT1088" s="40"/>
      <c r="AU1088" s="40"/>
      <c r="AV1088" s="163">
        <v>0</v>
      </c>
      <c r="AW1088" s="40"/>
      <c r="AX1088" s="40"/>
      <c r="AY1088" s="163">
        <v>0</v>
      </c>
      <c r="AZ1088" s="40"/>
      <c r="BA1088" s="40"/>
      <c r="BB1088" s="40"/>
      <c r="BC1088" s="163">
        <v>0</v>
      </c>
      <c r="BD1088" s="163">
        <v>0</v>
      </c>
      <c r="BE1088" s="163">
        <v>0</v>
      </c>
      <c r="BF1088" s="40"/>
      <c r="BG1088" s="40"/>
      <c r="BH1088" s="40"/>
      <c r="BI1088" s="40"/>
      <c r="BJ1088" s="40"/>
      <c r="BK1088" s="40"/>
      <c r="BL1088" s="62">
        <v>1</v>
      </c>
      <c r="BM1088" s="275">
        <v>3</v>
      </c>
      <c r="BN1088" s="62">
        <v>0.03</v>
      </c>
      <c r="BO1088" s="33" t="s">
        <v>614</v>
      </c>
      <c r="BP1088" s="33" t="s">
        <v>602</v>
      </c>
    </row>
    <row r="1089" spans="1:68">
      <c r="A1089" s="33" t="str">
        <f>Database_Productkaarten[[#This Row],[Product]]&amp;", "&amp;Database_Productkaarten[[#This Row],[Levensfase]]</f>
        <v>RWSband 115/225x250 (hergebruik), A1-A3</v>
      </c>
      <c r="B1089" s="33" t="s">
        <v>616</v>
      </c>
      <c r="C1089" t="s">
        <v>55</v>
      </c>
      <c r="D1089" s="33" t="s">
        <v>388</v>
      </c>
      <c r="E1089" s="33" t="s">
        <v>389</v>
      </c>
      <c r="F1089" s="33" t="s">
        <v>77</v>
      </c>
      <c r="G1089" s="33">
        <v>1</v>
      </c>
      <c r="H1089" s="33">
        <v>0.25</v>
      </c>
      <c r="I1089" s="33">
        <v>0.22500000000000001</v>
      </c>
      <c r="L1089" s="33">
        <v>2.4</v>
      </c>
      <c r="M1089" s="271">
        <v>0.1263</v>
      </c>
      <c r="N1089" s="41">
        <v>0</v>
      </c>
      <c r="O1089" s="33">
        <v>25</v>
      </c>
      <c r="P1089" s="163">
        <v>0</v>
      </c>
      <c r="Q1089" s="163">
        <v>0</v>
      </c>
      <c r="R1089" s="163">
        <v>0</v>
      </c>
      <c r="S1089" s="163">
        <v>0</v>
      </c>
      <c r="T1089" s="163">
        <v>0</v>
      </c>
      <c r="U1089" s="163">
        <v>0</v>
      </c>
      <c r="V1089" s="163">
        <v>0</v>
      </c>
      <c r="W1089" s="163">
        <v>0</v>
      </c>
      <c r="X1089" s="163">
        <v>0</v>
      </c>
      <c r="Y1089" s="163">
        <v>0</v>
      </c>
      <c r="Z1089" s="163">
        <v>0</v>
      </c>
      <c r="AA1089" s="40"/>
      <c r="AB1089" s="40"/>
      <c r="AC1089" s="40"/>
      <c r="AD1089" s="40"/>
      <c r="AE1089" s="40"/>
      <c r="AF1089" s="40"/>
      <c r="AG1089" s="40"/>
      <c r="AH1089" s="40"/>
      <c r="AI1089" s="40"/>
      <c r="AJ1089" s="40"/>
      <c r="AK1089" s="40"/>
      <c r="AL1089" s="40"/>
      <c r="AM1089" s="40"/>
      <c r="AN1089" s="40"/>
      <c r="AO1089" s="40"/>
      <c r="AP1089" s="40"/>
      <c r="AQ1089" s="40"/>
      <c r="AR1089" s="40"/>
      <c r="AS1089" s="40"/>
      <c r="AT1089" s="40"/>
      <c r="AU1089" s="40"/>
      <c r="AV1089" s="163">
        <v>0</v>
      </c>
      <c r="AW1089" s="40"/>
      <c r="AX1089" s="40"/>
      <c r="AY1089" s="163">
        <v>0</v>
      </c>
      <c r="AZ1089" s="40"/>
      <c r="BA1089" s="40"/>
      <c r="BB1089" s="40"/>
      <c r="BC1089" s="163">
        <v>0</v>
      </c>
      <c r="BD1089" s="163">
        <v>0</v>
      </c>
      <c r="BE1089" s="163">
        <v>0</v>
      </c>
      <c r="BF1089" s="40"/>
      <c r="BG1089" s="40"/>
      <c r="BH1089" s="40"/>
      <c r="BI1089" s="40"/>
      <c r="BJ1089" s="40"/>
      <c r="BK1089" s="40"/>
      <c r="BL1089" s="62">
        <v>1</v>
      </c>
      <c r="BM1089" s="275">
        <v>3</v>
      </c>
      <c r="BN1089" s="62">
        <v>0.03</v>
      </c>
      <c r="BO1089" s="33" t="s">
        <v>614</v>
      </c>
      <c r="BP1089" s="33" t="s">
        <v>602</v>
      </c>
    </row>
    <row r="1090" spans="1:68">
      <c r="A1090" s="33" t="str">
        <f>Database_Productkaarten[[#This Row],[Product]]&amp;", "&amp;Database_Productkaarten[[#This Row],[Levensfase]]</f>
        <v>RWSband 115/225x250 (hergebruik), A4</v>
      </c>
      <c r="B1090" s="33" t="s">
        <v>616</v>
      </c>
      <c r="C1090" t="s">
        <v>55</v>
      </c>
      <c r="D1090" s="33" t="s">
        <v>388</v>
      </c>
      <c r="E1090" s="33" t="s">
        <v>389</v>
      </c>
      <c r="F1090" s="33" t="s">
        <v>78</v>
      </c>
      <c r="G1090" s="33">
        <v>1</v>
      </c>
      <c r="H1090" s="33">
        <v>0.25</v>
      </c>
      <c r="I1090" s="33">
        <v>0.22500000000000001</v>
      </c>
      <c r="L1090" s="33">
        <v>2.4</v>
      </c>
      <c r="M1090" s="271">
        <v>0.1263</v>
      </c>
      <c r="N1090" s="41">
        <f>N1075</f>
        <v>0.29471999999999998</v>
      </c>
      <c r="O1090" s="33">
        <v>25</v>
      </c>
      <c r="P1090" s="163">
        <f t="shared" ref="P1090:Z1090" si="305">P1075</f>
        <v>7.0445062999999996E-6</v>
      </c>
      <c r="Q1090" s="163">
        <f t="shared" si="305"/>
        <v>1.8284257000000002E-2</v>
      </c>
      <c r="R1090" s="163">
        <f t="shared" si="305"/>
        <v>2.4771179999999999</v>
      </c>
      <c r="S1090" s="163">
        <f t="shared" si="305"/>
        <v>4.5648395E-7</v>
      </c>
      <c r="T1090" s="163">
        <f t="shared" si="305"/>
        <v>1.4620739E-3</v>
      </c>
      <c r="U1090" s="163">
        <f t="shared" si="305"/>
        <v>1.0739375000000001E-2</v>
      </c>
      <c r="V1090" s="163">
        <f t="shared" si="305"/>
        <v>2.1400656999999998E-3</v>
      </c>
      <c r="W1090" s="163">
        <f t="shared" si="305"/>
        <v>0.99104079</v>
      </c>
      <c r="X1090" s="163">
        <f t="shared" si="305"/>
        <v>2.9065891999999999E-2</v>
      </c>
      <c r="Y1090" s="163">
        <f t="shared" si="305"/>
        <v>104.90742</v>
      </c>
      <c r="Z1090" s="163">
        <f t="shared" si="305"/>
        <v>3.5113846E-3</v>
      </c>
      <c r="AA1090" s="40"/>
      <c r="AB1090" s="40"/>
      <c r="AC1090" s="40"/>
      <c r="AD1090" s="40"/>
      <c r="AE1090" s="40"/>
      <c r="AF1090" s="40"/>
      <c r="AG1090" s="40"/>
      <c r="AH1090" s="40"/>
      <c r="AI1090" s="40"/>
      <c r="AJ1090" s="40"/>
      <c r="AK1090" s="40"/>
      <c r="AL1090" s="40"/>
      <c r="AM1090" s="40"/>
      <c r="AN1090" s="40"/>
      <c r="AO1090" s="40"/>
      <c r="AP1090" s="40"/>
      <c r="AQ1090" s="40"/>
      <c r="AR1090" s="40"/>
      <c r="AS1090" s="40"/>
      <c r="AT1090" s="40"/>
      <c r="AU1090" s="40"/>
      <c r="AV1090" s="163">
        <f>AV1075</f>
        <v>0.52164568</v>
      </c>
      <c r="AW1090" s="40"/>
      <c r="AX1090" s="40"/>
      <c r="AY1090" s="163">
        <f>AY1075</f>
        <v>40.761302000000001</v>
      </c>
      <c r="AZ1090" s="40"/>
      <c r="BA1090" s="40"/>
      <c r="BB1090" s="40"/>
      <c r="BC1090" s="163">
        <f t="shared" ref="BC1090:BE1090" si="306">BC1075</f>
        <v>7.3308185E-3</v>
      </c>
      <c r="BD1090" s="163">
        <f t="shared" si="306"/>
        <v>2.8150852000000001E-4</v>
      </c>
      <c r="BE1090" s="163">
        <f t="shared" si="306"/>
        <v>2.3429905</v>
      </c>
      <c r="BF1090" s="40"/>
      <c r="BG1090" s="40"/>
      <c r="BH1090" s="40"/>
      <c r="BI1090" s="40"/>
      <c r="BJ1090" s="40"/>
      <c r="BK1090" s="40"/>
      <c r="BL1090" s="62">
        <v>1</v>
      </c>
      <c r="BM1090" s="275">
        <v>3</v>
      </c>
      <c r="BN1090" s="62">
        <v>0.03</v>
      </c>
      <c r="BO1090" s="33" t="s">
        <v>614</v>
      </c>
      <c r="BP1090" s="33" t="s">
        <v>602</v>
      </c>
    </row>
    <row r="1091" spans="1:68">
      <c r="A1091" s="33" t="str">
        <f>Database_Productkaarten[[#This Row],[Product]]&amp;", "&amp;Database_Productkaarten[[#This Row],[Levensfase]]</f>
        <v>RWSband 115/225x250 (hergebruik), A5</v>
      </c>
      <c r="B1091" s="33" t="s">
        <v>616</v>
      </c>
      <c r="C1091" t="s">
        <v>55</v>
      </c>
      <c r="D1091" s="33" t="s">
        <v>388</v>
      </c>
      <c r="E1091" s="33" t="s">
        <v>389</v>
      </c>
      <c r="F1091" s="33" t="s">
        <v>79</v>
      </c>
      <c r="G1091" s="33">
        <v>1</v>
      </c>
      <c r="H1091" s="33">
        <v>0.25</v>
      </c>
      <c r="I1091" s="33">
        <v>0.22500000000000001</v>
      </c>
      <c r="L1091" s="33">
        <v>2.4</v>
      </c>
      <c r="M1091" s="271">
        <v>0.1263</v>
      </c>
      <c r="N1091" s="41">
        <f t="shared" ref="N1091:N1096" si="307">N1076</f>
        <v>0.12225</v>
      </c>
      <c r="O1091" s="33">
        <v>25</v>
      </c>
      <c r="P1091" s="163">
        <f t="shared" ref="P1091:Z1091" si="308">P1076</f>
        <v>9.5874962000000003E-7</v>
      </c>
      <c r="Q1091" s="163">
        <f t="shared" si="308"/>
        <v>6.3109313999999998E-3</v>
      </c>
      <c r="R1091" s="163">
        <f t="shared" si="308"/>
        <v>1.1948061000000001</v>
      </c>
      <c r="S1091" s="163">
        <f t="shared" si="308"/>
        <v>1.4102576999999999E-7</v>
      </c>
      <c r="T1091" s="163">
        <f t="shared" si="308"/>
        <v>7.5709612999999999E-4</v>
      </c>
      <c r="U1091" s="163">
        <f t="shared" si="308"/>
        <v>6.0043194000000003E-3</v>
      </c>
      <c r="V1091" s="163">
        <f t="shared" si="308"/>
        <v>1.3094211999999999E-3</v>
      </c>
      <c r="W1091" s="163">
        <f t="shared" si="308"/>
        <v>0.29673248000000002</v>
      </c>
      <c r="X1091" s="163">
        <f t="shared" si="308"/>
        <v>5.3577175999999999E-3</v>
      </c>
      <c r="Y1091" s="163">
        <f t="shared" si="308"/>
        <v>20.090758999999998</v>
      </c>
      <c r="Z1091" s="163">
        <f t="shared" si="308"/>
        <v>1.4163770999999999E-3</v>
      </c>
      <c r="AA1091" s="40"/>
      <c r="AB1091" s="40"/>
      <c r="AC1091" s="40"/>
      <c r="AD1091" s="40"/>
      <c r="AE1091" s="40"/>
      <c r="AF1091" s="40"/>
      <c r="AG1091" s="40"/>
      <c r="AH1091" s="40"/>
      <c r="AI1091" s="40"/>
      <c r="AJ1091" s="40"/>
      <c r="AK1091" s="40"/>
      <c r="AL1091" s="40"/>
      <c r="AM1091" s="40"/>
      <c r="AN1091" s="40"/>
      <c r="AO1091" s="40"/>
      <c r="AP1091" s="40"/>
      <c r="AQ1091" s="40"/>
      <c r="AR1091" s="40"/>
      <c r="AS1091" s="40"/>
      <c r="AT1091" s="40"/>
      <c r="AU1091" s="40"/>
      <c r="AV1091" s="163">
        <f t="shared" ref="AV1091:AV1096" si="309">AV1076</f>
        <v>0.50144993999999998</v>
      </c>
      <c r="AW1091" s="40"/>
      <c r="AX1091" s="40"/>
      <c r="AY1091" s="163">
        <f t="shared" ref="AY1091:AY1096" si="310">AY1076</f>
        <v>14.128472</v>
      </c>
      <c r="AZ1091" s="40"/>
      <c r="BA1091" s="40"/>
      <c r="BB1091" s="40"/>
      <c r="BC1091" s="163">
        <f t="shared" ref="BC1091:BE1091" si="311">BC1076</f>
        <v>3.4100178000000002E-2</v>
      </c>
      <c r="BD1091" s="163">
        <f t="shared" si="311"/>
        <v>0.25174718000000001</v>
      </c>
      <c r="BE1091" s="163">
        <f t="shared" si="311"/>
        <v>0.19873539000000001</v>
      </c>
      <c r="BF1091" s="40"/>
      <c r="BG1091" s="40"/>
      <c r="BH1091" s="40"/>
      <c r="BI1091" s="40"/>
      <c r="BJ1091" s="40"/>
      <c r="BK1091" s="40"/>
      <c r="BL1091" s="62">
        <v>1</v>
      </c>
      <c r="BM1091" s="275">
        <v>3</v>
      </c>
      <c r="BN1091" s="62">
        <v>0.03</v>
      </c>
      <c r="BO1091" s="33" t="s">
        <v>614</v>
      </c>
      <c r="BP1091" s="33" t="s">
        <v>602</v>
      </c>
    </row>
    <row r="1092" spans="1:68">
      <c r="A1092" s="33" t="str">
        <f>Database_Productkaarten[[#This Row],[Product]]&amp;", "&amp;Database_Productkaarten[[#This Row],[Levensfase]]</f>
        <v>RWSband 115/225x250 (hergebruik), B1</v>
      </c>
      <c r="B1092" s="33" t="s">
        <v>616</v>
      </c>
      <c r="C1092" t="s">
        <v>55</v>
      </c>
      <c r="D1092" s="33" t="s">
        <v>388</v>
      </c>
      <c r="E1092" s="33" t="s">
        <v>389</v>
      </c>
      <c r="F1092" s="33" t="s">
        <v>80</v>
      </c>
      <c r="G1092" s="33">
        <v>1</v>
      </c>
      <c r="H1092" s="33">
        <v>0.25</v>
      </c>
      <c r="I1092" s="33">
        <v>0.22500000000000001</v>
      </c>
      <c r="L1092" s="33">
        <v>2.4</v>
      </c>
      <c r="M1092" s="271">
        <v>0.1263</v>
      </c>
      <c r="N1092" s="41">
        <f t="shared" si="307"/>
        <v>0</v>
      </c>
      <c r="O1092" s="33">
        <v>25</v>
      </c>
      <c r="P1092" s="163">
        <f t="shared" ref="P1092:Z1092" si="312">P1077</f>
        <v>0</v>
      </c>
      <c r="Q1092" s="163">
        <f t="shared" si="312"/>
        <v>0</v>
      </c>
      <c r="R1092" s="163">
        <f t="shared" si="312"/>
        <v>0</v>
      </c>
      <c r="S1092" s="163">
        <f t="shared" si="312"/>
        <v>0</v>
      </c>
      <c r="T1092" s="163">
        <f t="shared" si="312"/>
        <v>0</v>
      </c>
      <c r="U1092" s="163">
        <f t="shared" si="312"/>
        <v>0</v>
      </c>
      <c r="V1092" s="163">
        <f t="shared" si="312"/>
        <v>0</v>
      </c>
      <c r="W1092" s="163">
        <f t="shared" si="312"/>
        <v>0</v>
      </c>
      <c r="X1092" s="163">
        <f t="shared" si="312"/>
        <v>0</v>
      </c>
      <c r="Y1092" s="163">
        <f t="shared" si="312"/>
        <v>0</v>
      </c>
      <c r="Z1092" s="163">
        <f t="shared" si="312"/>
        <v>0</v>
      </c>
      <c r="AA1092" s="40"/>
      <c r="AB1092" s="40"/>
      <c r="AC1092" s="40"/>
      <c r="AD1092" s="40"/>
      <c r="AE1092" s="40"/>
      <c r="AF1092" s="40"/>
      <c r="AG1092" s="40"/>
      <c r="AH1092" s="40"/>
      <c r="AI1092" s="40"/>
      <c r="AJ1092" s="40"/>
      <c r="AK1092" s="40"/>
      <c r="AL1092" s="40"/>
      <c r="AM1092" s="40"/>
      <c r="AN1092" s="40"/>
      <c r="AO1092" s="40"/>
      <c r="AP1092" s="40"/>
      <c r="AQ1092" s="40"/>
      <c r="AR1092" s="40"/>
      <c r="AS1092" s="40"/>
      <c r="AT1092" s="40"/>
      <c r="AU1092" s="40"/>
      <c r="AV1092" s="163">
        <f t="shared" si="309"/>
        <v>0</v>
      </c>
      <c r="AW1092" s="40"/>
      <c r="AX1092" s="40"/>
      <c r="AY1092" s="163">
        <f t="shared" si="310"/>
        <v>0</v>
      </c>
      <c r="AZ1092" s="40"/>
      <c r="BA1092" s="40"/>
      <c r="BB1092" s="40"/>
      <c r="BC1092" s="163">
        <f t="shared" ref="BC1092:BE1092" si="313">BC1077</f>
        <v>0</v>
      </c>
      <c r="BD1092" s="163">
        <f t="shared" si="313"/>
        <v>0</v>
      </c>
      <c r="BE1092" s="163">
        <f t="shared" si="313"/>
        <v>0</v>
      </c>
      <c r="BF1092" s="40"/>
      <c r="BG1092" s="40"/>
      <c r="BH1092" s="40"/>
      <c r="BI1092" s="40"/>
      <c r="BJ1092" s="40"/>
      <c r="BK1092" s="40"/>
      <c r="BL1092" s="62">
        <v>1</v>
      </c>
      <c r="BM1092" s="275">
        <v>3</v>
      </c>
      <c r="BN1092" s="62">
        <v>0.03</v>
      </c>
      <c r="BO1092" s="33" t="s">
        <v>614</v>
      </c>
      <c r="BP1092" s="33" t="s">
        <v>602</v>
      </c>
    </row>
    <row r="1093" spans="1:68">
      <c r="A1093" s="33" t="str">
        <f>Database_Productkaarten[[#This Row],[Product]]&amp;", "&amp;Database_Productkaarten[[#This Row],[Levensfase]]</f>
        <v>RWSband 115/225x250 (hergebruik), C1</v>
      </c>
      <c r="B1093" s="33" t="s">
        <v>616</v>
      </c>
      <c r="C1093" t="s">
        <v>55</v>
      </c>
      <c r="D1093" s="33" t="s">
        <v>388</v>
      </c>
      <c r="E1093" s="33" t="s">
        <v>389</v>
      </c>
      <c r="F1093" s="33" t="s">
        <v>83</v>
      </c>
      <c r="G1093" s="33">
        <v>1</v>
      </c>
      <c r="H1093" s="33">
        <v>0.25</v>
      </c>
      <c r="I1093" s="33">
        <v>0.22500000000000001</v>
      </c>
      <c r="L1093" s="33">
        <v>2.4</v>
      </c>
      <c r="M1093" s="271">
        <v>0.1263</v>
      </c>
      <c r="N1093" s="41">
        <f t="shared" si="307"/>
        <v>7.8710000000000002E-2</v>
      </c>
      <c r="O1093" s="33">
        <v>25</v>
      </c>
      <c r="P1093" s="163">
        <f t="shared" ref="P1093:Z1093" si="314">P1078</f>
        <v>1.9924427999999999E-7</v>
      </c>
      <c r="Q1093" s="163">
        <f t="shared" si="314"/>
        <v>4.1050855000000002E-3</v>
      </c>
      <c r="R1093" s="163">
        <f t="shared" si="314"/>
        <v>0.59497279999999997</v>
      </c>
      <c r="S1093" s="163">
        <f t="shared" si="314"/>
        <v>1.0716769E-7</v>
      </c>
      <c r="T1093" s="163">
        <f t="shared" si="314"/>
        <v>5.9971757000000004E-4</v>
      </c>
      <c r="U1093" s="163">
        <f t="shared" si="314"/>
        <v>4.5018584999999998E-3</v>
      </c>
      <c r="V1093" s="163">
        <f t="shared" si="314"/>
        <v>1.0080613000000001E-3</v>
      </c>
      <c r="W1093" s="163">
        <f t="shared" si="314"/>
        <v>0.21061642999999999</v>
      </c>
      <c r="X1093" s="163">
        <f t="shared" si="314"/>
        <v>2.9454494999999999E-3</v>
      </c>
      <c r="Y1093" s="163">
        <f t="shared" si="314"/>
        <v>9.9845778999999997</v>
      </c>
      <c r="Z1093" s="163">
        <f t="shared" si="314"/>
        <v>3.5193415999999999E-4</v>
      </c>
      <c r="AA1093" s="40"/>
      <c r="AB1093" s="40"/>
      <c r="AC1093" s="40"/>
      <c r="AD1093" s="40"/>
      <c r="AE1093" s="40"/>
      <c r="AF1093" s="40"/>
      <c r="AG1093" s="40"/>
      <c r="AH1093" s="40"/>
      <c r="AI1093" s="40"/>
      <c r="AJ1093" s="40"/>
      <c r="AK1093" s="40"/>
      <c r="AL1093" s="40"/>
      <c r="AM1093" s="40"/>
      <c r="AN1093" s="40"/>
      <c r="AO1093" s="40"/>
      <c r="AP1093" s="40"/>
      <c r="AQ1093" s="40"/>
      <c r="AR1093" s="40"/>
      <c r="AS1093" s="40"/>
      <c r="AT1093" s="40"/>
      <c r="AU1093" s="40"/>
      <c r="AV1093" s="163">
        <f t="shared" si="309"/>
        <v>4.9442172999999999E-2</v>
      </c>
      <c r="AW1093" s="40"/>
      <c r="AX1093" s="40"/>
      <c r="AY1093" s="163">
        <f t="shared" si="310"/>
        <v>9.2085135000000005</v>
      </c>
      <c r="AZ1093" s="40"/>
      <c r="BA1093" s="40"/>
      <c r="BB1093" s="40"/>
      <c r="BC1093" s="163">
        <f t="shared" ref="BC1093:BE1093" si="315">BC1078</f>
        <v>7.5919631999999998E-4</v>
      </c>
      <c r="BD1093" s="163">
        <f t="shared" si="315"/>
        <v>6.3751571999999998E-5</v>
      </c>
      <c r="BE1093" s="163">
        <f t="shared" si="315"/>
        <v>9.3962368000000008E-3</v>
      </c>
      <c r="BF1093" s="40"/>
      <c r="BG1093" s="40"/>
      <c r="BH1093" s="40"/>
      <c r="BI1093" s="40"/>
      <c r="BJ1093" s="40"/>
      <c r="BK1093" s="40"/>
      <c r="BL1093" s="62">
        <v>1</v>
      </c>
      <c r="BM1093" s="275">
        <v>3</v>
      </c>
      <c r="BN1093" s="62">
        <v>0.03</v>
      </c>
      <c r="BO1093" s="33" t="s">
        <v>614</v>
      </c>
      <c r="BP1093" s="33" t="s">
        <v>602</v>
      </c>
    </row>
    <row r="1094" spans="1:68">
      <c r="A1094" s="33" t="str">
        <f>Database_Productkaarten[[#This Row],[Product]]&amp;", "&amp;Database_Productkaarten[[#This Row],[Levensfase]]</f>
        <v>RWSband 115/225x250 (hergebruik), C2</v>
      </c>
      <c r="B1094" s="33" t="s">
        <v>616</v>
      </c>
      <c r="C1094" t="s">
        <v>55</v>
      </c>
      <c r="D1094" s="33" t="s">
        <v>388</v>
      </c>
      <c r="E1094" s="33" t="s">
        <v>389</v>
      </c>
      <c r="F1094" s="33" t="s">
        <v>84</v>
      </c>
      <c r="G1094" s="33">
        <v>1</v>
      </c>
      <c r="H1094" s="33">
        <v>0.25</v>
      </c>
      <c r="I1094" s="33">
        <v>0.22500000000000001</v>
      </c>
      <c r="L1094" s="33">
        <v>2.4</v>
      </c>
      <c r="M1094" s="271">
        <v>0.1263</v>
      </c>
      <c r="N1094" s="41">
        <f t="shared" si="307"/>
        <v>0.99219999999999997</v>
      </c>
      <c r="O1094" s="33">
        <v>25</v>
      </c>
      <c r="P1094" s="163">
        <f t="shared" ref="P1094:Z1094" si="316">P1079</f>
        <v>2.3716505000000001E-6</v>
      </c>
      <c r="Q1094" s="163">
        <f t="shared" si="316"/>
        <v>6.1556998999999996E-3</v>
      </c>
      <c r="R1094" s="163">
        <f t="shared" si="316"/>
        <v>0.83396303999999999</v>
      </c>
      <c r="S1094" s="163">
        <f t="shared" si="316"/>
        <v>1.5368293E-7</v>
      </c>
      <c r="T1094" s="163">
        <f t="shared" si="316"/>
        <v>4.9223153999999999E-4</v>
      </c>
      <c r="U1094" s="163">
        <f t="shared" si="316"/>
        <v>3.6155896E-3</v>
      </c>
      <c r="V1094" s="163">
        <f t="shared" si="316"/>
        <v>7.2048879000000002E-4</v>
      </c>
      <c r="W1094" s="163">
        <f t="shared" si="316"/>
        <v>0.33365040000000001</v>
      </c>
      <c r="X1094" s="163">
        <f t="shared" si="316"/>
        <v>9.7855171000000001E-3</v>
      </c>
      <c r="Y1094" s="163">
        <f t="shared" si="316"/>
        <v>35.318832</v>
      </c>
      <c r="Z1094" s="163">
        <f t="shared" si="316"/>
        <v>1.1821660999999999E-3</v>
      </c>
      <c r="AA1094" s="40"/>
      <c r="AB1094" s="40"/>
      <c r="AC1094" s="40"/>
      <c r="AD1094" s="40"/>
      <c r="AE1094" s="40"/>
      <c r="AF1094" s="40"/>
      <c r="AG1094" s="40"/>
      <c r="AH1094" s="40"/>
      <c r="AI1094" s="40"/>
      <c r="AJ1094" s="40"/>
      <c r="AK1094" s="40"/>
      <c r="AL1094" s="40"/>
      <c r="AM1094" s="40"/>
      <c r="AN1094" s="40"/>
      <c r="AO1094" s="40"/>
      <c r="AP1094" s="40"/>
      <c r="AQ1094" s="40"/>
      <c r="AR1094" s="40"/>
      <c r="AS1094" s="40"/>
      <c r="AT1094" s="40"/>
      <c r="AU1094" s="40"/>
      <c r="AV1094" s="163">
        <f t="shared" si="309"/>
        <v>0.17562071000000001</v>
      </c>
      <c r="AW1094" s="40"/>
      <c r="AX1094" s="40"/>
      <c r="AY1094" s="163">
        <f t="shared" si="310"/>
        <v>13.722972</v>
      </c>
      <c r="AZ1094" s="40"/>
      <c r="BA1094" s="40"/>
      <c r="BB1094" s="40"/>
      <c r="BC1094" s="163">
        <f t="shared" ref="BC1094:BE1094" si="317">BC1079</f>
        <v>2.4680421999999998E-3</v>
      </c>
      <c r="BD1094" s="163">
        <f t="shared" si="317"/>
        <v>9.4774534000000005E-5</v>
      </c>
      <c r="BE1094" s="163">
        <f t="shared" si="317"/>
        <v>0.78880680000000003</v>
      </c>
      <c r="BF1094" s="40"/>
      <c r="BG1094" s="40"/>
      <c r="BH1094" s="40"/>
      <c r="BI1094" s="40"/>
      <c r="BJ1094" s="40"/>
      <c r="BK1094" s="40"/>
      <c r="BL1094" s="62">
        <v>1</v>
      </c>
      <c r="BM1094" s="275">
        <v>3</v>
      </c>
      <c r="BN1094" s="62">
        <v>0.03</v>
      </c>
      <c r="BO1094" s="33" t="s">
        <v>614</v>
      </c>
      <c r="BP1094" s="33" t="s">
        <v>602</v>
      </c>
    </row>
    <row r="1095" spans="1:68">
      <c r="A1095" s="33" t="str">
        <f>Database_Productkaarten[[#This Row],[Product]]&amp;", "&amp;Database_Productkaarten[[#This Row],[Levensfase]]</f>
        <v>RWSband 115/225x250 (hergebruik), C3</v>
      </c>
      <c r="B1095" s="33" t="s">
        <v>616</v>
      </c>
      <c r="C1095" t="s">
        <v>55</v>
      </c>
      <c r="D1095" s="33" t="s">
        <v>388</v>
      </c>
      <c r="E1095" s="33" t="s">
        <v>389</v>
      </c>
      <c r="F1095" s="33" t="s">
        <v>85</v>
      </c>
      <c r="G1095" s="33">
        <v>1</v>
      </c>
      <c r="H1095" s="33">
        <v>0.25</v>
      </c>
      <c r="I1095" s="33">
        <v>0.22500000000000001</v>
      </c>
      <c r="L1095" s="33">
        <v>2.4</v>
      </c>
      <c r="M1095" s="271">
        <v>0.1263</v>
      </c>
      <c r="N1095" s="41">
        <f t="shared" si="307"/>
        <v>3.5959999999999999E-2</v>
      </c>
      <c r="O1095" s="33">
        <v>25</v>
      </c>
      <c r="P1095" s="163">
        <f t="shared" ref="P1095:Z1095" si="318">P1080</f>
        <v>1.2025221E-7</v>
      </c>
      <c r="Q1095" s="163">
        <f t="shared" si="318"/>
        <v>1.4920698E-3</v>
      </c>
      <c r="R1095" s="163">
        <f t="shared" si="318"/>
        <v>0.19804609000000001</v>
      </c>
      <c r="S1095" s="163">
        <f t="shared" si="318"/>
        <v>2.3005435E-8</v>
      </c>
      <c r="T1095" s="163">
        <f t="shared" si="318"/>
        <v>1.1096266E-4</v>
      </c>
      <c r="U1095" s="163">
        <f t="shared" si="318"/>
        <v>9.1501487999999997E-4</v>
      </c>
      <c r="V1095" s="163">
        <f t="shared" si="318"/>
        <v>2.0634434000000001E-4</v>
      </c>
      <c r="W1095" s="163">
        <f t="shared" si="318"/>
        <v>4.3327068000000003E-2</v>
      </c>
      <c r="X1095" s="163">
        <f t="shared" si="318"/>
        <v>7.2324200000000003E-4</v>
      </c>
      <c r="Y1095" s="163">
        <f t="shared" si="318"/>
        <v>2.7744168</v>
      </c>
      <c r="Z1095" s="163">
        <f t="shared" si="318"/>
        <v>5.8448889E-4</v>
      </c>
      <c r="AA1095" s="40"/>
      <c r="AB1095" s="40"/>
      <c r="AC1095" s="40"/>
      <c r="AD1095" s="40"/>
      <c r="AE1095" s="40"/>
      <c r="AF1095" s="40"/>
      <c r="AG1095" s="40"/>
      <c r="AH1095" s="40"/>
      <c r="AI1095" s="40"/>
      <c r="AJ1095" s="40"/>
      <c r="AK1095" s="40"/>
      <c r="AL1095" s="40"/>
      <c r="AM1095" s="40"/>
      <c r="AN1095" s="40"/>
      <c r="AO1095" s="40"/>
      <c r="AP1095" s="40"/>
      <c r="AQ1095" s="40"/>
      <c r="AR1095" s="40"/>
      <c r="AS1095" s="40"/>
      <c r="AT1095" s="40"/>
      <c r="AU1095" s="40"/>
      <c r="AV1095" s="163">
        <f t="shared" si="309"/>
        <v>0.16069579000000001</v>
      </c>
      <c r="AW1095" s="40"/>
      <c r="AX1095" s="40"/>
      <c r="AY1095" s="163">
        <f t="shared" si="310"/>
        <v>3.1241215000000002</v>
      </c>
      <c r="AZ1095" s="40"/>
      <c r="BA1095" s="40"/>
      <c r="BB1095" s="40"/>
      <c r="BC1095" s="163">
        <f t="shared" ref="BC1095:BE1095" si="319">BC1080</f>
        <v>4.9850865000000005E-4</v>
      </c>
      <c r="BD1095" s="163">
        <f t="shared" si="319"/>
        <v>1.8097831E-5</v>
      </c>
      <c r="BE1095" s="163">
        <f t="shared" si="319"/>
        <v>0.37778033999999999</v>
      </c>
      <c r="BF1095" s="40"/>
      <c r="BG1095" s="40"/>
      <c r="BH1095" s="40"/>
      <c r="BI1095" s="40"/>
      <c r="BJ1095" s="40"/>
      <c r="BK1095" s="40"/>
      <c r="BL1095" s="62">
        <v>1</v>
      </c>
      <c r="BM1095" s="275">
        <v>3</v>
      </c>
      <c r="BN1095" s="62">
        <v>0.03</v>
      </c>
      <c r="BO1095" s="33" t="s">
        <v>614</v>
      </c>
      <c r="BP1095" s="33" t="s">
        <v>602</v>
      </c>
    </row>
    <row r="1096" spans="1:68">
      <c r="A1096" s="33" t="str">
        <f>Database_Productkaarten[[#This Row],[Product]]&amp;", "&amp;Database_Productkaarten[[#This Row],[Levensfase]]</f>
        <v>RWSband 115/225x250 (hergebruik), C4</v>
      </c>
      <c r="B1096" s="33" t="s">
        <v>616</v>
      </c>
      <c r="C1096" t="s">
        <v>55</v>
      </c>
      <c r="D1096" s="33" t="s">
        <v>388</v>
      </c>
      <c r="E1096" s="33" t="s">
        <v>389</v>
      </c>
      <c r="F1096" s="33" t="s">
        <v>86</v>
      </c>
      <c r="G1096" s="33">
        <v>1</v>
      </c>
      <c r="H1096" s="33">
        <v>0.25</v>
      </c>
      <c r="I1096" s="33">
        <v>0.22500000000000001</v>
      </c>
      <c r="L1096" s="33">
        <v>2.4</v>
      </c>
      <c r="M1096" s="271">
        <v>0.1263</v>
      </c>
      <c r="N1096" s="41">
        <f t="shared" si="307"/>
        <v>9.3999999999999997E-4</v>
      </c>
      <c r="O1096" s="33">
        <v>25</v>
      </c>
      <c r="P1096" s="163">
        <f t="shared" ref="P1096:Z1096" si="320">P1081</f>
        <v>7.6459664000000003E-9</v>
      </c>
      <c r="Q1096" s="163">
        <f t="shared" si="320"/>
        <v>9.1166393000000003E-5</v>
      </c>
      <c r="R1096" s="163">
        <f t="shared" si="320"/>
        <v>6.6990421999999997E-3</v>
      </c>
      <c r="S1096" s="163">
        <f t="shared" si="320"/>
        <v>2.2172775E-9</v>
      </c>
      <c r="T1096" s="163">
        <f t="shared" si="320"/>
        <v>7.0991441999999998E-6</v>
      </c>
      <c r="U1096" s="163">
        <f t="shared" si="320"/>
        <v>4.9501864999999999E-5</v>
      </c>
      <c r="V1096" s="163">
        <f t="shared" si="320"/>
        <v>9.3163606999999996E-6</v>
      </c>
      <c r="W1096" s="163">
        <f t="shared" si="320"/>
        <v>2.7311785000000001E-3</v>
      </c>
      <c r="X1096" s="163">
        <f t="shared" si="320"/>
        <v>6.7913817E-5</v>
      </c>
      <c r="Y1096" s="163">
        <f t="shared" si="320"/>
        <v>0.23358176</v>
      </c>
      <c r="Z1096" s="163">
        <f t="shared" si="320"/>
        <v>8.0885533000000004E-6</v>
      </c>
      <c r="AA1096" s="40"/>
      <c r="AB1096" s="40"/>
      <c r="AC1096" s="40"/>
      <c r="AD1096" s="40"/>
      <c r="AE1096" s="40"/>
      <c r="AF1096" s="40"/>
      <c r="AG1096" s="40"/>
      <c r="AH1096" s="40"/>
      <c r="AI1096" s="40"/>
      <c r="AJ1096" s="40"/>
      <c r="AK1096" s="40"/>
      <c r="AL1096" s="40"/>
      <c r="AM1096" s="40"/>
      <c r="AN1096" s="40"/>
      <c r="AO1096" s="40"/>
      <c r="AP1096" s="40"/>
      <c r="AQ1096" s="40"/>
      <c r="AR1096" s="40"/>
      <c r="AS1096" s="40"/>
      <c r="AT1096" s="40"/>
      <c r="AU1096" s="40"/>
      <c r="AV1096" s="163">
        <f t="shared" si="309"/>
        <v>4.8832659999999998E-3</v>
      </c>
      <c r="AW1096" s="40"/>
      <c r="AX1096" s="40"/>
      <c r="AY1096" s="163">
        <f t="shared" si="310"/>
        <v>0.20364929000000001</v>
      </c>
      <c r="AZ1096" s="40"/>
      <c r="BA1096" s="40"/>
      <c r="BB1096" s="40"/>
      <c r="BC1096" s="163">
        <f t="shared" ref="BC1096:BE1096" si="321">BC1081</f>
        <v>2.0525248000000001E-4</v>
      </c>
      <c r="BD1096" s="163">
        <f t="shared" si="321"/>
        <v>1.3833745999999999E-6</v>
      </c>
      <c r="BE1096" s="163">
        <f t="shared" si="321"/>
        <v>1.2535949</v>
      </c>
      <c r="BF1096" s="40"/>
      <c r="BG1096" s="40"/>
      <c r="BH1096" s="40"/>
      <c r="BI1096" s="40"/>
      <c r="BJ1096" s="40"/>
      <c r="BK1096" s="40"/>
      <c r="BL1096" s="62">
        <v>1</v>
      </c>
      <c r="BM1096" s="275">
        <v>3</v>
      </c>
      <c r="BN1096" s="62">
        <v>0.03</v>
      </c>
      <c r="BO1096" s="33" t="s">
        <v>614</v>
      </c>
      <c r="BP1096" s="33" t="s">
        <v>602</v>
      </c>
    </row>
    <row r="1097" spans="1:68">
      <c r="A1097" s="33" t="str">
        <f>Database_Productkaarten[[#This Row],[Product]]&amp;", "&amp;Database_Productkaarten[[#This Row],[Levensfase]]</f>
        <v>RWSband 115/225x250 (hergebruik), D</v>
      </c>
      <c r="B1097" s="33" t="s">
        <v>616</v>
      </c>
      <c r="C1097" t="s">
        <v>55</v>
      </c>
      <c r="D1097" s="33" t="s">
        <v>388</v>
      </c>
      <c r="E1097" s="33" t="s">
        <v>389</v>
      </c>
      <c r="F1097" s="33" t="s">
        <v>89</v>
      </c>
      <c r="G1097" s="33">
        <v>1</v>
      </c>
      <c r="H1097" s="33">
        <v>0.25</v>
      </c>
      <c r="I1097" s="33">
        <v>0.22500000000000001</v>
      </c>
      <c r="L1097" s="33">
        <v>2.4</v>
      </c>
      <c r="M1097" s="271">
        <v>0.1263</v>
      </c>
      <c r="N1097" s="41">
        <f>N1074*0.1</f>
        <v>0.11958000000000001</v>
      </c>
      <c r="O1097" s="33">
        <v>25</v>
      </c>
      <c r="P1097" s="163">
        <f t="shared" ref="P1097:Z1097" si="322">P1074*0.1</f>
        <v>1.8381976000000002E-6</v>
      </c>
      <c r="Q1097" s="163">
        <f t="shared" si="322"/>
        <v>5.0799511900000011E-3</v>
      </c>
      <c r="R1097" s="163">
        <f t="shared" si="322"/>
        <v>1.69757614</v>
      </c>
      <c r="S1097" s="163">
        <f t="shared" si="322"/>
        <v>5.3547021400000006E-8</v>
      </c>
      <c r="T1097" s="163">
        <f t="shared" si="322"/>
        <v>3.5206584000000004E-4</v>
      </c>
      <c r="U1097" s="163">
        <f t="shared" si="322"/>
        <v>3.758616010000001E-3</v>
      </c>
      <c r="V1097" s="163">
        <f t="shared" si="322"/>
        <v>7.4304517200000008E-4</v>
      </c>
      <c r="W1097" s="163">
        <f t="shared" si="322"/>
        <v>0.16924598430000001</v>
      </c>
      <c r="X1097" s="163">
        <f t="shared" si="322"/>
        <v>4.3572552000000001E-3</v>
      </c>
      <c r="Y1097" s="163">
        <f t="shared" si="322"/>
        <v>20.70260597</v>
      </c>
      <c r="Z1097" s="163">
        <f t="shared" si="322"/>
        <v>3.1285847900000005E-3</v>
      </c>
      <c r="AA1097" s="40"/>
      <c r="AB1097" s="40"/>
      <c r="AC1097" s="40"/>
      <c r="AD1097" s="40"/>
      <c r="AE1097" s="40"/>
      <c r="AF1097" s="40"/>
      <c r="AG1097" s="40"/>
      <c r="AH1097" s="40"/>
      <c r="AI1097" s="40"/>
      <c r="AJ1097" s="40"/>
      <c r="AK1097" s="40"/>
      <c r="AL1097" s="40"/>
      <c r="AM1097" s="40"/>
      <c r="AN1097" s="40"/>
      <c r="AO1097" s="40"/>
      <c r="AP1097" s="40"/>
      <c r="AQ1097" s="40"/>
      <c r="AR1097" s="40"/>
      <c r="AS1097" s="40"/>
      <c r="AT1097" s="40"/>
      <c r="AU1097" s="40"/>
      <c r="AV1097" s="163">
        <f>AV1074*0.1</f>
        <v>1.4608608570000001</v>
      </c>
      <c r="AW1097" s="40"/>
      <c r="AX1097" s="40"/>
      <c r="AY1097" s="163">
        <f>AY1074*0.1</f>
        <v>11.280604700000001</v>
      </c>
      <c r="AZ1097" s="40"/>
      <c r="BA1097" s="40"/>
      <c r="BB1097" s="40"/>
      <c r="BC1097" s="163">
        <f t="shared" ref="BC1097:BE1097" si="323">BC1074*0.1</f>
        <v>0.12595196284000001</v>
      </c>
      <c r="BD1097" s="163">
        <f t="shared" si="323"/>
        <v>0.83890871687060009</v>
      </c>
      <c r="BE1097" s="163">
        <f t="shared" si="323"/>
        <v>0.16116340240000002</v>
      </c>
      <c r="BF1097" s="40"/>
      <c r="BG1097" s="40"/>
      <c r="BH1097" s="40"/>
      <c r="BI1097" s="40"/>
      <c r="BJ1097" s="40"/>
      <c r="BK1097" s="40"/>
      <c r="BL1097" s="62">
        <v>1</v>
      </c>
      <c r="BM1097" s="275">
        <v>3</v>
      </c>
      <c r="BN1097" s="62">
        <v>0.03</v>
      </c>
      <c r="BO1097" s="33" t="s">
        <v>614</v>
      </c>
      <c r="BP1097" s="33" t="s">
        <v>602</v>
      </c>
    </row>
    <row r="1098" spans="1:68">
      <c r="A1098" s="33" t="str">
        <f>Database_Productkaarten[[#This Row],[Product]]&amp;", "&amp;Database_Productkaarten[[#This Row],[Levensfase]]</f>
        <v>RWSband 115/225x250 (hergebruik), D1</v>
      </c>
      <c r="B1098" s="33" t="s">
        <v>616</v>
      </c>
      <c r="C1098" t="s">
        <v>55</v>
      </c>
      <c r="D1098" s="33" t="s">
        <v>388</v>
      </c>
      <c r="E1098" s="33" t="s">
        <v>389</v>
      </c>
      <c r="F1098" s="33" t="s">
        <v>87</v>
      </c>
      <c r="G1098" s="33">
        <v>1</v>
      </c>
      <c r="H1098" s="33">
        <v>0.25</v>
      </c>
      <c r="I1098" s="33">
        <v>0.22500000000000001</v>
      </c>
      <c r="L1098" s="33">
        <v>2.4</v>
      </c>
      <c r="M1098" s="271">
        <v>0.1263</v>
      </c>
      <c r="N1098" s="41"/>
      <c r="O1098" s="33">
        <v>25</v>
      </c>
      <c r="P1098" s="40"/>
      <c r="Q1098" s="40"/>
      <c r="R1098" s="40"/>
      <c r="S1098" s="40"/>
      <c r="T1098" s="40"/>
      <c r="U1098" s="40"/>
      <c r="V1098" s="40"/>
      <c r="W1098" s="40"/>
      <c r="X1098" s="40"/>
      <c r="Y1098" s="40"/>
      <c r="Z1098" s="40"/>
      <c r="AA1098" s="40"/>
      <c r="AB1098" s="40"/>
      <c r="AC1098" s="40"/>
      <c r="AD1098" s="40"/>
      <c r="AE1098" s="40"/>
      <c r="AF1098" s="40"/>
      <c r="AG1098" s="40"/>
      <c r="AH1098" s="40"/>
      <c r="AI1098" s="40"/>
      <c r="AJ1098" s="40"/>
      <c r="AK1098" s="40"/>
      <c r="AL1098" s="40"/>
      <c r="AM1098" s="40"/>
      <c r="AN1098" s="40"/>
      <c r="AO1098" s="40"/>
      <c r="AP1098" s="40"/>
      <c r="AQ1098" s="40"/>
      <c r="AR1098" s="40"/>
      <c r="AS1098" s="40"/>
      <c r="AT1098" s="40"/>
      <c r="AU1098" s="40"/>
      <c r="AV1098" s="281"/>
      <c r="AW1098" s="40"/>
      <c r="AX1098" s="40"/>
      <c r="AY1098" s="281"/>
      <c r="AZ1098" s="40"/>
      <c r="BA1098" s="40"/>
      <c r="BB1098" s="40"/>
      <c r="BC1098" s="40"/>
      <c r="BD1098" s="40"/>
      <c r="BE1098" s="40"/>
      <c r="BF1098" s="40"/>
      <c r="BG1098" s="40"/>
      <c r="BH1098" s="40"/>
      <c r="BI1098" s="40"/>
      <c r="BJ1098" s="40"/>
      <c r="BK1098" s="40"/>
      <c r="BL1098" s="62">
        <v>1</v>
      </c>
      <c r="BM1098" s="275">
        <v>3</v>
      </c>
      <c r="BN1098" s="62">
        <v>0.03</v>
      </c>
      <c r="BO1098" s="33" t="s">
        <v>614</v>
      </c>
      <c r="BP1098" s="33" t="s">
        <v>602</v>
      </c>
    </row>
    <row r="1099" spans="1:68">
      <c r="A1099" s="33" t="str">
        <f>Database_Productkaarten[[#This Row],[Product]]&amp;", "&amp;Database_Productkaarten[[#This Row],[Levensfase]]</f>
        <v>RWSband 115/225x250 (hergebruik), D2</v>
      </c>
      <c r="B1099" s="33" t="s">
        <v>616</v>
      </c>
      <c r="C1099" t="s">
        <v>55</v>
      </c>
      <c r="D1099" s="33" t="s">
        <v>388</v>
      </c>
      <c r="E1099" s="33" t="s">
        <v>389</v>
      </c>
      <c r="F1099" s="33" t="s">
        <v>88</v>
      </c>
      <c r="G1099" s="33">
        <v>1</v>
      </c>
      <c r="H1099" s="33">
        <v>0.25</v>
      </c>
      <c r="I1099" s="33">
        <v>0.22500000000000001</v>
      </c>
      <c r="L1099" s="33">
        <v>2.4</v>
      </c>
      <c r="M1099" s="271">
        <v>0.1263</v>
      </c>
      <c r="N1099" s="41"/>
      <c r="O1099" s="33">
        <v>25</v>
      </c>
      <c r="P1099" s="40"/>
      <c r="Q1099" s="40"/>
      <c r="R1099" s="40"/>
      <c r="S1099" s="40"/>
      <c r="T1099" s="40"/>
      <c r="U1099" s="40"/>
      <c r="V1099" s="40"/>
      <c r="W1099" s="40"/>
      <c r="X1099" s="40"/>
      <c r="Y1099" s="40"/>
      <c r="Z1099" s="40"/>
      <c r="AA1099" s="40"/>
      <c r="AB1099" s="40"/>
      <c r="AC1099" s="40"/>
      <c r="AD1099" s="40"/>
      <c r="AE1099" s="40"/>
      <c r="AF1099" s="40"/>
      <c r="AG1099" s="40"/>
      <c r="AH1099" s="40"/>
      <c r="AI1099" s="40"/>
      <c r="AJ1099" s="40"/>
      <c r="AK1099" s="40"/>
      <c r="AL1099" s="40"/>
      <c r="AM1099" s="40"/>
      <c r="AN1099" s="40"/>
      <c r="AO1099" s="40"/>
      <c r="AP1099" s="40"/>
      <c r="AQ1099" s="40"/>
      <c r="AR1099" s="40"/>
      <c r="AS1099" s="40"/>
      <c r="AT1099" s="40"/>
      <c r="AU1099" s="40"/>
      <c r="AV1099" s="281"/>
      <c r="AW1099" s="40"/>
      <c r="AX1099" s="40"/>
      <c r="AY1099" s="281"/>
      <c r="AZ1099" s="40"/>
      <c r="BA1099" s="40"/>
      <c r="BB1099" s="40"/>
      <c r="BC1099" s="40"/>
      <c r="BD1099" s="40"/>
      <c r="BE1099" s="40"/>
      <c r="BF1099" s="40"/>
      <c r="BG1099" s="40"/>
      <c r="BH1099" s="40"/>
      <c r="BI1099" s="40"/>
      <c r="BJ1099" s="40"/>
      <c r="BK1099" s="40"/>
      <c r="BL1099" s="62">
        <v>1</v>
      </c>
      <c r="BM1099" s="275">
        <v>3</v>
      </c>
      <c r="BN1099" s="62">
        <v>0.03</v>
      </c>
      <c r="BO1099" s="33" t="s">
        <v>614</v>
      </c>
      <c r="BP1099" s="33" t="s">
        <v>602</v>
      </c>
    </row>
    <row r="1100" spans="1:68">
      <c r="A1100" s="33" t="str">
        <f>Database_Productkaarten[[#This Row],[Product]]&amp;", "&amp;Database_Productkaarten[[#This Row],[Levensfase]]</f>
        <v>Trottoirband 280x300, Totaal</v>
      </c>
      <c r="B1100" s="33" t="s">
        <v>617</v>
      </c>
      <c r="C1100" t="s">
        <v>55</v>
      </c>
      <c r="D1100" s="33" t="s">
        <v>388</v>
      </c>
      <c r="E1100" s="33" t="s">
        <v>389</v>
      </c>
      <c r="F1100" s="33" t="s">
        <v>90</v>
      </c>
      <c r="G1100" s="33">
        <v>1</v>
      </c>
      <c r="H1100" s="33">
        <v>0.3</v>
      </c>
      <c r="I1100" s="33">
        <v>0.28000000000000003</v>
      </c>
      <c r="L1100" s="33">
        <v>2.4</v>
      </c>
      <c r="M1100" s="33">
        <f t="shared" ref="M1100:N1103" si="324">M920*2.8*1.5</f>
        <v>0.19109999999999999</v>
      </c>
      <c r="N1100" s="41">
        <f t="shared" si="324"/>
        <v>0</v>
      </c>
      <c r="O1100" s="33">
        <v>25</v>
      </c>
      <c r="P1100" s="40">
        <f t="shared" ref="P1100:Z1100" si="325">P920*2.8*1.5</f>
        <v>0</v>
      </c>
      <c r="Q1100" s="40">
        <f t="shared" si="325"/>
        <v>0</v>
      </c>
      <c r="R1100" s="40">
        <f t="shared" si="325"/>
        <v>0</v>
      </c>
      <c r="S1100" s="40">
        <f t="shared" si="325"/>
        <v>0</v>
      </c>
      <c r="T1100" s="40">
        <f t="shared" si="325"/>
        <v>0</v>
      </c>
      <c r="U1100" s="40">
        <f t="shared" si="325"/>
        <v>0</v>
      </c>
      <c r="V1100" s="40">
        <f t="shared" si="325"/>
        <v>0</v>
      </c>
      <c r="W1100" s="40">
        <f t="shared" si="325"/>
        <v>0</v>
      </c>
      <c r="X1100" s="40">
        <f t="shared" si="325"/>
        <v>0</v>
      </c>
      <c r="Y1100" s="40">
        <f t="shared" si="325"/>
        <v>0</v>
      </c>
      <c r="Z1100" s="40">
        <f t="shared" si="325"/>
        <v>0</v>
      </c>
      <c r="AV1100" s="316"/>
      <c r="AW1100" s="314"/>
      <c r="AX1100" s="314"/>
      <c r="AY1100" s="316"/>
      <c r="BL1100" s="62">
        <v>0</v>
      </c>
      <c r="BM1100" s="275">
        <v>3</v>
      </c>
      <c r="BN1100" s="62">
        <v>0.03</v>
      </c>
      <c r="BO1100" s="33" t="s">
        <v>600</v>
      </c>
      <c r="BP1100" s="33" t="s">
        <v>618</v>
      </c>
    </row>
    <row r="1101" spans="1:68">
      <c r="A1101" s="33" t="str">
        <f>Database_Productkaarten[[#This Row],[Product]]&amp;", "&amp;Database_Productkaarten[[#This Row],[Levensfase]]</f>
        <v>Trottoirband 280x300, A1</v>
      </c>
      <c r="B1101" s="33" t="s">
        <v>617</v>
      </c>
      <c r="C1101" t="s">
        <v>55</v>
      </c>
      <c r="D1101" s="33" t="s">
        <v>388</v>
      </c>
      <c r="E1101" s="33" t="s">
        <v>389</v>
      </c>
      <c r="F1101" s="33" t="s">
        <v>74</v>
      </c>
      <c r="G1101" s="33">
        <v>1</v>
      </c>
      <c r="H1101" s="33">
        <v>0.3</v>
      </c>
      <c r="I1101" s="33">
        <v>0.28000000000000003</v>
      </c>
      <c r="L1101" s="33">
        <v>2.4</v>
      </c>
      <c r="M1101" s="33">
        <f t="shared" si="324"/>
        <v>0.19109999999999999</v>
      </c>
      <c r="N1101" s="41">
        <f t="shared" si="324"/>
        <v>1.2477779999999998</v>
      </c>
      <c r="O1101" s="33">
        <v>25</v>
      </c>
      <c r="P1101" s="40">
        <f t="shared" ref="P1101:Z1101" si="326">P921*2.8*1.5</f>
        <v>2.3417268419999999E-5</v>
      </c>
      <c r="Q1101" s="40">
        <f t="shared" si="326"/>
        <v>5.62554174E-2</v>
      </c>
      <c r="R1101" s="40">
        <f t="shared" si="326"/>
        <v>22.893231899999996</v>
      </c>
      <c r="S1101" s="40">
        <f t="shared" si="326"/>
        <v>4.7088741000000003E-7</v>
      </c>
      <c r="T1101" s="40">
        <f t="shared" si="326"/>
        <v>4.2847022399999995E-3</v>
      </c>
      <c r="U1101" s="40">
        <f t="shared" si="326"/>
        <v>4.8319055399999991E-2</v>
      </c>
      <c r="V1101" s="40">
        <f t="shared" si="326"/>
        <v>9.4845038400000001E-3</v>
      </c>
      <c r="W1101" s="40">
        <f t="shared" si="326"/>
        <v>1.8986087819999999</v>
      </c>
      <c r="X1101" s="40">
        <f t="shared" si="326"/>
        <v>4.72458714E-2</v>
      </c>
      <c r="Y1101" s="40">
        <f t="shared" si="326"/>
        <v>242.12274660000003</v>
      </c>
      <c r="Z1101" s="40">
        <f t="shared" si="326"/>
        <v>4.3299164999999994E-2</v>
      </c>
      <c r="AV1101" s="313">
        <f>AV921*2.8*1.5</f>
        <v>20.076937860000001</v>
      </c>
      <c r="AW1101" s="314"/>
      <c r="AX1101" s="314"/>
      <c r="AY1101" s="313">
        <f>AY921*2.8*1.5</f>
        <v>126.983115</v>
      </c>
      <c r="BL1101" s="62">
        <v>0</v>
      </c>
      <c r="BM1101" s="275">
        <v>3</v>
      </c>
      <c r="BN1101" s="62">
        <v>0.03</v>
      </c>
      <c r="BO1101" s="33" t="s">
        <v>600</v>
      </c>
      <c r="BP1101" s="33" t="s">
        <v>618</v>
      </c>
    </row>
    <row r="1102" spans="1:68">
      <c r="A1102" s="33" t="str">
        <f>Database_Productkaarten[[#This Row],[Product]]&amp;", "&amp;Database_Productkaarten[[#This Row],[Levensfase]]</f>
        <v>Trottoirband 280x300, A2</v>
      </c>
      <c r="B1102" s="33" t="s">
        <v>617</v>
      </c>
      <c r="C1102" t="s">
        <v>55</v>
      </c>
      <c r="D1102" s="33" t="s">
        <v>388</v>
      </c>
      <c r="E1102" s="33" t="s">
        <v>389</v>
      </c>
      <c r="F1102" s="33" t="s">
        <v>75</v>
      </c>
      <c r="G1102" s="33">
        <v>1</v>
      </c>
      <c r="H1102" s="33">
        <v>0.3</v>
      </c>
      <c r="I1102" s="33">
        <v>0.28000000000000003</v>
      </c>
      <c r="L1102" s="33">
        <v>2.4</v>
      </c>
      <c r="M1102" s="33">
        <f t="shared" si="324"/>
        <v>0.19109999999999999</v>
      </c>
      <c r="N1102" s="41">
        <f t="shared" si="324"/>
        <v>0</v>
      </c>
      <c r="O1102" s="33">
        <v>25</v>
      </c>
      <c r="P1102" s="40">
        <f t="shared" ref="P1102:Z1102" si="327">P922*2.8*1.5</f>
        <v>3.8222345279999995E-6</v>
      </c>
      <c r="Q1102" s="40">
        <f t="shared" si="327"/>
        <v>9.9207406199999983E-3</v>
      </c>
      <c r="R1102" s="40">
        <f t="shared" si="327"/>
        <v>1.34404389</v>
      </c>
      <c r="S1102" s="40">
        <f t="shared" si="327"/>
        <v>2.4768076620000002E-7</v>
      </c>
      <c r="T1102" s="40">
        <f t="shared" si="327"/>
        <v>7.9329751200000001E-4</v>
      </c>
      <c r="U1102" s="40">
        <f t="shared" si="327"/>
        <v>5.8270102799999994E-3</v>
      </c>
      <c r="V1102" s="40">
        <f t="shared" si="327"/>
        <v>1.1611648439999998E-3</v>
      </c>
      <c r="W1102" s="40">
        <f t="shared" si="327"/>
        <v>0.53772259799999989</v>
      </c>
      <c r="X1102" s="40">
        <f t="shared" si="327"/>
        <v>1.5770680379999999E-2</v>
      </c>
      <c r="Y1102" s="40">
        <f t="shared" si="327"/>
        <v>56.921058599999995</v>
      </c>
      <c r="Z1102" s="40">
        <f t="shared" si="327"/>
        <v>1.9052201279999999E-3</v>
      </c>
      <c r="AV1102" s="313">
        <f>AV922*2.8*1.5</f>
        <v>0.2830364628</v>
      </c>
      <c r="AW1102" s="314"/>
      <c r="AX1102" s="314"/>
      <c r="AY1102" s="313">
        <f>AY922*2.8*1.5</f>
        <v>22.11641964</v>
      </c>
      <c r="BL1102" s="62">
        <v>0</v>
      </c>
      <c r="BM1102" s="275">
        <v>3</v>
      </c>
      <c r="BN1102" s="62">
        <v>0.03</v>
      </c>
      <c r="BO1102" s="33" t="s">
        <v>600</v>
      </c>
      <c r="BP1102" s="33" t="s">
        <v>618</v>
      </c>
    </row>
    <row r="1103" spans="1:68">
      <c r="A1103" s="33" t="str">
        <f>Database_Productkaarten[[#This Row],[Product]]&amp;", "&amp;Database_Productkaarten[[#This Row],[Levensfase]]</f>
        <v>Trottoirband 280x300, A3</v>
      </c>
      <c r="B1103" s="33" t="s">
        <v>617</v>
      </c>
      <c r="C1103" t="s">
        <v>55</v>
      </c>
      <c r="D1103" s="33" t="s">
        <v>388</v>
      </c>
      <c r="E1103" s="33" t="s">
        <v>389</v>
      </c>
      <c r="F1103" s="33" t="s">
        <v>76</v>
      </c>
      <c r="G1103" s="33">
        <v>1</v>
      </c>
      <c r="H1103" s="33">
        <v>0.3</v>
      </c>
      <c r="I1103" s="33">
        <v>0.28000000000000003</v>
      </c>
      <c r="L1103" s="33">
        <v>2.4</v>
      </c>
      <c r="M1103" s="33">
        <f t="shared" si="324"/>
        <v>0.19109999999999999</v>
      </c>
      <c r="N1103" s="41">
        <f t="shared" si="324"/>
        <v>0</v>
      </c>
      <c r="O1103" s="33">
        <v>25</v>
      </c>
      <c r="P1103" s="40">
        <f t="shared" ref="P1103:Z1103" si="328">P923*2.8*1.5</f>
        <v>3.3346140240000001E-7</v>
      </c>
      <c r="Q1103" s="40">
        <f t="shared" si="328"/>
        <v>1.0023109319999998E-2</v>
      </c>
      <c r="R1103" s="40">
        <f t="shared" si="328"/>
        <v>1.2263656859999998</v>
      </c>
      <c r="S1103" s="40">
        <f t="shared" si="328"/>
        <v>8.4637131600000001E-8</v>
      </c>
      <c r="T1103" s="40">
        <f t="shared" si="328"/>
        <v>2.0298779340000001E-4</v>
      </c>
      <c r="U1103" s="40">
        <f t="shared" si="328"/>
        <v>2.2331755739999999E-3</v>
      </c>
      <c r="V1103" s="40">
        <f t="shared" si="328"/>
        <v>5.0000899199999997E-4</v>
      </c>
      <c r="W1103" s="40">
        <f t="shared" si="328"/>
        <v>0.10235835539999999</v>
      </c>
      <c r="X1103" s="40">
        <f t="shared" si="328"/>
        <v>2.3422754879999994E-3</v>
      </c>
      <c r="Y1103" s="40">
        <f t="shared" si="328"/>
        <v>11.495289959999997</v>
      </c>
      <c r="Z1103" s="40">
        <f t="shared" si="328"/>
        <v>1.7243866919999999E-3</v>
      </c>
      <c r="AV1103" s="313">
        <f>AV923*2.8*1.5</f>
        <v>1.5529389120000001</v>
      </c>
      <c r="AW1103" s="314"/>
      <c r="AX1103" s="314"/>
      <c r="AY1103" s="313">
        <f>AY923*2.8*1.5</f>
        <v>20.109537</v>
      </c>
      <c r="BL1103" s="62">
        <v>0</v>
      </c>
      <c r="BM1103" s="275">
        <v>3</v>
      </c>
      <c r="BN1103" s="62">
        <v>0.03</v>
      </c>
      <c r="BO1103" s="33" t="s">
        <v>600</v>
      </c>
      <c r="BP1103" s="33" t="s">
        <v>618</v>
      </c>
    </row>
    <row r="1104" spans="1:68">
      <c r="A1104" s="33" t="str">
        <f>Database_Productkaarten[[#This Row],[Product]]&amp;", "&amp;Database_Productkaarten[[#This Row],[Levensfase]]</f>
        <v>Trottoirband 280x300, A1-A3</v>
      </c>
      <c r="B1104" s="33" t="str">
        <f>B1103</f>
        <v>Trottoirband 280x300</v>
      </c>
      <c r="C1104" s="33" t="str">
        <f>C1103</f>
        <v>Elementenverhardingen</v>
      </c>
      <c r="D1104" s="33" t="str">
        <f>D1103</f>
        <v>Trottoirband</v>
      </c>
      <c r="E1104" s="33" t="str">
        <f>E1103</f>
        <v>m1</v>
      </c>
      <c r="F1104" s="33" t="s">
        <v>77</v>
      </c>
      <c r="G1104" s="33">
        <f>G1103</f>
        <v>1</v>
      </c>
      <c r="H1104" s="33">
        <f t="shared" ref="H1104:M1104" si="329">H1103</f>
        <v>0.3</v>
      </c>
      <c r="I1104" s="33">
        <f t="shared" si="329"/>
        <v>0.28000000000000003</v>
      </c>
      <c r="L1104" s="33">
        <f t="shared" si="329"/>
        <v>2.4</v>
      </c>
      <c r="M1104" s="45">
        <f t="shared" si="329"/>
        <v>0.19109999999999999</v>
      </c>
      <c r="N1104" s="41">
        <f>N924*2.8*1.5</f>
        <v>1.7931059999999999</v>
      </c>
      <c r="O1104" s="33">
        <v>25</v>
      </c>
      <c r="P1104" s="40">
        <f>SUM(P1101:P1103)</f>
        <v>2.7572964350399997E-5</v>
      </c>
      <c r="Q1104" s="40">
        <f t="shared" ref="Q1104:BK1104" si="330">SUM(Q1101:Q1103)</f>
        <v>7.6199267340000001E-2</v>
      </c>
      <c r="R1104" s="40">
        <f t="shared" si="330"/>
        <v>25.463641475999999</v>
      </c>
      <c r="S1104" s="40">
        <f t="shared" si="330"/>
        <v>8.0320530780000015E-7</v>
      </c>
      <c r="T1104" s="40">
        <f t="shared" si="330"/>
        <v>5.2809875453999995E-3</v>
      </c>
      <c r="U1104" s="40">
        <f t="shared" si="330"/>
        <v>5.6379241253999991E-2</v>
      </c>
      <c r="V1104" s="40">
        <f t="shared" si="330"/>
        <v>1.1145677675999999E-2</v>
      </c>
      <c r="W1104" s="40">
        <f t="shared" si="330"/>
        <v>2.5386897353999998</v>
      </c>
      <c r="X1104" s="40">
        <f t="shared" si="330"/>
        <v>6.5358827267999992E-2</v>
      </c>
      <c r="Y1104" s="40">
        <f t="shared" si="330"/>
        <v>310.53909515999999</v>
      </c>
      <c r="Z1104" s="40">
        <f t="shared" si="330"/>
        <v>4.6928771819999993E-2</v>
      </c>
      <c r="AA1104" s="40">
        <f t="shared" si="330"/>
        <v>0</v>
      </c>
      <c r="AB1104" s="40">
        <f t="shared" si="330"/>
        <v>0</v>
      </c>
      <c r="AC1104" s="40">
        <f t="shared" si="330"/>
        <v>0</v>
      </c>
      <c r="AD1104" s="40">
        <f t="shared" si="330"/>
        <v>0</v>
      </c>
      <c r="AE1104" s="40">
        <f t="shared" si="330"/>
        <v>0</v>
      </c>
      <c r="AF1104" s="40">
        <f t="shared" si="330"/>
        <v>0</v>
      </c>
      <c r="AG1104" s="40">
        <f t="shared" si="330"/>
        <v>0</v>
      </c>
      <c r="AH1104" s="40">
        <f t="shared" si="330"/>
        <v>0</v>
      </c>
      <c r="AI1104" s="40">
        <f t="shared" si="330"/>
        <v>0</v>
      </c>
      <c r="AJ1104" s="40">
        <f t="shared" si="330"/>
        <v>0</v>
      </c>
      <c r="AK1104" s="40">
        <f t="shared" si="330"/>
        <v>0</v>
      </c>
      <c r="AL1104" s="40">
        <f t="shared" si="330"/>
        <v>0</v>
      </c>
      <c r="AM1104" s="40">
        <f t="shared" si="330"/>
        <v>0</v>
      </c>
      <c r="AN1104" s="40">
        <f t="shared" si="330"/>
        <v>0</v>
      </c>
      <c r="AO1104" s="40">
        <f t="shared" si="330"/>
        <v>0</v>
      </c>
      <c r="AP1104" s="40">
        <f t="shared" si="330"/>
        <v>0</v>
      </c>
      <c r="AQ1104" s="40">
        <f t="shared" si="330"/>
        <v>0</v>
      </c>
      <c r="AR1104" s="40">
        <f t="shared" si="330"/>
        <v>0</v>
      </c>
      <c r="AS1104" s="40">
        <f t="shared" si="330"/>
        <v>0</v>
      </c>
      <c r="AT1104" s="40">
        <f t="shared" si="330"/>
        <v>0</v>
      </c>
      <c r="AU1104" s="40">
        <f t="shared" si="330"/>
        <v>0</v>
      </c>
      <c r="AV1104" s="317">
        <f t="shared" si="330"/>
        <v>21.912913234800001</v>
      </c>
      <c r="AW1104" s="317">
        <f t="shared" si="330"/>
        <v>0</v>
      </c>
      <c r="AX1104" s="317">
        <f t="shared" si="330"/>
        <v>0</v>
      </c>
      <c r="AY1104" s="317">
        <f t="shared" si="330"/>
        <v>169.20907163999999</v>
      </c>
      <c r="AZ1104" s="40">
        <f t="shared" si="330"/>
        <v>0</v>
      </c>
      <c r="BA1104" s="40">
        <f t="shared" si="330"/>
        <v>0</v>
      </c>
      <c r="BB1104" s="40">
        <f t="shared" si="330"/>
        <v>0</v>
      </c>
      <c r="BC1104" s="40">
        <f t="shared" si="330"/>
        <v>0</v>
      </c>
      <c r="BD1104" s="40">
        <f t="shared" si="330"/>
        <v>0</v>
      </c>
      <c r="BE1104" s="40">
        <f t="shared" si="330"/>
        <v>0</v>
      </c>
      <c r="BF1104" s="40">
        <f t="shared" si="330"/>
        <v>0</v>
      </c>
      <c r="BG1104" s="40">
        <f t="shared" si="330"/>
        <v>0</v>
      </c>
      <c r="BH1104" s="40">
        <f t="shared" si="330"/>
        <v>0</v>
      </c>
      <c r="BI1104" s="40">
        <f t="shared" si="330"/>
        <v>0</v>
      </c>
      <c r="BJ1104" s="40">
        <f t="shared" si="330"/>
        <v>0</v>
      </c>
      <c r="BK1104" s="40">
        <f t="shared" si="330"/>
        <v>0</v>
      </c>
      <c r="BL1104" s="62">
        <f>BL1103</f>
        <v>0</v>
      </c>
      <c r="BM1104" s="275">
        <f>BM1103</f>
        <v>3</v>
      </c>
      <c r="BN1104" s="62">
        <v>0.03</v>
      </c>
      <c r="BO1104" s="33" t="str">
        <f>BO1103</f>
        <v>NMD Opsluitband 100x200x1000mm grijs</v>
      </c>
    </row>
    <row r="1105" spans="1:68">
      <c r="A1105" s="33" t="str">
        <f>Database_Productkaarten[[#This Row],[Product]]&amp;", "&amp;Database_Productkaarten[[#This Row],[Levensfase]]</f>
        <v>Trottoirband 280x300, A4</v>
      </c>
      <c r="B1105" s="33" t="s">
        <v>617</v>
      </c>
      <c r="C1105" t="s">
        <v>55</v>
      </c>
      <c r="D1105" s="33" t="s">
        <v>388</v>
      </c>
      <c r="E1105" s="33" t="s">
        <v>389</v>
      </c>
      <c r="F1105" s="33" t="s">
        <v>78</v>
      </c>
      <c r="G1105" s="33">
        <v>1</v>
      </c>
      <c r="H1105" s="33">
        <v>0.3</v>
      </c>
      <c r="I1105" s="33">
        <v>0.28000000000000003</v>
      </c>
      <c r="L1105" s="33">
        <v>2.4</v>
      </c>
      <c r="M1105" s="33">
        <f t="shared" ref="M1105:M1111" si="331">M925*2.8*1.5</f>
        <v>0.19109999999999999</v>
      </c>
      <c r="N1105" s="41">
        <f>N925*2.8*1.5</f>
        <v>0.44016</v>
      </c>
      <c r="O1105" s="33">
        <v>25</v>
      </c>
      <c r="P1105" s="40">
        <f t="shared" ref="P1105:Z1105" si="332">P925*2.8*1.5</f>
        <v>1.0593724259999999E-5</v>
      </c>
      <c r="Q1105" s="40">
        <f t="shared" si="332"/>
        <v>2.7496373099999999E-2</v>
      </c>
      <c r="R1105" s="40">
        <f t="shared" si="332"/>
        <v>3.7251587099999997</v>
      </c>
      <c r="S1105" s="40">
        <f t="shared" si="332"/>
        <v>6.8647324199999993E-7</v>
      </c>
      <c r="T1105" s="40">
        <f t="shared" si="332"/>
        <v>2.1987072660000001E-3</v>
      </c>
      <c r="U1105" s="40">
        <f t="shared" si="332"/>
        <v>1.6150170120000001E-2</v>
      </c>
      <c r="V1105" s="40">
        <f t="shared" si="332"/>
        <v>3.2182901939999996E-3</v>
      </c>
      <c r="W1105" s="40">
        <f t="shared" si="332"/>
        <v>1.4903546279999997</v>
      </c>
      <c r="X1105" s="40">
        <f t="shared" si="332"/>
        <v>4.3710097199999999E-2</v>
      </c>
      <c r="Y1105" s="40">
        <f t="shared" si="332"/>
        <v>157.76268899999999</v>
      </c>
      <c r="Z1105" s="40">
        <f t="shared" si="332"/>
        <v>5.2805176199999995E-3</v>
      </c>
      <c r="AV1105" s="313">
        <f t="shared" ref="AV1105:AV1111" si="333">AV925*2.8*1.5</f>
        <v>0.78446524799999984</v>
      </c>
      <c r="AW1105" s="314"/>
      <c r="AX1105" s="314"/>
      <c r="AY1105" s="313">
        <f t="shared" ref="AY1105:AY1111" si="334">AY925*2.8*1.5</f>
        <v>61.297979400000003</v>
      </c>
      <c r="BL1105" s="62">
        <v>0</v>
      </c>
      <c r="BM1105" s="275">
        <v>3</v>
      </c>
      <c r="BN1105" s="62">
        <v>0.03</v>
      </c>
      <c r="BO1105" s="33" t="s">
        <v>600</v>
      </c>
      <c r="BP1105" s="33" t="s">
        <v>618</v>
      </c>
    </row>
    <row r="1106" spans="1:68">
      <c r="A1106" s="33" t="str">
        <f>Database_Productkaarten[[#This Row],[Product]]&amp;", "&amp;Database_Productkaarten[[#This Row],[Levensfase]]</f>
        <v>Trottoirband 280x300, A5</v>
      </c>
      <c r="B1106" s="33" t="s">
        <v>617</v>
      </c>
      <c r="C1106" t="s">
        <v>55</v>
      </c>
      <c r="D1106" s="33" t="s">
        <v>388</v>
      </c>
      <c r="E1106" s="33" t="s">
        <v>389</v>
      </c>
      <c r="F1106" s="33" t="s">
        <v>79</v>
      </c>
      <c r="G1106" s="33">
        <v>1</v>
      </c>
      <c r="H1106" s="33">
        <v>0.3</v>
      </c>
      <c r="I1106" s="33">
        <v>0.28000000000000003</v>
      </c>
      <c r="L1106" s="33">
        <v>2.4</v>
      </c>
      <c r="M1106" s="33">
        <f t="shared" si="331"/>
        <v>0.19109999999999999</v>
      </c>
      <c r="N1106" s="41">
        <f>N956</f>
        <v>7.5248000000000009E-2</v>
      </c>
      <c r="O1106" s="33">
        <v>25</v>
      </c>
      <c r="P1106" s="40">
        <f>P956</f>
        <v>3.7652309600000005E-7</v>
      </c>
      <c r="Q1106" s="40">
        <f t="shared" ref="Q1106:Z1106" si="335">Q956</f>
        <v>3.9147749599999998E-3</v>
      </c>
      <c r="R1106" s="40">
        <f t="shared" si="335"/>
        <v>0.64742035200000003</v>
      </c>
      <c r="S1106" s="40">
        <f t="shared" si="335"/>
        <v>9.5420448000000014E-8</v>
      </c>
      <c r="T1106" s="40">
        <f t="shared" si="335"/>
        <v>5.2477369600000001E-4</v>
      </c>
      <c r="U1106" s="40">
        <f t="shared" si="335"/>
        <v>4.0310070400000004E-3</v>
      </c>
      <c r="V1106" s="40">
        <f t="shared" si="335"/>
        <v>8.9260456000000001E-4</v>
      </c>
      <c r="W1106" s="40">
        <f t="shared" si="335"/>
        <v>0.193121608</v>
      </c>
      <c r="X1106" s="40">
        <f t="shared" si="335"/>
        <v>3.0463572800000002E-3</v>
      </c>
      <c r="Y1106" s="40">
        <f t="shared" si="335"/>
        <v>10.877852000000001</v>
      </c>
      <c r="Z1106" s="40">
        <f t="shared" si="335"/>
        <v>5.85754968E-4</v>
      </c>
      <c r="AV1106" s="313">
        <f t="shared" si="333"/>
        <v>0.88570061999999994</v>
      </c>
      <c r="AW1106" s="314"/>
      <c r="AX1106" s="314"/>
      <c r="AY1106" s="313">
        <f t="shared" si="334"/>
        <v>46.061231999999997</v>
      </c>
      <c r="BL1106" s="62">
        <v>0</v>
      </c>
      <c r="BM1106" s="275">
        <v>3</v>
      </c>
      <c r="BN1106" s="62">
        <v>0.03</v>
      </c>
      <c r="BO1106" s="33" t="s">
        <v>600</v>
      </c>
      <c r="BP1106" s="33" t="s">
        <v>618</v>
      </c>
    </row>
    <row r="1107" spans="1:68">
      <c r="A1107" s="33" t="str">
        <f>Database_Productkaarten[[#This Row],[Product]]&amp;", "&amp;Database_Productkaarten[[#This Row],[Levensfase]]</f>
        <v>Trottoirband 280x300, B1</v>
      </c>
      <c r="B1107" s="33" t="s">
        <v>617</v>
      </c>
      <c r="C1107" t="s">
        <v>55</v>
      </c>
      <c r="D1107" s="33" t="s">
        <v>388</v>
      </c>
      <c r="E1107" s="33" t="s">
        <v>389</v>
      </c>
      <c r="F1107" s="33" t="s">
        <v>80</v>
      </c>
      <c r="G1107" s="33">
        <v>1</v>
      </c>
      <c r="H1107" s="33">
        <v>0.3</v>
      </c>
      <c r="I1107" s="33">
        <v>0.28000000000000003</v>
      </c>
      <c r="L1107" s="33">
        <v>2.4</v>
      </c>
      <c r="M1107" s="33">
        <f t="shared" si="331"/>
        <v>0.19109999999999999</v>
      </c>
      <c r="N1107" s="41">
        <f>N927*2.8*1.5</f>
        <v>0</v>
      </c>
      <c r="O1107" s="33">
        <v>25</v>
      </c>
      <c r="P1107" s="40">
        <f t="shared" ref="P1107:Z1107" si="336">P927*2.8*1.5</f>
        <v>0</v>
      </c>
      <c r="Q1107" s="40">
        <f t="shared" si="336"/>
        <v>0</v>
      </c>
      <c r="R1107" s="40">
        <f t="shared" si="336"/>
        <v>0</v>
      </c>
      <c r="S1107" s="40">
        <f t="shared" si="336"/>
        <v>0</v>
      </c>
      <c r="T1107" s="40">
        <f t="shared" si="336"/>
        <v>0</v>
      </c>
      <c r="U1107" s="40">
        <f t="shared" si="336"/>
        <v>0</v>
      </c>
      <c r="V1107" s="40">
        <f t="shared" si="336"/>
        <v>0</v>
      </c>
      <c r="W1107" s="40">
        <f t="shared" si="336"/>
        <v>0</v>
      </c>
      <c r="X1107" s="40">
        <f t="shared" si="336"/>
        <v>0</v>
      </c>
      <c r="Y1107" s="40">
        <f t="shared" si="336"/>
        <v>0</v>
      </c>
      <c r="Z1107" s="40">
        <f t="shared" si="336"/>
        <v>0</v>
      </c>
      <c r="AV1107" s="313">
        <f t="shared" si="333"/>
        <v>0</v>
      </c>
      <c r="AW1107" s="314"/>
      <c r="AX1107" s="314"/>
      <c r="AY1107" s="313">
        <f t="shared" si="334"/>
        <v>0</v>
      </c>
      <c r="BL1107" s="62">
        <v>0</v>
      </c>
      <c r="BM1107" s="275">
        <v>3</v>
      </c>
      <c r="BN1107" s="62">
        <v>0.03</v>
      </c>
      <c r="BO1107" s="33" t="s">
        <v>600</v>
      </c>
      <c r="BP1107" s="33" t="s">
        <v>618</v>
      </c>
    </row>
    <row r="1108" spans="1:68">
      <c r="A1108" s="33" t="str">
        <f>Database_Productkaarten[[#This Row],[Product]]&amp;", "&amp;Database_Productkaarten[[#This Row],[Levensfase]]</f>
        <v>Trottoirband 280x300, C1</v>
      </c>
      <c r="B1108" s="33" t="s">
        <v>617</v>
      </c>
      <c r="C1108" t="s">
        <v>55</v>
      </c>
      <c r="D1108" s="33" t="s">
        <v>388</v>
      </c>
      <c r="E1108" s="33" t="s">
        <v>389</v>
      </c>
      <c r="F1108" s="33" t="s">
        <v>83</v>
      </c>
      <c r="G1108" s="33">
        <v>1</v>
      </c>
      <c r="H1108" s="33">
        <v>0.3</v>
      </c>
      <c r="I1108" s="33">
        <v>0.28000000000000003</v>
      </c>
      <c r="L1108" s="33">
        <v>2.4</v>
      </c>
      <c r="M1108" s="33">
        <f t="shared" si="331"/>
        <v>0.19109999999999999</v>
      </c>
      <c r="N1108" s="41">
        <f>N928*2.8*1.5</f>
        <v>0.33054</v>
      </c>
      <c r="O1108" s="33">
        <v>25</v>
      </c>
      <c r="P1108" s="40">
        <f t="shared" ref="P1108:Z1108" si="337">P928*2.8*1.5</f>
        <v>8.3682597599999987E-7</v>
      </c>
      <c r="Q1108" s="40">
        <f t="shared" si="337"/>
        <v>1.7241359099999999E-2</v>
      </c>
      <c r="R1108" s="40">
        <f t="shared" si="337"/>
        <v>2.4988857599999998</v>
      </c>
      <c r="S1108" s="40">
        <f t="shared" si="337"/>
        <v>4.5010429799999996E-7</v>
      </c>
      <c r="T1108" s="40">
        <f t="shared" si="337"/>
        <v>2.5188137939999998E-3</v>
      </c>
      <c r="U1108" s="40">
        <f t="shared" si="337"/>
        <v>1.8907805699999999E-2</v>
      </c>
      <c r="V1108" s="40">
        <f t="shared" si="337"/>
        <v>4.2338574599999996E-3</v>
      </c>
      <c r="W1108" s="40">
        <f t="shared" si="337"/>
        <v>0.8845890059999999</v>
      </c>
      <c r="X1108" s="40">
        <f t="shared" si="337"/>
        <v>1.2370887899999999E-2</v>
      </c>
      <c r="Y1108" s="40">
        <f t="shared" si="337"/>
        <v>41.935227179999998</v>
      </c>
      <c r="Z1108" s="40">
        <f t="shared" si="337"/>
        <v>1.4781234719999999E-3</v>
      </c>
      <c r="AV1108" s="313">
        <f t="shared" si="333"/>
        <v>0.20765712659999999</v>
      </c>
      <c r="AW1108" s="314"/>
      <c r="AX1108" s="314"/>
      <c r="AY1108" s="313">
        <f t="shared" si="334"/>
        <v>38.675756700000001</v>
      </c>
      <c r="BL1108" s="62">
        <v>0</v>
      </c>
      <c r="BM1108" s="275">
        <v>3</v>
      </c>
      <c r="BN1108" s="62">
        <v>0.03</v>
      </c>
      <c r="BO1108" s="33" t="s">
        <v>600</v>
      </c>
      <c r="BP1108" s="33" t="s">
        <v>618</v>
      </c>
    </row>
    <row r="1109" spans="1:68">
      <c r="A1109" s="33" t="str">
        <f>Database_Productkaarten[[#This Row],[Product]]&amp;", "&amp;Database_Productkaarten[[#This Row],[Levensfase]]</f>
        <v>Trottoirband 280x300, C2</v>
      </c>
      <c r="B1109" s="33" t="s">
        <v>617</v>
      </c>
      <c r="C1109" t="s">
        <v>55</v>
      </c>
      <c r="D1109" s="33" t="s">
        <v>388</v>
      </c>
      <c r="E1109" s="33" t="s">
        <v>389</v>
      </c>
      <c r="F1109" s="33" t="s">
        <v>84</v>
      </c>
      <c r="G1109" s="33">
        <v>1</v>
      </c>
      <c r="H1109" s="33">
        <v>0.3</v>
      </c>
      <c r="I1109" s="33">
        <v>0.28000000000000003</v>
      </c>
      <c r="L1109" s="33">
        <v>2.4</v>
      </c>
      <c r="M1109" s="33">
        <f t="shared" si="331"/>
        <v>0.19109999999999999</v>
      </c>
      <c r="N1109" s="41">
        <f>N929*2.8*1.5</f>
        <v>0.148176</v>
      </c>
      <c r="O1109" s="33">
        <v>25</v>
      </c>
      <c r="P1109" s="40">
        <f t="shared" ref="P1109:Z1109" si="338">P929*2.8*1.5</f>
        <v>3.5665537740000001E-6</v>
      </c>
      <c r="Q1109" s="40">
        <f t="shared" si="338"/>
        <v>9.2571124799999994E-3</v>
      </c>
      <c r="R1109" s="40">
        <f t="shared" si="338"/>
        <v>1.254136758</v>
      </c>
      <c r="S1109" s="40">
        <f t="shared" si="338"/>
        <v>2.3111265659999998E-7</v>
      </c>
      <c r="T1109" s="40">
        <f t="shared" si="338"/>
        <v>7.4023143599999982E-4</v>
      </c>
      <c r="U1109" s="40">
        <f t="shared" si="338"/>
        <v>5.437223819999999E-3</v>
      </c>
      <c r="V1109" s="40">
        <f t="shared" si="338"/>
        <v>1.0834910519999998E-3</v>
      </c>
      <c r="W1109" s="40">
        <f t="shared" si="338"/>
        <v>0.50175274800000003</v>
      </c>
      <c r="X1109" s="40">
        <f t="shared" si="338"/>
        <v>1.4715731939999999E-2</v>
      </c>
      <c r="Y1109" s="40">
        <f t="shared" si="338"/>
        <v>53.113439400000004</v>
      </c>
      <c r="Z1109" s="40">
        <f t="shared" si="338"/>
        <v>1.7777742359999997E-3</v>
      </c>
      <c r="AV1109" s="313">
        <f t="shared" si="333"/>
        <v>0.26410330380000002</v>
      </c>
      <c r="AW1109" s="314"/>
      <c r="AX1109" s="314"/>
      <c r="AY1109" s="313">
        <f t="shared" si="334"/>
        <v>20.636985599999999</v>
      </c>
      <c r="BL1109" s="62">
        <v>0</v>
      </c>
      <c r="BM1109" s="275">
        <v>3</v>
      </c>
      <c r="BN1109" s="62">
        <v>0.03</v>
      </c>
      <c r="BO1109" s="33" t="s">
        <v>600</v>
      </c>
      <c r="BP1109" s="33" t="s">
        <v>618</v>
      </c>
    </row>
    <row r="1110" spans="1:68">
      <c r="A1110" s="33" t="str">
        <f>Database_Productkaarten[[#This Row],[Product]]&amp;", "&amp;Database_Productkaarten[[#This Row],[Levensfase]]</f>
        <v>Trottoirband 280x300, C3</v>
      </c>
      <c r="B1110" s="33" t="s">
        <v>617</v>
      </c>
      <c r="C1110" t="s">
        <v>55</v>
      </c>
      <c r="D1110" s="33" t="s">
        <v>388</v>
      </c>
      <c r="E1110" s="33" t="s">
        <v>389</v>
      </c>
      <c r="F1110" s="33" t="s">
        <v>85</v>
      </c>
      <c r="G1110" s="33">
        <v>1</v>
      </c>
      <c r="H1110" s="33">
        <v>0.3</v>
      </c>
      <c r="I1110" s="33">
        <v>0.28000000000000003</v>
      </c>
      <c r="L1110" s="33">
        <v>2.4</v>
      </c>
      <c r="M1110" s="33">
        <f t="shared" si="331"/>
        <v>0.19109999999999999</v>
      </c>
      <c r="N1110" s="41">
        <f>N930*2.8*1.5</f>
        <v>3.1626000000000001E-2</v>
      </c>
      <c r="O1110" s="33">
        <v>25</v>
      </c>
      <c r="P1110" s="40">
        <f t="shared" ref="P1110:Z1110" si="339">P930*2.8*1.5</f>
        <v>1.8083861039999999E-7</v>
      </c>
      <c r="Q1110" s="40">
        <f t="shared" si="339"/>
        <v>2.2438159379999999E-3</v>
      </c>
      <c r="R1110" s="40">
        <f t="shared" si="339"/>
        <v>0.29782721219999997</v>
      </c>
      <c r="S1110" s="40">
        <f t="shared" si="339"/>
        <v>3.4596211439999998E-8</v>
      </c>
      <c r="T1110" s="40">
        <f t="shared" si="339"/>
        <v>1.668687216E-4</v>
      </c>
      <c r="U1110" s="40">
        <f t="shared" si="339"/>
        <v>1.3760247479999998E-3</v>
      </c>
      <c r="V1110" s="40">
        <f t="shared" si="339"/>
        <v>3.1030634879999994E-4</v>
      </c>
      <c r="W1110" s="40">
        <f t="shared" si="339"/>
        <v>6.5156447999999992E-2</v>
      </c>
      <c r="X1110" s="40">
        <f t="shared" si="339"/>
        <v>1.0876313699999998E-3</v>
      </c>
      <c r="Y1110" s="40">
        <f t="shared" si="339"/>
        <v>4.1722450139999996</v>
      </c>
      <c r="Z1110" s="40">
        <f t="shared" si="339"/>
        <v>8.7897062399999986E-4</v>
      </c>
      <c r="AV1110" s="313">
        <f t="shared" si="333"/>
        <v>0.24165878099999999</v>
      </c>
      <c r="AW1110" s="314"/>
      <c r="AX1110" s="314"/>
      <c r="AY1110" s="313">
        <f t="shared" si="334"/>
        <v>4.6981405799999996</v>
      </c>
      <c r="BL1110" s="62">
        <v>0</v>
      </c>
      <c r="BM1110" s="275">
        <v>3</v>
      </c>
      <c r="BN1110" s="62">
        <v>0.03</v>
      </c>
      <c r="BO1110" s="33" t="s">
        <v>600</v>
      </c>
      <c r="BP1110" s="33" t="s">
        <v>618</v>
      </c>
    </row>
    <row r="1111" spans="1:68">
      <c r="A1111" s="33" t="str">
        <f>Database_Productkaarten[[#This Row],[Product]]&amp;", "&amp;Database_Productkaarten[[#This Row],[Levensfase]]</f>
        <v>Trottoirband 280x300, C4</v>
      </c>
      <c r="B1111" s="33" t="s">
        <v>617</v>
      </c>
      <c r="C1111" t="s">
        <v>55</v>
      </c>
      <c r="D1111" s="33" t="s">
        <v>388</v>
      </c>
      <c r="E1111" s="33" t="s">
        <v>389</v>
      </c>
      <c r="F1111" s="33" t="s">
        <v>86</v>
      </c>
      <c r="G1111" s="33">
        <v>1</v>
      </c>
      <c r="H1111" s="33">
        <v>0.3</v>
      </c>
      <c r="I1111" s="33">
        <v>0.28000000000000003</v>
      </c>
      <c r="L1111" s="33">
        <v>2.4</v>
      </c>
      <c r="M1111" s="33">
        <f t="shared" si="331"/>
        <v>0.19109999999999999</v>
      </c>
      <c r="N1111" s="41">
        <f>N931*2.8*1.5</f>
        <v>1.3859999999999999E-3</v>
      </c>
      <c r="O1111" s="33">
        <v>25</v>
      </c>
      <c r="P1111" s="40">
        <f t="shared" ref="P1111:Z1111" si="340">P931*2.8*1.5</f>
        <v>1.1498216519999999E-8</v>
      </c>
      <c r="Q1111" s="40">
        <f t="shared" si="340"/>
        <v>1.3709855039999998E-4</v>
      </c>
      <c r="R1111" s="40">
        <f t="shared" si="340"/>
        <v>1.0074205679999998E-2</v>
      </c>
      <c r="S1111" s="40">
        <f t="shared" si="340"/>
        <v>3.3344034779999999E-9</v>
      </c>
      <c r="T1111" s="40">
        <f t="shared" si="340"/>
        <v>1.0675890119999999E-5</v>
      </c>
      <c r="U1111" s="40">
        <f t="shared" si="340"/>
        <v>7.4442278399999997E-5</v>
      </c>
      <c r="V1111" s="40">
        <f t="shared" si="340"/>
        <v>1.4010201659999998E-5</v>
      </c>
      <c r="W1111" s="40">
        <f t="shared" si="340"/>
        <v>4.1072219999999998E-3</v>
      </c>
      <c r="X1111" s="40">
        <f t="shared" si="340"/>
        <v>1.021306818E-4</v>
      </c>
      <c r="Y1111" s="40">
        <f t="shared" si="340"/>
        <v>0.35126672699999995</v>
      </c>
      <c r="Z1111" s="40">
        <f t="shared" si="340"/>
        <v>1.216379094E-5</v>
      </c>
      <c r="AV1111" s="313">
        <f t="shared" si="333"/>
        <v>7.3435907999999999E-3</v>
      </c>
      <c r="AW1111" s="314"/>
      <c r="AX1111" s="314"/>
      <c r="AY1111" s="313">
        <f t="shared" si="334"/>
        <v>0.30625345380000002</v>
      </c>
      <c r="BL1111" s="62">
        <v>0</v>
      </c>
      <c r="BM1111" s="275">
        <v>3</v>
      </c>
      <c r="BN1111" s="62">
        <v>0.03</v>
      </c>
      <c r="BO1111" s="33" t="s">
        <v>600</v>
      </c>
      <c r="BP1111" s="33" t="s">
        <v>618</v>
      </c>
    </row>
    <row r="1112" spans="1:68">
      <c r="A1112" s="33" t="str">
        <f>Database_Productkaarten[[#This Row],[Product]]&amp;", "&amp;Database_Productkaarten[[#This Row],[Levensfase]]</f>
        <v>Trottoirband 280x300, D</v>
      </c>
      <c r="B1112" s="33" t="str">
        <f>B1113</f>
        <v>Trottoirband 280x300</v>
      </c>
      <c r="C1112" s="33" t="str">
        <f>C1113</f>
        <v>Elementenverhardingen</v>
      </c>
      <c r="D1112" s="33" t="str">
        <f>D1113</f>
        <v>Trottoirband</v>
      </c>
      <c r="E1112" s="33" t="str">
        <f>E1113</f>
        <v>m1</v>
      </c>
      <c r="F1112" s="33" t="s">
        <v>89</v>
      </c>
      <c r="G1112" s="33">
        <f t="shared" ref="G1112:M1112" si="341">G1113</f>
        <v>1</v>
      </c>
      <c r="H1112" s="33">
        <f t="shared" si="341"/>
        <v>0.3</v>
      </c>
      <c r="I1112" s="33">
        <f t="shared" si="341"/>
        <v>0.28000000000000003</v>
      </c>
      <c r="L1112" s="33">
        <f t="shared" si="341"/>
        <v>2.4</v>
      </c>
      <c r="M1112" s="45">
        <f t="shared" si="341"/>
        <v>0.19109999999999999</v>
      </c>
      <c r="N1112" s="41">
        <f>SUM(N1113:N1114)</f>
        <v>0</v>
      </c>
      <c r="O1112" s="33">
        <v>25</v>
      </c>
      <c r="P1112" s="40">
        <f>SUM(P1113:P1114)</f>
        <v>0</v>
      </c>
      <c r="Q1112" s="40">
        <f>SUM(Q1113:Q1114)</f>
        <v>0</v>
      </c>
      <c r="R1112" s="40">
        <f>SUM(R1113:R1114)</f>
        <v>0</v>
      </c>
      <c r="S1112" s="40">
        <f t="shared" ref="S1112:BK1112" si="342">SUM(S1113:S1114)</f>
        <v>0</v>
      </c>
      <c r="T1112" s="40">
        <f t="shared" si="342"/>
        <v>0</v>
      </c>
      <c r="U1112" s="40">
        <f t="shared" si="342"/>
        <v>0</v>
      </c>
      <c r="V1112" s="40">
        <f t="shared" si="342"/>
        <v>0</v>
      </c>
      <c r="W1112" s="40">
        <f t="shared" si="342"/>
        <v>0</v>
      </c>
      <c r="X1112" s="40">
        <f t="shared" si="342"/>
        <v>0</v>
      </c>
      <c r="Y1112" s="40">
        <f t="shared" si="342"/>
        <v>0</v>
      </c>
      <c r="Z1112" s="40">
        <f t="shared" si="342"/>
        <v>0</v>
      </c>
      <c r="AA1112" s="40">
        <f t="shared" si="342"/>
        <v>0</v>
      </c>
      <c r="AB1112" s="40">
        <f t="shared" si="342"/>
        <v>0</v>
      </c>
      <c r="AC1112" s="40">
        <f t="shared" si="342"/>
        <v>0</v>
      </c>
      <c r="AD1112" s="40">
        <f t="shared" si="342"/>
        <v>0</v>
      </c>
      <c r="AE1112" s="40">
        <f t="shared" si="342"/>
        <v>0</v>
      </c>
      <c r="AF1112" s="40">
        <f t="shared" si="342"/>
        <v>0</v>
      </c>
      <c r="AG1112" s="40">
        <f t="shared" si="342"/>
        <v>0</v>
      </c>
      <c r="AH1112" s="40">
        <f t="shared" si="342"/>
        <v>0</v>
      </c>
      <c r="AI1112" s="40">
        <f t="shared" si="342"/>
        <v>0</v>
      </c>
      <c r="AJ1112" s="40">
        <f t="shared" si="342"/>
        <v>0</v>
      </c>
      <c r="AK1112" s="40">
        <f t="shared" si="342"/>
        <v>0</v>
      </c>
      <c r="AL1112" s="40">
        <f t="shared" si="342"/>
        <v>0</v>
      </c>
      <c r="AM1112" s="40">
        <f t="shared" si="342"/>
        <v>0</v>
      </c>
      <c r="AN1112" s="40">
        <f t="shared" si="342"/>
        <v>0</v>
      </c>
      <c r="AO1112" s="40">
        <f t="shared" si="342"/>
        <v>0</v>
      </c>
      <c r="AP1112" s="40">
        <f t="shared" si="342"/>
        <v>0</v>
      </c>
      <c r="AQ1112" s="40">
        <f t="shared" si="342"/>
        <v>0</v>
      </c>
      <c r="AR1112" s="40">
        <f t="shared" si="342"/>
        <v>0</v>
      </c>
      <c r="AS1112" s="40">
        <f t="shared" si="342"/>
        <v>0</v>
      </c>
      <c r="AT1112" s="40">
        <f t="shared" si="342"/>
        <v>0</v>
      </c>
      <c r="AU1112" s="40">
        <f t="shared" si="342"/>
        <v>0</v>
      </c>
      <c r="AV1112" s="317">
        <f t="shared" si="342"/>
        <v>0</v>
      </c>
      <c r="AW1112" s="317">
        <f t="shared" si="342"/>
        <v>0</v>
      </c>
      <c r="AX1112" s="317">
        <f t="shared" si="342"/>
        <v>0</v>
      </c>
      <c r="AY1112" s="317">
        <f t="shared" si="342"/>
        <v>0</v>
      </c>
      <c r="AZ1112" s="40">
        <f t="shared" si="342"/>
        <v>0</v>
      </c>
      <c r="BA1112" s="40">
        <f t="shared" si="342"/>
        <v>0</v>
      </c>
      <c r="BB1112" s="40">
        <f t="shared" si="342"/>
        <v>0</v>
      </c>
      <c r="BC1112" s="40">
        <f t="shared" si="342"/>
        <v>0</v>
      </c>
      <c r="BD1112" s="40">
        <f t="shared" si="342"/>
        <v>0</v>
      </c>
      <c r="BE1112" s="40">
        <f t="shared" si="342"/>
        <v>0</v>
      </c>
      <c r="BF1112" s="40">
        <f t="shared" si="342"/>
        <v>0</v>
      </c>
      <c r="BG1112" s="40">
        <f t="shared" si="342"/>
        <v>0</v>
      </c>
      <c r="BH1112" s="40">
        <f t="shared" si="342"/>
        <v>0</v>
      </c>
      <c r="BI1112" s="40">
        <f t="shared" si="342"/>
        <v>0</v>
      </c>
      <c r="BJ1112" s="40">
        <f t="shared" si="342"/>
        <v>0</v>
      </c>
      <c r="BK1112" s="40">
        <f t="shared" si="342"/>
        <v>0</v>
      </c>
      <c r="BL1112" s="62">
        <f>BL1113</f>
        <v>0</v>
      </c>
      <c r="BM1112" s="275">
        <f>BM1113</f>
        <v>3</v>
      </c>
      <c r="BN1112" s="62">
        <v>0.03</v>
      </c>
      <c r="BO1112" s="33" t="str">
        <f>BO1113</f>
        <v>NMD Opsluitband 100x200x1000mm grijs</v>
      </c>
    </row>
    <row r="1113" spans="1:68">
      <c r="A1113" s="33" t="str">
        <f>Database_Productkaarten[[#This Row],[Product]]&amp;", "&amp;Database_Productkaarten[[#This Row],[Levensfase]]</f>
        <v>Trottoirband 280x300, D1</v>
      </c>
      <c r="B1113" s="33" t="s">
        <v>617</v>
      </c>
      <c r="C1113" t="s">
        <v>55</v>
      </c>
      <c r="D1113" s="33" t="s">
        <v>388</v>
      </c>
      <c r="E1113" s="33" t="s">
        <v>389</v>
      </c>
      <c r="F1113" s="33" t="s">
        <v>87</v>
      </c>
      <c r="G1113" s="33">
        <v>1</v>
      </c>
      <c r="H1113" s="33">
        <v>0.3</v>
      </c>
      <c r="I1113" s="33">
        <v>0.28000000000000003</v>
      </c>
      <c r="L1113" s="33">
        <v>2.4</v>
      </c>
      <c r="M1113" s="33">
        <f>M933*2.8*1.5</f>
        <v>0.19109999999999999</v>
      </c>
      <c r="N1113" s="41">
        <f>N933*2.8*1.5</f>
        <v>0</v>
      </c>
      <c r="O1113" s="33">
        <v>25</v>
      </c>
      <c r="P1113" s="40">
        <f t="shared" ref="P1113:Z1113" si="343">P933*2.8*1.5</f>
        <v>0</v>
      </c>
      <c r="Q1113" s="40">
        <f t="shared" si="343"/>
        <v>0</v>
      </c>
      <c r="R1113" s="40">
        <f t="shared" si="343"/>
        <v>0</v>
      </c>
      <c r="S1113" s="40">
        <f t="shared" si="343"/>
        <v>0</v>
      </c>
      <c r="T1113" s="40">
        <f t="shared" si="343"/>
        <v>0</v>
      </c>
      <c r="U1113" s="40">
        <f t="shared" si="343"/>
        <v>0</v>
      </c>
      <c r="V1113" s="40">
        <f t="shared" si="343"/>
        <v>0</v>
      </c>
      <c r="W1113" s="40">
        <f t="shared" si="343"/>
        <v>0</v>
      </c>
      <c r="X1113" s="40">
        <f t="shared" si="343"/>
        <v>0</v>
      </c>
      <c r="Y1113" s="40">
        <f t="shared" si="343"/>
        <v>0</v>
      </c>
      <c r="Z1113" s="40">
        <f t="shared" si="343"/>
        <v>0</v>
      </c>
      <c r="AV1113" s="313">
        <f>AV933*2.8*1.5</f>
        <v>0</v>
      </c>
      <c r="AW1113" s="314"/>
      <c r="AX1113" s="314"/>
      <c r="AY1113" s="313">
        <f>AY933*2.8*1.5</f>
        <v>0</v>
      </c>
      <c r="BL1113" s="62">
        <v>0</v>
      </c>
      <c r="BM1113" s="275">
        <v>3</v>
      </c>
      <c r="BN1113" s="62">
        <v>0.03</v>
      </c>
      <c r="BO1113" s="33" t="s">
        <v>600</v>
      </c>
      <c r="BP1113" s="33" t="s">
        <v>618</v>
      </c>
    </row>
    <row r="1114" spans="1:68">
      <c r="A1114" s="33" t="str">
        <f>Database_Productkaarten[[#This Row],[Product]]&amp;", "&amp;Database_Productkaarten[[#This Row],[Levensfase]]</f>
        <v>Trottoirband 280x300, D2</v>
      </c>
      <c r="B1114" s="33" t="s">
        <v>617</v>
      </c>
      <c r="C1114" t="s">
        <v>55</v>
      </c>
      <c r="D1114" s="33" t="s">
        <v>388</v>
      </c>
      <c r="E1114" s="33" t="s">
        <v>389</v>
      </c>
      <c r="F1114" s="33" t="s">
        <v>88</v>
      </c>
      <c r="G1114" s="33">
        <v>1</v>
      </c>
      <c r="H1114" s="33">
        <v>0.3</v>
      </c>
      <c r="I1114" s="33">
        <v>0.28000000000000003</v>
      </c>
      <c r="L1114" s="33">
        <v>2.4</v>
      </c>
      <c r="M1114" s="33">
        <f>M934*2.8*1.5</f>
        <v>0.19109999999999999</v>
      </c>
      <c r="N1114" s="41">
        <f>N934*2.8*1.5</f>
        <v>0</v>
      </c>
      <c r="O1114" s="33">
        <v>25</v>
      </c>
      <c r="P1114" s="40">
        <f t="shared" ref="P1114:Z1114" si="344">P934*2.8*1.5</f>
        <v>0</v>
      </c>
      <c r="Q1114" s="40">
        <f t="shared" si="344"/>
        <v>0</v>
      </c>
      <c r="R1114" s="40">
        <f t="shared" si="344"/>
        <v>0</v>
      </c>
      <c r="S1114" s="40">
        <f t="shared" si="344"/>
        <v>0</v>
      </c>
      <c r="T1114" s="40">
        <f t="shared" si="344"/>
        <v>0</v>
      </c>
      <c r="U1114" s="40">
        <f t="shared" si="344"/>
        <v>0</v>
      </c>
      <c r="V1114" s="40">
        <f t="shared" si="344"/>
        <v>0</v>
      </c>
      <c r="W1114" s="40">
        <f t="shared" si="344"/>
        <v>0</v>
      </c>
      <c r="X1114" s="40">
        <f t="shared" si="344"/>
        <v>0</v>
      </c>
      <c r="Y1114" s="40">
        <f t="shared" si="344"/>
        <v>0</v>
      </c>
      <c r="Z1114" s="40">
        <f t="shared" si="344"/>
        <v>0</v>
      </c>
      <c r="AV1114" s="313">
        <f>AV934*2.8*1.5</f>
        <v>0</v>
      </c>
      <c r="AW1114" s="314"/>
      <c r="AX1114" s="314"/>
      <c r="AY1114" s="313">
        <f>AY934*2.8*1.5</f>
        <v>0</v>
      </c>
      <c r="BL1114" s="62">
        <v>0</v>
      </c>
      <c r="BM1114" s="275">
        <v>3</v>
      </c>
      <c r="BN1114" s="62">
        <v>0.03</v>
      </c>
      <c r="BO1114" s="33" t="s">
        <v>600</v>
      </c>
      <c r="BP1114" s="33" t="s">
        <v>618</v>
      </c>
    </row>
    <row r="1115" spans="1:68">
      <c r="A1115" s="33" t="str">
        <f>Database_Productkaarten[[#This Row],[Product]]&amp;", "&amp;Database_Productkaarten[[#This Row],[Levensfase]]</f>
        <v>Trottoirband 280x300 (hergebruik), Totaal</v>
      </c>
      <c r="B1115" s="33" t="s">
        <v>619</v>
      </c>
      <c r="C1115" t="s">
        <v>55</v>
      </c>
      <c r="D1115" s="33" t="s">
        <v>388</v>
      </c>
      <c r="E1115" s="33" t="s">
        <v>389</v>
      </c>
      <c r="F1115" s="33" t="s">
        <v>90</v>
      </c>
      <c r="G1115" s="33">
        <v>1</v>
      </c>
      <c r="H1115" s="33">
        <v>0.3</v>
      </c>
      <c r="I1115" s="33">
        <v>0.28000000000000003</v>
      </c>
      <c r="L1115" s="33">
        <v>2.4</v>
      </c>
      <c r="M1115" s="33">
        <f t="shared" ref="M1115:M1129" si="345">M935*2.8*1.5</f>
        <v>0.19109999999999999</v>
      </c>
      <c r="N1115" s="41">
        <f>SUM(N1119:N1127)</f>
        <v>1.2064466</v>
      </c>
      <c r="O1115" s="33">
        <v>25</v>
      </c>
      <c r="P1115" s="163">
        <f t="shared" ref="P1115:Z1115" si="346">SUM(P1119:P1127)</f>
        <v>1.8323260367960001E-5</v>
      </c>
      <c r="Q1115" s="163">
        <f t="shared" si="346"/>
        <v>6.7910460862399991E-2</v>
      </c>
      <c r="R1115" s="163">
        <f t="shared" si="346"/>
        <v>10.97986714548</v>
      </c>
      <c r="S1115" s="163">
        <f t="shared" si="346"/>
        <v>1.5813617902979999E-6</v>
      </c>
      <c r="T1115" s="163">
        <f t="shared" si="346"/>
        <v>6.6881695582600006E-3</v>
      </c>
      <c r="U1115" s="163">
        <f t="shared" si="346"/>
        <v>5.1614597831799988E-2</v>
      </c>
      <c r="V1115" s="163">
        <f t="shared" si="346"/>
        <v>1.0867127584059997E-2</v>
      </c>
      <c r="W1115" s="163">
        <f t="shared" si="346"/>
        <v>3.3929506335399995</v>
      </c>
      <c r="X1115" s="163">
        <f t="shared" si="346"/>
        <v>8.1568719098600001E-2</v>
      </c>
      <c r="Y1115" s="163">
        <f t="shared" si="346"/>
        <v>299.26662883699998</v>
      </c>
      <c r="Z1115" s="163">
        <f t="shared" si="346"/>
        <v>1.4706181892939998E-2</v>
      </c>
      <c r="AA1115" s="40"/>
      <c r="AB1115" s="40"/>
      <c r="AC1115" s="40"/>
      <c r="AD1115" s="40"/>
      <c r="AE1115" s="40"/>
      <c r="AF1115" s="40"/>
      <c r="AG1115" s="40"/>
      <c r="AH1115" s="40"/>
      <c r="AI1115" s="40"/>
      <c r="AJ1115" s="40"/>
      <c r="AK1115" s="40"/>
      <c r="AL1115" s="40"/>
      <c r="AM1115" s="40"/>
      <c r="AN1115" s="40"/>
      <c r="AO1115" s="40"/>
      <c r="AP1115" s="40"/>
      <c r="AQ1115" s="40"/>
      <c r="AR1115" s="40"/>
      <c r="AS1115" s="40"/>
      <c r="AT1115" s="40"/>
      <c r="AU1115" s="40"/>
      <c r="AV1115" s="163">
        <f>SUM(AV1119:AV1127)</f>
        <v>4.5822199936799999</v>
      </c>
      <c r="AW1115" s="40"/>
      <c r="AX1115" s="40"/>
      <c r="AY1115" s="163">
        <f>SUM(AY1119:AY1127)</f>
        <v>188.59725489779998</v>
      </c>
      <c r="AZ1115" s="40"/>
      <c r="BA1115" s="40"/>
      <c r="BB1115" s="40"/>
      <c r="BC1115" s="163">
        <f t="shared" ref="BC1115:BE1115" si="347">SUM(BC1119:BC1127)</f>
        <v>0</v>
      </c>
      <c r="BD1115" s="163">
        <f t="shared" si="347"/>
        <v>0</v>
      </c>
      <c r="BE1115" s="163">
        <f t="shared" si="347"/>
        <v>0</v>
      </c>
      <c r="BF1115" s="40"/>
      <c r="BG1115" s="40"/>
      <c r="BH1115" s="40"/>
      <c r="BI1115" s="40"/>
      <c r="BJ1115" s="40"/>
      <c r="BK1115" s="40"/>
      <c r="BL1115" s="62">
        <v>1</v>
      </c>
      <c r="BM1115" s="275">
        <v>3</v>
      </c>
      <c r="BN1115" s="62">
        <v>0.03</v>
      </c>
      <c r="BO1115" s="33" t="s">
        <v>600</v>
      </c>
      <c r="BP1115" s="33" t="s">
        <v>602</v>
      </c>
    </row>
    <row r="1116" spans="1:68">
      <c r="A1116" s="33" t="str">
        <f>Database_Productkaarten[[#This Row],[Product]]&amp;", "&amp;Database_Productkaarten[[#This Row],[Levensfase]]</f>
        <v>Trottoirband 280x300 (hergebruik), A1</v>
      </c>
      <c r="B1116" s="33" t="s">
        <v>619</v>
      </c>
      <c r="C1116" t="s">
        <v>55</v>
      </c>
      <c r="D1116" s="33" t="s">
        <v>388</v>
      </c>
      <c r="E1116" s="33" t="s">
        <v>389</v>
      </c>
      <c r="F1116" s="33" t="s">
        <v>74</v>
      </c>
      <c r="G1116" s="33">
        <v>1</v>
      </c>
      <c r="H1116" s="33">
        <v>0.3</v>
      </c>
      <c r="I1116" s="33">
        <v>0.28000000000000003</v>
      </c>
      <c r="L1116" s="33">
        <v>2.4</v>
      </c>
      <c r="M1116" s="33">
        <f t="shared" si="345"/>
        <v>0.19109999999999999</v>
      </c>
      <c r="N1116" s="41">
        <v>0</v>
      </c>
      <c r="O1116" s="33">
        <v>25</v>
      </c>
      <c r="P1116" s="163">
        <v>0</v>
      </c>
      <c r="Q1116" s="163">
        <v>0</v>
      </c>
      <c r="R1116" s="163">
        <v>0</v>
      </c>
      <c r="S1116" s="163">
        <v>0</v>
      </c>
      <c r="T1116" s="163">
        <v>0</v>
      </c>
      <c r="U1116" s="163">
        <v>0</v>
      </c>
      <c r="V1116" s="163">
        <v>0</v>
      </c>
      <c r="W1116" s="163">
        <v>0</v>
      </c>
      <c r="X1116" s="163">
        <v>0</v>
      </c>
      <c r="Y1116" s="163">
        <v>0</v>
      </c>
      <c r="Z1116" s="163">
        <v>0</v>
      </c>
      <c r="AA1116" s="40"/>
      <c r="AB1116" s="40"/>
      <c r="AC1116" s="40"/>
      <c r="AD1116" s="40"/>
      <c r="AE1116" s="40"/>
      <c r="AF1116" s="40"/>
      <c r="AG1116" s="40"/>
      <c r="AH1116" s="40"/>
      <c r="AI1116" s="40"/>
      <c r="AJ1116" s="40"/>
      <c r="AK1116" s="40"/>
      <c r="AL1116" s="40"/>
      <c r="AM1116" s="40"/>
      <c r="AN1116" s="40"/>
      <c r="AO1116" s="40"/>
      <c r="AP1116" s="40"/>
      <c r="AQ1116" s="40"/>
      <c r="AR1116" s="40"/>
      <c r="AS1116" s="40"/>
      <c r="AT1116" s="40"/>
      <c r="AU1116" s="40"/>
      <c r="AV1116" s="163">
        <v>0</v>
      </c>
      <c r="AW1116" s="40"/>
      <c r="AX1116" s="40"/>
      <c r="AY1116" s="163">
        <v>0</v>
      </c>
      <c r="AZ1116" s="40"/>
      <c r="BA1116" s="40"/>
      <c r="BB1116" s="40"/>
      <c r="BC1116" s="163">
        <v>0</v>
      </c>
      <c r="BD1116" s="163">
        <v>0</v>
      </c>
      <c r="BE1116" s="163">
        <v>0</v>
      </c>
      <c r="BF1116" s="40"/>
      <c r="BG1116" s="40"/>
      <c r="BH1116" s="40"/>
      <c r="BI1116" s="40"/>
      <c r="BJ1116" s="40"/>
      <c r="BK1116" s="40"/>
      <c r="BL1116" s="62">
        <v>1</v>
      </c>
      <c r="BM1116" s="275">
        <v>3</v>
      </c>
      <c r="BN1116" s="62">
        <v>0.03</v>
      </c>
      <c r="BO1116" s="33" t="s">
        <v>600</v>
      </c>
      <c r="BP1116" s="33" t="s">
        <v>602</v>
      </c>
    </row>
    <row r="1117" spans="1:68">
      <c r="A1117" s="33" t="str">
        <f>Database_Productkaarten[[#This Row],[Product]]&amp;", "&amp;Database_Productkaarten[[#This Row],[Levensfase]]</f>
        <v>Trottoirband 280x300 (hergebruik), A2</v>
      </c>
      <c r="B1117" s="33" t="s">
        <v>619</v>
      </c>
      <c r="C1117" t="s">
        <v>55</v>
      </c>
      <c r="D1117" s="33" t="s">
        <v>388</v>
      </c>
      <c r="E1117" s="33" t="s">
        <v>389</v>
      </c>
      <c r="F1117" s="33" t="s">
        <v>75</v>
      </c>
      <c r="G1117" s="33">
        <v>1</v>
      </c>
      <c r="H1117" s="33">
        <v>0.3</v>
      </c>
      <c r="I1117" s="33">
        <v>0.28000000000000003</v>
      </c>
      <c r="L1117" s="33">
        <v>2.4</v>
      </c>
      <c r="M1117" s="33">
        <f t="shared" si="345"/>
        <v>0.19109999999999999</v>
      </c>
      <c r="N1117" s="41">
        <v>0</v>
      </c>
      <c r="O1117" s="33">
        <v>25</v>
      </c>
      <c r="P1117" s="163">
        <v>0</v>
      </c>
      <c r="Q1117" s="163">
        <v>0</v>
      </c>
      <c r="R1117" s="163">
        <v>0</v>
      </c>
      <c r="S1117" s="163">
        <v>0</v>
      </c>
      <c r="T1117" s="163">
        <v>0</v>
      </c>
      <c r="U1117" s="163">
        <v>0</v>
      </c>
      <c r="V1117" s="163">
        <v>0</v>
      </c>
      <c r="W1117" s="163">
        <v>0</v>
      </c>
      <c r="X1117" s="163">
        <v>0</v>
      </c>
      <c r="Y1117" s="163">
        <v>0</v>
      </c>
      <c r="Z1117" s="163">
        <v>0</v>
      </c>
      <c r="AA1117" s="40"/>
      <c r="AB1117" s="40"/>
      <c r="AC1117" s="40"/>
      <c r="AD1117" s="40"/>
      <c r="AE1117" s="40"/>
      <c r="AF1117" s="40"/>
      <c r="AG1117" s="40"/>
      <c r="AH1117" s="40"/>
      <c r="AI1117" s="40"/>
      <c r="AJ1117" s="40"/>
      <c r="AK1117" s="40"/>
      <c r="AL1117" s="40"/>
      <c r="AM1117" s="40"/>
      <c r="AN1117" s="40"/>
      <c r="AO1117" s="40"/>
      <c r="AP1117" s="40"/>
      <c r="AQ1117" s="40"/>
      <c r="AR1117" s="40"/>
      <c r="AS1117" s="40"/>
      <c r="AT1117" s="40"/>
      <c r="AU1117" s="40"/>
      <c r="AV1117" s="163">
        <v>0</v>
      </c>
      <c r="AW1117" s="40"/>
      <c r="AX1117" s="40"/>
      <c r="AY1117" s="163">
        <v>0</v>
      </c>
      <c r="AZ1117" s="40"/>
      <c r="BA1117" s="40"/>
      <c r="BB1117" s="40"/>
      <c r="BC1117" s="163">
        <v>0</v>
      </c>
      <c r="BD1117" s="163">
        <v>0</v>
      </c>
      <c r="BE1117" s="163">
        <v>0</v>
      </c>
      <c r="BF1117" s="40"/>
      <c r="BG1117" s="40"/>
      <c r="BH1117" s="40"/>
      <c r="BI1117" s="40"/>
      <c r="BJ1117" s="40"/>
      <c r="BK1117" s="40"/>
      <c r="BL1117" s="62">
        <v>1</v>
      </c>
      <c r="BM1117" s="275">
        <v>3</v>
      </c>
      <c r="BN1117" s="62">
        <v>0.03</v>
      </c>
      <c r="BO1117" s="33" t="s">
        <v>600</v>
      </c>
      <c r="BP1117" s="33" t="s">
        <v>602</v>
      </c>
    </row>
    <row r="1118" spans="1:68">
      <c r="A1118" s="33" t="str">
        <f>Database_Productkaarten[[#This Row],[Product]]&amp;", "&amp;Database_Productkaarten[[#This Row],[Levensfase]]</f>
        <v>Trottoirband 280x300 (hergebruik), A3</v>
      </c>
      <c r="B1118" s="33" t="s">
        <v>619</v>
      </c>
      <c r="C1118" t="s">
        <v>55</v>
      </c>
      <c r="D1118" s="33" t="s">
        <v>388</v>
      </c>
      <c r="E1118" s="33" t="s">
        <v>389</v>
      </c>
      <c r="F1118" s="33" t="s">
        <v>76</v>
      </c>
      <c r="G1118" s="33">
        <v>1</v>
      </c>
      <c r="H1118" s="33">
        <v>0.3</v>
      </c>
      <c r="I1118" s="33">
        <v>0.28000000000000003</v>
      </c>
      <c r="L1118" s="33">
        <v>2.4</v>
      </c>
      <c r="M1118" s="33">
        <f t="shared" si="345"/>
        <v>0.19109999999999999</v>
      </c>
      <c r="N1118" s="41">
        <v>0</v>
      </c>
      <c r="O1118" s="33">
        <v>25</v>
      </c>
      <c r="P1118" s="163">
        <v>0</v>
      </c>
      <c r="Q1118" s="163">
        <v>0</v>
      </c>
      <c r="R1118" s="163">
        <v>0</v>
      </c>
      <c r="S1118" s="163">
        <v>0</v>
      </c>
      <c r="T1118" s="163">
        <v>0</v>
      </c>
      <c r="U1118" s="163">
        <v>0</v>
      </c>
      <c r="V1118" s="163">
        <v>0</v>
      </c>
      <c r="W1118" s="163">
        <v>0</v>
      </c>
      <c r="X1118" s="163">
        <v>0</v>
      </c>
      <c r="Y1118" s="163">
        <v>0</v>
      </c>
      <c r="Z1118" s="163">
        <v>0</v>
      </c>
      <c r="AA1118" s="40"/>
      <c r="AB1118" s="40"/>
      <c r="AC1118" s="40"/>
      <c r="AD1118" s="40"/>
      <c r="AE1118" s="40"/>
      <c r="AF1118" s="40"/>
      <c r="AG1118" s="40"/>
      <c r="AH1118" s="40"/>
      <c r="AI1118" s="40"/>
      <c r="AJ1118" s="40"/>
      <c r="AK1118" s="40"/>
      <c r="AL1118" s="40"/>
      <c r="AM1118" s="40"/>
      <c r="AN1118" s="40"/>
      <c r="AO1118" s="40"/>
      <c r="AP1118" s="40"/>
      <c r="AQ1118" s="40"/>
      <c r="AR1118" s="40"/>
      <c r="AS1118" s="40"/>
      <c r="AT1118" s="40"/>
      <c r="AU1118" s="40"/>
      <c r="AV1118" s="163">
        <v>0</v>
      </c>
      <c r="AW1118" s="40"/>
      <c r="AX1118" s="40"/>
      <c r="AY1118" s="163">
        <v>0</v>
      </c>
      <c r="AZ1118" s="40"/>
      <c r="BA1118" s="40"/>
      <c r="BB1118" s="40"/>
      <c r="BC1118" s="163">
        <v>0</v>
      </c>
      <c r="BD1118" s="163">
        <v>0</v>
      </c>
      <c r="BE1118" s="163">
        <v>0</v>
      </c>
      <c r="BF1118" s="40"/>
      <c r="BG1118" s="40"/>
      <c r="BH1118" s="40"/>
      <c r="BI1118" s="40"/>
      <c r="BJ1118" s="40"/>
      <c r="BK1118" s="40"/>
      <c r="BL1118" s="62">
        <v>1</v>
      </c>
      <c r="BM1118" s="275">
        <v>3</v>
      </c>
      <c r="BN1118" s="62">
        <v>0.03</v>
      </c>
      <c r="BO1118" s="33" t="s">
        <v>600</v>
      </c>
      <c r="BP1118" s="33" t="s">
        <v>602</v>
      </c>
    </row>
    <row r="1119" spans="1:68">
      <c r="A1119" s="33" t="str">
        <f>Database_Productkaarten[[#This Row],[Product]]&amp;", "&amp;Database_Productkaarten[[#This Row],[Levensfase]]</f>
        <v>Trottoirband 280x300 (hergebruik), A1-A3</v>
      </c>
      <c r="B1119" s="33" t="s">
        <v>619</v>
      </c>
      <c r="C1119" s="33" t="str">
        <f>C1118</f>
        <v>Elementenverhardingen</v>
      </c>
      <c r="D1119" s="33" t="str">
        <f>D1118</f>
        <v>Trottoirband</v>
      </c>
      <c r="E1119" s="33" t="str">
        <f>E1118</f>
        <v>m1</v>
      </c>
      <c r="F1119" s="33" t="s">
        <v>77</v>
      </c>
      <c r="G1119" s="33">
        <f>G1118</f>
        <v>1</v>
      </c>
      <c r="H1119" s="33">
        <f t="shared" ref="H1119:I1119" si="348">H1118</f>
        <v>0.3</v>
      </c>
      <c r="I1119" s="33">
        <f t="shared" si="348"/>
        <v>0.28000000000000003</v>
      </c>
      <c r="L1119" s="33">
        <v>2.4</v>
      </c>
      <c r="M1119" s="33">
        <f t="shared" si="345"/>
        <v>0.19109999999999999</v>
      </c>
      <c r="N1119" s="41">
        <v>0</v>
      </c>
      <c r="O1119" s="33">
        <v>25</v>
      </c>
      <c r="P1119" s="163">
        <v>0</v>
      </c>
      <c r="Q1119" s="163">
        <v>0</v>
      </c>
      <c r="R1119" s="163">
        <v>0</v>
      </c>
      <c r="S1119" s="163">
        <v>0</v>
      </c>
      <c r="T1119" s="163">
        <v>0</v>
      </c>
      <c r="U1119" s="163">
        <v>0</v>
      </c>
      <c r="V1119" s="163">
        <v>0</v>
      </c>
      <c r="W1119" s="163">
        <v>0</v>
      </c>
      <c r="X1119" s="163">
        <v>0</v>
      </c>
      <c r="Y1119" s="163">
        <v>0</v>
      </c>
      <c r="Z1119" s="163">
        <v>0</v>
      </c>
      <c r="AA1119" s="40"/>
      <c r="AB1119" s="40"/>
      <c r="AC1119" s="40"/>
      <c r="AD1119" s="40"/>
      <c r="AE1119" s="40"/>
      <c r="AF1119" s="40"/>
      <c r="AG1119" s="40"/>
      <c r="AH1119" s="40"/>
      <c r="AI1119" s="40"/>
      <c r="AJ1119" s="40"/>
      <c r="AK1119" s="40"/>
      <c r="AL1119" s="40"/>
      <c r="AM1119" s="40"/>
      <c r="AN1119" s="40"/>
      <c r="AO1119" s="40"/>
      <c r="AP1119" s="40"/>
      <c r="AQ1119" s="40"/>
      <c r="AR1119" s="40"/>
      <c r="AS1119" s="40"/>
      <c r="AT1119" s="40"/>
      <c r="AU1119" s="40"/>
      <c r="AV1119" s="163">
        <v>0</v>
      </c>
      <c r="AW1119" s="40"/>
      <c r="AX1119" s="40"/>
      <c r="AY1119" s="163">
        <v>0</v>
      </c>
      <c r="AZ1119" s="40"/>
      <c r="BA1119" s="40"/>
      <c r="BB1119" s="40"/>
      <c r="BC1119" s="163">
        <v>0</v>
      </c>
      <c r="BD1119" s="163">
        <v>0</v>
      </c>
      <c r="BE1119" s="163">
        <v>0</v>
      </c>
      <c r="BF1119" s="40"/>
      <c r="BG1119" s="40"/>
      <c r="BH1119" s="40"/>
      <c r="BI1119" s="40"/>
      <c r="BJ1119" s="40"/>
      <c r="BK1119" s="40"/>
      <c r="BL1119" s="62">
        <v>1</v>
      </c>
      <c r="BM1119" s="275">
        <v>3</v>
      </c>
      <c r="BN1119" s="62">
        <v>0.03</v>
      </c>
      <c r="BO1119" s="33" t="s">
        <v>600</v>
      </c>
      <c r="BP1119" s="33" t="s">
        <v>602</v>
      </c>
    </row>
    <row r="1120" spans="1:68">
      <c r="A1120" s="33" t="str">
        <f>Database_Productkaarten[[#This Row],[Product]]&amp;", "&amp;Database_Productkaarten[[#This Row],[Levensfase]]</f>
        <v>Trottoirband 280x300 (hergebruik), A4</v>
      </c>
      <c r="B1120" s="33" t="s">
        <v>619</v>
      </c>
      <c r="C1120" t="s">
        <v>55</v>
      </c>
      <c r="D1120" s="33" t="s">
        <v>388</v>
      </c>
      <c r="E1120" s="33" t="s">
        <v>389</v>
      </c>
      <c r="F1120" s="33" t="s">
        <v>78</v>
      </c>
      <c r="G1120" s="33">
        <v>1</v>
      </c>
      <c r="H1120" s="33">
        <v>0.3</v>
      </c>
      <c r="I1120" s="33">
        <v>0.28000000000000003</v>
      </c>
      <c r="L1120" s="33">
        <v>2.4</v>
      </c>
      <c r="M1120" s="33">
        <f t="shared" si="345"/>
        <v>0.19109999999999999</v>
      </c>
      <c r="N1120" s="41">
        <f>N1105</f>
        <v>0.44016</v>
      </c>
      <c r="O1120" s="33">
        <v>25</v>
      </c>
      <c r="P1120" s="163">
        <f t="shared" ref="P1120:Z1120" si="349">P1105</f>
        <v>1.0593724259999999E-5</v>
      </c>
      <c r="Q1120" s="163">
        <f t="shared" si="349"/>
        <v>2.7496373099999999E-2</v>
      </c>
      <c r="R1120" s="163">
        <f t="shared" si="349"/>
        <v>3.7251587099999997</v>
      </c>
      <c r="S1120" s="163">
        <f t="shared" si="349"/>
        <v>6.8647324199999993E-7</v>
      </c>
      <c r="T1120" s="163">
        <f t="shared" si="349"/>
        <v>2.1987072660000001E-3</v>
      </c>
      <c r="U1120" s="163">
        <f t="shared" si="349"/>
        <v>1.6150170120000001E-2</v>
      </c>
      <c r="V1120" s="163">
        <f t="shared" si="349"/>
        <v>3.2182901939999996E-3</v>
      </c>
      <c r="W1120" s="163">
        <f t="shared" si="349"/>
        <v>1.4903546279999997</v>
      </c>
      <c r="X1120" s="163">
        <f t="shared" si="349"/>
        <v>4.3710097199999999E-2</v>
      </c>
      <c r="Y1120" s="163">
        <f t="shared" si="349"/>
        <v>157.76268899999999</v>
      </c>
      <c r="Z1120" s="163">
        <f t="shared" si="349"/>
        <v>5.2805176199999995E-3</v>
      </c>
      <c r="AA1120" s="40"/>
      <c r="AB1120" s="40"/>
      <c r="AC1120" s="40"/>
      <c r="AD1120" s="40"/>
      <c r="AE1120" s="40"/>
      <c r="AF1120" s="40"/>
      <c r="AG1120" s="40"/>
      <c r="AH1120" s="40"/>
      <c r="AI1120" s="40"/>
      <c r="AJ1120" s="40"/>
      <c r="AK1120" s="40"/>
      <c r="AL1120" s="40"/>
      <c r="AM1120" s="40"/>
      <c r="AN1120" s="40"/>
      <c r="AO1120" s="40"/>
      <c r="AP1120" s="40"/>
      <c r="AQ1120" s="40"/>
      <c r="AR1120" s="40"/>
      <c r="AS1120" s="40"/>
      <c r="AT1120" s="40"/>
      <c r="AU1120" s="40"/>
      <c r="AV1120" s="163">
        <f>AV1105</f>
        <v>0.78446524799999984</v>
      </c>
      <c r="AW1120" s="40"/>
      <c r="AX1120" s="40"/>
      <c r="AY1120" s="163">
        <f>AY1105</f>
        <v>61.297979400000003</v>
      </c>
      <c r="AZ1120" s="40"/>
      <c r="BA1120" s="40"/>
      <c r="BB1120" s="40"/>
      <c r="BC1120" s="163">
        <f t="shared" ref="BC1120:BE1120" si="350">BC1105</f>
        <v>0</v>
      </c>
      <c r="BD1120" s="163">
        <f t="shared" si="350"/>
        <v>0</v>
      </c>
      <c r="BE1120" s="163">
        <f t="shared" si="350"/>
        <v>0</v>
      </c>
      <c r="BF1120" s="40"/>
      <c r="BG1120" s="40"/>
      <c r="BH1120" s="40"/>
      <c r="BI1120" s="40"/>
      <c r="BJ1120" s="40"/>
      <c r="BK1120" s="40"/>
      <c r="BL1120" s="62">
        <v>1</v>
      </c>
      <c r="BM1120" s="275">
        <v>3</v>
      </c>
      <c r="BN1120" s="62">
        <v>0.03</v>
      </c>
      <c r="BO1120" s="33" t="s">
        <v>600</v>
      </c>
      <c r="BP1120" s="33" t="s">
        <v>602</v>
      </c>
    </row>
    <row r="1121" spans="1:68">
      <c r="A1121" s="33" t="str">
        <f>Database_Productkaarten[[#This Row],[Product]]&amp;", "&amp;Database_Productkaarten[[#This Row],[Levensfase]]</f>
        <v>Trottoirband 280x300 (hergebruik), A5</v>
      </c>
      <c r="B1121" s="33" t="s">
        <v>619</v>
      </c>
      <c r="C1121" t="s">
        <v>55</v>
      </c>
      <c r="D1121" s="33" t="s">
        <v>388</v>
      </c>
      <c r="E1121" s="33" t="s">
        <v>389</v>
      </c>
      <c r="F1121" s="33" t="s">
        <v>79</v>
      </c>
      <c r="G1121" s="33">
        <v>1</v>
      </c>
      <c r="H1121" s="33">
        <v>0.3</v>
      </c>
      <c r="I1121" s="33">
        <v>0.28000000000000003</v>
      </c>
      <c r="L1121" s="33">
        <v>2.4</v>
      </c>
      <c r="M1121" s="33">
        <f t="shared" si="345"/>
        <v>0.19109999999999999</v>
      </c>
      <c r="N1121" s="41">
        <f t="shared" ref="N1121:N1126" si="351">N1106</f>
        <v>7.5248000000000009E-2</v>
      </c>
      <c r="O1121" s="33">
        <v>25</v>
      </c>
      <c r="P1121" s="163">
        <f t="shared" ref="P1121:Z1121" si="352">P1106</f>
        <v>3.7652309600000005E-7</v>
      </c>
      <c r="Q1121" s="163">
        <f t="shared" si="352"/>
        <v>3.9147749599999998E-3</v>
      </c>
      <c r="R1121" s="163">
        <f t="shared" si="352"/>
        <v>0.64742035200000003</v>
      </c>
      <c r="S1121" s="163">
        <f t="shared" si="352"/>
        <v>9.5420448000000014E-8</v>
      </c>
      <c r="T1121" s="163">
        <f t="shared" si="352"/>
        <v>5.2477369600000001E-4</v>
      </c>
      <c r="U1121" s="163">
        <f t="shared" si="352"/>
        <v>4.0310070400000004E-3</v>
      </c>
      <c r="V1121" s="163">
        <f t="shared" si="352"/>
        <v>8.9260456000000001E-4</v>
      </c>
      <c r="W1121" s="163">
        <f t="shared" si="352"/>
        <v>0.193121608</v>
      </c>
      <c r="X1121" s="163">
        <f t="shared" si="352"/>
        <v>3.0463572800000002E-3</v>
      </c>
      <c r="Y1121" s="163">
        <f t="shared" si="352"/>
        <v>10.877852000000001</v>
      </c>
      <c r="Z1121" s="163">
        <f t="shared" si="352"/>
        <v>5.85754968E-4</v>
      </c>
      <c r="AA1121" s="40"/>
      <c r="AB1121" s="40"/>
      <c r="AC1121" s="40"/>
      <c r="AD1121" s="40"/>
      <c r="AE1121" s="40"/>
      <c r="AF1121" s="40"/>
      <c r="AG1121" s="40"/>
      <c r="AH1121" s="40"/>
      <c r="AI1121" s="40"/>
      <c r="AJ1121" s="40"/>
      <c r="AK1121" s="40"/>
      <c r="AL1121" s="40"/>
      <c r="AM1121" s="40"/>
      <c r="AN1121" s="40"/>
      <c r="AO1121" s="40"/>
      <c r="AP1121" s="40"/>
      <c r="AQ1121" s="40"/>
      <c r="AR1121" s="40"/>
      <c r="AS1121" s="40"/>
      <c r="AT1121" s="40"/>
      <c r="AU1121" s="40"/>
      <c r="AV1121" s="163">
        <f t="shared" ref="AV1121:AV1126" si="353">AV1106</f>
        <v>0.88570061999999994</v>
      </c>
      <c r="AW1121" s="40"/>
      <c r="AX1121" s="40"/>
      <c r="AY1121" s="163">
        <f t="shared" ref="AY1121:AY1126" si="354">AY1106</f>
        <v>46.061231999999997</v>
      </c>
      <c r="AZ1121" s="40"/>
      <c r="BA1121" s="40"/>
      <c r="BB1121" s="40"/>
      <c r="BC1121" s="163">
        <f t="shared" ref="BC1121:BE1121" si="355">BC1106</f>
        <v>0</v>
      </c>
      <c r="BD1121" s="163">
        <f t="shared" si="355"/>
        <v>0</v>
      </c>
      <c r="BE1121" s="163">
        <f t="shared" si="355"/>
        <v>0</v>
      </c>
      <c r="BF1121" s="40"/>
      <c r="BG1121" s="40"/>
      <c r="BH1121" s="40"/>
      <c r="BI1121" s="40"/>
      <c r="BJ1121" s="40"/>
      <c r="BK1121" s="40"/>
      <c r="BL1121" s="62">
        <v>1</v>
      </c>
      <c r="BM1121" s="275">
        <v>3</v>
      </c>
      <c r="BN1121" s="62">
        <v>0.03</v>
      </c>
      <c r="BO1121" s="33" t="s">
        <v>600</v>
      </c>
      <c r="BP1121" s="33" t="s">
        <v>602</v>
      </c>
    </row>
    <row r="1122" spans="1:68">
      <c r="A1122" s="33" t="str">
        <f>Database_Productkaarten[[#This Row],[Product]]&amp;", "&amp;Database_Productkaarten[[#This Row],[Levensfase]]</f>
        <v>Trottoirband 280x300 (hergebruik), B1</v>
      </c>
      <c r="B1122" s="33" t="s">
        <v>619</v>
      </c>
      <c r="C1122" t="s">
        <v>55</v>
      </c>
      <c r="D1122" s="33" t="s">
        <v>388</v>
      </c>
      <c r="E1122" s="33" t="s">
        <v>389</v>
      </c>
      <c r="F1122" s="33" t="s">
        <v>80</v>
      </c>
      <c r="G1122" s="33">
        <v>1</v>
      </c>
      <c r="H1122" s="33">
        <v>0.3</v>
      </c>
      <c r="I1122" s="33">
        <v>0.28000000000000003</v>
      </c>
      <c r="L1122" s="33">
        <v>2.4</v>
      </c>
      <c r="M1122" s="33">
        <f t="shared" si="345"/>
        <v>0.19109999999999999</v>
      </c>
      <c r="N1122" s="41">
        <f t="shared" si="351"/>
        <v>0</v>
      </c>
      <c r="O1122" s="33">
        <v>25</v>
      </c>
      <c r="P1122" s="163">
        <f t="shared" ref="P1122:Z1122" si="356">P1107</f>
        <v>0</v>
      </c>
      <c r="Q1122" s="163">
        <f t="shared" si="356"/>
        <v>0</v>
      </c>
      <c r="R1122" s="163">
        <f t="shared" si="356"/>
        <v>0</v>
      </c>
      <c r="S1122" s="163">
        <f t="shared" si="356"/>
        <v>0</v>
      </c>
      <c r="T1122" s="163">
        <f t="shared" si="356"/>
        <v>0</v>
      </c>
      <c r="U1122" s="163">
        <f t="shared" si="356"/>
        <v>0</v>
      </c>
      <c r="V1122" s="163">
        <f t="shared" si="356"/>
        <v>0</v>
      </c>
      <c r="W1122" s="163">
        <f t="shared" si="356"/>
        <v>0</v>
      </c>
      <c r="X1122" s="163">
        <f t="shared" si="356"/>
        <v>0</v>
      </c>
      <c r="Y1122" s="163">
        <f t="shared" si="356"/>
        <v>0</v>
      </c>
      <c r="Z1122" s="163">
        <f t="shared" si="356"/>
        <v>0</v>
      </c>
      <c r="AA1122" s="40"/>
      <c r="AB1122" s="40"/>
      <c r="AC1122" s="40"/>
      <c r="AD1122" s="40"/>
      <c r="AE1122" s="40"/>
      <c r="AF1122" s="40"/>
      <c r="AG1122" s="40"/>
      <c r="AH1122" s="40"/>
      <c r="AI1122" s="40"/>
      <c r="AJ1122" s="40"/>
      <c r="AK1122" s="40"/>
      <c r="AL1122" s="40"/>
      <c r="AM1122" s="40"/>
      <c r="AN1122" s="40"/>
      <c r="AO1122" s="40"/>
      <c r="AP1122" s="40"/>
      <c r="AQ1122" s="40"/>
      <c r="AR1122" s="40"/>
      <c r="AS1122" s="40"/>
      <c r="AT1122" s="40"/>
      <c r="AU1122" s="40"/>
      <c r="AV1122" s="163">
        <f t="shared" si="353"/>
        <v>0</v>
      </c>
      <c r="AW1122" s="40"/>
      <c r="AX1122" s="40"/>
      <c r="AY1122" s="163">
        <f t="shared" si="354"/>
        <v>0</v>
      </c>
      <c r="AZ1122" s="40"/>
      <c r="BA1122" s="40"/>
      <c r="BB1122" s="40"/>
      <c r="BC1122" s="163">
        <f t="shared" ref="BC1122:BE1122" si="357">BC1107</f>
        <v>0</v>
      </c>
      <c r="BD1122" s="163">
        <f t="shared" si="357"/>
        <v>0</v>
      </c>
      <c r="BE1122" s="163">
        <f t="shared" si="357"/>
        <v>0</v>
      </c>
      <c r="BF1122" s="40"/>
      <c r="BG1122" s="40"/>
      <c r="BH1122" s="40"/>
      <c r="BI1122" s="40"/>
      <c r="BJ1122" s="40"/>
      <c r="BK1122" s="40"/>
      <c r="BL1122" s="62">
        <v>1</v>
      </c>
      <c r="BM1122" s="275">
        <v>3</v>
      </c>
      <c r="BN1122" s="62">
        <v>0.03</v>
      </c>
      <c r="BO1122" s="33" t="s">
        <v>600</v>
      </c>
      <c r="BP1122" s="33" t="s">
        <v>602</v>
      </c>
    </row>
    <row r="1123" spans="1:68">
      <c r="A1123" s="33" t="str">
        <f>Database_Productkaarten[[#This Row],[Product]]&amp;", "&amp;Database_Productkaarten[[#This Row],[Levensfase]]</f>
        <v>Trottoirband 280x300 (hergebruik), C1</v>
      </c>
      <c r="B1123" s="33" t="s">
        <v>619</v>
      </c>
      <c r="C1123" t="s">
        <v>55</v>
      </c>
      <c r="D1123" s="33" t="s">
        <v>388</v>
      </c>
      <c r="E1123" s="33" t="s">
        <v>389</v>
      </c>
      <c r="F1123" s="33" t="s">
        <v>83</v>
      </c>
      <c r="G1123" s="33">
        <v>1</v>
      </c>
      <c r="H1123" s="33">
        <v>0.3</v>
      </c>
      <c r="I1123" s="33">
        <v>0.28000000000000003</v>
      </c>
      <c r="L1123" s="33">
        <v>2.4</v>
      </c>
      <c r="M1123" s="33">
        <f t="shared" si="345"/>
        <v>0.19109999999999999</v>
      </c>
      <c r="N1123" s="41">
        <f t="shared" si="351"/>
        <v>0.33054</v>
      </c>
      <c r="O1123" s="33">
        <v>25</v>
      </c>
      <c r="P1123" s="163">
        <f t="shared" ref="P1123:Z1123" si="358">P1108</f>
        <v>8.3682597599999987E-7</v>
      </c>
      <c r="Q1123" s="163">
        <f t="shared" si="358"/>
        <v>1.7241359099999999E-2</v>
      </c>
      <c r="R1123" s="163">
        <f t="shared" si="358"/>
        <v>2.4988857599999998</v>
      </c>
      <c r="S1123" s="163">
        <f t="shared" si="358"/>
        <v>4.5010429799999996E-7</v>
      </c>
      <c r="T1123" s="163">
        <f t="shared" si="358"/>
        <v>2.5188137939999998E-3</v>
      </c>
      <c r="U1123" s="163">
        <f t="shared" si="358"/>
        <v>1.8907805699999999E-2</v>
      </c>
      <c r="V1123" s="163">
        <f t="shared" si="358"/>
        <v>4.2338574599999996E-3</v>
      </c>
      <c r="W1123" s="163">
        <f t="shared" si="358"/>
        <v>0.8845890059999999</v>
      </c>
      <c r="X1123" s="163">
        <f t="shared" si="358"/>
        <v>1.2370887899999999E-2</v>
      </c>
      <c r="Y1123" s="163">
        <f t="shared" si="358"/>
        <v>41.935227179999998</v>
      </c>
      <c r="Z1123" s="163">
        <f t="shared" si="358"/>
        <v>1.4781234719999999E-3</v>
      </c>
      <c r="AA1123" s="40"/>
      <c r="AB1123" s="40"/>
      <c r="AC1123" s="40"/>
      <c r="AD1123" s="40"/>
      <c r="AE1123" s="40"/>
      <c r="AF1123" s="40"/>
      <c r="AG1123" s="40"/>
      <c r="AH1123" s="40"/>
      <c r="AI1123" s="40"/>
      <c r="AJ1123" s="40"/>
      <c r="AK1123" s="40"/>
      <c r="AL1123" s="40"/>
      <c r="AM1123" s="40"/>
      <c r="AN1123" s="40"/>
      <c r="AO1123" s="40"/>
      <c r="AP1123" s="40"/>
      <c r="AQ1123" s="40"/>
      <c r="AR1123" s="40"/>
      <c r="AS1123" s="40"/>
      <c r="AT1123" s="40"/>
      <c r="AU1123" s="40"/>
      <c r="AV1123" s="163">
        <f t="shared" si="353"/>
        <v>0.20765712659999999</v>
      </c>
      <c r="AW1123" s="40"/>
      <c r="AX1123" s="40"/>
      <c r="AY1123" s="163">
        <f t="shared" si="354"/>
        <v>38.675756700000001</v>
      </c>
      <c r="AZ1123" s="40"/>
      <c r="BA1123" s="40"/>
      <c r="BB1123" s="40"/>
      <c r="BC1123" s="163">
        <f t="shared" ref="BC1123:BE1123" si="359">BC1108</f>
        <v>0</v>
      </c>
      <c r="BD1123" s="163">
        <f t="shared" si="359"/>
        <v>0</v>
      </c>
      <c r="BE1123" s="163">
        <f t="shared" si="359"/>
        <v>0</v>
      </c>
      <c r="BF1123" s="40"/>
      <c r="BG1123" s="40"/>
      <c r="BH1123" s="40"/>
      <c r="BI1123" s="40"/>
      <c r="BJ1123" s="40"/>
      <c r="BK1123" s="40"/>
      <c r="BL1123" s="62">
        <v>1</v>
      </c>
      <c r="BM1123" s="275">
        <v>3</v>
      </c>
      <c r="BN1123" s="62">
        <v>0.03</v>
      </c>
      <c r="BO1123" s="33" t="s">
        <v>600</v>
      </c>
      <c r="BP1123" s="33" t="s">
        <v>602</v>
      </c>
    </row>
    <row r="1124" spans="1:68">
      <c r="A1124" s="33" t="str">
        <f>Database_Productkaarten[[#This Row],[Product]]&amp;", "&amp;Database_Productkaarten[[#This Row],[Levensfase]]</f>
        <v>Trottoirband 280x300 (hergebruik), C2</v>
      </c>
      <c r="B1124" s="33" t="s">
        <v>619</v>
      </c>
      <c r="C1124" t="s">
        <v>55</v>
      </c>
      <c r="D1124" s="33" t="s">
        <v>388</v>
      </c>
      <c r="E1124" s="33" t="s">
        <v>389</v>
      </c>
      <c r="F1124" s="33" t="s">
        <v>84</v>
      </c>
      <c r="G1124" s="33">
        <v>1</v>
      </c>
      <c r="H1124" s="33">
        <v>0.3</v>
      </c>
      <c r="I1124" s="33">
        <v>0.28000000000000003</v>
      </c>
      <c r="L1124" s="33">
        <v>2.4</v>
      </c>
      <c r="M1124" s="33">
        <f t="shared" si="345"/>
        <v>0.19109999999999999</v>
      </c>
      <c r="N1124" s="41">
        <f t="shared" si="351"/>
        <v>0.148176</v>
      </c>
      <c r="O1124" s="33">
        <v>25</v>
      </c>
      <c r="P1124" s="163">
        <f t="shared" ref="P1124:Z1124" si="360">P1109</f>
        <v>3.5665537740000001E-6</v>
      </c>
      <c r="Q1124" s="163">
        <f t="shared" si="360"/>
        <v>9.2571124799999994E-3</v>
      </c>
      <c r="R1124" s="163">
        <f t="shared" si="360"/>
        <v>1.254136758</v>
      </c>
      <c r="S1124" s="163">
        <f t="shared" si="360"/>
        <v>2.3111265659999998E-7</v>
      </c>
      <c r="T1124" s="163">
        <f t="shared" si="360"/>
        <v>7.4023143599999982E-4</v>
      </c>
      <c r="U1124" s="163">
        <f t="shared" si="360"/>
        <v>5.437223819999999E-3</v>
      </c>
      <c r="V1124" s="163">
        <f t="shared" si="360"/>
        <v>1.0834910519999998E-3</v>
      </c>
      <c r="W1124" s="163">
        <f t="shared" si="360"/>
        <v>0.50175274800000003</v>
      </c>
      <c r="X1124" s="163">
        <f t="shared" si="360"/>
        <v>1.4715731939999999E-2</v>
      </c>
      <c r="Y1124" s="163">
        <f t="shared" si="360"/>
        <v>53.113439400000004</v>
      </c>
      <c r="Z1124" s="163">
        <f t="shared" si="360"/>
        <v>1.7777742359999997E-3</v>
      </c>
      <c r="AA1124" s="40"/>
      <c r="AB1124" s="40"/>
      <c r="AC1124" s="40"/>
      <c r="AD1124" s="40"/>
      <c r="AE1124" s="40"/>
      <c r="AF1124" s="40"/>
      <c r="AG1124" s="40"/>
      <c r="AH1124" s="40"/>
      <c r="AI1124" s="40"/>
      <c r="AJ1124" s="40"/>
      <c r="AK1124" s="40"/>
      <c r="AL1124" s="40"/>
      <c r="AM1124" s="40"/>
      <c r="AN1124" s="40"/>
      <c r="AO1124" s="40"/>
      <c r="AP1124" s="40"/>
      <c r="AQ1124" s="40"/>
      <c r="AR1124" s="40"/>
      <c r="AS1124" s="40"/>
      <c r="AT1124" s="40"/>
      <c r="AU1124" s="40"/>
      <c r="AV1124" s="163">
        <f t="shared" si="353"/>
        <v>0.26410330380000002</v>
      </c>
      <c r="AW1124" s="40"/>
      <c r="AX1124" s="40"/>
      <c r="AY1124" s="163">
        <f t="shared" si="354"/>
        <v>20.636985599999999</v>
      </c>
      <c r="AZ1124" s="40"/>
      <c r="BA1124" s="40"/>
      <c r="BB1124" s="40"/>
      <c r="BC1124" s="163">
        <f t="shared" ref="BC1124:BE1124" si="361">BC1109</f>
        <v>0</v>
      </c>
      <c r="BD1124" s="163">
        <f t="shared" si="361"/>
        <v>0</v>
      </c>
      <c r="BE1124" s="163">
        <f t="shared" si="361"/>
        <v>0</v>
      </c>
      <c r="BF1124" s="40"/>
      <c r="BG1124" s="40"/>
      <c r="BH1124" s="40"/>
      <c r="BI1124" s="40"/>
      <c r="BJ1124" s="40"/>
      <c r="BK1124" s="40"/>
      <c r="BL1124" s="62">
        <v>1</v>
      </c>
      <c r="BM1124" s="275">
        <v>3</v>
      </c>
      <c r="BN1124" s="62">
        <v>0.03</v>
      </c>
      <c r="BO1124" s="33" t="s">
        <v>600</v>
      </c>
      <c r="BP1124" s="33" t="s">
        <v>602</v>
      </c>
    </row>
    <row r="1125" spans="1:68">
      <c r="A1125" s="33" t="str">
        <f>Database_Productkaarten[[#This Row],[Product]]&amp;", "&amp;Database_Productkaarten[[#This Row],[Levensfase]]</f>
        <v>Trottoirband 280x300 (hergebruik), C3</v>
      </c>
      <c r="B1125" s="33" t="s">
        <v>619</v>
      </c>
      <c r="C1125" t="s">
        <v>55</v>
      </c>
      <c r="D1125" s="33" t="s">
        <v>388</v>
      </c>
      <c r="E1125" s="33" t="s">
        <v>389</v>
      </c>
      <c r="F1125" s="33" t="s">
        <v>85</v>
      </c>
      <c r="G1125" s="33">
        <v>1</v>
      </c>
      <c r="H1125" s="33">
        <v>0.3</v>
      </c>
      <c r="I1125" s="33">
        <v>0.28000000000000003</v>
      </c>
      <c r="L1125" s="33">
        <v>2.4</v>
      </c>
      <c r="M1125" s="33">
        <f t="shared" si="345"/>
        <v>0.19109999999999999</v>
      </c>
      <c r="N1125" s="41">
        <f t="shared" si="351"/>
        <v>3.1626000000000001E-2</v>
      </c>
      <c r="O1125" s="33">
        <v>25</v>
      </c>
      <c r="P1125" s="163">
        <f t="shared" ref="P1125:Z1125" si="362">P1110</f>
        <v>1.8083861039999999E-7</v>
      </c>
      <c r="Q1125" s="163">
        <f t="shared" si="362"/>
        <v>2.2438159379999999E-3</v>
      </c>
      <c r="R1125" s="163">
        <f t="shared" si="362"/>
        <v>0.29782721219999997</v>
      </c>
      <c r="S1125" s="163">
        <f t="shared" si="362"/>
        <v>3.4596211439999998E-8</v>
      </c>
      <c r="T1125" s="163">
        <f t="shared" si="362"/>
        <v>1.668687216E-4</v>
      </c>
      <c r="U1125" s="163">
        <f t="shared" si="362"/>
        <v>1.3760247479999998E-3</v>
      </c>
      <c r="V1125" s="163">
        <f t="shared" si="362"/>
        <v>3.1030634879999994E-4</v>
      </c>
      <c r="W1125" s="163">
        <f t="shared" si="362"/>
        <v>6.5156447999999992E-2</v>
      </c>
      <c r="X1125" s="163">
        <f t="shared" si="362"/>
        <v>1.0876313699999998E-3</v>
      </c>
      <c r="Y1125" s="163">
        <f t="shared" si="362"/>
        <v>4.1722450139999996</v>
      </c>
      <c r="Z1125" s="163">
        <f t="shared" si="362"/>
        <v>8.7897062399999986E-4</v>
      </c>
      <c r="AA1125" s="40"/>
      <c r="AB1125" s="40"/>
      <c r="AC1125" s="40"/>
      <c r="AD1125" s="40"/>
      <c r="AE1125" s="40"/>
      <c r="AF1125" s="40"/>
      <c r="AG1125" s="40"/>
      <c r="AH1125" s="40"/>
      <c r="AI1125" s="40"/>
      <c r="AJ1125" s="40"/>
      <c r="AK1125" s="40"/>
      <c r="AL1125" s="40"/>
      <c r="AM1125" s="40"/>
      <c r="AN1125" s="40"/>
      <c r="AO1125" s="40"/>
      <c r="AP1125" s="40"/>
      <c r="AQ1125" s="40"/>
      <c r="AR1125" s="40"/>
      <c r="AS1125" s="40"/>
      <c r="AT1125" s="40"/>
      <c r="AU1125" s="40"/>
      <c r="AV1125" s="163">
        <f t="shared" si="353"/>
        <v>0.24165878099999999</v>
      </c>
      <c r="AW1125" s="40"/>
      <c r="AX1125" s="40"/>
      <c r="AY1125" s="163">
        <f t="shared" si="354"/>
        <v>4.6981405799999996</v>
      </c>
      <c r="AZ1125" s="40"/>
      <c r="BA1125" s="40"/>
      <c r="BB1125" s="40"/>
      <c r="BC1125" s="163">
        <f t="shared" ref="BC1125:BE1125" si="363">BC1110</f>
        <v>0</v>
      </c>
      <c r="BD1125" s="163">
        <f t="shared" si="363"/>
        <v>0</v>
      </c>
      <c r="BE1125" s="163">
        <f t="shared" si="363"/>
        <v>0</v>
      </c>
      <c r="BF1125" s="40"/>
      <c r="BG1125" s="40"/>
      <c r="BH1125" s="40"/>
      <c r="BI1125" s="40"/>
      <c r="BJ1125" s="40"/>
      <c r="BK1125" s="40"/>
      <c r="BL1125" s="62">
        <v>1</v>
      </c>
      <c r="BM1125" s="275">
        <v>3</v>
      </c>
      <c r="BN1125" s="62">
        <v>0.03</v>
      </c>
      <c r="BO1125" s="33" t="s">
        <v>600</v>
      </c>
      <c r="BP1125" s="33" t="s">
        <v>602</v>
      </c>
    </row>
    <row r="1126" spans="1:68">
      <c r="A1126" s="33" t="str">
        <f>Database_Productkaarten[[#This Row],[Product]]&amp;", "&amp;Database_Productkaarten[[#This Row],[Levensfase]]</f>
        <v>Trottoirband 280x300 (hergebruik), C4</v>
      </c>
      <c r="B1126" s="33" t="s">
        <v>619</v>
      </c>
      <c r="C1126" t="s">
        <v>55</v>
      </c>
      <c r="D1126" s="33" t="s">
        <v>388</v>
      </c>
      <c r="E1126" s="33" t="s">
        <v>389</v>
      </c>
      <c r="F1126" s="33" t="s">
        <v>86</v>
      </c>
      <c r="G1126" s="33">
        <v>1</v>
      </c>
      <c r="H1126" s="33">
        <v>0.3</v>
      </c>
      <c r="I1126" s="33">
        <v>0.28000000000000003</v>
      </c>
      <c r="L1126" s="33">
        <v>2.4</v>
      </c>
      <c r="M1126" s="33">
        <f t="shared" si="345"/>
        <v>0.19109999999999999</v>
      </c>
      <c r="N1126" s="41">
        <f t="shared" si="351"/>
        <v>1.3859999999999999E-3</v>
      </c>
      <c r="O1126" s="33">
        <v>25</v>
      </c>
      <c r="P1126" s="163">
        <f t="shared" ref="P1126:Z1126" si="364">P1111</f>
        <v>1.1498216519999999E-8</v>
      </c>
      <c r="Q1126" s="163">
        <f t="shared" si="364"/>
        <v>1.3709855039999998E-4</v>
      </c>
      <c r="R1126" s="163">
        <f t="shared" si="364"/>
        <v>1.0074205679999998E-2</v>
      </c>
      <c r="S1126" s="163">
        <f t="shared" si="364"/>
        <v>3.3344034779999999E-9</v>
      </c>
      <c r="T1126" s="163">
        <f t="shared" si="364"/>
        <v>1.0675890119999999E-5</v>
      </c>
      <c r="U1126" s="163">
        <f t="shared" si="364"/>
        <v>7.4442278399999997E-5</v>
      </c>
      <c r="V1126" s="163">
        <f t="shared" si="364"/>
        <v>1.4010201659999998E-5</v>
      </c>
      <c r="W1126" s="163">
        <f t="shared" si="364"/>
        <v>4.1072219999999998E-3</v>
      </c>
      <c r="X1126" s="163">
        <f t="shared" si="364"/>
        <v>1.021306818E-4</v>
      </c>
      <c r="Y1126" s="163">
        <f t="shared" si="364"/>
        <v>0.35126672699999995</v>
      </c>
      <c r="Z1126" s="163">
        <f t="shared" si="364"/>
        <v>1.216379094E-5</v>
      </c>
      <c r="AA1126" s="40"/>
      <c r="AB1126" s="40"/>
      <c r="AC1126" s="40"/>
      <c r="AD1126" s="40"/>
      <c r="AE1126" s="40"/>
      <c r="AF1126" s="40"/>
      <c r="AG1126" s="40"/>
      <c r="AH1126" s="40"/>
      <c r="AI1126" s="40"/>
      <c r="AJ1126" s="40"/>
      <c r="AK1126" s="40"/>
      <c r="AL1126" s="40"/>
      <c r="AM1126" s="40"/>
      <c r="AN1126" s="40"/>
      <c r="AO1126" s="40"/>
      <c r="AP1126" s="40"/>
      <c r="AQ1126" s="40"/>
      <c r="AR1126" s="40"/>
      <c r="AS1126" s="40"/>
      <c r="AT1126" s="40"/>
      <c r="AU1126" s="40"/>
      <c r="AV1126" s="163">
        <f t="shared" si="353"/>
        <v>7.3435907999999999E-3</v>
      </c>
      <c r="AW1126" s="40"/>
      <c r="AX1126" s="40"/>
      <c r="AY1126" s="163">
        <f t="shared" si="354"/>
        <v>0.30625345380000002</v>
      </c>
      <c r="AZ1126" s="40"/>
      <c r="BA1126" s="40"/>
      <c r="BB1126" s="40"/>
      <c r="BC1126" s="163">
        <f t="shared" ref="BC1126:BE1126" si="365">BC1111</f>
        <v>0</v>
      </c>
      <c r="BD1126" s="163">
        <f t="shared" si="365"/>
        <v>0</v>
      </c>
      <c r="BE1126" s="163">
        <f t="shared" si="365"/>
        <v>0</v>
      </c>
      <c r="BF1126" s="40"/>
      <c r="BG1126" s="40"/>
      <c r="BH1126" s="40"/>
      <c r="BI1126" s="40"/>
      <c r="BJ1126" s="40"/>
      <c r="BK1126" s="40"/>
      <c r="BL1126" s="62">
        <v>1</v>
      </c>
      <c r="BM1126" s="275">
        <v>3</v>
      </c>
      <c r="BN1126" s="62">
        <v>0.03</v>
      </c>
      <c r="BO1126" s="33" t="s">
        <v>600</v>
      </c>
      <c r="BP1126" s="33" t="s">
        <v>602</v>
      </c>
    </row>
    <row r="1127" spans="1:68">
      <c r="A1127" s="33" t="str">
        <f>Database_Productkaarten[[#This Row],[Product]]&amp;", "&amp;Database_Productkaarten[[#This Row],[Levensfase]]</f>
        <v>Trottoirband 280x300 (hergebruik), D</v>
      </c>
      <c r="B1127" s="33" t="s">
        <v>619</v>
      </c>
      <c r="C1127" s="33" t="str">
        <f>C1128</f>
        <v>Elementenverhardingen</v>
      </c>
      <c r="D1127" s="33" t="str">
        <f>D1128</f>
        <v>Trottoirband</v>
      </c>
      <c r="E1127" s="33" t="str">
        <f>E1128</f>
        <v>m1</v>
      </c>
      <c r="F1127" s="33" t="s">
        <v>89</v>
      </c>
      <c r="G1127" s="33">
        <f t="shared" ref="G1127:I1127" si="366">G1128</f>
        <v>1</v>
      </c>
      <c r="H1127" s="33">
        <f t="shared" si="366"/>
        <v>0.3</v>
      </c>
      <c r="I1127" s="33">
        <f t="shared" si="366"/>
        <v>0.28000000000000003</v>
      </c>
      <c r="L1127" s="33">
        <v>2.4</v>
      </c>
      <c r="M1127" s="33">
        <f t="shared" si="345"/>
        <v>0.19109999999999999</v>
      </c>
      <c r="N1127" s="41">
        <f>N1104*0.1</f>
        <v>0.17931059999999999</v>
      </c>
      <c r="O1127" s="33">
        <v>25</v>
      </c>
      <c r="P1127" s="163">
        <f t="shared" ref="P1127:Z1127" si="367">P1104*0.1</f>
        <v>2.75729643504E-6</v>
      </c>
      <c r="Q1127" s="163">
        <f t="shared" si="367"/>
        <v>7.6199267340000005E-3</v>
      </c>
      <c r="R1127" s="163">
        <f t="shared" si="367"/>
        <v>2.5463641476000003</v>
      </c>
      <c r="S1127" s="163">
        <f t="shared" si="367"/>
        <v>8.0320530780000015E-8</v>
      </c>
      <c r="T1127" s="163">
        <f t="shared" si="367"/>
        <v>5.2809875453999999E-4</v>
      </c>
      <c r="U1127" s="163">
        <f t="shared" si="367"/>
        <v>5.6379241253999993E-3</v>
      </c>
      <c r="V1127" s="163">
        <f t="shared" si="367"/>
        <v>1.1145677676E-3</v>
      </c>
      <c r="W1127" s="163">
        <f t="shared" si="367"/>
        <v>0.25386897353999999</v>
      </c>
      <c r="X1127" s="163">
        <f t="shared" si="367"/>
        <v>6.5358827267999993E-3</v>
      </c>
      <c r="Y1127" s="163">
        <f t="shared" si="367"/>
        <v>31.053909516000001</v>
      </c>
      <c r="Z1127" s="163">
        <f t="shared" si="367"/>
        <v>4.692877182E-3</v>
      </c>
      <c r="AA1127" s="40"/>
      <c r="AB1127" s="40"/>
      <c r="AC1127" s="40"/>
      <c r="AD1127" s="40"/>
      <c r="AE1127" s="40"/>
      <c r="AF1127" s="40"/>
      <c r="AG1127" s="40"/>
      <c r="AH1127" s="40"/>
      <c r="AI1127" s="40"/>
      <c r="AJ1127" s="40"/>
      <c r="AK1127" s="40"/>
      <c r="AL1127" s="40"/>
      <c r="AM1127" s="40"/>
      <c r="AN1127" s="40"/>
      <c r="AO1127" s="40"/>
      <c r="AP1127" s="40"/>
      <c r="AQ1127" s="40"/>
      <c r="AR1127" s="40"/>
      <c r="AS1127" s="40"/>
      <c r="AT1127" s="40"/>
      <c r="AU1127" s="40"/>
      <c r="AV1127" s="163">
        <f>AV1104*0.1</f>
        <v>2.1912913234800002</v>
      </c>
      <c r="AW1127" s="40"/>
      <c r="AX1127" s="40"/>
      <c r="AY1127" s="163">
        <f>AY1104*0.1</f>
        <v>16.920907163999999</v>
      </c>
      <c r="AZ1127" s="40"/>
      <c r="BA1127" s="40"/>
      <c r="BB1127" s="40"/>
      <c r="BC1127" s="163">
        <f t="shared" ref="BC1127:BE1127" si="368">BC1104*0.1</f>
        <v>0</v>
      </c>
      <c r="BD1127" s="163">
        <f t="shared" si="368"/>
        <v>0</v>
      </c>
      <c r="BE1127" s="163">
        <f t="shared" si="368"/>
        <v>0</v>
      </c>
      <c r="BF1127" s="40"/>
      <c r="BG1127" s="40"/>
      <c r="BH1127" s="40"/>
      <c r="BI1127" s="40"/>
      <c r="BJ1127" s="40"/>
      <c r="BK1127" s="40"/>
      <c r="BL1127" s="62">
        <v>1</v>
      </c>
      <c r="BM1127" s="275">
        <v>3</v>
      </c>
      <c r="BN1127" s="62">
        <v>0.03</v>
      </c>
      <c r="BO1127" s="33" t="s">
        <v>600</v>
      </c>
      <c r="BP1127" s="33" t="s">
        <v>602</v>
      </c>
    </row>
    <row r="1128" spans="1:68">
      <c r="A1128" s="33" t="str">
        <f>Database_Productkaarten[[#This Row],[Product]]&amp;", "&amp;Database_Productkaarten[[#This Row],[Levensfase]]</f>
        <v>Trottoirband 280x300 (hergebruik), D1</v>
      </c>
      <c r="B1128" s="33" t="s">
        <v>619</v>
      </c>
      <c r="C1128" t="s">
        <v>55</v>
      </c>
      <c r="D1128" s="33" t="s">
        <v>388</v>
      </c>
      <c r="E1128" s="33" t="s">
        <v>389</v>
      </c>
      <c r="F1128" s="33" t="s">
        <v>87</v>
      </c>
      <c r="G1128" s="33">
        <v>1</v>
      </c>
      <c r="H1128" s="33">
        <v>0.3</v>
      </c>
      <c r="I1128" s="33">
        <v>0.28000000000000003</v>
      </c>
      <c r="L1128" s="33">
        <v>2.4</v>
      </c>
      <c r="M1128" s="33">
        <f t="shared" si="345"/>
        <v>0.19109999999999999</v>
      </c>
      <c r="N1128" s="41"/>
      <c r="O1128" s="33">
        <v>25</v>
      </c>
      <c r="P1128" s="40"/>
      <c r="Q1128" s="40"/>
      <c r="R1128" s="40"/>
      <c r="S1128" s="40"/>
      <c r="T1128" s="40"/>
      <c r="U1128" s="40"/>
      <c r="V1128" s="40"/>
      <c r="W1128" s="40"/>
      <c r="X1128" s="40"/>
      <c r="Y1128" s="40"/>
      <c r="Z1128" s="40"/>
      <c r="AA1128" s="40"/>
      <c r="AB1128" s="40"/>
      <c r="AC1128" s="40"/>
      <c r="AD1128" s="40"/>
      <c r="AE1128" s="40"/>
      <c r="AF1128" s="40"/>
      <c r="AG1128" s="40"/>
      <c r="AH1128" s="40"/>
      <c r="AI1128" s="40"/>
      <c r="AJ1128" s="40"/>
      <c r="AK1128" s="40"/>
      <c r="AL1128" s="40"/>
      <c r="AM1128" s="40"/>
      <c r="AN1128" s="40"/>
      <c r="AO1128" s="40"/>
      <c r="AP1128" s="40"/>
      <c r="AQ1128" s="40"/>
      <c r="AR1128" s="40"/>
      <c r="AS1128" s="40"/>
      <c r="AT1128" s="40"/>
      <c r="AU1128" s="40"/>
      <c r="AV1128" s="281"/>
      <c r="AW1128" s="40"/>
      <c r="AX1128" s="40"/>
      <c r="AY1128" s="281"/>
      <c r="AZ1128" s="40"/>
      <c r="BA1128" s="40"/>
      <c r="BB1128" s="40"/>
      <c r="BC1128" s="40"/>
      <c r="BD1128" s="40"/>
      <c r="BE1128" s="40"/>
      <c r="BF1128" s="40"/>
      <c r="BG1128" s="40"/>
      <c r="BH1128" s="40"/>
      <c r="BI1128" s="40"/>
      <c r="BJ1128" s="40"/>
      <c r="BK1128" s="40"/>
      <c r="BL1128" s="62">
        <v>1</v>
      </c>
      <c r="BM1128" s="275">
        <v>3</v>
      </c>
      <c r="BN1128" s="62">
        <v>0.03</v>
      </c>
      <c r="BO1128" s="33" t="s">
        <v>600</v>
      </c>
      <c r="BP1128" s="33" t="s">
        <v>602</v>
      </c>
    </row>
    <row r="1129" spans="1:68">
      <c r="A1129" s="33" t="str">
        <f>Database_Productkaarten[[#This Row],[Product]]&amp;", "&amp;Database_Productkaarten[[#This Row],[Levensfase]]</f>
        <v>Trottoirband 280x300 (hergebruik), D2</v>
      </c>
      <c r="B1129" s="33" t="s">
        <v>619</v>
      </c>
      <c r="C1129" t="s">
        <v>55</v>
      </c>
      <c r="D1129" s="33" t="s">
        <v>388</v>
      </c>
      <c r="E1129" s="33" t="s">
        <v>389</v>
      </c>
      <c r="F1129" s="33" t="s">
        <v>88</v>
      </c>
      <c r="G1129" s="33">
        <v>1</v>
      </c>
      <c r="H1129" s="33">
        <v>0.3</v>
      </c>
      <c r="I1129" s="33">
        <v>0.28000000000000003</v>
      </c>
      <c r="L1129" s="33">
        <v>2.4</v>
      </c>
      <c r="M1129" s="33">
        <f t="shared" si="345"/>
        <v>0.19109999999999999</v>
      </c>
      <c r="N1129" s="41"/>
      <c r="O1129" s="33">
        <v>25</v>
      </c>
      <c r="P1129" s="40"/>
      <c r="Q1129" s="40"/>
      <c r="R1129" s="40"/>
      <c r="S1129" s="40"/>
      <c r="T1129" s="40"/>
      <c r="U1129" s="40"/>
      <c r="V1129" s="40"/>
      <c r="W1129" s="40"/>
      <c r="X1129" s="40"/>
      <c r="Y1129" s="40"/>
      <c r="Z1129" s="40"/>
      <c r="AA1129" s="40"/>
      <c r="AB1129" s="40"/>
      <c r="AC1129" s="40"/>
      <c r="AD1129" s="40"/>
      <c r="AE1129" s="40"/>
      <c r="AF1129" s="40"/>
      <c r="AG1129" s="40"/>
      <c r="AH1129" s="40"/>
      <c r="AI1129" s="40"/>
      <c r="AJ1129" s="40"/>
      <c r="AK1129" s="40"/>
      <c r="AL1129" s="40"/>
      <c r="AM1129" s="40"/>
      <c r="AN1129" s="40"/>
      <c r="AO1129" s="40"/>
      <c r="AP1129" s="40"/>
      <c r="AQ1129" s="40"/>
      <c r="AR1129" s="40"/>
      <c r="AS1129" s="40"/>
      <c r="AT1129" s="40"/>
      <c r="AU1129" s="40"/>
      <c r="AV1129" s="281"/>
      <c r="AW1129" s="40"/>
      <c r="AX1129" s="40"/>
      <c r="AY1129" s="281"/>
      <c r="AZ1129" s="40"/>
      <c r="BA1129" s="40"/>
      <c r="BB1129" s="40"/>
      <c r="BC1129" s="40"/>
      <c r="BD1129" s="40"/>
      <c r="BE1129" s="40"/>
      <c r="BF1129" s="40"/>
      <c r="BG1129" s="40"/>
      <c r="BH1129" s="40"/>
      <c r="BI1129" s="40"/>
      <c r="BJ1129" s="40"/>
      <c r="BK1129" s="40"/>
      <c r="BL1129" s="62">
        <v>1</v>
      </c>
      <c r="BM1129" s="275">
        <v>3</v>
      </c>
      <c r="BN1129" s="62">
        <v>0.03</v>
      </c>
      <c r="BO1129" s="33" t="s">
        <v>600</v>
      </c>
      <c r="BP1129" s="33" t="s">
        <v>602</v>
      </c>
    </row>
    <row r="1130" spans="1:68">
      <c r="A1130" s="33" t="str">
        <f>Database_Productkaarten[[#This Row],[Product]]&amp;", "&amp;Database_Productkaarten[[#This Row],[Levensfase]]</f>
        <v>Trottoirband 130/150x250, Totaal</v>
      </c>
      <c r="B1130" s="33" t="s">
        <v>222</v>
      </c>
      <c r="C1130" t="s">
        <v>55</v>
      </c>
      <c r="D1130" s="33" t="s">
        <v>388</v>
      </c>
      <c r="E1130" s="33" t="s">
        <v>389</v>
      </c>
      <c r="F1130" s="33" t="s">
        <v>90</v>
      </c>
      <c r="G1130" s="33">
        <v>1</v>
      </c>
      <c r="H1130" s="33">
        <v>0.25</v>
      </c>
      <c r="I1130" s="33">
        <v>0.15</v>
      </c>
      <c r="L1130" s="33">
        <v>2.4</v>
      </c>
      <c r="M1130" s="271">
        <v>8.43E-2</v>
      </c>
      <c r="N1130" s="41"/>
      <c r="O1130" s="33">
        <v>25</v>
      </c>
      <c r="P1130" s="40"/>
      <c r="Q1130" s="40"/>
      <c r="R1130" s="40"/>
      <c r="S1130" s="40"/>
      <c r="T1130" s="40"/>
      <c r="U1130" s="40"/>
      <c r="V1130" s="40"/>
      <c r="W1130" s="40"/>
      <c r="X1130" s="40"/>
      <c r="Y1130" s="40"/>
      <c r="Z1130" s="40"/>
      <c r="AA1130" s="40"/>
      <c r="AB1130" s="40"/>
      <c r="AC1130" s="40"/>
      <c r="AD1130" s="40"/>
      <c r="AE1130" s="40"/>
      <c r="AF1130" s="40"/>
      <c r="AG1130" s="40"/>
      <c r="AH1130" s="40"/>
      <c r="AI1130" s="40"/>
      <c r="AJ1130" s="40"/>
      <c r="AK1130" s="40"/>
      <c r="AL1130" s="40"/>
      <c r="AM1130" s="40"/>
      <c r="AN1130" s="40"/>
      <c r="AO1130" s="40"/>
      <c r="AP1130" s="40"/>
      <c r="AQ1130" s="40"/>
      <c r="AR1130" s="40"/>
      <c r="AS1130" s="40"/>
      <c r="AT1130" s="40"/>
      <c r="AU1130" s="40"/>
      <c r="AV1130" s="313"/>
      <c r="AW1130" s="317"/>
      <c r="AX1130" s="317"/>
      <c r="AY1130" s="313"/>
      <c r="AZ1130" s="317"/>
      <c r="BA1130" s="317"/>
      <c r="BB1130" s="317"/>
      <c r="BC1130" s="317"/>
      <c r="BD1130" s="317"/>
      <c r="BE1130" s="317"/>
      <c r="BF1130" s="40"/>
      <c r="BG1130" s="40"/>
      <c r="BH1130" s="40"/>
      <c r="BI1130" s="40"/>
      <c r="BJ1130" s="40"/>
      <c r="BK1130" s="40"/>
      <c r="BL1130" s="306">
        <v>0.11150652431791222</v>
      </c>
      <c r="BM1130" s="275">
        <v>3</v>
      </c>
      <c r="BN1130" s="62">
        <v>0.03</v>
      </c>
      <c r="BO1130" s="33" t="s">
        <v>614</v>
      </c>
      <c r="BP1130" t="s">
        <v>615</v>
      </c>
    </row>
    <row r="1131" spans="1:68">
      <c r="A1131" s="33" t="str">
        <f>Database_Productkaarten[[#This Row],[Product]]&amp;", "&amp;Database_Productkaarten[[#This Row],[Levensfase]]</f>
        <v>Trottoirband 130/150x250, A1</v>
      </c>
      <c r="B1131" s="33" t="s">
        <v>222</v>
      </c>
      <c r="C1131" t="s">
        <v>55</v>
      </c>
      <c r="D1131" s="33" t="s">
        <v>388</v>
      </c>
      <c r="E1131" s="33" t="s">
        <v>389</v>
      </c>
      <c r="F1131" s="33" t="s">
        <v>74</v>
      </c>
      <c r="G1131" s="33">
        <v>1</v>
      </c>
      <c r="H1131" s="33">
        <v>0.25</v>
      </c>
      <c r="I1131" s="33">
        <v>0.15</v>
      </c>
      <c r="L1131" s="33">
        <v>2.4</v>
      </c>
      <c r="M1131" s="271">
        <v>8.43E-2</v>
      </c>
      <c r="N1131" s="41"/>
      <c r="O1131" s="33">
        <v>25</v>
      </c>
      <c r="P1131" s="163">
        <v>1.0593526000000001E-5</v>
      </c>
      <c r="Q1131" s="163">
        <v>2.5448879000000001E-2</v>
      </c>
      <c r="R1131" s="163">
        <v>10.356462000000001</v>
      </c>
      <c r="S1131" s="163">
        <v>2.130205E-7</v>
      </c>
      <c r="T1131" s="163">
        <v>1.9383177E-3</v>
      </c>
      <c r="U1131" s="163">
        <v>2.1858619999999999E-2</v>
      </c>
      <c r="V1131" s="163">
        <v>4.2906087999999998E-3</v>
      </c>
      <c r="W1131" s="163">
        <v>0.85889444000000004</v>
      </c>
      <c r="X1131" s="163">
        <v>2.1373132E-2</v>
      </c>
      <c r="Y1131" s="163">
        <v>109.53172000000001</v>
      </c>
      <c r="Z1131" s="163">
        <v>1.9587717000000001E-2</v>
      </c>
      <c r="AA1131" s="163"/>
      <c r="AB1131" s="163"/>
      <c r="AC1131" s="163"/>
      <c r="AD1131" s="163"/>
      <c r="AE1131" s="163"/>
      <c r="AF1131" s="163"/>
      <c r="AG1131" s="40"/>
      <c r="AH1131" s="40"/>
      <c r="AI1131" s="40"/>
      <c r="AJ1131" s="40"/>
      <c r="AK1131" s="40"/>
      <c r="AL1131" s="40"/>
      <c r="AM1131" s="40"/>
      <c r="AN1131" s="40"/>
      <c r="AO1131" s="40"/>
      <c r="AP1131" s="40"/>
      <c r="AQ1131" s="40"/>
      <c r="AR1131" s="40"/>
      <c r="AS1131" s="40"/>
      <c r="AT1131" s="40"/>
      <c r="AU1131" s="40"/>
      <c r="AV1131" s="315">
        <v>9.0824242000000002</v>
      </c>
      <c r="AW1131" s="317"/>
      <c r="AX1131" s="317"/>
      <c r="AY1131" s="313">
        <v>57.444741999999998</v>
      </c>
      <c r="AZ1131" s="317"/>
      <c r="BA1131" s="317"/>
      <c r="BB1131" s="317"/>
      <c r="BC1131" s="317">
        <v>0.85108996000000003</v>
      </c>
      <c r="BD1131" s="315">
        <v>5.6924858</v>
      </c>
      <c r="BE1131" s="315">
        <v>0.50098500999999995</v>
      </c>
      <c r="BF1131" s="40"/>
      <c r="BG1131" s="40"/>
      <c r="BH1131" s="40"/>
      <c r="BI1131" s="40"/>
      <c r="BJ1131" s="40"/>
      <c r="BK1131" s="40"/>
      <c r="BL1131" s="306">
        <v>0.11150652431791222</v>
      </c>
      <c r="BM1131" s="275">
        <v>3</v>
      </c>
      <c r="BN1131" s="62">
        <v>0.03</v>
      </c>
      <c r="BO1131" s="33" t="s">
        <v>614</v>
      </c>
      <c r="BP1131" t="s">
        <v>615</v>
      </c>
    </row>
    <row r="1132" spans="1:68">
      <c r="A1132" s="33" t="str">
        <f>Database_Productkaarten[[#This Row],[Product]]&amp;", "&amp;Database_Productkaarten[[#This Row],[Levensfase]]</f>
        <v>Trottoirband 130/150x250, A2</v>
      </c>
      <c r="B1132" s="33" t="s">
        <v>222</v>
      </c>
      <c r="C1132" t="s">
        <v>55</v>
      </c>
      <c r="D1132" s="33" t="s">
        <v>388</v>
      </c>
      <c r="E1132" s="33" t="s">
        <v>389</v>
      </c>
      <c r="F1132" s="33" t="s">
        <v>75</v>
      </c>
      <c r="G1132" s="33">
        <v>1</v>
      </c>
      <c r="H1132" s="33">
        <v>0.25</v>
      </c>
      <c r="I1132" s="33">
        <v>0.15</v>
      </c>
      <c r="L1132" s="33">
        <v>2.4</v>
      </c>
      <c r="M1132" s="271">
        <v>8.43E-2</v>
      </c>
      <c r="N1132" s="41"/>
      <c r="O1132" s="33">
        <v>25</v>
      </c>
      <c r="P1132" s="163">
        <v>1.7291061E-6</v>
      </c>
      <c r="Q1132" s="163">
        <v>4.4879539999999997E-3</v>
      </c>
      <c r="R1132" s="163">
        <v>0.60801985999999997</v>
      </c>
      <c r="S1132" s="163">
        <v>1.1204606E-7</v>
      </c>
      <c r="T1132" s="163">
        <v>3.5887267999999998E-4</v>
      </c>
      <c r="U1132" s="163">
        <v>2.6360284E-3</v>
      </c>
      <c r="V1132" s="163">
        <v>5.2528885999999998E-4</v>
      </c>
      <c r="W1132" s="163">
        <v>0.24325547</v>
      </c>
      <c r="X1132" s="163">
        <v>7.1343554000000003E-3</v>
      </c>
      <c r="Y1132" s="163">
        <v>25.750003</v>
      </c>
      <c r="Z1132" s="163">
        <v>8.6188530000000005E-4</v>
      </c>
      <c r="AA1132" s="163"/>
      <c r="AB1132" s="163"/>
      <c r="AC1132" s="163"/>
      <c r="AD1132" s="163"/>
      <c r="AE1132" s="163"/>
      <c r="AF1132" s="163"/>
      <c r="AG1132" s="40"/>
      <c r="AH1132" s="40"/>
      <c r="AI1132" s="40"/>
      <c r="AJ1132" s="40"/>
      <c r="AK1132" s="40"/>
      <c r="AL1132" s="40"/>
      <c r="AM1132" s="40"/>
      <c r="AN1132" s="40"/>
      <c r="AO1132" s="40"/>
      <c r="AP1132" s="40"/>
      <c r="AQ1132" s="40"/>
      <c r="AR1132" s="40"/>
      <c r="AS1132" s="40"/>
      <c r="AT1132" s="40"/>
      <c r="AU1132" s="40"/>
      <c r="AV1132" s="315">
        <v>0.1280403</v>
      </c>
      <c r="AW1132" s="317"/>
      <c r="AX1132" s="317"/>
      <c r="AY1132" s="313">
        <v>10.005046999999999</v>
      </c>
      <c r="AZ1132" s="317"/>
      <c r="BA1132" s="317"/>
      <c r="BB1132" s="317"/>
      <c r="BC1132" s="317">
        <v>1.7993827E-3</v>
      </c>
      <c r="BD1132" s="315">
        <v>6.9097544999999997E-5</v>
      </c>
      <c r="BE1132" s="315">
        <v>0.57509765999999996</v>
      </c>
      <c r="BF1132" s="40"/>
      <c r="BG1132" s="40"/>
      <c r="BH1132" s="40"/>
      <c r="BI1132" s="40"/>
      <c r="BJ1132" s="40"/>
      <c r="BK1132" s="40"/>
      <c r="BL1132" s="306">
        <v>0.11150652431791222</v>
      </c>
      <c r="BM1132" s="275">
        <v>3</v>
      </c>
      <c r="BN1132" s="62">
        <v>0.03</v>
      </c>
      <c r="BO1132" s="33" t="s">
        <v>614</v>
      </c>
      <c r="BP1132" t="s">
        <v>615</v>
      </c>
    </row>
    <row r="1133" spans="1:68">
      <c r="A1133" s="33" t="str">
        <f>Database_Productkaarten[[#This Row],[Product]]&amp;", "&amp;Database_Productkaarten[[#This Row],[Levensfase]]</f>
        <v>Trottoirband 130/150x250, A3</v>
      </c>
      <c r="B1133" s="33" t="s">
        <v>222</v>
      </c>
      <c r="C1133" t="s">
        <v>55</v>
      </c>
      <c r="D1133" s="33" t="s">
        <v>388</v>
      </c>
      <c r="E1133" s="33" t="s">
        <v>389</v>
      </c>
      <c r="F1133" s="33" t="s">
        <v>76</v>
      </c>
      <c r="G1133" s="33">
        <v>1</v>
      </c>
      <c r="H1133" s="33">
        <v>0.25</v>
      </c>
      <c r="I1133" s="33">
        <v>0.15</v>
      </c>
      <c r="L1133" s="33">
        <v>2.4</v>
      </c>
      <c r="M1133" s="271">
        <v>8.43E-2</v>
      </c>
      <c r="N1133" s="41"/>
      <c r="O1133" s="33">
        <v>25</v>
      </c>
      <c r="P1133" s="163">
        <v>1.5085159E-7</v>
      </c>
      <c r="Q1133" s="163">
        <v>4.5342637E-3</v>
      </c>
      <c r="R1133" s="163">
        <v>0.55478448000000002</v>
      </c>
      <c r="S1133" s="163">
        <v>3.8288225999999998E-8</v>
      </c>
      <c r="T1133" s="163">
        <v>9.1827811999999995E-5</v>
      </c>
      <c r="U1133" s="163">
        <v>1.0102461000000001E-3</v>
      </c>
      <c r="V1133" s="163">
        <v>2.2619455000000001E-4</v>
      </c>
      <c r="W1133" s="163">
        <v>4.6304970000000001E-2</v>
      </c>
      <c r="X1133" s="163">
        <v>1.0596008E-3</v>
      </c>
      <c r="Y1133" s="163">
        <v>5.2002503000000004</v>
      </c>
      <c r="Z1133" s="163">
        <v>7.8007968999999999E-4</v>
      </c>
      <c r="AA1133" s="163"/>
      <c r="AB1133" s="163"/>
      <c r="AC1133" s="163"/>
      <c r="AD1133" s="163"/>
      <c r="AE1133" s="163"/>
      <c r="AF1133" s="163"/>
      <c r="AG1133" s="40"/>
      <c r="AH1133" s="40"/>
      <c r="AI1133" s="40"/>
      <c r="AJ1133" s="40"/>
      <c r="AK1133" s="40"/>
      <c r="AL1133" s="40"/>
      <c r="AM1133" s="40"/>
      <c r="AN1133" s="40"/>
      <c r="AO1133" s="40"/>
      <c r="AP1133" s="40"/>
      <c r="AQ1133" s="40"/>
      <c r="AR1133" s="40"/>
      <c r="AS1133" s="40"/>
      <c r="AT1133" s="40"/>
      <c r="AU1133" s="40"/>
      <c r="AV1133" s="315">
        <v>0.70251998000000004</v>
      </c>
      <c r="AW1133" s="317"/>
      <c r="AX1133" s="317"/>
      <c r="AY1133" s="313">
        <v>9.0971715999999994</v>
      </c>
      <c r="AZ1133" s="317"/>
      <c r="BA1133" s="317"/>
      <c r="BB1133" s="317"/>
      <c r="BC1133" s="317">
        <v>1.7847150999999999E-3</v>
      </c>
      <c r="BD1133" s="315">
        <v>3.9927649000000001E-5</v>
      </c>
      <c r="BE1133" s="315">
        <v>1.7526125E-2</v>
      </c>
      <c r="BF1133" s="40"/>
      <c r="BG1133" s="40"/>
      <c r="BH1133" s="40"/>
      <c r="BI1133" s="40"/>
      <c r="BJ1133" s="40"/>
      <c r="BK1133" s="40"/>
      <c r="BL1133" s="306">
        <v>0.11150652431791222</v>
      </c>
      <c r="BM1133" s="275">
        <v>3</v>
      </c>
      <c r="BN1133" s="62">
        <v>0.03</v>
      </c>
      <c r="BO1133" s="33" t="s">
        <v>614</v>
      </c>
      <c r="BP1133" t="s">
        <v>615</v>
      </c>
    </row>
    <row r="1134" spans="1:68">
      <c r="A1134" s="33" t="str">
        <f>Database_Productkaarten[[#This Row],[Product]]&amp;", "&amp;Database_Productkaarten[[#This Row],[Levensfase]]</f>
        <v>Trottoirband 130/150x250, A1-A3</v>
      </c>
      <c r="B1134" s="33" t="s">
        <v>222</v>
      </c>
      <c r="C1134" s="33" t="str">
        <f>C1133</f>
        <v>Elementenverhardingen</v>
      </c>
      <c r="D1134" s="33" t="str">
        <f>D1133</f>
        <v>Trottoirband</v>
      </c>
      <c r="E1134" s="33" t="str">
        <f>E1133</f>
        <v>m1</v>
      </c>
      <c r="F1134" s="33" t="s">
        <v>77</v>
      </c>
      <c r="G1134" s="33">
        <f>G1133</f>
        <v>1</v>
      </c>
      <c r="H1134" s="33">
        <v>0.25</v>
      </c>
      <c r="I1134" s="33">
        <v>0.15</v>
      </c>
      <c r="L1134" s="33">
        <v>2.4</v>
      </c>
      <c r="M1134" s="271">
        <v>8.43E-2</v>
      </c>
      <c r="N1134" s="41">
        <v>0.80640000000000001</v>
      </c>
      <c r="O1134" s="33">
        <v>25</v>
      </c>
      <c r="P1134" s="163">
        <f>SUM(P1131:P1133)</f>
        <v>1.247348369E-5</v>
      </c>
      <c r="Q1134" s="163">
        <f t="shared" ref="Q1134:Z1134" si="369">SUM(Q1131:Q1133)</f>
        <v>3.4471096700000002E-2</v>
      </c>
      <c r="R1134" s="163">
        <f t="shared" si="369"/>
        <v>11.519266340000001</v>
      </c>
      <c r="S1134" s="163">
        <f t="shared" si="369"/>
        <v>3.6335478599999998E-7</v>
      </c>
      <c r="T1134" s="163">
        <f t="shared" si="369"/>
        <v>2.3890181919999998E-3</v>
      </c>
      <c r="U1134" s="163">
        <f t="shared" si="369"/>
        <v>2.55048945E-2</v>
      </c>
      <c r="V1134" s="163">
        <f t="shared" si="369"/>
        <v>5.0420922099999998E-3</v>
      </c>
      <c r="W1134" s="163">
        <f t="shared" si="369"/>
        <v>1.1484548800000001</v>
      </c>
      <c r="X1134" s="163">
        <f t="shared" si="369"/>
        <v>2.9567088200000001E-2</v>
      </c>
      <c r="Y1134" s="163">
        <f t="shared" si="369"/>
        <v>140.48197329999999</v>
      </c>
      <c r="Z1134" s="163">
        <f t="shared" si="369"/>
        <v>2.1229681990000002E-2</v>
      </c>
      <c r="AA1134" s="163"/>
      <c r="AB1134" s="163"/>
      <c r="AC1134" s="163"/>
      <c r="AD1134" s="163"/>
      <c r="AE1134" s="163"/>
      <c r="AF1134" s="163"/>
      <c r="AG1134" s="40"/>
      <c r="AH1134" s="40"/>
      <c r="AI1134" s="40"/>
      <c r="AJ1134" s="40"/>
      <c r="AK1134" s="40"/>
      <c r="AL1134" s="40"/>
      <c r="AM1134" s="40"/>
      <c r="AN1134" s="40"/>
      <c r="AO1134" s="40"/>
      <c r="AP1134" s="40"/>
      <c r="AQ1134" s="40"/>
      <c r="AR1134" s="40"/>
      <c r="AS1134" s="40"/>
      <c r="AT1134" s="40"/>
      <c r="AU1134" s="40"/>
      <c r="AV1134" s="313">
        <f>SUM(AV1131:AV1133)</f>
        <v>9.9129844800000004</v>
      </c>
      <c r="AW1134" s="317"/>
      <c r="AX1134" s="317"/>
      <c r="AY1134" s="313">
        <f>SUM(AY1131:AY1133)</f>
        <v>76.546960599999991</v>
      </c>
      <c r="AZ1134" s="317"/>
      <c r="BA1134" s="317"/>
      <c r="BB1134" s="317"/>
      <c r="BC1134" s="313">
        <f>SUM(BC1131:BC1133)</f>
        <v>0.85467405780000005</v>
      </c>
      <c r="BD1134" s="313">
        <f>SUM(BD1131:BD1133)</f>
        <v>5.6925948251940008</v>
      </c>
      <c r="BE1134" s="313">
        <f>SUM(BE1131:BE1133)</f>
        <v>1.093608795</v>
      </c>
      <c r="BF1134" s="40"/>
      <c r="BG1134" s="40"/>
      <c r="BH1134" s="40"/>
      <c r="BI1134" s="40"/>
      <c r="BJ1134" s="40"/>
      <c r="BK1134" s="40"/>
      <c r="BL1134" s="306">
        <v>0.11150652431791222</v>
      </c>
      <c r="BM1134" s="275">
        <v>3</v>
      </c>
      <c r="BN1134" s="62">
        <v>0.03</v>
      </c>
      <c r="BO1134" s="33" t="s">
        <v>614</v>
      </c>
      <c r="BP1134" t="s">
        <v>615</v>
      </c>
    </row>
    <row r="1135" spans="1:68">
      <c r="A1135" s="33" t="str">
        <f>Database_Productkaarten[[#This Row],[Product]]&amp;", "&amp;Database_Productkaarten[[#This Row],[Levensfase]]</f>
        <v>Trottoirband 130/150x250, A4</v>
      </c>
      <c r="B1135" s="33" t="s">
        <v>222</v>
      </c>
      <c r="C1135" t="s">
        <v>55</v>
      </c>
      <c r="D1135" s="33" t="s">
        <v>388</v>
      </c>
      <c r="E1135" s="33" t="s">
        <v>389</v>
      </c>
      <c r="F1135" s="33" t="s">
        <v>78</v>
      </c>
      <c r="G1135" s="33">
        <v>1</v>
      </c>
      <c r="H1135" s="33">
        <v>0.25</v>
      </c>
      <c r="I1135" s="33">
        <v>0.15</v>
      </c>
      <c r="L1135" s="33">
        <v>2.4</v>
      </c>
      <c r="M1135" s="271">
        <v>8.43E-2</v>
      </c>
      <c r="N1135" s="41">
        <v>0.19683</v>
      </c>
      <c r="O1135" s="33">
        <v>25</v>
      </c>
      <c r="P1135" s="163">
        <v>4.7974548999999997E-6</v>
      </c>
      <c r="Q1135" s="163">
        <v>1.2451958000000001E-2</v>
      </c>
      <c r="R1135" s="163">
        <v>1.6869687</v>
      </c>
      <c r="S1135" s="163">
        <v>3.1087504E-7</v>
      </c>
      <c r="T1135" s="163">
        <v>9.9570263000000009E-4</v>
      </c>
      <c r="U1135" s="163">
        <v>7.3137369999999998E-3</v>
      </c>
      <c r="V1135" s="163">
        <v>1.4574290999999999E-3</v>
      </c>
      <c r="W1135" s="163">
        <v>0.67491931999999999</v>
      </c>
      <c r="X1135" s="163">
        <v>1.9794474999999999E-2</v>
      </c>
      <c r="Y1135" s="163">
        <v>71.444129000000004</v>
      </c>
      <c r="Z1135" s="163">
        <v>2.3913256999999999E-3</v>
      </c>
      <c r="AA1135" s="163"/>
      <c r="AB1135" s="163"/>
      <c r="AC1135" s="163"/>
      <c r="AD1135" s="163"/>
      <c r="AE1135" s="163"/>
      <c r="AF1135" s="163"/>
      <c r="AG1135" s="40"/>
      <c r="AH1135" s="40"/>
      <c r="AI1135" s="40"/>
      <c r="AJ1135" s="40"/>
      <c r="AK1135" s="40"/>
      <c r="AL1135" s="40"/>
      <c r="AM1135" s="40"/>
      <c r="AN1135" s="40"/>
      <c r="AO1135" s="40"/>
      <c r="AP1135" s="40"/>
      <c r="AQ1135" s="40"/>
      <c r="AR1135" s="40"/>
      <c r="AS1135" s="40"/>
      <c r="AT1135" s="40"/>
      <c r="AU1135" s="40"/>
      <c r="AV1135" s="313">
        <v>0.35525152999999998</v>
      </c>
      <c r="AW1135" s="317"/>
      <c r="AX1135" s="317"/>
      <c r="AY1135" s="313">
        <v>27.759291999999999</v>
      </c>
      <c r="AZ1135" s="317"/>
      <c r="BA1135" s="317"/>
      <c r="BB1135" s="317"/>
      <c r="BC1135" s="317">
        <v>4.9924393999999997E-3</v>
      </c>
      <c r="BD1135" s="317">
        <v>1.9171314E-4</v>
      </c>
      <c r="BE1135" s="317">
        <v>1.5956250999999999</v>
      </c>
      <c r="BF1135" s="40"/>
      <c r="BG1135" s="40"/>
      <c r="BH1135" s="40"/>
      <c r="BI1135" s="40"/>
      <c r="BJ1135" s="40"/>
      <c r="BK1135" s="40"/>
      <c r="BL1135" s="306">
        <v>0.11150652431791222</v>
      </c>
      <c r="BM1135" s="275">
        <v>3</v>
      </c>
      <c r="BN1135" s="62">
        <v>0.03</v>
      </c>
      <c r="BO1135" s="33" t="s">
        <v>614</v>
      </c>
      <c r="BP1135" t="s">
        <v>615</v>
      </c>
    </row>
    <row r="1136" spans="1:68">
      <c r="A1136" s="33" t="str">
        <f>Database_Productkaarten[[#This Row],[Product]]&amp;", "&amp;Database_Productkaarten[[#This Row],[Levensfase]]</f>
        <v>Trottoirband 130/150x250, A5</v>
      </c>
      <c r="B1136" s="33" t="s">
        <v>222</v>
      </c>
      <c r="C1136" t="s">
        <v>55</v>
      </c>
      <c r="D1136" s="33" t="s">
        <v>388</v>
      </c>
      <c r="E1136" s="33" t="s">
        <v>389</v>
      </c>
      <c r="F1136" s="33" t="s">
        <v>79</v>
      </c>
      <c r="G1136" s="33">
        <v>1</v>
      </c>
      <c r="H1136" s="33">
        <v>0.25</v>
      </c>
      <c r="I1136" s="33">
        <v>0.15</v>
      </c>
      <c r="L1136" s="33">
        <v>2.4</v>
      </c>
      <c r="M1136" s="271">
        <v>8.43E-2</v>
      </c>
      <c r="N1136" s="41">
        <v>0.10796</v>
      </c>
      <c r="O1136" s="33">
        <v>25</v>
      </c>
      <c r="P1136" s="163">
        <v>7.1499684000000001E-7</v>
      </c>
      <c r="Q1136" s="163">
        <v>5.6034084E-3</v>
      </c>
      <c r="R1136" s="163">
        <v>1.0021985</v>
      </c>
      <c r="S1136" s="163">
        <v>1.3018420000000001E-7</v>
      </c>
      <c r="T1136" s="163">
        <v>7.0661889999999998E-4</v>
      </c>
      <c r="U1136" s="163">
        <v>5.5221569999999998E-3</v>
      </c>
      <c r="V1136" s="163">
        <v>1.2127237E-3</v>
      </c>
      <c r="W1136" s="163">
        <v>0.26912887000000002</v>
      </c>
      <c r="X1136" s="163">
        <v>4.5849065999999999E-3</v>
      </c>
      <c r="Y1136" s="163">
        <v>16.851189000000002</v>
      </c>
      <c r="Z1136" s="163">
        <v>1.0744863E-3</v>
      </c>
      <c r="AA1136" s="163"/>
      <c r="AB1136" s="163"/>
      <c r="AC1136" s="163"/>
      <c r="AD1136" s="163"/>
      <c r="AE1136" s="163"/>
      <c r="AF1136" s="163"/>
      <c r="AG1136" s="40"/>
      <c r="AH1136" s="40"/>
      <c r="AI1136" s="40"/>
      <c r="AJ1136" s="40"/>
      <c r="AK1136" s="40"/>
      <c r="AL1136" s="40"/>
      <c r="AM1136" s="40"/>
      <c r="AN1136" s="40"/>
      <c r="AO1136" s="40"/>
      <c r="AP1136" s="40"/>
      <c r="AQ1136" s="40"/>
      <c r="AR1136" s="40"/>
      <c r="AS1136" s="40"/>
      <c r="AT1136" s="40"/>
      <c r="AU1136" s="40"/>
      <c r="AV1136" s="313">
        <v>0.35617437000000002</v>
      </c>
      <c r="AW1136" s="317"/>
      <c r="AX1136" s="317"/>
      <c r="AY1136" s="313">
        <v>12.550473999999999</v>
      </c>
      <c r="AZ1136" s="317"/>
      <c r="BA1136" s="317"/>
      <c r="BB1136" s="317"/>
      <c r="BC1136" s="317">
        <v>2.3364300000000001E-2</v>
      </c>
      <c r="BD1136" s="317">
        <v>0.17084895999999999</v>
      </c>
      <c r="BE1136" s="317">
        <v>0.13821839999999999</v>
      </c>
      <c r="BF1136" s="40"/>
      <c r="BG1136" s="40"/>
      <c r="BH1136" s="40"/>
      <c r="BI1136" s="40"/>
      <c r="BJ1136" s="40"/>
      <c r="BK1136" s="40"/>
      <c r="BL1136" s="306">
        <v>0.11150652431791222</v>
      </c>
      <c r="BM1136" s="275">
        <v>3</v>
      </c>
      <c r="BN1136" s="62">
        <v>0.03</v>
      </c>
      <c r="BO1136" s="33" t="s">
        <v>614</v>
      </c>
      <c r="BP1136" t="s">
        <v>615</v>
      </c>
    </row>
    <row r="1137" spans="1:72">
      <c r="A1137" s="33" t="str">
        <f>Database_Productkaarten[[#This Row],[Product]]&amp;", "&amp;Database_Productkaarten[[#This Row],[Levensfase]]</f>
        <v>Trottoirband 130/150x250, B1</v>
      </c>
      <c r="B1137" s="33" t="s">
        <v>222</v>
      </c>
      <c r="C1137" t="s">
        <v>55</v>
      </c>
      <c r="D1137" s="33" t="s">
        <v>388</v>
      </c>
      <c r="E1137" s="33" t="s">
        <v>389</v>
      </c>
      <c r="F1137" s="33" t="s">
        <v>80</v>
      </c>
      <c r="G1137" s="33">
        <v>1</v>
      </c>
      <c r="H1137" s="33">
        <v>0.25</v>
      </c>
      <c r="I1137" s="33">
        <v>0.15</v>
      </c>
      <c r="L1137" s="33">
        <v>2.4</v>
      </c>
      <c r="M1137" s="271">
        <v>8.43E-2</v>
      </c>
      <c r="N1137" s="41"/>
      <c r="O1137" s="33">
        <v>25</v>
      </c>
      <c r="P1137" s="163">
        <v>0</v>
      </c>
      <c r="Q1137" s="163">
        <v>0</v>
      </c>
      <c r="R1137" s="163">
        <v>0</v>
      </c>
      <c r="S1137" s="163">
        <v>0</v>
      </c>
      <c r="T1137" s="163">
        <v>0</v>
      </c>
      <c r="U1137" s="163">
        <v>0</v>
      </c>
      <c r="V1137" s="163">
        <v>0</v>
      </c>
      <c r="W1137" s="163">
        <v>0</v>
      </c>
      <c r="X1137" s="163">
        <v>0</v>
      </c>
      <c r="Y1137" s="163">
        <v>0</v>
      </c>
      <c r="Z1137" s="163">
        <v>0</v>
      </c>
      <c r="AA1137" s="163"/>
      <c r="AB1137" s="163"/>
      <c r="AC1137" s="163"/>
      <c r="AD1137" s="163"/>
      <c r="AE1137" s="163"/>
      <c r="AF1137" s="163"/>
      <c r="AG1137" s="40"/>
      <c r="AH1137" s="40"/>
      <c r="AI1137" s="40"/>
      <c r="AJ1137" s="40"/>
      <c r="AK1137" s="40"/>
      <c r="AL1137" s="40"/>
      <c r="AM1137" s="40"/>
      <c r="AN1137" s="40"/>
      <c r="AO1137" s="40"/>
      <c r="AP1137" s="40"/>
      <c r="AQ1137" s="40"/>
      <c r="AR1137" s="40"/>
      <c r="AS1137" s="40"/>
      <c r="AT1137" s="40"/>
      <c r="AU1137" s="40"/>
      <c r="AV1137" s="313">
        <v>0</v>
      </c>
      <c r="AW1137" s="317"/>
      <c r="AX1137" s="317"/>
      <c r="AY1137" s="313">
        <v>0</v>
      </c>
      <c r="AZ1137" s="317"/>
      <c r="BA1137" s="317"/>
      <c r="BB1137" s="317"/>
      <c r="BC1137" s="317">
        <v>0</v>
      </c>
      <c r="BD1137" s="317">
        <v>0</v>
      </c>
      <c r="BE1137" s="317">
        <v>0</v>
      </c>
      <c r="BF1137" s="40"/>
      <c r="BG1137" s="40"/>
      <c r="BH1137" s="40"/>
      <c r="BI1137" s="40"/>
      <c r="BJ1137" s="40"/>
      <c r="BK1137" s="40"/>
      <c r="BL1137" s="306">
        <v>0.11150652431791222</v>
      </c>
      <c r="BM1137" s="275">
        <v>3</v>
      </c>
      <c r="BN1137" s="62">
        <v>0.03</v>
      </c>
      <c r="BO1137" s="33" t="s">
        <v>614</v>
      </c>
      <c r="BP1137" t="s">
        <v>615</v>
      </c>
      <c r="BT1137" s="306"/>
    </row>
    <row r="1138" spans="1:72">
      <c r="A1138" s="33" t="str">
        <f>Database_Productkaarten[[#This Row],[Product]]&amp;", "&amp;Database_Productkaarten[[#This Row],[Levensfase]]</f>
        <v>Trottoirband 130/150x250, C1</v>
      </c>
      <c r="B1138" s="33" t="s">
        <v>222</v>
      </c>
      <c r="C1138" t="s">
        <v>55</v>
      </c>
      <c r="D1138" s="33" t="s">
        <v>388</v>
      </c>
      <c r="E1138" s="33" t="s">
        <v>389</v>
      </c>
      <c r="F1138" s="33" t="s">
        <v>83</v>
      </c>
      <c r="G1138" s="33">
        <v>1</v>
      </c>
      <c r="H1138" s="33">
        <v>0.25</v>
      </c>
      <c r="I1138" s="33">
        <v>0.15</v>
      </c>
      <c r="L1138" s="33">
        <v>2.4</v>
      </c>
      <c r="M1138" s="271">
        <v>8.43E-2</v>
      </c>
      <c r="N1138" s="41">
        <v>7.8710000000000002E-2</v>
      </c>
      <c r="O1138" s="33">
        <v>25</v>
      </c>
      <c r="P1138" s="163">
        <v>1.9924427999999999E-7</v>
      </c>
      <c r="Q1138" s="163">
        <v>4.1050855000000002E-3</v>
      </c>
      <c r="R1138" s="163">
        <v>0.59497279999999997</v>
      </c>
      <c r="S1138" s="163">
        <v>1.0716769E-7</v>
      </c>
      <c r="T1138" s="163">
        <v>5.9971757000000004E-4</v>
      </c>
      <c r="U1138" s="163">
        <v>4.5018584999999998E-3</v>
      </c>
      <c r="V1138" s="163">
        <v>1.0080613000000001E-3</v>
      </c>
      <c r="W1138" s="163">
        <v>0.21061642999999999</v>
      </c>
      <c r="X1138" s="163">
        <v>2.9454494999999999E-3</v>
      </c>
      <c r="Y1138" s="163">
        <v>9.9845778999999997</v>
      </c>
      <c r="Z1138" s="163">
        <v>3.5193415999999999E-4</v>
      </c>
      <c r="AA1138" s="163"/>
      <c r="AB1138" s="163"/>
      <c r="AC1138" s="163"/>
      <c r="AD1138" s="163"/>
      <c r="AE1138" s="163"/>
      <c r="AF1138" s="163"/>
      <c r="AG1138" s="40"/>
      <c r="AH1138" s="40"/>
      <c r="AI1138" s="40"/>
      <c r="AJ1138" s="40"/>
      <c r="AK1138" s="40"/>
      <c r="AL1138" s="40"/>
      <c r="AM1138" s="40"/>
      <c r="AN1138" s="40"/>
      <c r="AO1138" s="40"/>
      <c r="AP1138" s="40"/>
      <c r="AQ1138" s="40"/>
      <c r="AR1138" s="40"/>
      <c r="AS1138" s="40"/>
      <c r="AT1138" s="40"/>
      <c r="AU1138" s="40"/>
      <c r="AV1138" s="313">
        <v>4.9442172999999999E-2</v>
      </c>
      <c r="AW1138" s="317"/>
      <c r="AX1138" s="317"/>
      <c r="AY1138" s="313">
        <v>9.2085135000000005</v>
      </c>
      <c r="AZ1138" s="317"/>
      <c r="BA1138" s="317"/>
      <c r="BB1138" s="317"/>
      <c r="BC1138" s="317">
        <v>7.5919631999999998E-4</v>
      </c>
      <c r="BD1138" s="317">
        <v>6.3751571999999998E-5</v>
      </c>
      <c r="BE1138" s="317">
        <v>9.3962368000000008E-3</v>
      </c>
      <c r="BF1138" s="40"/>
      <c r="BG1138" s="40"/>
      <c r="BH1138" s="40"/>
      <c r="BI1138" s="40"/>
      <c r="BJ1138" s="40"/>
      <c r="BK1138" s="40"/>
      <c r="BL1138" s="306">
        <v>0.11150652431791222</v>
      </c>
      <c r="BM1138" s="275">
        <v>3</v>
      </c>
      <c r="BN1138" s="62">
        <v>0.03</v>
      </c>
      <c r="BO1138" s="33" t="s">
        <v>614</v>
      </c>
      <c r="BP1138" t="s">
        <v>615</v>
      </c>
      <c r="BT1138" s="306"/>
    </row>
    <row r="1139" spans="1:72">
      <c r="A1139" s="33" t="str">
        <f>Database_Productkaarten[[#This Row],[Product]]&amp;", "&amp;Database_Productkaarten[[#This Row],[Levensfase]]</f>
        <v>Trottoirband 130/150x250, C2</v>
      </c>
      <c r="B1139" s="33" t="s">
        <v>222</v>
      </c>
      <c r="C1139" t="s">
        <v>55</v>
      </c>
      <c r="D1139" s="33" t="s">
        <v>388</v>
      </c>
      <c r="E1139" s="33" t="s">
        <v>389</v>
      </c>
      <c r="F1139" s="33" t="s">
        <v>84</v>
      </c>
      <c r="G1139" s="33">
        <v>1</v>
      </c>
      <c r="H1139" s="33">
        <v>0.25</v>
      </c>
      <c r="I1139" s="33">
        <v>0.15</v>
      </c>
      <c r="L1139" s="33">
        <v>2.4</v>
      </c>
      <c r="M1139" s="271">
        <v>8.43E-2</v>
      </c>
      <c r="N1139" s="41">
        <v>6.6269999999999996E-2</v>
      </c>
      <c r="O1139" s="33">
        <v>25</v>
      </c>
      <c r="P1139" s="163">
        <v>1.6151431000000001E-6</v>
      </c>
      <c r="Q1139" s="163">
        <v>4.1921592999999997E-3</v>
      </c>
      <c r="R1139" s="163">
        <v>0.56794612</v>
      </c>
      <c r="S1139" s="163">
        <v>1.0466126E-7</v>
      </c>
      <c r="T1139" s="163">
        <v>3.3521989000000001E-4</v>
      </c>
      <c r="U1139" s="163">
        <v>2.4622914999999999E-3</v>
      </c>
      <c r="V1139" s="163">
        <v>4.9066780000000003E-4</v>
      </c>
      <c r="W1139" s="163">
        <v>0.22722284000000001</v>
      </c>
      <c r="X1139" s="163">
        <v>6.6641399999999998E-3</v>
      </c>
      <c r="Y1139" s="163">
        <v>24.052856999999999</v>
      </c>
      <c r="Z1139" s="163">
        <v>8.0507965E-4</v>
      </c>
      <c r="AA1139" s="163"/>
      <c r="AB1139" s="163"/>
      <c r="AC1139" s="163"/>
      <c r="AD1139" s="163"/>
      <c r="AE1139" s="163"/>
      <c r="AF1139" s="163"/>
      <c r="AG1139" s="40"/>
      <c r="AH1139" s="40"/>
      <c r="AI1139" s="40"/>
      <c r="AJ1139" s="40"/>
      <c r="AK1139" s="40"/>
      <c r="AL1139" s="40"/>
      <c r="AM1139" s="40"/>
      <c r="AN1139" s="40"/>
      <c r="AO1139" s="40"/>
      <c r="AP1139" s="40"/>
      <c r="AQ1139" s="40"/>
      <c r="AR1139" s="40"/>
      <c r="AS1139" s="40"/>
      <c r="AT1139" s="40"/>
      <c r="AU1139" s="40"/>
      <c r="AV1139" s="313">
        <v>0.11960135</v>
      </c>
      <c r="AW1139" s="317"/>
      <c r="AX1139" s="317"/>
      <c r="AY1139" s="313">
        <v>9.3456282999999996</v>
      </c>
      <c r="AZ1139" s="317"/>
      <c r="BA1139" s="317"/>
      <c r="BB1139" s="317"/>
      <c r="BC1139" s="317">
        <v>1.6807879000000001E-3</v>
      </c>
      <c r="BD1139" s="317">
        <v>6.4543422999999999E-5</v>
      </c>
      <c r="BE1139" s="317">
        <v>0.53719377999999995</v>
      </c>
      <c r="BF1139" s="40"/>
      <c r="BG1139" s="40"/>
      <c r="BH1139" s="40"/>
      <c r="BI1139" s="40"/>
      <c r="BJ1139" s="40"/>
      <c r="BK1139" s="40"/>
      <c r="BL1139" s="306">
        <v>0.11150652431791222</v>
      </c>
      <c r="BM1139" s="275">
        <v>3</v>
      </c>
      <c r="BN1139" s="62">
        <v>0.03</v>
      </c>
      <c r="BO1139" s="33" t="s">
        <v>614</v>
      </c>
      <c r="BP1139" t="s">
        <v>615</v>
      </c>
      <c r="BT1139" s="306"/>
    </row>
    <row r="1140" spans="1:72">
      <c r="A1140" s="33" t="str">
        <f>Database_Productkaarten[[#This Row],[Product]]&amp;", "&amp;Database_Productkaarten[[#This Row],[Levensfase]]</f>
        <v>Trottoirband 130/150x250, C3</v>
      </c>
      <c r="B1140" s="33" t="s">
        <v>222</v>
      </c>
      <c r="C1140" t="s">
        <v>55</v>
      </c>
      <c r="D1140" s="33" t="s">
        <v>388</v>
      </c>
      <c r="E1140" s="33" t="s">
        <v>389</v>
      </c>
      <c r="F1140" s="33" t="s">
        <v>85</v>
      </c>
      <c r="G1140" s="33">
        <v>1</v>
      </c>
      <c r="H1140" s="33">
        <v>0.25</v>
      </c>
      <c r="I1140" s="33">
        <v>0.15</v>
      </c>
      <c r="L1140" s="33">
        <v>2.4</v>
      </c>
      <c r="M1140" s="271">
        <v>8.43E-2</v>
      </c>
      <c r="N1140" s="41">
        <v>2.402E-2</v>
      </c>
      <c r="O1140" s="33">
        <v>25</v>
      </c>
      <c r="P1140" s="163">
        <v>8.1894248000000005E-8</v>
      </c>
      <c r="Q1140" s="163">
        <v>1.0161305E-3</v>
      </c>
      <c r="R1140" s="163">
        <v>0.13487350000000001</v>
      </c>
      <c r="S1140" s="163">
        <v>1.5667178000000001E-8</v>
      </c>
      <c r="T1140" s="163">
        <v>7.5567869999999997E-5</v>
      </c>
      <c r="U1140" s="163">
        <v>6.2314409999999999E-4</v>
      </c>
      <c r="V1140" s="163">
        <v>1.4052478E-4</v>
      </c>
      <c r="W1140" s="163">
        <v>2.9506630999999998E-2</v>
      </c>
      <c r="X1140" s="163">
        <v>4.9254279999999995E-4</v>
      </c>
      <c r="Y1140" s="163">
        <v>1.8894354</v>
      </c>
      <c r="Z1140" s="163">
        <v>3.9804905E-4</v>
      </c>
      <c r="AA1140" s="163"/>
      <c r="AB1140" s="163"/>
      <c r="AC1140" s="163"/>
      <c r="AD1140" s="163"/>
      <c r="AE1140" s="163"/>
      <c r="AF1140" s="163"/>
      <c r="AG1140" s="40"/>
      <c r="AH1140" s="40"/>
      <c r="AI1140" s="40"/>
      <c r="AJ1140" s="40"/>
      <c r="AK1140" s="40"/>
      <c r="AL1140" s="40"/>
      <c r="AM1140" s="40"/>
      <c r="AN1140" s="40"/>
      <c r="AO1140" s="40"/>
      <c r="AP1140" s="40"/>
      <c r="AQ1140" s="40"/>
      <c r="AR1140" s="40"/>
      <c r="AS1140" s="40"/>
      <c r="AT1140" s="40"/>
      <c r="AU1140" s="40"/>
      <c r="AV1140" s="313">
        <v>0.10943716000000001</v>
      </c>
      <c r="AW1140" s="317"/>
      <c r="AX1140" s="317"/>
      <c r="AY1140" s="313">
        <v>2.1275914999999999</v>
      </c>
      <c r="AZ1140" s="317"/>
      <c r="BA1140" s="317"/>
      <c r="BB1140" s="317"/>
      <c r="BC1140" s="317">
        <v>3.3949472999999998E-4</v>
      </c>
      <c r="BD1140" s="317">
        <v>1.2324997999999999E-5</v>
      </c>
      <c r="BE1140" s="317">
        <v>0.25727624999999998</v>
      </c>
      <c r="BF1140" s="40"/>
      <c r="BG1140" s="40"/>
      <c r="BH1140" s="40"/>
      <c r="BI1140" s="40"/>
      <c r="BJ1140" s="40"/>
      <c r="BK1140" s="40"/>
      <c r="BL1140" s="306">
        <v>0.11150652431791222</v>
      </c>
      <c r="BM1140" s="275">
        <v>3</v>
      </c>
      <c r="BN1140" s="62">
        <v>0.03</v>
      </c>
      <c r="BO1140" s="33" t="s">
        <v>614</v>
      </c>
      <c r="BP1140" t="s">
        <v>615</v>
      </c>
    </row>
    <row r="1141" spans="1:72">
      <c r="A1141" s="33" t="str">
        <f>Database_Productkaarten[[#This Row],[Product]]&amp;", "&amp;Database_Productkaarten[[#This Row],[Levensfase]]</f>
        <v>Trottoirband 130/150x250, C4</v>
      </c>
      <c r="B1141" s="33" t="s">
        <v>222</v>
      </c>
      <c r="C1141" t="s">
        <v>55</v>
      </c>
      <c r="D1141" s="33" t="s">
        <v>388</v>
      </c>
      <c r="E1141" s="33" t="s">
        <v>389</v>
      </c>
      <c r="F1141" s="33" t="s">
        <v>86</v>
      </c>
      <c r="G1141" s="33">
        <v>1</v>
      </c>
      <c r="H1141" s="33">
        <v>0.25</v>
      </c>
      <c r="I1141" s="33">
        <v>0.15</v>
      </c>
      <c r="L1141" s="33">
        <v>2.4</v>
      </c>
      <c r="M1141" s="271">
        <v>8.43E-2</v>
      </c>
      <c r="N1141" s="41">
        <v>6.3000000000000003E-4</v>
      </c>
      <c r="O1141" s="33">
        <v>25</v>
      </c>
      <c r="P1141" s="163">
        <v>5.2070616999999997E-9</v>
      </c>
      <c r="Q1141" s="163">
        <v>6.2086204E-5</v>
      </c>
      <c r="R1141" s="163">
        <v>4.5621866000000004E-3</v>
      </c>
      <c r="S1141" s="163">
        <v>1.5100120000000001E-9</v>
      </c>
      <c r="T1141" s="163">
        <v>4.8346644000000001E-6</v>
      </c>
      <c r="U1141" s="163">
        <v>3.3711796E-5</v>
      </c>
      <c r="V1141" s="163">
        <v>6.3446348000000002E-6</v>
      </c>
      <c r="W1141" s="163">
        <v>1.8599891999999999E-3</v>
      </c>
      <c r="X1141" s="163">
        <v>4.6250717000000001E-5</v>
      </c>
      <c r="Y1141" s="163">
        <v>0.15907402000000001</v>
      </c>
      <c r="Z1141" s="163">
        <v>5.5084724999999996E-6</v>
      </c>
      <c r="AA1141" s="163"/>
      <c r="AB1141" s="163"/>
      <c r="AC1141" s="163"/>
      <c r="AD1141" s="163"/>
      <c r="AE1141" s="163"/>
      <c r="AF1141" s="163"/>
      <c r="AG1141" s="40"/>
      <c r="AH1141" s="40"/>
      <c r="AI1141" s="40"/>
      <c r="AJ1141" s="40"/>
      <c r="AK1141" s="40"/>
      <c r="AL1141" s="40"/>
      <c r="AM1141" s="40"/>
      <c r="AN1141" s="40"/>
      <c r="AO1141" s="40"/>
      <c r="AP1141" s="40"/>
      <c r="AQ1141" s="40"/>
      <c r="AR1141" s="40"/>
      <c r="AS1141" s="40"/>
      <c r="AT1141" s="40"/>
      <c r="AU1141" s="40"/>
      <c r="AV1141" s="313">
        <v>3.3256053999999998E-3</v>
      </c>
      <c r="AW1141" s="317"/>
      <c r="AX1141" s="317"/>
      <c r="AY1141" s="313">
        <v>0.13868939</v>
      </c>
      <c r="AZ1141" s="317"/>
      <c r="BA1141" s="317"/>
      <c r="BB1141" s="317"/>
      <c r="BC1141" s="317">
        <v>1.397812E-4</v>
      </c>
      <c r="BD1141" s="317">
        <v>9.4210677000000005E-7</v>
      </c>
      <c r="BE1141" s="317">
        <v>0.85372411000000004</v>
      </c>
      <c r="BF1141" s="40"/>
      <c r="BG1141" s="40"/>
      <c r="BH1141" s="40"/>
      <c r="BI1141" s="40"/>
      <c r="BJ1141" s="40"/>
      <c r="BK1141" s="40"/>
      <c r="BL1141" s="306">
        <v>0.11150652431791222</v>
      </c>
      <c r="BM1141" s="275">
        <v>3</v>
      </c>
      <c r="BN1141" s="62">
        <v>0.03</v>
      </c>
      <c r="BO1141" s="33" t="s">
        <v>614</v>
      </c>
      <c r="BP1141" t="s">
        <v>615</v>
      </c>
    </row>
    <row r="1142" spans="1:72">
      <c r="A1142" s="33" t="str">
        <f>Database_Productkaarten[[#This Row],[Product]]&amp;", "&amp;Database_Productkaarten[[#This Row],[Levensfase]]</f>
        <v>Trottoirband 130/150x250, D</v>
      </c>
      <c r="B1142" s="33" t="s">
        <v>222</v>
      </c>
      <c r="C1142" s="33" t="str">
        <f>C1143</f>
        <v>Elementenverhardingen</v>
      </c>
      <c r="D1142" s="33" t="str">
        <f>D1143</f>
        <v>Trottoirband</v>
      </c>
      <c r="E1142" s="33" t="str">
        <f>E1143</f>
        <v>m1</v>
      </c>
      <c r="F1142" s="33" t="s">
        <v>89</v>
      </c>
      <c r="G1142" s="33">
        <f>G1143</f>
        <v>1</v>
      </c>
      <c r="H1142" s="33">
        <v>0.25</v>
      </c>
      <c r="I1142" s="33">
        <v>0.15</v>
      </c>
      <c r="L1142" s="33">
        <v>2.4</v>
      </c>
      <c r="M1142" s="271">
        <v>8.43E-2</v>
      </c>
      <c r="N1142" s="41">
        <v>-4.4540000000000003E-2</v>
      </c>
      <c r="O1142" s="33">
        <v>25</v>
      </c>
      <c r="P1142" s="163">
        <v>-1.7814312000000001E-6</v>
      </c>
      <c r="Q1142" s="163">
        <v>-2.2493362999999999E-3</v>
      </c>
      <c r="R1142" s="163">
        <v>-0.33942559</v>
      </c>
      <c r="S1142" s="163">
        <v>-2.8851293999999999E-8</v>
      </c>
      <c r="T1142" s="163">
        <v>-2.3696584000000001E-4</v>
      </c>
      <c r="U1142" s="163">
        <v>-1.9278310999999999E-3</v>
      </c>
      <c r="V1142" s="163">
        <v>-3.1497964E-4</v>
      </c>
      <c r="W1142" s="163">
        <v>-0.13154914000000001</v>
      </c>
      <c r="X1142" s="163">
        <v>-1.9159293999999999E-3</v>
      </c>
      <c r="Y1142" s="163">
        <v>-9.1404324999999993</v>
      </c>
      <c r="Z1142" s="163">
        <v>-7.4457321000000003E-4</v>
      </c>
      <c r="AA1142" s="40"/>
      <c r="AB1142" s="40"/>
      <c r="AC1142" s="40"/>
      <c r="AD1142" s="40"/>
      <c r="AE1142" s="40"/>
      <c r="AF1142" s="40"/>
      <c r="AG1142" s="40"/>
      <c r="AH1142" s="40"/>
      <c r="AI1142" s="40"/>
      <c r="AJ1142" s="40"/>
      <c r="AK1142" s="40"/>
      <c r="AL1142" s="40"/>
      <c r="AM1142" s="40"/>
      <c r="AN1142" s="40"/>
      <c r="AO1142" s="40"/>
      <c r="AP1142" s="40"/>
      <c r="AQ1142" s="40"/>
      <c r="AR1142" s="40"/>
      <c r="AS1142" s="40"/>
      <c r="AT1142" s="40"/>
      <c r="AU1142" s="40"/>
      <c r="AV1142" s="315">
        <v>-0.27619343000000002</v>
      </c>
      <c r="AW1142" s="317"/>
      <c r="AX1142" s="317"/>
      <c r="AY1142" s="313">
        <v>-4.5194687</v>
      </c>
      <c r="AZ1142" s="317"/>
      <c r="BA1142" s="317"/>
      <c r="BB1142" s="317"/>
      <c r="BC1142" s="317">
        <v>-0.10832309</v>
      </c>
      <c r="BD1142" s="315">
        <v>-2.4179155000000001E-5</v>
      </c>
      <c r="BE1142" s="315">
        <v>-4.3355827E-2</v>
      </c>
      <c r="BF1142" s="40"/>
      <c r="BG1142" s="40"/>
      <c r="BH1142" s="40"/>
      <c r="BI1142" s="40"/>
      <c r="BJ1142" s="40"/>
      <c r="BK1142" s="40"/>
      <c r="BL1142" s="306">
        <v>0.11150652431791222</v>
      </c>
      <c r="BM1142" s="275">
        <v>3</v>
      </c>
      <c r="BN1142" s="62">
        <v>0.03</v>
      </c>
      <c r="BO1142" s="33" t="s">
        <v>614</v>
      </c>
      <c r="BP1142" t="s">
        <v>615</v>
      </c>
    </row>
    <row r="1143" spans="1:72">
      <c r="A1143" s="33" t="str">
        <f>Database_Productkaarten[[#This Row],[Product]]&amp;", "&amp;Database_Productkaarten[[#This Row],[Levensfase]]</f>
        <v>Trottoirband 130/150x250, D1</v>
      </c>
      <c r="B1143" s="33" t="s">
        <v>222</v>
      </c>
      <c r="C1143" t="s">
        <v>55</v>
      </c>
      <c r="D1143" s="33" t="s">
        <v>388</v>
      </c>
      <c r="E1143" s="33" t="s">
        <v>389</v>
      </c>
      <c r="F1143" s="33" t="s">
        <v>87</v>
      </c>
      <c r="G1143" s="33">
        <v>1</v>
      </c>
      <c r="H1143" s="33">
        <v>0.25</v>
      </c>
      <c r="I1143" s="33">
        <v>0.15</v>
      </c>
      <c r="L1143" s="33">
        <v>2.4</v>
      </c>
      <c r="M1143" s="271">
        <v>8.43E-2</v>
      </c>
      <c r="N1143" s="41"/>
      <c r="O1143" s="33">
        <v>25</v>
      </c>
      <c r="P1143" s="40"/>
      <c r="Q1143" s="40"/>
      <c r="R1143" s="40"/>
      <c r="S1143" s="40"/>
      <c r="T1143" s="40"/>
      <c r="U1143" s="40"/>
      <c r="V1143" s="40"/>
      <c r="W1143" s="40"/>
      <c r="X1143" s="40"/>
      <c r="Y1143" s="40"/>
      <c r="Z1143" s="40"/>
      <c r="AA1143" s="40"/>
      <c r="AB1143" s="40"/>
      <c r="AC1143" s="40"/>
      <c r="AD1143" s="40"/>
      <c r="AE1143" s="40"/>
      <c r="AF1143" s="40"/>
      <c r="AG1143" s="40"/>
      <c r="AH1143" s="40"/>
      <c r="AI1143" s="40"/>
      <c r="AJ1143" s="40"/>
      <c r="AK1143" s="40"/>
      <c r="AL1143" s="40"/>
      <c r="AM1143" s="40"/>
      <c r="AN1143" s="40"/>
      <c r="AO1143" s="40"/>
      <c r="AP1143" s="40"/>
      <c r="AQ1143" s="40"/>
      <c r="AR1143" s="40"/>
      <c r="AS1143" s="40"/>
      <c r="AT1143" s="40"/>
      <c r="AU1143" s="40"/>
      <c r="AV1143" s="313"/>
      <c r="AW1143" s="317"/>
      <c r="AX1143" s="317"/>
      <c r="AY1143" s="313"/>
      <c r="AZ1143" s="317"/>
      <c r="BA1143" s="317"/>
      <c r="BB1143" s="317"/>
      <c r="BC1143" s="317"/>
      <c r="BD1143" s="317"/>
      <c r="BE1143" s="317"/>
      <c r="BF1143" s="40"/>
      <c r="BG1143" s="40"/>
      <c r="BH1143" s="40"/>
      <c r="BI1143" s="40"/>
      <c r="BJ1143" s="40"/>
      <c r="BK1143" s="40"/>
      <c r="BL1143" s="306">
        <v>0.11150652431791222</v>
      </c>
      <c r="BM1143" s="275">
        <v>3</v>
      </c>
      <c r="BN1143" s="62">
        <v>0.03</v>
      </c>
      <c r="BO1143" s="33" t="s">
        <v>614</v>
      </c>
      <c r="BP1143" t="s">
        <v>615</v>
      </c>
    </row>
    <row r="1144" spans="1:72">
      <c r="A1144" s="33" t="str">
        <f>Database_Productkaarten[[#This Row],[Product]]&amp;", "&amp;Database_Productkaarten[[#This Row],[Levensfase]]</f>
        <v>Trottoirband 130/150x250, D2</v>
      </c>
      <c r="B1144" s="33" t="s">
        <v>222</v>
      </c>
      <c r="C1144" t="s">
        <v>55</v>
      </c>
      <c r="D1144" s="33" t="s">
        <v>388</v>
      </c>
      <c r="E1144" s="33" t="s">
        <v>389</v>
      </c>
      <c r="F1144" s="33" t="s">
        <v>88</v>
      </c>
      <c r="G1144" s="33">
        <v>1</v>
      </c>
      <c r="H1144" s="33">
        <v>0.25</v>
      </c>
      <c r="I1144" s="33">
        <v>0.15</v>
      </c>
      <c r="L1144" s="33">
        <v>2.4</v>
      </c>
      <c r="M1144" s="271">
        <v>8.43E-2</v>
      </c>
      <c r="N1144" s="41"/>
      <c r="O1144" s="33">
        <v>25</v>
      </c>
      <c r="P1144" s="40"/>
      <c r="Q1144" s="40"/>
      <c r="R1144" s="40"/>
      <c r="S1144" s="40"/>
      <c r="T1144" s="40"/>
      <c r="U1144" s="40"/>
      <c r="V1144" s="40"/>
      <c r="W1144" s="40"/>
      <c r="X1144" s="40"/>
      <c r="Y1144" s="40"/>
      <c r="Z1144" s="40"/>
      <c r="AA1144" s="40"/>
      <c r="AB1144" s="40"/>
      <c r="AC1144" s="40"/>
      <c r="AD1144" s="40"/>
      <c r="AE1144" s="40"/>
      <c r="AF1144" s="40"/>
      <c r="AG1144" s="40"/>
      <c r="AH1144" s="40"/>
      <c r="AI1144" s="40"/>
      <c r="AJ1144" s="40"/>
      <c r="AK1144" s="40"/>
      <c r="AL1144" s="40"/>
      <c r="AM1144" s="40"/>
      <c r="AN1144" s="40"/>
      <c r="AO1144" s="40"/>
      <c r="AP1144" s="40"/>
      <c r="AQ1144" s="40"/>
      <c r="AR1144" s="40"/>
      <c r="AS1144" s="40"/>
      <c r="AT1144" s="40"/>
      <c r="AU1144" s="40"/>
      <c r="AV1144" s="313"/>
      <c r="AW1144" s="317"/>
      <c r="AX1144" s="317"/>
      <c r="AY1144" s="313"/>
      <c r="AZ1144" s="317"/>
      <c r="BA1144" s="317"/>
      <c r="BB1144" s="317"/>
      <c r="BC1144" s="317"/>
      <c r="BD1144" s="317"/>
      <c r="BE1144" s="317"/>
      <c r="BF1144" s="40"/>
      <c r="BG1144" s="40"/>
      <c r="BH1144" s="40"/>
      <c r="BI1144" s="40"/>
      <c r="BJ1144" s="40"/>
      <c r="BK1144" s="40"/>
      <c r="BL1144" s="306">
        <v>0.11150652431791222</v>
      </c>
      <c r="BM1144" s="275">
        <v>3</v>
      </c>
      <c r="BN1144" s="62">
        <v>0.03</v>
      </c>
      <c r="BO1144" s="33" t="s">
        <v>614</v>
      </c>
      <c r="BP1144" t="s">
        <v>615</v>
      </c>
    </row>
    <row r="1145" spans="1:72">
      <c r="A1145" s="33" t="str">
        <f>Database_Productkaarten[[#This Row],[Product]]&amp;", "&amp;Database_Productkaarten[[#This Row],[Levensfase]]</f>
        <v>Trottoirband 130/150x250 (hergebruik), Totaal</v>
      </c>
      <c r="B1145" s="33" t="s">
        <v>620</v>
      </c>
      <c r="C1145" t="s">
        <v>55</v>
      </c>
      <c r="D1145" s="33" t="s">
        <v>388</v>
      </c>
      <c r="E1145" s="33" t="s">
        <v>389</v>
      </c>
      <c r="F1145" s="33" t="s">
        <v>90</v>
      </c>
      <c r="G1145" s="33">
        <v>1</v>
      </c>
      <c r="H1145" s="33">
        <v>0.25</v>
      </c>
      <c r="I1145" s="33">
        <v>0.15</v>
      </c>
      <c r="L1145" s="33">
        <v>2.4</v>
      </c>
      <c r="M1145" s="271">
        <v>8.43E-2</v>
      </c>
      <c r="N1145" s="41">
        <f>SUM(N1149:N1157)</f>
        <v>0.55506</v>
      </c>
      <c r="O1145" s="33">
        <v>25</v>
      </c>
      <c r="P1145" s="163">
        <f t="shared" ref="P1145:Z1145" si="370">SUM(P1149:P1157)</f>
        <v>8.6612887987000005E-6</v>
      </c>
      <c r="Q1145" s="163">
        <f t="shared" si="370"/>
        <v>3.0877937574000001E-2</v>
      </c>
      <c r="R1145" s="163">
        <f t="shared" si="370"/>
        <v>5.1434484406000003</v>
      </c>
      <c r="S1145" s="163">
        <f t="shared" si="370"/>
        <v>7.0640085859999988E-7</v>
      </c>
      <c r="T1145" s="163">
        <f t="shared" si="370"/>
        <v>2.9565633436000002E-3</v>
      </c>
      <c r="U1145" s="163">
        <f t="shared" si="370"/>
        <v>2.3007389346000003E-2</v>
      </c>
      <c r="V1145" s="163">
        <f t="shared" si="370"/>
        <v>4.8199605357999989E-3</v>
      </c>
      <c r="W1145" s="163">
        <f t="shared" si="370"/>
        <v>1.5280995682</v>
      </c>
      <c r="X1145" s="163">
        <f t="shared" si="370"/>
        <v>3.7484473437000003E-2</v>
      </c>
      <c r="Y1145" s="163">
        <f t="shared" si="370"/>
        <v>138.42945965000001</v>
      </c>
      <c r="Z1145" s="163">
        <f t="shared" si="370"/>
        <v>7.1493515315000002E-3</v>
      </c>
      <c r="AA1145" s="40"/>
      <c r="AB1145" s="40"/>
      <c r="AC1145" s="40"/>
      <c r="AD1145" s="40"/>
      <c r="AE1145" s="40"/>
      <c r="AF1145" s="40"/>
      <c r="AG1145" s="40"/>
      <c r="AH1145" s="40"/>
      <c r="AI1145" s="40"/>
      <c r="AJ1145" s="40"/>
      <c r="AK1145" s="40"/>
      <c r="AL1145" s="40"/>
      <c r="AM1145" s="40"/>
      <c r="AN1145" s="40"/>
      <c r="AO1145" s="40"/>
      <c r="AP1145" s="40"/>
      <c r="AQ1145" s="40"/>
      <c r="AR1145" s="40"/>
      <c r="AS1145" s="40"/>
      <c r="AT1145" s="40"/>
      <c r="AU1145" s="40"/>
      <c r="AV1145" s="163">
        <f>SUM(AV1149:AV1157)</f>
        <v>1.9845306364000002</v>
      </c>
      <c r="AW1145" s="40"/>
      <c r="AX1145" s="40"/>
      <c r="AY1145" s="163">
        <f>SUM(AY1149:AY1157)</f>
        <v>68.784884750000003</v>
      </c>
      <c r="AZ1145" s="40"/>
      <c r="BA1145" s="40"/>
      <c r="BB1145" s="40"/>
      <c r="BC1145" s="163">
        <f t="shared" ref="BC1145:BE1145" si="371">SUM(BC1149:BC1157)</f>
        <v>0.11674340533000001</v>
      </c>
      <c r="BD1145" s="163">
        <f t="shared" si="371"/>
        <v>0.74044171775917</v>
      </c>
      <c r="BE1145" s="163">
        <f t="shared" si="371"/>
        <v>3.5007947562999995</v>
      </c>
      <c r="BF1145" s="40"/>
      <c r="BG1145" s="40"/>
      <c r="BH1145" s="40"/>
      <c r="BI1145" s="40"/>
      <c r="BJ1145" s="40"/>
      <c r="BK1145" s="40"/>
      <c r="BL1145" s="62">
        <v>1</v>
      </c>
      <c r="BM1145" s="275">
        <v>3</v>
      </c>
      <c r="BN1145" s="62">
        <v>0.03</v>
      </c>
      <c r="BO1145" s="33" t="s">
        <v>614</v>
      </c>
      <c r="BP1145" s="33" t="s">
        <v>602</v>
      </c>
    </row>
    <row r="1146" spans="1:72">
      <c r="A1146" s="33" t="str">
        <f>Database_Productkaarten[[#This Row],[Product]]&amp;", "&amp;Database_Productkaarten[[#This Row],[Levensfase]]</f>
        <v>Trottoirband 130/150x250 (hergebruik), A1</v>
      </c>
      <c r="B1146" s="33" t="s">
        <v>620</v>
      </c>
      <c r="C1146" t="s">
        <v>55</v>
      </c>
      <c r="D1146" s="33" t="s">
        <v>388</v>
      </c>
      <c r="E1146" s="33" t="s">
        <v>389</v>
      </c>
      <c r="F1146" s="33" t="s">
        <v>74</v>
      </c>
      <c r="G1146" s="33">
        <v>1</v>
      </c>
      <c r="H1146" s="33">
        <v>0.25</v>
      </c>
      <c r="I1146" s="33">
        <v>0.15</v>
      </c>
      <c r="L1146" s="33">
        <v>2.4</v>
      </c>
      <c r="M1146" s="271">
        <v>8.43E-2</v>
      </c>
      <c r="N1146" s="41">
        <v>0</v>
      </c>
      <c r="O1146" s="33">
        <v>25</v>
      </c>
      <c r="P1146" s="163">
        <v>0</v>
      </c>
      <c r="Q1146" s="163">
        <v>0</v>
      </c>
      <c r="R1146" s="163">
        <v>0</v>
      </c>
      <c r="S1146" s="163">
        <v>0</v>
      </c>
      <c r="T1146" s="163">
        <v>0</v>
      </c>
      <c r="U1146" s="163">
        <v>0</v>
      </c>
      <c r="V1146" s="163">
        <v>0</v>
      </c>
      <c r="W1146" s="163">
        <v>0</v>
      </c>
      <c r="X1146" s="163">
        <v>0</v>
      </c>
      <c r="Y1146" s="163">
        <v>0</v>
      </c>
      <c r="Z1146" s="163">
        <v>0</v>
      </c>
      <c r="AA1146" s="40"/>
      <c r="AB1146" s="40"/>
      <c r="AC1146" s="40"/>
      <c r="AD1146" s="40"/>
      <c r="AE1146" s="40"/>
      <c r="AF1146" s="40"/>
      <c r="AG1146" s="40"/>
      <c r="AH1146" s="40"/>
      <c r="AI1146" s="40"/>
      <c r="AJ1146" s="40"/>
      <c r="AK1146" s="40"/>
      <c r="AL1146" s="40"/>
      <c r="AM1146" s="40"/>
      <c r="AN1146" s="40"/>
      <c r="AO1146" s="40"/>
      <c r="AP1146" s="40"/>
      <c r="AQ1146" s="40"/>
      <c r="AR1146" s="40"/>
      <c r="AS1146" s="40"/>
      <c r="AT1146" s="40"/>
      <c r="AU1146" s="40"/>
      <c r="AV1146" s="163">
        <v>0</v>
      </c>
      <c r="AW1146" s="40"/>
      <c r="AX1146" s="40"/>
      <c r="AY1146" s="163">
        <v>0</v>
      </c>
      <c r="AZ1146" s="40"/>
      <c r="BA1146" s="40"/>
      <c r="BB1146" s="40"/>
      <c r="BC1146" s="163">
        <v>0</v>
      </c>
      <c r="BD1146" s="163">
        <v>0</v>
      </c>
      <c r="BE1146" s="163">
        <v>0</v>
      </c>
      <c r="BF1146" s="40"/>
      <c r="BG1146" s="40"/>
      <c r="BH1146" s="40"/>
      <c r="BI1146" s="40"/>
      <c r="BJ1146" s="40"/>
      <c r="BK1146" s="40"/>
      <c r="BL1146" s="62">
        <v>1</v>
      </c>
      <c r="BM1146" s="275">
        <v>3</v>
      </c>
      <c r="BN1146" s="62">
        <v>0.03</v>
      </c>
      <c r="BO1146" s="33" t="s">
        <v>614</v>
      </c>
      <c r="BP1146" s="33" t="s">
        <v>602</v>
      </c>
    </row>
    <row r="1147" spans="1:72">
      <c r="A1147" s="33" t="str">
        <f>Database_Productkaarten[[#This Row],[Product]]&amp;", "&amp;Database_Productkaarten[[#This Row],[Levensfase]]</f>
        <v>Trottoirband 130/150x250 (hergebruik), A2</v>
      </c>
      <c r="B1147" s="33" t="s">
        <v>620</v>
      </c>
      <c r="C1147" t="s">
        <v>55</v>
      </c>
      <c r="D1147" s="33" t="s">
        <v>388</v>
      </c>
      <c r="E1147" s="33" t="s">
        <v>389</v>
      </c>
      <c r="F1147" s="33" t="s">
        <v>75</v>
      </c>
      <c r="G1147" s="33">
        <v>1</v>
      </c>
      <c r="H1147" s="33">
        <v>0.25</v>
      </c>
      <c r="I1147" s="33">
        <v>0.15</v>
      </c>
      <c r="L1147" s="33">
        <v>2.4</v>
      </c>
      <c r="M1147" s="271">
        <v>8.43E-2</v>
      </c>
      <c r="N1147" s="41">
        <v>0</v>
      </c>
      <c r="O1147" s="33">
        <v>25</v>
      </c>
      <c r="P1147" s="163">
        <v>0</v>
      </c>
      <c r="Q1147" s="163">
        <v>0</v>
      </c>
      <c r="R1147" s="163">
        <v>0</v>
      </c>
      <c r="S1147" s="163">
        <v>0</v>
      </c>
      <c r="T1147" s="163">
        <v>0</v>
      </c>
      <c r="U1147" s="163">
        <v>0</v>
      </c>
      <c r="V1147" s="163">
        <v>0</v>
      </c>
      <c r="W1147" s="163">
        <v>0</v>
      </c>
      <c r="X1147" s="163">
        <v>0</v>
      </c>
      <c r="Y1147" s="163">
        <v>0</v>
      </c>
      <c r="Z1147" s="163">
        <v>0</v>
      </c>
      <c r="AA1147" s="40"/>
      <c r="AB1147" s="40"/>
      <c r="AC1147" s="40"/>
      <c r="AD1147" s="40"/>
      <c r="AE1147" s="40"/>
      <c r="AF1147" s="40"/>
      <c r="AG1147" s="40"/>
      <c r="AH1147" s="40"/>
      <c r="AI1147" s="40"/>
      <c r="AJ1147" s="40"/>
      <c r="AK1147" s="40"/>
      <c r="AL1147" s="40"/>
      <c r="AM1147" s="40"/>
      <c r="AN1147" s="40"/>
      <c r="AO1147" s="40"/>
      <c r="AP1147" s="40"/>
      <c r="AQ1147" s="40"/>
      <c r="AR1147" s="40"/>
      <c r="AS1147" s="40"/>
      <c r="AT1147" s="40"/>
      <c r="AU1147" s="40"/>
      <c r="AV1147" s="163">
        <v>0</v>
      </c>
      <c r="AW1147" s="40"/>
      <c r="AX1147" s="40"/>
      <c r="AY1147" s="163">
        <v>0</v>
      </c>
      <c r="AZ1147" s="40"/>
      <c r="BA1147" s="40"/>
      <c r="BB1147" s="40"/>
      <c r="BC1147" s="163">
        <v>0</v>
      </c>
      <c r="BD1147" s="163">
        <v>0</v>
      </c>
      <c r="BE1147" s="163">
        <v>0</v>
      </c>
      <c r="BF1147" s="40"/>
      <c r="BG1147" s="40"/>
      <c r="BH1147" s="40"/>
      <c r="BI1147" s="40"/>
      <c r="BJ1147" s="40"/>
      <c r="BK1147" s="40"/>
      <c r="BL1147" s="62">
        <v>1</v>
      </c>
      <c r="BM1147" s="275">
        <v>3</v>
      </c>
      <c r="BN1147" s="62">
        <v>0.03</v>
      </c>
      <c r="BO1147" s="33" t="s">
        <v>614</v>
      </c>
      <c r="BP1147" s="33" t="s">
        <v>602</v>
      </c>
    </row>
    <row r="1148" spans="1:72">
      <c r="A1148" s="33" t="str">
        <f>Database_Productkaarten[[#This Row],[Product]]&amp;", "&amp;Database_Productkaarten[[#This Row],[Levensfase]]</f>
        <v>Trottoirband 130/150x250 (hergebruik), A3</v>
      </c>
      <c r="B1148" s="33" t="s">
        <v>620</v>
      </c>
      <c r="C1148" t="s">
        <v>55</v>
      </c>
      <c r="D1148" s="33" t="s">
        <v>388</v>
      </c>
      <c r="E1148" s="33" t="s">
        <v>389</v>
      </c>
      <c r="F1148" s="33" t="s">
        <v>76</v>
      </c>
      <c r="G1148" s="33">
        <v>1</v>
      </c>
      <c r="H1148" s="33">
        <v>0.25</v>
      </c>
      <c r="I1148" s="33">
        <v>0.15</v>
      </c>
      <c r="L1148" s="33">
        <v>2.4</v>
      </c>
      <c r="M1148" s="271">
        <v>8.43E-2</v>
      </c>
      <c r="N1148" s="41">
        <v>0</v>
      </c>
      <c r="O1148" s="33">
        <v>25</v>
      </c>
      <c r="P1148" s="163">
        <v>0</v>
      </c>
      <c r="Q1148" s="163">
        <v>0</v>
      </c>
      <c r="R1148" s="163">
        <v>0</v>
      </c>
      <c r="S1148" s="163">
        <v>0</v>
      </c>
      <c r="T1148" s="163">
        <v>0</v>
      </c>
      <c r="U1148" s="163">
        <v>0</v>
      </c>
      <c r="V1148" s="163">
        <v>0</v>
      </c>
      <c r="W1148" s="163">
        <v>0</v>
      </c>
      <c r="X1148" s="163">
        <v>0</v>
      </c>
      <c r="Y1148" s="163">
        <v>0</v>
      </c>
      <c r="Z1148" s="163">
        <v>0</v>
      </c>
      <c r="AA1148" s="40"/>
      <c r="AB1148" s="40"/>
      <c r="AC1148" s="40"/>
      <c r="AD1148" s="40"/>
      <c r="AE1148" s="40"/>
      <c r="AF1148" s="40"/>
      <c r="AG1148" s="40"/>
      <c r="AH1148" s="40"/>
      <c r="AI1148" s="40"/>
      <c r="AJ1148" s="40"/>
      <c r="AK1148" s="40"/>
      <c r="AL1148" s="40"/>
      <c r="AM1148" s="40"/>
      <c r="AN1148" s="40"/>
      <c r="AO1148" s="40"/>
      <c r="AP1148" s="40"/>
      <c r="AQ1148" s="40"/>
      <c r="AR1148" s="40"/>
      <c r="AS1148" s="40"/>
      <c r="AT1148" s="40"/>
      <c r="AU1148" s="40"/>
      <c r="AV1148" s="163">
        <v>0</v>
      </c>
      <c r="AW1148" s="40"/>
      <c r="AX1148" s="40"/>
      <c r="AY1148" s="163">
        <v>0</v>
      </c>
      <c r="AZ1148" s="40"/>
      <c r="BA1148" s="40"/>
      <c r="BB1148" s="40"/>
      <c r="BC1148" s="163">
        <v>0</v>
      </c>
      <c r="BD1148" s="163">
        <v>0</v>
      </c>
      <c r="BE1148" s="163">
        <v>0</v>
      </c>
      <c r="BF1148" s="40"/>
      <c r="BG1148" s="40"/>
      <c r="BH1148" s="40"/>
      <c r="BI1148" s="40"/>
      <c r="BJ1148" s="40"/>
      <c r="BK1148" s="40"/>
      <c r="BL1148" s="62">
        <v>1</v>
      </c>
      <c r="BM1148" s="275">
        <v>3</v>
      </c>
      <c r="BN1148" s="62">
        <v>0.03</v>
      </c>
      <c r="BO1148" s="33" t="s">
        <v>614</v>
      </c>
      <c r="BP1148" s="33" t="s">
        <v>602</v>
      </c>
    </row>
    <row r="1149" spans="1:72">
      <c r="A1149" s="33" t="str">
        <f>Database_Productkaarten[[#This Row],[Product]]&amp;", "&amp;Database_Productkaarten[[#This Row],[Levensfase]]</f>
        <v>Trottoirband 130/150x250 (hergebruik), A1-A3</v>
      </c>
      <c r="B1149" s="33" t="s">
        <v>620</v>
      </c>
      <c r="C1149" s="33" t="str">
        <f>C1148</f>
        <v>Elementenverhardingen</v>
      </c>
      <c r="D1149" s="33" t="str">
        <f>D1148</f>
        <v>Trottoirband</v>
      </c>
      <c r="E1149" s="33" t="str">
        <f>E1148</f>
        <v>m1</v>
      </c>
      <c r="F1149" s="33" t="s">
        <v>77</v>
      </c>
      <c r="G1149" s="33">
        <f>G1148</f>
        <v>1</v>
      </c>
      <c r="H1149" s="33">
        <v>0.25</v>
      </c>
      <c r="I1149" s="33">
        <v>0.15</v>
      </c>
      <c r="L1149" s="33">
        <v>2.4</v>
      </c>
      <c r="M1149" s="271">
        <v>8.43E-2</v>
      </c>
      <c r="N1149" s="41">
        <v>0</v>
      </c>
      <c r="O1149" s="33">
        <v>25</v>
      </c>
      <c r="P1149" s="163">
        <v>0</v>
      </c>
      <c r="Q1149" s="163">
        <v>0</v>
      </c>
      <c r="R1149" s="163">
        <v>0</v>
      </c>
      <c r="S1149" s="163">
        <v>0</v>
      </c>
      <c r="T1149" s="163">
        <v>0</v>
      </c>
      <c r="U1149" s="163">
        <v>0</v>
      </c>
      <c r="V1149" s="163">
        <v>0</v>
      </c>
      <c r="W1149" s="163">
        <v>0</v>
      </c>
      <c r="X1149" s="163">
        <v>0</v>
      </c>
      <c r="Y1149" s="163">
        <v>0</v>
      </c>
      <c r="Z1149" s="163">
        <v>0</v>
      </c>
      <c r="AA1149" s="40"/>
      <c r="AB1149" s="40"/>
      <c r="AC1149" s="40"/>
      <c r="AD1149" s="40"/>
      <c r="AE1149" s="40"/>
      <c r="AF1149" s="40"/>
      <c r="AG1149" s="40"/>
      <c r="AH1149" s="40"/>
      <c r="AI1149" s="40"/>
      <c r="AJ1149" s="40"/>
      <c r="AK1149" s="40"/>
      <c r="AL1149" s="40"/>
      <c r="AM1149" s="40"/>
      <c r="AN1149" s="40"/>
      <c r="AO1149" s="40"/>
      <c r="AP1149" s="40"/>
      <c r="AQ1149" s="40"/>
      <c r="AR1149" s="40"/>
      <c r="AS1149" s="40"/>
      <c r="AT1149" s="40"/>
      <c r="AU1149" s="40"/>
      <c r="AV1149" s="163">
        <v>0</v>
      </c>
      <c r="AW1149" s="40"/>
      <c r="AX1149" s="40"/>
      <c r="AY1149" s="163">
        <v>0</v>
      </c>
      <c r="AZ1149" s="40"/>
      <c r="BA1149" s="40"/>
      <c r="BB1149" s="40"/>
      <c r="BC1149" s="163">
        <v>0</v>
      </c>
      <c r="BD1149" s="163">
        <v>0</v>
      </c>
      <c r="BE1149" s="163">
        <v>0</v>
      </c>
      <c r="BF1149" s="40"/>
      <c r="BG1149" s="40"/>
      <c r="BH1149" s="40"/>
      <c r="BI1149" s="40"/>
      <c r="BJ1149" s="40"/>
      <c r="BK1149" s="40"/>
      <c r="BL1149" s="62">
        <v>1</v>
      </c>
      <c r="BM1149" s="275">
        <v>3</v>
      </c>
      <c r="BN1149" s="62">
        <v>0.03</v>
      </c>
      <c r="BO1149" s="33" t="s">
        <v>614</v>
      </c>
      <c r="BP1149" s="33" t="s">
        <v>602</v>
      </c>
    </row>
    <row r="1150" spans="1:72">
      <c r="A1150" s="33" t="str">
        <f>Database_Productkaarten[[#This Row],[Product]]&amp;", "&amp;Database_Productkaarten[[#This Row],[Levensfase]]</f>
        <v>Trottoirband 130/150x250 (hergebruik), A4</v>
      </c>
      <c r="B1150" s="33" t="s">
        <v>620</v>
      </c>
      <c r="C1150" t="s">
        <v>55</v>
      </c>
      <c r="D1150" s="33" t="s">
        <v>388</v>
      </c>
      <c r="E1150" s="33" t="s">
        <v>389</v>
      </c>
      <c r="F1150" s="33" t="s">
        <v>78</v>
      </c>
      <c r="G1150" s="33">
        <v>1</v>
      </c>
      <c r="H1150" s="33">
        <v>0.25</v>
      </c>
      <c r="I1150" s="33">
        <v>0.15</v>
      </c>
      <c r="L1150" s="33">
        <v>2.4</v>
      </c>
      <c r="M1150" s="271">
        <v>8.43E-2</v>
      </c>
      <c r="N1150" s="41">
        <f>N1135</f>
        <v>0.19683</v>
      </c>
      <c r="O1150" s="33">
        <v>25</v>
      </c>
      <c r="P1150" s="163">
        <f t="shared" ref="P1150:Z1150" si="372">P1135</f>
        <v>4.7974548999999997E-6</v>
      </c>
      <c r="Q1150" s="163">
        <f t="shared" si="372"/>
        <v>1.2451958000000001E-2</v>
      </c>
      <c r="R1150" s="163">
        <f t="shared" si="372"/>
        <v>1.6869687</v>
      </c>
      <c r="S1150" s="163">
        <f t="shared" si="372"/>
        <v>3.1087504E-7</v>
      </c>
      <c r="T1150" s="163">
        <f t="shared" si="372"/>
        <v>9.9570263000000009E-4</v>
      </c>
      <c r="U1150" s="163">
        <f t="shared" si="372"/>
        <v>7.3137369999999998E-3</v>
      </c>
      <c r="V1150" s="163">
        <f t="shared" si="372"/>
        <v>1.4574290999999999E-3</v>
      </c>
      <c r="W1150" s="163">
        <f t="shared" si="372"/>
        <v>0.67491931999999999</v>
      </c>
      <c r="X1150" s="163">
        <f t="shared" si="372"/>
        <v>1.9794474999999999E-2</v>
      </c>
      <c r="Y1150" s="163">
        <f t="shared" si="372"/>
        <v>71.444129000000004</v>
      </c>
      <c r="Z1150" s="163">
        <f t="shared" si="372"/>
        <v>2.3913256999999999E-3</v>
      </c>
      <c r="AA1150" s="40"/>
      <c r="AB1150" s="40"/>
      <c r="AC1150" s="40"/>
      <c r="AD1150" s="40"/>
      <c r="AE1150" s="40"/>
      <c r="AF1150" s="40"/>
      <c r="AG1150" s="40"/>
      <c r="AH1150" s="40"/>
      <c r="AI1150" s="40"/>
      <c r="AJ1150" s="40"/>
      <c r="AK1150" s="40"/>
      <c r="AL1150" s="40"/>
      <c r="AM1150" s="40"/>
      <c r="AN1150" s="40"/>
      <c r="AO1150" s="40"/>
      <c r="AP1150" s="40"/>
      <c r="AQ1150" s="40"/>
      <c r="AR1150" s="40"/>
      <c r="AS1150" s="40"/>
      <c r="AT1150" s="40"/>
      <c r="AU1150" s="40"/>
      <c r="AV1150" s="163">
        <f>AV1135</f>
        <v>0.35525152999999998</v>
      </c>
      <c r="AW1150" s="40"/>
      <c r="AX1150" s="40"/>
      <c r="AY1150" s="163">
        <f>AY1135</f>
        <v>27.759291999999999</v>
      </c>
      <c r="AZ1150" s="40"/>
      <c r="BA1150" s="40"/>
      <c r="BB1150" s="40"/>
      <c r="BC1150" s="163">
        <f t="shared" ref="BC1150:BE1150" si="373">BC1135</f>
        <v>4.9924393999999997E-3</v>
      </c>
      <c r="BD1150" s="163">
        <f t="shared" si="373"/>
        <v>1.9171314E-4</v>
      </c>
      <c r="BE1150" s="163">
        <f t="shared" si="373"/>
        <v>1.5956250999999999</v>
      </c>
      <c r="BF1150" s="40"/>
      <c r="BG1150" s="40"/>
      <c r="BH1150" s="40"/>
      <c r="BI1150" s="40"/>
      <c r="BJ1150" s="40"/>
      <c r="BK1150" s="40"/>
      <c r="BL1150" s="62">
        <v>1</v>
      </c>
      <c r="BM1150" s="275">
        <v>3</v>
      </c>
      <c r="BN1150" s="62">
        <v>0.03</v>
      </c>
      <c r="BO1150" s="33" t="s">
        <v>614</v>
      </c>
      <c r="BP1150" s="33" t="s">
        <v>602</v>
      </c>
    </row>
    <row r="1151" spans="1:72">
      <c r="A1151" s="33" t="str">
        <f>Database_Productkaarten[[#This Row],[Product]]&amp;", "&amp;Database_Productkaarten[[#This Row],[Levensfase]]</f>
        <v>Trottoirband 130/150x250 (hergebruik), A5</v>
      </c>
      <c r="B1151" s="33" t="s">
        <v>620</v>
      </c>
      <c r="C1151" t="s">
        <v>55</v>
      </c>
      <c r="D1151" s="33" t="s">
        <v>388</v>
      </c>
      <c r="E1151" s="33" t="s">
        <v>389</v>
      </c>
      <c r="F1151" s="33" t="s">
        <v>79</v>
      </c>
      <c r="G1151" s="33">
        <v>1</v>
      </c>
      <c r="H1151" s="33">
        <v>0.25</v>
      </c>
      <c r="I1151" s="33">
        <v>0.15</v>
      </c>
      <c r="L1151" s="33">
        <v>2.4</v>
      </c>
      <c r="M1151" s="271">
        <v>8.43E-2</v>
      </c>
      <c r="N1151" s="41">
        <f t="shared" ref="N1151:N1156" si="374">N1136</f>
        <v>0.10796</v>
      </c>
      <c r="O1151" s="33">
        <v>25</v>
      </c>
      <c r="P1151" s="163">
        <f t="shared" ref="P1151:Z1151" si="375">P1136</f>
        <v>7.1499684000000001E-7</v>
      </c>
      <c r="Q1151" s="163">
        <f t="shared" si="375"/>
        <v>5.6034084E-3</v>
      </c>
      <c r="R1151" s="163">
        <f t="shared" si="375"/>
        <v>1.0021985</v>
      </c>
      <c r="S1151" s="163">
        <f t="shared" si="375"/>
        <v>1.3018420000000001E-7</v>
      </c>
      <c r="T1151" s="163">
        <f t="shared" si="375"/>
        <v>7.0661889999999998E-4</v>
      </c>
      <c r="U1151" s="163">
        <f t="shared" si="375"/>
        <v>5.5221569999999998E-3</v>
      </c>
      <c r="V1151" s="163">
        <f t="shared" si="375"/>
        <v>1.2127237E-3</v>
      </c>
      <c r="W1151" s="163">
        <f t="shared" si="375"/>
        <v>0.26912887000000002</v>
      </c>
      <c r="X1151" s="163">
        <f t="shared" si="375"/>
        <v>4.5849065999999999E-3</v>
      </c>
      <c r="Y1151" s="163">
        <f t="shared" si="375"/>
        <v>16.851189000000002</v>
      </c>
      <c r="Z1151" s="163">
        <f t="shared" si="375"/>
        <v>1.0744863E-3</v>
      </c>
      <c r="AA1151" s="40"/>
      <c r="AB1151" s="40"/>
      <c r="AC1151" s="40"/>
      <c r="AD1151" s="40"/>
      <c r="AE1151" s="40"/>
      <c r="AF1151" s="40"/>
      <c r="AG1151" s="40"/>
      <c r="AH1151" s="40"/>
      <c r="AI1151" s="40"/>
      <c r="AJ1151" s="40"/>
      <c r="AK1151" s="40"/>
      <c r="AL1151" s="40"/>
      <c r="AM1151" s="40"/>
      <c r="AN1151" s="40"/>
      <c r="AO1151" s="40"/>
      <c r="AP1151" s="40"/>
      <c r="AQ1151" s="40"/>
      <c r="AR1151" s="40"/>
      <c r="AS1151" s="40"/>
      <c r="AT1151" s="40"/>
      <c r="AU1151" s="40"/>
      <c r="AV1151" s="163">
        <f t="shared" ref="AV1151:AV1156" si="376">AV1136</f>
        <v>0.35617437000000002</v>
      </c>
      <c r="AW1151" s="40"/>
      <c r="AX1151" s="40"/>
      <c r="AY1151" s="163">
        <f t="shared" ref="AY1151:AY1156" si="377">AY1136</f>
        <v>12.550473999999999</v>
      </c>
      <c r="AZ1151" s="40"/>
      <c r="BA1151" s="40"/>
      <c r="BB1151" s="40"/>
      <c r="BC1151" s="163">
        <f t="shared" ref="BC1151:BE1151" si="378">BC1136</f>
        <v>2.3364300000000001E-2</v>
      </c>
      <c r="BD1151" s="163">
        <f t="shared" si="378"/>
        <v>0.17084895999999999</v>
      </c>
      <c r="BE1151" s="163">
        <f t="shared" si="378"/>
        <v>0.13821839999999999</v>
      </c>
      <c r="BF1151" s="40"/>
      <c r="BG1151" s="40"/>
      <c r="BH1151" s="40"/>
      <c r="BI1151" s="40"/>
      <c r="BJ1151" s="40"/>
      <c r="BK1151" s="40"/>
      <c r="BL1151" s="62">
        <v>1</v>
      </c>
      <c r="BM1151" s="275">
        <v>3</v>
      </c>
      <c r="BN1151" s="62">
        <v>0.03</v>
      </c>
      <c r="BO1151" s="33" t="s">
        <v>614</v>
      </c>
      <c r="BP1151" s="33" t="s">
        <v>602</v>
      </c>
    </row>
    <row r="1152" spans="1:72">
      <c r="A1152" s="33" t="str">
        <f>Database_Productkaarten[[#This Row],[Product]]&amp;", "&amp;Database_Productkaarten[[#This Row],[Levensfase]]</f>
        <v>Trottoirband 130/150x250 (hergebruik), B1</v>
      </c>
      <c r="B1152" s="33" t="s">
        <v>620</v>
      </c>
      <c r="C1152" t="s">
        <v>55</v>
      </c>
      <c r="D1152" s="33" t="s">
        <v>388</v>
      </c>
      <c r="E1152" s="33" t="s">
        <v>389</v>
      </c>
      <c r="F1152" s="33" t="s">
        <v>80</v>
      </c>
      <c r="G1152" s="33">
        <v>1</v>
      </c>
      <c r="H1152" s="33">
        <v>0.25</v>
      </c>
      <c r="I1152" s="33">
        <v>0.15</v>
      </c>
      <c r="L1152" s="33">
        <v>2.4</v>
      </c>
      <c r="M1152" s="271">
        <v>8.43E-2</v>
      </c>
      <c r="N1152" s="41">
        <f t="shared" si="374"/>
        <v>0</v>
      </c>
      <c r="O1152" s="33">
        <v>25</v>
      </c>
      <c r="P1152" s="163">
        <f t="shared" ref="P1152:Z1152" si="379">P1137</f>
        <v>0</v>
      </c>
      <c r="Q1152" s="163">
        <f t="shared" si="379"/>
        <v>0</v>
      </c>
      <c r="R1152" s="163">
        <f t="shared" si="379"/>
        <v>0</v>
      </c>
      <c r="S1152" s="163">
        <f t="shared" si="379"/>
        <v>0</v>
      </c>
      <c r="T1152" s="163">
        <f t="shared" si="379"/>
        <v>0</v>
      </c>
      <c r="U1152" s="163">
        <f t="shared" si="379"/>
        <v>0</v>
      </c>
      <c r="V1152" s="163">
        <f t="shared" si="379"/>
        <v>0</v>
      </c>
      <c r="W1152" s="163">
        <f t="shared" si="379"/>
        <v>0</v>
      </c>
      <c r="X1152" s="163">
        <f t="shared" si="379"/>
        <v>0</v>
      </c>
      <c r="Y1152" s="163">
        <f t="shared" si="379"/>
        <v>0</v>
      </c>
      <c r="Z1152" s="163">
        <f t="shared" si="379"/>
        <v>0</v>
      </c>
      <c r="AA1152" s="40"/>
      <c r="AB1152" s="40"/>
      <c r="AC1152" s="40"/>
      <c r="AD1152" s="40"/>
      <c r="AE1152" s="40"/>
      <c r="AF1152" s="40"/>
      <c r="AG1152" s="40"/>
      <c r="AH1152" s="40"/>
      <c r="AI1152" s="40"/>
      <c r="AJ1152" s="40"/>
      <c r="AK1152" s="40"/>
      <c r="AL1152" s="40"/>
      <c r="AM1152" s="40"/>
      <c r="AN1152" s="40"/>
      <c r="AO1152" s="40"/>
      <c r="AP1152" s="40"/>
      <c r="AQ1152" s="40"/>
      <c r="AR1152" s="40"/>
      <c r="AS1152" s="40"/>
      <c r="AT1152" s="40"/>
      <c r="AU1152" s="40"/>
      <c r="AV1152" s="163">
        <f t="shared" si="376"/>
        <v>0</v>
      </c>
      <c r="AW1152" s="40"/>
      <c r="AX1152" s="40"/>
      <c r="AY1152" s="163">
        <f t="shared" si="377"/>
        <v>0</v>
      </c>
      <c r="AZ1152" s="40"/>
      <c r="BA1152" s="40"/>
      <c r="BB1152" s="40"/>
      <c r="BC1152" s="163">
        <f t="shared" ref="BC1152:BE1152" si="380">BC1137</f>
        <v>0</v>
      </c>
      <c r="BD1152" s="163">
        <f t="shared" si="380"/>
        <v>0</v>
      </c>
      <c r="BE1152" s="163">
        <f t="shared" si="380"/>
        <v>0</v>
      </c>
      <c r="BF1152" s="40"/>
      <c r="BG1152" s="40"/>
      <c r="BH1152" s="40"/>
      <c r="BI1152" s="40"/>
      <c r="BJ1152" s="40"/>
      <c r="BK1152" s="40"/>
      <c r="BL1152" s="62">
        <v>1</v>
      </c>
      <c r="BM1152" s="275">
        <v>3</v>
      </c>
      <c r="BN1152" s="62">
        <v>0.03</v>
      </c>
      <c r="BO1152" s="33" t="s">
        <v>614</v>
      </c>
      <c r="BP1152" s="33" t="s">
        <v>602</v>
      </c>
    </row>
    <row r="1153" spans="1:68">
      <c r="A1153" s="33" t="str">
        <f>Database_Productkaarten[[#This Row],[Product]]&amp;", "&amp;Database_Productkaarten[[#This Row],[Levensfase]]</f>
        <v>Trottoirband 130/150x250 (hergebruik), C1</v>
      </c>
      <c r="B1153" s="33" t="s">
        <v>620</v>
      </c>
      <c r="C1153" t="s">
        <v>55</v>
      </c>
      <c r="D1153" s="33" t="s">
        <v>388</v>
      </c>
      <c r="E1153" s="33" t="s">
        <v>389</v>
      </c>
      <c r="F1153" s="33" t="s">
        <v>83</v>
      </c>
      <c r="G1153" s="33">
        <v>1</v>
      </c>
      <c r="H1153" s="33">
        <v>0.25</v>
      </c>
      <c r="I1153" s="33">
        <v>0.15</v>
      </c>
      <c r="L1153" s="33">
        <v>2.4</v>
      </c>
      <c r="M1153" s="271">
        <v>8.43E-2</v>
      </c>
      <c r="N1153" s="41">
        <f t="shared" si="374"/>
        <v>7.8710000000000002E-2</v>
      </c>
      <c r="O1153" s="33">
        <v>25</v>
      </c>
      <c r="P1153" s="163">
        <f t="shared" ref="P1153:Z1153" si="381">P1138</f>
        <v>1.9924427999999999E-7</v>
      </c>
      <c r="Q1153" s="163">
        <f t="shared" si="381"/>
        <v>4.1050855000000002E-3</v>
      </c>
      <c r="R1153" s="163">
        <f t="shared" si="381"/>
        <v>0.59497279999999997</v>
      </c>
      <c r="S1153" s="163">
        <f t="shared" si="381"/>
        <v>1.0716769E-7</v>
      </c>
      <c r="T1153" s="163">
        <f t="shared" si="381"/>
        <v>5.9971757000000004E-4</v>
      </c>
      <c r="U1153" s="163">
        <f t="shared" si="381"/>
        <v>4.5018584999999998E-3</v>
      </c>
      <c r="V1153" s="163">
        <f t="shared" si="381"/>
        <v>1.0080613000000001E-3</v>
      </c>
      <c r="W1153" s="163">
        <f t="shared" si="381"/>
        <v>0.21061642999999999</v>
      </c>
      <c r="X1153" s="163">
        <f t="shared" si="381"/>
        <v>2.9454494999999999E-3</v>
      </c>
      <c r="Y1153" s="163">
        <f t="shared" si="381"/>
        <v>9.9845778999999997</v>
      </c>
      <c r="Z1153" s="163">
        <f t="shared" si="381"/>
        <v>3.5193415999999999E-4</v>
      </c>
      <c r="AA1153" s="40"/>
      <c r="AB1153" s="40"/>
      <c r="AC1153" s="40"/>
      <c r="AD1153" s="40"/>
      <c r="AE1153" s="40"/>
      <c r="AF1153" s="40"/>
      <c r="AG1153" s="40"/>
      <c r="AH1153" s="40"/>
      <c r="AI1153" s="40"/>
      <c r="AJ1153" s="40"/>
      <c r="AK1153" s="40"/>
      <c r="AL1153" s="40"/>
      <c r="AM1153" s="40"/>
      <c r="AN1153" s="40"/>
      <c r="AO1153" s="40"/>
      <c r="AP1153" s="40"/>
      <c r="AQ1153" s="40"/>
      <c r="AR1153" s="40"/>
      <c r="AS1153" s="40"/>
      <c r="AT1153" s="40"/>
      <c r="AU1153" s="40"/>
      <c r="AV1153" s="163">
        <f t="shared" si="376"/>
        <v>4.9442172999999999E-2</v>
      </c>
      <c r="AW1153" s="40"/>
      <c r="AX1153" s="40"/>
      <c r="AY1153" s="163">
        <f t="shared" si="377"/>
        <v>9.2085135000000005</v>
      </c>
      <c r="AZ1153" s="40"/>
      <c r="BA1153" s="40"/>
      <c r="BB1153" s="40"/>
      <c r="BC1153" s="163">
        <f t="shared" ref="BC1153:BE1153" si="382">BC1138</f>
        <v>7.5919631999999998E-4</v>
      </c>
      <c r="BD1153" s="163">
        <f t="shared" si="382"/>
        <v>6.3751571999999998E-5</v>
      </c>
      <c r="BE1153" s="163">
        <f t="shared" si="382"/>
        <v>9.3962368000000008E-3</v>
      </c>
      <c r="BF1153" s="40"/>
      <c r="BG1153" s="40"/>
      <c r="BH1153" s="40"/>
      <c r="BI1153" s="40"/>
      <c r="BJ1153" s="40"/>
      <c r="BK1153" s="40"/>
      <c r="BL1153" s="62">
        <v>1</v>
      </c>
      <c r="BM1153" s="275">
        <v>3</v>
      </c>
      <c r="BN1153" s="62">
        <v>0.03</v>
      </c>
      <c r="BO1153" s="33" t="s">
        <v>614</v>
      </c>
      <c r="BP1153" s="33" t="s">
        <v>602</v>
      </c>
    </row>
    <row r="1154" spans="1:68">
      <c r="A1154" s="33" t="str">
        <f>Database_Productkaarten[[#This Row],[Product]]&amp;", "&amp;Database_Productkaarten[[#This Row],[Levensfase]]</f>
        <v>Trottoirband 130/150x250 (hergebruik), C2</v>
      </c>
      <c r="B1154" s="33" t="s">
        <v>620</v>
      </c>
      <c r="C1154" t="s">
        <v>55</v>
      </c>
      <c r="D1154" s="33" t="s">
        <v>388</v>
      </c>
      <c r="E1154" s="33" t="s">
        <v>389</v>
      </c>
      <c r="F1154" s="33" t="s">
        <v>84</v>
      </c>
      <c r="G1154" s="33">
        <v>1</v>
      </c>
      <c r="H1154" s="33">
        <v>0.25</v>
      </c>
      <c r="I1154" s="33">
        <v>0.15</v>
      </c>
      <c r="L1154" s="33">
        <v>2.4</v>
      </c>
      <c r="M1154" s="271">
        <v>8.43E-2</v>
      </c>
      <c r="N1154" s="41">
        <f t="shared" si="374"/>
        <v>6.6269999999999996E-2</v>
      </c>
      <c r="O1154" s="33">
        <v>25</v>
      </c>
      <c r="P1154" s="163">
        <f t="shared" ref="P1154:Z1154" si="383">P1139</f>
        <v>1.6151431000000001E-6</v>
      </c>
      <c r="Q1154" s="163">
        <f t="shared" si="383"/>
        <v>4.1921592999999997E-3</v>
      </c>
      <c r="R1154" s="163">
        <f t="shared" si="383"/>
        <v>0.56794612</v>
      </c>
      <c r="S1154" s="163">
        <f t="shared" si="383"/>
        <v>1.0466126E-7</v>
      </c>
      <c r="T1154" s="163">
        <f t="shared" si="383"/>
        <v>3.3521989000000001E-4</v>
      </c>
      <c r="U1154" s="163">
        <f t="shared" si="383"/>
        <v>2.4622914999999999E-3</v>
      </c>
      <c r="V1154" s="163">
        <f t="shared" si="383"/>
        <v>4.9066780000000003E-4</v>
      </c>
      <c r="W1154" s="163">
        <f t="shared" si="383"/>
        <v>0.22722284000000001</v>
      </c>
      <c r="X1154" s="163">
        <f t="shared" si="383"/>
        <v>6.6641399999999998E-3</v>
      </c>
      <c r="Y1154" s="163">
        <f t="shared" si="383"/>
        <v>24.052856999999999</v>
      </c>
      <c r="Z1154" s="163">
        <f t="shared" si="383"/>
        <v>8.0507965E-4</v>
      </c>
      <c r="AA1154" s="40"/>
      <c r="AB1154" s="40"/>
      <c r="AC1154" s="40"/>
      <c r="AD1154" s="40"/>
      <c r="AE1154" s="40"/>
      <c r="AF1154" s="40"/>
      <c r="AG1154" s="40"/>
      <c r="AH1154" s="40"/>
      <c r="AI1154" s="40"/>
      <c r="AJ1154" s="40"/>
      <c r="AK1154" s="40"/>
      <c r="AL1154" s="40"/>
      <c r="AM1154" s="40"/>
      <c r="AN1154" s="40"/>
      <c r="AO1154" s="40"/>
      <c r="AP1154" s="40"/>
      <c r="AQ1154" s="40"/>
      <c r="AR1154" s="40"/>
      <c r="AS1154" s="40"/>
      <c r="AT1154" s="40"/>
      <c r="AU1154" s="40"/>
      <c r="AV1154" s="163">
        <f t="shared" si="376"/>
        <v>0.11960135</v>
      </c>
      <c r="AW1154" s="40"/>
      <c r="AX1154" s="40"/>
      <c r="AY1154" s="163">
        <f t="shared" si="377"/>
        <v>9.3456282999999996</v>
      </c>
      <c r="AZ1154" s="40"/>
      <c r="BA1154" s="40"/>
      <c r="BB1154" s="40"/>
      <c r="BC1154" s="163">
        <f t="shared" ref="BC1154:BE1154" si="384">BC1139</f>
        <v>1.6807879000000001E-3</v>
      </c>
      <c r="BD1154" s="163">
        <f t="shared" si="384"/>
        <v>6.4543422999999999E-5</v>
      </c>
      <c r="BE1154" s="163">
        <f t="shared" si="384"/>
        <v>0.53719377999999995</v>
      </c>
      <c r="BF1154" s="40"/>
      <c r="BG1154" s="40"/>
      <c r="BH1154" s="40"/>
      <c r="BI1154" s="40"/>
      <c r="BJ1154" s="40"/>
      <c r="BK1154" s="40"/>
      <c r="BL1154" s="62">
        <v>1</v>
      </c>
      <c r="BM1154" s="275">
        <v>3</v>
      </c>
      <c r="BN1154" s="62">
        <v>0.03</v>
      </c>
      <c r="BO1154" s="33" t="s">
        <v>614</v>
      </c>
      <c r="BP1154" s="33" t="s">
        <v>602</v>
      </c>
    </row>
    <row r="1155" spans="1:68">
      <c r="A1155" s="33" t="str">
        <f>Database_Productkaarten[[#This Row],[Product]]&amp;", "&amp;Database_Productkaarten[[#This Row],[Levensfase]]</f>
        <v>Trottoirband 130/150x250 (hergebruik), C3</v>
      </c>
      <c r="B1155" s="33" t="s">
        <v>620</v>
      </c>
      <c r="C1155" t="s">
        <v>55</v>
      </c>
      <c r="D1155" s="33" t="s">
        <v>388</v>
      </c>
      <c r="E1155" s="33" t="s">
        <v>389</v>
      </c>
      <c r="F1155" s="33" t="s">
        <v>85</v>
      </c>
      <c r="G1155" s="33">
        <v>1</v>
      </c>
      <c r="H1155" s="33">
        <v>0.25</v>
      </c>
      <c r="I1155" s="33">
        <v>0.15</v>
      </c>
      <c r="L1155" s="33">
        <v>2.4</v>
      </c>
      <c r="M1155" s="271">
        <v>8.43E-2</v>
      </c>
      <c r="N1155" s="41">
        <f t="shared" si="374"/>
        <v>2.402E-2</v>
      </c>
      <c r="O1155" s="33">
        <v>25</v>
      </c>
      <c r="P1155" s="163">
        <f t="shared" ref="P1155:Z1155" si="385">P1140</f>
        <v>8.1894248000000005E-8</v>
      </c>
      <c r="Q1155" s="163">
        <f t="shared" si="385"/>
        <v>1.0161305E-3</v>
      </c>
      <c r="R1155" s="163">
        <f t="shared" si="385"/>
        <v>0.13487350000000001</v>
      </c>
      <c r="S1155" s="163">
        <f t="shared" si="385"/>
        <v>1.5667178000000001E-8</v>
      </c>
      <c r="T1155" s="163">
        <f t="shared" si="385"/>
        <v>7.5567869999999997E-5</v>
      </c>
      <c r="U1155" s="163">
        <f t="shared" si="385"/>
        <v>6.2314409999999999E-4</v>
      </c>
      <c r="V1155" s="163">
        <f t="shared" si="385"/>
        <v>1.4052478E-4</v>
      </c>
      <c r="W1155" s="163">
        <f t="shared" si="385"/>
        <v>2.9506630999999998E-2</v>
      </c>
      <c r="X1155" s="163">
        <f t="shared" si="385"/>
        <v>4.9254279999999995E-4</v>
      </c>
      <c r="Y1155" s="163">
        <f t="shared" si="385"/>
        <v>1.8894354</v>
      </c>
      <c r="Z1155" s="163">
        <f t="shared" si="385"/>
        <v>3.9804905E-4</v>
      </c>
      <c r="AA1155" s="40"/>
      <c r="AB1155" s="40"/>
      <c r="AC1155" s="40"/>
      <c r="AD1155" s="40"/>
      <c r="AE1155" s="40"/>
      <c r="AF1155" s="40"/>
      <c r="AG1155" s="40"/>
      <c r="AH1155" s="40"/>
      <c r="AI1155" s="40"/>
      <c r="AJ1155" s="40"/>
      <c r="AK1155" s="40"/>
      <c r="AL1155" s="40"/>
      <c r="AM1155" s="40"/>
      <c r="AN1155" s="40"/>
      <c r="AO1155" s="40"/>
      <c r="AP1155" s="40"/>
      <c r="AQ1155" s="40"/>
      <c r="AR1155" s="40"/>
      <c r="AS1155" s="40"/>
      <c r="AT1155" s="40"/>
      <c r="AU1155" s="40"/>
      <c r="AV1155" s="163">
        <f t="shared" si="376"/>
        <v>0.10943716000000001</v>
      </c>
      <c r="AW1155" s="40"/>
      <c r="AX1155" s="40"/>
      <c r="AY1155" s="163">
        <f t="shared" si="377"/>
        <v>2.1275914999999999</v>
      </c>
      <c r="AZ1155" s="40"/>
      <c r="BA1155" s="40"/>
      <c r="BB1155" s="40"/>
      <c r="BC1155" s="163">
        <f t="shared" ref="BC1155:BE1155" si="386">BC1140</f>
        <v>3.3949472999999998E-4</v>
      </c>
      <c r="BD1155" s="163">
        <f t="shared" si="386"/>
        <v>1.2324997999999999E-5</v>
      </c>
      <c r="BE1155" s="163">
        <f t="shared" si="386"/>
        <v>0.25727624999999998</v>
      </c>
      <c r="BF1155" s="40"/>
      <c r="BG1155" s="40"/>
      <c r="BH1155" s="40"/>
      <c r="BI1155" s="40"/>
      <c r="BJ1155" s="40"/>
      <c r="BK1155" s="40"/>
      <c r="BL1155" s="62">
        <v>1</v>
      </c>
      <c r="BM1155" s="275">
        <v>3</v>
      </c>
      <c r="BN1155" s="62">
        <v>0.03</v>
      </c>
      <c r="BO1155" s="33" t="s">
        <v>614</v>
      </c>
      <c r="BP1155" s="33" t="s">
        <v>602</v>
      </c>
    </row>
    <row r="1156" spans="1:68">
      <c r="A1156" s="33" t="str">
        <f>Database_Productkaarten[[#This Row],[Product]]&amp;", "&amp;Database_Productkaarten[[#This Row],[Levensfase]]</f>
        <v>Trottoirband 130/150x250 (hergebruik), C4</v>
      </c>
      <c r="B1156" s="33" t="s">
        <v>620</v>
      </c>
      <c r="C1156" t="s">
        <v>55</v>
      </c>
      <c r="D1156" s="33" t="s">
        <v>388</v>
      </c>
      <c r="E1156" s="33" t="s">
        <v>389</v>
      </c>
      <c r="F1156" s="33" t="s">
        <v>86</v>
      </c>
      <c r="G1156" s="33">
        <v>1</v>
      </c>
      <c r="H1156" s="33">
        <v>0.25</v>
      </c>
      <c r="I1156" s="33">
        <v>0.15</v>
      </c>
      <c r="L1156" s="33">
        <v>2.4</v>
      </c>
      <c r="M1156" s="271">
        <v>8.43E-2</v>
      </c>
      <c r="N1156" s="41">
        <f t="shared" si="374"/>
        <v>6.3000000000000003E-4</v>
      </c>
      <c r="O1156" s="33">
        <v>25</v>
      </c>
      <c r="P1156" s="163">
        <f t="shared" ref="P1156:Z1156" si="387">P1141</f>
        <v>5.2070616999999997E-9</v>
      </c>
      <c r="Q1156" s="163">
        <f t="shared" si="387"/>
        <v>6.2086204E-5</v>
      </c>
      <c r="R1156" s="163">
        <f t="shared" si="387"/>
        <v>4.5621866000000004E-3</v>
      </c>
      <c r="S1156" s="163">
        <f t="shared" si="387"/>
        <v>1.5100120000000001E-9</v>
      </c>
      <c r="T1156" s="163">
        <f t="shared" si="387"/>
        <v>4.8346644000000001E-6</v>
      </c>
      <c r="U1156" s="163">
        <f t="shared" si="387"/>
        <v>3.3711796E-5</v>
      </c>
      <c r="V1156" s="163">
        <f t="shared" si="387"/>
        <v>6.3446348000000002E-6</v>
      </c>
      <c r="W1156" s="163">
        <f t="shared" si="387"/>
        <v>1.8599891999999999E-3</v>
      </c>
      <c r="X1156" s="163">
        <f t="shared" si="387"/>
        <v>4.6250717000000001E-5</v>
      </c>
      <c r="Y1156" s="163">
        <f t="shared" si="387"/>
        <v>0.15907402000000001</v>
      </c>
      <c r="Z1156" s="163">
        <f t="shared" si="387"/>
        <v>5.5084724999999996E-6</v>
      </c>
      <c r="AA1156" s="40"/>
      <c r="AB1156" s="40"/>
      <c r="AC1156" s="40"/>
      <c r="AD1156" s="40"/>
      <c r="AE1156" s="40"/>
      <c r="AF1156" s="40"/>
      <c r="AG1156" s="40"/>
      <c r="AH1156" s="40"/>
      <c r="AI1156" s="40"/>
      <c r="AJ1156" s="40"/>
      <c r="AK1156" s="40"/>
      <c r="AL1156" s="40"/>
      <c r="AM1156" s="40"/>
      <c r="AN1156" s="40"/>
      <c r="AO1156" s="40"/>
      <c r="AP1156" s="40"/>
      <c r="AQ1156" s="40"/>
      <c r="AR1156" s="40"/>
      <c r="AS1156" s="40"/>
      <c r="AT1156" s="40"/>
      <c r="AU1156" s="40"/>
      <c r="AV1156" s="163">
        <f t="shared" si="376"/>
        <v>3.3256053999999998E-3</v>
      </c>
      <c r="AW1156" s="40"/>
      <c r="AX1156" s="40"/>
      <c r="AY1156" s="163">
        <f t="shared" si="377"/>
        <v>0.13868939</v>
      </c>
      <c r="AZ1156" s="40"/>
      <c r="BA1156" s="40"/>
      <c r="BB1156" s="40"/>
      <c r="BC1156" s="163">
        <f t="shared" ref="BC1156:BE1156" si="388">BC1141</f>
        <v>1.397812E-4</v>
      </c>
      <c r="BD1156" s="163">
        <f t="shared" si="388"/>
        <v>9.4210677000000005E-7</v>
      </c>
      <c r="BE1156" s="163">
        <f t="shared" si="388"/>
        <v>0.85372411000000004</v>
      </c>
      <c r="BF1156" s="40"/>
      <c r="BG1156" s="40"/>
      <c r="BH1156" s="40"/>
      <c r="BI1156" s="40"/>
      <c r="BJ1156" s="40"/>
      <c r="BK1156" s="40"/>
      <c r="BL1156" s="62">
        <v>1</v>
      </c>
      <c r="BM1156" s="275">
        <v>3</v>
      </c>
      <c r="BN1156" s="62">
        <v>0.03</v>
      </c>
      <c r="BO1156" s="33" t="s">
        <v>614</v>
      </c>
      <c r="BP1156" s="33" t="s">
        <v>602</v>
      </c>
    </row>
    <row r="1157" spans="1:68">
      <c r="A1157" s="33" t="str">
        <f>Database_Productkaarten[[#This Row],[Product]]&amp;", "&amp;Database_Productkaarten[[#This Row],[Levensfase]]</f>
        <v>Trottoirband 130/150x250 (hergebruik), D</v>
      </c>
      <c r="B1157" s="33" t="s">
        <v>620</v>
      </c>
      <c r="C1157" s="33" t="str">
        <f>C1158</f>
        <v>Elementenverhardingen</v>
      </c>
      <c r="D1157" s="33" t="str">
        <f>D1158</f>
        <v>Trottoirband</v>
      </c>
      <c r="E1157" s="33" t="str">
        <f>E1158</f>
        <v>m1</v>
      </c>
      <c r="F1157" s="33" t="s">
        <v>89</v>
      </c>
      <c r="G1157" s="33">
        <f>G1158</f>
        <v>1</v>
      </c>
      <c r="H1157" s="33">
        <v>0.25</v>
      </c>
      <c r="I1157" s="33">
        <v>0.15</v>
      </c>
      <c r="L1157" s="33">
        <v>2.4</v>
      </c>
      <c r="M1157" s="271">
        <v>8.43E-2</v>
      </c>
      <c r="N1157" s="41">
        <f>N1134*0.1</f>
        <v>8.0640000000000003E-2</v>
      </c>
      <c r="O1157" s="33">
        <v>25</v>
      </c>
      <c r="P1157" s="163">
        <f t="shared" ref="P1157:Z1157" si="389">P1134*0.1</f>
        <v>1.2473483690000001E-6</v>
      </c>
      <c r="Q1157" s="163">
        <f t="shared" si="389"/>
        <v>3.4471096700000002E-3</v>
      </c>
      <c r="R1157" s="163">
        <f t="shared" si="389"/>
        <v>1.1519266340000003</v>
      </c>
      <c r="S1157" s="163">
        <f t="shared" si="389"/>
        <v>3.6335478599999998E-8</v>
      </c>
      <c r="T1157" s="163">
        <f t="shared" si="389"/>
        <v>2.3890181919999999E-4</v>
      </c>
      <c r="U1157" s="163">
        <f t="shared" si="389"/>
        <v>2.5504894500000003E-3</v>
      </c>
      <c r="V1157" s="163">
        <f t="shared" si="389"/>
        <v>5.0420922100000002E-4</v>
      </c>
      <c r="W1157" s="163">
        <f t="shared" si="389"/>
        <v>0.11484548800000001</v>
      </c>
      <c r="X1157" s="163">
        <f t="shared" si="389"/>
        <v>2.9567088200000004E-3</v>
      </c>
      <c r="Y1157" s="163">
        <f t="shared" si="389"/>
        <v>14.048197330000001</v>
      </c>
      <c r="Z1157" s="163">
        <f t="shared" si="389"/>
        <v>2.1229681990000003E-3</v>
      </c>
      <c r="AA1157" s="40"/>
      <c r="AB1157" s="40"/>
      <c r="AC1157" s="40"/>
      <c r="AD1157" s="40"/>
      <c r="AE1157" s="40"/>
      <c r="AF1157" s="40"/>
      <c r="AG1157" s="40"/>
      <c r="AH1157" s="40"/>
      <c r="AI1157" s="40"/>
      <c r="AJ1157" s="40"/>
      <c r="AK1157" s="40"/>
      <c r="AL1157" s="40"/>
      <c r="AM1157" s="40"/>
      <c r="AN1157" s="40"/>
      <c r="AO1157" s="40"/>
      <c r="AP1157" s="40"/>
      <c r="AQ1157" s="40"/>
      <c r="AR1157" s="40"/>
      <c r="AS1157" s="40"/>
      <c r="AT1157" s="40"/>
      <c r="AU1157" s="40"/>
      <c r="AV1157" s="163">
        <f>AV1134*0.1</f>
        <v>0.99129844800000011</v>
      </c>
      <c r="AW1157" s="40"/>
      <c r="AX1157" s="40"/>
      <c r="AY1157" s="163">
        <f>AY1134*0.1</f>
        <v>7.6546960599999991</v>
      </c>
      <c r="AZ1157" s="40"/>
      <c r="BA1157" s="40"/>
      <c r="BB1157" s="40"/>
      <c r="BC1157" s="163">
        <f t="shared" ref="BC1157:BE1157" si="390">BC1134*0.1</f>
        <v>8.5467405780000005E-2</v>
      </c>
      <c r="BD1157" s="163">
        <f t="shared" si="390"/>
        <v>0.56925948251940006</v>
      </c>
      <c r="BE1157" s="163">
        <f t="shared" si="390"/>
        <v>0.10936087950000001</v>
      </c>
      <c r="BF1157" s="40"/>
      <c r="BG1157" s="40"/>
      <c r="BH1157" s="40"/>
      <c r="BI1157" s="40"/>
      <c r="BJ1157" s="40"/>
      <c r="BK1157" s="40"/>
      <c r="BL1157" s="62">
        <v>1</v>
      </c>
      <c r="BM1157" s="275">
        <v>3</v>
      </c>
      <c r="BN1157" s="62">
        <v>0.03</v>
      </c>
      <c r="BO1157" s="33" t="s">
        <v>614</v>
      </c>
      <c r="BP1157" s="33" t="s">
        <v>602</v>
      </c>
    </row>
    <row r="1158" spans="1:68">
      <c r="A1158" s="33" t="str">
        <f>Database_Productkaarten[[#This Row],[Product]]&amp;", "&amp;Database_Productkaarten[[#This Row],[Levensfase]]</f>
        <v>Trottoirband 130/150x250 (hergebruik), D1</v>
      </c>
      <c r="B1158" s="33" t="s">
        <v>620</v>
      </c>
      <c r="C1158" t="s">
        <v>55</v>
      </c>
      <c r="D1158" s="33" t="s">
        <v>388</v>
      </c>
      <c r="E1158" s="33" t="s">
        <v>389</v>
      </c>
      <c r="F1158" s="33" t="s">
        <v>87</v>
      </c>
      <c r="G1158" s="33">
        <v>1</v>
      </c>
      <c r="H1158" s="33">
        <v>0.25</v>
      </c>
      <c r="I1158" s="33">
        <v>0.15</v>
      </c>
      <c r="L1158" s="33">
        <v>2.4</v>
      </c>
      <c r="M1158" s="271">
        <v>8.43E-2</v>
      </c>
      <c r="N1158" s="41"/>
      <c r="O1158" s="33">
        <v>25</v>
      </c>
      <c r="P1158" s="40"/>
      <c r="Q1158" s="40"/>
      <c r="R1158" s="40"/>
      <c r="S1158" s="40"/>
      <c r="T1158" s="40"/>
      <c r="U1158" s="40"/>
      <c r="V1158" s="40"/>
      <c r="W1158" s="40"/>
      <c r="X1158" s="40"/>
      <c r="Y1158" s="40"/>
      <c r="Z1158" s="40"/>
      <c r="AA1158" s="40"/>
      <c r="AB1158" s="40"/>
      <c r="AC1158" s="40"/>
      <c r="AD1158" s="40"/>
      <c r="AE1158" s="40"/>
      <c r="AF1158" s="40"/>
      <c r="AG1158" s="40"/>
      <c r="AH1158" s="40"/>
      <c r="AI1158" s="40"/>
      <c r="AJ1158" s="40"/>
      <c r="AK1158" s="40"/>
      <c r="AL1158" s="40"/>
      <c r="AM1158" s="40"/>
      <c r="AN1158" s="40"/>
      <c r="AO1158" s="40"/>
      <c r="AP1158" s="40"/>
      <c r="AQ1158" s="40"/>
      <c r="AR1158" s="40"/>
      <c r="AS1158" s="40"/>
      <c r="AT1158" s="40"/>
      <c r="AU1158" s="40"/>
      <c r="AV1158" s="281"/>
      <c r="AW1158" s="40"/>
      <c r="AX1158" s="40"/>
      <c r="AY1158" s="281"/>
      <c r="AZ1158" s="40"/>
      <c r="BA1158" s="40"/>
      <c r="BB1158" s="40"/>
      <c r="BC1158" s="40"/>
      <c r="BD1158" s="40"/>
      <c r="BE1158" s="40"/>
      <c r="BF1158" s="40"/>
      <c r="BG1158" s="40"/>
      <c r="BH1158" s="40"/>
      <c r="BI1158" s="40"/>
      <c r="BJ1158" s="40"/>
      <c r="BK1158" s="40"/>
      <c r="BL1158" s="62">
        <v>1</v>
      </c>
      <c r="BM1158" s="275">
        <v>3</v>
      </c>
      <c r="BN1158" s="62">
        <v>0.03</v>
      </c>
      <c r="BO1158" s="33" t="s">
        <v>614</v>
      </c>
      <c r="BP1158" s="33" t="s">
        <v>602</v>
      </c>
    </row>
    <row r="1159" spans="1:68">
      <c r="A1159" s="33" t="str">
        <f>Database_Productkaarten[[#This Row],[Product]]&amp;", "&amp;Database_Productkaarten[[#This Row],[Levensfase]]</f>
        <v>Trottoirband 130/150x250 (hergebruik), D2</v>
      </c>
      <c r="B1159" s="33" t="s">
        <v>620</v>
      </c>
      <c r="C1159" t="s">
        <v>55</v>
      </c>
      <c r="D1159" s="33" t="s">
        <v>388</v>
      </c>
      <c r="E1159" s="33" t="s">
        <v>389</v>
      </c>
      <c r="F1159" s="33" t="s">
        <v>88</v>
      </c>
      <c r="G1159" s="33">
        <v>1</v>
      </c>
      <c r="H1159" s="33">
        <v>0.25</v>
      </c>
      <c r="I1159" s="33">
        <v>0.15</v>
      </c>
      <c r="L1159" s="33">
        <v>2.4</v>
      </c>
      <c r="M1159" s="271">
        <v>8.43E-2</v>
      </c>
      <c r="N1159" s="41"/>
      <c r="O1159" s="33">
        <v>25</v>
      </c>
      <c r="P1159" s="40"/>
      <c r="Q1159" s="40"/>
      <c r="R1159" s="40"/>
      <c r="S1159" s="40"/>
      <c r="T1159" s="40"/>
      <c r="U1159" s="40"/>
      <c r="V1159" s="40"/>
      <c r="W1159" s="40"/>
      <c r="X1159" s="40"/>
      <c r="Y1159" s="40"/>
      <c r="Z1159" s="40"/>
      <c r="AA1159" s="40"/>
      <c r="AB1159" s="40"/>
      <c r="AC1159" s="40"/>
      <c r="AD1159" s="40"/>
      <c r="AE1159" s="40"/>
      <c r="AF1159" s="40"/>
      <c r="AG1159" s="40"/>
      <c r="AH1159" s="40"/>
      <c r="AI1159" s="40"/>
      <c r="AJ1159" s="40"/>
      <c r="AK1159" s="40"/>
      <c r="AL1159" s="40"/>
      <c r="AM1159" s="40"/>
      <c r="AN1159" s="40"/>
      <c r="AO1159" s="40"/>
      <c r="AP1159" s="40"/>
      <c r="AQ1159" s="40"/>
      <c r="AR1159" s="40"/>
      <c r="AS1159" s="40"/>
      <c r="AT1159" s="40"/>
      <c r="AU1159" s="40"/>
      <c r="AV1159" s="281"/>
      <c r="AW1159" s="40"/>
      <c r="AX1159" s="40"/>
      <c r="AY1159" s="281"/>
      <c r="AZ1159" s="40"/>
      <c r="BA1159" s="40"/>
      <c r="BB1159" s="40"/>
      <c r="BC1159" s="40"/>
      <c r="BD1159" s="40"/>
      <c r="BE1159" s="40"/>
      <c r="BF1159" s="40"/>
      <c r="BG1159" s="40"/>
      <c r="BH1159" s="40"/>
      <c r="BI1159" s="40"/>
      <c r="BJ1159" s="40"/>
      <c r="BK1159" s="40"/>
      <c r="BL1159" s="62">
        <v>1</v>
      </c>
      <c r="BM1159" s="275">
        <v>3</v>
      </c>
      <c r="BN1159" s="62">
        <v>0.03</v>
      </c>
      <c r="BO1159" s="33" t="s">
        <v>614</v>
      </c>
      <c r="BP1159" s="33" t="s">
        <v>602</v>
      </c>
    </row>
    <row r="1160" spans="1:68">
      <c r="A1160" s="33" t="str">
        <f>Database_Productkaarten[[#This Row],[Product]]&amp;", "&amp;Database_Productkaarten[[#This Row],[Levensfase]]</f>
        <v>Trottoirband 180/200x250, Totaal</v>
      </c>
      <c r="B1160" s="33" t="s">
        <v>262</v>
      </c>
      <c r="C1160" t="s">
        <v>55</v>
      </c>
      <c r="D1160" s="33" t="s">
        <v>388</v>
      </c>
      <c r="E1160" s="33" t="s">
        <v>389</v>
      </c>
      <c r="F1160" s="33" t="s">
        <v>90</v>
      </c>
      <c r="G1160" s="33">
        <v>1</v>
      </c>
      <c r="H1160" s="33">
        <v>0.25</v>
      </c>
      <c r="I1160" s="33">
        <v>0.2</v>
      </c>
      <c r="L1160" s="33">
        <v>2.4</v>
      </c>
      <c r="M1160" s="271">
        <v>0.14050000000000001</v>
      </c>
      <c r="N1160" s="41"/>
      <c r="O1160" s="33">
        <v>25</v>
      </c>
      <c r="P1160" s="40"/>
      <c r="Q1160" s="40"/>
      <c r="R1160" s="40"/>
      <c r="S1160" s="40"/>
      <c r="T1160" s="40"/>
      <c r="U1160" s="40"/>
      <c r="V1160" s="40"/>
      <c r="W1160" s="40"/>
      <c r="X1160" s="40"/>
      <c r="Y1160" s="40"/>
      <c r="Z1160" s="40"/>
      <c r="AA1160" s="40"/>
      <c r="AB1160" s="40"/>
      <c r="AC1160" s="40"/>
      <c r="AD1160" s="40"/>
      <c r="AE1160" s="40"/>
      <c r="AF1160" s="40"/>
      <c r="AG1160" s="40"/>
      <c r="AH1160" s="40"/>
      <c r="AI1160" s="40"/>
      <c r="AJ1160" s="40"/>
      <c r="AK1160" s="40"/>
      <c r="AL1160" s="40"/>
      <c r="AM1160" s="40"/>
      <c r="AN1160" s="40"/>
      <c r="AO1160" s="40"/>
      <c r="AP1160" s="40"/>
      <c r="AQ1160" s="40"/>
      <c r="AR1160" s="40"/>
      <c r="AS1160" s="40"/>
      <c r="AT1160" s="40"/>
      <c r="AU1160" s="40"/>
      <c r="AV1160" s="310"/>
      <c r="AW1160" s="40"/>
      <c r="AX1160" s="40"/>
      <c r="AY1160" s="310"/>
      <c r="AZ1160" s="40"/>
      <c r="BA1160" s="40"/>
      <c r="BB1160" s="40"/>
      <c r="BC1160" s="40"/>
      <c r="BD1160" s="40"/>
      <c r="BE1160" s="40"/>
      <c r="BF1160" s="40"/>
      <c r="BG1160" s="40"/>
      <c r="BH1160" s="40"/>
      <c r="BI1160" s="40"/>
      <c r="BJ1160" s="40"/>
      <c r="BK1160" s="40"/>
      <c r="BL1160" s="306">
        <v>0.11150652431791222</v>
      </c>
      <c r="BM1160" s="275">
        <v>3</v>
      </c>
      <c r="BN1160" s="62">
        <v>0.03</v>
      </c>
      <c r="BO1160" s="33" t="s">
        <v>614</v>
      </c>
      <c r="BP1160" t="s">
        <v>621</v>
      </c>
    </row>
    <row r="1161" spans="1:68">
      <c r="A1161" s="33" t="str">
        <f>Database_Productkaarten[[#This Row],[Product]]&amp;", "&amp;Database_Productkaarten[[#This Row],[Levensfase]]</f>
        <v>Trottoirband 180/200x250, A1</v>
      </c>
      <c r="B1161" s="33" t="s">
        <v>262</v>
      </c>
      <c r="C1161" t="s">
        <v>55</v>
      </c>
      <c r="D1161" s="33" t="s">
        <v>388</v>
      </c>
      <c r="E1161" s="33" t="s">
        <v>389</v>
      </c>
      <c r="F1161" s="33" t="s">
        <v>74</v>
      </c>
      <c r="G1161" s="33">
        <v>1</v>
      </c>
      <c r="H1161" s="33">
        <v>0.25</v>
      </c>
      <c r="I1161" s="33">
        <v>0.2</v>
      </c>
      <c r="L1161" s="33">
        <v>2.4</v>
      </c>
      <c r="M1161" s="271">
        <v>0.14050000000000001</v>
      </c>
      <c r="N1161" s="40"/>
      <c r="O1161" s="33">
        <v>25</v>
      </c>
      <c r="P1161" s="40">
        <f>(P1131/3)*4</f>
        <v>1.4124701333333335E-5</v>
      </c>
      <c r="Q1161" s="40">
        <f t="shared" ref="Q1161:Z1161" si="391">(Q1131/3)*4</f>
        <v>3.3931838666666665E-2</v>
      </c>
      <c r="R1161" s="40">
        <f t="shared" si="391"/>
        <v>13.808616000000001</v>
      </c>
      <c r="S1161" s="40">
        <f t="shared" si="391"/>
        <v>2.8402733333333335E-7</v>
      </c>
      <c r="T1161" s="40">
        <f t="shared" si="391"/>
        <v>2.5844236E-3</v>
      </c>
      <c r="U1161" s="40">
        <f t="shared" si="391"/>
        <v>2.9144826666666665E-2</v>
      </c>
      <c r="V1161" s="40">
        <f t="shared" si="391"/>
        <v>5.7208117333333334E-3</v>
      </c>
      <c r="W1161" s="40">
        <f t="shared" si="391"/>
        <v>1.1451925866666668</v>
      </c>
      <c r="X1161" s="40">
        <f t="shared" si="391"/>
        <v>2.8497509333333334E-2</v>
      </c>
      <c r="Y1161" s="40">
        <f t="shared" si="391"/>
        <v>146.04229333333333</v>
      </c>
      <c r="Z1161" s="40">
        <f t="shared" si="391"/>
        <v>2.6116956E-2</v>
      </c>
      <c r="AA1161" s="40"/>
      <c r="AB1161" s="40"/>
      <c r="AC1161" s="40"/>
      <c r="AD1161" s="40"/>
      <c r="AE1161" s="40"/>
      <c r="AF1161" s="40"/>
      <c r="AG1161" s="40"/>
      <c r="AH1161" s="40"/>
      <c r="AI1161" s="40"/>
      <c r="AJ1161" s="40"/>
      <c r="AK1161" s="40"/>
      <c r="AL1161" s="40"/>
      <c r="AM1161" s="40"/>
      <c r="AN1161" s="40"/>
      <c r="AO1161" s="40"/>
      <c r="AP1161" s="40"/>
      <c r="AQ1161" s="40"/>
      <c r="AR1161" s="40"/>
      <c r="AS1161" s="40"/>
      <c r="AT1161" s="40"/>
      <c r="AU1161" s="40"/>
      <c r="AV1161" s="313">
        <f t="shared" ref="AV1161:AV1172" si="392">(((AV1131/130)*180)/4)*5</f>
        <v>15.719580346153847</v>
      </c>
      <c r="AW1161" s="317"/>
      <c r="AX1161" s="317"/>
      <c r="AY1161" s="313">
        <f t="shared" ref="AY1161:AY1172" si="393">(((AY1131/130)*180)/4)*5</f>
        <v>99.423591923076913</v>
      </c>
      <c r="AZ1161" s="317"/>
      <c r="BA1161" s="317"/>
      <c r="BB1161" s="317"/>
      <c r="BC1161" s="313">
        <f t="shared" ref="BC1161:BE1172" si="394">(((BC1131/130)*180)/4)*5</f>
        <v>1.4730403153846154</v>
      </c>
      <c r="BD1161" s="313">
        <f t="shared" si="394"/>
        <v>9.8523792692307683</v>
      </c>
      <c r="BE1161" s="313">
        <f t="shared" si="394"/>
        <v>0.86708944038461533</v>
      </c>
      <c r="BF1161" s="40"/>
      <c r="BG1161" s="40"/>
      <c r="BH1161" s="40"/>
      <c r="BI1161" s="40"/>
      <c r="BJ1161" s="40"/>
      <c r="BK1161" s="40"/>
      <c r="BL1161" s="306">
        <v>0.11150652431791222</v>
      </c>
      <c r="BM1161" s="275">
        <v>3</v>
      </c>
      <c r="BN1161" s="62">
        <v>0.03</v>
      </c>
      <c r="BO1161" s="33" t="s">
        <v>614</v>
      </c>
      <c r="BP1161" t="s">
        <v>621</v>
      </c>
    </row>
    <row r="1162" spans="1:68">
      <c r="A1162" s="33" t="str">
        <f>Database_Productkaarten[[#This Row],[Product]]&amp;", "&amp;Database_Productkaarten[[#This Row],[Levensfase]]</f>
        <v>Trottoirband 180/200x250, A2</v>
      </c>
      <c r="B1162" s="33" t="s">
        <v>262</v>
      </c>
      <c r="C1162" t="s">
        <v>55</v>
      </c>
      <c r="D1162" s="33" t="s">
        <v>388</v>
      </c>
      <c r="E1162" s="33" t="s">
        <v>389</v>
      </c>
      <c r="F1162" s="33" t="s">
        <v>75</v>
      </c>
      <c r="G1162" s="33">
        <v>1</v>
      </c>
      <c r="H1162" s="33">
        <v>0.25</v>
      </c>
      <c r="I1162" s="33">
        <v>0.2</v>
      </c>
      <c r="L1162" s="33">
        <v>2.4</v>
      </c>
      <c r="M1162" s="271">
        <v>0.14050000000000001</v>
      </c>
      <c r="N1162" s="40"/>
      <c r="O1162" s="33">
        <v>25</v>
      </c>
      <c r="P1162" s="40">
        <f t="shared" ref="P1162:Z1162" si="395">(P1132/3)*4</f>
        <v>2.3054747999999998E-6</v>
      </c>
      <c r="Q1162" s="40">
        <f t="shared" si="395"/>
        <v>5.9839386666666666E-3</v>
      </c>
      <c r="R1162" s="40">
        <f t="shared" si="395"/>
        <v>0.81069314666666659</v>
      </c>
      <c r="S1162" s="40">
        <f t="shared" si="395"/>
        <v>1.4939474666666668E-7</v>
      </c>
      <c r="T1162" s="40">
        <f t="shared" si="395"/>
        <v>4.7849690666666662E-4</v>
      </c>
      <c r="U1162" s="40">
        <f t="shared" si="395"/>
        <v>3.5147045333333332E-3</v>
      </c>
      <c r="V1162" s="40">
        <f t="shared" si="395"/>
        <v>7.0038514666666664E-4</v>
      </c>
      <c r="W1162" s="40">
        <f t="shared" si="395"/>
        <v>0.32434062666666669</v>
      </c>
      <c r="X1162" s="40">
        <f t="shared" si="395"/>
        <v>9.5124738666666677E-3</v>
      </c>
      <c r="Y1162" s="40">
        <f t="shared" si="395"/>
        <v>34.333337333333333</v>
      </c>
      <c r="Z1162" s="40">
        <f t="shared" si="395"/>
        <v>1.1491804E-3</v>
      </c>
      <c r="AA1162" s="40"/>
      <c r="AB1162" s="40"/>
      <c r="AC1162" s="40"/>
      <c r="AD1162" s="40"/>
      <c r="AE1162" s="40"/>
      <c r="AF1162" s="40"/>
      <c r="AG1162" s="40"/>
      <c r="AH1162" s="40"/>
      <c r="AI1162" s="40"/>
      <c r="AJ1162" s="40"/>
      <c r="AK1162" s="40"/>
      <c r="AL1162" s="40"/>
      <c r="AM1162" s="40"/>
      <c r="AN1162" s="40"/>
      <c r="AO1162" s="40"/>
      <c r="AP1162" s="40"/>
      <c r="AQ1162" s="40"/>
      <c r="AR1162" s="40"/>
      <c r="AS1162" s="40"/>
      <c r="AT1162" s="40"/>
      <c r="AU1162" s="40"/>
      <c r="AV1162" s="313">
        <f t="shared" si="392"/>
        <v>0.22160821153846155</v>
      </c>
      <c r="AW1162" s="317"/>
      <c r="AX1162" s="317"/>
      <c r="AY1162" s="313">
        <f t="shared" si="393"/>
        <v>17.3164275</v>
      </c>
      <c r="AZ1162" s="317"/>
      <c r="BA1162" s="317"/>
      <c r="BB1162" s="317"/>
      <c r="BC1162" s="313">
        <f t="shared" si="394"/>
        <v>3.1143162115384619E-3</v>
      </c>
      <c r="BD1162" s="313">
        <f t="shared" si="394"/>
        <v>1.195919048076923E-4</v>
      </c>
      <c r="BE1162" s="313">
        <f t="shared" si="394"/>
        <v>0.99536133461538445</v>
      </c>
      <c r="BF1162" s="40"/>
      <c r="BG1162" s="40"/>
      <c r="BH1162" s="40"/>
      <c r="BI1162" s="40"/>
      <c r="BJ1162" s="40"/>
      <c r="BK1162" s="40"/>
      <c r="BL1162" s="306">
        <v>0.11150652431791222</v>
      </c>
      <c r="BM1162" s="275">
        <v>3</v>
      </c>
      <c r="BN1162" s="62">
        <v>0.03</v>
      </c>
      <c r="BO1162" s="33" t="s">
        <v>614</v>
      </c>
      <c r="BP1162" t="s">
        <v>621</v>
      </c>
    </row>
    <row r="1163" spans="1:68">
      <c r="A1163" s="33" t="str">
        <f>Database_Productkaarten[[#This Row],[Product]]&amp;", "&amp;Database_Productkaarten[[#This Row],[Levensfase]]</f>
        <v>Trottoirband 180/200x250, A3</v>
      </c>
      <c r="B1163" s="33" t="s">
        <v>262</v>
      </c>
      <c r="C1163" t="s">
        <v>55</v>
      </c>
      <c r="D1163" s="33" t="s">
        <v>388</v>
      </c>
      <c r="E1163" s="33" t="s">
        <v>389</v>
      </c>
      <c r="F1163" s="33" t="s">
        <v>76</v>
      </c>
      <c r="G1163" s="33">
        <v>1</v>
      </c>
      <c r="H1163" s="33">
        <v>0.25</v>
      </c>
      <c r="I1163" s="33">
        <v>0.2</v>
      </c>
      <c r="L1163" s="33">
        <v>2.4</v>
      </c>
      <c r="M1163" s="271">
        <v>0.14050000000000001</v>
      </c>
      <c r="N1163" s="41"/>
      <c r="O1163" s="33">
        <v>25</v>
      </c>
      <c r="P1163" s="40">
        <f t="shared" ref="P1163:Z1163" si="396">(P1133/3)*4</f>
        <v>2.0113545333333334E-7</v>
      </c>
      <c r="Q1163" s="40">
        <f t="shared" si="396"/>
        <v>6.0456849333333333E-3</v>
      </c>
      <c r="R1163" s="40">
        <f t="shared" si="396"/>
        <v>0.73971264000000003</v>
      </c>
      <c r="S1163" s="40">
        <f t="shared" si="396"/>
        <v>5.1050967999999995E-8</v>
      </c>
      <c r="T1163" s="40">
        <f t="shared" si="396"/>
        <v>1.2243708266666665E-4</v>
      </c>
      <c r="U1163" s="40">
        <f t="shared" si="396"/>
        <v>1.3469948000000001E-3</v>
      </c>
      <c r="V1163" s="40">
        <f t="shared" si="396"/>
        <v>3.0159273333333334E-4</v>
      </c>
      <c r="W1163" s="40">
        <f t="shared" si="396"/>
        <v>6.1739960000000003E-2</v>
      </c>
      <c r="X1163" s="40">
        <f t="shared" si="396"/>
        <v>1.4128010666666667E-3</v>
      </c>
      <c r="Y1163" s="40">
        <f t="shared" si="396"/>
        <v>6.9336670666666675</v>
      </c>
      <c r="Z1163" s="40">
        <f t="shared" si="396"/>
        <v>1.0401062533333333E-3</v>
      </c>
      <c r="AA1163" s="40"/>
      <c r="AB1163" s="40"/>
      <c r="AC1163" s="40"/>
      <c r="AD1163" s="40"/>
      <c r="AE1163" s="40"/>
      <c r="AF1163" s="40"/>
      <c r="AG1163" s="40"/>
      <c r="AH1163" s="40"/>
      <c r="AI1163" s="40"/>
      <c r="AJ1163" s="40"/>
      <c r="AK1163" s="40"/>
      <c r="AL1163" s="40"/>
      <c r="AM1163" s="40"/>
      <c r="AN1163" s="40"/>
      <c r="AO1163" s="40"/>
      <c r="AP1163" s="40"/>
      <c r="AQ1163" s="40"/>
      <c r="AR1163" s="40"/>
      <c r="AS1163" s="40"/>
      <c r="AT1163" s="40"/>
      <c r="AU1163" s="40"/>
      <c r="AV1163" s="313">
        <f t="shared" si="392"/>
        <v>1.2158999653846154</v>
      </c>
      <c r="AW1163" s="317"/>
      <c r="AX1163" s="317"/>
      <c r="AY1163" s="313">
        <f t="shared" si="393"/>
        <v>15.745104692307692</v>
      </c>
      <c r="AZ1163" s="317"/>
      <c r="BA1163" s="317"/>
      <c r="BB1163" s="317"/>
      <c r="BC1163" s="313">
        <f t="shared" si="394"/>
        <v>3.0889299807692304E-3</v>
      </c>
      <c r="BD1163" s="313">
        <f t="shared" si="394"/>
        <v>6.9105546346153848E-5</v>
      </c>
      <c r="BE1163" s="313">
        <f t="shared" si="394"/>
        <v>3.0333677884615384E-2</v>
      </c>
      <c r="BF1163" s="40"/>
      <c r="BG1163" s="40"/>
      <c r="BH1163" s="40"/>
      <c r="BI1163" s="40"/>
      <c r="BJ1163" s="40"/>
      <c r="BK1163" s="40"/>
      <c r="BL1163" s="306">
        <v>0.11150652431791222</v>
      </c>
      <c r="BM1163" s="275">
        <v>3</v>
      </c>
      <c r="BN1163" s="62">
        <v>0.03</v>
      </c>
      <c r="BO1163" s="33" t="s">
        <v>614</v>
      </c>
      <c r="BP1163" t="s">
        <v>621</v>
      </c>
    </row>
    <row r="1164" spans="1:68">
      <c r="A1164" s="33" t="str">
        <f>Database_Productkaarten[[#This Row],[Product]]&amp;", "&amp;Database_Productkaarten[[#This Row],[Levensfase]]</f>
        <v>Trottoirband 180/200x250, A1-A3</v>
      </c>
      <c r="B1164" s="33" t="s">
        <v>262</v>
      </c>
      <c r="C1164" s="33" t="str">
        <f>C1163</f>
        <v>Elementenverhardingen</v>
      </c>
      <c r="D1164" s="33" t="str">
        <f>D1163</f>
        <v>Trottoirband</v>
      </c>
      <c r="E1164" s="33" t="str">
        <f>E1163</f>
        <v>m1</v>
      </c>
      <c r="F1164" s="33" t="s">
        <v>77</v>
      </c>
      <c r="G1164" s="33">
        <f>G1163</f>
        <v>1</v>
      </c>
      <c r="H1164" s="33">
        <v>0.25</v>
      </c>
      <c r="I1164" s="33">
        <v>0.2</v>
      </c>
      <c r="L1164" s="33">
        <v>2.4</v>
      </c>
      <c r="M1164" s="271">
        <v>0.14050000000000001</v>
      </c>
      <c r="N1164" s="40">
        <v>0.59260999999999997</v>
      </c>
      <c r="O1164" s="33">
        <v>25</v>
      </c>
      <c r="P1164" s="40">
        <f t="shared" ref="P1164:Z1164" si="397">(P1134/3)*4</f>
        <v>1.6631311586666666E-5</v>
      </c>
      <c r="Q1164" s="40">
        <f t="shared" si="397"/>
        <v>4.5961462266666669E-2</v>
      </c>
      <c r="R1164" s="40">
        <f t="shared" si="397"/>
        <v>15.359021786666668</v>
      </c>
      <c r="S1164" s="40">
        <f t="shared" si="397"/>
        <v>4.8447304799999994E-7</v>
      </c>
      <c r="T1164" s="40">
        <f t="shared" si="397"/>
        <v>3.1853575893333332E-3</v>
      </c>
      <c r="U1164" s="40">
        <f t="shared" si="397"/>
        <v>3.4006526000000002E-2</v>
      </c>
      <c r="V1164" s="40">
        <f t="shared" si="397"/>
        <v>6.7227896133333328E-3</v>
      </c>
      <c r="W1164" s="40">
        <f t="shared" si="397"/>
        <v>1.5312731733333333</v>
      </c>
      <c r="X1164" s="40">
        <f t="shared" si="397"/>
        <v>3.942278426666667E-2</v>
      </c>
      <c r="Y1164" s="40">
        <f t="shared" si="397"/>
        <v>187.30929773333332</v>
      </c>
      <c r="Z1164" s="40">
        <f t="shared" si="397"/>
        <v>2.8306242653333338E-2</v>
      </c>
      <c r="AA1164" s="40"/>
      <c r="AB1164" s="40"/>
      <c r="AC1164" s="40"/>
      <c r="AD1164" s="40"/>
      <c r="AE1164" s="40"/>
      <c r="AF1164" s="40"/>
      <c r="AG1164" s="40"/>
      <c r="AH1164" s="40"/>
      <c r="AI1164" s="40"/>
      <c r="AJ1164" s="40"/>
      <c r="AK1164" s="40"/>
      <c r="AL1164" s="40"/>
      <c r="AM1164" s="40"/>
      <c r="AN1164" s="40"/>
      <c r="AO1164" s="40"/>
      <c r="AP1164" s="40"/>
      <c r="AQ1164" s="40"/>
      <c r="AR1164" s="40"/>
      <c r="AS1164" s="40"/>
      <c r="AT1164" s="40"/>
      <c r="AU1164" s="40"/>
      <c r="AV1164" s="313">
        <f t="shared" si="392"/>
        <v>17.157088523076926</v>
      </c>
      <c r="AW1164" s="317"/>
      <c r="AX1164" s="317"/>
      <c r="AY1164" s="313">
        <f t="shared" si="393"/>
        <v>132.48512411538459</v>
      </c>
      <c r="AZ1164" s="317"/>
      <c r="BA1164" s="317"/>
      <c r="BB1164" s="317"/>
      <c r="BC1164" s="313">
        <f t="shared" si="394"/>
        <v>1.479243561576923</v>
      </c>
      <c r="BD1164" s="313">
        <f t="shared" si="394"/>
        <v>9.8525679666819261</v>
      </c>
      <c r="BE1164" s="313">
        <f t="shared" si="394"/>
        <v>1.8927844528846154</v>
      </c>
      <c r="BF1164" s="40"/>
      <c r="BG1164" s="40"/>
      <c r="BH1164" s="40"/>
      <c r="BI1164" s="40"/>
      <c r="BJ1164" s="40"/>
      <c r="BK1164" s="40"/>
      <c r="BL1164" s="306">
        <v>0.11150652431791222</v>
      </c>
      <c r="BM1164" s="275">
        <v>3</v>
      </c>
      <c r="BN1164" s="62">
        <v>0.03</v>
      </c>
      <c r="BO1164" s="33" t="s">
        <v>614</v>
      </c>
      <c r="BP1164" t="s">
        <v>621</v>
      </c>
    </row>
    <row r="1165" spans="1:68">
      <c r="A1165" s="33" t="str">
        <f>Database_Productkaarten[[#This Row],[Product]]&amp;", "&amp;Database_Productkaarten[[#This Row],[Levensfase]]</f>
        <v>Trottoirband 180/200x250, A4</v>
      </c>
      <c r="B1165" s="33" t="s">
        <v>262</v>
      </c>
      <c r="C1165" t="s">
        <v>55</v>
      </c>
      <c r="D1165" s="33" t="s">
        <v>388</v>
      </c>
      <c r="E1165" s="33" t="s">
        <v>389</v>
      </c>
      <c r="F1165" s="33" t="s">
        <v>78</v>
      </c>
      <c r="G1165" s="33">
        <v>1</v>
      </c>
      <c r="H1165" s="33">
        <v>0.25</v>
      </c>
      <c r="I1165" s="33">
        <v>0.2</v>
      </c>
      <c r="L1165" s="33">
        <v>2.4</v>
      </c>
      <c r="M1165" s="271">
        <v>0.14050000000000001</v>
      </c>
      <c r="N1165" s="40">
        <v>4.2110000000000002E-2</v>
      </c>
      <c r="O1165" s="33">
        <v>25</v>
      </c>
      <c r="P1165" s="40">
        <f t="shared" ref="P1165:Z1165" si="398">(P1135/3)*4</f>
        <v>6.3966065333333326E-6</v>
      </c>
      <c r="Q1165" s="40">
        <f t="shared" si="398"/>
        <v>1.6602610666666667E-2</v>
      </c>
      <c r="R1165" s="40">
        <f t="shared" si="398"/>
        <v>2.2492915999999998</v>
      </c>
      <c r="S1165" s="40">
        <f t="shared" si="398"/>
        <v>4.1450005333333335E-7</v>
      </c>
      <c r="T1165" s="40">
        <f t="shared" si="398"/>
        <v>1.3276035066666669E-3</v>
      </c>
      <c r="U1165" s="40">
        <f t="shared" si="398"/>
        <v>9.7516493333333325E-3</v>
      </c>
      <c r="V1165" s="40">
        <f t="shared" si="398"/>
        <v>1.9432388E-3</v>
      </c>
      <c r="W1165" s="40">
        <f t="shared" si="398"/>
        <v>0.89989242666666669</v>
      </c>
      <c r="X1165" s="40">
        <f t="shared" si="398"/>
        <v>2.6392633333333332E-2</v>
      </c>
      <c r="Y1165" s="40">
        <f t="shared" si="398"/>
        <v>95.258838666666676</v>
      </c>
      <c r="Z1165" s="40">
        <f t="shared" si="398"/>
        <v>3.1884342666666666E-3</v>
      </c>
      <c r="AA1165" s="40"/>
      <c r="AB1165" s="40"/>
      <c r="AC1165" s="40"/>
      <c r="AD1165" s="40"/>
      <c r="AE1165" s="40"/>
      <c r="AF1165" s="40"/>
      <c r="AG1165" s="40"/>
      <c r="AH1165" s="40"/>
      <c r="AI1165" s="40"/>
      <c r="AJ1165" s="40"/>
      <c r="AK1165" s="40"/>
      <c r="AL1165" s="40"/>
      <c r="AM1165" s="40"/>
      <c r="AN1165" s="40"/>
      <c r="AO1165" s="40"/>
      <c r="AP1165" s="40"/>
      <c r="AQ1165" s="40"/>
      <c r="AR1165" s="40"/>
      <c r="AS1165" s="40"/>
      <c r="AT1165" s="40"/>
      <c r="AU1165" s="40"/>
      <c r="AV1165" s="313">
        <f t="shared" si="392"/>
        <v>0.61485841730769231</v>
      </c>
      <c r="AW1165" s="317"/>
      <c r="AX1165" s="317"/>
      <c r="AY1165" s="313">
        <f t="shared" si="393"/>
        <v>48.044928461538454</v>
      </c>
      <c r="AZ1165" s="317"/>
      <c r="BA1165" s="317"/>
      <c r="BB1165" s="317"/>
      <c r="BC1165" s="313">
        <f t="shared" si="394"/>
        <v>8.6407605000000005E-3</v>
      </c>
      <c r="BD1165" s="313">
        <f t="shared" si="394"/>
        <v>3.3181120384615382E-4</v>
      </c>
      <c r="BE1165" s="313">
        <f t="shared" si="394"/>
        <v>2.7616588269230768</v>
      </c>
      <c r="BF1165" s="40"/>
      <c r="BG1165" s="40"/>
      <c r="BH1165" s="40"/>
      <c r="BI1165" s="40"/>
      <c r="BJ1165" s="40"/>
      <c r="BK1165" s="40"/>
      <c r="BL1165" s="306">
        <v>0.11150652431791222</v>
      </c>
      <c r="BM1165" s="275">
        <v>3</v>
      </c>
      <c r="BN1165" s="62">
        <v>0.03</v>
      </c>
      <c r="BO1165" s="33" t="s">
        <v>614</v>
      </c>
      <c r="BP1165" t="s">
        <v>621</v>
      </c>
    </row>
    <row r="1166" spans="1:68">
      <c r="A1166" s="33" t="str">
        <f>Database_Productkaarten[[#This Row],[Product]]&amp;", "&amp;Database_Productkaarten[[#This Row],[Levensfase]]</f>
        <v>Trottoirband 180/200x250, A5</v>
      </c>
      <c r="B1166" s="33" t="s">
        <v>262</v>
      </c>
      <c r="C1166" t="s">
        <v>55</v>
      </c>
      <c r="D1166" s="33" t="s">
        <v>388</v>
      </c>
      <c r="E1166" s="33" t="s">
        <v>389</v>
      </c>
      <c r="F1166" s="33" t="s">
        <v>79</v>
      </c>
      <c r="G1166" s="33">
        <v>1</v>
      </c>
      <c r="H1166" s="33">
        <v>0.25</v>
      </c>
      <c r="I1166" s="33">
        <v>0.2</v>
      </c>
      <c r="L1166" s="33">
        <v>2.4</v>
      </c>
      <c r="M1166" s="271">
        <v>0.14050000000000001</v>
      </c>
      <c r="N1166" s="40">
        <v>0.53442999999999996</v>
      </c>
      <c r="O1166" s="33">
        <v>25</v>
      </c>
      <c r="P1166" s="40">
        <f t="shared" ref="P1166:Z1166" si="399">(P1136/3)*4</f>
        <v>9.5332912000000001E-7</v>
      </c>
      <c r="Q1166" s="40">
        <f t="shared" si="399"/>
        <v>7.4712112000000002E-3</v>
      </c>
      <c r="R1166" s="40">
        <f t="shared" si="399"/>
        <v>1.3362646666666667</v>
      </c>
      <c r="S1166" s="40">
        <f t="shared" si="399"/>
        <v>1.7357893333333334E-7</v>
      </c>
      <c r="T1166" s="40">
        <f t="shared" si="399"/>
        <v>9.4215853333333335E-4</v>
      </c>
      <c r="U1166" s="40">
        <f t="shared" si="399"/>
        <v>7.362876E-3</v>
      </c>
      <c r="V1166" s="40">
        <f t="shared" si="399"/>
        <v>1.6169649333333334E-3</v>
      </c>
      <c r="W1166" s="40">
        <f t="shared" si="399"/>
        <v>0.35883849333333334</v>
      </c>
      <c r="X1166" s="40">
        <f t="shared" si="399"/>
        <v>6.1132087999999996E-3</v>
      </c>
      <c r="Y1166" s="40">
        <f t="shared" si="399"/>
        <v>22.468252000000003</v>
      </c>
      <c r="Z1166" s="40">
        <f t="shared" si="399"/>
        <v>1.4326484E-3</v>
      </c>
      <c r="AA1166" s="40"/>
      <c r="AB1166" s="40"/>
      <c r="AC1166" s="40"/>
      <c r="AD1166" s="40"/>
      <c r="AE1166" s="40"/>
      <c r="AF1166" s="40"/>
      <c r="AG1166" s="40"/>
      <c r="AH1166" s="40"/>
      <c r="AI1166" s="40"/>
      <c r="AJ1166" s="40"/>
      <c r="AK1166" s="40"/>
      <c r="AL1166" s="40"/>
      <c r="AM1166" s="40"/>
      <c r="AN1166" s="40"/>
      <c r="AO1166" s="40"/>
      <c r="AP1166" s="40"/>
      <c r="AQ1166" s="40"/>
      <c r="AR1166" s="40"/>
      <c r="AS1166" s="40"/>
      <c r="AT1166" s="40"/>
      <c r="AU1166" s="40"/>
      <c r="AV1166" s="313">
        <f t="shared" si="392"/>
        <v>0.61645564038461542</v>
      </c>
      <c r="AW1166" s="317"/>
      <c r="AX1166" s="317"/>
      <c r="AY1166" s="313">
        <f t="shared" si="393"/>
        <v>21.721974230769231</v>
      </c>
      <c r="AZ1166" s="317"/>
      <c r="BA1166" s="317"/>
      <c r="BB1166" s="317"/>
      <c r="BC1166" s="313">
        <f t="shared" si="394"/>
        <v>4.0438211538461541E-2</v>
      </c>
      <c r="BD1166" s="313">
        <f t="shared" si="394"/>
        <v>0.29570012307692306</v>
      </c>
      <c r="BE1166" s="313">
        <f t="shared" si="394"/>
        <v>0.23922415384615384</v>
      </c>
      <c r="BF1166" s="40"/>
      <c r="BG1166" s="40"/>
      <c r="BH1166" s="40"/>
      <c r="BI1166" s="40"/>
      <c r="BJ1166" s="40"/>
      <c r="BK1166" s="40"/>
      <c r="BL1166" s="306">
        <v>0.11150652431791222</v>
      </c>
      <c r="BM1166" s="275">
        <v>3</v>
      </c>
      <c r="BN1166" s="62">
        <v>0.03</v>
      </c>
      <c r="BO1166" s="33" t="s">
        <v>614</v>
      </c>
      <c r="BP1166" t="s">
        <v>621</v>
      </c>
    </row>
    <row r="1167" spans="1:68">
      <c r="A1167" s="33" t="str">
        <f>Database_Productkaarten[[#This Row],[Product]]&amp;", "&amp;Database_Productkaarten[[#This Row],[Levensfase]]</f>
        <v>Trottoirband 180/200x250, B1</v>
      </c>
      <c r="B1167" s="33" t="s">
        <v>262</v>
      </c>
      <c r="C1167" t="s">
        <v>55</v>
      </c>
      <c r="D1167" s="33" t="s">
        <v>388</v>
      </c>
      <c r="E1167" s="33" t="s">
        <v>389</v>
      </c>
      <c r="F1167" s="33" t="s">
        <v>80</v>
      </c>
      <c r="G1167" s="33">
        <v>1</v>
      </c>
      <c r="H1167" s="33">
        <v>0.25</v>
      </c>
      <c r="I1167" s="33">
        <v>0.2</v>
      </c>
      <c r="L1167" s="33">
        <v>2.4</v>
      </c>
      <c r="M1167" s="271">
        <v>0.14050000000000001</v>
      </c>
      <c r="N1167" s="40"/>
      <c r="O1167" s="33">
        <v>25</v>
      </c>
      <c r="P1167" s="40">
        <f t="shared" ref="P1167:Z1167" si="400">(P1137/3)*4</f>
        <v>0</v>
      </c>
      <c r="Q1167" s="40">
        <f t="shared" si="400"/>
        <v>0</v>
      </c>
      <c r="R1167" s="40">
        <f t="shared" si="400"/>
        <v>0</v>
      </c>
      <c r="S1167" s="40">
        <f t="shared" si="400"/>
        <v>0</v>
      </c>
      <c r="T1167" s="40">
        <f t="shared" si="400"/>
        <v>0</v>
      </c>
      <c r="U1167" s="40">
        <f t="shared" si="400"/>
        <v>0</v>
      </c>
      <c r="V1167" s="40">
        <f t="shared" si="400"/>
        <v>0</v>
      </c>
      <c r="W1167" s="40">
        <f t="shared" si="400"/>
        <v>0</v>
      </c>
      <c r="X1167" s="40">
        <f t="shared" si="400"/>
        <v>0</v>
      </c>
      <c r="Y1167" s="40">
        <f t="shared" si="400"/>
        <v>0</v>
      </c>
      <c r="Z1167" s="40">
        <f t="shared" si="400"/>
        <v>0</v>
      </c>
      <c r="AA1167" s="40"/>
      <c r="AB1167" s="40"/>
      <c r="AC1167" s="40"/>
      <c r="AD1167" s="40"/>
      <c r="AE1167" s="40"/>
      <c r="AF1167" s="40"/>
      <c r="AG1167" s="40"/>
      <c r="AH1167" s="40"/>
      <c r="AI1167" s="40"/>
      <c r="AJ1167" s="40"/>
      <c r="AK1167" s="40"/>
      <c r="AL1167" s="40"/>
      <c r="AM1167" s="40"/>
      <c r="AN1167" s="40"/>
      <c r="AO1167" s="40"/>
      <c r="AP1167" s="40"/>
      <c r="AQ1167" s="40"/>
      <c r="AR1167" s="40"/>
      <c r="AS1167" s="40"/>
      <c r="AT1167" s="40"/>
      <c r="AU1167" s="40"/>
      <c r="AV1167" s="313">
        <f t="shared" si="392"/>
        <v>0</v>
      </c>
      <c r="AW1167" s="317"/>
      <c r="AX1167" s="317"/>
      <c r="AY1167" s="313">
        <f t="shared" si="393"/>
        <v>0</v>
      </c>
      <c r="AZ1167" s="317"/>
      <c r="BA1167" s="317"/>
      <c r="BB1167" s="317"/>
      <c r="BC1167" s="313">
        <f t="shared" si="394"/>
        <v>0</v>
      </c>
      <c r="BD1167" s="313">
        <f t="shared" si="394"/>
        <v>0</v>
      </c>
      <c r="BE1167" s="313">
        <f t="shared" si="394"/>
        <v>0</v>
      </c>
      <c r="BF1167" s="40"/>
      <c r="BG1167" s="40"/>
      <c r="BH1167" s="40"/>
      <c r="BI1167" s="40"/>
      <c r="BJ1167" s="40"/>
      <c r="BK1167" s="40"/>
      <c r="BL1167" s="306">
        <v>0.11150652431791222</v>
      </c>
      <c r="BM1167" s="275">
        <v>3</v>
      </c>
      <c r="BN1167" s="62">
        <v>0.03</v>
      </c>
      <c r="BO1167" s="33" t="s">
        <v>614</v>
      </c>
      <c r="BP1167" t="s">
        <v>621</v>
      </c>
    </row>
    <row r="1168" spans="1:68">
      <c r="A1168" s="33" t="str">
        <f>Database_Productkaarten[[#This Row],[Product]]&amp;", "&amp;Database_Productkaarten[[#This Row],[Levensfase]]</f>
        <v>Trottoirband 180/200x250, C1</v>
      </c>
      <c r="B1168" s="33" t="s">
        <v>262</v>
      </c>
      <c r="C1168" t="s">
        <v>55</v>
      </c>
      <c r="D1168" s="33" t="s">
        <v>388</v>
      </c>
      <c r="E1168" s="33" t="s">
        <v>389</v>
      </c>
      <c r="F1168" s="33" t="s">
        <v>83</v>
      </c>
      <c r="G1168" s="33">
        <v>1</v>
      </c>
      <c r="H1168" s="33">
        <v>0.25</v>
      </c>
      <c r="I1168" s="33">
        <v>0.2</v>
      </c>
      <c r="L1168" s="33">
        <v>2.4</v>
      </c>
      <c r="M1168" s="271">
        <v>0.14050000000000001</v>
      </c>
      <c r="N1168" s="40">
        <v>0.26101000000000002</v>
      </c>
      <c r="O1168" s="33">
        <v>25</v>
      </c>
      <c r="P1168" s="40">
        <f t="shared" ref="P1168:Z1168" si="401">(P1138/3)*4</f>
        <v>2.6565903999999997E-7</v>
      </c>
      <c r="Q1168" s="40">
        <f t="shared" si="401"/>
        <v>5.4734473333333334E-3</v>
      </c>
      <c r="R1168" s="40">
        <f t="shared" si="401"/>
        <v>0.79329706666666666</v>
      </c>
      <c r="S1168" s="40">
        <f t="shared" si="401"/>
        <v>1.4289025333333332E-7</v>
      </c>
      <c r="T1168" s="40">
        <f t="shared" si="401"/>
        <v>7.9962342666666669E-4</v>
      </c>
      <c r="U1168" s="40">
        <f t="shared" si="401"/>
        <v>6.0024779999999995E-3</v>
      </c>
      <c r="V1168" s="40">
        <f t="shared" si="401"/>
        <v>1.3440817333333335E-3</v>
      </c>
      <c r="W1168" s="40">
        <f t="shared" si="401"/>
        <v>0.28082190666666668</v>
      </c>
      <c r="X1168" s="40">
        <f t="shared" si="401"/>
        <v>3.9272659999999996E-3</v>
      </c>
      <c r="Y1168" s="40">
        <f t="shared" si="401"/>
        <v>13.312770533333333</v>
      </c>
      <c r="Z1168" s="40">
        <f t="shared" si="401"/>
        <v>4.6924554666666666E-4</v>
      </c>
      <c r="AA1168" s="40"/>
      <c r="AB1168" s="40"/>
      <c r="AC1168" s="40"/>
      <c r="AD1168" s="40"/>
      <c r="AE1168" s="40"/>
      <c r="AF1168" s="40"/>
      <c r="AG1168" s="40"/>
      <c r="AH1168" s="40"/>
      <c r="AI1168" s="40"/>
      <c r="AJ1168" s="40"/>
      <c r="AK1168" s="40"/>
      <c r="AL1168" s="40"/>
      <c r="AM1168" s="40"/>
      <c r="AN1168" s="40"/>
      <c r="AO1168" s="40"/>
      <c r="AP1168" s="40"/>
      <c r="AQ1168" s="40"/>
      <c r="AR1168" s="40"/>
      <c r="AS1168" s="40"/>
      <c r="AT1168" s="40"/>
      <c r="AU1168" s="40"/>
      <c r="AV1168" s="313">
        <f t="shared" si="392"/>
        <v>8.5572991730769238E-2</v>
      </c>
      <c r="AW1168" s="317"/>
      <c r="AX1168" s="317"/>
      <c r="AY1168" s="313">
        <f t="shared" si="393"/>
        <v>15.937811826923076</v>
      </c>
      <c r="AZ1168" s="317"/>
      <c r="BA1168" s="317"/>
      <c r="BB1168" s="317"/>
      <c r="BC1168" s="313">
        <f t="shared" si="394"/>
        <v>1.3139936307692307E-3</v>
      </c>
      <c r="BD1168" s="313">
        <f t="shared" si="394"/>
        <v>1.1033925923076922E-4</v>
      </c>
      <c r="BE1168" s="313">
        <f t="shared" si="394"/>
        <v>1.6262717538461539E-2</v>
      </c>
      <c r="BF1168" s="40"/>
      <c r="BG1168" s="40"/>
      <c r="BH1168" s="40"/>
      <c r="BI1168" s="40"/>
      <c r="BJ1168" s="40"/>
      <c r="BK1168" s="40"/>
      <c r="BL1168" s="306">
        <v>0.11150652431791222</v>
      </c>
      <c r="BM1168" s="275">
        <v>3</v>
      </c>
      <c r="BN1168" s="62">
        <v>0.03</v>
      </c>
      <c r="BO1168" s="33" t="s">
        <v>614</v>
      </c>
      <c r="BP1168" t="s">
        <v>621</v>
      </c>
    </row>
    <row r="1169" spans="1:68">
      <c r="A1169" s="33" t="str">
        <f>Database_Productkaarten[[#This Row],[Product]]&amp;", "&amp;Database_Productkaarten[[#This Row],[Levensfase]]</f>
        <v>Trottoirband 180/200x250, C2</v>
      </c>
      <c r="B1169" s="33" t="s">
        <v>262</v>
      </c>
      <c r="C1169" t="s">
        <v>55</v>
      </c>
      <c r="D1169" s="33" t="s">
        <v>388</v>
      </c>
      <c r="E1169" s="33" t="s">
        <v>389</v>
      </c>
      <c r="F1169" s="33" t="s">
        <v>84</v>
      </c>
      <c r="G1169" s="33">
        <v>1</v>
      </c>
      <c r="H1169" s="33">
        <v>0.25</v>
      </c>
      <c r="I1169" s="33">
        <v>0.2</v>
      </c>
      <c r="L1169" s="33">
        <v>2.4</v>
      </c>
      <c r="M1169" s="271">
        <v>0.14050000000000001</v>
      </c>
      <c r="N1169" s="40">
        <v>4.2529999999999998E-2</v>
      </c>
      <c r="O1169" s="33">
        <v>25</v>
      </c>
      <c r="P1169" s="40">
        <f t="shared" ref="P1169:Z1169" si="402">(P1139/3)*4</f>
        <v>2.1535241333333333E-6</v>
      </c>
      <c r="Q1169" s="40">
        <f t="shared" si="402"/>
        <v>5.5895457333333329E-3</v>
      </c>
      <c r="R1169" s="40">
        <f t="shared" si="402"/>
        <v>0.75726149333333337</v>
      </c>
      <c r="S1169" s="40">
        <f t="shared" si="402"/>
        <v>1.3954834666666666E-7</v>
      </c>
      <c r="T1169" s="40">
        <f t="shared" si="402"/>
        <v>4.4695985333333333E-4</v>
      </c>
      <c r="U1169" s="40">
        <f t="shared" si="402"/>
        <v>3.2830553333333332E-3</v>
      </c>
      <c r="V1169" s="40">
        <f t="shared" si="402"/>
        <v>6.542237333333334E-4</v>
      </c>
      <c r="W1169" s="40">
        <f t="shared" si="402"/>
        <v>0.30296378666666668</v>
      </c>
      <c r="X1169" s="40">
        <f t="shared" si="402"/>
        <v>8.8855199999999992E-3</v>
      </c>
      <c r="Y1169" s="40">
        <f t="shared" si="402"/>
        <v>32.070475999999999</v>
      </c>
      <c r="Z1169" s="40">
        <f t="shared" si="402"/>
        <v>1.0734395333333333E-3</v>
      </c>
      <c r="AA1169" s="40"/>
      <c r="AB1169" s="40"/>
      <c r="AC1169" s="40"/>
      <c r="AD1169" s="40"/>
      <c r="AE1169" s="40"/>
      <c r="AF1169" s="40"/>
      <c r="AG1169" s="40"/>
      <c r="AH1169" s="40"/>
      <c r="AI1169" s="40"/>
      <c r="AJ1169" s="40"/>
      <c r="AK1169" s="40"/>
      <c r="AL1169" s="40"/>
      <c r="AM1169" s="40"/>
      <c r="AN1169" s="40"/>
      <c r="AO1169" s="40"/>
      <c r="AP1169" s="40"/>
      <c r="AQ1169" s="40"/>
      <c r="AR1169" s="40"/>
      <c r="AS1169" s="40"/>
      <c r="AT1169" s="40"/>
      <c r="AU1169" s="40"/>
      <c r="AV1169" s="313">
        <f t="shared" si="392"/>
        <v>0.20700233653846153</v>
      </c>
      <c r="AW1169" s="317"/>
      <c r="AX1169" s="317"/>
      <c r="AY1169" s="313">
        <f t="shared" si="393"/>
        <v>16.175125903846151</v>
      </c>
      <c r="AZ1169" s="317"/>
      <c r="BA1169" s="317"/>
      <c r="BB1169" s="317"/>
      <c r="BC1169" s="313">
        <f t="shared" si="394"/>
        <v>2.9090559807692313E-3</v>
      </c>
      <c r="BD1169" s="313">
        <f t="shared" si="394"/>
        <v>1.1170977057692308E-4</v>
      </c>
      <c r="BE1169" s="313">
        <f t="shared" si="394"/>
        <v>0.92975846538461526</v>
      </c>
      <c r="BF1169" s="40"/>
      <c r="BG1169" s="40"/>
      <c r="BH1169" s="40"/>
      <c r="BI1169" s="40"/>
      <c r="BJ1169" s="40"/>
      <c r="BK1169" s="40"/>
      <c r="BL1169" s="306">
        <v>0.11150652431791222</v>
      </c>
      <c r="BM1169" s="275">
        <v>3</v>
      </c>
      <c r="BN1169" s="62">
        <v>0.03</v>
      </c>
      <c r="BO1169" s="33" t="s">
        <v>614</v>
      </c>
      <c r="BP1169" t="s">
        <v>621</v>
      </c>
    </row>
    <row r="1170" spans="1:68">
      <c r="A1170" s="33" t="str">
        <f>Database_Productkaarten[[#This Row],[Product]]&amp;", "&amp;Database_Productkaarten[[#This Row],[Levensfase]]</f>
        <v>Trottoirband 180/200x250, C3</v>
      </c>
      <c r="B1170" s="33" t="s">
        <v>262</v>
      </c>
      <c r="C1170" t="s">
        <v>55</v>
      </c>
      <c r="D1170" s="33" t="s">
        <v>388</v>
      </c>
      <c r="E1170" s="33" t="s">
        <v>389</v>
      </c>
      <c r="F1170" s="33" t="s">
        <v>85</v>
      </c>
      <c r="G1170" s="33">
        <v>1</v>
      </c>
      <c r="H1170" s="33">
        <v>0.25</v>
      </c>
      <c r="I1170" s="33">
        <v>0.2</v>
      </c>
      <c r="L1170" s="33">
        <v>2.4</v>
      </c>
      <c r="M1170" s="271">
        <v>0.14050000000000001</v>
      </c>
      <c r="N1170" s="40">
        <v>7.3000000000000001E-3</v>
      </c>
      <c r="O1170" s="33">
        <v>25</v>
      </c>
      <c r="P1170" s="40">
        <f t="shared" ref="P1170:Z1170" si="403">(P1140/3)*4</f>
        <v>1.0919233066666667E-7</v>
      </c>
      <c r="Q1170" s="40">
        <f t="shared" si="403"/>
        <v>1.3548406666666667E-3</v>
      </c>
      <c r="R1170" s="40">
        <f t="shared" si="403"/>
        <v>0.17983133333333334</v>
      </c>
      <c r="S1170" s="40">
        <f t="shared" si="403"/>
        <v>2.0889570666666667E-8</v>
      </c>
      <c r="T1170" s="40">
        <f t="shared" si="403"/>
        <v>1.0075716E-4</v>
      </c>
      <c r="U1170" s="40">
        <f t="shared" si="403"/>
        <v>8.3085880000000002E-4</v>
      </c>
      <c r="V1170" s="40">
        <f t="shared" si="403"/>
        <v>1.8736637333333333E-4</v>
      </c>
      <c r="W1170" s="40">
        <f t="shared" si="403"/>
        <v>3.9342174666666667E-2</v>
      </c>
      <c r="X1170" s="40">
        <f t="shared" si="403"/>
        <v>6.567237333333333E-4</v>
      </c>
      <c r="Y1170" s="40">
        <f t="shared" si="403"/>
        <v>2.5192472000000001</v>
      </c>
      <c r="Z1170" s="40">
        <f t="shared" si="403"/>
        <v>5.3073206666666667E-4</v>
      </c>
      <c r="AA1170" s="40"/>
      <c r="AB1170" s="40"/>
      <c r="AC1170" s="40"/>
      <c r="AD1170" s="40"/>
      <c r="AE1170" s="40"/>
      <c r="AF1170" s="40"/>
      <c r="AG1170" s="40"/>
      <c r="AH1170" s="40"/>
      <c r="AI1170" s="40"/>
      <c r="AJ1170" s="40"/>
      <c r="AK1170" s="40"/>
      <c r="AL1170" s="40"/>
      <c r="AM1170" s="40"/>
      <c r="AN1170" s="40"/>
      <c r="AO1170" s="40"/>
      <c r="AP1170" s="40"/>
      <c r="AQ1170" s="40"/>
      <c r="AR1170" s="40"/>
      <c r="AS1170" s="40"/>
      <c r="AT1170" s="40"/>
      <c r="AU1170" s="40"/>
      <c r="AV1170" s="313">
        <f t="shared" si="392"/>
        <v>0.18941046923076924</v>
      </c>
      <c r="AW1170" s="317"/>
      <c r="AX1170" s="317"/>
      <c r="AY1170" s="313">
        <f t="shared" si="393"/>
        <v>3.6823699038461539</v>
      </c>
      <c r="AZ1170" s="317"/>
      <c r="BA1170" s="317"/>
      <c r="BB1170" s="317"/>
      <c r="BC1170" s="313">
        <f t="shared" si="394"/>
        <v>5.8758703269230772E-4</v>
      </c>
      <c r="BD1170" s="313">
        <f t="shared" si="394"/>
        <v>2.1331727307692306E-5</v>
      </c>
      <c r="BE1170" s="313">
        <f t="shared" si="394"/>
        <v>0.44528581730769223</v>
      </c>
      <c r="BF1170" s="40"/>
      <c r="BG1170" s="40"/>
      <c r="BH1170" s="40"/>
      <c r="BI1170" s="40"/>
      <c r="BJ1170" s="40"/>
      <c r="BK1170" s="40"/>
      <c r="BL1170" s="306">
        <v>0.11150652431791222</v>
      </c>
      <c r="BM1170" s="275">
        <v>3</v>
      </c>
      <c r="BN1170" s="62">
        <v>0.03</v>
      </c>
      <c r="BO1170" s="33" t="s">
        <v>614</v>
      </c>
      <c r="BP1170" t="s">
        <v>621</v>
      </c>
    </row>
    <row r="1171" spans="1:68">
      <c r="A1171" s="33" t="str">
        <f>Database_Productkaarten[[#This Row],[Product]]&amp;", "&amp;Database_Productkaarten[[#This Row],[Levensfase]]</f>
        <v>Trottoirband 180/200x250, C4</v>
      </c>
      <c r="B1171" s="33" t="s">
        <v>262</v>
      </c>
      <c r="C1171" t="s">
        <v>55</v>
      </c>
      <c r="D1171" s="33" t="s">
        <v>388</v>
      </c>
      <c r="E1171" s="33" t="s">
        <v>389</v>
      </c>
      <c r="F1171" s="33" t="s">
        <v>86</v>
      </c>
      <c r="G1171" s="33">
        <v>1</v>
      </c>
      <c r="H1171" s="33">
        <v>0.25</v>
      </c>
      <c r="I1171" s="33">
        <v>0.2</v>
      </c>
      <c r="L1171" s="33">
        <v>2.4</v>
      </c>
      <c r="M1171" s="271">
        <v>0.14050000000000001</v>
      </c>
      <c r="N1171" s="40">
        <v>6.4999999999999997E-4</v>
      </c>
      <c r="O1171" s="33">
        <v>25</v>
      </c>
      <c r="P1171" s="40">
        <f t="shared" ref="P1171:Z1171" si="404">(P1141/3)*4</f>
        <v>6.942748933333333E-9</v>
      </c>
      <c r="Q1171" s="40">
        <f t="shared" si="404"/>
        <v>8.2781605333333337E-5</v>
      </c>
      <c r="R1171" s="40">
        <f t="shared" si="404"/>
        <v>6.0829154666666675E-3</v>
      </c>
      <c r="S1171" s="40">
        <f t="shared" si="404"/>
        <v>2.0133493333333335E-9</v>
      </c>
      <c r="T1171" s="40">
        <f t="shared" si="404"/>
        <v>6.4462192000000004E-6</v>
      </c>
      <c r="U1171" s="40">
        <f t="shared" si="404"/>
        <v>4.4949061333333336E-5</v>
      </c>
      <c r="V1171" s="40">
        <f t="shared" si="404"/>
        <v>8.4595130666666664E-6</v>
      </c>
      <c r="W1171" s="40">
        <f t="shared" si="404"/>
        <v>2.4799855999999999E-3</v>
      </c>
      <c r="X1171" s="40">
        <f t="shared" si="404"/>
        <v>6.1667622666666672E-5</v>
      </c>
      <c r="Y1171" s="40">
        <f t="shared" si="404"/>
        <v>0.21209869333333334</v>
      </c>
      <c r="Z1171" s="40">
        <f t="shared" si="404"/>
        <v>7.3446299999999995E-6</v>
      </c>
      <c r="AA1171" s="40"/>
      <c r="AB1171" s="40"/>
      <c r="AC1171" s="40"/>
      <c r="AD1171" s="40"/>
      <c r="AE1171" s="40"/>
      <c r="AF1171" s="40"/>
      <c r="AG1171" s="40"/>
      <c r="AH1171" s="40"/>
      <c r="AI1171" s="40"/>
      <c r="AJ1171" s="40"/>
      <c r="AK1171" s="40"/>
      <c r="AL1171" s="40"/>
      <c r="AM1171" s="40"/>
      <c r="AN1171" s="40"/>
      <c r="AO1171" s="40"/>
      <c r="AP1171" s="40"/>
      <c r="AQ1171" s="40"/>
      <c r="AR1171" s="40"/>
      <c r="AS1171" s="40"/>
      <c r="AT1171" s="40"/>
      <c r="AU1171" s="40"/>
      <c r="AV1171" s="313">
        <f t="shared" si="392"/>
        <v>5.7558554999999996E-3</v>
      </c>
      <c r="AW1171" s="317"/>
      <c r="AX1171" s="317"/>
      <c r="AY1171" s="313">
        <f t="shared" si="393"/>
        <v>0.24003932884615384</v>
      </c>
      <c r="AZ1171" s="317"/>
      <c r="BA1171" s="317"/>
      <c r="BB1171" s="317"/>
      <c r="BC1171" s="313">
        <f t="shared" si="394"/>
        <v>2.4192899999999999E-4</v>
      </c>
      <c r="BD1171" s="313">
        <f t="shared" si="394"/>
        <v>1.6305694096153847E-6</v>
      </c>
      <c r="BE1171" s="313">
        <f t="shared" si="394"/>
        <v>1.4775994211538461</v>
      </c>
      <c r="BF1171" s="40"/>
      <c r="BG1171" s="40"/>
      <c r="BH1171" s="40"/>
      <c r="BI1171" s="40"/>
      <c r="BJ1171" s="40"/>
      <c r="BK1171" s="40"/>
      <c r="BL1171" s="306">
        <v>0.11150652431791222</v>
      </c>
      <c r="BM1171" s="275">
        <v>3</v>
      </c>
      <c r="BN1171" s="62">
        <v>0.03</v>
      </c>
      <c r="BO1171" s="33" t="s">
        <v>614</v>
      </c>
      <c r="BP1171" t="s">
        <v>621</v>
      </c>
    </row>
    <row r="1172" spans="1:68">
      <c r="A1172" s="33" t="str">
        <f>Database_Productkaarten[[#This Row],[Product]]&amp;", "&amp;Database_Productkaarten[[#This Row],[Levensfase]]</f>
        <v>Trottoirband 180/200x250, D</v>
      </c>
      <c r="B1172" s="33" t="s">
        <v>262</v>
      </c>
      <c r="C1172" s="33" t="str">
        <f>C1173</f>
        <v>Elementenverhardingen</v>
      </c>
      <c r="D1172" s="33" t="str">
        <f>D1173</f>
        <v>Trottoirband</v>
      </c>
      <c r="E1172" s="33" t="str">
        <f>E1173</f>
        <v>m1</v>
      </c>
      <c r="F1172" s="33" t="s">
        <v>89</v>
      </c>
      <c r="G1172" s="33">
        <f>G1173</f>
        <v>1</v>
      </c>
      <c r="H1172" s="33">
        <v>0.25</v>
      </c>
      <c r="I1172" s="33">
        <v>0.2</v>
      </c>
      <c r="L1172" s="33">
        <v>2.4</v>
      </c>
      <c r="M1172" s="271">
        <v>0.14050000000000001</v>
      </c>
      <c r="N1172" s="40">
        <v>-0.29579</v>
      </c>
      <c r="O1172" s="33">
        <v>25</v>
      </c>
      <c r="P1172" s="40">
        <f t="shared" ref="P1172:Z1172" si="405">(P1142/3)*4</f>
        <v>-2.3752416000000003E-6</v>
      </c>
      <c r="Q1172" s="40">
        <f t="shared" si="405"/>
        <v>-2.9991150666666667E-3</v>
      </c>
      <c r="R1172" s="40">
        <f t="shared" si="405"/>
        <v>-0.45256745333333331</v>
      </c>
      <c r="S1172" s="40">
        <f t="shared" si="405"/>
        <v>-3.8468391999999997E-8</v>
      </c>
      <c r="T1172" s="40">
        <f t="shared" si="405"/>
        <v>-3.1595445333333335E-4</v>
      </c>
      <c r="U1172" s="40">
        <f t="shared" si="405"/>
        <v>-2.5704414666666664E-3</v>
      </c>
      <c r="V1172" s="40">
        <f t="shared" si="405"/>
        <v>-4.1997285333333331E-4</v>
      </c>
      <c r="W1172" s="40">
        <f t="shared" si="405"/>
        <v>-0.17539885333333335</v>
      </c>
      <c r="X1172" s="40">
        <f t="shared" si="405"/>
        <v>-2.5545725333333334E-3</v>
      </c>
      <c r="Y1172" s="40">
        <f t="shared" si="405"/>
        <v>-12.187243333333333</v>
      </c>
      <c r="Z1172" s="40">
        <f t="shared" si="405"/>
        <v>-9.9276428000000011E-4</v>
      </c>
      <c r="AA1172" s="40"/>
      <c r="AB1172" s="40"/>
      <c r="AC1172" s="40"/>
      <c r="AD1172" s="40"/>
      <c r="AE1172" s="40"/>
      <c r="AF1172" s="40"/>
      <c r="AG1172" s="40"/>
      <c r="AH1172" s="40"/>
      <c r="AI1172" s="40"/>
      <c r="AJ1172" s="40"/>
      <c r="AK1172" s="40"/>
      <c r="AL1172" s="40"/>
      <c r="AM1172" s="40"/>
      <c r="AN1172" s="40"/>
      <c r="AO1172" s="40"/>
      <c r="AP1172" s="40"/>
      <c r="AQ1172" s="40"/>
      <c r="AR1172" s="40"/>
      <c r="AS1172" s="40"/>
      <c r="AT1172" s="40"/>
      <c r="AU1172" s="40"/>
      <c r="AV1172" s="313">
        <f t="shared" si="392"/>
        <v>-0.47802709038461544</v>
      </c>
      <c r="AW1172" s="317"/>
      <c r="AX1172" s="317"/>
      <c r="AY1172" s="313">
        <f t="shared" si="393"/>
        <v>-7.8221573653846157</v>
      </c>
      <c r="AZ1172" s="317"/>
      <c r="BA1172" s="317"/>
      <c r="BB1172" s="317"/>
      <c r="BC1172" s="313">
        <f t="shared" si="394"/>
        <v>-0.18748227115384614</v>
      </c>
      <c r="BD1172" s="313">
        <f t="shared" si="394"/>
        <v>-4.1848537499999997E-5</v>
      </c>
      <c r="BE1172" s="313">
        <f t="shared" si="394"/>
        <v>-7.5038931346153845E-2</v>
      </c>
      <c r="BF1172" s="40"/>
      <c r="BG1172" s="40"/>
      <c r="BH1172" s="40"/>
      <c r="BI1172" s="40"/>
      <c r="BJ1172" s="40"/>
      <c r="BK1172" s="40"/>
      <c r="BL1172" s="306">
        <v>0.11150652431791222</v>
      </c>
      <c r="BM1172" s="275">
        <v>3</v>
      </c>
      <c r="BN1172" s="62">
        <v>0.03</v>
      </c>
      <c r="BO1172" s="33" t="s">
        <v>614</v>
      </c>
      <c r="BP1172" t="s">
        <v>621</v>
      </c>
    </row>
    <row r="1173" spans="1:68">
      <c r="A1173" s="33" t="str">
        <f>Database_Productkaarten[[#This Row],[Product]]&amp;", "&amp;Database_Productkaarten[[#This Row],[Levensfase]]</f>
        <v>Trottoirband 180/200x250, D1</v>
      </c>
      <c r="B1173" s="33" t="s">
        <v>262</v>
      </c>
      <c r="C1173" t="s">
        <v>55</v>
      </c>
      <c r="D1173" s="33" t="s">
        <v>388</v>
      </c>
      <c r="E1173" s="33" t="s">
        <v>389</v>
      </c>
      <c r="F1173" s="33" t="s">
        <v>87</v>
      </c>
      <c r="G1173" s="33">
        <v>1</v>
      </c>
      <c r="H1173" s="33">
        <v>0.25</v>
      </c>
      <c r="I1173" s="33">
        <v>0.2</v>
      </c>
      <c r="L1173" s="33">
        <v>2.4</v>
      </c>
      <c r="M1173" s="271">
        <v>0.14050000000000001</v>
      </c>
      <c r="N1173" s="41"/>
      <c r="O1173" s="33">
        <v>25</v>
      </c>
      <c r="P1173" s="40"/>
      <c r="Q1173" s="40"/>
      <c r="R1173" s="40"/>
      <c r="S1173" s="40"/>
      <c r="T1173" s="40"/>
      <c r="U1173" s="40"/>
      <c r="V1173" s="40"/>
      <c r="W1173" s="40"/>
      <c r="X1173" s="40"/>
      <c r="Y1173" s="40"/>
      <c r="Z1173" s="40"/>
      <c r="AA1173" s="40"/>
      <c r="AB1173" s="40"/>
      <c r="AC1173" s="40"/>
      <c r="AD1173" s="40"/>
      <c r="AE1173" s="40"/>
      <c r="AF1173" s="40"/>
      <c r="AG1173" s="40"/>
      <c r="AH1173" s="40"/>
      <c r="AI1173" s="40"/>
      <c r="AJ1173" s="40"/>
      <c r="AK1173" s="40"/>
      <c r="AL1173" s="40"/>
      <c r="AM1173" s="40"/>
      <c r="AN1173" s="40"/>
      <c r="AO1173" s="40"/>
      <c r="AP1173" s="40"/>
      <c r="AQ1173" s="40"/>
      <c r="AR1173" s="40"/>
      <c r="AS1173" s="40"/>
      <c r="AT1173" s="40"/>
      <c r="AU1173" s="40"/>
      <c r="AV1173" s="313"/>
      <c r="AW1173" s="317"/>
      <c r="AX1173" s="317"/>
      <c r="AY1173" s="313"/>
      <c r="AZ1173" s="317"/>
      <c r="BA1173" s="317"/>
      <c r="BB1173" s="317"/>
      <c r="BC1173" s="317"/>
      <c r="BD1173" s="317"/>
      <c r="BE1173" s="317"/>
      <c r="BF1173" s="40"/>
      <c r="BG1173" s="40"/>
      <c r="BH1173" s="40"/>
      <c r="BI1173" s="40"/>
      <c r="BJ1173" s="40"/>
      <c r="BK1173" s="40"/>
      <c r="BL1173" s="306">
        <v>0.11150652431791222</v>
      </c>
      <c r="BM1173" s="275">
        <v>3</v>
      </c>
      <c r="BN1173" s="62">
        <v>0.03</v>
      </c>
      <c r="BO1173" s="33" t="s">
        <v>614</v>
      </c>
      <c r="BP1173" t="s">
        <v>621</v>
      </c>
    </row>
    <row r="1174" spans="1:68">
      <c r="A1174" s="33" t="str">
        <f>Database_Productkaarten[[#This Row],[Product]]&amp;", "&amp;Database_Productkaarten[[#This Row],[Levensfase]]</f>
        <v>Trottoirband 180/200x250, D2</v>
      </c>
      <c r="B1174" s="33" t="s">
        <v>262</v>
      </c>
      <c r="C1174" t="s">
        <v>55</v>
      </c>
      <c r="D1174" s="33" t="s">
        <v>388</v>
      </c>
      <c r="E1174" s="33" t="s">
        <v>389</v>
      </c>
      <c r="F1174" s="33" t="s">
        <v>88</v>
      </c>
      <c r="G1174" s="33">
        <v>1</v>
      </c>
      <c r="H1174" s="33">
        <v>0.25</v>
      </c>
      <c r="I1174" s="33">
        <v>0.2</v>
      </c>
      <c r="L1174" s="33">
        <v>2.4</v>
      </c>
      <c r="M1174" s="271">
        <v>0.14050000000000001</v>
      </c>
      <c r="N1174" s="41"/>
      <c r="O1174" s="33">
        <v>25</v>
      </c>
      <c r="P1174" s="40"/>
      <c r="Q1174" s="40"/>
      <c r="R1174" s="40"/>
      <c r="S1174" s="40"/>
      <c r="T1174" s="40"/>
      <c r="U1174" s="40"/>
      <c r="V1174" s="40"/>
      <c r="W1174" s="40"/>
      <c r="X1174" s="40"/>
      <c r="Y1174" s="40"/>
      <c r="Z1174" s="40"/>
      <c r="AA1174" s="40"/>
      <c r="AB1174" s="40"/>
      <c r="AC1174" s="40"/>
      <c r="AD1174" s="40"/>
      <c r="AE1174" s="40"/>
      <c r="AF1174" s="40"/>
      <c r="AG1174" s="40"/>
      <c r="AH1174" s="40"/>
      <c r="AI1174" s="40"/>
      <c r="AJ1174" s="40"/>
      <c r="AK1174" s="40"/>
      <c r="AL1174" s="40"/>
      <c r="AM1174" s="40"/>
      <c r="AN1174" s="40"/>
      <c r="AO1174" s="40"/>
      <c r="AP1174" s="40"/>
      <c r="AQ1174" s="40"/>
      <c r="AR1174" s="40"/>
      <c r="AS1174" s="40"/>
      <c r="AT1174" s="40"/>
      <c r="AU1174" s="40"/>
      <c r="AV1174" s="313"/>
      <c r="AW1174" s="317"/>
      <c r="AX1174" s="317"/>
      <c r="AY1174" s="313"/>
      <c r="AZ1174" s="317"/>
      <c r="BA1174" s="317"/>
      <c r="BB1174" s="317"/>
      <c r="BC1174" s="317"/>
      <c r="BD1174" s="317"/>
      <c r="BE1174" s="317"/>
      <c r="BF1174" s="40"/>
      <c r="BG1174" s="40"/>
      <c r="BH1174" s="40"/>
      <c r="BI1174" s="40"/>
      <c r="BJ1174" s="40"/>
      <c r="BK1174" s="40"/>
      <c r="BL1174" s="306">
        <v>0.11150652431791222</v>
      </c>
      <c r="BM1174" s="275">
        <v>3</v>
      </c>
      <c r="BN1174" s="62">
        <v>0.03</v>
      </c>
      <c r="BO1174" s="33" t="s">
        <v>614</v>
      </c>
      <c r="BP1174" t="s">
        <v>621</v>
      </c>
    </row>
    <row r="1175" spans="1:68">
      <c r="A1175" s="33" t="str">
        <f>Database_Productkaarten[[#This Row],[Product]]&amp;", "&amp;Database_Productkaarten[[#This Row],[Levensfase]]</f>
        <v>Trottoirband 180/200x250 (hergebruik), Totaal</v>
      </c>
      <c r="B1175" s="33" t="s">
        <v>622</v>
      </c>
      <c r="C1175" t="s">
        <v>55</v>
      </c>
      <c r="D1175" s="33" t="s">
        <v>388</v>
      </c>
      <c r="E1175" s="33" t="s">
        <v>389</v>
      </c>
      <c r="F1175" s="33" t="s">
        <v>90</v>
      </c>
      <c r="G1175" s="33">
        <v>1</v>
      </c>
      <c r="H1175" s="33">
        <v>0.25</v>
      </c>
      <c r="I1175" s="33">
        <v>0.2</v>
      </c>
      <c r="L1175" s="33">
        <v>2.4</v>
      </c>
      <c r="M1175" s="271">
        <v>0.14050000000000001</v>
      </c>
      <c r="N1175" s="41">
        <f>SUM(N1179:N1187)</f>
        <v>0.94729099999999999</v>
      </c>
      <c r="O1175" s="33">
        <v>25</v>
      </c>
      <c r="P1175" s="163">
        <f t="shared" ref="P1175:Z1175" si="406">SUM(P1179:P1187)</f>
        <v>1.1548385064933332E-5</v>
      </c>
      <c r="Q1175" s="163">
        <f t="shared" si="406"/>
        <v>4.1170583432000002E-2</v>
      </c>
      <c r="R1175" s="163">
        <f t="shared" si="406"/>
        <v>6.8579312541333337</v>
      </c>
      <c r="S1175" s="163">
        <f t="shared" si="406"/>
        <v>9.4186781146666672E-7</v>
      </c>
      <c r="T1175" s="163">
        <f t="shared" si="406"/>
        <v>3.9420844581333336E-3</v>
      </c>
      <c r="U1175" s="163">
        <f t="shared" si="406"/>
        <v>3.0676519127999999E-2</v>
      </c>
      <c r="V1175" s="163">
        <f t="shared" si="406"/>
        <v>6.4266140477333335E-3</v>
      </c>
      <c r="W1175" s="163">
        <f t="shared" si="406"/>
        <v>2.0374660909333331</v>
      </c>
      <c r="X1175" s="163">
        <f t="shared" si="406"/>
        <v>4.9979297916000004E-2</v>
      </c>
      <c r="Y1175" s="163">
        <f t="shared" si="406"/>
        <v>184.57261286666667</v>
      </c>
      <c r="Z1175" s="163">
        <f t="shared" si="406"/>
        <v>9.5324687086666676E-3</v>
      </c>
      <c r="AA1175" s="40"/>
      <c r="AB1175" s="40"/>
      <c r="AC1175" s="40"/>
      <c r="AD1175" s="40"/>
      <c r="AE1175" s="40"/>
      <c r="AF1175" s="40"/>
      <c r="AG1175" s="40"/>
      <c r="AH1175" s="40"/>
      <c r="AI1175" s="40"/>
      <c r="AJ1175" s="40"/>
      <c r="AK1175" s="40"/>
      <c r="AL1175" s="40"/>
      <c r="AM1175" s="40"/>
      <c r="AN1175" s="40"/>
      <c r="AO1175" s="40"/>
      <c r="AP1175" s="40"/>
      <c r="AQ1175" s="40"/>
      <c r="AR1175" s="40"/>
      <c r="AS1175" s="40"/>
      <c r="AT1175" s="40"/>
      <c r="AU1175" s="40"/>
      <c r="AV1175" s="163">
        <f>SUM(AV1179:AV1187)</f>
        <v>3.4347645629999999</v>
      </c>
      <c r="AW1175" s="40"/>
      <c r="AX1175" s="40"/>
      <c r="AY1175" s="163">
        <f>SUM(AY1179:AY1187)</f>
        <v>119.05076206730767</v>
      </c>
      <c r="AZ1175" s="40"/>
      <c r="BA1175" s="40"/>
      <c r="BB1175" s="40"/>
      <c r="BC1175" s="163">
        <f t="shared" ref="BC1175:BE1175" si="407">SUM(BC1179:BC1187)</f>
        <v>0.20205589384038461</v>
      </c>
      <c r="BD1175" s="163">
        <f t="shared" si="407"/>
        <v>1.2815337422754869</v>
      </c>
      <c r="BE1175" s="163">
        <f t="shared" si="407"/>
        <v>6.0590678474423072</v>
      </c>
      <c r="BF1175" s="40"/>
      <c r="BG1175" s="40"/>
      <c r="BH1175" s="40"/>
      <c r="BI1175" s="40"/>
      <c r="BJ1175" s="40"/>
      <c r="BK1175" s="40"/>
      <c r="BL1175" s="62">
        <v>1</v>
      </c>
      <c r="BM1175" s="275">
        <v>3</v>
      </c>
      <c r="BN1175" s="62">
        <v>0.03</v>
      </c>
      <c r="BO1175" s="33" t="s">
        <v>614</v>
      </c>
      <c r="BP1175" s="33" t="s">
        <v>602</v>
      </c>
    </row>
    <row r="1176" spans="1:68">
      <c r="A1176" s="33" t="str">
        <f>Database_Productkaarten[[#This Row],[Product]]&amp;", "&amp;Database_Productkaarten[[#This Row],[Levensfase]]</f>
        <v>Trottoirband 180/200x250 (hergebruik), A1</v>
      </c>
      <c r="B1176" s="33" t="s">
        <v>622</v>
      </c>
      <c r="C1176" t="s">
        <v>55</v>
      </c>
      <c r="D1176" s="33" t="s">
        <v>388</v>
      </c>
      <c r="E1176" s="33" t="s">
        <v>389</v>
      </c>
      <c r="F1176" s="33" t="s">
        <v>74</v>
      </c>
      <c r="G1176" s="33">
        <v>1</v>
      </c>
      <c r="H1176" s="33">
        <v>0.25</v>
      </c>
      <c r="I1176" s="33">
        <v>0.2</v>
      </c>
      <c r="L1176" s="33">
        <v>2.4</v>
      </c>
      <c r="M1176" s="271">
        <v>0.14050000000000001</v>
      </c>
      <c r="N1176" s="41">
        <v>0</v>
      </c>
      <c r="O1176" s="33">
        <v>25</v>
      </c>
      <c r="P1176" s="163">
        <v>0</v>
      </c>
      <c r="Q1176" s="163">
        <v>0</v>
      </c>
      <c r="R1176" s="163">
        <v>0</v>
      </c>
      <c r="S1176" s="163">
        <v>0</v>
      </c>
      <c r="T1176" s="163">
        <v>0</v>
      </c>
      <c r="U1176" s="163">
        <v>0</v>
      </c>
      <c r="V1176" s="163">
        <v>0</v>
      </c>
      <c r="W1176" s="163">
        <v>0</v>
      </c>
      <c r="X1176" s="163">
        <v>0</v>
      </c>
      <c r="Y1176" s="163">
        <v>0</v>
      </c>
      <c r="Z1176" s="163">
        <v>0</v>
      </c>
      <c r="AA1176" s="40"/>
      <c r="AB1176" s="40"/>
      <c r="AC1176" s="40"/>
      <c r="AD1176" s="40"/>
      <c r="AE1176" s="40"/>
      <c r="AF1176" s="40"/>
      <c r="AG1176" s="40"/>
      <c r="AH1176" s="40"/>
      <c r="AI1176" s="40"/>
      <c r="AJ1176" s="40"/>
      <c r="AK1176" s="40"/>
      <c r="AL1176" s="40"/>
      <c r="AM1176" s="40"/>
      <c r="AN1176" s="40"/>
      <c r="AO1176" s="40"/>
      <c r="AP1176" s="40"/>
      <c r="AQ1176" s="40"/>
      <c r="AR1176" s="40"/>
      <c r="AS1176" s="40"/>
      <c r="AT1176" s="40"/>
      <c r="AU1176" s="40"/>
      <c r="AV1176" s="163">
        <v>0</v>
      </c>
      <c r="AW1176" s="40"/>
      <c r="AX1176" s="40"/>
      <c r="AY1176" s="163">
        <v>0</v>
      </c>
      <c r="AZ1176" s="40"/>
      <c r="BA1176" s="40"/>
      <c r="BB1176" s="40"/>
      <c r="BC1176" s="163">
        <v>0</v>
      </c>
      <c r="BD1176" s="163">
        <v>0</v>
      </c>
      <c r="BE1176" s="163">
        <v>0</v>
      </c>
      <c r="BF1176" s="40"/>
      <c r="BG1176" s="40"/>
      <c r="BH1176" s="40"/>
      <c r="BI1176" s="40"/>
      <c r="BJ1176" s="40"/>
      <c r="BK1176" s="40"/>
      <c r="BL1176" s="62">
        <v>1</v>
      </c>
      <c r="BM1176" s="275">
        <v>3</v>
      </c>
      <c r="BN1176" s="62">
        <v>0.03</v>
      </c>
      <c r="BO1176" s="33" t="s">
        <v>614</v>
      </c>
      <c r="BP1176" s="33" t="s">
        <v>602</v>
      </c>
    </row>
    <row r="1177" spans="1:68">
      <c r="A1177" s="33" t="str">
        <f>Database_Productkaarten[[#This Row],[Product]]&amp;", "&amp;Database_Productkaarten[[#This Row],[Levensfase]]</f>
        <v>Trottoirband 180/200x250 (hergebruik), A2</v>
      </c>
      <c r="B1177" s="33" t="s">
        <v>622</v>
      </c>
      <c r="C1177" t="s">
        <v>55</v>
      </c>
      <c r="D1177" s="33" t="s">
        <v>388</v>
      </c>
      <c r="E1177" s="33" t="s">
        <v>389</v>
      </c>
      <c r="F1177" s="33" t="s">
        <v>75</v>
      </c>
      <c r="G1177" s="33">
        <v>1</v>
      </c>
      <c r="H1177" s="33">
        <v>0.25</v>
      </c>
      <c r="I1177" s="33">
        <v>0.2</v>
      </c>
      <c r="L1177" s="33">
        <v>2.4</v>
      </c>
      <c r="M1177" s="271">
        <v>0.14050000000000001</v>
      </c>
      <c r="N1177" s="41">
        <v>0</v>
      </c>
      <c r="O1177" s="33">
        <v>25</v>
      </c>
      <c r="P1177" s="163">
        <v>0</v>
      </c>
      <c r="Q1177" s="163">
        <v>0</v>
      </c>
      <c r="R1177" s="163">
        <v>0</v>
      </c>
      <c r="S1177" s="163">
        <v>0</v>
      </c>
      <c r="T1177" s="163">
        <v>0</v>
      </c>
      <c r="U1177" s="163">
        <v>0</v>
      </c>
      <c r="V1177" s="163">
        <v>0</v>
      </c>
      <c r="W1177" s="163">
        <v>0</v>
      </c>
      <c r="X1177" s="163">
        <v>0</v>
      </c>
      <c r="Y1177" s="163">
        <v>0</v>
      </c>
      <c r="Z1177" s="163">
        <v>0</v>
      </c>
      <c r="AA1177" s="40"/>
      <c r="AB1177" s="40"/>
      <c r="AC1177" s="40"/>
      <c r="AD1177" s="40"/>
      <c r="AE1177" s="40"/>
      <c r="AF1177" s="40"/>
      <c r="AG1177" s="40"/>
      <c r="AH1177" s="40"/>
      <c r="AI1177" s="40"/>
      <c r="AJ1177" s="40"/>
      <c r="AK1177" s="40"/>
      <c r="AL1177" s="40"/>
      <c r="AM1177" s="40"/>
      <c r="AN1177" s="40"/>
      <c r="AO1177" s="40"/>
      <c r="AP1177" s="40"/>
      <c r="AQ1177" s="40"/>
      <c r="AR1177" s="40"/>
      <c r="AS1177" s="40"/>
      <c r="AT1177" s="40"/>
      <c r="AU1177" s="40"/>
      <c r="AV1177" s="163">
        <v>0</v>
      </c>
      <c r="AW1177" s="40"/>
      <c r="AX1177" s="40"/>
      <c r="AY1177" s="163">
        <v>0</v>
      </c>
      <c r="AZ1177" s="40"/>
      <c r="BA1177" s="40"/>
      <c r="BB1177" s="40"/>
      <c r="BC1177" s="163">
        <v>0</v>
      </c>
      <c r="BD1177" s="163">
        <v>0</v>
      </c>
      <c r="BE1177" s="163">
        <v>0</v>
      </c>
      <c r="BF1177" s="40"/>
      <c r="BG1177" s="40"/>
      <c r="BH1177" s="40"/>
      <c r="BI1177" s="40"/>
      <c r="BJ1177" s="40"/>
      <c r="BK1177" s="40"/>
      <c r="BL1177" s="62">
        <v>1</v>
      </c>
      <c r="BM1177" s="275">
        <v>3</v>
      </c>
      <c r="BN1177" s="62">
        <v>0.03</v>
      </c>
      <c r="BO1177" s="33" t="s">
        <v>614</v>
      </c>
      <c r="BP1177" s="33" t="s">
        <v>602</v>
      </c>
    </row>
    <row r="1178" spans="1:68">
      <c r="A1178" s="33" t="str">
        <f>Database_Productkaarten[[#This Row],[Product]]&amp;", "&amp;Database_Productkaarten[[#This Row],[Levensfase]]</f>
        <v>Trottoirband 180/200x250 (hergebruik), A3</v>
      </c>
      <c r="B1178" s="33" t="s">
        <v>622</v>
      </c>
      <c r="C1178" t="s">
        <v>55</v>
      </c>
      <c r="D1178" s="33" t="s">
        <v>388</v>
      </c>
      <c r="E1178" s="33" t="s">
        <v>389</v>
      </c>
      <c r="F1178" s="33" t="s">
        <v>76</v>
      </c>
      <c r="G1178" s="33">
        <v>1</v>
      </c>
      <c r="H1178" s="33">
        <v>0.25</v>
      </c>
      <c r="I1178" s="33">
        <v>0.2</v>
      </c>
      <c r="L1178" s="33">
        <v>2.4</v>
      </c>
      <c r="M1178" s="271">
        <v>0.14050000000000001</v>
      </c>
      <c r="N1178" s="41">
        <v>0</v>
      </c>
      <c r="O1178" s="33">
        <v>25</v>
      </c>
      <c r="P1178" s="163">
        <v>0</v>
      </c>
      <c r="Q1178" s="163">
        <v>0</v>
      </c>
      <c r="R1178" s="163">
        <v>0</v>
      </c>
      <c r="S1178" s="163">
        <v>0</v>
      </c>
      <c r="T1178" s="163">
        <v>0</v>
      </c>
      <c r="U1178" s="163">
        <v>0</v>
      </c>
      <c r="V1178" s="163">
        <v>0</v>
      </c>
      <c r="W1178" s="163">
        <v>0</v>
      </c>
      <c r="X1178" s="163">
        <v>0</v>
      </c>
      <c r="Y1178" s="163">
        <v>0</v>
      </c>
      <c r="Z1178" s="163">
        <v>0</v>
      </c>
      <c r="AA1178" s="40"/>
      <c r="AB1178" s="40"/>
      <c r="AC1178" s="40"/>
      <c r="AD1178" s="40"/>
      <c r="AE1178" s="40"/>
      <c r="AF1178" s="40"/>
      <c r="AG1178" s="40"/>
      <c r="AH1178" s="40"/>
      <c r="AI1178" s="40"/>
      <c r="AJ1178" s="40"/>
      <c r="AK1178" s="40"/>
      <c r="AL1178" s="40"/>
      <c r="AM1178" s="40"/>
      <c r="AN1178" s="40"/>
      <c r="AO1178" s="40"/>
      <c r="AP1178" s="40"/>
      <c r="AQ1178" s="40"/>
      <c r="AR1178" s="40"/>
      <c r="AS1178" s="40"/>
      <c r="AT1178" s="40"/>
      <c r="AU1178" s="40"/>
      <c r="AV1178" s="163">
        <v>0</v>
      </c>
      <c r="AW1178" s="40"/>
      <c r="AX1178" s="40"/>
      <c r="AY1178" s="163">
        <v>0</v>
      </c>
      <c r="AZ1178" s="40"/>
      <c r="BA1178" s="40"/>
      <c r="BB1178" s="40"/>
      <c r="BC1178" s="163">
        <v>0</v>
      </c>
      <c r="BD1178" s="163">
        <v>0</v>
      </c>
      <c r="BE1178" s="163">
        <v>0</v>
      </c>
      <c r="BF1178" s="40"/>
      <c r="BG1178" s="40"/>
      <c r="BH1178" s="40"/>
      <c r="BI1178" s="40"/>
      <c r="BJ1178" s="40"/>
      <c r="BK1178" s="40"/>
      <c r="BL1178" s="62">
        <v>1</v>
      </c>
      <c r="BM1178" s="275">
        <v>3</v>
      </c>
      <c r="BN1178" s="62">
        <v>0.03</v>
      </c>
      <c r="BO1178" s="33" t="s">
        <v>614</v>
      </c>
      <c r="BP1178" s="33" t="s">
        <v>602</v>
      </c>
    </row>
    <row r="1179" spans="1:68">
      <c r="A1179" s="33" t="str">
        <f>Database_Productkaarten[[#This Row],[Product]]&amp;", "&amp;Database_Productkaarten[[#This Row],[Levensfase]]</f>
        <v>Trottoirband 180/200x250 (hergebruik), A1-A3</v>
      </c>
      <c r="B1179" s="33" t="s">
        <v>622</v>
      </c>
      <c r="C1179" s="33" t="str">
        <f>C1178</f>
        <v>Elementenverhardingen</v>
      </c>
      <c r="D1179" s="33" t="str">
        <f>D1178</f>
        <v>Trottoirband</v>
      </c>
      <c r="E1179" s="33" t="str">
        <f>E1178</f>
        <v>m1</v>
      </c>
      <c r="F1179" s="33" t="s">
        <v>77</v>
      </c>
      <c r="G1179" s="33">
        <f>G1178</f>
        <v>1</v>
      </c>
      <c r="H1179" s="33">
        <v>0.25</v>
      </c>
      <c r="I1179" s="33">
        <v>0.2</v>
      </c>
      <c r="L1179" s="33">
        <v>2.4</v>
      </c>
      <c r="M1179" s="271">
        <v>0.14050000000000001</v>
      </c>
      <c r="N1179" s="41">
        <v>0</v>
      </c>
      <c r="O1179" s="33">
        <v>25</v>
      </c>
      <c r="P1179" s="163">
        <v>0</v>
      </c>
      <c r="Q1179" s="163">
        <v>0</v>
      </c>
      <c r="R1179" s="163">
        <v>0</v>
      </c>
      <c r="S1179" s="163">
        <v>0</v>
      </c>
      <c r="T1179" s="163">
        <v>0</v>
      </c>
      <c r="U1179" s="163">
        <v>0</v>
      </c>
      <c r="V1179" s="163">
        <v>0</v>
      </c>
      <c r="W1179" s="163">
        <v>0</v>
      </c>
      <c r="X1179" s="163">
        <v>0</v>
      </c>
      <c r="Y1179" s="163">
        <v>0</v>
      </c>
      <c r="Z1179" s="163">
        <v>0</v>
      </c>
      <c r="AA1179" s="40"/>
      <c r="AB1179" s="40"/>
      <c r="AC1179" s="40"/>
      <c r="AD1179" s="40"/>
      <c r="AE1179" s="40"/>
      <c r="AF1179" s="40"/>
      <c r="AG1179" s="40"/>
      <c r="AH1179" s="40"/>
      <c r="AI1179" s="40"/>
      <c r="AJ1179" s="40"/>
      <c r="AK1179" s="40"/>
      <c r="AL1179" s="40"/>
      <c r="AM1179" s="40"/>
      <c r="AN1179" s="40"/>
      <c r="AO1179" s="40"/>
      <c r="AP1179" s="40"/>
      <c r="AQ1179" s="40"/>
      <c r="AR1179" s="40"/>
      <c r="AS1179" s="40"/>
      <c r="AT1179" s="40"/>
      <c r="AU1179" s="40"/>
      <c r="AV1179" s="163">
        <v>0</v>
      </c>
      <c r="AW1179" s="40"/>
      <c r="AX1179" s="40"/>
      <c r="AY1179" s="163">
        <v>0</v>
      </c>
      <c r="AZ1179" s="40"/>
      <c r="BA1179" s="40"/>
      <c r="BB1179" s="40"/>
      <c r="BC1179" s="163">
        <v>0</v>
      </c>
      <c r="BD1179" s="163">
        <v>0</v>
      </c>
      <c r="BE1179" s="163">
        <v>0</v>
      </c>
      <c r="BF1179" s="40"/>
      <c r="BG1179" s="40"/>
      <c r="BH1179" s="40"/>
      <c r="BI1179" s="40"/>
      <c r="BJ1179" s="40"/>
      <c r="BK1179" s="40"/>
      <c r="BL1179" s="62">
        <v>1</v>
      </c>
      <c r="BM1179" s="275">
        <v>3</v>
      </c>
      <c r="BN1179" s="62">
        <v>0.03</v>
      </c>
      <c r="BO1179" s="33" t="s">
        <v>614</v>
      </c>
      <c r="BP1179" s="33" t="s">
        <v>602</v>
      </c>
    </row>
    <row r="1180" spans="1:68">
      <c r="A1180" s="33" t="str">
        <f>Database_Productkaarten[[#This Row],[Product]]&amp;", "&amp;Database_Productkaarten[[#This Row],[Levensfase]]</f>
        <v>Trottoirband 180/200x250 (hergebruik), A4</v>
      </c>
      <c r="B1180" s="33" t="s">
        <v>622</v>
      </c>
      <c r="C1180" t="s">
        <v>55</v>
      </c>
      <c r="D1180" s="33" t="s">
        <v>388</v>
      </c>
      <c r="E1180" s="33" t="s">
        <v>389</v>
      </c>
      <c r="F1180" s="33" t="s">
        <v>78</v>
      </c>
      <c r="G1180" s="33">
        <v>1</v>
      </c>
      <c r="H1180" s="33">
        <v>0.25</v>
      </c>
      <c r="I1180" s="33">
        <v>0.2</v>
      </c>
      <c r="L1180" s="33">
        <v>2.4</v>
      </c>
      <c r="M1180" s="271">
        <v>0.14050000000000001</v>
      </c>
      <c r="N1180" s="41">
        <f>N1165</f>
        <v>4.2110000000000002E-2</v>
      </c>
      <c r="O1180" s="33">
        <v>25</v>
      </c>
      <c r="P1180" s="163">
        <f t="shared" ref="P1180:Z1180" si="408">P1165</f>
        <v>6.3966065333333326E-6</v>
      </c>
      <c r="Q1180" s="163">
        <f t="shared" si="408"/>
        <v>1.6602610666666667E-2</v>
      </c>
      <c r="R1180" s="163">
        <f t="shared" si="408"/>
        <v>2.2492915999999998</v>
      </c>
      <c r="S1180" s="163">
        <f t="shared" si="408"/>
        <v>4.1450005333333335E-7</v>
      </c>
      <c r="T1180" s="163">
        <f t="shared" si="408"/>
        <v>1.3276035066666669E-3</v>
      </c>
      <c r="U1180" s="163">
        <f t="shared" si="408"/>
        <v>9.7516493333333325E-3</v>
      </c>
      <c r="V1180" s="163">
        <f t="shared" si="408"/>
        <v>1.9432388E-3</v>
      </c>
      <c r="W1180" s="163">
        <f t="shared" si="408"/>
        <v>0.89989242666666669</v>
      </c>
      <c r="X1180" s="163">
        <f t="shared" si="408"/>
        <v>2.6392633333333332E-2</v>
      </c>
      <c r="Y1180" s="163">
        <f t="shared" si="408"/>
        <v>95.258838666666676</v>
      </c>
      <c r="Z1180" s="163">
        <f t="shared" si="408"/>
        <v>3.1884342666666666E-3</v>
      </c>
      <c r="AA1180" s="40"/>
      <c r="AB1180" s="40"/>
      <c r="AC1180" s="40"/>
      <c r="AD1180" s="40"/>
      <c r="AE1180" s="40"/>
      <c r="AF1180" s="40"/>
      <c r="AG1180" s="40"/>
      <c r="AH1180" s="40"/>
      <c r="AI1180" s="40"/>
      <c r="AJ1180" s="40"/>
      <c r="AK1180" s="40"/>
      <c r="AL1180" s="40"/>
      <c r="AM1180" s="40"/>
      <c r="AN1180" s="40"/>
      <c r="AO1180" s="40"/>
      <c r="AP1180" s="40"/>
      <c r="AQ1180" s="40"/>
      <c r="AR1180" s="40"/>
      <c r="AS1180" s="40"/>
      <c r="AT1180" s="40"/>
      <c r="AU1180" s="40"/>
      <c r="AV1180" s="163">
        <f>AV1165</f>
        <v>0.61485841730769231</v>
      </c>
      <c r="AW1180" s="40"/>
      <c r="AX1180" s="40"/>
      <c r="AY1180" s="163">
        <f>AY1165</f>
        <v>48.044928461538454</v>
      </c>
      <c r="AZ1180" s="40"/>
      <c r="BA1180" s="40"/>
      <c r="BB1180" s="40"/>
      <c r="BC1180" s="163">
        <f t="shared" ref="BC1180:BE1180" si="409">BC1165</f>
        <v>8.6407605000000005E-3</v>
      </c>
      <c r="BD1180" s="163">
        <f t="shared" si="409"/>
        <v>3.3181120384615382E-4</v>
      </c>
      <c r="BE1180" s="163">
        <f t="shared" si="409"/>
        <v>2.7616588269230768</v>
      </c>
      <c r="BF1180" s="40"/>
      <c r="BG1180" s="40"/>
      <c r="BH1180" s="40"/>
      <c r="BI1180" s="40"/>
      <c r="BJ1180" s="40"/>
      <c r="BK1180" s="40"/>
      <c r="BL1180" s="62">
        <v>1</v>
      </c>
      <c r="BM1180" s="275">
        <v>3</v>
      </c>
      <c r="BN1180" s="62">
        <v>0.03</v>
      </c>
      <c r="BO1180" s="33" t="s">
        <v>614</v>
      </c>
      <c r="BP1180" s="33" t="s">
        <v>602</v>
      </c>
    </row>
    <row r="1181" spans="1:68">
      <c r="A1181" s="33" t="str">
        <f>Database_Productkaarten[[#This Row],[Product]]&amp;", "&amp;Database_Productkaarten[[#This Row],[Levensfase]]</f>
        <v>Trottoirband 180/200x250 (hergebruik), A5</v>
      </c>
      <c r="B1181" s="33" t="s">
        <v>622</v>
      </c>
      <c r="C1181" t="s">
        <v>55</v>
      </c>
      <c r="D1181" s="33" t="s">
        <v>388</v>
      </c>
      <c r="E1181" s="33" t="s">
        <v>389</v>
      </c>
      <c r="F1181" s="33" t="s">
        <v>79</v>
      </c>
      <c r="G1181" s="33">
        <v>1</v>
      </c>
      <c r="H1181" s="33">
        <v>0.25</v>
      </c>
      <c r="I1181" s="33">
        <v>0.2</v>
      </c>
      <c r="L1181" s="33">
        <v>2.4</v>
      </c>
      <c r="M1181" s="271">
        <v>0.14050000000000001</v>
      </c>
      <c r="N1181" s="41">
        <f t="shared" ref="N1181:N1186" si="410">N1166</f>
        <v>0.53442999999999996</v>
      </c>
      <c r="O1181" s="33">
        <v>25</v>
      </c>
      <c r="P1181" s="163">
        <f t="shared" ref="P1181:Z1181" si="411">P1166</f>
        <v>9.5332912000000001E-7</v>
      </c>
      <c r="Q1181" s="163">
        <f t="shared" si="411"/>
        <v>7.4712112000000002E-3</v>
      </c>
      <c r="R1181" s="163">
        <f t="shared" si="411"/>
        <v>1.3362646666666667</v>
      </c>
      <c r="S1181" s="163">
        <f t="shared" si="411"/>
        <v>1.7357893333333334E-7</v>
      </c>
      <c r="T1181" s="163">
        <f t="shared" si="411"/>
        <v>9.4215853333333335E-4</v>
      </c>
      <c r="U1181" s="163">
        <f t="shared" si="411"/>
        <v>7.362876E-3</v>
      </c>
      <c r="V1181" s="163">
        <f t="shared" si="411"/>
        <v>1.6169649333333334E-3</v>
      </c>
      <c r="W1181" s="163">
        <f t="shared" si="411"/>
        <v>0.35883849333333334</v>
      </c>
      <c r="X1181" s="163">
        <f t="shared" si="411"/>
        <v>6.1132087999999996E-3</v>
      </c>
      <c r="Y1181" s="163">
        <f t="shared" si="411"/>
        <v>22.468252000000003</v>
      </c>
      <c r="Z1181" s="163">
        <f t="shared" si="411"/>
        <v>1.4326484E-3</v>
      </c>
      <c r="AA1181" s="40"/>
      <c r="AB1181" s="40"/>
      <c r="AC1181" s="40"/>
      <c r="AD1181" s="40"/>
      <c r="AE1181" s="40"/>
      <c r="AF1181" s="40"/>
      <c r="AG1181" s="40"/>
      <c r="AH1181" s="40"/>
      <c r="AI1181" s="40"/>
      <c r="AJ1181" s="40"/>
      <c r="AK1181" s="40"/>
      <c r="AL1181" s="40"/>
      <c r="AM1181" s="40"/>
      <c r="AN1181" s="40"/>
      <c r="AO1181" s="40"/>
      <c r="AP1181" s="40"/>
      <c r="AQ1181" s="40"/>
      <c r="AR1181" s="40"/>
      <c r="AS1181" s="40"/>
      <c r="AT1181" s="40"/>
      <c r="AU1181" s="40"/>
      <c r="AV1181" s="163">
        <f t="shared" ref="AV1181:AV1186" si="412">AV1166</f>
        <v>0.61645564038461542</v>
      </c>
      <c r="AW1181" s="40"/>
      <c r="AX1181" s="40"/>
      <c r="AY1181" s="163">
        <f t="shared" ref="AY1181:AY1186" si="413">AY1166</f>
        <v>21.721974230769231</v>
      </c>
      <c r="AZ1181" s="40"/>
      <c r="BA1181" s="40"/>
      <c r="BB1181" s="40"/>
      <c r="BC1181" s="163">
        <f t="shared" ref="BC1181:BE1181" si="414">BC1166</f>
        <v>4.0438211538461541E-2</v>
      </c>
      <c r="BD1181" s="163">
        <f t="shared" si="414"/>
        <v>0.29570012307692306</v>
      </c>
      <c r="BE1181" s="163">
        <f t="shared" si="414"/>
        <v>0.23922415384615384</v>
      </c>
      <c r="BF1181" s="40"/>
      <c r="BG1181" s="40"/>
      <c r="BH1181" s="40"/>
      <c r="BI1181" s="40"/>
      <c r="BJ1181" s="40"/>
      <c r="BK1181" s="40"/>
      <c r="BL1181" s="62">
        <v>1</v>
      </c>
      <c r="BM1181" s="275">
        <v>3</v>
      </c>
      <c r="BN1181" s="62">
        <v>0.03</v>
      </c>
      <c r="BO1181" s="33" t="s">
        <v>614</v>
      </c>
      <c r="BP1181" s="33" t="s">
        <v>602</v>
      </c>
    </row>
    <row r="1182" spans="1:68">
      <c r="A1182" s="33" t="str">
        <f>Database_Productkaarten[[#This Row],[Product]]&amp;", "&amp;Database_Productkaarten[[#This Row],[Levensfase]]</f>
        <v>Trottoirband 180/200x250 (hergebruik), B1</v>
      </c>
      <c r="B1182" s="33" t="s">
        <v>622</v>
      </c>
      <c r="C1182" t="s">
        <v>55</v>
      </c>
      <c r="D1182" s="33" t="s">
        <v>388</v>
      </c>
      <c r="E1182" s="33" t="s">
        <v>389</v>
      </c>
      <c r="F1182" s="33" t="s">
        <v>80</v>
      </c>
      <c r="G1182" s="33">
        <v>1</v>
      </c>
      <c r="H1182" s="33">
        <v>0.25</v>
      </c>
      <c r="I1182" s="33">
        <v>0.2</v>
      </c>
      <c r="L1182" s="33">
        <v>2.4</v>
      </c>
      <c r="M1182" s="271">
        <v>0.14050000000000001</v>
      </c>
      <c r="N1182" s="41">
        <f t="shared" si="410"/>
        <v>0</v>
      </c>
      <c r="O1182" s="33">
        <v>25</v>
      </c>
      <c r="P1182" s="163">
        <f t="shared" ref="P1182:Z1182" si="415">P1167</f>
        <v>0</v>
      </c>
      <c r="Q1182" s="163">
        <f t="shared" si="415"/>
        <v>0</v>
      </c>
      <c r="R1182" s="163">
        <f t="shared" si="415"/>
        <v>0</v>
      </c>
      <c r="S1182" s="163">
        <f t="shared" si="415"/>
        <v>0</v>
      </c>
      <c r="T1182" s="163">
        <f t="shared" si="415"/>
        <v>0</v>
      </c>
      <c r="U1182" s="163">
        <f t="shared" si="415"/>
        <v>0</v>
      </c>
      <c r="V1182" s="163">
        <f t="shared" si="415"/>
        <v>0</v>
      </c>
      <c r="W1182" s="163">
        <f t="shared" si="415"/>
        <v>0</v>
      </c>
      <c r="X1182" s="163">
        <f t="shared" si="415"/>
        <v>0</v>
      </c>
      <c r="Y1182" s="163">
        <f t="shared" si="415"/>
        <v>0</v>
      </c>
      <c r="Z1182" s="163">
        <f t="shared" si="415"/>
        <v>0</v>
      </c>
      <c r="AA1182" s="40"/>
      <c r="AB1182" s="40"/>
      <c r="AC1182" s="40"/>
      <c r="AD1182" s="40"/>
      <c r="AE1182" s="40"/>
      <c r="AF1182" s="40"/>
      <c r="AG1182" s="40"/>
      <c r="AH1182" s="40"/>
      <c r="AI1182" s="40"/>
      <c r="AJ1182" s="40"/>
      <c r="AK1182" s="40"/>
      <c r="AL1182" s="40"/>
      <c r="AM1182" s="40"/>
      <c r="AN1182" s="40"/>
      <c r="AO1182" s="40"/>
      <c r="AP1182" s="40"/>
      <c r="AQ1182" s="40"/>
      <c r="AR1182" s="40"/>
      <c r="AS1182" s="40"/>
      <c r="AT1182" s="40"/>
      <c r="AU1182" s="40"/>
      <c r="AV1182" s="163">
        <f t="shared" si="412"/>
        <v>0</v>
      </c>
      <c r="AW1182" s="40"/>
      <c r="AX1182" s="40"/>
      <c r="AY1182" s="163">
        <f t="shared" si="413"/>
        <v>0</v>
      </c>
      <c r="AZ1182" s="40"/>
      <c r="BA1182" s="40"/>
      <c r="BB1182" s="40"/>
      <c r="BC1182" s="163">
        <f t="shared" ref="BC1182:BE1182" si="416">BC1167</f>
        <v>0</v>
      </c>
      <c r="BD1182" s="163">
        <f t="shared" si="416"/>
        <v>0</v>
      </c>
      <c r="BE1182" s="163">
        <f t="shared" si="416"/>
        <v>0</v>
      </c>
      <c r="BF1182" s="40"/>
      <c r="BG1182" s="40"/>
      <c r="BH1182" s="40"/>
      <c r="BI1182" s="40"/>
      <c r="BJ1182" s="40"/>
      <c r="BK1182" s="40"/>
      <c r="BL1182" s="62">
        <v>1</v>
      </c>
      <c r="BM1182" s="275">
        <v>3</v>
      </c>
      <c r="BN1182" s="62">
        <v>0.03</v>
      </c>
      <c r="BO1182" s="33" t="s">
        <v>614</v>
      </c>
      <c r="BP1182" s="33" t="s">
        <v>602</v>
      </c>
    </row>
    <row r="1183" spans="1:68">
      <c r="A1183" s="33" t="str">
        <f>Database_Productkaarten[[#This Row],[Product]]&amp;", "&amp;Database_Productkaarten[[#This Row],[Levensfase]]</f>
        <v>Trottoirband 180/200x250 (hergebruik), C1</v>
      </c>
      <c r="B1183" s="33" t="s">
        <v>622</v>
      </c>
      <c r="C1183" t="s">
        <v>55</v>
      </c>
      <c r="D1183" s="33" t="s">
        <v>388</v>
      </c>
      <c r="E1183" s="33" t="s">
        <v>389</v>
      </c>
      <c r="F1183" s="33" t="s">
        <v>83</v>
      </c>
      <c r="G1183" s="33">
        <v>1</v>
      </c>
      <c r="H1183" s="33">
        <v>0.25</v>
      </c>
      <c r="I1183" s="33">
        <v>0.2</v>
      </c>
      <c r="L1183" s="33">
        <v>2.4</v>
      </c>
      <c r="M1183" s="271">
        <v>0.14050000000000001</v>
      </c>
      <c r="N1183" s="41">
        <f t="shared" si="410"/>
        <v>0.26101000000000002</v>
      </c>
      <c r="O1183" s="33">
        <v>25</v>
      </c>
      <c r="P1183" s="163">
        <f t="shared" ref="P1183:Z1183" si="417">P1168</f>
        <v>2.6565903999999997E-7</v>
      </c>
      <c r="Q1183" s="163">
        <f t="shared" si="417"/>
        <v>5.4734473333333334E-3</v>
      </c>
      <c r="R1183" s="163">
        <f t="shared" si="417"/>
        <v>0.79329706666666666</v>
      </c>
      <c r="S1183" s="163">
        <f t="shared" si="417"/>
        <v>1.4289025333333332E-7</v>
      </c>
      <c r="T1183" s="163">
        <f t="shared" si="417"/>
        <v>7.9962342666666669E-4</v>
      </c>
      <c r="U1183" s="163">
        <f t="shared" si="417"/>
        <v>6.0024779999999995E-3</v>
      </c>
      <c r="V1183" s="163">
        <f t="shared" si="417"/>
        <v>1.3440817333333335E-3</v>
      </c>
      <c r="W1183" s="163">
        <f t="shared" si="417"/>
        <v>0.28082190666666668</v>
      </c>
      <c r="X1183" s="163">
        <f t="shared" si="417"/>
        <v>3.9272659999999996E-3</v>
      </c>
      <c r="Y1183" s="163">
        <f t="shared" si="417"/>
        <v>13.312770533333333</v>
      </c>
      <c r="Z1183" s="163">
        <f t="shared" si="417"/>
        <v>4.6924554666666666E-4</v>
      </c>
      <c r="AA1183" s="40"/>
      <c r="AB1183" s="40"/>
      <c r="AC1183" s="40"/>
      <c r="AD1183" s="40"/>
      <c r="AE1183" s="40"/>
      <c r="AF1183" s="40"/>
      <c r="AG1183" s="40"/>
      <c r="AH1183" s="40"/>
      <c r="AI1183" s="40"/>
      <c r="AJ1183" s="40"/>
      <c r="AK1183" s="40"/>
      <c r="AL1183" s="40"/>
      <c r="AM1183" s="40"/>
      <c r="AN1183" s="40"/>
      <c r="AO1183" s="40"/>
      <c r="AP1183" s="40"/>
      <c r="AQ1183" s="40"/>
      <c r="AR1183" s="40"/>
      <c r="AS1183" s="40"/>
      <c r="AT1183" s="40"/>
      <c r="AU1183" s="40"/>
      <c r="AV1183" s="163">
        <f t="shared" si="412"/>
        <v>8.5572991730769238E-2</v>
      </c>
      <c r="AW1183" s="40"/>
      <c r="AX1183" s="40"/>
      <c r="AY1183" s="163">
        <f t="shared" si="413"/>
        <v>15.937811826923076</v>
      </c>
      <c r="AZ1183" s="40"/>
      <c r="BA1183" s="40"/>
      <c r="BB1183" s="40"/>
      <c r="BC1183" s="163">
        <f t="shared" ref="BC1183:BE1183" si="418">BC1168</f>
        <v>1.3139936307692307E-3</v>
      </c>
      <c r="BD1183" s="163">
        <f t="shared" si="418"/>
        <v>1.1033925923076922E-4</v>
      </c>
      <c r="BE1183" s="163">
        <f t="shared" si="418"/>
        <v>1.6262717538461539E-2</v>
      </c>
      <c r="BF1183" s="40"/>
      <c r="BG1183" s="40"/>
      <c r="BH1183" s="40"/>
      <c r="BI1183" s="40"/>
      <c r="BJ1183" s="40"/>
      <c r="BK1183" s="40"/>
      <c r="BL1183" s="62">
        <v>1</v>
      </c>
      <c r="BM1183" s="275">
        <v>3</v>
      </c>
      <c r="BN1183" s="62">
        <v>0.03</v>
      </c>
      <c r="BO1183" s="33" t="s">
        <v>614</v>
      </c>
      <c r="BP1183" s="33" t="s">
        <v>602</v>
      </c>
    </row>
    <row r="1184" spans="1:68">
      <c r="A1184" s="33" t="str">
        <f>Database_Productkaarten[[#This Row],[Product]]&amp;", "&amp;Database_Productkaarten[[#This Row],[Levensfase]]</f>
        <v>Trottoirband 180/200x250 (hergebruik), C2</v>
      </c>
      <c r="B1184" s="33" t="s">
        <v>622</v>
      </c>
      <c r="C1184" t="s">
        <v>55</v>
      </c>
      <c r="D1184" s="33" t="s">
        <v>388</v>
      </c>
      <c r="E1184" s="33" t="s">
        <v>389</v>
      </c>
      <c r="F1184" s="33" t="s">
        <v>84</v>
      </c>
      <c r="G1184" s="33">
        <v>1</v>
      </c>
      <c r="H1184" s="33">
        <v>0.25</v>
      </c>
      <c r="I1184" s="33">
        <v>0.2</v>
      </c>
      <c r="L1184" s="33">
        <v>2.4</v>
      </c>
      <c r="M1184" s="271">
        <v>0.14050000000000001</v>
      </c>
      <c r="N1184" s="41">
        <f t="shared" si="410"/>
        <v>4.2529999999999998E-2</v>
      </c>
      <c r="O1184" s="33">
        <v>25</v>
      </c>
      <c r="P1184" s="163">
        <f t="shared" ref="P1184:Z1184" si="419">P1169</f>
        <v>2.1535241333333333E-6</v>
      </c>
      <c r="Q1184" s="163">
        <f t="shared" si="419"/>
        <v>5.5895457333333329E-3</v>
      </c>
      <c r="R1184" s="163">
        <f t="shared" si="419"/>
        <v>0.75726149333333337</v>
      </c>
      <c r="S1184" s="163">
        <f t="shared" si="419"/>
        <v>1.3954834666666666E-7</v>
      </c>
      <c r="T1184" s="163">
        <f t="shared" si="419"/>
        <v>4.4695985333333333E-4</v>
      </c>
      <c r="U1184" s="163">
        <f t="shared" si="419"/>
        <v>3.2830553333333332E-3</v>
      </c>
      <c r="V1184" s="163">
        <f t="shared" si="419"/>
        <v>6.542237333333334E-4</v>
      </c>
      <c r="W1184" s="163">
        <f t="shared" si="419"/>
        <v>0.30296378666666668</v>
      </c>
      <c r="X1184" s="163">
        <f t="shared" si="419"/>
        <v>8.8855199999999992E-3</v>
      </c>
      <c r="Y1184" s="163">
        <f t="shared" si="419"/>
        <v>32.070475999999999</v>
      </c>
      <c r="Z1184" s="163">
        <f t="shared" si="419"/>
        <v>1.0734395333333333E-3</v>
      </c>
      <c r="AA1184" s="40"/>
      <c r="AB1184" s="40"/>
      <c r="AC1184" s="40"/>
      <c r="AD1184" s="40"/>
      <c r="AE1184" s="40"/>
      <c r="AF1184" s="40"/>
      <c r="AG1184" s="40"/>
      <c r="AH1184" s="40"/>
      <c r="AI1184" s="40"/>
      <c r="AJ1184" s="40"/>
      <c r="AK1184" s="40"/>
      <c r="AL1184" s="40"/>
      <c r="AM1184" s="40"/>
      <c r="AN1184" s="40"/>
      <c r="AO1184" s="40"/>
      <c r="AP1184" s="40"/>
      <c r="AQ1184" s="40"/>
      <c r="AR1184" s="40"/>
      <c r="AS1184" s="40"/>
      <c r="AT1184" s="40"/>
      <c r="AU1184" s="40"/>
      <c r="AV1184" s="163">
        <f t="shared" si="412"/>
        <v>0.20700233653846153</v>
      </c>
      <c r="AW1184" s="40"/>
      <c r="AX1184" s="40"/>
      <c r="AY1184" s="163">
        <f t="shared" si="413"/>
        <v>16.175125903846151</v>
      </c>
      <c r="AZ1184" s="40"/>
      <c r="BA1184" s="40"/>
      <c r="BB1184" s="40"/>
      <c r="BC1184" s="163">
        <f t="shared" ref="BC1184:BE1184" si="420">BC1169</f>
        <v>2.9090559807692313E-3</v>
      </c>
      <c r="BD1184" s="163">
        <f t="shared" si="420"/>
        <v>1.1170977057692308E-4</v>
      </c>
      <c r="BE1184" s="163">
        <f t="shared" si="420"/>
        <v>0.92975846538461526</v>
      </c>
      <c r="BF1184" s="40"/>
      <c r="BG1184" s="40"/>
      <c r="BH1184" s="40"/>
      <c r="BI1184" s="40"/>
      <c r="BJ1184" s="40"/>
      <c r="BK1184" s="40"/>
      <c r="BL1184" s="62">
        <v>1</v>
      </c>
      <c r="BM1184" s="275">
        <v>3</v>
      </c>
      <c r="BN1184" s="62">
        <v>0.03</v>
      </c>
      <c r="BO1184" s="33" t="s">
        <v>614</v>
      </c>
      <c r="BP1184" s="33" t="s">
        <v>602</v>
      </c>
    </row>
    <row r="1185" spans="1:68">
      <c r="A1185" s="33" t="str">
        <f>Database_Productkaarten[[#This Row],[Product]]&amp;", "&amp;Database_Productkaarten[[#This Row],[Levensfase]]</f>
        <v>Trottoirband 180/200x250 (hergebruik), C3</v>
      </c>
      <c r="B1185" s="33" t="s">
        <v>622</v>
      </c>
      <c r="C1185" t="s">
        <v>55</v>
      </c>
      <c r="D1185" s="33" t="s">
        <v>388</v>
      </c>
      <c r="E1185" s="33" t="s">
        <v>389</v>
      </c>
      <c r="F1185" s="33" t="s">
        <v>85</v>
      </c>
      <c r="G1185" s="33">
        <v>1</v>
      </c>
      <c r="H1185" s="33">
        <v>0.25</v>
      </c>
      <c r="I1185" s="33">
        <v>0.2</v>
      </c>
      <c r="L1185" s="33">
        <v>2.4</v>
      </c>
      <c r="M1185" s="271">
        <v>0.14050000000000001</v>
      </c>
      <c r="N1185" s="41">
        <f t="shared" si="410"/>
        <v>7.3000000000000001E-3</v>
      </c>
      <c r="O1185" s="33">
        <v>25</v>
      </c>
      <c r="P1185" s="163">
        <f t="shared" ref="P1185:Z1185" si="421">P1170</f>
        <v>1.0919233066666667E-7</v>
      </c>
      <c r="Q1185" s="163">
        <f t="shared" si="421"/>
        <v>1.3548406666666667E-3</v>
      </c>
      <c r="R1185" s="163">
        <f t="shared" si="421"/>
        <v>0.17983133333333334</v>
      </c>
      <c r="S1185" s="163">
        <f t="shared" si="421"/>
        <v>2.0889570666666667E-8</v>
      </c>
      <c r="T1185" s="163">
        <f t="shared" si="421"/>
        <v>1.0075716E-4</v>
      </c>
      <c r="U1185" s="163">
        <f t="shared" si="421"/>
        <v>8.3085880000000002E-4</v>
      </c>
      <c r="V1185" s="163">
        <f t="shared" si="421"/>
        <v>1.8736637333333333E-4</v>
      </c>
      <c r="W1185" s="163">
        <f t="shared" si="421"/>
        <v>3.9342174666666667E-2</v>
      </c>
      <c r="X1185" s="163">
        <f t="shared" si="421"/>
        <v>6.567237333333333E-4</v>
      </c>
      <c r="Y1185" s="163">
        <f t="shared" si="421"/>
        <v>2.5192472000000001</v>
      </c>
      <c r="Z1185" s="163">
        <f t="shared" si="421"/>
        <v>5.3073206666666667E-4</v>
      </c>
      <c r="AA1185" s="40"/>
      <c r="AB1185" s="40"/>
      <c r="AC1185" s="40"/>
      <c r="AD1185" s="40"/>
      <c r="AE1185" s="40"/>
      <c r="AF1185" s="40"/>
      <c r="AG1185" s="40"/>
      <c r="AH1185" s="40"/>
      <c r="AI1185" s="40"/>
      <c r="AJ1185" s="40"/>
      <c r="AK1185" s="40"/>
      <c r="AL1185" s="40"/>
      <c r="AM1185" s="40"/>
      <c r="AN1185" s="40"/>
      <c r="AO1185" s="40"/>
      <c r="AP1185" s="40"/>
      <c r="AQ1185" s="40"/>
      <c r="AR1185" s="40"/>
      <c r="AS1185" s="40"/>
      <c r="AT1185" s="40"/>
      <c r="AU1185" s="40"/>
      <c r="AV1185" s="163">
        <f t="shared" si="412"/>
        <v>0.18941046923076924</v>
      </c>
      <c r="AW1185" s="40"/>
      <c r="AX1185" s="40"/>
      <c r="AY1185" s="163">
        <f t="shared" si="413"/>
        <v>3.6823699038461539</v>
      </c>
      <c r="AZ1185" s="40"/>
      <c r="BA1185" s="40"/>
      <c r="BB1185" s="40"/>
      <c r="BC1185" s="163">
        <f t="shared" ref="BC1185:BE1185" si="422">BC1170</f>
        <v>5.8758703269230772E-4</v>
      </c>
      <c r="BD1185" s="163">
        <f t="shared" si="422"/>
        <v>2.1331727307692306E-5</v>
      </c>
      <c r="BE1185" s="163">
        <f t="shared" si="422"/>
        <v>0.44528581730769223</v>
      </c>
      <c r="BF1185" s="40"/>
      <c r="BG1185" s="40"/>
      <c r="BH1185" s="40"/>
      <c r="BI1185" s="40"/>
      <c r="BJ1185" s="40"/>
      <c r="BK1185" s="40"/>
      <c r="BL1185" s="62">
        <v>1</v>
      </c>
      <c r="BM1185" s="275">
        <v>3</v>
      </c>
      <c r="BN1185" s="62">
        <v>0.03</v>
      </c>
      <c r="BO1185" s="33" t="s">
        <v>614</v>
      </c>
      <c r="BP1185" s="33" t="s">
        <v>602</v>
      </c>
    </row>
    <row r="1186" spans="1:68">
      <c r="A1186" s="33" t="str">
        <f>Database_Productkaarten[[#This Row],[Product]]&amp;", "&amp;Database_Productkaarten[[#This Row],[Levensfase]]</f>
        <v>Trottoirband 180/200x250 (hergebruik), C4</v>
      </c>
      <c r="B1186" s="33" t="s">
        <v>622</v>
      </c>
      <c r="C1186" t="s">
        <v>55</v>
      </c>
      <c r="D1186" s="33" t="s">
        <v>388</v>
      </c>
      <c r="E1186" s="33" t="s">
        <v>389</v>
      </c>
      <c r="F1186" s="33" t="s">
        <v>86</v>
      </c>
      <c r="G1186" s="33">
        <v>1</v>
      </c>
      <c r="H1186" s="33">
        <v>0.25</v>
      </c>
      <c r="I1186" s="33">
        <v>0.2</v>
      </c>
      <c r="L1186" s="33">
        <v>2.4</v>
      </c>
      <c r="M1186" s="271">
        <v>0.14050000000000001</v>
      </c>
      <c r="N1186" s="41">
        <f t="shared" si="410"/>
        <v>6.4999999999999997E-4</v>
      </c>
      <c r="O1186" s="33">
        <v>25</v>
      </c>
      <c r="P1186" s="163">
        <f t="shared" ref="P1186:Z1186" si="423">P1171</f>
        <v>6.942748933333333E-9</v>
      </c>
      <c r="Q1186" s="163">
        <f t="shared" si="423"/>
        <v>8.2781605333333337E-5</v>
      </c>
      <c r="R1186" s="163">
        <f t="shared" si="423"/>
        <v>6.0829154666666675E-3</v>
      </c>
      <c r="S1186" s="163">
        <f t="shared" si="423"/>
        <v>2.0133493333333335E-9</v>
      </c>
      <c r="T1186" s="163">
        <f t="shared" si="423"/>
        <v>6.4462192000000004E-6</v>
      </c>
      <c r="U1186" s="163">
        <f t="shared" si="423"/>
        <v>4.4949061333333336E-5</v>
      </c>
      <c r="V1186" s="163">
        <f t="shared" si="423"/>
        <v>8.4595130666666664E-6</v>
      </c>
      <c r="W1186" s="163">
        <f t="shared" si="423"/>
        <v>2.4799855999999999E-3</v>
      </c>
      <c r="X1186" s="163">
        <f t="shared" si="423"/>
        <v>6.1667622666666672E-5</v>
      </c>
      <c r="Y1186" s="163">
        <f t="shared" si="423"/>
        <v>0.21209869333333334</v>
      </c>
      <c r="Z1186" s="163">
        <f t="shared" si="423"/>
        <v>7.3446299999999995E-6</v>
      </c>
      <c r="AA1186" s="40"/>
      <c r="AB1186" s="40"/>
      <c r="AC1186" s="40"/>
      <c r="AD1186" s="40"/>
      <c r="AE1186" s="40"/>
      <c r="AF1186" s="40"/>
      <c r="AG1186" s="40"/>
      <c r="AH1186" s="40"/>
      <c r="AI1186" s="40"/>
      <c r="AJ1186" s="40"/>
      <c r="AK1186" s="40"/>
      <c r="AL1186" s="40"/>
      <c r="AM1186" s="40"/>
      <c r="AN1186" s="40"/>
      <c r="AO1186" s="40"/>
      <c r="AP1186" s="40"/>
      <c r="AQ1186" s="40"/>
      <c r="AR1186" s="40"/>
      <c r="AS1186" s="40"/>
      <c r="AT1186" s="40"/>
      <c r="AU1186" s="40"/>
      <c r="AV1186" s="163">
        <f t="shared" si="412"/>
        <v>5.7558554999999996E-3</v>
      </c>
      <c r="AW1186" s="40"/>
      <c r="AX1186" s="40"/>
      <c r="AY1186" s="163">
        <f t="shared" si="413"/>
        <v>0.24003932884615384</v>
      </c>
      <c r="AZ1186" s="40"/>
      <c r="BA1186" s="40"/>
      <c r="BB1186" s="40"/>
      <c r="BC1186" s="163">
        <f t="shared" ref="BC1186:BE1186" si="424">BC1171</f>
        <v>2.4192899999999999E-4</v>
      </c>
      <c r="BD1186" s="163">
        <f t="shared" si="424"/>
        <v>1.6305694096153847E-6</v>
      </c>
      <c r="BE1186" s="163">
        <f t="shared" si="424"/>
        <v>1.4775994211538461</v>
      </c>
      <c r="BF1186" s="40"/>
      <c r="BG1186" s="40"/>
      <c r="BH1186" s="40"/>
      <c r="BI1186" s="40"/>
      <c r="BJ1186" s="40"/>
      <c r="BK1186" s="40"/>
      <c r="BL1186" s="62">
        <v>1</v>
      </c>
      <c r="BM1186" s="275">
        <v>3</v>
      </c>
      <c r="BN1186" s="62">
        <v>0.03</v>
      </c>
      <c r="BO1186" s="33" t="s">
        <v>614</v>
      </c>
      <c r="BP1186" s="33" t="s">
        <v>602</v>
      </c>
    </row>
    <row r="1187" spans="1:68">
      <c r="A1187" s="33" t="str">
        <f>Database_Productkaarten[[#This Row],[Product]]&amp;", "&amp;Database_Productkaarten[[#This Row],[Levensfase]]</f>
        <v>Trottoirband 180/200x250 (hergebruik), D</v>
      </c>
      <c r="B1187" s="33" t="s">
        <v>622</v>
      </c>
      <c r="C1187" s="33" t="str">
        <f>C1188</f>
        <v>Elementenverhardingen</v>
      </c>
      <c r="D1187" s="33" t="str">
        <f>D1188</f>
        <v>Trottoirband</v>
      </c>
      <c r="E1187" s="33" t="str">
        <f>E1188</f>
        <v>m1</v>
      </c>
      <c r="F1187" s="33" t="s">
        <v>89</v>
      </c>
      <c r="G1187" s="33">
        <f>G1188</f>
        <v>1</v>
      </c>
      <c r="H1187" s="33">
        <v>0.25</v>
      </c>
      <c r="I1187" s="33">
        <v>0.2</v>
      </c>
      <c r="L1187" s="33">
        <v>2.4</v>
      </c>
      <c r="M1187" s="271">
        <v>0.14050000000000001</v>
      </c>
      <c r="N1187" s="41">
        <f>N1164*0.1</f>
        <v>5.9261000000000001E-2</v>
      </c>
      <c r="O1187" s="33">
        <v>25</v>
      </c>
      <c r="P1187" s="163">
        <f t="shared" ref="P1187:Z1187" si="425">P1164*0.1</f>
        <v>1.6631311586666666E-6</v>
      </c>
      <c r="Q1187" s="163">
        <f t="shared" si="425"/>
        <v>4.5961462266666669E-3</v>
      </c>
      <c r="R1187" s="163">
        <f t="shared" si="425"/>
        <v>1.5359021786666669</v>
      </c>
      <c r="S1187" s="163">
        <f t="shared" si="425"/>
        <v>4.8447304799999995E-8</v>
      </c>
      <c r="T1187" s="163">
        <f t="shared" si="425"/>
        <v>3.1853575893333333E-4</v>
      </c>
      <c r="U1187" s="163">
        <f t="shared" si="425"/>
        <v>3.4006526000000003E-3</v>
      </c>
      <c r="V1187" s="163">
        <f t="shared" si="425"/>
        <v>6.7227896133333336E-4</v>
      </c>
      <c r="W1187" s="163">
        <f t="shared" si="425"/>
        <v>0.15312731733333335</v>
      </c>
      <c r="X1187" s="163">
        <f t="shared" si="425"/>
        <v>3.9422784266666669E-3</v>
      </c>
      <c r="Y1187" s="163">
        <f t="shared" si="425"/>
        <v>18.730929773333333</v>
      </c>
      <c r="Z1187" s="163">
        <f t="shared" si="425"/>
        <v>2.8306242653333338E-3</v>
      </c>
      <c r="AA1187" s="40"/>
      <c r="AB1187" s="40"/>
      <c r="AC1187" s="40"/>
      <c r="AD1187" s="40"/>
      <c r="AE1187" s="40"/>
      <c r="AF1187" s="40"/>
      <c r="AG1187" s="40"/>
      <c r="AH1187" s="40"/>
      <c r="AI1187" s="40"/>
      <c r="AJ1187" s="40"/>
      <c r="AK1187" s="40"/>
      <c r="AL1187" s="40"/>
      <c r="AM1187" s="40"/>
      <c r="AN1187" s="40"/>
      <c r="AO1187" s="40"/>
      <c r="AP1187" s="40"/>
      <c r="AQ1187" s="40"/>
      <c r="AR1187" s="40"/>
      <c r="AS1187" s="40"/>
      <c r="AT1187" s="40"/>
      <c r="AU1187" s="40"/>
      <c r="AV1187" s="163">
        <f>AV1164*0.1</f>
        <v>1.7157088523076927</v>
      </c>
      <c r="AW1187" s="40"/>
      <c r="AX1187" s="40"/>
      <c r="AY1187" s="163">
        <f>AY1164*0.1</f>
        <v>13.24851241153846</v>
      </c>
      <c r="AZ1187" s="40"/>
      <c r="BA1187" s="40"/>
      <c r="BB1187" s="40"/>
      <c r="BC1187" s="163">
        <f t="shared" ref="BC1187:BE1187" si="426">BC1164*0.1</f>
        <v>0.14792435615769231</v>
      </c>
      <c r="BD1187" s="163">
        <f t="shared" si="426"/>
        <v>0.98525679666819266</v>
      </c>
      <c r="BE1187" s="163">
        <f t="shared" si="426"/>
        <v>0.18927844528846155</v>
      </c>
      <c r="BF1187" s="40"/>
      <c r="BG1187" s="40"/>
      <c r="BH1187" s="40"/>
      <c r="BI1187" s="40"/>
      <c r="BJ1187" s="40"/>
      <c r="BK1187" s="40"/>
      <c r="BL1187" s="62">
        <v>1</v>
      </c>
      <c r="BM1187" s="275">
        <v>3</v>
      </c>
      <c r="BN1187" s="62">
        <v>0.03</v>
      </c>
      <c r="BO1187" s="33" t="s">
        <v>614</v>
      </c>
      <c r="BP1187" s="33" t="s">
        <v>602</v>
      </c>
    </row>
    <row r="1188" spans="1:68">
      <c r="A1188" s="33" t="str">
        <f>Database_Productkaarten[[#This Row],[Product]]&amp;", "&amp;Database_Productkaarten[[#This Row],[Levensfase]]</f>
        <v>Trottoirband 180/200x250 (hergebruik), D1</v>
      </c>
      <c r="B1188" s="33" t="s">
        <v>622</v>
      </c>
      <c r="C1188" t="s">
        <v>55</v>
      </c>
      <c r="D1188" s="33" t="s">
        <v>388</v>
      </c>
      <c r="E1188" s="33" t="s">
        <v>389</v>
      </c>
      <c r="F1188" s="33" t="s">
        <v>87</v>
      </c>
      <c r="G1188" s="33">
        <v>1</v>
      </c>
      <c r="H1188" s="33">
        <v>0.25</v>
      </c>
      <c r="I1188" s="33">
        <v>0.2</v>
      </c>
      <c r="L1188" s="33">
        <v>2.4</v>
      </c>
      <c r="M1188" s="271">
        <v>0.14050000000000001</v>
      </c>
      <c r="N1188" s="41"/>
      <c r="O1188" s="33">
        <v>25</v>
      </c>
      <c r="P1188" s="40"/>
      <c r="Q1188" s="40"/>
      <c r="R1188" s="40"/>
      <c r="S1188" s="40"/>
      <c r="T1188" s="40"/>
      <c r="U1188" s="40"/>
      <c r="V1188" s="40"/>
      <c r="W1188" s="40"/>
      <c r="X1188" s="40"/>
      <c r="Y1188" s="40"/>
      <c r="Z1188" s="40"/>
      <c r="AA1188" s="40"/>
      <c r="AB1188" s="40"/>
      <c r="AC1188" s="40"/>
      <c r="AD1188" s="40"/>
      <c r="AE1188" s="40"/>
      <c r="AF1188" s="40"/>
      <c r="AG1188" s="40"/>
      <c r="AH1188" s="40"/>
      <c r="AI1188" s="40"/>
      <c r="AJ1188" s="40"/>
      <c r="AK1188" s="40"/>
      <c r="AL1188" s="40"/>
      <c r="AM1188" s="40"/>
      <c r="AN1188" s="40"/>
      <c r="AO1188" s="40"/>
      <c r="AP1188" s="40"/>
      <c r="AQ1188" s="40"/>
      <c r="AR1188" s="40"/>
      <c r="AS1188" s="40"/>
      <c r="AT1188" s="40"/>
      <c r="AU1188" s="40"/>
      <c r="AV1188"/>
      <c r="AW1188"/>
      <c r="AX1188"/>
      <c r="AY1188"/>
      <c r="AZ1188" s="40"/>
      <c r="BA1188" s="40"/>
      <c r="BB1188" s="40"/>
      <c r="BC1188" s="40"/>
      <c r="BD1188" s="40"/>
      <c r="BE1188" s="40"/>
      <c r="BF1188" s="40"/>
      <c r="BG1188" s="40"/>
      <c r="BH1188" s="40"/>
      <c r="BI1188" s="40"/>
      <c r="BJ1188" s="40"/>
      <c r="BK1188" s="40"/>
      <c r="BL1188" s="62">
        <v>1</v>
      </c>
      <c r="BM1188" s="275">
        <v>3</v>
      </c>
      <c r="BN1188" s="62">
        <v>0.03</v>
      </c>
      <c r="BO1188" s="33" t="s">
        <v>614</v>
      </c>
      <c r="BP1188" s="33" t="s">
        <v>602</v>
      </c>
    </row>
    <row r="1189" spans="1:68">
      <c r="A1189" s="33" t="str">
        <f>Database_Productkaarten[[#This Row],[Product]]&amp;", "&amp;Database_Productkaarten[[#This Row],[Levensfase]]</f>
        <v>Trottoirband 180/200x250 (hergebruik), D2</v>
      </c>
      <c r="B1189" s="33" t="s">
        <v>622</v>
      </c>
      <c r="C1189" t="s">
        <v>55</v>
      </c>
      <c r="D1189" s="33" t="s">
        <v>388</v>
      </c>
      <c r="E1189" s="33" t="s">
        <v>389</v>
      </c>
      <c r="F1189" s="33" t="s">
        <v>88</v>
      </c>
      <c r="G1189" s="33">
        <v>1</v>
      </c>
      <c r="H1189" s="33">
        <v>0.25</v>
      </c>
      <c r="I1189" s="33">
        <v>0.2</v>
      </c>
      <c r="L1189" s="33">
        <v>2.4</v>
      </c>
      <c r="M1189" s="271">
        <v>0.14050000000000001</v>
      </c>
      <c r="N1189" s="41"/>
      <c r="O1189" s="33">
        <v>25</v>
      </c>
      <c r="P1189" s="40"/>
      <c r="Q1189" s="40"/>
      <c r="R1189" s="40"/>
      <c r="S1189" s="40"/>
      <c r="T1189" s="40"/>
      <c r="U1189" s="40"/>
      <c r="V1189" s="40"/>
      <c r="W1189" s="40"/>
      <c r="X1189" s="40"/>
      <c r="Y1189" s="40"/>
      <c r="Z1189" s="40"/>
      <c r="AA1189" s="40"/>
      <c r="AB1189" s="40"/>
      <c r="AC1189" s="40"/>
      <c r="AD1189" s="40"/>
      <c r="AE1189" s="40"/>
      <c r="AF1189" s="40"/>
      <c r="AG1189" s="40"/>
      <c r="AH1189" s="40"/>
      <c r="AI1189" s="40"/>
      <c r="AJ1189" s="40"/>
      <c r="AK1189" s="40"/>
      <c r="AL1189" s="40"/>
      <c r="AM1189" s="40"/>
      <c r="AN1189" s="40"/>
      <c r="AO1189" s="40"/>
      <c r="AP1189" s="40"/>
      <c r="AQ1189" s="40"/>
      <c r="AR1189" s="40"/>
      <c r="AS1189" s="40"/>
      <c r="AT1189" s="40"/>
      <c r="AU1189" s="40"/>
      <c r="AV1189"/>
      <c r="AW1189"/>
      <c r="AX1189"/>
      <c r="AY1189"/>
      <c r="AZ1189" s="40"/>
      <c r="BA1189" s="40"/>
      <c r="BB1189" s="40"/>
      <c r="BC1189" s="40"/>
      <c r="BD1189" s="40"/>
      <c r="BE1189" s="40"/>
      <c r="BF1189" s="40"/>
      <c r="BG1189" s="40"/>
      <c r="BH1189" s="40"/>
      <c r="BI1189" s="40"/>
      <c r="BJ1189" s="40"/>
      <c r="BK1189" s="40"/>
      <c r="BL1189" s="62">
        <v>1</v>
      </c>
      <c r="BM1189" s="275">
        <v>3</v>
      </c>
      <c r="BN1189" s="62">
        <v>0.03</v>
      </c>
      <c r="BO1189" s="33" t="s">
        <v>614</v>
      </c>
      <c r="BP1189" s="33" t="s">
        <v>602</v>
      </c>
    </row>
    <row r="1190" spans="1:68">
      <c r="A1190" s="33" t="str">
        <f>Database_Productkaarten[[#This Row],[Product]]&amp;", "&amp;Database_Productkaarten[[#This Row],[Levensfase]]</f>
        <v>Molgoot, Totaal</v>
      </c>
      <c r="B1190" s="33" t="s">
        <v>623</v>
      </c>
      <c r="C1190" t="s">
        <v>55</v>
      </c>
      <c r="D1190" s="33" t="s">
        <v>624</v>
      </c>
      <c r="E1190" s="33" t="s">
        <v>389</v>
      </c>
      <c r="F1190" s="33" t="s">
        <v>90</v>
      </c>
      <c r="G1190" s="33">
        <v>1</v>
      </c>
      <c r="H1190" s="33">
        <v>0.3</v>
      </c>
      <c r="I1190" s="33">
        <v>0.125</v>
      </c>
      <c r="L1190" s="33">
        <v>2.23</v>
      </c>
      <c r="M1190" s="271">
        <v>0.10682</v>
      </c>
      <c r="N1190" s="41">
        <v>1.2299599999999999</v>
      </c>
      <c r="O1190" s="33">
        <v>100</v>
      </c>
      <c r="P1190" s="40">
        <v>1.03E-5</v>
      </c>
      <c r="Q1190" s="40">
        <v>7.9100000000000004E-2</v>
      </c>
      <c r="R1190" s="40">
        <v>13.9</v>
      </c>
      <c r="S1190" s="40">
        <v>1.8199999999999999E-6</v>
      </c>
      <c r="T1190" s="40">
        <v>4.4299999999999999E-3</v>
      </c>
      <c r="U1190" s="40">
        <v>4.0300000000000002E-2</v>
      </c>
      <c r="V1190" s="40">
        <v>7.5700000000000003E-3</v>
      </c>
      <c r="W1190" s="40">
        <v>2.87</v>
      </c>
      <c r="X1190" s="40">
        <v>7.51E-2</v>
      </c>
      <c r="Y1190" s="40">
        <v>253</v>
      </c>
      <c r="Z1190" s="40">
        <v>1.9300000000000001E-2</v>
      </c>
      <c r="AA1190" s="40"/>
      <c r="AB1190" s="40"/>
      <c r="AC1190" s="40"/>
      <c r="AD1190" s="40"/>
      <c r="AE1190" s="40"/>
      <c r="AF1190" s="40"/>
      <c r="AG1190" s="40"/>
      <c r="AH1190" s="40"/>
      <c r="AI1190" s="40"/>
      <c r="AJ1190" s="40"/>
      <c r="AK1190" s="40"/>
      <c r="AL1190" s="40"/>
      <c r="AM1190" s="40"/>
      <c r="AN1190" s="40"/>
      <c r="AO1190" s="40"/>
      <c r="AP1190" s="40"/>
      <c r="AQ1190" s="40"/>
      <c r="AR1190" s="40"/>
      <c r="AS1190" s="40"/>
      <c r="AT1190" s="40"/>
      <c r="AU1190" s="40"/>
      <c r="AV1190" s="317">
        <v>4.63</v>
      </c>
      <c r="AW1190" s="317"/>
      <c r="AX1190" s="317"/>
      <c r="AY1190" s="313">
        <v>176</v>
      </c>
      <c r="AZ1190" s="40"/>
      <c r="BA1190" s="40"/>
      <c r="BB1190" s="40"/>
      <c r="BC1190" s="40">
        <v>0.435</v>
      </c>
      <c r="BD1190" s="163">
        <v>1.45</v>
      </c>
      <c r="BE1190" s="40">
        <v>2.72</v>
      </c>
      <c r="BF1190" s="40"/>
      <c r="BG1190" s="40"/>
      <c r="BH1190" s="40"/>
      <c r="BI1190" s="40"/>
      <c r="BJ1190" s="40"/>
      <c r="BK1190" s="40"/>
      <c r="BL1190" s="62">
        <v>0.15</v>
      </c>
      <c r="BM1190" s="275">
        <v>3</v>
      </c>
      <c r="BN1190" s="62">
        <v>0.03</v>
      </c>
      <c r="BO1190" s="33" t="s">
        <v>625</v>
      </c>
      <c r="BP1190" t="s">
        <v>626</v>
      </c>
    </row>
    <row r="1191" spans="1:68">
      <c r="A1191" s="33" t="str">
        <f>Database_Productkaarten[[#This Row],[Product]]&amp;", "&amp;Database_Productkaarten[[#This Row],[Levensfase]]</f>
        <v>Molgoot, A1</v>
      </c>
      <c r="B1191" s="33" t="s">
        <v>623</v>
      </c>
      <c r="C1191" t="s">
        <v>55</v>
      </c>
      <c r="D1191" s="33" t="s">
        <v>624</v>
      </c>
      <c r="E1191" s="33" t="s">
        <v>389</v>
      </c>
      <c r="F1191" s="33" t="s">
        <v>74</v>
      </c>
      <c r="G1191" s="33">
        <v>1</v>
      </c>
      <c r="H1191" s="33">
        <v>0.3</v>
      </c>
      <c r="I1191" s="33">
        <v>0.125</v>
      </c>
      <c r="L1191" s="33">
        <v>2.23</v>
      </c>
      <c r="M1191" s="271">
        <v>0.10682</v>
      </c>
      <c r="N1191" s="41"/>
      <c r="O1191" s="33">
        <v>100</v>
      </c>
      <c r="P1191" s="40"/>
      <c r="Q1191" s="40"/>
      <c r="R1191" s="40"/>
      <c r="S1191" s="40"/>
      <c r="T1191" s="40"/>
      <c r="U1191" s="40"/>
      <c r="V1191" s="40"/>
      <c r="W1191" s="40"/>
      <c r="X1191" s="40"/>
      <c r="Y1191" s="40"/>
      <c r="Z1191" s="40"/>
      <c r="AA1191" s="40"/>
      <c r="AB1191" s="40"/>
      <c r="AC1191" s="40"/>
      <c r="AD1191" s="40"/>
      <c r="AE1191" s="40"/>
      <c r="AF1191" s="40"/>
      <c r="AG1191" s="40"/>
      <c r="AH1191" s="40"/>
      <c r="AI1191" s="40"/>
      <c r="AJ1191" s="40"/>
      <c r="AK1191" s="40"/>
      <c r="AL1191" s="40"/>
      <c r="AM1191" s="40"/>
      <c r="AN1191" s="40"/>
      <c r="AO1191" s="40"/>
      <c r="AP1191" s="40"/>
      <c r="AQ1191" s="40"/>
      <c r="AR1191" s="40"/>
      <c r="AS1191" s="40"/>
      <c r="AT1191" s="40"/>
      <c r="AU1191" s="40"/>
      <c r="AV1191" s="317"/>
      <c r="AW1191" s="317"/>
      <c r="AX1191" s="317"/>
      <c r="AY1191" s="313"/>
      <c r="AZ1191" s="40"/>
      <c r="BA1191" s="40"/>
      <c r="BB1191" s="40"/>
      <c r="BC1191" s="40"/>
      <c r="BD1191" s="40"/>
      <c r="BE1191" s="40"/>
      <c r="BF1191" s="40"/>
      <c r="BG1191" s="40"/>
      <c r="BH1191" s="40"/>
      <c r="BI1191" s="40"/>
      <c r="BJ1191" s="40"/>
      <c r="BK1191" s="40"/>
      <c r="BL1191" s="62">
        <v>0.15</v>
      </c>
      <c r="BM1191" s="275">
        <v>3</v>
      </c>
      <c r="BN1191" s="62">
        <v>0.03</v>
      </c>
      <c r="BO1191" s="33" t="s">
        <v>625</v>
      </c>
      <c r="BP1191" t="s">
        <v>626</v>
      </c>
    </row>
    <row r="1192" spans="1:68">
      <c r="A1192" s="33" t="str">
        <f>Database_Productkaarten[[#This Row],[Product]]&amp;", "&amp;Database_Productkaarten[[#This Row],[Levensfase]]</f>
        <v>Molgoot, A2</v>
      </c>
      <c r="B1192" s="33" t="s">
        <v>623</v>
      </c>
      <c r="C1192" t="s">
        <v>55</v>
      </c>
      <c r="D1192" s="33" t="s">
        <v>624</v>
      </c>
      <c r="E1192" s="33" t="s">
        <v>389</v>
      </c>
      <c r="F1192" s="33" t="s">
        <v>75</v>
      </c>
      <c r="G1192" s="33">
        <v>1</v>
      </c>
      <c r="H1192" s="33">
        <v>0.3</v>
      </c>
      <c r="I1192" s="33">
        <v>0.125</v>
      </c>
      <c r="L1192" s="33">
        <v>2.23</v>
      </c>
      <c r="M1192" s="271">
        <v>0.10682</v>
      </c>
      <c r="N1192" s="41"/>
      <c r="O1192" s="33">
        <v>100</v>
      </c>
      <c r="P1192" s="40"/>
      <c r="Q1192" s="40"/>
      <c r="R1192" s="40"/>
      <c r="S1192" s="40"/>
      <c r="T1192" s="40"/>
      <c r="U1192" s="40"/>
      <c r="V1192" s="40"/>
      <c r="W1192" s="40"/>
      <c r="X1192" s="40"/>
      <c r="Y1192" s="40"/>
      <c r="Z1192" s="40"/>
      <c r="AA1192" s="40"/>
      <c r="AB1192" s="40"/>
      <c r="AC1192" s="40"/>
      <c r="AD1192" s="40"/>
      <c r="AE1192" s="40"/>
      <c r="AF1192" s="40"/>
      <c r="AG1192" s="40"/>
      <c r="AH1192" s="40"/>
      <c r="AI1192" s="40"/>
      <c r="AJ1192" s="40"/>
      <c r="AK1192" s="40"/>
      <c r="AL1192" s="40"/>
      <c r="AM1192" s="40"/>
      <c r="AN1192" s="40"/>
      <c r="AO1192" s="40"/>
      <c r="AP1192" s="40"/>
      <c r="AQ1192" s="40"/>
      <c r="AR1192" s="40"/>
      <c r="AS1192" s="40"/>
      <c r="AT1192" s="40"/>
      <c r="AU1192" s="40"/>
      <c r="AV1192" s="317"/>
      <c r="AW1192" s="317"/>
      <c r="AX1192" s="317"/>
      <c r="AY1192" s="313"/>
      <c r="AZ1192" s="40"/>
      <c r="BA1192" s="40"/>
      <c r="BB1192" s="40"/>
      <c r="BC1192" s="40"/>
      <c r="BD1192" s="40"/>
      <c r="BE1192" s="40"/>
      <c r="BF1192" s="40"/>
      <c r="BG1192" s="40"/>
      <c r="BH1192" s="40"/>
      <c r="BI1192" s="40"/>
      <c r="BJ1192" s="40"/>
      <c r="BK1192" s="40"/>
      <c r="BL1192" s="62">
        <v>0.15</v>
      </c>
      <c r="BM1192" s="275">
        <v>3</v>
      </c>
      <c r="BN1192" s="62">
        <v>0.03</v>
      </c>
      <c r="BO1192" s="33" t="s">
        <v>625</v>
      </c>
      <c r="BP1192" t="s">
        <v>626</v>
      </c>
    </row>
    <row r="1193" spans="1:68">
      <c r="A1193" s="33" t="str">
        <f>Database_Productkaarten[[#This Row],[Product]]&amp;", "&amp;Database_Productkaarten[[#This Row],[Levensfase]]</f>
        <v>Molgoot, A3</v>
      </c>
      <c r="B1193" s="33" t="s">
        <v>623</v>
      </c>
      <c r="C1193" t="s">
        <v>55</v>
      </c>
      <c r="D1193" s="33" t="s">
        <v>624</v>
      </c>
      <c r="E1193" s="33" t="s">
        <v>389</v>
      </c>
      <c r="F1193" s="33" t="s">
        <v>76</v>
      </c>
      <c r="G1193" s="33">
        <v>1</v>
      </c>
      <c r="H1193" s="33">
        <v>0.3</v>
      </c>
      <c r="I1193" s="33">
        <v>0.125</v>
      </c>
      <c r="L1193" s="33">
        <v>2.23</v>
      </c>
      <c r="M1193" s="271">
        <v>0.10682</v>
      </c>
      <c r="N1193" s="41"/>
      <c r="O1193" s="33">
        <v>100</v>
      </c>
      <c r="P1193" s="40"/>
      <c r="Q1193" s="40"/>
      <c r="R1193" s="40"/>
      <c r="S1193" s="40"/>
      <c r="T1193" s="40"/>
      <c r="U1193" s="40"/>
      <c r="V1193" s="40"/>
      <c r="W1193" s="40"/>
      <c r="X1193" s="40"/>
      <c r="Y1193" s="40"/>
      <c r="Z1193" s="40"/>
      <c r="AA1193" s="40"/>
      <c r="AB1193" s="40"/>
      <c r="AC1193" s="40"/>
      <c r="AD1193" s="40"/>
      <c r="AE1193" s="40"/>
      <c r="AF1193" s="40"/>
      <c r="AG1193" s="40"/>
      <c r="AH1193" s="40"/>
      <c r="AI1193" s="40"/>
      <c r="AJ1193" s="40"/>
      <c r="AK1193" s="40"/>
      <c r="AL1193" s="40"/>
      <c r="AM1193" s="40"/>
      <c r="AN1193" s="40"/>
      <c r="AO1193" s="40"/>
      <c r="AP1193" s="40"/>
      <c r="AQ1193" s="40"/>
      <c r="AR1193" s="40"/>
      <c r="AS1193" s="40"/>
      <c r="AT1193" s="40"/>
      <c r="AU1193" s="40"/>
      <c r="AV1193" s="317"/>
      <c r="AW1193" s="317"/>
      <c r="AX1193" s="317"/>
      <c r="AY1193" s="313"/>
      <c r="AZ1193" s="40"/>
      <c r="BA1193" s="40"/>
      <c r="BB1193" s="40"/>
      <c r="BC1193" s="40"/>
      <c r="BD1193" s="40"/>
      <c r="BE1193" s="40"/>
      <c r="BF1193" s="40"/>
      <c r="BG1193" s="40"/>
      <c r="BH1193" s="40"/>
      <c r="BI1193" s="40"/>
      <c r="BJ1193" s="40"/>
      <c r="BK1193" s="40"/>
      <c r="BL1193" s="62">
        <v>0.15</v>
      </c>
      <c r="BM1193" s="275">
        <v>3</v>
      </c>
      <c r="BN1193" s="62">
        <v>0.03</v>
      </c>
      <c r="BO1193" s="33" t="s">
        <v>625</v>
      </c>
      <c r="BP1193" t="s">
        <v>626</v>
      </c>
    </row>
    <row r="1194" spans="1:68">
      <c r="A1194" s="33" t="str">
        <f>Database_Productkaarten[[#This Row],[Product]]&amp;", "&amp;Database_Productkaarten[[#This Row],[Levensfase]]</f>
        <v>Molgoot, A1-A3</v>
      </c>
      <c r="B1194" s="33" t="s">
        <v>623</v>
      </c>
      <c r="C1194" t="s">
        <v>55</v>
      </c>
      <c r="D1194" s="33" t="s">
        <v>624</v>
      </c>
      <c r="E1194" s="33" t="s">
        <v>389</v>
      </c>
      <c r="F1194" s="33" t="s">
        <v>77</v>
      </c>
      <c r="G1194" s="33">
        <v>1</v>
      </c>
      <c r="H1194" s="33">
        <v>0.3</v>
      </c>
      <c r="I1194" s="33">
        <v>0.125</v>
      </c>
      <c r="L1194" s="33">
        <v>2.23</v>
      </c>
      <c r="M1194" s="271">
        <v>0.10682</v>
      </c>
      <c r="N1194" s="41">
        <v>0.72338999999999998</v>
      </c>
      <c r="O1194" s="33">
        <v>100</v>
      </c>
      <c r="P1194" s="40">
        <v>1.4800000000000001E-5</v>
      </c>
      <c r="Q1194" s="40">
        <v>3.8899999999999997E-2</v>
      </c>
      <c r="R1194" s="40">
        <v>10.9</v>
      </c>
      <c r="S1194" s="40">
        <v>5.0900000000000002E-7</v>
      </c>
      <c r="T1194" s="40">
        <v>3.1199999999999999E-3</v>
      </c>
      <c r="U1194" s="40">
        <v>3.3000000000000002E-2</v>
      </c>
      <c r="V1194" s="40">
        <v>5.7299999999999999E-3</v>
      </c>
      <c r="W1194" s="40">
        <v>1.47</v>
      </c>
      <c r="X1194" s="40">
        <v>3.6799999999999999E-2</v>
      </c>
      <c r="Y1194" s="40">
        <v>168</v>
      </c>
      <c r="Z1194" s="40">
        <v>2.3599999999999999E-2</v>
      </c>
      <c r="AA1194" s="40"/>
      <c r="AB1194" s="40"/>
      <c r="AC1194" s="40"/>
      <c r="AD1194" s="40"/>
      <c r="AE1194" s="40"/>
      <c r="AF1194" s="40"/>
      <c r="AG1194" s="40"/>
      <c r="AH1194" s="40"/>
      <c r="AI1194" s="40"/>
      <c r="AJ1194" s="40"/>
      <c r="AK1194" s="40"/>
      <c r="AL1194" s="40"/>
      <c r="AM1194" s="40"/>
      <c r="AN1194" s="40"/>
      <c r="AO1194" s="40"/>
      <c r="AP1194" s="40"/>
      <c r="AQ1194" s="40"/>
      <c r="AR1194" s="40"/>
      <c r="AS1194" s="40"/>
      <c r="AT1194" s="40"/>
      <c r="AU1194" s="40"/>
      <c r="AV1194" s="317">
        <v>7.99</v>
      </c>
      <c r="AW1194" s="317"/>
      <c r="AX1194" s="317"/>
      <c r="AY1194" s="313">
        <v>85</v>
      </c>
      <c r="AZ1194" s="40"/>
      <c r="BA1194" s="40"/>
      <c r="BB1194" s="40"/>
      <c r="BC1194" s="40">
        <v>1.06</v>
      </c>
      <c r="BD1194" s="163">
        <v>3.21</v>
      </c>
      <c r="BE1194" s="40">
        <v>1.49</v>
      </c>
      <c r="BF1194" s="40"/>
      <c r="BG1194" s="40"/>
      <c r="BH1194" s="40"/>
      <c r="BI1194" s="40"/>
      <c r="BJ1194" s="40"/>
      <c r="BK1194" s="40"/>
      <c r="BL1194" s="62">
        <v>0.15</v>
      </c>
      <c r="BM1194" s="275">
        <v>3</v>
      </c>
      <c r="BN1194" s="62">
        <v>0.03</v>
      </c>
      <c r="BO1194" s="33" t="s">
        <v>625</v>
      </c>
      <c r="BP1194" t="s">
        <v>626</v>
      </c>
    </row>
    <row r="1195" spans="1:68">
      <c r="A1195" s="33" t="str">
        <f>Database_Productkaarten[[#This Row],[Product]]&amp;", "&amp;Database_Productkaarten[[#This Row],[Levensfase]]</f>
        <v>Molgoot, A4</v>
      </c>
      <c r="B1195" s="33" t="s">
        <v>623</v>
      </c>
      <c r="C1195" t="s">
        <v>55</v>
      </c>
      <c r="D1195" s="33" t="s">
        <v>624</v>
      </c>
      <c r="E1195" s="33" t="s">
        <v>389</v>
      </c>
      <c r="F1195" s="33" t="s">
        <v>78</v>
      </c>
      <c r="G1195" s="33">
        <v>1</v>
      </c>
      <c r="H1195" s="33">
        <v>0.3</v>
      </c>
      <c r="I1195" s="33">
        <v>0.125</v>
      </c>
      <c r="L1195" s="33">
        <v>2.23</v>
      </c>
      <c r="M1195" s="271">
        <v>0.10682</v>
      </c>
      <c r="N1195" s="41">
        <v>5.1220000000000002E-2</v>
      </c>
      <c r="O1195" s="33">
        <v>100</v>
      </c>
      <c r="P1195" s="40">
        <v>8.7700000000000003E-7</v>
      </c>
      <c r="Q1195" s="40">
        <v>3.46E-3</v>
      </c>
      <c r="R1195" s="40">
        <v>0.45700000000000002</v>
      </c>
      <c r="S1195" s="40">
        <v>9.0800000000000006E-8</v>
      </c>
      <c r="T1195" s="40">
        <v>2.8800000000000001E-4</v>
      </c>
      <c r="U1195" s="40">
        <v>1.67E-3</v>
      </c>
      <c r="V1195" s="40">
        <v>3.39E-4</v>
      </c>
      <c r="W1195" s="40">
        <v>0.161</v>
      </c>
      <c r="X1195" s="40">
        <v>1.04E-2</v>
      </c>
      <c r="Y1195" s="40">
        <v>27.2</v>
      </c>
      <c r="Z1195" s="40">
        <v>9.5399999999999999E-4</v>
      </c>
      <c r="AA1195" s="40"/>
      <c r="AB1195" s="40"/>
      <c r="AC1195" s="40"/>
      <c r="AD1195" s="40"/>
      <c r="AE1195" s="40"/>
      <c r="AF1195" s="40"/>
      <c r="AG1195" s="40"/>
      <c r="AH1195" s="40"/>
      <c r="AI1195" s="40"/>
      <c r="AJ1195" s="40"/>
      <c r="AK1195" s="40"/>
      <c r="AL1195" s="40"/>
      <c r="AM1195" s="40"/>
      <c r="AN1195" s="40"/>
      <c r="AO1195" s="40"/>
      <c r="AP1195" s="40"/>
      <c r="AQ1195" s="40"/>
      <c r="AR1195" s="40"/>
      <c r="AS1195" s="40"/>
      <c r="AT1195" s="40"/>
      <c r="AU1195" s="40"/>
      <c r="AV1195" s="317">
        <v>0.124</v>
      </c>
      <c r="AW1195" s="317"/>
      <c r="AX1195" s="317"/>
      <c r="AY1195" s="313">
        <v>7.9</v>
      </c>
      <c r="AZ1195" s="40"/>
      <c r="BA1195" s="40"/>
      <c r="BB1195" s="40"/>
      <c r="BC1195" s="40">
        <v>1.6000000000000001E-3</v>
      </c>
      <c r="BD1195" s="163">
        <v>5.5999999999999999E-5</v>
      </c>
      <c r="BE1195" s="40">
        <v>0.65200000000000002</v>
      </c>
      <c r="BF1195" s="40"/>
      <c r="BG1195" s="40"/>
      <c r="BH1195" s="40"/>
      <c r="BI1195" s="40"/>
      <c r="BJ1195" s="40"/>
      <c r="BK1195" s="40"/>
      <c r="BL1195" s="62">
        <v>0.15</v>
      </c>
      <c r="BM1195" s="275">
        <v>3</v>
      </c>
      <c r="BN1195" s="62">
        <v>0.03</v>
      </c>
      <c r="BO1195" s="33" t="s">
        <v>625</v>
      </c>
      <c r="BP1195" t="s">
        <v>626</v>
      </c>
    </row>
    <row r="1196" spans="1:68">
      <c r="A1196" s="33" t="str">
        <f>Database_Productkaarten[[#This Row],[Product]]&amp;", "&amp;Database_Productkaarten[[#This Row],[Levensfase]]</f>
        <v>Molgoot, A5</v>
      </c>
      <c r="B1196" s="33" t="s">
        <v>623</v>
      </c>
      <c r="C1196" t="s">
        <v>55</v>
      </c>
      <c r="D1196" s="33" t="s">
        <v>624</v>
      </c>
      <c r="E1196" s="33" t="s">
        <v>389</v>
      </c>
      <c r="F1196" s="33" t="s">
        <v>79</v>
      </c>
      <c r="G1196" s="33">
        <v>1</v>
      </c>
      <c r="H1196" s="33">
        <v>0.3</v>
      </c>
      <c r="I1196" s="33">
        <v>0.125</v>
      </c>
      <c r="L1196" s="33">
        <v>2.23</v>
      </c>
      <c r="M1196" s="271">
        <v>0.10682</v>
      </c>
      <c r="N1196" s="41">
        <v>0.53873000000000004</v>
      </c>
      <c r="O1196" s="33">
        <v>100</v>
      </c>
      <c r="P1196" s="40">
        <v>2.7999999999999999E-6</v>
      </c>
      <c r="Q1196" s="40">
        <v>3.8800000000000001E-2</v>
      </c>
      <c r="R1196" s="40">
        <v>5.75</v>
      </c>
      <c r="S1196" s="40">
        <v>9.8299999999999995E-7</v>
      </c>
      <c r="T1196" s="40">
        <v>1.89E-3</v>
      </c>
      <c r="U1196" s="40">
        <v>1.6799999999999999E-2</v>
      </c>
      <c r="V1196" s="40">
        <v>3.2200000000000002E-3</v>
      </c>
      <c r="W1196" s="40">
        <v>1.41</v>
      </c>
      <c r="X1196" s="40">
        <v>2.8400000000000002E-2</v>
      </c>
      <c r="Y1196" s="40">
        <v>95</v>
      </c>
      <c r="Z1196" s="40">
        <v>5.2700000000000004E-3</v>
      </c>
      <c r="AA1196" s="40"/>
      <c r="AB1196" s="40"/>
      <c r="AC1196" s="40"/>
      <c r="AD1196" s="40"/>
      <c r="AE1196" s="40"/>
      <c r="AF1196" s="40"/>
      <c r="AG1196" s="40"/>
      <c r="AH1196" s="40"/>
      <c r="AI1196" s="40"/>
      <c r="AJ1196" s="40"/>
      <c r="AK1196" s="40"/>
      <c r="AL1196" s="40"/>
      <c r="AM1196" s="40"/>
      <c r="AN1196" s="40"/>
      <c r="AO1196" s="40"/>
      <c r="AP1196" s="40"/>
      <c r="AQ1196" s="40"/>
      <c r="AR1196" s="40"/>
      <c r="AS1196" s="40"/>
      <c r="AT1196" s="40"/>
      <c r="AU1196" s="40"/>
      <c r="AV1196" s="317">
        <v>0.72899999999999998</v>
      </c>
      <c r="AW1196" s="317"/>
      <c r="AX1196" s="317"/>
      <c r="AY1196" s="313">
        <v>86.6</v>
      </c>
      <c r="AZ1196" s="40"/>
      <c r="BA1196" s="40"/>
      <c r="BB1196" s="40"/>
      <c r="BC1196" s="40">
        <v>2.0400000000000001E-2</v>
      </c>
      <c r="BD1196" s="163">
        <v>4.2700000000000002E-2</v>
      </c>
      <c r="BE1196" s="40">
        <v>0.216</v>
      </c>
      <c r="BF1196" s="40"/>
      <c r="BG1196" s="40"/>
      <c r="BH1196" s="40"/>
      <c r="BI1196" s="40"/>
      <c r="BJ1196" s="40"/>
      <c r="BK1196" s="40"/>
      <c r="BL1196" s="62">
        <v>0.15</v>
      </c>
      <c r="BM1196" s="275">
        <v>3</v>
      </c>
      <c r="BN1196" s="62">
        <v>0.03</v>
      </c>
      <c r="BO1196" s="33" t="s">
        <v>625</v>
      </c>
      <c r="BP1196" t="s">
        <v>626</v>
      </c>
    </row>
    <row r="1197" spans="1:68">
      <c r="A1197" s="33" t="str">
        <f>Database_Productkaarten[[#This Row],[Product]]&amp;", "&amp;Database_Productkaarten[[#This Row],[Levensfase]]</f>
        <v>Molgoot, B1</v>
      </c>
      <c r="B1197" s="33" t="s">
        <v>623</v>
      </c>
      <c r="C1197" t="s">
        <v>55</v>
      </c>
      <c r="D1197" s="33" t="s">
        <v>624</v>
      </c>
      <c r="E1197" s="33" t="s">
        <v>389</v>
      </c>
      <c r="F1197" s="33" t="s">
        <v>80</v>
      </c>
      <c r="G1197" s="33">
        <v>1</v>
      </c>
      <c r="H1197" s="33">
        <v>0.3</v>
      </c>
      <c r="I1197" s="33">
        <v>0.125</v>
      </c>
      <c r="L1197" s="33">
        <v>2.23</v>
      </c>
      <c r="M1197" s="271">
        <v>0.10682</v>
      </c>
      <c r="N1197" s="41"/>
      <c r="O1197" s="33">
        <v>100</v>
      </c>
      <c r="P1197" s="40">
        <v>0</v>
      </c>
      <c r="Q1197" s="40">
        <v>0</v>
      </c>
      <c r="R1197" s="40">
        <v>0</v>
      </c>
      <c r="S1197" s="40">
        <v>0</v>
      </c>
      <c r="T1197" s="40">
        <v>0</v>
      </c>
      <c r="U1197" s="40">
        <v>0</v>
      </c>
      <c r="V1197" s="40">
        <v>0</v>
      </c>
      <c r="W1197" s="40">
        <v>0</v>
      </c>
      <c r="X1197" s="40">
        <v>0</v>
      </c>
      <c r="Y1197" s="40">
        <v>0</v>
      </c>
      <c r="Z1197" s="40">
        <v>0</v>
      </c>
      <c r="AA1197" s="40"/>
      <c r="AB1197" s="40"/>
      <c r="AC1197" s="40"/>
      <c r="AD1197" s="40"/>
      <c r="AE1197" s="40"/>
      <c r="AF1197" s="40"/>
      <c r="AG1197" s="40"/>
      <c r="AH1197" s="40"/>
      <c r="AI1197" s="40"/>
      <c r="AJ1197" s="40"/>
      <c r="AK1197" s="40"/>
      <c r="AL1197" s="40"/>
      <c r="AM1197" s="40"/>
      <c r="AN1197" s="40"/>
      <c r="AO1197" s="40"/>
      <c r="AP1197" s="40"/>
      <c r="AQ1197" s="40"/>
      <c r="AR1197" s="40"/>
      <c r="AS1197" s="40"/>
      <c r="AT1197" s="40"/>
      <c r="AU1197" s="40"/>
      <c r="AV1197" s="317">
        <v>0</v>
      </c>
      <c r="AW1197" s="317"/>
      <c r="AX1197" s="317"/>
      <c r="AY1197" s="313">
        <v>0</v>
      </c>
      <c r="AZ1197" s="40"/>
      <c r="BA1197" s="40"/>
      <c r="BB1197" s="40"/>
      <c r="BC1197" s="40">
        <v>0</v>
      </c>
      <c r="BD1197" s="163">
        <v>0</v>
      </c>
      <c r="BE1197" s="40">
        <v>0</v>
      </c>
      <c r="BF1197" s="40"/>
      <c r="BG1197" s="40"/>
      <c r="BH1197" s="40"/>
      <c r="BI1197" s="40"/>
      <c r="BJ1197" s="40"/>
      <c r="BK1197" s="40"/>
      <c r="BL1197" s="62">
        <v>0.15</v>
      </c>
      <c r="BM1197" s="275">
        <v>3</v>
      </c>
      <c r="BN1197" s="62">
        <v>0.03</v>
      </c>
      <c r="BO1197" s="33" t="s">
        <v>625</v>
      </c>
      <c r="BP1197" t="s">
        <v>626</v>
      </c>
    </row>
    <row r="1198" spans="1:68">
      <c r="A1198" s="33" t="str">
        <f>Database_Productkaarten[[#This Row],[Product]]&amp;", "&amp;Database_Productkaarten[[#This Row],[Levensfase]]</f>
        <v>Molgoot, C1</v>
      </c>
      <c r="B1198" s="33" t="s">
        <v>623</v>
      </c>
      <c r="C1198" t="s">
        <v>55</v>
      </c>
      <c r="D1198" s="33" t="s">
        <v>624</v>
      </c>
      <c r="E1198" s="33" t="s">
        <v>389</v>
      </c>
      <c r="F1198" s="33" t="s">
        <v>83</v>
      </c>
      <c r="G1198" s="33">
        <v>1</v>
      </c>
      <c r="H1198" s="33">
        <v>0.3</v>
      </c>
      <c r="I1198" s="33">
        <v>0.125</v>
      </c>
      <c r="L1198" s="33">
        <v>2.23</v>
      </c>
      <c r="M1198" s="271">
        <v>0.10682</v>
      </c>
      <c r="N1198" s="41">
        <v>0.25914999999999999</v>
      </c>
      <c r="O1198" s="33">
        <v>100</v>
      </c>
      <c r="P1198" s="40">
        <v>1.31E-6</v>
      </c>
      <c r="Q1198" s="40">
        <v>1.9099999999999999E-2</v>
      </c>
      <c r="R1198" s="40">
        <v>2.8</v>
      </c>
      <c r="S1198" s="40">
        <v>4.8699999999999995E-7</v>
      </c>
      <c r="T1198" s="40">
        <v>9.2100000000000005E-4</v>
      </c>
      <c r="U1198" s="40">
        <v>8.2000000000000007E-3</v>
      </c>
      <c r="V1198" s="40">
        <v>1.57E-3</v>
      </c>
      <c r="W1198" s="40">
        <v>0.69199999999999995</v>
      </c>
      <c r="X1198" s="40">
        <v>1.37E-2</v>
      </c>
      <c r="Y1198" s="40">
        <v>45.9</v>
      </c>
      <c r="Z1198" s="40">
        <v>2.4599999999999999E-3</v>
      </c>
      <c r="AA1198" s="40"/>
      <c r="AB1198" s="40"/>
      <c r="AC1198" s="40"/>
      <c r="AD1198" s="40"/>
      <c r="AE1198" s="40"/>
      <c r="AF1198" s="40"/>
      <c r="AG1198" s="40"/>
      <c r="AH1198" s="40"/>
      <c r="AI1198" s="40"/>
      <c r="AJ1198" s="40"/>
      <c r="AK1198" s="40"/>
      <c r="AL1198" s="40"/>
      <c r="AM1198" s="40"/>
      <c r="AN1198" s="40"/>
      <c r="AO1198" s="40"/>
      <c r="AP1198" s="40"/>
      <c r="AQ1198" s="40"/>
      <c r="AR1198" s="40"/>
      <c r="AS1198" s="40"/>
      <c r="AT1198" s="40"/>
      <c r="AU1198" s="40"/>
      <c r="AV1198" s="317">
        <v>0.311</v>
      </c>
      <c r="AW1198" s="317"/>
      <c r="AX1198" s="317"/>
      <c r="AY1198" s="313">
        <v>42.7</v>
      </c>
      <c r="AZ1198" s="40"/>
      <c r="BA1198" s="40"/>
      <c r="BB1198" s="40"/>
      <c r="BC1198" s="40">
        <v>4.0299999999999997E-3</v>
      </c>
      <c r="BD1198" s="163">
        <v>2.9399999999999999E-4</v>
      </c>
      <c r="BE1198" s="40">
        <v>7.1599999999999997E-2</v>
      </c>
      <c r="BF1198" s="40"/>
      <c r="BG1198" s="40"/>
      <c r="BH1198" s="40"/>
      <c r="BI1198" s="40"/>
      <c r="BJ1198" s="40"/>
      <c r="BK1198" s="40"/>
      <c r="BL1198" s="62">
        <v>0.15</v>
      </c>
      <c r="BM1198" s="275">
        <v>3</v>
      </c>
      <c r="BN1198" s="62">
        <v>0.03</v>
      </c>
      <c r="BO1198" s="33" t="s">
        <v>625</v>
      </c>
      <c r="BP1198" t="s">
        <v>626</v>
      </c>
    </row>
    <row r="1199" spans="1:68">
      <c r="A1199" s="33" t="str">
        <f>Database_Productkaarten[[#This Row],[Product]]&amp;", "&amp;Database_Productkaarten[[#This Row],[Levensfase]]</f>
        <v>Molgoot, C2</v>
      </c>
      <c r="B1199" s="33" t="s">
        <v>623</v>
      </c>
      <c r="C1199" t="s">
        <v>55</v>
      </c>
      <c r="D1199" s="33" t="s">
        <v>624</v>
      </c>
      <c r="E1199" s="33" t="s">
        <v>389</v>
      </c>
      <c r="F1199" s="33" t="s">
        <v>84</v>
      </c>
      <c r="G1199" s="33">
        <v>1</v>
      </c>
      <c r="H1199" s="33">
        <v>0.3</v>
      </c>
      <c r="I1199" s="33">
        <v>0.125</v>
      </c>
      <c r="L1199" s="33">
        <v>2.23</v>
      </c>
      <c r="M1199" s="271">
        <v>0.10682</v>
      </c>
      <c r="N1199" s="41">
        <v>5.1740000000000001E-2</v>
      </c>
      <c r="O1199" s="33">
        <v>100</v>
      </c>
      <c r="P1199" s="40">
        <v>8.7700000000000003E-7</v>
      </c>
      <c r="Q1199" s="40">
        <v>3.46E-3</v>
      </c>
      <c r="R1199" s="40">
        <v>0.45700000000000002</v>
      </c>
      <c r="S1199" s="40">
        <v>9.0800000000000006E-8</v>
      </c>
      <c r="T1199" s="40">
        <v>2.8800000000000001E-4</v>
      </c>
      <c r="U1199" s="40">
        <v>1.67E-3</v>
      </c>
      <c r="V1199" s="40">
        <v>3.39E-4</v>
      </c>
      <c r="W1199" s="40">
        <v>0.161</v>
      </c>
      <c r="X1199" s="40">
        <v>1.04E-2</v>
      </c>
      <c r="Y1199" s="40">
        <v>27.2</v>
      </c>
      <c r="Z1199" s="40">
        <v>9.5399999999999999E-4</v>
      </c>
      <c r="AA1199" s="40"/>
      <c r="AB1199" s="40"/>
      <c r="AC1199" s="40"/>
      <c r="AD1199" s="40"/>
      <c r="AE1199" s="40"/>
      <c r="AF1199" s="40"/>
      <c r="AG1199" s="40"/>
      <c r="AH1199" s="40"/>
      <c r="AI1199" s="40"/>
      <c r="AJ1199" s="40"/>
      <c r="AK1199" s="40"/>
      <c r="AL1199" s="40"/>
      <c r="AM1199" s="40"/>
      <c r="AN1199" s="40"/>
      <c r="AO1199" s="40"/>
      <c r="AP1199" s="40"/>
      <c r="AQ1199" s="40"/>
      <c r="AR1199" s="40"/>
      <c r="AS1199" s="40"/>
      <c r="AT1199" s="40"/>
      <c r="AU1199" s="40"/>
      <c r="AV1199" s="317">
        <v>0.124</v>
      </c>
      <c r="AW1199" s="317"/>
      <c r="AX1199" s="317"/>
      <c r="AY1199" s="313">
        <v>7.9</v>
      </c>
      <c r="AZ1199" s="40"/>
      <c r="BA1199" s="40"/>
      <c r="BB1199" s="40"/>
      <c r="BC1199" s="40">
        <v>1.6000000000000001E-3</v>
      </c>
      <c r="BD1199" s="163">
        <v>5.5999999999999999E-5</v>
      </c>
      <c r="BE1199" s="40">
        <v>0.65200000000000002</v>
      </c>
      <c r="BF1199" s="40"/>
      <c r="BG1199" s="40"/>
      <c r="BH1199" s="40"/>
      <c r="BI1199" s="40"/>
      <c r="BJ1199" s="40"/>
      <c r="BK1199" s="40"/>
      <c r="BL1199" s="62">
        <v>0.15</v>
      </c>
      <c r="BM1199" s="275">
        <v>3</v>
      </c>
      <c r="BN1199" s="62">
        <v>0.03</v>
      </c>
      <c r="BO1199" s="33" t="s">
        <v>625</v>
      </c>
      <c r="BP1199" t="s">
        <v>626</v>
      </c>
    </row>
    <row r="1200" spans="1:68">
      <c r="A1200" s="33" t="str">
        <f>Database_Productkaarten[[#This Row],[Product]]&amp;", "&amp;Database_Productkaarten[[#This Row],[Levensfase]]</f>
        <v>Molgoot, C3</v>
      </c>
      <c r="B1200" s="33" t="s">
        <v>623</v>
      </c>
      <c r="C1200" t="s">
        <v>55</v>
      </c>
      <c r="D1200" s="33" t="s">
        <v>624</v>
      </c>
      <c r="E1200" s="33" t="s">
        <v>389</v>
      </c>
      <c r="F1200" s="33" t="s">
        <v>85</v>
      </c>
      <c r="G1200" s="33">
        <v>1</v>
      </c>
      <c r="H1200" s="33">
        <v>0.3</v>
      </c>
      <c r="I1200" s="33">
        <v>0.125</v>
      </c>
      <c r="L1200" s="33">
        <v>2.23</v>
      </c>
      <c r="M1200" s="271">
        <v>0.10682</v>
      </c>
      <c r="N1200" s="41">
        <v>1.7950000000000001E-2</v>
      </c>
      <c r="O1200" s="33">
        <v>100</v>
      </c>
      <c r="P1200" s="40">
        <v>5.5199999999999998E-8</v>
      </c>
      <c r="Q1200" s="40">
        <v>6.2E-4</v>
      </c>
      <c r="R1200" s="40">
        <v>8.6499999999999994E-2</v>
      </c>
      <c r="S1200" s="40">
        <v>1E-8</v>
      </c>
      <c r="T1200" s="40">
        <v>4.9499999999999997E-5</v>
      </c>
      <c r="U1200" s="40">
        <v>4.3100000000000001E-4</v>
      </c>
      <c r="V1200" s="40">
        <v>9.7399999999999996E-5</v>
      </c>
      <c r="W1200" s="40">
        <v>1.9800000000000002E-2</v>
      </c>
      <c r="X1200" s="40">
        <v>3.39E-4</v>
      </c>
      <c r="Y1200" s="40">
        <v>1.25</v>
      </c>
      <c r="Z1200" s="40">
        <v>2.5099999999999998E-4</v>
      </c>
      <c r="AA1200" s="40"/>
      <c r="AB1200" s="40"/>
      <c r="AC1200" s="40"/>
      <c r="AD1200" s="40"/>
      <c r="AE1200" s="40"/>
      <c r="AF1200" s="40"/>
      <c r="AG1200" s="40"/>
      <c r="AH1200" s="40"/>
      <c r="AI1200" s="40"/>
      <c r="AJ1200" s="40"/>
      <c r="AK1200" s="40"/>
      <c r="AL1200" s="40"/>
      <c r="AM1200" s="40"/>
      <c r="AN1200" s="40"/>
      <c r="AO1200" s="40"/>
      <c r="AP1200" s="40"/>
      <c r="AQ1200" s="40"/>
      <c r="AR1200" s="40"/>
      <c r="AS1200" s="40"/>
      <c r="AT1200" s="40"/>
      <c r="AU1200" s="40"/>
      <c r="AV1200" s="317">
        <v>6.9599999999999995E-2</v>
      </c>
      <c r="AW1200" s="317"/>
      <c r="AX1200" s="317"/>
      <c r="AY1200" s="313">
        <v>1.31</v>
      </c>
      <c r="AZ1200" s="40"/>
      <c r="BA1200" s="40"/>
      <c r="BB1200" s="40"/>
      <c r="BC1200" s="40">
        <v>1.76E-4</v>
      </c>
      <c r="BD1200" s="163">
        <v>7.8499999999999994E-6</v>
      </c>
      <c r="BE1200" s="40">
        <v>0.16300000000000001</v>
      </c>
      <c r="BF1200" s="40"/>
      <c r="BG1200" s="40"/>
      <c r="BH1200" s="40"/>
      <c r="BI1200" s="40"/>
      <c r="BJ1200" s="40"/>
      <c r="BK1200" s="40"/>
      <c r="BL1200" s="62">
        <v>0.15</v>
      </c>
      <c r="BM1200" s="275">
        <v>3</v>
      </c>
      <c r="BN1200" s="62">
        <v>0.03</v>
      </c>
      <c r="BO1200" s="33" t="s">
        <v>625</v>
      </c>
      <c r="BP1200" t="s">
        <v>626</v>
      </c>
    </row>
    <row r="1201" spans="1:68">
      <c r="A1201" s="33" t="str">
        <f>Database_Productkaarten[[#This Row],[Product]]&amp;", "&amp;Database_Productkaarten[[#This Row],[Levensfase]]</f>
        <v>Molgoot, C4</v>
      </c>
      <c r="B1201" s="33" t="s">
        <v>623</v>
      </c>
      <c r="C1201" t="s">
        <v>55</v>
      </c>
      <c r="D1201" s="33" t="s">
        <v>624</v>
      </c>
      <c r="E1201" s="33" t="s">
        <v>389</v>
      </c>
      <c r="F1201" s="33" t="s">
        <v>86</v>
      </c>
      <c r="G1201" s="33">
        <v>1</v>
      </c>
      <c r="H1201" s="33">
        <v>0.3</v>
      </c>
      <c r="I1201" s="33">
        <v>0.125</v>
      </c>
      <c r="L1201" s="33">
        <v>2.23</v>
      </c>
      <c r="M1201" s="271">
        <v>0.10682</v>
      </c>
      <c r="N1201" s="41">
        <v>8.0000000000000004E-4</v>
      </c>
      <c r="O1201" s="33">
        <v>100</v>
      </c>
      <c r="P1201" s="40">
        <v>3.1800000000000002E-9</v>
      </c>
      <c r="Q1201" s="40">
        <v>4.1300000000000001E-5</v>
      </c>
      <c r="R1201" s="40">
        <v>2.8300000000000001E-3</v>
      </c>
      <c r="S1201" s="40">
        <v>1.02E-9</v>
      </c>
      <c r="T1201" s="40">
        <v>3.0800000000000002E-6</v>
      </c>
      <c r="U1201" s="40">
        <v>2.1299999999999999E-5</v>
      </c>
      <c r="V1201" s="40">
        <v>4.0300000000000004E-6</v>
      </c>
      <c r="W1201" s="40">
        <v>1.23E-3</v>
      </c>
      <c r="X1201" s="40">
        <v>2.9799999999999999E-5</v>
      </c>
      <c r="Y1201" s="40">
        <v>0.104</v>
      </c>
      <c r="Z1201" s="40">
        <v>3.0699999999999998E-6</v>
      </c>
      <c r="AA1201" s="40"/>
      <c r="AB1201" s="40"/>
      <c r="AC1201" s="40"/>
      <c r="AD1201" s="40"/>
      <c r="AE1201" s="40"/>
      <c r="AF1201" s="40"/>
      <c r="AG1201" s="40"/>
      <c r="AH1201" s="40"/>
      <c r="AI1201" s="40"/>
      <c r="AJ1201" s="40"/>
      <c r="AK1201" s="40"/>
      <c r="AL1201" s="40"/>
      <c r="AM1201" s="40"/>
      <c r="AN1201" s="40"/>
      <c r="AO1201" s="40"/>
      <c r="AP1201" s="40"/>
      <c r="AQ1201" s="40"/>
      <c r="AR1201" s="40"/>
      <c r="AS1201" s="40"/>
      <c r="AT1201" s="40"/>
      <c r="AU1201" s="40"/>
      <c r="AV1201" s="317">
        <v>7.0399999999999998E-4</v>
      </c>
      <c r="AW1201" s="317"/>
      <c r="AX1201" s="317"/>
      <c r="AY1201" s="313">
        <v>9.2499999999999999E-2</v>
      </c>
      <c r="AZ1201" s="40"/>
      <c r="BA1201" s="40"/>
      <c r="BB1201" s="40"/>
      <c r="BC1201" s="40">
        <v>8.5400000000000002E-5</v>
      </c>
      <c r="BD1201" s="163">
        <v>6.3200000000000005E-7</v>
      </c>
      <c r="BE1201" s="40">
        <v>0.53500000000000003</v>
      </c>
      <c r="BF1201" s="40"/>
      <c r="BG1201" s="40"/>
      <c r="BH1201" s="40"/>
      <c r="BI1201" s="40"/>
      <c r="BJ1201" s="40"/>
      <c r="BK1201" s="40"/>
      <c r="BL1201" s="62">
        <v>0.15</v>
      </c>
      <c r="BM1201" s="275">
        <v>3</v>
      </c>
      <c r="BN1201" s="62">
        <v>0.03</v>
      </c>
      <c r="BO1201" s="33" t="s">
        <v>625</v>
      </c>
      <c r="BP1201" t="s">
        <v>626</v>
      </c>
    </row>
    <row r="1202" spans="1:68">
      <c r="A1202" s="33" t="str">
        <f>Database_Productkaarten[[#This Row],[Product]]&amp;", "&amp;Database_Productkaarten[[#This Row],[Levensfase]]</f>
        <v>Molgoot, D</v>
      </c>
      <c r="B1202" s="33" t="s">
        <v>623</v>
      </c>
      <c r="C1202" t="s">
        <v>55</v>
      </c>
      <c r="D1202" s="33" t="s">
        <v>624</v>
      </c>
      <c r="E1202" s="33" t="s">
        <v>389</v>
      </c>
      <c r="F1202" s="33" t="s">
        <v>89</v>
      </c>
      <c r="G1202" s="33">
        <v>1</v>
      </c>
      <c r="H1202" s="33">
        <v>0.3</v>
      </c>
      <c r="I1202" s="33">
        <v>0.125</v>
      </c>
      <c r="L1202" s="33">
        <v>2.23</v>
      </c>
      <c r="M1202" s="271">
        <v>0.10682</v>
      </c>
      <c r="N1202" s="41">
        <v>-0.41300999999999999</v>
      </c>
      <c r="O1202" s="33">
        <v>100</v>
      </c>
      <c r="P1202" s="40">
        <v>-1.0499999999999999E-5</v>
      </c>
      <c r="Q1202" s="40">
        <v>-2.53E-2</v>
      </c>
      <c r="R1202" s="40">
        <v>-6.53</v>
      </c>
      <c r="S1202" s="40">
        <v>-3.5600000000000001E-7</v>
      </c>
      <c r="T1202" s="40">
        <v>-2.14E-3</v>
      </c>
      <c r="U1202" s="40">
        <v>-2.1499999999999998E-2</v>
      </c>
      <c r="V1202" s="40">
        <v>-3.7200000000000002E-3</v>
      </c>
      <c r="W1202" s="40">
        <v>-1.04</v>
      </c>
      <c r="X1202" s="40">
        <v>-2.4899999999999999E-2</v>
      </c>
      <c r="Y1202" s="40">
        <v>-112</v>
      </c>
      <c r="Z1202" s="40">
        <v>-1.4200000000000001E-2</v>
      </c>
      <c r="AA1202" s="40"/>
      <c r="AB1202" s="40"/>
      <c r="AC1202" s="40"/>
      <c r="AD1202" s="40"/>
      <c r="AE1202" s="40"/>
      <c r="AF1202" s="40"/>
      <c r="AG1202" s="40"/>
      <c r="AH1202" s="40"/>
      <c r="AI1202" s="40"/>
      <c r="AJ1202" s="40"/>
      <c r="AK1202" s="40"/>
      <c r="AL1202" s="40"/>
      <c r="AM1202" s="40"/>
      <c r="AN1202" s="40"/>
      <c r="AO1202" s="40"/>
      <c r="AP1202" s="40"/>
      <c r="AQ1202" s="40"/>
      <c r="AR1202" s="40"/>
      <c r="AS1202" s="40"/>
      <c r="AT1202" s="40"/>
      <c r="AU1202" s="40"/>
      <c r="AV1202" s="317">
        <v>-4.72</v>
      </c>
      <c r="AW1202" s="317"/>
      <c r="AX1202" s="317"/>
      <c r="AY1202" s="313">
        <v>-55.2</v>
      </c>
      <c r="AZ1202" s="40"/>
      <c r="BA1202" s="40"/>
      <c r="BB1202" s="40"/>
      <c r="BC1202" s="40">
        <v>-0.65100000000000002</v>
      </c>
      <c r="BD1202" s="163">
        <v>-1.81</v>
      </c>
      <c r="BE1202" s="40">
        <v>-1.06</v>
      </c>
      <c r="BF1202" s="40"/>
      <c r="BG1202" s="40"/>
      <c r="BH1202" s="40"/>
      <c r="BI1202" s="40"/>
      <c r="BJ1202" s="40"/>
      <c r="BK1202" s="40"/>
      <c r="BL1202" s="62">
        <v>0.15</v>
      </c>
      <c r="BM1202" s="275">
        <v>3</v>
      </c>
      <c r="BN1202" s="62">
        <v>0.03</v>
      </c>
      <c r="BO1202" s="33" t="s">
        <v>625</v>
      </c>
      <c r="BP1202" t="s">
        <v>626</v>
      </c>
    </row>
    <row r="1203" spans="1:68">
      <c r="A1203" s="33" t="str">
        <f>Database_Productkaarten[[#This Row],[Product]]&amp;", "&amp;Database_Productkaarten[[#This Row],[Levensfase]]</f>
        <v>Molgoot, D1</v>
      </c>
      <c r="B1203" s="33" t="s">
        <v>623</v>
      </c>
      <c r="C1203" t="s">
        <v>55</v>
      </c>
      <c r="D1203" s="33" t="s">
        <v>624</v>
      </c>
      <c r="E1203" s="33" t="s">
        <v>389</v>
      </c>
      <c r="F1203" s="33" t="s">
        <v>87</v>
      </c>
      <c r="G1203" s="33">
        <v>1</v>
      </c>
      <c r="H1203" s="33">
        <v>0.3</v>
      </c>
      <c r="I1203" s="33">
        <v>0.125</v>
      </c>
      <c r="L1203" s="33">
        <v>2.23</v>
      </c>
      <c r="M1203" s="271">
        <v>0.10682</v>
      </c>
      <c r="N1203" s="41"/>
      <c r="O1203" s="33">
        <v>100</v>
      </c>
      <c r="P1203" s="40"/>
      <c r="Q1203" s="40"/>
      <c r="R1203" s="40"/>
      <c r="S1203" s="40"/>
      <c r="T1203" s="40"/>
      <c r="U1203" s="40"/>
      <c r="V1203" s="40"/>
      <c r="W1203" s="40"/>
      <c r="X1203" s="40"/>
      <c r="Y1203" s="40"/>
      <c r="Z1203" s="40"/>
      <c r="AA1203" s="40"/>
      <c r="AB1203" s="40"/>
      <c r="AC1203" s="40"/>
      <c r="AD1203" s="40"/>
      <c r="AE1203" s="40"/>
      <c r="AF1203" s="40"/>
      <c r="AG1203" s="40"/>
      <c r="AH1203" s="40"/>
      <c r="AI1203" s="40"/>
      <c r="AJ1203" s="40"/>
      <c r="AK1203" s="40"/>
      <c r="AL1203" s="40"/>
      <c r="AM1203" s="40"/>
      <c r="AN1203" s="40"/>
      <c r="AO1203" s="40"/>
      <c r="AP1203" s="40"/>
      <c r="AQ1203" s="40"/>
      <c r="AR1203" s="40"/>
      <c r="AS1203" s="40"/>
      <c r="AT1203" s="40"/>
      <c r="AU1203" s="40"/>
      <c r="AV1203" s="313"/>
      <c r="AW1203" s="317"/>
      <c r="AX1203" s="317"/>
      <c r="AY1203" s="313"/>
      <c r="AZ1203" s="40"/>
      <c r="BA1203" s="40"/>
      <c r="BB1203" s="40"/>
      <c r="BC1203" s="40"/>
      <c r="BD1203" s="40"/>
      <c r="BE1203" s="40"/>
      <c r="BF1203" s="40"/>
      <c r="BG1203" s="40"/>
      <c r="BH1203" s="40"/>
      <c r="BI1203" s="40"/>
      <c r="BJ1203" s="40"/>
      <c r="BK1203" s="40"/>
      <c r="BL1203" s="62">
        <v>0.15</v>
      </c>
      <c r="BM1203" s="275">
        <v>3</v>
      </c>
      <c r="BN1203" s="62">
        <v>0.03</v>
      </c>
      <c r="BO1203" s="33" t="s">
        <v>625</v>
      </c>
      <c r="BP1203" t="s">
        <v>626</v>
      </c>
    </row>
    <row r="1204" spans="1:68">
      <c r="A1204" s="33" t="str">
        <f>Database_Productkaarten[[#This Row],[Product]]&amp;", "&amp;Database_Productkaarten[[#This Row],[Levensfase]]</f>
        <v>Molgoot, D2</v>
      </c>
      <c r="B1204" s="33" t="s">
        <v>623</v>
      </c>
      <c r="C1204" t="s">
        <v>55</v>
      </c>
      <c r="D1204" s="33" t="s">
        <v>624</v>
      </c>
      <c r="E1204" s="33" t="s">
        <v>389</v>
      </c>
      <c r="F1204" s="33" t="s">
        <v>88</v>
      </c>
      <c r="G1204" s="33">
        <v>1</v>
      </c>
      <c r="H1204" s="33">
        <v>0.3</v>
      </c>
      <c r="I1204" s="33">
        <v>0.125</v>
      </c>
      <c r="L1204" s="33">
        <v>2.23</v>
      </c>
      <c r="M1204" s="271">
        <v>0.10682</v>
      </c>
      <c r="N1204" s="41"/>
      <c r="O1204" s="33">
        <v>100</v>
      </c>
      <c r="P1204" s="40"/>
      <c r="Q1204" s="40"/>
      <c r="R1204" s="40"/>
      <c r="S1204" s="40"/>
      <c r="T1204" s="40"/>
      <c r="U1204" s="40"/>
      <c r="V1204" s="40"/>
      <c r="W1204" s="40"/>
      <c r="X1204" s="40"/>
      <c r="Y1204" s="40"/>
      <c r="Z1204" s="40"/>
      <c r="AA1204" s="40"/>
      <c r="AB1204" s="40"/>
      <c r="AC1204" s="40"/>
      <c r="AD1204" s="40"/>
      <c r="AE1204" s="40"/>
      <c r="AF1204" s="40"/>
      <c r="AG1204" s="40"/>
      <c r="AH1204" s="40"/>
      <c r="AI1204" s="40"/>
      <c r="AJ1204" s="40"/>
      <c r="AK1204" s="40"/>
      <c r="AL1204" s="40"/>
      <c r="AM1204" s="40"/>
      <c r="AN1204" s="40"/>
      <c r="AO1204" s="40"/>
      <c r="AP1204" s="40"/>
      <c r="AQ1204" s="40"/>
      <c r="AR1204" s="40"/>
      <c r="AS1204" s="40"/>
      <c r="AT1204" s="40"/>
      <c r="AU1204" s="40"/>
      <c r="AV1204" s="313"/>
      <c r="AW1204" s="317"/>
      <c r="AX1204" s="317"/>
      <c r="AY1204" s="313"/>
      <c r="AZ1204" s="40"/>
      <c r="BA1204" s="40"/>
      <c r="BB1204" s="40"/>
      <c r="BC1204" s="40"/>
      <c r="BD1204" s="40"/>
      <c r="BE1204" s="40"/>
      <c r="BF1204" s="40"/>
      <c r="BG1204" s="40"/>
      <c r="BH1204" s="40"/>
      <c r="BI1204" s="40"/>
      <c r="BJ1204" s="40"/>
      <c r="BK1204" s="40"/>
      <c r="BL1204" s="62">
        <v>0.15</v>
      </c>
      <c r="BM1204" s="275">
        <v>3</v>
      </c>
      <c r="BN1204" s="62">
        <v>0.03</v>
      </c>
      <c r="BO1204" s="33" t="s">
        <v>625</v>
      </c>
      <c r="BP1204" t="s">
        <v>626</v>
      </c>
    </row>
    <row r="1205" spans="1:68">
      <c r="A1205" s="33" t="str">
        <f>Database_Productkaarten[[#This Row],[Product]]&amp;", "&amp;Database_Productkaarten[[#This Row],[Levensfase]]</f>
        <v>Zandbed, Totaal</v>
      </c>
      <c r="B1205" s="33" t="s">
        <v>44</v>
      </c>
      <c r="C1205" t="s">
        <v>40</v>
      </c>
      <c r="D1205" s="33" t="s">
        <v>627</v>
      </c>
      <c r="E1205" s="33" t="s">
        <v>385</v>
      </c>
      <c r="F1205" s="33" t="s">
        <v>90</v>
      </c>
      <c r="G1205" s="33">
        <v>1</v>
      </c>
      <c r="H1205" s="33">
        <v>1</v>
      </c>
      <c r="I1205" s="33">
        <v>0.5</v>
      </c>
      <c r="L1205" s="33">
        <v>1.65</v>
      </c>
      <c r="M1205" s="271">
        <v>0.82599999999999996</v>
      </c>
      <c r="N1205" s="41">
        <v>0.85113000000000005</v>
      </c>
      <c r="O1205" s="33">
        <v>100</v>
      </c>
      <c r="P1205" s="163">
        <v>1.47E-5</v>
      </c>
      <c r="Q1205" s="163">
        <v>0.06</v>
      </c>
      <c r="R1205" s="163">
        <v>7.93</v>
      </c>
      <c r="S1205" s="163">
        <v>1.57E-6</v>
      </c>
      <c r="T1205" s="163">
        <v>4.8999999999999998E-3</v>
      </c>
      <c r="U1205" s="163">
        <v>2.8899999999999999E-2</v>
      </c>
      <c r="V1205" s="163">
        <v>5.8599999999999998E-3</v>
      </c>
      <c r="W1205" s="163">
        <v>2.75</v>
      </c>
      <c r="X1205" s="163">
        <v>0.17100000000000001</v>
      </c>
      <c r="Y1205" s="163">
        <v>451</v>
      </c>
      <c r="Z1205" s="163">
        <v>1.6E-2</v>
      </c>
      <c r="AA1205" s="40"/>
      <c r="AB1205" s="40"/>
      <c r="AC1205" s="40"/>
      <c r="AD1205" s="40"/>
      <c r="AE1205" s="40"/>
      <c r="AF1205" s="40"/>
      <c r="AG1205" s="40"/>
      <c r="AH1205" s="40"/>
      <c r="AI1205" s="40"/>
      <c r="AJ1205" s="40"/>
      <c r="AK1205" s="40"/>
      <c r="AL1205" s="40"/>
      <c r="AM1205" s="40"/>
      <c r="AN1205" s="40"/>
      <c r="AO1205" s="40"/>
      <c r="AP1205" s="40"/>
      <c r="AQ1205" s="40"/>
      <c r="AR1205" s="40"/>
      <c r="AS1205" s="40"/>
      <c r="AT1205" s="40"/>
      <c r="AU1205" s="40"/>
      <c r="AV1205" s="315">
        <v>2.09</v>
      </c>
      <c r="AW1205" s="317"/>
      <c r="AX1205" s="317"/>
      <c r="AY1205" s="313">
        <v>137</v>
      </c>
      <c r="AZ1205" s="40"/>
      <c r="BA1205" s="40"/>
      <c r="BB1205" s="40"/>
      <c r="BC1205" s="40">
        <v>3.4099999999999998E-2</v>
      </c>
      <c r="BD1205" s="163">
        <v>9.6900000000000003E-4</v>
      </c>
      <c r="BE1205" s="163">
        <v>19.3</v>
      </c>
      <c r="BF1205" s="40"/>
      <c r="BG1205" s="40"/>
      <c r="BH1205" s="40"/>
      <c r="BI1205" s="40"/>
      <c r="BJ1205" s="40"/>
      <c r="BK1205" s="40"/>
      <c r="BL1205" s="62">
        <v>0.5</v>
      </c>
      <c r="BM1205" s="275">
        <v>3</v>
      </c>
      <c r="BN1205" s="62">
        <v>0.05</v>
      </c>
      <c r="BO1205" s="33" t="s">
        <v>625</v>
      </c>
      <c r="BP1205" s="33" t="s">
        <v>628</v>
      </c>
    </row>
    <row r="1206" spans="1:68">
      <c r="A1206" s="33" t="str">
        <f>Database_Productkaarten[[#This Row],[Product]]&amp;", "&amp;Database_Productkaarten[[#This Row],[Levensfase]]</f>
        <v>Zandbed, A1</v>
      </c>
      <c r="B1206" s="33" t="s">
        <v>44</v>
      </c>
      <c r="C1206" t="s">
        <v>40</v>
      </c>
      <c r="D1206" s="33" t="s">
        <v>627</v>
      </c>
      <c r="E1206" s="33" t="s">
        <v>385</v>
      </c>
      <c r="F1206" s="33" t="s">
        <v>74</v>
      </c>
      <c r="G1206" s="33">
        <v>1</v>
      </c>
      <c r="H1206" s="33">
        <v>1</v>
      </c>
      <c r="I1206" s="33">
        <v>0.5</v>
      </c>
      <c r="L1206" s="33">
        <v>1.65</v>
      </c>
      <c r="M1206" s="271">
        <v>0.82599999999999996</v>
      </c>
      <c r="N1206" s="41"/>
      <c r="O1206" s="33">
        <v>100</v>
      </c>
      <c r="P1206" s="40"/>
      <c r="Q1206" s="40"/>
      <c r="R1206" s="40"/>
      <c r="S1206" s="40"/>
      <c r="T1206" s="40"/>
      <c r="U1206" s="40"/>
      <c r="V1206" s="40"/>
      <c r="W1206" s="40"/>
      <c r="X1206" s="40"/>
      <c r="Y1206" s="40"/>
      <c r="Z1206" s="40"/>
      <c r="AA1206" s="40"/>
      <c r="AB1206" s="40"/>
      <c r="AC1206" s="40"/>
      <c r="AD1206" s="40"/>
      <c r="AE1206" s="40"/>
      <c r="AF1206" s="40"/>
      <c r="AG1206" s="40"/>
      <c r="AH1206" s="40"/>
      <c r="AI1206" s="40"/>
      <c r="AJ1206" s="40"/>
      <c r="AK1206" s="40"/>
      <c r="AL1206" s="40"/>
      <c r="AM1206" s="40"/>
      <c r="AN1206" s="40"/>
      <c r="AO1206" s="40"/>
      <c r="AP1206" s="40"/>
      <c r="AQ1206" s="40"/>
      <c r="AR1206" s="40"/>
      <c r="AS1206" s="40"/>
      <c r="AT1206" s="40"/>
      <c r="AU1206" s="40"/>
      <c r="AV1206" s="317"/>
      <c r="AW1206" s="317"/>
      <c r="AX1206" s="317"/>
      <c r="AY1206" s="313"/>
      <c r="AZ1206" s="40"/>
      <c r="BA1206" s="40"/>
      <c r="BB1206" s="40"/>
      <c r="BC1206" s="40"/>
      <c r="BD1206" s="40"/>
      <c r="BE1206" s="40"/>
      <c r="BF1206" s="40"/>
      <c r="BG1206" s="40"/>
      <c r="BH1206" s="40"/>
      <c r="BI1206" s="40"/>
      <c r="BJ1206" s="40"/>
      <c r="BK1206" s="40"/>
      <c r="BL1206" s="62">
        <v>0.5</v>
      </c>
      <c r="BM1206" s="275">
        <v>3</v>
      </c>
      <c r="BN1206" s="62">
        <v>0.05</v>
      </c>
      <c r="BO1206" s="33" t="s">
        <v>625</v>
      </c>
      <c r="BP1206" s="33" t="s">
        <v>628</v>
      </c>
    </row>
    <row r="1207" spans="1:68">
      <c r="A1207" s="33" t="str">
        <f>Database_Productkaarten[[#This Row],[Product]]&amp;", "&amp;Database_Productkaarten[[#This Row],[Levensfase]]</f>
        <v>Zandbed, A2</v>
      </c>
      <c r="B1207" s="33" t="s">
        <v>44</v>
      </c>
      <c r="C1207" t="s">
        <v>40</v>
      </c>
      <c r="D1207" s="33" t="s">
        <v>627</v>
      </c>
      <c r="E1207" s="33" t="s">
        <v>385</v>
      </c>
      <c r="F1207" s="33" t="s">
        <v>75</v>
      </c>
      <c r="G1207" s="33">
        <v>1</v>
      </c>
      <c r="H1207" s="33">
        <v>1</v>
      </c>
      <c r="I1207" s="33">
        <v>0.5</v>
      </c>
      <c r="L1207" s="33">
        <v>1.65</v>
      </c>
      <c r="M1207" s="271">
        <v>0.82599999999999996</v>
      </c>
      <c r="N1207" s="41"/>
      <c r="O1207" s="33">
        <v>100</v>
      </c>
      <c r="P1207" s="40"/>
      <c r="Q1207" s="40"/>
      <c r="R1207" s="40"/>
      <c r="S1207" s="40"/>
      <c r="T1207" s="40"/>
      <c r="U1207" s="40"/>
      <c r="V1207" s="40"/>
      <c r="W1207" s="40"/>
      <c r="X1207" s="40"/>
      <c r="Y1207" s="40"/>
      <c r="Z1207" s="40"/>
      <c r="AA1207" s="40"/>
      <c r="AB1207" s="40"/>
      <c r="AC1207" s="40"/>
      <c r="AD1207" s="40"/>
      <c r="AE1207" s="40"/>
      <c r="AF1207" s="40"/>
      <c r="AG1207" s="40"/>
      <c r="AH1207" s="40"/>
      <c r="AI1207" s="40"/>
      <c r="AJ1207" s="40"/>
      <c r="AK1207" s="40"/>
      <c r="AL1207" s="40"/>
      <c r="AM1207" s="40"/>
      <c r="AN1207" s="40"/>
      <c r="AO1207" s="40"/>
      <c r="AP1207" s="40"/>
      <c r="AQ1207" s="40"/>
      <c r="AR1207" s="40"/>
      <c r="AS1207" s="40"/>
      <c r="AT1207" s="40"/>
      <c r="AU1207" s="40"/>
      <c r="AV1207" s="317"/>
      <c r="AW1207" s="317"/>
      <c r="AX1207" s="317"/>
      <c r="AY1207" s="313"/>
      <c r="AZ1207" s="40"/>
      <c r="BA1207" s="40"/>
      <c r="BB1207" s="40"/>
      <c r="BC1207" s="40"/>
      <c r="BD1207" s="40"/>
      <c r="BE1207" s="40"/>
      <c r="BF1207" s="40"/>
      <c r="BG1207" s="40"/>
      <c r="BH1207" s="40"/>
      <c r="BI1207" s="40"/>
      <c r="BJ1207" s="40"/>
      <c r="BK1207" s="40"/>
      <c r="BL1207" s="62">
        <v>0.5</v>
      </c>
      <c r="BM1207" s="275">
        <v>3</v>
      </c>
      <c r="BN1207" s="62">
        <v>0.05</v>
      </c>
      <c r="BO1207" s="33" t="s">
        <v>625</v>
      </c>
      <c r="BP1207" s="33" t="s">
        <v>628</v>
      </c>
    </row>
    <row r="1208" spans="1:68">
      <c r="A1208" s="33" t="str">
        <f>Database_Productkaarten[[#This Row],[Product]]&amp;", "&amp;Database_Productkaarten[[#This Row],[Levensfase]]</f>
        <v>Zandbed, A3</v>
      </c>
      <c r="B1208" s="33" t="s">
        <v>44</v>
      </c>
      <c r="C1208" t="s">
        <v>40</v>
      </c>
      <c r="D1208" s="33" t="s">
        <v>627</v>
      </c>
      <c r="E1208" s="33" t="s">
        <v>385</v>
      </c>
      <c r="F1208" s="33" t="s">
        <v>76</v>
      </c>
      <c r="G1208" s="33">
        <v>1</v>
      </c>
      <c r="H1208" s="33">
        <v>1</v>
      </c>
      <c r="I1208" s="33">
        <v>0.5</v>
      </c>
      <c r="L1208" s="33">
        <v>1.65</v>
      </c>
      <c r="M1208" s="271">
        <v>0.82599999999999996</v>
      </c>
      <c r="N1208" s="41"/>
      <c r="O1208" s="33">
        <v>100</v>
      </c>
      <c r="P1208" s="40"/>
      <c r="Q1208" s="40"/>
      <c r="R1208" s="40"/>
      <c r="S1208" s="40"/>
      <c r="T1208" s="40"/>
      <c r="U1208" s="40"/>
      <c r="V1208" s="40"/>
      <c r="W1208" s="40"/>
      <c r="X1208" s="40"/>
      <c r="Y1208" s="40"/>
      <c r="Z1208" s="40"/>
      <c r="AA1208" s="40"/>
      <c r="AB1208" s="40"/>
      <c r="AC1208" s="40"/>
      <c r="AD1208" s="40"/>
      <c r="AE1208" s="40"/>
      <c r="AF1208" s="40"/>
      <c r="AG1208" s="40"/>
      <c r="AH1208" s="40"/>
      <c r="AI1208" s="40"/>
      <c r="AJ1208" s="40"/>
      <c r="AK1208" s="40"/>
      <c r="AL1208" s="40"/>
      <c r="AM1208" s="40"/>
      <c r="AN1208" s="40"/>
      <c r="AO1208" s="40"/>
      <c r="AP1208" s="40"/>
      <c r="AQ1208" s="40"/>
      <c r="AR1208" s="40"/>
      <c r="AS1208" s="40"/>
      <c r="AT1208" s="40"/>
      <c r="AU1208" s="40"/>
      <c r="AV1208" s="317"/>
      <c r="AW1208" s="317"/>
      <c r="AX1208" s="317"/>
      <c r="AY1208" s="313"/>
      <c r="AZ1208" s="40"/>
      <c r="BA1208" s="40"/>
      <c r="BB1208" s="40"/>
      <c r="BC1208" s="40"/>
      <c r="BD1208" s="40"/>
      <c r="BE1208" s="40"/>
      <c r="BF1208" s="40"/>
      <c r="BG1208" s="40"/>
      <c r="BH1208" s="40"/>
      <c r="BI1208" s="40"/>
      <c r="BJ1208" s="40"/>
      <c r="BK1208" s="40"/>
      <c r="BL1208" s="62">
        <v>0.5</v>
      </c>
      <c r="BM1208" s="275">
        <v>3</v>
      </c>
      <c r="BN1208" s="62">
        <v>0.05</v>
      </c>
      <c r="BO1208" s="33" t="s">
        <v>625</v>
      </c>
      <c r="BP1208" s="33" t="s">
        <v>628</v>
      </c>
    </row>
    <row r="1209" spans="1:68">
      <c r="A1209" s="33" t="str">
        <f>Database_Productkaarten[[#This Row],[Product]]&amp;", "&amp;Database_Productkaarten[[#This Row],[Levensfase]]</f>
        <v>Zandbed, A1-A3</v>
      </c>
      <c r="B1209" s="33" t="s">
        <v>44</v>
      </c>
      <c r="C1209" t="s">
        <v>40</v>
      </c>
      <c r="D1209" s="33" t="s">
        <v>627</v>
      </c>
      <c r="E1209" s="33" t="s">
        <v>385</v>
      </c>
      <c r="F1209" s="33" t="s">
        <v>77</v>
      </c>
      <c r="G1209" s="33">
        <v>1</v>
      </c>
      <c r="H1209" s="33">
        <v>1</v>
      </c>
      <c r="I1209" s="33">
        <v>0.5</v>
      </c>
      <c r="L1209" s="33">
        <v>1.65</v>
      </c>
      <c r="M1209" s="271">
        <v>0.82599999999999996</v>
      </c>
      <c r="N1209" s="41">
        <v>0.61741000000000001</v>
      </c>
      <c r="O1209" s="33">
        <v>100</v>
      </c>
      <c r="P1209" s="163">
        <v>1.8E-5</v>
      </c>
      <c r="Q1209" s="163">
        <v>3.4500000000000003E-2</v>
      </c>
      <c r="R1209" s="163">
        <v>4.8499999999999996</v>
      </c>
      <c r="S1209" s="163">
        <v>6.99E-7</v>
      </c>
      <c r="T1209" s="163">
        <v>3.5599999999999998E-3</v>
      </c>
      <c r="U1209" s="163">
        <v>2.98E-2</v>
      </c>
      <c r="V1209" s="163">
        <v>4.9500000000000004E-3</v>
      </c>
      <c r="W1209" s="163">
        <v>2.0099999999999998</v>
      </c>
      <c r="X1209" s="163">
        <v>4.2200000000000001E-2</v>
      </c>
      <c r="Y1209" s="163">
        <v>162</v>
      </c>
      <c r="Z1209" s="163">
        <v>8.8199999999999997E-3</v>
      </c>
      <c r="AA1209" s="40"/>
      <c r="AB1209" s="40"/>
      <c r="AC1209" s="40"/>
      <c r="AD1209" s="40"/>
      <c r="AE1209" s="40"/>
      <c r="AF1209" s="40"/>
      <c r="AG1209" s="40"/>
      <c r="AH1209" s="40"/>
      <c r="AI1209" s="40"/>
      <c r="AJ1209" s="40"/>
      <c r="AK1209" s="40"/>
      <c r="AL1209" s="40"/>
      <c r="AM1209" s="40"/>
      <c r="AN1209" s="40"/>
      <c r="AO1209" s="40"/>
      <c r="AP1209" s="40"/>
      <c r="AQ1209" s="40"/>
      <c r="AR1209" s="40"/>
      <c r="AS1209" s="40"/>
      <c r="AT1209" s="40"/>
      <c r="AU1209" s="40"/>
      <c r="AV1209" s="315">
        <v>2.31</v>
      </c>
      <c r="AW1209" s="317"/>
      <c r="AX1209" s="317"/>
      <c r="AY1209" s="313">
        <v>74.5</v>
      </c>
      <c r="AZ1209" s="40"/>
      <c r="BA1209" s="40"/>
      <c r="BB1209" s="40"/>
      <c r="BC1209" s="40">
        <v>0.58599999999999997</v>
      </c>
      <c r="BD1209" s="163">
        <v>6.6500000000000001E-4</v>
      </c>
      <c r="BE1209" s="163">
        <v>2.27</v>
      </c>
      <c r="BF1209" s="40"/>
      <c r="BG1209" s="40"/>
      <c r="BH1209" s="40"/>
      <c r="BI1209" s="40"/>
      <c r="BJ1209" s="40"/>
      <c r="BK1209" s="40"/>
      <c r="BL1209" s="62">
        <v>0.5</v>
      </c>
      <c r="BM1209" s="275">
        <v>3</v>
      </c>
      <c r="BN1209" s="62">
        <v>0.05</v>
      </c>
      <c r="BO1209" s="33" t="s">
        <v>625</v>
      </c>
      <c r="BP1209" s="33" t="s">
        <v>628</v>
      </c>
    </row>
    <row r="1210" spans="1:68">
      <c r="A1210" s="33" t="str">
        <f>Database_Productkaarten[[#This Row],[Product]]&amp;", "&amp;Database_Productkaarten[[#This Row],[Levensfase]]</f>
        <v>Zandbed, A4</v>
      </c>
      <c r="B1210" s="33" t="s">
        <v>44</v>
      </c>
      <c r="C1210" t="s">
        <v>40</v>
      </c>
      <c r="D1210" s="33" t="s">
        <v>627</v>
      </c>
      <c r="E1210" s="33" t="s">
        <v>385</v>
      </c>
      <c r="F1210" s="33" t="s">
        <v>78</v>
      </c>
      <c r="G1210" s="33">
        <v>1</v>
      </c>
      <c r="H1210" s="33">
        <v>1</v>
      </c>
      <c r="I1210" s="33">
        <v>0.5</v>
      </c>
      <c r="L1210" s="33">
        <v>1.65</v>
      </c>
      <c r="M1210" s="271">
        <v>0.82599999999999996</v>
      </c>
      <c r="N1210" s="41">
        <v>0.19764000000000001</v>
      </c>
      <c r="O1210" s="33">
        <v>100</v>
      </c>
      <c r="P1210" s="163">
        <v>6.7700000000000004E-6</v>
      </c>
      <c r="Q1210" s="163">
        <v>2.6700000000000002E-2</v>
      </c>
      <c r="R1210" s="163">
        <v>3.53</v>
      </c>
      <c r="S1210" s="163">
        <v>7.0100000000000004E-7</v>
      </c>
      <c r="T1210" s="163">
        <v>2.2300000000000002E-3</v>
      </c>
      <c r="U1210" s="163">
        <v>1.29E-2</v>
      </c>
      <c r="V1210" s="163">
        <v>2.6199999999999999E-3</v>
      </c>
      <c r="W1210" s="163">
        <v>1.24</v>
      </c>
      <c r="X1210" s="163">
        <v>8.0100000000000005E-2</v>
      </c>
      <c r="Y1210" s="163">
        <v>210</v>
      </c>
      <c r="Z1210" s="163">
        <v>7.3600000000000002E-3</v>
      </c>
      <c r="AA1210" s="40"/>
      <c r="AB1210" s="40"/>
      <c r="AC1210" s="40"/>
      <c r="AD1210" s="40"/>
      <c r="AE1210" s="40"/>
      <c r="AF1210" s="40"/>
      <c r="AG1210" s="40"/>
      <c r="AH1210" s="40"/>
      <c r="AI1210" s="40"/>
      <c r="AJ1210" s="40"/>
      <c r="AK1210" s="40"/>
      <c r="AL1210" s="40"/>
      <c r="AM1210" s="40"/>
      <c r="AN1210" s="40"/>
      <c r="AO1210" s="40"/>
      <c r="AP1210" s="40"/>
      <c r="AQ1210" s="40"/>
      <c r="AR1210" s="40"/>
      <c r="AS1210" s="40"/>
      <c r="AT1210" s="40"/>
      <c r="AU1210" s="40"/>
      <c r="AV1210" s="315">
        <v>0.95399999999999996</v>
      </c>
      <c r="AW1210" s="317"/>
      <c r="AX1210" s="317"/>
      <c r="AY1210" s="313">
        <v>61</v>
      </c>
      <c r="AZ1210" s="40"/>
      <c r="BA1210" s="40"/>
      <c r="BB1210" s="40"/>
      <c r="BC1210" s="40">
        <v>1.24E-2</v>
      </c>
      <c r="BD1210" s="163">
        <v>4.3199999999999998E-4</v>
      </c>
      <c r="BE1210" s="163">
        <v>5.04</v>
      </c>
      <c r="BF1210" s="40"/>
      <c r="BG1210" s="40"/>
      <c r="BH1210" s="40"/>
      <c r="BI1210" s="40"/>
      <c r="BJ1210" s="40"/>
      <c r="BK1210" s="40"/>
      <c r="BL1210" s="62">
        <v>0.5</v>
      </c>
      <c r="BM1210" s="275">
        <v>3</v>
      </c>
      <c r="BN1210" s="62">
        <v>0.05</v>
      </c>
      <c r="BO1210" s="33" t="s">
        <v>625</v>
      </c>
      <c r="BP1210" s="33" t="s">
        <v>628</v>
      </c>
    </row>
    <row r="1211" spans="1:68">
      <c r="A1211" s="33" t="str">
        <f>Database_Productkaarten[[#This Row],[Product]]&amp;", "&amp;Database_Productkaarten[[#This Row],[Levensfase]]</f>
        <v>Zandbed, A5</v>
      </c>
      <c r="B1211" s="33" t="s">
        <v>44</v>
      </c>
      <c r="C1211" t="s">
        <v>40</v>
      </c>
      <c r="D1211" s="33" t="s">
        <v>627</v>
      </c>
      <c r="E1211" s="33" t="s">
        <v>385</v>
      </c>
      <c r="F1211" s="33" t="s">
        <v>79</v>
      </c>
      <c r="G1211" s="33">
        <v>1</v>
      </c>
      <c r="H1211" s="33">
        <v>1</v>
      </c>
      <c r="I1211" s="33">
        <v>0.5</v>
      </c>
      <c r="L1211" s="33">
        <v>1.65</v>
      </c>
      <c r="M1211" s="271">
        <v>0.82599999999999996</v>
      </c>
      <c r="N1211" s="41">
        <v>4.6149999999999997E-2</v>
      </c>
      <c r="O1211" s="33">
        <v>100</v>
      </c>
      <c r="P1211" s="163">
        <v>8.1900000000000001E-7</v>
      </c>
      <c r="Q1211" s="163">
        <v>4.62E-3</v>
      </c>
      <c r="R1211" s="163">
        <v>0.63500000000000001</v>
      </c>
      <c r="S1211" s="163">
        <v>1.1999999999999999E-7</v>
      </c>
      <c r="T1211" s="163">
        <v>3.1799999999999998E-4</v>
      </c>
      <c r="U1211" s="163">
        <v>2.1299999999999999E-3</v>
      </c>
      <c r="V1211" s="163">
        <v>4.2400000000000001E-4</v>
      </c>
      <c r="W1211" s="163">
        <v>0.19500000000000001</v>
      </c>
      <c r="X1211" s="163">
        <v>9.4199999999999996E-3</v>
      </c>
      <c r="Y1211" s="163">
        <v>25.7</v>
      </c>
      <c r="Z1211" s="163">
        <v>9.8799999999999995E-4</v>
      </c>
      <c r="AA1211" s="40"/>
      <c r="AB1211" s="40"/>
      <c r="AC1211" s="40"/>
      <c r="AD1211" s="40"/>
      <c r="AE1211" s="40"/>
      <c r="AF1211" s="40"/>
      <c r="AG1211" s="40"/>
      <c r="AH1211" s="40"/>
      <c r="AI1211" s="40"/>
      <c r="AJ1211" s="40"/>
      <c r="AK1211" s="40"/>
      <c r="AL1211" s="40"/>
      <c r="AM1211" s="40"/>
      <c r="AN1211" s="40"/>
      <c r="AO1211" s="40"/>
      <c r="AP1211" s="40"/>
      <c r="AQ1211" s="40"/>
      <c r="AR1211" s="40"/>
      <c r="AS1211" s="40"/>
      <c r="AT1211" s="40"/>
      <c r="AU1211" s="40"/>
      <c r="AV1211" s="315">
        <v>0.128</v>
      </c>
      <c r="AW1211" s="317"/>
      <c r="AX1211" s="317"/>
      <c r="AY1211" s="313">
        <v>10.4</v>
      </c>
      <c r="AZ1211" s="40"/>
      <c r="BA1211" s="40"/>
      <c r="BB1211" s="40"/>
      <c r="BC1211" s="40">
        <v>2E-3</v>
      </c>
      <c r="BD1211" s="163">
        <v>7.3300000000000006E-5</v>
      </c>
      <c r="BE1211" s="163">
        <v>0.92500000000000004</v>
      </c>
      <c r="BF1211" s="40"/>
      <c r="BG1211" s="40"/>
      <c r="BH1211" s="40"/>
      <c r="BI1211" s="40"/>
      <c r="BJ1211" s="40"/>
      <c r="BK1211" s="40"/>
      <c r="BL1211" s="62">
        <v>0.5</v>
      </c>
      <c r="BM1211" s="275">
        <v>3</v>
      </c>
      <c r="BN1211" s="62">
        <v>0.05</v>
      </c>
      <c r="BO1211" s="33" t="s">
        <v>625</v>
      </c>
      <c r="BP1211" s="33" t="s">
        <v>628</v>
      </c>
    </row>
    <row r="1212" spans="1:68">
      <c r="A1212" s="33" t="str">
        <f>Database_Productkaarten[[#This Row],[Product]]&amp;", "&amp;Database_Productkaarten[[#This Row],[Levensfase]]</f>
        <v>Zandbed, B1</v>
      </c>
      <c r="B1212" s="33" t="s">
        <v>44</v>
      </c>
      <c r="C1212" t="s">
        <v>40</v>
      </c>
      <c r="D1212" s="33" t="s">
        <v>627</v>
      </c>
      <c r="E1212" s="33" t="s">
        <v>385</v>
      </c>
      <c r="F1212" s="33" t="s">
        <v>80</v>
      </c>
      <c r="G1212" s="33">
        <v>1</v>
      </c>
      <c r="H1212" s="33">
        <v>1</v>
      </c>
      <c r="I1212" s="33">
        <v>0.5</v>
      </c>
      <c r="L1212" s="33">
        <v>1.65</v>
      </c>
      <c r="M1212" s="271">
        <v>0.82599999999999996</v>
      </c>
      <c r="N1212" s="41"/>
      <c r="O1212" s="33">
        <v>100</v>
      </c>
      <c r="P1212" s="163">
        <v>0</v>
      </c>
      <c r="Q1212" s="163">
        <v>0</v>
      </c>
      <c r="R1212" s="163">
        <v>0</v>
      </c>
      <c r="S1212" s="163">
        <v>0</v>
      </c>
      <c r="T1212" s="163">
        <v>0</v>
      </c>
      <c r="U1212" s="163">
        <v>0</v>
      </c>
      <c r="V1212" s="163">
        <v>0</v>
      </c>
      <c r="W1212" s="163">
        <v>0</v>
      </c>
      <c r="X1212" s="163">
        <v>0</v>
      </c>
      <c r="Y1212" s="163">
        <v>0</v>
      </c>
      <c r="Z1212" s="163">
        <v>0</v>
      </c>
      <c r="AA1212" s="40"/>
      <c r="AB1212" s="40"/>
      <c r="AC1212" s="40"/>
      <c r="AD1212" s="40"/>
      <c r="AE1212" s="40"/>
      <c r="AF1212" s="40"/>
      <c r="AG1212" s="40"/>
      <c r="AH1212" s="40"/>
      <c r="AI1212" s="40"/>
      <c r="AJ1212" s="40"/>
      <c r="AK1212" s="40"/>
      <c r="AL1212" s="40"/>
      <c r="AM1212" s="40"/>
      <c r="AN1212" s="40"/>
      <c r="AO1212" s="40"/>
      <c r="AP1212" s="40"/>
      <c r="AQ1212" s="40"/>
      <c r="AR1212" s="40"/>
      <c r="AS1212" s="40"/>
      <c r="AT1212" s="40"/>
      <c r="AU1212" s="40"/>
      <c r="AV1212" s="315">
        <v>0</v>
      </c>
      <c r="AW1212" s="317"/>
      <c r="AX1212" s="317"/>
      <c r="AY1212" s="313">
        <v>0</v>
      </c>
      <c r="AZ1212" s="40"/>
      <c r="BA1212" s="40"/>
      <c r="BB1212" s="40"/>
      <c r="BC1212" s="40">
        <v>0</v>
      </c>
      <c r="BD1212" s="163">
        <v>0</v>
      </c>
      <c r="BE1212" s="163">
        <v>0</v>
      </c>
      <c r="BF1212" s="40"/>
      <c r="BG1212" s="40"/>
      <c r="BH1212" s="40"/>
      <c r="BI1212" s="40"/>
      <c r="BJ1212" s="40"/>
      <c r="BK1212" s="40"/>
      <c r="BL1212" s="62">
        <v>0.5</v>
      </c>
      <c r="BM1212" s="275">
        <v>3</v>
      </c>
      <c r="BN1212" s="62">
        <v>0.05</v>
      </c>
      <c r="BO1212" s="33" t="s">
        <v>625</v>
      </c>
      <c r="BP1212" s="33" t="s">
        <v>628</v>
      </c>
    </row>
    <row r="1213" spans="1:68">
      <c r="A1213" s="33" t="str">
        <f>Database_Productkaarten[[#This Row],[Product]]&amp;", "&amp;Database_Productkaarten[[#This Row],[Levensfase]]</f>
        <v>Zandbed, C1</v>
      </c>
      <c r="B1213" s="33" t="s">
        <v>44</v>
      </c>
      <c r="C1213" t="s">
        <v>40</v>
      </c>
      <c r="D1213" s="33" t="s">
        <v>627</v>
      </c>
      <c r="E1213" s="33" t="s">
        <v>385</v>
      </c>
      <c r="F1213" s="33" t="s">
        <v>83</v>
      </c>
      <c r="G1213" s="33">
        <v>1</v>
      </c>
      <c r="H1213" s="33">
        <v>1</v>
      </c>
      <c r="I1213" s="33">
        <v>0.5</v>
      </c>
      <c r="L1213" s="33">
        <v>1.65</v>
      </c>
      <c r="M1213" s="271">
        <v>0.82599999999999996</v>
      </c>
      <c r="N1213" s="41">
        <v>6.7400000000000003E-3</v>
      </c>
      <c r="O1213" s="33">
        <v>100</v>
      </c>
      <c r="P1213" s="163">
        <v>6.8099999999999994E-8</v>
      </c>
      <c r="Q1213" s="163">
        <v>9.9400000000000009E-4</v>
      </c>
      <c r="R1213" s="163">
        <v>0.14499999999999999</v>
      </c>
      <c r="S1213" s="163">
        <v>2.5300000000000002E-8</v>
      </c>
      <c r="T1213" s="163">
        <v>4.7899999999999999E-5</v>
      </c>
      <c r="U1213" s="163">
        <v>4.2700000000000002E-4</v>
      </c>
      <c r="V1213" s="163">
        <v>8.1600000000000005E-5</v>
      </c>
      <c r="W1213" s="163">
        <v>3.5999999999999997E-2</v>
      </c>
      <c r="X1213" s="163">
        <v>7.1299999999999998E-4</v>
      </c>
      <c r="Y1213" s="163">
        <v>2.39</v>
      </c>
      <c r="Z1213" s="163">
        <v>1.2799999999999999E-4</v>
      </c>
      <c r="AA1213" s="40"/>
      <c r="AB1213" s="40"/>
      <c r="AC1213" s="40"/>
      <c r="AD1213" s="40"/>
      <c r="AE1213" s="40"/>
      <c r="AF1213" s="40"/>
      <c r="AG1213" s="40"/>
      <c r="AH1213" s="40"/>
      <c r="AI1213" s="40"/>
      <c r="AJ1213" s="40"/>
      <c r="AK1213" s="40"/>
      <c r="AL1213" s="40"/>
      <c r="AM1213" s="40"/>
      <c r="AN1213" s="40"/>
      <c r="AO1213" s="40"/>
      <c r="AP1213" s="40"/>
      <c r="AQ1213" s="40"/>
      <c r="AR1213" s="40"/>
      <c r="AS1213" s="40"/>
      <c r="AT1213" s="40"/>
      <c r="AU1213" s="40"/>
      <c r="AV1213" s="315">
        <v>1.6199999999999999E-2</v>
      </c>
      <c r="AW1213" s="317"/>
      <c r="AX1213" s="317"/>
      <c r="AY1213" s="313">
        <v>2.2200000000000002</v>
      </c>
      <c r="AZ1213" s="40"/>
      <c r="BA1213" s="40"/>
      <c r="BB1213" s="40"/>
      <c r="BC1213" s="40">
        <v>2.1000000000000001E-4</v>
      </c>
      <c r="BD1213" s="163">
        <v>1.5299999999999999E-5</v>
      </c>
      <c r="BE1213" s="163">
        <v>3.7200000000000002E-3</v>
      </c>
      <c r="BF1213" s="40"/>
      <c r="BG1213" s="40"/>
      <c r="BH1213" s="40"/>
      <c r="BI1213" s="40"/>
      <c r="BJ1213" s="40"/>
      <c r="BK1213" s="40"/>
      <c r="BL1213" s="62">
        <v>0.5</v>
      </c>
      <c r="BM1213" s="275">
        <v>3</v>
      </c>
      <c r="BN1213" s="62">
        <v>0.05</v>
      </c>
      <c r="BO1213" s="33" t="s">
        <v>625</v>
      </c>
      <c r="BP1213" s="33" t="s">
        <v>628</v>
      </c>
    </row>
    <row r="1214" spans="1:68">
      <c r="A1214" s="33" t="str">
        <f>Database_Productkaarten[[#This Row],[Product]]&amp;", "&amp;Database_Productkaarten[[#This Row],[Levensfase]]</f>
        <v>Zandbed, C2</v>
      </c>
      <c r="B1214" s="33" t="s">
        <v>44</v>
      </c>
      <c r="C1214" t="s">
        <v>40</v>
      </c>
      <c r="D1214" s="33" t="s">
        <v>627</v>
      </c>
      <c r="E1214" s="33" t="s">
        <v>385</v>
      </c>
      <c r="F1214" s="33" t="s">
        <v>84</v>
      </c>
      <c r="G1214" s="33">
        <v>1</v>
      </c>
      <c r="H1214" s="33">
        <v>1</v>
      </c>
      <c r="I1214" s="33">
        <v>0.5</v>
      </c>
      <c r="L1214" s="33">
        <v>1.65</v>
      </c>
      <c r="M1214" s="271">
        <v>0.82599999999999996</v>
      </c>
      <c r="N1214" s="41">
        <v>0.19961000000000001</v>
      </c>
      <c r="O1214" s="33">
        <v>100</v>
      </c>
      <c r="P1214" s="163">
        <v>6.7700000000000004E-6</v>
      </c>
      <c r="Q1214" s="163">
        <v>2.6700000000000002E-2</v>
      </c>
      <c r="R1214" s="163">
        <v>3.53</v>
      </c>
      <c r="S1214" s="163">
        <v>7.0100000000000004E-7</v>
      </c>
      <c r="T1214" s="163">
        <v>2.2300000000000002E-3</v>
      </c>
      <c r="U1214" s="163">
        <v>1.29E-2</v>
      </c>
      <c r="V1214" s="163">
        <v>2.6199999999999999E-3</v>
      </c>
      <c r="W1214" s="163">
        <v>1.24</v>
      </c>
      <c r="X1214" s="163">
        <v>8.0100000000000005E-2</v>
      </c>
      <c r="Y1214" s="163">
        <v>210</v>
      </c>
      <c r="Z1214" s="163">
        <v>7.3600000000000002E-3</v>
      </c>
      <c r="AA1214" s="40"/>
      <c r="AB1214" s="40"/>
      <c r="AC1214" s="40"/>
      <c r="AD1214" s="40"/>
      <c r="AE1214" s="40"/>
      <c r="AF1214" s="40"/>
      <c r="AG1214" s="40"/>
      <c r="AH1214" s="40"/>
      <c r="AI1214" s="40"/>
      <c r="AJ1214" s="40"/>
      <c r="AK1214" s="40"/>
      <c r="AL1214" s="40"/>
      <c r="AM1214" s="40"/>
      <c r="AN1214" s="40"/>
      <c r="AO1214" s="40"/>
      <c r="AP1214" s="40"/>
      <c r="AQ1214" s="40"/>
      <c r="AR1214" s="40"/>
      <c r="AS1214" s="40"/>
      <c r="AT1214" s="40"/>
      <c r="AU1214" s="40"/>
      <c r="AV1214" s="315">
        <v>0.95399999999999996</v>
      </c>
      <c r="AW1214" s="317"/>
      <c r="AX1214" s="317"/>
      <c r="AY1214" s="313">
        <v>61</v>
      </c>
      <c r="AZ1214" s="40"/>
      <c r="BA1214" s="40"/>
      <c r="BB1214" s="40"/>
      <c r="BC1214" s="40">
        <v>1.24E-2</v>
      </c>
      <c r="BD1214" s="163">
        <v>4.3199999999999998E-4</v>
      </c>
      <c r="BE1214" s="163">
        <v>5.04</v>
      </c>
      <c r="BF1214" s="40"/>
      <c r="BG1214" s="40"/>
      <c r="BH1214" s="40"/>
      <c r="BI1214" s="40"/>
      <c r="BJ1214" s="40"/>
      <c r="BK1214" s="40"/>
      <c r="BL1214" s="62">
        <v>0.5</v>
      </c>
      <c r="BM1214" s="275">
        <v>3</v>
      </c>
      <c r="BN1214" s="62">
        <v>0.05</v>
      </c>
      <c r="BO1214" s="33" t="s">
        <v>625</v>
      </c>
      <c r="BP1214" s="33" t="s">
        <v>628</v>
      </c>
    </row>
    <row r="1215" spans="1:68">
      <c r="A1215" s="33" t="str">
        <f>Database_Productkaarten[[#This Row],[Product]]&amp;", "&amp;Database_Productkaarten[[#This Row],[Levensfase]]</f>
        <v>Zandbed, C3</v>
      </c>
      <c r="B1215" s="33" t="s">
        <v>44</v>
      </c>
      <c r="C1215" t="s">
        <v>40</v>
      </c>
      <c r="D1215" s="33" t="s">
        <v>627</v>
      </c>
      <c r="E1215" s="33" t="s">
        <v>385</v>
      </c>
      <c r="F1215" s="33" t="s">
        <v>85</v>
      </c>
      <c r="G1215" s="33">
        <v>1</v>
      </c>
      <c r="H1215" s="33">
        <v>1</v>
      </c>
      <c r="I1215" s="33">
        <v>0.5</v>
      </c>
      <c r="L1215" s="33">
        <v>1.65</v>
      </c>
      <c r="M1215" s="271">
        <v>0.82599999999999996</v>
      </c>
      <c r="N1215" s="41"/>
      <c r="O1215" s="33">
        <v>100</v>
      </c>
      <c r="P1215" s="163">
        <v>0</v>
      </c>
      <c r="Q1215" s="163">
        <v>0</v>
      </c>
      <c r="R1215" s="163">
        <v>0</v>
      </c>
      <c r="S1215" s="163">
        <v>0</v>
      </c>
      <c r="T1215" s="163">
        <v>0</v>
      </c>
      <c r="U1215" s="163">
        <v>0</v>
      </c>
      <c r="V1215" s="163">
        <v>0</v>
      </c>
      <c r="W1215" s="163">
        <v>0</v>
      </c>
      <c r="X1215" s="163">
        <v>0</v>
      </c>
      <c r="Y1215" s="163">
        <v>0</v>
      </c>
      <c r="Z1215" s="163">
        <v>0</v>
      </c>
      <c r="AA1215" s="40"/>
      <c r="AB1215" s="40"/>
      <c r="AC1215" s="40"/>
      <c r="AD1215" s="40"/>
      <c r="AE1215" s="40"/>
      <c r="AF1215" s="40"/>
      <c r="AG1215" s="40"/>
      <c r="AH1215" s="40"/>
      <c r="AI1215" s="40"/>
      <c r="AJ1215" s="40"/>
      <c r="AK1215" s="40"/>
      <c r="AL1215" s="40"/>
      <c r="AM1215" s="40"/>
      <c r="AN1215" s="40"/>
      <c r="AO1215" s="40"/>
      <c r="AP1215" s="40"/>
      <c r="AQ1215" s="40"/>
      <c r="AR1215" s="40"/>
      <c r="AS1215" s="40"/>
      <c r="AT1215" s="40"/>
      <c r="AU1215" s="40"/>
      <c r="AV1215" s="315">
        <v>0</v>
      </c>
      <c r="AW1215" s="317"/>
      <c r="AX1215" s="317"/>
      <c r="AY1215" s="313">
        <v>0</v>
      </c>
      <c r="AZ1215" s="40"/>
      <c r="BA1215" s="40"/>
      <c r="BB1215" s="40"/>
      <c r="BC1215" s="40">
        <v>0</v>
      </c>
      <c r="BD1215" s="163">
        <v>0</v>
      </c>
      <c r="BE1215" s="163">
        <v>0</v>
      </c>
      <c r="BF1215" s="40"/>
      <c r="BG1215" s="40"/>
      <c r="BH1215" s="40"/>
      <c r="BI1215" s="40"/>
      <c r="BJ1215" s="40"/>
      <c r="BK1215" s="40"/>
      <c r="BL1215" s="62">
        <v>0.5</v>
      </c>
      <c r="BM1215" s="275">
        <v>3</v>
      </c>
      <c r="BN1215" s="62">
        <v>0.05</v>
      </c>
      <c r="BO1215" s="33" t="s">
        <v>625</v>
      </c>
      <c r="BP1215" s="33" t="s">
        <v>628</v>
      </c>
    </row>
    <row r="1216" spans="1:68">
      <c r="A1216" s="33" t="str">
        <f>Database_Productkaarten[[#This Row],[Product]]&amp;", "&amp;Database_Productkaarten[[#This Row],[Levensfase]]</f>
        <v>Zandbed, C4</v>
      </c>
      <c r="B1216" s="33" t="s">
        <v>44</v>
      </c>
      <c r="C1216" t="s">
        <v>40</v>
      </c>
      <c r="D1216" s="33" t="s">
        <v>627</v>
      </c>
      <c r="E1216" s="33" t="s">
        <v>385</v>
      </c>
      <c r="F1216" s="33" t="s">
        <v>86</v>
      </c>
      <c r="G1216" s="33">
        <v>1</v>
      </c>
      <c r="H1216" s="33">
        <v>1</v>
      </c>
      <c r="I1216" s="33">
        <v>0.5</v>
      </c>
      <c r="L1216" s="33">
        <v>1.65</v>
      </c>
      <c r="M1216" s="271">
        <v>0.82599999999999996</v>
      </c>
      <c r="N1216" s="41">
        <v>3.0699999999999998E-3</v>
      </c>
      <c r="O1216" s="33">
        <v>100</v>
      </c>
      <c r="P1216" s="163">
        <v>4.9100000000000003E-8</v>
      </c>
      <c r="Q1216" s="163">
        <v>6.38E-4</v>
      </c>
      <c r="R1216" s="163">
        <v>4.36E-2</v>
      </c>
      <c r="S1216" s="163">
        <v>1.5700000000000002E-8</v>
      </c>
      <c r="T1216" s="163">
        <v>4.7500000000000003E-5</v>
      </c>
      <c r="U1216" s="163">
        <v>3.2899999999999997E-4</v>
      </c>
      <c r="V1216" s="163">
        <v>6.2199999999999994E-5</v>
      </c>
      <c r="W1216" s="163">
        <v>1.9E-2</v>
      </c>
      <c r="X1216" s="163">
        <v>4.5899999999999999E-4</v>
      </c>
      <c r="Y1216" s="163">
        <v>1.61</v>
      </c>
      <c r="Z1216" s="163">
        <v>4.74E-5</v>
      </c>
      <c r="AA1216" s="40"/>
      <c r="AB1216" s="40"/>
      <c r="AC1216" s="40"/>
      <c r="AD1216" s="40"/>
      <c r="AE1216" s="40"/>
      <c r="AF1216" s="40"/>
      <c r="AG1216" s="40"/>
      <c r="AH1216" s="40"/>
      <c r="AI1216" s="40"/>
      <c r="AJ1216" s="40"/>
      <c r="AK1216" s="40"/>
      <c r="AL1216" s="40"/>
      <c r="AM1216" s="40"/>
      <c r="AN1216" s="40"/>
      <c r="AO1216" s="40"/>
      <c r="AP1216" s="40"/>
      <c r="AQ1216" s="40"/>
      <c r="AR1216" s="40"/>
      <c r="AS1216" s="40"/>
      <c r="AT1216" s="40"/>
      <c r="AU1216" s="40"/>
      <c r="AV1216" s="315">
        <v>1.09E-2</v>
      </c>
      <c r="AW1216" s="317"/>
      <c r="AX1216" s="317"/>
      <c r="AY1216" s="313">
        <v>1.43</v>
      </c>
      <c r="AZ1216" s="40"/>
      <c r="BA1216" s="40"/>
      <c r="BB1216" s="40"/>
      <c r="BC1216" s="40">
        <v>1.32E-3</v>
      </c>
      <c r="BD1216" s="163">
        <v>9.7599999999999997E-6</v>
      </c>
      <c r="BE1216" s="163">
        <v>8.26</v>
      </c>
      <c r="BF1216" s="40"/>
      <c r="BG1216" s="40"/>
      <c r="BH1216" s="40"/>
      <c r="BI1216" s="40"/>
      <c r="BJ1216" s="40"/>
      <c r="BK1216" s="40"/>
      <c r="BL1216" s="62">
        <v>0.5</v>
      </c>
      <c r="BM1216" s="275">
        <v>3</v>
      </c>
      <c r="BN1216" s="62">
        <v>0.05</v>
      </c>
      <c r="BO1216" s="33" t="s">
        <v>625</v>
      </c>
      <c r="BP1216" s="33" t="s">
        <v>628</v>
      </c>
    </row>
    <row r="1217" spans="1:68">
      <c r="A1217" s="33" t="str">
        <f>Database_Productkaarten[[#This Row],[Product]]&amp;", "&amp;Database_Productkaarten[[#This Row],[Levensfase]]</f>
        <v>Zandbed, D</v>
      </c>
      <c r="B1217" s="33" t="s">
        <v>44</v>
      </c>
      <c r="C1217" t="s">
        <v>40</v>
      </c>
      <c r="D1217" s="33" t="s">
        <v>627</v>
      </c>
      <c r="E1217" s="33" t="s">
        <v>385</v>
      </c>
      <c r="F1217" s="33" t="s">
        <v>89</v>
      </c>
      <c r="G1217" s="33">
        <v>1</v>
      </c>
      <c r="H1217" s="33">
        <v>1</v>
      </c>
      <c r="I1217" s="33">
        <v>0.5</v>
      </c>
      <c r="L1217" s="33">
        <v>1.65</v>
      </c>
      <c r="M1217" s="271">
        <v>0.82599999999999996</v>
      </c>
      <c r="N1217" s="41">
        <v>-0.21948999999999999</v>
      </c>
      <c r="O1217" s="33">
        <v>100</v>
      </c>
      <c r="P1217" s="163">
        <v>-1.7799999999999999E-5</v>
      </c>
      <c r="Q1217" s="163">
        <v>-3.4200000000000001E-2</v>
      </c>
      <c r="R1217" s="163">
        <v>-4.8</v>
      </c>
      <c r="S1217" s="163">
        <v>-6.92E-7</v>
      </c>
      <c r="T1217" s="163">
        <v>-3.5300000000000002E-3</v>
      </c>
      <c r="U1217" s="163">
        <v>-2.9499999999999998E-2</v>
      </c>
      <c r="V1217" s="163">
        <v>-4.8999999999999998E-3</v>
      </c>
      <c r="W1217" s="163">
        <v>-1.99</v>
      </c>
      <c r="X1217" s="163">
        <v>-4.1799999999999997E-2</v>
      </c>
      <c r="Y1217" s="163">
        <v>-160</v>
      </c>
      <c r="Z1217" s="163">
        <v>-8.7299999999999999E-3</v>
      </c>
      <c r="AA1217" s="40"/>
      <c r="AB1217" s="40"/>
      <c r="AC1217" s="40"/>
      <c r="AD1217" s="40"/>
      <c r="AE1217" s="40"/>
      <c r="AF1217" s="40"/>
      <c r="AG1217" s="40"/>
      <c r="AH1217" s="40"/>
      <c r="AI1217" s="40"/>
      <c r="AJ1217" s="40"/>
      <c r="AK1217" s="40"/>
      <c r="AL1217" s="40"/>
      <c r="AM1217" s="40"/>
      <c r="AN1217" s="40"/>
      <c r="AO1217" s="40"/>
      <c r="AP1217" s="40"/>
      <c r="AQ1217" s="40"/>
      <c r="AR1217" s="40"/>
      <c r="AS1217" s="40"/>
      <c r="AT1217" s="40"/>
      <c r="AU1217" s="40"/>
      <c r="AV1217" s="315">
        <v>-2.29</v>
      </c>
      <c r="AW1217" s="317"/>
      <c r="AX1217" s="317"/>
      <c r="AY1217" s="313">
        <v>-73.7</v>
      </c>
      <c r="AZ1217" s="40"/>
      <c r="BA1217" s="40"/>
      <c r="BB1217" s="40"/>
      <c r="BC1217" s="40">
        <v>-0.57999999999999996</v>
      </c>
      <c r="BD1217" s="163">
        <v>-6.5799999999999995E-4</v>
      </c>
      <c r="BE1217" s="163">
        <v>-2.25</v>
      </c>
      <c r="BF1217" s="40"/>
      <c r="BG1217" s="40"/>
      <c r="BH1217" s="40"/>
      <c r="BI1217" s="40"/>
      <c r="BJ1217" s="40"/>
      <c r="BK1217" s="40"/>
      <c r="BL1217" s="62">
        <v>0.5</v>
      </c>
      <c r="BM1217" s="275">
        <v>3</v>
      </c>
      <c r="BN1217" s="62">
        <v>0.05</v>
      </c>
      <c r="BO1217" s="33" t="s">
        <v>625</v>
      </c>
      <c r="BP1217" s="33" t="s">
        <v>628</v>
      </c>
    </row>
    <row r="1218" spans="1:68">
      <c r="A1218" s="33" t="str">
        <f>Database_Productkaarten[[#This Row],[Product]]&amp;", "&amp;Database_Productkaarten[[#This Row],[Levensfase]]</f>
        <v>Zandbed, D1</v>
      </c>
      <c r="B1218" s="33" t="s">
        <v>44</v>
      </c>
      <c r="C1218" t="s">
        <v>40</v>
      </c>
      <c r="D1218" s="33" t="s">
        <v>627</v>
      </c>
      <c r="E1218" s="33" t="s">
        <v>385</v>
      </c>
      <c r="F1218" s="33" t="s">
        <v>87</v>
      </c>
      <c r="G1218" s="33">
        <v>1</v>
      </c>
      <c r="H1218" s="33">
        <v>1</v>
      </c>
      <c r="I1218" s="33">
        <v>0.5</v>
      </c>
      <c r="L1218" s="33">
        <v>1.65</v>
      </c>
      <c r="M1218" s="271">
        <v>0.82599999999999996</v>
      </c>
      <c r="N1218" s="41"/>
      <c r="O1218" s="33">
        <v>100</v>
      </c>
      <c r="P1218" s="40"/>
      <c r="Q1218" s="40"/>
      <c r="R1218" s="40"/>
      <c r="S1218" s="40"/>
      <c r="T1218" s="40"/>
      <c r="U1218" s="40"/>
      <c r="V1218" s="40"/>
      <c r="W1218" s="40"/>
      <c r="X1218" s="40"/>
      <c r="Y1218" s="40"/>
      <c r="Z1218" s="40"/>
      <c r="AA1218" s="40"/>
      <c r="AB1218" s="40"/>
      <c r="AC1218" s="40"/>
      <c r="AD1218" s="40"/>
      <c r="AE1218" s="40"/>
      <c r="AF1218" s="40"/>
      <c r="AG1218" s="40"/>
      <c r="AH1218" s="40"/>
      <c r="AI1218" s="40"/>
      <c r="AJ1218" s="40"/>
      <c r="AK1218" s="40"/>
      <c r="AL1218" s="40"/>
      <c r="AM1218" s="40"/>
      <c r="AN1218" s="40"/>
      <c r="AO1218" s="40"/>
      <c r="AP1218" s="40"/>
      <c r="AQ1218" s="40"/>
      <c r="AR1218" s="40"/>
      <c r="AS1218" s="40"/>
      <c r="AT1218" s="40"/>
      <c r="AU1218" s="40"/>
      <c r="AV1218" s="313"/>
      <c r="AW1218" s="317"/>
      <c r="AX1218" s="317"/>
      <c r="AY1218" s="313"/>
      <c r="AZ1218" s="40"/>
      <c r="BA1218" s="40"/>
      <c r="BB1218" s="40"/>
      <c r="BC1218" s="40"/>
      <c r="BD1218" s="40"/>
      <c r="BE1218" s="40"/>
      <c r="BF1218" s="40"/>
      <c r="BG1218" s="40"/>
      <c r="BH1218" s="40"/>
      <c r="BI1218" s="40"/>
      <c r="BJ1218" s="40"/>
      <c r="BK1218" s="40"/>
      <c r="BL1218" s="62">
        <v>0.5</v>
      </c>
      <c r="BM1218" s="275">
        <v>3</v>
      </c>
      <c r="BN1218" s="62">
        <v>0.05</v>
      </c>
      <c r="BO1218" s="33" t="s">
        <v>625</v>
      </c>
      <c r="BP1218" s="33" t="s">
        <v>628</v>
      </c>
    </row>
    <row r="1219" spans="1:68">
      <c r="A1219" s="33" t="str">
        <f>Database_Productkaarten[[#This Row],[Product]]&amp;", "&amp;Database_Productkaarten[[#This Row],[Levensfase]]</f>
        <v>Zandbed, D2</v>
      </c>
      <c r="B1219" s="33" t="s">
        <v>44</v>
      </c>
      <c r="C1219" t="s">
        <v>40</v>
      </c>
      <c r="D1219" s="33" t="s">
        <v>627</v>
      </c>
      <c r="E1219" s="33" t="s">
        <v>385</v>
      </c>
      <c r="F1219" s="33" t="s">
        <v>88</v>
      </c>
      <c r="G1219" s="33">
        <v>1</v>
      </c>
      <c r="H1219" s="33">
        <v>1</v>
      </c>
      <c r="I1219" s="33">
        <v>0.5</v>
      </c>
      <c r="L1219" s="33">
        <v>1.65</v>
      </c>
      <c r="M1219" s="271">
        <v>0.82599999999999996</v>
      </c>
      <c r="N1219" s="41"/>
      <c r="O1219" s="33">
        <v>100</v>
      </c>
      <c r="P1219" s="40"/>
      <c r="Q1219" s="40"/>
      <c r="R1219" s="40"/>
      <c r="S1219" s="40"/>
      <c r="T1219" s="40"/>
      <c r="U1219" s="40"/>
      <c r="V1219" s="40"/>
      <c r="W1219" s="40"/>
      <c r="X1219" s="40"/>
      <c r="Y1219" s="40"/>
      <c r="Z1219" s="40"/>
      <c r="AA1219" s="40"/>
      <c r="AB1219" s="40"/>
      <c r="AC1219" s="40"/>
      <c r="AD1219" s="40"/>
      <c r="AE1219" s="40"/>
      <c r="AF1219" s="40"/>
      <c r="AG1219" s="40"/>
      <c r="AH1219" s="40"/>
      <c r="AI1219" s="40"/>
      <c r="AJ1219" s="40"/>
      <c r="AK1219" s="40"/>
      <c r="AL1219" s="40"/>
      <c r="AM1219" s="40"/>
      <c r="AN1219" s="40"/>
      <c r="AO1219" s="40"/>
      <c r="AP1219" s="40"/>
      <c r="AQ1219" s="40"/>
      <c r="AR1219" s="40"/>
      <c r="AS1219" s="40"/>
      <c r="AT1219" s="40"/>
      <c r="AU1219" s="40"/>
      <c r="AV1219" s="313"/>
      <c r="AW1219" s="317"/>
      <c r="AX1219" s="317"/>
      <c r="AY1219" s="313"/>
      <c r="AZ1219" s="40"/>
      <c r="BA1219" s="40"/>
      <c r="BB1219" s="40"/>
      <c r="BC1219" s="40"/>
      <c r="BD1219" s="40"/>
      <c r="BE1219" s="40"/>
      <c r="BF1219" s="40"/>
      <c r="BG1219" s="40"/>
      <c r="BH1219" s="40"/>
      <c r="BI1219" s="40"/>
      <c r="BJ1219" s="40"/>
      <c r="BK1219" s="40"/>
      <c r="BL1219" s="62">
        <v>0.5</v>
      </c>
      <c r="BM1219" s="275">
        <v>3</v>
      </c>
      <c r="BN1219" s="62">
        <v>0.05</v>
      </c>
      <c r="BO1219" s="33" t="s">
        <v>625</v>
      </c>
      <c r="BP1219" s="33" t="s">
        <v>628</v>
      </c>
    </row>
    <row r="1220" spans="1:68">
      <c r="A1220" s="33" t="str">
        <f>Database_Productkaarten[[#This Row],[Product]]&amp;", "&amp;Database_Productkaarten[[#This Row],[Levensfase]]</f>
        <v>Voegvulling, Totaal</v>
      </c>
      <c r="B1220" s="33" t="s">
        <v>629</v>
      </c>
      <c r="C1220" t="s">
        <v>40</v>
      </c>
      <c r="D1220" s="33" t="s">
        <v>627</v>
      </c>
      <c r="E1220" s="33" t="s">
        <v>385</v>
      </c>
      <c r="F1220" s="33" t="s">
        <v>90</v>
      </c>
      <c r="G1220" s="33">
        <v>1</v>
      </c>
      <c r="H1220" s="33">
        <v>1</v>
      </c>
      <c r="L1220" s="33">
        <v>1.65</v>
      </c>
      <c r="M1220" s="271">
        <v>6.2500000000000003E-3</v>
      </c>
      <c r="N1220" s="41"/>
      <c r="O1220" s="33">
        <v>25</v>
      </c>
      <c r="P1220" s="40"/>
      <c r="Q1220" s="40"/>
      <c r="R1220" s="40"/>
      <c r="S1220" s="40"/>
      <c r="T1220" s="40"/>
      <c r="U1220" s="40"/>
      <c r="V1220" s="40"/>
      <c r="W1220" s="40"/>
      <c r="X1220" s="40"/>
      <c r="Y1220" s="40"/>
      <c r="Z1220" s="40"/>
      <c r="AA1220" s="40"/>
      <c r="AB1220" s="40"/>
      <c r="AC1220" s="40"/>
      <c r="AD1220" s="40"/>
      <c r="AE1220" s="40"/>
      <c r="AF1220" s="40"/>
      <c r="AG1220" s="40"/>
      <c r="AH1220" s="40"/>
      <c r="AI1220" s="40"/>
      <c r="AJ1220" s="40"/>
      <c r="AK1220" s="40"/>
      <c r="AL1220" s="40"/>
      <c r="AM1220" s="40"/>
      <c r="AN1220" s="40"/>
      <c r="AO1220" s="40"/>
      <c r="AP1220" s="40"/>
      <c r="AQ1220" s="40"/>
      <c r="AR1220" s="40"/>
      <c r="AS1220" s="40"/>
      <c r="AT1220" s="40"/>
      <c r="AU1220" s="40"/>
      <c r="AV1220" s="313"/>
      <c r="AW1220" s="317"/>
      <c r="AX1220" s="317"/>
      <c r="AY1220" s="313"/>
      <c r="AZ1220" s="40"/>
      <c r="BA1220" s="40"/>
      <c r="BB1220" s="40"/>
      <c r="BC1220" s="40"/>
      <c r="BD1220" s="40"/>
      <c r="BE1220" s="40"/>
      <c r="BF1220" s="40"/>
      <c r="BG1220" s="40"/>
      <c r="BH1220" s="40"/>
      <c r="BI1220" s="40"/>
      <c r="BJ1220" s="40"/>
      <c r="BK1220" s="40"/>
      <c r="BL1220" s="62">
        <v>0</v>
      </c>
      <c r="BM1220" s="275">
        <v>3</v>
      </c>
      <c r="BN1220" s="62">
        <v>0.05</v>
      </c>
      <c r="BO1220" s="33" t="s">
        <v>625</v>
      </c>
    </row>
    <row r="1221" spans="1:68">
      <c r="A1221" s="33" t="str">
        <f>Database_Productkaarten[[#This Row],[Product]]&amp;", "&amp;Database_Productkaarten[[#This Row],[Levensfase]]</f>
        <v>Voegvulling, A1</v>
      </c>
      <c r="B1221" s="33" t="s">
        <v>629</v>
      </c>
      <c r="C1221" t="s">
        <v>40</v>
      </c>
      <c r="D1221" s="33" t="s">
        <v>627</v>
      </c>
      <c r="E1221" s="33" t="s">
        <v>385</v>
      </c>
      <c r="F1221" s="33" t="s">
        <v>74</v>
      </c>
      <c r="G1221" s="33">
        <v>1</v>
      </c>
      <c r="H1221" s="33">
        <v>1</v>
      </c>
      <c r="L1221" s="33">
        <v>1.65</v>
      </c>
      <c r="M1221" s="271">
        <v>6.2500000000000003E-3</v>
      </c>
      <c r="N1221" s="41"/>
      <c r="O1221" s="33">
        <v>25</v>
      </c>
      <c r="P1221" s="40"/>
      <c r="Q1221" s="40"/>
      <c r="R1221" s="40"/>
      <c r="S1221" s="40"/>
      <c r="T1221" s="40"/>
      <c r="U1221" s="40"/>
      <c r="V1221" s="40"/>
      <c r="W1221" s="40"/>
      <c r="X1221" s="40"/>
      <c r="Y1221" s="40"/>
      <c r="Z1221" s="40"/>
      <c r="AA1221" s="40"/>
      <c r="AB1221" s="40"/>
      <c r="AC1221" s="40"/>
      <c r="AD1221" s="40"/>
      <c r="AE1221" s="40"/>
      <c r="AF1221" s="40"/>
      <c r="AG1221" s="40"/>
      <c r="AH1221" s="40"/>
      <c r="AI1221" s="40"/>
      <c r="AJ1221" s="40"/>
      <c r="AK1221" s="40"/>
      <c r="AL1221" s="40"/>
      <c r="AM1221" s="40"/>
      <c r="AN1221" s="40"/>
      <c r="AO1221" s="40"/>
      <c r="AP1221" s="40"/>
      <c r="AQ1221" s="40"/>
      <c r="AR1221" s="40"/>
      <c r="AS1221" s="40"/>
      <c r="AT1221" s="40"/>
      <c r="AU1221" s="40"/>
      <c r="AV1221" s="313"/>
      <c r="AW1221" s="317"/>
      <c r="AX1221" s="317"/>
      <c r="AY1221" s="313"/>
      <c r="AZ1221" s="40"/>
      <c r="BA1221" s="40"/>
      <c r="BB1221" s="40"/>
      <c r="BC1221" s="40"/>
      <c r="BD1221" s="40"/>
      <c r="BE1221" s="40"/>
      <c r="BF1221" s="40"/>
      <c r="BG1221" s="40"/>
      <c r="BH1221" s="40"/>
      <c r="BI1221" s="40"/>
      <c r="BJ1221" s="40"/>
      <c r="BK1221" s="40"/>
      <c r="BL1221" s="62">
        <v>0</v>
      </c>
      <c r="BM1221" s="275">
        <v>3</v>
      </c>
      <c r="BN1221" s="62">
        <v>0.05</v>
      </c>
      <c r="BO1221" s="33" t="s">
        <v>625</v>
      </c>
    </row>
    <row r="1222" spans="1:68">
      <c r="A1222" s="33" t="str">
        <f>Database_Productkaarten[[#This Row],[Product]]&amp;", "&amp;Database_Productkaarten[[#This Row],[Levensfase]]</f>
        <v>Voegvulling, A2</v>
      </c>
      <c r="B1222" s="33" t="s">
        <v>629</v>
      </c>
      <c r="C1222" t="s">
        <v>40</v>
      </c>
      <c r="D1222" s="33" t="s">
        <v>627</v>
      </c>
      <c r="E1222" s="33" t="s">
        <v>385</v>
      </c>
      <c r="F1222" s="33" t="s">
        <v>75</v>
      </c>
      <c r="G1222" s="33">
        <v>1</v>
      </c>
      <c r="H1222" s="33">
        <v>1</v>
      </c>
      <c r="L1222" s="33">
        <v>1.65</v>
      </c>
      <c r="M1222" s="271">
        <v>6.2500000000000003E-3</v>
      </c>
      <c r="N1222" s="41"/>
      <c r="O1222" s="33">
        <v>25</v>
      </c>
      <c r="P1222" s="40"/>
      <c r="Q1222" s="40"/>
      <c r="R1222" s="40"/>
      <c r="S1222" s="40"/>
      <c r="T1222" s="40"/>
      <c r="U1222" s="40"/>
      <c r="V1222" s="40"/>
      <c r="W1222" s="40"/>
      <c r="X1222" s="40"/>
      <c r="Y1222" s="40"/>
      <c r="Z1222" s="40"/>
      <c r="AA1222" s="40"/>
      <c r="AB1222" s="40"/>
      <c r="AC1222" s="40"/>
      <c r="AD1222" s="40"/>
      <c r="AE1222" s="40"/>
      <c r="AF1222" s="40"/>
      <c r="AG1222" s="40"/>
      <c r="AH1222" s="40"/>
      <c r="AI1222" s="40"/>
      <c r="AJ1222" s="40"/>
      <c r="AK1222" s="40"/>
      <c r="AL1222" s="40"/>
      <c r="AM1222" s="40"/>
      <c r="AN1222" s="40"/>
      <c r="AO1222" s="40"/>
      <c r="AP1222" s="40"/>
      <c r="AQ1222" s="40"/>
      <c r="AR1222" s="40"/>
      <c r="AS1222" s="40"/>
      <c r="AT1222" s="40"/>
      <c r="AU1222" s="40"/>
      <c r="AV1222" s="313"/>
      <c r="AW1222" s="317"/>
      <c r="AX1222" s="317"/>
      <c r="AY1222" s="313"/>
      <c r="AZ1222" s="40"/>
      <c r="BA1222" s="40"/>
      <c r="BB1222" s="40"/>
      <c r="BC1222" s="40"/>
      <c r="BD1222" s="40"/>
      <c r="BE1222" s="40"/>
      <c r="BF1222" s="40"/>
      <c r="BG1222" s="40"/>
      <c r="BH1222" s="40"/>
      <c r="BI1222" s="40"/>
      <c r="BJ1222" s="40"/>
      <c r="BK1222" s="40"/>
      <c r="BL1222" s="62">
        <v>0</v>
      </c>
      <c r="BM1222" s="275">
        <v>3</v>
      </c>
      <c r="BN1222" s="62">
        <v>0.05</v>
      </c>
      <c r="BO1222" s="33" t="s">
        <v>625</v>
      </c>
    </row>
    <row r="1223" spans="1:68">
      <c r="A1223" s="33" t="str">
        <f>Database_Productkaarten[[#This Row],[Product]]&amp;", "&amp;Database_Productkaarten[[#This Row],[Levensfase]]</f>
        <v>Voegvulling, A3</v>
      </c>
      <c r="B1223" s="33" t="s">
        <v>629</v>
      </c>
      <c r="C1223" t="s">
        <v>40</v>
      </c>
      <c r="D1223" s="33" t="s">
        <v>627</v>
      </c>
      <c r="E1223" s="33" t="s">
        <v>385</v>
      </c>
      <c r="F1223" s="33" t="s">
        <v>76</v>
      </c>
      <c r="G1223" s="33">
        <v>1</v>
      </c>
      <c r="H1223" s="33">
        <v>1</v>
      </c>
      <c r="L1223" s="33">
        <v>1.65</v>
      </c>
      <c r="M1223" s="271">
        <v>6.2500000000000003E-3</v>
      </c>
      <c r="N1223" s="41"/>
      <c r="O1223" s="33">
        <v>25</v>
      </c>
      <c r="P1223" s="40"/>
      <c r="Q1223" s="40"/>
      <c r="R1223" s="40"/>
      <c r="S1223" s="40"/>
      <c r="T1223" s="40"/>
      <c r="U1223" s="40"/>
      <c r="V1223" s="40"/>
      <c r="W1223" s="40"/>
      <c r="X1223" s="40"/>
      <c r="Y1223" s="40"/>
      <c r="Z1223" s="40"/>
      <c r="AA1223" s="40"/>
      <c r="AB1223" s="40"/>
      <c r="AC1223" s="40"/>
      <c r="AD1223" s="40"/>
      <c r="AE1223" s="40"/>
      <c r="AF1223" s="40"/>
      <c r="AG1223" s="40"/>
      <c r="AH1223" s="40"/>
      <c r="AI1223" s="40"/>
      <c r="AJ1223" s="40"/>
      <c r="AK1223" s="40"/>
      <c r="AL1223" s="40"/>
      <c r="AM1223" s="40"/>
      <c r="AN1223" s="40"/>
      <c r="AO1223" s="40"/>
      <c r="AP1223" s="40"/>
      <c r="AQ1223" s="40"/>
      <c r="AR1223" s="40"/>
      <c r="AS1223" s="40"/>
      <c r="AT1223" s="40"/>
      <c r="AU1223" s="40"/>
      <c r="AV1223" s="313"/>
      <c r="AW1223" s="317"/>
      <c r="AX1223" s="317"/>
      <c r="AY1223" s="313"/>
      <c r="AZ1223" s="40"/>
      <c r="BA1223" s="40"/>
      <c r="BB1223" s="40"/>
      <c r="BC1223" s="40"/>
      <c r="BD1223" s="40"/>
      <c r="BE1223" s="40"/>
      <c r="BF1223" s="40"/>
      <c r="BG1223" s="40"/>
      <c r="BH1223" s="40"/>
      <c r="BI1223" s="40"/>
      <c r="BJ1223" s="40"/>
      <c r="BK1223" s="40"/>
      <c r="BL1223" s="62">
        <v>0</v>
      </c>
      <c r="BM1223" s="275">
        <v>3</v>
      </c>
      <c r="BN1223" s="62">
        <v>0.05</v>
      </c>
      <c r="BO1223" s="33" t="s">
        <v>625</v>
      </c>
    </row>
    <row r="1224" spans="1:68">
      <c r="A1224" s="33" t="str">
        <f>Database_Productkaarten[[#This Row],[Product]]&amp;", "&amp;Database_Productkaarten[[#This Row],[Levensfase]]</f>
        <v>Voegvulling, A1-A3</v>
      </c>
      <c r="B1224" s="33" t="s">
        <v>629</v>
      </c>
      <c r="C1224" t="s">
        <v>40</v>
      </c>
      <c r="D1224" s="33" t="s">
        <v>627</v>
      </c>
      <c r="E1224" s="33" t="s">
        <v>385</v>
      </c>
      <c r="F1224" s="33" t="s">
        <v>77</v>
      </c>
      <c r="G1224" s="33">
        <v>1</v>
      </c>
      <c r="H1224" s="33">
        <v>1</v>
      </c>
      <c r="L1224" s="33">
        <v>1.65</v>
      </c>
      <c r="M1224" s="271">
        <v>6.2500000000000003E-3</v>
      </c>
      <c r="N1224" s="41">
        <v>8.9700000000000005E-3</v>
      </c>
      <c r="O1224" s="33">
        <v>25</v>
      </c>
      <c r="P1224" s="163">
        <v>2.61E-6</v>
      </c>
      <c r="Q1224" s="163">
        <v>5.0200000000000002E-3</v>
      </c>
      <c r="R1224" s="163">
        <v>0.70399999999999996</v>
      </c>
      <c r="S1224" s="163">
        <v>1.02E-7</v>
      </c>
      <c r="T1224" s="163">
        <v>5.1699999999999999E-4</v>
      </c>
      <c r="U1224" s="163">
        <v>4.3299999999999996E-3</v>
      </c>
      <c r="V1224" s="163">
        <v>7.1900000000000002E-4</v>
      </c>
      <c r="W1224" s="163">
        <v>0.29199999999999998</v>
      </c>
      <c r="X1224" s="163">
        <v>6.13E-3</v>
      </c>
      <c r="Y1224" s="163">
        <v>23.5</v>
      </c>
      <c r="Z1224" s="163">
        <v>1.2800000000000001E-3</v>
      </c>
      <c r="AA1224" s="40"/>
      <c r="AB1224" s="40"/>
      <c r="AC1224" s="40"/>
      <c r="AD1224" s="40"/>
      <c r="AE1224" s="40"/>
      <c r="AF1224" s="40"/>
      <c r="AG1224" s="40"/>
      <c r="AH1224" s="40"/>
      <c r="AI1224" s="40"/>
      <c r="AJ1224" s="40"/>
      <c r="AK1224" s="40"/>
      <c r="AL1224" s="40"/>
      <c r="AM1224" s="40"/>
      <c r="AN1224" s="40"/>
      <c r="AO1224" s="40"/>
      <c r="AP1224" s="40"/>
      <c r="AQ1224" s="40"/>
      <c r="AR1224" s="40"/>
      <c r="AS1224" s="40"/>
      <c r="AT1224" s="40"/>
      <c r="AU1224" s="40"/>
      <c r="AV1224" s="315">
        <v>0.33500000000000002</v>
      </c>
      <c r="AW1224" s="317"/>
      <c r="AX1224" s="317"/>
      <c r="AY1224" s="313">
        <v>10.8</v>
      </c>
      <c r="AZ1224" s="40"/>
      <c r="BA1224" s="40"/>
      <c r="BB1224" s="40"/>
      <c r="BC1224" s="40">
        <v>8.5099999999999995E-2</v>
      </c>
      <c r="BD1224" s="163">
        <v>9.6600000000000003E-5</v>
      </c>
      <c r="BE1224" s="163">
        <v>0.33</v>
      </c>
      <c r="BF1224" s="40"/>
      <c r="BG1224" s="40"/>
      <c r="BH1224" s="40"/>
      <c r="BI1224" s="40"/>
      <c r="BJ1224" s="40"/>
      <c r="BK1224" s="40"/>
      <c r="BL1224" s="62">
        <v>0</v>
      </c>
      <c r="BM1224" s="275">
        <v>3</v>
      </c>
      <c r="BN1224" s="62">
        <v>0.05</v>
      </c>
      <c r="BO1224" s="33" t="s">
        <v>625</v>
      </c>
    </row>
    <row r="1225" spans="1:68">
      <c r="A1225" s="33" t="str">
        <f>Database_Productkaarten[[#This Row],[Product]]&amp;", "&amp;Database_Productkaarten[[#This Row],[Levensfase]]</f>
        <v>Voegvulling, A4</v>
      </c>
      <c r="B1225" s="33" t="s">
        <v>629</v>
      </c>
      <c r="C1225" t="s">
        <v>40</v>
      </c>
      <c r="D1225" s="33" t="s">
        <v>627</v>
      </c>
      <c r="E1225" s="33" t="s">
        <v>385</v>
      </c>
      <c r="F1225" s="33" t="s">
        <v>78</v>
      </c>
      <c r="G1225" s="33">
        <v>1</v>
      </c>
      <c r="H1225" s="33">
        <v>1</v>
      </c>
      <c r="L1225" s="33">
        <v>1.65</v>
      </c>
      <c r="M1225" s="271">
        <v>6.2500000000000003E-3</v>
      </c>
      <c r="N1225" s="41">
        <v>2.8700000000000002E-3</v>
      </c>
      <c r="O1225" s="33">
        <v>25</v>
      </c>
      <c r="P1225" s="40"/>
      <c r="Q1225" s="40"/>
      <c r="R1225" s="40"/>
      <c r="S1225" s="40"/>
      <c r="T1225" s="40"/>
      <c r="U1225" s="40"/>
      <c r="V1225" s="40"/>
      <c r="W1225" s="40"/>
      <c r="X1225" s="40"/>
      <c r="Y1225" s="40"/>
      <c r="Z1225" s="40"/>
      <c r="AA1225" s="40"/>
      <c r="AB1225" s="40"/>
      <c r="AC1225" s="40"/>
      <c r="AD1225" s="40"/>
      <c r="AE1225" s="40"/>
      <c r="AF1225" s="40"/>
      <c r="AG1225" s="40"/>
      <c r="AH1225" s="40"/>
      <c r="AI1225" s="40"/>
      <c r="AJ1225" s="40"/>
      <c r="AK1225" s="40"/>
      <c r="AL1225" s="40"/>
      <c r="AM1225" s="40"/>
      <c r="AN1225" s="40"/>
      <c r="AO1225" s="40"/>
      <c r="AP1225" s="40"/>
      <c r="AQ1225" s="40"/>
      <c r="AR1225" s="40"/>
      <c r="AS1225" s="40"/>
      <c r="AT1225" s="40"/>
      <c r="AU1225" s="40"/>
      <c r="AV1225" s="313"/>
      <c r="AW1225" s="317"/>
      <c r="AX1225" s="317"/>
      <c r="AY1225" s="313"/>
      <c r="AZ1225" s="40"/>
      <c r="BA1225" s="40"/>
      <c r="BB1225" s="40"/>
      <c r="BC1225" s="40"/>
      <c r="BD1225" s="40"/>
      <c r="BE1225" s="40"/>
      <c r="BF1225" s="40"/>
      <c r="BG1225" s="40"/>
      <c r="BH1225" s="40"/>
      <c r="BI1225" s="40"/>
      <c r="BJ1225" s="40"/>
      <c r="BK1225" s="40"/>
      <c r="BL1225" s="62">
        <v>0</v>
      </c>
      <c r="BM1225" s="275">
        <v>3</v>
      </c>
      <c r="BN1225" s="62">
        <v>0.05</v>
      </c>
      <c r="BO1225" s="33" t="s">
        <v>625</v>
      </c>
    </row>
    <row r="1226" spans="1:68">
      <c r="A1226" s="33" t="str">
        <f>Database_Productkaarten[[#This Row],[Product]]&amp;", "&amp;Database_Productkaarten[[#This Row],[Levensfase]]</f>
        <v>Voegvulling, A5</v>
      </c>
      <c r="B1226" s="33" t="s">
        <v>629</v>
      </c>
      <c r="C1226" t="s">
        <v>40</v>
      </c>
      <c r="D1226" s="33" t="s">
        <v>627</v>
      </c>
      <c r="E1226" s="33" t="s">
        <v>385</v>
      </c>
      <c r="F1226" s="33" t="s">
        <v>79</v>
      </c>
      <c r="G1226" s="33">
        <v>1</v>
      </c>
      <c r="H1226" s="33">
        <v>1</v>
      </c>
      <c r="L1226" s="33">
        <v>1.65</v>
      </c>
      <c r="M1226" s="271">
        <v>6.2500000000000003E-3</v>
      </c>
      <c r="N1226" s="41"/>
      <c r="O1226" s="33">
        <v>25</v>
      </c>
      <c r="P1226" s="40"/>
      <c r="Q1226" s="40"/>
      <c r="R1226" s="40"/>
      <c r="S1226" s="40"/>
      <c r="T1226" s="40"/>
      <c r="U1226" s="40"/>
      <c r="V1226" s="40"/>
      <c r="W1226" s="40"/>
      <c r="X1226" s="40"/>
      <c r="Y1226" s="40"/>
      <c r="Z1226" s="40"/>
      <c r="AA1226" s="40"/>
      <c r="AB1226" s="40"/>
      <c r="AC1226" s="40"/>
      <c r="AD1226" s="40"/>
      <c r="AE1226" s="40"/>
      <c r="AF1226" s="40"/>
      <c r="AG1226" s="40"/>
      <c r="AH1226" s="40"/>
      <c r="AI1226" s="40"/>
      <c r="AJ1226" s="40"/>
      <c r="AK1226" s="40"/>
      <c r="AL1226" s="40"/>
      <c r="AM1226" s="40"/>
      <c r="AN1226" s="40"/>
      <c r="AO1226" s="40"/>
      <c r="AP1226" s="40"/>
      <c r="AQ1226" s="40"/>
      <c r="AR1226" s="40"/>
      <c r="AS1226" s="40"/>
      <c r="AT1226" s="40"/>
      <c r="AU1226" s="40"/>
      <c r="AV1226" s="313"/>
      <c r="AW1226" s="317"/>
      <c r="AX1226" s="317"/>
      <c r="AY1226" s="313"/>
      <c r="AZ1226" s="40"/>
      <c r="BA1226" s="40"/>
      <c r="BB1226" s="40"/>
      <c r="BC1226" s="40"/>
      <c r="BD1226" s="40"/>
      <c r="BE1226" s="40"/>
      <c r="BF1226" s="40"/>
      <c r="BG1226" s="40"/>
      <c r="BH1226" s="40"/>
      <c r="BI1226" s="40"/>
      <c r="BJ1226" s="40"/>
      <c r="BK1226" s="40"/>
      <c r="BL1226" s="62">
        <v>0</v>
      </c>
      <c r="BM1226" s="275">
        <v>3</v>
      </c>
      <c r="BN1226" s="62">
        <v>0.05</v>
      </c>
      <c r="BO1226" s="33" t="s">
        <v>625</v>
      </c>
    </row>
    <row r="1227" spans="1:68">
      <c r="A1227" s="33" t="str">
        <f>Database_Productkaarten[[#This Row],[Product]]&amp;", "&amp;Database_Productkaarten[[#This Row],[Levensfase]]</f>
        <v>Voegvulling, B1</v>
      </c>
      <c r="B1227" s="33" t="s">
        <v>629</v>
      </c>
      <c r="C1227" t="s">
        <v>40</v>
      </c>
      <c r="D1227" s="33" t="s">
        <v>627</v>
      </c>
      <c r="E1227" s="33" t="s">
        <v>385</v>
      </c>
      <c r="F1227" s="33" t="s">
        <v>80</v>
      </c>
      <c r="G1227" s="33">
        <v>1</v>
      </c>
      <c r="H1227" s="33">
        <v>1</v>
      </c>
      <c r="L1227" s="33">
        <v>1.65</v>
      </c>
      <c r="M1227" s="271">
        <v>6.2500000000000003E-3</v>
      </c>
      <c r="N1227" s="41"/>
      <c r="O1227" s="33">
        <v>25</v>
      </c>
      <c r="P1227" s="40"/>
      <c r="Q1227" s="40"/>
      <c r="R1227" s="40"/>
      <c r="S1227" s="40"/>
      <c r="T1227" s="40"/>
      <c r="U1227" s="40"/>
      <c r="V1227" s="40"/>
      <c r="W1227" s="40"/>
      <c r="X1227" s="40"/>
      <c r="Y1227" s="40"/>
      <c r="Z1227" s="40"/>
      <c r="AA1227" s="40"/>
      <c r="AB1227" s="40"/>
      <c r="AC1227" s="40"/>
      <c r="AD1227" s="40"/>
      <c r="AE1227" s="40"/>
      <c r="AF1227" s="40"/>
      <c r="AG1227" s="40"/>
      <c r="AH1227" s="40"/>
      <c r="AI1227" s="40"/>
      <c r="AJ1227" s="40"/>
      <c r="AK1227" s="40"/>
      <c r="AL1227" s="40"/>
      <c r="AM1227" s="40"/>
      <c r="AN1227" s="40"/>
      <c r="AO1227" s="40"/>
      <c r="AP1227" s="40"/>
      <c r="AQ1227" s="40"/>
      <c r="AR1227" s="40"/>
      <c r="AS1227" s="40"/>
      <c r="AT1227" s="40"/>
      <c r="AU1227" s="40"/>
      <c r="AV1227" s="313"/>
      <c r="AW1227" s="317"/>
      <c r="AX1227" s="317"/>
      <c r="AY1227" s="313"/>
      <c r="AZ1227" s="40"/>
      <c r="BA1227" s="40"/>
      <c r="BB1227" s="40"/>
      <c r="BC1227" s="40"/>
      <c r="BD1227" s="40"/>
      <c r="BE1227" s="40"/>
      <c r="BF1227" s="40"/>
      <c r="BG1227" s="40"/>
      <c r="BH1227" s="40"/>
      <c r="BI1227" s="40"/>
      <c r="BJ1227" s="40"/>
      <c r="BK1227" s="40"/>
      <c r="BL1227" s="62">
        <v>0</v>
      </c>
      <c r="BM1227" s="275">
        <v>3</v>
      </c>
      <c r="BN1227" s="62">
        <v>0.05</v>
      </c>
      <c r="BO1227" s="33" t="s">
        <v>625</v>
      </c>
    </row>
    <row r="1228" spans="1:68">
      <c r="A1228" s="33" t="str">
        <f>Database_Productkaarten[[#This Row],[Product]]&amp;", "&amp;Database_Productkaarten[[#This Row],[Levensfase]]</f>
        <v>Voegvulling, C1</v>
      </c>
      <c r="B1228" s="33" t="s">
        <v>629</v>
      </c>
      <c r="C1228" t="s">
        <v>40</v>
      </c>
      <c r="D1228" s="33" t="s">
        <v>627</v>
      </c>
      <c r="E1228" s="33" t="s">
        <v>385</v>
      </c>
      <c r="F1228" s="33" t="s">
        <v>83</v>
      </c>
      <c r="G1228" s="33">
        <v>1</v>
      </c>
      <c r="H1228" s="33">
        <v>1</v>
      </c>
      <c r="L1228" s="33">
        <v>1.65</v>
      </c>
      <c r="M1228" s="271">
        <v>6.2500000000000003E-3</v>
      </c>
      <c r="N1228" s="41"/>
      <c r="O1228" s="33">
        <v>25</v>
      </c>
      <c r="P1228" s="40"/>
      <c r="Q1228" s="40"/>
      <c r="R1228" s="40"/>
      <c r="S1228" s="40"/>
      <c r="T1228" s="40"/>
      <c r="U1228" s="40"/>
      <c r="V1228" s="40"/>
      <c r="W1228" s="40"/>
      <c r="X1228" s="40"/>
      <c r="Y1228" s="40"/>
      <c r="Z1228" s="40"/>
      <c r="AA1228" s="40"/>
      <c r="AB1228" s="40"/>
      <c r="AC1228" s="40"/>
      <c r="AD1228" s="40"/>
      <c r="AE1228" s="40"/>
      <c r="AF1228" s="40"/>
      <c r="AG1228" s="40"/>
      <c r="AH1228" s="40"/>
      <c r="AI1228" s="40"/>
      <c r="AJ1228" s="40"/>
      <c r="AK1228" s="40"/>
      <c r="AL1228" s="40"/>
      <c r="AM1228" s="40"/>
      <c r="AN1228" s="40"/>
      <c r="AO1228" s="40"/>
      <c r="AP1228" s="40"/>
      <c r="AQ1228" s="40"/>
      <c r="AR1228" s="40"/>
      <c r="AS1228" s="40"/>
      <c r="AT1228" s="40"/>
      <c r="AU1228" s="40"/>
      <c r="AV1228" s="313"/>
      <c r="AW1228" s="317"/>
      <c r="AX1228" s="317"/>
      <c r="AY1228" s="313"/>
      <c r="AZ1228" s="40"/>
      <c r="BA1228" s="40"/>
      <c r="BB1228" s="40"/>
      <c r="BC1228" s="40"/>
      <c r="BD1228" s="40"/>
      <c r="BE1228" s="40"/>
      <c r="BF1228" s="40"/>
      <c r="BG1228" s="40"/>
      <c r="BH1228" s="40"/>
      <c r="BI1228" s="40"/>
      <c r="BJ1228" s="40"/>
      <c r="BK1228" s="40"/>
      <c r="BL1228" s="62">
        <v>0</v>
      </c>
      <c r="BM1228" s="275">
        <v>3</v>
      </c>
      <c r="BN1228" s="62">
        <v>0.05</v>
      </c>
      <c r="BO1228" s="33" t="s">
        <v>625</v>
      </c>
    </row>
    <row r="1229" spans="1:68">
      <c r="A1229" s="33" t="str">
        <f>Database_Productkaarten[[#This Row],[Product]]&amp;", "&amp;Database_Productkaarten[[#This Row],[Levensfase]]</f>
        <v>Voegvulling, C2</v>
      </c>
      <c r="B1229" s="33" t="s">
        <v>629</v>
      </c>
      <c r="C1229" t="s">
        <v>40</v>
      </c>
      <c r="D1229" s="33" t="s">
        <v>627</v>
      </c>
      <c r="E1229" s="33" t="s">
        <v>385</v>
      </c>
      <c r="F1229" s="33" t="s">
        <v>84</v>
      </c>
      <c r="G1229" s="33">
        <v>1</v>
      </c>
      <c r="H1229" s="33">
        <v>1</v>
      </c>
      <c r="L1229" s="33">
        <v>1.65</v>
      </c>
      <c r="M1229" s="271">
        <v>6.2500000000000003E-3</v>
      </c>
      <c r="N1229" s="41"/>
      <c r="O1229" s="33">
        <v>25</v>
      </c>
      <c r="P1229" s="40"/>
      <c r="Q1229" s="40"/>
      <c r="R1229" s="40"/>
      <c r="S1229" s="40"/>
      <c r="T1229" s="40"/>
      <c r="U1229" s="40"/>
      <c r="V1229" s="40"/>
      <c r="W1229" s="40"/>
      <c r="X1229" s="40"/>
      <c r="Y1229" s="40"/>
      <c r="Z1229" s="40"/>
      <c r="AA1229" s="40"/>
      <c r="AB1229" s="40"/>
      <c r="AC1229" s="40"/>
      <c r="AD1229" s="40"/>
      <c r="AE1229" s="40"/>
      <c r="AF1229" s="40"/>
      <c r="AG1229" s="40"/>
      <c r="AH1229" s="40"/>
      <c r="AI1229" s="40"/>
      <c r="AJ1229" s="40"/>
      <c r="AK1229" s="40"/>
      <c r="AL1229" s="40"/>
      <c r="AM1229" s="40"/>
      <c r="AN1229" s="40"/>
      <c r="AO1229" s="40"/>
      <c r="AP1229" s="40"/>
      <c r="AQ1229" s="40"/>
      <c r="AR1229" s="40"/>
      <c r="AS1229" s="40"/>
      <c r="AT1229" s="40"/>
      <c r="AU1229" s="40"/>
      <c r="AV1229" s="313"/>
      <c r="AW1229" s="317"/>
      <c r="AX1229" s="317"/>
      <c r="AY1229" s="313"/>
      <c r="AZ1229" s="40"/>
      <c r="BA1229" s="40"/>
      <c r="BB1229" s="40"/>
      <c r="BC1229" s="40"/>
      <c r="BD1229" s="40"/>
      <c r="BE1229" s="40"/>
      <c r="BF1229" s="40"/>
      <c r="BG1229" s="40"/>
      <c r="BH1229" s="40"/>
      <c r="BI1229" s="40"/>
      <c r="BJ1229" s="40"/>
      <c r="BK1229" s="40"/>
      <c r="BL1229" s="62">
        <v>0</v>
      </c>
      <c r="BM1229" s="275">
        <v>3</v>
      </c>
      <c r="BN1229" s="62">
        <v>0.05</v>
      </c>
      <c r="BO1229" s="33" t="s">
        <v>625</v>
      </c>
    </row>
    <row r="1230" spans="1:68">
      <c r="A1230" s="33" t="str">
        <f>Database_Productkaarten[[#This Row],[Product]]&amp;", "&amp;Database_Productkaarten[[#This Row],[Levensfase]]</f>
        <v>Voegvulling, C3</v>
      </c>
      <c r="B1230" s="33" t="s">
        <v>629</v>
      </c>
      <c r="C1230" t="s">
        <v>40</v>
      </c>
      <c r="D1230" s="33" t="s">
        <v>627</v>
      </c>
      <c r="E1230" s="33" t="s">
        <v>385</v>
      </c>
      <c r="F1230" s="33" t="s">
        <v>85</v>
      </c>
      <c r="G1230" s="33">
        <v>1</v>
      </c>
      <c r="H1230" s="33">
        <v>1</v>
      </c>
      <c r="L1230" s="33">
        <v>1.65</v>
      </c>
      <c r="M1230" s="271">
        <v>6.2500000000000003E-3</v>
      </c>
      <c r="N1230" s="41"/>
      <c r="O1230" s="33">
        <v>25</v>
      </c>
      <c r="P1230" s="40"/>
      <c r="Q1230" s="40"/>
      <c r="R1230" s="40"/>
      <c r="S1230" s="40"/>
      <c r="T1230" s="40"/>
      <c r="U1230" s="40"/>
      <c r="V1230" s="40"/>
      <c r="W1230" s="40"/>
      <c r="X1230" s="40"/>
      <c r="Y1230" s="40"/>
      <c r="Z1230" s="40"/>
      <c r="AA1230" s="40"/>
      <c r="AB1230" s="40"/>
      <c r="AC1230" s="40"/>
      <c r="AD1230" s="40"/>
      <c r="AE1230" s="40"/>
      <c r="AF1230" s="40"/>
      <c r="AG1230" s="40"/>
      <c r="AH1230" s="40"/>
      <c r="AI1230" s="40"/>
      <c r="AJ1230" s="40"/>
      <c r="AK1230" s="40"/>
      <c r="AL1230" s="40"/>
      <c r="AM1230" s="40"/>
      <c r="AN1230" s="40"/>
      <c r="AO1230" s="40"/>
      <c r="AP1230" s="40"/>
      <c r="AQ1230" s="40"/>
      <c r="AR1230" s="40"/>
      <c r="AS1230" s="40"/>
      <c r="AT1230" s="40"/>
      <c r="AU1230" s="40"/>
      <c r="AV1230" s="310"/>
      <c r="AW1230" s="40"/>
      <c r="AX1230" s="40"/>
      <c r="AY1230" s="310"/>
      <c r="AZ1230" s="40"/>
      <c r="BA1230" s="40"/>
      <c r="BB1230" s="40"/>
      <c r="BC1230" s="40"/>
      <c r="BD1230" s="40"/>
      <c r="BE1230" s="40"/>
      <c r="BF1230" s="40"/>
      <c r="BG1230" s="40"/>
      <c r="BH1230" s="40"/>
      <c r="BI1230" s="40"/>
      <c r="BJ1230" s="40"/>
      <c r="BK1230" s="40"/>
      <c r="BL1230" s="62">
        <v>0</v>
      </c>
      <c r="BM1230" s="275">
        <v>3</v>
      </c>
      <c r="BN1230" s="62">
        <v>0.05</v>
      </c>
      <c r="BO1230" s="33" t="s">
        <v>625</v>
      </c>
    </row>
    <row r="1231" spans="1:68">
      <c r="A1231" s="33" t="str">
        <f>Database_Productkaarten[[#This Row],[Product]]&amp;", "&amp;Database_Productkaarten[[#This Row],[Levensfase]]</f>
        <v>Voegvulling, C4</v>
      </c>
      <c r="B1231" s="33" t="s">
        <v>629</v>
      </c>
      <c r="C1231" t="s">
        <v>40</v>
      </c>
      <c r="D1231" s="33" t="s">
        <v>627</v>
      </c>
      <c r="E1231" s="33" t="s">
        <v>385</v>
      </c>
      <c r="F1231" s="33" t="s">
        <v>86</v>
      </c>
      <c r="G1231" s="33">
        <v>1</v>
      </c>
      <c r="H1231" s="33">
        <v>1</v>
      </c>
      <c r="L1231" s="33">
        <v>1.65</v>
      </c>
      <c r="M1231" s="271">
        <v>6.2500000000000003E-3</v>
      </c>
      <c r="N1231" s="41"/>
      <c r="O1231" s="33">
        <v>25</v>
      </c>
      <c r="P1231" s="40"/>
      <c r="Q1231" s="40"/>
      <c r="R1231" s="40"/>
      <c r="S1231" s="40"/>
      <c r="T1231" s="40"/>
      <c r="U1231" s="40"/>
      <c r="V1231" s="40"/>
      <c r="W1231" s="40"/>
      <c r="X1231" s="40"/>
      <c r="Y1231" s="40"/>
      <c r="Z1231" s="40"/>
      <c r="AA1231" s="40"/>
      <c r="AB1231" s="40"/>
      <c r="AC1231" s="40"/>
      <c r="AD1231" s="40"/>
      <c r="AE1231" s="40"/>
      <c r="AF1231" s="40"/>
      <c r="AG1231" s="40"/>
      <c r="AH1231" s="40"/>
      <c r="AI1231" s="40"/>
      <c r="AJ1231" s="40"/>
      <c r="AK1231" s="40"/>
      <c r="AL1231" s="40"/>
      <c r="AM1231" s="40"/>
      <c r="AN1231" s="40"/>
      <c r="AO1231" s="40"/>
      <c r="AP1231" s="40"/>
      <c r="AQ1231" s="40"/>
      <c r="AR1231" s="40"/>
      <c r="AS1231" s="40"/>
      <c r="AT1231" s="40"/>
      <c r="AU1231" s="40"/>
      <c r="AV1231" s="310"/>
      <c r="AW1231" s="40"/>
      <c r="AX1231" s="40"/>
      <c r="AY1231" s="310"/>
      <c r="AZ1231" s="40"/>
      <c r="BA1231" s="40"/>
      <c r="BB1231" s="40"/>
      <c r="BC1231" s="40"/>
      <c r="BD1231" s="40"/>
      <c r="BE1231" s="40"/>
      <c r="BF1231" s="40"/>
      <c r="BG1231" s="40"/>
      <c r="BH1231" s="40"/>
      <c r="BI1231" s="40"/>
      <c r="BJ1231" s="40"/>
      <c r="BK1231" s="40"/>
      <c r="BL1231" s="62">
        <v>0</v>
      </c>
      <c r="BM1231" s="275">
        <v>3</v>
      </c>
      <c r="BN1231" s="62">
        <v>0.05</v>
      </c>
      <c r="BO1231" s="33" t="s">
        <v>625</v>
      </c>
    </row>
    <row r="1232" spans="1:68">
      <c r="A1232" s="33" t="str">
        <f>Database_Productkaarten[[#This Row],[Product]]&amp;", "&amp;Database_Productkaarten[[#This Row],[Levensfase]]</f>
        <v>Voegvulling, D</v>
      </c>
      <c r="B1232" s="33" t="s">
        <v>629</v>
      </c>
      <c r="C1232" t="s">
        <v>40</v>
      </c>
      <c r="D1232" s="33" t="s">
        <v>627</v>
      </c>
      <c r="E1232" s="33" t="s">
        <v>385</v>
      </c>
      <c r="F1232" s="33" t="s">
        <v>89</v>
      </c>
      <c r="G1232" s="33">
        <v>1</v>
      </c>
      <c r="H1232" s="33">
        <v>1</v>
      </c>
      <c r="L1232" s="33">
        <v>1.65</v>
      </c>
      <c r="M1232" s="271">
        <v>6.2500000000000003E-3</v>
      </c>
      <c r="N1232" s="41"/>
      <c r="O1232" s="33">
        <v>25</v>
      </c>
      <c r="P1232" s="40"/>
      <c r="Q1232" s="40"/>
      <c r="R1232" s="40"/>
      <c r="S1232" s="40"/>
      <c r="T1232" s="40"/>
      <c r="U1232" s="40"/>
      <c r="V1232" s="40"/>
      <c r="W1232" s="40"/>
      <c r="X1232" s="40"/>
      <c r="Y1232" s="40"/>
      <c r="Z1232" s="40"/>
      <c r="AA1232" s="40"/>
      <c r="AB1232" s="40"/>
      <c r="AC1232" s="40"/>
      <c r="AD1232" s="40"/>
      <c r="AE1232" s="40"/>
      <c r="AF1232" s="40"/>
      <c r="AG1232" s="40"/>
      <c r="AH1232" s="40"/>
      <c r="AI1232" s="40"/>
      <c r="AJ1232" s="40"/>
      <c r="AK1232" s="40"/>
      <c r="AL1232" s="40"/>
      <c r="AM1232" s="40"/>
      <c r="AN1232" s="40"/>
      <c r="AO1232" s="40"/>
      <c r="AP1232" s="40"/>
      <c r="AQ1232" s="40"/>
      <c r="AR1232" s="40"/>
      <c r="AS1232" s="40"/>
      <c r="AT1232" s="40"/>
      <c r="AU1232" s="40"/>
      <c r="AV1232" s="310"/>
      <c r="AW1232" s="40"/>
      <c r="AX1232" s="40"/>
      <c r="AY1232" s="310"/>
      <c r="AZ1232" s="40"/>
      <c r="BA1232" s="40"/>
      <c r="BB1232" s="40"/>
      <c r="BC1232" s="40"/>
      <c r="BD1232" s="40"/>
      <c r="BE1232" s="40"/>
      <c r="BF1232" s="40"/>
      <c r="BG1232" s="40"/>
      <c r="BH1232" s="40"/>
      <c r="BI1232" s="40"/>
      <c r="BJ1232" s="40"/>
      <c r="BK1232" s="40"/>
      <c r="BL1232" s="62">
        <v>0</v>
      </c>
      <c r="BM1232" s="275">
        <v>3</v>
      </c>
      <c r="BN1232" s="62">
        <v>0.05</v>
      </c>
      <c r="BO1232" s="33" t="s">
        <v>625</v>
      </c>
    </row>
    <row r="1233" spans="1:68">
      <c r="A1233" s="33" t="str">
        <f>Database_Productkaarten[[#This Row],[Product]]&amp;", "&amp;Database_Productkaarten[[#This Row],[Levensfase]]</f>
        <v>Voegvulling, D1</v>
      </c>
      <c r="B1233" s="33" t="s">
        <v>629</v>
      </c>
      <c r="C1233" t="s">
        <v>40</v>
      </c>
      <c r="D1233" s="33" t="s">
        <v>627</v>
      </c>
      <c r="E1233" s="33" t="s">
        <v>385</v>
      </c>
      <c r="F1233" s="33" t="s">
        <v>87</v>
      </c>
      <c r="G1233" s="33">
        <v>1</v>
      </c>
      <c r="H1233" s="33">
        <v>1</v>
      </c>
      <c r="L1233" s="33">
        <v>1.65</v>
      </c>
      <c r="M1233" s="271">
        <v>6.2500000000000003E-3</v>
      </c>
      <c r="N1233" s="41"/>
      <c r="O1233" s="33">
        <v>25</v>
      </c>
      <c r="P1233" s="40"/>
      <c r="Q1233" s="40"/>
      <c r="R1233" s="40"/>
      <c r="S1233" s="40"/>
      <c r="T1233" s="40"/>
      <c r="U1233" s="40"/>
      <c r="V1233" s="40"/>
      <c r="W1233" s="40"/>
      <c r="X1233" s="40"/>
      <c r="Y1233" s="40"/>
      <c r="Z1233" s="40"/>
      <c r="AA1233" s="40"/>
      <c r="AB1233" s="40"/>
      <c r="AC1233" s="40"/>
      <c r="AD1233" s="40"/>
      <c r="AE1233" s="40"/>
      <c r="AF1233" s="40"/>
      <c r="AG1233" s="40"/>
      <c r="AH1233" s="40"/>
      <c r="AI1233" s="40"/>
      <c r="AJ1233" s="40"/>
      <c r="AK1233" s="40"/>
      <c r="AL1233" s="40"/>
      <c r="AM1233" s="40"/>
      <c r="AN1233" s="40"/>
      <c r="AO1233" s="40"/>
      <c r="AP1233" s="40"/>
      <c r="AQ1233" s="40"/>
      <c r="AR1233" s="40"/>
      <c r="AS1233" s="40"/>
      <c r="AT1233" s="40"/>
      <c r="AU1233" s="40"/>
      <c r="AV1233" s="310"/>
      <c r="AW1233" s="40"/>
      <c r="AX1233" s="40"/>
      <c r="AY1233" s="310"/>
      <c r="AZ1233" s="40"/>
      <c r="BA1233" s="40"/>
      <c r="BB1233" s="40"/>
      <c r="BC1233" s="40"/>
      <c r="BD1233" s="40"/>
      <c r="BE1233" s="40"/>
      <c r="BF1233" s="40"/>
      <c r="BG1233" s="40"/>
      <c r="BH1233" s="40"/>
      <c r="BI1233" s="40"/>
      <c r="BJ1233" s="40"/>
      <c r="BK1233" s="40"/>
      <c r="BL1233" s="62">
        <v>0</v>
      </c>
      <c r="BM1233" s="275">
        <v>3</v>
      </c>
      <c r="BN1233" s="62">
        <v>0.05</v>
      </c>
      <c r="BO1233" s="33" t="s">
        <v>625</v>
      </c>
    </row>
    <row r="1234" spans="1:68">
      <c r="A1234" s="33" t="str">
        <f>Database_Productkaarten[[#This Row],[Product]]&amp;", "&amp;Database_Productkaarten[[#This Row],[Levensfase]]</f>
        <v>Voegvulling, D2</v>
      </c>
      <c r="B1234" s="33" t="s">
        <v>629</v>
      </c>
      <c r="C1234" t="s">
        <v>40</v>
      </c>
      <c r="D1234" s="33" t="s">
        <v>627</v>
      </c>
      <c r="E1234" s="33" t="s">
        <v>385</v>
      </c>
      <c r="F1234" s="33" t="s">
        <v>88</v>
      </c>
      <c r="G1234" s="33">
        <v>1</v>
      </c>
      <c r="H1234" s="33">
        <v>1</v>
      </c>
      <c r="L1234" s="33">
        <v>1.65</v>
      </c>
      <c r="M1234" s="271">
        <v>6.2500000000000003E-3</v>
      </c>
      <c r="N1234" s="41"/>
      <c r="O1234" s="33">
        <v>25</v>
      </c>
      <c r="P1234" s="40"/>
      <c r="Q1234" s="40"/>
      <c r="R1234" s="40"/>
      <c r="S1234" s="40"/>
      <c r="T1234" s="40"/>
      <c r="U1234" s="40"/>
      <c r="V1234" s="40"/>
      <c r="W1234" s="40"/>
      <c r="X1234" s="40"/>
      <c r="Y1234" s="40"/>
      <c r="Z1234" s="40"/>
      <c r="AA1234" s="40"/>
      <c r="AB1234" s="40"/>
      <c r="AC1234" s="40"/>
      <c r="AD1234" s="40"/>
      <c r="AE1234" s="40"/>
      <c r="AF1234" s="40"/>
      <c r="AG1234" s="40"/>
      <c r="AH1234" s="40"/>
      <c r="AI1234" s="40"/>
      <c r="AJ1234" s="40"/>
      <c r="AK1234" s="40"/>
      <c r="AL1234" s="40"/>
      <c r="AM1234" s="40"/>
      <c r="AN1234" s="40"/>
      <c r="AO1234" s="40"/>
      <c r="AP1234" s="40"/>
      <c r="AQ1234" s="40"/>
      <c r="AR1234" s="40"/>
      <c r="AS1234" s="40"/>
      <c r="AT1234" s="40"/>
      <c r="AU1234" s="40"/>
      <c r="AV1234" s="310"/>
      <c r="AW1234" s="40"/>
      <c r="AX1234" s="40"/>
      <c r="AY1234" s="310"/>
      <c r="AZ1234" s="40"/>
      <c r="BA1234" s="40"/>
      <c r="BB1234" s="40"/>
      <c r="BC1234" s="40"/>
      <c r="BD1234" s="40"/>
      <c r="BE1234" s="40"/>
      <c r="BF1234" s="40"/>
      <c r="BG1234" s="40"/>
      <c r="BH1234" s="40"/>
      <c r="BI1234" s="40"/>
      <c r="BJ1234" s="40"/>
      <c r="BK1234" s="40"/>
      <c r="BL1234" s="62">
        <v>0</v>
      </c>
      <c r="BM1234" s="275">
        <v>3</v>
      </c>
      <c r="BN1234" s="62">
        <v>0.05</v>
      </c>
      <c r="BO1234" s="33" t="s">
        <v>625</v>
      </c>
    </row>
    <row r="1235" spans="1:68">
      <c r="A1235" s="33" t="str">
        <f>Database_Productkaarten[[#This Row],[Product]]&amp;", "&amp;Database_Productkaarten[[#This Row],[Levensfase]]</f>
        <v>Betontegel 300x300x45, Totaal</v>
      </c>
      <c r="B1235" s="33" t="s">
        <v>235</v>
      </c>
      <c r="C1235" t="s">
        <v>55</v>
      </c>
      <c r="D1235" s="33" t="s">
        <v>630</v>
      </c>
      <c r="E1235" s="33" t="s">
        <v>385</v>
      </c>
      <c r="F1235" s="33" t="s">
        <v>90</v>
      </c>
      <c r="G1235" s="33">
        <v>0.3</v>
      </c>
      <c r="H1235" s="33">
        <v>0.3</v>
      </c>
      <c r="I1235" s="33">
        <v>4.4999999999999998E-2</v>
      </c>
      <c r="L1235" s="33">
        <v>2.4</v>
      </c>
      <c r="M1235" s="33">
        <f>(11*9.5)/1000</f>
        <v>0.1045</v>
      </c>
      <c r="N1235" s="41">
        <f>(1000/45)*N1236</f>
        <v>33.800888888888878</v>
      </c>
      <c r="O1235" s="33">
        <v>25</v>
      </c>
      <c r="R1235" s="40"/>
      <c r="AV1235" s="311"/>
      <c r="AY1235" s="311"/>
      <c r="BL1235" s="306">
        <v>0.11177052423343224</v>
      </c>
      <c r="BM1235" s="275">
        <v>3</v>
      </c>
      <c r="BN1235" s="62">
        <v>0.03</v>
      </c>
      <c r="BO1235" s="33" t="s">
        <v>631</v>
      </c>
      <c r="BP1235" s="262" t="s">
        <v>632</v>
      </c>
    </row>
    <row r="1236" spans="1:68">
      <c r="A1236" s="33" t="str">
        <f>Database_Productkaarten[[#This Row],[Product]]&amp;", "&amp;Database_Productkaarten[[#This Row],[Levensfase]]</f>
        <v>Betontegel 300x300x45, A1</v>
      </c>
      <c r="B1236" s="33" t="s">
        <v>235</v>
      </c>
      <c r="C1236" t="s">
        <v>55</v>
      </c>
      <c r="D1236" s="33" t="s">
        <v>630</v>
      </c>
      <c r="E1236" s="33" t="s">
        <v>385</v>
      </c>
      <c r="F1236" s="33" t="s">
        <v>74</v>
      </c>
      <c r="G1236" s="33">
        <v>0.3</v>
      </c>
      <c r="H1236" s="33">
        <v>0.3</v>
      </c>
      <c r="I1236" s="33">
        <v>4.4999999999999998E-2</v>
      </c>
      <c r="L1236" s="33">
        <v>2.4</v>
      </c>
      <c r="M1236" s="33">
        <f t="shared" ref="M1236:M1264" si="427">(11*9.5)/1000</f>
        <v>0.1045</v>
      </c>
      <c r="N1236" s="41">
        <f>SUM(N1239:N1247)</f>
        <v>1.5210399999999995</v>
      </c>
      <c r="O1236" s="33">
        <v>25</v>
      </c>
      <c r="P1236" s="163">
        <v>1.2544965E-5</v>
      </c>
      <c r="Q1236" s="163">
        <v>3.0136830999999999E-2</v>
      </c>
      <c r="R1236" s="163">
        <v>12.264231000000001</v>
      </c>
      <c r="S1236" s="163">
        <v>2.5226112E-7</v>
      </c>
      <c r="T1236" s="163">
        <v>2.2953762000000001E-3</v>
      </c>
      <c r="U1236" s="163">
        <v>2.5885208E-2</v>
      </c>
      <c r="V1236" s="163">
        <v>5.0809840999999998E-3</v>
      </c>
      <c r="W1236" s="163">
        <v>1.0171117999999999</v>
      </c>
      <c r="X1236" s="163">
        <v>2.5310288E-2</v>
      </c>
      <c r="Y1236" s="163">
        <v>129.70860999999999</v>
      </c>
      <c r="Z1236" s="163">
        <v>2.3195981000000001E-2</v>
      </c>
      <c r="AA1236" s="40"/>
      <c r="AV1236" s="315">
        <v>10.755502</v>
      </c>
      <c r="AW1236" s="317"/>
      <c r="AX1236" s="317"/>
      <c r="AY1236" s="313">
        <v>68.026668000000001</v>
      </c>
      <c r="AZ1236" s="317"/>
      <c r="BA1236" s="317"/>
      <c r="BB1236" s="317"/>
      <c r="BC1236" s="317">
        <v>1.0078697000000001</v>
      </c>
      <c r="BD1236" s="315">
        <v>6.7411016999999998</v>
      </c>
      <c r="BE1236" s="315">
        <v>0.59327171999999995</v>
      </c>
      <c r="BL1236" s="306">
        <v>0.11177052423343224</v>
      </c>
      <c r="BM1236" s="275">
        <v>3</v>
      </c>
      <c r="BN1236" s="62">
        <v>0.03</v>
      </c>
      <c r="BO1236" s="33" t="s">
        <v>631</v>
      </c>
      <c r="BP1236" s="262" t="s">
        <v>633</v>
      </c>
    </row>
    <row r="1237" spans="1:68">
      <c r="A1237" s="33" t="str">
        <f>Database_Productkaarten[[#This Row],[Product]]&amp;", "&amp;Database_Productkaarten[[#This Row],[Levensfase]]</f>
        <v>Betontegel 300x300x45, A2</v>
      </c>
      <c r="B1237" s="33" t="s">
        <v>235</v>
      </c>
      <c r="C1237" t="s">
        <v>55</v>
      </c>
      <c r="D1237" s="33" t="s">
        <v>630</v>
      </c>
      <c r="E1237" s="33" t="s">
        <v>385</v>
      </c>
      <c r="F1237" s="33" t="s">
        <v>75</v>
      </c>
      <c r="G1237" s="33">
        <v>0.3</v>
      </c>
      <c r="H1237" s="33">
        <v>0.3</v>
      </c>
      <c r="I1237" s="33">
        <v>4.4999999999999998E-2</v>
      </c>
      <c r="L1237" s="33">
        <v>2.4</v>
      </c>
      <c r="M1237" s="33">
        <f t="shared" si="427"/>
        <v>0.1045</v>
      </c>
      <c r="N1237" s="41"/>
      <c r="O1237" s="33">
        <v>25</v>
      </c>
      <c r="P1237" s="163">
        <v>2.0476256000000002E-6</v>
      </c>
      <c r="Q1237" s="163">
        <v>5.3146824000000004E-3</v>
      </c>
      <c r="R1237" s="163">
        <v>0.72002352000000003</v>
      </c>
      <c r="S1237" s="163">
        <v>1.3268613E-7</v>
      </c>
      <c r="T1237" s="163">
        <v>4.2498081E-4</v>
      </c>
      <c r="U1237" s="163">
        <v>3.1216125999999999E-3</v>
      </c>
      <c r="V1237" s="163">
        <v>6.2205259000000003E-4</v>
      </c>
      <c r="W1237" s="163">
        <v>0.28806567999999999</v>
      </c>
      <c r="X1237" s="163">
        <v>8.4485787000000007E-3</v>
      </c>
      <c r="Y1237" s="163">
        <v>30.493424999999998</v>
      </c>
      <c r="Z1237" s="163">
        <v>1.0206536E-3</v>
      </c>
      <c r="AA1237" s="40"/>
      <c r="AV1237" s="315">
        <v>0.15162668000000001</v>
      </c>
      <c r="AW1237" s="317"/>
      <c r="AX1237" s="317"/>
      <c r="AY1237" s="313">
        <v>11.848082</v>
      </c>
      <c r="AZ1237" s="317"/>
      <c r="BA1237" s="317"/>
      <c r="BB1237" s="317"/>
      <c r="BC1237" s="317">
        <v>2.1308478999999998E-3</v>
      </c>
      <c r="BD1237" s="315">
        <v>8.1826040000000002E-5</v>
      </c>
      <c r="BE1237" s="315">
        <v>0.68103670999999999</v>
      </c>
      <c r="BL1237" s="306">
        <v>0.11177052423343224</v>
      </c>
      <c r="BM1237" s="275">
        <v>3</v>
      </c>
      <c r="BN1237" s="62">
        <v>0.03</v>
      </c>
      <c r="BO1237" s="33" t="s">
        <v>631</v>
      </c>
      <c r="BP1237" s="262" t="s">
        <v>633</v>
      </c>
    </row>
    <row r="1238" spans="1:68">
      <c r="A1238" s="33" t="str">
        <f>Database_Productkaarten[[#This Row],[Product]]&amp;", "&amp;Database_Productkaarten[[#This Row],[Levensfase]]</f>
        <v>Betontegel 300x300x45, A3</v>
      </c>
      <c r="B1238" s="33" t="s">
        <v>235</v>
      </c>
      <c r="C1238" t="s">
        <v>55</v>
      </c>
      <c r="D1238" s="33" t="s">
        <v>630</v>
      </c>
      <c r="E1238" s="33" t="s">
        <v>385</v>
      </c>
      <c r="F1238" s="33" t="s">
        <v>76</v>
      </c>
      <c r="G1238" s="33">
        <v>0.3</v>
      </c>
      <c r="H1238" s="33">
        <v>0.3</v>
      </c>
      <c r="I1238" s="33">
        <v>4.4999999999999998E-2</v>
      </c>
      <c r="L1238" s="33">
        <v>2.4</v>
      </c>
      <c r="M1238" s="33">
        <f t="shared" si="427"/>
        <v>0.1045</v>
      </c>
      <c r="N1238" s="41"/>
      <c r="O1238" s="33">
        <v>25</v>
      </c>
      <c r="P1238" s="163">
        <v>1.7864004E-7</v>
      </c>
      <c r="Q1238" s="163">
        <v>5.3695228999999997E-3</v>
      </c>
      <c r="R1238" s="163">
        <v>0.65698162000000004</v>
      </c>
      <c r="S1238" s="163">
        <v>4.5341319999999998E-8</v>
      </c>
      <c r="T1238" s="163">
        <v>1.0874346E-4</v>
      </c>
      <c r="U1238" s="163">
        <v>1.1963441E-3</v>
      </c>
      <c r="V1238" s="163">
        <v>2.6786196E-4</v>
      </c>
      <c r="W1238" s="163">
        <v>5.4834832999999999E-2</v>
      </c>
      <c r="X1238" s="163">
        <v>1.2547903999999999E-3</v>
      </c>
      <c r="Y1238" s="163">
        <v>6.1581910999999998</v>
      </c>
      <c r="Z1238" s="163">
        <v>9.2377857999999995E-4</v>
      </c>
      <c r="AA1238" s="40"/>
      <c r="AV1238" s="315">
        <v>0.83193154999999996</v>
      </c>
      <c r="AW1238" s="317"/>
      <c r="AX1238" s="317"/>
      <c r="AY1238" s="313">
        <v>10.772966</v>
      </c>
      <c r="AZ1238" s="317"/>
      <c r="BA1238" s="317"/>
      <c r="BB1238" s="317"/>
      <c r="BC1238" s="317">
        <v>2.1134785E-3</v>
      </c>
      <c r="BD1238" s="315">
        <v>4.7282742000000002E-5</v>
      </c>
      <c r="BE1238" s="315">
        <v>2.0754622E-2</v>
      </c>
      <c r="BL1238" s="306">
        <v>0.11177052423343224</v>
      </c>
      <c r="BM1238" s="275">
        <v>3</v>
      </c>
      <c r="BN1238" s="62">
        <v>0.03</v>
      </c>
      <c r="BO1238" s="33" t="s">
        <v>631</v>
      </c>
      <c r="BP1238" s="262" t="s">
        <v>633</v>
      </c>
    </row>
    <row r="1239" spans="1:68">
      <c r="A1239" s="33" t="str">
        <f>Database_Productkaarten[[#This Row],[Product]]&amp;", "&amp;Database_Productkaarten[[#This Row],[Levensfase]]</f>
        <v>Betontegel 300x300x45, A1-A3</v>
      </c>
      <c r="B1239" s="33" t="s">
        <v>235</v>
      </c>
      <c r="C1239" t="s">
        <v>55</v>
      </c>
      <c r="D1239" s="33" t="s">
        <v>630</v>
      </c>
      <c r="E1239" s="33" t="s">
        <v>385</v>
      </c>
      <c r="F1239" s="33" t="s">
        <v>77</v>
      </c>
      <c r="G1239" s="33">
        <v>0.3</v>
      </c>
      <c r="H1239" s="33">
        <v>0.3</v>
      </c>
      <c r="I1239" s="33">
        <v>4.4999999999999998E-2</v>
      </c>
      <c r="L1239" s="33">
        <v>2.4</v>
      </c>
      <c r="M1239" s="33">
        <f t="shared" si="427"/>
        <v>0.1045</v>
      </c>
      <c r="N1239" s="41">
        <v>0.96309999999999996</v>
      </c>
      <c r="O1239" s="33">
        <v>25</v>
      </c>
      <c r="P1239" s="163">
        <f>SUM(P1236:P1238)</f>
        <v>1.4771230640000001E-5</v>
      </c>
      <c r="Q1239" s="163">
        <f t="shared" ref="Q1239:Z1239" si="428">SUM(Q1236:Q1238)</f>
        <v>4.0821036300000002E-2</v>
      </c>
      <c r="R1239" s="163">
        <f t="shared" si="428"/>
        <v>13.64123614</v>
      </c>
      <c r="S1239" s="163">
        <f t="shared" si="428"/>
        <v>4.3028856999999997E-7</v>
      </c>
      <c r="T1239" s="163">
        <f t="shared" si="428"/>
        <v>2.82910047E-3</v>
      </c>
      <c r="U1239" s="163">
        <f t="shared" si="428"/>
        <v>3.02031647E-2</v>
      </c>
      <c r="V1239" s="163">
        <f t="shared" si="428"/>
        <v>5.9708986499999997E-3</v>
      </c>
      <c r="W1239" s="163">
        <f t="shared" si="428"/>
        <v>1.3600123129999997</v>
      </c>
      <c r="X1239" s="163">
        <f t="shared" si="428"/>
        <v>3.5013657099999998E-2</v>
      </c>
      <c r="Y1239" s="163">
        <f t="shared" si="428"/>
        <v>166.36022610000001</v>
      </c>
      <c r="Z1239" s="163">
        <f t="shared" si="428"/>
        <v>2.5140413180000001E-2</v>
      </c>
      <c r="AA1239" s="40"/>
      <c r="AV1239" s="313">
        <f>SUM(AV1236:AV1238)</f>
        <v>11.73906023</v>
      </c>
      <c r="AW1239" s="317"/>
      <c r="AX1239" s="317"/>
      <c r="AY1239" s="313">
        <f>SUM(AY1236:AY1238)</f>
        <v>90.647716000000003</v>
      </c>
      <c r="AZ1239" s="317"/>
      <c r="BA1239" s="317"/>
      <c r="BB1239" s="317"/>
      <c r="BC1239" s="317">
        <f>SUM(BC1236:BC1238)</f>
        <v>1.0121140264000001</v>
      </c>
      <c r="BD1239" s="313">
        <f>SUM(BD1236:BD1238)</f>
        <v>6.7412308087819994</v>
      </c>
      <c r="BE1239" s="313">
        <f>SUM(BE1236:BE1238)</f>
        <v>1.2950630520000002</v>
      </c>
      <c r="BL1239" s="306">
        <v>0.11177052423343224</v>
      </c>
      <c r="BM1239" s="275">
        <v>3</v>
      </c>
      <c r="BN1239" s="62">
        <v>0.03</v>
      </c>
      <c r="BO1239" s="33" t="s">
        <v>631</v>
      </c>
      <c r="BP1239" s="262" t="s">
        <v>633</v>
      </c>
    </row>
    <row r="1240" spans="1:68">
      <c r="A1240" s="33" t="str">
        <f>Database_Productkaarten[[#This Row],[Product]]&amp;", "&amp;Database_Productkaarten[[#This Row],[Levensfase]]</f>
        <v>Betontegel 300x300x45, A4</v>
      </c>
      <c r="B1240" s="33" t="s">
        <v>235</v>
      </c>
      <c r="C1240" t="s">
        <v>55</v>
      </c>
      <c r="D1240" s="33" t="s">
        <v>630</v>
      </c>
      <c r="E1240" s="33" t="s">
        <v>385</v>
      </c>
      <c r="F1240" s="33" t="s">
        <v>78</v>
      </c>
      <c r="G1240" s="33">
        <v>0.3</v>
      </c>
      <c r="H1240" s="33">
        <v>0.3</v>
      </c>
      <c r="I1240" s="33">
        <v>4.4999999999999998E-2</v>
      </c>
      <c r="L1240" s="33">
        <v>2.4</v>
      </c>
      <c r="M1240" s="33">
        <f t="shared" si="427"/>
        <v>0.1045</v>
      </c>
      <c r="N1240" s="41">
        <v>0.2359</v>
      </c>
      <c r="O1240" s="33">
        <v>25</v>
      </c>
      <c r="P1240" s="163">
        <v>5.6063934E-6</v>
      </c>
      <c r="Q1240" s="163">
        <v>1.4551586E-2</v>
      </c>
      <c r="R1240" s="163">
        <v>1.9714224</v>
      </c>
      <c r="S1240" s="163">
        <v>3.6329424999999998E-7</v>
      </c>
      <c r="T1240" s="163">
        <v>1.1635962999999999E-3</v>
      </c>
      <c r="U1240" s="163">
        <v>8.5469667000000003E-3</v>
      </c>
      <c r="V1240" s="163">
        <v>1.7031783E-3</v>
      </c>
      <c r="W1240" s="163">
        <v>0.78872304999999998</v>
      </c>
      <c r="X1240" s="163">
        <v>2.3132185E-2</v>
      </c>
      <c r="Y1240" s="163">
        <v>83.490914000000004</v>
      </c>
      <c r="Z1240" s="163">
        <v>2.7945469000000001E-3</v>
      </c>
      <c r="AA1240" s="40"/>
      <c r="AV1240" s="313">
        <v>0.41515342</v>
      </c>
      <c r="AW1240" s="317"/>
      <c r="AX1240" s="317"/>
      <c r="AY1240" s="313">
        <v>32.440016</v>
      </c>
      <c r="AZ1240" s="317"/>
      <c r="BA1240" s="317"/>
      <c r="BB1240" s="317"/>
      <c r="BC1240" s="317">
        <v>5.8342558000000003E-3</v>
      </c>
      <c r="BD1240" s="317">
        <v>2.2403947000000001E-4</v>
      </c>
      <c r="BE1240" s="317">
        <v>1.8646765999999999</v>
      </c>
      <c r="BL1240" s="306">
        <v>0.11177052423343224</v>
      </c>
      <c r="BM1240" s="275">
        <v>3</v>
      </c>
      <c r="BN1240" s="62">
        <v>0.03</v>
      </c>
      <c r="BO1240" s="33" t="s">
        <v>631</v>
      </c>
      <c r="BP1240" s="262" t="s">
        <v>633</v>
      </c>
    </row>
    <row r="1241" spans="1:68">
      <c r="A1241" s="33" t="str">
        <f>Database_Productkaarten[[#This Row],[Product]]&amp;", "&amp;Database_Productkaarten[[#This Row],[Levensfase]]</f>
        <v>Betontegel 300x300x45, A5</v>
      </c>
      <c r="B1241" s="33" t="s">
        <v>235</v>
      </c>
      <c r="C1241" t="s">
        <v>55</v>
      </c>
      <c r="D1241" s="33" t="s">
        <v>630</v>
      </c>
      <c r="E1241" s="33" t="s">
        <v>385</v>
      </c>
      <c r="F1241" s="33" t="s">
        <v>79</v>
      </c>
      <c r="G1241" s="33">
        <v>0.3</v>
      </c>
      <c r="H1241" s="33">
        <v>0.3</v>
      </c>
      <c r="I1241" s="33">
        <v>4.4999999999999998E-2</v>
      </c>
      <c r="L1241" s="33">
        <v>2.4</v>
      </c>
      <c r="M1241" s="33">
        <f t="shared" si="427"/>
        <v>0.1045</v>
      </c>
      <c r="N1241" s="41">
        <f>0.035+0.0787</f>
        <v>0.11370000000000001</v>
      </c>
      <c r="O1241" s="33">
        <v>25</v>
      </c>
      <c r="P1241" s="163">
        <v>8.7043377999999999E-7</v>
      </c>
      <c r="Q1241" s="163">
        <v>5.9532125E-3</v>
      </c>
      <c r="R1241" s="163">
        <v>1.0883122999999999</v>
      </c>
      <c r="S1241" s="163">
        <v>1.3529959E-7</v>
      </c>
      <c r="T1241" s="163">
        <v>7.3423908999999999E-4</v>
      </c>
      <c r="U1241" s="163">
        <v>5.7748970999999998E-3</v>
      </c>
      <c r="V1241" s="163">
        <v>1.2608572000000001E-3</v>
      </c>
      <c r="W1241" s="163">
        <v>0.28420947000000002</v>
      </c>
      <c r="X1241" s="163">
        <v>4.9439706999999996E-3</v>
      </c>
      <c r="Y1241" s="163">
        <v>18.400765</v>
      </c>
      <c r="Z1241" s="163">
        <v>1.2325490999999999E-3</v>
      </c>
      <c r="AA1241" s="40"/>
      <c r="AV1241" s="313">
        <v>0.42233153000000001</v>
      </c>
      <c r="AW1241" s="317"/>
      <c r="AX1241" s="317"/>
      <c r="AY1241" s="313">
        <v>13.313103999999999</v>
      </c>
      <c r="AZ1241" s="317"/>
      <c r="BA1241" s="317"/>
      <c r="BB1241" s="317"/>
      <c r="BC1241" s="317">
        <v>3.1378273999999998E-2</v>
      </c>
      <c r="BD1241" s="317">
        <v>0.20231015999999999</v>
      </c>
      <c r="BE1241" s="317">
        <v>0.19190204999999999</v>
      </c>
      <c r="BL1241" s="306">
        <v>0.11177052423343224</v>
      </c>
      <c r="BM1241" s="275">
        <v>3</v>
      </c>
      <c r="BN1241" s="62">
        <v>0.03</v>
      </c>
      <c r="BO1241" s="33" t="s">
        <v>631</v>
      </c>
      <c r="BP1241" s="262" t="s">
        <v>633</v>
      </c>
    </row>
    <row r="1242" spans="1:68">
      <c r="A1242" s="33" t="str">
        <f>Database_Productkaarten[[#This Row],[Product]]&amp;", "&amp;Database_Productkaarten[[#This Row],[Levensfase]]</f>
        <v>Betontegel 300x300x45, B1</v>
      </c>
      <c r="B1242" s="33" t="s">
        <v>235</v>
      </c>
      <c r="C1242" t="s">
        <v>55</v>
      </c>
      <c r="D1242" s="33" t="s">
        <v>630</v>
      </c>
      <c r="E1242" s="33" t="s">
        <v>385</v>
      </c>
      <c r="F1242" s="33" t="s">
        <v>80</v>
      </c>
      <c r="G1242" s="33">
        <v>0.3</v>
      </c>
      <c r="H1242" s="33">
        <v>0.3</v>
      </c>
      <c r="I1242" s="33">
        <v>4.4999999999999998E-2</v>
      </c>
      <c r="L1242" s="33">
        <v>2.4</v>
      </c>
      <c r="M1242" s="33">
        <f t="shared" si="427"/>
        <v>0.1045</v>
      </c>
      <c r="N1242" s="41"/>
      <c r="O1242" s="33">
        <v>25</v>
      </c>
      <c r="P1242" s="163">
        <v>0</v>
      </c>
      <c r="Q1242" s="163">
        <v>0</v>
      </c>
      <c r="R1242" s="163">
        <v>0</v>
      </c>
      <c r="S1242" s="163">
        <v>0</v>
      </c>
      <c r="T1242" s="163">
        <v>0</v>
      </c>
      <c r="U1242" s="163">
        <v>0</v>
      </c>
      <c r="V1242" s="163">
        <v>0</v>
      </c>
      <c r="W1242" s="163">
        <v>0</v>
      </c>
      <c r="X1242" s="163">
        <v>0</v>
      </c>
      <c r="Y1242" s="163">
        <v>0</v>
      </c>
      <c r="Z1242" s="163">
        <v>0</v>
      </c>
      <c r="AA1242" s="40"/>
      <c r="AV1242" s="313">
        <v>0</v>
      </c>
      <c r="AW1242" s="317"/>
      <c r="AX1242" s="317"/>
      <c r="AY1242" s="313">
        <v>0</v>
      </c>
      <c r="AZ1242" s="317"/>
      <c r="BA1242" s="317"/>
      <c r="BB1242" s="317"/>
      <c r="BC1242" s="317">
        <v>0</v>
      </c>
      <c r="BD1242" s="317">
        <v>0</v>
      </c>
      <c r="BE1242" s="317">
        <v>0</v>
      </c>
      <c r="BL1242" s="306">
        <v>0.11177052423343224</v>
      </c>
      <c r="BM1242" s="275">
        <v>3</v>
      </c>
      <c r="BN1242" s="62">
        <v>0.03</v>
      </c>
      <c r="BO1242" s="33" t="s">
        <v>631</v>
      </c>
      <c r="BP1242" s="262" t="s">
        <v>633</v>
      </c>
    </row>
    <row r="1243" spans="1:68">
      <c r="A1243" s="33" t="str">
        <f>Database_Productkaarten[[#This Row],[Product]]&amp;", "&amp;Database_Productkaarten[[#This Row],[Levensfase]]</f>
        <v>Betontegel 300x300x45, C1</v>
      </c>
      <c r="B1243" s="33" t="s">
        <v>235</v>
      </c>
      <c r="C1243" t="s">
        <v>55</v>
      </c>
      <c r="D1243" s="33" t="s">
        <v>630</v>
      </c>
      <c r="E1243" s="33" t="s">
        <v>385</v>
      </c>
      <c r="F1243" s="33" t="s">
        <v>83</v>
      </c>
      <c r="G1243" s="33">
        <v>0.3</v>
      </c>
      <c r="H1243" s="33">
        <v>0.3</v>
      </c>
      <c r="I1243" s="33">
        <v>4.4999999999999998E-2</v>
      </c>
      <c r="L1243" s="33">
        <v>2.4</v>
      </c>
      <c r="M1243" s="33">
        <f t="shared" si="427"/>
        <v>0.1045</v>
      </c>
      <c r="N1243" s="41">
        <v>7.8700000000000006E-2</v>
      </c>
      <c r="O1243" s="33">
        <v>25</v>
      </c>
      <c r="P1243" s="163">
        <v>1.9924427999999999E-7</v>
      </c>
      <c r="Q1243" s="163">
        <v>4.1050855000000002E-3</v>
      </c>
      <c r="R1243" s="163">
        <v>0.59497279999999997</v>
      </c>
      <c r="S1243" s="163">
        <v>1.0716769E-7</v>
      </c>
      <c r="T1243" s="163">
        <v>5.9971757000000004E-4</v>
      </c>
      <c r="U1243" s="163">
        <v>4.5018584999999998E-3</v>
      </c>
      <c r="V1243" s="163">
        <v>1.0080613000000001E-3</v>
      </c>
      <c r="W1243" s="163">
        <v>0.21061642999999999</v>
      </c>
      <c r="X1243" s="163">
        <v>2.9454494999999999E-3</v>
      </c>
      <c r="Y1243" s="163">
        <v>9.9845778999999997</v>
      </c>
      <c r="Z1243" s="163">
        <v>3.5193415999999999E-4</v>
      </c>
      <c r="AA1243" s="40"/>
      <c r="AV1243" s="313">
        <v>4.9442172999999999E-2</v>
      </c>
      <c r="AW1243" s="317"/>
      <c r="AX1243" s="317"/>
      <c r="AY1243" s="313">
        <v>9.2085135000000005</v>
      </c>
      <c r="AZ1243" s="317"/>
      <c r="BA1243" s="317"/>
      <c r="BB1243" s="317"/>
      <c r="BC1243" s="317">
        <v>7.5919631999999998E-4</v>
      </c>
      <c r="BD1243" s="317">
        <v>6.3751571999999998E-5</v>
      </c>
      <c r="BE1243" s="317">
        <v>9.3962368000000008E-3</v>
      </c>
      <c r="BL1243" s="306">
        <v>0.11177052423343224</v>
      </c>
      <c r="BM1243" s="275">
        <v>3</v>
      </c>
      <c r="BN1243" s="62">
        <v>0.03</v>
      </c>
      <c r="BO1243" s="33" t="s">
        <v>631</v>
      </c>
      <c r="BP1243" s="262" t="s">
        <v>633</v>
      </c>
    </row>
    <row r="1244" spans="1:68">
      <c r="A1244" s="33" t="str">
        <f>Database_Productkaarten[[#This Row],[Product]]&amp;", "&amp;Database_Productkaarten[[#This Row],[Levensfase]]</f>
        <v>Betontegel 300x300x45, C2</v>
      </c>
      <c r="B1244" s="33" t="s">
        <v>235</v>
      </c>
      <c r="C1244" t="s">
        <v>55</v>
      </c>
      <c r="D1244" s="33" t="s">
        <v>630</v>
      </c>
      <c r="E1244" s="33" t="s">
        <v>385</v>
      </c>
      <c r="F1244" s="33" t="s">
        <v>84</v>
      </c>
      <c r="G1244" s="33">
        <v>0.3</v>
      </c>
      <c r="H1244" s="33">
        <v>0.3</v>
      </c>
      <c r="I1244" s="33">
        <v>4.4999999999999998E-2</v>
      </c>
      <c r="L1244" s="33">
        <v>2.4</v>
      </c>
      <c r="M1244" s="33">
        <f t="shared" si="427"/>
        <v>0.1045</v>
      </c>
      <c r="N1244" s="41">
        <v>7.9399999999999998E-2</v>
      </c>
      <c r="O1244" s="33">
        <v>25</v>
      </c>
      <c r="P1244" s="163">
        <v>1.8874858000000001E-6</v>
      </c>
      <c r="Q1244" s="163">
        <v>4.8990339000000004E-3</v>
      </c>
      <c r="R1244" s="163">
        <v>0.66371221999999996</v>
      </c>
      <c r="S1244" s="163">
        <v>1.2230905999999999E-7</v>
      </c>
      <c r="T1244" s="163">
        <v>3.9174407999999997E-4</v>
      </c>
      <c r="U1244" s="163">
        <v>2.8774788E-3</v>
      </c>
      <c r="V1244" s="163">
        <v>5.7340335999999997E-4</v>
      </c>
      <c r="W1244" s="163">
        <v>0.26553675999999998</v>
      </c>
      <c r="X1244" s="163">
        <v>7.7878358000000002E-3</v>
      </c>
      <c r="Y1244" s="163">
        <v>28.108608</v>
      </c>
      <c r="Z1244" s="163">
        <v>9.4083077999999995E-4</v>
      </c>
      <c r="AA1244" s="40"/>
      <c r="AV1244" s="313">
        <v>0.13976832</v>
      </c>
      <c r="AW1244" s="317"/>
      <c r="AX1244" s="317"/>
      <c r="AY1244" s="313">
        <v>10.921472</v>
      </c>
      <c r="AZ1244" s="317"/>
      <c r="BA1244" s="317"/>
      <c r="BB1244" s="317"/>
      <c r="BC1244" s="317">
        <v>1.9641995E-3</v>
      </c>
      <c r="BD1244" s="317">
        <v>7.5426622999999997E-5</v>
      </c>
      <c r="BE1244" s="317">
        <v>0.62777446999999997</v>
      </c>
      <c r="BL1244" s="306">
        <v>0.11177052423343224</v>
      </c>
      <c r="BM1244" s="275">
        <v>3</v>
      </c>
      <c r="BN1244" s="62">
        <v>0.03</v>
      </c>
      <c r="BO1244" s="33" t="s">
        <v>631</v>
      </c>
      <c r="BP1244" s="262" t="s">
        <v>633</v>
      </c>
    </row>
    <row r="1245" spans="1:68">
      <c r="A1245" s="33" t="str">
        <f>Database_Productkaarten[[#This Row],[Product]]&amp;", "&amp;Database_Productkaarten[[#This Row],[Levensfase]]</f>
        <v>Betontegel 300x300x45, C3</v>
      </c>
      <c r="B1245" s="33" t="s">
        <v>235</v>
      </c>
      <c r="C1245" t="s">
        <v>55</v>
      </c>
      <c r="D1245" s="33" t="s">
        <v>630</v>
      </c>
      <c r="E1245" s="33" t="s">
        <v>385</v>
      </c>
      <c r="F1245" s="33" t="s">
        <v>85</v>
      </c>
      <c r="G1245" s="33">
        <v>0.3</v>
      </c>
      <c r="H1245" s="33">
        <v>0.3</v>
      </c>
      <c r="I1245" s="33">
        <v>4.4999999999999998E-2</v>
      </c>
      <c r="L1245" s="33">
        <v>2.4</v>
      </c>
      <c r="M1245" s="33">
        <f t="shared" si="427"/>
        <v>0.1045</v>
      </c>
      <c r="N1245" s="41">
        <v>2.8799999999999999E-2</v>
      </c>
      <c r="O1245" s="33">
        <v>25</v>
      </c>
      <c r="P1245" s="163">
        <v>9.5703113999999997E-8</v>
      </c>
      <c r="Q1245" s="163">
        <v>1.1874686000000001E-3</v>
      </c>
      <c r="R1245" s="163">
        <v>0.15761563000000001</v>
      </c>
      <c r="S1245" s="163">
        <v>1.8308951E-8</v>
      </c>
      <c r="T1245" s="163">
        <v>8.8309993999999997E-5</v>
      </c>
      <c r="U1245" s="163">
        <v>7.2821758000000004E-4</v>
      </c>
      <c r="V1245" s="163">
        <v>1.6421982000000001E-4</v>
      </c>
      <c r="W1245" s="163">
        <v>3.4481987999999998E-2</v>
      </c>
      <c r="X1245" s="163">
        <v>5.7559451000000004E-4</v>
      </c>
      <c r="Y1245" s="163">
        <v>2.2080286999999998</v>
      </c>
      <c r="Z1245" s="163">
        <v>4.6516739999999997E-4</v>
      </c>
      <c r="AA1245" s="40"/>
      <c r="AV1245" s="313">
        <v>0.12789027</v>
      </c>
      <c r="AW1245" s="317"/>
      <c r="AX1245" s="317"/>
      <c r="AY1245" s="313">
        <v>2.4863423</v>
      </c>
      <c r="AZ1245" s="317"/>
      <c r="BA1245" s="317"/>
      <c r="BB1245" s="317"/>
      <c r="BC1245" s="317">
        <v>3.9673973999999998E-4</v>
      </c>
      <c r="BD1245" s="317">
        <v>1.4403218000000001E-5</v>
      </c>
      <c r="BE1245" s="317">
        <v>0.30065772000000002</v>
      </c>
      <c r="BL1245" s="306">
        <v>0.11177052423343224</v>
      </c>
      <c r="BM1245" s="275">
        <v>3</v>
      </c>
      <c r="BN1245" s="62">
        <v>0.03</v>
      </c>
      <c r="BO1245" s="33" t="s">
        <v>631</v>
      </c>
      <c r="BP1245" s="262" t="s">
        <v>633</v>
      </c>
    </row>
    <row r="1246" spans="1:68">
      <c r="A1246" s="33" t="str">
        <f>Database_Productkaarten[[#This Row],[Product]]&amp;", "&amp;Database_Productkaarten[[#This Row],[Levensfase]]</f>
        <v>Betontegel 300x300x45, C4</v>
      </c>
      <c r="B1246" s="33" t="s">
        <v>235</v>
      </c>
      <c r="C1246" t="s">
        <v>55</v>
      </c>
      <c r="D1246" s="33" t="s">
        <v>630</v>
      </c>
      <c r="E1246" s="33" t="s">
        <v>385</v>
      </c>
      <c r="F1246" s="33" t="s">
        <v>86</v>
      </c>
      <c r="G1246" s="33">
        <v>0.3</v>
      </c>
      <c r="H1246" s="33">
        <v>0.3</v>
      </c>
      <c r="I1246" s="33">
        <v>4.4999999999999998E-2</v>
      </c>
      <c r="L1246" s="33">
        <v>2.4</v>
      </c>
      <c r="M1246" s="33">
        <f t="shared" si="427"/>
        <v>0.1045</v>
      </c>
      <c r="N1246" s="41">
        <v>7.5139999999999998E-2</v>
      </c>
      <c r="O1246" s="33">
        <v>25</v>
      </c>
      <c r="P1246" s="163">
        <v>6.0850674000000004E-9</v>
      </c>
      <c r="Q1246" s="163">
        <v>7.2555071999999996E-5</v>
      </c>
      <c r="R1246" s="163">
        <v>5.3314546000000004E-3</v>
      </c>
      <c r="S1246" s="163">
        <v>1.7646276E-9</v>
      </c>
      <c r="T1246" s="163">
        <v>5.6498771000000003E-6</v>
      </c>
      <c r="U1246" s="163">
        <v>3.9396220999999998E-5</v>
      </c>
      <c r="V1246" s="163">
        <v>7.4144561000000003E-6</v>
      </c>
      <c r="W1246" s="163">
        <v>2.1736173000000002E-3</v>
      </c>
      <c r="X1246" s="163">
        <v>5.4049433000000002E-5</v>
      </c>
      <c r="Y1246" s="163">
        <v>0.1858968</v>
      </c>
      <c r="Z1246" s="163">
        <v>6.4373016000000001E-6</v>
      </c>
      <c r="AA1246" s="40"/>
      <c r="AV1246" s="313">
        <v>3.8863633E-3</v>
      </c>
      <c r="AW1246" s="317"/>
      <c r="AX1246" s="317"/>
      <c r="AY1246" s="313">
        <v>0.16207495</v>
      </c>
      <c r="AZ1246" s="317"/>
      <c r="BA1246" s="317"/>
      <c r="BB1246" s="317"/>
      <c r="BC1246" s="317">
        <v>1.6335085999999999E-4</v>
      </c>
      <c r="BD1246" s="317">
        <v>1.1009632E-6</v>
      </c>
      <c r="BE1246" s="317">
        <v>0.99767759</v>
      </c>
      <c r="BL1246" s="306">
        <v>0.11177052423343224</v>
      </c>
      <c r="BM1246" s="275">
        <v>3</v>
      </c>
      <c r="BN1246" s="62">
        <v>0.03</v>
      </c>
      <c r="BO1246" s="33" t="s">
        <v>631</v>
      </c>
      <c r="BP1246" s="262" t="s">
        <v>633</v>
      </c>
    </row>
    <row r="1247" spans="1:68">
      <c r="A1247" s="33" t="str">
        <f>Database_Productkaarten[[#This Row],[Product]]&amp;", "&amp;Database_Productkaarten[[#This Row],[Levensfase]]</f>
        <v>Betontegel 300x300x45, D</v>
      </c>
      <c r="B1247" s="33" t="str">
        <f>B1248</f>
        <v>Betontegel 300x300x45</v>
      </c>
      <c r="C1247" s="33" t="str">
        <f>C1248</f>
        <v>Elementenverhardingen</v>
      </c>
      <c r="D1247" s="33" t="str">
        <f>D1248</f>
        <v>Betontegel</v>
      </c>
      <c r="E1247" s="33" t="str">
        <f>E1248</f>
        <v>m2</v>
      </c>
      <c r="F1247" s="33" t="s">
        <v>89</v>
      </c>
      <c r="G1247" s="33">
        <f t="shared" ref="G1247:M1247" si="429">G1248</f>
        <v>0.3</v>
      </c>
      <c r="H1247" s="33">
        <f t="shared" si="429"/>
        <v>0.3</v>
      </c>
      <c r="I1247" s="33">
        <f t="shared" si="429"/>
        <v>4.4999999999999998E-2</v>
      </c>
      <c r="L1247" s="33">
        <f t="shared" si="429"/>
        <v>2.4</v>
      </c>
      <c r="M1247" s="45">
        <f t="shared" si="429"/>
        <v>0.1045</v>
      </c>
      <c r="N1247" s="41">
        <f>SUM(N1248:N1249)</f>
        <v>-5.3699999999999998E-2</v>
      </c>
      <c r="O1247" s="33">
        <f>O1248</f>
        <v>25</v>
      </c>
      <c r="P1247" s="163">
        <v>-2.0763710999999999E-6</v>
      </c>
      <c r="Q1247" s="163">
        <v>-2.6217441000000001E-3</v>
      </c>
      <c r="R1247" s="163">
        <v>-0.39562205</v>
      </c>
      <c r="S1247" s="163">
        <v>-3.3628013000000003E-8</v>
      </c>
      <c r="T1247" s="163">
        <v>-2.7619871E-4</v>
      </c>
      <c r="U1247" s="163">
        <v>-2.2470094E-3</v>
      </c>
      <c r="V1247" s="163">
        <v>-3.6712875999999998E-4</v>
      </c>
      <c r="W1247" s="163">
        <v>-0.15332887000000001</v>
      </c>
      <c r="X1247" s="163">
        <v>-2.2331373000000002E-3</v>
      </c>
      <c r="Y1247" s="163">
        <v>-10.653753999999999</v>
      </c>
      <c r="Z1247" s="163">
        <v>-8.6784730000000004E-4</v>
      </c>
      <c r="AA1247" s="40"/>
      <c r="AB1247" s="40"/>
      <c r="AC1247" s="40"/>
      <c r="AD1247" s="40"/>
      <c r="AE1247" s="40"/>
      <c r="AF1247" s="40"/>
      <c r="AG1247" s="40"/>
      <c r="AH1247" s="40"/>
      <c r="AI1247" s="40"/>
      <c r="AJ1247" s="40"/>
      <c r="AK1247" s="40"/>
      <c r="AL1247" s="40"/>
      <c r="AM1247" s="40"/>
      <c r="AN1247" s="40"/>
      <c r="AO1247" s="40"/>
      <c r="AP1247" s="40"/>
      <c r="AQ1247" s="40"/>
      <c r="AR1247" s="40"/>
      <c r="AS1247" s="40"/>
      <c r="AT1247" s="40"/>
      <c r="AU1247" s="40"/>
      <c r="AV1247" s="315">
        <v>-0.32192095999999998</v>
      </c>
      <c r="AW1247" s="317"/>
      <c r="AX1247" s="317"/>
      <c r="AY1247" s="313">
        <v>-5.2677275000000003</v>
      </c>
      <c r="AZ1247" s="317"/>
      <c r="BA1247" s="317"/>
      <c r="BB1247" s="317"/>
      <c r="BC1247" s="317">
        <v>-0.12625743</v>
      </c>
      <c r="BD1247" s="315">
        <v>-2.8182339E-5</v>
      </c>
      <c r="BE1247" s="315">
        <v>-5.0533966E-2</v>
      </c>
      <c r="BF1247" s="40"/>
      <c r="BG1247" s="40"/>
      <c r="BH1247" s="40"/>
      <c r="BI1247" s="40"/>
      <c r="BJ1247" s="40"/>
      <c r="BK1247" s="40"/>
      <c r="BL1247" s="306">
        <v>0.11177052423343224</v>
      </c>
      <c r="BM1247" s="275">
        <f>BM1248</f>
        <v>3</v>
      </c>
      <c r="BN1247" s="62">
        <v>0.03</v>
      </c>
      <c r="BO1247" s="33" t="str">
        <f>BO1248</f>
        <v>NMD Beontegels 300x300x45 mm grijs</v>
      </c>
      <c r="BP1247" s="262" t="s">
        <v>633</v>
      </c>
    </row>
    <row r="1248" spans="1:68">
      <c r="A1248" s="33" t="str">
        <f>Database_Productkaarten[[#This Row],[Product]]&amp;", "&amp;Database_Productkaarten[[#This Row],[Levensfase]]</f>
        <v>Betontegel 300x300x45, D1</v>
      </c>
      <c r="B1248" s="33" t="s">
        <v>235</v>
      </c>
      <c r="C1248" t="s">
        <v>55</v>
      </c>
      <c r="D1248" s="33" t="s">
        <v>630</v>
      </c>
      <c r="E1248" s="33" t="s">
        <v>385</v>
      </c>
      <c r="F1248" s="33" t="s">
        <v>87</v>
      </c>
      <c r="G1248" s="33">
        <v>0.3</v>
      </c>
      <c r="H1248" s="33">
        <v>0.3</v>
      </c>
      <c r="I1248" s="33">
        <v>4.4999999999999998E-2</v>
      </c>
      <c r="L1248" s="33">
        <v>2.4</v>
      </c>
      <c r="M1248" s="33">
        <f t="shared" si="427"/>
        <v>0.1045</v>
      </c>
      <c r="N1248" s="41">
        <v>-5.3699999999999998E-2</v>
      </c>
      <c r="O1248" s="33">
        <v>25</v>
      </c>
      <c r="P1248" s="163"/>
      <c r="Q1248" s="163"/>
      <c r="R1248" s="163"/>
      <c r="S1248" s="163"/>
      <c r="T1248" s="163"/>
      <c r="U1248" s="163"/>
      <c r="V1248" s="163"/>
      <c r="W1248" s="163"/>
      <c r="X1248" s="163"/>
      <c r="Y1248" s="163"/>
      <c r="Z1248" s="163"/>
      <c r="AV1248" s="316"/>
      <c r="AW1248" s="314"/>
      <c r="AX1248" s="314"/>
      <c r="AY1248" s="316"/>
      <c r="AZ1248" s="314"/>
      <c r="BA1248" s="314"/>
      <c r="BB1248" s="314"/>
      <c r="BC1248" s="314"/>
      <c r="BD1248" s="314"/>
      <c r="BE1248" s="314"/>
      <c r="BL1248" s="306">
        <v>0.11177052423343224</v>
      </c>
      <c r="BM1248" s="275">
        <v>3</v>
      </c>
      <c r="BN1248" s="62">
        <v>0.03</v>
      </c>
      <c r="BO1248" s="33" t="s">
        <v>631</v>
      </c>
      <c r="BP1248" s="262" t="s">
        <v>633</v>
      </c>
    </row>
    <row r="1249" spans="1:68">
      <c r="A1249" s="33" t="str">
        <f>Database_Productkaarten[[#This Row],[Product]]&amp;", "&amp;Database_Productkaarten[[#This Row],[Levensfase]]</f>
        <v>Betontegel 300x300x45, D2</v>
      </c>
      <c r="B1249" s="33" t="s">
        <v>235</v>
      </c>
      <c r="C1249" t="s">
        <v>55</v>
      </c>
      <c r="D1249" s="33" t="s">
        <v>630</v>
      </c>
      <c r="E1249" s="33" t="s">
        <v>385</v>
      </c>
      <c r="F1249" s="33" t="s">
        <v>88</v>
      </c>
      <c r="G1249" s="33">
        <v>0.3</v>
      </c>
      <c r="H1249" s="33">
        <v>0.3</v>
      </c>
      <c r="I1249" s="33">
        <v>4.4999999999999998E-2</v>
      </c>
      <c r="L1249" s="33">
        <v>2.4</v>
      </c>
      <c r="M1249" s="33">
        <f t="shared" si="427"/>
        <v>0.1045</v>
      </c>
      <c r="N1249" s="41"/>
      <c r="O1249" s="33">
        <v>25</v>
      </c>
      <c r="P1249" s="163"/>
      <c r="Q1249" s="163"/>
      <c r="R1249" s="163"/>
      <c r="S1249" s="163"/>
      <c r="T1249" s="163"/>
      <c r="U1249" s="163"/>
      <c r="V1249" s="163"/>
      <c r="W1249" s="163"/>
      <c r="X1249" s="163"/>
      <c r="Y1249" s="163"/>
      <c r="Z1249" s="163"/>
      <c r="AV1249" s="316"/>
      <c r="AW1249" s="314"/>
      <c r="AX1249" s="314"/>
      <c r="AY1249" s="316"/>
      <c r="AZ1249" s="314"/>
      <c r="BA1249" s="314"/>
      <c r="BB1249" s="314"/>
      <c r="BC1249" s="314"/>
      <c r="BD1249" s="314"/>
      <c r="BE1249" s="314"/>
      <c r="BL1249" s="306">
        <v>0.11177052423343224</v>
      </c>
      <c r="BM1249" s="275">
        <v>3</v>
      </c>
      <c r="BN1249" s="62">
        <v>0.03</v>
      </c>
      <c r="BO1249" s="33" t="s">
        <v>631</v>
      </c>
      <c r="BP1249" s="262" t="s">
        <v>633</v>
      </c>
    </row>
    <row r="1250" spans="1:68">
      <c r="A1250" s="33" t="str">
        <f>Database_Productkaarten[[#This Row],[Product]]&amp;", "&amp;Database_Productkaarten[[#This Row],[Levensfase]]</f>
        <v>Betontegel 300x300x45 (hergebruik), Totaal</v>
      </c>
      <c r="B1250" s="33" t="s">
        <v>634</v>
      </c>
      <c r="C1250" t="s">
        <v>55</v>
      </c>
      <c r="D1250" s="33" t="s">
        <v>630</v>
      </c>
      <c r="E1250" s="33" t="s">
        <v>385</v>
      </c>
      <c r="F1250" s="33" t="s">
        <v>90</v>
      </c>
      <c r="G1250" s="33">
        <v>0.3</v>
      </c>
      <c r="H1250" s="33">
        <v>0.3</v>
      </c>
      <c r="I1250" s="33">
        <v>4.4999999999999998E-2</v>
      </c>
      <c r="L1250" s="33">
        <v>2.4</v>
      </c>
      <c r="M1250" s="33">
        <f t="shared" si="427"/>
        <v>0.1045</v>
      </c>
      <c r="N1250" s="41">
        <f>SUM(N1254:N1262)</f>
        <v>0.70795000000000008</v>
      </c>
      <c r="O1250" s="33">
        <v>25</v>
      </c>
      <c r="P1250" s="163">
        <f t="shared" ref="P1250:Z1250" si="430">SUM(P1254:P1262)</f>
        <v>1.01424685054E-5</v>
      </c>
      <c r="Q1250" s="163">
        <f t="shared" si="430"/>
        <v>3.4851045202000004E-2</v>
      </c>
      <c r="R1250" s="163">
        <f t="shared" si="430"/>
        <v>5.8454904186000007</v>
      </c>
      <c r="S1250" s="163">
        <f t="shared" si="430"/>
        <v>7.9117302559999994E-7</v>
      </c>
      <c r="T1250" s="163">
        <f t="shared" si="430"/>
        <v>3.2661669581E-3</v>
      </c>
      <c r="U1250" s="163">
        <f t="shared" si="430"/>
        <v>2.5489131371E-2</v>
      </c>
      <c r="V1250" s="163">
        <f t="shared" si="430"/>
        <v>5.3142243011000002E-3</v>
      </c>
      <c r="W1250" s="163">
        <f t="shared" si="430"/>
        <v>1.7217425465999998</v>
      </c>
      <c r="X1250" s="163">
        <f t="shared" si="430"/>
        <v>4.2940450652999999E-2</v>
      </c>
      <c r="Y1250" s="163">
        <f t="shared" si="430"/>
        <v>159.01481301000001</v>
      </c>
      <c r="Z1250" s="163">
        <f t="shared" si="430"/>
        <v>8.3055069596000008E-3</v>
      </c>
      <c r="AA1250" s="40"/>
      <c r="AB1250" s="40"/>
      <c r="AC1250" s="40"/>
      <c r="AD1250" s="40"/>
      <c r="AE1250" s="40"/>
      <c r="AF1250" s="40"/>
      <c r="AG1250" s="40"/>
      <c r="AH1250" s="40"/>
      <c r="AI1250" s="40"/>
      <c r="AJ1250" s="40"/>
      <c r="AK1250" s="40"/>
      <c r="AL1250" s="40"/>
      <c r="AM1250" s="40"/>
      <c r="AN1250" s="40"/>
      <c r="AO1250" s="40"/>
      <c r="AP1250" s="40"/>
      <c r="AQ1250" s="40"/>
      <c r="AR1250" s="40"/>
      <c r="AS1250" s="40"/>
      <c r="AT1250" s="40"/>
      <c r="AU1250" s="40"/>
      <c r="AV1250" s="163">
        <f>SUM(AV1254:AV1262)</f>
        <v>2.3323780992999996</v>
      </c>
      <c r="AW1250" s="40"/>
      <c r="AX1250" s="40"/>
      <c r="AY1250" s="163">
        <f>SUM(AY1254:AY1262)</f>
        <v>77.596294350000008</v>
      </c>
      <c r="AZ1250" s="40"/>
      <c r="BA1250" s="40"/>
      <c r="BB1250" s="40"/>
      <c r="BC1250" s="163">
        <f t="shared" ref="BC1250:BE1250" si="431">SUM(BC1254:BC1262)</f>
        <v>0.14170741886000002</v>
      </c>
      <c r="BD1250" s="163">
        <f t="shared" si="431"/>
        <v>0.87681196272439998</v>
      </c>
      <c r="BE1250" s="163">
        <f t="shared" si="431"/>
        <v>4.1215909719999999</v>
      </c>
      <c r="BF1250" s="40"/>
      <c r="BG1250" s="40"/>
      <c r="BH1250" s="40"/>
      <c r="BI1250" s="40"/>
      <c r="BJ1250" s="40"/>
      <c r="BK1250" s="40"/>
      <c r="BL1250" s="62">
        <v>1</v>
      </c>
      <c r="BM1250" s="275">
        <v>3</v>
      </c>
      <c r="BN1250" s="62">
        <v>0.03</v>
      </c>
      <c r="BP1250" s="33" t="s">
        <v>602</v>
      </c>
    </row>
    <row r="1251" spans="1:68">
      <c r="A1251" s="33" t="str">
        <f>Database_Productkaarten[[#This Row],[Product]]&amp;", "&amp;Database_Productkaarten[[#This Row],[Levensfase]]</f>
        <v>Betontegel 300x300x45 (hergebruik), A1</v>
      </c>
      <c r="B1251" s="33" t="s">
        <v>634</v>
      </c>
      <c r="C1251" t="s">
        <v>55</v>
      </c>
      <c r="D1251" s="33" t="s">
        <v>630</v>
      </c>
      <c r="E1251" s="33" t="s">
        <v>385</v>
      </c>
      <c r="F1251" s="33" t="s">
        <v>74</v>
      </c>
      <c r="G1251" s="33">
        <v>0.3</v>
      </c>
      <c r="H1251" s="33">
        <v>0.3</v>
      </c>
      <c r="I1251" s="33">
        <v>4.4999999999999998E-2</v>
      </c>
      <c r="L1251" s="33">
        <v>2.4</v>
      </c>
      <c r="M1251" s="33">
        <f t="shared" si="427"/>
        <v>0.1045</v>
      </c>
      <c r="N1251" s="41">
        <v>0</v>
      </c>
      <c r="O1251" s="33">
        <v>25</v>
      </c>
      <c r="P1251" s="163">
        <v>0</v>
      </c>
      <c r="Q1251" s="163">
        <v>0</v>
      </c>
      <c r="R1251" s="163">
        <v>0</v>
      </c>
      <c r="S1251" s="163">
        <v>0</v>
      </c>
      <c r="T1251" s="163">
        <v>0</v>
      </c>
      <c r="U1251" s="163">
        <v>0</v>
      </c>
      <c r="V1251" s="163">
        <v>0</v>
      </c>
      <c r="W1251" s="163">
        <v>0</v>
      </c>
      <c r="X1251" s="163">
        <v>0</v>
      </c>
      <c r="Y1251" s="163">
        <v>0</v>
      </c>
      <c r="Z1251" s="163">
        <v>0</v>
      </c>
      <c r="AA1251" s="40"/>
      <c r="AB1251" s="40"/>
      <c r="AC1251" s="40"/>
      <c r="AD1251" s="40"/>
      <c r="AE1251" s="40"/>
      <c r="AF1251" s="40"/>
      <c r="AG1251" s="40"/>
      <c r="AH1251" s="40"/>
      <c r="AI1251" s="40"/>
      <c r="AJ1251" s="40"/>
      <c r="AK1251" s="40"/>
      <c r="AL1251" s="40"/>
      <c r="AM1251" s="40"/>
      <c r="AN1251" s="40"/>
      <c r="AO1251" s="40"/>
      <c r="AP1251" s="40"/>
      <c r="AQ1251" s="40"/>
      <c r="AR1251" s="40"/>
      <c r="AS1251" s="40"/>
      <c r="AT1251" s="40"/>
      <c r="AU1251" s="40"/>
      <c r="AV1251" s="163">
        <v>0</v>
      </c>
      <c r="AW1251" s="40"/>
      <c r="AX1251" s="40"/>
      <c r="AY1251" s="163">
        <v>0</v>
      </c>
      <c r="AZ1251" s="40"/>
      <c r="BA1251" s="40"/>
      <c r="BB1251" s="40"/>
      <c r="BC1251" s="163">
        <v>0</v>
      </c>
      <c r="BD1251" s="163">
        <v>0</v>
      </c>
      <c r="BE1251" s="163">
        <v>0</v>
      </c>
      <c r="BF1251" s="40"/>
      <c r="BG1251" s="40"/>
      <c r="BH1251" s="40"/>
      <c r="BI1251" s="40"/>
      <c r="BJ1251" s="40"/>
      <c r="BK1251" s="40"/>
      <c r="BL1251" s="62">
        <v>1</v>
      </c>
      <c r="BM1251" s="275">
        <v>3</v>
      </c>
      <c r="BN1251" s="62">
        <v>0.03</v>
      </c>
      <c r="BP1251" s="33" t="s">
        <v>602</v>
      </c>
    </row>
    <row r="1252" spans="1:68">
      <c r="A1252" s="33" t="str">
        <f>Database_Productkaarten[[#This Row],[Product]]&amp;", "&amp;Database_Productkaarten[[#This Row],[Levensfase]]</f>
        <v>Betontegel 300x300x45 (hergebruik), A2</v>
      </c>
      <c r="B1252" s="33" t="s">
        <v>634</v>
      </c>
      <c r="C1252" t="s">
        <v>55</v>
      </c>
      <c r="D1252" s="33" t="s">
        <v>630</v>
      </c>
      <c r="E1252" s="33" t="s">
        <v>385</v>
      </c>
      <c r="F1252" s="33" t="s">
        <v>75</v>
      </c>
      <c r="G1252" s="33">
        <v>0.3</v>
      </c>
      <c r="H1252" s="33">
        <v>0.3</v>
      </c>
      <c r="I1252" s="33">
        <v>4.4999999999999998E-2</v>
      </c>
      <c r="L1252" s="33">
        <v>2.4</v>
      </c>
      <c r="M1252" s="33">
        <f t="shared" si="427"/>
        <v>0.1045</v>
      </c>
      <c r="N1252" s="41">
        <v>0</v>
      </c>
      <c r="O1252" s="33">
        <v>25</v>
      </c>
      <c r="P1252" s="163">
        <v>0</v>
      </c>
      <c r="Q1252" s="163">
        <v>0</v>
      </c>
      <c r="R1252" s="163">
        <v>0</v>
      </c>
      <c r="S1252" s="163">
        <v>0</v>
      </c>
      <c r="T1252" s="163">
        <v>0</v>
      </c>
      <c r="U1252" s="163">
        <v>0</v>
      </c>
      <c r="V1252" s="163">
        <v>0</v>
      </c>
      <c r="W1252" s="163">
        <v>0</v>
      </c>
      <c r="X1252" s="163">
        <v>0</v>
      </c>
      <c r="Y1252" s="163">
        <v>0</v>
      </c>
      <c r="Z1252" s="163">
        <v>0</v>
      </c>
      <c r="AA1252" s="40"/>
      <c r="AB1252" s="40"/>
      <c r="AC1252" s="40"/>
      <c r="AD1252" s="40"/>
      <c r="AE1252" s="40"/>
      <c r="AF1252" s="40"/>
      <c r="AG1252" s="40"/>
      <c r="AH1252" s="40"/>
      <c r="AI1252" s="40"/>
      <c r="AJ1252" s="40"/>
      <c r="AK1252" s="40"/>
      <c r="AL1252" s="40"/>
      <c r="AM1252" s="40"/>
      <c r="AN1252" s="40"/>
      <c r="AO1252" s="40"/>
      <c r="AP1252" s="40"/>
      <c r="AQ1252" s="40"/>
      <c r="AR1252" s="40"/>
      <c r="AS1252" s="40"/>
      <c r="AT1252" s="40"/>
      <c r="AU1252" s="40"/>
      <c r="AV1252" s="163">
        <v>0</v>
      </c>
      <c r="AW1252" s="40"/>
      <c r="AX1252" s="40"/>
      <c r="AY1252" s="163">
        <v>0</v>
      </c>
      <c r="AZ1252" s="40"/>
      <c r="BA1252" s="40"/>
      <c r="BB1252" s="40"/>
      <c r="BC1252" s="163">
        <v>0</v>
      </c>
      <c r="BD1252" s="163">
        <v>0</v>
      </c>
      <c r="BE1252" s="163">
        <v>0</v>
      </c>
      <c r="BF1252" s="40"/>
      <c r="BG1252" s="40"/>
      <c r="BH1252" s="40"/>
      <c r="BI1252" s="40"/>
      <c r="BJ1252" s="40"/>
      <c r="BK1252" s="40"/>
      <c r="BL1252" s="62">
        <v>1</v>
      </c>
      <c r="BM1252" s="275">
        <v>3</v>
      </c>
      <c r="BN1252" s="62">
        <v>0.03</v>
      </c>
      <c r="BP1252" s="33" t="s">
        <v>602</v>
      </c>
    </row>
    <row r="1253" spans="1:68">
      <c r="A1253" s="33" t="str">
        <f>Database_Productkaarten[[#This Row],[Product]]&amp;", "&amp;Database_Productkaarten[[#This Row],[Levensfase]]</f>
        <v>Betontegel 300x300x45 (hergebruik), A3</v>
      </c>
      <c r="B1253" s="33" t="s">
        <v>634</v>
      </c>
      <c r="C1253" t="s">
        <v>55</v>
      </c>
      <c r="D1253" s="33" t="s">
        <v>630</v>
      </c>
      <c r="E1253" s="33" t="s">
        <v>385</v>
      </c>
      <c r="F1253" s="33" t="s">
        <v>76</v>
      </c>
      <c r="G1253" s="33">
        <v>0.3</v>
      </c>
      <c r="H1253" s="33">
        <v>0.3</v>
      </c>
      <c r="I1253" s="33">
        <v>4.4999999999999998E-2</v>
      </c>
      <c r="L1253" s="33">
        <v>2.4</v>
      </c>
      <c r="M1253" s="33">
        <f t="shared" si="427"/>
        <v>0.1045</v>
      </c>
      <c r="N1253" s="41">
        <v>0</v>
      </c>
      <c r="O1253" s="33">
        <v>25</v>
      </c>
      <c r="P1253" s="163">
        <v>0</v>
      </c>
      <c r="Q1253" s="163">
        <v>0</v>
      </c>
      <c r="R1253" s="163">
        <v>0</v>
      </c>
      <c r="S1253" s="163">
        <v>0</v>
      </c>
      <c r="T1253" s="163">
        <v>0</v>
      </c>
      <c r="U1253" s="163">
        <v>0</v>
      </c>
      <c r="V1253" s="163">
        <v>0</v>
      </c>
      <c r="W1253" s="163">
        <v>0</v>
      </c>
      <c r="X1253" s="163">
        <v>0</v>
      </c>
      <c r="Y1253" s="163">
        <v>0</v>
      </c>
      <c r="Z1253" s="163">
        <v>0</v>
      </c>
      <c r="AA1253" s="40"/>
      <c r="AB1253" s="40"/>
      <c r="AC1253" s="40"/>
      <c r="AD1253" s="40"/>
      <c r="AE1253" s="40"/>
      <c r="AF1253" s="40"/>
      <c r="AG1253" s="40"/>
      <c r="AH1253" s="40"/>
      <c r="AI1253" s="40"/>
      <c r="AJ1253" s="40"/>
      <c r="AK1253" s="40"/>
      <c r="AL1253" s="40"/>
      <c r="AM1253" s="40"/>
      <c r="AN1253" s="40"/>
      <c r="AO1253" s="40"/>
      <c r="AP1253" s="40"/>
      <c r="AQ1253" s="40"/>
      <c r="AR1253" s="40"/>
      <c r="AS1253" s="40"/>
      <c r="AT1253" s="40"/>
      <c r="AU1253" s="40"/>
      <c r="AV1253" s="163">
        <v>0</v>
      </c>
      <c r="AW1253" s="40"/>
      <c r="AX1253" s="40"/>
      <c r="AY1253" s="163">
        <v>0</v>
      </c>
      <c r="AZ1253" s="40"/>
      <c r="BA1253" s="40"/>
      <c r="BB1253" s="40"/>
      <c r="BC1253" s="163">
        <v>0</v>
      </c>
      <c r="BD1253" s="163">
        <v>0</v>
      </c>
      <c r="BE1253" s="163">
        <v>0</v>
      </c>
      <c r="BF1253" s="40"/>
      <c r="BG1253" s="40"/>
      <c r="BH1253" s="40"/>
      <c r="BI1253" s="40"/>
      <c r="BJ1253" s="40"/>
      <c r="BK1253" s="40"/>
      <c r="BL1253" s="62">
        <v>1</v>
      </c>
      <c r="BM1253" s="275">
        <v>3</v>
      </c>
      <c r="BN1253" s="62">
        <v>0.03</v>
      </c>
      <c r="BP1253" s="33" t="s">
        <v>602</v>
      </c>
    </row>
    <row r="1254" spans="1:68">
      <c r="A1254" s="33" t="str">
        <f>Database_Productkaarten[[#This Row],[Product]]&amp;", "&amp;Database_Productkaarten[[#This Row],[Levensfase]]</f>
        <v>Betontegel 300x300x45 (hergebruik), A1-A3</v>
      </c>
      <c r="B1254" s="33" t="s">
        <v>634</v>
      </c>
      <c r="C1254" t="s">
        <v>55</v>
      </c>
      <c r="D1254" s="33" t="s">
        <v>630</v>
      </c>
      <c r="E1254" s="33" t="s">
        <v>385</v>
      </c>
      <c r="F1254" s="33" t="s">
        <v>77</v>
      </c>
      <c r="G1254" s="33">
        <v>0.3</v>
      </c>
      <c r="H1254" s="33">
        <v>0.3</v>
      </c>
      <c r="I1254" s="33">
        <v>4.4999999999999998E-2</v>
      </c>
      <c r="L1254" s="33">
        <v>2.4</v>
      </c>
      <c r="M1254" s="33">
        <f t="shared" si="427"/>
        <v>0.1045</v>
      </c>
      <c r="N1254" s="41">
        <v>0</v>
      </c>
      <c r="O1254" s="33">
        <v>25</v>
      </c>
      <c r="P1254" s="163">
        <v>0</v>
      </c>
      <c r="Q1254" s="163">
        <v>0</v>
      </c>
      <c r="R1254" s="163">
        <v>0</v>
      </c>
      <c r="S1254" s="163">
        <v>0</v>
      </c>
      <c r="T1254" s="163">
        <v>0</v>
      </c>
      <c r="U1254" s="163">
        <v>0</v>
      </c>
      <c r="V1254" s="163">
        <v>0</v>
      </c>
      <c r="W1254" s="163">
        <v>0</v>
      </c>
      <c r="X1254" s="163">
        <v>0</v>
      </c>
      <c r="Y1254" s="163">
        <v>0</v>
      </c>
      <c r="Z1254" s="163">
        <v>0</v>
      </c>
      <c r="AA1254" s="40"/>
      <c r="AB1254" s="40"/>
      <c r="AC1254" s="40"/>
      <c r="AD1254" s="40"/>
      <c r="AE1254" s="40"/>
      <c r="AF1254" s="40"/>
      <c r="AG1254" s="40"/>
      <c r="AH1254" s="40"/>
      <c r="AI1254" s="40"/>
      <c r="AJ1254" s="40"/>
      <c r="AK1254" s="40"/>
      <c r="AL1254" s="40"/>
      <c r="AM1254" s="40"/>
      <c r="AN1254" s="40"/>
      <c r="AO1254" s="40"/>
      <c r="AP1254" s="40"/>
      <c r="AQ1254" s="40"/>
      <c r="AR1254" s="40"/>
      <c r="AS1254" s="40"/>
      <c r="AT1254" s="40"/>
      <c r="AU1254" s="40"/>
      <c r="AV1254" s="163">
        <v>0</v>
      </c>
      <c r="AW1254" s="40"/>
      <c r="AX1254" s="40"/>
      <c r="AY1254" s="163">
        <v>0</v>
      </c>
      <c r="AZ1254" s="40"/>
      <c r="BA1254" s="40"/>
      <c r="BB1254" s="40"/>
      <c r="BC1254" s="163">
        <v>0</v>
      </c>
      <c r="BD1254" s="163">
        <v>0</v>
      </c>
      <c r="BE1254" s="163">
        <v>0</v>
      </c>
      <c r="BF1254" s="40"/>
      <c r="BG1254" s="40"/>
      <c r="BH1254" s="40"/>
      <c r="BI1254" s="40"/>
      <c r="BJ1254" s="40"/>
      <c r="BK1254" s="40"/>
      <c r="BL1254" s="62">
        <v>1</v>
      </c>
      <c r="BM1254" s="275">
        <v>3</v>
      </c>
      <c r="BN1254" s="62">
        <v>0.03</v>
      </c>
      <c r="BP1254" s="33" t="s">
        <v>602</v>
      </c>
    </row>
    <row r="1255" spans="1:68">
      <c r="A1255" s="33" t="str">
        <f>Database_Productkaarten[[#This Row],[Product]]&amp;", "&amp;Database_Productkaarten[[#This Row],[Levensfase]]</f>
        <v>Betontegel 300x300x45 (hergebruik), A4</v>
      </c>
      <c r="B1255" s="33" t="s">
        <v>634</v>
      </c>
      <c r="C1255" t="s">
        <v>55</v>
      </c>
      <c r="D1255" s="33" t="s">
        <v>630</v>
      </c>
      <c r="E1255" s="33" t="s">
        <v>385</v>
      </c>
      <c r="F1255" s="33" t="s">
        <v>78</v>
      </c>
      <c r="G1255" s="33">
        <v>0.3</v>
      </c>
      <c r="H1255" s="33">
        <v>0.3</v>
      </c>
      <c r="I1255" s="33">
        <v>4.4999999999999998E-2</v>
      </c>
      <c r="L1255" s="33">
        <v>2.4</v>
      </c>
      <c r="M1255" s="33">
        <f t="shared" si="427"/>
        <v>0.1045</v>
      </c>
      <c r="N1255" s="41">
        <f>N1240</f>
        <v>0.2359</v>
      </c>
      <c r="O1255" s="33">
        <v>25</v>
      </c>
      <c r="P1255" s="163">
        <f t="shared" ref="P1255:Z1255" si="432">P1240</f>
        <v>5.6063934E-6</v>
      </c>
      <c r="Q1255" s="163">
        <f t="shared" si="432"/>
        <v>1.4551586E-2</v>
      </c>
      <c r="R1255" s="163">
        <f t="shared" si="432"/>
        <v>1.9714224</v>
      </c>
      <c r="S1255" s="163">
        <f t="shared" si="432"/>
        <v>3.6329424999999998E-7</v>
      </c>
      <c r="T1255" s="163">
        <f t="shared" si="432"/>
        <v>1.1635962999999999E-3</v>
      </c>
      <c r="U1255" s="163">
        <f t="shared" si="432"/>
        <v>8.5469667000000003E-3</v>
      </c>
      <c r="V1255" s="163">
        <f t="shared" si="432"/>
        <v>1.7031783E-3</v>
      </c>
      <c r="W1255" s="163">
        <f t="shared" si="432"/>
        <v>0.78872304999999998</v>
      </c>
      <c r="X1255" s="163">
        <f t="shared" si="432"/>
        <v>2.3132185E-2</v>
      </c>
      <c r="Y1255" s="163">
        <f t="shared" si="432"/>
        <v>83.490914000000004</v>
      </c>
      <c r="Z1255" s="163">
        <f t="shared" si="432"/>
        <v>2.7945469000000001E-3</v>
      </c>
      <c r="AA1255" s="40"/>
      <c r="AB1255" s="40"/>
      <c r="AC1255" s="40"/>
      <c r="AD1255" s="40"/>
      <c r="AE1255" s="40"/>
      <c r="AF1255" s="40"/>
      <c r="AG1255" s="40"/>
      <c r="AH1255" s="40"/>
      <c r="AI1255" s="40"/>
      <c r="AJ1255" s="40"/>
      <c r="AK1255" s="40"/>
      <c r="AL1255" s="40"/>
      <c r="AM1255" s="40"/>
      <c r="AN1255" s="40"/>
      <c r="AO1255" s="40"/>
      <c r="AP1255" s="40"/>
      <c r="AQ1255" s="40"/>
      <c r="AR1255" s="40"/>
      <c r="AS1255" s="40"/>
      <c r="AT1255" s="40"/>
      <c r="AU1255" s="40"/>
      <c r="AV1255" s="163">
        <f>AV1240</f>
        <v>0.41515342</v>
      </c>
      <c r="AW1255" s="40"/>
      <c r="AX1255" s="40"/>
      <c r="AY1255" s="163">
        <f>AY1240</f>
        <v>32.440016</v>
      </c>
      <c r="AZ1255" s="40"/>
      <c r="BA1255" s="40"/>
      <c r="BB1255" s="40"/>
      <c r="BC1255" s="163">
        <f t="shared" ref="BC1255:BE1255" si="433">BC1240</f>
        <v>5.8342558000000003E-3</v>
      </c>
      <c r="BD1255" s="163">
        <f t="shared" si="433"/>
        <v>2.2403947000000001E-4</v>
      </c>
      <c r="BE1255" s="163">
        <f t="shared" si="433"/>
        <v>1.8646765999999999</v>
      </c>
      <c r="BF1255" s="40"/>
      <c r="BG1255" s="40"/>
      <c r="BH1255" s="40"/>
      <c r="BI1255" s="40"/>
      <c r="BJ1255" s="40"/>
      <c r="BK1255" s="40"/>
      <c r="BL1255" s="62">
        <v>1</v>
      </c>
      <c r="BM1255" s="275">
        <v>3</v>
      </c>
      <c r="BN1255" s="62">
        <v>0.03</v>
      </c>
      <c r="BP1255" s="33" t="s">
        <v>602</v>
      </c>
    </row>
    <row r="1256" spans="1:68">
      <c r="A1256" s="33" t="str">
        <f>Database_Productkaarten[[#This Row],[Product]]&amp;", "&amp;Database_Productkaarten[[#This Row],[Levensfase]]</f>
        <v>Betontegel 300x300x45 (hergebruik), A5</v>
      </c>
      <c r="B1256" s="33" t="s">
        <v>634</v>
      </c>
      <c r="C1256" t="s">
        <v>55</v>
      </c>
      <c r="D1256" s="33" t="s">
        <v>630</v>
      </c>
      <c r="E1256" s="33" t="s">
        <v>385</v>
      </c>
      <c r="F1256" s="33" t="s">
        <v>79</v>
      </c>
      <c r="G1256" s="33">
        <v>0.3</v>
      </c>
      <c r="H1256" s="33">
        <v>0.3</v>
      </c>
      <c r="I1256" s="33">
        <v>4.4999999999999998E-2</v>
      </c>
      <c r="L1256" s="33">
        <v>2.4</v>
      </c>
      <c r="M1256" s="33">
        <f t="shared" si="427"/>
        <v>0.1045</v>
      </c>
      <c r="N1256" s="41">
        <f t="shared" ref="N1256:N1261" si="434">N1241</f>
        <v>0.11370000000000001</v>
      </c>
      <c r="O1256" s="33">
        <v>25</v>
      </c>
      <c r="P1256" s="163">
        <f t="shared" ref="P1256:Z1256" si="435">P1241</f>
        <v>8.7043377999999999E-7</v>
      </c>
      <c r="Q1256" s="163">
        <f t="shared" si="435"/>
        <v>5.9532125E-3</v>
      </c>
      <c r="R1256" s="163">
        <f t="shared" si="435"/>
        <v>1.0883122999999999</v>
      </c>
      <c r="S1256" s="163">
        <f t="shared" si="435"/>
        <v>1.3529959E-7</v>
      </c>
      <c r="T1256" s="163">
        <f t="shared" si="435"/>
        <v>7.3423908999999999E-4</v>
      </c>
      <c r="U1256" s="163">
        <f t="shared" si="435"/>
        <v>5.7748970999999998E-3</v>
      </c>
      <c r="V1256" s="163">
        <f t="shared" si="435"/>
        <v>1.2608572000000001E-3</v>
      </c>
      <c r="W1256" s="163">
        <f t="shared" si="435"/>
        <v>0.28420947000000002</v>
      </c>
      <c r="X1256" s="163">
        <f t="shared" si="435"/>
        <v>4.9439706999999996E-3</v>
      </c>
      <c r="Y1256" s="163">
        <f t="shared" si="435"/>
        <v>18.400765</v>
      </c>
      <c r="Z1256" s="163">
        <f t="shared" si="435"/>
        <v>1.2325490999999999E-3</v>
      </c>
      <c r="AA1256" s="40"/>
      <c r="AB1256" s="40"/>
      <c r="AC1256" s="40"/>
      <c r="AD1256" s="40"/>
      <c r="AE1256" s="40"/>
      <c r="AF1256" s="40"/>
      <c r="AG1256" s="40"/>
      <c r="AH1256" s="40"/>
      <c r="AI1256" s="40"/>
      <c r="AJ1256" s="40"/>
      <c r="AK1256" s="40"/>
      <c r="AL1256" s="40"/>
      <c r="AM1256" s="40"/>
      <c r="AN1256" s="40"/>
      <c r="AO1256" s="40"/>
      <c r="AP1256" s="40"/>
      <c r="AQ1256" s="40"/>
      <c r="AR1256" s="40"/>
      <c r="AS1256" s="40"/>
      <c r="AT1256" s="40"/>
      <c r="AU1256" s="40"/>
      <c r="AV1256" s="163">
        <f t="shared" ref="AV1256:AV1261" si="436">AV1241</f>
        <v>0.42233153000000001</v>
      </c>
      <c r="AW1256" s="40"/>
      <c r="AX1256" s="40"/>
      <c r="AY1256" s="163">
        <f t="shared" ref="AY1256:AY1261" si="437">AY1241</f>
        <v>13.313103999999999</v>
      </c>
      <c r="AZ1256" s="40"/>
      <c r="BA1256" s="40"/>
      <c r="BB1256" s="40"/>
      <c r="BC1256" s="163">
        <f t="shared" ref="BC1256:BE1256" si="438">BC1241</f>
        <v>3.1378273999999998E-2</v>
      </c>
      <c r="BD1256" s="163">
        <f t="shared" si="438"/>
        <v>0.20231015999999999</v>
      </c>
      <c r="BE1256" s="163">
        <f t="shared" si="438"/>
        <v>0.19190204999999999</v>
      </c>
      <c r="BF1256" s="40"/>
      <c r="BG1256" s="40"/>
      <c r="BH1256" s="40"/>
      <c r="BI1256" s="40"/>
      <c r="BJ1256" s="40"/>
      <c r="BK1256" s="40"/>
      <c r="BL1256" s="62">
        <v>1</v>
      </c>
      <c r="BM1256" s="275">
        <v>3</v>
      </c>
      <c r="BN1256" s="62">
        <v>0.03</v>
      </c>
      <c r="BP1256" s="33" t="s">
        <v>602</v>
      </c>
    </row>
    <row r="1257" spans="1:68">
      <c r="A1257" s="33" t="str">
        <f>Database_Productkaarten[[#This Row],[Product]]&amp;", "&amp;Database_Productkaarten[[#This Row],[Levensfase]]</f>
        <v>Betontegel 300x300x45 (hergebruik), B1</v>
      </c>
      <c r="B1257" s="33" t="s">
        <v>634</v>
      </c>
      <c r="C1257" t="s">
        <v>55</v>
      </c>
      <c r="D1257" s="33" t="s">
        <v>630</v>
      </c>
      <c r="E1257" s="33" t="s">
        <v>385</v>
      </c>
      <c r="F1257" s="33" t="s">
        <v>80</v>
      </c>
      <c r="G1257" s="33">
        <v>0.3</v>
      </c>
      <c r="H1257" s="33">
        <v>0.3</v>
      </c>
      <c r="I1257" s="33">
        <v>4.4999999999999998E-2</v>
      </c>
      <c r="L1257" s="33">
        <v>2.4</v>
      </c>
      <c r="M1257" s="33">
        <f t="shared" si="427"/>
        <v>0.1045</v>
      </c>
      <c r="N1257" s="41">
        <f t="shared" si="434"/>
        <v>0</v>
      </c>
      <c r="O1257" s="33">
        <v>25</v>
      </c>
      <c r="P1257" s="163">
        <f t="shared" ref="P1257:Z1257" si="439">P1242</f>
        <v>0</v>
      </c>
      <c r="Q1257" s="163">
        <f t="shared" si="439"/>
        <v>0</v>
      </c>
      <c r="R1257" s="163">
        <f t="shared" si="439"/>
        <v>0</v>
      </c>
      <c r="S1257" s="163">
        <f t="shared" si="439"/>
        <v>0</v>
      </c>
      <c r="T1257" s="163">
        <f t="shared" si="439"/>
        <v>0</v>
      </c>
      <c r="U1257" s="163">
        <f t="shared" si="439"/>
        <v>0</v>
      </c>
      <c r="V1257" s="163">
        <f t="shared" si="439"/>
        <v>0</v>
      </c>
      <c r="W1257" s="163">
        <f t="shared" si="439"/>
        <v>0</v>
      </c>
      <c r="X1257" s="163">
        <f t="shared" si="439"/>
        <v>0</v>
      </c>
      <c r="Y1257" s="163">
        <f t="shared" si="439"/>
        <v>0</v>
      </c>
      <c r="Z1257" s="163">
        <f t="shared" si="439"/>
        <v>0</v>
      </c>
      <c r="AA1257" s="40"/>
      <c r="AB1257" s="40"/>
      <c r="AC1257" s="40"/>
      <c r="AD1257" s="40"/>
      <c r="AE1257" s="40"/>
      <c r="AF1257" s="40"/>
      <c r="AG1257" s="40"/>
      <c r="AH1257" s="40"/>
      <c r="AI1257" s="40"/>
      <c r="AJ1257" s="40"/>
      <c r="AK1257" s="40"/>
      <c r="AL1257" s="40"/>
      <c r="AM1257" s="40"/>
      <c r="AN1257" s="40"/>
      <c r="AO1257" s="40"/>
      <c r="AP1257" s="40"/>
      <c r="AQ1257" s="40"/>
      <c r="AR1257" s="40"/>
      <c r="AS1257" s="40"/>
      <c r="AT1257" s="40"/>
      <c r="AU1257" s="40"/>
      <c r="AV1257" s="163">
        <f t="shared" si="436"/>
        <v>0</v>
      </c>
      <c r="AW1257" s="40"/>
      <c r="AX1257" s="40"/>
      <c r="AY1257" s="163">
        <f t="shared" si="437"/>
        <v>0</v>
      </c>
      <c r="AZ1257" s="40"/>
      <c r="BA1257" s="40"/>
      <c r="BB1257" s="40"/>
      <c r="BC1257" s="163">
        <f t="shared" ref="BC1257:BE1257" si="440">BC1242</f>
        <v>0</v>
      </c>
      <c r="BD1257" s="163">
        <f t="shared" si="440"/>
        <v>0</v>
      </c>
      <c r="BE1257" s="163">
        <f t="shared" si="440"/>
        <v>0</v>
      </c>
      <c r="BF1257" s="40"/>
      <c r="BG1257" s="40"/>
      <c r="BH1257" s="40"/>
      <c r="BI1257" s="40"/>
      <c r="BJ1257" s="40"/>
      <c r="BK1257" s="40"/>
      <c r="BL1257" s="62">
        <v>1</v>
      </c>
      <c r="BM1257" s="275">
        <v>3</v>
      </c>
      <c r="BN1257" s="62">
        <v>0.03</v>
      </c>
      <c r="BP1257" s="33" t="s">
        <v>602</v>
      </c>
    </row>
    <row r="1258" spans="1:68">
      <c r="A1258" s="33" t="str">
        <f>Database_Productkaarten[[#This Row],[Product]]&amp;", "&amp;Database_Productkaarten[[#This Row],[Levensfase]]</f>
        <v>Betontegel 300x300x45 (hergebruik), C1</v>
      </c>
      <c r="B1258" s="33" t="s">
        <v>634</v>
      </c>
      <c r="C1258" t="s">
        <v>55</v>
      </c>
      <c r="D1258" s="33" t="s">
        <v>630</v>
      </c>
      <c r="E1258" s="33" t="s">
        <v>385</v>
      </c>
      <c r="F1258" s="33" t="s">
        <v>83</v>
      </c>
      <c r="G1258" s="33">
        <v>0.3</v>
      </c>
      <c r="H1258" s="33">
        <v>0.3</v>
      </c>
      <c r="I1258" s="33">
        <v>4.4999999999999998E-2</v>
      </c>
      <c r="L1258" s="33">
        <v>2.4</v>
      </c>
      <c r="M1258" s="33">
        <f t="shared" si="427"/>
        <v>0.1045</v>
      </c>
      <c r="N1258" s="41">
        <f t="shared" si="434"/>
        <v>7.8700000000000006E-2</v>
      </c>
      <c r="O1258" s="33">
        <v>25</v>
      </c>
      <c r="P1258" s="163">
        <f t="shared" ref="P1258:Z1258" si="441">P1243</f>
        <v>1.9924427999999999E-7</v>
      </c>
      <c r="Q1258" s="163">
        <f t="shared" si="441"/>
        <v>4.1050855000000002E-3</v>
      </c>
      <c r="R1258" s="163">
        <f t="shared" si="441"/>
        <v>0.59497279999999997</v>
      </c>
      <c r="S1258" s="163">
        <f t="shared" si="441"/>
        <v>1.0716769E-7</v>
      </c>
      <c r="T1258" s="163">
        <f t="shared" si="441"/>
        <v>5.9971757000000004E-4</v>
      </c>
      <c r="U1258" s="163">
        <f t="shared" si="441"/>
        <v>4.5018584999999998E-3</v>
      </c>
      <c r="V1258" s="163">
        <f t="shared" si="441"/>
        <v>1.0080613000000001E-3</v>
      </c>
      <c r="W1258" s="163">
        <f t="shared" si="441"/>
        <v>0.21061642999999999</v>
      </c>
      <c r="X1258" s="163">
        <f t="shared" si="441"/>
        <v>2.9454494999999999E-3</v>
      </c>
      <c r="Y1258" s="163">
        <f t="shared" si="441"/>
        <v>9.9845778999999997</v>
      </c>
      <c r="Z1258" s="163">
        <f t="shared" si="441"/>
        <v>3.5193415999999999E-4</v>
      </c>
      <c r="AA1258" s="40"/>
      <c r="AB1258" s="40"/>
      <c r="AC1258" s="40"/>
      <c r="AD1258" s="40"/>
      <c r="AE1258" s="40"/>
      <c r="AF1258" s="40"/>
      <c r="AG1258" s="40"/>
      <c r="AH1258" s="40"/>
      <c r="AI1258" s="40"/>
      <c r="AJ1258" s="40"/>
      <c r="AK1258" s="40"/>
      <c r="AL1258" s="40"/>
      <c r="AM1258" s="40"/>
      <c r="AN1258" s="40"/>
      <c r="AO1258" s="40"/>
      <c r="AP1258" s="40"/>
      <c r="AQ1258" s="40"/>
      <c r="AR1258" s="40"/>
      <c r="AS1258" s="40"/>
      <c r="AT1258" s="40"/>
      <c r="AU1258" s="40"/>
      <c r="AV1258" s="163">
        <f t="shared" si="436"/>
        <v>4.9442172999999999E-2</v>
      </c>
      <c r="AW1258" s="40"/>
      <c r="AX1258" s="40"/>
      <c r="AY1258" s="163">
        <f t="shared" si="437"/>
        <v>9.2085135000000005</v>
      </c>
      <c r="AZ1258" s="40"/>
      <c r="BA1258" s="40"/>
      <c r="BB1258" s="40"/>
      <c r="BC1258" s="163">
        <f t="shared" ref="BC1258:BE1258" si="442">BC1243</f>
        <v>7.5919631999999998E-4</v>
      </c>
      <c r="BD1258" s="163">
        <f t="shared" si="442"/>
        <v>6.3751571999999998E-5</v>
      </c>
      <c r="BE1258" s="163">
        <f t="shared" si="442"/>
        <v>9.3962368000000008E-3</v>
      </c>
      <c r="BF1258" s="40"/>
      <c r="BG1258" s="40"/>
      <c r="BH1258" s="40"/>
      <c r="BI1258" s="40"/>
      <c r="BJ1258" s="40"/>
      <c r="BK1258" s="40"/>
      <c r="BL1258" s="62">
        <v>1</v>
      </c>
      <c r="BM1258" s="275">
        <v>3</v>
      </c>
      <c r="BN1258" s="62">
        <v>0.03</v>
      </c>
      <c r="BP1258" s="33" t="s">
        <v>602</v>
      </c>
    </row>
    <row r="1259" spans="1:68">
      <c r="A1259" s="33" t="str">
        <f>Database_Productkaarten[[#This Row],[Product]]&amp;", "&amp;Database_Productkaarten[[#This Row],[Levensfase]]</f>
        <v>Betontegel 300x300x45 (hergebruik), C2</v>
      </c>
      <c r="B1259" s="33" t="s">
        <v>634</v>
      </c>
      <c r="C1259" t="s">
        <v>55</v>
      </c>
      <c r="D1259" s="33" t="s">
        <v>630</v>
      </c>
      <c r="E1259" s="33" t="s">
        <v>385</v>
      </c>
      <c r="F1259" s="33" t="s">
        <v>84</v>
      </c>
      <c r="G1259" s="33">
        <v>0.3</v>
      </c>
      <c r="H1259" s="33">
        <v>0.3</v>
      </c>
      <c r="I1259" s="33">
        <v>4.4999999999999998E-2</v>
      </c>
      <c r="L1259" s="33">
        <v>2.4</v>
      </c>
      <c r="M1259" s="33">
        <f t="shared" si="427"/>
        <v>0.1045</v>
      </c>
      <c r="N1259" s="41">
        <f t="shared" si="434"/>
        <v>7.9399999999999998E-2</v>
      </c>
      <c r="O1259" s="33">
        <v>25</v>
      </c>
      <c r="P1259" s="163">
        <f t="shared" ref="P1259:Z1259" si="443">P1244</f>
        <v>1.8874858000000001E-6</v>
      </c>
      <c r="Q1259" s="163">
        <f t="shared" si="443"/>
        <v>4.8990339000000004E-3</v>
      </c>
      <c r="R1259" s="163">
        <f t="shared" si="443"/>
        <v>0.66371221999999996</v>
      </c>
      <c r="S1259" s="163">
        <f t="shared" si="443"/>
        <v>1.2230905999999999E-7</v>
      </c>
      <c r="T1259" s="163">
        <f t="shared" si="443"/>
        <v>3.9174407999999997E-4</v>
      </c>
      <c r="U1259" s="163">
        <f t="shared" si="443"/>
        <v>2.8774788E-3</v>
      </c>
      <c r="V1259" s="163">
        <f t="shared" si="443"/>
        <v>5.7340335999999997E-4</v>
      </c>
      <c r="W1259" s="163">
        <f t="shared" si="443"/>
        <v>0.26553675999999998</v>
      </c>
      <c r="X1259" s="163">
        <f t="shared" si="443"/>
        <v>7.7878358000000002E-3</v>
      </c>
      <c r="Y1259" s="163">
        <f t="shared" si="443"/>
        <v>28.108608</v>
      </c>
      <c r="Z1259" s="163">
        <f t="shared" si="443"/>
        <v>9.4083077999999995E-4</v>
      </c>
      <c r="AA1259" s="40"/>
      <c r="AB1259" s="40"/>
      <c r="AC1259" s="40"/>
      <c r="AD1259" s="40"/>
      <c r="AE1259" s="40"/>
      <c r="AF1259" s="40"/>
      <c r="AG1259" s="40"/>
      <c r="AH1259" s="40"/>
      <c r="AI1259" s="40"/>
      <c r="AJ1259" s="40"/>
      <c r="AK1259" s="40"/>
      <c r="AL1259" s="40"/>
      <c r="AM1259" s="40"/>
      <c r="AN1259" s="40"/>
      <c r="AO1259" s="40"/>
      <c r="AP1259" s="40"/>
      <c r="AQ1259" s="40"/>
      <c r="AR1259" s="40"/>
      <c r="AS1259" s="40"/>
      <c r="AT1259" s="40"/>
      <c r="AU1259" s="40"/>
      <c r="AV1259" s="163">
        <f t="shared" si="436"/>
        <v>0.13976832</v>
      </c>
      <c r="AW1259" s="40"/>
      <c r="AX1259" s="40"/>
      <c r="AY1259" s="163">
        <f t="shared" si="437"/>
        <v>10.921472</v>
      </c>
      <c r="AZ1259" s="40"/>
      <c r="BA1259" s="40"/>
      <c r="BB1259" s="40"/>
      <c r="BC1259" s="163">
        <f t="shared" ref="BC1259:BE1259" si="444">BC1244</f>
        <v>1.9641995E-3</v>
      </c>
      <c r="BD1259" s="163">
        <f t="shared" si="444"/>
        <v>7.5426622999999997E-5</v>
      </c>
      <c r="BE1259" s="163">
        <f t="shared" si="444"/>
        <v>0.62777446999999997</v>
      </c>
      <c r="BF1259" s="40"/>
      <c r="BG1259" s="40"/>
      <c r="BH1259" s="40"/>
      <c r="BI1259" s="40"/>
      <c r="BJ1259" s="40"/>
      <c r="BK1259" s="40"/>
      <c r="BL1259" s="62">
        <v>1</v>
      </c>
      <c r="BM1259" s="275">
        <v>3</v>
      </c>
      <c r="BN1259" s="62">
        <v>0.03</v>
      </c>
      <c r="BP1259" s="33" t="s">
        <v>602</v>
      </c>
    </row>
    <row r="1260" spans="1:68">
      <c r="A1260" s="33" t="str">
        <f>Database_Productkaarten[[#This Row],[Product]]&amp;", "&amp;Database_Productkaarten[[#This Row],[Levensfase]]</f>
        <v>Betontegel 300x300x45 (hergebruik), C3</v>
      </c>
      <c r="B1260" s="33" t="s">
        <v>634</v>
      </c>
      <c r="C1260" t="s">
        <v>55</v>
      </c>
      <c r="D1260" s="33" t="s">
        <v>630</v>
      </c>
      <c r="E1260" s="33" t="s">
        <v>385</v>
      </c>
      <c r="F1260" s="33" t="s">
        <v>85</v>
      </c>
      <c r="G1260" s="33">
        <v>0.3</v>
      </c>
      <c r="H1260" s="33">
        <v>0.3</v>
      </c>
      <c r="I1260" s="33">
        <v>4.4999999999999998E-2</v>
      </c>
      <c r="L1260" s="33">
        <v>2.4</v>
      </c>
      <c r="M1260" s="33">
        <f t="shared" si="427"/>
        <v>0.1045</v>
      </c>
      <c r="N1260" s="41">
        <f t="shared" si="434"/>
        <v>2.8799999999999999E-2</v>
      </c>
      <c r="O1260" s="33">
        <v>25</v>
      </c>
      <c r="P1260" s="163">
        <f t="shared" ref="P1260:Z1260" si="445">P1245</f>
        <v>9.5703113999999997E-8</v>
      </c>
      <c r="Q1260" s="163">
        <f t="shared" si="445"/>
        <v>1.1874686000000001E-3</v>
      </c>
      <c r="R1260" s="163">
        <f t="shared" si="445"/>
        <v>0.15761563000000001</v>
      </c>
      <c r="S1260" s="163">
        <f t="shared" si="445"/>
        <v>1.8308951E-8</v>
      </c>
      <c r="T1260" s="163">
        <f t="shared" si="445"/>
        <v>8.8309993999999997E-5</v>
      </c>
      <c r="U1260" s="163">
        <f t="shared" si="445"/>
        <v>7.2821758000000004E-4</v>
      </c>
      <c r="V1260" s="163">
        <f t="shared" si="445"/>
        <v>1.6421982000000001E-4</v>
      </c>
      <c r="W1260" s="163">
        <f t="shared" si="445"/>
        <v>3.4481987999999998E-2</v>
      </c>
      <c r="X1260" s="163">
        <f t="shared" si="445"/>
        <v>5.7559451000000004E-4</v>
      </c>
      <c r="Y1260" s="163">
        <f t="shared" si="445"/>
        <v>2.2080286999999998</v>
      </c>
      <c r="Z1260" s="163">
        <f t="shared" si="445"/>
        <v>4.6516739999999997E-4</v>
      </c>
      <c r="AA1260" s="40"/>
      <c r="AB1260" s="40"/>
      <c r="AC1260" s="40"/>
      <c r="AD1260" s="40"/>
      <c r="AE1260" s="40"/>
      <c r="AF1260" s="40"/>
      <c r="AG1260" s="40"/>
      <c r="AH1260" s="40"/>
      <c r="AI1260" s="40"/>
      <c r="AJ1260" s="40"/>
      <c r="AK1260" s="40"/>
      <c r="AL1260" s="40"/>
      <c r="AM1260" s="40"/>
      <c r="AN1260" s="40"/>
      <c r="AO1260" s="40"/>
      <c r="AP1260" s="40"/>
      <c r="AQ1260" s="40"/>
      <c r="AR1260" s="40"/>
      <c r="AS1260" s="40"/>
      <c r="AT1260" s="40"/>
      <c r="AU1260" s="40"/>
      <c r="AV1260" s="163">
        <f t="shared" si="436"/>
        <v>0.12789027</v>
      </c>
      <c r="AW1260" s="40"/>
      <c r="AX1260" s="40"/>
      <c r="AY1260" s="163">
        <f t="shared" si="437"/>
        <v>2.4863423</v>
      </c>
      <c r="AZ1260" s="40"/>
      <c r="BA1260" s="40"/>
      <c r="BB1260" s="40"/>
      <c r="BC1260" s="163">
        <f t="shared" ref="BC1260:BE1260" si="446">BC1245</f>
        <v>3.9673973999999998E-4</v>
      </c>
      <c r="BD1260" s="163">
        <f t="shared" si="446"/>
        <v>1.4403218000000001E-5</v>
      </c>
      <c r="BE1260" s="163">
        <f t="shared" si="446"/>
        <v>0.30065772000000002</v>
      </c>
      <c r="BF1260" s="40"/>
      <c r="BG1260" s="40"/>
      <c r="BH1260" s="40"/>
      <c r="BI1260" s="40"/>
      <c r="BJ1260" s="40"/>
      <c r="BK1260" s="40"/>
      <c r="BL1260" s="62">
        <v>1</v>
      </c>
      <c r="BM1260" s="275">
        <v>3</v>
      </c>
      <c r="BN1260" s="62">
        <v>0.03</v>
      </c>
      <c r="BP1260" s="33" t="s">
        <v>602</v>
      </c>
    </row>
    <row r="1261" spans="1:68">
      <c r="A1261" s="33" t="str">
        <f>Database_Productkaarten[[#This Row],[Product]]&amp;", "&amp;Database_Productkaarten[[#This Row],[Levensfase]]</f>
        <v>Betontegel 300x300x45 (hergebruik), C4</v>
      </c>
      <c r="B1261" s="33" t="s">
        <v>634</v>
      </c>
      <c r="C1261" t="s">
        <v>55</v>
      </c>
      <c r="D1261" s="33" t="s">
        <v>630</v>
      </c>
      <c r="E1261" s="33" t="s">
        <v>385</v>
      </c>
      <c r="F1261" s="33" t="s">
        <v>86</v>
      </c>
      <c r="G1261" s="33">
        <v>0.3</v>
      </c>
      <c r="H1261" s="33">
        <v>0.3</v>
      </c>
      <c r="I1261" s="33">
        <v>4.4999999999999998E-2</v>
      </c>
      <c r="L1261" s="33">
        <v>2.4</v>
      </c>
      <c r="M1261" s="33">
        <f t="shared" si="427"/>
        <v>0.1045</v>
      </c>
      <c r="N1261" s="41">
        <f t="shared" si="434"/>
        <v>7.5139999999999998E-2</v>
      </c>
      <c r="O1261" s="33">
        <v>25</v>
      </c>
      <c r="P1261" s="163">
        <f t="shared" ref="P1261:Z1261" si="447">P1246</f>
        <v>6.0850674000000004E-9</v>
      </c>
      <c r="Q1261" s="163">
        <f t="shared" si="447"/>
        <v>7.2555071999999996E-5</v>
      </c>
      <c r="R1261" s="163">
        <f t="shared" si="447"/>
        <v>5.3314546000000004E-3</v>
      </c>
      <c r="S1261" s="163">
        <f t="shared" si="447"/>
        <v>1.7646276E-9</v>
      </c>
      <c r="T1261" s="163">
        <f t="shared" si="447"/>
        <v>5.6498771000000003E-6</v>
      </c>
      <c r="U1261" s="163">
        <f t="shared" si="447"/>
        <v>3.9396220999999998E-5</v>
      </c>
      <c r="V1261" s="163">
        <f t="shared" si="447"/>
        <v>7.4144561000000003E-6</v>
      </c>
      <c r="W1261" s="163">
        <f t="shared" si="447"/>
        <v>2.1736173000000002E-3</v>
      </c>
      <c r="X1261" s="163">
        <f t="shared" si="447"/>
        <v>5.4049433000000002E-5</v>
      </c>
      <c r="Y1261" s="163">
        <f t="shared" si="447"/>
        <v>0.1858968</v>
      </c>
      <c r="Z1261" s="163">
        <f t="shared" si="447"/>
        <v>6.4373016000000001E-6</v>
      </c>
      <c r="AA1261" s="40"/>
      <c r="AB1261" s="40"/>
      <c r="AC1261" s="40"/>
      <c r="AD1261" s="40"/>
      <c r="AE1261" s="40"/>
      <c r="AF1261" s="40"/>
      <c r="AG1261" s="40"/>
      <c r="AH1261" s="40"/>
      <c r="AI1261" s="40"/>
      <c r="AJ1261" s="40"/>
      <c r="AK1261" s="40"/>
      <c r="AL1261" s="40"/>
      <c r="AM1261" s="40"/>
      <c r="AN1261" s="40"/>
      <c r="AO1261" s="40"/>
      <c r="AP1261" s="40"/>
      <c r="AQ1261" s="40"/>
      <c r="AR1261" s="40"/>
      <c r="AS1261" s="40"/>
      <c r="AT1261" s="40"/>
      <c r="AU1261" s="40"/>
      <c r="AV1261" s="163">
        <f t="shared" si="436"/>
        <v>3.8863633E-3</v>
      </c>
      <c r="AW1261" s="40"/>
      <c r="AX1261" s="40"/>
      <c r="AY1261" s="163">
        <f t="shared" si="437"/>
        <v>0.16207495</v>
      </c>
      <c r="AZ1261" s="40"/>
      <c r="BA1261" s="40"/>
      <c r="BB1261" s="40"/>
      <c r="BC1261" s="163">
        <f t="shared" ref="BC1261:BE1261" si="448">BC1246</f>
        <v>1.6335085999999999E-4</v>
      </c>
      <c r="BD1261" s="163">
        <f t="shared" si="448"/>
        <v>1.1009632E-6</v>
      </c>
      <c r="BE1261" s="163">
        <f t="shared" si="448"/>
        <v>0.99767759</v>
      </c>
      <c r="BF1261" s="40"/>
      <c r="BG1261" s="40"/>
      <c r="BH1261" s="40"/>
      <c r="BI1261" s="40"/>
      <c r="BJ1261" s="40"/>
      <c r="BK1261" s="40"/>
      <c r="BL1261" s="62">
        <v>1</v>
      </c>
      <c r="BM1261" s="275">
        <v>3</v>
      </c>
      <c r="BN1261" s="62">
        <v>0.03</v>
      </c>
      <c r="BP1261" s="33" t="s">
        <v>602</v>
      </c>
    </row>
    <row r="1262" spans="1:68">
      <c r="A1262" s="33" t="str">
        <f>Database_Productkaarten[[#This Row],[Product]]&amp;", "&amp;Database_Productkaarten[[#This Row],[Levensfase]]</f>
        <v>Betontegel 300x300x45 (hergebruik), D</v>
      </c>
      <c r="B1262" s="33" t="s">
        <v>634</v>
      </c>
      <c r="C1262" s="33" t="str">
        <f>C1263</f>
        <v>Elementenverhardingen</v>
      </c>
      <c r="D1262" s="33" t="str">
        <f>D1263</f>
        <v>Betontegel</v>
      </c>
      <c r="E1262" s="33" t="str">
        <f>E1263</f>
        <v>m2</v>
      </c>
      <c r="F1262" s="33" t="s">
        <v>89</v>
      </c>
      <c r="G1262" s="33">
        <f t="shared" ref="G1262:I1262" si="449">G1263</f>
        <v>0.3</v>
      </c>
      <c r="H1262" s="33">
        <f t="shared" si="449"/>
        <v>0.3</v>
      </c>
      <c r="I1262" s="33">
        <f t="shared" si="449"/>
        <v>4.4999999999999998E-2</v>
      </c>
      <c r="L1262" s="33">
        <v>2.4</v>
      </c>
      <c r="M1262" s="33">
        <f t="shared" si="427"/>
        <v>0.1045</v>
      </c>
      <c r="N1262" s="41">
        <f>N1239*0.1</f>
        <v>9.6310000000000007E-2</v>
      </c>
      <c r="O1262" s="33">
        <v>25</v>
      </c>
      <c r="P1262" s="163">
        <f t="shared" ref="P1262:Z1262" si="450">P1239*0.1</f>
        <v>1.4771230640000002E-6</v>
      </c>
      <c r="Q1262" s="163">
        <f t="shared" si="450"/>
        <v>4.0821036300000002E-3</v>
      </c>
      <c r="R1262" s="163">
        <f t="shared" si="450"/>
        <v>1.3641236140000002</v>
      </c>
      <c r="S1262" s="163">
        <f t="shared" si="450"/>
        <v>4.3028856999999998E-8</v>
      </c>
      <c r="T1262" s="163">
        <f t="shared" si="450"/>
        <v>2.8291004700000002E-4</v>
      </c>
      <c r="U1262" s="163">
        <f t="shared" si="450"/>
        <v>3.0203164700000002E-3</v>
      </c>
      <c r="V1262" s="163">
        <f t="shared" si="450"/>
        <v>5.9708986499999999E-4</v>
      </c>
      <c r="W1262" s="163">
        <f t="shared" si="450"/>
        <v>0.13600123129999997</v>
      </c>
      <c r="X1262" s="163">
        <f t="shared" si="450"/>
        <v>3.50136571E-3</v>
      </c>
      <c r="Y1262" s="163">
        <f t="shared" si="450"/>
        <v>16.636022610000001</v>
      </c>
      <c r="Z1262" s="163">
        <f t="shared" si="450"/>
        <v>2.5140413180000003E-3</v>
      </c>
      <c r="AA1262" s="40"/>
      <c r="AB1262" s="40"/>
      <c r="AC1262" s="40"/>
      <c r="AD1262" s="40"/>
      <c r="AE1262" s="40"/>
      <c r="AF1262" s="40"/>
      <c r="AG1262" s="40"/>
      <c r="AH1262" s="40"/>
      <c r="AI1262" s="40"/>
      <c r="AJ1262" s="40"/>
      <c r="AK1262" s="40"/>
      <c r="AL1262" s="40"/>
      <c r="AM1262" s="40"/>
      <c r="AN1262" s="40"/>
      <c r="AO1262" s="40"/>
      <c r="AP1262" s="40"/>
      <c r="AQ1262" s="40"/>
      <c r="AR1262" s="40"/>
      <c r="AS1262" s="40"/>
      <c r="AT1262" s="40"/>
      <c r="AU1262" s="40"/>
      <c r="AV1262" s="163">
        <f>AV1239*0.1</f>
        <v>1.173906023</v>
      </c>
      <c r="AW1262" s="40"/>
      <c r="AX1262" s="40"/>
      <c r="AY1262" s="163">
        <f>AY1239*0.1</f>
        <v>9.0647716000000003</v>
      </c>
      <c r="AZ1262" s="40"/>
      <c r="BA1262" s="40"/>
      <c r="BB1262" s="40"/>
      <c r="BC1262" s="163">
        <f t="shared" ref="BC1262:BE1262" si="451">BC1239*0.1</f>
        <v>0.10121140264000002</v>
      </c>
      <c r="BD1262" s="163">
        <f t="shared" si="451"/>
        <v>0.67412308087819994</v>
      </c>
      <c r="BE1262" s="163">
        <f t="shared" si="451"/>
        <v>0.12950630520000003</v>
      </c>
      <c r="BF1262" s="40"/>
      <c r="BG1262" s="40"/>
      <c r="BH1262" s="40"/>
      <c r="BI1262" s="40"/>
      <c r="BJ1262" s="40"/>
      <c r="BK1262" s="40"/>
      <c r="BL1262" s="62">
        <v>1</v>
      </c>
      <c r="BM1262" s="275">
        <v>3</v>
      </c>
      <c r="BN1262" s="62">
        <v>0.03</v>
      </c>
      <c r="BP1262" s="33" t="s">
        <v>602</v>
      </c>
    </row>
    <row r="1263" spans="1:68">
      <c r="A1263" s="33" t="str">
        <f>Database_Productkaarten[[#This Row],[Product]]&amp;", "&amp;Database_Productkaarten[[#This Row],[Levensfase]]</f>
        <v>Betontegel 300x300x45 (hergebruik), D1</v>
      </c>
      <c r="B1263" s="33" t="s">
        <v>634</v>
      </c>
      <c r="C1263" t="s">
        <v>55</v>
      </c>
      <c r="D1263" s="33" t="s">
        <v>630</v>
      </c>
      <c r="E1263" s="33" t="s">
        <v>385</v>
      </c>
      <c r="F1263" s="33" t="s">
        <v>87</v>
      </c>
      <c r="G1263" s="33">
        <v>0.3</v>
      </c>
      <c r="H1263" s="33">
        <v>0.3</v>
      </c>
      <c r="I1263" s="33">
        <v>4.4999999999999998E-2</v>
      </c>
      <c r="L1263" s="33">
        <v>2.4</v>
      </c>
      <c r="M1263" s="33">
        <f t="shared" si="427"/>
        <v>0.1045</v>
      </c>
      <c r="N1263" s="41"/>
      <c r="P1263" s="40"/>
      <c r="Q1263" s="40"/>
      <c r="R1263" s="40"/>
      <c r="S1263" s="40"/>
      <c r="T1263" s="40"/>
      <c r="U1263" s="40"/>
      <c r="V1263" s="40"/>
      <c r="W1263" s="40"/>
      <c r="X1263" s="40"/>
      <c r="Y1263" s="40"/>
      <c r="Z1263" s="40"/>
      <c r="AA1263" s="40"/>
      <c r="AB1263" s="40"/>
      <c r="AC1263" s="40"/>
      <c r="AD1263" s="40"/>
      <c r="AE1263" s="40"/>
      <c r="AF1263" s="40"/>
      <c r="AG1263" s="40"/>
      <c r="AH1263" s="40"/>
      <c r="AI1263" s="40"/>
      <c r="AJ1263" s="40"/>
      <c r="AK1263" s="40"/>
      <c r="AL1263" s="40"/>
      <c r="AM1263" s="40"/>
      <c r="AN1263" s="40"/>
      <c r="AO1263" s="40"/>
      <c r="AP1263" s="40"/>
      <c r="AQ1263" s="40"/>
      <c r="AR1263" s="40"/>
      <c r="AS1263" s="40"/>
      <c r="AT1263" s="40"/>
      <c r="AU1263" s="40"/>
      <c r="AV1263" s="108"/>
      <c r="AW1263" s="40"/>
      <c r="AX1263" s="40"/>
      <c r="AY1263" s="108"/>
      <c r="AZ1263" s="40"/>
      <c r="BA1263" s="40"/>
      <c r="BB1263" s="40"/>
      <c r="BC1263" s="40"/>
      <c r="BD1263" s="40"/>
      <c r="BE1263" s="40"/>
      <c r="BF1263" s="40"/>
      <c r="BG1263" s="40"/>
      <c r="BH1263" s="40"/>
      <c r="BI1263" s="40"/>
      <c r="BJ1263" s="40"/>
      <c r="BK1263" s="40"/>
      <c r="BL1263" s="62">
        <v>1</v>
      </c>
      <c r="BM1263" s="275">
        <v>3</v>
      </c>
      <c r="BN1263" s="62">
        <v>0.03</v>
      </c>
      <c r="BP1263" s="33" t="s">
        <v>602</v>
      </c>
    </row>
    <row r="1264" spans="1:68">
      <c r="A1264" s="33" t="str">
        <f>Database_Productkaarten[[#This Row],[Product]]&amp;", "&amp;Database_Productkaarten[[#This Row],[Levensfase]]</f>
        <v>Betontegel 300x300x45 (hergebruik), D2</v>
      </c>
      <c r="B1264" s="33" t="s">
        <v>634</v>
      </c>
      <c r="C1264" t="s">
        <v>55</v>
      </c>
      <c r="D1264" s="33" t="s">
        <v>630</v>
      </c>
      <c r="E1264" s="33" t="s">
        <v>385</v>
      </c>
      <c r="F1264" s="33" t="s">
        <v>88</v>
      </c>
      <c r="G1264" s="33">
        <v>0.3</v>
      </c>
      <c r="H1264" s="33">
        <v>0.3</v>
      </c>
      <c r="I1264" s="33">
        <v>4.4999999999999998E-2</v>
      </c>
      <c r="L1264" s="33">
        <v>2.4</v>
      </c>
      <c r="M1264" s="33">
        <f t="shared" si="427"/>
        <v>0.1045</v>
      </c>
      <c r="N1264" s="41"/>
      <c r="P1264" s="40"/>
      <c r="Q1264" s="40"/>
      <c r="R1264" s="40"/>
      <c r="S1264" s="40"/>
      <c r="T1264" s="40"/>
      <c r="U1264" s="40"/>
      <c r="V1264" s="40"/>
      <c r="W1264" s="40"/>
      <c r="X1264" s="40"/>
      <c r="Y1264" s="40"/>
      <c r="Z1264" s="40"/>
      <c r="AA1264" s="40"/>
      <c r="AB1264" s="40"/>
      <c r="AC1264" s="40"/>
      <c r="AD1264" s="40"/>
      <c r="AE1264" s="40"/>
      <c r="AF1264" s="40"/>
      <c r="AG1264" s="40"/>
      <c r="AH1264" s="40"/>
      <c r="AI1264" s="40"/>
      <c r="AJ1264" s="40"/>
      <c r="AK1264" s="40"/>
      <c r="AL1264" s="40"/>
      <c r="AM1264" s="40"/>
      <c r="AN1264" s="40"/>
      <c r="AO1264" s="40"/>
      <c r="AP1264" s="40"/>
      <c r="AQ1264" s="40"/>
      <c r="AR1264" s="40"/>
      <c r="AS1264" s="40"/>
      <c r="AT1264" s="40"/>
      <c r="AU1264" s="40"/>
      <c r="AV1264" s="108"/>
      <c r="AW1264" s="40"/>
      <c r="AX1264" s="40"/>
      <c r="AY1264" s="108"/>
      <c r="AZ1264" s="40"/>
      <c r="BA1264" s="40"/>
      <c r="BB1264" s="40"/>
      <c r="BC1264" s="40"/>
      <c r="BD1264" s="40"/>
      <c r="BE1264" s="40"/>
      <c r="BF1264" s="40"/>
      <c r="BG1264" s="40"/>
      <c r="BH1264" s="40"/>
      <c r="BI1264" s="40"/>
      <c r="BJ1264" s="40"/>
      <c r="BK1264" s="40"/>
      <c r="BL1264" s="62">
        <v>1</v>
      </c>
      <c r="BM1264" s="275">
        <v>3</v>
      </c>
      <c r="BN1264" s="62">
        <v>0.03</v>
      </c>
      <c r="BP1264" s="33" t="s">
        <v>602</v>
      </c>
    </row>
    <row r="1265" spans="1:74">
      <c r="A1265" s="33" t="str">
        <f>Database_Productkaarten[[#This Row],[Product]]&amp;", "&amp;Database_Productkaarten[[#This Row],[Levensfase]]</f>
        <v>Betontegel 300x300x60, Totaal</v>
      </c>
      <c r="B1265" s="33" t="s">
        <v>635</v>
      </c>
      <c r="C1265" t="s">
        <v>55</v>
      </c>
      <c r="D1265" s="33" t="s">
        <v>630</v>
      </c>
      <c r="E1265" s="33" t="s">
        <v>385</v>
      </c>
      <c r="F1265" s="33" t="s">
        <v>90</v>
      </c>
      <c r="G1265" s="33">
        <v>0.3</v>
      </c>
      <c r="H1265" s="33">
        <v>0.3</v>
      </c>
      <c r="I1265" s="33">
        <v>0.06</v>
      </c>
      <c r="L1265" s="33">
        <v>2.4</v>
      </c>
      <c r="M1265" s="33">
        <f>(11*12.7)/1000</f>
        <v>0.13969999999999999</v>
      </c>
      <c r="N1265" s="41"/>
      <c r="O1265" s="33">
        <v>25</v>
      </c>
      <c r="P1265" s="163"/>
      <c r="Q1265" s="163"/>
      <c r="R1265" s="163"/>
      <c r="S1265" s="163"/>
      <c r="T1265" s="163"/>
      <c r="U1265" s="163"/>
      <c r="V1265" s="163"/>
      <c r="W1265" s="163"/>
      <c r="X1265" s="163"/>
      <c r="Y1265" s="163"/>
      <c r="Z1265" s="163"/>
      <c r="AV1265" s="316"/>
      <c r="AW1265" s="314"/>
      <c r="AX1265" s="314"/>
      <c r="AY1265" s="316"/>
      <c r="AZ1265" s="314"/>
      <c r="BA1265" s="314"/>
      <c r="BB1265" s="314"/>
      <c r="BC1265" s="314"/>
      <c r="BD1265" s="314"/>
      <c r="BE1265" s="314"/>
      <c r="BL1265" s="306">
        <v>0.111358574610245</v>
      </c>
      <c r="BM1265" s="275">
        <v>3</v>
      </c>
      <c r="BN1265" s="62">
        <v>0.03</v>
      </c>
      <c r="BO1265" s="33" t="s">
        <v>636</v>
      </c>
      <c r="BP1265" s="262" t="s">
        <v>637</v>
      </c>
      <c r="BV1265" s="306"/>
    </row>
    <row r="1266" spans="1:74">
      <c r="A1266" s="33" t="str">
        <f>Database_Productkaarten[[#This Row],[Product]]&amp;", "&amp;Database_Productkaarten[[#This Row],[Levensfase]]</f>
        <v>Betontegel 300x300x60, A1</v>
      </c>
      <c r="B1266" s="33" t="s">
        <v>635</v>
      </c>
      <c r="C1266" t="s">
        <v>55</v>
      </c>
      <c r="D1266" s="33" t="s">
        <v>630</v>
      </c>
      <c r="E1266" s="33" t="s">
        <v>385</v>
      </c>
      <c r="F1266" s="33" t="s">
        <v>74</v>
      </c>
      <c r="G1266" s="33">
        <v>0.3</v>
      </c>
      <c r="H1266" s="33">
        <v>0.3</v>
      </c>
      <c r="I1266" s="33">
        <v>0.06</v>
      </c>
      <c r="L1266" s="33">
        <v>2.4</v>
      </c>
      <c r="M1266" s="33">
        <f t="shared" ref="M1266:M1294" si="452">(11*12.7)/1000</f>
        <v>0.13969999999999999</v>
      </c>
      <c r="N1266" s="41">
        <f>SUM(N1269:N1277)</f>
        <v>1.8921999999999997</v>
      </c>
      <c r="O1266" s="33">
        <v>25</v>
      </c>
      <c r="P1266" s="163">
        <v>1.6726620000000001E-5</v>
      </c>
      <c r="Q1266" s="163">
        <v>4.0182440999999999E-2</v>
      </c>
      <c r="R1266" s="163">
        <v>16.352309000000002</v>
      </c>
      <c r="S1266" s="163">
        <v>3.3634816000000001E-7</v>
      </c>
      <c r="T1266" s="163">
        <v>3.0605016E-3</v>
      </c>
      <c r="U1266" s="163">
        <v>3.4513611E-2</v>
      </c>
      <c r="V1266" s="163">
        <v>6.7746454999999999E-3</v>
      </c>
      <c r="W1266" s="163">
        <v>1.3561491000000001</v>
      </c>
      <c r="X1266" s="163">
        <v>3.3747051E-2</v>
      </c>
      <c r="Y1266" s="163">
        <v>172.94481999999999</v>
      </c>
      <c r="Z1266" s="163">
        <v>3.0927975E-2</v>
      </c>
      <c r="AA1266" s="40"/>
      <c r="AV1266" s="315">
        <v>14.340669999999999</v>
      </c>
      <c r="AW1266" s="317"/>
      <c r="AX1266" s="317"/>
      <c r="AY1266" s="313">
        <v>90.702224000000001</v>
      </c>
      <c r="AZ1266" s="317"/>
      <c r="BA1266" s="317"/>
      <c r="BB1266" s="317"/>
      <c r="BC1266" s="317">
        <v>1.3438262000000001</v>
      </c>
      <c r="BD1266" s="315">
        <v>8.9881355000000003</v>
      </c>
      <c r="BE1266" s="315">
        <v>0.79102896</v>
      </c>
      <c r="BL1266" s="306">
        <v>0.111358574610245</v>
      </c>
      <c r="BM1266" s="275">
        <v>3</v>
      </c>
      <c r="BN1266" s="62">
        <v>0.03</v>
      </c>
      <c r="BO1266" s="33" t="s">
        <v>636</v>
      </c>
      <c r="BP1266" s="262" t="s">
        <v>637</v>
      </c>
      <c r="BV1266" s="306"/>
    </row>
    <row r="1267" spans="1:74">
      <c r="A1267" s="33" t="str">
        <f>Database_Productkaarten[[#This Row],[Product]]&amp;", "&amp;Database_Productkaarten[[#This Row],[Levensfase]]</f>
        <v>Betontegel 300x300x60, A2</v>
      </c>
      <c r="B1267" s="33" t="s">
        <v>635</v>
      </c>
      <c r="C1267" t="s">
        <v>55</v>
      </c>
      <c r="D1267" s="33" t="s">
        <v>630</v>
      </c>
      <c r="E1267" s="33" t="s">
        <v>385</v>
      </c>
      <c r="F1267" s="33" t="s">
        <v>75</v>
      </c>
      <c r="G1267" s="33">
        <v>0.3</v>
      </c>
      <c r="H1267" s="33">
        <v>0.3</v>
      </c>
      <c r="I1267" s="33">
        <v>0.06</v>
      </c>
      <c r="L1267" s="33">
        <v>2.4</v>
      </c>
      <c r="M1267" s="33">
        <f t="shared" si="452"/>
        <v>0.13969999999999999</v>
      </c>
      <c r="N1267" s="41"/>
      <c r="O1267" s="33">
        <v>25</v>
      </c>
      <c r="P1267" s="163">
        <v>2.7301675E-6</v>
      </c>
      <c r="Q1267" s="163">
        <v>7.0862432E-3</v>
      </c>
      <c r="R1267" s="163">
        <v>0.96003136</v>
      </c>
      <c r="S1267" s="163">
        <v>1.7691483000000001E-7</v>
      </c>
      <c r="T1267" s="163">
        <v>5.6664108E-4</v>
      </c>
      <c r="U1267" s="163">
        <v>4.1621501000000003E-3</v>
      </c>
      <c r="V1267" s="163">
        <v>8.2940346000000005E-4</v>
      </c>
      <c r="W1267" s="163">
        <v>0.38408757999999998</v>
      </c>
      <c r="X1267" s="163">
        <v>1.1264771999999999E-2</v>
      </c>
      <c r="Y1267" s="163">
        <v>40.657899999999998</v>
      </c>
      <c r="Z1267" s="163">
        <v>1.3608715E-3</v>
      </c>
      <c r="AA1267" s="40"/>
      <c r="AV1267" s="315">
        <v>0.20216890000000001</v>
      </c>
      <c r="AW1267" s="317"/>
      <c r="AX1267" s="317"/>
      <c r="AY1267" s="313">
        <v>15.797442</v>
      </c>
      <c r="AZ1267" s="317"/>
      <c r="BA1267" s="317"/>
      <c r="BB1267" s="317"/>
      <c r="BC1267" s="317">
        <v>2.8411306000000001E-3</v>
      </c>
      <c r="BD1267" s="315">
        <v>1.0910139E-4</v>
      </c>
      <c r="BE1267" s="315">
        <v>0.90804894000000003</v>
      </c>
      <c r="BL1267" s="306">
        <v>0.111358574610245</v>
      </c>
      <c r="BM1267" s="275">
        <v>3</v>
      </c>
      <c r="BN1267" s="62">
        <v>0.03</v>
      </c>
      <c r="BO1267" s="33" t="s">
        <v>636</v>
      </c>
      <c r="BP1267" s="262" t="s">
        <v>637</v>
      </c>
    </row>
    <row r="1268" spans="1:74">
      <c r="A1268" s="33" t="str">
        <f>Database_Productkaarten[[#This Row],[Product]]&amp;", "&amp;Database_Productkaarten[[#This Row],[Levensfase]]</f>
        <v>Betontegel 300x300x60, A3</v>
      </c>
      <c r="B1268" s="33" t="s">
        <v>635</v>
      </c>
      <c r="C1268" t="s">
        <v>55</v>
      </c>
      <c r="D1268" s="33" t="s">
        <v>630</v>
      </c>
      <c r="E1268" s="33" t="s">
        <v>385</v>
      </c>
      <c r="F1268" s="33" t="s">
        <v>76</v>
      </c>
      <c r="G1268" s="33">
        <v>0.3</v>
      </c>
      <c r="H1268" s="33">
        <v>0.3</v>
      </c>
      <c r="I1268" s="33">
        <v>0.06</v>
      </c>
      <c r="L1268" s="33">
        <v>2.4</v>
      </c>
      <c r="M1268" s="33">
        <f t="shared" si="452"/>
        <v>0.13969999999999999</v>
      </c>
      <c r="N1268" s="41"/>
      <c r="O1268" s="33">
        <v>25</v>
      </c>
      <c r="P1268" s="163">
        <v>2.3818672E-7</v>
      </c>
      <c r="Q1268" s="163">
        <v>7.1593637999999996E-3</v>
      </c>
      <c r="R1268" s="163">
        <v>0.87597548999999997</v>
      </c>
      <c r="S1268" s="163">
        <v>6.0455094000000005E-8</v>
      </c>
      <c r="T1268" s="163">
        <v>1.4499127999999999E-4</v>
      </c>
      <c r="U1268" s="163">
        <v>1.5951254000000001E-3</v>
      </c>
      <c r="V1268" s="163">
        <v>3.5714927999999998E-4</v>
      </c>
      <c r="W1268" s="163">
        <v>7.3113109999999995E-2</v>
      </c>
      <c r="X1268" s="163">
        <v>1.6730539E-3</v>
      </c>
      <c r="Y1268" s="163">
        <v>8.2109214999999995</v>
      </c>
      <c r="Z1268" s="163">
        <v>1.2317048E-3</v>
      </c>
      <c r="AA1268" s="40"/>
      <c r="AV1268" s="315">
        <v>1.1092420999999999</v>
      </c>
      <c r="AW1268" s="317"/>
      <c r="AX1268" s="317"/>
      <c r="AY1268" s="313">
        <v>14.363955000000001</v>
      </c>
      <c r="AZ1268" s="317"/>
      <c r="BA1268" s="317"/>
      <c r="BB1268" s="317"/>
      <c r="BC1268" s="317">
        <v>2.8179712999999999E-3</v>
      </c>
      <c r="BD1268" s="315">
        <v>6.3043657000000003E-5</v>
      </c>
      <c r="BE1268" s="315">
        <v>2.7672828999999999E-2</v>
      </c>
      <c r="BL1268" s="306">
        <v>0.111358574610245</v>
      </c>
      <c r="BM1268" s="275">
        <v>3</v>
      </c>
      <c r="BN1268" s="62">
        <v>0.03</v>
      </c>
      <c r="BO1268" s="33" t="s">
        <v>636</v>
      </c>
      <c r="BP1268" s="262" t="s">
        <v>637</v>
      </c>
    </row>
    <row r="1269" spans="1:74">
      <c r="A1269" s="33" t="str">
        <f>Database_Productkaarten[[#This Row],[Product]]&amp;", "&amp;Database_Productkaarten[[#This Row],[Levensfase]]</f>
        <v>Betontegel 300x300x60, A1-A3</v>
      </c>
      <c r="B1269" s="33" t="s">
        <v>635</v>
      </c>
      <c r="C1269" t="s">
        <v>55</v>
      </c>
      <c r="D1269" s="33" t="s">
        <v>630</v>
      </c>
      <c r="E1269" s="33" t="s">
        <v>385</v>
      </c>
      <c r="F1269" s="33" t="s">
        <v>77</v>
      </c>
      <c r="G1269" s="33">
        <v>0.3</v>
      </c>
      <c r="H1269" s="33">
        <v>0.3</v>
      </c>
      <c r="I1269" s="33">
        <v>0.06</v>
      </c>
      <c r="L1269" s="33">
        <v>2.4</v>
      </c>
      <c r="M1269" s="33">
        <f t="shared" si="452"/>
        <v>0.13969999999999999</v>
      </c>
      <c r="N1269" s="41">
        <v>1.2776000000000001</v>
      </c>
      <c r="O1269" s="33">
        <v>25</v>
      </c>
      <c r="P1269" s="163">
        <f t="shared" ref="P1269:Z1269" si="453">SUM(P1266:P1268)</f>
        <v>1.9694974220000002E-5</v>
      </c>
      <c r="Q1269" s="163">
        <f t="shared" si="453"/>
        <v>5.4428048E-2</v>
      </c>
      <c r="R1269" s="163">
        <f t="shared" si="453"/>
        <v>18.188315849999999</v>
      </c>
      <c r="S1269" s="163">
        <f t="shared" si="453"/>
        <v>5.7371808400000007E-7</v>
      </c>
      <c r="T1269" s="163">
        <f t="shared" si="453"/>
        <v>3.7721339599999996E-3</v>
      </c>
      <c r="U1269" s="163">
        <f t="shared" si="453"/>
        <v>4.0270886499999999E-2</v>
      </c>
      <c r="V1269" s="163">
        <f t="shared" si="453"/>
        <v>7.96119824E-3</v>
      </c>
      <c r="W1269" s="163">
        <f t="shared" si="453"/>
        <v>1.8133497900000002</v>
      </c>
      <c r="X1269" s="163">
        <f t="shared" si="453"/>
        <v>4.6684876899999998E-2</v>
      </c>
      <c r="Y1269" s="163">
        <f t="shared" si="453"/>
        <v>221.81364149999999</v>
      </c>
      <c r="Z1269" s="163">
        <f t="shared" si="453"/>
        <v>3.35205513E-2</v>
      </c>
      <c r="AA1269" s="40"/>
      <c r="AV1269" s="313">
        <f>SUM(AV1266:AV1268)</f>
        <v>15.652080999999999</v>
      </c>
      <c r="AW1269" s="317"/>
      <c r="AX1269" s="317"/>
      <c r="AY1269" s="313">
        <f>SUM(AY1266:AY1268)</f>
        <v>120.86362100000001</v>
      </c>
      <c r="AZ1269" s="317"/>
      <c r="BA1269" s="317"/>
      <c r="BB1269" s="317"/>
      <c r="BC1269" s="317">
        <f>SUM(BC1266:BC1268)</f>
        <v>1.3494853019000002</v>
      </c>
      <c r="BD1269" s="313">
        <f>SUM(BD1266:BD1268)</f>
        <v>8.9883076450470014</v>
      </c>
      <c r="BE1269" s="313">
        <f>SUM(BE1266:BE1268)</f>
        <v>1.7267507289999999</v>
      </c>
      <c r="BL1269" s="306">
        <v>0.111358574610245</v>
      </c>
      <c r="BM1269" s="275">
        <v>3</v>
      </c>
      <c r="BN1269" s="62">
        <v>0.03</v>
      </c>
      <c r="BO1269" s="33" t="s">
        <v>636</v>
      </c>
      <c r="BP1269" s="262" t="s">
        <v>637</v>
      </c>
    </row>
    <row r="1270" spans="1:74">
      <c r="A1270" s="33" t="str">
        <f>Database_Productkaarten[[#This Row],[Product]]&amp;", "&amp;Database_Productkaarten[[#This Row],[Levensfase]]</f>
        <v>Betontegel 300x300x60, A4</v>
      </c>
      <c r="B1270" s="33" t="s">
        <v>635</v>
      </c>
      <c r="C1270" t="s">
        <v>55</v>
      </c>
      <c r="D1270" s="33" t="s">
        <v>630</v>
      </c>
      <c r="E1270" s="33" t="s">
        <v>385</v>
      </c>
      <c r="F1270" s="33" t="s">
        <v>78</v>
      </c>
      <c r="G1270" s="33">
        <v>0.3</v>
      </c>
      <c r="H1270" s="33">
        <v>0.3</v>
      </c>
      <c r="I1270" s="33">
        <v>0.06</v>
      </c>
      <c r="L1270" s="33">
        <v>2.4</v>
      </c>
      <c r="M1270" s="33">
        <f t="shared" si="452"/>
        <v>0.13969999999999999</v>
      </c>
      <c r="N1270" s="41">
        <v>0.31669999999999998</v>
      </c>
      <c r="O1270" s="33">
        <v>25</v>
      </c>
      <c r="P1270" s="163">
        <v>7.5557104999999999E-6</v>
      </c>
      <c r="Q1270" s="163">
        <v>1.9611105E-2</v>
      </c>
      <c r="R1270" s="163">
        <v>2.6568768999999999</v>
      </c>
      <c r="S1270" s="163">
        <v>4.8960998000000003E-7</v>
      </c>
      <c r="T1270" s="163">
        <v>1.5681733000000001E-3</v>
      </c>
      <c r="U1270" s="163">
        <v>1.1518708000000001E-2</v>
      </c>
      <c r="V1270" s="163">
        <v>2.2953654999999999E-3</v>
      </c>
      <c r="W1270" s="163">
        <v>1.0629584000000001</v>
      </c>
      <c r="X1270" s="163">
        <v>3.117514E-2</v>
      </c>
      <c r="Y1270" s="163">
        <v>112.52032</v>
      </c>
      <c r="Z1270" s="163">
        <v>3.7661980000000001E-3</v>
      </c>
      <c r="AA1270" s="40"/>
      <c r="AV1270" s="313">
        <v>0.55950036000000003</v>
      </c>
      <c r="AW1270" s="317"/>
      <c r="AX1270" s="317"/>
      <c r="AY1270" s="313">
        <v>43.719259999999998</v>
      </c>
      <c r="AZ1270" s="317"/>
      <c r="BA1270" s="317"/>
      <c r="BB1270" s="317"/>
      <c r="BC1270" s="317">
        <v>7.8627997000000008E-3</v>
      </c>
      <c r="BD1270" s="317">
        <v>3.0193697000000002E-4</v>
      </c>
      <c r="BE1270" s="317">
        <v>2.5130161000000002</v>
      </c>
      <c r="BL1270" s="306">
        <v>0.111358574610245</v>
      </c>
      <c r="BM1270" s="275">
        <v>3</v>
      </c>
      <c r="BN1270" s="62">
        <v>0.03</v>
      </c>
      <c r="BO1270" s="33" t="s">
        <v>636</v>
      </c>
      <c r="BP1270" s="262" t="s">
        <v>637</v>
      </c>
    </row>
    <row r="1271" spans="1:74">
      <c r="A1271" s="33" t="str">
        <f>Database_Productkaarten[[#This Row],[Product]]&amp;", "&amp;Database_Productkaarten[[#This Row],[Levensfase]]</f>
        <v>Betontegel 300x300x60, A5</v>
      </c>
      <c r="B1271" s="33" t="s">
        <v>635</v>
      </c>
      <c r="C1271" t="s">
        <v>55</v>
      </c>
      <c r="D1271" s="33" t="s">
        <v>630</v>
      </c>
      <c r="E1271" s="33" t="s">
        <v>385</v>
      </c>
      <c r="F1271" s="33" t="s">
        <v>79</v>
      </c>
      <c r="G1271" s="33">
        <v>0.3</v>
      </c>
      <c r="H1271" s="33">
        <v>0.3</v>
      </c>
      <c r="I1271" s="33">
        <v>0.06</v>
      </c>
      <c r="L1271" s="33">
        <v>2.4</v>
      </c>
      <c r="M1271" s="33">
        <f t="shared" si="452"/>
        <v>0.13969999999999999</v>
      </c>
      <c r="N1271" s="41">
        <f>0.0466+0.0794</f>
        <v>0.126</v>
      </c>
      <c r="O1271" s="33">
        <v>25</v>
      </c>
      <c r="P1271" s="163">
        <v>1.0128221999999999E-6</v>
      </c>
      <c r="Q1271" s="163">
        <v>6.4681814999999997E-3</v>
      </c>
      <c r="R1271" s="163">
        <v>1.2376072</v>
      </c>
      <c r="S1271" s="163">
        <v>1.4343788999999999E-7</v>
      </c>
      <c r="T1271" s="163">
        <v>7.6830921999999999E-4</v>
      </c>
      <c r="U1271" s="163">
        <v>6.1114207999999996E-3</v>
      </c>
      <c r="V1271" s="163">
        <v>1.3309079E-3</v>
      </c>
      <c r="W1271" s="163">
        <v>0.30286583</v>
      </c>
      <c r="X1271" s="163">
        <v>5.5296080999999997E-3</v>
      </c>
      <c r="Y1271" s="163">
        <v>20.811005999999999</v>
      </c>
      <c r="Z1271" s="163">
        <v>1.4923339000000001E-3</v>
      </c>
      <c r="AA1271" s="40"/>
      <c r="AV1271" s="313">
        <v>0.53371623999999995</v>
      </c>
      <c r="AW1271" s="317"/>
      <c r="AX1271" s="317"/>
      <c r="AY1271" s="313">
        <v>14.479232</v>
      </c>
      <c r="AZ1271" s="317"/>
      <c r="BA1271" s="317"/>
      <c r="BB1271" s="317"/>
      <c r="BC1271" s="317">
        <v>3.6475296999999997E-2</v>
      </c>
      <c r="BD1271" s="317">
        <v>0.26972456</v>
      </c>
      <c r="BE1271" s="317">
        <v>0.21224876000000001</v>
      </c>
      <c r="BL1271" s="306">
        <v>0.111358574610245</v>
      </c>
      <c r="BM1271" s="275">
        <v>3</v>
      </c>
      <c r="BN1271" s="62">
        <v>0.03</v>
      </c>
      <c r="BO1271" s="33" t="s">
        <v>636</v>
      </c>
      <c r="BP1271" s="262" t="s">
        <v>637</v>
      </c>
    </row>
    <row r="1272" spans="1:74">
      <c r="A1272" s="33" t="str">
        <f>Database_Productkaarten[[#This Row],[Product]]&amp;", "&amp;Database_Productkaarten[[#This Row],[Levensfase]]</f>
        <v>Betontegel 300x300x60, B1</v>
      </c>
      <c r="B1272" s="33" t="s">
        <v>635</v>
      </c>
      <c r="C1272" t="s">
        <v>55</v>
      </c>
      <c r="D1272" s="33" t="s">
        <v>630</v>
      </c>
      <c r="E1272" s="33" t="s">
        <v>385</v>
      </c>
      <c r="F1272" s="33" t="s">
        <v>80</v>
      </c>
      <c r="G1272" s="33">
        <v>0.3</v>
      </c>
      <c r="H1272" s="33">
        <v>0.3</v>
      </c>
      <c r="I1272" s="33">
        <v>0.06</v>
      </c>
      <c r="L1272" s="33">
        <v>2.4</v>
      </c>
      <c r="M1272" s="33">
        <f t="shared" si="452"/>
        <v>0.13969999999999999</v>
      </c>
      <c r="N1272" s="41"/>
      <c r="O1272" s="33">
        <v>25</v>
      </c>
      <c r="P1272" s="163">
        <v>0</v>
      </c>
      <c r="Q1272" s="163">
        <v>0</v>
      </c>
      <c r="R1272" s="163">
        <v>0</v>
      </c>
      <c r="S1272" s="163">
        <v>0</v>
      </c>
      <c r="T1272" s="163">
        <v>0</v>
      </c>
      <c r="U1272" s="163">
        <v>0</v>
      </c>
      <c r="V1272" s="163">
        <v>0</v>
      </c>
      <c r="W1272" s="163">
        <v>0</v>
      </c>
      <c r="X1272" s="163">
        <v>0</v>
      </c>
      <c r="Y1272" s="163">
        <v>0</v>
      </c>
      <c r="Z1272" s="163">
        <v>0</v>
      </c>
      <c r="AA1272" s="40"/>
      <c r="AV1272" s="313">
        <v>0</v>
      </c>
      <c r="AW1272" s="317"/>
      <c r="AX1272" s="317"/>
      <c r="AY1272" s="313">
        <v>0</v>
      </c>
      <c r="AZ1272" s="317"/>
      <c r="BA1272" s="317"/>
      <c r="BB1272" s="317"/>
      <c r="BC1272" s="317">
        <v>0</v>
      </c>
      <c r="BD1272" s="317">
        <v>0</v>
      </c>
      <c r="BE1272" s="317">
        <v>0</v>
      </c>
      <c r="BL1272" s="306">
        <v>0.111358574610245</v>
      </c>
      <c r="BM1272" s="275">
        <v>3</v>
      </c>
      <c r="BN1272" s="62">
        <v>0.03</v>
      </c>
      <c r="BO1272" s="33" t="s">
        <v>636</v>
      </c>
      <c r="BP1272" s="262" t="s">
        <v>637</v>
      </c>
    </row>
    <row r="1273" spans="1:74">
      <c r="A1273" s="33" t="str">
        <f>Database_Productkaarten[[#This Row],[Product]]&amp;", "&amp;Database_Productkaarten[[#This Row],[Levensfase]]</f>
        <v>Betontegel 300x300x60, C1</v>
      </c>
      <c r="B1273" s="33" t="s">
        <v>635</v>
      </c>
      <c r="C1273" t="s">
        <v>55</v>
      </c>
      <c r="D1273" s="33" t="s">
        <v>630</v>
      </c>
      <c r="E1273" s="33" t="s">
        <v>385</v>
      </c>
      <c r="F1273" s="33" t="s">
        <v>83</v>
      </c>
      <c r="G1273" s="33">
        <v>0.3</v>
      </c>
      <c r="H1273" s="33">
        <v>0.3</v>
      </c>
      <c r="I1273" s="33">
        <v>0.06</v>
      </c>
      <c r="L1273" s="33">
        <v>2.4</v>
      </c>
      <c r="M1273" s="33">
        <f t="shared" si="452"/>
        <v>0.13969999999999999</v>
      </c>
      <c r="N1273" s="41">
        <v>7.9399999999999998E-2</v>
      </c>
      <c r="O1273" s="33">
        <v>25</v>
      </c>
      <c r="P1273" s="163">
        <v>1.9924427999999999E-7</v>
      </c>
      <c r="Q1273" s="163">
        <v>4.1050855000000002E-3</v>
      </c>
      <c r="R1273" s="163">
        <v>0.59497279999999997</v>
      </c>
      <c r="S1273" s="163">
        <v>1.0716769E-7</v>
      </c>
      <c r="T1273" s="163">
        <v>5.9971757000000004E-4</v>
      </c>
      <c r="U1273" s="163">
        <v>4.5018584999999998E-3</v>
      </c>
      <c r="V1273" s="163">
        <v>1.0080613000000001E-3</v>
      </c>
      <c r="W1273" s="163">
        <v>0.21061642999999999</v>
      </c>
      <c r="X1273" s="163">
        <v>2.9454494999999999E-3</v>
      </c>
      <c r="Y1273" s="163">
        <v>9.9845778999999997</v>
      </c>
      <c r="Z1273" s="163">
        <v>3.5193415999999999E-4</v>
      </c>
      <c r="AA1273" s="40"/>
      <c r="AV1273" s="313">
        <v>4.9442172999999999E-2</v>
      </c>
      <c r="AW1273" s="317"/>
      <c r="AX1273" s="317"/>
      <c r="AY1273" s="313">
        <v>9.2085135000000005</v>
      </c>
      <c r="AZ1273" s="317"/>
      <c r="BA1273" s="317"/>
      <c r="BB1273" s="317"/>
      <c r="BC1273" s="317">
        <v>7.5919631999999998E-4</v>
      </c>
      <c r="BD1273" s="317">
        <v>6.3751571999999998E-5</v>
      </c>
      <c r="BE1273" s="317">
        <v>9.3962368000000008E-3</v>
      </c>
      <c r="BL1273" s="306">
        <v>0.111358574610245</v>
      </c>
      <c r="BM1273" s="275">
        <v>3</v>
      </c>
      <c r="BN1273" s="62">
        <v>0.03</v>
      </c>
      <c r="BO1273" s="33" t="s">
        <v>636</v>
      </c>
      <c r="BP1273" s="262" t="s">
        <v>637</v>
      </c>
    </row>
    <row r="1274" spans="1:74">
      <c r="A1274" s="33" t="str">
        <f>Database_Productkaarten[[#This Row],[Product]]&amp;", "&amp;Database_Productkaarten[[#This Row],[Levensfase]]</f>
        <v>Betontegel 300x300x60, C2</v>
      </c>
      <c r="B1274" s="33" t="s">
        <v>635</v>
      </c>
      <c r="C1274" t="s">
        <v>55</v>
      </c>
      <c r="D1274" s="33" t="s">
        <v>630</v>
      </c>
      <c r="E1274" s="33" t="s">
        <v>385</v>
      </c>
      <c r="F1274" s="33" t="s">
        <v>84</v>
      </c>
      <c r="G1274" s="33">
        <v>0.3</v>
      </c>
      <c r="H1274" s="33">
        <v>0.3</v>
      </c>
      <c r="I1274" s="33">
        <v>0.06</v>
      </c>
      <c r="L1274" s="33">
        <v>2.4</v>
      </c>
      <c r="M1274" s="33">
        <f t="shared" si="452"/>
        <v>0.13969999999999999</v>
      </c>
      <c r="N1274" s="41">
        <v>0.1066</v>
      </c>
      <c r="O1274" s="33">
        <v>25</v>
      </c>
      <c r="P1274" s="163">
        <v>2.530517E-6</v>
      </c>
      <c r="Q1274" s="163">
        <v>6.5680434000000001E-3</v>
      </c>
      <c r="R1274" s="163">
        <v>0.88982660000000002</v>
      </c>
      <c r="S1274" s="163">
        <v>1.6397748000000001E-7</v>
      </c>
      <c r="T1274" s="163">
        <v>5.2520398999999997E-4</v>
      </c>
      <c r="U1274" s="163">
        <v>3.8577822000000002E-3</v>
      </c>
      <c r="V1274" s="163">
        <v>7.6875119000000003E-4</v>
      </c>
      <c r="W1274" s="163">
        <v>0.35600018999999999</v>
      </c>
      <c r="X1274" s="163">
        <v>1.0441005999999999E-2</v>
      </c>
      <c r="Y1274" s="163">
        <v>37.684686999999997</v>
      </c>
      <c r="Z1274" s="163">
        <v>1.2613543E-3</v>
      </c>
      <c r="AA1274" s="40"/>
      <c r="AV1274" s="313">
        <v>0.18738478</v>
      </c>
      <c r="AW1274" s="317"/>
      <c r="AX1274" s="317"/>
      <c r="AY1274" s="313">
        <v>14.642213999999999</v>
      </c>
      <c r="AZ1274" s="317"/>
      <c r="BA1274" s="317"/>
      <c r="BB1274" s="317"/>
      <c r="BC1274" s="317">
        <v>2.6333656000000001E-3</v>
      </c>
      <c r="BD1274" s="317">
        <v>1.0112307000000001E-4</v>
      </c>
      <c r="BE1274" s="317">
        <v>0.84164552999999998</v>
      </c>
      <c r="BL1274" s="306">
        <v>0.111358574610245</v>
      </c>
      <c r="BM1274" s="275">
        <v>3</v>
      </c>
      <c r="BN1274" s="62">
        <v>0.03</v>
      </c>
      <c r="BO1274" s="33" t="s">
        <v>636</v>
      </c>
      <c r="BP1274" s="262" t="s">
        <v>637</v>
      </c>
    </row>
    <row r="1275" spans="1:74">
      <c r="A1275" s="33" t="str">
        <f>Database_Productkaarten[[#This Row],[Product]]&amp;", "&amp;Database_Productkaarten[[#This Row],[Levensfase]]</f>
        <v>Betontegel 300x300x60, C3</v>
      </c>
      <c r="B1275" s="33" t="s">
        <v>635</v>
      </c>
      <c r="C1275" t="s">
        <v>55</v>
      </c>
      <c r="D1275" s="33" t="s">
        <v>630</v>
      </c>
      <c r="E1275" s="33" t="s">
        <v>385</v>
      </c>
      <c r="F1275" s="33" t="s">
        <v>85</v>
      </c>
      <c r="G1275" s="33">
        <v>0.3</v>
      </c>
      <c r="H1275" s="33">
        <v>0.3</v>
      </c>
      <c r="I1275" s="33">
        <v>0.06</v>
      </c>
      <c r="L1275" s="33">
        <v>2.4</v>
      </c>
      <c r="M1275" s="33">
        <f t="shared" si="452"/>
        <v>0.13969999999999999</v>
      </c>
      <c r="N1275" s="41">
        <v>3.8600000000000002E-2</v>
      </c>
      <c r="O1275" s="33">
        <v>25</v>
      </c>
      <c r="P1275" s="163">
        <v>1.2888275E-7</v>
      </c>
      <c r="Q1275" s="163">
        <v>1.5991561E-3</v>
      </c>
      <c r="R1275" s="163">
        <v>0.21225993000000001</v>
      </c>
      <c r="S1275" s="163">
        <v>2.4656543E-8</v>
      </c>
      <c r="T1275" s="163">
        <v>1.1892648E-4</v>
      </c>
      <c r="U1275" s="163">
        <v>9.8068580000000008E-4</v>
      </c>
      <c r="V1275" s="163">
        <v>2.2115375000000001E-4</v>
      </c>
      <c r="W1275" s="163">
        <v>4.6436666000000001E-2</v>
      </c>
      <c r="X1275" s="163">
        <v>7.7514931999999996E-4</v>
      </c>
      <c r="Y1275" s="163">
        <v>2.9735377000000001</v>
      </c>
      <c r="Z1275" s="163">
        <v>6.2643786000000001E-4</v>
      </c>
      <c r="AA1275" s="40"/>
      <c r="AV1275" s="313">
        <v>0.17222898</v>
      </c>
      <c r="AW1275" s="317"/>
      <c r="AX1275" s="317"/>
      <c r="AY1275" s="313">
        <v>3.3483407000000001</v>
      </c>
      <c r="AZ1275" s="317"/>
      <c r="BA1275" s="317"/>
      <c r="BB1275" s="317"/>
      <c r="BC1275" s="317">
        <v>5.3428677999999995E-4</v>
      </c>
      <c r="BD1275" s="317">
        <v>1.9396717999999999E-5</v>
      </c>
      <c r="BE1275" s="317">
        <v>0.40489375999999999</v>
      </c>
      <c r="BL1275" s="306">
        <v>0.111358574610245</v>
      </c>
      <c r="BM1275" s="275">
        <v>3</v>
      </c>
      <c r="BN1275" s="62">
        <v>0.03</v>
      </c>
      <c r="BO1275" s="33" t="s">
        <v>636</v>
      </c>
      <c r="BP1275" s="262" t="s">
        <v>637</v>
      </c>
    </row>
    <row r="1276" spans="1:74">
      <c r="A1276" s="33" t="str">
        <f>Database_Productkaarten[[#This Row],[Product]]&amp;", "&amp;Database_Productkaarten[[#This Row],[Levensfase]]</f>
        <v>Betontegel 300x300x60, C4</v>
      </c>
      <c r="B1276" s="33" t="s">
        <v>635</v>
      </c>
      <c r="C1276" t="s">
        <v>55</v>
      </c>
      <c r="D1276" s="33" t="s">
        <v>630</v>
      </c>
      <c r="E1276" s="33" t="s">
        <v>385</v>
      </c>
      <c r="F1276" s="33" t="s">
        <v>86</v>
      </c>
      <c r="G1276" s="33">
        <v>0.3</v>
      </c>
      <c r="H1276" s="33">
        <v>0.3</v>
      </c>
      <c r="I1276" s="33">
        <v>0.06</v>
      </c>
      <c r="L1276" s="33">
        <v>2.4</v>
      </c>
      <c r="M1276" s="33">
        <f t="shared" si="452"/>
        <v>0.13969999999999999</v>
      </c>
      <c r="N1276" s="41">
        <v>1E-3</v>
      </c>
      <c r="O1276" s="33">
        <v>25</v>
      </c>
      <c r="P1276" s="163">
        <v>8.19472E-9</v>
      </c>
      <c r="Q1276" s="163">
        <v>9.7709435000000006E-5</v>
      </c>
      <c r="R1276" s="163">
        <v>7.1798347000000002E-3</v>
      </c>
      <c r="S1276" s="163">
        <v>2.3764123E-9</v>
      </c>
      <c r="T1276" s="163">
        <v>7.6086521999999999E-6</v>
      </c>
      <c r="U1276" s="163">
        <v>5.3054630000000001E-5</v>
      </c>
      <c r="V1276" s="163">
        <v>9.9849990000000007E-6</v>
      </c>
      <c r="W1276" s="163">
        <v>2.9271961E-3</v>
      </c>
      <c r="X1276" s="163">
        <v>7.2788014000000007E-5</v>
      </c>
      <c r="Y1276" s="163">
        <v>0.25034600000000001</v>
      </c>
      <c r="Z1276" s="163">
        <v>8.6690715000000001E-6</v>
      </c>
      <c r="AA1276" s="40"/>
      <c r="AV1276" s="313">
        <v>5.2337397000000001E-3</v>
      </c>
      <c r="AW1276" s="317"/>
      <c r="AX1276" s="317"/>
      <c r="AY1276" s="313">
        <v>0.21826527000000001</v>
      </c>
      <c r="AZ1276" s="317"/>
      <c r="BA1276" s="317"/>
      <c r="BB1276" s="317"/>
      <c r="BC1276" s="317">
        <v>2.1998351999999999E-4</v>
      </c>
      <c r="BD1276" s="317">
        <v>1.4826598000000001E-6</v>
      </c>
      <c r="BE1276" s="317">
        <v>1.3435657999999999</v>
      </c>
      <c r="BL1276" s="306">
        <v>0.111358574610245</v>
      </c>
      <c r="BM1276" s="275">
        <v>3</v>
      </c>
      <c r="BN1276" s="62">
        <v>0.03</v>
      </c>
      <c r="BO1276" s="33" t="s">
        <v>636</v>
      </c>
      <c r="BP1276" s="262" t="s">
        <v>637</v>
      </c>
    </row>
    <row r="1277" spans="1:74">
      <c r="A1277" s="33" t="str">
        <f>Database_Productkaarten[[#This Row],[Product]]&amp;", "&amp;Database_Productkaarten[[#This Row],[Levensfase]]</f>
        <v>Betontegel 300x300x60, D</v>
      </c>
      <c r="B1277" s="33" t="str">
        <f>B1278</f>
        <v>Betontegel 300x300x60</v>
      </c>
      <c r="C1277" s="33" t="str">
        <f>C1278</f>
        <v>Elementenverhardingen</v>
      </c>
      <c r="D1277" s="33" t="str">
        <f>D1278</f>
        <v>Betontegel</v>
      </c>
      <c r="E1277" s="33" t="str">
        <f>E1278</f>
        <v>m2</v>
      </c>
      <c r="F1277" s="33" t="s">
        <v>89</v>
      </c>
      <c r="G1277" s="33">
        <f t="shared" ref="G1277:L1277" si="454">G1278</f>
        <v>0.3</v>
      </c>
      <c r="H1277" s="33">
        <f t="shared" si="454"/>
        <v>0.3</v>
      </c>
      <c r="I1277" s="33">
        <f t="shared" si="454"/>
        <v>0.06</v>
      </c>
      <c r="L1277" s="33">
        <f t="shared" si="454"/>
        <v>2.4</v>
      </c>
      <c r="M1277" s="33">
        <f t="shared" si="452"/>
        <v>0.13969999999999999</v>
      </c>
      <c r="N1277" s="41">
        <v>-5.3699999999999998E-2</v>
      </c>
      <c r="O1277" s="33">
        <f>O1278</f>
        <v>25</v>
      </c>
      <c r="P1277" s="163">
        <v>-2.7990154000000002E-6</v>
      </c>
      <c r="Q1277" s="163">
        <v>-3.5341957999999998E-3</v>
      </c>
      <c r="R1277" s="163">
        <v>-0.53331132000000003</v>
      </c>
      <c r="S1277" s="163">
        <v>-4.5331649000000002E-8</v>
      </c>
      <c r="T1277" s="163">
        <v>-3.723248E-4</v>
      </c>
      <c r="U1277" s="163">
        <v>-3.0290413000000002E-3</v>
      </c>
      <c r="V1277" s="163">
        <v>-4.9490142999999997E-4</v>
      </c>
      <c r="W1277" s="163">
        <v>-0.20669227000000001</v>
      </c>
      <c r="X1277" s="163">
        <v>-3.0103412999999998E-3</v>
      </c>
      <c r="Y1277" s="163">
        <v>-14.361605000000001</v>
      </c>
      <c r="Z1277" s="163">
        <v>-1.1698862E-3</v>
      </c>
      <c r="AA1277" s="40"/>
      <c r="AB1277" s="40"/>
      <c r="AC1277" s="40"/>
      <c r="AD1277" s="40"/>
      <c r="AE1277" s="40"/>
      <c r="AF1277" s="40"/>
      <c r="AG1277" s="40"/>
      <c r="AH1277" s="40"/>
      <c r="AI1277" s="40"/>
      <c r="AJ1277" s="40"/>
      <c r="AK1277" s="40"/>
      <c r="AL1277" s="40"/>
      <c r="AM1277" s="40"/>
      <c r="AN1277" s="40"/>
      <c r="AO1277" s="40"/>
      <c r="AP1277" s="40"/>
      <c r="AQ1277" s="40"/>
      <c r="AR1277" s="40"/>
      <c r="AS1277" s="40"/>
      <c r="AT1277" s="40"/>
      <c r="AU1277" s="40"/>
      <c r="AV1277" s="315">
        <v>-0.43395987000000003</v>
      </c>
      <c r="AW1277" s="317"/>
      <c r="AX1277" s="317"/>
      <c r="AY1277" s="313">
        <v>-7.1010669999999996</v>
      </c>
      <c r="AZ1277" s="317"/>
      <c r="BA1277" s="317"/>
      <c r="BB1277" s="317"/>
      <c r="BC1277" s="317">
        <v>-0.17019909999999999</v>
      </c>
      <c r="BD1277" s="315">
        <v>-3.7990704E-5</v>
      </c>
      <c r="BE1277" s="315">
        <v>-6.8121421000000001E-2</v>
      </c>
      <c r="BF1277" s="40"/>
      <c r="BG1277" s="40"/>
      <c r="BH1277" s="40"/>
      <c r="BI1277" s="40"/>
      <c r="BJ1277" s="40"/>
      <c r="BK1277" s="40"/>
      <c r="BL1277" s="306">
        <v>0.111358574610245</v>
      </c>
      <c r="BM1277" s="275">
        <f>BM1278</f>
        <v>3</v>
      </c>
      <c r="BN1277" s="62">
        <v>0.03</v>
      </c>
      <c r="BO1277" s="33" t="str">
        <f>BO1278</f>
        <v>NMD Beontegels 300x300x60 mm grijs</v>
      </c>
      <c r="BP1277" s="262" t="s">
        <v>637</v>
      </c>
    </row>
    <row r="1278" spans="1:74">
      <c r="A1278" s="33" t="str">
        <f>Database_Productkaarten[[#This Row],[Product]]&amp;", "&amp;Database_Productkaarten[[#This Row],[Levensfase]]</f>
        <v>Betontegel 300x300x60, D1</v>
      </c>
      <c r="B1278" s="33" t="s">
        <v>635</v>
      </c>
      <c r="C1278" t="s">
        <v>55</v>
      </c>
      <c r="D1278" s="33" t="s">
        <v>630</v>
      </c>
      <c r="E1278" s="33" t="s">
        <v>385</v>
      </c>
      <c r="F1278" s="33" t="s">
        <v>87</v>
      </c>
      <c r="G1278" s="33">
        <v>0.3</v>
      </c>
      <c r="H1278" s="33">
        <v>0.3</v>
      </c>
      <c r="I1278" s="33">
        <v>0.06</v>
      </c>
      <c r="L1278" s="33">
        <v>2.4</v>
      </c>
      <c r="M1278" s="33">
        <f t="shared" si="452"/>
        <v>0.13969999999999999</v>
      </c>
      <c r="N1278" s="41">
        <v>-5.3699999999999998E-2</v>
      </c>
      <c r="O1278" s="33">
        <v>25</v>
      </c>
      <c r="R1278" s="40"/>
      <c r="AV1278" s="316"/>
      <c r="AW1278" s="314"/>
      <c r="AX1278" s="314"/>
      <c r="AY1278" s="316"/>
      <c r="AZ1278" s="314"/>
      <c r="BA1278" s="314"/>
      <c r="BB1278" s="314"/>
      <c r="BC1278" s="314"/>
      <c r="BD1278" s="314"/>
      <c r="BE1278" s="314"/>
      <c r="BL1278" s="306">
        <v>0.111358574610245</v>
      </c>
      <c r="BM1278" s="275">
        <v>3</v>
      </c>
      <c r="BN1278" s="62">
        <v>0.03</v>
      </c>
      <c r="BO1278" s="33" t="s">
        <v>636</v>
      </c>
      <c r="BP1278" s="262" t="s">
        <v>637</v>
      </c>
    </row>
    <row r="1279" spans="1:74">
      <c r="A1279" s="33" t="str">
        <f>Database_Productkaarten[[#This Row],[Product]]&amp;", "&amp;Database_Productkaarten[[#This Row],[Levensfase]]</f>
        <v>Betontegel 300x300x60, D2</v>
      </c>
      <c r="B1279" s="33" t="s">
        <v>635</v>
      </c>
      <c r="C1279" t="s">
        <v>55</v>
      </c>
      <c r="D1279" s="33" t="s">
        <v>630</v>
      </c>
      <c r="E1279" s="33" t="s">
        <v>385</v>
      </c>
      <c r="F1279" s="33" t="s">
        <v>88</v>
      </c>
      <c r="G1279" s="33">
        <v>0.3</v>
      </c>
      <c r="H1279" s="33">
        <v>0.3</v>
      </c>
      <c r="I1279" s="33">
        <v>0.06</v>
      </c>
      <c r="L1279" s="33">
        <v>2.4</v>
      </c>
      <c r="M1279" s="33">
        <f t="shared" si="452"/>
        <v>0.13969999999999999</v>
      </c>
      <c r="N1279" s="41"/>
      <c r="O1279" s="33">
        <v>25</v>
      </c>
      <c r="R1279" s="40"/>
      <c r="AV1279" s="316"/>
      <c r="AW1279" s="314"/>
      <c r="AX1279" s="314"/>
      <c r="AY1279" s="316"/>
      <c r="AZ1279" s="314"/>
      <c r="BA1279" s="314"/>
      <c r="BB1279" s="314"/>
      <c r="BC1279" s="314"/>
      <c r="BD1279" s="314"/>
      <c r="BE1279" s="314"/>
      <c r="BL1279" s="306">
        <v>0.111358574610245</v>
      </c>
      <c r="BM1279" s="275">
        <v>3</v>
      </c>
      <c r="BN1279" s="62">
        <v>0.03</v>
      </c>
      <c r="BO1279" s="33" t="s">
        <v>636</v>
      </c>
      <c r="BP1279" s="262" t="s">
        <v>637</v>
      </c>
    </row>
    <row r="1280" spans="1:74">
      <c r="A1280" s="33" t="str">
        <f>Database_Productkaarten[[#This Row],[Product]]&amp;", "&amp;Database_Productkaarten[[#This Row],[Levensfase]]</f>
        <v>Betontegel 300x300x60 (hergebruik), Totaal</v>
      </c>
      <c r="B1280" s="33" t="s">
        <v>638</v>
      </c>
      <c r="C1280" t="s">
        <v>55</v>
      </c>
      <c r="D1280" s="33" t="s">
        <v>630</v>
      </c>
      <c r="E1280" s="33" t="s">
        <v>385</v>
      </c>
      <c r="F1280" s="33" t="s">
        <v>90</v>
      </c>
      <c r="G1280" s="33">
        <v>0.3</v>
      </c>
      <c r="H1280" s="33">
        <v>0.3</v>
      </c>
      <c r="I1280" s="33">
        <v>0.06</v>
      </c>
      <c r="L1280" s="33">
        <v>2.4</v>
      </c>
      <c r="M1280" s="33">
        <f t="shared" si="452"/>
        <v>0.13969999999999999</v>
      </c>
      <c r="N1280" s="41">
        <f>SUM(N1284:N1292)</f>
        <v>0.79605999999999999</v>
      </c>
      <c r="O1280" s="33">
        <v>25</v>
      </c>
      <c r="P1280" s="163">
        <f t="shared" ref="P1280:Z1280" si="455">SUM(P1284:P1292)</f>
        <v>1.3404868872000001E-5</v>
      </c>
      <c r="Q1280" s="163">
        <f t="shared" si="455"/>
        <v>4.3892085735000003E-2</v>
      </c>
      <c r="R1280" s="163">
        <f t="shared" si="455"/>
        <v>7.4175548496999992</v>
      </c>
      <c r="S1280" s="163">
        <f t="shared" si="455"/>
        <v>9.8859780370000001E-7</v>
      </c>
      <c r="T1280" s="163">
        <f t="shared" si="455"/>
        <v>3.9651526081999995E-3</v>
      </c>
      <c r="U1280" s="163">
        <f t="shared" si="455"/>
        <v>3.1050598579999998E-2</v>
      </c>
      <c r="V1280" s="163">
        <f t="shared" si="455"/>
        <v>6.4303444630000005E-3</v>
      </c>
      <c r="W1280" s="163">
        <f t="shared" si="455"/>
        <v>2.1631396911</v>
      </c>
      <c r="X1280" s="163">
        <f t="shared" si="455"/>
        <v>5.5607628624000011E-2</v>
      </c>
      <c r="Y1280" s="163">
        <f t="shared" si="455"/>
        <v>206.40583875000002</v>
      </c>
      <c r="Z1280" s="163">
        <f t="shared" si="455"/>
        <v>1.0858982421499999E-2</v>
      </c>
      <c r="AA1280" s="40"/>
      <c r="AB1280" s="40"/>
      <c r="AC1280" s="40"/>
      <c r="AD1280" s="40"/>
      <c r="AE1280" s="40"/>
      <c r="AF1280" s="40"/>
      <c r="AG1280" s="40"/>
      <c r="AH1280" s="40"/>
      <c r="AI1280" s="40"/>
      <c r="AJ1280" s="40"/>
      <c r="AK1280" s="40"/>
      <c r="AL1280" s="40"/>
      <c r="AM1280" s="40"/>
      <c r="AN1280" s="40"/>
      <c r="AO1280" s="40"/>
      <c r="AP1280" s="40"/>
      <c r="AQ1280" s="40"/>
      <c r="AR1280" s="40"/>
      <c r="AS1280" s="40"/>
      <c r="AT1280" s="40"/>
      <c r="AU1280" s="40"/>
      <c r="AV1280" s="163">
        <f>SUM(AV1284:AV1292)</f>
        <v>3.0727143727000001</v>
      </c>
      <c r="AW1280" s="40"/>
      <c r="AX1280" s="40"/>
      <c r="AY1280" s="163">
        <f>SUM(AY1284:AY1292)</f>
        <v>97.702187569999992</v>
      </c>
      <c r="AZ1280" s="40"/>
      <c r="BA1280" s="40"/>
      <c r="BB1280" s="40"/>
      <c r="BC1280" s="163">
        <f t="shared" ref="BC1280:BE1280" si="456">SUM(BC1284:BC1292)</f>
        <v>0.18343345911000003</v>
      </c>
      <c r="BD1280" s="163">
        <f t="shared" si="456"/>
        <v>1.1690430154945002</v>
      </c>
      <c r="BE1280" s="163">
        <f t="shared" si="456"/>
        <v>5.4974412596999995</v>
      </c>
      <c r="BF1280" s="40"/>
      <c r="BG1280" s="40"/>
      <c r="BH1280" s="40"/>
      <c r="BI1280" s="40"/>
      <c r="BJ1280" s="40"/>
      <c r="BK1280" s="40"/>
      <c r="BL1280" s="62">
        <v>1</v>
      </c>
      <c r="BM1280" s="275">
        <v>3</v>
      </c>
      <c r="BN1280" s="62">
        <v>0.03</v>
      </c>
      <c r="BP1280" s="33" t="s">
        <v>602</v>
      </c>
    </row>
    <row r="1281" spans="1:68">
      <c r="A1281" s="33" t="str">
        <f>Database_Productkaarten[[#This Row],[Product]]&amp;", "&amp;Database_Productkaarten[[#This Row],[Levensfase]]</f>
        <v>Betontegel 300x300x60 (hergebruik), A1</v>
      </c>
      <c r="B1281" s="33" t="s">
        <v>638</v>
      </c>
      <c r="C1281" t="s">
        <v>55</v>
      </c>
      <c r="D1281" s="33" t="s">
        <v>630</v>
      </c>
      <c r="E1281" s="33" t="s">
        <v>385</v>
      </c>
      <c r="F1281" s="33" t="s">
        <v>74</v>
      </c>
      <c r="G1281" s="33">
        <v>0.3</v>
      </c>
      <c r="H1281" s="33">
        <v>0.3</v>
      </c>
      <c r="I1281" s="33">
        <v>0.06</v>
      </c>
      <c r="L1281" s="33">
        <v>2.4</v>
      </c>
      <c r="M1281" s="33">
        <f t="shared" si="452"/>
        <v>0.13969999999999999</v>
      </c>
      <c r="N1281" s="41">
        <v>0</v>
      </c>
      <c r="O1281" s="33">
        <v>25</v>
      </c>
      <c r="P1281" s="163">
        <v>0</v>
      </c>
      <c r="Q1281" s="163">
        <v>0</v>
      </c>
      <c r="R1281" s="163">
        <v>0</v>
      </c>
      <c r="S1281" s="163">
        <v>0</v>
      </c>
      <c r="T1281" s="163">
        <v>0</v>
      </c>
      <c r="U1281" s="163">
        <v>0</v>
      </c>
      <c r="V1281" s="163">
        <v>0</v>
      </c>
      <c r="W1281" s="163">
        <v>0</v>
      </c>
      <c r="X1281" s="163">
        <v>0</v>
      </c>
      <c r="Y1281" s="163">
        <v>0</v>
      </c>
      <c r="Z1281" s="163">
        <v>0</v>
      </c>
      <c r="AA1281" s="40"/>
      <c r="AB1281" s="40"/>
      <c r="AC1281" s="40"/>
      <c r="AD1281" s="40"/>
      <c r="AE1281" s="40"/>
      <c r="AF1281" s="40"/>
      <c r="AG1281" s="40"/>
      <c r="AH1281" s="40"/>
      <c r="AI1281" s="40"/>
      <c r="AJ1281" s="40"/>
      <c r="AK1281" s="40"/>
      <c r="AL1281" s="40"/>
      <c r="AM1281" s="40"/>
      <c r="AN1281" s="40"/>
      <c r="AO1281" s="40"/>
      <c r="AP1281" s="40"/>
      <c r="AQ1281" s="40"/>
      <c r="AR1281" s="40"/>
      <c r="AS1281" s="40"/>
      <c r="AT1281" s="40"/>
      <c r="AU1281" s="40"/>
      <c r="AV1281" s="163">
        <v>0</v>
      </c>
      <c r="AW1281" s="40"/>
      <c r="AX1281" s="40"/>
      <c r="AY1281" s="163">
        <v>0</v>
      </c>
      <c r="AZ1281" s="40"/>
      <c r="BA1281" s="40"/>
      <c r="BB1281" s="40"/>
      <c r="BC1281" s="163">
        <v>0</v>
      </c>
      <c r="BD1281" s="163">
        <v>0</v>
      </c>
      <c r="BE1281" s="163">
        <v>0</v>
      </c>
      <c r="BF1281" s="40"/>
      <c r="BG1281" s="40"/>
      <c r="BH1281" s="40"/>
      <c r="BI1281" s="40"/>
      <c r="BJ1281" s="40"/>
      <c r="BK1281" s="40"/>
      <c r="BL1281" s="62">
        <v>1</v>
      </c>
      <c r="BM1281" s="275">
        <v>3</v>
      </c>
      <c r="BN1281" s="62">
        <v>0.03</v>
      </c>
      <c r="BP1281" s="33" t="s">
        <v>602</v>
      </c>
    </row>
    <row r="1282" spans="1:68">
      <c r="A1282" s="33" t="str">
        <f>Database_Productkaarten[[#This Row],[Product]]&amp;", "&amp;Database_Productkaarten[[#This Row],[Levensfase]]</f>
        <v>Betontegel 300x300x60 (hergebruik), A2</v>
      </c>
      <c r="B1282" s="33" t="s">
        <v>638</v>
      </c>
      <c r="C1282" t="s">
        <v>55</v>
      </c>
      <c r="D1282" s="33" t="s">
        <v>630</v>
      </c>
      <c r="E1282" s="33" t="s">
        <v>385</v>
      </c>
      <c r="F1282" s="33" t="s">
        <v>75</v>
      </c>
      <c r="G1282" s="33">
        <v>0.3</v>
      </c>
      <c r="H1282" s="33">
        <v>0.3</v>
      </c>
      <c r="I1282" s="33">
        <v>0.06</v>
      </c>
      <c r="L1282" s="33">
        <v>2.4</v>
      </c>
      <c r="M1282" s="33">
        <f t="shared" si="452"/>
        <v>0.13969999999999999</v>
      </c>
      <c r="N1282" s="41">
        <v>0</v>
      </c>
      <c r="O1282" s="33">
        <v>25</v>
      </c>
      <c r="P1282" s="163">
        <v>0</v>
      </c>
      <c r="Q1282" s="163">
        <v>0</v>
      </c>
      <c r="R1282" s="163">
        <v>0</v>
      </c>
      <c r="S1282" s="163">
        <v>0</v>
      </c>
      <c r="T1282" s="163">
        <v>0</v>
      </c>
      <c r="U1282" s="163">
        <v>0</v>
      </c>
      <c r="V1282" s="163">
        <v>0</v>
      </c>
      <c r="W1282" s="163">
        <v>0</v>
      </c>
      <c r="X1282" s="163">
        <v>0</v>
      </c>
      <c r="Y1282" s="163">
        <v>0</v>
      </c>
      <c r="Z1282" s="163">
        <v>0</v>
      </c>
      <c r="AA1282" s="40"/>
      <c r="AB1282" s="40"/>
      <c r="AC1282" s="40"/>
      <c r="AD1282" s="40"/>
      <c r="AE1282" s="40"/>
      <c r="AF1282" s="40"/>
      <c r="AG1282" s="40"/>
      <c r="AH1282" s="40"/>
      <c r="AI1282" s="40"/>
      <c r="AJ1282" s="40"/>
      <c r="AK1282" s="40"/>
      <c r="AL1282" s="40"/>
      <c r="AM1282" s="40"/>
      <c r="AN1282" s="40"/>
      <c r="AO1282" s="40"/>
      <c r="AP1282" s="40"/>
      <c r="AQ1282" s="40"/>
      <c r="AR1282" s="40"/>
      <c r="AS1282" s="40"/>
      <c r="AT1282" s="40"/>
      <c r="AU1282" s="40"/>
      <c r="AV1282" s="163">
        <v>0</v>
      </c>
      <c r="AW1282" s="40"/>
      <c r="AX1282" s="40"/>
      <c r="AY1282" s="163">
        <v>0</v>
      </c>
      <c r="AZ1282" s="40"/>
      <c r="BA1282" s="40"/>
      <c r="BB1282" s="40"/>
      <c r="BC1282" s="163">
        <v>0</v>
      </c>
      <c r="BD1282" s="163">
        <v>0</v>
      </c>
      <c r="BE1282" s="163">
        <v>0</v>
      </c>
      <c r="BF1282" s="40"/>
      <c r="BG1282" s="40"/>
      <c r="BH1282" s="40"/>
      <c r="BI1282" s="40"/>
      <c r="BJ1282" s="40"/>
      <c r="BK1282" s="40"/>
      <c r="BL1282" s="62">
        <v>1</v>
      </c>
      <c r="BM1282" s="275">
        <v>3</v>
      </c>
      <c r="BN1282" s="62">
        <v>0.03</v>
      </c>
      <c r="BP1282" s="33" t="s">
        <v>602</v>
      </c>
    </row>
    <row r="1283" spans="1:68">
      <c r="A1283" s="33" t="str">
        <f>Database_Productkaarten[[#This Row],[Product]]&amp;", "&amp;Database_Productkaarten[[#This Row],[Levensfase]]</f>
        <v>Betontegel 300x300x60 (hergebruik), A3</v>
      </c>
      <c r="B1283" s="33" t="s">
        <v>638</v>
      </c>
      <c r="C1283" t="s">
        <v>55</v>
      </c>
      <c r="D1283" s="33" t="s">
        <v>630</v>
      </c>
      <c r="E1283" s="33" t="s">
        <v>385</v>
      </c>
      <c r="F1283" s="33" t="s">
        <v>76</v>
      </c>
      <c r="G1283" s="33">
        <v>0.3</v>
      </c>
      <c r="H1283" s="33">
        <v>0.3</v>
      </c>
      <c r="I1283" s="33">
        <v>0.06</v>
      </c>
      <c r="L1283" s="33">
        <v>2.4</v>
      </c>
      <c r="M1283" s="33">
        <f t="shared" si="452"/>
        <v>0.13969999999999999</v>
      </c>
      <c r="N1283" s="41">
        <v>0</v>
      </c>
      <c r="O1283" s="33">
        <v>25</v>
      </c>
      <c r="P1283" s="163">
        <v>0</v>
      </c>
      <c r="Q1283" s="163">
        <v>0</v>
      </c>
      <c r="R1283" s="163">
        <v>0</v>
      </c>
      <c r="S1283" s="163">
        <v>0</v>
      </c>
      <c r="T1283" s="163">
        <v>0</v>
      </c>
      <c r="U1283" s="163">
        <v>0</v>
      </c>
      <c r="V1283" s="163">
        <v>0</v>
      </c>
      <c r="W1283" s="163">
        <v>0</v>
      </c>
      <c r="X1283" s="163">
        <v>0</v>
      </c>
      <c r="Y1283" s="163">
        <v>0</v>
      </c>
      <c r="Z1283" s="163">
        <v>0</v>
      </c>
      <c r="AA1283" s="40"/>
      <c r="AB1283" s="40"/>
      <c r="AC1283" s="40"/>
      <c r="AD1283" s="40"/>
      <c r="AE1283" s="40"/>
      <c r="AF1283" s="40"/>
      <c r="AG1283" s="40"/>
      <c r="AH1283" s="40"/>
      <c r="AI1283" s="40"/>
      <c r="AJ1283" s="40"/>
      <c r="AK1283" s="40"/>
      <c r="AL1283" s="40"/>
      <c r="AM1283" s="40"/>
      <c r="AN1283" s="40"/>
      <c r="AO1283" s="40"/>
      <c r="AP1283" s="40"/>
      <c r="AQ1283" s="40"/>
      <c r="AR1283" s="40"/>
      <c r="AS1283" s="40"/>
      <c r="AT1283" s="40"/>
      <c r="AU1283" s="40"/>
      <c r="AV1283" s="163">
        <v>0</v>
      </c>
      <c r="AW1283" s="40"/>
      <c r="AX1283" s="40"/>
      <c r="AY1283" s="163">
        <v>0</v>
      </c>
      <c r="AZ1283" s="40"/>
      <c r="BA1283" s="40"/>
      <c r="BB1283" s="40"/>
      <c r="BC1283" s="163">
        <v>0</v>
      </c>
      <c r="BD1283" s="163">
        <v>0</v>
      </c>
      <c r="BE1283" s="163">
        <v>0</v>
      </c>
      <c r="BF1283" s="40"/>
      <c r="BG1283" s="40"/>
      <c r="BH1283" s="40"/>
      <c r="BI1283" s="40"/>
      <c r="BJ1283" s="40"/>
      <c r="BK1283" s="40"/>
      <c r="BL1283" s="62">
        <v>1</v>
      </c>
      <c r="BM1283" s="275">
        <v>3</v>
      </c>
      <c r="BN1283" s="62">
        <v>0.03</v>
      </c>
      <c r="BP1283" s="33" t="s">
        <v>602</v>
      </c>
    </row>
    <row r="1284" spans="1:68">
      <c r="A1284" s="33" t="str">
        <f>Database_Productkaarten[[#This Row],[Product]]&amp;", "&amp;Database_Productkaarten[[#This Row],[Levensfase]]</f>
        <v>Betontegel 300x300x60 (hergebruik), A1-A3</v>
      </c>
      <c r="B1284" s="33" t="s">
        <v>638</v>
      </c>
      <c r="C1284" t="s">
        <v>55</v>
      </c>
      <c r="D1284" s="33" t="s">
        <v>630</v>
      </c>
      <c r="E1284" s="33" t="s">
        <v>385</v>
      </c>
      <c r="F1284" s="33" t="s">
        <v>77</v>
      </c>
      <c r="G1284" s="33">
        <v>0.3</v>
      </c>
      <c r="H1284" s="33">
        <v>0.3</v>
      </c>
      <c r="I1284" s="33">
        <v>0.06</v>
      </c>
      <c r="L1284" s="33">
        <v>2.4</v>
      </c>
      <c r="M1284" s="33">
        <f t="shared" si="452"/>
        <v>0.13969999999999999</v>
      </c>
      <c r="N1284" s="41">
        <v>0</v>
      </c>
      <c r="O1284" s="33">
        <v>25</v>
      </c>
      <c r="P1284" s="163">
        <v>0</v>
      </c>
      <c r="Q1284" s="163">
        <v>0</v>
      </c>
      <c r="R1284" s="163">
        <v>0</v>
      </c>
      <c r="S1284" s="163">
        <v>0</v>
      </c>
      <c r="T1284" s="163">
        <v>0</v>
      </c>
      <c r="U1284" s="163">
        <v>0</v>
      </c>
      <c r="V1284" s="163">
        <v>0</v>
      </c>
      <c r="W1284" s="163">
        <v>0</v>
      </c>
      <c r="X1284" s="163">
        <v>0</v>
      </c>
      <c r="Y1284" s="163">
        <v>0</v>
      </c>
      <c r="Z1284" s="163">
        <v>0</v>
      </c>
      <c r="AA1284" s="40"/>
      <c r="AB1284" s="40"/>
      <c r="AC1284" s="40"/>
      <c r="AD1284" s="40"/>
      <c r="AE1284" s="40"/>
      <c r="AF1284" s="40"/>
      <c r="AG1284" s="40"/>
      <c r="AH1284" s="40"/>
      <c r="AI1284" s="40"/>
      <c r="AJ1284" s="40"/>
      <c r="AK1284" s="40"/>
      <c r="AL1284" s="40"/>
      <c r="AM1284" s="40"/>
      <c r="AN1284" s="40"/>
      <c r="AO1284" s="40"/>
      <c r="AP1284" s="40"/>
      <c r="AQ1284" s="40"/>
      <c r="AR1284" s="40"/>
      <c r="AS1284" s="40"/>
      <c r="AT1284" s="40"/>
      <c r="AU1284" s="40"/>
      <c r="AV1284" s="163">
        <v>0</v>
      </c>
      <c r="AW1284" s="40"/>
      <c r="AX1284" s="40"/>
      <c r="AY1284" s="163">
        <v>0</v>
      </c>
      <c r="AZ1284" s="40"/>
      <c r="BA1284" s="40"/>
      <c r="BB1284" s="40"/>
      <c r="BC1284" s="163">
        <v>0</v>
      </c>
      <c r="BD1284" s="163">
        <v>0</v>
      </c>
      <c r="BE1284" s="163">
        <v>0</v>
      </c>
      <c r="BF1284" s="40"/>
      <c r="BG1284" s="40"/>
      <c r="BH1284" s="40"/>
      <c r="BI1284" s="40"/>
      <c r="BJ1284" s="40"/>
      <c r="BK1284" s="40"/>
      <c r="BL1284" s="62">
        <v>1</v>
      </c>
      <c r="BM1284" s="275">
        <v>3</v>
      </c>
      <c r="BN1284" s="62">
        <v>0.03</v>
      </c>
      <c r="BP1284" s="33" t="s">
        <v>602</v>
      </c>
    </row>
    <row r="1285" spans="1:68">
      <c r="A1285" s="33" t="str">
        <f>Database_Productkaarten[[#This Row],[Product]]&amp;", "&amp;Database_Productkaarten[[#This Row],[Levensfase]]</f>
        <v>Betontegel 300x300x60 (hergebruik), A4</v>
      </c>
      <c r="B1285" s="33" t="s">
        <v>638</v>
      </c>
      <c r="C1285" t="s">
        <v>55</v>
      </c>
      <c r="D1285" s="33" t="s">
        <v>630</v>
      </c>
      <c r="E1285" s="33" t="s">
        <v>385</v>
      </c>
      <c r="F1285" s="33" t="s">
        <v>78</v>
      </c>
      <c r="G1285" s="33">
        <v>0.3</v>
      </c>
      <c r="H1285" s="33">
        <v>0.3</v>
      </c>
      <c r="I1285" s="33">
        <v>0.06</v>
      </c>
      <c r="L1285" s="33">
        <v>2.4</v>
      </c>
      <c r="M1285" s="33">
        <f t="shared" si="452"/>
        <v>0.13969999999999999</v>
      </c>
      <c r="N1285" s="41">
        <f>N1270</f>
        <v>0.31669999999999998</v>
      </c>
      <c r="O1285" s="33">
        <v>25</v>
      </c>
      <c r="P1285" s="163">
        <f t="shared" ref="P1285:Z1285" si="457">P1270</f>
        <v>7.5557104999999999E-6</v>
      </c>
      <c r="Q1285" s="163">
        <f t="shared" si="457"/>
        <v>1.9611105E-2</v>
      </c>
      <c r="R1285" s="163">
        <f t="shared" si="457"/>
        <v>2.6568768999999999</v>
      </c>
      <c r="S1285" s="163">
        <f t="shared" si="457"/>
        <v>4.8960998000000003E-7</v>
      </c>
      <c r="T1285" s="163">
        <f t="shared" si="457"/>
        <v>1.5681733000000001E-3</v>
      </c>
      <c r="U1285" s="163">
        <f t="shared" si="457"/>
        <v>1.1518708000000001E-2</v>
      </c>
      <c r="V1285" s="163">
        <f t="shared" si="457"/>
        <v>2.2953654999999999E-3</v>
      </c>
      <c r="W1285" s="163">
        <f t="shared" si="457"/>
        <v>1.0629584000000001</v>
      </c>
      <c r="X1285" s="163">
        <f t="shared" si="457"/>
        <v>3.117514E-2</v>
      </c>
      <c r="Y1285" s="163">
        <f t="shared" si="457"/>
        <v>112.52032</v>
      </c>
      <c r="Z1285" s="163">
        <f t="shared" si="457"/>
        <v>3.7661980000000001E-3</v>
      </c>
      <c r="AA1285" s="40"/>
      <c r="AB1285" s="40"/>
      <c r="AC1285" s="40"/>
      <c r="AD1285" s="40"/>
      <c r="AE1285" s="40"/>
      <c r="AF1285" s="40"/>
      <c r="AG1285" s="40"/>
      <c r="AH1285" s="40"/>
      <c r="AI1285" s="40"/>
      <c r="AJ1285" s="40"/>
      <c r="AK1285" s="40"/>
      <c r="AL1285" s="40"/>
      <c r="AM1285" s="40"/>
      <c r="AN1285" s="40"/>
      <c r="AO1285" s="40"/>
      <c r="AP1285" s="40"/>
      <c r="AQ1285" s="40"/>
      <c r="AR1285" s="40"/>
      <c r="AS1285" s="40"/>
      <c r="AT1285" s="40"/>
      <c r="AU1285" s="40"/>
      <c r="AV1285" s="163">
        <f>AV1270</f>
        <v>0.55950036000000003</v>
      </c>
      <c r="AW1285" s="40"/>
      <c r="AX1285" s="40"/>
      <c r="AY1285" s="163">
        <f>AY1270</f>
        <v>43.719259999999998</v>
      </c>
      <c r="AZ1285" s="40"/>
      <c r="BA1285" s="40"/>
      <c r="BB1285" s="40"/>
      <c r="BC1285" s="163">
        <f t="shared" ref="BC1285:BE1285" si="458">BC1270</f>
        <v>7.8627997000000008E-3</v>
      </c>
      <c r="BD1285" s="163">
        <f t="shared" si="458"/>
        <v>3.0193697000000002E-4</v>
      </c>
      <c r="BE1285" s="163">
        <f t="shared" si="458"/>
        <v>2.5130161000000002</v>
      </c>
      <c r="BF1285" s="40"/>
      <c r="BG1285" s="40"/>
      <c r="BH1285" s="40"/>
      <c r="BI1285" s="40"/>
      <c r="BJ1285" s="40"/>
      <c r="BK1285" s="40"/>
      <c r="BL1285" s="62">
        <v>1</v>
      </c>
      <c r="BM1285" s="275">
        <v>3</v>
      </c>
      <c r="BN1285" s="62">
        <v>0.03</v>
      </c>
      <c r="BP1285" s="33" t="s">
        <v>602</v>
      </c>
    </row>
    <row r="1286" spans="1:68">
      <c r="A1286" s="33" t="str">
        <f>Database_Productkaarten[[#This Row],[Product]]&amp;", "&amp;Database_Productkaarten[[#This Row],[Levensfase]]</f>
        <v>Betontegel 300x300x60 (hergebruik), A5</v>
      </c>
      <c r="B1286" s="33" t="s">
        <v>638</v>
      </c>
      <c r="C1286" t="s">
        <v>55</v>
      </c>
      <c r="D1286" s="33" t="s">
        <v>630</v>
      </c>
      <c r="E1286" s="33" t="s">
        <v>385</v>
      </c>
      <c r="F1286" s="33" t="s">
        <v>79</v>
      </c>
      <c r="G1286" s="33">
        <v>0.3</v>
      </c>
      <c r="H1286" s="33">
        <v>0.3</v>
      </c>
      <c r="I1286" s="33">
        <v>0.06</v>
      </c>
      <c r="L1286" s="33">
        <v>2.4</v>
      </c>
      <c r="M1286" s="33">
        <f t="shared" si="452"/>
        <v>0.13969999999999999</v>
      </c>
      <c r="N1286" s="41">
        <f t="shared" ref="N1286:N1291" si="459">N1271</f>
        <v>0.126</v>
      </c>
      <c r="O1286" s="33">
        <v>25</v>
      </c>
      <c r="P1286" s="163">
        <f t="shared" ref="P1286:Z1286" si="460">P1271</f>
        <v>1.0128221999999999E-6</v>
      </c>
      <c r="Q1286" s="163">
        <f t="shared" si="460"/>
        <v>6.4681814999999997E-3</v>
      </c>
      <c r="R1286" s="163">
        <f t="shared" si="460"/>
        <v>1.2376072</v>
      </c>
      <c r="S1286" s="163">
        <f t="shared" si="460"/>
        <v>1.4343788999999999E-7</v>
      </c>
      <c r="T1286" s="163">
        <f t="shared" si="460"/>
        <v>7.6830921999999999E-4</v>
      </c>
      <c r="U1286" s="163">
        <f t="shared" si="460"/>
        <v>6.1114207999999996E-3</v>
      </c>
      <c r="V1286" s="163">
        <f t="shared" si="460"/>
        <v>1.3309079E-3</v>
      </c>
      <c r="W1286" s="163">
        <f t="shared" si="460"/>
        <v>0.30286583</v>
      </c>
      <c r="X1286" s="163">
        <f t="shared" si="460"/>
        <v>5.5296080999999997E-3</v>
      </c>
      <c r="Y1286" s="163">
        <f t="shared" si="460"/>
        <v>20.811005999999999</v>
      </c>
      <c r="Z1286" s="163">
        <f t="shared" si="460"/>
        <v>1.4923339000000001E-3</v>
      </c>
      <c r="AA1286" s="40"/>
      <c r="AB1286" s="40"/>
      <c r="AC1286" s="40"/>
      <c r="AD1286" s="40"/>
      <c r="AE1286" s="40"/>
      <c r="AF1286" s="40"/>
      <c r="AG1286" s="40"/>
      <c r="AH1286" s="40"/>
      <c r="AI1286" s="40"/>
      <c r="AJ1286" s="40"/>
      <c r="AK1286" s="40"/>
      <c r="AL1286" s="40"/>
      <c r="AM1286" s="40"/>
      <c r="AN1286" s="40"/>
      <c r="AO1286" s="40"/>
      <c r="AP1286" s="40"/>
      <c r="AQ1286" s="40"/>
      <c r="AR1286" s="40"/>
      <c r="AS1286" s="40"/>
      <c r="AT1286" s="40"/>
      <c r="AU1286" s="40"/>
      <c r="AV1286" s="163">
        <f t="shared" ref="AV1286:AV1291" si="461">AV1271</f>
        <v>0.53371623999999995</v>
      </c>
      <c r="AW1286" s="40"/>
      <c r="AX1286" s="40"/>
      <c r="AY1286" s="163">
        <f t="shared" ref="AY1286:AY1291" si="462">AY1271</f>
        <v>14.479232</v>
      </c>
      <c r="AZ1286" s="40"/>
      <c r="BA1286" s="40"/>
      <c r="BB1286" s="40"/>
      <c r="BC1286" s="163">
        <f t="shared" ref="BC1286:BE1286" si="463">BC1271</f>
        <v>3.6475296999999997E-2</v>
      </c>
      <c r="BD1286" s="163">
        <f t="shared" si="463"/>
        <v>0.26972456</v>
      </c>
      <c r="BE1286" s="163">
        <f t="shared" si="463"/>
        <v>0.21224876000000001</v>
      </c>
      <c r="BF1286" s="40"/>
      <c r="BG1286" s="40"/>
      <c r="BH1286" s="40"/>
      <c r="BI1286" s="40"/>
      <c r="BJ1286" s="40"/>
      <c r="BK1286" s="40"/>
      <c r="BL1286" s="62">
        <v>1</v>
      </c>
      <c r="BM1286" s="275">
        <v>3</v>
      </c>
      <c r="BN1286" s="62">
        <v>0.03</v>
      </c>
      <c r="BP1286" s="33" t="s">
        <v>602</v>
      </c>
    </row>
    <row r="1287" spans="1:68">
      <c r="A1287" s="33" t="str">
        <f>Database_Productkaarten[[#This Row],[Product]]&amp;", "&amp;Database_Productkaarten[[#This Row],[Levensfase]]</f>
        <v>Betontegel 300x300x60 (hergebruik), B1</v>
      </c>
      <c r="B1287" s="33" t="s">
        <v>638</v>
      </c>
      <c r="C1287" t="s">
        <v>55</v>
      </c>
      <c r="D1287" s="33" t="s">
        <v>630</v>
      </c>
      <c r="E1287" s="33" t="s">
        <v>385</v>
      </c>
      <c r="F1287" s="33" t="s">
        <v>80</v>
      </c>
      <c r="G1287" s="33">
        <v>0.3</v>
      </c>
      <c r="H1287" s="33">
        <v>0.3</v>
      </c>
      <c r="I1287" s="33">
        <v>0.06</v>
      </c>
      <c r="L1287" s="33">
        <v>2.4</v>
      </c>
      <c r="M1287" s="33">
        <f t="shared" si="452"/>
        <v>0.13969999999999999</v>
      </c>
      <c r="N1287" s="41">
        <f t="shared" si="459"/>
        <v>0</v>
      </c>
      <c r="O1287" s="33">
        <v>25</v>
      </c>
      <c r="P1287" s="163">
        <f t="shared" ref="P1287:Z1287" si="464">P1272</f>
        <v>0</v>
      </c>
      <c r="Q1287" s="163">
        <f t="shared" si="464"/>
        <v>0</v>
      </c>
      <c r="R1287" s="163">
        <f t="shared" si="464"/>
        <v>0</v>
      </c>
      <c r="S1287" s="163">
        <f t="shared" si="464"/>
        <v>0</v>
      </c>
      <c r="T1287" s="163">
        <f t="shared" si="464"/>
        <v>0</v>
      </c>
      <c r="U1287" s="163">
        <f t="shared" si="464"/>
        <v>0</v>
      </c>
      <c r="V1287" s="163">
        <f t="shared" si="464"/>
        <v>0</v>
      </c>
      <c r="W1287" s="163">
        <f t="shared" si="464"/>
        <v>0</v>
      </c>
      <c r="X1287" s="163">
        <f t="shared" si="464"/>
        <v>0</v>
      </c>
      <c r="Y1287" s="163">
        <f t="shared" si="464"/>
        <v>0</v>
      </c>
      <c r="Z1287" s="163">
        <f t="shared" si="464"/>
        <v>0</v>
      </c>
      <c r="AA1287" s="40"/>
      <c r="AB1287" s="40"/>
      <c r="AC1287" s="40"/>
      <c r="AD1287" s="40"/>
      <c r="AE1287" s="40"/>
      <c r="AF1287" s="40"/>
      <c r="AG1287" s="40"/>
      <c r="AH1287" s="40"/>
      <c r="AI1287" s="40"/>
      <c r="AJ1287" s="40"/>
      <c r="AK1287" s="40"/>
      <c r="AL1287" s="40"/>
      <c r="AM1287" s="40"/>
      <c r="AN1287" s="40"/>
      <c r="AO1287" s="40"/>
      <c r="AP1287" s="40"/>
      <c r="AQ1287" s="40"/>
      <c r="AR1287" s="40"/>
      <c r="AS1287" s="40"/>
      <c r="AT1287" s="40"/>
      <c r="AU1287" s="40"/>
      <c r="AV1287" s="163">
        <f t="shared" si="461"/>
        <v>0</v>
      </c>
      <c r="AW1287" s="40"/>
      <c r="AX1287" s="40"/>
      <c r="AY1287" s="163">
        <f t="shared" si="462"/>
        <v>0</v>
      </c>
      <c r="AZ1287" s="40"/>
      <c r="BA1287" s="40"/>
      <c r="BB1287" s="40"/>
      <c r="BC1287" s="163">
        <f t="shared" ref="BC1287:BE1287" si="465">BC1272</f>
        <v>0</v>
      </c>
      <c r="BD1287" s="163">
        <f t="shared" si="465"/>
        <v>0</v>
      </c>
      <c r="BE1287" s="163">
        <f t="shared" si="465"/>
        <v>0</v>
      </c>
      <c r="BF1287" s="40"/>
      <c r="BG1287" s="40"/>
      <c r="BH1287" s="40"/>
      <c r="BI1287" s="40"/>
      <c r="BJ1287" s="40"/>
      <c r="BK1287" s="40"/>
      <c r="BL1287" s="62">
        <v>1</v>
      </c>
      <c r="BM1287" s="275">
        <v>3</v>
      </c>
      <c r="BN1287" s="62">
        <v>0.03</v>
      </c>
      <c r="BP1287" s="33" t="s">
        <v>602</v>
      </c>
    </row>
    <row r="1288" spans="1:68">
      <c r="A1288" s="33" t="str">
        <f>Database_Productkaarten[[#This Row],[Product]]&amp;", "&amp;Database_Productkaarten[[#This Row],[Levensfase]]</f>
        <v>Betontegel 300x300x60 (hergebruik), C1</v>
      </c>
      <c r="B1288" s="33" t="s">
        <v>638</v>
      </c>
      <c r="C1288" t="s">
        <v>55</v>
      </c>
      <c r="D1288" s="33" t="s">
        <v>630</v>
      </c>
      <c r="E1288" s="33" t="s">
        <v>385</v>
      </c>
      <c r="F1288" s="33" t="s">
        <v>83</v>
      </c>
      <c r="G1288" s="33">
        <v>0.3</v>
      </c>
      <c r="H1288" s="33">
        <v>0.3</v>
      </c>
      <c r="I1288" s="33">
        <v>0.06</v>
      </c>
      <c r="L1288" s="33">
        <v>2.4</v>
      </c>
      <c r="M1288" s="33">
        <f t="shared" si="452"/>
        <v>0.13969999999999999</v>
      </c>
      <c r="N1288" s="41">
        <f t="shared" si="459"/>
        <v>7.9399999999999998E-2</v>
      </c>
      <c r="O1288" s="33">
        <v>25</v>
      </c>
      <c r="P1288" s="163">
        <f t="shared" ref="P1288:Z1288" si="466">P1273</f>
        <v>1.9924427999999999E-7</v>
      </c>
      <c r="Q1288" s="163">
        <f t="shared" si="466"/>
        <v>4.1050855000000002E-3</v>
      </c>
      <c r="R1288" s="163">
        <f t="shared" si="466"/>
        <v>0.59497279999999997</v>
      </c>
      <c r="S1288" s="163">
        <f t="shared" si="466"/>
        <v>1.0716769E-7</v>
      </c>
      <c r="T1288" s="163">
        <f t="shared" si="466"/>
        <v>5.9971757000000004E-4</v>
      </c>
      <c r="U1288" s="163">
        <f t="shared" si="466"/>
        <v>4.5018584999999998E-3</v>
      </c>
      <c r="V1288" s="163">
        <f t="shared" si="466"/>
        <v>1.0080613000000001E-3</v>
      </c>
      <c r="W1288" s="163">
        <f t="shared" si="466"/>
        <v>0.21061642999999999</v>
      </c>
      <c r="X1288" s="163">
        <f t="shared" si="466"/>
        <v>2.9454494999999999E-3</v>
      </c>
      <c r="Y1288" s="163">
        <f t="shared" si="466"/>
        <v>9.9845778999999997</v>
      </c>
      <c r="Z1288" s="163">
        <f t="shared" si="466"/>
        <v>3.5193415999999999E-4</v>
      </c>
      <c r="AA1288" s="40"/>
      <c r="AB1288" s="40"/>
      <c r="AC1288" s="40"/>
      <c r="AD1288" s="40"/>
      <c r="AE1288" s="40"/>
      <c r="AF1288" s="40"/>
      <c r="AG1288" s="40"/>
      <c r="AH1288" s="40"/>
      <c r="AI1288" s="40"/>
      <c r="AJ1288" s="40"/>
      <c r="AK1288" s="40"/>
      <c r="AL1288" s="40"/>
      <c r="AM1288" s="40"/>
      <c r="AN1288" s="40"/>
      <c r="AO1288" s="40"/>
      <c r="AP1288" s="40"/>
      <c r="AQ1288" s="40"/>
      <c r="AR1288" s="40"/>
      <c r="AS1288" s="40"/>
      <c r="AT1288" s="40"/>
      <c r="AU1288" s="40"/>
      <c r="AV1288" s="163">
        <f t="shared" si="461"/>
        <v>4.9442172999999999E-2</v>
      </c>
      <c r="AW1288" s="40"/>
      <c r="AX1288" s="40"/>
      <c r="AY1288" s="163">
        <f t="shared" si="462"/>
        <v>9.2085135000000005</v>
      </c>
      <c r="AZ1288" s="40"/>
      <c r="BA1288" s="40"/>
      <c r="BB1288" s="40"/>
      <c r="BC1288" s="163">
        <f t="shared" ref="BC1288:BE1288" si="467">BC1273</f>
        <v>7.5919631999999998E-4</v>
      </c>
      <c r="BD1288" s="163">
        <f t="shared" si="467"/>
        <v>6.3751571999999998E-5</v>
      </c>
      <c r="BE1288" s="163">
        <f t="shared" si="467"/>
        <v>9.3962368000000008E-3</v>
      </c>
      <c r="BF1288" s="40"/>
      <c r="BG1288" s="40"/>
      <c r="BH1288" s="40"/>
      <c r="BI1288" s="40"/>
      <c r="BJ1288" s="40"/>
      <c r="BK1288" s="40"/>
      <c r="BL1288" s="62">
        <v>1</v>
      </c>
      <c r="BM1288" s="275">
        <v>3</v>
      </c>
      <c r="BN1288" s="62">
        <v>0.03</v>
      </c>
      <c r="BP1288" s="33" t="s">
        <v>602</v>
      </c>
    </row>
    <row r="1289" spans="1:68">
      <c r="A1289" s="33" t="str">
        <f>Database_Productkaarten[[#This Row],[Product]]&amp;", "&amp;Database_Productkaarten[[#This Row],[Levensfase]]</f>
        <v>Betontegel 300x300x60 (hergebruik), C2</v>
      </c>
      <c r="B1289" s="33" t="s">
        <v>638</v>
      </c>
      <c r="C1289" t="s">
        <v>55</v>
      </c>
      <c r="D1289" s="33" t="s">
        <v>630</v>
      </c>
      <c r="E1289" s="33" t="s">
        <v>385</v>
      </c>
      <c r="F1289" s="33" t="s">
        <v>84</v>
      </c>
      <c r="G1289" s="33">
        <v>0.3</v>
      </c>
      <c r="H1289" s="33">
        <v>0.3</v>
      </c>
      <c r="I1289" s="33">
        <v>0.06</v>
      </c>
      <c r="L1289" s="33">
        <v>2.4</v>
      </c>
      <c r="M1289" s="33">
        <f t="shared" si="452"/>
        <v>0.13969999999999999</v>
      </c>
      <c r="N1289" s="41">
        <f t="shared" si="459"/>
        <v>0.1066</v>
      </c>
      <c r="O1289" s="33">
        <v>25</v>
      </c>
      <c r="P1289" s="163">
        <f t="shared" ref="P1289:Z1289" si="468">P1274</f>
        <v>2.530517E-6</v>
      </c>
      <c r="Q1289" s="163">
        <f t="shared" si="468"/>
        <v>6.5680434000000001E-3</v>
      </c>
      <c r="R1289" s="163">
        <f t="shared" si="468"/>
        <v>0.88982660000000002</v>
      </c>
      <c r="S1289" s="163">
        <f t="shared" si="468"/>
        <v>1.6397748000000001E-7</v>
      </c>
      <c r="T1289" s="163">
        <f t="shared" si="468"/>
        <v>5.2520398999999997E-4</v>
      </c>
      <c r="U1289" s="163">
        <f t="shared" si="468"/>
        <v>3.8577822000000002E-3</v>
      </c>
      <c r="V1289" s="163">
        <f t="shared" si="468"/>
        <v>7.6875119000000003E-4</v>
      </c>
      <c r="W1289" s="163">
        <f t="shared" si="468"/>
        <v>0.35600018999999999</v>
      </c>
      <c r="X1289" s="163">
        <f t="shared" si="468"/>
        <v>1.0441005999999999E-2</v>
      </c>
      <c r="Y1289" s="163">
        <f t="shared" si="468"/>
        <v>37.684686999999997</v>
      </c>
      <c r="Z1289" s="163">
        <f t="shared" si="468"/>
        <v>1.2613543E-3</v>
      </c>
      <c r="AA1289" s="40"/>
      <c r="AB1289" s="40"/>
      <c r="AC1289" s="40"/>
      <c r="AD1289" s="40"/>
      <c r="AE1289" s="40"/>
      <c r="AF1289" s="40"/>
      <c r="AG1289" s="40"/>
      <c r="AH1289" s="40"/>
      <c r="AI1289" s="40"/>
      <c r="AJ1289" s="40"/>
      <c r="AK1289" s="40"/>
      <c r="AL1289" s="40"/>
      <c r="AM1289" s="40"/>
      <c r="AN1289" s="40"/>
      <c r="AO1289" s="40"/>
      <c r="AP1289" s="40"/>
      <c r="AQ1289" s="40"/>
      <c r="AR1289" s="40"/>
      <c r="AS1289" s="40"/>
      <c r="AT1289" s="40"/>
      <c r="AU1289" s="40"/>
      <c r="AV1289" s="163">
        <f t="shared" si="461"/>
        <v>0.18738478</v>
      </c>
      <c r="AW1289" s="40"/>
      <c r="AX1289" s="40"/>
      <c r="AY1289" s="163">
        <f t="shared" si="462"/>
        <v>14.642213999999999</v>
      </c>
      <c r="AZ1289" s="40"/>
      <c r="BA1289" s="40"/>
      <c r="BB1289" s="40"/>
      <c r="BC1289" s="163">
        <f t="shared" ref="BC1289:BE1289" si="469">BC1274</f>
        <v>2.6333656000000001E-3</v>
      </c>
      <c r="BD1289" s="163">
        <f t="shared" si="469"/>
        <v>1.0112307000000001E-4</v>
      </c>
      <c r="BE1289" s="163">
        <f t="shared" si="469"/>
        <v>0.84164552999999998</v>
      </c>
      <c r="BF1289" s="40"/>
      <c r="BG1289" s="40"/>
      <c r="BH1289" s="40"/>
      <c r="BI1289" s="40"/>
      <c r="BJ1289" s="40"/>
      <c r="BK1289" s="40"/>
      <c r="BL1289" s="62">
        <v>1</v>
      </c>
      <c r="BM1289" s="275">
        <v>3</v>
      </c>
      <c r="BN1289" s="62">
        <v>0.03</v>
      </c>
      <c r="BP1289" s="33" t="s">
        <v>602</v>
      </c>
    </row>
    <row r="1290" spans="1:68">
      <c r="A1290" s="33" t="str">
        <f>Database_Productkaarten[[#This Row],[Product]]&amp;", "&amp;Database_Productkaarten[[#This Row],[Levensfase]]</f>
        <v>Betontegel 300x300x60 (hergebruik), C3</v>
      </c>
      <c r="B1290" s="33" t="s">
        <v>638</v>
      </c>
      <c r="C1290" t="s">
        <v>55</v>
      </c>
      <c r="D1290" s="33" t="s">
        <v>630</v>
      </c>
      <c r="E1290" s="33" t="s">
        <v>385</v>
      </c>
      <c r="F1290" s="33" t="s">
        <v>85</v>
      </c>
      <c r="G1290" s="33">
        <v>0.3</v>
      </c>
      <c r="H1290" s="33">
        <v>0.3</v>
      </c>
      <c r="I1290" s="33">
        <v>0.06</v>
      </c>
      <c r="L1290" s="33">
        <v>2.4</v>
      </c>
      <c r="M1290" s="33">
        <f t="shared" si="452"/>
        <v>0.13969999999999999</v>
      </c>
      <c r="N1290" s="41">
        <f t="shared" si="459"/>
        <v>3.8600000000000002E-2</v>
      </c>
      <c r="O1290" s="33">
        <v>25</v>
      </c>
      <c r="P1290" s="163">
        <f t="shared" ref="P1290:Z1290" si="470">P1275</f>
        <v>1.2888275E-7</v>
      </c>
      <c r="Q1290" s="163">
        <f t="shared" si="470"/>
        <v>1.5991561E-3</v>
      </c>
      <c r="R1290" s="163">
        <f t="shared" si="470"/>
        <v>0.21225993000000001</v>
      </c>
      <c r="S1290" s="163">
        <f t="shared" si="470"/>
        <v>2.4656543E-8</v>
      </c>
      <c r="T1290" s="163">
        <f t="shared" si="470"/>
        <v>1.1892648E-4</v>
      </c>
      <c r="U1290" s="163">
        <f t="shared" si="470"/>
        <v>9.8068580000000008E-4</v>
      </c>
      <c r="V1290" s="163">
        <f t="shared" si="470"/>
        <v>2.2115375000000001E-4</v>
      </c>
      <c r="W1290" s="163">
        <f t="shared" si="470"/>
        <v>4.6436666000000001E-2</v>
      </c>
      <c r="X1290" s="163">
        <f t="shared" si="470"/>
        <v>7.7514931999999996E-4</v>
      </c>
      <c r="Y1290" s="163">
        <f t="shared" si="470"/>
        <v>2.9735377000000001</v>
      </c>
      <c r="Z1290" s="163">
        <f t="shared" si="470"/>
        <v>6.2643786000000001E-4</v>
      </c>
      <c r="AA1290" s="40"/>
      <c r="AB1290" s="40"/>
      <c r="AC1290" s="40"/>
      <c r="AD1290" s="40"/>
      <c r="AE1290" s="40"/>
      <c r="AF1290" s="40"/>
      <c r="AG1290" s="40"/>
      <c r="AH1290" s="40"/>
      <c r="AI1290" s="40"/>
      <c r="AJ1290" s="40"/>
      <c r="AK1290" s="40"/>
      <c r="AL1290" s="40"/>
      <c r="AM1290" s="40"/>
      <c r="AN1290" s="40"/>
      <c r="AO1290" s="40"/>
      <c r="AP1290" s="40"/>
      <c r="AQ1290" s="40"/>
      <c r="AR1290" s="40"/>
      <c r="AS1290" s="40"/>
      <c r="AT1290" s="40"/>
      <c r="AU1290" s="40"/>
      <c r="AV1290" s="163">
        <f t="shared" si="461"/>
        <v>0.17222898</v>
      </c>
      <c r="AW1290" s="40"/>
      <c r="AX1290" s="40"/>
      <c r="AY1290" s="163">
        <f t="shared" si="462"/>
        <v>3.3483407000000001</v>
      </c>
      <c r="AZ1290" s="40"/>
      <c r="BA1290" s="40"/>
      <c r="BB1290" s="40"/>
      <c r="BC1290" s="163">
        <f t="shared" ref="BC1290:BE1290" si="471">BC1275</f>
        <v>5.3428677999999995E-4</v>
      </c>
      <c r="BD1290" s="163">
        <f t="shared" si="471"/>
        <v>1.9396717999999999E-5</v>
      </c>
      <c r="BE1290" s="163">
        <f t="shared" si="471"/>
        <v>0.40489375999999999</v>
      </c>
      <c r="BF1290" s="40"/>
      <c r="BG1290" s="40"/>
      <c r="BH1290" s="40"/>
      <c r="BI1290" s="40"/>
      <c r="BJ1290" s="40"/>
      <c r="BK1290" s="40"/>
      <c r="BL1290" s="62">
        <v>1</v>
      </c>
      <c r="BM1290" s="275">
        <v>3</v>
      </c>
      <c r="BN1290" s="62">
        <v>0.03</v>
      </c>
      <c r="BP1290" s="33" t="s">
        <v>602</v>
      </c>
    </row>
    <row r="1291" spans="1:68">
      <c r="A1291" s="33" t="str">
        <f>Database_Productkaarten[[#This Row],[Product]]&amp;", "&amp;Database_Productkaarten[[#This Row],[Levensfase]]</f>
        <v>Betontegel 300x300x60 (hergebruik), C4</v>
      </c>
      <c r="B1291" s="33" t="s">
        <v>638</v>
      </c>
      <c r="C1291" t="s">
        <v>55</v>
      </c>
      <c r="D1291" s="33" t="s">
        <v>630</v>
      </c>
      <c r="E1291" s="33" t="s">
        <v>385</v>
      </c>
      <c r="F1291" s="33" t="s">
        <v>86</v>
      </c>
      <c r="G1291" s="33">
        <v>0.3</v>
      </c>
      <c r="H1291" s="33">
        <v>0.3</v>
      </c>
      <c r="I1291" s="33">
        <v>0.06</v>
      </c>
      <c r="L1291" s="33">
        <v>2.4</v>
      </c>
      <c r="M1291" s="33">
        <f t="shared" si="452"/>
        <v>0.13969999999999999</v>
      </c>
      <c r="N1291" s="41">
        <f t="shared" si="459"/>
        <v>1E-3</v>
      </c>
      <c r="O1291" s="33">
        <v>25</v>
      </c>
      <c r="P1291" s="163">
        <f t="shared" ref="P1291:Z1291" si="472">P1276</f>
        <v>8.19472E-9</v>
      </c>
      <c r="Q1291" s="163">
        <f t="shared" si="472"/>
        <v>9.7709435000000006E-5</v>
      </c>
      <c r="R1291" s="163">
        <f t="shared" si="472"/>
        <v>7.1798347000000002E-3</v>
      </c>
      <c r="S1291" s="163">
        <f t="shared" si="472"/>
        <v>2.3764123E-9</v>
      </c>
      <c r="T1291" s="163">
        <f t="shared" si="472"/>
        <v>7.6086521999999999E-6</v>
      </c>
      <c r="U1291" s="163">
        <f t="shared" si="472"/>
        <v>5.3054630000000001E-5</v>
      </c>
      <c r="V1291" s="163">
        <f t="shared" si="472"/>
        <v>9.9849990000000007E-6</v>
      </c>
      <c r="W1291" s="163">
        <f t="shared" si="472"/>
        <v>2.9271961E-3</v>
      </c>
      <c r="X1291" s="163">
        <f t="shared" si="472"/>
        <v>7.2788014000000007E-5</v>
      </c>
      <c r="Y1291" s="163">
        <f t="shared" si="472"/>
        <v>0.25034600000000001</v>
      </c>
      <c r="Z1291" s="163">
        <f t="shared" si="472"/>
        <v>8.6690715000000001E-6</v>
      </c>
      <c r="AA1291" s="40"/>
      <c r="AB1291" s="40"/>
      <c r="AC1291" s="40"/>
      <c r="AD1291" s="40"/>
      <c r="AE1291" s="40"/>
      <c r="AF1291" s="40"/>
      <c r="AG1291" s="40"/>
      <c r="AH1291" s="40"/>
      <c r="AI1291" s="40"/>
      <c r="AJ1291" s="40"/>
      <c r="AK1291" s="40"/>
      <c r="AL1291" s="40"/>
      <c r="AM1291" s="40"/>
      <c r="AN1291" s="40"/>
      <c r="AO1291" s="40"/>
      <c r="AP1291" s="40"/>
      <c r="AQ1291" s="40"/>
      <c r="AR1291" s="40"/>
      <c r="AS1291" s="40"/>
      <c r="AT1291" s="40"/>
      <c r="AU1291" s="40"/>
      <c r="AV1291" s="163">
        <f t="shared" si="461"/>
        <v>5.2337397000000001E-3</v>
      </c>
      <c r="AW1291" s="40"/>
      <c r="AX1291" s="40"/>
      <c r="AY1291" s="163">
        <f t="shared" si="462"/>
        <v>0.21826527000000001</v>
      </c>
      <c r="AZ1291" s="40"/>
      <c r="BA1291" s="40"/>
      <c r="BB1291" s="40"/>
      <c r="BC1291" s="163">
        <f t="shared" ref="BC1291:BE1291" si="473">BC1276</f>
        <v>2.1998351999999999E-4</v>
      </c>
      <c r="BD1291" s="163">
        <f t="shared" si="473"/>
        <v>1.4826598000000001E-6</v>
      </c>
      <c r="BE1291" s="163">
        <f t="shared" si="473"/>
        <v>1.3435657999999999</v>
      </c>
      <c r="BF1291" s="40"/>
      <c r="BG1291" s="40"/>
      <c r="BH1291" s="40"/>
      <c r="BI1291" s="40"/>
      <c r="BJ1291" s="40"/>
      <c r="BK1291" s="40"/>
      <c r="BL1291" s="62">
        <v>1</v>
      </c>
      <c r="BM1291" s="275">
        <v>3</v>
      </c>
      <c r="BN1291" s="62">
        <v>0.03</v>
      </c>
      <c r="BP1291" s="33" t="s">
        <v>602</v>
      </c>
    </row>
    <row r="1292" spans="1:68">
      <c r="A1292" s="33" t="str">
        <f>Database_Productkaarten[[#This Row],[Product]]&amp;", "&amp;Database_Productkaarten[[#This Row],[Levensfase]]</f>
        <v>Betontegel 300x300x60 (hergebruik), D</v>
      </c>
      <c r="B1292" s="33" t="s">
        <v>638</v>
      </c>
      <c r="C1292" s="33" t="str">
        <f>C1293</f>
        <v>Elementenverhardingen</v>
      </c>
      <c r="D1292" s="33" t="str">
        <f>D1293</f>
        <v>Betontegel</v>
      </c>
      <c r="E1292" s="33" t="str">
        <f>E1293</f>
        <v>m2</v>
      </c>
      <c r="F1292" s="33" t="s">
        <v>89</v>
      </c>
      <c r="G1292" s="33">
        <f t="shared" ref="G1292:I1292" si="474">G1293</f>
        <v>0.3</v>
      </c>
      <c r="H1292" s="33">
        <f t="shared" si="474"/>
        <v>0.3</v>
      </c>
      <c r="I1292" s="33">
        <f t="shared" si="474"/>
        <v>0.06</v>
      </c>
      <c r="L1292" s="33">
        <v>2.4</v>
      </c>
      <c r="M1292" s="33">
        <f t="shared" si="452"/>
        <v>0.13969999999999999</v>
      </c>
      <c r="N1292" s="41">
        <f>N1269*0.1</f>
        <v>0.12776000000000001</v>
      </c>
      <c r="O1292" s="33">
        <v>25</v>
      </c>
      <c r="P1292" s="163">
        <f t="shared" ref="P1292:Z1292" si="475">P1269*0.1</f>
        <v>1.9694974220000001E-6</v>
      </c>
      <c r="Q1292" s="163">
        <f t="shared" si="475"/>
        <v>5.4428048000000001E-3</v>
      </c>
      <c r="R1292" s="163">
        <f t="shared" si="475"/>
        <v>1.8188315849999999</v>
      </c>
      <c r="S1292" s="163">
        <f t="shared" si="475"/>
        <v>5.7371808400000011E-8</v>
      </c>
      <c r="T1292" s="163">
        <f t="shared" si="475"/>
        <v>3.7721339599999998E-4</v>
      </c>
      <c r="U1292" s="163">
        <f t="shared" si="475"/>
        <v>4.0270886499999999E-3</v>
      </c>
      <c r="V1292" s="163">
        <f t="shared" si="475"/>
        <v>7.9611982400000004E-4</v>
      </c>
      <c r="W1292" s="163">
        <f t="shared" si="475"/>
        <v>0.18133497900000003</v>
      </c>
      <c r="X1292" s="163">
        <f t="shared" si="475"/>
        <v>4.6684876899999997E-3</v>
      </c>
      <c r="Y1292" s="163">
        <f t="shared" si="475"/>
        <v>22.18136415</v>
      </c>
      <c r="Z1292" s="163">
        <f t="shared" si="475"/>
        <v>3.35205513E-3</v>
      </c>
      <c r="AA1292" s="40"/>
      <c r="AB1292" s="40"/>
      <c r="AC1292" s="40"/>
      <c r="AD1292" s="40"/>
      <c r="AE1292" s="40"/>
      <c r="AF1292" s="40"/>
      <c r="AG1292" s="40"/>
      <c r="AH1292" s="40"/>
      <c r="AI1292" s="40"/>
      <c r="AJ1292" s="40"/>
      <c r="AK1292" s="40"/>
      <c r="AL1292" s="40"/>
      <c r="AM1292" s="40"/>
      <c r="AN1292" s="40"/>
      <c r="AO1292" s="40"/>
      <c r="AP1292" s="40"/>
      <c r="AQ1292" s="40"/>
      <c r="AR1292" s="40"/>
      <c r="AS1292" s="40"/>
      <c r="AT1292" s="40"/>
      <c r="AU1292" s="40"/>
      <c r="AV1292" s="163">
        <f>AV1269*0.1</f>
        <v>1.5652081</v>
      </c>
      <c r="AW1292" s="40"/>
      <c r="AX1292" s="40"/>
      <c r="AY1292" s="163">
        <f>AY1269*0.1</f>
        <v>12.086362100000002</v>
      </c>
      <c r="AZ1292" s="40"/>
      <c r="BA1292" s="40"/>
      <c r="BB1292" s="40"/>
      <c r="BC1292" s="163">
        <f t="shared" ref="BC1292:BE1292" si="476">BC1269*0.1</f>
        <v>0.13494853019000003</v>
      </c>
      <c r="BD1292" s="163">
        <f t="shared" si="476"/>
        <v>0.89883076450470023</v>
      </c>
      <c r="BE1292" s="163">
        <f t="shared" si="476"/>
        <v>0.1726750729</v>
      </c>
      <c r="BF1292" s="40"/>
      <c r="BG1292" s="40"/>
      <c r="BH1292" s="40"/>
      <c r="BI1292" s="40"/>
      <c r="BJ1292" s="40"/>
      <c r="BK1292" s="40"/>
      <c r="BL1292" s="62">
        <v>1</v>
      </c>
      <c r="BM1292" s="275">
        <v>3</v>
      </c>
      <c r="BN1292" s="62">
        <v>0.03</v>
      </c>
      <c r="BP1292" s="33" t="s">
        <v>602</v>
      </c>
    </row>
    <row r="1293" spans="1:68">
      <c r="A1293" s="33" t="str">
        <f>Database_Productkaarten[[#This Row],[Product]]&amp;", "&amp;Database_Productkaarten[[#This Row],[Levensfase]]</f>
        <v>Betontegel 300x300x60 (hergebruik), D1</v>
      </c>
      <c r="B1293" s="33" t="s">
        <v>638</v>
      </c>
      <c r="C1293" t="s">
        <v>55</v>
      </c>
      <c r="D1293" s="33" t="s">
        <v>630</v>
      </c>
      <c r="E1293" s="33" t="s">
        <v>385</v>
      </c>
      <c r="F1293" s="33" t="s">
        <v>87</v>
      </c>
      <c r="G1293" s="33">
        <v>0.3</v>
      </c>
      <c r="H1293" s="33">
        <v>0.3</v>
      </c>
      <c r="I1293" s="33">
        <v>0.06</v>
      </c>
      <c r="L1293" s="33">
        <v>2.4</v>
      </c>
      <c r="M1293" s="33">
        <f t="shared" si="452"/>
        <v>0.13969999999999999</v>
      </c>
      <c r="N1293" s="41"/>
      <c r="P1293" s="40"/>
      <c r="Q1293" s="40"/>
      <c r="R1293" s="40"/>
      <c r="S1293" s="40"/>
      <c r="T1293" s="40"/>
      <c r="U1293" s="40"/>
      <c r="V1293" s="40"/>
      <c r="W1293" s="40"/>
      <c r="X1293" s="40"/>
      <c r="Y1293" s="40"/>
      <c r="Z1293" s="40"/>
      <c r="AA1293" s="40"/>
      <c r="AB1293" s="40"/>
      <c r="AC1293" s="40"/>
      <c r="AD1293" s="40"/>
      <c r="AE1293" s="40"/>
      <c r="AF1293" s="40"/>
      <c r="AG1293" s="40"/>
      <c r="AH1293" s="40"/>
      <c r="AI1293" s="40"/>
      <c r="AJ1293" s="40"/>
      <c r="AK1293" s="40"/>
      <c r="AL1293" s="40"/>
      <c r="AM1293" s="40"/>
      <c r="AN1293" s="40"/>
      <c r="AO1293" s="40"/>
      <c r="AP1293" s="40"/>
      <c r="AQ1293" s="40"/>
      <c r="AR1293" s="40"/>
      <c r="AS1293" s="40"/>
      <c r="AT1293" s="40"/>
      <c r="AU1293" s="40"/>
      <c r="AV1293" s="108"/>
      <c r="AW1293" s="40"/>
      <c r="AX1293" s="40"/>
      <c r="AY1293" s="108"/>
      <c r="AZ1293" s="40"/>
      <c r="BA1293" s="40"/>
      <c r="BB1293" s="40"/>
      <c r="BC1293" s="40"/>
      <c r="BD1293" s="40"/>
      <c r="BE1293" s="40"/>
      <c r="BF1293" s="40"/>
      <c r="BG1293" s="40"/>
      <c r="BH1293" s="40"/>
      <c r="BI1293" s="40"/>
      <c r="BJ1293" s="40"/>
      <c r="BK1293" s="40"/>
      <c r="BL1293" s="62">
        <v>1</v>
      </c>
      <c r="BM1293" s="275">
        <v>3</v>
      </c>
      <c r="BN1293" s="62">
        <v>0.03</v>
      </c>
      <c r="BP1293" s="33" t="s">
        <v>602</v>
      </c>
    </row>
    <row r="1294" spans="1:68">
      <c r="A1294" s="33" t="str">
        <f>Database_Productkaarten[[#This Row],[Product]]&amp;", "&amp;Database_Productkaarten[[#This Row],[Levensfase]]</f>
        <v>Betontegel 300x300x60 (hergebruik), D2</v>
      </c>
      <c r="B1294" s="33" t="s">
        <v>638</v>
      </c>
      <c r="C1294" t="s">
        <v>55</v>
      </c>
      <c r="D1294" s="33" t="s">
        <v>630</v>
      </c>
      <c r="E1294" s="33" t="s">
        <v>385</v>
      </c>
      <c r="F1294" s="33" t="s">
        <v>88</v>
      </c>
      <c r="G1294" s="33">
        <v>0.3</v>
      </c>
      <c r="H1294" s="33">
        <v>0.3</v>
      </c>
      <c r="I1294" s="33">
        <v>0.06</v>
      </c>
      <c r="L1294" s="33">
        <v>2.4</v>
      </c>
      <c r="M1294" s="33">
        <f t="shared" si="452"/>
        <v>0.13969999999999999</v>
      </c>
      <c r="N1294" s="41"/>
      <c r="P1294" s="40"/>
      <c r="Q1294" s="40"/>
      <c r="R1294" s="40"/>
      <c r="S1294" s="40"/>
      <c r="T1294" s="40"/>
      <c r="U1294" s="40"/>
      <c r="V1294" s="40"/>
      <c r="W1294" s="40"/>
      <c r="X1294" s="40"/>
      <c r="Y1294" s="40"/>
      <c r="Z1294" s="40"/>
      <c r="AA1294" s="40"/>
      <c r="AB1294" s="40"/>
      <c r="AC1294" s="40"/>
      <c r="AD1294" s="40"/>
      <c r="AE1294" s="40"/>
      <c r="AF1294" s="40"/>
      <c r="AG1294" s="40"/>
      <c r="AH1294" s="40"/>
      <c r="AI1294" s="40"/>
      <c r="AJ1294" s="40"/>
      <c r="AK1294" s="40"/>
      <c r="AL1294" s="40"/>
      <c r="AM1294" s="40"/>
      <c r="AN1294" s="40"/>
      <c r="AO1294" s="40"/>
      <c r="AP1294" s="40"/>
      <c r="AQ1294" s="40"/>
      <c r="AR1294" s="40"/>
      <c r="AS1294" s="40"/>
      <c r="AT1294" s="40"/>
      <c r="AU1294" s="40"/>
      <c r="AV1294" s="108"/>
      <c r="AW1294" s="40"/>
      <c r="AX1294" s="40"/>
      <c r="AY1294" s="108"/>
      <c r="AZ1294" s="40"/>
      <c r="BA1294" s="40"/>
      <c r="BB1294" s="40"/>
      <c r="BC1294" s="40"/>
      <c r="BD1294" s="40"/>
      <c r="BE1294" s="40"/>
      <c r="BF1294" s="40"/>
      <c r="BG1294" s="40"/>
      <c r="BH1294" s="40"/>
      <c r="BI1294" s="40"/>
      <c r="BJ1294" s="40"/>
      <c r="BK1294" s="40"/>
      <c r="BL1294" s="62">
        <v>1</v>
      </c>
      <c r="BM1294" s="275">
        <v>3</v>
      </c>
      <c r="BN1294" s="62">
        <v>0.03</v>
      </c>
      <c r="BP1294" s="33" t="s">
        <v>602</v>
      </c>
    </row>
    <row r="1295" spans="1:68">
      <c r="A1295" s="33" t="str">
        <f>Database_Productkaarten[[#This Row],[Product]]&amp;", "&amp;Database_Productkaarten[[#This Row],[Levensfase]]</f>
        <v>Betontegel 300x300x80, Totaal</v>
      </c>
      <c r="B1295" s="33" t="s">
        <v>639</v>
      </c>
      <c r="C1295" t="s">
        <v>55</v>
      </c>
      <c r="D1295" s="33" t="s">
        <v>630</v>
      </c>
      <c r="E1295" s="33" t="s">
        <v>385</v>
      </c>
      <c r="F1295" s="33" t="s">
        <v>90</v>
      </c>
      <c r="G1295" s="33">
        <v>0.3</v>
      </c>
      <c r="H1295" s="33">
        <v>0.3</v>
      </c>
      <c r="I1295" s="33">
        <v>0.08</v>
      </c>
      <c r="L1295" s="33">
        <v>2.4</v>
      </c>
      <c r="M1295" s="271">
        <f>M1265*1.33</f>
        <v>0.18580099999999999</v>
      </c>
      <c r="N1295" s="41">
        <f>N1265*1.33</f>
        <v>0</v>
      </c>
      <c r="O1295" s="33">
        <v>25</v>
      </c>
      <c r="P1295" s="40"/>
      <c r="Q1295" s="40"/>
      <c r="R1295" s="40"/>
      <c r="S1295" s="40"/>
      <c r="T1295" s="40"/>
      <c r="U1295" s="40"/>
      <c r="V1295" s="40"/>
      <c r="W1295" s="40"/>
      <c r="X1295" s="40"/>
      <c r="Y1295" s="40"/>
      <c r="Z1295" s="40"/>
      <c r="BL1295" s="306">
        <v>0.111358574610245</v>
      </c>
      <c r="BM1295" s="275">
        <v>3</v>
      </c>
      <c r="BN1295" s="62">
        <v>0.03</v>
      </c>
      <c r="BO1295" s="33" t="s">
        <v>636</v>
      </c>
      <c r="BP1295" s="165">
        <v>0.33</v>
      </c>
    </row>
    <row r="1296" spans="1:68">
      <c r="A1296" s="33" t="str">
        <f>Database_Productkaarten[[#This Row],[Product]]&amp;", "&amp;Database_Productkaarten[[#This Row],[Levensfase]]</f>
        <v>Betontegel 300x300x80, A1</v>
      </c>
      <c r="B1296" s="33" t="s">
        <v>639</v>
      </c>
      <c r="C1296" t="s">
        <v>55</v>
      </c>
      <c r="D1296" s="33" t="s">
        <v>630</v>
      </c>
      <c r="E1296" s="33" t="s">
        <v>385</v>
      </c>
      <c r="F1296" s="33" t="s">
        <v>74</v>
      </c>
      <c r="G1296" s="33">
        <v>0.3</v>
      </c>
      <c r="H1296" s="33">
        <v>0.3</v>
      </c>
      <c r="I1296" s="33">
        <v>0.08</v>
      </c>
      <c r="L1296" s="33">
        <v>2.4</v>
      </c>
      <c r="M1296" s="271">
        <f t="shared" ref="M1296:M1309" si="477">M1266*1.33</f>
        <v>0.18580099999999999</v>
      </c>
      <c r="N1296" s="41">
        <f>N1269*1.33</f>
        <v>1.6992080000000003</v>
      </c>
      <c r="O1296" s="33">
        <v>25</v>
      </c>
      <c r="P1296" s="40">
        <f>P1266*1.33</f>
        <v>2.2246404600000002E-5</v>
      </c>
      <c r="Q1296" s="40">
        <f t="shared" ref="Q1296:Z1296" si="478">Q1266*1.33</f>
        <v>5.3442646529999999E-2</v>
      </c>
      <c r="R1296" s="40">
        <f t="shared" si="478"/>
        <v>21.748570970000003</v>
      </c>
      <c r="S1296" s="40">
        <f t="shared" si="478"/>
        <v>4.4734305280000005E-7</v>
      </c>
      <c r="T1296" s="40">
        <f t="shared" si="478"/>
        <v>4.0704671279999998E-3</v>
      </c>
      <c r="U1296" s="40">
        <f t="shared" si="478"/>
        <v>4.5903102630000005E-2</v>
      </c>
      <c r="V1296" s="40">
        <f t="shared" si="478"/>
        <v>9.010278515000001E-3</v>
      </c>
      <c r="W1296" s="40">
        <f t="shared" si="478"/>
        <v>1.8036783030000003</v>
      </c>
      <c r="X1296" s="40">
        <f t="shared" si="478"/>
        <v>4.488357783E-2</v>
      </c>
      <c r="Y1296" s="40">
        <f t="shared" si="478"/>
        <v>230.01661060000001</v>
      </c>
      <c r="Z1296" s="40">
        <f t="shared" si="478"/>
        <v>4.1134206749999999E-2</v>
      </c>
      <c r="AV1296" s="40">
        <f t="shared" ref="AV1296:AV1307" si="479">AV1266*1.33</f>
        <v>19.073091099999999</v>
      </c>
      <c r="AY1296" s="40">
        <f t="shared" ref="AY1296:AY1307" si="480">AY1266*1.33</f>
        <v>120.63395792000001</v>
      </c>
      <c r="BC1296" s="40">
        <f t="shared" ref="BC1296:BE1307" si="481">BC1266*1.33</f>
        <v>1.7872888460000003</v>
      </c>
      <c r="BD1296" s="40">
        <f t="shared" si="481"/>
        <v>11.954220215000001</v>
      </c>
      <c r="BE1296" s="40">
        <f t="shared" si="481"/>
        <v>1.0520685168000001</v>
      </c>
      <c r="BL1296" s="306">
        <v>0.111358574610245</v>
      </c>
      <c r="BM1296" s="275">
        <v>3</v>
      </c>
      <c r="BN1296" s="62">
        <v>0.03</v>
      </c>
      <c r="BO1296" s="33" t="s">
        <v>636</v>
      </c>
      <c r="BP1296" s="165">
        <v>0.33</v>
      </c>
    </row>
    <row r="1297" spans="1:68">
      <c r="A1297" s="33" t="str">
        <f>Database_Productkaarten[[#This Row],[Product]]&amp;", "&amp;Database_Productkaarten[[#This Row],[Levensfase]]</f>
        <v>Betontegel 300x300x80, A2</v>
      </c>
      <c r="B1297" s="33" t="s">
        <v>639</v>
      </c>
      <c r="C1297" t="s">
        <v>55</v>
      </c>
      <c r="D1297" s="33" t="s">
        <v>630</v>
      </c>
      <c r="E1297" s="33" t="s">
        <v>385</v>
      </c>
      <c r="F1297" s="33" t="s">
        <v>75</v>
      </c>
      <c r="G1297" s="33">
        <v>0.3</v>
      </c>
      <c r="H1297" s="33">
        <v>0.3</v>
      </c>
      <c r="I1297" s="33">
        <v>0.08</v>
      </c>
      <c r="L1297" s="33">
        <v>2.4</v>
      </c>
      <c r="M1297" s="271">
        <f t="shared" si="477"/>
        <v>0.18580099999999999</v>
      </c>
      <c r="N1297" s="41">
        <f>N1267*1.33</f>
        <v>0</v>
      </c>
      <c r="O1297" s="33">
        <v>25</v>
      </c>
      <c r="P1297" s="40">
        <f t="shared" ref="P1297:Z1297" si="482">P1267*1.33</f>
        <v>3.631122775E-6</v>
      </c>
      <c r="Q1297" s="40">
        <f t="shared" si="482"/>
        <v>9.4247034560000012E-3</v>
      </c>
      <c r="R1297" s="40">
        <f t="shared" si="482"/>
        <v>1.2768417088000001</v>
      </c>
      <c r="S1297" s="40">
        <f t="shared" si="482"/>
        <v>2.3529672390000003E-7</v>
      </c>
      <c r="T1297" s="40">
        <f t="shared" si="482"/>
        <v>7.5363263640000004E-4</v>
      </c>
      <c r="U1297" s="40">
        <f t="shared" si="482"/>
        <v>5.5356596330000006E-3</v>
      </c>
      <c r="V1297" s="40">
        <f t="shared" si="482"/>
        <v>1.1031066018000002E-3</v>
      </c>
      <c r="W1297" s="40">
        <f t="shared" si="482"/>
        <v>0.51083648140000004</v>
      </c>
      <c r="X1297" s="40">
        <f t="shared" si="482"/>
        <v>1.498214676E-2</v>
      </c>
      <c r="Y1297" s="40">
        <f t="shared" si="482"/>
        <v>54.075006999999999</v>
      </c>
      <c r="Z1297" s="40">
        <f t="shared" si="482"/>
        <v>1.8099590950000001E-3</v>
      </c>
      <c r="AV1297" s="40">
        <f t="shared" si="479"/>
        <v>0.26888463700000004</v>
      </c>
      <c r="AY1297" s="40">
        <f t="shared" si="480"/>
        <v>21.010597860000001</v>
      </c>
      <c r="BC1297" s="40">
        <f t="shared" si="481"/>
        <v>3.7787036980000003E-3</v>
      </c>
      <c r="BD1297" s="40">
        <f t="shared" si="481"/>
        <v>1.4510484869999999E-4</v>
      </c>
      <c r="BE1297" s="40">
        <f t="shared" si="481"/>
        <v>1.2077050902000002</v>
      </c>
      <c r="BL1297" s="306">
        <v>0.111358574610245</v>
      </c>
      <c r="BM1297" s="275">
        <v>3</v>
      </c>
      <c r="BN1297" s="62">
        <v>0.03</v>
      </c>
      <c r="BO1297" s="33" t="s">
        <v>636</v>
      </c>
      <c r="BP1297" s="165">
        <v>0.33</v>
      </c>
    </row>
    <row r="1298" spans="1:68">
      <c r="A1298" s="33" t="str">
        <f>Database_Productkaarten[[#This Row],[Product]]&amp;", "&amp;Database_Productkaarten[[#This Row],[Levensfase]]</f>
        <v>Betontegel 300x300x80, A3</v>
      </c>
      <c r="B1298" s="33" t="s">
        <v>639</v>
      </c>
      <c r="C1298" t="s">
        <v>55</v>
      </c>
      <c r="D1298" s="33" t="s">
        <v>630</v>
      </c>
      <c r="E1298" s="33" t="s">
        <v>385</v>
      </c>
      <c r="F1298" s="33" t="s">
        <v>76</v>
      </c>
      <c r="G1298" s="33">
        <v>0.3</v>
      </c>
      <c r="H1298" s="33">
        <v>0.3</v>
      </c>
      <c r="I1298" s="33">
        <v>0.08</v>
      </c>
      <c r="L1298" s="33">
        <v>2.4</v>
      </c>
      <c r="M1298" s="271">
        <f t="shared" si="477"/>
        <v>0.18580099999999999</v>
      </c>
      <c r="N1298" s="41">
        <f>N1268*1.33</f>
        <v>0</v>
      </c>
      <c r="O1298" s="33">
        <v>25</v>
      </c>
      <c r="P1298" s="40">
        <f t="shared" ref="P1298:Z1298" si="483">P1268*1.33</f>
        <v>3.1678833760000005E-7</v>
      </c>
      <c r="Q1298" s="40">
        <f t="shared" si="483"/>
        <v>9.5219538540000006E-3</v>
      </c>
      <c r="R1298" s="40">
        <f t="shared" si="483"/>
        <v>1.1650474017000001</v>
      </c>
      <c r="S1298" s="40">
        <f t="shared" si="483"/>
        <v>8.0405275020000012E-8</v>
      </c>
      <c r="T1298" s="40">
        <f t="shared" si="483"/>
        <v>1.9283840239999999E-4</v>
      </c>
      <c r="U1298" s="40">
        <f t="shared" si="483"/>
        <v>2.1215167820000003E-3</v>
      </c>
      <c r="V1298" s="40">
        <f t="shared" si="483"/>
        <v>4.7500854239999999E-4</v>
      </c>
      <c r="W1298" s="40">
        <f t="shared" si="483"/>
        <v>9.7240436299999997E-2</v>
      </c>
      <c r="X1298" s="40">
        <f t="shared" si="483"/>
        <v>2.2251616870000001E-3</v>
      </c>
      <c r="Y1298" s="40">
        <f t="shared" si="483"/>
        <v>10.920525594999999</v>
      </c>
      <c r="Z1298" s="40">
        <f t="shared" si="483"/>
        <v>1.638167384E-3</v>
      </c>
      <c r="AV1298" s="40">
        <f t="shared" si="479"/>
        <v>1.4752919929999999</v>
      </c>
      <c r="AY1298" s="40">
        <f t="shared" si="480"/>
        <v>19.104060150000002</v>
      </c>
      <c r="BC1298" s="40">
        <f t="shared" si="481"/>
        <v>3.7479018290000003E-3</v>
      </c>
      <c r="BD1298" s="40">
        <f t="shared" si="481"/>
        <v>8.3848063810000009E-5</v>
      </c>
      <c r="BE1298" s="40">
        <f t="shared" si="481"/>
        <v>3.6804862569999999E-2</v>
      </c>
      <c r="BL1298" s="306">
        <v>0.111358574610245</v>
      </c>
      <c r="BM1298" s="275">
        <v>3</v>
      </c>
      <c r="BN1298" s="62">
        <v>0.03</v>
      </c>
      <c r="BO1298" s="33" t="s">
        <v>636</v>
      </c>
      <c r="BP1298" s="165">
        <v>0.33</v>
      </c>
    </row>
    <row r="1299" spans="1:68">
      <c r="A1299" s="451" t="str">
        <f>Database_Productkaarten[[#This Row],[Product]]&amp;", "&amp;Database_Productkaarten[[#This Row],[Levensfase]]</f>
        <v>Betontegel 300x300x80, A1-A3</v>
      </c>
      <c r="B1299" s="451" t="str">
        <f>B1298</f>
        <v>Betontegel 300x300x80</v>
      </c>
      <c r="C1299" s="451" t="str">
        <f>C1298</f>
        <v>Elementenverhardingen</v>
      </c>
      <c r="D1299" s="451" t="str">
        <f>D1298</f>
        <v>Betontegel</v>
      </c>
      <c r="E1299" s="451" t="str">
        <f>E1298</f>
        <v>m2</v>
      </c>
      <c r="F1299" s="451" t="s">
        <v>77</v>
      </c>
      <c r="G1299" s="451">
        <f t="shared" ref="G1299:L1299" si="484">G1298</f>
        <v>0.3</v>
      </c>
      <c r="H1299" s="451">
        <f t="shared" si="484"/>
        <v>0.3</v>
      </c>
      <c r="I1299" s="451">
        <f t="shared" si="484"/>
        <v>0.08</v>
      </c>
      <c r="J1299" s="451"/>
      <c r="K1299" s="451"/>
      <c r="L1299" s="451">
        <f t="shared" si="484"/>
        <v>2.4</v>
      </c>
      <c r="M1299" s="271">
        <f t="shared" si="477"/>
        <v>0.18580099999999999</v>
      </c>
      <c r="N1299" s="452">
        <f>SUM(N1296:N1298)</f>
        <v>1.6992080000000003</v>
      </c>
      <c r="O1299" s="451">
        <f>O1298</f>
        <v>25</v>
      </c>
      <c r="P1299" s="40">
        <f t="shared" ref="P1299:Z1299" si="485">P1269*1.33</f>
        <v>2.6194315712600005E-5</v>
      </c>
      <c r="Q1299" s="40">
        <f t="shared" si="485"/>
        <v>7.2389303840000002E-2</v>
      </c>
      <c r="R1299" s="40">
        <f t="shared" si="485"/>
        <v>24.190460080499999</v>
      </c>
      <c r="S1299" s="40">
        <f t="shared" si="485"/>
        <v>7.6304505172000012E-7</v>
      </c>
      <c r="T1299" s="40">
        <f t="shared" si="485"/>
        <v>5.0169381667999995E-3</v>
      </c>
      <c r="U1299" s="40">
        <f t="shared" si="485"/>
        <v>5.3560279044999999E-2</v>
      </c>
      <c r="V1299" s="40">
        <f t="shared" si="485"/>
        <v>1.05883936592E-2</v>
      </c>
      <c r="W1299" s="40">
        <f t="shared" si="485"/>
        <v>2.4117552207000004</v>
      </c>
      <c r="X1299" s="40">
        <f t="shared" si="485"/>
        <v>6.2090886277000004E-2</v>
      </c>
      <c r="Y1299" s="40">
        <f t="shared" si="485"/>
        <v>295.01214319500002</v>
      </c>
      <c r="Z1299" s="40">
        <f t="shared" si="485"/>
        <v>4.4582333229000001E-2</v>
      </c>
      <c r="AA1299" s="453"/>
      <c r="AB1299" s="453"/>
      <c r="AC1299" s="453"/>
      <c r="AD1299" s="453"/>
      <c r="AE1299" s="453"/>
      <c r="AF1299" s="453"/>
      <c r="AG1299" s="453"/>
      <c r="AH1299" s="453"/>
      <c r="AI1299" s="453"/>
      <c r="AJ1299" s="453"/>
      <c r="AK1299" s="453"/>
      <c r="AL1299" s="453"/>
      <c r="AM1299" s="453"/>
      <c r="AN1299" s="453"/>
      <c r="AO1299" s="453"/>
      <c r="AP1299" s="453"/>
      <c r="AQ1299" s="453"/>
      <c r="AR1299" s="453"/>
      <c r="AS1299" s="453"/>
      <c r="AT1299" s="453"/>
      <c r="AU1299" s="453"/>
      <c r="AV1299" s="40">
        <f t="shared" si="479"/>
        <v>20.817267730000001</v>
      </c>
      <c r="AW1299" s="453"/>
      <c r="AX1299" s="453"/>
      <c r="AY1299" s="40">
        <f t="shared" si="480"/>
        <v>160.74861593000003</v>
      </c>
      <c r="AZ1299" s="453"/>
      <c r="BA1299" s="453"/>
      <c r="BB1299" s="453"/>
      <c r="BC1299" s="40">
        <f t="shared" si="481"/>
        <v>1.7948154515270003</v>
      </c>
      <c r="BD1299" s="40">
        <f t="shared" si="481"/>
        <v>11.954449167912513</v>
      </c>
      <c r="BE1299" s="40">
        <f t="shared" si="481"/>
        <v>2.29657846957</v>
      </c>
      <c r="BF1299" s="453"/>
      <c r="BG1299" s="453"/>
      <c r="BH1299" s="453"/>
      <c r="BI1299" s="453"/>
      <c r="BJ1299" s="453"/>
      <c r="BK1299" s="453"/>
      <c r="BL1299" s="306">
        <v>0.111358574610245</v>
      </c>
      <c r="BM1299" s="275">
        <f>BM1298</f>
        <v>3</v>
      </c>
      <c r="BN1299" s="62">
        <v>0.03</v>
      </c>
      <c r="BO1299" s="451" t="str">
        <f>BO1298</f>
        <v>NMD Beontegels 300x300x60 mm grijs</v>
      </c>
      <c r="BP1299" s="451"/>
    </row>
    <row r="1300" spans="1:68">
      <c r="A1300" s="33" t="str">
        <f>Database_Productkaarten[[#This Row],[Product]]&amp;", "&amp;Database_Productkaarten[[#This Row],[Levensfase]]</f>
        <v>Betontegel 300x300x80, A4</v>
      </c>
      <c r="B1300" s="33" t="s">
        <v>639</v>
      </c>
      <c r="C1300" t="s">
        <v>55</v>
      </c>
      <c r="D1300" s="33" t="s">
        <v>630</v>
      </c>
      <c r="E1300" s="33" t="s">
        <v>385</v>
      </c>
      <c r="F1300" s="33" t="s">
        <v>78</v>
      </c>
      <c r="G1300" s="33">
        <v>0.3</v>
      </c>
      <c r="H1300" s="33">
        <v>0.3</v>
      </c>
      <c r="I1300" s="33">
        <v>0.08</v>
      </c>
      <c r="L1300" s="33">
        <v>2.4</v>
      </c>
      <c r="M1300" s="271">
        <f t="shared" si="477"/>
        <v>0.18580099999999999</v>
      </c>
      <c r="N1300" s="41">
        <f t="shared" ref="N1300:N1306" si="486">N1270*1.33</f>
        <v>0.421211</v>
      </c>
      <c r="O1300" s="33">
        <v>25</v>
      </c>
      <c r="P1300" s="40">
        <f t="shared" ref="P1300:Z1300" si="487">P1270*1.33</f>
        <v>1.0049094965E-5</v>
      </c>
      <c r="Q1300" s="40">
        <f t="shared" si="487"/>
        <v>2.608276965E-2</v>
      </c>
      <c r="R1300" s="40">
        <f t="shared" si="487"/>
        <v>3.5336462769999999</v>
      </c>
      <c r="S1300" s="40">
        <f t="shared" si="487"/>
        <v>6.5118127340000003E-7</v>
      </c>
      <c r="T1300" s="40">
        <f t="shared" si="487"/>
        <v>2.0856704890000002E-3</v>
      </c>
      <c r="U1300" s="40">
        <f t="shared" si="487"/>
        <v>1.5319881640000001E-2</v>
      </c>
      <c r="V1300" s="40">
        <f t="shared" si="487"/>
        <v>3.0528361150000002E-3</v>
      </c>
      <c r="W1300" s="40">
        <f t="shared" si="487"/>
        <v>1.4137346720000001</v>
      </c>
      <c r="X1300" s="40">
        <f t="shared" si="487"/>
        <v>4.1462936200000002E-2</v>
      </c>
      <c r="Y1300" s="40">
        <f t="shared" si="487"/>
        <v>149.6520256</v>
      </c>
      <c r="Z1300" s="40">
        <f t="shared" si="487"/>
        <v>5.0090433400000007E-3</v>
      </c>
      <c r="AV1300" s="40">
        <f t="shared" si="479"/>
        <v>0.74413547880000008</v>
      </c>
      <c r="AY1300" s="40">
        <f t="shared" si="480"/>
        <v>58.146615799999999</v>
      </c>
      <c r="BC1300" s="40">
        <f t="shared" si="481"/>
        <v>1.0457523601000001E-2</v>
      </c>
      <c r="BD1300" s="40">
        <f t="shared" si="481"/>
        <v>4.0157617010000006E-4</v>
      </c>
      <c r="BE1300" s="40">
        <f t="shared" si="481"/>
        <v>3.3423114130000005</v>
      </c>
      <c r="BL1300" s="306">
        <v>0.111358574610245</v>
      </c>
      <c r="BM1300" s="275">
        <v>3</v>
      </c>
      <c r="BN1300" s="62">
        <v>0.03</v>
      </c>
      <c r="BO1300" s="33" t="s">
        <v>636</v>
      </c>
      <c r="BP1300" s="165">
        <v>0.33</v>
      </c>
    </row>
    <row r="1301" spans="1:68">
      <c r="A1301" s="33" t="str">
        <f>Database_Productkaarten[[#This Row],[Product]]&amp;", "&amp;Database_Productkaarten[[#This Row],[Levensfase]]</f>
        <v>Betontegel 300x300x80, A5</v>
      </c>
      <c r="B1301" s="33" t="s">
        <v>639</v>
      </c>
      <c r="C1301" t="s">
        <v>55</v>
      </c>
      <c r="D1301" s="33" t="s">
        <v>630</v>
      </c>
      <c r="E1301" s="33" t="s">
        <v>385</v>
      </c>
      <c r="F1301" s="33" t="s">
        <v>79</v>
      </c>
      <c r="G1301" s="33">
        <v>0.3</v>
      </c>
      <c r="H1301" s="33">
        <v>0.3</v>
      </c>
      <c r="I1301" s="33">
        <v>0.08</v>
      </c>
      <c r="L1301" s="33">
        <v>2.4</v>
      </c>
      <c r="M1301" s="271">
        <f t="shared" si="477"/>
        <v>0.18580099999999999</v>
      </c>
      <c r="N1301" s="41">
        <f t="shared" si="486"/>
        <v>0.16758000000000001</v>
      </c>
      <c r="O1301" s="33">
        <v>25</v>
      </c>
      <c r="P1301" s="40">
        <f t="shared" ref="P1301:Z1301" si="488">P1271*1.33</f>
        <v>1.347053526E-6</v>
      </c>
      <c r="Q1301" s="40">
        <f t="shared" si="488"/>
        <v>8.6026813950000006E-3</v>
      </c>
      <c r="R1301" s="40">
        <f t="shared" si="488"/>
        <v>1.6460175760000002</v>
      </c>
      <c r="S1301" s="40">
        <f t="shared" si="488"/>
        <v>1.907723937E-7</v>
      </c>
      <c r="T1301" s="40">
        <f t="shared" si="488"/>
        <v>1.0218512626E-3</v>
      </c>
      <c r="U1301" s="40">
        <f t="shared" si="488"/>
        <v>8.128189664E-3</v>
      </c>
      <c r="V1301" s="40">
        <f t="shared" si="488"/>
        <v>1.7701075070000001E-3</v>
      </c>
      <c r="W1301" s="40">
        <f t="shared" si="488"/>
        <v>0.40281155390000001</v>
      </c>
      <c r="X1301" s="40">
        <f t="shared" si="488"/>
        <v>7.3543787729999999E-3</v>
      </c>
      <c r="Y1301" s="40">
        <f t="shared" si="488"/>
        <v>27.678637980000001</v>
      </c>
      <c r="Z1301" s="40">
        <f t="shared" si="488"/>
        <v>1.9848040870000003E-3</v>
      </c>
      <c r="AV1301" s="40">
        <f t="shared" si="479"/>
        <v>0.70984259919999992</v>
      </c>
      <c r="AY1301" s="40">
        <f t="shared" si="480"/>
        <v>19.257378559999999</v>
      </c>
      <c r="BC1301" s="40">
        <f t="shared" si="481"/>
        <v>4.851214501E-2</v>
      </c>
      <c r="BD1301" s="40">
        <f t="shared" si="481"/>
        <v>0.35873366480000002</v>
      </c>
      <c r="BE1301" s="40">
        <f t="shared" si="481"/>
        <v>0.28229085080000005</v>
      </c>
      <c r="BL1301" s="306">
        <v>0.111358574610245</v>
      </c>
      <c r="BM1301" s="275">
        <v>3</v>
      </c>
      <c r="BN1301" s="62">
        <v>0.03</v>
      </c>
      <c r="BO1301" s="33" t="s">
        <v>636</v>
      </c>
      <c r="BP1301" s="165">
        <v>0.33</v>
      </c>
    </row>
    <row r="1302" spans="1:68">
      <c r="A1302" s="33" t="str">
        <f>Database_Productkaarten[[#This Row],[Product]]&amp;", "&amp;Database_Productkaarten[[#This Row],[Levensfase]]</f>
        <v>Betontegel 300x300x80, B1</v>
      </c>
      <c r="B1302" s="33" t="s">
        <v>639</v>
      </c>
      <c r="C1302" t="s">
        <v>55</v>
      </c>
      <c r="D1302" s="33" t="s">
        <v>630</v>
      </c>
      <c r="E1302" s="33" t="s">
        <v>385</v>
      </c>
      <c r="F1302" s="33" t="s">
        <v>80</v>
      </c>
      <c r="G1302" s="33">
        <v>0.3</v>
      </c>
      <c r="H1302" s="33">
        <v>0.3</v>
      </c>
      <c r="I1302" s="33">
        <v>0.08</v>
      </c>
      <c r="L1302" s="33">
        <v>2.4</v>
      </c>
      <c r="M1302" s="271">
        <f t="shared" si="477"/>
        <v>0.18580099999999999</v>
      </c>
      <c r="N1302" s="41">
        <f t="shared" si="486"/>
        <v>0</v>
      </c>
      <c r="O1302" s="33">
        <v>25</v>
      </c>
      <c r="P1302" s="40">
        <f t="shared" ref="P1302:Z1302" si="489">P1272*1.33</f>
        <v>0</v>
      </c>
      <c r="Q1302" s="40">
        <f t="shared" si="489"/>
        <v>0</v>
      </c>
      <c r="R1302" s="40">
        <f t="shared" si="489"/>
        <v>0</v>
      </c>
      <c r="S1302" s="40">
        <f t="shared" si="489"/>
        <v>0</v>
      </c>
      <c r="T1302" s="40">
        <f t="shared" si="489"/>
        <v>0</v>
      </c>
      <c r="U1302" s="40">
        <f t="shared" si="489"/>
        <v>0</v>
      </c>
      <c r="V1302" s="40">
        <f t="shared" si="489"/>
        <v>0</v>
      </c>
      <c r="W1302" s="40">
        <f t="shared" si="489"/>
        <v>0</v>
      </c>
      <c r="X1302" s="40">
        <f t="shared" si="489"/>
        <v>0</v>
      </c>
      <c r="Y1302" s="40">
        <f t="shared" si="489"/>
        <v>0</v>
      </c>
      <c r="Z1302" s="40">
        <f t="shared" si="489"/>
        <v>0</v>
      </c>
      <c r="AV1302" s="40">
        <f t="shared" si="479"/>
        <v>0</v>
      </c>
      <c r="AY1302" s="40">
        <f t="shared" si="480"/>
        <v>0</v>
      </c>
      <c r="BC1302" s="40">
        <f t="shared" si="481"/>
        <v>0</v>
      </c>
      <c r="BD1302" s="40">
        <f t="shared" si="481"/>
        <v>0</v>
      </c>
      <c r="BE1302" s="40">
        <f t="shared" si="481"/>
        <v>0</v>
      </c>
      <c r="BL1302" s="306">
        <v>0.111358574610245</v>
      </c>
      <c r="BM1302" s="275">
        <v>3</v>
      </c>
      <c r="BN1302" s="62">
        <v>0.03</v>
      </c>
      <c r="BO1302" s="33" t="s">
        <v>636</v>
      </c>
      <c r="BP1302" s="165">
        <v>0.33</v>
      </c>
    </row>
    <row r="1303" spans="1:68">
      <c r="A1303" s="33" t="str">
        <f>Database_Productkaarten[[#This Row],[Product]]&amp;", "&amp;Database_Productkaarten[[#This Row],[Levensfase]]</f>
        <v>Betontegel 300x300x80, C1</v>
      </c>
      <c r="B1303" s="33" t="s">
        <v>639</v>
      </c>
      <c r="C1303" t="s">
        <v>55</v>
      </c>
      <c r="D1303" s="33" t="s">
        <v>630</v>
      </c>
      <c r="E1303" s="33" t="s">
        <v>385</v>
      </c>
      <c r="F1303" s="33" t="s">
        <v>83</v>
      </c>
      <c r="G1303" s="33">
        <v>0.3</v>
      </c>
      <c r="H1303" s="33">
        <v>0.3</v>
      </c>
      <c r="I1303" s="33">
        <v>0.08</v>
      </c>
      <c r="L1303" s="33">
        <v>2.4</v>
      </c>
      <c r="M1303" s="271">
        <f t="shared" si="477"/>
        <v>0.18580099999999999</v>
      </c>
      <c r="N1303" s="41">
        <f t="shared" si="486"/>
        <v>0.105602</v>
      </c>
      <c r="O1303" s="33">
        <v>25</v>
      </c>
      <c r="P1303" s="40">
        <f t="shared" ref="P1303:Z1303" si="490">P1273*1.33</f>
        <v>2.6499489239999998E-7</v>
      </c>
      <c r="Q1303" s="40">
        <f t="shared" si="490"/>
        <v>5.4597637150000005E-3</v>
      </c>
      <c r="R1303" s="40">
        <f t="shared" si="490"/>
        <v>0.79131382400000005</v>
      </c>
      <c r="S1303" s="40">
        <f t="shared" si="490"/>
        <v>1.4253302770000001E-7</v>
      </c>
      <c r="T1303" s="40">
        <f t="shared" si="490"/>
        <v>7.9762436810000006E-4</v>
      </c>
      <c r="U1303" s="40">
        <f t="shared" si="490"/>
        <v>5.9874718050000001E-3</v>
      </c>
      <c r="V1303" s="40">
        <f t="shared" si="490"/>
        <v>1.3407215290000003E-3</v>
      </c>
      <c r="W1303" s="40">
        <f t="shared" si="490"/>
        <v>0.28011985189999999</v>
      </c>
      <c r="X1303" s="40">
        <f t="shared" si="490"/>
        <v>3.9174478349999998E-3</v>
      </c>
      <c r="Y1303" s="40">
        <f t="shared" si="490"/>
        <v>13.279488607000001</v>
      </c>
      <c r="Z1303" s="40">
        <f t="shared" si="490"/>
        <v>4.6807243280000004E-4</v>
      </c>
      <c r="AV1303" s="40">
        <f t="shared" si="479"/>
        <v>6.5758090089999999E-2</v>
      </c>
      <c r="AY1303" s="40">
        <f t="shared" si="480"/>
        <v>12.247322955000001</v>
      </c>
      <c r="BC1303" s="40">
        <f t="shared" si="481"/>
        <v>1.0097311055999999E-3</v>
      </c>
      <c r="BD1303" s="40">
        <f t="shared" si="481"/>
        <v>8.4789590760000005E-5</v>
      </c>
      <c r="BE1303" s="40">
        <f t="shared" si="481"/>
        <v>1.2496994944000002E-2</v>
      </c>
      <c r="BL1303" s="306">
        <v>0.111358574610245</v>
      </c>
      <c r="BM1303" s="275">
        <v>3</v>
      </c>
      <c r="BN1303" s="62">
        <v>0.03</v>
      </c>
      <c r="BO1303" s="33" t="s">
        <v>636</v>
      </c>
      <c r="BP1303" s="165">
        <v>0.33</v>
      </c>
    </row>
    <row r="1304" spans="1:68">
      <c r="A1304" s="33" t="str">
        <f>Database_Productkaarten[[#This Row],[Product]]&amp;", "&amp;Database_Productkaarten[[#This Row],[Levensfase]]</f>
        <v>Betontegel 300x300x80, C2</v>
      </c>
      <c r="B1304" s="33" t="s">
        <v>639</v>
      </c>
      <c r="C1304" t="s">
        <v>55</v>
      </c>
      <c r="D1304" s="33" t="s">
        <v>630</v>
      </c>
      <c r="E1304" s="33" t="s">
        <v>385</v>
      </c>
      <c r="F1304" s="33" t="s">
        <v>84</v>
      </c>
      <c r="G1304" s="33">
        <v>0.3</v>
      </c>
      <c r="H1304" s="33">
        <v>0.3</v>
      </c>
      <c r="I1304" s="33">
        <v>0.08</v>
      </c>
      <c r="L1304" s="33">
        <v>2.4</v>
      </c>
      <c r="M1304" s="271">
        <f t="shared" si="477"/>
        <v>0.18580099999999999</v>
      </c>
      <c r="N1304" s="41">
        <f t="shared" si="486"/>
        <v>0.14177800000000002</v>
      </c>
      <c r="O1304" s="33">
        <v>25</v>
      </c>
      <c r="P1304" s="40">
        <f t="shared" ref="P1304:Z1304" si="491">P1274*1.33</f>
        <v>3.3655876100000002E-6</v>
      </c>
      <c r="Q1304" s="40">
        <f t="shared" si="491"/>
        <v>8.7354977219999998E-3</v>
      </c>
      <c r="R1304" s="40">
        <f t="shared" si="491"/>
        <v>1.1834693780000001</v>
      </c>
      <c r="S1304" s="40">
        <f t="shared" si="491"/>
        <v>2.1809004840000001E-7</v>
      </c>
      <c r="T1304" s="40">
        <f t="shared" si="491"/>
        <v>6.9852130669999994E-4</v>
      </c>
      <c r="U1304" s="40">
        <f t="shared" si="491"/>
        <v>5.1308503260000006E-3</v>
      </c>
      <c r="V1304" s="40">
        <f t="shared" si="491"/>
        <v>1.0224390827E-3</v>
      </c>
      <c r="W1304" s="40">
        <f t="shared" si="491"/>
        <v>0.47348025269999999</v>
      </c>
      <c r="X1304" s="40">
        <f t="shared" si="491"/>
        <v>1.388653798E-2</v>
      </c>
      <c r="Y1304" s="40">
        <f t="shared" si="491"/>
        <v>50.12063371</v>
      </c>
      <c r="Z1304" s="40">
        <f t="shared" si="491"/>
        <v>1.6776012190000001E-3</v>
      </c>
      <c r="AV1304" s="40">
        <f t="shared" si="479"/>
        <v>0.24922175740000002</v>
      </c>
      <c r="AY1304" s="40">
        <f t="shared" si="480"/>
        <v>19.474144620000001</v>
      </c>
      <c r="BC1304" s="40">
        <f t="shared" si="481"/>
        <v>3.5023762480000005E-3</v>
      </c>
      <c r="BD1304" s="40">
        <f t="shared" si="481"/>
        <v>1.344936831E-4</v>
      </c>
      <c r="BE1304" s="40">
        <f t="shared" si="481"/>
        <v>1.1193885549</v>
      </c>
      <c r="BL1304" s="306">
        <v>0.111358574610245</v>
      </c>
      <c r="BM1304" s="275">
        <v>3</v>
      </c>
      <c r="BN1304" s="62">
        <v>0.03</v>
      </c>
      <c r="BO1304" s="33" t="s">
        <v>636</v>
      </c>
      <c r="BP1304" s="165">
        <v>0.33</v>
      </c>
    </row>
    <row r="1305" spans="1:68">
      <c r="A1305" s="33" t="str">
        <f>Database_Productkaarten[[#This Row],[Product]]&amp;", "&amp;Database_Productkaarten[[#This Row],[Levensfase]]</f>
        <v>Betontegel 300x300x80, C3</v>
      </c>
      <c r="B1305" s="33" t="s">
        <v>639</v>
      </c>
      <c r="C1305" t="s">
        <v>55</v>
      </c>
      <c r="D1305" s="33" t="s">
        <v>630</v>
      </c>
      <c r="E1305" s="33" t="s">
        <v>385</v>
      </c>
      <c r="F1305" s="33" t="s">
        <v>85</v>
      </c>
      <c r="G1305" s="33">
        <v>0.3</v>
      </c>
      <c r="H1305" s="33">
        <v>0.3</v>
      </c>
      <c r="I1305" s="33">
        <v>0.08</v>
      </c>
      <c r="L1305" s="33">
        <v>2.4</v>
      </c>
      <c r="M1305" s="271">
        <f t="shared" si="477"/>
        <v>0.18580099999999999</v>
      </c>
      <c r="N1305" s="41">
        <f t="shared" si="486"/>
        <v>5.1338000000000009E-2</v>
      </c>
      <c r="O1305" s="33">
        <v>25</v>
      </c>
      <c r="P1305" s="40">
        <f t="shared" ref="P1305:Z1305" si="492">P1275*1.33</f>
        <v>1.714140575E-7</v>
      </c>
      <c r="Q1305" s="40">
        <f t="shared" si="492"/>
        <v>2.1268776130000003E-3</v>
      </c>
      <c r="R1305" s="40">
        <f t="shared" si="492"/>
        <v>0.28230570690000001</v>
      </c>
      <c r="S1305" s="40">
        <f t="shared" si="492"/>
        <v>3.2793202190000005E-8</v>
      </c>
      <c r="T1305" s="40">
        <f t="shared" si="492"/>
        <v>1.5817221840000001E-4</v>
      </c>
      <c r="U1305" s="40">
        <f t="shared" si="492"/>
        <v>1.3043121140000002E-3</v>
      </c>
      <c r="V1305" s="40">
        <f t="shared" si="492"/>
        <v>2.9413448750000004E-4</v>
      </c>
      <c r="W1305" s="40">
        <f t="shared" si="492"/>
        <v>6.1760765780000004E-2</v>
      </c>
      <c r="X1305" s="40">
        <f t="shared" si="492"/>
        <v>1.0309485955999999E-3</v>
      </c>
      <c r="Y1305" s="40">
        <f t="shared" si="492"/>
        <v>3.9548051410000005</v>
      </c>
      <c r="Z1305" s="40">
        <f t="shared" si="492"/>
        <v>8.3316235380000007E-4</v>
      </c>
      <c r="AV1305" s="40">
        <f t="shared" si="479"/>
        <v>0.22906454340000001</v>
      </c>
      <c r="AY1305" s="40">
        <f t="shared" si="480"/>
        <v>4.4532931310000006</v>
      </c>
      <c r="BC1305" s="40">
        <f t="shared" si="481"/>
        <v>7.1060141739999992E-4</v>
      </c>
      <c r="BD1305" s="40">
        <f t="shared" si="481"/>
        <v>2.5797634940000002E-5</v>
      </c>
      <c r="BE1305" s="40">
        <f t="shared" si="481"/>
        <v>0.53850870080000002</v>
      </c>
      <c r="BL1305" s="306">
        <v>0.111358574610245</v>
      </c>
      <c r="BM1305" s="275">
        <v>3</v>
      </c>
      <c r="BN1305" s="62">
        <v>0.03</v>
      </c>
      <c r="BO1305" s="33" t="s">
        <v>636</v>
      </c>
      <c r="BP1305" s="165">
        <v>0.33</v>
      </c>
    </row>
    <row r="1306" spans="1:68">
      <c r="A1306" s="33" t="str">
        <f>Database_Productkaarten[[#This Row],[Product]]&amp;", "&amp;Database_Productkaarten[[#This Row],[Levensfase]]</f>
        <v>Betontegel 300x300x80, C4</v>
      </c>
      <c r="B1306" s="33" t="s">
        <v>639</v>
      </c>
      <c r="C1306" t="s">
        <v>55</v>
      </c>
      <c r="D1306" s="33" t="s">
        <v>630</v>
      </c>
      <c r="E1306" s="33" t="s">
        <v>385</v>
      </c>
      <c r="F1306" s="33" t="s">
        <v>86</v>
      </c>
      <c r="G1306" s="33">
        <v>0.3</v>
      </c>
      <c r="H1306" s="33">
        <v>0.3</v>
      </c>
      <c r="I1306" s="33">
        <v>0.08</v>
      </c>
      <c r="L1306" s="33">
        <v>2.4</v>
      </c>
      <c r="M1306" s="271">
        <f t="shared" si="477"/>
        <v>0.18580099999999999</v>
      </c>
      <c r="N1306" s="41">
        <f t="shared" si="486"/>
        <v>1.33E-3</v>
      </c>
      <c r="O1306" s="33">
        <v>25</v>
      </c>
      <c r="P1306" s="40">
        <f t="shared" ref="P1306:Z1306" si="493">P1276*1.33</f>
        <v>1.08989776E-8</v>
      </c>
      <c r="Q1306" s="40">
        <f t="shared" si="493"/>
        <v>1.2995354855000003E-4</v>
      </c>
      <c r="R1306" s="40">
        <f t="shared" si="493"/>
        <v>9.5491801510000016E-3</v>
      </c>
      <c r="S1306" s="40">
        <f t="shared" si="493"/>
        <v>3.1606283590000001E-9</v>
      </c>
      <c r="T1306" s="40">
        <f t="shared" si="493"/>
        <v>1.0119507426000001E-5</v>
      </c>
      <c r="U1306" s="40">
        <f t="shared" si="493"/>
        <v>7.0562657900000001E-5</v>
      </c>
      <c r="V1306" s="40">
        <f t="shared" si="493"/>
        <v>1.3280048670000001E-5</v>
      </c>
      <c r="W1306" s="40">
        <f t="shared" si="493"/>
        <v>3.8931708130000003E-3</v>
      </c>
      <c r="X1306" s="40">
        <f t="shared" si="493"/>
        <v>9.680805862000002E-5</v>
      </c>
      <c r="Y1306" s="40">
        <f t="shared" si="493"/>
        <v>0.33296018000000005</v>
      </c>
      <c r="Z1306" s="40">
        <f t="shared" si="493"/>
        <v>1.1529865095E-5</v>
      </c>
      <c r="AV1306" s="40">
        <f t="shared" si="479"/>
        <v>6.9608738010000001E-3</v>
      </c>
      <c r="AY1306" s="40">
        <f t="shared" si="480"/>
        <v>0.29029280910000005</v>
      </c>
      <c r="BC1306" s="40">
        <f t="shared" si="481"/>
        <v>2.9257808160000002E-4</v>
      </c>
      <c r="BD1306" s="40">
        <f t="shared" si="481"/>
        <v>1.9719375340000001E-6</v>
      </c>
      <c r="BE1306" s="40">
        <f t="shared" si="481"/>
        <v>1.7869425139999999</v>
      </c>
      <c r="BL1306" s="306">
        <v>0.111358574610245</v>
      </c>
      <c r="BM1306" s="275">
        <v>3</v>
      </c>
      <c r="BN1306" s="62">
        <v>0.03</v>
      </c>
      <c r="BO1306" s="33" t="s">
        <v>636</v>
      </c>
      <c r="BP1306" s="165">
        <v>0.33</v>
      </c>
    </row>
    <row r="1307" spans="1:68">
      <c r="A1307" s="33" t="str">
        <f>Database_Productkaarten[[#This Row],[Product]]&amp;", "&amp;Database_Productkaarten[[#This Row],[Levensfase]]</f>
        <v>Betontegel 300x300x80, D</v>
      </c>
      <c r="B1307" s="33" t="str">
        <f>B1308</f>
        <v>Betontegel 300x300x80</v>
      </c>
      <c r="C1307" s="33" t="str">
        <f>C1308</f>
        <v>Elementenverhardingen</v>
      </c>
      <c r="D1307" s="33" t="str">
        <f>D1308</f>
        <v>Betontegel</v>
      </c>
      <c r="E1307" s="33" t="str">
        <f>E1308</f>
        <v>m2</v>
      </c>
      <c r="F1307" s="33" t="s">
        <v>89</v>
      </c>
      <c r="G1307" s="33">
        <f t="shared" ref="G1307:L1307" si="494">G1308</f>
        <v>0.3</v>
      </c>
      <c r="H1307" s="33">
        <f t="shared" si="494"/>
        <v>0.3</v>
      </c>
      <c r="I1307" s="33">
        <f t="shared" si="494"/>
        <v>0.08</v>
      </c>
      <c r="L1307" s="33">
        <f t="shared" si="494"/>
        <v>2.4</v>
      </c>
      <c r="M1307" s="271">
        <f t="shared" si="477"/>
        <v>0.18580099999999999</v>
      </c>
      <c r="N1307" s="41">
        <f>SUM(N1308:N1309)</f>
        <v>-7.1420999999999998E-2</v>
      </c>
      <c r="O1307" s="33">
        <f>O1308</f>
        <v>25</v>
      </c>
      <c r="P1307" s="40">
        <f t="shared" ref="P1307:Z1307" si="495">P1277*1.33</f>
        <v>-3.7226904820000004E-6</v>
      </c>
      <c r="Q1307" s="40">
        <f t="shared" si="495"/>
        <v>-4.700480414E-3</v>
      </c>
      <c r="R1307" s="40">
        <f t="shared" si="495"/>
        <v>-0.70930405560000009</v>
      </c>
      <c r="S1307" s="40">
        <f t="shared" si="495"/>
        <v>-6.0291093170000002E-8</v>
      </c>
      <c r="T1307" s="40">
        <f t="shared" si="495"/>
        <v>-4.9519198400000005E-4</v>
      </c>
      <c r="U1307" s="40">
        <f t="shared" si="495"/>
        <v>-4.0286249290000008E-3</v>
      </c>
      <c r="V1307" s="40">
        <f t="shared" si="495"/>
        <v>-6.5821890190000001E-4</v>
      </c>
      <c r="W1307" s="40">
        <f t="shared" si="495"/>
        <v>-0.27490071910000002</v>
      </c>
      <c r="X1307" s="40">
        <f t="shared" si="495"/>
        <v>-4.0037539289999998E-3</v>
      </c>
      <c r="Y1307" s="40">
        <f t="shared" si="495"/>
        <v>-19.100934650000003</v>
      </c>
      <c r="Z1307" s="40">
        <f t="shared" si="495"/>
        <v>-1.5559486460000002E-3</v>
      </c>
      <c r="AA1307" s="40"/>
      <c r="AB1307" s="40"/>
      <c r="AC1307" s="40"/>
      <c r="AD1307" s="40"/>
      <c r="AE1307" s="40"/>
      <c r="AF1307" s="40"/>
      <c r="AG1307" s="40"/>
      <c r="AH1307" s="40"/>
      <c r="AI1307" s="40"/>
      <c r="AJ1307" s="40"/>
      <c r="AK1307" s="40"/>
      <c r="AL1307" s="40"/>
      <c r="AM1307" s="40"/>
      <c r="AN1307" s="40"/>
      <c r="AO1307" s="40"/>
      <c r="AP1307" s="40"/>
      <c r="AQ1307" s="40"/>
      <c r="AR1307" s="40"/>
      <c r="AS1307" s="40"/>
      <c r="AT1307" s="40"/>
      <c r="AU1307" s="40"/>
      <c r="AV1307" s="40">
        <f t="shared" si="479"/>
        <v>-0.57716662710000011</v>
      </c>
      <c r="AW1307" s="40"/>
      <c r="AX1307" s="40"/>
      <c r="AY1307" s="40">
        <f t="shared" si="480"/>
        <v>-9.4444191100000001</v>
      </c>
      <c r="AZ1307" s="40"/>
      <c r="BA1307" s="40"/>
      <c r="BB1307" s="40"/>
      <c r="BC1307" s="40">
        <f t="shared" si="481"/>
        <v>-0.226364803</v>
      </c>
      <c r="BD1307" s="40">
        <f t="shared" si="481"/>
        <v>-5.052763632E-5</v>
      </c>
      <c r="BE1307" s="40">
        <f t="shared" si="481"/>
        <v>-9.0601489930000001E-2</v>
      </c>
      <c r="BF1307" s="40"/>
      <c r="BG1307" s="40"/>
      <c r="BH1307" s="40"/>
      <c r="BI1307" s="40"/>
      <c r="BJ1307" s="40"/>
      <c r="BK1307" s="40"/>
      <c r="BL1307" s="306">
        <v>0.111358574610245</v>
      </c>
      <c r="BM1307" s="275">
        <f>BM1308</f>
        <v>3</v>
      </c>
      <c r="BN1307" s="62">
        <v>0.03</v>
      </c>
      <c r="BO1307" s="33" t="str">
        <f>BO1308</f>
        <v>NMD Beontegels 300x300x60 mm grijs</v>
      </c>
    </row>
    <row r="1308" spans="1:68">
      <c r="A1308" s="33" t="str">
        <f>Database_Productkaarten[[#This Row],[Product]]&amp;", "&amp;Database_Productkaarten[[#This Row],[Levensfase]]</f>
        <v>Betontegel 300x300x80, D1</v>
      </c>
      <c r="B1308" s="33" t="s">
        <v>639</v>
      </c>
      <c r="C1308" t="s">
        <v>55</v>
      </c>
      <c r="D1308" s="33" t="s">
        <v>630</v>
      </c>
      <c r="E1308" s="33" t="s">
        <v>385</v>
      </c>
      <c r="F1308" s="33" t="s">
        <v>87</v>
      </c>
      <c r="G1308" s="33">
        <v>0.3</v>
      </c>
      <c r="H1308" s="33">
        <v>0.3</v>
      </c>
      <c r="I1308" s="33">
        <v>0.08</v>
      </c>
      <c r="L1308" s="33">
        <v>2.4</v>
      </c>
      <c r="M1308" s="271">
        <f t="shared" si="477"/>
        <v>0.18580099999999999</v>
      </c>
      <c r="N1308" s="41">
        <f>N1278*1.33</f>
        <v>-7.1420999999999998E-2</v>
      </c>
      <c r="O1308" s="33">
        <v>25</v>
      </c>
      <c r="P1308" s="40"/>
      <c r="Q1308" s="40"/>
      <c r="R1308" s="40"/>
      <c r="S1308" s="40"/>
      <c r="T1308" s="40"/>
      <c r="U1308" s="40"/>
      <c r="V1308" s="40"/>
      <c r="W1308" s="40"/>
      <c r="X1308" s="40"/>
      <c r="Y1308" s="40"/>
      <c r="Z1308" s="40"/>
      <c r="BL1308" s="306">
        <v>0.111358574610245</v>
      </c>
      <c r="BM1308" s="275">
        <v>3</v>
      </c>
      <c r="BN1308" s="62">
        <v>0.03</v>
      </c>
      <c r="BO1308" s="33" t="s">
        <v>636</v>
      </c>
      <c r="BP1308" s="165">
        <v>0.33</v>
      </c>
    </row>
    <row r="1309" spans="1:68">
      <c r="A1309" s="33" t="str">
        <f>Database_Productkaarten[[#This Row],[Product]]&amp;", "&amp;Database_Productkaarten[[#This Row],[Levensfase]]</f>
        <v>Betontegel 300x300x80, D2</v>
      </c>
      <c r="B1309" s="33" t="s">
        <v>639</v>
      </c>
      <c r="C1309" t="s">
        <v>55</v>
      </c>
      <c r="D1309" s="33" t="s">
        <v>630</v>
      </c>
      <c r="E1309" s="33" t="s">
        <v>385</v>
      </c>
      <c r="F1309" s="33" t="s">
        <v>88</v>
      </c>
      <c r="G1309" s="33">
        <v>0.3</v>
      </c>
      <c r="H1309" s="33">
        <v>0.3</v>
      </c>
      <c r="I1309" s="33">
        <v>0.08</v>
      </c>
      <c r="L1309" s="33">
        <v>2.4</v>
      </c>
      <c r="M1309" s="271">
        <f t="shared" si="477"/>
        <v>0.18580099999999999</v>
      </c>
      <c r="N1309" s="41">
        <f>N1279*1.33</f>
        <v>0</v>
      </c>
      <c r="O1309" s="33">
        <v>25</v>
      </c>
      <c r="P1309" s="40"/>
      <c r="Q1309" s="40"/>
      <c r="R1309" s="40"/>
      <c r="S1309" s="40"/>
      <c r="T1309" s="40"/>
      <c r="U1309" s="40"/>
      <c r="V1309" s="40"/>
      <c r="W1309" s="40"/>
      <c r="X1309" s="40"/>
      <c r="Y1309" s="40"/>
      <c r="Z1309" s="40"/>
      <c r="BL1309" s="306">
        <v>0.111358574610245</v>
      </c>
      <c r="BM1309" s="275">
        <v>3</v>
      </c>
      <c r="BN1309" s="62">
        <v>0.03</v>
      </c>
      <c r="BO1309" s="33" t="s">
        <v>636</v>
      </c>
      <c r="BP1309" s="165">
        <v>0.33</v>
      </c>
    </row>
    <row r="1310" spans="1:68">
      <c r="A1310" s="33" t="str">
        <f>Database_Productkaarten[[#This Row],[Product]]&amp;", "&amp;Database_Productkaarten[[#This Row],[Levensfase]]</f>
        <v>Betontegel 300x300x80 (hergebruik), Totaal</v>
      </c>
      <c r="B1310" s="33" t="s">
        <v>640</v>
      </c>
      <c r="C1310" t="s">
        <v>55</v>
      </c>
      <c r="D1310" s="33" t="s">
        <v>630</v>
      </c>
      <c r="E1310" s="33" t="s">
        <v>385</v>
      </c>
      <c r="F1310" s="33" t="s">
        <v>90</v>
      </c>
      <c r="G1310" s="33">
        <v>0.3</v>
      </c>
      <c r="H1310" s="33">
        <v>0.3</v>
      </c>
      <c r="I1310" s="33">
        <v>0.08</v>
      </c>
      <c r="L1310" s="33">
        <v>2.4</v>
      </c>
      <c r="M1310" s="271">
        <f t="shared" ref="M1310:M1324" si="496">M1280*1.33</f>
        <v>0.18580099999999999</v>
      </c>
      <c r="N1310" s="41">
        <f>SUM(N1314:N1322)</f>
        <v>1.0587598</v>
      </c>
      <c r="O1310" s="33">
        <v>25</v>
      </c>
      <c r="P1310" s="163">
        <f t="shared" ref="P1310:Z1310" si="497">SUM(P1314:P1322)</f>
        <v>1.782847559976E-5</v>
      </c>
      <c r="Q1310" s="163">
        <f t="shared" si="497"/>
        <v>5.8376474027550002E-2</v>
      </c>
      <c r="R1310" s="163">
        <f t="shared" si="497"/>
        <v>9.8653479501010004</v>
      </c>
      <c r="S1310" s="163">
        <f t="shared" si="497"/>
        <v>1.314835078921E-6</v>
      </c>
      <c r="T1310" s="163">
        <f t="shared" si="497"/>
        <v>5.2736529689059999E-3</v>
      </c>
      <c r="U1310" s="163">
        <f t="shared" si="497"/>
        <v>4.1297296111399998E-2</v>
      </c>
      <c r="V1310" s="163">
        <f t="shared" si="497"/>
        <v>8.552358135790002E-3</v>
      </c>
      <c r="W1310" s="163">
        <f t="shared" si="497"/>
        <v>2.8769757891629997</v>
      </c>
      <c r="X1310" s="163">
        <f t="shared" si="497"/>
        <v>7.3958146069920003E-2</v>
      </c>
      <c r="Y1310" s="163">
        <f t="shared" si="497"/>
        <v>274.51976553749995</v>
      </c>
      <c r="Z1310" s="163">
        <f t="shared" si="497"/>
        <v>1.4442446620595E-2</v>
      </c>
      <c r="AA1310" s="40"/>
      <c r="AB1310" s="40"/>
      <c r="AC1310" s="40"/>
      <c r="AD1310" s="40"/>
      <c r="AE1310" s="40"/>
      <c r="AF1310" s="40"/>
      <c r="AG1310" s="40"/>
      <c r="AH1310" s="40"/>
      <c r="AI1310" s="40"/>
      <c r="AJ1310" s="40"/>
      <c r="AK1310" s="40"/>
      <c r="AL1310" s="40"/>
      <c r="AM1310" s="40"/>
      <c r="AN1310" s="40"/>
      <c r="AO1310" s="40"/>
      <c r="AP1310" s="40"/>
      <c r="AQ1310" s="40"/>
      <c r="AR1310" s="40"/>
      <c r="AS1310" s="40"/>
      <c r="AT1310" s="40"/>
      <c r="AU1310" s="40"/>
      <c r="AV1310" s="163">
        <f>SUM(AV1314:AV1322)</f>
        <v>4.086710115691</v>
      </c>
      <c r="AW1310" s="40"/>
      <c r="AX1310" s="40"/>
      <c r="AY1310" s="163">
        <f>SUM(AY1314:AY1322)</f>
        <v>129.9439094681</v>
      </c>
      <c r="AZ1310" s="40"/>
      <c r="BA1310" s="40"/>
      <c r="BB1310" s="40"/>
      <c r="BC1310" s="163">
        <f t="shared" ref="BC1310:BE1310" si="498">SUM(BC1314:BC1322)</f>
        <v>0.24396650061630004</v>
      </c>
      <c r="BD1310" s="163">
        <f t="shared" si="498"/>
        <v>1.5548272106076853</v>
      </c>
      <c r="BE1310" s="163">
        <f t="shared" si="498"/>
        <v>7.3115968754009995</v>
      </c>
      <c r="BF1310" s="40"/>
      <c r="BG1310" s="40"/>
      <c r="BH1310" s="40"/>
      <c r="BI1310" s="40"/>
      <c r="BJ1310" s="40"/>
      <c r="BK1310" s="40"/>
      <c r="BL1310" s="62">
        <v>1</v>
      </c>
      <c r="BM1310" s="275">
        <v>3</v>
      </c>
      <c r="BN1310" s="62">
        <v>0.03</v>
      </c>
      <c r="BP1310" s="33" t="s">
        <v>602</v>
      </c>
    </row>
    <row r="1311" spans="1:68">
      <c r="A1311" s="33" t="str">
        <f>Database_Productkaarten[[#This Row],[Product]]&amp;", "&amp;Database_Productkaarten[[#This Row],[Levensfase]]</f>
        <v>Betontegel 300x300x80 (hergebruik), A1</v>
      </c>
      <c r="B1311" s="33" t="s">
        <v>640</v>
      </c>
      <c r="C1311" t="s">
        <v>55</v>
      </c>
      <c r="D1311" s="33" t="s">
        <v>630</v>
      </c>
      <c r="E1311" s="33" t="s">
        <v>385</v>
      </c>
      <c r="F1311" s="33" t="s">
        <v>74</v>
      </c>
      <c r="G1311" s="33">
        <v>0.3</v>
      </c>
      <c r="H1311" s="33">
        <v>0.3</v>
      </c>
      <c r="I1311" s="33">
        <v>0.08</v>
      </c>
      <c r="L1311" s="33">
        <v>2.4</v>
      </c>
      <c r="M1311" s="271">
        <f t="shared" si="496"/>
        <v>0.18580099999999999</v>
      </c>
      <c r="N1311" s="41">
        <v>0</v>
      </c>
      <c r="O1311" s="33">
        <v>25</v>
      </c>
      <c r="P1311" s="163">
        <v>0</v>
      </c>
      <c r="Q1311" s="163">
        <v>0</v>
      </c>
      <c r="R1311" s="163">
        <v>0</v>
      </c>
      <c r="S1311" s="163">
        <v>0</v>
      </c>
      <c r="T1311" s="163">
        <v>0</v>
      </c>
      <c r="U1311" s="163">
        <v>0</v>
      </c>
      <c r="V1311" s="163">
        <v>0</v>
      </c>
      <c r="W1311" s="163">
        <v>0</v>
      </c>
      <c r="X1311" s="163">
        <v>0</v>
      </c>
      <c r="Y1311" s="163">
        <v>0</v>
      </c>
      <c r="Z1311" s="163">
        <v>0</v>
      </c>
      <c r="AA1311" s="40"/>
      <c r="AB1311" s="40"/>
      <c r="AC1311" s="40"/>
      <c r="AD1311" s="40"/>
      <c r="AE1311" s="40"/>
      <c r="AF1311" s="40"/>
      <c r="AG1311" s="40"/>
      <c r="AH1311" s="40"/>
      <c r="AI1311" s="40"/>
      <c r="AJ1311" s="40"/>
      <c r="AK1311" s="40"/>
      <c r="AL1311" s="40"/>
      <c r="AM1311" s="40"/>
      <c r="AN1311" s="40"/>
      <c r="AO1311" s="40"/>
      <c r="AP1311" s="40"/>
      <c r="AQ1311" s="40"/>
      <c r="AR1311" s="40"/>
      <c r="AS1311" s="40"/>
      <c r="AT1311" s="40"/>
      <c r="AU1311" s="40"/>
      <c r="AV1311" s="163">
        <v>0</v>
      </c>
      <c r="AW1311" s="40"/>
      <c r="AX1311" s="40"/>
      <c r="AY1311" s="163">
        <v>0</v>
      </c>
      <c r="AZ1311" s="40"/>
      <c r="BA1311" s="40"/>
      <c r="BB1311" s="40"/>
      <c r="BC1311" s="163">
        <v>0</v>
      </c>
      <c r="BD1311" s="163">
        <v>0</v>
      </c>
      <c r="BE1311" s="163">
        <v>0</v>
      </c>
      <c r="BF1311" s="40"/>
      <c r="BG1311" s="40"/>
      <c r="BH1311" s="40"/>
      <c r="BI1311" s="40"/>
      <c r="BJ1311" s="40"/>
      <c r="BK1311" s="40"/>
      <c r="BL1311" s="62">
        <v>1</v>
      </c>
      <c r="BM1311" s="275">
        <v>3</v>
      </c>
      <c r="BN1311" s="62">
        <v>0.03</v>
      </c>
      <c r="BP1311" s="33" t="s">
        <v>602</v>
      </c>
    </row>
    <row r="1312" spans="1:68">
      <c r="A1312" s="33" t="str">
        <f>Database_Productkaarten[[#This Row],[Product]]&amp;", "&amp;Database_Productkaarten[[#This Row],[Levensfase]]</f>
        <v>Betontegel 300x300x80 (hergebruik), A2</v>
      </c>
      <c r="B1312" s="33" t="s">
        <v>640</v>
      </c>
      <c r="C1312" t="s">
        <v>55</v>
      </c>
      <c r="D1312" s="33" t="s">
        <v>630</v>
      </c>
      <c r="E1312" s="33" t="s">
        <v>385</v>
      </c>
      <c r="F1312" s="33" t="s">
        <v>75</v>
      </c>
      <c r="G1312" s="33">
        <v>0.3</v>
      </c>
      <c r="H1312" s="33">
        <v>0.3</v>
      </c>
      <c r="I1312" s="33">
        <v>0.08</v>
      </c>
      <c r="L1312" s="33">
        <v>2.4</v>
      </c>
      <c r="M1312" s="271">
        <f t="shared" si="496"/>
        <v>0.18580099999999999</v>
      </c>
      <c r="N1312" s="41">
        <v>0</v>
      </c>
      <c r="O1312" s="33">
        <v>25</v>
      </c>
      <c r="P1312" s="163">
        <v>0</v>
      </c>
      <c r="Q1312" s="163">
        <v>0</v>
      </c>
      <c r="R1312" s="163">
        <v>0</v>
      </c>
      <c r="S1312" s="163">
        <v>0</v>
      </c>
      <c r="T1312" s="163">
        <v>0</v>
      </c>
      <c r="U1312" s="163">
        <v>0</v>
      </c>
      <c r="V1312" s="163">
        <v>0</v>
      </c>
      <c r="W1312" s="163">
        <v>0</v>
      </c>
      <c r="X1312" s="163">
        <v>0</v>
      </c>
      <c r="Y1312" s="163">
        <v>0</v>
      </c>
      <c r="Z1312" s="163">
        <v>0</v>
      </c>
      <c r="AA1312" s="40"/>
      <c r="AB1312" s="40"/>
      <c r="AC1312" s="40"/>
      <c r="AD1312" s="40"/>
      <c r="AE1312" s="40"/>
      <c r="AF1312" s="40"/>
      <c r="AG1312" s="40"/>
      <c r="AH1312" s="40"/>
      <c r="AI1312" s="40"/>
      <c r="AJ1312" s="40"/>
      <c r="AK1312" s="40"/>
      <c r="AL1312" s="40"/>
      <c r="AM1312" s="40"/>
      <c r="AN1312" s="40"/>
      <c r="AO1312" s="40"/>
      <c r="AP1312" s="40"/>
      <c r="AQ1312" s="40"/>
      <c r="AR1312" s="40"/>
      <c r="AS1312" s="40"/>
      <c r="AT1312" s="40"/>
      <c r="AU1312" s="40"/>
      <c r="AV1312" s="163">
        <v>0</v>
      </c>
      <c r="AW1312" s="40"/>
      <c r="AX1312" s="40"/>
      <c r="AY1312" s="163">
        <v>0</v>
      </c>
      <c r="AZ1312" s="40"/>
      <c r="BA1312" s="40"/>
      <c r="BB1312" s="40"/>
      <c r="BC1312" s="163">
        <v>0</v>
      </c>
      <c r="BD1312" s="163">
        <v>0</v>
      </c>
      <c r="BE1312" s="163">
        <v>0</v>
      </c>
      <c r="BF1312" s="40"/>
      <c r="BG1312" s="40"/>
      <c r="BH1312" s="40"/>
      <c r="BI1312" s="40"/>
      <c r="BJ1312" s="40"/>
      <c r="BK1312" s="40"/>
      <c r="BL1312" s="62">
        <v>1</v>
      </c>
      <c r="BM1312" s="275">
        <v>3</v>
      </c>
      <c r="BN1312" s="62">
        <v>0.03</v>
      </c>
      <c r="BP1312" s="33" t="s">
        <v>602</v>
      </c>
    </row>
    <row r="1313" spans="1:68">
      <c r="A1313" s="33" t="str">
        <f>Database_Productkaarten[[#This Row],[Product]]&amp;", "&amp;Database_Productkaarten[[#This Row],[Levensfase]]</f>
        <v>Betontegel 300x300x80 (hergebruik), A3</v>
      </c>
      <c r="B1313" s="33" t="s">
        <v>640</v>
      </c>
      <c r="C1313" t="s">
        <v>55</v>
      </c>
      <c r="D1313" s="33" t="s">
        <v>630</v>
      </c>
      <c r="E1313" s="33" t="s">
        <v>385</v>
      </c>
      <c r="F1313" s="33" t="s">
        <v>76</v>
      </c>
      <c r="G1313" s="33">
        <v>0.3</v>
      </c>
      <c r="H1313" s="33">
        <v>0.3</v>
      </c>
      <c r="I1313" s="33">
        <v>0.08</v>
      </c>
      <c r="L1313" s="33">
        <v>2.4</v>
      </c>
      <c r="M1313" s="271">
        <f t="shared" si="496"/>
        <v>0.18580099999999999</v>
      </c>
      <c r="N1313" s="41">
        <v>0</v>
      </c>
      <c r="O1313" s="33">
        <v>25</v>
      </c>
      <c r="P1313" s="163">
        <v>0</v>
      </c>
      <c r="Q1313" s="163">
        <v>0</v>
      </c>
      <c r="R1313" s="163">
        <v>0</v>
      </c>
      <c r="S1313" s="163">
        <v>0</v>
      </c>
      <c r="T1313" s="163">
        <v>0</v>
      </c>
      <c r="U1313" s="163">
        <v>0</v>
      </c>
      <c r="V1313" s="163">
        <v>0</v>
      </c>
      <c r="W1313" s="163">
        <v>0</v>
      </c>
      <c r="X1313" s="163">
        <v>0</v>
      </c>
      <c r="Y1313" s="163">
        <v>0</v>
      </c>
      <c r="Z1313" s="163">
        <v>0</v>
      </c>
      <c r="AA1313" s="40"/>
      <c r="AB1313" s="40"/>
      <c r="AC1313" s="40"/>
      <c r="AD1313" s="40"/>
      <c r="AE1313" s="40"/>
      <c r="AF1313" s="40"/>
      <c r="AG1313" s="40"/>
      <c r="AH1313" s="40"/>
      <c r="AI1313" s="40"/>
      <c r="AJ1313" s="40"/>
      <c r="AK1313" s="40"/>
      <c r="AL1313" s="40"/>
      <c r="AM1313" s="40"/>
      <c r="AN1313" s="40"/>
      <c r="AO1313" s="40"/>
      <c r="AP1313" s="40"/>
      <c r="AQ1313" s="40"/>
      <c r="AR1313" s="40"/>
      <c r="AS1313" s="40"/>
      <c r="AT1313" s="40"/>
      <c r="AU1313" s="40"/>
      <c r="AV1313" s="163">
        <v>0</v>
      </c>
      <c r="AW1313" s="40"/>
      <c r="AX1313" s="40"/>
      <c r="AY1313" s="163">
        <v>0</v>
      </c>
      <c r="AZ1313" s="40"/>
      <c r="BA1313" s="40"/>
      <c r="BB1313" s="40"/>
      <c r="BC1313" s="163">
        <v>0</v>
      </c>
      <c r="BD1313" s="163">
        <v>0</v>
      </c>
      <c r="BE1313" s="163">
        <v>0</v>
      </c>
      <c r="BF1313" s="40"/>
      <c r="BG1313" s="40"/>
      <c r="BH1313" s="40"/>
      <c r="BI1313" s="40"/>
      <c r="BJ1313" s="40"/>
      <c r="BK1313" s="40"/>
      <c r="BL1313" s="62">
        <v>1</v>
      </c>
      <c r="BM1313" s="275">
        <v>3</v>
      </c>
      <c r="BN1313" s="62">
        <v>0.03</v>
      </c>
      <c r="BP1313" s="33" t="s">
        <v>602</v>
      </c>
    </row>
    <row r="1314" spans="1:68">
      <c r="A1314" s="33" t="str">
        <f>Database_Productkaarten[[#This Row],[Product]]&amp;", "&amp;Database_Productkaarten[[#This Row],[Levensfase]]</f>
        <v>Betontegel 300x300x80 (hergebruik), A1-A3</v>
      </c>
      <c r="B1314" s="33" t="s">
        <v>640</v>
      </c>
      <c r="C1314" s="451" t="str">
        <f>C1313</f>
        <v>Elementenverhardingen</v>
      </c>
      <c r="D1314" s="451" t="str">
        <f>D1313</f>
        <v>Betontegel</v>
      </c>
      <c r="E1314" s="451" t="str">
        <f>E1313</f>
        <v>m2</v>
      </c>
      <c r="F1314" s="451" t="s">
        <v>77</v>
      </c>
      <c r="G1314" s="451">
        <f t="shared" ref="G1314:I1314" si="499">G1313</f>
        <v>0.3</v>
      </c>
      <c r="H1314" s="451">
        <f t="shared" si="499"/>
        <v>0.3</v>
      </c>
      <c r="I1314" s="451">
        <f t="shared" si="499"/>
        <v>0.08</v>
      </c>
      <c r="L1314" s="33">
        <v>2.4</v>
      </c>
      <c r="M1314" s="271">
        <f t="shared" si="496"/>
        <v>0.18580099999999999</v>
      </c>
      <c r="N1314" s="41">
        <v>0</v>
      </c>
      <c r="O1314" s="33">
        <v>25</v>
      </c>
      <c r="P1314" s="163">
        <v>0</v>
      </c>
      <c r="Q1314" s="163">
        <v>0</v>
      </c>
      <c r="R1314" s="163">
        <v>0</v>
      </c>
      <c r="S1314" s="163">
        <v>0</v>
      </c>
      <c r="T1314" s="163">
        <v>0</v>
      </c>
      <c r="U1314" s="163">
        <v>0</v>
      </c>
      <c r="V1314" s="163">
        <v>0</v>
      </c>
      <c r="W1314" s="163">
        <v>0</v>
      </c>
      <c r="X1314" s="163">
        <v>0</v>
      </c>
      <c r="Y1314" s="163">
        <v>0</v>
      </c>
      <c r="Z1314" s="163">
        <v>0</v>
      </c>
      <c r="AA1314" s="40"/>
      <c r="AB1314" s="40"/>
      <c r="AC1314" s="40"/>
      <c r="AD1314" s="40"/>
      <c r="AE1314" s="40"/>
      <c r="AF1314" s="40"/>
      <c r="AG1314" s="40"/>
      <c r="AH1314" s="40"/>
      <c r="AI1314" s="40"/>
      <c r="AJ1314" s="40"/>
      <c r="AK1314" s="40"/>
      <c r="AL1314" s="40"/>
      <c r="AM1314" s="40"/>
      <c r="AN1314" s="40"/>
      <c r="AO1314" s="40"/>
      <c r="AP1314" s="40"/>
      <c r="AQ1314" s="40"/>
      <c r="AR1314" s="40"/>
      <c r="AS1314" s="40"/>
      <c r="AT1314" s="40"/>
      <c r="AU1314" s="40"/>
      <c r="AV1314" s="163">
        <v>0</v>
      </c>
      <c r="AW1314" s="40"/>
      <c r="AX1314" s="40"/>
      <c r="AY1314" s="163">
        <v>0</v>
      </c>
      <c r="AZ1314" s="40"/>
      <c r="BA1314" s="40"/>
      <c r="BB1314" s="40"/>
      <c r="BC1314" s="163">
        <v>0</v>
      </c>
      <c r="BD1314" s="163">
        <v>0</v>
      </c>
      <c r="BE1314" s="163">
        <v>0</v>
      </c>
      <c r="BF1314" s="40"/>
      <c r="BG1314" s="40"/>
      <c r="BH1314" s="40"/>
      <c r="BI1314" s="40"/>
      <c r="BJ1314" s="40"/>
      <c r="BK1314" s="40"/>
      <c r="BL1314" s="62">
        <v>1</v>
      </c>
      <c r="BM1314" s="275">
        <v>3</v>
      </c>
      <c r="BN1314" s="62">
        <v>0.03</v>
      </c>
      <c r="BP1314" s="33" t="s">
        <v>602</v>
      </c>
    </row>
    <row r="1315" spans="1:68">
      <c r="A1315" s="33" t="str">
        <f>Database_Productkaarten[[#This Row],[Product]]&amp;", "&amp;Database_Productkaarten[[#This Row],[Levensfase]]</f>
        <v>Betontegel 300x300x80 (hergebruik), A4</v>
      </c>
      <c r="B1315" s="33" t="s">
        <v>640</v>
      </c>
      <c r="C1315" t="s">
        <v>55</v>
      </c>
      <c r="D1315" s="33" t="s">
        <v>630</v>
      </c>
      <c r="E1315" s="33" t="s">
        <v>385</v>
      </c>
      <c r="F1315" s="33" t="s">
        <v>78</v>
      </c>
      <c r="G1315" s="33">
        <v>0.3</v>
      </c>
      <c r="H1315" s="33">
        <v>0.3</v>
      </c>
      <c r="I1315" s="33">
        <v>0.08</v>
      </c>
      <c r="L1315" s="33">
        <v>2.4</v>
      </c>
      <c r="M1315" s="271">
        <f t="shared" si="496"/>
        <v>0.18580099999999999</v>
      </c>
      <c r="N1315" s="41">
        <f>N1300</f>
        <v>0.421211</v>
      </c>
      <c r="O1315" s="33">
        <v>25</v>
      </c>
      <c r="P1315" s="163">
        <f t="shared" ref="P1315:Z1315" si="500">P1300</f>
        <v>1.0049094965E-5</v>
      </c>
      <c r="Q1315" s="163">
        <f t="shared" si="500"/>
        <v>2.608276965E-2</v>
      </c>
      <c r="R1315" s="163">
        <f t="shared" si="500"/>
        <v>3.5336462769999999</v>
      </c>
      <c r="S1315" s="163">
        <f t="shared" si="500"/>
        <v>6.5118127340000003E-7</v>
      </c>
      <c r="T1315" s="163">
        <f t="shared" si="500"/>
        <v>2.0856704890000002E-3</v>
      </c>
      <c r="U1315" s="163">
        <f t="shared" si="500"/>
        <v>1.5319881640000001E-2</v>
      </c>
      <c r="V1315" s="163">
        <f t="shared" si="500"/>
        <v>3.0528361150000002E-3</v>
      </c>
      <c r="W1315" s="163">
        <f t="shared" si="500"/>
        <v>1.4137346720000001</v>
      </c>
      <c r="X1315" s="163">
        <f t="shared" si="500"/>
        <v>4.1462936200000002E-2</v>
      </c>
      <c r="Y1315" s="163">
        <f t="shared" si="500"/>
        <v>149.6520256</v>
      </c>
      <c r="Z1315" s="163">
        <f t="shared" si="500"/>
        <v>5.0090433400000007E-3</v>
      </c>
      <c r="AA1315" s="40"/>
      <c r="AB1315" s="40"/>
      <c r="AC1315" s="40"/>
      <c r="AD1315" s="40"/>
      <c r="AE1315" s="40"/>
      <c r="AF1315" s="40"/>
      <c r="AG1315" s="40"/>
      <c r="AH1315" s="40"/>
      <c r="AI1315" s="40"/>
      <c r="AJ1315" s="40"/>
      <c r="AK1315" s="40"/>
      <c r="AL1315" s="40"/>
      <c r="AM1315" s="40"/>
      <c r="AN1315" s="40"/>
      <c r="AO1315" s="40"/>
      <c r="AP1315" s="40"/>
      <c r="AQ1315" s="40"/>
      <c r="AR1315" s="40"/>
      <c r="AS1315" s="40"/>
      <c r="AT1315" s="40"/>
      <c r="AU1315" s="40"/>
      <c r="AV1315" s="163">
        <f>AV1300</f>
        <v>0.74413547880000008</v>
      </c>
      <c r="AW1315" s="40"/>
      <c r="AX1315" s="40"/>
      <c r="AY1315" s="163">
        <f>AY1300</f>
        <v>58.146615799999999</v>
      </c>
      <c r="AZ1315" s="40"/>
      <c r="BA1315" s="40"/>
      <c r="BB1315" s="40"/>
      <c r="BC1315" s="163">
        <f t="shared" ref="BC1315:BE1315" si="501">BC1300</f>
        <v>1.0457523601000001E-2</v>
      </c>
      <c r="BD1315" s="163">
        <f t="shared" si="501"/>
        <v>4.0157617010000006E-4</v>
      </c>
      <c r="BE1315" s="163">
        <f t="shared" si="501"/>
        <v>3.3423114130000005</v>
      </c>
      <c r="BF1315" s="40"/>
      <c r="BG1315" s="40"/>
      <c r="BH1315" s="40"/>
      <c r="BI1315" s="40"/>
      <c r="BJ1315" s="40"/>
      <c r="BK1315" s="40"/>
      <c r="BL1315" s="62">
        <v>1</v>
      </c>
      <c r="BM1315" s="275">
        <v>3</v>
      </c>
      <c r="BN1315" s="62">
        <v>0.03</v>
      </c>
      <c r="BP1315" s="33" t="s">
        <v>602</v>
      </c>
    </row>
    <row r="1316" spans="1:68">
      <c r="A1316" s="33" t="str">
        <f>Database_Productkaarten[[#This Row],[Product]]&amp;", "&amp;Database_Productkaarten[[#This Row],[Levensfase]]</f>
        <v>Betontegel 300x300x80 (hergebruik), A5</v>
      </c>
      <c r="B1316" s="33" t="s">
        <v>640</v>
      </c>
      <c r="C1316" t="s">
        <v>55</v>
      </c>
      <c r="D1316" s="33" t="s">
        <v>630</v>
      </c>
      <c r="E1316" s="33" t="s">
        <v>385</v>
      </c>
      <c r="F1316" s="33" t="s">
        <v>79</v>
      </c>
      <c r="G1316" s="33">
        <v>0.3</v>
      </c>
      <c r="H1316" s="33">
        <v>0.3</v>
      </c>
      <c r="I1316" s="33">
        <v>0.08</v>
      </c>
      <c r="L1316" s="33">
        <v>2.4</v>
      </c>
      <c r="M1316" s="271">
        <f t="shared" si="496"/>
        <v>0.18580099999999999</v>
      </c>
      <c r="N1316" s="41">
        <f t="shared" ref="N1316:N1321" si="502">N1301</f>
        <v>0.16758000000000001</v>
      </c>
      <c r="O1316" s="33">
        <v>25</v>
      </c>
      <c r="P1316" s="163">
        <f t="shared" ref="P1316:Z1316" si="503">P1301</f>
        <v>1.347053526E-6</v>
      </c>
      <c r="Q1316" s="163">
        <f t="shared" si="503"/>
        <v>8.6026813950000006E-3</v>
      </c>
      <c r="R1316" s="163">
        <f t="shared" si="503"/>
        <v>1.6460175760000002</v>
      </c>
      <c r="S1316" s="163">
        <f t="shared" si="503"/>
        <v>1.907723937E-7</v>
      </c>
      <c r="T1316" s="163">
        <f t="shared" si="503"/>
        <v>1.0218512626E-3</v>
      </c>
      <c r="U1316" s="163">
        <f t="shared" si="503"/>
        <v>8.128189664E-3</v>
      </c>
      <c r="V1316" s="163">
        <f t="shared" si="503"/>
        <v>1.7701075070000001E-3</v>
      </c>
      <c r="W1316" s="163">
        <f t="shared" si="503"/>
        <v>0.40281155390000001</v>
      </c>
      <c r="X1316" s="163">
        <f t="shared" si="503"/>
        <v>7.3543787729999999E-3</v>
      </c>
      <c r="Y1316" s="163">
        <f t="shared" si="503"/>
        <v>27.678637980000001</v>
      </c>
      <c r="Z1316" s="163">
        <f t="shared" si="503"/>
        <v>1.9848040870000003E-3</v>
      </c>
      <c r="AA1316" s="40"/>
      <c r="AB1316" s="40"/>
      <c r="AC1316" s="40"/>
      <c r="AD1316" s="40"/>
      <c r="AE1316" s="40"/>
      <c r="AF1316" s="40"/>
      <c r="AG1316" s="40"/>
      <c r="AH1316" s="40"/>
      <c r="AI1316" s="40"/>
      <c r="AJ1316" s="40"/>
      <c r="AK1316" s="40"/>
      <c r="AL1316" s="40"/>
      <c r="AM1316" s="40"/>
      <c r="AN1316" s="40"/>
      <c r="AO1316" s="40"/>
      <c r="AP1316" s="40"/>
      <c r="AQ1316" s="40"/>
      <c r="AR1316" s="40"/>
      <c r="AS1316" s="40"/>
      <c r="AT1316" s="40"/>
      <c r="AU1316" s="40"/>
      <c r="AV1316" s="163">
        <f t="shared" ref="AV1316:AV1321" si="504">AV1301</f>
        <v>0.70984259919999992</v>
      </c>
      <c r="AW1316" s="40"/>
      <c r="AX1316" s="40"/>
      <c r="AY1316" s="163">
        <f t="shared" ref="AY1316:AY1321" si="505">AY1301</f>
        <v>19.257378559999999</v>
      </c>
      <c r="AZ1316" s="40"/>
      <c r="BA1316" s="40"/>
      <c r="BB1316" s="40"/>
      <c r="BC1316" s="163">
        <f t="shared" ref="BC1316:BE1316" si="506">BC1301</f>
        <v>4.851214501E-2</v>
      </c>
      <c r="BD1316" s="163">
        <f t="shared" si="506"/>
        <v>0.35873366480000002</v>
      </c>
      <c r="BE1316" s="163">
        <f t="shared" si="506"/>
        <v>0.28229085080000005</v>
      </c>
      <c r="BF1316" s="40"/>
      <c r="BG1316" s="40"/>
      <c r="BH1316" s="40"/>
      <c r="BI1316" s="40"/>
      <c r="BJ1316" s="40"/>
      <c r="BK1316" s="40"/>
      <c r="BL1316" s="62">
        <v>1</v>
      </c>
      <c r="BM1316" s="275">
        <v>3</v>
      </c>
      <c r="BN1316" s="62">
        <v>0.03</v>
      </c>
      <c r="BP1316" s="33" t="s">
        <v>602</v>
      </c>
    </row>
    <row r="1317" spans="1:68">
      <c r="A1317" s="33" t="str">
        <f>Database_Productkaarten[[#This Row],[Product]]&amp;", "&amp;Database_Productkaarten[[#This Row],[Levensfase]]</f>
        <v>Betontegel 300x300x80 (hergebruik), B1</v>
      </c>
      <c r="B1317" s="33" t="s">
        <v>640</v>
      </c>
      <c r="C1317" t="s">
        <v>55</v>
      </c>
      <c r="D1317" s="33" t="s">
        <v>630</v>
      </c>
      <c r="E1317" s="33" t="s">
        <v>385</v>
      </c>
      <c r="F1317" s="33" t="s">
        <v>80</v>
      </c>
      <c r="G1317" s="33">
        <v>0.3</v>
      </c>
      <c r="H1317" s="33">
        <v>0.3</v>
      </c>
      <c r="I1317" s="33">
        <v>0.08</v>
      </c>
      <c r="L1317" s="33">
        <v>2.4</v>
      </c>
      <c r="M1317" s="271">
        <f t="shared" si="496"/>
        <v>0.18580099999999999</v>
      </c>
      <c r="N1317" s="41">
        <f t="shared" si="502"/>
        <v>0</v>
      </c>
      <c r="O1317" s="33">
        <v>25</v>
      </c>
      <c r="P1317" s="163">
        <f t="shared" ref="P1317:Z1317" si="507">P1302</f>
        <v>0</v>
      </c>
      <c r="Q1317" s="163">
        <f t="shared" si="507"/>
        <v>0</v>
      </c>
      <c r="R1317" s="163">
        <f t="shared" si="507"/>
        <v>0</v>
      </c>
      <c r="S1317" s="163">
        <f t="shared" si="507"/>
        <v>0</v>
      </c>
      <c r="T1317" s="163">
        <f t="shared" si="507"/>
        <v>0</v>
      </c>
      <c r="U1317" s="163">
        <f t="shared" si="507"/>
        <v>0</v>
      </c>
      <c r="V1317" s="163">
        <f t="shared" si="507"/>
        <v>0</v>
      </c>
      <c r="W1317" s="163">
        <f t="shared" si="507"/>
        <v>0</v>
      </c>
      <c r="X1317" s="163">
        <f t="shared" si="507"/>
        <v>0</v>
      </c>
      <c r="Y1317" s="163">
        <f t="shared" si="507"/>
        <v>0</v>
      </c>
      <c r="Z1317" s="163">
        <f t="shared" si="507"/>
        <v>0</v>
      </c>
      <c r="AA1317" s="40"/>
      <c r="AB1317" s="40"/>
      <c r="AC1317" s="40"/>
      <c r="AD1317" s="40"/>
      <c r="AE1317" s="40"/>
      <c r="AF1317" s="40"/>
      <c r="AG1317" s="40"/>
      <c r="AH1317" s="40"/>
      <c r="AI1317" s="40"/>
      <c r="AJ1317" s="40"/>
      <c r="AK1317" s="40"/>
      <c r="AL1317" s="40"/>
      <c r="AM1317" s="40"/>
      <c r="AN1317" s="40"/>
      <c r="AO1317" s="40"/>
      <c r="AP1317" s="40"/>
      <c r="AQ1317" s="40"/>
      <c r="AR1317" s="40"/>
      <c r="AS1317" s="40"/>
      <c r="AT1317" s="40"/>
      <c r="AU1317" s="40"/>
      <c r="AV1317" s="163">
        <f t="shared" si="504"/>
        <v>0</v>
      </c>
      <c r="AW1317" s="40"/>
      <c r="AX1317" s="40"/>
      <c r="AY1317" s="163">
        <f t="shared" si="505"/>
        <v>0</v>
      </c>
      <c r="AZ1317" s="40"/>
      <c r="BA1317" s="40"/>
      <c r="BB1317" s="40"/>
      <c r="BC1317" s="163">
        <f t="shared" ref="BC1317:BE1317" si="508">BC1302</f>
        <v>0</v>
      </c>
      <c r="BD1317" s="163">
        <f t="shared" si="508"/>
        <v>0</v>
      </c>
      <c r="BE1317" s="163">
        <f t="shared" si="508"/>
        <v>0</v>
      </c>
      <c r="BF1317" s="40"/>
      <c r="BG1317" s="40"/>
      <c r="BH1317" s="40"/>
      <c r="BI1317" s="40"/>
      <c r="BJ1317" s="40"/>
      <c r="BK1317" s="40"/>
      <c r="BL1317" s="62">
        <v>1</v>
      </c>
      <c r="BM1317" s="275">
        <v>3</v>
      </c>
      <c r="BN1317" s="62">
        <v>0.03</v>
      </c>
      <c r="BP1317" s="33" t="s">
        <v>602</v>
      </c>
    </row>
    <row r="1318" spans="1:68">
      <c r="A1318" s="33" t="str">
        <f>Database_Productkaarten[[#This Row],[Product]]&amp;", "&amp;Database_Productkaarten[[#This Row],[Levensfase]]</f>
        <v>Betontegel 300x300x80 (hergebruik), C1</v>
      </c>
      <c r="B1318" s="33" t="s">
        <v>640</v>
      </c>
      <c r="C1318" t="s">
        <v>55</v>
      </c>
      <c r="D1318" s="33" t="s">
        <v>630</v>
      </c>
      <c r="E1318" s="33" t="s">
        <v>385</v>
      </c>
      <c r="F1318" s="33" t="s">
        <v>83</v>
      </c>
      <c r="G1318" s="33">
        <v>0.3</v>
      </c>
      <c r="H1318" s="33">
        <v>0.3</v>
      </c>
      <c r="I1318" s="33">
        <v>0.08</v>
      </c>
      <c r="L1318" s="33">
        <v>2.4</v>
      </c>
      <c r="M1318" s="271">
        <f t="shared" si="496"/>
        <v>0.18580099999999999</v>
      </c>
      <c r="N1318" s="41">
        <f t="shared" si="502"/>
        <v>0.105602</v>
      </c>
      <c r="O1318" s="33">
        <v>25</v>
      </c>
      <c r="P1318" s="163">
        <f t="shared" ref="P1318:Z1318" si="509">P1303</f>
        <v>2.6499489239999998E-7</v>
      </c>
      <c r="Q1318" s="163">
        <f t="shared" si="509"/>
        <v>5.4597637150000005E-3</v>
      </c>
      <c r="R1318" s="163">
        <f t="shared" si="509"/>
        <v>0.79131382400000005</v>
      </c>
      <c r="S1318" s="163">
        <f t="shared" si="509"/>
        <v>1.4253302770000001E-7</v>
      </c>
      <c r="T1318" s="163">
        <f t="shared" si="509"/>
        <v>7.9762436810000006E-4</v>
      </c>
      <c r="U1318" s="163">
        <f t="shared" si="509"/>
        <v>5.9874718050000001E-3</v>
      </c>
      <c r="V1318" s="163">
        <f t="shared" si="509"/>
        <v>1.3407215290000003E-3</v>
      </c>
      <c r="W1318" s="163">
        <f t="shared" si="509"/>
        <v>0.28011985189999999</v>
      </c>
      <c r="X1318" s="163">
        <f t="shared" si="509"/>
        <v>3.9174478349999998E-3</v>
      </c>
      <c r="Y1318" s="163">
        <f t="shared" si="509"/>
        <v>13.279488607000001</v>
      </c>
      <c r="Z1318" s="163">
        <f t="shared" si="509"/>
        <v>4.6807243280000004E-4</v>
      </c>
      <c r="AA1318" s="40"/>
      <c r="AB1318" s="40"/>
      <c r="AC1318" s="40"/>
      <c r="AD1318" s="40"/>
      <c r="AE1318" s="40"/>
      <c r="AF1318" s="40"/>
      <c r="AG1318" s="40"/>
      <c r="AH1318" s="40"/>
      <c r="AI1318" s="40"/>
      <c r="AJ1318" s="40"/>
      <c r="AK1318" s="40"/>
      <c r="AL1318" s="40"/>
      <c r="AM1318" s="40"/>
      <c r="AN1318" s="40"/>
      <c r="AO1318" s="40"/>
      <c r="AP1318" s="40"/>
      <c r="AQ1318" s="40"/>
      <c r="AR1318" s="40"/>
      <c r="AS1318" s="40"/>
      <c r="AT1318" s="40"/>
      <c r="AU1318" s="40"/>
      <c r="AV1318" s="163">
        <f t="shared" si="504"/>
        <v>6.5758090089999999E-2</v>
      </c>
      <c r="AW1318" s="40"/>
      <c r="AX1318" s="40"/>
      <c r="AY1318" s="163">
        <f t="shared" si="505"/>
        <v>12.247322955000001</v>
      </c>
      <c r="AZ1318" s="40"/>
      <c r="BA1318" s="40"/>
      <c r="BB1318" s="40"/>
      <c r="BC1318" s="163">
        <f t="shared" ref="BC1318:BE1318" si="510">BC1303</f>
        <v>1.0097311055999999E-3</v>
      </c>
      <c r="BD1318" s="163">
        <f t="shared" si="510"/>
        <v>8.4789590760000005E-5</v>
      </c>
      <c r="BE1318" s="163">
        <f t="shared" si="510"/>
        <v>1.2496994944000002E-2</v>
      </c>
      <c r="BF1318" s="40"/>
      <c r="BG1318" s="40"/>
      <c r="BH1318" s="40"/>
      <c r="BI1318" s="40"/>
      <c r="BJ1318" s="40"/>
      <c r="BK1318" s="40"/>
      <c r="BL1318" s="62">
        <v>1</v>
      </c>
      <c r="BM1318" s="275">
        <v>3</v>
      </c>
      <c r="BN1318" s="62">
        <v>0.03</v>
      </c>
      <c r="BP1318" s="33" t="s">
        <v>602</v>
      </c>
    </row>
    <row r="1319" spans="1:68">
      <c r="A1319" s="33" t="str">
        <f>Database_Productkaarten[[#This Row],[Product]]&amp;", "&amp;Database_Productkaarten[[#This Row],[Levensfase]]</f>
        <v>Betontegel 300x300x80 (hergebruik), C2</v>
      </c>
      <c r="B1319" s="33" t="s">
        <v>640</v>
      </c>
      <c r="C1319" t="s">
        <v>55</v>
      </c>
      <c r="D1319" s="33" t="s">
        <v>630</v>
      </c>
      <c r="E1319" s="33" t="s">
        <v>385</v>
      </c>
      <c r="F1319" s="33" t="s">
        <v>84</v>
      </c>
      <c r="G1319" s="33">
        <v>0.3</v>
      </c>
      <c r="H1319" s="33">
        <v>0.3</v>
      </c>
      <c r="I1319" s="33">
        <v>0.08</v>
      </c>
      <c r="L1319" s="33">
        <v>2.4</v>
      </c>
      <c r="M1319" s="271">
        <f t="shared" si="496"/>
        <v>0.18580099999999999</v>
      </c>
      <c r="N1319" s="41">
        <f t="shared" si="502"/>
        <v>0.14177800000000002</v>
      </c>
      <c r="O1319" s="33">
        <v>25</v>
      </c>
      <c r="P1319" s="163">
        <f t="shared" ref="P1319:Z1319" si="511">P1304</f>
        <v>3.3655876100000002E-6</v>
      </c>
      <c r="Q1319" s="163">
        <f t="shared" si="511"/>
        <v>8.7354977219999998E-3</v>
      </c>
      <c r="R1319" s="163">
        <f t="shared" si="511"/>
        <v>1.1834693780000001</v>
      </c>
      <c r="S1319" s="163">
        <f t="shared" si="511"/>
        <v>2.1809004840000001E-7</v>
      </c>
      <c r="T1319" s="163">
        <f t="shared" si="511"/>
        <v>6.9852130669999994E-4</v>
      </c>
      <c r="U1319" s="163">
        <f t="shared" si="511"/>
        <v>5.1308503260000006E-3</v>
      </c>
      <c r="V1319" s="163">
        <f t="shared" si="511"/>
        <v>1.0224390827E-3</v>
      </c>
      <c r="W1319" s="163">
        <f t="shared" si="511"/>
        <v>0.47348025269999999</v>
      </c>
      <c r="X1319" s="163">
        <f t="shared" si="511"/>
        <v>1.388653798E-2</v>
      </c>
      <c r="Y1319" s="163">
        <f t="shared" si="511"/>
        <v>50.12063371</v>
      </c>
      <c r="Z1319" s="163">
        <f t="shared" si="511"/>
        <v>1.6776012190000001E-3</v>
      </c>
      <c r="AA1319" s="40"/>
      <c r="AB1319" s="40"/>
      <c r="AC1319" s="40"/>
      <c r="AD1319" s="40"/>
      <c r="AE1319" s="40"/>
      <c r="AF1319" s="40"/>
      <c r="AG1319" s="40"/>
      <c r="AH1319" s="40"/>
      <c r="AI1319" s="40"/>
      <c r="AJ1319" s="40"/>
      <c r="AK1319" s="40"/>
      <c r="AL1319" s="40"/>
      <c r="AM1319" s="40"/>
      <c r="AN1319" s="40"/>
      <c r="AO1319" s="40"/>
      <c r="AP1319" s="40"/>
      <c r="AQ1319" s="40"/>
      <c r="AR1319" s="40"/>
      <c r="AS1319" s="40"/>
      <c r="AT1319" s="40"/>
      <c r="AU1319" s="40"/>
      <c r="AV1319" s="163">
        <f t="shared" si="504"/>
        <v>0.24922175740000002</v>
      </c>
      <c r="AW1319" s="40"/>
      <c r="AX1319" s="40"/>
      <c r="AY1319" s="163">
        <f t="shared" si="505"/>
        <v>19.474144620000001</v>
      </c>
      <c r="AZ1319" s="40"/>
      <c r="BA1319" s="40"/>
      <c r="BB1319" s="40"/>
      <c r="BC1319" s="163">
        <f t="shared" ref="BC1319:BE1319" si="512">BC1304</f>
        <v>3.5023762480000005E-3</v>
      </c>
      <c r="BD1319" s="163">
        <f t="shared" si="512"/>
        <v>1.344936831E-4</v>
      </c>
      <c r="BE1319" s="163">
        <f t="shared" si="512"/>
        <v>1.1193885549</v>
      </c>
      <c r="BF1319" s="40"/>
      <c r="BG1319" s="40"/>
      <c r="BH1319" s="40"/>
      <c r="BI1319" s="40"/>
      <c r="BJ1319" s="40"/>
      <c r="BK1319" s="40"/>
      <c r="BL1319" s="62">
        <v>1</v>
      </c>
      <c r="BM1319" s="275">
        <v>3</v>
      </c>
      <c r="BN1319" s="62">
        <v>0.03</v>
      </c>
      <c r="BP1319" s="33" t="s">
        <v>602</v>
      </c>
    </row>
    <row r="1320" spans="1:68">
      <c r="A1320" s="33" t="str">
        <f>Database_Productkaarten[[#This Row],[Product]]&amp;", "&amp;Database_Productkaarten[[#This Row],[Levensfase]]</f>
        <v>Betontegel 300x300x80 (hergebruik), C3</v>
      </c>
      <c r="B1320" s="33" t="s">
        <v>640</v>
      </c>
      <c r="C1320" t="s">
        <v>55</v>
      </c>
      <c r="D1320" s="33" t="s">
        <v>630</v>
      </c>
      <c r="E1320" s="33" t="s">
        <v>385</v>
      </c>
      <c r="F1320" s="33" t="s">
        <v>85</v>
      </c>
      <c r="G1320" s="33">
        <v>0.3</v>
      </c>
      <c r="H1320" s="33">
        <v>0.3</v>
      </c>
      <c r="I1320" s="33">
        <v>0.08</v>
      </c>
      <c r="L1320" s="33">
        <v>2.4</v>
      </c>
      <c r="M1320" s="271">
        <f t="shared" si="496"/>
        <v>0.18580099999999999</v>
      </c>
      <c r="N1320" s="41">
        <f t="shared" si="502"/>
        <v>5.1338000000000009E-2</v>
      </c>
      <c r="O1320" s="33">
        <v>25</v>
      </c>
      <c r="P1320" s="163">
        <f t="shared" ref="P1320:Z1320" si="513">P1305</f>
        <v>1.714140575E-7</v>
      </c>
      <c r="Q1320" s="163">
        <f t="shared" si="513"/>
        <v>2.1268776130000003E-3</v>
      </c>
      <c r="R1320" s="163">
        <f t="shared" si="513"/>
        <v>0.28230570690000001</v>
      </c>
      <c r="S1320" s="163">
        <f t="shared" si="513"/>
        <v>3.2793202190000005E-8</v>
      </c>
      <c r="T1320" s="163">
        <f t="shared" si="513"/>
        <v>1.5817221840000001E-4</v>
      </c>
      <c r="U1320" s="163">
        <f t="shared" si="513"/>
        <v>1.3043121140000002E-3</v>
      </c>
      <c r="V1320" s="163">
        <f t="shared" si="513"/>
        <v>2.9413448750000004E-4</v>
      </c>
      <c r="W1320" s="163">
        <f t="shared" si="513"/>
        <v>6.1760765780000004E-2</v>
      </c>
      <c r="X1320" s="163">
        <f t="shared" si="513"/>
        <v>1.0309485955999999E-3</v>
      </c>
      <c r="Y1320" s="163">
        <f t="shared" si="513"/>
        <v>3.9548051410000005</v>
      </c>
      <c r="Z1320" s="163">
        <f t="shared" si="513"/>
        <v>8.3316235380000007E-4</v>
      </c>
      <c r="AA1320" s="40"/>
      <c r="AB1320" s="40"/>
      <c r="AC1320" s="40"/>
      <c r="AD1320" s="40"/>
      <c r="AE1320" s="40"/>
      <c r="AF1320" s="40"/>
      <c r="AG1320" s="40"/>
      <c r="AH1320" s="40"/>
      <c r="AI1320" s="40"/>
      <c r="AJ1320" s="40"/>
      <c r="AK1320" s="40"/>
      <c r="AL1320" s="40"/>
      <c r="AM1320" s="40"/>
      <c r="AN1320" s="40"/>
      <c r="AO1320" s="40"/>
      <c r="AP1320" s="40"/>
      <c r="AQ1320" s="40"/>
      <c r="AR1320" s="40"/>
      <c r="AS1320" s="40"/>
      <c r="AT1320" s="40"/>
      <c r="AU1320" s="40"/>
      <c r="AV1320" s="163">
        <f t="shared" si="504"/>
        <v>0.22906454340000001</v>
      </c>
      <c r="AW1320" s="40"/>
      <c r="AX1320" s="40"/>
      <c r="AY1320" s="163">
        <f t="shared" si="505"/>
        <v>4.4532931310000006</v>
      </c>
      <c r="AZ1320" s="40"/>
      <c r="BA1320" s="40"/>
      <c r="BB1320" s="40"/>
      <c r="BC1320" s="163">
        <f t="shared" ref="BC1320:BE1320" si="514">BC1305</f>
        <v>7.1060141739999992E-4</v>
      </c>
      <c r="BD1320" s="163">
        <f t="shared" si="514"/>
        <v>2.5797634940000002E-5</v>
      </c>
      <c r="BE1320" s="163">
        <f t="shared" si="514"/>
        <v>0.53850870080000002</v>
      </c>
      <c r="BF1320" s="40"/>
      <c r="BG1320" s="40"/>
      <c r="BH1320" s="40"/>
      <c r="BI1320" s="40"/>
      <c r="BJ1320" s="40"/>
      <c r="BK1320" s="40"/>
      <c r="BL1320" s="62">
        <v>1</v>
      </c>
      <c r="BM1320" s="275">
        <v>3</v>
      </c>
      <c r="BN1320" s="62">
        <v>0.03</v>
      </c>
      <c r="BP1320" s="33" t="s">
        <v>602</v>
      </c>
    </row>
    <row r="1321" spans="1:68">
      <c r="A1321" s="33" t="str">
        <f>Database_Productkaarten[[#This Row],[Product]]&amp;", "&amp;Database_Productkaarten[[#This Row],[Levensfase]]</f>
        <v>Betontegel 300x300x80 (hergebruik), C4</v>
      </c>
      <c r="B1321" s="33" t="s">
        <v>640</v>
      </c>
      <c r="C1321" t="s">
        <v>55</v>
      </c>
      <c r="D1321" s="33" t="s">
        <v>630</v>
      </c>
      <c r="E1321" s="33" t="s">
        <v>385</v>
      </c>
      <c r="F1321" s="33" t="s">
        <v>86</v>
      </c>
      <c r="G1321" s="33">
        <v>0.3</v>
      </c>
      <c r="H1321" s="33">
        <v>0.3</v>
      </c>
      <c r="I1321" s="33">
        <v>0.08</v>
      </c>
      <c r="L1321" s="33">
        <v>2.4</v>
      </c>
      <c r="M1321" s="271">
        <f t="shared" si="496"/>
        <v>0.18580099999999999</v>
      </c>
      <c r="N1321" s="41">
        <f t="shared" si="502"/>
        <v>1.33E-3</v>
      </c>
      <c r="O1321" s="33">
        <v>25</v>
      </c>
      <c r="P1321" s="163">
        <f t="shared" ref="P1321:Z1321" si="515">P1306</f>
        <v>1.08989776E-8</v>
      </c>
      <c r="Q1321" s="163">
        <f t="shared" si="515"/>
        <v>1.2995354855000003E-4</v>
      </c>
      <c r="R1321" s="163">
        <f t="shared" si="515"/>
        <v>9.5491801510000016E-3</v>
      </c>
      <c r="S1321" s="163">
        <f t="shared" si="515"/>
        <v>3.1606283590000001E-9</v>
      </c>
      <c r="T1321" s="163">
        <f t="shared" si="515"/>
        <v>1.0119507426000001E-5</v>
      </c>
      <c r="U1321" s="163">
        <f t="shared" si="515"/>
        <v>7.0562657900000001E-5</v>
      </c>
      <c r="V1321" s="163">
        <f t="shared" si="515"/>
        <v>1.3280048670000001E-5</v>
      </c>
      <c r="W1321" s="163">
        <f t="shared" si="515"/>
        <v>3.8931708130000003E-3</v>
      </c>
      <c r="X1321" s="163">
        <f t="shared" si="515"/>
        <v>9.680805862000002E-5</v>
      </c>
      <c r="Y1321" s="163">
        <f t="shared" si="515"/>
        <v>0.33296018000000005</v>
      </c>
      <c r="Z1321" s="163">
        <f t="shared" si="515"/>
        <v>1.1529865095E-5</v>
      </c>
      <c r="AA1321" s="40"/>
      <c r="AB1321" s="40"/>
      <c r="AC1321" s="40"/>
      <c r="AD1321" s="40"/>
      <c r="AE1321" s="40"/>
      <c r="AF1321" s="40"/>
      <c r="AG1321" s="40"/>
      <c r="AH1321" s="40"/>
      <c r="AI1321" s="40"/>
      <c r="AJ1321" s="40"/>
      <c r="AK1321" s="40"/>
      <c r="AL1321" s="40"/>
      <c r="AM1321" s="40"/>
      <c r="AN1321" s="40"/>
      <c r="AO1321" s="40"/>
      <c r="AP1321" s="40"/>
      <c r="AQ1321" s="40"/>
      <c r="AR1321" s="40"/>
      <c r="AS1321" s="40"/>
      <c r="AT1321" s="40"/>
      <c r="AU1321" s="40"/>
      <c r="AV1321" s="163">
        <f t="shared" si="504"/>
        <v>6.9608738010000001E-3</v>
      </c>
      <c r="AW1321" s="40"/>
      <c r="AX1321" s="40"/>
      <c r="AY1321" s="163">
        <f t="shared" si="505"/>
        <v>0.29029280910000005</v>
      </c>
      <c r="AZ1321" s="40"/>
      <c r="BA1321" s="40"/>
      <c r="BB1321" s="40"/>
      <c r="BC1321" s="163">
        <f t="shared" ref="BC1321:BE1321" si="516">BC1306</f>
        <v>2.9257808160000002E-4</v>
      </c>
      <c r="BD1321" s="163">
        <f t="shared" si="516"/>
        <v>1.9719375340000001E-6</v>
      </c>
      <c r="BE1321" s="163">
        <f t="shared" si="516"/>
        <v>1.7869425139999999</v>
      </c>
      <c r="BF1321" s="40"/>
      <c r="BG1321" s="40"/>
      <c r="BH1321" s="40"/>
      <c r="BI1321" s="40"/>
      <c r="BJ1321" s="40"/>
      <c r="BK1321" s="40"/>
      <c r="BL1321" s="62">
        <v>1</v>
      </c>
      <c r="BM1321" s="275">
        <v>3</v>
      </c>
      <c r="BN1321" s="62">
        <v>0.03</v>
      </c>
      <c r="BP1321" s="33" t="s">
        <v>602</v>
      </c>
    </row>
    <row r="1322" spans="1:68">
      <c r="A1322" s="33" t="str">
        <f>Database_Productkaarten[[#This Row],[Product]]&amp;", "&amp;Database_Productkaarten[[#This Row],[Levensfase]]</f>
        <v>Betontegel 300x300x80 (hergebruik), D</v>
      </c>
      <c r="B1322" s="33" t="s">
        <v>640</v>
      </c>
      <c r="C1322" s="33" t="str">
        <f>C1323</f>
        <v>Elementenverhardingen</v>
      </c>
      <c r="D1322" s="33" t="str">
        <f>D1323</f>
        <v>Betontegel</v>
      </c>
      <c r="E1322" s="33" t="str">
        <f>E1323</f>
        <v>m2</v>
      </c>
      <c r="F1322" s="33" t="s">
        <v>89</v>
      </c>
      <c r="G1322" s="33">
        <f t="shared" ref="G1322:I1322" si="517">G1323</f>
        <v>0.3</v>
      </c>
      <c r="H1322" s="33">
        <f t="shared" si="517"/>
        <v>0.3</v>
      </c>
      <c r="I1322" s="33">
        <f t="shared" si="517"/>
        <v>0.08</v>
      </c>
      <c r="L1322" s="33">
        <v>2.4</v>
      </c>
      <c r="M1322" s="271">
        <f t="shared" si="496"/>
        <v>0.18580099999999999</v>
      </c>
      <c r="N1322" s="41">
        <f>N1299*0.1</f>
        <v>0.16992080000000004</v>
      </c>
      <c r="O1322" s="33">
        <v>25</v>
      </c>
      <c r="P1322" s="163">
        <f t="shared" ref="P1322:Z1322" si="518">P1299*0.1</f>
        <v>2.6194315712600007E-6</v>
      </c>
      <c r="Q1322" s="163">
        <f t="shared" si="518"/>
        <v>7.2389303840000004E-3</v>
      </c>
      <c r="R1322" s="163">
        <f t="shared" si="518"/>
        <v>2.41904600805</v>
      </c>
      <c r="S1322" s="163">
        <f t="shared" si="518"/>
        <v>7.6304505172000017E-8</v>
      </c>
      <c r="T1322" s="163">
        <f t="shared" si="518"/>
        <v>5.0169381667999999E-4</v>
      </c>
      <c r="U1322" s="163">
        <f t="shared" si="518"/>
        <v>5.3560279045000003E-3</v>
      </c>
      <c r="V1322" s="163">
        <f t="shared" si="518"/>
        <v>1.05883936592E-3</v>
      </c>
      <c r="W1322" s="163">
        <f t="shared" si="518"/>
        <v>0.24117552207000004</v>
      </c>
      <c r="X1322" s="163">
        <f t="shared" si="518"/>
        <v>6.2090886277000011E-3</v>
      </c>
      <c r="Y1322" s="163">
        <f t="shared" si="518"/>
        <v>29.501214319500004</v>
      </c>
      <c r="Z1322" s="163">
        <f t="shared" si="518"/>
        <v>4.4582333229E-3</v>
      </c>
      <c r="AA1322" s="40"/>
      <c r="AB1322" s="40"/>
      <c r="AC1322" s="40"/>
      <c r="AD1322" s="40"/>
      <c r="AE1322" s="40"/>
      <c r="AF1322" s="40"/>
      <c r="AG1322" s="40"/>
      <c r="AH1322" s="40"/>
      <c r="AI1322" s="40"/>
      <c r="AJ1322" s="40"/>
      <c r="AK1322" s="40"/>
      <c r="AL1322" s="40"/>
      <c r="AM1322" s="40"/>
      <c r="AN1322" s="40"/>
      <c r="AO1322" s="40"/>
      <c r="AP1322" s="40"/>
      <c r="AQ1322" s="40"/>
      <c r="AR1322" s="40"/>
      <c r="AS1322" s="40"/>
      <c r="AT1322" s="40"/>
      <c r="AU1322" s="40"/>
      <c r="AV1322" s="163">
        <f>AV1299*0.1</f>
        <v>2.0817267730000002</v>
      </c>
      <c r="AW1322" s="40"/>
      <c r="AX1322" s="40"/>
      <c r="AY1322" s="163">
        <f>AY1299*0.1</f>
        <v>16.074861593000005</v>
      </c>
      <c r="AZ1322" s="40"/>
      <c r="BA1322" s="40"/>
      <c r="BB1322" s="40"/>
      <c r="BC1322" s="163">
        <f t="shared" ref="BC1322:BE1322" si="519">BC1299*0.1</f>
        <v>0.17948154515270004</v>
      </c>
      <c r="BD1322" s="163">
        <f t="shared" si="519"/>
        <v>1.1954449167912513</v>
      </c>
      <c r="BE1322" s="163">
        <f t="shared" si="519"/>
        <v>0.22965784695700001</v>
      </c>
      <c r="BF1322" s="40"/>
      <c r="BG1322" s="40"/>
      <c r="BH1322" s="40"/>
      <c r="BI1322" s="40"/>
      <c r="BJ1322" s="40"/>
      <c r="BK1322" s="40"/>
      <c r="BL1322" s="62">
        <v>1</v>
      </c>
      <c r="BM1322" s="275">
        <v>3</v>
      </c>
      <c r="BN1322" s="62">
        <v>0.03</v>
      </c>
      <c r="BP1322" s="33" t="s">
        <v>602</v>
      </c>
    </row>
    <row r="1323" spans="1:68">
      <c r="A1323" s="33" t="str">
        <f>Database_Productkaarten[[#This Row],[Product]]&amp;", "&amp;Database_Productkaarten[[#This Row],[Levensfase]]</f>
        <v>Betontegel 300x300x80 (hergebruik), D1</v>
      </c>
      <c r="B1323" s="33" t="s">
        <v>640</v>
      </c>
      <c r="C1323" t="s">
        <v>55</v>
      </c>
      <c r="D1323" s="33" t="s">
        <v>630</v>
      </c>
      <c r="E1323" s="33" t="s">
        <v>385</v>
      </c>
      <c r="F1323" s="33" t="s">
        <v>87</v>
      </c>
      <c r="G1323" s="33">
        <v>0.3</v>
      </c>
      <c r="H1323" s="33">
        <v>0.3</v>
      </c>
      <c r="I1323" s="33">
        <v>0.08</v>
      </c>
      <c r="L1323" s="33">
        <v>2.4</v>
      </c>
      <c r="M1323" s="271">
        <f t="shared" si="496"/>
        <v>0.18580099999999999</v>
      </c>
      <c r="N1323" s="41"/>
      <c r="P1323" s="40"/>
      <c r="Q1323" s="40"/>
      <c r="R1323" s="40"/>
      <c r="S1323" s="40"/>
      <c r="T1323" s="40"/>
      <c r="U1323" s="40"/>
      <c r="V1323" s="40"/>
      <c r="W1323" s="40"/>
      <c r="X1323" s="40"/>
      <c r="Y1323" s="40"/>
      <c r="Z1323" s="40"/>
      <c r="AA1323" s="40"/>
      <c r="AB1323" s="40"/>
      <c r="AC1323" s="40"/>
      <c r="AD1323" s="40"/>
      <c r="AE1323" s="40"/>
      <c r="AF1323" s="40"/>
      <c r="AG1323" s="40"/>
      <c r="AH1323" s="40"/>
      <c r="AI1323" s="40"/>
      <c r="AJ1323" s="40"/>
      <c r="AK1323" s="40"/>
      <c r="AL1323" s="40"/>
      <c r="AM1323" s="40"/>
      <c r="AN1323" s="40"/>
      <c r="AO1323" s="40"/>
      <c r="AP1323" s="40"/>
      <c r="AQ1323" s="40"/>
      <c r="AR1323" s="40"/>
      <c r="AS1323" s="40"/>
      <c r="AT1323" s="40"/>
      <c r="AU1323" s="40"/>
      <c r="AV1323" s="108"/>
      <c r="AW1323" s="40"/>
      <c r="AX1323" s="40"/>
      <c r="AY1323" s="108"/>
      <c r="AZ1323" s="40"/>
      <c r="BA1323" s="40"/>
      <c r="BB1323" s="40"/>
      <c r="BC1323" s="40"/>
      <c r="BD1323" s="40"/>
      <c r="BE1323" s="40"/>
      <c r="BF1323" s="40"/>
      <c r="BG1323" s="40"/>
      <c r="BH1323" s="40"/>
      <c r="BI1323" s="40"/>
      <c r="BJ1323" s="40"/>
      <c r="BK1323" s="40"/>
      <c r="BL1323" s="62">
        <v>1</v>
      </c>
      <c r="BM1323" s="275">
        <v>3</v>
      </c>
      <c r="BN1323" s="62">
        <v>0.03</v>
      </c>
      <c r="BP1323" s="33" t="s">
        <v>602</v>
      </c>
    </row>
    <row r="1324" spans="1:68">
      <c r="A1324" s="33" t="str">
        <f>Database_Productkaarten[[#This Row],[Product]]&amp;", "&amp;Database_Productkaarten[[#This Row],[Levensfase]]</f>
        <v>Betontegel 300x300x80 (hergebruik), D2</v>
      </c>
      <c r="B1324" s="33" t="s">
        <v>640</v>
      </c>
      <c r="C1324" t="s">
        <v>55</v>
      </c>
      <c r="D1324" s="33" t="s">
        <v>630</v>
      </c>
      <c r="E1324" s="33" t="s">
        <v>385</v>
      </c>
      <c r="F1324" s="33" t="s">
        <v>88</v>
      </c>
      <c r="G1324" s="33">
        <v>0.3</v>
      </c>
      <c r="H1324" s="33">
        <v>0.3</v>
      </c>
      <c r="I1324" s="33">
        <v>0.08</v>
      </c>
      <c r="L1324" s="33">
        <v>2.4</v>
      </c>
      <c r="M1324" s="271">
        <f t="shared" si="496"/>
        <v>0.18580099999999999</v>
      </c>
      <c r="N1324" s="41"/>
      <c r="P1324" s="40"/>
      <c r="Q1324" s="40"/>
      <c r="R1324" s="40"/>
      <c r="S1324" s="40"/>
      <c r="T1324" s="40"/>
      <c r="U1324" s="40"/>
      <c r="V1324" s="40"/>
      <c r="W1324" s="40"/>
      <c r="X1324" s="40"/>
      <c r="Y1324" s="40"/>
      <c r="Z1324" s="40"/>
      <c r="AA1324" s="40"/>
      <c r="AB1324" s="40"/>
      <c r="AC1324" s="40"/>
      <c r="AD1324" s="40"/>
      <c r="AE1324" s="40"/>
      <c r="AF1324" s="40"/>
      <c r="AG1324" s="40"/>
      <c r="AH1324" s="40"/>
      <c r="AI1324" s="40"/>
      <c r="AJ1324" s="40"/>
      <c r="AK1324" s="40"/>
      <c r="AL1324" s="40"/>
      <c r="AM1324" s="40"/>
      <c r="AN1324" s="40"/>
      <c r="AO1324" s="40"/>
      <c r="AP1324" s="40"/>
      <c r="AQ1324" s="40"/>
      <c r="AR1324" s="40"/>
      <c r="AS1324" s="40"/>
      <c r="AT1324" s="40"/>
      <c r="AU1324" s="40"/>
      <c r="AV1324" s="108"/>
      <c r="AW1324" s="40"/>
      <c r="AX1324" s="40"/>
      <c r="AY1324" s="108"/>
      <c r="AZ1324" s="40"/>
      <c r="BA1324" s="40"/>
      <c r="BB1324" s="40"/>
      <c r="BC1324" s="40"/>
      <c r="BD1324" s="40"/>
      <c r="BE1324" s="40"/>
      <c r="BF1324" s="40"/>
      <c r="BG1324" s="40"/>
      <c r="BH1324" s="40"/>
      <c r="BI1324" s="40"/>
      <c r="BJ1324" s="40"/>
      <c r="BK1324" s="40"/>
      <c r="BL1324" s="62">
        <v>1</v>
      </c>
      <c r="BM1324" s="275">
        <v>3</v>
      </c>
      <c r="BN1324" s="62">
        <v>0.03</v>
      </c>
      <c r="BP1324" s="33" t="s">
        <v>602</v>
      </c>
    </row>
    <row r="1325" spans="1:68">
      <c r="A1325" s="33" t="str">
        <f>Database_Productkaarten[[#This Row],[Product]]&amp;", "&amp;Database_Productkaarten[[#This Row],[Levensfase]]</f>
        <v>Betontegel (Miscantes) 1000x1000x100, Totaal</v>
      </c>
      <c r="B1325" s="33" t="s">
        <v>641</v>
      </c>
      <c r="C1325" t="s">
        <v>55</v>
      </c>
      <c r="D1325" s="33" t="s">
        <v>630</v>
      </c>
      <c r="E1325" s="33" t="s">
        <v>385</v>
      </c>
      <c r="F1325" s="33" t="s">
        <v>90</v>
      </c>
      <c r="G1325" s="33">
        <v>1</v>
      </c>
      <c r="H1325" s="33">
        <v>1</v>
      </c>
      <c r="I1325" s="33">
        <v>0.1</v>
      </c>
      <c r="L1325" s="33">
        <v>2.375</v>
      </c>
      <c r="M1325" s="271">
        <v>9.4899999999999998E-2</v>
      </c>
      <c r="N1325" s="41"/>
      <c r="O1325" s="33">
        <v>50</v>
      </c>
      <c r="AV1325" s="311"/>
      <c r="AY1325" s="311"/>
      <c r="BL1325" s="62">
        <v>0.215</v>
      </c>
      <c r="BM1325" s="275">
        <v>3</v>
      </c>
      <c r="BN1325" s="62">
        <v>0.03</v>
      </c>
      <c r="BO1325" s="33" t="s">
        <v>642</v>
      </c>
      <c r="BP1325" s="33" t="s">
        <v>643</v>
      </c>
    </row>
    <row r="1326" spans="1:68">
      <c r="A1326" s="33" t="str">
        <f>Database_Productkaarten[[#This Row],[Product]]&amp;", "&amp;Database_Productkaarten[[#This Row],[Levensfase]]</f>
        <v>Betontegel (Miscantes) 1000x1000x100, A1</v>
      </c>
      <c r="B1326" s="33" t="s">
        <v>641</v>
      </c>
      <c r="C1326" t="s">
        <v>55</v>
      </c>
      <c r="D1326" s="33" t="s">
        <v>630</v>
      </c>
      <c r="E1326" s="33" t="s">
        <v>385</v>
      </c>
      <c r="F1326" s="33" t="s">
        <v>74</v>
      </c>
      <c r="G1326" s="33">
        <v>1</v>
      </c>
      <c r="H1326" s="33">
        <v>1</v>
      </c>
      <c r="I1326" s="33">
        <v>0.1</v>
      </c>
      <c r="L1326" s="33">
        <v>2.375</v>
      </c>
      <c r="M1326" s="271">
        <v>9.4899999999999998E-2</v>
      </c>
      <c r="N1326" s="41">
        <v>0.53</v>
      </c>
      <c r="O1326" s="33">
        <v>50</v>
      </c>
      <c r="R1326" s="33">
        <v>5.96</v>
      </c>
      <c r="AV1326" s="316">
        <v>123</v>
      </c>
      <c r="AW1326" s="314"/>
      <c r="AX1326" s="314"/>
      <c r="AY1326" s="316">
        <v>53.3</v>
      </c>
      <c r="BL1326" s="62">
        <v>0.215</v>
      </c>
      <c r="BM1326" s="275">
        <v>3</v>
      </c>
      <c r="BN1326" s="62">
        <v>0.03</v>
      </c>
      <c r="BO1326" s="33" t="s">
        <v>642</v>
      </c>
      <c r="BP1326" s="33" t="s">
        <v>643</v>
      </c>
    </row>
    <row r="1327" spans="1:68">
      <c r="A1327" s="33" t="str">
        <f>Database_Productkaarten[[#This Row],[Product]]&amp;", "&amp;Database_Productkaarten[[#This Row],[Levensfase]]</f>
        <v>Betontegel (Miscantes) 1000x1000x100, A2</v>
      </c>
      <c r="B1327" s="33" t="s">
        <v>641</v>
      </c>
      <c r="C1327" t="s">
        <v>55</v>
      </c>
      <c r="D1327" s="33" t="s">
        <v>630</v>
      </c>
      <c r="E1327" s="33" t="s">
        <v>385</v>
      </c>
      <c r="F1327" s="33" t="s">
        <v>75</v>
      </c>
      <c r="G1327" s="33">
        <v>1</v>
      </c>
      <c r="H1327" s="33">
        <v>1</v>
      </c>
      <c r="I1327" s="33">
        <v>0.1</v>
      </c>
      <c r="L1327" s="33">
        <v>2.375</v>
      </c>
      <c r="M1327" s="271">
        <v>9.4899999999999998E-2</v>
      </c>
      <c r="N1327" s="41"/>
      <c r="O1327" s="33">
        <v>50</v>
      </c>
      <c r="AV1327" s="316"/>
      <c r="AW1327" s="314"/>
      <c r="AX1327" s="314"/>
      <c r="AY1327" s="316"/>
      <c r="BL1327" s="62">
        <v>0.215</v>
      </c>
      <c r="BM1327" s="275">
        <v>3</v>
      </c>
      <c r="BN1327" s="62">
        <v>0.03</v>
      </c>
      <c r="BO1327" s="33" t="s">
        <v>642</v>
      </c>
      <c r="BP1327" s="33" t="s">
        <v>643</v>
      </c>
    </row>
    <row r="1328" spans="1:68">
      <c r="A1328" s="33" t="str">
        <f>Database_Productkaarten[[#This Row],[Product]]&amp;", "&amp;Database_Productkaarten[[#This Row],[Levensfase]]</f>
        <v>Betontegel (Miscantes) 1000x1000x100, A3</v>
      </c>
      <c r="B1328" s="33" t="s">
        <v>641</v>
      </c>
      <c r="C1328" t="s">
        <v>55</v>
      </c>
      <c r="D1328" s="33" t="s">
        <v>630</v>
      </c>
      <c r="E1328" s="33" t="s">
        <v>385</v>
      </c>
      <c r="F1328" s="33" t="s">
        <v>76</v>
      </c>
      <c r="G1328" s="33">
        <v>1</v>
      </c>
      <c r="H1328" s="33">
        <v>1</v>
      </c>
      <c r="I1328" s="33">
        <v>0.1</v>
      </c>
      <c r="L1328" s="33">
        <v>2.375</v>
      </c>
      <c r="M1328" s="271">
        <v>9.4899999999999998E-2</v>
      </c>
      <c r="N1328" s="41"/>
      <c r="O1328" s="33">
        <v>50</v>
      </c>
      <c r="AV1328" s="316"/>
      <c r="AW1328" s="314"/>
      <c r="AX1328" s="314"/>
      <c r="AY1328" s="316"/>
      <c r="BL1328" s="62">
        <v>0.215</v>
      </c>
      <c r="BM1328" s="275">
        <v>3</v>
      </c>
      <c r="BN1328" s="62">
        <v>0.03</v>
      </c>
      <c r="BO1328" s="33" t="s">
        <v>642</v>
      </c>
      <c r="BP1328" s="33" t="s">
        <v>643</v>
      </c>
    </row>
    <row r="1329" spans="1:68">
      <c r="A1329" s="451" t="str">
        <f>Database_Productkaarten[[#This Row],[Product]]&amp;", "&amp;Database_Productkaarten[[#This Row],[Levensfase]]</f>
        <v>Betontegel (Miscantes) 1000x1000x100, A1-A3</v>
      </c>
      <c r="B1329" s="451" t="str">
        <f>B1328</f>
        <v>Betontegel (Miscantes) 1000x1000x100</v>
      </c>
      <c r="C1329" s="451" t="str">
        <f>C1328</f>
        <v>Elementenverhardingen</v>
      </c>
      <c r="D1329" s="451" t="str">
        <f>D1328</f>
        <v>Betontegel</v>
      </c>
      <c r="E1329" s="451" t="str">
        <f>E1328</f>
        <v>m2</v>
      </c>
      <c r="F1329" s="451" t="s">
        <v>77</v>
      </c>
      <c r="G1329" s="451">
        <f t="shared" ref="G1329:M1329" si="520">G1328</f>
        <v>1</v>
      </c>
      <c r="H1329" s="451">
        <f t="shared" si="520"/>
        <v>1</v>
      </c>
      <c r="I1329" s="451">
        <f t="shared" si="520"/>
        <v>0.1</v>
      </c>
      <c r="J1329" s="451"/>
      <c r="K1329" s="451"/>
      <c r="L1329" s="451">
        <f t="shared" si="520"/>
        <v>2.375</v>
      </c>
      <c r="M1329" s="454">
        <f t="shared" si="520"/>
        <v>9.4899999999999998E-2</v>
      </c>
      <c r="N1329" s="452">
        <f>SUM(N1326:N1328)</f>
        <v>0.53</v>
      </c>
      <c r="O1329" s="451">
        <f>O1328</f>
        <v>50</v>
      </c>
      <c r="P1329" s="453">
        <f t="shared" ref="P1329:BK1329" si="521">SUM(P1326:P1328)</f>
        <v>0</v>
      </c>
      <c r="Q1329" s="453">
        <f t="shared" si="521"/>
        <v>0</v>
      </c>
      <c r="R1329" s="453">
        <f t="shared" si="521"/>
        <v>5.96</v>
      </c>
      <c r="S1329" s="453">
        <f t="shared" si="521"/>
        <v>0</v>
      </c>
      <c r="T1329" s="453">
        <f t="shared" si="521"/>
        <v>0</v>
      </c>
      <c r="U1329" s="453">
        <f t="shared" si="521"/>
        <v>0</v>
      </c>
      <c r="V1329" s="453">
        <f t="shared" si="521"/>
        <v>0</v>
      </c>
      <c r="W1329" s="453">
        <f t="shared" si="521"/>
        <v>0</v>
      </c>
      <c r="X1329" s="453">
        <f t="shared" si="521"/>
        <v>0</v>
      </c>
      <c r="Y1329" s="453">
        <f t="shared" si="521"/>
        <v>0</v>
      </c>
      <c r="Z1329" s="453">
        <f t="shared" si="521"/>
        <v>0</v>
      </c>
      <c r="AA1329" s="453">
        <f t="shared" si="521"/>
        <v>0</v>
      </c>
      <c r="AB1329" s="453">
        <f t="shared" si="521"/>
        <v>0</v>
      </c>
      <c r="AC1329" s="453">
        <f t="shared" si="521"/>
        <v>0</v>
      </c>
      <c r="AD1329" s="453">
        <f t="shared" si="521"/>
        <v>0</v>
      </c>
      <c r="AE1329" s="453">
        <f t="shared" si="521"/>
        <v>0</v>
      </c>
      <c r="AF1329" s="453">
        <f t="shared" si="521"/>
        <v>0</v>
      </c>
      <c r="AG1329" s="453">
        <f t="shared" si="521"/>
        <v>0</v>
      </c>
      <c r="AH1329" s="453">
        <f t="shared" si="521"/>
        <v>0</v>
      </c>
      <c r="AI1329" s="453">
        <f t="shared" si="521"/>
        <v>0</v>
      </c>
      <c r="AJ1329" s="453">
        <f t="shared" si="521"/>
        <v>0</v>
      </c>
      <c r="AK1329" s="453">
        <f t="shared" si="521"/>
        <v>0</v>
      </c>
      <c r="AL1329" s="453">
        <f t="shared" si="521"/>
        <v>0</v>
      </c>
      <c r="AM1329" s="453">
        <f t="shared" si="521"/>
        <v>0</v>
      </c>
      <c r="AN1329" s="453">
        <f t="shared" si="521"/>
        <v>0</v>
      </c>
      <c r="AO1329" s="453">
        <f t="shared" si="521"/>
        <v>0</v>
      </c>
      <c r="AP1329" s="453">
        <f t="shared" si="521"/>
        <v>0</v>
      </c>
      <c r="AQ1329" s="453">
        <f t="shared" si="521"/>
        <v>0</v>
      </c>
      <c r="AR1329" s="453">
        <f t="shared" si="521"/>
        <v>0</v>
      </c>
      <c r="AS1329" s="453">
        <f t="shared" si="521"/>
        <v>0</v>
      </c>
      <c r="AT1329" s="453">
        <f t="shared" si="521"/>
        <v>0</v>
      </c>
      <c r="AU1329" s="453">
        <f t="shared" si="521"/>
        <v>0</v>
      </c>
      <c r="AV1329" s="317">
        <f t="shared" si="521"/>
        <v>123</v>
      </c>
      <c r="AW1329" s="317">
        <f t="shared" si="521"/>
        <v>0</v>
      </c>
      <c r="AX1329" s="317">
        <f t="shared" si="521"/>
        <v>0</v>
      </c>
      <c r="AY1329" s="317">
        <f t="shared" si="521"/>
        <v>53.3</v>
      </c>
      <c r="AZ1329" s="453">
        <f t="shared" si="521"/>
        <v>0</v>
      </c>
      <c r="BA1329" s="453">
        <f t="shared" si="521"/>
        <v>0</v>
      </c>
      <c r="BB1329" s="453">
        <f t="shared" si="521"/>
        <v>0</v>
      </c>
      <c r="BC1329" s="453">
        <f t="shared" si="521"/>
        <v>0</v>
      </c>
      <c r="BD1329" s="453">
        <f t="shared" si="521"/>
        <v>0</v>
      </c>
      <c r="BE1329" s="453">
        <f t="shared" si="521"/>
        <v>0</v>
      </c>
      <c r="BF1329" s="453">
        <f t="shared" si="521"/>
        <v>0</v>
      </c>
      <c r="BG1329" s="453">
        <f t="shared" si="521"/>
        <v>0</v>
      </c>
      <c r="BH1329" s="453">
        <f t="shared" si="521"/>
        <v>0</v>
      </c>
      <c r="BI1329" s="453">
        <f t="shared" si="521"/>
        <v>0</v>
      </c>
      <c r="BJ1329" s="453">
        <f t="shared" si="521"/>
        <v>0</v>
      </c>
      <c r="BK1329" s="453">
        <f t="shared" si="521"/>
        <v>0</v>
      </c>
      <c r="BL1329" s="62">
        <f>BL1328</f>
        <v>0.215</v>
      </c>
      <c r="BM1329" s="275">
        <f>BM1328</f>
        <v>3</v>
      </c>
      <c r="BN1329" s="62">
        <v>0.03</v>
      </c>
      <c r="BO1329" s="451" t="str">
        <f>BO1328</f>
        <v>NMD H83 Elementverharding V1.5</v>
      </c>
      <c r="BP1329" s="451"/>
    </row>
    <row r="1330" spans="1:68">
      <c r="A1330" s="33" t="str">
        <f>Database_Productkaarten[[#This Row],[Product]]&amp;", "&amp;Database_Productkaarten[[#This Row],[Levensfase]]</f>
        <v>Betontegel (Miscantes) 1000x1000x100, A4</v>
      </c>
      <c r="B1330" s="33" t="s">
        <v>641</v>
      </c>
      <c r="C1330" t="s">
        <v>55</v>
      </c>
      <c r="D1330" s="33" t="s">
        <v>630</v>
      </c>
      <c r="E1330" s="33" t="s">
        <v>385</v>
      </c>
      <c r="F1330" s="33" t="s">
        <v>78</v>
      </c>
      <c r="G1330" s="33">
        <v>1</v>
      </c>
      <c r="H1330" s="33">
        <v>1</v>
      </c>
      <c r="I1330" s="33">
        <v>0.1</v>
      </c>
      <c r="L1330" s="33">
        <v>2.375</v>
      </c>
      <c r="M1330" s="271">
        <v>9.4899999999999998E-2</v>
      </c>
      <c r="N1330" s="41">
        <v>0.13</v>
      </c>
      <c r="O1330" s="33">
        <v>50</v>
      </c>
      <c r="R1330" s="33">
        <v>1.2</v>
      </c>
      <c r="AV1330" s="316">
        <v>0.32500000000000001</v>
      </c>
      <c r="AW1330" s="314"/>
      <c r="AX1330" s="314"/>
      <c r="AY1330" s="316">
        <v>20.8</v>
      </c>
      <c r="BL1330" s="62">
        <v>0.215</v>
      </c>
      <c r="BM1330" s="275">
        <v>3</v>
      </c>
      <c r="BN1330" s="62">
        <v>0.03</v>
      </c>
      <c r="BO1330" s="33" t="s">
        <v>642</v>
      </c>
      <c r="BP1330" s="33" t="s">
        <v>643</v>
      </c>
    </row>
    <row r="1331" spans="1:68">
      <c r="A1331" s="33" t="str">
        <f>Database_Productkaarten[[#This Row],[Product]]&amp;", "&amp;Database_Productkaarten[[#This Row],[Levensfase]]</f>
        <v>Betontegel (Miscantes) 1000x1000x100, A5</v>
      </c>
      <c r="B1331" s="33" t="s">
        <v>641</v>
      </c>
      <c r="C1331" t="s">
        <v>55</v>
      </c>
      <c r="D1331" s="33" t="s">
        <v>630</v>
      </c>
      <c r="E1331" s="33" t="s">
        <v>385</v>
      </c>
      <c r="F1331" s="33" t="s">
        <v>79</v>
      </c>
      <c r="G1331" s="33">
        <v>1</v>
      </c>
      <c r="H1331" s="33">
        <v>1</v>
      </c>
      <c r="I1331" s="33">
        <v>0.1</v>
      </c>
      <c r="L1331" s="33">
        <v>2.375</v>
      </c>
      <c r="M1331" s="271">
        <v>9.4899999999999998E-2</v>
      </c>
      <c r="N1331" s="41">
        <v>0.64</v>
      </c>
      <c r="O1331" s="33">
        <v>50</v>
      </c>
      <c r="R1331" s="33">
        <v>6.93</v>
      </c>
      <c r="AV1331" s="316">
        <v>4.45</v>
      </c>
      <c r="AW1331" s="314"/>
      <c r="AX1331" s="314"/>
      <c r="AY1331" s="316">
        <v>105</v>
      </c>
      <c r="BL1331" s="62">
        <v>0.215</v>
      </c>
      <c r="BM1331" s="275">
        <v>3</v>
      </c>
      <c r="BN1331" s="62">
        <v>0.03</v>
      </c>
      <c r="BO1331" s="33" t="s">
        <v>642</v>
      </c>
      <c r="BP1331" s="33" t="s">
        <v>643</v>
      </c>
    </row>
    <row r="1332" spans="1:68">
      <c r="A1332" s="33" t="str">
        <f>Database_Productkaarten[[#This Row],[Product]]&amp;", "&amp;Database_Productkaarten[[#This Row],[Levensfase]]</f>
        <v>Betontegel (Miscantes) 1000x1000x100, B1</v>
      </c>
      <c r="B1332" s="33" t="s">
        <v>641</v>
      </c>
      <c r="C1332" t="s">
        <v>55</v>
      </c>
      <c r="D1332" s="33" t="s">
        <v>630</v>
      </c>
      <c r="E1332" s="33" t="s">
        <v>385</v>
      </c>
      <c r="F1332" s="33" t="s">
        <v>80</v>
      </c>
      <c r="G1332" s="33">
        <v>1</v>
      </c>
      <c r="H1332" s="33">
        <v>1</v>
      </c>
      <c r="I1332" s="33">
        <v>0.1</v>
      </c>
      <c r="L1332" s="33">
        <v>2.375</v>
      </c>
      <c r="M1332" s="271">
        <v>9.4899999999999998E-2</v>
      </c>
      <c r="N1332" s="41"/>
      <c r="O1332" s="33">
        <v>50</v>
      </c>
      <c r="AV1332" s="316"/>
      <c r="AW1332" s="314"/>
      <c r="AX1332" s="314"/>
      <c r="AY1332" s="316"/>
      <c r="BL1332" s="62">
        <v>0.215</v>
      </c>
      <c r="BM1332" s="275">
        <v>3</v>
      </c>
      <c r="BN1332" s="62">
        <v>0.03</v>
      </c>
      <c r="BO1332" s="33" t="s">
        <v>642</v>
      </c>
      <c r="BP1332" s="33" t="s">
        <v>643</v>
      </c>
    </row>
    <row r="1333" spans="1:68">
      <c r="A1333" s="33" t="str">
        <f>Database_Productkaarten[[#This Row],[Product]]&amp;", "&amp;Database_Productkaarten[[#This Row],[Levensfase]]</f>
        <v>Betontegel (Miscantes) 1000x1000x100, C1</v>
      </c>
      <c r="B1333" s="33" t="s">
        <v>641</v>
      </c>
      <c r="C1333" t="s">
        <v>55</v>
      </c>
      <c r="D1333" s="33" t="s">
        <v>630</v>
      </c>
      <c r="E1333" s="33" t="s">
        <v>385</v>
      </c>
      <c r="F1333" s="33" t="s">
        <v>83</v>
      </c>
      <c r="G1333" s="33">
        <v>1</v>
      </c>
      <c r="H1333" s="33">
        <v>1</v>
      </c>
      <c r="I1333" s="33">
        <v>0.1</v>
      </c>
      <c r="L1333" s="33">
        <v>2.375</v>
      </c>
      <c r="M1333" s="271">
        <v>9.4899999999999998E-2</v>
      </c>
      <c r="N1333" s="41">
        <v>0.16</v>
      </c>
      <c r="O1333" s="33">
        <v>50</v>
      </c>
      <c r="R1333" s="33">
        <v>1.68</v>
      </c>
      <c r="AV1333" s="316">
        <v>0.186</v>
      </c>
      <c r="AW1333" s="314"/>
      <c r="AX1333" s="314"/>
      <c r="AY1333" s="316">
        <v>25.6</v>
      </c>
      <c r="BL1333" s="62">
        <v>0.215</v>
      </c>
      <c r="BM1333" s="275">
        <v>3</v>
      </c>
      <c r="BN1333" s="62">
        <v>0.03</v>
      </c>
      <c r="BO1333" s="33" t="s">
        <v>642</v>
      </c>
      <c r="BP1333" s="33" t="s">
        <v>643</v>
      </c>
    </row>
    <row r="1334" spans="1:68">
      <c r="A1334" s="33" t="str">
        <f>Database_Productkaarten[[#This Row],[Product]]&amp;", "&amp;Database_Productkaarten[[#This Row],[Levensfase]]</f>
        <v>Betontegel (Miscantes) 1000x1000x100, C2</v>
      </c>
      <c r="B1334" s="33" t="s">
        <v>641</v>
      </c>
      <c r="C1334" t="s">
        <v>55</v>
      </c>
      <c r="D1334" s="33" t="s">
        <v>630</v>
      </c>
      <c r="E1334" s="33" t="s">
        <v>385</v>
      </c>
      <c r="F1334" s="33" t="s">
        <v>84</v>
      </c>
      <c r="G1334" s="33">
        <v>1</v>
      </c>
      <c r="H1334" s="33">
        <v>1</v>
      </c>
      <c r="I1334" s="33">
        <v>0.1</v>
      </c>
      <c r="L1334" s="33">
        <v>2.375</v>
      </c>
      <c r="M1334" s="271">
        <v>9.4899999999999998E-2</v>
      </c>
      <c r="N1334" s="41">
        <v>0.05</v>
      </c>
      <c r="O1334" s="33">
        <v>50</v>
      </c>
      <c r="R1334" s="33">
        <v>0.40500000000000003</v>
      </c>
      <c r="AV1334" s="316">
        <v>0.109</v>
      </c>
      <c r="AW1334" s="314"/>
      <c r="AX1334" s="314"/>
      <c r="AY1334" s="316">
        <v>7</v>
      </c>
      <c r="BL1334" s="62">
        <v>0.215</v>
      </c>
      <c r="BM1334" s="275">
        <v>3</v>
      </c>
      <c r="BN1334" s="62">
        <v>0.03</v>
      </c>
      <c r="BO1334" s="33" t="s">
        <v>642</v>
      </c>
      <c r="BP1334" s="33" t="s">
        <v>643</v>
      </c>
    </row>
    <row r="1335" spans="1:68">
      <c r="A1335" s="33" t="str">
        <f>Database_Productkaarten[[#This Row],[Product]]&amp;", "&amp;Database_Productkaarten[[#This Row],[Levensfase]]</f>
        <v>Betontegel (Miscantes) 1000x1000x100, C3</v>
      </c>
      <c r="B1335" s="33" t="s">
        <v>641</v>
      </c>
      <c r="C1335" t="s">
        <v>55</v>
      </c>
      <c r="D1335" s="33" t="s">
        <v>630</v>
      </c>
      <c r="E1335" s="33" t="s">
        <v>385</v>
      </c>
      <c r="F1335" s="33" t="s">
        <v>85</v>
      </c>
      <c r="G1335" s="33">
        <v>1</v>
      </c>
      <c r="H1335" s="33">
        <v>1</v>
      </c>
      <c r="I1335" s="33">
        <v>0.1</v>
      </c>
      <c r="L1335" s="33">
        <v>2.375</v>
      </c>
      <c r="M1335" s="271">
        <v>9.4899999999999998E-2</v>
      </c>
      <c r="N1335" s="41">
        <v>0.02</v>
      </c>
      <c r="O1335" s="33">
        <v>50</v>
      </c>
      <c r="R1335" s="33">
        <v>0.152</v>
      </c>
      <c r="AV1335" s="316">
        <v>0.122</v>
      </c>
      <c r="AW1335" s="314"/>
      <c r="AX1335" s="314"/>
      <c r="AY1335" s="316">
        <v>2.2799999999999998</v>
      </c>
      <c r="BL1335" s="62">
        <v>0.215</v>
      </c>
      <c r="BM1335" s="275">
        <v>3</v>
      </c>
      <c r="BN1335" s="62">
        <v>0.03</v>
      </c>
      <c r="BO1335" s="33" t="s">
        <v>642</v>
      </c>
      <c r="BP1335" s="33" t="s">
        <v>643</v>
      </c>
    </row>
    <row r="1336" spans="1:68">
      <c r="A1336" s="33" t="str">
        <f>Database_Productkaarten[[#This Row],[Product]]&amp;", "&amp;Database_Productkaarten[[#This Row],[Levensfase]]</f>
        <v>Betontegel (Miscantes) 1000x1000x100, C4</v>
      </c>
      <c r="B1336" s="33" t="s">
        <v>641</v>
      </c>
      <c r="C1336" t="s">
        <v>55</v>
      </c>
      <c r="D1336" s="33" t="s">
        <v>630</v>
      </c>
      <c r="E1336" s="33" t="s">
        <v>385</v>
      </c>
      <c r="F1336" s="33" t="s">
        <v>86</v>
      </c>
      <c r="G1336" s="33">
        <v>1</v>
      </c>
      <c r="H1336" s="33">
        <v>1</v>
      </c>
      <c r="I1336" s="33">
        <v>0.1</v>
      </c>
      <c r="L1336" s="33">
        <v>2.375</v>
      </c>
      <c r="M1336" s="271">
        <v>9.4899999999999998E-2</v>
      </c>
      <c r="N1336" s="41">
        <v>0</v>
      </c>
      <c r="O1336" s="33">
        <v>50</v>
      </c>
      <c r="R1336" s="33">
        <v>5.0099999999999997E-3</v>
      </c>
      <c r="AV1336" s="316">
        <v>1.2600000000000001E-3</v>
      </c>
      <c r="AW1336" s="314"/>
      <c r="AX1336" s="314"/>
      <c r="AY1336" s="316">
        <v>0.16400000000000001</v>
      </c>
      <c r="BL1336" s="62">
        <v>0.215</v>
      </c>
      <c r="BM1336" s="275">
        <v>3</v>
      </c>
      <c r="BN1336" s="62">
        <v>0.03</v>
      </c>
      <c r="BO1336" s="33" t="s">
        <v>642</v>
      </c>
      <c r="BP1336" s="33" t="s">
        <v>643</v>
      </c>
    </row>
    <row r="1337" spans="1:68">
      <c r="A1337" s="33" t="str">
        <f>Database_Productkaarten[[#This Row],[Product]]&amp;", "&amp;Database_Productkaarten[[#This Row],[Levensfase]]</f>
        <v>Betontegel (Miscantes) 1000x1000x100, D</v>
      </c>
      <c r="B1337" s="33" t="str">
        <f>B1338</f>
        <v>Betontegel (Miscantes) 1000x1000x100</v>
      </c>
      <c r="C1337" s="33" t="str">
        <f>C1338</f>
        <v>Elementenverhardingen</v>
      </c>
      <c r="D1337" s="33" t="str">
        <f>D1338</f>
        <v>Betontegel</v>
      </c>
      <c r="E1337" s="33" t="str">
        <f>E1338</f>
        <v>m2</v>
      </c>
      <c r="F1337" s="33" t="s">
        <v>89</v>
      </c>
      <c r="G1337" s="33">
        <f t="shared" ref="G1337:M1337" si="522">G1338</f>
        <v>1</v>
      </c>
      <c r="H1337" s="33">
        <f t="shared" si="522"/>
        <v>1</v>
      </c>
      <c r="I1337" s="33">
        <f t="shared" si="522"/>
        <v>0.1</v>
      </c>
      <c r="L1337" s="33">
        <f t="shared" si="522"/>
        <v>2.375</v>
      </c>
      <c r="M1337" s="45">
        <f t="shared" si="522"/>
        <v>9.4899999999999998E-2</v>
      </c>
      <c r="N1337" s="41">
        <f>SUM(N1338:N1339)</f>
        <v>-0.03</v>
      </c>
      <c r="O1337" s="33">
        <f>O1338</f>
        <v>50</v>
      </c>
      <c r="P1337" s="40">
        <f>SUM(P1338:P1339)</f>
        <v>0</v>
      </c>
      <c r="Q1337" s="40">
        <f>SUM(Q1338:Q1339)</f>
        <v>0</v>
      </c>
      <c r="R1337" s="40">
        <f>SUM(R1338:R1339)</f>
        <v>-0.25700000000000001</v>
      </c>
      <c r="S1337" s="40">
        <f t="shared" ref="S1337:BK1337" si="523">SUM(S1338:S1339)</f>
        <v>0</v>
      </c>
      <c r="T1337" s="40">
        <f t="shared" si="523"/>
        <v>0</v>
      </c>
      <c r="U1337" s="40">
        <f t="shared" si="523"/>
        <v>0</v>
      </c>
      <c r="V1337" s="40">
        <f t="shared" si="523"/>
        <v>0</v>
      </c>
      <c r="W1337" s="40">
        <f t="shared" si="523"/>
        <v>0</v>
      </c>
      <c r="X1337" s="40">
        <f t="shared" si="523"/>
        <v>0</v>
      </c>
      <c r="Y1337" s="40">
        <f t="shared" si="523"/>
        <v>0</v>
      </c>
      <c r="Z1337" s="40">
        <f t="shared" si="523"/>
        <v>0</v>
      </c>
      <c r="AA1337" s="40">
        <f t="shared" si="523"/>
        <v>0</v>
      </c>
      <c r="AB1337" s="40">
        <f t="shared" si="523"/>
        <v>0</v>
      </c>
      <c r="AC1337" s="40">
        <f t="shared" si="523"/>
        <v>0</v>
      </c>
      <c r="AD1337" s="40">
        <f t="shared" si="523"/>
        <v>0</v>
      </c>
      <c r="AE1337" s="40">
        <f t="shared" si="523"/>
        <v>0</v>
      </c>
      <c r="AF1337" s="40">
        <f t="shared" si="523"/>
        <v>0</v>
      </c>
      <c r="AG1337" s="40">
        <f t="shared" si="523"/>
        <v>0</v>
      </c>
      <c r="AH1337" s="40">
        <f t="shared" si="523"/>
        <v>0</v>
      </c>
      <c r="AI1337" s="40">
        <f t="shared" si="523"/>
        <v>0</v>
      </c>
      <c r="AJ1337" s="40">
        <f t="shared" si="523"/>
        <v>0</v>
      </c>
      <c r="AK1337" s="40">
        <f t="shared" si="523"/>
        <v>0</v>
      </c>
      <c r="AL1337" s="40">
        <f t="shared" si="523"/>
        <v>0</v>
      </c>
      <c r="AM1337" s="40">
        <f t="shared" si="523"/>
        <v>0</v>
      </c>
      <c r="AN1337" s="40">
        <f t="shared" si="523"/>
        <v>0</v>
      </c>
      <c r="AO1337" s="40">
        <f t="shared" si="523"/>
        <v>0</v>
      </c>
      <c r="AP1337" s="40">
        <f t="shared" si="523"/>
        <v>0</v>
      </c>
      <c r="AQ1337" s="40">
        <f t="shared" si="523"/>
        <v>0</v>
      </c>
      <c r="AR1337" s="40">
        <f t="shared" si="523"/>
        <v>0</v>
      </c>
      <c r="AS1337" s="40">
        <f t="shared" si="523"/>
        <v>0</v>
      </c>
      <c r="AT1337" s="40">
        <f t="shared" si="523"/>
        <v>0</v>
      </c>
      <c r="AU1337" s="40">
        <f t="shared" si="523"/>
        <v>0</v>
      </c>
      <c r="AV1337" s="317">
        <f t="shared" si="523"/>
        <v>-0.217</v>
      </c>
      <c r="AW1337" s="317">
        <f t="shared" si="523"/>
        <v>0</v>
      </c>
      <c r="AX1337" s="317">
        <f t="shared" si="523"/>
        <v>0</v>
      </c>
      <c r="AY1337" s="317">
        <f t="shared" si="523"/>
        <v>-3.55</v>
      </c>
      <c r="AZ1337" s="40">
        <f t="shared" si="523"/>
        <v>0</v>
      </c>
      <c r="BA1337" s="40">
        <f t="shared" si="523"/>
        <v>0</v>
      </c>
      <c r="BB1337" s="40">
        <f t="shared" si="523"/>
        <v>0</v>
      </c>
      <c r="BC1337" s="40">
        <f t="shared" si="523"/>
        <v>0</v>
      </c>
      <c r="BD1337" s="40">
        <f t="shared" si="523"/>
        <v>0</v>
      </c>
      <c r="BE1337" s="40">
        <f t="shared" si="523"/>
        <v>0</v>
      </c>
      <c r="BF1337" s="40">
        <f t="shared" si="523"/>
        <v>0</v>
      </c>
      <c r="BG1337" s="40">
        <f t="shared" si="523"/>
        <v>0</v>
      </c>
      <c r="BH1337" s="40">
        <f t="shared" si="523"/>
        <v>0</v>
      </c>
      <c r="BI1337" s="40">
        <f t="shared" si="523"/>
        <v>0</v>
      </c>
      <c r="BJ1337" s="40">
        <f t="shared" si="523"/>
        <v>0</v>
      </c>
      <c r="BK1337" s="40">
        <f t="shared" si="523"/>
        <v>0</v>
      </c>
      <c r="BL1337" s="62">
        <f>BL1338</f>
        <v>0.215</v>
      </c>
      <c r="BM1337" s="275">
        <f>BM1338</f>
        <v>3</v>
      </c>
      <c r="BN1337" s="62">
        <v>0.03</v>
      </c>
      <c r="BO1337" s="33" t="str">
        <f>BO1338</f>
        <v>NMD H83 Elementverharding V1.5</v>
      </c>
    </row>
    <row r="1338" spans="1:68">
      <c r="A1338" s="33" t="str">
        <f>Database_Productkaarten[[#This Row],[Product]]&amp;", "&amp;Database_Productkaarten[[#This Row],[Levensfase]]</f>
        <v>Betontegel (Miscantes) 1000x1000x100, D1</v>
      </c>
      <c r="B1338" s="33" t="s">
        <v>641</v>
      </c>
      <c r="C1338" t="s">
        <v>55</v>
      </c>
      <c r="D1338" s="33" t="s">
        <v>630</v>
      </c>
      <c r="E1338" s="33" t="s">
        <v>385</v>
      </c>
      <c r="F1338" s="33" t="s">
        <v>87</v>
      </c>
      <c r="G1338" s="33">
        <v>1</v>
      </c>
      <c r="H1338" s="33">
        <v>1</v>
      </c>
      <c r="I1338" s="33">
        <v>0.1</v>
      </c>
      <c r="L1338" s="33">
        <v>2.375</v>
      </c>
      <c r="M1338" s="271">
        <v>9.4899999999999998E-2</v>
      </c>
      <c r="N1338" s="41">
        <v>-0.03</v>
      </c>
      <c r="O1338" s="33">
        <v>50</v>
      </c>
      <c r="R1338" s="33">
        <v>-0.25700000000000001</v>
      </c>
      <c r="AV1338" s="316">
        <v>-0.217</v>
      </c>
      <c r="AW1338" s="314"/>
      <c r="AX1338" s="314"/>
      <c r="AY1338" s="316">
        <v>-3.55</v>
      </c>
      <c r="BL1338" s="62">
        <v>0.215</v>
      </c>
      <c r="BM1338" s="275">
        <v>3</v>
      </c>
      <c r="BN1338" s="62">
        <v>0.03</v>
      </c>
      <c r="BO1338" s="33" t="s">
        <v>642</v>
      </c>
      <c r="BP1338" s="33" t="s">
        <v>643</v>
      </c>
    </row>
    <row r="1339" spans="1:68">
      <c r="A1339" s="33" t="str">
        <f>Database_Productkaarten[[#This Row],[Product]]&amp;", "&amp;Database_Productkaarten[[#This Row],[Levensfase]]</f>
        <v>Betontegel (Miscantes) 1000x1000x100, D2</v>
      </c>
      <c r="B1339" s="33" t="s">
        <v>641</v>
      </c>
      <c r="C1339" t="s">
        <v>55</v>
      </c>
      <c r="D1339" s="33" t="s">
        <v>630</v>
      </c>
      <c r="E1339" s="33" t="s">
        <v>385</v>
      </c>
      <c r="F1339" s="33" t="s">
        <v>88</v>
      </c>
      <c r="G1339" s="33">
        <v>1</v>
      </c>
      <c r="H1339" s="33">
        <v>1</v>
      </c>
      <c r="I1339" s="33">
        <v>0.1</v>
      </c>
      <c r="L1339" s="33">
        <v>2.375</v>
      </c>
      <c r="M1339" s="271">
        <v>9.4899999999999998E-2</v>
      </c>
      <c r="N1339" s="41"/>
      <c r="O1339" s="33">
        <v>50</v>
      </c>
      <c r="AV1339" s="316"/>
      <c r="AW1339" s="314"/>
      <c r="AX1339" s="314"/>
      <c r="AY1339" s="316"/>
      <c r="BL1339" s="62">
        <v>0.215</v>
      </c>
      <c r="BM1339" s="275">
        <v>3</v>
      </c>
      <c r="BN1339" s="62">
        <v>0.03</v>
      </c>
      <c r="BO1339" s="33" t="s">
        <v>642</v>
      </c>
      <c r="BP1339" s="33" t="s">
        <v>643</v>
      </c>
    </row>
    <row r="1340" spans="1:68">
      <c r="A1340" s="33" t="str">
        <f>Database_Productkaarten[[#This Row],[Product]]&amp;", "&amp;Database_Productkaarten[[#This Row],[Levensfase]]</f>
        <v>Betontegel (Miscantes) 1000x1000x100 (hergebruik), Totaal</v>
      </c>
      <c r="B1340" s="33" t="s">
        <v>644</v>
      </c>
      <c r="C1340" t="s">
        <v>55</v>
      </c>
      <c r="D1340" s="33" t="s">
        <v>630</v>
      </c>
      <c r="E1340" s="33" t="s">
        <v>385</v>
      </c>
      <c r="F1340" s="33" t="s">
        <v>90</v>
      </c>
      <c r="G1340" s="33">
        <v>1</v>
      </c>
      <c r="H1340" s="33">
        <v>1</v>
      </c>
      <c r="I1340" s="33">
        <v>0.1</v>
      </c>
      <c r="L1340" s="33">
        <v>2.375</v>
      </c>
      <c r="M1340" s="271">
        <v>9.4899999999999998E-2</v>
      </c>
      <c r="N1340" s="41">
        <f>SUM(N1344:N1352)</f>
        <v>1.0529999999999999</v>
      </c>
      <c r="O1340" s="33">
        <v>50</v>
      </c>
      <c r="P1340" s="163">
        <f t="shared" ref="P1340:Z1340" si="524">SUM(P1344:P1352)</f>
        <v>0</v>
      </c>
      <c r="Q1340" s="163">
        <f t="shared" si="524"/>
        <v>0</v>
      </c>
      <c r="R1340" s="163">
        <f t="shared" si="524"/>
        <v>10.968009999999998</v>
      </c>
      <c r="S1340" s="163">
        <f t="shared" si="524"/>
        <v>0</v>
      </c>
      <c r="T1340" s="163">
        <f t="shared" si="524"/>
        <v>0</v>
      </c>
      <c r="U1340" s="163">
        <f t="shared" si="524"/>
        <v>0</v>
      </c>
      <c r="V1340" s="163">
        <f t="shared" si="524"/>
        <v>0</v>
      </c>
      <c r="W1340" s="163">
        <f t="shared" si="524"/>
        <v>0</v>
      </c>
      <c r="X1340" s="163">
        <f t="shared" si="524"/>
        <v>0</v>
      </c>
      <c r="Y1340" s="163">
        <f t="shared" si="524"/>
        <v>0</v>
      </c>
      <c r="Z1340" s="163">
        <f t="shared" si="524"/>
        <v>0</v>
      </c>
      <c r="AA1340" s="40"/>
      <c r="AB1340" s="40"/>
      <c r="AC1340" s="40"/>
      <c r="AD1340" s="40"/>
      <c r="AE1340" s="40"/>
      <c r="AF1340" s="40"/>
      <c r="AG1340" s="40"/>
      <c r="AH1340" s="40"/>
      <c r="AI1340" s="40"/>
      <c r="AJ1340" s="40"/>
      <c r="AK1340" s="40"/>
      <c r="AL1340" s="40"/>
      <c r="AM1340" s="40"/>
      <c r="AN1340" s="40"/>
      <c r="AO1340" s="40"/>
      <c r="AP1340" s="40"/>
      <c r="AQ1340" s="40"/>
      <c r="AR1340" s="40"/>
      <c r="AS1340" s="40"/>
      <c r="AT1340" s="40"/>
      <c r="AU1340" s="40"/>
      <c r="AV1340" s="163">
        <f>SUM(AV1344:AV1352)</f>
        <v>17.493259999999999</v>
      </c>
      <c r="AW1340" s="40"/>
      <c r="AX1340" s="40"/>
      <c r="AY1340" s="163">
        <f>SUM(AY1344:AY1352)</f>
        <v>166.17400000000001</v>
      </c>
      <c r="AZ1340" s="40"/>
      <c r="BA1340" s="40"/>
      <c r="BB1340" s="40"/>
      <c r="BC1340" s="163">
        <f t="shared" ref="BC1340:BE1340" si="525">SUM(BC1344:BC1352)</f>
        <v>0</v>
      </c>
      <c r="BD1340" s="163">
        <f t="shared" si="525"/>
        <v>0</v>
      </c>
      <c r="BE1340" s="163">
        <f t="shared" si="525"/>
        <v>0</v>
      </c>
      <c r="BF1340" s="40"/>
      <c r="BG1340" s="40"/>
      <c r="BH1340" s="40"/>
      <c r="BI1340" s="40"/>
      <c r="BJ1340" s="40"/>
      <c r="BK1340" s="40"/>
      <c r="BL1340" s="62">
        <v>1</v>
      </c>
      <c r="BM1340" s="275">
        <v>3</v>
      </c>
      <c r="BN1340" s="62">
        <v>0.03</v>
      </c>
      <c r="BP1340" s="33" t="s">
        <v>602</v>
      </c>
    </row>
    <row r="1341" spans="1:68">
      <c r="A1341" s="33" t="str">
        <f>Database_Productkaarten[[#This Row],[Product]]&amp;", "&amp;Database_Productkaarten[[#This Row],[Levensfase]]</f>
        <v>Betontegel (Miscantes) 1000x1000x100 (hergebruik), A1</v>
      </c>
      <c r="B1341" s="33" t="s">
        <v>644</v>
      </c>
      <c r="C1341" t="s">
        <v>55</v>
      </c>
      <c r="D1341" s="33" t="s">
        <v>630</v>
      </c>
      <c r="E1341" s="33" t="s">
        <v>385</v>
      </c>
      <c r="F1341" s="33" t="s">
        <v>74</v>
      </c>
      <c r="G1341" s="33">
        <v>1</v>
      </c>
      <c r="H1341" s="33">
        <v>1</v>
      </c>
      <c r="I1341" s="33">
        <v>0.1</v>
      </c>
      <c r="L1341" s="33">
        <v>2.375</v>
      </c>
      <c r="M1341" s="271">
        <v>9.4899999999999998E-2</v>
      </c>
      <c r="N1341" s="41">
        <v>0</v>
      </c>
      <c r="O1341" s="33">
        <v>50</v>
      </c>
      <c r="P1341" s="163">
        <v>0</v>
      </c>
      <c r="Q1341" s="163">
        <v>0</v>
      </c>
      <c r="R1341" s="163">
        <v>0</v>
      </c>
      <c r="S1341" s="163">
        <v>0</v>
      </c>
      <c r="T1341" s="163">
        <v>0</v>
      </c>
      <c r="U1341" s="163">
        <v>0</v>
      </c>
      <c r="V1341" s="163">
        <v>0</v>
      </c>
      <c r="W1341" s="163">
        <v>0</v>
      </c>
      <c r="X1341" s="163">
        <v>0</v>
      </c>
      <c r="Y1341" s="163">
        <v>0</v>
      </c>
      <c r="Z1341" s="163">
        <v>0</v>
      </c>
      <c r="AA1341" s="40"/>
      <c r="AB1341" s="40"/>
      <c r="AC1341" s="40"/>
      <c r="AD1341" s="40"/>
      <c r="AE1341" s="40"/>
      <c r="AF1341" s="40"/>
      <c r="AG1341" s="40"/>
      <c r="AH1341" s="40"/>
      <c r="AI1341" s="40"/>
      <c r="AJ1341" s="40"/>
      <c r="AK1341" s="40"/>
      <c r="AL1341" s="40"/>
      <c r="AM1341" s="40"/>
      <c r="AN1341" s="40"/>
      <c r="AO1341" s="40"/>
      <c r="AP1341" s="40"/>
      <c r="AQ1341" s="40"/>
      <c r="AR1341" s="40"/>
      <c r="AS1341" s="40"/>
      <c r="AT1341" s="40"/>
      <c r="AU1341" s="40"/>
      <c r="AV1341" s="163">
        <v>0</v>
      </c>
      <c r="AW1341" s="40"/>
      <c r="AX1341" s="40"/>
      <c r="AY1341" s="163">
        <v>0</v>
      </c>
      <c r="AZ1341" s="40"/>
      <c r="BA1341" s="40"/>
      <c r="BB1341" s="40"/>
      <c r="BC1341" s="163">
        <v>0</v>
      </c>
      <c r="BD1341" s="163">
        <v>0</v>
      </c>
      <c r="BE1341" s="163">
        <v>0</v>
      </c>
      <c r="BF1341" s="40"/>
      <c r="BG1341" s="40"/>
      <c r="BH1341" s="40"/>
      <c r="BI1341" s="40"/>
      <c r="BJ1341" s="40"/>
      <c r="BK1341" s="40"/>
      <c r="BL1341" s="62">
        <v>1</v>
      </c>
      <c r="BM1341" s="275">
        <v>3</v>
      </c>
      <c r="BN1341" s="62">
        <v>0.03</v>
      </c>
      <c r="BP1341" s="33" t="s">
        <v>602</v>
      </c>
    </row>
    <row r="1342" spans="1:68">
      <c r="A1342" s="33" t="str">
        <f>Database_Productkaarten[[#This Row],[Product]]&amp;", "&amp;Database_Productkaarten[[#This Row],[Levensfase]]</f>
        <v>Betontegel (Miscantes) 1000x1000x100 (hergebruik), A2</v>
      </c>
      <c r="B1342" s="33" t="s">
        <v>644</v>
      </c>
      <c r="C1342" t="s">
        <v>55</v>
      </c>
      <c r="D1342" s="33" t="s">
        <v>630</v>
      </c>
      <c r="E1342" s="33" t="s">
        <v>385</v>
      </c>
      <c r="F1342" s="33" t="s">
        <v>75</v>
      </c>
      <c r="G1342" s="33">
        <v>1</v>
      </c>
      <c r="H1342" s="33">
        <v>1</v>
      </c>
      <c r="I1342" s="33">
        <v>0.1</v>
      </c>
      <c r="L1342" s="33">
        <v>2.375</v>
      </c>
      <c r="M1342" s="271">
        <v>9.4899999999999998E-2</v>
      </c>
      <c r="N1342" s="41">
        <v>0</v>
      </c>
      <c r="O1342" s="33">
        <v>50</v>
      </c>
      <c r="P1342" s="163">
        <v>0</v>
      </c>
      <c r="Q1342" s="163">
        <v>0</v>
      </c>
      <c r="R1342" s="163">
        <v>0</v>
      </c>
      <c r="S1342" s="163">
        <v>0</v>
      </c>
      <c r="T1342" s="163">
        <v>0</v>
      </c>
      <c r="U1342" s="163">
        <v>0</v>
      </c>
      <c r="V1342" s="163">
        <v>0</v>
      </c>
      <c r="W1342" s="163">
        <v>0</v>
      </c>
      <c r="X1342" s="163">
        <v>0</v>
      </c>
      <c r="Y1342" s="163">
        <v>0</v>
      </c>
      <c r="Z1342" s="163">
        <v>0</v>
      </c>
      <c r="AA1342" s="40"/>
      <c r="AB1342" s="40"/>
      <c r="AC1342" s="40"/>
      <c r="AD1342" s="40"/>
      <c r="AE1342" s="40"/>
      <c r="AF1342" s="40"/>
      <c r="AG1342" s="40"/>
      <c r="AH1342" s="40"/>
      <c r="AI1342" s="40"/>
      <c r="AJ1342" s="40"/>
      <c r="AK1342" s="40"/>
      <c r="AL1342" s="40"/>
      <c r="AM1342" s="40"/>
      <c r="AN1342" s="40"/>
      <c r="AO1342" s="40"/>
      <c r="AP1342" s="40"/>
      <c r="AQ1342" s="40"/>
      <c r="AR1342" s="40"/>
      <c r="AS1342" s="40"/>
      <c r="AT1342" s="40"/>
      <c r="AU1342" s="40"/>
      <c r="AV1342" s="163">
        <v>0</v>
      </c>
      <c r="AW1342" s="40"/>
      <c r="AX1342" s="40"/>
      <c r="AY1342" s="163">
        <v>0</v>
      </c>
      <c r="AZ1342" s="40"/>
      <c r="BA1342" s="40"/>
      <c r="BB1342" s="40"/>
      <c r="BC1342" s="163">
        <v>0</v>
      </c>
      <c r="BD1342" s="163">
        <v>0</v>
      </c>
      <c r="BE1342" s="163">
        <v>0</v>
      </c>
      <c r="BF1342" s="40"/>
      <c r="BG1342" s="40"/>
      <c r="BH1342" s="40"/>
      <c r="BI1342" s="40"/>
      <c r="BJ1342" s="40"/>
      <c r="BK1342" s="40"/>
      <c r="BL1342" s="62">
        <v>1</v>
      </c>
      <c r="BM1342" s="275">
        <v>3</v>
      </c>
      <c r="BN1342" s="62">
        <v>0.03</v>
      </c>
      <c r="BP1342" s="33" t="s">
        <v>602</v>
      </c>
    </row>
    <row r="1343" spans="1:68">
      <c r="A1343" s="33" t="str">
        <f>Database_Productkaarten[[#This Row],[Product]]&amp;", "&amp;Database_Productkaarten[[#This Row],[Levensfase]]</f>
        <v>Betontegel (Miscantes) 1000x1000x100 (hergebruik), A3</v>
      </c>
      <c r="B1343" s="33" t="s">
        <v>644</v>
      </c>
      <c r="C1343" t="s">
        <v>55</v>
      </c>
      <c r="D1343" s="33" t="s">
        <v>630</v>
      </c>
      <c r="E1343" s="33" t="s">
        <v>385</v>
      </c>
      <c r="F1343" s="33" t="s">
        <v>76</v>
      </c>
      <c r="G1343" s="33">
        <v>1</v>
      </c>
      <c r="H1343" s="33">
        <v>1</v>
      </c>
      <c r="I1343" s="33">
        <v>0.1</v>
      </c>
      <c r="L1343" s="33">
        <v>2.375</v>
      </c>
      <c r="M1343" s="271">
        <v>9.4899999999999998E-2</v>
      </c>
      <c r="N1343" s="41">
        <v>0</v>
      </c>
      <c r="O1343" s="33">
        <v>50</v>
      </c>
      <c r="P1343" s="163">
        <v>0</v>
      </c>
      <c r="Q1343" s="163">
        <v>0</v>
      </c>
      <c r="R1343" s="163">
        <v>0</v>
      </c>
      <c r="S1343" s="163">
        <v>0</v>
      </c>
      <c r="T1343" s="163">
        <v>0</v>
      </c>
      <c r="U1343" s="163">
        <v>0</v>
      </c>
      <c r="V1343" s="163">
        <v>0</v>
      </c>
      <c r="W1343" s="163">
        <v>0</v>
      </c>
      <c r="X1343" s="163">
        <v>0</v>
      </c>
      <c r="Y1343" s="163">
        <v>0</v>
      </c>
      <c r="Z1343" s="163">
        <v>0</v>
      </c>
      <c r="AA1343" s="40"/>
      <c r="AB1343" s="40"/>
      <c r="AC1343" s="40"/>
      <c r="AD1343" s="40"/>
      <c r="AE1343" s="40"/>
      <c r="AF1343" s="40"/>
      <c r="AG1343" s="40"/>
      <c r="AH1343" s="40"/>
      <c r="AI1343" s="40"/>
      <c r="AJ1343" s="40"/>
      <c r="AK1343" s="40"/>
      <c r="AL1343" s="40"/>
      <c r="AM1343" s="40"/>
      <c r="AN1343" s="40"/>
      <c r="AO1343" s="40"/>
      <c r="AP1343" s="40"/>
      <c r="AQ1343" s="40"/>
      <c r="AR1343" s="40"/>
      <c r="AS1343" s="40"/>
      <c r="AT1343" s="40"/>
      <c r="AU1343" s="40"/>
      <c r="AV1343" s="163">
        <v>0</v>
      </c>
      <c r="AW1343" s="40"/>
      <c r="AX1343" s="40"/>
      <c r="AY1343" s="163">
        <v>0</v>
      </c>
      <c r="AZ1343" s="40"/>
      <c r="BA1343" s="40"/>
      <c r="BB1343" s="40"/>
      <c r="BC1343" s="163">
        <v>0</v>
      </c>
      <c r="BD1343" s="163">
        <v>0</v>
      </c>
      <c r="BE1343" s="163">
        <v>0</v>
      </c>
      <c r="BF1343" s="40"/>
      <c r="BG1343" s="40"/>
      <c r="BH1343" s="40"/>
      <c r="BI1343" s="40"/>
      <c r="BJ1343" s="40"/>
      <c r="BK1343" s="40"/>
      <c r="BL1343" s="62">
        <v>1</v>
      </c>
      <c r="BM1343" s="275">
        <v>3</v>
      </c>
      <c r="BN1343" s="62">
        <v>0.03</v>
      </c>
      <c r="BP1343" s="33" t="s">
        <v>602</v>
      </c>
    </row>
    <row r="1344" spans="1:68">
      <c r="A1344" s="33" t="str">
        <f>Database_Productkaarten[[#This Row],[Product]]&amp;", "&amp;Database_Productkaarten[[#This Row],[Levensfase]]</f>
        <v>Betontegel (Miscantes) 1000x1000x100 (hergebruik), A1-A3</v>
      </c>
      <c r="B1344" s="33" t="s">
        <v>644</v>
      </c>
      <c r="C1344" s="451" t="str">
        <f>C1343</f>
        <v>Elementenverhardingen</v>
      </c>
      <c r="D1344" s="451" t="str">
        <f>D1343</f>
        <v>Betontegel</v>
      </c>
      <c r="E1344" s="451" t="str">
        <f>E1343</f>
        <v>m2</v>
      </c>
      <c r="F1344" s="451" t="s">
        <v>77</v>
      </c>
      <c r="G1344" s="451">
        <f t="shared" ref="G1344:I1344" si="526">G1343</f>
        <v>1</v>
      </c>
      <c r="H1344" s="451">
        <f t="shared" si="526"/>
        <v>1</v>
      </c>
      <c r="I1344" s="451">
        <f t="shared" si="526"/>
        <v>0.1</v>
      </c>
      <c r="L1344" s="33">
        <v>2.375</v>
      </c>
      <c r="M1344" s="271">
        <v>9.4899999999999998E-2</v>
      </c>
      <c r="N1344" s="41">
        <v>0</v>
      </c>
      <c r="O1344" s="33">
        <v>50</v>
      </c>
      <c r="P1344" s="163">
        <v>0</v>
      </c>
      <c r="Q1344" s="163">
        <v>0</v>
      </c>
      <c r="R1344" s="163">
        <v>0</v>
      </c>
      <c r="S1344" s="163">
        <v>0</v>
      </c>
      <c r="T1344" s="163">
        <v>0</v>
      </c>
      <c r="U1344" s="163">
        <v>0</v>
      </c>
      <c r="V1344" s="163">
        <v>0</v>
      </c>
      <c r="W1344" s="163">
        <v>0</v>
      </c>
      <c r="X1344" s="163">
        <v>0</v>
      </c>
      <c r="Y1344" s="163">
        <v>0</v>
      </c>
      <c r="Z1344" s="163">
        <v>0</v>
      </c>
      <c r="AA1344" s="40"/>
      <c r="AB1344" s="40"/>
      <c r="AC1344" s="40"/>
      <c r="AD1344" s="40"/>
      <c r="AE1344" s="40"/>
      <c r="AF1344" s="40"/>
      <c r="AG1344" s="40"/>
      <c r="AH1344" s="40"/>
      <c r="AI1344" s="40"/>
      <c r="AJ1344" s="40"/>
      <c r="AK1344" s="40"/>
      <c r="AL1344" s="40"/>
      <c r="AM1344" s="40"/>
      <c r="AN1344" s="40"/>
      <c r="AO1344" s="40"/>
      <c r="AP1344" s="40"/>
      <c r="AQ1344" s="40"/>
      <c r="AR1344" s="40"/>
      <c r="AS1344" s="40"/>
      <c r="AT1344" s="40"/>
      <c r="AU1344" s="40"/>
      <c r="AV1344" s="163">
        <v>0</v>
      </c>
      <c r="AW1344" s="40"/>
      <c r="AX1344" s="40"/>
      <c r="AY1344" s="163">
        <v>0</v>
      </c>
      <c r="AZ1344" s="40"/>
      <c r="BA1344" s="40"/>
      <c r="BB1344" s="40"/>
      <c r="BC1344" s="163">
        <v>0</v>
      </c>
      <c r="BD1344" s="163">
        <v>0</v>
      </c>
      <c r="BE1344" s="163">
        <v>0</v>
      </c>
      <c r="BF1344" s="40"/>
      <c r="BG1344" s="40"/>
      <c r="BH1344" s="40"/>
      <c r="BI1344" s="40"/>
      <c r="BJ1344" s="40"/>
      <c r="BK1344" s="40"/>
      <c r="BL1344" s="62">
        <v>1</v>
      </c>
      <c r="BM1344" s="275">
        <v>3</v>
      </c>
      <c r="BN1344" s="62">
        <v>0.03</v>
      </c>
      <c r="BP1344" s="33" t="s">
        <v>602</v>
      </c>
    </row>
    <row r="1345" spans="1:68">
      <c r="A1345" s="33" t="str">
        <f>Database_Productkaarten[[#This Row],[Product]]&amp;", "&amp;Database_Productkaarten[[#This Row],[Levensfase]]</f>
        <v>Betontegel (Miscantes) 1000x1000x100 (hergebruik), A4</v>
      </c>
      <c r="B1345" s="33" t="s">
        <v>644</v>
      </c>
      <c r="C1345" t="s">
        <v>55</v>
      </c>
      <c r="D1345" s="33" t="s">
        <v>630</v>
      </c>
      <c r="E1345" s="33" t="s">
        <v>385</v>
      </c>
      <c r="F1345" s="33" t="s">
        <v>78</v>
      </c>
      <c r="G1345" s="33">
        <v>1</v>
      </c>
      <c r="H1345" s="33">
        <v>1</v>
      </c>
      <c r="I1345" s="33">
        <v>0.1</v>
      </c>
      <c r="L1345" s="33">
        <v>2.375</v>
      </c>
      <c r="M1345" s="271">
        <v>9.4899999999999998E-2</v>
      </c>
      <c r="N1345" s="41">
        <f>N1330</f>
        <v>0.13</v>
      </c>
      <c r="O1345" s="33">
        <v>50</v>
      </c>
      <c r="P1345" s="163">
        <f t="shared" ref="P1345:Z1345" si="527">P1330</f>
        <v>0</v>
      </c>
      <c r="Q1345" s="163">
        <f t="shared" si="527"/>
        <v>0</v>
      </c>
      <c r="R1345" s="163">
        <f t="shared" si="527"/>
        <v>1.2</v>
      </c>
      <c r="S1345" s="163">
        <f t="shared" si="527"/>
        <v>0</v>
      </c>
      <c r="T1345" s="163">
        <f t="shared" si="527"/>
        <v>0</v>
      </c>
      <c r="U1345" s="163">
        <f t="shared" si="527"/>
        <v>0</v>
      </c>
      <c r="V1345" s="163">
        <f t="shared" si="527"/>
        <v>0</v>
      </c>
      <c r="W1345" s="163">
        <f t="shared" si="527"/>
        <v>0</v>
      </c>
      <c r="X1345" s="163">
        <f t="shared" si="527"/>
        <v>0</v>
      </c>
      <c r="Y1345" s="163">
        <f t="shared" si="527"/>
        <v>0</v>
      </c>
      <c r="Z1345" s="163">
        <f t="shared" si="527"/>
        <v>0</v>
      </c>
      <c r="AA1345" s="40"/>
      <c r="AB1345" s="40"/>
      <c r="AC1345" s="40"/>
      <c r="AD1345" s="40"/>
      <c r="AE1345" s="40"/>
      <c r="AF1345" s="40"/>
      <c r="AG1345" s="40"/>
      <c r="AH1345" s="40"/>
      <c r="AI1345" s="40"/>
      <c r="AJ1345" s="40"/>
      <c r="AK1345" s="40"/>
      <c r="AL1345" s="40"/>
      <c r="AM1345" s="40"/>
      <c r="AN1345" s="40"/>
      <c r="AO1345" s="40"/>
      <c r="AP1345" s="40"/>
      <c r="AQ1345" s="40"/>
      <c r="AR1345" s="40"/>
      <c r="AS1345" s="40"/>
      <c r="AT1345" s="40"/>
      <c r="AU1345" s="40"/>
      <c r="AV1345" s="163">
        <f>AV1330</f>
        <v>0.32500000000000001</v>
      </c>
      <c r="AW1345" s="40"/>
      <c r="AX1345" s="40"/>
      <c r="AY1345" s="163">
        <f>AY1330</f>
        <v>20.8</v>
      </c>
      <c r="AZ1345" s="40"/>
      <c r="BA1345" s="40"/>
      <c r="BB1345" s="40"/>
      <c r="BC1345" s="163">
        <f t="shared" ref="BC1345:BE1345" si="528">BC1330</f>
        <v>0</v>
      </c>
      <c r="BD1345" s="163">
        <f t="shared" si="528"/>
        <v>0</v>
      </c>
      <c r="BE1345" s="163">
        <f t="shared" si="528"/>
        <v>0</v>
      </c>
      <c r="BF1345" s="40"/>
      <c r="BG1345" s="40"/>
      <c r="BH1345" s="40"/>
      <c r="BI1345" s="40"/>
      <c r="BJ1345" s="40"/>
      <c r="BK1345" s="40"/>
      <c r="BL1345" s="62">
        <v>1</v>
      </c>
      <c r="BM1345" s="275">
        <v>3</v>
      </c>
      <c r="BN1345" s="62">
        <v>0.03</v>
      </c>
      <c r="BP1345" s="33" t="s">
        <v>602</v>
      </c>
    </row>
    <row r="1346" spans="1:68">
      <c r="A1346" s="33" t="str">
        <f>Database_Productkaarten[[#This Row],[Product]]&amp;", "&amp;Database_Productkaarten[[#This Row],[Levensfase]]</f>
        <v>Betontegel (Miscantes) 1000x1000x100 (hergebruik), A5</v>
      </c>
      <c r="B1346" s="33" t="s">
        <v>644</v>
      </c>
      <c r="C1346" t="s">
        <v>55</v>
      </c>
      <c r="D1346" s="33" t="s">
        <v>630</v>
      </c>
      <c r="E1346" s="33" t="s">
        <v>385</v>
      </c>
      <c r="F1346" s="33" t="s">
        <v>79</v>
      </c>
      <c r="G1346" s="33">
        <v>1</v>
      </c>
      <c r="H1346" s="33">
        <v>1</v>
      </c>
      <c r="I1346" s="33">
        <v>0.1</v>
      </c>
      <c r="L1346" s="33">
        <v>2.375</v>
      </c>
      <c r="M1346" s="271">
        <v>9.4899999999999998E-2</v>
      </c>
      <c r="N1346" s="41">
        <f t="shared" ref="N1346:N1351" si="529">N1331</f>
        <v>0.64</v>
      </c>
      <c r="O1346" s="33">
        <v>50</v>
      </c>
      <c r="P1346" s="163">
        <f t="shared" ref="P1346:Z1346" si="530">P1331</f>
        <v>0</v>
      </c>
      <c r="Q1346" s="163">
        <f t="shared" si="530"/>
        <v>0</v>
      </c>
      <c r="R1346" s="163">
        <f t="shared" si="530"/>
        <v>6.93</v>
      </c>
      <c r="S1346" s="163">
        <f t="shared" si="530"/>
        <v>0</v>
      </c>
      <c r="T1346" s="163">
        <f t="shared" si="530"/>
        <v>0</v>
      </c>
      <c r="U1346" s="163">
        <f t="shared" si="530"/>
        <v>0</v>
      </c>
      <c r="V1346" s="163">
        <f t="shared" si="530"/>
        <v>0</v>
      </c>
      <c r="W1346" s="163">
        <f t="shared" si="530"/>
        <v>0</v>
      </c>
      <c r="X1346" s="163">
        <f t="shared" si="530"/>
        <v>0</v>
      </c>
      <c r="Y1346" s="163">
        <f t="shared" si="530"/>
        <v>0</v>
      </c>
      <c r="Z1346" s="163">
        <f t="shared" si="530"/>
        <v>0</v>
      </c>
      <c r="AA1346" s="40"/>
      <c r="AB1346" s="40"/>
      <c r="AC1346" s="40"/>
      <c r="AD1346" s="40"/>
      <c r="AE1346" s="40"/>
      <c r="AF1346" s="40"/>
      <c r="AG1346" s="40"/>
      <c r="AH1346" s="40"/>
      <c r="AI1346" s="40"/>
      <c r="AJ1346" s="40"/>
      <c r="AK1346" s="40"/>
      <c r="AL1346" s="40"/>
      <c r="AM1346" s="40"/>
      <c r="AN1346" s="40"/>
      <c r="AO1346" s="40"/>
      <c r="AP1346" s="40"/>
      <c r="AQ1346" s="40"/>
      <c r="AR1346" s="40"/>
      <c r="AS1346" s="40"/>
      <c r="AT1346" s="40"/>
      <c r="AU1346" s="40"/>
      <c r="AV1346" s="163">
        <f t="shared" ref="AV1346:AV1351" si="531">AV1331</f>
        <v>4.45</v>
      </c>
      <c r="AW1346" s="40"/>
      <c r="AX1346" s="40"/>
      <c r="AY1346" s="163">
        <f t="shared" ref="AY1346:AY1351" si="532">AY1331</f>
        <v>105</v>
      </c>
      <c r="AZ1346" s="40"/>
      <c r="BA1346" s="40"/>
      <c r="BB1346" s="40"/>
      <c r="BC1346" s="163">
        <f t="shared" ref="BC1346:BE1346" si="533">BC1331</f>
        <v>0</v>
      </c>
      <c r="BD1346" s="163">
        <f t="shared" si="533"/>
        <v>0</v>
      </c>
      <c r="BE1346" s="163">
        <f t="shared" si="533"/>
        <v>0</v>
      </c>
      <c r="BF1346" s="40"/>
      <c r="BG1346" s="40"/>
      <c r="BH1346" s="40"/>
      <c r="BI1346" s="40"/>
      <c r="BJ1346" s="40"/>
      <c r="BK1346" s="40"/>
      <c r="BL1346" s="62">
        <v>1</v>
      </c>
      <c r="BM1346" s="275">
        <v>3</v>
      </c>
      <c r="BN1346" s="62">
        <v>0.03</v>
      </c>
      <c r="BP1346" s="33" t="s">
        <v>602</v>
      </c>
    </row>
    <row r="1347" spans="1:68">
      <c r="A1347" s="33" t="str">
        <f>Database_Productkaarten[[#This Row],[Product]]&amp;", "&amp;Database_Productkaarten[[#This Row],[Levensfase]]</f>
        <v>Betontegel (Miscantes) 1000x1000x100 (hergebruik), B1</v>
      </c>
      <c r="B1347" s="33" t="s">
        <v>644</v>
      </c>
      <c r="C1347" t="s">
        <v>55</v>
      </c>
      <c r="D1347" s="33" t="s">
        <v>630</v>
      </c>
      <c r="E1347" s="33" t="s">
        <v>385</v>
      </c>
      <c r="F1347" s="33" t="s">
        <v>80</v>
      </c>
      <c r="G1347" s="33">
        <v>1</v>
      </c>
      <c r="H1347" s="33">
        <v>1</v>
      </c>
      <c r="I1347" s="33">
        <v>0.1</v>
      </c>
      <c r="L1347" s="33">
        <v>2.375</v>
      </c>
      <c r="M1347" s="271">
        <v>9.4899999999999998E-2</v>
      </c>
      <c r="N1347" s="41">
        <f t="shared" si="529"/>
        <v>0</v>
      </c>
      <c r="O1347" s="33">
        <v>50</v>
      </c>
      <c r="P1347" s="163">
        <f t="shared" ref="P1347:Z1347" si="534">P1332</f>
        <v>0</v>
      </c>
      <c r="Q1347" s="163">
        <f t="shared" si="534"/>
        <v>0</v>
      </c>
      <c r="R1347" s="163">
        <f t="shared" si="534"/>
        <v>0</v>
      </c>
      <c r="S1347" s="163">
        <f t="shared" si="534"/>
        <v>0</v>
      </c>
      <c r="T1347" s="163">
        <f t="shared" si="534"/>
        <v>0</v>
      </c>
      <c r="U1347" s="163">
        <f t="shared" si="534"/>
        <v>0</v>
      </c>
      <c r="V1347" s="163">
        <f t="shared" si="534"/>
        <v>0</v>
      </c>
      <c r="W1347" s="163">
        <f t="shared" si="534"/>
        <v>0</v>
      </c>
      <c r="X1347" s="163">
        <f t="shared" si="534"/>
        <v>0</v>
      </c>
      <c r="Y1347" s="163">
        <f t="shared" si="534"/>
        <v>0</v>
      </c>
      <c r="Z1347" s="163">
        <f t="shared" si="534"/>
        <v>0</v>
      </c>
      <c r="AA1347" s="40"/>
      <c r="AB1347" s="40"/>
      <c r="AC1347" s="40"/>
      <c r="AD1347" s="40"/>
      <c r="AE1347" s="40"/>
      <c r="AF1347" s="40"/>
      <c r="AG1347" s="40"/>
      <c r="AH1347" s="40"/>
      <c r="AI1347" s="40"/>
      <c r="AJ1347" s="40"/>
      <c r="AK1347" s="40"/>
      <c r="AL1347" s="40"/>
      <c r="AM1347" s="40"/>
      <c r="AN1347" s="40"/>
      <c r="AO1347" s="40"/>
      <c r="AP1347" s="40"/>
      <c r="AQ1347" s="40"/>
      <c r="AR1347" s="40"/>
      <c r="AS1347" s="40"/>
      <c r="AT1347" s="40"/>
      <c r="AU1347" s="40"/>
      <c r="AV1347" s="163">
        <f t="shared" si="531"/>
        <v>0</v>
      </c>
      <c r="AW1347" s="40"/>
      <c r="AX1347" s="40"/>
      <c r="AY1347" s="163">
        <f t="shared" si="532"/>
        <v>0</v>
      </c>
      <c r="AZ1347" s="40"/>
      <c r="BA1347" s="40"/>
      <c r="BB1347" s="40"/>
      <c r="BC1347" s="163">
        <f t="shared" ref="BC1347:BE1347" si="535">BC1332</f>
        <v>0</v>
      </c>
      <c r="BD1347" s="163">
        <f t="shared" si="535"/>
        <v>0</v>
      </c>
      <c r="BE1347" s="163">
        <f t="shared" si="535"/>
        <v>0</v>
      </c>
      <c r="BF1347" s="40"/>
      <c r="BG1347" s="40"/>
      <c r="BH1347" s="40"/>
      <c r="BI1347" s="40"/>
      <c r="BJ1347" s="40"/>
      <c r="BK1347" s="40"/>
      <c r="BL1347" s="62">
        <v>1</v>
      </c>
      <c r="BM1347" s="275">
        <v>3</v>
      </c>
      <c r="BN1347" s="62">
        <v>0.03</v>
      </c>
      <c r="BP1347" s="33" t="s">
        <v>602</v>
      </c>
    </row>
    <row r="1348" spans="1:68">
      <c r="A1348" s="33" t="str">
        <f>Database_Productkaarten[[#This Row],[Product]]&amp;", "&amp;Database_Productkaarten[[#This Row],[Levensfase]]</f>
        <v>Betontegel (Miscantes) 1000x1000x100 (hergebruik), C1</v>
      </c>
      <c r="B1348" s="33" t="s">
        <v>644</v>
      </c>
      <c r="C1348" t="s">
        <v>55</v>
      </c>
      <c r="D1348" s="33" t="s">
        <v>630</v>
      </c>
      <c r="E1348" s="33" t="s">
        <v>385</v>
      </c>
      <c r="F1348" s="33" t="s">
        <v>83</v>
      </c>
      <c r="G1348" s="33">
        <v>1</v>
      </c>
      <c r="H1348" s="33">
        <v>1</v>
      </c>
      <c r="I1348" s="33">
        <v>0.1</v>
      </c>
      <c r="L1348" s="33">
        <v>2.375</v>
      </c>
      <c r="M1348" s="271">
        <v>9.4899999999999998E-2</v>
      </c>
      <c r="N1348" s="41">
        <f t="shared" si="529"/>
        <v>0.16</v>
      </c>
      <c r="O1348" s="33">
        <v>50</v>
      </c>
      <c r="P1348" s="163">
        <f t="shared" ref="P1348:Z1348" si="536">P1333</f>
        <v>0</v>
      </c>
      <c r="Q1348" s="163">
        <f t="shared" si="536"/>
        <v>0</v>
      </c>
      <c r="R1348" s="163">
        <f t="shared" si="536"/>
        <v>1.68</v>
      </c>
      <c r="S1348" s="163">
        <f t="shared" si="536"/>
        <v>0</v>
      </c>
      <c r="T1348" s="163">
        <f t="shared" si="536"/>
        <v>0</v>
      </c>
      <c r="U1348" s="163">
        <f t="shared" si="536"/>
        <v>0</v>
      </c>
      <c r="V1348" s="163">
        <f t="shared" si="536"/>
        <v>0</v>
      </c>
      <c r="W1348" s="163">
        <f t="shared" si="536"/>
        <v>0</v>
      </c>
      <c r="X1348" s="163">
        <f t="shared" si="536"/>
        <v>0</v>
      </c>
      <c r="Y1348" s="163">
        <f t="shared" si="536"/>
        <v>0</v>
      </c>
      <c r="Z1348" s="163">
        <f t="shared" si="536"/>
        <v>0</v>
      </c>
      <c r="AA1348" s="40"/>
      <c r="AB1348" s="40"/>
      <c r="AC1348" s="40"/>
      <c r="AD1348" s="40"/>
      <c r="AE1348" s="40"/>
      <c r="AF1348" s="40"/>
      <c r="AG1348" s="40"/>
      <c r="AH1348" s="40"/>
      <c r="AI1348" s="40"/>
      <c r="AJ1348" s="40"/>
      <c r="AK1348" s="40"/>
      <c r="AL1348" s="40"/>
      <c r="AM1348" s="40"/>
      <c r="AN1348" s="40"/>
      <c r="AO1348" s="40"/>
      <c r="AP1348" s="40"/>
      <c r="AQ1348" s="40"/>
      <c r="AR1348" s="40"/>
      <c r="AS1348" s="40"/>
      <c r="AT1348" s="40"/>
      <c r="AU1348" s="40"/>
      <c r="AV1348" s="163">
        <f t="shared" si="531"/>
        <v>0.186</v>
      </c>
      <c r="AW1348" s="40"/>
      <c r="AX1348" s="40"/>
      <c r="AY1348" s="163">
        <f t="shared" si="532"/>
        <v>25.6</v>
      </c>
      <c r="AZ1348" s="40"/>
      <c r="BA1348" s="40"/>
      <c r="BB1348" s="40"/>
      <c r="BC1348" s="163">
        <f t="shared" ref="BC1348:BE1348" si="537">BC1333</f>
        <v>0</v>
      </c>
      <c r="BD1348" s="163">
        <f t="shared" si="537"/>
        <v>0</v>
      </c>
      <c r="BE1348" s="163">
        <f t="shared" si="537"/>
        <v>0</v>
      </c>
      <c r="BF1348" s="40"/>
      <c r="BG1348" s="40"/>
      <c r="BH1348" s="40"/>
      <c r="BI1348" s="40"/>
      <c r="BJ1348" s="40"/>
      <c r="BK1348" s="40"/>
      <c r="BL1348" s="62">
        <v>1</v>
      </c>
      <c r="BM1348" s="275">
        <v>3</v>
      </c>
      <c r="BN1348" s="62">
        <v>0.03</v>
      </c>
      <c r="BP1348" s="33" t="s">
        <v>602</v>
      </c>
    </row>
    <row r="1349" spans="1:68">
      <c r="A1349" s="33" t="str">
        <f>Database_Productkaarten[[#This Row],[Product]]&amp;", "&amp;Database_Productkaarten[[#This Row],[Levensfase]]</f>
        <v>Betontegel (Miscantes) 1000x1000x100 (hergebruik), C2</v>
      </c>
      <c r="B1349" s="33" t="s">
        <v>644</v>
      </c>
      <c r="C1349" t="s">
        <v>55</v>
      </c>
      <c r="D1349" s="33" t="s">
        <v>630</v>
      </c>
      <c r="E1349" s="33" t="s">
        <v>385</v>
      </c>
      <c r="F1349" s="33" t="s">
        <v>84</v>
      </c>
      <c r="G1349" s="33">
        <v>1</v>
      </c>
      <c r="H1349" s="33">
        <v>1</v>
      </c>
      <c r="I1349" s="33">
        <v>0.1</v>
      </c>
      <c r="L1349" s="33">
        <v>2.375</v>
      </c>
      <c r="M1349" s="271">
        <v>9.4899999999999998E-2</v>
      </c>
      <c r="N1349" s="41">
        <f t="shared" si="529"/>
        <v>0.05</v>
      </c>
      <c r="O1349" s="33">
        <v>50</v>
      </c>
      <c r="P1349" s="163">
        <f t="shared" ref="P1349:Z1349" si="538">P1334</f>
        <v>0</v>
      </c>
      <c r="Q1349" s="163">
        <f t="shared" si="538"/>
        <v>0</v>
      </c>
      <c r="R1349" s="163">
        <f t="shared" si="538"/>
        <v>0.40500000000000003</v>
      </c>
      <c r="S1349" s="163">
        <f t="shared" si="538"/>
        <v>0</v>
      </c>
      <c r="T1349" s="163">
        <f t="shared" si="538"/>
        <v>0</v>
      </c>
      <c r="U1349" s="163">
        <f t="shared" si="538"/>
        <v>0</v>
      </c>
      <c r="V1349" s="163">
        <f t="shared" si="538"/>
        <v>0</v>
      </c>
      <c r="W1349" s="163">
        <f t="shared" si="538"/>
        <v>0</v>
      </c>
      <c r="X1349" s="163">
        <f t="shared" si="538"/>
        <v>0</v>
      </c>
      <c r="Y1349" s="163">
        <f t="shared" si="538"/>
        <v>0</v>
      </c>
      <c r="Z1349" s="163">
        <f t="shared" si="538"/>
        <v>0</v>
      </c>
      <c r="AA1349" s="40"/>
      <c r="AB1349" s="40"/>
      <c r="AC1349" s="40"/>
      <c r="AD1349" s="40"/>
      <c r="AE1349" s="40"/>
      <c r="AF1349" s="40"/>
      <c r="AG1349" s="40"/>
      <c r="AH1349" s="40"/>
      <c r="AI1349" s="40"/>
      <c r="AJ1349" s="40"/>
      <c r="AK1349" s="40"/>
      <c r="AL1349" s="40"/>
      <c r="AM1349" s="40"/>
      <c r="AN1349" s="40"/>
      <c r="AO1349" s="40"/>
      <c r="AP1349" s="40"/>
      <c r="AQ1349" s="40"/>
      <c r="AR1349" s="40"/>
      <c r="AS1349" s="40"/>
      <c r="AT1349" s="40"/>
      <c r="AU1349" s="40"/>
      <c r="AV1349" s="163">
        <f t="shared" si="531"/>
        <v>0.109</v>
      </c>
      <c r="AW1349" s="40"/>
      <c r="AX1349" s="40"/>
      <c r="AY1349" s="163">
        <f t="shared" si="532"/>
        <v>7</v>
      </c>
      <c r="AZ1349" s="40"/>
      <c r="BA1349" s="40"/>
      <c r="BB1349" s="40"/>
      <c r="BC1349" s="163">
        <f t="shared" ref="BC1349:BE1349" si="539">BC1334</f>
        <v>0</v>
      </c>
      <c r="BD1349" s="163">
        <f t="shared" si="539"/>
        <v>0</v>
      </c>
      <c r="BE1349" s="163">
        <f t="shared" si="539"/>
        <v>0</v>
      </c>
      <c r="BF1349" s="40"/>
      <c r="BG1349" s="40"/>
      <c r="BH1349" s="40"/>
      <c r="BI1349" s="40"/>
      <c r="BJ1349" s="40"/>
      <c r="BK1349" s="40"/>
      <c r="BL1349" s="62">
        <v>1</v>
      </c>
      <c r="BM1349" s="275">
        <v>3</v>
      </c>
      <c r="BN1349" s="62">
        <v>0.03</v>
      </c>
      <c r="BP1349" s="33" t="s">
        <v>602</v>
      </c>
    </row>
    <row r="1350" spans="1:68">
      <c r="A1350" s="33" t="str">
        <f>Database_Productkaarten[[#This Row],[Product]]&amp;", "&amp;Database_Productkaarten[[#This Row],[Levensfase]]</f>
        <v>Betontegel (Miscantes) 1000x1000x100 (hergebruik), C3</v>
      </c>
      <c r="B1350" s="33" t="s">
        <v>644</v>
      </c>
      <c r="C1350" t="s">
        <v>55</v>
      </c>
      <c r="D1350" s="33" t="s">
        <v>630</v>
      </c>
      <c r="E1350" s="33" t="s">
        <v>385</v>
      </c>
      <c r="F1350" s="33" t="s">
        <v>85</v>
      </c>
      <c r="G1350" s="33">
        <v>1</v>
      </c>
      <c r="H1350" s="33">
        <v>1</v>
      </c>
      <c r="I1350" s="33">
        <v>0.1</v>
      </c>
      <c r="L1350" s="33">
        <v>2.375</v>
      </c>
      <c r="M1350" s="271">
        <v>9.4899999999999998E-2</v>
      </c>
      <c r="N1350" s="41">
        <f t="shared" si="529"/>
        <v>0.02</v>
      </c>
      <c r="O1350" s="33">
        <v>50</v>
      </c>
      <c r="P1350" s="163">
        <f t="shared" ref="P1350:Z1350" si="540">P1335</f>
        <v>0</v>
      </c>
      <c r="Q1350" s="163">
        <f t="shared" si="540"/>
        <v>0</v>
      </c>
      <c r="R1350" s="163">
        <f t="shared" si="540"/>
        <v>0.152</v>
      </c>
      <c r="S1350" s="163">
        <f t="shared" si="540"/>
        <v>0</v>
      </c>
      <c r="T1350" s="163">
        <f t="shared" si="540"/>
        <v>0</v>
      </c>
      <c r="U1350" s="163">
        <f t="shared" si="540"/>
        <v>0</v>
      </c>
      <c r="V1350" s="163">
        <f t="shared" si="540"/>
        <v>0</v>
      </c>
      <c r="W1350" s="163">
        <f t="shared" si="540"/>
        <v>0</v>
      </c>
      <c r="X1350" s="163">
        <f t="shared" si="540"/>
        <v>0</v>
      </c>
      <c r="Y1350" s="163">
        <f t="shared" si="540"/>
        <v>0</v>
      </c>
      <c r="Z1350" s="163">
        <f t="shared" si="540"/>
        <v>0</v>
      </c>
      <c r="AA1350" s="40"/>
      <c r="AB1350" s="40"/>
      <c r="AC1350" s="40"/>
      <c r="AD1350" s="40"/>
      <c r="AE1350" s="40"/>
      <c r="AF1350" s="40"/>
      <c r="AG1350" s="40"/>
      <c r="AH1350" s="40"/>
      <c r="AI1350" s="40"/>
      <c r="AJ1350" s="40"/>
      <c r="AK1350" s="40"/>
      <c r="AL1350" s="40"/>
      <c r="AM1350" s="40"/>
      <c r="AN1350" s="40"/>
      <c r="AO1350" s="40"/>
      <c r="AP1350" s="40"/>
      <c r="AQ1350" s="40"/>
      <c r="AR1350" s="40"/>
      <c r="AS1350" s="40"/>
      <c r="AT1350" s="40"/>
      <c r="AU1350" s="40"/>
      <c r="AV1350" s="163">
        <f t="shared" si="531"/>
        <v>0.122</v>
      </c>
      <c r="AW1350" s="40"/>
      <c r="AX1350" s="40"/>
      <c r="AY1350" s="163">
        <f t="shared" si="532"/>
        <v>2.2799999999999998</v>
      </c>
      <c r="AZ1350" s="40"/>
      <c r="BA1350" s="40"/>
      <c r="BB1350" s="40"/>
      <c r="BC1350" s="163">
        <f t="shared" ref="BC1350:BE1350" si="541">BC1335</f>
        <v>0</v>
      </c>
      <c r="BD1350" s="163">
        <f t="shared" si="541"/>
        <v>0</v>
      </c>
      <c r="BE1350" s="163">
        <f t="shared" si="541"/>
        <v>0</v>
      </c>
      <c r="BF1350" s="40"/>
      <c r="BG1350" s="40"/>
      <c r="BH1350" s="40"/>
      <c r="BI1350" s="40"/>
      <c r="BJ1350" s="40"/>
      <c r="BK1350" s="40"/>
      <c r="BL1350" s="62">
        <v>1</v>
      </c>
      <c r="BM1350" s="275">
        <v>3</v>
      </c>
      <c r="BN1350" s="62">
        <v>0.03</v>
      </c>
      <c r="BP1350" s="33" t="s">
        <v>602</v>
      </c>
    </row>
    <row r="1351" spans="1:68">
      <c r="A1351" s="33" t="str">
        <f>Database_Productkaarten[[#This Row],[Product]]&amp;", "&amp;Database_Productkaarten[[#This Row],[Levensfase]]</f>
        <v>Betontegel (Miscantes) 1000x1000x100 (hergebruik), C4</v>
      </c>
      <c r="B1351" s="33" t="s">
        <v>644</v>
      </c>
      <c r="C1351" t="s">
        <v>55</v>
      </c>
      <c r="D1351" s="33" t="s">
        <v>630</v>
      </c>
      <c r="E1351" s="33" t="s">
        <v>385</v>
      </c>
      <c r="F1351" s="33" t="s">
        <v>86</v>
      </c>
      <c r="G1351" s="33">
        <v>1</v>
      </c>
      <c r="H1351" s="33">
        <v>1</v>
      </c>
      <c r="I1351" s="33">
        <v>0.1</v>
      </c>
      <c r="L1351" s="33">
        <v>2.375</v>
      </c>
      <c r="M1351" s="271">
        <v>9.4899999999999998E-2</v>
      </c>
      <c r="N1351" s="41">
        <f t="shared" si="529"/>
        <v>0</v>
      </c>
      <c r="O1351" s="33">
        <v>50</v>
      </c>
      <c r="P1351" s="163">
        <f t="shared" ref="P1351:Z1351" si="542">P1336</f>
        <v>0</v>
      </c>
      <c r="Q1351" s="163">
        <f t="shared" si="542"/>
        <v>0</v>
      </c>
      <c r="R1351" s="163">
        <f t="shared" si="542"/>
        <v>5.0099999999999997E-3</v>
      </c>
      <c r="S1351" s="163">
        <f t="shared" si="542"/>
        <v>0</v>
      </c>
      <c r="T1351" s="163">
        <f t="shared" si="542"/>
        <v>0</v>
      </c>
      <c r="U1351" s="163">
        <f t="shared" si="542"/>
        <v>0</v>
      </c>
      <c r="V1351" s="163">
        <f t="shared" si="542"/>
        <v>0</v>
      </c>
      <c r="W1351" s="163">
        <f t="shared" si="542"/>
        <v>0</v>
      </c>
      <c r="X1351" s="163">
        <f t="shared" si="542"/>
        <v>0</v>
      </c>
      <c r="Y1351" s="163">
        <f t="shared" si="542"/>
        <v>0</v>
      </c>
      <c r="Z1351" s="163">
        <f t="shared" si="542"/>
        <v>0</v>
      </c>
      <c r="AA1351" s="40"/>
      <c r="AB1351" s="40"/>
      <c r="AC1351" s="40"/>
      <c r="AD1351" s="40"/>
      <c r="AE1351" s="40"/>
      <c r="AF1351" s="40"/>
      <c r="AG1351" s="40"/>
      <c r="AH1351" s="40"/>
      <c r="AI1351" s="40"/>
      <c r="AJ1351" s="40"/>
      <c r="AK1351" s="40"/>
      <c r="AL1351" s="40"/>
      <c r="AM1351" s="40"/>
      <c r="AN1351" s="40"/>
      <c r="AO1351" s="40"/>
      <c r="AP1351" s="40"/>
      <c r="AQ1351" s="40"/>
      <c r="AR1351" s="40"/>
      <c r="AS1351" s="40"/>
      <c r="AT1351" s="40"/>
      <c r="AU1351" s="40"/>
      <c r="AV1351" s="163">
        <f t="shared" si="531"/>
        <v>1.2600000000000001E-3</v>
      </c>
      <c r="AW1351" s="40"/>
      <c r="AX1351" s="40"/>
      <c r="AY1351" s="163">
        <f t="shared" si="532"/>
        <v>0.16400000000000001</v>
      </c>
      <c r="AZ1351" s="40"/>
      <c r="BA1351" s="40"/>
      <c r="BB1351" s="40"/>
      <c r="BC1351" s="163">
        <f t="shared" ref="BC1351:BE1351" si="543">BC1336</f>
        <v>0</v>
      </c>
      <c r="BD1351" s="163">
        <f t="shared" si="543"/>
        <v>0</v>
      </c>
      <c r="BE1351" s="163">
        <f t="shared" si="543"/>
        <v>0</v>
      </c>
      <c r="BF1351" s="40"/>
      <c r="BG1351" s="40"/>
      <c r="BH1351" s="40"/>
      <c r="BI1351" s="40"/>
      <c r="BJ1351" s="40"/>
      <c r="BK1351" s="40"/>
      <c r="BL1351" s="62">
        <v>1</v>
      </c>
      <c r="BM1351" s="275">
        <v>3</v>
      </c>
      <c r="BN1351" s="62">
        <v>0.03</v>
      </c>
      <c r="BP1351" s="33" t="s">
        <v>602</v>
      </c>
    </row>
    <row r="1352" spans="1:68">
      <c r="A1352" s="33" t="str">
        <f>Database_Productkaarten[[#This Row],[Product]]&amp;", "&amp;Database_Productkaarten[[#This Row],[Levensfase]]</f>
        <v>Betontegel (Miscantes) 1000x1000x100 (hergebruik), D</v>
      </c>
      <c r="B1352" s="33" t="s">
        <v>644</v>
      </c>
      <c r="C1352" s="33" t="str">
        <f>C1353</f>
        <v>Elementenverhardingen</v>
      </c>
      <c r="D1352" s="33" t="str">
        <f>D1353</f>
        <v>Betontegel</v>
      </c>
      <c r="E1352" s="33" t="str">
        <f>E1353</f>
        <v>m2</v>
      </c>
      <c r="F1352" s="33" t="s">
        <v>89</v>
      </c>
      <c r="G1352" s="33">
        <f t="shared" ref="G1352:I1352" si="544">G1353</f>
        <v>1</v>
      </c>
      <c r="H1352" s="33">
        <f t="shared" si="544"/>
        <v>1</v>
      </c>
      <c r="I1352" s="33">
        <f t="shared" si="544"/>
        <v>0.1</v>
      </c>
      <c r="L1352" s="33">
        <v>2.375</v>
      </c>
      <c r="M1352" s="271">
        <v>9.4899999999999998E-2</v>
      </c>
      <c r="N1352" s="41">
        <f>N1329*0.1</f>
        <v>5.3000000000000005E-2</v>
      </c>
      <c r="O1352" s="33">
        <v>50</v>
      </c>
      <c r="P1352" s="163">
        <f t="shared" ref="P1352:Z1352" si="545">P1329*0.1</f>
        <v>0</v>
      </c>
      <c r="Q1352" s="163">
        <f t="shared" si="545"/>
        <v>0</v>
      </c>
      <c r="R1352" s="163">
        <f t="shared" si="545"/>
        <v>0.59599999999999997</v>
      </c>
      <c r="S1352" s="163">
        <f t="shared" si="545"/>
        <v>0</v>
      </c>
      <c r="T1352" s="163">
        <f t="shared" si="545"/>
        <v>0</v>
      </c>
      <c r="U1352" s="163">
        <f t="shared" si="545"/>
        <v>0</v>
      </c>
      <c r="V1352" s="163">
        <f t="shared" si="545"/>
        <v>0</v>
      </c>
      <c r="W1352" s="163">
        <f t="shared" si="545"/>
        <v>0</v>
      </c>
      <c r="X1352" s="163">
        <f t="shared" si="545"/>
        <v>0</v>
      </c>
      <c r="Y1352" s="163">
        <f t="shared" si="545"/>
        <v>0</v>
      </c>
      <c r="Z1352" s="163">
        <f t="shared" si="545"/>
        <v>0</v>
      </c>
      <c r="AA1352" s="40"/>
      <c r="AB1352" s="40"/>
      <c r="AC1352" s="40"/>
      <c r="AD1352" s="40"/>
      <c r="AE1352" s="40"/>
      <c r="AF1352" s="40"/>
      <c r="AG1352" s="40"/>
      <c r="AH1352" s="40"/>
      <c r="AI1352" s="40"/>
      <c r="AJ1352" s="40"/>
      <c r="AK1352" s="40"/>
      <c r="AL1352" s="40"/>
      <c r="AM1352" s="40"/>
      <c r="AN1352" s="40"/>
      <c r="AO1352" s="40"/>
      <c r="AP1352" s="40"/>
      <c r="AQ1352" s="40"/>
      <c r="AR1352" s="40"/>
      <c r="AS1352" s="40"/>
      <c r="AT1352" s="40"/>
      <c r="AU1352" s="40"/>
      <c r="AV1352" s="163">
        <f>AV1329*0.1</f>
        <v>12.3</v>
      </c>
      <c r="AW1352" s="40"/>
      <c r="AX1352" s="40"/>
      <c r="AY1352" s="163">
        <f>AY1329*0.1</f>
        <v>5.33</v>
      </c>
      <c r="AZ1352" s="40"/>
      <c r="BA1352" s="40"/>
      <c r="BB1352" s="40"/>
      <c r="BC1352" s="163">
        <f t="shared" ref="BC1352:BE1352" si="546">BC1329*0.1</f>
        <v>0</v>
      </c>
      <c r="BD1352" s="163">
        <f t="shared" si="546"/>
        <v>0</v>
      </c>
      <c r="BE1352" s="163">
        <f t="shared" si="546"/>
        <v>0</v>
      </c>
      <c r="BF1352" s="40"/>
      <c r="BG1352" s="40"/>
      <c r="BH1352" s="40"/>
      <c r="BI1352" s="40"/>
      <c r="BJ1352" s="40"/>
      <c r="BK1352" s="40"/>
      <c r="BL1352" s="62">
        <v>1</v>
      </c>
      <c r="BM1352" s="275">
        <v>3</v>
      </c>
      <c r="BN1352" s="62">
        <v>0.03</v>
      </c>
      <c r="BP1352" s="33" t="s">
        <v>602</v>
      </c>
    </row>
    <row r="1353" spans="1:68">
      <c r="A1353" s="33" t="str">
        <f>Database_Productkaarten[[#This Row],[Product]]&amp;", "&amp;Database_Productkaarten[[#This Row],[Levensfase]]</f>
        <v>Betontegel (Miscantes) 1000x1000x100 (hergebruik), D1</v>
      </c>
      <c r="B1353" s="33" t="s">
        <v>644</v>
      </c>
      <c r="C1353" t="s">
        <v>55</v>
      </c>
      <c r="D1353" s="33" t="s">
        <v>630</v>
      </c>
      <c r="E1353" s="33" t="s">
        <v>385</v>
      </c>
      <c r="F1353" s="33" t="s">
        <v>87</v>
      </c>
      <c r="G1353" s="33">
        <v>1</v>
      </c>
      <c r="H1353" s="33">
        <v>1</v>
      </c>
      <c r="I1353" s="33">
        <v>0.1</v>
      </c>
      <c r="L1353" s="33">
        <v>2.375</v>
      </c>
      <c r="M1353" s="271">
        <v>9.4899999999999998E-2</v>
      </c>
      <c r="N1353" s="41"/>
      <c r="O1353" s="33">
        <v>50</v>
      </c>
      <c r="P1353" s="40"/>
      <c r="Q1353" s="40"/>
      <c r="R1353" s="40"/>
      <c r="S1353" s="40"/>
      <c r="T1353" s="40"/>
      <c r="U1353" s="40"/>
      <c r="V1353" s="40"/>
      <c r="W1353" s="40"/>
      <c r="X1353" s="40"/>
      <c r="Y1353" s="40"/>
      <c r="Z1353" s="40"/>
      <c r="AA1353" s="40"/>
      <c r="AB1353" s="40"/>
      <c r="AC1353" s="40"/>
      <c r="AD1353" s="40"/>
      <c r="AE1353" s="40"/>
      <c r="AF1353" s="40"/>
      <c r="AG1353" s="40"/>
      <c r="AH1353" s="40"/>
      <c r="AI1353" s="40"/>
      <c r="AJ1353" s="40"/>
      <c r="AK1353" s="40"/>
      <c r="AL1353" s="40"/>
      <c r="AM1353" s="40"/>
      <c r="AN1353" s="40"/>
      <c r="AO1353" s="40"/>
      <c r="AP1353" s="40"/>
      <c r="AQ1353" s="40"/>
      <c r="AR1353" s="40"/>
      <c r="AS1353" s="40"/>
      <c r="AT1353" s="40"/>
      <c r="AU1353" s="40"/>
      <c r="AV1353" s="108"/>
      <c r="AW1353" s="40"/>
      <c r="AX1353" s="40"/>
      <c r="AY1353" s="108"/>
      <c r="AZ1353" s="40"/>
      <c r="BA1353" s="40"/>
      <c r="BB1353" s="40"/>
      <c r="BC1353" s="40"/>
      <c r="BD1353" s="40"/>
      <c r="BE1353" s="40"/>
      <c r="BF1353" s="40"/>
      <c r="BG1353" s="40"/>
      <c r="BH1353" s="40"/>
      <c r="BI1353" s="40"/>
      <c r="BJ1353" s="40"/>
      <c r="BK1353" s="40"/>
      <c r="BL1353" s="62">
        <v>1</v>
      </c>
      <c r="BM1353" s="275">
        <v>3</v>
      </c>
      <c r="BN1353" s="62">
        <v>0.03</v>
      </c>
      <c r="BP1353" s="33" t="s">
        <v>602</v>
      </c>
    </row>
    <row r="1354" spans="1:68">
      <c r="A1354" s="33" t="str">
        <f>Database_Productkaarten[[#This Row],[Product]]&amp;", "&amp;Database_Productkaarten[[#This Row],[Levensfase]]</f>
        <v>Betontegel (Miscantes) 1000x1000x100 (hergebruik), D2</v>
      </c>
      <c r="B1354" s="33" t="s">
        <v>644</v>
      </c>
      <c r="C1354" t="s">
        <v>55</v>
      </c>
      <c r="D1354" s="33" t="s">
        <v>630</v>
      </c>
      <c r="E1354" s="33" t="s">
        <v>385</v>
      </c>
      <c r="F1354" s="33" t="s">
        <v>88</v>
      </c>
      <c r="G1354" s="33">
        <v>1</v>
      </c>
      <c r="H1354" s="33">
        <v>1</v>
      </c>
      <c r="I1354" s="33">
        <v>0.1</v>
      </c>
      <c r="L1354" s="33">
        <v>2.375</v>
      </c>
      <c r="M1354" s="271">
        <v>9.4899999999999998E-2</v>
      </c>
      <c r="N1354" s="41"/>
      <c r="O1354" s="33">
        <v>50</v>
      </c>
      <c r="P1354" s="40"/>
      <c r="Q1354" s="40"/>
      <c r="R1354" s="40"/>
      <c r="S1354" s="40"/>
      <c r="T1354" s="40"/>
      <c r="U1354" s="40"/>
      <c r="V1354" s="40"/>
      <c r="W1354" s="40"/>
      <c r="X1354" s="40"/>
      <c r="Y1354" s="40"/>
      <c r="Z1354" s="40"/>
      <c r="AA1354" s="40"/>
      <c r="AB1354" s="40"/>
      <c r="AC1354" s="40"/>
      <c r="AD1354" s="40"/>
      <c r="AE1354" s="40"/>
      <c r="AF1354" s="40"/>
      <c r="AG1354" s="40"/>
      <c r="AH1354" s="40"/>
      <c r="AI1354" s="40"/>
      <c r="AJ1354" s="40"/>
      <c r="AK1354" s="40"/>
      <c r="AL1354" s="40"/>
      <c r="AM1354" s="40"/>
      <c r="AN1354" s="40"/>
      <c r="AO1354" s="40"/>
      <c r="AP1354" s="40"/>
      <c r="AQ1354" s="40"/>
      <c r="AR1354" s="40"/>
      <c r="AS1354" s="40"/>
      <c r="AT1354" s="40"/>
      <c r="AU1354" s="40"/>
      <c r="AV1354" s="108"/>
      <c r="AW1354" s="40"/>
      <c r="AX1354" s="40"/>
      <c r="AY1354" s="108"/>
      <c r="AZ1354" s="40"/>
      <c r="BA1354" s="40"/>
      <c r="BB1354" s="40"/>
      <c r="BC1354" s="40"/>
      <c r="BD1354" s="40"/>
      <c r="BE1354" s="40"/>
      <c r="BF1354" s="40"/>
      <c r="BG1354" s="40"/>
      <c r="BH1354" s="40"/>
      <c r="BI1354" s="40"/>
      <c r="BJ1354" s="40"/>
      <c r="BK1354" s="40"/>
      <c r="BL1354" s="62">
        <v>1</v>
      </c>
      <c r="BM1354" s="275">
        <v>3</v>
      </c>
      <c r="BN1354" s="62">
        <v>0.03</v>
      </c>
      <c r="BP1354" s="33" t="s">
        <v>602</v>
      </c>
    </row>
    <row r="1355" spans="1:68">
      <c r="A1355" s="33" t="str">
        <f>Database_Productkaarten[[#This Row],[Product]]&amp;", "&amp;Database_Productkaarten[[#This Row],[Levensfase]]</f>
        <v>Betontegel (Miscantes) 1000x1000x120, Totaal</v>
      </c>
      <c r="B1355" s="33" t="s">
        <v>645</v>
      </c>
      <c r="C1355" t="s">
        <v>55</v>
      </c>
      <c r="D1355" s="33" t="s">
        <v>630</v>
      </c>
      <c r="E1355" s="33" t="s">
        <v>385</v>
      </c>
      <c r="F1355" s="33" t="s">
        <v>90</v>
      </c>
      <c r="G1355" s="33">
        <v>1</v>
      </c>
      <c r="H1355" s="33">
        <v>1</v>
      </c>
      <c r="I1355" s="33">
        <v>0.12</v>
      </c>
      <c r="L1355" s="33">
        <v>2.375</v>
      </c>
      <c r="M1355" s="271">
        <v>0.1148</v>
      </c>
      <c r="N1355" s="41"/>
      <c r="O1355" s="33">
        <v>50</v>
      </c>
      <c r="AV1355" s="316"/>
      <c r="AW1355" s="314"/>
      <c r="AX1355" s="314"/>
      <c r="AY1355" s="316"/>
      <c r="BL1355" s="62">
        <v>0.215</v>
      </c>
      <c r="BM1355" s="275">
        <v>3</v>
      </c>
      <c r="BN1355" s="62">
        <v>0.03</v>
      </c>
      <c r="BO1355" s="33" t="s">
        <v>642</v>
      </c>
      <c r="BP1355" s="33" t="s">
        <v>643</v>
      </c>
    </row>
    <row r="1356" spans="1:68">
      <c r="A1356" s="33" t="str">
        <f>Database_Productkaarten[[#This Row],[Product]]&amp;", "&amp;Database_Productkaarten[[#This Row],[Levensfase]]</f>
        <v>Betontegel (Miscantes) 1000x1000x120, A1</v>
      </c>
      <c r="B1356" s="33" t="s">
        <v>645</v>
      </c>
      <c r="C1356" t="s">
        <v>55</v>
      </c>
      <c r="D1356" s="33" t="s">
        <v>630</v>
      </c>
      <c r="E1356" s="33" t="s">
        <v>385</v>
      </c>
      <c r="F1356" s="33" t="s">
        <v>74</v>
      </c>
      <c r="G1356" s="33">
        <v>1</v>
      </c>
      <c r="H1356" s="33">
        <v>1</v>
      </c>
      <c r="I1356" s="33">
        <v>0.12</v>
      </c>
      <c r="L1356" s="33">
        <v>2.375</v>
      </c>
      <c r="M1356" s="271">
        <v>0.1148</v>
      </c>
      <c r="N1356" s="41">
        <v>0.65</v>
      </c>
      <c r="O1356" s="33">
        <v>50</v>
      </c>
      <c r="R1356" s="33">
        <v>7.22</v>
      </c>
      <c r="AV1356" s="316">
        <v>148</v>
      </c>
      <c r="AW1356" s="314"/>
      <c r="AX1356" s="314"/>
      <c r="AY1356" s="316">
        <v>64.400000000000006</v>
      </c>
      <c r="BL1356" s="62">
        <v>0.215</v>
      </c>
      <c r="BM1356" s="275">
        <v>3</v>
      </c>
      <c r="BN1356" s="62">
        <v>0.03</v>
      </c>
      <c r="BO1356" s="33" t="s">
        <v>642</v>
      </c>
      <c r="BP1356" s="33" t="s">
        <v>643</v>
      </c>
    </row>
    <row r="1357" spans="1:68">
      <c r="A1357" s="33" t="str">
        <f>Database_Productkaarten[[#This Row],[Product]]&amp;", "&amp;Database_Productkaarten[[#This Row],[Levensfase]]</f>
        <v>Betontegel (Miscantes) 1000x1000x120, A2</v>
      </c>
      <c r="B1357" s="33" t="s">
        <v>645</v>
      </c>
      <c r="C1357" t="s">
        <v>55</v>
      </c>
      <c r="D1357" s="33" t="s">
        <v>630</v>
      </c>
      <c r="E1357" s="33" t="s">
        <v>385</v>
      </c>
      <c r="F1357" s="33" t="s">
        <v>75</v>
      </c>
      <c r="G1357" s="33">
        <v>1</v>
      </c>
      <c r="H1357" s="33">
        <v>1</v>
      </c>
      <c r="I1357" s="33">
        <v>0.12</v>
      </c>
      <c r="L1357" s="33">
        <v>2.375</v>
      </c>
      <c r="M1357" s="271">
        <v>0.1148</v>
      </c>
      <c r="N1357" s="41"/>
      <c r="O1357" s="33">
        <v>50</v>
      </c>
      <c r="AV1357" s="316"/>
      <c r="AW1357" s="314"/>
      <c r="AX1357" s="314"/>
      <c r="AY1357" s="316"/>
      <c r="BL1357" s="62">
        <v>0.215</v>
      </c>
      <c r="BM1357" s="275">
        <v>3</v>
      </c>
      <c r="BN1357" s="62">
        <v>0.03</v>
      </c>
      <c r="BO1357" s="33" t="s">
        <v>642</v>
      </c>
      <c r="BP1357" s="33" t="s">
        <v>643</v>
      </c>
    </row>
    <row r="1358" spans="1:68">
      <c r="A1358" s="33" t="str">
        <f>Database_Productkaarten[[#This Row],[Product]]&amp;", "&amp;Database_Productkaarten[[#This Row],[Levensfase]]</f>
        <v>Betontegel (Miscantes) 1000x1000x120, A3</v>
      </c>
      <c r="B1358" s="33" t="s">
        <v>645</v>
      </c>
      <c r="C1358" t="s">
        <v>55</v>
      </c>
      <c r="D1358" s="33" t="s">
        <v>630</v>
      </c>
      <c r="E1358" s="33" t="s">
        <v>385</v>
      </c>
      <c r="F1358" s="33" t="s">
        <v>76</v>
      </c>
      <c r="G1358" s="33">
        <v>1</v>
      </c>
      <c r="H1358" s="33">
        <v>1</v>
      </c>
      <c r="I1358" s="33">
        <v>0.12</v>
      </c>
      <c r="L1358" s="33">
        <v>2.375</v>
      </c>
      <c r="M1358" s="271">
        <v>0.1148</v>
      </c>
      <c r="N1358" s="41"/>
      <c r="O1358" s="33">
        <v>50</v>
      </c>
      <c r="AV1358" s="316"/>
      <c r="AW1358" s="314"/>
      <c r="AX1358" s="314"/>
      <c r="AY1358" s="316"/>
      <c r="BL1358" s="62">
        <v>0.215</v>
      </c>
      <c r="BM1358" s="275">
        <v>3</v>
      </c>
      <c r="BN1358" s="62">
        <v>0.03</v>
      </c>
      <c r="BO1358" s="33" t="s">
        <v>642</v>
      </c>
      <c r="BP1358" s="33" t="s">
        <v>643</v>
      </c>
    </row>
    <row r="1359" spans="1:68">
      <c r="A1359" s="451" t="str">
        <f>Database_Productkaarten[[#This Row],[Product]]&amp;", "&amp;Database_Productkaarten[[#This Row],[Levensfase]]</f>
        <v>Betontegel (Miscantes) 1000x1000x120, A1-A3</v>
      </c>
      <c r="B1359" s="451" t="str">
        <f>B1358</f>
        <v>Betontegel (Miscantes) 1000x1000x120</v>
      </c>
      <c r="C1359" s="451" t="str">
        <f>C1358</f>
        <v>Elementenverhardingen</v>
      </c>
      <c r="D1359" s="451" t="str">
        <f>D1358</f>
        <v>Betontegel</v>
      </c>
      <c r="E1359" s="451" t="str">
        <f>E1358</f>
        <v>m2</v>
      </c>
      <c r="F1359" s="451" t="s">
        <v>77</v>
      </c>
      <c r="G1359" s="451">
        <f t="shared" ref="G1359:M1359" si="547">G1358</f>
        <v>1</v>
      </c>
      <c r="H1359" s="451">
        <f t="shared" si="547"/>
        <v>1</v>
      </c>
      <c r="I1359" s="451">
        <f t="shared" si="547"/>
        <v>0.12</v>
      </c>
      <c r="J1359" s="451"/>
      <c r="K1359" s="451"/>
      <c r="L1359" s="451">
        <f t="shared" si="547"/>
        <v>2.375</v>
      </c>
      <c r="M1359" s="454">
        <f t="shared" si="547"/>
        <v>0.1148</v>
      </c>
      <c r="N1359" s="452">
        <f>SUM(N1356:N1358)</f>
        <v>0.65</v>
      </c>
      <c r="O1359" s="33">
        <v>50</v>
      </c>
      <c r="P1359" s="453">
        <f t="shared" ref="P1359:BK1359" si="548">SUM(P1356:P1358)</f>
        <v>0</v>
      </c>
      <c r="Q1359" s="453">
        <f t="shared" si="548"/>
        <v>0</v>
      </c>
      <c r="R1359" s="453">
        <f t="shared" si="548"/>
        <v>7.22</v>
      </c>
      <c r="S1359" s="453">
        <f t="shared" si="548"/>
        <v>0</v>
      </c>
      <c r="T1359" s="453">
        <f t="shared" si="548"/>
        <v>0</v>
      </c>
      <c r="U1359" s="453">
        <f t="shared" si="548"/>
        <v>0</v>
      </c>
      <c r="V1359" s="453">
        <f t="shared" si="548"/>
        <v>0</v>
      </c>
      <c r="W1359" s="453">
        <f t="shared" si="548"/>
        <v>0</v>
      </c>
      <c r="X1359" s="453">
        <f t="shared" si="548"/>
        <v>0</v>
      </c>
      <c r="Y1359" s="453">
        <f t="shared" si="548"/>
        <v>0</v>
      </c>
      <c r="Z1359" s="453">
        <f t="shared" si="548"/>
        <v>0</v>
      </c>
      <c r="AA1359" s="453">
        <f t="shared" si="548"/>
        <v>0</v>
      </c>
      <c r="AB1359" s="453">
        <f t="shared" si="548"/>
        <v>0</v>
      </c>
      <c r="AC1359" s="453">
        <f t="shared" si="548"/>
        <v>0</v>
      </c>
      <c r="AD1359" s="453">
        <f t="shared" si="548"/>
        <v>0</v>
      </c>
      <c r="AE1359" s="453">
        <f t="shared" si="548"/>
        <v>0</v>
      </c>
      <c r="AF1359" s="453">
        <f t="shared" si="548"/>
        <v>0</v>
      </c>
      <c r="AG1359" s="453">
        <f t="shared" si="548"/>
        <v>0</v>
      </c>
      <c r="AH1359" s="453">
        <f t="shared" si="548"/>
        <v>0</v>
      </c>
      <c r="AI1359" s="453">
        <f t="shared" si="548"/>
        <v>0</v>
      </c>
      <c r="AJ1359" s="453">
        <f t="shared" si="548"/>
        <v>0</v>
      </c>
      <c r="AK1359" s="453">
        <f t="shared" si="548"/>
        <v>0</v>
      </c>
      <c r="AL1359" s="453">
        <f t="shared" si="548"/>
        <v>0</v>
      </c>
      <c r="AM1359" s="453">
        <f t="shared" si="548"/>
        <v>0</v>
      </c>
      <c r="AN1359" s="453">
        <f t="shared" si="548"/>
        <v>0</v>
      </c>
      <c r="AO1359" s="453">
        <f t="shared" si="548"/>
        <v>0</v>
      </c>
      <c r="AP1359" s="453">
        <f t="shared" si="548"/>
        <v>0</v>
      </c>
      <c r="AQ1359" s="453">
        <f t="shared" si="548"/>
        <v>0</v>
      </c>
      <c r="AR1359" s="453">
        <f t="shared" si="548"/>
        <v>0</v>
      </c>
      <c r="AS1359" s="453">
        <f t="shared" si="548"/>
        <v>0</v>
      </c>
      <c r="AT1359" s="453">
        <f t="shared" si="548"/>
        <v>0</v>
      </c>
      <c r="AU1359" s="453">
        <f t="shared" si="548"/>
        <v>0</v>
      </c>
      <c r="AV1359" s="317">
        <f t="shared" si="548"/>
        <v>148</v>
      </c>
      <c r="AW1359" s="317">
        <f t="shared" si="548"/>
        <v>0</v>
      </c>
      <c r="AX1359" s="317">
        <f t="shared" si="548"/>
        <v>0</v>
      </c>
      <c r="AY1359" s="317">
        <f t="shared" si="548"/>
        <v>64.400000000000006</v>
      </c>
      <c r="AZ1359" s="453">
        <f t="shared" si="548"/>
        <v>0</v>
      </c>
      <c r="BA1359" s="453">
        <f t="shared" si="548"/>
        <v>0</v>
      </c>
      <c r="BB1359" s="453">
        <f t="shared" si="548"/>
        <v>0</v>
      </c>
      <c r="BC1359" s="453">
        <f t="shared" si="548"/>
        <v>0</v>
      </c>
      <c r="BD1359" s="453">
        <f t="shared" si="548"/>
        <v>0</v>
      </c>
      <c r="BE1359" s="453">
        <f t="shared" si="548"/>
        <v>0</v>
      </c>
      <c r="BF1359" s="453">
        <f t="shared" si="548"/>
        <v>0</v>
      </c>
      <c r="BG1359" s="453">
        <f t="shared" si="548"/>
        <v>0</v>
      </c>
      <c r="BH1359" s="453">
        <f t="shared" si="548"/>
        <v>0</v>
      </c>
      <c r="BI1359" s="453">
        <f t="shared" si="548"/>
        <v>0</v>
      </c>
      <c r="BJ1359" s="453">
        <f t="shared" si="548"/>
        <v>0</v>
      </c>
      <c r="BK1359" s="453">
        <f t="shared" si="548"/>
        <v>0</v>
      </c>
      <c r="BL1359" s="62">
        <f>BL1358</f>
        <v>0.215</v>
      </c>
      <c r="BM1359" s="275">
        <f>BM1358</f>
        <v>3</v>
      </c>
      <c r="BN1359" s="62">
        <v>0.03</v>
      </c>
      <c r="BO1359" s="451" t="str">
        <f>BO1358</f>
        <v>NMD H83 Elementverharding V1.5</v>
      </c>
      <c r="BP1359" s="451"/>
    </row>
    <row r="1360" spans="1:68">
      <c r="A1360" s="33" t="str">
        <f>Database_Productkaarten[[#This Row],[Product]]&amp;", "&amp;Database_Productkaarten[[#This Row],[Levensfase]]</f>
        <v>Betontegel (Miscantes) 1000x1000x120, A4</v>
      </c>
      <c r="B1360" s="33" t="s">
        <v>645</v>
      </c>
      <c r="C1360" t="s">
        <v>55</v>
      </c>
      <c r="D1360" s="33" t="s">
        <v>630</v>
      </c>
      <c r="E1360" s="33" t="s">
        <v>385</v>
      </c>
      <c r="F1360" s="33" t="s">
        <v>78</v>
      </c>
      <c r="G1360" s="33">
        <v>1</v>
      </c>
      <c r="H1360" s="33">
        <v>1</v>
      </c>
      <c r="I1360" s="33">
        <v>0.12</v>
      </c>
      <c r="L1360" s="33">
        <v>2.375</v>
      </c>
      <c r="M1360" s="271">
        <v>0.1148</v>
      </c>
      <c r="N1360" s="41">
        <v>0.16</v>
      </c>
      <c r="O1360" s="33">
        <v>50</v>
      </c>
      <c r="R1360" s="33">
        <v>1.45</v>
      </c>
      <c r="AV1360" s="316">
        <v>0.39300000000000002</v>
      </c>
      <c r="AW1360" s="314"/>
      <c r="AX1360" s="314"/>
      <c r="AY1360" s="316">
        <v>25.2</v>
      </c>
      <c r="BL1360" s="62">
        <v>0.215</v>
      </c>
      <c r="BM1360" s="275">
        <v>3</v>
      </c>
      <c r="BN1360" s="62">
        <v>0.03</v>
      </c>
      <c r="BO1360" s="33" t="s">
        <v>642</v>
      </c>
      <c r="BP1360" s="33" t="s">
        <v>643</v>
      </c>
    </row>
    <row r="1361" spans="1:68">
      <c r="A1361" s="33" t="str">
        <f>Database_Productkaarten[[#This Row],[Product]]&amp;", "&amp;Database_Productkaarten[[#This Row],[Levensfase]]</f>
        <v>Betontegel (Miscantes) 1000x1000x120, A5</v>
      </c>
      <c r="B1361" s="33" t="s">
        <v>645</v>
      </c>
      <c r="C1361" t="s">
        <v>55</v>
      </c>
      <c r="D1361" s="33" t="s">
        <v>630</v>
      </c>
      <c r="E1361" s="33" t="s">
        <v>385</v>
      </c>
      <c r="F1361" s="33" t="s">
        <v>79</v>
      </c>
      <c r="G1361" s="33">
        <v>1</v>
      </c>
      <c r="H1361" s="33">
        <v>1</v>
      </c>
      <c r="I1361" s="33">
        <v>0.12</v>
      </c>
      <c r="L1361" s="33">
        <v>2.375</v>
      </c>
      <c r="M1361" s="271">
        <v>0.1148</v>
      </c>
      <c r="N1361" s="41">
        <v>0.65</v>
      </c>
      <c r="O1361" s="33">
        <v>50</v>
      </c>
      <c r="R1361" s="33">
        <v>6.98</v>
      </c>
      <c r="AV1361" s="316">
        <v>5.21</v>
      </c>
      <c r="AW1361" s="314"/>
      <c r="AX1361" s="314"/>
      <c r="AY1361" s="316">
        <v>105</v>
      </c>
      <c r="BL1361" s="62">
        <v>0.215</v>
      </c>
      <c r="BM1361" s="275">
        <v>3</v>
      </c>
      <c r="BN1361" s="62">
        <v>0.03</v>
      </c>
      <c r="BO1361" s="33" t="s">
        <v>642</v>
      </c>
      <c r="BP1361" s="33" t="s">
        <v>643</v>
      </c>
    </row>
    <row r="1362" spans="1:68">
      <c r="A1362" s="33" t="str">
        <f>Database_Productkaarten[[#This Row],[Product]]&amp;", "&amp;Database_Productkaarten[[#This Row],[Levensfase]]</f>
        <v>Betontegel (Miscantes) 1000x1000x120, B1</v>
      </c>
      <c r="B1362" s="33" t="s">
        <v>645</v>
      </c>
      <c r="C1362" t="s">
        <v>55</v>
      </c>
      <c r="D1362" s="33" t="s">
        <v>630</v>
      </c>
      <c r="E1362" s="33" t="s">
        <v>385</v>
      </c>
      <c r="F1362" s="33" t="s">
        <v>80</v>
      </c>
      <c r="G1362" s="33">
        <v>1</v>
      </c>
      <c r="H1362" s="33">
        <v>1</v>
      </c>
      <c r="I1362" s="33">
        <v>0.12</v>
      </c>
      <c r="L1362" s="33">
        <v>2.375</v>
      </c>
      <c r="M1362" s="271">
        <v>0.1148</v>
      </c>
      <c r="N1362" s="41"/>
      <c r="O1362" s="33">
        <v>50</v>
      </c>
      <c r="AV1362" s="316"/>
      <c r="AW1362" s="314"/>
      <c r="AX1362" s="314"/>
      <c r="AY1362" s="316"/>
      <c r="BL1362" s="62">
        <v>0.215</v>
      </c>
      <c r="BM1362" s="275">
        <v>3</v>
      </c>
      <c r="BN1362" s="62">
        <v>0.03</v>
      </c>
      <c r="BO1362" s="33" t="s">
        <v>642</v>
      </c>
      <c r="BP1362" s="33" t="s">
        <v>643</v>
      </c>
    </row>
    <row r="1363" spans="1:68">
      <c r="A1363" s="33" t="str">
        <f>Database_Productkaarten[[#This Row],[Product]]&amp;", "&amp;Database_Productkaarten[[#This Row],[Levensfase]]</f>
        <v>Betontegel (Miscantes) 1000x1000x120, C1</v>
      </c>
      <c r="B1363" s="33" t="s">
        <v>645</v>
      </c>
      <c r="C1363" t="s">
        <v>55</v>
      </c>
      <c r="D1363" s="33" t="s">
        <v>630</v>
      </c>
      <c r="E1363" s="33" t="s">
        <v>385</v>
      </c>
      <c r="F1363" s="33" t="s">
        <v>83</v>
      </c>
      <c r="G1363" s="33">
        <v>1</v>
      </c>
      <c r="H1363" s="33">
        <v>1</v>
      </c>
      <c r="I1363" s="33">
        <v>0.12</v>
      </c>
      <c r="L1363" s="33">
        <v>2.375</v>
      </c>
      <c r="M1363" s="271">
        <v>0.1148</v>
      </c>
      <c r="N1363" s="41">
        <v>0.16</v>
      </c>
      <c r="O1363" s="33">
        <v>50</v>
      </c>
      <c r="R1363" s="33">
        <v>1.68</v>
      </c>
      <c r="AV1363" s="316">
        <v>0.186</v>
      </c>
      <c r="AW1363" s="314"/>
      <c r="AX1363" s="314"/>
      <c r="AY1363" s="316">
        <v>25.6</v>
      </c>
      <c r="BL1363" s="62">
        <v>0.215</v>
      </c>
      <c r="BM1363" s="275">
        <v>3</v>
      </c>
      <c r="BN1363" s="62">
        <v>0.03</v>
      </c>
      <c r="BO1363" s="33" t="s">
        <v>642</v>
      </c>
      <c r="BP1363" s="33" t="s">
        <v>643</v>
      </c>
    </row>
    <row r="1364" spans="1:68">
      <c r="A1364" s="33" t="str">
        <f>Database_Productkaarten[[#This Row],[Product]]&amp;", "&amp;Database_Productkaarten[[#This Row],[Levensfase]]</f>
        <v>Betontegel (Miscantes) 1000x1000x120, C2</v>
      </c>
      <c r="B1364" s="33" t="s">
        <v>645</v>
      </c>
      <c r="C1364" t="s">
        <v>55</v>
      </c>
      <c r="D1364" s="33" t="s">
        <v>630</v>
      </c>
      <c r="E1364" s="33" t="s">
        <v>385</v>
      </c>
      <c r="F1364" s="33" t="s">
        <v>84</v>
      </c>
      <c r="G1364" s="33">
        <v>1</v>
      </c>
      <c r="H1364" s="33">
        <v>1</v>
      </c>
      <c r="I1364" s="33">
        <v>0.12</v>
      </c>
      <c r="L1364" s="33">
        <v>2.375</v>
      </c>
      <c r="M1364" s="271">
        <v>0.1148</v>
      </c>
      <c r="N1364" s="41">
        <v>0.05</v>
      </c>
      <c r="O1364" s="33">
        <v>50</v>
      </c>
      <c r="R1364" s="33">
        <v>0.49</v>
      </c>
      <c r="AV1364" s="316">
        <v>0.13200000000000001</v>
      </c>
      <c r="AW1364" s="314"/>
      <c r="AX1364" s="314"/>
      <c r="AY1364" s="316">
        <v>8.4700000000000006</v>
      </c>
      <c r="BL1364" s="62">
        <v>0.215</v>
      </c>
      <c r="BM1364" s="275">
        <v>3</v>
      </c>
      <c r="BN1364" s="62">
        <v>0.03</v>
      </c>
      <c r="BO1364" s="33" t="s">
        <v>642</v>
      </c>
      <c r="BP1364" s="33" t="s">
        <v>643</v>
      </c>
    </row>
    <row r="1365" spans="1:68">
      <c r="A1365" s="33" t="str">
        <f>Database_Productkaarten[[#This Row],[Product]]&amp;", "&amp;Database_Productkaarten[[#This Row],[Levensfase]]</f>
        <v>Betontegel (Miscantes) 1000x1000x120, C3</v>
      </c>
      <c r="B1365" s="33" t="s">
        <v>645</v>
      </c>
      <c r="C1365" t="s">
        <v>55</v>
      </c>
      <c r="D1365" s="33" t="s">
        <v>630</v>
      </c>
      <c r="E1365" s="33" t="s">
        <v>385</v>
      </c>
      <c r="F1365" s="33" t="s">
        <v>85</v>
      </c>
      <c r="G1365" s="33">
        <v>1</v>
      </c>
      <c r="H1365" s="33">
        <v>1</v>
      </c>
      <c r="I1365" s="33">
        <v>0.12</v>
      </c>
      <c r="L1365" s="33">
        <v>2.375</v>
      </c>
      <c r="M1365" s="271">
        <v>0.1148</v>
      </c>
      <c r="N1365" s="41">
        <v>0.02</v>
      </c>
      <c r="O1365" s="33">
        <v>50</v>
      </c>
      <c r="R1365" s="33">
        <v>0.184</v>
      </c>
      <c r="AV1365" s="316">
        <v>0.14799999999999999</v>
      </c>
      <c r="AW1365" s="314"/>
      <c r="AX1365" s="314"/>
      <c r="AY1365" s="316">
        <v>2.76</v>
      </c>
      <c r="BL1365" s="62">
        <v>0.215</v>
      </c>
      <c r="BM1365" s="275">
        <v>3</v>
      </c>
      <c r="BN1365" s="62">
        <v>0.03</v>
      </c>
      <c r="BO1365" s="33" t="s">
        <v>642</v>
      </c>
      <c r="BP1365" s="33" t="s">
        <v>643</v>
      </c>
    </row>
    <row r="1366" spans="1:68">
      <c r="A1366" s="33" t="str">
        <f>Database_Productkaarten[[#This Row],[Product]]&amp;", "&amp;Database_Productkaarten[[#This Row],[Levensfase]]</f>
        <v>Betontegel (Miscantes) 1000x1000x120, C4</v>
      </c>
      <c r="B1366" s="33" t="s">
        <v>645</v>
      </c>
      <c r="C1366" t="s">
        <v>55</v>
      </c>
      <c r="D1366" s="33" t="s">
        <v>630</v>
      </c>
      <c r="E1366" s="33" t="s">
        <v>385</v>
      </c>
      <c r="F1366" s="33" t="s">
        <v>86</v>
      </c>
      <c r="G1366" s="33">
        <v>1</v>
      </c>
      <c r="H1366" s="33">
        <v>1</v>
      </c>
      <c r="I1366" s="33">
        <v>0.12</v>
      </c>
      <c r="L1366" s="33">
        <v>2.375</v>
      </c>
      <c r="M1366" s="271">
        <v>0.1148</v>
      </c>
      <c r="N1366" s="41">
        <v>0</v>
      </c>
      <c r="O1366" s="33">
        <v>50</v>
      </c>
      <c r="R1366" s="33">
        <v>6.0600000000000003E-3</v>
      </c>
      <c r="AV1366" s="316">
        <v>1.5200000000000001E-3</v>
      </c>
      <c r="AW1366" s="314"/>
      <c r="AX1366" s="314"/>
      <c r="AY1366" s="316">
        <v>0.19800000000000001</v>
      </c>
      <c r="BL1366" s="62">
        <v>0.215</v>
      </c>
      <c r="BM1366" s="275">
        <v>3</v>
      </c>
      <c r="BN1366" s="62">
        <v>0.03</v>
      </c>
      <c r="BO1366" s="33" t="s">
        <v>642</v>
      </c>
      <c r="BP1366" s="33" t="s">
        <v>643</v>
      </c>
    </row>
    <row r="1367" spans="1:68">
      <c r="A1367" s="33" t="str">
        <f>Database_Productkaarten[[#This Row],[Product]]&amp;", "&amp;Database_Productkaarten[[#This Row],[Levensfase]]</f>
        <v>Betontegel (Miscantes) 1000x1000x120, D</v>
      </c>
      <c r="B1367" s="33" t="str">
        <f>B1368</f>
        <v>Betontegel (Miscantes) 1000x1000x120</v>
      </c>
      <c r="C1367" s="33" t="str">
        <f>C1368</f>
        <v>Elementenverhardingen</v>
      </c>
      <c r="D1367" s="33" t="str">
        <f>D1368</f>
        <v>Betontegel</v>
      </c>
      <c r="E1367" s="33" t="str">
        <f>E1368</f>
        <v>m2</v>
      </c>
      <c r="F1367" s="33" t="s">
        <v>89</v>
      </c>
      <c r="G1367" s="33">
        <f t="shared" ref="G1367:M1367" si="549">G1368</f>
        <v>1</v>
      </c>
      <c r="H1367" s="33">
        <f t="shared" si="549"/>
        <v>1</v>
      </c>
      <c r="I1367" s="33">
        <f t="shared" si="549"/>
        <v>0.12</v>
      </c>
      <c r="L1367" s="33">
        <f t="shared" si="549"/>
        <v>2.375</v>
      </c>
      <c r="M1367" s="45">
        <f t="shared" si="549"/>
        <v>0.1148</v>
      </c>
      <c r="N1367" s="41">
        <f>SUM(N1368:N1369)</f>
        <v>-0.04</v>
      </c>
      <c r="O1367" s="33">
        <v>50</v>
      </c>
      <c r="P1367" s="40">
        <f>SUM(P1368:P1369)</f>
        <v>0</v>
      </c>
      <c r="Q1367" s="40">
        <f>SUM(Q1368:Q1369)</f>
        <v>0</v>
      </c>
      <c r="R1367" s="40">
        <f>SUM(R1368:R1369)</f>
        <v>-0.311</v>
      </c>
      <c r="S1367" s="40">
        <f t="shared" ref="S1367:BK1367" si="550">SUM(S1368:S1369)</f>
        <v>0</v>
      </c>
      <c r="T1367" s="40">
        <f t="shared" si="550"/>
        <v>0</v>
      </c>
      <c r="U1367" s="40">
        <f t="shared" si="550"/>
        <v>0</v>
      </c>
      <c r="V1367" s="40">
        <f t="shared" si="550"/>
        <v>0</v>
      </c>
      <c r="W1367" s="40">
        <f t="shared" si="550"/>
        <v>0</v>
      </c>
      <c r="X1367" s="40">
        <f t="shared" si="550"/>
        <v>0</v>
      </c>
      <c r="Y1367" s="40">
        <f t="shared" si="550"/>
        <v>0</v>
      </c>
      <c r="Z1367" s="40">
        <f t="shared" si="550"/>
        <v>0</v>
      </c>
      <c r="AA1367" s="40">
        <f t="shared" si="550"/>
        <v>0</v>
      </c>
      <c r="AB1367" s="40">
        <f t="shared" si="550"/>
        <v>0</v>
      </c>
      <c r="AC1367" s="40">
        <f t="shared" si="550"/>
        <v>0</v>
      </c>
      <c r="AD1367" s="40">
        <f t="shared" si="550"/>
        <v>0</v>
      </c>
      <c r="AE1367" s="40">
        <f t="shared" si="550"/>
        <v>0</v>
      </c>
      <c r="AF1367" s="40">
        <f t="shared" si="550"/>
        <v>0</v>
      </c>
      <c r="AG1367" s="40">
        <f t="shared" si="550"/>
        <v>0</v>
      </c>
      <c r="AH1367" s="40">
        <f t="shared" si="550"/>
        <v>0</v>
      </c>
      <c r="AI1367" s="40">
        <f t="shared" si="550"/>
        <v>0</v>
      </c>
      <c r="AJ1367" s="40">
        <f t="shared" si="550"/>
        <v>0</v>
      </c>
      <c r="AK1367" s="40">
        <f t="shared" si="550"/>
        <v>0</v>
      </c>
      <c r="AL1367" s="40">
        <f t="shared" si="550"/>
        <v>0</v>
      </c>
      <c r="AM1367" s="40">
        <f t="shared" si="550"/>
        <v>0</v>
      </c>
      <c r="AN1367" s="40">
        <f t="shared" si="550"/>
        <v>0</v>
      </c>
      <c r="AO1367" s="40">
        <f t="shared" si="550"/>
        <v>0</v>
      </c>
      <c r="AP1367" s="40">
        <f t="shared" si="550"/>
        <v>0</v>
      </c>
      <c r="AQ1367" s="40">
        <f t="shared" si="550"/>
        <v>0</v>
      </c>
      <c r="AR1367" s="40">
        <f t="shared" si="550"/>
        <v>0</v>
      </c>
      <c r="AS1367" s="40">
        <f t="shared" si="550"/>
        <v>0</v>
      </c>
      <c r="AT1367" s="40">
        <f t="shared" si="550"/>
        <v>0</v>
      </c>
      <c r="AU1367" s="40">
        <f t="shared" si="550"/>
        <v>0</v>
      </c>
      <c r="AV1367" s="317">
        <f t="shared" si="550"/>
        <v>-0.26300000000000001</v>
      </c>
      <c r="AW1367" s="317">
        <f t="shared" si="550"/>
        <v>0</v>
      </c>
      <c r="AX1367" s="317">
        <f t="shared" si="550"/>
        <v>0</v>
      </c>
      <c r="AY1367" s="317">
        <f t="shared" si="550"/>
        <v>-4.3</v>
      </c>
      <c r="AZ1367" s="40">
        <f t="shared" si="550"/>
        <v>0</v>
      </c>
      <c r="BA1367" s="40">
        <f t="shared" si="550"/>
        <v>0</v>
      </c>
      <c r="BB1367" s="40">
        <f t="shared" si="550"/>
        <v>0</v>
      </c>
      <c r="BC1367" s="40">
        <f t="shared" si="550"/>
        <v>0</v>
      </c>
      <c r="BD1367" s="40">
        <f t="shared" si="550"/>
        <v>0</v>
      </c>
      <c r="BE1367" s="40">
        <f t="shared" si="550"/>
        <v>0</v>
      </c>
      <c r="BF1367" s="40">
        <f t="shared" si="550"/>
        <v>0</v>
      </c>
      <c r="BG1367" s="40">
        <f t="shared" si="550"/>
        <v>0</v>
      </c>
      <c r="BH1367" s="40">
        <f t="shared" si="550"/>
        <v>0</v>
      </c>
      <c r="BI1367" s="40">
        <f t="shared" si="550"/>
        <v>0</v>
      </c>
      <c r="BJ1367" s="40">
        <f t="shared" si="550"/>
        <v>0</v>
      </c>
      <c r="BK1367" s="40">
        <f t="shared" si="550"/>
        <v>0</v>
      </c>
      <c r="BL1367" s="62">
        <f>BL1368</f>
        <v>0.215</v>
      </c>
      <c r="BM1367" s="275">
        <f>BM1368</f>
        <v>3</v>
      </c>
      <c r="BN1367" s="62">
        <v>0.03</v>
      </c>
      <c r="BO1367" s="33" t="str">
        <f>BO1368</f>
        <v>NMD H83 Elementverharding V1.5</v>
      </c>
    </row>
    <row r="1368" spans="1:68">
      <c r="A1368" s="33" t="str">
        <f>Database_Productkaarten[[#This Row],[Product]]&amp;", "&amp;Database_Productkaarten[[#This Row],[Levensfase]]</f>
        <v>Betontegel (Miscantes) 1000x1000x120, D1</v>
      </c>
      <c r="B1368" s="33" t="s">
        <v>645</v>
      </c>
      <c r="C1368" t="s">
        <v>55</v>
      </c>
      <c r="D1368" s="33" t="s">
        <v>630</v>
      </c>
      <c r="E1368" s="33" t="s">
        <v>385</v>
      </c>
      <c r="F1368" s="33" t="s">
        <v>87</v>
      </c>
      <c r="G1368" s="33">
        <v>1</v>
      </c>
      <c r="H1368" s="33">
        <v>1</v>
      </c>
      <c r="I1368" s="33">
        <v>0.12</v>
      </c>
      <c r="L1368" s="33">
        <v>2.375</v>
      </c>
      <c r="M1368" s="271">
        <v>0.1148</v>
      </c>
      <c r="N1368" s="41">
        <v>-0.04</v>
      </c>
      <c r="O1368" s="33">
        <v>50</v>
      </c>
      <c r="R1368" s="33">
        <v>-0.311</v>
      </c>
      <c r="AV1368" s="316">
        <v>-0.26300000000000001</v>
      </c>
      <c r="AW1368" s="314"/>
      <c r="AX1368" s="314"/>
      <c r="AY1368" s="316">
        <v>-4.3</v>
      </c>
      <c r="BL1368" s="62">
        <v>0.215</v>
      </c>
      <c r="BM1368" s="275">
        <v>3</v>
      </c>
      <c r="BN1368" s="62">
        <v>0.03</v>
      </c>
      <c r="BO1368" s="33" t="s">
        <v>642</v>
      </c>
      <c r="BP1368" s="33" t="s">
        <v>643</v>
      </c>
    </row>
    <row r="1369" spans="1:68">
      <c r="A1369" s="33" t="str">
        <f>Database_Productkaarten[[#This Row],[Product]]&amp;", "&amp;Database_Productkaarten[[#This Row],[Levensfase]]</f>
        <v>Betontegel (Miscantes) 1000x1000x120, D2</v>
      </c>
      <c r="B1369" s="33" t="s">
        <v>645</v>
      </c>
      <c r="C1369" t="s">
        <v>55</v>
      </c>
      <c r="D1369" s="33" t="s">
        <v>630</v>
      </c>
      <c r="E1369" s="33" t="s">
        <v>385</v>
      </c>
      <c r="F1369" s="33" t="s">
        <v>88</v>
      </c>
      <c r="G1369" s="33">
        <v>1</v>
      </c>
      <c r="H1369" s="33">
        <v>1</v>
      </c>
      <c r="I1369" s="33">
        <v>0.12</v>
      </c>
      <c r="L1369" s="33">
        <v>2.375</v>
      </c>
      <c r="M1369" s="271">
        <v>0.1148</v>
      </c>
      <c r="N1369" s="41"/>
      <c r="O1369" s="33">
        <v>50</v>
      </c>
      <c r="AV1369" s="316"/>
      <c r="AW1369" s="314"/>
      <c r="AX1369" s="314"/>
      <c r="AY1369" s="316"/>
      <c r="BL1369" s="62">
        <v>0.215</v>
      </c>
      <c r="BM1369" s="275">
        <v>3</v>
      </c>
      <c r="BN1369" s="62">
        <v>0.03</v>
      </c>
      <c r="BO1369" s="33" t="s">
        <v>642</v>
      </c>
      <c r="BP1369" s="33" t="s">
        <v>643</v>
      </c>
    </row>
    <row r="1370" spans="1:68">
      <c r="A1370" s="33" t="str">
        <f>Database_Productkaarten[[#This Row],[Product]]&amp;", "&amp;Database_Productkaarten[[#This Row],[Levensfase]]</f>
        <v>Betontegel (Miscantes) 1000x1000x120 (hergebruik), Totaal</v>
      </c>
      <c r="B1370" s="33" t="s">
        <v>646</v>
      </c>
      <c r="C1370" t="s">
        <v>55</v>
      </c>
      <c r="D1370" s="33" t="s">
        <v>630</v>
      </c>
      <c r="E1370" s="33" t="s">
        <v>385</v>
      </c>
      <c r="F1370" s="33" t="s">
        <v>90</v>
      </c>
      <c r="G1370" s="33">
        <v>1</v>
      </c>
      <c r="H1370" s="33">
        <v>1</v>
      </c>
      <c r="I1370" s="33">
        <v>0.12</v>
      </c>
      <c r="L1370" s="33">
        <v>2.375</v>
      </c>
      <c r="M1370" s="271">
        <v>0.1148</v>
      </c>
      <c r="N1370" s="41">
        <f>SUM(N1374:N1382)</f>
        <v>1.105</v>
      </c>
      <c r="O1370" s="33">
        <v>50</v>
      </c>
      <c r="P1370" s="163">
        <f t="shared" ref="P1370:Z1370" si="551">SUM(P1374:P1382)</f>
        <v>0</v>
      </c>
      <c r="Q1370" s="163">
        <f t="shared" si="551"/>
        <v>0</v>
      </c>
      <c r="R1370" s="163">
        <f t="shared" si="551"/>
        <v>11.512059999999998</v>
      </c>
      <c r="S1370" s="163">
        <f t="shared" si="551"/>
        <v>0</v>
      </c>
      <c r="T1370" s="163">
        <f t="shared" si="551"/>
        <v>0</v>
      </c>
      <c r="U1370" s="163">
        <f t="shared" si="551"/>
        <v>0</v>
      </c>
      <c r="V1370" s="163">
        <f t="shared" si="551"/>
        <v>0</v>
      </c>
      <c r="W1370" s="163">
        <f t="shared" si="551"/>
        <v>0</v>
      </c>
      <c r="X1370" s="163">
        <f t="shared" si="551"/>
        <v>0</v>
      </c>
      <c r="Y1370" s="163">
        <f t="shared" si="551"/>
        <v>0</v>
      </c>
      <c r="Z1370" s="163">
        <f t="shared" si="551"/>
        <v>0</v>
      </c>
      <c r="AA1370" s="40"/>
      <c r="AB1370" s="40"/>
      <c r="AC1370" s="40"/>
      <c r="AD1370" s="40"/>
      <c r="AE1370" s="40"/>
      <c r="AF1370" s="40"/>
      <c r="AG1370" s="40"/>
      <c r="AH1370" s="40"/>
      <c r="AI1370" s="40"/>
      <c r="AJ1370" s="40"/>
      <c r="AK1370" s="40"/>
      <c r="AL1370" s="40"/>
      <c r="AM1370" s="40"/>
      <c r="AN1370" s="40"/>
      <c r="AO1370" s="40"/>
      <c r="AP1370" s="40"/>
      <c r="AQ1370" s="40"/>
      <c r="AR1370" s="40"/>
      <c r="AS1370" s="40"/>
      <c r="AT1370" s="40"/>
      <c r="AU1370" s="40"/>
      <c r="AV1370" s="163">
        <f>SUM(AV1374:AV1382)</f>
        <v>20.870519999999999</v>
      </c>
      <c r="AW1370" s="40"/>
      <c r="AX1370" s="40"/>
      <c r="AY1370" s="163">
        <f>SUM(AY1374:AY1382)</f>
        <v>173.66799999999998</v>
      </c>
      <c r="AZ1370" s="40"/>
      <c r="BA1370" s="40"/>
      <c r="BB1370" s="40"/>
      <c r="BC1370" s="163">
        <f t="shared" ref="BC1370:BE1370" si="552">SUM(BC1374:BC1382)</f>
        <v>0</v>
      </c>
      <c r="BD1370" s="163">
        <f t="shared" si="552"/>
        <v>0</v>
      </c>
      <c r="BE1370" s="163">
        <f t="shared" si="552"/>
        <v>0</v>
      </c>
      <c r="BF1370" s="40"/>
      <c r="BG1370" s="40"/>
      <c r="BH1370" s="40"/>
      <c r="BI1370" s="40"/>
      <c r="BJ1370" s="40"/>
      <c r="BK1370" s="40"/>
      <c r="BL1370" s="62">
        <v>1</v>
      </c>
      <c r="BM1370" s="275">
        <v>3</v>
      </c>
      <c r="BN1370" s="62">
        <v>0.03</v>
      </c>
      <c r="BP1370" s="33" t="s">
        <v>602</v>
      </c>
    </row>
    <row r="1371" spans="1:68">
      <c r="A1371" s="33" t="str">
        <f>Database_Productkaarten[[#This Row],[Product]]&amp;", "&amp;Database_Productkaarten[[#This Row],[Levensfase]]</f>
        <v>Betontegel (Miscantes) 1000x1000x120 (hergebruik), A1</v>
      </c>
      <c r="B1371" s="33" t="s">
        <v>646</v>
      </c>
      <c r="C1371" t="s">
        <v>55</v>
      </c>
      <c r="D1371" s="33" t="s">
        <v>630</v>
      </c>
      <c r="E1371" s="33" t="s">
        <v>385</v>
      </c>
      <c r="F1371" s="33" t="s">
        <v>74</v>
      </c>
      <c r="G1371" s="33">
        <v>1</v>
      </c>
      <c r="H1371" s="33">
        <v>1</v>
      </c>
      <c r="I1371" s="33">
        <v>0.12</v>
      </c>
      <c r="L1371" s="33">
        <v>2.375</v>
      </c>
      <c r="M1371" s="271">
        <v>0.1148</v>
      </c>
      <c r="N1371" s="41">
        <v>0</v>
      </c>
      <c r="O1371" s="33">
        <v>50</v>
      </c>
      <c r="P1371" s="163">
        <v>0</v>
      </c>
      <c r="Q1371" s="163">
        <v>0</v>
      </c>
      <c r="R1371" s="163">
        <v>0</v>
      </c>
      <c r="S1371" s="163">
        <v>0</v>
      </c>
      <c r="T1371" s="163">
        <v>0</v>
      </c>
      <c r="U1371" s="163">
        <v>0</v>
      </c>
      <c r="V1371" s="163">
        <v>0</v>
      </c>
      <c r="W1371" s="163">
        <v>0</v>
      </c>
      <c r="X1371" s="163">
        <v>0</v>
      </c>
      <c r="Y1371" s="163">
        <v>0</v>
      </c>
      <c r="Z1371" s="163">
        <v>0</v>
      </c>
      <c r="AA1371" s="40"/>
      <c r="AB1371" s="40"/>
      <c r="AC1371" s="40"/>
      <c r="AD1371" s="40"/>
      <c r="AE1371" s="40"/>
      <c r="AF1371" s="40"/>
      <c r="AG1371" s="40"/>
      <c r="AH1371" s="40"/>
      <c r="AI1371" s="40"/>
      <c r="AJ1371" s="40"/>
      <c r="AK1371" s="40"/>
      <c r="AL1371" s="40"/>
      <c r="AM1371" s="40"/>
      <c r="AN1371" s="40"/>
      <c r="AO1371" s="40"/>
      <c r="AP1371" s="40"/>
      <c r="AQ1371" s="40"/>
      <c r="AR1371" s="40"/>
      <c r="AS1371" s="40"/>
      <c r="AT1371" s="40"/>
      <c r="AU1371" s="40"/>
      <c r="AV1371" s="163">
        <v>0</v>
      </c>
      <c r="AW1371" s="40"/>
      <c r="AX1371" s="40"/>
      <c r="AY1371" s="163">
        <v>0</v>
      </c>
      <c r="AZ1371" s="40"/>
      <c r="BA1371" s="40"/>
      <c r="BB1371" s="40"/>
      <c r="BC1371" s="163">
        <v>0</v>
      </c>
      <c r="BD1371" s="163">
        <v>0</v>
      </c>
      <c r="BE1371" s="163">
        <v>0</v>
      </c>
      <c r="BF1371" s="40"/>
      <c r="BG1371" s="40"/>
      <c r="BH1371" s="40"/>
      <c r="BI1371" s="40"/>
      <c r="BJ1371" s="40"/>
      <c r="BK1371" s="40"/>
      <c r="BL1371" s="62">
        <v>1</v>
      </c>
      <c r="BM1371" s="275">
        <v>3</v>
      </c>
      <c r="BN1371" s="62">
        <v>0.03</v>
      </c>
      <c r="BP1371" s="33" t="s">
        <v>602</v>
      </c>
    </row>
    <row r="1372" spans="1:68">
      <c r="A1372" s="33" t="str">
        <f>Database_Productkaarten[[#This Row],[Product]]&amp;", "&amp;Database_Productkaarten[[#This Row],[Levensfase]]</f>
        <v>Betontegel (Miscantes) 1000x1000x120 (hergebruik), A2</v>
      </c>
      <c r="B1372" s="33" t="s">
        <v>646</v>
      </c>
      <c r="C1372" t="s">
        <v>55</v>
      </c>
      <c r="D1372" s="33" t="s">
        <v>630</v>
      </c>
      <c r="E1372" s="33" t="s">
        <v>385</v>
      </c>
      <c r="F1372" s="33" t="s">
        <v>75</v>
      </c>
      <c r="G1372" s="33">
        <v>1</v>
      </c>
      <c r="H1372" s="33">
        <v>1</v>
      </c>
      <c r="I1372" s="33">
        <v>0.12</v>
      </c>
      <c r="L1372" s="33">
        <v>2.375</v>
      </c>
      <c r="M1372" s="271">
        <v>0.1148</v>
      </c>
      <c r="N1372" s="41">
        <v>0</v>
      </c>
      <c r="O1372" s="33">
        <v>50</v>
      </c>
      <c r="P1372" s="163">
        <v>0</v>
      </c>
      <c r="Q1372" s="163">
        <v>0</v>
      </c>
      <c r="R1372" s="163">
        <v>0</v>
      </c>
      <c r="S1372" s="163">
        <v>0</v>
      </c>
      <c r="T1372" s="163">
        <v>0</v>
      </c>
      <c r="U1372" s="163">
        <v>0</v>
      </c>
      <c r="V1372" s="163">
        <v>0</v>
      </c>
      <c r="W1372" s="163">
        <v>0</v>
      </c>
      <c r="X1372" s="163">
        <v>0</v>
      </c>
      <c r="Y1372" s="163">
        <v>0</v>
      </c>
      <c r="Z1372" s="163">
        <v>0</v>
      </c>
      <c r="AA1372" s="40"/>
      <c r="AB1372" s="40"/>
      <c r="AC1372" s="40"/>
      <c r="AD1372" s="40"/>
      <c r="AE1372" s="40"/>
      <c r="AF1372" s="40"/>
      <c r="AG1372" s="40"/>
      <c r="AH1372" s="40"/>
      <c r="AI1372" s="40"/>
      <c r="AJ1372" s="40"/>
      <c r="AK1372" s="40"/>
      <c r="AL1372" s="40"/>
      <c r="AM1372" s="40"/>
      <c r="AN1372" s="40"/>
      <c r="AO1372" s="40"/>
      <c r="AP1372" s="40"/>
      <c r="AQ1372" s="40"/>
      <c r="AR1372" s="40"/>
      <c r="AS1372" s="40"/>
      <c r="AT1372" s="40"/>
      <c r="AU1372" s="40"/>
      <c r="AV1372" s="163">
        <v>0</v>
      </c>
      <c r="AW1372" s="40"/>
      <c r="AX1372" s="40"/>
      <c r="AY1372" s="163">
        <v>0</v>
      </c>
      <c r="AZ1372" s="40"/>
      <c r="BA1372" s="40"/>
      <c r="BB1372" s="40"/>
      <c r="BC1372" s="163">
        <v>0</v>
      </c>
      <c r="BD1372" s="163">
        <v>0</v>
      </c>
      <c r="BE1372" s="163">
        <v>0</v>
      </c>
      <c r="BF1372" s="40"/>
      <c r="BG1372" s="40"/>
      <c r="BH1372" s="40"/>
      <c r="BI1372" s="40"/>
      <c r="BJ1372" s="40"/>
      <c r="BK1372" s="40"/>
      <c r="BL1372" s="62">
        <v>1</v>
      </c>
      <c r="BM1372" s="275">
        <v>3</v>
      </c>
      <c r="BN1372" s="62">
        <v>0.03</v>
      </c>
      <c r="BP1372" s="33" t="s">
        <v>602</v>
      </c>
    </row>
    <row r="1373" spans="1:68">
      <c r="A1373" s="33" t="str">
        <f>Database_Productkaarten[[#This Row],[Product]]&amp;", "&amp;Database_Productkaarten[[#This Row],[Levensfase]]</f>
        <v>Betontegel (Miscantes) 1000x1000x120 (hergebruik), A3</v>
      </c>
      <c r="B1373" s="33" t="s">
        <v>646</v>
      </c>
      <c r="C1373" t="s">
        <v>55</v>
      </c>
      <c r="D1373" s="33" t="s">
        <v>630</v>
      </c>
      <c r="E1373" s="33" t="s">
        <v>385</v>
      </c>
      <c r="F1373" s="33" t="s">
        <v>76</v>
      </c>
      <c r="G1373" s="33">
        <v>1</v>
      </c>
      <c r="H1373" s="33">
        <v>1</v>
      </c>
      <c r="I1373" s="33">
        <v>0.12</v>
      </c>
      <c r="L1373" s="33">
        <v>2.375</v>
      </c>
      <c r="M1373" s="271">
        <v>0.1148</v>
      </c>
      <c r="N1373" s="41">
        <v>0</v>
      </c>
      <c r="O1373" s="33">
        <v>50</v>
      </c>
      <c r="P1373" s="163">
        <v>0</v>
      </c>
      <c r="Q1373" s="163">
        <v>0</v>
      </c>
      <c r="R1373" s="163">
        <v>0</v>
      </c>
      <c r="S1373" s="163">
        <v>0</v>
      </c>
      <c r="T1373" s="163">
        <v>0</v>
      </c>
      <c r="U1373" s="163">
        <v>0</v>
      </c>
      <c r="V1373" s="163">
        <v>0</v>
      </c>
      <c r="W1373" s="163">
        <v>0</v>
      </c>
      <c r="X1373" s="163">
        <v>0</v>
      </c>
      <c r="Y1373" s="163">
        <v>0</v>
      </c>
      <c r="Z1373" s="163">
        <v>0</v>
      </c>
      <c r="AA1373" s="40"/>
      <c r="AB1373" s="40"/>
      <c r="AC1373" s="40"/>
      <c r="AD1373" s="40"/>
      <c r="AE1373" s="40"/>
      <c r="AF1373" s="40"/>
      <c r="AG1373" s="40"/>
      <c r="AH1373" s="40"/>
      <c r="AI1373" s="40"/>
      <c r="AJ1373" s="40"/>
      <c r="AK1373" s="40"/>
      <c r="AL1373" s="40"/>
      <c r="AM1373" s="40"/>
      <c r="AN1373" s="40"/>
      <c r="AO1373" s="40"/>
      <c r="AP1373" s="40"/>
      <c r="AQ1373" s="40"/>
      <c r="AR1373" s="40"/>
      <c r="AS1373" s="40"/>
      <c r="AT1373" s="40"/>
      <c r="AU1373" s="40"/>
      <c r="AV1373" s="163">
        <v>0</v>
      </c>
      <c r="AW1373" s="40"/>
      <c r="AX1373" s="40"/>
      <c r="AY1373" s="163">
        <v>0</v>
      </c>
      <c r="AZ1373" s="40"/>
      <c r="BA1373" s="40"/>
      <c r="BB1373" s="40"/>
      <c r="BC1373" s="163">
        <v>0</v>
      </c>
      <c r="BD1373" s="163">
        <v>0</v>
      </c>
      <c r="BE1373" s="163">
        <v>0</v>
      </c>
      <c r="BF1373" s="40"/>
      <c r="BG1373" s="40"/>
      <c r="BH1373" s="40"/>
      <c r="BI1373" s="40"/>
      <c r="BJ1373" s="40"/>
      <c r="BK1373" s="40"/>
      <c r="BL1373" s="62">
        <v>1</v>
      </c>
      <c r="BM1373" s="275">
        <v>3</v>
      </c>
      <c r="BN1373" s="62">
        <v>0.03</v>
      </c>
      <c r="BP1373" s="33" t="s">
        <v>602</v>
      </c>
    </row>
    <row r="1374" spans="1:68">
      <c r="A1374" s="33" t="str">
        <f>Database_Productkaarten[[#This Row],[Product]]&amp;", "&amp;Database_Productkaarten[[#This Row],[Levensfase]]</f>
        <v>Betontegel (Miscantes) 1000x1000x120 (hergebruik), A1-A3</v>
      </c>
      <c r="B1374" s="33" t="s">
        <v>646</v>
      </c>
      <c r="C1374" s="451" t="str">
        <f>C1373</f>
        <v>Elementenverhardingen</v>
      </c>
      <c r="D1374" s="451" t="str">
        <f>D1373</f>
        <v>Betontegel</v>
      </c>
      <c r="E1374" s="451" t="str">
        <f>E1373</f>
        <v>m2</v>
      </c>
      <c r="F1374" s="451" t="s">
        <v>77</v>
      </c>
      <c r="G1374" s="451">
        <f t="shared" ref="G1374:I1374" si="553">G1373</f>
        <v>1</v>
      </c>
      <c r="H1374" s="451">
        <f t="shared" si="553"/>
        <v>1</v>
      </c>
      <c r="I1374" s="451">
        <f t="shared" si="553"/>
        <v>0.12</v>
      </c>
      <c r="L1374" s="33">
        <v>2.375</v>
      </c>
      <c r="M1374" s="271">
        <v>0.1148</v>
      </c>
      <c r="N1374" s="41">
        <v>0</v>
      </c>
      <c r="O1374" s="33">
        <v>50</v>
      </c>
      <c r="P1374" s="163">
        <v>0</v>
      </c>
      <c r="Q1374" s="163">
        <v>0</v>
      </c>
      <c r="R1374" s="163">
        <v>0</v>
      </c>
      <c r="S1374" s="163">
        <v>0</v>
      </c>
      <c r="T1374" s="163">
        <v>0</v>
      </c>
      <c r="U1374" s="163">
        <v>0</v>
      </c>
      <c r="V1374" s="163">
        <v>0</v>
      </c>
      <c r="W1374" s="163">
        <v>0</v>
      </c>
      <c r="X1374" s="163">
        <v>0</v>
      </c>
      <c r="Y1374" s="163">
        <v>0</v>
      </c>
      <c r="Z1374" s="163">
        <v>0</v>
      </c>
      <c r="AA1374" s="40"/>
      <c r="AB1374" s="40"/>
      <c r="AC1374" s="40"/>
      <c r="AD1374" s="40"/>
      <c r="AE1374" s="40"/>
      <c r="AF1374" s="40"/>
      <c r="AG1374" s="40"/>
      <c r="AH1374" s="40"/>
      <c r="AI1374" s="40"/>
      <c r="AJ1374" s="40"/>
      <c r="AK1374" s="40"/>
      <c r="AL1374" s="40"/>
      <c r="AM1374" s="40"/>
      <c r="AN1374" s="40"/>
      <c r="AO1374" s="40"/>
      <c r="AP1374" s="40"/>
      <c r="AQ1374" s="40"/>
      <c r="AR1374" s="40"/>
      <c r="AS1374" s="40"/>
      <c r="AT1374" s="40"/>
      <c r="AU1374" s="40"/>
      <c r="AV1374" s="163">
        <v>0</v>
      </c>
      <c r="AW1374" s="40"/>
      <c r="AX1374" s="40"/>
      <c r="AY1374" s="163">
        <v>0</v>
      </c>
      <c r="AZ1374" s="40"/>
      <c r="BA1374" s="40"/>
      <c r="BB1374" s="40"/>
      <c r="BC1374" s="163">
        <v>0</v>
      </c>
      <c r="BD1374" s="163">
        <v>0</v>
      </c>
      <c r="BE1374" s="163">
        <v>0</v>
      </c>
      <c r="BF1374" s="40"/>
      <c r="BG1374" s="40"/>
      <c r="BH1374" s="40"/>
      <c r="BI1374" s="40"/>
      <c r="BJ1374" s="40"/>
      <c r="BK1374" s="40"/>
      <c r="BL1374" s="62">
        <v>1</v>
      </c>
      <c r="BM1374" s="275">
        <v>3</v>
      </c>
      <c r="BN1374" s="62">
        <v>0.03</v>
      </c>
      <c r="BP1374" s="33" t="s">
        <v>602</v>
      </c>
    </row>
    <row r="1375" spans="1:68">
      <c r="A1375" s="33" t="str">
        <f>Database_Productkaarten[[#This Row],[Product]]&amp;", "&amp;Database_Productkaarten[[#This Row],[Levensfase]]</f>
        <v>Betontegel (Miscantes) 1000x1000x120 (hergebruik), A4</v>
      </c>
      <c r="B1375" s="33" t="s">
        <v>646</v>
      </c>
      <c r="C1375" t="s">
        <v>55</v>
      </c>
      <c r="D1375" s="33" t="s">
        <v>630</v>
      </c>
      <c r="E1375" s="33" t="s">
        <v>385</v>
      </c>
      <c r="F1375" s="33" t="s">
        <v>78</v>
      </c>
      <c r="G1375" s="33">
        <v>1</v>
      </c>
      <c r="H1375" s="33">
        <v>1</v>
      </c>
      <c r="I1375" s="33">
        <v>0.12</v>
      </c>
      <c r="L1375" s="33">
        <v>2.375</v>
      </c>
      <c r="M1375" s="271">
        <v>0.1148</v>
      </c>
      <c r="N1375" s="41">
        <f>N1360</f>
        <v>0.16</v>
      </c>
      <c r="O1375" s="33">
        <v>50</v>
      </c>
      <c r="P1375" s="163">
        <f t="shared" ref="P1375:Z1375" si="554">P1360</f>
        <v>0</v>
      </c>
      <c r="Q1375" s="163">
        <f t="shared" si="554"/>
        <v>0</v>
      </c>
      <c r="R1375" s="163">
        <f t="shared" si="554"/>
        <v>1.45</v>
      </c>
      <c r="S1375" s="163">
        <f t="shared" si="554"/>
        <v>0</v>
      </c>
      <c r="T1375" s="163">
        <f t="shared" si="554"/>
        <v>0</v>
      </c>
      <c r="U1375" s="163">
        <f t="shared" si="554"/>
        <v>0</v>
      </c>
      <c r="V1375" s="163">
        <f t="shared" si="554"/>
        <v>0</v>
      </c>
      <c r="W1375" s="163">
        <f t="shared" si="554"/>
        <v>0</v>
      </c>
      <c r="X1375" s="163">
        <f t="shared" si="554"/>
        <v>0</v>
      </c>
      <c r="Y1375" s="163">
        <f t="shared" si="554"/>
        <v>0</v>
      </c>
      <c r="Z1375" s="163">
        <f t="shared" si="554"/>
        <v>0</v>
      </c>
      <c r="AA1375" s="40"/>
      <c r="AB1375" s="40"/>
      <c r="AC1375" s="40"/>
      <c r="AD1375" s="40"/>
      <c r="AE1375" s="40"/>
      <c r="AF1375" s="40"/>
      <c r="AG1375" s="40"/>
      <c r="AH1375" s="40"/>
      <c r="AI1375" s="40"/>
      <c r="AJ1375" s="40"/>
      <c r="AK1375" s="40"/>
      <c r="AL1375" s="40"/>
      <c r="AM1375" s="40"/>
      <c r="AN1375" s="40"/>
      <c r="AO1375" s="40"/>
      <c r="AP1375" s="40"/>
      <c r="AQ1375" s="40"/>
      <c r="AR1375" s="40"/>
      <c r="AS1375" s="40"/>
      <c r="AT1375" s="40"/>
      <c r="AU1375" s="40"/>
      <c r="AV1375" s="163">
        <f>AV1360</f>
        <v>0.39300000000000002</v>
      </c>
      <c r="AW1375" s="40"/>
      <c r="AX1375" s="40"/>
      <c r="AY1375" s="163">
        <f>AY1360</f>
        <v>25.2</v>
      </c>
      <c r="AZ1375" s="40"/>
      <c r="BA1375" s="40"/>
      <c r="BB1375" s="40"/>
      <c r="BC1375" s="163">
        <f t="shared" ref="BC1375:BE1375" si="555">BC1360</f>
        <v>0</v>
      </c>
      <c r="BD1375" s="163">
        <f t="shared" si="555"/>
        <v>0</v>
      </c>
      <c r="BE1375" s="163">
        <f t="shared" si="555"/>
        <v>0</v>
      </c>
      <c r="BF1375" s="40"/>
      <c r="BG1375" s="40"/>
      <c r="BH1375" s="40"/>
      <c r="BI1375" s="40"/>
      <c r="BJ1375" s="40"/>
      <c r="BK1375" s="40"/>
      <c r="BL1375" s="62">
        <v>1</v>
      </c>
      <c r="BM1375" s="275">
        <v>3</v>
      </c>
      <c r="BN1375" s="62">
        <v>0.03</v>
      </c>
      <c r="BP1375" s="33" t="s">
        <v>602</v>
      </c>
    </row>
    <row r="1376" spans="1:68">
      <c r="A1376" s="33" t="str">
        <f>Database_Productkaarten[[#This Row],[Product]]&amp;", "&amp;Database_Productkaarten[[#This Row],[Levensfase]]</f>
        <v>Betontegel (Miscantes) 1000x1000x120 (hergebruik), A5</v>
      </c>
      <c r="B1376" s="33" t="s">
        <v>646</v>
      </c>
      <c r="C1376" t="s">
        <v>55</v>
      </c>
      <c r="D1376" s="33" t="s">
        <v>630</v>
      </c>
      <c r="E1376" s="33" t="s">
        <v>385</v>
      </c>
      <c r="F1376" s="33" t="s">
        <v>79</v>
      </c>
      <c r="G1376" s="33">
        <v>1</v>
      </c>
      <c r="H1376" s="33">
        <v>1</v>
      </c>
      <c r="I1376" s="33">
        <v>0.12</v>
      </c>
      <c r="L1376" s="33">
        <v>2.375</v>
      </c>
      <c r="M1376" s="271">
        <v>0.1148</v>
      </c>
      <c r="N1376" s="41">
        <f t="shared" ref="N1376:N1381" si="556">N1361</f>
        <v>0.65</v>
      </c>
      <c r="O1376" s="33">
        <v>50</v>
      </c>
      <c r="P1376" s="163">
        <f t="shared" ref="P1376:Z1376" si="557">P1361</f>
        <v>0</v>
      </c>
      <c r="Q1376" s="163">
        <f t="shared" si="557"/>
        <v>0</v>
      </c>
      <c r="R1376" s="163">
        <f t="shared" si="557"/>
        <v>6.98</v>
      </c>
      <c r="S1376" s="163">
        <f t="shared" si="557"/>
        <v>0</v>
      </c>
      <c r="T1376" s="163">
        <f t="shared" si="557"/>
        <v>0</v>
      </c>
      <c r="U1376" s="163">
        <f t="shared" si="557"/>
        <v>0</v>
      </c>
      <c r="V1376" s="163">
        <f t="shared" si="557"/>
        <v>0</v>
      </c>
      <c r="W1376" s="163">
        <f t="shared" si="557"/>
        <v>0</v>
      </c>
      <c r="X1376" s="163">
        <f t="shared" si="557"/>
        <v>0</v>
      </c>
      <c r="Y1376" s="163">
        <f t="shared" si="557"/>
        <v>0</v>
      </c>
      <c r="Z1376" s="163">
        <f t="shared" si="557"/>
        <v>0</v>
      </c>
      <c r="AA1376" s="40"/>
      <c r="AB1376" s="40"/>
      <c r="AC1376" s="40"/>
      <c r="AD1376" s="40"/>
      <c r="AE1376" s="40"/>
      <c r="AF1376" s="40"/>
      <c r="AG1376" s="40"/>
      <c r="AH1376" s="40"/>
      <c r="AI1376" s="40"/>
      <c r="AJ1376" s="40"/>
      <c r="AK1376" s="40"/>
      <c r="AL1376" s="40"/>
      <c r="AM1376" s="40"/>
      <c r="AN1376" s="40"/>
      <c r="AO1376" s="40"/>
      <c r="AP1376" s="40"/>
      <c r="AQ1376" s="40"/>
      <c r="AR1376" s="40"/>
      <c r="AS1376" s="40"/>
      <c r="AT1376" s="40"/>
      <c r="AU1376" s="40"/>
      <c r="AV1376" s="163">
        <f t="shared" ref="AV1376:AV1381" si="558">AV1361</f>
        <v>5.21</v>
      </c>
      <c r="AW1376" s="40"/>
      <c r="AX1376" s="40"/>
      <c r="AY1376" s="163">
        <f t="shared" ref="AY1376:AY1381" si="559">AY1361</f>
        <v>105</v>
      </c>
      <c r="AZ1376" s="40"/>
      <c r="BA1376" s="40"/>
      <c r="BB1376" s="40"/>
      <c r="BC1376" s="163">
        <f t="shared" ref="BC1376:BE1376" si="560">BC1361</f>
        <v>0</v>
      </c>
      <c r="BD1376" s="163">
        <f t="shared" si="560"/>
        <v>0</v>
      </c>
      <c r="BE1376" s="163">
        <f t="shared" si="560"/>
        <v>0</v>
      </c>
      <c r="BF1376" s="40"/>
      <c r="BG1376" s="40"/>
      <c r="BH1376" s="40"/>
      <c r="BI1376" s="40"/>
      <c r="BJ1376" s="40"/>
      <c r="BK1376" s="40"/>
      <c r="BL1376" s="62">
        <v>1</v>
      </c>
      <c r="BM1376" s="275">
        <v>3</v>
      </c>
      <c r="BN1376" s="62">
        <v>0.03</v>
      </c>
      <c r="BP1376" s="33" t="s">
        <v>602</v>
      </c>
    </row>
    <row r="1377" spans="1:68">
      <c r="A1377" s="33" t="str">
        <f>Database_Productkaarten[[#This Row],[Product]]&amp;", "&amp;Database_Productkaarten[[#This Row],[Levensfase]]</f>
        <v>Betontegel (Miscantes) 1000x1000x120 (hergebruik), B1</v>
      </c>
      <c r="B1377" s="33" t="s">
        <v>646</v>
      </c>
      <c r="C1377" t="s">
        <v>55</v>
      </c>
      <c r="D1377" s="33" t="s">
        <v>630</v>
      </c>
      <c r="E1377" s="33" t="s">
        <v>385</v>
      </c>
      <c r="F1377" s="33" t="s">
        <v>80</v>
      </c>
      <c r="G1377" s="33">
        <v>1</v>
      </c>
      <c r="H1377" s="33">
        <v>1</v>
      </c>
      <c r="I1377" s="33">
        <v>0.12</v>
      </c>
      <c r="L1377" s="33">
        <v>2.375</v>
      </c>
      <c r="M1377" s="271">
        <v>0.1148</v>
      </c>
      <c r="N1377" s="41">
        <f t="shared" si="556"/>
        <v>0</v>
      </c>
      <c r="O1377" s="33">
        <v>50</v>
      </c>
      <c r="P1377" s="163">
        <f t="shared" ref="P1377:Z1377" si="561">P1362</f>
        <v>0</v>
      </c>
      <c r="Q1377" s="163">
        <f t="shared" si="561"/>
        <v>0</v>
      </c>
      <c r="R1377" s="163">
        <f t="shared" si="561"/>
        <v>0</v>
      </c>
      <c r="S1377" s="163">
        <f t="shared" si="561"/>
        <v>0</v>
      </c>
      <c r="T1377" s="163">
        <f t="shared" si="561"/>
        <v>0</v>
      </c>
      <c r="U1377" s="163">
        <f t="shared" si="561"/>
        <v>0</v>
      </c>
      <c r="V1377" s="163">
        <f t="shared" si="561"/>
        <v>0</v>
      </c>
      <c r="W1377" s="163">
        <f t="shared" si="561"/>
        <v>0</v>
      </c>
      <c r="X1377" s="163">
        <f t="shared" si="561"/>
        <v>0</v>
      </c>
      <c r="Y1377" s="163">
        <f t="shared" si="561"/>
        <v>0</v>
      </c>
      <c r="Z1377" s="163">
        <f t="shared" si="561"/>
        <v>0</v>
      </c>
      <c r="AA1377" s="40"/>
      <c r="AB1377" s="40"/>
      <c r="AC1377" s="40"/>
      <c r="AD1377" s="40"/>
      <c r="AE1377" s="40"/>
      <c r="AF1377" s="40"/>
      <c r="AG1377" s="40"/>
      <c r="AH1377" s="40"/>
      <c r="AI1377" s="40"/>
      <c r="AJ1377" s="40"/>
      <c r="AK1377" s="40"/>
      <c r="AL1377" s="40"/>
      <c r="AM1377" s="40"/>
      <c r="AN1377" s="40"/>
      <c r="AO1377" s="40"/>
      <c r="AP1377" s="40"/>
      <c r="AQ1377" s="40"/>
      <c r="AR1377" s="40"/>
      <c r="AS1377" s="40"/>
      <c r="AT1377" s="40"/>
      <c r="AU1377" s="40"/>
      <c r="AV1377" s="163">
        <f t="shared" si="558"/>
        <v>0</v>
      </c>
      <c r="AW1377" s="40"/>
      <c r="AX1377" s="40"/>
      <c r="AY1377" s="163">
        <f t="shared" si="559"/>
        <v>0</v>
      </c>
      <c r="AZ1377" s="40"/>
      <c r="BA1377" s="40"/>
      <c r="BB1377" s="40"/>
      <c r="BC1377" s="163">
        <f t="shared" ref="BC1377:BE1377" si="562">BC1362</f>
        <v>0</v>
      </c>
      <c r="BD1377" s="163">
        <f t="shared" si="562"/>
        <v>0</v>
      </c>
      <c r="BE1377" s="163">
        <f t="shared" si="562"/>
        <v>0</v>
      </c>
      <c r="BF1377" s="40"/>
      <c r="BG1377" s="40"/>
      <c r="BH1377" s="40"/>
      <c r="BI1377" s="40"/>
      <c r="BJ1377" s="40"/>
      <c r="BK1377" s="40"/>
      <c r="BL1377" s="62">
        <v>1</v>
      </c>
      <c r="BM1377" s="275">
        <v>3</v>
      </c>
      <c r="BN1377" s="62">
        <v>0.03</v>
      </c>
      <c r="BP1377" s="33" t="s">
        <v>602</v>
      </c>
    </row>
    <row r="1378" spans="1:68">
      <c r="A1378" s="33" t="str">
        <f>Database_Productkaarten[[#This Row],[Product]]&amp;", "&amp;Database_Productkaarten[[#This Row],[Levensfase]]</f>
        <v>Betontegel (Miscantes) 1000x1000x120 (hergebruik), C1</v>
      </c>
      <c r="B1378" s="33" t="s">
        <v>646</v>
      </c>
      <c r="C1378" t="s">
        <v>55</v>
      </c>
      <c r="D1378" s="33" t="s">
        <v>630</v>
      </c>
      <c r="E1378" s="33" t="s">
        <v>385</v>
      </c>
      <c r="F1378" s="33" t="s">
        <v>83</v>
      </c>
      <c r="G1378" s="33">
        <v>1</v>
      </c>
      <c r="H1378" s="33">
        <v>1</v>
      </c>
      <c r="I1378" s="33">
        <v>0.12</v>
      </c>
      <c r="L1378" s="33">
        <v>2.375</v>
      </c>
      <c r="M1378" s="271">
        <v>0.1148</v>
      </c>
      <c r="N1378" s="41">
        <f t="shared" si="556"/>
        <v>0.16</v>
      </c>
      <c r="O1378" s="33">
        <v>50</v>
      </c>
      <c r="P1378" s="163">
        <f t="shared" ref="P1378:Z1378" si="563">P1363</f>
        <v>0</v>
      </c>
      <c r="Q1378" s="163">
        <f t="shared" si="563"/>
        <v>0</v>
      </c>
      <c r="R1378" s="163">
        <f t="shared" si="563"/>
        <v>1.68</v>
      </c>
      <c r="S1378" s="163">
        <f t="shared" si="563"/>
        <v>0</v>
      </c>
      <c r="T1378" s="163">
        <f t="shared" si="563"/>
        <v>0</v>
      </c>
      <c r="U1378" s="163">
        <f t="shared" si="563"/>
        <v>0</v>
      </c>
      <c r="V1378" s="163">
        <f t="shared" si="563"/>
        <v>0</v>
      </c>
      <c r="W1378" s="163">
        <f t="shared" si="563"/>
        <v>0</v>
      </c>
      <c r="X1378" s="163">
        <f t="shared" si="563"/>
        <v>0</v>
      </c>
      <c r="Y1378" s="163">
        <f t="shared" si="563"/>
        <v>0</v>
      </c>
      <c r="Z1378" s="163">
        <f t="shared" si="563"/>
        <v>0</v>
      </c>
      <c r="AA1378" s="40"/>
      <c r="AB1378" s="40"/>
      <c r="AC1378" s="40"/>
      <c r="AD1378" s="40"/>
      <c r="AE1378" s="40"/>
      <c r="AF1378" s="40"/>
      <c r="AG1378" s="40"/>
      <c r="AH1378" s="40"/>
      <c r="AI1378" s="40"/>
      <c r="AJ1378" s="40"/>
      <c r="AK1378" s="40"/>
      <c r="AL1378" s="40"/>
      <c r="AM1378" s="40"/>
      <c r="AN1378" s="40"/>
      <c r="AO1378" s="40"/>
      <c r="AP1378" s="40"/>
      <c r="AQ1378" s="40"/>
      <c r="AR1378" s="40"/>
      <c r="AS1378" s="40"/>
      <c r="AT1378" s="40"/>
      <c r="AU1378" s="40"/>
      <c r="AV1378" s="163">
        <f t="shared" si="558"/>
        <v>0.186</v>
      </c>
      <c r="AW1378" s="40"/>
      <c r="AX1378" s="40"/>
      <c r="AY1378" s="163">
        <f t="shared" si="559"/>
        <v>25.6</v>
      </c>
      <c r="AZ1378" s="40"/>
      <c r="BA1378" s="40"/>
      <c r="BB1378" s="40"/>
      <c r="BC1378" s="163">
        <f t="shared" ref="BC1378:BE1378" si="564">BC1363</f>
        <v>0</v>
      </c>
      <c r="BD1378" s="163">
        <f t="shared" si="564"/>
        <v>0</v>
      </c>
      <c r="BE1378" s="163">
        <f t="shared" si="564"/>
        <v>0</v>
      </c>
      <c r="BF1378" s="40"/>
      <c r="BG1378" s="40"/>
      <c r="BH1378" s="40"/>
      <c r="BI1378" s="40"/>
      <c r="BJ1378" s="40"/>
      <c r="BK1378" s="40"/>
      <c r="BL1378" s="62">
        <v>1</v>
      </c>
      <c r="BM1378" s="275">
        <v>3</v>
      </c>
      <c r="BN1378" s="62">
        <v>0.03</v>
      </c>
      <c r="BP1378" s="33" t="s">
        <v>602</v>
      </c>
    </row>
    <row r="1379" spans="1:68">
      <c r="A1379" s="33" t="str">
        <f>Database_Productkaarten[[#This Row],[Product]]&amp;", "&amp;Database_Productkaarten[[#This Row],[Levensfase]]</f>
        <v>Betontegel (Miscantes) 1000x1000x120 (hergebruik), C2</v>
      </c>
      <c r="B1379" s="33" t="s">
        <v>646</v>
      </c>
      <c r="C1379" t="s">
        <v>55</v>
      </c>
      <c r="D1379" s="33" t="s">
        <v>630</v>
      </c>
      <c r="E1379" s="33" t="s">
        <v>385</v>
      </c>
      <c r="F1379" s="33" t="s">
        <v>84</v>
      </c>
      <c r="G1379" s="33">
        <v>1</v>
      </c>
      <c r="H1379" s="33">
        <v>1</v>
      </c>
      <c r="I1379" s="33">
        <v>0.12</v>
      </c>
      <c r="L1379" s="33">
        <v>2.375</v>
      </c>
      <c r="M1379" s="271">
        <v>0.1148</v>
      </c>
      <c r="N1379" s="41">
        <f t="shared" si="556"/>
        <v>0.05</v>
      </c>
      <c r="O1379" s="33">
        <v>50</v>
      </c>
      <c r="P1379" s="163">
        <f t="shared" ref="P1379:Z1379" si="565">P1364</f>
        <v>0</v>
      </c>
      <c r="Q1379" s="163">
        <f t="shared" si="565"/>
        <v>0</v>
      </c>
      <c r="R1379" s="163">
        <f t="shared" si="565"/>
        <v>0.49</v>
      </c>
      <c r="S1379" s="163">
        <f t="shared" si="565"/>
        <v>0</v>
      </c>
      <c r="T1379" s="163">
        <f t="shared" si="565"/>
        <v>0</v>
      </c>
      <c r="U1379" s="163">
        <f t="shared" si="565"/>
        <v>0</v>
      </c>
      <c r="V1379" s="163">
        <f t="shared" si="565"/>
        <v>0</v>
      </c>
      <c r="W1379" s="163">
        <f t="shared" si="565"/>
        <v>0</v>
      </c>
      <c r="X1379" s="163">
        <f t="shared" si="565"/>
        <v>0</v>
      </c>
      <c r="Y1379" s="163">
        <f t="shared" si="565"/>
        <v>0</v>
      </c>
      <c r="Z1379" s="163">
        <f t="shared" si="565"/>
        <v>0</v>
      </c>
      <c r="AA1379" s="40"/>
      <c r="AB1379" s="40"/>
      <c r="AC1379" s="40"/>
      <c r="AD1379" s="40"/>
      <c r="AE1379" s="40"/>
      <c r="AF1379" s="40"/>
      <c r="AG1379" s="40"/>
      <c r="AH1379" s="40"/>
      <c r="AI1379" s="40"/>
      <c r="AJ1379" s="40"/>
      <c r="AK1379" s="40"/>
      <c r="AL1379" s="40"/>
      <c r="AM1379" s="40"/>
      <c r="AN1379" s="40"/>
      <c r="AO1379" s="40"/>
      <c r="AP1379" s="40"/>
      <c r="AQ1379" s="40"/>
      <c r="AR1379" s="40"/>
      <c r="AS1379" s="40"/>
      <c r="AT1379" s="40"/>
      <c r="AU1379" s="40"/>
      <c r="AV1379" s="163">
        <f t="shared" si="558"/>
        <v>0.13200000000000001</v>
      </c>
      <c r="AW1379" s="40"/>
      <c r="AX1379" s="40"/>
      <c r="AY1379" s="163">
        <f t="shared" si="559"/>
        <v>8.4700000000000006</v>
      </c>
      <c r="AZ1379" s="40"/>
      <c r="BA1379" s="40"/>
      <c r="BB1379" s="40"/>
      <c r="BC1379" s="163">
        <f t="shared" ref="BC1379:BE1379" si="566">BC1364</f>
        <v>0</v>
      </c>
      <c r="BD1379" s="163">
        <f t="shared" si="566"/>
        <v>0</v>
      </c>
      <c r="BE1379" s="163">
        <f t="shared" si="566"/>
        <v>0</v>
      </c>
      <c r="BF1379" s="40"/>
      <c r="BG1379" s="40"/>
      <c r="BH1379" s="40"/>
      <c r="BI1379" s="40"/>
      <c r="BJ1379" s="40"/>
      <c r="BK1379" s="40"/>
      <c r="BL1379" s="62">
        <v>1</v>
      </c>
      <c r="BM1379" s="275">
        <v>3</v>
      </c>
      <c r="BN1379" s="62">
        <v>0.03</v>
      </c>
      <c r="BP1379" s="33" t="s">
        <v>602</v>
      </c>
    </row>
    <row r="1380" spans="1:68">
      <c r="A1380" s="33" t="str">
        <f>Database_Productkaarten[[#This Row],[Product]]&amp;", "&amp;Database_Productkaarten[[#This Row],[Levensfase]]</f>
        <v>Betontegel (Miscantes) 1000x1000x120 (hergebruik), C3</v>
      </c>
      <c r="B1380" s="33" t="s">
        <v>646</v>
      </c>
      <c r="C1380" t="s">
        <v>55</v>
      </c>
      <c r="D1380" s="33" t="s">
        <v>630</v>
      </c>
      <c r="E1380" s="33" t="s">
        <v>385</v>
      </c>
      <c r="F1380" s="33" t="s">
        <v>85</v>
      </c>
      <c r="G1380" s="33">
        <v>1</v>
      </c>
      <c r="H1380" s="33">
        <v>1</v>
      </c>
      <c r="I1380" s="33">
        <v>0.12</v>
      </c>
      <c r="L1380" s="33">
        <v>2.375</v>
      </c>
      <c r="M1380" s="271">
        <v>0.1148</v>
      </c>
      <c r="N1380" s="41">
        <f t="shared" si="556"/>
        <v>0.02</v>
      </c>
      <c r="O1380" s="33">
        <v>50</v>
      </c>
      <c r="P1380" s="163">
        <f t="shared" ref="P1380:Z1380" si="567">P1365</f>
        <v>0</v>
      </c>
      <c r="Q1380" s="163">
        <f t="shared" si="567"/>
        <v>0</v>
      </c>
      <c r="R1380" s="163">
        <f t="shared" si="567"/>
        <v>0.184</v>
      </c>
      <c r="S1380" s="163">
        <f t="shared" si="567"/>
        <v>0</v>
      </c>
      <c r="T1380" s="163">
        <f t="shared" si="567"/>
        <v>0</v>
      </c>
      <c r="U1380" s="163">
        <f t="shared" si="567"/>
        <v>0</v>
      </c>
      <c r="V1380" s="163">
        <f t="shared" si="567"/>
        <v>0</v>
      </c>
      <c r="W1380" s="163">
        <f t="shared" si="567"/>
        <v>0</v>
      </c>
      <c r="X1380" s="163">
        <f t="shared" si="567"/>
        <v>0</v>
      </c>
      <c r="Y1380" s="163">
        <f t="shared" si="567"/>
        <v>0</v>
      </c>
      <c r="Z1380" s="163">
        <f t="shared" si="567"/>
        <v>0</v>
      </c>
      <c r="AA1380" s="40"/>
      <c r="AB1380" s="40"/>
      <c r="AC1380" s="40"/>
      <c r="AD1380" s="40"/>
      <c r="AE1380" s="40"/>
      <c r="AF1380" s="40"/>
      <c r="AG1380" s="40"/>
      <c r="AH1380" s="40"/>
      <c r="AI1380" s="40"/>
      <c r="AJ1380" s="40"/>
      <c r="AK1380" s="40"/>
      <c r="AL1380" s="40"/>
      <c r="AM1380" s="40"/>
      <c r="AN1380" s="40"/>
      <c r="AO1380" s="40"/>
      <c r="AP1380" s="40"/>
      <c r="AQ1380" s="40"/>
      <c r="AR1380" s="40"/>
      <c r="AS1380" s="40"/>
      <c r="AT1380" s="40"/>
      <c r="AU1380" s="40"/>
      <c r="AV1380" s="163">
        <f t="shared" si="558"/>
        <v>0.14799999999999999</v>
      </c>
      <c r="AW1380" s="40"/>
      <c r="AX1380" s="40"/>
      <c r="AY1380" s="163">
        <f t="shared" si="559"/>
        <v>2.76</v>
      </c>
      <c r="AZ1380" s="40"/>
      <c r="BA1380" s="40"/>
      <c r="BB1380" s="40"/>
      <c r="BC1380" s="163">
        <f t="shared" ref="BC1380:BE1380" si="568">BC1365</f>
        <v>0</v>
      </c>
      <c r="BD1380" s="163">
        <f t="shared" si="568"/>
        <v>0</v>
      </c>
      <c r="BE1380" s="163">
        <f t="shared" si="568"/>
        <v>0</v>
      </c>
      <c r="BF1380" s="40"/>
      <c r="BG1380" s="40"/>
      <c r="BH1380" s="40"/>
      <c r="BI1380" s="40"/>
      <c r="BJ1380" s="40"/>
      <c r="BK1380" s="40"/>
      <c r="BL1380" s="62">
        <v>1</v>
      </c>
      <c r="BM1380" s="275">
        <v>3</v>
      </c>
      <c r="BN1380" s="62">
        <v>0.03</v>
      </c>
      <c r="BP1380" s="33" t="s">
        <v>602</v>
      </c>
    </row>
    <row r="1381" spans="1:68">
      <c r="A1381" s="33" t="str">
        <f>Database_Productkaarten[[#This Row],[Product]]&amp;", "&amp;Database_Productkaarten[[#This Row],[Levensfase]]</f>
        <v>Betontegel (Miscantes) 1000x1000x120 (hergebruik), C4</v>
      </c>
      <c r="B1381" s="33" t="s">
        <v>646</v>
      </c>
      <c r="C1381" t="s">
        <v>55</v>
      </c>
      <c r="D1381" s="33" t="s">
        <v>630</v>
      </c>
      <c r="E1381" s="33" t="s">
        <v>385</v>
      </c>
      <c r="F1381" s="33" t="s">
        <v>86</v>
      </c>
      <c r="G1381" s="33">
        <v>1</v>
      </c>
      <c r="H1381" s="33">
        <v>1</v>
      </c>
      <c r="I1381" s="33">
        <v>0.12</v>
      </c>
      <c r="L1381" s="33">
        <v>2.375</v>
      </c>
      <c r="M1381" s="271">
        <v>0.1148</v>
      </c>
      <c r="N1381" s="41">
        <f t="shared" si="556"/>
        <v>0</v>
      </c>
      <c r="O1381" s="33">
        <v>50</v>
      </c>
      <c r="P1381" s="163">
        <f t="shared" ref="P1381:Z1381" si="569">P1366</f>
        <v>0</v>
      </c>
      <c r="Q1381" s="163">
        <f t="shared" si="569"/>
        <v>0</v>
      </c>
      <c r="R1381" s="163">
        <f t="shared" si="569"/>
        <v>6.0600000000000003E-3</v>
      </c>
      <c r="S1381" s="163">
        <f t="shared" si="569"/>
        <v>0</v>
      </c>
      <c r="T1381" s="163">
        <f t="shared" si="569"/>
        <v>0</v>
      </c>
      <c r="U1381" s="163">
        <f t="shared" si="569"/>
        <v>0</v>
      </c>
      <c r="V1381" s="163">
        <f t="shared" si="569"/>
        <v>0</v>
      </c>
      <c r="W1381" s="163">
        <f t="shared" si="569"/>
        <v>0</v>
      </c>
      <c r="X1381" s="163">
        <f t="shared" si="569"/>
        <v>0</v>
      </c>
      <c r="Y1381" s="163">
        <f t="shared" si="569"/>
        <v>0</v>
      </c>
      <c r="Z1381" s="163">
        <f t="shared" si="569"/>
        <v>0</v>
      </c>
      <c r="AA1381" s="40"/>
      <c r="AB1381" s="40"/>
      <c r="AC1381" s="40"/>
      <c r="AD1381" s="40"/>
      <c r="AE1381" s="40"/>
      <c r="AF1381" s="40"/>
      <c r="AG1381" s="40"/>
      <c r="AH1381" s="40"/>
      <c r="AI1381" s="40"/>
      <c r="AJ1381" s="40"/>
      <c r="AK1381" s="40"/>
      <c r="AL1381" s="40"/>
      <c r="AM1381" s="40"/>
      <c r="AN1381" s="40"/>
      <c r="AO1381" s="40"/>
      <c r="AP1381" s="40"/>
      <c r="AQ1381" s="40"/>
      <c r="AR1381" s="40"/>
      <c r="AS1381" s="40"/>
      <c r="AT1381" s="40"/>
      <c r="AU1381" s="40"/>
      <c r="AV1381" s="163">
        <f t="shared" si="558"/>
        <v>1.5200000000000001E-3</v>
      </c>
      <c r="AW1381" s="40"/>
      <c r="AX1381" s="40"/>
      <c r="AY1381" s="163">
        <f t="shared" si="559"/>
        <v>0.19800000000000001</v>
      </c>
      <c r="AZ1381" s="40"/>
      <c r="BA1381" s="40"/>
      <c r="BB1381" s="40"/>
      <c r="BC1381" s="163">
        <f t="shared" ref="BC1381:BE1381" si="570">BC1366</f>
        <v>0</v>
      </c>
      <c r="BD1381" s="163">
        <f t="shared" si="570"/>
        <v>0</v>
      </c>
      <c r="BE1381" s="163">
        <f t="shared" si="570"/>
        <v>0</v>
      </c>
      <c r="BF1381" s="40"/>
      <c r="BG1381" s="40"/>
      <c r="BH1381" s="40"/>
      <c r="BI1381" s="40"/>
      <c r="BJ1381" s="40"/>
      <c r="BK1381" s="40"/>
      <c r="BL1381" s="62">
        <v>1</v>
      </c>
      <c r="BM1381" s="275">
        <v>3</v>
      </c>
      <c r="BN1381" s="62">
        <v>0.03</v>
      </c>
      <c r="BP1381" s="33" t="s">
        <v>602</v>
      </c>
    </row>
    <row r="1382" spans="1:68">
      <c r="A1382" s="33" t="str">
        <f>Database_Productkaarten[[#This Row],[Product]]&amp;", "&amp;Database_Productkaarten[[#This Row],[Levensfase]]</f>
        <v>Betontegel (Miscantes) 1000x1000x120 (hergebruik), D</v>
      </c>
      <c r="B1382" s="33" t="s">
        <v>646</v>
      </c>
      <c r="C1382" s="33" t="str">
        <f>C1383</f>
        <v>Elementenverhardingen</v>
      </c>
      <c r="D1382" s="33" t="str">
        <f>D1383</f>
        <v>Betontegel</v>
      </c>
      <c r="E1382" s="33" t="str">
        <f>E1383</f>
        <v>m2</v>
      </c>
      <c r="F1382" s="33" t="s">
        <v>89</v>
      </c>
      <c r="G1382" s="33">
        <f t="shared" ref="G1382:I1382" si="571">G1383</f>
        <v>1</v>
      </c>
      <c r="H1382" s="33">
        <f t="shared" si="571"/>
        <v>1</v>
      </c>
      <c r="I1382" s="33">
        <f t="shared" si="571"/>
        <v>0.12</v>
      </c>
      <c r="L1382" s="33">
        <v>2.375</v>
      </c>
      <c r="M1382" s="271">
        <v>0.1148</v>
      </c>
      <c r="N1382" s="41">
        <f>N1359*0.1</f>
        <v>6.5000000000000002E-2</v>
      </c>
      <c r="O1382" s="33">
        <v>50</v>
      </c>
      <c r="P1382" s="163">
        <f t="shared" ref="P1382:Z1382" si="572">P1359*0.1</f>
        <v>0</v>
      </c>
      <c r="Q1382" s="163">
        <f t="shared" si="572"/>
        <v>0</v>
      </c>
      <c r="R1382" s="163">
        <f t="shared" si="572"/>
        <v>0.72199999999999998</v>
      </c>
      <c r="S1382" s="163">
        <f t="shared" si="572"/>
        <v>0</v>
      </c>
      <c r="T1382" s="163">
        <f t="shared" si="572"/>
        <v>0</v>
      </c>
      <c r="U1382" s="163">
        <f t="shared" si="572"/>
        <v>0</v>
      </c>
      <c r="V1382" s="163">
        <f t="shared" si="572"/>
        <v>0</v>
      </c>
      <c r="W1382" s="163">
        <f t="shared" si="572"/>
        <v>0</v>
      </c>
      <c r="X1382" s="163">
        <f t="shared" si="572"/>
        <v>0</v>
      </c>
      <c r="Y1382" s="163">
        <f t="shared" si="572"/>
        <v>0</v>
      </c>
      <c r="Z1382" s="163">
        <f t="shared" si="572"/>
        <v>0</v>
      </c>
      <c r="AA1382" s="40"/>
      <c r="AB1382" s="40"/>
      <c r="AC1382" s="40"/>
      <c r="AD1382" s="40"/>
      <c r="AE1382" s="40"/>
      <c r="AF1382" s="40"/>
      <c r="AG1382" s="40"/>
      <c r="AH1382" s="40"/>
      <c r="AI1382" s="40"/>
      <c r="AJ1382" s="40"/>
      <c r="AK1382" s="40"/>
      <c r="AL1382" s="40"/>
      <c r="AM1382" s="40"/>
      <c r="AN1382" s="40"/>
      <c r="AO1382" s="40"/>
      <c r="AP1382" s="40"/>
      <c r="AQ1382" s="40"/>
      <c r="AR1382" s="40"/>
      <c r="AS1382" s="40"/>
      <c r="AT1382" s="40"/>
      <c r="AU1382" s="40"/>
      <c r="AV1382" s="163">
        <f>AV1359*0.1</f>
        <v>14.8</v>
      </c>
      <c r="AW1382" s="40"/>
      <c r="AX1382" s="40"/>
      <c r="AY1382" s="163">
        <f>AY1359*0.1</f>
        <v>6.4400000000000013</v>
      </c>
      <c r="AZ1382" s="40"/>
      <c r="BA1382" s="40"/>
      <c r="BB1382" s="40"/>
      <c r="BC1382" s="163">
        <f t="shared" ref="BC1382:BE1382" si="573">BC1359*0.1</f>
        <v>0</v>
      </c>
      <c r="BD1382" s="163">
        <f t="shared" si="573"/>
        <v>0</v>
      </c>
      <c r="BE1382" s="163">
        <f t="shared" si="573"/>
        <v>0</v>
      </c>
      <c r="BF1382" s="40"/>
      <c r="BG1382" s="40"/>
      <c r="BH1382" s="40"/>
      <c r="BI1382" s="40"/>
      <c r="BJ1382" s="40"/>
      <c r="BK1382" s="40"/>
      <c r="BL1382" s="62">
        <v>1</v>
      </c>
      <c r="BM1382" s="275">
        <v>3</v>
      </c>
      <c r="BN1382" s="62">
        <v>0.03</v>
      </c>
      <c r="BP1382" s="33" t="s">
        <v>602</v>
      </c>
    </row>
    <row r="1383" spans="1:68">
      <c r="A1383" s="33" t="str">
        <f>Database_Productkaarten[[#This Row],[Product]]&amp;", "&amp;Database_Productkaarten[[#This Row],[Levensfase]]</f>
        <v>Betontegel (Miscantes) 1000x1000x120 (hergebruik), D1</v>
      </c>
      <c r="B1383" s="33" t="s">
        <v>646</v>
      </c>
      <c r="C1383" t="s">
        <v>55</v>
      </c>
      <c r="D1383" s="33" t="s">
        <v>630</v>
      </c>
      <c r="E1383" s="33" t="s">
        <v>385</v>
      </c>
      <c r="F1383" s="33" t="s">
        <v>87</v>
      </c>
      <c r="G1383" s="33">
        <v>1</v>
      </c>
      <c r="H1383" s="33">
        <v>1</v>
      </c>
      <c r="I1383" s="33">
        <v>0.12</v>
      </c>
      <c r="L1383" s="33">
        <v>2.375</v>
      </c>
      <c r="M1383" s="271">
        <v>0.1148</v>
      </c>
      <c r="N1383" s="41"/>
      <c r="O1383" s="33">
        <v>50</v>
      </c>
      <c r="P1383" s="40"/>
      <c r="Q1383" s="40"/>
      <c r="R1383" s="40"/>
      <c r="S1383" s="40"/>
      <c r="T1383" s="40"/>
      <c r="U1383" s="40"/>
      <c r="V1383" s="40"/>
      <c r="W1383" s="40"/>
      <c r="X1383" s="40"/>
      <c r="Y1383" s="40"/>
      <c r="Z1383" s="40"/>
      <c r="AA1383" s="40"/>
      <c r="AB1383" s="40"/>
      <c r="AC1383" s="40"/>
      <c r="AD1383" s="40"/>
      <c r="AE1383" s="40"/>
      <c r="AF1383" s="40"/>
      <c r="AG1383" s="40"/>
      <c r="AH1383" s="40"/>
      <c r="AI1383" s="40"/>
      <c r="AJ1383" s="40"/>
      <c r="AK1383" s="40"/>
      <c r="AL1383" s="40"/>
      <c r="AM1383" s="40"/>
      <c r="AN1383" s="40"/>
      <c r="AO1383" s="40"/>
      <c r="AP1383" s="40"/>
      <c r="AQ1383" s="40"/>
      <c r="AR1383" s="40"/>
      <c r="AS1383" s="40"/>
      <c r="AT1383" s="40"/>
      <c r="AU1383" s="40"/>
      <c r="AV1383" s="108"/>
      <c r="AW1383" s="40"/>
      <c r="AX1383" s="40"/>
      <c r="AY1383" s="108"/>
      <c r="AZ1383" s="40"/>
      <c r="BA1383" s="40"/>
      <c r="BB1383" s="40"/>
      <c r="BC1383" s="40"/>
      <c r="BD1383" s="40"/>
      <c r="BE1383" s="40"/>
      <c r="BF1383" s="40"/>
      <c r="BG1383" s="40"/>
      <c r="BH1383" s="40"/>
      <c r="BI1383" s="40"/>
      <c r="BJ1383" s="40"/>
      <c r="BK1383" s="40"/>
      <c r="BL1383" s="62">
        <v>1</v>
      </c>
      <c r="BM1383" s="275">
        <v>3</v>
      </c>
      <c r="BN1383" s="62">
        <v>0.03</v>
      </c>
      <c r="BP1383" s="33" t="s">
        <v>602</v>
      </c>
    </row>
    <row r="1384" spans="1:68">
      <c r="A1384" s="33" t="str">
        <f>Database_Productkaarten[[#This Row],[Product]]&amp;", "&amp;Database_Productkaarten[[#This Row],[Levensfase]]</f>
        <v>Betontegel (Miscantes) 1000x1000x120 (hergebruik), D2</v>
      </c>
      <c r="B1384" s="33" t="s">
        <v>646</v>
      </c>
      <c r="C1384" t="s">
        <v>55</v>
      </c>
      <c r="D1384" s="33" t="s">
        <v>630</v>
      </c>
      <c r="E1384" s="33" t="s">
        <v>385</v>
      </c>
      <c r="F1384" s="33" t="s">
        <v>88</v>
      </c>
      <c r="G1384" s="33">
        <v>1</v>
      </c>
      <c r="H1384" s="33">
        <v>1</v>
      </c>
      <c r="I1384" s="33">
        <v>0.12</v>
      </c>
      <c r="L1384" s="33">
        <v>2.375</v>
      </c>
      <c r="M1384" s="271">
        <v>0.1148</v>
      </c>
      <c r="N1384" s="41"/>
      <c r="O1384" s="33">
        <v>50</v>
      </c>
      <c r="P1384" s="40"/>
      <c r="Q1384" s="40"/>
      <c r="R1384" s="40"/>
      <c r="S1384" s="40"/>
      <c r="T1384" s="40"/>
      <c r="U1384" s="40"/>
      <c r="V1384" s="40"/>
      <c r="W1384" s="40"/>
      <c r="X1384" s="40"/>
      <c r="Y1384" s="40"/>
      <c r="Z1384" s="40"/>
      <c r="AA1384" s="40"/>
      <c r="AB1384" s="40"/>
      <c r="AC1384" s="40"/>
      <c r="AD1384" s="40"/>
      <c r="AE1384" s="40"/>
      <c r="AF1384" s="40"/>
      <c r="AG1384" s="40"/>
      <c r="AH1384" s="40"/>
      <c r="AI1384" s="40"/>
      <c r="AJ1384" s="40"/>
      <c r="AK1384" s="40"/>
      <c r="AL1384" s="40"/>
      <c r="AM1384" s="40"/>
      <c r="AN1384" s="40"/>
      <c r="AO1384" s="40"/>
      <c r="AP1384" s="40"/>
      <c r="AQ1384" s="40"/>
      <c r="AR1384" s="40"/>
      <c r="AS1384" s="40"/>
      <c r="AT1384" s="40"/>
      <c r="AU1384" s="40"/>
      <c r="AV1384" s="108"/>
      <c r="AW1384" s="40"/>
      <c r="AX1384" s="40"/>
      <c r="AY1384" s="108"/>
      <c r="AZ1384" s="40"/>
      <c r="BA1384" s="40"/>
      <c r="BB1384" s="40"/>
      <c r="BC1384" s="40"/>
      <c r="BD1384" s="40"/>
      <c r="BE1384" s="40"/>
      <c r="BF1384" s="40"/>
      <c r="BG1384" s="40"/>
      <c r="BH1384" s="40"/>
      <c r="BI1384" s="40"/>
      <c r="BJ1384" s="40"/>
      <c r="BK1384" s="40"/>
      <c r="BL1384" s="62">
        <v>1</v>
      </c>
      <c r="BM1384" s="275">
        <v>3</v>
      </c>
      <c r="BN1384" s="62">
        <v>0.03</v>
      </c>
      <c r="BP1384" s="33" t="s">
        <v>602</v>
      </c>
    </row>
    <row r="1385" spans="1:68">
      <c r="A1385" s="33" t="str">
        <f>Database_Productkaarten[[#This Row],[Product]]&amp;", "&amp;Database_Productkaarten[[#This Row],[Levensfase]]</f>
        <v>Grasbetontegel CEM I 120 mm, Totaal</v>
      </c>
      <c r="B1385" s="33" t="s">
        <v>273</v>
      </c>
      <c r="C1385" t="s">
        <v>55</v>
      </c>
      <c r="D1385" s="33" t="s">
        <v>647</v>
      </c>
      <c r="E1385" s="33" t="s">
        <v>385</v>
      </c>
      <c r="F1385" s="33" t="s">
        <v>90</v>
      </c>
      <c r="G1385" s="33">
        <v>1</v>
      </c>
      <c r="H1385" s="33">
        <v>1</v>
      </c>
      <c r="I1385" s="33">
        <v>0.12</v>
      </c>
      <c r="L1385" s="33">
        <v>2.3319999999999999</v>
      </c>
      <c r="M1385" s="271">
        <v>0.1945305</v>
      </c>
      <c r="N1385" s="41"/>
      <c r="O1385" s="33">
        <v>50</v>
      </c>
      <c r="AV1385" s="316"/>
      <c r="AW1385" s="314"/>
      <c r="AX1385" s="314"/>
      <c r="AY1385" s="316"/>
      <c r="BL1385" s="62">
        <v>0</v>
      </c>
      <c r="BM1385" s="275">
        <v>3</v>
      </c>
      <c r="BN1385" s="62">
        <v>0.03</v>
      </c>
      <c r="BO1385" s="33" t="s">
        <v>642</v>
      </c>
      <c r="BP1385" s="33" t="s">
        <v>648</v>
      </c>
    </row>
    <row r="1386" spans="1:68">
      <c r="A1386" s="33" t="str">
        <f>Database_Productkaarten[[#This Row],[Product]]&amp;", "&amp;Database_Productkaarten[[#This Row],[Levensfase]]</f>
        <v>Grasbetontegel CEM I 120 mm, A1</v>
      </c>
      <c r="B1386" s="33" t="s">
        <v>273</v>
      </c>
      <c r="C1386" t="s">
        <v>55</v>
      </c>
      <c r="D1386" s="33" t="s">
        <v>647</v>
      </c>
      <c r="E1386" s="33" t="s">
        <v>385</v>
      </c>
      <c r="F1386" s="33" t="s">
        <v>74</v>
      </c>
      <c r="G1386" s="33">
        <v>1</v>
      </c>
      <c r="H1386" s="33">
        <v>1</v>
      </c>
      <c r="I1386" s="33">
        <v>0.12</v>
      </c>
      <c r="L1386" s="33">
        <v>2.3319999999999999</v>
      </c>
      <c r="M1386" s="271">
        <v>0.1945305</v>
      </c>
      <c r="N1386" s="41">
        <v>2.08</v>
      </c>
      <c r="O1386" s="33">
        <v>50</v>
      </c>
      <c r="R1386" s="33">
        <v>29.6</v>
      </c>
      <c r="AV1386" s="316">
        <v>5.74</v>
      </c>
      <c r="AW1386" s="314"/>
      <c r="AX1386" s="314"/>
      <c r="AY1386" s="316">
        <v>143</v>
      </c>
      <c r="BL1386" s="62">
        <v>0</v>
      </c>
      <c r="BM1386" s="275">
        <v>3</v>
      </c>
      <c r="BN1386" s="62">
        <v>0.03</v>
      </c>
      <c r="BO1386" s="33" t="s">
        <v>642</v>
      </c>
      <c r="BP1386" s="33" t="s">
        <v>648</v>
      </c>
    </row>
    <row r="1387" spans="1:68">
      <c r="A1387" s="33" t="str">
        <f>Database_Productkaarten[[#This Row],[Product]]&amp;", "&amp;Database_Productkaarten[[#This Row],[Levensfase]]</f>
        <v>Grasbetontegel CEM I 120 mm, A2</v>
      </c>
      <c r="B1387" s="33" t="s">
        <v>273</v>
      </c>
      <c r="C1387" t="s">
        <v>55</v>
      </c>
      <c r="D1387" s="33" t="s">
        <v>647</v>
      </c>
      <c r="E1387" s="33" t="s">
        <v>385</v>
      </c>
      <c r="F1387" s="33" t="s">
        <v>75</v>
      </c>
      <c r="G1387" s="33">
        <v>1</v>
      </c>
      <c r="H1387" s="33">
        <v>1</v>
      </c>
      <c r="I1387" s="33">
        <v>0.12</v>
      </c>
      <c r="L1387" s="33">
        <v>2.3319999999999999</v>
      </c>
      <c r="M1387" s="271">
        <v>0.1945305</v>
      </c>
      <c r="N1387" s="41"/>
      <c r="O1387" s="33">
        <v>50</v>
      </c>
      <c r="AV1387" s="316"/>
      <c r="AW1387" s="314"/>
      <c r="AX1387" s="314"/>
      <c r="AY1387" s="316"/>
      <c r="BL1387" s="62">
        <v>0</v>
      </c>
      <c r="BM1387" s="275">
        <v>3</v>
      </c>
      <c r="BN1387" s="62">
        <v>0.03</v>
      </c>
      <c r="BO1387" s="33" t="s">
        <v>642</v>
      </c>
      <c r="BP1387" s="33" t="s">
        <v>648</v>
      </c>
    </row>
    <row r="1388" spans="1:68">
      <c r="A1388" s="33" t="str">
        <f>Database_Productkaarten[[#This Row],[Product]]&amp;", "&amp;Database_Productkaarten[[#This Row],[Levensfase]]</f>
        <v>Grasbetontegel CEM I 120 mm, A3</v>
      </c>
      <c r="B1388" s="33" t="s">
        <v>273</v>
      </c>
      <c r="C1388" t="s">
        <v>55</v>
      </c>
      <c r="D1388" s="33" t="s">
        <v>647</v>
      </c>
      <c r="E1388" s="33" t="s">
        <v>385</v>
      </c>
      <c r="F1388" s="33" t="s">
        <v>76</v>
      </c>
      <c r="G1388" s="33">
        <v>1</v>
      </c>
      <c r="H1388" s="33">
        <v>1</v>
      </c>
      <c r="I1388" s="33">
        <v>0.12</v>
      </c>
      <c r="L1388" s="33">
        <v>2.3319999999999999</v>
      </c>
      <c r="M1388" s="271">
        <v>0.1945305</v>
      </c>
      <c r="N1388" s="41"/>
      <c r="O1388" s="33">
        <v>50</v>
      </c>
      <c r="AV1388" s="316"/>
      <c r="AW1388" s="314"/>
      <c r="AX1388" s="314"/>
      <c r="AY1388" s="316"/>
      <c r="BL1388" s="62">
        <v>0</v>
      </c>
      <c r="BM1388" s="275">
        <v>3</v>
      </c>
      <c r="BN1388" s="62">
        <v>0.03</v>
      </c>
      <c r="BO1388" s="33" t="s">
        <v>642</v>
      </c>
      <c r="BP1388" s="33" t="s">
        <v>648</v>
      </c>
    </row>
    <row r="1389" spans="1:68">
      <c r="A1389" s="451" t="str">
        <f>Database_Productkaarten[[#This Row],[Product]]&amp;", "&amp;Database_Productkaarten[[#This Row],[Levensfase]]</f>
        <v>Grasbetontegel CEM I 120 mm, A1-A3</v>
      </c>
      <c r="B1389" s="33" t="s">
        <v>273</v>
      </c>
      <c r="C1389" s="451" t="str">
        <f>C1388</f>
        <v>Elementenverhardingen</v>
      </c>
      <c r="D1389" s="33" t="s">
        <v>647</v>
      </c>
      <c r="E1389" s="451" t="str">
        <f>E1388</f>
        <v>m2</v>
      </c>
      <c r="F1389" s="451" t="s">
        <v>77</v>
      </c>
      <c r="G1389" s="451">
        <f t="shared" ref="G1389:M1389" si="574">G1388</f>
        <v>1</v>
      </c>
      <c r="H1389" s="451">
        <f t="shared" si="574"/>
        <v>1</v>
      </c>
      <c r="I1389" s="451">
        <f t="shared" si="574"/>
        <v>0.12</v>
      </c>
      <c r="J1389" s="451"/>
      <c r="K1389" s="451"/>
      <c r="L1389" s="451">
        <f t="shared" si="574"/>
        <v>2.3319999999999999</v>
      </c>
      <c r="M1389" s="454">
        <f t="shared" si="574"/>
        <v>0.1945305</v>
      </c>
      <c r="N1389" s="452">
        <f>SUM(N1386:N1388)</f>
        <v>2.08</v>
      </c>
      <c r="O1389" s="33">
        <v>50</v>
      </c>
      <c r="P1389" s="453">
        <f t="shared" ref="P1389:BK1389" si="575">SUM(P1386:P1388)</f>
        <v>0</v>
      </c>
      <c r="Q1389" s="453">
        <f t="shared" si="575"/>
        <v>0</v>
      </c>
      <c r="R1389" s="453">
        <f t="shared" si="575"/>
        <v>29.6</v>
      </c>
      <c r="S1389" s="453">
        <f t="shared" si="575"/>
        <v>0</v>
      </c>
      <c r="T1389" s="453">
        <f t="shared" si="575"/>
        <v>0</v>
      </c>
      <c r="U1389" s="453">
        <f t="shared" si="575"/>
        <v>0</v>
      </c>
      <c r="V1389" s="453">
        <f t="shared" si="575"/>
        <v>0</v>
      </c>
      <c r="W1389" s="453">
        <f t="shared" si="575"/>
        <v>0</v>
      </c>
      <c r="X1389" s="453">
        <f t="shared" si="575"/>
        <v>0</v>
      </c>
      <c r="Y1389" s="453">
        <f t="shared" si="575"/>
        <v>0</v>
      </c>
      <c r="Z1389" s="453">
        <f t="shared" si="575"/>
        <v>0</v>
      </c>
      <c r="AA1389" s="453">
        <f t="shared" si="575"/>
        <v>0</v>
      </c>
      <c r="AB1389" s="453">
        <f t="shared" si="575"/>
        <v>0</v>
      </c>
      <c r="AC1389" s="453">
        <f t="shared" si="575"/>
        <v>0</v>
      </c>
      <c r="AD1389" s="453">
        <f t="shared" si="575"/>
        <v>0</v>
      </c>
      <c r="AE1389" s="453">
        <f t="shared" si="575"/>
        <v>0</v>
      </c>
      <c r="AF1389" s="453">
        <f t="shared" si="575"/>
        <v>0</v>
      </c>
      <c r="AG1389" s="453">
        <f t="shared" si="575"/>
        <v>0</v>
      </c>
      <c r="AH1389" s="453">
        <f t="shared" si="575"/>
        <v>0</v>
      </c>
      <c r="AI1389" s="453">
        <f t="shared" si="575"/>
        <v>0</v>
      </c>
      <c r="AJ1389" s="453">
        <f t="shared" si="575"/>
        <v>0</v>
      </c>
      <c r="AK1389" s="453">
        <f t="shared" si="575"/>
        <v>0</v>
      </c>
      <c r="AL1389" s="453">
        <f t="shared" si="575"/>
        <v>0</v>
      </c>
      <c r="AM1389" s="453">
        <f t="shared" si="575"/>
        <v>0</v>
      </c>
      <c r="AN1389" s="453">
        <f t="shared" si="575"/>
        <v>0</v>
      </c>
      <c r="AO1389" s="453">
        <f t="shared" si="575"/>
        <v>0</v>
      </c>
      <c r="AP1389" s="453">
        <f t="shared" si="575"/>
        <v>0</v>
      </c>
      <c r="AQ1389" s="453">
        <f t="shared" si="575"/>
        <v>0</v>
      </c>
      <c r="AR1389" s="453">
        <f t="shared" si="575"/>
        <v>0</v>
      </c>
      <c r="AS1389" s="453">
        <f t="shared" si="575"/>
        <v>0</v>
      </c>
      <c r="AT1389" s="453">
        <f t="shared" si="575"/>
        <v>0</v>
      </c>
      <c r="AU1389" s="453">
        <f t="shared" si="575"/>
        <v>0</v>
      </c>
      <c r="AV1389" s="453">
        <f t="shared" si="575"/>
        <v>5.74</v>
      </c>
      <c r="AW1389" s="453">
        <f t="shared" si="575"/>
        <v>0</v>
      </c>
      <c r="AX1389" s="453">
        <f t="shared" si="575"/>
        <v>0</v>
      </c>
      <c r="AY1389" s="453">
        <f t="shared" si="575"/>
        <v>143</v>
      </c>
      <c r="AZ1389" s="453">
        <f t="shared" si="575"/>
        <v>0</v>
      </c>
      <c r="BA1389" s="453">
        <f t="shared" si="575"/>
        <v>0</v>
      </c>
      <c r="BB1389" s="453">
        <f t="shared" si="575"/>
        <v>0</v>
      </c>
      <c r="BC1389" s="453">
        <f t="shared" si="575"/>
        <v>0</v>
      </c>
      <c r="BD1389" s="453">
        <f t="shared" si="575"/>
        <v>0</v>
      </c>
      <c r="BE1389" s="453">
        <f t="shared" si="575"/>
        <v>0</v>
      </c>
      <c r="BF1389" s="453">
        <f t="shared" si="575"/>
        <v>0</v>
      </c>
      <c r="BG1389" s="453">
        <f t="shared" si="575"/>
        <v>0</v>
      </c>
      <c r="BH1389" s="453">
        <f t="shared" si="575"/>
        <v>0</v>
      </c>
      <c r="BI1389" s="453">
        <f t="shared" si="575"/>
        <v>0</v>
      </c>
      <c r="BJ1389" s="453">
        <f t="shared" si="575"/>
        <v>0</v>
      </c>
      <c r="BK1389" s="453">
        <f t="shared" si="575"/>
        <v>0</v>
      </c>
      <c r="BL1389" s="62">
        <f>BL1388</f>
        <v>0</v>
      </c>
      <c r="BM1389" s="275">
        <f>BM1388</f>
        <v>3</v>
      </c>
      <c r="BN1389" s="62">
        <v>0.03</v>
      </c>
      <c r="BO1389" s="451" t="str">
        <f>BO1388</f>
        <v>NMD H83 Elementverharding V1.5</v>
      </c>
      <c r="BP1389" s="451"/>
    </row>
    <row r="1390" spans="1:68">
      <c r="A1390" s="33" t="str">
        <f>Database_Productkaarten[[#This Row],[Product]]&amp;", "&amp;Database_Productkaarten[[#This Row],[Levensfase]]</f>
        <v>Grasbetontegel CEM I 120 mm, A4</v>
      </c>
      <c r="B1390" s="33" t="s">
        <v>273</v>
      </c>
      <c r="C1390" t="s">
        <v>55</v>
      </c>
      <c r="D1390" s="33" t="s">
        <v>647</v>
      </c>
      <c r="E1390" s="33" t="s">
        <v>385</v>
      </c>
      <c r="F1390" s="33" t="s">
        <v>78</v>
      </c>
      <c r="G1390" s="33">
        <v>1</v>
      </c>
      <c r="H1390" s="33">
        <v>1</v>
      </c>
      <c r="I1390" s="33">
        <v>0.12</v>
      </c>
      <c r="L1390" s="33">
        <v>2.3319999999999999</v>
      </c>
      <c r="M1390" s="271">
        <v>0.1945305</v>
      </c>
      <c r="N1390" s="41">
        <v>0.27</v>
      </c>
      <c r="O1390" s="33">
        <v>50</v>
      </c>
      <c r="R1390" s="33">
        <v>2.4300000000000002</v>
      </c>
      <c r="AV1390" s="316">
        <v>0.65700000000000003</v>
      </c>
      <c r="AW1390" s="314"/>
      <c r="AX1390" s="314"/>
      <c r="AY1390" s="316">
        <v>42</v>
      </c>
      <c r="BL1390" s="62">
        <v>0</v>
      </c>
      <c r="BM1390" s="275">
        <v>3</v>
      </c>
      <c r="BN1390" s="62">
        <v>0.03</v>
      </c>
      <c r="BO1390" s="33" t="s">
        <v>642</v>
      </c>
      <c r="BP1390" s="33" t="s">
        <v>648</v>
      </c>
    </row>
    <row r="1391" spans="1:68">
      <c r="A1391" s="33" t="str">
        <f>Database_Productkaarten[[#This Row],[Product]]&amp;", "&amp;Database_Productkaarten[[#This Row],[Levensfase]]</f>
        <v>Grasbetontegel CEM I 120 mm, A5</v>
      </c>
      <c r="B1391" s="33" t="s">
        <v>273</v>
      </c>
      <c r="C1391" t="s">
        <v>55</v>
      </c>
      <c r="D1391" s="33" t="s">
        <v>647</v>
      </c>
      <c r="E1391" s="33" t="s">
        <v>385</v>
      </c>
      <c r="F1391" s="33" t="s">
        <v>79</v>
      </c>
      <c r="G1391" s="33">
        <v>1</v>
      </c>
      <c r="H1391" s="33">
        <v>1</v>
      </c>
      <c r="I1391" s="33">
        <v>0.12</v>
      </c>
      <c r="L1391" s="33">
        <v>2.3319999999999999</v>
      </c>
      <c r="M1391" s="271">
        <v>0.1945305</v>
      </c>
      <c r="N1391" s="41">
        <v>0.59</v>
      </c>
      <c r="O1391" s="33">
        <v>50</v>
      </c>
      <c r="R1391" s="33">
        <v>6.56</v>
      </c>
      <c r="AV1391" s="316">
        <v>0.80700000000000005</v>
      </c>
      <c r="AW1391" s="314"/>
      <c r="AX1391" s="314"/>
      <c r="AY1391" s="316">
        <v>91</v>
      </c>
      <c r="BL1391" s="62">
        <v>0</v>
      </c>
      <c r="BM1391" s="275">
        <v>3</v>
      </c>
      <c r="BN1391" s="62">
        <v>0.03</v>
      </c>
      <c r="BO1391" s="33" t="s">
        <v>642</v>
      </c>
      <c r="BP1391" s="33" t="s">
        <v>648</v>
      </c>
    </row>
    <row r="1392" spans="1:68">
      <c r="A1392" s="33" t="str">
        <f>Database_Productkaarten[[#This Row],[Product]]&amp;", "&amp;Database_Productkaarten[[#This Row],[Levensfase]]</f>
        <v>Grasbetontegel CEM I 120 mm, B1</v>
      </c>
      <c r="B1392" s="33" t="s">
        <v>273</v>
      </c>
      <c r="C1392" t="s">
        <v>55</v>
      </c>
      <c r="D1392" s="33" t="s">
        <v>647</v>
      </c>
      <c r="E1392" s="33" t="s">
        <v>385</v>
      </c>
      <c r="F1392" s="33" t="s">
        <v>80</v>
      </c>
      <c r="G1392" s="33">
        <v>1</v>
      </c>
      <c r="H1392" s="33">
        <v>1</v>
      </c>
      <c r="I1392" s="33">
        <v>0.12</v>
      </c>
      <c r="L1392" s="33">
        <v>2.3319999999999999</v>
      </c>
      <c r="M1392" s="271">
        <v>0.1945305</v>
      </c>
      <c r="N1392" s="41"/>
      <c r="O1392" s="33">
        <v>50</v>
      </c>
      <c r="AV1392" s="316"/>
      <c r="AW1392" s="314"/>
      <c r="AX1392" s="314"/>
      <c r="AY1392" s="316"/>
      <c r="BL1392" s="62">
        <v>0</v>
      </c>
      <c r="BM1392" s="275">
        <v>3</v>
      </c>
      <c r="BN1392" s="62">
        <v>0.03</v>
      </c>
      <c r="BO1392" s="33" t="s">
        <v>642</v>
      </c>
      <c r="BP1392" s="33" t="s">
        <v>648</v>
      </c>
    </row>
    <row r="1393" spans="1:68">
      <c r="A1393" s="33" t="str">
        <f>Database_Productkaarten[[#This Row],[Product]]&amp;", "&amp;Database_Productkaarten[[#This Row],[Levensfase]]</f>
        <v>Grasbetontegel CEM I 120 mm, C1</v>
      </c>
      <c r="B1393" s="33" t="s">
        <v>273</v>
      </c>
      <c r="C1393" t="s">
        <v>55</v>
      </c>
      <c r="D1393" s="33" t="s">
        <v>647</v>
      </c>
      <c r="E1393" s="33" t="s">
        <v>385</v>
      </c>
      <c r="F1393" s="33" t="s">
        <v>83</v>
      </c>
      <c r="G1393" s="33">
        <v>1</v>
      </c>
      <c r="H1393" s="33">
        <v>1</v>
      </c>
      <c r="I1393" s="33">
        <v>0.12</v>
      </c>
      <c r="L1393" s="33">
        <v>2.3319999999999999</v>
      </c>
      <c r="M1393" s="271">
        <v>0.1945305</v>
      </c>
      <c r="N1393" s="41">
        <v>0.16</v>
      </c>
      <c r="O1393" s="33">
        <v>50</v>
      </c>
      <c r="R1393" s="33">
        <v>1.68</v>
      </c>
      <c r="AV1393" s="316">
        <v>0.186</v>
      </c>
      <c r="AW1393" s="314"/>
      <c r="AX1393" s="314"/>
      <c r="AY1393" s="316">
        <v>25.6</v>
      </c>
      <c r="BL1393" s="62">
        <v>0</v>
      </c>
      <c r="BM1393" s="275">
        <v>3</v>
      </c>
      <c r="BN1393" s="62">
        <v>0.03</v>
      </c>
      <c r="BO1393" s="33" t="s">
        <v>642</v>
      </c>
      <c r="BP1393" s="33" t="s">
        <v>648</v>
      </c>
    </row>
    <row r="1394" spans="1:68">
      <c r="A1394" s="33" t="str">
        <f>Database_Productkaarten[[#This Row],[Product]]&amp;", "&amp;Database_Productkaarten[[#This Row],[Levensfase]]</f>
        <v>Grasbetontegel CEM I 120 mm, C2</v>
      </c>
      <c r="B1394" s="33" t="s">
        <v>273</v>
      </c>
      <c r="C1394" t="s">
        <v>55</v>
      </c>
      <c r="D1394" s="33" t="s">
        <v>647</v>
      </c>
      <c r="E1394" s="33" t="s">
        <v>385</v>
      </c>
      <c r="F1394" s="33" t="s">
        <v>84</v>
      </c>
      <c r="G1394" s="33">
        <v>1</v>
      </c>
      <c r="H1394" s="33">
        <v>1</v>
      </c>
      <c r="I1394" s="33">
        <v>0.12</v>
      </c>
      <c r="L1394" s="33">
        <v>2.3319999999999999</v>
      </c>
      <c r="M1394" s="271">
        <v>0.1945305</v>
      </c>
      <c r="N1394" s="41">
        <v>0.09</v>
      </c>
      <c r="O1394" s="33">
        <v>50</v>
      </c>
      <c r="R1394" s="33">
        <v>0.81799999999999995</v>
      </c>
      <c r="AV1394" s="316">
        <v>0.221</v>
      </c>
      <c r="AW1394" s="314"/>
      <c r="AX1394" s="314"/>
      <c r="AY1394" s="316">
        <v>14.1</v>
      </c>
      <c r="BL1394" s="62">
        <v>0</v>
      </c>
      <c r="BM1394" s="275">
        <v>3</v>
      </c>
      <c r="BN1394" s="62">
        <v>0.03</v>
      </c>
      <c r="BO1394" s="33" t="s">
        <v>642</v>
      </c>
      <c r="BP1394" s="33" t="s">
        <v>648</v>
      </c>
    </row>
    <row r="1395" spans="1:68">
      <c r="A1395" s="33" t="str">
        <f>Database_Productkaarten[[#This Row],[Product]]&amp;", "&amp;Database_Productkaarten[[#This Row],[Levensfase]]</f>
        <v>Grasbetontegel CEM I 120 mm, C3</v>
      </c>
      <c r="B1395" s="33" t="s">
        <v>273</v>
      </c>
      <c r="C1395" t="s">
        <v>55</v>
      </c>
      <c r="D1395" s="33" t="s">
        <v>647</v>
      </c>
      <c r="E1395" s="33" t="s">
        <v>385</v>
      </c>
      <c r="F1395" s="33" t="s">
        <v>85</v>
      </c>
      <c r="G1395" s="33">
        <v>1</v>
      </c>
      <c r="H1395" s="33">
        <v>1</v>
      </c>
      <c r="I1395" s="33">
        <v>0.12</v>
      </c>
      <c r="L1395" s="33">
        <v>2.3319999999999999</v>
      </c>
      <c r="M1395" s="271">
        <v>0.1945305</v>
      </c>
      <c r="N1395" s="41">
        <v>0.03</v>
      </c>
      <c r="O1395" s="33">
        <v>50</v>
      </c>
      <c r="R1395" s="33">
        <v>0.307</v>
      </c>
      <c r="AV1395" s="316">
        <v>0.247</v>
      </c>
      <c r="AW1395" s="314"/>
      <c r="AX1395" s="314"/>
      <c r="AY1395" s="316">
        <v>4.62</v>
      </c>
      <c r="BL1395" s="62">
        <v>0</v>
      </c>
      <c r="BM1395" s="275">
        <v>3</v>
      </c>
      <c r="BN1395" s="62">
        <v>0.03</v>
      </c>
      <c r="BO1395" s="33" t="s">
        <v>642</v>
      </c>
      <c r="BP1395" s="33" t="s">
        <v>648</v>
      </c>
    </row>
    <row r="1396" spans="1:68">
      <c r="A1396" s="33" t="str">
        <f>Database_Productkaarten[[#This Row],[Product]]&amp;", "&amp;Database_Productkaarten[[#This Row],[Levensfase]]</f>
        <v>Grasbetontegel CEM I 120 mm, C4</v>
      </c>
      <c r="B1396" s="33" t="s">
        <v>273</v>
      </c>
      <c r="C1396" t="s">
        <v>55</v>
      </c>
      <c r="D1396" s="33" t="s">
        <v>647</v>
      </c>
      <c r="E1396" s="33" t="s">
        <v>385</v>
      </c>
      <c r="F1396" s="33" t="s">
        <v>86</v>
      </c>
      <c r="G1396" s="33">
        <v>1</v>
      </c>
      <c r="H1396" s="33">
        <v>1</v>
      </c>
      <c r="I1396" s="33">
        <v>0.12</v>
      </c>
      <c r="L1396" s="33">
        <v>2.3319999999999999</v>
      </c>
      <c r="M1396" s="271">
        <v>0.1945305</v>
      </c>
      <c r="N1396" s="41">
        <v>0</v>
      </c>
      <c r="O1396" s="33">
        <v>50</v>
      </c>
      <c r="R1396" s="33">
        <v>1.01E-2</v>
      </c>
      <c r="AV1396" s="316">
        <v>2.5500000000000002E-3</v>
      </c>
      <c r="AW1396" s="314"/>
      <c r="AX1396" s="314"/>
      <c r="AY1396" s="316">
        <v>0.33100000000000002</v>
      </c>
      <c r="BL1396" s="62">
        <v>0</v>
      </c>
      <c r="BM1396" s="275">
        <v>3</v>
      </c>
      <c r="BN1396" s="62">
        <v>0.03</v>
      </c>
      <c r="BO1396" s="33" t="s">
        <v>642</v>
      </c>
      <c r="BP1396" s="33" t="s">
        <v>648</v>
      </c>
    </row>
    <row r="1397" spans="1:68">
      <c r="A1397" s="33" t="str">
        <f>Database_Productkaarten[[#This Row],[Product]]&amp;", "&amp;Database_Productkaarten[[#This Row],[Levensfase]]</f>
        <v>Grasbetontegel CEM I 120 mm, D</v>
      </c>
      <c r="B1397" s="33" t="s">
        <v>273</v>
      </c>
      <c r="C1397" s="33" t="str">
        <f>C1398</f>
        <v>Elementenverhardingen</v>
      </c>
      <c r="D1397" s="33" t="s">
        <v>647</v>
      </c>
      <c r="E1397" s="33" t="str">
        <f>E1398</f>
        <v>m2</v>
      </c>
      <c r="F1397" s="33" t="s">
        <v>89</v>
      </c>
      <c r="G1397" s="33">
        <f t="shared" ref="G1397:M1397" si="576">G1398</f>
        <v>1</v>
      </c>
      <c r="H1397" s="33">
        <f t="shared" si="576"/>
        <v>1</v>
      </c>
      <c r="I1397" s="33">
        <f t="shared" si="576"/>
        <v>0.12</v>
      </c>
      <c r="L1397" s="33">
        <f t="shared" si="576"/>
        <v>2.3319999999999999</v>
      </c>
      <c r="M1397" s="45">
        <f t="shared" si="576"/>
        <v>0.1945305</v>
      </c>
      <c r="N1397" s="41">
        <f>SUM(N1398:N1399)</f>
        <v>-0.1</v>
      </c>
      <c r="O1397" s="33">
        <v>50</v>
      </c>
      <c r="P1397" s="40">
        <f>SUM(P1398:P1399)</f>
        <v>0</v>
      </c>
      <c r="Q1397" s="40">
        <f>SUM(Q1398:Q1399)</f>
        <v>0</v>
      </c>
      <c r="R1397" s="40">
        <f>SUM(R1398:R1399)</f>
        <v>-0.79700000000000004</v>
      </c>
      <c r="S1397" s="40">
        <f t="shared" ref="S1397:BK1397" si="577">SUM(S1398:S1399)</f>
        <v>0</v>
      </c>
      <c r="T1397" s="40">
        <f t="shared" si="577"/>
        <v>0</v>
      </c>
      <c r="U1397" s="40">
        <f t="shared" si="577"/>
        <v>0</v>
      </c>
      <c r="V1397" s="40">
        <f t="shared" si="577"/>
        <v>0</v>
      </c>
      <c r="W1397" s="40">
        <f t="shared" si="577"/>
        <v>0</v>
      </c>
      <c r="X1397" s="40">
        <f t="shared" si="577"/>
        <v>0</v>
      </c>
      <c r="Y1397" s="40">
        <f t="shared" si="577"/>
        <v>0</v>
      </c>
      <c r="Z1397" s="40">
        <f t="shared" si="577"/>
        <v>0</v>
      </c>
      <c r="AA1397" s="40">
        <f t="shared" si="577"/>
        <v>0</v>
      </c>
      <c r="AB1397" s="40">
        <f t="shared" si="577"/>
        <v>0</v>
      </c>
      <c r="AC1397" s="40">
        <f t="shared" si="577"/>
        <v>0</v>
      </c>
      <c r="AD1397" s="40">
        <f t="shared" si="577"/>
        <v>0</v>
      </c>
      <c r="AE1397" s="40">
        <f t="shared" si="577"/>
        <v>0</v>
      </c>
      <c r="AF1397" s="40">
        <f t="shared" si="577"/>
        <v>0</v>
      </c>
      <c r="AG1397" s="40">
        <f t="shared" si="577"/>
        <v>0</v>
      </c>
      <c r="AH1397" s="40">
        <f t="shared" si="577"/>
        <v>0</v>
      </c>
      <c r="AI1397" s="40">
        <f t="shared" si="577"/>
        <v>0</v>
      </c>
      <c r="AJ1397" s="40">
        <f t="shared" si="577"/>
        <v>0</v>
      </c>
      <c r="AK1397" s="40">
        <f t="shared" si="577"/>
        <v>0</v>
      </c>
      <c r="AL1397" s="40">
        <f t="shared" si="577"/>
        <v>0</v>
      </c>
      <c r="AM1397" s="40">
        <f t="shared" si="577"/>
        <v>0</v>
      </c>
      <c r="AN1397" s="40">
        <f t="shared" si="577"/>
        <v>0</v>
      </c>
      <c r="AO1397" s="40">
        <f t="shared" si="577"/>
        <v>0</v>
      </c>
      <c r="AP1397" s="40">
        <f t="shared" si="577"/>
        <v>0</v>
      </c>
      <c r="AQ1397" s="40">
        <f t="shared" si="577"/>
        <v>0</v>
      </c>
      <c r="AR1397" s="40">
        <f t="shared" si="577"/>
        <v>0</v>
      </c>
      <c r="AS1397" s="40">
        <f t="shared" si="577"/>
        <v>0</v>
      </c>
      <c r="AT1397" s="40">
        <f t="shared" si="577"/>
        <v>0</v>
      </c>
      <c r="AU1397" s="40">
        <f t="shared" si="577"/>
        <v>0</v>
      </c>
      <c r="AV1397" s="317">
        <f t="shared" si="577"/>
        <v>-0.67300000000000004</v>
      </c>
      <c r="AW1397" s="317">
        <f t="shared" si="577"/>
        <v>0</v>
      </c>
      <c r="AX1397" s="317">
        <f t="shared" si="577"/>
        <v>0</v>
      </c>
      <c r="AY1397" s="317">
        <f t="shared" si="577"/>
        <v>-11</v>
      </c>
      <c r="AZ1397" s="40">
        <f t="shared" si="577"/>
        <v>0</v>
      </c>
      <c r="BA1397" s="40">
        <f t="shared" si="577"/>
        <v>0</v>
      </c>
      <c r="BB1397" s="40">
        <f t="shared" si="577"/>
        <v>0</v>
      </c>
      <c r="BC1397" s="40">
        <f t="shared" si="577"/>
        <v>0</v>
      </c>
      <c r="BD1397" s="40">
        <f t="shared" si="577"/>
        <v>0</v>
      </c>
      <c r="BE1397" s="40">
        <f t="shared" si="577"/>
        <v>0</v>
      </c>
      <c r="BF1397" s="40">
        <f t="shared" si="577"/>
        <v>0</v>
      </c>
      <c r="BG1397" s="40">
        <f t="shared" si="577"/>
        <v>0</v>
      </c>
      <c r="BH1397" s="40">
        <f t="shared" si="577"/>
        <v>0</v>
      </c>
      <c r="BI1397" s="40">
        <f t="shared" si="577"/>
        <v>0</v>
      </c>
      <c r="BJ1397" s="40">
        <f t="shared" si="577"/>
        <v>0</v>
      </c>
      <c r="BK1397" s="40">
        <f t="shared" si="577"/>
        <v>0</v>
      </c>
      <c r="BL1397" s="62">
        <f>BL1398</f>
        <v>0</v>
      </c>
      <c r="BM1397" s="275">
        <f>BM1398</f>
        <v>3</v>
      </c>
      <c r="BN1397" s="62">
        <v>0.03</v>
      </c>
      <c r="BO1397" s="33" t="str">
        <f>BO1398</f>
        <v>NMD H83 Elementverharding V1.5</v>
      </c>
    </row>
    <row r="1398" spans="1:68">
      <c r="A1398" s="33" t="str">
        <f>Database_Productkaarten[[#This Row],[Product]]&amp;", "&amp;Database_Productkaarten[[#This Row],[Levensfase]]</f>
        <v>Grasbetontegel CEM I 120 mm, D1</v>
      </c>
      <c r="B1398" s="33" t="s">
        <v>273</v>
      </c>
      <c r="C1398" t="s">
        <v>55</v>
      </c>
      <c r="D1398" s="33" t="s">
        <v>647</v>
      </c>
      <c r="E1398" s="33" t="s">
        <v>385</v>
      </c>
      <c r="F1398" s="33" t="s">
        <v>87</v>
      </c>
      <c r="G1398" s="33">
        <v>1</v>
      </c>
      <c r="H1398" s="33">
        <v>1</v>
      </c>
      <c r="I1398" s="33">
        <v>0.12</v>
      </c>
      <c r="L1398" s="33">
        <v>2.3319999999999999</v>
      </c>
      <c r="M1398" s="271">
        <v>0.1945305</v>
      </c>
      <c r="N1398" s="41">
        <v>-0.1</v>
      </c>
      <c r="O1398" s="33">
        <v>50</v>
      </c>
      <c r="R1398" s="33">
        <v>-0.79700000000000004</v>
      </c>
      <c r="AV1398" s="316">
        <v>-0.67300000000000004</v>
      </c>
      <c r="AW1398" s="314"/>
      <c r="AX1398" s="314"/>
      <c r="AY1398" s="316">
        <v>-11</v>
      </c>
      <c r="BL1398" s="62">
        <v>0</v>
      </c>
      <c r="BM1398" s="275">
        <v>3</v>
      </c>
      <c r="BN1398" s="62">
        <v>0.03</v>
      </c>
      <c r="BO1398" s="33" t="s">
        <v>642</v>
      </c>
      <c r="BP1398" s="33" t="s">
        <v>648</v>
      </c>
    </row>
    <row r="1399" spans="1:68">
      <c r="A1399" s="33" t="str">
        <f>Database_Productkaarten[[#This Row],[Product]]&amp;", "&amp;Database_Productkaarten[[#This Row],[Levensfase]]</f>
        <v>Grasbetontegel CEM I 120 mm, D2</v>
      </c>
      <c r="B1399" s="33" t="s">
        <v>273</v>
      </c>
      <c r="C1399" t="s">
        <v>55</v>
      </c>
      <c r="D1399" s="33" t="s">
        <v>647</v>
      </c>
      <c r="E1399" s="33" t="s">
        <v>385</v>
      </c>
      <c r="F1399" s="33" t="s">
        <v>88</v>
      </c>
      <c r="G1399" s="33">
        <v>1</v>
      </c>
      <c r="H1399" s="33">
        <v>1</v>
      </c>
      <c r="I1399" s="33">
        <v>0.12</v>
      </c>
      <c r="L1399" s="33">
        <v>2.3319999999999999</v>
      </c>
      <c r="M1399" s="271">
        <v>0.1945305</v>
      </c>
      <c r="N1399" s="41"/>
      <c r="O1399" s="33">
        <v>50</v>
      </c>
      <c r="AV1399" s="316"/>
      <c r="AW1399" s="314"/>
      <c r="AX1399" s="314"/>
      <c r="AY1399" s="316"/>
      <c r="BL1399" s="62">
        <v>0</v>
      </c>
      <c r="BM1399" s="275">
        <v>3</v>
      </c>
      <c r="BN1399" s="62">
        <v>0.03</v>
      </c>
      <c r="BO1399" s="33" t="s">
        <v>642</v>
      </c>
      <c r="BP1399" s="33" t="s">
        <v>648</v>
      </c>
    </row>
    <row r="1400" spans="1:68">
      <c r="A1400" s="33" t="str">
        <f>Database_Productkaarten[[#This Row],[Product]]&amp;", "&amp;Database_Productkaarten[[#This Row],[Levensfase]]</f>
        <v>Grasbetontegel CEM I 120 mm (hergebruik), Totaal</v>
      </c>
      <c r="B1400" s="33" t="s">
        <v>649</v>
      </c>
      <c r="C1400" t="s">
        <v>55</v>
      </c>
      <c r="D1400" s="33" t="s">
        <v>647</v>
      </c>
      <c r="E1400" s="33" t="s">
        <v>385</v>
      </c>
      <c r="F1400" s="33" t="s">
        <v>90</v>
      </c>
      <c r="G1400" s="33">
        <v>1</v>
      </c>
      <c r="H1400" s="33">
        <v>1</v>
      </c>
      <c r="I1400" s="33">
        <v>0.12</v>
      </c>
      <c r="L1400" s="33">
        <v>2.3319999999999999</v>
      </c>
      <c r="M1400" s="271">
        <v>0.1945305</v>
      </c>
      <c r="N1400" s="41">
        <f>SUM(N1404:N1412)</f>
        <v>1.3480000000000001</v>
      </c>
      <c r="O1400" s="33">
        <v>50</v>
      </c>
      <c r="P1400" s="163">
        <f t="shared" ref="P1400:Z1400" si="578">SUM(P1404:P1412)</f>
        <v>0</v>
      </c>
      <c r="Q1400" s="163">
        <f t="shared" si="578"/>
        <v>0</v>
      </c>
      <c r="R1400" s="163">
        <f t="shared" si="578"/>
        <v>14.7651</v>
      </c>
      <c r="S1400" s="163">
        <f t="shared" si="578"/>
        <v>0</v>
      </c>
      <c r="T1400" s="163">
        <f t="shared" si="578"/>
        <v>0</v>
      </c>
      <c r="U1400" s="163">
        <f t="shared" si="578"/>
        <v>0</v>
      </c>
      <c r="V1400" s="163">
        <f t="shared" si="578"/>
        <v>0</v>
      </c>
      <c r="W1400" s="163">
        <f t="shared" si="578"/>
        <v>0</v>
      </c>
      <c r="X1400" s="163">
        <f t="shared" si="578"/>
        <v>0</v>
      </c>
      <c r="Y1400" s="163">
        <f t="shared" si="578"/>
        <v>0</v>
      </c>
      <c r="Z1400" s="163">
        <f t="shared" si="578"/>
        <v>0</v>
      </c>
      <c r="AA1400" s="40"/>
      <c r="AB1400" s="40"/>
      <c r="AC1400" s="40"/>
      <c r="AD1400" s="40"/>
      <c r="AE1400" s="40"/>
      <c r="AF1400" s="40"/>
      <c r="AG1400" s="40"/>
      <c r="AH1400" s="40"/>
      <c r="AI1400" s="40"/>
      <c r="AJ1400" s="40"/>
      <c r="AK1400" s="40"/>
      <c r="AL1400" s="40"/>
      <c r="AM1400" s="40"/>
      <c r="AN1400" s="40"/>
      <c r="AO1400" s="40"/>
      <c r="AP1400" s="40"/>
      <c r="AQ1400" s="40"/>
      <c r="AR1400" s="40"/>
      <c r="AS1400" s="40"/>
      <c r="AT1400" s="40"/>
      <c r="AU1400" s="40"/>
      <c r="AV1400" s="163">
        <f>SUM(AV1404:AV1412)</f>
        <v>2.6945499999999996</v>
      </c>
      <c r="AW1400" s="40"/>
      <c r="AX1400" s="40"/>
      <c r="AY1400" s="163">
        <f>SUM(AY1404:AY1412)</f>
        <v>191.95099999999999</v>
      </c>
      <c r="AZ1400" s="40"/>
      <c r="BA1400" s="40"/>
      <c r="BB1400" s="40"/>
      <c r="BC1400" s="163">
        <f t="shared" ref="BC1400:BE1400" si="579">SUM(BC1404:BC1412)</f>
        <v>0</v>
      </c>
      <c r="BD1400" s="163">
        <f t="shared" si="579"/>
        <v>0</v>
      </c>
      <c r="BE1400" s="163">
        <f t="shared" si="579"/>
        <v>0</v>
      </c>
      <c r="BF1400" s="40"/>
      <c r="BG1400" s="40"/>
      <c r="BH1400" s="40"/>
      <c r="BI1400" s="40"/>
      <c r="BJ1400" s="40"/>
      <c r="BK1400" s="40"/>
      <c r="BL1400" s="62">
        <v>1</v>
      </c>
      <c r="BM1400" s="275">
        <v>3</v>
      </c>
      <c r="BN1400" s="62">
        <v>0.03</v>
      </c>
      <c r="BP1400" s="33" t="s">
        <v>602</v>
      </c>
    </row>
    <row r="1401" spans="1:68">
      <c r="A1401" s="33" t="str">
        <f>Database_Productkaarten[[#This Row],[Product]]&amp;", "&amp;Database_Productkaarten[[#This Row],[Levensfase]]</f>
        <v>Grasbetontegel CEM I 120 mm (hergebruik), A1</v>
      </c>
      <c r="B1401" s="33" t="s">
        <v>649</v>
      </c>
      <c r="C1401" t="s">
        <v>55</v>
      </c>
      <c r="D1401" s="33" t="s">
        <v>647</v>
      </c>
      <c r="E1401" s="33" t="s">
        <v>385</v>
      </c>
      <c r="F1401" s="33" t="s">
        <v>74</v>
      </c>
      <c r="G1401" s="33">
        <v>1</v>
      </c>
      <c r="H1401" s="33">
        <v>1</v>
      </c>
      <c r="I1401" s="33">
        <v>0.12</v>
      </c>
      <c r="L1401" s="33">
        <v>2.3319999999999999</v>
      </c>
      <c r="M1401" s="271">
        <v>0.1945305</v>
      </c>
      <c r="N1401" s="41">
        <v>0</v>
      </c>
      <c r="O1401" s="33">
        <v>50</v>
      </c>
      <c r="P1401" s="163">
        <v>0</v>
      </c>
      <c r="Q1401" s="163">
        <v>0</v>
      </c>
      <c r="R1401" s="163">
        <v>0</v>
      </c>
      <c r="S1401" s="163">
        <v>0</v>
      </c>
      <c r="T1401" s="163">
        <v>0</v>
      </c>
      <c r="U1401" s="163">
        <v>0</v>
      </c>
      <c r="V1401" s="163">
        <v>0</v>
      </c>
      <c r="W1401" s="163">
        <v>0</v>
      </c>
      <c r="X1401" s="163">
        <v>0</v>
      </c>
      <c r="Y1401" s="163">
        <v>0</v>
      </c>
      <c r="Z1401" s="163">
        <v>0</v>
      </c>
      <c r="AA1401" s="40"/>
      <c r="AB1401" s="40"/>
      <c r="AC1401" s="40"/>
      <c r="AD1401" s="40"/>
      <c r="AE1401" s="40"/>
      <c r="AF1401" s="40"/>
      <c r="AG1401" s="40"/>
      <c r="AH1401" s="40"/>
      <c r="AI1401" s="40"/>
      <c r="AJ1401" s="40"/>
      <c r="AK1401" s="40"/>
      <c r="AL1401" s="40"/>
      <c r="AM1401" s="40"/>
      <c r="AN1401" s="40"/>
      <c r="AO1401" s="40"/>
      <c r="AP1401" s="40"/>
      <c r="AQ1401" s="40"/>
      <c r="AR1401" s="40"/>
      <c r="AS1401" s="40"/>
      <c r="AT1401" s="40"/>
      <c r="AU1401" s="40"/>
      <c r="AV1401" s="163">
        <v>0</v>
      </c>
      <c r="AW1401" s="40"/>
      <c r="AX1401" s="40"/>
      <c r="AY1401" s="163">
        <v>0</v>
      </c>
      <c r="AZ1401" s="40"/>
      <c r="BA1401" s="40"/>
      <c r="BB1401" s="40"/>
      <c r="BC1401" s="163">
        <v>0</v>
      </c>
      <c r="BD1401" s="163">
        <v>0</v>
      </c>
      <c r="BE1401" s="163">
        <v>0</v>
      </c>
      <c r="BF1401" s="40"/>
      <c r="BG1401" s="40"/>
      <c r="BH1401" s="40"/>
      <c r="BI1401" s="40"/>
      <c r="BJ1401" s="40"/>
      <c r="BK1401" s="40"/>
      <c r="BL1401" s="62">
        <v>1</v>
      </c>
      <c r="BM1401" s="275">
        <v>3</v>
      </c>
      <c r="BN1401" s="62">
        <v>0.03</v>
      </c>
      <c r="BP1401" s="33" t="s">
        <v>602</v>
      </c>
    </row>
    <row r="1402" spans="1:68">
      <c r="A1402" s="33" t="str">
        <f>Database_Productkaarten[[#This Row],[Product]]&amp;", "&amp;Database_Productkaarten[[#This Row],[Levensfase]]</f>
        <v>Grasbetontegel CEM I 120 mm (hergebruik), A2</v>
      </c>
      <c r="B1402" s="33" t="s">
        <v>649</v>
      </c>
      <c r="C1402" t="s">
        <v>55</v>
      </c>
      <c r="D1402" s="33" t="s">
        <v>647</v>
      </c>
      <c r="E1402" s="33" t="s">
        <v>385</v>
      </c>
      <c r="F1402" s="33" t="s">
        <v>75</v>
      </c>
      <c r="G1402" s="33">
        <v>1</v>
      </c>
      <c r="H1402" s="33">
        <v>1</v>
      </c>
      <c r="I1402" s="33">
        <v>0.12</v>
      </c>
      <c r="L1402" s="33">
        <v>2.3319999999999999</v>
      </c>
      <c r="M1402" s="271">
        <v>0.1945305</v>
      </c>
      <c r="N1402" s="41">
        <v>0</v>
      </c>
      <c r="O1402" s="33">
        <v>50</v>
      </c>
      <c r="P1402" s="163">
        <v>0</v>
      </c>
      <c r="Q1402" s="163">
        <v>0</v>
      </c>
      <c r="R1402" s="163">
        <v>0</v>
      </c>
      <c r="S1402" s="163">
        <v>0</v>
      </c>
      <c r="T1402" s="163">
        <v>0</v>
      </c>
      <c r="U1402" s="163">
        <v>0</v>
      </c>
      <c r="V1402" s="163">
        <v>0</v>
      </c>
      <c r="W1402" s="163">
        <v>0</v>
      </c>
      <c r="X1402" s="163">
        <v>0</v>
      </c>
      <c r="Y1402" s="163">
        <v>0</v>
      </c>
      <c r="Z1402" s="163">
        <v>0</v>
      </c>
      <c r="AA1402" s="40"/>
      <c r="AB1402" s="40"/>
      <c r="AC1402" s="40"/>
      <c r="AD1402" s="40"/>
      <c r="AE1402" s="40"/>
      <c r="AF1402" s="40"/>
      <c r="AG1402" s="40"/>
      <c r="AH1402" s="40"/>
      <c r="AI1402" s="40"/>
      <c r="AJ1402" s="40"/>
      <c r="AK1402" s="40"/>
      <c r="AL1402" s="40"/>
      <c r="AM1402" s="40"/>
      <c r="AN1402" s="40"/>
      <c r="AO1402" s="40"/>
      <c r="AP1402" s="40"/>
      <c r="AQ1402" s="40"/>
      <c r="AR1402" s="40"/>
      <c r="AS1402" s="40"/>
      <c r="AT1402" s="40"/>
      <c r="AU1402" s="40"/>
      <c r="AV1402" s="163">
        <v>0</v>
      </c>
      <c r="AW1402" s="40"/>
      <c r="AX1402" s="40"/>
      <c r="AY1402" s="163">
        <v>0</v>
      </c>
      <c r="AZ1402" s="40"/>
      <c r="BA1402" s="40"/>
      <c r="BB1402" s="40"/>
      <c r="BC1402" s="163">
        <v>0</v>
      </c>
      <c r="BD1402" s="163">
        <v>0</v>
      </c>
      <c r="BE1402" s="163">
        <v>0</v>
      </c>
      <c r="BF1402" s="40"/>
      <c r="BG1402" s="40"/>
      <c r="BH1402" s="40"/>
      <c r="BI1402" s="40"/>
      <c r="BJ1402" s="40"/>
      <c r="BK1402" s="40"/>
      <c r="BL1402" s="62">
        <v>1</v>
      </c>
      <c r="BM1402" s="275">
        <v>3</v>
      </c>
      <c r="BN1402" s="62">
        <v>0.03</v>
      </c>
      <c r="BP1402" s="33" t="s">
        <v>602</v>
      </c>
    </row>
    <row r="1403" spans="1:68">
      <c r="A1403" s="33" t="str">
        <f>Database_Productkaarten[[#This Row],[Product]]&amp;", "&amp;Database_Productkaarten[[#This Row],[Levensfase]]</f>
        <v>Grasbetontegel CEM I 120 mm (hergebruik), A3</v>
      </c>
      <c r="B1403" s="33" t="s">
        <v>649</v>
      </c>
      <c r="C1403" t="s">
        <v>55</v>
      </c>
      <c r="D1403" s="33" t="s">
        <v>647</v>
      </c>
      <c r="E1403" s="33" t="s">
        <v>385</v>
      </c>
      <c r="F1403" s="33" t="s">
        <v>76</v>
      </c>
      <c r="G1403" s="33">
        <v>1</v>
      </c>
      <c r="H1403" s="33">
        <v>1</v>
      </c>
      <c r="I1403" s="33">
        <v>0.12</v>
      </c>
      <c r="L1403" s="33">
        <v>2.3319999999999999</v>
      </c>
      <c r="M1403" s="271">
        <v>0.1945305</v>
      </c>
      <c r="N1403" s="41">
        <v>0</v>
      </c>
      <c r="O1403" s="33">
        <v>50</v>
      </c>
      <c r="P1403" s="163">
        <v>0</v>
      </c>
      <c r="Q1403" s="163">
        <v>0</v>
      </c>
      <c r="R1403" s="163">
        <v>0</v>
      </c>
      <c r="S1403" s="163">
        <v>0</v>
      </c>
      <c r="T1403" s="163">
        <v>0</v>
      </c>
      <c r="U1403" s="163">
        <v>0</v>
      </c>
      <c r="V1403" s="163">
        <v>0</v>
      </c>
      <c r="W1403" s="163">
        <v>0</v>
      </c>
      <c r="X1403" s="163">
        <v>0</v>
      </c>
      <c r="Y1403" s="163">
        <v>0</v>
      </c>
      <c r="Z1403" s="163">
        <v>0</v>
      </c>
      <c r="AA1403" s="40"/>
      <c r="AB1403" s="40"/>
      <c r="AC1403" s="40"/>
      <c r="AD1403" s="40"/>
      <c r="AE1403" s="40"/>
      <c r="AF1403" s="40"/>
      <c r="AG1403" s="40"/>
      <c r="AH1403" s="40"/>
      <c r="AI1403" s="40"/>
      <c r="AJ1403" s="40"/>
      <c r="AK1403" s="40"/>
      <c r="AL1403" s="40"/>
      <c r="AM1403" s="40"/>
      <c r="AN1403" s="40"/>
      <c r="AO1403" s="40"/>
      <c r="AP1403" s="40"/>
      <c r="AQ1403" s="40"/>
      <c r="AR1403" s="40"/>
      <c r="AS1403" s="40"/>
      <c r="AT1403" s="40"/>
      <c r="AU1403" s="40"/>
      <c r="AV1403" s="163">
        <v>0</v>
      </c>
      <c r="AW1403" s="40"/>
      <c r="AX1403" s="40"/>
      <c r="AY1403" s="163">
        <v>0</v>
      </c>
      <c r="AZ1403" s="40"/>
      <c r="BA1403" s="40"/>
      <c r="BB1403" s="40"/>
      <c r="BC1403" s="163">
        <v>0</v>
      </c>
      <c r="BD1403" s="163">
        <v>0</v>
      </c>
      <c r="BE1403" s="163">
        <v>0</v>
      </c>
      <c r="BF1403" s="40"/>
      <c r="BG1403" s="40"/>
      <c r="BH1403" s="40"/>
      <c r="BI1403" s="40"/>
      <c r="BJ1403" s="40"/>
      <c r="BK1403" s="40"/>
      <c r="BL1403" s="62">
        <v>1</v>
      </c>
      <c r="BM1403" s="275">
        <v>3</v>
      </c>
      <c r="BN1403" s="62">
        <v>0.03</v>
      </c>
      <c r="BP1403" s="33" t="s">
        <v>602</v>
      </c>
    </row>
    <row r="1404" spans="1:68">
      <c r="A1404" s="33" t="str">
        <f>Database_Productkaarten[[#This Row],[Product]]&amp;", "&amp;Database_Productkaarten[[#This Row],[Levensfase]]</f>
        <v>Grasbetontegel CEM I 120 mm (hergebruik), A1-A3</v>
      </c>
      <c r="B1404" s="33" t="s">
        <v>649</v>
      </c>
      <c r="C1404" s="451" t="str">
        <f>C1403</f>
        <v>Elementenverhardingen</v>
      </c>
      <c r="D1404" s="33" t="s">
        <v>647</v>
      </c>
      <c r="E1404" s="451" t="str">
        <f>E1403</f>
        <v>m2</v>
      </c>
      <c r="F1404" s="451" t="s">
        <v>77</v>
      </c>
      <c r="G1404" s="451">
        <f t="shared" ref="G1404:I1404" si="580">G1403</f>
        <v>1</v>
      </c>
      <c r="H1404" s="451">
        <f t="shared" si="580"/>
        <v>1</v>
      </c>
      <c r="I1404" s="451">
        <f t="shared" si="580"/>
        <v>0.12</v>
      </c>
      <c r="L1404" s="33">
        <v>2.3319999999999999</v>
      </c>
      <c r="M1404" s="271">
        <v>0.1945305</v>
      </c>
      <c r="N1404" s="41">
        <v>0</v>
      </c>
      <c r="O1404" s="33">
        <v>50</v>
      </c>
      <c r="P1404" s="163">
        <v>0</v>
      </c>
      <c r="Q1404" s="163">
        <v>0</v>
      </c>
      <c r="R1404" s="163">
        <v>0</v>
      </c>
      <c r="S1404" s="163">
        <v>0</v>
      </c>
      <c r="T1404" s="163">
        <v>0</v>
      </c>
      <c r="U1404" s="163">
        <v>0</v>
      </c>
      <c r="V1404" s="163">
        <v>0</v>
      </c>
      <c r="W1404" s="163">
        <v>0</v>
      </c>
      <c r="X1404" s="163">
        <v>0</v>
      </c>
      <c r="Y1404" s="163">
        <v>0</v>
      </c>
      <c r="Z1404" s="163">
        <v>0</v>
      </c>
      <c r="AA1404" s="40"/>
      <c r="AB1404" s="40"/>
      <c r="AC1404" s="40"/>
      <c r="AD1404" s="40"/>
      <c r="AE1404" s="40"/>
      <c r="AF1404" s="40"/>
      <c r="AG1404" s="40"/>
      <c r="AH1404" s="40"/>
      <c r="AI1404" s="40"/>
      <c r="AJ1404" s="40"/>
      <c r="AK1404" s="40"/>
      <c r="AL1404" s="40"/>
      <c r="AM1404" s="40"/>
      <c r="AN1404" s="40"/>
      <c r="AO1404" s="40"/>
      <c r="AP1404" s="40"/>
      <c r="AQ1404" s="40"/>
      <c r="AR1404" s="40"/>
      <c r="AS1404" s="40"/>
      <c r="AT1404" s="40"/>
      <c r="AU1404" s="40"/>
      <c r="AV1404" s="163">
        <v>0</v>
      </c>
      <c r="AW1404" s="40"/>
      <c r="AX1404" s="40"/>
      <c r="AY1404" s="163">
        <v>0</v>
      </c>
      <c r="AZ1404" s="40"/>
      <c r="BA1404" s="40"/>
      <c r="BB1404" s="40"/>
      <c r="BC1404" s="163">
        <v>0</v>
      </c>
      <c r="BD1404" s="163">
        <v>0</v>
      </c>
      <c r="BE1404" s="163">
        <v>0</v>
      </c>
      <c r="BF1404" s="40"/>
      <c r="BG1404" s="40"/>
      <c r="BH1404" s="40"/>
      <c r="BI1404" s="40"/>
      <c r="BJ1404" s="40"/>
      <c r="BK1404" s="40"/>
      <c r="BL1404" s="62">
        <v>1</v>
      </c>
      <c r="BM1404" s="275">
        <v>3</v>
      </c>
      <c r="BN1404" s="62">
        <v>0.03</v>
      </c>
      <c r="BP1404" s="33" t="s">
        <v>602</v>
      </c>
    </row>
    <row r="1405" spans="1:68">
      <c r="A1405" s="33" t="str">
        <f>Database_Productkaarten[[#This Row],[Product]]&amp;", "&amp;Database_Productkaarten[[#This Row],[Levensfase]]</f>
        <v>Grasbetontegel CEM I 120 mm (hergebruik), A4</v>
      </c>
      <c r="B1405" s="33" t="s">
        <v>649</v>
      </c>
      <c r="C1405" t="s">
        <v>55</v>
      </c>
      <c r="D1405" s="33" t="s">
        <v>647</v>
      </c>
      <c r="E1405" s="33" t="s">
        <v>385</v>
      </c>
      <c r="F1405" s="33" t="s">
        <v>78</v>
      </c>
      <c r="G1405" s="33">
        <v>1</v>
      </c>
      <c r="H1405" s="33">
        <v>1</v>
      </c>
      <c r="I1405" s="33">
        <v>0.12</v>
      </c>
      <c r="L1405" s="33">
        <v>2.3319999999999999</v>
      </c>
      <c r="M1405" s="271">
        <v>0.1945305</v>
      </c>
      <c r="N1405" s="41">
        <f>N1390</f>
        <v>0.27</v>
      </c>
      <c r="O1405" s="33">
        <v>50</v>
      </c>
      <c r="P1405" s="163">
        <f t="shared" ref="P1405:Z1405" si="581">P1390</f>
        <v>0</v>
      </c>
      <c r="Q1405" s="163">
        <f t="shared" si="581"/>
        <v>0</v>
      </c>
      <c r="R1405" s="163">
        <f t="shared" si="581"/>
        <v>2.4300000000000002</v>
      </c>
      <c r="S1405" s="163">
        <f t="shared" si="581"/>
        <v>0</v>
      </c>
      <c r="T1405" s="163">
        <f t="shared" si="581"/>
        <v>0</v>
      </c>
      <c r="U1405" s="163">
        <f t="shared" si="581"/>
        <v>0</v>
      </c>
      <c r="V1405" s="163">
        <f t="shared" si="581"/>
        <v>0</v>
      </c>
      <c r="W1405" s="163">
        <f t="shared" si="581"/>
        <v>0</v>
      </c>
      <c r="X1405" s="163">
        <f t="shared" si="581"/>
        <v>0</v>
      </c>
      <c r="Y1405" s="163">
        <f t="shared" si="581"/>
        <v>0</v>
      </c>
      <c r="Z1405" s="163">
        <f t="shared" si="581"/>
        <v>0</v>
      </c>
      <c r="AA1405" s="40"/>
      <c r="AB1405" s="40"/>
      <c r="AC1405" s="40"/>
      <c r="AD1405" s="40"/>
      <c r="AE1405" s="40"/>
      <c r="AF1405" s="40"/>
      <c r="AG1405" s="40"/>
      <c r="AH1405" s="40"/>
      <c r="AI1405" s="40"/>
      <c r="AJ1405" s="40"/>
      <c r="AK1405" s="40"/>
      <c r="AL1405" s="40"/>
      <c r="AM1405" s="40"/>
      <c r="AN1405" s="40"/>
      <c r="AO1405" s="40"/>
      <c r="AP1405" s="40"/>
      <c r="AQ1405" s="40"/>
      <c r="AR1405" s="40"/>
      <c r="AS1405" s="40"/>
      <c r="AT1405" s="40"/>
      <c r="AU1405" s="40"/>
      <c r="AV1405" s="163">
        <f>AV1390</f>
        <v>0.65700000000000003</v>
      </c>
      <c r="AW1405" s="40"/>
      <c r="AX1405" s="40"/>
      <c r="AY1405" s="163">
        <f>AY1390</f>
        <v>42</v>
      </c>
      <c r="AZ1405" s="40"/>
      <c r="BA1405" s="40"/>
      <c r="BB1405" s="40"/>
      <c r="BC1405" s="163">
        <f t="shared" ref="BC1405:BE1405" si="582">BC1390</f>
        <v>0</v>
      </c>
      <c r="BD1405" s="163">
        <f t="shared" si="582"/>
        <v>0</v>
      </c>
      <c r="BE1405" s="163">
        <f t="shared" si="582"/>
        <v>0</v>
      </c>
      <c r="BF1405" s="40"/>
      <c r="BG1405" s="40"/>
      <c r="BH1405" s="40"/>
      <c r="BI1405" s="40"/>
      <c r="BJ1405" s="40"/>
      <c r="BK1405" s="40"/>
      <c r="BL1405" s="62">
        <v>1</v>
      </c>
      <c r="BM1405" s="275">
        <v>3</v>
      </c>
      <c r="BN1405" s="62">
        <v>0.03</v>
      </c>
      <c r="BP1405" s="33" t="s">
        <v>602</v>
      </c>
    </row>
    <row r="1406" spans="1:68">
      <c r="A1406" s="33" t="str">
        <f>Database_Productkaarten[[#This Row],[Product]]&amp;", "&amp;Database_Productkaarten[[#This Row],[Levensfase]]</f>
        <v>Grasbetontegel CEM I 120 mm (hergebruik), A5</v>
      </c>
      <c r="B1406" s="33" t="s">
        <v>649</v>
      </c>
      <c r="C1406" t="s">
        <v>55</v>
      </c>
      <c r="D1406" s="33" t="s">
        <v>647</v>
      </c>
      <c r="E1406" s="33" t="s">
        <v>385</v>
      </c>
      <c r="F1406" s="33" t="s">
        <v>79</v>
      </c>
      <c r="G1406" s="33">
        <v>1</v>
      </c>
      <c r="H1406" s="33">
        <v>1</v>
      </c>
      <c r="I1406" s="33">
        <v>0.12</v>
      </c>
      <c r="L1406" s="33">
        <v>2.3319999999999999</v>
      </c>
      <c r="M1406" s="271">
        <v>0.1945305</v>
      </c>
      <c r="N1406" s="41">
        <f t="shared" ref="N1406:N1411" si="583">N1391</f>
        <v>0.59</v>
      </c>
      <c r="O1406" s="33">
        <v>50</v>
      </c>
      <c r="P1406" s="163">
        <f t="shared" ref="P1406:Z1406" si="584">P1391</f>
        <v>0</v>
      </c>
      <c r="Q1406" s="163">
        <f t="shared" si="584"/>
        <v>0</v>
      </c>
      <c r="R1406" s="163">
        <f t="shared" si="584"/>
        <v>6.56</v>
      </c>
      <c r="S1406" s="163">
        <f t="shared" si="584"/>
        <v>0</v>
      </c>
      <c r="T1406" s="163">
        <f t="shared" si="584"/>
        <v>0</v>
      </c>
      <c r="U1406" s="163">
        <f t="shared" si="584"/>
        <v>0</v>
      </c>
      <c r="V1406" s="163">
        <f t="shared" si="584"/>
        <v>0</v>
      </c>
      <c r="W1406" s="163">
        <f t="shared" si="584"/>
        <v>0</v>
      </c>
      <c r="X1406" s="163">
        <f t="shared" si="584"/>
        <v>0</v>
      </c>
      <c r="Y1406" s="163">
        <f t="shared" si="584"/>
        <v>0</v>
      </c>
      <c r="Z1406" s="163">
        <f t="shared" si="584"/>
        <v>0</v>
      </c>
      <c r="AA1406" s="40"/>
      <c r="AB1406" s="40"/>
      <c r="AC1406" s="40"/>
      <c r="AD1406" s="40"/>
      <c r="AE1406" s="40"/>
      <c r="AF1406" s="40"/>
      <c r="AG1406" s="40"/>
      <c r="AH1406" s="40"/>
      <c r="AI1406" s="40"/>
      <c r="AJ1406" s="40"/>
      <c r="AK1406" s="40"/>
      <c r="AL1406" s="40"/>
      <c r="AM1406" s="40"/>
      <c r="AN1406" s="40"/>
      <c r="AO1406" s="40"/>
      <c r="AP1406" s="40"/>
      <c r="AQ1406" s="40"/>
      <c r="AR1406" s="40"/>
      <c r="AS1406" s="40"/>
      <c r="AT1406" s="40"/>
      <c r="AU1406" s="40"/>
      <c r="AV1406" s="163">
        <f t="shared" ref="AV1406:AV1411" si="585">AV1391</f>
        <v>0.80700000000000005</v>
      </c>
      <c r="AW1406" s="40"/>
      <c r="AX1406" s="40"/>
      <c r="AY1406" s="163">
        <f t="shared" ref="AY1406:AY1411" si="586">AY1391</f>
        <v>91</v>
      </c>
      <c r="AZ1406" s="40"/>
      <c r="BA1406" s="40"/>
      <c r="BB1406" s="40"/>
      <c r="BC1406" s="163">
        <f t="shared" ref="BC1406:BE1406" si="587">BC1391</f>
        <v>0</v>
      </c>
      <c r="BD1406" s="163">
        <f t="shared" si="587"/>
        <v>0</v>
      </c>
      <c r="BE1406" s="163">
        <f t="shared" si="587"/>
        <v>0</v>
      </c>
      <c r="BF1406" s="40"/>
      <c r="BG1406" s="40"/>
      <c r="BH1406" s="40"/>
      <c r="BI1406" s="40"/>
      <c r="BJ1406" s="40"/>
      <c r="BK1406" s="40"/>
      <c r="BL1406" s="62">
        <v>1</v>
      </c>
      <c r="BM1406" s="275">
        <v>3</v>
      </c>
      <c r="BN1406" s="62">
        <v>0.03</v>
      </c>
      <c r="BP1406" s="33" t="s">
        <v>602</v>
      </c>
    </row>
    <row r="1407" spans="1:68">
      <c r="A1407" s="33" t="str">
        <f>Database_Productkaarten[[#This Row],[Product]]&amp;", "&amp;Database_Productkaarten[[#This Row],[Levensfase]]</f>
        <v>Grasbetontegel CEM I 120 mm (hergebruik), B1</v>
      </c>
      <c r="B1407" s="33" t="s">
        <v>649</v>
      </c>
      <c r="C1407" t="s">
        <v>55</v>
      </c>
      <c r="D1407" s="33" t="s">
        <v>647</v>
      </c>
      <c r="E1407" s="33" t="s">
        <v>385</v>
      </c>
      <c r="F1407" s="33" t="s">
        <v>80</v>
      </c>
      <c r="G1407" s="33">
        <v>1</v>
      </c>
      <c r="H1407" s="33">
        <v>1</v>
      </c>
      <c r="I1407" s="33">
        <v>0.12</v>
      </c>
      <c r="L1407" s="33">
        <v>2.3319999999999999</v>
      </c>
      <c r="M1407" s="271">
        <v>0.1945305</v>
      </c>
      <c r="N1407" s="41">
        <f t="shared" si="583"/>
        <v>0</v>
      </c>
      <c r="O1407" s="33">
        <v>50</v>
      </c>
      <c r="P1407" s="163">
        <f t="shared" ref="P1407:Z1407" si="588">P1392</f>
        <v>0</v>
      </c>
      <c r="Q1407" s="163">
        <f t="shared" si="588"/>
        <v>0</v>
      </c>
      <c r="R1407" s="163">
        <f t="shared" si="588"/>
        <v>0</v>
      </c>
      <c r="S1407" s="163">
        <f t="shared" si="588"/>
        <v>0</v>
      </c>
      <c r="T1407" s="163">
        <f t="shared" si="588"/>
        <v>0</v>
      </c>
      <c r="U1407" s="163">
        <f t="shared" si="588"/>
        <v>0</v>
      </c>
      <c r="V1407" s="163">
        <f t="shared" si="588"/>
        <v>0</v>
      </c>
      <c r="W1407" s="163">
        <f t="shared" si="588"/>
        <v>0</v>
      </c>
      <c r="X1407" s="163">
        <f t="shared" si="588"/>
        <v>0</v>
      </c>
      <c r="Y1407" s="163">
        <f t="shared" si="588"/>
        <v>0</v>
      </c>
      <c r="Z1407" s="163">
        <f t="shared" si="588"/>
        <v>0</v>
      </c>
      <c r="AA1407" s="40"/>
      <c r="AB1407" s="40"/>
      <c r="AC1407" s="40"/>
      <c r="AD1407" s="40"/>
      <c r="AE1407" s="40"/>
      <c r="AF1407" s="40"/>
      <c r="AG1407" s="40"/>
      <c r="AH1407" s="40"/>
      <c r="AI1407" s="40"/>
      <c r="AJ1407" s="40"/>
      <c r="AK1407" s="40"/>
      <c r="AL1407" s="40"/>
      <c r="AM1407" s="40"/>
      <c r="AN1407" s="40"/>
      <c r="AO1407" s="40"/>
      <c r="AP1407" s="40"/>
      <c r="AQ1407" s="40"/>
      <c r="AR1407" s="40"/>
      <c r="AS1407" s="40"/>
      <c r="AT1407" s="40"/>
      <c r="AU1407" s="40"/>
      <c r="AV1407" s="163">
        <f t="shared" si="585"/>
        <v>0</v>
      </c>
      <c r="AW1407" s="40"/>
      <c r="AX1407" s="40"/>
      <c r="AY1407" s="163">
        <f t="shared" si="586"/>
        <v>0</v>
      </c>
      <c r="AZ1407" s="40"/>
      <c r="BA1407" s="40"/>
      <c r="BB1407" s="40"/>
      <c r="BC1407" s="163">
        <f t="shared" ref="BC1407:BE1407" si="589">BC1392</f>
        <v>0</v>
      </c>
      <c r="BD1407" s="163">
        <f t="shared" si="589"/>
        <v>0</v>
      </c>
      <c r="BE1407" s="163">
        <f t="shared" si="589"/>
        <v>0</v>
      </c>
      <c r="BF1407" s="40"/>
      <c r="BG1407" s="40"/>
      <c r="BH1407" s="40"/>
      <c r="BI1407" s="40"/>
      <c r="BJ1407" s="40"/>
      <c r="BK1407" s="40"/>
      <c r="BL1407" s="62">
        <v>1</v>
      </c>
      <c r="BM1407" s="275">
        <v>3</v>
      </c>
      <c r="BN1407" s="62">
        <v>0.03</v>
      </c>
      <c r="BP1407" s="33" t="s">
        <v>602</v>
      </c>
    </row>
    <row r="1408" spans="1:68">
      <c r="A1408" s="33" t="str">
        <f>Database_Productkaarten[[#This Row],[Product]]&amp;", "&amp;Database_Productkaarten[[#This Row],[Levensfase]]</f>
        <v>Grasbetontegel CEM I 120 mm (hergebruik), C1</v>
      </c>
      <c r="B1408" s="33" t="s">
        <v>649</v>
      </c>
      <c r="C1408" t="s">
        <v>55</v>
      </c>
      <c r="D1408" s="33" t="s">
        <v>647</v>
      </c>
      <c r="E1408" s="33" t="s">
        <v>385</v>
      </c>
      <c r="F1408" s="33" t="s">
        <v>83</v>
      </c>
      <c r="G1408" s="33">
        <v>1</v>
      </c>
      <c r="H1408" s="33">
        <v>1</v>
      </c>
      <c r="I1408" s="33">
        <v>0.12</v>
      </c>
      <c r="L1408" s="33">
        <v>2.3319999999999999</v>
      </c>
      <c r="M1408" s="271">
        <v>0.1945305</v>
      </c>
      <c r="N1408" s="41">
        <f t="shared" si="583"/>
        <v>0.16</v>
      </c>
      <c r="O1408" s="33">
        <v>50</v>
      </c>
      <c r="P1408" s="163">
        <f t="shared" ref="P1408:Z1408" si="590">P1393</f>
        <v>0</v>
      </c>
      <c r="Q1408" s="163">
        <f t="shared" si="590"/>
        <v>0</v>
      </c>
      <c r="R1408" s="163">
        <f t="shared" si="590"/>
        <v>1.68</v>
      </c>
      <c r="S1408" s="163">
        <f t="shared" si="590"/>
        <v>0</v>
      </c>
      <c r="T1408" s="163">
        <f t="shared" si="590"/>
        <v>0</v>
      </c>
      <c r="U1408" s="163">
        <f t="shared" si="590"/>
        <v>0</v>
      </c>
      <c r="V1408" s="163">
        <f t="shared" si="590"/>
        <v>0</v>
      </c>
      <c r="W1408" s="163">
        <f t="shared" si="590"/>
        <v>0</v>
      </c>
      <c r="X1408" s="163">
        <f t="shared" si="590"/>
        <v>0</v>
      </c>
      <c r="Y1408" s="163">
        <f t="shared" si="590"/>
        <v>0</v>
      </c>
      <c r="Z1408" s="163">
        <f t="shared" si="590"/>
        <v>0</v>
      </c>
      <c r="AA1408" s="40"/>
      <c r="AB1408" s="40"/>
      <c r="AC1408" s="40"/>
      <c r="AD1408" s="40"/>
      <c r="AE1408" s="40"/>
      <c r="AF1408" s="40"/>
      <c r="AG1408" s="40"/>
      <c r="AH1408" s="40"/>
      <c r="AI1408" s="40"/>
      <c r="AJ1408" s="40"/>
      <c r="AK1408" s="40"/>
      <c r="AL1408" s="40"/>
      <c r="AM1408" s="40"/>
      <c r="AN1408" s="40"/>
      <c r="AO1408" s="40"/>
      <c r="AP1408" s="40"/>
      <c r="AQ1408" s="40"/>
      <c r="AR1408" s="40"/>
      <c r="AS1408" s="40"/>
      <c r="AT1408" s="40"/>
      <c r="AU1408" s="40"/>
      <c r="AV1408" s="163">
        <f t="shared" si="585"/>
        <v>0.186</v>
      </c>
      <c r="AW1408" s="40"/>
      <c r="AX1408" s="40"/>
      <c r="AY1408" s="163">
        <f t="shared" si="586"/>
        <v>25.6</v>
      </c>
      <c r="AZ1408" s="40"/>
      <c r="BA1408" s="40"/>
      <c r="BB1408" s="40"/>
      <c r="BC1408" s="163">
        <f t="shared" ref="BC1408:BE1408" si="591">BC1393</f>
        <v>0</v>
      </c>
      <c r="BD1408" s="163">
        <f t="shared" si="591"/>
        <v>0</v>
      </c>
      <c r="BE1408" s="163">
        <f t="shared" si="591"/>
        <v>0</v>
      </c>
      <c r="BF1408" s="40"/>
      <c r="BG1408" s="40"/>
      <c r="BH1408" s="40"/>
      <c r="BI1408" s="40"/>
      <c r="BJ1408" s="40"/>
      <c r="BK1408" s="40"/>
      <c r="BL1408" s="62">
        <v>1</v>
      </c>
      <c r="BM1408" s="275">
        <v>3</v>
      </c>
      <c r="BN1408" s="62">
        <v>0.03</v>
      </c>
      <c r="BP1408" s="33" t="s">
        <v>602</v>
      </c>
    </row>
    <row r="1409" spans="1:68">
      <c r="A1409" s="33" t="str">
        <f>Database_Productkaarten[[#This Row],[Product]]&amp;", "&amp;Database_Productkaarten[[#This Row],[Levensfase]]</f>
        <v>Grasbetontegel CEM I 120 mm (hergebruik), C2</v>
      </c>
      <c r="B1409" s="33" t="s">
        <v>649</v>
      </c>
      <c r="C1409" t="s">
        <v>55</v>
      </c>
      <c r="D1409" s="33" t="s">
        <v>647</v>
      </c>
      <c r="E1409" s="33" t="s">
        <v>385</v>
      </c>
      <c r="F1409" s="33" t="s">
        <v>84</v>
      </c>
      <c r="G1409" s="33">
        <v>1</v>
      </c>
      <c r="H1409" s="33">
        <v>1</v>
      </c>
      <c r="I1409" s="33">
        <v>0.12</v>
      </c>
      <c r="L1409" s="33">
        <v>2.3319999999999999</v>
      </c>
      <c r="M1409" s="271">
        <v>0.1945305</v>
      </c>
      <c r="N1409" s="41">
        <f t="shared" si="583"/>
        <v>0.09</v>
      </c>
      <c r="O1409" s="33">
        <v>50</v>
      </c>
      <c r="P1409" s="163">
        <f t="shared" ref="P1409:Z1409" si="592">P1394</f>
        <v>0</v>
      </c>
      <c r="Q1409" s="163">
        <f t="shared" si="592"/>
        <v>0</v>
      </c>
      <c r="R1409" s="163">
        <f t="shared" si="592"/>
        <v>0.81799999999999995</v>
      </c>
      <c r="S1409" s="163">
        <f t="shared" si="592"/>
        <v>0</v>
      </c>
      <c r="T1409" s="163">
        <f t="shared" si="592"/>
        <v>0</v>
      </c>
      <c r="U1409" s="163">
        <f t="shared" si="592"/>
        <v>0</v>
      </c>
      <c r="V1409" s="163">
        <f t="shared" si="592"/>
        <v>0</v>
      </c>
      <c r="W1409" s="163">
        <f t="shared" si="592"/>
        <v>0</v>
      </c>
      <c r="X1409" s="163">
        <f t="shared" si="592"/>
        <v>0</v>
      </c>
      <c r="Y1409" s="163">
        <f t="shared" si="592"/>
        <v>0</v>
      </c>
      <c r="Z1409" s="163">
        <f t="shared" si="592"/>
        <v>0</v>
      </c>
      <c r="AA1409" s="40"/>
      <c r="AB1409" s="40"/>
      <c r="AC1409" s="40"/>
      <c r="AD1409" s="40"/>
      <c r="AE1409" s="40"/>
      <c r="AF1409" s="40"/>
      <c r="AG1409" s="40"/>
      <c r="AH1409" s="40"/>
      <c r="AI1409" s="40"/>
      <c r="AJ1409" s="40"/>
      <c r="AK1409" s="40"/>
      <c r="AL1409" s="40"/>
      <c r="AM1409" s="40"/>
      <c r="AN1409" s="40"/>
      <c r="AO1409" s="40"/>
      <c r="AP1409" s="40"/>
      <c r="AQ1409" s="40"/>
      <c r="AR1409" s="40"/>
      <c r="AS1409" s="40"/>
      <c r="AT1409" s="40"/>
      <c r="AU1409" s="40"/>
      <c r="AV1409" s="163">
        <f t="shared" si="585"/>
        <v>0.221</v>
      </c>
      <c r="AW1409" s="40"/>
      <c r="AX1409" s="40"/>
      <c r="AY1409" s="163">
        <f t="shared" si="586"/>
        <v>14.1</v>
      </c>
      <c r="AZ1409" s="40"/>
      <c r="BA1409" s="40"/>
      <c r="BB1409" s="40"/>
      <c r="BC1409" s="163">
        <f t="shared" ref="BC1409:BE1409" si="593">BC1394</f>
        <v>0</v>
      </c>
      <c r="BD1409" s="163">
        <f t="shared" si="593"/>
        <v>0</v>
      </c>
      <c r="BE1409" s="163">
        <f t="shared" si="593"/>
        <v>0</v>
      </c>
      <c r="BF1409" s="40"/>
      <c r="BG1409" s="40"/>
      <c r="BH1409" s="40"/>
      <c r="BI1409" s="40"/>
      <c r="BJ1409" s="40"/>
      <c r="BK1409" s="40"/>
      <c r="BL1409" s="62">
        <v>1</v>
      </c>
      <c r="BM1409" s="275">
        <v>3</v>
      </c>
      <c r="BN1409" s="62">
        <v>0.03</v>
      </c>
      <c r="BP1409" s="33" t="s">
        <v>602</v>
      </c>
    </row>
    <row r="1410" spans="1:68">
      <c r="A1410" s="33" t="str">
        <f>Database_Productkaarten[[#This Row],[Product]]&amp;", "&amp;Database_Productkaarten[[#This Row],[Levensfase]]</f>
        <v>Grasbetontegel CEM I 120 mm (hergebruik), C3</v>
      </c>
      <c r="B1410" s="33" t="s">
        <v>649</v>
      </c>
      <c r="C1410" t="s">
        <v>55</v>
      </c>
      <c r="D1410" s="33" t="s">
        <v>647</v>
      </c>
      <c r="E1410" s="33" t="s">
        <v>385</v>
      </c>
      <c r="F1410" s="33" t="s">
        <v>85</v>
      </c>
      <c r="G1410" s="33">
        <v>1</v>
      </c>
      <c r="H1410" s="33">
        <v>1</v>
      </c>
      <c r="I1410" s="33">
        <v>0.12</v>
      </c>
      <c r="L1410" s="33">
        <v>2.3319999999999999</v>
      </c>
      <c r="M1410" s="271">
        <v>0.1945305</v>
      </c>
      <c r="N1410" s="41">
        <f t="shared" si="583"/>
        <v>0.03</v>
      </c>
      <c r="O1410" s="33">
        <v>50</v>
      </c>
      <c r="P1410" s="163">
        <f t="shared" ref="P1410:Z1410" si="594">P1395</f>
        <v>0</v>
      </c>
      <c r="Q1410" s="163">
        <f t="shared" si="594"/>
        <v>0</v>
      </c>
      <c r="R1410" s="163">
        <f t="shared" si="594"/>
        <v>0.307</v>
      </c>
      <c r="S1410" s="163">
        <f t="shared" si="594"/>
        <v>0</v>
      </c>
      <c r="T1410" s="163">
        <f t="shared" si="594"/>
        <v>0</v>
      </c>
      <c r="U1410" s="163">
        <f t="shared" si="594"/>
        <v>0</v>
      </c>
      <c r="V1410" s="163">
        <f t="shared" si="594"/>
        <v>0</v>
      </c>
      <c r="W1410" s="163">
        <f t="shared" si="594"/>
        <v>0</v>
      </c>
      <c r="X1410" s="163">
        <f t="shared" si="594"/>
        <v>0</v>
      </c>
      <c r="Y1410" s="163">
        <f t="shared" si="594"/>
        <v>0</v>
      </c>
      <c r="Z1410" s="163">
        <f t="shared" si="594"/>
        <v>0</v>
      </c>
      <c r="AA1410" s="40"/>
      <c r="AB1410" s="40"/>
      <c r="AC1410" s="40"/>
      <c r="AD1410" s="40"/>
      <c r="AE1410" s="40"/>
      <c r="AF1410" s="40"/>
      <c r="AG1410" s="40"/>
      <c r="AH1410" s="40"/>
      <c r="AI1410" s="40"/>
      <c r="AJ1410" s="40"/>
      <c r="AK1410" s="40"/>
      <c r="AL1410" s="40"/>
      <c r="AM1410" s="40"/>
      <c r="AN1410" s="40"/>
      <c r="AO1410" s="40"/>
      <c r="AP1410" s="40"/>
      <c r="AQ1410" s="40"/>
      <c r="AR1410" s="40"/>
      <c r="AS1410" s="40"/>
      <c r="AT1410" s="40"/>
      <c r="AU1410" s="40"/>
      <c r="AV1410" s="163">
        <f t="shared" si="585"/>
        <v>0.247</v>
      </c>
      <c r="AW1410" s="40"/>
      <c r="AX1410" s="40"/>
      <c r="AY1410" s="163">
        <f t="shared" si="586"/>
        <v>4.62</v>
      </c>
      <c r="AZ1410" s="40"/>
      <c r="BA1410" s="40"/>
      <c r="BB1410" s="40"/>
      <c r="BC1410" s="163">
        <f t="shared" ref="BC1410:BE1410" si="595">BC1395</f>
        <v>0</v>
      </c>
      <c r="BD1410" s="163">
        <f t="shared" si="595"/>
        <v>0</v>
      </c>
      <c r="BE1410" s="163">
        <f t="shared" si="595"/>
        <v>0</v>
      </c>
      <c r="BF1410" s="40"/>
      <c r="BG1410" s="40"/>
      <c r="BH1410" s="40"/>
      <c r="BI1410" s="40"/>
      <c r="BJ1410" s="40"/>
      <c r="BK1410" s="40"/>
      <c r="BL1410" s="62">
        <v>1</v>
      </c>
      <c r="BM1410" s="275">
        <v>3</v>
      </c>
      <c r="BN1410" s="62">
        <v>0.03</v>
      </c>
      <c r="BP1410" s="33" t="s">
        <v>602</v>
      </c>
    </row>
    <row r="1411" spans="1:68">
      <c r="A1411" s="33" t="str">
        <f>Database_Productkaarten[[#This Row],[Product]]&amp;", "&amp;Database_Productkaarten[[#This Row],[Levensfase]]</f>
        <v>Grasbetontegel CEM I 120 mm (hergebruik), C4</v>
      </c>
      <c r="B1411" s="33" t="s">
        <v>649</v>
      </c>
      <c r="C1411" t="s">
        <v>55</v>
      </c>
      <c r="D1411" s="33" t="s">
        <v>647</v>
      </c>
      <c r="E1411" s="33" t="s">
        <v>385</v>
      </c>
      <c r="F1411" s="33" t="s">
        <v>86</v>
      </c>
      <c r="G1411" s="33">
        <v>1</v>
      </c>
      <c r="H1411" s="33">
        <v>1</v>
      </c>
      <c r="I1411" s="33">
        <v>0.12</v>
      </c>
      <c r="L1411" s="33">
        <v>2.3319999999999999</v>
      </c>
      <c r="M1411" s="271">
        <v>0.1945305</v>
      </c>
      <c r="N1411" s="41">
        <f t="shared" si="583"/>
        <v>0</v>
      </c>
      <c r="O1411" s="33">
        <v>50</v>
      </c>
      <c r="P1411" s="163">
        <f t="shared" ref="P1411:Z1411" si="596">P1396</f>
        <v>0</v>
      </c>
      <c r="Q1411" s="163">
        <f t="shared" si="596"/>
        <v>0</v>
      </c>
      <c r="R1411" s="163">
        <f t="shared" si="596"/>
        <v>1.01E-2</v>
      </c>
      <c r="S1411" s="163">
        <f t="shared" si="596"/>
        <v>0</v>
      </c>
      <c r="T1411" s="163">
        <f t="shared" si="596"/>
        <v>0</v>
      </c>
      <c r="U1411" s="163">
        <f t="shared" si="596"/>
        <v>0</v>
      </c>
      <c r="V1411" s="163">
        <f t="shared" si="596"/>
        <v>0</v>
      </c>
      <c r="W1411" s="163">
        <f t="shared" si="596"/>
        <v>0</v>
      </c>
      <c r="X1411" s="163">
        <f t="shared" si="596"/>
        <v>0</v>
      </c>
      <c r="Y1411" s="163">
        <f t="shared" si="596"/>
        <v>0</v>
      </c>
      <c r="Z1411" s="163">
        <f t="shared" si="596"/>
        <v>0</v>
      </c>
      <c r="AA1411" s="40"/>
      <c r="AB1411" s="40"/>
      <c r="AC1411" s="40"/>
      <c r="AD1411" s="40"/>
      <c r="AE1411" s="40"/>
      <c r="AF1411" s="40"/>
      <c r="AG1411" s="40"/>
      <c r="AH1411" s="40"/>
      <c r="AI1411" s="40"/>
      <c r="AJ1411" s="40"/>
      <c r="AK1411" s="40"/>
      <c r="AL1411" s="40"/>
      <c r="AM1411" s="40"/>
      <c r="AN1411" s="40"/>
      <c r="AO1411" s="40"/>
      <c r="AP1411" s="40"/>
      <c r="AQ1411" s="40"/>
      <c r="AR1411" s="40"/>
      <c r="AS1411" s="40"/>
      <c r="AT1411" s="40"/>
      <c r="AU1411" s="40"/>
      <c r="AV1411" s="163">
        <f t="shared" si="585"/>
        <v>2.5500000000000002E-3</v>
      </c>
      <c r="AW1411" s="40"/>
      <c r="AX1411" s="40"/>
      <c r="AY1411" s="163">
        <f t="shared" si="586"/>
        <v>0.33100000000000002</v>
      </c>
      <c r="AZ1411" s="40"/>
      <c r="BA1411" s="40"/>
      <c r="BB1411" s="40"/>
      <c r="BC1411" s="163">
        <f t="shared" ref="BC1411:BE1411" si="597">BC1396</f>
        <v>0</v>
      </c>
      <c r="BD1411" s="163">
        <f t="shared" si="597"/>
        <v>0</v>
      </c>
      <c r="BE1411" s="163">
        <f t="shared" si="597"/>
        <v>0</v>
      </c>
      <c r="BF1411" s="40"/>
      <c r="BG1411" s="40"/>
      <c r="BH1411" s="40"/>
      <c r="BI1411" s="40"/>
      <c r="BJ1411" s="40"/>
      <c r="BK1411" s="40"/>
      <c r="BL1411" s="62">
        <v>1</v>
      </c>
      <c r="BM1411" s="275">
        <v>3</v>
      </c>
      <c r="BN1411" s="62">
        <v>0.03</v>
      </c>
      <c r="BP1411" s="33" t="s">
        <v>602</v>
      </c>
    </row>
    <row r="1412" spans="1:68">
      <c r="A1412" s="33" t="str">
        <f>Database_Productkaarten[[#This Row],[Product]]&amp;", "&amp;Database_Productkaarten[[#This Row],[Levensfase]]</f>
        <v>Grasbetontegel CEM I 120 mm (hergebruik), D</v>
      </c>
      <c r="B1412" s="33" t="s">
        <v>649</v>
      </c>
      <c r="C1412" s="33" t="str">
        <f>C1413</f>
        <v>Elementenverhardingen</v>
      </c>
      <c r="D1412" s="33" t="s">
        <v>647</v>
      </c>
      <c r="E1412" s="33" t="str">
        <f>E1413</f>
        <v>m2</v>
      </c>
      <c r="F1412" s="33" t="s">
        <v>89</v>
      </c>
      <c r="G1412" s="33">
        <f t="shared" ref="G1412:I1412" si="598">G1413</f>
        <v>1</v>
      </c>
      <c r="H1412" s="33">
        <f t="shared" si="598"/>
        <v>1</v>
      </c>
      <c r="I1412" s="33">
        <f t="shared" si="598"/>
        <v>0.12</v>
      </c>
      <c r="L1412" s="33">
        <v>2.3319999999999999</v>
      </c>
      <c r="M1412" s="271">
        <v>0.1945305</v>
      </c>
      <c r="N1412" s="41">
        <f>N1389*0.1</f>
        <v>0.20800000000000002</v>
      </c>
      <c r="O1412" s="33">
        <v>50</v>
      </c>
      <c r="P1412" s="163">
        <f t="shared" ref="P1412:Z1412" si="599">P1389*0.1</f>
        <v>0</v>
      </c>
      <c r="Q1412" s="163">
        <f t="shared" si="599"/>
        <v>0</v>
      </c>
      <c r="R1412" s="163">
        <f t="shared" si="599"/>
        <v>2.9600000000000004</v>
      </c>
      <c r="S1412" s="163">
        <f t="shared" si="599"/>
        <v>0</v>
      </c>
      <c r="T1412" s="163">
        <f t="shared" si="599"/>
        <v>0</v>
      </c>
      <c r="U1412" s="163">
        <f t="shared" si="599"/>
        <v>0</v>
      </c>
      <c r="V1412" s="163">
        <f t="shared" si="599"/>
        <v>0</v>
      </c>
      <c r="W1412" s="163">
        <f t="shared" si="599"/>
        <v>0</v>
      </c>
      <c r="X1412" s="163">
        <f t="shared" si="599"/>
        <v>0</v>
      </c>
      <c r="Y1412" s="163">
        <f t="shared" si="599"/>
        <v>0</v>
      </c>
      <c r="Z1412" s="163">
        <f t="shared" si="599"/>
        <v>0</v>
      </c>
      <c r="AA1412" s="40"/>
      <c r="AB1412" s="40"/>
      <c r="AC1412" s="40"/>
      <c r="AD1412" s="40"/>
      <c r="AE1412" s="40"/>
      <c r="AF1412" s="40"/>
      <c r="AG1412" s="40"/>
      <c r="AH1412" s="40"/>
      <c r="AI1412" s="40"/>
      <c r="AJ1412" s="40"/>
      <c r="AK1412" s="40"/>
      <c r="AL1412" s="40"/>
      <c r="AM1412" s="40"/>
      <c r="AN1412" s="40"/>
      <c r="AO1412" s="40"/>
      <c r="AP1412" s="40"/>
      <c r="AQ1412" s="40"/>
      <c r="AR1412" s="40"/>
      <c r="AS1412" s="40"/>
      <c r="AT1412" s="40"/>
      <c r="AU1412" s="40"/>
      <c r="AV1412" s="163">
        <f>AV1389*0.1</f>
        <v>0.57400000000000007</v>
      </c>
      <c r="AW1412" s="40"/>
      <c r="AX1412" s="40"/>
      <c r="AY1412" s="163">
        <f>AY1389*0.1</f>
        <v>14.3</v>
      </c>
      <c r="AZ1412" s="40"/>
      <c r="BA1412" s="40"/>
      <c r="BB1412" s="40"/>
      <c r="BC1412" s="163">
        <f t="shared" ref="BC1412:BE1412" si="600">BC1389*0.1</f>
        <v>0</v>
      </c>
      <c r="BD1412" s="163">
        <f t="shared" si="600"/>
        <v>0</v>
      </c>
      <c r="BE1412" s="163">
        <f t="shared" si="600"/>
        <v>0</v>
      </c>
      <c r="BF1412" s="40"/>
      <c r="BG1412" s="40"/>
      <c r="BH1412" s="40"/>
      <c r="BI1412" s="40"/>
      <c r="BJ1412" s="40"/>
      <c r="BK1412" s="40"/>
      <c r="BL1412" s="62">
        <v>1</v>
      </c>
      <c r="BM1412" s="275">
        <v>3</v>
      </c>
      <c r="BN1412" s="62">
        <v>0.03</v>
      </c>
      <c r="BP1412" s="33" t="s">
        <v>602</v>
      </c>
    </row>
    <row r="1413" spans="1:68">
      <c r="A1413" s="33" t="str">
        <f>Database_Productkaarten[[#This Row],[Product]]&amp;", "&amp;Database_Productkaarten[[#This Row],[Levensfase]]</f>
        <v>Grasbetontegel CEM I 120 mm (hergebruik), D1</v>
      </c>
      <c r="B1413" s="33" t="s">
        <v>649</v>
      </c>
      <c r="C1413" t="s">
        <v>55</v>
      </c>
      <c r="D1413" s="33" t="s">
        <v>647</v>
      </c>
      <c r="E1413" s="33" t="s">
        <v>385</v>
      </c>
      <c r="F1413" s="33" t="s">
        <v>87</v>
      </c>
      <c r="G1413" s="33">
        <v>1</v>
      </c>
      <c r="H1413" s="33">
        <v>1</v>
      </c>
      <c r="I1413" s="33">
        <v>0.12</v>
      </c>
      <c r="L1413" s="33">
        <v>2.3319999999999999</v>
      </c>
      <c r="M1413" s="271">
        <v>0.1945305</v>
      </c>
      <c r="N1413" s="41"/>
      <c r="O1413" s="33">
        <v>50</v>
      </c>
      <c r="P1413" s="40"/>
      <c r="Q1413" s="40"/>
      <c r="R1413" s="40"/>
      <c r="S1413" s="40"/>
      <c r="T1413" s="40"/>
      <c r="U1413" s="40"/>
      <c r="V1413" s="40"/>
      <c r="W1413" s="40"/>
      <c r="X1413" s="40"/>
      <c r="Y1413" s="40"/>
      <c r="Z1413" s="40"/>
      <c r="AA1413" s="40"/>
      <c r="AB1413" s="40"/>
      <c r="AC1413" s="40"/>
      <c r="AD1413" s="40"/>
      <c r="AE1413" s="40"/>
      <c r="AF1413" s="40"/>
      <c r="AG1413" s="40"/>
      <c r="AH1413" s="40"/>
      <c r="AI1413" s="40"/>
      <c r="AJ1413" s="40"/>
      <c r="AK1413" s="40"/>
      <c r="AL1413" s="40"/>
      <c r="AM1413" s="40"/>
      <c r="AN1413" s="40"/>
      <c r="AO1413" s="40"/>
      <c r="AP1413" s="40"/>
      <c r="AQ1413" s="40"/>
      <c r="AR1413" s="40"/>
      <c r="AS1413" s="40"/>
      <c r="AT1413" s="40"/>
      <c r="AU1413" s="40"/>
      <c r="AV1413" s="108"/>
      <c r="AW1413" s="40"/>
      <c r="AX1413" s="40"/>
      <c r="AY1413" s="108"/>
      <c r="AZ1413" s="40"/>
      <c r="BA1413" s="40"/>
      <c r="BB1413" s="40"/>
      <c r="BC1413" s="40"/>
      <c r="BD1413" s="40"/>
      <c r="BE1413" s="40"/>
      <c r="BF1413" s="40"/>
      <c r="BG1413" s="40"/>
      <c r="BH1413" s="40"/>
      <c r="BI1413" s="40"/>
      <c r="BJ1413" s="40"/>
      <c r="BK1413" s="40"/>
      <c r="BL1413" s="62">
        <v>1</v>
      </c>
      <c r="BM1413" s="275">
        <v>3</v>
      </c>
      <c r="BN1413" s="62">
        <v>0.03</v>
      </c>
      <c r="BP1413" s="33" t="s">
        <v>602</v>
      </c>
    </row>
    <row r="1414" spans="1:68">
      <c r="A1414" s="33" t="str">
        <f>Database_Productkaarten[[#This Row],[Product]]&amp;", "&amp;Database_Productkaarten[[#This Row],[Levensfase]]</f>
        <v>Grasbetontegel CEM I 120 mm (hergebruik), D2</v>
      </c>
      <c r="B1414" s="33" t="s">
        <v>649</v>
      </c>
      <c r="C1414" t="s">
        <v>55</v>
      </c>
      <c r="D1414" s="33" t="s">
        <v>647</v>
      </c>
      <c r="E1414" s="33" t="s">
        <v>385</v>
      </c>
      <c r="F1414" s="33" t="s">
        <v>88</v>
      </c>
      <c r="G1414" s="33">
        <v>1</v>
      </c>
      <c r="H1414" s="33">
        <v>1</v>
      </c>
      <c r="I1414" s="33">
        <v>0.12</v>
      </c>
      <c r="L1414" s="33">
        <v>2.3319999999999999</v>
      </c>
      <c r="M1414" s="271">
        <v>0.1945305</v>
      </c>
      <c r="N1414" s="41"/>
      <c r="O1414" s="33">
        <v>50</v>
      </c>
      <c r="P1414" s="40"/>
      <c r="Q1414" s="40"/>
      <c r="R1414" s="40"/>
      <c r="S1414" s="40"/>
      <c r="T1414" s="40"/>
      <c r="U1414" s="40"/>
      <c r="V1414" s="40"/>
      <c r="W1414" s="40"/>
      <c r="X1414" s="40"/>
      <c r="Y1414" s="40"/>
      <c r="Z1414" s="40"/>
      <c r="AA1414" s="40"/>
      <c r="AB1414" s="40"/>
      <c r="AC1414" s="40"/>
      <c r="AD1414" s="40"/>
      <c r="AE1414" s="40"/>
      <c r="AF1414" s="40"/>
      <c r="AG1414" s="40"/>
      <c r="AH1414" s="40"/>
      <c r="AI1414" s="40"/>
      <c r="AJ1414" s="40"/>
      <c r="AK1414" s="40"/>
      <c r="AL1414" s="40"/>
      <c r="AM1414" s="40"/>
      <c r="AN1414" s="40"/>
      <c r="AO1414" s="40"/>
      <c r="AP1414" s="40"/>
      <c r="AQ1414" s="40"/>
      <c r="AR1414" s="40"/>
      <c r="AS1414" s="40"/>
      <c r="AT1414" s="40"/>
      <c r="AU1414" s="40"/>
      <c r="AV1414" s="108"/>
      <c r="AW1414" s="40"/>
      <c r="AX1414" s="40"/>
      <c r="AY1414" s="108"/>
      <c r="AZ1414" s="40"/>
      <c r="BA1414" s="40"/>
      <c r="BB1414" s="40"/>
      <c r="BC1414" s="40"/>
      <c r="BD1414" s="40"/>
      <c r="BE1414" s="40"/>
      <c r="BF1414" s="40"/>
      <c r="BG1414" s="40"/>
      <c r="BH1414" s="40"/>
      <c r="BI1414" s="40"/>
      <c r="BJ1414" s="40"/>
      <c r="BK1414" s="40"/>
      <c r="BL1414" s="62">
        <v>1</v>
      </c>
      <c r="BM1414" s="275">
        <v>3</v>
      </c>
      <c r="BN1414" s="62">
        <v>0.03</v>
      </c>
      <c r="BP1414" s="33" t="s">
        <v>602</v>
      </c>
    </row>
    <row r="1415" spans="1:68">
      <c r="A1415" s="33" t="str">
        <f>Database_Productkaarten[[#This Row],[Product]]&amp;", "&amp;Database_Productkaarten[[#This Row],[Levensfase]]</f>
        <v>Grasbetontegel CEM III 120 mm, Totaal</v>
      </c>
      <c r="B1415" s="33" t="s">
        <v>650</v>
      </c>
      <c r="C1415" t="s">
        <v>55</v>
      </c>
      <c r="D1415" s="33" t="s">
        <v>647</v>
      </c>
      <c r="E1415" s="33" t="s">
        <v>385</v>
      </c>
      <c r="F1415" s="33" t="s">
        <v>90</v>
      </c>
      <c r="G1415" s="33">
        <v>1</v>
      </c>
      <c r="H1415" s="33">
        <v>1</v>
      </c>
      <c r="I1415" s="33">
        <v>0.12</v>
      </c>
      <c r="L1415" s="33">
        <v>2.3650000000000002</v>
      </c>
      <c r="M1415" s="271">
        <v>0.1945305</v>
      </c>
      <c r="N1415" s="41"/>
      <c r="O1415" s="33">
        <v>50</v>
      </c>
      <c r="AV1415" s="316"/>
      <c r="AW1415" s="314"/>
      <c r="AX1415" s="314"/>
      <c r="AY1415" s="316"/>
      <c r="BL1415" s="62">
        <v>0.15</v>
      </c>
      <c r="BM1415" s="275">
        <v>3</v>
      </c>
      <c r="BN1415" s="62">
        <v>0.03</v>
      </c>
      <c r="BO1415" s="33" t="s">
        <v>642</v>
      </c>
      <c r="BP1415" s="33" t="s">
        <v>648</v>
      </c>
    </row>
    <row r="1416" spans="1:68">
      <c r="A1416" s="33" t="str">
        <f>Database_Productkaarten[[#This Row],[Product]]&amp;", "&amp;Database_Productkaarten[[#This Row],[Levensfase]]</f>
        <v>Grasbetontegel CEM III 120 mm, A1</v>
      </c>
      <c r="B1416" s="33" t="s">
        <v>650</v>
      </c>
      <c r="C1416" t="s">
        <v>55</v>
      </c>
      <c r="D1416" s="33" t="s">
        <v>647</v>
      </c>
      <c r="E1416" s="33" t="s">
        <v>385</v>
      </c>
      <c r="F1416" s="33" t="s">
        <v>74</v>
      </c>
      <c r="G1416" s="33">
        <v>1</v>
      </c>
      <c r="H1416" s="33">
        <v>1</v>
      </c>
      <c r="I1416" s="33">
        <v>0.12</v>
      </c>
      <c r="L1416" s="33">
        <v>2.3650000000000002</v>
      </c>
      <c r="M1416" s="271">
        <v>0.1945305</v>
      </c>
      <c r="N1416" s="41">
        <v>1.0900000000000001</v>
      </c>
      <c r="O1416" s="33">
        <v>50</v>
      </c>
      <c r="R1416" s="40">
        <v>12.6</v>
      </c>
      <c r="AV1416" s="316">
        <v>4.6500000000000004</v>
      </c>
      <c r="AW1416" s="314"/>
      <c r="AX1416" s="314"/>
      <c r="AY1416" s="316">
        <v>112</v>
      </c>
      <c r="BL1416" s="62">
        <v>0.15</v>
      </c>
      <c r="BM1416" s="275">
        <v>3</v>
      </c>
      <c r="BN1416" s="62">
        <v>0.03</v>
      </c>
      <c r="BO1416" s="33" t="s">
        <v>642</v>
      </c>
      <c r="BP1416" s="33" t="s">
        <v>648</v>
      </c>
    </row>
    <row r="1417" spans="1:68">
      <c r="A1417" s="33" t="str">
        <f>Database_Productkaarten[[#This Row],[Product]]&amp;", "&amp;Database_Productkaarten[[#This Row],[Levensfase]]</f>
        <v>Grasbetontegel CEM III 120 mm, A2</v>
      </c>
      <c r="B1417" s="33" t="s">
        <v>650</v>
      </c>
      <c r="C1417" t="s">
        <v>55</v>
      </c>
      <c r="D1417" s="33" t="s">
        <v>647</v>
      </c>
      <c r="E1417" s="33" t="s">
        <v>385</v>
      </c>
      <c r="F1417" s="33" t="s">
        <v>75</v>
      </c>
      <c r="G1417" s="33">
        <v>1</v>
      </c>
      <c r="H1417" s="33">
        <v>1</v>
      </c>
      <c r="I1417" s="33">
        <v>0.12</v>
      </c>
      <c r="L1417" s="33">
        <v>2.3650000000000002</v>
      </c>
      <c r="M1417" s="271">
        <v>0.1945305</v>
      </c>
      <c r="N1417" s="41"/>
      <c r="O1417" s="33">
        <v>50</v>
      </c>
      <c r="AV1417" s="316"/>
      <c r="AW1417" s="314"/>
      <c r="AX1417" s="314"/>
      <c r="AY1417" s="316"/>
      <c r="BL1417" s="62">
        <v>0.15</v>
      </c>
      <c r="BM1417" s="275">
        <v>3</v>
      </c>
      <c r="BN1417" s="62">
        <v>0.03</v>
      </c>
      <c r="BO1417" s="33" t="s">
        <v>642</v>
      </c>
      <c r="BP1417" s="33" t="s">
        <v>648</v>
      </c>
    </row>
    <row r="1418" spans="1:68">
      <c r="A1418" s="33" t="str">
        <f>Database_Productkaarten[[#This Row],[Product]]&amp;", "&amp;Database_Productkaarten[[#This Row],[Levensfase]]</f>
        <v>Grasbetontegel CEM III 120 mm, A3</v>
      </c>
      <c r="B1418" s="33" t="s">
        <v>650</v>
      </c>
      <c r="C1418" t="s">
        <v>55</v>
      </c>
      <c r="D1418" s="33" t="s">
        <v>647</v>
      </c>
      <c r="E1418" s="33" t="s">
        <v>385</v>
      </c>
      <c r="F1418" s="33" t="s">
        <v>76</v>
      </c>
      <c r="G1418" s="33">
        <v>1</v>
      </c>
      <c r="H1418" s="33">
        <v>1</v>
      </c>
      <c r="I1418" s="33">
        <v>0.12</v>
      </c>
      <c r="L1418" s="33">
        <v>2.3650000000000002</v>
      </c>
      <c r="M1418" s="271">
        <v>0.1945305</v>
      </c>
      <c r="N1418" s="41"/>
      <c r="O1418" s="33">
        <v>50</v>
      </c>
      <c r="AV1418" s="316"/>
      <c r="AW1418" s="314"/>
      <c r="AX1418" s="314"/>
      <c r="AY1418" s="316"/>
      <c r="BL1418" s="62">
        <v>0.15</v>
      </c>
      <c r="BM1418" s="275">
        <v>3</v>
      </c>
      <c r="BN1418" s="62">
        <v>0.03</v>
      </c>
      <c r="BO1418" s="33" t="s">
        <v>642</v>
      </c>
      <c r="BP1418" s="33" t="s">
        <v>648</v>
      </c>
    </row>
    <row r="1419" spans="1:68">
      <c r="A1419" s="451" t="str">
        <f>Database_Productkaarten[[#This Row],[Product]]&amp;", "&amp;Database_Productkaarten[[#This Row],[Levensfase]]</f>
        <v>Grasbetontegel CEM III 120 mm, A1-A3</v>
      </c>
      <c r="B1419" s="33" t="s">
        <v>650</v>
      </c>
      <c r="C1419" s="451" t="str">
        <f>C1418</f>
        <v>Elementenverhardingen</v>
      </c>
      <c r="D1419" s="33" t="s">
        <v>647</v>
      </c>
      <c r="E1419" s="451" t="str">
        <f>E1418</f>
        <v>m2</v>
      </c>
      <c r="F1419" s="451" t="s">
        <v>77</v>
      </c>
      <c r="G1419" s="451">
        <f t="shared" ref="G1419:M1419" si="601">G1418</f>
        <v>1</v>
      </c>
      <c r="H1419" s="451">
        <f t="shared" si="601"/>
        <v>1</v>
      </c>
      <c r="I1419" s="451">
        <f t="shared" si="601"/>
        <v>0.12</v>
      </c>
      <c r="J1419" s="451"/>
      <c r="K1419" s="451"/>
      <c r="L1419" s="451">
        <f t="shared" si="601"/>
        <v>2.3650000000000002</v>
      </c>
      <c r="M1419" s="454">
        <f t="shared" si="601"/>
        <v>0.1945305</v>
      </c>
      <c r="N1419" s="452">
        <f>SUM(N1416:N1418)</f>
        <v>1.0900000000000001</v>
      </c>
      <c r="O1419" s="33">
        <v>50</v>
      </c>
      <c r="P1419" s="453">
        <f t="shared" ref="P1419:BK1419" si="602">SUM(P1416:P1418)</f>
        <v>0</v>
      </c>
      <c r="Q1419" s="453">
        <f t="shared" si="602"/>
        <v>0</v>
      </c>
      <c r="R1419" s="453">
        <f t="shared" si="602"/>
        <v>12.6</v>
      </c>
      <c r="S1419" s="453">
        <f t="shared" si="602"/>
        <v>0</v>
      </c>
      <c r="T1419" s="453">
        <f t="shared" si="602"/>
        <v>0</v>
      </c>
      <c r="U1419" s="453">
        <f t="shared" si="602"/>
        <v>0</v>
      </c>
      <c r="V1419" s="453">
        <f t="shared" si="602"/>
        <v>0</v>
      </c>
      <c r="W1419" s="453">
        <f t="shared" si="602"/>
        <v>0</v>
      </c>
      <c r="X1419" s="453">
        <f t="shared" si="602"/>
        <v>0</v>
      </c>
      <c r="Y1419" s="453">
        <f t="shared" si="602"/>
        <v>0</v>
      </c>
      <c r="Z1419" s="453">
        <f t="shared" si="602"/>
        <v>0</v>
      </c>
      <c r="AA1419" s="453">
        <f t="shared" si="602"/>
        <v>0</v>
      </c>
      <c r="AB1419" s="453">
        <f t="shared" si="602"/>
        <v>0</v>
      </c>
      <c r="AC1419" s="453">
        <f t="shared" si="602"/>
        <v>0</v>
      </c>
      <c r="AD1419" s="453">
        <f t="shared" si="602"/>
        <v>0</v>
      </c>
      <c r="AE1419" s="453">
        <f t="shared" si="602"/>
        <v>0</v>
      </c>
      <c r="AF1419" s="453">
        <f t="shared" si="602"/>
        <v>0</v>
      </c>
      <c r="AG1419" s="453">
        <f t="shared" si="602"/>
        <v>0</v>
      </c>
      <c r="AH1419" s="453">
        <f t="shared" si="602"/>
        <v>0</v>
      </c>
      <c r="AI1419" s="453">
        <f t="shared" si="602"/>
        <v>0</v>
      </c>
      <c r="AJ1419" s="453">
        <f t="shared" si="602"/>
        <v>0</v>
      </c>
      <c r="AK1419" s="453">
        <f t="shared" si="602"/>
        <v>0</v>
      </c>
      <c r="AL1419" s="453">
        <f t="shared" si="602"/>
        <v>0</v>
      </c>
      <c r="AM1419" s="453">
        <f t="shared" si="602"/>
        <v>0</v>
      </c>
      <c r="AN1419" s="453">
        <f t="shared" si="602"/>
        <v>0</v>
      </c>
      <c r="AO1419" s="453">
        <f t="shared" si="602"/>
        <v>0</v>
      </c>
      <c r="AP1419" s="453">
        <f t="shared" si="602"/>
        <v>0</v>
      </c>
      <c r="AQ1419" s="453">
        <f t="shared" si="602"/>
        <v>0</v>
      </c>
      <c r="AR1419" s="453">
        <f t="shared" si="602"/>
        <v>0</v>
      </c>
      <c r="AS1419" s="453">
        <f t="shared" si="602"/>
        <v>0</v>
      </c>
      <c r="AT1419" s="453">
        <f t="shared" si="602"/>
        <v>0</v>
      </c>
      <c r="AU1419" s="453">
        <f t="shared" si="602"/>
        <v>0</v>
      </c>
      <c r="AV1419" s="317">
        <f t="shared" si="602"/>
        <v>4.6500000000000004</v>
      </c>
      <c r="AW1419" s="317">
        <f t="shared" si="602"/>
        <v>0</v>
      </c>
      <c r="AX1419" s="317">
        <f t="shared" si="602"/>
        <v>0</v>
      </c>
      <c r="AY1419" s="317">
        <f t="shared" si="602"/>
        <v>112</v>
      </c>
      <c r="AZ1419" s="453">
        <f t="shared" si="602"/>
        <v>0</v>
      </c>
      <c r="BA1419" s="453">
        <f t="shared" si="602"/>
        <v>0</v>
      </c>
      <c r="BB1419" s="453">
        <f t="shared" si="602"/>
        <v>0</v>
      </c>
      <c r="BC1419" s="453">
        <f t="shared" si="602"/>
        <v>0</v>
      </c>
      <c r="BD1419" s="453">
        <f t="shared" si="602"/>
        <v>0</v>
      </c>
      <c r="BE1419" s="453">
        <f t="shared" si="602"/>
        <v>0</v>
      </c>
      <c r="BF1419" s="453">
        <f t="shared" si="602"/>
        <v>0</v>
      </c>
      <c r="BG1419" s="453">
        <f t="shared" si="602"/>
        <v>0</v>
      </c>
      <c r="BH1419" s="453">
        <f t="shared" si="602"/>
        <v>0</v>
      </c>
      <c r="BI1419" s="453">
        <f t="shared" si="602"/>
        <v>0</v>
      </c>
      <c r="BJ1419" s="453">
        <f t="shared" si="602"/>
        <v>0</v>
      </c>
      <c r="BK1419" s="453">
        <f t="shared" si="602"/>
        <v>0</v>
      </c>
      <c r="BL1419" s="62">
        <f>BL1418</f>
        <v>0.15</v>
      </c>
      <c r="BM1419" s="275">
        <f>BM1418</f>
        <v>3</v>
      </c>
      <c r="BN1419" s="62">
        <v>0.03</v>
      </c>
      <c r="BO1419" s="451" t="str">
        <f>BO1418</f>
        <v>NMD H83 Elementverharding V1.5</v>
      </c>
      <c r="BP1419" s="451"/>
    </row>
    <row r="1420" spans="1:68">
      <c r="A1420" s="33" t="str">
        <f>Database_Productkaarten[[#This Row],[Product]]&amp;", "&amp;Database_Productkaarten[[#This Row],[Levensfase]]</f>
        <v>Grasbetontegel CEM III 120 mm, A4</v>
      </c>
      <c r="B1420" s="33" t="s">
        <v>650</v>
      </c>
      <c r="C1420" t="s">
        <v>55</v>
      </c>
      <c r="D1420" s="33" t="s">
        <v>647</v>
      </c>
      <c r="E1420" s="33" t="s">
        <v>385</v>
      </c>
      <c r="F1420" s="33" t="s">
        <v>78</v>
      </c>
      <c r="G1420" s="33">
        <v>1</v>
      </c>
      <c r="H1420" s="33">
        <v>1</v>
      </c>
      <c r="I1420" s="33">
        <v>0.12</v>
      </c>
      <c r="L1420" s="33">
        <v>2.3650000000000002</v>
      </c>
      <c r="M1420" s="271">
        <v>0.1945305</v>
      </c>
      <c r="N1420" s="41">
        <v>0.28000000000000003</v>
      </c>
      <c r="O1420" s="33">
        <v>50</v>
      </c>
      <c r="R1420" s="33">
        <v>2.4700000000000002</v>
      </c>
      <c r="AV1420" s="316">
        <v>0.66700000000000004</v>
      </c>
      <c r="AW1420" s="314"/>
      <c r="AX1420" s="314"/>
      <c r="AY1420" s="316">
        <v>42.6</v>
      </c>
      <c r="BL1420" s="62">
        <v>0.15</v>
      </c>
      <c r="BM1420" s="275">
        <v>3</v>
      </c>
      <c r="BN1420" s="62">
        <v>0.03</v>
      </c>
      <c r="BO1420" s="33" t="s">
        <v>642</v>
      </c>
      <c r="BP1420" s="33" t="s">
        <v>648</v>
      </c>
    </row>
    <row r="1421" spans="1:68">
      <c r="A1421" s="33" t="str">
        <f>Database_Productkaarten[[#This Row],[Product]]&amp;", "&amp;Database_Productkaarten[[#This Row],[Levensfase]]</f>
        <v>Grasbetontegel CEM III 120 mm, A5</v>
      </c>
      <c r="B1421" s="33" t="s">
        <v>650</v>
      </c>
      <c r="C1421" t="s">
        <v>55</v>
      </c>
      <c r="D1421" s="33" t="s">
        <v>647</v>
      </c>
      <c r="E1421" s="33" t="s">
        <v>385</v>
      </c>
      <c r="F1421" s="33" t="s">
        <v>79</v>
      </c>
      <c r="G1421" s="33">
        <v>1</v>
      </c>
      <c r="H1421" s="33">
        <v>1</v>
      </c>
      <c r="I1421" s="33">
        <v>0.12</v>
      </c>
      <c r="L1421" s="33">
        <v>2.3650000000000002</v>
      </c>
      <c r="M1421" s="271">
        <v>0.1945305</v>
      </c>
      <c r="N1421" s="41">
        <v>0.56000000000000005</v>
      </c>
      <c r="O1421" s="33">
        <v>50</v>
      </c>
      <c r="R1421" s="33">
        <v>6.05</v>
      </c>
      <c r="AV1421" s="316">
        <v>0.77500000000000002</v>
      </c>
      <c r="AW1421" s="314"/>
      <c r="AX1421" s="314"/>
      <c r="AY1421" s="316">
        <v>990.1</v>
      </c>
      <c r="BL1421" s="62">
        <v>0.15</v>
      </c>
      <c r="BM1421" s="275">
        <v>3</v>
      </c>
      <c r="BN1421" s="62">
        <v>0.03</v>
      </c>
      <c r="BO1421" s="33" t="s">
        <v>642</v>
      </c>
      <c r="BP1421" s="33" t="s">
        <v>648</v>
      </c>
    </row>
    <row r="1422" spans="1:68">
      <c r="A1422" s="33" t="str">
        <f>Database_Productkaarten[[#This Row],[Product]]&amp;", "&amp;Database_Productkaarten[[#This Row],[Levensfase]]</f>
        <v>Grasbetontegel CEM III 120 mm, B1</v>
      </c>
      <c r="B1422" s="33" t="s">
        <v>650</v>
      </c>
      <c r="C1422" t="s">
        <v>55</v>
      </c>
      <c r="D1422" s="33" t="s">
        <v>647</v>
      </c>
      <c r="E1422" s="33" t="s">
        <v>385</v>
      </c>
      <c r="F1422" s="33" t="s">
        <v>80</v>
      </c>
      <c r="G1422" s="33">
        <v>1</v>
      </c>
      <c r="H1422" s="33">
        <v>1</v>
      </c>
      <c r="I1422" s="33">
        <v>0.12</v>
      </c>
      <c r="L1422" s="33">
        <v>2.3650000000000002</v>
      </c>
      <c r="M1422" s="271">
        <v>0.1945305</v>
      </c>
      <c r="N1422" s="41"/>
      <c r="O1422" s="33">
        <v>50</v>
      </c>
      <c r="AV1422" s="316"/>
      <c r="AW1422" s="314"/>
      <c r="AX1422" s="314"/>
      <c r="AY1422" s="316"/>
      <c r="BL1422" s="62">
        <v>0.15</v>
      </c>
      <c r="BM1422" s="275">
        <v>3</v>
      </c>
      <c r="BN1422" s="62">
        <v>0.03</v>
      </c>
      <c r="BO1422" s="33" t="s">
        <v>642</v>
      </c>
      <c r="BP1422" s="33" t="s">
        <v>648</v>
      </c>
    </row>
    <row r="1423" spans="1:68">
      <c r="A1423" s="33" t="str">
        <f>Database_Productkaarten[[#This Row],[Product]]&amp;", "&amp;Database_Productkaarten[[#This Row],[Levensfase]]</f>
        <v>Grasbetontegel CEM III 120 mm, C1</v>
      </c>
      <c r="B1423" s="33" t="s">
        <v>650</v>
      </c>
      <c r="C1423" t="s">
        <v>55</v>
      </c>
      <c r="D1423" s="33" t="s">
        <v>647</v>
      </c>
      <c r="E1423" s="33" t="s">
        <v>385</v>
      </c>
      <c r="F1423" s="33" t="s">
        <v>83</v>
      </c>
      <c r="G1423" s="33">
        <v>1</v>
      </c>
      <c r="H1423" s="33">
        <v>1</v>
      </c>
      <c r="I1423" s="33">
        <v>0.12</v>
      </c>
      <c r="L1423" s="33">
        <v>2.3650000000000002</v>
      </c>
      <c r="M1423" s="271">
        <v>0.1945305</v>
      </c>
      <c r="N1423" s="41">
        <v>0.16</v>
      </c>
      <c r="O1423" s="33">
        <v>50</v>
      </c>
      <c r="R1423" s="33">
        <v>1.68</v>
      </c>
      <c r="AV1423" s="316">
        <v>0.186</v>
      </c>
      <c r="AW1423" s="314"/>
      <c r="AX1423" s="314"/>
      <c r="AY1423" s="316">
        <v>25.6</v>
      </c>
      <c r="BL1423" s="62">
        <v>0.15</v>
      </c>
      <c r="BM1423" s="275">
        <v>3</v>
      </c>
      <c r="BN1423" s="62">
        <v>0.03</v>
      </c>
      <c r="BO1423" s="33" t="s">
        <v>642</v>
      </c>
      <c r="BP1423" s="33" t="s">
        <v>648</v>
      </c>
    </row>
    <row r="1424" spans="1:68">
      <c r="A1424" s="33" t="str">
        <f>Database_Productkaarten[[#This Row],[Product]]&amp;", "&amp;Database_Productkaarten[[#This Row],[Levensfase]]</f>
        <v>Grasbetontegel CEM III 120 mm, C2</v>
      </c>
      <c r="B1424" s="33" t="s">
        <v>650</v>
      </c>
      <c r="C1424" t="s">
        <v>55</v>
      </c>
      <c r="D1424" s="33" t="s">
        <v>647</v>
      </c>
      <c r="E1424" s="33" t="s">
        <v>385</v>
      </c>
      <c r="F1424" s="33" t="s">
        <v>84</v>
      </c>
      <c r="G1424" s="33">
        <v>1</v>
      </c>
      <c r="H1424" s="33">
        <v>1</v>
      </c>
      <c r="I1424" s="33">
        <v>0.12</v>
      </c>
      <c r="L1424" s="33">
        <v>2.3650000000000002</v>
      </c>
      <c r="M1424" s="271">
        <v>0.1945305</v>
      </c>
      <c r="N1424" s="41">
        <v>0.09</v>
      </c>
      <c r="O1424" s="33">
        <v>50</v>
      </c>
      <c r="R1424" s="33">
        <v>0.83</v>
      </c>
      <c r="AV1424" s="316">
        <v>0.224</v>
      </c>
      <c r="AW1424" s="314"/>
      <c r="AX1424" s="314"/>
      <c r="AY1424" s="316">
        <v>14.3</v>
      </c>
      <c r="BL1424" s="62">
        <v>0.15</v>
      </c>
      <c r="BM1424" s="275">
        <v>3</v>
      </c>
      <c r="BN1424" s="62">
        <v>0.03</v>
      </c>
      <c r="BO1424" s="33" t="s">
        <v>642</v>
      </c>
      <c r="BP1424" s="33" t="s">
        <v>648</v>
      </c>
    </row>
    <row r="1425" spans="1:68">
      <c r="A1425" s="33" t="str">
        <f>Database_Productkaarten[[#This Row],[Product]]&amp;", "&amp;Database_Productkaarten[[#This Row],[Levensfase]]</f>
        <v>Grasbetontegel CEM III 120 mm, C3</v>
      </c>
      <c r="B1425" s="33" t="s">
        <v>650</v>
      </c>
      <c r="C1425" t="s">
        <v>55</v>
      </c>
      <c r="D1425" s="33" t="s">
        <v>647</v>
      </c>
      <c r="E1425" s="33" t="s">
        <v>385</v>
      </c>
      <c r="F1425" s="33" t="s">
        <v>85</v>
      </c>
      <c r="G1425" s="33">
        <v>1</v>
      </c>
      <c r="H1425" s="33">
        <v>1</v>
      </c>
      <c r="I1425" s="33">
        <v>0.12</v>
      </c>
      <c r="L1425" s="33">
        <v>2.3650000000000002</v>
      </c>
      <c r="M1425" s="271">
        <v>0.1945305</v>
      </c>
      <c r="N1425" s="41">
        <v>0.03</v>
      </c>
      <c r="O1425" s="33">
        <v>50</v>
      </c>
      <c r="R1425" s="33">
        <v>0.311</v>
      </c>
      <c r="AV1425" s="316">
        <v>0.251</v>
      </c>
      <c r="AW1425" s="314"/>
      <c r="AX1425" s="314"/>
      <c r="AY1425" s="316">
        <v>4.68</v>
      </c>
      <c r="BL1425" s="62">
        <v>0.15</v>
      </c>
      <c r="BM1425" s="275">
        <v>3</v>
      </c>
      <c r="BN1425" s="62">
        <v>0.03</v>
      </c>
      <c r="BO1425" s="33" t="s">
        <v>642</v>
      </c>
      <c r="BP1425" s="33" t="s">
        <v>648</v>
      </c>
    </row>
    <row r="1426" spans="1:68">
      <c r="A1426" s="33" t="str">
        <f>Database_Productkaarten[[#This Row],[Product]]&amp;", "&amp;Database_Productkaarten[[#This Row],[Levensfase]]</f>
        <v>Grasbetontegel CEM III 120 mm, C4</v>
      </c>
      <c r="B1426" s="33" t="s">
        <v>650</v>
      </c>
      <c r="C1426" t="s">
        <v>55</v>
      </c>
      <c r="D1426" s="33" t="s">
        <v>647</v>
      </c>
      <c r="E1426" s="33" t="s">
        <v>385</v>
      </c>
      <c r="F1426" s="33" t="s">
        <v>86</v>
      </c>
      <c r="G1426" s="33">
        <v>1</v>
      </c>
      <c r="H1426" s="33">
        <v>1</v>
      </c>
      <c r="I1426" s="33">
        <v>0.12</v>
      </c>
      <c r="L1426" s="33">
        <v>2.3650000000000002</v>
      </c>
      <c r="M1426" s="271">
        <v>0.1945305</v>
      </c>
      <c r="N1426" s="41">
        <v>0</v>
      </c>
      <c r="O1426" s="33">
        <v>50</v>
      </c>
      <c r="R1426" s="33">
        <v>1.03E-2</v>
      </c>
      <c r="AV1426" s="316">
        <v>2.5799999999999998E-3</v>
      </c>
      <c r="AW1426" s="314"/>
      <c r="AX1426" s="314"/>
      <c r="AY1426" s="316">
        <v>0.33500000000000002</v>
      </c>
      <c r="BL1426" s="62">
        <v>0.15</v>
      </c>
      <c r="BM1426" s="275">
        <v>3</v>
      </c>
      <c r="BN1426" s="62">
        <v>0.03</v>
      </c>
      <c r="BO1426" s="33" t="s">
        <v>642</v>
      </c>
      <c r="BP1426" s="33" t="s">
        <v>648</v>
      </c>
    </row>
    <row r="1427" spans="1:68">
      <c r="A1427" s="33" t="str">
        <f>Database_Productkaarten[[#This Row],[Product]]&amp;", "&amp;Database_Productkaarten[[#This Row],[Levensfase]]</f>
        <v>Grasbetontegel CEM III 120 mm, D</v>
      </c>
      <c r="B1427" s="33" t="s">
        <v>650</v>
      </c>
      <c r="C1427" s="33" t="str">
        <f>C1428</f>
        <v>Elementenverhardingen</v>
      </c>
      <c r="D1427" s="33" t="s">
        <v>647</v>
      </c>
      <c r="E1427" s="33" t="str">
        <f>E1428</f>
        <v>m2</v>
      </c>
      <c r="F1427" s="33" t="s">
        <v>89</v>
      </c>
      <c r="G1427" s="33">
        <f t="shared" ref="G1427:M1427" si="603">G1428</f>
        <v>1</v>
      </c>
      <c r="H1427" s="33">
        <f t="shared" si="603"/>
        <v>1</v>
      </c>
      <c r="I1427" s="33">
        <f t="shared" si="603"/>
        <v>0.12</v>
      </c>
      <c r="L1427" s="33">
        <f t="shared" si="603"/>
        <v>2.3650000000000002</v>
      </c>
      <c r="M1427" s="45">
        <f t="shared" si="603"/>
        <v>0.1945305</v>
      </c>
      <c r="N1427" s="41">
        <f>SUM(N1428:N1429)</f>
        <v>-0.1</v>
      </c>
      <c r="O1427" s="33">
        <v>50</v>
      </c>
      <c r="P1427" s="40">
        <f t="shared" ref="P1427:AS1427" si="604">SUM(P1428:P1444)</f>
        <v>0</v>
      </c>
      <c r="Q1427" s="40">
        <f t="shared" si="604"/>
        <v>0</v>
      </c>
      <c r="R1427" s="40">
        <f t="shared" si="604"/>
        <v>24.4146</v>
      </c>
      <c r="S1427" s="40">
        <f t="shared" si="604"/>
        <v>0</v>
      </c>
      <c r="T1427" s="40">
        <f t="shared" si="604"/>
        <v>0</v>
      </c>
      <c r="U1427" s="40">
        <f t="shared" si="604"/>
        <v>0</v>
      </c>
      <c r="V1427" s="40">
        <f t="shared" si="604"/>
        <v>0</v>
      </c>
      <c r="W1427" s="40">
        <f t="shared" si="604"/>
        <v>0</v>
      </c>
      <c r="X1427" s="40">
        <f t="shared" si="604"/>
        <v>0</v>
      </c>
      <c r="Y1427" s="40">
        <f t="shared" si="604"/>
        <v>0</v>
      </c>
      <c r="Z1427" s="40">
        <f t="shared" si="604"/>
        <v>0</v>
      </c>
      <c r="AA1427" s="40">
        <f t="shared" si="604"/>
        <v>0</v>
      </c>
      <c r="AB1427" s="40">
        <f t="shared" si="604"/>
        <v>0</v>
      </c>
      <c r="AC1427" s="40">
        <f t="shared" si="604"/>
        <v>0</v>
      </c>
      <c r="AD1427" s="40">
        <f t="shared" si="604"/>
        <v>0</v>
      </c>
      <c r="AE1427" s="40">
        <f t="shared" si="604"/>
        <v>0</v>
      </c>
      <c r="AF1427" s="40">
        <f t="shared" si="604"/>
        <v>0</v>
      </c>
      <c r="AG1427" s="40">
        <f t="shared" si="604"/>
        <v>0</v>
      </c>
      <c r="AH1427" s="40">
        <f t="shared" si="604"/>
        <v>0</v>
      </c>
      <c r="AI1427" s="40">
        <f t="shared" si="604"/>
        <v>0</v>
      </c>
      <c r="AJ1427" s="40">
        <f t="shared" si="604"/>
        <v>0</v>
      </c>
      <c r="AK1427" s="40">
        <f t="shared" si="604"/>
        <v>0</v>
      </c>
      <c r="AL1427" s="40">
        <f t="shared" si="604"/>
        <v>0</v>
      </c>
      <c r="AM1427" s="40">
        <f t="shared" si="604"/>
        <v>0</v>
      </c>
      <c r="AN1427" s="40">
        <f t="shared" si="604"/>
        <v>0</v>
      </c>
      <c r="AO1427" s="40">
        <f t="shared" si="604"/>
        <v>0</v>
      </c>
      <c r="AP1427" s="40">
        <f t="shared" si="604"/>
        <v>0</v>
      </c>
      <c r="AQ1427" s="40">
        <f t="shared" si="604"/>
        <v>0</v>
      </c>
      <c r="AR1427" s="40">
        <f t="shared" si="604"/>
        <v>0</v>
      </c>
      <c r="AS1427" s="40">
        <f t="shared" si="604"/>
        <v>0</v>
      </c>
      <c r="AT1427" s="40">
        <f t="shared" ref="AT1427:BK1427" si="605">SUM(AT1428:AT1429)</f>
        <v>0</v>
      </c>
      <c r="AU1427" s="40">
        <f t="shared" si="605"/>
        <v>0</v>
      </c>
      <c r="AV1427" s="317">
        <f t="shared" si="605"/>
        <v>-0.68200000000000005</v>
      </c>
      <c r="AW1427" s="317">
        <f t="shared" si="605"/>
        <v>0</v>
      </c>
      <c r="AX1427" s="317">
        <f t="shared" si="605"/>
        <v>0</v>
      </c>
      <c r="AY1427" s="317">
        <f t="shared" si="605"/>
        <v>-11.2</v>
      </c>
      <c r="AZ1427" s="40">
        <f t="shared" si="605"/>
        <v>0</v>
      </c>
      <c r="BA1427" s="40">
        <f t="shared" si="605"/>
        <v>0</v>
      </c>
      <c r="BB1427" s="40">
        <f t="shared" si="605"/>
        <v>0</v>
      </c>
      <c r="BC1427" s="40">
        <f t="shared" si="605"/>
        <v>0</v>
      </c>
      <c r="BD1427" s="40">
        <f t="shared" si="605"/>
        <v>0</v>
      </c>
      <c r="BE1427" s="40">
        <f t="shared" si="605"/>
        <v>0</v>
      </c>
      <c r="BF1427" s="40">
        <f t="shared" si="605"/>
        <v>0</v>
      </c>
      <c r="BG1427" s="40">
        <f t="shared" si="605"/>
        <v>0</v>
      </c>
      <c r="BH1427" s="40">
        <f t="shared" si="605"/>
        <v>0</v>
      </c>
      <c r="BI1427" s="40">
        <f t="shared" si="605"/>
        <v>0</v>
      </c>
      <c r="BJ1427" s="40">
        <f t="shared" si="605"/>
        <v>0</v>
      </c>
      <c r="BK1427" s="40">
        <f t="shared" si="605"/>
        <v>0</v>
      </c>
      <c r="BL1427" s="62">
        <f>BL1428</f>
        <v>0.15</v>
      </c>
      <c r="BM1427" s="275">
        <f>BM1428</f>
        <v>3</v>
      </c>
      <c r="BN1427" s="62">
        <v>0.03</v>
      </c>
      <c r="BO1427" s="33" t="str">
        <f>BO1428</f>
        <v>NMD H83 Elementverharding V1.5</v>
      </c>
    </row>
    <row r="1428" spans="1:68">
      <c r="A1428" s="33" t="str">
        <f>Database_Productkaarten[[#This Row],[Product]]&amp;", "&amp;Database_Productkaarten[[#This Row],[Levensfase]]</f>
        <v>Grasbetontegel CEM III 120 mm, D1</v>
      </c>
      <c r="B1428" s="33" t="s">
        <v>650</v>
      </c>
      <c r="C1428" t="s">
        <v>55</v>
      </c>
      <c r="D1428" s="33" t="s">
        <v>647</v>
      </c>
      <c r="E1428" s="33" t="s">
        <v>385</v>
      </c>
      <c r="F1428" s="33" t="s">
        <v>87</v>
      </c>
      <c r="G1428" s="33">
        <v>1</v>
      </c>
      <c r="H1428" s="33">
        <v>1</v>
      </c>
      <c r="I1428" s="33">
        <v>0.12</v>
      </c>
      <c r="L1428" s="33">
        <v>2.3650000000000002</v>
      </c>
      <c r="M1428" s="271">
        <v>0.1945305</v>
      </c>
      <c r="N1428" s="41">
        <v>-0.1</v>
      </c>
      <c r="O1428" s="33">
        <v>50</v>
      </c>
      <c r="R1428" s="33">
        <v>-0.80800000000000005</v>
      </c>
      <c r="AV1428" s="316">
        <v>-0.68200000000000005</v>
      </c>
      <c r="AW1428" s="314"/>
      <c r="AX1428" s="314"/>
      <c r="AY1428" s="316">
        <v>-11.2</v>
      </c>
      <c r="BL1428" s="62">
        <v>0.15</v>
      </c>
      <c r="BM1428" s="275">
        <v>3</v>
      </c>
      <c r="BN1428" s="62">
        <v>0.03</v>
      </c>
      <c r="BO1428" s="33" t="s">
        <v>642</v>
      </c>
      <c r="BP1428" s="33" t="s">
        <v>648</v>
      </c>
    </row>
    <row r="1429" spans="1:68">
      <c r="A1429" s="33" t="str">
        <f>Database_Productkaarten[[#This Row],[Product]]&amp;", "&amp;Database_Productkaarten[[#This Row],[Levensfase]]</f>
        <v>Grasbetontegel CEM III 120 mm, D2</v>
      </c>
      <c r="B1429" s="33" t="s">
        <v>650</v>
      </c>
      <c r="C1429" t="s">
        <v>55</v>
      </c>
      <c r="D1429" s="33" t="s">
        <v>647</v>
      </c>
      <c r="E1429" s="33" t="s">
        <v>385</v>
      </c>
      <c r="F1429" s="33" t="s">
        <v>88</v>
      </c>
      <c r="G1429" s="33">
        <v>1</v>
      </c>
      <c r="H1429" s="33">
        <v>1</v>
      </c>
      <c r="I1429" s="33">
        <v>0.12</v>
      </c>
      <c r="L1429" s="33">
        <v>2.3650000000000002</v>
      </c>
      <c r="M1429" s="271">
        <v>0.1945305</v>
      </c>
      <c r="N1429" s="41"/>
      <c r="O1429" s="33">
        <v>50</v>
      </c>
      <c r="P1429" s="40"/>
      <c r="Q1429" s="40"/>
      <c r="R1429" s="40"/>
      <c r="S1429" s="40"/>
      <c r="T1429" s="40"/>
      <c r="U1429" s="40"/>
      <c r="V1429" s="40"/>
      <c r="W1429" s="40"/>
      <c r="X1429" s="40"/>
      <c r="Y1429" s="40"/>
      <c r="Z1429" s="40"/>
      <c r="AA1429" s="40"/>
      <c r="AB1429" s="40"/>
      <c r="AC1429" s="40"/>
      <c r="AD1429" s="40"/>
      <c r="AE1429" s="40"/>
      <c r="AF1429" s="40"/>
      <c r="AG1429" s="40"/>
      <c r="AH1429" s="40"/>
      <c r="AI1429" s="40"/>
      <c r="AJ1429" s="40"/>
      <c r="AK1429" s="40"/>
      <c r="AL1429" s="40"/>
      <c r="AM1429" s="40"/>
      <c r="AN1429" s="40"/>
      <c r="AO1429" s="40"/>
      <c r="AP1429" s="40"/>
      <c r="AQ1429" s="40"/>
      <c r="AR1429" s="40"/>
      <c r="AS1429" s="40"/>
      <c r="AV1429" s="316"/>
      <c r="AW1429" s="314"/>
      <c r="AX1429" s="314"/>
      <c r="AY1429" s="316"/>
      <c r="BL1429" s="62">
        <v>0.15</v>
      </c>
      <c r="BM1429" s="275">
        <v>3</v>
      </c>
      <c r="BN1429" s="62">
        <v>0.03</v>
      </c>
      <c r="BO1429" s="33" t="s">
        <v>642</v>
      </c>
      <c r="BP1429" s="33" t="s">
        <v>648</v>
      </c>
    </row>
    <row r="1430" spans="1:68">
      <c r="A1430" s="33" t="str">
        <f>Database_Productkaarten[[#This Row],[Product]]&amp;", "&amp;Database_Productkaarten[[#This Row],[Levensfase]]</f>
        <v>Grasbetontegel CEM III 120 mm (hergebruik), Totaal</v>
      </c>
      <c r="B1430" s="33" t="s">
        <v>651</v>
      </c>
      <c r="C1430" t="s">
        <v>55</v>
      </c>
      <c r="D1430" s="33" t="s">
        <v>647</v>
      </c>
      <c r="E1430" s="33" t="s">
        <v>385</v>
      </c>
      <c r="F1430" s="33" t="s">
        <v>90</v>
      </c>
      <c r="G1430" s="33">
        <v>1</v>
      </c>
      <c r="H1430" s="33">
        <v>1</v>
      </c>
      <c r="I1430" s="33">
        <v>0.12</v>
      </c>
      <c r="L1430" s="33">
        <v>2.3650000000000002</v>
      </c>
      <c r="M1430" s="271">
        <v>0.1945305</v>
      </c>
      <c r="N1430" s="41">
        <f>SUM(N1434:N1442)</f>
        <v>1.2290000000000001</v>
      </c>
      <c r="O1430" s="33">
        <v>50</v>
      </c>
      <c r="P1430" s="163">
        <f t="shared" ref="P1430:Z1430" si="606">SUM(P1434:P1442)</f>
        <v>0</v>
      </c>
      <c r="Q1430" s="163">
        <f t="shared" si="606"/>
        <v>0</v>
      </c>
      <c r="R1430" s="163">
        <f t="shared" si="606"/>
        <v>12.6113</v>
      </c>
      <c r="S1430" s="163">
        <f t="shared" si="606"/>
        <v>0</v>
      </c>
      <c r="T1430" s="163">
        <f t="shared" si="606"/>
        <v>0</v>
      </c>
      <c r="U1430" s="163">
        <f t="shared" si="606"/>
        <v>0</v>
      </c>
      <c r="V1430" s="163">
        <f t="shared" si="606"/>
        <v>0</v>
      </c>
      <c r="W1430" s="163">
        <f t="shared" si="606"/>
        <v>0</v>
      </c>
      <c r="X1430" s="163">
        <f t="shared" si="606"/>
        <v>0</v>
      </c>
      <c r="Y1430" s="163">
        <f t="shared" si="606"/>
        <v>0</v>
      </c>
      <c r="Z1430" s="163">
        <f t="shared" si="606"/>
        <v>0</v>
      </c>
      <c r="AA1430" s="40"/>
      <c r="AB1430" s="40"/>
      <c r="AC1430" s="40"/>
      <c r="AD1430" s="40"/>
      <c r="AE1430" s="40"/>
      <c r="AF1430" s="40"/>
      <c r="AG1430" s="40"/>
      <c r="AH1430" s="40"/>
      <c r="AI1430" s="40"/>
      <c r="AJ1430" s="40"/>
      <c r="AK1430" s="40"/>
      <c r="AL1430" s="40"/>
      <c r="AM1430" s="40"/>
      <c r="AN1430" s="40"/>
      <c r="AO1430" s="40"/>
      <c r="AP1430" s="40"/>
      <c r="AQ1430" s="40"/>
      <c r="AR1430" s="40"/>
      <c r="AS1430" s="40"/>
      <c r="AT1430" s="40"/>
      <c r="AU1430" s="40"/>
      <c r="AV1430" s="163">
        <f>SUM(AV1434:AV1442)</f>
        <v>2.5705800000000005</v>
      </c>
      <c r="AW1430" s="40"/>
      <c r="AX1430" s="40"/>
      <c r="AY1430" s="163">
        <f>SUM(AY1434:AY1442)</f>
        <v>1088.8150000000001</v>
      </c>
      <c r="AZ1430" s="40"/>
      <c r="BA1430" s="40"/>
      <c r="BB1430" s="40"/>
      <c r="BC1430" s="163">
        <f t="shared" ref="BC1430:BE1430" si="607">SUM(BC1434:BC1442)</f>
        <v>0</v>
      </c>
      <c r="BD1430" s="163">
        <f t="shared" si="607"/>
        <v>0</v>
      </c>
      <c r="BE1430" s="163">
        <f t="shared" si="607"/>
        <v>0</v>
      </c>
      <c r="BF1430" s="40"/>
      <c r="BG1430" s="40"/>
      <c r="BH1430" s="40"/>
      <c r="BI1430" s="40"/>
      <c r="BJ1430" s="40"/>
      <c r="BK1430" s="40"/>
      <c r="BL1430" s="62">
        <v>1</v>
      </c>
      <c r="BM1430" s="275">
        <v>3</v>
      </c>
      <c r="BN1430" s="62">
        <v>0.03</v>
      </c>
      <c r="BP1430" s="33" t="s">
        <v>602</v>
      </c>
    </row>
    <row r="1431" spans="1:68">
      <c r="A1431" s="33" t="str">
        <f>Database_Productkaarten[[#This Row],[Product]]&amp;", "&amp;Database_Productkaarten[[#This Row],[Levensfase]]</f>
        <v>Grasbetontegel CEM III 120 mm (hergebruik), A1</v>
      </c>
      <c r="B1431" s="33" t="s">
        <v>651</v>
      </c>
      <c r="C1431" t="s">
        <v>55</v>
      </c>
      <c r="D1431" s="33" t="s">
        <v>647</v>
      </c>
      <c r="E1431" s="33" t="s">
        <v>385</v>
      </c>
      <c r="F1431" s="33" t="s">
        <v>74</v>
      </c>
      <c r="G1431" s="33">
        <v>1</v>
      </c>
      <c r="H1431" s="33">
        <v>1</v>
      </c>
      <c r="I1431" s="33">
        <v>0.12</v>
      </c>
      <c r="L1431" s="33">
        <v>2.3650000000000002</v>
      </c>
      <c r="M1431" s="271">
        <v>0.1945305</v>
      </c>
      <c r="N1431" s="41">
        <v>0</v>
      </c>
      <c r="O1431" s="33">
        <v>50</v>
      </c>
      <c r="P1431" s="163">
        <v>0</v>
      </c>
      <c r="Q1431" s="163">
        <v>0</v>
      </c>
      <c r="R1431" s="163">
        <v>0</v>
      </c>
      <c r="S1431" s="163">
        <v>0</v>
      </c>
      <c r="T1431" s="163">
        <v>0</v>
      </c>
      <c r="U1431" s="163">
        <v>0</v>
      </c>
      <c r="V1431" s="163">
        <v>0</v>
      </c>
      <c r="W1431" s="163">
        <v>0</v>
      </c>
      <c r="X1431" s="163">
        <v>0</v>
      </c>
      <c r="Y1431" s="163">
        <v>0</v>
      </c>
      <c r="Z1431" s="163">
        <v>0</v>
      </c>
      <c r="AA1431" s="40"/>
      <c r="AB1431" s="40"/>
      <c r="AC1431" s="40"/>
      <c r="AD1431" s="40"/>
      <c r="AE1431" s="40"/>
      <c r="AF1431" s="40"/>
      <c r="AG1431" s="40"/>
      <c r="AH1431" s="40"/>
      <c r="AI1431" s="40"/>
      <c r="AJ1431" s="40"/>
      <c r="AK1431" s="40"/>
      <c r="AL1431" s="40"/>
      <c r="AM1431" s="40"/>
      <c r="AN1431" s="40"/>
      <c r="AO1431" s="40"/>
      <c r="AP1431" s="40"/>
      <c r="AQ1431" s="40"/>
      <c r="AR1431" s="40"/>
      <c r="AS1431" s="40"/>
      <c r="AT1431" s="40"/>
      <c r="AU1431" s="40"/>
      <c r="AV1431" s="163">
        <v>0</v>
      </c>
      <c r="AW1431" s="40"/>
      <c r="AX1431" s="40"/>
      <c r="AY1431" s="163">
        <v>0</v>
      </c>
      <c r="AZ1431" s="40"/>
      <c r="BA1431" s="40"/>
      <c r="BB1431" s="40"/>
      <c r="BC1431" s="163">
        <v>0</v>
      </c>
      <c r="BD1431" s="163">
        <v>0</v>
      </c>
      <c r="BE1431" s="163">
        <v>0</v>
      </c>
      <c r="BF1431" s="40"/>
      <c r="BG1431" s="40"/>
      <c r="BH1431" s="40"/>
      <c r="BI1431" s="40"/>
      <c r="BJ1431" s="40"/>
      <c r="BK1431" s="40"/>
      <c r="BL1431" s="62">
        <v>1</v>
      </c>
      <c r="BM1431" s="275">
        <v>3</v>
      </c>
      <c r="BN1431" s="62">
        <v>0.03</v>
      </c>
      <c r="BP1431" s="33" t="s">
        <v>602</v>
      </c>
    </row>
    <row r="1432" spans="1:68">
      <c r="A1432" s="33" t="str">
        <f>Database_Productkaarten[[#This Row],[Product]]&amp;", "&amp;Database_Productkaarten[[#This Row],[Levensfase]]</f>
        <v>Grasbetontegel CEM III 120 mm (hergebruik), A2</v>
      </c>
      <c r="B1432" s="33" t="s">
        <v>651</v>
      </c>
      <c r="C1432" t="s">
        <v>55</v>
      </c>
      <c r="D1432" s="33" t="s">
        <v>647</v>
      </c>
      <c r="E1432" s="33" t="s">
        <v>385</v>
      </c>
      <c r="F1432" s="33" t="s">
        <v>75</v>
      </c>
      <c r="G1432" s="33">
        <v>1</v>
      </c>
      <c r="H1432" s="33">
        <v>1</v>
      </c>
      <c r="I1432" s="33">
        <v>0.12</v>
      </c>
      <c r="L1432" s="33">
        <v>2.3650000000000002</v>
      </c>
      <c r="M1432" s="271">
        <v>0.1945305</v>
      </c>
      <c r="N1432" s="41">
        <v>0</v>
      </c>
      <c r="O1432" s="33">
        <v>50</v>
      </c>
      <c r="P1432" s="163">
        <v>0</v>
      </c>
      <c r="Q1432" s="163">
        <v>0</v>
      </c>
      <c r="R1432" s="163">
        <v>0</v>
      </c>
      <c r="S1432" s="163">
        <v>0</v>
      </c>
      <c r="T1432" s="163">
        <v>0</v>
      </c>
      <c r="U1432" s="163">
        <v>0</v>
      </c>
      <c r="V1432" s="163">
        <v>0</v>
      </c>
      <c r="W1432" s="163">
        <v>0</v>
      </c>
      <c r="X1432" s="163">
        <v>0</v>
      </c>
      <c r="Y1432" s="163">
        <v>0</v>
      </c>
      <c r="Z1432" s="163">
        <v>0</v>
      </c>
      <c r="AA1432" s="40"/>
      <c r="AB1432" s="40"/>
      <c r="AC1432" s="40"/>
      <c r="AD1432" s="40"/>
      <c r="AE1432" s="40"/>
      <c r="AF1432" s="40"/>
      <c r="AG1432" s="40"/>
      <c r="AH1432" s="40"/>
      <c r="AI1432" s="40"/>
      <c r="AJ1432" s="40"/>
      <c r="AK1432" s="40"/>
      <c r="AL1432" s="40"/>
      <c r="AM1432" s="40"/>
      <c r="AN1432" s="40"/>
      <c r="AO1432" s="40"/>
      <c r="AP1432" s="40"/>
      <c r="AQ1432" s="40"/>
      <c r="AR1432" s="40"/>
      <c r="AS1432" s="40"/>
      <c r="AT1432" s="40"/>
      <c r="AU1432" s="40"/>
      <c r="AV1432" s="163">
        <v>0</v>
      </c>
      <c r="AW1432" s="40"/>
      <c r="AX1432" s="40"/>
      <c r="AY1432" s="163">
        <v>0</v>
      </c>
      <c r="AZ1432" s="40"/>
      <c r="BA1432" s="40"/>
      <c r="BB1432" s="40"/>
      <c r="BC1432" s="163">
        <v>0</v>
      </c>
      <c r="BD1432" s="163">
        <v>0</v>
      </c>
      <c r="BE1432" s="163">
        <v>0</v>
      </c>
      <c r="BF1432" s="40"/>
      <c r="BG1432" s="40"/>
      <c r="BH1432" s="40"/>
      <c r="BI1432" s="40"/>
      <c r="BJ1432" s="40"/>
      <c r="BK1432" s="40"/>
      <c r="BL1432" s="62">
        <v>1</v>
      </c>
      <c r="BM1432" s="275">
        <v>3</v>
      </c>
      <c r="BN1432" s="62">
        <v>0.03</v>
      </c>
      <c r="BP1432" s="33" t="s">
        <v>602</v>
      </c>
    </row>
    <row r="1433" spans="1:68">
      <c r="A1433" s="33" t="str">
        <f>Database_Productkaarten[[#This Row],[Product]]&amp;", "&amp;Database_Productkaarten[[#This Row],[Levensfase]]</f>
        <v>Grasbetontegel CEM III 120 mm (hergebruik), A3</v>
      </c>
      <c r="B1433" s="33" t="s">
        <v>651</v>
      </c>
      <c r="C1433" t="s">
        <v>55</v>
      </c>
      <c r="D1433" s="33" t="s">
        <v>647</v>
      </c>
      <c r="E1433" s="33" t="s">
        <v>385</v>
      </c>
      <c r="F1433" s="33" t="s">
        <v>76</v>
      </c>
      <c r="G1433" s="33">
        <v>1</v>
      </c>
      <c r="H1433" s="33">
        <v>1</v>
      </c>
      <c r="I1433" s="33">
        <v>0.12</v>
      </c>
      <c r="L1433" s="33">
        <v>2.3650000000000002</v>
      </c>
      <c r="M1433" s="271">
        <v>0.1945305</v>
      </c>
      <c r="N1433" s="41">
        <v>0</v>
      </c>
      <c r="O1433" s="33">
        <v>50</v>
      </c>
      <c r="P1433" s="163">
        <v>0</v>
      </c>
      <c r="Q1433" s="163">
        <v>0</v>
      </c>
      <c r="R1433" s="163">
        <v>0</v>
      </c>
      <c r="S1433" s="163">
        <v>0</v>
      </c>
      <c r="T1433" s="163">
        <v>0</v>
      </c>
      <c r="U1433" s="163">
        <v>0</v>
      </c>
      <c r="V1433" s="163">
        <v>0</v>
      </c>
      <c r="W1433" s="163">
        <v>0</v>
      </c>
      <c r="X1433" s="163">
        <v>0</v>
      </c>
      <c r="Y1433" s="163">
        <v>0</v>
      </c>
      <c r="Z1433" s="163">
        <v>0</v>
      </c>
      <c r="AA1433" s="40"/>
      <c r="AB1433" s="40"/>
      <c r="AC1433" s="40"/>
      <c r="AD1433" s="40"/>
      <c r="AE1433" s="40"/>
      <c r="AF1433" s="40"/>
      <c r="AG1433" s="40"/>
      <c r="AH1433" s="40"/>
      <c r="AI1433" s="40"/>
      <c r="AJ1433" s="40"/>
      <c r="AK1433" s="40"/>
      <c r="AL1433" s="40"/>
      <c r="AM1433" s="40"/>
      <c r="AN1433" s="40"/>
      <c r="AO1433" s="40"/>
      <c r="AP1433" s="40"/>
      <c r="AQ1433" s="40"/>
      <c r="AR1433" s="40"/>
      <c r="AS1433" s="40"/>
      <c r="AT1433" s="40"/>
      <c r="AU1433" s="40"/>
      <c r="AV1433" s="163">
        <v>0</v>
      </c>
      <c r="AW1433" s="40"/>
      <c r="AX1433" s="40"/>
      <c r="AY1433" s="163">
        <v>0</v>
      </c>
      <c r="AZ1433" s="40"/>
      <c r="BA1433" s="40"/>
      <c r="BB1433" s="40"/>
      <c r="BC1433" s="163">
        <v>0</v>
      </c>
      <c r="BD1433" s="163">
        <v>0</v>
      </c>
      <c r="BE1433" s="163">
        <v>0</v>
      </c>
      <c r="BF1433" s="40"/>
      <c r="BG1433" s="40"/>
      <c r="BH1433" s="40"/>
      <c r="BI1433" s="40"/>
      <c r="BJ1433" s="40"/>
      <c r="BK1433" s="40"/>
      <c r="BL1433" s="62">
        <v>1</v>
      </c>
      <c r="BM1433" s="275">
        <v>3</v>
      </c>
      <c r="BN1433" s="62">
        <v>0.03</v>
      </c>
      <c r="BP1433" s="33" t="s">
        <v>602</v>
      </c>
    </row>
    <row r="1434" spans="1:68">
      <c r="A1434" s="33" t="str">
        <f>Database_Productkaarten[[#This Row],[Product]]&amp;", "&amp;Database_Productkaarten[[#This Row],[Levensfase]]</f>
        <v>Grasbetontegel CEM III 120 mm (hergebruik), A1-A3</v>
      </c>
      <c r="B1434" s="33" t="s">
        <v>651</v>
      </c>
      <c r="C1434" s="451" t="str">
        <f>C1433</f>
        <v>Elementenverhardingen</v>
      </c>
      <c r="D1434" s="33" t="s">
        <v>647</v>
      </c>
      <c r="E1434" s="451" t="str">
        <f>E1433</f>
        <v>m2</v>
      </c>
      <c r="F1434" s="451" t="s">
        <v>77</v>
      </c>
      <c r="G1434" s="451">
        <f t="shared" ref="G1434:I1434" si="608">G1433</f>
        <v>1</v>
      </c>
      <c r="H1434" s="451">
        <f t="shared" si="608"/>
        <v>1</v>
      </c>
      <c r="I1434" s="451">
        <f t="shared" si="608"/>
        <v>0.12</v>
      </c>
      <c r="L1434" s="33">
        <v>2.3650000000000002</v>
      </c>
      <c r="M1434" s="271">
        <v>0.1945305</v>
      </c>
      <c r="N1434" s="41">
        <v>0</v>
      </c>
      <c r="O1434" s="33">
        <v>50</v>
      </c>
      <c r="P1434" s="163">
        <v>0</v>
      </c>
      <c r="Q1434" s="163">
        <v>0</v>
      </c>
      <c r="R1434" s="163">
        <v>0</v>
      </c>
      <c r="S1434" s="163">
        <v>0</v>
      </c>
      <c r="T1434" s="163">
        <v>0</v>
      </c>
      <c r="U1434" s="163">
        <v>0</v>
      </c>
      <c r="V1434" s="163">
        <v>0</v>
      </c>
      <c r="W1434" s="163">
        <v>0</v>
      </c>
      <c r="X1434" s="163">
        <v>0</v>
      </c>
      <c r="Y1434" s="163">
        <v>0</v>
      </c>
      <c r="Z1434" s="163">
        <v>0</v>
      </c>
      <c r="AA1434" s="40"/>
      <c r="AB1434" s="40"/>
      <c r="AC1434" s="40"/>
      <c r="AD1434" s="40"/>
      <c r="AE1434" s="40"/>
      <c r="AF1434" s="40"/>
      <c r="AG1434" s="40"/>
      <c r="AH1434" s="40"/>
      <c r="AI1434" s="40"/>
      <c r="AJ1434" s="40"/>
      <c r="AK1434" s="40"/>
      <c r="AL1434" s="40"/>
      <c r="AM1434" s="40"/>
      <c r="AN1434" s="40"/>
      <c r="AO1434" s="40"/>
      <c r="AP1434" s="40"/>
      <c r="AQ1434" s="40"/>
      <c r="AR1434" s="40"/>
      <c r="AS1434" s="40"/>
      <c r="AT1434" s="40"/>
      <c r="AU1434" s="40"/>
      <c r="AV1434" s="163">
        <v>0</v>
      </c>
      <c r="AW1434" s="40"/>
      <c r="AX1434" s="40"/>
      <c r="AY1434" s="163">
        <v>0</v>
      </c>
      <c r="AZ1434" s="40"/>
      <c r="BA1434" s="40"/>
      <c r="BB1434" s="40"/>
      <c r="BC1434" s="163">
        <v>0</v>
      </c>
      <c r="BD1434" s="163">
        <v>0</v>
      </c>
      <c r="BE1434" s="163">
        <v>0</v>
      </c>
      <c r="BF1434" s="40"/>
      <c r="BG1434" s="40"/>
      <c r="BH1434" s="40"/>
      <c r="BI1434" s="40"/>
      <c r="BJ1434" s="40"/>
      <c r="BK1434" s="40"/>
      <c r="BL1434" s="62">
        <v>1</v>
      </c>
      <c r="BM1434" s="275">
        <v>3</v>
      </c>
      <c r="BN1434" s="62">
        <v>0.03</v>
      </c>
      <c r="BP1434" s="33" t="s">
        <v>602</v>
      </c>
    </row>
    <row r="1435" spans="1:68">
      <c r="A1435" s="33" t="str">
        <f>Database_Productkaarten[[#This Row],[Product]]&amp;", "&amp;Database_Productkaarten[[#This Row],[Levensfase]]</f>
        <v>Grasbetontegel CEM III 120 mm (hergebruik), A4</v>
      </c>
      <c r="B1435" s="33" t="s">
        <v>651</v>
      </c>
      <c r="C1435" t="s">
        <v>55</v>
      </c>
      <c r="D1435" s="33" t="s">
        <v>647</v>
      </c>
      <c r="E1435" s="33" t="s">
        <v>385</v>
      </c>
      <c r="F1435" s="33" t="s">
        <v>78</v>
      </c>
      <c r="G1435" s="33">
        <v>1</v>
      </c>
      <c r="H1435" s="33">
        <v>1</v>
      </c>
      <c r="I1435" s="33">
        <v>0.12</v>
      </c>
      <c r="L1435" s="33">
        <v>2.3650000000000002</v>
      </c>
      <c r="M1435" s="271">
        <v>0.1945305</v>
      </c>
      <c r="N1435" s="41">
        <f>N1420</f>
        <v>0.28000000000000003</v>
      </c>
      <c r="O1435" s="33">
        <v>50</v>
      </c>
      <c r="P1435" s="163">
        <f t="shared" ref="P1435:Z1435" si="609">P1420</f>
        <v>0</v>
      </c>
      <c r="Q1435" s="163">
        <f t="shared" si="609"/>
        <v>0</v>
      </c>
      <c r="R1435" s="163">
        <f t="shared" si="609"/>
        <v>2.4700000000000002</v>
      </c>
      <c r="S1435" s="163">
        <f t="shared" si="609"/>
        <v>0</v>
      </c>
      <c r="T1435" s="163">
        <f t="shared" si="609"/>
        <v>0</v>
      </c>
      <c r="U1435" s="163">
        <f t="shared" si="609"/>
        <v>0</v>
      </c>
      <c r="V1435" s="163">
        <f t="shared" si="609"/>
        <v>0</v>
      </c>
      <c r="W1435" s="163">
        <f t="shared" si="609"/>
        <v>0</v>
      </c>
      <c r="X1435" s="163">
        <f t="shared" si="609"/>
        <v>0</v>
      </c>
      <c r="Y1435" s="163">
        <f t="shared" si="609"/>
        <v>0</v>
      </c>
      <c r="Z1435" s="163">
        <f t="shared" si="609"/>
        <v>0</v>
      </c>
      <c r="AA1435" s="40"/>
      <c r="AB1435" s="40"/>
      <c r="AC1435" s="40"/>
      <c r="AD1435" s="40"/>
      <c r="AE1435" s="40"/>
      <c r="AF1435" s="40"/>
      <c r="AG1435" s="40"/>
      <c r="AH1435" s="40"/>
      <c r="AI1435" s="40"/>
      <c r="AJ1435" s="40"/>
      <c r="AK1435" s="40"/>
      <c r="AL1435" s="40"/>
      <c r="AM1435" s="40"/>
      <c r="AN1435" s="40"/>
      <c r="AO1435" s="40"/>
      <c r="AP1435" s="40"/>
      <c r="AQ1435" s="40"/>
      <c r="AR1435" s="40"/>
      <c r="AS1435" s="40"/>
      <c r="AT1435" s="40"/>
      <c r="AU1435" s="40"/>
      <c r="AV1435" s="163">
        <f>AV1420</f>
        <v>0.66700000000000004</v>
      </c>
      <c r="AW1435" s="40"/>
      <c r="AX1435" s="40"/>
      <c r="AY1435" s="163">
        <f>AY1420</f>
        <v>42.6</v>
      </c>
      <c r="AZ1435" s="40"/>
      <c r="BA1435" s="40"/>
      <c r="BB1435" s="40"/>
      <c r="BC1435" s="163">
        <f t="shared" ref="BC1435:BE1435" si="610">BC1420</f>
        <v>0</v>
      </c>
      <c r="BD1435" s="163">
        <f t="shared" si="610"/>
        <v>0</v>
      </c>
      <c r="BE1435" s="163">
        <f t="shared" si="610"/>
        <v>0</v>
      </c>
      <c r="BF1435" s="40"/>
      <c r="BG1435" s="40"/>
      <c r="BH1435" s="40"/>
      <c r="BI1435" s="40"/>
      <c r="BJ1435" s="40"/>
      <c r="BK1435" s="40"/>
      <c r="BL1435" s="62">
        <v>1</v>
      </c>
      <c r="BM1435" s="275">
        <v>3</v>
      </c>
      <c r="BN1435" s="62">
        <v>0.03</v>
      </c>
      <c r="BP1435" s="33" t="s">
        <v>602</v>
      </c>
    </row>
    <row r="1436" spans="1:68">
      <c r="A1436" s="33" t="str">
        <f>Database_Productkaarten[[#This Row],[Product]]&amp;", "&amp;Database_Productkaarten[[#This Row],[Levensfase]]</f>
        <v>Grasbetontegel CEM III 120 mm (hergebruik), A5</v>
      </c>
      <c r="B1436" s="33" t="s">
        <v>651</v>
      </c>
      <c r="C1436" t="s">
        <v>55</v>
      </c>
      <c r="D1436" s="33" t="s">
        <v>647</v>
      </c>
      <c r="E1436" s="33" t="s">
        <v>385</v>
      </c>
      <c r="F1436" s="33" t="s">
        <v>79</v>
      </c>
      <c r="G1436" s="33">
        <v>1</v>
      </c>
      <c r="H1436" s="33">
        <v>1</v>
      </c>
      <c r="I1436" s="33">
        <v>0.12</v>
      </c>
      <c r="L1436" s="33">
        <v>2.3650000000000002</v>
      </c>
      <c r="M1436" s="271">
        <v>0.1945305</v>
      </c>
      <c r="N1436" s="41">
        <f t="shared" ref="N1436:N1441" si="611">N1421</f>
        <v>0.56000000000000005</v>
      </c>
      <c r="O1436" s="33">
        <v>50</v>
      </c>
      <c r="P1436" s="163">
        <f t="shared" ref="P1436:Z1436" si="612">P1421</f>
        <v>0</v>
      </c>
      <c r="Q1436" s="163">
        <f t="shared" si="612"/>
        <v>0</v>
      </c>
      <c r="R1436" s="163">
        <f t="shared" si="612"/>
        <v>6.05</v>
      </c>
      <c r="S1436" s="163">
        <f t="shared" si="612"/>
        <v>0</v>
      </c>
      <c r="T1436" s="163">
        <f t="shared" si="612"/>
        <v>0</v>
      </c>
      <c r="U1436" s="163">
        <f t="shared" si="612"/>
        <v>0</v>
      </c>
      <c r="V1436" s="163">
        <f t="shared" si="612"/>
        <v>0</v>
      </c>
      <c r="W1436" s="163">
        <f t="shared" si="612"/>
        <v>0</v>
      </c>
      <c r="X1436" s="163">
        <f t="shared" si="612"/>
        <v>0</v>
      </c>
      <c r="Y1436" s="163">
        <f t="shared" si="612"/>
        <v>0</v>
      </c>
      <c r="Z1436" s="163">
        <f t="shared" si="612"/>
        <v>0</v>
      </c>
      <c r="AA1436" s="40"/>
      <c r="AB1436" s="40"/>
      <c r="AC1436" s="40"/>
      <c r="AD1436" s="40"/>
      <c r="AE1436" s="40"/>
      <c r="AF1436" s="40"/>
      <c r="AG1436" s="40"/>
      <c r="AH1436" s="40"/>
      <c r="AI1436" s="40"/>
      <c r="AJ1436" s="40"/>
      <c r="AK1436" s="40"/>
      <c r="AL1436" s="40"/>
      <c r="AM1436" s="40"/>
      <c r="AN1436" s="40"/>
      <c r="AO1436" s="40"/>
      <c r="AP1436" s="40"/>
      <c r="AQ1436" s="40"/>
      <c r="AR1436" s="40"/>
      <c r="AS1436" s="40"/>
      <c r="AT1436" s="40"/>
      <c r="AU1436" s="40"/>
      <c r="AV1436" s="163">
        <f t="shared" ref="AV1436:AV1441" si="613">AV1421</f>
        <v>0.77500000000000002</v>
      </c>
      <c r="AW1436" s="40"/>
      <c r="AX1436" s="40"/>
      <c r="AY1436" s="163">
        <f t="shared" ref="AY1436:AY1441" si="614">AY1421</f>
        <v>990.1</v>
      </c>
      <c r="AZ1436" s="40"/>
      <c r="BA1436" s="40"/>
      <c r="BB1436" s="40"/>
      <c r="BC1436" s="163">
        <f t="shared" ref="BC1436:BE1436" si="615">BC1421</f>
        <v>0</v>
      </c>
      <c r="BD1436" s="163">
        <f t="shared" si="615"/>
        <v>0</v>
      </c>
      <c r="BE1436" s="163">
        <f t="shared" si="615"/>
        <v>0</v>
      </c>
      <c r="BF1436" s="40"/>
      <c r="BG1436" s="40"/>
      <c r="BH1436" s="40"/>
      <c r="BI1436" s="40"/>
      <c r="BJ1436" s="40"/>
      <c r="BK1436" s="40"/>
      <c r="BL1436" s="62">
        <v>1</v>
      </c>
      <c r="BM1436" s="275">
        <v>3</v>
      </c>
      <c r="BN1436" s="62">
        <v>0.03</v>
      </c>
      <c r="BP1436" s="33" t="s">
        <v>602</v>
      </c>
    </row>
    <row r="1437" spans="1:68">
      <c r="A1437" s="33" t="str">
        <f>Database_Productkaarten[[#This Row],[Product]]&amp;", "&amp;Database_Productkaarten[[#This Row],[Levensfase]]</f>
        <v>Grasbetontegel CEM III 120 mm (hergebruik), B1</v>
      </c>
      <c r="B1437" s="33" t="s">
        <v>651</v>
      </c>
      <c r="C1437" t="s">
        <v>55</v>
      </c>
      <c r="D1437" s="33" t="s">
        <v>647</v>
      </c>
      <c r="E1437" s="33" t="s">
        <v>385</v>
      </c>
      <c r="F1437" s="33" t="s">
        <v>80</v>
      </c>
      <c r="G1437" s="33">
        <v>1</v>
      </c>
      <c r="H1437" s="33">
        <v>1</v>
      </c>
      <c r="I1437" s="33">
        <v>0.12</v>
      </c>
      <c r="L1437" s="33">
        <v>2.3650000000000002</v>
      </c>
      <c r="M1437" s="271">
        <v>0.1945305</v>
      </c>
      <c r="N1437" s="41">
        <f t="shared" si="611"/>
        <v>0</v>
      </c>
      <c r="O1437" s="33">
        <v>50</v>
      </c>
      <c r="P1437" s="163">
        <f t="shared" ref="P1437:Z1437" si="616">P1422</f>
        <v>0</v>
      </c>
      <c r="Q1437" s="163">
        <f t="shared" si="616"/>
        <v>0</v>
      </c>
      <c r="R1437" s="163">
        <f t="shared" si="616"/>
        <v>0</v>
      </c>
      <c r="S1437" s="163">
        <f t="shared" si="616"/>
        <v>0</v>
      </c>
      <c r="T1437" s="163">
        <f t="shared" si="616"/>
        <v>0</v>
      </c>
      <c r="U1437" s="163">
        <f t="shared" si="616"/>
        <v>0</v>
      </c>
      <c r="V1437" s="163">
        <f t="shared" si="616"/>
        <v>0</v>
      </c>
      <c r="W1437" s="163">
        <f t="shared" si="616"/>
        <v>0</v>
      </c>
      <c r="X1437" s="163">
        <f t="shared" si="616"/>
        <v>0</v>
      </c>
      <c r="Y1437" s="163">
        <f t="shared" si="616"/>
        <v>0</v>
      </c>
      <c r="Z1437" s="163">
        <f t="shared" si="616"/>
        <v>0</v>
      </c>
      <c r="AA1437" s="40"/>
      <c r="AB1437" s="40"/>
      <c r="AC1437" s="40"/>
      <c r="AD1437" s="40"/>
      <c r="AE1437" s="40"/>
      <c r="AF1437" s="40"/>
      <c r="AG1437" s="40"/>
      <c r="AH1437" s="40"/>
      <c r="AI1437" s="40"/>
      <c r="AJ1437" s="40"/>
      <c r="AK1437" s="40"/>
      <c r="AL1437" s="40"/>
      <c r="AM1437" s="40"/>
      <c r="AN1437" s="40"/>
      <c r="AO1437" s="40"/>
      <c r="AP1437" s="40"/>
      <c r="AQ1437" s="40"/>
      <c r="AR1437" s="40"/>
      <c r="AS1437" s="40"/>
      <c r="AT1437" s="40"/>
      <c r="AU1437" s="40"/>
      <c r="AV1437" s="163">
        <f t="shared" si="613"/>
        <v>0</v>
      </c>
      <c r="AW1437" s="40"/>
      <c r="AX1437" s="40"/>
      <c r="AY1437" s="163">
        <f t="shared" si="614"/>
        <v>0</v>
      </c>
      <c r="AZ1437" s="40"/>
      <c r="BA1437" s="40"/>
      <c r="BB1437" s="40"/>
      <c r="BC1437" s="163">
        <f t="shared" ref="BC1437:BE1437" si="617">BC1422</f>
        <v>0</v>
      </c>
      <c r="BD1437" s="163">
        <f t="shared" si="617"/>
        <v>0</v>
      </c>
      <c r="BE1437" s="163">
        <f t="shared" si="617"/>
        <v>0</v>
      </c>
      <c r="BF1437" s="40"/>
      <c r="BG1437" s="40"/>
      <c r="BH1437" s="40"/>
      <c r="BI1437" s="40"/>
      <c r="BJ1437" s="40"/>
      <c r="BK1437" s="40"/>
      <c r="BL1437" s="62">
        <v>1</v>
      </c>
      <c r="BM1437" s="275">
        <v>3</v>
      </c>
      <c r="BN1437" s="62">
        <v>0.03</v>
      </c>
      <c r="BP1437" s="33" t="s">
        <v>602</v>
      </c>
    </row>
    <row r="1438" spans="1:68">
      <c r="A1438" s="33" t="str">
        <f>Database_Productkaarten[[#This Row],[Product]]&amp;", "&amp;Database_Productkaarten[[#This Row],[Levensfase]]</f>
        <v>Grasbetontegel CEM III 120 mm (hergebruik), C1</v>
      </c>
      <c r="B1438" s="33" t="s">
        <v>651</v>
      </c>
      <c r="C1438" t="s">
        <v>55</v>
      </c>
      <c r="D1438" s="33" t="s">
        <v>647</v>
      </c>
      <c r="E1438" s="33" t="s">
        <v>385</v>
      </c>
      <c r="F1438" s="33" t="s">
        <v>83</v>
      </c>
      <c r="G1438" s="33">
        <v>1</v>
      </c>
      <c r="H1438" s="33">
        <v>1</v>
      </c>
      <c r="I1438" s="33">
        <v>0.12</v>
      </c>
      <c r="L1438" s="33">
        <v>2.3650000000000002</v>
      </c>
      <c r="M1438" s="271">
        <v>0.1945305</v>
      </c>
      <c r="N1438" s="41">
        <f t="shared" si="611"/>
        <v>0.16</v>
      </c>
      <c r="O1438" s="33">
        <v>50</v>
      </c>
      <c r="P1438" s="163">
        <f t="shared" ref="P1438:Z1438" si="618">P1423</f>
        <v>0</v>
      </c>
      <c r="Q1438" s="163">
        <f t="shared" si="618"/>
        <v>0</v>
      </c>
      <c r="R1438" s="163">
        <f t="shared" si="618"/>
        <v>1.68</v>
      </c>
      <c r="S1438" s="163">
        <f t="shared" si="618"/>
        <v>0</v>
      </c>
      <c r="T1438" s="163">
        <f t="shared" si="618"/>
        <v>0</v>
      </c>
      <c r="U1438" s="163">
        <f t="shared" si="618"/>
        <v>0</v>
      </c>
      <c r="V1438" s="163">
        <f t="shared" si="618"/>
        <v>0</v>
      </c>
      <c r="W1438" s="163">
        <f t="shared" si="618"/>
        <v>0</v>
      </c>
      <c r="X1438" s="163">
        <f t="shared" si="618"/>
        <v>0</v>
      </c>
      <c r="Y1438" s="163">
        <f t="shared" si="618"/>
        <v>0</v>
      </c>
      <c r="Z1438" s="163">
        <f t="shared" si="618"/>
        <v>0</v>
      </c>
      <c r="AA1438" s="40"/>
      <c r="AB1438" s="40"/>
      <c r="AC1438" s="40"/>
      <c r="AD1438" s="40"/>
      <c r="AE1438" s="40"/>
      <c r="AF1438" s="40"/>
      <c r="AG1438" s="40"/>
      <c r="AH1438" s="40"/>
      <c r="AI1438" s="40"/>
      <c r="AJ1438" s="40"/>
      <c r="AK1438" s="40"/>
      <c r="AL1438" s="40"/>
      <c r="AM1438" s="40"/>
      <c r="AN1438" s="40"/>
      <c r="AO1438" s="40"/>
      <c r="AP1438" s="40"/>
      <c r="AQ1438" s="40"/>
      <c r="AR1438" s="40"/>
      <c r="AS1438" s="40"/>
      <c r="AT1438" s="40"/>
      <c r="AU1438" s="40"/>
      <c r="AV1438" s="163">
        <f t="shared" si="613"/>
        <v>0.186</v>
      </c>
      <c r="AW1438" s="40"/>
      <c r="AX1438" s="40"/>
      <c r="AY1438" s="163">
        <f t="shared" si="614"/>
        <v>25.6</v>
      </c>
      <c r="AZ1438" s="40"/>
      <c r="BA1438" s="40"/>
      <c r="BB1438" s="40"/>
      <c r="BC1438" s="163">
        <f t="shared" ref="BC1438:BE1438" si="619">BC1423</f>
        <v>0</v>
      </c>
      <c r="BD1438" s="163">
        <f t="shared" si="619"/>
        <v>0</v>
      </c>
      <c r="BE1438" s="163">
        <f t="shared" si="619"/>
        <v>0</v>
      </c>
      <c r="BF1438" s="40"/>
      <c r="BG1438" s="40"/>
      <c r="BH1438" s="40"/>
      <c r="BI1438" s="40"/>
      <c r="BJ1438" s="40"/>
      <c r="BK1438" s="40"/>
      <c r="BL1438" s="62">
        <v>1</v>
      </c>
      <c r="BM1438" s="275">
        <v>3</v>
      </c>
      <c r="BN1438" s="62">
        <v>0.03</v>
      </c>
      <c r="BP1438" s="33" t="s">
        <v>602</v>
      </c>
    </row>
    <row r="1439" spans="1:68">
      <c r="A1439" s="33" t="str">
        <f>Database_Productkaarten[[#This Row],[Product]]&amp;", "&amp;Database_Productkaarten[[#This Row],[Levensfase]]</f>
        <v>Grasbetontegel CEM III 120 mm (hergebruik), C2</v>
      </c>
      <c r="B1439" s="33" t="s">
        <v>651</v>
      </c>
      <c r="C1439" t="s">
        <v>55</v>
      </c>
      <c r="D1439" s="33" t="s">
        <v>647</v>
      </c>
      <c r="E1439" s="33" t="s">
        <v>385</v>
      </c>
      <c r="F1439" s="33" t="s">
        <v>84</v>
      </c>
      <c r="G1439" s="33">
        <v>1</v>
      </c>
      <c r="H1439" s="33">
        <v>1</v>
      </c>
      <c r="I1439" s="33">
        <v>0.12</v>
      </c>
      <c r="L1439" s="33">
        <v>2.3650000000000002</v>
      </c>
      <c r="M1439" s="271">
        <v>0.1945305</v>
      </c>
      <c r="N1439" s="41">
        <f t="shared" si="611"/>
        <v>0.09</v>
      </c>
      <c r="O1439" s="33">
        <v>50</v>
      </c>
      <c r="P1439" s="163">
        <f t="shared" ref="P1439:Z1439" si="620">P1424</f>
        <v>0</v>
      </c>
      <c r="Q1439" s="163">
        <f t="shared" si="620"/>
        <v>0</v>
      </c>
      <c r="R1439" s="163">
        <f t="shared" si="620"/>
        <v>0.83</v>
      </c>
      <c r="S1439" s="163">
        <f t="shared" si="620"/>
        <v>0</v>
      </c>
      <c r="T1439" s="163">
        <f t="shared" si="620"/>
        <v>0</v>
      </c>
      <c r="U1439" s="163">
        <f t="shared" si="620"/>
        <v>0</v>
      </c>
      <c r="V1439" s="163">
        <f t="shared" si="620"/>
        <v>0</v>
      </c>
      <c r="W1439" s="163">
        <f t="shared" si="620"/>
        <v>0</v>
      </c>
      <c r="X1439" s="163">
        <f t="shared" si="620"/>
        <v>0</v>
      </c>
      <c r="Y1439" s="163">
        <f t="shared" si="620"/>
        <v>0</v>
      </c>
      <c r="Z1439" s="163">
        <f t="shared" si="620"/>
        <v>0</v>
      </c>
      <c r="AA1439" s="40"/>
      <c r="AB1439" s="40"/>
      <c r="AC1439" s="40"/>
      <c r="AD1439" s="40"/>
      <c r="AE1439" s="40"/>
      <c r="AF1439" s="40"/>
      <c r="AG1439" s="40"/>
      <c r="AH1439" s="40"/>
      <c r="AI1439" s="40"/>
      <c r="AJ1439" s="40"/>
      <c r="AK1439" s="40"/>
      <c r="AL1439" s="40"/>
      <c r="AM1439" s="40"/>
      <c r="AN1439" s="40"/>
      <c r="AO1439" s="40"/>
      <c r="AP1439" s="40"/>
      <c r="AQ1439" s="40"/>
      <c r="AR1439" s="40"/>
      <c r="AS1439" s="40"/>
      <c r="AT1439" s="40"/>
      <c r="AU1439" s="40"/>
      <c r="AV1439" s="163">
        <f t="shared" si="613"/>
        <v>0.224</v>
      </c>
      <c r="AW1439" s="40"/>
      <c r="AX1439" s="40"/>
      <c r="AY1439" s="163">
        <f t="shared" si="614"/>
        <v>14.3</v>
      </c>
      <c r="AZ1439" s="40"/>
      <c r="BA1439" s="40"/>
      <c r="BB1439" s="40"/>
      <c r="BC1439" s="163">
        <f t="shared" ref="BC1439:BE1439" si="621">BC1424</f>
        <v>0</v>
      </c>
      <c r="BD1439" s="163">
        <f t="shared" si="621"/>
        <v>0</v>
      </c>
      <c r="BE1439" s="163">
        <f t="shared" si="621"/>
        <v>0</v>
      </c>
      <c r="BF1439" s="40"/>
      <c r="BG1439" s="40"/>
      <c r="BH1439" s="40"/>
      <c r="BI1439" s="40"/>
      <c r="BJ1439" s="40"/>
      <c r="BK1439" s="40"/>
      <c r="BL1439" s="62">
        <v>1</v>
      </c>
      <c r="BM1439" s="275">
        <v>3</v>
      </c>
      <c r="BN1439" s="62">
        <v>0.03</v>
      </c>
      <c r="BP1439" s="33" t="s">
        <v>602</v>
      </c>
    </row>
    <row r="1440" spans="1:68">
      <c r="A1440" s="33" t="str">
        <f>Database_Productkaarten[[#This Row],[Product]]&amp;", "&amp;Database_Productkaarten[[#This Row],[Levensfase]]</f>
        <v>Grasbetontegel CEM III 120 mm (hergebruik), C3</v>
      </c>
      <c r="B1440" s="33" t="s">
        <v>651</v>
      </c>
      <c r="C1440" t="s">
        <v>55</v>
      </c>
      <c r="D1440" s="33" t="s">
        <v>647</v>
      </c>
      <c r="E1440" s="33" t="s">
        <v>385</v>
      </c>
      <c r="F1440" s="33" t="s">
        <v>85</v>
      </c>
      <c r="G1440" s="33">
        <v>1</v>
      </c>
      <c r="H1440" s="33">
        <v>1</v>
      </c>
      <c r="I1440" s="33">
        <v>0.12</v>
      </c>
      <c r="L1440" s="33">
        <v>2.3650000000000002</v>
      </c>
      <c r="M1440" s="271">
        <v>0.1945305</v>
      </c>
      <c r="N1440" s="41">
        <f t="shared" si="611"/>
        <v>0.03</v>
      </c>
      <c r="O1440" s="33">
        <v>50</v>
      </c>
      <c r="P1440" s="163">
        <f t="shared" ref="P1440:Z1440" si="622">P1425</f>
        <v>0</v>
      </c>
      <c r="Q1440" s="163">
        <f t="shared" si="622"/>
        <v>0</v>
      </c>
      <c r="R1440" s="163">
        <f t="shared" si="622"/>
        <v>0.311</v>
      </c>
      <c r="S1440" s="163">
        <f t="shared" si="622"/>
        <v>0</v>
      </c>
      <c r="T1440" s="163">
        <f t="shared" si="622"/>
        <v>0</v>
      </c>
      <c r="U1440" s="163">
        <f t="shared" si="622"/>
        <v>0</v>
      </c>
      <c r="V1440" s="163">
        <f t="shared" si="622"/>
        <v>0</v>
      </c>
      <c r="W1440" s="163">
        <f t="shared" si="622"/>
        <v>0</v>
      </c>
      <c r="X1440" s="163">
        <f t="shared" si="622"/>
        <v>0</v>
      </c>
      <c r="Y1440" s="163">
        <f t="shared" si="622"/>
        <v>0</v>
      </c>
      <c r="Z1440" s="163">
        <f t="shared" si="622"/>
        <v>0</v>
      </c>
      <c r="AA1440" s="40"/>
      <c r="AB1440" s="40"/>
      <c r="AC1440" s="40"/>
      <c r="AD1440" s="40"/>
      <c r="AE1440" s="40"/>
      <c r="AF1440" s="40"/>
      <c r="AG1440" s="40"/>
      <c r="AH1440" s="40"/>
      <c r="AI1440" s="40"/>
      <c r="AJ1440" s="40"/>
      <c r="AK1440" s="40"/>
      <c r="AL1440" s="40"/>
      <c r="AM1440" s="40"/>
      <c r="AN1440" s="40"/>
      <c r="AO1440" s="40"/>
      <c r="AP1440" s="40"/>
      <c r="AQ1440" s="40"/>
      <c r="AR1440" s="40"/>
      <c r="AS1440" s="40"/>
      <c r="AT1440" s="40"/>
      <c r="AU1440" s="40"/>
      <c r="AV1440" s="163">
        <f t="shared" si="613"/>
        <v>0.251</v>
      </c>
      <c r="AW1440" s="40"/>
      <c r="AX1440" s="40"/>
      <c r="AY1440" s="163">
        <f t="shared" si="614"/>
        <v>4.68</v>
      </c>
      <c r="AZ1440" s="40"/>
      <c r="BA1440" s="40"/>
      <c r="BB1440" s="40"/>
      <c r="BC1440" s="163">
        <f t="shared" ref="BC1440:BE1440" si="623">BC1425</f>
        <v>0</v>
      </c>
      <c r="BD1440" s="163">
        <f t="shared" si="623"/>
        <v>0</v>
      </c>
      <c r="BE1440" s="163">
        <f t="shared" si="623"/>
        <v>0</v>
      </c>
      <c r="BF1440" s="40"/>
      <c r="BG1440" s="40"/>
      <c r="BH1440" s="40"/>
      <c r="BI1440" s="40"/>
      <c r="BJ1440" s="40"/>
      <c r="BK1440" s="40"/>
      <c r="BL1440" s="62">
        <v>1</v>
      </c>
      <c r="BM1440" s="275">
        <v>3</v>
      </c>
      <c r="BN1440" s="62">
        <v>0.03</v>
      </c>
      <c r="BP1440" s="33" t="s">
        <v>602</v>
      </c>
    </row>
    <row r="1441" spans="1:68">
      <c r="A1441" s="33" t="str">
        <f>Database_Productkaarten[[#This Row],[Product]]&amp;", "&amp;Database_Productkaarten[[#This Row],[Levensfase]]</f>
        <v>Grasbetontegel CEM III 120 mm (hergebruik), C4</v>
      </c>
      <c r="B1441" s="33" t="s">
        <v>651</v>
      </c>
      <c r="C1441" t="s">
        <v>55</v>
      </c>
      <c r="D1441" s="33" t="s">
        <v>647</v>
      </c>
      <c r="E1441" s="33" t="s">
        <v>385</v>
      </c>
      <c r="F1441" s="33" t="s">
        <v>86</v>
      </c>
      <c r="G1441" s="33">
        <v>1</v>
      </c>
      <c r="H1441" s="33">
        <v>1</v>
      </c>
      <c r="I1441" s="33">
        <v>0.12</v>
      </c>
      <c r="L1441" s="33">
        <v>2.3650000000000002</v>
      </c>
      <c r="M1441" s="271">
        <v>0.1945305</v>
      </c>
      <c r="N1441" s="41">
        <f t="shared" si="611"/>
        <v>0</v>
      </c>
      <c r="O1441" s="33">
        <v>50</v>
      </c>
      <c r="P1441" s="163">
        <f t="shared" ref="P1441:Z1441" si="624">P1426</f>
        <v>0</v>
      </c>
      <c r="Q1441" s="163">
        <f t="shared" si="624"/>
        <v>0</v>
      </c>
      <c r="R1441" s="163">
        <f t="shared" si="624"/>
        <v>1.03E-2</v>
      </c>
      <c r="S1441" s="163">
        <f t="shared" si="624"/>
        <v>0</v>
      </c>
      <c r="T1441" s="163">
        <f t="shared" si="624"/>
        <v>0</v>
      </c>
      <c r="U1441" s="163">
        <f t="shared" si="624"/>
        <v>0</v>
      </c>
      <c r="V1441" s="163">
        <f t="shared" si="624"/>
        <v>0</v>
      </c>
      <c r="W1441" s="163">
        <f t="shared" si="624"/>
        <v>0</v>
      </c>
      <c r="X1441" s="163">
        <f t="shared" si="624"/>
        <v>0</v>
      </c>
      <c r="Y1441" s="163">
        <f t="shared" si="624"/>
        <v>0</v>
      </c>
      <c r="Z1441" s="163">
        <f t="shared" si="624"/>
        <v>0</v>
      </c>
      <c r="AA1441" s="40"/>
      <c r="AB1441" s="40"/>
      <c r="AC1441" s="40"/>
      <c r="AD1441" s="40"/>
      <c r="AE1441" s="40"/>
      <c r="AF1441" s="40"/>
      <c r="AG1441" s="40"/>
      <c r="AH1441" s="40"/>
      <c r="AI1441" s="40"/>
      <c r="AJ1441" s="40"/>
      <c r="AK1441" s="40"/>
      <c r="AL1441" s="40"/>
      <c r="AM1441" s="40"/>
      <c r="AN1441" s="40"/>
      <c r="AO1441" s="40"/>
      <c r="AP1441" s="40"/>
      <c r="AQ1441" s="40"/>
      <c r="AR1441" s="40"/>
      <c r="AS1441" s="40"/>
      <c r="AT1441" s="40"/>
      <c r="AU1441" s="40"/>
      <c r="AV1441" s="163">
        <f t="shared" si="613"/>
        <v>2.5799999999999998E-3</v>
      </c>
      <c r="AW1441" s="40"/>
      <c r="AX1441" s="40"/>
      <c r="AY1441" s="163">
        <f t="shared" si="614"/>
        <v>0.33500000000000002</v>
      </c>
      <c r="AZ1441" s="40"/>
      <c r="BA1441" s="40"/>
      <c r="BB1441" s="40"/>
      <c r="BC1441" s="163">
        <f t="shared" ref="BC1441:BE1441" si="625">BC1426</f>
        <v>0</v>
      </c>
      <c r="BD1441" s="163">
        <f t="shared" si="625"/>
        <v>0</v>
      </c>
      <c r="BE1441" s="163">
        <f t="shared" si="625"/>
        <v>0</v>
      </c>
      <c r="BF1441" s="40"/>
      <c r="BG1441" s="40"/>
      <c r="BH1441" s="40"/>
      <c r="BI1441" s="40"/>
      <c r="BJ1441" s="40"/>
      <c r="BK1441" s="40"/>
      <c r="BL1441" s="62">
        <v>1</v>
      </c>
      <c r="BM1441" s="275">
        <v>3</v>
      </c>
      <c r="BN1441" s="62">
        <v>0.03</v>
      </c>
      <c r="BP1441" s="33" t="s">
        <v>602</v>
      </c>
    </row>
    <row r="1442" spans="1:68">
      <c r="A1442" s="33" t="str">
        <f>Database_Productkaarten[[#This Row],[Product]]&amp;", "&amp;Database_Productkaarten[[#This Row],[Levensfase]]</f>
        <v>Grasbetontegel CEM III 120 mm (hergebruik), D</v>
      </c>
      <c r="B1442" s="33" t="s">
        <v>651</v>
      </c>
      <c r="C1442" s="33" t="str">
        <f>C1443</f>
        <v>Elementenverhardingen</v>
      </c>
      <c r="D1442" s="33" t="s">
        <v>647</v>
      </c>
      <c r="E1442" s="33" t="str">
        <f>E1443</f>
        <v>m2</v>
      </c>
      <c r="F1442" s="33" t="s">
        <v>89</v>
      </c>
      <c r="G1442" s="33">
        <f t="shared" ref="G1442:I1442" si="626">G1443</f>
        <v>1</v>
      </c>
      <c r="H1442" s="33">
        <f t="shared" si="626"/>
        <v>1</v>
      </c>
      <c r="I1442" s="33">
        <f t="shared" si="626"/>
        <v>0.12</v>
      </c>
      <c r="L1442" s="33">
        <v>2.3650000000000002</v>
      </c>
      <c r="M1442" s="271">
        <v>0.1945305</v>
      </c>
      <c r="N1442" s="41">
        <f>N1419*0.1</f>
        <v>0.10900000000000001</v>
      </c>
      <c r="O1442" s="33">
        <v>50</v>
      </c>
      <c r="P1442" s="163">
        <f t="shared" ref="P1442:Z1442" si="627">P1419*0.1</f>
        <v>0</v>
      </c>
      <c r="Q1442" s="163">
        <f t="shared" si="627"/>
        <v>0</v>
      </c>
      <c r="R1442" s="163">
        <f t="shared" si="627"/>
        <v>1.26</v>
      </c>
      <c r="S1442" s="163">
        <f t="shared" si="627"/>
        <v>0</v>
      </c>
      <c r="T1442" s="163">
        <f t="shared" si="627"/>
        <v>0</v>
      </c>
      <c r="U1442" s="163">
        <f t="shared" si="627"/>
        <v>0</v>
      </c>
      <c r="V1442" s="163">
        <f t="shared" si="627"/>
        <v>0</v>
      </c>
      <c r="W1442" s="163">
        <f t="shared" si="627"/>
        <v>0</v>
      </c>
      <c r="X1442" s="163">
        <f t="shared" si="627"/>
        <v>0</v>
      </c>
      <c r="Y1442" s="163">
        <f t="shared" si="627"/>
        <v>0</v>
      </c>
      <c r="Z1442" s="163">
        <f t="shared" si="627"/>
        <v>0</v>
      </c>
      <c r="AA1442" s="40"/>
      <c r="AB1442" s="40"/>
      <c r="AC1442" s="40"/>
      <c r="AD1442" s="40"/>
      <c r="AE1442" s="40"/>
      <c r="AF1442" s="40"/>
      <c r="AG1442" s="40"/>
      <c r="AH1442" s="40"/>
      <c r="AI1442" s="40"/>
      <c r="AJ1442" s="40"/>
      <c r="AK1442" s="40"/>
      <c r="AL1442" s="40"/>
      <c r="AM1442" s="40"/>
      <c r="AN1442" s="40"/>
      <c r="AO1442" s="40"/>
      <c r="AP1442" s="40"/>
      <c r="AQ1442" s="40"/>
      <c r="AR1442" s="40"/>
      <c r="AS1442" s="40"/>
      <c r="AT1442" s="40"/>
      <c r="AU1442" s="40"/>
      <c r="AV1442" s="163">
        <f>AV1419*0.1</f>
        <v>0.46500000000000008</v>
      </c>
      <c r="AW1442" s="40"/>
      <c r="AX1442" s="40"/>
      <c r="AY1442" s="163">
        <f>AY1419*0.1</f>
        <v>11.200000000000001</v>
      </c>
      <c r="AZ1442" s="40"/>
      <c r="BA1442" s="40"/>
      <c r="BB1442" s="40"/>
      <c r="BC1442" s="163">
        <f t="shared" ref="BC1442:BE1442" si="628">BC1419*0.1</f>
        <v>0</v>
      </c>
      <c r="BD1442" s="163">
        <f t="shared" si="628"/>
        <v>0</v>
      </c>
      <c r="BE1442" s="163">
        <f t="shared" si="628"/>
        <v>0</v>
      </c>
      <c r="BF1442" s="40"/>
      <c r="BG1442" s="40"/>
      <c r="BH1442" s="40"/>
      <c r="BI1442" s="40"/>
      <c r="BJ1442" s="40"/>
      <c r="BK1442" s="40"/>
      <c r="BL1442" s="62">
        <v>1</v>
      </c>
      <c r="BM1442" s="275">
        <v>3</v>
      </c>
      <c r="BN1442" s="62">
        <v>0.03</v>
      </c>
      <c r="BP1442" s="33" t="s">
        <v>602</v>
      </c>
    </row>
    <row r="1443" spans="1:68">
      <c r="A1443" s="33" t="str">
        <f>Database_Productkaarten[[#This Row],[Product]]&amp;", "&amp;Database_Productkaarten[[#This Row],[Levensfase]]</f>
        <v>Grasbetontegel CEM III 120 mm (hergebruik), D1</v>
      </c>
      <c r="B1443" s="33" t="s">
        <v>651</v>
      </c>
      <c r="C1443" t="s">
        <v>55</v>
      </c>
      <c r="D1443" s="33" t="s">
        <v>647</v>
      </c>
      <c r="E1443" s="33" t="s">
        <v>385</v>
      </c>
      <c r="F1443" s="33" t="s">
        <v>87</v>
      </c>
      <c r="G1443" s="33">
        <v>1</v>
      </c>
      <c r="H1443" s="33">
        <v>1</v>
      </c>
      <c r="I1443" s="33">
        <v>0.12</v>
      </c>
      <c r="L1443" s="33">
        <v>2.3650000000000002</v>
      </c>
      <c r="M1443" s="271">
        <v>0.1945305</v>
      </c>
      <c r="N1443" s="41"/>
      <c r="P1443" s="40"/>
      <c r="Q1443" s="40"/>
      <c r="R1443" s="40"/>
      <c r="S1443" s="40"/>
      <c r="T1443" s="40"/>
      <c r="U1443" s="40"/>
      <c r="V1443" s="40"/>
      <c r="W1443" s="40"/>
      <c r="X1443" s="40"/>
      <c r="Y1443" s="40"/>
      <c r="Z1443" s="40"/>
      <c r="AA1443" s="40"/>
      <c r="AB1443" s="40"/>
      <c r="AC1443" s="40"/>
      <c r="AD1443" s="40"/>
      <c r="AE1443" s="40"/>
      <c r="AF1443" s="40"/>
      <c r="AG1443" s="40"/>
      <c r="AH1443" s="40"/>
      <c r="AI1443" s="40"/>
      <c r="AJ1443" s="40"/>
      <c r="AK1443" s="40"/>
      <c r="AL1443" s="40"/>
      <c r="AM1443" s="40"/>
      <c r="AN1443" s="40"/>
      <c r="AO1443" s="40"/>
      <c r="AP1443" s="40"/>
      <c r="AQ1443" s="40"/>
      <c r="AR1443" s="40"/>
      <c r="AS1443" s="40"/>
      <c r="AT1443" s="40"/>
      <c r="AU1443" s="40"/>
      <c r="AV1443" s="108"/>
      <c r="AW1443" s="40"/>
      <c r="AX1443" s="40"/>
      <c r="AY1443" s="108"/>
      <c r="AZ1443" s="40"/>
      <c r="BA1443" s="40"/>
      <c r="BB1443" s="40"/>
      <c r="BC1443" s="40"/>
      <c r="BD1443" s="40"/>
      <c r="BE1443" s="40"/>
      <c r="BF1443" s="40"/>
      <c r="BG1443" s="40"/>
      <c r="BH1443" s="40"/>
      <c r="BI1443" s="40"/>
      <c r="BJ1443" s="40"/>
      <c r="BK1443" s="40"/>
      <c r="BL1443" s="62">
        <v>1</v>
      </c>
      <c r="BM1443" s="275">
        <v>3</v>
      </c>
      <c r="BN1443" s="62">
        <v>0.03</v>
      </c>
      <c r="BP1443" s="33" t="s">
        <v>602</v>
      </c>
    </row>
    <row r="1444" spans="1:68">
      <c r="A1444" s="33" t="str">
        <f>Database_Productkaarten[[#This Row],[Product]]&amp;", "&amp;Database_Productkaarten[[#This Row],[Levensfase]]</f>
        <v>Grasbetontegel CEM III 120 mm (hergebruik), D2</v>
      </c>
      <c r="B1444" s="33" t="s">
        <v>651</v>
      </c>
      <c r="C1444" t="s">
        <v>55</v>
      </c>
      <c r="D1444" s="33" t="s">
        <v>647</v>
      </c>
      <c r="E1444" s="33" t="s">
        <v>385</v>
      </c>
      <c r="F1444" s="33" t="s">
        <v>88</v>
      </c>
      <c r="G1444" s="33">
        <v>1</v>
      </c>
      <c r="H1444" s="33">
        <v>1</v>
      </c>
      <c r="I1444" s="33">
        <v>0.12</v>
      </c>
      <c r="L1444" s="33">
        <v>2.3650000000000002</v>
      </c>
      <c r="M1444" s="271">
        <v>0.1945305</v>
      </c>
      <c r="N1444" s="41"/>
      <c r="P1444" s="40"/>
      <c r="Q1444" s="40"/>
      <c r="R1444" s="40"/>
      <c r="S1444" s="40"/>
      <c r="T1444" s="40"/>
      <c r="U1444" s="40"/>
      <c r="V1444" s="40"/>
      <c r="W1444" s="40"/>
      <c r="X1444" s="40"/>
      <c r="Y1444" s="40"/>
      <c r="Z1444" s="40"/>
      <c r="AA1444" s="40"/>
      <c r="AB1444" s="40"/>
      <c r="AC1444" s="40"/>
      <c r="AD1444" s="40"/>
      <c r="AE1444" s="40"/>
      <c r="AF1444" s="40"/>
      <c r="AG1444" s="40"/>
      <c r="AH1444" s="40"/>
      <c r="AI1444" s="40"/>
      <c r="AJ1444" s="40"/>
      <c r="AK1444" s="40"/>
      <c r="AL1444" s="40"/>
      <c r="AM1444" s="40"/>
      <c r="AN1444" s="40"/>
      <c r="AO1444" s="40"/>
      <c r="AP1444" s="40"/>
      <c r="AQ1444" s="40"/>
      <c r="AR1444" s="40"/>
      <c r="AS1444" s="40"/>
      <c r="AT1444" s="40"/>
      <c r="AU1444" s="40"/>
      <c r="AV1444" s="108"/>
      <c r="AW1444" s="40"/>
      <c r="AX1444" s="40"/>
      <c r="AY1444" s="108"/>
      <c r="AZ1444" s="40"/>
      <c r="BA1444" s="40"/>
      <c r="BB1444" s="40"/>
      <c r="BC1444" s="40"/>
      <c r="BD1444" s="40"/>
      <c r="BE1444" s="40"/>
      <c r="BF1444" s="40"/>
      <c r="BG1444" s="40"/>
      <c r="BH1444" s="40"/>
      <c r="BI1444" s="40"/>
      <c r="BJ1444" s="40"/>
      <c r="BK1444" s="40"/>
      <c r="BL1444" s="62">
        <v>1</v>
      </c>
      <c r="BM1444" s="275">
        <v>3</v>
      </c>
      <c r="BN1444" s="62">
        <v>0.03</v>
      </c>
      <c r="BP1444" s="33" t="s">
        <v>602</v>
      </c>
    </row>
    <row r="1445" spans="1:68">
      <c r="A1445" s="33" t="str">
        <f>Database_Productkaarten[[#This Row],[Product]]&amp;", "&amp;Database_Productkaarten[[#This Row],[Levensfase]]</f>
        <v>Dubbelklinker (rood) 210x210x80, Totaal</v>
      </c>
      <c r="B1445" s="33" t="s">
        <v>652</v>
      </c>
      <c r="C1445" t="s">
        <v>55</v>
      </c>
      <c r="D1445" s="33" t="s">
        <v>384</v>
      </c>
      <c r="E1445" s="33" t="s">
        <v>385</v>
      </c>
      <c r="F1445" s="33" t="s">
        <v>90</v>
      </c>
      <c r="G1445" s="33">
        <v>1</v>
      </c>
      <c r="H1445" s="33">
        <v>1</v>
      </c>
      <c r="I1445" s="33">
        <v>0.08</v>
      </c>
      <c r="L1445" s="33">
        <v>2.4</v>
      </c>
      <c r="M1445" s="33">
        <v>0.18</v>
      </c>
      <c r="N1445" s="41"/>
      <c r="O1445" s="33">
        <v>25</v>
      </c>
      <c r="P1445" s="40"/>
      <c r="Q1445" s="40"/>
      <c r="R1445" s="40"/>
      <c r="S1445" s="40"/>
      <c r="T1445" s="40"/>
      <c r="U1445" s="40"/>
      <c r="V1445" s="40"/>
      <c r="W1445" s="40"/>
      <c r="X1445" s="40"/>
      <c r="Y1445" s="40"/>
      <c r="Z1445" s="40"/>
      <c r="AA1445" s="40"/>
      <c r="AB1445" s="40"/>
      <c r="AC1445" s="40"/>
      <c r="AD1445" s="40"/>
      <c r="AE1445" s="40"/>
      <c r="AF1445" s="40"/>
      <c r="AG1445" s="40"/>
      <c r="AH1445" s="40"/>
      <c r="AI1445" s="40"/>
      <c r="AJ1445" s="40"/>
      <c r="AK1445" s="40"/>
      <c r="AL1445" s="40"/>
      <c r="AM1445" s="40"/>
      <c r="AN1445" s="40"/>
      <c r="AO1445" s="40"/>
      <c r="AP1445" s="40"/>
      <c r="AQ1445" s="40"/>
      <c r="AR1445" s="40"/>
      <c r="AS1445" s="40"/>
      <c r="AT1445" s="40"/>
      <c r="AU1445" s="40"/>
      <c r="AV1445" s="313">
        <f>AV1478*2</f>
        <v>38.431474000000001</v>
      </c>
      <c r="AW1445" s="317"/>
      <c r="AX1445" s="317"/>
      <c r="AY1445" s="313">
        <f t="shared" ref="AY1445:AY1459" si="629">AY1478*2</f>
        <v>247.67676</v>
      </c>
      <c r="AZ1445" s="40"/>
      <c r="BA1445" s="40"/>
      <c r="BB1445" s="40"/>
      <c r="BC1445" s="40"/>
      <c r="BD1445" s="40"/>
      <c r="BE1445" s="40"/>
      <c r="BF1445" s="40"/>
      <c r="BG1445" s="40"/>
      <c r="BH1445" s="40"/>
      <c r="BI1445" s="40"/>
      <c r="BJ1445" s="40"/>
      <c r="BK1445" s="40"/>
      <c r="BL1445" s="62">
        <v>0</v>
      </c>
      <c r="BM1445" s="275">
        <v>3</v>
      </c>
      <c r="BN1445" s="62">
        <v>0.03</v>
      </c>
      <c r="BO1445" s="33" t="s">
        <v>653</v>
      </c>
      <c r="BP1445" s="33" t="s">
        <v>654</v>
      </c>
    </row>
    <row r="1446" spans="1:68">
      <c r="A1446" s="33" t="str">
        <f>Database_Productkaarten[[#This Row],[Product]]&amp;", "&amp;Database_Productkaarten[[#This Row],[Levensfase]]</f>
        <v>Dubbelklinker (rood) 210x210x80, A1</v>
      </c>
      <c r="B1446" s="33" t="s">
        <v>652</v>
      </c>
      <c r="C1446" t="s">
        <v>55</v>
      </c>
      <c r="D1446" s="33" t="s">
        <v>384</v>
      </c>
      <c r="E1446" s="33" t="s">
        <v>385</v>
      </c>
      <c r="F1446" s="33" t="s">
        <v>74</v>
      </c>
      <c r="G1446" s="33">
        <v>1</v>
      </c>
      <c r="H1446" s="33">
        <v>1</v>
      </c>
      <c r="I1446" s="33">
        <v>0.08</v>
      </c>
      <c r="L1446" s="33">
        <v>2.4</v>
      </c>
      <c r="M1446" s="33">
        <v>0.18</v>
      </c>
      <c r="N1446" s="41">
        <v>1.8981379679999999</v>
      </c>
      <c r="O1446" s="33">
        <v>25</v>
      </c>
      <c r="P1446" s="40">
        <v>3.0168222799999999E-3</v>
      </c>
      <c r="Q1446" s="40">
        <v>7.9665922400000005E-2</v>
      </c>
      <c r="R1446" s="40">
        <v>24.99826208</v>
      </c>
      <c r="S1446" s="40">
        <v>9.3892295200000006E-7</v>
      </c>
      <c r="T1446" s="40">
        <v>5.7084852719999999E-3</v>
      </c>
      <c r="U1446" s="40">
        <v>5.6734539200000003E-2</v>
      </c>
      <c r="V1446" s="40">
        <v>1.1158001759999999E-2</v>
      </c>
      <c r="W1446" s="40">
        <v>2.762438328</v>
      </c>
      <c r="X1446" s="40">
        <v>0.103314584</v>
      </c>
      <c r="Y1446" s="40">
        <v>427.01884800000005</v>
      </c>
      <c r="Z1446" s="40">
        <v>3.234678144E-2</v>
      </c>
      <c r="AA1446" s="40"/>
      <c r="AB1446" s="40"/>
      <c r="AC1446" s="40"/>
      <c r="AD1446" s="40"/>
      <c r="AE1446" s="40"/>
      <c r="AF1446" s="40"/>
      <c r="AG1446" s="40"/>
      <c r="AH1446" s="40"/>
      <c r="AI1446" s="40"/>
      <c r="AJ1446" s="40"/>
      <c r="AK1446" s="40"/>
      <c r="AL1446" s="40"/>
      <c r="AM1446" s="40"/>
      <c r="AN1446" s="40"/>
      <c r="AO1446" s="40"/>
      <c r="AP1446" s="40"/>
      <c r="AQ1446" s="40"/>
      <c r="AR1446" s="40"/>
      <c r="AS1446" s="40"/>
      <c r="AT1446" s="40"/>
      <c r="AU1446" s="40"/>
      <c r="AV1446" s="313">
        <f>AV1479*2</f>
        <v>0.40600174</v>
      </c>
      <c r="AW1446" s="317"/>
      <c r="AX1446" s="317"/>
      <c r="AY1446" s="313">
        <f t="shared" si="629"/>
        <v>31.724906000000001</v>
      </c>
      <c r="AZ1446" s="40"/>
      <c r="BA1446" s="40"/>
      <c r="BB1446" s="40"/>
      <c r="BC1446" s="40"/>
      <c r="BD1446" s="40"/>
      <c r="BE1446" s="40"/>
      <c r="BF1446" s="40"/>
      <c r="BG1446" s="40"/>
      <c r="BH1446" s="40"/>
      <c r="BI1446" s="40"/>
      <c r="BJ1446" s="40"/>
      <c r="BK1446" s="40"/>
      <c r="BL1446" s="62">
        <v>0</v>
      </c>
      <c r="BM1446" s="275">
        <v>3</v>
      </c>
      <c r="BN1446" s="62">
        <v>0.03</v>
      </c>
      <c r="BO1446" s="33" t="s">
        <v>655</v>
      </c>
    </row>
    <row r="1447" spans="1:68">
      <c r="A1447" s="33" t="str">
        <f>Database_Productkaarten[[#This Row],[Product]]&amp;", "&amp;Database_Productkaarten[[#This Row],[Levensfase]]</f>
        <v>Dubbelklinker (rood) 210x210x80, A2</v>
      </c>
      <c r="B1447" s="33" t="s">
        <v>652</v>
      </c>
      <c r="C1447" t="s">
        <v>55</v>
      </c>
      <c r="D1447" s="33" t="s">
        <v>384</v>
      </c>
      <c r="E1447" s="33" t="s">
        <v>385</v>
      </c>
      <c r="F1447" s="33" t="s">
        <v>75</v>
      </c>
      <c r="G1447" s="33">
        <v>1</v>
      </c>
      <c r="H1447" s="33">
        <v>1</v>
      </c>
      <c r="I1447" s="33">
        <v>0.08</v>
      </c>
      <c r="L1447" s="33">
        <v>2.4</v>
      </c>
      <c r="M1447" s="33">
        <v>0.18</v>
      </c>
      <c r="N1447" s="41"/>
      <c r="O1447" s="33">
        <v>25</v>
      </c>
      <c r="P1447" s="40"/>
      <c r="Q1447" s="40"/>
      <c r="R1447" s="40"/>
      <c r="S1447" s="40"/>
      <c r="T1447" s="40"/>
      <c r="U1447" s="40"/>
      <c r="V1447" s="40"/>
      <c r="W1447" s="40"/>
      <c r="X1447" s="40"/>
      <c r="Y1447" s="40"/>
      <c r="Z1447" s="40"/>
      <c r="AA1447" s="40"/>
      <c r="AB1447" s="40"/>
      <c r="AC1447" s="40"/>
      <c r="AD1447" s="40"/>
      <c r="AE1447" s="40"/>
      <c r="AF1447" s="40"/>
      <c r="AG1447" s="40"/>
      <c r="AH1447" s="40"/>
      <c r="AI1447" s="40"/>
      <c r="AJ1447" s="40"/>
      <c r="AK1447" s="40"/>
      <c r="AL1447" s="40"/>
      <c r="AM1447" s="40"/>
      <c r="AN1447" s="40"/>
      <c r="AO1447" s="40"/>
      <c r="AP1447" s="40"/>
      <c r="AQ1447" s="40"/>
      <c r="AR1447" s="40"/>
      <c r="AS1447" s="40"/>
      <c r="AT1447" s="40"/>
      <c r="AU1447" s="40"/>
      <c r="AV1447" s="313">
        <f>AV1480*2</f>
        <v>2.9579787999999998</v>
      </c>
      <c r="AW1447" s="317"/>
      <c r="AX1447" s="317"/>
      <c r="AY1447" s="313">
        <f t="shared" si="629"/>
        <v>38.303879999999999</v>
      </c>
      <c r="AZ1447" s="40"/>
      <c r="BA1447" s="40"/>
      <c r="BB1447" s="40"/>
      <c r="BC1447" s="40"/>
      <c r="BD1447" s="40"/>
      <c r="BE1447" s="40"/>
      <c r="BF1447" s="40"/>
      <c r="BG1447" s="40"/>
      <c r="BH1447" s="40"/>
      <c r="BI1447" s="40"/>
      <c r="BJ1447" s="40"/>
      <c r="BK1447" s="40"/>
      <c r="BL1447" s="62">
        <v>0</v>
      </c>
      <c r="BM1447" s="275">
        <v>3</v>
      </c>
      <c r="BN1447" s="62">
        <v>0.03</v>
      </c>
      <c r="BO1447" s="33" t="s">
        <v>655</v>
      </c>
    </row>
    <row r="1448" spans="1:68">
      <c r="A1448" s="33" t="str">
        <f>Database_Productkaarten[[#This Row],[Product]]&amp;", "&amp;Database_Productkaarten[[#This Row],[Levensfase]]</f>
        <v>Dubbelklinker (rood) 210x210x80, A3</v>
      </c>
      <c r="B1448" s="33" t="s">
        <v>652</v>
      </c>
      <c r="C1448" t="s">
        <v>55</v>
      </c>
      <c r="D1448" s="33" t="s">
        <v>384</v>
      </c>
      <c r="E1448" s="33" t="s">
        <v>385</v>
      </c>
      <c r="F1448" s="33" t="s">
        <v>76</v>
      </c>
      <c r="G1448" s="33">
        <v>1</v>
      </c>
      <c r="H1448" s="33">
        <v>1</v>
      </c>
      <c r="I1448" s="33">
        <v>0.08</v>
      </c>
      <c r="L1448" s="33">
        <v>2.4</v>
      </c>
      <c r="M1448" s="33">
        <v>0.18</v>
      </c>
      <c r="N1448" s="41"/>
      <c r="O1448" s="33">
        <v>25</v>
      </c>
      <c r="P1448" s="40"/>
      <c r="Q1448" s="40"/>
      <c r="R1448" s="40"/>
      <c r="S1448" s="40"/>
      <c r="T1448" s="40"/>
      <c r="U1448" s="40"/>
      <c r="V1448" s="40"/>
      <c r="W1448" s="40"/>
      <c r="X1448" s="40"/>
      <c r="Y1448" s="40"/>
      <c r="Z1448" s="40"/>
      <c r="AA1448" s="40"/>
      <c r="AB1448" s="40"/>
      <c r="AC1448" s="40"/>
      <c r="AD1448" s="40"/>
      <c r="AE1448" s="40"/>
      <c r="AF1448" s="40"/>
      <c r="AG1448" s="40"/>
      <c r="AH1448" s="40"/>
      <c r="AI1448" s="40"/>
      <c r="AJ1448" s="40"/>
      <c r="AK1448" s="40"/>
      <c r="AL1448" s="40"/>
      <c r="AM1448" s="40"/>
      <c r="AN1448" s="40"/>
      <c r="AO1448" s="40"/>
      <c r="AP1448" s="40"/>
      <c r="AQ1448" s="40"/>
      <c r="AR1448" s="40"/>
      <c r="AS1448" s="40"/>
      <c r="AT1448" s="40"/>
      <c r="AU1448" s="40"/>
      <c r="AV1448" s="313">
        <f>AV1482*2</f>
        <v>1.4942195599999999</v>
      </c>
      <c r="AW1448" s="317"/>
      <c r="AX1448" s="317"/>
      <c r="AY1448" s="313">
        <f t="shared" si="629"/>
        <v>317.70554599999997</v>
      </c>
      <c r="AZ1448" s="40"/>
      <c r="BA1448" s="40"/>
      <c r="BB1448" s="40"/>
      <c r="BC1448" s="40"/>
      <c r="BD1448" s="40"/>
      <c r="BE1448" s="40"/>
      <c r="BF1448" s="40"/>
      <c r="BG1448" s="40"/>
      <c r="BH1448" s="40"/>
      <c r="BI1448" s="40"/>
      <c r="BJ1448" s="40"/>
      <c r="BK1448" s="40"/>
      <c r="BL1448" s="62">
        <v>0</v>
      </c>
      <c r="BM1448" s="275">
        <v>3</v>
      </c>
      <c r="BN1448" s="62">
        <v>0.03</v>
      </c>
      <c r="BO1448" s="33" t="s">
        <v>655</v>
      </c>
    </row>
    <row r="1449" spans="1:68">
      <c r="A1449" s="451" t="str">
        <f>Database_Productkaarten[[#This Row],[Product]]&amp;", "&amp;Database_Productkaarten[[#This Row],[Levensfase]]</f>
        <v>Dubbelklinker (rood) 210x210x80, A1-A3</v>
      </c>
      <c r="B1449" s="451" t="str">
        <f>B1448</f>
        <v>Dubbelklinker (rood) 210x210x80</v>
      </c>
      <c r="C1449" s="451" t="str">
        <f>C1448</f>
        <v>Elementenverhardingen</v>
      </c>
      <c r="D1449" s="451" t="str">
        <f>D1448</f>
        <v>Betonstraatsteen</v>
      </c>
      <c r="E1449" s="451" t="str">
        <f>E1448</f>
        <v>m2</v>
      </c>
      <c r="F1449" s="451" t="s">
        <v>77</v>
      </c>
      <c r="G1449" s="451">
        <f t="shared" ref="G1449:M1449" si="630">G1448</f>
        <v>1</v>
      </c>
      <c r="H1449" s="451">
        <f t="shared" si="630"/>
        <v>1</v>
      </c>
      <c r="I1449" s="451">
        <f t="shared" si="630"/>
        <v>0.08</v>
      </c>
      <c r="J1449" s="451"/>
      <c r="K1449" s="451"/>
      <c r="L1449" s="451">
        <f t="shared" si="630"/>
        <v>2.4</v>
      </c>
      <c r="M1449" s="454">
        <f t="shared" si="630"/>
        <v>0.18</v>
      </c>
      <c r="N1449" s="452">
        <f>SUM(N1446:N1448)</f>
        <v>1.8981379679999999</v>
      </c>
      <c r="O1449" s="451">
        <f>O1448</f>
        <v>25</v>
      </c>
      <c r="P1449" s="453">
        <f t="shared" ref="P1449:BK1449" si="631">SUM(P1446:P1448)</f>
        <v>3.0168222799999999E-3</v>
      </c>
      <c r="Q1449" s="453">
        <f t="shared" si="631"/>
        <v>7.9665922400000005E-2</v>
      </c>
      <c r="R1449" s="453">
        <f t="shared" si="631"/>
        <v>24.99826208</v>
      </c>
      <c r="S1449" s="453">
        <f t="shared" si="631"/>
        <v>9.3892295200000006E-7</v>
      </c>
      <c r="T1449" s="453">
        <f t="shared" si="631"/>
        <v>5.7084852719999999E-3</v>
      </c>
      <c r="U1449" s="453">
        <f t="shared" si="631"/>
        <v>5.6734539200000003E-2</v>
      </c>
      <c r="V1449" s="453">
        <f t="shared" si="631"/>
        <v>1.1158001759999999E-2</v>
      </c>
      <c r="W1449" s="453">
        <f t="shared" si="631"/>
        <v>2.762438328</v>
      </c>
      <c r="X1449" s="453">
        <f t="shared" si="631"/>
        <v>0.103314584</v>
      </c>
      <c r="Y1449" s="453">
        <f t="shared" si="631"/>
        <v>427.01884800000005</v>
      </c>
      <c r="Z1449" s="453">
        <f t="shared" si="631"/>
        <v>3.234678144E-2</v>
      </c>
      <c r="AA1449" s="453">
        <f t="shared" si="631"/>
        <v>0</v>
      </c>
      <c r="AB1449" s="453">
        <f t="shared" si="631"/>
        <v>0</v>
      </c>
      <c r="AC1449" s="453">
        <f t="shared" si="631"/>
        <v>0</v>
      </c>
      <c r="AD1449" s="453">
        <f t="shared" si="631"/>
        <v>0</v>
      </c>
      <c r="AE1449" s="453">
        <f t="shared" si="631"/>
        <v>0</v>
      </c>
      <c r="AF1449" s="453">
        <f t="shared" si="631"/>
        <v>0</v>
      </c>
      <c r="AG1449" s="453">
        <f t="shared" si="631"/>
        <v>0</v>
      </c>
      <c r="AH1449" s="453">
        <f t="shared" si="631"/>
        <v>0</v>
      </c>
      <c r="AI1449" s="453">
        <f t="shared" si="631"/>
        <v>0</v>
      </c>
      <c r="AJ1449" s="453">
        <f t="shared" si="631"/>
        <v>0</v>
      </c>
      <c r="AK1449" s="453">
        <f t="shared" si="631"/>
        <v>0</v>
      </c>
      <c r="AL1449" s="453">
        <f t="shared" si="631"/>
        <v>0</v>
      </c>
      <c r="AM1449" s="453">
        <f t="shared" si="631"/>
        <v>0</v>
      </c>
      <c r="AN1449" s="453">
        <f t="shared" si="631"/>
        <v>0</v>
      </c>
      <c r="AO1449" s="453">
        <f t="shared" si="631"/>
        <v>0</v>
      </c>
      <c r="AP1449" s="453">
        <f t="shared" si="631"/>
        <v>0</v>
      </c>
      <c r="AQ1449" s="453">
        <f t="shared" si="631"/>
        <v>0</v>
      </c>
      <c r="AR1449" s="453">
        <f t="shared" si="631"/>
        <v>0</v>
      </c>
      <c r="AS1449" s="453">
        <f t="shared" si="631"/>
        <v>0</v>
      </c>
      <c r="AT1449" s="453">
        <f t="shared" si="631"/>
        <v>0</v>
      </c>
      <c r="AU1449" s="453">
        <f t="shared" si="631"/>
        <v>0</v>
      </c>
      <c r="AV1449" s="313">
        <f>AV1483*2</f>
        <v>1.3889070400000001</v>
      </c>
      <c r="AW1449" s="317">
        <f t="shared" si="631"/>
        <v>0</v>
      </c>
      <c r="AX1449" s="317">
        <f t="shared" si="631"/>
        <v>0</v>
      </c>
      <c r="AY1449" s="313">
        <f t="shared" si="629"/>
        <v>116.758054</v>
      </c>
      <c r="AZ1449" s="453">
        <f t="shared" si="631"/>
        <v>0</v>
      </c>
      <c r="BA1449" s="453">
        <f t="shared" si="631"/>
        <v>0</v>
      </c>
      <c r="BB1449" s="453">
        <f t="shared" si="631"/>
        <v>0</v>
      </c>
      <c r="BC1449" s="453">
        <f t="shared" si="631"/>
        <v>0</v>
      </c>
      <c r="BD1449" s="453">
        <f t="shared" si="631"/>
        <v>0</v>
      </c>
      <c r="BE1449" s="453">
        <f t="shared" si="631"/>
        <v>0</v>
      </c>
      <c r="BF1449" s="453">
        <f t="shared" si="631"/>
        <v>0</v>
      </c>
      <c r="BG1449" s="453">
        <f t="shared" si="631"/>
        <v>0</v>
      </c>
      <c r="BH1449" s="453">
        <f t="shared" si="631"/>
        <v>0</v>
      </c>
      <c r="BI1449" s="453">
        <f t="shared" si="631"/>
        <v>0</v>
      </c>
      <c r="BJ1449" s="453">
        <f t="shared" si="631"/>
        <v>0</v>
      </c>
      <c r="BK1449" s="453">
        <f t="shared" si="631"/>
        <v>0</v>
      </c>
      <c r="BL1449" s="62">
        <f>BL1448</f>
        <v>0</v>
      </c>
      <c r="BM1449" s="275">
        <f>BM1448</f>
        <v>3</v>
      </c>
      <c r="BN1449" s="62">
        <v>0.03</v>
      </c>
      <c r="BO1449" s="451" t="str">
        <f>BO1448</f>
        <v>NMD Betonstraatsteen 210x105x80 mm door en door grijs</v>
      </c>
      <c r="BP1449" s="451"/>
    </row>
    <row r="1450" spans="1:68">
      <c r="A1450" s="33" t="str">
        <f>Database_Productkaarten[[#This Row],[Product]]&amp;", "&amp;Database_Productkaarten[[#This Row],[Levensfase]]</f>
        <v>Dubbelklinker (rood) 210x210x80, A4</v>
      </c>
      <c r="B1450" s="33" t="s">
        <v>652</v>
      </c>
      <c r="C1450" t="s">
        <v>55</v>
      </c>
      <c r="D1450" s="33" t="s">
        <v>384</v>
      </c>
      <c r="E1450" s="33" t="s">
        <v>385</v>
      </c>
      <c r="F1450" s="33" t="s">
        <v>78</v>
      </c>
      <c r="G1450" s="33">
        <v>1</v>
      </c>
      <c r="H1450" s="33">
        <v>1</v>
      </c>
      <c r="I1450" s="33">
        <v>0.08</v>
      </c>
      <c r="L1450" s="33">
        <v>2.4</v>
      </c>
      <c r="M1450" s="33">
        <v>0.18</v>
      </c>
      <c r="N1450" s="41">
        <v>0.41909999999999997</v>
      </c>
      <c r="O1450" s="33">
        <v>25</v>
      </c>
      <c r="P1450" s="40">
        <v>1.0020000000000001E-5</v>
      </c>
      <c r="Q1450" s="40">
        <v>2.63E-2</v>
      </c>
      <c r="R1450" s="40">
        <v>3.5177999999999998</v>
      </c>
      <c r="S1450" s="40">
        <v>6.5730000000000004E-7</v>
      </c>
      <c r="T1450" s="40">
        <v>2.0999999999999999E-3</v>
      </c>
      <c r="U1450" s="40">
        <v>1.52E-2</v>
      </c>
      <c r="V1450" s="40">
        <v>3.0999999999999999E-3</v>
      </c>
      <c r="W1450" s="40">
        <v>1.4413</v>
      </c>
      <c r="X1450" s="40">
        <v>4.19E-2</v>
      </c>
      <c r="Y1450" s="40">
        <v>149.24760000000001</v>
      </c>
      <c r="Z1450" s="40">
        <v>5.0000000000000001E-3</v>
      </c>
      <c r="AA1450" s="40"/>
      <c r="AB1450" s="40"/>
      <c r="AC1450" s="40"/>
      <c r="AD1450" s="40"/>
      <c r="AE1450" s="40"/>
      <c r="AF1450" s="40"/>
      <c r="AG1450" s="40"/>
      <c r="AH1450" s="40"/>
      <c r="AI1450" s="40"/>
      <c r="AJ1450" s="40"/>
      <c r="AK1450" s="40"/>
      <c r="AL1450" s="40"/>
      <c r="AM1450" s="40"/>
      <c r="AN1450" s="40"/>
      <c r="AO1450" s="40"/>
      <c r="AP1450" s="40"/>
      <c r="AQ1450" s="40"/>
      <c r="AR1450" s="40"/>
      <c r="AS1450" s="40"/>
      <c r="AT1450" s="40"/>
      <c r="AU1450" s="40"/>
      <c r="AV1450" s="313">
        <f>AV1484*2</f>
        <v>0</v>
      </c>
      <c r="AW1450" s="317"/>
      <c r="AX1450" s="317"/>
      <c r="AY1450" s="313">
        <f t="shared" si="629"/>
        <v>32.294545999999997</v>
      </c>
      <c r="AZ1450" s="40"/>
      <c r="BA1450" s="40"/>
      <c r="BB1450" s="40"/>
      <c r="BC1450" s="40"/>
      <c r="BD1450" s="40"/>
      <c r="BE1450" s="40"/>
      <c r="BF1450" s="40"/>
      <c r="BG1450" s="40"/>
      <c r="BH1450" s="40"/>
      <c r="BI1450" s="40"/>
      <c r="BJ1450" s="40"/>
      <c r="BK1450" s="40"/>
      <c r="BL1450" s="62">
        <v>0</v>
      </c>
      <c r="BM1450" s="275">
        <v>3</v>
      </c>
      <c r="BN1450" s="62">
        <v>0.03</v>
      </c>
      <c r="BO1450" s="33" t="s">
        <v>655</v>
      </c>
    </row>
    <row r="1451" spans="1:68">
      <c r="A1451" s="33" t="str">
        <f>Database_Productkaarten[[#This Row],[Product]]&amp;", "&amp;Database_Productkaarten[[#This Row],[Levensfase]]</f>
        <v>Dubbelklinker (rood) 210x210x80, A5</v>
      </c>
      <c r="B1451" s="33" t="s">
        <v>652</v>
      </c>
      <c r="C1451" t="s">
        <v>55</v>
      </c>
      <c r="D1451" s="33" t="s">
        <v>384</v>
      </c>
      <c r="E1451" s="33" t="s">
        <v>385</v>
      </c>
      <c r="F1451" s="33" t="s">
        <v>79</v>
      </c>
      <c r="G1451" s="33">
        <v>1</v>
      </c>
      <c r="H1451" s="33">
        <v>1</v>
      </c>
      <c r="I1451" s="33">
        <v>0.08</v>
      </c>
      <c r="L1451" s="33">
        <v>2.4</v>
      </c>
      <c r="M1451" s="33">
        <v>0.18</v>
      </c>
      <c r="N1451" s="41">
        <v>6.2799999999999995E-2</v>
      </c>
      <c r="O1451" s="33">
        <v>25</v>
      </c>
      <c r="P1451" s="40">
        <v>8.5719999999999999E-5</v>
      </c>
      <c r="Q1451" s="40">
        <v>2.7000000000000001E-3</v>
      </c>
      <c r="R1451" s="40">
        <v>0.77900000000000003</v>
      </c>
      <c r="S1451" s="40">
        <v>7.1400000000000004E-8</v>
      </c>
      <c r="T1451" s="40">
        <v>2.185E-4</v>
      </c>
      <c r="U1451" s="40">
        <v>1.9E-3</v>
      </c>
      <c r="V1451" s="40">
        <v>4.5800000000000002E-4</v>
      </c>
      <c r="W1451" s="40">
        <v>0.1045</v>
      </c>
      <c r="X1451" s="40">
        <v>2.8E-3</v>
      </c>
      <c r="Y1451" s="40">
        <v>14.5816</v>
      </c>
      <c r="Z1451" s="40">
        <v>8.8590000000000001E-4</v>
      </c>
      <c r="AA1451" s="40"/>
      <c r="AB1451" s="40"/>
      <c r="AC1451" s="40"/>
      <c r="AD1451" s="40"/>
      <c r="AE1451" s="40"/>
      <c r="AF1451" s="40"/>
      <c r="AG1451" s="40"/>
      <c r="AH1451" s="40"/>
      <c r="AI1451" s="40"/>
      <c r="AJ1451" s="40"/>
      <c r="AK1451" s="40"/>
      <c r="AL1451" s="40"/>
      <c r="AM1451" s="40"/>
      <c r="AN1451" s="40"/>
      <c r="AO1451" s="40"/>
      <c r="AP1451" s="40"/>
      <c r="AQ1451" s="40"/>
      <c r="AR1451" s="40"/>
      <c r="AS1451" s="40"/>
      <c r="AT1451" s="40"/>
      <c r="AU1451" s="40"/>
      <c r="AV1451" s="313">
        <f>AV1486*2</f>
        <v>9.8884345999999998E-2</v>
      </c>
      <c r="AW1451" s="317"/>
      <c r="AX1451" s="317"/>
      <c r="AY1451" s="313">
        <f t="shared" si="629"/>
        <v>0</v>
      </c>
      <c r="AZ1451" s="40"/>
      <c r="BA1451" s="40"/>
      <c r="BB1451" s="40"/>
      <c r="BC1451" s="40"/>
      <c r="BD1451" s="40"/>
      <c r="BE1451" s="40"/>
      <c r="BF1451" s="40"/>
      <c r="BG1451" s="40"/>
      <c r="BH1451" s="40"/>
      <c r="BI1451" s="40"/>
      <c r="BJ1451" s="40"/>
      <c r="BK1451" s="40"/>
      <c r="BL1451" s="62">
        <v>0</v>
      </c>
      <c r="BM1451" s="275">
        <v>3</v>
      </c>
      <c r="BN1451" s="62">
        <v>0.03</v>
      </c>
      <c r="BO1451" s="33" t="s">
        <v>655</v>
      </c>
    </row>
    <row r="1452" spans="1:68">
      <c r="A1452" s="33" t="str">
        <f>Database_Productkaarten[[#This Row],[Product]]&amp;", "&amp;Database_Productkaarten[[#This Row],[Levensfase]]</f>
        <v>Dubbelklinker (rood) 210x210x80, B1</v>
      </c>
      <c r="B1452" s="33" t="s">
        <v>652</v>
      </c>
      <c r="C1452" t="s">
        <v>55</v>
      </c>
      <c r="D1452" s="33" t="s">
        <v>384</v>
      </c>
      <c r="E1452" s="33" t="s">
        <v>385</v>
      </c>
      <c r="F1452" s="33" t="s">
        <v>80</v>
      </c>
      <c r="G1452" s="33">
        <v>1</v>
      </c>
      <c r="H1452" s="33">
        <v>1</v>
      </c>
      <c r="I1452" s="33">
        <v>0.08</v>
      </c>
      <c r="L1452" s="33">
        <v>2.4</v>
      </c>
      <c r="M1452" s="33">
        <v>0.18</v>
      </c>
      <c r="N1452" s="41"/>
      <c r="O1452" s="33">
        <v>25</v>
      </c>
      <c r="P1452" s="40"/>
      <c r="Q1452" s="40"/>
      <c r="R1452" s="40"/>
      <c r="S1452" s="40"/>
      <c r="T1452" s="40"/>
      <c r="U1452" s="40"/>
      <c r="V1452" s="40"/>
      <c r="W1452" s="40"/>
      <c r="X1452" s="40"/>
      <c r="Y1452" s="40"/>
      <c r="Z1452" s="40"/>
      <c r="AA1452" s="40"/>
      <c r="AB1452" s="40"/>
      <c r="AC1452" s="40"/>
      <c r="AD1452" s="40"/>
      <c r="AE1452" s="40"/>
      <c r="AF1452" s="40"/>
      <c r="AG1452" s="40"/>
      <c r="AH1452" s="40"/>
      <c r="AI1452" s="40"/>
      <c r="AJ1452" s="40"/>
      <c r="AK1452" s="40"/>
      <c r="AL1452" s="40"/>
      <c r="AM1452" s="40"/>
      <c r="AN1452" s="40"/>
      <c r="AO1452" s="40"/>
      <c r="AP1452" s="40"/>
      <c r="AQ1452" s="40"/>
      <c r="AR1452" s="40"/>
      <c r="AS1452" s="40"/>
      <c r="AT1452" s="40"/>
      <c r="AU1452" s="40"/>
      <c r="AV1452" s="313">
        <f>AV1487*2</f>
        <v>0.50305392000000004</v>
      </c>
      <c r="AW1452" s="317"/>
      <c r="AX1452" s="317"/>
      <c r="AY1452" s="313">
        <f t="shared" si="629"/>
        <v>0</v>
      </c>
      <c r="AZ1452" s="40"/>
      <c r="BA1452" s="40"/>
      <c r="BB1452" s="40"/>
      <c r="BC1452" s="40"/>
      <c r="BD1452" s="40"/>
      <c r="BE1452" s="40"/>
      <c r="BF1452" s="40"/>
      <c r="BG1452" s="40"/>
      <c r="BH1452" s="40"/>
      <c r="BI1452" s="40"/>
      <c r="BJ1452" s="40"/>
      <c r="BK1452" s="40"/>
      <c r="BL1452" s="62">
        <v>0</v>
      </c>
      <c r="BM1452" s="275">
        <v>3</v>
      </c>
      <c r="BN1452" s="62">
        <v>0.03</v>
      </c>
      <c r="BO1452" s="33" t="s">
        <v>655</v>
      </c>
    </row>
    <row r="1453" spans="1:68">
      <c r="A1453" s="33" t="str">
        <f>Database_Productkaarten[[#This Row],[Product]]&amp;", "&amp;Database_Productkaarten[[#This Row],[Levensfase]]</f>
        <v>Dubbelklinker (rood) 210x210x80, B3</v>
      </c>
      <c r="B1453" s="33" t="s">
        <v>652</v>
      </c>
      <c r="C1453" t="s">
        <v>55</v>
      </c>
      <c r="D1453" s="33" t="s">
        <v>384</v>
      </c>
      <c r="E1453" s="33" t="s">
        <v>385</v>
      </c>
      <c r="F1453" s="33" t="s">
        <v>81</v>
      </c>
      <c r="G1453" s="33">
        <v>1</v>
      </c>
      <c r="H1453" s="33">
        <v>1</v>
      </c>
      <c r="I1453" s="33">
        <v>0.08</v>
      </c>
      <c r="L1453" s="33">
        <v>2.4</v>
      </c>
      <c r="M1453" s="33">
        <v>0.18</v>
      </c>
      <c r="N1453" s="41">
        <f>(N1451+N1455)+((SUM(N1446:N1452)+SUM(N1454:N1460))*0.1)</f>
        <v>0.56027759359999996</v>
      </c>
      <c r="O1453" s="33">
        <v>25</v>
      </c>
      <c r="P1453" s="40">
        <f>(P1451+P1455)+((SUM(P1446:P1452)+SUM(P1454:P1460))*0.1)</f>
        <v>7.101234576E-4</v>
      </c>
      <c r="Q1453" s="40">
        <f>(Q1451+Q1455)+((SUM(Q1446:Q1452)+SUM(Q1454:Q1460))*0.1)</f>
        <v>3.058705741E-2</v>
      </c>
      <c r="R1453" s="40">
        <f t="shared" ref="R1453:Z1453" si="632">(R1451+R1455)+((SUM(R1446:R1452)+SUM(R1454:R1460))*0.1)</f>
        <v>7.4421854160000009</v>
      </c>
      <c r="S1453" s="40">
        <f t="shared" si="632"/>
        <v>1.4405697297904003E-3</v>
      </c>
      <c r="T1453" s="40">
        <f t="shared" si="632"/>
        <v>2.2812203544000003E-3</v>
      </c>
      <c r="U1453" s="40">
        <f t="shared" si="632"/>
        <v>1.9956985840000004E-2</v>
      </c>
      <c r="V1453" s="40">
        <f t="shared" si="632"/>
        <v>4.6150723519999999E-3</v>
      </c>
      <c r="W1453" s="40">
        <f t="shared" si="632"/>
        <v>1.2904176656000002</v>
      </c>
      <c r="X1453" s="40">
        <f t="shared" si="632"/>
        <v>4.3382902799999998E-2</v>
      </c>
      <c r="Y1453" s="40">
        <f t="shared" si="632"/>
        <v>169.00411298200001</v>
      </c>
      <c r="Z1453" s="40">
        <f t="shared" si="632"/>
        <v>9.6051452880000013E-3</v>
      </c>
      <c r="AA1453" s="40"/>
      <c r="AB1453" s="40"/>
      <c r="AC1453" s="40"/>
      <c r="AD1453" s="40"/>
      <c r="AE1453" s="40"/>
      <c r="AF1453" s="40"/>
      <c r="AG1453" s="40"/>
      <c r="AH1453" s="40"/>
      <c r="AI1453" s="40"/>
      <c r="AJ1453" s="40"/>
      <c r="AK1453" s="40"/>
      <c r="AL1453" s="40"/>
      <c r="AM1453" s="40"/>
      <c r="AN1453" s="40"/>
      <c r="AO1453" s="40"/>
      <c r="AP1453" s="40"/>
      <c r="AQ1453" s="40"/>
      <c r="AR1453" s="40"/>
      <c r="AS1453" s="40"/>
      <c r="AT1453" s="40"/>
      <c r="AU1453" s="40"/>
      <c r="AV1453" s="313">
        <f>AV1488*2</f>
        <v>0.46030243999999998</v>
      </c>
      <c r="AW1453" s="317"/>
      <c r="AX1453" s="317"/>
      <c r="AY1453" s="313">
        <f t="shared" si="629"/>
        <v>18.417027000000001</v>
      </c>
      <c r="AZ1453" s="40"/>
      <c r="BA1453" s="40"/>
      <c r="BB1453" s="40"/>
      <c r="BC1453" s="40"/>
      <c r="BD1453" s="40"/>
      <c r="BE1453" s="40"/>
      <c r="BF1453" s="40"/>
      <c r="BG1453" s="40"/>
      <c r="BH1453" s="40"/>
      <c r="BI1453" s="40"/>
      <c r="BJ1453" s="40"/>
      <c r="BK1453" s="40"/>
      <c r="BL1453" s="62">
        <v>0</v>
      </c>
      <c r="BM1453" s="275">
        <v>3</v>
      </c>
      <c r="BN1453" s="62">
        <v>0.03</v>
      </c>
      <c r="BO1453" s="33" t="s">
        <v>655</v>
      </c>
      <c r="BP1453" s="33" t="s">
        <v>656</v>
      </c>
    </row>
    <row r="1454" spans="1:68">
      <c r="A1454" s="33" t="str">
        <f>Database_Productkaarten[[#This Row],[Product]]&amp;", "&amp;Database_Productkaarten[[#This Row],[Levensfase]]</f>
        <v>Dubbelklinker (rood) 210x210x80, C1</v>
      </c>
      <c r="B1454" s="33" t="s">
        <v>652</v>
      </c>
      <c r="C1454" t="s">
        <v>55</v>
      </c>
      <c r="D1454" s="33" t="s">
        <v>384</v>
      </c>
      <c r="E1454" s="33" t="s">
        <v>385</v>
      </c>
      <c r="F1454" s="33" t="s">
        <v>83</v>
      </c>
      <c r="G1454" s="33">
        <v>1</v>
      </c>
      <c r="H1454" s="33">
        <v>1</v>
      </c>
      <c r="I1454" s="33">
        <v>0.08</v>
      </c>
      <c r="L1454" s="33">
        <v>2.4</v>
      </c>
      <c r="M1454" s="33">
        <v>0.18</v>
      </c>
      <c r="N1454" s="41"/>
      <c r="O1454" s="33">
        <v>25</v>
      </c>
      <c r="P1454" s="40">
        <f>P1451</f>
        <v>8.5719999999999999E-5</v>
      </c>
      <c r="Q1454" s="40">
        <f t="shared" ref="Q1454:Z1454" si="633">Q1451</f>
        <v>2.7000000000000001E-3</v>
      </c>
      <c r="R1454" s="40">
        <f t="shared" si="633"/>
        <v>0.77900000000000003</v>
      </c>
      <c r="S1454" s="40">
        <f t="shared" si="633"/>
        <v>7.1400000000000004E-8</v>
      </c>
      <c r="T1454" s="40">
        <f t="shared" si="633"/>
        <v>2.185E-4</v>
      </c>
      <c r="U1454" s="40">
        <f t="shared" si="633"/>
        <v>1.9E-3</v>
      </c>
      <c r="V1454" s="40">
        <f t="shared" si="633"/>
        <v>4.5800000000000002E-4</v>
      </c>
      <c r="W1454" s="40">
        <f t="shared" si="633"/>
        <v>0.1045</v>
      </c>
      <c r="X1454" s="40">
        <f t="shared" si="633"/>
        <v>2.8E-3</v>
      </c>
      <c r="Y1454" s="40">
        <f t="shared" si="633"/>
        <v>14.5816</v>
      </c>
      <c r="Z1454" s="40">
        <f t="shared" si="633"/>
        <v>8.8590000000000001E-4</v>
      </c>
      <c r="AA1454" s="40"/>
      <c r="AB1454" s="40"/>
      <c r="AC1454" s="40"/>
      <c r="AD1454" s="40"/>
      <c r="AE1454" s="40"/>
      <c r="AF1454" s="40"/>
      <c r="AG1454" s="40"/>
      <c r="AH1454" s="40"/>
      <c r="AI1454" s="40"/>
      <c r="AJ1454" s="40"/>
      <c r="AK1454" s="40"/>
      <c r="AL1454" s="40"/>
      <c r="AM1454" s="40"/>
      <c r="AN1454" s="40"/>
      <c r="AO1454" s="40"/>
      <c r="AP1454" s="40"/>
      <c r="AQ1454" s="40"/>
      <c r="AR1454" s="40"/>
      <c r="AS1454" s="40"/>
      <c r="AT1454" s="40"/>
      <c r="AU1454" s="40"/>
      <c r="AV1454" s="313">
        <f>AV1489*2</f>
        <v>1.39877926E-2</v>
      </c>
      <c r="AW1454" s="317"/>
      <c r="AX1454" s="317"/>
      <c r="AY1454" s="313">
        <f t="shared" si="629"/>
        <v>39.308543999999998</v>
      </c>
      <c r="AZ1454" s="40"/>
      <c r="BA1454" s="40"/>
      <c r="BB1454" s="40"/>
      <c r="BC1454" s="40"/>
      <c r="BD1454" s="40"/>
      <c r="BE1454" s="40"/>
      <c r="BF1454" s="40"/>
      <c r="BG1454" s="40"/>
      <c r="BH1454" s="40"/>
      <c r="BI1454" s="40"/>
      <c r="BJ1454" s="40"/>
      <c r="BK1454" s="40"/>
      <c r="BL1454" s="62">
        <v>0</v>
      </c>
      <c r="BM1454" s="275">
        <v>3</v>
      </c>
      <c r="BN1454" s="62">
        <v>0.03</v>
      </c>
      <c r="BO1454" s="33" t="s">
        <v>655</v>
      </c>
    </row>
    <row r="1455" spans="1:68">
      <c r="A1455" s="33" t="str">
        <f>Database_Productkaarten[[#This Row],[Product]]&amp;", "&amp;Database_Productkaarten[[#This Row],[Levensfase]]</f>
        <v>Dubbelklinker (rood) 210x210x80, C2</v>
      </c>
      <c r="B1455" s="33" t="s">
        <v>652</v>
      </c>
      <c r="C1455" t="s">
        <v>55</v>
      </c>
      <c r="D1455" s="33" t="s">
        <v>384</v>
      </c>
      <c r="E1455" s="33" t="s">
        <v>385</v>
      </c>
      <c r="F1455" s="33" t="s">
        <v>84</v>
      </c>
      <c r="G1455" s="33">
        <v>1</v>
      </c>
      <c r="H1455" s="33">
        <v>1</v>
      </c>
      <c r="I1455" s="33">
        <v>0.08</v>
      </c>
      <c r="L1455" s="33">
        <v>2.4</v>
      </c>
      <c r="M1455" s="33">
        <v>0.18</v>
      </c>
      <c r="N1455" s="41">
        <f>N1451</f>
        <v>6.2799999999999995E-2</v>
      </c>
      <c r="O1455" s="33">
        <v>25</v>
      </c>
      <c r="P1455" s="40">
        <v>3.3739999999999998E-6</v>
      </c>
      <c r="Q1455" s="40">
        <v>8.8999999999999999E-3</v>
      </c>
      <c r="R1455" s="40">
        <v>1.1842999999999999</v>
      </c>
      <c r="S1455" s="40">
        <v>2.213E-7</v>
      </c>
      <c r="T1455" s="40">
        <v>7.0290000000000001E-4</v>
      </c>
      <c r="U1455" s="40">
        <v>5.1000000000000004E-3</v>
      </c>
      <c r="V1455" s="40">
        <v>1E-3</v>
      </c>
      <c r="W1455" s="40">
        <v>0.48520000000000002</v>
      </c>
      <c r="X1455" s="40">
        <v>1.41E-2</v>
      </c>
      <c r="Y1455" s="40">
        <v>50.246699999999997</v>
      </c>
      <c r="Z1455" s="40">
        <v>1.6999999999999999E-3</v>
      </c>
      <c r="AA1455" s="40"/>
      <c r="AB1455" s="40"/>
      <c r="AC1455" s="40"/>
      <c r="AD1455" s="40"/>
      <c r="AE1455" s="40"/>
      <c r="AF1455" s="40"/>
      <c r="AG1455" s="40"/>
      <c r="AH1455" s="40"/>
      <c r="AI1455" s="40"/>
      <c r="AJ1455" s="40"/>
      <c r="AK1455" s="40"/>
      <c r="AL1455" s="40"/>
      <c r="AM1455" s="40"/>
      <c r="AN1455" s="40"/>
      <c r="AO1455" s="40"/>
      <c r="AP1455" s="40"/>
      <c r="AQ1455" s="40"/>
      <c r="AR1455" s="40"/>
      <c r="AS1455" s="40"/>
      <c r="AT1455" s="40"/>
      <c r="AU1455" s="40"/>
      <c r="AV1455" s="313">
        <f>AV1490*2</f>
        <v>-1.26626116</v>
      </c>
      <c r="AW1455" s="317"/>
      <c r="AX1455" s="317"/>
      <c r="AY1455" s="313">
        <f t="shared" si="629"/>
        <v>8.9488392000000001</v>
      </c>
      <c r="AZ1455" s="40"/>
      <c r="BA1455" s="40"/>
      <c r="BB1455" s="40"/>
      <c r="BC1455" s="40"/>
      <c r="BD1455" s="40"/>
      <c r="BE1455" s="40"/>
      <c r="BF1455" s="40"/>
      <c r="BG1455" s="40"/>
      <c r="BH1455" s="40"/>
      <c r="BI1455" s="40"/>
      <c r="BJ1455" s="40"/>
      <c r="BK1455" s="40"/>
      <c r="BL1455" s="62">
        <v>0</v>
      </c>
      <c r="BM1455" s="275">
        <v>3</v>
      </c>
      <c r="BN1455" s="62">
        <v>0.03</v>
      </c>
      <c r="BO1455" s="33" t="s">
        <v>655</v>
      </c>
    </row>
    <row r="1456" spans="1:68">
      <c r="A1456" s="33" t="str">
        <f>Database_Productkaarten[[#This Row],[Product]]&amp;", "&amp;Database_Productkaarten[[#This Row],[Levensfase]]</f>
        <v>Dubbelklinker (rood) 210x210x80, C3</v>
      </c>
      <c r="B1456" s="33" t="s">
        <v>652</v>
      </c>
      <c r="C1456" t="s">
        <v>55</v>
      </c>
      <c r="D1456" s="33" t="s">
        <v>384</v>
      </c>
      <c r="E1456" s="33" t="s">
        <v>385</v>
      </c>
      <c r="F1456" s="33" t="s">
        <v>85</v>
      </c>
      <c r="G1456" s="33">
        <v>1</v>
      </c>
      <c r="H1456" s="33">
        <v>1</v>
      </c>
      <c r="I1456" s="33">
        <v>0.08</v>
      </c>
      <c r="L1456" s="33">
        <v>2.4</v>
      </c>
      <c r="M1456" s="33">
        <v>0.18</v>
      </c>
      <c r="N1456" s="41">
        <v>0.1411</v>
      </c>
      <c r="O1456" s="33">
        <v>25</v>
      </c>
      <c r="P1456" s="40">
        <v>7.3259999999999997E-9</v>
      </c>
      <c r="Q1456" s="40">
        <v>2.9300000000000001E-8</v>
      </c>
      <c r="R1456" s="40">
        <v>3.3E-4</v>
      </c>
      <c r="S1456" s="40">
        <v>1.44E-2</v>
      </c>
      <c r="T1456" s="40">
        <v>1.003E-6</v>
      </c>
      <c r="U1456" s="40">
        <v>3.2929999999999998E-4</v>
      </c>
      <c r="V1456" s="40">
        <v>5.7000000000000002E-3</v>
      </c>
      <c r="W1456" s="40">
        <v>2.8999999999999998E-3</v>
      </c>
      <c r="X1456" s="40">
        <v>5.8999999999999999E-3</v>
      </c>
      <c r="Y1456" s="40">
        <v>3.3819999999999998E-5</v>
      </c>
      <c r="Z1456" s="40">
        <v>4.1679999999999999E-4</v>
      </c>
      <c r="AA1456" s="40"/>
      <c r="AB1456" s="40"/>
      <c r="AC1456" s="40"/>
      <c r="AD1456" s="40"/>
      <c r="AE1456" s="40"/>
      <c r="AF1456" s="40"/>
      <c r="AG1456" s="40"/>
      <c r="AH1456" s="40"/>
      <c r="AI1456" s="40"/>
      <c r="AJ1456" s="40"/>
      <c r="AK1456" s="40"/>
      <c r="AL1456" s="40"/>
      <c r="AM1456" s="40"/>
      <c r="AN1456" s="40"/>
      <c r="AO1456" s="40"/>
      <c r="AP1456" s="40"/>
      <c r="AQ1456" s="40"/>
      <c r="AR1456" s="40"/>
      <c r="AS1456" s="40"/>
      <c r="AT1456" s="40"/>
      <c r="AU1456" s="40"/>
      <c r="AV1456" s="313" t="e">
        <f>#REF!*2</f>
        <v>#REF!</v>
      </c>
      <c r="AW1456" s="317"/>
      <c r="AX1456" s="317"/>
      <c r="AY1456" s="313">
        <f t="shared" si="629"/>
        <v>0.58333992000000001</v>
      </c>
      <c r="AZ1456" s="40"/>
      <c r="BA1456" s="40"/>
      <c r="BB1456" s="40"/>
      <c r="BC1456" s="40"/>
      <c r="BD1456" s="40"/>
      <c r="BE1456" s="40"/>
      <c r="BF1456" s="40"/>
      <c r="BG1456" s="40"/>
      <c r="BH1456" s="40"/>
      <c r="BI1456" s="40"/>
      <c r="BJ1456" s="40"/>
      <c r="BK1456" s="40"/>
      <c r="BL1456" s="62">
        <v>0</v>
      </c>
      <c r="BM1456" s="275">
        <v>3</v>
      </c>
      <c r="BN1456" s="62">
        <v>0.03</v>
      </c>
      <c r="BO1456" s="33" t="s">
        <v>655</v>
      </c>
    </row>
    <row r="1457" spans="1:68">
      <c r="A1457" s="33" t="str">
        <f>Database_Productkaarten[[#This Row],[Product]]&amp;", "&amp;Database_Productkaarten[[#This Row],[Levensfase]]</f>
        <v>Dubbelklinker (rood) 210x210x80, C4</v>
      </c>
      <c r="B1457" s="33" t="s">
        <v>652</v>
      </c>
      <c r="C1457" t="s">
        <v>55</v>
      </c>
      <c r="D1457" s="33" t="s">
        <v>384</v>
      </c>
      <c r="E1457" s="33" t="s">
        <v>385</v>
      </c>
      <c r="F1457" s="33" t="s">
        <v>86</v>
      </c>
      <c r="G1457" s="33">
        <v>1</v>
      </c>
      <c r="H1457" s="33">
        <v>1</v>
      </c>
      <c r="I1457" s="33">
        <v>0.08</v>
      </c>
      <c r="L1457" s="33">
        <v>2.4</v>
      </c>
      <c r="M1457" s="33">
        <v>0.18</v>
      </c>
      <c r="N1457" s="41">
        <v>5.11E-2</v>
      </c>
      <c r="O1457" s="33">
        <v>25</v>
      </c>
      <c r="P1457" s="40">
        <v>1.069E-8</v>
      </c>
      <c r="Q1457" s="40">
        <v>1.3870000000000001E-4</v>
      </c>
      <c r="R1457" s="40">
        <v>9.4999999999999998E-3</v>
      </c>
      <c r="S1457" s="40">
        <v>3.4119999999999998E-9</v>
      </c>
      <c r="T1457" s="40">
        <v>1.0329999999999999E-5</v>
      </c>
      <c r="U1457" s="40">
        <v>7.148E-5</v>
      </c>
      <c r="V1457" s="40">
        <v>1.3519999999999999E-5</v>
      </c>
      <c r="W1457" s="40">
        <v>4.1000000000000003E-3</v>
      </c>
      <c r="X1457" s="40">
        <v>9.9859999999999996E-5</v>
      </c>
      <c r="Y1457" s="40">
        <v>0.35010000000000002</v>
      </c>
      <c r="Z1457" s="40">
        <v>1.029E-5</v>
      </c>
      <c r="AA1457" s="40"/>
      <c r="AB1457" s="40"/>
      <c r="AC1457" s="40"/>
      <c r="AD1457" s="40"/>
      <c r="AE1457" s="40"/>
      <c r="AF1457" s="40"/>
      <c r="AG1457" s="40"/>
      <c r="AH1457" s="40"/>
      <c r="AI1457" s="40"/>
      <c r="AJ1457" s="40"/>
      <c r="AK1457" s="40"/>
      <c r="AL1457" s="40"/>
      <c r="AM1457" s="40"/>
      <c r="AN1457" s="40"/>
      <c r="AO1457" s="40"/>
      <c r="AP1457" s="40"/>
      <c r="AQ1457" s="40"/>
      <c r="AR1457" s="40"/>
      <c r="AS1457" s="40"/>
      <c r="AT1457" s="40"/>
      <c r="AU1457" s="40"/>
      <c r="AV1457" s="313" t="e">
        <f>#REF!*2</f>
        <v>#REF!</v>
      </c>
      <c r="AW1457" s="317"/>
      <c r="AX1457" s="317"/>
      <c r="AY1457" s="313">
        <f t="shared" si="629"/>
        <v>-20.720362000000002</v>
      </c>
      <c r="AZ1457" s="40"/>
      <c r="BA1457" s="40"/>
      <c r="BB1457" s="40"/>
      <c r="BC1457" s="40"/>
      <c r="BD1457" s="40"/>
      <c r="BE1457" s="40"/>
      <c r="BF1457" s="40"/>
      <c r="BG1457" s="40"/>
      <c r="BH1457" s="40"/>
      <c r="BI1457" s="40"/>
      <c r="BJ1457" s="40"/>
      <c r="BK1457" s="40"/>
      <c r="BL1457" s="62">
        <v>0</v>
      </c>
      <c r="BM1457" s="275">
        <v>3</v>
      </c>
      <c r="BN1457" s="62">
        <v>0.03</v>
      </c>
      <c r="BO1457" s="33" t="s">
        <v>655</v>
      </c>
    </row>
    <row r="1458" spans="1:68">
      <c r="A1458" s="33" t="str">
        <f>Database_Productkaarten[[#This Row],[Product]]&amp;", "&amp;Database_Productkaarten[[#This Row],[Levensfase]]</f>
        <v>Dubbelklinker (rood) 210x210x80, D</v>
      </c>
      <c r="B1458" s="33" t="str">
        <f>B1459</f>
        <v>Dubbelklinker (rood) 210x210x80</v>
      </c>
      <c r="C1458" s="33" t="str">
        <f>C1459</f>
        <v>Elementenverhardingen</v>
      </c>
      <c r="D1458" s="33" t="str">
        <f>D1459</f>
        <v>Betonstraatsteen</v>
      </c>
      <c r="E1458" s="33" t="str">
        <f>E1459</f>
        <v>m2</v>
      </c>
      <c r="F1458" s="33" t="s">
        <v>89</v>
      </c>
      <c r="G1458" s="33">
        <f t="shared" ref="G1458:M1458" si="634">G1459</f>
        <v>1</v>
      </c>
      <c r="H1458" s="33">
        <f t="shared" si="634"/>
        <v>1</v>
      </c>
      <c r="I1458" s="33">
        <f t="shared" si="634"/>
        <v>0.08</v>
      </c>
      <c r="L1458" s="33">
        <f t="shared" si="634"/>
        <v>2.4</v>
      </c>
      <c r="M1458" s="45">
        <f t="shared" si="634"/>
        <v>0.18</v>
      </c>
      <c r="N1458" s="41">
        <f>SUM(N1459:N1460)</f>
        <v>-9.3200000000000005E-2</v>
      </c>
      <c r="O1458" s="33">
        <f>O1459</f>
        <v>25</v>
      </c>
      <c r="P1458" s="40">
        <f>SUM(P1459:P1460)</f>
        <v>-4.1010000000000002E-6</v>
      </c>
      <c r="Q1458" s="40">
        <f>SUM(Q1459:Q1460)</f>
        <v>-5.1000000000000004E-3</v>
      </c>
      <c r="R1458" s="40">
        <f>SUM(R1459:R1460)</f>
        <v>-0.73880000000000001</v>
      </c>
      <c r="S1458" s="40">
        <f t="shared" ref="S1458:BK1458" si="635">SUM(S1459:S1460)</f>
        <v>-6.6180000000000001E-8</v>
      </c>
      <c r="T1458" s="40">
        <f t="shared" si="635"/>
        <v>-5.3499999999999999E-4</v>
      </c>
      <c r="U1458" s="40">
        <f t="shared" si="635"/>
        <v>-4.1999999999999997E-3</v>
      </c>
      <c r="V1458" s="40">
        <f t="shared" si="635"/>
        <v>-7.3740000000000003E-4</v>
      </c>
      <c r="W1458" s="40">
        <f t="shared" si="635"/>
        <v>-0.3301</v>
      </c>
      <c r="X1458" s="40">
        <f t="shared" si="635"/>
        <v>-4.7000000000000002E-3</v>
      </c>
      <c r="Y1458" s="40">
        <f t="shared" si="635"/>
        <v>-20.643599999999999</v>
      </c>
      <c r="Z1458" s="40">
        <f t="shared" si="635"/>
        <v>-1.6999999999999999E-3</v>
      </c>
      <c r="AA1458" s="40">
        <f t="shared" si="635"/>
        <v>0</v>
      </c>
      <c r="AB1458" s="40">
        <f t="shared" si="635"/>
        <v>0</v>
      </c>
      <c r="AC1458" s="40">
        <f t="shared" si="635"/>
        <v>0</v>
      </c>
      <c r="AD1458" s="40">
        <f t="shared" si="635"/>
        <v>0</v>
      </c>
      <c r="AE1458" s="40">
        <f t="shared" si="635"/>
        <v>0</v>
      </c>
      <c r="AF1458" s="40">
        <f t="shared" si="635"/>
        <v>0</v>
      </c>
      <c r="AG1458" s="40">
        <f t="shared" si="635"/>
        <v>0</v>
      </c>
      <c r="AH1458" s="40">
        <f t="shared" si="635"/>
        <v>0</v>
      </c>
      <c r="AI1458" s="40">
        <f t="shared" si="635"/>
        <v>0</v>
      </c>
      <c r="AJ1458" s="40">
        <f t="shared" si="635"/>
        <v>0</v>
      </c>
      <c r="AK1458" s="40">
        <f t="shared" si="635"/>
        <v>0</v>
      </c>
      <c r="AL1458" s="40">
        <f t="shared" si="635"/>
        <v>0</v>
      </c>
      <c r="AM1458" s="40">
        <f t="shared" si="635"/>
        <v>0</v>
      </c>
      <c r="AN1458" s="40">
        <f t="shared" si="635"/>
        <v>0</v>
      </c>
      <c r="AO1458" s="40">
        <f t="shared" si="635"/>
        <v>0</v>
      </c>
      <c r="AP1458" s="40">
        <f t="shared" si="635"/>
        <v>0</v>
      </c>
      <c r="AQ1458" s="40">
        <f t="shared" si="635"/>
        <v>0</v>
      </c>
      <c r="AR1458" s="40">
        <f t="shared" si="635"/>
        <v>0</v>
      </c>
      <c r="AS1458" s="40">
        <f t="shared" si="635"/>
        <v>0</v>
      </c>
      <c r="AT1458" s="40">
        <f t="shared" si="635"/>
        <v>0</v>
      </c>
      <c r="AU1458" s="40">
        <f t="shared" si="635"/>
        <v>0</v>
      </c>
      <c r="AV1458" s="313">
        <f>AV1491*2</f>
        <v>0</v>
      </c>
      <c r="AW1458" s="317">
        <f t="shared" si="635"/>
        <v>0</v>
      </c>
      <c r="AX1458" s="317">
        <f t="shared" si="635"/>
        <v>0</v>
      </c>
      <c r="AY1458" s="313">
        <f t="shared" si="629"/>
        <v>0</v>
      </c>
      <c r="AZ1458" s="40">
        <f t="shared" si="635"/>
        <v>0</v>
      </c>
      <c r="BA1458" s="40">
        <f t="shared" si="635"/>
        <v>0</v>
      </c>
      <c r="BB1458" s="40">
        <f t="shared" si="635"/>
        <v>0</v>
      </c>
      <c r="BC1458" s="40">
        <f t="shared" si="635"/>
        <v>0</v>
      </c>
      <c r="BD1458" s="40">
        <f t="shared" si="635"/>
        <v>0</v>
      </c>
      <c r="BE1458" s="40">
        <f t="shared" si="635"/>
        <v>0</v>
      </c>
      <c r="BF1458" s="40">
        <f t="shared" si="635"/>
        <v>0</v>
      </c>
      <c r="BG1458" s="40">
        <f t="shared" si="635"/>
        <v>0</v>
      </c>
      <c r="BH1458" s="40">
        <f t="shared" si="635"/>
        <v>0</v>
      </c>
      <c r="BI1458" s="40">
        <f t="shared" si="635"/>
        <v>0</v>
      </c>
      <c r="BJ1458" s="40">
        <f t="shared" si="635"/>
        <v>0</v>
      </c>
      <c r="BK1458" s="40">
        <f t="shared" si="635"/>
        <v>0</v>
      </c>
      <c r="BL1458" s="62">
        <f>BL1459</f>
        <v>0</v>
      </c>
      <c r="BM1458" s="275">
        <f>BM1459</f>
        <v>3</v>
      </c>
      <c r="BN1458" s="62">
        <v>0.03</v>
      </c>
      <c r="BO1458" s="33" t="str">
        <f>BO1459</f>
        <v>NMD Betonstraatsteen 210x105x80 mm door en door grijs</v>
      </c>
    </row>
    <row r="1459" spans="1:68">
      <c r="A1459" s="33" t="str">
        <f>Database_Productkaarten[[#This Row],[Product]]&amp;", "&amp;Database_Productkaarten[[#This Row],[Levensfase]]</f>
        <v>Dubbelklinker (rood) 210x210x80, D1</v>
      </c>
      <c r="B1459" s="33" t="s">
        <v>652</v>
      </c>
      <c r="C1459" t="s">
        <v>55</v>
      </c>
      <c r="D1459" s="33" t="s">
        <v>384</v>
      </c>
      <c r="E1459" s="33" t="s">
        <v>385</v>
      </c>
      <c r="F1459" s="33" t="s">
        <v>87</v>
      </c>
      <c r="G1459" s="33">
        <v>1</v>
      </c>
      <c r="H1459" s="33">
        <v>1</v>
      </c>
      <c r="I1459" s="33">
        <v>0.08</v>
      </c>
      <c r="L1459" s="33">
        <v>2.4</v>
      </c>
      <c r="M1459" s="33">
        <v>0.18</v>
      </c>
      <c r="N1459" s="41">
        <v>1.2999999999999999E-3</v>
      </c>
      <c r="O1459" s="33">
        <v>25</v>
      </c>
      <c r="P1459" s="40">
        <v>-4.1010000000000002E-6</v>
      </c>
      <c r="Q1459" s="40">
        <v>-5.1000000000000004E-3</v>
      </c>
      <c r="R1459" s="40">
        <v>-0.73880000000000001</v>
      </c>
      <c r="S1459" s="40">
        <v>-6.6180000000000001E-8</v>
      </c>
      <c r="T1459" s="40">
        <v>-5.3499999999999999E-4</v>
      </c>
      <c r="U1459" s="40">
        <v>-4.1999999999999997E-3</v>
      </c>
      <c r="V1459" s="40">
        <v>-7.3740000000000003E-4</v>
      </c>
      <c r="W1459" s="40">
        <v>-0.3301</v>
      </c>
      <c r="X1459" s="40">
        <v>-4.7000000000000002E-3</v>
      </c>
      <c r="Y1459" s="40">
        <v>-20.643599999999999</v>
      </c>
      <c r="Z1459" s="40">
        <v>-1.6999999999999999E-3</v>
      </c>
      <c r="AA1459" s="40"/>
      <c r="AB1459" s="40"/>
      <c r="AC1459" s="40"/>
      <c r="AD1459" s="40"/>
      <c r="AE1459" s="40"/>
      <c r="AF1459" s="40"/>
      <c r="AG1459" s="40"/>
      <c r="AH1459" s="40"/>
      <c r="AI1459" s="40"/>
      <c r="AJ1459" s="40"/>
      <c r="AK1459" s="40"/>
      <c r="AL1459" s="40"/>
      <c r="AM1459" s="40"/>
      <c r="AN1459" s="40"/>
      <c r="AO1459" s="40"/>
      <c r="AP1459" s="40"/>
      <c r="AQ1459" s="40"/>
      <c r="AR1459" s="40"/>
      <c r="AS1459" s="40"/>
      <c r="AT1459" s="40"/>
      <c r="AU1459" s="40"/>
      <c r="AV1459" s="313">
        <f>AV1492*2</f>
        <v>0</v>
      </c>
      <c r="AW1459" s="317"/>
      <c r="AX1459" s="317"/>
      <c r="AY1459" s="313">
        <f t="shared" si="629"/>
        <v>0</v>
      </c>
      <c r="AZ1459" s="40"/>
      <c r="BA1459" s="40"/>
      <c r="BB1459" s="40"/>
      <c r="BC1459" s="40"/>
      <c r="BD1459" s="40"/>
      <c r="BE1459" s="40"/>
      <c r="BF1459" s="40"/>
      <c r="BG1459" s="40"/>
      <c r="BH1459" s="40"/>
      <c r="BI1459" s="40"/>
      <c r="BJ1459" s="40"/>
      <c r="BK1459" s="40"/>
      <c r="BL1459" s="62">
        <v>0</v>
      </c>
      <c r="BM1459" s="275">
        <v>3</v>
      </c>
      <c r="BN1459" s="62">
        <v>0.03</v>
      </c>
      <c r="BO1459" s="33" t="s">
        <v>655</v>
      </c>
    </row>
    <row r="1460" spans="1:68">
      <c r="A1460" s="33" t="str">
        <f>Database_Productkaarten[[#This Row],[Product]]&amp;", "&amp;Database_Productkaarten[[#This Row],[Levensfase]]</f>
        <v>Dubbelklinker (rood) 210x210x80, D2</v>
      </c>
      <c r="B1460" s="33" t="s">
        <v>652</v>
      </c>
      <c r="C1460" t="s">
        <v>55</v>
      </c>
      <c r="D1460" s="33" t="s">
        <v>384</v>
      </c>
      <c r="E1460" s="33" t="s">
        <v>385</v>
      </c>
      <c r="F1460" s="33" t="s">
        <v>88</v>
      </c>
      <c r="G1460" s="33">
        <v>1</v>
      </c>
      <c r="H1460" s="33">
        <v>1</v>
      </c>
      <c r="I1460" s="33">
        <v>0.08</v>
      </c>
      <c r="L1460" s="33">
        <v>2.4</v>
      </c>
      <c r="M1460" s="33">
        <v>0.18</v>
      </c>
      <c r="N1460" s="41">
        <v>-9.4500000000000001E-2</v>
      </c>
      <c r="O1460" s="33">
        <v>25</v>
      </c>
      <c r="P1460" s="40"/>
      <c r="Q1460" s="40"/>
      <c r="R1460" s="40"/>
      <c r="S1460" s="40"/>
      <c r="T1460" s="40"/>
      <c r="U1460" s="40"/>
      <c r="V1460" s="40"/>
      <c r="W1460" s="40"/>
      <c r="X1460" s="40"/>
      <c r="Y1460" s="40"/>
      <c r="Z1460" s="40"/>
      <c r="AA1460" s="40"/>
      <c r="AB1460" s="40"/>
      <c r="AC1460" s="40"/>
      <c r="AD1460" s="40"/>
      <c r="AE1460" s="40"/>
      <c r="AF1460" s="40"/>
      <c r="AG1460" s="40"/>
      <c r="AH1460" s="40"/>
      <c r="AI1460" s="40"/>
      <c r="AJ1460" s="40"/>
      <c r="AK1460" s="40"/>
      <c r="AL1460" s="40"/>
      <c r="AM1460" s="40"/>
      <c r="AN1460" s="40"/>
      <c r="AO1460" s="40"/>
      <c r="AP1460" s="40"/>
      <c r="AQ1460" s="40"/>
      <c r="AR1460" s="40"/>
      <c r="AS1460" s="40"/>
      <c r="AT1460" s="40"/>
      <c r="AU1460" s="40"/>
      <c r="AV1460" s="313" t="e">
        <f>#REF!*2</f>
        <v>#REF!</v>
      </c>
      <c r="AW1460" s="317"/>
      <c r="AX1460" s="317"/>
      <c r="AY1460" s="313" t="e">
        <f>#REF!*2</f>
        <v>#REF!</v>
      </c>
      <c r="AZ1460" s="40"/>
      <c r="BA1460" s="40"/>
      <c r="BB1460" s="40"/>
      <c r="BC1460" s="40"/>
      <c r="BD1460" s="40"/>
      <c r="BE1460" s="40"/>
      <c r="BF1460" s="40"/>
      <c r="BG1460" s="40"/>
      <c r="BH1460" s="40"/>
      <c r="BI1460" s="40"/>
      <c r="BJ1460" s="40"/>
      <c r="BK1460" s="40"/>
      <c r="BL1460" s="62">
        <v>0</v>
      </c>
      <c r="BM1460" s="275">
        <v>3</v>
      </c>
      <c r="BN1460" s="62">
        <v>0.03</v>
      </c>
      <c r="BO1460" s="33" t="s">
        <v>655</v>
      </c>
    </row>
    <row r="1461" spans="1:68">
      <c r="A1461" s="33" t="str">
        <f>Database_Productkaarten[[#This Row],[Product]]&amp;", "&amp;Database_Productkaarten[[#This Row],[Levensfase]]</f>
        <v>Dubbelklinker (rood) 210x210x80 (hergebruik), Totaal</v>
      </c>
      <c r="B1461" s="33" t="s">
        <v>657</v>
      </c>
      <c r="C1461" t="s">
        <v>55</v>
      </c>
      <c r="D1461" s="33" t="s">
        <v>384</v>
      </c>
      <c r="E1461" s="33" t="s">
        <v>385</v>
      </c>
      <c r="F1461" s="33" t="s">
        <v>90</v>
      </c>
      <c r="G1461" s="33">
        <v>1</v>
      </c>
      <c r="H1461" s="33">
        <v>1</v>
      </c>
      <c r="I1461" s="33">
        <v>0.08</v>
      </c>
      <c r="L1461" s="33">
        <v>2.4</v>
      </c>
      <c r="M1461" s="33">
        <v>0.18</v>
      </c>
      <c r="N1461" s="41">
        <f>SUM(N1465:N1473)</f>
        <v>1.2971775935999998</v>
      </c>
      <c r="O1461" s="33">
        <v>25</v>
      </c>
      <c r="P1461" s="163">
        <f t="shared" ref="P1461:Z1461" si="636">SUM(P1465:P1473)</f>
        <v>8.9497547359999993E-4</v>
      </c>
      <c r="Q1461" s="163">
        <f t="shared" si="636"/>
        <v>7.1325786710000005E-2</v>
      </c>
      <c r="R1461" s="163">
        <f t="shared" si="636"/>
        <v>13.712115416000001</v>
      </c>
      <c r="S1461" s="163">
        <f t="shared" si="636"/>
        <v>1.5841594541790398E-2</v>
      </c>
      <c r="T1461" s="163">
        <f t="shared" si="636"/>
        <v>5.5324533544000012E-3</v>
      </c>
      <c r="U1461" s="163">
        <f t="shared" si="636"/>
        <v>4.4457765839999996E-2</v>
      </c>
      <c r="V1461" s="163">
        <f t="shared" si="636"/>
        <v>1.5344592351999999E-2</v>
      </c>
      <c r="W1461" s="163">
        <f t="shared" si="636"/>
        <v>3.4329176656000002</v>
      </c>
      <c r="X1461" s="163">
        <f t="shared" si="636"/>
        <v>0.1109827628</v>
      </c>
      <c r="Y1461" s="163">
        <f t="shared" si="636"/>
        <v>398.011746802</v>
      </c>
      <c r="Z1461" s="163">
        <f t="shared" si="636"/>
        <v>1.8504035287999997E-2</v>
      </c>
      <c r="AA1461" s="40"/>
      <c r="AB1461" s="40"/>
      <c r="AC1461" s="40"/>
      <c r="AD1461" s="40"/>
      <c r="AE1461" s="40"/>
      <c r="AF1461" s="40"/>
      <c r="AG1461" s="40"/>
      <c r="AH1461" s="40"/>
      <c r="AI1461" s="40"/>
      <c r="AJ1461" s="40"/>
      <c r="AK1461" s="40"/>
      <c r="AL1461" s="40"/>
      <c r="AM1461" s="40"/>
      <c r="AN1461" s="40"/>
      <c r="AO1461" s="40"/>
      <c r="AP1461" s="40"/>
      <c r="AQ1461" s="40"/>
      <c r="AR1461" s="40"/>
      <c r="AS1461" s="40"/>
      <c r="AT1461" s="40"/>
      <c r="AU1461" s="40"/>
      <c r="AV1461" s="163" t="e">
        <f>SUM(AV1465:AV1473)</f>
        <v>#REF!</v>
      </c>
      <c r="AW1461" s="40"/>
      <c r="AX1461" s="40"/>
      <c r="AY1461" s="163">
        <f>SUM(AY1465:AY1473)</f>
        <v>78.83193412</v>
      </c>
      <c r="AZ1461" s="40"/>
      <c r="BA1461" s="40"/>
      <c r="BB1461" s="40"/>
      <c r="BC1461" s="163">
        <f t="shared" ref="BC1461:BE1461" si="637">SUM(BC1465:BC1473)</f>
        <v>0</v>
      </c>
      <c r="BD1461" s="163">
        <f t="shared" si="637"/>
        <v>0</v>
      </c>
      <c r="BE1461" s="163">
        <f t="shared" si="637"/>
        <v>0</v>
      </c>
      <c r="BF1461" s="40"/>
      <c r="BG1461" s="40"/>
      <c r="BH1461" s="40"/>
      <c r="BI1461" s="40"/>
      <c r="BJ1461" s="40"/>
      <c r="BK1461" s="40"/>
      <c r="BL1461" s="62">
        <v>1</v>
      </c>
      <c r="BM1461" s="275">
        <v>3</v>
      </c>
      <c r="BN1461" s="62">
        <v>0.03</v>
      </c>
      <c r="BP1461" s="33" t="s">
        <v>602</v>
      </c>
    </row>
    <row r="1462" spans="1:68">
      <c r="A1462" s="33" t="str">
        <f>Database_Productkaarten[[#This Row],[Product]]&amp;", "&amp;Database_Productkaarten[[#This Row],[Levensfase]]</f>
        <v>Dubbelklinker (rood) 210x210x80 (hergebruik), A1</v>
      </c>
      <c r="B1462" s="33" t="s">
        <v>657</v>
      </c>
      <c r="C1462" t="s">
        <v>55</v>
      </c>
      <c r="D1462" s="33" t="s">
        <v>384</v>
      </c>
      <c r="E1462" s="33" t="s">
        <v>385</v>
      </c>
      <c r="F1462" s="33" t="s">
        <v>74</v>
      </c>
      <c r="G1462" s="33">
        <v>1</v>
      </c>
      <c r="H1462" s="33">
        <v>1</v>
      </c>
      <c r="I1462" s="33">
        <v>0.08</v>
      </c>
      <c r="L1462" s="33">
        <v>2.4</v>
      </c>
      <c r="M1462" s="33">
        <v>0.18</v>
      </c>
      <c r="N1462" s="41">
        <v>0</v>
      </c>
      <c r="O1462" s="33">
        <v>25</v>
      </c>
      <c r="P1462" s="163">
        <v>0</v>
      </c>
      <c r="Q1462" s="163">
        <v>0</v>
      </c>
      <c r="R1462" s="163">
        <v>0</v>
      </c>
      <c r="S1462" s="163">
        <v>0</v>
      </c>
      <c r="T1462" s="163">
        <v>0</v>
      </c>
      <c r="U1462" s="163">
        <v>0</v>
      </c>
      <c r="V1462" s="163">
        <v>0</v>
      </c>
      <c r="W1462" s="163">
        <v>0</v>
      </c>
      <c r="X1462" s="163">
        <v>0</v>
      </c>
      <c r="Y1462" s="163">
        <v>0</v>
      </c>
      <c r="Z1462" s="163">
        <v>0</v>
      </c>
      <c r="AA1462" s="40"/>
      <c r="AB1462" s="40"/>
      <c r="AC1462" s="40"/>
      <c r="AD1462" s="40"/>
      <c r="AE1462" s="40"/>
      <c r="AF1462" s="40"/>
      <c r="AG1462" s="40"/>
      <c r="AH1462" s="40"/>
      <c r="AI1462" s="40"/>
      <c r="AJ1462" s="40"/>
      <c r="AK1462" s="40"/>
      <c r="AL1462" s="40"/>
      <c r="AM1462" s="40"/>
      <c r="AN1462" s="40"/>
      <c r="AO1462" s="40"/>
      <c r="AP1462" s="40"/>
      <c r="AQ1462" s="40"/>
      <c r="AR1462" s="40"/>
      <c r="AS1462" s="40"/>
      <c r="AT1462" s="40"/>
      <c r="AU1462" s="40"/>
      <c r="AV1462" s="163">
        <v>0</v>
      </c>
      <c r="AW1462" s="40"/>
      <c r="AX1462" s="40"/>
      <c r="AY1462" s="163">
        <v>0</v>
      </c>
      <c r="AZ1462" s="40"/>
      <c r="BA1462" s="40"/>
      <c r="BB1462" s="40"/>
      <c r="BC1462" s="163">
        <v>0</v>
      </c>
      <c r="BD1462" s="163">
        <v>0</v>
      </c>
      <c r="BE1462" s="163">
        <v>0</v>
      </c>
      <c r="BF1462" s="40"/>
      <c r="BG1462" s="40"/>
      <c r="BH1462" s="40"/>
      <c r="BI1462" s="40"/>
      <c r="BJ1462" s="40"/>
      <c r="BK1462" s="40"/>
      <c r="BL1462" s="62">
        <v>1</v>
      </c>
      <c r="BM1462" s="275">
        <v>3</v>
      </c>
      <c r="BN1462" s="62">
        <v>0.03</v>
      </c>
      <c r="BP1462" s="33" t="s">
        <v>602</v>
      </c>
    </row>
    <row r="1463" spans="1:68">
      <c r="A1463" s="33" t="str">
        <f>Database_Productkaarten[[#This Row],[Product]]&amp;", "&amp;Database_Productkaarten[[#This Row],[Levensfase]]</f>
        <v>Dubbelklinker (rood) 210x210x80 (hergebruik), A2</v>
      </c>
      <c r="B1463" s="33" t="s">
        <v>657</v>
      </c>
      <c r="C1463" t="s">
        <v>55</v>
      </c>
      <c r="D1463" s="33" t="s">
        <v>384</v>
      </c>
      <c r="E1463" s="33" t="s">
        <v>385</v>
      </c>
      <c r="F1463" s="33" t="s">
        <v>75</v>
      </c>
      <c r="G1463" s="33">
        <v>1</v>
      </c>
      <c r="H1463" s="33">
        <v>1</v>
      </c>
      <c r="I1463" s="33">
        <v>0.08</v>
      </c>
      <c r="L1463" s="33">
        <v>2.4</v>
      </c>
      <c r="M1463" s="33">
        <v>0.18</v>
      </c>
      <c r="N1463" s="41">
        <v>0</v>
      </c>
      <c r="O1463" s="33">
        <v>25</v>
      </c>
      <c r="P1463" s="163">
        <v>0</v>
      </c>
      <c r="Q1463" s="163">
        <v>0</v>
      </c>
      <c r="R1463" s="163">
        <v>0</v>
      </c>
      <c r="S1463" s="163">
        <v>0</v>
      </c>
      <c r="T1463" s="163">
        <v>0</v>
      </c>
      <c r="U1463" s="163">
        <v>0</v>
      </c>
      <c r="V1463" s="163">
        <v>0</v>
      </c>
      <c r="W1463" s="163">
        <v>0</v>
      </c>
      <c r="X1463" s="163">
        <v>0</v>
      </c>
      <c r="Y1463" s="163">
        <v>0</v>
      </c>
      <c r="Z1463" s="163">
        <v>0</v>
      </c>
      <c r="AA1463" s="40"/>
      <c r="AB1463" s="40"/>
      <c r="AC1463" s="40"/>
      <c r="AD1463" s="40"/>
      <c r="AE1463" s="40"/>
      <c r="AF1463" s="40"/>
      <c r="AG1463" s="40"/>
      <c r="AH1463" s="40"/>
      <c r="AI1463" s="40"/>
      <c r="AJ1463" s="40"/>
      <c r="AK1463" s="40"/>
      <c r="AL1463" s="40"/>
      <c r="AM1463" s="40"/>
      <c r="AN1463" s="40"/>
      <c r="AO1463" s="40"/>
      <c r="AP1463" s="40"/>
      <c r="AQ1463" s="40"/>
      <c r="AR1463" s="40"/>
      <c r="AS1463" s="40"/>
      <c r="AT1463" s="40"/>
      <c r="AU1463" s="40"/>
      <c r="AV1463" s="163">
        <v>0</v>
      </c>
      <c r="AW1463" s="40"/>
      <c r="AX1463" s="40"/>
      <c r="AY1463" s="163">
        <v>0</v>
      </c>
      <c r="AZ1463" s="40"/>
      <c r="BA1463" s="40"/>
      <c r="BB1463" s="40"/>
      <c r="BC1463" s="163">
        <v>0</v>
      </c>
      <c r="BD1463" s="163">
        <v>0</v>
      </c>
      <c r="BE1463" s="163">
        <v>0</v>
      </c>
      <c r="BF1463" s="40"/>
      <c r="BG1463" s="40"/>
      <c r="BH1463" s="40"/>
      <c r="BI1463" s="40"/>
      <c r="BJ1463" s="40"/>
      <c r="BK1463" s="40"/>
      <c r="BL1463" s="62">
        <v>1</v>
      </c>
      <c r="BM1463" s="275">
        <v>3</v>
      </c>
      <c r="BN1463" s="62">
        <v>0.03</v>
      </c>
      <c r="BP1463" s="33" t="s">
        <v>602</v>
      </c>
    </row>
    <row r="1464" spans="1:68">
      <c r="A1464" s="33" t="str">
        <f>Database_Productkaarten[[#This Row],[Product]]&amp;", "&amp;Database_Productkaarten[[#This Row],[Levensfase]]</f>
        <v>Dubbelklinker (rood) 210x210x80 (hergebruik), A3</v>
      </c>
      <c r="B1464" s="33" t="s">
        <v>657</v>
      </c>
      <c r="C1464" t="s">
        <v>55</v>
      </c>
      <c r="D1464" s="33" t="s">
        <v>384</v>
      </c>
      <c r="E1464" s="33" t="s">
        <v>385</v>
      </c>
      <c r="F1464" s="33" t="s">
        <v>76</v>
      </c>
      <c r="G1464" s="33">
        <v>1</v>
      </c>
      <c r="H1464" s="33">
        <v>1</v>
      </c>
      <c r="I1464" s="33">
        <v>0.08</v>
      </c>
      <c r="L1464" s="33">
        <v>2.4</v>
      </c>
      <c r="M1464" s="33">
        <v>0.18</v>
      </c>
      <c r="N1464" s="41">
        <v>0</v>
      </c>
      <c r="O1464" s="33">
        <v>25</v>
      </c>
      <c r="P1464" s="163">
        <v>0</v>
      </c>
      <c r="Q1464" s="163">
        <v>0</v>
      </c>
      <c r="R1464" s="163">
        <v>0</v>
      </c>
      <c r="S1464" s="163">
        <v>0</v>
      </c>
      <c r="T1464" s="163">
        <v>0</v>
      </c>
      <c r="U1464" s="163">
        <v>0</v>
      </c>
      <c r="V1464" s="163">
        <v>0</v>
      </c>
      <c r="W1464" s="163">
        <v>0</v>
      </c>
      <c r="X1464" s="163">
        <v>0</v>
      </c>
      <c r="Y1464" s="163">
        <v>0</v>
      </c>
      <c r="Z1464" s="163">
        <v>0</v>
      </c>
      <c r="AA1464" s="40"/>
      <c r="AB1464" s="40"/>
      <c r="AC1464" s="40"/>
      <c r="AD1464" s="40"/>
      <c r="AE1464" s="40"/>
      <c r="AF1464" s="40"/>
      <c r="AG1464" s="40"/>
      <c r="AH1464" s="40"/>
      <c r="AI1464" s="40"/>
      <c r="AJ1464" s="40"/>
      <c r="AK1464" s="40"/>
      <c r="AL1464" s="40"/>
      <c r="AM1464" s="40"/>
      <c r="AN1464" s="40"/>
      <c r="AO1464" s="40"/>
      <c r="AP1464" s="40"/>
      <c r="AQ1464" s="40"/>
      <c r="AR1464" s="40"/>
      <c r="AS1464" s="40"/>
      <c r="AT1464" s="40"/>
      <c r="AU1464" s="40"/>
      <c r="AV1464" s="163">
        <v>0</v>
      </c>
      <c r="AW1464" s="40"/>
      <c r="AX1464" s="40"/>
      <c r="AY1464" s="163">
        <v>0</v>
      </c>
      <c r="AZ1464" s="40"/>
      <c r="BA1464" s="40"/>
      <c r="BB1464" s="40"/>
      <c r="BC1464" s="163">
        <v>0</v>
      </c>
      <c r="BD1464" s="163">
        <v>0</v>
      </c>
      <c r="BE1464" s="163">
        <v>0</v>
      </c>
      <c r="BF1464" s="40"/>
      <c r="BG1464" s="40"/>
      <c r="BH1464" s="40"/>
      <c r="BI1464" s="40"/>
      <c r="BJ1464" s="40"/>
      <c r="BK1464" s="40"/>
      <c r="BL1464" s="62">
        <v>1</v>
      </c>
      <c r="BM1464" s="275">
        <v>3</v>
      </c>
      <c r="BN1464" s="62">
        <v>0.03</v>
      </c>
      <c r="BP1464" s="33" t="s">
        <v>602</v>
      </c>
    </row>
    <row r="1465" spans="1:68">
      <c r="A1465" s="33" t="str">
        <f>Database_Productkaarten[[#This Row],[Product]]&amp;", "&amp;Database_Productkaarten[[#This Row],[Levensfase]]</f>
        <v>Dubbelklinker (rood) 210x210x80 (hergebruik), A1-A3</v>
      </c>
      <c r="B1465" s="33" t="s">
        <v>657</v>
      </c>
      <c r="C1465" s="451" t="str">
        <f>C1464</f>
        <v>Elementenverhardingen</v>
      </c>
      <c r="D1465" s="451" t="str">
        <f>D1464</f>
        <v>Betonstraatsteen</v>
      </c>
      <c r="E1465" s="451" t="str">
        <f>E1464</f>
        <v>m2</v>
      </c>
      <c r="F1465" s="451" t="s">
        <v>77</v>
      </c>
      <c r="G1465" s="451">
        <f t="shared" ref="G1465:I1465" si="638">G1464</f>
        <v>1</v>
      </c>
      <c r="H1465" s="451">
        <f t="shared" si="638"/>
        <v>1</v>
      </c>
      <c r="I1465" s="451">
        <f t="shared" si="638"/>
        <v>0.08</v>
      </c>
      <c r="L1465" s="33">
        <v>2.4</v>
      </c>
      <c r="M1465" s="33">
        <v>0.18</v>
      </c>
      <c r="N1465" s="41">
        <v>0</v>
      </c>
      <c r="O1465" s="33">
        <v>25</v>
      </c>
      <c r="P1465" s="163">
        <v>0</v>
      </c>
      <c r="Q1465" s="163">
        <v>0</v>
      </c>
      <c r="R1465" s="163">
        <v>0</v>
      </c>
      <c r="S1465" s="163">
        <v>0</v>
      </c>
      <c r="T1465" s="163">
        <v>0</v>
      </c>
      <c r="U1465" s="163">
        <v>0</v>
      </c>
      <c r="V1465" s="163">
        <v>0</v>
      </c>
      <c r="W1465" s="163">
        <v>0</v>
      </c>
      <c r="X1465" s="163">
        <v>0</v>
      </c>
      <c r="Y1465" s="163">
        <v>0</v>
      </c>
      <c r="Z1465" s="163">
        <v>0</v>
      </c>
      <c r="AA1465" s="40"/>
      <c r="AB1465" s="40"/>
      <c r="AC1465" s="40"/>
      <c r="AD1465" s="40"/>
      <c r="AE1465" s="40"/>
      <c r="AF1465" s="40"/>
      <c r="AG1465" s="40"/>
      <c r="AH1465" s="40"/>
      <c r="AI1465" s="40"/>
      <c r="AJ1465" s="40"/>
      <c r="AK1465" s="40"/>
      <c r="AL1465" s="40"/>
      <c r="AM1465" s="40"/>
      <c r="AN1465" s="40"/>
      <c r="AO1465" s="40"/>
      <c r="AP1465" s="40"/>
      <c r="AQ1465" s="40"/>
      <c r="AR1465" s="40"/>
      <c r="AS1465" s="40"/>
      <c r="AT1465" s="40"/>
      <c r="AU1465" s="40"/>
      <c r="AV1465" s="163">
        <v>0</v>
      </c>
      <c r="AW1465" s="40"/>
      <c r="AX1465" s="40"/>
      <c r="AY1465" s="163">
        <v>0</v>
      </c>
      <c r="AZ1465" s="40"/>
      <c r="BA1465" s="40"/>
      <c r="BB1465" s="40"/>
      <c r="BC1465" s="163">
        <v>0</v>
      </c>
      <c r="BD1465" s="163">
        <v>0</v>
      </c>
      <c r="BE1465" s="163">
        <v>0</v>
      </c>
      <c r="BF1465" s="40"/>
      <c r="BG1465" s="40"/>
      <c r="BH1465" s="40"/>
      <c r="BI1465" s="40"/>
      <c r="BJ1465" s="40"/>
      <c r="BK1465" s="40"/>
      <c r="BL1465" s="62">
        <v>1</v>
      </c>
      <c r="BM1465" s="275">
        <v>3</v>
      </c>
      <c r="BN1465" s="62">
        <v>0.03</v>
      </c>
      <c r="BP1465" s="33" t="s">
        <v>602</v>
      </c>
    </row>
    <row r="1466" spans="1:68">
      <c r="A1466" s="33" t="str">
        <f>Database_Productkaarten[[#This Row],[Product]]&amp;", "&amp;Database_Productkaarten[[#This Row],[Levensfase]]</f>
        <v>Dubbelklinker (rood) 210x210x80 (hergebruik), A4</v>
      </c>
      <c r="B1466" s="33" t="s">
        <v>657</v>
      </c>
      <c r="C1466" t="s">
        <v>55</v>
      </c>
      <c r="D1466" s="33" t="s">
        <v>384</v>
      </c>
      <c r="E1466" s="33" t="s">
        <v>385</v>
      </c>
      <c r="F1466" s="33" t="s">
        <v>78</v>
      </c>
      <c r="G1466" s="33">
        <v>1</v>
      </c>
      <c r="H1466" s="33">
        <v>1</v>
      </c>
      <c r="I1466" s="33">
        <v>0.08</v>
      </c>
      <c r="L1466" s="33">
        <v>2.4</v>
      </c>
      <c r="M1466" s="33">
        <v>0.18</v>
      </c>
      <c r="N1466" s="41">
        <f>N1450</f>
        <v>0.41909999999999997</v>
      </c>
      <c r="O1466" s="33">
        <v>25</v>
      </c>
      <c r="P1466" s="163">
        <f>P1450</f>
        <v>1.0020000000000001E-5</v>
      </c>
      <c r="Q1466" s="163">
        <f t="shared" ref="Q1466:Z1466" si="639">Q1450</f>
        <v>2.63E-2</v>
      </c>
      <c r="R1466" s="163">
        <f t="shared" si="639"/>
        <v>3.5177999999999998</v>
      </c>
      <c r="S1466" s="163">
        <f t="shared" si="639"/>
        <v>6.5730000000000004E-7</v>
      </c>
      <c r="T1466" s="163">
        <f t="shared" si="639"/>
        <v>2.0999999999999999E-3</v>
      </c>
      <c r="U1466" s="163">
        <f t="shared" si="639"/>
        <v>1.52E-2</v>
      </c>
      <c r="V1466" s="163">
        <f t="shared" si="639"/>
        <v>3.0999999999999999E-3</v>
      </c>
      <c r="W1466" s="163">
        <f t="shared" si="639"/>
        <v>1.4413</v>
      </c>
      <c r="X1466" s="163">
        <f t="shared" si="639"/>
        <v>4.19E-2</v>
      </c>
      <c r="Y1466" s="163">
        <f t="shared" si="639"/>
        <v>149.24760000000001</v>
      </c>
      <c r="Z1466" s="163">
        <f t="shared" si="639"/>
        <v>5.0000000000000001E-3</v>
      </c>
      <c r="AA1466" s="40"/>
      <c r="AB1466" s="40"/>
      <c r="AC1466" s="40"/>
      <c r="AD1466" s="40"/>
      <c r="AE1466" s="40"/>
      <c r="AF1466" s="40"/>
      <c r="AG1466" s="40"/>
      <c r="AH1466" s="40"/>
      <c r="AI1466" s="40"/>
      <c r="AJ1466" s="40"/>
      <c r="AK1466" s="40"/>
      <c r="AL1466" s="40"/>
      <c r="AM1466" s="40"/>
      <c r="AN1466" s="40"/>
      <c r="AO1466" s="40"/>
      <c r="AP1466" s="40"/>
      <c r="AQ1466" s="40"/>
      <c r="AR1466" s="40"/>
      <c r="AS1466" s="40"/>
      <c r="AT1466" s="40"/>
      <c r="AU1466" s="40"/>
      <c r="AV1466" s="163">
        <f>AV1450</f>
        <v>0</v>
      </c>
      <c r="AW1466" s="40"/>
      <c r="AX1466" s="40"/>
      <c r="AY1466" s="163">
        <f>AY1450</f>
        <v>32.294545999999997</v>
      </c>
      <c r="AZ1466" s="40"/>
      <c r="BA1466" s="40"/>
      <c r="BB1466" s="40"/>
      <c r="BC1466" s="163">
        <f>BC1450</f>
        <v>0</v>
      </c>
      <c r="BD1466" s="163">
        <f>BD1450</f>
        <v>0</v>
      </c>
      <c r="BE1466" s="163">
        <f>BE1450</f>
        <v>0</v>
      </c>
      <c r="BF1466" s="40"/>
      <c r="BG1466" s="40"/>
      <c r="BH1466" s="40"/>
      <c r="BI1466" s="40"/>
      <c r="BJ1466" s="40"/>
      <c r="BK1466" s="40"/>
      <c r="BL1466" s="62">
        <v>1</v>
      </c>
      <c r="BM1466" s="275">
        <v>3</v>
      </c>
      <c r="BN1466" s="62">
        <v>0.03</v>
      </c>
      <c r="BP1466" s="33" t="s">
        <v>602</v>
      </c>
    </row>
    <row r="1467" spans="1:68">
      <c r="A1467" s="33" t="str">
        <f>Database_Productkaarten[[#This Row],[Product]]&amp;", "&amp;Database_Productkaarten[[#This Row],[Levensfase]]</f>
        <v>Dubbelklinker (rood) 210x210x80 (hergebruik), A5</v>
      </c>
      <c r="B1467" s="33" t="s">
        <v>657</v>
      </c>
      <c r="C1467" t="s">
        <v>55</v>
      </c>
      <c r="D1467" s="33" t="s">
        <v>384</v>
      </c>
      <c r="E1467" s="33" t="s">
        <v>385</v>
      </c>
      <c r="F1467" s="33" t="s">
        <v>79</v>
      </c>
      <c r="G1467" s="33">
        <v>1</v>
      </c>
      <c r="H1467" s="33">
        <v>1</v>
      </c>
      <c r="I1467" s="33">
        <v>0.08</v>
      </c>
      <c r="L1467" s="33">
        <v>2.4</v>
      </c>
      <c r="M1467" s="33">
        <v>0.18</v>
      </c>
      <c r="N1467" s="41">
        <f t="shared" ref="N1467:N1473" si="640">N1451</f>
        <v>6.2799999999999995E-2</v>
      </c>
      <c r="O1467" s="33">
        <v>25</v>
      </c>
      <c r="P1467" s="163">
        <f t="shared" ref="P1467:Z1467" si="641">P1451</f>
        <v>8.5719999999999999E-5</v>
      </c>
      <c r="Q1467" s="163">
        <f t="shared" si="641"/>
        <v>2.7000000000000001E-3</v>
      </c>
      <c r="R1467" s="163">
        <f t="shared" si="641"/>
        <v>0.77900000000000003</v>
      </c>
      <c r="S1467" s="163">
        <f t="shared" si="641"/>
        <v>7.1400000000000004E-8</v>
      </c>
      <c r="T1467" s="163">
        <f t="shared" si="641"/>
        <v>2.185E-4</v>
      </c>
      <c r="U1467" s="163">
        <f t="shared" si="641"/>
        <v>1.9E-3</v>
      </c>
      <c r="V1467" s="163">
        <f t="shared" si="641"/>
        <v>4.5800000000000002E-4</v>
      </c>
      <c r="W1467" s="163">
        <f t="shared" si="641"/>
        <v>0.1045</v>
      </c>
      <c r="X1467" s="163">
        <f t="shared" si="641"/>
        <v>2.8E-3</v>
      </c>
      <c r="Y1467" s="163">
        <f t="shared" si="641"/>
        <v>14.5816</v>
      </c>
      <c r="Z1467" s="163">
        <f t="shared" si="641"/>
        <v>8.8590000000000001E-4</v>
      </c>
      <c r="AA1467" s="40"/>
      <c r="AB1467" s="40"/>
      <c r="AC1467" s="40"/>
      <c r="AD1467" s="40"/>
      <c r="AE1467" s="40"/>
      <c r="AF1467" s="40"/>
      <c r="AG1467" s="40"/>
      <c r="AH1467" s="40"/>
      <c r="AI1467" s="40"/>
      <c r="AJ1467" s="40"/>
      <c r="AK1467" s="40"/>
      <c r="AL1467" s="40"/>
      <c r="AM1467" s="40"/>
      <c r="AN1467" s="40"/>
      <c r="AO1467" s="40"/>
      <c r="AP1467" s="40"/>
      <c r="AQ1467" s="40"/>
      <c r="AR1467" s="40"/>
      <c r="AS1467" s="40"/>
      <c r="AT1467" s="40"/>
      <c r="AU1467" s="40"/>
      <c r="AV1467" s="163">
        <f t="shared" ref="AV1467" si="642">AV1451</f>
        <v>9.8884345999999998E-2</v>
      </c>
      <c r="AW1467" s="40"/>
      <c r="AX1467" s="40"/>
      <c r="AY1467" s="163">
        <f t="shared" ref="AY1467" si="643">AY1451</f>
        <v>0</v>
      </c>
      <c r="AZ1467" s="40"/>
      <c r="BA1467" s="40"/>
      <c r="BB1467" s="40"/>
      <c r="BC1467" s="163">
        <f t="shared" ref="BC1467:BE1467" si="644">BC1451</f>
        <v>0</v>
      </c>
      <c r="BD1467" s="163">
        <f t="shared" si="644"/>
        <v>0</v>
      </c>
      <c r="BE1467" s="163">
        <f t="shared" si="644"/>
        <v>0</v>
      </c>
      <c r="BF1467" s="40"/>
      <c r="BG1467" s="40"/>
      <c r="BH1467" s="40"/>
      <c r="BI1467" s="40"/>
      <c r="BJ1467" s="40"/>
      <c r="BK1467" s="40"/>
      <c r="BL1467" s="62">
        <v>1</v>
      </c>
      <c r="BM1467" s="275">
        <v>3</v>
      </c>
      <c r="BN1467" s="62">
        <v>0.03</v>
      </c>
      <c r="BP1467" s="33" t="s">
        <v>602</v>
      </c>
    </row>
    <row r="1468" spans="1:68">
      <c r="A1468" s="33" t="str">
        <f>Database_Productkaarten[[#This Row],[Product]]&amp;", "&amp;Database_Productkaarten[[#This Row],[Levensfase]]</f>
        <v>Dubbelklinker (rood) 210x210x80 (hergebruik), B1</v>
      </c>
      <c r="B1468" s="33" t="s">
        <v>657</v>
      </c>
      <c r="C1468" t="s">
        <v>55</v>
      </c>
      <c r="D1468" s="33" t="s">
        <v>384</v>
      </c>
      <c r="E1468" s="33" t="s">
        <v>385</v>
      </c>
      <c r="F1468" s="33" t="s">
        <v>80</v>
      </c>
      <c r="G1468" s="33">
        <v>1</v>
      </c>
      <c r="H1468" s="33">
        <v>1</v>
      </c>
      <c r="I1468" s="33">
        <v>0.08</v>
      </c>
      <c r="L1468" s="33">
        <v>2.4</v>
      </c>
      <c r="M1468" s="33">
        <v>0.18</v>
      </c>
      <c r="N1468" s="41">
        <f t="shared" si="640"/>
        <v>0</v>
      </c>
      <c r="O1468" s="33">
        <v>25</v>
      </c>
      <c r="P1468" s="163">
        <f t="shared" ref="P1468:Z1468" si="645">P1452</f>
        <v>0</v>
      </c>
      <c r="Q1468" s="163">
        <f t="shared" si="645"/>
        <v>0</v>
      </c>
      <c r="R1468" s="163">
        <f t="shared" si="645"/>
        <v>0</v>
      </c>
      <c r="S1468" s="163">
        <f t="shared" si="645"/>
        <v>0</v>
      </c>
      <c r="T1468" s="163">
        <f t="shared" si="645"/>
        <v>0</v>
      </c>
      <c r="U1468" s="163">
        <f t="shared" si="645"/>
        <v>0</v>
      </c>
      <c r="V1468" s="163">
        <f t="shared" si="645"/>
        <v>0</v>
      </c>
      <c r="W1468" s="163">
        <f t="shared" si="645"/>
        <v>0</v>
      </c>
      <c r="X1468" s="163">
        <f t="shared" si="645"/>
        <v>0</v>
      </c>
      <c r="Y1468" s="163">
        <f t="shared" si="645"/>
        <v>0</v>
      </c>
      <c r="Z1468" s="163">
        <f t="shared" si="645"/>
        <v>0</v>
      </c>
      <c r="AA1468" s="40"/>
      <c r="AB1468" s="40"/>
      <c r="AC1468" s="40"/>
      <c r="AD1468" s="40"/>
      <c r="AE1468" s="40"/>
      <c r="AF1468" s="40"/>
      <c r="AG1468" s="40"/>
      <c r="AH1468" s="40"/>
      <c r="AI1468" s="40"/>
      <c r="AJ1468" s="40"/>
      <c r="AK1468" s="40"/>
      <c r="AL1468" s="40"/>
      <c r="AM1468" s="40"/>
      <c r="AN1468" s="40"/>
      <c r="AO1468" s="40"/>
      <c r="AP1468" s="40"/>
      <c r="AQ1468" s="40"/>
      <c r="AR1468" s="40"/>
      <c r="AS1468" s="40"/>
      <c r="AT1468" s="40"/>
      <c r="AU1468" s="40"/>
      <c r="AV1468" s="163">
        <f t="shared" ref="AV1468" si="646">AV1452</f>
        <v>0.50305392000000004</v>
      </c>
      <c r="AW1468" s="40"/>
      <c r="AX1468" s="40"/>
      <c r="AY1468" s="163">
        <f t="shared" ref="AY1468" si="647">AY1452</f>
        <v>0</v>
      </c>
      <c r="AZ1468" s="40"/>
      <c r="BA1468" s="40"/>
      <c r="BB1468" s="40"/>
      <c r="BC1468" s="163">
        <f t="shared" ref="BC1468:BE1468" si="648">BC1452</f>
        <v>0</v>
      </c>
      <c r="BD1468" s="163">
        <f t="shared" si="648"/>
        <v>0</v>
      </c>
      <c r="BE1468" s="163">
        <f t="shared" si="648"/>
        <v>0</v>
      </c>
      <c r="BF1468" s="40"/>
      <c r="BG1468" s="40"/>
      <c r="BH1468" s="40"/>
      <c r="BI1468" s="40"/>
      <c r="BJ1468" s="40"/>
      <c r="BK1468" s="40"/>
      <c r="BL1468" s="62">
        <v>1</v>
      </c>
      <c r="BM1468" s="275">
        <v>3</v>
      </c>
      <c r="BN1468" s="62">
        <v>0.03</v>
      </c>
      <c r="BP1468" s="33" t="s">
        <v>602</v>
      </c>
    </row>
    <row r="1469" spans="1:68">
      <c r="A1469" s="33" t="str">
        <f>Database_Productkaarten[[#This Row],[Product]]&amp;", "&amp;Database_Productkaarten[[#This Row],[Levensfase]]</f>
        <v>Dubbelklinker (rood) 210x210x80 (hergebruik), B3</v>
      </c>
      <c r="B1469" s="33" t="s">
        <v>657</v>
      </c>
      <c r="C1469" t="s">
        <v>55</v>
      </c>
      <c r="D1469" s="33" t="s">
        <v>384</v>
      </c>
      <c r="E1469" s="33" t="s">
        <v>385</v>
      </c>
      <c r="F1469" s="33" t="s">
        <v>81</v>
      </c>
      <c r="G1469" s="33">
        <v>1</v>
      </c>
      <c r="H1469" s="33">
        <v>1</v>
      </c>
      <c r="I1469" s="33">
        <v>0.08</v>
      </c>
      <c r="L1469" s="33">
        <v>2.4</v>
      </c>
      <c r="M1469" s="33">
        <v>0.18</v>
      </c>
      <c r="N1469" s="41">
        <f t="shared" si="640"/>
        <v>0.56027759359999996</v>
      </c>
      <c r="O1469" s="33">
        <v>25</v>
      </c>
      <c r="P1469" s="163">
        <f t="shared" ref="P1469:Z1469" si="649">P1453</f>
        <v>7.101234576E-4</v>
      </c>
      <c r="Q1469" s="163">
        <f t="shared" si="649"/>
        <v>3.058705741E-2</v>
      </c>
      <c r="R1469" s="163">
        <f t="shared" si="649"/>
        <v>7.4421854160000009</v>
      </c>
      <c r="S1469" s="163">
        <f t="shared" si="649"/>
        <v>1.4405697297904003E-3</v>
      </c>
      <c r="T1469" s="163">
        <f t="shared" si="649"/>
        <v>2.2812203544000003E-3</v>
      </c>
      <c r="U1469" s="163">
        <f t="shared" si="649"/>
        <v>1.9956985840000004E-2</v>
      </c>
      <c r="V1469" s="163">
        <f t="shared" si="649"/>
        <v>4.6150723519999999E-3</v>
      </c>
      <c r="W1469" s="163">
        <f t="shared" si="649"/>
        <v>1.2904176656000002</v>
      </c>
      <c r="X1469" s="163">
        <f t="shared" si="649"/>
        <v>4.3382902799999998E-2</v>
      </c>
      <c r="Y1469" s="163">
        <f t="shared" si="649"/>
        <v>169.00411298200001</v>
      </c>
      <c r="Z1469" s="163">
        <f t="shared" si="649"/>
        <v>9.6051452880000013E-3</v>
      </c>
      <c r="AA1469" s="40"/>
      <c r="AB1469" s="40"/>
      <c r="AC1469" s="40"/>
      <c r="AD1469" s="40"/>
      <c r="AE1469" s="40"/>
      <c r="AF1469" s="40"/>
      <c r="AG1469" s="40"/>
      <c r="AH1469" s="40"/>
      <c r="AI1469" s="40"/>
      <c r="AJ1469" s="40"/>
      <c r="AK1469" s="40"/>
      <c r="AL1469" s="40"/>
      <c r="AM1469" s="40"/>
      <c r="AN1469" s="40"/>
      <c r="AO1469" s="40"/>
      <c r="AP1469" s="40"/>
      <c r="AQ1469" s="40"/>
      <c r="AR1469" s="40"/>
      <c r="AS1469" s="40"/>
      <c r="AT1469" s="40"/>
      <c r="AU1469" s="40"/>
      <c r="AV1469" s="163">
        <f t="shared" ref="AV1469" si="650">AV1453</f>
        <v>0.46030243999999998</v>
      </c>
      <c r="AW1469" s="40"/>
      <c r="AX1469" s="40"/>
      <c r="AY1469" s="163">
        <f t="shared" ref="AY1469" si="651">AY1453</f>
        <v>18.417027000000001</v>
      </c>
      <c r="AZ1469" s="40"/>
      <c r="BA1469" s="40"/>
      <c r="BB1469" s="40"/>
      <c r="BC1469" s="163">
        <f t="shared" ref="BC1469:BE1469" si="652">BC1453</f>
        <v>0</v>
      </c>
      <c r="BD1469" s="163">
        <f t="shared" si="652"/>
        <v>0</v>
      </c>
      <c r="BE1469" s="163">
        <f t="shared" si="652"/>
        <v>0</v>
      </c>
      <c r="BF1469" s="40"/>
      <c r="BG1469" s="40"/>
      <c r="BH1469" s="40"/>
      <c r="BI1469" s="40"/>
      <c r="BJ1469" s="40"/>
      <c r="BK1469" s="40"/>
      <c r="BL1469" s="62">
        <v>1</v>
      </c>
      <c r="BM1469" s="275">
        <v>3</v>
      </c>
      <c r="BN1469" s="62">
        <v>0.03</v>
      </c>
      <c r="BP1469" s="33" t="s">
        <v>602</v>
      </c>
    </row>
    <row r="1470" spans="1:68">
      <c r="A1470" s="33" t="str">
        <f>Database_Productkaarten[[#This Row],[Product]]&amp;", "&amp;Database_Productkaarten[[#This Row],[Levensfase]]</f>
        <v>Dubbelklinker (rood) 210x210x80 (hergebruik), C1</v>
      </c>
      <c r="B1470" s="33" t="s">
        <v>657</v>
      </c>
      <c r="C1470" t="s">
        <v>55</v>
      </c>
      <c r="D1470" s="33" t="s">
        <v>384</v>
      </c>
      <c r="E1470" s="33" t="s">
        <v>385</v>
      </c>
      <c r="F1470" s="33" t="s">
        <v>83</v>
      </c>
      <c r="G1470" s="33">
        <v>1</v>
      </c>
      <c r="H1470" s="33">
        <v>1</v>
      </c>
      <c r="I1470" s="33">
        <v>0.08</v>
      </c>
      <c r="L1470" s="33">
        <v>2.4</v>
      </c>
      <c r="M1470" s="33">
        <v>0.18</v>
      </c>
      <c r="N1470" s="41">
        <f t="shared" si="640"/>
        <v>0</v>
      </c>
      <c r="O1470" s="33">
        <v>25</v>
      </c>
      <c r="P1470" s="163">
        <f t="shared" ref="P1470:Z1470" si="653">P1454</f>
        <v>8.5719999999999999E-5</v>
      </c>
      <c r="Q1470" s="163">
        <f t="shared" si="653"/>
        <v>2.7000000000000001E-3</v>
      </c>
      <c r="R1470" s="163">
        <f t="shared" si="653"/>
        <v>0.77900000000000003</v>
      </c>
      <c r="S1470" s="163">
        <f t="shared" si="653"/>
        <v>7.1400000000000004E-8</v>
      </c>
      <c r="T1470" s="163">
        <f t="shared" si="653"/>
        <v>2.185E-4</v>
      </c>
      <c r="U1470" s="163">
        <f t="shared" si="653"/>
        <v>1.9E-3</v>
      </c>
      <c r="V1470" s="163">
        <f t="shared" si="653"/>
        <v>4.5800000000000002E-4</v>
      </c>
      <c r="W1470" s="163">
        <f t="shared" si="653"/>
        <v>0.1045</v>
      </c>
      <c r="X1470" s="163">
        <f t="shared" si="653"/>
        <v>2.8E-3</v>
      </c>
      <c r="Y1470" s="163">
        <f t="shared" si="653"/>
        <v>14.5816</v>
      </c>
      <c r="Z1470" s="163">
        <f t="shared" si="653"/>
        <v>8.8590000000000001E-4</v>
      </c>
      <c r="AA1470" s="40"/>
      <c r="AB1470" s="40"/>
      <c r="AC1470" s="40"/>
      <c r="AD1470" s="40"/>
      <c r="AE1470" s="40"/>
      <c r="AF1470" s="40"/>
      <c r="AG1470" s="40"/>
      <c r="AH1470" s="40"/>
      <c r="AI1470" s="40"/>
      <c r="AJ1470" s="40"/>
      <c r="AK1470" s="40"/>
      <c r="AL1470" s="40"/>
      <c r="AM1470" s="40"/>
      <c r="AN1470" s="40"/>
      <c r="AO1470" s="40"/>
      <c r="AP1470" s="40"/>
      <c r="AQ1470" s="40"/>
      <c r="AR1470" s="40"/>
      <c r="AS1470" s="40"/>
      <c r="AT1470" s="40"/>
      <c r="AU1470" s="40"/>
      <c r="AV1470" s="163">
        <f t="shared" ref="AV1470" si="654">AV1454</f>
        <v>1.39877926E-2</v>
      </c>
      <c r="AW1470" s="40"/>
      <c r="AX1470" s="40"/>
      <c r="AY1470" s="163">
        <f t="shared" ref="AY1470" si="655">AY1454</f>
        <v>39.308543999999998</v>
      </c>
      <c r="AZ1470" s="40"/>
      <c r="BA1470" s="40"/>
      <c r="BB1470" s="40"/>
      <c r="BC1470" s="163">
        <f t="shared" ref="BC1470:BE1470" si="656">BC1454</f>
        <v>0</v>
      </c>
      <c r="BD1470" s="163">
        <f t="shared" si="656"/>
        <v>0</v>
      </c>
      <c r="BE1470" s="163">
        <f t="shared" si="656"/>
        <v>0</v>
      </c>
      <c r="BF1470" s="40"/>
      <c r="BG1470" s="40"/>
      <c r="BH1470" s="40"/>
      <c r="BI1470" s="40"/>
      <c r="BJ1470" s="40"/>
      <c r="BK1470" s="40"/>
      <c r="BL1470" s="62">
        <v>1</v>
      </c>
      <c r="BM1470" s="275">
        <v>3</v>
      </c>
      <c r="BN1470" s="62">
        <v>0.03</v>
      </c>
      <c r="BP1470" s="33" t="s">
        <v>602</v>
      </c>
    </row>
    <row r="1471" spans="1:68">
      <c r="A1471" s="33" t="str">
        <f>Database_Productkaarten[[#This Row],[Product]]&amp;", "&amp;Database_Productkaarten[[#This Row],[Levensfase]]</f>
        <v>Dubbelklinker (rood) 210x210x80 (hergebruik), C2</v>
      </c>
      <c r="B1471" s="33" t="s">
        <v>657</v>
      </c>
      <c r="C1471" t="s">
        <v>55</v>
      </c>
      <c r="D1471" s="33" t="s">
        <v>384</v>
      </c>
      <c r="E1471" s="33" t="s">
        <v>385</v>
      </c>
      <c r="F1471" s="33" t="s">
        <v>84</v>
      </c>
      <c r="G1471" s="33">
        <v>1</v>
      </c>
      <c r="H1471" s="33">
        <v>1</v>
      </c>
      <c r="I1471" s="33">
        <v>0.08</v>
      </c>
      <c r="L1471" s="33">
        <v>2.4</v>
      </c>
      <c r="M1471" s="33">
        <v>0.18</v>
      </c>
      <c r="N1471" s="41">
        <f t="shared" si="640"/>
        <v>6.2799999999999995E-2</v>
      </c>
      <c r="O1471" s="33">
        <v>25</v>
      </c>
      <c r="P1471" s="163">
        <f t="shared" ref="P1471:Z1471" si="657">P1455</f>
        <v>3.3739999999999998E-6</v>
      </c>
      <c r="Q1471" s="163">
        <f t="shared" si="657"/>
        <v>8.8999999999999999E-3</v>
      </c>
      <c r="R1471" s="163">
        <f t="shared" si="657"/>
        <v>1.1842999999999999</v>
      </c>
      <c r="S1471" s="163">
        <f t="shared" si="657"/>
        <v>2.213E-7</v>
      </c>
      <c r="T1471" s="163">
        <f t="shared" si="657"/>
        <v>7.0290000000000001E-4</v>
      </c>
      <c r="U1471" s="163">
        <f t="shared" si="657"/>
        <v>5.1000000000000004E-3</v>
      </c>
      <c r="V1471" s="163">
        <f t="shared" si="657"/>
        <v>1E-3</v>
      </c>
      <c r="W1471" s="163">
        <f t="shared" si="657"/>
        <v>0.48520000000000002</v>
      </c>
      <c r="X1471" s="163">
        <f t="shared" si="657"/>
        <v>1.41E-2</v>
      </c>
      <c r="Y1471" s="163">
        <f t="shared" si="657"/>
        <v>50.246699999999997</v>
      </c>
      <c r="Z1471" s="163">
        <f t="shared" si="657"/>
        <v>1.6999999999999999E-3</v>
      </c>
      <c r="AA1471" s="40"/>
      <c r="AB1471" s="40"/>
      <c r="AC1471" s="40"/>
      <c r="AD1471" s="40"/>
      <c r="AE1471" s="40"/>
      <c r="AF1471" s="40"/>
      <c r="AG1471" s="40"/>
      <c r="AH1471" s="40"/>
      <c r="AI1471" s="40"/>
      <c r="AJ1471" s="40"/>
      <c r="AK1471" s="40"/>
      <c r="AL1471" s="40"/>
      <c r="AM1471" s="40"/>
      <c r="AN1471" s="40"/>
      <c r="AO1471" s="40"/>
      <c r="AP1471" s="40"/>
      <c r="AQ1471" s="40"/>
      <c r="AR1471" s="40"/>
      <c r="AS1471" s="40"/>
      <c r="AT1471" s="40"/>
      <c r="AU1471" s="40"/>
      <c r="AV1471" s="163">
        <f t="shared" ref="AV1471" si="658">AV1455</f>
        <v>-1.26626116</v>
      </c>
      <c r="AW1471" s="40"/>
      <c r="AX1471" s="40"/>
      <c r="AY1471" s="163">
        <f t="shared" ref="AY1471" si="659">AY1455</f>
        <v>8.9488392000000001</v>
      </c>
      <c r="AZ1471" s="40"/>
      <c r="BA1471" s="40"/>
      <c r="BB1471" s="40"/>
      <c r="BC1471" s="163">
        <f t="shared" ref="BC1471:BE1471" si="660">BC1455</f>
        <v>0</v>
      </c>
      <c r="BD1471" s="163">
        <f t="shared" si="660"/>
        <v>0</v>
      </c>
      <c r="BE1471" s="163">
        <f t="shared" si="660"/>
        <v>0</v>
      </c>
      <c r="BF1471" s="40"/>
      <c r="BG1471" s="40"/>
      <c r="BH1471" s="40"/>
      <c r="BI1471" s="40"/>
      <c r="BJ1471" s="40"/>
      <c r="BK1471" s="40"/>
      <c r="BL1471" s="62">
        <v>1</v>
      </c>
      <c r="BM1471" s="275">
        <v>3</v>
      </c>
      <c r="BN1471" s="62">
        <v>0.03</v>
      </c>
      <c r="BP1471" s="33" t="s">
        <v>602</v>
      </c>
    </row>
    <row r="1472" spans="1:68">
      <c r="A1472" s="33" t="str">
        <f>Database_Productkaarten[[#This Row],[Product]]&amp;", "&amp;Database_Productkaarten[[#This Row],[Levensfase]]</f>
        <v>Dubbelklinker (rood) 210x210x80 (hergebruik), C3</v>
      </c>
      <c r="B1472" s="33" t="s">
        <v>657</v>
      </c>
      <c r="C1472" t="s">
        <v>55</v>
      </c>
      <c r="D1472" s="33" t="s">
        <v>384</v>
      </c>
      <c r="E1472" s="33" t="s">
        <v>385</v>
      </c>
      <c r="F1472" s="33" t="s">
        <v>85</v>
      </c>
      <c r="G1472" s="33">
        <v>1</v>
      </c>
      <c r="H1472" s="33">
        <v>1</v>
      </c>
      <c r="I1472" s="33">
        <v>0.08</v>
      </c>
      <c r="L1472" s="33">
        <v>2.4</v>
      </c>
      <c r="M1472" s="33">
        <v>0.18</v>
      </c>
      <c r="N1472" s="41">
        <f t="shared" si="640"/>
        <v>0.1411</v>
      </c>
      <c r="O1472" s="33">
        <v>25</v>
      </c>
      <c r="P1472" s="163">
        <f t="shared" ref="P1472:Z1472" si="661">P1456</f>
        <v>7.3259999999999997E-9</v>
      </c>
      <c r="Q1472" s="163">
        <f t="shared" si="661"/>
        <v>2.9300000000000001E-8</v>
      </c>
      <c r="R1472" s="163">
        <f t="shared" si="661"/>
        <v>3.3E-4</v>
      </c>
      <c r="S1472" s="163">
        <f t="shared" si="661"/>
        <v>1.44E-2</v>
      </c>
      <c r="T1472" s="163">
        <f t="shared" si="661"/>
        <v>1.003E-6</v>
      </c>
      <c r="U1472" s="163">
        <f t="shared" si="661"/>
        <v>3.2929999999999998E-4</v>
      </c>
      <c r="V1472" s="163">
        <f t="shared" si="661"/>
        <v>5.7000000000000002E-3</v>
      </c>
      <c r="W1472" s="163">
        <f t="shared" si="661"/>
        <v>2.8999999999999998E-3</v>
      </c>
      <c r="X1472" s="163">
        <f t="shared" si="661"/>
        <v>5.8999999999999999E-3</v>
      </c>
      <c r="Y1472" s="163">
        <f t="shared" si="661"/>
        <v>3.3819999999999998E-5</v>
      </c>
      <c r="Z1472" s="163">
        <f t="shared" si="661"/>
        <v>4.1679999999999999E-4</v>
      </c>
      <c r="AA1472" s="40"/>
      <c r="AB1472" s="40"/>
      <c r="AC1472" s="40"/>
      <c r="AD1472" s="40"/>
      <c r="AE1472" s="40"/>
      <c r="AF1472" s="40"/>
      <c r="AG1472" s="40"/>
      <c r="AH1472" s="40"/>
      <c r="AI1472" s="40"/>
      <c r="AJ1472" s="40"/>
      <c r="AK1472" s="40"/>
      <c r="AL1472" s="40"/>
      <c r="AM1472" s="40"/>
      <c r="AN1472" s="40"/>
      <c r="AO1472" s="40"/>
      <c r="AP1472" s="40"/>
      <c r="AQ1472" s="40"/>
      <c r="AR1472" s="40"/>
      <c r="AS1472" s="40"/>
      <c r="AT1472" s="40"/>
      <c r="AU1472" s="40"/>
      <c r="AV1472" s="163" t="e">
        <f t="shared" ref="AV1472" si="662">AV1456</f>
        <v>#REF!</v>
      </c>
      <c r="AW1472" s="40"/>
      <c r="AX1472" s="40"/>
      <c r="AY1472" s="163">
        <f t="shared" ref="AY1472" si="663">AY1456</f>
        <v>0.58333992000000001</v>
      </c>
      <c r="AZ1472" s="40"/>
      <c r="BA1472" s="40"/>
      <c r="BB1472" s="40"/>
      <c r="BC1472" s="163">
        <f t="shared" ref="BC1472:BE1472" si="664">BC1456</f>
        <v>0</v>
      </c>
      <c r="BD1472" s="163">
        <f t="shared" si="664"/>
        <v>0</v>
      </c>
      <c r="BE1472" s="163">
        <f t="shared" si="664"/>
        <v>0</v>
      </c>
      <c r="BF1472" s="40"/>
      <c r="BG1472" s="40"/>
      <c r="BH1472" s="40"/>
      <c r="BI1472" s="40"/>
      <c r="BJ1472" s="40"/>
      <c r="BK1472" s="40"/>
      <c r="BL1472" s="62">
        <v>1</v>
      </c>
      <c r="BM1472" s="275">
        <v>3</v>
      </c>
      <c r="BN1472" s="62">
        <v>0.03</v>
      </c>
      <c r="BP1472" s="33" t="s">
        <v>602</v>
      </c>
    </row>
    <row r="1473" spans="1:68">
      <c r="A1473" s="33" t="str">
        <f>Database_Productkaarten[[#This Row],[Product]]&amp;", "&amp;Database_Productkaarten[[#This Row],[Levensfase]]</f>
        <v>Dubbelklinker (rood) 210x210x80 (hergebruik), C4</v>
      </c>
      <c r="B1473" s="33" t="s">
        <v>657</v>
      </c>
      <c r="C1473" t="s">
        <v>55</v>
      </c>
      <c r="D1473" s="33" t="s">
        <v>384</v>
      </c>
      <c r="E1473" s="33" t="s">
        <v>385</v>
      </c>
      <c r="F1473" s="33" t="s">
        <v>86</v>
      </c>
      <c r="G1473" s="33">
        <v>1</v>
      </c>
      <c r="H1473" s="33">
        <v>1</v>
      </c>
      <c r="I1473" s="33">
        <v>0.08</v>
      </c>
      <c r="L1473" s="33">
        <v>2.4</v>
      </c>
      <c r="M1473" s="33">
        <v>0.18</v>
      </c>
      <c r="N1473" s="41">
        <f t="shared" si="640"/>
        <v>5.11E-2</v>
      </c>
      <c r="O1473" s="33">
        <v>25</v>
      </c>
      <c r="P1473" s="163">
        <f t="shared" ref="P1473:Z1473" si="665">P1457</f>
        <v>1.069E-8</v>
      </c>
      <c r="Q1473" s="163">
        <f t="shared" si="665"/>
        <v>1.3870000000000001E-4</v>
      </c>
      <c r="R1473" s="163">
        <f t="shared" si="665"/>
        <v>9.4999999999999998E-3</v>
      </c>
      <c r="S1473" s="163">
        <f t="shared" si="665"/>
        <v>3.4119999999999998E-9</v>
      </c>
      <c r="T1473" s="163">
        <f t="shared" si="665"/>
        <v>1.0329999999999999E-5</v>
      </c>
      <c r="U1473" s="163">
        <f t="shared" si="665"/>
        <v>7.148E-5</v>
      </c>
      <c r="V1473" s="163">
        <f t="shared" si="665"/>
        <v>1.3519999999999999E-5</v>
      </c>
      <c r="W1473" s="163">
        <f t="shared" si="665"/>
        <v>4.1000000000000003E-3</v>
      </c>
      <c r="X1473" s="163">
        <f t="shared" si="665"/>
        <v>9.9859999999999996E-5</v>
      </c>
      <c r="Y1473" s="163">
        <f t="shared" si="665"/>
        <v>0.35010000000000002</v>
      </c>
      <c r="Z1473" s="163">
        <f t="shared" si="665"/>
        <v>1.029E-5</v>
      </c>
      <c r="AA1473" s="40"/>
      <c r="AB1473" s="40"/>
      <c r="AC1473" s="40"/>
      <c r="AD1473" s="40"/>
      <c r="AE1473" s="40"/>
      <c r="AF1473" s="40"/>
      <c r="AG1473" s="40"/>
      <c r="AH1473" s="40"/>
      <c r="AI1473" s="40"/>
      <c r="AJ1473" s="40"/>
      <c r="AK1473" s="40"/>
      <c r="AL1473" s="40"/>
      <c r="AM1473" s="40"/>
      <c r="AN1473" s="40"/>
      <c r="AO1473" s="40"/>
      <c r="AP1473" s="40"/>
      <c r="AQ1473" s="40"/>
      <c r="AR1473" s="40"/>
      <c r="AS1473" s="40"/>
      <c r="AT1473" s="40"/>
      <c r="AU1473" s="40"/>
      <c r="AV1473" s="163" t="e">
        <f t="shared" ref="AV1473" si="666">AV1457</f>
        <v>#REF!</v>
      </c>
      <c r="AW1473" s="40"/>
      <c r="AX1473" s="40"/>
      <c r="AY1473" s="163">
        <f t="shared" ref="AY1473" si="667">AY1457</f>
        <v>-20.720362000000002</v>
      </c>
      <c r="AZ1473" s="40"/>
      <c r="BA1473" s="40"/>
      <c r="BB1473" s="40"/>
      <c r="BC1473" s="163">
        <f t="shared" ref="BC1473:BE1473" si="668">BC1457</f>
        <v>0</v>
      </c>
      <c r="BD1473" s="163">
        <f t="shared" si="668"/>
        <v>0</v>
      </c>
      <c r="BE1473" s="163">
        <f t="shared" si="668"/>
        <v>0</v>
      </c>
      <c r="BF1473" s="40"/>
      <c r="BG1473" s="40"/>
      <c r="BH1473" s="40"/>
      <c r="BI1473" s="40"/>
      <c r="BJ1473" s="40"/>
      <c r="BK1473" s="40"/>
      <c r="BL1473" s="62">
        <v>1</v>
      </c>
      <c r="BM1473" s="275">
        <v>3</v>
      </c>
      <c r="BN1473" s="62">
        <v>0.03</v>
      </c>
      <c r="BP1473" s="33" t="s">
        <v>602</v>
      </c>
    </row>
    <row r="1474" spans="1:68">
      <c r="A1474" s="33" t="str">
        <f>Database_Productkaarten[[#This Row],[Product]]&amp;", "&amp;Database_Productkaarten[[#This Row],[Levensfase]]</f>
        <v>Dubbelklinker (rood) 210x210x80 (hergebruik), D</v>
      </c>
      <c r="B1474" s="33" t="s">
        <v>657</v>
      </c>
      <c r="C1474" s="33" t="str">
        <f>C1475</f>
        <v>Elementenverhardingen</v>
      </c>
      <c r="D1474" s="33" t="str">
        <f>D1475</f>
        <v>Betonstraatsteen</v>
      </c>
      <c r="E1474" s="33" t="str">
        <f>E1475</f>
        <v>m2</v>
      </c>
      <c r="F1474" s="33" t="s">
        <v>89</v>
      </c>
      <c r="G1474" s="33">
        <f t="shared" ref="G1474:I1474" si="669">G1475</f>
        <v>1</v>
      </c>
      <c r="H1474" s="33">
        <f t="shared" si="669"/>
        <v>1</v>
      </c>
      <c r="I1474" s="33">
        <f t="shared" si="669"/>
        <v>0.08</v>
      </c>
      <c r="L1474" s="33">
        <v>2.4</v>
      </c>
      <c r="M1474" s="33">
        <v>0.18</v>
      </c>
      <c r="N1474" s="41">
        <f>N1449*0.1</f>
        <v>0.18981379679999999</v>
      </c>
      <c r="O1474" s="33">
        <v>25</v>
      </c>
      <c r="P1474" s="163">
        <f>P1449*0.1</f>
        <v>3.0168222800000001E-4</v>
      </c>
      <c r="Q1474" s="163">
        <f t="shared" ref="Q1474:Z1474" si="670">Q1449*0.1</f>
        <v>7.9665922400000005E-3</v>
      </c>
      <c r="R1474" s="163">
        <f t="shared" si="670"/>
        <v>2.499826208</v>
      </c>
      <c r="S1474" s="163">
        <f t="shared" si="670"/>
        <v>9.3892295200000006E-8</v>
      </c>
      <c r="T1474" s="163">
        <f t="shared" si="670"/>
        <v>5.7084852720000001E-4</v>
      </c>
      <c r="U1474" s="163">
        <f t="shared" si="670"/>
        <v>5.6734539200000008E-3</v>
      </c>
      <c r="V1474" s="163">
        <f t="shared" si="670"/>
        <v>1.1158001760000001E-3</v>
      </c>
      <c r="W1474" s="163">
        <f t="shared" si="670"/>
        <v>0.27624383280000003</v>
      </c>
      <c r="X1474" s="163">
        <f t="shared" si="670"/>
        <v>1.03314584E-2</v>
      </c>
      <c r="Y1474" s="163">
        <f t="shared" si="670"/>
        <v>42.701884800000009</v>
      </c>
      <c r="Z1474" s="163">
        <f t="shared" si="670"/>
        <v>3.2346781440000002E-3</v>
      </c>
      <c r="AA1474" s="40"/>
      <c r="AB1474" s="40"/>
      <c r="AC1474" s="40"/>
      <c r="AD1474" s="40"/>
      <c r="AE1474" s="40"/>
      <c r="AF1474" s="40"/>
      <c r="AG1474" s="40"/>
      <c r="AH1474" s="40"/>
      <c r="AI1474" s="40"/>
      <c r="AJ1474" s="40"/>
      <c r="AK1474" s="40"/>
      <c r="AL1474" s="40"/>
      <c r="AM1474" s="40"/>
      <c r="AN1474" s="40"/>
      <c r="AO1474" s="40"/>
      <c r="AP1474" s="40"/>
      <c r="AQ1474" s="40"/>
      <c r="AR1474" s="40"/>
      <c r="AS1474" s="40"/>
      <c r="AT1474" s="40"/>
      <c r="AU1474" s="40"/>
      <c r="AV1474" s="163">
        <f t="shared" ref="AV1474" si="671">AV1449*0.1</f>
        <v>0.138890704</v>
      </c>
      <c r="AW1474" s="40"/>
      <c r="AX1474" s="40"/>
      <c r="AY1474" s="163">
        <f t="shared" ref="AY1474" si="672">AY1449*0.1</f>
        <v>11.675805400000002</v>
      </c>
      <c r="AZ1474" s="40"/>
      <c r="BA1474" s="40"/>
      <c r="BB1474" s="40"/>
      <c r="BC1474" s="163">
        <f t="shared" ref="BC1474:BE1474" si="673">BC1449*0.1</f>
        <v>0</v>
      </c>
      <c r="BD1474" s="163">
        <f t="shared" si="673"/>
        <v>0</v>
      </c>
      <c r="BE1474" s="163">
        <f t="shared" si="673"/>
        <v>0</v>
      </c>
      <c r="BF1474" s="40"/>
      <c r="BG1474" s="40"/>
      <c r="BH1474" s="40"/>
      <c r="BI1474" s="40"/>
      <c r="BJ1474" s="40"/>
      <c r="BK1474" s="40"/>
      <c r="BL1474" s="62">
        <v>1</v>
      </c>
      <c r="BM1474" s="275">
        <v>3</v>
      </c>
      <c r="BN1474" s="62">
        <v>0.03</v>
      </c>
      <c r="BP1474" s="33" t="s">
        <v>602</v>
      </c>
    </row>
    <row r="1475" spans="1:68">
      <c r="A1475" s="33" t="str">
        <f>Database_Productkaarten[[#This Row],[Product]]&amp;", "&amp;Database_Productkaarten[[#This Row],[Levensfase]]</f>
        <v>Dubbelklinker (rood) 210x210x80 (hergebruik), D1</v>
      </c>
      <c r="B1475" s="33" t="s">
        <v>657</v>
      </c>
      <c r="C1475" t="s">
        <v>55</v>
      </c>
      <c r="D1475" s="33" t="s">
        <v>384</v>
      </c>
      <c r="E1475" s="33" t="s">
        <v>385</v>
      </c>
      <c r="F1475" s="33" t="s">
        <v>87</v>
      </c>
      <c r="G1475" s="33">
        <v>1</v>
      </c>
      <c r="H1475" s="33">
        <v>1</v>
      </c>
      <c r="I1475" s="33">
        <v>0.08</v>
      </c>
      <c r="L1475" s="33">
        <v>2.4</v>
      </c>
      <c r="M1475" s="33">
        <v>0.18</v>
      </c>
      <c r="N1475" s="41"/>
      <c r="O1475" s="33">
        <v>25</v>
      </c>
      <c r="P1475" s="40"/>
      <c r="Q1475" s="40"/>
      <c r="R1475" s="40"/>
      <c r="S1475" s="40"/>
      <c r="T1475" s="40"/>
      <c r="U1475" s="40"/>
      <c r="V1475" s="40"/>
      <c r="W1475" s="40"/>
      <c r="X1475" s="40"/>
      <c r="Y1475" s="40"/>
      <c r="Z1475" s="40"/>
      <c r="AA1475" s="40"/>
      <c r="AB1475" s="40"/>
      <c r="AC1475" s="40"/>
      <c r="AD1475" s="40"/>
      <c r="AE1475" s="40"/>
      <c r="AF1475" s="40"/>
      <c r="AG1475" s="40"/>
      <c r="AH1475" s="40"/>
      <c r="AI1475" s="40"/>
      <c r="AJ1475" s="40"/>
      <c r="AK1475" s="40"/>
      <c r="AL1475" s="40"/>
      <c r="AM1475" s="40"/>
      <c r="AN1475" s="40"/>
      <c r="AO1475" s="40"/>
      <c r="AP1475" s="40"/>
      <c r="AQ1475" s="40"/>
      <c r="AR1475" s="40"/>
      <c r="AS1475" s="40"/>
      <c r="AT1475" s="40"/>
      <c r="AU1475" s="40"/>
      <c r="AV1475" s="281"/>
      <c r="AW1475" s="40"/>
      <c r="AX1475" s="40"/>
      <c r="AY1475" s="281"/>
      <c r="AZ1475" s="40"/>
      <c r="BA1475" s="40"/>
      <c r="BB1475" s="40"/>
      <c r="BC1475" s="40"/>
      <c r="BD1475" s="40"/>
      <c r="BE1475" s="40"/>
      <c r="BF1475" s="40"/>
      <c r="BG1475" s="40"/>
      <c r="BH1475" s="40"/>
      <c r="BI1475" s="40"/>
      <c r="BJ1475" s="40"/>
      <c r="BK1475" s="40"/>
      <c r="BL1475" s="62">
        <v>1</v>
      </c>
      <c r="BM1475" s="275">
        <v>3</v>
      </c>
      <c r="BN1475" s="62">
        <v>0.03</v>
      </c>
      <c r="BP1475" s="33" t="s">
        <v>602</v>
      </c>
    </row>
    <row r="1476" spans="1:68">
      <c r="A1476" s="33" t="str">
        <f>Database_Productkaarten[[#This Row],[Product]]&amp;", "&amp;Database_Productkaarten[[#This Row],[Levensfase]]</f>
        <v>Dubbelklinker (rood) 210x210x80 (hergebruik), D2</v>
      </c>
      <c r="B1476" s="33" t="s">
        <v>657</v>
      </c>
      <c r="C1476" t="s">
        <v>55</v>
      </c>
      <c r="D1476" s="33" t="s">
        <v>384</v>
      </c>
      <c r="E1476" s="33" t="s">
        <v>385</v>
      </c>
      <c r="F1476" s="33" t="s">
        <v>88</v>
      </c>
      <c r="G1476" s="33">
        <v>1</v>
      </c>
      <c r="H1476" s="33">
        <v>1</v>
      </c>
      <c r="I1476" s="33">
        <v>0.08</v>
      </c>
      <c r="L1476" s="33">
        <v>2.4</v>
      </c>
      <c r="M1476" s="33">
        <v>0.18</v>
      </c>
      <c r="N1476" s="41"/>
      <c r="O1476" s="33">
        <v>25</v>
      </c>
      <c r="P1476" s="40"/>
      <c r="Q1476" s="40"/>
      <c r="R1476" s="40"/>
      <c r="S1476" s="40"/>
      <c r="T1476" s="40"/>
      <c r="U1476" s="40"/>
      <c r="V1476" s="40"/>
      <c r="W1476" s="40"/>
      <c r="X1476" s="40"/>
      <c r="Y1476" s="40"/>
      <c r="Z1476" s="40"/>
      <c r="AA1476" s="40"/>
      <c r="AB1476" s="40"/>
      <c r="AC1476" s="40"/>
      <c r="AD1476" s="40"/>
      <c r="AE1476" s="40"/>
      <c r="AF1476" s="40"/>
      <c r="AG1476" s="40"/>
      <c r="AH1476" s="40"/>
      <c r="AI1476" s="40"/>
      <c r="AJ1476" s="40"/>
      <c r="AK1476" s="40"/>
      <c r="AL1476" s="40"/>
      <c r="AM1476" s="40"/>
      <c r="AN1476" s="40"/>
      <c r="AO1476" s="40"/>
      <c r="AP1476" s="40"/>
      <c r="AQ1476" s="40"/>
      <c r="AR1476" s="40"/>
      <c r="AS1476" s="40"/>
      <c r="AT1476" s="40"/>
      <c r="AU1476" s="40"/>
      <c r="AV1476" s="281"/>
      <c r="AW1476" s="40"/>
      <c r="AX1476" s="40"/>
      <c r="AY1476" s="281"/>
      <c r="AZ1476" s="40"/>
      <c r="BA1476" s="40"/>
      <c r="BB1476" s="40"/>
      <c r="BC1476" s="40"/>
      <c r="BD1476" s="40"/>
      <c r="BE1476" s="40"/>
      <c r="BF1476" s="40"/>
      <c r="BG1476" s="40"/>
      <c r="BH1476" s="40"/>
      <c r="BI1476" s="40"/>
      <c r="BJ1476" s="40"/>
      <c r="BK1476" s="40"/>
      <c r="BL1476" s="62">
        <v>1</v>
      </c>
      <c r="BM1476" s="275">
        <v>3</v>
      </c>
      <c r="BN1476" s="62">
        <v>0.03</v>
      </c>
      <c r="BP1476" s="33" t="s">
        <v>602</v>
      </c>
    </row>
    <row r="1477" spans="1:68">
      <c r="A1477" s="33" t="str">
        <f>Database_Productkaarten[[#This Row],[Product]]&amp;", "&amp;Database_Productkaarten[[#This Row],[Levensfase]]</f>
        <v>Betonstraatsteen 210x105x80, Totaal</v>
      </c>
      <c r="B1477" s="33" t="s">
        <v>56</v>
      </c>
      <c r="C1477" t="s">
        <v>55</v>
      </c>
      <c r="D1477" s="33" t="s">
        <v>384</v>
      </c>
      <c r="E1477" s="33" t="s">
        <v>385</v>
      </c>
      <c r="F1477" s="33" t="s">
        <v>90</v>
      </c>
      <c r="G1477" s="33">
        <v>1</v>
      </c>
      <c r="H1477" s="33">
        <v>1</v>
      </c>
      <c r="I1477" s="33">
        <v>0.08</v>
      </c>
      <c r="L1477" s="33">
        <v>2.4</v>
      </c>
      <c r="M1477" s="33">
        <v>0.17960000000000001</v>
      </c>
      <c r="N1477" s="41"/>
      <c r="O1477" s="33">
        <v>25</v>
      </c>
      <c r="P1477" s="40"/>
      <c r="Q1477" s="40"/>
      <c r="R1477" s="40"/>
      <c r="S1477" s="40"/>
      <c r="T1477" s="40"/>
      <c r="U1477" s="40"/>
      <c r="V1477" s="40"/>
      <c r="W1477" s="40"/>
      <c r="X1477" s="40"/>
      <c r="Y1477" s="40"/>
      <c r="Z1477" s="40"/>
      <c r="AA1477" s="40"/>
      <c r="AB1477" s="40"/>
      <c r="AC1477" s="40"/>
      <c r="AD1477" s="40"/>
      <c r="AE1477" s="40"/>
      <c r="AF1477" s="40"/>
      <c r="AG1477" s="40"/>
      <c r="AH1477" s="40"/>
      <c r="AI1477" s="40"/>
      <c r="AJ1477" s="40"/>
      <c r="AK1477" s="40"/>
      <c r="AL1477" s="40"/>
      <c r="AM1477" s="40"/>
      <c r="AN1477" s="40"/>
      <c r="AO1477" s="40"/>
      <c r="AP1477" s="40"/>
      <c r="AQ1477" s="40"/>
      <c r="AR1477" s="40"/>
      <c r="AS1477" s="40"/>
      <c r="AT1477" s="40"/>
      <c r="AU1477" s="40"/>
      <c r="AV1477" s="310"/>
      <c r="AW1477" s="40"/>
      <c r="AX1477" s="40"/>
      <c r="AY1477" s="310"/>
      <c r="AZ1477" s="40"/>
      <c r="BA1477" s="40"/>
      <c r="BB1477" s="40"/>
      <c r="BC1477" s="40"/>
      <c r="BD1477" s="40"/>
      <c r="BE1477" s="40"/>
      <c r="BF1477" s="40"/>
      <c r="BG1477" s="40"/>
      <c r="BH1477" s="40"/>
      <c r="BI1477" s="40"/>
      <c r="BJ1477" s="40"/>
      <c r="BK1477" s="40"/>
      <c r="BL1477" s="305">
        <v>5.7906458797327399E-2</v>
      </c>
      <c r="BM1477" s="275">
        <v>3</v>
      </c>
      <c r="BN1477" s="62">
        <v>0.03</v>
      </c>
      <c r="BO1477" s="33" t="s">
        <v>655</v>
      </c>
    </row>
    <row r="1478" spans="1:68">
      <c r="A1478" s="33" t="str">
        <f>Database_Productkaarten[[#This Row],[Product]]&amp;", "&amp;Database_Productkaarten[[#This Row],[Levensfase]]</f>
        <v>Betonstraatsteen 210x105x80, A1</v>
      </c>
      <c r="B1478" s="33" t="s">
        <v>56</v>
      </c>
      <c r="C1478" t="s">
        <v>55</v>
      </c>
      <c r="D1478" s="33" t="s">
        <v>384</v>
      </c>
      <c r="E1478" s="33" t="s">
        <v>385</v>
      </c>
      <c r="F1478" s="33" t="s">
        <v>74</v>
      </c>
      <c r="G1478" s="33">
        <v>1</v>
      </c>
      <c r="H1478" s="33">
        <v>1</v>
      </c>
      <c r="I1478" s="33">
        <v>0.08</v>
      </c>
      <c r="L1478" s="33">
        <v>2.4</v>
      </c>
      <c r="M1478" s="33">
        <v>0.17960000000000001</v>
      </c>
      <c r="N1478" s="326">
        <v>1.5859505</v>
      </c>
      <c r="O1478" s="33">
        <v>25</v>
      </c>
      <c r="P1478" s="163">
        <v>2.2998009E-5</v>
      </c>
      <c r="Q1478" s="163">
        <v>5.4931656000000002E-2</v>
      </c>
      <c r="R1478" s="163">
        <v>21.997260000000001</v>
      </c>
      <c r="S1478" s="163">
        <v>4.7536530999999998E-7</v>
      </c>
      <c r="T1478" s="163">
        <v>4.2198708E-3</v>
      </c>
      <c r="U1478" s="163">
        <v>4.7200464999999997E-2</v>
      </c>
      <c r="V1478" s="163">
        <v>9.2213399000000001E-3</v>
      </c>
      <c r="W1478" s="163">
        <v>1.8828117</v>
      </c>
      <c r="X1478" s="163">
        <v>4.6595027999999997E-2</v>
      </c>
      <c r="Y1478" s="163">
        <v>237.01044999999999</v>
      </c>
      <c r="Z1478" s="163">
        <v>4.1581044999999997E-2</v>
      </c>
      <c r="AA1478" s="163"/>
      <c r="AB1478" s="163"/>
      <c r="AC1478" s="163"/>
      <c r="AD1478" s="163"/>
      <c r="AE1478" s="163"/>
      <c r="AF1478" s="163"/>
      <c r="AG1478" s="40"/>
      <c r="AH1478" s="40"/>
      <c r="AI1478" s="40"/>
      <c r="AJ1478" s="40"/>
      <c r="AK1478" s="40"/>
      <c r="AL1478" s="40"/>
      <c r="AM1478" s="40"/>
      <c r="AN1478" s="40"/>
      <c r="AO1478" s="40"/>
      <c r="AP1478" s="163"/>
      <c r="AQ1478" s="163"/>
      <c r="AR1478" s="163"/>
      <c r="AS1478" s="40"/>
      <c r="AT1478" s="40"/>
      <c r="AU1478" s="40"/>
      <c r="AV1478" s="163">
        <v>19.215737000000001</v>
      </c>
      <c r="AW1478" s="163"/>
      <c r="AX1478" s="163"/>
      <c r="AY1478" s="163">
        <v>123.83838</v>
      </c>
      <c r="AZ1478" s="40"/>
      <c r="BA1478" s="40"/>
      <c r="BB1478" s="40"/>
      <c r="BC1478" s="163">
        <v>1.8146114</v>
      </c>
      <c r="BD1478" s="163">
        <v>11.984206</v>
      </c>
      <c r="BE1478" s="40">
        <v>1.1431186</v>
      </c>
      <c r="BF1478" s="40"/>
      <c r="BG1478" s="40"/>
      <c r="BH1478" s="40"/>
      <c r="BI1478" s="40"/>
      <c r="BJ1478" s="40"/>
      <c r="BK1478" s="40"/>
      <c r="BL1478" s="305">
        <v>5.7906458797327399E-2</v>
      </c>
      <c r="BM1478" s="275">
        <v>3</v>
      </c>
      <c r="BN1478" s="62">
        <v>0.03</v>
      </c>
      <c r="BO1478" s="33" t="s">
        <v>655</v>
      </c>
    </row>
    <row r="1479" spans="1:68">
      <c r="A1479" s="33" t="str">
        <f>Database_Productkaarten[[#This Row],[Product]]&amp;", "&amp;Database_Productkaarten[[#This Row],[Levensfase]]</f>
        <v>Betonstraatsteen 210x105x80, A2</v>
      </c>
      <c r="B1479" s="33" t="s">
        <v>56</v>
      </c>
      <c r="C1479" t="s">
        <v>55</v>
      </c>
      <c r="D1479" s="33" t="s">
        <v>384</v>
      </c>
      <c r="E1479" s="33" t="s">
        <v>385</v>
      </c>
      <c r="F1479" s="33" t="s">
        <v>75</v>
      </c>
      <c r="G1479" s="33">
        <v>1</v>
      </c>
      <c r="H1479" s="33">
        <v>1</v>
      </c>
      <c r="I1479" s="33">
        <v>0.08</v>
      </c>
      <c r="L1479" s="33">
        <v>2.4</v>
      </c>
      <c r="M1479" s="33">
        <v>0.17960000000000001</v>
      </c>
      <c r="N1479" s="326">
        <v>0.11390773</v>
      </c>
      <c r="O1479" s="33">
        <v>25</v>
      </c>
      <c r="P1479" s="163">
        <v>2.7414028000000001E-6</v>
      </c>
      <c r="Q1479" s="163">
        <v>7.1154047999999999E-3</v>
      </c>
      <c r="R1479" s="163">
        <v>0.96398212000000005</v>
      </c>
      <c r="S1479" s="163">
        <v>1.7764288000000001E-7</v>
      </c>
      <c r="T1479" s="163">
        <v>5.6897293999999998E-4</v>
      </c>
      <c r="U1479" s="163">
        <v>4.1792783000000003E-3</v>
      </c>
      <c r="V1479" s="163">
        <v>8.3281665000000001E-4</v>
      </c>
      <c r="W1479" s="163">
        <v>0.38566819000000002</v>
      </c>
      <c r="X1479" s="163">
        <v>1.1311129E-2</v>
      </c>
      <c r="Y1479" s="163">
        <v>40.825217000000002</v>
      </c>
      <c r="Z1479" s="163">
        <v>1.3664718E-3</v>
      </c>
      <c r="AA1479" s="163"/>
      <c r="AB1479" s="163"/>
      <c r="AC1479" s="163"/>
      <c r="AD1479" s="163"/>
      <c r="AE1479" s="163"/>
      <c r="AF1479" s="163"/>
      <c r="AG1479" s="40"/>
      <c r="AH1479" s="40"/>
      <c r="AI1479" s="40"/>
      <c r="AJ1479" s="40"/>
      <c r="AK1479" s="40"/>
      <c r="AL1479" s="40"/>
      <c r="AM1479" s="40"/>
      <c r="AN1479" s="40"/>
      <c r="AO1479" s="40"/>
      <c r="AP1479" s="163"/>
      <c r="AQ1479" s="163"/>
      <c r="AR1479" s="163"/>
      <c r="AS1479" s="40"/>
      <c r="AT1479" s="40"/>
      <c r="AU1479" s="40"/>
      <c r="AV1479" s="163">
        <v>0.20300087</v>
      </c>
      <c r="AW1479" s="163"/>
      <c r="AX1479" s="163"/>
      <c r="AY1479" s="163">
        <v>15.862453</v>
      </c>
      <c r="AZ1479" s="40"/>
      <c r="BA1479" s="40"/>
      <c r="BB1479" s="40"/>
      <c r="BC1479" s="163">
        <v>2.8528224999999998E-3</v>
      </c>
      <c r="BD1479" s="163">
        <v>1.0955036E-4</v>
      </c>
      <c r="BE1479" s="40">
        <v>0.91178577999999999</v>
      </c>
      <c r="BF1479" s="40"/>
      <c r="BG1479" s="40"/>
      <c r="BH1479" s="40"/>
      <c r="BI1479" s="40"/>
      <c r="BJ1479" s="40"/>
      <c r="BK1479" s="40"/>
      <c r="BL1479" s="305">
        <v>5.7906458797327399E-2</v>
      </c>
      <c r="BM1479" s="275">
        <v>3</v>
      </c>
      <c r="BN1479" s="62">
        <v>0.03</v>
      </c>
      <c r="BO1479" s="33" t="s">
        <v>655</v>
      </c>
    </row>
    <row r="1480" spans="1:68">
      <c r="A1480" s="33" t="str">
        <f>Database_Productkaarten[[#This Row],[Product]]&amp;", "&amp;Database_Productkaarten[[#This Row],[Levensfase]]</f>
        <v>Betonstraatsteen 210x105x80, A3</v>
      </c>
      <c r="B1480" s="33" t="s">
        <v>56</v>
      </c>
      <c r="C1480" t="s">
        <v>55</v>
      </c>
      <c r="D1480" s="33" t="s">
        <v>384</v>
      </c>
      <c r="E1480" s="33" t="s">
        <v>385</v>
      </c>
      <c r="F1480" s="33" t="s">
        <v>76</v>
      </c>
      <c r="G1480" s="33">
        <v>1</v>
      </c>
      <c r="H1480" s="33">
        <v>1</v>
      </c>
      <c r="I1480" s="33">
        <v>0.08</v>
      </c>
      <c r="L1480" s="33">
        <v>2.4</v>
      </c>
      <c r="M1480" s="33">
        <v>0.17960000000000001</v>
      </c>
      <c r="N1480" s="326">
        <v>8.3141757999999996E-2</v>
      </c>
      <c r="O1480" s="33">
        <v>25</v>
      </c>
      <c r="P1480" s="163">
        <v>3.1758229000000001E-7</v>
      </c>
      <c r="Q1480" s="163">
        <v>9.5458183999999995E-3</v>
      </c>
      <c r="R1480" s="163">
        <v>1.1679672999999999</v>
      </c>
      <c r="S1480" s="163">
        <v>8.0606792000000002E-8</v>
      </c>
      <c r="T1480" s="163">
        <v>1.9332171E-4</v>
      </c>
      <c r="U1480" s="163">
        <v>2.1268339000000002E-3</v>
      </c>
      <c r="V1480" s="163">
        <v>4.7619904000000002E-4</v>
      </c>
      <c r="W1480" s="163">
        <v>9.7484146999999993E-2</v>
      </c>
      <c r="X1480" s="163">
        <v>2.2307385000000001E-3</v>
      </c>
      <c r="Y1480" s="163">
        <v>10.947895000000001</v>
      </c>
      <c r="Z1480" s="163">
        <v>1.6422730000000001E-3</v>
      </c>
      <c r="AA1480" s="163"/>
      <c r="AB1480" s="163"/>
      <c r="AC1480" s="163"/>
      <c r="AD1480" s="163"/>
      <c r="AE1480" s="163"/>
      <c r="AF1480" s="163"/>
      <c r="AG1480" s="40"/>
      <c r="AH1480" s="40"/>
      <c r="AI1480" s="40"/>
      <c r="AJ1480" s="40"/>
      <c r="AK1480" s="40"/>
      <c r="AL1480" s="40"/>
      <c r="AM1480" s="40"/>
      <c r="AN1480" s="40"/>
      <c r="AO1480" s="40"/>
      <c r="AP1480" s="163"/>
      <c r="AQ1480" s="163"/>
      <c r="AR1480" s="40"/>
      <c r="AS1480" s="40"/>
      <c r="AT1480" s="40"/>
      <c r="AU1480" s="40"/>
      <c r="AV1480" s="163">
        <v>1.4789893999999999</v>
      </c>
      <c r="AW1480" s="163"/>
      <c r="AX1480" s="163"/>
      <c r="AY1480" s="163">
        <v>19.15194</v>
      </c>
      <c r="AZ1480" s="40"/>
      <c r="BA1480" s="40"/>
      <c r="BB1480" s="40"/>
      <c r="BC1480" s="163">
        <v>3.7572949999999999E-3</v>
      </c>
      <c r="BD1480" s="163">
        <v>8.4058209000000006E-5</v>
      </c>
      <c r="BE1480" s="40">
        <v>3.6897105999999999E-2</v>
      </c>
      <c r="BF1480" s="40"/>
      <c r="BG1480" s="40"/>
      <c r="BH1480" s="40"/>
      <c r="BI1480" s="40"/>
      <c r="BJ1480" s="40"/>
      <c r="BK1480" s="40"/>
      <c r="BL1480" s="305">
        <v>5.7906458797327399E-2</v>
      </c>
      <c r="BM1480" s="275">
        <v>3</v>
      </c>
      <c r="BN1480" s="62">
        <v>0.03</v>
      </c>
      <c r="BO1480" s="33" t="s">
        <v>655</v>
      </c>
    </row>
    <row r="1481" spans="1:68">
      <c r="A1481" s="451" t="str">
        <f>Database_Productkaarten[[#This Row],[Product]]&amp;", "&amp;Database_Productkaarten[[#This Row],[Levensfase]]</f>
        <v>Betonstraatsteen 210x105x80, A1-A3</v>
      </c>
      <c r="B1481" s="451" t="str">
        <f>B1480</f>
        <v>Betonstraatsteen 210x105x80</v>
      </c>
      <c r="C1481" s="451" t="str">
        <f>C1480</f>
        <v>Elementenverhardingen</v>
      </c>
      <c r="D1481" s="451" t="str">
        <f>D1480</f>
        <v>Betonstraatsteen</v>
      </c>
      <c r="E1481" s="451" t="str">
        <f>E1480</f>
        <v>m2</v>
      </c>
      <c r="F1481" s="451" t="s">
        <v>77</v>
      </c>
      <c r="G1481" s="451">
        <f t="shared" ref="G1481:L1481" si="674">G1480</f>
        <v>1</v>
      </c>
      <c r="H1481" s="451">
        <f t="shared" si="674"/>
        <v>1</v>
      </c>
      <c r="I1481" s="451">
        <f t="shared" si="674"/>
        <v>0.08</v>
      </c>
      <c r="J1481" s="451"/>
      <c r="K1481" s="451"/>
      <c r="L1481" s="451">
        <f t="shared" si="674"/>
        <v>2.4</v>
      </c>
      <c r="M1481" s="33">
        <v>0.17960000000000001</v>
      </c>
      <c r="N1481" s="40">
        <f>SUM(N1478:N1480)</f>
        <v>1.782999988</v>
      </c>
      <c r="O1481" s="33">
        <v>25</v>
      </c>
      <c r="P1481" s="40">
        <f>SUM(P1478:P1480)</f>
        <v>2.605699409E-5</v>
      </c>
      <c r="Q1481" s="40">
        <f t="shared" ref="Q1481:Z1481" si="675">SUM(Q1478:Q1480)</f>
        <v>7.1592879200000001E-2</v>
      </c>
      <c r="R1481" s="40">
        <f t="shared" si="675"/>
        <v>24.129209420000002</v>
      </c>
      <c r="S1481" s="40">
        <f t="shared" si="675"/>
        <v>7.3361498199999998E-7</v>
      </c>
      <c r="T1481" s="40">
        <f t="shared" si="675"/>
        <v>4.9821654500000001E-3</v>
      </c>
      <c r="U1481" s="40">
        <f t="shared" si="675"/>
        <v>5.3506577199999995E-2</v>
      </c>
      <c r="V1481" s="40">
        <f t="shared" si="675"/>
        <v>1.053035559E-2</v>
      </c>
      <c r="W1481" s="40">
        <f t="shared" si="675"/>
        <v>2.3659640369999999</v>
      </c>
      <c r="X1481" s="40">
        <f t="shared" si="675"/>
        <v>6.0136895500000002E-2</v>
      </c>
      <c r="Y1481" s="40">
        <f t="shared" si="675"/>
        <v>288.78356200000002</v>
      </c>
      <c r="Z1481" s="40">
        <f t="shared" si="675"/>
        <v>4.4589789799999995E-2</v>
      </c>
      <c r="AA1481" s="40"/>
      <c r="AB1481" s="40"/>
      <c r="AC1481" s="40"/>
      <c r="AD1481" s="40"/>
      <c r="AE1481" s="40"/>
      <c r="AF1481" s="40"/>
      <c r="AG1481" s="453"/>
      <c r="AH1481" s="453"/>
      <c r="AI1481" s="453"/>
      <c r="AJ1481" s="453"/>
      <c r="AK1481" s="453"/>
      <c r="AL1481" s="453"/>
      <c r="AM1481" s="453"/>
      <c r="AN1481" s="453"/>
      <c r="AO1481" s="453"/>
      <c r="AP1481" s="40"/>
      <c r="AQ1481" s="40"/>
      <c r="AR1481" s="453"/>
      <c r="AS1481" s="453"/>
      <c r="AT1481" s="453"/>
      <c r="AU1481" s="453"/>
      <c r="AV1481" s="40">
        <v>20.897727270000001</v>
      </c>
      <c r="AW1481" s="40"/>
      <c r="AX1481" s="40"/>
      <c r="AY1481" s="40">
        <f>SUM(AY1478:AY1480)</f>
        <v>158.85277299999998</v>
      </c>
      <c r="AZ1481" s="453">
        <f t="shared" ref="AZ1481:BK1481" si="676">SUM(AZ1478:AZ1480)</f>
        <v>0</v>
      </c>
      <c r="BA1481" s="453">
        <f t="shared" si="676"/>
        <v>0</v>
      </c>
      <c r="BB1481" s="453">
        <f t="shared" si="676"/>
        <v>0</v>
      </c>
      <c r="BC1481" s="40">
        <f>SUM(BC1478:BC1480)</f>
        <v>1.8212215174999999</v>
      </c>
      <c r="BD1481" s="40">
        <f>SUM(BD1478:BD1480)</f>
        <v>11.984399608568999</v>
      </c>
      <c r="BE1481" s="40">
        <f>SUM(BE1478:BE1480)</f>
        <v>2.091801486</v>
      </c>
      <c r="BF1481" s="40"/>
      <c r="BG1481" s="453">
        <f t="shared" si="676"/>
        <v>0</v>
      </c>
      <c r="BH1481" s="453">
        <f t="shared" si="676"/>
        <v>0</v>
      </c>
      <c r="BI1481" s="453">
        <f t="shared" si="676"/>
        <v>0</v>
      </c>
      <c r="BJ1481" s="453">
        <f t="shared" si="676"/>
        <v>0</v>
      </c>
      <c r="BK1481" s="453">
        <f t="shared" si="676"/>
        <v>0</v>
      </c>
      <c r="BL1481" s="305">
        <v>5.7906458797327399E-2</v>
      </c>
      <c r="BM1481" s="275">
        <f>BM1480</f>
        <v>3</v>
      </c>
      <c r="BN1481" s="62">
        <v>0.03</v>
      </c>
      <c r="BO1481" s="451" t="str">
        <f>BO1480</f>
        <v>NMD Betonstraatsteen 210x105x80 mm door en door grijs</v>
      </c>
      <c r="BP1481" s="451"/>
    </row>
    <row r="1482" spans="1:68">
      <c r="A1482" s="33" t="str">
        <f>Database_Productkaarten[[#This Row],[Product]]&amp;", "&amp;Database_Productkaarten[[#This Row],[Levensfase]]</f>
        <v>Betonstraatsteen 210x105x80, A4</v>
      </c>
      <c r="B1482" s="33" t="s">
        <v>56</v>
      </c>
      <c r="C1482" t="s">
        <v>55</v>
      </c>
      <c r="D1482" s="33" t="s">
        <v>384</v>
      </c>
      <c r="E1482" s="33" t="s">
        <v>385</v>
      </c>
      <c r="F1482" s="33" t="s">
        <v>78</v>
      </c>
      <c r="G1482" s="33">
        <v>1</v>
      </c>
      <c r="H1482" s="33">
        <v>1</v>
      </c>
      <c r="I1482" s="33">
        <v>0.08</v>
      </c>
      <c r="L1482" s="33">
        <v>2.4</v>
      </c>
      <c r="M1482" s="33">
        <v>0.17960000000000001</v>
      </c>
      <c r="N1482" s="326">
        <v>0.41921778999999998</v>
      </c>
      <c r="O1482" s="33">
        <v>25</v>
      </c>
      <c r="P1482" s="40">
        <v>1.0089261E-5</v>
      </c>
      <c r="Q1482" s="40">
        <v>2.6187022000000001E-2</v>
      </c>
      <c r="R1482" s="40">
        <v>3.5477702</v>
      </c>
      <c r="S1482" s="40">
        <v>6.5378404000000001E-7</v>
      </c>
      <c r="T1482" s="40">
        <v>2.0940070000000002E-3</v>
      </c>
      <c r="U1482" s="40">
        <v>1.5381115000000001E-2</v>
      </c>
      <c r="V1482" s="40">
        <v>3.0650383000000001E-3</v>
      </c>
      <c r="W1482" s="40">
        <v>1.4193853999999999</v>
      </c>
      <c r="X1482" s="40">
        <v>4.1628663000000003E-2</v>
      </c>
      <c r="Y1482" s="40">
        <v>150.25018</v>
      </c>
      <c r="Z1482" s="40">
        <v>5.0290643999999999E-3</v>
      </c>
      <c r="AA1482" s="40"/>
      <c r="AB1482" s="40"/>
      <c r="AC1482" s="40"/>
      <c r="AD1482" s="40"/>
      <c r="AE1482" s="40"/>
      <c r="AF1482" s="40"/>
      <c r="AG1482" s="40"/>
      <c r="AH1482" s="40"/>
      <c r="AI1482" s="40"/>
      <c r="AJ1482" s="40"/>
      <c r="AK1482" s="40"/>
      <c r="AL1482" s="40"/>
      <c r="AM1482" s="40"/>
      <c r="AN1482" s="40"/>
      <c r="AO1482" s="40"/>
      <c r="AP1482" s="40"/>
      <c r="AQ1482" s="40"/>
      <c r="AR1482" s="40"/>
      <c r="AS1482" s="40"/>
      <c r="AT1482" s="40"/>
      <c r="AU1482" s="40"/>
      <c r="AV1482" s="40">
        <v>0.74710977999999995</v>
      </c>
      <c r="AW1482" s="40"/>
      <c r="AX1482" s="40"/>
      <c r="AY1482" s="40">
        <v>58.379027000000001</v>
      </c>
      <c r="AZ1482" s="40"/>
      <c r="BA1482" s="40"/>
      <c r="BB1482" s="40"/>
      <c r="BC1482" s="40">
        <v>1.0499322E-2</v>
      </c>
      <c r="BD1482" s="40">
        <v>4.0318126000000001E-4</v>
      </c>
      <c r="BE1482" s="40">
        <v>3.3556705999999998</v>
      </c>
      <c r="BF1482" s="40"/>
      <c r="BG1482" s="40"/>
      <c r="BH1482" s="40"/>
      <c r="BI1482" s="40"/>
      <c r="BJ1482" s="40"/>
      <c r="BK1482" s="40"/>
      <c r="BL1482" s="305">
        <v>5.7906458797327399E-2</v>
      </c>
      <c r="BM1482" s="275">
        <v>3</v>
      </c>
      <c r="BN1482" s="62">
        <v>0.03</v>
      </c>
      <c r="BO1482" s="33" t="s">
        <v>655</v>
      </c>
    </row>
    <row r="1483" spans="1:68">
      <c r="A1483" s="33" t="str">
        <f>Database_Productkaarten[[#This Row],[Product]]&amp;", "&amp;Database_Productkaarten[[#This Row],[Levensfase]]</f>
        <v>Betonstraatsteen 210x105x80, A5</v>
      </c>
      <c r="B1483" s="33" t="s">
        <v>56</v>
      </c>
      <c r="C1483" t="s">
        <v>55</v>
      </c>
      <c r="D1483" s="33" t="s">
        <v>384</v>
      </c>
      <c r="E1483" s="33" t="s">
        <v>385</v>
      </c>
      <c r="F1483" s="33" t="s">
        <v>79</v>
      </c>
      <c r="G1483" s="33">
        <v>1</v>
      </c>
      <c r="H1483" s="33">
        <v>1</v>
      </c>
      <c r="I1483" s="33">
        <v>0.08</v>
      </c>
      <c r="L1483" s="33">
        <v>2.4</v>
      </c>
      <c r="M1483" s="33">
        <v>0.17960000000000001</v>
      </c>
      <c r="N1483" s="326">
        <v>0.14712194000000001</v>
      </c>
      <c r="O1483" s="33">
        <v>25</v>
      </c>
      <c r="P1483" s="40">
        <v>1.2685192E-6</v>
      </c>
      <c r="Q1483" s="40">
        <v>7.2163100000000001E-3</v>
      </c>
      <c r="R1483" s="40">
        <v>1.4465694</v>
      </c>
      <c r="S1483" s="40">
        <v>1.5449249999999999E-7</v>
      </c>
      <c r="T1483" s="40">
        <v>8.219287E-4</v>
      </c>
      <c r="U1483" s="40">
        <v>6.6327028000000001E-3</v>
      </c>
      <c r="V1483" s="40">
        <v>1.4344850000000001E-3</v>
      </c>
      <c r="W1483" s="40">
        <v>0.33144498999999999</v>
      </c>
      <c r="X1483" s="40">
        <v>6.3210997999999996E-3</v>
      </c>
      <c r="Y1483" s="40">
        <v>24.173770000000001</v>
      </c>
      <c r="Z1483" s="40">
        <v>1.8655497E-3</v>
      </c>
      <c r="AA1483" s="40"/>
      <c r="AB1483" s="40"/>
      <c r="AC1483" s="40"/>
      <c r="AD1483" s="40"/>
      <c r="AE1483" s="40"/>
      <c r="AF1483" s="40"/>
      <c r="AG1483" s="40"/>
      <c r="AH1483" s="40"/>
      <c r="AI1483" s="40"/>
      <c r="AJ1483" s="40"/>
      <c r="AK1483" s="40"/>
      <c r="AL1483" s="40"/>
      <c r="AM1483" s="40"/>
      <c r="AN1483" s="40"/>
      <c r="AO1483" s="40"/>
      <c r="AP1483" s="40"/>
      <c r="AQ1483" s="40"/>
      <c r="AR1483" s="40"/>
      <c r="AS1483" s="40"/>
      <c r="AV1483" s="40">
        <v>0.69445352000000005</v>
      </c>
      <c r="AW1483" s="40"/>
      <c r="AX1483" s="40"/>
      <c r="AY1483" s="40">
        <v>16.147272999999998</v>
      </c>
      <c r="AZ1483" s="40"/>
      <c r="BA1483" s="40"/>
      <c r="BB1483" s="40"/>
      <c r="BC1483" s="40">
        <v>4.8397687000000002E-2</v>
      </c>
      <c r="BD1483" s="40">
        <v>0.35961109000000002</v>
      </c>
      <c r="BE1483" s="40">
        <v>0.27382557000000002</v>
      </c>
      <c r="BF1483" s="40"/>
      <c r="BG1483" s="40"/>
      <c r="BH1483" s="40"/>
      <c r="BI1483" s="40"/>
      <c r="BJ1483" s="40"/>
      <c r="BK1483" s="40"/>
      <c r="BL1483" s="305">
        <v>5.7906458797327399E-2</v>
      </c>
      <c r="BM1483" s="275">
        <v>3</v>
      </c>
      <c r="BN1483" s="62">
        <v>0.03</v>
      </c>
      <c r="BO1483" s="33" t="s">
        <v>655</v>
      </c>
    </row>
    <row r="1484" spans="1:68">
      <c r="A1484" s="33" t="str">
        <f>Database_Productkaarten[[#This Row],[Product]]&amp;", "&amp;Database_Productkaarten[[#This Row],[Levensfase]]</f>
        <v>Betonstraatsteen 210x105x80, B1</v>
      </c>
      <c r="B1484" s="33" t="s">
        <v>56</v>
      </c>
      <c r="C1484" t="s">
        <v>55</v>
      </c>
      <c r="D1484" s="33" t="s">
        <v>384</v>
      </c>
      <c r="E1484" s="33" t="s">
        <v>385</v>
      </c>
      <c r="F1484" s="33" t="s">
        <v>80</v>
      </c>
      <c r="G1484" s="33">
        <v>1</v>
      </c>
      <c r="H1484" s="33">
        <v>1</v>
      </c>
      <c r="I1484" s="33">
        <v>0.08</v>
      </c>
      <c r="L1484" s="33">
        <v>2.4</v>
      </c>
      <c r="M1484" s="33">
        <v>0.17960000000000001</v>
      </c>
      <c r="N1484" s="41"/>
      <c r="O1484" s="33">
        <v>25</v>
      </c>
      <c r="P1484" s="40">
        <v>0</v>
      </c>
      <c r="Q1484" s="40">
        <v>0</v>
      </c>
      <c r="R1484" s="40">
        <v>0</v>
      </c>
      <c r="S1484" s="40">
        <v>0</v>
      </c>
      <c r="T1484" s="40">
        <v>0</v>
      </c>
      <c r="U1484" s="40">
        <v>0</v>
      </c>
      <c r="V1484" s="40">
        <v>0</v>
      </c>
      <c r="W1484" s="40">
        <v>0</v>
      </c>
      <c r="X1484" s="40">
        <v>0</v>
      </c>
      <c r="Y1484" s="40">
        <v>0</v>
      </c>
      <c r="Z1484" s="40">
        <v>0</v>
      </c>
      <c r="AA1484" s="40"/>
      <c r="AB1484" s="40"/>
      <c r="AC1484" s="40"/>
      <c r="AD1484" s="40"/>
      <c r="AE1484" s="40"/>
      <c r="AF1484" s="40"/>
      <c r="AG1484" s="40"/>
      <c r="AH1484" s="40"/>
      <c r="AI1484" s="40"/>
      <c r="AJ1484" s="40"/>
      <c r="AK1484" s="40"/>
      <c r="AL1484" s="40"/>
      <c r="AM1484" s="40"/>
      <c r="AN1484" s="40"/>
      <c r="AO1484" s="40"/>
      <c r="AP1484" s="40"/>
      <c r="AQ1484" s="40"/>
      <c r="AR1484" s="40"/>
      <c r="AS1484" s="40"/>
      <c r="AV1484" s="40">
        <v>0</v>
      </c>
      <c r="AW1484" s="40"/>
      <c r="AX1484" s="40"/>
      <c r="AY1484" s="40">
        <v>0</v>
      </c>
      <c r="AZ1484" s="40"/>
      <c r="BA1484" s="40"/>
      <c r="BB1484" s="40"/>
      <c r="BC1484" s="40">
        <v>0</v>
      </c>
      <c r="BD1484" s="40">
        <v>0</v>
      </c>
      <c r="BE1484" s="40">
        <v>0</v>
      </c>
      <c r="BF1484" s="40"/>
      <c r="BG1484" s="40"/>
      <c r="BH1484" s="40"/>
      <c r="BI1484" s="40"/>
      <c r="BJ1484" s="40"/>
      <c r="BK1484" s="40"/>
      <c r="BL1484" s="305">
        <v>5.7906458797327399E-2</v>
      </c>
      <c r="BM1484" s="275">
        <v>3</v>
      </c>
      <c r="BN1484" s="62">
        <v>0.03</v>
      </c>
      <c r="BO1484" s="33" t="s">
        <v>655</v>
      </c>
    </row>
    <row r="1485" spans="1:68">
      <c r="A1485" s="33" t="str">
        <f>Database_Productkaarten[[#This Row],[Product]]&amp;", "&amp;Database_Productkaarten[[#This Row],[Levensfase]]</f>
        <v>Betonstraatsteen 210x105x80, B3</v>
      </c>
      <c r="B1485" s="33" t="s">
        <v>56</v>
      </c>
      <c r="C1485" t="s">
        <v>55</v>
      </c>
      <c r="D1485" s="33" t="s">
        <v>384</v>
      </c>
      <c r="E1485" s="33" t="s">
        <v>385</v>
      </c>
      <c r="F1485" s="33" t="s">
        <v>81</v>
      </c>
      <c r="G1485" s="33">
        <v>1</v>
      </c>
      <c r="H1485" s="33">
        <v>1</v>
      </c>
      <c r="I1485" s="33">
        <v>0.08</v>
      </c>
      <c r="L1485" s="33">
        <v>2.4</v>
      </c>
      <c r="M1485" s="33">
        <v>0.17960000000000001</v>
      </c>
      <c r="N1485" s="41">
        <f>(N1483+N1487)+((SUM(N1481:N1484)+SUM(N1486:N1490))*0.1)</f>
        <v>0.53874729540999999</v>
      </c>
      <c r="O1485" s="33">
        <v>25</v>
      </c>
      <c r="P1485" s="40"/>
      <c r="Q1485" s="40"/>
      <c r="R1485" s="40"/>
      <c r="S1485" s="40"/>
      <c r="T1485" s="40"/>
      <c r="U1485" s="40"/>
      <c r="V1485" s="40"/>
      <c r="W1485" s="40"/>
      <c r="X1485" s="40"/>
      <c r="Y1485" s="40"/>
      <c r="Z1485" s="40"/>
      <c r="AA1485" s="40"/>
      <c r="AB1485" s="40"/>
      <c r="AC1485" s="40"/>
      <c r="AD1485" s="40"/>
      <c r="AE1485" s="40"/>
      <c r="AF1485" s="40"/>
      <c r="AG1485" s="40"/>
      <c r="AH1485" s="40"/>
      <c r="AI1485" s="40"/>
      <c r="AJ1485" s="40"/>
      <c r="AK1485" s="40"/>
      <c r="AL1485" s="40"/>
      <c r="AM1485" s="40"/>
      <c r="AN1485" s="40"/>
      <c r="AO1485" s="40"/>
      <c r="AP1485" s="40"/>
      <c r="AQ1485" s="40"/>
      <c r="AR1485" s="40"/>
      <c r="AS1485" s="40"/>
      <c r="AV1485" s="40"/>
      <c r="AW1485" s="40"/>
      <c r="AX1485" s="40"/>
      <c r="AY1485" s="40"/>
      <c r="AZ1485" s="40"/>
      <c r="BA1485" s="40"/>
      <c r="BB1485" s="40"/>
      <c r="BC1485" s="40"/>
      <c r="BD1485" s="40"/>
      <c r="BE1485" s="40"/>
      <c r="BF1485" s="40"/>
      <c r="BG1485" s="40"/>
      <c r="BH1485" s="40"/>
      <c r="BI1485" s="40"/>
      <c r="BJ1485" s="40"/>
      <c r="BK1485" s="40"/>
      <c r="BL1485" s="305">
        <v>5.7906458797327399E-2</v>
      </c>
      <c r="BM1485" s="275">
        <v>3</v>
      </c>
      <c r="BN1485" s="62">
        <v>0.03</v>
      </c>
      <c r="BO1485" s="33" t="s">
        <v>655</v>
      </c>
      <c r="BP1485" s="33" t="s">
        <v>656</v>
      </c>
    </row>
    <row r="1486" spans="1:68">
      <c r="A1486" s="33" t="str">
        <f>Database_Productkaarten[[#This Row],[Product]]&amp;", "&amp;Database_Productkaarten[[#This Row],[Levensfase]]</f>
        <v>Betonstraatsteen 210x105x80, C1</v>
      </c>
      <c r="B1486" s="33" t="s">
        <v>56</v>
      </c>
      <c r="C1486" t="s">
        <v>55</v>
      </c>
      <c r="D1486" s="33" t="s">
        <v>384</v>
      </c>
      <c r="E1486" s="33" t="s">
        <v>385</v>
      </c>
      <c r="F1486" s="33" t="s">
        <v>83</v>
      </c>
      <c r="G1486" s="33">
        <v>1</v>
      </c>
      <c r="H1486" s="33">
        <v>1</v>
      </c>
      <c r="I1486" s="33">
        <v>0.08</v>
      </c>
      <c r="L1486" s="33">
        <v>2.4</v>
      </c>
      <c r="M1486" s="33">
        <v>0.17960000000000001</v>
      </c>
      <c r="N1486" s="326">
        <v>7.8751537999999996E-2</v>
      </c>
      <c r="O1486" s="33">
        <v>25</v>
      </c>
      <c r="P1486" s="40">
        <v>1.9924427999999999E-7</v>
      </c>
      <c r="Q1486" s="40">
        <v>4.1050855000000002E-3</v>
      </c>
      <c r="R1486" s="40">
        <v>0.59497279999999997</v>
      </c>
      <c r="S1486" s="40">
        <v>1.0716769E-7</v>
      </c>
      <c r="T1486" s="40">
        <v>5.9971757000000004E-4</v>
      </c>
      <c r="U1486" s="40">
        <v>4.5018584999999998E-3</v>
      </c>
      <c r="V1486" s="40">
        <v>1.0080613000000001E-3</v>
      </c>
      <c r="W1486" s="40">
        <v>0.21061642999999999</v>
      </c>
      <c r="X1486" s="40">
        <v>2.9454494999999999E-3</v>
      </c>
      <c r="Y1486" s="40">
        <v>9.9845778999999997</v>
      </c>
      <c r="Z1486" s="40">
        <v>3.5193414999999998E-4</v>
      </c>
      <c r="AA1486" s="40"/>
      <c r="AB1486" s="40"/>
      <c r="AC1486" s="40"/>
      <c r="AD1486" s="40"/>
      <c r="AE1486" s="40"/>
      <c r="AF1486" s="40"/>
      <c r="AG1486" s="40"/>
      <c r="AH1486" s="40"/>
      <c r="AI1486" s="40"/>
      <c r="AJ1486" s="40"/>
      <c r="AK1486" s="40"/>
      <c r="AL1486" s="40"/>
      <c r="AM1486" s="40"/>
      <c r="AN1486" s="40"/>
      <c r="AO1486" s="40"/>
      <c r="AP1486" s="40"/>
      <c r="AQ1486" s="40"/>
      <c r="AR1486" s="40"/>
      <c r="AS1486" s="40"/>
      <c r="AV1486" s="40">
        <v>4.9442172999999999E-2</v>
      </c>
      <c r="AW1486" s="40"/>
      <c r="AX1486" s="40"/>
      <c r="AY1486" s="40">
        <v>9.2085135000000005</v>
      </c>
      <c r="AZ1486" s="40"/>
      <c r="BA1486" s="40"/>
      <c r="BB1486" s="40"/>
      <c r="BC1486" s="40">
        <v>7.5919631000000002E-4</v>
      </c>
      <c r="BD1486" s="40">
        <v>6.3751571999999998E-5</v>
      </c>
      <c r="BE1486" s="40">
        <v>9.3962366999999995E-3</v>
      </c>
      <c r="BF1486" s="40"/>
      <c r="BG1486" s="40"/>
      <c r="BH1486" s="40"/>
      <c r="BI1486" s="40"/>
      <c r="BJ1486" s="40"/>
      <c r="BK1486" s="40"/>
      <c r="BL1486" s="305">
        <v>5.7906458797327399E-2</v>
      </c>
      <c r="BM1486" s="275">
        <v>3</v>
      </c>
      <c r="BN1486" s="62">
        <v>0.03</v>
      </c>
      <c r="BO1486" s="33" t="s">
        <v>655</v>
      </c>
    </row>
    <row r="1487" spans="1:68">
      <c r="A1487" s="33" t="str">
        <f>Database_Productkaarten[[#This Row],[Product]]&amp;", "&amp;Database_Productkaarten[[#This Row],[Levensfase]]</f>
        <v>Betonstraatsteen 210x105x80, C2</v>
      </c>
      <c r="B1487" s="33" t="s">
        <v>56</v>
      </c>
      <c r="C1487" t="s">
        <v>55</v>
      </c>
      <c r="D1487" s="33" t="s">
        <v>384</v>
      </c>
      <c r="E1487" s="33" t="s">
        <v>385</v>
      </c>
      <c r="F1487" s="33" t="s">
        <v>84</v>
      </c>
      <c r="G1487" s="33">
        <v>1</v>
      </c>
      <c r="H1487" s="33">
        <v>1</v>
      </c>
      <c r="I1487" s="33">
        <v>0.08</v>
      </c>
      <c r="L1487" s="33">
        <v>2.4</v>
      </c>
      <c r="M1487" s="33">
        <v>0.17960000000000001</v>
      </c>
      <c r="N1487" s="326">
        <v>0.14113665</v>
      </c>
      <c r="O1487" s="33">
        <v>25</v>
      </c>
      <c r="P1487" s="40">
        <v>3.3967179000000002E-6</v>
      </c>
      <c r="Q1487" s="40">
        <v>8.8162976000000001E-3</v>
      </c>
      <c r="R1487" s="40">
        <v>1.1944159999999999</v>
      </c>
      <c r="S1487" s="40">
        <v>2.2010728999999999E-7</v>
      </c>
      <c r="T1487" s="40">
        <v>7.0498233999999999E-4</v>
      </c>
      <c r="U1487" s="40">
        <v>5.1783085999999997E-3</v>
      </c>
      <c r="V1487" s="40">
        <v>1.0318962000000001E-3</v>
      </c>
      <c r="W1487" s="40">
        <v>0.47785975000000003</v>
      </c>
      <c r="X1487" s="40">
        <v>1.4014983E-2</v>
      </c>
      <c r="Y1487" s="40">
        <v>50.584228000000003</v>
      </c>
      <c r="Z1487" s="40">
        <v>1.6931183000000001E-3</v>
      </c>
      <c r="AA1487" s="40"/>
      <c r="AB1487" s="40"/>
      <c r="AC1487" s="40"/>
      <c r="AD1487" s="40"/>
      <c r="AE1487" s="40"/>
      <c r="AF1487" s="40"/>
      <c r="AG1487" s="40"/>
      <c r="AH1487" s="40"/>
      <c r="AI1487" s="40"/>
      <c r="AJ1487" s="40"/>
      <c r="AK1487" s="40"/>
      <c r="AL1487" s="40"/>
      <c r="AM1487" s="40"/>
      <c r="AN1487" s="40"/>
      <c r="AO1487" s="40"/>
      <c r="AP1487" s="40"/>
      <c r="AQ1487" s="40"/>
      <c r="AR1487" s="40"/>
      <c r="AS1487" s="40"/>
      <c r="AV1487" s="40">
        <v>0.25152696000000002</v>
      </c>
      <c r="AW1487" s="40"/>
      <c r="AX1487" s="40"/>
      <c r="AY1487" s="40">
        <v>19.654271999999999</v>
      </c>
      <c r="AZ1487" s="40"/>
      <c r="BA1487" s="40"/>
      <c r="BB1487" s="40"/>
      <c r="BC1487" s="40">
        <v>3.5347718000000002E-3</v>
      </c>
      <c r="BD1487" s="40">
        <v>1.3573769000000001E-4</v>
      </c>
      <c r="BE1487" s="40">
        <v>1.1297424</v>
      </c>
      <c r="BF1487" s="40"/>
      <c r="BG1487" s="40"/>
      <c r="BH1487" s="40"/>
      <c r="BI1487" s="40"/>
      <c r="BJ1487" s="40"/>
      <c r="BK1487" s="40"/>
      <c r="BL1487" s="305">
        <v>5.7906458797327399E-2</v>
      </c>
      <c r="BM1487" s="275">
        <v>3</v>
      </c>
      <c r="BN1487" s="62">
        <v>0.03</v>
      </c>
      <c r="BO1487" s="33" t="s">
        <v>655</v>
      </c>
    </row>
    <row r="1488" spans="1:68">
      <c r="A1488" s="33" t="str">
        <f>Database_Productkaarten[[#This Row],[Product]]&amp;", "&amp;Database_Productkaarten[[#This Row],[Levensfase]]</f>
        <v>Betonstraatsteen 210x105x80, C3</v>
      </c>
      <c r="B1488" s="33" t="s">
        <v>56</v>
      </c>
      <c r="C1488" t="s">
        <v>55</v>
      </c>
      <c r="D1488" s="33" t="s">
        <v>384</v>
      </c>
      <c r="E1488" s="33" t="s">
        <v>385</v>
      </c>
      <c r="F1488" s="33" t="s">
        <v>85</v>
      </c>
      <c r="G1488" s="33">
        <v>1</v>
      </c>
      <c r="H1488" s="33">
        <v>1</v>
      </c>
      <c r="I1488" s="33">
        <v>0.08</v>
      </c>
      <c r="L1488" s="33">
        <v>2.4</v>
      </c>
      <c r="M1488" s="33">
        <v>0.17960000000000001</v>
      </c>
      <c r="N1488" s="326">
        <v>2.8808289000000001E-2</v>
      </c>
      <c r="O1488" s="33">
        <v>25</v>
      </c>
      <c r="P1488" s="40">
        <v>1.7222725E-7</v>
      </c>
      <c r="Q1488" s="40">
        <v>2.1369675999999998E-3</v>
      </c>
      <c r="R1488" s="40">
        <v>0.28364496</v>
      </c>
      <c r="S1488" s="40">
        <v>3.2948773000000003E-8</v>
      </c>
      <c r="T1488" s="40">
        <v>1.5892259000000001E-4</v>
      </c>
      <c r="U1488" s="40">
        <v>1.3104998E-3</v>
      </c>
      <c r="V1488" s="40">
        <v>2.9552985999999997E-4</v>
      </c>
      <c r="W1488" s="40">
        <v>6.2053759E-2</v>
      </c>
      <c r="X1488" s="40">
        <v>1.0358393999999999E-3</v>
      </c>
      <c r="Y1488" s="40">
        <v>3.9735667000000001</v>
      </c>
      <c r="Z1488" s="40">
        <v>8.3711487000000002E-4</v>
      </c>
      <c r="AA1488" s="40"/>
      <c r="AB1488" s="40"/>
      <c r="AC1488" s="40"/>
      <c r="AD1488" s="40"/>
      <c r="AE1488" s="40"/>
      <c r="AF1488" s="40"/>
      <c r="AG1488" s="40"/>
      <c r="AH1488" s="40"/>
      <c r="AI1488" s="40"/>
      <c r="AJ1488" s="40"/>
      <c r="AK1488" s="40"/>
      <c r="AL1488" s="40"/>
      <c r="AM1488" s="40"/>
      <c r="AN1488" s="40"/>
      <c r="AO1488" s="40"/>
      <c r="AP1488" s="40"/>
      <c r="AQ1488" s="40"/>
      <c r="AR1488" s="40"/>
      <c r="AS1488" s="40"/>
      <c r="AV1488" s="40">
        <v>0.23015121999999999</v>
      </c>
      <c r="AW1488" s="40"/>
      <c r="AX1488" s="40"/>
      <c r="AY1488" s="40">
        <v>4.4744196000000001</v>
      </c>
      <c r="AZ1488" s="40"/>
      <c r="BA1488" s="40"/>
      <c r="BB1488" s="40"/>
      <c r="BC1488" s="40">
        <v>7.1397251999999998E-4</v>
      </c>
      <c r="BD1488" s="40">
        <v>2.5920019000000001E-5</v>
      </c>
      <c r="BE1488" s="40">
        <v>0.54106339000000003</v>
      </c>
      <c r="BF1488" s="40"/>
      <c r="BG1488" s="40"/>
      <c r="BH1488" s="40"/>
      <c r="BI1488" s="40"/>
      <c r="BJ1488" s="40"/>
      <c r="BK1488" s="40"/>
      <c r="BL1488" s="305">
        <v>5.7906458797327399E-2</v>
      </c>
      <c r="BM1488" s="275">
        <v>3</v>
      </c>
      <c r="BN1488" s="62">
        <v>0.03</v>
      </c>
      <c r="BO1488" s="33" t="s">
        <v>655</v>
      </c>
    </row>
    <row r="1489" spans="1:68">
      <c r="A1489" s="33" t="str">
        <f>Database_Productkaarten[[#This Row],[Product]]&amp;", "&amp;Database_Productkaarten[[#This Row],[Levensfase]]</f>
        <v>Betonstraatsteen 210x105x80, C4</v>
      </c>
      <c r="B1489" s="33" t="s">
        <v>56</v>
      </c>
      <c r="C1489" t="s">
        <v>55</v>
      </c>
      <c r="D1489" s="33" t="s">
        <v>384</v>
      </c>
      <c r="E1489" s="33" t="s">
        <v>385</v>
      </c>
      <c r="F1489" s="33" t="s">
        <v>86</v>
      </c>
      <c r="G1489" s="33">
        <v>1</v>
      </c>
      <c r="H1489" s="33">
        <v>1</v>
      </c>
      <c r="I1489" s="33">
        <v>0.08</v>
      </c>
      <c r="L1489" s="33">
        <v>2.4</v>
      </c>
      <c r="M1489" s="33">
        <v>0.17960000000000001</v>
      </c>
      <c r="N1489" s="326">
        <v>1.3138391000000001E-3</v>
      </c>
      <c r="O1489" s="33">
        <v>25</v>
      </c>
      <c r="P1489" s="40">
        <v>1.0950681999999999E-8</v>
      </c>
      <c r="Q1489" s="40">
        <v>1.3057005000000001E-4</v>
      </c>
      <c r="R1489" s="40">
        <v>9.5944815999999995E-3</v>
      </c>
      <c r="S1489" s="40">
        <v>3.1756224000000002E-9</v>
      </c>
      <c r="T1489" s="40">
        <v>1.0167514E-5</v>
      </c>
      <c r="U1489" s="40">
        <v>7.0897409000000001E-5</v>
      </c>
      <c r="V1489" s="40">
        <v>1.3343049E-5</v>
      </c>
      <c r="W1489" s="40">
        <v>3.9116400999999997E-3</v>
      </c>
      <c r="X1489" s="40">
        <v>9.7267318000000006E-5</v>
      </c>
      <c r="Y1489" s="40">
        <v>0.33453973999999997</v>
      </c>
      <c r="Z1489" s="40">
        <v>1.1584563E-5</v>
      </c>
      <c r="AA1489" s="40"/>
      <c r="AB1489" s="40"/>
      <c r="AC1489" s="40"/>
      <c r="AD1489" s="40"/>
      <c r="AE1489" s="40"/>
      <c r="AF1489" s="40"/>
      <c r="AG1489" s="40"/>
      <c r="AH1489" s="40"/>
      <c r="AI1489" s="40"/>
      <c r="AJ1489" s="40"/>
      <c r="AK1489" s="40"/>
      <c r="AL1489" s="40"/>
      <c r="AM1489" s="40"/>
      <c r="AN1489" s="40"/>
      <c r="AO1489" s="40"/>
      <c r="AP1489" s="40"/>
      <c r="AQ1489" s="40"/>
      <c r="AR1489" s="40"/>
      <c r="AS1489" s="40"/>
      <c r="AV1489" s="40">
        <v>6.9938963E-3</v>
      </c>
      <c r="AW1489" s="40"/>
      <c r="AX1489" s="40"/>
      <c r="AY1489" s="40">
        <v>0.29166996000000001</v>
      </c>
      <c r="AZ1489" s="40"/>
      <c r="BA1489" s="40"/>
      <c r="BB1489" s="40"/>
      <c r="BC1489" s="40">
        <v>2.9396608E-4</v>
      </c>
      <c r="BD1489" s="40">
        <v>1.9812924999999999E-6</v>
      </c>
      <c r="BE1489" s="40">
        <v>1.7954197999999999</v>
      </c>
      <c r="BF1489" s="40"/>
      <c r="BG1489" s="40"/>
      <c r="BH1489" s="40"/>
      <c r="BI1489" s="40"/>
      <c r="BJ1489" s="40"/>
      <c r="BK1489" s="40"/>
      <c r="BL1489" s="305">
        <v>5.7906458797327399E-2</v>
      </c>
      <c r="BM1489" s="275">
        <v>3</v>
      </c>
      <c r="BN1489" s="62">
        <v>0.03</v>
      </c>
      <c r="BO1489" s="33" t="s">
        <v>655</v>
      </c>
    </row>
    <row r="1490" spans="1:68">
      <c r="A1490" s="33" t="str">
        <f>Database_Productkaarten[[#This Row],[Product]]&amp;", "&amp;Database_Productkaarten[[#This Row],[Levensfase]]</f>
        <v>Betonstraatsteen 210x105x80, D</v>
      </c>
      <c r="B1490" s="33" t="str">
        <f>B1491</f>
        <v>Betonstraatsteen 210x105x80</v>
      </c>
      <c r="C1490" s="33" t="str">
        <f>C1491</f>
        <v>Elementenverhardingen</v>
      </c>
      <c r="D1490" s="33" t="str">
        <f>D1491</f>
        <v>Betonstraatsteen</v>
      </c>
      <c r="E1490" s="33" t="str">
        <f>E1491</f>
        <v>m2</v>
      </c>
      <c r="F1490" s="33" t="s">
        <v>89</v>
      </c>
      <c r="G1490" s="33">
        <f t="shared" ref="G1490:L1490" si="677">G1491</f>
        <v>1</v>
      </c>
      <c r="H1490" s="33">
        <f t="shared" si="677"/>
        <v>1</v>
      </c>
      <c r="I1490" s="33">
        <f t="shared" si="677"/>
        <v>0.08</v>
      </c>
      <c r="L1490" s="33">
        <f t="shared" si="677"/>
        <v>2.4</v>
      </c>
      <c r="M1490" s="33">
        <v>0.17960000000000001</v>
      </c>
      <c r="N1490" s="326">
        <v>-9.4462980000000002E-2</v>
      </c>
      <c r="O1490" s="33">
        <v>25</v>
      </c>
      <c r="P1490" s="163">
        <v>-4.0836547E-6</v>
      </c>
      <c r="Q1490" s="163">
        <v>-5.1562543000000004E-3</v>
      </c>
      <c r="R1490" s="163">
        <v>-0.77808049000000001</v>
      </c>
      <c r="S1490" s="163">
        <v>-6.6137114999999999E-8</v>
      </c>
      <c r="T1490" s="163">
        <v>-5.4320740999999997E-4</v>
      </c>
      <c r="U1490" s="163">
        <v>-4.4192535999999999E-3</v>
      </c>
      <c r="V1490" s="163">
        <v>-7.2204196000000005E-4</v>
      </c>
      <c r="W1490" s="163">
        <v>-0.30155599999999999</v>
      </c>
      <c r="X1490" s="163">
        <v>-4.3919709000000001E-3</v>
      </c>
      <c r="Y1490" s="163">
        <v>-20.953023000000002</v>
      </c>
      <c r="Z1490" s="163">
        <v>-1.7068185000000001E-3</v>
      </c>
      <c r="AA1490" s="163"/>
      <c r="AB1490" s="163"/>
      <c r="AC1490" s="163"/>
      <c r="AD1490" s="163"/>
      <c r="AE1490" s="163"/>
      <c r="AF1490" s="163"/>
      <c r="AG1490" s="40"/>
      <c r="AH1490" s="40"/>
      <c r="AI1490" s="40"/>
      <c r="AJ1490" s="40"/>
      <c r="AK1490" s="40"/>
      <c r="AL1490" s="40"/>
      <c r="AM1490" s="40"/>
      <c r="AN1490" s="40"/>
      <c r="AO1490" s="40"/>
      <c r="AP1490" s="163"/>
      <c r="AQ1490" s="163"/>
      <c r="AR1490" s="40"/>
      <c r="AS1490" s="40"/>
      <c r="AT1490" s="40"/>
      <c r="AU1490" s="40"/>
      <c r="AV1490" s="163">
        <v>-0.63313058</v>
      </c>
      <c r="AW1490" s="163"/>
      <c r="AX1490" s="163"/>
      <c r="AY1490" s="163">
        <v>-10.360181000000001</v>
      </c>
      <c r="AZ1490" s="40">
        <f t="shared" ref="AZ1490:BK1490" si="678">SUM(AZ1491:AZ1492)</f>
        <v>0</v>
      </c>
      <c r="BA1490" s="40">
        <f t="shared" si="678"/>
        <v>0</v>
      </c>
      <c r="BB1490" s="40">
        <f t="shared" si="678"/>
        <v>0</v>
      </c>
      <c r="BC1490" s="163">
        <v>-0.24831386999999999</v>
      </c>
      <c r="BD1490" s="163">
        <v>-5.5426961000000003E-5</v>
      </c>
      <c r="BE1490" s="40">
        <v>-9.9386505999999999E-2</v>
      </c>
      <c r="BF1490" s="40"/>
      <c r="BG1490" s="40">
        <f t="shared" si="678"/>
        <v>0</v>
      </c>
      <c r="BH1490" s="40">
        <f t="shared" si="678"/>
        <v>0</v>
      </c>
      <c r="BI1490" s="40">
        <f t="shared" si="678"/>
        <v>0</v>
      </c>
      <c r="BJ1490" s="40">
        <f t="shared" si="678"/>
        <v>0</v>
      </c>
      <c r="BK1490" s="40">
        <f t="shared" si="678"/>
        <v>0</v>
      </c>
      <c r="BL1490" s="305">
        <v>5.7906458797327399E-2</v>
      </c>
      <c r="BM1490" s="275">
        <f>BM1491</f>
        <v>3</v>
      </c>
      <c r="BN1490" s="62">
        <v>0.03</v>
      </c>
      <c r="BO1490" s="33" t="str">
        <f>BO1491</f>
        <v>NMD Betonstraatsteen 210x105x80 mm door en door grijs</v>
      </c>
    </row>
    <row r="1491" spans="1:68">
      <c r="A1491" s="33" t="str">
        <f>Database_Productkaarten[[#This Row],[Product]]&amp;", "&amp;Database_Productkaarten[[#This Row],[Levensfase]]</f>
        <v>Betonstraatsteen 210x105x80, D1</v>
      </c>
      <c r="B1491" s="33" t="s">
        <v>56</v>
      </c>
      <c r="C1491" t="s">
        <v>55</v>
      </c>
      <c r="D1491" s="33" t="s">
        <v>384</v>
      </c>
      <c r="E1491" s="33" t="s">
        <v>385</v>
      </c>
      <c r="F1491" s="33" t="s">
        <v>87</v>
      </c>
      <c r="G1491" s="33">
        <v>1</v>
      </c>
      <c r="H1491" s="33">
        <v>1</v>
      </c>
      <c r="I1491" s="33">
        <v>0.08</v>
      </c>
      <c r="L1491" s="33">
        <v>2.4</v>
      </c>
      <c r="M1491" s="33">
        <v>0.17960000000000001</v>
      </c>
      <c r="N1491" s="41"/>
      <c r="O1491" s="33">
        <v>25</v>
      </c>
      <c r="P1491" s="40"/>
      <c r="Q1491" s="40"/>
      <c r="R1491" s="40"/>
      <c r="S1491" s="40"/>
      <c r="T1491" s="40"/>
      <c r="U1491" s="40"/>
      <c r="V1491" s="40"/>
      <c r="W1491" s="40"/>
      <c r="X1491" s="40"/>
      <c r="Y1491" s="40"/>
      <c r="Z1491" s="40"/>
      <c r="AA1491" s="40"/>
      <c r="AB1491" s="40"/>
      <c r="AC1491" s="40"/>
      <c r="AD1491" s="40"/>
      <c r="AE1491" s="40"/>
      <c r="AF1491" s="40"/>
      <c r="AG1491" s="40"/>
      <c r="AH1491" s="40"/>
      <c r="AI1491" s="40"/>
      <c r="AJ1491" s="40"/>
      <c r="AK1491" s="40"/>
      <c r="AL1491" s="40"/>
      <c r="AM1491" s="40"/>
      <c r="AN1491" s="40"/>
      <c r="AO1491" s="40"/>
      <c r="AP1491" s="40"/>
      <c r="AQ1491" s="40"/>
      <c r="AR1491" s="40"/>
      <c r="AS1491" s="40"/>
      <c r="AV1491" s="316"/>
      <c r="AW1491" s="314"/>
      <c r="AX1491" s="313"/>
      <c r="AY1491" s="317"/>
      <c r="AZ1491" s="40"/>
      <c r="BA1491" s="40"/>
      <c r="BB1491" s="40"/>
      <c r="BC1491" s="40"/>
      <c r="BD1491" s="40"/>
      <c r="BE1491" s="40"/>
      <c r="BF1491" s="40"/>
      <c r="BG1491" s="40"/>
      <c r="BH1491" s="40"/>
      <c r="BI1491" s="40"/>
      <c r="BJ1491" s="40"/>
      <c r="BK1491" s="40"/>
      <c r="BL1491" s="305">
        <v>5.7906458797327399E-2</v>
      </c>
      <c r="BM1491" s="275">
        <v>3</v>
      </c>
      <c r="BN1491" s="62">
        <v>0.03</v>
      </c>
      <c r="BO1491" s="33" t="s">
        <v>655</v>
      </c>
    </row>
    <row r="1492" spans="1:68">
      <c r="A1492" s="33" t="str">
        <f>Database_Productkaarten[[#This Row],[Product]]&amp;", "&amp;Database_Productkaarten[[#This Row],[Levensfase]]</f>
        <v>Betonstraatsteen 210x105x80, D2</v>
      </c>
      <c r="B1492" s="33" t="s">
        <v>56</v>
      </c>
      <c r="C1492" t="s">
        <v>55</v>
      </c>
      <c r="D1492" s="33" t="s">
        <v>384</v>
      </c>
      <c r="E1492" s="33" t="s">
        <v>385</v>
      </c>
      <c r="F1492" s="33" t="s">
        <v>88</v>
      </c>
      <c r="G1492" s="33">
        <v>1</v>
      </c>
      <c r="H1492" s="33">
        <v>1</v>
      </c>
      <c r="I1492" s="33">
        <v>0.08</v>
      </c>
      <c r="L1492" s="33">
        <v>2.4</v>
      </c>
      <c r="M1492" s="33">
        <v>0.17960000000000001</v>
      </c>
      <c r="N1492" s="41"/>
      <c r="O1492" s="33">
        <v>25</v>
      </c>
      <c r="P1492" s="40"/>
      <c r="Q1492" s="40"/>
      <c r="R1492" s="40"/>
      <c r="S1492" s="40"/>
      <c r="T1492" s="40"/>
      <c r="U1492" s="40"/>
      <c r="V1492" s="40"/>
      <c r="W1492" s="40"/>
      <c r="X1492" s="40"/>
      <c r="Y1492" s="40"/>
      <c r="Z1492" s="40"/>
      <c r="AA1492" s="40"/>
      <c r="AB1492" s="40"/>
      <c r="AC1492" s="40"/>
      <c r="AD1492" s="40"/>
      <c r="AE1492" s="40"/>
      <c r="AF1492" s="40"/>
      <c r="AG1492" s="40"/>
      <c r="AH1492" s="40"/>
      <c r="AI1492" s="40"/>
      <c r="AJ1492" s="40"/>
      <c r="AK1492" s="40"/>
      <c r="AL1492" s="40"/>
      <c r="AM1492" s="40"/>
      <c r="AN1492" s="40"/>
      <c r="AO1492" s="40"/>
      <c r="AP1492" s="40"/>
      <c r="AQ1492" s="40"/>
      <c r="AR1492" s="40"/>
      <c r="AS1492" s="40"/>
      <c r="AV1492" s="316"/>
      <c r="AW1492" s="314"/>
      <c r="AX1492" s="317"/>
      <c r="AY1492" s="313"/>
      <c r="AZ1492" s="40"/>
      <c r="BA1492" s="40"/>
      <c r="BB1492" s="40"/>
      <c r="BC1492" s="40"/>
      <c r="BD1492" s="40"/>
      <c r="BE1492" s="40"/>
      <c r="BF1492" s="40"/>
      <c r="BG1492" s="40"/>
      <c r="BH1492" s="40"/>
      <c r="BI1492" s="40"/>
      <c r="BJ1492" s="40"/>
      <c r="BK1492" s="40"/>
      <c r="BL1492" s="305">
        <v>5.7906458797327399E-2</v>
      </c>
      <c r="BM1492" s="275">
        <v>3</v>
      </c>
      <c r="BN1492" s="62">
        <v>0.03</v>
      </c>
      <c r="BO1492" s="33" t="s">
        <v>655</v>
      </c>
    </row>
    <row r="1493" spans="1:68">
      <c r="A1493" s="33" t="str">
        <f>Database_Productkaarten[[#This Row],[Product]]&amp;", "&amp;Database_Productkaarten[[#This Row],[Levensfase]]</f>
        <v>Betonstraatsteen 210x105x80 (hergebruik), Totaal</v>
      </c>
      <c r="B1493" s="33" t="s">
        <v>658</v>
      </c>
      <c r="C1493" t="s">
        <v>55</v>
      </c>
      <c r="D1493" s="33" t="s">
        <v>384</v>
      </c>
      <c r="E1493" s="33" t="s">
        <v>385</v>
      </c>
      <c r="F1493" s="33" t="s">
        <v>90</v>
      </c>
      <c r="G1493" s="33">
        <v>1</v>
      </c>
      <c r="H1493" s="33">
        <v>1</v>
      </c>
      <c r="I1493" s="33">
        <v>0.08</v>
      </c>
      <c r="L1493" s="33">
        <v>2.4</v>
      </c>
      <c r="M1493" s="33">
        <v>0.17960000000000001</v>
      </c>
      <c r="N1493" s="41">
        <f>SUM(N1497:N1505)</f>
        <v>1.3550973415100001</v>
      </c>
      <c r="O1493" s="33">
        <v>25</v>
      </c>
      <c r="P1493" s="163">
        <f t="shared" ref="P1493:Z1493" si="679">SUM(P1497:P1505)</f>
        <v>1.5136920311999999E-5</v>
      </c>
      <c r="Q1493" s="163">
        <f t="shared" si="679"/>
        <v>4.8592252750000002E-2</v>
      </c>
      <c r="R1493" s="163">
        <f t="shared" si="679"/>
        <v>7.0769678415999993</v>
      </c>
      <c r="S1493" s="163">
        <f t="shared" si="679"/>
        <v>1.1716759154E-6</v>
      </c>
      <c r="T1493" s="163">
        <f t="shared" si="679"/>
        <v>4.3897257140000003E-3</v>
      </c>
      <c r="U1493" s="163">
        <f t="shared" si="679"/>
        <v>3.3075382109000004E-2</v>
      </c>
      <c r="V1493" s="163">
        <f t="shared" si="679"/>
        <v>6.8483537090000008E-3</v>
      </c>
      <c r="W1493" s="163">
        <f t="shared" si="679"/>
        <v>2.5052719690999998</v>
      </c>
      <c r="X1493" s="163">
        <f t="shared" si="679"/>
        <v>6.6043302018000002E-2</v>
      </c>
      <c r="Y1493" s="163">
        <f t="shared" si="679"/>
        <v>239.30086233999998</v>
      </c>
      <c r="Z1493" s="163">
        <f t="shared" si="679"/>
        <v>9.7883659829999994E-3</v>
      </c>
      <c r="AA1493" s="40"/>
      <c r="AB1493" s="40"/>
      <c r="AC1493" s="40"/>
      <c r="AD1493" s="40"/>
      <c r="AE1493" s="40"/>
      <c r="AF1493" s="40"/>
      <c r="AG1493" s="40"/>
      <c r="AH1493" s="40"/>
      <c r="AI1493" s="40"/>
      <c r="AJ1493" s="40"/>
      <c r="AK1493" s="40"/>
      <c r="AL1493" s="40"/>
      <c r="AM1493" s="40"/>
      <c r="AN1493" s="40"/>
      <c r="AO1493" s="40"/>
      <c r="AP1493" s="40"/>
      <c r="AQ1493" s="40"/>
      <c r="AR1493" s="40"/>
      <c r="AS1493" s="40"/>
      <c r="AT1493" s="40"/>
      <c r="AU1493" s="40"/>
      <c r="AV1493" s="163">
        <f>SUM(AV1497:AV1505)</f>
        <v>1.9796775493000001</v>
      </c>
      <c r="AW1493" s="40"/>
      <c r="AX1493" s="40"/>
      <c r="AY1493" s="163">
        <f>SUM(AY1497:AY1505)</f>
        <v>108.15517505999999</v>
      </c>
      <c r="AZ1493" s="40"/>
      <c r="BA1493" s="40"/>
      <c r="BB1493" s="40"/>
      <c r="BC1493" s="163">
        <f t="shared" ref="BC1493:BE1493" si="680">SUM(BC1497:BC1505)</f>
        <v>6.4198915709999999E-2</v>
      </c>
      <c r="BD1493" s="163">
        <f t="shared" si="680"/>
        <v>0.36024166183350004</v>
      </c>
      <c r="BE1493" s="163">
        <f t="shared" si="680"/>
        <v>7.1051179966999989</v>
      </c>
      <c r="BF1493" s="40"/>
      <c r="BG1493" s="40"/>
      <c r="BH1493" s="40"/>
      <c r="BI1493" s="40"/>
      <c r="BJ1493" s="40"/>
      <c r="BK1493" s="40"/>
      <c r="BL1493" s="62">
        <v>1</v>
      </c>
      <c r="BM1493" s="275">
        <v>3</v>
      </c>
      <c r="BN1493" s="62">
        <v>0.03</v>
      </c>
      <c r="BP1493" s="33" t="s">
        <v>602</v>
      </c>
    </row>
    <row r="1494" spans="1:68">
      <c r="A1494" s="33" t="str">
        <f>Database_Productkaarten[[#This Row],[Product]]&amp;", "&amp;Database_Productkaarten[[#This Row],[Levensfase]]</f>
        <v>Betonstraatsteen 210x105x80 (hergebruik), A1</v>
      </c>
      <c r="B1494" s="33" t="s">
        <v>658</v>
      </c>
      <c r="C1494" t="s">
        <v>55</v>
      </c>
      <c r="D1494" s="33" t="s">
        <v>384</v>
      </c>
      <c r="E1494" s="33" t="s">
        <v>385</v>
      </c>
      <c r="F1494" s="33" t="s">
        <v>74</v>
      </c>
      <c r="G1494" s="33">
        <v>1</v>
      </c>
      <c r="H1494" s="33">
        <v>1</v>
      </c>
      <c r="I1494" s="33">
        <v>0.08</v>
      </c>
      <c r="L1494" s="33">
        <v>2.4</v>
      </c>
      <c r="M1494" s="33">
        <v>0.17960000000000001</v>
      </c>
      <c r="N1494" s="41">
        <v>0</v>
      </c>
      <c r="O1494" s="33">
        <v>25</v>
      </c>
      <c r="P1494" s="163">
        <v>0</v>
      </c>
      <c r="Q1494" s="163">
        <v>0</v>
      </c>
      <c r="R1494" s="163">
        <v>0</v>
      </c>
      <c r="S1494" s="163">
        <v>0</v>
      </c>
      <c r="T1494" s="163">
        <v>0</v>
      </c>
      <c r="U1494" s="163">
        <v>0</v>
      </c>
      <c r="V1494" s="163">
        <v>0</v>
      </c>
      <c r="W1494" s="163">
        <v>0</v>
      </c>
      <c r="X1494" s="163">
        <v>0</v>
      </c>
      <c r="Y1494" s="163">
        <v>0</v>
      </c>
      <c r="Z1494" s="163">
        <v>0</v>
      </c>
      <c r="AA1494" s="40"/>
      <c r="AB1494" s="40"/>
      <c r="AC1494" s="40"/>
      <c r="AD1494" s="40"/>
      <c r="AE1494" s="40"/>
      <c r="AF1494" s="40"/>
      <c r="AG1494" s="40"/>
      <c r="AH1494" s="40"/>
      <c r="AI1494" s="40"/>
      <c r="AJ1494" s="40"/>
      <c r="AK1494" s="40"/>
      <c r="AL1494" s="40"/>
      <c r="AM1494" s="40"/>
      <c r="AN1494" s="40"/>
      <c r="AO1494" s="40"/>
      <c r="AP1494" s="40"/>
      <c r="AQ1494" s="40"/>
      <c r="AR1494" s="40"/>
      <c r="AS1494" s="40"/>
      <c r="AT1494" s="40"/>
      <c r="AU1494" s="40"/>
      <c r="AV1494" s="163">
        <v>0</v>
      </c>
      <c r="AW1494" s="40"/>
      <c r="AX1494" s="40"/>
      <c r="AY1494" s="163">
        <v>0</v>
      </c>
      <c r="AZ1494" s="40"/>
      <c r="BA1494" s="40"/>
      <c r="BB1494" s="40"/>
      <c r="BC1494" s="163">
        <v>0</v>
      </c>
      <c r="BD1494" s="163">
        <v>0</v>
      </c>
      <c r="BE1494" s="163">
        <v>0</v>
      </c>
      <c r="BF1494" s="40"/>
      <c r="BG1494" s="40"/>
      <c r="BH1494" s="40"/>
      <c r="BI1494" s="40"/>
      <c r="BJ1494" s="40"/>
      <c r="BK1494" s="40"/>
      <c r="BL1494" s="62">
        <v>1</v>
      </c>
      <c r="BM1494" s="275">
        <v>3</v>
      </c>
      <c r="BN1494" s="62">
        <v>0.03</v>
      </c>
      <c r="BP1494" s="33" t="s">
        <v>602</v>
      </c>
    </row>
    <row r="1495" spans="1:68">
      <c r="A1495" s="33" t="str">
        <f>Database_Productkaarten[[#This Row],[Product]]&amp;", "&amp;Database_Productkaarten[[#This Row],[Levensfase]]</f>
        <v>Betonstraatsteen 210x105x80 (hergebruik), A2</v>
      </c>
      <c r="B1495" s="33" t="s">
        <v>658</v>
      </c>
      <c r="C1495" t="s">
        <v>55</v>
      </c>
      <c r="D1495" s="33" t="s">
        <v>384</v>
      </c>
      <c r="E1495" s="33" t="s">
        <v>385</v>
      </c>
      <c r="F1495" s="33" t="s">
        <v>75</v>
      </c>
      <c r="G1495" s="33">
        <v>1</v>
      </c>
      <c r="H1495" s="33">
        <v>1</v>
      </c>
      <c r="I1495" s="33">
        <v>0.08</v>
      </c>
      <c r="L1495" s="33">
        <v>2.4</v>
      </c>
      <c r="M1495" s="33">
        <v>0.17960000000000001</v>
      </c>
      <c r="N1495" s="41">
        <v>0</v>
      </c>
      <c r="O1495" s="33">
        <v>25</v>
      </c>
      <c r="P1495" s="163">
        <v>0</v>
      </c>
      <c r="Q1495" s="163">
        <v>0</v>
      </c>
      <c r="R1495" s="163">
        <v>0</v>
      </c>
      <c r="S1495" s="163">
        <v>0</v>
      </c>
      <c r="T1495" s="163">
        <v>0</v>
      </c>
      <c r="U1495" s="163">
        <v>0</v>
      </c>
      <c r="V1495" s="163">
        <v>0</v>
      </c>
      <c r="W1495" s="163">
        <v>0</v>
      </c>
      <c r="X1495" s="163">
        <v>0</v>
      </c>
      <c r="Y1495" s="163">
        <v>0</v>
      </c>
      <c r="Z1495" s="163">
        <v>0</v>
      </c>
      <c r="AA1495" s="40"/>
      <c r="AB1495" s="40"/>
      <c r="AC1495" s="40"/>
      <c r="AD1495" s="40"/>
      <c r="AE1495" s="40"/>
      <c r="AF1495" s="40"/>
      <c r="AG1495" s="40"/>
      <c r="AH1495" s="40"/>
      <c r="AI1495" s="40"/>
      <c r="AJ1495" s="40"/>
      <c r="AK1495" s="40"/>
      <c r="AL1495" s="40"/>
      <c r="AM1495" s="40"/>
      <c r="AN1495" s="40"/>
      <c r="AO1495" s="40"/>
      <c r="AP1495" s="40"/>
      <c r="AQ1495" s="40"/>
      <c r="AR1495" s="40"/>
      <c r="AS1495" s="40"/>
      <c r="AT1495" s="40"/>
      <c r="AU1495" s="40"/>
      <c r="AV1495" s="163">
        <v>0</v>
      </c>
      <c r="AW1495" s="40"/>
      <c r="AX1495" s="40"/>
      <c r="AY1495" s="163">
        <v>0</v>
      </c>
      <c r="AZ1495" s="40"/>
      <c r="BA1495" s="40"/>
      <c r="BB1495" s="40"/>
      <c r="BC1495" s="163">
        <v>0</v>
      </c>
      <c r="BD1495" s="163">
        <v>0</v>
      </c>
      <c r="BE1495" s="163">
        <v>0</v>
      </c>
      <c r="BF1495" s="40"/>
      <c r="BG1495" s="40"/>
      <c r="BH1495" s="40"/>
      <c r="BI1495" s="40"/>
      <c r="BJ1495" s="40"/>
      <c r="BK1495" s="40"/>
      <c r="BL1495" s="62">
        <v>1</v>
      </c>
      <c r="BM1495" s="275">
        <v>3</v>
      </c>
      <c r="BN1495" s="62">
        <v>0.03</v>
      </c>
      <c r="BP1495" s="33" t="s">
        <v>602</v>
      </c>
    </row>
    <row r="1496" spans="1:68">
      <c r="A1496" s="33" t="str">
        <f>Database_Productkaarten[[#This Row],[Product]]&amp;", "&amp;Database_Productkaarten[[#This Row],[Levensfase]]</f>
        <v>Betonstraatsteen 210x105x80 (hergebruik), A3</v>
      </c>
      <c r="B1496" s="33" t="s">
        <v>658</v>
      </c>
      <c r="C1496" t="s">
        <v>55</v>
      </c>
      <c r="D1496" s="33" t="s">
        <v>384</v>
      </c>
      <c r="E1496" s="33" t="s">
        <v>385</v>
      </c>
      <c r="F1496" s="33" t="s">
        <v>76</v>
      </c>
      <c r="G1496" s="33">
        <v>1</v>
      </c>
      <c r="H1496" s="33">
        <v>1</v>
      </c>
      <c r="I1496" s="33">
        <v>0.08</v>
      </c>
      <c r="L1496" s="33">
        <v>2.4</v>
      </c>
      <c r="M1496" s="33">
        <v>0.17960000000000001</v>
      </c>
      <c r="N1496" s="41">
        <v>0</v>
      </c>
      <c r="O1496" s="33">
        <v>25</v>
      </c>
      <c r="P1496" s="163">
        <v>0</v>
      </c>
      <c r="Q1496" s="163">
        <v>0</v>
      </c>
      <c r="R1496" s="163">
        <v>0</v>
      </c>
      <c r="S1496" s="163">
        <v>0</v>
      </c>
      <c r="T1496" s="163">
        <v>0</v>
      </c>
      <c r="U1496" s="163">
        <v>0</v>
      </c>
      <c r="V1496" s="163">
        <v>0</v>
      </c>
      <c r="W1496" s="163">
        <v>0</v>
      </c>
      <c r="X1496" s="163">
        <v>0</v>
      </c>
      <c r="Y1496" s="163">
        <v>0</v>
      </c>
      <c r="Z1496" s="163">
        <v>0</v>
      </c>
      <c r="AA1496" s="40"/>
      <c r="AB1496" s="40"/>
      <c r="AC1496" s="40"/>
      <c r="AD1496" s="40"/>
      <c r="AE1496" s="40"/>
      <c r="AF1496" s="40"/>
      <c r="AG1496" s="40"/>
      <c r="AH1496" s="40"/>
      <c r="AI1496" s="40"/>
      <c r="AJ1496" s="40"/>
      <c r="AK1496" s="40"/>
      <c r="AL1496" s="40"/>
      <c r="AM1496" s="40"/>
      <c r="AN1496" s="40"/>
      <c r="AO1496" s="40"/>
      <c r="AP1496" s="40"/>
      <c r="AQ1496" s="40"/>
      <c r="AR1496" s="40"/>
      <c r="AS1496" s="40"/>
      <c r="AT1496" s="40"/>
      <c r="AU1496" s="40"/>
      <c r="AV1496" s="163">
        <v>0</v>
      </c>
      <c r="AW1496" s="40"/>
      <c r="AX1496" s="40"/>
      <c r="AY1496" s="163">
        <v>0</v>
      </c>
      <c r="AZ1496" s="40"/>
      <c r="BA1496" s="40"/>
      <c r="BB1496" s="40"/>
      <c r="BC1496" s="163">
        <v>0</v>
      </c>
      <c r="BD1496" s="163">
        <v>0</v>
      </c>
      <c r="BE1496" s="163">
        <v>0</v>
      </c>
      <c r="BF1496" s="40"/>
      <c r="BG1496" s="40"/>
      <c r="BH1496" s="40"/>
      <c r="BI1496" s="40"/>
      <c r="BJ1496" s="40"/>
      <c r="BK1496" s="40"/>
      <c r="BL1496" s="62">
        <v>1</v>
      </c>
      <c r="BM1496" s="275">
        <v>3</v>
      </c>
      <c r="BN1496" s="62">
        <v>0.03</v>
      </c>
      <c r="BP1496" s="33" t="s">
        <v>602</v>
      </c>
    </row>
    <row r="1497" spans="1:68">
      <c r="A1497" s="33" t="str">
        <f>Database_Productkaarten[[#This Row],[Product]]&amp;", "&amp;Database_Productkaarten[[#This Row],[Levensfase]]</f>
        <v>Betonstraatsteen 210x105x80 (hergebruik), A1-A3</v>
      </c>
      <c r="B1497" s="33" t="s">
        <v>658</v>
      </c>
      <c r="C1497" s="451" t="str">
        <f>C1496</f>
        <v>Elementenverhardingen</v>
      </c>
      <c r="D1497" s="451" t="str">
        <f>D1496</f>
        <v>Betonstraatsteen</v>
      </c>
      <c r="E1497" s="451" t="str">
        <f>E1496</f>
        <v>m2</v>
      </c>
      <c r="F1497" s="451" t="s">
        <v>77</v>
      </c>
      <c r="G1497" s="451">
        <f t="shared" ref="G1497:I1497" si="681">G1496</f>
        <v>1</v>
      </c>
      <c r="H1497" s="451">
        <f t="shared" si="681"/>
        <v>1</v>
      </c>
      <c r="I1497" s="451">
        <f t="shared" si="681"/>
        <v>0.08</v>
      </c>
      <c r="L1497" s="33">
        <v>2.4</v>
      </c>
      <c r="M1497" s="33">
        <v>0.17960000000000001</v>
      </c>
      <c r="N1497" s="41">
        <v>0</v>
      </c>
      <c r="O1497" s="33">
        <v>25</v>
      </c>
      <c r="P1497" s="163">
        <v>0</v>
      </c>
      <c r="Q1497" s="163">
        <v>0</v>
      </c>
      <c r="R1497" s="163">
        <v>0</v>
      </c>
      <c r="S1497" s="163">
        <v>0</v>
      </c>
      <c r="T1497" s="163">
        <v>0</v>
      </c>
      <c r="U1497" s="163">
        <v>0</v>
      </c>
      <c r="V1497" s="163">
        <v>0</v>
      </c>
      <c r="W1497" s="163">
        <v>0</v>
      </c>
      <c r="X1497" s="163">
        <v>0</v>
      </c>
      <c r="Y1497" s="163">
        <v>0</v>
      </c>
      <c r="Z1497" s="163">
        <v>0</v>
      </c>
      <c r="AA1497" s="40"/>
      <c r="AB1497" s="40"/>
      <c r="AC1497" s="40"/>
      <c r="AD1497" s="40"/>
      <c r="AE1497" s="40"/>
      <c r="AF1497" s="40"/>
      <c r="AG1497" s="40"/>
      <c r="AH1497" s="40"/>
      <c r="AI1497" s="40"/>
      <c r="AJ1497" s="40"/>
      <c r="AK1497" s="40"/>
      <c r="AL1497" s="40"/>
      <c r="AM1497" s="40"/>
      <c r="AN1497" s="40"/>
      <c r="AO1497" s="40"/>
      <c r="AP1497" s="40"/>
      <c r="AQ1497" s="40"/>
      <c r="AR1497" s="40"/>
      <c r="AS1497" s="40"/>
      <c r="AT1497" s="40"/>
      <c r="AU1497" s="40"/>
      <c r="AV1497" s="163">
        <v>0</v>
      </c>
      <c r="AW1497" s="40"/>
      <c r="AX1497" s="40"/>
      <c r="AY1497" s="163">
        <v>0</v>
      </c>
      <c r="AZ1497" s="40"/>
      <c r="BA1497" s="40"/>
      <c r="BB1497" s="40"/>
      <c r="BC1497" s="163">
        <v>0</v>
      </c>
      <c r="BD1497" s="163">
        <v>0</v>
      </c>
      <c r="BE1497" s="163">
        <v>0</v>
      </c>
      <c r="BF1497" s="40"/>
      <c r="BG1497" s="40"/>
      <c r="BH1497" s="40"/>
      <c r="BI1497" s="40"/>
      <c r="BJ1497" s="40"/>
      <c r="BK1497" s="40"/>
      <c r="BL1497" s="62">
        <v>1</v>
      </c>
      <c r="BM1497" s="275">
        <v>3</v>
      </c>
      <c r="BN1497" s="62">
        <v>0.03</v>
      </c>
      <c r="BP1497" s="33" t="s">
        <v>602</v>
      </c>
    </row>
    <row r="1498" spans="1:68">
      <c r="A1498" s="33" t="str">
        <f>Database_Productkaarten[[#This Row],[Product]]&amp;", "&amp;Database_Productkaarten[[#This Row],[Levensfase]]</f>
        <v>Betonstraatsteen 210x105x80 (hergebruik), A4</v>
      </c>
      <c r="B1498" s="33" t="s">
        <v>658</v>
      </c>
      <c r="C1498" t="s">
        <v>55</v>
      </c>
      <c r="D1498" s="33" t="s">
        <v>384</v>
      </c>
      <c r="E1498" s="33" t="s">
        <v>385</v>
      </c>
      <c r="F1498" s="33" t="s">
        <v>78</v>
      </c>
      <c r="G1498" s="33">
        <v>1</v>
      </c>
      <c r="H1498" s="33">
        <v>1</v>
      </c>
      <c r="I1498" s="33">
        <v>0.08</v>
      </c>
      <c r="L1498" s="33">
        <v>2.4</v>
      </c>
      <c r="M1498" s="33">
        <v>0.17960000000000001</v>
      </c>
      <c r="N1498" s="41">
        <f>N1482</f>
        <v>0.41921778999999998</v>
      </c>
      <c r="O1498" s="33">
        <v>25</v>
      </c>
      <c r="P1498" s="163">
        <f>P1482</f>
        <v>1.0089261E-5</v>
      </c>
      <c r="Q1498" s="163">
        <f t="shared" ref="Q1498:Z1498" si="682">Q1482</f>
        <v>2.6187022000000001E-2</v>
      </c>
      <c r="R1498" s="163">
        <f t="shared" si="682"/>
        <v>3.5477702</v>
      </c>
      <c r="S1498" s="163">
        <f t="shared" si="682"/>
        <v>6.5378404000000001E-7</v>
      </c>
      <c r="T1498" s="163">
        <f t="shared" si="682"/>
        <v>2.0940070000000002E-3</v>
      </c>
      <c r="U1498" s="163">
        <f t="shared" si="682"/>
        <v>1.5381115000000001E-2</v>
      </c>
      <c r="V1498" s="163">
        <f t="shared" si="682"/>
        <v>3.0650383000000001E-3</v>
      </c>
      <c r="W1498" s="163">
        <f t="shared" si="682"/>
        <v>1.4193853999999999</v>
      </c>
      <c r="X1498" s="163">
        <f t="shared" si="682"/>
        <v>4.1628663000000003E-2</v>
      </c>
      <c r="Y1498" s="163">
        <f t="shared" si="682"/>
        <v>150.25018</v>
      </c>
      <c r="Z1498" s="163">
        <f t="shared" si="682"/>
        <v>5.0290643999999999E-3</v>
      </c>
      <c r="AA1498" s="40"/>
      <c r="AB1498" s="40"/>
      <c r="AC1498" s="40"/>
      <c r="AD1498" s="40"/>
      <c r="AE1498" s="40"/>
      <c r="AF1498" s="40"/>
      <c r="AG1498" s="40"/>
      <c r="AH1498" s="40"/>
      <c r="AI1498" s="40"/>
      <c r="AJ1498" s="40"/>
      <c r="AK1498" s="40"/>
      <c r="AL1498" s="40"/>
      <c r="AM1498" s="40"/>
      <c r="AN1498" s="40"/>
      <c r="AO1498" s="40"/>
      <c r="AP1498" s="40"/>
      <c r="AQ1498" s="40"/>
      <c r="AR1498" s="40"/>
      <c r="AS1498" s="40"/>
      <c r="AT1498" s="40"/>
      <c r="AU1498" s="40"/>
      <c r="AV1498" s="163">
        <f>AV1482</f>
        <v>0.74710977999999995</v>
      </c>
      <c r="AW1498" s="40"/>
      <c r="AX1498" s="40"/>
      <c r="AY1498" s="163">
        <f>AY1482</f>
        <v>58.379027000000001</v>
      </c>
      <c r="AZ1498" s="40"/>
      <c r="BA1498" s="40"/>
      <c r="BB1498" s="40"/>
      <c r="BC1498" s="163">
        <f>BC1482</f>
        <v>1.0499322E-2</v>
      </c>
      <c r="BD1498" s="163">
        <f>BD1482</f>
        <v>4.0318126000000001E-4</v>
      </c>
      <c r="BE1498" s="163">
        <f>BE1482</f>
        <v>3.3556705999999998</v>
      </c>
      <c r="BF1498" s="40"/>
      <c r="BG1498" s="40"/>
      <c r="BH1498" s="40"/>
      <c r="BI1498" s="40"/>
      <c r="BJ1498" s="40"/>
      <c r="BK1498" s="40"/>
      <c r="BL1498" s="62">
        <v>1</v>
      </c>
      <c r="BM1498" s="275">
        <v>3</v>
      </c>
      <c r="BN1498" s="62">
        <v>0.03</v>
      </c>
      <c r="BP1498" s="33" t="s">
        <v>602</v>
      </c>
    </row>
    <row r="1499" spans="1:68">
      <c r="A1499" s="33" t="str">
        <f>Database_Productkaarten[[#This Row],[Product]]&amp;", "&amp;Database_Productkaarten[[#This Row],[Levensfase]]</f>
        <v>Betonstraatsteen 210x105x80 (hergebruik), A5</v>
      </c>
      <c r="B1499" s="33" t="s">
        <v>658</v>
      </c>
      <c r="C1499" t="s">
        <v>55</v>
      </c>
      <c r="D1499" s="33" t="s">
        <v>384</v>
      </c>
      <c r="E1499" s="33" t="s">
        <v>385</v>
      </c>
      <c r="F1499" s="33" t="s">
        <v>79</v>
      </c>
      <c r="G1499" s="33">
        <v>1</v>
      </c>
      <c r="H1499" s="33">
        <v>1</v>
      </c>
      <c r="I1499" s="33">
        <v>0.08</v>
      </c>
      <c r="L1499" s="33">
        <v>2.4</v>
      </c>
      <c r="M1499" s="33">
        <v>0.17960000000000001</v>
      </c>
      <c r="N1499" s="41">
        <f t="shared" ref="N1499:N1505" si="683">N1483</f>
        <v>0.14712194000000001</v>
      </c>
      <c r="O1499" s="33">
        <v>25</v>
      </c>
      <c r="P1499" s="163">
        <f t="shared" ref="P1499:Z1499" si="684">P1483</f>
        <v>1.2685192E-6</v>
      </c>
      <c r="Q1499" s="163">
        <f t="shared" si="684"/>
        <v>7.2163100000000001E-3</v>
      </c>
      <c r="R1499" s="163">
        <f t="shared" si="684"/>
        <v>1.4465694</v>
      </c>
      <c r="S1499" s="163">
        <f t="shared" si="684"/>
        <v>1.5449249999999999E-7</v>
      </c>
      <c r="T1499" s="163">
        <f t="shared" si="684"/>
        <v>8.219287E-4</v>
      </c>
      <c r="U1499" s="163">
        <f t="shared" si="684"/>
        <v>6.6327028000000001E-3</v>
      </c>
      <c r="V1499" s="163">
        <f t="shared" si="684"/>
        <v>1.4344850000000001E-3</v>
      </c>
      <c r="W1499" s="163">
        <f t="shared" si="684"/>
        <v>0.33144498999999999</v>
      </c>
      <c r="X1499" s="163">
        <f t="shared" si="684"/>
        <v>6.3210997999999996E-3</v>
      </c>
      <c r="Y1499" s="163">
        <f t="shared" si="684"/>
        <v>24.173770000000001</v>
      </c>
      <c r="Z1499" s="163">
        <f t="shared" si="684"/>
        <v>1.8655497E-3</v>
      </c>
      <c r="AA1499" s="40"/>
      <c r="AB1499" s="40"/>
      <c r="AC1499" s="40"/>
      <c r="AD1499" s="40"/>
      <c r="AE1499" s="40"/>
      <c r="AF1499" s="40"/>
      <c r="AG1499" s="40"/>
      <c r="AH1499" s="40"/>
      <c r="AI1499" s="40"/>
      <c r="AJ1499" s="40"/>
      <c r="AK1499" s="40"/>
      <c r="AL1499" s="40"/>
      <c r="AM1499" s="40"/>
      <c r="AN1499" s="40"/>
      <c r="AO1499" s="40"/>
      <c r="AP1499" s="40"/>
      <c r="AQ1499" s="40"/>
      <c r="AR1499" s="40"/>
      <c r="AS1499" s="40"/>
      <c r="AT1499" s="40"/>
      <c r="AU1499" s="40"/>
      <c r="AV1499" s="163">
        <f t="shared" ref="AV1499:AV1505" si="685">AV1483</f>
        <v>0.69445352000000005</v>
      </c>
      <c r="AW1499" s="40"/>
      <c r="AX1499" s="40"/>
      <c r="AY1499" s="163">
        <f t="shared" ref="AY1499:AY1505" si="686">AY1483</f>
        <v>16.147272999999998</v>
      </c>
      <c r="AZ1499" s="40"/>
      <c r="BA1499" s="40"/>
      <c r="BB1499" s="40"/>
      <c r="BC1499" s="163">
        <f t="shared" ref="BC1499:BE1499" si="687">BC1483</f>
        <v>4.8397687000000002E-2</v>
      </c>
      <c r="BD1499" s="163">
        <f t="shared" si="687"/>
        <v>0.35961109000000002</v>
      </c>
      <c r="BE1499" s="163">
        <f t="shared" si="687"/>
        <v>0.27382557000000002</v>
      </c>
      <c r="BF1499" s="40"/>
      <c r="BG1499" s="40"/>
      <c r="BH1499" s="40"/>
      <c r="BI1499" s="40"/>
      <c r="BJ1499" s="40"/>
      <c r="BK1499" s="40"/>
      <c r="BL1499" s="62">
        <v>1</v>
      </c>
      <c r="BM1499" s="275">
        <v>3</v>
      </c>
      <c r="BN1499" s="62">
        <v>0.03</v>
      </c>
      <c r="BP1499" s="33" t="s">
        <v>602</v>
      </c>
    </row>
    <row r="1500" spans="1:68">
      <c r="A1500" s="33" t="str">
        <f>Database_Productkaarten[[#This Row],[Product]]&amp;", "&amp;Database_Productkaarten[[#This Row],[Levensfase]]</f>
        <v>Betonstraatsteen 210x105x80 (hergebruik), B1</v>
      </c>
      <c r="B1500" s="33" t="s">
        <v>658</v>
      </c>
      <c r="C1500" t="s">
        <v>55</v>
      </c>
      <c r="D1500" s="33" t="s">
        <v>384</v>
      </c>
      <c r="E1500" s="33" t="s">
        <v>385</v>
      </c>
      <c r="F1500" s="33" t="s">
        <v>80</v>
      </c>
      <c r="G1500" s="33">
        <v>1</v>
      </c>
      <c r="H1500" s="33">
        <v>1</v>
      </c>
      <c r="I1500" s="33">
        <v>0.08</v>
      </c>
      <c r="L1500" s="33">
        <v>2.4</v>
      </c>
      <c r="M1500" s="33">
        <v>0.17960000000000001</v>
      </c>
      <c r="N1500" s="41">
        <f t="shared" si="683"/>
        <v>0</v>
      </c>
      <c r="O1500" s="33">
        <v>25</v>
      </c>
      <c r="P1500" s="163">
        <f t="shared" ref="P1500:Z1500" si="688">P1484</f>
        <v>0</v>
      </c>
      <c r="Q1500" s="163">
        <f t="shared" si="688"/>
        <v>0</v>
      </c>
      <c r="R1500" s="163">
        <f t="shared" si="688"/>
        <v>0</v>
      </c>
      <c r="S1500" s="163">
        <f t="shared" si="688"/>
        <v>0</v>
      </c>
      <c r="T1500" s="163">
        <f t="shared" si="688"/>
        <v>0</v>
      </c>
      <c r="U1500" s="163">
        <f t="shared" si="688"/>
        <v>0</v>
      </c>
      <c r="V1500" s="163">
        <f t="shared" si="688"/>
        <v>0</v>
      </c>
      <c r="W1500" s="163">
        <f t="shared" si="688"/>
        <v>0</v>
      </c>
      <c r="X1500" s="163">
        <f t="shared" si="688"/>
        <v>0</v>
      </c>
      <c r="Y1500" s="163">
        <f t="shared" si="688"/>
        <v>0</v>
      </c>
      <c r="Z1500" s="163">
        <f t="shared" si="688"/>
        <v>0</v>
      </c>
      <c r="AA1500" s="40"/>
      <c r="AB1500" s="40"/>
      <c r="AC1500" s="40"/>
      <c r="AD1500" s="40"/>
      <c r="AE1500" s="40"/>
      <c r="AF1500" s="40"/>
      <c r="AG1500" s="40"/>
      <c r="AH1500" s="40"/>
      <c r="AI1500" s="40"/>
      <c r="AJ1500" s="40"/>
      <c r="AK1500" s="40"/>
      <c r="AL1500" s="40"/>
      <c r="AM1500" s="40"/>
      <c r="AN1500" s="40"/>
      <c r="AO1500" s="40"/>
      <c r="AP1500" s="40"/>
      <c r="AQ1500" s="40"/>
      <c r="AR1500" s="40"/>
      <c r="AS1500" s="40"/>
      <c r="AT1500" s="40"/>
      <c r="AU1500" s="40"/>
      <c r="AV1500" s="163">
        <f t="shared" si="685"/>
        <v>0</v>
      </c>
      <c r="AW1500" s="40"/>
      <c r="AX1500" s="40"/>
      <c r="AY1500" s="163">
        <f t="shared" si="686"/>
        <v>0</v>
      </c>
      <c r="AZ1500" s="40"/>
      <c r="BA1500" s="40"/>
      <c r="BB1500" s="40"/>
      <c r="BC1500" s="163">
        <f t="shared" ref="BC1500:BE1500" si="689">BC1484</f>
        <v>0</v>
      </c>
      <c r="BD1500" s="163">
        <f t="shared" si="689"/>
        <v>0</v>
      </c>
      <c r="BE1500" s="163">
        <f t="shared" si="689"/>
        <v>0</v>
      </c>
      <c r="BF1500" s="40"/>
      <c r="BG1500" s="40"/>
      <c r="BH1500" s="40"/>
      <c r="BI1500" s="40"/>
      <c r="BJ1500" s="40"/>
      <c r="BK1500" s="40"/>
      <c r="BL1500" s="62">
        <v>1</v>
      </c>
      <c r="BM1500" s="275">
        <v>3</v>
      </c>
      <c r="BN1500" s="62">
        <v>0.03</v>
      </c>
      <c r="BP1500" s="33" t="s">
        <v>602</v>
      </c>
    </row>
    <row r="1501" spans="1:68">
      <c r="A1501" s="33" t="str">
        <f>Database_Productkaarten[[#This Row],[Product]]&amp;", "&amp;Database_Productkaarten[[#This Row],[Levensfase]]</f>
        <v>Betonstraatsteen 210x105x80 (hergebruik), B3</v>
      </c>
      <c r="B1501" s="33" t="s">
        <v>658</v>
      </c>
      <c r="C1501" t="s">
        <v>55</v>
      </c>
      <c r="D1501" s="33" t="s">
        <v>384</v>
      </c>
      <c r="E1501" s="33" t="s">
        <v>385</v>
      </c>
      <c r="F1501" s="33" t="s">
        <v>81</v>
      </c>
      <c r="G1501" s="33">
        <v>1</v>
      </c>
      <c r="H1501" s="33">
        <v>1</v>
      </c>
      <c r="I1501" s="33">
        <v>0.08</v>
      </c>
      <c r="L1501" s="33">
        <v>2.4</v>
      </c>
      <c r="M1501" s="33">
        <v>0.17960000000000001</v>
      </c>
      <c r="N1501" s="41">
        <f t="shared" si="683"/>
        <v>0.53874729540999999</v>
      </c>
      <c r="O1501" s="33">
        <v>25</v>
      </c>
      <c r="P1501" s="163">
        <f t="shared" ref="P1501:Z1501" si="690">P1485</f>
        <v>0</v>
      </c>
      <c r="Q1501" s="163">
        <f t="shared" si="690"/>
        <v>0</v>
      </c>
      <c r="R1501" s="163">
        <f t="shared" si="690"/>
        <v>0</v>
      </c>
      <c r="S1501" s="163">
        <f t="shared" si="690"/>
        <v>0</v>
      </c>
      <c r="T1501" s="163">
        <f t="shared" si="690"/>
        <v>0</v>
      </c>
      <c r="U1501" s="163">
        <f t="shared" si="690"/>
        <v>0</v>
      </c>
      <c r="V1501" s="163">
        <f t="shared" si="690"/>
        <v>0</v>
      </c>
      <c r="W1501" s="163">
        <f t="shared" si="690"/>
        <v>0</v>
      </c>
      <c r="X1501" s="163">
        <f t="shared" si="690"/>
        <v>0</v>
      </c>
      <c r="Y1501" s="163">
        <f t="shared" si="690"/>
        <v>0</v>
      </c>
      <c r="Z1501" s="163">
        <f t="shared" si="690"/>
        <v>0</v>
      </c>
      <c r="AA1501" s="40"/>
      <c r="AB1501" s="40"/>
      <c r="AC1501" s="40"/>
      <c r="AD1501" s="40"/>
      <c r="AE1501" s="40"/>
      <c r="AF1501" s="40"/>
      <c r="AG1501" s="40"/>
      <c r="AH1501" s="40"/>
      <c r="AI1501" s="40"/>
      <c r="AJ1501" s="40"/>
      <c r="AK1501" s="40"/>
      <c r="AL1501" s="40"/>
      <c r="AM1501" s="40"/>
      <c r="AN1501" s="40"/>
      <c r="AO1501" s="40"/>
      <c r="AP1501" s="40"/>
      <c r="AQ1501" s="40"/>
      <c r="AR1501" s="40"/>
      <c r="AS1501" s="40"/>
      <c r="AT1501" s="40"/>
      <c r="AU1501" s="40"/>
      <c r="AV1501" s="163">
        <f t="shared" si="685"/>
        <v>0</v>
      </c>
      <c r="AW1501" s="40"/>
      <c r="AX1501" s="40"/>
      <c r="AY1501" s="163">
        <f t="shared" si="686"/>
        <v>0</v>
      </c>
      <c r="AZ1501" s="40"/>
      <c r="BA1501" s="40"/>
      <c r="BB1501" s="40"/>
      <c r="BC1501" s="163">
        <f t="shared" ref="BC1501:BE1501" si="691">BC1485</f>
        <v>0</v>
      </c>
      <c r="BD1501" s="163">
        <f t="shared" si="691"/>
        <v>0</v>
      </c>
      <c r="BE1501" s="163">
        <f t="shared" si="691"/>
        <v>0</v>
      </c>
      <c r="BF1501" s="40"/>
      <c r="BG1501" s="40"/>
      <c r="BH1501" s="40"/>
      <c r="BI1501" s="40"/>
      <c r="BJ1501" s="40"/>
      <c r="BK1501" s="40"/>
      <c r="BL1501" s="62">
        <v>1</v>
      </c>
      <c r="BM1501" s="275">
        <v>3</v>
      </c>
      <c r="BN1501" s="62">
        <v>0.03</v>
      </c>
      <c r="BP1501" s="33" t="s">
        <v>602</v>
      </c>
    </row>
    <row r="1502" spans="1:68">
      <c r="A1502" s="33" t="str">
        <f>Database_Productkaarten[[#This Row],[Product]]&amp;", "&amp;Database_Productkaarten[[#This Row],[Levensfase]]</f>
        <v>Betonstraatsteen 210x105x80 (hergebruik), C1</v>
      </c>
      <c r="B1502" s="33" t="s">
        <v>658</v>
      </c>
      <c r="C1502" t="s">
        <v>55</v>
      </c>
      <c r="D1502" s="33" t="s">
        <v>384</v>
      </c>
      <c r="E1502" s="33" t="s">
        <v>385</v>
      </c>
      <c r="F1502" s="33" t="s">
        <v>83</v>
      </c>
      <c r="G1502" s="33">
        <v>1</v>
      </c>
      <c r="H1502" s="33">
        <v>1</v>
      </c>
      <c r="I1502" s="33">
        <v>0.08</v>
      </c>
      <c r="L1502" s="33">
        <v>2.4</v>
      </c>
      <c r="M1502" s="33">
        <v>0.17960000000000001</v>
      </c>
      <c r="N1502" s="41">
        <f t="shared" si="683"/>
        <v>7.8751537999999996E-2</v>
      </c>
      <c r="O1502" s="33">
        <v>25</v>
      </c>
      <c r="P1502" s="163">
        <f t="shared" ref="P1502:Z1502" si="692">P1486</f>
        <v>1.9924427999999999E-7</v>
      </c>
      <c r="Q1502" s="163">
        <f t="shared" si="692"/>
        <v>4.1050855000000002E-3</v>
      </c>
      <c r="R1502" s="163">
        <f t="shared" si="692"/>
        <v>0.59497279999999997</v>
      </c>
      <c r="S1502" s="163">
        <f t="shared" si="692"/>
        <v>1.0716769E-7</v>
      </c>
      <c r="T1502" s="163">
        <f t="shared" si="692"/>
        <v>5.9971757000000004E-4</v>
      </c>
      <c r="U1502" s="163">
        <f t="shared" si="692"/>
        <v>4.5018584999999998E-3</v>
      </c>
      <c r="V1502" s="163">
        <f t="shared" si="692"/>
        <v>1.0080613000000001E-3</v>
      </c>
      <c r="W1502" s="163">
        <f t="shared" si="692"/>
        <v>0.21061642999999999</v>
      </c>
      <c r="X1502" s="163">
        <f t="shared" si="692"/>
        <v>2.9454494999999999E-3</v>
      </c>
      <c r="Y1502" s="163">
        <f t="shared" si="692"/>
        <v>9.9845778999999997</v>
      </c>
      <c r="Z1502" s="163">
        <f t="shared" si="692"/>
        <v>3.5193414999999998E-4</v>
      </c>
      <c r="AA1502" s="40"/>
      <c r="AB1502" s="40"/>
      <c r="AC1502" s="40"/>
      <c r="AD1502" s="40"/>
      <c r="AE1502" s="40"/>
      <c r="AF1502" s="40"/>
      <c r="AG1502" s="40"/>
      <c r="AH1502" s="40"/>
      <c r="AI1502" s="40"/>
      <c r="AJ1502" s="40"/>
      <c r="AK1502" s="40"/>
      <c r="AL1502" s="40"/>
      <c r="AM1502" s="40"/>
      <c r="AN1502" s="40"/>
      <c r="AO1502" s="40"/>
      <c r="AP1502" s="40"/>
      <c r="AQ1502" s="40"/>
      <c r="AR1502" s="40"/>
      <c r="AS1502" s="40"/>
      <c r="AT1502" s="40"/>
      <c r="AU1502" s="40"/>
      <c r="AV1502" s="163">
        <f t="shared" si="685"/>
        <v>4.9442172999999999E-2</v>
      </c>
      <c r="AW1502" s="40"/>
      <c r="AX1502" s="40"/>
      <c r="AY1502" s="163">
        <f t="shared" si="686"/>
        <v>9.2085135000000005</v>
      </c>
      <c r="AZ1502" s="40"/>
      <c r="BA1502" s="40"/>
      <c r="BB1502" s="40"/>
      <c r="BC1502" s="163">
        <f t="shared" ref="BC1502:BE1502" si="693">BC1486</f>
        <v>7.5919631000000002E-4</v>
      </c>
      <c r="BD1502" s="163">
        <f t="shared" si="693"/>
        <v>6.3751571999999998E-5</v>
      </c>
      <c r="BE1502" s="163">
        <f t="shared" si="693"/>
        <v>9.3962366999999995E-3</v>
      </c>
      <c r="BF1502" s="40"/>
      <c r="BG1502" s="40"/>
      <c r="BH1502" s="40"/>
      <c r="BI1502" s="40"/>
      <c r="BJ1502" s="40"/>
      <c r="BK1502" s="40"/>
      <c r="BL1502" s="62">
        <v>1</v>
      </c>
      <c r="BM1502" s="275">
        <v>3</v>
      </c>
      <c r="BN1502" s="62">
        <v>0.03</v>
      </c>
      <c r="BP1502" s="33" t="s">
        <v>602</v>
      </c>
    </row>
    <row r="1503" spans="1:68">
      <c r="A1503" s="33" t="str">
        <f>Database_Productkaarten[[#This Row],[Product]]&amp;", "&amp;Database_Productkaarten[[#This Row],[Levensfase]]</f>
        <v>Betonstraatsteen 210x105x80 (hergebruik), C2</v>
      </c>
      <c r="B1503" s="33" t="s">
        <v>658</v>
      </c>
      <c r="C1503" t="s">
        <v>55</v>
      </c>
      <c r="D1503" s="33" t="s">
        <v>384</v>
      </c>
      <c r="E1503" s="33" t="s">
        <v>385</v>
      </c>
      <c r="F1503" s="33" t="s">
        <v>84</v>
      </c>
      <c r="G1503" s="33">
        <v>1</v>
      </c>
      <c r="H1503" s="33">
        <v>1</v>
      </c>
      <c r="I1503" s="33">
        <v>0.08</v>
      </c>
      <c r="L1503" s="33">
        <v>2.4</v>
      </c>
      <c r="M1503" s="33">
        <v>0.17960000000000001</v>
      </c>
      <c r="N1503" s="41">
        <f t="shared" si="683"/>
        <v>0.14113665</v>
      </c>
      <c r="O1503" s="33">
        <v>25</v>
      </c>
      <c r="P1503" s="163">
        <f t="shared" ref="P1503:Z1503" si="694">P1487</f>
        <v>3.3967179000000002E-6</v>
      </c>
      <c r="Q1503" s="163">
        <f t="shared" si="694"/>
        <v>8.8162976000000001E-3</v>
      </c>
      <c r="R1503" s="163">
        <f t="shared" si="694"/>
        <v>1.1944159999999999</v>
      </c>
      <c r="S1503" s="163">
        <f t="shared" si="694"/>
        <v>2.2010728999999999E-7</v>
      </c>
      <c r="T1503" s="163">
        <f t="shared" si="694"/>
        <v>7.0498233999999999E-4</v>
      </c>
      <c r="U1503" s="163">
        <f t="shared" si="694"/>
        <v>5.1783085999999997E-3</v>
      </c>
      <c r="V1503" s="163">
        <f t="shared" si="694"/>
        <v>1.0318962000000001E-3</v>
      </c>
      <c r="W1503" s="163">
        <f t="shared" si="694"/>
        <v>0.47785975000000003</v>
      </c>
      <c r="X1503" s="163">
        <f t="shared" si="694"/>
        <v>1.4014983E-2</v>
      </c>
      <c r="Y1503" s="163">
        <f t="shared" si="694"/>
        <v>50.584228000000003</v>
      </c>
      <c r="Z1503" s="163">
        <f t="shared" si="694"/>
        <v>1.6931183000000001E-3</v>
      </c>
      <c r="AA1503" s="40"/>
      <c r="AB1503" s="40"/>
      <c r="AC1503" s="40"/>
      <c r="AD1503" s="40"/>
      <c r="AE1503" s="40"/>
      <c r="AF1503" s="40"/>
      <c r="AG1503" s="40"/>
      <c r="AH1503" s="40"/>
      <c r="AI1503" s="40"/>
      <c r="AJ1503" s="40"/>
      <c r="AK1503" s="40"/>
      <c r="AL1503" s="40"/>
      <c r="AM1503" s="40"/>
      <c r="AN1503" s="40"/>
      <c r="AO1503" s="40"/>
      <c r="AP1503" s="40"/>
      <c r="AQ1503" s="40"/>
      <c r="AR1503" s="40"/>
      <c r="AS1503" s="40"/>
      <c r="AT1503" s="40"/>
      <c r="AU1503" s="40"/>
      <c r="AV1503" s="163">
        <f t="shared" si="685"/>
        <v>0.25152696000000002</v>
      </c>
      <c r="AW1503" s="40"/>
      <c r="AX1503" s="40"/>
      <c r="AY1503" s="163">
        <f t="shared" si="686"/>
        <v>19.654271999999999</v>
      </c>
      <c r="AZ1503" s="40"/>
      <c r="BA1503" s="40"/>
      <c r="BB1503" s="40"/>
      <c r="BC1503" s="163">
        <f t="shared" ref="BC1503:BE1503" si="695">BC1487</f>
        <v>3.5347718000000002E-3</v>
      </c>
      <c r="BD1503" s="163">
        <f t="shared" si="695"/>
        <v>1.3573769000000001E-4</v>
      </c>
      <c r="BE1503" s="163">
        <f t="shared" si="695"/>
        <v>1.1297424</v>
      </c>
      <c r="BF1503" s="40"/>
      <c r="BG1503" s="40"/>
      <c r="BH1503" s="40"/>
      <c r="BI1503" s="40"/>
      <c r="BJ1503" s="40"/>
      <c r="BK1503" s="40"/>
      <c r="BL1503" s="62">
        <v>1</v>
      </c>
      <c r="BM1503" s="275">
        <v>3</v>
      </c>
      <c r="BN1503" s="62">
        <v>0.03</v>
      </c>
      <c r="BP1503" s="33" t="s">
        <v>602</v>
      </c>
    </row>
    <row r="1504" spans="1:68">
      <c r="A1504" s="33" t="str">
        <f>Database_Productkaarten[[#This Row],[Product]]&amp;", "&amp;Database_Productkaarten[[#This Row],[Levensfase]]</f>
        <v>Betonstraatsteen 210x105x80 (hergebruik), C3</v>
      </c>
      <c r="B1504" s="33" t="s">
        <v>658</v>
      </c>
      <c r="C1504" t="s">
        <v>55</v>
      </c>
      <c r="D1504" s="33" t="s">
        <v>384</v>
      </c>
      <c r="E1504" s="33" t="s">
        <v>385</v>
      </c>
      <c r="F1504" s="33" t="s">
        <v>85</v>
      </c>
      <c r="G1504" s="33">
        <v>1</v>
      </c>
      <c r="H1504" s="33">
        <v>1</v>
      </c>
      <c r="I1504" s="33">
        <v>0.08</v>
      </c>
      <c r="L1504" s="33">
        <v>2.4</v>
      </c>
      <c r="M1504" s="33">
        <v>0.17960000000000001</v>
      </c>
      <c r="N1504" s="41">
        <f t="shared" si="683"/>
        <v>2.8808289000000001E-2</v>
      </c>
      <c r="O1504" s="33">
        <v>25</v>
      </c>
      <c r="P1504" s="163">
        <f t="shared" ref="P1504:Z1504" si="696">P1488</f>
        <v>1.7222725E-7</v>
      </c>
      <c r="Q1504" s="163">
        <f t="shared" si="696"/>
        <v>2.1369675999999998E-3</v>
      </c>
      <c r="R1504" s="163">
        <f t="shared" si="696"/>
        <v>0.28364496</v>
      </c>
      <c r="S1504" s="163">
        <f t="shared" si="696"/>
        <v>3.2948773000000003E-8</v>
      </c>
      <c r="T1504" s="163">
        <f t="shared" si="696"/>
        <v>1.5892259000000001E-4</v>
      </c>
      <c r="U1504" s="163">
        <f t="shared" si="696"/>
        <v>1.3104998E-3</v>
      </c>
      <c r="V1504" s="163">
        <f t="shared" si="696"/>
        <v>2.9552985999999997E-4</v>
      </c>
      <c r="W1504" s="163">
        <f t="shared" si="696"/>
        <v>6.2053759E-2</v>
      </c>
      <c r="X1504" s="163">
        <f t="shared" si="696"/>
        <v>1.0358393999999999E-3</v>
      </c>
      <c r="Y1504" s="163">
        <f t="shared" si="696"/>
        <v>3.9735667000000001</v>
      </c>
      <c r="Z1504" s="163">
        <f t="shared" si="696"/>
        <v>8.3711487000000002E-4</v>
      </c>
      <c r="AA1504" s="40"/>
      <c r="AB1504" s="40"/>
      <c r="AC1504" s="40"/>
      <c r="AD1504" s="40"/>
      <c r="AE1504" s="40"/>
      <c r="AF1504" s="40"/>
      <c r="AG1504" s="40"/>
      <c r="AH1504" s="40"/>
      <c r="AI1504" s="40"/>
      <c r="AJ1504" s="40"/>
      <c r="AK1504" s="40"/>
      <c r="AL1504" s="40"/>
      <c r="AM1504" s="40"/>
      <c r="AN1504" s="40"/>
      <c r="AO1504" s="40"/>
      <c r="AP1504" s="40"/>
      <c r="AQ1504" s="40"/>
      <c r="AR1504" s="40"/>
      <c r="AS1504" s="40"/>
      <c r="AT1504" s="40"/>
      <c r="AU1504" s="40"/>
      <c r="AV1504" s="163">
        <f t="shared" si="685"/>
        <v>0.23015121999999999</v>
      </c>
      <c r="AW1504" s="40"/>
      <c r="AX1504" s="40"/>
      <c r="AY1504" s="163">
        <f t="shared" si="686"/>
        <v>4.4744196000000001</v>
      </c>
      <c r="AZ1504" s="40"/>
      <c r="BA1504" s="40"/>
      <c r="BB1504" s="40"/>
      <c r="BC1504" s="163">
        <f t="shared" ref="BC1504:BE1504" si="697">BC1488</f>
        <v>7.1397251999999998E-4</v>
      </c>
      <c r="BD1504" s="163">
        <f t="shared" si="697"/>
        <v>2.5920019000000001E-5</v>
      </c>
      <c r="BE1504" s="163">
        <f t="shared" si="697"/>
        <v>0.54106339000000003</v>
      </c>
      <c r="BF1504" s="40"/>
      <c r="BG1504" s="40"/>
      <c r="BH1504" s="40"/>
      <c r="BI1504" s="40"/>
      <c r="BJ1504" s="40"/>
      <c r="BK1504" s="40"/>
      <c r="BL1504" s="62">
        <v>1</v>
      </c>
      <c r="BM1504" s="275">
        <v>3</v>
      </c>
      <c r="BN1504" s="62">
        <v>0.03</v>
      </c>
      <c r="BP1504" s="33" t="s">
        <v>602</v>
      </c>
    </row>
    <row r="1505" spans="1:68">
      <c r="A1505" s="33" t="str">
        <f>Database_Productkaarten[[#This Row],[Product]]&amp;", "&amp;Database_Productkaarten[[#This Row],[Levensfase]]</f>
        <v>Betonstraatsteen 210x105x80 (hergebruik), C4</v>
      </c>
      <c r="B1505" s="33" t="s">
        <v>658</v>
      </c>
      <c r="C1505" t="s">
        <v>55</v>
      </c>
      <c r="D1505" s="33" t="s">
        <v>384</v>
      </c>
      <c r="E1505" s="33" t="s">
        <v>385</v>
      </c>
      <c r="F1505" s="33" t="s">
        <v>86</v>
      </c>
      <c r="G1505" s="33">
        <v>1</v>
      </c>
      <c r="H1505" s="33">
        <v>1</v>
      </c>
      <c r="I1505" s="33">
        <v>0.08</v>
      </c>
      <c r="L1505" s="33">
        <v>2.4</v>
      </c>
      <c r="M1505" s="33">
        <v>0.17960000000000001</v>
      </c>
      <c r="N1505" s="41">
        <f t="shared" si="683"/>
        <v>1.3138391000000001E-3</v>
      </c>
      <c r="O1505" s="33">
        <v>25</v>
      </c>
      <c r="P1505" s="163">
        <f t="shared" ref="P1505:Z1505" si="698">P1489</f>
        <v>1.0950681999999999E-8</v>
      </c>
      <c r="Q1505" s="163">
        <f t="shared" si="698"/>
        <v>1.3057005000000001E-4</v>
      </c>
      <c r="R1505" s="163">
        <f t="shared" si="698"/>
        <v>9.5944815999999995E-3</v>
      </c>
      <c r="S1505" s="163">
        <f t="shared" si="698"/>
        <v>3.1756224000000002E-9</v>
      </c>
      <c r="T1505" s="163">
        <f t="shared" si="698"/>
        <v>1.0167514E-5</v>
      </c>
      <c r="U1505" s="163">
        <f t="shared" si="698"/>
        <v>7.0897409000000001E-5</v>
      </c>
      <c r="V1505" s="163">
        <f t="shared" si="698"/>
        <v>1.3343049E-5</v>
      </c>
      <c r="W1505" s="163">
        <f t="shared" si="698"/>
        <v>3.9116400999999997E-3</v>
      </c>
      <c r="X1505" s="163">
        <f t="shared" si="698"/>
        <v>9.7267318000000006E-5</v>
      </c>
      <c r="Y1505" s="163">
        <f t="shared" si="698"/>
        <v>0.33453973999999997</v>
      </c>
      <c r="Z1505" s="163">
        <f t="shared" si="698"/>
        <v>1.1584563E-5</v>
      </c>
      <c r="AA1505" s="40"/>
      <c r="AB1505" s="40"/>
      <c r="AC1505" s="40"/>
      <c r="AD1505" s="40"/>
      <c r="AE1505" s="40"/>
      <c r="AF1505" s="40"/>
      <c r="AG1505" s="40"/>
      <c r="AH1505" s="40"/>
      <c r="AI1505" s="40"/>
      <c r="AJ1505" s="40"/>
      <c r="AK1505" s="40"/>
      <c r="AL1505" s="40"/>
      <c r="AM1505" s="40"/>
      <c r="AN1505" s="40"/>
      <c r="AO1505" s="40"/>
      <c r="AP1505" s="40"/>
      <c r="AQ1505" s="40"/>
      <c r="AR1505" s="40"/>
      <c r="AS1505" s="40"/>
      <c r="AT1505" s="40"/>
      <c r="AU1505" s="40"/>
      <c r="AV1505" s="163">
        <f t="shared" si="685"/>
        <v>6.9938963E-3</v>
      </c>
      <c r="AW1505" s="40"/>
      <c r="AX1505" s="40"/>
      <c r="AY1505" s="163">
        <f t="shared" si="686"/>
        <v>0.29166996000000001</v>
      </c>
      <c r="AZ1505" s="40"/>
      <c r="BA1505" s="40"/>
      <c r="BB1505" s="40"/>
      <c r="BC1505" s="163">
        <f t="shared" ref="BC1505:BE1505" si="699">BC1489</f>
        <v>2.9396608E-4</v>
      </c>
      <c r="BD1505" s="163">
        <f t="shared" si="699"/>
        <v>1.9812924999999999E-6</v>
      </c>
      <c r="BE1505" s="163">
        <f t="shared" si="699"/>
        <v>1.7954197999999999</v>
      </c>
      <c r="BF1505" s="40"/>
      <c r="BG1505" s="40"/>
      <c r="BH1505" s="40"/>
      <c r="BI1505" s="40"/>
      <c r="BJ1505" s="40"/>
      <c r="BK1505" s="40"/>
      <c r="BL1505" s="62">
        <v>1</v>
      </c>
      <c r="BM1505" s="275">
        <v>3</v>
      </c>
      <c r="BN1505" s="62">
        <v>0.03</v>
      </c>
      <c r="BP1505" s="33" t="s">
        <v>602</v>
      </c>
    </row>
    <row r="1506" spans="1:68">
      <c r="A1506" s="33" t="str">
        <f>Database_Productkaarten[[#This Row],[Product]]&amp;", "&amp;Database_Productkaarten[[#This Row],[Levensfase]]</f>
        <v>Betonstraatsteen 210x105x80 (hergebruik), D</v>
      </c>
      <c r="B1506" s="33" t="s">
        <v>658</v>
      </c>
      <c r="C1506" s="33" t="str">
        <f>C1507</f>
        <v>Elementenverhardingen</v>
      </c>
      <c r="D1506" s="33" t="str">
        <f>D1507</f>
        <v>Betonstraatsteen</v>
      </c>
      <c r="E1506" s="33" t="str">
        <f>E1507</f>
        <v>m2</v>
      </c>
      <c r="F1506" s="33" t="s">
        <v>89</v>
      </c>
      <c r="G1506" s="33">
        <f t="shared" ref="G1506:I1506" si="700">G1507</f>
        <v>1</v>
      </c>
      <c r="H1506" s="33">
        <f t="shared" si="700"/>
        <v>1</v>
      </c>
      <c r="I1506" s="33">
        <f t="shared" si="700"/>
        <v>0.08</v>
      </c>
      <c r="L1506" s="33">
        <v>2.4</v>
      </c>
      <c r="M1506" s="33">
        <v>0.17960000000000001</v>
      </c>
      <c r="N1506" s="41">
        <f>N1481*0.1</f>
        <v>0.17829999880000003</v>
      </c>
      <c r="O1506" s="33">
        <v>25</v>
      </c>
      <c r="P1506" s="163">
        <f>P1481*0.1</f>
        <v>2.6056994090000002E-6</v>
      </c>
      <c r="Q1506" s="163">
        <f t="shared" ref="Q1506:Z1506" si="701">Q1481*0.1</f>
        <v>7.1592879200000001E-3</v>
      </c>
      <c r="R1506" s="163">
        <f t="shared" si="701"/>
        <v>2.4129209420000004</v>
      </c>
      <c r="S1506" s="163">
        <f t="shared" si="701"/>
        <v>7.3361498200000001E-8</v>
      </c>
      <c r="T1506" s="163">
        <f t="shared" si="701"/>
        <v>4.9821654499999999E-4</v>
      </c>
      <c r="U1506" s="163">
        <f t="shared" si="701"/>
        <v>5.3506577199999997E-3</v>
      </c>
      <c r="V1506" s="163">
        <f t="shared" si="701"/>
        <v>1.0530355590000001E-3</v>
      </c>
      <c r="W1506" s="163">
        <f t="shared" si="701"/>
        <v>0.23659640370000001</v>
      </c>
      <c r="X1506" s="163">
        <f t="shared" si="701"/>
        <v>6.0136895500000004E-3</v>
      </c>
      <c r="Y1506" s="163">
        <f t="shared" si="701"/>
        <v>28.878356200000002</v>
      </c>
      <c r="Z1506" s="163">
        <f t="shared" si="701"/>
        <v>4.4589789799999993E-3</v>
      </c>
      <c r="AA1506" s="40"/>
      <c r="AB1506" s="40"/>
      <c r="AC1506" s="40"/>
      <c r="AD1506" s="40"/>
      <c r="AE1506" s="40"/>
      <c r="AF1506" s="40"/>
      <c r="AG1506" s="40"/>
      <c r="AH1506" s="40"/>
      <c r="AI1506" s="40"/>
      <c r="AJ1506" s="40"/>
      <c r="AK1506" s="40"/>
      <c r="AL1506" s="40"/>
      <c r="AM1506" s="40"/>
      <c r="AN1506" s="40"/>
      <c r="AO1506" s="40"/>
      <c r="AP1506" s="40"/>
      <c r="AQ1506" s="40"/>
      <c r="AR1506" s="40"/>
      <c r="AS1506" s="40"/>
      <c r="AT1506" s="40"/>
      <c r="AU1506" s="40"/>
      <c r="AV1506" s="163">
        <f t="shared" ref="AV1506" si="702">AV1481*0.1</f>
        <v>2.0897727270000002</v>
      </c>
      <c r="AW1506" s="40"/>
      <c r="AX1506" s="40"/>
      <c r="AY1506" s="163">
        <f t="shared" ref="AY1506" si="703">AY1481*0.1</f>
        <v>15.885277299999998</v>
      </c>
      <c r="AZ1506" s="40"/>
      <c r="BA1506" s="40"/>
      <c r="BB1506" s="40"/>
      <c r="BC1506" s="163">
        <f t="shared" ref="BC1506:BE1506" si="704">BC1481*0.1</f>
        <v>0.18212215175000002</v>
      </c>
      <c r="BD1506" s="163">
        <f t="shared" si="704"/>
        <v>1.1984399608569001</v>
      </c>
      <c r="BE1506" s="163">
        <f t="shared" si="704"/>
        <v>0.2091801486</v>
      </c>
      <c r="BF1506" s="40"/>
      <c r="BG1506" s="40"/>
      <c r="BH1506" s="40"/>
      <c r="BI1506" s="40"/>
      <c r="BJ1506" s="40"/>
      <c r="BK1506" s="40"/>
      <c r="BL1506" s="62">
        <v>1</v>
      </c>
      <c r="BM1506" s="275">
        <v>3</v>
      </c>
      <c r="BN1506" s="62">
        <v>0.03</v>
      </c>
      <c r="BP1506" s="33" t="s">
        <v>602</v>
      </c>
    </row>
    <row r="1507" spans="1:68">
      <c r="A1507" s="33" t="str">
        <f>Database_Productkaarten[[#This Row],[Product]]&amp;", "&amp;Database_Productkaarten[[#This Row],[Levensfase]]</f>
        <v>Betonstraatsteen 210x105x80 (hergebruik), D1</v>
      </c>
      <c r="B1507" s="33" t="s">
        <v>658</v>
      </c>
      <c r="C1507" t="s">
        <v>55</v>
      </c>
      <c r="D1507" s="33" t="s">
        <v>384</v>
      </c>
      <c r="E1507" s="33" t="s">
        <v>385</v>
      </c>
      <c r="F1507" s="33" t="s">
        <v>87</v>
      </c>
      <c r="G1507" s="33">
        <v>1</v>
      </c>
      <c r="H1507" s="33">
        <v>1</v>
      </c>
      <c r="I1507" s="33">
        <v>0.08</v>
      </c>
      <c r="L1507" s="33">
        <v>2.4</v>
      </c>
      <c r="M1507" s="33">
        <v>0.17960000000000001</v>
      </c>
      <c r="N1507" s="41"/>
      <c r="P1507" s="40"/>
      <c r="Q1507" s="40"/>
      <c r="R1507" s="40"/>
      <c r="S1507" s="40"/>
      <c r="T1507" s="40"/>
      <c r="U1507" s="40"/>
      <c r="V1507" s="40"/>
      <c r="W1507" s="40"/>
      <c r="X1507" s="40"/>
      <c r="Y1507" s="40"/>
      <c r="Z1507" s="40"/>
      <c r="AA1507" s="40"/>
      <c r="AB1507" s="40"/>
      <c r="AC1507" s="40"/>
      <c r="AD1507" s="40"/>
      <c r="AE1507" s="40"/>
      <c r="AF1507" s="40"/>
      <c r="AG1507" s="40"/>
      <c r="AH1507" s="40"/>
      <c r="AI1507" s="40"/>
      <c r="AJ1507" s="40"/>
      <c r="AK1507" s="40"/>
      <c r="AL1507" s="40"/>
      <c r="AM1507" s="40"/>
      <c r="AN1507" s="40"/>
      <c r="AO1507" s="40"/>
      <c r="AP1507" s="40"/>
      <c r="AQ1507" s="40"/>
      <c r="AR1507" s="40"/>
      <c r="AS1507" s="40"/>
      <c r="AT1507" s="40"/>
      <c r="AU1507" s="40"/>
      <c r="AV1507" s="108"/>
      <c r="AW1507" s="40"/>
      <c r="AX1507" s="40"/>
      <c r="AY1507" s="281"/>
      <c r="AZ1507" s="40"/>
      <c r="BA1507" s="40"/>
      <c r="BB1507" s="40"/>
      <c r="BC1507" s="40"/>
      <c r="BD1507" s="40"/>
      <c r="BE1507" s="40"/>
      <c r="BF1507" s="40"/>
      <c r="BG1507" s="40"/>
      <c r="BH1507" s="40"/>
      <c r="BI1507" s="40"/>
      <c r="BJ1507" s="40"/>
      <c r="BK1507" s="40"/>
      <c r="BL1507" s="62">
        <v>1</v>
      </c>
      <c r="BM1507" s="275">
        <v>3</v>
      </c>
      <c r="BN1507" s="62">
        <v>0.03</v>
      </c>
      <c r="BP1507" s="33" t="s">
        <v>602</v>
      </c>
    </row>
    <row r="1508" spans="1:68">
      <c r="A1508" s="33" t="str">
        <f>Database_Productkaarten[[#This Row],[Product]]&amp;", "&amp;Database_Productkaarten[[#This Row],[Levensfase]]</f>
        <v>Betonstraatsteen 210x105x80 (hergebruik), D2</v>
      </c>
      <c r="B1508" s="33" t="s">
        <v>658</v>
      </c>
      <c r="C1508" t="s">
        <v>55</v>
      </c>
      <c r="D1508" s="33" t="s">
        <v>384</v>
      </c>
      <c r="E1508" s="33" t="s">
        <v>385</v>
      </c>
      <c r="F1508" s="33" t="s">
        <v>88</v>
      </c>
      <c r="G1508" s="33">
        <v>1</v>
      </c>
      <c r="H1508" s="33">
        <v>1</v>
      </c>
      <c r="I1508" s="33">
        <v>0.08</v>
      </c>
      <c r="L1508" s="33">
        <v>2.4</v>
      </c>
      <c r="M1508" s="33">
        <v>0.17960000000000001</v>
      </c>
      <c r="N1508" s="41"/>
      <c r="P1508" s="40"/>
      <c r="Q1508" s="40"/>
      <c r="R1508" s="40"/>
      <c r="S1508" s="40"/>
      <c r="T1508" s="40"/>
      <c r="U1508" s="40"/>
      <c r="V1508" s="40"/>
      <c r="W1508" s="40"/>
      <c r="X1508" s="40"/>
      <c r="Y1508" s="40"/>
      <c r="Z1508" s="40"/>
      <c r="AA1508" s="40"/>
      <c r="AB1508" s="40"/>
      <c r="AC1508" s="40"/>
      <c r="AD1508" s="40"/>
      <c r="AE1508" s="40"/>
      <c r="AF1508" s="40"/>
      <c r="AG1508" s="40"/>
      <c r="AH1508" s="40"/>
      <c r="AI1508" s="40"/>
      <c r="AJ1508" s="40"/>
      <c r="AK1508" s="40"/>
      <c r="AL1508" s="40"/>
      <c r="AM1508" s="40"/>
      <c r="AN1508" s="40"/>
      <c r="AO1508" s="40"/>
      <c r="AP1508" s="40"/>
      <c r="AQ1508" s="40"/>
      <c r="AR1508" s="40"/>
      <c r="AS1508" s="40"/>
      <c r="AT1508" s="40"/>
      <c r="AU1508" s="40"/>
      <c r="AV1508" s="108"/>
      <c r="AW1508" s="40"/>
      <c r="AX1508" s="40"/>
      <c r="AY1508" s="281"/>
      <c r="AZ1508" s="40"/>
      <c r="BA1508" s="40"/>
      <c r="BB1508" s="40"/>
      <c r="BC1508" s="40"/>
      <c r="BD1508" s="40"/>
      <c r="BE1508" s="40"/>
      <c r="BF1508" s="40"/>
      <c r="BG1508" s="40"/>
      <c r="BH1508" s="40"/>
      <c r="BI1508" s="40"/>
      <c r="BJ1508" s="40"/>
      <c r="BK1508" s="40"/>
      <c r="BL1508" s="62">
        <v>1</v>
      </c>
      <c r="BM1508" s="275">
        <v>3</v>
      </c>
      <c r="BN1508" s="62">
        <v>0.03</v>
      </c>
      <c r="BP1508" s="33" t="s">
        <v>602</v>
      </c>
    </row>
    <row r="1509" spans="1:68">
      <c r="A1509" s="33" t="str">
        <f>Database_Productkaarten[[#This Row],[Product]]&amp;", "&amp;Database_Productkaarten[[#This Row],[Levensfase]]</f>
        <v>Gebakken klinker keiformaat, Totaal</v>
      </c>
      <c r="B1509" t="s">
        <v>231</v>
      </c>
      <c r="C1509" t="s">
        <v>55</v>
      </c>
      <c r="D1509" t="s">
        <v>659</v>
      </c>
      <c r="E1509" s="33" t="s">
        <v>385</v>
      </c>
      <c r="F1509" s="33" t="s">
        <v>90</v>
      </c>
      <c r="G1509" s="33">
        <v>1</v>
      </c>
      <c r="H1509" s="33">
        <v>1</v>
      </c>
      <c r="I1509" s="33">
        <v>0.08</v>
      </c>
      <c r="L1509" s="33">
        <v>1.8</v>
      </c>
      <c r="M1509" s="33">
        <v>0.13100000000000001</v>
      </c>
      <c r="N1509" s="41"/>
      <c r="O1509" s="33">
        <v>25</v>
      </c>
      <c r="P1509" s="40"/>
      <c r="Q1509" s="40"/>
      <c r="R1509" s="40"/>
      <c r="S1509" s="40"/>
      <c r="T1509" s="40"/>
      <c r="U1509" s="40"/>
      <c r="V1509" s="40"/>
      <c r="W1509" s="40"/>
      <c r="X1509" s="40"/>
      <c r="Y1509" s="40"/>
      <c r="Z1509" s="40"/>
      <c r="AA1509" s="40"/>
      <c r="AB1509" s="40"/>
      <c r="AC1509" s="40"/>
      <c r="AD1509" s="40"/>
      <c r="AE1509" s="40"/>
      <c r="AF1509" s="40"/>
      <c r="AG1509" s="40"/>
      <c r="AH1509" s="40"/>
      <c r="AI1509" s="40"/>
      <c r="AJ1509" s="40"/>
      <c r="AK1509" s="40"/>
      <c r="AL1509" s="40"/>
      <c r="AM1509" s="40"/>
      <c r="AN1509" s="40"/>
      <c r="AO1509" s="40"/>
      <c r="AP1509" s="40"/>
      <c r="AQ1509" s="40"/>
      <c r="AR1509" s="40"/>
      <c r="AS1509" s="40"/>
      <c r="AT1509" s="40"/>
      <c r="AU1509" s="40"/>
      <c r="AV1509" s="310"/>
      <c r="AW1509" s="40"/>
      <c r="AX1509" s="40"/>
      <c r="AY1509" s="310"/>
      <c r="AZ1509" s="40"/>
      <c r="BA1509" s="40"/>
      <c r="BB1509" s="40"/>
      <c r="BC1509" s="40"/>
      <c r="BD1509" s="40"/>
      <c r="BE1509" s="40"/>
      <c r="BF1509" s="40"/>
      <c r="BG1509" s="40"/>
      <c r="BH1509" s="40"/>
      <c r="BI1509" s="40"/>
      <c r="BJ1509" s="40"/>
      <c r="BK1509" s="40"/>
      <c r="BL1509" s="62">
        <v>0</v>
      </c>
      <c r="BM1509" s="275">
        <v>3</v>
      </c>
      <c r="BN1509" s="62">
        <v>0.03</v>
      </c>
    </row>
    <row r="1510" spans="1:68">
      <c r="A1510" s="33" t="str">
        <f>Database_Productkaarten[[#This Row],[Product]]&amp;", "&amp;Database_Productkaarten[[#This Row],[Levensfase]]</f>
        <v>Gebakken klinker keiformaat, A1</v>
      </c>
      <c r="B1510" t="s">
        <v>231</v>
      </c>
      <c r="C1510" t="s">
        <v>55</v>
      </c>
      <c r="D1510" t="s">
        <v>659</v>
      </c>
      <c r="E1510" s="33" t="s">
        <v>385</v>
      </c>
      <c r="F1510" s="33" t="s">
        <v>74</v>
      </c>
      <c r="G1510" s="33">
        <v>1</v>
      </c>
      <c r="H1510" s="33">
        <v>1</v>
      </c>
      <c r="I1510" s="33">
        <v>0.08</v>
      </c>
      <c r="L1510" s="33">
        <v>1.8</v>
      </c>
      <c r="M1510" s="33">
        <v>0.13100000000000001</v>
      </c>
      <c r="N1510" s="41">
        <v>2.3418000000000001</v>
      </c>
      <c r="O1510" s="33">
        <v>25</v>
      </c>
      <c r="P1510" s="40"/>
      <c r="Q1510" s="40"/>
      <c r="R1510" s="40">
        <v>22.933</v>
      </c>
      <c r="S1510" s="40"/>
      <c r="T1510" s="40"/>
      <c r="U1510" s="40"/>
      <c r="V1510" s="40"/>
      <c r="W1510" s="40"/>
      <c r="X1510" s="40"/>
      <c r="Y1510" s="40"/>
      <c r="Z1510" s="40"/>
      <c r="AA1510" s="40"/>
      <c r="AB1510" s="40"/>
      <c r="AC1510" s="40"/>
      <c r="AD1510" s="40"/>
      <c r="AE1510" s="40"/>
      <c r="AF1510" s="40"/>
      <c r="AG1510" s="40"/>
      <c r="AH1510" s="40"/>
      <c r="AI1510" s="40"/>
      <c r="AJ1510" s="40"/>
      <c r="AK1510" s="40"/>
      <c r="AL1510" s="40"/>
      <c r="AM1510" s="40"/>
      <c r="AN1510" s="40"/>
      <c r="AO1510" s="40"/>
      <c r="AP1510" s="40"/>
      <c r="AQ1510" s="40"/>
      <c r="AR1510" s="40"/>
      <c r="AS1510" s="40"/>
      <c r="AT1510" s="40"/>
      <c r="AU1510" s="40"/>
      <c r="AV1510" s="163">
        <v>13.2</v>
      </c>
      <c r="AW1510" s="40"/>
      <c r="AX1510" s="40"/>
      <c r="AY1510" s="163">
        <v>270</v>
      </c>
      <c r="AZ1510" s="40"/>
      <c r="BA1510" s="40"/>
      <c r="BB1510" s="40"/>
      <c r="BC1510" s="40"/>
      <c r="BD1510" s="40"/>
      <c r="BE1510" s="40"/>
      <c r="BF1510" s="40"/>
      <c r="BG1510" s="40"/>
      <c r="BH1510" s="40"/>
      <c r="BI1510" s="40"/>
      <c r="BJ1510" s="40"/>
      <c r="BK1510" s="40"/>
      <c r="BL1510" s="62">
        <v>0</v>
      </c>
      <c r="BM1510" s="275">
        <v>3</v>
      </c>
      <c r="BN1510" s="62">
        <v>0.03</v>
      </c>
    </row>
    <row r="1511" spans="1:68">
      <c r="A1511" s="33" t="str">
        <f>Database_Productkaarten[[#This Row],[Product]]&amp;", "&amp;Database_Productkaarten[[#This Row],[Levensfase]]</f>
        <v>Gebakken klinker keiformaat, A2</v>
      </c>
      <c r="B1511" t="s">
        <v>231</v>
      </c>
      <c r="C1511" t="s">
        <v>55</v>
      </c>
      <c r="D1511" t="s">
        <v>659</v>
      </c>
      <c r="E1511" s="33" t="s">
        <v>385</v>
      </c>
      <c r="F1511" s="33" t="s">
        <v>75</v>
      </c>
      <c r="G1511" s="33">
        <v>1</v>
      </c>
      <c r="H1511" s="33">
        <v>1</v>
      </c>
      <c r="I1511" s="33">
        <v>0.08</v>
      </c>
      <c r="L1511" s="33">
        <v>1.8</v>
      </c>
      <c r="M1511" s="33">
        <v>0.13100000000000001</v>
      </c>
      <c r="N1511" s="41"/>
      <c r="O1511" s="33">
        <v>25</v>
      </c>
      <c r="P1511" s="40"/>
      <c r="Q1511" s="40"/>
      <c r="R1511" s="40"/>
      <c r="S1511" s="40"/>
      <c r="T1511" s="40"/>
      <c r="U1511" s="40"/>
      <c r="V1511" s="40"/>
      <c r="W1511" s="40"/>
      <c r="X1511" s="40"/>
      <c r="Y1511" s="40"/>
      <c r="Z1511" s="40"/>
      <c r="AA1511" s="40"/>
      <c r="AB1511" s="40"/>
      <c r="AC1511" s="40"/>
      <c r="AD1511" s="40"/>
      <c r="AE1511" s="40"/>
      <c r="AF1511" s="40"/>
      <c r="AG1511" s="40"/>
      <c r="AH1511" s="40"/>
      <c r="AI1511" s="40"/>
      <c r="AJ1511" s="40"/>
      <c r="AK1511" s="40"/>
      <c r="AL1511" s="40"/>
      <c r="AM1511" s="40"/>
      <c r="AN1511" s="40"/>
      <c r="AO1511" s="40"/>
      <c r="AP1511" s="40"/>
      <c r="AQ1511" s="40"/>
      <c r="AR1511" s="40"/>
      <c r="AS1511" s="40"/>
      <c r="AT1511" s="40"/>
      <c r="AU1511" s="40"/>
      <c r="AV1511" s="311"/>
      <c r="AW1511" s="40"/>
      <c r="AX1511" s="40"/>
      <c r="AY1511" s="311"/>
      <c r="AZ1511" s="40"/>
      <c r="BA1511" s="40"/>
      <c r="BB1511" s="40"/>
      <c r="BC1511" s="40"/>
      <c r="BD1511" s="40"/>
      <c r="BE1511" s="40"/>
      <c r="BF1511" s="40"/>
      <c r="BG1511" s="40"/>
      <c r="BH1511" s="40"/>
      <c r="BI1511" s="40"/>
      <c r="BJ1511" s="40"/>
      <c r="BK1511" s="40"/>
      <c r="BL1511" s="62">
        <v>0</v>
      </c>
      <c r="BM1511" s="275">
        <v>3</v>
      </c>
      <c r="BN1511" s="62">
        <v>0.03</v>
      </c>
    </row>
    <row r="1512" spans="1:68">
      <c r="A1512" s="33" t="str">
        <f>Database_Productkaarten[[#This Row],[Product]]&amp;", "&amp;Database_Productkaarten[[#This Row],[Levensfase]]</f>
        <v>Gebakken klinker keiformaat, A3</v>
      </c>
      <c r="B1512" t="s">
        <v>231</v>
      </c>
      <c r="C1512" t="s">
        <v>55</v>
      </c>
      <c r="D1512" t="s">
        <v>659</v>
      </c>
      <c r="E1512" s="33" t="s">
        <v>385</v>
      </c>
      <c r="F1512" s="33" t="s">
        <v>76</v>
      </c>
      <c r="G1512" s="33">
        <v>1</v>
      </c>
      <c r="H1512" s="33">
        <v>1</v>
      </c>
      <c r="I1512" s="33">
        <v>0.08</v>
      </c>
      <c r="L1512" s="33">
        <v>1.8</v>
      </c>
      <c r="M1512" s="33">
        <v>0.13100000000000001</v>
      </c>
      <c r="N1512" s="41"/>
      <c r="O1512" s="33">
        <v>25</v>
      </c>
      <c r="P1512" s="40"/>
      <c r="Q1512" s="40"/>
      <c r="R1512" s="40"/>
      <c r="S1512" s="40"/>
      <c r="T1512" s="40"/>
      <c r="U1512" s="40"/>
      <c r="V1512" s="40"/>
      <c r="W1512" s="40"/>
      <c r="X1512" s="40"/>
      <c r="Y1512" s="40"/>
      <c r="Z1512" s="40"/>
      <c r="AA1512" s="40"/>
      <c r="AB1512" s="40"/>
      <c r="AC1512" s="40"/>
      <c r="AD1512" s="40"/>
      <c r="AE1512" s="40"/>
      <c r="AF1512" s="40"/>
      <c r="AG1512" s="40"/>
      <c r="AH1512" s="40"/>
      <c r="AI1512" s="40"/>
      <c r="AJ1512" s="40"/>
      <c r="AK1512" s="40"/>
      <c r="AL1512" s="40"/>
      <c r="AM1512" s="163"/>
      <c r="AV1512" s="316"/>
      <c r="AW1512" s="317"/>
      <c r="AX1512" s="317"/>
      <c r="AY1512" s="316"/>
      <c r="AZ1512" s="40"/>
      <c r="BA1512" s="40"/>
      <c r="BB1512" s="40"/>
      <c r="BC1512" s="40"/>
      <c r="BD1512" s="40"/>
      <c r="BE1512" s="40"/>
      <c r="BF1512" s="40"/>
      <c r="BG1512" s="40"/>
      <c r="BH1512" s="40"/>
      <c r="BI1512" s="40"/>
      <c r="BJ1512" s="40"/>
      <c r="BK1512" s="40"/>
      <c r="BL1512" s="62">
        <v>0</v>
      </c>
      <c r="BM1512" s="275">
        <v>3</v>
      </c>
      <c r="BN1512" s="62">
        <v>0.03</v>
      </c>
    </row>
    <row r="1513" spans="1:68">
      <c r="A1513" s="451" t="str">
        <f>Database_Productkaarten[[#This Row],[Product]]&amp;", "&amp;Database_Productkaarten[[#This Row],[Levensfase]]</f>
        <v>Gebakken klinker keiformaat, A1-A3</v>
      </c>
      <c r="B1513" s="451" t="str">
        <f>B1512</f>
        <v>Gebakken klinker keiformaat</v>
      </c>
      <c r="C1513" s="451" t="str">
        <f>C1512</f>
        <v>Elementenverhardingen</v>
      </c>
      <c r="D1513" s="451" t="str">
        <f>D1512</f>
        <v>Gebakken klinker</v>
      </c>
      <c r="E1513" s="451" t="str">
        <f>E1512</f>
        <v>m2</v>
      </c>
      <c r="F1513" s="451" t="s">
        <v>77</v>
      </c>
      <c r="G1513" s="451">
        <f t="shared" ref="G1513:M1513" si="705">G1512</f>
        <v>1</v>
      </c>
      <c r="H1513" s="451">
        <f t="shared" si="705"/>
        <v>1</v>
      </c>
      <c r="I1513" s="451">
        <f t="shared" si="705"/>
        <v>0.08</v>
      </c>
      <c r="J1513" s="451"/>
      <c r="K1513" s="451"/>
      <c r="L1513" s="451">
        <f t="shared" si="705"/>
        <v>1.8</v>
      </c>
      <c r="M1513" s="454">
        <f t="shared" si="705"/>
        <v>0.13100000000000001</v>
      </c>
      <c r="N1513" s="452">
        <f>SUM(N1510:N1512)</f>
        <v>2.3418000000000001</v>
      </c>
      <c r="O1513" s="451">
        <f>O1512</f>
        <v>25</v>
      </c>
      <c r="P1513" s="453">
        <f t="shared" ref="P1513:BK1513" si="706">SUM(P1510:P1512)</f>
        <v>0</v>
      </c>
      <c r="Q1513" s="453">
        <f t="shared" si="706"/>
        <v>0</v>
      </c>
      <c r="R1513" s="453">
        <f t="shared" si="706"/>
        <v>22.933</v>
      </c>
      <c r="S1513" s="453">
        <f t="shared" si="706"/>
        <v>0</v>
      </c>
      <c r="T1513" s="453">
        <f t="shared" si="706"/>
        <v>0</v>
      </c>
      <c r="U1513" s="453">
        <f t="shared" si="706"/>
        <v>0</v>
      </c>
      <c r="V1513" s="453">
        <f t="shared" si="706"/>
        <v>0</v>
      </c>
      <c r="W1513" s="453">
        <f t="shared" si="706"/>
        <v>0</v>
      </c>
      <c r="X1513" s="453">
        <f t="shared" si="706"/>
        <v>0</v>
      </c>
      <c r="Y1513" s="453">
        <f t="shared" si="706"/>
        <v>0</v>
      </c>
      <c r="Z1513" s="453">
        <f t="shared" si="706"/>
        <v>0</v>
      </c>
      <c r="AA1513" s="453">
        <f t="shared" si="706"/>
        <v>0</v>
      </c>
      <c r="AB1513" s="453">
        <f t="shared" si="706"/>
        <v>0</v>
      </c>
      <c r="AC1513" s="453">
        <f t="shared" si="706"/>
        <v>0</v>
      </c>
      <c r="AD1513" s="453">
        <f t="shared" si="706"/>
        <v>0</v>
      </c>
      <c r="AE1513" s="453">
        <f t="shared" si="706"/>
        <v>0</v>
      </c>
      <c r="AF1513" s="453">
        <f t="shared" si="706"/>
        <v>0</v>
      </c>
      <c r="AG1513" s="453">
        <f t="shared" si="706"/>
        <v>0</v>
      </c>
      <c r="AH1513" s="453">
        <f t="shared" si="706"/>
        <v>0</v>
      </c>
      <c r="AI1513" s="453">
        <f t="shared" si="706"/>
        <v>0</v>
      </c>
      <c r="AJ1513" s="453">
        <f t="shared" si="706"/>
        <v>0</v>
      </c>
      <c r="AK1513" s="453">
        <f t="shared" si="706"/>
        <v>0</v>
      </c>
      <c r="AL1513" s="453">
        <f t="shared" si="706"/>
        <v>0</v>
      </c>
      <c r="AM1513" s="453">
        <f t="shared" si="706"/>
        <v>0</v>
      </c>
      <c r="AN1513" s="453">
        <f t="shared" si="706"/>
        <v>0</v>
      </c>
      <c r="AO1513" s="453">
        <f t="shared" si="706"/>
        <v>0</v>
      </c>
      <c r="AP1513" s="453">
        <f t="shared" si="706"/>
        <v>0</v>
      </c>
      <c r="AQ1513" s="453">
        <f t="shared" si="706"/>
        <v>0</v>
      </c>
      <c r="AR1513" s="453">
        <f t="shared" si="706"/>
        <v>0</v>
      </c>
      <c r="AS1513" s="453">
        <f t="shared" si="706"/>
        <v>0</v>
      </c>
      <c r="AT1513" s="453">
        <f t="shared" si="706"/>
        <v>0</v>
      </c>
      <c r="AU1513" s="453">
        <f t="shared" si="706"/>
        <v>0</v>
      </c>
      <c r="AV1513" s="317">
        <f t="shared" si="706"/>
        <v>13.2</v>
      </c>
      <c r="AW1513" s="317">
        <f t="shared" si="706"/>
        <v>0</v>
      </c>
      <c r="AX1513" s="317">
        <f t="shared" si="706"/>
        <v>0</v>
      </c>
      <c r="AY1513" s="317">
        <f t="shared" si="706"/>
        <v>270</v>
      </c>
      <c r="AZ1513" s="453">
        <f t="shared" si="706"/>
        <v>0</v>
      </c>
      <c r="BA1513" s="453">
        <f t="shared" si="706"/>
        <v>0</v>
      </c>
      <c r="BB1513" s="453">
        <f t="shared" si="706"/>
        <v>0</v>
      </c>
      <c r="BC1513" s="453">
        <f t="shared" si="706"/>
        <v>0</v>
      </c>
      <c r="BD1513" s="453">
        <f t="shared" si="706"/>
        <v>0</v>
      </c>
      <c r="BE1513" s="453">
        <f t="shared" si="706"/>
        <v>0</v>
      </c>
      <c r="BF1513" s="453">
        <f t="shared" si="706"/>
        <v>0</v>
      </c>
      <c r="BG1513" s="453">
        <f t="shared" si="706"/>
        <v>0</v>
      </c>
      <c r="BH1513" s="453">
        <f t="shared" si="706"/>
        <v>0</v>
      </c>
      <c r="BI1513" s="453">
        <f t="shared" si="706"/>
        <v>0</v>
      </c>
      <c r="BJ1513" s="453">
        <f t="shared" si="706"/>
        <v>0</v>
      </c>
      <c r="BK1513" s="453">
        <f t="shared" si="706"/>
        <v>0</v>
      </c>
      <c r="BL1513" s="62">
        <f>BL1512</f>
        <v>0</v>
      </c>
      <c r="BM1513" s="275">
        <f>BM1512</f>
        <v>3</v>
      </c>
      <c r="BN1513" s="62">
        <v>0.03</v>
      </c>
      <c r="BO1513" s="451">
        <f>BO1512</f>
        <v>0</v>
      </c>
      <c r="BP1513" s="451"/>
    </row>
    <row r="1514" spans="1:68">
      <c r="A1514" s="33" t="str">
        <f>Database_Productkaarten[[#This Row],[Product]]&amp;", "&amp;Database_Productkaarten[[#This Row],[Levensfase]]</f>
        <v>Gebakken klinker keiformaat, A4</v>
      </c>
      <c r="B1514" t="s">
        <v>231</v>
      </c>
      <c r="C1514" t="s">
        <v>55</v>
      </c>
      <c r="D1514" t="s">
        <v>659</v>
      </c>
      <c r="E1514" s="33" t="s">
        <v>385</v>
      </c>
      <c r="F1514" s="33" t="s">
        <v>78</v>
      </c>
      <c r="G1514" s="33">
        <v>1</v>
      </c>
      <c r="H1514" s="33">
        <v>1</v>
      </c>
      <c r="I1514" s="33">
        <v>0.08</v>
      </c>
      <c r="L1514" s="33">
        <v>1.8</v>
      </c>
      <c r="M1514" s="33">
        <v>0.13100000000000001</v>
      </c>
      <c r="N1514" s="41">
        <v>3.44E-2</v>
      </c>
      <c r="O1514" s="33">
        <v>25</v>
      </c>
      <c r="P1514" s="40"/>
      <c r="Q1514" s="40"/>
      <c r="R1514" s="40">
        <v>0.30630000000000002</v>
      </c>
      <c r="S1514" s="40"/>
      <c r="T1514" s="40"/>
      <c r="U1514" s="40"/>
      <c r="V1514" s="40"/>
      <c r="W1514" s="40"/>
      <c r="X1514" s="40"/>
      <c r="Y1514" s="40"/>
      <c r="Z1514" s="40"/>
      <c r="AA1514" s="40"/>
      <c r="AB1514" s="40"/>
      <c r="AC1514" s="40"/>
      <c r="AD1514" s="40"/>
      <c r="AE1514" s="40"/>
      <c r="AF1514" s="40"/>
      <c r="AG1514" s="40"/>
      <c r="AH1514" s="40"/>
      <c r="AI1514" s="40"/>
      <c r="AJ1514" s="40"/>
      <c r="AK1514" s="40"/>
      <c r="AL1514" s="40"/>
      <c r="AM1514" s="163"/>
      <c r="AV1514" s="316">
        <v>8.3699999999999997E-2</v>
      </c>
      <c r="AW1514" s="317"/>
      <c r="AX1514" s="317"/>
      <c r="AY1514" s="316">
        <v>5.35</v>
      </c>
      <c r="AZ1514" s="40"/>
      <c r="BA1514" s="40"/>
      <c r="BB1514" s="40"/>
      <c r="BC1514" s="40"/>
      <c r="BD1514" s="40"/>
      <c r="BE1514" s="40"/>
      <c r="BF1514" s="40"/>
      <c r="BG1514" s="40"/>
      <c r="BH1514" s="40"/>
      <c r="BI1514" s="40"/>
      <c r="BJ1514" s="40"/>
      <c r="BK1514" s="40"/>
      <c r="BL1514" s="62">
        <v>0</v>
      </c>
      <c r="BM1514" s="275">
        <v>3</v>
      </c>
      <c r="BN1514" s="62">
        <v>0.03</v>
      </c>
    </row>
    <row r="1515" spans="1:68">
      <c r="A1515" s="33" t="str">
        <f>Database_Productkaarten[[#This Row],[Product]]&amp;", "&amp;Database_Productkaarten[[#This Row],[Levensfase]]</f>
        <v>Gebakken klinker keiformaat, A5</v>
      </c>
      <c r="B1515" t="s">
        <v>231</v>
      </c>
      <c r="C1515" t="s">
        <v>55</v>
      </c>
      <c r="D1515" t="s">
        <v>659</v>
      </c>
      <c r="E1515" s="33" t="s">
        <v>385</v>
      </c>
      <c r="F1515" s="33" t="s">
        <v>79</v>
      </c>
      <c r="G1515" s="33">
        <v>1</v>
      </c>
      <c r="H1515" s="33">
        <v>1</v>
      </c>
      <c r="I1515" s="33">
        <v>0.08</v>
      </c>
      <c r="L1515" s="33">
        <v>1.8</v>
      </c>
      <c r="M1515" s="33">
        <v>0.13100000000000001</v>
      </c>
      <c r="N1515" s="41">
        <v>0.59819999999999995</v>
      </c>
      <c r="O1515" s="33">
        <v>25</v>
      </c>
      <c r="P1515" s="40"/>
      <c r="Q1515" s="40"/>
      <c r="R1515" s="40">
        <v>6.3749000000000002</v>
      </c>
      <c r="S1515" s="40"/>
      <c r="T1515" s="40"/>
      <c r="U1515" s="40"/>
      <c r="V1515" s="40"/>
      <c r="W1515" s="40"/>
      <c r="X1515" s="40"/>
      <c r="Y1515" s="40"/>
      <c r="Z1515" s="40"/>
      <c r="AA1515" s="40"/>
      <c r="AB1515" s="40"/>
      <c r="AC1515" s="40"/>
      <c r="AD1515" s="40"/>
      <c r="AE1515" s="40"/>
      <c r="AF1515" s="40"/>
      <c r="AG1515" s="40"/>
      <c r="AH1515" s="40"/>
      <c r="AI1515" s="40"/>
      <c r="AJ1515" s="40"/>
      <c r="AK1515" s="40"/>
      <c r="AL1515" s="40"/>
      <c r="AM1515" s="40"/>
      <c r="AN1515" s="40"/>
      <c r="AO1515" s="40"/>
      <c r="AP1515" s="40"/>
      <c r="AQ1515" s="40"/>
      <c r="AR1515" s="40"/>
      <c r="AS1515" s="40"/>
      <c r="AT1515" s="40"/>
      <c r="AU1515" s="40"/>
      <c r="AV1515" s="316">
        <v>0.68200000000000005</v>
      </c>
      <c r="AW1515" s="317"/>
      <c r="AX1515" s="317"/>
      <c r="AY1515" s="316">
        <v>90.9</v>
      </c>
      <c r="AZ1515" s="40"/>
      <c r="BA1515" s="40"/>
      <c r="BB1515" s="40"/>
      <c r="BC1515" s="40"/>
      <c r="BD1515" s="40"/>
      <c r="BE1515" s="40"/>
      <c r="BF1515" s="40"/>
      <c r="BG1515" s="40"/>
      <c r="BH1515" s="40"/>
      <c r="BI1515" s="40"/>
      <c r="BJ1515" s="40"/>
      <c r="BK1515" s="40"/>
      <c r="BL1515" s="62">
        <v>0</v>
      </c>
      <c r="BM1515" s="275">
        <v>3</v>
      </c>
      <c r="BN1515" s="62">
        <v>0.03</v>
      </c>
    </row>
    <row r="1516" spans="1:68">
      <c r="A1516" s="33" t="str">
        <f>Database_Productkaarten[[#This Row],[Product]]&amp;", "&amp;Database_Productkaarten[[#This Row],[Levensfase]]</f>
        <v>Gebakken klinker keiformaat, B1</v>
      </c>
      <c r="B1516" t="s">
        <v>231</v>
      </c>
      <c r="C1516" t="s">
        <v>55</v>
      </c>
      <c r="D1516" t="s">
        <v>659</v>
      </c>
      <c r="E1516" s="33" t="s">
        <v>385</v>
      </c>
      <c r="F1516" s="33" t="s">
        <v>80</v>
      </c>
      <c r="G1516" s="33">
        <v>1</v>
      </c>
      <c r="H1516" s="33">
        <v>1</v>
      </c>
      <c r="I1516" s="33">
        <v>0.08</v>
      </c>
      <c r="L1516" s="33">
        <v>1.8</v>
      </c>
      <c r="M1516" s="33">
        <v>0.13100000000000001</v>
      </c>
      <c r="N1516" s="41"/>
      <c r="O1516" s="33">
        <v>25</v>
      </c>
      <c r="P1516" s="40"/>
      <c r="Q1516" s="40"/>
      <c r="R1516" s="40"/>
      <c r="S1516" s="40"/>
      <c r="T1516" s="40"/>
      <c r="U1516" s="40"/>
      <c r="V1516" s="40"/>
      <c r="W1516" s="40"/>
      <c r="X1516" s="40"/>
      <c r="Y1516" s="40"/>
      <c r="Z1516" s="40"/>
      <c r="AA1516" s="40"/>
      <c r="AB1516" s="40"/>
      <c r="AC1516" s="40"/>
      <c r="AD1516" s="40"/>
      <c r="AE1516" s="40"/>
      <c r="AF1516" s="40"/>
      <c r="AG1516" s="40"/>
      <c r="AH1516" s="40"/>
      <c r="AI1516" s="40"/>
      <c r="AJ1516" s="40"/>
      <c r="AK1516" s="40"/>
      <c r="AL1516" s="40"/>
      <c r="AM1516" s="40"/>
      <c r="AN1516" s="40"/>
      <c r="AO1516" s="40"/>
      <c r="AP1516" s="40"/>
      <c r="AQ1516" s="40"/>
      <c r="AR1516" s="40"/>
      <c r="AS1516" s="40"/>
      <c r="AT1516" s="40"/>
      <c r="AU1516" s="40"/>
      <c r="AV1516" s="316">
        <v>0</v>
      </c>
      <c r="AW1516" s="317"/>
      <c r="AX1516" s="317"/>
      <c r="AY1516" s="316">
        <v>0</v>
      </c>
      <c r="AZ1516" s="40"/>
      <c r="BA1516" s="40"/>
      <c r="BB1516" s="40"/>
      <c r="BC1516" s="40"/>
      <c r="BD1516" s="40"/>
      <c r="BE1516" s="40"/>
      <c r="BF1516" s="40"/>
      <c r="BG1516" s="40"/>
      <c r="BH1516" s="40"/>
      <c r="BI1516" s="40"/>
      <c r="BJ1516" s="40"/>
      <c r="BK1516" s="40"/>
      <c r="BL1516" s="62">
        <v>0</v>
      </c>
      <c r="BM1516" s="275">
        <v>3</v>
      </c>
      <c r="BN1516" s="62">
        <v>0.03</v>
      </c>
    </row>
    <row r="1517" spans="1:68">
      <c r="A1517" s="33" t="str">
        <f>Database_Productkaarten[[#This Row],[Product]]&amp;", "&amp;Database_Productkaarten[[#This Row],[Levensfase]]</f>
        <v>Gebakken klinker keiformaat, B3</v>
      </c>
      <c r="B1517" t="s">
        <v>231</v>
      </c>
      <c r="C1517" t="s">
        <v>55</v>
      </c>
      <c r="D1517" t="s">
        <v>659</v>
      </c>
      <c r="E1517" s="33" t="s">
        <v>385</v>
      </c>
      <c r="F1517" s="33" t="s">
        <v>81</v>
      </c>
      <c r="G1517" s="33">
        <v>1</v>
      </c>
      <c r="H1517" s="33">
        <v>1</v>
      </c>
      <c r="I1517" s="33">
        <v>0.08</v>
      </c>
      <c r="L1517" s="33">
        <v>1.8</v>
      </c>
      <c r="M1517" s="33">
        <v>0.13100000000000001</v>
      </c>
      <c r="N1517" s="41"/>
      <c r="O1517" s="33">
        <v>25</v>
      </c>
      <c r="P1517" s="40"/>
      <c r="Q1517" s="40"/>
      <c r="R1517" s="40"/>
      <c r="S1517" s="40"/>
      <c r="T1517" s="40"/>
      <c r="U1517" s="40"/>
      <c r="V1517" s="40"/>
      <c r="W1517" s="40"/>
      <c r="X1517" s="40"/>
      <c r="Y1517" s="40"/>
      <c r="Z1517" s="40"/>
      <c r="AA1517" s="40"/>
      <c r="AB1517" s="40"/>
      <c r="AC1517" s="40"/>
      <c r="AD1517" s="40"/>
      <c r="AE1517" s="40"/>
      <c r="AF1517" s="40"/>
      <c r="AG1517" s="40"/>
      <c r="AH1517" s="40"/>
      <c r="AI1517" s="40"/>
      <c r="AJ1517" s="40"/>
      <c r="AK1517" s="40"/>
      <c r="AL1517" s="40"/>
      <c r="AM1517" s="40"/>
      <c r="AN1517" s="40"/>
      <c r="AO1517" s="40"/>
      <c r="AP1517" s="40"/>
      <c r="AQ1517" s="40"/>
      <c r="AR1517" s="40"/>
      <c r="AS1517" s="40"/>
      <c r="AT1517" s="40"/>
      <c r="AU1517" s="40"/>
      <c r="AV1517" s="316"/>
      <c r="AW1517" s="317"/>
      <c r="AX1517" s="317"/>
      <c r="AY1517" s="316"/>
      <c r="AZ1517" s="40"/>
      <c r="BA1517" s="40"/>
      <c r="BB1517" s="40"/>
      <c r="BC1517" s="40"/>
      <c r="BD1517" s="40"/>
      <c r="BE1517" s="40"/>
      <c r="BF1517" s="40"/>
      <c r="BG1517" s="40"/>
      <c r="BH1517" s="40"/>
      <c r="BI1517" s="40"/>
      <c r="BJ1517" s="40"/>
      <c r="BK1517" s="40"/>
      <c r="BL1517" s="62">
        <v>0</v>
      </c>
      <c r="BM1517" s="275">
        <v>3</v>
      </c>
      <c r="BN1517" s="62">
        <v>0.03</v>
      </c>
    </row>
    <row r="1518" spans="1:68">
      <c r="A1518" s="33" t="str">
        <f>Database_Productkaarten[[#This Row],[Product]]&amp;", "&amp;Database_Productkaarten[[#This Row],[Levensfase]]</f>
        <v>Gebakken klinker keiformaat, C1</v>
      </c>
      <c r="B1518" t="s">
        <v>231</v>
      </c>
      <c r="C1518" t="s">
        <v>55</v>
      </c>
      <c r="D1518" t="s">
        <v>659</v>
      </c>
      <c r="E1518" s="33" t="s">
        <v>385</v>
      </c>
      <c r="F1518" s="33" t="s">
        <v>83</v>
      </c>
      <c r="G1518" s="33">
        <v>1</v>
      </c>
      <c r="H1518" s="33">
        <v>1</v>
      </c>
      <c r="I1518" s="33">
        <v>0.08</v>
      </c>
      <c r="L1518" s="33">
        <v>1.8</v>
      </c>
      <c r="M1518" s="33">
        <v>0.13100000000000001</v>
      </c>
      <c r="N1518" s="41">
        <v>4.9700000000000001E-2</v>
      </c>
      <c r="O1518" s="33">
        <v>25</v>
      </c>
      <c r="P1518" s="40"/>
      <c r="Q1518" s="40"/>
      <c r="R1518" s="40">
        <v>0.53649999999999998</v>
      </c>
      <c r="S1518" s="40"/>
      <c r="T1518" s="40"/>
      <c r="U1518" s="40"/>
      <c r="V1518" s="40"/>
      <c r="W1518" s="40"/>
      <c r="X1518" s="40"/>
      <c r="Y1518" s="40"/>
      <c r="Z1518" s="40"/>
      <c r="AA1518" s="40"/>
      <c r="AB1518" s="40"/>
      <c r="AC1518" s="40"/>
      <c r="AD1518" s="40"/>
      <c r="AE1518" s="40"/>
      <c r="AF1518" s="40"/>
      <c r="AG1518" s="40"/>
      <c r="AH1518" s="40"/>
      <c r="AI1518" s="40"/>
      <c r="AJ1518" s="40"/>
      <c r="AK1518" s="40"/>
      <c r="AL1518" s="40"/>
      <c r="AM1518" s="40"/>
      <c r="AN1518" s="40"/>
      <c r="AO1518" s="40"/>
      <c r="AP1518" s="40"/>
      <c r="AQ1518" s="40"/>
      <c r="AR1518" s="40"/>
      <c r="AS1518" s="40"/>
      <c r="AT1518" s="40"/>
      <c r="AU1518" s="40"/>
      <c r="AV1518" s="316">
        <v>5.9700000000000003E-2</v>
      </c>
      <c r="AW1518" s="317"/>
      <c r="AX1518" s="317"/>
      <c r="AY1518" s="316">
        <v>8.18</v>
      </c>
      <c r="AZ1518" s="40"/>
      <c r="BA1518" s="40"/>
      <c r="BB1518" s="40"/>
      <c r="BC1518" s="40"/>
      <c r="BD1518" s="40"/>
      <c r="BE1518" s="40"/>
      <c r="BF1518" s="40"/>
      <c r="BG1518" s="40"/>
      <c r="BH1518" s="40"/>
      <c r="BI1518" s="40"/>
      <c r="BJ1518" s="40"/>
      <c r="BK1518" s="40"/>
      <c r="BL1518" s="62">
        <v>0</v>
      </c>
      <c r="BM1518" s="275">
        <v>3</v>
      </c>
      <c r="BN1518" s="62">
        <v>0.03</v>
      </c>
    </row>
    <row r="1519" spans="1:68">
      <c r="A1519" s="33" t="str">
        <f>Database_Productkaarten[[#This Row],[Product]]&amp;", "&amp;Database_Productkaarten[[#This Row],[Levensfase]]</f>
        <v>Gebakken klinker keiformaat, C2</v>
      </c>
      <c r="B1519" t="s">
        <v>231</v>
      </c>
      <c r="C1519" t="s">
        <v>55</v>
      </c>
      <c r="D1519" t="s">
        <v>659</v>
      </c>
      <c r="E1519" s="33" t="s">
        <v>385</v>
      </c>
      <c r="F1519" s="33" t="s">
        <v>84</v>
      </c>
      <c r="G1519" s="33">
        <v>1</v>
      </c>
      <c r="H1519" s="33">
        <v>1</v>
      </c>
      <c r="I1519" s="33">
        <v>0.08</v>
      </c>
      <c r="L1519" s="33">
        <v>1.8</v>
      </c>
      <c r="M1519" s="33">
        <v>0.13100000000000001</v>
      </c>
      <c r="N1519" s="41">
        <v>3.4700000000000002E-2</v>
      </c>
      <c r="O1519" s="33">
        <v>25</v>
      </c>
      <c r="P1519" s="40"/>
      <c r="Q1519" s="40"/>
      <c r="R1519" s="40">
        <v>0.30930000000000002</v>
      </c>
      <c r="S1519" s="40"/>
      <c r="T1519" s="40"/>
      <c r="U1519" s="40"/>
      <c r="V1519" s="40"/>
      <c r="W1519" s="40"/>
      <c r="X1519" s="40"/>
      <c r="Y1519" s="40"/>
      <c r="Z1519" s="40"/>
      <c r="AA1519" s="40"/>
      <c r="AB1519" s="40"/>
      <c r="AC1519" s="40"/>
      <c r="AD1519" s="40"/>
      <c r="AE1519" s="40"/>
      <c r="AF1519" s="40"/>
      <c r="AG1519" s="40"/>
      <c r="AH1519" s="40"/>
      <c r="AI1519" s="40"/>
      <c r="AJ1519" s="40"/>
      <c r="AK1519" s="40"/>
      <c r="AL1519" s="40"/>
      <c r="AM1519" s="40"/>
      <c r="AN1519" s="40"/>
      <c r="AO1519" s="40"/>
      <c r="AP1519" s="40"/>
      <c r="AQ1519" s="40"/>
      <c r="AR1519" s="40"/>
      <c r="AS1519" s="40"/>
      <c r="AT1519" s="40"/>
      <c r="AU1519" s="40"/>
      <c r="AV1519" s="316">
        <v>8.4500000000000006E-2</v>
      </c>
      <c r="AW1519" s="317"/>
      <c r="AX1519" s="317"/>
      <c r="AY1519" s="316">
        <v>5.41</v>
      </c>
      <c r="AZ1519" s="40"/>
      <c r="BA1519" s="40"/>
      <c r="BB1519" s="40"/>
      <c r="BC1519" s="40"/>
      <c r="BD1519" s="40"/>
      <c r="BE1519" s="40"/>
      <c r="BF1519" s="40"/>
      <c r="BG1519" s="40"/>
      <c r="BH1519" s="40"/>
      <c r="BI1519" s="40"/>
      <c r="BJ1519" s="40"/>
      <c r="BK1519" s="40"/>
      <c r="BL1519" s="62">
        <v>0</v>
      </c>
      <c r="BM1519" s="275">
        <v>3</v>
      </c>
      <c r="BN1519" s="62">
        <v>0.03</v>
      </c>
    </row>
    <row r="1520" spans="1:68">
      <c r="A1520" s="33" t="str">
        <f>Database_Productkaarten[[#This Row],[Product]]&amp;", "&amp;Database_Productkaarten[[#This Row],[Levensfase]]</f>
        <v>Gebakken klinker keiformaat, C3</v>
      </c>
      <c r="B1520" t="s">
        <v>231</v>
      </c>
      <c r="C1520" t="s">
        <v>55</v>
      </c>
      <c r="D1520" t="s">
        <v>659</v>
      </c>
      <c r="E1520" s="33" t="s">
        <v>385</v>
      </c>
      <c r="F1520" s="33" t="s">
        <v>85</v>
      </c>
      <c r="G1520" s="33">
        <v>1</v>
      </c>
      <c r="H1520" s="33">
        <v>1</v>
      </c>
      <c r="I1520" s="33">
        <v>0.08</v>
      </c>
      <c r="L1520" s="33">
        <v>1.8</v>
      </c>
      <c r="M1520" s="33">
        <v>0.13100000000000001</v>
      </c>
      <c r="N1520" s="41">
        <v>2.06E-2</v>
      </c>
      <c r="O1520" s="33">
        <v>25</v>
      </c>
      <c r="P1520" s="40"/>
      <c r="Q1520" s="40"/>
      <c r="R1520" s="40">
        <v>5.7999999999999996E-3</v>
      </c>
      <c r="S1520" s="40"/>
      <c r="T1520" s="40"/>
      <c r="U1520" s="40"/>
      <c r="V1520" s="40"/>
      <c r="W1520" s="40"/>
      <c r="X1520" s="40"/>
      <c r="Y1520" s="40"/>
      <c r="Z1520" s="40"/>
      <c r="AA1520" s="40"/>
      <c r="AB1520" s="40"/>
      <c r="AC1520" s="40"/>
      <c r="AD1520" s="40"/>
      <c r="AE1520" s="40"/>
      <c r="AF1520" s="40"/>
      <c r="AG1520" s="40"/>
      <c r="AH1520" s="40"/>
      <c r="AI1520" s="40"/>
      <c r="AJ1520" s="40"/>
      <c r="AK1520" s="40"/>
      <c r="AL1520" s="40"/>
      <c r="AM1520" s="40"/>
      <c r="AN1520" s="40"/>
      <c r="AO1520" s="40"/>
      <c r="AP1520" s="40"/>
      <c r="AQ1520" s="40"/>
      <c r="AR1520" s="40"/>
      <c r="AS1520" s="40"/>
      <c r="AT1520" s="40"/>
      <c r="AU1520" s="40"/>
      <c r="AV1520" s="316">
        <v>4.7200000000000002E-3</v>
      </c>
      <c r="AW1520" s="317"/>
      <c r="AX1520" s="317"/>
      <c r="AY1520" s="316">
        <v>8.8999999999999996E-2</v>
      </c>
      <c r="AZ1520" s="40"/>
      <c r="BA1520" s="40"/>
      <c r="BB1520" s="40"/>
      <c r="BC1520" s="40"/>
      <c r="BD1520" s="40"/>
      <c r="BE1520" s="40"/>
      <c r="BF1520" s="40"/>
      <c r="BG1520" s="40"/>
      <c r="BH1520" s="40"/>
      <c r="BI1520" s="40"/>
      <c r="BJ1520" s="40"/>
      <c r="BK1520" s="40"/>
      <c r="BL1520" s="62">
        <v>0</v>
      </c>
      <c r="BM1520" s="275">
        <v>3</v>
      </c>
      <c r="BN1520" s="62">
        <v>0.03</v>
      </c>
    </row>
    <row r="1521" spans="1:68">
      <c r="A1521" s="33" t="str">
        <f>Database_Productkaarten[[#This Row],[Product]]&amp;", "&amp;Database_Productkaarten[[#This Row],[Levensfase]]</f>
        <v>Gebakken klinker keiformaat, C4</v>
      </c>
      <c r="B1521" t="s">
        <v>231</v>
      </c>
      <c r="C1521" t="s">
        <v>55</v>
      </c>
      <c r="D1521" t="s">
        <v>659</v>
      </c>
      <c r="E1521" s="33" t="s">
        <v>385</v>
      </c>
      <c r="F1521" s="33" t="s">
        <v>86</v>
      </c>
      <c r="G1521" s="33">
        <v>1</v>
      </c>
      <c r="H1521" s="33">
        <v>1</v>
      </c>
      <c r="I1521" s="33">
        <v>0.08</v>
      </c>
      <c r="L1521" s="33">
        <v>1.8</v>
      </c>
      <c r="M1521" s="33">
        <v>0.13100000000000001</v>
      </c>
      <c r="N1521" s="41">
        <v>5.3999999999999998E-5</v>
      </c>
      <c r="O1521" s="33">
        <v>25</v>
      </c>
      <c r="P1521" s="40"/>
      <c r="Q1521" s="40"/>
      <c r="R1521" s="40">
        <v>3.8E-3</v>
      </c>
      <c r="S1521" s="40"/>
      <c r="T1521" s="40"/>
      <c r="U1521" s="40"/>
      <c r="V1521" s="40"/>
      <c r="W1521" s="40"/>
      <c r="X1521" s="40"/>
      <c r="Y1521" s="40"/>
      <c r="Z1521" s="40"/>
      <c r="AA1521" s="40"/>
      <c r="AB1521" s="40"/>
      <c r="AC1521" s="40"/>
      <c r="AD1521" s="40"/>
      <c r="AE1521" s="40"/>
      <c r="AF1521" s="40"/>
      <c r="AG1521" s="40"/>
      <c r="AH1521" s="40"/>
      <c r="AI1521" s="40"/>
      <c r="AJ1521" s="40"/>
      <c r="AK1521" s="40"/>
      <c r="AL1521" s="40"/>
      <c r="AM1521" s="40"/>
      <c r="AN1521" s="40"/>
      <c r="AO1521" s="40"/>
      <c r="AP1521" s="40"/>
      <c r="AQ1521" s="40"/>
      <c r="AR1521" s="40"/>
      <c r="AS1521" s="40"/>
      <c r="AT1521" s="40"/>
      <c r="AU1521" s="40"/>
      <c r="AV1521" s="316">
        <v>4.7700000000000001E-5</v>
      </c>
      <c r="AW1521" s="317"/>
      <c r="AX1521" s="317"/>
      <c r="AY1521" s="316">
        <v>6.2700000000000004E-3</v>
      </c>
      <c r="AZ1521" s="40"/>
      <c r="BA1521" s="40"/>
      <c r="BB1521" s="40"/>
      <c r="BC1521" s="40"/>
      <c r="BD1521" s="40"/>
      <c r="BE1521" s="40"/>
      <c r="BF1521" s="40"/>
      <c r="BG1521" s="40"/>
      <c r="BH1521" s="40"/>
      <c r="BI1521" s="40"/>
      <c r="BJ1521" s="40"/>
      <c r="BK1521" s="40"/>
      <c r="BL1521" s="62">
        <v>0</v>
      </c>
      <c r="BM1521" s="275">
        <v>3</v>
      </c>
      <c r="BN1521" s="62">
        <v>0.03</v>
      </c>
    </row>
    <row r="1522" spans="1:68">
      <c r="A1522" s="33" t="str">
        <f>Database_Productkaarten[[#This Row],[Product]]&amp;", "&amp;Database_Productkaarten[[#This Row],[Levensfase]]</f>
        <v>Gebakken klinker keiformaat, D</v>
      </c>
      <c r="B1522" s="33" t="str">
        <f>B1523</f>
        <v>Gebakken klinker keiformaat</v>
      </c>
      <c r="C1522" s="33" t="str">
        <f>C1523</f>
        <v>Elementenverhardingen</v>
      </c>
      <c r="D1522" s="33" t="str">
        <f>D1523</f>
        <v>Gebakken klinker</v>
      </c>
      <c r="E1522" s="33" t="str">
        <f>E1523</f>
        <v>m2</v>
      </c>
      <c r="F1522" s="33" t="s">
        <v>89</v>
      </c>
      <c r="G1522" s="33">
        <f t="shared" ref="G1522:M1522" si="707">G1523</f>
        <v>1</v>
      </c>
      <c r="H1522" s="33">
        <f t="shared" si="707"/>
        <v>1</v>
      </c>
      <c r="I1522" s="33">
        <f t="shared" si="707"/>
        <v>0.08</v>
      </c>
      <c r="L1522" s="33">
        <f t="shared" si="707"/>
        <v>1.8</v>
      </c>
      <c r="M1522" s="45">
        <f t="shared" si="707"/>
        <v>0.13100000000000001</v>
      </c>
      <c r="N1522" s="41">
        <f>SUM(N1523:N1524)</f>
        <v>-2.2080000000000002</v>
      </c>
      <c r="O1522" s="33">
        <f>O1523</f>
        <v>25</v>
      </c>
      <c r="P1522" s="40">
        <f>SUM(P1523:P1524)</f>
        <v>0</v>
      </c>
      <c r="Q1522" s="40">
        <f>SUM(Q1523:Q1524)</f>
        <v>0</v>
      </c>
      <c r="R1522" s="40">
        <f>SUM(R1523:R1524)</f>
        <v>-21.615100000000002</v>
      </c>
      <c r="S1522" s="40">
        <f t="shared" ref="S1522:BK1522" si="708">SUM(S1523:S1524)</f>
        <v>0</v>
      </c>
      <c r="T1522" s="40">
        <f t="shared" si="708"/>
        <v>0</v>
      </c>
      <c r="U1522" s="40">
        <f t="shared" si="708"/>
        <v>0</v>
      </c>
      <c r="V1522" s="40">
        <f t="shared" si="708"/>
        <v>0</v>
      </c>
      <c r="W1522" s="40">
        <f t="shared" si="708"/>
        <v>0</v>
      </c>
      <c r="X1522" s="40">
        <f t="shared" si="708"/>
        <v>0</v>
      </c>
      <c r="Y1522" s="40">
        <f t="shared" si="708"/>
        <v>0</v>
      </c>
      <c r="Z1522" s="40">
        <f t="shared" si="708"/>
        <v>0</v>
      </c>
      <c r="AA1522" s="40">
        <f t="shared" si="708"/>
        <v>0</v>
      </c>
      <c r="AB1522" s="40">
        <f t="shared" si="708"/>
        <v>0</v>
      </c>
      <c r="AC1522" s="40">
        <f t="shared" si="708"/>
        <v>0</v>
      </c>
      <c r="AD1522" s="40">
        <f t="shared" si="708"/>
        <v>0</v>
      </c>
      <c r="AE1522" s="40">
        <f t="shared" si="708"/>
        <v>0</v>
      </c>
      <c r="AF1522" s="40">
        <f t="shared" si="708"/>
        <v>0</v>
      </c>
      <c r="AG1522" s="40">
        <f t="shared" si="708"/>
        <v>0</v>
      </c>
      <c r="AH1522" s="40">
        <f t="shared" si="708"/>
        <v>0</v>
      </c>
      <c r="AI1522" s="40">
        <f t="shared" si="708"/>
        <v>0</v>
      </c>
      <c r="AJ1522" s="40">
        <f t="shared" si="708"/>
        <v>0</v>
      </c>
      <c r="AK1522" s="40">
        <f t="shared" si="708"/>
        <v>0</v>
      </c>
      <c r="AL1522" s="40">
        <f t="shared" si="708"/>
        <v>0</v>
      </c>
      <c r="AM1522" s="40">
        <f t="shared" si="708"/>
        <v>0</v>
      </c>
      <c r="AN1522" s="40">
        <f t="shared" si="708"/>
        <v>0</v>
      </c>
      <c r="AO1522" s="40">
        <f t="shared" si="708"/>
        <v>0</v>
      </c>
      <c r="AP1522" s="40">
        <f t="shared" si="708"/>
        <v>0</v>
      </c>
      <c r="AQ1522" s="40">
        <f t="shared" si="708"/>
        <v>0</v>
      </c>
      <c r="AR1522" s="40">
        <f t="shared" si="708"/>
        <v>0</v>
      </c>
      <c r="AS1522" s="40">
        <f t="shared" si="708"/>
        <v>0</v>
      </c>
      <c r="AT1522" s="40">
        <f t="shared" si="708"/>
        <v>0</v>
      </c>
      <c r="AU1522" s="40">
        <f t="shared" si="708"/>
        <v>0</v>
      </c>
      <c r="AV1522" s="317">
        <f t="shared" si="708"/>
        <v>-12.6</v>
      </c>
      <c r="AW1522" s="317">
        <f t="shared" si="708"/>
        <v>0</v>
      </c>
      <c r="AX1522" s="317">
        <f t="shared" si="708"/>
        <v>0</v>
      </c>
      <c r="AY1522" s="317">
        <f t="shared" si="708"/>
        <v>-257</v>
      </c>
      <c r="AZ1522" s="40">
        <f t="shared" si="708"/>
        <v>0</v>
      </c>
      <c r="BA1522" s="40">
        <f t="shared" si="708"/>
        <v>0</v>
      </c>
      <c r="BB1522" s="40">
        <f t="shared" si="708"/>
        <v>0</v>
      </c>
      <c r="BC1522" s="40">
        <f t="shared" si="708"/>
        <v>0</v>
      </c>
      <c r="BD1522" s="40">
        <f t="shared" si="708"/>
        <v>0</v>
      </c>
      <c r="BE1522" s="40">
        <f t="shared" si="708"/>
        <v>0</v>
      </c>
      <c r="BF1522" s="40">
        <f t="shared" si="708"/>
        <v>0</v>
      </c>
      <c r="BG1522" s="40">
        <f t="shared" si="708"/>
        <v>0</v>
      </c>
      <c r="BH1522" s="40">
        <f t="shared" si="708"/>
        <v>0</v>
      </c>
      <c r="BI1522" s="40">
        <f t="shared" si="708"/>
        <v>0</v>
      </c>
      <c r="BJ1522" s="40">
        <f t="shared" si="708"/>
        <v>0</v>
      </c>
      <c r="BK1522" s="40">
        <f t="shared" si="708"/>
        <v>0</v>
      </c>
      <c r="BL1522" s="62">
        <f>BL1523</f>
        <v>0</v>
      </c>
      <c r="BM1522" s="275">
        <f>BM1523</f>
        <v>3</v>
      </c>
      <c r="BN1522" s="62">
        <v>0.03</v>
      </c>
      <c r="BO1522" s="33">
        <f>BO1523</f>
        <v>0</v>
      </c>
    </row>
    <row r="1523" spans="1:68">
      <c r="A1523" s="33" t="str">
        <f>Database_Productkaarten[[#This Row],[Product]]&amp;", "&amp;Database_Productkaarten[[#This Row],[Levensfase]]</f>
        <v>Gebakken klinker keiformaat, D1</v>
      </c>
      <c r="B1523" t="s">
        <v>231</v>
      </c>
      <c r="C1523" t="s">
        <v>55</v>
      </c>
      <c r="D1523" t="s">
        <v>659</v>
      </c>
      <c r="E1523" s="33" t="s">
        <v>385</v>
      </c>
      <c r="F1523" s="33" t="s">
        <v>87</v>
      </c>
      <c r="G1523" s="33">
        <v>1</v>
      </c>
      <c r="H1523" s="33">
        <v>1</v>
      </c>
      <c r="I1523" s="33">
        <v>0.08</v>
      </c>
      <c r="L1523" s="33">
        <v>1.8</v>
      </c>
      <c r="M1523" s="33">
        <v>0.13100000000000001</v>
      </c>
      <c r="N1523" s="41">
        <v>-2.2080000000000002</v>
      </c>
      <c r="O1523" s="33">
        <v>25</v>
      </c>
      <c r="P1523" s="40"/>
      <c r="Q1523" s="40"/>
      <c r="R1523" s="40">
        <v>-21.615100000000002</v>
      </c>
      <c r="S1523" s="40"/>
      <c r="T1523" s="40"/>
      <c r="U1523" s="40"/>
      <c r="V1523" s="40"/>
      <c r="W1523" s="40"/>
      <c r="X1523" s="40"/>
      <c r="Y1523" s="40"/>
      <c r="Z1523" s="40"/>
      <c r="AA1523" s="40"/>
      <c r="AB1523" s="40"/>
      <c r="AC1523" s="40"/>
      <c r="AD1523" s="40"/>
      <c r="AE1523" s="40"/>
      <c r="AF1523" s="40"/>
      <c r="AG1523" s="40"/>
      <c r="AH1523" s="40"/>
      <c r="AI1523" s="40"/>
      <c r="AJ1523" s="40"/>
      <c r="AK1523" s="40"/>
      <c r="AL1523" s="40"/>
      <c r="AM1523" s="40"/>
      <c r="AN1523" s="40"/>
      <c r="AO1523" s="40"/>
      <c r="AP1523" s="40"/>
      <c r="AQ1523" s="40"/>
      <c r="AR1523" s="40"/>
      <c r="AS1523" s="40"/>
      <c r="AT1523" s="40"/>
      <c r="AU1523" s="40"/>
      <c r="AV1523" s="314">
        <v>-12.6</v>
      </c>
      <c r="AW1523" s="317"/>
      <c r="AX1523" s="317"/>
      <c r="AY1523" s="314">
        <v>-257</v>
      </c>
      <c r="AZ1523" s="40"/>
      <c r="BA1523" s="40"/>
      <c r="BB1523" s="40"/>
      <c r="BC1523" s="40"/>
      <c r="BD1523" s="40"/>
      <c r="BE1523" s="40"/>
      <c r="BF1523" s="40"/>
      <c r="BG1523" s="40"/>
      <c r="BH1523" s="40"/>
      <c r="BI1523" s="40"/>
      <c r="BJ1523" s="40"/>
      <c r="BK1523" s="40"/>
      <c r="BL1523" s="62">
        <v>0</v>
      </c>
      <c r="BM1523" s="275">
        <v>3</v>
      </c>
      <c r="BN1523" s="62">
        <v>0.03</v>
      </c>
    </row>
    <row r="1524" spans="1:68">
      <c r="A1524" s="33" t="str">
        <f>Database_Productkaarten[[#This Row],[Product]]&amp;", "&amp;Database_Productkaarten[[#This Row],[Levensfase]]</f>
        <v>Gebakken klinker keiformaat, D2</v>
      </c>
      <c r="B1524" t="s">
        <v>231</v>
      </c>
      <c r="C1524" t="s">
        <v>55</v>
      </c>
      <c r="D1524" t="s">
        <v>659</v>
      </c>
      <c r="E1524" s="33" t="s">
        <v>385</v>
      </c>
      <c r="F1524" s="33" t="s">
        <v>88</v>
      </c>
      <c r="G1524" s="33">
        <v>1</v>
      </c>
      <c r="H1524" s="33">
        <v>1</v>
      </c>
      <c r="I1524" s="33">
        <v>0.08</v>
      </c>
      <c r="L1524" s="33">
        <v>1.8</v>
      </c>
      <c r="M1524" s="33">
        <v>0.13100000000000001</v>
      </c>
      <c r="N1524" s="41"/>
      <c r="O1524" s="33">
        <v>25</v>
      </c>
      <c r="P1524" s="40"/>
      <c r="Q1524" s="40"/>
      <c r="R1524" s="40"/>
      <c r="S1524" s="40"/>
      <c r="T1524" s="40"/>
      <c r="U1524" s="40"/>
      <c r="V1524" s="40"/>
      <c r="W1524" s="40"/>
      <c r="X1524" s="40"/>
      <c r="Y1524" s="40"/>
      <c r="Z1524" s="40"/>
      <c r="AA1524" s="40"/>
      <c r="AB1524" s="40"/>
      <c r="AC1524" s="40"/>
      <c r="AD1524" s="40"/>
      <c r="AE1524" s="40"/>
      <c r="AF1524" s="40"/>
      <c r="AG1524" s="40"/>
      <c r="AH1524" s="40"/>
      <c r="AI1524" s="40"/>
      <c r="AJ1524" s="40"/>
      <c r="AK1524" s="40"/>
      <c r="AL1524" s="40"/>
      <c r="AM1524" s="40"/>
      <c r="AN1524" s="40"/>
      <c r="AO1524" s="40"/>
      <c r="AP1524" s="40"/>
      <c r="AQ1524" s="40"/>
      <c r="AR1524" s="40"/>
      <c r="AS1524" s="40"/>
      <c r="AT1524" s="40"/>
      <c r="AU1524" s="40"/>
      <c r="AV1524" s="313"/>
      <c r="AW1524" s="317"/>
      <c r="AX1524" s="317"/>
      <c r="AY1524" s="313"/>
      <c r="AZ1524" s="40"/>
      <c r="BA1524" s="40"/>
      <c r="BB1524" s="40"/>
      <c r="BC1524" s="40"/>
      <c r="BD1524" s="40"/>
      <c r="BE1524" s="40"/>
      <c r="BF1524" s="40"/>
      <c r="BG1524" s="40"/>
      <c r="BH1524" s="40"/>
      <c r="BI1524" s="40"/>
      <c r="BJ1524" s="40"/>
      <c r="BK1524" s="40"/>
      <c r="BL1524" s="62">
        <v>0</v>
      </c>
      <c r="BM1524" s="275">
        <v>3</v>
      </c>
      <c r="BN1524" s="62">
        <v>0.03</v>
      </c>
    </row>
    <row r="1525" spans="1:68">
      <c r="A1525" s="33" t="str">
        <f>Database_Productkaarten[[#This Row],[Product]]&amp;", "&amp;Database_Productkaarten[[#This Row],[Levensfase]]</f>
        <v>Gebakken klinker keiformaat (hergebruik), Totaal</v>
      </c>
      <c r="B1525" t="s">
        <v>233</v>
      </c>
      <c r="C1525" t="s">
        <v>55</v>
      </c>
      <c r="D1525" t="s">
        <v>659</v>
      </c>
      <c r="E1525" s="33" t="s">
        <v>385</v>
      </c>
      <c r="F1525" s="33" t="s">
        <v>90</v>
      </c>
      <c r="G1525" s="33">
        <v>1</v>
      </c>
      <c r="H1525" s="33">
        <v>1</v>
      </c>
      <c r="I1525" s="33">
        <v>0.08</v>
      </c>
      <c r="L1525" s="33">
        <v>1.8</v>
      </c>
      <c r="M1525" s="33">
        <v>0.13100000000000001</v>
      </c>
      <c r="N1525" s="41">
        <f>SUM(N1529:N1537)</f>
        <v>0.73765399999999981</v>
      </c>
      <c r="O1525" s="33">
        <v>25</v>
      </c>
      <c r="P1525" s="163">
        <f t="shared" ref="P1525:Z1525" si="709">SUM(P1529:P1537)</f>
        <v>0</v>
      </c>
      <c r="Q1525" s="163">
        <f t="shared" si="709"/>
        <v>0</v>
      </c>
      <c r="R1525" s="163">
        <f t="shared" si="709"/>
        <v>7.5366000000000009</v>
      </c>
      <c r="S1525" s="163">
        <f t="shared" si="709"/>
        <v>0</v>
      </c>
      <c r="T1525" s="163">
        <f t="shared" si="709"/>
        <v>0</v>
      </c>
      <c r="U1525" s="163">
        <f t="shared" si="709"/>
        <v>0</v>
      </c>
      <c r="V1525" s="163">
        <f t="shared" si="709"/>
        <v>0</v>
      </c>
      <c r="W1525" s="163">
        <f t="shared" si="709"/>
        <v>0</v>
      </c>
      <c r="X1525" s="163">
        <f t="shared" si="709"/>
        <v>0</v>
      </c>
      <c r="Y1525" s="163">
        <f t="shared" si="709"/>
        <v>0</v>
      </c>
      <c r="Z1525" s="163">
        <f t="shared" si="709"/>
        <v>0</v>
      </c>
      <c r="AA1525" s="40"/>
      <c r="AB1525" s="40"/>
      <c r="AC1525" s="40"/>
      <c r="AD1525" s="40"/>
      <c r="AE1525" s="40"/>
      <c r="AF1525" s="40"/>
      <c r="AG1525" s="40"/>
      <c r="AH1525" s="40"/>
      <c r="AI1525" s="40"/>
      <c r="AJ1525" s="40"/>
      <c r="AK1525" s="40"/>
      <c r="AL1525" s="40"/>
      <c r="AM1525" s="40"/>
      <c r="AN1525" s="40"/>
      <c r="AO1525" s="40"/>
      <c r="AP1525" s="40"/>
      <c r="AQ1525" s="40"/>
      <c r="AR1525" s="40"/>
      <c r="AS1525" s="40"/>
      <c r="AT1525" s="40"/>
      <c r="AU1525" s="40"/>
      <c r="AV1525" s="163">
        <f>SUM(AV1529:AV1537)</f>
        <v>0.91466769999999997</v>
      </c>
      <c r="AW1525" s="40"/>
      <c r="AX1525" s="40"/>
      <c r="AY1525" s="163">
        <f>SUM(AY1529:AY1537)</f>
        <v>109.93527</v>
      </c>
      <c r="AZ1525" s="40"/>
      <c r="BA1525" s="40"/>
      <c r="BB1525" s="40"/>
      <c r="BC1525" s="163">
        <f t="shared" ref="BC1525:BE1525" si="710">SUM(BC1529:BC1537)</f>
        <v>0</v>
      </c>
      <c r="BD1525" s="163">
        <f t="shared" si="710"/>
        <v>0</v>
      </c>
      <c r="BE1525" s="163">
        <f t="shared" si="710"/>
        <v>0</v>
      </c>
      <c r="BF1525" s="40"/>
      <c r="BG1525" s="40"/>
      <c r="BH1525" s="40"/>
      <c r="BI1525" s="40"/>
      <c r="BJ1525" s="40"/>
      <c r="BK1525" s="40"/>
      <c r="BL1525" s="62">
        <v>1</v>
      </c>
      <c r="BM1525" s="275">
        <v>3</v>
      </c>
      <c r="BN1525" s="62">
        <v>0.03</v>
      </c>
      <c r="BP1525" s="33" t="s">
        <v>602</v>
      </c>
    </row>
    <row r="1526" spans="1:68">
      <c r="A1526" s="33" t="str">
        <f>Database_Productkaarten[[#This Row],[Product]]&amp;", "&amp;Database_Productkaarten[[#This Row],[Levensfase]]</f>
        <v>Gebakken klinker keiformaat (hergebruik), A1</v>
      </c>
      <c r="B1526" t="s">
        <v>233</v>
      </c>
      <c r="C1526" t="s">
        <v>55</v>
      </c>
      <c r="D1526" t="s">
        <v>659</v>
      </c>
      <c r="E1526" s="33" t="s">
        <v>385</v>
      </c>
      <c r="F1526" s="33" t="s">
        <v>74</v>
      </c>
      <c r="G1526" s="33">
        <v>1</v>
      </c>
      <c r="H1526" s="33">
        <v>1</v>
      </c>
      <c r="I1526" s="33">
        <v>0.08</v>
      </c>
      <c r="L1526" s="33">
        <v>1.8</v>
      </c>
      <c r="M1526" s="33">
        <v>0.13100000000000001</v>
      </c>
      <c r="N1526" s="41">
        <v>0</v>
      </c>
      <c r="O1526" s="33">
        <v>25</v>
      </c>
      <c r="P1526" s="163">
        <v>0</v>
      </c>
      <c r="Q1526" s="163">
        <v>0</v>
      </c>
      <c r="R1526" s="163">
        <v>0</v>
      </c>
      <c r="S1526" s="163">
        <v>0</v>
      </c>
      <c r="T1526" s="163">
        <v>0</v>
      </c>
      <c r="U1526" s="163">
        <v>0</v>
      </c>
      <c r="V1526" s="163">
        <v>0</v>
      </c>
      <c r="W1526" s="163">
        <v>0</v>
      </c>
      <c r="X1526" s="163">
        <v>0</v>
      </c>
      <c r="Y1526" s="163">
        <v>0</v>
      </c>
      <c r="Z1526" s="163">
        <v>0</v>
      </c>
      <c r="AA1526" s="40"/>
      <c r="AB1526" s="40"/>
      <c r="AC1526" s="40"/>
      <c r="AD1526" s="40"/>
      <c r="AE1526" s="40"/>
      <c r="AF1526" s="40"/>
      <c r="AG1526" s="40"/>
      <c r="AH1526" s="40"/>
      <c r="AI1526" s="40"/>
      <c r="AJ1526" s="40"/>
      <c r="AK1526" s="40"/>
      <c r="AL1526" s="40"/>
      <c r="AM1526" s="40"/>
      <c r="AN1526" s="40"/>
      <c r="AO1526" s="40"/>
      <c r="AP1526" s="40"/>
      <c r="AQ1526" s="40"/>
      <c r="AR1526" s="40"/>
      <c r="AS1526" s="40"/>
      <c r="AT1526" s="40"/>
      <c r="AU1526" s="40"/>
      <c r="AV1526" s="163">
        <v>0</v>
      </c>
      <c r="AW1526" s="40"/>
      <c r="AX1526" s="40"/>
      <c r="AY1526" s="163">
        <v>0</v>
      </c>
      <c r="AZ1526" s="40"/>
      <c r="BA1526" s="40"/>
      <c r="BB1526" s="40"/>
      <c r="BC1526" s="163">
        <v>0</v>
      </c>
      <c r="BD1526" s="163">
        <v>0</v>
      </c>
      <c r="BE1526" s="163">
        <v>0</v>
      </c>
      <c r="BF1526" s="40"/>
      <c r="BG1526" s="40"/>
      <c r="BH1526" s="40"/>
      <c r="BI1526" s="40"/>
      <c r="BJ1526" s="40"/>
      <c r="BK1526" s="40"/>
      <c r="BL1526" s="62">
        <v>1</v>
      </c>
      <c r="BM1526" s="275">
        <v>3</v>
      </c>
      <c r="BN1526" s="62">
        <v>0.03</v>
      </c>
      <c r="BP1526" s="33" t="s">
        <v>602</v>
      </c>
    </row>
    <row r="1527" spans="1:68">
      <c r="A1527" s="33" t="str">
        <f>Database_Productkaarten[[#This Row],[Product]]&amp;", "&amp;Database_Productkaarten[[#This Row],[Levensfase]]</f>
        <v>Gebakken klinker keiformaat (hergebruik), A2</v>
      </c>
      <c r="B1527" t="s">
        <v>233</v>
      </c>
      <c r="C1527" t="s">
        <v>55</v>
      </c>
      <c r="D1527" t="s">
        <v>659</v>
      </c>
      <c r="E1527" s="33" t="s">
        <v>385</v>
      </c>
      <c r="F1527" s="33" t="s">
        <v>75</v>
      </c>
      <c r="G1527" s="33">
        <v>1</v>
      </c>
      <c r="H1527" s="33">
        <v>1</v>
      </c>
      <c r="I1527" s="33">
        <v>0.08</v>
      </c>
      <c r="L1527" s="33">
        <v>1.8</v>
      </c>
      <c r="M1527" s="33">
        <v>0.13100000000000001</v>
      </c>
      <c r="N1527" s="41">
        <v>0</v>
      </c>
      <c r="O1527" s="33">
        <v>25</v>
      </c>
      <c r="P1527" s="163">
        <v>0</v>
      </c>
      <c r="Q1527" s="163">
        <v>0</v>
      </c>
      <c r="R1527" s="163">
        <v>0</v>
      </c>
      <c r="S1527" s="163">
        <v>0</v>
      </c>
      <c r="T1527" s="163">
        <v>0</v>
      </c>
      <c r="U1527" s="163">
        <v>0</v>
      </c>
      <c r="V1527" s="163">
        <v>0</v>
      </c>
      <c r="W1527" s="163">
        <v>0</v>
      </c>
      <c r="X1527" s="163">
        <v>0</v>
      </c>
      <c r="Y1527" s="163">
        <v>0</v>
      </c>
      <c r="Z1527" s="163">
        <v>0</v>
      </c>
      <c r="AA1527" s="40"/>
      <c r="AB1527" s="40"/>
      <c r="AC1527" s="40"/>
      <c r="AD1527" s="40"/>
      <c r="AE1527" s="40"/>
      <c r="AF1527" s="40"/>
      <c r="AG1527" s="40"/>
      <c r="AH1527" s="40"/>
      <c r="AI1527" s="40"/>
      <c r="AJ1527" s="40"/>
      <c r="AK1527" s="40"/>
      <c r="AL1527" s="40"/>
      <c r="AM1527" s="40"/>
      <c r="AN1527" s="40"/>
      <c r="AO1527" s="40"/>
      <c r="AP1527" s="40"/>
      <c r="AQ1527" s="40"/>
      <c r="AR1527" s="40"/>
      <c r="AS1527" s="40"/>
      <c r="AT1527" s="40"/>
      <c r="AU1527" s="40"/>
      <c r="AV1527" s="163">
        <v>0</v>
      </c>
      <c r="AW1527" s="40"/>
      <c r="AX1527" s="40"/>
      <c r="AY1527" s="163">
        <v>0</v>
      </c>
      <c r="AZ1527" s="40"/>
      <c r="BA1527" s="40"/>
      <c r="BB1527" s="40"/>
      <c r="BC1527" s="163">
        <v>0</v>
      </c>
      <c r="BD1527" s="163">
        <v>0</v>
      </c>
      <c r="BE1527" s="163">
        <v>0</v>
      </c>
      <c r="BF1527" s="40"/>
      <c r="BG1527" s="40"/>
      <c r="BH1527" s="40"/>
      <c r="BI1527" s="40"/>
      <c r="BJ1527" s="40"/>
      <c r="BK1527" s="40"/>
      <c r="BL1527" s="62">
        <v>1</v>
      </c>
      <c r="BM1527" s="275">
        <v>3</v>
      </c>
      <c r="BN1527" s="62">
        <v>0.03</v>
      </c>
      <c r="BP1527" s="33" t="s">
        <v>602</v>
      </c>
    </row>
    <row r="1528" spans="1:68">
      <c r="A1528" s="33" t="str">
        <f>Database_Productkaarten[[#This Row],[Product]]&amp;", "&amp;Database_Productkaarten[[#This Row],[Levensfase]]</f>
        <v>Gebakken klinker keiformaat (hergebruik), A3</v>
      </c>
      <c r="B1528" t="s">
        <v>233</v>
      </c>
      <c r="C1528" t="s">
        <v>55</v>
      </c>
      <c r="D1528" t="s">
        <v>659</v>
      </c>
      <c r="E1528" s="33" t="s">
        <v>385</v>
      </c>
      <c r="F1528" s="33" t="s">
        <v>76</v>
      </c>
      <c r="G1528" s="33">
        <v>1</v>
      </c>
      <c r="H1528" s="33">
        <v>1</v>
      </c>
      <c r="I1528" s="33">
        <v>0.08</v>
      </c>
      <c r="L1528" s="33">
        <v>1.8</v>
      </c>
      <c r="M1528" s="33">
        <v>0.13100000000000001</v>
      </c>
      <c r="N1528" s="41">
        <v>0</v>
      </c>
      <c r="O1528" s="33">
        <v>25</v>
      </c>
      <c r="P1528" s="163">
        <v>0</v>
      </c>
      <c r="Q1528" s="163">
        <v>0</v>
      </c>
      <c r="R1528" s="163">
        <v>0</v>
      </c>
      <c r="S1528" s="163">
        <v>0</v>
      </c>
      <c r="T1528" s="163">
        <v>0</v>
      </c>
      <c r="U1528" s="163">
        <v>0</v>
      </c>
      <c r="V1528" s="163">
        <v>0</v>
      </c>
      <c r="W1528" s="163">
        <v>0</v>
      </c>
      <c r="X1528" s="163">
        <v>0</v>
      </c>
      <c r="Y1528" s="163">
        <v>0</v>
      </c>
      <c r="Z1528" s="163">
        <v>0</v>
      </c>
      <c r="AA1528" s="40"/>
      <c r="AB1528" s="40"/>
      <c r="AC1528" s="40"/>
      <c r="AD1528" s="40"/>
      <c r="AE1528" s="40"/>
      <c r="AF1528" s="40"/>
      <c r="AG1528" s="40"/>
      <c r="AH1528" s="40"/>
      <c r="AI1528" s="40"/>
      <c r="AJ1528" s="40"/>
      <c r="AK1528" s="40"/>
      <c r="AL1528" s="40"/>
      <c r="AM1528" s="40"/>
      <c r="AN1528" s="40"/>
      <c r="AO1528" s="40"/>
      <c r="AP1528" s="40"/>
      <c r="AQ1528" s="40"/>
      <c r="AR1528" s="40"/>
      <c r="AS1528" s="40"/>
      <c r="AT1528" s="40"/>
      <c r="AU1528" s="40"/>
      <c r="AV1528" s="163">
        <v>0</v>
      </c>
      <c r="AW1528" s="40"/>
      <c r="AX1528" s="40"/>
      <c r="AY1528" s="163">
        <v>0</v>
      </c>
      <c r="AZ1528" s="40"/>
      <c r="BA1528" s="40"/>
      <c r="BB1528" s="40"/>
      <c r="BC1528" s="163">
        <v>0</v>
      </c>
      <c r="BD1528" s="163">
        <v>0</v>
      </c>
      <c r="BE1528" s="163">
        <v>0</v>
      </c>
      <c r="BF1528" s="40"/>
      <c r="BG1528" s="40"/>
      <c r="BH1528" s="40"/>
      <c r="BI1528" s="40"/>
      <c r="BJ1528" s="40"/>
      <c r="BK1528" s="40"/>
      <c r="BL1528" s="62">
        <v>1</v>
      </c>
      <c r="BM1528" s="275">
        <v>3</v>
      </c>
      <c r="BN1528" s="62">
        <v>0.03</v>
      </c>
      <c r="BP1528" s="33" t="s">
        <v>602</v>
      </c>
    </row>
    <row r="1529" spans="1:68">
      <c r="A1529" s="33" t="str">
        <f>Database_Productkaarten[[#This Row],[Product]]&amp;", "&amp;Database_Productkaarten[[#This Row],[Levensfase]]</f>
        <v>Gebakken klinker keiformaat (hergebruik), A1-A3</v>
      </c>
      <c r="B1529" t="s">
        <v>233</v>
      </c>
      <c r="C1529" s="451" t="str">
        <f>C1528</f>
        <v>Elementenverhardingen</v>
      </c>
      <c r="D1529" s="451" t="str">
        <f>D1528</f>
        <v>Gebakken klinker</v>
      </c>
      <c r="E1529" s="451" t="str">
        <f>E1528</f>
        <v>m2</v>
      </c>
      <c r="F1529" s="451" t="s">
        <v>77</v>
      </c>
      <c r="G1529" s="451">
        <f t="shared" ref="G1529:I1529" si="711">G1528</f>
        <v>1</v>
      </c>
      <c r="H1529" s="451">
        <f t="shared" si="711"/>
        <v>1</v>
      </c>
      <c r="I1529" s="451">
        <f t="shared" si="711"/>
        <v>0.08</v>
      </c>
      <c r="L1529" s="33">
        <v>1.8</v>
      </c>
      <c r="M1529" s="33">
        <v>0.13100000000000001</v>
      </c>
      <c r="N1529" s="41">
        <v>0</v>
      </c>
      <c r="O1529" s="33">
        <v>25</v>
      </c>
      <c r="P1529" s="163">
        <v>0</v>
      </c>
      <c r="Q1529" s="163">
        <v>0</v>
      </c>
      <c r="R1529" s="163">
        <v>0</v>
      </c>
      <c r="S1529" s="163">
        <v>0</v>
      </c>
      <c r="T1529" s="163">
        <v>0</v>
      </c>
      <c r="U1529" s="163">
        <v>0</v>
      </c>
      <c r="V1529" s="163">
        <v>0</v>
      </c>
      <c r="W1529" s="163">
        <v>0</v>
      </c>
      <c r="X1529" s="163">
        <v>0</v>
      </c>
      <c r="Y1529" s="163">
        <v>0</v>
      </c>
      <c r="Z1529" s="163">
        <v>0</v>
      </c>
      <c r="AA1529" s="40"/>
      <c r="AB1529" s="40"/>
      <c r="AC1529" s="40"/>
      <c r="AD1529" s="40"/>
      <c r="AE1529" s="40"/>
      <c r="AF1529" s="40"/>
      <c r="AG1529" s="40"/>
      <c r="AH1529" s="40"/>
      <c r="AI1529" s="40"/>
      <c r="AJ1529" s="40"/>
      <c r="AK1529" s="40"/>
      <c r="AL1529" s="40"/>
      <c r="AM1529" s="40"/>
      <c r="AN1529" s="40"/>
      <c r="AO1529" s="40"/>
      <c r="AP1529" s="40"/>
      <c r="AQ1529" s="40"/>
      <c r="AR1529" s="40"/>
      <c r="AS1529" s="40"/>
      <c r="AT1529" s="40"/>
      <c r="AU1529" s="40"/>
      <c r="AV1529" s="163">
        <v>0</v>
      </c>
      <c r="AW1529" s="40"/>
      <c r="AX1529" s="40"/>
      <c r="AY1529" s="163">
        <v>0</v>
      </c>
      <c r="AZ1529" s="40"/>
      <c r="BA1529" s="40"/>
      <c r="BB1529" s="40"/>
      <c r="BC1529" s="163">
        <v>0</v>
      </c>
      <c r="BD1529" s="163">
        <v>0</v>
      </c>
      <c r="BE1529" s="163">
        <v>0</v>
      </c>
      <c r="BF1529" s="40"/>
      <c r="BG1529" s="40"/>
      <c r="BH1529" s="40"/>
      <c r="BI1529" s="40"/>
      <c r="BJ1529" s="40"/>
      <c r="BK1529" s="40"/>
      <c r="BL1529" s="62">
        <v>1</v>
      </c>
      <c r="BM1529" s="275">
        <v>3</v>
      </c>
      <c r="BN1529" s="62">
        <v>0.03</v>
      </c>
      <c r="BP1529" s="33" t="s">
        <v>602</v>
      </c>
    </row>
    <row r="1530" spans="1:68">
      <c r="A1530" s="33" t="str">
        <f>Database_Productkaarten[[#This Row],[Product]]&amp;", "&amp;Database_Productkaarten[[#This Row],[Levensfase]]</f>
        <v>Gebakken klinker keiformaat (hergebruik), A4</v>
      </c>
      <c r="B1530" t="s">
        <v>233</v>
      </c>
      <c r="C1530" t="s">
        <v>55</v>
      </c>
      <c r="D1530" t="s">
        <v>659</v>
      </c>
      <c r="E1530" s="33" t="s">
        <v>385</v>
      </c>
      <c r="F1530" s="33" t="s">
        <v>78</v>
      </c>
      <c r="G1530" s="33">
        <v>1</v>
      </c>
      <c r="H1530" s="33">
        <v>1</v>
      </c>
      <c r="I1530" s="33">
        <v>0.08</v>
      </c>
      <c r="L1530" s="33">
        <v>1.8</v>
      </c>
      <c r="M1530" s="33">
        <v>0.13100000000000001</v>
      </c>
      <c r="N1530" s="41">
        <f>N1514</f>
        <v>3.44E-2</v>
      </c>
      <c r="O1530" s="33">
        <v>25</v>
      </c>
      <c r="P1530" s="163">
        <f>P1514</f>
        <v>0</v>
      </c>
      <c r="Q1530" s="163">
        <f t="shared" ref="Q1530:Z1530" si="712">Q1514</f>
        <v>0</v>
      </c>
      <c r="R1530" s="163">
        <f t="shared" si="712"/>
        <v>0.30630000000000002</v>
      </c>
      <c r="S1530" s="163">
        <f t="shared" si="712"/>
        <v>0</v>
      </c>
      <c r="T1530" s="163">
        <f t="shared" si="712"/>
        <v>0</v>
      </c>
      <c r="U1530" s="163">
        <f t="shared" si="712"/>
        <v>0</v>
      </c>
      <c r="V1530" s="163">
        <f t="shared" si="712"/>
        <v>0</v>
      </c>
      <c r="W1530" s="163">
        <f t="shared" si="712"/>
        <v>0</v>
      </c>
      <c r="X1530" s="163">
        <f t="shared" si="712"/>
        <v>0</v>
      </c>
      <c r="Y1530" s="163">
        <f t="shared" si="712"/>
        <v>0</v>
      </c>
      <c r="Z1530" s="163">
        <f t="shared" si="712"/>
        <v>0</v>
      </c>
      <c r="AA1530" s="40"/>
      <c r="AB1530" s="40"/>
      <c r="AC1530" s="40"/>
      <c r="AD1530" s="40"/>
      <c r="AE1530" s="40"/>
      <c r="AF1530" s="40"/>
      <c r="AG1530" s="40"/>
      <c r="AH1530" s="40"/>
      <c r="AI1530" s="40"/>
      <c r="AJ1530" s="40"/>
      <c r="AK1530" s="40"/>
      <c r="AL1530" s="40"/>
      <c r="AM1530" s="40"/>
      <c r="AN1530" s="40"/>
      <c r="AO1530" s="40"/>
      <c r="AP1530" s="40"/>
      <c r="AQ1530" s="40"/>
      <c r="AR1530" s="40"/>
      <c r="AS1530" s="40"/>
      <c r="AT1530" s="40"/>
      <c r="AU1530" s="40"/>
      <c r="AV1530" s="163">
        <f>AV1514</f>
        <v>8.3699999999999997E-2</v>
      </c>
      <c r="AW1530" s="40"/>
      <c r="AX1530" s="40"/>
      <c r="AY1530" s="163">
        <f>AY1514</f>
        <v>5.35</v>
      </c>
      <c r="AZ1530" s="40"/>
      <c r="BA1530" s="40"/>
      <c r="BB1530" s="40"/>
      <c r="BC1530" s="163">
        <f>BC1514</f>
        <v>0</v>
      </c>
      <c r="BD1530" s="163">
        <f>BD1514</f>
        <v>0</v>
      </c>
      <c r="BE1530" s="163">
        <f>BE1514</f>
        <v>0</v>
      </c>
      <c r="BF1530" s="40"/>
      <c r="BG1530" s="40"/>
      <c r="BH1530" s="40"/>
      <c r="BI1530" s="40"/>
      <c r="BJ1530" s="40"/>
      <c r="BK1530" s="40"/>
      <c r="BL1530" s="62">
        <v>1</v>
      </c>
      <c r="BM1530" s="275">
        <v>3</v>
      </c>
      <c r="BN1530" s="62">
        <v>0.03</v>
      </c>
      <c r="BP1530" s="33" t="s">
        <v>602</v>
      </c>
    </row>
    <row r="1531" spans="1:68">
      <c r="A1531" s="33" t="str">
        <f>Database_Productkaarten[[#This Row],[Product]]&amp;", "&amp;Database_Productkaarten[[#This Row],[Levensfase]]</f>
        <v>Gebakken klinker keiformaat (hergebruik), A5</v>
      </c>
      <c r="B1531" t="s">
        <v>233</v>
      </c>
      <c r="C1531" t="s">
        <v>55</v>
      </c>
      <c r="D1531" t="s">
        <v>659</v>
      </c>
      <c r="E1531" s="33" t="s">
        <v>385</v>
      </c>
      <c r="F1531" s="33" t="s">
        <v>79</v>
      </c>
      <c r="G1531" s="33">
        <v>1</v>
      </c>
      <c r="H1531" s="33">
        <v>1</v>
      </c>
      <c r="I1531" s="33">
        <v>0.08</v>
      </c>
      <c r="L1531" s="33">
        <v>1.8</v>
      </c>
      <c r="M1531" s="33">
        <v>0.13100000000000001</v>
      </c>
      <c r="N1531" s="41">
        <f t="shared" ref="N1531:N1537" si="713">N1515</f>
        <v>0.59819999999999995</v>
      </c>
      <c r="O1531" s="33">
        <v>25</v>
      </c>
      <c r="P1531" s="163">
        <f t="shared" ref="P1531:Z1531" si="714">P1515</f>
        <v>0</v>
      </c>
      <c r="Q1531" s="163">
        <f t="shared" si="714"/>
        <v>0</v>
      </c>
      <c r="R1531" s="163">
        <f t="shared" si="714"/>
        <v>6.3749000000000002</v>
      </c>
      <c r="S1531" s="163">
        <f t="shared" si="714"/>
        <v>0</v>
      </c>
      <c r="T1531" s="163">
        <f t="shared" si="714"/>
        <v>0</v>
      </c>
      <c r="U1531" s="163">
        <f t="shared" si="714"/>
        <v>0</v>
      </c>
      <c r="V1531" s="163">
        <f t="shared" si="714"/>
        <v>0</v>
      </c>
      <c r="W1531" s="163">
        <f t="shared" si="714"/>
        <v>0</v>
      </c>
      <c r="X1531" s="163">
        <f t="shared" si="714"/>
        <v>0</v>
      </c>
      <c r="Y1531" s="163">
        <f t="shared" si="714"/>
        <v>0</v>
      </c>
      <c r="Z1531" s="163">
        <f t="shared" si="714"/>
        <v>0</v>
      </c>
      <c r="AA1531" s="40"/>
      <c r="AB1531" s="40"/>
      <c r="AC1531" s="40"/>
      <c r="AD1531" s="40"/>
      <c r="AE1531" s="40"/>
      <c r="AF1531" s="40"/>
      <c r="AG1531" s="40"/>
      <c r="AH1531" s="40"/>
      <c r="AI1531" s="40"/>
      <c r="AJ1531" s="40"/>
      <c r="AK1531" s="40"/>
      <c r="AL1531" s="40"/>
      <c r="AM1531" s="40"/>
      <c r="AN1531" s="40"/>
      <c r="AO1531" s="40"/>
      <c r="AP1531" s="40"/>
      <c r="AQ1531" s="40"/>
      <c r="AR1531" s="40"/>
      <c r="AS1531" s="40"/>
      <c r="AT1531" s="40"/>
      <c r="AU1531" s="40"/>
      <c r="AV1531" s="163">
        <f t="shared" ref="AV1531:AV1537" si="715">AV1515</f>
        <v>0.68200000000000005</v>
      </c>
      <c r="AW1531" s="40"/>
      <c r="AX1531" s="40"/>
      <c r="AY1531" s="163">
        <f t="shared" ref="AY1531:AY1537" si="716">AY1515</f>
        <v>90.9</v>
      </c>
      <c r="AZ1531" s="40"/>
      <c r="BA1531" s="40"/>
      <c r="BB1531" s="40"/>
      <c r="BC1531" s="163">
        <f t="shared" ref="BC1531:BE1531" si="717">BC1515</f>
        <v>0</v>
      </c>
      <c r="BD1531" s="163">
        <f t="shared" si="717"/>
        <v>0</v>
      </c>
      <c r="BE1531" s="163">
        <f t="shared" si="717"/>
        <v>0</v>
      </c>
      <c r="BF1531" s="40"/>
      <c r="BG1531" s="40"/>
      <c r="BH1531" s="40"/>
      <c r="BI1531" s="40"/>
      <c r="BJ1531" s="40"/>
      <c r="BK1531" s="40"/>
      <c r="BL1531" s="62">
        <v>1</v>
      </c>
      <c r="BM1531" s="275">
        <v>3</v>
      </c>
      <c r="BN1531" s="62">
        <v>0.03</v>
      </c>
      <c r="BP1531" s="33" t="s">
        <v>602</v>
      </c>
    </row>
    <row r="1532" spans="1:68">
      <c r="A1532" s="33" t="str">
        <f>Database_Productkaarten[[#This Row],[Product]]&amp;", "&amp;Database_Productkaarten[[#This Row],[Levensfase]]</f>
        <v>Gebakken klinker keiformaat (hergebruik), B1</v>
      </c>
      <c r="B1532" t="s">
        <v>233</v>
      </c>
      <c r="C1532" t="s">
        <v>55</v>
      </c>
      <c r="D1532" t="s">
        <v>659</v>
      </c>
      <c r="E1532" s="33" t="s">
        <v>385</v>
      </c>
      <c r="F1532" s="33" t="s">
        <v>80</v>
      </c>
      <c r="G1532" s="33">
        <v>1</v>
      </c>
      <c r="H1532" s="33">
        <v>1</v>
      </c>
      <c r="I1532" s="33">
        <v>0.08</v>
      </c>
      <c r="L1532" s="33">
        <v>1.8</v>
      </c>
      <c r="M1532" s="33">
        <v>0.13100000000000001</v>
      </c>
      <c r="N1532" s="41">
        <f t="shared" si="713"/>
        <v>0</v>
      </c>
      <c r="O1532" s="33">
        <v>25</v>
      </c>
      <c r="P1532" s="163">
        <f t="shared" ref="P1532:Z1532" si="718">P1516</f>
        <v>0</v>
      </c>
      <c r="Q1532" s="163">
        <f t="shared" si="718"/>
        <v>0</v>
      </c>
      <c r="R1532" s="163">
        <f t="shared" si="718"/>
        <v>0</v>
      </c>
      <c r="S1532" s="163">
        <f t="shared" si="718"/>
        <v>0</v>
      </c>
      <c r="T1532" s="163">
        <f t="shared" si="718"/>
        <v>0</v>
      </c>
      <c r="U1532" s="163">
        <f t="shared" si="718"/>
        <v>0</v>
      </c>
      <c r="V1532" s="163">
        <f t="shared" si="718"/>
        <v>0</v>
      </c>
      <c r="W1532" s="163">
        <f t="shared" si="718"/>
        <v>0</v>
      </c>
      <c r="X1532" s="163">
        <f t="shared" si="718"/>
        <v>0</v>
      </c>
      <c r="Y1532" s="163">
        <f t="shared" si="718"/>
        <v>0</v>
      </c>
      <c r="Z1532" s="163">
        <f t="shared" si="718"/>
        <v>0</v>
      </c>
      <c r="AA1532" s="40"/>
      <c r="AB1532" s="40"/>
      <c r="AC1532" s="40"/>
      <c r="AD1532" s="40"/>
      <c r="AE1532" s="40"/>
      <c r="AF1532" s="40"/>
      <c r="AG1532" s="40"/>
      <c r="AH1532" s="40"/>
      <c r="AI1532" s="40"/>
      <c r="AJ1532" s="40"/>
      <c r="AK1532" s="40"/>
      <c r="AL1532" s="40"/>
      <c r="AM1532" s="40"/>
      <c r="AN1532" s="40"/>
      <c r="AO1532" s="40"/>
      <c r="AP1532" s="40"/>
      <c r="AQ1532" s="40"/>
      <c r="AR1532" s="40"/>
      <c r="AS1532" s="40"/>
      <c r="AT1532" s="40"/>
      <c r="AU1532" s="40"/>
      <c r="AV1532" s="163">
        <f t="shared" si="715"/>
        <v>0</v>
      </c>
      <c r="AW1532" s="40"/>
      <c r="AX1532" s="40"/>
      <c r="AY1532" s="163">
        <f t="shared" si="716"/>
        <v>0</v>
      </c>
      <c r="AZ1532" s="40"/>
      <c r="BA1532" s="40"/>
      <c r="BB1532" s="40"/>
      <c r="BC1532" s="163">
        <f t="shared" ref="BC1532:BE1532" si="719">BC1516</f>
        <v>0</v>
      </c>
      <c r="BD1532" s="163">
        <f t="shared" si="719"/>
        <v>0</v>
      </c>
      <c r="BE1532" s="163">
        <f t="shared" si="719"/>
        <v>0</v>
      </c>
      <c r="BF1532" s="40"/>
      <c r="BG1532" s="40"/>
      <c r="BH1532" s="40"/>
      <c r="BI1532" s="40"/>
      <c r="BJ1532" s="40"/>
      <c r="BK1532" s="40"/>
      <c r="BL1532" s="62">
        <v>1</v>
      </c>
      <c r="BM1532" s="275">
        <v>3</v>
      </c>
      <c r="BN1532" s="62">
        <v>0.03</v>
      </c>
      <c r="BP1532" s="33" t="s">
        <v>602</v>
      </c>
    </row>
    <row r="1533" spans="1:68">
      <c r="A1533" s="33" t="str">
        <f>Database_Productkaarten[[#This Row],[Product]]&amp;", "&amp;Database_Productkaarten[[#This Row],[Levensfase]]</f>
        <v>Gebakken klinker keiformaat (hergebruik), B3</v>
      </c>
      <c r="B1533" t="s">
        <v>233</v>
      </c>
      <c r="C1533" t="s">
        <v>55</v>
      </c>
      <c r="D1533" t="s">
        <v>659</v>
      </c>
      <c r="E1533" s="33" t="s">
        <v>385</v>
      </c>
      <c r="F1533" s="33" t="s">
        <v>81</v>
      </c>
      <c r="G1533" s="33">
        <v>1</v>
      </c>
      <c r="H1533" s="33">
        <v>1</v>
      </c>
      <c r="I1533" s="33">
        <v>0.08</v>
      </c>
      <c r="L1533" s="33">
        <v>1.8</v>
      </c>
      <c r="M1533" s="33">
        <v>0.13100000000000001</v>
      </c>
      <c r="N1533" s="41">
        <f t="shared" si="713"/>
        <v>0</v>
      </c>
      <c r="O1533" s="33">
        <v>25</v>
      </c>
      <c r="P1533" s="163">
        <f t="shared" ref="P1533:Z1533" si="720">P1517</f>
        <v>0</v>
      </c>
      <c r="Q1533" s="163">
        <f t="shared" si="720"/>
        <v>0</v>
      </c>
      <c r="R1533" s="163">
        <f t="shared" si="720"/>
        <v>0</v>
      </c>
      <c r="S1533" s="163">
        <f t="shared" si="720"/>
        <v>0</v>
      </c>
      <c r="T1533" s="163">
        <f t="shared" si="720"/>
        <v>0</v>
      </c>
      <c r="U1533" s="163">
        <f t="shared" si="720"/>
        <v>0</v>
      </c>
      <c r="V1533" s="163">
        <f t="shared" si="720"/>
        <v>0</v>
      </c>
      <c r="W1533" s="163">
        <f t="shared" si="720"/>
        <v>0</v>
      </c>
      <c r="X1533" s="163">
        <f t="shared" si="720"/>
        <v>0</v>
      </c>
      <c r="Y1533" s="163">
        <f t="shared" si="720"/>
        <v>0</v>
      </c>
      <c r="Z1533" s="163">
        <f t="shared" si="720"/>
        <v>0</v>
      </c>
      <c r="AA1533" s="40"/>
      <c r="AB1533" s="40"/>
      <c r="AC1533" s="40"/>
      <c r="AD1533" s="40"/>
      <c r="AE1533" s="40"/>
      <c r="AF1533" s="40"/>
      <c r="AG1533" s="40"/>
      <c r="AH1533" s="40"/>
      <c r="AI1533" s="40"/>
      <c r="AJ1533" s="40"/>
      <c r="AK1533" s="40"/>
      <c r="AL1533" s="40"/>
      <c r="AM1533" s="40"/>
      <c r="AN1533" s="40"/>
      <c r="AO1533" s="40"/>
      <c r="AP1533" s="40"/>
      <c r="AQ1533" s="40"/>
      <c r="AR1533" s="40"/>
      <c r="AS1533" s="40"/>
      <c r="AT1533" s="40"/>
      <c r="AU1533" s="40"/>
      <c r="AV1533" s="163">
        <f t="shared" si="715"/>
        <v>0</v>
      </c>
      <c r="AW1533" s="40"/>
      <c r="AX1533" s="40"/>
      <c r="AY1533" s="163">
        <f t="shared" si="716"/>
        <v>0</v>
      </c>
      <c r="AZ1533" s="40"/>
      <c r="BA1533" s="40"/>
      <c r="BB1533" s="40"/>
      <c r="BC1533" s="163">
        <f t="shared" ref="BC1533:BE1533" si="721">BC1517</f>
        <v>0</v>
      </c>
      <c r="BD1533" s="163">
        <f t="shared" si="721"/>
        <v>0</v>
      </c>
      <c r="BE1533" s="163">
        <f t="shared" si="721"/>
        <v>0</v>
      </c>
      <c r="BF1533" s="40"/>
      <c r="BG1533" s="40"/>
      <c r="BH1533" s="40"/>
      <c r="BI1533" s="40"/>
      <c r="BJ1533" s="40"/>
      <c r="BK1533" s="40"/>
      <c r="BL1533" s="62">
        <v>1</v>
      </c>
      <c r="BM1533" s="275">
        <v>3</v>
      </c>
      <c r="BN1533" s="62">
        <v>0.03</v>
      </c>
      <c r="BP1533" s="33" t="s">
        <v>602</v>
      </c>
    </row>
    <row r="1534" spans="1:68">
      <c r="A1534" s="33" t="str">
        <f>Database_Productkaarten[[#This Row],[Product]]&amp;", "&amp;Database_Productkaarten[[#This Row],[Levensfase]]</f>
        <v>Gebakken klinker keiformaat (hergebruik), C1</v>
      </c>
      <c r="B1534" t="s">
        <v>233</v>
      </c>
      <c r="C1534" t="s">
        <v>55</v>
      </c>
      <c r="D1534" t="s">
        <v>659</v>
      </c>
      <c r="E1534" s="33" t="s">
        <v>385</v>
      </c>
      <c r="F1534" s="33" t="s">
        <v>83</v>
      </c>
      <c r="G1534" s="33">
        <v>1</v>
      </c>
      <c r="H1534" s="33">
        <v>1</v>
      </c>
      <c r="I1534" s="33">
        <v>0.08</v>
      </c>
      <c r="L1534" s="33">
        <v>1.8</v>
      </c>
      <c r="M1534" s="33">
        <v>0.13100000000000001</v>
      </c>
      <c r="N1534" s="41">
        <f t="shared" si="713"/>
        <v>4.9700000000000001E-2</v>
      </c>
      <c r="O1534" s="33">
        <v>25</v>
      </c>
      <c r="P1534" s="163">
        <f t="shared" ref="P1534:Z1534" si="722">P1518</f>
        <v>0</v>
      </c>
      <c r="Q1534" s="163">
        <f t="shared" si="722"/>
        <v>0</v>
      </c>
      <c r="R1534" s="163">
        <f t="shared" si="722"/>
        <v>0.53649999999999998</v>
      </c>
      <c r="S1534" s="163">
        <f t="shared" si="722"/>
        <v>0</v>
      </c>
      <c r="T1534" s="163">
        <f t="shared" si="722"/>
        <v>0</v>
      </c>
      <c r="U1534" s="163">
        <f t="shared" si="722"/>
        <v>0</v>
      </c>
      <c r="V1534" s="163">
        <f t="shared" si="722"/>
        <v>0</v>
      </c>
      <c r="W1534" s="163">
        <f t="shared" si="722"/>
        <v>0</v>
      </c>
      <c r="X1534" s="163">
        <f t="shared" si="722"/>
        <v>0</v>
      </c>
      <c r="Y1534" s="163">
        <f t="shared" si="722"/>
        <v>0</v>
      </c>
      <c r="Z1534" s="163">
        <f t="shared" si="722"/>
        <v>0</v>
      </c>
      <c r="AA1534" s="40"/>
      <c r="AB1534" s="40"/>
      <c r="AC1534" s="40"/>
      <c r="AD1534" s="40"/>
      <c r="AE1534" s="40"/>
      <c r="AF1534" s="40"/>
      <c r="AG1534" s="40"/>
      <c r="AH1534" s="40"/>
      <c r="AI1534" s="40"/>
      <c r="AJ1534" s="40"/>
      <c r="AK1534" s="40"/>
      <c r="AL1534" s="40"/>
      <c r="AM1534" s="40"/>
      <c r="AN1534" s="40"/>
      <c r="AO1534" s="40"/>
      <c r="AP1534" s="40"/>
      <c r="AQ1534" s="40"/>
      <c r="AR1534" s="40"/>
      <c r="AS1534" s="40"/>
      <c r="AT1534" s="40"/>
      <c r="AU1534" s="40"/>
      <c r="AV1534" s="163">
        <f t="shared" si="715"/>
        <v>5.9700000000000003E-2</v>
      </c>
      <c r="AW1534" s="40"/>
      <c r="AX1534" s="40"/>
      <c r="AY1534" s="163">
        <f t="shared" si="716"/>
        <v>8.18</v>
      </c>
      <c r="AZ1534" s="40"/>
      <c r="BA1534" s="40"/>
      <c r="BB1534" s="40"/>
      <c r="BC1534" s="163">
        <f t="shared" ref="BC1534:BE1534" si="723">BC1518</f>
        <v>0</v>
      </c>
      <c r="BD1534" s="163">
        <f t="shared" si="723"/>
        <v>0</v>
      </c>
      <c r="BE1534" s="163">
        <f t="shared" si="723"/>
        <v>0</v>
      </c>
      <c r="BF1534" s="40"/>
      <c r="BG1534" s="40"/>
      <c r="BH1534" s="40"/>
      <c r="BI1534" s="40"/>
      <c r="BJ1534" s="40"/>
      <c r="BK1534" s="40"/>
      <c r="BL1534" s="62">
        <v>1</v>
      </c>
      <c r="BM1534" s="275">
        <v>3</v>
      </c>
      <c r="BN1534" s="62">
        <v>0.03</v>
      </c>
      <c r="BP1534" s="33" t="s">
        <v>602</v>
      </c>
    </row>
    <row r="1535" spans="1:68">
      <c r="A1535" s="33" t="str">
        <f>Database_Productkaarten[[#This Row],[Product]]&amp;", "&amp;Database_Productkaarten[[#This Row],[Levensfase]]</f>
        <v>Gebakken klinker keiformaat (hergebruik), C2</v>
      </c>
      <c r="B1535" t="s">
        <v>233</v>
      </c>
      <c r="C1535" t="s">
        <v>55</v>
      </c>
      <c r="D1535" t="s">
        <v>659</v>
      </c>
      <c r="E1535" s="33" t="s">
        <v>385</v>
      </c>
      <c r="F1535" s="33" t="s">
        <v>84</v>
      </c>
      <c r="G1535" s="33">
        <v>1</v>
      </c>
      <c r="H1535" s="33">
        <v>1</v>
      </c>
      <c r="I1535" s="33">
        <v>0.08</v>
      </c>
      <c r="L1535" s="33">
        <v>1.8</v>
      </c>
      <c r="M1535" s="33">
        <v>0.13100000000000001</v>
      </c>
      <c r="N1535" s="41">
        <f t="shared" si="713"/>
        <v>3.4700000000000002E-2</v>
      </c>
      <c r="O1535" s="33">
        <v>25</v>
      </c>
      <c r="P1535" s="163">
        <f t="shared" ref="P1535:Z1535" si="724">P1519</f>
        <v>0</v>
      </c>
      <c r="Q1535" s="163">
        <f t="shared" si="724"/>
        <v>0</v>
      </c>
      <c r="R1535" s="163">
        <f t="shared" si="724"/>
        <v>0.30930000000000002</v>
      </c>
      <c r="S1535" s="163">
        <f t="shared" si="724"/>
        <v>0</v>
      </c>
      <c r="T1535" s="163">
        <f t="shared" si="724"/>
        <v>0</v>
      </c>
      <c r="U1535" s="163">
        <f t="shared" si="724"/>
        <v>0</v>
      </c>
      <c r="V1535" s="163">
        <f t="shared" si="724"/>
        <v>0</v>
      </c>
      <c r="W1535" s="163">
        <f t="shared" si="724"/>
        <v>0</v>
      </c>
      <c r="X1535" s="163">
        <f t="shared" si="724"/>
        <v>0</v>
      </c>
      <c r="Y1535" s="163">
        <f t="shared" si="724"/>
        <v>0</v>
      </c>
      <c r="Z1535" s="163">
        <f t="shared" si="724"/>
        <v>0</v>
      </c>
      <c r="AA1535" s="40"/>
      <c r="AB1535" s="40"/>
      <c r="AC1535" s="40"/>
      <c r="AD1535" s="40"/>
      <c r="AE1535" s="40"/>
      <c r="AF1535" s="40"/>
      <c r="AG1535" s="40"/>
      <c r="AH1535" s="40"/>
      <c r="AI1535" s="40"/>
      <c r="AJ1535" s="40"/>
      <c r="AK1535" s="40"/>
      <c r="AL1535" s="40"/>
      <c r="AM1535" s="40"/>
      <c r="AN1535" s="40"/>
      <c r="AO1535" s="40"/>
      <c r="AP1535" s="40"/>
      <c r="AQ1535" s="40"/>
      <c r="AR1535" s="40"/>
      <c r="AS1535" s="40"/>
      <c r="AT1535" s="40"/>
      <c r="AU1535" s="40"/>
      <c r="AV1535" s="163">
        <f t="shared" si="715"/>
        <v>8.4500000000000006E-2</v>
      </c>
      <c r="AW1535" s="40"/>
      <c r="AX1535" s="40"/>
      <c r="AY1535" s="163">
        <f t="shared" si="716"/>
        <v>5.41</v>
      </c>
      <c r="AZ1535" s="40"/>
      <c r="BA1535" s="40"/>
      <c r="BB1535" s="40"/>
      <c r="BC1535" s="163">
        <f t="shared" ref="BC1535:BE1535" si="725">BC1519</f>
        <v>0</v>
      </c>
      <c r="BD1535" s="163">
        <f t="shared" si="725"/>
        <v>0</v>
      </c>
      <c r="BE1535" s="163">
        <f t="shared" si="725"/>
        <v>0</v>
      </c>
      <c r="BF1535" s="40"/>
      <c r="BG1535" s="40"/>
      <c r="BH1535" s="40"/>
      <c r="BI1535" s="40"/>
      <c r="BJ1535" s="40"/>
      <c r="BK1535" s="40"/>
      <c r="BL1535" s="62">
        <v>1</v>
      </c>
      <c r="BM1535" s="275">
        <v>3</v>
      </c>
      <c r="BN1535" s="62">
        <v>0.03</v>
      </c>
      <c r="BP1535" s="33" t="s">
        <v>602</v>
      </c>
    </row>
    <row r="1536" spans="1:68">
      <c r="A1536" s="33" t="str">
        <f>Database_Productkaarten[[#This Row],[Product]]&amp;", "&amp;Database_Productkaarten[[#This Row],[Levensfase]]</f>
        <v>Gebakken klinker keiformaat (hergebruik), C3</v>
      </c>
      <c r="B1536" t="s">
        <v>233</v>
      </c>
      <c r="C1536" t="s">
        <v>55</v>
      </c>
      <c r="D1536" t="s">
        <v>659</v>
      </c>
      <c r="E1536" s="33" t="s">
        <v>385</v>
      </c>
      <c r="F1536" s="33" t="s">
        <v>85</v>
      </c>
      <c r="G1536" s="33">
        <v>1</v>
      </c>
      <c r="H1536" s="33">
        <v>1</v>
      </c>
      <c r="I1536" s="33">
        <v>0.08</v>
      </c>
      <c r="L1536" s="33">
        <v>1.8</v>
      </c>
      <c r="M1536" s="33">
        <v>0.13100000000000001</v>
      </c>
      <c r="N1536" s="41">
        <f t="shared" si="713"/>
        <v>2.06E-2</v>
      </c>
      <c r="O1536" s="33">
        <v>25</v>
      </c>
      <c r="P1536" s="163">
        <f t="shared" ref="P1536:Z1536" si="726">P1520</f>
        <v>0</v>
      </c>
      <c r="Q1536" s="163">
        <f t="shared" si="726"/>
        <v>0</v>
      </c>
      <c r="R1536" s="163">
        <f t="shared" si="726"/>
        <v>5.7999999999999996E-3</v>
      </c>
      <c r="S1536" s="163">
        <f t="shared" si="726"/>
        <v>0</v>
      </c>
      <c r="T1536" s="163">
        <f t="shared" si="726"/>
        <v>0</v>
      </c>
      <c r="U1536" s="163">
        <f t="shared" si="726"/>
        <v>0</v>
      </c>
      <c r="V1536" s="163">
        <f t="shared" si="726"/>
        <v>0</v>
      </c>
      <c r="W1536" s="163">
        <f t="shared" si="726"/>
        <v>0</v>
      </c>
      <c r="X1536" s="163">
        <f t="shared" si="726"/>
        <v>0</v>
      </c>
      <c r="Y1536" s="163">
        <f t="shared" si="726"/>
        <v>0</v>
      </c>
      <c r="Z1536" s="163">
        <f t="shared" si="726"/>
        <v>0</v>
      </c>
      <c r="AA1536" s="40"/>
      <c r="AB1536" s="40"/>
      <c r="AC1536" s="40"/>
      <c r="AD1536" s="40"/>
      <c r="AE1536" s="40"/>
      <c r="AF1536" s="40"/>
      <c r="AG1536" s="40"/>
      <c r="AH1536" s="40"/>
      <c r="AI1536" s="40"/>
      <c r="AJ1536" s="40"/>
      <c r="AK1536" s="40"/>
      <c r="AL1536" s="40"/>
      <c r="AM1536" s="40"/>
      <c r="AN1536" s="40"/>
      <c r="AO1536" s="40"/>
      <c r="AP1536" s="40"/>
      <c r="AQ1536" s="40"/>
      <c r="AR1536" s="40"/>
      <c r="AS1536" s="40"/>
      <c r="AT1536" s="40"/>
      <c r="AU1536" s="40"/>
      <c r="AV1536" s="163">
        <f t="shared" si="715"/>
        <v>4.7200000000000002E-3</v>
      </c>
      <c r="AW1536" s="40"/>
      <c r="AX1536" s="40"/>
      <c r="AY1536" s="163">
        <f t="shared" si="716"/>
        <v>8.8999999999999996E-2</v>
      </c>
      <c r="AZ1536" s="40"/>
      <c r="BA1536" s="40"/>
      <c r="BB1536" s="40"/>
      <c r="BC1536" s="163">
        <f t="shared" ref="BC1536:BE1536" si="727">BC1520</f>
        <v>0</v>
      </c>
      <c r="BD1536" s="163">
        <f t="shared" si="727"/>
        <v>0</v>
      </c>
      <c r="BE1536" s="163">
        <f t="shared" si="727"/>
        <v>0</v>
      </c>
      <c r="BF1536" s="40"/>
      <c r="BG1536" s="40"/>
      <c r="BH1536" s="40"/>
      <c r="BI1536" s="40"/>
      <c r="BJ1536" s="40"/>
      <c r="BK1536" s="40"/>
      <c r="BL1536" s="62">
        <v>1</v>
      </c>
      <c r="BM1536" s="275">
        <v>3</v>
      </c>
      <c r="BN1536" s="62">
        <v>0.03</v>
      </c>
      <c r="BP1536" s="33" t="s">
        <v>602</v>
      </c>
    </row>
    <row r="1537" spans="1:68">
      <c r="A1537" s="33" t="str">
        <f>Database_Productkaarten[[#This Row],[Product]]&amp;", "&amp;Database_Productkaarten[[#This Row],[Levensfase]]</f>
        <v>Gebakken klinker keiformaat (hergebruik), C4</v>
      </c>
      <c r="B1537" t="s">
        <v>233</v>
      </c>
      <c r="C1537" t="s">
        <v>55</v>
      </c>
      <c r="D1537" t="s">
        <v>659</v>
      </c>
      <c r="E1537" s="33" t="s">
        <v>385</v>
      </c>
      <c r="F1537" s="33" t="s">
        <v>86</v>
      </c>
      <c r="G1537" s="33">
        <v>1</v>
      </c>
      <c r="H1537" s="33">
        <v>1</v>
      </c>
      <c r="I1537" s="33">
        <v>0.08</v>
      </c>
      <c r="L1537" s="33">
        <v>1.8</v>
      </c>
      <c r="M1537" s="33">
        <v>0.13100000000000001</v>
      </c>
      <c r="N1537" s="41">
        <f t="shared" si="713"/>
        <v>5.3999999999999998E-5</v>
      </c>
      <c r="O1537" s="33">
        <v>25</v>
      </c>
      <c r="P1537" s="163">
        <f t="shared" ref="P1537:Z1537" si="728">P1521</f>
        <v>0</v>
      </c>
      <c r="Q1537" s="163">
        <f t="shared" si="728"/>
        <v>0</v>
      </c>
      <c r="R1537" s="163">
        <f t="shared" si="728"/>
        <v>3.8E-3</v>
      </c>
      <c r="S1537" s="163">
        <f t="shared" si="728"/>
        <v>0</v>
      </c>
      <c r="T1537" s="163">
        <f t="shared" si="728"/>
        <v>0</v>
      </c>
      <c r="U1537" s="163">
        <f t="shared" si="728"/>
        <v>0</v>
      </c>
      <c r="V1537" s="163">
        <f t="shared" si="728"/>
        <v>0</v>
      </c>
      <c r="W1537" s="163">
        <f t="shared" si="728"/>
        <v>0</v>
      </c>
      <c r="X1537" s="163">
        <f t="shared" si="728"/>
        <v>0</v>
      </c>
      <c r="Y1537" s="163">
        <f t="shared" si="728"/>
        <v>0</v>
      </c>
      <c r="Z1537" s="163">
        <f t="shared" si="728"/>
        <v>0</v>
      </c>
      <c r="AA1537" s="40"/>
      <c r="AB1537" s="40"/>
      <c r="AC1537" s="40"/>
      <c r="AD1537" s="40"/>
      <c r="AE1537" s="40"/>
      <c r="AF1537" s="40"/>
      <c r="AG1537" s="40"/>
      <c r="AH1537" s="40"/>
      <c r="AI1537" s="40"/>
      <c r="AJ1537" s="40"/>
      <c r="AK1537" s="40"/>
      <c r="AL1537" s="40"/>
      <c r="AM1537" s="40"/>
      <c r="AN1537" s="40"/>
      <c r="AO1537" s="40"/>
      <c r="AP1537" s="40"/>
      <c r="AQ1537" s="40"/>
      <c r="AR1537" s="40"/>
      <c r="AS1537" s="40"/>
      <c r="AT1537" s="40"/>
      <c r="AU1537" s="40"/>
      <c r="AV1537" s="163">
        <f t="shared" si="715"/>
        <v>4.7700000000000001E-5</v>
      </c>
      <c r="AW1537" s="40"/>
      <c r="AX1537" s="40"/>
      <c r="AY1537" s="163">
        <f t="shared" si="716"/>
        <v>6.2700000000000004E-3</v>
      </c>
      <c r="AZ1537" s="40"/>
      <c r="BA1537" s="40"/>
      <c r="BB1537" s="40"/>
      <c r="BC1537" s="163">
        <f t="shared" ref="BC1537:BE1537" si="729">BC1521</f>
        <v>0</v>
      </c>
      <c r="BD1537" s="163">
        <f t="shared" si="729"/>
        <v>0</v>
      </c>
      <c r="BE1537" s="163">
        <f t="shared" si="729"/>
        <v>0</v>
      </c>
      <c r="BF1537" s="40"/>
      <c r="BG1537" s="40"/>
      <c r="BH1537" s="40"/>
      <c r="BI1537" s="40"/>
      <c r="BJ1537" s="40"/>
      <c r="BK1537" s="40"/>
      <c r="BL1537" s="62">
        <v>1</v>
      </c>
      <c r="BM1537" s="275">
        <v>3</v>
      </c>
      <c r="BN1537" s="62">
        <v>0.03</v>
      </c>
      <c r="BP1537" s="33" t="s">
        <v>602</v>
      </c>
    </row>
    <row r="1538" spans="1:68">
      <c r="A1538" s="33" t="str">
        <f>Database_Productkaarten[[#This Row],[Product]]&amp;", "&amp;Database_Productkaarten[[#This Row],[Levensfase]]</f>
        <v>Gebakken klinker keiformaat (hergebruik), D</v>
      </c>
      <c r="B1538" t="s">
        <v>233</v>
      </c>
      <c r="C1538" s="33" t="str">
        <f>C1539</f>
        <v>Elementenverhardingen</v>
      </c>
      <c r="D1538" s="33" t="str">
        <f>D1539</f>
        <v>Gebakken klinker</v>
      </c>
      <c r="E1538" s="33" t="str">
        <f>E1539</f>
        <v>m2</v>
      </c>
      <c r="F1538" s="33" t="s">
        <v>89</v>
      </c>
      <c r="G1538" s="33">
        <f t="shared" ref="G1538:I1538" si="730">G1539</f>
        <v>1</v>
      </c>
      <c r="H1538" s="33">
        <f t="shared" si="730"/>
        <v>1</v>
      </c>
      <c r="I1538" s="33">
        <f t="shared" si="730"/>
        <v>0.08</v>
      </c>
      <c r="L1538" s="33">
        <v>1.8</v>
      </c>
      <c r="M1538" s="33">
        <v>0.13100000000000001</v>
      </c>
      <c r="N1538" s="41">
        <f>N1513*0.1</f>
        <v>0.23418000000000003</v>
      </c>
      <c r="O1538" s="33">
        <v>25</v>
      </c>
      <c r="P1538" s="163">
        <f>P1513*0.1</f>
        <v>0</v>
      </c>
      <c r="Q1538" s="163">
        <f t="shared" ref="Q1538:Z1538" si="731">Q1513*0.1</f>
        <v>0</v>
      </c>
      <c r="R1538" s="163">
        <f t="shared" si="731"/>
        <v>2.2932999999999999</v>
      </c>
      <c r="S1538" s="163">
        <f t="shared" si="731"/>
        <v>0</v>
      </c>
      <c r="T1538" s="163">
        <f t="shared" si="731"/>
        <v>0</v>
      </c>
      <c r="U1538" s="163">
        <f t="shared" si="731"/>
        <v>0</v>
      </c>
      <c r="V1538" s="163">
        <f t="shared" si="731"/>
        <v>0</v>
      </c>
      <c r="W1538" s="163">
        <f t="shared" si="731"/>
        <v>0</v>
      </c>
      <c r="X1538" s="163">
        <f t="shared" si="731"/>
        <v>0</v>
      </c>
      <c r="Y1538" s="163">
        <f t="shared" si="731"/>
        <v>0</v>
      </c>
      <c r="Z1538" s="163">
        <f t="shared" si="731"/>
        <v>0</v>
      </c>
      <c r="AA1538" s="40"/>
      <c r="AB1538" s="40"/>
      <c r="AC1538" s="40"/>
      <c r="AD1538" s="40"/>
      <c r="AE1538" s="40"/>
      <c r="AF1538" s="40"/>
      <c r="AG1538" s="40"/>
      <c r="AH1538" s="40"/>
      <c r="AI1538" s="40"/>
      <c r="AJ1538" s="40"/>
      <c r="AK1538" s="40"/>
      <c r="AL1538" s="40"/>
      <c r="AM1538" s="40"/>
      <c r="AN1538" s="40"/>
      <c r="AO1538" s="40"/>
      <c r="AP1538" s="40"/>
      <c r="AQ1538" s="40"/>
      <c r="AR1538" s="40"/>
      <c r="AS1538" s="40"/>
      <c r="AT1538" s="40"/>
      <c r="AU1538" s="40"/>
      <c r="AV1538" s="163">
        <f t="shared" ref="AV1538" si="732">AV1513*0.1</f>
        <v>1.32</v>
      </c>
      <c r="AW1538" s="40"/>
      <c r="AX1538" s="40"/>
      <c r="AY1538" s="163">
        <f t="shared" ref="AY1538" si="733">AY1513*0.1</f>
        <v>27</v>
      </c>
      <c r="AZ1538" s="40"/>
      <c r="BA1538" s="40"/>
      <c r="BB1538" s="40"/>
      <c r="BC1538" s="163">
        <f t="shared" ref="BC1538:BE1538" si="734">BC1513*0.1</f>
        <v>0</v>
      </c>
      <c r="BD1538" s="163">
        <f t="shared" si="734"/>
        <v>0</v>
      </c>
      <c r="BE1538" s="163">
        <f t="shared" si="734"/>
        <v>0</v>
      </c>
      <c r="BF1538" s="40"/>
      <c r="BG1538" s="40"/>
      <c r="BH1538" s="40"/>
      <c r="BI1538" s="40"/>
      <c r="BJ1538" s="40"/>
      <c r="BK1538" s="40"/>
      <c r="BL1538" s="62">
        <v>1</v>
      </c>
      <c r="BM1538" s="275">
        <v>3</v>
      </c>
      <c r="BN1538" s="62">
        <v>0.03</v>
      </c>
      <c r="BP1538" s="33" t="s">
        <v>602</v>
      </c>
    </row>
    <row r="1539" spans="1:68">
      <c r="A1539" s="33" t="str">
        <f>Database_Productkaarten[[#This Row],[Product]]&amp;", "&amp;Database_Productkaarten[[#This Row],[Levensfase]]</f>
        <v>Gebakken klinker keiformaat (hergebruik), D1</v>
      </c>
      <c r="B1539" t="s">
        <v>233</v>
      </c>
      <c r="C1539" t="s">
        <v>55</v>
      </c>
      <c r="D1539" t="s">
        <v>659</v>
      </c>
      <c r="E1539" s="33" t="s">
        <v>385</v>
      </c>
      <c r="F1539" s="33" t="s">
        <v>87</v>
      </c>
      <c r="G1539" s="33">
        <v>1</v>
      </c>
      <c r="H1539" s="33">
        <v>1</v>
      </c>
      <c r="I1539" s="33">
        <v>0.08</v>
      </c>
      <c r="L1539" s="33">
        <v>1.8</v>
      </c>
      <c r="M1539" s="33">
        <v>0.13100000000000001</v>
      </c>
      <c r="N1539" s="41"/>
      <c r="P1539" s="40"/>
      <c r="Q1539" s="40"/>
      <c r="R1539" s="40"/>
      <c r="S1539" s="40"/>
      <c r="T1539" s="40"/>
      <c r="U1539" s="40"/>
      <c r="V1539" s="40"/>
      <c r="W1539" s="40"/>
      <c r="X1539" s="40"/>
      <c r="Y1539" s="40"/>
      <c r="Z1539" s="40"/>
      <c r="AA1539" s="40"/>
      <c r="AB1539" s="40"/>
      <c r="AC1539" s="40"/>
      <c r="AD1539" s="40"/>
      <c r="AE1539" s="40"/>
      <c r="AF1539" s="40"/>
      <c r="AG1539" s="40"/>
      <c r="AH1539" s="40"/>
      <c r="AI1539" s="40"/>
      <c r="AJ1539" s="40"/>
      <c r="AK1539" s="40"/>
      <c r="AL1539" s="40"/>
      <c r="AM1539" s="40"/>
      <c r="AN1539" s="40"/>
      <c r="AO1539" s="40"/>
      <c r="AP1539" s="40"/>
      <c r="AQ1539" s="40"/>
      <c r="AR1539" s="40"/>
      <c r="AS1539" s="40"/>
      <c r="AT1539" s="40"/>
      <c r="AU1539" s="40"/>
      <c r="AV1539" s="281"/>
      <c r="AW1539" s="40"/>
      <c r="AX1539" s="40"/>
      <c r="AY1539" s="281"/>
      <c r="AZ1539" s="40"/>
      <c r="BA1539" s="40"/>
      <c r="BB1539" s="40"/>
      <c r="BC1539" s="40"/>
      <c r="BD1539" s="40"/>
      <c r="BE1539" s="40"/>
      <c r="BF1539" s="40"/>
      <c r="BG1539" s="40"/>
      <c r="BH1539" s="40"/>
      <c r="BI1539" s="40"/>
      <c r="BJ1539" s="40"/>
      <c r="BK1539" s="40"/>
      <c r="BL1539" s="62">
        <v>1</v>
      </c>
      <c r="BM1539" s="275">
        <v>3</v>
      </c>
      <c r="BN1539" s="62">
        <v>0.03</v>
      </c>
      <c r="BP1539" s="33" t="s">
        <v>602</v>
      </c>
    </row>
    <row r="1540" spans="1:68">
      <c r="A1540" s="33" t="str">
        <f>Database_Productkaarten[[#This Row],[Product]]&amp;", "&amp;Database_Productkaarten[[#This Row],[Levensfase]]</f>
        <v>Baksteen, D2</v>
      </c>
      <c r="B1540" t="s">
        <v>268</v>
      </c>
      <c r="C1540" t="s">
        <v>55</v>
      </c>
      <c r="D1540" t="s">
        <v>659</v>
      </c>
      <c r="E1540" s="33" t="s">
        <v>385</v>
      </c>
      <c r="F1540" s="33" t="s">
        <v>88</v>
      </c>
      <c r="G1540" s="33">
        <v>1</v>
      </c>
      <c r="H1540" s="33">
        <v>1</v>
      </c>
      <c r="I1540" s="33">
        <v>0.08</v>
      </c>
      <c r="L1540" s="33">
        <v>1.45</v>
      </c>
      <c r="M1540" s="271">
        <v>7.2499999999999995E-2</v>
      </c>
      <c r="N1540" s="41"/>
      <c r="O1540" s="33">
        <v>25</v>
      </c>
      <c r="P1540" s="163">
        <v>9.3000000000000007E-6</v>
      </c>
      <c r="Q1540" s="163">
        <v>6.5199999999999994E-2</v>
      </c>
      <c r="R1540" s="163">
        <v>9.8699999999999992</v>
      </c>
      <c r="S1540" s="163">
        <v>1.6199999999999999E-6</v>
      </c>
      <c r="T1540" s="163">
        <v>3.8999999999999998E-3</v>
      </c>
      <c r="U1540" s="163">
        <v>3.0800000000000001E-2</v>
      </c>
      <c r="V1540" s="163">
        <v>5.94E-3</v>
      </c>
      <c r="W1540" s="163">
        <v>2.5499999999999998</v>
      </c>
      <c r="X1540" s="163">
        <v>8.5400000000000004E-2</v>
      </c>
      <c r="Y1540" s="163">
        <v>256</v>
      </c>
      <c r="Z1540" s="163">
        <v>1.3100000000000001E-2</v>
      </c>
      <c r="AA1540" s="40"/>
      <c r="AB1540" s="40"/>
      <c r="AC1540" s="40"/>
      <c r="AD1540" s="40"/>
      <c r="AE1540" s="40"/>
      <c r="AF1540" s="40"/>
      <c r="AG1540" s="40"/>
      <c r="AH1540" s="40"/>
      <c r="AI1540" s="40"/>
      <c r="AJ1540" s="40"/>
      <c r="AK1540" s="40"/>
      <c r="AL1540" s="40"/>
      <c r="AM1540" s="40"/>
      <c r="AN1540" s="40"/>
      <c r="AO1540" s="40"/>
      <c r="AP1540" s="40"/>
      <c r="AQ1540" s="40"/>
      <c r="AR1540" s="40"/>
      <c r="AS1540" s="40"/>
      <c r="AT1540" s="40"/>
      <c r="AU1540" s="40"/>
      <c r="AV1540" s="315">
        <v>2.2799999999999998</v>
      </c>
      <c r="AW1540" s="317"/>
      <c r="AX1540" s="317"/>
      <c r="AY1540" s="313">
        <v>146</v>
      </c>
      <c r="AZ1540" s="40"/>
      <c r="BA1540" s="40"/>
      <c r="BB1540" s="40"/>
      <c r="BC1540" s="40">
        <v>0.14199999999999999</v>
      </c>
      <c r="BD1540" s="163">
        <v>0.39600000000000002</v>
      </c>
      <c r="BE1540" s="163">
        <v>3.46</v>
      </c>
      <c r="BF1540" s="40"/>
      <c r="BG1540" s="40"/>
      <c r="BH1540" s="40"/>
      <c r="BI1540" s="40"/>
      <c r="BJ1540" s="40"/>
      <c r="BK1540" s="40"/>
      <c r="BL1540" s="62">
        <v>0</v>
      </c>
      <c r="BM1540" s="275">
        <v>3</v>
      </c>
      <c r="BN1540" s="62">
        <v>0.03</v>
      </c>
    </row>
    <row r="1541" spans="1:68">
      <c r="A1541" s="33" t="str">
        <f>Database_Productkaarten[[#This Row],[Product]]&amp;", "&amp;Database_Productkaarten[[#This Row],[Levensfase]]</f>
        <v>Baksteen, A1</v>
      </c>
      <c r="B1541" t="s">
        <v>268</v>
      </c>
      <c r="C1541" t="s">
        <v>55</v>
      </c>
      <c r="D1541" t="s">
        <v>659</v>
      </c>
      <c r="E1541" s="33" t="s">
        <v>385</v>
      </c>
      <c r="F1541" s="33" t="s">
        <v>74</v>
      </c>
      <c r="G1541" s="33">
        <v>1</v>
      </c>
      <c r="H1541" s="33">
        <v>1</v>
      </c>
      <c r="I1541" s="33">
        <v>0.05</v>
      </c>
      <c r="L1541" s="33">
        <v>1.45</v>
      </c>
      <c r="M1541" s="271">
        <v>7.2499999999999995E-2</v>
      </c>
      <c r="N1541" s="41"/>
      <c r="O1541" s="33">
        <v>25</v>
      </c>
      <c r="P1541" s="40"/>
      <c r="Q1541" s="40"/>
      <c r="R1541" s="40"/>
      <c r="S1541" s="40"/>
      <c r="T1541" s="40"/>
      <c r="U1541" s="40"/>
      <c r="V1541" s="40"/>
      <c r="W1541" s="40"/>
      <c r="X1541" s="40"/>
      <c r="Y1541" s="40"/>
      <c r="Z1541" s="40"/>
      <c r="AA1541" s="40"/>
      <c r="AB1541" s="40"/>
      <c r="AC1541" s="40"/>
      <c r="AD1541" s="40"/>
      <c r="AE1541" s="40"/>
      <c r="AF1541" s="40"/>
      <c r="AG1541" s="40"/>
      <c r="AH1541" s="40"/>
      <c r="AI1541" s="40"/>
      <c r="AJ1541" s="40"/>
      <c r="AK1541" s="40"/>
      <c r="AL1541" s="40"/>
      <c r="AM1541" s="40"/>
      <c r="AN1541" s="40"/>
      <c r="AO1541" s="40"/>
      <c r="AP1541" s="40"/>
      <c r="AQ1541" s="40"/>
      <c r="AR1541" s="40"/>
      <c r="AS1541" s="40"/>
      <c r="AT1541" s="40"/>
      <c r="AU1541" s="40"/>
      <c r="AV1541" s="317"/>
      <c r="AW1541" s="317"/>
      <c r="AX1541" s="317"/>
      <c r="AY1541" s="313"/>
      <c r="AZ1541" s="40"/>
      <c r="BA1541" s="40"/>
      <c r="BB1541" s="40"/>
      <c r="BC1541" s="40"/>
      <c r="BD1541" s="40"/>
      <c r="BE1541" s="40"/>
      <c r="BF1541" s="40"/>
      <c r="BG1541" s="40"/>
      <c r="BH1541" s="40"/>
      <c r="BI1541" s="40"/>
      <c r="BJ1541" s="40"/>
      <c r="BK1541" s="40"/>
      <c r="BL1541" s="62">
        <v>0</v>
      </c>
      <c r="BM1541" s="275">
        <v>3</v>
      </c>
      <c r="BN1541" s="62">
        <v>0.03</v>
      </c>
    </row>
    <row r="1542" spans="1:68">
      <c r="A1542" s="33" t="str">
        <f>Database_Productkaarten[[#This Row],[Product]]&amp;", "&amp;Database_Productkaarten[[#This Row],[Levensfase]]</f>
        <v>Baksteen, A2</v>
      </c>
      <c r="B1542" t="s">
        <v>268</v>
      </c>
      <c r="C1542" t="s">
        <v>55</v>
      </c>
      <c r="D1542" t="s">
        <v>659</v>
      </c>
      <c r="E1542" s="33" t="s">
        <v>385</v>
      </c>
      <c r="F1542" s="33" t="s">
        <v>75</v>
      </c>
      <c r="G1542" s="33">
        <v>1</v>
      </c>
      <c r="H1542" s="33">
        <v>1</v>
      </c>
      <c r="I1542" s="33">
        <v>0.05</v>
      </c>
      <c r="L1542" s="33">
        <v>1.45</v>
      </c>
      <c r="M1542" s="271">
        <v>7.2499999999999995E-2</v>
      </c>
      <c r="N1542" s="41"/>
      <c r="O1542" s="33">
        <v>25</v>
      </c>
      <c r="P1542" s="40"/>
      <c r="Q1542" s="40"/>
      <c r="R1542" s="40"/>
      <c r="S1542" s="40"/>
      <c r="T1542" s="40"/>
      <c r="U1542" s="40"/>
      <c r="V1542" s="40"/>
      <c r="W1542" s="40"/>
      <c r="X1542" s="40"/>
      <c r="Y1542" s="40"/>
      <c r="Z1542" s="40"/>
      <c r="AA1542" s="40"/>
      <c r="AB1542" s="40"/>
      <c r="AC1542" s="40"/>
      <c r="AD1542" s="40"/>
      <c r="AE1542" s="40"/>
      <c r="AF1542" s="40"/>
      <c r="AG1542" s="40"/>
      <c r="AH1542" s="40"/>
      <c r="AI1542" s="40"/>
      <c r="AJ1542" s="40"/>
      <c r="AK1542" s="40"/>
      <c r="AL1542" s="40"/>
      <c r="AM1542" s="40"/>
      <c r="AN1542" s="40"/>
      <c r="AO1542" s="40"/>
      <c r="AP1542" s="40"/>
      <c r="AQ1542" s="40"/>
      <c r="AR1542" s="40"/>
      <c r="AS1542" s="40"/>
      <c r="AT1542" s="40"/>
      <c r="AU1542" s="40"/>
      <c r="AV1542" s="317"/>
      <c r="AW1542" s="317"/>
      <c r="AX1542" s="317"/>
      <c r="AY1542" s="313"/>
      <c r="AZ1542" s="40"/>
      <c r="BA1542" s="40"/>
      <c r="BB1542" s="40"/>
      <c r="BC1542" s="40"/>
      <c r="BD1542" s="40"/>
      <c r="BE1542" s="40"/>
      <c r="BF1542" s="40"/>
      <c r="BG1542" s="40"/>
      <c r="BH1542" s="40"/>
      <c r="BI1542" s="40"/>
      <c r="BJ1542" s="40"/>
      <c r="BK1542" s="40"/>
      <c r="BL1542" s="62">
        <v>0</v>
      </c>
      <c r="BM1542" s="275">
        <v>3</v>
      </c>
      <c r="BN1542" s="62">
        <v>0.03</v>
      </c>
    </row>
    <row r="1543" spans="1:68">
      <c r="A1543" s="33" t="str">
        <f>Database_Productkaarten[[#This Row],[Product]]&amp;", "&amp;Database_Productkaarten[[#This Row],[Levensfase]]</f>
        <v>Baksteen, A3</v>
      </c>
      <c r="B1543" t="s">
        <v>268</v>
      </c>
      <c r="C1543" t="s">
        <v>55</v>
      </c>
      <c r="D1543" t="s">
        <v>659</v>
      </c>
      <c r="E1543" s="33" t="s">
        <v>385</v>
      </c>
      <c r="F1543" s="33" t="s">
        <v>76</v>
      </c>
      <c r="G1543" s="33">
        <v>1</v>
      </c>
      <c r="H1543" s="33">
        <v>1</v>
      </c>
      <c r="I1543" s="33">
        <v>0.05</v>
      </c>
      <c r="L1543" s="33">
        <v>1.45</v>
      </c>
      <c r="M1543" s="271">
        <v>7.2499999999999995E-2</v>
      </c>
      <c r="N1543" s="41"/>
      <c r="O1543" s="33">
        <v>25</v>
      </c>
      <c r="P1543" s="40"/>
      <c r="Q1543" s="40"/>
      <c r="R1543" s="40"/>
      <c r="S1543" s="40"/>
      <c r="T1543" s="40"/>
      <c r="U1543" s="40"/>
      <c r="V1543" s="40"/>
      <c r="W1543" s="40"/>
      <c r="X1543" s="40"/>
      <c r="Y1543" s="40"/>
      <c r="Z1543" s="40"/>
      <c r="AA1543" s="40"/>
      <c r="AB1543" s="40"/>
      <c r="AC1543" s="40"/>
      <c r="AD1543" s="40"/>
      <c r="AE1543" s="40"/>
      <c r="AF1543" s="40"/>
      <c r="AG1543" s="40"/>
      <c r="AH1543" s="40"/>
      <c r="AI1543" s="40"/>
      <c r="AJ1543" s="40"/>
      <c r="AK1543" s="40"/>
      <c r="AL1543" s="40"/>
      <c r="AM1543" s="40"/>
      <c r="AN1543" s="40"/>
      <c r="AO1543" s="40"/>
      <c r="AP1543" s="40"/>
      <c r="AQ1543" s="40"/>
      <c r="AR1543" s="40"/>
      <c r="AS1543" s="40"/>
      <c r="AT1543" s="40"/>
      <c r="AU1543" s="40"/>
      <c r="AV1543" s="317"/>
      <c r="AW1543" s="317"/>
      <c r="AX1543" s="317"/>
      <c r="AY1543" s="313"/>
      <c r="AZ1543" s="40"/>
      <c r="BA1543" s="40"/>
      <c r="BB1543" s="40"/>
      <c r="BC1543" s="40"/>
      <c r="BD1543" s="40"/>
      <c r="BE1543" s="40"/>
      <c r="BF1543" s="40"/>
      <c r="BG1543" s="40"/>
      <c r="BH1543" s="40"/>
      <c r="BI1543" s="40"/>
      <c r="BJ1543" s="40"/>
      <c r="BK1543" s="40"/>
      <c r="BL1543" s="62">
        <v>0</v>
      </c>
      <c r="BM1543" s="275">
        <v>3</v>
      </c>
      <c r="BN1543" s="62">
        <v>0.03</v>
      </c>
    </row>
    <row r="1544" spans="1:68">
      <c r="A1544" s="33" t="str">
        <f>Database_Productkaarten[[#This Row],[Product]]&amp;", "&amp;Database_Productkaarten[[#This Row],[Levensfase]]</f>
        <v>Baksteen, A1-A3</v>
      </c>
      <c r="B1544" t="s">
        <v>268</v>
      </c>
      <c r="C1544" s="451" t="str">
        <f>C1543</f>
        <v>Elementenverhardingen</v>
      </c>
      <c r="D1544" s="451" t="str">
        <f>D1543</f>
        <v>Gebakken klinker</v>
      </c>
      <c r="E1544" s="451" t="str">
        <f>E1543</f>
        <v>m2</v>
      </c>
      <c r="F1544" s="451" t="s">
        <v>77</v>
      </c>
      <c r="G1544" s="33">
        <v>1</v>
      </c>
      <c r="H1544" s="33">
        <v>1</v>
      </c>
      <c r="I1544" s="33">
        <v>0.05</v>
      </c>
      <c r="L1544" s="33">
        <v>1.45</v>
      </c>
      <c r="M1544" s="271">
        <v>7.2499999999999995E-2</v>
      </c>
      <c r="N1544" s="41">
        <v>2.3417699999999999</v>
      </c>
      <c r="O1544" s="33">
        <v>25</v>
      </c>
      <c r="P1544" s="163">
        <v>1.7099999999999999E-5</v>
      </c>
      <c r="Q1544" s="163">
        <v>4.48E-2</v>
      </c>
      <c r="R1544" s="163">
        <v>12.5</v>
      </c>
      <c r="S1544" s="163">
        <v>5.8500000000000001E-7</v>
      </c>
      <c r="T1544" s="163">
        <v>3.5899999999999999E-3</v>
      </c>
      <c r="U1544" s="163">
        <v>3.7999999999999999E-2</v>
      </c>
      <c r="V1544" s="163">
        <v>6.5900000000000004E-3</v>
      </c>
      <c r="W1544" s="163">
        <v>1.69</v>
      </c>
      <c r="X1544" s="163">
        <v>4.2299999999999997E-2</v>
      </c>
      <c r="Y1544" s="163">
        <v>193</v>
      </c>
      <c r="Z1544" s="163">
        <v>2.7099999999999999E-2</v>
      </c>
      <c r="AA1544" s="40"/>
      <c r="AB1544" s="40"/>
      <c r="AC1544" s="40"/>
      <c r="AD1544" s="40"/>
      <c r="AE1544" s="40"/>
      <c r="AF1544" s="40"/>
      <c r="AG1544" s="40"/>
      <c r="AH1544" s="40"/>
      <c r="AI1544" s="40"/>
      <c r="AJ1544" s="40"/>
      <c r="AK1544" s="40"/>
      <c r="AL1544" s="40"/>
      <c r="AM1544" s="40"/>
      <c r="AN1544" s="40"/>
      <c r="AO1544" s="40"/>
      <c r="AP1544" s="40"/>
      <c r="AQ1544" s="40"/>
      <c r="AR1544" s="40"/>
      <c r="AS1544" s="40"/>
      <c r="AT1544" s="40"/>
      <c r="AU1544" s="40"/>
      <c r="AV1544" s="315">
        <v>9.19</v>
      </c>
      <c r="AW1544" s="317"/>
      <c r="AX1544" s="317"/>
      <c r="AY1544" s="313">
        <v>97.7</v>
      </c>
      <c r="AZ1544" s="40"/>
      <c r="BA1544" s="40"/>
      <c r="BB1544" s="40"/>
      <c r="BC1544" s="40">
        <v>1.22</v>
      </c>
      <c r="BD1544" s="163">
        <v>3.69</v>
      </c>
      <c r="BE1544" s="163">
        <v>1.72</v>
      </c>
      <c r="BF1544" s="40"/>
      <c r="BG1544" s="40"/>
      <c r="BH1544" s="40"/>
      <c r="BI1544" s="40"/>
      <c r="BJ1544" s="40"/>
      <c r="BK1544" s="40"/>
      <c r="BL1544" s="62">
        <v>0</v>
      </c>
      <c r="BM1544" s="275">
        <v>3</v>
      </c>
      <c r="BN1544" s="62">
        <v>0.03</v>
      </c>
    </row>
    <row r="1545" spans="1:68">
      <c r="A1545" s="33" t="str">
        <f>Database_Productkaarten[[#This Row],[Product]]&amp;", "&amp;Database_Productkaarten[[#This Row],[Levensfase]]</f>
        <v>Baksteen, A4</v>
      </c>
      <c r="B1545" t="s">
        <v>268</v>
      </c>
      <c r="C1545" t="s">
        <v>55</v>
      </c>
      <c r="D1545" t="s">
        <v>659</v>
      </c>
      <c r="E1545" s="33" t="s">
        <v>385</v>
      </c>
      <c r="F1545" s="33" t="s">
        <v>78</v>
      </c>
      <c r="G1545" s="33">
        <v>1</v>
      </c>
      <c r="H1545" s="33">
        <v>1</v>
      </c>
      <c r="I1545" s="33">
        <v>0.05</v>
      </c>
      <c r="L1545" s="33">
        <v>1.45</v>
      </c>
      <c r="M1545" s="271">
        <v>7.2499999999999995E-2</v>
      </c>
      <c r="N1545" s="41">
        <v>3.4360000000000002E-2</v>
      </c>
      <c r="O1545" s="33">
        <v>25</v>
      </c>
      <c r="P1545" s="211">
        <v>3.0199999999999999E-6</v>
      </c>
      <c r="Q1545" s="163">
        <v>1.1900000000000001E-2</v>
      </c>
      <c r="R1545" s="163">
        <v>1.58</v>
      </c>
      <c r="S1545" s="163">
        <v>3.1300000000000001E-7</v>
      </c>
      <c r="T1545" s="163">
        <v>9.9400000000000009E-4</v>
      </c>
      <c r="U1545" s="163">
        <v>5.7499999999999999E-3</v>
      </c>
      <c r="V1545" s="163">
        <v>1.17E-3</v>
      </c>
      <c r="W1545" s="163">
        <v>0.55500000000000005</v>
      </c>
      <c r="X1545" s="163">
        <v>3.5799999999999998E-2</v>
      </c>
      <c r="Y1545" s="163">
        <v>93.7</v>
      </c>
      <c r="Z1545" s="163">
        <v>3.29E-3</v>
      </c>
      <c r="AA1545" s="40"/>
      <c r="AB1545" s="40"/>
      <c r="AC1545" s="40"/>
      <c r="AD1545" s="40"/>
      <c r="AE1545" s="40"/>
      <c r="AF1545" s="40"/>
      <c r="AG1545" s="40"/>
      <c r="AH1545" s="40"/>
      <c r="AI1545" s="40"/>
      <c r="AJ1545" s="40"/>
      <c r="AK1545" s="40"/>
      <c r="AL1545" s="40"/>
      <c r="AM1545" s="40"/>
      <c r="AN1545" s="40"/>
      <c r="AO1545" s="40"/>
      <c r="AP1545" s="40"/>
      <c r="AQ1545" s="40"/>
      <c r="AR1545" s="40"/>
      <c r="AS1545" s="40"/>
      <c r="AT1545" s="40"/>
      <c r="AU1545" s="40"/>
      <c r="AV1545" s="315">
        <v>0.42599999999999999</v>
      </c>
      <c r="AW1545" s="317"/>
      <c r="AX1545" s="317"/>
      <c r="AY1545" s="313">
        <v>27.2</v>
      </c>
      <c r="AZ1545" s="40"/>
      <c r="BA1545" s="40"/>
      <c r="BB1545" s="40"/>
      <c r="BC1545" s="40">
        <v>5.5300000000000002E-3</v>
      </c>
      <c r="BD1545" s="163">
        <v>1.93E-4</v>
      </c>
      <c r="BE1545" s="163">
        <v>2.25</v>
      </c>
      <c r="BF1545" s="40"/>
      <c r="BG1545" s="40"/>
      <c r="BH1545" s="40"/>
      <c r="BI1545" s="40"/>
      <c r="BJ1545" s="40"/>
      <c r="BK1545" s="40"/>
      <c r="BL1545" s="62">
        <v>0</v>
      </c>
      <c r="BM1545" s="275">
        <v>3</v>
      </c>
      <c r="BN1545" s="62">
        <v>0.03</v>
      </c>
    </row>
    <row r="1546" spans="1:68">
      <c r="A1546" s="33" t="str">
        <f>Database_Productkaarten[[#This Row],[Product]]&amp;", "&amp;Database_Productkaarten[[#This Row],[Levensfase]]</f>
        <v>Baksteen, A5</v>
      </c>
      <c r="B1546" t="s">
        <v>268</v>
      </c>
      <c r="C1546" t="s">
        <v>55</v>
      </c>
      <c r="D1546" t="s">
        <v>659</v>
      </c>
      <c r="E1546" s="33" t="s">
        <v>385</v>
      </c>
      <c r="F1546" s="33" t="s">
        <v>79</v>
      </c>
      <c r="G1546" s="33">
        <v>1</v>
      </c>
      <c r="H1546" s="33">
        <v>1</v>
      </c>
      <c r="I1546" s="33">
        <v>0.05</v>
      </c>
      <c r="L1546" s="33">
        <v>1.45</v>
      </c>
      <c r="M1546" s="271">
        <v>7.2499999999999995E-2</v>
      </c>
      <c r="N1546" s="41">
        <v>0.59818000000000005</v>
      </c>
      <c r="O1546" s="33">
        <v>25</v>
      </c>
      <c r="P1546" s="163">
        <v>2.9500000000000001E-6</v>
      </c>
      <c r="Q1546" s="163">
        <v>4.1000000000000002E-2</v>
      </c>
      <c r="R1546" s="163">
        <v>6.01</v>
      </c>
      <c r="S1546" s="163">
        <v>1.04E-6</v>
      </c>
      <c r="T1546" s="163">
        <v>2E-3</v>
      </c>
      <c r="U1546" s="163">
        <v>1.77E-2</v>
      </c>
      <c r="V1546" s="163">
        <v>3.3800000000000002E-3</v>
      </c>
      <c r="W1546" s="163">
        <v>1.49</v>
      </c>
      <c r="X1546" s="163">
        <v>3.0599999999999999E-2</v>
      </c>
      <c r="Y1546" s="163">
        <v>101</v>
      </c>
      <c r="Z1546" s="163">
        <v>5.4200000000000003E-3</v>
      </c>
      <c r="AA1546" s="40"/>
      <c r="AB1546" s="40"/>
      <c r="AC1546" s="40"/>
      <c r="AD1546" s="40"/>
      <c r="AE1546" s="40"/>
      <c r="AF1546" s="40"/>
      <c r="AG1546" s="40"/>
      <c r="AH1546" s="40"/>
      <c r="AI1546" s="40"/>
      <c r="AJ1546" s="40"/>
      <c r="AK1546" s="40"/>
      <c r="AL1546" s="40"/>
      <c r="AM1546" s="40"/>
      <c r="AN1546" s="40"/>
      <c r="AO1546" s="40"/>
      <c r="AP1546" s="40"/>
      <c r="AQ1546" s="40"/>
      <c r="AR1546" s="40"/>
      <c r="AS1546" s="40"/>
      <c r="AT1546" s="40"/>
      <c r="AU1546" s="40"/>
      <c r="AV1546" s="315">
        <v>0.70299999999999996</v>
      </c>
      <c r="AW1546" s="317"/>
      <c r="AX1546" s="317"/>
      <c r="AY1546" s="313">
        <v>91.6</v>
      </c>
      <c r="AZ1546" s="40"/>
      <c r="BA1546" s="40"/>
      <c r="BB1546" s="40"/>
      <c r="BC1546" s="40">
        <v>1.24E-2</v>
      </c>
      <c r="BD1546" s="163">
        <v>1.21E-2</v>
      </c>
      <c r="BE1546" s="163">
        <v>0.247</v>
      </c>
      <c r="BF1546" s="40"/>
      <c r="BG1546" s="40"/>
      <c r="BH1546" s="40"/>
      <c r="BI1546" s="40"/>
      <c r="BJ1546" s="40"/>
      <c r="BK1546" s="40"/>
      <c r="BL1546" s="62">
        <v>0</v>
      </c>
      <c r="BM1546" s="275">
        <v>3</v>
      </c>
      <c r="BN1546" s="62">
        <v>0.03</v>
      </c>
    </row>
    <row r="1547" spans="1:68">
      <c r="A1547" s="33" t="str">
        <f>Database_Productkaarten[[#This Row],[Product]]&amp;", "&amp;Database_Productkaarten[[#This Row],[Levensfase]]</f>
        <v>Baksteen, B1</v>
      </c>
      <c r="B1547" t="s">
        <v>268</v>
      </c>
      <c r="C1547" t="s">
        <v>55</v>
      </c>
      <c r="D1547" t="s">
        <v>659</v>
      </c>
      <c r="E1547" s="33" t="s">
        <v>385</v>
      </c>
      <c r="F1547" s="33" t="s">
        <v>80</v>
      </c>
      <c r="G1547" s="33">
        <v>1</v>
      </c>
      <c r="H1547" s="33">
        <v>1</v>
      </c>
      <c r="I1547" s="33">
        <v>0.05</v>
      </c>
      <c r="L1547" s="33">
        <v>1.45</v>
      </c>
      <c r="M1547" s="271">
        <v>7.2499999999999995E-2</v>
      </c>
      <c r="N1547" s="41">
        <v>0</v>
      </c>
      <c r="O1547" s="33">
        <v>25</v>
      </c>
      <c r="P1547" s="211">
        <v>0</v>
      </c>
      <c r="Q1547" s="211">
        <v>0</v>
      </c>
      <c r="R1547" s="163">
        <v>0</v>
      </c>
      <c r="S1547" s="163">
        <v>0</v>
      </c>
      <c r="T1547" s="163">
        <v>0</v>
      </c>
      <c r="U1547" s="163">
        <v>0</v>
      </c>
      <c r="V1547" s="163">
        <v>0</v>
      </c>
      <c r="W1547" s="163">
        <v>0</v>
      </c>
      <c r="X1547" s="163">
        <v>0</v>
      </c>
      <c r="Y1547" s="163">
        <v>0</v>
      </c>
      <c r="Z1547" s="163">
        <v>0</v>
      </c>
      <c r="AA1547" s="40"/>
      <c r="AB1547" s="40"/>
      <c r="AC1547" s="40"/>
      <c r="AD1547" s="40"/>
      <c r="AE1547" s="40"/>
      <c r="AF1547" s="40"/>
      <c r="AG1547" s="40"/>
      <c r="AH1547" s="40"/>
      <c r="AI1547" s="40"/>
      <c r="AJ1547" s="40"/>
      <c r="AK1547" s="40"/>
      <c r="AL1547" s="40"/>
      <c r="AM1547" s="40"/>
      <c r="AN1547" s="40"/>
      <c r="AO1547" s="40"/>
      <c r="AP1547" s="40"/>
      <c r="AQ1547" s="40"/>
      <c r="AR1547" s="40"/>
      <c r="AS1547" s="40"/>
      <c r="AT1547" s="40"/>
      <c r="AU1547" s="40"/>
      <c r="AV1547" s="315">
        <v>0</v>
      </c>
      <c r="AW1547" s="317"/>
      <c r="AX1547" s="317"/>
      <c r="AY1547" s="313">
        <v>0</v>
      </c>
      <c r="AZ1547" s="40"/>
      <c r="BA1547" s="40"/>
      <c r="BB1547" s="40"/>
      <c r="BC1547" s="40">
        <v>0</v>
      </c>
      <c r="BD1547" s="163">
        <v>0</v>
      </c>
      <c r="BE1547" s="163">
        <v>0</v>
      </c>
      <c r="BF1547" s="40"/>
      <c r="BG1547" s="40"/>
      <c r="BH1547" s="40"/>
      <c r="BI1547" s="40"/>
      <c r="BJ1547" s="40"/>
      <c r="BK1547" s="40"/>
      <c r="BL1547" s="62">
        <v>0</v>
      </c>
      <c r="BM1547" s="275">
        <v>3</v>
      </c>
      <c r="BN1547" s="62">
        <v>0.03</v>
      </c>
    </row>
    <row r="1548" spans="1:68">
      <c r="A1548" s="33" t="str">
        <f>Database_Productkaarten[[#This Row],[Product]]&amp;", "&amp;Database_Productkaarten[[#This Row],[Levensfase]]</f>
        <v>Baksteen, C1</v>
      </c>
      <c r="B1548" t="s">
        <v>268</v>
      </c>
      <c r="C1548" t="s">
        <v>55</v>
      </c>
      <c r="D1548" t="s">
        <v>659</v>
      </c>
      <c r="E1548" s="33" t="s">
        <v>385</v>
      </c>
      <c r="F1548" s="33" t="s">
        <v>83</v>
      </c>
      <c r="G1548" s="33">
        <v>1</v>
      </c>
      <c r="H1548" s="33">
        <v>1</v>
      </c>
      <c r="I1548" s="33">
        <v>0.05</v>
      </c>
      <c r="L1548" s="33">
        <v>1.45</v>
      </c>
      <c r="M1548" s="271">
        <v>7.2499999999999995E-2</v>
      </c>
      <c r="N1548" s="41">
        <v>4.972E-2</v>
      </c>
      <c r="O1548" s="33">
        <v>25</v>
      </c>
      <c r="P1548" s="163">
        <v>2.5100000000000001E-7</v>
      </c>
      <c r="Q1548" s="163">
        <v>3.6700000000000001E-3</v>
      </c>
      <c r="R1548" s="163">
        <v>0.53700000000000003</v>
      </c>
      <c r="S1548" s="163">
        <v>9.3400000000000003E-8</v>
      </c>
      <c r="T1548" s="163">
        <v>1.7699999999999999E-4</v>
      </c>
      <c r="U1548" s="163">
        <v>1.57E-3</v>
      </c>
      <c r="V1548" s="163">
        <v>3.01E-4</v>
      </c>
      <c r="W1548" s="163">
        <v>0.13300000000000001</v>
      </c>
      <c r="X1548" s="211">
        <v>2.63E-3</v>
      </c>
      <c r="Y1548" s="211">
        <v>8.8000000000000007</v>
      </c>
      <c r="Z1548" s="163">
        <v>4.73E-4</v>
      </c>
      <c r="AA1548" s="40"/>
      <c r="AB1548" s="40"/>
      <c r="AC1548" s="40"/>
      <c r="AD1548" s="40"/>
      <c r="AE1548" s="40"/>
      <c r="AF1548" s="40"/>
      <c r="AG1548" s="40"/>
      <c r="AH1548" s="40"/>
      <c r="AI1548" s="40"/>
      <c r="AJ1548" s="40"/>
      <c r="AK1548" s="40"/>
      <c r="AL1548" s="40"/>
      <c r="AM1548" s="40"/>
      <c r="AN1548" s="40"/>
      <c r="AO1548" s="40"/>
      <c r="AP1548" s="40"/>
      <c r="AQ1548" s="40"/>
      <c r="AR1548" s="40"/>
      <c r="AS1548" s="40"/>
      <c r="AT1548" s="40"/>
      <c r="AU1548" s="40"/>
      <c r="AV1548" s="315">
        <v>5.9700000000000003E-2</v>
      </c>
      <c r="AW1548" s="317"/>
      <c r="AX1548" s="317"/>
      <c r="AY1548" s="313">
        <v>8.18</v>
      </c>
      <c r="AZ1548" s="40"/>
      <c r="BA1548" s="40"/>
      <c r="BB1548" s="40"/>
      <c r="BC1548" s="40">
        <v>7.7300000000000003E-4</v>
      </c>
      <c r="BD1548" s="163">
        <v>5.6499999999999998E-5</v>
      </c>
      <c r="BE1548" s="163">
        <v>1.37E-2</v>
      </c>
      <c r="BF1548" s="40"/>
      <c r="BG1548" s="40"/>
      <c r="BH1548" s="40"/>
      <c r="BI1548" s="40"/>
      <c r="BJ1548" s="40"/>
      <c r="BK1548" s="40"/>
      <c r="BL1548" s="62">
        <v>0</v>
      </c>
      <c r="BM1548" s="275">
        <v>3</v>
      </c>
      <c r="BN1548" s="62">
        <v>0.03</v>
      </c>
    </row>
    <row r="1549" spans="1:68">
      <c r="A1549" s="33" t="str">
        <f>Database_Productkaarten[[#This Row],[Product]]&amp;", "&amp;Database_Productkaarten[[#This Row],[Levensfase]]</f>
        <v>Baksteen, C2</v>
      </c>
      <c r="B1549" t="s">
        <v>268</v>
      </c>
      <c r="C1549" t="s">
        <v>55</v>
      </c>
      <c r="D1549" t="s">
        <v>659</v>
      </c>
      <c r="E1549" s="33" t="s">
        <v>385</v>
      </c>
      <c r="F1549" s="33" t="s">
        <v>84</v>
      </c>
      <c r="G1549" s="33">
        <v>1</v>
      </c>
      <c r="H1549" s="33">
        <v>1</v>
      </c>
      <c r="I1549" s="33">
        <v>0.05</v>
      </c>
      <c r="L1549" s="33">
        <v>1.45</v>
      </c>
      <c r="M1549" s="271">
        <v>7.2499999999999995E-2</v>
      </c>
      <c r="N1549" s="41">
        <v>3.4709999999999998E-2</v>
      </c>
      <c r="O1549" s="33">
        <v>25</v>
      </c>
      <c r="P1549" s="307">
        <v>1.02E-6</v>
      </c>
      <c r="Q1549" s="211">
        <v>4.0099999999999997E-3</v>
      </c>
      <c r="R1549" s="211">
        <v>0.53</v>
      </c>
      <c r="S1549" s="211">
        <v>1.05E-7</v>
      </c>
      <c r="T1549" s="163">
        <v>3.3500000000000001E-4</v>
      </c>
      <c r="U1549" s="163">
        <v>1.9300000000000001E-3</v>
      </c>
      <c r="V1549" s="163">
        <v>3.9399999999999998E-4</v>
      </c>
      <c r="W1549" s="163">
        <v>0.187</v>
      </c>
      <c r="X1549" s="163">
        <v>1.2E-2</v>
      </c>
      <c r="Y1549" s="163">
        <v>31.5</v>
      </c>
      <c r="Z1549" s="211">
        <v>1.1100000000000001E-3</v>
      </c>
      <c r="AA1549" s="40"/>
      <c r="AB1549" s="40"/>
      <c r="AC1549" s="40"/>
      <c r="AD1549" s="40"/>
      <c r="AE1549" s="40"/>
      <c r="AF1549" s="40"/>
      <c r="AG1549" s="40"/>
      <c r="AH1549" s="40"/>
      <c r="AI1549" s="40"/>
      <c r="AJ1549" s="40"/>
      <c r="AK1549" s="40"/>
      <c r="AL1549" s="40"/>
      <c r="AM1549" s="40"/>
      <c r="AN1549" s="40"/>
      <c r="AO1549" s="40"/>
      <c r="AP1549" s="40"/>
      <c r="AQ1549" s="40"/>
      <c r="AR1549" s="40"/>
      <c r="AS1549" s="40"/>
      <c r="AT1549" s="40"/>
      <c r="AU1549" s="40"/>
      <c r="AV1549" s="315">
        <v>0.14299999999999999</v>
      </c>
      <c r="AW1549" s="317"/>
      <c r="AX1549" s="317"/>
      <c r="AY1549" s="318">
        <v>9.17</v>
      </c>
      <c r="AZ1549" s="40"/>
      <c r="BA1549" s="40"/>
      <c r="BB1549" s="40"/>
      <c r="BC1549" s="40">
        <v>1.8600000000000001E-3</v>
      </c>
      <c r="BD1549" s="163">
        <v>6.4999999999999994E-5</v>
      </c>
      <c r="BE1549" s="163">
        <v>0.75700000000000001</v>
      </c>
      <c r="BF1549" s="40"/>
      <c r="BG1549" s="40"/>
      <c r="BH1549" s="40"/>
      <c r="BI1549" s="40"/>
      <c r="BJ1549" s="40"/>
      <c r="BK1549" s="40"/>
      <c r="BL1549" s="62">
        <v>0</v>
      </c>
      <c r="BM1549" s="275">
        <v>3</v>
      </c>
      <c r="BN1549" s="62">
        <v>0.03</v>
      </c>
    </row>
    <row r="1550" spans="1:68">
      <c r="A1550" s="33" t="str">
        <f>Database_Productkaarten[[#This Row],[Product]]&amp;", "&amp;Database_Productkaarten[[#This Row],[Levensfase]]</f>
        <v>Baksteen, C3</v>
      </c>
      <c r="B1550" t="s">
        <v>268</v>
      </c>
      <c r="C1550" t="s">
        <v>55</v>
      </c>
      <c r="D1550" t="s">
        <v>659</v>
      </c>
      <c r="E1550" s="33" t="s">
        <v>385</v>
      </c>
      <c r="F1550" s="33" t="s">
        <v>85</v>
      </c>
      <c r="G1550" s="33">
        <v>1</v>
      </c>
      <c r="H1550" s="33">
        <v>1</v>
      </c>
      <c r="I1550" s="33">
        <v>0.05</v>
      </c>
      <c r="L1550" s="33">
        <v>1.45</v>
      </c>
      <c r="M1550" s="271">
        <v>7.2499999999999995E-2</v>
      </c>
      <c r="N1550" s="41">
        <v>2.0639999999999999E-2</v>
      </c>
      <c r="O1550" s="33">
        <v>25</v>
      </c>
      <c r="P1550" s="163">
        <v>6.3199999999999997E-9</v>
      </c>
      <c r="Q1550" s="163">
        <v>7.1000000000000005E-5</v>
      </c>
      <c r="R1550" s="163">
        <v>9.9000000000000008E-3</v>
      </c>
      <c r="S1550" s="163">
        <v>1.15E-9</v>
      </c>
      <c r="T1550" s="163">
        <v>5.6699999999999999E-6</v>
      </c>
      <c r="U1550" s="163">
        <v>4.9400000000000001E-5</v>
      </c>
      <c r="V1550" s="163">
        <v>1.1199999999999999E-5</v>
      </c>
      <c r="W1550" s="163">
        <v>2.2699999999999999E-3</v>
      </c>
      <c r="X1550" s="163">
        <v>3.8899999999999997E-5</v>
      </c>
      <c r="Y1550" s="163">
        <v>0.14399999999999999</v>
      </c>
      <c r="Z1550" s="163">
        <v>2.87E-5</v>
      </c>
      <c r="AA1550" s="40"/>
      <c r="AB1550" s="40"/>
      <c r="AC1550" s="40"/>
      <c r="AD1550" s="40"/>
      <c r="AE1550" s="40"/>
      <c r="AF1550" s="40"/>
      <c r="AG1550" s="40"/>
      <c r="AH1550" s="40"/>
      <c r="AI1550" s="40"/>
      <c r="AJ1550" s="40"/>
      <c r="AK1550" s="40"/>
      <c r="AL1550" s="40"/>
      <c r="AM1550" s="40"/>
      <c r="AN1550" s="40"/>
      <c r="AO1550" s="40"/>
      <c r="AP1550" s="40"/>
      <c r="AQ1550" s="40"/>
      <c r="AR1550" s="40"/>
      <c r="AS1550" s="40"/>
      <c r="AT1550" s="40"/>
      <c r="AU1550" s="40"/>
      <c r="AV1550" s="319">
        <v>7.9699999999999997E-3</v>
      </c>
      <c r="AW1550" s="317"/>
      <c r="AX1550" s="317"/>
      <c r="AY1550" s="313">
        <v>0.15</v>
      </c>
      <c r="AZ1550" s="40"/>
      <c r="BA1550" s="40"/>
      <c r="BB1550" s="40"/>
      <c r="BC1550" s="40">
        <v>2.02E-5</v>
      </c>
      <c r="BD1550" s="163">
        <v>8.9899999999999999E-7</v>
      </c>
      <c r="BE1550" s="163">
        <v>1.8599999999999998E-2</v>
      </c>
      <c r="BF1550" s="40"/>
      <c r="BG1550" s="40"/>
      <c r="BH1550" s="40"/>
      <c r="BI1550" s="40"/>
      <c r="BJ1550" s="40"/>
      <c r="BK1550" s="40"/>
      <c r="BL1550" s="62">
        <v>0</v>
      </c>
      <c r="BM1550" s="275">
        <v>3</v>
      </c>
      <c r="BN1550" s="62">
        <v>0.03</v>
      </c>
    </row>
    <row r="1551" spans="1:68">
      <c r="A1551" s="33" t="str">
        <f>Database_Productkaarten[[#This Row],[Product]]&amp;", "&amp;Database_Productkaarten[[#This Row],[Levensfase]]</f>
        <v>Baksteen, C4</v>
      </c>
      <c r="B1551" t="s">
        <v>268</v>
      </c>
      <c r="C1551" t="s">
        <v>55</v>
      </c>
      <c r="D1551" t="s">
        <v>659</v>
      </c>
      <c r="E1551" s="33" t="s">
        <v>385</v>
      </c>
      <c r="F1551" s="33" t="s">
        <v>86</v>
      </c>
      <c r="G1551" s="33">
        <v>1</v>
      </c>
      <c r="H1551" s="33">
        <v>1</v>
      </c>
      <c r="I1551" s="33">
        <v>0.05</v>
      </c>
      <c r="L1551" s="33">
        <v>1.45</v>
      </c>
      <c r="M1551" s="271">
        <v>7.2499999999999995E-2</v>
      </c>
      <c r="N1551" s="41">
        <v>5.4000000000000001E-4</v>
      </c>
      <c r="O1551" s="33">
        <v>25</v>
      </c>
      <c r="P1551" s="163">
        <v>3.6600000000000001E-13</v>
      </c>
      <c r="Q1551" s="307">
        <v>4.7500000000000003E-9</v>
      </c>
      <c r="R1551" s="211">
        <v>3.2500000000000001E-7</v>
      </c>
      <c r="S1551" s="211">
        <v>1.1700000000000001E-13</v>
      </c>
      <c r="T1551" s="163">
        <v>3.5400000000000002E-10</v>
      </c>
      <c r="U1551" s="163">
        <v>2.45E-9</v>
      </c>
      <c r="V1551" s="163">
        <v>4.63E-10</v>
      </c>
      <c r="W1551" s="211">
        <v>1.4100000000000001E-7</v>
      </c>
      <c r="X1551" s="163">
        <v>3.4200000000000002E-9</v>
      </c>
      <c r="Y1551" s="163">
        <v>1.2E-5</v>
      </c>
      <c r="Z1551" s="163">
        <v>3.5300000000000002E-10</v>
      </c>
      <c r="AA1551" s="40"/>
      <c r="AB1551" s="40"/>
      <c r="AC1551" s="40"/>
      <c r="AD1551" s="40"/>
      <c r="AE1551" s="40"/>
      <c r="AF1551" s="40"/>
      <c r="AG1551" s="40"/>
      <c r="AH1551" s="40"/>
      <c r="AI1551" s="40"/>
      <c r="AJ1551" s="40"/>
      <c r="AK1551" s="40"/>
      <c r="AL1551" s="40"/>
      <c r="AM1551" s="40"/>
      <c r="AN1551" s="40"/>
      <c r="AO1551" s="40"/>
      <c r="AP1551" s="40"/>
      <c r="AQ1551" s="40"/>
      <c r="AR1551" s="40"/>
      <c r="AS1551" s="40"/>
      <c r="AT1551" s="40"/>
      <c r="AU1551" s="40"/>
      <c r="AV1551" s="315">
        <v>8.0999999999999997E-8</v>
      </c>
      <c r="AW1551" s="317"/>
      <c r="AX1551" s="317"/>
      <c r="AY1551" s="313">
        <v>1.06E-5</v>
      </c>
      <c r="AZ1551" s="40"/>
      <c r="BA1551" s="40"/>
      <c r="BB1551" s="40"/>
      <c r="BC1551" s="40">
        <v>9.8199999999999996E-9</v>
      </c>
      <c r="BD1551" s="163">
        <v>7.2700000000000005E-11</v>
      </c>
      <c r="BE1551" s="163">
        <v>6.1500000000000004E-5</v>
      </c>
      <c r="BF1551" s="40"/>
      <c r="BG1551" s="40"/>
      <c r="BH1551" s="40"/>
      <c r="BI1551" s="40"/>
      <c r="BJ1551" s="40"/>
      <c r="BK1551" s="40"/>
      <c r="BL1551" s="62">
        <v>0</v>
      </c>
      <c r="BM1551" s="275">
        <v>3</v>
      </c>
      <c r="BN1551" s="62">
        <v>0.03</v>
      </c>
    </row>
    <row r="1552" spans="1:68">
      <c r="A1552" s="33" t="str">
        <f>Database_Productkaarten[[#This Row],[Product]]&amp;", "&amp;Database_Productkaarten[[#This Row],[Levensfase]]</f>
        <v>Baksteen, D</v>
      </c>
      <c r="B1552" t="s">
        <v>268</v>
      </c>
      <c r="C1552" s="33" t="str">
        <f>C1553</f>
        <v>Elementenverhardingen</v>
      </c>
      <c r="D1552" s="33" t="str">
        <f>D1553</f>
        <v>Gebakken klinker</v>
      </c>
      <c r="E1552" s="33" t="str">
        <f>E1553</f>
        <v>m2</v>
      </c>
      <c r="F1552" s="33" t="s">
        <v>89</v>
      </c>
      <c r="G1552" s="33">
        <v>1</v>
      </c>
      <c r="H1552" s="33">
        <v>1</v>
      </c>
      <c r="I1552" s="33">
        <v>0.05</v>
      </c>
      <c r="L1552" s="33">
        <v>1.45</v>
      </c>
      <c r="M1552" s="271">
        <v>7.2499999999999995E-2</v>
      </c>
      <c r="N1552" s="41">
        <v>-2.2082600000000001</v>
      </c>
      <c r="O1552" s="33">
        <v>25</v>
      </c>
      <c r="P1552" s="163">
        <v>-1.5E-5</v>
      </c>
      <c r="Q1552" s="163">
        <v>-4.02E-2</v>
      </c>
      <c r="R1552" s="163">
        <v>-11.3</v>
      </c>
      <c r="S1552" s="163">
        <v>-5.2699999999999999E-7</v>
      </c>
      <c r="T1552" s="211">
        <v>-3.2100000000000002E-3</v>
      </c>
      <c r="U1552" s="163">
        <v>-3.4099999999999998E-2</v>
      </c>
      <c r="V1552" s="163">
        <v>-5.9100000000000003E-3</v>
      </c>
      <c r="W1552" s="163">
        <v>-1.51</v>
      </c>
      <c r="X1552" s="163">
        <v>-3.7999999999999999E-2</v>
      </c>
      <c r="Y1552" s="163">
        <v>-173</v>
      </c>
      <c r="Z1552" s="163">
        <v>-2.4299999999999999E-2</v>
      </c>
      <c r="AA1552" s="40"/>
      <c r="AB1552" s="40"/>
      <c r="AC1552" s="40"/>
      <c r="AD1552" s="40"/>
      <c r="AE1552" s="40"/>
      <c r="AF1552" s="40"/>
      <c r="AG1552" s="40"/>
      <c r="AH1552" s="40"/>
      <c r="AI1552" s="40"/>
      <c r="AJ1552" s="40"/>
      <c r="AK1552" s="40"/>
      <c r="AL1552" s="40"/>
      <c r="AM1552" s="40"/>
      <c r="AN1552" s="40"/>
      <c r="AO1552" s="40"/>
      <c r="AP1552" s="40"/>
      <c r="AQ1552" s="40"/>
      <c r="AR1552" s="40"/>
      <c r="AS1552" s="40"/>
      <c r="AT1552" s="40"/>
      <c r="AU1552" s="40"/>
      <c r="AV1552" s="315">
        <v>-8.25</v>
      </c>
      <c r="AW1552" s="317"/>
      <c r="AX1552" s="317"/>
      <c r="AY1552" s="313">
        <v>-87.9</v>
      </c>
      <c r="AZ1552" s="40"/>
      <c r="BA1552" s="40"/>
      <c r="BB1552" s="40"/>
      <c r="BC1552" s="40">
        <v>-1.0900000000000001</v>
      </c>
      <c r="BD1552" s="163">
        <v>-3.31</v>
      </c>
      <c r="BE1552" s="163">
        <v>-1.55</v>
      </c>
      <c r="BF1552" s="40"/>
      <c r="BG1552" s="40"/>
      <c r="BH1552" s="40"/>
      <c r="BI1552" s="40"/>
      <c r="BJ1552" s="40"/>
      <c r="BK1552" s="40"/>
      <c r="BL1552" s="62">
        <v>0</v>
      </c>
      <c r="BM1552" s="275">
        <v>3</v>
      </c>
      <c r="BN1552" s="62">
        <v>0.03</v>
      </c>
    </row>
    <row r="1553" spans="1:68">
      <c r="A1553" s="33" t="str">
        <f>Database_Productkaarten[[#This Row],[Product]]&amp;", "&amp;Database_Productkaarten[[#This Row],[Levensfase]]</f>
        <v>Baksteen, D1</v>
      </c>
      <c r="B1553" t="s">
        <v>268</v>
      </c>
      <c r="C1553" t="s">
        <v>55</v>
      </c>
      <c r="D1553" t="s">
        <v>659</v>
      </c>
      <c r="E1553" s="33" t="s">
        <v>385</v>
      </c>
      <c r="F1553" s="33" t="s">
        <v>87</v>
      </c>
      <c r="G1553" s="33">
        <v>1</v>
      </c>
      <c r="H1553" s="33">
        <v>1</v>
      </c>
      <c r="I1553" s="33">
        <v>0.05</v>
      </c>
      <c r="L1553" s="33">
        <v>1.45</v>
      </c>
      <c r="M1553" s="271">
        <v>7.2499999999999995E-2</v>
      </c>
      <c r="N1553" s="41"/>
      <c r="O1553" s="33">
        <v>25</v>
      </c>
      <c r="P1553" s="40"/>
      <c r="Q1553" s="40"/>
      <c r="R1553" s="40"/>
      <c r="S1553" s="40"/>
      <c r="T1553" s="40"/>
      <c r="U1553" s="40"/>
      <c r="V1553" s="40"/>
      <c r="W1553" s="40"/>
      <c r="X1553" s="40"/>
      <c r="Y1553" s="40"/>
      <c r="Z1553" s="40"/>
      <c r="AA1553" s="40"/>
      <c r="AB1553" s="40"/>
      <c r="AC1553" s="40"/>
      <c r="AD1553" s="40"/>
      <c r="AE1553" s="40"/>
      <c r="AF1553" s="40"/>
      <c r="AG1553" s="40"/>
      <c r="AH1553" s="40"/>
      <c r="AI1553" s="40"/>
      <c r="AJ1553" s="40"/>
      <c r="AK1553" s="40"/>
      <c r="AL1553" s="40"/>
      <c r="AM1553" s="40"/>
      <c r="AN1553" s="40"/>
      <c r="AO1553" s="40"/>
      <c r="AP1553" s="40"/>
      <c r="AQ1553" s="40"/>
      <c r="AR1553" s="40"/>
      <c r="AS1553" s="40"/>
      <c r="AT1553" s="40"/>
      <c r="AU1553" s="40"/>
      <c r="AV1553" s="317"/>
      <c r="AW1553" s="317"/>
      <c r="AX1553" s="317"/>
      <c r="AY1553" s="313"/>
      <c r="AZ1553" s="40"/>
      <c r="BA1553" s="40"/>
      <c r="BB1553" s="40"/>
      <c r="BC1553" s="40"/>
      <c r="BD1553" s="40"/>
      <c r="BE1553" s="40"/>
      <c r="BF1553" s="40"/>
      <c r="BG1553" s="40"/>
      <c r="BH1553" s="40"/>
      <c r="BI1553" s="40"/>
      <c r="BJ1553" s="40"/>
      <c r="BK1553" s="40"/>
      <c r="BL1553" s="62">
        <v>0</v>
      </c>
      <c r="BM1553" s="275">
        <v>3</v>
      </c>
      <c r="BN1553" s="62">
        <v>0.03</v>
      </c>
    </row>
    <row r="1554" spans="1:68">
      <c r="A1554" s="33" t="str">
        <f>Database_Productkaarten[[#This Row],[Product]]&amp;", "&amp;Database_Productkaarten[[#This Row],[Levensfase]]</f>
        <v>Baksteen, D2</v>
      </c>
      <c r="B1554" t="s">
        <v>268</v>
      </c>
      <c r="C1554" t="s">
        <v>55</v>
      </c>
      <c r="D1554" t="s">
        <v>659</v>
      </c>
      <c r="E1554" s="33" t="s">
        <v>385</v>
      </c>
      <c r="F1554" s="33" t="s">
        <v>88</v>
      </c>
      <c r="G1554" s="33">
        <v>1</v>
      </c>
      <c r="H1554" s="33">
        <v>1</v>
      </c>
      <c r="I1554" s="33">
        <v>0.05</v>
      </c>
      <c r="L1554" s="33">
        <v>1.45</v>
      </c>
      <c r="M1554" s="271">
        <v>7.2499999999999995E-2</v>
      </c>
      <c r="N1554" s="41"/>
      <c r="O1554" s="33">
        <v>25</v>
      </c>
      <c r="P1554" s="40"/>
      <c r="Q1554" s="40"/>
      <c r="R1554" s="40"/>
      <c r="S1554" s="40"/>
      <c r="T1554" s="40"/>
      <c r="U1554" s="40"/>
      <c r="V1554" s="40"/>
      <c r="W1554" s="40"/>
      <c r="X1554" s="40"/>
      <c r="Y1554" s="40"/>
      <c r="Z1554" s="40"/>
      <c r="AA1554" s="40"/>
      <c r="AB1554" s="40"/>
      <c r="AC1554" s="40"/>
      <c r="AD1554" s="40"/>
      <c r="AE1554" s="40"/>
      <c r="AF1554" s="40"/>
      <c r="AG1554" s="40"/>
      <c r="AH1554" s="40"/>
      <c r="AI1554" s="40"/>
      <c r="AJ1554" s="40"/>
      <c r="AK1554" s="40"/>
      <c r="AL1554" s="40"/>
      <c r="AM1554" s="40"/>
      <c r="AN1554" s="40"/>
      <c r="AO1554" s="40"/>
      <c r="AP1554" s="40"/>
      <c r="AQ1554" s="40"/>
      <c r="AR1554" s="40"/>
      <c r="AS1554" s="40"/>
      <c r="AT1554" s="40"/>
      <c r="AU1554" s="40"/>
      <c r="AV1554" s="317"/>
      <c r="AW1554" s="317"/>
      <c r="AX1554" s="317"/>
      <c r="AY1554" s="313"/>
      <c r="AZ1554" s="40"/>
      <c r="BA1554" s="40"/>
      <c r="BB1554" s="40"/>
      <c r="BC1554" s="40"/>
      <c r="BD1554" s="40"/>
      <c r="BE1554" s="40"/>
      <c r="BF1554" s="40"/>
      <c r="BG1554" s="40"/>
      <c r="BH1554" s="40"/>
      <c r="BI1554" s="40"/>
      <c r="BJ1554" s="40"/>
      <c r="BK1554" s="40"/>
      <c r="BL1554" s="62">
        <v>0</v>
      </c>
      <c r="BM1554" s="275">
        <v>3</v>
      </c>
      <c r="BN1554" s="62">
        <v>0.03</v>
      </c>
    </row>
    <row r="1555" spans="1:68">
      <c r="A1555" s="33" t="str">
        <f>Database_Productkaarten[[#This Row],[Product]]&amp;", "&amp;Database_Productkaarten[[#This Row],[Levensfase]]</f>
        <v>Baksteen (hergebruik), Totaal</v>
      </c>
      <c r="B1555" t="s">
        <v>660</v>
      </c>
      <c r="C1555" t="s">
        <v>55</v>
      </c>
      <c r="D1555" t="s">
        <v>659</v>
      </c>
      <c r="E1555" s="33" t="s">
        <v>385</v>
      </c>
      <c r="F1555" s="33" t="s">
        <v>90</v>
      </c>
      <c r="G1555" s="33">
        <v>1</v>
      </c>
      <c r="H1555" s="33">
        <v>1</v>
      </c>
      <c r="I1555" s="33">
        <v>0.05</v>
      </c>
      <c r="L1555" s="33">
        <v>1.45</v>
      </c>
      <c r="M1555" s="271">
        <v>7.2499999999999995E-2</v>
      </c>
      <c r="N1555" s="41">
        <f>SUM(N1559:N1567)</f>
        <v>0.97232700000000005</v>
      </c>
      <c r="O1555" s="33">
        <v>25</v>
      </c>
      <c r="P1555" s="163">
        <f t="shared" ref="P1555:Z1555" si="735">SUM(P1559:P1567)</f>
        <v>8.9573203660000002E-6</v>
      </c>
      <c r="Q1555" s="163">
        <f t="shared" si="735"/>
        <v>6.5131004749999999E-2</v>
      </c>
      <c r="R1555" s="163">
        <f t="shared" si="735"/>
        <v>9.9169003250000003</v>
      </c>
      <c r="S1555" s="163">
        <f t="shared" si="735"/>
        <v>1.6110501169999999E-6</v>
      </c>
      <c r="T1555" s="163">
        <f t="shared" si="735"/>
        <v>3.8706703540000004E-3</v>
      </c>
      <c r="U1555" s="163">
        <f t="shared" si="735"/>
        <v>3.0799402450000003E-2</v>
      </c>
      <c r="V1555" s="163">
        <f t="shared" si="735"/>
        <v>5.915200463000001E-3</v>
      </c>
      <c r="W1555" s="163">
        <f t="shared" si="735"/>
        <v>2.5362701410000001</v>
      </c>
      <c r="X1555" s="163">
        <f t="shared" si="735"/>
        <v>8.5298903419999988E-2</v>
      </c>
      <c r="Y1555" s="163">
        <f t="shared" si="735"/>
        <v>254.44401200000001</v>
      </c>
      <c r="Z1555" s="163">
        <f t="shared" si="735"/>
        <v>1.3031700353000001E-2</v>
      </c>
      <c r="AA1555" s="40"/>
      <c r="AB1555" s="40"/>
      <c r="AC1555" s="40"/>
      <c r="AD1555" s="40"/>
      <c r="AE1555" s="40"/>
      <c r="AF1555" s="40"/>
      <c r="AG1555" s="40"/>
      <c r="AH1555" s="40"/>
      <c r="AI1555" s="40"/>
      <c r="AJ1555" s="40"/>
      <c r="AK1555" s="40"/>
      <c r="AL1555" s="40"/>
      <c r="AM1555" s="40"/>
      <c r="AN1555" s="40"/>
      <c r="AO1555" s="40"/>
      <c r="AP1555" s="40"/>
      <c r="AQ1555" s="40"/>
      <c r="AR1555" s="40"/>
      <c r="AS1555" s="40"/>
      <c r="AT1555" s="40"/>
      <c r="AU1555" s="40"/>
      <c r="AV1555" s="163">
        <f>SUM(AV1559:AV1567)</f>
        <v>2.258670081</v>
      </c>
      <c r="AW1555" s="40"/>
      <c r="AX1555" s="40"/>
      <c r="AY1555" s="163">
        <f>SUM(AY1559:AY1567)</f>
        <v>146.07001059999999</v>
      </c>
      <c r="AZ1555" s="40"/>
      <c r="BA1555" s="40"/>
      <c r="BB1555" s="40"/>
      <c r="BC1555" s="163">
        <f t="shared" ref="BC1555:BF1555" si="736">SUM(BC1559:BC1567)</f>
        <v>0.14258320982</v>
      </c>
      <c r="BD1555" s="163">
        <f t="shared" si="736"/>
        <v>0.3814153990727</v>
      </c>
      <c r="BE1555" s="163">
        <f t="shared" si="736"/>
        <v>3.4583615000000005</v>
      </c>
      <c r="BF1555" s="163">
        <f t="shared" si="736"/>
        <v>0</v>
      </c>
      <c r="BG1555" s="40"/>
      <c r="BH1555" s="40"/>
      <c r="BI1555" s="40"/>
      <c r="BJ1555" s="40"/>
      <c r="BK1555" s="40"/>
      <c r="BL1555" s="62">
        <v>1</v>
      </c>
      <c r="BM1555" s="275">
        <v>3</v>
      </c>
      <c r="BN1555" s="62">
        <v>0.03</v>
      </c>
      <c r="BP1555" s="33" t="s">
        <v>602</v>
      </c>
    </row>
    <row r="1556" spans="1:68">
      <c r="A1556" s="33" t="str">
        <f>Database_Productkaarten[[#This Row],[Product]]&amp;", "&amp;Database_Productkaarten[[#This Row],[Levensfase]]</f>
        <v>Baksteen (hergebruik), A1</v>
      </c>
      <c r="B1556" t="s">
        <v>660</v>
      </c>
      <c r="C1556" t="s">
        <v>55</v>
      </c>
      <c r="D1556" t="s">
        <v>659</v>
      </c>
      <c r="E1556" s="33" t="s">
        <v>385</v>
      </c>
      <c r="F1556" s="33" t="s">
        <v>74</v>
      </c>
      <c r="G1556" s="33">
        <v>1</v>
      </c>
      <c r="H1556" s="33">
        <v>1</v>
      </c>
      <c r="I1556" s="33">
        <v>0.05</v>
      </c>
      <c r="L1556" s="33">
        <v>1.45</v>
      </c>
      <c r="M1556" s="271">
        <v>7.2499999999999995E-2</v>
      </c>
      <c r="N1556" s="41">
        <v>0</v>
      </c>
      <c r="O1556" s="33">
        <v>25</v>
      </c>
      <c r="P1556" s="163">
        <v>0</v>
      </c>
      <c r="Q1556" s="163">
        <v>0</v>
      </c>
      <c r="R1556" s="163">
        <v>0</v>
      </c>
      <c r="S1556" s="163">
        <v>0</v>
      </c>
      <c r="T1556" s="163">
        <v>0</v>
      </c>
      <c r="U1556" s="163">
        <v>0</v>
      </c>
      <c r="V1556" s="163">
        <v>0</v>
      </c>
      <c r="W1556" s="163">
        <v>0</v>
      </c>
      <c r="X1556" s="163">
        <v>0</v>
      </c>
      <c r="Y1556" s="163">
        <v>0</v>
      </c>
      <c r="Z1556" s="163">
        <v>0</v>
      </c>
      <c r="AA1556" s="40"/>
      <c r="AB1556" s="40"/>
      <c r="AC1556" s="40"/>
      <c r="AD1556" s="40"/>
      <c r="AE1556" s="40"/>
      <c r="AF1556" s="40"/>
      <c r="AG1556" s="40"/>
      <c r="AH1556" s="40"/>
      <c r="AI1556" s="40"/>
      <c r="AJ1556" s="40"/>
      <c r="AK1556" s="40"/>
      <c r="AL1556" s="40"/>
      <c r="AM1556" s="40"/>
      <c r="AN1556" s="40"/>
      <c r="AO1556" s="40"/>
      <c r="AP1556" s="40"/>
      <c r="AQ1556" s="40"/>
      <c r="AR1556" s="40"/>
      <c r="AS1556" s="40"/>
      <c r="AT1556" s="40"/>
      <c r="AU1556" s="40"/>
      <c r="AV1556" s="163">
        <v>0</v>
      </c>
      <c r="AW1556" s="40"/>
      <c r="AX1556" s="40"/>
      <c r="AY1556" s="163">
        <v>0</v>
      </c>
      <c r="AZ1556" s="40"/>
      <c r="BA1556" s="40"/>
      <c r="BB1556" s="40"/>
      <c r="BC1556" s="163">
        <v>0</v>
      </c>
      <c r="BD1556" s="163">
        <v>0</v>
      </c>
      <c r="BE1556" s="163">
        <v>0</v>
      </c>
      <c r="BF1556" s="163">
        <v>0</v>
      </c>
      <c r="BG1556" s="40"/>
      <c r="BH1556" s="40"/>
      <c r="BI1556" s="40"/>
      <c r="BJ1556" s="40"/>
      <c r="BK1556" s="40"/>
      <c r="BL1556" s="62">
        <v>1</v>
      </c>
      <c r="BM1556" s="275">
        <v>3</v>
      </c>
      <c r="BN1556" s="62">
        <v>0.03</v>
      </c>
      <c r="BP1556" s="33" t="s">
        <v>602</v>
      </c>
    </row>
    <row r="1557" spans="1:68">
      <c r="A1557" s="33" t="str">
        <f>Database_Productkaarten[[#This Row],[Product]]&amp;", "&amp;Database_Productkaarten[[#This Row],[Levensfase]]</f>
        <v>Baksteen (hergebruik), A2</v>
      </c>
      <c r="B1557" t="s">
        <v>660</v>
      </c>
      <c r="C1557" t="s">
        <v>55</v>
      </c>
      <c r="D1557" t="s">
        <v>659</v>
      </c>
      <c r="E1557" s="33" t="s">
        <v>385</v>
      </c>
      <c r="F1557" s="33" t="s">
        <v>75</v>
      </c>
      <c r="G1557" s="33">
        <v>1</v>
      </c>
      <c r="H1557" s="33">
        <v>1</v>
      </c>
      <c r="I1557" s="33">
        <v>0.05</v>
      </c>
      <c r="L1557" s="33">
        <v>1.45</v>
      </c>
      <c r="M1557" s="271">
        <v>7.2499999999999995E-2</v>
      </c>
      <c r="N1557" s="41">
        <v>0</v>
      </c>
      <c r="O1557" s="33">
        <v>25</v>
      </c>
      <c r="P1557" s="163">
        <v>0</v>
      </c>
      <c r="Q1557" s="163">
        <v>0</v>
      </c>
      <c r="R1557" s="163">
        <v>0</v>
      </c>
      <c r="S1557" s="163">
        <v>0</v>
      </c>
      <c r="T1557" s="163">
        <v>0</v>
      </c>
      <c r="U1557" s="163">
        <v>0</v>
      </c>
      <c r="V1557" s="163">
        <v>0</v>
      </c>
      <c r="W1557" s="163">
        <v>0</v>
      </c>
      <c r="X1557" s="163">
        <v>0</v>
      </c>
      <c r="Y1557" s="163">
        <v>0</v>
      </c>
      <c r="Z1557" s="163">
        <v>0</v>
      </c>
      <c r="AA1557" s="40"/>
      <c r="AB1557" s="40"/>
      <c r="AC1557" s="40"/>
      <c r="AD1557" s="40"/>
      <c r="AE1557" s="40"/>
      <c r="AF1557" s="40"/>
      <c r="AG1557" s="40"/>
      <c r="AH1557" s="40"/>
      <c r="AI1557" s="40"/>
      <c r="AJ1557" s="40"/>
      <c r="AK1557" s="40"/>
      <c r="AL1557" s="40"/>
      <c r="AM1557" s="40"/>
      <c r="AN1557" s="40"/>
      <c r="AO1557" s="40"/>
      <c r="AP1557" s="40"/>
      <c r="AQ1557" s="40"/>
      <c r="AR1557" s="40"/>
      <c r="AS1557" s="40"/>
      <c r="AT1557" s="40"/>
      <c r="AU1557" s="40"/>
      <c r="AV1557" s="163">
        <v>0</v>
      </c>
      <c r="AW1557" s="40"/>
      <c r="AX1557" s="40"/>
      <c r="AY1557" s="163">
        <v>0</v>
      </c>
      <c r="AZ1557" s="40"/>
      <c r="BA1557" s="40"/>
      <c r="BB1557" s="40"/>
      <c r="BC1557" s="163">
        <v>0</v>
      </c>
      <c r="BD1557" s="163">
        <v>0</v>
      </c>
      <c r="BE1557" s="163">
        <v>0</v>
      </c>
      <c r="BF1557" s="163">
        <v>0</v>
      </c>
      <c r="BG1557" s="40"/>
      <c r="BH1557" s="40"/>
      <c r="BI1557" s="40"/>
      <c r="BJ1557" s="40"/>
      <c r="BK1557" s="40"/>
      <c r="BL1557" s="62">
        <v>1</v>
      </c>
      <c r="BM1557" s="275">
        <v>3</v>
      </c>
      <c r="BN1557" s="62">
        <v>0.03</v>
      </c>
      <c r="BP1557" s="33" t="s">
        <v>602</v>
      </c>
    </row>
    <row r="1558" spans="1:68">
      <c r="A1558" s="33" t="str">
        <f>Database_Productkaarten[[#This Row],[Product]]&amp;", "&amp;Database_Productkaarten[[#This Row],[Levensfase]]</f>
        <v>Baksteen (hergebruik), A3</v>
      </c>
      <c r="B1558" t="s">
        <v>660</v>
      </c>
      <c r="C1558" t="s">
        <v>55</v>
      </c>
      <c r="D1558" t="s">
        <v>659</v>
      </c>
      <c r="E1558" s="33" t="s">
        <v>385</v>
      </c>
      <c r="F1558" s="33" t="s">
        <v>76</v>
      </c>
      <c r="G1558" s="33">
        <v>1</v>
      </c>
      <c r="H1558" s="33">
        <v>1</v>
      </c>
      <c r="I1558" s="33">
        <v>0.05</v>
      </c>
      <c r="L1558" s="33">
        <v>1.45</v>
      </c>
      <c r="M1558" s="271">
        <v>7.2499999999999995E-2</v>
      </c>
      <c r="N1558" s="41">
        <v>0</v>
      </c>
      <c r="O1558" s="33">
        <v>25</v>
      </c>
      <c r="P1558" s="163">
        <v>0</v>
      </c>
      <c r="Q1558" s="163">
        <v>0</v>
      </c>
      <c r="R1558" s="163">
        <v>0</v>
      </c>
      <c r="S1558" s="163">
        <v>0</v>
      </c>
      <c r="T1558" s="163">
        <v>0</v>
      </c>
      <c r="U1558" s="163">
        <v>0</v>
      </c>
      <c r="V1558" s="163">
        <v>0</v>
      </c>
      <c r="W1558" s="163">
        <v>0</v>
      </c>
      <c r="X1558" s="163">
        <v>0</v>
      </c>
      <c r="Y1558" s="163">
        <v>0</v>
      </c>
      <c r="Z1558" s="163">
        <v>0</v>
      </c>
      <c r="AA1558" s="40"/>
      <c r="AB1558" s="40"/>
      <c r="AC1558" s="40"/>
      <c r="AD1558" s="40"/>
      <c r="AE1558" s="40"/>
      <c r="AF1558" s="40"/>
      <c r="AG1558" s="40"/>
      <c r="AH1558" s="40"/>
      <c r="AI1558" s="40"/>
      <c r="AJ1558" s="40"/>
      <c r="AK1558" s="40"/>
      <c r="AL1558" s="40"/>
      <c r="AM1558" s="40"/>
      <c r="AN1558" s="40"/>
      <c r="AO1558" s="40"/>
      <c r="AP1558" s="40"/>
      <c r="AQ1558" s="40"/>
      <c r="AR1558" s="40"/>
      <c r="AS1558" s="40"/>
      <c r="AT1558" s="40"/>
      <c r="AU1558" s="40"/>
      <c r="AV1558" s="163">
        <v>0</v>
      </c>
      <c r="AW1558" s="40"/>
      <c r="AX1558" s="40"/>
      <c r="AY1558" s="163">
        <v>0</v>
      </c>
      <c r="AZ1558" s="40"/>
      <c r="BA1558" s="40"/>
      <c r="BB1558" s="40"/>
      <c r="BC1558" s="163">
        <v>0</v>
      </c>
      <c r="BD1558" s="163">
        <v>0</v>
      </c>
      <c r="BE1558" s="163">
        <v>0</v>
      </c>
      <c r="BF1558" s="163">
        <v>0</v>
      </c>
      <c r="BG1558" s="40"/>
      <c r="BH1558" s="40"/>
      <c r="BI1558" s="40"/>
      <c r="BJ1558" s="40"/>
      <c r="BK1558" s="40"/>
      <c r="BL1558" s="62">
        <v>1</v>
      </c>
      <c r="BM1558" s="275">
        <v>3</v>
      </c>
      <c r="BN1558" s="62">
        <v>0.03</v>
      </c>
      <c r="BP1558" s="33" t="s">
        <v>602</v>
      </c>
    </row>
    <row r="1559" spans="1:68">
      <c r="A1559" s="33" t="str">
        <f>Database_Productkaarten[[#This Row],[Product]]&amp;", "&amp;Database_Productkaarten[[#This Row],[Levensfase]]</f>
        <v>Baksteen (hergebruik), A1-A3</v>
      </c>
      <c r="B1559" t="s">
        <v>660</v>
      </c>
      <c r="C1559" s="451" t="str">
        <f>C1558</f>
        <v>Elementenverhardingen</v>
      </c>
      <c r="D1559" s="451" t="str">
        <f>D1558</f>
        <v>Gebakken klinker</v>
      </c>
      <c r="E1559" s="451" t="str">
        <f>E1558</f>
        <v>m2</v>
      </c>
      <c r="F1559" s="451" t="s">
        <v>77</v>
      </c>
      <c r="G1559" s="33">
        <v>1</v>
      </c>
      <c r="H1559" s="33">
        <v>1</v>
      </c>
      <c r="I1559" s="33">
        <v>0.05</v>
      </c>
      <c r="L1559" s="33">
        <v>1.45</v>
      </c>
      <c r="M1559" s="271">
        <v>7.2499999999999995E-2</v>
      </c>
      <c r="N1559" s="41">
        <v>0</v>
      </c>
      <c r="O1559" s="33">
        <v>25</v>
      </c>
      <c r="P1559" s="163">
        <v>0</v>
      </c>
      <c r="Q1559" s="163">
        <v>0</v>
      </c>
      <c r="R1559" s="163">
        <v>0</v>
      </c>
      <c r="S1559" s="163">
        <v>0</v>
      </c>
      <c r="T1559" s="163">
        <v>0</v>
      </c>
      <c r="U1559" s="163">
        <v>0</v>
      </c>
      <c r="V1559" s="163">
        <v>0</v>
      </c>
      <c r="W1559" s="163">
        <v>0</v>
      </c>
      <c r="X1559" s="163">
        <v>0</v>
      </c>
      <c r="Y1559" s="163">
        <v>0</v>
      </c>
      <c r="Z1559" s="163">
        <v>0</v>
      </c>
      <c r="AA1559" s="40"/>
      <c r="AB1559" s="40"/>
      <c r="AC1559" s="40"/>
      <c r="AD1559" s="40"/>
      <c r="AE1559" s="40"/>
      <c r="AF1559" s="40"/>
      <c r="AG1559" s="40"/>
      <c r="AH1559" s="40"/>
      <c r="AI1559" s="40"/>
      <c r="AJ1559" s="40"/>
      <c r="AK1559" s="40"/>
      <c r="AL1559" s="40"/>
      <c r="AM1559" s="40"/>
      <c r="AN1559" s="40"/>
      <c r="AO1559" s="40"/>
      <c r="AP1559" s="40"/>
      <c r="AQ1559" s="40"/>
      <c r="AR1559" s="40"/>
      <c r="AS1559" s="40"/>
      <c r="AT1559" s="40"/>
      <c r="AU1559" s="40"/>
      <c r="AV1559" s="163">
        <v>0</v>
      </c>
      <c r="AW1559" s="40"/>
      <c r="AX1559" s="40"/>
      <c r="AY1559" s="163">
        <v>0</v>
      </c>
      <c r="AZ1559" s="40"/>
      <c r="BA1559" s="40"/>
      <c r="BB1559" s="40"/>
      <c r="BC1559" s="163">
        <v>0</v>
      </c>
      <c r="BD1559" s="163">
        <v>0</v>
      </c>
      <c r="BE1559" s="163">
        <v>0</v>
      </c>
      <c r="BF1559" s="163">
        <v>0</v>
      </c>
      <c r="BG1559" s="40"/>
      <c r="BH1559" s="40"/>
      <c r="BI1559" s="40"/>
      <c r="BJ1559" s="40"/>
      <c r="BK1559" s="40"/>
      <c r="BL1559" s="62">
        <v>1</v>
      </c>
      <c r="BM1559" s="275">
        <v>3</v>
      </c>
      <c r="BN1559" s="62">
        <v>0.03</v>
      </c>
      <c r="BP1559" s="33" t="s">
        <v>602</v>
      </c>
    </row>
    <row r="1560" spans="1:68">
      <c r="A1560" s="33" t="str">
        <f>Database_Productkaarten[[#This Row],[Product]]&amp;", "&amp;Database_Productkaarten[[#This Row],[Levensfase]]</f>
        <v>Baksteen (hergebruik), A4</v>
      </c>
      <c r="B1560" t="s">
        <v>660</v>
      </c>
      <c r="C1560" t="s">
        <v>55</v>
      </c>
      <c r="D1560" t="s">
        <v>659</v>
      </c>
      <c r="E1560" s="33" t="s">
        <v>385</v>
      </c>
      <c r="F1560" s="33" t="s">
        <v>78</v>
      </c>
      <c r="G1560" s="33">
        <v>1</v>
      </c>
      <c r="H1560" s="33">
        <v>1</v>
      </c>
      <c r="I1560" s="33">
        <v>0.05</v>
      </c>
      <c r="L1560" s="33">
        <v>1.45</v>
      </c>
      <c r="M1560" s="271">
        <v>7.2499999999999995E-2</v>
      </c>
      <c r="N1560" s="41">
        <f>N1545</f>
        <v>3.4360000000000002E-2</v>
      </c>
      <c r="O1560" s="33">
        <v>25</v>
      </c>
      <c r="P1560" s="163">
        <f t="shared" ref="P1560:Z1560" si="737">P1545</f>
        <v>3.0199999999999999E-6</v>
      </c>
      <c r="Q1560" s="163">
        <f t="shared" si="737"/>
        <v>1.1900000000000001E-2</v>
      </c>
      <c r="R1560" s="163">
        <f t="shared" si="737"/>
        <v>1.58</v>
      </c>
      <c r="S1560" s="163">
        <f t="shared" si="737"/>
        <v>3.1300000000000001E-7</v>
      </c>
      <c r="T1560" s="163">
        <f t="shared" si="737"/>
        <v>9.9400000000000009E-4</v>
      </c>
      <c r="U1560" s="163">
        <f t="shared" si="737"/>
        <v>5.7499999999999999E-3</v>
      </c>
      <c r="V1560" s="163">
        <f t="shared" si="737"/>
        <v>1.17E-3</v>
      </c>
      <c r="W1560" s="163">
        <f t="shared" si="737"/>
        <v>0.55500000000000005</v>
      </c>
      <c r="X1560" s="163">
        <f t="shared" si="737"/>
        <v>3.5799999999999998E-2</v>
      </c>
      <c r="Y1560" s="163">
        <f t="shared" si="737"/>
        <v>93.7</v>
      </c>
      <c r="Z1560" s="163">
        <f t="shared" si="737"/>
        <v>3.29E-3</v>
      </c>
      <c r="AA1560" s="40"/>
      <c r="AB1560" s="40"/>
      <c r="AC1560" s="40"/>
      <c r="AD1560" s="40"/>
      <c r="AE1560" s="40"/>
      <c r="AF1560" s="40"/>
      <c r="AG1560" s="40"/>
      <c r="AH1560" s="40"/>
      <c r="AI1560" s="40"/>
      <c r="AJ1560" s="40"/>
      <c r="AK1560" s="40"/>
      <c r="AL1560" s="40"/>
      <c r="AM1560" s="40"/>
      <c r="AN1560" s="40"/>
      <c r="AO1560" s="40"/>
      <c r="AP1560" s="40"/>
      <c r="AQ1560" s="40"/>
      <c r="AR1560" s="40"/>
      <c r="AS1560" s="40"/>
      <c r="AT1560" s="40"/>
      <c r="AU1560" s="40"/>
      <c r="AV1560" s="163">
        <f>AV1545</f>
        <v>0.42599999999999999</v>
      </c>
      <c r="AW1560" s="40"/>
      <c r="AX1560" s="40"/>
      <c r="AY1560" s="163">
        <f>AY1545</f>
        <v>27.2</v>
      </c>
      <c r="AZ1560" s="40"/>
      <c r="BA1560" s="40"/>
      <c r="BB1560" s="40"/>
      <c r="BC1560" s="163">
        <f t="shared" ref="BC1560:BF1566" si="738">BC1545</f>
        <v>5.5300000000000002E-3</v>
      </c>
      <c r="BD1560" s="163">
        <f t="shared" si="738"/>
        <v>1.93E-4</v>
      </c>
      <c r="BE1560" s="163">
        <f t="shared" si="738"/>
        <v>2.25</v>
      </c>
      <c r="BF1560" s="163">
        <f t="shared" si="738"/>
        <v>0</v>
      </c>
      <c r="BG1560" s="40"/>
      <c r="BH1560" s="40"/>
      <c r="BI1560" s="40"/>
      <c r="BJ1560" s="40"/>
      <c r="BK1560" s="40"/>
      <c r="BL1560" s="62">
        <v>1</v>
      </c>
      <c r="BM1560" s="275">
        <v>3</v>
      </c>
      <c r="BN1560" s="62">
        <v>0.03</v>
      </c>
      <c r="BP1560" s="33" t="s">
        <v>602</v>
      </c>
    </row>
    <row r="1561" spans="1:68">
      <c r="A1561" s="33" t="str">
        <f>Database_Productkaarten[[#This Row],[Product]]&amp;", "&amp;Database_Productkaarten[[#This Row],[Levensfase]]</f>
        <v>Baksteen (hergebruik), A5</v>
      </c>
      <c r="B1561" t="s">
        <v>660</v>
      </c>
      <c r="C1561" t="s">
        <v>55</v>
      </c>
      <c r="D1561" t="s">
        <v>659</v>
      </c>
      <c r="E1561" s="33" t="s">
        <v>385</v>
      </c>
      <c r="F1561" s="33" t="s">
        <v>79</v>
      </c>
      <c r="G1561" s="33">
        <v>1</v>
      </c>
      <c r="H1561" s="33">
        <v>1</v>
      </c>
      <c r="I1561" s="33">
        <v>0.05</v>
      </c>
      <c r="L1561" s="33">
        <v>1.45</v>
      </c>
      <c r="M1561" s="271">
        <v>7.2499999999999995E-2</v>
      </c>
      <c r="N1561" s="41">
        <f t="shared" ref="N1561:N1566" si="739">N1546</f>
        <v>0.59818000000000005</v>
      </c>
      <c r="O1561" s="33">
        <v>25</v>
      </c>
      <c r="P1561" s="163">
        <f t="shared" ref="P1561:Z1561" si="740">P1546</f>
        <v>2.9500000000000001E-6</v>
      </c>
      <c r="Q1561" s="163">
        <f t="shared" si="740"/>
        <v>4.1000000000000002E-2</v>
      </c>
      <c r="R1561" s="163">
        <f t="shared" si="740"/>
        <v>6.01</v>
      </c>
      <c r="S1561" s="163">
        <f t="shared" si="740"/>
        <v>1.04E-6</v>
      </c>
      <c r="T1561" s="163">
        <f t="shared" si="740"/>
        <v>2E-3</v>
      </c>
      <c r="U1561" s="163">
        <f t="shared" si="740"/>
        <v>1.77E-2</v>
      </c>
      <c r="V1561" s="163">
        <f t="shared" si="740"/>
        <v>3.3800000000000002E-3</v>
      </c>
      <c r="W1561" s="163">
        <f t="shared" si="740"/>
        <v>1.49</v>
      </c>
      <c r="X1561" s="163">
        <f t="shared" si="740"/>
        <v>3.0599999999999999E-2</v>
      </c>
      <c r="Y1561" s="163">
        <f t="shared" si="740"/>
        <v>101</v>
      </c>
      <c r="Z1561" s="163">
        <f t="shared" si="740"/>
        <v>5.4200000000000003E-3</v>
      </c>
      <c r="AA1561" s="40"/>
      <c r="AB1561" s="40"/>
      <c r="AC1561" s="40"/>
      <c r="AD1561" s="40"/>
      <c r="AE1561" s="40"/>
      <c r="AF1561" s="40"/>
      <c r="AG1561" s="40"/>
      <c r="AH1561" s="40"/>
      <c r="AI1561" s="40"/>
      <c r="AJ1561" s="40"/>
      <c r="AK1561" s="40"/>
      <c r="AL1561" s="40"/>
      <c r="AM1561" s="40"/>
      <c r="AN1561" s="40"/>
      <c r="AO1561" s="40"/>
      <c r="AP1561" s="40"/>
      <c r="AQ1561" s="40"/>
      <c r="AR1561" s="40"/>
      <c r="AS1561" s="40"/>
      <c r="AT1561" s="40"/>
      <c r="AU1561" s="40"/>
      <c r="AV1561" s="163">
        <f t="shared" ref="AV1561:AV1566" si="741">AV1546</f>
        <v>0.70299999999999996</v>
      </c>
      <c r="AW1561" s="40"/>
      <c r="AX1561" s="40"/>
      <c r="AY1561" s="163">
        <f t="shared" ref="AY1561:AY1566" si="742">AY1546</f>
        <v>91.6</v>
      </c>
      <c r="AZ1561" s="40"/>
      <c r="BA1561" s="40"/>
      <c r="BB1561" s="40"/>
      <c r="BC1561" s="163">
        <f t="shared" ref="BC1561:BE1561" si="743">BC1546</f>
        <v>1.24E-2</v>
      </c>
      <c r="BD1561" s="163">
        <f t="shared" si="743"/>
        <v>1.21E-2</v>
      </c>
      <c r="BE1561" s="163">
        <f t="shared" si="743"/>
        <v>0.247</v>
      </c>
      <c r="BF1561" s="163">
        <f t="shared" si="738"/>
        <v>0</v>
      </c>
      <c r="BG1561" s="40"/>
      <c r="BH1561" s="40"/>
      <c r="BI1561" s="40"/>
      <c r="BJ1561" s="40"/>
      <c r="BK1561" s="40"/>
      <c r="BL1561" s="62">
        <v>1</v>
      </c>
      <c r="BM1561" s="275">
        <v>3</v>
      </c>
      <c r="BN1561" s="62">
        <v>0.03</v>
      </c>
      <c r="BP1561" s="33" t="s">
        <v>602</v>
      </c>
    </row>
    <row r="1562" spans="1:68">
      <c r="A1562" s="33" t="str">
        <f>Database_Productkaarten[[#This Row],[Product]]&amp;", "&amp;Database_Productkaarten[[#This Row],[Levensfase]]</f>
        <v>Baksteen (hergebruik), B1</v>
      </c>
      <c r="B1562" t="s">
        <v>660</v>
      </c>
      <c r="C1562" t="s">
        <v>55</v>
      </c>
      <c r="D1562" t="s">
        <v>659</v>
      </c>
      <c r="E1562" s="33" t="s">
        <v>385</v>
      </c>
      <c r="F1562" s="33" t="s">
        <v>80</v>
      </c>
      <c r="G1562" s="33">
        <v>1</v>
      </c>
      <c r="H1562" s="33">
        <v>1</v>
      </c>
      <c r="I1562" s="33">
        <v>0.05</v>
      </c>
      <c r="L1562" s="33">
        <v>1.45</v>
      </c>
      <c r="M1562" s="271">
        <v>7.2499999999999995E-2</v>
      </c>
      <c r="N1562" s="41">
        <f t="shared" si="739"/>
        <v>0</v>
      </c>
      <c r="O1562" s="33">
        <v>25</v>
      </c>
      <c r="P1562" s="163">
        <f t="shared" ref="P1562:Z1562" si="744">P1547</f>
        <v>0</v>
      </c>
      <c r="Q1562" s="163">
        <f t="shared" si="744"/>
        <v>0</v>
      </c>
      <c r="R1562" s="163">
        <f t="shared" si="744"/>
        <v>0</v>
      </c>
      <c r="S1562" s="163">
        <f t="shared" si="744"/>
        <v>0</v>
      </c>
      <c r="T1562" s="163">
        <f t="shared" si="744"/>
        <v>0</v>
      </c>
      <c r="U1562" s="163">
        <f t="shared" si="744"/>
        <v>0</v>
      </c>
      <c r="V1562" s="163">
        <f t="shared" si="744"/>
        <v>0</v>
      </c>
      <c r="W1562" s="163">
        <f t="shared" si="744"/>
        <v>0</v>
      </c>
      <c r="X1562" s="163">
        <f t="shared" si="744"/>
        <v>0</v>
      </c>
      <c r="Y1562" s="163">
        <f t="shared" si="744"/>
        <v>0</v>
      </c>
      <c r="Z1562" s="163">
        <f t="shared" si="744"/>
        <v>0</v>
      </c>
      <c r="AA1562" s="40"/>
      <c r="AB1562" s="40"/>
      <c r="AC1562" s="40"/>
      <c r="AD1562" s="40"/>
      <c r="AE1562" s="40"/>
      <c r="AF1562" s="40"/>
      <c r="AG1562" s="40"/>
      <c r="AH1562" s="40"/>
      <c r="AI1562" s="40"/>
      <c r="AJ1562" s="40"/>
      <c r="AK1562" s="40"/>
      <c r="AL1562" s="40"/>
      <c r="AM1562" s="40"/>
      <c r="AN1562" s="40"/>
      <c r="AO1562" s="40"/>
      <c r="AP1562" s="40"/>
      <c r="AQ1562" s="40"/>
      <c r="AR1562" s="40"/>
      <c r="AS1562" s="40"/>
      <c r="AT1562" s="40"/>
      <c r="AU1562" s="40"/>
      <c r="AV1562" s="163">
        <f t="shared" si="741"/>
        <v>0</v>
      </c>
      <c r="AW1562" s="40"/>
      <c r="AX1562" s="40"/>
      <c r="AY1562" s="163">
        <f t="shared" si="742"/>
        <v>0</v>
      </c>
      <c r="AZ1562" s="40"/>
      <c r="BA1562" s="40"/>
      <c r="BB1562" s="40"/>
      <c r="BC1562" s="163">
        <f t="shared" ref="BC1562:BE1562" si="745">BC1547</f>
        <v>0</v>
      </c>
      <c r="BD1562" s="163">
        <f t="shared" si="745"/>
        <v>0</v>
      </c>
      <c r="BE1562" s="163">
        <f t="shared" si="745"/>
        <v>0</v>
      </c>
      <c r="BF1562" s="163">
        <f t="shared" si="738"/>
        <v>0</v>
      </c>
      <c r="BG1562" s="40"/>
      <c r="BH1562" s="40"/>
      <c r="BI1562" s="40"/>
      <c r="BJ1562" s="40"/>
      <c r="BK1562" s="40"/>
      <c r="BL1562" s="62">
        <v>1</v>
      </c>
      <c r="BM1562" s="275">
        <v>3</v>
      </c>
      <c r="BN1562" s="62">
        <v>0.03</v>
      </c>
      <c r="BP1562" s="33" t="s">
        <v>602</v>
      </c>
    </row>
    <row r="1563" spans="1:68">
      <c r="A1563" s="33" t="str">
        <f>Database_Productkaarten[[#This Row],[Product]]&amp;", "&amp;Database_Productkaarten[[#This Row],[Levensfase]]</f>
        <v>Baksteen (hergebruik), C1</v>
      </c>
      <c r="B1563" t="s">
        <v>660</v>
      </c>
      <c r="C1563" t="s">
        <v>55</v>
      </c>
      <c r="D1563" t="s">
        <v>659</v>
      </c>
      <c r="E1563" s="33" t="s">
        <v>385</v>
      </c>
      <c r="F1563" s="33" t="s">
        <v>83</v>
      </c>
      <c r="G1563" s="33">
        <v>1</v>
      </c>
      <c r="H1563" s="33">
        <v>1</v>
      </c>
      <c r="I1563" s="33">
        <v>0.05</v>
      </c>
      <c r="L1563" s="33">
        <v>1.45</v>
      </c>
      <c r="M1563" s="271">
        <v>7.2499999999999995E-2</v>
      </c>
      <c r="N1563" s="41">
        <f t="shared" si="739"/>
        <v>4.972E-2</v>
      </c>
      <c r="O1563" s="33">
        <v>25</v>
      </c>
      <c r="P1563" s="163">
        <f t="shared" ref="P1563:Z1563" si="746">P1548</f>
        <v>2.5100000000000001E-7</v>
      </c>
      <c r="Q1563" s="163">
        <f t="shared" si="746"/>
        <v>3.6700000000000001E-3</v>
      </c>
      <c r="R1563" s="163">
        <f t="shared" si="746"/>
        <v>0.53700000000000003</v>
      </c>
      <c r="S1563" s="163">
        <f t="shared" si="746"/>
        <v>9.3400000000000003E-8</v>
      </c>
      <c r="T1563" s="163">
        <f t="shared" si="746"/>
        <v>1.7699999999999999E-4</v>
      </c>
      <c r="U1563" s="163">
        <f t="shared" si="746"/>
        <v>1.57E-3</v>
      </c>
      <c r="V1563" s="163">
        <f t="shared" si="746"/>
        <v>3.01E-4</v>
      </c>
      <c r="W1563" s="163">
        <f t="shared" si="746"/>
        <v>0.13300000000000001</v>
      </c>
      <c r="X1563" s="163">
        <f t="shared" si="746"/>
        <v>2.63E-3</v>
      </c>
      <c r="Y1563" s="163">
        <f t="shared" si="746"/>
        <v>8.8000000000000007</v>
      </c>
      <c r="Z1563" s="163">
        <f t="shared" si="746"/>
        <v>4.73E-4</v>
      </c>
      <c r="AA1563" s="40"/>
      <c r="AB1563" s="40"/>
      <c r="AC1563" s="40"/>
      <c r="AD1563" s="40"/>
      <c r="AE1563" s="40"/>
      <c r="AF1563" s="40"/>
      <c r="AG1563" s="40"/>
      <c r="AH1563" s="40"/>
      <c r="AI1563" s="40"/>
      <c r="AJ1563" s="40"/>
      <c r="AK1563" s="40"/>
      <c r="AL1563" s="40"/>
      <c r="AM1563" s="40"/>
      <c r="AN1563" s="40"/>
      <c r="AO1563" s="40"/>
      <c r="AP1563" s="40"/>
      <c r="AQ1563" s="40"/>
      <c r="AR1563" s="40"/>
      <c r="AS1563" s="40"/>
      <c r="AT1563" s="40"/>
      <c r="AU1563" s="40"/>
      <c r="AV1563" s="163">
        <f t="shared" si="741"/>
        <v>5.9700000000000003E-2</v>
      </c>
      <c r="AW1563" s="40"/>
      <c r="AX1563" s="40"/>
      <c r="AY1563" s="163">
        <f t="shared" si="742"/>
        <v>8.18</v>
      </c>
      <c r="AZ1563" s="40"/>
      <c r="BA1563" s="40"/>
      <c r="BB1563" s="40"/>
      <c r="BC1563" s="163">
        <f t="shared" ref="BC1563:BE1563" si="747">BC1548</f>
        <v>7.7300000000000003E-4</v>
      </c>
      <c r="BD1563" s="163">
        <f t="shared" si="747"/>
        <v>5.6499999999999998E-5</v>
      </c>
      <c r="BE1563" s="163">
        <f t="shared" si="747"/>
        <v>1.37E-2</v>
      </c>
      <c r="BF1563" s="163">
        <f t="shared" si="738"/>
        <v>0</v>
      </c>
      <c r="BG1563" s="40"/>
      <c r="BH1563" s="40"/>
      <c r="BI1563" s="40"/>
      <c r="BJ1563" s="40"/>
      <c r="BK1563" s="40"/>
      <c r="BL1563" s="62">
        <v>1</v>
      </c>
      <c r="BM1563" s="275">
        <v>3</v>
      </c>
      <c r="BN1563" s="62">
        <v>0.03</v>
      </c>
      <c r="BP1563" s="33" t="s">
        <v>602</v>
      </c>
    </row>
    <row r="1564" spans="1:68">
      <c r="A1564" s="33" t="str">
        <f>Database_Productkaarten[[#This Row],[Product]]&amp;", "&amp;Database_Productkaarten[[#This Row],[Levensfase]]</f>
        <v>Baksteen (hergebruik), C2</v>
      </c>
      <c r="B1564" t="s">
        <v>660</v>
      </c>
      <c r="C1564" t="s">
        <v>55</v>
      </c>
      <c r="D1564" t="s">
        <v>659</v>
      </c>
      <c r="E1564" s="33" t="s">
        <v>385</v>
      </c>
      <c r="F1564" s="33" t="s">
        <v>84</v>
      </c>
      <c r="G1564" s="33">
        <v>1</v>
      </c>
      <c r="H1564" s="33">
        <v>1</v>
      </c>
      <c r="I1564" s="33">
        <v>0.05</v>
      </c>
      <c r="L1564" s="33">
        <v>1.45</v>
      </c>
      <c r="M1564" s="271">
        <v>7.2499999999999995E-2</v>
      </c>
      <c r="N1564" s="41">
        <f t="shared" si="739"/>
        <v>3.4709999999999998E-2</v>
      </c>
      <c r="O1564" s="33">
        <v>25</v>
      </c>
      <c r="P1564" s="163">
        <f t="shared" ref="P1564:Z1564" si="748">P1549</f>
        <v>1.02E-6</v>
      </c>
      <c r="Q1564" s="163">
        <f t="shared" si="748"/>
        <v>4.0099999999999997E-3</v>
      </c>
      <c r="R1564" s="163">
        <f t="shared" si="748"/>
        <v>0.53</v>
      </c>
      <c r="S1564" s="163">
        <f t="shared" si="748"/>
        <v>1.05E-7</v>
      </c>
      <c r="T1564" s="163">
        <f t="shared" si="748"/>
        <v>3.3500000000000001E-4</v>
      </c>
      <c r="U1564" s="163">
        <f t="shared" si="748"/>
        <v>1.9300000000000001E-3</v>
      </c>
      <c r="V1564" s="163">
        <f t="shared" si="748"/>
        <v>3.9399999999999998E-4</v>
      </c>
      <c r="W1564" s="163">
        <f t="shared" si="748"/>
        <v>0.187</v>
      </c>
      <c r="X1564" s="163">
        <f t="shared" si="748"/>
        <v>1.2E-2</v>
      </c>
      <c r="Y1564" s="163">
        <f t="shared" si="748"/>
        <v>31.5</v>
      </c>
      <c r="Z1564" s="163">
        <f t="shared" si="748"/>
        <v>1.1100000000000001E-3</v>
      </c>
      <c r="AA1564" s="40"/>
      <c r="AB1564" s="40"/>
      <c r="AC1564" s="40"/>
      <c r="AD1564" s="40"/>
      <c r="AE1564" s="40"/>
      <c r="AF1564" s="40"/>
      <c r="AG1564" s="40"/>
      <c r="AH1564" s="40"/>
      <c r="AI1564" s="40"/>
      <c r="AJ1564" s="40"/>
      <c r="AK1564" s="40"/>
      <c r="AL1564" s="40"/>
      <c r="AM1564" s="40"/>
      <c r="AN1564" s="40"/>
      <c r="AO1564" s="40"/>
      <c r="AP1564" s="40"/>
      <c r="AQ1564" s="40"/>
      <c r="AR1564" s="40"/>
      <c r="AS1564" s="40"/>
      <c r="AT1564" s="40"/>
      <c r="AU1564" s="40"/>
      <c r="AV1564" s="163">
        <f t="shared" si="741"/>
        <v>0.14299999999999999</v>
      </c>
      <c r="AW1564" s="40"/>
      <c r="AX1564" s="40"/>
      <c r="AY1564" s="163">
        <f t="shared" si="742"/>
        <v>9.17</v>
      </c>
      <c r="AZ1564" s="40"/>
      <c r="BA1564" s="40"/>
      <c r="BB1564" s="40"/>
      <c r="BC1564" s="163">
        <f t="shared" ref="BC1564:BE1564" si="749">BC1549</f>
        <v>1.8600000000000001E-3</v>
      </c>
      <c r="BD1564" s="163">
        <f t="shared" si="749"/>
        <v>6.4999999999999994E-5</v>
      </c>
      <c r="BE1564" s="163">
        <f t="shared" si="749"/>
        <v>0.75700000000000001</v>
      </c>
      <c r="BF1564" s="163">
        <f t="shared" si="738"/>
        <v>0</v>
      </c>
      <c r="BG1564" s="40"/>
      <c r="BH1564" s="40"/>
      <c r="BI1564" s="40"/>
      <c r="BJ1564" s="40"/>
      <c r="BK1564" s="40"/>
      <c r="BL1564" s="62">
        <v>1</v>
      </c>
      <c r="BM1564" s="275">
        <v>3</v>
      </c>
      <c r="BN1564" s="62">
        <v>0.03</v>
      </c>
      <c r="BP1564" s="33" t="s">
        <v>602</v>
      </c>
    </row>
    <row r="1565" spans="1:68">
      <c r="A1565" s="33" t="str">
        <f>Database_Productkaarten[[#This Row],[Product]]&amp;", "&amp;Database_Productkaarten[[#This Row],[Levensfase]]</f>
        <v>Baksteen (hergebruik), C3</v>
      </c>
      <c r="B1565" t="s">
        <v>660</v>
      </c>
      <c r="C1565" t="s">
        <v>55</v>
      </c>
      <c r="D1565" t="s">
        <v>659</v>
      </c>
      <c r="E1565" s="33" t="s">
        <v>385</v>
      </c>
      <c r="F1565" s="33" t="s">
        <v>85</v>
      </c>
      <c r="G1565" s="33">
        <v>1</v>
      </c>
      <c r="H1565" s="33">
        <v>1</v>
      </c>
      <c r="I1565" s="33">
        <v>0.05</v>
      </c>
      <c r="L1565" s="33">
        <v>1.45</v>
      </c>
      <c r="M1565" s="271">
        <v>7.2499999999999995E-2</v>
      </c>
      <c r="N1565" s="41">
        <f t="shared" si="739"/>
        <v>2.0639999999999999E-2</v>
      </c>
      <c r="O1565" s="33">
        <v>25</v>
      </c>
      <c r="P1565" s="163">
        <f t="shared" ref="P1565:Z1565" si="750">P1550</f>
        <v>6.3199999999999997E-9</v>
      </c>
      <c r="Q1565" s="163">
        <f t="shared" si="750"/>
        <v>7.1000000000000005E-5</v>
      </c>
      <c r="R1565" s="163">
        <f t="shared" si="750"/>
        <v>9.9000000000000008E-3</v>
      </c>
      <c r="S1565" s="163">
        <f t="shared" si="750"/>
        <v>1.15E-9</v>
      </c>
      <c r="T1565" s="163">
        <f t="shared" si="750"/>
        <v>5.6699999999999999E-6</v>
      </c>
      <c r="U1565" s="163">
        <f t="shared" si="750"/>
        <v>4.9400000000000001E-5</v>
      </c>
      <c r="V1565" s="163">
        <f t="shared" si="750"/>
        <v>1.1199999999999999E-5</v>
      </c>
      <c r="W1565" s="163">
        <f t="shared" si="750"/>
        <v>2.2699999999999999E-3</v>
      </c>
      <c r="X1565" s="163">
        <f t="shared" si="750"/>
        <v>3.8899999999999997E-5</v>
      </c>
      <c r="Y1565" s="163">
        <f t="shared" si="750"/>
        <v>0.14399999999999999</v>
      </c>
      <c r="Z1565" s="163">
        <f t="shared" si="750"/>
        <v>2.87E-5</v>
      </c>
      <c r="AA1565" s="40"/>
      <c r="AB1565" s="40"/>
      <c r="AC1565" s="40"/>
      <c r="AD1565" s="40"/>
      <c r="AE1565" s="40"/>
      <c r="AF1565" s="40"/>
      <c r="AG1565" s="40"/>
      <c r="AH1565" s="40"/>
      <c r="AI1565" s="40"/>
      <c r="AJ1565" s="40"/>
      <c r="AK1565" s="40"/>
      <c r="AL1565" s="40"/>
      <c r="AM1565" s="40"/>
      <c r="AN1565" s="40"/>
      <c r="AO1565" s="40"/>
      <c r="AP1565" s="40"/>
      <c r="AQ1565" s="40"/>
      <c r="AR1565" s="40"/>
      <c r="AS1565" s="40"/>
      <c r="AT1565" s="40"/>
      <c r="AU1565" s="40"/>
      <c r="AV1565" s="163">
        <f t="shared" si="741"/>
        <v>7.9699999999999997E-3</v>
      </c>
      <c r="AW1565" s="40"/>
      <c r="AX1565" s="40"/>
      <c r="AY1565" s="163">
        <f t="shared" si="742"/>
        <v>0.15</v>
      </c>
      <c r="AZ1565" s="40"/>
      <c r="BA1565" s="40"/>
      <c r="BB1565" s="40"/>
      <c r="BC1565" s="163">
        <f t="shared" ref="BC1565:BE1565" si="751">BC1550</f>
        <v>2.02E-5</v>
      </c>
      <c r="BD1565" s="163">
        <f t="shared" si="751"/>
        <v>8.9899999999999999E-7</v>
      </c>
      <c r="BE1565" s="163">
        <f t="shared" si="751"/>
        <v>1.8599999999999998E-2</v>
      </c>
      <c r="BF1565" s="163">
        <f t="shared" si="738"/>
        <v>0</v>
      </c>
      <c r="BG1565" s="40"/>
      <c r="BH1565" s="40"/>
      <c r="BI1565" s="40"/>
      <c r="BJ1565" s="40"/>
      <c r="BK1565" s="40"/>
      <c r="BL1565" s="62">
        <v>1</v>
      </c>
      <c r="BM1565" s="275">
        <v>3</v>
      </c>
      <c r="BN1565" s="62">
        <v>0.03</v>
      </c>
      <c r="BP1565" s="33" t="s">
        <v>602</v>
      </c>
    </row>
    <row r="1566" spans="1:68">
      <c r="A1566" s="33" t="str">
        <f>Database_Productkaarten[[#This Row],[Product]]&amp;", "&amp;Database_Productkaarten[[#This Row],[Levensfase]]</f>
        <v>Baksteen (hergebruik), C4</v>
      </c>
      <c r="B1566" t="s">
        <v>660</v>
      </c>
      <c r="C1566" t="s">
        <v>55</v>
      </c>
      <c r="D1566" t="s">
        <v>659</v>
      </c>
      <c r="E1566" s="33" t="s">
        <v>385</v>
      </c>
      <c r="F1566" s="33" t="s">
        <v>86</v>
      </c>
      <c r="G1566" s="33">
        <v>1</v>
      </c>
      <c r="H1566" s="33">
        <v>1</v>
      </c>
      <c r="I1566" s="33">
        <v>0.05</v>
      </c>
      <c r="L1566" s="33">
        <v>1.45</v>
      </c>
      <c r="M1566" s="271">
        <v>7.2499999999999995E-2</v>
      </c>
      <c r="N1566" s="41">
        <f t="shared" si="739"/>
        <v>5.4000000000000001E-4</v>
      </c>
      <c r="O1566" s="33">
        <v>25</v>
      </c>
      <c r="P1566" s="163">
        <f t="shared" ref="P1566:Z1566" si="752">P1551</f>
        <v>3.6600000000000001E-13</v>
      </c>
      <c r="Q1566" s="163">
        <f t="shared" si="752"/>
        <v>4.7500000000000003E-9</v>
      </c>
      <c r="R1566" s="163">
        <f t="shared" si="752"/>
        <v>3.2500000000000001E-7</v>
      </c>
      <c r="S1566" s="163">
        <f t="shared" si="752"/>
        <v>1.1700000000000001E-13</v>
      </c>
      <c r="T1566" s="163">
        <f t="shared" si="752"/>
        <v>3.5400000000000002E-10</v>
      </c>
      <c r="U1566" s="163">
        <f t="shared" si="752"/>
        <v>2.45E-9</v>
      </c>
      <c r="V1566" s="163">
        <f t="shared" si="752"/>
        <v>4.63E-10</v>
      </c>
      <c r="W1566" s="163">
        <f t="shared" si="752"/>
        <v>1.4100000000000001E-7</v>
      </c>
      <c r="X1566" s="163">
        <f t="shared" si="752"/>
        <v>3.4200000000000002E-9</v>
      </c>
      <c r="Y1566" s="163">
        <f t="shared" si="752"/>
        <v>1.2E-5</v>
      </c>
      <c r="Z1566" s="163">
        <f t="shared" si="752"/>
        <v>3.5300000000000002E-10</v>
      </c>
      <c r="AA1566" s="40"/>
      <c r="AB1566" s="40"/>
      <c r="AC1566" s="40"/>
      <c r="AD1566" s="40"/>
      <c r="AE1566" s="40"/>
      <c r="AF1566" s="40"/>
      <c r="AG1566" s="40"/>
      <c r="AH1566" s="40"/>
      <c r="AI1566" s="40"/>
      <c r="AJ1566" s="40"/>
      <c r="AK1566" s="40"/>
      <c r="AL1566" s="40"/>
      <c r="AM1566" s="40"/>
      <c r="AN1566" s="40"/>
      <c r="AO1566" s="40"/>
      <c r="AP1566" s="40"/>
      <c r="AQ1566" s="40"/>
      <c r="AR1566" s="40"/>
      <c r="AS1566" s="40"/>
      <c r="AT1566" s="40"/>
      <c r="AU1566" s="40"/>
      <c r="AV1566" s="163">
        <f t="shared" si="741"/>
        <v>8.0999999999999997E-8</v>
      </c>
      <c r="AW1566" s="40"/>
      <c r="AX1566" s="40"/>
      <c r="AY1566" s="163">
        <f t="shared" si="742"/>
        <v>1.06E-5</v>
      </c>
      <c r="AZ1566" s="40"/>
      <c r="BA1566" s="40"/>
      <c r="BB1566" s="40"/>
      <c r="BC1566" s="163">
        <f t="shared" ref="BC1566:BE1566" si="753">BC1551</f>
        <v>9.8199999999999996E-9</v>
      </c>
      <c r="BD1566" s="163">
        <f t="shared" si="753"/>
        <v>7.2700000000000005E-11</v>
      </c>
      <c r="BE1566" s="163">
        <f t="shared" si="753"/>
        <v>6.1500000000000004E-5</v>
      </c>
      <c r="BF1566" s="163">
        <f t="shared" si="738"/>
        <v>0</v>
      </c>
      <c r="BG1566" s="40"/>
      <c r="BH1566" s="40"/>
      <c r="BI1566" s="40"/>
      <c r="BJ1566" s="40"/>
      <c r="BK1566" s="40"/>
      <c r="BL1566" s="62">
        <v>1</v>
      </c>
      <c r="BM1566" s="275">
        <v>3</v>
      </c>
      <c r="BN1566" s="62">
        <v>0.03</v>
      </c>
      <c r="BP1566" s="33" t="s">
        <v>602</v>
      </c>
    </row>
    <row r="1567" spans="1:68">
      <c r="A1567" s="33" t="str">
        <f>Database_Productkaarten[[#This Row],[Product]]&amp;", "&amp;Database_Productkaarten[[#This Row],[Levensfase]]</f>
        <v>Baksteen (hergebruik), D</v>
      </c>
      <c r="B1567" t="s">
        <v>660</v>
      </c>
      <c r="C1567" s="33" t="str">
        <f>C1568</f>
        <v>Elementenverhardingen</v>
      </c>
      <c r="D1567" s="33" t="str">
        <f>D1568</f>
        <v>Gebakken klinker</v>
      </c>
      <c r="E1567" s="33" t="str">
        <f>E1568</f>
        <v>m2</v>
      </c>
      <c r="F1567" s="33" t="s">
        <v>89</v>
      </c>
      <c r="G1567" s="33">
        <v>1</v>
      </c>
      <c r="H1567" s="33">
        <v>1</v>
      </c>
      <c r="I1567" s="33">
        <v>0.05</v>
      </c>
      <c r="L1567" s="33">
        <v>1.45</v>
      </c>
      <c r="M1567" s="271">
        <v>7.2499999999999995E-2</v>
      </c>
      <c r="N1567" s="41">
        <f>N1544*0.1</f>
        <v>0.234177</v>
      </c>
      <c r="O1567" s="33">
        <v>25</v>
      </c>
      <c r="P1567" s="163">
        <f t="shared" ref="P1567:Z1567" si="754">P1544*0.1</f>
        <v>1.7099999999999999E-6</v>
      </c>
      <c r="Q1567" s="163">
        <f t="shared" si="754"/>
        <v>4.4800000000000005E-3</v>
      </c>
      <c r="R1567" s="163">
        <f t="shared" si="754"/>
        <v>1.25</v>
      </c>
      <c r="S1567" s="163">
        <f t="shared" si="754"/>
        <v>5.8500000000000001E-8</v>
      </c>
      <c r="T1567" s="163">
        <f t="shared" si="754"/>
        <v>3.59E-4</v>
      </c>
      <c r="U1567" s="163">
        <f t="shared" si="754"/>
        <v>3.8E-3</v>
      </c>
      <c r="V1567" s="163">
        <f t="shared" si="754"/>
        <v>6.5900000000000008E-4</v>
      </c>
      <c r="W1567" s="163">
        <f t="shared" si="754"/>
        <v>0.16900000000000001</v>
      </c>
      <c r="X1567" s="163">
        <f t="shared" si="754"/>
        <v>4.2300000000000003E-3</v>
      </c>
      <c r="Y1567" s="163">
        <f t="shared" si="754"/>
        <v>19.3</v>
      </c>
      <c r="Z1567" s="163">
        <f t="shared" si="754"/>
        <v>2.7100000000000002E-3</v>
      </c>
      <c r="AA1567" s="40"/>
      <c r="AB1567" s="40"/>
      <c r="AC1567" s="40"/>
      <c r="AD1567" s="40"/>
      <c r="AE1567" s="40"/>
      <c r="AF1567" s="40"/>
      <c r="AG1567" s="40"/>
      <c r="AH1567" s="40"/>
      <c r="AI1567" s="40"/>
      <c r="AJ1567" s="40"/>
      <c r="AK1567" s="40"/>
      <c r="AL1567" s="40"/>
      <c r="AM1567" s="40"/>
      <c r="AN1567" s="40"/>
      <c r="AO1567" s="40"/>
      <c r="AP1567" s="40"/>
      <c r="AQ1567" s="40"/>
      <c r="AR1567" s="40"/>
      <c r="AS1567" s="40"/>
      <c r="AT1567" s="40"/>
      <c r="AU1567" s="40"/>
      <c r="AV1567" s="163">
        <f>AV1544*0.1</f>
        <v>0.91900000000000004</v>
      </c>
      <c r="AW1567" s="40"/>
      <c r="AX1567" s="40"/>
      <c r="AY1567" s="163">
        <f>AY1544*0.1</f>
        <v>9.7700000000000014</v>
      </c>
      <c r="AZ1567" s="40"/>
      <c r="BA1567" s="40"/>
      <c r="BB1567" s="40"/>
      <c r="BC1567" s="163">
        <f t="shared" ref="BC1567:BF1567" si="755">BC1544*0.1</f>
        <v>0.122</v>
      </c>
      <c r="BD1567" s="163">
        <f t="shared" si="755"/>
        <v>0.36899999999999999</v>
      </c>
      <c r="BE1567" s="163">
        <f t="shared" si="755"/>
        <v>0.17200000000000001</v>
      </c>
      <c r="BF1567" s="163">
        <f t="shared" si="755"/>
        <v>0</v>
      </c>
      <c r="BG1567" s="40"/>
      <c r="BH1567" s="40"/>
      <c r="BI1567" s="40"/>
      <c r="BJ1567" s="40"/>
      <c r="BK1567" s="40"/>
      <c r="BL1567" s="62">
        <v>1</v>
      </c>
      <c r="BM1567" s="275">
        <v>3</v>
      </c>
      <c r="BN1567" s="62">
        <v>0.03</v>
      </c>
      <c r="BP1567" s="33" t="s">
        <v>602</v>
      </c>
    </row>
    <row r="1568" spans="1:68">
      <c r="A1568" s="33" t="str">
        <f>Database_Productkaarten[[#This Row],[Product]]&amp;", "&amp;Database_Productkaarten[[#This Row],[Levensfase]]</f>
        <v>Baksteen (hergebruik), D1</v>
      </c>
      <c r="B1568" t="s">
        <v>660</v>
      </c>
      <c r="C1568" t="s">
        <v>55</v>
      </c>
      <c r="D1568" t="s">
        <v>659</v>
      </c>
      <c r="E1568" s="33" t="s">
        <v>385</v>
      </c>
      <c r="F1568" s="33" t="s">
        <v>87</v>
      </c>
      <c r="G1568" s="33">
        <v>1</v>
      </c>
      <c r="H1568" s="33">
        <v>1</v>
      </c>
      <c r="I1568" s="33">
        <v>0.05</v>
      </c>
      <c r="L1568" s="33">
        <v>1.45</v>
      </c>
      <c r="M1568" s="271">
        <v>7.2499999999999995E-2</v>
      </c>
      <c r="N1568" s="41"/>
      <c r="O1568" s="33">
        <v>25</v>
      </c>
      <c r="P1568" s="40"/>
      <c r="Q1568" s="40"/>
      <c r="R1568" s="40"/>
      <c r="S1568" s="40"/>
      <c r="T1568" s="40"/>
      <c r="U1568" s="40"/>
      <c r="V1568" s="40"/>
      <c r="W1568" s="40"/>
      <c r="X1568" s="40"/>
      <c r="Y1568" s="40"/>
      <c r="Z1568" s="40"/>
      <c r="AA1568" s="40"/>
      <c r="AB1568" s="40"/>
      <c r="AC1568" s="40"/>
      <c r="AD1568" s="40"/>
      <c r="AE1568" s="40"/>
      <c r="AF1568" s="40"/>
      <c r="AG1568" s="40"/>
      <c r="AH1568" s="40"/>
      <c r="AI1568" s="40"/>
      <c r="AJ1568" s="40"/>
      <c r="AK1568" s="40"/>
      <c r="AL1568" s="40"/>
      <c r="AM1568" s="40"/>
      <c r="AN1568" s="40"/>
      <c r="AO1568" s="40"/>
      <c r="AP1568" s="40"/>
      <c r="AQ1568" s="40"/>
      <c r="AR1568" s="40"/>
      <c r="AS1568" s="40"/>
      <c r="AT1568" s="40"/>
      <c r="AU1568" s="40"/>
      <c r="AV1568" s="281"/>
      <c r="AW1568" s="40"/>
      <c r="AX1568" s="40"/>
      <c r="AY1568" s="281"/>
      <c r="AZ1568" s="40"/>
      <c r="BA1568" s="40"/>
      <c r="BB1568" s="40"/>
      <c r="BC1568" s="40"/>
      <c r="BD1568" s="40"/>
      <c r="BE1568" s="40"/>
      <c r="BF1568" s="40"/>
      <c r="BG1568" s="40"/>
      <c r="BH1568" s="40"/>
      <c r="BI1568" s="40"/>
      <c r="BJ1568" s="40"/>
      <c r="BK1568" s="40"/>
      <c r="BL1568" s="62">
        <v>1</v>
      </c>
      <c r="BM1568" s="275">
        <v>3</v>
      </c>
      <c r="BN1568" s="62">
        <v>0.03</v>
      </c>
      <c r="BP1568" s="33" t="s">
        <v>602</v>
      </c>
    </row>
    <row r="1569" spans="1:68">
      <c r="A1569" s="33" t="str">
        <f>Database_Productkaarten[[#This Row],[Product]]&amp;", "&amp;Database_Productkaarten[[#This Row],[Levensfase]]</f>
        <v>Baksteen (hergebruik), D2</v>
      </c>
      <c r="B1569" t="s">
        <v>660</v>
      </c>
      <c r="C1569" t="s">
        <v>55</v>
      </c>
      <c r="D1569" t="s">
        <v>659</v>
      </c>
      <c r="E1569" s="33" t="s">
        <v>385</v>
      </c>
      <c r="F1569" s="33" t="s">
        <v>88</v>
      </c>
      <c r="G1569" s="33">
        <v>1</v>
      </c>
      <c r="H1569" s="33">
        <v>1</v>
      </c>
      <c r="I1569" s="33">
        <v>0.05</v>
      </c>
      <c r="L1569" s="33">
        <v>1.45</v>
      </c>
      <c r="M1569" s="271">
        <v>7.2499999999999995E-2</v>
      </c>
      <c r="N1569" s="41"/>
      <c r="O1569" s="33">
        <v>25</v>
      </c>
      <c r="P1569" s="40"/>
      <c r="Q1569" s="40"/>
      <c r="R1569" s="40"/>
      <c r="S1569" s="40"/>
      <c r="T1569" s="40"/>
      <c r="U1569" s="40"/>
      <c r="V1569" s="40"/>
      <c r="W1569" s="40"/>
      <c r="X1569" s="40"/>
      <c r="Y1569" s="40"/>
      <c r="Z1569" s="40"/>
      <c r="AA1569" s="40"/>
      <c r="AB1569" s="40"/>
      <c r="AC1569" s="40"/>
      <c r="AD1569" s="40"/>
      <c r="AE1569" s="40"/>
      <c r="AF1569" s="40"/>
      <c r="AG1569" s="40"/>
      <c r="AH1569" s="40"/>
      <c r="AI1569" s="40"/>
      <c r="AJ1569" s="40"/>
      <c r="AK1569" s="40"/>
      <c r="AL1569" s="40"/>
      <c r="AM1569" s="40"/>
      <c r="AN1569" s="40"/>
      <c r="AO1569" s="40"/>
      <c r="AP1569" s="40"/>
      <c r="AQ1569" s="40"/>
      <c r="AR1569" s="40"/>
      <c r="AS1569" s="40"/>
      <c r="AT1569" s="40"/>
      <c r="AU1569" s="40"/>
      <c r="AV1569" s="281"/>
      <c r="AW1569" s="40"/>
      <c r="AX1569" s="40"/>
      <c r="AY1569" s="281"/>
      <c r="AZ1569" s="40"/>
      <c r="BA1569" s="40"/>
      <c r="BB1569" s="40"/>
      <c r="BC1569" s="40"/>
      <c r="BD1569" s="40"/>
      <c r="BE1569" s="40"/>
      <c r="BF1569" s="40"/>
      <c r="BG1569" s="40"/>
      <c r="BH1569" s="40"/>
      <c r="BI1569" s="40"/>
      <c r="BJ1569" s="40"/>
      <c r="BK1569" s="40"/>
      <c r="BL1569" s="62">
        <v>1</v>
      </c>
      <c r="BM1569" s="275">
        <v>3</v>
      </c>
      <c r="BN1569" s="62">
        <v>0.03</v>
      </c>
      <c r="BP1569" s="33" t="s">
        <v>602</v>
      </c>
    </row>
    <row r="1570" spans="1:68">
      <c r="A1570" s="33" t="str">
        <f>Database_Productkaarten[[#This Row],[Product]]&amp;", "&amp;Database_Productkaarten[[#This Row],[Levensfase]]</f>
        <v>Natuursteen, Totaal</v>
      </c>
      <c r="B1570" t="s">
        <v>661</v>
      </c>
      <c r="C1570" t="s">
        <v>55</v>
      </c>
      <c r="D1570" t="s">
        <v>661</v>
      </c>
      <c r="E1570" s="33" t="s">
        <v>385</v>
      </c>
      <c r="F1570" s="33" t="s">
        <v>90</v>
      </c>
      <c r="G1570" s="33">
        <v>1</v>
      </c>
      <c r="H1570" s="33">
        <v>1</v>
      </c>
      <c r="I1570" s="33">
        <v>0.04</v>
      </c>
      <c r="L1570" s="33">
        <v>2.75</v>
      </c>
      <c r="M1570" s="271">
        <v>0.11</v>
      </c>
      <c r="N1570" s="41"/>
      <c r="O1570" s="33">
        <v>25</v>
      </c>
      <c r="P1570" s="163">
        <v>9.3300000000000005E-6</v>
      </c>
      <c r="Q1570" s="163">
        <v>7.5600000000000001E-2</v>
      </c>
      <c r="R1570" s="163">
        <v>13</v>
      </c>
      <c r="S1570" s="163">
        <v>1.7600000000000001E-6</v>
      </c>
      <c r="T1570" s="163">
        <v>4.1700000000000001E-3</v>
      </c>
      <c r="U1570" s="163">
        <v>3.78E-2</v>
      </c>
      <c r="V1570" s="163">
        <v>7.11E-3</v>
      </c>
      <c r="W1570" s="163">
        <v>2.75</v>
      </c>
      <c r="X1570" s="163">
        <v>6.9500000000000006E-2</v>
      </c>
      <c r="Y1570" s="163">
        <v>234</v>
      </c>
      <c r="Z1570" s="163">
        <v>1.7299999999999999E-2</v>
      </c>
      <c r="AA1570" s="40"/>
      <c r="AB1570" s="40"/>
      <c r="AC1570" s="40"/>
      <c r="AD1570" s="40"/>
      <c r="AE1570" s="40"/>
      <c r="AF1570" s="40"/>
      <c r="AG1570" s="40"/>
      <c r="AH1570" s="40"/>
      <c r="AI1570" s="40"/>
      <c r="AJ1570" s="40"/>
      <c r="AK1570" s="40"/>
      <c r="AL1570" s="40"/>
      <c r="AM1570" s="40"/>
      <c r="AN1570" s="40"/>
      <c r="AO1570" s="40"/>
      <c r="AP1570" s="40"/>
      <c r="AQ1570" s="40"/>
      <c r="AR1570" s="40"/>
      <c r="AS1570" s="40"/>
      <c r="AT1570" s="40"/>
      <c r="AU1570" s="40"/>
      <c r="AV1570" s="315">
        <v>4</v>
      </c>
      <c r="AW1570" s="317"/>
      <c r="AX1570" s="317"/>
      <c r="AY1570" s="313">
        <v>168</v>
      </c>
      <c r="AZ1570" s="40"/>
      <c r="BA1570" s="40"/>
      <c r="BB1570" s="40"/>
      <c r="BC1570" s="40">
        <v>0.36599999999999999</v>
      </c>
      <c r="BD1570" s="163">
        <v>1.19</v>
      </c>
      <c r="BE1570" s="163">
        <v>2.2999999999999998</v>
      </c>
      <c r="BF1570" s="40"/>
      <c r="BG1570" s="40"/>
      <c r="BH1570" s="40"/>
      <c r="BI1570" s="40"/>
      <c r="BJ1570" s="40"/>
      <c r="BK1570" s="40"/>
      <c r="BL1570" s="62">
        <v>0</v>
      </c>
      <c r="BM1570" s="275">
        <v>3</v>
      </c>
      <c r="BN1570" s="62">
        <v>0.03</v>
      </c>
    </row>
    <row r="1571" spans="1:68">
      <c r="A1571" s="33" t="str">
        <f>Database_Productkaarten[[#This Row],[Product]]&amp;", "&amp;Database_Productkaarten[[#This Row],[Levensfase]]</f>
        <v>Natuursteen, A1</v>
      </c>
      <c r="B1571" t="s">
        <v>661</v>
      </c>
      <c r="C1571" t="s">
        <v>55</v>
      </c>
      <c r="D1571" t="s">
        <v>661</v>
      </c>
      <c r="E1571" s="33" t="s">
        <v>385</v>
      </c>
      <c r="F1571" s="33" t="s">
        <v>74</v>
      </c>
      <c r="G1571" s="33">
        <v>1</v>
      </c>
      <c r="H1571" s="33">
        <v>1</v>
      </c>
      <c r="I1571" s="33">
        <v>0.04</v>
      </c>
      <c r="L1571" s="33">
        <v>2.75</v>
      </c>
      <c r="M1571" s="271">
        <v>0.11</v>
      </c>
      <c r="N1571" s="41"/>
      <c r="O1571" s="33">
        <v>25</v>
      </c>
      <c r="P1571" s="40"/>
      <c r="Q1571" s="40"/>
      <c r="R1571" s="40"/>
      <c r="S1571" s="40"/>
      <c r="T1571" s="40"/>
      <c r="U1571" s="40"/>
      <c r="V1571" s="40"/>
      <c r="W1571" s="40"/>
      <c r="X1571" s="40"/>
      <c r="Y1571" s="40"/>
      <c r="Z1571" s="40"/>
      <c r="AA1571" s="40"/>
      <c r="AB1571" s="40"/>
      <c r="AC1571" s="40"/>
      <c r="AD1571" s="40"/>
      <c r="AE1571" s="40"/>
      <c r="AF1571" s="40"/>
      <c r="AG1571" s="40"/>
      <c r="AH1571" s="40"/>
      <c r="AI1571" s="40"/>
      <c r="AJ1571" s="40"/>
      <c r="AK1571" s="40"/>
      <c r="AL1571" s="40"/>
      <c r="AM1571" s="40"/>
      <c r="AN1571" s="40"/>
      <c r="AO1571" s="40"/>
      <c r="AP1571" s="40"/>
      <c r="AQ1571" s="40"/>
      <c r="AR1571" s="40"/>
      <c r="AS1571" s="40"/>
      <c r="AT1571" s="40"/>
      <c r="AU1571" s="40"/>
      <c r="AV1571" s="317"/>
      <c r="AW1571" s="317"/>
      <c r="AX1571" s="317"/>
      <c r="AY1571" s="313"/>
      <c r="AZ1571" s="40"/>
      <c r="BA1571" s="40"/>
      <c r="BB1571" s="40"/>
      <c r="BC1571" s="40"/>
      <c r="BD1571" s="40"/>
      <c r="BE1571" s="40"/>
      <c r="BF1571" s="40"/>
      <c r="BG1571" s="40"/>
      <c r="BH1571" s="40"/>
      <c r="BI1571" s="40"/>
      <c r="BJ1571" s="40"/>
      <c r="BK1571" s="40"/>
      <c r="BL1571" s="62">
        <v>0</v>
      </c>
      <c r="BM1571" s="275">
        <v>3</v>
      </c>
      <c r="BN1571" s="62">
        <v>0.03</v>
      </c>
    </row>
    <row r="1572" spans="1:68">
      <c r="A1572" s="33" t="str">
        <f>Database_Productkaarten[[#This Row],[Product]]&amp;", "&amp;Database_Productkaarten[[#This Row],[Levensfase]]</f>
        <v>Natuursteen, A2</v>
      </c>
      <c r="B1572" t="s">
        <v>661</v>
      </c>
      <c r="C1572" t="s">
        <v>55</v>
      </c>
      <c r="D1572" t="s">
        <v>661</v>
      </c>
      <c r="E1572" s="33" t="s">
        <v>385</v>
      </c>
      <c r="F1572" s="33" t="s">
        <v>75</v>
      </c>
      <c r="G1572" s="33">
        <v>1</v>
      </c>
      <c r="H1572" s="33">
        <v>1</v>
      </c>
      <c r="I1572" s="33">
        <v>0.04</v>
      </c>
      <c r="L1572" s="33">
        <v>2.75</v>
      </c>
      <c r="M1572" s="271">
        <v>0.11</v>
      </c>
      <c r="N1572" s="41"/>
      <c r="O1572" s="33">
        <v>25</v>
      </c>
      <c r="P1572" s="40"/>
      <c r="Q1572" s="40"/>
      <c r="R1572" s="40"/>
      <c r="S1572" s="40"/>
      <c r="T1572" s="40"/>
      <c r="U1572" s="40"/>
      <c r="V1572" s="40"/>
      <c r="W1572" s="40"/>
      <c r="X1572" s="40"/>
      <c r="Y1572" s="40"/>
      <c r="Z1572" s="40"/>
      <c r="AA1572" s="40"/>
      <c r="AB1572" s="40"/>
      <c r="AC1572" s="40"/>
      <c r="AD1572" s="40"/>
      <c r="AE1572" s="40"/>
      <c r="AF1572" s="40"/>
      <c r="AG1572" s="40"/>
      <c r="AH1572" s="40"/>
      <c r="AI1572" s="40"/>
      <c r="AJ1572" s="40"/>
      <c r="AK1572" s="40"/>
      <c r="AL1572" s="40"/>
      <c r="AM1572" s="40"/>
      <c r="AN1572" s="40"/>
      <c r="AO1572" s="40"/>
      <c r="AP1572" s="40"/>
      <c r="AQ1572" s="40"/>
      <c r="AR1572" s="40"/>
      <c r="AS1572" s="40"/>
      <c r="AT1572" s="40"/>
      <c r="AU1572" s="40"/>
      <c r="AV1572" s="317"/>
      <c r="AW1572" s="317"/>
      <c r="AX1572" s="317"/>
      <c r="AY1572" s="313"/>
      <c r="AZ1572" s="40"/>
      <c r="BA1572" s="40"/>
      <c r="BB1572" s="40"/>
      <c r="BC1572" s="40"/>
      <c r="BD1572" s="40"/>
      <c r="BE1572" s="40"/>
      <c r="BF1572" s="40"/>
      <c r="BG1572" s="40"/>
      <c r="BH1572" s="40"/>
      <c r="BI1572" s="40"/>
      <c r="BJ1572" s="40"/>
      <c r="BK1572" s="40"/>
      <c r="BL1572" s="62">
        <v>0</v>
      </c>
      <c r="BM1572" s="275">
        <v>3</v>
      </c>
      <c r="BN1572" s="62">
        <v>0.03</v>
      </c>
    </row>
    <row r="1573" spans="1:68">
      <c r="A1573" s="33" t="str">
        <f>Database_Productkaarten[[#This Row],[Product]]&amp;", "&amp;Database_Productkaarten[[#This Row],[Levensfase]]</f>
        <v>Natuursteen, A3</v>
      </c>
      <c r="B1573" t="s">
        <v>661</v>
      </c>
      <c r="C1573" t="s">
        <v>55</v>
      </c>
      <c r="D1573" t="s">
        <v>661</v>
      </c>
      <c r="E1573" s="33" t="s">
        <v>385</v>
      </c>
      <c r="F1573" s="33" t="s">
        <v>76</v>
      </c>
      <c r="G1573" s="33">
        <v>1</v>
      </c>
      <c r="H1573" s="33">
        <v>1</v>
      </c>
      <c r="I1573" s="33">
        <v>0.04</v>
      </c>
      <c r="L1573" s="33">
        <v>2.75</v>
      </c>
      <c r="M1573" s="271">
        <v>0.11</v>
      </c>
      <c r="N1573" s="41"/>
      <c r="O1573" s="33">
        <v>25</v>
      </c>
      <c r="P1573" s="40"/>
      <c r="Q1573" s="40"/>
      <c r="R1573" s="40"/>
      <c r="S1573" s="40"/>
      <c r="T1573" s="40"/>
      <c r="U1573" s="40"/>
      <c r="V1573" s="40"/>
      <c r="W1573" s="40"/>
      <c r="X1573" s="40"/>
      <c r="Y1573" s="40"/>
      <c r="Z1573" s="40"/>
      <c r="AA1573" s="40"/>
      <c r="AB1573" s="40"/>
      <c r="AC1573" s="40"/>
      <c r="AD1573" s="40"/>
      <c r="AE1573" s="40"/>
      <c r="AF1573" s="40"/>
      <c r="AG1573" s="40"/>
      <c r="AH1573" s="40"/>
      <c r="AI1573" s="40"/>
      <c r="AJ1573" s="40"/>
      <c r="AK1573" s="40"/>
      <c r="AL1573" s="40"/>
      <c r="AM1573" s="40"/>
      <c r="AN1573" s="40"/>
      <c r="AO1573" s="40"/>
      <c r="AP1573" s="40"/>
      <c r="AQ1573" s="40"/>
      <c r="AR1573" s="40"/>
      <c r="AS1573" s="40"/>
      <c r="AT1573" s="40"/>
      <c r="AU1573" s="40"/>
      <c r="AV1573" s="317"/>
      <c r="AW1573" s="317"/>
      <c r="AX1573" s="317"/>
      <c r="AY1573" s="313"/>
      <c r="AZ1573" s="40"/>
      <c r="BA1573" s="40"/>
      <c r="BB1573" s="40"/>
      <c r="BC1573" s="40"/>
      <c r="BD1573" s="40"/>
      <c r="BE1573" s="40"/>
      <c r="BF1573" s="40"/>
      <c r="BG1573" s="40"/>
      <c r="BH1573" s="40"/>
      <c r="BI1573" s="40"/>
      <c r="BJ1573" s="40"/>
      <c r="BK1573" s="40"/>
      <c r="BL1573" s="62">
        <v>0</v>
      </c>
      <c r="BM1573" s="275">
        <v>3</v>
      </c>
      <c r="BN1573" s="62">
        <v>0.03</v>
      </c>
    </row>
    <row r="1574" spans="1:68">
      <c r="A1574" s="33" t="str">
        <f>Database_Productkaarten[[#This Row],[Product]]&amp;", "&amp;Database_Productkaarten[[#This Row],[Levensfase]]</f>
        <v>Natuursteen, A1-A3</v>
      </c>
      <c r="B1574" t="s">
        <v>661</v>
      </c>
      <c r="C1574" s="451" t="str">
        <f>C1573</f>
        <v>Elementenverhardingen</v>
      </c>
      <c r="D1574" t="s">
        <v>661</v>
      </c>
      <c r="E1574" s="451" t="str">
        <f>E1573</f>
        <v>m2</v>
      </c>
      <c r="F1574" s="451" t="s">
        <v>77</v>
      </c>
      <c r="G1574" s="33">
        <v>1</v>
      </c>
      <c r="H1574" s="33">
        <v>1</v>
      </c>
      <c r="I1574" s="33">
        <v>0.04</v>
      </c>
      <c r="L1574" s="33">
        <v>2.75</v>
      </c>
      <c r="M1574" s="271">
        <v>0.11</v>
      </c>
      <c r="N1574" s="41">
        <v>20.998360000000002</v>
      </c>
      <c r="O1574" s="33">
        <v>25</v>
      </c>
      <c r="P1574" s="211">
        <v>1.22E-5</v>
      </c>
      <c r="Q1574" s="163">
        <v>3.2099999999999997E-2</v>
      </c>
      <c r="R1574" s="163">
        <v>8.98</v>
      </c>
      <c r="S1574" s="163">
        <v>4.2E-7</v>
      </c>
      <c r="T1574" s="163">
        <v>2.5799999999999998E-3</v>
      </c>
      <c r="U1574" s="163">
        <v>2.7199999999999998E-2</v>
      </c>
      <c r="V1574" s="163">
        <v>4.7200000000000002E-3</v>
      </c>
      <c r="W1574" s="163">
        <v>1.21</v>
      </c>
      <c r="X1574" s="163">
        <v>3.0300000000000001E-2</v>
      </c>
      <c r="Y1574" s="163">
        <v>139</v>
      </c>
      <c r="Z1574" s="163">
        <v>1.9400000000000001E-2</v>
      </c>
      <c r="AA1574" s="40"/>
      <c r="AB1574" s="40"/>
      <c r="AC1574" s="40"/>
      <c r="AD1574" s="40"/>
      <c r="AE1574" s="40"/>
      <c r="AF1574" s="40"/>
      <c r="AG1574" s="40"/>
      <c r="AH1574" s="40"/>
      <c r="AI1574" s="40"/>
      <c r="AJ1574" s="40"/>
      <c r="AK1574" s="40"/>
      <c r="AL1574" s="40"/>
      <c r="AM1574" s="40"/>
      <c r="AN1574" s="40"/>
      <c r="AO1574" s="40"/>
      <c r="AP1574" s="40"/>
      <c r="AQ1574" s="40"/>
      <c r="AR1574" s="40"/>
      <c r="AS1574" s="40"/>
      <c r="AT1574" s="40"/>
      <c r="AU1574" s="40"/>
      <c r="AV1574" s="315">
        <v>6.59</v>
      </c>
      <c r="AW1574" s="317"/>
      <c r="AX1574" s="317"/>
      <c r="AY1574" s="313">
        <v>70.099999999999994</v>
      </c>
      <c r="AZ1574" s="40"/>
      <c r="BA1574" s="40"/>
      <c r="BB1574" s="40"/>
      <c r="BC1574" s="40">
        <v>0.872</v>
      </c>
      <c r="BD1574" s="163">
        <v>2.65</v>
      </c>
      <c r="BE1574" s="163">
        <v>1.23</v>
      </c>
      <c r="BF1574" s="40"/>
      <c r="BG1574" s="40"/>
      <c r="BH1574" s="40"/>
      <c r="BI1574" s="40"/>
      <c r="BJ1574" s="40"/>
      <c r="BK1574" s="40"/>
      <c r="BL1574" s="62">
        <v>0</v>
      </c>
      <c r="BM1574" s="275">
        <v>3</v>
      </c>
      <c r="BN1574" s="62">
        <v>0.03</v>
      </c>
    </row>
    <row r="1575" spans="1:68">
      <c r="A1575" s="33" t="str">
        <f>Database_Productkaarten[[#This Row],[Product]]&amp;", "&amp;Database_Productkaarten[[#This Row],[Levensfase]]</f>
        <v>Natuursteen, A4</v>
      </c>
      <c r="B1575" t="s">
        <v>661</v>
      </c>
      <c r="C1575" t="s">
        <v>55</v>
      </c>
      <c r="D1575" t="s">
        <v>661</v>
      </c>
      <c r="E1575" s="33" t="s">
        <v>385</v>
      </c>
      <c r="F1575" s="33" t="s">
        <v>78</v>
      </c>
      <c r="G1575" s="33">
        <v>1</v>
      </c>
      <c r="H1575" s="33">
        <v>1</v>
      </c>
      <c r="I1575" s="33">
        <v>0.04</v>
      </c>
      <c r="L1575" s="33">
        <v>2.75</v>
      </c>
      <c r="M1575" s="271">
        <v>0.11</v>
      </c>
      <c r="N1575" s="41">
        <v>0.33018999999999998</v>
      </c>
      <c r="O1575" s="33">
        <v>25</v>
      </c>
      <c r="P1575" s="163">
        <v>7.23E-7</v>
      </c>
      <c r="Q1575" s="211">
        <v>2.8500000000000001E-3</v>
      </c>
      <c r="R1575" s="163">
        <v>0.377</v>
      </c>
      <c r="S1575" s="163">
        <v>7.4900000000000002E-8</v>
      </c>
      <c r="T1575" s="163">
        <v>2.3800000000000001E-4</v>
      </c>
      <c r="U1575" s="163">
        <v>1.3699999999999999E-3</v>
      </c>
      <c r="V1575" s="163">
        <v>2.7999999999999998E-4</v>
      </c>
      <c r="W1575" s="163">
        <v>0.13300000000000001</v>
      </c>
      <c r="X1575" s="163">
        <v>8.5500000000000003E-3</v>
      </c>
      <c r="Y1575" s="163">
        <v>22.4</v>
      </c>
      <c r="Z1575" s="163">
        <v>7.8600000000000002E-4</v>
      </c>
      <c r="AA1575" s="40"/>
      <c r="AB1575" s="40"/>
      <c r="AC1575" s="40"/>
      <c r="AD1575" s="40"/>
      <c r="AE1575" s="40"/>
      <c r="AF1575" s="40"/>
      <c r="AG1575" s="40"/>
      <c r="AH1575" s="40"/>
      <c r="AI1575" s="40"/>
      <c r="AJ1575" s="40"/>
      <c r="AK1575" s="40"/>
      <c r="AL1575" s="40"/>
      <c r="AM1575" s="40"/>
      <c r="AN1575" s="40"/>
      <c r="AO1575" s="40"/>
      <c r="AP1575" s="40"/>
      <c r="AQ1575" s="40"/>
      <c r="AR1575" s="40"/>
      <c r="AS1575" s="40"/>
      <c r="AT1575" s="40"/>
      <c r="AU1575" s="40"/>
      <c r="AV1575" s="315">
        <v>0.10199999999999999</v>
      </c>
      <c r="AW1575" s="317"/>
      <c r="AX1575" s="317"/>
      <c r="AY1575" s="313">
        <v>6.51</v>
      </c>
      <c r="AZ1575" s="40"/>
      <c r="BA1575" s="40"/>
      <c r="BB1575" s="40"/>
      <c r="BC1575" s="40">
        <v>1.32E-3</v>
      </c>
      <c r="BD1575" s="163">
        <v>4.6100000000000002E-5</v>
      </c>
      <c r="BE1575" s="163">
        <v>0.53800000000000003</v>
      </c>
      <c r="BF1575" s="40"/>
      <c r="BG1575" s="40"/>
      <c r="BH1575" s="40"/>
      <c r="BI1575" s="40"/>
      <c r="BJ1575" s="40"/>
      <c r="BK1575" s="40"/>
      <c r="BL1575" s="62">
        <v>0</v>
      </c>
      <c r="BM1575" s="275">
        <v>3</v>
      </c>
      <c r="BN1575" s="62">
        <v>0.03</v>
      </c>
    </row>
    <row r="1576" spans="1:68">
      <c r="A1576" s="33" t="str">
        <f>Database_Productkaarten[[#This Row],[Product]]&amp;", "&amp;Database_Productkaarten[[#This Row],[Levensfase]]</f>
        <v>Natuursteen, A5</v>
      </c>
      <c r="B1576" t="s">
        <v>661</v>
      </c>
      <c r="C1576" t="s">
        <v>55</v>
      </c>
      <c r="D1576" t="s">
        <v>661</v>
      </c>
      <c r="E1576" s="33" t="s">
        <v>385</v>
      </c>
      <c r="F1576" s="33" t="s">
        <v>79</v>
      </c>
      <c r="G1576" s="33">
        <v>1</v>
      </c>
      <c r="H1576" s="33">
        <v>1</v>
      </c>
      <c r="I1576" s="33">
        <v>0.04</v>
      </c>
      <c r="L1576" s="33">
        <v>2.75</v>
      </c>
      <c r="M1576" s="271">
        <v>0.11</v>
      </c>
      <c r="N1576" s="41">
        <v>1.01932</v>
      </c>
      <c r="O1576" s="33">
        <v>25</v>
      </c>
      <c r="P1576" s="307">
        <v>2.7700000000000002E-6</v>
      </c>
      <c r="Q1576" s="163">
        <v>3.8699999999999998E-2</v>
      </c>
      <c r="R1576" s="163">
        <v>5.72</v>
      </c>
      <c r="S1576" s="163">
        <v>9.8200000000000008E-7</v>
      </c>
      <c r="T1576" s="163">
        <v>1.8799999999999999E-3</v>
      </c>
      <c r="U1576" s="163">
        <v>1.6799999999999999E-2</v>
      </c>
      <c r="V1576" s="163">
        <v>3.2100000000000002E-3</v>
      </c>
      <c r="W1576" s="163">
        <v>1.4</v>
      </c>
      <c r="X1576" s="211">
        <v>2.8199999999999999E-2</v>
      </c>
      <c r="Y1576" s="211">
        <v>94.5</v>
      </c>
      <c r="Z1576" s="163">
        <v>5.2100000000000002E-3</v>
      </c>
      <c r="AA1576" s="40"/>
      <c r="AB1576" s="40"/>
      <c r="AC1576" s="40"/>
      <c r="AD1576" s="40"/>
      <c r="AE1576" s="40"/>
      <c r="AF1576" s="40"/>
      <c r="AG1576" s="40"/>
      <c r="AH1576" s="40"/>
      <c r="AI1576" s="40"/>
      <c r="AJ1576" s="40"/>
      <c r="AK1576" s="40"/>
      <c r="AL1576" s="40"/>
      <c r="AM1576" s="40"/>
      <c r="AN1576" s="40"/>
      <c r="AO1576" s="40"/>
      <c r="AP1576" s="40"/>
      <c r="AQ1576" s="40"/>
      <c r="AR1576" s="40"/>
      <c r="AS1576" s="40"/>
      <c r="AT1576" s="40"/>
      <c r="AU1576" s="40"/>
      <c r="AV1576" s="315">
        <v>0.71099999999999997</v>
      </c>
      <c r="AW1576" s="317"/>
      <c r="AX1576" s="317"/>
      <c r="AY1576" s="313">
        <v>86.4</v>
      </c>
      <c r="AZ1576" s="40"/>
      <c r="BA1576" s="40"/>
      <c r="BB1576" s="40"/>
      <c r="BC1576" s="40">
        <v>1.83E-2</v>
      </c>
      <c r="BD1576" s="163">
        <v>3.5299999999999998E-2</v>
      </c>
      <c r="BE1576" s="163">
        <v>0.20399999999999999</v>
      </c>
      <c r="BF1576" s="40"/>
      <c r="BG1576" s="40"/>
      <c r="BH1576" s="40"/>
      <c r="BI1576" s="40"/>
      <c r="BJ1576" s="40"/>
      <c r="BK1576" s="40"/>
      <c r="BL1576" s="62">
        <v>0</v>
      </c>
      <c r="BM1576" s="275">
        <v>3</v>
      </c>
      <c r="BN1576" s="62">
        <v>0.03</v>
      </c>
    </row>
    <row r="1577" spans="1:68">
      <c r="A1577" s="33" t="str">
        <f>Database_Productkaarten[[#This Row],[Product]]&amp;", "&amp;Database_Productkaarten[[#This Row],[Levensfase]]</f>
        <v>Natuursteen, B1</v>
      </c>
      <c r="B1577" t="s">
        <v>661</v>
      </c>
      <c r="C1577" t="s">
        <v>55</v>
      </c>
      <c r="D1577" t="s">
        <v>661</v>
      </c>
      <c r="E1577" s="33" t="s">
        <v>385</v>
      </c>
      <c r="F1577" s="33" t="s">
        <v>80</v>
      </c>
      <c r="G1577" s="33">
        <v>1</v>
      </c>
      <c r="H1577" s="33">
        <v>1</v>
      </c>
      <c r="I1577" s="33">
        <v>0.04</v>
      </c>
      <c r="L1577" s="33">
        <v>2.75</v>
      </c>
      <c r="M1577" s="271">
        <v>0.11</v>
      </c>
      <c r="N1577" s="41">
        <v>0</v>
      </c>
      <c r="O1577" s="33">
        <v>25</v>
      </c>
      <c r="P1577" s="163">
        <v>0</v>
      </c>
      <c r="Q1577" s="211">
        <v>0</v>
      </c>
      <c r="R1577" s="163">
        <v>0</v>
      </c>
      <c r="S1577" s="211">
        <v>0</v>
      </c>
      <c r="T1577" s="163">
        <v>0</v>
      </c>
      <c r="U1577" s="163">
        <v>0</v>
      </c>
      <c r="V1577" s="163">
        <v>0</v>
      </c>
      <c r="W1577" s="163">
        <v>0</v>
      </c>
      <c r="X1577" s="163">
        <v>0</v>
      </c>
      <c r="Y1577" s="163">
        <v>0</v>
      </c>
      <c r="Z1577" s="163">
        <v>0</v>
      </c>
      <c r="AA1577" s="40"/>
      <c r="AB1577" s="40"/>
      <c r="AC1577" s="40"/>
      <c r="AD1577" s="40"/>
      <c r="AE1577" s="40"/>
      <c r="AF1577" s="40"/>
      <c r="AG1577" s="40"/>
      <c r="AH1577" s="40"/>
      <c r="AI1577" s="40"/>
      <c r="AJ1577" s="40"/>
      <c r="AK1577" s="40"/>
      <c r="AL1577" s="40"/>
      <c r="AM1577" s="40"/>
      <c r="AN1577" s="40"/>
      <c r="AO1577" s="40"/>
      <c r="AP1577" s="40"/>
      <c r="AQ1577" s="40"/>
      <c r="AR1577" s="40"/>
      <c r="AS1577" s="40"/>
      <c r="AT1577" s="40"/>
      <c r="AU1577" s="40"/>
      <c r="AV1577" s="315">
        <v>0</v>
      </c>
      <c r="AW1577" s="317"/>
      <c r="AX1577" s="317"/>
      <c r="AY1577" s="313">
        <v>0</v>
      </c>
      <c r="AZ1577" s="40"/>
      <c r="BA1577" s="40"/>
      <c r="BB1577" s="40"/>
      <c r="BC1577" s="40">
        <v>0</v>
      </c>
      <c r="BD1577" s="163">
        <v>0</v>
      </c>
      <c r="BE1577" s="163">
        <v>0</v>
      </c>
      <c r="BF1577" s="40"/>
      <c r="BG1577" s="40"/>
      <c r="BH1577" s="40"/>
      <c r="BI1577" s="40"/>
      <c r="BJ1577" s="40"/>
      <c r="BK1577" s="40"/>
      <c r="BL1577" s="62">
        <v>0</v>
      </c>
      <c r="BM1577" s="275">
        <v>3</v>
      </c>
      <c r="BN1577" s="62">
        <v>0.03</v>
      </c>
    </row>
    <row r="1578" spans="1:68">
      <c r="A1578" s="33" t="str">
        <f>Database_Productkaarten[[#This Row],[Product]]&amp;", "&amp;Database_Productkaarten[[#This Row],[Levensfase]]</f>
        <v>Natuursteen, C1</v>
      </c>
      <c r="B1578" t="s">
        <v>661</v>
      </c>
      <c r="C1578" t="s">
        <v>55</v>
      </c>
      <c r="D1578" t="s">
        <v>661</v>
      </c>
      <c r="E1578" s="33" t="s">
        <v>385</v>
      </c>
      <c r="F1578" s="33" t="s">
        <v>83</v>
      </c>
      <c r="G1578" s="33">
        <v>1</v>
      </c>
      <c r="H1578" s="33">
        <v>1</v>
      </c>
      <c r="I1578" s="33">
        <v>0.04</v>
      </c>
      <c r="L1578" s="33">
        <v>2.75</v>
      </c>
      <c r="M1578" s="271">
        <v>0.11</v>
      </c>
      <c r="N1578" s="41">
        <v>4.9719999999999999E-3</v>
      </c>
      <c r="O1578" s="33">
        <v>25</v>
      </c>
      <c r="P1578" s="163">
        <v>1.31E-6</v>
      </c>
      <c r="Q1578" s="163">
        <v>1.9099999999999999E-2</v>
      </c>
      <c r="R1578" s="211">
        <v>2.8</v>
      </c>
      <c r="S1578" s="163">
        <v>4.8699999999999995E-7</v>
      </c>
      <c r="T1578" s="163">
        <v>9.2100000000000005E-4</v>
      </c>
      <c r="U1578" s="163">
        <v>8.2000000000000007E-3</v>
      </c>
      <c r="V1578" s="163">
        <v>1.57E-3</v>
      </c>
      <c r="W1578" s="163">
        <v>0.69199999999999995</v>
      </c>
      <c r="X1578" s="163">
        <v>1.37E-2</v>
      </c>
      <c r="Y1578" s="163">
        <v>45.9</v>
      </c>
      <c r="Z1578" s="211">
        <v>2.4599999999999999E-3</v>
      </c>
      <c r="AA1578" s="40"/>
      <c r="AB1578" s="40"/>
      <c r="AC1578" s="40"/>
      <c r="AD1578" s="40"/>
      <c r="AE1578" s="40"/>
      <c r="AF1578" s="40"/>
      <c r="AG1578" s="40"/>
      <c r="AH1578" s="40"/>
      <c r="AI1578" s="40"/>
      <c r="AJ1578" s="40"/>
      <c r="AK1578" s="40"/>
      <c r="AL1578" s="40"/>
      <c r="AM1578" s="40"/>
      <c r="AN1578" s="40"/>
      <c r="AO1578" s="40"/>
      <c r="AP1578" s="40"/>
      <c r="AQ1578" s="40"/>
      <c r="AR1578" s="40"/>
      <c r="AS1578" s="40"/>
      <c r="AT1578" s="40"/>
      <c r="AU1578" s="40"/>
      <c r="AV1578" s="315">
        <v>0.311</v>
      </c>
      <c r="AW1578" s="317"/>
      <c r="AX1578" s="317"/>
      <c r="AY1578" s="313">
        <v>42.7</v>
      </c>
      <c r="AZ1578" s="40"/>
      <c r="BA1578" s="40"/>
      <c r="BB1578" s="40"/>
      <c r="BC1578" s="40">
        <v>4.0299999999999997E-3</v>
      </c>
      <c r="BD1578" s="163">
        <v>2.9399999999999999E-4</v>
      </c>
      <c r="BE1578" s="163">
        <v>7.1599999999999997E-2</v>
      </c>
      <c r="BF1578" s="40"/>
      <c r="BG1578" s="40"/>
      <c r="BH1578" s="40"/>
      <c r="BI1578" s="40"/>
      <c r="BJ1578" s="40"/>
      <c r="BK1578" s="40"/>
      <c r="BL1578" s="62">
        <v>0</v>
      </c>
      <c r="BM1578" s="275">
        <v>3</v>
      </c>
      <c r="BN1578" s="62">
        <v>0.03</v>
      </c>
    </row>
    <row r="1579" spans="1:68">
      <c r="A1579" s="33" t="str">
        <f>Database_Productkaarten[[#This Row],[Product]]&amp;", "&amp;Database_Productkaarten[[#This Row],[Levensfase]]</f>
        <v>Natuursteen, C2</v>
      </c>
      <c r="B1579" t="s">
        <v>661</v>
      </c>
      <c r="C1579" t="s">
        <v>55</v>
      </c>
      <c r="D1579" t="s">
        <v>661</v>
      </c>
      <c r="E1579" s="33" t="s">
        <v>385</v>
      </c>
      <c r="F1579" s="33" t="s">
        <v>84</v>
      </c>
      <c r="G1579" s="33">
        <v>1</v>
      </c>
      <c r="H1579" s="33">
        <v>1</v>
      </c>
      <c r="I1579" s="33">
        <v>0.04</v>
      </c>
      <c r="L1579" s="33">
        <v>2.75</v>
      </c>
      <c r="M1579" s="271">
        <v>0.11</v>
      </c>
      <c r="N1579" s="41">
        <v>8.337E-2</v>
      </c>
      <c r="O1579" s="33">
        <v>25</v>
      </c>
      <c r="P1579" s="163">
        <v>7.3E-7</v>
      </c>
      <c r="Q1579" s="307">
        <v>2.8800000000000002E-3</v>
      </c>
      <c r="R1579" s="163">
        <v>0.38</v>
      </c>
      <c r="S1579" s="211">
        <v>7.5600000000000002E-8</v>
      </c>
      <c r="T1579" s="163">
        <v>2.4000000000000001E-4</v>
      </c>
      <c r="U1579" s="163">
        <v>1.39E-3</v>
      </c>
      <c r="V1579" s="163">
        <v>2.8299999999999999E-4</v>
      </c>
      <c r="W1579" s="163">
        <v>0.13400000000000001</v>
      </c>
      <c r="X1579" s="163">
        <v>8.6400000000000001E-3</v>
      </c>
      <c r="Y1579" s="163">
        <v>22.6</v>
      </c>
      <c r="Z1579" s="163">
        <v>7.94E-4</v>
      </c>
      <c r="AA1579" s="40"/>
      <c r="AB1579" s="40"/>
      <c r="AC1579" s="40"/>
      <c r="AD1579" s="40"/>
      <c r="AE1579" s="40"/>
      <c r="AF1579" s="40"/>
      <c r="AG1579" s="40"/>
      <c r="AH1579" s="40"/>
      <c r="AI1579" s="40"/>
      <c r="AJ1579" s="40"/>
      <c r="AK1579" s="40"/>
      <c r="AL1579" s="40"/>
      <c r="AM1579" s="40"/>
      <c r="AN1579" s="40"/>
      <c r="AO1579" s="40"/>
      <c r="AP1579" s="40"/>
      <c r="AQ1579" s="40"/>
      <c r="AR1579" s="40"/>
      <c r="AS1579" s="40"/>
      <c r="AT1579" s="40"/>
      <c r="AU1579" s="40"/>
      <c r="AV1579" s="315">
        <v>0.10299999999999999</v>
      </c>
      <c r="AW1579" s="317"/>
      <c r="AX1579" s="317"/>
      <c r="AY1579" s="318">
        <v>6.58</v>
      </c>
      <c r="AZ1579" s="40"/>
      <c r="BA1579" s="40"/>
      <c r="BB1579" s="40"/>
      <c r="BC1579" s="40">
        <v>1.34E-3</v>
      </c>
      <c r="BD1579" s="163">
        <v>4.6600000000000001E-5</v>
      </c>
      <c r="BE1579" s="163">
        <v>0.54300000000000004</v>
      </c>
      <c r="BF1579" s="40"/>
      <c r="BG1579" s="40"/>
      <c r="BH1579" s="40"/>
      <c r="BI1579" s="40"/>
      <c r="BJ1579" s="40"/>
      <c r="BK1579" s="40"/>
      <c r="BL1579" s="62">
        <v>0</v>
      </c>
      <c r="BM1579" s="275">
        <v>3</v>
      </c>
      <c r="BN1579" s="62">
        <v>0.03</v>
      </c>
    </row>
    <row r="1580" spans="1:68">
      <c r="A1580" s="33" t="str">
        <f>Database_Productkaarten[[#This Row],[Product]]&amp;", "&amp;Database_Productkaarten[[#This Row],[Levensfase]]</f>
        <v>Natuursteen, C3</v>
      </c>
      <c r="B1580" t="s">
        <v>661</v>
      </c>
      <c r="C1580" t="s">
        <v>55</v>
      </c>
      <c r="D1580" t="s">
        <v>661</v>
      </c>
      <c r="E1580" s="33" t="s">
        <v>385</v>
      </c>
      <c r="F1580" s="33" t="s">
        <v>85</v>
      </c>
      <c r="G1580" s="33">
        <v>1</v>
      </c>
      <c r="H1580" s="33">
        <v>1</v>
      </c>
      <c r="I1580" s="33">
        <v>0.04</v>
      </c>
      <c r="L1580" s="33">
        <v>2.75</v>
      </c>
      <c r="M1580" s="271">
        <v>0.11</v>
      </c>
      <c r="N1580" s="41">
        <v>2.8920000000000001E-2</v>
      </c>
      <c r="O1580" s="33">
        <v>25</v>
      </c>
      <c r="P1580" s="163">
        <v>4.5499999999999997E-8</v>
      </c>
      <c r="Q1580" s="163">
        <v>5.1099999999999995E-4</v>
      </c>
      <c r="R1580" s="211">
        <v>7.1300000000000002E-2</v>
      </c>
      <c r="S1580" s="163">
        <v>8.2800000000000004E-9</v>
      </c>
      <c r="T1580" s="163">
        <v>4.0800000000000002E-5</v>
      </c>
      <c r="U1580" s="163">
        <v>3.5500000000000001E-4</v>
      </c>
      <c r="V1580" s="163">
        <v>8.03E-5</v>
      </c>
      <c r="W1580" s="211">
        <v>1.6299999999999999E-2</v>
      </c>
      <c r="X1580" s="163">
        <v>2.7999999999999998E-4</v>
      </c>
      <c r="Y1580" s="163">
        <v>1.03</v>
      </c>
      <c r="Z1580" s="163">
        <v>2.0699999999999999E-4</v>
      </c>
      <c r="AA1580" s="40"/>
      <c r="AB1580" s="40"/>
      <c r="AC1580" s="40"/>
      <c r="AD1580" s="40"/>
      <c r="AE1580" s="40"/>
      <c r="AF1580" s="40"/>
      <c r="AG1580" s="40"/>
      <c r="AH1580" s="40"/>
      <c r="AI1580" s="40"/>
      <c r="AJ1580" s="40"/>
      <c r="AK1580" s="40"/>
      <c r="AL1580" s="40"/>
      <c r="AM1580" s="40"/>
      <c r="AN1580" s="40"/>
      <c r="AO1580" s="40"/>
      <c r="AP1580" s="40"/>
      <c r="AQ1580" s="40"/>
      <c r="AR1580" s="40"/>
      <c r="AS1580" s="40"/>
      <c r="AT1580" s="40"/>
      <c r="AU1580" s="40"/>
      <c r="AV1580" s="319">
        <v>5.74E-2</v>
      </c>
      <c r="AW1580" s="317"/>
      <c r="AX1580" s="317"/>
      <c r="AY1580" s="313">
        <v>1.08</v>
      </c>
      <c r="AZ1580" s="40"/>
      <c r="BA1580" s="40"/>
      <c r="BB1580" s="40"/>
      <c r="BC1580" s="40">
        <v>1.45E-4</v>
      </c>
      <c r="BD1580" s="163">
        <v>6.4699999999999999E-6</v>
      </c>
      <c r="BE1580" s="163">
        <v>0.13400000000000001</v>
      </c>
      <c r="BF1580" s="40"/>
      <c r="BG1580" s="40"/>
      <c r="BH1580" s="40"/>
      <c r="BI1580" s="40"/>
      <c r="BJ1580" s="40"/>
      <c r="BK1580" s="40"/>
      <c r="BL1580" s="62">
        <v>0</v>
      </c>
      <c r="BM1580" s="275">
        <v>3</v>
      </c>
      <c r="BN1580" s="62">
        <v>0.03</v>
      </c>
    </row>
    <row r="1581" spans="1:68">
      <c r="A1581" s="33" t="str">
        <f>Database_Productkaarten[[#This Row],[Product]]&amp;", "&amp;Database_Productkaarten[[#This Row],[Levensfase]]</f>
        <v>Natuursteen, C4</v>
      </c>
      <c r="B1581" t="s">
        <v>661</v>
      </c>
      <c r="C1581" t="s">
        <v>55</v>
      </c>
      <c r="D1581" t="s">
        <v>661</v>
      </c>
      <c r="E1581" s="33" t="s">
        <v>385</v>
      </c>
      <c r="F1581" s="33" t="s">
        <v>86</v>
      </c>
      <c r="G1581" s="33">
        <v>1</v>
      </c>
      <c r="H1581" s="33">
        <v>1</v>
      </c>
      <c r="I1581" s="33">
        <v>0.04</v>
      </c>
      <c r="L1581" s="33">
        <v>2.75</v>
      </c>
      <c r="M1581" s="271">
        <v>0.11</v>
      </c>
      <c r="N1581" s="41">
        <v>1.2800000000000001E-3</v>
      </c>
      <c r="O1581" s="33">
        <v>25</v>
      </c>
      <c r="P1581" s="163">
        <v>2.6200000000000001E-9</v>
      </c>
      <c r="Q1581" s="163">
        <v>3.4E-5</v>
      </c>
      <c r="R1581" s="163">
        <v>2.33E-3</v>
      </c>
      <c r="S1581" s="163">
        <v>8.3999999999999999E-10</v>
      </c>
      <c r="T1581" s="163">
        <v>2.5399999999999998E-6</v>
      </c>
      <c r="U1581" s="163">
        <v>1.7600000000000001E-5</v>
      </c>
      <c r="V1581" s="163">
        <v>3.32E-6</v>
      </c>
      <c r="W1581" s="163">
        <v>1.01E-3</v>
      </c>
      <c r="X1581" s="163">
        <v>2.4499999999999999E-5</v>
      </c>
      <c r="Y1581" s="163">
        <v>8.5999999999999993E-2</v>
      </c>
      <c r="Z1581" s="163">
        <v>2.5299999999999999E-6</v>
      </c>
      <c r="AA1581" s="40"/>
      <c r="AB1581" s="40"/>
      <c r="AC1581" s="40"/>
      <c r="AD1581" s="40"/>
      <c r="AE1581" s="40"/>
      <c r="AF1581" s="40"/>
      <c r="AG1581" s="40"/>
      <c r="AH1581" s="40"/>
      <c r="AI1581" s="40"/>
      <c r="AJ1581" s="40"/>
      <c r="AK1581" s="40"/>
      <c r="AL1581" s="40"/>
      <c r="AM1581" s="40"/>
      <c r="AN1581" s="40"/>
      <c r="AO1581" s="40"/>
      <c r="AP1581" s="40"/>
      <c r="AQ1581" s="40"/>
      <c r="AR1581" s="40"/>
      <c r="AS1581" s="40"/>
      <c r="AT1581" s="40"/>
      <c r="AU1581" s="40"/>
      <c r="AV1581" s="315">
        <v>5.8100000000000003E-4</v>
      </c>
      <c r="AW1581" s="317"/>
      <c r="AX1581" s="317"/>
      <c r="AY1581" s="313">
        <v>7.6300000000000007E-2</v>
      </c>
      <c r="AZ1581" s="40"/>
      <c r="BA1581" s="40"/>
      <c r="BB1581" s="40"/>
      <c r="BC1581" s="40">
        <v>7.0400000000000004E-5</v>
      </c>
      <c r="BD1581" s="163">
        <v>5.2099999999999997E-7</v>
      </c>
      <c r="BE1581" s="163">
        <v>0.441</v>
      </c>
      <c r="BF1581" s="40"/>
      <c r="BG1581" s="40"/>
      <c r="BH1581" s="40"/>
      <c r="BI1581" s="40"/>
      <c r="BJ1581" s="40"/>
      <c r="BK1581" s="40"/>
      <c r="BL1581" s="62">
        <v>0</v>
      </c>
      <c r="BM1581" s="275">
        <v>3</v>
      </c>
      <c r="BN1581" s="62">
        <v>0.03</v>
      </c>
    </row>
    <row r="1582" spans="1:68">
      <c r="A1582" s="33" t="str">
        <f>Database_Productkaarten[[#This Row],[Product]]&amp;", "&amp;Database_Productkaarten[[#This Row],[Levensfase]]</f>
        <v>Natuursteen, D</v>
      </c>
      <c r="B1582" t="s">
        <v>661</v>
      </c>
      <c r="C1582" s="33" t="str">
        <f>C1583</f>
        <v>Elementenverhardingen</v>
      </c>
      <c r="D1582" t="s">
        <v>661</v>
      </c>
      <c r="E1582" s="33" t="str">
        <f>E1583</f>
        <v>m2</v>
      </c>
      <c r="F1582" s="33" t="s">
        <v>89</v>
      </c>
      <c r="G1582" s="33">
        <v>1</v>
      </c>
      <c r="H1582" s="33">
        <v>1</v>
      </c>
      <c r="I1582" s="33">
        <v>0.04</v>
      </c>
      <c r="L1582" s="33">
        <v>2.75</v>
      </c>
      <c r="M1582" s="271">
        <v>0.11</v>
      </c>
      <c r="N1582" s="41">
        <v>-5.92997</v>
      </c>
      <c r="O1582" s="33">
        <v>25</v>
      </c>
      <c r="P1582" s="163">
        <v>-8.49E-6</v>
      </c>
      <c r="Q1582" s="163">
        <v>-2.06E-2</v>
      </c>
      <c r="R1582" s="163">
        <v>-5.34</v>
      </c>
      <c r="S1582" s="163">
        <v>-2.8799999999999998E-7</v>
      </c>
      <c r="T1582" s="211">
        <v>-1.73E-3</v>
      </c>
      <c r="U1582" s="163">
        <v>-1.7500000000000002E-2</v>
      </c>
      <c r="V1582" s="163">
        <v>-3.0300000000000001E-3</v>
      </c>
      <c r="W1582" s="163">
        <v>-0.84299999999999997</v>
      </c>
      <c r="X1582" s="163">
        <v>-2.0199999999999999E-2</v>
      </c>
      <c r="Y1582" s="163">
        <v>-91.1</v>
      </c>
      <c r="Z1582" s="163">
        <v>-1.1599999999999999E-2</v>
      </c>
      <c r="AA1582" s="40"/>
      <c r="AB1582" s="40"/>
      <c r="AC1582" s="40"/>
      <c r="AD1582" s="40"/>
      <c r="AE1582" s="40"/>
      <c r="AF1582" s="40"/>
      <c r="AG1582" s="40"/>
      <c r="AH1582" s="40"/>
      <c r="AI1582" s="40"/>
      <c r="AJ1582" s="40"/>
      <c r="AK1582" s="40"/>
      <c r="AL1582" s="40"/>
      <c r="AM1582" s="40"/>
      <c r="AN1582" s="40"/>
      <c r="AO1582" s="40"/>
      <c r="AP1582" s="40"/>
      <c r="AQ1582" s="40"/>
      <c r="AR1582" s="40"/>
      <c r="AS1582" s="40"/>
      <c r="AT1582" s="40"/>
      <c r="AU1582" s="40"/>
      <c r="AV1582" s="315">
        <v>-3.87</v>
      </c>
      <c r="AW1582" s="317"/>
      <c r="AX1582" s="317"/>
      <c r="AY1582" s="313">
        <v>-44.9</v>
      </c>
      <c r="AZ1582" s="40"/>
      <c r="BA1582" s="40"/>
      <c r="BB1582" s="40"/>
      <c r="BC1582" s="40">
        <v>-0.53200000000000003</v>
      </c>
      <c r="BD1582" s="163">
        <v>-1.49</v>
      </c>
      <c r="BE1582" s="163">
        <v>-0.85799999999999998</v>
      </c>
      <c r="BF1582" s="40"/>
      <c r="BG1582" s="40"/>
      <c r="BH1582" s="40"/>
      <c r="BI1582" s="40"/>
      <c r="BJ1582" s="40"/>
      <c r="BK1582" s="40"/>
      <c r="BL1582" s="62">
        <v>0</v>
      </c>
      <c r="BM1582" s="275">
        <v>3</v>
      </c>
      <c r="BN1582" s="62">
        <v>0.03</v>
      </c>
    </row>
    <row r="1583" spans="1:68">
      <c r="A1583" s="33" t="str">
        <f>Database_Productkaarten[[#This Row],[Product]]&amp;", "&amp;Database_Productkaarten[[#This Row],[Levensfase]]</f>
        <v>Natuursteen, D1</v>
      </c>
      <c r="B1583" t="s">
        <v>661</v>
      </c>
      <c r="C1583" t="s">
        <v>55</v>
      </c>
      <c r="D1583" t="s">
        <v>661</v>
      </c>
      <c r="E1583" s="33" t="s">
        <v>385</v>
      </c>
      <c r="F1583" s="33" t="s">
        <v>87</v>
      </c>
      <c r="G1583" s="33">
        <v>1</v>
      </c>
      <c r="H1583" s="33">
        <v>1</v>
      </c>
      <c r="I1583" s="33">
        <v>0.04</v>
      </c>
      <c r="L1583" s="33">
        <v>2.75</v>
      </c>
      <c r="M1583" s="271">
        <v>0.11</v>
      </c>
      <c r="N1583" s="41"/>
      <c r="O1583" s="33">
        <v>25</v>
      </c>
      <c r="P1583" s="40"/>
      <c r="Q1583" s="40"/>
      <c r="R1583" s="40"/>
      <c r="S1583" s="40"/>
      <c r="T1583" s="40"/>
      <c r="U1583" s="40"/>
      <c r="V1583" s="40"/>
      <c r="W1583" s="40"/>
      <c r="X1583" s="40"/>
      <c r="Y1583" s="40"/>
      <c r="Z1583" s="40"/>
      <c r="AA1583" s="40"/>
      <c r="AB1583" s="40"/>
      <c r="AC1583" s="40"/>
      <c r="AD1583" s="40"/>
      <c r="AE1583" s="40"/>
      <c r="AF1583" s="40"/>
      <c r="AG1583" s="40"/>
      <c r="AH1583" s="40"/>
      <c r="AI1583" s="40"/>
      <c r="AJ1583" s="40"/>
      <c r="AK1583" s="40"/>
      <c r="AL1583" s="40"/>
      <c r="AM1583" s="40"/>
      <c r="AN1583" s="40"/>
      <c r="AO1583" s="40"/>
      <c r="AP1583" s="40"/>
      <c r="AQ1583" s="40"/>
      <c r="AR1583" s="40"/>
      <c r="AS1583" s="40"/>
      <c r="AT1583" s="40"/>
      <c r="AU1583" s="40"/>
      <c r="AV1583" s="313"/>
      <c r="AW1583" s="317"/>
      <c r="AX1583" s="317"/>
      <c r="AY1583" s="313"/>
      <c r="AZ1583" s="40"/>
      <c r="BA1583" s="40"/>
      <c r="BB1583" s="40"/>
      <c r="BC1583" s="40"/>
      <c r="BD1583" s="40"/>
      <c r="BE1583" s="40"/>
      <c r="BF1583" s="40"/>
      <c r="BG1583" s="40"/>
      <c r="BH1583" s="40"/>
      <c r="BI1583" s="40"/>
      <c r="BJ1583" s="40"/>
      <c r="BK1583" s="40"/>
      <c r="BL1583" s="62">
        <v>0</v>
      </c>
      <c r="BM1583" s="275">
        <v>3</v>
      </c>
      <c r="BN1583" s="62">
        <v>0.03</v>
      </c>
    </row>
    <row r="1584" spans="1:68">
      <c r="A1584" s="33" t="str">
        <f>Database_Productkaarten[[#This Row],[Product]]&amp;", "&amp;Database_Productkaarten[[#This Row],[Levensfase]]</f>
        <v>Natuursteen, D2</v>
      </c>
      <c r="B1584" t="s">
        <v>661</v>
      </c>
      <c r="C1584" t="s">
        <v>55</v>
      </c>
      <c r="D1584" t="s">
        <v>661</v>
      </c>
      <c r="E1584" s="33" t="s">
        <v>385</v>
      </c>
      <c r="F1584" s="33" t="s">
        <v>88</v>
      </c>
      <c r="G1584" s="33">
        <v>1</v>
      </c>
      <c r="H1584" s="33">
        <v>1</v>
      </c>
      <c r="I1584" s="33">
        <v>0.04</v>
      </c>
      <c r="L1584" s="33">
        <v>2.75</v>
      </c>
      <c r="M1584" s="271">
        <v>0.11</v>
      </c>
      <c r="N1584" s="41"/>
      <c r="O1584" s="33">
        <v>25</v>
      </c>
      <c r="P1584" s="40"/>
      <c r="Q1584" s="40"/>
      <c r="R1584" s="40"/>
      <c r="S1584" s="40"/>
      <c r="T1584" s="40"/>
      <c r="U1584" s="40"/>
      <c r="V1584" s="40"/>
      <c r="W1584" s="40"/>
      <c r="X1584" s="40"/>
      <c r="Y1584" s="40"/>
      <c r="Z1584" s="40"/>
      <c r="AA1584" s="40"/>
      <c r="AB1584" s="40"/>
      <c r="AC1584" s="40"/>
      <c r="AD1584" s="40"/>
      <c r="AE1584" s="40"/>
      <c r="AF1584" s="40"/>
      <c r="AG1584" s="40"/>
      <c r="AH1584" s="40"/>
      <c r="AI1584" s="40"/>
      <c r="AJ1584" s="40"/>
      <c r="AK1584" s="40"/>
      <c r="AL1584" s="40"/>
      <c r="AM1584" s="40"/>
      <c r="AN1584" s="40"/>
      <c r="AO1584" s="40"/>
      <c r="AP1584" s="40"/>
      <c r="AQ1584" s="40"/>
      <c r="AR1584" s="40"/>
      <c r="AS1584" s="40"/>
      <c r="AT1584" s="40"/>
      <c r="AU1584" s="40"/>
      <c r="AV1584" s="313"/>
      <c r="AW1584" s="317"/>
      <c r="AX1584" s="317"/>
      <c r="AY1584" s="313"/>
      <c r="AZ1584" s="40"/>
      <c r="BA1584" s="40"/>
      <c r="BB1584" s="40"/>
      <c r="BC1584" s="40"/>
      <c r="BD1584" s="40"/>
      <c r="BE1584" s="40"/>
      <c r="BF1584" s="40"/>
      <c r="BG1584" s="40"/>
      <c r="BH1584" s="40"/>
      <c r="BI1584" s="40"/>
      <c r="BJ1584" s="40"/>
      <c r="BK1584" s="40"/>
      <c r="BL1584" s="62">
        <v>0</v>
      </c>
      <c r="BM1584" s="275">
        <v>3</v>
      </c>
      <c r="BN1584" s="62">
        <v>0.03</v>
      </c>
    </row>
    <row r="1585" spans="1:68">
      <c r="A1585" s="33" t="str">
        <f>Database_Productkaarten[[#This Row],[Product]]&amp;", "&amp;Database_Productkaarten[[#This Row],[Levensfase]]</f>
        <v>Natuursteen (hergebruik), Totaal</v>
      </c>
      <c r="B1585" t="s">
        <v>662</v>
      </c>
      <c r="C1585" t="s">
        <v>55</v>
      </c>
      <c r="D1585" t="s">
        <v>661</v>
      </c>
      <c r="E1585" s="33" t="s">
        <v>385</v>
      </c>
      <c r="F1585" s="33" t="s">
        <v>90</v>
      </c>
      <c r="G1585" s="33">
        <v>1</v>
      </c>
      <c r="H1585" s="33">
        <v>1</v>
      </c>
      <c r="I1585" s="33">
        <v>0.04</v>
      </c>
      <c r="L1585" s="33">
        <v>2.75</v>
      </c>
      <c r="M1585" s="271">
        <v>0.11</v>
      </c>
      <c r="N1585" s="41">
        <f>SUM(N1589:N1597)</f>
        <v>3.5678879999999999</v>
      </c>
      <c r="O1585" s="33">
        <v>25</v>
      </c>
      <c r="P1585" s="163">
        <f t="shared" ref="P1585:Z1585" si="756">SUM(P1589:P1597)</f>
        <v>6.8011200000000005E-6</v>
      </c>
      <c r="Q1585" s="163">
        <f t="shared" si="756"/>
        <v>6.7284999999999998E-2</v>
      </c>
      <c r="R1585" s="163">
        <f t="shared" si="756"/>
        <v>10.24863</v>
      </c>
      <c r="S1585" s="163">
        <f t="shared" si="756"/>
        <v>1.6706200000000001E-6</v>
      </c>
      <c r="T1585" s="163">
        <f t="shared" si="756"/>
        <v>3.5803400000000004E-3</v>
      </c>
      <c r="U1585" s="163">
        <f t="shared" si="756"/>
        <v>3.0852599999999997E-2</v>
      </c>
      <c r="V1585" s="163">
        <f t="shared" si="756"/>
        <v>5.8986200000000011E-3</v>
      </c>
      <c r="W1585" s="163">
        <f t="shared" si="756"/>
        <v>2.4973099999999997</v>
      </c>
      <c r="X1585" s="163">
        <f t="shared" si="756"/>
        <v>6.2424499999999994E-2</v>
      </c>
      <c r="Y1585" s="163">
        <f t="shared" si="756"/>
        <v>200.41600000000003</v>
      </c>
      <c r="Z1585" s="163">
        <f t="shared" si="756"/>
        <v>1.1399530000000001E-2</v>
      </c>
      <c r="AA1585" s="40"/>
      <c r="AB1585" s="40"/>
      <c r="AC1585" s="40"/>
      <c r="AD1585" s="40"/>
      <c r="AE1585" s="40"/>
      <c r="AF1585" s="40"/>
      <c r="AG1585" s="40"/>
      <c r="AH1585" s="40"/>
      <c r="AI1585" s="40"/>
      <c r="AJ1585" s="40"/>
      <c r="AK1585" s="40"/>
      <c r="AL1585" s="40"/>
      <c r="AM1585" s="40"/>
      <c r="AN1585" s="40"/>
      <c r="AO1585" s="40"/>
      <c r="AP1585" s="40"/>
      <c r="AQ1585" s="40"/>
      <c r="AR1585" s="40"/>
      <c r="AS1585" s="40"/>
      <c r="AT1585" s="40"/>
      <c r="AU1585" s="40"/>
      <c r="AV1585" s="163">
        <f>SUM(AV1589:AV1597)</f>
        <v>1.9439809999999997</v>
      </c>
      <c r="AW1585" s="40"/>
      <c r="AX1585" s="40"/>
      <c r="AY1585" s="163">
        <f>SUM(AY1589:AY1597)</f>
        <v>150.35630000000003</v>
      </c>
      <c r="AZ1585" s="40"/>
      <c r="BA1585" s="40"/>
      <c r="BB1585" s="40"/>
      <c r="BC1585" s="163">
        <f t="shared" ref="BC1585:BF1585" si="757">SUM(BC1589:BC1597)</f>
        <v>0.1124054</v>
      </c>
      <c r="BD1585" s="163">
        <f t="shared" si="757"/>
        <v>0.30069369100000004</v>
      </c>
      <c r="BE1585" s="163">
        <f t="shared" si="757"/>
        <v>2.0546000000000002</v>
      </c>
      <c r="BF1585" s="163">
        <f t="shared" si="757"/>
        <v>0</v>
      </c>
      <c r="BG1585" s="40"/>
      <c r="BH1585" s="40"/>
      <c r="BI1585" s="40"/>
      <c r="BJ1585" s="40"/>
      <c r="BK1585" s="40"/>
      <c r="BL1585" s="62">
        <v>1</v>
      </c>
      <c r="BM1585" s="275">
        <v>3</v>
      </c>
      <c r="BN1585" s="62">
        <v>0.03</v>
      </c>
      <c r="BP1585" s="33" t="s">
        <v>602</v>
      </c>
    </row>
    <row r="1586" spans="1:68">
      <c r="A1586" s="33" t="str">
        <f>Database_Productkaarten[[#This Row],[Product]]&amp;", "&amp;Database_Productkaarten[[#This Row],[Levensfase]]</f>
        <v>Natuursteen (hergebruik), A1</v>
      </c>
      <c r="B1586" t="s">
        <v>662</v>
      </c>
      <c r="C1586" t="s">
        <v>55</v>
      </c>
      <c r="D1586" t="s">
        <v>661</v>
      </c>
      <c r="E1586" s="33" t="s">
        <v>385</v>
      </c>
      <c r="F1586" s="33" t="s">
        <v>74</v>
      </c>
      <c r="G1586" s="33">
        <v>1</v>
      </c>
      <c r="H1586" s="33">
        <v>1</v>
      </c>
      <c r="I1586" s="33">
        <v>0.04</v>
      </c>
      <c r="L1586" s="33">
        <v>2.75</v>
      </c>
      <c r="M1586" s="271">
        <v>0.11</v>
      </c>
      <c r="N1586" s="41">
        <v>0</v>
      </c>
      <c r="O1586" s="33">
        <v>25</v>
      </c>
      <c r="P1586" s="163">
        <v>0</v>
      </c>
      <c r="Q1586" s="163">
        <v>0</v>
      </c>
      <c r="R1586" s="163">
        <v>0</v>
      </c>
      <c r="S1586" s="163">
        <v>0</v>
      </c>
      <c r="T1586" s="163">
        <v>0</v>
      </c>
      <c r="U1586" s="163">
        <v>0</v>
      </c>
      <c r="V1586" s="163">
        <v>0</v>
      </c>
      <c r="W1586" s="163">
        <v>0</v>
      </c>
      <c r="X1586" s="163">
        <v>0</v>
      </c>
      <c r="Y1586" s="163">
        <v>0</v>
      </c>
      <c r="Z1586" s="163">
        <v>0</v>
      </c>
      <c r="AA1586" s="40"/>
      <c r="AB1586" s="40"/>
      <c r="AC1586" s="40"/>
      <c r="AD1586" s="40"/>
      <c r="AE1586" s="40"/>
      <c r="AF1586" s="40"/>
      <c r="AG1586" s="40"/>
      <c r="AH1586" s="40"/>
      <c r="AI1586" s="40"/>
      <c r="AJ1586" s="40"/>
      <c r="AK1586" s="40"/>
      <c r="AL1586" s="40"/>
      <c r="AM1586" s="40"/>
      <c r="AN1586" s="40"/>
      <c r="AO1586" s="40"/>
      <c r="AP1586" s="40"/>
      <c r="AQ1586" s="40"/>
      <c r="AR1586" s="40"/>
      <c r="AS1586" s="40"/>
      <c r="AT1586" s="40"/>
      <c r="AU1586" s="40"/>
      <c r="AV1586" s="163">
        <v>0</v>
      </c>
      <c r="AW1586" s="40"/>
      <c r="AX1586" s="40"/>
      <c r="AY1586" s="163">
        <v>0</v>
      </c>
      <c r="AZ1586" s="40"/>
      <c r="BA1586" s="40"/>
      <c r="BB1586" s="40"/>
      <c r="BC1586" s="163">
        <v>0</v>
      </c>
      <c r="BD1586" s="163">
        <v>0</v>
      </c>
      <c r="BE1586" s="163">
        <v>0</v>
      </c>
      <c r="BF1586" s="163">
        <v>0</v>
      </c>
      <c r="BG1586" s="40"/>
      <c r="BH1586" s="40"/>
      <c r="BI1586" s="40"/>
      <c r="BJ1586" s="40"/>
      <c r="BK1586" s="40"/>
      <c r="BL1586" s="62">
        <v>1</v>
      </c>
      <c r="BM1586" s="275">
        <v>3</v>
      </c>
      <c r="BN1586" s="62">
        <v>0.03</v>
      </c>
      <c r="BP1586" s="33" t="s">
        <v>602</v>
      </c>
    </row>
    <row r="1587" spans="1:68">
      <c r="A1587" s="33" t="str">
        <f>Database_Productkaarten[[#This Row],[Product]]&amp;", "&amp;Database_Productkaarten[[#This Row],[Levensfase]]</f>
        <v>Natuursteen (hergebruik), A2</v>
      </c>
      <c r="B1587" t="s">
        <v>662</v>
      </c>
      <c r="C1587" t="s">
        <v>55</v>
      </c>
      <c r="D1587" t="s">
        <v>661</v>
      </c>
      <c r="E1587" s="33" t="s">
        <v>385</v>
      </c>
      <c r="F1587" s="33" t="s">
        <v>75</v>
      </c>
      <c r="G1587" s="33">
        <v>1</v>
      </c>
      <c r="H1587" s="33">
        <v>1</v>
      </c>
      <c r="I1587" s="33">
        <v>0.04</v>
      </c>
      <c r="L1587" s="33">
        <v>2.75</v>
      </c>
      <c r="M1587" s="271">
        <v>0.11</v>
      </c>
      <c r="N1587" s="41">
        <v>0</v>
      </c>
      <c r="O1587" s="33">
        <v>25</v>
      </c>
      <c r="P1587" s="163">
        <v>0</v>
      </c>
      <c r="Q1587" s="163">
        <v>0</v>
      </c>
      <c r="R1587" s="163">
        <v>0</v>
      </c>
      <c r="S1587" s="163">
        <v>0</v>
      </c>
      <c r="T1587" s="163">
        <v>0</v>
      </c>
      <c r="U1587" s="163">
        <v>0</v>
      </c>
      <c r="V1587" s="163">
        <v>0</v>
      </c>
      <c r="W1587" s="163">
        <v>0</v>
      </c>
      <c r="X1587" s="163">
        <v>0</v>
      </c>
      <c r="Y1587" s="163">
        <v>0</v>
      </c>
      <c r="Z1587" s="163">
        <v>0</v>
      </c>
      <c r="AA1587" s="40"/>
      <c r="AB1587" s="40"/>
      <c r="AC1587" s="40"/>
      <c r="AD1587" s="40"/>
      <c r="AE1587" s="40"/>
      <c r="AF1587" s="40"/>
      <c r="AG1587" s="40"/>
      <c r="AH1587" s="40"/>
      <c r="AI1587" s="40"/>
      <c r="AJ1587" s="40"/>
      <c r="AK1587" s="40"/>
      <c r="AL1587" s="40"/>
      <c r="AM1587" s="40"/>
      <c r="AN1587" s="40"/>
      <c r="AO1587" s="40"/>
      <c r="AP1587" s="40"/>
      <c r="AQ1587" s="40"/>
      <c r="AR1587" s="40"/>
      <c r="AS1587" s="40"/>
      <c r="AT1587" s="40"/>
      <c r="AU1587" s="40"/>
      <c r="AV1587" s="163">
        <v>0</v>
      </c>
      <c r="AW1587" s="40"/>
      <c r="AX1587" s="40"/>
      <c r="AY1587" s="163">
        <v>0</v>
      </c>
      <c r="AZ1587" s="40"/>
      <c r="BA1587" s="40"/>
      <c r="BB1587" s="40"/>
      <c r="BC1587" s="163">
        <v>0</v>
      </c>
      <c r="BD1587" s="163">
        <v>0</v>
      </c>
      <c r="BE1587" s="163">
        <v>0</v>
      </c>
      <c r="BF1587" s="163">
        <v>0</v>
      </c>
      <c r="BG1587" s="40"/>
      <c r="BH1587" s="40"/>
      <c r="BI1587" s="40"/>
      <c r="BJ1587" s="40"/>
      <c r="BK1587" s="40"/>
      <c r="BL1587" s="62">
        <v>1</v>
      </c>
      <c r="BM1587" s="275">
        <v>3</v>
      </c>
      <c r="BN1587" s="62">
        <v>0.03</v>
      </c>
      <c r="BP1587" s="33" t="s">
        <v>602</v>
      </c>
    </row>
    <row r="1588" spans="1:68">
      <c r="A1588" s="33" t="str">
        <f>Database_Productkaarten[[#This Row],[Product]]&amp;", "&amp;Database_Productkaarten[[#This Row],[Levensfase]]</f>
        <v>Natuursteen (hergebruik), A3</v>
      </c>
      <c r="B1588" t="s">
        <v>662</v>
      </c>
      <c r="C1588" t="s">
        <v>55</v>
      </c>
      <c r="D1588" t="s">
        <v>661</v>
      </c>
      <c r="E1588" s="33" t="s">
        <v>385</v>
      </c>
      <c r="F1588" s="33" t="s">
        <v>76</v>
      </c>
      <c r="G1588" s="33">
        <v>1</v>
      </c>
      <c r="H1588" s="33">
        <v>1</v>
      </c>
      <c r="I1588" s="33">
        <v>0.04</v>
      </c>
      <c r="L1588" s="33">
        <v>2.75</v>
      </c>
      <c r="M1588" s="271">
        <v>0.11</v>
      </c>
      <c r="N1588" s="41">
        <v>0</v>
      </c>
      <c r="O1588" s="33">
        <v>25</v>
      </c>
      <c r="P1588" s="163">
        <v>0</v>
      </c>
      <c r="Q1588" s="163">
        <v>0</v>
      </c>
      <c r="R1588" s="163">
        <v>0</v>
      </c>
      <c r="S1588" s="163">
        <v>0</v>
      </c>
      <c r="T1588" s="163">
        <v>0</v>
      </c>
      <c r="U1588" s="163">
        <v>0</v>
      </c>
      <c r="V1588" s="163">
        <v>0</v>
      </c>
      <c r="W1588" s="163">
        <v>0</v>
      </c>
      <c r="X1588" s="163">
        <v>0</v>
      </c>
      <c r="Y1588" s="163">
        <v>0</v>
      </c>
      <c r="Z1588" s="163">
        <v>0</v>
      </c>
      <c r="AA1588" s="40"/>
      <c r="AB1588" s="40"/>
      <c r="AC1588" s="40"/>
      <c r="AD1588" s="40"/>
      <c r="AE1588" s="40"/>
      <c r="AF1588" s="40"/>
      <c r="AG1588" s="40"/>
      <c r="AH1588" s="40"/>
      <c r="AI1588" s="40"/>
      <c r="AJ1588" s="40"/>
      <c r="AK1588" s="40"/>
      <c r="AL1588" s="40"/>
      <c r="AM1588" s="40"/>
      <c r="AN1588" s="40"/>
      <c r="AO1588" s="40"/>
      <c r="AP1588" s="40"/>
      <c r="AQ1588" s="40"/>
      <c r="AR1588" s="40"/>
      <c r="AS1588" s="40"/>
      <c r="AT1588" s="40"/>
      <c r="AU1588" s="40"/>
      <c r="AV1588" s="163">
        <v>0</v>
      </c>
      <c r="AW1588" s="40"/>
      <c r="AX1588" s="40"/>
      <c r="AY1588" s="163">
        <v>0</v>
      </c>
      <c r="AZ1588" s="40"/>
      <c r="BA1588" s="40"/>
      <c r="BB1588" s="40"/>
      <c r="BC1588" s="163">
        <v>0</v>
      </c>
      <c r="BD1588" s="163">
        <v>0</v>
      </c>
      <c r="BE1588" s="163">
        <v>0</v>
      </c>
      <c r="BF1588" s="163">
        <v>0</v>
      </c>
      <c r="BG1588" s="40"/>
      <c r="BH1588" s="40"/>
      <c r="BI1588" s="40"/>
      <c r="BJ1588" s="40"/>
      <c r="BK1588" s="40"/>
      <c r="BL1588" s="62">
        <v>1</v>
      </c>
      <c r="BM1588" s="275">
        <v>3</v>
      </c>
      <c r="BN1588" s="62">
        <v>0.03</v>
      </c>
      <c r="BP1588" s="33" t="s">
        <v>602</v>
      </c>
    </row>
    <row r="1589" spans="1:68">
      <c r="A1589" s="33" t="str">
        <f>Database_Productkaarten[[#This Row],[Product]]&amp;", "&amp;Database_Productkaarten[[#This Row],[Levensfase]]</f>
        <v>Natuursteen (hergebruik), A1-A3</v>
      </c>
      <c r="B1589" t="s">
        <v>662</v>
      </c>
      <c r="C1589" s="451" t="str">
        <f>C1588</f>
        <v>Elementenverhardingen</v>
      </c>
      <c r="D1589" t="s">
        <v>661</v>
      </c>
      <c r="E1589" s="451" t="str">
        <f>E1588</f>
        <v>m2</v>
      </c>
      <c r="F1589" s="451" t="s">
        <v>77</v>
      </c>
      <c r="G1589" s="33">
        <v>1</v>
      </c>
      <c r="H1589" s="33">
        <v>1</v>
      </c>
      <c r="I1589" s="33">
        <v>0.04</v>
      </c>
      <c r="L1589" s="33">
        <v>2.75</v>
      </c>
      <c r="M1589" s="271">
        <v>0.11</v>
      </c>
      <c r="N1589" s="41">
        <v>0</v>
      </c>
      <c r="O1589" s="33">
        <v>25</v>
      </c>
      <c r="P1589" s="163">
        <v>0</v>
      </c>
      <c r="Q1589" s="163">
        <v>0</v>
      </c>
      <c r="R1589" s="163">
        <v>0</v>
      </c>
      <c r="S1589" s="163">
        <v>0</v>
      </c>
      <c r="T1589" s="163">
        <v>0</v>
      </c>
      <c r="U1589" s="163">
        <v>0</v>
      </c>
      <c r="V1589" s="163">
        <v>0</v>
      </c>
      <c r="W1589" s="163">
        <v>0</v>
      </c>
      <c r="X1589" s="163">
        <v>0</v>
      </c>
      <c r="Y1589" s="163">
        <v>0</v>
      </c>
      <c r="Z1589" s="163">
        <v>0</v>
      </c>
      <c r="AA1589" s="40"/>
      <c r="AB1589" s="40"/>
      <c r="AC1589" s="40"/>
      <c r="AD1589" s="40"/>
      <c r="AE1589" s="40"/>
      <c r="AF1589" s="40"/>
      <c r="AG1589" s="40"/>
      <c r="AH1589" s="40"/>
      <c r="AI1589" s="40"/>
      <c r="AJ1589" s="40"/>
      <c r="AK1589" s="40"/>
      <c r="AL1589" s="40"/>
      <c r="AM1589" s="40"/>
      <c r="AN1589" s="40"/>
      <c r="AO1589" s="40"/>
      <c r="AP1589" s="40"/>
      <c r="AQ1589" s="40"/>
      <c r="AR1589" s="40"/>
      <c r="AS1589" s="40"/>
      <c r="AT1589" s="40"/>
      <c r="AU1589" s="40"/>
      <c r="AV1589" s="163">
        <v>0</v>
      </c>
      <c r="AW1589" s="40"/>
      <c r="AX1589" s="40"/>
      <c r="AY1589" s="163">
        <v>0</v>
      </c>
      <c r="AZ1589" s="40"/>
      <c r="BA1589" s="40"/>
      <c r="BB1589" s="40"/>
      <c r="BC1589" s="163">
        <v>0</v>
      </c>
      <c r="BD1589" s="163">
        <v>0</v>
      </c>
      <c r="BE1589" s="163">
        <v>0</v>
      </c>
      <c r="BF1589" s="163">
        <v>0</v>
      </c>
      <c r="BG1589" s="40"/>
      <c r="BH1589" s="40"/>
      <c r="BI1589" s="40"/>
      <c r="BJ1589" s="40"/>
      <c r="BK1589" s="40"/>
      <c r="BL1589" s="62">
        <v>1</v>
      </c>
      <c r="BM1589" s="275">
        <v>3</v>
      </c>
      <c r="BN1589" s="62">
        <v>0.03</v>
      </c>
      <c r="BP1589" s="33" t="s">
        <v>602</v>
      </c>
    </row>
    <row r="1590" spans="1:68">
      <c r="A1590" s="33" t="str">
        <f>Database_Productkaarten[[#This Row],[Product]]&amp;", "&amp;Database_Productkaarten[[#This Row],[Levensfase]]</f>
        <v>Natuursteen (hergebruik), A4</v>
      </c>
      <c r="B1590" t="s">
        <v>662</v>
      </c>
      <c r="C1590" t="s">
        <v>55</v>
      </c>
      <c r="D1590" t="s">
        <v>661</v>
      </c>
      <c r="E1590" s="33" t="s">
        <v>385</v>
      </c>
      <c r="F1590" s="33" t="s">
        <v>78</v>
      </c>
      <c r="G1590" s="33">
        <v>1</v>
      </c>
      <c r="H1590" s="33">
        <v>1</v>
      </c>
      <c r="I1590" s="33">
        <v>0.04</v>
      </c>
      <c r="L1590" s="33">
        <v>2.75</v>
      </c>
      <c r="M1590" s="271">
        <v>0.11</v>
      </c>
      <c r="N1590" s="41">
        <f>N1575</f>
        <v>0.33018999999999998</v>
      </c>
      <c r="O1590" s="33">
        <v>25</v>
      </c>
      <c r="P1590" s="163">
        <f t="shared" ref="P1590:Z1590" si="758">P1575</f>
        <v>7.23E-7</v>
      </c>
      <c r="Q1590" s="163">
        <f t="shared" si="758"/>
        <v>2.8500000000000001E-3</v>
      </c>
      <c r="R1590" s="163">
        <f t="shared" si="758"/>
        <v>0.377</v>
      </c>
      <c r="S1590" s="163">
        <f t="shared" si="758"/>
        <v>7.4900000000000002E-8</v>
      </c>
      <c r="T1590" s="163">
        <f t="shared" si="758"/>
        <v>2.3800000000000001E-4</v>
      </c>
      <c r="U1590" s="163">
        <f t="shared" si="758"/>
        <v>1.3699999999999999E-3</v>
      </c>
      <c r="V1590" s="163">
        <f t="shared" si="758"/>
        <v>2.7999999999999998E-4</v>
      </c>
      <c r="W1590" s="163">
        <f t="shared" si="758"/>
        <v>0.13300000000000001</v>
      </c>
      <c r="X1590" s="163">
        <f t="shared" si="758"/>
        <v>8.5500000000000003E-3</v>
      </c>
      <c r="Y1590" s="163">
        <f t="shared" si="758"/>
        <v>22.4</v>
      </c>
      <c r="Z1590" s="163">
        <f t="shared" si="758"/>
        <v>7.8600000000000002E-4</v>
      </c>
      <c r="AA1590" s="40"/>
      <c r="AB1590" s="40"/>
      <c r="AC1590" s="40"/>
      <c r="AD1590" s="40"/>
      <c r="AE1590" s="40"/>
      <c r="AF1590" s="40"/>
      <c r="AG1590" s="40"/>
      <c r="AH1590" s="40"/>
      <c r="AI1590" s="40"/>
      <c r="AJ1590" s="40"/>
      <c r="AK1590" s="40"/>
      <c r="AL1590" s="40"/>
      <c r="AM1590" s="40"/>
      <c r="AN1590" s="40"/>
      <c r="AO1590" s="40"/>
      <c r="AP1590" s="40"/>
      <c r="AQ1590" s="40"/>
      <c r="AR1590" s="40"/>
      <c r="AS1590" s="40"/>
      <c r="AT1590" s="40"/>
      <c r="AU1590" s="40"/>
      <c r="AV1590" s="163">
        <f>AV1575</f>
        <v>0.10199999999999999</v>
      </c>
      <c r="AW1590" s="40"/>
      <c r="AX1590" s="40"/>
      <c r="AY1590" s="163">
        <f>AY1575</f>
        <v>6.51</v>
      </c>
      <c r="AZ1590" s="40"/>
      <c r="BA1590" s="40"/>
      <c r="BB1590" s="40"/>
      <c r="BC1590" s="163">
        <f t="shared" ref="BC1590:BF1596" si="759">BC1575</f>
        <v>1.32E-3</v>
      </c>
      <c r="BD1590" s="163">
        <f t="shared" si="759"/>
        <v>4.6100000000000002E-5</v>
      </c>
      <c r="BE1590" s="163">
        <f t="shared" si="759"/>
        <v>0.53800000000000003</v>
      </c>
      <c r="BF1590" s="163">
        <f t="shared" si="759"/>
        <v>0</v>
      </c>
      <c r="BG1590" s="40"/>
      <c r="BH1590" s="40"/>
      <c r="BI1590" s="40"/>
      <c r="BJ1590" s="40"/>
      <c r="BK1590" s="40"/>
      <c r="BL1590" s="62">
        <v>1</v>
      </c>
      <c r="BM1590" s="275">
        <v>3</v>
      </c>
      <c r="BN1590" s="62">
        <v>0.03</v>
      </c>
      <c r="BP1590" s="33" t="s">
        <v>602</v>
      </c>
    </row>
    <row r="1591" spans="1:68">
      <c r="A1591" s="33" t="str">
        <f>Database_Productkaarten[[#This Row],[Product]]&amp;", "&amp;Database_Productkaarten[[#This Row],[Levensfase]]</f>
        <v>Natuursteen (hergebruik), A5</v>
      </c>
      <c r="B1591" t="s">
        <v>662</v>
      </c>
      <c r="C1591" t="s">
        <v>55</v>
      </c>
      <c r="D1591" t="s">
        <v>661</v>
      </c>
      <c r="E1591" s="33" t="s">
        <v>385</v>
      </c>
      <c r="F1591" s="33" t="s">
        <v>79</v>
      </c>
      <c r="G1591" s="33">
        <v>1</v>
      </c>
      <c r="H1591" s="33">
        <v>1</v>
      </c>
      <c r="I1591" s="33">
        <v>0.04</v>
      </c>
      <c r="L1591" s="33">
        <v>2.75</v>
      </c>
      <c r="M1591" s="271">
        <v>0.11</v>
      </c>
      <c r="N1591" s="41">
        <f t="shared" ref="N1591:N1596" si="760">N1576</f>
        <v>1.01932</v>
      </c>
      <c r="O1591" s="33">
        <v>25</v>
      </c>
      <c r="P1591" s="163">
        <f t="shared" ref="P1591:Z1591" si="761">P1576</f>
        <v>2.7700000000000002E-6</v>
      </c>
      <c r="Q1591" s="163">
        <f t="shared" si="761"/>
        <v>3.8699999999999998E-2</v>
      </c>
      <c r="R1591" s="163">
        <f t="shared" si="761"/>
        <v>5.72</v>
      </c>
      <c r="S1591" s="163">
        <f t="shared" si="761"/>
        <v>9.8200000000000008E-7</v>
      </c>
      <c r="T1591" s="163">
        <f t="shared" si="761"/>
        <v>1.8799999999999999E-3</v>
      </c>
      <c r="U1591" s="163">
        <f t="shared" si="761"/>
        <v>1.6799999999999999E-2</v>
      </c>
      <c r="V1591" s="163">
        <f t="shared" si="761"/>
        <v>3.2100000000000002E-3</v>
      </c>
      <c r="W1591" s="163">
        <f t="shared" si="761"/>
        <v>1.4</v>
      </c>
      <c r="X1591" s="163">
        <f t="shared" si="761"/>
        <v>2.8199999999999999E-2</v>
      </c>
      <c r="Y1591" s="163">
        <f t="shared" si="761"/>
        <v>94.5</v>
      </c>
      <c r="Z1591" s="163">
        <f t="shared" si="761"/>
        <v>5.2100000000000002E-3</v>
      </c>
      <c r="AA1591" s="40"/>
      <c r="AB1591" s="40"/>
      <c r="AC1591" s="40"/>
      <c r="AD1591" s="40"/>
      <c r="AE1591" s="40"/>
      <c r="AF1591" s="40"/>
      <c r="AG1591" s="40"/>
      <c r="AH1591" s="40"/>
      <c r="AI1591" s="40"/>
      <c r="AJ1591" s="40"/>
      <c r="AK1591" s="40"/>
      <c r="AL1591" s="40"/>
      <c r="AM1591" s="40"/>
      <c r="AN1591" s="40"/>
      <c r="AO1591" s="40"/>
      <c r="AP1591" s="40"/>
      <c r="AQ1591" s="40"/>
      <c r="AR1591" s="40"/>
      <c r="AS1591" s="40"/>
      <c r="AT1591" s="40"/>
      <c r="AU1591" s="40"/>
      <c r="AV1591" s="163">
        <f t="shared" ref="AV1591:AV1596" si="762">AV1576</f>
        <v>0.71099999999999997</v>
      </c>
      <c r="AW1591" s="40"/>
      <c r="AX1591" s="40"/>
      <c r="AY1591" s="163">
        <f t="shared" ref="AY1591:AY1596" si="763">AY1576</f>
        <v>86.4</v>
      </c>
      <c r="AZ1591" s="40"/>
      <c r="BA1591" s="40"/>
      <c r="BB1591" s="40"/>
      <c r="BC1591" s="163">
        <f t="shared" ref="BC1591:BE1591" si="764">BC1576</f>
        <v>1.83E-2</v>
      </c>
      <c r="BD1591" s="163">
        <f t="shared" si="764"/>
        <v>3.5299999999999998E-2</v>
      </c>
      <c r="BE1591" s="163">
        <f t="shared" si="764"/>
        <v>0.20399999999999999</v>
      </c>
      <c r="BF1591" s="163">
        <f t="shared" si="759"/>
        <v>0</v>
      </c>
      <c r="BG1591" s="40"/>
      <c r="BH1591" s="40"/>
      <c r="BI1591" s="40"/>
      <c r="BJ1591" s="40"/>
      <c r="BK1591" s="40"/>
      <c r="BL1591" s="62">
        <v>1</v>
      </c>
      <c r="BM1591" s="275">
        <v>3</v>
      </c>
      <c r="BN1591" s="62">
        <v>0.03</v>
      </c>
      <c r="BP1591" s="33" t="s">
        <v>602</v>
      </c>
    </row>
    <row r="1592" spans="1:68">
      <c r="A1592" s="33" t="str">
        <f>Database_Productkaarten[[#This Row],[Product]]&amp;", "&amp;Database_Productkaarten[[#This Row],[Levensfase]]</f>
        <v>Natuursteen (hergebruik), B1</v>
      </c>
      <c r="B1592" t="s">
        <v>662</v>
      </c>
      <c r="C1592" t="s">
        <v>55</v>
      </c>
      <c r="D1592" t="s">
        <v>661</v>
      </c>
      <c r="E1592" s="33" t="s">
        <v>385</v>
      </c>
      <c r="F1592" s="33" t="s">
        <v>80</v>
      </c>
      <c r="G1592" s="33">
        <v>1</v>
      </c>
      <c r="H1592" s="33">
        <v>1</v>
      </c>
      <c r="I1592" s="33">
        <v>0.04</v>
      </c>
      <c r="L1592" s="33">
        <v>2.75</v>
      </c>
      <c r="M1592" s="271">
        <v>0.11</v>
      </c>
      <c r="N1592" s="41">
        <f t="shared" si="760"/>
        <v>0</v>
      </c>
      <c r="O1592" s="33">
        <v>25</v>
      </c>
      <c r="P1592" s="163">
        <f t="shared" ref="P1592:Z1592" si="765">P1577</f>
        <v>0</v>
      </c>
      <c r="Q1592" s="163">
        <f t="shared" si="765"/>
        <v>0</v>
      </c>
      <c r="R1592" s="163">
        <f t="shared" si="765"/>
        <v>0</v>
      </c>
      <c r="S1592" s="163">
        <f t="shared" si="765"/>
        <v>0</v>
      </c>
      <c r="T1592" s="163">
        <f t="shared" si="765"/>
        <v>0</v>
      </c>
      <c r="U1592" s="163">
        <f t="shared" si="765"/>
        <v>0</v>
      </c>
      <c r="V1592" s="163">
        <f t="shared" si="765"/>
        <v>0</v>
      </c>
      <c r="W1592" s="163">
        <f t="shared" si="765"/>
        <v>0</v>
      </c>
      <c r="X1592" s="163">
        <f t="shared" si="765"/>
        <v>0</v>
      </c>
      <c r="Y1592" s="163">
        <f t="shared" si="765"/>
        <v>0</v>
      </c>
      <c r="Z1592" s="163">
        <f t="shared" si="765"/>
        <v>0</v>
      </c>
      <c r="AA1592" s="40"/>
      <c r="AB1592" s="40"/>
      <c r="AC1592" s="40"/>
      <c r="AD1592" s="40"/>
      <c r="AE1592" s="40"/>
      <c r="AF1592" s="40"/>
      <c r="AG1592" s="40"/>
      <c r="AH1592" s="40"/>
      <c r="AI1592" s="40"/>
      <c r="AJ1592" s="40"/>
      <c r="AK1592" s="40"/>
      <c r="AL1592" s="40"/>
      <c r="AM1592" s="40"/>
      <c r="AN1592" s="40"/>
      <c r="AO1592" s="40"/>
      <c r="AP1592" s="40"/>
      <c r="AQ1592" s="40"/>
      <c r="AR1592" s="40"/>
      <c r="AS1592" s="40"/>
      <c r="AT1592" s="40"/>
      <c r="AU1592" s="40"/>
      <c r="AV1592" s="163">
        <f t="shared" si="762"/>
        <v>0</v>
      </c>
      <c r="AW1592" s="40"/>
      <c r="AX1592" s="40"/>
      <c r="AY1592" s="163">
        <f t="shared" si="763"/>
        <v>0</v>
      </c>
      <c r="AZ1592" s="40"/>
      <c r="BA1592" s="40"/>
      <c r="BB1592" s="40"/>
      <c r="BC1592" s="163">
        <f t="shared" ref="BC1592:BE1592" si="766">BC1577</f>
        <v>0</v>
      </c>
      <c r="BD1592" s="163">
        <f t="shared" si="766"/>
        <v>0</v>
      </c>
      <c r="BE1592" s="163">
        <f t="shared" si="766"/>
        <v>0</v>
      </c>
      <c r="BF1592" s="163">
        <f t="shared" si="759"/>
        <v>0</v>
      </c>
      <c r="BG1592" s="40"/>
      <c r="BH1592" s="40"/>
      <c r="BI1592" s="40"/>
      <c r="BJ1592" s="40"/>
      <c r="BK1592" s="40"/>
      <c r="BL1592" s="62">
        <v>1</v>
      </c>
      <c r="BM1592" s="275">
        <v>3</v>
      </c>
      <c r="BN1592" s="62">
        <v>0.03</v>
      </c>
      <c r="BP1592" s="33" t="s">
        <v>602</v>
      </c>
    </row>
    <row r="1593" spans="1:68">
      <c r="A1593" s="33" t="str">
        <f>Database_Productkaarten[[#This Row],[Product]]&amp;", "&amp;Database_Productkaarten[[#This Row],[Levensfase]]</f>
        <v>Natuursteen (hergebruik), C1</v>
      </c>
      <c r="B1593" t="s">
        <v>662</v>
      </c>
      <c r="C1593" t="s">
        <v>55</v>
      </c>
      <c r="D1593" t="s">
        <v>661</v>
      </c>
      <c r="E1593" s="33" t="s">
        <v>385</v>
      </c>
      <c r="F1593" s="33" t="s">
        <v>83</v>
      </c>
      <c r="G1593" s="33">
        <v>1</v>
      </c>
      <c r="H1593" s="33">
        <v>1</v>
      </c>
      <c r="I1593" s="33">
        <v>0.04</v>
      </c>
      <c r="L1593" s="33">
        <v>2.75</v>
      </c>
      <c r="M1593" s="271">
        <v>0.11</v>
      </c>
      <c r="N1593" s="41">
        <f t="shared" si="760"/>
        <v>4.9719999999999999E-3</v>
      </c>
      <c r="O1593" s="33">
        <v>25</v>
      </c>
      <c r="P1593" s="163">
        <f t="shared" ref="P1593:Z1593" si="767">P1578</f>
        <v>1.31E-6</v>
      </c>
      <c r="Q1593" s="163">
        <f t="shared" si="767"/>
        <v>1.9099999999999999E-2</v>
      </c>
      <c r="R1593" s="163">
        <f t="shared" si="767"/>
        <v>2.8</v>
      </c>
      <c r="S1593" s="163">
        <f t="shared" si="767"/>
        <v>4.8699999999999995E-7</v>
      </c>
      <c r="T1593" s="163">
        <f t="shared" si="767"/>
        <v>9.2100000000000005E-4</v>
      </c>
      <c r="U1593" s="163">
        <f t="shared" si="767"/>
        <v>8.2000000000000007E-3</v>
      </c>
      <c r="V1593" s="163">
        <f t="shared" si="767"/>
        <v>1.57E-3</v>
      </c>
      <c r="W1593" s="163">
        <f t="shared" si="767"/>
        <v>0.69199999999999995</v>
      </c>
      <c r="X1593" s="163">
        <f t="shared" si="767"/>
        <v>1.37E-2</v>
      </c>
      <c r="Y1593" s="163">
        <f t="shared" si="767"/>
        <v>45.9</v>
      </c>
      <c r="Z1593" s="163">
        <f t="shared" si="767"/>
        <v>2.4599999999999999E-3</v>
      </c>
      <c r="AA1593" s="40"/>
      <c r="AB1593" s="40"/>
      <c r="AC1593" s="40"/>
      <c r="AD1593" s="40"/>
      <c r="AE1593" s="40"/>
      <c r="AF1593" s="40"/>
      <c r="AG1593" s="40"/>
      <c r="AH1593" s="40"/>
      <c r="AI1593" s="40"/>
      <c r="AJ1593" s="40"/>
      <c r="AK1593" s="40"/>
      <c r="AL1593" s="40"/>
      <c r="AM1593" s="40"/>
      <c r="AN1593" s="40"/>
      <c r="AO1593" s="40"/>
      <c r="AP1593" s="40"/>
      <c r="AQ1593" s="40"/>
      <c r="AR1593" s="40"/>
      <c r="AS1593" s="40"/>
      <c r="AT1593" s="40"/>
      <c r="AU1593" s="40"/>
      <c r="AV1593" s="163">
        <f t="shared" si="762"/>
        <v>0.311</v>
      </c>
      <c r="AW1593" s="40"/>
      <c r="AX1593" s="40"/>
      <c r="AY1593" s="163">
        <f t="shared" si="763"/>
        <v>42.7</v>
      </c>
      <c r="AZ1593" s="40"/>
      <c r="BA1593" s="40"/>
      <c r="BB1593" s="40"/>
      <c r="BC1593" s="163">
        <f t="shared" ref="BC1593:BE1593" si="768">BC1578</f>
        <v>4.0299999999999997E-3</v>
      </c>
      <c r="BD1593" s="163">
        <f t="shared" si="768"/>
        <v>2.9399999999999999E-4</v>
      </c>
      <c r="BE1593" s="163">
        <f t="shared" si="768"/>
        <v>7.1599999999999997E-2</v>
      </c>
      <c r="BF1593" s="163">
        <f t="shared" si="759"/>
        <v>0</v>
      </c>
      <c r="BG1593" s="40"/>
      <c r="BH1593" s="40"/>
      <c r="BI1593" s="40"/>
      <c r="BJ1593" s="40"/>
      <c r="BK1593" s="40"/>
      <c r="BL1593" s="62">
        <v>1</v>
      </c>
      <c r="BM1593" s="275">
        <v>3</v>
      </c>
      <c r="BN1593" s="62">
        <v>0.03</v>
      </c>
      <c r="BP1593" s="33" t="s">
        <v>602</v>
      </c>
    </row>
    <row r="1594" spans="1:68">
      <c r="A1594" s="33" t="str">
        <f>Database_Productkaarten[[#This Row],[Product]]&amp;", "&amp;Database_Productkaarten[[#This Row],[Levensfase]]</f>
        <v>Natuursteen (hergebruik), C2</v>
      </c>
      <c r="B1594" t="s">
        <v>662</v>
      </c>
      <c r="C1594" t="s">
        <v>55</v>
      </c>
      <c r="D1594" t="s">
        <v>661</v>
      </c>
      <c r="E1594" s="33" t="s">
        <v>385</v>
      </c>
      <c r="F1594" s="33" t="s">
        <v>84</v>
      </c>
      <c r="G1594" s="33">
        <v>1</v>
      </c>
      <c r="H1594" s="33">
        <v>1</v>
      </c>
      <c r="I1594" s="33">
        <v>0.04</v>
      </c>
      <c r="L1594" s="33">
        <v>2.75</v>
      </c>
      <c r="M1594" s="271">
        <v>0.11</v>
      </c>
      <c r="N1594" s="41">
        <f t="shared" si="760"/>
        <v>8.337E-2</v>
      </c>
      <c r="O1594" s="33">
        <v>25</v>
      </c>
      <c r="P1594" s="163">
        <f t="shared" ref="P1594:Z1594" si="769">P1579</f>
        <v>7.3E-7</v>
      </c>
      <c r="Q1594" s="163">
        <f t="shared" si="769"/>
        <v>2.8800000000000002E-3</v>
      </c>
      <c r="R1594" s="163">
        <f t="shared" si="769"/>
        <v>0.38</v>
      </c>
      <c r="S1594" s="163">
        <f t="shared" si="769"/>
        <v>7.5600000000000002E-8</v>
      </c>
      <c r="T1594" s="163">
        <f t="shared" si="769"/>
        <v>2.4000000000000001E-4</v>
      </c>
      <c r="U1594" s="163">
        <f t="shared" si="769"/>
        <v>1.39E-3</v>
      </c>
      <c r="V1594" s="163">
        <f t="shared" si="769"/>
        <v>2.8299999999999999E-4</v>
      </c>
      <c r="W1594" s="163">
        <f t="shared" si="769"/>
        <v>0.13400000000000001</v>
      </c>
      <c r="X1594" s="163">
        <f t="shared" si="769"/>
        <v>8.6400000000000001E-3</v>
      </c>
      <c r="Y1594" s="163">
        <f t="shared" si="769"/>
        <v>22.6</v>
      </c>
      <c r="Z1594" s="163">
        <f t="shared" si="769"/>
        <v>7.94E-4</v>
      </c>
      <c r="AA1594" s="40"/>
      <c r="AB1594" s="40"/>
      <c r="AC1594" s="40"/>
      <c r="AD1594" s="40"/>
      <c r="AE1594" s="40"/>
      <c r="AF1594" s="40"/>
      <c r="AG1594" s="40"/>
      <c r="AH1594" s="40"/>
      <c r="AI1594" s="40"/>
      <c r="AJ1594" s="40"/>
      <c r="AK1594" s="40"/>
      <c r="AL1594" s="40"/>
      <c r="AM1594" s="40"/>
      <c r="AN1594" s="40"/>
      <c r="AO1594" s="40"/>
      <c r="AP1594" s="40"/>
      <c r="AQ1594" s="40"/>
      <c r="AR1594" s="40"/>
      <c r="AS1594" s="40"/>
      <c r="AT1594" s="40"/>
      <c r="AU1594" s="40"/>
      <c r="AV1594" s="163">
        <f t="shared" si="762"/>
        <v>0.10299999999999999</v>
      </c>
      <c r="AW1594" s="40"/>
      <c r="AX1594" s="40"/>
      <c r="AY1594" s="163">
        <f t="shared" si="763"/>
        <v>6.58</v>
      </c>
      <c r="AZ1594" s="40"/>
      <c r="BA1594" s="40"/>
      <c r="BB1594" s="40"/>
      <c r="BC1594" s="163">
        <f t="shared" ref="BC1594:BE1594" si="770">BC1579</f>
        <v>1.34E-3</v>
      </c>
      <c r="BD1594" s="163">
        <f t="shared" si="770"/>
        <v>4.6600000000000001E-5</v>
      </c>
      <c r="BE1594" s="163">
        <f t="shared" si="770"/>
        <v>0.54300000000000004</v>
      </c>
      <c r="BF1594" s="163">
        <f t="shared" si="759"/>
        <v>0</v>
      </c>
      <c r="BG1594" s="40"/>
      <c r="BH1594" s="40"/>
      <c r="BI1594" s="40"/>
      <c r="BJ1594" s="40"/>
      <c r="BK1594" s="40"/>
      <c r="BL1594" s="62">
        <v>1</v>
      </c>
      <c r="BM1594" s="275">
        <v>3</v>
      </c>
      <c r="BN1594" s="62">
        <v>0.03</v>
      </c>
      <c r="BP1594" s="33" t="s">
        <v>602</v>
      </c>
    </row>
    <row r="1595" spans="1:68">
      <c r="A1595" s="33" t="str">
        <f>Database_Productkaarten[[#This Row],[Product]]&amp;", "&amp;Database_Productkaarten[[#This Row],[Levensfase]]</f>
        <v>Natuursteen (hergebruik), C3</v>
      </c>
      <c r="B1595" t="s">
        <v>662</v>
      </c>
      <c r="C1595" t="s">
        <v>55</v>
      </c>
      <c r="D1595" t="s">
        <v>661</v>
      </c>
      <c r="E1595" s="33" t="s">
        <v>385</v>
      </c>
      <c r="F1595" s="33" t="s">
        <v>85</v>
      </c>
      <c r="G1595" s="33">
        <v>1</v>
      </c>
      <c r="H1595" s="33">
        <v>1</v>
      </c>
      <c r="I1595" s="33">
        <v>0.04</v>
      </c>
      <c r="L1595" s="33">
        <v>2.75</v>
      </c>
      <c r="M1595" s="271">
        <v>0.11</v>
      </c>
      <c r="N1595" s="41">
        <f t="shared" si="760"/>
        <v>2.8920000000000001E-2</v>
      </c>
      <c r="O1595" s="33">
        <v>25</v>
      </c>
      <c r="P1595" s="163">
        <f t="shared" ref="P1595:Z1595" si="771">P1580</f>
        <v>4.5499999999999997E-8</v>
      </c>
      <c r="Q1595" s="163">
        <f t="shared" si="771"/>
        <v>5.1099999999999995E-4</v>
      </c>
      <c r="R1595" s="163">
        <f t="shared" si="771"/>
        <v>7.1300000000000002E-2</v>
      </c>
      <c r="S1595" s="163">
        <f t="shared" si="771"/>
        <v>8.2800000000000004E-9</v>
      </c>
      <c r="T1595" s="163">
        <f t="shared" si="771"/>
        <v>4.0800000000000002E-5</v>
      </c>
      <c r="U1595" s="163">
        <f t="shared" si="771"/>
        <v>3.5500000000000001E-4</v>
      </c>
      <c r="V1595" s="163">
        <f t="shared" si="771"/>
        <v>8.03E-5</v>
      </c>
      <c r="W1595" s="163">
        <f t="shared" si="771"/>
        <v>1.6299999999999999E-2</v>
      </c>
      <c r="X1595" s="163">
        <f t="shared" si="771"/>
        <v>2.7999999999999998E-4</v>
      </c>
      <c r="Y1595" s="163">
        <f t="shared" si="771"/>
        <v>1.03</v>
      </c>
      <c r="Z1595" s="163">
        <f t="shared" si="771"/>
        <v>2.0699999999999999E-4</v>
      </c>
      <c r="AA1595" s="40"/>
      <c r="AB1595" s="40"/>
      <c r="AC1595" s="40"/>
      <c r="AD1595" s="40"/>
      <c r="AE1595" s="40"/>
      <c r="AF1595" s="40"/>
      <c r="AG1595" s="40"/>
      <c r="AH1595" s="40"/>
      <c r="AI1595" s="40"/>
      <c r="AJ1595" s="40"/>
      <c r="AK1595" s="40"/>
      <c r="AL1595" s="40"/>
      <c r="AM1595" s="40"/>
      <c r="AN1595" s="40"/>
      <c r="AO1595" s="40"/>
      <c r="AP1595" s="40"/>
      <c r="AQ1595" s="40"/>
      <c r="AR1595" s="40"/>
      <c r="AS1595" s="40"/>
      <c r="AT1595" s="40"/>
      <c r="AU1595" s="40"/>
      <c r="AV1595" s="163">
        <f t="shared" si="762"/>
        <v>5.74E-2</v>
      </c>
      <c r="AW1595" s="40"/>
      <c r="AX1595" s="40"/>
      <c r="AY1595" s="163">
        <f t="shared" si="763"/>
        <v>1.08</v>
      </c>
      <c r="AZ1595" s="40"/>
      <c r="BA1595" s="40"/>
      <c r="BB1595" s="40"/>
      <c r="BC1595" s="163">
        <f t="shared" ref="BC1595:BE1595" si="772">BC1580</f>
        <v>1.45E-4</v>
      </c>
      <c r="BD1595" s="163">
        <f t="shared" si="772"/>
        <v>6.4699999999999999E-6</v>
      </c>
      <c r="BE1595" s="163">
        <f t="shared" si="772"/>
        <v>0.13400000000000001</v>
      </c>
      <c r="BF1595" s="163">
        <f t="shared" si="759"/>
        <v>0</v>
      </c>
      <c r="BG1595" s="40"/>
      <c r="BH1595" s="40"/>
      <c r="BI1595" s="40"/>
      <c r="BJ1595" s="40"/>
      <c r="BK1595" s="40"/>
      <c r="BL1595" s="62">
        <v>1</v>
      </c>
      <c r="BM1595" s="275">
        <v>3</v>
      </c>
      <c r="BN1595" s="62">
        <v>0.03</v>
      </c>
      <c r="BP1595" s="33" t="s">
        <v>602</v>
      </c>
    </row>
    <row r="1596" spans="1:68">
      <c r="A1596" s="33" t="str">
        <f>Database_Productkaarten[[#This Row],[Product]]&amp;", "&amp;Database_Productkaarten[[#This Row],[Levensfase]]</f>
        <v>Natuursteen (hergebruik), C4</v>
      </c>
      <c r="B1596" t="s">
        <v>662</v>
      </c>
      <c r="C1596" t="s">
        <v>55</v>
      </c>
      <c r="D1596" t="s">
        <v>661</v>
      </c>
      <c r="E1596" s="33" t="s">
        <v>385</v>
      </c>
      <c r="F1596" s="33" t="s">
        <v>86</v>
      </c>
      <c r="G1596" s="33">
        <v>1</v>
      </c>
      <c r="H1596" s="33">
        <v>1</v>
      </c>
      <c r="I1596" s="33">
        <v>0.04</v>
      </c>
      <c r="L1596" s="33">
        <v>2.75</v>
      </c>
      <c r="M1596" s="271">
        <v>0.11</v>
      </c>
      <c r="N1596" s="41">
        <f t="shared" si="760"/>
        <v>1.2800000000000001E-3</v>
      </c>
      <c r="O1596" s="33">
        <v>25</v>
      </c>
      <c r="P1596" s="163">
        <f t="shared" ref="P1596:Z1596" si="773">P1581</f>
        <v>2.6200000000000001E-9</v>
      </c>
      <c r="Q1596" s="163">
        <f t="shared" si="773"/>
        <v>3.4E-5</v>
      </c>
      <c r="R1596" s="163">
        <f t="shared" si="773"/>
        <v>2.33E-3</v>
      </c>
      <c r="S1596" s="163">
        <f t="shared" si="773"/>
        <v>8.3999999999999999E-10</v>
      </c>
      <c r="T1596" s="163">
        <f t="shared" si="773"/>
        <v>2.5399999999999998E-6</v>
      </c>
      <c r="U1596" s="163">
        <f t="shared" si="773"/>
        <v>1.7600000000000001E-5</v>
      </c>
      <c r="V1596" s="163">
        <f t="shared" si="773"/>
        <v>3.32E-6</v>
      </c>
      <c r="W1596" s="163">
        <f t="shared" si="773"/>
        <v>1.01E-3</v>
      </c>
      <c r="X1596" s="163">
        <f t="shared" si="773"/>
        <v>2.4499999999999999E-5</v>
      </c>
      <c r="Y1596" s="163">
        <f t="shared" si="773"/>
        <v>8.5999999999999993E-2</v>
      </c>
      <c r="Z1596" s="163">
        <f t="shared" si="773"/>
        <v>2.5299999999999999E-6</v>
      </c>
      <c r="AA1596" s="40"/>
      <c r="AB1596" s="40"/>
      <c r="AC1596" s="40"/>
      <c r="AD1596" s="40"/>
      <c r="AE1596" s="40"/>
      <c r="AF1596" s="40"/>
      <c r="AG1596" s="40"/>
      <c r="AH1596" s="40"/>
      <c r="AI1596" s="40"/>
      <c r="AJ1596" s="40"/>
      <c r="AK1596" s="40"/>
      <c r="AL1596" s="40"/>
      <c r="AM1596" s="40"/>
      <c r="AN1596" s="40"/>
      <c r="AO1596" s="40"/>
      <c r="AP1596" s="40"/>
      <c r="AQ1596" s="40"/>
      <c r="AR1596" s="40"/>
      <c r="AS1596" s="40"/>
      <c r="AT1596" s="40"/>
      <c r="AU1596" s="40"/>
      <c r="AV1596" s="163">
        <f t="shared" si="762"/>
        <v>5.8100000000000003E-4</v>
      </c>
      <c r="AW1596" s="40"/>
      <c r="AX1596" s="40"/>
      <c r="AY1596" s="163">
        <f t="shared" si="763"/>
        <v>7.6300000000000007E-2</v>
      </c>
      <c r="AZ1596" s="40"/>
      <c r="BA1596" s="40"/>
      <c r="BB1596" s="40"/>
      <c r="BC1596" s="163">
        <f t="shared" ref="BC1596:BE1596" si="774">BC1581</f>
        <v>7.0400000000000004E-5</v>
      </c>
      <c r="BD1596" s="163">
        <f t="shared" si="774"/>
        <v>5.2099999999999997E-7</v>
      </c>
      <c r="BE1596" s="163">
        <f t="shared" si="774"/>
        <v>0.441</v>
      </c>
      <c r="BF1596" s="163">
        <f t="shared" si="759"/>
        <v>0</v>
      </c>
      <c r="BG1596" s="40"/>
      <c r="BH1596" s="40"/>
      <c r="BI1596" s="40"/>
      <c r="BJ1596" s="40"/>
      <c r="BK1596" s="40"/>
      <c r="BL1596" s="62">
        <v>1</v>
      </c>
      <c r="BM1596" s="275">
        <v>3</v>
      </c>
      <c r="BN1596" s="62">
        <v>0.03</v>
      </c>
      <c r="BP1596" s="33" t="s">
        <v>602</v>
      </c>
    </row>
    <row r="1597" spans="1:68">
      <c r="A1597" s="33" t="str">
        <f>Database_Productkaarten[[#This Row],[Product]]&amp;", "&amp;Database_Productkaarten[[#This Row],[Levensfase]]</f>
        <v>Natuursteen (hergebruik), D</v>
      </c>
      <c r="B1597" t="s">
        <v>662</v>
      </c>
      <c r="C1597" s="33" t="str">
        <f>C1598</f>
        <v>Elementenverhardingen</v>
      </c>
      <c r="D1597" t="s">
        <v>661</v>
      </c>
      <c r="E1597" s="33" t="str">
        <f>E1598</f>
        <v>m2</v>
      </c>
      <c r="F1597" s="33" t="s">
        <v>89</v>
      </c>
      <c r="G1597" s="33">
        <v>1</v>
      </c>
      <c r="H1597" s="33">
        <v>1</v>
      </c>
      <c r="I1597" s="33">
        <v>0.04</v>
      </c>
      <c r="L1597" s="33">
        <v>2.75</v>
      </c>
      <c r="M1597" s="271">
        <v>0.11</v>
      </c>
      <c r="N1597" s="41">
        <f>N1574*0.1</f>
        <v>2.0998360000000003</v>
      </c>
      <c r="O1597" s="33">
        <v>25</v>
      </c>
      <c r="P1597" s="163">
        <f t="shared" ref="P1597:Z1597" si="775">P1574*0.1</f>
        <v>1.2200000000000002E-6</v>
      </c>
      <c r="Q1597" s="163">
        <f t="shared" si="775"/>
        <v>3.2099999999999997E-3</v>
      </c>
      <c r="R1597" s="163">
        <f t="shared" si="775"/>
        <v>0.89800000000000013</v>
      </c>
      <c r="S1597" s="163">
        <f t="shared" si="775"/>
        <v>4.2000000000000006E-8</v>
      </c>
      <c r="T1597" s="163">
        <f t="shared" si="775"/>
        <v>2.5799999999999998E-4</v>
      </c>
      <c r="U1597" s="163">
        <f t="shared" si="775"/>
        <v>2.7200000000000002E-3</v>
      </c>
      <c r="V1597" s="163">
        <f t="shared" si="775"/>
        <v>4.7200000000000003E-4</v>
      </c>
      <c r="W1597" s="163">
        <f t="shared" si="775"/>
        <v>0.121</v>
      </c>
      <c r="X1597" s="163">
        <f t="shared" si="775"/>
        <v>3.0300000000000001E-3</v>
      </c>
      <c r="Y1597" s="163">
        <f t="shared" si="775"/>
        <v>13.9</v>
      </c>
      <c r="Z1597" s="163">
        <f t="shared" si="775"/>
        <v>1.9400000000000001E-3</v>
      </c>
      <c r="AA1597" s="40"/>
      <c r="AB1597" s="40"/>
      <c r="AC1597" s="40"/>
      <c r="AD1597" s="40"/>
      <c r="AE1597" s="40"/>
      <c r="AF1597" s="40"/>
      <c r="AG1597" s="40"/>
      <c r="AH1597" s="40"/>
      <c r="AI1597" s="40"/>
      <c r="AJ1597" s="40"/>
      <c r="AK1597" s="40"/>
      <c r="AL1597" s="40"/>
      <c r="AM1597" s="40"/>
      <c r="AN1597" s="40"/>
      <c r="AO1597" s="40"/>
      <c r="AP1597" s="40"/>
      <c r="AQ1597" s="40"/>
      <c r="AR1597" s="40"/>
      <c r="AS1597" s="40"/>
      <c r="AT1597" s="40"/>
      <c r="AU1597" s="40"/>
      <c r="AV1597" s="163">
        <f>AV1574*0.1</f>
        <v>0.65900000000000003</v>
      </c>
      <c r="AW1597" s="40"/>
      <c r="AX1597" s="40"/>
      <c r="AY1597" s="163">
        <f>AY1574*0.1</f>
        <v>7.01</v>
      </c>
      <c r="AZ1597" s="40"/>
      <c r="BA1597" s="40"/>
      <c r="BB1597" s="40"/>
      <c r="BC1597" s="163">
        <f t="shared" ref="BC1597:BF1597" si="776">BC1574*0.1</f>
        <v>8.72E-2</v>
      </c>
      <c r="BD1597" s="163">
        <f t="shared" si="776"/>
        <v>0.26500000000000001</v>
      </c>
      <c r="BE1597" s="163">
        <f t="shared" si="776"/>
        <v>0.123</v>
      </c>
      <c r="BF1597" s="163">
        <f t="shared" si="776"/>
        <v>0</v>
      </c>
      <c r="BG1597" s="40"/>
      <c r="BH1597" s="40"/>
      <c r="BI1597" s="40"/>
      <c r="BJ1597" s="40"/>
      <c r="BK1597" s="40"/>
      <c r="BL1597" s="62">
        <v>1</v>
      </c>
      <c r="BM1597" s="275">
        <v>3</v>
      </c>
      <c r="BN1597" s="62">
        <v>0.03</v>
      </c>
      <c r="BP1597" s="33" t="s">
        <v>602</v>
      </c>
    </row>
    <row r="1598" spans="1:68">
      <c r="A1598" s="33" t="str">
        <f>Database_Productkaarten[[#This Row],[Product]]&amp;", "&amp;Database_Productkaarten[[#This Row],[Levensfase]]</f>
        <v>Natuursteen (hergebruik), D1</v>
      </c>
      <c r="B1598" t="s">
        <v>662</v>
      </c>
      <c r="C1598" t="s">
        <v>55</v>
      </c>
      <c r="D1598" t="s">
        <v>661</v>
      </c>
      <c r="E1598" s="33" t="s">
        <v>385</v>
      </c>
      <c r="F1598" s="33" t="s">
        <v>87</v>
      </c>
      <c r="G1598" s="33">
        <v>1</v>
      </c>
      <c r="H1598" s="33">
        <v>1</v>
      </c>
      <c r="I1598" s="33">
        <v>0.04</v>
      </c>
      <c r="L1598" s="33">
        <v>2.75</v>
      </c>
      <c r="M1598" s="271">
        <v>0.11</v>
      </c>
      <c r="N1598" s="41"/>
      <c r="O1598" s="33">
        <v>25</v>
      </c>
      <c r="P1598" s="40"/>
      <c r="Q1598" s="40"/>
      <c r="R1598" s="40"/>
      <c r="S1598" s="40"/>
      <c r="T1598" s="40"/>
      <c r="U1598" s="40"/>
      <c r="V1598" s="40"/>
      <c r="W1598" s="40"/>
      <c r="X1598" s="40"/>
      <c r="Y1598" s="40"/>
      <c r="Z1598" s="40"/>
      <c r="AA1598" s="40"/>
      <c r="AB1598" s="40"/>
      <c r="AC1598" s="40"/>
      <c r="AD1598" s="40"/>
      <c r="AE1598" s="40"/>
      <c r="AF1598" s="40"/>
      <c r="AG1598" s="40"/>
      <c r="AH1598" s="40"/>
      <c r="AI1598" s="40"/>
      <c r="AJ1598" s="40"/>
      <c r="AK1598" s="40"/>
      <c r="AL1598" s="40"/>
      <c r="AM1598" s="40"/>
      <c r="AN1598" s="40"/>
      <c r="AO1598" s="40"/>
      <c r="AP1598" s="40"/>
      <c r="AQ1598" s="40"/>
      <c r="AR1598" s="40"/>
      <c r="AS1598" s="40"/>
      <c r="AT1598" s="40"/>
      <c r="AU1598" s="40"/>
      <c r="AV1598" s="281"/>
      <c r="AW1598" s="40"/>
      <c r="AX1598" s="40"/>
      <c r="AY1598" s="281"/>
      <c r="AZ1598" s="40"/>
      <c r="BA1598" s="40"/>
      <c r="BB1598" s="40"/>
      <c r="BC1598" s="40"/>
      <c r="BD1598" s="40"/>
      <c r="BE1598" s="40"/>
      <c r="BF1598" s="40"/>
      <c r="BG1598" s="40"/>
      <c r="BH1598" s="40"/>
      <c r="BI1598" s="40"/>
      <c r="BJ1598" s="40"/>
      <c r="BK1598" s="40"/>
      <c r="BL1598" s="62">
        <v>1</v>
      </c>
      <c r="BM1598" s="275">
        <v>3</v>
      </c>
      <c r="BN1598" s="62">
        <v>0.03</v>
      </c>
      <c r="BP1598" s="33" t="s">
        <v>602</v>
      </c>
    </row>
    <row r="1599" spans="1:68">
      <c r="A1599" s="33" t="str">
        <f>Database_Productkaarten[[#This Row],[Product]]&amp;", "&amp;Database_Productkaarten[[#This Row],[Levensfase]]</f>
        <v>Natuursteen (hergebruik), D2</v>
      </c>
      <c r="B1599" t="s">
        <v>662</v>
      </c>
      <c r="C1599" t="s">
        <v>55</v>
      </c>
      <c r="D1599" t="s">
        <v>661</v>
      </c>
      <c r="E1599" s="33" t="s">
        <v>385</v>
      </c>
      <c r="F1599" s="33" t="s">
        <v>88</v>
      </c>
      <c r="G1599" s="33">
        <v>1</v>
      </c>
      <c r="H1599" s="33">
        <v>1</v>
      </c>
      <c r="I1599" s="33">
        <v>0.04</v>
      </c>
      <c r="L1599" s="33">
        <v>2.75</v>
      </c>
      <c r="M1599" s="271">
        <v>0.11</v>
      </c>
      <c r="N1599" s="41"/>
      <c r="O1599" s="33">
        <v>25</v>
      </c>
      <c r="P1599" s="40"/>
      <c r="Q1599" s="40"/>
      <c r="R1599" s="40"/>
      <c r="S1599" s="40"/>
      <c r="T1599" s="40"/>
      <c r="U1599" s="40"/>
      <c r="V1599" s="40"/>
      <c r="W1599" s="40"/>
      <c r="X1599" s="40"/>
      <c r="Y1599" s="40"/>
      <c r="Z1599" s="40"/>
      <c r="AA1599" s="40"/>
      <c r="AB1599" s="40"/>
      <c r="AC1599" s="40"/>
      <c r="AD1599" s="40"/>
      <c r="AE1599" s="40"/>
      <c r="AF1599" s="40"/>
      <c r="AG1599" s="40"/>
      <c r="AH1599" s="40"/>
      <c r="AI1599" s="40"/>
      <c r="AJ1599" s="40"/>
      <c r="AK1599" s="40"/>
      <c r="AL1599" s="40"/>
      <c r="AM1599" s="40"/>
      <c r="AN1599" s="40"/>
      <c r="AO1599" s="40"/>
      <c r="AP1599" s="40"/>
      <c r="AQ1599" s="40"/>
      <c r="AR1599" s="40"/>
      <c r="AS1599" s="40"/>
      <c r="AT1599" s="40"/>
      <c r="AU1599" s="40"/>
      <c r="AV1599" s="281"/>
      <c r="AW1599" s="40"/>
      <c r="AX1599" s="40"/>
      <c r="AY1599" s="281"/>
      <c r="AZ1599" s="40"/>
      <c r="BA1599" s="40"/>
      <c r="BB1599" s="40"/>
      <c r="BC1599" s="40"/>
      <c r="BD1599" s="40"/>
      <c r="BE1599" s="40"/>
      <c r="BF1599" s="40"/>
      <c r="BG1599" s="40"/>
      <c r="BH1599" s="40"/>
      <c r="BI1599" s="40"/>
      <c r="BJ1599" s="40"/>
      <c r="BK1599" s="40"/>
      <c r="BL1599" s="62">
        <v>1</v>
      </c>
      <c r="BM1599" s="275">
        <v>3</v>
      </c>
      <c r="BN1599" s="62">
        <v>0.03</v>
      </c>
      <c r="BP1599" s="33" t="s">
        <v>602</v>
      </c>
    </row>
    <row r="1600" spans="1:68">
      <c r="A1600" s="33" t="str">
        <f>Database_Productkaarten[[#This Row],[Product]]&amp;", "&amp;Database_Productkaarten[[#This Row],[Levensfase]]</f>
        <v>Rood gestort beton, A1</v>
      </c>
      <c r="B1600" t="s">
        <v>663</v>
      </c>
      <c r="C1600" t="s">
        <v>664</v>
      </c>
      <c r="D1600" s="33" t="s">
        <v>665</v>
      </c>
      <c r="E1600" s="33" t="s">
        <v>666</v>
      </c>
      <c r="F1600" s="33" t="s">
        <v>74</v>
      </c>
      <c r="G1600" s="33">
        <v>1</v>
      </c>
      <c r="H1600" s="33">
        <v>1</v>
      </c>
      <c r="I1600" s="33">
        <v>1</v>
      </c>
      <c r="L1600" s="33">
        <v>2.375</v>
      </c>
      <c r="M1600" s="33">
        <v>2.375</v>
      </c>
      <c r="N1600" s="41">
        <v>13.66054746</v>
      </c>
      <c r="O1600" s="33">
        <v>100</v>
      </c>
      <c r="P1600" s="40">
        <v>4.5802784999999998E-4</v>
      </c>
      <c r="Q1600" s="40">
        <v>0.38058240300000001</v>
      </c>
      <c r="R1600" s="40">
        <v>155.96245260000001</v>
      </c>
      <c r="S1600" s="40">
        <v>6.15502869E-6</v>
      </c>
      <c r="T1600" s="40">
        <v>5.3585606589999994E-2</v>
      </c>
      <c r="U1600" s="40">
        <v>0.63729317399999996</v>
      </c>
      <c r="V1600" s="40">
        <v>9.3597502200000002E-2</v>
      </c>
      <c r="W1600" s="40">
        <v>22.559297909999998</v>
      </c>
      <c r="X1600" s="40">
        <v>0.44189323000000003</v>
      </c>
      <c r="Y1600" s="40">
        <v>2638.02981</v>
      </c>
      <c r="Z1600" s="40">
        <v>0.24955847679999998</v>
      </c>
      <c r="AA1600" s="40"/>
      <c r="AB1600" s="40"/>
      <c r="AC1600" s="40"/>
      <c r="AD1600" s="40"/>
      <c r="AE1600" s="40"/>
      <c r="AF1600" s="40"/>
      <c r="AG1600" s="40"/>
      <c r="AH1600" s="40"/>
      <c r="AI1600" s="40"/>
      <c r="AJ1600" s="40"/>
      <c r="AK1600" s="40"/>
      <c r="AL1600" s="40"/>
      <c r="AM1600" s="40"/>
      <c r="AN1600" s="40"/>
      <c r="AO1600" s="40"/>
      <c r="AP1600" s="40"/>
      <c r="AQ1600" s="40"/>
      <c r="AR1600" s="40"/>
      <c r="AS1600" s="40"/>
      <c r="AT1600" s="40"/>
      <c r="AU1600" s="40"/>
      <c r="AV1600" s="313">
        <v>109.6313493</v>
      </c>
      <c r="AW1600" s="317"/>
      <c r="AX1600" s="317"/>
      <c r="AY1600" s="313">
        <v>1522.7511079999999</v>
      </c>
      <c r="AZ1600" s="40"/>
      <c r="BA1600" s="40"/>
      <c r="BB1600" s="40"/>
      <c r="BC1600" s="40">
        <v>22.542461144000001</v>
      </c>
      <c r="BD1600" s="40">
        <v>20.100047210347</v>
      </c>
      <c r="BE1600" s="40">
        <v>11.071486259999999</v>
      </c>
      <c r="BF1600" s="40">
        <v>6.1909697999999996E-5</v>
      </c>
      <c r="BG1600" s="40"/>
      <c r="BH1600" s="40"/>
      <c r="BI1600" s="40"/>
      <c r="BJ1600" s="40"/>
      <c r="BK1600" s="40"/>
      <c r="BL1600" s="62">
        <v>0.24210000000000001</v>
      </c>
      <c r="BM1600" s="275">
        <v>3</v>
      </c>
      <c r="BN1600" s="62">
        <v>0.05</v>
      </c>
      <c r="BO1600" s="164" t="s">
        <v>667</v>
      </c>
      <c r="BP1600" s="33" t="s">
        <v>668</v>
      </c>
    </row>
    <row r="1601" spans="1:68">
      <c r="A1601" s="33" t="str">
        <f>Database_Productkaarten[[#This Row],[Product]]&amp;", "&amp;Database_Productkaarten[[#This Row],[Levensfase]]</f>
        <v>Rood gestort beton, A2</v>
      </c>
      <c r="B1601" t="s">
        <v>663</v>
      </c>
      <c r="C1601" t="s">
        <v>664</v>
      </c>
      <c r="D1601" s="33" t="s">
        <v>665</v>
      </c>
      <c r="E1601" s="33" t="s">
        <v>666</v>
      </c>
      <c r="F1601" s="33" t="s">
        <v>75</v>
      </c>
      <c r="G1601" s="33">
        <v>1</v>
      </c>
      <c r="H1601" s="33">
        <v>1</v>
      </c>
      <c r="I1601" s="33">
        <v>1</v>
      </c>
      <c r="L1601" s="33">
        <v>2.375</v>
      </c>
      <c r="M1601" s="33">
        <v>2.375</v>
      </c>
      <c r="N1601" s="41"/>
      <c r="P1601" s="40"/>
      <c r="Q1601" s="40"/>
      <c r="R1601" s="40"/>
      <c r="S1601" s="40"/>
      <c r="T1601" s="40"/>
      <c r="U1601" s="40"/>
      <c r="V1601" s="40"/>
      <c r="W1601" s="40"/>
      <c r="X1601" s="40"/>
      <c r="Y1601" s="40"/>
      <c r="Z1601" s="40"/>
      <c r="AA1601" s="40"/>
      <c r="AB1601" s="40"/>
      <c r="AC1601" s="40"/>
      <c r="AD1601" s="40"/>
      <c r="AE1601" s="40"/>
      <c r="AF1601" s="40"/>
      <c r="AG1601" s="40"/>
      <c r="AH1601" s="40"/>
      <c r="AI1601" s="40"/>
      <c r="AJ1601" s="40"/>
      <c r="AK1601" s="40"/>
      <c r="AL1601" s="40"/>
      <c r="AM1601" s="40"/>
      <c r="AN1601" s="40"/>
      <c r="AO1601" s="40"/>
      <c r="AP1601" s="40"/>
      <c r="AQ1601" s="40"/>
      <c r="AR1601" s="40"/>
      <c r="AS1601" s="40"/>
      <c r="AT1601" s="40"/>
      <c r="AU1601" s="40"/>
      <c r="AV1601" s="313"/>
      <c r="AW1601" s="317"/>
      <c r="AX1601" s="317"/>
      <c r="AY1601" s="313"/>
      <c r="AZ1601" s="40"/>
      <c r="BA1601" s="40"/>
      <c r="BB1601" s="40"/>
      <c r="BC1601" s="40"/>
      <c r="BD1601" s="40"/>
      <c r="BE1601" s="40"/>
      <c r="BF1601" s="40"/>
      <c r="BG1601" s="40"/>
      <c r="BH1601" s="40"/>
      <c r="BI1601" s="40"/>
      <c r="BJ1601" s="40"/>
      <c r="BK1601" s="40"/>
      <c r="BL1601" s="62">
        <v>0.24210000000000001</v>
      </c>
      <c r="BM1601" s="275">
        <v>3</v>
      </c>
      <c r="BN1601" s="62">
        <v>0.05</v>
      </c>
      <c r="BO1601" s="164"/>
    </row>
    <row r="1602" spans="1:68">
      <c r="A1602" s="33" t="str">
        <f>Database_Productkaarten[[#This Row],[Product]]&amp;", "&amp;Database_Productkaarten[[#This Row],[Levensfase]]</f>
        <v>Rood gestort beton, A3</v>
      </c>
      <c r="B1602" t="s">
        <v>663</v>
      </c>
      <c r="C1602" t="s">
        <v>664</v>
      </c>
      <c r="D1602" s="33" t="s">
        <v>665</v>
      </c>
      <c r="E1602" s="33" t="s">
        <v>666</v>
      </c>
      <c r="F1602" s="33" t="s">
        <v>76</v>
      </c>
      <c r="G1602" s="33">
        <v>1</v>
      </c>
      <c r="H1602" s="33">
        <v>1</v>
      </c>
      <c r="I1602" s="33">
        <v>1</v>
      </c>
      <c r="L1602" s="33">
        <v>2.375</v>
      </c>
      <c r="M1602" s="33">
        <v>2.375</v>
      </c>
      <c r="N1602" s="41"/>
      <c r="P1602" s="40"/>
      <c r="Q1602" s="40"/>
      <c r="R1602" s="40"/>
      <c r="S1602" s="40"/>
      <c r="T1602" s="40"/>
      <c r="U1602" s="40"/>
      <c r="V1602" s="40"/>
      <c r="W1602" s="40"/>
      <c r="X1602" s="40"/>
      <c r="Y1602" s="40"/>
      <c r="Z1602" s="40"/>
      <c r="AA1602" s="40"/>
      <c r="AB1602" s="40"/>
      <c r="AC1602" s="40"/>
      <c r="AD1602" s="40"/>
      <c r="AE1602" s="40"/>
      <c r="AF1602" s="40"/>
      <c r="AG1602" s="40"/>
      <c r="AH1602" s="40"/>
      <c r="AI1602" s="40"/>
      <c r="AJ1602" s="40"/>
      <c r="AK1602" s="40"/>
      <c r="AL1602" s="40"/>
      <c r="AM1602" s="40"/>
      <c r="AN1602" s="40"/>
      <c r="AO1602" s="40"/>
      <c r="AP1602" s="40"/>
      <c r="AQ1602" s="40"/>
      <c r="AR1602" s="40"/>
      <c r="AS1602" s="40"/>
      <c r="AT1602" s="40"/>
      <c r="AU1602" s="40"/>
      <c r="AV1602" s="313"/>
      <c r="AW1602" s="317"/>
      <c r="AX1602" s="317"/>
      <c r="AY1602" s="313"/>
      <c r="AZ1602" s="40"/>
      <c r="BA1602" s="40"/>
      <c r="BB1602" s="40"/>
      <c r="BC1602" s="40"/>
      <c r="BD1602" s="40"/>
      <c r="BE1602" s="40"/>
      <c r="BF1602" s="40"/>
      <c r="BG1602" s="40"/>
      <c r="BH1602" s="40"/>
      <c r="BI1602" s="40"/>
      <c r="BJ1602" s="40"/>
      <c r="BK1602" s="40"/>
      <c r="BL1602" s="62">
        <v>0.24210000000000001</v>
      </c>
      <c r="BM1602" s="275">
        <v>3</v>
      </c>
      <c r="BN1602" s="62">
        <v>0.05</v>
      </c>
      <c r="BO1602" s="164"/>
    </row>
    <row r="1603" spans="1:68">
      <c r="A1603" s="451" t="str">
        <f>Database_Productkaarten[[#This Row],[Product]]&amp;", "&amp;Database_Productkaarten[[#This Row],[Levensfase]]</f>
        <v>Rood gestort beton, A1-A3</v>
      </c>
      <c r="B1603" s="451" t="str">
        <f>B1602</f>
        <v>Rood gestort beton</v>
      </c>
      <c r="C1603" s="451" t="str">
        <f>C1602</f>
        <v>Betonverhardingen</v>
      </c>
      <c r="D1603" s="451" t="str">
        <f>D1602</f>
        <v>Gestort beton</v>
      </c>
      <c r="E1603" s="451" t="str">
        <f>E1602</f>
        <v>m3</v>
      </c>
      <c r="F1603" s="451" t="s">
        <v>77</v>
      </c>
      <c r="G1603" s="451">
        <f t="shared" ref="G1603:M1603" si="777">G1602</f>
        <v>1</v>
      </c>
      <c r="H1603" s="451">
        <f t="shared" si="777"/>
        <v>1</v>
      </c>
      <c r="I1603" s="451">
        <f t="shared" si="777"/>
        <v>1</v>
      </c>
      <c r="J1603" s="451"/>
      <c r="K1603" s="451"/>
      <c r="L1603" s="451">
        <f t="shared" si="777"/>
        <v>2.375</v>
      </c>
      <c r="M1603" s="454">
        <f t="shared" si="777"/>
        <v>2.375</v>
      </c>
      <c r="N1603" s="452">
        <f>SUM(N1600:N1602)</f>
        <v>13.66054746</v>
      </c>
      <c r="O1603" s="451">
        <f>O1602</f>
        <v>0</v>
      </c>
      <c r="P1603" s="453">
        <f t="shared" ref="P1603:BK1603" si="778">SUM(P1600:P1602)</f>
        <v>4.5802784999999998E-4</v>
      </c>
      <c r="Q1603" s="453">
        <f t="shared" si="778"/>
        <v>0.38058240300000001</v>
      </c>
      <c r="R1603" s="453">
        <f t="shared" si="778"/>
        <v>155.96245260000001</v>
      </c>
      <c r="S1603" s="453">
        <f t="shared" si="778"/>
        <v>6.15502869E-6</v>
      </c>
      <c r="T1603" s="453">
        <f t="shared" si="778"/>
        <v>5.3585606589999994E-2</v>
      </c>
      <c r="U1603" s="453">
        <f t="shared" si="778"/>
        <v>0.63729317399999996</v>
      </c>
      <c r="V1603" s="453">
        <f t="shared" si="778"/>
        <v>9.3597502200000002E-2</v>
      </c>
      <c r="W1603" s="453">
        <f t="shared" si="778"/>
        <v>22.559297909999998</v>
      </c>
      <c r="X1603" s="453">
        <f t="shared" si="778"/>
        <v>0.44189323000000003</v>
      </c>
      <c r="Y1603" s="453">
        <f t="shared" si="778"/>
        <v>2638.02981</v>
      </c>
      <c r="Z1603" s="453">
        <f t="shared" si="778"/>
        <v>0.24955847679999998</v>
      </c>
      <c r="AA1603" s="453">
        <f t="shared" si="778"/>
        <v>0</v>
      </c>
      <c r="AB1603" s="453">
        <f t="shared" si="778"/>
        <v>0</v>
      </c>
      <c r="AC1603" s="453">
        <f t="shared" si="778"/>
        <v>0</v>
      </c>
      <c r="AD1603" s="453">
        <f t="shared" si="778"/>
        <v>0</v>
      </c>
      <c r="AE1603" s="453">
        <f t="shared" si="778"/>
        <v>0</v>
      </c>
      <c r="AF1603" s="453">
        <f t="shared" si="778"/>
        <v>0</v>
      </c>
      <c r="AG1603" s="453">
        <f t="shared" si="778"/>
        <v>0</v>
      </c>
      <c r="AH1603" s="453">
        <f t="shared" si="778"/>
        <v>0</v>
      </c>
      <c r="AI1603" s="453">
        <f t="shared" si="778"/>
        <v>0</v>
      </c>
      <c r="AJ1603" s="453">
        <f t="shared" si="778"/>
        <v>0</v>
      </c>
      <c r="AK1603" s="453">
        <f t="shared" si="778"/>
        <v>0</v>
      </c>
      <c r="AL1603" s="453">
        <f t="shared" si="778"/>
        <v>0</v>
      </c>
      <c r="AM1603" s="453">
        <f t="shared" si="778"/>
        <v>0</v>
      </c>
      <c r="AN1603" s="453">
        <f t="shared" si="778"/>
        <v>0</v>
      </c>
      <c r="AO1603" s="453">
        <f t="shared" si="778"/>
        <v>0</v>
      </c>
      <c r="AP1603" s="453">
        <f t="shared" si="778"/>
        <v>0</v>
      </c>
      <c r="AQ1603" s="453">
        <f t="shared" si="778"/>
        <v>0</v>
      </c>
      <c r="AR1603" s="453">
        <f t="shared" si="778"/>
        <v>0</v>
      </c>
      <c r="AS1603" s="453">
        <f t="shared" si="778"/>
        <v>0</v>
      </c>
      <c r="AT1603" s="453">
        <f t="shared" si="778"/>
        <v>0</v>
      </c>
      <c r="AU1603" s="453">
        <f t="shared" si="778"/>
        <v>0</v>
      </c>
      <c r="AV1603" s="317">
        <f t="shared" si="778"/>
        <v>109.6313493</v>
      </c>
      <c r="AW1603" s="317">
        <f t="shared" si="778"/>
        <v>0</v>
      </c>
      <c r="AX1603" s="317">
        <f t="shared" si="778"/>
        <v>0</v>
      </c>
      <c r="AY1603" s="317">
        <f t="shared" si="778"/>
        <v>1522.7511079999999</v>
      </c>
      <c r="AZ1603" s="453">
        <f t="shared" si="778"/>
        <v>0</v>
      </c>
      <c r="BA1603" s="453">
        <f t="shared" si="778"/>
        <v>0</v>
      </c>
      <c r="BB1603" s="453">
        <f t="shared" si="778"/>
        <v>0</v>
      </c>
      <c r="BC1603" s="453">
        <f t="shared" si="778"/>
        <v>22.542461144000001</v>
      </c>
      <c r="BD1603" s="453">
        <f t="shared" si="778"/>
        <v>20.100047210347</v>
      </c>
      <c r="BE1603" s="453">
        <f t="shared" si="778"/>
        <v>11.071486259999999</v>
      </c>
      <c r="BF1603" s="453">
        <f t="shared" si="778"/>
        <v>6.1909697999999996E-5</v>
      </c>
      <c r="BG1603" s="453">
        <f t="shared" si="778"/>
        <v>0</v>
      </c>
      <c r="BH1603" s="453">
        <f t="shared" si="778"/>
        <v>0</v>
      </c>
      <c r="BI1603" s="453">
        <f t="shared" si="778"/>
        <v>0</v>
      </c>
      <c r="BJ1603" s="453">
        <f t="shared" si="778"/>
        <v>0</v>
      </c>
      <c r="BK1603" s="453">
        <f t="shared" si="778"/>
        <v>0</v>
      </c>
      <c r="BL1603" s="62">
        <f>BL1602</f>
        <v>0.24210000000000001</v>
      </c>
      <c r="BM1603" s="275">
        <f>BM1602</f>
        <v>3</v>
      </c>
      <c r="BN1603" s="62">
        <v>0.05</v>
      </c>
      <c r="BO1603" s="451">
        <f>BO1602</f>
        <v>0</v>
      </c>
      <c r="BP1603" s="451"/>
    </row>
    <row r="1604" spans="1:68">
      <c r="A1604" s="33" t="str">
        <f>Database_Productkaarten[[#This Row],[Product]]&amp;", "&amp;Database_Productkaarten[[#This Row],[Levensfase]]</f>
        <v>Rood gestort beton, A4</v>
      </c>
      <c r="B1604" t="s">
        <v>663</v>
      </c>
      <c r="C1604" t="s">
        <v>664</v>
      </c>
      <c r="D1604" s="33" t="s">
        <v>665</v>
      </c>
      <c r="E1604" s="33" t="s">
        <v>666</v>
      </c>
      <c r="F1604" s="33" t="s">
        <v>78</v>
      </c>
      <c r="G1604" s="33">
        <v>1</v>
      </c>
      <c r="H1604" s="33">
        <v>1</v>
      </c>
      <c r="I1604" s="33">
        <v>1</v>
      </c>
      <c r="L1604" s="33">
        <v>2.375</v>
      </c>
      <c r="M1604" s="33">
        <v>2.375</v>
      </c>
      <c r="N1604" s="298">
        <f>(G2552*50)*Database_Productkaarten[[#This Row],[Soortelijk Gewicht '[ton / m3']]]</f>
        <v>1.021070414375</v>
      </c>
      <c r="O1604" s="33">
        <v>100</v>
      </c>
      <c r="P1604" s="299">
        <f>(J2552*50)*Database_Productkaarten[[#This Row],[Soortelijk Gewicht '[ton / m3']]]</f>
        <v>1.8293566937500002E-4</v>
      </c>
      <c r="Q1604" s="40">
        <f>(K2552*50)*Database_Productkaarten[[#This Row],[Soortelijk Gewicht '[ton / m3']]]</f>
        <v>7.9262409249999999E-2</v>
      </c>
      <c r="R1604" s="40">
        <f>(L2552*50)*Database_Productkaarten[[#This Row],[Soortelijk Gewicht '[ton / m3']]]</f>
        <v>10.647687399999999</v>
      </c>
      <c r="S1604" s="40">
        <f>(M2552*50)*Database_Productkaarten[[#This Row],[Soortelijk Gewicht '[ton / m3']]]</f>
        <v>2.0171442625000001E-6</v>
      </c>
      <c r="T1604" s="40">
        <f>(N2552*50)*Database_Productkaarten[[#This Row],[Soortelijk Gewicht '[ton / m3']]]</f>
        <v>6.6545348250000008E-3</v>
      </c>
      <c r="U1604" s="40">
        <f>(O2552*50)*Database_Productkaarten[[#This Row],[Soortelijk Gewicht '[ton / m3']]]</f>
        <v>3.9328958562500002E-2</v>
      </c>
      <c r="V1604" s="40">
        <f>(P2552*50)*Database_Productkaarten[[#This Row],[Soortelijk Gewicht '[ton / m3']]]</f>
        <v>7.6251753562500005E-3</v>
      </c>
      <c r="W1604" s="40">
        <f>(Q2552*50)*Database_Productkaarten[[#This Row],[Soortelijk Gewicht '[ton / m3']]]</f>
        <v>2.3001884500000003</v>
      </c>
      <c r="X1604" s="40">
        <f>(R2552*50)*Database_Productkaarten[[#This Row],[Soortelijk Gewicht '[ton / m3']]]</f>
        <v>9.6715808062500006E-2</v>
      </c>
      <c r="Y1604" s="40">
        <f>(S2552*50)*Database_Productkaarten[[#This Row],[Soortelijk Gewicht '[ton / m3']]]</f>
        <v>259.68767750000001</v>
      </c>
      <c r="Z1604" s="40">
        <f>(T2552*50)*Database_Productkaarten[[#This Row],[Soortelijk Gewicht '[ton / m3']]]</f>
        <v>1.29264125E-2</v>
      </c>
      <c r="AA1604" s="40"/>
      <c r="AB1604" s="40"/>
      <c r="AC1604" s="40"/>
      <c r="AD1604" s="40"/>
      <c r="AE1604" s="40"/>
      <c r="AF1604" s="40"/>
      <c r="AG1604" s="40"/>
      <c r="AH1604" s="40"/>
      <c r="AI1604" s="40"/>
      <c r="AJ1604" s="40"/>
      <c r="AK1604" s="40"/>
      <c r="AL1604" s="40"/>
      <c r="AM1604" s="40"/>
      <c r="AN1604" s="40"/>
      <c r="AO1604" s="40"/>
      <c r="AP1604" s="40"/>
      <c r="AQ1604" s="40"/>
      <c r="AR1604" s="40"/>
      <c r="AS1604" s="40"/>
      <c r="AT1604" s="40"/>
      <c r="AU1604" s="40"/>
      <c r="AV1604" s="313">
        <f>(AP2552*50)*Database_Productkaarten[[#This Row],[Soortelijk Gewicht '[ton / m3']]]</f>
        <v>1.6892017687500001</v>
      </c>
      <c r="AW1604" s="317"/>
      <c r="AX1604" s="317"/>
      <c r="AY1604" s="313">
        <f>(AS2552*50)*Database_Productkaarten[[#This Row],[Soortelijk Gewicht '[ton / m3']]]</f>
        <v>176.77554874999998</v>
      </c>
      <c r="AZ1604" s="40"/>
      <c r="BA1604" s="40"/>
      <c r="BB1604" s="40"/>
      <c r="BC1604" s="40">
        <f>(AW2552*50)*Database_Productkaarten[[#This Row],[Soortelijk Gewicht '[ton / m3']]]</f>
        <v>1.6900825375000001E-2</v>
      </c>
      <c r="BD1604" s="40">
        <f>(AX2552*50)*Database_Productkaarten[[#This Row],[Soortelijk Gewicht '[ton / m3']]]</f>
        <v>4.1316568750000002E-4</v>
      </c>
      <c r="BE1604" s="40">
        <f>(AY2552*50)*Database_Productkaarten[[#This Row],[Soortelijk Gewicht '[ton / m3']]]</f>
        <v>14.610883625000001</v>
      </c>
      <c r="BF1604" s="40">
        <f>(AZ2552*50)*Database_Productkaarten[[#This Row],[Soortelijk Gewicht '[ton / m3']]]</f>
        <v>1.1354719675000001E-3</v>
      </c>
      <c r="BG1604" s="40"/>
      <c r="BH1604" s="40"/>
      <c r="BI1604" s="40"/>
      <c r="BJ1604" s="40"/>
      <c r="BK1604" s="40"/>
      <c r="BL1604" s="62">
        <v>0.24210000000000001</v>
      </c>
      <c r="BM1604" s="275">
        <v>3</v>
      </c>
      <c r="BN1604" s="62">
        <v>0.05</v>
      </c>
      <c r="BO1604" s="33" t="s">
        <v>224</v>
      </c>
    </row>
    <row r="1605" spans="1:68">
      <c r="A1605" s="33" t="str">
        <f>Database_Productkaarten[[#This Row],[Product]]&amp;", "&amp;Database_Productkaarten[[#This Row],[Levensfase]]</f>
        <v>Rood gestort beton, A5</v>
      </c>
      <c r="B1605" t="s">
        <v>663</v>
      </c>
      <c r="C1605" t="s">
        <v>664</v>
      </c>
      <c r="D1605" s="33" t="s">
        <v>665</v>
      </c>
      <c r="E1605" s="33" t="s">
        <v>666</v>
      </c>
      <c r="F1605" s="33" t="s">
        <v>79</v>
      </c>
      <c r="G1605" s="33">
        <v>1</v>
      </c>
      <c r="H1605" s="33">
        <v>1</v>
      </c>
      <c r="I1605" s="33">
        <v>1</v>
      </c>
      <c r="L1605" s="33">
        <v>2.375</v>
      </c>
      <c r="M1605" s="33">
        <v>2.375</v>
      </c>
      <c r="N1605" s="41">
        <v>0.92175682699999995</v>
      </c>
      <c r="O1605" s="33">
        <v>100</v>
      </c>
      <c r="P1605" s="40">
        <v>1.1597245466666666E-5</v>
      </c>
      <c r="Q1605" s="40">
        <v>4.4902557333333329E-2</v>
      </c>
      <c r="R1605" s="40">
        <v>6.8973543733333331</v>
      </c>
      <c r="S1605" s="40">
        <v>1.178842906E-6</v>
      </c>
      <c r="T1605" s="40">
        <v>8.233297933333333E-3</v>
      </c>
      <c r="U1605" s="40">
        <v>5.0719912866666668E-2</v>
      </c>
      <c r="V1605" s="40">
        <v>1.1681637983333333E-2</v>
      </c>
      <c r="W1605" s="40">
        <v>2.5671880266666669</v>
      </c>
      <c r="X1605" s="40">
        <v>5.4245184333333335E-2</v>
      </c>
      <c r="Y1605" s="40">
        <v>122.30680366666667</v>
      </c>
      <c r="Z1605" s="40">
        <v>1.2057304666666668E-2</v>
      </c>
      <c r="AA1605" s="40"/>
      <c r="AB1605" s="40"/>
      <c r="AC1605" s="40"/>
      <c r="AD1605" s="40"/>
      <c r="AE1605" s="40"/>
      <c r="AF1605" s="40"/>
      <c r="AG1605" s="40"/>
      <c r="AH1605" s="40"/>
      <c r="AI1605" s="40"/>
      <c r="AJ1605" s="40"/>
      <c r="AK1605" s="40"/>
      <c r="AL1605" s="40"/>
      <c r="AM1605" s="40"/>
      <c r="AN1605" s="40"/>
      <c r="AO1605" s="40"/>
      <c r="AP1605" s="40"/>
      <c r="AQ1605" s="40"/>
      <c r="AR1605" s="40"/>
      <c r="AS1605" s="40"/>
      <c r="AT1605" s="40"/>
      <c r="AU1605" s="40"/>
      <c r="AV1605" s="313">
        <v>1.4822165333333333</v>
      </c>
      <c r="AW1605" s="317"/>
      <c r="AX1605" s="317"/>
      <c r="AY1605" s="313">
        <v>100.45834913333333</v>
      </c>
      <c r="AZ1605" s="40"/>
      <c r="BA1605" s="40"/>
      <c r="BB1605" s="40"/>
      <c r="BC1605" s="40">
        <v>4.9647361700000002E-3</v>
      </c>
      <c r="BD1605" s="40">
        <v>2.6203727999999998E-4</v>
      </c>
      <c r="BE1605" s="40">
        <v>0.118445863</v>
      </c>
      <c r="BF1605" s="40">
        <v>6.5680086933333332E-4</v>
      </c>
      <c r="BG1605" s="40"/>
      <c r="BH1605" s="40"/>
      <c r="BI1605" s="40"/>
      <c r="BJ1605" s="40"/>
      <c r="BK1605" s="40"/>
      <c r="BL1605" s="62">
        <v>0.24210000000000001</v>
      </c>
      <c r="BM1605" s="275">
        <v>3</v>
      </c>
      <c r="BN1605" s="62">
        <v>0.05</v>
      </c>
      <c r="BO1605" s="164" t="s">
        <v>669</v>
      </c>
      <c r="BP1605" s="33" t="s">
        <v>670</v>
      </c>
    </row>
    <row r="1606" spans="1:68">
      <c r="A1606" s="33" t="str">
        <f>Database_Productkaarten[[#This Row],[Product]]&amp;", "&amp;Database_Productkaarten[[#This Row],[Levensfase]]</f>
        <v>Rood gestort beton, B1</v>
      </c>
      <c r="B1606" t="s">
        <v>663</v>
      </c>
      <c r="C1606" t="s">
        <v>664</v>
      </c>
      <c r="D1606" s="33" t="s">
        <v>665</v>
      </c>
      <c r="E1606" s="33" t="s">
        <v>666</v>
      </c>
      <c r="F1606" s="33" t="s">
        <v>80</v>
      </c>
      <c r="G1606" s="33">
        <v>1</v>
      </c>
      <c r="H1606" s="33">
        <v>1</v>
      </c>
      <c r="I1606" s="33">
        <v>1</v>
      </c>
      <c r="L1606" s="33">
        <v>2.375</v>
      </c>
      <c r="M1606" s="33">
        <v>2.375</v>
      </c>
      <c r="N1606" s="41"/>
      <c r="O1606" s="33">
        <v>100</v>
      </c>
      <c r="P1606" s="40"/>
      <c r="Q1606" s="40"/>
      <c r="R1606" s="40"/>
      <c r="S1606" s="40"/>
      <c r="T1606" s="40"/>
      <c r="U1606" s="40"/>
      <c r="V1606" s="40"/>
      <c r="W1606" s="40"/>
      <c r="X1606" s="40"/>
      <c r="Y1606" s="40"/>
      <c r="Z1606" s="40"/>
      <c r="AA1606" s="40"/>
      <c r="AB1606" s="40"/>
      <c r="AC1606" s="40"/>
      <c r="AD1606" s="40"/>
      <c r="AE1606" s="40"/>
      <c r="AF1606" s="40"/>
      <c r="AG1606" s="40"/>
      <c r="AH1606" s="40"/>
      <c r="AI1606" s="40"/>
      <c r="AJ1606" s="40"/>
      <c r="AK1606" s="40"/>
      <c r="AL1606" s="40"/>
      <c r="AM1606" s="40"/>
      <c r="AN1606" s="40"/>
      <c r="AO1606" s="40"/>
      <c r="AP1606" s="40"/>
      <c r="AQ1606" s="40"/>
      <c r="AR1606" s="40"/>
      <c r="AS1606" s="40"/>
      <c r="AT1606" s="40"/>
      <c r="AU1606" s="40"/>
      <c r="AV1606" s="313"/>
      <c r="AW1606" s="317"/>
      <c r="AX1606" s="317"/>
      <c r="AY1606" s="313"/>
      <c r="AZ1606" s="40"/>
      <c r="BA1606" s="40"/>
      <c r="BB1606" s="40"/>
      <c r="BC1606" s="40"/>
      <c r="BD1606" s="40"/>
      <c r="BE1606" s="40"/>
      <c r="BF1606" s="40"/>
      <c r="BG1606" s="40"/>
      <c r="BH1606" s="40"/>
      <c r="BI1606" s="40"/>
      <c r="BJ1606" s="40"/>
      <c r="BK1606" s="40"/>
      <c r="BL1606" s="62">
        <v>0.24210000000000001</v>
      </c>
      <c r="BM1606" s="275">
        <v>3</v>
      </c>
      <c r="BN1606" s="62">
        <v>0.05</v>
      </c>
    </row>
    <row r="1607" spans="1:68">
      <c r="A1607" s="33" t="str">
        <f>Database_Productkaarten[[#This Row],[Product]]&amp;", "&amp;Database_Productkaarten[[#This Row],[Levensfase]]</f>
        <v>Rood gestort beton, B3</v>
      </c>
      <c r="B1607" t="s">
        <v>663</v>
      </c>
      <c r="C1607" t="s">
        <v>664</v>
      </c>
      <c r="D1607" s="33" t="s">
        <v>665</v>
      </c>
      <c r="E1607" s="33" t="s">
        <v>666</v>
      </c>
      <c r="F1607" s="33" t="s">
        <v>81</v>
      </c>
      <c r="G1607" s="33">
        <v>1</v>
      </c>
      <c r="H1607" s="33">
        <v>1</v>
      </c>
      <c r="I1607" s="33">
        <v>1</v>
      </c>
      <c r="L1607" s="33">
        <v>2.375</v>
      </c>
      <c r="M1607" s="33">
        <v>2.375</v>
      </c>
      <c r="N1607" s="41"/>
      <c r="O1607" s="33">
        <v>100</v>
      </c>
      <c r="P1607" s="40"/>
      <c r="Q1607" s="40"/>
      <c r="R1607" s="40"/>
      <c r="S1607" s="40"/>
      <c r="T1607" s="40"/>
      <c r="U1607" s="40"/>
      <c r="V1607" s="40"/>
      <c r="W1607" s="40"/>
      <c r="X1607" s="40"/>
      <c r="Y1607" s="40"/>
      <c r="Z1607" s="40"/>
      <c r="AA1607" s="40"/>
      <c r="AB1607" s="40"/>
      <c r="AC1607" s="40"/>
      <c r="AD1607" s="40"/>
      <c r="AE1607" s="40"/>
      <c r="AF1607" s="40"/>
      <c r="AG1607" s="40"/>
      <c r="AH1607" s="40"/>
      <c r="AI1607" s="40"/>
      <c r="AJ1607" s="40"/>
      <c r="AK1607" s="40"/>
      <c r="AL1607" s="40"/>
      <c r="AM1607" s="40"/>
      <c r="AN1607" s="40"/>
      <c r="AO1607" s="40"/>
      <c r="AP1607" s="40"/>
      <c r="AQ1607" s="40"/>
      <c r="AR1607" s="40"/>
      <c r="AS1607" s="40"/>
      <c r="AT1607" s="40"/>
      <c r="AU1607" s="40"/>
      <c r="AV1607" s="313"/>
      <c r="AW1607" s="317"/>
      <c r="AX1607" s="317"/>
      <c r="AY1607" s="313"/>
      <c r="AZ1607" s="40"/>
      <c r="BA1607" s="40"/>
      <c r="BB1607" s="40"/>
      <c r="BC1607" s="40"/>
      <c r="BD1607" s="40"/>
      <c r="BE1607" s="40"/>
      <c r="BF1607" s="40"/>
      <c r="BG1607" s="40"/>
      <c r="BH1607" s="40"/>
      <c r="BI1607" s="40"/>
      <c r="BJ1607" s="40"/>
      <c r="BK1607" s="40"/>
      <c r="BL1607" s="62">
        <v>0.24210000000000001</v>
      </c>
      <c r="BM1607" s="275">
        <v>3</v>
      </c>
      <c r="BN1607" s="62">
        <v>0.05</v>
      </c>
    </row>
    <row r="1608" spans="1:68">
      <c r="A1608" s="33" t="str">
        <f>Database_Productkaarten[[#This Row],[Product]]&amp;", "&amp;Database_Productkaarten[[#This Row],[Levensfase]]</f>
        <v>Rood gestort beton, C1</v>
      </c>
      <c r="B1608" t="s">
        <v>663</v>
      </c>
      <c r="C1608" t="s">
        <v>664</v>
      </c>
      <c r="D1608" s="33" t="s">
        <v>665</v>
      </c>
      <c r="E1608" s="33" t="s">
        <v>666</v>
      </c>
      <c r="F1608" s="33" t="s">
        <v>83</v>
      </c>
      <c r="G1608" s="33">
        <v>1</v>
      </c>
      <c r="H1608" s="33">
        <v>1</v>
      </c>
      <c r="I1608" s="33">
        <v>1</v>
      </c>
      <c r="L1608" s="33">
        <v>2.375</v>
      </c>
      <c r="M1608" s="33">
        <v>2.375</v>
      </c>
      <c r="N1608" s="41"/>
      <c r="O1608" s="33">
        <v>100</v>
      </c>
      <c r="P1608" s="40"/>
      <c r="Q1608" s="40"/>
      <c r="R1608" s="40"/>
      <c r="S1608" s="40"/>
      <c r="T1608" s="40"/>
      <c r="U1608" s="40"/>
      <c r="V1608" s="40"/>
      <c r="W1608" s="40"/>
      <c r="X1608" s="40"/>
      <c r="Y1608" s="40"/>
      <c r="Z1608" s="40"/>
      <c r="AA1608" s="40"/>
      <c r="AB1608" s="40"/>
      <c r="AC1608" s="40"/>
      <c r="AD1608" s="40"/>
      <c r="AE1608" s="40"/>
      <c r="AF1608" s="40"/>
      <c r="AG1608" s="40"/>
      <c r="AH1608" s="40"/>
      <c r="AI1608" s="40"/>
      <c r="AJ1608" s="40"/>
      <c r="AK1608" s="40"/>
      <c r="AL1608" s="40"/>
      <c r="AM1608" s="40"/>
      <c r="AN1608" s="40"/>
      <c r="AO1608" s="40"/>
      <c r="AP1608" s="40"/>
      <c r="AQ1608" s="40"/>
      <c r="AR1608" s="40"/>
      <c r="AS1608" s="40"/>
      <c r="AT1608" s="40"/>
      <c r="AU1608" s="40"/>
      <c r="AV1608" s="313"/>
      <c r="AW1608" s="317"/>
      <c r="AX1608" s="317"/>
      <c r="AY1608" s="313"/>
      <c r="AZ1608" s="40"/>
      <c r="BA1608" s="40"/>
      <c r="BB1608" s="40"/>
      <c r="BC1608" s="40"/>
      <c r="BD1608" s="40"/>
      <c r="BE1608" s="40"/>
      <c r="BF1608" s="40"/>
      <c r="BG1608" s="40"/>
      <c r="BH1608" s="40"/>
      <c r="BI1608" s="40"/>
      <c r="BJ1608" s="40"/>
      <c r="BK1608" s="40"/>
      <c r="BL1608" s="62">
        <v>0.24210000000000001</v>
      </c>
      <c r="BM1608" s="275">
        <v>3</v>
      </c>
      <c r="BN1608" s="62">
        <v>0.05</v>
      </c>
    </row>
    <row r="1609" spans="1:68">
      <c r="A1609" s="33" t="str">
        <f>Database_Productkaarten[[#This Row],[Product]]&amp;", "&amp;Database_Productkaarten[[#This Row],[Levensfase]]</f>
        <v>Rood gestort beton, C2</v>
      </c>
      <c r="B1609" t="s">
        <v>663</v>
      </c>
      <c r="C1609" t="s">
        <v>664</v>
      </c>
      <c r="D1609" s="33" t="s">
        <v>665</v>
      </c>
      <c r="E1609" s="33" t="s">
        <v>666</v>
      </c>
      <c r="F1609" s="33" t="s">
        <v>84</v>
      </c>
      <c r="G1609" s="33">
        <v>1</v>
      </c>
      <c r="H1609" s="33">
        <v>1</v>
      </c>
      <c r="I1609" s="33">
        <v>1</v>
      </c>
      <c r="L1609" s="33">
        <v>2.375</v>
      </c>
      <c r="M1609" s="33">
        <v>2.375</v>
      </c>
      <c r="N1609" s="41">
        <f>N1604</f>
        <v>1.021070414375</v>
      </c>
      <c r="O1609" s="33">
        <v>100</v>
      </c>
      <c r="P1609" s="40">
        <f t="shared" ref="P1609:Z1609" si="779">P1604</f>
        <v>1.8293566937500002E-4</v>
      </c>
      <c r="Q1609" s="40">
        <f t="shared" si="779"/>
        <v>7.9262409249999999E-2</v>
      </c>
      <c r="R1609" s="40">
        <f t="shared" si="779"/>
        <v>10.647687399999999</v>
      </c>
      <c r="S1609" s="40">
        <f t="shared" si="779"/>
        <v>2.0171442625000001E-6</v>
      </c>
      <c r="T1609" s="40">
        <f t="shared" si="779"/>
        <v>6.6545348250000008E-3</v>
      </c>
      <c r="U1609" s="40">
        <f t="shared" si="779"/>
        <v>3.9328958562500002E-2</v>
      </c>
      <c r="V1609" s="40">
        <f t="shared" si="779"/>
        <v>7.6251753562500005E-3</v>
      </c>
      <c r="W1609" s="40">
        <f t="shared" si="779"/>
        <v>2.3001884500000003</v>
      </c>
      <c r="X1609" s="40">
        <f t="shared" si="779"/>
        <v>9.6715808062500006E-2</v>
      </c>
      <c r="Y1609" s="40">
        <f t="shared" si="779"/>
        <v>259.68767750000001</v>
      </c>
      <c r="Z1609" s="40">
        <f t="shared" si="779"/>
        <v>1.29264125E-2</v>
      </c>
      <c r="AA1609" s="40"/>
      <c r="AB1609" s="40"/>
      <c r="AC1609" s="40"/>
      <c r="AD1609" s="40"/>
      <c r="AE1609" s="40"/>
      <c r="AF1609" s="40"/>
      <c r="AG1609" s="40"/>
      <c r="AH1609" s="40"/>
      <c r="AI1609" s="40"/>
      <c r="AJ1609" s="40"/>
      <c r="AK1609" s="40"/>
      <c r="AL1609" s="40"/>
      <c r="AM1609" s="40"/>
      <c r="AN1609" s="40"/>
      <c r="AO1609" s="40"/>
      <c r="AP1609" s="40"/>
      <c r="AQ1609" s="40"/>
      <c r="AR1609" s="40"/>
      <c r="AS1609" s="40"/>
      <c r="AT1609" s="40"/>
      <c r="AU1609" s="40"/>
      <c r="AV1609" s="313">
        <f>AV1604</f>
        <v>1.6892017687500001</v>
      </c>
      <c r="AW1609" s="317"/>
      <c r="AX1609" s="317"/>
      <c r="AY1609" s="313">
        <f>AY1604</f>
        <v>176.77554874999998</v>
      </c>
      <c r="AZ1609" s="40"/>
      <c r="BA1609" s="40"/>
      <c r="BB1609" s="40"/>
      <c r="BC1609" s="40">
        <f>BC1604</f>
        <v>1.6900825375000001E-2</v>
      </c>
      <c r="BD1609" s="40">
        <f>BD1604</f>
        <v>4.1316568750000002E-4</v>
      </c>
      <c r="BE1609" s="40">
        <f>BE1604</f>
        <v>14.610883625000001</v>
      </c>
      <c r="BF1609" s="40">
        <f>BF1604</f>
        <v>1.1354719675000001E-3</v>
      </c>
      <c r="BG1609" s="40"/>
      <c r="BH1609" s="40"/>
      <c r="BI1609" s="40"/>
      <c r="BJ1609" s="40"/>
      <c r="BK1609" s="40"/>
      <c r="BL1609" s="62">
        <v>0.24210000000000001</v>
      </c>
      <c r="BM1609" s="275">
        <v>3</v>
      </c>
      <c r="BN1609" s="62">
        <v>0.05</v>
      </c>
      <c r="BO1609" s="33" t="s">
        <v>224</v>
      </c>
    </row>
    <row r="1610" spans="1:68">
      <c r="A1610" s="33" t="str">
        <f>Database_Productkaarten[[#This Row],[Product]]&amp;", "&amp;Database_Productkaarten[[#This Row],[Levensfase]]</f>
        <v>Rood gestort beton, C3</v>
      </c>
      <c r="B1610" t="s">
        <v>663</v>
      </c>
      <c r="C1610" t="s">
        <v>664</v>
      </c>
      <c r="D1610" s="33" t="s">
        <v>665</v>
      </c>
      <c r="E1610" s="33" t="s">
        <v>666</v>
      </c>
      <c r="F1610" s="33" t="s">
        <v>85</v>
      </c>
      <c r="G1610" s="33">
        <v>1</v>
      </c>
      <c r="H1610" s="33">
        <v>1</v>
      </c>
      <c r="I1610" s="33">
        <v>1</v>
      </c>
      <c r="L1610" s="33">
        <v>2.375</v>
      </c>
      <c r="M1610" s="33">
        <v>2.375</v>
      </c>
      <c r="N1610" s="41">
        <v>0.39196812710879997</v>
      </c>
      <c r="O1610" s="33">
        <v>100</v>
      </c>
      <c r="P1610" s="40">
        <v>1.0831057931231999E-5</v>
      </c>
      <c r="Q1610" s="40">
        <v>2.68517999376E-2</v>
      </c>
      <c r="R1610" s="40">
        <v>3.7958420237759998</v>
      </c>
      <c r="S1610" s="40">
        <v>4.1550173089919997E-7</v>
      </c>
      <c r="T1610" s="40">
        <v>2.1671278003583998E-3</v>
      </c>
      <c r="U1610" s="40">
        <v>1.7545280513903999E-2</v>
      </c>
      <c r="V1610" s="40">
        <v>3.9094315682399999E-3</v>
      </c>
      <c r="W1610" s="40">
        <v>0.90194770005119995</v>
      </c>
      <c r="X1610" s="40">
        <v>1.555487285616E-2</v>
      </c>
      <c r="Y1610" s="40">
        <v>58.587495484320002</v>
      </c>
      <c r="Z1610" s="40">
        <v>1.1076481765008001E-2</v>
      </c>
      <c r="AA1610" s="40"/>
      <c r="AB1610" s="40"/>
      <c r="AC1610" s="40"/>
      <c r="AD1610" s="40"/>
      <c r="AE1610" s="40"/>
      <c r="AF1610" s="40"/>
      <c r="AG1610" s="40"/>
      <c r="AH1610" s="40"/>
      <c r="AI1610" s="40"/>
      <c r="AJ1610" s="40"/>
      <c r="AK1610" s="40"/>
      <c r="AL1610" s="40"/>
      <c r="AM1610" s="40"/>
      <c r="AN1610" s="40"/>
      <c r="AO1610" s="40"/>
      <c r="AP1610" s="40"/>
      <c r="AQ1610" s="40"/>
      <c r="AR1610" s="40"/>
      <c r="AS1610" s="40"/>
      <c r="AT1610" s="40"/>
      <c r="AU1610" s="40"/>
      <c r="AV1610" s="313">
        <v>2.9348322901919999</v>
      </c>
      <c r="AW1610" s="317"/>
      <c r="AX1610" s="317"/>
      <c r="AY1610" s="313">
        <v>54.988678673279999</v>
      </c>
      <c r="AZ1610" s="40"/>
      <c r="BA1610" s="40"/>
      <c r="BB1610" s="40"/>
      <c r="BC1610" s="40">
        <v>1.7228594245103999E-2</v>
      </c>
      <c r="BD1610" s="40">
        <v>8.9806370274719997E-5</v>
      </c>
      <c r="BE1610" s="40">
        <v>7.1872770039839997</v>
      </c>
      <c r="BF1610" s="40">
        <v>2.3158761763103998E-4</v>
      </c>
      <c r="BG1610" s="40"/>
      <c r="BH1610" s="40"/>
      <c r="BI1610" s="40"/>
      <c r="BJ1610" s="40"/>
      <c r="BK1610" s="40"/>
      <c r="BL1610" s="62">
        <v>0.24210000000000001</v>
      </c>
      <c r="BM1610" s="275">
        <v>3</v>
      </c>
      <c r="BN1610" s="62">
        <v>0.05</v>
      </c>
      <c r="BP1610" s="165">
        <v>0.99</v>
      </c>
    </row>
    <row r="1611" spans="1:68">
      <c r="A1611" s="33" t="str">
        <f>Database_Productkaarten[[#This Row],[Product]]&amp;", "&amp;Database_Productkaarten[[#This Row],[Levensfase]]</f>
        <v>Rood gestort beton, C4</v>
      </c>
      <c r="B1611" t="s">
        <v>663</v>
      </c>
      <c r="C1611" t="s">
        <v>664</v>
      </c>
      <c r="D1611" s="33" t="s">
        <v>665</v>
      </c>
      <c r="E1611" s="33" t="s">
        <v>666</v>
      </c>
      <c r="F1611" s="33" t="s">
        <v>86</v>
      </c>
      <c r="G1611" s="33">
        <v>1</v>
      </c>
      <c r="H1611" s="33">
        <v>1</v>
      </c>
      <c r="I1611" s="33">
        <v>1</v>
      </c>
      <c r="L1611" s="33">
        <v>2.375</v>
      </c>
      <c r="M1611" s="33">
        <v>2.375</v>
      </c>
      <c r="N1611" s="41">
        <v>1.7394002051200001E-2</v>
      </c>
      <c r="O1611" s="33">
        <v>100</v>
      </c>
      <c r="P1611" s="40">
        <v>1.1488742744000001E-6</v>
      </c>
      <c r="Q1611" s="40">
        <v>1.6781552689600001E-3</v>
      </c>
      <c r="R1611" s="40">
        <v>0.12321024083200001</v>
      </c>
      <c r="S1611" s="40">
        <v>4.1036700304000001E-8</v>
      </c>
      <c r="T1611" s="40">
        <v>1.3124318604799999E-4</v>
      </c>
      <c r="U1611" s="40">
        <v>9.0103547008E-4</v>
      </c>
      <c r="V1611" s="40">
        <v>1.73808438016E-4</v>
      </c>
      <c r="W1611" s="40">
        <v>5.5690003984000001E-2</v>
      </c>
      <c r="X1611" s="40">
        <v>1.32165257648E-3</v>
      </c>
      <c r="Y1611" s="40">
        <v>4.7252372384000001</v>
      </c>
      <c r="Z1611" s="40">
        <v>1.39871609168E-4</v>
      </c>
      <c r="AA1611" s="40"/>
      <c r="AB1611" s="40"/>
      <c r="AC1611" s="40"/>
      <c r="AD1611" s="40"/>
      <c r="AE1611" s="40"/>
      <c r="AF1611" s="40"/>
      <c r="AG1611" s="40"/>
      <c r="AH1611" s="40"/>
      <c r="AI1611" s="40"/>
      <c r="AJ1611" s="40"/>
      <c r="AK1611" s="40"/>
      <c r="AL1611" s="40"/>
      <c r="AM1611" s="40"/>
      <c r="AN1611" s="40"/>
      <c r="AO1611" s="40"/>
      <c r="AP1611" s="40"/>
      <c r="AQ1611" s="40"/>
      <c r="AR1611" s="40"/>
      <c r="AS1611" s="40"/>
      <c r="AT1611" s="40"/>
      <c r="AU1611" s="40"/>
      <c r="AV1611" s="313">
        <v>2.8376706704000002E-2</v>
      </c>
      <c r="AW1611" s="317"/>
      <c r="AX1611" s="317"/>
      <c r="AY1611" s="313">
        <v>3.7280086079999997</v>
      </c>
      <c r="AZ1611" s="40"/>
      <c r="BA1611" s="40"/>
      <c r="BB1611" s="40"/>
      <c r="BC1611" s="40">
        <v>3.7483996752E-3</v>
      </c>
      <c r="BD1611" s="40">
        <v>5.2445496800000002E-6</v>
      </c>
      <c r="BE1611" s="40">
        <v>23.832719740799998</v>
      </c>
      <c r="BF1611" s="40">
        <v>2.3048635491199997E-5</v>
      </c>
      <c r="BG1611" s="40"/>
      <c r="BH1611" s="40"/>
      <c r="BI1611" s="40"/>
      <c r="BJ1611" s="40"/>
      <c r="BK1611" s="40"/>
      <c r="BL1611" s="62">
        <v>0.24210000000000001</v>
      </c>
      <c r="BM1611" s="275">
        <v>3</v>
      </c>
      <c r="BN1611" s="62">
        <v>0.05</v>
      </c>
      <c r="BO1611" s="33" t="s">
        <v>671</v>
      </c>
      <c r="BP1611" s="165">
        <v>0.01</v>
      </c>
    </row>
    <row r="1612" spans="1:68">
      <c r="A1612" s="33" t="str">
        <f>Database_Productkaarten[[#This Row],[Product]]&amp;", "&amp;Database_Productkaarten[[#This Row],[Levensfase]]</f>
        <v>Rood gestort beton, D</v>
      </c>
      <c r="B1612" s="33" t="str">
        <f>B1613</f>
        <v>Rood gestort beton</v>
      </c>
      <c r="C1612" s="33" t="str">
        <f>C1613</f>
        <v>Betonverhardingen</v>
      </c>
      <c r="D1612" s="33" t="str">
        <f>D1613</f>
        <v>Gestort beton</v>
      </c>
      <c r="E1612" s="33" t="str">
        <f>E1613</f>
        <v>m3</v>
      </c>
      <c r="F1612" s="33" t="s">
        <v>89</v>
      </c>
      <c r="G1612" s="33">
        <f t="shared" ref="G1612:M1612" si="780">G1613</f>
        <v>1</v>
      </c>
      <c r="H1612" s="33">
        <f t="shared" si="780"/>
        <v>1</v>
      </c>
      <c r="I1612" s="33">
        <f t="shared" si="780"/>
        <v>1</v>
      </c>
      <c r="L1612" s="33">
        <f t="shared" si="780"/>
        <v>2.375</v>
      </c>
      <c r="M1612" s="45">
        <f t="shared" si="780"/>
        <v>2.375</v>
      </c>
      <c r="N1612" s="41">
        <f>SUM(N1613:N1615)</f>
        <v>22.390699500505601</v>
      </c>
      <c r="O1612" s="33">
        <f>O1613</f>
        <v>100</v>
      </c>
      <c r="P1612" s="40">
        <f>SUM(P1613:P1614)</f>
        <v>-4.93543796328E-4</v>
      </c>
      <c r="Q1612" s="40">
        <f>SUM(Q1613:Q1614)</f>
        <v>-6.5339750393279994E-2</v>
      </c>
      <c r="R1612" s="40">
        <f>SUM(R1613:R1614)</f>
        <v>-9.6722337682080006</v>
      </c>
      <c r="S1612" s="40">
        <f t="shared" ref="S1612:BK1612" si="781">SUM(S1613:S1614)</f>
        <v>-8.4351887104319996E-7</v>
      </c>
      <c r="T1612" s="40">
        <f t="shared" si="781"/>
        <v>-7.150523176367999E-3</v>
      </c>
      <c r="U1612" s="40">
        <f t="shared" si="781"/>
        <v>-5.49542368584E-2</v>
      </c>
      <c r="V1612" s="40">
        <f t="shared" si="781"/>
        <v>-8.9551090648799982E-3</v>
      </c>
      <c r="W1612" s="40">
        <f t="shared" si="781"/>
        <v>-4.4792671825439996</v>
      </c>
      <c r="X1612" s="40">
        <f t="shared" si="781"/>
        <v>-6.9464930087519999E-2</v>
      </c>
      <c r="Y1612" s="40">
        <f t="shared" si="781"/>
        <v>-288.51336930240001</v>
      </c>
      <c r="Z1612" s="40">
        <f t="shared" si="781"/>
        <v>-2.3298214412879999E-2</v>
      </c>
      <c r="AA1612" s="40">
        <f t="shared" si="781"/>
        <v>0</v>
      </c>
      <c r="AB1612" s="40">
        <f t="shared" si="781"/>
        <v>0</v>
      </c>
      <c r="AC1612" s="40">
        <f t="shared" si="781"/>
        <v>0</v>
      </c>
      <c r="AD1612" s="40">
        <f t="shared" si="781"/>
        <v>0</v>
      </c>
      <c r="AE1612" s="40">
        <f t="shared" si="781"/>
        <v>0</v>
      </c>
      <c r="AF1612" s="40">
        <f t="shared" si="781"/>
        <v>0</v>
      </c>
      <c r="AG1612" s="40">
        <f t="shared" si="781"/>
        <v>0</v>
      </c>
      <c r="AH1612" s="40">
        <f t="shared" si="781"/>
        <v>0</v>
      </c>
      <c r="AI1612" s="40">
        <f t="shared" si="781"/>
        <v>0</v>
      </c>
      <c r="AJ1612" s="40">
        <f t="shared" si="781"/>
        <v>0</v>
      </c>
      <c r="AK1612" s="40">
        <f t="shared" si="781"/>
        <v>0</v>
      </c>
      <c r="AL1612" s="40">
        <f t="shared" si="781"/>
        <v>0</v>
      </c>
      <c r="AM1612" s="40">
        <f t="shared" si="781"/>
        <v>0</v>
      </c>
      <c r="AN1612" s="40">
        <f t="shared" si="781"/>
        <v>0</v>
      </c>
      <c r="AO1612" s="40">
        <f t="shared" si="781"/>
        <v>0</v>
      </c>
      <c r="AP1612" s="40">
        <f t="shared" si="781"/>
        <v>0</v>
      </c>
      <c r="AQ1612" s="40">
        <f t="shared" si="781"/>
        <v>0</v>
      </c>
      <c r="AR1612" s="40">
        <f t="shared" si="781"/>
        <v>0</v>
      </c>
      <c r="AS1612" s="40">
        <f t="shared" si="781"/>
        <v>0</v>
      </c>
      <c r="AT1612" s="40">
        <f t="shared" si="781"/>
        <v>0</v>
      </c>
      <c r="AU1612" s="40">
        <f t="shared" si="781"/>
        <v>0</v>
      </c>
      <c r="AV1612" s="317">
        <f t="shared" si="781"/>
        <v>-8.5603774972319986</v>
      </c>
      <c r="AW1612" s="317">
        <f t="shared" si="781"/>
        <v>0</v>
      </c>
      <c r="AX1612" s="317">
        <f t="shared" si="781"/>
        <v>0</v>
      </c>
      <c r="AY1612" s="317">
        <f t="shared" si="781"/>
        <v>-131.13845041968</v>
      </c>
      <c r="AZ1612" s="40">
        <f t="shared" si="781"/>
        <v>0</v>
      </c>
      <c r="BA1612" s="40">
        <f t="shared" si="781"/>
        <v>0</v>
      </c>
      <c r="BB1612" s="40">
        <f t="shared" si="781"/>
        <v>0</v>
      </c>
      <c r="BC1612" s="40">
        <f t="shared" si="781"/>
        <v>-3.3285197230559995</v>
      </c>
      <c r="BD1612" s="40">
        <f t="shared" si="781"/>
        <v>-2.4976315314720001E-4</v>
      </c>
      <c r="BE1612" s="40">
        <f t="shared" si="781"/>
        <v>-1.3393201368095999</v>
      </c>
      <c r="BF1612" s="40">
        <f t="shared" si="781"/>
        <v>-5.4067437420479995E-4</v>
      </c>
      <c r="BG1612" s="40">
        <f t="shared" si="781"/>
        <v>0</v>
      </c>
      <c r="BH1612" s="40">
        <f t="shared" si="781"/>
        <v>0</v>
      </c>
      <c r="BI1612" s="40">
        <f t="shared" si="781"/>
        <v>0</v>
      </c>
      <c r="BJ1612" s="40">
        <f t="shared" si="781"/>
        <v>0</v>
      </c>
      <c r="BK1612" s="40">
        <f t="shared" si="781"/>
        <v>0</v>
      </c>
      <c r="BL1612" s="62">
        <f>BL1613</f>
        <v>0.24210000000000001</v>
      </c>
      <c r="BM1612" s="275">
        <f>BM1613</f>
        <v>3</v>
      </c>
      <c r="BN1612" s="62">
        <v>0.05</v>
      </c>
      <c r="BO1612" s="33" t="str">
        <f>BO1613</f>
        <v>0271-reD&amp;Module D, grind, per kg NETTO geleverd granulaat/grind (vermeden: Gravel, round {RoW}| gravel and sand quarry operation | Cut-off, U)</v>
      </c>
    </row>
    <row r="1613" spans="1:68">
      <c r="A1613" s="33" t="str">
        <f>Database_Productkaarten[[#This Row],[Product]]&amp;", "&amp;Database_Productkaarten[[#This Row],[Levensfase]]</f>
        <v>Rood gestort beton, D1</v>
      </c>
      <c r="B1613" t="s">
        <v>663</v>
      </c>
      <c r="C1613" t="s">
        <v>664</v>
      </c>
      <c r="D1613" s="33" t="s">
        <v>665</v>
      </c>
      <c r="E1613" s="33" t="s">
        <v>666</v>
      </c>
      <c r="F1613" s="33" t="s">
        <v>87</v>
      </c>
      <c r="G1613" s="33">
        <v>1</v>
      </c>
      <c r="H1613" s="33">
        <v>1</v>
      </c>
      <c r="I1613" s="33">
        <v>1</v>
      </c>
      <c r="L1613" s="33">
        <v>2.375</v>
      </c>
      <c r="M1613" s="33">
        <v>2.375</v>
      </c>
      <c r="N1613" s="41">
        <v>-1.2443514994943998</v>
      </c>
      <c r="O1613" s="33">
        <v>100</v>
      </c>
      <c r="P1613" s="40">
        <v>-4.93543796328E-4</v>
      </c>
      <c r="Q1613" s="40">
        <v>-6.5339750393279994E-2</v>
      </c>
      <c r="R1613" s="40">
        <v>-9.6722337682080006</v>
      </c>
      <c r="S1613" s="40">
        <v>-8.4351887104319996E-7</v>
      </c>
      <c r="T1613" s="40">
        <v>-7.150523176367999E-3</v>
      </c>
      <c r="U1613" s="40">
        <v>-5.49542368584E-2</v>
      </c>
      <c r="V1613" s="40">
        <v>-8.9551090648799982E-3</v>
      </c>
      <c r="W1613" s="40">
        <v>-4.4792671825439996</v>
      </c>
      <c r="X1613" s="40">
        <v>-6.9464930087519999E-2</v>
      </c>
      <c r="Y1613" s="40">
        <v>-288.51336930240001</v>
      </c>
      <c r="Z1613" s="40">
        <v>-2.3298214412879999E-2</v>
      </c>
      <c r="AA1613" s="40"/>
      <c r="AB1613" s="40"/>
      <c r="AC1613" s="40"/>
      <c r="AD1613" s="40"/>
      <c r="AE1613" s="40"/>
      <c r="AF1613" s="40"/>
      <c r="AG1613" s="40"/>
      <c r="AH1613" s="40"/>
      <c r="AI1613" s="40"/>
      <c r="AJ1613" s="40"/>
      <c r="AK1613" s="40"/>
      <c r="AL1613" s="40"/>
      <c r="AM1613" s="40"/>
      <c r="AN1613" s="40"/>
      <c r="AO1613" s="40"/>
      <c r="AP1613" s="40"/>
      <c r="AQ1613" s="40"/>
      <c r="AR1613" s="40"/>
      <c r="AS1613" s="40"/>
      <c r="AT1613" s="40"/>
      <c r="AU1613" s="40"/>
      <c r="AV1613" s="313">
        <v>-8.5603774972319986</v>
      </c>
      <c r="AW1613" s="317"/>
      <c r="AX1613" s="317"/>
      <c r="AY1613" s="313">
        <v>-131.13845041968</v>
      </c>
      <c r="AZ1613" s="40"/>
      <c r="BA1613" s="40"/>
      <c r="BB1613" s="40"/>
      <c r="BC1613" s="40">
        <v>-3.3285197230559995</v>
      </c>
      <c r="BD1613" s="40">
        <v>-2.4976315314720001E-4</v>
      </c>
      <c r="BE1613" s="40">
        <v>-1.3393201368095999</v>
      </c>
      <c r="BF1613" s="40">
        <v>-5.4067437420479995E-4</v>
      </c>
      <c r="BG1613" s="40"/>
      <c r="BH1613" s="40"/>
      <c r="BI1613" s="40"/>
      <c r="BJ1613" s="40"/>
      <c r="BK1613" s="40"/>
      <c r="BL1613" s="62">
        <v>0.24210000000000001</v>
      </c>
      <c r="BM1613" s="275">
        <v>3</v>
      </c>
      <c r="BN1613" s="62">
        <v>0.05</v>
      </c>
      <c r="BO1613" s="33" t="s">
        <v>672</v>
      </c>
      <c r="BP1613" s="165">
        <v>0.99</v>
      </c>
    </row>
    <row r="1614" spans="1:68">
      <c r="A1614" s="33" t="str">
        <f>Database_Productkaarten[[#This Row],[Product]]&amp;", "&amp;Database_Productkaarten[[#This Row],[Levensfase]]</f>
        <v>Rood gestort beton, D2</v>
      </c>
      <c r="B1614" t="s">
        <v>663</v>
      </c>
      <c r="C1614" t="s">
        <v>664</v>
      </c>
      <c r="D1614" s="33" t="s">
        <v>665</v>
      </c>
      <c r="E1614" s="33" t="s">
        <v>666</v>
      </c>
      <c r="F1614" s="33" t="s">
        <v>88</v>
      </c>
      <c r="G1614" s="33">
        <v>1</v>
      </c>
      <c r="H1614" s="33">
        <v>1</v>
      </c>
      <c r="I1614" s="33">
        <v>1</v>
      </c>
      <c r="L1614" s="33">
        <v>2.375</v>
      </c>
      <c r="M1614" s="33">
        <v>2.375</v>
      </c>
      <c r="N1614" s="41"/>
      <c r="O1614" s="33">
        <v>100</v>
      </c>
      <c r="P1614" s="40"/>
      <c r="Q1614" s="40"/>
      <c r="R1614" s="40"/>
      <c r="S1614" s="40"/>
      <c r="T1614" s="40"/>
      <c r="U1614" s="40"/>
      <c r="V1614" s="40"/>
      <c r="W1614" s="40"/>
      <c r="X1614" s="40"/>
      <c r="Y1614" s="40"/>
      <c r="Z1614" s="40"/>
      <c r="AA1614" s="40"/>
      <c r="AB1614" s="40"/>
      <c r="AC1614" s="40"/>
      <c r="AD1614" s="40"/>
      <c r="AE1614" s="40"/>
      <c r="AF1614" s="40"/>
      <c r="AG1614" s="40"/>
      <c r="AH1614" s="40"/>
      <c r="AI1614" s="40"/>
      <c r="AJ1614" s="40"/>
      <c r="AK1614" s="40"/>
      <c r="AL1614" s="40"/>
      <c r="AM1614" s="40"/>
      <c r="AN1614" s="40"/>
      <c r="AO1614" s="40"/>
      <c r="AP1614" s="40"/>
      <c r="AQ1614" s="40"/>
      <c r="AR1614" s="40"/>
      <c r="AS1614" s="40"/>
      <c r="AT1614" s="40"/>
      <c r="AU1614" s="40"/>
      <c r="AV1614" s="313"/>
      <c r="AW1614" s="317"/>
      <c r="AX1614" s="317"/>
      <c r="AY1614" s="313"/>
      <c r="AZ1614" s="40"/>
      <c r="BA1614" s="40"/>
      <c r="BB1614" s="40"/>
      <c r="BC1614" s="40"/>
      <c r="BD1614" s="40"/>
      <c r="BE1614" s="40"/>
      <c r="BF1614" s="40"/>
      <c r="BG1614" s="40"/>
      <c r="BH1614" s="40"/>
      <c r="BI1614" s="40"/>
      <c r="BJ1614" s="40"/>
      <c r="BK1614" s="40"/>
      <c r="BL1614" s="62">
        <v>0.24210000000000001</v>
      </c>
      <c r="BM1614" s="275">
        <v>3</v>
      </c>
      <c r="BN1614" s="62">
        <v>0.05</v>
      </c>
    </row>
    <row r="1615" spans="1:68">
      <c r="A1615" s="33" t="str">
        <f>Database_Productkaarten[[#This Row],[Product]]&amp;", "&amp;Database_Productkaarten[[#This Row],[Levensfase]]</f>
        <v>C30/37 CEM I, A1</v>
      </c>
      <c r="B1615" s="33" t="s">
        <v>673</v>
      </c>
      <c r="C1615" t="s">
        <v>664</v>
      </c>
      <c r="D1615" s="33" t="s">
        <v>665</v>
      </c>
      <c r="E1615" s="33" t="s">
        <v>666</v>
      </c>
      <c r="F1615" s="33" t="s">
        <v>74</v>
      </c>
      <c r="G1615" s="33">
        <v>1</v>
      </c>
      <c r="H1615" s="33">
        <v>1</v>
      </c>
      <c r="I1615" s="33">
        <v>1</v>
      </c>
      <c r="L1615">
        <v>2.3355000000000001</v>
      </c>
      <c r="M1615">
        <v>2.3355000000000001</v>
      </c>
      <c r="N1615" s="41">
        <v>23.635051000000001</v>
      </c>
      <c r="O1615" s="33">
        <v>100</v>
      </c>
      <c r="P1615" s="163">
        <v>2.9844300999999998E-4</v>
      </c>
      <c r="Q1615" s="163">
        <v>0.74011212000000004</v>
      </c>
      <c r="R1615" s="163">
        <v>344.01378</v>
      </c>
      <c r="S1615" s="163">
        <v>6.0086169000000003E-6</v>
      </c>
      <c r="T1615" s="163">
        <v>5.2330293E-2</v>
      </c>
      <c r="U1615" s="163">
        <v>0.58751111</v>
      </c>
      <c r="V1615" s="163">
        <v>0.13946336000000001</v>
      </c>
      <c r="W1615" s="163">
        <v>24.899677000000001</v>
      </c>
      <c r="X1615" s="163">
        <v>0.64266564999999998</v>
      </c>
      <c r="Y1615" s="163">
        <v>3130.4128000000001</v>
      </c>
      <c r="Z1615" s="163">
        <v>0.54246890000000003</v>
      </c>
      <c r="AA1615" s="40"/>
      <c r="AB1615" s="40"/>
      <c r="AC1615" s="40"/>
      <c r="AD1615" s="40"/>
      <c r="AE1615" s="40"/>
      <c r="AF1615" s="40"/>
      <c r="AG1615" s="40"/>
      <c r="AH1615" s="40"/>
      <c r="AI1615" s="40"/>
      <c r="AJ1615" s="40"/>
      <c r="AK1615" s="40"/>
      <c r="AL1615" s="40"/>
      <c r="AM1615" s="40"/>
      <c r="AN1615" s="40"/>
      <c r="AO1615" s="40"/>
      <c r="AP1615" s="40"/>
      <c r="AQ1615" s="40"/>
      <c r="AR1615" s="40"/>
      <c r="AS1615" s="40"/>
      <c r="AT1615" s="40"/>
      <c r="AU1615" s="40"/>
      <c r="AV1615" s="163">
        <v>317.21607999999998</v>
      </c>
      <c r="AW1615" s="40"/>
      <c r="AX1615" s="40"/>
      <c r="AY1615" s="40">
        <v>1731.2978000000001</v>
      </c>
      <c r="AZ1615" s="40"/>
      <c r="BA1615" s="40"/>
      <c r="BB1615" s="40"/>
      <c r="BC1615" s="40">
        <v>20.396196</v>
      </c>
      <c r="BD1615" s="163">
        <v>239.88408000000001</v>
      </c>
      <c r="BE1615" s="163">
        <v>13.535398000000001</v>
      </c>
      <c r="BF1615" s="40"/>
      <c r="BG1615" s="40"/>
      <c r="BH1615" s="40"/>
      <c r="BI1615" s="40"/>
      <c r="BJ1615" s="40"/>
      <c r="BK1615" s="40"/>
      <c r="BL1615" s="62">
        <v>0</v>
      </c>
      <c r="BM1615" s="275">
        <v>3</v>
      </c>
      <c r="BN1615" s="62">
        <v>0.05</v>
      </c>
      <c r="BO1615" t="s">
        <v>674</v>
      </c>
    </row>
    <row r="1616" spans="1:68">
      <c r="A1616" s="33" t="str">
        <f>Database_Productkaarten[[#This Row],[Product]]&amp;", "&amp;Database_Productkaarten[[#This Row],[Levensfase]]</f>
        <v>C30/37 CEM I, A2</v>
      </c>
      <c r="B1616" s="33" t="s">
        <v>673</v>
      </c>
      <c r="C1616" t="s">
        <v>664</v>
      </c>
      <c r="D1616" s="33" t="s">
        <v>665</v>
      </c>
      <c r="E1616" s="33" t="s">
        <v>666</v>
      </c>
      <c r="F1616" s="33" t="s">
        <v>75</v>
      </c>
      <c r="G1616" s="33">
        <v>1</v>
      </c>
      <c r="H1616" s="33">
        <v>1</v>
      </c>
      <c r="I1616" s="33">
        <v>1</v>
      </c>
      <c r="L1616">
        <v>2.3355000000000001</v>
      </c>
      <c r="M1616">
        <v>2.3355000000000001</v>
      </c>
      <c r="N1616" s="41">
        <v>1.3304796000000001</v>
      </c>
      <c r="O1616" s="33">
        <v>100</v>
      </c>
      <c r="P1616" s="163">
        <v>3.2020483000000003E-5</v>
      </c>
      <c r="Q1616" s="163">
        <v>8.3110260000000005E-2</v>
      </c>
      <c r="R1616" s="163">
        <v>11.259627</v>
      </c>
      <c r="S1616" s="163">
        <v>2.0749270999999999E-6</v>
      </c>
      <c r="T1616" s="163">
        <v>6.6457903999999996E-3</v>
      </c>
      <c r="U1616" s="163">
        <v>4.8815340999999998E-2</v>
      </c>
      <c r="V1616" s="163">
        <v>9.7275715000000006E-3</v>
      </c>
      <c r="W1616" s="163">
        <v>4.5047309000000002</v>
      </c>
      <c r="X1616" s="163">
        <v>0.13211769000000001</v>
      </c>
      <c r="Y1616" s="163">
        <v>476.85192000000001</v>
      </c>
      <c r="Z1616" s="163">
        <v>1.5960839000000001E-2</v>
      </c>
      <c r="AA1616" s="40"/>
      <c r="AB1616" s="40"/>
      <c r="AC1616" s="40"/>
      <c r="AD1616" s="40"/>
      <c r="AE1616" s="40"/>
      <c r="AF1616" s="40"/>
      <c r="AG1616" s="40"/>
      <c r="AH1616" s="40"/>
      <c r="AI1616" s="40"/>
      <c r="AJ1616" s="40"/>
      <c r="AK1616" s="40"/>
      <c r="AL1616" s="40"/>
      <c r="AM1616" s="40"/>
      <c r="AN1616" s="40"/>
      <c r="AO1616" s="40"/>
      <c r="AP1616" s="40"/>
      <c r="AQ1616" s="40"/>
      <c r="AR1616" s="40"/>
      <c r="AS1616" s="40"/>
      <c r="AT1616" s="40"/>
      <c r="AU1616" s="40"/>
      <c r="AV1616" s="163">
        <v>2.3711167999999998</v>
      </c>
      <c r="AW1616" s="40"/>
      <c r="AX1616" s="40"/>
      <c r="AY1616" s="40">
        <v>185.27865</v>
      </c>
      <c r="AZ1616" s="40"/>
      <c r="BA1616" s="40"/>
      <c r="BB1616" s="40"/>
      <c r="BC1616" s="40">
        <v>3.3321902E-2</v>
      </c>
      <c r="BD1616" s="163">
        <v>1.2795841999999999E-3</v>
      </c>
      <c r="BE1616" s="163">
        <v>10.649957000000001</v>
      </c>
      <c r="BF1616" s="40"/>
      <c r="BG1616" s="40"/>
      <c r="BH1616" s="40"/>
      <c r="BI1616" s="40"/>
      <c r="BJ1616" s="40"/>
      <c r="BK1616" s="40"/>
      <c r="BL1616" s="62">
        <v>0</v>
      </c>
      <c r="BM1616" s="275">
        <v>3</v>
      </c>
      <c r="BN1616" s="62">
        <v>0.05</v>
      </c>
      <c r="BO1616" t="s">
        <v>674</v>
      </c>
    </row>
    <row r="1617" spans="1:68">
      <c r="A1617" s="33" t="str">
        <f>Database_Productkaarten[[#This Row],[Product]]&amp;", "&amp;Database_Productkaarten[[#This Row],[Levensfase]]</f>
        <v>C30/37 CEM I, A3</v>
      </c>
      <c r="B1617" s="33" t="s">
        <v>673</v>
      </c>
      <c r="C1617" t="s">
        <v>664</v>
      </c>
      <c r="D1617" s="33" t="s">
        <v>665</v>
      </c>
      <c r="E1617" s="33" t="s">
        <v>666</v>
      </c>
      <c r="F1617" s="33" t="s">
        <v>76</v>
      </c>
      <c r="G1617" s="33">
        <v>1</v>
      </c>
      <c r="H1617" s="33">
        <v>1</v>
      </c>
      <c r="I1617" s="33">
        <v>1</v>
      </c>
      <c r="L1617">
        <v>2.3355000000000001</v>
      </c>
      <c r="M1617">
        <v>2.3355000000000001</v>
      </c>
      <c r="N1617" s="41">
        <v>0.21762659000000001</v>
      </c>
      <c r="O1617" s="33">
        <v>100</v>
      </c>
      <c r="P1617" s="163">
        <v>8.0100951000000002E-7</v>
      </c>
      <c r="Q1617" s="163">
        <v>2.2691415E-2</v>
      </c>
      <c r="R1617" s="163">
        <v>2.8229009999999999</v>
      </c>
      <c r="S1617" s="163">
        <v>2.1849625000000001E-7</v>
      </c>
      <c r="T1617" s="163">
        <v>6.8559643999999999E-4</v>
      </c>
      <c r="U1617" s="163">
        <v>6.7173221999999996E-3</v>
      </c>
      <c r="V1617" s="163">
        <v>1.5091712E-3</v>
      </c>
      <c r="W1617" s="163">
        <v>0.30788844999999998</v>
      </c>
      <c r="X1617" s="163">
        <v>6.2779087000000003E-3</v>
      </c>
      <c r="Y1617" s="163">
        <v>28.911196</v>
      </c>
      <c r="Z1617" s="163">
        <v>3.8631784999999998E-3</v>
      </c>
      <c r="AA1617" s="40"/>
      <c r="AB1617" s="40"/>
      <c r="AC1617" s="40"/>
      <c r="AD1617" s="40"/>
      <c r="AE1617" s="40"/>
      <c r="AF1617" s="40"/>
      <c r="AG1617" s="40"/>
      <c r="AH1617" s="40"/>
      <c r="AI1617" s="40"/>
      <c r="AJ1617" s="40"/>
      <c r="AK1617" s="40"/>
      <c r="AL1617" s="40"/>
      <c r="AM1617" s="40"/>
      <c r="AN1617" s="40"/>
      <c r="AO1617" s="40"/>
      <c r="AP1617" s="40"/>
      <c r="AQ1617" s="40"/>
      <c r="AR1617" s="40"/>
      <c r="AS1617" s="40"/>
      <c r="AT1617" s="40"/>
      <c r="AU1617" s="40"/>
      <c r="AV1617" s="163">
        <v>3.3736081000000002</v>
      </c>
      <c r="AW1617" s="40"/>
      <c r="AX1617" s="40"/>
      <c r="AY1617" s="40">
        <v>45.835557999999999</v>
      </c>
      <c r="AZ1617" s="40"/>
      <c r="BA1617" s="40"/>
      <c r="BB1617" s="40"/>
      <c r="BC1617" s="40">
        <v>8.7932002999999998E-3</v>
      </c>
      <c r="BD1617" s="163">
        <v>2.1576268999999999E-4</v>
      </c>
      <c r="BE1617" s="163">
        <v>8.7286928E-2</v>
      </c>
      <c r="BF1617" s="40"/>
      <c r="BG1617" s="40"/>
      <c r="BH1617" s="40"/>
      <c r="BI1617" s="40"/>
      <c r="BJ1617" s="40"/>
      <c r="BK1617" s="40"/>
      <c r="BL1617" s="62">
        <v>0</v>
      </c>
      <c r="BM1617" s="275">
        <v>3</v>
      </c>
      <c r="BN1617" s="62">
        <v>0.05</v>
      </c>
      <c r="BO1617" t="s">
        <v>674</v>
      </c>
    </row>
    <row r="1618" spans="1:68">
      <c r="A1618" s="33" t="str">
        <f>Database_Productkaarten[[#This Row],[Product]]&amp;", "&amp;Database_Productkaarten[[#This Row],[Levensfase]]</f>
        <v>C30/37 CEM I, A1-A3</v>
      </c>
      <c r="B1618" s="33" t="s">
        <v>673</v>
      </c>
      <c r="C1618" t="s">
        <v>664</v>
      </c>
      <c r="D1618" s="33" t="s">
        <v>665</v>
      </c>
      <c r="E1618" s="33" t="s">
        <v>666</v>
      </c>
      <c r="F1618" s="451" t="s">
        <v>77</v>
      </c>
      <c r="G1618" s="33">
        <v>1</v>
      </c>
      <c r="H1618" s="33">
        <v>1</v>
      </c>
      <c r="I1618" s="33">
        <v>1</v>
      </c>
      <c r="L1618">
        <v>2.3355000000000001</v>
      </c>
      <c r="M1618">
        <v>2.3355000000000001</v>
      </c>
      <c r="N1618" s="41">
        <f>SUM(N1615:N1617)</f>
        <v>25.183157189999999</v>
      </c>
      <c r="O1618" s="33">
        <v>100</v>
      </c>
      <c r="P1618" s="40">
        <f>SUM(P1615:P1617)</f>
        <v>3.3126450250999998E-4</v>
      </c>
      <c r="Q1618" s="40">
        <f t="shared" ref="Q1618:Z1618" si="782">SUM(Q1615:Q1617)</f>
        <v>0.84591379500000008</v>
      </c>
      <c r="R1618" s="40">
        <f t="shared" si="782"/>
        <v>358.09630800000002</v>
      </c>
      <c r="S1618" s="40">
        <f t="shared" si="782"/>
        <v>8.3020402499999996E-6</v>
      </c>
      <c r="T1618" s="40">
        <f t="shared" si="782"/>
        <v>5.9661679839999995E-2</v>
      </c>
      <c r="U1618" s="40">
        <f t="shared" si="782"/>
        <v>0.64304377319999995</v>
      </c>
      <c r="V1618" s="40">
        <f t="shared" si="782"/>
        <v>0.1507001027</v>
      </c>
      <c r="W1618" s="40">
        <f t="shared" si="782"/>
        <v>29.712296350000003</v>
      </c>
      <c r="X1618" s="40">
        <f t="shared" si="782"/>
        <v>0.78106124869999993</v>
      </c>
      <c r="Y1618" s="40">
        <f t="shared" si="782"/>
        <v>3636.1759160000001</v>
      </c>
      <c r="Z1618" s="40">
        <f t="shared" si="782"/>
        <v>0.56229291749999999</v>
      </c>
      <c r="AA1618" s="40"/>
      <c r="AB1618" s="40"/>
      <c r="AC1618" s="40"/>
      <c r="AD1618" s="40"/>
      <c r="AE1618" s="40"/>
      <c r="AF1618" s="40"/>
      <c r="AG1618" s="40"/>
      <c r="AH1618" s="40"/>
      <c r="AI1618" s="40"/>
      <c r="AJ1618" s="40"/>
      <c r="AK1618" s="40"/>
      <c r="AL1618" s="40"/>
      <c r="AM1618" s="40"/>
      <c r="AN1618" s="40"/>
      <c r="AO1618" s="40"/>
      <c r="AP1618" s="40"/>
      <c r="AQ1618" s="40"/>
      <c r="AR1618" s="40"/>
      <c r="AS1618" s="40"/>
      <c r="AT1618" s="40"/>
      <c r="AU1618" s="40"/>
      <c r="AV1618" s="40">
        <f>SUM(AV1615:AV1617)</f>
        <v>322.96080489999997</v>
      </c>
      <c r="AW1618" s="40"/>
      <c r="AX1618" s="40"/>
      <c r="AY1618" s="40">
        <f>SUM(AY1615:AY1617)</f>
        <v>1962.412008</v>
      </c>
      <c r="AZ1618" s="40"/>
      <c r="BA1618" s="40"/>
      <c r="BB1618" s="40"/>
      <c r="BC1618" s="40">
        <f>SUM(BC1615:BC1617)</f>
        <v>20.438311102300002</v>
      </c>
      <c r="BD1618" s="40">
        <f>SUM(BD1615:BD1617)</f>
        <v>239.88557534689002</v>
      </c>
      <c r="BE1618" s="40">
        <f>SUM(BE1615:BE1617)</f>
        <v>24.272641928000002</v>
      </c>
      <c r="BF1618" s="40"/>
      <c r="BG1618" s="40"/>
      <c r="BH1618" s="40"/>
      <c r="BI1618" s="40"/>
      <c r="BJ1618" s="40"/>
      <c r="BK1618" s="40"/>
      <c r="BL1618" s="62">
        <v>0</v>
      </c>
      <c r="BM1618" s="275">
        <v>3</v>
      </c>
      <c r="BN1618" s="62">
        <v>0.05</v>
      </c>
      <c r="BO1618" t="s">
        <v>674</v>
      </c>
    </row>
    <row r="1619" spans="1:68">
      <c r="A1619" s="33" t="str">
        <f>Database_Productkaarten[[#This Row],[Product]]&amp;", "&amp;Database_Productkaarten[[#This Row],[Levensfase]]</f>
        <v>C30/37 CEM I, A4</v>
      </c>
      <c r="B1619" s="33" t="s">
        <v>673</v>
      </c>
      <c r="C1619" t="s">
        <v>664</v>
      </c>
      <c r="D1619" s="33" t="s">
        <v>665</v>
      </c>
      <c r="E1619" s="33" t="s">
        <v>666</v>
      </c>
      <c r="F1619" s="33" t="s">
        <v>78</v>
      </c>
      <c r="G1619" s="33">
        <v>1</v>
      </c>
      <c r="H1619" s="33">
        <v>1</v>
      </c>
      <c r="I1619" s="33">
        <v>1</v>
      </c>
      <c r="L1619">
        <v>2.3355000000000001</v>
      </c>
      <c r="M1619">
        <v>2.3355000000000001</v>
      </c>
      <c r="N1619" s="41">
        <v>1.8171550000000001</v>
      </c>
      <c r="O1619" s="33">
        <v>100</v>
      </c>
      <c r="P1619" s="40">
        <v>4.3733238999999997E-5</v>
      </c>
      <c r="Q1619" s="40">
        <v>0.11351111999999999</v>
      </c>
      <c r="R1619" s="40">
        <v>15.37828</v>
      </c>
      <c r="S1619" s="40">
        <v>2.8339135999999999E-6</v>
      </c>
      <c r="T1619" s="40">
        <v>9.0767506000000008E-3</v>
      </c>
      <c r="U1619" s="40">
        <v>6.6671479000000006E-2</v>
      </c>
      <c r="V1619" s="40">
        <v>1.3285814999999999E-2</v>
      </c>
      <c r="W1619" s="40">
        <v>6.152514</v>
      </c>
      <c r="X1619" s="40">
        <v>0.18044494999999999</v>
      </c>
      <c r="Y1619" s="40">
        <v>651.27932999999996</v>
      </c>
      <c r="Z1619" s="40">
        <v>2.1799145999999998E-2</v>
      </c>
      <c r="AA1619" s="40"/>
      <c r="AB1619" s="40"/>
      <c r="AC1619" s="40"/>
      <c r="AD1619" s="40"/>
      <c r="AE1619" s="40"/>
      <c r="AF1619" s="40"/>
      <c r="AG1619" s="40"/>
      <c r="AH1619" s="40"/>
      <c r="AI1619" s="40"/>
      <c r="AJ1619" s="40"/>
      <c r="AK1619" s="40"/>
      <c r="AL1619" s="40"/>
      <c r="AM1619" s="40"/>
      <c r="AN1619" s="40"/>
      <c r="AO1619" s="40"/>
      <c r="AP1619" s="40"/>
      <c r="AQ1619" s="40"/>
      <c r="AR1619" s="40"/>
      <c r="AS1619" s="40"/>
      <c r="AT1619" s="40"/>
      <c r="AU1619" s="40"/>
      <c r="AV1619" s="40">
        <v>3.2384463000000001</v>
      </c>
      <c r="AW1619" s="40"/>
      <c r="AX1619" s="40"/>
      <c r="AY1619" s="40">
        <v>253.05162999999999</v>
      </c>
      <c r="AZ1619" s="40"/>
      <c r="BA1619" s="40"/>
      <c r="BB1619" s="40"/>
      <c r="BC1619" s="40">
        <v>4.5510703E-2</v>
      </c>
      <c r="BD1619" s="40">
        <v>1.7476426E-3</v>
      </c>
      <c r="BE1619" s="40">
        <v>14.545598999999999</v>
      </c>
      <c r="BF1619" s="40"/>
      <c r="BG1619" s="40"/>
      <c r="BH1619" s="40"/>
      <c r="BI1619" s="40"/>
      <c r="BJ1619" s="40"/>
      <c r="BK1619" s="40"/>
      <c r="BL1619" s="62">
        <v>0</v>
      </c>
      <c r="BM1619" s="275">
        <v>3</v>
      </c>
      <c r="BN1619" s="62">
        <v>0.05</v>
      </c>
      <c r="BO1619" t="s">
        <v>674</v>
      </c>
    </row>
    <row r="1620" spans="1:68">
      <c r="A1620" s="33" t="str">
        <f>Database_Productkaarten[[#This Row],[Product]]&amp;", "&amp;Database_Productkaarten[[#This Row],[Levensfase]]</f>
        <v>C30/37 CEM I, A5</v>
      </c>
      <c r="B1620" s="33" t="s">
        <v>673</v>
      </c>
      <c r="C1620" t="s">
        <v>664</v>
      </c>
      <c r="D1620" s="33" t="s">
        <v>665</v>
      </c>
      <c r="E1620" s="33" t="s">
        <v>666</v>
      </c>
      <c r="F1620" s="33" t="s">
        <v>79</v>
      </c>
      <c r="G1620" s="33">
        <v>1</v>
      </c>
      <c r="H1620" s="33">
        <v>1</v>
      </c>
      <c r="I1620" s="33">
        <v>1</v>
      </c>
      <c r="L1620">
        <v>2.3355000000000001</v>
      </c>
      <c r="M1620">
        <v>2.3355000000000001</v>
      </c>
      <c r="N1620" s="41">
        <v>2.5889464000000002</v>
      </c>
      <c r="O1620" s="33">
        <v>100</v>
      </c>
      <c r="P1620" s="40">
        <v>2.1559708000000002E-5</v>
      </c>
      <c r="Q1620" s="40">
        <v>0.11473675</v>
      </c>
      <c r="R1620" s="40">
        <v>28.214741</v>
      </c>
      <c r="S1620" s="40">
        <v>2.2895074999999999E-6</v>
      </c>
      <c r="T1620" s="40">
        <v>1.2618575E-2</v>
      </c>
      <c r="U1620" s="40">
        <v>0.10435707</v>
      </c>
      <c r="V1620" s="40">
        <v>2.3715927000000001E-2</v>
      </c>
      <c r="W1620" s="40">
        <v>5.1084275000000003</v>
      </c>
      <c r="X1620" s="40">
        <v>9.9474629999999994E-2</v>
      </c>
      <c r="Y1620" s="40">
        <v>387.62061</v>
      </c>
      <c r="Z1620" s="40">
        <v>3.6096283999999999E-2</v>
      </c>
      <c r="AA1620" s="40"/>
      <c r="AB1620" s="40"/>
      <c r="AC1620" s="40"/>
      <c r="AD1620" s="40"/>
      <c r="AE1620" s="40"/>
      <c r="AF1620" s="40"/>
      <c r="AG1620" s="40"/>
      <c r="AH1620" s="40"/>
      <c r="AI1620" s="40"/>
      <c r="AJ1620" s="40"/>
      <c r="AK1620" s="40"/>
      <c r="AL1620" s="40"/>
      <c r="AM1620" s="40"/>
      <c r="AN1620" s="40"/>
      <c r="AO1620" s="40"/>
      <c r="AP1620" s="40"/>
      <c r="AQ1620" s="40"/>
      <c r="AR1620" s="40"/>
      <c r="AS1620" s="40"/>
      <c r="AT1620" s="40"/>
      <c r="AU1620" s="40"/>
      <c r="AV1620" s="40">
        <v>17.271606999999999</v>
      </c>
      <c r="AW1620" s="40"/>
      <c r="AX1620" s="40"/>
      <c r="AY1620" s="40">
        <v>260.57395000000002</v>
      </c>
      <c r="AZ1620" s="40"/>
      <c r="BA1620" s="40"/>
      <c r="BB1620" s="40"/>
      <c r="BC1620" s="40">
        <v>0.87671374999999996</v>
      </c>
      <c r="BD1620" s="40">
        <v>11.995403</v>
      </c>
      <c r="BE1620" s="40">
        <v>4.2776855999999999</v>
      </c>
      <c r="BF1620" s="40"/>
      <c r="BG1620" s="40"/>
      <c r="BH1620" s="40"/>
      <c r="BI1620" s="40"/>
      <c r="BJ1620" s="40"/>
      <c r="BK1620" s="40"/>
      <c r="BL1620" s="62">
        <v>0</v>
      </c>
      <c r="BM1620" s="275">
        <v>3</v>
      </c>
      <c r="BN1620" s="62">
        <v>0.05</v>
      </c>
      <c r="BO1620" t="s">
        <v>674</v>
      </c>
    </row>
    <row r="1621" spans="1:68">
      <c r="A1621" s="33" t="str">
        <f>Database_Productkaarten[[#This Row],[Product]]&amp;", "&amp;Database_Productkaarten[[#This Row],[Levensfase]]</f>
        <v>C30/37 CEM I, B1</v>
      </c>
      <c r="B1621" s="33" t="s">
        <v>673</v>
      </c>
      <c r="C1621" t="s">
        <v>664</v>
      </c>
      <c r="D1621" s="33" t="s">
        <v>665</v>
      </c>
      <c r="E1621" s="33" t="s">
        <v>666</v>
      </c>
      <c r="F1621" s="33" t="s">
        <v>80</v>
      </c>
      <c r="G1621" s="33">
        <v>1</v>
      </c>
      <c r="H1621" s="33">
        <v>1</v>
      </c>
      <c r="I1621" s="33">
        <v>1</v>
      </c>
      <c r="L1621">
        <v>2.3355000000000001</v>
      </c>
      <c r="M1621">
        <v>2.3355000000000001</v>
      </c>
      <c r="N1621" s="41">
        <v>0</v>
      </c>
      <c r="O1621" s="33">
        <v>100</v>
      </c>
      <c r="P1621" s="40">
        <v>0</v>
      </c>
      <c r="Q1621" s="40">
        <v>0</v>
      </c>
      <c r="R1621" s="40">
        <v>0</v>
      </c>
      <c r="S1621" s="40">
        <v>0</v>
      </c>
      <c r="T1621" s="40">
        <v>0</v>
      </c>
      <c r="U1621" s="40">
        <v>0</v>
      </c>
      <c r="V1621" s="40">
        <v>0</v>
      </c>
      <c r="W1621" s="40">
        <v>0</v>
      </c>
      <c r="X1621" s="40">
        <v>0</v>
      </c>
      <c r="Y1621" s="40">
        <v>0</v>
      </c>
      <c r="Z1621" s="40">
        <v>0</v>
      </c>
      <c r="AA1621" s="40"/>
      <c r="AB1621" s="40"/>
      <c r="AC1621" s="40"/>
      <c r="AD1621" s="40"/>
      <c r="AE1621" s="40"/>
      <c r="AF1621" s="40"/>
      <c r="AG1621" s="40"/>
      <c r="AH1621" s="40"/>
      <c r="AI1621" s="40"/>
      <c r="AJ1621" s="40"/>
      <c r="AK1621" s="40"/>
      <c r="AL1621" s="40"/>
      <c r="AM1621" s="40"/>
      <c r="AN1621" s="40"/>
      <c r="AO1621" s="40"/>
      <c r="AP1621" s="40"/>
      <c r="AQ1621" s="40"/>
      <c r="AR1621" s="40"/>
      <c r="AS1621" s="40"/>
      <c r="AT1621" s="40"/>
      <c r="AU1621" s="40"/>
      <c r="AV1621" s="40">
        <v>0</v>
      </c>
      <c r="AW1621" s="40"/>
      <c r="AX1621" s="40"/>
      <c r="AY1621" s="40">
        <v>0</v>
      </c>
      <c r="AZ1621" s="40"/>
      <c r="BA1621" s="40"/>
      <c r="BB1621" s="40"/>
      <c r="BC1621" s="40">
        <v>0</v>
      </c>
      <c r="BD1621" s="40">
        <v>0</v>
      </c>
      <c r="BE1621" s="40">
        <v>0</v>
      </c>
      <c r="BF1621" s="40"/>
      <c r="BG1621" s="40"/>
      <c r="BH1621" s="40"/>
      <c r="BI1621" s="40"/>
      <c r="BJ1621" s="40"/>
      <c r="BK1621" s="40"/>
      <c r="BL1621" s="62">
        <v>0</v>
      </c>
      <c r="BM1621" s="275">
        <v>3</v>
      </c>
      <c r="BN1621" s="62">
        <v>0.05</v>
      </c>
      <c r="BO1621" t="s">
        <v>674</v>
      </c>
    </row>
    <row r="1622" spans="1:68">
      <c r="A1622" s="33" t="str">
        <f>Database_Productkaarten[[#This Row],[Product]]&amp;", "&amp;Database_Productkaarten[[#This Row],[Levensfase]]</f>
        <v>C30/37 CEM I, C1</v>
      </c>
      <c r="B1622" s="33" t="s">
        <v>673</v>
      </c>
      <c r="C1622" t="s">
        <v>664</v>
      </c>
      <c r="D1622" s="33" t="s">
        <v>665</v>
      </c>
      <c r="E1622" s="33" t="s">
        <v>666</v>
      </c>
      <c r="F1622" s="33" t="s">
        <v>83</v>
      </c>
      <c r="G1622" s="33">
        <v>1</v>
      </c>
      <c r="H1622" s="33">
        <v>1</v>
      </c>
      <c r="I1622" s="33">
        <v>1</v>
      </c>
      <c r="L1622">
        <v>2.3355000000000001</v>
      </c>
      <c r="M1622">
        <v>2.3355000000000001</v>
      </c>
      <c r="N1622" s="41">
        <v>2.6945806000000001</v>
      </c>
      <c r="O1622" s="33">
        <v>100</v>
      </c>
      <c r="P1622" s="40">
        <v>6.8173876000000001E-6</v>
      </c>
      <c r="Q1622" s="40">
        <v>0.14046053999999999</v>
      </c>
      <c r="R1622" s="40">
        <v>20.357724999999999</v>
      </c>
      <c r="S1622" s="40">
        <v>3.6668741000000001E-6</v>
      </c>
      <c r="T1622" s="40">
        <v>2.0520073E-2</v>
      </c>
      <c r="U1622" s="40">
        <v>0.15403662000000001</v>
      </c>
      <c r="V1622" s="40">
        <v>3.4492057E-2</v>
      </c>
      <c r="W1622" s="40">
        <v>7.2064998999999998</v>
      </c>
      <c r="X1622" s="40">
        <v>0.10078217</v>
      </c>
      <c r="Y1622" s="40">
        <v>341.63459999999998</v>
      </c>
      <c r="Z1622" s="40">
        <v>1.2041859E-2</v>
      </c>
      <c r="AA1622" s="40"/>
      <c r="AB1622" s="40"/>
      <c r="AC1622" s="40"/>
      <c r="AD1622" s="40"/>
      <c r="AE1622" s="40"/>
      <c r="AF1622" s="40"/>
      <c r="AG1622" s="40"/>
      <c r="AH1622" s="40"/>
      <c r="AI1622" s="40"/>
      <c r="AJ1622" s="40"/>
      <c r="AK1622" s="40"/>
      <c r="AL1622" s="40"/>
      <c r="AM1622" s="40"/>
      <c r="AN1622" s="40"/>
      <c r="AO1622" s="40"/>
      <c r="AP1622" s="40"/>
      <c r="AQ1622" s="40"/>
      <c r="AR1622" s="40"/>
      <c r="AS1622" s="40"/>
      <c r="AT1622" s="40"/>
      <c r="AU1622" s="40"/>
      <c r="AV1622" s="40">
        <v>1.6917247</v>
      </c>
      <c r="AW1622" s="40"/>
      <c r="AX1622" s="40"/>
      <c r="AY1622" s="40">
        <v>315.0806</v>
      </c>
      <c r="AZ1622" s="40"/>
      <c r="BA1622" s="40"/>
      <c r="BB1622" s="40"/>
      <c r="BC1622" s="40">
        <v>2.5976835E-2</v>
      </c>
      <c r="BD1622" s="40">
        <v>2.1813383999999998E-3</v>
      </c>
      <c r="BE1622" s="40">
        <v>0.32150378000000002</v>
      </c>
      <c r="BF1622" s="40"/>
      <c r="BG1622" s="40"/>
      <c r="BH1622" s="40"/>
      <c r="BI1622" s="40"/>
      <c r="BJ1622" s="40"/>
      <c r="BK1622" s="40"/>
      <c r="BL1622" s="62">
        <v>0</v>
      </c>
      <c r="BM1622" s="275">
        <v>3</v>
      </c>
      <c r="BN1622" s="62">
        <v>0.05</v>
      </c>
      <c r="BO1622" t="s">
        <v>674</v>
      </c>
    </row>
    <row r="1623" spans="1:68">
      <c r="A1623" s="33" t="str">
        <f>Database_Productkaarten[[#This Row],[Product]]&amp;", "&amp;Database_Productkaarten[[#This Row],[Levensfase]]</f>
        <v>C30/37 CEM I, C2</v>
      </c>
      <c r="B1623" s="33" t="s">
        <v>673</v>
      </c>
      <c r="C1623" t="s">
        <v>664</v>
      </c>
      <c r="D1623" s="33" t="s">
        <v>665</v>
      </c>
      <c r="E1623" s="33" t="s">
        <v>666</v>
      </c>
      <c r="F1623" s="33" t="s">
        <v>84</v>
      </c>
      <c r="G1623" s="33">
        <v>1</v>
      </c>
      <c r="H1623" s="33">
        <v>1</v>
      </c>
      <c r="I1623" s="33">
        <v>1</v>
      </c>
      <c r="L1623">
        <v>2.3355000000000001</v>
      </c>
      <c r="M1623">
        <v>2.3355000000000001</v>
      </c>
      <c r="N1623" s="41">
        <v>1.8353265999999999</v>
      </c>
      <c r="O1623" s="33">
        <v>100</v>
      </c>
      <c r="P1623" s="40">
        <v>4.4170571999999997E-5</v>
      </c>
      <c r="Q1623" s="40">
        <v>0.11464623</v>
      </c>
      <c r="R1623" s="40">
        <v>15.532063000000001</v>
      </c>
      <c r="S1623" s="40">
        <v>2.8622527000000001E-6</v>
      </c>
      <c r="T1623" s="40">
        <v>9.1675181000000008E-3</v>
      </c>
      <c r="U1623" s="40">
        <v>6.7338194000000004E-2</v>
      </c>
      <c r="V1623" s="40">
        <v>1.3418673000000001E-2</v>
      </c>
      <c r="W1623" s="40">
        <v>6.2140392000000002</v>
      </c>
      <c r="X1623" s="40">
        <v>0.18224940000000001</v>
      </c>
      <c r="Y1623" s="40">
        <v>657.79211999999995</v>
      </c>
      <c r="Z1623" s="40">
        <v>2.2017136999999999E-2</v>
      </c>
      <c r="AA1623" s="40"/>
      <c r="AB1623" s="40"/>
      <c r="AC1623" s="40"/>
      <c r="AD1623" s="40"/>
      <c r="AE1623" s="40"/>
      <c r="AF1623" s="40"/>
      <c r="AG1623" s="40"/>
      <c r="AH1623" s="40"/>
      <c r="AI1623" s="40"/>
      <c r="AJ1623" s="40"/>
      <c r="AK1623" s="40"/>
      <c r="AL1623" s="40"/>
      <c r="AM1623" s="40"/>
      <c r="AN1623" s="40"/>
      <c r="AO1623" s="40"/>
      <c r="AP1623" s="40"/>
      <c r="AQ1623" s="40"/>
      <c r="AR1623" s="40"/>
      <c r="AS1623" s="40"/>
      <c r="AT1623" s="40"/>
      <c r="AU1623" s="40"/>
      <c r="AV1623" s="40">
        <v>3.2708308000000001</v>
      </c>
      <c r="AW1623" s="40"/>
      <c r="AX1623" s="40"/>
      <c r="AY1623" s="40">
        <v>255.58214000000001</v>
      </c>
      <c r="AZ1623" s="40"/>
      <c r="BA1623" s="40"/>
      <c r="BB1623" s="40"/>
      <c r="BC1623" s="40">
        <v>4.5965810000000003E-2</v>
      </c>
      <c r="BD1623" s="40">
        <v>1.7651190000000001E-3</v>
      </c>
      <c r="BE1623" s="40">
        <v>14.691055</v>
      </c>
      <c r="BF1623" s="40"/>
      <c r="BG1623" s="40"/>
      <c r="BH1623" s="40"/>
      <c r="BI1623" s="40"/>
      <c r="BJ1623" s="40"/>
      <c r="BK1623" s="40"/>
      <c r="BL1623" s="62">
        <v>0</v>
      </c>
      <c r="BM1623" s="275">
        <v>3</v>
      </c>
      <c r="BN1623" s="62">
        <v>0.05</v>
      </c>
      <c r="BO1623" t="s">
        <v>674</v>
      </c>
    </row>
    <row r="1624" spans="1:68">
      <c r="A1624" s="33" t="str">
        <f>Database_Productkaarten[[#This Row],[Product]]&amp;", "&amp;Database_Productkaarten[[#This Row],[Levensfase]]</f>
        <v>C30/37 CEM I, C3</v>
      </c>
      <c r="B1624" s="33" t="s">
        <v>673</v>
      </c>
      <c r="C1624" t="s">
        <v>664</v>
      </c>
      <c r="D1624" s="33" t="s">
        <v>665</v>
      </c>
      <c r="E1624" s="33" t="s">
        <v>666</v>
      </c>
      <c r="F1624" s="33" t="s">
        <v>85</v>
      </c>
      <c r="G1624" s="33">
        <v>1</v>
      </c>
      <c r="H1624" s="33">
        <v>1</v>
      </c>
      <c r="I1624" s="33">
        <v>1</v>
      </c>
      <c r="L1624">
        <v>2.3355000000000001</v>
      </c>
      <c r="M1624">
        <v>2.3355000000000001</v>
      </c>
      <c r="N1624" s="41">
        <v>0.37462003999999999</v>
      </c>
      <c r="O1624" s="33">
        <v>100</v>
      </c>
      <c r="P1624" s="40">
        <v>2.2396254999999999E-6</v>
      </c>
      <c r="Q1624" s="40">
        <v>2.7788907000000002E-2</v>
      </c>
      <c r="R1624" s="40">
        <v>3.6884899999999998</v>
      </c>
      <c r="S1624" s="40">
        <v>4.2846247000000003E-7</v>
      </c>
      <c r="T1624" s="40">
        <v>2.0666131000000002E-3</v>
      </c>
      <c r="U1624" s="40">
        <v>1.7041605000000001E-2</v>
      </c>
      <c r="V1624" s="40">
        <v>3.8430399999999998E-3</v>
      </c>
      <c r="W1624" s="40">
        <v>0.80694071999999994</v>
      </c>
      <c r="X1624" s="40">
        <v>1.346995E-2</v>
      </c>
      <c r="Y1624" s="40">
        <v>51.671854000000003</v>
      </c>
      <c r="Z1624" s="40">
        <v>1.0885756E-2</v>
      </c>
      <c r="AA1624" s="40"/>
      <c r="AB1624" s="40"/>
      <c r="AC1624" s="40"/>
      <c r="AD1624" s="40"/>
      <c r="AE1624" s="40"/>
      <c r="AF1624" s="40"/>
      <c r="AG1624" s="40"/>
      <c r="AH1624" s="40"/>
      <c r="AI1624" s="40"/>
      <c r="AJ1624" s="40"/>
      <c r="AK1624" s="40"/>
      <c r="AL1624" s="40"/>
      <c r="AM1624" s="40"/>
      <c r="AN1624" s="40"/>
      <c r="AO1624" s="40"/>
      <c r="AP1624" s="40"/>
      <c r="AQ1624" s="40"/>
      <c r="AR1624" s="40"/>
      <c r="AS1624" s="40"/>
      <c r="AT1624" s="40"/>
      <c r="AU1624" s="40"/>
      <c r="AV1624" s="40">
        <v>2.9928629</v>
      </c>
      <c r="AW1624" s="40"/>
      <c r="AX1624" s="40"/>
      <c r="AY1624" s="40">
        <v>58.184894</v>
      </c>
      <c r="AZ1624" s="40"/>
      <c r="BA1624" s="40"/>
      <c r="BB1624" s="40"/>
      <c r="BC1624" s="40">
        <v>9.2844255000000004E-3</v>
      </c>
      <c r="BD1624" s="40">
        <v>3.3706127E-4</v>
      </c>
      <c r="BE1624" s="40">
        <v>7.0359328999999997</v>
      </c>
      <c r="BF1624" s="40"/>
      <c r="BG1624" s="40"/>
      <c r="BH1624" s="40"/>
      <c r="BI1624" s="40"/>
      <c r="BJ1624" s="40"/>
      <c r="BK1624" s="40"/>
      <c r="BL1624" s="62">
        <v>0</v>
      </c>
      <c r="BM1624" s="275">
        <v>3</v>
      </c>
      <c r="BN1624" s="62">
        <v>0.05</v>
      </c>
      <c r="BO1624" t="s">
        <v>674</v>
      </c>
    </row>
    <row r="1625" spans="1:68">
      <c r="A1625" s="33" t="str">
        <f>Database_Productkaarten[[#This Row],[Product]]&amp;", "&amp;Database_Productkaarten[[#This Row],[Levensfase]]</f>
        <v>C30/37 CEM I, C4</v>
      </c>
      <c r="B1625" s="33" t="s">
        <v>673</v>
      </c>
      <c r="C1625" t="s">
        <v>664</v>
      </c>
      <c r="D1625" s="33" t="s">
        <v>665</v>
      </c>
      <c r="E1625" s="33" t="s">
        <v>666</v>
      </c>
      <c r="F1625" s="33" t="s">
        <v>86</v>
      </c>
      <c r="G1625" s="33">
        <v>1</v>
      </c>
      <c r="H1625" s="33">
        <v>1</v>
      </c>
      <c r="I1625" s="33">
        <v>1</v>
      </c>
      <c r="L1625">
        <v>2.3355000000000001</v>
      </c>
      <c r="M1625">
        <v>2.3355000000000001</v>
      </c>
      <c r="N1625" s="41">
        <v>1.7085029000000002E-2</v>
      </c>
      <c r="O1625" s="33">
        <v>100</v>
      </c>
      <c r="P1625" s="40">
        <v>1.4240154999999999E-7</v>
      </c>
      <c r="Q1625" s="40">
        <v>1.6979196E-3</v>
      </c>
      <c r="R1625" s="40">
        <v>0.12476566</v>
      </c>
      <c r="S1625" s="40">
        <v>4.1295469000000001E-8</v>
      </c>
      <c r="T1625" s="40">
        <v>1.3221732000000001E-4</v>
      </c>
      <c r="U1625" s="40">
        <v>9.2194263999999997E-4</v>
      </c>
      <c r="V1625" s="40">
        <v>1.7351165E-4</v>
      </c>
      <c r="W1625" s="40">
        <v>5.0866567000000001E-2</v>
      </c>
      <c r="X1625" s="40">
        <v>1.2648542E-3</v>
      </c>
      <c r="Y1625" s="40">
        <v>4.3503205999999999</v>
      </c>
      <c r="Z1625" s="40">
        <v>1.5064447000000001E-4</v>
      </c>
      <c r="AA1625" s="40"/>
      <c r="AB1625" s="40"/>
      <c r="AC1625" s="40"/>
      <c r="AD1625" s="40"/>
      <c r="AE1625" s="40"/>
      <c r="AF1625" s="40"/>
      <c r="AG1625" s="40"/>
      <c r="AH1625" s="40"/>
      <c r="AI1625" s="40"/>
      <c r="AJ1625" s="40"/>
      <c r="AK1625" s="40"/>
      <c r="AL1625" s="40"/>
      <c r="AM1625" s="40"/>
      <c r="AN1625" s="40"/>
      <c r="AO1625" s="40"/>
      <c r="AP1625" s="40"/>
      <c r="AQ1625" s="40"/>
      <c r="AR1625" s="40"/>
      <c r="AS1625" s="40"/>
      <c r="AT1625" s="40"/>
      <c r="AU1625" s="40"/>
      <c r="AV1625" s="40">
        <v>9.0947911000000006E-2</v>
      </c>
      <c r="AW1625" s="40"/>
      <c r="AX1625" s="40"/>
      <c r="AY1625" s="40">
        <v>3.7928462999999999</v>
      </c>
      <c r="AZ1625" s="40"/>
      <c r="BA1625" s="40"/>
      <c r="BB1625" s="40"/>
      <c r="BC1625" s="40">
        <v>3.8227046999999999E-3</v>
      </c>
      <c r="BD1625" s="40">
        <v>2.5764524999999999E-5</v>
      </c>
      <c r="BE1625" s="40">
        <v>23.347455</v>
      </c>
      <c r="BF1625" s="40"/>
      <c r="BG1625" s="40"/>
      <c r="BH1625" s="40"/>
      <c r="BI1625" s="40"/>
      <c r="BJ1625" s="40"/>
      <c r="BK1625" s="40"/>
      <c r="BL1625" s="62">
        <v>0</v>
      </c>
      <c r="BM1625" s="275">
        <v>3</v>
      </c>
      <c r="BN1625" s="62">
        <v>0.05</v>
      </c>
      <c r="BO1625" t="s">
        <v>674</v>
      </c>
    </row>
    <row r="1626" spans="1:68">
      <c r="A1626" s="33" t="str">
        <f>Database_Productkaarten[[#This Row],[Product]]&amp;", "&amp;Database_Productkaarten[[#This Row],[Levensfase]]</f>
        <v>C30/37 CEM I, D</v>
      </c>
      <c r="B1626" s="33" t="s">
        <v>673</v>
      </c>
      <c r="C1626" t="s">
        <v>664</v>
      </c>
      <c r="D1626" s="33" t="s">
        <v>665</v>
      </c>
      <c r="E1626" s="33" t="s">
        <v>666</v>
      </c>
      <c r="F1626" s="33" t="s">
        <v>89</v>
      </c>
      <c r="G1626" s="33">
        <v>1</v>
      </c>
      <c r="H1626" s="33">
        <v>1</v>
      </c>
      <c r="I1626" s="33">
        <v>1</v>
      </c>
      <c r="L1626">
        <v>2.3355000000000001</v>
      </c>
      <c r="M1626">
        <v>2.3355000000000001</v>
      </c>
      <c r="N1626" s="41">
        <v>-1.2366496</v>
      </c>
      <c r="O1626" s="33">
        <v>100</v>
      </c>
      <c r="P1626" s="163">
        <v>-5.3460625000000003E-5</v>
      </c>
      <c r="Q1626" s="163">
        <v>-6.7502421000000007E-2</v>
      </c>
      <c r="R1626" s="163">
        <v>-10.186138</v>
      </c>
      <c r="S1626" s="163">
        <v>-8.6582528999999998E-7</v>
      </c>
      <c r="T1626" s="163">
        <v>-7.1113278999999996E-3</v>
      </c>
      <c r="U1626" s="163">
        <v>-5.7854073999999998E-2</v>
      </c>
      <c r="V1626" s="163">
        <v>-9.4525167999999996E-3</v>
      </c>
      <c r="W1626" s="163">
        <v>-3.9477804000000001</v>
      </c>
      <c r="X1626" s="163">
        <v>-5.7496907E-2</v>
      </c>
      <c r="Y1626" s="163">
        <v>-274.30372999999997</v>
      </c>
      <c r="Z1626" s="163">
        <v>-2.2344589000000002E-2</v>
      </c>
      <c r="AA1626" s="40"/>
      <c r="AB1626" s="40"/>
      <c r="AC1626" s="40"/>
      <c r="AD1626" s="40"/>
      <c r="AE1626" s="40"/>
      <c r="AF1626" s="40"/>
      <c r="AG1626" s="40"/>
      <c r="AH1626" s="40"/>
      <c r="AI1626" s="40"/>
      <c r="AJ1626" s="40"/>
      <c r="AK1626" s="40"/>
      <c r="AL1626" s="40"/>
      <c r="AM1626" s="40"/>
      <c r="AN1626" s="40"/>
      <c r="AO1626" s="40"/>
      <c r="AP1626" s="40"/>
      <c r="AQ1626" s="40"/>
      <c r="AR1626" s="40"/>
      <c r="AS1626" s="40"/>
      <c r="AT1626" s="40"/>
      <c r="AU1626" s="40"/>
      <c r="AV1626" s="163">
        <v>-8.2885451999999997</v>
      </c>
      <c r="AW1626" s="40"/>
      <c r="AX1626" s="40"/>
      <c r="AY1626" s="40">
        <v>-135.62894</v>
      </c>
      <c r="AZ1626" s="40"/>
      <c r="BA1626" s="40"/>
      <c r="BB1626" s="40"/>
      <c r="BC1626" s="40">
        <v>-3.2507682</v>
      </c>
      <c r="BD1626" s="163">
        <v>-7.2561472000000002E-4</v>
      </c>
      <c r="BE1626" s="163">
        <v>-1.3011052999999999</v>
      </c>
      <c r="BF1626" s="40"/>
      <c r="BG1626" s="40"/>
      <c r="BH1626" s="40"/>
      <c r="BI1626" s="40"/>
      <c r="BJ1626" s="40"/>
      <c r="BK1626" s="40"/>
      <c r="BL1626" s="62">
        <v>0</v>
      </c>
      <c r="BM1626" s="275">
        <v>3</v>
      </c>
      <c r="BN1626" s="62">
        <v>0.05</v>
      </c>
      <c r="BO1626" t="s">
        <v>674</v>
      </c>
    </row>
    <row r="1627" spans="1:68">
      <c r="A1627" s="33" t="str">
        <f>Database_Productkaarten[[#This Row],[Product]]&amp;", "&amp;Database_Productkaarten[[#This Row],[Levensfase]]</f>
        <v>C30/37 CEM I – 30% betongranulaat, A1</v>
      </c>
      <c r="B1627" s="33" t="s">
        <v>675</v>
      </c>
      <c r="C1627" t="s">
        <v>664</v>
      </c>
      <c r="D1627" s="33" t="s">
        <v>665</v>
      </c>
      <c r="E1627" s="33" t="s">
        <v>666</v>
      </c>
      <c r="F1627" s="33" t="s">
        <v>74</v>
      </c>
      <c r="G1627" s="33">
        <v>1</v>
      </c>
      <c r="H1627" s="33">
        <v>1</v>
      </c>
      <c r="I1627" s="33">
        <v>1</v>
      </c>
      <c r="L1627">
        <v>2.3855</v>
      </c>
      <c r="M1627">
        <v>2.3855</v>
      </c>
      <c r="N1627" s="41">
        <v>23.123608000000001</v>
      </c>
      <c r="O1627" s="33">
        <v>100</v>
      </c>
      <c r="P1627" s="163">
        <v>2.8366273999999998E-4</v>
      </c>
      <c r="Q1627" s="163">
        <v>0.71129699999999996</v>
      </c>
      <c r="R1627" s="163">
        <v>339.88423999999998</v>
      </c>
      <c r="S1627" s="163">
        <v>5.4372818999999996E-6</v>
      </c>
      <c r="T1627" s="163">
        <v>4.9370613000000001E-2</v>
      </c>
      <c r="U1627" s="163">
        <v>0.56237347999999998</v>
      </c>
      <c r="V1627" s="163">
        <v>0.13545779999999999</v>
      </c>
      <c r="W1627" s="163">
        <v>23.313977000000001</v>
      </c>
      <c r="X1627" s="163">
        <v>0.60868085999999999</v>
      </c>
      <c r="Y1627" s="163">
        <v>2993.9515000000001</v>
      </c>
      <c r="Z1627" s="163">
        <v>0.53518060000000001</v>
      </c>
      <c r="AA1627" s="40"/>
      <c r="AB1627" s="40"/>
      <c r="AC1627" s="40"/>
      <c r="AD1627" s="40"/>
      <c r="AE1627" s="40"/>
      <c r="AF1627" s="40"/>
      <c r="AG1627" s="40"/>
      <c r="AH1627" s="40"/>
      <c r="AI1627" s="40"/>
      <c r="AJ1627" s="40"/>
      <c r="AK1627" s="40"/>
      <c r="AL1627" s="40"/>
      <c r="AM1627" s="40"/>
      <c r="AN1627" s="40"/>
      <c r="AO1627" s="40"/>
      <c r="AP1627" s="40"/>
      <c r="AQ1627" s="40"/>
      <c r="AR1627" s="40"/>
      <c r="AS1627" s="40"/>
      <c r="AT1627" s="40"/>
      <c r="AU1627" s="40"/>
      <c r="AV1627" s="163">
        <v>315.21352000000002</v>
      </c>
      <c r="AW1627" s="40"/>
      <c r="AX1627" s="40"/>
      <c r="AY1627" s="40">
        <v>1669.635</v>
      </c>
      <c r="AZ1627" s="40"/>
      <c r="BA1627" s="40"/>
      <c r="BB1627" s="40"/>
      <c r="BC1627" s="40">
        <v>19.916623000000001</v>
      </c>
      <c r="BD1627" s="163">
        <v>239.88354000000001</v>
      </c>
      <c r="BE1627" s="163">
        <v>11.656368000000001</v>
      </c>
      <c r="BF1627" s="40"/>
      <c r="BG1627" s="40"/>
      <c r="BH1627" s="40"/>
      <c r="BI1627" s="40"/>
      <c r="BJ1627" s="40"/>
      <c r="BK1627" s="40"/>
      <c r="BL1627" s="62">
        <v>0.13417009305345162</v>
      </c>
      <c r="BM1627" s="275">
        <v>3</v>
      </c>
      <c r="BN1627" s="62">
        <v>0.05</v>
      </c>
      <c r="BO1627" t="s">
        <v>676</v>
      </c>
      <c r="BP1627" s="33" t="s">
        <v>677</v>
      </c>
    </row>
    <row r="1628" spans="1:68">
      <c r="A1628" s="33" t="str">
        <f>Database_Productkaarten[[#This Row],[Product]]&amp;", "&amp;Database_Productkaarten[[#This Row],[Levensfase]]</f>
        <v>C30/37 CEM I – 30% betongranulaat, A2</v>
      </c>
      <c r="B1628" s="33" t="s">
        <v>675</v>
      </c>
      <c r="C1628" t="s">
        <v>664</v>
      </c>
      <c r="D1628" s="33" t="s">
        <v>665</v>
      </c>
      <c r="E1628" s="33" t="s">
        <v>666</v>
      </c>
      <c r="F1628" s="33" t="s">
        <v>75</v>
      </c>
      <c r="G1628" s="33">
        <v>1</v>
      </c>
      <c r="H1628" s="33">
        <v>1</v>
      </c>
      <c r="I1628" s="33">
        <v>1</v>
      </c>
      <c r="L1628">
        <v>2.3855</v>
      </c>
      <c r="M1628">
        <v>2.3855</v>
      </c>
      <c r="N1628" s="41">
        <v>1.5716777</v>
      </c>
      <c r="O1628" s="33">
        <v>100</v>
      </c>
      <c r="P1628" s="163">
        <v>3.7825365999999999E-5</v>
      </c>
      <c r="Q1628" s="163">
        <v>9.8177032999999997E-2</v>
      </c>
      <c r="R1628" s="163">
        <v>13.300846</v>
      </c>
      <c r="S1628" s="163">
        <v>2.4510834000000001E-6</v>
      </c>
      <c r="T1628" s="163">
        <v>7.8505828000000003E-3</v>
      </c>
      <c r="U1628" s="163">
        <v>5.7664906000000002E-2</v>
      </c>
      <c r="V1628" s="163">
        <v>1.1491049E-2</v>
      </c>
      <c r="W1628" s="163">
        <v>5.3213780000000002</v>
      </c>
      <c r="X1628" s="163">
        <v>0.15606885000000001</v>
      </c>
      <c r="Y1628" s="163">
        <v>563.29876000000002</v>
      </c>
      <c r="Z1628" s="163">
        <v>1.8854323999999999E-2</v>
      </c>
      <c r="AA1628" s="40"/>
      <c r="AB1628" s="40"/>
      <c r="AC1628" s="40"/>
      <c r="AD1628" s="40"/>
      <c r="AE1628" s="40"/>
      <c r="AF1628" s="40"/>
      <c r="AG1628" s="40"/>
      <c r="AH1628" s="40"/>
      <c r="AI1628" s="40"/>
      <c r="AJ1628" s="40"/>
      <c r="AK1628" s="40"/>
      <c r="AL1628" s="40"/>
      <c r="AM1628" s="40"/>
      <c r="AN1628" s="40"/>
      <c r="AO1628" s="40"/>
      <c r="AP1628" s="40"/>
      <c r="AQ1628" s="40"/>
      <c r="AR1628" s="40"/>
      <c r="AS1628" s="40"/>
      <c r="AT1628" s="40"/>
      <c r="AU1628" s="40"/>
      <c r="AV1628" s="163">
        <v>2.8009683000000001</v>
      </c>
      <c r="AW1628" s="40"/>
      <c r="AX1628" s="40"/>
      <c r="AY1628" s="40">
        <v>218.86717999999999</v>
      </c>
      <c r="AZ1628" s="40"/>
      <c r="BA1628" s="40"/>
      <c r="BB1628" s="40"/>
      <c r="BC1628" s="40">
        <v>3.9362715E-2</v>
      </c>
      <c r="BD1628" s="163">
        <v>1.5115555999999999E-3</v>
      </c>
      <c r="BE1628" s="163">
        <v>12.580651</v>
      </c>
      <c r="BF1628" s="40"/>
      <c r="BG1628" s="40"/>
      <c r="BH1628" s="40"/>
      <c r="BI1628" s="40"/>
      <c r="BJ1628" s="40"/>
      <c r="BK1628" s="40"/>
      <c r="BL1628" s="62">
        <v>0.13417009305345162</v>
      </c>
      <c r="BM1628" s="275">
        <v>3</v>
      </c>
      <c r="BN1628" s="62">
        <v>0.05</v>
      </c>
      <c r="BO1628" t="s">
        <v>676</v>
      </c>
      <c r="BP1628" s="33" t="s">
        <v>677</v>
      </c>
    </row>
    <row r="1629" spans="1:68">
      <c r="A1629" s="33" t="str">
        <f>Database_Productkaarten[[#This Row],[Product]]&amp;", "&amp;Database_Productkaarten[[#This Row],[Levensfase]]</f>
        <v>C30/37 CEM I – 30% betongranulaat, A3</v>
      </c>
      <c r="B1629" s="33" t="s">
        <v>675</v>
      </c>
      <c r="C1629" t="s">
        <v>664</v>
      </c>
      <c r="D1629" s="33" t="s">
        <v>665</v>
      </c>
      <c r="E1629" s="33" t="s">
        <v>666</v>
      </c>
      <c r="F1629" s="33" t="s">
        <v>76</v>
      </c>
      <c r="G1629" s="33">
        <v>1</v>
      </c>
      <c r="H1629" s="33">
        <v>1</v>
      </c>
      <c r="I1629" s="33">
        <v>1</v>
      </c>
      <c r="L1629">
        <v>2.3855</v>
      </c>
      <c r="M1629">
        <v>2.3855</v>
      </c>
      <c r="N1629" s="41">
        <v>0.21762659000000001</v>
      </c>
      <c r="O1629" s="33">
        <v>100</v>
      </c>
      <c r="P1629" s="163">
        <v>8.0100951000000002E-7</v>
      </c>
      <c r="Q1629" s="163">
        <v>2.2691415E-2</v>
      </c>
      <c r="R1629" s="163">
        <v>2.8229009999999999</v>
      </c>
      <c r="S1629" s="163">
        <v>2.1849625000000001E-7</v>
      </c>
      <c r="T1629" s="163">
        <v>6.8559643999999999E-4</v>
      </c>
      <c r="U1629" s="163">
        <v>6.7173221999999996E-3</v>
      </c>
      <c r="V1629" s="163">
        <v>1.5091712E-3</v>
      </c>
      <c r="W1629" s="163">
        <v>0.30788844999999998</v>
      </c>
      <c r="X1629" s="163">
        <v>6.2779087000000003E-3</v>
      </c>
      <c r="Y1629" s="163">
        <v>28.911196</v>
      </c>
      <c r="Z1629" s="163">
        <v>3.8631784999999998E-3</v>
      </c>
      <c r="AA1629" s="40"/>
      <c r="AB1629" s="40"/>
      <c r="AC1629" s="40"/>
      <c r="AD1629" s="40"/>
      <c r="AE1629" s="40"/>
      <c r="AF1629" s="40"/>
      <c r="AG1629" s="40"/>
      <c r="AH1629" s="40"/>
      <c r="AI1629" s="40"/>
      <c r="AJ1629" s="40"/>
      <c r="AK1629" s="40"/>
      <c r="AL1629" s="40"/>
      <c r="AM1629" s="40"/>
      <c r="AN1629" s="40"/>
      <c r="AO1629" s="40"/>
      <c r="AP1629" s="40"/>
      <c r="AQ1629" s="40"/>
      <c r="AR1629" s="40"/>
      <c r="AS1629" s="40"/>
      <c r="AT1629" s="40"/>
      <c r="AU1629" s="40"/>
      <c r="AV1629" s="163">
        <v>3.3736081000000002</v>
      </c>
      <c r="AW1629" s="40"/>
      <c r="AX1629" s="40"/>
      <c r="AY1629" s="40">
        <v>45.835557999999999</v>
      </c>
      <c r="AZ1629" s="40"/>
      <c r="BA1629" s="40"/>
      <c r="BB1629" s="40"/>
      <c r="BC1629" s="40">
        <v>8.7932002999999998E-3</v>
      </c>
      <c r="BD1629" s="163">
        <v>2.1576268999999999E-4</v>
      </c>
      <c r="BE1629" s="163">
        <v>8.7286928999999999E-2</v>
      </c>
      <c r="BF1629" s="40"/>
      <c r="BG1629" s="40"/>
      <c r="BH1629" s="40"/>
      <c r="BI1629" s="40"/>
      <c r="BJ1629" s="40"/>
      <c r="BK1629" s="40"/>
      <c r="BL1629" s="62">
        <v>0.13417009305345162</v>
      </c>
      <c r="BM1629" s="275">
        <v>3</v>
      </c>
      <c r="BN1629" s="62">
        <v>0.05</v>
      </c>
      <c r="BO1629" t="s">
        <v>676</v>
      </c>
      <c r="BP1629" s="33" t="s">
        <v>677</v>
      </c>
    </row>
    <row r="1630" spans="1:68">
      <c r="A1630" s="33" t="str">
        <f>Database_Productkaarten[[#This Row],[Product]]&amp;", "&amp;Database_Productkaarten[[#This Row],[Levensfase]]</f>
        <v>C30/37 CEM I – 30% betongranulaat, A1-A3</v>
      </c>
      <c r="B1630" s="33" t="s">
        <v>675</v>
      </c>
      <c r="C1630" t="s">
        <v>664</v>
      </c>
      <c r="D1630" s="33" t="s">
        <v>665</v>
      </c>
      <c r="E1630" s="33" t="s">
        <v>666</v>
      </c>
      <c r="F1630" s="451" t="s">
        <v>77</v>
      </c>
      <c r="G1630" s="33">
        <v>1</v>
      </c>
      <c r="H1630" s="33">
        <v>1</v>
      </c>
      <c r="I1630" s="33">
        <v>1</v>
      </c>
      <c r="L1630">
        <v>2.3855</v>
      </c>
      <c r="M1630">
        <v>2.3855</v>
      </c>
      <c r="N1630" s="41">
        <f>SUM(N1627:N1629)</f>
        <v>24.912912289999998</v>
      </c>
      <c r="O1630" s="33">
        <v>100</v>
      </c>
      <c r="P1630" s="40">
        <f t="shared" ref="P1630:Z1630" si="783">SUM(P1627:P1629)</f>
        <v>3.2228911550999997E-4</v>
      </c>
      <c r="Q1630" s="40">
        <f t="shared" si="783"/>
        <v>0.83216544800000003</v>
      </c>
      <c r="R1630" s="40">
        <f t="shared" si="783"/>
        <v>356.00798699999996</v>
      </c>
      <c r="S1630" s="40">
        <f t="shared" si="783"/>
        <v>8.1068615499999991E-6</v>
      </c>
      <c r="T1630" s="40">
        <f t="shared" si="783"/>
        <v>5.7906792239999998E-2</v>
      </c>
      <c r="U1630" s="40">
        <f t="shared" si="783"/>
        <v>0.62675570819999993</v>
      </c>
      <c r="V1630" s="40">
        <f t="shared" si="783"/>
        <v>0.14845802019999998</v>
      </c>
      <c r="W1630" s="40">
        <f t="shared" si="783"/>
        <v>28.943243450000001</v>
      </c>
      <c r="X1630" s="40">
        <f t="shared" si="783"/>
        <v>0.77102761870000003</v>
      </c>
      <c r="Y1630" s="40">
        <f t="shared" si="783"/>
        <v>3586.1614560000003</v>
      </c>
      <c r="Z1630" s="40">
        <f t="shared" si="783"/>
        <v>0.55789810249999994</v>
      </c>
      <c r="AA1630" s="40"/>
      <c r="AB1630" s="40"/>
      <c r="AC1630" s="40"/>
      <c r="AD1630" s="40"/>
      <c r="AE1630" s="40"/>
      <c r="AF1630" s="40"/>
      <c r="AG1630" s="40"/>
      <c r="AH1630" s="40"/>
      <c r="AI1630" s="40"/>
      <c r="AJ1630" s="40"/>
      <c r="AK1630" s="40"/>
      <c r="AL1630" s="40"/>
      <c r="AM1630" s="40"/>
      <c r="AN1630" s="40"/>
      <c r="AO1630" s="40"/>
      <c r="AP1630" s="40"/>
      <c r="AQ1630" s="40"/>
      <c r="AR1630" s="40"/>
      <c r="AS1630" s="40"/>
      <c r="AT1630" s="40"/>
      <c r="AU1630" s="40"/>
      <c r="AV1630" s="40">
        <f>SUM(AV1627:AV1629)</f>
        <v>321.38809640000005</v>
      </c>
      <c r="AW1630" s="40"/>
      <c r="AX1630" s="40"/>
      <c r="AY1630" s="40">
        <f>SUM(AY1627:AY1629)</f>
        <v>1934.3377379999999</v>
      </c>
      <c r="AZ1630" s="40"/>
      <c r="BA1630" s="40"/>
      <c r="BB1630" s="40"/>
      <c r="BC1630" s="40">
        <f>SUM(BC1627:BC1629)</f>
        <v>19.964778915300002</v>
      </c>
      <c r="BD1630" s="40">
        <f>SUM(BD1627:BD1629)</f>
        <v>239.88526731829</v>
      </c>
      <c r="BE1630" s="40">
        <f>SUM(BE1627:BE1629)</f>
        <v>24.324305929000001</v>
      </c>
      <c r="BF1630" s="40"/>
      <c r="BG1630" s="40"/>
      <c r="BH1630" s="40"/>
      <c r="BI1630" s="40"/>
      <c r="BJ1630" s="40"/>
      <c r="BK1630" s="40"/>
      <c r="BL1630" s="62">
        <v>0.13417009305345162</v>
      </c>
      <c r="BM1630" s="275">
        <v>3</v>
      </c>
      <c r="BN1630" s="62">
        <v>0.05</v>
      </c>
      <c r="BO1630" t="s">
        <v>676</v>
      </c>
      <c r="BP1630" s="33" t="s">
        <v>677</v>
      </c>
    </row>
    <row r="1631" spans="1:68">
      <c r="A1631" s="33" t="str">
        <f>Database_Productkaarten[[#This Row],[Product]]&amp;", "&amp;Database_Productkaarten[[#This Row],[Levensfase]]</f>
        <v>C30/37 CEM I – 30% betongranulaat, A4</v>
      </c>
      <c r="B1631" s="33" t="s">
        <v>675</v>
      </c>
      <c r="C1631" t="s">
        <v>664</v>
      </c>
      <c r="D1631" s="33" t="s">
        <v>665</v>
      </c>
      <c r="E1631" s="33" t="s">
        <v>666</v>
      </c>
      <c r="F1631" s="33" t="s">
        <v>78</v>
      </c>
      <c r="G1631" s="33">
        <v>1</v>
      </c>
      <c r="H1631" s="33">
        <v>1</v>
      </c>
      <c r="I1631" s="33">
        <v>1</v>
      </c>
      <c r="L1631">
        <v>2.3855</v>
      </c>
      <c r="M1631">
        <v>2.3855</v>
      </c>
      <c r="N1631" s="41">
        <v>1.7977036</v>
      </c>
      <c r="O1631" s="33">
        <v>100</v>
      </c>
      <c r="P1631" s="40">
        <v>4.3265103000000002E-5</v>
      </c>
      <c r="Q1631" s="40">
        <v>0.11229606</v>
      </c>
      <c r="R1631" s="40">
        <v>15.213666</v>
      </c>
      <c r="S1631" s="40">
        <v>2.8035784000000001E-6</v>
      </c>
      <c r="T1631" s="40">
        <v>8.9795898999999995E-3</v>
      </c>
      <c r="U1631" s="40">
        <v>6.5957803999999995E-2</v>
      </c>
      <c r="V1631" s="40">
        <v>1.3143599000000001E-2</v>
      </c>
      <c r="W1631" s="40">
        <v>6.0866553999999997</v>
      </c>
      <c r="X1631" s="40">
        <v>0.17851341000000001</v>
      </c>
      <c r="Y1631" s="40">
        <v>644.30781000000002</v>
      </c>
      <c r="Z1631" s="40">
        <v>2.15658E-2</v>
      </c>
      <c r="AA1631" s="40"/>
      <c r="AB1631" s="40"/>
      <c r="AC1631" s="40"/>
      <c r="AD1631" s="40"/>
      <c r="AE1631" s="40"/>
      <c r="AF1631" s="40"/>
      <c r="AG1631" s="40"/>
      <c r="AH1631" s="40"/>
      <c r="AI1631" s="40"/>
      <c r="AJ1631" s="40"/>
      <c r="AK1631" s="40"/>
      <c r="AL1631" s="40"/>
      <c r="AM1631" s="40"/>
      <c r="AN1631" s="40"/>
      <c r="AO1631" s="40"/>
      <c r="AP1631" s="40"/>
      <c r="AQ1631" s="40"/>
      <c r="AR1631" s="40"/>
      <c r="AS1631" s="40"/>
      <c r="AT1631" s="40"/>
      <c r="AU1631" s="40"/>
      <c r="AV1631" s="40">
        <v>3.2037808999999999</v>
      </c>
      <c r="AW1631" s="40"/>
      <c r="AX1631" s="40"/>
      <c r="AY1631" s="40">
        <v>250.34288000000001</v>
      </c>
      <c r="AZ1631" s="40"/>
      <c r="BA1631" s="40"/>
      <c r="BB1631" s="40"/>
      <c r="BC1631" s="40">
        <v>4.5023541E-2</v>
      </c>
      <c r="BD1631" s="40">
        <v>1.7289352000000001E-3</v>
      </c>
      <c r="BE1631" s="40">
        <v>14.389898000000001</v>
      </c>
      <c r="BF1631" s="40"/>
      <c r="BG1631" s="40"/>
      <c r="BH1631" s="40"/>
      <c r="BI1631" s="40"/>
      <c r="BJ1631" s="40"/>
      <c r="BK1631" s="40"/>
      <c r="BL1631" s="62">
        <v>0.13417009305345162</v>
      </c>
      <c r="BM1631" s="275">
        <v>3</v>
      </c>
      <c r="BN1631" s="62">
        <v>0.05</v>
      </c>
      <c r="BO1631" t="s">
        <v>676</v>
      </c>
      <c r="BP1631" s="33" t="s">
        <v>677</v>
      </c>
    </row>
    <row r="1632" spans="1:68">
      <c r="A1632" s="33" t="str">
        <f>Database_Productkaarten[[#This Row],[Product]]&amp;", "&amp;Database_Productkaarten[[#This Row],[Levensfase]]</f>
        <v>C30/37 CEM I – 30% betongranulaat, A5</v>
      </c>
      <c r="B1632" s="33" t="s">
        <v>675</v>
      </c>
      <c r="C1632" t="s">
        <v>664</v>
      </c>
      <c r="D1632" s="33" t="s">
        <v>665</v>
      </c>
      <c r="E1632" s="33" t="s">
        <v>666</v>
      </c>
      <c r="F1632" s="33" t="s">
        <v>79</v>
      </c>
      <c r="G1632" s="33">
        <v>1</v>
      </c>
      <c r="H1632" s="33">
        <v>1</v>
      </c>
      <c r="I1632" s="33">
        <v>1</v>
      </c>
      <c r="L1632">
        <v>2.3855</v>
      </c>
      <c r="M1632">
        <v>2.3855</v>
      </c>
      <c r="N1632" s="41">
        <v>2.5822216999999998</v>
      </c>
      <c r="O1632" s="33">
        <v>100</v>
      </c>
      <c r="P1632" s="40">
        <v>2.1449615E-5</v>
      </c>
      <c r="Q1632" s="40">
        <v>0.11440008</v>
      </c>
      <c r="R1632" s="40">
        <v>28.165476999999999</v>
      </c>
      <c r="S1632" s="40">
        <v>2.2827162000000001E-6</v>
      </c>
      <c r="T1632" s="40">
        <v>1.2571367999999999E-2</v>
      </c>
      <c r="U1632" s="40">
        <v>0.10388014</v>
      </c>
      <c r="V1632" s="40">
        <v>2.3655807000000001E-2</v>
      </c>
      <c r="W1632" s="40">
        <v>5.0914748000000003</v>
      </c>
      <c r="X1632" s="40">
        <v>9.9187158999999997E-2</v>
      </c>
      <c r="Y1632" s="40">
        <v>386.37493999999998</v>
      </c>
      <c r="Z1632" s="40">
        <v>3.6008935999999998E-2</v>
      </c>
      <c r="AA1632" s="40"/>
      <c r="AB1632" s="40"/>
      <c r="AC1632" s="40"/>
      <c r="AD1632" s="40"/>
      <c r="AE1632" s="40"/>
      <c r="AF1632" s="40"/>
      <c r="AG1632" s="40"/>
      <c r="AH1632" s="40"/>
      <c r="AI1632" s="40"/>
      <c r="AJ1632" s="40"/>
      <c r="AK1632" s="40"/>
      <c r="AL1632" s="40"/>
      <c r="AM1632" s="40"/>
      <c r="AN1632" s="40"/>
      <c r="AO1632" s="40"/>
      <c r="AP1632" s="40"/>
      <c r="AQ1632" s="40"/>
      <c r="AR1632" s="40"/>
      <c r="AS1632" s="40"/>
      <c r="AT1632" s="40"/>
      <c r="AU1632" s="40"/>
      <c r="AV1632" s="40">
        <v>17.247838000000002</v>
      </c>
      <c r="AW1632" s="40"/>
      <c r="AX1632" s="40"/>
      <c r="AY1632" s="40">
        <v>259.84665000000001</v>
      </c>
      <c r="AZ1632" s="40"/>
      <c r="BA1632" s="40"/>
      <c r="BB1632" s="40"/>
      <c r="BC1632" s="40">
        <v>0.87651327000000001</v>
      </c>
      <c r="BD1632" s="40">
        <v>11.995391</v>
      </c>
      <c r="BE1632" s="40">
        <v>4.2577777000000001</v>
      </c>
      <c r="BF1632" s="40"/>
      <c r="BG1632" s="40"/>
      <c r="BH1632" s="40"/>
      <c r="BI1632" s="40"/>
      <c r="BJ1632" s="40"/>
      <c r="BK1632" s="40"/>
      <c r="BL1632" s="62">
        <v>0.13417009305345162</v>
      </c>
      <c r="BM1632" s="275">
        <v>3</v>
      </c>
      <c r="BN1632" s="62">
        <v>0.05</v>
      </c>
      <c r="BO1632" t="s">
        <v>676</v>
      </c>
      <c r="BP1632" s="33" t="s">
        <v>677</v>
      </c>
    </row>
    <row r="1633" spans="1:68">
      <c r="A1633" s="33" t="str">
        <f>Database_Productkaarten[[#This Row],[Product]]&amp;", "&amp;Database_Productkaarten[[#This Row],[Levensfase]]</f>
        <v>C30/37 CEM I – 30% betongranulaat, B1</v>
      </c>
      <c r="B1633" s="33" t="s">
        <v>675</v>
      </c>
      <c r="C1633" t="s">
        <v>664</v>
      </c>
      <c r="D1633" s="33" t="s">
        <v>665</v>
      </c>
      <c r="E1633" s="33" t="s">
        <v>666</v>
      </c>
      <c r="F1633" s="33" t="s">
        <v>80</v>
      </c>
      <c r="G1633" s="33">
        <v>1</v>
      </c>
      <c r="H1633" s="33">
        <v>1</v>
      </c>
      <c r="I1633" s="33">
        <v>1</v>
      </c>
      <c r="L1633">
        <v>2.3855</v>
      </c>
      <c r="M1633">
        <v>2.3855</v>
      </c>
      <c r="N1633" s="41">
        <v>0</v>
      </c>
      <c r="O1633" s="33">
        <v>100</v>
      </c>
      <c r="P1633" s="40">
        <v>0</v>
      </c>
      <c r="Q1633" s="40">
        <v>0</v>
      </c>
      <c r="R1633" s="40">
        <v>0</v>
      </c>
      <c r="S1633" s="40">
        <v>0</v>
      </c>
      <c r="T1633" s="40">
        <v>0</v>
      </c>
      <c r="U1633" s="40">
        <v>0</v>
      </c>
      <c r="V1633" s="40">
        <v>0</v>
      </c>
      <c r="W1633" s="40">
        <v>0</v>
      </c>
      <c r="X1633" s="40">
        <v>0</v>
      </c>
      <c r="Y1633" s="40">
        <v>0</v>
      </c>
      <c r="Z1633" s="40">
        <v>0</v>
      </c>
      <c r="AA1633" s="40"/>
      <c r="AB1633" s="40"/>
      <c r="AC1633" s="40"/>
      <c r="AD1633" s="40"/>
      <c r="AE1633" s="40"/>
      <c r="AF1633" s="40"/>
      <c r="AG1633" s="40"/>
      <c r="AH1633" s="40"/>
      <c r="AI1633" s="40"/>
      <c r="AJ1633" s="40"/>
      <c r="AK1633" s="40"/>
      <c r="AL1633" s="40"/>
      <c r="AM1633" s="40"/>
      <c r="AN1633" s="40"/>
      <c r="AO1633" s="40"/>
      <c r="AP1633" s="40"/>
      <c r="AQ1633" s="40"/>
      <c r="AR1633" s="40"/>
      <c r="AS1633" s="40"/>
      <c r="AT1633" s="40"/>
      <c r="AU1633" s="40"/>
      <c r="AV1633" s="40">
        <v>0</v>
      </c>
      <c r="AW1633" s="40"/>
      <c r="AX1633" s="40"/>
      <c r="AY1633" s="40">
        <v>0</v>
      </c>
      <c r="AZ1633" s="40"/>
      <c r="BA1633" s="40"/>
      <c r="BB1633" s="40"/>
      <c r="BC1633" s="40">
        <v>0</v>
      </c>
      <c r="BD1633" s="40">
        <v>0</v>
      </c>
      <c r="BE1633" s="40">
        <v>0</v>
      </c>
      <c r="BF1633" s="40"/>
      <c r="BG1633" s="40"/>
      <c r="BH1633" s="40"/>
      <c r="BI1633" s="40"/>
      <c r="BJ1633" s="40"/>
      <c r="BK1633" s="40"/>
      <c r="BL1633" s="62">
        <v>0.13417009305345162</v>
      </c>
      <c r="BM1633" s="275">
        <v>3</v>
      </c>
      <c r="BN1633" s="62">
        <v>0.05</v>
      </c>
      <c r="BO1633" t="s">
        <v>676</v>
      </c>
      <c r="BP1633" s="33" t="s">
        <v>677</v>
      </c>
    </row>
    <row r="1634" spans="1:68">
      <c r="A1634" s="33" t="str">
        <f>Database_Productkaarten[[#This Row],[Product]]&amp;", "&amp;Database_Productkaarten[[#This Row],[Levensfase]]</f>
        <v>C30/37 CEM I – 30% betongranulaat, C1</v>
      </c>
      <c r="B1634" s="33" t="s">
        <v>675</v>
      </c>
      <c r="C1634" t="s">
        <v>664</v>
      </c>
      <c r="D1634" s="33" t="s">
        <v>665</v>
      </c>
      <c r="E1634" s="33" t="s">
        <v>666</v>
      </c>
      <c r="F1634" s="33" t="s">
        <v>83</v>
      </c>
      <c r="G1634" s="33">
        <v>1</v>
      </c>
      <c r="H1634" s="33">
        <v>1</v>
      </c>
      <c r="I1634" s="33">
        <v>1</v>
      </c>
      <c r="L1634">
        <v>2.3855</v>
      </c>
      <c r="M1634">
        <v>2.3855</v>
      </c>
      <c r="N1634" s="41">
        <v>2.6945806000000001</v>
      </c>
      <c r="O1634" s="33">
        <v>100</v>
      </c>
      <c r="P1634" s="40">
        <v>6.8173877E-6</v>
      </c>
      <c r="Q1634" s="40">
        <v>0.14046053999999999</v>
      </c>
      <c r="R1634" s="40">
        <v>20.357724999999999</v>
      </c>
      <c r="S1634" s="40">
        <v>3.6668741000000001E-6</v>
      </c>
      <c r="T1634" s="40">
        <v>2.0520073E-2</v>
      </c>
      <c r="U1634" s="40">
        <v>0.15403662000000001</v>
      </c>
      <c r="V1634" s="40">
        <v>3.4492057E-2</v>
      </c>
      <c r="W1634" s="40">
        <v>7.2064998999999998</v>
      </c>
      <c r="X1634" s="40">
        <v>0.10078217</v>
      </c>
      <c r="Y1634" s="40">
        <v>341.63459999999998</v>
      </c>
      <c r="Z1634" s="40">
        <v>1.2041859E-2</v>
      </c>
      <c r="AA1634" s="40"/>
      <c r="AB1634" s="40"/>
      <c r="AC1634" s="40"/>
      <c r="AD1634" s="40"/>
      <c r="AE1634" s="40"/>
      <c r="AF1634" s="40"/>
      <c r="AG1634" s="40"/>
      <c r="AH1634" s="40"/>
      <c r="AI1634" s="40"/>
      <c r="AJ1634" s="40"/>
      <c r="AK1634" s="40"/>
      <c r="AL1634" s="40"/>
      <c r="AM1634" s="40"/>
      <c r="AN1634" s="40"/>
      <c r="AO1634" s="40"/>
      <c r="AP1634" s="40"/>
      <c r="AQ1634" s="40"/>
      <c r="AR1634" s="40"/>
      <c r="AS1634" s="40"/>
      <c r="AT1634" s="40"/>
      <c r="AU1634" s="40"/>
      <c r="AV1634" s="40">
        <v>1.6917247</v>
      </c>
      <c r="AW1634" s="40"/>
      <c r="AX1634" s="40"/>
      <c r="AY1634" s="40">
        <v>315.0806</v>
      </c>
      <c r="AZ1634" s="40"/>
      <c r="BA1634" s="40"/>
      <c r="BB1634" s="40"/>
      <c r="BC1634" s="40">
        <v>2.5976834000000001E-2</v>
      </c>
      <c r="BD1634" s="40">
        <v>2.1813383999999998E-3</v>
      </c>
      <c r="BE1634" s="40">
        <v>0.32150378000000002</v>
      </c>
      <c r="BF1634" s="40"/>
      <c r="BG1634" s="40"/>
      <c r="BH1634" s="40"/>
      <c r="BI1634" s="40"/>
      <c r="BJ1634" s="40"/>
      <c r="BK1634" s="40"/>
      <c r="BL1634" s="62">
        <v>0.13417009305345162</v>
      </c>
      <c r="BM1634" s="275">
        <v>3</v>
      </c>
      <c r="BN1634" s="62">
        <v>0.05</v>
      </c>
      <c r="BO1634" t="s">
        <v>676</v>
      </c>
      <c r="BP1634" s="33" t="s">
        <v>677</v>
      </c>
    </row>
    <row r="1635" spans="1:68">
      <c r="A1635" s="33" t="str">
        <f>Database_Productkaarten[[#This Row],[Product]]&amp;", "&amp;Database_Productkaarten[[#This Row],[Levensfase]]</f>
        <v>C30/37 CEM I – 30% betongranulaat, C2</v>
      </c>
      <c r="B1635" s="33" t="s">
        <v>675</v>
      </c>
      <c r="C1635" t="s">
        <v>664</v>
      </c>
      <c r="D1635" s="33" t="s">
        <v>665</v>
      </c>
      <c r="E1635" s="33" t="s">
        <v>666</v>
      </c>
      <c r="F1635" s="33" t="s">
        <v>84</v>
      </c>
      <c r="G1635" s="33">
        <v>1</v>
      </c>
      <c r="H1635" s="33">
        <v>1</v>
      </c>
      <c r="I1635" s="33">
        <v>1</v>
      </c>
      <c r="L1635">
        <v>2.3855</v>
      </c>
      <c r="M1635">
        <v>2.3855</v>
      </c>
      <c r="N1635" s="41">
        <v>1.8156806000000001</v>
      </c>
      <c r="O1635" s="33">
        <v>100</v>
      </c>
      <c r="P1635" s="40">
        <v>4.3697754000000001E-5</v>
      </c>
      <c r="Q1635" s="40">
        <v>0.11341902</v>
      </c>
      <c r="R1635" s="40">
        <v>15.365802</v>
      </c>
      <c r="S1635" s="40">
        <v>2.8316142E-6</v>
      </c>
      <c r="T1635" s="40">
        <v>9.0693857999999995E-3</v>
      </c>
      <c r="U1635" s="40">
        <v>6.6617382000000003E-2</v>
      </c>
      <c r="V1635" s="40">
        <v>1.3275034999999999E-2</v>
      </c>
      <c r="W1635" s="40">
        <v>6.1475219000000001</v>
      </c>
      <c r="X1635" s="40">
        <v>0.18029854000000001</v>
      </c>
      <c r="Y1635" s="40">
        <v>650.75089000000003</v>
      </c>
      <c r="Z1635" s="40">
        <v>2.1781458E-2</v>
      </c>
      <c r="AA1635" s="40"/>
      <c r="AB1635" s="40"/>
      <c r="AC1635" s="40"/>
      <c r="AD1635" s="40"/>
      <c r="AE1635" s="40"/>
      <c r="AF1635" s="40"/>
      <c r="AG1635" s="40"/>
      <c r="AH1635" s="40"/>
      <c r="AI1635" s="40"/>
      <c r="AJ1635" s="40"/>
      <c r="AK1635" s="40"/>
      <c r="AL1635" s="40"/>
      <c r="AM1635" s="40"/>
      <c r="AN1635" s="40"/>
      <c r="AO1635" s="40"/>
      <c r="AP1635" s="40"/>
      <c r="AQ1635" s="40"/>
      <c r="AR1635" s="40"/>
      <c r="AS1635" s="40"/>
      <c r="AT1635" s="40"/>
      <c r="AU1635" s="40"/>
      <c r="AV1635" s="40">
        <v>3.2358186999999998</v>
      </c>
      <c r="AW1635" s="40"/>
      <c r="AX1635" s="40"/>
      <c r="AY1635" s="40">
        <v>252.84630000000001</v>
      </c>
      <c r="AZ1635" s="40"/>
      <c r="BA1635" s="40"/>
      <c r="BB1635" s="40"/>
      <c r="BC1635" s="40">
        <v>4.5473777E-2</v>
      </c>
      <c r="BD1635" s="40">
        <v>1.7462246E-3</v>
      </c>
      <c r="BE1635" s="40">
        <v>14.533797</v>
      </c>
      <c r="BF1635" s="40"/>
      <c r="BG1635" s="40"/>
      <c r="BH1635" s="40"/>
      <c r="BI1635" s="40"/>
      <c r="BJ1635" s="40"/>
      <c r="BK1635" s="40"/>
      <c r="BL1635" s="62">
        <v>0.13417009305345162</v>
      </c>
      <c r="BM1635" s="275">
        <v>3</v>
      </c>
      <c r="BN1635" s="62">
        <v>0.05</v>
      </c>
      <c r="BO1635" t="s">
        <v>676</v>
      </c>
      <c r="BP1635" s="33" t="s">
        <v>677</v>
      </c>
    </row>
    <row r="1636" spans="1:68">
      <c r="A1636" s="33" t="str">
        <f>Database_Productkaarten[[#This Row],[Product]]&amp;", "&amp;Database_Productkaarten[[#This Row],[Levensfase]]</f>
        <v>C30/37 CEM I – 30% betongranulaat, C3</v>
      </c>
      <c r="B1636" s="33" t="s">
        <v>675</v>
      </c>
      <c r="C1636" t="s">
        <v>664</v>
      </c>
      <c r="D1636" s="33" t="s">
        <v>665</v>
      </c>
      <c r="E1636" s="33" t="s">
        <v>666</v>
      </c>
      <c r="F1636" s="33" t="s">
        <v>85</v>
      </c>
      <c r="G1636" s="33">
        <v>1</v>
      </c>
      <c r="H1636" s="33">
        <v>1</v>
      </c>
      <c r="I1636" s="33">
        <v>1</v>
      </c>
      <c r="L1636">
        <v>2.3855</v>
      </c>
      <c r="M1636">
        <v>2.3855</v>
      </c>
      <c r="N1636" s="41">
        <v>0.37060998000000001</v>
      </c>
      <c r="O1636" s="33">
        <v>100</v>
      </c>
      <c r="P1636" s="40">
        <v>2.2156517999999999E-6</v>
      </c>
      <c r="Q1636" s="40">
        <v>2.7491445E-2</v>
      </c>
      <c r="R1636" s="40">
        <v>3.6490071999999998</v>
      </c>
      <c r="S1636" s="40">
        <v>4.2387606000000001E-7</v>
      </c>
      <c r="T1636" s="40">
        <v>2.0444914E-3</v>
      </c>
      <c r="U1636" s="40">
        <v>1.6859186000000002E-2</v>
      </c>
      <c r="V1636" s="40">
        <v>3.8019028000000001E-3</v>
      </c>
      <c r="W1636" s="40">
        <v>0.79830294999999996</v>
      </c>
      <c r="X1636" s="40">
        <v>1.3325762999999999E-2</v>
      </c>
      <c r="Y1636" s="40">
        <v>51.118741</v>
      </c>
      <c r="Z1636" s="40">
        <v>1.0769231000000001E-2</v>
      </c>
      <c r="AA1636" s="40"/>
      <c r="AB1636" s="40"/>
      <c r="AC1636" s="40"/>
      <c r="AD1636" s="40"/>
      <c r="AE1636" s="40"/>
      <c r="AF1636" s="40"/>
      <c r="AG1636" s="40"/>
      <c r="AH1636" s="40"/>
      <c r="AI1636" s="40"/>
      <c r="AJ1636" s="40"/>
      <c r="AK1636" s="40"/>
      <c r="AL1636" s="40"/>
      <c r="AM1636" s="40"/>
      <c r="AN1636" s="40"/>
      <c r="AO1636" s="40"/>
      <c r="AP1636" s="40"/>
      <c r="AQ1636" s="40"/>
      <c r="AR1636" s="40"/>
      <c r="AS1636" s="40"/>
      <c r="AT1636" s="40"/>
      <c r="AU1636" s="40"/>
      <c r="AV1636" s="40">
        <v>2.9608262000000001</v>
      </c>
      <c r="AW1636" s="40"/>
      <c r="AX1636" s="40"/>
      <c r="AY1636" s="40">
        <v>57.562061999999997</v>
      </c>
      <c r="AZ1636" s="40"/>
      <c r="BA1636" s="40"/>
      <c r="BB1636" s="40"/>
      <c r="BC1636" s="40">
        <v>9.1850418E-3</v>
      </c>
      <c r="BD1636" s="40">
        <v>3.3345325000000002E-4</v>
      </c>
      <c r="BE1636" s="40">
        <v>6.9606178999999999</v>
      </c>
      <c r="BF1636" s="40"/>
      <c r="BG1636" s="40"/>
      <c r="BH1636" s="40"/>
      <c r="BI1636" s="40"/>
      <c r="BJ1636" s="40"/>
      <c r="BK1636" s="40"/>
      <c r="BL1636" s="62">
        <v>0.13417009305345162</v>
      </c>
      <c r="BM1636" s="275">
        <v>3</v>
      </c>
      <c r="BN1636" s="62">
        <v>0.05</v>
      </c>
      <c r="BO1636" t="s">
        <v>676</v>
      </c>
      <c r="BP1636" s="33" t="s">
        <v>677</v>
      </c>
    </row>
    <row r="1637" spans="1:68">
      <c r="A1637" s="33" t="str">
        <f>Database_Productkaarten[[#This Row],[Product]]&amp;", "&amp;Database_Productkaarten[[#This Row],[Levensfase]]</f>
        <v>C30/37 CEM I – 30% betongranulaat, C4</v>
      </c>
      <c r="B1637" s="33" t="s">
        <v>675</v>
      </c>
      <c r="C1637" t="s">
        <v>664</v>
      </c>
      <c r="D1637" s="33" t="s">
        <v>665</v>
      </c>
      <c r="E1637" s="33" t="s">
        <v>666</v>
      </c>
      <c r="F1637" s="33" t="s">
        <v>86</v>
      </c>
      <c r="G1637" s="33">
        <v>1</v>
      </c>
      <c r="H1637" s="33">
        <v>1</v>
      </c>
      <c r="I1637" s="33">
        <v>1</v>
      </c>
      <c r="L1637">
        <v>2.3855</v>
      </c>
      <c r="M1637">
        <v>2.3855</v>
      </c>
      <c r="N1637" s="41">
        <v>1.6902145E-2</v>
      </c>
      <c r="O1637" s="33">
        <v>100</v>
      </c>
      <c r="P1637" s="40">
        <v>1.4087724E-7</v>
      </c>
      <c r="Q1637" s="40">
        <v>1.6797444999999999E-3</v>
      </c>
      <c r="R1637" s="40">
        <v>0.12343012</v>
      </c>
      <c r="S1637" s="40">
        <v>4.0853427999999999E-8</v>
      </c>
      <c r="T1637" s="40">
        <v>1.3080201999999999E-4</v>
      </c>
      <c r="U1637" s="40">
        <v>9.1207384999999997E-4</v>
      </c>
      <c r="V1637" s="40">
        <v>1.7165432E-4</v>
      </c>
      <c r="W1637" s="40">
        <v>5.0322073000000002E-2</v>
      </c>
      <c r="X1637" s="40">
        <v>1.2513148E-3</v>
      </c>
      <c r="Y1637" s="40">
        <v>4.3037532000000001</v>
      </c>
      <c r="Z1637" s="40">
        <v>1.4903192E-4</v>
      </c>
      <c r="AA1637" s="40"/>
      <c r="AB1637" s="40"/>
      <c r="AC1637" s="40"/>
      <c r="AD1637" s="40"/>
      <c r="AE1637" s="40"/>
      <c r="AF1637" s="40"/>
      <c r="AG1637" s="40"/>
      <c r="AH1637" s="40"/>
      <c r="AI1637" s="40"/>
      <c r="AJ1637" s="40"/>
      <c r="AK1637" s="40"/>
      <c r="AL1637" s="40"/>
      <c r="AM1637" s="40"/>
      <c r="AN1637" s="40"/>
      <c r="AO1637" s="40"/>
      <c r="AP1637" s="40"/>
      <c r="AQ1637" s="40"/>
      <c r="AR1637" s="40"/>
      <c r="AS1637" s="40"/>
      <c r="AT1637" s="40"/>
      <c r="AU1637" s="40"/>
      <c r="AV1637" s="40">
        <v>8.9974372999999996E-2</v>
      </c>
      <c r="AW1637" s="40"/>
      <c r="AX1637" s="40"/>
      <c r="AY1637" s="40">
        <v>3.7522464000000002</v>
      </c>
      <c r="AZ1637" s="40"/>
      <c r="BA1637" s="40"/>
      <c r="BB1637" s="40"/>
      <c r="BC1637" s="40">
        <v>3.7817851999999998E-3</v>
      </c>
      <c r="BD1637" s="40">
        <v>2.5488732E-5</v>
      </c>
      <c r="BE1637" s="40">
        <v>23.097536000000002</v>
      </c>
      <c r="BF1637" s="40"/>
      <c r="BG1637" s="40"/>
      <c r="BH1637" s="40"/>
      <c r="BI1637" s="40"/>
      <c r="BJ1637" s="40"/>
      <c r="BK1637" s="40"/>
      <c r="BL1637" s="62">
        <v>0.13417009305345162</v>
      </c>
      <c r="BM1637" s="275">
        <v>3</v>
      </c>
      <c r="BN1637" s="62">
        <v>0.05</v>
      </c>
      <c r="BO1637" t="s">
        <v>676</v>
      </c>
      <c r="BP1637" s="33" t="s">
        <v>677</v>
      </c>
    </row>
    <row r="1638" spans="1:68">
      <c r="A1638" s="33" t="str">
        <f>Database_Productkaarten[[#This Row],[Product]]&amp;", "&amp;Database_Productkaarten[[#This Row],[Levensfase]]</f>
        <v>C30/37 CEM I – 30% betongranulaat, D</v>
      </c>
      <c r="B1638" s="33" t="s">
        <v>675</v>
      </c>
      <c r="C1638" t="s">
        <v>664</v>
      </c>
      <c r="D1638" s="33" t="s">
        <v>665</v>
      </c>
      <c r="E1638" s="33" t="s">
        <v>666</v>
      </c>
      <c r="F1638" s="33" t="s">
        <v>89</v>
      </c>
      <c r="G1638" s="33">
        <v>1</v>
      </c>
      <c r="H1638" s="33">
        <v>1</v>
      </c>
      <c r="I1638" s="33">
        <v>1</v>
      </c>
      <c r="L1638">
        <v>2.3855</v>
      </c>
      <c r="M1638">
        <v>2.3855</v>
      </c>
      <c r="N1638" s="326">
        <v>-1.0576087000000001</v>
      </c>
      <c r="O1638" s="33">
        <v>100</v>
      </c>
      <c r="P1638" s="163">
        <v>-4.5720650999999997E-5</v>
      </c>
      <c r="Q1638" s="163">
        <v>-5.7729490000000001E-2</v>
      </c>
      <c r="R1638" s="163">
        <v>-8.7113992000000007</v>
      </c>
      <c r="S1638" s="163">
        <v>-7.4047198999999998E-7</v>
      </c>
      <c r="T1638" s="163">
        <v>-6.0817570999999997E-3</v>
      </c>
      <c r="U1638" s="163">
        <v>-4.9478019999999998E-2</v>
      </c>
      <c r="V1638" s="163">
        <v>-8.0839911E-3</v>
      </c>
      <c r="W1638" s="163">
        <v>-3.3762248000000001</v>
      </c>
      <c r="X1638" s="163">
        <v>-4.9172563000000002E-2</v>
      </c>
      <c r="Y1638" s="163">
        <v>-234.59031999999999</v>
      </c>
      <c r="Z1638" s="163">
        <v>-1.9109562E-2</v>
      </c>
      <c r="AA1638" s="40"/>
      <c r="AB1638" s="40"/>
      <c r="AC1638" s="40"/>
      <c r="AD1638" s="40"/>
      <c r="AE1638" s="40"/>
      <c r="AF1638" s="40"/>
      <c r="AG1638" s="40"/>
      <c r="AH1638" s="40"/>
      <c r="AI1638" s="40"/>
      <c r="AJ1638" s="40"/>
      <c r="AK1638" s="40"/>
      <c r="AL1638" s="40"/>
      <c r="AM1638" s="40"/>
      <c r="AN1638" s="40"/>
      <c r="AO1638" s="40"/>
      <c r="AP1638" s="40"/>
      <c r="AQ1638" s="40"/>
      <c r="AR1638" s="40"/>
      <c r="AS1638" s="40"/>
      <c r="AT1638" s="40"/>
      <c r="AU1638" s="40"/>
      <c r="AV1638" s="163">
        <v>-7.0885381000000001</v>
      </c>
      <c r="AW1638" s="40"/>
      <c r="AX1638" s="40"/>
      <c r="AY1638" s="40">
        <v>-115.99272000000001</v>
      </c>
      <c r="AZ1638" s="40"/>
      <c r="BA1638" s="40"/>
      <c r="BB1638" s="40"/>
      <c r="BC1638" s="40">
        <v>-2.7801252999999999</v>
      </c>
      <c r="BD1638" s="163">
        <v>-6.2056095999999999E-4</v>
      </c>
      <c r="BE1638" s="163">
        <v>-1.1127326</v>
      </c>
      <c r="BF1638" s="40"/>
      <c r="BG1638" s="40"/>
      <c r="BH1638" s="40"/>
      <c r="BI1638" s="40"/>
      <c r="BJ1638" s="40"/>
      <c r="BK1638" s="40"/>
      <c r="BL1638" s="62">
        <v>0.13417009305345162</v>
      </c>
      <c r="BM1638" s="275">
        <v>3</v>
      </c>
      <c r="BN1638" s="62">
        <v>0.05</v>
      </c>
      <c r="BO1638" t="s">
        <v>676</v>
      </c>
      <c r="BP1638" s="33" t="s">
        <v>677</v>
      </c>
    </row>
    <row r="1639" spans="1:68">
      <c r="A1639" s="33" t="str">
        <f>Database_Productkaarten[[#This Row],[Product]]&amp;", "&amp;Database_Productkaarten[[#This Row],[Levensfase]]</f>
        <v>C30/37 CEM III, A1</v>
      </c>
      <c r="B1639" s="33" t="s">
        <v>678</v>
      </c>
      <c r="C1639" t="s">
        <v>664</v>
      </c>
      <c r="D1639" s="33" t="s">
        <v>665</v>
      </c>
      <c r="E1639" s="33" t="s">
        <v>666</v>
      </c>
      <c r="F1639" s="33" t="s">
        <v>74</v>
      </c>
      <c r="G1639" s="33">
        <v>1</v>
      </c>
      <c r="H1639" s="33">
        <v>1</v>
      </c>
      <c r="I1639" s="33">
        <v>1</v>
      </c>
      <c r="L1639">
        <v>2.3105000000000002</v>
      </c>
      <c r="M1639">
        <v>2.3105000000000002</v>
      </c>
      <c r="N1639" s="41">
        <v>11.301539</v>
      </c>
      <c r="O1639" s="33">
        <v>100</v>
      </c>
      <c r="P1639" s="163">
        <v>2.5600668000000002E-4</v>
      </c>
      <c r="Q1639" s="163">
        <v>0.49113821000000002</v>
      </c>
      <c r="R1639" s="163">
        <v>136.77463</v>
      </c>
      <c r="S1639" s="163">
        <v>5.2383955999999998E-6</v>
      </c>
      <c r="T1639" s="163">
        <v>4.2446479000000002E-2</v>
      </c>
      <c r="U1639" s="163">
        <v>0.40723376999999999</v>
      </c>
      <c r="V1639" s="163">
        <v>7.3822571000000003E-2</v>
      </c>
      <c r="W1639" s="163">
        <v>19.204353999999999</v>
      </c>
      <c r="X1639" s="163">
        <v>0.42998127000000003</v>
      </c>
      <c r="Y1639" s="163">
        <v>2434.7941000000001</v>
      </c>
      <c r="Z1639" s="163">
        <v>0.35042262000000002</v>
      </c>
      <c r="AA1639" s="40"/>
      <c r="AB1639" s="40"/>
      <c r="AC1639" s="40"/>
      <c r="AD1639" s="40"/>
      <c r="AE1639" s="40"/>
      <c r="AF1639" s="40"/>
      <c r="AG1639" s="40"/>
      <c r="AH1639" s="40"/>
      <c r="AI1639" s="40"/>
      <c r="AJ1639" s="40"/>
      <c r="AK1639" s="40"/>
      <c r="AL1639" s="40"/>
      <c r="AM1639" s="40"/>
      <c r="AN1639" s="40"/>
      <c r="AO1639" s="40"/>
      <c r="AP1639" s="40"/>
      <c r="AQ1639" s="40"/>
      <c r="AR1639" s="40"/>
      <c r="AS1639" s="40"/>
      <c r="AT1639" s="40"/>
      <c r="AU1639" s="40"/>
      <c r="AV1639" s="163">
        <v>119.76449</v>
      </c>
      <c r="AW1639" s="40"/>
      <c r="AX1639" s="40"/>
      <c r="AY1639" s="40">
        <v>1061.9509</v>
      </c>
      <c r="AZ1639" s="40"/>
      <c r="BA1639" s="40"/>
      <c r="BB1639" s="40"/>
      <c r="BC1639" s="40">
        <v>14.275779</v>
      </c>
      <c r="BD1639" s="163">
        <v>53.021008999999999</v>
      </c>
      <c r="BE1639" s="163">
        <v>13.82072</v>
      </c>
      <c r="BF1639" s="40"/>
      <c r="BG1639" s="40"/>
      <c r="BH1639" s="40"/>
      <c r="BI1639" s="40"/>
      <c r="BJ1639" s="40"/>
      <c r="BK1639" s="40"/>
      <c r="BL1639" s="62">
        <v>8.7193460490463212E-2</v>
      </c>
      <c r="BM1639" s="275">
        <v>3</v>
      </c>
      <c r="BN1639" s="62">
        <v>0.05</v>
      </c>
      <c r="BO1639" t="s">
        <v>679</v>
      </c>
      <c r="BP1639" s="33" t="s">
        <v>677</v>
      </c>
    </row>
    <row r="1640" spans="1:68">
      <c r="A1640" s="33" t="str">
        <f>Database_Productkaarten[[#This Row],[Product]]&amp;", "&amp;Database_Productkaarten[[#This Row],[Levensfase]]</f>
        <v>C30/37 CEM III, A2</v>
      </c>
      <c r="B1640" s="33" t="s">
        <v>678</v>
      </c>
      <c r="C1640" t="s">
        <v>664</v>
      </c>
      <c r="D1640" s="33" t="s">
        <v>665</v>
      </c>
      <c r="E1640" s="33" t="s">
        <v>666</v>
      </c>
      <c r="F1640" s="33" t="s">
        <v>75</v>
      </c>
      <c r="G1640" s="33">
        <v>1</v>
      </c>
      <c r="H1640" s="33">
        <v>1</v>
      </c>
      <c r="I1640" s="33">
        <v>1</v>
      </c>
      <c r="L1640">
        <v>2.3105000000000002</v>
      </c>
      <c r="M1640">
        <v>2.3105000000000002</v>
      </c>
      <c r="N1640" s="41">
        <v>1.4938718</v>
      </c>
      <c r="O1640" s="33">
        <v>100</v>
      </c>
      <c r="P1640" s="163">
        <v>3.5952823000000002E-5</v>
      </c>
      <c r="Q1640" s="163">
        <v>9.3316783E-2</v>
      </c>
      <c r="R1640" s="163">
        <v>12.642388</v>
      </c>
      <c r="S1640" s="163">
        <v>2.3297426999999998E-6</v>
      </c>
      <c r="T1640" s="163">
        <v>7.4619400999999998E-3</v>
      </c>
      <c r="U1640" s="163">
        <v>5.4810207E-2</v>
      </c>
      <c r="V1640" s="163">
        <v>1.0922184999999999E-2</v>
      </c>
      <c r="W1640" s="163">
        <v>5.0579434000000001</v>
      </c>
      <c r="X1640" s="163">
        <v>0.14834267000000001</v>
      </c>
      <c r="Y1640" s="163">
        <v>535.41268000000002</v>
      </c>
      <c r="Z1640" s="163">
        <v>1.7920941999999999E-2</v>
      </c>
      <c r="AA1640" s="40"/>
      <c r="AB1640" s="40"/>
      <c r="AC1640" s="40"/>
      <c r="AD1640" s="40"/>
      <c r="AE1640" s="40"/>
      <c r="AF1640" s="40"/>
      <c r="AG1640" s="40"/>
      <c r="AH1640" s="40"/>
      <c r="AI1640" s="40"/>
      <c r="AJ1640" s="40"/>
      <c r="AK1640" s="40"/>
      <c r="AL1640" s="40"/>
      <c r="AM1640" s="40"/>
      <c r="AN1640" s="40"/>
      <c r="AO1640" s="40"/>
      <c r="AP1640" s="40"/>
      <c r="AQ1640" s="40"/>
      <c r="AR1640" s="40"/>
      <c r="AS1640" s="40"/>
      <c r="AT1640" s="40"/>
      <c r="AU1640" s="40"/>
      <c r="AV1640" s="163">
        <v>2.6623065000000001</v>
      </c>
      <c r="AW1640" s="40"/>
      <c r="AX1640" s="40"/>
      <c r="AY1640" s="40">
        <v>208.03216</v>
      </c>
      <c r="AZ1640" s="40"/>
      <c r="BA1640" s="40"/>
      <c r="BB1640" s="40"/>
      <c r="BC1640" s="40">
        <v>3.7414065000000003E-2</v>
      </c>
      <c r="BD1640" s="163">
        <v>1.4367261E-3</v>
      </c>
      <c r="BE1640" s="163">
        <v>11.957846</v>
      </c>
      <c r="BF1640" s="40"/>
      <c r="BG1640" s="40"/>
      <c r="BH1640" s="40"/>
      <c r="BI1640" s="40"/>
      <c r="BJ1640" s="40"/>
      <c r="BK1640" s="40"/>
      <c r="BL1640" s="62">
        <v>8.7193460490463212E-2</v>
      </c>
      <c r="BM1640" s="275">
        <v>3</v>
      </c>
      <c r="BN1640" s="62">
        <v>0.05</v>
      </c>
      <c r="BO1640" t="s">
        <v>679</v>
      </c>
      <c r="BP1640" s="33" t="s">
        <v>677</v>
      </c>
    </row>
    <row r="1641" spans="1:68">
      <c r="A1641" s="33" t="str">
        <f>Database_Productkaarten[[#This Row],[Product]]&amp;", "&amp;Database_Productkaarten[[#This Row],[Levensfase]]</f>
        <v>C30/37 CEM III, A3</v>
      </c>
      <c r="B1641" s="33" t="s">
        <v>678</v>
      </c>
      <c r="C1641" t="s">
        <v>664</v>
      </c>
      <c r="D1641" s="33" t="s">
        <v>665</v>
      </c>
      <c r="E1641" s="33" t="s">
        <v>666</v>
      </c>
      <c r="F1641" s="33" t="s">
        <v>76</v>
      </c>
      <c r="G1641" s="33">
        <v>1</v>
      </c>
      <c r="H1641" s="33">
        <v>1</v>
      </c>
      <c r="I1641" s="33">
        <v>1</v>
      </c>
      <c r="L1641">
        <v>2.3105000000000002</v>
      </c>
      <c r="M1641">
        <v>2.3105000000000002</v>
      </c>
      <c r="N1641" s="41">
        <v>0.21762659000000001</v>
      </c>
      <c r="O1641" s="33">
        <v>100</v>
      </c>
      <c r="P1641" s="163">
        <v>8.0100951000000002E-7</v>
      </c>
      <c r="Q1641" s="163">
        <v>2.2691415E-2</v>
      </c>
      <c r="R1641" s="163">
        <v>2.8229009999999999</v>
      </c>
      <c r="S1641" s="163">
        <v>2.1849625000000001E-7</v>
      </c>
      <c r="T1641" s="163">
        <v>6.8559643999999999E-4</v>
      </c>
      <c r="U1641" s="163">
        <v>6.7173221999999996E-3</v>
      </c>
      <c r="V1641" s="163">
        <v>1.5091712E-3</v>
      </c>
      <c r="W1641" s="163">
        <v>0.30788844999999998</v>
      </c>
      <c r="X1641" s="163">
        <v>6.2779087000000003E-3</v>
      </c>
      <c r="Y1641" s="163">
        <v>28.911196</v>
      </c>
      <c r="Z1641" s="163">
        <v>3.8631784999999998E-3</v>
      </c>
      <c r="AA1641" s="40"/>
      <c r="AB1641" s="40"/>
      <c r="AC1641" s="40"/>
      <c r="AD1641" s="40"/>
      <c r="AE1641" s="40"/>
      <c r="AF1641" s="40"/>
      <c r="AG1641" s="40"/>
      <c r="AH1641" s="40"/>
      <c r="AI1641" s="40"/>
      <c r="AJ1641" s="40"/>
      <c r="AK1641" s="40"/>
      <c r="AL1641" s="40"/>
      <c r="AM1641" s="40"/>
      <c r="AN1641" s="40"/>
      <c r="AO1641" s="40"/>
      <c r="AP1641" s="40"/>
      <c r="AQ1641" s="40"/>
      <c r="AR1641" s="40"/>
      <c r="AS1641" s="40"/>
      <c r="AT1641" s="40"/>
      <c r="AU1641" s="40"/>
      <c r="AV1641" s="163">
        <v>3.3736081000000002</v>
      </c>
      <c r="AW1641" s="40"/>
      <c r="AX1641" s="40"/>
      <c r="AY1641" s="40">
        <v>45.835557999999999</v>
      </c>
      <c r="AZ1641" s="40"/>
      <c r="BA1641" s="40"/>
      <c r="BB1641" s="40"/>
      <c r="BC1641" s="40">
        <v>8.7932002999999998E-3</v>
      </c>
      <c r="BD1641" s="163">
        <v>2.1576268999999999E-4</v>
      </c>
      <c r="BE1641" s="163">
        <v>8.7286928999999999E-2</v>
      </c>
      <c r="BF1641" s="40"/>
      <c r="BG1641" s="40"/>
      <c r="BH1641" s="40"/>
      <c r="BI1641" s="40"/>
      <c r="BJ1641" s="40"/>
      <c r="BK1641" s="40"/>
      <c r="BL1641" s="62">
        <v>8.7193460490463212E-2</v>
      </c>
      <c r="BM1641" s="275">
        <v>3</v>
      </c>
      <c r="BN1641" s="62">
        <v>0.05</v>
      </c>
      <c r="BO1641" t="s">
        <v>679</v>
      </c>
      <c r="BP1641" s="33" t="s">
        <v>677</v>
      </c>
    </row>
    <row r="1642" spans="1:68">
      <c r="A1642" s="33" t="str">
        <f>Database_Productkaarten[[#This Row],[Product]]&amp;", "&amp;Database_Productkaarten[[#This Row],[Levensfase]]</f>
        <v>C30/37 CEM III, A1-A3</v>
      </c>
      <c r="B1642" s="33" t="s">
        <v>678</v>
      </c>
      <c r="C1642" t="s">
        <v>664</v>
      </c>
      <c r="D1642" s="33" t="s">
        <v>665</v>
      </c>
      <c r="E1642" s="33" t="s">
        <v>666</v>
      </c>
      <c r="F1642" s="451" t="s">
        <v>77</v>
      </c>
      <c r="G1642" s="33">
        <v>1</v>
      </c>
      <c r="H1642" s="33">
        <v>1</v>
      </c>
      <c r="I1642" s="33">
        <v>1</v>
      </c>
      <c r="L1642">
        <v>2.3105000000000002</v>
      </c>
      <c r="M1642">
        <v>2.3105000000000002</v>
      </c>
      <c r="N1642" s="41">
        <f>SUM(N1639:N1641)</f>
        <v>13.013037389999999</v>
      </c>
      <c r="O1642" s="33">
        <v>100</v>
      </c>
      <c r="P1642" s="40">
        <f t="shared" ref="P1642:Z1642" si="784">SUM(P1639:P1641)</f>
        <v>2.9276051250999997E-4</v>
      </c>
      <c r="Q1642" s="40">
        <f t="shared" si="784"/>
        <v>0.60714640800000008</v>
      </c>
      <c r="R1642" s="40">
        <f t="shared" si="784"/>
        <v>152.23991900000001</v>
      </c>
      <c r="S1642" s="40">
        <f t="shared" si="784"/>
        <v>7.7866345499999995E-6</v>
      </c>
      <c r="T1642" s="40">
        <f t="shared" si="784"/>
        <v>5.0594015540000002E-2</v>
      </c>
      <c r="U1642" s="40">
        <f t="shared" si="784"/>
        <v>0.46876129919999998</v>
      </c>
      <c r="V1642" s="40">
        <f t="shared" si="784"/>
        <v>8.6253927200000011E-2</v>
      </c>
      <c r="W1642" s="40">
        <f t="shared" si="784"/>
        <v>24.570185849999998</v>
      </c>
      <c r="X1642" s="40">
        <f t="shared" si="784"/>
        <v>0.58460184869999998</v>
      </c>
      <c r="Y1642" s="40">
        <f t="shared" si="784"/>
        <v>2999.117976</v>
      </c>
      <c r="Z1642" s="40">
        <f t="shared" si="784"/>
        <v>0.37220674050000002</v>
      </c>
      <c r="AA1642" s="40"/>
      <c r="AB1642" s="40"/>
      <c r="AC1642" s="40"/>
      <c r="AD1642" s="40"/>
      <c r="AE1642" s="40"/>
      <c r="AF1642" s="40"/>
      <c r="AG1642" s="40"/>
      <c r="AH1642" s="40"/>
      <c r="AI1642" s="40"/>
      <c r="AJ1642" s="40"/>
      <c r="AK1642" s="40"/>
      <c r="AL1642" s="40"/>
      <c r="AM1642" s="40"/>
      <c r="AN1642" s="40"/>
      <c r="AO1642" s="40"/>
      <c r="AP1642" s="40"/>
      <c r="AQ1642" s="40"/>
      <c r="AR1642" s="40"/>
      <c r="AS1642" s="40"/>
      <c r="AT1642" s="40"/>
      <c r="AU1642" s="40"/>
      <c r="AV1642" s="40">
        <f>SUM(AV1639:AV1641)</f>
        <v>125.80040459999999</v>
      </c>
      <c r="AW1642" s="40"/>
      <c r="AX1642" s="40"/>
      <c r="AY1642" s="40">
        <f>SUM(AY1639:AY1641)</f>
        <v>1315.818618</v>
      </c>
      <c r="AZ1642" s="40"/>
      <c r="BA1642" s="40"/>
      <c r="BB1642" s="40"/>
      <c r="BC1642" s="40">
        <f>SUM(BC1639:BC1641)</f>
        <v>14.3219862653</v>
      </c>
      <c r="BD1642" s="40">
        <f>SUM(BD1639:BD1641)</f>
        <v>53.02266148879</v>
      </c>
      <c r="BE1642" s="40">
        <f>SUM(BE1639:BE1641)</f>
        <v>25.865852928999999</v>
      </c>
      <c r="BF1642" s="40"/>
      <c r="BG1642" s="40"/>
      <c r="BH1642" s="40"/>
      <c r="BI1642" s="40"/>
      <c r="BJ1642" s="40"/>
      <c r="BK1642" s="40"/>
      <c r="BL1642" s="62">
        <v>8.7193460490463212E-2</v>
      </c>
      <c r="BM1642" s="275">
        <v>3</v>
      </c>
      <c r="BN1642" s="62">
        <v>0.05</v>
      </c>
      <c r="BO1642" t="s">
        <v>679</v>
      </c>
      <c r="BP1642" s="33" t="s">
        <v>677</v>
      </c>
    </row>
    <row r="1643" spans="1:68">
      <c r="A1643" s="33" t="str">
        <f>Database_Productkaarten[[#This Row],[Product]]&amp;", "&amp;Database_Productkaarten[[#This Row],[Levensfase]]</f>
        <v>C30/37 CEM III, A4</v>
      </c>
      <c r="B1643" s="33" t="s">
        <v>678</v>
      </c>
      <c r="C1643" t="s">
        <v>664</v>
      </c>
      <c r="D1643" s="33" t="s">
        <v>665</v>
      </c>
      <c r="E1643" s="33" t="s">
        <v>666</v>
      </c>
      <c r="F1643" s="33" t="s">
        <v>78</v>
      </c>
      <c r="G1643" s="33">
        <v>1</v>
      </c>
      <c r="H1643" s="33">
        <v>1</v>
      </c>
      <c r="I1643" s="33">
        <v>1</v>
      </c>
      <c r="L1643">
        <v>2.3105000000000002</v>
      </c>
      <c r="M1643">
        <v>2.3105000000000002</v>
      </c>
      <c r="N1643" s="41">
        <v>1.8560578999999999</v>
      </c>
      <c r="O1643" s="33">
        <v>100</v>
      </c>
      <c r="P1643" s="40">
        <v>4.4669509999999997E-5</v>
      </c>
      <c r="Q1643" s="40">
        <v>0.11594124</v>
      </c>
      <c r="R1643" s="40">
        <v>15.707509</v>
      </c>
      <c r="S1643" s="40">
        <v>2.8945838999999998E-6</v>
      </c>
      <c r="T1643" s="40">
        <v>9.2710719000000004E-3</v>
      </c>
      <c r="U1643" s="40">
        <v>6.8098828E-2</v>
      </c>
      <c r="V1643" s="40">
        <v>1.3570247000000001E-2</v>
      </c>
      <c r="W1643" s="40">
        <v>6.2842313000000001</v>
      </c>
      <c r="X1643" s="40">
        <v>0.18430804000000001</v>
      </c>
      <c r="Y1643" s="40">
        <v>665.22235999999998</v>
      </c>
      <c r="Z1643" s="40">
        <v>2.2265837E-2</v>
      </c>
      <c r="AA1643" s="40"/>
      <c r="AB1643" s="40"/>
      <c r="AC1643" s="40"/>
      <c r="AD1643" s="40"/>
      <c r="AE1643" s="40"/>
      <c r="AF1643" s="40"/>
      <c r="AG1643" s="40"/>
      <c r="AH1643" s="40"/>
      <c r="AI1643" s="40"/>
      <c r="AJ1643" s="40"/>
      <c r="AK1643" s="40"/>
      <c r="AL1643" s="40"/>
      <c r="AM1643" s="40"/>
      <c r="AN1643" s="40"/>
      <c r="AO1643" s="40"/>
      <c r="AP1643" s="40"/>
      <c r="AQ1643" s="40"/>
      <c r="AR1643" s="40"/>
      <c r="AS1643" s="40"/>
      <c r="AT1643" s="40"/>
      <c r="AU1643" s="40"/>
      <c r="AV1643" s="40">
        <v>3.3077771999999999</v>
      </c>
      <c r="AW1643" s="40"/>
      <c r="AX1643" s="40"/>
      <c r="AY1643" s="40">
        <v>258.46913000000001</v>
      </c>
      <c r="AZ1643" s="40"/>
      <c r="BA1643" s="40"/>
      <c r="BB1643" s="40"/>
      <c r="BC1643" s="40">
        <v>4.6485027999999998E-2</v>
      </c>
      <c r="BD1643" s="40">
        <v>1.7850572999999999E-3</v>
      </c>
      <c r="BE1643" s="40">
        <v>14.857001</v>
      </c>
      <c r="BF1643" s="40"/>
      <c r="BG1643" s="40"/>
      <c r="BH1643" s="40"/>
      <c r="BI1643" s="40"/>
      <c r="BJ1643" s="40"/>
      <c r="BK1643" s="40"/>
      <c r="BL1643" s="62">
        <v>8.7193460490463212E-2</v>
      </c>
      <c r="BM1643" s="275">
        <v>3</v>
      </c>
      <c r="BN1643" s="62">
        <v>0.05</v>
      </c>
      <c r="BO1643" t="s">
        <v>679</v>
      </c>
      <c r="BP1643" s="33" t="s">
        <v>677</v>
      </c>
    </row>
    <row r="1644" spans="1:68">
      <c r="A1644" s="33" t="str">
        <f>Database_Productkaarten[[#This Row],[Product]]&amp;", "&amp;Database_Productkaarten[[#This Row],[Levensfase]]</f>
        <v>C30/37 CEM III, A5</v>
      </c>
      <c r="B1644" s="33" t="s">
        <v>678</v>
      </c>
      <c r="C1644" t="s">
        <v>664</v>
      </c>
      <c r="D1644" s="33" t="s">
        <v>665</v>
      </c>
      <c r="E1644" s="33" t="s">
        <v>666</v>
      </c>
      <c r="F1644" s="33" t="s">
        <v>79</v>
      </c>
      <c r="G1644" s="33">
        <v>1</v>
      </c>
      <c r="H1644" s="33">
        <v>1</v>
      </c>
      <c r="I1644" s="33">
        <v>1</v>
      </c>
      <c r="L1644">
        <v>2.3105000000000002</v>
      </c>
      <c r="M1644">
        <v>2.3105000000000002</v>
      </c>
      <c r="N1644" s="41">
        <v>1.9834457000000001</v>
      </c>
      <c r="O1644" s="33">
        <v>100</v>
      </c>
      <c r="P1644" s="40">
        <v>1.9673928000000001E-5</v>
      </c>
      <c r="Q1644" s="40">
        <v>0.10300191</v>
      </c>
      <c r="R1644" s="40">
        <v>17.948187000000001</v>
      </c>
      <c r="S1644" s="40">
        <v>2.2694107000000001E-6</v>
      </c>
      <c r="T1644" s="40">
        <v>1.2179463E-2</v>
      </c>
      <c r="U1644" s="40">
        <v>9.5743700000000001E-2</v>
      </c>
      <c r="V1644" s="40">
        <v>2.0516385000000002E-2</v>
      </c>
      <c r="W1644" s="40">
        <v>4.8612520000000004</v>
      </c>
      <c r="X1644" s="40">
        <v>8.9994126999999993E-2</v>
      </c>
      <c r="Y1644" s="40">
        <v>356.93533000000002</v>
      </c>
      <c r="Z1644" s="40">
        <v>2.6626772999999999E-2</v>
      </c>
      <c r="AA1644" s="40"/>
      <c r="AB1644" s="40"/>
      <c r="AC1644" s="40"/>
      <c r="AD1644" s="40"/>
      <c r="AE1644" s="40"/>
      <c r="AF1644" s="40"/>
      <c r="AG1644" s="40"/>
      <c r="AH1644" s="40"/>
      <c r="AI1644" s="40"/>
      <c r="AJ1644" s="40"/>
      <c r="AK1644" s="40"/>
      <c r="AL1644" s="40"/>
      <c r="AM1644" s="40"/>
      <c r="AN1644" s="40"/>
      <c r="AO1644" s="40"/>
      <c r="AP1644" s="40"/>
      <c r="AQ1644" s="40"/>
      <c r="AR1644" s="40"/>
      <c r="AS1644" s="40"/>
      <c r="AT1644" s="40"/>
      <c r="AU1644" s="40"/>
      <c r="AV1644" s="40">
        <v>7.4149839000000002</v>
      </c>
      <c r="AW1644" s="40"/>
      <c r="AX1644" s="40"/>
      <c r="AY1644" s="40">
        <v>228.7099</v>
      </c>
      <c r="AZ1644" s="40"/>
      <c r="BA1644" s="40"/>
      <c r="BB1644" s="40"/>
      <c r="BC1644" s="40">
        <v>0.56752972999999995</v>
      </c>
      <c r="BD1644" s="40">
        <v>2.6522606</v>
      </c>
      <c r="BE1644" s="40">
        <v>4.4197727999999996</v>
      </c>
      <c r="BF1644" s="40"/>
      <c r="BG1644" s="40"/>
      <c r="BH1644" s="40"/>
      <c r="BI1644" s="40"/>
      <c r="BJ1644" s="40"/>
      <c r="BK1644" s="40"/>
      <c r="BL1644" s="62">
        <v>8.7193460490463212E-2</v>
      </c>
      <c r="BM1644" s="275">
        <v>3</v>
      </c>
      <c r="BN1644" s="62">
        <v>0.05</v>
      </c>
      <c r="BO1644" t="s">
        <v>679</v>
      </c>
      <c r="BP1644" s="33" t="s">
        <v>677</v>
      </c>
    </row>
    <row r="1645" spans="1:68">
      <c r="A1645" s="33" t="str">
        <f>Database_Productkaarten[[#This Row],[Product]]&amp;", "&amp;Database_Productkaarten[[#This Row],[Levensfase]]</f>
        <v>C30/37 CEM III, B1</v>
      </c>
      <c r="B1645" s="33" t="s">
        <v>678</v>
      </c>
      <c r="C1645" t="s">
        <v>664</v>
      </c>
      <c r="D1645" s="33" t="s">
        <v>665</v>
      </c>
      <c r="E1645" s="33" t="s">
        <v>666</v>
      </c>
      <c r="F1645" s="33" t="s">
        <v>80</v>
      </c>
      <c r="G1645" s="33">
        <v>1</v>
      </c>
      <c r="H1645" s="33">
        <v>1</v>
      </c>
      <c r="I1645" s="33">
        <v>1</v>
      </c>
      <c r="L1645">
        <v>2.3105000000000002</v>
      </c>
      <c r="M1645">
        <v>2.3105000000000002</v>
      </c>
      <c r="N1645" s="41">
        <v>0</v>
      </c>
      <c r="O1645" s="33">
        <v>100</v>
      </c>
      <c r="P1645" s="40">
        <v>0</v>
      </c>
      <c r="Q1645" s="40">
        <v>0</v>
      </c>
      <c r="R1645" s="40">
        <v>0</v>
      </c>
      <c r="S1645" s="40">
        <v>0</v>
      </c>
      <c r="T1645" s="40">
        <v>0</v>
      </c>
      <c r="U1645" s="40">
        <v>0</v>
      </c>
      <c r="V1645" s="40">
        <v>0</v>
      </c>
      <c r="W1645" s="40">
        <v>0</v>
      </c>
      <c r="X1645" s="40">
        <v>0</v>
      </c>
      <c r="Y1645" s="40">
        <v>0</v>
      </c>
      <c r="Z1645" s="40">
        <v>0</v>
      </c>
      <c r="AA1645" s="40"/>
      <c r="AB1645" s="40"/>
      <c r="AC1645" s="40"/>
      <c r="AD1645" s="40"/>
      <c r="AE1645" s="40"/>
      <c r="AF1645" s="40"/>
      <c r="AG1645" s="40"/>
      <c r="AH1645" s="40"/>
      <c r="AI1645" s="40"/>
      <c r="AJ1645" s="40"/>
      <c r="AK1645" s="40"/>
      <c r="AL1645" s="40"/>
      <c r="AM1645" s="40"/>
      <c r="AN1645" s="40"/>
      <c r="AO1645" s="40"/>
      <c r="AP1645" s="40"/>
      <c r="AQ1645" s="40"/>
      <c r="AR1645" s="40"/>
      <c r="AS1645" s="40"/>
      <c r="AT1645" s="40"/>
      <c r="AU1645" s="40"/>
      <c r="AV1645" s="40">
        <v>0</v>
      </c>
      <c r="AW1645" s="40"/>
      <c r="AX1645" s="40"/>
      <c r="AY1645" s="40">
        <v>0</v>
      </c>
      <c r="AZ1645" s="40"/>
      <c r="BA1645" s="40"/>
      <c r="BB1645" s="40"/>
      <c r="BC1645" s="40">
        <v>0</v>
      </c>
      <c r="BD1645" s="40">
        <v>0</v>
      </c>
      <c r="BE1645" s="40">
        <v>0</v>
      </c>
      <c r="BF1645" s="40"/>
      <c r="BG1645" s="40"/>
      <c r="BH1645" s="40"/>
      <c r="BI1645" s="40"/>
      <c r="BJ1645" s="40"/>
      <c r="BK1645" s="40"/>
      <c r="BL1645" s="62">
        <v>8.7193460490463212E-2</v>
      </c>
      <c r="BM1645" s="275">
        <v>3</v>
      </c>
      <c r="BN1645" s="62">
        <v>0.05</v>
      </c>
      <c r="BO1645" t="s">
        <v>679</v>
      </c>
      <c r="BP1645" s="33" t="s">
        <v>677</v>
      </c>
    </row>
    <row r="1646" spans="1:68">
      <c r="A1646" s="33" t="str">
        <f>Database_Productkaarten[[#This Row],[Product]]&amp;", "&amp;Database_Productkaarten[[#This Row],[Levensfase]]</f>
        <v>C30/37 CEM III, C1</v>
      </c>
      <c r="B1646" s="33" t="s">
        <v>678</v>
      </c>
      <c r="C1646" t="s">
        <v>664</v>
      </c>
      <c r="D1646" s="33" t="s">
        <v>665</v>
      </c>
      <c r="E1646" s="33" t="s">
        <v>666</v>
      </c>
      <c r="F1646" s="33" t="s">
        <v>83</v>
      </c>
      <c r="G1646" s="33">
        <v>1</v>
      </c>
      <c r="H1646" s="33">
        <v>1</v>
      </c>
      <c r="I1646" s="33">
        <v>1</v>
      </c>
      <c r="L1646">
        <v>2.3105000000000002</v>
      </c>
      <c r="M1646">
        <v>2.3105000000000002</v>
      </c>
      <c r="N1646" s="41">
        <v>2.6945806000000001</v>
      </c>
      <c r="O1646" s="33">
        <v>100</v>
      </c>
      <c r="P1646" s="40">
        <v>6.8173877E-6</v>
      </c>
      <c r="Q1646" s="40">
        <v>0.14046053999999999</v>
      </c>
      <c r="R1646" s="40">
        <v>20.357724999999999</v>
      </c>
      <c r="S1646" s="40">
        <v>3.6668741000000001E-6</v>
      </c>
      <c r="T1646" s="40">
        <v>2.0520073E-2</v>
      </c>
      <c r="U1646" s="40">
        <v>0.15403662000000001</v>
      </c>
      <c r="V1646" s="40">
        <v>3.4492057E-2</v>
      </c>
      <c r="W1646" s="40">
        <v>7.2064998999999998</v>
      </c>
      <c r="X1646" s="40">
        <v>0.10078217</v>
      </c>
      <c r="Y1646" s="40">
        <v>341.63459999999998</v>
      </c>
      <c r="Z1646" s="40">
        <v>1.2041859E-2</v>
      </c>
      <c r="AA1646" s="40"/>
      <c r="AB1646" s="40"/>
      <c r="AC1646" s="40"/>
      <c r="AD1646" s="40"/>
      <c r="AE1646" s="40"/>
      <c r="AF1646" s="40"/>
      <c r="AG1646" s="40"/>
      <c r="AH1646" s="40"/>
      <c r="AI1646" s="40"/>
      <c r="AJ1646" s="40"/>
      <c r="AK1646" s="40"/>
      <c r="AL1646" s="40"/>
      <c r="AM1646" s="40"/>
      <c r="AN1646" s="40"/>
      <c r="AO1646" s="40"/>
      <c r="AP1646" s="40"/>
      <c r="AQ1646" s="40"/>
      <c r="AR1646" s="40"/>
      <c r="AS1646" s="40"/>
      <c r="AT1646" s="40"/>
      <c r="AU1646" s="40"/>
      <c r="AV1646" s="40">
        <v>1.6917247</v>
      </c>
      <c r="AW1646" s="40"/>
      <c r="AX1646" s="40"/>
      <c r="AY1646" s="40">
        <v>315.0806</v>
      </c>
      <c r="AZ1646" s="40"/>
      <c r="BA1646" s="40"/>
      <c r="BB1646" s="40"/>
      <c r="BC1646" s="40">
        <v>2.5976835E-2</v>
      </c>
      <c r="BD1646" s="40">
        <v>2.1813383999999998E-3</v>
      </c>
      <c r="BE1646" s="40">
        <v>0.32150378000000002</v>
      </c>
      <c r="BF1646" s="40"/>
      <c r="BG1646" s="40"/>
      <c r="BH1646" s="40"/>
      <c r="BI1646" s="40"/>
      <c r="BJ1646" s="40"/>
      <c r="BK1646" s="40"/>
      <c r="BL1646" s="62">
        <v>8.7193460490463212E-2</v>
      </c>
      <c r="BM1646" s="275">
        <v>3</v>
      </c>
      <c r="BN1646" s="62">
        <v>0.05</v>
      </c>
      <c r="BO1646" t="s">
        <v>679</v>
      </c>
      <c r="BP1646" s="33" t="s">
        <v>677</v>
      </c>
    </row>
    <row r="1647" spans="1:68">
      <c r="A1647" s="33" t="str">
        <f>Database_Productkaarten[[#This Row],[Product]]&amp;", "&amp;Database_Productkaarten[[#This Row],[Levensfase]]</f>
        <v>C30/37 CEM III, C2</v>
      </c>
      <c r="B1647" s="33" t="s">
        <v>678</v>
      </c>
      <c r="C1647" t="s">
        <v>664</v>
      </c>
      <c r="D1647" s="33" t="s">
        <v>665</v>
      </c>
      <c r="E1647" s="33" t="s">
        <v>666</v>
      </c>
      <c r="F1647" s="33" t="s">
        <v>84</v>
      </c>
      <c r="G1647" s="33">
        <v>1</v>
      </c>
      <c r="H1647" s="33">
        <v>1</v>
      </c>
      <c r="I1647" s="33">
        <v>1</v>
      </c>
      <c r="L1647">
        <v>2.3105000000000002</v>
      </c>
      <c r="M1647">
        <v>2.3105000000000002</v>
      </c>
      <c r="N1647" s="41">
        <v>1.8746185</v>
      </c>
      <c r="O1647" s="33">
        <v>100</v>
      </c>
      <c r="P1647" s="40">
        <v>4.5116206000000003E-5</v>
      </c>
      <c r="Q1647" s="40">
        <v>0.11710065</v>
      </c>
      <c r="R1647" s="40">
        <v>15.864584000000001</v>
      </c>
      <c r="S1647" s="40">
        <v>2.9235298000000001E-6</v>
      </c>
      <c r="T1647" s="40">
        <v>9.3637826000000004E-3</v>
      </c>
      <c r="U1647" s="40">
        <v>6.8779815999999994E-2</v>
      </c>
      <c r="V1647" s="40">
        <v>1.3705949E-2</v>
      </c>
      <c r="W1647" s="40">
        <v>6.3470735999999999</v>
      </c>
      <c r="X1647" s="40">
        <v>0.18615112</v>
      </c>
      <c r="Y1647" s="40">
        <v>671.87459000000001</v>
      </c>
      <c r="Z1647" s="40">
        <v>2.2488495000000001E-2</v>
      </c>
      <c r="AA1647" s="40"/>
      <c r="AB1647" s="40"/>
      <c r="AC1647" s="40"/>
      <c r="AD1647" s="40"/>
      <c r="AE1647" s="40"/>
      <c r="AF1647" s="40"/>
      <c r="AG1647" s="40"/>
      <c r="AH1647" s="40"/>
      <c r="AI1647" s="40"/>
      <c r="AJ1647" s="40"/>
      <c r="AK1647" s="40"/>
      <c r="AL1647" s="40"/>
      <c r="AM1647" s="40"/>
      <c r="AN1647" s="40"/>
      <c r="AO1647" s="40"/>
      <c r="AP1647" s="40"/>
      <c r="AQ1647" s="40"/>
      <c r="AR1647" s="40"/>
      <c r="AS1647" s="40"/>
      <c r="AT1647" s="40"/>
      <c r="AU1647" s="40"/>
      <c r="AV1647" s="40">
        <v>3.3408549999999999</v>
      </c>
      <c r="AW1647" s="40"/>
      <c r="AX1647" s="40"/>
      <c r="AY1647" s="40">
        <v>261.05381999999997</v>
      </c>
      <c r="AZ1647" s="40"/>
      <c r="BA1647" s="40"/>
      <c r="BB1647" s="40"/>
      <c r="BC1647" s="40">
        <v>4.6949878E-2</v>
      </c>
      <c r="BD1647" s="40">
        <v>1.8029079E-3</v>
      </c>
      <c r="BE1647" s="40">
        <v>15.005571</v>
      </c>
      <c r="BF1647" s="40"/>
      <c r="BG1647" s="40"/>
      <c r="BH1647" s="40"/>
      <c r="BI1647" s="40"/>
      <c r="BJ1647" s="40"/>
      <c r="BK1647" s="40"/>
      <c r="BL1647" s="62">
        <v>8.7193460490463212E-2</v>
      </c>
      <c r="BM1647" s="275">
        <v>3</v>
      </c>
      <c r="BN1647" s="62">
        <v>0.05</v>
      </c>
      <c r="BO1647" t="s">
        <v>679</v>
      </c>
      <c r="BP1647" s="33" t="s">
        <v>677</v>
      </c>
    </row>
    <row r="1648" spans="1:68">
      <c r="A1648" s="33" t="str">
        <f>Database_Productkaarten[[#This Row],[Product]]&amp;", "&amp;Database_Productkaarten[[#This Row],[Levensfase]]</f>
        <v>C30/37 CEM III, C3</v>
      </c>
      <c r="B1648" s="33" t="s">
        <v>678</v>
      </c>
      <c r="C1648" t="s">
        <v>664</v>
      </c>
      <c r="D1648" s="33" t="s">
        <v>665</v>
      </c>
      <c r="E1648" s="33" t="s">
        <v>666</v>
      </c>
      <c r="F1648" s="33" t="s">
        <v>85</v>
      </c>
      <c r="G1648" s="33">
        <v>1</v>
      </c>
      <c r="H1648" s="33">
        <v>1</v>
      </c>
      <c r="I1648" s="33">
        <v>1</v>
      </c>
      <c r="L1648">
        <v>2.3105000000000002</v>
      </c>
      <c r="M1648">
        <v>2.3105000000000002</v>
      </c>
      <c r="N1648" s="41">
        <v>0.38264016000000001</v>
      </c>
      <c r="O1648" s="33">
        <v>100</v>
      </c>
      <c r="P1648" s="40">
        <v>2.2875728999999999E-6</v>
      </c>
      <c r="Q1648" s="40">
        <v>2.8383831000000002E-2</v>
      </c>
      <c r="R1648" s="40">
        <v>3.7674558</v>
      </c>
      <c r="S1648" s="40">
        <v>4.3763529000000001E-7</v>
      </c>
      <c r="T1648" s="40">
        <v>2.1108566000000001E-3</v>
      </c>
      <c r="U1648" s="40">
        <v>1.7406443000000001E-2</v>
      </c>
      <c r="V1648" s="40">
        <v>3.9253144999999998E-3</v>
      </c>
      <c r="W1648" s="40">
        <v>0.82421626999999997</v>
      </c>
      <c r="X1648" s="40">
        <v>1.3758324000000001E-2</v>
      </c>
      <c r="Y1648" s="40">
        <v>52.778081</v>
      </c>
      <c r="Z1648" s="40">
        <v>1.1118806E-2</v>
      </c>
      <c r="AA1648" s="40"/>
      <c r="AB1648" s="40"/>
      <c r="AC1648" s="40"/>
      <c r="AD1648" s="40"/>
      <c r="AE1648" s="40"/>
      <c r="AF1648" s="40"/>
      <c r="AG1648" s="40"/>
      <c r="AH1648" s="40"/>
      <c r="AI1648" s="40"/>
      <c r="AJ1648" s="40"/>
      <c r="AK1648" s="40"/>
      <c r="AL1648" s="40"/>
      <c r="AM1648" s="40"/>
      <c r="AN1648" s="40"/>
      <c r="AO1648" s="40"/>
      <c r="AP1648" s="40"/>
      <c r="AQ1648" s="40"/>
      <c r="AR1648" s="40"/>
      <c r="AS1648" s="40"/>
      <c r="AT1648" s="40"/>
      <c r="AU1648" s="40"/>
      <c r="AV1648" s="40">
        <v>3.0569361000000002</v>
      </c>
      <c r="AW1648" s="40"/>
      <c r="AX1648" s="40"/>
      <c r="AY1648" s="40">
        <v>59.430556000000003</v>
      </c>
      <c r="AZ1648" s="40"/>
      <c r="BA1648" s="40"/>
      <c r="BB1648" s="40"/>
      <c r="BC1648" s="40">
        <v>9.4831928999999995E-3</v>
      </c>
      <c r="BD1648" s="40">
        <v>3.4427730999999999E-4</v>
      </c>
      <c r="BE1648" s="40">
        <v>7.1865629999999996</v>
      </c>
      <c r="BF1648" s="40"/>
      <c r="BG1648" s="40"/>
      <c r="BH1648" s="40"/>
      <c r="BI1648" s="40"/>
      <c r="BJ1648" s="40"/>
      <c r="BK1648" s="40"/>
      <c r="BL1648" s="62">
        <v>8.7193460490463212E-2</v>
      </c>
      <c r="BM1648" s="275">
        <v>3</v>
      </c>
      <c r="BN1648" s="62">
        <v>0.05</v>
      </c>
      <c r="BO1648" t="s">
        <v>679</v>
      </c>
      <c r="BP1648" s="33" t="s">
        <v>677</v>
      </c>
    </row>
    <row r="1649" spans="1:68">
      <c r="A1649" s="33" t="str">
        <f>Database_Productkaarten[[#This Row],[Product]]&amp;", "&amp;Database_Productkaarten[[#This Row],[Levensfase]]</f>
        <v>C30/37 CEM III, C4</v>
      </c>
      <c r="B1649" s="33" t="s">
        <v>678</v>
      </c>
      <c r="C1649" t="s">
        <v>664</v>
      </c>
      <c r="D1649" s="33" t="s">
        <v>665</v>
      </c>
      <c r="E1649" s="33" t="s">
        <v>666</v>
      </c>
      <c r="F1649" s="33" t="s">
        <v>86</v>
      </c>
      <c r="G1649" s="33">
        <v>1</v>
      </c>
      <c r="H1649" s="33">
        <v>1</v>
      </c>
      <c r="I1649" s="33">
        <v>1</v>
      </c>
      <c r="L1649">
        <v>2.3105000000000002</v>
      </c>
      <c r="M1649">
        <v>2.3105000000000002</v>
      </c>
      <c r="N1649" s="41">
        <v>1.7450797000000001E-2</v>
      </c>
      <c r="O1649" s="33">
        <v>100</v>
      </c>
      <c r="P1649" s="40">
        <v>1.4545018000000001E-7</v>
      </c>
      <c r="Q1649" s="40">
        <v>1.7342697999999999E-3</v>
      </c>
      <c r="R1649" s="40">
        <v>0.12743672</v>
      </c>
      <c r="S1649" s="40">
        <v>4.2179550999999997E-8</v>
      </c>
      <c r="T1649" s="40">
        <v>1.3504791999999999E-4</v>
      </c>
      <c r="U1649" s="40">
        <v>9.4168023000000003E-4</v>
      </c>
      <c r="V1649" s="40">
        <v>1.7722631000000001E-4</v>
      </c>
      <c r="W1649" s="40">
        <v>5.1955553000000002E-2</v>
      </c>
      <c r="X1649" s="40">
        <v>1.2919330999999999E-3</v>
      </c>
      <c r="Y1649" s="40">
        <v>4.4434551999999998</v>
      </c>
      <c r="Z1649" s="40">
        <v>1.5386957E-4</v>
      </c>
      <c r="AA1649" s="40"/>
      <c r="AB1649" s="40"/>
      <c r="AC1649" s="40"/>
      <c r="AD1649" s="40"/>
      <c r="AE1649" s="40"/>
      <c r="AF1649" s="40"/>
      <c r="AG1649" s="40"/>
      <c r="AH1649" s="40"/>
      <c r="AI1649" s="40"/>
      <c r="AJ1649" s="40"/>
      <c r="AK1649" s="40"/>
      <c r="AL1649" s="40"/>
      <c r="AM1649" s="40"/>
      <c r="AN1649" s="40"/>
      <c r="AO1649" s="40"/>
      <c r="AP1649" s="40"/>
      <c r="AQ1649" s="40"/>
      <c r="AR1649" s="40"/>
      <c r="AS1649" s="40"/>
      <c r="AT1649" s="40"/>
      <c r="AU1649" s="40"/>
      <c r="AV1649" s="40">
        <v>9.2894985999999999E-2</v>
      </c>
      <c r="AW1649" s="40"/>
      <c r="AX1649" s="40"/>
      <c r="AY1649" s="40">
        <v>3.8740462</v>
      </c>
      <c r="AZ1649" s="40"/>
      <c r="BA1649" s="40"/>
      <c r="BB1649" s="40"/>
      <c r="BC1649" s="40">
        <v>3.9045438000000002E-3</v>
      </c>
      <c r="BD1649" s="40">
        <v>2.6316109000000002E-5</v>
      </c>
      <c r="BE1649" s="40">
        <v>23.847294000000002</v>
      </c>
      <c r="BF1649" s="40"/>
      <c r="BG1649" s="40"/>
      <c r="BH1649" s="40"/>
      <c r="BI1649" s="40"/>
      <c r="BJ1649" s="40"/>
      <c r="BK1649" s="40"/>
      <c r="BL1649" s="62">
        <v>8.7193460490463212E-2</v>
      </c>
      <c r="BM1649" s="275">
        <v>3</v>
      </c>
      <c r="BN1649" s="62">
        <v>0.05</v>
      </c>
      <c r="BO1649" t="s">
        <v>679</v>
      </c>
      <c r="BP1649" s="33" t="s">
        <v>677</v>
      </c>
    </row>
    <row r="1650" spans="1:68">
      <c r="A1650" s="33" t="str">
        <f>Database_Productkaarten[[#This Row],[Product]]&amp;", "&amp;Database_Productkaarten[[#This Row],[Levensfase]]</f>
        <v>C30/37 CEM III, D</v>
      </c>
      <c r="B1650" s="33" t="s">
        <v>678</v>
      </c>
      <c r="C1650" t="s">
        <v>664</v>
      </c>
      <c r="D1650" s="33" t="s">
        <v>665</v>
      </c>
      <c r="E1650" s="33" t="s">
        <v>666</v>
      </c>
      <c r="F1650" s="33" t="s">
        <v>89</v>
      </c>
      <c r="G1650" s="33">
        <v>1</v>
      </c>
      <c r="H1650" s="33">
        <v>1</v>
      </c>
      <c r="I1650" s="33">
        <v>1</v>
      </c>
      <c r="L1650">
        <v>2.3105000000000002</v>
      </c>
      <c r="M1650">
        <v>2.3105000000000002</v>
      </c>
      <c r="N1650" s="326">
        <v>-1.2631247000000001</v>
      </c>
      <c r="O1650" s="33">
        <v>100</v>
      </c>
      <c r="P1650" s="163">
        <v>-5.4605148000000001E-5</v>
      </c>
      <c r="Q1650" s="163">
        <v>-6.8947560000000005E-2</v>
      </c>
      <c r="R1650" s="163">
        <v>-10.404210000000001</v>
      </c>
      <c r="S1650" s="163">
        <v>-8.8436147999999998E-7</v>
      </c>
      <c r="T1650" s="163">
        <v>-7.2635722000000003E-3</v>
      </c>
      <c r="U1650" s="163">
        <v>-5.9092654000000001E-2</v>
      </c>
      <c r="V1650" s="163">
        <v>-9.6548828000000003E-3</v>
      </c>
      <c r="W1650" s="163">
        <v>-4.0322972999999998</v>
      </c>
      <c r="X1650" s="163">
        <v>-5.8727841000000003E-2</v>
      </c>
      <c r="Y1650" s="163">
        <v>-280.17621000000003</v>
      </c>
      <c r="Z1650" s="163">
        <v>-2.2822958000000001E-2</v>
      </c>
      <c r="AA1650" s="40"/>
      <c r="AB1650" s="40"/>
      <c r="AC1650" s="40"/>
      <c r="AD1650" s="40"/>
      <c r="AE1650" s="40"/>
      <c r="AF1650" s="40"/>
      <c r="AG1650" s="40"/>
      <c r="AH1650" s="40"/>
      <c r="AI1650" s="40"/>
      <c r="AJ1650" s="40"/>
      <c r="AK1650" s="40"/>
      <c r="AL1650" s="40"/>
      <c r="AM1650" s="40"/>
      <c r="AN1650" s="40"/>
      <c r="AO1650" s="40"/>
      <c r="AP1650" s="40"/>
      <c r="AQ1650" s="40"/>
      <c r="AR1650" s="40"/>
      <c r="AS1650" s="40"/>
      <c r="AT1650" s="40"/>
      <c r="AU1650" s="40"/>
      <c r="AV1650" s="163">
        <v>-8.4659922000000005</v>
      </c>
      <c r="AW1650" s="40"/>
      <c r="AX1650" s="40"/>
      <c r="AY1650" s="40">
        <v>-138.53256999999999</v>
      </c>
      <c r="AZ1650" s="40"/>
      <c r="BA1650" s="40"/>
      <c r="BB1650" s="40"/>
      <c r="BC1650" s="40">
        <v>-3.3203629000000001</v>
      </c>
      <c r="BD1650" s="163">
        <v>-7.4114918000000001E-4</v>
      </c>
      <c r="BE1650" s="163">
        <v>-1.3289603000000001</v>
      </c>
      <c r="BF1650" s="40"/>
      <c r="BG1650" s="40"/>
      <c r="BH1650" s="40"/>
      <c r="BI1650" s="40"/>
      <c r="BJ1650" s="40"/>
      <c r="BK1650" s="40"/>
      <c r="BL1650" s="62">
        <v>8.7193460490463212E-2</v>
      </c>
      <c r="BM1650" s="275">
        <v>3</v>
      </c>
      <c r="BN1650" s="62">
        <v>0.05</v>
      </c>
      <c r="BO1650" t="s">
        <v>679</v>
      </c>
      <c r="BP1650" s="33" t="s">
        <v>677</v>
      </c>
    </row>
    <row r="1651" spans="1:68">
      <c r="A1651" s="33" t="str">
        <f>Database_Productkaarten[[#This Row],[Product]]&amp;", "&amp;Database_Productkaarten[[#This Row],[Levensfase]]</f>
        <v>C30/37 CEM III - 30% betongranulaat, A1</v>
      </c>
      <c r="B1651" s="33" t="s">
        <v>680</v>
      </c>
      <c r="C1651" t="s">
        <v>664</v>
      </c>
      <c r="D1651" s="33" t="s">
        <v>665</v>
      </c>
      <c r="E1651" s="33" t="s">
        <v>666</v>
      </c>
      <c r="F1651" s="33" t="s">
        <v>74</v>
      </c>
      <c r="G1651" s="33">
        <v>1</v>
      </c>
      <c r="H1651" s="33">
        <v>1</v>
      </c>
      <c r="I1651" s="33">
        <v>1</v>
      </c>
      <c r="L1651">
        <v>2.3904999999999998</v>
      </c>
      <c r="M1651">
        <v>2.3904999999999998</v>
      </c>
      <c r="N1651" s="41">
        <v>10.797858</v>
      </c>
      <c r="O1651" s="33">
        <v>100</v>
      </c>
      <c r="P1651" s="163">
        <v>2.4145049000000001E-4</v>
      </c>
      <c r="Q1651" s="163">
        <v>0.46276260000000002</v>
      </c>
      <c r="R1651" s="163">
        <v>132.70805999999999</v>
      </c>
      <c r="S1651" s="163">
        <v>4.6756297000000003E-6</v>
      </c>
      <c r="T1651" s="163">
        <v>3.9531571000000001E-2</v>
      </c>
      <c r="U1651" s="163">
        <v>0.38247714999999999</v>
      </c>
      <c r="V1651" s="163">
        <v>6.9877263999999994E-2</v>
      </c>
      <c r="W1651" s="163">
        <v>17.642624999999999</v>
      </c>
      <c r="X1651" s="163">
        <v>0.39651027999999999</v>
      </c>
      <c r="Y1651" s="163">
        <v>2300.3971000000001</v>
      </c>
      <c r="Z1651" s="163">
        <v>0.34326213</v>
      </c>
      <c r="AA1651" s="40"/>
      <c r="AB1651" s="40"/>
      <c r="AC1651" s="40"/>
      <c r="AD1651" s="40"/>
      <c r="AE1651" s="40"/>
      <c r="AF1651" s="40"/>
      <c r="AG1651" s="40"/>
      <c r="AH1651" s="40"/>
      <c r="AI1651" s="40"/>
      <c r="AJ1651" s="40"/>
      <c r="AK1651" s="40"/>
      <c r="AL1651" s="40"/>
      <c r="AM1651" s="40"/>
      <c r="AN1651" s="40"/>
      <c r="AO1651" s="40"/>
      <c r="AP1651" s="40"/>
      <c r="AQ1651" s="40"/>
      <c r="AR1651" s="40"/>
      <c r="AS1651" s="40"/>
      <c r="AT1651" s="40"/>
      <c r="AU1651" s="40"/>
      <c r="AV1651" s="163">
        <v>117.79464</v>
      </c>
      <c r="AW1651" s="40"/>
      <c r="AX1651" s="40"/>
      <c r="AY1651" s="40">
        <v>1001.2299</v>
      </c>
      <c r="AZ1651" s="40"/>
      <c r="BA1651" s="40"/>
      <c r="BB1651" s="40"/>
      <c r="BC1651" s="40">
        <v>13.809196</v>
      </c>
      <c r="BD1651" s="163">
        <v>53.020476000000002</v>
      </c>
      <c r="BE1651" s="163">
        <v>11.969711999999999</v>
      </c>
      <c r="BF1651" s="40"/>
      <c r="BG1651" s="40"/>
      <c r="BH1651" s="40"/>
      <c r="BI1651" s="40"/>
      <c r="BJ1651" s="40"/>
      <c r="BK1651" s="40"/>
      <c r="BL1651" s="62">
        <v>0.22505751934741686</v>
      </c>
      <c r="BM1651" s="275">
        <v>3</v>
      </c>
      <c r="BN1651" s="62">
        <v>0.05</v>
      </c>
      <c r="BO1651" t="s">
        <v>681</v>
      </c>
      <c r="BP1651" s="33" t="s">
        <v>677</v>
      </c>
    </row>
    <row r="1652" spans="1:68">
      <c r="A1652" s="33" t="str">
        <f>Database_Productkaarten[[#This Row],[Product]]&amp;", "&amp;Database_Productkaarten[[#This Row],[Levensfase]]</f>
        <v>C30/37 CEM III - 30% betongranulaat, A2</v>
      </c>
      <c r="B1652" s="33" t="s">
        <v>680</v>
      </c>
      <c r="C1652" t="s">
        <v>664</v>
      </c>
      <c r="D1652" s="33" t="s">
        <v>665</v>
      </c>
      <c r="E1652" s="33" t="s">
        <v>666</v>
      </c>
      <c r="F1652" s="33" t="s">
        <v>75</v>
      </c>
      <c r="G1652" s="33">
        <v>1</v>
      </c>
      <c r="H1652" s="33">
        <v>1</v>
      </c>
      <c r="I1652" s="33">
        <v>1</v>
      </c>
      <c r="L1652">
        <v>2.3904999999999998</v>
      </c>
      <c r="M1652">
        <v>2.3904999999999998</v>
      </c>
      <c r="N1652" s="41">
        <v>1.7506311000000001</v>
      </c>
      <c r="O1652" s="33">
        <v>100</v>
      </c>
      <c r="P1652" s="163">
        <v>4.2132214999999997E-5</v>
      </c>
      <c r="Q1652" s="163">
        <v>0.10935561000000001</v>
      </c>
      <c r="R1652" s="163">
        <v>14.815299</v>
      </c>
      <c r="S1652" s="163">
        <v>2.7301672000000002E-6</v>
      </c>
      <c r="T1652" s="163">
        <v>8.7444610999999998E-3</v>
      </c>
      <c r="U1652" s="163">
        <v>6.4230710999999996E-2</v>
      </c>
      <c r="V1652" s="163">
        <v>1.2799436000000001E-2</v>
      </c>
      <c r="W1652" s="163">
        <v>5.9272774999999998</v>
      </c>
      <c r="X1652" s="163">
        <v>0.17383907000000001</v>
      </c>
      <c r="Y1652" s="163">
        <v>627.43673000000001</v>
      </c>
      <c r="Z1652" s="163">
        <v>2.1001104E-2</v>
      </c>
      <c r="AA1652" s="40"/>
      <c r="AB1652" s="40"/>
      <c r="AC1652" s="40"/>
      <c r="AD1652" s="40"/>
      <c r="AE1652" s="40"/>
      <c r="AF1652" s="40"/>
      <c r="AG1652" s="40"/>
      <c r="AH1652" s="40"/>
      <c r="AI1652" s="40"/>
      <c r="AJ1652" s="40"/>
      <c r="AK1652" s="40"/>
      <c r="AL1652" s="40"/>
      <c r="AM1652" s="40"/>
      <c r="AN1652" s="40"/>
      <c r="AO1652" s="40"/>
      <c r="AP1652" s="40"/>
      <c r="AQ1652" s="40"/>
      <c r="AR1652" s="40"/>
      <c r="AS1652" s="40"/>
      <c r="AT1652" s="40"/>
      <c r="AU1652" s="40"/>
      <c r="AV1652" s="163">
        <v>3.1198904999999999</v>
      </c>
      <c r="AW1652" s="40"/>
      <c r="AX1652" s="40"/>
      <c r="AY1652" s="40">
        <v>243.78769</v>
      </c>
      <c r="AZ1652" s="40"/>
      <c r="BA1652" s="40"/>
      <c r="BB1652" s="40"/>
      <c r="BC1652" s="40">
        <v>4.3844608E-2</v>
      </c>
      <c r="BD1652" s="163">
        <v>1.6836634000000001E-3</v>
      </c>
      <c r="BE1652" s="163">
        <v>14.013101000000001</v>
      </c>
      <c r="BF1652" s="40"/>
      <c r="BG1652" s="40"/>
      <c r="BH1652" s="40"/>
      <c r="BI1652" s="40"/>
      <c r="BJ1652" s="40"/>
      <c r="BK1652" s="40"/>
      <c r="BL1652" s="62">
        <v>0.22505751934741686</v>
      </c>
      <c r="BM1652" s="275">
        <v>3</v>
      </c>
      <c r="BN1652" s="62">
        <v>0.05</v>
      </c>
      <c r="BO1652" t="s">
        <v>681</v>
      </c>
      <c r="BP1652" s="33" t="s">
        <v>677</v>
      </c>
    </row>
    <row r="1653" spans="1:68">
      <c r="A1653" s="33" t="str">
        <f>Database_Productkaarten[[#This Row],[Product]]&amp;", "&amp;Database_Productkaarten[[#This Row],[Levensfase]]</f>
        <v>C30/37 CEM III - 30% betongranulaat, A3</v>
      </c>
      <c r="B1653" s="33" t="s">
        <v>680</v>
      </c>
      <c r="C1653" t="s">
        <v>664</v>
      </c>
      <c r="D1653" s="33" t="s">
        <v>665</v>
      </c>
      <c r="E1653" s="33" t="s">
        <v>666</v>
      </c>
      <c r="F1653" s="33" t="s">
        <v>76</v>
      </c>
      <c r="G1653" s="33">
        <v>1</v>
      </c>
      <c r="H1653" s="33">
        <v>1</v>
      </c>
      <c r="I1653" s="33">
        <v>1</v>
      </c>
      <c r="L1653">
        <v>2.3904999999999998</v>
      </c>
      <c r="M1653">
        <v>2.3904999999999998</v>
      </c>
      <c r="N1653" s="41">
        <v>0.21762659000000001</v>
      </c>
      <c r="O1653" s="33">
        <v>100</v>
      </c>
      <c r="P1653" s="163">
        <v>8.0100951000000002E-7</v>
      </c>
      <c r="Q1653" s="163">
        <v>2.2691415E-2</v>
      </c>
      <c r="R1653" s="163">
        <v>2.8229009999999999</v>
      </c>
      <c r="S1653" s="163">
        <v>2.1849625000000001E-7</v>
      </c>
      <c r="T1653" s="163">
        <v>6.8559643999999999E-4</v>
      </c>
      <c r="U1653" s="163">
        <v>6.7173221999999996E-3</v>
      </c>
      <c r="V1653" s="163">
        <v>1.5091712E-3</v>
      </c>
      <c r="W1653" s="163">
        <v>0.30788844999999998</v>
      </c>
      <c r="X1653" s="163">
        <v>6.2779087000000003E-3</v>
      </c>
      <c r="Y1653" s="163">
        <v>28.911196</v>
      </c>
      <c r="Z1653" s="163">
        <v>3.8631784999999998E-3</v>
      </c>
      <c r="AA1653" s="40"/>
      <c r="AB1653" s="40"/>
      <c r="AC1653" s="40"/>
      <c r="AD1653" s="40"/>
      <c r="AE1653" s="40"/>
      <c r="AF1653" s="40"/>
      <c r="AG1653" s="40"/>
      <c r="AH1653" s="40"/>
      <c r="AI1653" s="40"/>
      <c r="AJ1653" s="40"/>
      <c r="AK1653" s="40"/>
      <c r="AL1653" s="40"/>
      <c r="AM1653" s="40"/>
      <c r="AN1653" s="40"/>
      <c r="AO1653" s="40"/>
      <c r="AP1653" s="40"/>
      <c r="AQ1653" s="40"/>
      <c r="AR1653" s="40"/>
      <c r="AS1653" s="40"/>
      <c r="AT1653" s="40"/>
      <c r="AU1653" s="40"/>
      <c r="AV1653" s="163">
        <v>3.3736081000000002</v>
      </c>
      <c r="AW1653" s="40"/>
      <c r="AX1653" s="40"/>
      <c r="AY1653" s="40">
        <v>45.835557999999999</v>
      </c>
      <c r="AZ1653" s="40"/>
      <c r="BA1653" s="40"/>
      <c r="BB1653" s="40"/>
      <c r="BC1653" s="40">
        <v>8.7932002999999998E-3</v>
      </c>
      <c r="BD1653" s="163">
        <v>2.1576268999999999E-4</v>
      </c>
      <c r="BE1653" s="163">
        <v>8.7286928999999999E-2</v>
      </c>
      <c r="BF1653" s="40"/>
      <c r="BG1653" s="40"/>
      <c r="BH1653" s="40"/>
      <c r="BI1653" s="40"/>
      <c r="BJ1653" s="40"/>
      <c r="BK1653" s="40"/>
      <c r="BL1653" s="62">
        <v>0.22505751934741686</v>
      </c>
      <c r="BM1653" s="275">
        <v>3</v>
      </c>
      <c r="BN1653" s="62">
        <v>0.05</v>
      </c>
      <c r="BO1653" t="s">
        <v>681</v>
      </c>
      <c r="BP1653" s="33" t="s">
        <v>677</v>
      </c>
    </row>
    <row r="1654" spans="1:68">
      <c r="A1654" s="33" t="str">
        <f>Database_Productkaarten[[#This Row],[Product]]&amp;", "&amp;Database_Productkaarten[[#This Row],[Levensfase]]</f>
        <v>C30/37 CEM III - 30% betongranulaat, A1-A3</v>
      </c>
      <c r="B1654" s="33" t="s">
        <v>680</v>
      </c>
      <c r="C1654" t="s">
        <v>664</v>
      </c>
      <c r="D1654" s="33" t="s">
        <v>665</v>
      </c>
      <c r="E1654" s="33" t="s">
        <v>666</v>
      </c>
      <c r="F1654" s="451" t="s">
        <v>77</v>
      </c>
      <c r="G1654" s="33">
        <v>1</v>
      </c>
      <c r="H1654" s="33">
        <v>1</v>
      </c>
      <c r="I1654" s="33">
        <v>1</v>
      </c>
      <c r="L1654">
        <v>2.3904999999999998</v>
      </c>
      <c r="M1654">
        <v>2.3904999999999998</v>
      </c>
      <c r="N1654" s="41">
        <f>SUM(N1651:N1653)</f>
        <v>12.766115689999999</v>
      </c>
      <c r="O1654" s="33">
        <v>100</v>
      </c>
      <c r="P1654" s="40">
        <f t="shared" ref="P1654:Z1654" si="785">SUM(P1651:P1653)</f>
        <v>2.8438371450999997E-4</v>
      </c>
      <c r="Q1654" s="40">
        <f t="shared" si="785"/>
        <v>0.59480962500000012</v>
      </c>
      <c r="R1654" s="40">
        <f t="shared" si="785"/>
        <v>150.34626</v>
      </c>
      <c r="S1654" s="40">
        <f t="shared" si="785"/>
        <v>7.6242931500000008E-6</v>
      </c>
      <c r="T1654" s="40">
        <f t="shared" si="785"/>
        <v>4.8961628540000003E-2</v>
      </c>
      <c r="U1654" s="40">
        <f t="shared" si="785"/>
        <v>0.45342518319999997</v>
      </c>
      <c r="V1654" s="40">
        <f t="shared" si="785"/>
        <v>8.4185871199999998E-2</v>
      </c>
      <c r="W1654" s="40">
        <f t="shared" si="785"/>
        <v>23.877790949999998</v>
      </c>
      <c r="X1654" s="40">
        <f t="shared" si="785"/>
        <v>0.57662725869999998</v>
      </c>
      <c r="Y1654" s="40">
        <f t="shared" si="785"/>
        <v>2956.7450260000001</v>
      </c>
      <c r="Z1654" s="40">
        <f t="shared" si="785"/>
        <v>0.3681264125</v>
      </c>
      <c r="AA1654" s="40"/>
      <c r="AB1654" s="40"/>
      <c r="AC1654" s="40"/>
      <c r="AD1654" s="40"/>
      <c r="AE1654" s="40"/>
      <c r="AF1654" s="40"/>
      <c r="AG1654" s="40"/>
      <c r="AH1654" s="40"/>
      <c r="AI1654" s="40"/>
      <c r="AJ1654" s="40"/>
      <c r="AK1654" s="40"/>
      <c r="AL1654" s="40"/>
      <c r="AM1654" s="40"/>
      <c r="AN1654" s="40"/>
      <c r="AO1654" s="40"/>
      <c r="AP1654" s="40"/>
      <c r="AQ1654" s="40"/>
      <c r="AR1654" s="40"/>
      <c r="AS1654" s="40"/>
      <c r="AT1654" s="40"/>
      <c r="AU1654" s="40"/>
      <c r="AV1654" s="40">
        <f>SUM(AV1651:AV1653)</f>
        <v>124.2881386</v>
      </c>
      <c r="AW1654" s="40"/>
      <c r="AX1654" s="40"/>
      <c r="AY1654" s="40">
        <f>SUM(AY1651:AY1653)</f>
        <v>1290.8531479999999</v>
      </c>
      <c r="AZ1654" s="40"/>
      <c r="BA1654" s="40"/>
      <c r="BB1654" s="40"/>
      <c r="BC1654" s="40">
        <f>SUM(BC1651:BC1653)</f>
        <v>13.8618338083</v>
      </c>
      <c r="BD1654" s="40">
        <f>SUM(BD1651:BD1653)</f>
        <v>53.022375426090001</v>
      </c>
      <c r="BE1654" s="40">
        <f>SUM(BE1651:BE1653)</f>
        <v>26.070099929000001</v>
      </c>
      <c r="BF1654" s="40"/>
      <c r="BG1654" s="40"/>
      <c r="BH1654" s="40"/>
      <c r="BI1654" s="40"/>
      <c r="BJ1654" s="40"/>
      <c r="BK1654" s="40"/>
      <c r="BL1654" s="62">
        <v>0.22505751934741686</v>
      </c>
      <c r="BM1654" s="275">
        <v>3</v>
      </c>
      <c r="BN1654" s="62">
        <v>0.05</v>
      </c>
      <c r="BO1654" t="s">
        <v>681</v>
      </c>
      <c r="BP1654" s="33" t="s">
        <v>677</v>
      </c>
    </row>
    <row r="1655" spans="1:68">
      <c r="A1655" s="33" t="str">
        <f>Database_Productkaarten[[#This Row],[Product]]&amp;", "&amp;Database_Productkaarten[[#This Row],[Levensfase]]</f>
        <v>C30/37 CEM III - 30% betongranulaat, A4</v>
      </c>
      <c r="B1655" s="33" t="s">
        <v>680</v>
      </c>
      <c r="C1655" t="s">
        <v>664</v>
      </c>
      <c r="D1655" s="33" t="s">
        <v>665</v>
      </c>
      <c r="E1655" s="33" t="s">
        <v>666</v>
      </c>
      <c r="F1655" s="33" t="s">
        <v>78</v>
      </c>
      <c r="G1655" s="33">
        <v>1</v>
      </c>
      <c r="H1655" s="33">
        <v>1</v>
      </c>
      <c r="I1655" s="33">
        <v>1</v>
      </c>
      <c r="L1655">
        <v>2.3904999999999998</v>
      </c>
      <c r="M1655">
        <v>2.3904999999999998</v>
      </c>
      <c r="N1655" s="41">
        <v>1.8599482000000001</v>
      </c>
      <c r="O1655" s="33">
        <v>100</v>
      </c>
      <c r="P1655" s="40">
        <v>4.4763138000000002E-5</v>
      </c>
      <c r="Q1655" s="40">
        <v>0.11618426</v>
      </c>
      <c r="R1655" s="40">
        <v>15.740432</v>
      </c>
      <c r="S1655" s="40">
        <v>2.9006510000000002E-6</v>
      </c>
      <c r="T1655" s="40">
        <v>9.2905040999999994E-3</v>
      </c>
      <c r="U1655" s="40">
        <v>6.8241563000000005E-2</v>
      </c>
      <c r="V1655" s="40">
        <v>1.359869E-2</v>
      </c>
      <c r="W1655" s="40">
        <v>6.2974030000000001</v>
      </c>
      <c r="X1655" s="40">
        <v>0.18469435000000001</v>
      </c>
      <c r="Y1655" s="40">
        <v>666.61667</v>
      </c>
      <c r="Z1655" s="40">
        <v>2.2312505999999999E-2</v>
      </c>
      <c r="AA1655" s="40"/>
      <c r="AB1655" s="40"/>
      <c r="AC1655" s="40"/>
      <c r="AD1655" s="40"/>
      <c r="AE1655" s="40"/>
      <c r="AF1655" s="40"/>
      <c r="AG1655" s="40"/>
      <c r="AH1655" s="40"/>
      <c r="AI1655" s="40"/>
      <c r="AJ1655" s="40"/>
      <c r="AK1655" s="40"/>
      <c r="AL1655" s="40"/>
      <c r="AM1655" s="40"/>
      <c r="AN1655" s="40"/>
      <c r="AO1655" s="40"/>
      <c r="AP1655" s="40"/>
      <c r="AQ1655" s="40"/>
      <c r="AR1655" s="40"/>
      <c r="AS1655" s="40"/>
      <c r="AT1655" s="40"/>
      <c r="AU1655" s="40"/>
      <c r="AV1655" s="40">
        <v>3.3147103000000002</v>
      </c>
      <c r="AW1655" s="40"/>
      <c r="AX1655" s="40"/>
      <c r="AY1655" s="40">
        <v>259.01087999999999</v>
      </c>
      <c r="AZ1655" s="40"/>
      <c r="BA1655" s="40"/>
      <c r="BB1655" s="40"/>
      <c r="BC1655" s="40">
        <v>4.6582459999999999E-2</v>
      </c>
      <c r="BD1655" s="40">
        <v>1.7887987999999999E-3</v>
      </c>
      <c r="BE1655" s="40">
        <v>14.888140999999999</v>
      </c>
      <c r="BF1655" s="40"/>
      <c r="BG1655" s="40"/>
      <c r="BH1655" s="40"/>
      <c r="BI1655" s="40"/>
      <c r="BJ1655" s="40"/>
      <c r="BK1655" s="40"/>
      <c r="BL1655" s="62">
        <v>0.22505751934741686</v>
      </c>
      <c r="BM1655" s="275">
        <v>3</v>
      </c>
      <c r="BN1655" s="62">
        <v>0.05</v>
      </c>
      <c r="BO1655" t="s">
        <v>681</v>
      </c>
      <c r="BP1655" s="33" t="s">
        <v>677</v>
      </c>
    </row>
    <row r="1656" spans="1:68">
      <c r="A1656" s="33" t="str">
        <f>Database_Productkaarten[[#This Row],[Product]]&amp;", "&amp;Database_Productkaarten[[#This Row],[Levensfase]]</f>
        <v>C30/37 CEM III - 30% betongranulaat, A5</v>
      </c>
      <c r="B1656" s="33" t="s">
        <v>680</v>
      </c>
      <c r="C1656" t="s">
        <v>664</v>
      </c>
      <c r="D1656" s="33" t="s">
        <v>665</v>
      </c>
      <c r="E1656" s="33" t="s">
        <v>666</v>
      </c>
      <c r="F1656" s="33" t="s">
        <v>79</v>
      </c>
      <c r="G1656" s="33">
        <v>1</v>
      </c>
      <c r="H1656" s="33">
        <v>1</v>
      </c>
      <c r="I1656" s="33">
        <v>1</v>
      </c>
      <c r="L1656">
        <v>2.3904999999999998</v>
      </c>
      <c r="M1656">
        <v>2.3904999999999998</v>
      </c>
      <c r="N1656" s="41">
        <v>1.9880964999999999</v>
      </c>
      <c r="O1656" s="33">
        <v>100</v>
      </c>
      <c r="P1656" s="40">
        <v>1.9706144000000001E-5</v>
      </c>
      <c r="Q1656" s="40">
        <v>0.10366939999999999</v>
      </c>
      <c r="R1656" s="40">
        <v>17.986301999999998</v>
      </c>
      <c r="S1656" s="40">
        <v>2.2870651000000001E-6</v>
      </c>
      <c r="T1656" s="40">
        <v>1.2210933E-2</v>
      </c>
      <c r="U1656" s="40">
        <v>9.5824582000000005E-2</v>
      </c>
      <c r="V1656" s="40">
        <v>2.0562654E-2</v>
      </c>
      <c r="W1656" s="40">
        <v>4.8792324999999996</v>
      </c>
      <c r="X1656" s="40">
        <v>9.0622692000000005E-2</v>
      </c>
      <c r="Y1656" s="40">
        <v>358.89519999999999</v>
      </c>
      <c r="Z1656" s="40">
        <v>2.6655096E-2</v>
      </c>
      <c r="AA1656" s="40"/>
      <c r="AB1656" s="40"/>
      <c r="AC1656" s="40"/>
      <c r="AD1656" s="40"/>
      <c r="AE1656" s="40"/>
      <c r="AF1656" s="40"/>
      <c r="AG1656" s="40"/>
      <c r="AH1656" s="40"/>
      <c r="AI1656" s="40"/>
      <c r="AJ1656" s="40"/>
      <c r="AK1656" s="40"/>
      <c r="AL1656" s="40"/>
      <c r="AM1656" s="40"/>
      <c r="AN1656" s="40"/>
      <c r="AO1656" s="40"/>
      <c r="AP1656" s="40"/>
      <c r="AQ1656" s="40"/>
      <c r="AR1656" s="40"/>
      <c r="AS1656" s="40"/>
      <c r="AT1656" s="40"/>
      <c r="AU1656" s="40"/>
      <c r="AV1656" s="40">
        <v>7.4405603999999999</v>
      </c>
      <c r="AW1656" s="40"/>
      <c r="AX1656" s="40"/>
      <c r="AY1656" s="40">
        <v>230.22349</v>
      </c>
      <c r="AZ1656" s="40"/>
      <c r="BA1656" s="40"/>
      <c r="BB1656" s="40"/>
      <c r="BC1656" s="40">
        <v>0.56914471</v>
      </c>
      <c r="BD1656" s="40">
        <v>2.6522636999999998</v>
      </c>
      <c r="BE1656" s="40">
        <v>15.202037000000001</v>
      </c>
      <c r="BF1656" s="40"/>
      <c r="BG1656" s="40"/>
      <c r="BH1656" s="40"/>
      <c r="BI1656" s="40"/>
      <c r="BJ1656" s="40"/>
      <c r="BK1656" s="40"/>
      <c r="BL1656" s="62">
        <v>0.22505751934741686</v>
      </c>
      <c r="BM1656" s="275">
        <v>3</v>
      </c>
      <c r="BN1656" s="62">
        <v>0.05</v>
      </c>
      <c r="BO1656" t="s">
        <v>681</v>
      </c>
      <c r="BP1656" s="33" t="s">
        <v>677</v>
      </c>
    </row>
    <row r="1657" spans="1:68">
      <c r="A1657" s="33" t="str">
        <f>Database_Productkaarten[[#This Row],[Product]]&amp;", "&amp;Database_Productkaarten[[#This Row],[Levensfase]]</f>
        <v>C30/37 CEM III - 30% betongranulaat, B1</v>
      </c>
      <c r="B1657" s="33" t="s">
        <v>680</v>
      </c>
      <c r="C1657" t="s">
        <v>664</v>
      </c>
      <c r="D1657" s="33" t="s">
        <v>665</v>
      </c>
      <c r="E1657" s="33" t="s">
        <v>666</v>
      </c>
      <c r="F1657" s="33" t="s">
        <v>80</v>
      </c>
      <c r="G1657" s="33">
        <v>1</v>
      </c>
      <c r="H1657" s="33">
        <v>1</v>
      </c>
      <c r="I1657" s="33">
        <v>1</v>
      </c>
      <c r="L1657">
        <v>2.3904999999999998</v>
      </c>
      <c r="M1657">
        <v>2.3904999999999998</v>
      </c>
      <c r="N1657" s="41">
        <v>0</v>
      </c>
      <c r="O1657" s="33">
        <v>100</v>
      </c>
      <c r="P1657" s="40">
        <v>0</v>
      </c>
      <c r="Q1657" s="40">
        <v>0</v>
      </c>
      <c r="R1657" s="40">
        <v>0</v>
      </c>
      <c r="S1657" s="40">
        <v>0</v>
      </c>
      <c r="T1657" s="40">
        <v>0</v>
      </c>
      <c r="U1657" s="40">
        <v>0</v>
      </c>
      <c r="V1657" s="40">
        <v>0</v>
      </c>
      <c r="W1657" s="40">
        <v>0</v>
      </c>
      <c r="X1657" s="40">
        <v>0</v>
      </c>
      <c r="Y1657" s="40">
        <v>0</v>
      </c>
      <c r="Z1657" s="40">
        <v>0</v>
      </c>
      <c r="AA1657" s="40"/>
      <c r="AB1657" s="40"/>
      <c r="AC1657" s="40"/>
      <c r="AD1657" s="40"/>
      <c r="AE1657" s="40"/>
      <c r="AF1657" s="40"/>
      <c r="AG1657" s="40"/>
      <c r="AH1657" s="40"/>
      <c r="AI1657" s="40"/>
      <c r="AJ1657" s="40"/>
      <c r="AK1657" s="40"/>
      <c r="AL1657" s="40"/>
      <c r="AM1657" s="40"/>
      <c r="AN1657" s="40"/>
      <c r="AO1657" s="40"/>
      <c r="AP1657" s="40"/>
      <c r="AQ1657" s="40"/>
      <c r="AR1657" s="40"/>
      <c r="AS1657" s="40"/>
      <c r="AT1657" s="40"/>
      <c r="AU1657" s="40"/>
      <c r="AV1657" s="40">
        <v>0</v>
      </c>
      <c r="AW1657" s="40"/>
      <c r="AX1657" s="40"/>
      <c r="AY1657" s="40">
        <v>0</v>
      </c>
      <c r="AZ1657" s="40"/>
      <c r="BA1657" s="40"/>
      <c r="BB1657" s="40"/>
      <c r="BC1657" s="40">
        <v>0</v>
      </c>
      <c r="BD1657" s="40">
        <v>0</v>
      </c>
      <c r="BE1657" s="40">
        <v>0</v>
      </c>
      <c r="BF1657" s="40"/>
      <c r="BG1657" s="40"/>
      <c r="BH1657" s="40"/>
      <c r="BI1657" s="40"/>
      <c r="BJ1657" s="40"/>
      <c r="BK1657" s="40"/>
      <c r="BL1657" s="62">
        <v>0.22505751934741686</v>
      </c>
      <c r="BM1657" s="275">
        <v>3</v>
      </c>
      <c r="BN1657" s="62">
        <v>0.05</v>
      </c>
      <c r="BO1657" t="s">
        <v>681</v>
      </c>
      <c r="BP1657" s="33" t="s">
        <v>677</v>
      </c>
    </row>
    <row r="1658" spans="1:68">
      <c r="A1658" s="33" t="str">
        <f>Database_Productkaarten[[#This Row],[Product]]&amp;", "&amp;Database_Productkaarten[[#This Row],[Levensfase]]</f>
        <v>C30/37 CEM III - 30% betongranulaat, C1</v>
      </c>
      <c r="B1658" s="33" t="s">
        <v>680</v>
      </c>
      <c r="C1658" t="s">
        <v>664</v>
      </c>
      <c r="D1658" s="33" t="s">
        <v>665</v>
      </c>
      <c r="E1658" s="33" t="s">
        <v>666</v>
      </c>
      <c r="F1658" s="33" t="s">
        <v>83</v>
      </c>
      <c r="G1658" s="33">
        <v>1</v>
      </c>
      <c r="H1658" s="33">
        <v>1</v>
      </c>
      <c r="I1658" s="33">
        <v>1</v>
      </c>
      <c r="L1658">
        <v>2.3904999999999998</v>
      </c>
      <c r="M1658">
        <v>2.3904999999999998</v>
      </c>
      <c r="N1658" s="41">
        <v>2.6945806000000001</v>
      </c>
      <c r="O1658" s="33">
        <v>100</v>
      </c>
      <c r="P1658" s="40">
        <v>6.8173877E-6</v>
      </c>
      <c r="Q1658" s="40">
        <v>0.14046053999999999</v>
      </c>
      <c r="R1658" s="40">
        <v>20.357724999999999</v>
      </c>
      <c r="S1658" s="40">
        <v>3.6668741000000001E-6</v>
      </c>
      <c r="T1658" s="40">
        <v>2.0520073E-2</v>
      </c>
      <c r="U1658" s="40">
        <v>0.15403662000000001</v>
      </c>
      <c r="V1658" s="40">
        <v>3.4492057E-2</v>
      </c>
      <c r="W1658" s="40">
        <v>7.2064998999999998</v>
      </c>
      <c r="X1658" s="40">
        <v>0.10078217</v>
      </c>
      <c r="Y1658" s="40">
        <v>341.63459999999998</v>
      </c>
      <c r="Z1658" s="40">
        <v>1.2041859E-2</v>
      </c>
      <c r="AA1658" s="40"/>
      <c r="AB1658" s="40"/>
      <c r="AC1658" s="40"/>
      <c r="AD1658" s="40"/>
      <c r="AE1658" s="40"/>
      <c r="AF1658" s="40"/>
      <c r="AG1658" s="40"/>
      <c r="AH1658" s="40"/>
      <c r="AI1658" s="40"/>
      <c r="AJ1658" s="40"/>
      <c r="AK1658" s="40"/>
      <c r="AL1658" s="40"/>
      <c r="AM1658" s="40"/>
      <c r="AN1658" s="40"/>
      <c r="AO1658" s="40"/>
      <c r="AP1658" s="40"/>
      <c r="AQ1658" s="40"/>
      <c r="AR1658" s="40"/>
      <c r="AS1658" s="40"/>
      <c r="AT1658" s="40"/>
      <c r="AU1658" s="40"/>
      <c r="AV1658" s="40">
        <v>1.6917247</v>
      </c>
      <c r="AW1658" s="40"/>
      <c r="AX1658" s="40"/>
      <c r="AY1658" s="40">
        <v>315.0806</v>
      </c>
      <c r="AZ1658" s="40"/>
      <c r="BA1658" s="40"/>
      <c r="BB1658" s="40"/>
      <c r="BC1658" s="40">
        <v>2.5976834000000001E-2</v>
      </c>
      <c r="BD1658" s="40">
        <v>2.1813383000000002E-3</v>
      </c>
      <c r="BE1658" s="40">
        <v>0.32150378000000002</v>
      </c>
      <c r="BF1658" s="40"/>
      <c r="BG1658" s="40"/>
      <c r="BH1658" s="40"/>
      <c r="BI1658" s="40"/>
      <c r="BJ1658" s="40"/>
      <c r="BK1658" s="40"/>
      <c r="BL1658" s="62">
        <v>0.22505751934741686</v>
      </c>
      <c r="BM1658" s="275">
        <v>3</v>
      </c>
      <c r="BN1658" s="62">
        <v>0.05</v>
      </c>
      <c r="BO1658" t="s">
        <v>681</v>
      </c>
      <c r="BP1658" s="33" t="s">
        <v>677</v>
      </c>
    </row>
    <row r="1659" spans="1:68">
      <c r="A1659" s="33" t="str">
        <f>Database_Productkaarten[[#This Row],[Product]]&amp;", "&amp;Database_Productkaarten[[#This Row],[Levensfase]]</f>
        <v>C30/37 CEM III - 30% betongranulaat, C2</v>
      </c>
      <c r="B1659" s="33" t="s">
        <v>680</v>
      </c>
      <c r="C1659" t="s">
        <v>664</v>
      </c>
      <c r="D1659" s="33" t="s">
        <v>665</v>
      </c>
      <c r="E1659" s="33" t="s">
        <v>666</v>
      </c>
      <c r="F1659" s="33" t="s">
        <v>84</v>
      </c>
      <c r="G1659" s="33">
        <v>1</v>
      </c>
      <c r="H1659" s="33">
        <v>1</v>
      </c>
      <c r="I1659" s="33">
        <v>1</v>
      </c>
      <c r="L1659">
        <v>2.3904999999999998</v>
      </c>
      <c r="M1659">
        <v>2.3904999999999998</v>
      </c>
      <c r="N1659" s="41">
        <v>1.8785476999999999</v>
      </c>
      <c r="O1659" s="33">
        <v>100</v>
      </c>
      <c r="P1659" s="40">
        <v>4.5210768999999999E-5</v>
      </c>
      <c r="Q1659" s="40">
        <v>0.11734609999999999</v>
      </c>
      <c r="R1659" s="40">
        <v>15.897836</v>
      </c>
      <c r="S1659" s="40">
        <v>2.9296575000000001E-6</v>
      </c>
      <c r="T1659" s="40">
        <v>9.3834091000000001E-3</v>
      </c>
      <c r="U1659" s="40">
        <v>6.8923977999999997E-2</v>
      </c>
      <c r="V1659" s="40">
        <v>1.3734677000000001E-2</v>
      </c>
      <c r="W1659" s="40">
        <v>6.3603769999999997</v>
      </c>
      <c r="X1659" s="40">
        <v>0.18654129999999999</v>
      </c>
      <c r="Y1659" s="40">
        <v>673.28282999999999</v>
      </c>
      <c r="Z1659" s="40">
        <v>2.2535631E-2</v>
      </c>
      <c r="AA1659" s="40"/>
      <c r="AB1659" s="40"/>
      <c r="AC1659" s="40"/>
      <c r="AD1659" s="40"/>
      <c r="AE1659" s="40"/>
      <c r="AF1659" s="40"/>
      <c r="AG1659" s="40"/>
      <c r="AH1659" s="40"/>
      <c r="AI1659" s="40"/>
      <c r="AJ1659" s="40"/>
      <c r="AK1659" s="40"/>
      <c r="AL1659" s="40"/>
      <c r="AM1659" s="40"/>
      <c r="AN1659" s="40"/>
      <c r="AO1659" s="40"/>
      <c r="AP1659" s="40"/>
      <c r="AQ1659" s="40"/>
      <c r="AR1659" s="40"/>
      <c r="AS1659" s="40"/>
      <c r="AT1659" s="40"/>
      <c r="AU1659" s="40"/>
      <c r="AV1659" s="40">
        <v>3.3478574000000001</v>
      </c>
      <c r="AW1659" s="40"/>
      <c r="AX1659" s="40"/>
      <c r="AY1659" s="40">
        <v>261.60099000000002</v>
      </c>
      <c r="AZ1659" s="40"/>
      <c r="BA1659" s="40"/>
      <c r="BB1659" s="40"/>
      <c r="BC1659" s="40">
        <v>4.7048285000000002E-2</v>
      </c>
      <c r="BD1659" s="40">
        <v>1.8066867999999999E-3</v>
      </c>
      <c r="BE1659" s="40">
        <v>15.037023</v>
      </c>
      <c r="BF1659" s="40"/>
      <c r="BG1659" s="40"/>
      <c r="BH1659" s="40"/>
      <c r="BI1659" s="40"/>
      <c r="BJ1659" s="40"/>
      <c r="BK1659" s="40"/>
      <c r="BL1659" s="62">
        <v>0.22505751934741686</v>
      </c>
      <c r="BM1659" s="275">
        <v>3</v>
      </c>
      <c r="BN1659" s="62">
        <v>0.05</v>
      </c>
      <c r="BO1659" t="s">
        <v>681</v>
      </c>
      <c r="BP1659" s="33" t="s">
        <v>677</v>
      </c>
    </row>
    <row r="1660" spans="1:68">
      <c r="A1660" s="33" t="str">
        <f>Database_Productkaarten[[#This Row],[Product]]&amp;", "&amp;Database_Productkaarten[[#This Row],[Levensfase]]</f>
        <v>C30/37 CEM III - 30% betongranulaat, C3</v>
      </c>
      <c r="B1660" s="33" t="s">
        <v>680</v>
      </c>
      <c r="C1660" t="s">
        <v>664</v>
      </c>
      <c r="D1660" s="33" t="s">
        <v>665</v>
      </c>
      <c r="E1660" s="33" t="s">
        <v>666</v>
      </c>
      <c r="F1660" s="33" t="s">
        <v>85</v>
      </c>
      <c r="G1660" s="33">
        <v>1</v>
      </c>
      <c r="H1660" s="33">
        <v>1</v>
      </c>
      <c r="I1660" s="33">
        <v>1</v>
      </c>
      <c r="L1660">
        <v>2.3904999999999998</v>
      </c>
      <c r="M1660">
        <v>2.3904999999999998</v>
      </c>
      <c r="N1660" s="41">
        <v>0.38344218000000002</v>
      </c>
      <c r="O1660" s="33">
        <v>100</v>
      </c>
      <c r="P1660" s="40">
        <v>2.2923677E-6</v>
      </c>
      <c r="Q1660" s="40">
        <v>2.8443323999999999E-2</v>
      </c>
      <c r="R1660" s="40">
        <v>3.7753524000000001</v>
      </c>
      <c r="S1660" s="40">
        <v>4.3855257000000002E-7</v>
      </c>
      <c r="T1660" s="40">
        <v>2.1152810000000001E-3</v>
      </c>
      <c r="U1660" s="40">
        <v>1.7442927E-2</v>
      </c>
      <c r="V1660" s="40">
        <v>3.9335419000000003E-3</v>
      </c>
      <c r="W1660" s="40">
        <v>0.82594382</v>
      </c>
      <c r="X1660" s="40">
        <v>1.3787160999999999E-2</v>
      </c>
      <c r="Y1660" s="40">
        <v>52.888703999999997</v>
      </c>
      <c r="Z1660" s="40">
        <v>1.1142111E-2</v>
      </c>
      <c r="AA1660" s="40"/>
      <c r="AB1660" s="40"/>
      <c r="AC1660" s="40"/>
      <c r="AD1660" s="40"/>
      <c r="AE1660" s="40"/>
      <c r="AF1660" s="40"/>
      <c r="AG1660" s="40"/>
      <c r="AH1660" s="40"/>
      <c r="AI1660" s="40"/>
      <c r="AJ1660" s="40"/>
      <c r="AK1660" s="40"/>
      <c r="AL1660" s="40"/>
      <c r="AM1660" s="40"/>
      <c r="AN1660" s="40"/>
      <c r="AO1660" s="40"/>
      <c r="AP1660" s="40"/>
      <c r="AQ1660" s="40"/>
      <c r="AR1660" s="40"/>
      <c r="AS1660" s="40"/>
      <c r="AT1660" s="40"/>
      <c r="AU1660" s="40"/>
      <c r="AV1660" s="40">
        <v>3.0633435000000002</v>
      </c>
      <c r="AW1660" s="40"/>
      <c r="AX1660" s="40"/>
      <c r="AY1660" s="40">
        <v>59.555121999999997</v>
      </c>
      <c r="AZ1660" s="40"/>
      <c r="BA1660" s="40"/>
      <c r="BB1660" s="40"/>
      <c r="BC1660" s="40">
        <v>9.5030696000000005E-3</v>
      </c>
      <c r="BD1660" s="40">
        <v>3.4499892000000002E-4</v>
      </c>
      <c r="BE1660" s="40">
        <v>7.2016261000000004</v>
      </c>
      <c r="BF1660" s="40"/>
      <c r="BG1660" s="40"/>
      <c r="BH1660" s="40"/>
      <c r="BI1660" s="40"/>
      <c r="BJ1660" s="40"/>
      <c r="BK1660" s="40"/>
      <c r="BL1660" s="62">
        <v>0.22505751934741686</v>
      </c>
      <c r="BM1660" s="275">
        <v>3</v>
      </c>
      <c r="BN1660" s="62">
        <v>0.05</v>
      </c>
      <c r="BO1660" t="s">
        <v>681</v>
      </c>
      <c r="BP1660" s="33" t="s">
        <v>677</v>
      </c>
    </row>
    <row r="1661" spans="1:68">
      <c r="A1661" s="33" t="str">
        <f>Database_Productkaarten[[#This Row],[Product]]&amp;", "&amp;Database_Productkaarten[[#This Row],[Levensfase]]</f>
        <v>C30/37 CEM III - 30% betongranulaat, C4</v>
      </c>
      <c r="B1661" s="33" t="s">
        <v>680</v>
      </c>
      <c r="C1661" t="s">
        <v>664</v>
      </c>
      <c r="D1661" s="33" t="s">
        <v>665</v>
      </c>
      <c r="E1661" s="33" t="s">
        <v>666</v>
      </c>
      <c r="F1661" s="33" t="s">
        <v>86</v>
      </c>
      <c r="G1661" s="33">
        <v>1</v>
      </c>
      <c r="H1661" s="33">
        <v>1</v>
      </c>
      <c r="I1661" s="33">
        <v>1</v>
      </c>
      <c r="L1661">
        <v>2.3904999999999998</v>
      </c>
      <c r="M1661">
        <v>2.3904999999999998</v>
      </c>
      <c r="N1661" s="41">
        <v>0.17491397</v>
      </c>
      <c r="O1661" s="33">
        <v>100</v>
      </c>
      <c r="P1661" s="40">
        <v>1.4578858E-6</v>
      </c>
      <c r="Q1661" s="40">
        <v>1.7383046999999999E-2</v>
      </c>
      <c r="R1661" s="40">
        <v>1.2773321</v>
      </c>
      <c r="S1661" s="40">
        <v>4.2277684E-7</v>
      </c>
      <c r="T1661" s="40">
        <v>1.3536211E-3</v>
      </c>
      <c r="U1661" s="40">
        <v>9.4387110000000007E-3</v>
      </c>
      <c r="V1661" s="40">
        <v>1.7763862999999999E-3</v>
      </c>
      <c r="W1661" s="40">
        <v>0.52076431000000001</v>
      </c>
      <c r="X1661" s="40">
        <v>1.2949389E-2</v>
      </c>
      <c r="Y1661" s="40">
        <v>44.537931999999998</v>
      </c>
      <c r="Z1661" s="40">
        <v>1.5422756000000001E-3</v>
      </c>
      <c r="AA1661" s="40"/>
      <c r="AB1661" s="40"/>
      <c r="AC1661" s="40"/>
      <c r="AD1661" s="40"/>
      <c r="AE1661" s="40"/>
      <c r="AF1661" s="40"/>
      <c r="AG1661" s="40"/>
      <c r="AH1661" s="40"/>
      <c r="AI1661" s="40"/>
      <c r="AJ1661" s="40"/>
      <c r="AK1661" s="40"/>
      <c r="AL1661" s="40"/>
      <c r="AM1661" s="40"/>
      <c r="AN1661" s="40"/>
      <c r="AO1661" s="40"/>
      <c r="AP1661" s="40"/>
      <c r="AQ1661" s="40"/>
      <c r="AR1661" s="40"/>
      <c r="AS1661" s="40"/>
      <c r="AT1661" s="40"/>
      <c r="AU1661" s="40"/>
      <c r="AV1661" s="40">
        <v>0.93111111999999996</v>
      </c>
      <c r="AW1661" s="40"/>
      <c r="AX1661" s="40"/>
      <c r="AY1661" s="40">
        <v>38.830593999999998</v>
      </c>
      <c r="AZ1661" s="40"/>
      <c r="BA1661" s="40"/>
      <c r="BB1661" s="40"/>
      <c r="BC1661" s="40">
        <v>3.9136280000000002E-2</v>
      </c>
      <c r="BD1661" s="40">
        <v>2.6377334999999998E-4</v>
      </c>
      <c r="BE1661" s="40">
        <v>239.02776</v>
      </c>
      <c r="BF1661" s="40"/>
      <c r="BG1661" s="40"/>
      <c r="BH1661" s="40"/>
      <c r="BI1661" s="40"/>
      <c r="BJ1661" s="40"/>
      <c r="BK1661" s="40"/>
      <c r="BL1661" s="62">
        <v>0.22505751934741686</v>
      </c>
      <c r="BM1661" s="275">
        <v>3</v>
      </c>
      <c r="BN1661" s="62">
        <v>0.05</v>
      </c>
      <c r="BO1661" t="s">
        <v>681</v>
      </c>
      <c r="BP1661" s="33" t="s">
        <v>677</v>
      </c>
    </row>
    <row r="1662" spans="1:68">
      <c r="A1662" s="33" t="str">
        <f>Database_Productkaarten[[#This Row],[Product]]&amp;", "&amp;Database_Productkaarten[[#This Row],[Levensfase]]</f>
        <v>C30/37 CEM III - 30% betongranulaat, D</v>
      </c>
      <c r="B1662" s="33" t="s">
        <v>680</v>
      </c>
      <c r="C1662" t="s">
        <v>664</v>
      </c>
      <c r="D1662" s="33" t="s">
        <v>665</v>
      </c>
      <c r="E1662" s="33" t="s">
        <v>666</v>
      </c>
      <c r="F1662" s="33" t="s">
        <v>89</v>
      </c>
      <c r="G1662" s="33">
        <v>1</v>
      </c>
      <c r="H1662" s="33">
        <v>1</v>
      </c>
      <c r="I1662" s="33">
        <v>1</v>
      </c>
      <c r="L1662">
        <v>2.3904999999999998</v>
      </c>
      <c r="M1662">
        <v>2.3904999999999998</v>
      </c>
      <c r="N1662" s="326">
        <v>-1.0892717999999999</v>
      </c>
      <c r="O1662" s="33">
        <v>100</v>
      </c>
      <c r="P1662" s="163">
        <v>-4.7089453000000002E-5</v>
      </c>
      <c r="Q1662" s="163">
        <v>-5.9457817000000003E-2</v>
      </c>
      <c r="R1662" s="163">
        <v>-8.9722042999999996</v>
      </c>
      <c r="S1662" s="163">
        <v>-7.6264052000000004E-7</v>
      </c>
      <c r="T1662" s="163">
        <v>-6.2638351000000002E-3</v>
      </c>
      <c r="U1662" s="163">
        <v>-5.0959312E-2</v>
      </c>
      <c r="V1662" s="163">
        <v>-8.3260126E-3</v>
      </c>
      <c r="W1662" s="163">
        <v>-3.4773035000000001</v>
      </c>
      <c r="X1662" s="163">
        <v>-5.0644710000000003E-2</v>
      </c>
      <c r="Y1662" s="163">
        <v>-241.61357000000001</v>
      </c>
      <c r="Z1662" s="163">
        <v>-1.9681672000000001E-2</v>
      </c>
      <c r="AA1662" s="40"/>
      <c r="AB1662" s="40"/>
      <c r="AC1662" s="40"/>
      <c r="AD1662" s="40"/>
      <c r="AE1662" s="40"/>
      <c r="AF1662" s="40"/>
      <c r="AG1662" s="40"/>
      <c r="AH1662" s="40"/>
      <c r="AI1662" s="40"/>
      <c r="AJ1662" s="40"/>
      <c r="AK1662" s="40"/>
      <c r="AL1662" s="40"/>
      <c r="AM1662" s="40"/>
      <c r="AN1662" s="40"/>
      <c r="AO1662" s="40"/>
      <c r="AP1662" s="40"/>
      <c r="AQ1662" s="40"/>
      <c r="AR1662" s="40"/>
      <c r="AS1662" s="40"/>
      <c r="AT1662" s="40"/>
      <c r="AU1662" s="40"/>
      <c r="AV1662" s="163">
        <v>-7.3007574999999996</v>
      </c>
      <c r="AW1662" s="40"/>
      <c r="AX1662" s="40"/>
      <c r="AY1662" s="40">
        <v>-119.46535</v>
      </c>
      <c r="AZ1662" s="40"/>
      <c r="BA1662" s="40"/>
      <c r="BB1662" s="40"/>
      <c r="BC1662" s="40">
        <v>-2.8633576999999999</v>
      </c>
      <c r="BD1662" s="163">
        <v>-6.3913955000000002E-4</v>
      </c>
      <c r="BE1662" s="163">
        <v>-1.1460459999999999</v>
      </c>
      <c r="BF1662" s="40"/>
      <c r="BG1662" s="40"/>
      <c r="BH1662" s="40"/>
      <c r="BI1662" s="40"/>
      <c r="BJ1662" s="40"/>
      <c r="BK1662" s="40"/>
      <c r="BL1662" s="62">
        <v>0.22505751934741686</v>
      </c>
      <c r="BM1662" s="275">
        <v>3</v>
      </c>
      <c r="BN1662" s="62">
        <v>0.05</v>
      </c>
      <c r="BO1662" t="s">
        <v>681</v>
      </c>
      <c r="BP1662" s="33" t="s">
        <v>677</v>
      </c>
    </row>
    <row r="1663" spans="1:68">
      <c r="A1663" s="33" t="str">
        <f>Database_Productkaarten[[#This Row],[Product]]&amp;", "&amp;Database_Productkaarten[[#This Row],[Levensfase]]</f>
        <v>Prefab beton platen 140mm, Totaal</v>
      </c>
      <c r="B1663" t="s">
        <v>682</v>
      </c>
      <c r="C1663" t="s">
        <v>664</v>
      </c>
      <c r="D1663" s="33" t="s">
        <v>683</v>
      </c>
      <c r="E1663" s="33" t="s">
        <v>385</v>
      </c>
      <c r="F1663" s="33" t="s">
        <v>90</v>
      </c>
      <c r="G1663" s="33">
        <v>1</v>
      </c>
      <c r="H1663" s="33">
        <v>1</v>
      </c>
      <c r="I1663" s="33">
        <v>0.14000000000000001</v>
      </c>
      <c r="L1663" s="33">
        <v>2.375</v>
      </c>
      <c r="M1663" s="33">
        <v>0.33250000000000002</v>
      </c>
      <c r="N1663" s="41"/>
      <c r="O1663" s="33">
        <v>100</v>
      </c>
      <c r="P1663" s="40"/>
      <c r="Q1663" s="40"/>
      <c r="R1663" s="40"/>
      <c r="S1663" s="40"/>
      <c r="T1663" s="40"/>
      <c r="U1663" s="40"/>
      <c r="V1663" s="40"/>
      <c r="W1663" s="40"/>
      <c r="X1663" s="40"/>
      <c r="Y1663" s="40"/>
      <c r="Z1663" s="40"/>
      <c r="AA1663" s="40"/>
      <c r="AB1663" s="40"/>
      <c r="AC1663" s="40"/>
      <c r="AD1663" s="40"/>
      <c r="AE1663" s="40"/>
      <c r="AF1663" s="40"/>
      <c r="AG1663" s="40"/>
      <c r="AH1663" s="40"/>
      <c r="AI1663" s="40"/>
      <c r="AJ1663" s="40"/>
      <c r="AK1663" s="40"/>
      <c r="AL1663" s="40"/>
      <c r="AM1663" s="40"/>
      <c r="AN1663" s="40"/>
      <c r="AO1663" s="40"/>
      <c r="AP1663" s="40"/>
      <c r="AQ1663" s="40"/>
      <c r="AR1663" s="40"/>
      <c r="AS1663" s="40"/>
      <c r="AT1663" s="40"/>
      <c r="AU1663" s="40"/>
      <c r="AV1663" s="313"/>
      <c r="AW1663" s="317"/>
      <c r="AX1663" s="317"/>
      <c r="AY1663" s="313"/>
      <c r="AZ1663" s="40"/>
      <c r="BA1663" s="40"/>
      <c r="BB1663" s="40"/>
      <c r="BC1663" s="40"/>
      <c r="BD1663" s="40"/>
      <c r="BE1663" s="40"/>
      <c r="BF1663" s="40"/>
      <c r="BG1663" s="40"/>
      <c r="BH1663" s="40"/>
      <c r="BI1663" s="40"/>
      <c r="BJ1663" s="40"/>
      <c r="BK1663" s="40"/>
      <c r="BL1663" s="62">
        <v>0.24210000000000001</v>
      </c>
      <c r="BM1663" s="275">
        <v>3</v>
      </c>
      <c r="BN1663" s="62">
        <v>0.03</v>
      </c>
      <c r="BO1663"/>
      <c r="BP1663" s="33" t="s">
        <v>684</v>
      </c>
    </row>
    <row r="1664" spans="1:68">
      <c r="A1664" s="33" t="str">
        <f>Database_Productkaarten[[#This Row],[Product]]&amp;", "&amp;Database_Productkaarten[[#This Row],[Levensfase]]</f>
        <v>Prefab beton platen 140mm, A1</v>
      </c>
      <c r="B1664" t="s">
        <v>682</v>
      </c>
      <c r="C1664" t="s">
        <v>664</v>
      </c>
      <c r="D1664" s="33" t="s">
        <v>683</v>
      </c>
      <c r="E1664" s="33" t="s">
        <v>385</v>
      </c>
      <c r="F1664" s="33" t="s">
        <v>74</v>
      </c>
      <c r="G1664" s="33">
        <v>1</v>
      </c>
      <c r="H1664" s="33">
        <v>1</v>
      </c>
      <c r="I1664" s="33">
        <v>0.14000000000000001</v>
      </c>
      <c r="L1664" s="33">
        <v>2.375</v>
      </c>
      <c r="M1664" s="33">
        <v>0.33250000000000002</v>
      </c>
      <c r="N1664" s="41">
        <v>2.5816400000000002</v>
      </c>
      <c r="O1664" s="33">
        <v>100</v>
      </c>
      <c r="P1664" s="40">
        <v>6.3971000000000001E-5</v>
      </c>
      <c r="Q1664" s="40">
        <v>8.7809129999999999E-2</v>
      </c>
      <c r="R1664" s="40">
        <v>27.166094699999999</v>
      </c>
      <c r="S1664" s="40">
        <v>1.1892E-6</v>
      </c>
      <c r="T1664" s="40">
        <v>1.282136E-2</v>
      </c>
      <c r="U1664" s="40">
        <v>0.10960634</v>
      </c>
      <c r="V1664" s="40">
        <v>1.60281E-2</v>
      </c>
      <c r="W1664" s="40">
        <v>5.8871301599999999</v>
      </c>
      <c r="X1664" s="40">
        <v>0.14366340999999999</v>
      </c>
      <c r="Y1664" s="40">
        <v>555.59762599999999</v>
      </c>
      <c r="Z1664" s="40">
        <v>0.25124521999999999</v>
      </c>
      <c r="AA1664" s="40"/>
      <c r="AB1664" s="40"/>
      <c r="AC1664" s="40"/>
      <c r="AD1664" s="40"/>
      <c r="AE1664" s="40"/>
      <c r="AF1664" s="40"/>
      <c r="AG1664" s="40"/>
      <c r="AH1664" s="40"/>
      <c r="AI1664" s="40"/>
      <c r="AJ1664" s="40"/>
      <c r="AK1664" s="40"/>
      <c r="AL1664" s="40"/>
      <c r="AM1664" s="40"/>
      <c r="AN1664" s="40"/>
      <c r="AO1664" s="40"/>
      <c r="AP1664" s="40"/>
      <c r="AQ1664" s="40"/>
      <c r="AR1664" s="40"/>
      <c r="AS1664" s="40"/>
      <c r="AT1664" s="40"/>
      <c r="AU1664" s="40"/>
      <c r="AV1664" s="313">
        <v>20.090483261432301</v>
      </c>
      <c r="AW1664" s="317"/>
      <c r="AX1664" s="317"/>
      <c r="AY1664" s="313">
        <v>284.01501964767039</v>
      </c>
      <c r="AZ1664" s="40"/>
      <c r="BA1664" s="40"/>
      <c r="BB1664" s="40"/>
      <c r="BC1664" s="40">
        <v>3.3574388272650557</v>
      </c>
      <c r="BD1664" s="40">
        <v>2.9475755629887836</v>
      </c>
      <c r="BE1664" s="40">
        <v>2.7093037649233818</v>
      </c>
      <c r="BF1664" s="40">
        <v>1.7098199999999997E-4</v>
      </c>
      <c r="BG1664" s="40"/>
      <c r="BH1664" s="40"/>
      <c r="BI1664" s="40"/>
      <c r="BJ1664" s="40"/>
      <c r="BK1664" s="40"/>
      <c r="BL1664" s="62">
        <v>0.24210000000000001</v>
      </c>
      <c r="BM1664" s="275">
        <v>3</v>
      </c>
      <c r="BN1664" s="62">
        <v>0.03</v>
      </c>
      <c r="BO1664" s="164" t="s">
        <v>685</v>
      </c>
      <c r="BP1664" s="33" t="s">
        <v>686</v>
      </c>
    </row>
    <row r="1665" spans="1:68">
      <c r="A1665" s="33" t="str">
        <f>Database_Productkaarten[[#This Row],[Product]]&amp;", "&amp;Database_Productkaarten[[#This Row],[Levensfase]]</f>
        <v>Prefab beton platen 140mm, A2</v>
      </c>
      <c r="B1665" t="s">
        <v>682</v>
      </c>
      <c r="C1665" t="s">
        <v>664</v>
      </c>
      <c r="D1665" s="33" t="s">
        <v>683</v>
      </c>
      <c r="E1665" s="33" t="s">
        <v>385</v>
      </c>
      <c r="F1665" s="33" t="s">
        <v>75</v>
      </c>
      <c r="G1665" s="33">
        <v>1</v>
      </c>
      <c r="H1665" s="33">
        <v>1</v>
      </c>
      <c r="I1665" s="33">
        <v>0.14000000000000001</v>
      </c>
      <c r="L1665" s="33">
        <v>2.375</v>
      </c>
      <c r="M1665" s="33">
        <v>0.33250000000000002</v>
      </c>
      <c r="N1665" s="41">
        <f>(50*0.34403)*G2552</f>
        <v>0.14790688617155001</v>
      </c>
      <c r="O1665" s="33">
        <v>100</v>
      </c>
      <c r="P1665" s="40">
        <f t="shared" ref="P1665:Z1665" si="786">(50*0.34403)*J2552</f>
        <v>2.6499098246350002E-5</v>
      </c>
      <c r="Q1665" s="40">
        <f t="shared" si="786"/>
        <v>1.148153543338E-2</v>
      </c>
      <c r="R1665" s="40">
        <f t="shared" si="786"/>
        <v>1.5423679563039998</v>
      </c>
      <c r="S1665" s="40">
        <f t="shared" si="786"/>
        <v>2.9219290131700003E-7</v>
      </c>
      <c r="T1665" s="40">
        <f t="shared" si="786"/>
        <v>9.6394089088200005E-4</v>
      </c>
      <c r="U1665" s="40">
        <f t="shared" si="786"/>
        <v>5.6969859428449999E-3</v>
      </c>
      <c r="V1665" s="40">
        <f t="shared" si="786"/>
        <v>1.1045427696044999E-3</v>
      </c>
      <c r="W1665" s="40">
        <f t="shared" si="786"/>
        <v>0.33319319261200003</v>
      </c>
      <c r="X1665" s="40">
        <f t="shared" si="786"/>
        <v>1.4009742925365E-2</v>
      </c>
      <c r="Y1665" s="40">
        <f t="shared" si="786"/>
        <v>37.616990185399999</v>
      </c>
      <c r="Z1665" s="40">
        <f t="shared" si="786"/>
        <v>1.8724520809999998E-3</v>
      </c>
      <c r="AA1665" s="40"/>
      <c r="AB1665" s="40"/>
      <c r="AC1665" s="40"/>
      <c r="AD1665" s="40"/>
      <c r="AE1665" s="40"/>
      <c r="AF1665" s="40"/>
      <c r="AG1665" s="40"/>
      <c r="AH1665" s="40"/>
      <c r="AI1665" s="40"/>
      <c r="AJ1665" s="40"/>
      <c r="AK1665" s="40"/>
      <c r="AL1665" s="40"/>
      <c r="AM1665" s="40"/>
      <c r="AN1665" s="40"/>
      <c r="AO1665" s="40"/>
      <c r="AP1665" s="40"/>
      <c r="AQ1665" s="40"/>
      <c r="AR1665" s="40"/>
      <c r="AS1665" s="40"/>
      <c r="AT1665" s="40"/>
      <c r="AU1665" s="40"/>
      <c r="AV1665" s="313">
        <f>(50*0.34403)*AP2552</f>
        <v>0.24468887768549999</v>
      </c>
      <c r="AW1665" s="317"/>
      <c r="AX1665" s="317"/>
      <c r="AY1665" s="313">
        <f>(50*0.34403)*AS2552</f>
        <v>25.6067755943</v>
      </c>
      <c r="AZ1665" s="40"/>
      <c r="BA1665" s="40"/>
      <c r="BB1665" s="40"/>
      <c r="BC1665" s="40">
        <f>(50*0.34403)*AW2552</f>
        <v>2.4481646121099999E-3</v>
      </c>
      <c r="BD1665" s="40">
        <f>(50*0.34403)*AX2552</f>
        <v>5.9849006935000001E-5</v>
      </c>
      <c r="BE1665" s="40">
        <f>(50*0.34403)*AY2552</f>
        <v>2.1164557025299997</v>
      </c>
      <c r="BF1665" s="40">
        <f>(50*0.34403)*AZ2552</f>
        <v>1.6447849304380001E-4</v>
      </c>
      <c r="BG1665" s="40"/>
      <c r="BH1665" s="40"/>
      <c r="BI1665" s="40"/>
      <c r="BJ1665" s="40"/>
      <c r="BK1665" s="40"/>
      <c r="BL1665" s="62">
        <v>0.24210000000000001</v>
      </c>
      <c r="BM1665" s="275">
        <v>3</v>
      </c>
      <c r="BN1665" s="62">
        <v>0.03</v>
      </c>
      <c r="BO1665" s="33" t="s">
        <v>224</v>
      </c>
      <c r="BP1665" s="33" t="s">
        <v>687</v>
      </c>
    </row>
    <row r="1666" spans="1:68">
      <c r="A1666" s="33" t="str">
        <f>Database_Productkaarten[[#This Row],[Product]]&amp;", "&amp;Database_Productkaarten[[#This Row],[Levensfase]]</f>
        <v>Prefab beton platen 140mm, A3</v>
      </c>
      <c r="B1666" t="s">
        <v>682</v>
      </c>
      <c r="C1666" t="s">
        <v>664</v>
      </c>
      <c r="D1666" s="33" t="s">
        <v>683</v>
      </c>
      <c r="E1666" s="33" t="s">
        <v>385</v>
      </c>
      <c r="F1666" s="33" t="s">
        <v>76</v>
      </c>
      <c r="G1666" s="33">
        <v>1</v>
      </c>
      <c r="H1666" s="33">
        <v>1</v>
      </c>
      <c r="I1666" s="33">
        <v>0.14000000000000001</v>
      </c>
      <c r="L1666" s="33">
        <v>2.375</v>
      </c>
      <c r="M1666" s="33">
        <v>0.33250000000000002</v>
      </c>
      <c r="N1666" s="41">
        <v>9.359513492999999E-2</v>
      </c>
      <c r="O1666" s="33">
        <v>100</v>
      </c>
      <c r="P1666" s="40">
        <v>4.9939432629999997E-6</v>
      </c>
      <c r="Q1666" s="40">
        <v>7.8867418969999995E-3</v>
      </c>
      <c r="R1666" s="40">
        <v>0.98791422397000017</v>
      </c>
      <c r="S1666" s="40">
        <v>1.45090164311E-7</v>
      </c>
      <c r="T1666" s="40">
        <v>4.831040785E-4</v>
      </c>
      <c r="U1666" s="40">
        <v>3.4442833300000002E-3</v>
      </c>
      <c r="V1666" s="40">
        <v>6.9277410128999999E-4</v>
      </c>
      <c r="W1666" s="40">
        <v>0.22387749101999999</v>
      </c>
      <c r="X1666" s="40">
        <v>3.7051990081999999E-3</v>
      </c>
      <c r="Y1666" s="40">
        <v>12.605822728</v>
      </c>
      <c r="Z1666" s="40">
        <v>7.2228903296000001E-3</v>
      </c>
      <c r="AA1666" s="40"/>
      <c r="AB1666" s="40"/>
      <c r="AC1666" s="40"/>
      <c r="AD1666" s="40"/>
      <c r="AE1666" s="40"/>
      <c r="AF1666" s="40"/>
      <c r="AG1666" s="40"/>
      <c r="AH1666" s="40"/>
      <c r="AI1666" s="40"/>
      <c r="AJ1666" s="40"/>
      <c r="AK1666" s="40"/>
      <c r="AL1666" s="40"/>
      <c r="AM1666" s="40"/>
      <c r="AN1666" s="40"/>
      <c r="AO1666" s="40"/>
      <c r="AP1666" s="40"/>
      <c r="AQ1666" s="40"/>
      <c r="AR1666" s="40"/>
      <c r="AS1666" s="40"/>
      <c r="AT1666" s="40"/>
      <c r="AU1666" s="40"/>
      <c r="AV1666" s="313">
        <v>0.10480067658</v>
      </c>
      <c r="AW1666" s="317"/>
      <c r="AX1666" s="317"/>
      <c r="AY1666" s="313">
        <v>16.6060455121</v>
      </c>
      <c r="AZ1666" s="40"/>
      <c r="BA1666" s="40"/>
      <c r="BB1666" s="40"/>
      <c r="BC1666" s="40">
        <v>8.0120517999999986E-4</v>
      </c>
      <c r="BD1666" s="40">
        <v>2.7886502698000001E-5</v>
      </c>
      <c r="BE1666" s="40">
        <v>3.5219487019999995E-2</v>
      </c>
      <c r="BF1666" s="40">
        <v>4.0654648345000002E-5</v>
      </c>
      <c r="BG1666" s="40"/>
      <c r="BH1666" s="40"/>
      <c r="BI1666" s="40"/>
      <c r="BJ1666" s="40"/>
      <c r="BK1666" s="40"/>
      <c r="BL1666" s="62">
        <v>0.24210000000000001</v>
      </c>
      <c r="BM1666" s="275">
        <v>3</v>
      </c>
      <c r="BN1666" s="62">
        <v>0.03</v>
      </c>
      <c r="BO1666" t="s">
        <v>688</v>
      </c>
      <c r="BP1666" s="33" t="s">
        <v>689</v>
      </c>
    </row>
    <row r="1667" spans="1:68">
      <c r="A1667" s="451" t="str">
        <f>Database_Productkaarten[[#This Row],[Product]]&amp;", "&amp;Database_Productkaarten[[#This Row],[Levensfase]]</f>
        <v>Prefab beton platen 140mm, A1-A3</v>
      </c>
      <c r="B1667" s="451" t="str">
        <f>B1666</f>
        <v>Prefab beton platen 140mm</v>
      </c>
      <c r="C1667" s="451" t="str">
        <f>C1666</f>
        <v>Betonverhardingen</v>
      </c>
      <c r="D1667" s="451" t="str">
        <f>D1666</f>
        <v>Prefab beton</v>
      </c>
      <c r="E1667" s="451" t="str">
        <f>E1666</f>
        <v>m2</v>
      </c>
      <c r="F1667" s="451" t="s">
        <v>77</v>
      </c>
      <c r="G1667" s="451">
        <f t="shared" ref="G1667:M1667" si="787">G1666</f>
        <v>1</v>
      </c>
      <c r="H1667" s="451">
        <f t="shared" si="787"/>
        <v>1</v>
      </c>
      <c r="I1667" s="451">
        <f t="shared" si="787"/>
        <v>0.14000000000000001</v>
      </c>
      <c r="J1667" s="451"/>
      <c r="K1667" s="451"/>
      <c r="L1667" s="451">
        <f t="shared" si="787"/>
        <v>2.375</v>
      </c>
      <c r="M1667" s="454">
        <f t="shared" si="787"/>
        <v>0.33250000000000002</v>
      </c>
      <c r="N1667" s="452">
        <f>SUM(N1664:N1666)</f>
        <v>2.8231420211015505</v>
      </c>
      <c r="O1667" s="451">
        <f>O1666</f>
        <v>100</v>
      </c>
      <c r="P1667" s="453">
        <f t="shared" ref="P1667:BK1667" si="788">SUM(P1664:P1666)</f>
        <v>9.546404150935E-5</v>
      </c>
      <c r="Q1667" s="453">
        <f t="shared" si="788"/>
        <v>0.10717740733038</v>
      </c>
      <c r="R1667" s="453">
        <f t="shared" si="788"/>
        <v>29.696376880273998</v>
      </c>
      <c r="S1667" s="453">
        <f t="shared" si="788"/>
        <v>1.6264830656280001E-6</v>
      </c>
      <c r="T1667" s="453">
        <f t="shared" si="788"/>
        <v>1.4268404969382E-2</v>
      </c>
      <c r="U1667" s="453">
        <f t="shared" si="788"/>
        <v>0.118747609272845</v>
      </c>
      <c r="V1667" s="453">
        <f t="shared" si="788"/>
        <v>1.7825416870894503E-2</v>
      </c>
      <c r="W1667" s="453">
        <f t="shared" si="788"/>
        <v>6.4442008436319993</v>
      </c>
      <c r="X1667" s="453">
        <f t="shared" si="788"/>
        <v>0.16137835193356498</v>
      </c>
      <c r="Y1667" s="453">
        <f t="shared" si="788"/>
        <v>605.82043891340004</v>
      </c>
      <c r="Z1667" s="453">
        <f t="shared" si="788"/>
        <v>0.2603405624106</v>
      </c>
      <c r="AA1667" s="453">
        <f t="shared" si="788"/>
        <v>0</v>
      </c>
      <c r="AB1667" s="453">
        <f t="shared" si="788"/>
        <v>0</v>
      </c>
      <c r="AC1667" s="453">
        <f t="shared" si="788"/>
        <v>0</v>
      </c>
      <c r="AD1667" s="453">
        <f t="shared" si="788"/>
        <v>0</v>
      </c>
      <c r="AE1667" s="453">
        <f t="shared" si="788"/>
        <v>0</v>
      </c>
      <c r="AF1667" s="453">
        <f t="shared" si="788"/>
        <v>0</v>
      </c>
      <c r="AG1667" s="453">
        <f t="shared" si="788"/>
        <v>0</v>
      </c>
      <c r="AH1667" s="453">
        <f t="shared" si="788"/>
        <v>0</v>
      </c>
      <c r="AI1667" s="453">
        <f t="shared" si="788"/>
        <v>0</v>
      </c>
      <c r="AJ1667" s="453">
        <f t="shared" si="788"/>
        <v>0</v>
      </c>
      <c r="AK1667" s="453">
        <f t="shared" si="788"/>
        <v>0</v>
      </c>
      <c r="AL1667" s="453">
        <f t="shared" si="788"/>
        <v>0</v>
      </c>
      <c r="AM1667" s="453">
        <f t="shared" si="788"/>
        <v>0</v>
      </c>
      <c r="AN1667" s="453">
        <f t="shared" si="788"/>
        <v>0</v>
      </c>
      <c r="AO1667" s="453">
        <f t="shared" si="788"/>
        <v>0</v>
      </c>
      <c r="AP1667" s="453">
        <f t="shared" si="788"/>
        <v>0</v>
      </c>
      <c r="AQ1667" s="453">
        <f t="shared" si="788"/>
        <v>0</v>
      </c>
      <c r="AR1667" s="453">
        <f t="shared" si="788"/>
        <v>0</v>
      </c>
      <c r="AS1667" s="453">
        <f t="shared" si="788"/>
        <v>0</v>
      </c>
      <c r="AT1667" s="453">
        <f t="shared" si="788"/>
        <v>0</v>
      </c>
      <c r="AU1667" s="453">
        <f t="shared" si="788"/>
        <v>0</v>
      </c>
      <c r="AV1667" s="317">
        <f t="shared" si="788"/>
        <v>20.4399728156978</v>
      </c>
      <c r="AW1667" s="317">
        <f t="shared" si="788"/>
        <v>0</v>
      </c>
      <c r="AX1667" s="317">
        <f t="shared" si="788"/>
        <v>0</v>
      </c>
      <c r="AY1667" s="317">
        <f t="shared" si="788"/>
        <v>326.22784075407043</v>
      </c>
      <c r="AZ1667" s="453">
        <f t="shared" si="788"/>
        <v>0</v>
      </c>
      <c r="BA1667" s="453">
        <f t="shared" si="788"/>
        <v>0</v>
      </c>
      <c r="BB1667" s="453">
        <f t="shared" si="788"/>
        <v>0</v>
      </c>
      <c r="BC1667" s="453">
        <f t="shared" si="788"/>
        <v>3.3606881970571658</v>
      </c>
      <c r="BD1667" s="453">
        <f t="shared" si="788"/>
        <v>2.9476632984984166</v>
      </c>
      <c r="BE1667" s="453">
        <f t="shared" si="788"/>
        <v>4.8609789544733815</v>
      </c>
      <c r="BF1667" s="453">
        <f t="shared" si="788"/>
        <v>3.7611514138880003E-4</v>
      </c>
      <c r="BG1667" s="453">
        <f t="shared" si="788"/>
        <v>0</v>
      </c>
      <c r="BH1667" s="453">
        <f t="shared" si="788"/>
        <v>0</v>
      </c>
      <c r="BI1667" s="453">
        <f t="shared" si="788"/>
        <v>0</v>
      </c>
      <c r="BJ1667" s="453">
        <f t="shared" si="788"/>
        <v>0</v>
      </c>
      <c r="BK1667" s="453">
        <f t="shared" si="788"/>
        <v>0</v>
      </c>
      <c r="BL1667" s="62">
        <f>BL1666</f>
        <v>0.24210000000000001</v>
      </c>
      <c r="BM1667" s="275">
        <f>BM1666</f>
        <v>3</v>
      </c>
      <c r="BN1667" s="62">
        <v>0.03</v>
      </c>
      <c r="BO1667" s="451" t="str">
        <f>BO1666</f>
        <v>0111-pro&amp;Aardgas, algemeen gebruik, per m3 (o.b.v. 31,7 MJ Heat, district or industrial, natural gas {RER}| market group for | Cut-off, U)
0095-pro&amp;Diesel, gasolie, gebruik, liter (o.b.v. 35,8 MJ Diesel, burned in building machine {GLO}| processing | Cut-off, U)
0081-fab&amp;Materialisatie energieopwekking (centrales o.b.v. NL-mix) en elektriciteitsnet; per kWh aan huis</v>
      </c>
      <c r="BP1667" s="451"/>
    </row>
    <row r="1668" spans="1:68">
      <c r="A1668" s="33" t="str">
        <f>Database_Productkaarten[[#This Row],[Product]]&amp;", "&amp;Database_Productkaarten[[#This Row],[Levensfase]]</f>
        <v>Prefab beton platen 140mm, A4</v>
      </c>
      <c r="B1668" t="s">
        <v>682</v>
      </c>
      <c r="C1668" t="s">
        <v>664</v>
      </c>
      <c r="D1668" s="33" t="s">
        <v>683</v>
      </c>
      <c r="E1668" s="33" t="s">
        <v>385</v>
      </c>
      <c r="F1668" s="33" t="s">
        <v>78</v>
      </c>
      <c r="G1668" s="33">
        <v>1</v>
      </c>
      <c r="H1668" s="33">
        <v>1</v>
      </c>
      <c r="I1668" s="33">
        <v>0.14000000000000001</v>
      </c>
      <c r="L1668" s="33">
        <v>2.375</v>
      </c>
      <c r="M1668" s="33">
        <v>0.33250000000000002</v>
      </c>
      <c r="N1668" s="41">
        <f>(50*0.34403)*G2552</f>
        <v>0.14790688617155001</v>
      </c>
      <c r="O1668" s="33">
        <v>100</v>
      </c>
      <c r="P1668" s="40">
        <f t="shared" ref="P1668:Z1668" si="789">(50*0.34403)*J2552</f>
        <v>2.6499098246350002E-5</v>
      </c>
      <c r="Q1668" s="40">
        <f t="shared" si="789"/>
        <v>1.148153543338E-2</v>
      </c>
      <c r="R1668" s="40">
        <f t="shared" si="789"/>
        <v>1.5423679563039998</v>
      </c>
      <c r="S1668" s="40">
        <f t="shared" si="789"/>
        <v>2.9219290131700003E-7</v>
      </c>
      <c r="T1668" s="40">
        <f t="shared" si="789"/>
        <v>9.6394089088200005E-4</v>
      </c>
      <c r="U1668" s="40">
        <f t="shared" si="789"/>
        <v>5.6969859428449999E-3</v>
      </c>
      <c r="V1668" s="40">
        <f t="shared" si="789"/>
        <v>1.1045427696044999E-3</v>
      </c>
      <c r="W1668" s="40">
        <f t="shared" si="789"/>
        <v>0.33319319261200003</v>
      </c>
      <c r="X1668" s="40">
        <f t="shared" si="789"/>
        <v>1.4009742925365E-2</v>
      </c>
      <c r="Y1668" s="40">
        <f t="shared" si="789"/>
        <v>37.616990185399999</v>
      </c>
      <c r="Z1668" s="40">
        <f t="shared" si="789"/>
        <v>1.8724520809999998E-3</v>
      </c>
      <c r="AA1668" s="40"/>
      <c r="AB1668" s="40"/>
      <c r="AC1668" s="40"/>
      <c r="AD1668" s="40"/>
      <c r="AE1668" s="40"/>
      <c r="AF1668" s="40"/>
      <c r="AG1668" s="40"/>
      <c r="AH1668" s="40"/>
      <c r="AI1668" s="40"/>
      <c r="AJ1668" s="40"/>
      <c r="AK1668" s="40"/>
      <c r="AL1668" s="40"/>
      <c r="AM1668" s="40"/>
      <c r="AN1668" s="40"/>
      <c r="AO1668" s="40"/>
      <c r="AP1668" s="40"/>
      <c r="AQ1668" s="40"/>
      <c r="AR1668" s="40"/>
      <c r="AS1668" s="40"/>
      <c r="AT1668" s="40"/>
      <c r="AU1668" s="40"/>
      <c r="AV1668" s="313">
        <f>(50*0.34403)*AP2552</f>
        <v>0.24468887768549999</v>
      </c>
      <c r="AW1668" s="317"/>
      <c r="AX1668" s="317"/>
      <c r="AY1668" s="313">
        <f>(50*0.34403)*AS2552</f>
        <v>25.6067755943</v>
      </c>
      <c r="AZ1668" s="40"/>
      <c r="BA1668" s="40"/>
      <c r="BB1668" s="40"/>
      <c r="BC1668" s="40">
        <f>(50*0.34403)*AW2552</f>
        <v>2.4481646121099999E-3</v>
      </c>
      <c r="BD1668" s="40">
        <f>(50*0.34403)*AX2552</f>
        <v>5.9849006935000001E-5</v>
      </c>
      <c r="BE1668" s="40">
        <f>(50*0.34403)*AY2552</f>
        <v>2.1164557025299997</v>
      </c>
      <c r="BF1668" s="40">
        <f>(50*0.3325)*AZ2552</f>
        <v>1.5896607545E-4</v>
      </c>
      <c r="BG1668" s="40"/>
      <c r="BH1668" s="40"/>
      <c r="BI1668" s="40"/>
      <c r="BJ1668" s="40"/>
      <c r="BK1668" s="40"/>
      <c r="BL1668" s="62">
        <v>0.24210000000000001</v>
      </c>
      <c r="BM1668" s="275">
        <v>3</v>
      </c>
      <c r="BN1668" s="62">
        <v>0.03</v>
      </c>
      <c r="BO1668" s="33" t="s">
        <v>224</v>
      </c>
      <c r="BP1668" s="33" t="s">
        <v>687</v>
      </c>
    </row>
    <row r="1669" spans="1:68">
      <c r="A1669" s="33" t="str">
        <f>Database_Productkaarten[[#This Row],[Product]]&amp;", "&amp;Database_Productkaarten[[#This Row],[Levensfase]]</f>
        <v>Prefab beton platen 140mm, A5</v>
      </c>
      <c r="B1669" t="s">
        <v>682</v>
      </c>
      <c r="C1669" t="s">
        <v>664</v>
      </c>
      <c r="D1669" s="33" t="s">
        <v>683</v>
      </c>
      <c r="E1669" s="33" t="s">
        <v>385</v>
      </c>
      <c r="F1669" s="33" t="s">
        <v>79</v>
      </c>
      <c r="G1669" s="33">
        <v>1</v>
      </c>
      <c r="H1669" s="33">
        <v>1</v>
      </c>
      <c r="I1669" s="33">
        <v>0.14000000000000001</v>
      </c>
      <c r="L1669" s="33">
        <v>2.375</v>
      </c>
      <c r="M1669" s="33">
        <v>0.33250000000000002</v>
      </c>
      <c r="N1669" s="41">
        <f>G2631/12.5</f>
        <v>0.3360367427513915</v>
      </c>
      <c r="O1669" s="33">
        <v>100</v>
      </c>
      <c r="P1669" s="40">
        <f t="shared" ref="P1669:Z1669" si="790">J2631/12.5</f>
        <v>1.697584E-6</v>
      </c>
      <c r="Q1669" s="40">
        <f t="shared" si="790"/>
        <v>2.4778093169600002E-2</v>
      </c>
      <c r="R1669" s="40">
        <f t="shared" si="790"/>
        <v>3.6265243425599998</v>
      </c>
      <c r="S1669" s="40">
        <f t="shared" si="790"/>
        <v>6.3158559999999987E-7</v>
      </c>
      <c r="T1669" s="40">
        <f t="shared" si="790"/>
        <v>1.1940088864000001E-3</v>
      </c>
      <c r="U1669" s="40">
        <f t="shared" si="790"/>
        <v>3.3897336784629588E-3</v>
      </c>
      <c r="V1669" s="40">
        <f t="shared" si="790"/>
        <v>9.2641295999999988E-3</v>
      </c>
      <c r="W1669" s="40">
        <f t="shared" si="790"/>
        <v>2.4455315791199999</v>
      </c>
      <c r="X1669" s="40">
        <f t="shared" si="790"/>
        <v>2.8626406524351995E-8</v>
      </c>
      <c r="Y1669" s="40">
        <f t="shared" si="790"/>
        <v>1.3980620568953166</v>
      </c>
      <c r="Z1669" s="40">
        <f t="shared" si="790"/>
        <v>1.0984531895202369E-2</v>
      </c>
      <c r="AA1669" s="40"/>
      <c r="AB1669" s="40"/>
      <c r="AC1669" s="40"/>
      <c r="AD1669" s="40"/>
      <c r="AE1669" s="40"/>
      <c r="AF1669" s="40"/>
      <c r="AG1669" s="40"/>
      <c r="AH1669" s="40"/>
      <c r="AI1669" s="40"/>
      <c r="AJ1669" s="40"/>
      <c r="AK1669" s="40"/>
      <c r="AL1669" s="40"/>
      <c r="AM1669" s="40"/>
      <c r="AN1669" s="40"/>
      <c r="AO1669" s="40"/>
      <c r="AP1669" s="40"/>
      <c r="AQ1669" s="40"/>
      <c r="AR1669" s="40"/>
      <c r="AS1669" s="40"/>
      <c r="AT1669" s="40"/>
      <c r="AU1669" s="40"/>
      <c r="AV1669" s="313">
        <f>AP2631/12.5</f>
        <v>0.40331996743999993</v>
      </c>
      <c r="AW1669" s="317"/>
      <c r="AX1669" s="317"/>
      <c r="AY1669" s="313">
        <f>AS2631/12.5</f>
        <v>55.306744758400001</v>
      </c>
      <c r="AZ1669" s="40"/>
      <c r="BA1669" s="40"/>
      <c r="BB1669" s="40"/>
      <c r="BC1669" s="40">
        <f>AW2631/12.5</f>
        <v>4.5908051460004797E-5</v>
      </c>
      <c r="BD1669" s="40">
        <f>AX2631/12.5</f>
        <v>8.8552943033093107E-4</v>
      </c>
      <c r="BE1669" s="40">
        <f>AY2631/12.5</f>
        <v>2.5189637239040983E-9</v>
      </c>
      <c r="BF1669" s="40">
        <f>AZ2631/12.5</f>
        <v>0</v>
      </c>
      <c r="BG1669" s="40"/>
      <c r="BH1669" s="40"/>
      <c r="BI1669" s="40"/>
      <c r="BJ1669" s="40"/>
      <c r="BK1669" s="40"/>
      <c r="BL1669" s="62">
        <v>0.24210000000000001</v>
      </c>
      <c r="BM1669" s="275">
        <v>3</v>
      </c>
      <c r="BN1669" s="62">
        <v>0.03</v>
      </c>
      <c r="BO1669" t="s">
        <v>690</v>
      </c>
      <c r="BP1669" s="33" t="s">
        <v>598</v>
      </c>
    </row>
    <row r="1670" spans="1:68">
      <c r="A1670" s="33" t="str">
        <f>Database_Productkaarten[[#This Row],[Product]]&amp;", "&amp;Database_Productkaarten[[#This Row],[Levensfase]]</f>
        <v>Prefab beton platen 140mm, B1</v>
      </c>
      <c r="B1670" t="s">
        <v>682</v>
      </c>
      <c r="C1670" t="s">
        <v>664</v>
      </c>
      <c r="D1670" s="33" t="s">
        <v>683</v>
      </c>
      <c r="E1670" s="33" t="s">
        <v>385</v>
      </c>
      <c r="F1670" s="33" t="s">
        <v>80</v>
      </c>
      <c r="G1670" s="33">
        <v>1</v>
      </c>
      <c r="H1670" s="33">
        <v>1</v>
      </c>
      <c r="I1670" s="33">
        <v>0.14000000000000001</v>
      </c>
      <c r="L1670" s="33">
        <v>2.375</v>
      </c>
      <c r="M1670" s="33">
        <v>0.33250000000000002</v>
      </c>
      <c r="N1670" s="41"/>
      <c r="O1670" s="33">
        <v>100</v>
      </c>
      <c r="P1670" s="40"/>
      <c r="Q1670" s="40"/>
      <c r="R1670" s="40"/>
      <c r="S1670" s="40"/>
      <c r="T1670" s="40"/>
      <c r="U1670" s="40"/>
      <c r="V1670" s="40"/>
      <c r="W1670" s="40"/>
      <c r="X1670" s="40"/>
      <c r="Y1670" s="40"/>
      <c r="Z1670" s="40"/>
      <c r="AA1670" s="40"/>
      <c r="AB1670" s="40"/>
      <c r="AC1670" s="40"/>
      <c r="AD1670" s="40"/>
      <c r="AE1670" s="40"/>
      <c r="AF1670" s="40"/>
      <c r="AG1670" s="40"/>
      <c r="AH1670" s="40"/>
      <c r="AI1670" s="40"/>
      <c r="AJ1670" s="40"/>
      <c r="AK1670" s="40"/>
      <c r="AL1670" s="40"/>
      <c r="AM1670" s="40"/>
      <c r="AN1670" s="40"/>
      <c r="AO1670" s="40"/>
      <c r="AP1670" s="40"/>
      <c r="AQ1670" s="40"/>
      <c r="AR1670" s="40"/>
      <c r="AS1670" s="40"/>
      <c r="AT1670" s="40"/>
      <c r="AU1670" s="40"/>
      <c r="AV1670" s="313"/>
      <c r="AW1670" s="317"/>
      <c r="AX1670" s="317"/>
      <c r="AY1670" s="313"/>
      <c r="AZ1670" s="40"/>
      <c r="BA1670" s="40"/>
      <c r="BB1670" s="40"/>
      <c r="BC1670" s="40"/>
      <c r="BD1670" s="40"/>
      <c r="BE1670" s="40"/>
      <c r="BF1670" s="40"/>
      <c r="BG1670" s="40"/>
      <c r="BH1670" s="40"/>
      <c r="BI1670" s="40"/>
      <c r="BJ1670" s="40"/>
      <c r="BK1670" s="40"/>
      <c r="BL1670" s="62">
        <v>0.24210000000000001</v>
      </c>
      <c r="BM1670" s="275">
        <v>3</v>
      </c>
      <c r="BN1670" s="62">
        <v>0.03</v>
      </c>
      <c r="BO1670"/>
    </row>
    <row r="1671" spans="1:68">
      <c r="A1671" s="33" t="str">
        <f>Database_Productkaarten[[#This Row],[Product]]&amp;", "&amp;Database_Productkaarten[[#This Row],[Levensfase]]</f>
        <v>Prefab beton platen 140mm, B3</v>
      </c>
      <c r="B1671" t="s">
        <v>682</v>
      </c>
      <c r="C1671" t="s">
        <v>664</v>
      </c>
      <c r="D1671" s="33" t="s">
        <v>683</v>
      </c>
      <c r="E1671" s="33" t="s">
        <v>385</v>
      </c>
      <c r="F1671" s="33" t="s">
        <v>81</v>
      </c>
      <c r="G1671" s="33">
        <v>1</v>
      </c>
      <c r="H1671" s="33">
        <v>1</v>
      </c>
      <c r="I1671" s="33">
        <v>0.14000000000000001</v>
      </c>
      <c r="L1671" s="33">
        <v>2.375</v>
      </c>
      <c r="M1671" s="33">
        <v>0.33250000000000002</v>
      </c>
      <c r="N1671" s="41"/>
      <c r="O1671" s="33">
        <v>100</v>
      </c>
      <c r="P1671" s="40"/>
      <c r="Q1671" s="40"/>
      <c r="R1671" s="40"/>
      <c r="S1671" s="40"/>
      <c r="T1671" s="40"/>
      <c r="U1671" s="40"/>
      <c r="V1671" s="40"/>
      <c r="W1671" s="40"/>
      <c r="X1671" s="40"/>
      <c r="Y1671" s="40"/>
      <c r="Z1671" s="40"/>
      <c r="AA1671" s="40"/>
      <c r="AB1671" s="40"/>
      <c r="AC1671" s="40"/>
      <c r="AD1671" s="40"/>
      <c r="AE1671" s="40"/>
      <c r="AF1671" s="40"/>
      <c r="AG1671" s="40"/>
      <c r="AH1671" s="40"/>
      <c r="AI1671" s="40"/>
      <c r="AJ1671" s="40"/>
      <c r="AK1671" s="40"/>
      <c r="AL1671" s="40"/>
      <c r="AM1671" s="40"/>
      <c r="AN1671" s="40"/>
      <c r="AO1671" s="40"/>
      <c r="AP1671" s="40"/>
      <c r="AQ1671" s="40"/>
      <c r="AR1671" s="40"/>
      <c r="AS1671" s="40"/>
      <c r="AT1671" s="40"/>
      <c r="AU1671" s="40"/>
      <c r="AV1671" s="313"/>
      <c r="AW1671" s="317"/>
      <c r="AX1671" s="317"/>
      <c r="AY1671" s="313"/>
      <c r="AZ1671" s="40"/>
      <c r="BA1671" s="40"/>
      <c r="BB1671" s="40"/>
      <c r="BC1671" s="40"/>
      <c r="BD1671" s="40"/>
      <c r="BE1671" s="40"/>
      <c r="BF1671" s="40"/>
      <c r="BG1671" s="40"/>
      <c r="BH1671" s="40"/>
      <c r="BI1671" s="40"/>
      <c r="BJ1671" s="40"/>
      <c r="BK1671" s="40"/>
      <c r="BL1671" s="62">
        <v>0.24210000000000001</v>
      </c>
      <c r="BM1671" s="275">
        <v>3</v>
      </c>
      <c r="BN1671" s="62">
        <v>0.03</v>
      </c>
      <c r="BO1671"/>
    </row>
    <row r="1672" spans="1:68">
      <c r="A1672" s="33" t="str">
        <f>Database_Productkaarten[[#This Row],[Product]]&amp;", "&amp;Database_Productkaarten[[#This Row],[Levensfase]]</f>
        <v>Prefab beton platen 140mm, C1</v>
      </c>
      <c r="B1672" t="s">
        <v>682</v>
      </c>
      <c r="C1672" t="s">
        <v>664</v>
      </c>
      <c r="D1672" s="33" t="s">
        <v>683</v>
      </c>
      <c r="E1672" s="33" t="s">
        <v>385</v>
      </c>
      <c r="F1672" s="33" t="s">
        <v>83</v>
      </c>
      <c r="G1672" s="33">
        <v>1</v>
      </c>
      <c r="H1672" s="33">
        <v>1</v>
      </c>
      <c r="I1672" s="33">
        <v>0.14000000000000001</v>
      </c>
      <c r="L1672" s="33">
        <v>2.375</v>
      </c>
      <c r="M1672" s="33">
        <v>0.33250000000000002</v>
      </c>
      <c r="N1672" s="41">
        <v>0.3360367427513915</v>
      </c>
      <c r="O1672" s="33">
        <v>100</v>
      </c>
      <c r="P1672" s="40">
        <v>1.697584E-6</v>
      </c>
      <c r="Q1672" s="40">
        <v>2.4778093169600002E-2</v>
      </c>
      <c r="R1672" s="40">
        <v>3.6265243425599998</v>
      </c>
      <c r="S1672" s="40">
        <v>6.3158559999999987E-7</v>
      </c>
      <c r="T1672" s="40">
        <v>1.1940088864000001E-3</v>
      </c>
      <c r="U1672" s="40">
        <v>3.3897336784629588E-3</v>
      </c>
      <c r="V1672" s="40">
        <v>9.2641295999999988E-3</v>
      </c>
      <c r="W1672" s="40">
        <v>2.4455315791199999</v>
      </c>
      <c r="X1672" s="40">
        <v>2.8626406524351995E-8</v>
      </c>
      <c r="Y1672" s="40">
        <v>1.3980620568953166</v>
      </c>
      <c r="Z1672" s="40">
        <v>1.0984531895202369E-2</v>
      </c>
      <c r="AA1672" s="40"/>
      <c r="AB1672" s="40"/>
      <c r="AC1672" s="40"/>
      <c r="AD1672" s="40"/>
      <c r="AE1672" s="40"/>
      <c r="AF1672" s="40"/>
      <c r="AG1672" s="40"/>
      <c r="AH1672" s="40"/>
      <c r="AI1672" s="40"/>
      <c r="AJ1672" s="40"/>
      <c r="AK1672" s="40"/>
      <c r="AL1672" s="40"/>
      <c r="AM1672" s="40"/>
      <c r="AN1672" s="40"/>
      <c r="AO1672" s="40"/>
      <c r="AP1672" s="40"/>
      <c r="AQ1672" s="40"/>
      <c r="AR1672" s="40"/>
      <c r="AS1672" s="40"/>
      <c r="AT1672" s="40"/>
      <c r="AU1672" s="40"/>
      <c r="AV1672" s="313">
        <v>2.4158866049655998E-7</v>
      </c>
      <c r="AW1672" s="317"/>
      <c r="AX1672" s="317"/>
      <c r="AY1672" s="313">
        <v>6.2629689604880717E-2</v>
      </c>
      <c r="AZ1672" s="40"/>
      <c r="BA1672" s="40"/>
      <c r="BB1672" s="40"/>
      <c r="BC1672" s="40">
        <v>4.5908051460004797E-5</v>
      </c>
      <c r="BD1672" s="40">
        <v>8.8552943033093107E-4</v>
      </c>
      <c r="BE1672" s="40">
        <v>2.5189637239040983E-9</v>
      </c>
      <c r="BF1672" s="40">
        <v>0</v>
      </c>
      <c r="BG1672" s="40"/>
      <c r="BH1672" s="40"/>
      <c r="BI1672" s="40"/>
      <c r="BJ1672" s="40"/>
      <c r="BK1672" s="40"/>
      <c r="BL1672" s="62">
        <v>0.24210000000000001</v>
      </c>
      <c r="BM1672" s="275">
        <v>3</v>
      </c>
      <c r="BN1672" s="62">
        <v>0.03</v>
      </c>
      <c r="BO1672" t="s">
        <v>690</v>
      </c>
      <c r="BP1672" s="33" t="s">
        <v>598</v>
      </c>
    </row>
    <row r="1673" spans="1:68">
      <c r="A1673" s="33" t="str">
        <f>Database_Productkaarten[[#This Row],[Product]]&amp;", "&amp;Database_Productkaarten[[#This Row],[Levensfase]]</f>
        <v>Prefab beton platen 140mm, C2</v>
      </c>
      <c r="B1673" t="s">
        <v>682</v>
      </c>
      <c r="C1673" t="s">
        <v>664</v>
      </c>
      <c r="D1673" s="33" t="s">
        <v>683</v>
      </c>
      <c r="E1673" s="33" t="s">
        <v>385</v>
      </c>
      <c r="F1673" s="33" t="s">
        <v>84</v>
      </c>
      <c r="G1673" s="33">
        <v>1</v>
      </c>
      <c r="H1673" s="33">
        <v>1</v>
      </c>
      <c r="I1673" s="33">
        <v>0.14000000000000001</v>
      </c>
      <c r="L1673" s="33">
        <v>2.375</v>
      </c>
      <c r="M1673" s="33">
        <v>0.33250000000000002</v>
      </c>
      <c r="N1673" s="41">
        <f>(50*0.34403)*G2552</f>
        <v>0.14790688617155001</v>
      </c>
      <c r="O1673" s="33">
        <v>100</v>
      </c>
      <c r="P1673" s="40">
        <f t="shared" ref="P1673:Z1673" si="791">(50*0.34403)*J2552</f>
        <v>2.6499098246350002E-5</v>
      </c>
      <c r="Q1673" s="40">
        <f t="shared" si="791"/>
        <v>1.148153543338E-2</v>
      </c>
      <c r="R1673" s="40">
        <f t="shared" si="791"/>
        <v>1.5423679563039998</v>
      </c>
      <c r="S1673" s="40">
        <f t="shared" si="791"/>
        <v>2.9219290131700003E-7</v>
      </c>
      <c r="T1673" s="40">
        <f t="shared" si="791"/>
        <v>9.6394089088200005E-4</v>
      </c>
      <c r="U1673" s="40">
        <f t="shared" si="791"/>
        <v>5.6969859428449999E-3</v>
      </c>
      <c r="V1673" s="40">
        <f t="shared" si="791"/>
        <v>1.1045427696044999E-3</v>
      </c>
      <c r="W1673" s="40">
        <f t="shared" si="791"/>
        <v>0.33319319261200003</v>
      </c>
      <c r="X1673" s="40">
        <f t="shared" si="791"/>
        <v>1.4009742925365E-2</v>
      </c>
      <c r="Y1673" s="40">
        <f t="shared" si="791"/>
        <v>37.616990185399999</v>
      </c>
      <c r="Z1673" s="40">
        <f t="shared" si="791"/>
        <v>1.8724520809999998E-3</v>
      </c>
      <c r="AA1673" s="40"/>
      <c r="AB1673" s="40"/>
      <c r="AC1673" s="40"/>
      <c r="AD1673" s="40"/>
      <c r="AE1673" s="40"/>
      <c r="AF1673" s="40"/>
      <c r="AG1673" s="40"/>
      <c r="AH1673" s="40"/>
      <c r="AI1673" s="40"/>
      <c r="AJ1673" s="40"/>
      <c r="AK1673" s="40"/>
      <c r="AL1673" s="40"/>
      <c r="AM1673" s="40"/>
      <c r="AN1673" s="40"/>
      <c r="AO1673" s="40"/>
      <c r="AP1673" s="40"/>
      <c r="AQ1673" s="40"/>
      <c r="AR1673" s="40"/>
      <c r="AS1673" s="40"/>
      <c r="AT1673" s="40"/>
      <c r="AU1673" s="40"/>
      <c r="AV1673" s="313">
        <f>(50*0.34403)*AP2552</f>
        <v>0.24468887768549999</v>
      </c>
      <c r="AW1673" s="317"/>
      <c r="AX1673" s="317"/>
      <c r="AY1673" s="313">
        <f>(50*0.34403)*AS2552</f>
        <v>25.6067755943</v>
      </c>
      <c r="AZ1673" s="40"/>
      <c r="BA1673" s="40"/>
      <c r="BB1673" s="40"/>
      <c r="BC1673" s="40">
        <f>(50*0.34403)*AW2552</f>
        <v>2.4481646121099999E-3</v>
      </c>
      <c r="BD1673" s="40">
        <f>(50*0.34403)*AX2552</f>
        <v>5.9849006935000001E-5</v>
      </c>
      <c r="BE1673" s="40">
        <f>(50*0.34403)*AY2552</f>
        <v>2.1164557025299997</v>
      </c>
      <c r="BF1673" s="40">
        <v>0</v>
      </c>
      <c r="BG1673" s="40"/>
      <c r="BH1673" s="40"/>
      <c r="BI1673" s="40"/>
      <c r="BJ1673" s="40"/>
      <c r="BK1673" s="40"/>
      <c r="BL1673" s="62">
        <v>0.24210000000000001</v>
      </c>
      <c r="BM1673" s="275">
        <v>3</v>
      </c>
      <c r="BN1673" s="62">
        <v>0.03</v>
      </c>
      <c r="BO1673" s="33" t="s">
        <v>224</v>
      </c>
      <c r="BP1673" s="33" t="s">
        <v>687</v>
      </c>
    </row>
    <row r="1674" spans="1:68">
      <c r="A1674" s="33" t="str">
        <f>Database_Productkaarten[[#This Row],[Product]]&amp;", "&amp;Database_Productkaarten[[#This Row],[Levensfase]]</f>
        <v>Prefab beton platen 140mm, C3</v>
      </c>
      <c r="B1674" t="s">
        <v>682</v>
      </c>
      <c r="C1674" t="s">
        <v>664</v>
      </c>
      <c r="D1674" s="33" t="s">
        <v>683</v>
      </c>
      <c r="E1674" s="33" t="s">
        <v>385</v>
      </c>
      <c r="F1674" s="33" t="s">
        <v>85</v>
      </c>
      <c r="G1674" s="33">
        <v>1</v>
      </c>
      <c r="H1674" s="33">
        <v>1</v>
      </c>
      <c r="I1674" s="33">
        <v>0.14000000000000001</v>
      </c>
      <c r="L1674" s="33">
        <v>2.375</v>
      </c>
      <c r="M1674" s="33">
        <v>0.33250000000000002</v>
      </c>
      <c r="N1674" s="41">
        <v>5.7562554929435836E-2</v>
      </c>
      <c r="O1674" s="33">
        <v>100</v>
      </c>
      <c r="P1674" s="40">
        <v>3.5069175701999998E-7</v>
      </c>
      <c r="Q1674" s="40">
        <v>3.9410004611999993E-3</v>
      </c>
      <c r="R1674" s="40">
        <v>0.54959029224</v>
      </c>
      <c r="S1674" s="40">
        <v>6.3845534577E-8</v>
      </c>
      <c r="T1674" s="40">
        <v>3.1480178399999998E-4</v>
      </c>
      <c r="U1674" s="40">
        <v>2.7389356137000002E-3</v>
      </c>
      <c r="V1674" s="40">
        <v>6.1891942331999993E-4</v>
      </c>
      <c r="W1674" s="40">
        <v>0.125976406215</v>
      </c>
      <c r="X1674" s="40">
        <v>2.1563414393400001E-3</v>
      </c>
      <c r="Y1674" s="40">
        <v>7.9669681046999994</v>
      </c>
      <c r="Z1674" s="40">
        <v>1.59373868742E-3</v>
      </c>
      <c r="AA1674" s="40"/>
      <c r="AB1674" s="40"/>
      <c r="AC1674" s="40"/>
      <c r="AD1674" s="40"/>
      <c r="AE1674" s="40"/>
      <c r="AF1674" s="40"/>
      <c r="AG1674" s="40"/>
      <c r="AH1674" s="40"/>
      <c r="AI1674" s="40"/>
      <c r="AJ1674" s="40"/>
      <c r="AK1674" s="40"/>
      <c r="AL1674" s="40"/>
      <c r="AM1674" s="40"/>
      <c r="AN1674" s="40"/>
      <c r="AO1674" s="40"/>
      <c r="AP1674" s="40"/>
      <c r="AQ1674" s="40"/>
      <c r="AR1674" s="40"/>
      <c r="AS1674" s="40"/>
      <c r="AT1674" s="40"/>
      <c r="AU1674" s="40"/>
      <c r="AV1674" s="313">
        <v>0.44273824055999994</v>
      </c>
      <c r="AW1674" s="317"/>
      <c r="AX1674" s="317"/>
      <c r="AY1674" s="313">
        <v>8.2616546067000005</v>
      </c>
      <c r="AZ1674" s="40"/>
      <c r="BA1674" s="40"/>
      <c r="BB1674" s="40"/>
      <c r="BC1674" s="40">
        <v>3.6330051746999996E-3</v>
      </c>
      <c r="BD1674" s="40">
        <v>1.2632016408E-5</v>
      </c>
      <c r="BE1674" s="40">
        <v>1.0345185863099999</v>
      </c>
      <c r="BF1674" s="40">
        <v>3.7260395435999997E-5</v>
      </c>
      <c r="BG1674" s="40"/>
      <c r="BH1674" s="40"/>
      <c r="BI1674" s="40"/>
      <c r="BJ1674" s="40"/>
      <c r="BK1674" s="40"/>
      <c r="BL1674" s="62">
        <v>0.24210000000000001</v>
      </c>
      <c r="BM1674" s="275">
        <v>3</v>
      </c>
      <c r="BN1674" s="62">
        <v>0.03</v>
      </c>
      <c r="BO1674" t="s">
        <v>691</v>
      </c>
    </row>
    <row r="1675" spans="1:68">
      <c r="A1675" s="33" t="str">
        <f>Database_Productkaarten[[#This Row],[Product]]&amp;", "&amp;Database_Productkaarten[[#This Row],[Levensfase]]</f>
        <v>Prefab beton platen 140mm, C4</v>
      </c>
      <c r="B1675" t="s">
        <v>682</v>
      </c>
      <c r="C1675" t="s">
        <v>664</v>
      </c>
      <c r="D1675" s="33" t="s">
        <v>683</v>
      </c>
      <c r="E1675" s="33" t="s">
        <v>385</v>
      </c>
      <c r="F1675" s="33" t="s">
        <v>86</v>
      </c>
      <c r="G1675" s="33">
        <v>1</v>
      </c>
      <c r="H1675" s="33">
        <v>1</v>
      </c>
      <c r="I1675" s="33">
        <v>0.14000000000000001</v>
      </c>
      <c r="L1675" s="33">
        <v>2.375</v>
      </c>
      <c r="M1675" s="33">
        <v>0.33250000000000002</v>
      </c>
      <c r="N1675" s="41">
        <v>2.6799210490938605E-3</v>
      </c>
      <c r="O1675" s="33">
        <v>100</v>
      </c>
      <c r="P1675" s="40">
        <v>2.14373550934E-8</v>
      </c>
      <c r="Q1675" s="40">
        <v>2.7835212024700001E-4</v>
      </c>
      <c r="R1675" s="40">
        <v>1.9044108943300001E-2</v>
      </c>
      <c r="S1675" s="40">
        <v>6.8670316944999997E-9</v>
      </c>
      <c r="T1675" s="40">
        <v>2.0732455346649998E-5</v>
      </c>
      <c r="U1675" s="40">
        <v>1.4357543755400001E-4</v>
      </c>
      <c r="V1675" s="40">
        <v>2.7153736552300002E-5</v>
      </c>
      <c r="W1675" s="40">
        <v>8.2808776819499989E-3</v>
      </c>
      <c r="X1675" s="40">
        <v>2.0055951055049999E-4</v>
      </c>
      <c r="Y1675" s="40">
        <v>0.70283248186500002</v>
      </c>
      <c r="Z1675" s="40">
        <v>2.06751167196E-5</v>
      </c>
      <c r="AA1675" s="40"/>
      <c r="AB1675" s="40"/>
      <c r="AC1675" s="40"/>
      <c r="AD1675" s="40"/>
      <c r="AE1675" s="40"/>
      <c r="AF1675" s="40"/>
      <c r="AG1675" s="40"/>
      <c r="AH1675" s="40"/>
      <c r="AI1675" s="40"/>
      <c r="AJ1675" s="40"/>
      <c r="AK1675" s="40"/>
      <c r="AL1675" s="40"/>
      <c r="AM1675" s="40"/>
      <c r="AN1675" s="40"/>
      <c r="AO1675" s="40"/>
      <c r="AP1675" s="40"/>
      <c r="AQ1675" s="40"/>
      <c r="AR1675" s="40"/>
      <c r="AS1675" s="40"/>
      <c r="AT1675" s="40"/>
      <c r="AU1675" s="40"/>
      <c r="AV1675" s="313">
        <v>4.7875822841499998E-3</v>
      </c>
      <c r="AW1675" s="317"/>
      <c r="AX1675" s="317"/>
      <c r="AY1675" s="313">
        <v>0.62166196646500005</v>
      </c>
      <c r="AZ1675" s="40"/>
      <c r="BA1675" s="40"/>
      <c r="BB1675" s="40"/>
      <c r="BC1675" s="40">
        <v>6.1062353872999998E-4</v>
      </c>
      <c r="BD1675" s="40">
        <v>3.9149196833999999E-7</v>
      </c>
      <c r="BE1675" s="40">
        <v>3.6042788892599997</v>
      </c>
      <c r="BF1675" s="40">
        <v>3.8707324781500006E-6</v>
      </c>
      <c r="BG1675" s="40"/>
      <c r="BH1675" s="40"/>
      <c r="BI1675" s="40"/>
      <c r="BJ1675" s="40"/>
      <c r="BK1675" s="40"/>
      <c r="BL1675" s="62">
        <v>0.24210000000000001</v>
      </c>
      <c r="BM1675" s="275">
        <v>3</v>
      </c>
      <c r="BN1675" s="62">
        <v>0.03</v>
      </c>
      <c r="BO1675" s="33" t="s">
        <v>692</v>
      </c>
    </row>
    <row r="1676" spans="1:68">
      <c r="A1676" s="33" t="str">
        <f>Database_Productkaarten[[#This Row],[Product]]&amp;", "&amp;Database_Productkaarten[[#This Row],[Levensfase]]</f>
        <v>Prefab beton platen 140mm, D</v>
      </c>
      <c r="B1676" s="33" t="str">
        <f>B1677</f>
        <v>Prefab beton platen 140mm</v>
      </c>
      <c r="C1676" s="33" t="str">
        <f>C1677</f>
        <v>Betonverhardingen</v>
      </c>
      <c r="D1676" s="33" t="str">
        <f>D1677</f>
        <v>Prefab beton</v>
      </c>
      <c r="E1676" s="33" t="str">
        <f>E1677</f>
        <v>m2</v>
      </c>
      <c r="F1676" s="33" t="s">
        <v>89</v>
      </c>
      <c r="G1676" s="33">
        <f t="shared" ref="G1676:M1676" si="792">G1677</f>
        <v>1</v>
      </c>
      <c r="H1676" s="33">
        <f t="shared" si="792"/>
        <v>1</v>
      </c>
      <c r="I1676" s="33">
        <f t="shared" si="792"/>
        <v>0.14000000000000001</v>
      </c>
      <c r="L1676" s="33">
        <f t="shared" si="792"/>
        <v>2.375</v>
      </c>
      <c r="M1676" s="45">
        <f t="shared" si="792"/>
        <v>0.33250000000000002</v>
      </c>
      <c r="N1676" s="41">
        <f>SUM(N1677:N1678)</f>
        <v>-0.29093347367234923</v>
      </c>
      <c r="O1676" s="33">
        <f>O1677</f>
        <v>100</v>
      </c>
      <c r="P1676" s="40">
        <f>SUM(P1677:P1678)</f>
        <v>-7.2515965496126092E-6</v>
      </c>
      <c r="Q1676" s="40">
        <f>SUM(Q1677:Q1678)</f>
        <v>-1.4980022934659797E-2</v>
      </c>
      <c r="R1676" s="40">
        <f>SUM(R1677:R1678)</f>
        <v>-2.2788905462017</v>
      </c>
      <c r="S1676" s="40">
        <f t="shared" ref="S1676:BK1676" si="793">SUM(S1677:S1678)</f>
        <v>-1.6636710234328297E-7</v>
      </c>
      <c r="T1676" s="40">
        <f t="shared" si="793"/>
        <v>-3.0543932549957995E-3</v>
      </c>
      <c r="U1676" s="40">
        <f t="shared" si="793"/>
        <v>-1.1345001298359898E-2</v>
      </c>
      <c r="V1676" s="40">
        <f t="shared" si="793"/>
        <v>-1.73783886672832E-3</v>
      </c>
      <c r="W1676" s="40">
        <f t="shared" si="793"/>
        <v>-1.1882468050398698</v>
      </c>
      <c r="X1676" s="40">
        <f t="shared" si="793"/>
        <v>-1.8455646232940007E-3</v>
      </c>
      <c r="Y1676" s="40">
        <f t="shared" si="793"/>
        <v>-31.717290963716003</v>
      </c>
      <c r="Z1676" s="40">
        <f t="shared" si="793"/>
        <v>4.5210976140739989E-2</v>
      </c>
      <c r="AA1676" s="40">
        <f t="shared" si="793"/>
        <v>0</v>
      </c>
      <c r="AB1676" s="40">
        <f t="shared" si="793"/>
        <v>0</v>
      </c>
      <c r="AC1676" s="40">
        <f t="shared" si="793"/>
        <v>0</v>
      </c>
      <c r="AD1676" s="40">
        <f t="shared" si="793"/>
        <v>0</v>
      </c>
      <c r="AE1676" s="40">
        <f t="shared" si="793"/>
        <v>0</v>
      </c>
      <c r="AF1676" s="40">
        <f t="shared" si="793"/>
        <v>0</v>
      </c>
      <c r="AG1676" s="40">
        <f t="shared" si="793"/>
        <v>0</v>
      </c>
      <c r="AH1676" s="40">
        <f t="shared" si="793"/>
        <v>0</v>
      </c>
      <c r="AI1676" s="40">
        <f t="shared" si="793"/>
        <v>0</v>
      </c>
      <c r="AJ1676" s="40">
        <f t="shared" si="793"/>
        <v>0</v>
      </c>
      <c r="AK1676" s="40">
        <f t="shared" si="793"/>
        <v>0</v>
      </c>
      <c r="AL1676" s="40">
        <f t="shared" si="793"/>
        <v>0</v>
      </c>
      <c r="AM1676" s="40">
        <f t="shared" si="793"/>
        <v>0</v>
      </c>
      <c r="AN1676" s="40">
        <f t="shared" si="793"/>
        <v>0</v>
      </c>
      <c r="AO1676" s="40">
        <f t="shared" si="793"/>
        <v>0</v>
      </c>
      <c r="AP1676" s="40">
        <f t="shared" si="793"/>
        <v>0</v>
      </c>
      <c r="AQ1676" s="40">
        <f t="shared" si="793"/>
        <v>0</v>
      </c>
      <c r="AR1676" s="40">
        <f t="shared" si="793"/>
        <v>0</v>
      </c>
      <c r="AS1676" s="40">
        <f t="shared" si="793"/>
        <v>0</v>
      </c>
      <c r="AT1676" s="40">
        <f t="shared" si="793"/>
        <v>0</v>
      </c>
      <c r="AU1676" s="40">
        <f t="shared" si="793"/>
        <v>0</v>
      </c>
      <c r="AV1676" s="317">
        <f t="shared" si="793"/>
        <v>-1.1085425261898401</v>
      </c>
      <c r="AW1676" s="317">
        <f t="shared" si="793"/>
        <v>0</v>
      </c>
      <c r="AX1676" s="317">
        <f t="shared" si="793"/>
        <v>0</v>
      </c>
      <c r="AY1676" s="317">
        <f t="shared" si="793"/>
        <v>-26.545234446551998</v>
      </c>
      <c r="AZ1676" s="40">
        <f t="shared" si="793"/>
        <v>0</v>
      </c>
      <c r="BA1676" s="40">
        <f t="shared" si="793"/>
        <v>0</v>
      </c>
      <c r="BB1676" s="40">
        <f t="shared" si="793"/>
        <v>0</v>
      </c>
      <c r="BC1676" s="40">
        <f t="shared" si="793"/>
        <v>-0.47841820139457508</v>
      </c>
      <c r="BD1676" s="40">
        <f t="shared" si="793"/>
        <v>-1.4452190195707199E-4</v>
      </c>
      <c r="BE1676" s="40">
        <f t="shared" si="793"/>
        <v>-0.23637829366053095</v>
      </c>
      <c r="BF1676" s="40">
        <f t="shared" si="793"/>
        <v>-8.4116139929315889E-5</v>
      </c>
      <c r="BG1676" s="40">
        <f t="shared" si="793"/>
        <v>0</v>
      </c>
      <c r="BH1676" s="40">
        <f t="shared" si="793"/>
        <v>0</v>
      </c>
      <c r="BI1676" s="40">
        <f t="shared" si="793"/>
        <v>0</v>
      </c>
      <c r="BJ1676" s="40">
        <f t="shared" si="793"/>
        <v>0</v>
      </c>
      <c r="BK1676" s="40">
        <f t="shared" si="793"/>
        <v>0</v>
      </c>
      <c r="BL1676" s="62">
        <f>BL1677</f>
        <v>0.24210000000000001</v>
      </c>
      <c r="BM1676" s="275">
        <f>BM1677</f>
        <v>3</v>
      </c>
      <c r="BN1676" s="62">
        <v>0.03</v>
      </c>
      <c r="BO1676" s="33" t="str">
        <f>BO1677</f>
        <v>0271-reD&amp;Module D, grind, per kg NETTO geleverd granulaat/grind (vermeden: Gravel, round {RoW}| gravel and sand quarry operation | Cut-off, U)
0282-reD&amp;Module D, staal, per kg NETTO geleverd ongelegeerd schroot (World Steel methode obv Steel, low-alloyed {RER&amp;RoW}| steel production, electric, low-alloyed | Cut-off, U  - Steel, unalloyed {RER&amp;RoW}| steel production, converter, unalloyed | Cut-off, U)</v>
      </c>
    </row>
    <row r="1677" spans="1:68">
      <c r="A1677" s="33" t="str">
        <f>Database_Productkaarten[[#This Row],[Product]]&amp;", "&amp;Database_Productkaarten[[#This Row],[Levensfase]]</f>
        <v>Prefab beton platen 140mm, D1</v>
      </c>
      <c r="B1677" t="s">
        <v>682</v>
      </c>
      <c r="C1677" t="s">
        <v>664</v>
      </c>
      <c r="D1677" s="33" t="s">
        <v>683</v>
      </c>
      <c r="E1677" s="33" t="s">
        <v>385</v>
      </c>
      <c r="F1677" s="33" t="s">
        <v>87</v>
      </c>
      <c r="G1677" s="33">
        <v>1</v>
      </c>
      <c r="H1677" s="33">
        <v>1</v>
      </c>
      <c r="I1677" s="33">
        <v>0.14000000000000001</v>
      </c>
      <c r="L1677" s="33">
        <v>2.375</v>
      </c>
      <c r="M1677" s="33">
        <v>0.33250000000000002</v>
      </c>
      <c r="N1677" s="41">
        <v>-0.29093347367234923</v>
      </c>
      <c r="O1677" s="33">
        <v>100</v>
      </c>
      <c r="P1677" s="40">
        <v>-7.2515965496126092E-6</v>
      </c>
      <c r="Q1677" s="40">
        <v>-1.4980022934659797E-2</v>
      </c>
      <c r="R1677" s="40">
        <v>-2.2788905462017</v>
      </c>
      <c r="S1677" s="40">
        <v>-1.6636710234328297E-7</v>
      </c>
      <c r="T1677" s="40">
        <v>-3.0543932549957995E-3</v>
      </c>
      <c r="U1677" s="40">
        <v>-1.1345001298359898E-2</v>
      </c>
      <c r="V1677" s="40">
        <v>-1.73783886672832E-3</v>
      </c>
      <c r="W1677" s="40">
        <v>-1.1882468050398698</v>
      </c>
      <c r="X1677" s="40">
        <v>-1.8455646232940007E-3</v>
      </c>
      <c r="Y1677" s="40">
        <v>-31.717290963716003</v>
      </c>
      <c r="Z1677" s="40">
        <v>4.5210976140739989E-2</v>
      </c>
      <c r="AA1677" s="40"/>
      <c r="AB1677" s="40"/>
      <c r="AC1677" s="40"/>
      <c r="AD1677" s="40"/>
      <c r="AE1677" s="40"/>
      <c r="AF1677" s="40"/>
      <c r="AG1677" s="40"/>
      <c r="AH1677" s="40"/>
      <c r="AI1677" s="40"/>
      <c r="AJ1677" s="40"/>
      <c r="AK1677" s="40"/>
      <c r="AL1677" s="40"/>
      <c r="AM1677" s="40"/>
      <c r="AN1677" s="40"/>
      <c r="AO1677" s="40"/>
      <c r="AP1677" s="40"/>
      <c r="AQ1677" s="40"/>
      <c r="AR1677" s="40"/>
      <c r="AS1677" s="40"/>
      <c r="AT1677" s="40"/>
      <c r="AU1677" s="40"/>
      <c r="AV1677" s="313">
        <v>-1.1085425261898401</v>
      </c>
      <c r="AW1677" s="317"/>
      <c r="AX1677" s="317"/>
      <c r="AY1677" s="313">
        <v>-26.545234446551998</v>
      </c>
      <c r="AZ1677" s="40"/>
      <c r="BA1677" s="40"/>
      <c r="BB1677" s="40"/>
      <c r="BC1677" s="40">
        <v>-0.47841820139457508</v>
      </c>
      <c r="BD1677" s="40">
        <v>-1.4452190195707199E-4</v>
      </c>
      <c r="BE1677" s="40">
        <v>-0.23637829366053095</v>
      </c>
      <c r="BF1677" s="40">
        <v>-8.4116139929315889E-5</v>
      </c>
      <c r="BG1677" s="40"/>
      <c r="BH1677" s="40"/>
      <c r="BI1677" s="40"/>
      <c r="BJ1677" s="40"/>
      <c r="BK1677" s="40"/>
      <c r="BL1677" s="62">
        <v>0.24210000000000001</v>
      </c>
      <c r="BM1677" s="275">
        <v>3</v>
      </c>
      <c r="BN1677" s="62">
        <v>0.03</v>
      </c>
      <c r="BO1677" s="33" t="s">
        <v>693</v>
      </c>
      <c r="BP1677" s="33" t="s">
        <v>694</v>
      </c>
    </row>
    <row r="1678" spans="1:68">
      <c r="A1678" s="33" t="str">
        <f>Database_Productkaarten[[#This Row],[Product]]&amp;", "&amp;Database_Productkaarten[[#This Row],[Levensfase]]</f>
        <v>Prefab beton platen 140mm, D2</v>
      </c>
      <c r="B1678" t="s">
        <v>682</v>
      </c>
      <c r="C1678" t="s">
        <v>664</v>
      </c>
      <c r="D1678" s="33" t="s">
        <v>683</v>
      </c>
      <c r="E1678" s="33" t="s">
        <v>385</v>
      </c>
      <c r="F1678" s="33" t="s">
        <v>88</v>
      </c>
      <c r="G1678" s="33">
        <v>1</v>
      </c>
      <c r="H1678" s="33">
        <v>1</v>
      </c>
      <c r="I1678" s="33">
        <v>0.14000000000000001</v>
      </c>
      <c r="L1678" s="33">
        <v>2.375</v>
      </c>
      <c r="M1678" s="33">
        <v>0.33250000000000002</v>
      </c>
      <c r="N1678" s="41"/>
      <c r="O1678" s="33">
        <v>100</v>
      </c>
      <c r="P1678" s="40"/>
      <c r="Q1678" s="40"/>
      <c r="R1678" s="40"/>
      <c r="S1678" s="40"/>
      <c r="T1678" s="40"/>
      <c r="U1678" s="40"/>
      <c r="V1678" s="40"/>
      <c r="W1678" s="40"/>
      <c r="X1678" s="40"/>
      <c r="Y1678" s="40"/>
      <c r="Z1678" s="40"/>
      <c r="AA1678" s="40"/>
      <c r="AB1678" s="40"/>
      <c r="AC1678" s="40"/>
      <c r="AD1678" s="40"/>
      <c r="AE1678" s="40"/>
      <c r="AF1678" s="40"/>
      <c r="AG1678" s="40"/>
      <c r="AH1678" s="40"/>
      <c r="AI1678" s="40"/>
      <c r="AJ1678" s="40"/>
      <c r="AK1678" s="40"/>
      <c r="AL1678" s="40"/>
      <c r="AM1678" s="40"/>
      <c r="AN1678" s="40"/>
      <c r="AO1678" s="40"/>
      <c r="AP1678" s="40"/>
      <c r="AQ1678" s="40"/>
      <c r="AR1678" s="40"/>
      <c r="AS1678" s="40"/>
      <c r="AT1678" s="40"/>
      <c r="AU1678" s="40"/>
      <c r="AV1678" s="313"/>
      <c r="AW1678" s="317"/>
      <c r="AX1678" s="317"/>
      <c r="AY1678" s="313"/>
      <c r="AZ1678" s="40"/>
      <c r="BA1678" s="40"/>
      <c r="BB1678" s="40"/>
      <c r="BC1678" s="40"/>
      <c r="BD1678" s="40"/>
      <c r="BE1678" s="40"/>
      <c r="BF1678" s="40"/>
      <c r="BG1678" s="40"/>
      <c r="BH1678" s="40"/>
      <c r="BI1678" s="40"/>
      <c r="BJ1678" s="40"/>
      <c r="BK1678" s="40"/>
      <c r="BL1678" s="62">
        <v>0.24210000000000001</v>
      </c>
      <c r="BM1678" s="275">
        <v>3</v>
      </c>
      <c r="BN1678" s="62">
        <v>0.03</v>
      </c>
      <c r="BO1678" t="s">
        <v>695</v>
      </c>
    </row>
    <row r="1679" spans="1:68">
      <c r="A1679" s="33" t="str">
        <f>Database_Productkaarten[[#This Row],[Product]]&amp;", "&amp;Database_Productkaarten[[#This Row],[Levensfase]]</f>
        <v>Betonplaat, Gewapend 200mm, Totaal</v>
      </c>
      <c r="B1679" t="s">
        <v>696</v>
      </c>
      <c r="C1679" t="s">
        <v>664</v>
      </c>
      <c r="D1679" s="33" t="s">
        <v>683</v>
      </c>
      <c r="E1679" s="33" t="s">
        <v>385</v>
      </c>
      <c r="F1679" s="33" t="s">
        <v>90</v>
      </c>
      <c r="G1679" s="33">
        <v>1</v>
      </c>
      <c r="H1679" s="33">
        <v>1</v>
      </c>
      <c r="I1679" s="33">
        <v>0.2</v>
      </c>
      <c r="L1679" s="33">
        <v>2.23</v>
      </c>
      <c r="M1679" s="271">
        <v>0.65400000000000003</v>
      </c>
      <c r="N1679" s="41">
        <v>9.1340199999999996</v>
      </c>
      <c r="O1679" s="33">
        <v>100</v>
      </c>
      <c r="P1679" s="163">
        <v>4.8299999999999998E-4</v>
      </c>
      <c r="Q1679" s="163">
        <v>0.629</v>
      </c>
      <c r="R1679" s="163">
        <v>121</v>
      </c>
      <c r="S1679" s="163">
        <v>1.0200000000000001E-5</v>
      </c>
      <c r="T1679" s="163">
        <v>5.8700000000000002E-2</v>
      </c>
      <c r="U1679" s="163">
        <v>0.40899999999999997</v>
      </c>
      <c r="V1679" s="163">
        <v>8.4699999999999998E-2</v>
      </c>
      <c r="W1679" s="163">
        <v>114</v>
      </c>
      <c r="X1679" s="163">
        <v>1.1200000000000001</v>
      </c>
      <c r="Y1679" s="163">
        <v>3330</v>
      </c>
      <c r="Z1679" s="163">
        <v>0.754</v>
      </c>
      <c r="AA1679" s="40"/>
      <c r="AB1679" s="40"/>
      <c r="AC1679" s="40"/>
      <c r="AD1679" s="40"/>
      <c r="AE1679" s="40"/>
      <c r="AF1679" s="40"/>
      <c r="AG1679" s="40"/>
      <c r="AH1679" s="40"/>
      <c r="AI1679" s="40"/>
      <c r="AJ1679" s="40"/>
      <c r="AK1679" s="40"/>
      <c r="AL1679" s="40"/>
      <c r="AM1679" s="40"/>
      <c r="AN1679" s="40"/>
      <c r="AO1679" s="40"/>
      <c r="AP1679" s="40"/>
      <c r="AQ1679" s="40"/>
      <c r="AR1679" s="40"/>
      <c r="AS1679" s="40"/>
      <c r="AT1679" s="40"/>
      <c r="AU1679" s="40"/>
      <c r="AV1679" s="315">
        <v>90.6</v>
      </c>
      <c r="AW1679" s="317"/>
      <c r="AX1679" s="317"/>
      <c r="AY1679" s="313">
        <v>1350</v>
      </c>
      <c r="AZ1679" s="40"/>
      <c r="BA1679" s="40"/>
      <c r="BB1679" s="40"/>
      <c r="BC1679" s="40">
        <v>5.4</v>
      </c>
      <c r="BD1679" s="163">
        <v>16.899999999999999</v>
      </c>
      <c r="BE1679" s="163">
        <v>51.4</v>
      </c>
      <c r="BF1679" s="40"/>
      <c r="BG1679" s="40"/>
      <c r="BH1679" s="40"/>
      <c r="BI1679" s="40"/>
      <c r="BJ1679" s="40"/>
      <c r="BK1679" s="40"/>
      <c r="BL1679" s="62">
        <v>0.15060000000000001</v>
      </c>
      <c r="BM1679" s="275">
        <v>3</v>
      </c>
      <c r="BN1679" s="62">
        <v>0.03</v>
      </c>
      <c r="BO1679" s="33" t="s">
        <v>625</v>
      </c>
      <c r="BP1679" s="33" t="s">
        <v>697</v>
      </c>
    </row>
    <row r="1680" spans="1:68">
      <c r="A1680" s="33" t="str">
        <f>Database_Productkaarten[[#This Row],[Product]]&amp;", "&amp;Database_Productkaarten[[#This Row],[Levensfase]]</f>
        <v>Betonplaat, Gewapend 200mm, A1</v>
      </c>
      <c r="B1680" t="s">
        <v>696</v>
      </c>
      <c r="C1680" t="s">
        <v>664</v>
      </c>
      <c r="D1680" s="33" t="s">
        <v>683</v>
      </c>
      <c r="E1680" s="33" t="s">
        <v>385</v>
      </c>
      <c r="F1680" s="33" t="s">
        <v>74</v>
      </c>
      <c r="G1680" s="33">
        <v>1</v>
      </c>
      <c r="H1680" s="33">
        <v>1</v>
      </c>
      <c r="I1680" s="33">
        <v>0.2</v>
      </c>
      <c r="L1680" s="33">
        <v>2.23</v>
      </c>
      <c r="M1680" s="271">
        <v>0.65400000000000003</v>
      </c>
      <c r="N1680" s="41"/>
      <c r="O1680" s="33">
        <v>100</v>
      </c>
      <c r="P1680" s="40"/>
      <c r="Q1680" s="40"/>
      <c r="R1680" s="40"/>
      <c r="S1680" s="40"/>
      <c r="T1680" s="40"/>
      <c r="U1680" s="40"/>
      <c r="V1680" s="40"/>
      <c r="W1680" s="40"/>
      <c r="X1680" s="40"/>
      <c r="Y1680" s="40"/>
      <c r="Z1680" s="40"/>
      <c r="AA1680" s="40"/>
      <c r="AB1680" s="40"/>
      <c r="AC1680" s="40"/>
      <c r="AD1680" s="40"/>
      <c r="AE1680" s="40"/>
      <c r="AF1680" s="40"/>
      <c r="AG1680" s="40"/>
      <c r="AH1680" s="40"/>
      <c r="AI1680" s="40"/>
      <c r="AJ1680" s="40"/>
      <c r="AK1680" s="40"/>
      <c r="AL1680" s="40"/>
      <c r="AM1680" s="40"/>
      <c r="AN1680" s="40"/>
      <c r="AO1680" s="40"/>
      <c r="AP1680" s="40"/>
      <c r="AQ1680" s="40"/>
      <c r="AR1680" s="40"/>
      <c r="AS1680" s="40"/>
      <c r="AT1680" s="40"/>
      <c r="AU1680" s="40"/>
      <c r="AV1680" s="317"/>
      <c r="AW1680" s="317"/>
      <c r="AX1680" s="317"/>
      <c r="AY1680" s="313"/>
      <c r="AZ1680" s="40"/>
      <c r="BA1680" s="40"/>
      <c r="BB1680" s="40"/>
      <c r="BC1680" s="40"/>
      <c r="BD1680" s="40"/>
      <c r="BE1680" s="40"/>
      <c r="BF1680" s="40"/>
      <c r="BG1680" s="40"/>
      <c r="BH1680" s="40"/>
      <c r="BI1680" s="40"/>
      <c r="BJ1680" s="40"/>
      <c r="BK1680" s="40"/>
      <c r="BL1680" s="62">
        <v>0.15060000000000001</v>
      </c>
      <c r="BM1680" s="275">
        <v>3</v>
      </c>
      <c r="BN1680" s="62">
        <v>0.03</v>
      </c>
      <c r="BO1680" s="33" t="s">
        <v>625</v>
      </c>
      <c r="BP1680" s="33" t="s">
        <v>697</v>
      </c>
    </row>
    <row r="1681" spans="1:68">
      <c r="A1681" s="33" t="str">
        <f>Database_Productkaarten[[#This Row],[Product]]&amp;", "&amp;Database_Productkaarten[[#This Row],[Levensfase]]</f>
        <v>Betonplaat, Gewapend 200mm, A2</v>
      </c>
      <c r="B1681" t="s">
        <v>696</v>
      </c>
      <c r="C1681" t="s">
        <v>664</v>
      </c>
      <c r="D1681" s="33" t="s">
        <v>683</v>
      </c>
      <c r="E1681" s="33" t="s">
        <v>385</v>
      </c>
      <c r="F1681" s="33" t="s">
        <v>75</v>
      </c>
      <c r="G1681" s="33">
        <v>1</v>
      </c>
      <c r="H1681" s="33">
        <v>1</v>
      </c>
      <c r="I1681" s="33">
        <v>0.2</v>
      </c>
      <c r="L1681" s="33">
        <v>2.23</v>
      </c>
      <c r="M1681" s="271">
        <v>0.65400000000000003</v>
      </c>
      <c r="N1681" s="41"/>
      <c r="O1681" s="33">
        <v>100</v>
      </c>
      <c r="P1681" s="40"/>
      <c r="Q1681" s="40"/>
      <c r="R1681" s="40"/>
      <c r="S1681" s="40"/>
      <c r="T1681" s="40"/>
      <c r="U1681" s="40"/>
      <c r="V1681" s="40"/>
      <c r="W1681" s="40"/>
      <c r="X1681" s="40"/>
      <c r="Y1681" s="40"/>
      <c r="Z1681" s="40"/>
      <c r="AA1681" s="40"/>
      <c r="AB1681" s="40"/>
      <c r="AC1681" s="40"/>
      <c r="AD1681" s="40"/>
      <c r="AE1681" s="40"/>
      <c r="AF1681" s="40"/>
      <c r="AG1681" s="40"/>
      <c r="AH1681" s="40"/>
      <c r="AI1681" s="40"/>
      <c r="AJ1681" s="40"/>
      <c r="AK1681" s="40"/>
      <c r="AL1681" s="40"/>
      <c r="AM1681" s="40"/>
      <c r="AN1681" s="40"/>
      <c r="AO1681" s="40"/>
      <c r="AP1681" s="40"/>
      <c r="AQ1681" s="40"/>
      <c r="AR1681" s="40"/>
      <c r="AS1681" s="40"/>
      <c r="AT1681" s="40"/>
      <c r="AU1681" s="40"/>
      <c r="AV1681" s="317"/>
      <c r="AW1681" s="317"/>
      <c r="AX1681" s="317"/>
      <c r="AY1681" s="313"/>
      <c r="AZ1681" s="40"/>
      <c r="BA1681" s="40"/>
      <c r="BB1681" s="40"/>
      <c r="BC1681" s="40"/>
      <c r="BD1681" s="40"/>
      <c r="BE1681" s="40"/>
      <c r="BF1681" s="40"/>
      <c r="BG1681" s="40"/>
      <c r="BH1681" s="40"/>
      <c r="BI1681" s="40"/>
      <c r="BJ1681" s="40"/>
      <c r="BK1681" s="40"/>
      <c r="BL1681" s="62">
        <v>0.15060000000000001</v>
      </c>
      <c r="BM1681" s="275">
        <v>3</v>
      </c>
      <c r="BN1681" s="62">
        <v>0.03</v>
      </c>
      <c r="BO1681" s="33" t="s">
        <v>625</v>
      </c>
      <c r="BP1681" s="33" t="s">
        <v>697</v>
      </c>
    </row>
    <row r="1682" spans="1:68">
      <c r="A1682" s="33" t="str">
        <f>Database_Productkaarten[[#This Row],[Product]]&amp;", "&amp;Database_Productkaarten[[#This Row],[Levensfase]]</f>
        <v>Betonplaat, Gewapend 200mm, A3</v>
      </c>
      <c r="B1682" t="s">
        <v>696</v>
      </c>
      <c r="C1682" t="s">
        <v>664</v>
      </c>
      <c r="D1682" s="33" t="s">
        <v>683</v>
      </c>
      <c r="E1682" s="33" t="s">
        <v>385</v>
      </c>
      <c r="F1682" s="33" t="s">
        <v>76</v>
      </c>
      <c r="G1682" s="33">
        <v>1</v>
      </c>
      <c r="H1682" s="33">
        <v>1</v>
      </c>
      <c r="I1682" s="33">
        <v>0.2</v>
      </c>
      <c r="L1682" s="33">
        <v>2.23</v>
      </c>
      <c r="M1682" s="271">
        <v>0.65400000000000003</v>
      </c>
      <c r="N1682" s="41"/>
      <c r="O1682" s="33">
        <v>100</v>
      </c>
      <c r="P1682" s="40"/>
      <c r="Q1682" s="40"/>
      <c r="R1682" s="40"/>
      <c r="S1682" s="40"/>
      <c r="T1682" s="40"/>
      <c r="U1682" s="40"/>
      <c r="V1682" s="40"/>
      <c r="W1682" s="40"/>
      <c r="X1682" s="40"/>
      <c r="Y1682" s="40"/>
      <c r="Z1682" s="40"/>
      <c r="AA1682" s="40"/>
      <c r="AB1682" s="40"/>
      <c r="AC1682" s="40"/>
      <c r="AD1682" s="40"/>
      <c r="AE1682" s="40"/>
      <c r="AF1682" s="40"/>
      <c r="AG1682" s="40"/>
      <c r="AH1682" s="40"/>
      <c r="AI1682" s="40"/>
      <c r="AJ1682" s="40"/>
      <c r="AK1682" s="40"/>
      <c r="AL1682" s="40"/>
      <c r="AM1682" s="40"/>
      <c r="AN1682" s="40"/>
      <c r="AO1682" s="40"/>
      <c r="AP1682" s="40"/>
      <c r="AQ1682" s="40"/>
      <c r="AR1682" s="40"/>
      <c r="AS1682" s="40"/>
      <c r="AT1682" s="40"/>
      <c r="AU1682" s="40"/>
      <c r="AV1682" s="317"/>
      <c r="AW1682" s="317"/>
      <c r="AX1682" s="317"/>
      <c r="AY1682" s="313"/>
      <c r="AZ1682" s="40"/>
      <c r="BA1682" s="40"/>
      <c r="BB1682" s="40"/>
      <c r="BC1682" s="40"/>
      <c r="BD1682" s="40"/>
      <c r="BE1682" s="40"/>
      <c r="BF1682" s="40"/>
      <c r="BG1682" s="40"/>
      <c r="BH1682" s="40"/>
      <c r="BI1682" s="40"/>
      <c r="BJ1682" s="40"/>
      <c r="BK1682" s="40"/>
      <c r="BL1682" s="62">
        <v>0.15060000000000001</v>
      </c>
      <c r="BM1682" s="275">
        <v>3</v>
      </c>
      <c r="BN1682" s="62">
        <v>0.03</v>
      </c>
      <c r="BO1682" s="33" t="s">
        <v>625</v>
      </c>
      <c r="BP1682" s="33" t="s">
        <v>697</v>
      </c>
    </row>
    <row r="1683" spans="1:68">
      <c r="A1683" s="33" t="str">
        <f>Database_Productkaarten[[#This Row],[Product]]&amp;", "&amp;Database_Productkaarten[[#This Row],[Levensfase]]</f>
        <v>Betonplaat, Gewapend 200mm, A1-A3</v>
      </c>
      <c r="B1683" t="s">
        <v>696</v>
      </c>
      <c r="C1683" t="s">
        <v>664</v>
      </c>
      <c r="D1683" s="33" t="s">
        <v>683</v>
      </c>
      <c r="E1683" s="33" t="s">
        <v>385</v>
      </c>
      <c r="F1683" s="451" t="s">
        <v>77</v>
      </c>
      <c r="G1683" s="33">
        <v>1</v>
      </c>
      <c r="H1683" s="33">
        <v>1</v>
      </c>
      <c r="I1683" s="33">
        <v>0.2</v>
      </c>
      <c r="L1683" s="33">
        <v>2.23</v>
      </c>
      <c r="M1683" s="271">
        <v>0.65400000000000003</v>
      </c>
      <c r="N1683" s="41">
        <v>12.495979999999999</v>
      </c>
      <c r="O1683" s="33">
        <v>100</v>
      </c>
      <c r="P1683" s="163">
        <v>4.6000000000000001E-4</v>
      </c>
      <c r="Q1683" s="163">
        <v>0.82099999999999995</v>
      </c>
      <c r="R1683" s="163">
        <v>149</v>
      </c>
      <c r="S1683" s="163">
        <v>8.3299999999999999E-6</v>
      </c>
      <c r="T1683" s="163">
        <v>0.14099999999999999</v>
      </c>
      <c r="U1683" s="163">
        <v>0.55700000000000005</v>
      </c>
      <c r="V1683" s="163">
        <v>9.5000000000000001E-2</v>
      </c>
      <c r="W1683" s="163">
        <v>136</v>
      </c>
      <c r="X1683" s="163">
        <v>0.98</v>
      </c>
      <c r="Y1683" s="163">
        <v>3130</v>
      </c>
      <c r="Z1683" s="163">
        <v>0.76600000000000001</v>
      </c>
      <c r="AA1683" s="40"/>
      <c r="AB1683" s="40"/>
      <c r="AC1683" s="40"/>
      <c r="AD1683" s="40"/>
      <c r="AE1683" s="40"/>
      <c r="AF1683" s="40"/>
      <c r="AG1683" s="40"/>
      <c r="AH1683" s="40"/>
      <c r="AI1683" s="40"/>
      <c r="AJ1683" s="40"/>
      <c r="AK1683" s="40"/>
      <c r="AL1683" s="40"/>
      <c r="AM1683" s="40"/>
      <c r="AN1683" s="40"/>
      <c r="AO1683" s="40"/>
      <c r="AP1683" s="40"/>
      <c r="AQ1683" s="40"/>
      <c r="AR1683" s="40"/>
      <c r="AS1683" s="40"/>
      <c r="AT1683" s="40"/>
      <c r="AU1683" s="40"/>
      <c r="AV1683" s="315">
        <v>96.7</v>
      </c>
      <c r="AW1683" s="317"/>
      <c r="AX1683" s="317"/>
      <c r="AY1683" s="313">
        <v>1520</v>
      </c>
      <c r="AZ1683" s="40"/>
      <c r="BA1683" s="40"/>
      <c r="BB1683" s="40"/>
      <c r="BC1683" s="40">
        <v>6.57</v>
      </c>
      <c r="BD1683" s="163">
        <v>18.399999999999999</v>
      </c>
      <c r="BE1683" s="163">
        <v>29.2</v>
      </c>
      <c r="BF1683" s="40"/>
      <c r="BG1683" s="40"/>
      <c r="BH1683" s="40"/>
      <c r="BI1683" s="40"/>
      <c r="BJ1683" s="40"/>
      <c r="BK1683" s="40"/>
      <c r="BL1683" s="62">
        <v>0.15060000000000001</v>
      </c>
      <c r="BM1683" s="275">
        <v>3</v>
      </c>
      <c r="BN1683" s="62">
        <v>0.03</v>
      </c>
      <c r="BO1683" s="33" t="s">
        <v>625</v>
      </c>
      <c r="BP1683" s="33" t="s">
        <v>697</v>
      </c>
    </row>
    <row r="1684" spans="1:68">
      <c r="A1684" s="33" t="str">
        <f>Database_Productkaarten[[#This Row],[Product]]&amp;", "&amp;Database_Productkaarten[[#This Row],[Levensfase]]</f>
        <v>Betonplaat, Gewapend 200mm, A4</v>
      </c>
      <c r="B1684" t="s">
        <v>696</v>
      </c>
      <c r="C1684" t="s">
        <v>664</v>
      </c>
      <c r="D1684" s="33" t="s">
        <v>683</v>
      </c>
      <c r="E1684" s="33" t="s">
        <v>385</v>
      </c>
      <c r="F1684" s="33" t="s">
        <v>78</v>
      </c>
      <c r="G1684" s="33">
        <v>1</v>
      </c>
      <c r="H1684" s="33">
        <v>1</v>
      </c>
      <c r="I1684" s="33">
        <v>0.2</v>
      </c>
      <c r="L1684" s="33">
        <v>2.23</v>
      </c>
      <c r="M1684" s="271">
        <v>0.65400000000000003</v>
      </c>
      <c r="N1684" s="41">
        <v>0.94481999999999999</v>
      </c>
      <c r="O1684" s="33">
        <v>100</v>
      </c>
      <c r="P1684" s="163">
        <v>1.6099999999999998E-5</v>
      </c>
      <c r="Q1684" s="163">
        <v>6.3399999999999998E-2</v>
      </c>
      <c r="R1684" s="163">
        <v>8.3800000000000008</v>
      </c>
      <c r="S1684" s="163">
        <v>1.6700000000000001E-6</v>
      </c>
      <c r="T1684" s="163">
        <v>5.2900000000000004E-3</v>
      </c>
      <c r="U1684" s="163">
        <v>3.0599999999999999E-2</v>
      </c>
      <c r="V1684" s="163">
        <v>6.2199999999999998E-3</v>
      </c>
      <c r="W1684" s="163">
        <v>2.95</v>
      </c>
      <c r="X1684" s="163">
        <v>0.19</v>
      </c>
      <c r="Y1684" s="163">
        <v>498</v>
      </c>
      <c r="Z1684" s="163">
        <v>1.7500000000000002E-2</v>
      </c>
      <c r="AA1684" s="40"/>
      <c r="AB1684" s="40"/>
      <c r="AC1684" s="40"/>
      <c r="AD1684" s="40"/>
      <c r="AE1684" s="40"/>
      <c r="AF1684" s="40"/>
      <c r="AG1684" s="40"/>
      <c r="AH1684" s="40"/>
      <c r="AI1684" s="40"/>
      <c r="AJ1684" s="40"/>
      <c r="AK1684" s="40"/>
      <c r="AL1684" s="40"/>
      <c r="AM1684" s="40"/>
      <c r="AN1684" s="40"/>
      <c r="AO1684" s="40"/>
      <c r="AP1684" s="40"/>
      <c r="AQ1684" s="40"/>
      <c r="AR1684" s="40"/>
      <c r="AS1684" s="40"/>
      <c r="AT1684" s="40"/>
      <c r="AU1684" s="40"/>
      <c r="AV1684" s="315">
        <v>2.27</v>
      </c>
      <c r="AW1684" s="317"/>
      <c r="AX1684" s="317"/>
      <c r="AY1684" s="313">
        <v>145</v>
      </c>
      <c r="AZ1684" s="40"/>
      <c r="BA1684" s="40"/>
      <c r="BB1684" s="40"/>
      <c r="BC1684" s="40">
        <v>2.9399999999999999E-2</v>
      </c>
      <c r="BD1684" s="163">
        <v>1.0300000000000001E-3</v>
      </c>
      <c r="BE1684" s="163">
        <v>12</v>
      </c>
      <c r="BF1684" s="40"/>
      <c r="BG1684" s="40"/>
      <c r="BH1684" s="40"/>
      <c r="BI1684" s="40"/>
      <c r="BJ1684" s="40"/>
      <c r="BK1684" s="40"/>
      <c r="BL1684" s="62">
        <v>0.15060000000000001</v>
      </c>
      <c r="BM1684" s="275">
        <v>3</v>
      </c>
      <c r="BN1684" s="62">
        <v>0.03</v>
      </c>
      <c r="BO1684" s="33" t="s">
        <v>625</v>
      </c>
      <c r="BP1684" s="33" t="s">
        <v>697</v>
      </c>
    </row>
    <row r="1685" spans="1:68">
      <c r="A1685" s="33" t="str">
        <f>Database_Productkaarten[[#This Row],[Product]]&amp;", "&amp;Database_Productkaarten[[#This Row],[Levensfase]]</f>
        <v>Betonplaat, Gewapend 200mm, A5</v>
      </c>
      <c r="B1685" t="s">
        <v>696</v>
      </c>
      <c r="C1685" t="s">
        <v>664</v>
      </c>
      <c r="D1685" s="33" t="s">
        <v>683</v>
      </c>
      <c r="E1685" s="33" t="s">
        <v>385</v>
      </c>
      <c r="F1685" s="33" t="s">
        <v>79</v>
      </c>
      <c r="G1685" s="33">
        <v>1</v>
      </c>
      <c r="H1685" s="33">
        <v>1</v>
      </c>
      <c r="I1685" s="33">
        <v>0.2</v>
      </c>
      <c r="L1685" s="33">
        <v>2.23</v>
      </c>
      <c r="M1685" s="271">
        <v>0.65400000000000003</v>
      </c>
      <c r="N1685" s="41">
        <v>1.1929399999999999</v>
      </c>
      <c r="O1685" s="33">
        <v>100</v>
      </c>
      <c r="P1685" s="163">
        <v>2.5299999999999998E-5</v>
      </c>
      <c r="Q1685" s="163">
        <v>6.4500000000000002E-2</v>
      </c>
      <c r="R1685" s="163">
        <v>10.8</v>
      </c>
      <c r="S1685" s="163">
        <v>1.37E-6</v>
      </c>
      <c r="T1685" s="163">
        <v>4.4600000000000004E-3</v>
      </c>
      <c r="U1685" s="163">
        <v>3.4299999999999997E-2</v>
      </c>
      <c r="V1685" s="163">
        <v>6.8700000000000002E-3</v>
      </c>
      <c r="W1685" s="163">
        <v>6.7</v>
      </c>
      <c r="X1685" s="163">
        <v>7.7899999999999997E-2</v>
      </c>
      <c r="Y1685" s="163">
        <v>241</v>
      </c>
      <c r="Z1685" s="163">
        <v>4.0300000000000002E-2</v>
      </c>
      <c r="AA1685" s="40"/>
      <c r="AB1685" s="40"/>
      <c r="AC1685" s="40"/>
      <c r="AD1685" s="40"/>
      <c r="AE1685" s="40"/>
      <c r="AF1685" s="40"/>
      <c r="AG1685" s="40"/>
      <c r="AH1685" s="40"/>
      <c r="AI1685" s="40"/>
      <c r="AJ1685" s="40"/>
      <c r="AK1685" s="40"/>
      <c r="AL1685" s="40"/>
      <c r="AM1685" s="40"/>
      <c r="AN1685" s="40"/>
      <c r="AO1685" s="40"/>
      <c r="AP1685" s="40"/>
      <c r="AQ1685" s="40"/>
      <c r="AR1685" s="40"/>
      <c r="AS1685" s="40"/>
      <c r="AT1685" s="40"/>
      <c r="AU1685" s="40"/>
      <c r="AV1685" s="315">
        <v>4.88</v>
      </c>
      <c r="AW1685" s="317"/>
      <c r="AX1685" s="317"/>
      <c r="AY1685" s="313">
        <v>141</v>
      </c>
      <c r="AZ1685" s="40"/>
      <c r="BA1685" s="40"/>
      <c r="BB1685" s="40"/>
      <c r="BC1685" s="40">
        <v>0.26500000000000001</v>
      </c>
      <c r="BD1685" s="163">
        <v>0.80500000000000005</v>
      </c>
      <c r="BE1685" s="163">
        <v>2.58</v>
      </c>
      <c r="BF1685" s="40"/>
      <c r="BG1685" s="40"/>
      <c r="BH1685" s="40"/>
      <c r="BI1685" s="40"/>
      <c r="BJ1685" s="40"/>
      <c r="BK1685" s="40"/>
      <c r="BL1685" s="62">
        <v>0.15060000000000001</v>
      </c>
      <c r="BM1685" s="275">
        <v>3</v>
      </c>
      <c r="BN1685" s="62">
        <v>0.03</v>
      </c>
      <c r="BO1685" s="33" t="s">
        <v>625</v>
      </c>
      <c r="BP1685" s="33" t="s">
        <v>697</v>
      </c>
    </row>
    <row r="1686" spans="1:68">
      <c r="A1686" s="33" t="str">
        <f>Database_Productkaarten[[#This Row],[Product]]&amp;", "&amp;Database_Productkaarten[[#This Row],[Levensfase]]</f>
        <v>Betonplaat, Gewapend 200mm, B1</v>
      </c>
      <c r="B1686" t="s">
        <v>696</v>
      </c>
      <c r="C1686" t="s">
        <v>664</v>
      </c>
      <c r="D1686" s="33" t="s">
        <v>683</v>
      </c>
      <c r="E1686" s="33" t="s">
        <v>385</v>
      </c>
      <c r="F1686" s="33" t="s">
        <v>80</v>
      </c>
      <c r="G1686" s="33">
        <v>1</v>
      </c>
      <c r="H1686" s="33">
        <v>1</v>
      </c>
      <c r="I1686" s="33">
        <v>0.2</v>
      </c>
      <c r="L1686" s="33">
        <v>2.23</v>
      </c>
      <c r="M1686" s="271">
        <v>0.65400000000000003</v>
      </c>
      <c r="N1686" s="41"/>
      <c r="O1686" s="33">
        <v>100</v>
      </c>
      <c r="P1686" s="163">
        <v>0</v>
      </c>
      <c r="Q1686" s="163">
        <v>0</v>
      </c>
      <c r="R1686" s="163">
        <v>0</v>
      </c>
      <c r="S1686" s="163">
        <v>0</v>
      </c>
      <c r="T1686" s="163">
        <v>0</v>
      </c>
      <c r="U1686" s="163">
        <v>0</v>
      </c>
      <c r="V1686" s="163">
        <v>0</v>
      </c>
      <c r="W1686" s="163">
        <v>0</v>
      </c>
      <c r="X1686" s="163">
        <v>0</v>
      </c>
      <c r="Y1686" s="163">
        <v>0</v>
      </c>
      <c r="Z1686" s="163">
        <v>0</v>
      </c>
      <c r="AA1686" s="40"/>
      <c r="AB1686" s="40"/>
      <c r="AC1686" s="40"/>
      <c r="AD1686" s="40"/>
      <c r="AE1686" s="40"/>
      <c r="AF1686" s="40"/>
      <c r="AG1686" s="40"/>
      <c r="AH1686" s="40"/>
      <c r="AI1686" s="40"/>
      <c r="AJ1686" s="40"/>
      <c r="AK1686" s="40"/>
      <c r="AL1686" s="40"/>
      <c r="AM1686" s="40"/>
      <c r="AN1686" s="40"/>
      <c r="AO1686" s="40"/>
      <c r="AP1686" s="40"/>
      <c r="AQ1686" s="40"/>
      <c r="AR1686" s="40"/>
      <c r="AS1686" s="40"/>
      <c r="AT1686" s="40"/>
      <c r="AU1686" s="40"/>
      <c r="AV1686" s="315">
        <v>0</v>
      </c>
      <c r="AW1686" s="317"/>
      <c r="AX1686" s="317"/>
      <c r="AY1686" s="313">
        <v>0</v>
      </c>
      <c r="AZ1686" s="40"/>
      <c r="BA1686" s="40"/>
      <c r="BB1686" s="40"/>
      <c r="BC1686" s="40">
        <v>0</v>
      </c>
      <c r="BD1686" s="163">
        <v>0</v>
      </c>
      <c r="BE1686" s="163">
        <v>0</v>
      </c>
      <c r="BF1686" s="40"/>
      <c r="BG1686" s="40"/>
      <c r="BH1686" s="40"/>
      <c r="BI1686" s="40"/>
      <c r="BJ1686" s="40"/>
      <c r="BK1686" s="40"/>
      <c r="BL1686" s="62">
        <v>0.15060000000000001</v>
      </c>
      <c r="BM1686" s="275">
        <v>3</v>
      </c>
      <c r="BN1686" s="62">
        <v>0.03</v>
      </c>
      <c r="BO1686" s="33" t="s">
        <v>625</v>
      </c>
      <c r="BP1686" s="33" t="s">
        <v>697</v>
      </c>
    </row>
    <row r="1687" spans="1:68">
      <c r="A1687" s="33" t="str">
        <f>Database_Productkaarten[[#This Row],[Product]]&amp;", "&amp;Database_Productkaarten[[#This Row],[Levensfase]]</f>
        <v>Betonplaat, Gewapend 200mm, B3</v>
      </c>
      <c r="B1687" t="s">
        <v>696</v>
      </c>
      <c r="C1687" t="s">
        <v>664</v>
      </c>
      <c r="D1687" s="33" t="s">
        <v>683</v>
      </c>
      <c r="E1687" s="33" t="s">
        <v>385</v>
      </c>
      <c r="F1687" s="33" t="s">
        <v>81</v>
      </c>
      <c r="G1687" s="33">
        <v>1</v>
      </c>
      <c r="H1687" s="33">
        <v>1</v>
      </c>
      <c r="I1687" s="33">
        <v>0.2</v>
      </c>
      <c r="L1687" s="33">
        <v>2.23</v>
      </c>
      <c r="M1687" s="271">
        <v>0.65400000000000003</v>
      </c>
      <c r="N1687" s="41"/>
      <c r="O1687" s="33">
        <v>100</v>
      </c>
      <c r="P1687" s="40"/>
      <c r="Q1687" s="40"/>
      <c r="R1687" s="40"/>
      <c r="S1687" s="40"/>
      <c r="T1687" s="40"/>
      <c r="U1687" s="40"/>
      <c r="V1687" s="40"/>
      <c r="W1687" s="40"/>
      <c r="X1687" s="40"/>
      <c r="Y1687" s="40"/>
      <c r="Z1687" s="40"/>
      <c r="AA1687" s="40"/>
      <c r="AB1687" s="40"/>
      <c r="AC1687" s="40"/>
      <c r="AD1687" s="40"/>
      <c r="AE1687" s="40"/>
      <c r="AF1687" s="40"/>
      <c r="AG1687" s="40"/>
      <c r="AH1687" s="40"/>
      <c r="AI1687" s="40"/>
      <c r="AJ1687" s="40"/>
      <c r="AK1687" s="40"/>
      <c r="AL1687" s="40"/>
      <c r="AM1687" s="40"/>
      <c r="AN1687" s="40"/>
      <c r="AO1687" s="40"/>
      <c r="AP1687" s="40"/>
      <c r="AQ1687" s="40"/>
      <c r="AR1687" s="40"/>
      <c r="AS1687" s="40"/>
      <c r="AT1687" s="40"/>
      <c r="AU1687" s="40"/>
      <c r="AV1687" s="316"/>
      <c r="AW1687" s="317"/>
      <c r="AX1687" s="317"/>
      <c r="AY1687" s="316"/>
      <c r="AZ1687" s="40"/>
      <c r="BA1687" s="40"/>
      <c r="BB1687" s="40"/>
      <c r="BC1687" s="40"/>
      <c r="BD1687" s="40"/>
      <c r="BE1687" s="40"/>
      <c r="BF1687" s="40"/>
      <c r="BG1687" s="40"/>
      <c r="BH1687" s="40"/>
      <c r="BI1687" s="40"/>
      <c r="BJ1687" s="40"/>
      <c r="BK1687" s="40"/>
      <c r="BL1687" s="62">
        <v>0.15060000000000001</v>
      </c>
      <c r="BM1687" s="275">
        <v>3</v>
      </c>
      <c r="BN1687" s="62">
        <v>0.03</v>
      </c>
      <c r="BO1687" s="33" t="s">
        <v>625</v>
      </c>
      <c r="BP1687" s="33" t="s">
        <v>697</v>
      </c>
    </row>
    <row r="1688" spans="1:68">
      <c r="A1688" s="33" t="str">
        <f>Database_Productkaarten[[#This Row],[Product]]&amp;", "&amp;Database_Productkaarten[[#This Row],[Levensfase]]</f>
        <v>Betonplaat, Gewapend 200mm, C1</v>
      </c>
      <c r="B1688" t="s">
        <v>696</v>
      </c>
      <c r="C1688" t="s">
        <v>664</v>
      </c>
      <c r="D1688" s="33" t="s">
        <v>683</v>
      </c>
      <c r="E1688" s="33" t="s">
        <v>385</v>
      </c>
      <c r="F1688" s="33" t="s">
        <v>83</v>
      </c>
      <c r="G1688" s="33">
        <v>1</v>
      </c>
      <c r="H1688" s="33">
        <v>1</v>
      </c>
      <c r="I1688" s="33">
        <v>0.2</v>
      </c>
      <c r="L1688" s="33">
        <v>2.23</v>
      </c>
      <c r="M1688" s="271">
        <v>0.65400000000000003</v>
      </c>
      <c r="N1688" s="41">
        <v>9.9779999999999994E-2</v>
      </c>
      <c r="O1688" s="33">
        <v>100</v>
      </c>
      <c r="P1688" s="40">
        <v>5.04E-6</v>
      </c>
      <c r="Q1688" s="40">
        <v>7.3599999999999999E-2</v>
      </c>
      <c r="R1688" s="40">
        <v>10.8</v>
      </c>
      <c r="S1688" s="40">
        <v>1.88E-6</v>
      </c>
      <c r="T1688" s="40">
        <v>3.5500000000000002E-3</v>
      </c>
      <c r="U1688" s="40">
        <v>3.1600000000000003E-2</v>
      </c>
      <c r="V1688" s="40">
        <v>6.0400000000000002E-3</v>
      </c>
      <c r="W1688" s="40">
        <v>2.67</v>
      </c>
      <c r="X1688" s="40">
        <v>5.28E-2</v>
      </c>
      <c r="Y1688" s="40">
        <v>177</v>
      </c>
      <c r="Z1688" s="40">
        <v>9.4800000000000006E-3</v>
      </c>
      <c r="AA1688" s="40"/>
      <c r="AB1688" s="40"/>
      <c r="AC1688" s="40"/>
      <c r="AD1688" s="40"/>
      <c r="AE1688" s="40"/>
      <c r="AF1688" s="40"/>
      <c r="AG1688" s="40"/>
      <c r="AH1688" s="40"/>
      <c r="AI1688" s="40"/>
      <c r="AJ1688" s="40"/>
      <c r="AK1688" s="40"/>
      <c r="AL1688" s="40"/>
      <c r="AM1688" s="40"/>
      <c r="AN1688" s="40"/>
      <c r="AO1688" s="40"/>
      <c r="AP1688" s="40"/>
      <c r="AQ1688" s="40"/>
      <c r="AR1688" s="40"/>
      <c r="AS1688" s="40"/>
      <c r="AT1688" s="40"/>
      <c r="AU1688" s="40"/>
      <c r="AV1688" s="313">
        <v>1.2</v>
      </c>
      <c r="AW1688" s="317"/>
      <c r="AX1688" s="317"/>
      <c r="AY1688" s="313">
        <v>164</v>
      </c>
      <c r="AZ1688" s="40"/>
      <c r="BA1688" s="40"/>
      <c r="BB1688" s="40"/>
      <c r="BC1688" s="40">
        <v>1.55E-2</v>
      </c>
      <c r="BD1688" s="40">
        <v>1.1299999999999999E-3</v>
      </c>
      <c r="BE1688" s="40">
        <v>0.27600000000000002</v>
      </c>
      <c r="BF1688" s="40"/>
      <c r="BG1688" s="40"/>
      <c r="BH1688" s="40"/>
      <c r="BI1688" s="40"/>
      <c r="BJ1688" s="40"/>
      <c r="BK1688" s="40"/>
      <c r="BL1688" s="62">
        <v>0.15060000000000001</v>
      </c>
      <c r="BM1688" s="275">
        <v>3</v>
      </c>
      <c r="BN1688" s="62">
        <v>0.03</v>
      </c>
      <c r="BO1688" s="33" t="s">
        <v>625</v>
      </c>
      <c r="BP1688" s="33" t="s">
        <v>697</v>
      </c>
    </row>
    <row r="1689" spans="1:68">
      <c r="A1689" s="33" t="str">
        <f>Database_Productkaarten[[#This Row],[Product]]&amp;", "&amp;Database_Productkaarten[[#This Row],[Levensfase]]</f>
        <v>Betonplaat, Gewapend 200mm, C2</v>
      </c>
      <c r="B1689" t="s">
        <v>696</v>
      </c>
      <c r="C1689" t="s">
        <v>664</v>
      </c>
      <c r="D1689" s="33" t="s">
        <v>683</v>
      </c>
      <c r="E1689" s="33" t="s">
        <v>385</v>
      </c>
      <c r="F1689" s="33" t="s">
        <v>84</v>
      </c>
      <c r="G1689" s="33">
        <v>1</v>
      </c>
      <c r="H1689" s="33">
        <v>1</v>
      </c>
      <c r="I1689" s="33">
        <v>0.2</v>
      </c>
      <c r="L1689" s="33">
        <v>2.23</v>
      </c>
      <c r="M1689" s="271">
        <v>0.65400000000000003</v>
      </c>
      <c r="N1689" s="41">
        <v>0.31888</v>
      </c>
      <c r="O1689" s="33">
        <v>100</v>
      </c>
      <c r="P1689" s="40">
        <v>5.3600000000000004E-6</v>
      </c>
      <c r="Q1689" s="40">
        <v>2.1100000000000001E-2</v>
      </c>
      <c r="R1689" s="40">
        <v>2.79</v>
      </c>
      <c r="S1689" s="40">
        <v>5.5499999999999998E-7</v>
      </c>
      <c r="T1689" s="40">
        <v>1.7600000000000001E-3</v>
      </c>
      <c r="U1689" s="40">
        <v>1.0200000000000001E-2</v>
      </c>
      <c r="V1689" s="40">
        <v>2.0699999999999998E-3</v>
      </c>
      <c r="W1689" s="40">
        <v>0.98299999999999998</v>
      </c>
      <c r="X1689" s="40">
        <v>6.3399999999999998E-2</v>
      </c>
      <c r="Y1689" s="40">
        <v>166</v>
      </c>
      <c r="Z1689" s="40">
        <v>5.8300000000000001E-3</v>
      </c>
      <c r="AA1689" s="40"/>
      <c r="AB1689" s="40"/>
      <c r="AC1689" s="40"/>
      <c r="AD1689" s="40"/>
      <c r="AE1689" s="40"/>
      <c r="AF1689" s="40"/>
      <c r="AG1689" s="40"/>
      <c r="AH1689" s="40"/>
      <c r="AI1689" s="40"/>
      <c r="AJ1689" s="40"/>
      <c r="AK1689" s="40"/>
      <c r="AL1689" s="40"/>
      <c r="AM1689" s="40"/>
      <c r="AN1689" s="40"/>
      <c r="AO1689" s="40"/>
      <c r="AP1689" s="40"/>
      <c r="AQ1689" s="40"/>
      <c r="AR1689" s="40"/>
      <c r="AS1689" s="40"/>
      <c r="AT1689" s="40"/>
      <c r="AU1689" s="40"/>
      <c r="AV1689" s="313">
        <v>0.755</v>
      </c>
      <c r="AW1689" s="317"/>
      <c r="AX1689" s="317"/>
      <c r="AY1689" s="313">
        <v>48.3</v>
      </c>
      <c r="AZ1689" s="40"/>
      <c r="BA1689" s="40"/>
      <c r="BB1689" s="40"/>
      <c r="BC1689" s="40">
        <v>9.7999999999999997E-3</v>
      </c>
      <c r="BD1689" s="40">
        <v>3.4200000000000002E-4</v>
      </c>
      <c r="BE1689" s="40">
        <v>3.99</v>
      </c>
      <c r="BF1689" s="40"/>
      <c r="BG1689" s="40"/>
      <c r="BH1689" s="40"/>
      <c r="BI1689" s="40"/>
      <c r="BJ1689" s="40"/>
      <c r="BK1689" s="40"/>
      <c r="BL1689" s="62">
        <v>0.15060000000000001</v>
      </c>
      <c r="BM1689" s="275">
        <v>3</v>
      </c>
      <c r="BN1689" s="62">
        <v>0.03</v>
      </c>
      <c r="BO1689" s="33" t="s">
        <v>625</v>
      </c>
      <c r="BP1689" s="33" t="s">
        <v>697</v>
      </c>
    </row>
    <row r="1690" spans="1:68">
      <c r="A1690" s="33" t="str">
        <f>Database_Productkaarten[[#This Row],[Product]]&amp;", "&amp;Database_Productkaarten[[#This Row],[Levensfase]]</f>
        <v>Betonplaat, Gewapend 200mm, C3</v>
      </c>
      <c r="B1690" t="s">
        <v>696</v>
      </c>
      <c r="C1690" t="s">
        <v>664</v>
      </c>
      <c r="D1690" s="33" t="s">
        <v>683</v>
      </c>
      <c r="E1690" s="33" t="s">
        <v>385</v>
      </c>
      <c r="F1690" s="33" t="s">
        <v>85</v>
      </c>
      <c r="G1690" s="33">
        <v>1</v>
      </c>
      <c r="H1690" s="33">
        <v>1</v>
      </c>
      <c r="I1690" s="33">
        <v>0.2</v>
      </c>
      <c r="L1690" s="33">
        <v>2.23</v>
      </c>
      <c r="M1690" s="271">
        <v>0.65400000000000003</v>
      </c>
      <c r="N1690" s="41">
        <v>0.11006000000000001</v>
      </c>
      <c r="O1690" s="33">
        <v>100</v>
      </c>
      <c r="P1690" s="40">
        <v>6.75E-7</v>
      </c>
      <c r="Q1690" s="40">
        <v>7.5799999999999999E-3</v>
      </c>
      <c r="R1690" s="40">
        <v>1.06</v>
      </c>
      <c r="S1690" s="40">
        <v>1.23E-7</v>
      </c>
      <c r="T1690" s="40">
        <v>6.0599999999999998E-4</v>
      </c>
      <c r="U1690" s="40">
        <v>5.2700000000000004E-3</v>
      </c>
      <c r="V1690" s="40">
        <v>1.1900000000000001E-3</v>
      </c>
      <c r="W1690" s="40">
        <v>0.24199999999999999</v>
      </c>
      <c r="X1690" s="40">
        <v>4.15E-3</v>
      </c>
      <c r="Y1690" s="40">
        <v>15.3</v>
      </c>
      <c r="Z1690" s="40">
        <v>3.0699999999999998E-3</v>
      </c>
      <c r="AA1690" s="40"/>
      <c r="AB1690" s="40"/>
      <c r="AC1690" s="40"/>
      <c r="AD1690" s="40"/>
      <c r="AE1690" s="40"/>
      <c r="AF1690" s="40"/>
      <c r="AG1690" s="40"/>
      <c r="AH1690" s="40"/>
      <c r="AI1690" s="40"/>
      <c r="AJ1690" s="40"/>
      <c r="AK1690" s="40"/>
      <c r="AL1690" s="40"/>
      <c r="AM1690" s="40"/>
      <c r="AN1690" s="40"/>
      <c r="AO1690" s="40"/>
      <c r="AP1690" s="40"/>
      <c r="AQ1690" s="40"/>
      <c r="AR1690" s="40"/>
      <c r="AS1690" s="40"/>
      <c r="AT1690" s="40"/>
      <c r="AU1690" s="40"/>
      <c r="AV1690" s="313">
        <v>0.85099999999999998</v>
      </c>
      <c r="AW1690" s="317"/>
      <c r="AX1690" s="317"/>
      <c r="AY1690" s="313">
        <v>16.100000000000001</v>
      </c>
      <c r="AZ1690" s="40"/>
      <c r="BA1690" s="40"/>
      <c r="BB1690" s="40"/>
      <c r="BC1690" s="40">
        <v>2.15E-3</v>
      </c>
      <c r="BD1690" s="40">
        <v>9.6000000000000002E-5</v>
      </c>
      <c r="BE1690" s="40">
        <v>1.99</v>
      </c>
      <c r="BF1690" s="40"/>
      <c r="BG1690" s="40"/>
      <c r="BH1690" s="40"/>
      <c r="BI1690" s="40"/>
      <c r="BJ1690" s="40"/>
      <c r="BK1690" s="40"/>
      <c r="BL1690" s="62">
        <v>0.15060000000000001</v>
      </c>
      <c r="BM1690" s="275">
        <v>3</v>
      </c>
      <c r="BN1690" s="62">
        <v>0.03</v>
      </c>
      <c r="BO1690" s="33" t="s">
        <v>625</v>
      </c>
      <c r="BP1690" s="33" t="s">
        <v>697</v>
      </c>
    </row>
    <row r="1691" spans="1:68">
      <c r="A1691" s="33" t="str">
        <f>Database_Productkaarten[[#This Row],[Product]]&amp;", "&amp;Database_Productkaarten[[#This Row],[Levensfase]]</f>
        <v>Betonplaat, Gewapend 200mm, C4</v>
      </c>
      <c r="B1691" t="s">
        <v>696</v>
      </c>
      <c r="C1691" t="s">
        <v>664</v>
      </c>
      <c r="D1691" s="33" t="s">
        <v>683</v>
      </c>
      <c r="E1691" s="33" t="s">
        <v>385</v>
      </c>
      <c r="F1691" s="33" t="s">
        <v>86</v>
      </c>
      <c r="G1691" s="33">
        <v>1</v>
      </c>
      <c r="H1691" s="33">
        <v>1</v>
      </c>
      <c r="I1691" s="33">
        <v>0.2</v>
      </c>
      <c r="L1691" s="33">
        <v>2.23</v>
      </c>
      <c r="M1691" s="271">
        <v>0.65400000000000003</v>
      </c>
      <c r="N1691" s="41">
        <v>6.11E-3</v>
      </c>
      <c r="O1691" s="33">
        <v>100</v>
      </c>
      <c r="P1691" s="40">
        <v>1.88E-5</v>
      </c>
      <c r="Q1691" s="40">
        <v>3.0300000000000001E-2</v>
      </c>
      <c r="R1691" s="40">
        <v>4.3499999999999996</v>
      </c>
      <c r="S1691" s="40">
        <v>2.8200000000000001E-7</v>
      </c>
      <c r="T1691" s="40">
        <v>6.1700000000000001E-3</v>
      </c>
      <c r="U1691" s="40">
        <v>1.8599999999999998E-2</v>
      </c>
      <c r="V1691" s="40">
        <v>3.15E-3</v>
      </c>
      <c r="W1691" s="40">
        <v>6.39</v>
      </c>
      <c r="X1691" s="40">
        <v>3.8800000000000001E-2</v>
      </c>
      <c r="Y1691" s="40">
        <v>110</v>
      </c>
      <c r="Z1691" s="40">
        <v>3.1600000000000003E-2</v>
      </c>
      <c r="AA1691" s="40"/>
      <c r="AB1691" s="40"/>
      <c r="AC1691" s="40"/>
      <c r="AD1691" s="40"/>
      <c r="AE1691" s="40"/>
      <c r="AF1691" s="40"/>
      <c r="AG1691" s="40"/>
      <c r="AH1691" s="40"/>
      <c r="AI1691" s="40"/>
      <c r="AJ1691" s="40"/>
      <c r="AK1691" s="40"/>
      <c r="AL1691" s="40"/>
      <c r="AM1691" s="40"/>
      <c r="AN1691" s="40"/>
      <c r="AO1691" s="40"/>
      <c r="AP1691" s="40"/>
      <c r="AQ1691" s="40"/>
      <c r="AR1691" s="40"/>
      <c r="AS1691" s="40"/>
      <c r="AT1691" s="40"/>
      <c r="AU1691" s="40"/>
      <c r="AV1691" s="313">
        <v>2.5499999999999998</v>
      </c>
      <c r="AW1691" s="317"/>
      <c r="AX1691" s="317"/>
      <c r="AY1691" s="313">
        <v>52.7</v>
      </c>
      <c r="AZ1691" s="40"/>
      <c r="BA1691" s="40"/>
      <c r="BB1691" s="40"/>
      <c r="BC1691" s="40">
        <v>2.6100000000000002E-2</v>
      </c>
      <c r="BD1691" s="40">
        <v>4.3300000000000001E-4</v>
      </c>
      <c r="BE1691" s="40">
        <v>7.16</v>
      </c>
      <c r="BF1691" s="40"/>
      <c r="BG1691" s="40"/>
      <c r="BH1691" s="40"/>
      <c r="BI1691" s="40"/>
      <c r="BJ1691" s="40"/>
      <c r="BK1691" s="40"/>
      <c r="BL1691" s="62">
        <v>0.15060000000000001</v>
      </c>
      <c r="BM1691" s="275">
        <v>3</v>
      </c>
      <c r="BN1691" s="62">
        <v>0.03</v>
      </c>
      <c r="BO1691" s="33" t="s">
        <v>625</v>
      </c>
      <c r="BP1691" s="33" t="s">
        <v>697</v>
      </c>
    </row>
    <row r="1692" spans="1:68">
      <c r="A1692" s="33" t="str">
        <f>Database_Productkaarten[[#This Row],[Product]]&amp;", "&amp;Database_Productkaarten[[#This Row],[Levensfase]]</f>
        <v>Betonplaat, Gewapend 200mm, D</v>
      </c>
      <c r="B1692" t="s">
        <v>696</v>
      </c>
      <c r="C1692" t="s">
        <v>664</v>
      </c>
      <c r="D1692" s="33" t="s">
        <v>683</v>
      </c>
      <c r="E1692" s="33" t="s">
        <v>385</v>
      </c>
      <c r="F1692" s="33" t="s">
        <v>89</v>
      </c>
      <c r="G1692" s="33">
        <v>1</v>
      </c>
      <c r="H1692" s="33">
        <v>1</v>
      </c>
      <c r="I1692" s="33">
        <v>0.2</v>
      </c>
      <c r="L1692" s="33">
        <v>2.23</v>
      </c>
      <c r="M1692" s="271">
        <v>0.65400000000000003</v>
      </c>
      <c r="N1692" s="41">
        <v>-6.0345599999999999</v>
      </c>
      <c r="O1692" s="33">
        <v>100</v>
      </c>
      <c r="P1692" s="163">
        <v>-4.85E-5</v>
      </c>
      <c r="Q1692" s="163">
        <v>-0.45200000000000001</v>
      </c>
      <c r="R1692" s="163">
        <v>-65.900000000000006</v>
      </c>
      <c r="S1692" s="163">
        <v>-3.98E-6</v>
      </c>
      <c r="T1692" s="163">
        <v>-0.104</v>
      </c>
      <c r="U1692" s="163">
        <v>-0.27900000000000003</v>
      </c>
      <c r="V1692" s="163">
        <v>-3.5799999999999998E-2</v>
      </c>
      <c r="W1692" s="163">
        <v>-41.4</v>
      </c>
      <c r="X1692" s="163">
        <v>-0.29099999999999998</v>
      </c>
      <c r="Y1692" s="163">
        <v>-1020</v>
      </c>
      <c r="Z1692" s="163">
        <v>-0.12</v>
      </c>
      <c r="AA1692" s="40"/>
      <c r="AB1692" s="40"/>
      <c r="AC1692" s="40"/>
      <c r="AD1692" s="40"/>
      <c r="AE1692" s="40"/>
      <c r="AF1692" s="40"/>
      <c r="AG1692" s="40"/>
      <c r="AH1692" s="40"/>
      <c r="AI1692" s="40"/>
      <c r="AJ1692" s="40"/>
      <c r="AK1692" s="40"/>
      <c r="AL1692" s="40"/>
      <c r="AM1692" s="40"/>
      <c r="AN1692" s="40"/>
      <c r="AO1692" s="40"/>
      <c r="AP1692" s="40"/>
      <c r="AQ1692" s="40"/>
      <c r="AR1692" s="40"/>
      <c r="AS1692" s="40"/>
      <c r="AT1692" s="40"/>
      <c r="AU1692" s="40"/>
      <c r="AV1692" s="315">
        <v>-18.600000000000001</v>
      </c>
      <c r="AW1692" s="317"/>
      <c r="AX1692" s="317"/>
      <c r="AY1692" s="313">
        <v>-742</v>
      </c>
      <c r="AZ1692" s="40"/>
      <c r="BA1692" s="40"/>
      <c r="BB1692" s="40"/>
      <c r="BC1692" s="40">
        <v>0</v>
      </c>
      <c r="BD1692" s="163">
        <v>-2.33</v>
      </c>
      <c r="BE1692" s="163">
        <v>-5.78</v>
      </c>
      <c r="BF1692" s="40"/>
      <c r="BG1692" s="40"/>
      <c r="BH1692" s="40"/>
      <c r="BI1692" s="40"/>
      <c r="BJ1692" s="40"/>
      <c r="BK1692" s="40"/>
      <c r="BL1692" s="62">
        <v>0.15060000000000001</v>
      </c>
      <c r="BM1692" s="275">
        <v>3</v>
      </c>
      <c r="BN1692" s="62">
        <v>0.03</v>
      </c>
      <c r="BO1692" s="33" t="s">
        <v>625</v>
      </c>
      <c r="BP1692" s="33" t="s">
        <v>697</v>
      </c>
    </row>
    <row r="1693" spans="1:68">
      <c r="A1693" s="33" t="str">
        <f>Database_Productkaarten[[#This Row],[Product]]&amp;", "&amp;Database_Productkaarten[[#This Row],[Levensfase]]</f>
        <v>Betonplaat, Gewapend 200mm, D1</v>
      </c>
      <c r="B1693" t="s">
        <v>696</v>
      </c>
      <c r="C1693" t="s">
        <v>664</v>
      </c>
      <c r="D1693" s="33" t="s">
        <v>683</v>
      </c>
      <c r="E1693" s="33" t="s">
        <v>385</v>
      </c>
      <c r="F1693" s="33" t="s">
        <v>87</v>
      </c>
      <c r="G1693" s="33">
        <v>1</v>
      </c>
      <c r="H1693" s="33">
        <v>1</v>
      </c>
      <c r="I1693" s="33">
        <v>0.2</v>
      </c>
      <c r="L1693" s="33">
        <v>2.23</v>
      </c>
      <c r="M1693" s="271">
        <v>0.65400000000000003</v>
      </c>
      <c r="N1693" s="41"/>
      <c r="O1693" s="33">
        <v>100</v>
      </c>
      <c r="P1693" s="40"/>
      <c r="Q1693" s="40"/>
      <c r="R1693" s="40"/>
      <c r="S1693" s="40"/>
      <c r="T1693" s="40"/>
      <c r="U1693" s="40"/>
      <c r="V1693" s="40"/>
      <c r="W1693" s="40"/>
      <c r="X1693" s="40"/>
      <c r="Y1693" s="40"/>
      <c r="Z1693" s="40"/>
      <c r="AA1693" s="40"/>
      <c r="AB1693" s="40"/>
      <c r="AC1693" s="40"/>
      <c r="AD1693" s="40"/>
      <c r="AE1693" s="40"/>
      <c r="AF1693" s="40"/>
      <c r="AG1693" s="40"/>
      <c r="AH1693" s="40"/>
      <c r="AI1693" s="40"/>
      <c r="AJ1693" s="40"/>
      <c r="AK1693" s="40"/>
      <c r="AL1693" s="40"/>
      <c r="AM1693" s="40"/>
      <c r="AN1693" s="40"/>
      <c r="AO1693" s="40"/>
      <c r="AP1693" s="40"/>
      <c r="AQ1693" s="40"/>
      <c r="AR1693" s="40"/>
      <c r="AS1693" s="40"/>
      <c r="AT1693" s="40"/>
      <c r="AU1693" s="40"/>
      <c r="AV1693" s="313"/>
      <c r="AW1693" s="317"/>
      <c r="AX1693" s="317"/>
      <c r="AY1693" s="313"/>
      <c r="AZ1693" s="40"/>
      <c r="BA1693" s="40"/>
      <c r="BB1693" s="40"/>
      <c r="BC1693" s="40"/>
      <c r="BD1693" s="40"/>
      <c r="BE1693" s="40"/>
      <c r="BF1693" s="40"/>
      <c r="BG1693" s="40"/>
      <c r="BH1693" s="40"/>
      <c r="BI1693" s="40"/>
      <c r="BJ1693" s="40"/>
      <c r="BK1693" s="40"/>
      <c r="BL1693" s="62">
        <v>0.15060000000000001</v>
      </c>
      <c r="BM1693" s="275">
        <v>3</v>
      </c>
      <c r="BN1693" s="62">
        <v>0.03</v>
      </c>
      <c r="BO1693" s="33" t="s">
        <v>625</v>
      </c>
      <c r="BP1693" s="33" t="s">
        <v>697</v>
      </c>
    </row>
    <row r="1694" spans="1:68">
      <c r="A1694" s="33" t="str">
        <f>Database_Productkaarten[[#This Row],[Product]]&amp;", "&amp;Database_Productkaarten[[#This Row],[Levensfase]]</f>
        <v>Betonplaat, Gewapend 200mm, D2</v>
      </c>
      <c r="B1694" t="s">
        <v>696</v>
      </c>
      <c r="C1694" t="s">
        <v>664</v>
      </c>
      <c r="D1694" s="33" t="s">
        <v>683</v>
      </c>
      <c r="E1694" s="33" t="s">
        <v>385</v>
      </c>
      <c r="F1694" s="33" t="s">
        <v>88</v>
      </c>
      <c r="G1694" s="33">
        <v>1</v>
      </c>
      <c r="H1694" s="33">
        <v>1</v>
      </c>
      <c r="I1694" s="33">
        <v>0.2</v>
      </c>
      <c r="L1694" s="33">
        <v>2.23</v>
      </c>
      <c r="M1694" s="271">
        <v>0.65400000000000003</v>
      </c>
      <c r="N1694" s="41"/>
      <c r="O1694" s="33">
        <v>100</v>
      </c>
      <c r="P1694" s="40"/>
      <c r="Q1694" s="40"/>
      <c r="R1694" s="40"/>
      <c r="S1694" s="40"/>
      <c r="T1694" s="40"/>
      <c r="U1694" s="40"/>
      <c r="V1694" s="40"/>
      <c r="W1694" s="40"/>
      <c r="X1694" s="40"/>
      <c r="Y1694" s="40"/>
      <c r="Z1694" s="40"/>
      <c r="AA1694" s="40"/>
      <c r="AB1694" s="40"/>
      <c r="AC1694" s="40"/>
      <c r="AD1694" s="40"/>
      <c r="AE1694" s="40"/>
      <c r="AF1694" s="40"/>
      <c r="AG1694" s="40"/>
      <c r="AH1694" s="40"/>
      <c r="AI1694" s="40"/>
      <c r="AJ1694" s="40"/>
      <c r="AK1694" s="40"/>
      <c r="AL1694" s="40"/>
      <c r="AM1694" s="40"/>
      <c r="AN1694" s="40"/>
      <c r="AO1694" s="40"/>
      <c r="AP1694" s="40"/>
      <c r="AQ1694" s="40"/>
      <c r="AR1694" s="40"/>
      <c r="AS1694" s="40"/>
      <c r="AT1694" s="40"/>
      <c r="AU1694" s="40"/>
      <c r="AV1694" s="313"/>
      <c r="AW1694" s="317"/>
      <c r="AX1694" s="317"/>
      <c r="AY1694" s="313"/>
      <c r="AZ1694" s="40"/>
      <c r="BA1694" s="40"/>
      <c r="BB1694" s="40"/>
      <c r="BC1694" s="40"/>
      <c r="BD1694" s="40"/>
      <c r="BE1694" s="40"/>
      <c r="BF1694" s="40"/>
      <c r="BG1694" s="40"/>
      <c r="BH1694" s="40"/>
      <c r="BI1694" s="40"/>
      <c r="BJ1694" s="40"/>
      <c r="BK1694" s="40"/>
      <c r="BL1694" s="62">
        <v>0.15060000000000001</v>
      </c>
      <c r="BM1694" s="275">
        <v>3</v>
      </c>
      <c r="BN1694" s="62">
        <v>0.03</v>
      </c>
      <c r="BO1694" s="33" t="s">
        <v>625</v>
      </c>
      <c r="BP1694" s="33" t="s">
        <v>697</v>
      </c>
    </row>
    <row r="1695" spans="1:68">
      <c r="A1695" s="33" t="str">
        <f>Database_Productkaarten[[#This Row],[Product]]&amp;", "&amp;Database_Productkaarten[[#This Row],[Levensfase]]</f>
        <v>Menggranulaat 200mm, Totaal</v>
      </c>
      <c r="B1695" s="33" t="s">
        <v>51</v>
      </c>
      <c r="C1695" s="33" t="s">
        <v>48</v>
      </c>
      <c r="D1695" s="33" t="s">
        <v>50</v>
      </c>
      <c r="E1695" s="33" t="s">
        <v>385</v>
      </c>
      <c r="F1695" s="33" t="s">
        <v>90</v>
      </c>
      <c r="G1695" s="33">
        <v>1</v>
      </c>
      <c r="H1695" s="33">
        <v>1</v>
      </c>
      <c r="I1695" s="33">
        <v>0.2</v>
      </c>
      <c r="L1695" s="33">
        <v>1.95</v>
      </c>
      <c r="M1695" s="269">
        <v>0.39</v>
      </c>
      <c r="N1695" s="41">
        <v>0.47682999999999998</v>
      </c>
      <c r="O1695" s="33">
        <v>100</v>
      </c>
      <c r="P1695" s="163">
        <v>7.7300000000000005E-6</v>
      </c>
      <c r="Q1695" s="163">
        <v>4.3900000000000002E-2</v>
      </c>
      <c r="R1695" s="163">
        <v>6.05</v>
      </c>
      <c r="S1695" s="163">
        <v>1.1400000000000001E-6</v>
      </c>
      <c r="T1695" s="163">
        <v>3.0100000000000001E-3</v>
      </c>
      <c r="U1695" s="163">
        <v>2.0199999999999999E-2</v>
      </c>
      <c r="V1695" s="163">
        <v>4.0200000000000001E-3</v>
      </c>
      <c r="W1695" s="163">
        <v>1.97</v>
      </c>
      <c r="X1695" s="163">
        <v>0.13900000000000001</v>
      </c>
      <c r="Y1695" s="163">
        <v>353</v>
      </c>
      <c r="Z1695" s="163">
        <v>8.3699999999999997E-2</v>
      </c>
      <c r="AA1695" s="40"/>
      <c r="AB1695" s="40"/>
      <c r="AC1695" s="40"/>
      <c r="AD1695" s="40"/>
      <c r="AE1695" s="40"/>
      <c r="AF1695" s="40"/>
      <c r="AG1695" s="40"/>
      <c r="AH1695" s="40"/>
      <c r="AI1695" s="40"/>
      <c r="AJ1695" s="40"/>
      <c r="AK1695" s="40"/>
      <c r="AL1695" s="40"/>
      <c r="AM1695" s="40"/>
      <c r="AN1695" s="40"/>
      <c r="AO1695" s="40"/>
      <c r="AP1695" s="40"/>
      <c r="AQ1695" s="40"/>
      <c r="AR1695" s="40"/>
      <c r="AS1695" s="40"/>
      <c r="AT1695" s="40"/>
      <c r="AU1695" s="40"/>
      <c r="AV1695" s="315">
        <v>1.21</v>
      </c>
      <c r="AW1695" s="317"/>
      <c r="AX1695" s="317"/>
      <c r="AY1695" s="313">
        <v>99.3</v>
      </c>
      <c r="AZ1695" s="40"/>
      <c r="BA1695" s="40"/>
      <c r="BB1695" s="40"/>
      <c r="BC1695" s="40">
        <v>2.1700000000000001E-2</v>
      </c>
      <c r="BD1695" s="40">
        <v>6.9099999999999999E-4</v>
      </c>
      <c r="BE1695" s="163">
        <v>8.6999999999999993</v>
      </c>
      <c r="BF1695" s="163">
        <v>5.1399999999999999E-6</v>
      </c>
      <c r="BG1695" s="40"/>
      <c r="BH1695" s="40"/>
      <c r="BI1695" s="40"/>
      <c r="BJ1695" s="40"/>
      <c r="BK1695" s="40"/>
      <c r="BL1695" s="62">
        <v>1</v>
      </c>
      <c r="BM1695" s="275">
        <v>3</v>
      </c>
      <c r="BN1695" s="62">
        <v>0</v>
      </c>
    </row>
    <row r="1696" spans="1:68">
      <c r="A1696" s="33" t="str">
        <f>Database_Productkaarten[[#This Row],[Product]]&amp;", "&amp;Database_Productkaarten[[#This Row],[Levensfase]]</f>
        <v>Menggranulaat 200mm, A1</v>
      </c>
      <c r="B1696" s="33" t="s">
        <v>51</v>
      </c>
      <c r="C1696" s="33" t="s">
        <v>48</v>
      </c>
      <c r="D1696" s="33" t="s">
        <v>50</v>
      </c>
      <c r="E1696" s="33" t="s">
        <v>385</v>
      </c>
      <c r="F1696" s="33" t="s">
        <v>74</v>
      </c>
      <c r="G1696" s="33">
        <v>1</v>
      </c>
      <c r="H1696" s="33">
        <v>1</v>
      </c>
      <c r="I1696" s="33">
        <v>0.2</v>
      </c>
      <c r="L1696" s="33">
        <v>1.95</v>
      </c>
      <c r="M1696" s="269">
        <v>0.39</v>
      </c>
      <c r="N1696" s="41"/>
      <c r="O1696" s="33">
        <v>100</v>
      </c>
      <c r="P1696" s="40"/>
      <c r="Q1696" s="40"/>
      <c r="R1696" s="40"/>
      <c r="S1696" s="40"/>
      <c r="T1696" s="40"/>
      <c r="U1696" s="40"/>
      <c r="V1696" s="40"/>
      <c r="W1696" s="40"/>
      <c r="X1696" s="40"/>
      <c r="Y1696" s="40"/>
      <c r="Z1696" s="40"/>
      <c r="AA1696" s="40"/>
      <c r="AB1696" s="40"/>
      <c r="AC1696" s="40"/>
      <c r="AD1696" s="40"/>
      <c r="AE1696" s="40"/>
      <c r="AF1696" s="40"/>
      <c r="AG1696" s="40"/>
      <c r="AH1696" s="40"/>
      <c r="AI1696" s="40"/>
      <c r="AJ1696" s="40"/>
      <c r="AK1696" s="40"/>
      <c r="AL1696" s="40"/>
      <c r="AM1696" s="40"/>
      <c r="AN1696" s="40"/>
      <c r="AO1696" s="40"/>
      <c r="AP1696" s="40"/>
      <c r="AQ1696" s="40"/>
      <c r="AR1696" s="40"/>
      <c r="AS1696" s="40"/>
      <c r="AT1696" s="40"/>
      <c r="AU1696" s="40"/>
      <c r="AV1696" s="317"/>
      <c r="AW1696" s="317"/>
      <c r="AX1696" s="317"/>
      <c r="AY1696" s="313"/>
      <c r="AZ1696" s="40"/>
      <c r="BA1696" s="40"/>
      <c r="BB1696" s="40"/>
      <c r="BC1696" s="40"/>
      <c r="BD1696" s="40"/>
      <c r="BE1696" s="40"/>
      <c r="BF1696" s="40"/>
      <c r="BG1696" s="40"/>
      <c r="BH1696" s="40"/>
      <c r="BI1696" s="40"/>
      <c r="BJ1696" s="40"/>
      <c r="BK1696" s="40"/>
      <c r="BL1696" s="62">
        <v>1</v>
      </c>
      <c r="BM1696" s="275">
        <v>3</v>
      </c>
      <c r="BN1696" s="62">
        <v>0</v>
      </c>
    </row>
    <row r="1697" spans="1:68">
      <c r="A1697" s="33" t="str">
        <f>Database_Productkaarten[[#This Row],[Product]]&amp;", "&amp;Database_Productkaarten[[#This Row],[Levensfase]]</f>
        <v>Menggranulaat 200mm, A2</v>
      </c>
      <c r="B1697" s="33" t="s">
        <v>51</v>
      </c>
      <c r="C1697" s="33" t="s">
        <v>48</v>
      </c>
      <c r="D1697" s="33" t="s">
        <v>50</v>
      </c>
      <c r="E1697" s="33" t="s">
        <v>385</v>
      </c>
      <c r="F1697" s="33" t="s">
        <v>75</v>
      </c>
      <c r="G1697" s="33">
        <v>1</v>
      </c>
      <c r="H1697" s="33">
        <v>1</v>
      </c>
      <c r="I1697" s="33">
        <v>0.2</v>
      </c>
      <c r="L1697" s="33">
        <v>1.95</v>
      </c>
      <c r="M1697" s="269">
        <v>0.39</v>
      </c>
      <c r="N1697" s="41"/>
      <c r="O1697" s="33">
        <v>100</v>
      </c>
      <c r="P1697" s="40"/>
      <c r="Q1697" s="40"/>
      <c r="R1697" s="40"/>
      <c r="S1697" s="40"/>
      <c r="T1697" s="40"/>
      <c r="U1697" s="40"/>
      <c r="V1697" s="40"/>
      <c r="W1697" s="40"/>
      <c r="X1697" s="40"/>
      <c r="Y1697" s="40"/>
      <c r="Z1697" s="40"/>
      <c r="AA1697" s="40"/>
      <c r="AB1697" s="40"/>
      <c r="AC1697" s="40"/>
      <c r="AD1697" s="40"/>
      <c r="AE1697" s="40"/>
      <c r="AF1697" s="40"/>
      <c r="AG1697" s="40"/>
      <c r="AH1697" s="40"/>
      <c r="AI1697" s="40"/>
      <c r="AJ1697" s="40"/>
      <c r="AK1697" s="40"/>
      <c r="AL1697" s="40"/>
      <c r="AM1697" s="40"/>
      <c r="AN1697" s="40"/>
      <c r="AO1697" s="40"/>
      <c r="AP1697" s="40"/>
      <c r="AQ1697" s="40"/>
      <c r="AR1697" s="40"/>
      <c r="AS1697" s="40"/>
      <c r="AT1697" s="40"/>
      <c r="AU1697" s="40"/>
      <c r="AV1697" s="317"/>
      <c r="AW1697" s="317"/>
      <c r="AX1697" s="317"/>
      <c r="AY1697" s="313"/>
      <c r="AZ1697" s="40"/>
      <c r="BA1697" s="40"/>
      <c r="BB1697" s="40"/>
      <c r="BC1697" s="40"/>
      <c r="BD1697" s="40"/>
      <c r="BE1697" s="40"/>
      <c r="BF1697" s="40"/>
      <c r="BG1697" s="40"/>
      <c r="BH1697" s="40"/>
      <c r="BI1697" s="40"/>
      <c r="BJ1697" s="40"/>
      <c r="BK1697" s="40"/>
      <c r="BL1697" s="62">
        <v>1</v>
      </c>
      <c r="BM1697" s="275">
        <v>3</v>
      </c>
      <c r="BN1697" s="62">
        <v>0</v>
      </c>
    </row>
    <row r="1698" spans="1:68">
      <c r="A1698" s="33" t="str">
        <f>Database_Productkaarten[[#This Row],[Product]]&amp;", "&amp;Database_Productkaarten[[#This Row],[Levensfase]]</f>
        <v>Menggranulaat 200mm, A3</v>
      </c>
      <c r="B1698" s="33" t="s">
        <v>51</v>
      </c>
      <c r="C1698" s="33" t="s">
        <v>48</v>
      </c>
      <c r="D1698" s="33" t="s">
        <v>50</v>
      </c>
      <c r="E1698" s="33" t="s">
        <v>385</v>
      </c>
      <c r="F1698" s="33" t="s">
        <v>76</v>
      </c>
      <c r="G1698" s="33">
        <v>1</v>
      </c>
      <c r="H1698" s="33">
        <v>1</v>
      </c>
      <c r="I1698" s="33">
        <v>0.2</v>
      </c>
      <c r="L1698" s="33">
        <v>1.95</v>
      </c>
      <c r="M1698" s="269">
        <v>0.39</v>
      </c>
      <c r="N1698" s="41"/>
      <c r="O1698" s="33">
        <v>100</v>
      </c>
      <c r="P1698" s="40"/>
      <c r="Q1698" s="40"/>
      <c r="R1698" s="40"/>
      <c r="S1698" s="40"/>
      <c r="T1698" s="40"/>
      <c r="U1698" s="40"/>
      <c r="V1698" s="40"/>
      <c r="W1698" s="40"/>
      <c r="X1698" s="40"/>
      <c r="Y1698" s="40"/>
      <c r="Z1698" s="40"/>
      <c r="AA1698" s="40"/>
      <c r="AB1698" s="40"/>
      <c r="AC1698" s="40"/>
      <c r="AD1698" s="40"/>
      <c r="AE1698" s="40"/>
      <c r="AF1698" s="40"/>
      <c r="AG1698" s="40"/>
      <c r="AH1698" s="40"/>
      <c r="AI1698" s="40"/>
      <c r="AJ1698" s="40"/>
      <c r="AK1698" s="40"/>
      <c r="AL1698" s="40"/>
      <c r="AM1698" s="40"/>
      <c r="AN1698" s="40"/>
      <c r="AO1698" s="40"/>
      <c r="AP1698" s="40"/>
      <c r="AQ1698" s="40"/>
      <c r="AR1698" s="40"/>
      <c r="AS1698" s="40"/>
      <c r="AT1698" s="40"/>
      <c r="AU1698" s="40"/>
      <c r="AV1698" s="317"/>
      <c r="AW1698" s="317"/>
      <c r="AX1698" s="317"/>
      <c r="AY1698" s="313"/>
      <c r="AZ1698" s="40"/>
      <c r="BA1698" s="40"/>
      <c r="BB1698" s="40"/>
      <c r="BC1698" s="40"/>
      <c r="BD1698" s="40"/>
      <c r="BE1698" s="40"/>
      <c r="BF1698" s="40"/>
      <c r="BG1698" s="40"/>
      <c r="BH1698" s="40"/>
      <c r="BI1698" s="40"/>
      <c r="BJ1698" s="40"/>
      <c r="BK1698" s="40"/>
      <c r="BL1698" s="62">
        <v>1</v>
      </c>
      <c r="BM1698" s="275">
        <v>3</v>
      </c>
      <c r="BN1698" s="62">
        <v>0</v>
      </c>
    </row>
    <row r="1699" spans="1:68">
      <c r="A1699" s="451" t="str">
        <f>Database_Productkaarten[[#This Row],[Product]]&amp;", "&amp;Database_Productkaarten[[#This Row],[Levensfase]]</f>
        <v>Menggranulaat 200mm, A1-A3</v>
      </c>
      <c r="B1699" s="33" t="s">
        <v>51</v>
      </c>
      <c r="C1699" s="451" t="str">
        <f>C1698</f>
        <v>Funderingslagen</v>
      </c>
      <c r="D1699" s="451" t="str">
        <f>D1698</f>
        <v>Menggranulaat</v>
      </c>
      <c r="E1699" s="33" t="s">
        <v>385</v>
      </c>
      <c r="F1699" s="451" t="s">
        <v>77</v>
      </c>
      <c r="G1699" s="33">
        <v>1</v>
      </c>
      <c r="H1699" s="33">
        <v>1</v>
      </c>
      <c r="I1699" s="33">
        <v>0.2</v>
      </c>
      <c r="J1699" s="451"/>
      <c r="K1699" s="451"/>
      <c r="L1699" s="33">
        <v>1.95</v>
      </c>
      <c r="M1699" s="269">
        <v>0.39</v>
      </c>
      <c r="N1699" s="452">
        <v>0</v>
      </c>
      <c r="O1699" s="33">
        <v>100</v>
      </c>
      <c r="P1699" s="163">
        <v>0</v>
      </c>
      <c r="Q1699" s="163">
        <v>0</v>
      </c>
      <c r="R1699" s="163">
        <v>0</v>
      </c>
      <c r="S1699" s="163">
        <v>0</v>
      </c>
      <c r="T1699" s="163">
        <v>0</v>
      </c>
      <c r="U1699" s="163">
        <v>0</v>
      </c>
      <c r="V1699" s="163">
        <v>0</v>
      </c>
      <c r="W1699" s="163">
        <v>0</v>
      </c>
      <c r="X1699" s="163">
        <v>0</v>
      </c>
      <c r="Y1699" s="163">
        <v>0</v>
      </c>
      <c r="Z1699" s="163">
        <v>0</v>
      </c>
      <c r="AA1699" s="40"/>
      <c r="AB1699" s="40"/>
      <c r="AC1699" s="40"/>
      <c r="AD1699" s="40"/>
      <c r="AE1699" s="40"/>
      <c r="AF1699" s="40"/>
      <c r="AG1699" s="453"/>
      <c r="AH1699" s="453"/>
      <c r="AI1699" s="453"/>
      <c r="AJ1699" s="453"/>
      <c r="AK1699" s="453"/>
      <c r="AL1699" s="453"/>
      <c r="AM1699" s="453"/>
      <c r="AN1699" s="453"/>
      <c r="AO1699" s="453"/>
      <c r="AP1699" s="453"/>
      <c r="AQ1699" s="453"/>
      <c r="AR1699" s="453"/>
      <c r="AS1699" s="453"/>
      <c r="AT1699" s="453"/>
      <c r="AU1699" s="453"/>
      <c r="AV1699" s="315">
        <v>0</v>
      </c>
      <c r="AW1699" s="317"/>
      <c r="AX1699" s="317"/>
      <c r="AY1699" s="313">
        <v>0</v>
      </c>
      <c r="AZ1699" s="40"/>
      <c r="BA1699" s="40"/>
      <c r="BB1699" s="40"/>
      <c r="BC1699" s="40">
        <v>0</v>
      </c>
      <c r="BD1699" s="40">
        <v>0</v>
      </c>
      <c r="BE1699" s="163">
        <v>0</v>
      </c>
      <c r="BF1699" s="163">
        <v>0</v>
      </c>
      <c r="BG1699" s="453">
        <f>SUM(BG1696:BG1698)</f>
        <v>0</v>
      </c>
      <c r="BH1699" s="453">
        <f>SUM(BH1696:BH1698)</f>
        <v>0</v>
      </c>
      <c r="BI1699" s="453">
        <f>SUM(BI1696:BI1698)</f>
        <v>0</v>
      </c>
      <c r="BJ1699" s="453">
        <f>SUM(BJ1696:BJ1698)</f>
        <v>0</v>
      </c>
      <c r="BK1699" s="453">
        <f>SUM(BK1696:BK1698)</f>
        <v>0</v>
      </c>
      <c r="BL1699" s="62">
        <f>BL1698</f>
        <v>1</v>
      </c>
      <c r="BM1699" s="275">
        <f>BM1698</f>
        <v>3</v>
      </c>
      <c r="BN1699" s="62">
        <v>0</v>
      </c>
      <c r="BO1699" s="451">
        <f>BO1698</f>
        <v>0</v>
      </c>
      <c r="BP1699" s="451"/>
    </row>
    <row r="1700" spans="1:68">
      <c r="A1700" s="33" t="str">
        <f>Database_Productkaarten[[#This Row],[Product]]&amp;", "&amp;Database_Productkaarten[[#This Row],[Levensfase]]</f>
        <v>Menggranulaat 200mm, A4</v>
      </c>
      <c r="B1700" s="33" t="s">
        <v>51</v>
      </c>
      <c r="C1700" s="33" t="s">
        <v>48</v>
      </c>
      <c r="D1700" s="33" t="s">
        <v>50</v>
      </c>
      <c r="E1700" s="33" t="s">
        <v>385</v>
      </c>
      <c r="F1700" s="33" t="s">
        <v>78</v>
      </c>
      <c r="G1700" s="33">
        <v>1</v>
      </c>
      <c r="H1700" s="33">
        <v>1</v>
      </c>
      <c r="I1700" s="33">
        <v>0.2</v>
      </c>
      <c r="L1700" s="33">
        <v>1.95</v>
      </c>
      <c r="M1700" s="269">
        <v>0.39</v>
      </c>
      <c r="N1700" s="41">
        <v>0.18662999999999999</v>
      </c>
      <c r="O1700" s="33">
        <v>100</v>
      </c>
      <c r="P1700" s="163">
        <v>3.1599999999999998E-6</v>
      </c>
      <c r="Q1700" s="163">
        <v>1.2500000000000001E-2</v>
      </c>
      <c r="R1700" s="163">
        <v>1.65</v>
      </c>
      <c r="S1700" s="163">
        <v>3.2800000000000003E-7</v>
      </c>
      <c r="T1700" s="163">
        <v>1.0399999999999999E-3</v>
      </c>
      <c r="U1700" s="163">
        <v>6.0099999999999997E-3</v>
      </c>
      <c r="V1700" s="163">
        <v>1.2199999999999999E-3</v>
      </c>
      <c r="W1700" s="163">
        <v>0.57999999999999996</v>
      </c>
      <c r="X1700" s="163">
        <v>3.7400000000000003E-2</v>
      </c>
      <c r="Y1700" s="163">
        <v>97.9</v>
      </c>
      <c r="Z1700" s="163">
        <v>3.4399999999999999E-3</v>
      </c>
      <c r="AA1700" s="40"/>
      <c r="AB1700" s="40"/>
      <c r="AC1700" s="40"/>
      <c r="AD1700" s="40"/>
      <c r="AE1700" s="40"/>
      <c r="AF1700" s="40"/>
      <c r="AG1700" s="40"/>
      <c r="AH1700" s="40"/>
      <c r="AI1700" s="40"/>
      <c r="AJ1700" s="40"/>
      <c r="AK1700" s="40"/>
      <c r="AL1700" s="40"/>
      <c r="AM1700" s="40"/>
      <c r="AN1700" s="40"/>
      <c r="AO1700" s="40"/>
      <c r="AP1700" s="40"/>
      <c r="AQ1700" s="40"/>
      <c r="AR1700" s="40"/>
      <c r="AS1700" s="40"/>
      <c r="AT1700" s="40"/>
      <c r="AU1700" s="40"/>
      <c r="AV1700" s="315">
        <v>0.44500000000000001</v>
      </c>
      <c r="AW1700" s="317"/>
      <c r="AX1700" s="317"/>
      <c r="AY1700" s="313">
        <v>28.5</v>
      </c>
      <c r="AZ1700" s="40"/>
      <c r="BA1700" s="40"/>
      <c r="BB1700" s="40"/>
      <c r="BC1700" s="40">
        <v>5.7800000000000004E-3</v>
      </c>
      <c r="BD1700" s="40">
        <v>2.02E-4</v>
      </c>
      <c r="BE1700" s="163">
        <v>2.35</v>
      </c>
      <c r="BF1700" s="163">
        <v>0</v>
      </c>
      <c r="BG1700" s="40"/>
      <c r="BH1700" s="40"/>
      <c r="BI1700" s="40"/>
      <c r="BJ1700" s="40"/>
      <c r="BK1700" s="40"/>
      <c r="BL1700" s="62">
        <v>1</v>
      </c>
      <c r="BM1700" s="275">
        <v>3</v>
      </c>
      <c r="BN1700" s="62">
        <v>0</v>
      </c>
    </row>
    <row r="1701" spans="1:68">
      <c r="A1701" s="33" t="str">
        <f>Database_Productkaarten[[#This Row],[Product]]&amp;", "&amp;Database_Productkaarten[[#This Row],[Levensfase]]</f>
        <v>Menggranulaat 200mm, A5</v>
      </c>
      <c r="B1701" s="33" t="s">
        <v>51</v>
      </c>
      <c r="C1701" s="33" t="s">
        <v>48</v>
      </c>
      <c r="D1701" s="33" t="s">
        <v>50</v>
      </c>
      <c r="E1701" s="33" t="s">
        <v>385</v>
      </c>
      <c r="F1701" s="33" t="s">
        <v>79</v>
      </c>
      <c r="G1701" s="33">
        <v>1</v>
      </c>
      <c r="H1701" s="33">
        <v>1</v>
      </c>
      <c r="I1701" s="33">
        <v>0.2</v>
      </c>
      <c r="L1701" s="33">
        <v>1.95</v>
      </c>
      <c r="M1701" s="269">
        <v>0.39</v>
      </c>
      <c r="N1701" s="300">
        <v>0.18803</v>
      </c>
      <c r="O1701" s="33">
        <v>100</v>
      </c>
      <c r="P1701" s="163">
        <v>9.5000000000000001E-7</v>
      </c>
      <c r="Q1701" s="163">
        <v>1.3899999999999999E-2</v>
      </c>
      <c r="R1701" s="163">
        <v>2.0299999999999998</v>
      </c>
      <c r="S1701" s="163">
        <v>3.53E-7</v>
      </c>
      <c r="T1701" s="163">
        <v>6.6799999999999997E-4</v>
      </c>
      <c r="U1701" s="163">
        <v>5.9500000000000004E-3</v>
      </c>
      <c r="V1701" s="163">
        <v>1.14E-3</v>
      </c>
      <c r="W1701" s="163">
        <v>0.502</v>
      </c>
      <c r="X1701" s="163">
        <v>9.9500000000000005E-3</v>
      </c>
      <c r="Y1701" s="163">
        <v>33.299999999999997</v>
      </c>
      <c r="Z1701" s="163">
        <v>1.7899999999999999E-3</v>
      </c>
      <c r="AA1701" s="40"/>
      <c r="AB1701" s="40"/>
      <c r="AC1701" s="40"/>
      <c r="AD1701" s="40"/>
      <c r="AE1701" s="40"/>
      <c r="AF1701" s="40"/>
      <c r="AG1701" s="40"/>
      <c r="AH1701" s="40"/>
      <c r="AI1701" s="40"/>
      <c r="AJ1701" s="40"/>
      <c r="AK1701" s="40"/>
      <c r="AL1701" s="40"/>
      <c r="AM1701" s="40"/>
      <c r="AN1701" s="40"/>
      <c r="AO1701" s="40"/>
      <c r="AP1701" s="40"/>
      <c r="AQ1701" s="40"/>
      <c r="AR1701" s="40"/>
      <c r="AS1701" s="40"/>
      <c r="AT1701" s="40"/>
      <c r="AU1701" s="40"/>
      <c r="AV1701" s="315">
        <v>0.22600000000000001</v>
      </c>
      <c r="AW1701" s="317"/>
      <c r="AX1701" s="317"/>
      <c r="AY1701" s="313">
        <v>30.9</v>
      </c>
      <c r="AZ1701" s="40"/>
      <c r="BA1701" s="40"/>
      <c r="BB1701" s="40"/>
      <c r="BC1701" s="40">
        <v>2.9199999999999999E-3</v>
      </c>
      <c r="BD1701" s="40">
        <v>2.14E-4</v>
      </c>
      <c r="BE1701" s="163">
        <v>5.1900000000000002E-2</v>
      </c>
      <c r="BF1701" s="163">
        <v>0</v>
      </c>
      <c r="BG1701" s="40"/>
      <c r="BH1701" s="40"/>
      <c r="BI1701" s="40"/>
      <c r="BJ1701" s="40"/>
      <c r="BK1701" s="40"/>
      <c r="BL1701" s="62">
        <v>1</v>
      </c>
      <c r="BM1701" s="275">
        <v>3</v>
      </c>
      <c r="BN1701" s="62">
        <v>0</v>
      </c>
    </row>
    <row r="1702" spans="1:68">
      <c r="A1702" s="33" t="str">
        <f>Database_Productkaarten[[#This Row],[Product]]&amp;", "&amp;Database_Productkaarten[[#This Row],[Levensfase]]</f>
        <v>Menggranulaat 200mm, B1</v>
      </c>
      <c r="B1702" s="33" t="s">
        <v>51</v>
      </c>
      <c r="C1702" s="33" t="s">
        <v>48</v>
      </c>
      <c r="D1702" s="33" t="s">
        <v>50</v>
      </c>
      <c r="E1702" s="33" t="s">
        <v>385</v>
      </c>
      <c r="F1702" s="33" t="s">
        <v>80</v>
      </c>
      <c r="G1702" s="33">
        <v>1</v>
      </c>
      <c r="H1702" s="33">
        <v>1</v>
      </c>
      <c r="I1702" s="33">
        <v>0.2</v>
      </c>
      <c r="L1702" s="33">
        <v>1.95</v>
      </c>
      <c r="M1702" s="269">
        <v>0.39</v>
      </c>
      <c r="N1702" s="41">
        <v>2.7490000000000001E-2</v>
      </c>
      <c r="O1702" s="33">
        <v>100</v>
      </c>
      <c r="P1702" s="163">
        <v>0</v>
      </c>
      <c r="Q1702" s="163">
        <v>0</v>
      </c>
      <c r="R1702" s="163">
        <v>0</v>
      </c>
      <c r="S1702" s="163">
        <v>0</v>
      </c>
      <c r="T1702" s="163">
        <v>0</v>
      </c>
      <c r="U1702" s="163">
        <v>0</v>
      </c>
      <c r="V1702" s="163">
        <v>0</v>
      </c>
      <c r="W1702" s="163">
        <v>0.11600000000000001</v>
      </c>
      <c r="X1702" s="163">
        <v>5.0500000000000003E-2</v>
      </c>
      <c r="Y1702" s="163">
        <v>111</v>
      </c>
      <c r="Z1702" s="163">
        <v>7.4399999999999994E-2</v>
      </c>
      <c r="AA1702" s="40"/>
      <c r="AB1702" s="40"/>
      <c r="AC1702" s="40"/>
      <c r="AD1702" s="40"/>
      <c r="AE1702" s="40"/>
      <c r="AF1702" s="40"/>
      <c r="AG1702" s="40"/>
      <c r="AH1702" s="40"/>
      <c r="AI1702" s="40"/>
      <c r="AJ1702" s="40"/>
      <c r="AK1702" s="40"/>
      <c r="AL1702" s="40"/>
      <c r="AM1702" s="40"/>
      <c r="AN1702" s="40"/>
      <c r="AO1702" s="40"/>
      <c r="AP1702" s="40"/>
      <c r="AQ1702" s="40"/>
      <c r="AR1702" s="40"/>
      <c r="AS1702" s="40"/>
      <c r="AT1702" s="40"/>
      <c r="AU1702" s="40"/>
      <c r="AV1702" s="315">
        <v>0</v>
      </c>
      <c r="AW1702" s="317"/>
      <c r="AX1702" s="317"/>
      <c r="AY1702" s="313">
        <v>0</v>
      </c>
      <c r="AZ1702" s="40"/>
      <c r="BA1702" s="40"/>
      <c r="BB1702" s="40"/>
      <c r="BC1702" s="40">
        <v>0</v>
      </c>
      <c r="BD1702" s="40">
        <v>0</v>
      </c>
      <c r="BE1702" s="163">
        <v>0</v>
      </c>
      <c r="BF1702" s="163">
        <v>0</v>
      </c>
      <c r="BG1702" s="40"/>
      <c r="BH1702" s="40"/>
      <c r="BI1702" s="40"/>
      <c r="BJ1702" s="40"/>
      <c r="BK1702" s="40"/>
      <c r="BL1702" s="62">
        <v>1</v>
      </c>
      <c r="BM1702" s="275">
        <v>3</v>
      </c>
      <c r="BN1702" s="62">
        <v>0</v>
      </c>
    </row>
    <row r="1703" spans="1:68">
      <c r="A1703" s="33" t="str">
        <f>Database_Productkaarten[[#This Row],[Product]]&amp;", "&amp;Database_Productkaarten[[#This Row],[Levensfase]]</f>
        <v>Menggranulaat 200mm, C1</v>
      </c>
      <c r="B1703" s="33" t="s">
        <v>51</v>
      </c>
      <c r="C1703" s="33" t="s">
        <v>48</v>
      </c>
      <c r="D1703" s="33" t="s">
        <v>50</v>
      </c>
      <c r="E1703" s="33" t="s">
        <v>385</v>
      </c>
      <c r="F1703" s="33" t="s">
        <v>83</v>
      </c>
      <c r="G1703" s="33">
        <v>1</v>
      </c>
      <c r="H1703" s="33">
        <v>1</v>
      </c>
      <c r="I1703" s="33">
        <v>0.2</v>
      </c>
      <c r="L1703" s="33">
        <v>1.95</v>
      </c>
      <c r="M1703" s="269">
        <v>0.39</v>
      </c>
      <c r="N1703" s="41">
        <v>6.2149999999999997E-2</v>
      </c>
      <c r="O1703" s="33">
        <v>100</v>
      </c>
      <c r="P1703" s="163">
        <v>3.1399999999999998E-7</v>
      </c>
      <c r="Q1703" s="163">
        <v>4.5799999999999999E-3</v>
      </c>
      <c r="R1703" s="163">
        <v>0.67100000000000004</v>
      </c>
      <c r="S1703" s="163">
        <v>1.17E-7</v>
      </c>
      <c r="T1703" s="163">
        <v>2.2100000000000001E-4</v>
      </c>
      <c r="U1703" s="163">
        <v>1.97E-3</v>
      </c>
      <c r="V1703" s="163">
        <v>3.7599999999999998E-4</v>
      </c>
      <c r="W1703" s="163">
        <v>0.16600000000000001</v>
      </c>
      <c r="X1703" s="163">
        <v>3.29E-3</v>
      </c>
      <c r="Y1703" s="163">
        <v>11</v>
      </c>
      <c r="Z1703" s="163">
        <v>5.9100000000000005E-4</v>
      </c>
      <c r="AA1703" s="40"/>
      <c r="AB1703" s="40"/>
      <c r="AC1703" s="40"/>
      <c r="AD1703" s="40"/>
      <c r="AE1703" s="40"/>
      <c r="AF1703" s="40"/>
      <c r="AG1703" s="40"/>
      <c r="AH1703" s="40"/>
      <c r="AI1703" s="40"/>
      <c r="AJ1703" s="40"/>
      <c r="AK1703" s="40"/>
      <c r="AL1703" s="40"/>
      <c r="AM1703" s="40"/>
      <c r="AN1703" s="40"/>
      <c r="AO1703" s="40"/>
      <c r="AP1703" s="40"/>
      <c r="AQ1703" s="40"/>
      <c r="AR1703" s="40"/>
      <c r="AS1703" s="40"/>
      <c r="AT1703" s="40"/>
      <c r="AU1703" s="40"/>
      <c r="AV1703" s="315">
        <v>7.46E-2</v>
      </c>
      <c r="AW1703" s="317"/>
      <c r="AX1703" s="317"/>
      <c r="AY1703" s="313">
        <v>10.199999999999999</v>
      </c>
      <c r="AZ1703" s="40"/>
      <c r="BA1703" s="40"/>
      <c r="BB1703" s="40"/>
      <c r="BC1703" s="40">
        <v>9.6599999999999995E-4</v>
      </c>
      <c r="BD1703" s="40">
        <v>7.0599999999999995E-5</v>
      </c>
      <c r="BE1703" s="163">
        <v>1.72E-2</v>
      </c>
      <c r="BF1703" s="163">
        <v>0</v>
      </c>
      <c r="BG1703" s="40"/>
      <c r="BH1703" s="40"/>
      <c r="BI1703" s="40"/>
      <c r="BJ1703" s="40"/>
      <c r="BK1703" s="40"/>
      <c r="BL1703" s="62">
        <v>1</v>
      </c>
      <c r="BM1703" s="275">
        <v>3</v>
      </c>
      <c r="BN1703" s="62">
        <v>0</v>
      </c>
    </row>
    <row r="1704" spans="1:68">
      <c r="A1704" s="33" t="str">
        <f>Database_Productkaarten[[#This Row],[Product]]&amp;", "&amp;Database_Productkaarten[[#This Row],[Levensfase]]</f>
        <v>Menggranulaat 200mm, C2</v>
      </c>
      <c r="B1704" s="33" t="s">
        <v>51</v>
      </c>
      <c r="C1704" s="33" t="s">
        <v>48</v>
      </c>
      <c r="D1704" s="33" t="s">
        <v>50</v>
      </c>
      <c r="E1704" s="33" t="s">
        <v>385</v>
      </c>
      <c r="F1704" s="33" t="s">
        <v>84</v>
      </c>
      <c r="G1704" s="33">
        <v>1</v>
      </c>
      <c r="H1704" s="33">
        <v>1</v>
      </c>
      <c r="I1704" s="33">
        <v>0.2</v>
      </c>
      <c r="L1704" s="33">
        <v>1.95</v>
      </c>
      <c r="M1704" s="269">
        <v>0.39</v>
      </c>
      <c r="N1704" s="41">
        <v>3.7699999999999999E-3</v>
      </c>
      <c r="O1704" s="33">
        <v>100</v>
      </c>
      <c r="P1704" s="163">
        <v>3.19E-6</v>
      </c>
      <c r="Q1704" s="163">
        <v>1.26E-2</v>
      </c>
      <c r="R1704" s="163">
        <v>1.66</v>
      </c>
      <c r="S1704" s="163">
        <v>3.3099999999999999E-7</v>
      </c>
      <c r="T1704" s="163">
        <v>1.0499999999999999E-3</v>
      </c>
      <c r="U1704" s="163">
        <v>6.0699999999999999E-3</v>
      </c>
      <c r="V1704" s="163">
        <v>1.24E-3</v>
      </c>
      <c r="W1704" s="163">
        <v>0.58599999999999997</v>
      </c>
      <c r="X1704" s="163">
        <v>3.78E-2</v>
      </c>
      <c r="Y1704" s="163">
        <v>98.9</v>
      </c>
      <c r="Z1704" s="163">
        <v>3.47E-3</v>
      </c>
      <c r="AA1704" s="40"/>
      <c r="AB1704" s="40"/>
      <c r="AC1704" s="40"/>
      <c r="AD1704" s="40"/>
      <c r="AE1704" s="40"/>
      <c r="AF1704" s="40"/>
      <c r="AG1704" s="40"/>
      <c r="AH1704" s="40"/>
      <c r="AI1704" s="40"/>
      <c r="AJ1704" s="40"/>
      <c r="AK1704" s="40"/>
      <c r="AL1704" s="40"/>
      <c r="AM1704" s="40"/>
      <c r="AN1704" s="40"/>
      <c r="AO1704" s="40"/>
      <c r="AP1704" s="40"/>
      <c r="AQ1704" s="40"/>
      <c r="AR1704" s="40"/>
      <c r="AS1704" s="40"/>
      <c r="AT1704" s="40"/>
      <c r="AU1704" s="40"/>
      <c r="AV1704" s="315">
        <v>0.45</v>
      </c>
      <c r="AW1704" s="317"/>
      <c r="AX1704" s="317"/>
      <c r="AY1704" s="313">
        <v>28.8</v>
      </c>
      <c r="AZ1704" s="40"/>
      <c r="BA1704" s="40"/>
      <c r="BB1704" s="40"/>
      <c r="BC1704" s="40">
        <v>5.8399999999999997E-3</v>
      </c>
      <c r="BD1704" s="40">
        <v>2.04E-4</v>
      </c>
      <c r="BE1704" s="163">
        <v>2.38</v>
      </c>
      <c r="BF1704" s="163">
        <v>0</v>
      </c>
      <c r="BG1704" s="40"/>
      <c r="BH1704" s="40"/>
      <c r="BI1704" s="40"/>
      <c r="BJ1704" s="40"/>
      <c r="BK1704" s="40"/>
      <c r="BL1704" s="62">
        <v>1</v>
      </c>
      <c r="BM1704" s="275">
        <v>3</v>
      </c>
      <c r="BN1704" s="62">
        <v>0</v>
      </c>
    </row>
    <row r="1705" spans="1:68">
      <c r="A1705" s="33" t="str">
        <f>Database_Productkaarten[[#This Row],[Product]]&amp;", "&amp;Database_Productkaarten[[#This Row],[Levensfase]]</f>
        <v>Menggranulaat 200mm, C3</v>
      </c>
      <c r="B1705" s="33" t="s">
        <v>51</v>
      </c>
      <c r="C1705" s="33" t="s">
        <v>48</v>
      </c>
      <c r="D1705" s="33" t="s">
        <v>50</v>
      </c>
      <c r="E1705" s="33" t="s">
        <v>385</v>
      </c>
      <c r="F1705" s="33" t="s">
        <v>85</v>
      </c>
      <c r="G1705" s="33">
        <v>1</v>
      </c>
      <c r="H1705" s="33">
        <v>1</v>
      </c>
      <c r="I1705" s="33">
        <v>0.2</v>
      </c>
      <c r="L1705" s="33">
        <v>1.95</v>
      </c>
      <c r="M1705" s="269">
        <v>0.39</v>
      </c>
      <c r="N1705" s="41"/>
      <c r="O1705" s="33">
        <v>100</v>
      </c>
      <c r="P1705" s="163">
        <v>0</v>
      </c>
      <c r="Q1705" s="163">
        <v>0</v>
      </c>
      <c r="R1705" s="163">
        <v>0</v>
      </c>
      <c r="S1705" s="163">
        <v>0</v>
      </c>
      <c r="T1705" s="163">
        <v>0</v>
      </c>
      <c r="U1705" s="163">
        <v>0</v>
      </c>
      <c r="V1705" s="163">
        <v>0</v>
      </c>
      <c r="W1705" s="163">
        <v>0</v>
      </c>
      <c r="X1705" s="163">
        <v>0</v>
      </c>
      <c r="Y1705" s="163">
        <v>0</v>
      </c>
      <c r="Z1705" s="163">
        <v>0</v>
      </c>
      <c r="AA1705" s="40"/>
      <c r="AB1705" s="40"/>
      <c r="AC1705" s="40"/>
      <c r="AD1705" s="40"/>
      <c r="AE1705" s="40"/>
      <c r="AF1705" s="40"/>
      <c r="AG1705" s="40"/>
      <c r="AH1705" s="40"/>
      <c r="AI1705" s="40"/>
      <c r="AJ1705" s="40"/>
      <c r="AK1705" s="40"/>
      <c r="AL1705" s="40"/>
      <c r="AM1705" s="40"/>
      <c r="AN1705" s="40"/>
      <c r="AO1705" s="40"/>
      <c r="AP1705" s="40"/>
      <c r="AQ1705" s="40"/>
      <c r="AR1705" s="40"/>
      <c r="AS1705" s="40"/>
      <c r="AT1705" s="40"/>
      <c r="AU1705" s="40"/>
      <c r="AV1705" s="315">
        <v>0</v>
      </c>
      <c r="AW1705" s="317"/>
      <c r="AX1705" s="317"/>
      <c r="AY1705" s="313">
        <v>0</v>
      </c>
      <c r="AZ1705" s="40"/>
      <c r="BA1705" s="40"/>
      <c r="BB1705" s="40"/>
      <c r="BC1705" s="40">
        <v>0</v>
      </c>
      <c r="BD1705" s="40">
        <v>0</v>
      </c>
      <c r="BE1705" s="163">
        <v>0</v>
      </c>
      <c r="BF1705" s="163">
        <v>0</v>
      </c>
      <c r="BG1705" s="40"/>
      <c r="BH1705" s="40"/>
      <c r="BI1705" s="40"/>
      <c r="BJ1705" s="40"/>
      <c r="BK1705" s="40"/>
      <c r="BL1705" s="62">
        <v>1</v>
      </c>
      <c r="BM1705" s="275">
        <v>3</v>
      </c>
      <c r="BN1705" s="62">
        <v>0</v>
      </c>
    </row>
    <row r="1706" spans="1:68">
      <c r="A1706" s="33" t="str">
        <f>Database_Productkaarten[[#This Row],[Product]]&amp;", "&amp;Database_Productkaarten[[#This Row],[Levensfase]]</f>
        <v>Menggranulaat 200mm, C4</v>
      </c>
      <c r="B1706" s="33" t="s">
        <v>51</v>
      </c>
      <c r="C1706" s="33" t="s">
        <v>48</v>
      </c>
      <c r="D1706" s="33" t="s">
        <v>50</v>
      </c>
      <c r="E1706" s="33" t="s">
        <v>385</v>
      </c>
      <c r="F1706" s="33" t="s">
        <v>86</v>
      </c>
      <c r="G1706" s="33">
        <v>1</v>
      </c>
      <c r="H1706" s="33">
        <v>1</v>
      </c>
      <c r="I1706" s="33">
        <v>0.2</v>
      </c>
      <c r="L1706" s="33">
        <v>1.95</v>
      </c>
      <c r="M1706" s="269">
        <v>0.39</v>
      </c>
      <c r="N1706" s="41">
        <v>2.8999999999999998E-3</v>
      </c>
      <c r="O1706" s="33">
        <v>100</v>
      </c>
      <c r="P1706" s="163">
        <v>2.3199999999999999E-8</v>
      </c>
      <c r="Q1706" s="163">
        <v>3.01E-4</v>
      </c>
      <c r="R1706" s="163">
        <v>2.06E-2</v>
      </c>
      <c r="S1706" s="163">
        <v>7.4300000000000002E-9</v>
      </c>
      <c r="T1706" s="163">
        <v>2.2399999999999999E-5</v>
      </c>
      <c r="U1706" s="163">
        <v>1.55E-4</v>
      </c>
      <c r="V1706" s="163">
        <v>2.94E-5</v>
      </c>
      <c r="W1706" s="163">
        <v>8.9599999999999992E-3</v>
      </c>
      <c r="X1706" s="163">
        <v>2.1699999999999999E-4</v>
      </c>
      <c r="Y1706" s="163">
        <v>0.76</v>
      </c>
      <c r="Z1706" s="163">
        <v>2.2399999999999999E-5</v>
      </c>
      <c r="AA1706" s="40"/>
      <c r="AB1706" s="40"/>
      <c r="AC1706" s="40"/>
      <c r="AD1706" s="40"/>
      <c r="AE1706" s="40"/>
      <c r="AF1706" s="40"/>
      <c r="AG1706" s="40"/>
      <c r="AH1706" s="40"/>
      <c r="AI1706" s="40"/>
      <c r="AJ1706" s="40"/>
      <c r="AK1706" s="40"/>
      <c r="AL1706" s="40"/>
      <c r="AM1706" s="40"/>
      <c r="AN1706" s="40"/>
      <c r="AO1706" s="40"/>
      <c r="AP1706" s="40"/>
      <c r="AQ1706" s="40"/>
      <c r="AR1706" s="40"/>
      <c r="AS1706" s="40"/>
      <c r="AT1706" s="40"/>
      <c r="AU1706" s="40"/>
      <c r="AV1706" s="315">
        <v>5.1799999999999997E-3</v>
      </c>
      <c r="AW1706" s="317"/>
      <c r="AX1706" s="317"/>
      <c r="AY1706" s="313">
        <v>0.67200000000000004</v>
      </c>
      <c r="AZ1706" s="40"/>
      <c r="BA1706" s="40"/>
      <c r="BB1706" s="40"/>
      <c r="BC1706" s="40">
        <v>6.6100000000000002E-4</v>
      </c>
      <c r="BD1706" s="40">
        <v>4.2300000000000002E-7</v>
      </c>
      <c r="BE1706" s="163">
        <v>3.9</v>
      </c>
      <c r="BF1706" s="163">
        <v>4.1899999999999997E-6</v>
      </c>
      <c r="BG1706" s="40"/>
      <c r="BH1706" s="40"/>
      <c r="BI1706" s="40"/>
      <c r="BJ1706" s="40"/>
      <c r="BK1706" s="40"/>
      <c r="BL1706" s="62">
        <v>1</v>
      </c>
      <c r="BM1706" s="275">
        <v>3</v>
      </c>
      <c r="BN1706" s="62">
        <v>0</v>
      </c>
    </row>
    <row r="1707" spans="1:68">
      <c r="A1707" s="33" t="str">
        <f>Database_Productkaarten[[#This Row],[Product]]&amp;", "&amp;Database_Productkaarten[[#This Row],[Levensfase]]</f>
        <v>Menggranulaat 200mm, D</v>
      </c>
      <c r="B1707" s="33" t="s">
        <v>51</v>
      </c>
      <c r="C1707" s="33" t="str">
        <f>C1708</f>
        <v>Funderingslagen</v>
      </c>
      <c r="D1707" s="33" t="str">
        <f>D1708</f>
        <v>Menggranulaat</v>
      </c>
      <c r="E1707" s="33" t="s">
        <v>385</v>
      </c>
      <c r="F1707" s="33" t="s">
        <v>89</v>
      </c>
      <c r="G1707" s="33">
        <v>1</v>
      </c>
      <c r="H1707" s="33">
        <v>1</v>
      </c>
      <c r="I1707" s="33">
        <v>0.2</v>
      </c>
      <c r="L1707" s="33">
        <v>1.95</v>
      </c>
      <c r="M1707" s="269">
        <v>0.39</v>
      </c>
      <c r="N1707" s="41">
        <v>5.8599999999999998E-3</v>
      </c>
      <c r="O1707" s="33">
        <v>100</v>
      </c>
      <c r="P1707" s="163">
        <v>9.0800000000000006E-8</v>
      </c>
      <c r="Q1707" s="163">
        <v>1.12E-4</v>
      </c>
      <c r="R1707" s="163">
        <v>1.6400000000000001E-2</v>
      </c>
      <c r="S1707" s="163">
        <v>1.4700000000000001E-9</v>
      </c>
      <c r="T1707" s="163">
        <v>1.19E-5</v>
      </c>
      <c r="U1707" s="163">
        <v>9.3800000000000003E-5</v>
      </c>
      <c r="V1707" s="163">
        <v>1.63E-5</v>
      </c>
      <c r="W1707" s="163">
        <v>7.3200000000000001E-3</v>
      </c>
      <c r="X1707" s="163">
        <v>1.05E-4</v>
      </c>
      <c r="Y1707" s="163">
        <v>0.45700000000000002</v>
      </c>
      <c r="Z1707" s="163">
        <v>3.82E-5</v>
      </c>
      <c r="AA1707" s="40"/>
      <c r="AB1707" s="40"/>
      <c r="AC1707" s="40"/>
      <c r="AD1707" s="40"/>
      <c r="AE1707" s="40"/>
      <c r="AF1707" s="40"/>
      <c r="AG1707" s="40"/>
      <c r="AH1707" s="40"/>
      <c r="AI1707" s="40"/>
      <c r="AJ1707" s="40"/>
      <c r="AK1707" s="40"/>
      <c r="AL1707" s="40"/>
      <c r="AM1707" s="40"/>
      <c r="AN1707" s="40"/>
      <c r="AO1707" s="40"/>
      <c r="AP1707" s="40"/>
      <c r="AQ1707" s="40"/>
      <c r="AR1707" s="40"/>
      <c r="AS1707" s="40"/>
      <c r="AT1707" s="40"/>
      <c r="AU1707" s="40"/>
      <c r="AV1707" s="315">
        <v>1.38E-2</v>
      </c>
      <c r="AW1707" s="317"/>
      <c r="AX1707" s="317"/>
      <c r="AY1707" s="313">
        <v>0.22600000000000001</v>
      </c>
      <c r="AZ1707" s="40"/>
      <c r="BA1707" s="40"/>
      <c r="BB1707" s="40"/>
      <c r="BC1707" s="40">
        <v>5.5100000000000001E-3</v>
      </c>
      <c r="BD1707" s="40">
        <v>3.0199999999999998E-7</v>
      </c>
      <c r="BE1707" s="163">
        <v>2.14E-3</v>
      </c>
      <c r="BF1707" s="163">
        <v>9.5300000000000002E-7</v>
      </c>
      <c r="BG1707" s="40">
        <f>SUM(BG1708:BG1709)</f>
        <v>0</v>
      </c>
      <c r="BH1707" s="40">
        <f>SUM(BH1708:BH1709)</f>
        <v>0</v>
      </c>
      <c r="BI1707" s="40">
        <f>SUM(BI1708:BI1709)</f>
        <v>0</v>
      </c>
      <c r="BJ1707" s="40">
        <f>SUM(BJ1708:BJ1709)</f>
        <v>0</v>
      </c>
      <c r="BK1707" s="40">
        <f>SUM(BK1708:BK1709)</f>
        <v>0</v>
      </c>
      <c r="BL1707" s="62">
        <f>BL1708</f>
        <v>1</v>
      </c>
      <c r="BM1707" s="275">
        <f>BM1708</f>
        <v>3</v>
      </c>
      <c r="BN1707" s="62">
        <v>0</v>
      </c>
      <c r="BO1707" s="33">
        <f>BO1708</f>
        <v>0</v>
      </c>
    </row>
    <row r="1708" spans="1:68">
      <c r="A1708" s="33" t="str">
        <f>Database_Productkaarten[[#This Row],[Product]]&amp;", "&amp;Database_Productkaarten[[#This Row],[Levensfase]]</f>
        <v>Menggranulaat 200mm, D1</v>
      </c>
      <c r="B1708" s="33" t="s">
        <v>51</v>
      </c>
      <c r="C1708" s="33" t="s">
        <v>48</v>
      </c>
      <c r="D1708" s="33" t="s">
        <v>50</v>
      </c>
      <c r="E1708" s="33" t="s">
        <v>385</v>
      </c>
      <c r="F1708" s="33" t="s">
        <v>87</v>
      </c>
      <c r="G1708" s="33">
        <v>1</v>
      </c>
      <c r="H1708" s="33">
        <v>1</v>
      </c>
      <c r="I1708" s="33">
        <v>0.2</v>
      </c>
      <c r="L1708" s="33">
        <v>1.95</v>
      </c>
      <c r="M1708" s="269">
        <v>0.39</v>
      </c>
      <c r="N1708" s="41"/>
      <c r="O1708" s="33">
        <v>100</v>
      </c>
      <c r="P1708" s="40"/>
      <c r="Q1708" s="40"/>
      <c r="R1708" s="40"/>
      <c r="S1708" s="40"/>
      <c r="T1708" s="40"/>
      <c r="U1708" s="40"/>
      <c r="V1708" s="40"/>
      <c r="W1708" s="40"/>
      <c r="X1708" s="40"/>
      <c r="Y1708" s="40"/>
      <c r="Z1708" s="40"/>
      <c r="AA1708" s="40"/>
      <c r="AB1708" s="40"/>
      <c r="AC1708" s="40"/>
      <c r="AD1708" s="40"/>
      <c r="AE1708" s="40"/>
      <c r="AF1708" s="40"/>
      <c r="AG1708" s="40"/>
      <c r="AH1708" s="40"/>
      <c r="AI1708" s="40"/>
      <c r="AJ1708" s="40"/>
      <c r="AK1708" s="40"/>
      <c r="AL1708" s="40"/>
      <c r="AM1708" s="40"/>
      <c r="AN1708" s="40"/>
      <c r="AO1708" s="40"/>
      <c r="AP1708" s="40"/>
      <c r="AQ1708" s="40"/>
      <c r="AR1708" s="40"/>
      <c r="AS1708" s="40"/>
      <c r="AT1708" s="40"/>
      <c r="AU1708" s="40"/>
      <c r="AV1708" s="313"/>
      <c r="AW1708" s="317"/>
      <c r="AX1708" s="317"/>
      <c r="AY1708" s="313"/>
      <c r="AZ1708" s="40"/>
      <c r="BA1708" s="40"/>
      <c r="BB1708" s="40"/>
      <c r="BC1708" s="40"/>
      <c r="BD1708" s="40"/>
      <c r="BE1708" s="40"/>
      <c r="BF1708" s="40"/>
      <c r="BG1708" s="40"/>
      <c r="BH1708" s="40"/>
      <c r="BI1708" s="40"/>
      <c r="BJ1708" s="40"/>
      <c r="BK1708" s="40"/>
      <c r="BL1708" s="62">
        <v>1</v>
      </c>
      <c r="BM1708" s="275">
        <v>3</v>
      </c>
      <c r="BN1708" s="62">
        <v>0</v>
      </c>
    </row>
    <row r="1709" spans="1:68">
      <c r="A1709" s="33" t="str">
        <f>Database_Productkaarten[[#This Row],[Product]]&amp;", "&amp;Database_Productkaarten[[#This Row],[Levensfase]]</f>
        <v>Menggranulaat 200mm, D2</v>
      </c>
      <c r="B1709" s="33" t="s">
        <v>51</v>
      </c>
      <c r="C1709" s="33" t="s">
        <v>48</v>
      </c>
      <c r="D1709" s="33" t="s">
        <v>50</v>
      </c>
      <c r="E1709" s="33" t="s">
        <v>385</v>
      </c>
      <c r="F1709" s="33" t="s">
        <v>88</v>
      </c>
      <c r="G1709" s="33">
        <v>1</v>
      </c>
      <c r="H1709" s="33">
        <v>1</v>
      </c>
      <c r="I1709" s="33">
        <v>0.2</v>
      </c>
      <c r="L1709" s="33">
        <v>1.95</v>
      </c>
      <c r="M1709" s="269">
        <v>0.39</v>
      </c>
      <c r="N1709" s="41">
        <v>0</v>
      </c>
      <c r="O1709" s="33">
        <v>100</v>
      </c>
      <c r="P1709" s="40"/>
      <c r="Q1709" s="40"/>
      <c r="R1709" s="40"/>
      <c r="S1709" s="40"/>
      <c r="T1709" s="40"/>
      <c r="U1709" s="40"/>
      <c r="V1709" s="40"/>
      <c r="W1709" s="40"/>
      <c r="X1709" s="40"/>
      <c r="Y1709" s="40"/>
      <c r="Z1709" s="40"/>
      <c r="AA1709" s="40"/>
      <c r="AB1709" s="40"/>
      <c r="AC1709" s="40"/>
      <c r="AD1709" s="40"/>
      <c r="AE1709" s="40"/>
      <c r="AF1709" s="40"/>
      <c r="AG1709" s="40"/>
      <c r="AH1709" s="40"/>
      <c r="AI1709" s="40"/>
      <c r="AJ1709" s="40"/>
      <c r="AK1709" s="40"/>
      <c r="AL1709" s="40"/>
      <c r="AM1709" s="40"/>
      <c r="AN1709" s="40"/>
      <c r="AO1709" s="40"/>
      <c r="AP1709" s="40"/>
      <c r="AQ1709" s="40"/>
      <c r="AR1709" s="40"/>
      <c r="AS1709" s="40"/>
      <c r="AT1709" s="40"/>
      <c r="AU1709" s="40"/>
      <c r="AV1709" s="313"/>
      <c r="AW1709" s="317"/>
      <c r="AX1709" s="317"/>
      <c r="AY1709" s="313"/>
      <c r="AZ1709" s="40"/>
      <c r="BA1709" s="40"/>
      <c r="BB1709" s="40"/>
      <c r="BC1709" s="40"/>
      <c r="BD1709" s="40"/>
      <c r="BE1709" s="40"/>
      <c r="BF1709" s="40"/>
      <c r="BG1709" s="40"/>
      <c r="BH1709" s="40"/>
      <c r="BI1709" s="40"/>
      <c r="BJ1709" s="40"/>
      <c r="BK1709" s="40"/>
      <c r="BL1709" s="62">
        <v>1</v>
      </c>
      <c r="BM1709" s="275">
        <v>3</v>
      </c>
      <c r="BN1709" s="62">
        <v>0</v>
      </c>
    </row>
    <row r="1710" spans="1:68">
      <c r="A1710" s="33" t="str">
        <f>Database_Productkaarten[[#This Row],[Product]]&amp;", "&amp;Database_Productkaarten[[#This Row],[Levensfase]]</f>
        <v>Menggranulaat 250mm, Totaal</v>
      </c>
      <c r="B1710" s="33" t="s">
        <v>260</v>
      </c>
      <c r="C1710" s="33" t="s">
        <v>48</v>
      </c>
      <c r="D1710" s="33" t="s">
        <v>50</v>
      </c>
      <c r="E1710" s="33" t="s">
        <v>385</v>
      </c>
      <c r="F1710" s="33" t="s">
        <v>90</v>
      </c>
      <c r="G1710" s="33">
        <v>1</v>
      </c>
      <c r="H1710" s="33">
        <v>1</v>
      </c>
      <c r="I1710" s="33">
        <v>0.25</v>
      </c>
      <c r="L1710" s="33">
        <v>1.95</v>
      </c>
      <c r="M1710" s="271">
        <v>0.48749999999999999</v>
      </c>
      <c r="N1710" s="41">
        <v>0.76441000000000003</v>
      </c>
      <c r="O1710" s="33">
        <v>100</v>
      </c>
      <c r="P1710" s="163">
        <v>9.3500000000000003E-6</v>
      </c>
      <c r="Q1710" s="163">
        <v>5.0299999999999997E-2</v>
      </c>
      <c r="R1710" s="163">
        <v>6.89</v>
      </c>
      <c r="S1710" s="163">
        <v>1.3E-6</v>
      </c>
      <c r="T1710" s="163">
        <v>3.5400000000000002E-3</v>
      </c>
      <c r="U1710" s="163">
        <v>2.3300000000000001E-2</v>
      </c>
      <c r="V1710" s="163">
        <v>4.6499999999999996E-3</v>
      </c>
      <c r="W1710" s="163">
        <v>2.29</v>
      </c>
      <c r="X1710" s="163">
        <v>0.17100000000000001</v>
      </c>
      <c r="Y1710" s="163">
        <v>431</v>
      </c>
      <c r="Z1710" s="163">
        <v>0.104</v>
      </c>
      <c r="AA1710" s="40"/>
      <c r="AB1710" s="40"/>
      <c r="AC1710" s="40"/>
      <c r="AD1710" s="40"/>
      <c r="AE1710" s="40"/>
      <c r="AF1710" s="40"/>
      <c r="AG1710" s="40"/>
      <c r="AH1710" s="40"/>
      <c r="AI1710" s="40"/>
      <c r="AJ1710" s="40"/>
      <c r="AK1710" s="40"/>
      <c r="AL1710" s="40"/>
      <c r="AM1710" s="40"/>
      <c r="AN1710" s="40"/>
      <c r="AO1710" s="40"/>
      <c r="AP1710" s="40"/>
      <c r="AQ1710" s="40"/>
      <c r="AR1710" s="40"/>
      <c r="AS1710" s="40"/>
      <c r="AT1710" s="40"/>
      <c r="AU1710" s="40"/>
      <c r="AV1710" s="315">
        <v>1.44</v>
      </c>
      <c r="AW1710" s="317"/>
      <c r="AX1710" s="317"/>
      <c r="AY1710" s="313">
        <v>114</v>
      </c>
      <c r="AZ1710" s="40"/>
      <c r="BA1710" s="40"/>
      <c r="BB1710" s="40"/>
      <c r="BC1710" s="40">
        <v>2.6100000000000002E-2</v>
      </c>
      <c r="BD1710" s="40">
        <v>7.9199999999999995E-4</v>
      </c>
      <c r="BE1710" s="163">
        <v>10.9</v>
      </c>
      <c r="BF1710" s="163">
        <v>6.4300000000000003E-6</v>
      </c>
      <c r="BG1710" s="40"/>
      <c r="BH1710" s="40"/>
      <c r="BI1710" s="40"/>
      <c r="BJ1710" s="40"/>
      <c r="BK1710" s="40"/>
      <c r="BL1710" s="62">
        <v>1</v>
      </c>
      <c r="BM1710" s="275">
        <v>3</v>
      </c>
      <c r="BN1710" s="62">
        <v>0</v>
      </c>
      <c r="BO1710" s="33" t="s">
        <v>698</v>
      </c>
    </row>
    <row r="1711" spans="1:68">
      <c r="A1711" s="33" t="str">
        <f>Database_Productkaarten[[#This Row],[Product]]&amp;", "&amp;Database_Productkaarten[[#This Row],[Levensfase]]</f>
        <v>Menggranulaat 250mm, A1</v>
      </c>
      <c r="B1711" s="33" t="s">
        <v>260</v>
      </c>
      <c r="C1711" s="33" t="s">
        <v>48</v>
      </c>
      <c r="D1711" s="33" t="s">
        <v>50</v>
      </c>
      <c r="E1711" s="33" t="s">
        <v>385</v>
      </c>
      <c r="F1711" s="33" t="s">
        <v>74</v>
      </c>
      <c r="G1711" s="33">
        <v>1</v>
      </c>
      <c r="H1711" s="33">
        <v>1</v>
      </c>
      <c r="I1711" s="33">
        <v>0.25</v>
      </c>
      <c r="L1711" s="33">
        <v>1.95</v>
      </c>
      <c r="M1711" s="271">
        <v>0.48749999999999999</v>
      </c>
      <c r="N1711" s="41"/>
      <c r="O1711" s="33">
        <v>100</v>
      </c>
      <c r="P1711" s="40"/>
      <c r="Q1711" s="40"/>
      <c r="R1711" s="40"/>
      <c r="S1711" s="40"/>
      <c r="T1711" s="40"/>
      <c r="U1711" s="40"/>
      <c r="V1711" s="40"/>
      <c r="W1711" s="40"/>
      <c r="X1711" s="40"/>
      <c r="Y1711" s="40"/>
      <c r="Z1711" s="40"/>
      <c r="AA1711" s="40"/>
      <c r="AB1711" s="40"/>
      <c r="AC1711" s="40"/>
      <c r="AD1711" s="40"/>
      <c r="AE1711" s="40"/>
      <c r="AF1711" s="40"/>
      <c r="AG1711" s="40"/>
      <c r="AH1711" s="40"/>
      <c r="AI1711" s="40"/>
      <c r="AJ1711" s="40"/>
      <c r="AK1711" s="40"/>
      <c r="AL1711" s="40"/>
      <c r="AM1711" s="40"/>
      <c r="AN1711" s="40"/>
      <c r="AO1711" s="40"/>
      <c r="AP1711" s="40"/>
      <c r="AQ1711" s="40"/>
      <c r="AR1711" s="40"/>
      <c r="AS1711" s="40"/>
      <c r="AT1711" s="40"/>
      <c r="AU1711" s="40"/>
      <c r="AV1711" s="313"/>
      <c r="AW1711" s="317"/>
      <c r="AX1711" s="317"/>
      <c r="AY1711" s="313"/>
      <c r="AZ1711" s="40"/>
      <c r="BA1711" s="40"/>
      <c r="BB1711" s="40"/>
      <c r="BC1711" s="40"/>
      <c r="BD1711" s="40"/>
      <c r="BE1711" s="40"/>
      <c r="BF1711" s="40"/>
      <c r="BG1711" s="40"/>
      <c r="BH1711" s="40"/>
      <c r="BI1711" s="40"/>
      <c r="BJ1711" s="40"/>
      <c r="BK1711" s="40"/>
      <c r="BL1711" s="62">
        <v>1</v>
      </c>
      <c r="BM1711" s="275">
        <v>3</v>
      </c>
      <c r="BN1711" s="62">
        <v>0</v>
      </c>
      <c r="BO1711" s="33" t="s">
        <v>698</v>
      </c>
    </row>
    <row r="1712" spans="1:68">
      <c r="A1712" s="33" t="str">
        <f>Database_Productkaarten[[#This Row],[Product]]&amp;", "&amp;Database_Productkaarten[[#This Row],[Levensfase]]</f>
        <v>Menggranulaat 250mm, A2</v>
      </c>
      <c r="B1712" s="33" t="s">
        <v>260</v>
      </c>
      <c r="C1712" s="33" t="s">
        <v>48</v>
      </c>
      <c r="D1712" s="33" t="s">
        <v>50</v>
      </c>
      <c r="E1712" s="33" t="s">
        <v>385</v>
      </c>
      <c r="F1712" s="33" t="s">
        <v>75</v>
      </c>
      <c r="G1712" s="33">
        <v>1</v>
      </c>
      <c r="H1712" s="33">
        <v>1</v>
      </c>
      <c r="I1712" s="33">
        <v>0.25</v>
      </c>
      <c r="L1712" s="33">
        <v>1.95</v>
      </c>
      <c r="M1712" s="271">
        <v>0.48749999999999999</v>
      </c>
      <c r="N1712" s="41"/>
      <c r="O1712" s="33">
        <v>100</v>
      </c>
      <c r="P1712" s="40"/>
      <c r="Q1712" s="40"/>
      <c r="R1712" s="40"/>
      <c r="S1712" s="40"/>
      <c r="T1712" s="40"/>
      <c r="U1712" s="40"/>
      <c r="V1712" s="40"/>
      <c r="W1712" s="40"/>
      <c r="X1712" s="40"/>
      <c r="Y1712" s="40"/>
      <c r="Z1712" s="40"/>
      <c r="AA1712" s="40"/>
      <c r="AB1712" s="40"/>
      <c r="AC1712" s="40"/>
      <c r="AD1712" s="40"/>
      <c r="AE1712" s="40"/>
      <c r="AF1712" s="40"/>
      <c r="AG1712" s="40"/>
      <c r="AH1712" s="40"/>
      <c r="AI1712" s="40"/>
      <c r="AJ1712" s="40"/>
      <c r="AK1712" s="40"/>
      <c r="AL1712" s="40"/>
      <c r="AM1712" s="40"/>
      <c r="AN1712" s="40"/>
      <c r="AO1712" s="40"/>
      <c r="AP1712" s="40"/>
      <c r="AQ1712" s="40"/>
      <c r="AR1712" s="40"/>
      <c r="AS1712" s="40"/>
      <c r="AT1712" s="40"/>
      <c r="AU1712" s="40"/>
      <c r="AV1712" s="313"/>
      <c r="AW1712" s="317"/>
      <c r="AX1712" s="317"/>
      <c r="AY1712" s="313"/>
      <c r="AZ1712" s="40"/>
      <c r="BA1712" s="40"/>
      <c r="BB1712" s="40"/>
      <c r="BC1712" s="40"/>
      <c r="BD1712" s="40"/>
      <c r="BE1712" s="40"/>
      <c r="BF1712" s="40"/>
      <c r="BG1712" s="40"/>
      <c r="BH1712" s="40"/>
      <c r="BI1712" s="40"/>
      <c r="BJ1712" s="40"/>
      <c r="BK1712" s="40"/>
      <c r="BL1712" s="62">
        <v>1</v>
      </c>
      <c r="BM1712" s="275">
        <v>3</v>
      </c>
      <c r="BN1712" s="62">
        <v>0</v>
      </c>
      <c r="BO1712" s="33" t="s">
        <v>698</v>
      </c>
    </row>
    <row r="1713" spans="1:67">
      <c r="A1713" s="33" t="str">
        <f>Database_Productkaarten[[#This Row],[Product]]&amp;", "&amp;Database_Productkaarten[[#This Row],[Levensfase]]</f>
        <v>Menggranulaat 250mm, A3</v>
      </c>
      <c r="B1713" s="33" t="s">
        <v>260</v>
      </c>
      <c r="C1713" s="33" t="s">
        <v>48</v>
      </c>
      <c r="D1713" s="33" t="s">
        <v>50</v>
      </c>
      <c r="E1713" s="33" t="s">
        <v>385</v>
      </c>
      <c r="F1713" s="33" t="s">
        <v>76</v>
      </c>
      <c r="G1713" s="33">
        <v>1</v>
      </c>
      <c r="H1713" s="33">
        <v>1</v>
      </c>
      <c r="I1713" s="33">
        <v>0.25</v>
      </c>
      <c r="L1713" s="33">
        <v>1.95</v>
      </c>
      <c r="M1713" s="271">
        <v>0.48749999999999999</v>
      </c>
      <c r="N1713" s="41"/>
      <c r="O1713" s="33">
        <v>100</v>
      </c>
      <c r="P1713" s="40"/>
      <c r="Q1713" s="40"/>
      <c r="R1713" s="40"/>
      <c r="S1713" s="40"/>
      <c r="T1713" s="40"/>
      <c r="U1713" s="40"/>
      <c r="V1713" s="40"/>
      <c r="W1713" s="40"/>
      <c r="X1713" s="40"/>
      <c r="Y1713" s="40"/>
      <c r="Z1713" s="40"/>
      <c r="AA1713" s="40"/>
      <c r="AB1713" s="40"/>
      <c r="AC1713" s="40"/>
      <c r="AD1713" s="40"/>
      <c r="AE1713" s="40"/>
      <c r="AF1713" s="40"/>
      <c r="AG1713" s="40"/>
      <c r="AH1713" s="40"/>
      <c r="AI1713" s="40"/>
      <c r="AJ1713" s="40"/>
      <c r="AK1713" s="40"/>
      <c r="AL1713" s="40"/>
      <c r="AM1713" s="40"/>
      <c r="AN1713" s="40"/>
      <c r="AO1713" s="40"/>
      <c r="AP1713" s="40"/>
      <c r="AQ1713" s="40"/>
      <c r="AR1713" s="40"/>
      <c r="AS1713" s="40"/>
      <c r="AT1713" s="40"/>
      <c r="AU1713" s="40"/>
      <c r="AV1713" s="313"/>
      <c r="AW1713" s="317"/>
      <c r="AX1713" s="317"/>
      <c r="AY1713" s="313"/>
      <c r="AZ1713" s="40"/>
      <c r="BA1713" s="40"/>
      <c r="BB1713" s="40"/>
      <c r="BC1713" s="40"/>
      <c r="BD1713" s="40"/>
      <c r="BE1713" s="40"/>
      <c r="BF1713" s="40"/>
      <c r="BG1713" s="40"/>
      <c r="BH1713" s="40"/>
      <c r="BI1713" s="40"/>
      <c r="BJ1713" s="40"/>
      <c r="BK1713" s="40"/>
      <c r="BL1713" s="62">
        <v>1</v>
      </c>
      <c r="BM1713" s="275">
        <v>3</v>
      </c>
      <c r="BN1713" s="62">
        <v>0</v>
      </c>
      <c r="BO1713" s="33" t="s">
        <v>698</v>
      </c>
    </row>
    <row r="1714" spans="1:67">
      <c r="A1714" s="33" t="str">
        <f>Database_Productkaarten[[#This Row],[Product]]&amp;", "&amp;Database_Productkaarten[[#This Row],[Levensfase]]</f>
        <v>Menggranulaat 250mm, A1-A3</v>
      </c>
      <c r="B1714" s="33" t="s">
        <v>260</v>
      </c>
      <c r="C1714" s="451" t="str">
        <f>C1713</f>
        <v>Funderingslagen</v>
      </c>
      <c r="D1714" s="451" t="str">
        <f>D1713</f>
        <v>Menggranulaat</v>
      </c>
      <c r="E1714" s="33" t="s">
        <v>385</v>
      </c>
      <c r="F1714" s="451" t="s">
        <v>77</v>
      </c>
      <c r="G1714" s="33">
        <v>1</v>
      </c>
      <c r="H1714" s="33">
        <v>1</v>
      </c>
      <c r="I1714" s="33">
        <v>0.25</v>
      </c>
      <c r="L1714" s="33">
        <v>1.95</v>
      </c>
      <c r="M1714" s="271">
        <v>0.48749999999999999</v>
      </c>
      <c r="N1714" s="41">
        <v>0</v>
      </c>
      <c r="O1714" s="33">
        <v>100</v>
      </c>
      <c r="P1714" s="163">
        <v>0</v>
      </c>
      <c r="Q1714" s="163">
        <v>0</v>
      </c>
      <c r="R1714" s="163">
        <v>0</v>
      </c>
      <c r="S1714" s="163">
        <v>0</v>
      </c>
      <c r="T1714" s="163">
        <v>0</v>
      </c>
      <c r="U1714" s="163">
        <v>0</v>
      </c>
      <c r="V1714" s="163">
        <v>0</v>
      </c>
      <c r="W1714" s="163">
        <v>0</v>
      </c>
      <c r="X1714" s="163">
        <v>0</v>
      </c>
      <c r="Y1714" s="163">
        <v>0</v>
      </c>
      <c r="Z1714" s="163">
        <v>0</v>
      </c>
      <c r="AA1714" s="40"/>
      <c r="AB1714" s="40"/>
      <c r="AC1714" s="40"/>
      <c r="AD1714" s="40"/>
      <c r="AE1714" s="40"/>
      <c r="AF1714" s="40"/>
      <c r="AG1714" s="40"/>
      <c r="AH1714" s="40"/>
      <c r="AI1714" s="40"/>
      <c r="AJ1714" s="40"/>
      <c r="AK1714" s="40"/>
      <c r="AL1714" s="40"/>
      <c r="AM1714" s="40"/>
      <c r="AN1714" s="40"/>
      <c r="AO1714" s="40"/>
      <c r="AP1714" s="40"/>
      <c r="AQ1714" s="40"/>
      <c r="AR1714" s="40"/>
      <c r="AS1714" s="40"/>
      <c r="AT1714" s="40"/>
      <c r="AU1714" s="40"/>
      <c r="AV1714" s="315">
        <v>0</v>
      </c>
      <c r="AW1714" s="317"/>
      <c r="AX1714" s="317"/>
      <c r="AY1714" s="313">
        <v>0</v>
      </c>
      <c r="AZ1714" s="40"/>
      <c r="BA1714" s="40"/>
      <c r="BB1714" s="40"/>
      <c r="BC1714" s="40">
        <v>0</v>
      </c>
      <c r="BD1714" s="40">
        <v>0</v>
      </c>
      <c r="BE1714" s="163">
        <v>0</v>
      </c>
      <c r="BF1714" s="163">
        <v>0</v>
      </c>
      <c r="BG1714" s="40"/>
      <c r="BH1714" s="40"/>
      <c r="BI1714" s="40"/>
      <c r="BJ1714" s="40"/>
      <c r="BK1714" s="40"/>
      <c r="BL1714" s="62">
        <v>1</v>
      </c>
      <c r="BM1714" s="275">
        <v>3</v>
      </c>
      <c r="BN1714" s="62">
        <v>0</v>
      </c>
      <c r="BO1714" s="33" t="s">
        <v>698</v>
      </c>
    </row>
    <row r="1715" spans="1:67">
      <c r="A1715" s="33" t="str">
        <f>Database_Productkaarten[[#This Row],[Product]]&amp;", "&amp;Database_Productkaarten[[#This Row],[Levensfase]]</f>
        <v>Menggranulaat 250mm, A4</v>
      </c>
      <c r="B1715" s="33" t="s">
        <v>260</v>
      </c>
      <c r="C1715" s="33" t="s">
        <v>48</v>
      </c>
      <c r="D1715" s="33" t="s">
        <v>50</v>
      </c>
      <c r="E1715" s="33" t="s">
        <v>385</v>
      </c>
      <c r="F1715" s="33" t="s">
        <v>78</v>
      </c>
      <c r="G1715" s="33">
        <v>1</v>
      </c>
      <c r="H1715" s="33">
        <v>1</v>
      </c>
      <c r="I1715" s="33">
        <v>0.25</v>
      </c>
      <c r="L1715" s="33">
        <v>1.95</v>
      </c>
      <c r="M1715" s="271">
        <v>0.48749999999999999</v>
      </c>
      <c r="N1715" s="41">
        <v>0.22328999999999999</v>
      </c>
      <c r="O1715" s="33">
        <v>100</v>
      </c>
      <c r="P1715" s="163">
        <v>3.9500000000000003E-6</v>
      </c>
      <c r="Q1715" s="163">
        <v>1.5599999999999999E-2</v>
      </c>
      <c r="R1715" s="163">
        <v>2.06</v>
      </c>
      <c r="S1715" s="163">
        <v>4.0900000000000002E-7</v>
      </c>
      <c r="T1715" s="163">
        <v>1.2999999999999999E-3</v>
      </c>
      <c r="U1715" s="163">
        <v>7.5100000000000002E-3</v>
      </c>
      <c r="V1715" s="163">
        <v>1.5299999999999999E-3</v>
      </c>
      <c r="W1715" s="163">
        <v>0.72499999999999998</v>
      </c>
      <c r="X1715" s="163">
        <v>4.6800000000000001E-2</v>
      </c>
      <c r="Y1715" s="163">
        <v>122</v>
      </c>
      <c r="Z1715" s="163">
        <v>4.3E-3</v>
      </c>
      <c r="AA1715" s="40"/>
      <c r="AB1715" s="40"/>
      <c r="AC1715" s="40"/>
      <c r="AD1715" s="40"/>
      <c r="AE1715" s="40"/>
      <c r="AF1715" s="40"/>
      <c r="AG1715" s="40"/>
      <c r="AH1715" s="40"/>
      <c r="AI1715" s="40"/>
      <c r="AJ1715" s="40"/>
      <c r="AK1715" s="40"/>
      <c r="AL1715" s="40"/>
      <c r="AM1715" s="40"/>
      <c r="AN1715" s="40"/>
      <c r="AO1715" s="40"/>
      <c r="AP1715" s="40"/>
      <c r="AQ1715" s="40"/>
      <c r="AR1715" s="40"/>
      <c r="AS1715" s="40"/>
      <c r="AT1715" s="40"/>
      <c r="AU1715" s="40"/>
      <c r="AV1715" s="315">
        <v>0.55700000000000005</v>
      </c>
      <c r="AW1715" s="317"/>
      <c r="AX1715" s="317"/>
      <c r="AY1715" s="313">
        <v>35.6</v>
      </c>
      <c r="AZ1715" s="40"/>
      <c r="BA1715" s="40"/>
      <c r="BB1715" s="40"/>
      <c r="BC1715" s="40">
        <v>7.2300000000000003E-3</v>
      </c>
      <c r="BD1715" s="40">
        <v>2.52E-4</v>
      </c>
      <c r="BE1715" s="163">
        <v>2.94</v>
      </c>
      <c r="BF1715" s="163">
        <v>0</v>
      </c>
      <c r="BG1715" s="40"/>
      <c r="BH1715" s="40"/>
      <c r="BI1715" s="40"/>
      <c r="BJ1715" s="40"/>
      <c r="BK1715" s="40"/>
      <c r="BL1715" s="62">
        <v>1</v>
      </c>
      <c r="BM1715" s="275">
        <v>3</v>
      </c>
      <c r="BN1715" s="62">
        <v>0</v>
      </c>
      <c r="BO1715" s="33" t="s">
        <v>698</v>
      </c>
    </row>
    <row r="1716" spans="1:67">
      <c r="A1716" s="33" t="str">
        <f>Database_Productkaarten[[#This Row],[Product]]&amp;", "&amp;Database_Productkaarten[[#This Row],[Levensfase]]</f>
        <v>Menggranulaat 250mm, A5</v>
      </c>
      <c r="B1716" s="33" t="s">
        <v>260</v>
      </c>
      <c r="C1716" s="33" t="s">
        <v>48</v>
      </c>
      <c r="D1716" s="33" t="s">
        <v>50</v>
      </c>
      <c r="E1716" s="33" t="s">
        <v>385</v>
      </c>
      <c r="F1716" s="33" t="s">
        <v>79</v>
      </c>
      <c r="G1716" s="33">
        <v>1</v>
      </c>
      <c r="H1716" s="33">
        <v>1</v>
      </c>
      <c r="I1716" s="33">
        <v>0.25</v>
      </c>
      <c r="L1716" s="33">
        <v>1.95</v>
      </c>
      <c r="M1716" s="271">
        <v>0.48749999999999999</v>
      </c>
      <c r="N1716" s="41">
        <v>0.18803</v>
      </c>
      <c r="O1716" s="33">
        <v>100</v>
      </c>
      <c r="P1716" s="163">
        <v>9.5000000000000001E-7</v>
      </c>
      <c r="Q1716" s="163">
        <v>1.3899999999999999E-2</v>
      </c>
      <c r="R1716" s="163">
        <v>2.0299999999999998</v>
      </c>
      <c r="S1716" s="163">
        <v>3.53E-7</v>
      </c>
      <c r="T1716" s="163">
        <v>6.6799999999999997E-4</v>
      </c>
      <c r="U1716" s="163">
        <v>5.9500000000000004E-3</v>
      </c>
      <c r="V1716" s="163">
        <v>1.14E-3</v>
      </c>
      <c r="W1716" s="163">
        <v>0.502</v>
      </c>
      <c r="X1716" s="163">
        <v>9.9500000000000005E-3</v>
      </c>
      <c r="Y1716" s="163">
        <v>33.299999999999997</v>
      </c>
      <c r="Z1716" s="163">
        <v>1.7899999999999999E-3</v>
      </c>
      <c r="AA1716" s="40"/>
      <c r="AB1716" s="40"/>
      <c r="AC1716" s="40"/>
      <c r="AD1716" s="40"/>
      <c r="AE1716" s="40"/>
      <c r="AF1716" s="40"/>
      <c r="AG1716" s="40"/>
      <c r="AH1716" s="40"/>
      <c r="AI1716" s="40"/>
      <c r="AJ1716" s="40"/>
      <c r="AK1716" s="40"/>
      <c r="AL1716" s="40"/>
      <c r="AM1716" s="40"/>
      <c r="AN1716" s="40"/>
      <c r="AO1716" s="40"/>
      <c r="AP1716" s="40"/>
      <c r="AQ1716" s="40"/>
      <c r="AR1716" s="40"/>
      <c r="AS1716" s="40"/>
      <c r="AT1716" s="40"/>
      <c r="AU1716" s="40"/>
      <c r="AV1716" s="315">
        <v>0.22600000000000001</v>
      </c>
      <c r="AW1716" s="317"/>
      <c r="AX1716" s="317"/>
      <c r="AY1716" s="313">
        <v>30.9</v>
      </c>
      <c r="AZ1716" s="40"/>
      <c r="BA1716" s="40"/>
      <c r="BB1716" s="40"/>
      <c r="BC1716" s="40">
        <v>2.9199999999999999E-3</v>
      </c>
      <c r="BD1716" s="40">
        <v>2.14E-4</v>
      </c>
      <c r="BE1716" s="163">
        <v>5.1900000000000002E-2</v>
      </c>
      <c r="BF1716" s="163">
        <v>0</v>
      </c>
      <c r="BG1716" s="40"/>
      <c r="BH1716" s="40"/>
      <c r="BI1716" s="40"/>
      <c r="BJ1716" s="40"/>
      <c r="BK1716" s="40"/>
      <c r="BL1716" s="62">
        <v>1</v>
      </c>
      <c r="BM1716" s="275">
        <v>3</v>
      </c>
      <c r="BN1716" s="62">
        <v>0</v>
      </c>
      <c r="BO1716" s="33" t="s">
        <v>698</v>
      </c>
    </row>
    <row r="1717" spans="1:67">
      <c r="A1717" s="33" t="str">
        <f>Database_Productkaarten[[#This Row],[Product]]&amp;", "&amp;Database_Productkaarten[[#This Row],[Levensfase]]</f>
        <v>Menggranulaat 250mm, B1</v>
      </c>
      <c r="B1717" s="33" t="s">
        <v>260</v>
      </c>
      <c r="C1717" s="33" t="s">
        <v>48</v>
      </c>
      <c r="D1717" s="33" t="s">
        <v>50</v>
      </c>
      <c r="E1717" s="33" t="s">
        <v>385</v>
      </c>
      <c r="F1717" s="33" t="s">
        <v>80</v>
      </c>
      <c r="G1717" s="33">
        <v>1</v>
      </c>
      <c r="H1717" s="33">
        <v>1</v>
      </c>
      <c r="I1717" s="33">
        <v>0.25</v>
      </c>
      <c r="L1717" s="33">
        <v>1.95</v>
      </c>
      <c r="M1717" s="271">
        <v>0.48749999999999999</v>
      </c>
      <c r="N1717" s="41">
        <v>3.4369999999999998E-2</v>
      </c>
      <c r="O1717" s="33">
        <v>100</v>
      </c>
      <c r="P1717" s="163">
        <v>0</v>
      </c>
      <c r="Q1717" s="163">
        <v>0</v>
      </c>
      <c r="R1717" s="163">
        <v>0</v>
      </c>
      <c r="S1717" s="163">
        <v>0</v>
      </c>
      <c r="T1717" s="163">
        <v>0</v>
      </c>
      <c r="U1717" s="163">
        <v>0</v>
      </c>
      <c r="V1717" s="163">
        <v>0</v>
      </c>
      <c r="W1717" s="163">
        <v>0.14499999999999999</v>
      </c>
      <c r="X1717" s="163">
        <v>6.3200000000000006E-2</v>
      </c>
      <c r="Y1717" s="163">
        <v>139</v>
      </c>
      <c r="Z1717" s="163">
        <v>9.2999999999999999E-2</v>
      </c>
      <c r="AA1717" s="40"/>
      <c r="AB1717" s="40"/>
      <c r="AC1717" s="40"/>
      <c r="AD1717" s="40"/>
      <c r="AE1717" s="40"/>
      <c r="AF1717" s="40"/>
      <c r="AG1717" s="40"/>
      <c r="AH1717" s="40"/>
      <c r="AI1717" s="40"/>
      <c r="AJ1717" s="40"/>
      <c r="AK1717" s="40"/>
      <c r="AL1717" s="40"/>
      <c r="AM1717" s="40"/>
      <c r="AN1717" s="40"/>
      <c r="AO1717" s="40"/>
      <c r="AP1717" s="40"/>
      <c r="AQ1717" s="40"/>
      <c r="AR1717" s="40"/>
      <c r="AS1717" s="40"/>
      <c r="AT1717" s="40"/>
      <c r="AU1717" s="40"/>
      <c r="AV1717" s="315">
        <v>0</v>
      </c>
      <c r="AW1717" s="317"/>
      <c r="AX1717" s="317"/>
      <c r="AY1717" s="313">
        <v>0</v>
      </c>
      <c r="AZ1717" s="40"/>
      <c r="BA1717" s="40"/>
      <c r="BB1717" s="40"/>
      <c r="BC1717" s="40">
        <v>0</v>
      </c>
      <c r="BD1717" s="40">
        <v>0</v>
      </c>
      <c r="BE1717" s="163">
        <v>0</v>
      </c>
      <c r="BF1717" s="163">
        <v>0</v>
      </c>
      <c r="BG1717" s="40"/>
      <c r="BH1717" s="40"/>
      <c r="BI1717" s="40"/>
      <c r="BJ1717" s="40"/>
      <c r="BK1717" s="40"/>
      <c r="BL1717" s="62">
        <v>1</v>
      </c>
      <c r="BM1717" s="275">
        <v>3</v>
      </c>
      <c r="BN1717" s="62">
        <v>0</v>
      </c>
      <c r="BO1717" s="33" t="s">
        <v>698</v>
      </c>
    </row>
    <row r="1718" spans="1:67">
      <c r="A1718" s="33" t="str">
        <f>Database_Productkaarten[[#This Row],[Product]]&amp;", "&amp;Database_Productkaarten[[#This Row],[Levensfase]]</f>
        <v>Menggranulaat 250mm, C1</v>
      </c>
      <c r="B1718" s="33" t="s">
        <v>260</v>
      </c>
      <c r="C1718" s="33" t="s">
        <v>48</v>
      </c>
      <c r="D1718" s="33" t="s">
        <v>50</v>
      </c>
      <c r="E1718" s="33" t="s">
        <v>385</v>
      </c>
      <c r="F1718" s="33" t="s">
        <v>83</v>
      </c>
      <c r="G1718" s="33">
        <v>1</v>
      </c>
      <c r="H1718" s="33">
        <v>1</v>
      </c>
      <c r="I1718" s="33">
        <v>0.25</v>
      </c>
      <c r="L1718" s="33">
        <v>1.95</v>
      </c>
      <c r="M1718" s="271">
        <v>0.48749999999999999</v>
      </c>
      <c r="N1718" s="41">
        <v>6.215E-3</v>
      </c>
      <c r="O1718" s="33">
        <v>100</v>
      </c>
      <c r="P1718" s="163">
        <v>3.1399999999999998E-7</v>
      </c>
      <c r="Q1718" s="163">
        <v>4.5799999999999999E-3</v>
      </c>
      <c r="R1718" s="163">
        <v>0.67100000000000004</v>
      </c>
      <c r="S1718" s="163">
        <v>1.17E-7</v>
      </c>
      <c r="T1718" s="163">
        <v>2.2100000000000001E-4</v>
      </c>
      <c r="U1718" s="163">
        <v>1.97E-3</v>
      </c>
      <c r="V1718" s="163">
        <v>3.7599999999999998E-4</v>
      </c>
      <c r="W1718" s="163">
        <v>0.16600000000000001</v>
      </c>
      <c r="X1718" s="163">
        <v>3.29E-3</v>
      </c>
      <c r="Y1718" s="163">
        <v>11</v>
      </c>
      <c r="Z1718" s="163">
        <v>5.9100000000000005E-4</v>
      </c>
      <c r="AA1718" s="40"/>
      <c r="AB1718" s="40"/>
      <c r="AC1718" s="40"/>
      <c r="AD1718" s="40"/>
      <c r="AE1718" s="40"/>
      <c r="AF1718" s="40"/>
      <c r="AG1718" s="40"/>
      <c r="AH1718" s="40"/>
      <c r="AI1718" s="40"/>
      <c r="AJ1718" s="40"/>
      <c r="AK1718" s="40"/>
      <c r="AL1718" s="40"/>
      <c r="AM1718" s="40"/>
      <c r="AN1718" s="40"/>
      <c r="AO1718" s="40"/>
      <c r="AP1718" s="40"/>
      <c r="AQ1718" s="40"/>
      <c r="AR1718" s="40"/>
      <c r="AS1718" s="40"/>
      <c r="AT1718" s="40"/>
      <c r="AU1718" s="40"/>
      <c r="AV1718" s="315">
        <v>7.46E-2</v>
      </c>
      <c r="AW1718" s="317"/>
      <c r="AX1718" s="317"/>
      <c r="AY1718" s="313">
        <v>10.199999999999999</v>
      </c>
      <c r="AZ1718" s="40"/>
      <c r="BA1718" s="40"/>
      <c r="BB1718" s="40"/>
      <c r="BC1718" s="40">
        <v>9.6599999999999995E-4</v>
      </c>
      <c r="BD1718" s="40">
        <v>7.0599999999999995E-5</v>
      </c>
      <c r="BE1718" s="163">
        <v>1.72E-2</v>
      </c>
      <c r="BF1718" s="163">
        <v>0</v>
      </c>
      <c r="BG1718" s="40"/>
      <c r="BH1718" s="40"/>
      <c r="BI1718" s="40"/>
      <c r="BJ1718" s="40"/>
      <c r="BK1718" s="40"/>
      <c r="BL1718" s="62">
        <v>1</v>
      </c>
      <c r="BM1718" s="275">
        <v>3</v>
      </c>
      <c r="BN1718" s="62">
        <v>0</v>
      </c>
      <c r="BO1718" s="33" t="s">
        <v>698</v>
      </c>
    </row>
    <row r="1719" spans="1:67">
      <c r="A1719" s="33" t="str">
        <f>Database_Productkaarten[[#This Row],[Product]]&amp;", "&amp;Database_Productkaarten[[#This Row],[Levensfase]]</f>
        <v>Menggranulaat 250mm, C2</v>
      </c>
      <c r="B1719" s="33" t="s">
        <v>260</v>
      </c>
      <c r="C1719" s="33" t="s">
        <v>48</v>
      </c>
      <c r="D1719" s="33" t="s">
        <v>50</v>
      </c>
      <c r="E1719" s="33" t="s">
        <v>385</v>
      </c>
      <c r="F1719" s="33" t="s">
        <v>84</v>
      </c>
      <c r="G1719" s="33">
        <v>1</v>
      </c>
      <c r="H1719" s="33">
        <v>1</v>
      </c>
      <c r="I1719" s="33">
        <v>0.25</v>
      </c>
      <c r="L1719" s="33">
        <v>1.95</v>
      </c>
      <c r="M1719" s="271">
        <v>0.48749999999999999</v>
      </c>
      <c r="N1719" s="41">
        <v>0.23562</v>
      </c>
      <c r="O1719" s="33">
        <v>100</v>
      </c>
      <c r="P1719" s="163">
        <v>3.9899999999999999E-6</v>
      </c>
      <c r="Q1719" s="163">
        <v>1.5699999999999999E-2</v>
      </c>
      <c r="R1719" s="163">
        <v>2.08</v>
      </c>
      <c r="S1719" s="163">
        <v>4.1399999999999997E-7</v>
      </c>
      <c r="T1719" s="163">
        <v>1.31E-3</v>
      </c>
      <c r="U1719" s="163">
        <v>7.5900000000000004E-3</v>
      </c>
      <c r="V1719" s="163">
        <v>1.5499999999999999E-3</v>
      </c>
      <c r="W1719" s="163">
        <v>0.73299999999999998</v>
      </c>
      <c r="X1719" s="163">
        <v>4.7199999999999999E-2</v>
      </c>
      <c r="Y1719" s="163">
        <v>124</v>
      </c>
      <c r="Z1719" s="163">
        <v>4.3400000000000001E-3</v>
      </c>
      <c r="AA1719" s="40"/>
      <c r="AB1719" s="40"/>
      <c r="AC1719" s="40"/>
      <c r="AD1719" s="40"/>
      <c r="AE1719" s="40"/>
      <c r="AF1719" s="40"/>
      <c r="AG1719" s="40"/>
      <c r="AH1719" s="40"/>
      <c r="AI1719" s="40"/>
      <c r="AJ1719" s="40"/>
      <c r="AK1719" s="40"/>
      <c r="AL1719" s="40"/>
      <c r="AM1719" s="40"/>
      <c r="AN1719" s="40"/>
      <c r="AO1719" s="40"/>
      <c r="AP1719" s="40"/>
      <c r="AQ1719" s="40"/>
      <c r="AR1719" s="40"/>
      <c r="AS1719" s="40"/>
      <c r="AT1719" s="40"/>
      <c r="AU1719" s="40"/>
      <c r="AV1719" s="315">
        <v>0.56200000000000006</v>
      </c>
      <c r="AW1719" s="317"/>
      <c r="AX1719" s="317"/>
      <c r="AY1719" s="313">
        <v>36</v>
      </c>
      <c r="AZ1719" s="40"/>
      <c r="BA1719" s="40"/>
      <c r="BB1719" s="40"/>
      <c r="BC1719" s="40">
        <v>7.3000000000000001E-3</v>
      </c>
      <c r="BD1719" s="40">
        <v>2.5500000000000002E-4</v>
      </c>
      <c r="BE1719" s="163">
        <v>2.97</v>
      </c>
      <c r="BF1719" s="163">
        <v>0</v>
      </c>
      <c r="BG1719" s="40"/>
      <c r="BH1719" s="40"/>
      <c r="BI1719" s="40"/>
      <c r="BJ1719" s="40"/>
      <c r="BK1719" s="40"/>
      <c r="BL1719" s="62">
        <v>1</v>
      </c>
      <c r="BM1719" s="275">
        <v>3</v>
      </c>
      <c r="BN1719" s="62">
        <v>0</v>
      </c>
      <c r="BO1719" s="33" t="s">
        <v>698</v>
      </c>
    </row>
    <row r="1720" spans="1:67">
      <c r="A1720" s="33" t="str">
        <f>Database_Productkaarten[[#This Row],[Product]]&amp;", "&amp;Database_Productkaarten[[#This Row],[Levensfase]]</f>
        <v>Menggranulaat 250mm, C3</v>
      </c>
      <c r="B1720" s="33" t="s">
        <v>260</v>
      </c>
      <c r="C1720" s="33" t="s">
        <v>48</v>
      </c>
      <c r="D1720" s="33" t="s">
        <v>50</v>
      </c>
      <c r="E1720" s="33" t="s">
        <v>385</v>
      </c>
      <c r="F1720" s="33" t="s">
        <v>85</v>
      </c>
      <c r="G1720" s="33">
        <v>1</v>
      </c>
      <c r="H1720" s="33">
        <v>1</v>
      </c>
      <c r="I1720" s="33">
        <v>0.25</v>
      </c>
      <c r="L1720" s="33">
        <v>1.95</v>
      </c>
      <c r="M1720" s="271">
        <v>0.48749999999999999</v>
      </c>
      <c r="N1720" s="41">
        <v>0</v>
      </c>
      <c r="O1720" s="33">
        <v>100</v>
      </c>
      <c r="P1720" s="163">
        <v>0</v>
      </c>
      <c r="Q1720" s="163">
        <v>0</v>
      </c>
      <c r="R1720" s="163">
        <v>0</v>
      </c>
      <c r="S1720" s="163">
        <v>0</v>
      </c>
      <c r="T1720" s="163">
        <v>0</v>
      </c>
      <c r="U1720" s="163">
        <v>0</v>
      </c>
      <c r="V1720" s="163">
        <v>0</v>
      </c>
      <c r="W1720" s="163">
        <v>0</v>
      </c>
      <c r="X1720" s="163">
        <v>0</v>
      </c>
      <c r="Y1720" s="163">
        <v>0</v>
      </c>
      <c r="Z1720" s="163">
        <v>0</v>
      </c>
      <c r="AA1720" s="40"/>
      <c r="AB1720" s="40"/>
      <c r="AC1720" s="40"/>
      <c r="AD1720" s="40"/>
      <c r="AE1720" s="40"/>
      <c r="AF1720" s="40"/>
      <c r="AG1720" s="40"/>
      <c r="AH1720" s="40"/>
      <c r="AI1720" s="40"/>
      <c r="AJ1720" s="40"/>
      <c r="AK1720" s="40"/>
      <c r="AL1720" s="40"/>
      <c r="AM1720" s="40"/>
      <c r="AN1720" s="40"/>
      <c r="AO1720" s="40"/>
      <c r="AP1720" s="40"/>
      <c r="AQ1720" s="40"/>
      <c r="AR1720" s="40"/>
      <c r="AS1720" s="40"/>
      <c r="AT1720" s="40"/>
      <c r="AU1720" s="40"/>
      <c r="AV1720" s="315">
        <v>0</v>
      </c>
      <c r="AW1720" s="317"/>
      <c r="AX1720" s="317"/>
      <c r="AY1720" s="313">
        <v>0</v>
      </c>
      <c r="AZ1720" s="40"/>
      <c r="BA1720" s="40"/>
      <c r="BB1720" s="40"/>
      <c r="BC1720" s="40">
        <v>0</v>
      </c>
      <c r="BD1720" s="40">
        <v>0</v>
      </c>
      <c r="BE1720" s="163">
        <v>0</v>
      </c>
      <c r="BF1720" s="163">
        <v>0</v>
      </c>
      <c r="BG1720" s="40"/>
      <c r="BH1720" s="40"/>
      <c r="BI1720" s="40"/>
      <c r="BJ1720" s="40"/>
      <c r="BK1720" s="40"/>
      <c r="BL1720" s="62">
        <v>1</v>
      </c>
      <c r="BM1720" s="275">
        <v>3</v>
      </c>
      <c r="BN1720" s="62">
        <v>0</v>
      </c>
      <c r="BO1720" s="33" t="s">
        <v>698</v>
      </c>
    </row>
    <row r="1721" spans="1:67">
      <c r="A1721" s="33" t="str">
        <f>Database_Productkaarten[[#This Row],[Product]]&amp;", "&amp;Database_Productkaarten[[#This Row],[Levensfase]]</f>
        <v>Menggranulaat 250mm, C4</v>
      </c>
      <c r="B1721" s="33" t="s">
        <v>260</v>
      </c>
      <c r="C1721" s="33" t="s">
        <v>48</v>
      </c>
      <c r="D1721" s="33" t="s">
        <v>50</v>
      </c>
      <c r="E1721" s="33" t="s">
        <v>385</v>
      </c>
      <c r="F1721" s="33" t="s">
        <v>86</v>
      </c>
      <c r="G1721" s="33">
        <v>1</v>
      </c>
      <c r="H1721" s="33">
        <v>1</v>
      </c>
      <c r="I1721" s="33">
        <v>0.25</v>
      </c>
      <c r="L1721" s="33">
        <v>1.95</v>
      </c>
      <c r="M1721" s="271">
        <v>0.48749999999999999</v>
      </c>
      <c r="N1721" s="41">
        <v>3.62E-3</v>
      </c>
      <c r="O1721" s="33">
        <v>100</v>
      </c>
      <c r="P1721" s="163">
        <v>2.9000000000000002E-8</v>
      </c>
      <c r="Q1721" s="163">
        <v>3.7599999999999998E-4</v>
      </c>
      <c r="R1721" s="163">
        <v>2.5700000000000001E-2</v>
      </c>
      <c r="S1721" s="163">
        <v>9.2799999999999994E-9</v>
      </c>
      <c r="T1721" s="163">
        <v>2.8E-5</v>
      </c>
      <c r="U1721" s="163">
        <v>1.94E-4</v>
      </c>
      <c r="V1721" s="163">
        <v>3.6699999999999998E-5</v>
      </c>
      <c r="W1721" s="163">
        <v>1.12E-2</v>
      </c>
      <c r="X1721" s="163">
        <v>2.7099999999999997E-4</v>
      </c>
      <c r="Y1721" s="163">
        <v>0.95</v>
      </c>
      <c r="Z1721" s="163">
        <v>2.8E-5</v>
      </c>
      <c r="AA1721" s="40"/>
      <c r="AB1721" s="40"/>
      <c r="AC1721" s="40"/>
      <c r="AD1721" s="40"/>
      <c r="AE1721" s="40"/>
      <c r="AF1721" s="40"/>
      <c r="AG1721" s="40"/>
      <c r="AH1721" s="40"/>
      <c r="AI1721" s="40"/>
      <c r="AJ1721" s="40"/>
      <c r="AK1721" s="40"/>
      <c r="AL1721" s="40"/>
      <c r="AM1721" s="40"/>
      <c r="AN1721" s="40"/>
      <c r="AO1721" s="40"/>
      <c r="AP1721" s="40"/>
      <c r="AQ1721" s="40"/>
      <c r="AR1721" s="40"/>
      <c r="AS1721" s="40"/>
      <c r="AT1721" s="40"/>
      <c r="AU1721" s="40"/>
      <c r="AV1721" s="315">
        <v>6.4700000000000001E-3</v>
      </c>
      <c r="AW1721" s="317"/>
      <c r="AX1721" s="317"/>
      <c r="AY1721" s="313">
        <v>0.84099999999999997</v>
      </c>
      <c r="AZ1721" s="40"/>
      <c r="BA1721" s="40"/>
      <c r="BB1721" s="40"/>
      <c r="BC1721" s="40">
        <v>8.2600000000000002E-4</v>
      </c>
      <c r="BD1721" s="40">
        <v>5.2900000000000004E-7</v>
      </c>
      <c r="BE1721" s="163">
        <v>4.87</v>
      </c>
      <c r="BF1721" s="163">
        <v>5.2299999999999999E-6</v>
      </c>
      <c r="BG1721" s="40"/>
      <c r="BH1721" s="40"/>
      <c r="BI1721" s="40"/>
      <c r="BJ1721" s="40"/>
      <c r="BK1721" s="40"/>
      <c r="BL1721" s="62">
        <v>1</v>
      </c>
      <c r="BM1721" s="275">
        <v>3</v>
      </c>
      <c r="BN1721" s="62">
        <v>0</v>
      </c>
      <c r="BO1721" s="33" t="s">
        <v>698</v>
      </c>
    </row>
    <row r="1722" spans="1:67">
      <c r="A1722" s="33" t="str">
        <f>Database_Productkaarten[[#This Row],[Product]]&amp;", "&amp;Database_Productkaarten[[#This Row],[Levensfase]]</f>
        <v>Menggranulaat 250mm, D</v>
      </c>
      <c r="B1722" s="33" t="s">
        <v>260</v>
      </c>
      <c r="C1722" s="33" t="str">
        <f>C1723</f>
        <v>Funderingslagen</v>
      </c>
      <c r="D1722" s="33" t="str">
        <f>D1723</f>
        <v>Menggranulaat</v>
      </c>
      <c r="E1722" s="33" t="s">
        <v>385</v>
      </c>
      <c r="F1722" s="33" t="s">
        <v>89</v>
      </c>
      <c r="G1722" s="33">
        <v>1</v>
      </c>
      <c r="H1722" s="33">
        <v>1</v>
      </c>
      <c r="I1722" s="33">
        <v>0.25</v>
      </c>
      <c r="L1722" s="33">
        <v>1.95</v>
      </c>
      <c r="M1722" s="271">
        <v>0.48749999999999999</v>
      </c>
      <c r="N1722" s="41">
        <v>7.3299999999999997E-3</v>
      </c>
      <c r="O1722" s="33">
        <v>100</v>
      </c>
      <c r="P1722" s="163">
        <v>1.1300000000000001E-7</v>
      </c>
      <c r="Q1722" s="163">
        <v>1.3999999999999999E-4</v>
      </c>
      <c r="R1722" s="163">
        <v>2.0500000000000001E-2</v>
      </c>
      <c r="S1722" s="163">
        <v>1.8300000000000001E-9</v>
      </c>
      <c r="T1722" s="163">
        <v>1.4800000000000001E-5</v>
      </c>
      <c r="U1722" s="163">
        <v>1.17E-4</v>
      </c>
      <c r="V1722" s="163">
        <v>2.0400000000000001E-5</v>
      </c>
      <c r="W1722" s="163">
        <v>9.1400000000000006E-3</v>
      </c>
      <c r="X1722" s="163">
        <v>1.3100000000000001E-4</v>
      </c>
      <c r="Y1722" s="163">
        <v>0.57199999999999995</v>
      </c>
      <c r="Z1722" s="163">
        <v>4.7700000000000001E-5</v>
      </c>
      <c r="AA1722" s="40"/>
      <c r="AB1722" s="40"/>
      <c r="AC1722" s="40"/>
      <c r="AD1722" s="40"/>
      <c r="AE1722" s="40"/>
      <c r="AF1722" s="40"/>
      <c r="AG1722" s="40"/>
      <c r="AH1722" s="40"/>
      <c r="AI1722" s="40"/>
      <c r="AJ1722" s="40"/>
      <c r="AK1722" s="40"/>
      <c r="AL1722" s="40"/>
      <c r="AM1722" s="40"/>
      <c r="AN1722" s="40"/>
      <c r="AO1722" s="40"/>
      <c r="AP1722" s="40"/>
      <c r="AQ1722" s="40"/>
      <c r="AR1722" s="40"/>
      <c r="AS1722" s="40"/>
      <c r="AT1722" s="40"/>
      <c r="AU1722" s="40"/>
      <c r="AV1722" s="315">
        <v>1.7299999999999999E-2</v>
      </c>
      <c r="AW1722" s="317"/>
      <c r="AX1722" s="317"/>
      <c r="AY1722" s="313">
        <v>0.28299999999999997</v>
      </c>
      <c r="AZ1722" s="40"/>
      <c r="BA1722" s="40"/>
      <c r="BB1722" s="40"/>
      <c r="BC1722" s="40">
        <v>6.8799999999999998E-3</v>
      </c>
      <c r="BD1722" s="40">
        <v>3.77E-7</v>
      </c>
      <c r="BE1722" s="163">
        <v>2.6700000000000001E-3</v>
      </c>
      <c r="BF1722" s="163">
        <v>1.19E-6</v>
      </c>
      <c r="BG1722" s="40"/>
      <c r="BH1722" s="40"/>
      <c r="BI1722" s="40"/>
      <c r="BJ1722" s="40"/>
      <c r="BK1722" s="40"/>
      <c r="BL1722" s="62">
        <v>1</v>
      </c>
      <c r="BM1722" s="275">
        <v>3</v>
      </c>
      <c r="BN1722" s="62">
        <v>0</v>
      </c>
      <c r="BO1722" s="33" t="s">
        <v>698</v>
      </c>
    </row>
    <row r="1723" spans="1:67">
      <c r="A1723" s="33" t="str">
        <f>Database_Productkaarten[[#This Row],[Product]]&amp;", "&amp;Database_Productkaarten[[#This Row],[Levensfase]]</f>
        <v>Menggranulaat 250mm, D1</v>
      </c>
      <c r="B1723" s="33" t="s">
        <v>260</v>
      </c>
      <c r="C1723" s="33" t="s">
        <v>48</v>
      </c>
      <c r="D1723" s="33" t="s">
        <v>50</v>
      </c>
      <c r="E1723" s="33" t="s">
        <v>385</v>
      </c>
      <c r="F1723" s="33" t="s">
        <v>87</v>
      </c>
      <c r="G1723" s="33">
        <v>1</v>
      </c>
      <c r="H1723" s="33">
        <v>1</v>
      </c>
      <c r="I1723" s="33">
        <v>0.25</v>
      </c>
      <c r="L1723" s="33">
        <v>1.95</v>
      </c>
      <c r="M1723" s="271">
        <v>0.48749999999999999</v>
      </c>
      <c r="N1723" s="41"/>
      <c r="O1723" s="33">
        <v>100</v>
      </c>
      <c r="P1723" s="40"/>
      <c r="Q1723" s="40"/>
      <c r="R1723" s="40"/>
      <c r="S1723" s="40"/>
      <c r="T1723" s="40"/>
      <c r="U1723" s="40"/>
      <c r="V1723" s="40"/>
      <c r="W1723" s="40"/>
      <c r="X1723" s="40"/>
      <c r="Y1723" s="40"/>
      <c r="Z1723" s="40"/>
      <c r="AA1723" s="40"/>
      <c r="AB1723" s="40"/>
      <c r="AC1723" s="40"/>
      <c r="AD1723" s="40"/>
      <c r="AE1723" s="40"/>
      <c r="AF1723" s="40"/>
      <c r="AG1723" s="40"/>
      <c r="AH1723" s="40"/>
      <c r="AI1723" s="40"/>
      <c r="AJ1723" s="40"/>
      <c r="AK1723" s="40"/>
      <c r="AL1723" s="40"/>
      <c r="AM1723" s="40"/>
      <c r="AN1723" s="40"/>
      <c r="AO1723" s="40"/>
      <c r="AP1723" s="40"/>
      <c r="AQ1723" s="40"/>
      <c r="AR1723" s="40"/>
      <c r="AS1723" s="40"/>
      <c r="AT1723" s="40"/>
      <c r="AU1723" s="40"/>
      <c r="AV1723" s="317"/>
      <c r="AW1723" s="317"/>
      <c r="AX1723" s="317"/>
      <c r="AY1723" s="313"/>
      <c r="AZ1723" s="40"/>
      <c r="BA1723" s="40"/>
      <c r="BB1723" s="40"/>
      <c r="BC1723" s="40"/>
      <c r="BD1723" s="40"/>
      <c r="BE1723" s="40"/>
      <c r="BF1723" s="40"/>
      <c r="BG1723" s="40"/>
      <c r="BH1723" s="40"/>
      <c r="BI1723" s="40"/>
      <c r="BJ1723" s="40"/>
      <c r="BK1723" s="40"/>
      <c r="BL1723" s="62">
        <v>1</v>
      </c>
      <c r="BM1723" s="275">
        <v>3</v>
      </c>
      <c r="BN1723" s="62">
        <v>0</v>
      </c>
      <c r="BO1723" s="33" t="s">
        <v>698</v>
      </c>
    </row>
    <row r="1724" spans="1:67">
      <c r="A1724" s="33" t="str">
        <f>Database_Productkaarten[[#This Row],[Product]]&amp;", "&amp;Database_Productkaarten[[#This Row],[Levensfase]]</f>
        <v>Menggranulaat 250mm, D2</v>
      </c>
      <c r="B1724" s="33" t="s">
        <v>260</v>
      </c>
      <c r="C1724" s="33" t="s">
        <v>48</v>
      </c>
      <c r="D1724" s="33" t="s">
        <v>50</v>
      </c>
      <c r="E1724" s="33" t="s">
        <v>385</v>
      </c>
      <c r="F1724" s="33" t="s">
        <v>88</v>
      </c>
      <c r="G1724" s="33">
        <v>1</v>
      </c>
      <c r="H1724" s="33">
        <v>1</v>
      </c>
      <c r="I1724" s="33">
        <v>0.25</v>
      </c>
      <c r="L1724" s="33">
        <v>1.95</v>
      </c>
      <c r="M1724" s="271">
        <v>0.48749999999999999</v>
      </c>
      <c r="N1724" s="41"/>
      <c r="O1724" s="33">
        <v>100</v>
      </c>
      <c r="P1724" s="40"/>
      <c r="Q1724" s="40"/>
      <c r="R1724" s="40"/>
      <c r="S1724" s="40"/>
      <c r="T1724" s="40"/>
      <c r="U1724" s="40"/>
      <c r="V1724" s="40"/>
      <c r="W1724" s="40"/>
      <c r="X1724" s="40"/>
      <c r="Y1724" s="40"/>
      <c r="Z1724" s="40"/>
      <c r="AA1724" s="40"/>
      <c r="AB1724" s="40"/>
      <c r="AC1724" s="40"/>
      <c r="AD1724" s="40"/>
      <c r="AE1724" s="40"/>
      <c r="AF1724" s="40"/>
      <c r="AG1724" s="40"/>
      <c r="AH1724" s="40"/>
      <c r="AI1724" s="40"/>
      <c r="AJ1724" s="40"/>
      <c r="AK1724" s="40"/>
      <c r="AL1724" s="40"/>
      <c r="AM1724" s="40"/>
      <c r="AN1724" s="40"/>
      <c r="AO1724" s="40"/>
      <c r="AP1724" s="40"/>
      <c r="AQ1724" s="40"/>
      <c r="AR1724" s="40"/>
      <c r="AS1724" s="40"/>
      <c r="AT1724" s="40"/>
      <c r="AU1724" s="40"/>
      <c r="AV1724" s="317"/>
      <c r="AW1724" s="317"/>
      <c r="AX1724" s="317"/>
      <c r="AY1724" s="313"/>
      <c r="AZ1724" s="40"/>
      <c r="BA1724" s="40"/>
      <c r="BB1724" s="40"/>
      <c r="BC1724" s="40"/>
      <c r="BD1724" s="40"/>
      <c r="BE1724" s="40"/>
      <c r="BF1724" s="40"/>
      <c r="BG1724" s="40"/>
      <c r="BH1724" s="40"/>
      <c r="BI1724" s="40"/>
      <c r="BJ1724" s="40"/>
      <c r="BK1724" s="40"/>
      <c r="BL1724" s="62">
        <v>1</v>
      </c>
      <c r="BM1724" s="275">
        <v>3</v>
      </c>
      <c r="BN1724" s="62">
        <v>0</v>
      </c>
      <c r="BO1724" s="33" t="s">
        <v>698</v>
      </c>
    </row>
    <row r="1725" spans="1:67">
      <c r="A1725" s="33" t="str">
        <f>Database_Productkaarten[[#This Row],[Product]]&amp;", "&amp;Database_Productkaarten[[#This Row],[Levensfase]]</f>
        <v>Menggranulaat 300mm, Totaal</v>
      </c>
      <c r="B1725" s="33" t="s">
        <v>61</v>
      </c>
      <c r="C1725" s="33" t="s">
        <v>48</v>
      </c>
      <c r="D1725" s="33" t="s">
        <v>50</v>
      </c>
      <c r="E1725" s="33" t="s">
        <v>385</v>
      </c>
      <c r="F1725" s="33" t="s">
        <v>90</v>
      </c>
      <c r="G1725" s="33">
        <v>1</v>
      </c>
      <c r="H1725" s="33">
        <v>1</v>
      </c>
      <c r="I1725" s="33">
        <v>0.3</v>
      </c>
      <c r="L1725" s="33">
        <v>1.95</v>
      </c>
      <c r="M1725" s="271">
        <v>0.58499999999999996</v>
      </c>
      <c r="N1725" s="41">
        <v>0.96533000000000002</v>
      </c>
      <c r="O1725" s="33">
        <v>100</v>
      </c>
      <c r="P1725" s="163">
        <v>1.1E-5</v>
      </c>
      <c r="Q1725" s="163">
        <v>5.67E-2</v>
      </c>
      <c r="R1725" s="163">
        <v>7.72</v>
      </c>
      <c r="S1725" s="163">
        <v>1.4699999999999999E-6</v>
      </c>
      <c r="T1725" s="163">
        <v>4.0800000000000003E-3</v>
      </c>
      <c r="U1725" s="163">
        <v>2.64E-2</v>
      </c>
      <c r="V1725" s="163">
        <v>5.2700000000000004E-3</v>
      </c>
      <c r="W1725" s="163">
        <v>2.62</v>
      </c>
      <c r="X1725" s="163">
        <v>0.20200000000000001</v>
      </c>
      <c r="Y1725" s="163">
        <v>508</v>
      </c>
      <c r="Z1725" s="163">
        <v>0.124</v>
      </c>
      <c r="AA1725" s="40"/>
      <c r="AB1725" s="40"/>
      <c r="AC1725" s="40"/>
      <c r="AD1725" s="40"/>
      <c r="AE1725" s="40"/>
      <c r="AF1725" s="40"/>
      <c r="AG1725" s="40"/>
      <c r="AH1725" s="40"/>
      <c r="AI1725" s="40"/>
      <c r="AJ1725" s="40"/>
      <c r="AK1725" s="40"/>
      <c r="AL1725" s="40"/>
      <c r="AM1725" s="40"/>
      <c r="AN1725" s="40"/>
      <c r="AO1725" s="40"/>
      <c r="AP1725" s="40"/>
      <c r="AQ1725" s="40"/>
      <c r="AR1725" s="40"/>
      <c r="AS1725" s="40"/>
      <c r="AT1725" s="40"/>
      <c r="AU1725" s="40"/>
      <c r="AV1725" s="315">
        <v>1.67</v>
      </c>
      <c r="AW1725" s="317"/>
      <c r="AX1725" s="317"/>
      <c r="AY1725" s="313">
        <v>128</v>
      </c>
      <c r="AZ1725" s="40"/>
      <c r="BA1725" s="40"/>
      <c r="BB1725" s="40"/>
      <c r="BC1725" s="40">
        <v>3.0599999999999999E-2</v>
      </c>
      <c r="BD1725" s="40">
        <v>8.9400000000000005E-4</v>
      </c>
      <c r="BE1725" s="163">
        <v>13</v>
      </c>
      <c r="BF1725" s="163">
        <v>7.7100000000000007E-6</v>
      </c>
      <c r="BG1725" s="40"/>
      <c r="BH1725" s="40"/>
      <c r="BI1725" s="40"/>
      <c r="BJ1725" s="40"/>
      <c r="BK1725" s="40"/>
      <c r="BL1725" s="62">
        <v>1</v>
      </c>
      <c r="BM1725" s="275">
        <v>3</v>
      </c>
      <c r="BN1725" s="62">
        <v>0</v>
      </c>
      <c r="BO1725" s="33" t="s">
        <v>698</v>
      </c>
    </row>
    <row r="1726" spans="1:67">
      <c r="A1726" s="33" t="str">
        <f>Database_Productkaarten[[#This Row],[Product]]&amp;", "&amp;Database_Productkaarten[[#This Row],[Levensfase]]</f>
        <v>Menggranulaat 300mm, A1</v>
      </c>
      <c r="B1726" s="33" t="s">
        <v>61</v>
      </c>
      <c r="C1726" s="33" t="s">
        <v>48</v>
      </c>
      <c r="D1726" s="33" t="s">
        <v>50</v>
      </c>
      <c r="E1726" s="33" t="s">
        <v>385</v>
      </c>
      <c r="F1726" s="33" t="s">
        <v>74</v>
      </c>
      <c r="G1726" s="33">
        <v>1</v>
      </c>
      <c r="H1726" s="33">
        <v>1</v>
      </c>
      <c r="I1726" s="33">
        <v>0.3</v>
      </c>
      <c r="L1726" s="33">
        <v>1.95</v>
      </c>
      <c r="M1726" s="271">
        <v>0.58499999999999996</v>
      </c>
      <c r="N1726" s="41"/>
      <c r="O1726" s="33">
        <v>100</v>
      </c>
      <c r="P1726" s="40"/>
      <c r="Q1726" s="40"/>
      <c r="R1726" s="40"/>
      <c r="S1726" s="40"/>
      <c r="T1726" s="40"/>
      <c r="U1726" s="40"/>
      <c r="V1726" s="40"/>
      <c r="W1726" s="40"/>
      <c r="X1726" s="40"/>
      <c r="Y1726" s="40"/>
      <c r="Z1726" s="40"/>
      <c r="AA1726" s="40"/>
      <c r="AB1726" s="40"/>
      <c r="AC1726" s="40"/>
      <c r="AD1726" s="40"/>
      <c r="AE1726" s="40"/>
      <c r="AF1726" s="40"/>
      <c r="AG1726" s="40"/>
      <c r="AH1726" s="40"/>
      <c r="AI1726" s="40"/>
      <c r="AJ1726" s="40"/>
      <c r="AK1726" s="40"/>
      <c r="AL1726" s="40"/>
      <c r="AM1726" s="40"/>
      <c r="AN1726" s="40"/>
      <c r="AO1726" s="40"/>
      <c r="AP1726" s="40"/>
      <c r="AQ1726" s="40"/>
      <c r="AR1726" s="40"/>
      <c r="AS1726" s="40"/>
      <c r="AT1726" s="40"/>
      <c r="AU1726" s="40"/>
      <c r="AV1726" s="317"/>
      <c r="AW1726" s="317"/>
      <c r="AX1726" s="317"/>
      <c r="AY1726" s="313"/>
      <c r="AZ1726" s="40"/>
      <c r="BA1726" s="40"/>
      <c r="BB1726" s="40"/>
      <c r="BC1726" s="40"/>
      <c r="BD1726" s="40"/>
      <c r="BE1726" s="40"/>
      <c r="BF1726" s="40"/>
      <c r="BG1726" s="40"/>
      <c r="BH1726" s="40"/>
      <c r="BI1726" s="40"/>
      <c r="BJ1726" s="40"/>
      <c r="BK1726" s="40"/>
      <c r="BL1726" s="62">
        <v>1</v>
      </c>
      <c r="BM1726" s="275">
        <v>3</v>
      </c>
      <c r="BN1726" s="62">
        <v>0</v>
      </c>
      <c r="BO1726" s="33" t="s">
        <v>698</v>
      </c>
    </row>
    <row r="1727" spans="1:67">
      <c r="A1727" s="33" t="str">
        <f>Database_Productkaarten[[#This Row],[Product]]&amp;", "&amp;Database_Productkaarten[[#This Row],[Levensfase]]</f>
        <v>Menggranulaat 300mm, A2</v>
      </c>
      <c r="B1727" s="33" t="s">
        <v>61</v>
      </c>
      <c r="C1727" s="33" t="s">
        <v>48</v>
      </c>
      <c r="D1727" s="33" t="s">
        <v>50</v>
      </c>
      <c r="E1727" s="33" t="s">
        <v>385</v>
      </c>
      <c r="F1727" s="33" t="s">
        <v>75</v>
      </c>
      <c r="G1727" s="33">
        <v>1</v>
      </c>
      <c r="H1727" s="33">
        <v>1</v>
      </c>
      <c r="I1727" s="33">
        <v>0.3</v>
      </c>
      <c r="L1727" s="33">
        <v>1.95</v>
      </c>
      <c r="M1727" s="271">
        <v>0.58499999999999996</v>
      </c>
      <c r="N1727" s="41"/>
      <c r="O1727" s="33">
        <v>100</v>
      </c>
      <c r="P1727" s="40"/>
      <c r="Q1727" s="40"/>
      <c r="R1727" s="40"/>
      <c r="S1727" s="40"/>
      <c r="T1727" s="40"/>
      <c r="U1727" s="40"/>
      <c r="V1727" s="40"/>
      <c r="W1727" s="40"/>
      <c r="X1727" s="40"/>
      <c r="Y1727" s="40"/>
      <c r="Z1727" s="40"/>
      <c r="AA1727" s="40"/>
      <c r="AB1727" s="40"/>
      <c r="AC1727" s="40"/>
      <c r="AD1727" s="40"/>
      <c r="AE1727" s="40"/>
      <c r="AF1727" s="40"/>
      <c r="AG1727" s="40"/>
      <c r="AH1727" s="40"/>
      <c r="AI1727" s="40"/>
      <c r="AJ1727" s="40"/>
      <c r="AK1727" s="40"/>
      <c r="AL1727" s="40"/>
      <c r="AM1727" s="40"/>
      <c r="AN1727" s="40"/>
      <c r="AO1727" s="40"/>
      <c r="AP1727" s="40"/>
      <c r="AQ1727" s="40"/>
      <c r="AR1727" s="40"/>
      <c r="AS1727" s="40"/>
      <c r="AT1727" s="40"/>
      <c r="AU1727" s="40"/>
      <c r="AV1727" s="317"/>
      <c r="AW1727" s="317"/>
      <c r="AX1727" s="317"/>
      <c r="AY1727" s="313"/>
      <c r="AZ1727" s="40"/>
      <c r="BA1727" s="40"/>
      <c r="BB1727" s="40"/>
      <c r="BC1727" s="40"/>
      <c r="BD1727" s="40"/>
      <c r="BE1727" s="40"/>
      <c r="BF1727" s="40"/>
      <c r="BG1727" s="40"/>
      <c r="BH1727" s="40"/>
      <c r="BI1727" s="40"/>
      <c r="BJ1727" s="40"/>
      <c r="BK1727" s="40"/>
      <c r="BL1727" s="62">
        <v>1</v>
      </c>
      <c r="BM1727" s="275">
        <v>3</v>
      </c>
      <c r="BN1727" s="62">
        <v>0</v>
      </c>
      <c r="BO1727" s="33" t="s">
        <v>698</v>
      </c>
    </row>
    <row r="1728" spans="1:67">
      <c r="A1728" s="33" t="str">
        <f>Database_Productkaarten[[#This Row],[Product]]&amp;", "&amp;Database_Productkaarten[[#This Row],[Levensfase]]</f>
        <v>Menggranulaat 300mm, A3</v>
      </c>
      <c r="B1728" s="33" t="s">
        <v>61</v>
      </c>
      <c r="C1728" s="33" t="s">
        <v>48</v>
      </c>
      <c r="D1728" s="33" t="s">
        <v>50</v>
      </c>
      <c r="E1728" s="33" t="s">
        <v>385</v>
      </c>
      <c r="F1728" s="33" t="s">
        <v>76</v>
      </c>
      <c r="G1728" s="33">
        <v>1</v>
      </c>
      <c r="H1728" s="33">
        <v>1</v>
      </c>
      <c r="I1728" s="33">
        <v>0.3</v>
      </c>
      <c r="L1728" s="33">
        <v>1.95</v>
      </c>
      <c r="M1728" s="271">
        <v>0.58499999999999996</v>
      </c>
      <c r="N1728" s="41"/>
      <c r="O1728" s="33">
        <v>100</v>
      </c>
      <c r="P1728" s="40"/>
      <c r="Q1728" s="40"/>
      <c r="R1728" s="40"/>
      <c r="S1728" s="40"/>
      <c r="T1728" s="40"/>
      <c r="U1728" s="40"/>
      <c r="V1728" s="40"/>
      <c r="W1728" s="40"/>
      <c r="X1728" s="40"/>
      <c r="Y1728" s="40"/>
      <c r="Z1728" s="40"/>
      <c r="AA1728" s="40"/>
      <c r="AB1728" s="40"/>
      <c r="AC1728" s="40"/>
      <c r="AD1728" s="40"/>
      <c r="AE1728" s="40"/>
      <c r="AF1728" s="40"/>
      <c r="AG1728" s="40"/>
      <c r="AH1728" s="40"/>
      <c r="AI1728" s="40"/>
      <c r="AJ1728" s="40"/>
      <c r="AK1728" s="40"/>
      <c r="AL1728" s="40"/>
      <c r="AM1728" s="40"/>
      <c r="AN1728" s="40"/>
      <c r="AO1728" s="40"/>
      <c r="AP1728" s="40"/>
      <c r="AQ1728" s="40"/>
      <c r="AR1728" s="40"/>
      <c r="AS1728" s="40"/>
      <c r="AT1728" s="40"/>
      <c r="AU1728" s="40"/>
      <c r="AV1728" s="317"/>
      <c r="AW1728" s="317"/>
      <c r="AX1728" s="317"/>
      <c r="AY1728" s="313"/>
      <c r="AZ1728" s="40"/>
      <c r="BA1728" s="40"/>
      <c r="BB1728" s="40"/>
      <c r="BC1728" s="40"/>
      <c r="BD1728" s="40"/>
      <c r="BE1728" s="40"/>
      <c r="BF1728" s="40"/>
      <c r="BG1728" s="40"/>
      <c r="BH1728" s="40"/>
      <c r="BI1728" s="40"/>
      <c r="BJ1728" s="40"/>
      <c r="BK1728" s="40"/>
      <c r="BL1728" s="62">
        <v>1</v>
      </c>
      <c r="BM1728" s="275">
        <v>3</v>
      </c>
      <c r="BN1728" s="62">
        <v>0</v>
      </c>
      <c r="BO1728" s="33" t="s">
        <v>698</v>
      </c>
    </row>
    <row r="1729" spans="1:68">
      <c r="A1729" s="33" t="str">
        <f>Database_Productkaarten[[#This Row],[Product]]&amp;", "&amp;Database_Productkaarten[[#This Row],[Levensfase]]</f>
        <v>Menggranulaat 300mm, A1-A3</v>
      </c>
      <c r="B1729" s="33" t="s">
        <v>61</v>
      </c>
      <c r="C1729" s="451" t="str">
        <f>C1728</f>
        <v>Funderingslagen</v>
      </c>
      <c r="D1729" s="451" t="str">
        <f>D1728</f>
        <v>Menggranulaat</v>
      </c>
      <c r="E1729" s="33" t="s">
        <v>385</v>
      </c>
      <c r="F1729" s="451" t="s">
        <v>77</v>
      </c>
      <c r="G1729" s="33">
        <v>1</v>
      </c>
      <c r="H1729" s="33">
        <v>1</v>
      </c>
      <c r="I1729" s="33">
        <v>0.3</v>
      </c>
      <c r="L1729" s="33">
        <v>1.95</v>
      </c>
      <c r="M1729" s="271">
        <v>0.58499999999999996</v>
      </c>
      <c r="N1729" s="41">
        <v>0</v>
      </c>
      <c r="O1729" s="33">
        <v>100</v>
      </c>
      <c r="P1729" s="163">
        <v>0</v>
      </c>
      <c r="Q1729" s="163">
        <v>0</v>
      </c>
      <c r="R1729" s="163">
        <v>0</v>
      </c>
      <c r="S1729" s="163">
        <v>0</v>
      </c>
      <c r="T1729" s="163">
        <v>0</v>
      </c>
      <c r="U1729" s="163">
        <v>0</v>
      </c>
      <c r="V1729" s="163">
        <v>0</v>
      </c>
      <c r="W1729" s="163">
        <v>0</v>
      </c>
      <c r="X1729" s="163">
        <v>0</v>
      </c>
      <c r="Y1729" s="163">
        <v>0</v>
      </c>
      <c r="Z1729" s="163">
        <v>0</v>
      </c>
      <c r="AA1729" s="40"/>
      <c r="AB1729" s="40"/>
      <c r="AC1729" s="40"/>
      <c r="AD1729" s="40"/>
      <c r="AE1729" s="40"/>
      <c r="AF1729" s="40"/>
      <c r="AG1729" s="40"/>
      <c r="AH1729" s="40"/>
      <c r="AI1729" s="40"/>
      <c r="AJ1729" s="40"/>
      <c r="AK1729" s="40"/>
      <c r="AL1729" s="40"/>
      <c r="AM1729" s="40"/>
      <c r="AN1729" s="40"/>
      <c r="AO1729" s="40"/>
      <c r="AP1729" s="40"/>
      <c r="AQ1729" s="40"/>
      <c r="AR1729" s="40"/>
      <c r="AS1729" s="40"/>
      <c r="AT1729" s="40"/>
      <c r="AU1729" s="40"/>
      <c r="AV1729" s="315">
        <v>0</v>
      </c>
      <c r="AW1729" s="317"/>
      <c r="AX1729" s="317"/>
      <c r="AY1729" s="313">
        <v>0</v>
      </c>
      <c r="AZ1729" s="40"/>
      <c r="BA1729" s="40"/>
      <c r="BB1729" s="40"/>
      <c r="BC1729" s="40">
        <v>0</v>
      </c>
      <c r="BD1729" s="40">
        <v>0</v>
      </c>
      <c r="BE1729" s="163">
        <v>0</v>
      </c>
      <c r="BF1729" s="163">
        <v>0</v>
      </c>
      <c r="BG1729" s="40"/>
      <c r="BH1729" s="40"/>
      <c r="BI1729" s="40"/>
      <c r="BJ1729" s="40"/>
      <c r="BK1729" s="40"/>
      <c r="BL1729" s="62">
        <v>1</v>
      </c>
      <c r="BM1729" s="275">
        <v>3</v>
      </c>
      <c r="BN1729" s="62">
        <v>0</v>
      </c>
      <c r="BO1729" s="33" t="s">
        <v>698</v>
      </c>
    </row>
    <row r="1730" spans="1:68">
      <c r="A1730" s="33" t="str">
        <f>Database_Productkaarten[[#This Row],[Product]]&amp;", "&amp;Database_Productkaarten[[#This Row],[Levensfase]]</f>
        <v>Menggranulaat 300mm, A4</v>
      </c>
      <c r="B1730" s="33" t="s">
        <v>61</v>
      </c>
      <c r="C1730" s="33" t="s">
        <v>48</v>
      </c>
      <c r="D1730" s="33" t="s">
        <v>50</v>
      </c>
      <c r="E1730" s="33" t="s">
        <v>385</v>
      </c>
      <c r="F1730" s="33" t="s">
        <v>78</v>
      </c>
      <c r="G1730" s="33">
        <v>1</v>
      </c>
      <c r="H1730" s="33">
        <v>1</v>
      </c>
      <c r="I1730" s="33">
        <v>0.3</v>
      </c>
      <c r="L1730" s="33">
        <v>1.95</v>
      </c>
      <c r="M1730" s="271">
        <v>0.58499999999999996</v>
      </c>
      <c r="N1730" s="41">
        <v>0.27994999999999998</v>
      </c>
      <c r="O1730" s="33">
        <v>100</v>
      </c>
      <c r="P1730" s="163">
        <v>4.7400000000000004E-6</v>
      </c>
      <c r="Q1730" s="163">
        <v>1.8700000000000001E-2</v>
      </c>
      <c r="R1730" s="163">
        <v>2.4700000000000002</v>
      </c>
      <c r="S1730" s="163">
        <v>4.9100000000000004E-7</v>
      </c>
      <c r="T1730" s="163">
        <v>1.56E-3</v>
      </c>
      <c r="U1730" s="163">
        <v>9.0100000000000006E-3</v>
      </c>
      <c r="V1730" s="163">
        <v>1.8400000000000001E-3</v>
      </c>
      <c r="W1730" s="163">
        <v>0.87</v>
      </c>
      <c r="X1730" s="163">
        <v>5.6099999999999997E-2</v>
      </c>
      <c r="Y1730" s="163">
        <v>147</v>
      </c>
      <c r="Z1730" s="163">
        <v>5.1599999999999997E-3</v>
      </c>
      <c r="AA1730" s="40"/>
      <c r="AB1730" s="40"/>
      <c r="AC1730" s="40"/>
      <c r="AD1730" s="40"/>
      <c r="AE1730" s="40"/>
      <c r="AF1730" s="40"/>
      <c r="AG1730" s="40"/>
      <c r="AH1730" s="40"/>
      <c r="AI1730" s="40"/>
      <c r="AJ1730" s="40"/>
      <c r="AK1730" s="40"/>
      <c r="AL1730" s="40"/>
      <c r="AM1730" s="40"/>
      <c r="AN1730" s="40"/>
      <c r="AO1730" s="40"/>
      <c r="AP1730" s="40"/>
      <c r="AQ1730" s="40"/>
      <c r="AR1730" s="40"/>
      <c r="AS1730" s="40"/>
      <c r="AT1730" s="40"/>
      <c r="AU1730" s="40"/>
      <c r="AV1730" s="315">
        <v>0.66800000000000004</v>
      </c>
      <c r="AW1730" s="317"/>
      <c r="AX1730" s="317"/>
      <c r="AY1730" s="313">
        <v>42.7</v>
      </c>
      <c r="AZ1730" s="40"/>
      <c r="BA1730" s="40"/>
      <c r="BB1730" s="40"/>
      <c r="BC1730" s="40">
        <v>8.6700000000000006E-3</v>
      </c>
      <c r="BD1730" s="40">
        <v>3.0299999999999999E-4</v>
      </c>
      <c r="BE1730" s="163">
        <v>3.53</v>
      </c>
      <c r="BF1730" s="163">
        <v>0</v>
      </c>
      <c r="BG1730" s="40"/>
      <c r="BH1730" s="40"/>
      <c r="BI1730" s="40"/>
      <c r="BJ1730" s="40"/>
      <c r="BK1730" s="40"/>
      <c r="BL1730" s="62">
        <v>1</v>
      </c>
      <c r="BM1730" s="275">
        <v>3</v>
      </c>
      <c r="BN1730" s="62">
        <v>0</v>
      </c>
      <c r="BO1730" s="33" t="s">
        <v>698</v>
      </c>
    </row>
    <row r="1731" spans="1:68">
      <c r="A1731" s="33" t="str">
        <f>Database_Productkaarten[[#This Row],[Product]]&amp;", "&amp;Database_Productkaarten[[#This Row],[Levensfase]]</f>
        <v>Menggranulaat 300mm, A5</v>
      </c>
      <c r="B1731" s="33" t="s">
        <v>61</v>
      </c>
      <c r="C1731" s="33" t="s">
        <v>48</v>
      </c>
      <c r="D1731" s="33" t="s">
        <v>50</v>
      </c>
      <c r="E1731" s="33" t="s">
        <v>385</v>
      </c>
      <c r="F1731" s="33" t="s">
        <v>79</v>
      </c>
      <c r="G1731" s="33">
        <v>1</v>
      </c>
      <c r="H1731" s="33">
        <v>1</v>
      </c>
      <c r="I1731" s="33">
        <v>0.3</v>
      </c>
      <c r="L1731" s="33">
        <v>1.95</v>
      </c>
      <c r="M1731" s="271">
        <v>0.58499999999999996</v>
      </c>
      <c r="N1731" s="41">
        <v>0.18803</v>
      </c>
      <c r="O1731" s="33">
        <v>100</v>
      </c>
      <c r="P1731" s="163">
        <v>9.5000000000000001E-7</v>
      </c>
      <c r="Q1731" s="163">
        <v>1.3899999999999999E-2</v>
      </c>
      <c r="R1731" s="163">
        <v>2.0299999999999998</v>
      </c>
      <c r="S1731" s="163">
        <v>3.53E-7</v>
      </c>
      <c r="T1731" s="163">
        <v>6.6799999999999997E-4</v>
      </c>
      <c r="U1731" s="163">
        <v>5.9500000000000004E-3</v>
      </c>
      <c r="V1731" s="163">
        <v>1.14E-3</v>
      </c>
      <c r="W1731" s="163">
        <v>0.502</v>
      </c>
      <c r="X1731" s="163">
        <v>9.9500000000000005E-3</v>
      </c>
      <c r="Y1731" s="163">
        <v>33.299999999999997</v>
      </c>
      <c r="Z1731" s="163">
        <v>1.7899999999999999E-3</v>
      </c>
      <c r="AA1731" s="40"/>
      <c r="AB1731" s="40"/>
      <c r="AC1731" s="40"/>
      <c r="AD1731" s="40"/>
      <c r="AE1731" s="40"/>
      <c r="AF1731" s="40"/>
      <c r="AG1731" s="40"/>
      <c r="AH1731" s="40"/>
      <c r="AI1731" s="40"/>
      <c r="AJ1731" s="40"/>
      <c r="AK1731" s="40"/>
      <c r="AL1731" s="40"/>
      <c r="AM1731" s="40"/>
      <c r="AN1731" s="40"/>
      <c r="AO1731" s="40"/>
      <c r="AP1731" s="40"/>
      <c r="AQ1731" s="40"/>
      <c r="AR1731" s="40"/>
      <c r="AS1731" s="40"/>
      <c r="AT1731" s="40"/>
      <c r="AU1731" s="40"/>
      <c r="AV1731" s="315">
        <v>0.22600000000000001</v>
      </c>
      <c r="AW1731" s="317"/>
      <c r="AX1731" s="317"/>
      <c r="AY1731" s="313">
        <v>30.9</v>
      </c>
      <c r="AZ1731" s="40"/>
      <c r="BA1731" s="40"/>
      <c r="BB1731" s="40"/>
      <c r="BC1731" s="40">
        <v>2.9199999999999999E-3</v>
      </c>
      <c r="BD1731" s="40">
        <v>2.14E-4</v>
      </c>
      <c r="BE1731" s="163">
        <v>5.1900000000000002E-2</v>
      </c>
      <c r="BF1731" s="163">
        <v>0</v>
      </c>
      <c r="BG1731" s="40"/>
      <c r="BH1731" s="40"/>
      <c r="BI1731" s="40"/>
      <c r="BJ1731" s="40"/>
      <c r="BK1731" s="40"/>
      <c r="BL1731" s="62">
        <v>1</v>
      </c>
      <c r="BM1731" s="275">
        <v>3</v>
      </c>
      <c r="BN1731" s="62">
        <v>0</v>
      </c>
      <c r="BO1731" s="33" t="s">
        <v>698</v>
      </c>
    </row>
    <row r="1732" spans="1:68">
      <c r="A1732" s="33" t="str">
        <f>Database_Productkaarten[[#This Row],[Product]]&amp;", "&amp;Database_Productkaarten[[#This Row],[Levensfase]]</f>
        <v>Menggranulaat 300mm, B1</v>
      </c>
      <c r="B1732" s="33" t="s">
        <v>61</v>
      </c>
      <c r="C1732" s="33" t="s">
        <v>48</v>
      </c>
      <c r="D1732" s="33" t="s">
        <v>50</v>
      </c>
      <c r="E1732" s="33" t="s">
        <v>385</v>
      </c>
      <c r="F1732" s="33" t="s">
        <v>80</v>
      </c>
      <c r="G1732" s="33">
        <v>1</v>
      </c>
      <c r="H1732" s="33">
        <v>1</v>
      </c>
      <c r="I1732" s="33">
        <v>0.3</v>
      </c>
      <c r="L1732" s="33">
        <v>1.95</v>
      </c>
      <c r="M1732" s="271">
        <v>0.58499999999999996</v>
      </c>
      <c r="N1732" s="41">
        <v>4.1239999999999999E-2</v>
      </c>
      <c r="O1732" s="33">
        <v>100</v>
      </c>
      <c r="P1732" s="163">
        <v>0</v>
      </c>
      <c r="Q1732" s="163">
        <v>0</v>
      </c>
      <c r="R1732" s="163">
        <v>0</v>
      </c>
      <c r="S1732" s="163">
        <v>0</v>
      </c>
      <c r="T1732" s="163">
        <v>0</v>
      </c>
      <c r="U1732" s="163">
        <v>0</v>
      </c>
      <c r="V1732" s="163">
        <v>0</v>
      </c>
      <c r="W1732" s="163">
        <v>0.17399999999999999</v>
      </c>
      <c r="X1732" s="163">
        <v>7.5800000000000006E-2</v>
      </c>
      <c r="Y1732" s="163">
        <v>166</v>
      </c>
      <c r="Z1732" s="163">
        <v>0.112</v>
      </c>
      <c r="AA1732" s="40"/>
      <c r="AB1732" s="40"/>
      <c r="AC1732" s="40"/>
      <c r="AD1732" s="40"/>
      <c r="AE1732" s="40"/>
      <c r="AF1732" s="40"/>
      <c r="AG1732" s="40"/>
      <c r="AH1732" s="40"/>
      <c r="AI1732" s="40"/>
      <c r="AJ1732" s="40"/>
      <c r="AK1732" s="40"/>
      <c r="AL1732" s="40"/>
      <c r="AM1732" s="40"/>
      <c r="AN1732" s="40"/>
      <c r="AO1732" s="40"/>
      <c r="AP1732" s="40"/>
      <c r="AQ1732" s="40"/>
      <c r="AR1732" s="40"/>
      <c r="AS1732" s="40"/>
      <c r="AT1732" s="40"/>
      <c r="AU1732" s="40"/>
      <c r="AV1732" s="315">
        <v>0</v>
      </c>
      <c r="AW1732" s="317"/>
      <c r="AX1732" s="317"/>
      <c r="AY1732" s="313">
        <v>0</v>
      </c>
      <c r="AZ1732" s="40"/>
      <c r="BA1732" s="40"/>
      <c r="BB1732" s="40"/>
      <c r="BC1732" s="40">
        <v>0</v>
      </c>
      <c r="BD1732" s="40">
        <v>0</v>
      </c>
      <c r="BE1732" s="163">
        <v>0</v>
      </c>
      <c r="BF1732" s="163">
        <v>0</v>
      </c>
      <c r="BG1732" s="40"/>
      <c r="BH1732" s="40"/>
      <c r="BI1732" s="40"/>
      <c r="BJ1732" s="40"/>
      <c r="BK1732" s="40"/>
      <c r="BL1732" s="62">
        <v>1</v>
      </c>
      <c r="BM1732" s="275">
        <v>3</v>
      </c>
      <c r="BN1732" s="62">
        <v>0</v>
      </c>
      <c r="BO1732" s="33" t="s">
        <v>698</v>
      </c>
    </row>
    <row r="1733" spans="1:68">
      <c r="A1733" s="33" t="str">
        <f>Database_Productkaarten[[#This Row],[Product]]&amp;", "&amp;Database_Productkaarten[[#This Row],[Levensfase]]</f>
        <v>Menggranulaat 300mm, C1</v>
      </c>
      <c r="B1733" s="33" t="s">
        <v>61</v>
      </c>
      <c r="C1733" s="33" t="s">
        <v>48</v>
      </c>
      <c r="D1733" s="33" t="s">
        <v>50</v>
      </c>
      <c r="E1733" s="33" t="s">
        <v>385</v>
      </c>
      <c r="F1733" s="33" t="s">
        <v>83</v>
      </c>
      <c r="G1733" s="33">
        <v>1</v>
      </c>
      <c r="H1733" s="33">
        <v>1</v>
      </c>
      <c r="I1733" s="33">
        <v>0.3</v>
      </c>
      <c r="L1733" s="33">
        <v>1.95</v>
      </c>
      <c r="M1733" s="271">
        <v>0.58499999999999996</v>
      </c>
      <c r="N1733" s="41">
        <v>6.2149999999999997E-2</v>
      </c>
      <c r="O1733" s="33">
        <v>100</v>
      </c>
      <c r="P1733" s="163">
        <v>3.1399999999999998E-7</v>
      </c>
      <c r="Q1733" s="163">
        <v>4.5799999999999999E-3</v>
      </c>
      <c r="R1733" s="163">
        <v>0.67100000000000004</v>
      </c>
      <c r="S1733" s="163">
        <v>1.17E-7</v>
      </c>
      <c r="T1733" s="163">
        <v>2.2100000000000001E-4</v>
      </c>
      <c r="U1733" s="163">
        <v>1.97E-3</v>
      </c>
      <c r="V1733" s="163">
        <v>3.7599999999999998E-4</v>
      </c>
      <c r="W1733" s="163">
        <v>0.16600000000000001</v>
      </c>
      <c r="X1733" s="163">
        <v>3.29E-3</v>
      </c>
      <c r="Y1733" s="163">
        <v>11</v>
      </c>
      <c r="Z1733" s="163">
        <v>5.9100000000000005E-4</v>
      </c>
      <c r="AA1733" s="40"/>
      <c r="AB1733" s="40"/>
      <c r="AC1733" s="40"/>
      <c r="AD1733" s="40"/>
      <c r="AE1733" s="40"/>
      <c r="AF1733" s="40"/>
      <c r="AG1733" s="40"/>
      <c r="AH1733" s="40"/>
      <c r="AI1733" s="40"/>
      <c r="AJ1733" s="40"/>
      <c r="AK1733" s="40"/>
      <c r="AL1733" s="40"/>
      <c r="AM1733" s="40"/>
      <c r="AN1733" s="40"/>
      <c r="AO1733" s="40"/>
      <c r="AP1733" s="40"/>
      <c r="AQ1733" s="40"/>
      <c r="AR1733" s="40"/>
      <c r="AS1733" s="40"/>
      <c r="AT1733" s="40"/>
      <c r="AU1733" s="40"/>
      <c r="AV1733" s="315">
        <v>7.46E-2</v>
      </c>
      <c r="AW1733" s="317"/>
      <c r="AX1733" s="317"/>
      <c r="AY1733" s="313">
        <v>10.199999999999999</v>
      </c>
      <c r="AZ1733" s="40"/>
      <c r="BA1733" s="40"/>
      <c r="BB1733" s="40"/>
      <c r="BC1733" s="40">
        <v>9.6599999999999995E-4</v>
      </c>
      <c r="BD1733" s="40">
        <v>7.0599999999999995E-5</v>
      </c>
      <c r="BE1733" s="163">
        <v>1.72E-2</v>
      </c>
      <c r="BF1733" s="163">
        <v>0</v>
      </c>
      <c r="BG1733" s="40"/>
      <c r="BH1733" s="40"/>
      <c r="BI1733" s="40"/>
      <c r="BJ1733" s="40"/>
      <c r="BK1733" s="40"/>
      <c r="BL1733" s="62">
        <v>1</v>
      </c>
      <c r="BM1733" s="275">
        <v>3</v>
      </c>
      <c r="BN1733" s="62">
        <v>0</v>
      </c>
      <c r="BO1733" s="33" t="s">
        <v>698</v>
      </c>
    </row>
    <row r="1734" spans="1:68">
      <c r="A1734" s="33" t="str">
        <f>Database_Productkaarten[[#This Row],[Product]]&amp;", "&amp;Database_Productkaarten[[#This Row],[Levensfase]]</f>
        <v>Menggranulaat 300mm, C2</v>
      </c>
      <c r="B1734" s="33" t="s">
        <v>61</v>
      </c>
      <c r="C1734" s="33" t="s">
        <v>48</v>
      </c>
      <c r="D1734" s="33" t="s">
        <v>50</v>
      </c>
      <c r="E1734" s="33" t="s">
        <v>385</v>
      </c>
      <c r="F1734" s="33" t="s">
        <v>84</v>
      </c>
      <c r="G1734" s="33">
        <v>1</v>
      </c>
      <c r="H1734" s="33">
        <v>1</v>
      </c>
      <c r="I1734" s="33">
        <v>0.3</v>
      </c>
      <c r="L1734" s="33">
        <v>1.95</v>
      </c>
      <c r="M1734" s="271">
        <v>0.58499999999999996</v>
      </c>
      <c r="N1734" s="41">
        <v>0.28275</v>
      </c>
      <c r="O1734" s="33">
        <v>100</v>
      </c>
      <c r="P1734" s="163">
        <v>4.7899999999999999E-6</v>
      </c>
      <c r="Q1734" s="163">
        <v>1.89E-2</v>
      </c>
      <c r="R1734" s="163">
        <v>2.5</v>
      </c>
      <c r="S1734" s="163">
        <v>4.9599999999999999E-7</v>
      </c>
      <c r="T1734" s="163">
        <v>1.58E-3</v>
      </c>
      <c r="U1734" s="163">
        <v>9.1000000000000004E-3</v>
      </c>
      <c r="V1734" s="163">
        <v>1.8500000000000001E-3</v>
      </c>
      <c r="W1734" s="163">
        <v>0.879</v>
      </c>
      <c r="X1734" s="163">
        <v>5.67E-2</v>
      </c>
      <c r="Y1734" s="163">
        <v>148</v>
      </c>
      <c r="Z1734" s="163">
        <v>5.2100000000000002E-3</v>
      </c>
      <c r="AA1734" s="40"/>
      <c r="AB1734" s="40"/>
      <c r="AC1734" s="40"/>
      <c r="AD1734" s="40"/>
      <c r="AE1734" s="40"/>
      <c r="AF1734" s="40"/>
      <c r="AG1734" s="40"/>
      <c r="AH1734" s="40"/>
      <c r="AI1734" s="40"/>
      <c r="AJ1734" s="40"/>
      <c r="AK1734" s="40"/>
      <c r="AL1734" s="40"/>
      <c r="AM1734" s="40"/>
      <c r="AN1734" s="40"/>
      <c r="AO1734" s="40"/>
      <c r="AP1734" s="40"/>
      <c r="AQ1734" s="40"/>
      <c r="AR1734" s="40"/>
      <c r="AS1734" s="40"/>
      <c r="AT1734" s="40"/>
      <c r="AU1734" s="40"/>
      <c r="AV1734" s="315">
        <v>0.67500000000000004</v>
      </c>
      <c r="AW1734" s="317"/>
      <c r="AX1734" s="317"/>
      <c r="AY1734" s="313">
        <v>43.2</v>
      </c>
      <c r="AZ1734" s="40"/>
      <c r="BA1734" s="40"/>
      <c r="BB1734" s="40"/>
      <c r="BC1734" s="40">
        <v>8.7600000000000004E-3</v>
      </c>
      <c r="BD1734" s="40">
        <v>3.0600000000000001E-4</v>
      </c>
      <c r="BE1734" s="163">
        <v>3.56</v>
      </c>
      <c r="BF1734" s="163">
        <v>0</v>
      </c>
      <c r="BG1734" s="40"/>
      <c r="BH1734" s="40"/>
      <c r="BI1734" s="40"/>
      <c r="BJ1734" s="40"/>
      <c r="BK1734" s="40"/>
      <c r="BL1734" s="62">
        <v>1</v>
      </c>
      <c r="BM1734" s="275">
        <v>3</v>
      </c>
      <c r="BN1734" s="62">
        <v>0</v>
      </c>
      <c r="BO1734" s="33" t="s">
        <v>698</v>
      </c>
    </row>
    <row r="1735" spans="1:68">
      <c r="A1735" s="33" t="str">
        <f>Database_Productkaarten[[#This Row],[Product]]&amp;", "&amp;Database_Productkaarten[[#This Row],[Levensfase]]</f>
        <v>Menggranulaat 300mm, C3</v>
      </c>
      <c r="B1735" s="33" t="s">
        <v>61</v>
      </c>
      <c r="C1735" s="33" t="s">
        <v>48</v>
      </c>
      <c r="D1735" s="33" t="s">
        <v>50</v>
      </c>
      <c r="E1735" s="33" t="s">
        <v>385</v>
      </c>
      <c r="F1735" s="33" t="s">
        <v>85</v>
      </c>
      <c r="G1735" s="33">
        <v>1</v>
      </c>
      <c r="H1735" s="33">
        <v>1</v>
      </c>
      <c r="I1735" s="33">
        <v>0.3</v>
      </c>
      <c r="L1735" s="33">
        <v>1.95</v>
      </c>
      <c r="M1735" s="271">
        <v>0.58499999999999996</v>
      </c>
      <c r="N1735" s="41">
        <v>9.8080000000000001E-2</v>
      </c>
      <c r="O1735" s="33">
        <v>100</v>
      </c>
      <c r="P1735" s="163">
        <v>0</v>
      </c>
      <c r="Q1735" s="163">
        <v>0</v>
      </c>
      <c r="R1735" s="163">
        <v>0</v>
      </c>
      <c r="S1735" s="163">
        <v>0</v>
      </c>
      <c r="T1735" s="163">
        <v>0</v>
      </c>
      <c r="U1735" s="163">
        <v>0</v>
      </c>
      <c r="V1735" s="163">
        <v>0</v>
      </c>
      <c r="W1735" s="163">
        <v>0</v>
      </c>
      <c r="X1735" s="163">
        <v>0</v>
      </c>
      <c r="Y1735" s="163">
        <v>0</v>
      </c>
      <c r="Z1735" s="163">
        <v>0</v>
      </c>
      <c r="AA1735" s="40"/>
      <c r="AB1735" s="40"/>
      <c r="AC1735" s="40"/>
      <c r="AD1735" s="40"/>
      <c r="AE1735" s="40"/>
      <c r="AF1735" s="40"/>
      <c r="AG1735" s="40"/>
      <c r="AH1735" s="40"/>
      <c r="AI1735" s="40"/>
      <c r="AJ1735" s="40"/>
      <c r="AK1735" s="40"/>
      <c r="AL1735" s="40"/>
      <c r="AM1735" s="40"/>
      <c r="AN1735" s="40"/>
      <c r="AO1735" s="40"/>
      <c r="AP1735" s="40"/>
      <c r="AQ1735" s="40"/>
      <c r="AR1735" s="40"/>
      <c r="AS1735" s="40"/>
      <c r="AT1735" s="40"/>
      <c r="AU1735" s="40"/>
      <c r="AV1735" s="315">
        <v>0</v>
      </c>
      <c r="AW1735" s="317"/>
      <c r="AX1735" s="317"/>
      <c r="AY1735" s="313">
        <v>0</v>
      </c>
      <c r="AZ1735" s="40"/>
      <c r="BA1735" s="40"/>
      <c r="BB1735" s="40"/>
      <c r="BC1735" s="40">
        <v>0</v>
      </c>
      <c r="BD1735" s="40">
        <v>0</v>
      </c>
      <c r="BE1735" s="163">
        <v>0</v>
      </c>
      <c r="BF1735" s="163">
        <v>0</v>
      </c>
      <c r="BG1735" s="40"/>
      <c r="BH1735" s="40"/>
      <c r="BI1735" s="40"/>
      <c r="BJ1735" s="40"/>
      <c r="BK1735" s="40"/>
      <c r="BL1735" s="62">
        <v>1</v>
      </c>
      <c r="BM1735" s="275">
        <v>3</v>
      </c>
      <c r="BN1735" s="62">
        <v>0</v>
      </c>
      <c r="BO1735" s="33" t="s">
        <v>698</v>
      </c>
    </row>
    <row r="1736" spans="1:68">
      <c r="A1736" s="33" t="str">
        <f>Database_Productkaarten[[#This Row],[Product]]&amp;", "&amp;Database_Productkaarten[[#This Row],[Levensfase]]</f>
        <v>Menggranulaat 300mm, C4</v>
      </c>
      <c r="B1736" s="33" t="s">
        <v>61</v>
      </c>
      <c r="C1736" s="33" t="s">
        <v>48</v>
      </c>
      <c r="D1736" s="33" t="s">
        <v>50</v>
      </c>
      <c r="E1736" s="33" t="s">
        <v>385</v>
      </c>
      <c r="F1736" s="33" t="s">
        <v>86</v>
      </c>
      <c r="G1736" s="33">
        <v>1</v>
      </c>
      <c r="H1736" s="33">
        <v>1</v>
      </c>
      <c r="I1736" s="33">
        <v>0.3</v>
      </c>
      <c r="L1736" s="33">
        <v>1.95</v>
      </c>
      <c r="M1736" s="271">
        <v>0.58499999999999996</v>
      </c>
      <c r="N1736" s="41">
        <v>4.3499999999999997E-3</v>
      </c>
      <c r="O1736" s="33">
        <v>100</v>
      </c>
      <c r="P1736" s="163">
        <v>3.4800000000000001E-8</v>
      </c>
      <c r="Q1736" s="163">
        <v>4.5199999999999998E-4</v>
      </c>
      <c r="R1736" s="163">
        <v>3.09E-2</v>
      </c>
      <c r="S1736" s="163">
        <v>1.11E-8</v>
      </c>
      <c r="T1736" s="163">
        <v>3.3599999999999997E-5</v>
      </c>
      <c r="U1736" s="163">
        <v>2.33E-4</v>
      </c>
      <c r="V1736" s="163">
        <v>4.4100000000000001E-5</v>
      </c>
      <c r="W1736" s="163">
        <v>1.34E-2</v>
      </c>
      <c r="X1736" s="163">
        <v>3.2499999999999999E-4</v>
      </c>
      <c r="Y1736" s="163">
        <v>1.1399999999999999</v>
      </c>
      <c r="Z1736" s="163">
        <v>3.3500000000000001E-5</v>
      </c>
      <c r="AA1736" s="40"/>
      <c r="AB1736" s="40"/>
      <c r="AC1736" s="40"/>
      <c r="AD1736" s="40"/>
      <c r="AE1736" s="40"/>
      <c r="AF1736" s="40"/>
      <c r="AG1736" s="40"/>
      <c r="AH1736" s="40"/>
      <c r="AI1736" s="40"/>
      <c r="AJ1736" s="40"/>
      <c r="AK1736" s="40"/>
      <c r="AL1736" s="40"/>
      <c r="AM1736" s="40"/>
      <c r="AN1736" s="40"/>
      <c r="AO1736" s="40"/>
      <c r="AP1736" s="40"/>
      <c r="AQ1736" s="40"/>
      <c r="AR1736" s="40"/>
      <c r="AS1736" s="40"/>
      <c r="AT1736" s="40"/>
      <c r="AU1736" s="40"/>
      <c r="AV1736" s="315">
        <v>7.77E-3</v>
      </c>
      <c r="AW1736" s="317"/>
      <c r="AX1736" s="317"/>
      <c r="AY1736" s="313">
        <v>1.01</v>
      </c>
      <c r="AZ1736" s="40"/>
      <c r="BA1736" s="40"/>
      <c r="BB1736" s="40"/>
      <c r="BC1736" s="40">
        <v>9.9099999999999991E-4</v>
      </c>
      <c r="BD1736" s="40">
        <v>6.3499999999999996E-7</v>
      </c>
      <c r="BE1736" s="163">
        <v>5.85</v>
      </c>
      <c r="BF1736" s="163">
        <v>6.28E-6</v>
      </c>
      <c r="BG1736" s="40"/>
      <c r="BH1736" s="40"/>
      <c r="BI1736" s="40"/>
      <c r="BJ1736" s="40"/>
      <c r="BK1736" s="40"/>
      <c r="BL1736" s="62">
        <v>1</v>
      </c>
      <c r="BM1736" s="275">
        <v>3</v>
      </c>
      <c r="BN1736" s="62">
        <v>0</v>
      </c>
      <c r="BO1736" s="33" t="s">
        <v>698</v>
      </c>
    </row>
    <row r="1737" spans="1:68">
      <c r="A1737" s="33" t="str">
        <f>Database_Productkaarten[[#This Row],[Product]]&amp;", "&amp;Database_Productkaarten[[#This Row],[Levensfase]]</f>
        <v>Menggranulaat 300mm, D</v>
      </c>
      <c r="B1737" s="33" t="s">
        <v>61</v>
      </c>
      <c r="C1737" s="33" t="str">
        <f>C1738</f>
        <v>Funderingslagen</v>
      </c>
      <c r="D1737" s="33" t="str">
        <f>D1738</f>
        <v>Menggranulaat</v>
      </c>
      <c r="E1737" s="33" t="s">
        <v>385</v>
      </c>
      <c r="F1737" s="33" t="s">
        <v>89</v>
      </c>
      <c r="G1737" s="33">
        <v>1</v>
      </c>
      <c r="H1737" s="33">
        <v>1</v>
      </c>
      <c r="I1737" s="33">
        <v>0.3</v>
      </c>
      <c r="L1737" s="33">
        <v>1.95</v>
      </c>
      <c r="M1737" s="271">
        <v>0.58499999999999996</v>
      </c>
      <c r="N1737" s="41">
        <v>8.7899999999999992E-3</v>
      </c>
      <c r="O1737" s="33">
        <v>100</v>
      </c>
      <c r="P1737" s="163">
        <v>1.36E-7</v>
      </c>
      <c r="Q1737" s="163">
        <v>1.6899999999999999E-4</v>
      </c>
      <c r="R1737" s="163">
        <v>2.46E-2</v>
      </c>
      <c r="S1737" s="163">
        <v>2.1999999999999998E-9</v>
      </c>
      <c r="T1737" s="163">
        <v>1.7799999999999999E-5</v>
      </c>
      <c r="U1737" s="163">
        <v>1.4100000000000001E-4</v>
      </c>
      <c r="V1737" s="163">
        <v>2.4499999999999999E-5</v>
      </c>
      <c r="W1737" s="163">
        <v>1.0999999999999999E-2</v>
      </c>
      <c r="X1737" s="163">
        <v>1.5699999999999999E-4</v>
      </c>
      <c r="Y1737" s="163">
        <v>0.68600000000000005</v>
      </c>
      <c r="Z1737" s="163">
        <v>5.7299999999999997E-5</v>
      </c>
      <c r="AA1737" s="40"/>
      <c r="AB1737" s="40"/>
      <c r="AC1737" s="40"/>
      <c r="AD1737" s="40"/>
      <c r="AE1737" s="40"/>
      <c r="AF1737" s="40"/>
      <c r="AG1737" s="40"/>
      <c r="AH1737" s="40"/>
      <c r="AI1737" s="40"/>
      <c r="AJ1737" s="40"/>
      <c r="AK1737" s="40"/>
      <c r="AL1737" s="40"/>
      <c r="AM1737" s="40"/>
      <c r="AN1737" s="40"/>
      <c r="AO1737" s="40"/>
      <c r="AP1737" s="40"/>
      <c r="AQ1737" s="40"/>
      <c r="AR1737" s="40"/>
      <c r="AS1737" s="40"/>
      <c r="AT1737" s="40"/>
      <c r="AU1737" s="40"/>
      <c r="AV1737" s="315">
        <v>2.07E-2</v>
      </c>
      <c r="AW1737" s="317"/>
      <c r="AX1737" s="317"/>
      <c r="AY1737" s="313">
        <v>0.33900000000000002</v>
      </c>
      <c r="AZ1737" s="40"/>
      <c r="BA1737" s="40"/>
      <c r="BB1737" s="40"/>
      <c r="BC1737" s="40">
        <v>8.26E-3</v>
      </c>
      <c r="BD1737" s="40">
        <v>4.5200000000000002E-7</v>
      </c>
      <c r="BE1737" s="163">
        <v>3.2100000000000002E-3</v>
      </c>
      <c r="BF1737" s="163">
        <v>1.4300000000000001E-6</v>
      </c>
      <c r="BG1737" s="40"/>
      <c r="BH1737" s="40"/>
      <c r="BI1737" s="40"/>
      <c r="BJ1737" s="40"/>
      <c r="BK1737" s="40"/>
      <c r="BL1737" s="62">
        <v>1</v>
      </c>
      <c r="BM1737" s="275">
        <v>3</v>
      </c>
      <c r="BN1737" s="62">
        <v>0</v>
      </c>
      <c r="BO1737" s="33" t="s">
        <v>698</v>
      </c>
    </row>
    <row r="1738" spans="1:68">
      <c r="A1738" s="33" t="str">
        <f>Database_Productkaarten[[#This Row],[Product]]&amp;", "&amp;Database_Productkaarten[[#This Row],[Levensfase]]</f>
        <v>Menggranulaat 300mm, D1</v>
      </c>
      <c r="B1738" s="33" t="s">
        <v>61</v>
      </c>
      <c r="C1738" s="33" t="s">
        <v>48</v>
      </c>
      <c r="D1738" s="33" t="s">
        <v>50</v>
      </c>
      <c r="E1738" s="33" t="s">
        <v>385</v>
      </c>
      <c r="F1738" s="33" t="s">
        <v>87</v>
      </c>
      <c r="G1738" s="33">
        <v>1</v>
      </c>
      <c r="H1738" s="33">
        <v>1</v>
      </c>
      <c r="I1738" s="33">
        <v>0.3</v>
      </c>
      <c r="L1738" s="33">
        <v>1.95</v>
      </c>
      <c r="M1738" s="271">
        <v>0.58499999999999996</v>
      </c>
      <c r="N1738" s="41"/>
      <c r="O1738" s="33">
        <v>100</v>
      </c>
      <c r="P1738" s="40"/>
      <c r="Q1738" s="40"/>
      <c r="R1738" s="40"/>
      <c r="S1738" s="40"/>
      <c r="T1738" s="40"/>
      <c r="U1738" s="40"/>
      <c r="V1738" s="40"/>
      <c r="W1738" s="40"/>
      <c r="X1738" s="40"/>
      <c r="Y1738" s="40"/>
      <c r="Z1738" s="40"/>
      <c r="AA1738" s="40"/>
      <c r="AB1738" s="40"/>
      <c r="AC1738" s="40"/>
      <c r="AD1738" s="40"/>
      <c r="AE1738" s="40"/>
      <c r="AF1738" s="40"/>
      <c r="AG1738" s="40"/>
      <c r="AH1738" s="40"/>
      <c r="AI1738" s="40"/>
      <c r="AJ1738" s="40"/>
      <c r="AK1738" s="40"/>
      <c r="AL1738" s="40"/>
      <c r="AM1738" s="40"/>
      <c r="AN1738" s="40"/>
      <c r="AO1738" s="40"/>
      <c r="AP1738" s="40"/>
      <c r="AQ1738" s="40"/>
      <c r="AR1738" s="40"/>
      <c r="AS1738" s="40"/>
      <c r="AT1738" s="40"/>
      <c r="AU1738" s="40"/>
      <c r="AV1738" s="313"/>
      <c r="AW1738" s="317"/>
      <c r="AX1738" s="317"/>
      <c r="AY1738" s="313"/>
      <c r="AZ1738" s="40"/>
      <c r="BA1738" s="40"/>
      <c r="BB1738" s="40"/>
      <c r="BC1738" s="40"/>
      <c r="BD1738" s="40"/>
      <c r="BE1738" s="40"/>
      <c r="BF1738" s="40"/>
      <c r="BG1738" s="40"/>
      <c r="BH1738" s="40"/>
      <c r="BI1738" s="40"/>
      <c r="BJ1738" s="40"/>
      <c r="BK1738" s="40"/>
      <c r="BL1738" s="62">
        <v>1</v>
      </c>
      <c r="BM1738" s="275">
        <v>3</v>
      </c>
      <c r="BN1738" s="62">
        <v>0</v>
      </c>
      <c r="BO1738" s="33" t="s">
        <v>698</v>
      </c>
    </row>
    <row r="1739" spans="1:68">
      <c r="A1739" s="33" t="str">
        <f>Database_Productkaarten[[#This Row],[Product]]&amp;", "&amp;Database_Productkaarten[[#This Row],[Levensfase]]</f>
        <v>Menggranulaat 300mm, D2</v>
      </c>
      <c r="B1739" s="33" t="s">
        <v>61</v>
      </c>
      <c r="C1739" s="33" t="s">
        <v>48</v>
      </c>
      <c r="D1739" s="33" t="s">
        <v>50</v>
      </c>
      <c r="E1739" s="33" t="s">
        <v>385</v>
      </c>
      <c r="F1739" s="33" t="s">
        <v>88</v>
      </c>
      <c r="G1739" s="33">
        <v>1</v>
      </c>
      <c r="H1739" s="33">
        <v>1</v>
      </c>
      <c r="I1739" s="33">
        <v>0.3</v>
      </c>
      <c r="L1739" s="33">
        <v>1.95</v>
      </c>
      <c r="M1739" s="271">
        <v>0.58499999999999996</v>
      </c>
      <c r="N1739" s="41"/>
      <c r="O1739" s="33">
        <v>100</v>
      </c>
      <c r="P1739" s="40"/>
      <c r="Q1739" s="40"/>
      <c r="R1739" s="40"/>
      <c r="S1739" s="40"/>
      <c r="T1739" s="40"/>
      <c r="U1739" s="40"/>
      <c r="V1739" s="40"/>
      <c r="W1739" s="40"/>
      <c r="X1739" s="40"/>
      <c r="Y1739" s="40"/>
      <c r="Z1739" s="40"/>
      <c r="AA1739" s="40"/>
      <c r="AB1739" s="40"/>
      <c r="AC1739" s="40"/>
      <c r="AD1739" s="40"/>
      <c r="AE1739" s="40"/>
      <c r="AF1739" s="40"/>
      <c r="AG1739" s="40"/>
      <c r="AH1739" s="40"/>
      <c r="AI1739" s="40"/>
      <c r="AJ1739" s="40"/>
      <c r="AK1739" s="40"/>
      <c r="AL1739" s="40"/>
      <c r="AM1739" s="40"/>
      <c r="AN1739" s="40"/>
      <c r="AO1739" s="40"/>
      <c r="AP1739" s="40"/>
      <c r="AQ1739" s="40"/>
      <c r="AR1739" s="40"/>
      <c r="AS1739" s="40"/>
      <c r="AT1739" s="40"/>
      <c r="AU1739" s="40"/>
      <c r="AV1739" s="313"/>
      <c r="AW1739" s="317"/>
      <c r="AX1739" s="317"/>
      <c r="AY1739" s="313"/>
      <c r="AZ1739" s="40"/>
      <c r="BA1739" s="40"/>
      <c r="BB1739" s="40"/>
      <c r="BC1739" s="40"/>
      <c r="BD1739" s="40"/>
      <c r="BE1739" s="40"/>
      <c r="BF1739" s="40"/>
      <c r="BG1739" s="40"/>
      <c r="BH1739" s="40"/>
      <c r="BI1739" s="40"/>
      <c r="BJ1739" s="40"/>
      <c r="BK1739" s="40"/>
      <c r="BL1739" s="62">
        <v>1</v>
      </c>
      <c r="BM1739" s="275">
        <v>3</v>
      </c>
      <c r="BN1739" s="62">
        <v>0</v>
      </c>
      <c r="BO1739" s="33" t="s">
        <v>698</v>
      </c>
    </row>
    <row r="1740" spans="1:68">
      <c r="A1740" s="33" t="str">
        <f>Database_Productkaarten[[#This Row],[Product]]&amp;", "&amp;Database_Productkaarten[[#This Row],[Levensfase]]</f>
        <v>Betongranulaat 200mm, Totaal</v>
      </c>
      <c r="B1740" s="33" t="s">
        <v>699</v>
      </c>
      <c r="C1740" s="33" t="s">
        <v>48</v>
      </c>
      <c r="D1740" s="33" t="s">
        <v>700</v>
      </c>
      <c r="E1740" s="33" t="s">
        <v>385</v>
      </c>
      <c r="F1740" s="33" t="s">
        <v>90</v>
      </c>
      <c r="G1740" s="33">
        <v>1</v>
      </c>
      <c r="H1740" s="33">
        <v>1</v>
      </c>
      <c r="I1740" s="33">
        <v>0.2</v>
      </c>
      <c r="L1740" s="33">
        <v>2.2000000000000002</v>
      </c>
      <c r="M1740" s="269">
        <v>0.44</v>
      </c>
      <c r="N1740" s="41">
        <v>0.50236999999999998</v>
      </c>
      <c r="O1740" s="33">
        <v>100</v>
      </c>
      <c r="P1740" s="163">
        <v>8.5599999999999994E-6</v>
      </c>
      <c r="Q1740" s="163">
        <v>4.7199999999999999E-2</v>
      </c>
      <c r="R1740" s="163">
        <v>6.48</v>
      </c>
      <c r="S1740" s="163">
        <v>1.22E-6</v>
      </c>
      <c r="T1740" s="163">
        <v>3.29E-3</v>
      </c>
      <c r="U1740" s="163">
        <v>2.18E-2</v>
      </c>
      <c r="V1740" s="163">
        <v>4.3400000000000001E-3</v>
      </c>
      <c r="W1740" s="163">
        <v>2.12</v>
      </c>
      <c r="X1740" s="163">
        <v>0.14899999999999999</v>
      </c>
      <c r="Y1740" s="163">
        <v>379</v>
      </c>
      <c r="Z1740" s="163">
        <v>8.4599999999999995E-2</v>
      </c>
      <c r="AA1740" s="40"/>
      <c r="AB1740" s="40"/>
      <c r="AC1740" s="40"/>
      <c r="AD1740" s="40"/>
      <c r="AE1740" s="40"/>
      <c r="AF1740" s="40"/>
      <c r="AG1740" s="40"/>
      <c r="AH1740" s="40"/>
      <c r="AI1740" s="40"/>
      <c r="AJ1740" s="40"/>
      <c r="AK1740" s="40"/>
      <c r="AL1740" s="40"/>
      <c r="AM1740" s="40"/>
      <c r="AN1740" s="40"/>
      <c r="AO1740" s="40"/>
      <c r="AP1740" s="40"/>
      <c r="AQ1740" s="40"/>
      <c r="AR1740" s="40"/>
      <c r="AS1740" s="40"/>
      <c r="AT1740" s="40"/>
      <c r="AU1740" s="40"/>
      <c r="AV1740" s="315">
        <v>1.33</v>
      </c>
      <c r="AW1740" s="317"/>
      <c r="AX1740" s="317"/>
      <c r="AY1740" s="313">
        <v>107</v>
      </c>
      <c r="AZ1740" s="40"/>
      <c r="BA1740" s="40"/>
      <c r="BB1740" s="40"/>
      <c r="BC1740" s="40">
        <v>2.4E-2</v>
      </c>
      <c r="BD1740" s="40">
        <v>7.4299999999999995E-4</v>
      </c>
      <c r="BE1740" s="163">
        <v>9.8000000000000007</v>
      </c>
      <c r="BF1740" s="163">
        <v>5.8000000000000004E-6</v>
      </c>
      <c r="BG1740" s="40"/>
      <c r="BH1740" s="40"/>
      <c r="BI1740" s="40"/>
      <c r="BJ1740" s="40"/>
      <c r="BK1740" s="40"/>
      <c r="BL1740" s="62">
        <v>1</v>
      </c>
      <c r="BM1740" s="275">
        <v>3</v>
      </c>
      <c r="BN1740" s="62">
        <v>0</v>
      </c>
    </row>
    <row r="1741" spans="1:68">
      <c r="A1741" s="33" t="str">
        <f>Database_Productkaarten[[#This Row],[Product]]&amp;", "&amp;Database_Productkaarten[[#This Row],[Levensfase]]</f>
        <v>Betongranulaat 200mm, A1</v>
      </c>
      <c r="B1741" s="33" t="s">
        <v>699</v>
      </c>
      <c r="C1741" s="33" t="s">
        <v>48</v>
      </c>
      <c r="D1741" s="33" t="s">
        <v>700</v>
      </c>
      <c r="E1741" s="33" t="s">
        <v>385</v>
      </c>
      <c r="F1741" s="33" t="s">
        <v>74</v>
      </c>
      <c r="G1741" s="33">
        <v>1</v>
      </c>
      <c r="H1741" s="33">
        <v>1</v>
      </c>
      <c r="I1741" s="33">
        <v>0.2</v>
      </c>
      <c r="L1741" s="33">
        <v>2.2000000000000002</v>
      </c>
      <c r="M1741" s="269">
        <v>0.44</v>
      </c>
      <c r="N1741" s="41"/>
      <c r="O1741" s="33">
        <v>100</v>
      </c>
      <c r="P1741" s="40"/>
      <c r="Q1741" s="40"/>
      <c r="R1741" s="40"/>
      <c r="S1741" s="40"/>
      <c r="T1741" s="40"/>
      <c r="U1741" s="40"/>
      <c r="V1741" s="40"/>
      <c r="W1741" s="40"/>
      <c r="X1741" s="40"/>
      <c r="Y1741" s="40"/>
      <c r="Z1741" s="40"/>
      <c r="AA1741" s="40"/>
      <c r="AB1741" s="40"/>
      <c r="AC1741" s="40"/>
      <c r="AD1741" s="40"/>
      <c r="AE1741" s="40"/>
      <c r="AF1741" s="40"/>
      <c r="AG1741" s="40"/>
      <c r="AH1741" s="40"/>
      <c r="AI1741" s="40"/>
      <c r="AJ1741" s="40"/>
      <c r="AK1741" s="40"/>
      <c r="AL1741" s="40"/>
      <c r="AM1741" s="40"/>
      <c r="AN1741" s="40"/>
      <c r="AO1741" s="40"/>
      <c r="AP1741" s="40"/>
      <c r="AQ1741" s="40"/>
      <c r="AR1741" s="40"/>
      <c r="AS1741" s="40"/>
      <c r="AT1741" s="40"/>
      <c r="AU1741" s="40"/>
      <c r="AV1741" s="317"/>
      <c r="AW1741" s="317"/>
      <c r="AX1741" s="317"/>
      <c r="AY1741" s="313"/>
      <c r="AZ1741" s="40"/>
      <c r="BA1741" s="40"/>
      <c r="BB1741" s="40"/>
      <c r="BC1741" s="40"/>
      <c r="BD1741" s="40"/>
      <c r="BE1741" s="40"/>
      <c r="BF1741" s="40"/>
      <c r="BG1741" s="40"/>
      <c r="BH1741" s="40"/>
      <c r="BI1741" s="40"/>
      <c r="BJ1741" s="40"/>
      <c r="BK1741" s="40"/>
      <c r="BL1741" s="62">
        <v>1</v>
      </c>
      <c r="BM1741" s="275">
        <v>3</v>
      </c>
      <c r="BN1741" s="62">
        <v>0</v>
      </c>
    </row>
    <row r="1742" spans="1:68">
      <c r="A1742" s="33" t="str">
        <f>Database_Productkaarten[[#This Row],[Product]]&amp;", "&amp;Database_Productkaarten[[#This Row],[Levensfase]]</f>
        <v>Betongranulaat 200mm, A2</v>
      </c>
      <c r="B1742" s="33" t="s">
        <v>699</v>
      </c>
      <c r="C1742" s="33" t="s">
        <v>48</v>
      </c>
      <c r="D1742" s="33" t="s">
        <v>700</v>
      </c>
      <c r="E1742" s="33" t="s">
        <v>385</v>
      </c>
      <c r="F1742" s="33" t="s">
        <v>75</v>
      </c>
      <c r="G1742" s="33">
        <v>1</v>
      </c>
      <c r="H1742" s="33">
        <v>1</v>
      </c>
      <c r="I1742" s="33">
        <v>0.2</v>
      </c>
      <c r="L1742" s="33">
        <v>2.2000000000000002</v>
      </c>
      <c r="M1742" s="269">
        <v>0.44</v>
      </c>
      <c r="N1742" s="41"/>
      <c r="O1742" s="33">
        <v>100</v>
      </c>
      <c r="P1742" s="40"/>
      <c r="Q1742" s="40"/>
      <c r="R1742" s="40"/>
      <c r="S1742" s="40"/>
      <c r="T1742" s="40"/>
      <c r="U1742" s="40"/>
      <c r="V1742" s="40"/>
      <c r="W1742" s="40"/>
      <c r="X1742" s="40"/>
      <c r="Y1742" s="40"/>
      <c r="Z1742" s="40"/>
      <c r="AA1742" s="40"/>
      <c r="AB1742" s="40"/>
      <c r="AC1742" s="40"/>
      <c r="AD1742" s="40"/>
      <c r="AE1742" s="40"/>
      <c r="AF1742" s="40"/>
      <c r="AG1742" s="40"/>
      <c r="AH1742" s="40"/>
      <c r="AI1742" s="40"/>
      <c r="AJ1742" s="40"/>
      <c r="AK1742" s="40"/>
      <c r="AL1742" s="40"/>
      <c r="AM1742" s="40"/>
      <c r="AN1742" s="40"/>
      <c r="AO1742" s="40"/>
      <c r="AP1742" s="40"/>
      <c r="AQ1742" s="40"/>
      <c r="AR1742" s="40"/>
      <c r="AS1742" s="40"/>
      <c r="AT1742" s="40"/>
      <c r="AU1742" s="40"/>
      <c r="AV1742" s="317"/>
      <c r="AW1742" s="317"/>
      <c r="AX1742" s="317"/>
      <c r="AY1742" s="313"/>
      <c r="AZ1742" s="40"/>
      <c r="BA1742" s="40"/>
      <c r="BB1742" s="40"/>
      <c r="BC1742" s="40"/>
      <c r="BD1742" s="40"/>
      <c r="BE1742" s="40"/>
      <c r="BF1742" s="40"/>
      <c r="BG1742" s="40"/>
      <c r="BH1742" s="40"/>
      <c r="BI1742" s="40"/>
      <c r="BJ1742" s="40"/>
      <c r="BK1742" s="40"/>
      <c r="BL1742" s="62">
        <v>1</v>
      </c>
      <c r="BM1742" s="275">
        <v>3</v>
      </c>
      <c r="BN1742" s="62">
        <v>0</v>
      </c>
    </row>
    <row r="1743" spans="1:68">
      <c r="A1743" s="33" t="str">
        <f>Database_Productkaarten[[#This Row],[Product]]&amp;", "&amp;Database_Productkaarten[[#This Row],[Levensfase]]</f>
        <v>Betongranulaat 200mm, A3</v>
      </c>
      <c r="B1743" s="33" t="s">
        <v>699</v>
      </c>
      <c r="C1743" s="33" t="s">
        <v>48</v>
      </c>
      <c r="D1743" s="33" t="s">
        <v>700</v>
      </c>
      <c r="E1743" s="33" t="s">
        <v>385</v>
      </c>
      <c r="F1743" s="33" t="s">
        <v>76</v>
      </c>
      <c r="G1743" s="33">
        <v>1</v>
      </c>
      <c r="H1743" s="33">
        <v>1</v>
      </c>
      <c r="I1743" s="33">
        <v>0.2</v>
      </c>
      <c r="L1743" s="33">
        <v>2.2000000000000002</v>
      </c>
      <c r="M1743" s="269">
        <v>0.44</v>
      </c>
      <c r="N1743" s="41"/>
      <c r="O1743" s="33">
        <v>100</v>
      </c>
      <c r="P1743" s="40"/>
      <c r="Q1743" s="40"/>
      <c r="R1743" s="40"/>
      <c r="S1743" s="40"/>
      <c r="T1743" s="40"/>
      <c r="U1743" s="40"/>
      <c r="V1743" s="40"/>
      <c r="W1743" s="40"/>
      <c r="X1743" s="40"/>
      <c r="Y1743" s="40"/>
      <c r="Z1743" s="40"/>
      <c r="AA1743" s="40"/>
      <c r="AB1743" s="40"/>
      <c r="AC1743" s="40"/>
      <c r="AD1743" s="40"/>
      <c r="AE1743" s="40"/>
      <c r="AF1743" s="40"/>
      <c r="AG1743" s="40"/>
      <c r="AH1743" s="40"/>
      <c r="AI1743" s="40"/>
      <c r="AJ1743" s="40"/>
      <c r="AK1743" s="40"/>
      <c r="AL1743" s="40"/>
      <c r="AM1743" s="40"/>
      <c r="AN1743" s="40"/>
      <c r="AO1743" s="40"/>
      <c r="AP1743" s="40"/>
      <c r="AQ1743" s="40"/>
      <c r="AR1743" s="40"/>
      <c r="AS1743" s="40"/>
      <c r="AT1743" s="40"/>
      <c r="AU1743" s="40"/>
      <c r="AV1743" s="317"/>
      <c r="AW1743" s="317"/>
      <c r="AX1743" s="317"/>
      <c r="AY1743" s="313"/>
      <c r="AZ1743" s="40"/>
      <c r="BA1743" s="40"/>
      <c r="BB1743" s="40"/>
      <c r="BC1743" s="40"/>
      <c r="BD1743" s="40"/>
      <c r="BE1743" s="40"/>
      <c r="BF1743" s="40"/>
      <c r="BG1743" s="40"/>
      <c r="BH1743" s="40"/>
      <c r="BI1743" s="40"/>
      <c r="BJ1743" s="40"/>
      <c r="BK1743" s="40"/>
      <c r="BL1743" s="62">
        <v>1</v>
      </c>
      <c r="BM1743" s="275">
        <v>3</v>
      </c>
      <c r="BN1743" s="62">
        <v>0</v>
      </c>
    </row>
    <row r="1744" spans="1:68">
      <c r="A1744" s="451" t="str">
        <f>Database_Productkaarten[[#This Row],[Product]]&amp;", "&amp;Database_Productkaarten[[#This Row],[Levensfase]]</f>
        <v>Betongranulaat 200mm, A1-A3</v>
      </c>
      <c r="B1744" s="33" t="s">
        <v>699</v>
      </c>
      <c r="C1744" s="451" t="str">
        <f>C1743</f>
        <v>Funderingslagen</v>
      </c>
      <c r="D1744" s="451" t="str">
        <f>D1743</f>
        <v>Betongranulaat</v>
      </c>
      <c r="E1744" s="33" t="s">
        <v>385</v>
      </c>
      <c r="F1744" s="451" t="s">
        <v>77</v>
      </c>
      <c r="G1744" s="33">
        <v>1</v>
      </c>
      <c r="H1744" s="33">
        <v>1</v>
      </c>
      <c r="I1744" s="33">
        <v>0.2</v>
      </c>
      <c r="J1744" s="451"/>
      <c r="K1744" s="451"/>
      <c r="L1744" s="33">
        <v>2.2000000000000002</v>
      </c>
      <c r="M1744" s="269">
        <v>0.44</v>
      </c>
      <c r="N1744" s="41">
        <v>0</v>
      </c>
      <c r="O1744" s="451">
        <f>O1743</f>
        <v>100</v>
      </c>
      <c r="P1744" s="163">
        <v>0</v>
      </c>
      <c r="Q1744" s="163">
        <v>0</v>
      </c>
      <c r="R1744" s="163">
        <v>0</v>
      </c>
      <c r="S1744" s="163">
        <v>0</v>
      </c>
      <c r="T1744" s="163">
        <v>0</v>
      </c>
      <c r="U1744" s="163">
        <v>0</v>
      </c>
      <c r="V1744" s="163">
        <v>0</v>
      </c>
      <c r="W1744" s="163">
        <v>0</v>
      </c>
      <c r="X1744" s="163">
        <v>0</v>
      </c>
      <c r="Y1744" s="163">
        <v>0</v>
      </c>
      <c r="Z1744" s="163">
        <v>0</v>
      </c>
      <c r="AA1744" s="40"/>
      <c r="AB1744" s="40"/>
      <c r="AC1744" s="40"/>
      <c r="AD1744" s="40"/>
      <c r="AE1744" s="40"/>
      <c r="AF1744" s="40"/>
      <c r="AG1744" s="453">
        <f t="shared" ref="AG1744:BK1744" si="794">SUM(AG1741:AG1743)</f>
        <v>0</v>
      </c>
      <c r="AH1744" s="453">
        <f t="shared" si="794"/>
        <v>0</v>
      </c>
      <c r="AI1744" s="453">
        <f t="shared" si="794"/>
        <v>0</v>
      </c>
      <c r="AJ1744" s="453">
        <f t="shared" si="794"/>
        <v>0</v>
      </c>
      <c r="AK1744" s="453">
        <f t="shared" si="794"/>
        <v>0</v>
      </c>
      <c r="AL1744" s="453">
        <f t="shared" si="794"/>
        <v>0</v>
      </c>
      <c r="AM1744" s="453">
        <f t="shared" si="794"/>
        <v>0</v>
      </c>
      <c r="AN1744" s="453">
        <f t="shared" si="794"/>
        <v>0</v>
      </c>
      <c r="AO1744" s="453">
        <f t="shared" si="794"/>
        <v>0</v>
      </c>
      <c r="AP1744" s="453">
        <f t="shared" si="794"/>
        <v>0</v>
      </c>
      <c r="AQ1744" s="453">
        <f t="shared" si="794"/>
        <v>0</v>
      </c>
      <c r="AR1744" s="453">
        <f t="shared" si="794"/>
        <v>0</v>
      </c>
      <c r="AS1744" s="453">
        <f t="shared" si="794"/>
        <v>0</v>
      </c>
      <c r="AT1744" s="453">
        <f t="shared" si="794"/>
        <v>0</v>
      </c>
      <c r="AU1744" s="453">
        <f t="shared" si="794"/>
        <v>0</v>
      </c>
      <c r="AV1744" s="315">
        <v>0</v>
      </c>
      <c r="AW1744" s="317"/>
      <c r="AX1744" s="317"/>
      <c r="AY1744" s="313">
        <v>0</v>
      </c>
      <c r="AZ1744" s="40"/>
      <c r="BA1744" s="40"/>
      <c r="BB1744" s="40"/>
      <c r="BC1744" s="40">
        <v>0</v>
      </c>
      <c r="BD1744" s="40">
        <v>0</v>
      </c>
      <c r="BE1744" s="163">
        <v>0</v>
      </c>
      <c r="BF1744" s="163">
        <v>0</v>
      </c>
      <c r="BG1744" s="453">
        <f t="shared" si="794"/>
        <v>0</v>
      </c>
      <c r="BH1744" s="453">
        <f t="shared" si="794"/>
        <v>0</v>
      </c>
      <c r="BI1744" s="453">
        <f t="shared" si="794"/>
        <v>0</v>
      </c>
      <c r="BJ1744" s="453">
        <f t="shared" si="794"/>
        <v>0</v>
      </c>
      <c r="BK1744" s="453">
        <f t="shared" si="794"/>
        <v>0</v>
      </c>
      <c r="BL1744" s="62">
        <f>BL1743</f>
        <v>1</v>
      </c>
      <c r="BM1744" s="275">
        <f>BM1743</f>
        <v>3</v>
      </c>
      <c r="BN1744" s="62">
        <v>0</v>
      </c>
      <c r="BO1744" s="451">
        <f>BO1743</f>
        <v>0</v>
      </c>
      <c r="BP1744" s="451"/>
    </row>
    <row r="1745" spans="1:67">
      <c r="A1745" s="33" t="str">
        <f>Database_Productkaarten[[#This Row],[Product]]&amp;", "&amp;Database_Productkaarten[[#This Row],[Levensfase]]</f>
        <v>Betongranulaat 200mm, A4</v>
      </c>
      <c r="B1745" s="33" t="s">
        <v>699</v>
      </c>
      <c r="C1745" s="33" t="s">
        <v>48</v>
      </c>
      <c r="D1745" s="33" t="s">
        <v>700</v>
      </c>
      <c r="E1745" s="33" t="s">
        <v>385</v>
      </c>
      <c r="F1745" s="33" t="s">
        <v>78</v>
      </c>
      <c r="G1745" s="33">
        <v>1</v>
      </c>
      <c r="H1745" s="33">
        <v>1</v>
      </c>
      <c r="I1745" s="33">
        <v>0.2</v>
      </c>
      <c r="L1745" s="33">
        <v>2.2000000000000002</v>
      </c>
      <c r="M1745" s="269">
        <v>0.44</v>
      </c>
      <c r="N1745" s="41">
        <v>0.21056</v>
      </c>
      <c r="O1745" s="33">
        <v>100</v>
      </c>
      <c r="P1745" s="163">
        <v>3.5700000000000001E-6</v>
      </c>
      <c r="Q1745" s="163">
        <v>1.41E-2</v>
      </c>
      <c r="R1745" s="163">
        <v>1.86</v>
      </c>
      <c r="S1745" s="163">
        <v>3.7E-7</v>
      </c>
      <c r="T1745" s="163">
        <v>1.17E-3</v>
      </c>
      <c r="U1745" s="163">
        <v>6.7799999999999996E-3</v>
      </c>
      <c r="V1745" s="163">
        <v>1.3799999999999999E-3</v>
      </c>
      <c r="W1745" s="163">
        <v>0.65500000000000003</v>
      </c>
      <c r="X1745" s="163">
        <v>4.2200000000000001E-2</v>
      </c>
      <c r="Y1745" s="163">
        <v>110</v>
      </c>
      <c r="Z1745" s="163">
        <v>3.8800000000000002E-3</v>
      </c>
      <c r="AA1745" s="40"/>
      <c r="AB1745" s="40"/>
      <c r="AC1745" s="40"/>
      <c r="AD1745" s="40"/>
      <c r="AE1745" s="40"/>
      <c r="AF1745" s="40"/>
      <c r="AG1745" s="40"/>
      <c r="AH1745" s="40"/>
      <c r="AI1745" s="40"/>
      <c r="AJ1745" s="40"/>
      <c r="AK1745" s="40"/>
      <c r="AL1745" s="40"/>
      <c r="AM1745" s="40"/>
      <c r="AN1745" s="40"/>
      <c r="AO1745" s="40"/>
      <c r="AP1745" s="40"/>
      <c r="AQ1745" s="40"/>
      <c r="AR1745" s="40"/>
      <c r="AS1745" s="40"/>
      <c r="AT1745" s="40"/>
      <c r="AU1745" s="40"/>
      <c r="AV1745" s="315">
        <v>0.503</v>
      </c>
      <c r="AW1745" s="317"/>
      <c r="AX1745" s="317"/>
      <c r="AY1745" s="313">
        <v>32.1</v>
      </c>
      <c r="AZ1745" s="40"/>
      <c r="BA1745" s="40"/>
      <c r="BB1745" s="40"/>
      <c r="BC1745" s="40">
        <v>6.5199999999999998E-3</v>
      </c>
      <c r="BD1745" s="40">
        <v>2.2800000000000001E-4</v>
      </c>
      <c r="BE1745" s="163">
        <v>2.65</v>
      </c>
      <c r="BF1745" s="163">
        <v>0</v>
      </c>
      <c r="BG1745" s="40"/>
      <c r="BH1745" s="40"/>
      <c r="BI1745" s="40"/>
      <c r="BJ1745" s="40"/>
      <c r="BK1745" s="40"/>
      <c r="BL1745" s="62">
        <v>1</v>
      </c>
      <c r="BM1745" s="275">
        <v>3</v>
      </c>
      <c r="BN1745" s="62">
        <v>0</v>
      </c>
    </row>
    <row r="1746" spans="1:67">
      <c r="A1746" s="33" t="str">
        <f>Database_Productkaarten[[#This Row],[Product]]&amp;", "&amp;Database_Productkaarten[[#This Row],[Levensfase]]</f>
        <v>Betongranulaat 200mm, A5</v>
      </c>
      <c r="B1746" s="33" t="s">
        <v>699</v>
      </c>
      <c r="C1746" s="33" t="s">
        <v>48</v>
      </c>
      <c r="D1746" s="33" t="s">
        <v>700</v>
      </c>
      <c r="E1746" s="33" t="s">
        <v>385</v>
      </c>
      <c r="F1746" s="33" t="s">
        <v>79</v>
      </c>
      <c r="G1746" s="33">
        <v>1</v>
      </c>
      <c r="H1746" s="33">
        <v>1</v>
      </c>
      <c r="I1746" s="33">
        <v>0.2</v>
      </c>
      <c r="L1746" s="33">
        <v>2.2000000000000002</v>
      </c>
      <c r="M1746" s="269">
        <v>0.44</v>
      </c>
      <c r="N1746" s="41">
        <v>0.18803</v>
      </c>
      <c r="O1746" s="33">
        <v>100</v>
      </c>
      <c r="P1746" s="163">
        <v>9.5000000000000001E-7</v>
      </c>
      <c r="Q1746" s="163">
        <v>1.3899999999999999E-2</v>
      </c>
      <c r="R1746" s="163">
        <v>2.0299999999999998</v>
      </c>
      <c r="S1746" s="163">
        <v>3.53E-7</v>
      </c>
      <c r="T1746" s="163">
        <v>6.6799999999999997E-4</v>
      </c>
      <c r="U1746" s="163">
        <v>5.9500000000000004E-3</v>
      </c>
      <c r="V1746" s="163">
        <v>1.14E-3</v>
      </c>
      <c r="W1746" s="163">
        <v>0.502</v>
      </c>
      <c r="X1746" s="163">
        <v>9.9500000000000005E-3</v>
      </c>
      <c r="Y1746" s="163">
        <v>33.299999999999997</v>
      </c>
      <c r="Z1746" s="163">
        <v>1.7899999999999999E-3</v>
      </c>
      <c r="AA1746" s="40"/>
      <c r="AB1746" s="40"/>
      <c r="AC1746" s="40"/>
      <c r="AD1746" s="40"/>
      <c r="AE1746" s="40"/>
      <c r="AF1746" s="40"/>
      <c r="AG1746" s="40"/>
      <c r="AH1746" s="40"/>
      <c r="AI1746" s="40"/>
      <c r="AJ1746" s="40"/>
      <c r="AK1746" s="40"/>
      <c r="AL1746" s="40"/>
      <c r="AM1746" s="40"/>
      <c r="AN1746" s="40"/>
      <c r="AO1746" s="40"/>
      <c r="AP1746" s="40"/>
      <c r="AQ1746" s="40"/>
      <c r="AR1746" s="40"/>
      <c r="AS1746" s="40"/>
      <c r="AT1746" s="40"/>
      <c r="AU1746" s="40"/>
      <c r="AV1746" s="315">
        <v>0.22600000000000001</v>
      </c>
      <c r="AW1746" s="317"/>
      <c r="AX1746" s="317"/>
      <c r="AY1746" s="313">
        <v>30.9</v>
      </c>
      <c r="AZ1746" s="40"/>
      <c r="BA1746" s="40"/>
      <c r="BB1746" s="40"/>
      <c r="BC1746" s="40">
        <v>2.9199999999999999E-3</v>
      </c>
      <c r="BD1746" s="40">
        <v>2.14E-4</v>
      </c>
      <c r="BE1746" s="163">
        <v>5.1900000000000002E-2</v>
      </c>
      <c r="BF1746" s="163">
        <v>0</v>
      </c>
      <c r="BG1746" s="40"/>
      <c r="BH1746" s="40"/>
      <c r="BI1746" s="40"/>
      <c r="BJ1746" s="40"/>
      <c r="BK1746" s="40"/>
      <c r="BL1746" s="62">
        <v>1</v>
      </c>
      <c r="BM1746" s="275">
        <v>3</v>
      </c>
      <c r="BN1746" s="62">
        <v>0</v>
      </c>
    </row>
    <row r="1747" spans="1:67">
      <c r="A1747" s="33" t="str">
        <f>Database_Productkaarten[[#This Row],[Product]]&amp;", "&amp;Database_Productkaarten[[#This Row],[Levensfase]]</f>
        <v>Betongranulaat 200mm, B1</v>
      </c>
      <c r="B1747" s="33" t="s">
        <v>699</v>
      </c>
      <c r="C1747" s="33" t="s">
        <v>48</v>
      </c>
      <c r="D1747" s="33" t="s">
        <v>700</v>
      </c>
      <c r="E1747" s="33" t="s">
        <v>385</v>
      </c>
      <c r="F1747" s="33" t="s">
        <v>80</v>
      </c>
      <c r="G1747" s="33">
        <v>1</v>
      </c>
      <c r="H1747" s="33">
        <v>1</v>
      </c>
      <c r="I1747" s="33">
        <v>0.2</v>
      </c>
      <c r="L1747" s="33">
        <v>2.2000000000000002</v>
      </c>
      <c r="M1747" s="269">
        <v>0.44</v>
      </c>
      <c r="N1747" s="41">
        <v>2.7490000000000001E-2</v>
      </c>
      <c r="O1747" s="33">
        <v>100</v>
      </c>
      <c r="P1747" s="163">
        <v>0</v>
      </c>
      <c r="Q1747" s="163">
        <v>0</v>
      </c>
      <c r="R1747" s="163">
        <v>0</v>
      </c>
      <c r="S1747" s="163">
        <v>0</v>
      </c>
      <c r="T1747" s="163">
        <v>0</v>
      </c>
      <c r="U1747" s="163">
        <v>0</v>
      </c>
      <c r="V1747" s="163">
        <v>0</v>
      </c>
      <c r="W1747" s="163">
        <v>0.11600000000000001</v>
      </c>
      <c r="X1747" s="163">
        <v>5.0500000000000003E-2</v>
      </c>
      <c r="Y1747" s="163">
        <v>111</v>
      </c>
      <c r="Z1747" s="163">
        <v>7.4399999999999994E-2</v>
      </c>
      <c r="AA1747" s="40"/>
      <c r="AB1747" s="40"/>
      <c r="AC1747" s="40"/>
      <c r="AD1747" s="40"/>
      <c r="AE1747" s="40"/>
      <c r="AF1747" s="40"/>
      <c r="AG1747" s="40"/>
      <c r="AH1747" s="40"/>
      <c r="AI1747" s="40"/>
      <c r="AJ1747" s="40"/>
      <c r="AK1747" s="40"/>
      <c r="AL1747" s="40"/>
      <c r="AM1747" s="40"/>
      <c r="AN1747" s="40"/>
      <c r="AO1747" s="40"/>
      <c r="AP1747" s="40"/>
      <c r="AQ1747" s="40"/>
      <c r="AR1747" s="40"/>
      <c r="AS1747" s="40"/>
      <c r="AT1747" s="40"/>
      <c r="AU1747" s="40"/>
      <c r="AV1747" s="315">
        <v>0</v>
      </c>
      <c r="AW1747" s="317"/>
      <c r="AX1747" s="317"/>
      <c r="AY1747" s="313">
        <v>0</v>
      </c>
      <c r="AZ1747" s="40"/>
      <c r="BA1747" s="40"/>
      <c r="BB1747" s="40"/>
      <c r="BC1747" s="40">
        <v>0</v>
      </c>
      <c r="BD1747" s="40">
        <v>0</v>
      </c>
      <c r="BE1747" s="163">
        <v>0</v>
      </c>
      <c r="BF1747" s="163">
        <v>0</v>
      </c>
      <c r="BG1747" s="40"/>
      <c r="BH1747" s="40"/>
      <c r="BI1747" s="40"/>
      <c r="BJ1747" s="40"/>
      <c r="BK1747" s="40"/>
      <c r="BL1747" s="62">
        <v>1</v>
      </c>
      <c r="BM1747" s="275">
        <v>3</v>
      </c>
      <c r="BN1747" s="62">
        <v>0</v>
      </c>
    </row>
    <row r="1748" spans="1:67">
      <c r="A1748" s="33" t="str">
        <f>Database_Productkaarten[[#This Row],[Product]]&amp;", "&amp;Database_Productkaarten[[#This Row],[Levensfase]]</f>
        <v>Betongranulaat 200mm, C1</v>
      </c>
      <c r="B1748" s="33" t="s">
        <v>699</v>
      </c>
      <c r="C1748" s="33" t="s">
        <v>48</v>
      </c>
      <c r="D1748" s="33" t="s">
        <v>700</v>
      </c>
      <c r="E1748" s="33" t="s">
        <v>385</v>
      </c>
      <c r="F1748" s="33" t="s">
        <v>83</v>
      </c>
      <c r="G1748" s="33">
        <v>1</v>
      </c>
      <c r="H1748" s="33">
        <v>1</v>
      </c>
      <c r="I1748" s="33">
        <v>0.2</v>
      </c>
      <c r="L1748" s="33">
        <v>2.2000000000000002</v>
      </c>
      <c r="M1748" s="269">
        <v>0.44</v>
      </c>
      <c r="N1748" s="41">
        <v>6.2149999999999997E-2</v>
      </c>
      <c r="O1748" s="33">
        <v>100</v>
      </c>
      <c r="P1748" s="163">
        <v>3.1399999999999998E-7</v>
      </c>
      <c r="Q1748" s="163">
        <v>4.5799999999999999E-3</v>
      </c>
      <c r="R1748" s="163">
        <v>0.67100000000000004</v>
      </c>
      <c r="S1748" s="163">
        <v>1.17E-7</v>
      </c>
      <c r="T1748" s="163">
        <v>2.2100000000000001E-4</v>
      </c>
      <c r="U1748" s="163">
        <v>1.97E-3</v>
      </c>
      <c r="V1748" s="163">
        <v>3.7599999999999998E-4</v>
      </c>
      <c r="W1748" s="163">
        <v>0.16600000000000001</v>
      </c>
      <c r="X1748" s="163">
        <v>3.29E-3</v>
      </c>
      <c r="Y1748" s="163">
        <v>11</v>
      </c>
      <c r="Z1748" s="163">
        <v>5.9100000000000005E-4</v>
      </c>
      <c r="AA1748" s="40"/>
      <c r="AB1748" s="40"/>
      <c r="AC1748" s="40"/>
      <c r="AD1748" s="40"/>
      <c r="AE1748" s="40"/>
      <c r="AF1748" s="40"/>
      <c r="AG1748" s="40"/>
      <c r="AH1748" s="40"/>
      <c r="AI1748" s="40"/>
      <c r="AJ1748" s="40"/>
      <c r="AK1748" s="40"/>
      <c r="AL1748" s="40"/>
      <c r="AM1748" s="40"/>
      <c r="AN1748" s="40"/>
      <c r="AO1748" s="40"/>
      <c r="AP1748" s="40"/>
      <c r="AQ1748" s="40"/>
      <c r="AR1748" s="40"/>
      <c r="AS1748" s="40"/>
      <c r="AT1748" s="40"/>
      <c r="AU1748" s="40"/>
      <c r="AV1748" s="315">
        <v>7.46E-2</v>
      </c>
      <c r="AW1748" s="317"/>
      <c r="AX1748" s="317"/>
      <c r="AY1748" s="313">
        <v>10.199999999999999</v>
      </c>
      <c r="AZ1748" s="40"/>
      <c r="BA1748" s="40"/>
      <c r="BB1748" s="40"/>
      <c r="BC1748" s="40">
        <v>9.6599999999999995E-4</v>
      </c>
      <c r="BD1748" s="40">
        <v>7.0599999999999995E-5</v>
      </c>
      <c r="BE1748" s="163">
        <v>1.72E-2</v>
      </c>
      <c r="BF1748" s="163">
        <v>0</v>
      </c>
      <c r="BG1748" s="40"/>
      <c r="BH1748" s="40"/>
      <c r="BI1748" s="40"/>
      <c r="BJ1748" s="40"/>
      <c r="BK1748" s="40"/>
      <c r="BL1748" s="62">
        <v>1</v>
      </c>
      <c r="BM1748" s="275">
        <v>3</v>
      </c>
      <c r="BN1748" s="62">
        <v>0</v>
      </c>
    </row>
    <row r="1749" spans="1:67">
      <c r="A1749" s="33" t="str">
        <f>Database_Productkaarten[[#This Row],[Product]]&amp;", "&amp;Database_Productkaarten[[#This Row],[Levensfase]]</f>
        <v>Betongranulaat 200mm, C2</v>
      </c>
      <c r="B1749" s="33" t="s">
        <v>699</v>
      </c>
      <c r="C1749" s="33" t="s">
        <v>48</v>
      </c>
      <c r="D1749" s="33" t="s">
        <v>700</v>
      </c>
      <c r="E1749" s="33" t="s">
        <v>385</v>
      </c>
      <c r="F1749" s="33" t="s">
        <v>84</v>
      </c>
      <c r="G1749" s="33">
        <v>1</v>
      </c>
      <c r="H1749" s="33">
        <v>1</v>
      </c>
      <c r="I1749" s="33">
        <v>0.2</v>
      </c>
      <c r="L1749" s="33">
        <v>2.2000000000000002</v>
      </c>
      <c r="M1749" s="269">
        <v>0.44</v>
      </c>
      <c r="N1749" s="41">
        <v>4.2500000000000003E-3</v>
      </c>
      <c r="O1749" s="33">
        <v>100</v>
      </c>
      <c r="P1749" s="163">
        <v>3.5999999999999998E-6</v>
      </c>
      <c r="Q1749" s="163">
        <v>1.4200000000000001E-2</v>
      </c>
      <c r="R1749" s="163">
        <v>1.88</v>
      </c>
      <c r="S1749" s="163">
        <v>3.7300000000000002E-7</v>
      </c>
      <c r="T1749" s="163">
        <v>1.1800000000000001E-3</v>
      </c>
      <c r="U1749" s="163">
        <v>6.8500000000000002E-3</v>
      </c>
      <c r="V1749" s="163">
        <v>1.39E-3</v>
      </c>
      <c r="W1749" s="163">
        <v>0.66100000000000003</v>
      </c>
      <c r="X1749" s="163">
        <v>4.2599999999999999E-2</v>
      </c>
      <c r="Y1749" s="163">
        <v>112</v>
      </c>
      <c r="Z1749" s="163">
        <v>3.9199999999999999E-3</v>
      </c>
      <c r="AA1749" s="40"/>
      <c r="AB1749" s="40"/>
      <c r="AC1749" s="40"/>
      <c r="AD1749" s="40"/>
      <c r="AE1749" s="40"/>
      <c r="AF1749" s="40"/>
      <c r="AG1749" s="40"/>
      <c r="AH1749" s="40"/>
      <c r="AI1749" s="40"/>
      <c r="AJ1749" s="40"/>
      <c r="AK1749" s="40"/>
      <c r="AL1749" s="40"/>
      <c r="AM1749" s="40"/>
      <c r="AN1749" s="40"/>
      <c r="AO1749" s="40"/>
      <c r="AP1749" s="40"/>
      <c r="AQ1749" s="40"/>
      <c r="AR1749" s="40"/>
      <c r="AS1749" s="40"/>
      <c r="AT1749" s="40"/>
      <c r="AU1749" s="40"/>
      <c r="AV1749" s="315">
        <v>0.50800000000000001</v>
      </c>
      <c r="AW1749" s="317"/>
      <c r="AX1749" s="317"/>
      <c r="AY1749" s="313">
        <v>32.5</v>
      </c>
      <c r="AZ1749" s="40"/>
      <c r="BA1749" s="40"/>
      <c r="BB1749" s="40"/>
      <c r="BC1749" s="40">
        <v>6.5900000000000004E-3</v>
      </c>
      <c r="BD1749" s="40">
        <v>2.3000000000000001E-4</v>
      </c>
      <c r="BE1749" s="163">
        <v>2.68</v>
      </c>
      <c r="BF1749" s="163">
        <v>0</v>
      </c>
      <c r="BG1749" s="40"/>
      <c r="BH1749" s="40"/>
      <c r="BI1749" s="40"/>
      <c r="BJ1749" s="40"/>
      <c r="BK1749" s="40"/>
      <c r="BL1749" s="62">
        <v>1</v>
      </c>
      <c r="BM1749" s="275">
        <v>3</v>
      </c>
      <c r="BN1749" s="62">
        <v>0</v>
      </c>
    </row>
    <row r="1750" spans="1:67">
      <c r="A1750" s="33" t="str">
        <f>Database_Productkaarten[[#This Row],[Product]]&amp;", "&amp;Database_Productkaarten[[#This Row],[Levensfase]]</f>
        <v>Betongranulaat 200mm, C3</v>
      </c>
      <c r="B1750" s="33" t="s">
        <v>699</v>
      </c>
      <c r="C1750" s="33" t="s">
        <v>48</v>
      </c>
      <c r="D1750" s="33" t="s">
        <v>700</v>
      </c>
      <c r="E1750" s="33" t="s">
        <v>385</v>
      </c>
      <c r="F1750" s="33" t="s">
        <v>85</v>
      </c>
      <c r="G1750" s="33">
        <v>1</v>
      </c>
      <c r="H1750" s="33">
        <v>1</v>
      </c>
      <c r="I1750" s="33">
        <v>0.2</v>
      </c>
      <c r="L1750" s="33">
        <v>2.2000000000000002</v>
      </c>
      <c r="M1750" s="269">
        <v>0.44</v>
      </c>
      <c r="N1750" s="41">
        <v>0</v>
      </c>
      <c r="O1750" s="33">
        <v>100</v>
      </c>
      <c r="P1750" s="163">
        <v>0</v>
      </c>
      <c r="Q1750" s="163">
        <v>0</v>
      </c>
      <c r="R1750" s="163">
        <v>0</v>
      </c>
      <c r="S1750" s="163">
        <v>0</v>
      </c>
      <c r="T1750" s="163">
        <v>0</v>
      </c>
      <c r="U1750" s="163">
        <v>0</v>
      </c>
      <c r="V1750" s="163">
        <v>0</v>
      </c>
      <c r="W1750" s="163">
        <v>0</v>
      </c>
      <c r="X1750" s="163">
        <v>0</v>
      </c>
      <c r="Y1750" s="163">
        <v>0</v>
      </c>
      <c r="Z1750" s="163">
        <v>0</v>
      </c>
      <c r="AA1750" s="40"/>
      <c r="AB1750" s="40"/>
      <c r="AC1750" s="40"/>
      <c r="AD1750" s="40"/>
      <c r="AE1750" s="40"/>
      <c r="AF1750" s="40"/>
      <c r="AG1750" s="40"/>
      <c r="AH1750" s="40"/>
      <c r="AI1750" s="40"/>
      <c r="AJ1750" s="40"/>
      <c r="AK1750" s="40"/>
      <c r="AL1750" s="40"/>
      <c r="AM1750" s="40"/>
      <c r="AN1750" s="40"/>
      <c r="AO1750" s="40"/>
      <c r="AP1750" s="40"/>
      <c r="AQ1750" s="40"/>
      <c r="AR1750" s="40"/>
      <c r="AS1750" s="40"/>
      <c r="AT1750" s="40"/>
      <c r="AU1750" s="40"/>
      <c r="AV1750" s="315">
        <v>0</v>
      </c>
      <c r="AW1750" s="317"/>
      <c r="AX1750" s="317"/>
      <c r="AY1750" s="313">
        <v>0</v>
      </c>
      <c r="AZ1750" s="40"/>
      <c r="BA1750" s="40"/>
      <c r="BB1750" s="40"/>
      <c r="BC1750" s="40">
        <v>0</v>
      </c>
      <c r="BD1750" s="40">
        <v>0</v>
      </c>
      <c r="BE1750" s="163">
        <v>0</v>
      </c>
      <c r="BF1750" s="163">
        <v>0</v>
      </c>
      <c r="BG1750" s="40"/>
      <c r="BH1750" s="40"/>
      <c r="BI1750" s="40"/>
      <c r="BJ1750" s="40"/>
      <c r="BK1750" s="40"/>
      <c r="BL1750" s="62">
        <v>1</v>
      </c>
      <c r="BM1750" s="275">
        <v>3</v>
      </c>
      <c r="BN1750" s="62">
        <v>0</v>
      </c>
    </row>
    <row r="1751" spans="1:67">
      <c r="A1751" s="33" t="str">
        <f>Database_Productkaarten[[#This Row],[Product]]&amp;", "&amp;Database_Productkaarten[[#This Row],[Levensfase]]</f>
        <v>Betongranulaat 200mm, C4</v>
      </c>
      <c r="B1751" s="33" t="s">
        <v>699</v>
      </c>
      <c r="C1751" s="33" t="s">
        <v>48</v>
      </c>
      <c r="D1751" s="33" t="s">
        <v>700</v>
      </c>
      <c r="E1751" s="33" t="s">
        <v>385</v>
      </c>
      <c r="F1751" s="33" t="s">
        <v>86</v>
      </c>
      <c r="G1751" s="33">
        <v>1</v>
      </c>
      <c r="H1751" s="33">
        <v>1</v>
      </c>
      <c r="I1751" s="33">
        <v>0.2</v>
      </c>
      <c r="L1751" s="33">
        <v>2.2000000000000002</v>
      </c>
      <c r="M1751" s="269">
        <v>0.44</v>
      </c>
      <c r="N1751" s="41">
        <v>3.2699999999999999E-3</v>
      </c>
      <c r="O1751" s="33">
        <v>100</v>
      </c>
      <c r="P1751" s="163">
        <v>2.62E-8</v>
      </c>
      <c r="Q1751" s="163">
        <v>3.4000000000000002E-4</v>
      </c>
      <c r="R1751" s="163">
        <v>2.3199999999999998E-2</v>
      </c>
      <c r="S1751" s="163">
        <v>8.3799999999999996E-9</v>
      </c>
      <c r="T1751" s="163">
        <v>2.5299999999999998E-5</v>
      </c>
      <c r="U1751" s="163">
        <v>1.75E-4</v>
      </c>
      <c r="V1751" s="163">
        <v>3.3099999999999998E-5</v>
      </c>
      <c r="W1751" s="163">
        <v>1.01E-2</v>
      </c>
      <c r="X1751" s="163">
        <v>2.4499999999999999E-4</v>
      </c>
      <c r="Y1751" s="163">
        <v>0.85799999999999998</v>
      </c>
      <c r="Z1751" s="163">
        <v>2.5199999999999999E-5</v>
      </c>
      <c r="AA1751" s="40"/>
      <c r="AB1751" s="40"/>
      <c r="AC1751" s="40"/>
      <c r="AD1751" s="40"/>
      <c r="AE1751" s="40"/>
      <c r="AF1751" s="40"/>
      <c r="AG1751" s="40"/>
      <c r="AH1751" s="40"/>
      <c r="AI1751" s="40"/>
      <c r="AJ1751" s="40"/>
      <c r="AK1751" s="40"/>
      <c r="AL1751" s="40"/>
      <c r="AM1751" s="40"/>
      <c r="AN1751" s="40"/>
      <c r="AO1751" s="40"/>
      <c r="AP1751" s="40"/>
      <c r="AQ1751" s="40"/>
      <c r="AR1751" s="40"/>
      <c r="AS1751" s="40"/>
      <c r="AT1751" s="40"/>
      <c r="AU1751" s="40"/>
      <c r="AV1751" s="315">
        <v>5.8399999999999997E-3</v>
      </c>
      <c r="AW1751" s="317"/>
      <c r="AX1751" s="317"/>
      <c r="AY1751" s="313">
        <v>0.75900000000000001</v>
      </c>
      <c r="AZ1751" s="40"/>
      <c r="BA1751" s="40"/>
      <c r="BB1751" s="40"/>
      <c r="BC1751" s="40">
        <v>7.45E-4</v>
      </c>
      <c r="BD1751" s="40">
        <v>4.7800000000000002E-7</v>
      </c>
      <c r="BE1751" s="163">
        <v>4.4000000000000004</v>
      </c>
      <c r="BF1751" s="163">
        <v>4.7199999999999997E-6</v>
      </c>
      <c r="BG1751" s="40"/>
      <c r="BH1751" s="40"/>
      <c r="BI1751" s="40"/>
      <c r="BJ1751" s="40"/>
      <c r="BK1751" s="40"/>
      <c r="BL1751" s="62">
        <v>1</v>
      </c>
      <c r="BM1751" s="275">
        <v>3</v>
      </c>
      <c r="BN1751" s="62">
        <v>0</v>
      </c>
    </row>
    <row r="1752" spans="1:67">
      <c r="A1752" s="33" t="str">
        <f>Database_Productkaarten[[#This Row],[Product]]&amp;", "&amp;Database_Productkaarten[[#This Row],[Levensfase]]</f>
        <v>Betongranulaat 200mm, D</v>
      </c>
      <c r="B1752" s="33" t="s">
        <v>699</v>
      </c>
      <c r="C1752" s="33" t="str">
        <f>C1753</f>
        <v>Funderingslagen</v>
      </c>
      <c r="D1752" s="33" t="str">
        <f>D1753</f>
        <v>Betongranulaat</v>
      </c>
      <c r="E1752" s="33" t="s">
        <v>385</v>
      </c>
      <c r="F1752" s="33" t="s">
        <v>89</v>
      </c>
      <c r="G1752" s="33">
        <v>1</v>
      </c>
      <c r="H1752" s="33">
        <v>1</v>
      </c>
      <c r="I1752" s="33">
        <v>0.2</v>
      </c>
      <c r="L1752" s="33">
        <v>2.2000000000000002</v>
      </c>
      <c r="M1752" s="269">
        <v>0.44</v>
      </c>
      <c r="N1752" s="41">
        <v>6.6100000000000004E-3</v>
      </c>
      <c r="O1752" s="33">
        <f>O1753</f>
        <v>100</v>
      </c>
      <c r="P1752" s="163">
        <v>1.02E-7</v>
      </c>
      <c r="Q1752" s="163">
        <v>1.27E-4</v>
      </c>
      <c r="R1752" s="163">
        <v>1.8499999999999999E-2</v>
      </c>
      <c r="S1752" s="163">
        <v>1.6600000000000001E-9</v>
      </c>
      <c r="T1752" s="163">
        <v>1.34E-5</v>
      </c>
      <c r="U1752" s="163">
        <v>1.06E-4</v>
      </c>
      <c r="V1752" s="163">
        <v>1.84E-5</v>
      </c>
      <c r="W1752" s="163">
        <v>8.2500000000000004E-3</v>
      </c>
      <c r="X1752" s="163">
        <v>1.18E-4</v>
      </c>
      <c r="Y1752" s="163">
        <v>0.51600000000000001</v>
      </c>
      <c r="Z1752" s="163">
        <v>4.3099999999999997E-5</v>
      </c>
      <c r="AA1752" s="40"/>
      <c r="AB1752" s="40"/>
      <c r="AC1752" s="40"/>
      <c r="AD1752" s="40"/>
      <c r="AE1752" s="40"/>
      <c r="AF1752" s="40"/>
      <c r="AG1752" s="40">
        <f t="shared" ref="AG1752:BK1752" si="795">SUM(AG1753:AG1754)</f>
        <v>0</v>
      </c>
      <c r="AH1752" s="40">
        <f t="shared" si="795"/>
        <v>0</v>
      </c>
      <c r="AI1752" s="40">
        <f t="shared" si="795"/>
        <v>0</v>
      </c>
      <c r="AJ1752" s="40">
        <f t="shared" si="795"/>
        <v>0</v>
      </c>
      <c r="AK1752" s="40">
        <f t="shared" si="795"/>
        <v>0</v>
      </c>
      <c r="AL1752" s="40">
        <f t="shared" si="795"/>
        <v>0</v>
      </c>
      <c r="AM1752" s="40">
        <f t="shared" si="795"/>
        <v>0</v>
      </c>
      <c r="AN1752" s="40">
        <f t="shared" si="795"/>
        <v>0</v>
      </c>
      <c r="AO1752" s="40">
        <f t="shared" si="795"/>
        <v>0</v>
      </c>
      <c r="AP1752" s="40">
        <f t="shared" si="795"/>
        <v>0</v>
      </c>
      <c r="AQ1752" s="40">
        <f t="shared" si="795"/>
        <v>0</v>
      </c>
      <c r="AR1752" s="40">
        <f t="shared" si="795"/>
        <v>0</v>
      </c>
      <c r="AS1752" s="40">
        <f t="shared" si="795"/>
        <v>0</v>
      </c>
      <c r="AT1752" s="40">
        <f t="shared" si="795"/>
        <v>0</v>
      </c>
      <c r="AU1752" s="40">
        <f t="shared" si="795"/>
        <v>0</v>
      </c>
      <c r="AV1752" s="315">
        <v>1.5599999999999999E-2</v>
      </c>
      <c r="AW1752" s="317"/>
      <c r="AX1752" s="317"/>
      <c r="AY1752" s="313">
        <v>0.255</v>
      </c>
      <c r="AZ1752" s="40"/>
      <c r="BA1752" s="40"/>
      <c r="BB1752" s="40"/>
      <c r="BC1752" s="40">
        <v>6.2100000000000002E-3</v>
      </c>
      <c r="BD1752" s="40">
        <v>3.3999999999999997E-7</v>
      </c>
      <c r="BE1752" s="163">
        <v>2.4099999999999998E-3</v>
      </c>
      <c r="BF1752" s="163">
        <v>1.08E-6</v>
      </c>
      <c r="BG1752" s="40">
        <f t="shared" si="795"/>
        <v>0</v>
      </c>
      <c r="BH1752" s="40">
        <f t="shared" si="795"/>
        <v>0</v>
      </c>
      <c r="BI1752" s="40">
        <f t="shared" si="795"/>
        <v>0</v>
      </c>
      <c r="BJ1752" s="40">
        <f t="shared" si="795"/>
        <v>0</v>
      </c>
      <c r="BK1752" s="40">
        <f t="shared" si="795"/>
        <v>0</v>
      </c>
      <c r="BL1752" s="62">
        <f>BL1753</f>
        <v>1</v>
      </c>
      <c r="BM1752" s="275">
        <f>BM1753</f>
        <v>3</v>
      </c>
      <c r="BN1752" s="62">
        <v>0</v>
      </c>
      <c r="BO1752" s="33">
        <f>BO1753</f>
        <v>0</v>
      </c>
    </row>
    <row r="1753" spans="1:67">
      <c r="A1753" s="33" t="str">
        <f>Database_Productkaarten[[#This Row],[Product]]&amp;", "&amp;Database_Productkaarten[[#This Row],[Levensfase]]</f>
        <v>Betongranulaat 200mm, D1</v>
      </c>
      <c r="B1753" s="33" t="s">
        <v>699</v>
      </c>
      <c r="C1753" s="33" t="s">
        <v>48</v>
      </c>
      <c r="D1753" s="33" t="s">
        <v>700</v>
      </c>
      <c r="E1753" s="33" t="s">
        <v>385</v>
      </c>
      <c r="F1753" s="33" t="s">
        <v>87</v>
      </c>
      <c r="G1753" s="33">
        <v>1</v>
      </c>
      <c r="H1753" s="33">
        <v>1</v>
      </c>
      <c r="I1753" s="33">
        <v>0.2</v>
      </c>
      <c r="L1753" s="33">
        <v>2.2000000000000002</v>
      </c>
      <c r="M1753" s="269">
        <v>0.44</v>
      </c>
      <c r="N1753" s="41"/>
      <c r="O1753" s="33">
        <v>100</v>
      </c>
      <c r="P1753" s="40"/>
      <c r="Q1753" s="40"/>
      <c r="R1753" s="40"/>
      <c r="S1753" s="40"/>
      <c r="T1753" s="40"/>
      <c r="U1753" s="40"/>
      <c r="V1753" s="40"/>
      <c r="W1753" s="40"/>
      <c r="X1753" s="40"/>
      <c r="Y1753" s="40"/>
      <c r="Z1753" s="40"/>
      <c r="AA1753" s="40"/>
      <c r="AB1753" s="40"/>
      <c r="AC1753" s="40"/>
      <c r="AD1753" s="40"/>
      <c r="AE1753" s="40"/>
      <c r="AF1753" s="40"/>
      <c r="AG1753" s="40"/>
      <c r="AH1753" s="40"/>
      <c r="AI1753" s="40"/>
      <c r="AJ1753" s="40"/>
      <c r="AK1753" s="40"/>
      <c r="AL1753" s="40"/>
      <c r="AM1753" s="40"/>
      <c r="AN1753" s="40"/>
      <c r="AO1753" s="40"/>
      <c r="AP1753" s="40"/>
      <c r="AQ1753" s="40"/>
      <c r="AR1753" s="40"/>
      <c r="AS1753" s="40"/>
      <c r="AT1753" s="40"/>
      <c r="AU1753" s="40"/>
      <c r="AV1753" s="313"/>
      <c r="AW1753" s="317"/>
      <c r="AX1753" s="317"/>
      <c r="AY1753" s="313"/>
      <c r="AZ1753" s="40"/>
      <c r="BA1753" s="40"/>
      <c r="BB1753" s="40"/>
      <c r="BC1753" s="40"/>
      <c r="BD1753" s="40"/>
      <c r="BE1753" s="40"/>
      <c r="BF1753" s="40"/>
      <c r="BG1753" s="40"/>
      <c r="BH1753" s="40"/>
      <c r="BI1753" s="40"/>
      <c r="BJ1753" s="40"/>
      <c r="BK1753" s="40"/>
      <c r="BL1753" s="62">
        <v>1</v>
      </c>
      <c r="BM1753" s="275">
        <v>3</v>
      </c>
      <c r="BN1753" s="62">
        <v>0</v>
      </c>
    </row>
    <row r="1754" spans="1:67">
      <c r="A1754" s="33" t="str">
        <f>Database_Productkaarten[[#This Row],[Product]]&amp;", "&amp;Database_Productkaarten[[#This Row],[Levensfase]]</f>
        <v>Betongranulaat 200mm, D2</v>
      </c>
      <c r="B1754" s="33" t="s">
        <v>699</v>
      </c>
      <c r="C1754" s="33" t="s">
        <v>48</v>
      </c>
      <c r="D1754" s="33" t="s">
        <v>700</v>
      </c>
      <c r="E1754" s="33" t="s">
        <v>385</v>
      </c>
      <c r="F1754" s="33" t="s">
        <v>88</v>
      </c>
      <c r="G1754" s="33">
        <v>1</v>
      </c>
      <c r="H1754" s="33">
        <v>1</v>
      </c>
      <c r="I1754" s="33">
        <v>0.2</v>
      </c>
      <c r="L1754" s="33">
        <v>2.2000000000000002</v>
      </c>
      <c r="M1754" s="269">
        <v>0.44</v>
      </c>
      <c r="N1754" s="41"/>
      <c r="O1754" s="33">
        <v>100</v>
      </c>
      <c r="P1754" s="40"/>
      <c r="Q1754" s="40"/>
      <c r="R1754" s="40"/>
      <c r="S1754" s="40"/>
      <c r="T1754" s="40"/>
      <c r="U1754" s="40"/>
      <c r="V1754" s="40"/>
      <c r="W1754" s="40"/>
      <c r="X1754" s="40"/>
      <c r="Y1754" s="40"/>
      <c r="Z1754" s="40"/>
      <c r="AA1754" s="40"/>
      <c r="AB1754" s="40"/>
      <c r="AC1754" s="40"/>
      <c r="AD1754" s="40"/>
      <c r="AE1754" s="40"/>
      <c r="AF1754" s="40"/>
      <c r="AG1754" s="40"/>
      <c r="AH1754" s="40"/>
      <c r="AI1754" s="40"/>
      <c r="AJ1754" s="40"/>
      <c r="AK1754" s="40"/>
      <c r="AL1754" s="40"/>
      <c r="AM1754" s="40"/>
      <c r="AN1754" s="40"/>
      <c r="AO1754" s="40"/>
      <c r="AP1754" s="40"/>
      <c r="AQ1754" s="40"/>
      <c r="AR1754" s="40"/>
      <c r="AS1754" s="40"/>
      <c r="AT1754" s="40"/>
      <c r="AU1754" s="40"/>
      <c r="AV1754" s="313"/>
      <c r="AW1754" s="317"/>
      <c r="AX1754" s="317"/>
      <c r="AY1754" s="313"/>
      <c r="AZ1754" s="40"/>
      <c r="BA1754" s="40"/>
      <c r="BB1754" s="40"/>
      <c r="BC1754" s="40"/>
      <c r="BD1754" s="40"/>
      <c r="BE1754" s="40"/>
      <c r="BF1754" s="40"/>
      <c r="BG1754" s="40"/>
      <c r="BH1754" s="40"/>
      <c r="BI1754" s="40"/>
      <c r="BJ1754" s="40"/>
      <c r="BK1754" s="40"/>
      <c r="BL1754" s="62">
        <v>1</v>
      </c>
      <c r="BM1754" s="275">
        <v>3</v>
      </c>
      <c r="BN1754" s="62">
        <v>0</v>
      </c>
    </row>
    <row r="1755" spans="1:67">
      <c r="A1755" s="33" t="str">
        <f>Database_Productkaarten[[#This Row],[Product]]&amp;", "&amp;Database_Productkaarten[[#This Row],[Levensfase]]</f>
        <v>Betongranulaat 250mm, Totaal</v>
      </c>
      <c r="B1755" s="33" t="s">
        <v>701</v>
      </c>
      <c r="C1755" s="33" t="s">
        <v>48</v>
      </c>
      <c r="D1755" s="33" t="s">
        <v>700</v>
      </c>
      <c r="E1755" s="33" t="s">
        <v>385</v>
      </c>
      <c r="F1755" s="33" t="s">
        <v>90</v>
      </c>
      <c r="G1755" s="33">
        <v>1</v>
      </c>
      <c r="H1755" s="33">
        <v>1</v>
      </c>
      <c r="I1755" s="33">
        <v>0.25</v>
      </c>
      <c r="L1755" s="33">
        <v>2.2000000000000002</v>
      </c>
      <c r="M1755" s="271">
        <v>0.55000000000000004</v>
      </c>
      <c r="N1755" s="41">
        <v>0.82593000000000005</v>
      </c>
      <c r="O1755" s="33">
        <v>100</v>
      </c>
      <c r="P1755" s="163">
        <v>1.04E-5</v>
      </c>
      <c r="Q1755" s="163">
        <v>5.4399999999999997E-2</v>
      </c>
      <c r="R1755" s="163">
        <v>7.42</v>
      </c>
      <c r="S1755" s="163">
        <v>1.4100000000000001E-6</v>
      </c>
      <c r="T1755" s="163">
        <v>3.8800000000000002E-3</v>
      </c>
      <c r="U1755" s="163">
        <v>2.53E-2</v>
      </c>
      <c r="V1755" s="163">
        <v>5.0499999999999998E-3</v>
      </c>
      <c r="W1755" s="163">
        <v>2.48</v>
      </c>
      <c r="X1755" s="163">
        <v>0.183</v>
      </c>
      <c r="Y1755" s="163">
        <v>462</v>
      </c>
      <c r="Z1755" s="163">
        <v>0.105</v>
      </c>
      <c r="AA1755" s="40"/>
      <c r="AB1755" s="40"/>
      <c r="AC1755" s="40"/>
      <c r="AD1755" s="40"/>
      <c r="AE1755" s="40"/>
      <c r="AF1755" s="40"/>
      <c r="AG1755" s="40"/>
      <c r="AH1755" s="40"/>
      <c r="AI1755" s="40"/>
      <c r="AJ1755" s="40"/>
      <c r="AK1755" s="40"/>
      <c r="AL1755" s="40"/>
      <c r="AM1755" s="40"/>
      <c r="AN1755" s="40"/>
      <c r="AO1755" s="40"/>
      <c r="AP1755" s="40"/>
      <c r="AQ1755" s="40"/>
      <c r="AR1755" s="40"/>
      <c r="AS1755" s="40"/>
      <c r="AT1755" s="40"/>
      <c r="AU1755" s="40"/>
      <c r="AV1755" s="315">
        <v>1.59</v>
      </c>
      <c r="AW1755" s="317"/>
      <c r="AX1755" s="317"/>
      <c r="AY1755" s="313">
        <v>123</v>
      </c>
      <c r="AZ1755" s="40"/>
      <c r="BA1755" s="40"/>
      <c r="BB1755" s="40"/>
      <c r="BC1755" s="40">
        <v>2.9000000000000001E-2</v>
      </c>
      <c r="BD1755" s="40">
        <v>8.5700000000000001E-4</v>
      </c>
      <c r="BE1755" s="163">
        <v>12.2</v>
      </c>
      <c r="BF1755" s="163">
        <v>7.25E-6</v>
      </c>
      <c r="BG1755" s="40"/>
      <c r="BH1755" s="40"/>
      <c r="BI1755" s="40"/>
      <c r="BJ1755" s="40"/>
      <c r="BK1755" s="40"/>
      <c r="BL1755" s="62">
        <v>1</v>
      </c>
      <c r="BM1755" s="275">
        <v>3</v>
      </c>
      <c r="BN1755" s="62">
        <v>0</v>
      </c>
      <c r="BO1755" s="33" t="s">
        <v>698</v>
      </c>
    </row>
    <row r="1756" spans="1:67">
      <c r="A1756" s="33" t="str">
        <f>Database_Productkaarten[[#This Row],[Product]]&amp;", "&amp;Database_Productkaarten[[#This Row],[Levensfase]]</f>
        <v>Betongranulaat 250mm, A1</v>
      </c>
      <c r="B1756" s="33" t="s">
        <v>701</v>
      </c>
      <c r="C1756" s="33" t="s">
        <v>48</v>
      </c>
      <c r="D1756" s="33" t="s">
        <v>700</v>
      </c>
      <c r="E1756" s="33" t="s">
        <v>385</v>
      </c>
      <c r="F1756" s="33" t="s">
        <v>74</v>
      </c>
      <c r="G1756" s="33">
        <v>1</v>
      </c>
      <c r="H1756" s="33">
        <v>1</v>
      </c>
      <c r="I1756" s="33">
        <v>0.25</v>
      </c>
      <c r="L1756" s="33">
        <v>2.2000000000000002</v>
      </c>
      <c r="M1756" s="271">
        <v>0.55000000000000004</v>
      </c>
      <c r="N1756" s="41"/>
      <c r="O1756" s="33">
        <v>100</v>
      </c>
      <c r="P1756" s="40"/>
      <c r="Q1756" s="40"/>
      <c r="R1756" s="40"/>
      <c r="S1756" s="40"/>
      <c r="T1756" s="40"/>
      <c r="U1756" s="40"/>
      <c r="V1756" s="40"/>
      <c r="W1756" s="40"/>
      <c r="X1756" s="40"/>
      <c r="Y1756" s="40"/>
      <c r="Z1756" s="40"/>
      <c r="AA1756" s="40"/>
      <c r="AB1756" s="40"/>
      <c r="AC1756" s="40"/>
      <c r="AD1756" s="40"/>
      <c r="AE1756" s="40"/>
      <c r="AF1756" s="40"/>
      <c r="AG1756" s="40"/>
      <c r="AH1756" s="40"/>
      <c r="AI1756" s="40"/>
      <c r="AJ1756" s="40"/>
      <c r="AK1756" s="40"/>
      <c r="AL1756" s="40"/>
      <c r="AM1756" s="40"/>
      <c r="AN1756" s="40"/>
      <c r="AO1756" s="40"/>
      <c r="AP1756" s="40"/>
      <c r="AQ1756" s="40"/>
      <c r="AR1756" s="40"/>
      <c r="AS1756" s="40"/>
      <c r="AT1756" s="40"/>
      <c r="AU1756" s="40"/>
      <c r="AV1756" s="317"/>
      <c r="AW1756" s="317"/>
      <c r="AX1756" s="317"/>
      <c r="AY1756" s="313"/>
      <c r="AZ1756" s="40"/>
      <c r="BA1756" s="40"/>
      <c r="BB1756" s="40"/>
      <c r="BC1756" s="40"/>
      <c r="BD1756" s="40"/>
      <c r="BE1756" s="40"/>
      <c r="BF1756" s="40"/>
      <c r="BG1756" s="40"/>
      <c r="BH1756" s="40"/>
      <c r="BI1756" s="40"/>
      <c r="BJ1756" s="40"/>
      <c r="BK1756" s="40"/>
      <c r="BL1756" s="62">
        <v>1</v>
      </c>
      <c r="BM1756" s="275">
        <v>3</v>
      </c>
      <c r="BN1756" s="62">
        <v>0</v>
      </c>
      <c r="BO1756" s="33" t="s">
        <v>698</v>
      </c>
    </row>
    <row r="1757" spans="1:67">
      <c r="A1757" s="33" t="str">
        <f>Database_Productkaarten[[#This Row],[Product]]&amp;", "&amp;Database_Productkaarten[[#This Row],[Levensfase]]</f>
        <v>Betongranulaat 250mm, A2</v>
      </c>
      <c r="B1757" s="33" t="s">
        <v>701</v>
      </c>
      <c r="C1757" s="33" t="s">
        <v>48</v>
      </c>
      <c r="D1757" s="33" t="s">
        <v>700</v>
      </c>
      <c r="E1757" s="33" t="s">
        <v>385</v>
      </c>
      <c r="F1757" s="33" t="s">
        <v>75</v>
      </c>
      <c r="G1757" s="33">
        <v>1</v>
      </c>
      <c r="H1757" s="33">
        <v>1</v>
      </c>
      <c r="I1757" s="33">
        <v>0.25</v>
      </c>
      <c r="L1757" s="33">
        <v>2.2000000000000002</v>
      </c>
      <c r="M1757" s="271">
        <v>0.55000000000000004</v>
      </c>
      <c r="N1757" s="41"/>
      <c r="O1757" s="33">
        <v>100</v>
      </c>
      <c r="P1757" s="40"/>
      <c r="Q1757" s="40"/>
      <c r="R1757" s="40"/>
      <c r="S1757" s="40"/>
      <c r="T1757" s="40"/>
      <c r="U1757" s="40"/>
      <c r="V1757" s="40"/>
      <c r="W1757" s="40"/>
      <c r="X1757" s="40"/>
      <c r="Y1757" s="40"/>
      <c r="Z1757" s="40"/>
      <c r="AA1757" s="40"/>
      <c r="AB1757" s="40"/>
      <c r="AC1757" s="40"/>
      <c r="AD1757" s="40"/>
      <c r="AE1757" s="40"/>
      <c r="AF1757" s="40"/>
      <c r="AG1757" s="40"/>
      <c r="AH1757" s="40"/>
      <c r="AI1757" s="40"/>
      <c r="AJ1757" s="40"/>
      <c r="AK1757" s="40"/>
      <c r="AL1757" s="40"/>
      <c r="AM1757" s="40"/>
      <c r="AN1757" s="40"/>
      <c r="AO1757" s="40"/>
      <c r="AP1757" s="40"/>
      <c r="AQ1757" s="40"/>
      <c r="AR1757" s="40"/>
      <c r="AS1757" s="40"/>
      <c r="AT1757" s="40"/>
      <c r="AU1757" s="40"/>
      <c r="AV1757" s="317"/>
      <c r="AW1757" s="317"/>
      <c r="AX1757" s="317"/>
      <c r="AY1757" s="313"/>
      <c r="AZ1757" s="40"/>
      <c r="BA1757" s="40"/>
      <c r="BB1757" s="40"/>
      <c r="BC1757" s="40"/>
      <c r="BD1757" s="40"/>
      <c r="BE1757" s="40"/>
      <c r="BF1757" s="40"/>
      <c r="BG1757" s="40"/>
      <c r="BH1757" s="40"/>
      <c r="BI1757" s="40"/>
      <c r="BJ1757" s="40"/>
      <c r="BK1757" s="40"/>
      <c r="BL1757" s="62">
        <v>1</v>
      </c>
      <c r="BM1757" s="275">
        <v>3</v>
      </c>
      <c r="BN1757" s="62">
        <v>0</v>
      </c>
      <c r="BO1757" s="33" t="s">
        <v>698</v>
      </c>
    </row>
    <row r="1758" spans="1:67">
      <c r="A1758" s="33" t="str">
        <f>Database_Productkaarten[[#This Row],[Product]]&amp;", "&amp;Database_Productkaarten[[#This Row],[Levensfase]]</f>
        <v>Betongranulaat 250mm, A3</v>
      </c>
      <c r="B1758" s="33" t="s">
        <v>701</v>
      </c>
      <c r="C1758" s="33" t="s">
        <v>48</v>
      </c>
      <c r="D1758" s="33" t="s">
        <v>700</v>
      </c>
      <c r="E1758" s="33" t="s">
        <v>385</v>
      </c>
      <c r="F1758" s="33" t="s">
        <v>76</v>
      </c>
      <c r="G1758" s="33">
        <v>1</v>
      </c>
      <c r="H1758" s="33">
        <v>1</v>
      </c>
      <c r="I1758" s="33">
        <v>0.25</v>
      </c>
      <c r="L1758" s="33">
        <v>2.2000000000000002</v>
      </c>
      <c r="M1758" s="271">
        <v>0.55000000000000004</v>
      </c>
      <c r="N1758" s="41"/>
      <c r="O1758" s="33">
        <v>100</v>
      </c>
      <c r="P1758" s="40"/>
      <c r="Q1758" s="40"/>
      <c r="R1758" s="40"/>
      <c r="S1758" s="40"/>
      <c r="T1758" s="40"/>
      <c r="U1758" s="40"/>
      <c r="V1758" s="40"/>
      <c r="W1758" s="40"/>
      <c r="X1758" s="40"/>
      <c r="Y1758" s="40"/>
      <c r="Z1758" s="40"/>
      <c r="AA1758" s="40"/>
      <c r="AB1758" s="40"/>
      <c r="AC1758" s="40"/>
      <c r="AD1758" s="40"/>
      <c r="AE1758" s="40"/>
      <c r="AF1758" s="40"/>
      <c r="AG1758" s="40"/>
      <c r="AH1758" s="40"/>
      <c r="AI1758" s="40"/>
      <c r="AJ1758" s="40"/>
      <c r="AK1758" s="40"/>
      <c r="AL1758" s="40"/>
      <c r="AM1758" s="40"/>
      <c r="AN1758" s="40"/>
      <c r="AO1758" s="40"/>
      <c r="AP1758" s="40"/>
      <c r="AQ1758" s="40"/>
      <c r="AR1758" s="40"/>
      <c r="AS1758" s="40"/>
      <c r="AT1758" s="40"/>
      <c r="AU1758" s="40"/>
      <c r="AV1758" s="317"/>
      <c r="AW1758" s="317"/>
      <c r="AX1758" s="317"/>
      <c r="AY1758" s="313"/>
      <c r="AZ1758" s="40"/>
      <c r="BA1758" s="40"/>
      <c r="BB1758" s="40"/>
      <c r="BC1758" s="40"/>
      <c r="BD1758" s="40"/>
      <c r="BE1758" s="40"/>
      <c r="BF1758" s="40"/>
      <c r="BG1758" s="40"/>
      <c r="BH1758" s="40"/>
      <c r="BI1758" s="40"/>
      <c r="BJ1758" s="40"/>
      <c r="BK1758" s="40"/>
      <c r="BL1758" s="62">
        <v>1</v>
      </c>
      <c r="BM1758" s="275">
        <v>3</v>
      </c>
      <c r="BN1758" s="62">
        <v>0</v>
      </c>
      <c r="BO1758" s="33" t="s">
        <v>698</v>
      </c>
    </row>
    <row r="1759" spans="1:67">
      <c r="A1759" s="33" t="str">
        <f>Database_Productkaarten[[#This Row],[Product]]&amp;", "&amp;Database_Productkaarten[[#This Row],[Levensfase]]</f>
        <v>Betongranulaat 250mm, A1-A3</v>
      </c>
      <c r="B1759" s="33" t="s">
        <v>701</v>
      </c>
      <c r="C1759" s="451" t="str">
        <f>C1758</f>
        <v>Funderingslagen</v>
      </c>
      <c r="D1759" s="451" t="str">
        <f>D1758</f>
        <v>Betongranulaat</v>
      </c>
      <c r="E1759" s="33" t="s">
        <v>385</v>
      </c>
      <c r="F1759" s="451" t="s">
        <v>77</v>
      </c>
      <c r="G1759" s="33">
        <v>1</v>
      </c>
      <c r="H1759" s="33">
        <v>1</v>
      </c>
      <c r="I1759" s="33">
        <v>0.25</v>
      </c>
      <c r="L1759" s="33">
        <v>2.2000000000000002</v>
      </c>
      <c r="M1759" s="271">
        <v>0.55000000000000004</v>
      </c>
      <c r="N1759" s="41">
        <v>0</v>
      </c>
      <c r="O1759" s="33">
        <v>100</v>
      </c>
      <c r="P1759" s="163">
        <v>0</v>
      </c>
      <c r="Q1759" s="163">
        <v>0</v>
      </c>
      <c r="R1759" s="163">
        <v>0</v>
      </c>
      <c r="S1759" s="163">
        <v>0</v>
      </c>
      <c r="T1759" s="163">
        <v>0</v>
      </c>
      <c r="U1759" s="163">
        <v>0</v>
      </c>
      <c r="V1759" s="163">
        <v>0</v>
      </c>
      <c r="W1759" s="163">
        <v>0</v>
      </c>
      <c r="X1759" s="163">
        <v>0</v>
      </c>
      <c r="Y1759" s="163">
        <v>0</v>
      </c>
      <c r="Z1759" s="163">
        <v>0</v>
      </c>
      <c r="AA1759" s="40"/>
      <c r="AB1759" s="40"/>
      <c r="AC1759" s="40"/>
      <c r="AD1759" s="40"/>
      <c r="AE1759" s="40"/>
      <c r="AF1759" s="40"/>
      <c r="AG1759" s="40"/>
      <c r="AH1759" s="40"/>
      <c r="AI1759" s="40"/>
      <c r="AJ1759" s="40"/>
      <c r="AK1759" s="40"/>
      <c r="AL1759" s="40"/>
      <c r="AM1759" s="40"/>
      <c r="AN1759" s="40"/>
      <c r="AO1759" s="40"/>
      <c r="AP1759" s="40"/>
      <c r="AQ1759" s="40"/>
      <c r="AR1759" s="40"/>
      <c r="AS1759" s="40"/>
      <c r="AT1759" s="40"/>
      <c r="AU1759" s="40"/>
      <c r="AV1759" s="315">
        <v>0</v>
      </c>
      <c r="AW1759" s="317"/>
      <c r="AX1759" s="317"/>
      <c r="AY1759" s="313">
        <v>0</v>
      </c>
      <c r="AZ1759" s="40"/>
      <c r="BA1759" s="40"/>
      <c r="BB1759" s="40"/>
      <c r="BC1759" s="40">
        <v>0</v>
      </c>
      <c r="BD1759" s="40">
        <v>0</v>
      </c>
      <c r="BE1759" s="163">
        <v>0</v>
      </c>
      <c r="BF1759" s="163">
        <v>0</v>
      </c>
      <c r="BG1759" s="40"/>
      <c r="BH1759" s="40"/>
      <c r="BI1759" s="40"/>
      <c r="BJ1759" s="40"/>
      <c r="BK1759" s="40"/>
      <c r="BL1759" s="62">
        <v>1</v>
      </c>
      <c r="BM1759" s="275">
        <v>3</v>
      </c>
      <c r="BN1759" s="62">
        <v>0</v>
      </c>
      <c r="BO1759" s="33" t="s">
        <v>698</v>
      </c>
    </row>
    <row r="1760" spans="1:67">
      <c r="A1760" s="33" t="str">
        <f>Database_Productkaarten[[#This Row],[Product]]&amp;", "&amp;Database_Productkaarten[[#This Row],[Levensfase]]</f>
        <v>Betongranulaat 250mm, A4</v>
      </c>
      <c r="B1760" s="33" t="s">
        <v>701</v>
      </c>
      <c r="C1760" s="33" t="s">
        <v>48</v>
      </c>
      <c r="D1760" s="33" t="s">
        <v>700</v>
      </c>
      <c r="E1760" s="33" t="s">
        <v>385</v>
      </c>
      <c r="F1760" s="33" t="s">
        <v>78</v>
      </c>
      <c r="G1760" s="33">
        <v>1</v>
      </c>
      <c r="H1760" s="33">
        <v>1</v>
      </c>
      <c r="I1760" s="33">
        <v>0.25</v>
      </c>
      <c r="L1760" s="33">
        <v>2.2000000000000002</v>
      </c>
      <c r="M1760" s="271">
        <v>0.55000000000000004</v>
      </c>
      <c r="N1760" s="41">
        <v>0.26319999999999999</v>
      </c>
      <c r="O1760" s="33">
        <v>100</v>
      </c>
      <c r="P1760" s="163">
        <v>4.4599999999999996E-6</v>
      </c>
      <c r="Q1760" s="163">
        <v>1.7600000000000001E-2</v>
      </c>
      <c r="R1760" s="163">
        <v>2.3199999999999998</v>
      </c>
      <c r="S1760" s="163">
        <v>4.6199999999999998E-7</v>
      </c>
      <c r="T1760" s="163">
        <v>1.47E-3</v>
      </c>
      <c r="U1760" s="163">
        <v>8.4700000000000001E-3</v>
      </c>
      <c r="V1760" s="163">
        <v>1.73E-3</v>
      </c>
      <c r="W1760" s="163">
        <v>0.81799999999999995</v>
      </c>
      <c r="X1760" s="163">
        <v>5.28E-2</v>
      </c>
      <c r="Y1760" s="163">
        <v>138</v>
      </c>
      <c r="Z1760" s="163">
        <v>4.8500000000000001E-3</v>
      </c>
      <c r="AA1760" s="40"/>
      <c r="AB1760" s="40"/>
      <c r="AC1760" s="40"/>
      <c r="AD1760" s="40"/>
      <c r="AE1760" s="40"/>
      <c r="AF1760" s="40"/>
      <c r="AG1760" s="40"/>
      <c r="AH1760" s="40"/>
      <c r="AI1760" s="40"/>
      <c r="AJ1760" s="40"/>
      <c r="AK1760" s="40"/>
      <c r="AL1760" s="40"/>
      <c r="AM1760" s="40"/>
      <c r="AN1760" s="40"/>
      <c r="AO1760" s="40"/>
      <c r="AP1760" s="40"/>
      <c r="AQ1760" s="40"/>
      <c r="AR1760" s="40"/>
      <c r="AS1760" s="40"/>
      <c r="AT1760" s="40"/>
      <c r="AU1760" s="40"/>
      <c r="AV1760" s="315">
        <v>0.628</v>
      </c>
      <c r="AW1760" s="317"/>
      <c r="AX1760" s="317"/>
      <c r="AY1760" s="313">
        <v>40.200000000000003</v>
      </c>
      <c r="AZ1760" s="40"/>
      <c r="BA1760" s="40"/>
      <c r="BB1760" s="40"/>
      <c r="BC1760" s="40">
        <v>8.1499999999999993E-3</v>
      </c>
      <c r="BD1760" s="40">
        <v>2.8499999999999999E-4</v>
      </c>
      <c r="BE1760" s="163">
        <v>3.32</v>
      </c>
      <c r="BF1760" s="163">
        <v>0</v>
      </c>
      <c r="BG1760" s="40"/>
      <c r="BH1760" s="40"/>
      <c r="BI1760" s="40"/>
      <c r="BJ1760" s="40"/>
      <c r="BK1760" s="40"/>
      <c r="BL1760" s="62">
        <v>1</v>
      </c>
      <c r="BM1760" s="275">
        <v>3</v>
      </c>
      <c r="BN1760" s="62">
        <v>0</v>
      </c>
      <c r="BO1760" s="33" t="s">
        <v>698</v>
      </c>
    </row>
    <row r="1761" spans="1:67">
      <c r="A1761" s="33" t="str">
        <f>Database_Productkaarten[[#This Row],[Product]]&amp;", "&amp;Database_Productkaarten[[#This Row],[Levensfase]]</f>
        <v>Betongranulaat 250mm, A5</v>
      </c>
      <c r="B1761" s="33" t="s">
        <v>701</v>
      </c>
      <c r="C1761" s="33" t="s">
        <v>48</v>
      </c>
      <c r="D1761" s="33" t="s">
        <v>700</v>
      </c>
      <c r="E1761" s="33" t="s">
        <v>385</v>
      </c>
      <c r="F1761" s="33" t="s">
        <v>79</v>
      </c>
      <c r="G1761" s="33">
        <v>1</v>
      </c>
      <c r="H1761" s="33">
        <v>1</v>
      </c>
      <c r="I1761" s="33">
        <v>0.25</v>
      </c>
      <c r="L1761" s="33">
        <v>2.2000000000000002</v>
      </c>
      <c r="M1761" s="271">
        <v>0.55000000000000004</v>
      </c>
      <c r="N1761" s="41">
        <v>0.18803</v>
      </c>
      <c r="O1761" s="33">
        <v>100</v>
      </c>
      <c r="P1761" s="163">
        <v>9.5000000000000001E-7</v>
      </c>
      <c r="Q1761" s="163">
        <v>1.3899999999999999E-2</v>
      </c>
      <c r="R1761" s="163">
        <v>2.0299999999999998</v>
      </c>
      <c r="S1761" s="163">
        <v>3.53E-7</v>
      </c>
      <c r="T1761" s="163">
        <v>6.6799999999999997E-4</v>
      </c>
      <c r="U1761" s="163">
        <v>5.9500000000000004E-3</v>
      </c>
      <c r="V1761" s="163">
        <v>1.14E-3</v>
      </c>
      <c r="W1761" s="163">
        <v>0.502</v>
      </c>
      <c r="X1761" s="163">
        <v>9.9500000000000005E-3</v>
      </c>
      <c r="Y1761" s="163">
        <v>33.299999999999997</v>
      </c>
      <c r="Z1761" s="163">
        <v>1.7899999999999999E-3</v>
      </c>
      <c r="AA1761" s="40"/>
      <c r="AB1761" s="40"/>
      <c r="AC1761" s="40"/>
      <c r="AD1761" s="40"/>
      <c r="AE1761" s="40"/>
      <c r="AF1761" s="40"/>
      <c r="AG1761" s="40"/>
      <c r="AH1761" s="40"/>
      <c r="AI1761" s="40"/>
      <c r="AJ1761" s="40"/>
      <c r="AK1761" s="40"/>
      <c r="AL1761" s="40"/>
      <c r="AM1761" s="40"/>
      <c r="AN1761" s="40"/>
      <c r="AO1761" s="40"/>
      <c r="AP1761" s="40"/>
      <c r="AQ1761" s="40"/>
      <c r="AR1761" s="40"/>
      <c r="AS1761" s="40"/>
      <c r="AT1761" s="40"/>
      <c r="AU1761" s="40"/>
      <c r="AV1761" s="315">
        <v>0.22600000000000001</v>
      </c>
      <c r="AW1761" s="317"/>
      <c r="AX1761" s="317"/>
      <c r="AY1761" s="313">
        <v>30.9</v>
      </c>
      <c r="AZ1761" s="40"/>
      <c r="BA1761" s="40"/>
      <c r="BB1761" s="40"/>
      <c r="BC1761" s="40">
        <v>2.9199999999999999E-3</v>
      </c>
      <c r="BD1761" s="40">
        <v>2.14E-4</v>
      </c>
      <c r="BE1761" s="163">
        <v>5.1900000000000002E-2</v>
      </c>
      <c r="BF1761" s="163">
        <v>0</v>
      </c>
      <c r="BG1761" s="40"/>
      <c r="BH1761" s="40"/>
      <c r="BI1761" s="40"/>
      <c r="BJ1761" s="40"/>
      <c r="BK1761" s="40"/>
      <c r="BL1761" s="62">
        <v>1</v>
      </c>
      <c r="BM1761" s="275">
        <v>3</v>
      </c>
      <c r="BN1761" s="62">
        <v>0</v>
      </c>
      <c r="BO1761" s="33" t="s">
        <v>698</v>
      </c>
    </row>
    <row r="1762" spans="1:67">
      <c r="A1762" s="33" t="str">
        <f>Database_Productkaarten[[#This Row],[Product]]&amp;", "&amp;Database_Productkaarten[[#This Row],[Levensfase]]</f>
        <v>Betongranulaat 250mm, B1</v>
      </c>
      <c r="B1762" s="33" t="s">
        <v>701</v>
      </c>
      <c r="C1762" s="33" t="s">
        <v>48</v>
      </c>
      <c r="D1762" s="33" t="s">
        <v>700</v>
      </c>
      <c r="E1762" s="33" t="s">
        <v>385</v>
      </c>
      <c r="F1762" s="33" t="s">
        <v>80</v>
      </c>
      <c r="G1762" s="33">
        <v>1</v>
      </c>
      <c r="H1762" s="33">
        <v>1</v>
      </c>
      <c r="I1762" s="33">
        <v>0.25</v>
      </c>
      <c r="L1762" s="33">
        <v>2.2000000000000002</v>
      </c>
      <c r="M1762" s="271">
        <v>0.55000000000000004</v>
      </c>
      <c r="N1762" s="41">
        <v>3.4369999999999998E-2</v>
      </c>
      <c r="O1762" s="33">
        <v>100</v>
      </c>
      <c r="P1762" s="163">
        <v>0</v>
      </c>
      <c r="Q1762" s="163">
        <v>0</v>
      </c>
      <c r="R1762" s="163">
        <v>0</v>
      </c>
      <c r="S1762" s="163">
        <v>0</v>
      </c>
      <c r="T1762" s="163">
        <v>0</v>
      </c>
      <c r="U1762" s="163">
        <v>0</v>
      </c>
      <c r="V1762" s="163">
        <v>0</v>
      </c>
      <c r="W1762" s="163">
        <v>0.14499999999999999</v>
      </c>
      <c r="X1762" s="163">
        <v>6.3200000000000006E-2</v>
      </c>
      <c r="Y1762" s="163">
        <v>139</v>
      </c>
      <c r="Z1762" s="163">
        <v>9.2999999999999999E-2</v>
      </c>
      <c r="AA1762" s="40"/>
      <c r="AB1762" s="40"/>
      <c r="AC1762" s="40"/>
      <c r="AD1762" s="40"/>
      <c r="AE1762" s="40"/>
      <c r="AF1762" s="40"/>
      <c r="AG1762" s="40"/>
      <c r="AH1762" s="40"/>
      <c r="AI1762" s="40"/>
      <c r="AJ1762" s="40"/>
      <c r="AK1762" s="40"/>
      <c r="AL1762" s="40"/>
      <c r="AM1762" s="40"/>
      <c r="AN1762" s="40"/>
      <c r="AO1762" s="40"/>
      <c r="AP1762" s="40"/>
      <c r="AQ1762" s="40"/>
      <c r="AR1762" s="40"/>
      <c r="AS1762" s="40"/>
      <c r="AT1762" s="40"/>
      <c r="AU1762" s="40"/>
      <c r="AV1762" s="315">
        <v>0</v>
      </c>
      <c r="AW1762" s="317"/>
      <c r="AX1762" s="317"/>
      <c r="AY1762" s="313">
        <v>0</v>
      </c>
      <c r="AZ1762" s="40"/>
      <c r="BA1762" s="40"/>
      <c r="BB1762" s="40"/>
      <c r="BC1762" s="40">
        <v>0</v>
      </c>
      <c r="BD1762" s="40">
        <v>0</v>
      </c>
      <c r="BE1762" s="163">
        <v>0</v>
      </c>
      <c r="BF1762" s="163">
        <v>0</v>
      </c>
      <c r="BG1762" s="40"/>
      <c r="BH1762" s="40"/>
      <c r="BI1762" s="40"/>
      <c r="BJ1762" s="40"/>
      <c r="BK1762" s="40"/>
      <c r="BL1762" s="62">
        <v>1</v>
      </c>
      <c r="BM1762" s="275">
        <v>3</v>
      </c>
      <c r="BN1762" s="62">
        <v>0</v>
      </c>
      <c r="BO1762" s="33" t="s">
        <v>698</v>
      </c>
    </row>
    <row r="1763" spans="1:67">
      <c r="A1763" s="33" t="str">
        <f>Database_Productkaarten[[#This Row],[Product]]&amp;", "&amp;Database_Productkaarten[[#This Row],[Levensfase]]</f>
        <v>Betongranulaat 250mm, C1</v>
      </c>
      <c r="B1763" s="33" t="s">
        <v>701</v>
      </c>
      <c r="C1763" s="33" t="s">
        <v>48</v>
      </c>
      <c r="D1763" s="33" t="s">
        <v>700</v>
      </c>
      <c r="E1763" s="33" t="s">
        <v>385</v>
      </c>
      <c r="F1763" s="33" t="s">
        <v>83</v>
      </c>
      <c r="G1763" s="33">
        <v>1</v>
      </c>
      <c r="H1763" s="33">
        <v>1</v>
      </c>
      <c r="I1763" s="33">
        <v>0.25</v>
      </c>
      <c r="L1763" s="33">
        <v>2.2000000000000002</v>
      </c>
      <c r="M1763" s="271">
        <v>0.55000000000000004</v>
      </c>
      <c r="N1763" s="41">
        <v>6.2149999999999997E-2</v>
      </c>
      <c r="O1763" s="33">
        <v>100</v>
      </c>
      <c r="P1763" s="163">
        <v>3.1399999999999998E-7</v>
      </c>
      <c r="Q1763" s="163">
        <v>4.5799999999999999E-3</v>
      </c>
      <c r="R1763" s="163">
        <v>0.67100000000000004</v>
      </c>
      <c r="S1763" s="163">
        <v>1.17E-7</v>
      </c>
      <c r="T1763" s="163">
        <v>2.2100000000000001E-4</v>
      </c>
      <c r="U1763" s="163">
        <v>1.97E-3</v>
      </c>
      <c r="V1763" s="163">
        <v>3.7599999999999998E-4</v>
      </c>
      <c r="W1763" s="163">
        <v>0.16600000000000001</v>
      </c>
      <c r="X1763" s="163">
        <v>3.29E-3</v>
      </c>
      <c r="Y1763" s="163">
        <v>11</v>
      </c>
      <c r="Z1763" s="163">
        <v>5.9100000000000005E-4</v>
      </c>
      <c r="AA1763" s="40"/>
      <c r="AB1763" s="40"/>
      <c r="AC1763" s="40"/>
      <c r="AD1763" s="40"/>
      <c r="AE1763" s="40"/>
      <c r="AF1763" s="40"/>
      <c r="AG1763" s="40"/>
      <c r="AH1763" s="40"/>
      <c r="AI1763" s="40"/>
      <c r="AJ1763" s="40"/>
      <c r="AK1763" s="40"/>
      <c r="AL1763" s="40"/>
      <c r="AM1763" s="40"/>
      <c r="AN1763" s="40"/>
      <c r="AO1763" s="40"/>
      <c r="AP1763" s="40"/>
      <c r="AQ1763" s="40"/>
      <c r="AR1763" s="40"/>
      <c r="AS1763" s="40"/>
      <c r="AT1763" s="40"/>
      <c r="AU1763" s="40"/>
      <c r="AV1763" s="315">
        <v>7.46E-2</v>
      </c>
      <c r="AW1763" s="317"/>
      <c r="AX1763" s="317"/>
      <c r="AY1763" s="313">
        <v>10.199999999999999</v>
      </c>
      <c r="AZ1763" s="40"/>
      <c r="BA1763" s="40"/>
      <c r="BB1763" s="40"/>
      <c r="BC1763" s="40">
        <v>9.6599999999999995E-4</v>
      </c>
      <c r="BD1763" s="40">
        <v>7.0599999999999995E-5</v>
      </c>
      <c r="BE1763" s="163">
        <v>1.72E-2</v>
      </c>
      <c r="BF1763" s="163">
        <v>0</v>
      </c>
      <c r="BG1763" s="40"/>
      <c r="BH1763" s="40"/>
      <c r="BI1763" s="40"/>
      <c r="BJ1763" s="40"/>
      <c r="BK1763" s="40"/>
      <c r="BL1763" s="62">
        <v>1</v>
      </c>
      <c r="BM1763" s="275">
        <v>3</v>
      </c>
      <c r="BN1763" s="62">
        <v>0</v>
      </c>
      <c r="BO1763" s="33" t="s">
        <v>698</v>
      </c>
    </row>
    <row r="1764" spans="1:67">
      <c r="A1764" s="33" t="str">
        <f>Database_Productkaarten[[#This Row],[Product]]&amp;", "&amp;Database_Productkaarten[[#This Row],[Levensfase]]</f>
        <v>Betongranulaat 250mm, C2</v>
      </c>
      <c r="B1764" s="33" t="s">
        <v>701</v>
      </c>
      <c r="C1764" s="33" t="s">
        <v>48</v>
      </c>
      <c r="D1764" s="33" t="s">
        <v>700</v>
      </c>
      <c r="E1764" s="33" t="s">
        <v>385</v>
      </c>
      <c r="F1764" s="33" t="s">
        <v>84</v>
      </c>
      <c r="G1764" s="33">
        <v>1</v>
      </c>
      <c r="H1764" s="33">
        <v>1</v>
      </c>
      <c r="I1764" s="33">
        <v>0.25</v>
      </c>
      <c r="L1764" s="33">
        <v>2.2000000000000002</v>
      </c>
      <c r="M1764" s="271">
        <v>0.55000000000000004</v>
      </c>
      <c r="N1764" s="41">
        <v>0.26583000000000001</v>
      </c>
      <c r="O1764" s="33">
        <v>100</v>
      </c>
      <c r="P1764" s="163">
        <v>4.5000000000000001E-6</v>
      </c>
      <c r="Q1764" s="163">
        <v>1.78E-2</v>
      </c>
      <c r="R1764" s="163">
        <v>2.35</v>
      </c>
      <c r="S1764" s="163">
        <v>4.6699999999999999E-7</v>
      </c>
      <c r="T1764" s="163">
        <v>1.48E-3</v>
      </c>
      <c r="U1764" s="163">
        <v>8.5599999999999999E-3</v>
      </c>
      <c r="V1764" s="163">
        <v>1.74E-3</v>
      </c>
      <c r="W1764" s="163">
        <v>0.82599999999999996</v>
      </c>
      <c r="X1764" s="163">
        <v>5.33E-2</v>
      </c>
      <c r="Y1764" s="163">
        <v>139</v>
      </c>
      <c r="Z1764" s="163">
        <v>4.8999999999999998E-3</v>
      </c>
      <c r="AA1764" s="40"/>
      <c r="AB1764" s="40"/>
      <c r="AC1764" s="40"/>
      <c r="AD1764" s="40"/>
      <c r="AE1764" s="40"/>
      <c r="AF1764" s="40"/>
      <c r="AG1764" s="40"/>
      <c r="AH1764" s="40"/>
      <c r="AI1764" s="40"/>
      <c r="AJ1764" s="40"/>
      <c r="AK1764" s="40"/>
      <c r="AL1764" s="40"/>
      <c r="AM1764" s="40"/>
      <c r="AN1764" s="40"/>
      <c r="AO1764" s="40"/>
      <c r="AP1764" s="40"/>
      <c r="AQ1764" s="40"/>
      <c r="AR1764" s="40"/>
      <c r="AS1764" s="40"/>
      <c r="AT1764" s="40"/>
      <c r="AU1764" s="40"/>
      <c r="AV1764" s="315">
        <v>0.63500000000000001</v>
      </c>
      <c r="AW1764" s="317"/>
      <c r="AX1764" s="317"/>
      <c r="AY1764" s="313">
        <v>40.6</v>
      </c>
      <c r="AZ1764" s="40"/>
      <c r="BA1764" s="40"/>
      <c r="BB1764" s="40"/>
      <c r="BC1764" s="40">
        <v>8.2400000000000008E-3</v>
      </c>
      <c r="BD1764" s="40">
        <v>2.8699999999999998E-4</v>
      </c>
      <c r="BE1764" s="163">
        <v>3.35</v>
      </c>
      <c r="BF1764" s="163">
        <v>0</v>
      </c>
      <c r="BG1764" s="40"/>
      <c r="BH1764" s="40"/>
      <c r="BI1764" s="40"/>
      <c r="BJ1764" s="40"/>
      <c r="BK1764" s="40"/>
      <c r="BL1764" s="62">
        <v>1</v>
      </c>
      <c r="BM1764" s="275">
        <v>3</v>
      </c>
      <c r="BN1764" s="62">
        <v>0</v>
      </c>
      <c r="BO1764" s="33" t="s">
        <v>698</v>
      </c>
    </row>
    <row r="1765" spans="1:67">
      <c r="A1765" s="33" t="str">
        <f>Database_Productkaarten[[#This Row],[Product]]&amp;", "&amp;Database_Productkaarten[[#This Row],[Levensfase]]</f>
        <v>Betongranulaat 250mm, C3</v>
      </c>
      <c r="B1765" s="33" t="s">
        <v>701</v>
      </c>
      <c r="C1765" s="33" t="s">
        <v>48</v>
      </c>
      <c r="D1765" s="33" t="s">
        <v>700</v>
      </c>
      <c r="E1765" s="33" t="s">
        <v>385</v>
      </c>
      <c r="F1765" s="33" t="s">
        <v>85</v>
      </c>
      <c r="G1765" s="33">
        <v>1</v>
      </c>
      <c r="H1765" s="33">
        <v>1</v>
      </c>
      <c r="I1765" s="33">
        <v>0.25</v>
      </c>
      <c r="L1765" s="33">
        <v>2.2000000000000002</v>
      </c>
      <c r="M1765" s="271">
        <v>0.55000000000000004</v>
      </c>
      <c r="N1765" s="41">
        <v>0</v>
      </c>
      <c r="O1765" s="33">
        <v>100</v>
      </c>
      <c r="P1765" s="163">
        <v>0</v>
      </c>
      <c r="Q1765" s="163">
        <v>0</v>
      </c>
      <c r="R1765" s="163">
        <v>0</v>
      </c>
      <c r="S1765" s="163">
        <v>0</v>
      </c>
      <c r="T1765" s="163">
        <v>0</v>
      </c>
      <c r="U1765" s="163">
        <v>0</v>
      </c>
      <c r="V1765" s="163">
        <v>0</v>
      </c>
      <c r="W1765" s="163">
        <v>0</v>
      </c>
      <c r="X1765" s="163">
        <v>0</v>
      </c>
      <c r="Y1765" s="163">
        <v>0</v>
      </c>
      <c r="Z1765" s="163">
        <v>0</v>
      </c>
      <c r="AA1765" s="40"/>
      <c r="AB1765" s="40"/>
      <c r="AC1765" s="40"/>
      <c r="AD1765" s="40"/>
      <c r="AE1765" s="40"/>
      <c r="AF1765" s="40"/>
      <c r="AG1765" s="40"/>
      <c r="AH1765" s="40"/>
      <c r="AI1765" s="40"/>
      <c r="AJ1765" s="40"/>
      <c r="AK1765" s="40"/>
      <c r="AL1765" s="40"/>
      <c r="AM1765" s="40"/>
      <c r="AN1765" s="40"/>
      <c r="AO1765" s="40"/>
      <c r="AP1765" s="40"/>
      <c r="AQ1765" s="40"/>
      <c r="AR1765" s="40"/>
      <c r="AS1765" s="40"/>
      <c r="AT1765" s="40"/>
      <c r="AU1765" s="40"/>
      <c r="AV1765" s="315">
        <v>0</v>
      </c>
      <c r="AW1765" s="317"/>
      <c r="AX1765" s="317"/>
      <c r="AY1765" s="313">
        <v>0</v>
      </c>
      <c r="AZ1765" s="40"/>
      <c r="BA1765" s="40"/>
      <c r="BB1765" s="40"/>
      <c r="BC1765" s="40">
        <v>0</v>
      </c>
      <c r="BD1765" s="40">
        <v>0</v>
      </c>
      <c r="BE1765" s="163">
        <v>0</v>
      </c>
      <c r="BF1765" s="163">
        <v>0</v>
      </c>
      <c r="BG1765" s="40"/>
      <c r="BH1765" s="40"/>
      <c r="BI1765" s="40"/>
      <c r="BJ1765" s="40"/>
      <c r="BK1765" s="40"/>
      <c r="BL1765" s="62">
        <v>1</v>
      </c>
      <c r="BM1765" s="275">
        <v>3</v>
      </c>
      <c r="BN1765" s="62">
        <v>0</v>
      </c>
      <c r="BO1765" s="33" t="s">
        <v>698</v>
      </c>
    </row>
    <row r="1766" spans="1:67">
      <c r="A1766" s="33" t="str">
        <f>Database_Productkaarten[[#This Row],[Product]]&amp;", "&amp;Database_Productkaarten[[#This Row],[Levensfase]]</f>
        <v>Betongranulaat 250mm, C4</v>
      </c>
      <c r="B1766" s="33" t="s">
        <v>701</v>
      </c>
      <c r="C1766" s="33" t="s">
        <v>48</v>
      </c>
      <c r="D1766" s="33" t="s">
        <v>700</v>
      </c>
      <c r="E1766" s="33" t="s">
        <v>385</v>
      </c>
      <c r="F1766" s="33" t="s">
        <v>86</v>
      </c>
      <c r="G1766" s="33">
        <v>1</v>
      </c>
      <c r="H1766" s="33">
        <v>1</v>
      </c>
      <c r="I1766" s="33">
        <v>0.25</v>
      </c>
      <c r="L1766" s="33">
        <v>2.2000000000000002</v>
      </c>
      <c r="M1766" s="271">
        <v>0.55000000000000004</v>
      </c>
      <c r="N1766" s="41">
        <v>4.0899999999999999E-3</v>
      </c>
      <c r="O1766" s="33">
        <v>100</v>
      </c>
      <c r="P1766" s="163">
        <v>3.2700000000000002E-8</v>
      </c>
      <c r="Q1766" s="163">
        <v>4.2499999999999998E-4</v>
      </c>
      <c r="R1766" s="163">
        <v>2.9100000000000001E-2</v>
      </c>
      <c r="S1766" s="163">
        <v>1.05E-8</v>
      </c>
      <c r="T1766" s="163">
        <v>3.1600000000000002E-5</v>
      </c>
      <c r="U1766" s="163">
        <v>2.1900000000000001E-4</v>
      </c>
      <c r="V1766" s="163">
        <v>4.1399999999999997E-5</v>
      </c>
      <c r="W1766" s="163">
        <v>1.26E-2</v>
      </c>
      <c r="X1766" s="163">
        <v>3.0600000000000001E-4</v>
      </c>
      <c r="Y1766" s="163">
        <v>1.07</v>
      </c>
      <c r="Z1766" s="163">
        <v>3.15E-5</v>
      </c>
      <c r="AA1766" s="40"/>
      <c r="AB1766" s="40"/>
      <c r="AC1766" s="40"/>
      <c r="AD1766" s="40"/>
      <c r="AE1766" s="40"/>
      <c r="AF1766" s="40"/>
      <c r="AG1766" s="40"/>
      <c r="AH1766" s="40"/>
      <c r="AI1766" s="40"/>
      <c r="AJ1766" s="40"/>
      <c r="AK1766" s="40"/>
      <c r="AL1766" s="40"/>
      <c r="AM1766" s="40"/>
      <c r="AN1766" s="40"/>
      <c r="AO1766" s="40"/>
      <c r="AP1766" s="40"/>
      <c r="AQ1766" s="40"/>
      <c r="AR1766" s="40"/>
      <c r="AS1766" s="40"/>
      <c r="AT1766" s="40"/>
      <c r="AU1766" s="40"/>
      <c r="AV1766" s="315">
        <v>7.3000000000000001E-3</v>
      </c>
      <c r="AW1766" s="317"/>
      <c r="AX1766" s="317"/>
      <c r="AY1766" s="313">
        <v>0.94799999999999995</v>
      </c>
      <c r="AZ1766" s="40"/>
      <c r="BA1766" s="40"/>
      <c r="BB1766" s="40"/>
      <c r="BC1766" s="40">
        <v>9.3099999999999997E-4</v>
      </c>
      <c r="BD1766" s="40">
        <v>5.9699999999999996E-7</v>
      </c>
      <c r="BE1766" s="163">
        <v>5.5</v>
      </c>
      <c r="BF1766" s="163">
        <v>5.9000000000000003E-6</v>
      </c>
      <c r="BG1766" s="40"/>
      <c r="BH1766" s="40"/>
      <c r="BI1766" s="40"/>
      <c r="BJ1766" s="40"/>
      <c r="BK1766" s="40"/>
      <c r="BL1766" s="62">
        <v>1</v>
      </c>
      <c r="BM1766" s="275">
        <v>3</v>
      </c>
      <c r="BN1766" s="62">
        <v>0</v>
      </c>
      <c r="BO1766" s="33" t="s">
        <v>698</v>
      </c>
    </row>
    <row r="1767" spans="1:67">
      <c r="A1767" s="33" t="str">
        <f>Database_Productkaarten[[#This Row],[Product]]&amp;", "&amp;Database_Productkaarten[[#This Row],[Levensfase]]</f>
        <v>Betongranulaat 250mm, D</v>
      </c>
      <c r="B1767" s="33" t="s">
        <v>701</v>
      </c>
      <c r="C1767" s="33" t="str">
        <f>C1768</f>
        <v>Funderingslagen</v>
      </c>
      <c r="D1767" s="33" t="str">
        <f>D1768</f>
        <v>Betongranulaat</v>
      </c>
      <c r="E1767" s="33" t="s">
        <v>385</v>
      </c>
      <c r="F1767" s="33" t="s">
        <v>89</v>
      </c>
      <c r="G1767" s="33">
        <v>1</v>
      </c>
      <c r="H1767" s="33">
        <v>1</v>
      </c>
      <c r="I1767" s="33">
        <v>0.25</v>
      </c>
      <c r="L1767" s="33">
        <v>2.2000000000000002</v>
      </c>
      <c r="M1767" s="271">
        <v>0.55000000000000004</v>
      </c>
      <c r="N1767" s="41">
        <v>8.26E-3</v>
      </c>
      <c r="O1767" s="33">
        <v>100</v>
      </c>
      <c r="P1767" s="163">
        <v>1.2800000000000001E-7</v>
      </c>
      <c r="Q1767" s="163">
        <v>1.5799999999999999E-4</v>
      </c>
      <c r="R1767" s="163">
        <v>2.3099999999999999E-2</v>
      </c>
      <c r="S1767" s="163">
        <v>2.0700000000000001E-9</v>
      </c>
      <c r="T1767" s="163">
        <v>1.6699999999999999E-5</v>
      </c>
      <c r="U1767" s="163">
        <v>1.3200000000000001E-4</v>
      </c>
      <c r="V1767" s="163">
        <v>2.3E-5</v>
      </c>
      <c r="W1767" s="163">
        <v>1.03E-2</v>
      </c>
      <c r="X1767" s="163">
        <v>1.4799999999999999E-4</v>
      </c>
      <c r="Y1767" s="163">
        <v>0.64500000000000002</v>
      </c>
      <c r="Z1767" s="163">
        <v>5.38E-5</v>
      </c>
      <c r="AA1767" s="40"/>
      <c r="AB1767" s="40"/>
      <c r="AC1767" s="40"/>
      <c r="AD1767" s="40"/>
      <c r="AE1767" s="40"/>
      <c r="AF1767" s="40"/>
      <c r="AG1767" s="40"/>
      <c r="AH1767" s="40"/>
      <c r="AI1767" s="40"/>
      <c r="AJ1767" s="40"/>
      <c r="AK1767" s="40"/>
      <c r="AL1767" s="40"/>
      <c r="AM1767" s="40"/>
      <c r="AN1767" s="40"/>
      <c r="AO1767" s="40"/>
      <c r="AP1767" s="40"/>
      <c r="AQ1767" s="40"/>
      <c r="AR1767" s="40"/>
      <c r="AS1767" s="40"/>
      <c r="AT1767" s="40"/>
      <c r="AU1767" s="40"/>
      <c r="AV1767" s="315">
        <v>1.95E-2</v>
      </c>
      <c r="AW1767" s="317"/>
      <c r="AX1767" s="317"/>
      <c r="AY1767" s="313">
        <v>0.31900000000000001</v>
      </c>
      <c r="AZ1767" s="40"/>
      <c r="BA1767" s="40"/>
      <c r="BB1767" s="40"/>
      <c r="BC1767" s="40">
        <v>7.77E-3</v>
      </c>
      <c r="BD1767" s="40">
        <v>4.2500000000000001E-7</v>
      </c>
      <c r="BE1767" s="163">
        <v>3.0100000000000001E-3</v>
      </c>
      <c r="BF1767" s="163">
        <v>1.3400000000000001E-6</v>
      </c>
      <c r="BG1767" s="40"/>
      <c r="BH1767" s="40"/>
      <c r="BI1767" s="40"/>
      <c r="BJ1767" s="40"/>
      <c r="BK1767" s="40"/>
      <c r="BL1767" s="62">
        <v>1</v>
      </c>
      <c r="BM1767" s="275">
        <v>3</v>
      </c>
      <c r="BN1767" s="62">
        <v>0</v>
      </c>
      <c r="BO1767" s="33" t="s">
        <v>698</v>
      </c>
    </row>
    <row r="1768" spans="1:67">
      <c r="A1768" s="33" t="str">
        <f>Database_Productkaarten[[#This Row],[Product]]&amp;", "&amp;Database_Productkaarten[[#This Row],[Levensfase]]</f>
        <v>Betongranulaat 250mm, D1</v>
      </c>
      <c r="B1768" s="33" t="s">
        <v>701</v>
      </c>
      <c r="C1768" s="33" t="s">
        <v>48</v>
      </c>
      <c r="D1768" s="33" t="s">
        <v>700</v>
      </c>
      <c r="E1768" s="33" t="s">
        <v>385</v>
      </c>
      <c r="F1768" s="33" t="s">
        <v>87</v>
      </c>
      <c r="G1768" s="33">
        <v>1</v>
      </c>
      <c r="H1768" s="33">
        <v>1</v>
      </c>
      <c r="I1768" s="33">
        <v>0.25</v>
      </c>
      <c r="L1768" s="33">
        <v>2.2000000000000002</v>
      </c>
      <c r="M1768" s="271">
        <v>0.55000000000000004</v>
      </c>
      <c r="N1768" s="41"/>
      <c r="O1768" s="33">
        <v>100</v>
      </c>
      <c r="P1768" s="40"/>
      <c r="Q1768" s="40"/>
      <c r="R1768" s="40"/>
      <c r="S1768" s="40"/>
      <c r="T1768" s="40"/>
      <c r="U1768" s="40"/>
      <c r="V1768" s="40"/>
      <c r="W1768" s="40"/>
      <c r="X1768" s="40"/>
      <c r="Y1768" s="40"/>
      <c r="Z1768" s="40"/>
      <c r="AA1768" s="40"/>
      <c r="AB1768" s="40"/>
      <c r="AC1768" s="40"/>
      <c r="AD1768" s="40"/>
      <c r="AE1768" s="40"/>
      <c r="AF1768" s="40"/>
      <c r="AG1768" s="40"/>
      <c r="AH1768" s="40"/>
      <c r="AI1768" s="40"/>
      <c r="AJ1768" s="40"/>
      <c r="AK1768" s="40"/>
      <c r="AL1768" s="40"/>
      <c r="AM1768" s="40"/>
      <c r="AN1768" s="40"/>
      <c r="AO1768" s="40"/>
      <c r="AP1768" s="40"/>
      <c r="AQ1768" s="40"/>
      <c r="AR1768" s="40"/>
      <c r="AS1768" s="40"/>
      <c r="AT1768" s="40"/>
      <c r="AU1768" s="40"/>
      <c r="AV1768" s="317"/>
      <c r="AW1768" s="317"/>
      <c r="AX1768" s="317"/>
      <c r="AY1768" s="313"/>
      <c r="AZ1768" s="40"/>
      <c r="BA1768" s="40"/>
      <c r="BB1768" s="40"/>
      <c r="BC1768" s="40"/>
      <c r="BD1768" s="40"/>
      <c r="BE1768" s="40"/>
      <c r="BF1768" s="40"/>
      <c r="BG1768" s="40"/>
      <c r="BH1768" s="40"/>
      <c r="BI1768" s="40"/>
      <c r="BJ1768" s="40"/>
      <c r="BK1768" s="40"/>
      <c r="BL1768" s="62">
        <v>1</v>
      </c>
      <c r="BM1768" s="275">
        <v>3</v>
      </c>
      <c r="BN1768" s="62">
        <v>0</v>
      </c>
      <c r="BO1768" s="33" t="s">
        <v>698</v>
      </c>
    </row>
    <row r="1769" spans="1:67">
      <c r="A1769" s="33" t="str">
        <f>Database_Productkaarten[[#This Row],[Product]]&amp;", "&amp;Database_Productkaarten[[#This Row],[Levensfase]]</f>
        <v>Betongranulaat 250mm, D2</v>
      </c>
      <c r="B1769" s="33" t="s">
        <v>701</v>
      </c>
      <c r="C1769" s="33" t="s">
        <v>48</v>
      </c>
      <c r="D1769" s="33" t="s">
        <v>700</v>
      </c>
      <c r="E1769" s="33" t="s">
        <v>385</v>
      </c>
      <c r="F1769" s="33" t="s">
        <v>88</v>
      </c>
      <c r="G1769" s="33">
        <v>1</v>
      </c>
      <c r="H1769" s="33">
        <v>1</v>
      </c>
      <c r="I1769" s="33">
        <v>0.25</v>
      </c>
      <c r="L1769" s="33">
        <v>2.2000000000000002</v>
      </c>
      <c r="M1769" s="271">
        <v>0.55000000000000004</v>
      </c>
      <c r="N1769" s="41"/>
      <c r="O1769" s="33">
        <v>100</v>
      </c>
      <c r="P1769" s="40"/>
      <c r="Q1769" s="40"/>
      <c r="R1769" s="40"/>
      <c r="S1769" s="40"/>
      <c r="T1769" s="40"/>
      <c r="U1769" s="40"/>
      <c r="V1769" s="40"/>
      <c r="W1769" s="40"/>
      <c r="X1769" s="40"/>
      <c r="Y1769" s="40"/>
      <c r="Z1769" s="40"/>
      <c r="AA1769" s="40"/>
      <c r="AB1769" s="40"/>
      <c r="AC1769" s="40"/>
      <c r="AD1769" s="40"/>
      <c r="AE1769" s="40"/>
      <c r="AF1769" s="40"/>
      <c r="AG1769" s="40"/>
      <c r="AH1769" s="40"/>
      <c r="AI1769" s="40"/>
      <c r="AJ1769" s="40"/>
      <c r="AK1769" s="40"/>
      <c r="AL1769" s="40"/>
      <c r="AM1769" s="40"/>
      <c r="AN1769" s="40"/>
      <c r="AO1769" s="40"/>
      <c r="AP1769" s="40"/>
      <c r="AQ1769" s="40"/>
      <c r="AR1769" s="40"/>
      <c r="AS1769" s="40"/>
      <c r="AT1769" s="40"/>
      <c r="AU1769" s="40"/>
      <c r="AV1769" s="317"/>
      <c r="AW1769" s="317"/>
      <c r="AX1769" s="317"/>
      <c r="AY1769" s="313"/>
      <c r="AZ1769" s="40"/>
      <c r="BA1769" s="40"/>
      <c r="BB1769" s="40"/>
      <c r="BC1769" s="40"/>
      <c r="BD1769" s="40"/>
      <c r="BE1769" s="40"/>
      <c r="BF1769" s="40"/>
      <c r="BG1769" s="40"/>
      <c r="BH1769" s="40"/>
      <c r="BI1769" s="40"/>
      <c r="BJ1769" s="40"/>
      <c r="BK1769" s="40"/>
      <c r="BL1769" s="62">
        <v>1</v>
      </c>
      <c r="BM1769" s="275">
        <v>3</v>
      </c>
      <c r="BN1769" s="62">
        <v>0</v>
      </c>
      <c r="BO1769" s="33" t="s">
        <v>698</v>
      </c>
    </row>
    <row r="1770" spans="1:67">
      <c r="A1770" s="33" t="str">
        <f>Database_Productkaarten[[#This Row],[Product]]&amp;", "&amp;Database_Productkaarten[[#This Row],[Levensfase]]</f>
        <v>Betongranulaat 300mm, Totaal</v>
      </c>
      <c r="B1770" s="33" t="s">
        <v>702</v>
      </c>
      <c r="C1770" s="33" t="s">
        <v>48</v>
      </c>
      <c r="D1770" s="33" t="s">
        <v>700</v>
      </c>
      <c r="E1770" s="33" t="s">
        <v>385</v>
      </c>
      <c r="F1770" s="33" t="s">
        <v>90</v>
      </c>
      <c r="G1770" s="33">
        <v>1</v>
      </c>
      <c r="H1770" s="33">
        <v>1</v>
      </c>
      <c r="I1770" s="33">
        <v>0.3</v>
      </c>
      <c r="L1770" s="33">
        <v>2.2000000000000002</v>
      </c>
      <c r="M1770" s="271">
        <v>0.66</v>
      </c>
      <c r="N1770" s="41">
        <v>0.94108000000000003</v>
      </c>
      <c r="O1770" s="33">
        <v>100</v>
      </c>
      <c r="P1770" s="163">
        <v>1.22E-5</v>
      </c>
      <c r="Q1770" s="163">
        <v>6.1600000000000002E-2</v>
      </c>
      <c r="R1770" s="163">
        <v>8.3699999999999992</v>
      </c>
      <c r="S1770" s="163">
        <v>1.5999999999999999E-6</v>
      </c>
      <c r="T1770" s="163">
        <v>4.4799999999999996E-3</v>
      </c>
      <c r="U1770" s="163">
        <v>2.8799999999999999E-2</v>
      </c>
      <c r="V1770" s="163">
        <v>5.7600000000000004E-3</v>
      </c>
      <c r="W1770" s="163">
        <v>2.84</v>
      </c>
      <c r="X1770" s="163">
        <v>0.217</v>
      </c>
      <c r="Y1770" s="163">
        <v>546</v>
      </c>
      <c r="Z1770" s="163">
        <v>0.126</v>
      </c>
      <c r="AA1770" s="40"/>
      <c r="AB1770" s="40"/>
      <c r="AC1770" s="40"/>
      <c r="AD1770" s="40"/>
      <c r="AE1770" s="40"/>
      <c r="AF1770" s="40"/>
      <c r="AG1770" s="40"/>
      <c r="AH1770" s="40"/>
      <c r="AI1770" s="40"/>
      <c r="AJ1770" s="40"/>
      <c r="AK1770" s="40"/>
      <c r="AL1770" s="40"/>
      <c r="AM1770" s="40"/>
      <c r="AN1770" s="40"/>
      <c r="AO1770" s="40"/>
      <c r="AP1770" s="40"/>
      <c r="AQ1770" s="40"/>
      <c r="AR1770" s="40"/>
      <c r="AS1770" s="40"/>
      <c r="AT1770" s="40"/>
      <c r="AU1770" s="40"/>
      <c r="AV1770" s="315">
        <v>1.85</v>
      </c>
      <c r="AW1770" s="317"/>
      <c r="AX1770" s="317"/>
      <c r="AY1770" s="313">
        <v>140</v>
      </c>
      <c r="AZ1770" s="40"/>
      <c r="BA1770" s="40"/>
      <c r="BB1770" s="40"/>
      <c r="BC1770" s="40">
        <v>3.4000000000000002E-2</v>
      </c>
      <c r="BD1770" s="40">
        <v>9.7199999999999999E-4</v>
      </c>
      <c r="BE1770" s="163">
        <v>14.7</v>
      </c>
      <c r="BF1770" s="163">
        <v>8.6999999999999997E-6</v>
      </c>
      <c r="BG1770" s="40"/>
      <c r="BH1770" s="40"/>
      <c r="BI1770" s="40"/>
      <c r="BJ1770" s="40"/>
      <c r="BK1770" s="40"/>
      <c r="BL1770" s="62">
        <v>1</v>
      </c>
      <c r="BM1770" s="275">
        <v>3</v>
      </c>
      <c r="BN1770" s="62">
        <v>0</v>
      </c>
      <c r="BO1770" s="33" t="s">
        <v>698</v>
      </c>
    </row>
    <row r="1771" spans="1:67">
      <c r="A1771" s="33" t="str">
        <f>Database_Productkaarten[[#This Row],[Product]]&amp;", "&amp;Database_Productkaarten[[#This Row],[Levensfase]]</f>
        <v>Betongranulaat 300mm, A1</v>
      </c>
      <c r="B1771" s="33" t="s">
        <v>702</v>
      </c>
      <c r="C1771" s="33" t="s">
        <v>48</v>
      </c>
      <c r="D1771" s="33" t="s">
        <v>700</v>
      </c>
      <c r="E1771" s="33" t="s">
        <v>385</v>
      </c>
      <c r="F1771" s="33" t="s">
        <v>74</v>
      </c>
      <c r="G1771" s="33">
        <v>1</v>
      </c>
      <c r="H1771" s="33">
        <v>1</v>
      </c>
      <c r="I1771" s="33">
        <v>0.3</v>
      </c>
      <c r="L1771" s="33">
        <v>2.2000000000000002</v>
      </c>
      <c r="M1771" s="271">
        <v>0.66</v>
      </c>
      <c r="N1771" s="41"/>
      <c r="O1771" s="33">
        <v>100</v>
      </c>
      <c r="P1771" s="40"/>
      <c r="Q1771" s="40"/>
      <c r="R1771" s="40"/>
      <c r="S1771" s="40"/>
      <c r="T1771" s="40"/>
      <c r="U1771" s="40"/>
      <c r="V1771" s="40"/>
      <c r="W1771" s="40"/>
      <c r="X1771" s="40"/>
      <c r="Y1771" s="40"/>
      <c r="Z1771" s="40"/>
      <c r="AA1771" s="40"/>
      <c r="AB1771" s="40"/>
      <c r="AC1771" s="40"/>
      <c r="AD1771" s="40"/>
      <c r="AE1771" s="40"/>
      <c r="AF1771" s="40"/>
      <c r="AG1771" s="40"/>
      <c r="AH1771" s="40"/>
      <c r="AI1771" s="40"/>
      <c r="AJ1771" s="40"/>
      <c r="AK1771" s="40"/>
      <c r="AL1771" s="40"/>
      <c r="AM1771" s="40"/>
      <c r="AN1771" s="40"/>
      <c r="AO1771" s="40"/>
      <c r="AP1771" s="40"/>
      <c r="AQ1771" s="40"/>
      <c r="AR1771" s="40"/>
      <c r="AS1771" s="40"/>
      <c r="AT1771" s="40"/>
      <c r="AU1771" s="40"/>
      <c r="AV1771" s="317"/>
      <c r="AW1771" s="317"/>
      <c r="AX1771" s="317"/>
      <c r="AY1771" s="313"/>
      <c r="AZ1771" s="40"/>
      <c r="BA1771" s="40"/>
      <c r="BB1771" s="40"/>
      <c r="BC1771" s="40"/>
      <c r="BD1771" s="40"/>
      <c r="BE1771" s="40"/>
      <c r="BF1771" s="40"/>
      <c r="BG1771" s="40"/>
      <c r="BH1771" s="40"/>
      <c r="BI1771" s="40"/>
      <c r="BJ1771" s="40"/>
      <c r="BK1771" s="40"/>
      <c r="BL1771" s="62">
        <v>1</v>
      </c>
      <c r="BM1771" s="275">
        <v>3</v>
      </c>
      <c r="BN1771" s="62">
        <v>0</v>
      </c>
      <c r="BO1771" s="33" t="s">
        <v>698</v>
      </c>
    </row>
    <row r="1772" spans="1:67">
      <c r="A1772" s="33" t="str">
        <f>Database_Productkaarten[[#This Row],[Product]]&amp;", "&amp;Database_Productkaarten[[#This Row],[Levensfase]]</f>
        <v>Betongranulaat 300mm, A2</v>
      </c>
      <c r="B1772" s="33" t="s">
        <v>702</v>
      </c>
      <c r="C1772" s="33" t="s">
        <v>48</v>
      </c>
      <c r="D1772" s="33" t="s">
        <v>700</v>
      </c>
      <c r="E1772" s="33" t="s">
        <v>385</v>
      </c>
      <c r="F1772" s="33" t="s">
        <v>75</v>
      </c>
      <c r="G1772" s="33">
        <v>1</v>
      </c>
      <c r="H1772" s="33">
        <v>1</v>
      </c>
      <c r="I1772" s="33">
        <v>0.3</v>
      </c>
      <c r="L1772" s="33">
        <v>2.2000000000000002</v>
      </c>
      <c r="M1772" s="271">
        <v>0.66</v>
      </c>
      <c r="N1772" s="41"/>
      <c r="O1772" s="33">
        <v>100</v>
      </c>
      <c r="P1772" s="40"/>
      <c r="Q1772" s="40"/>
      <c r="R1772" s="40"/>
      <c r="S1772" s="40"/>
      <c r="T1772" s="40"/>
      <c r="U1772" s="40"/>
      <c r="V1772" s="40"/>
      <c r="W1772" s="40"/>
      <c r="X1772" s="40"/>
      <c r="Y1772" s="40"/>
      <c r="Z1772" s="40"/>
      <c r="AA1772" s="40"/>
      <c r="AB1772" s="40"/>
      <c r="AC1772" s="40"/>
      <c r="AD1772" s="40"/>
      <c r="AE1772" s="40"/>
      <c r="AF1772" s="40"/>
      <c r="AG1772" s="40"/>
      <c r="AH1772" s="40"/>
      <c r="AI1772" s="40"/>
      <c r="AJ1772" s="40"/>
      <c r="AK1772" s="40"/>
      <c r="AL1772" s="40"/>
      <c r="AM1772" s="40"/>
      <c r="AN1772" s="40"/>
      <c r="AO1772" s="40"/>
      <c r="AP1772" s="40"/>
      <c r="AQ1772" s="40"/>
      <c r="AR1772" s="40"/>
      <c r="AS1772" s="40"/>
      <c r="AT1772" s="40"/>
      <c r="AU1772" s="40"/>
      <c r="AV1772" s="317"/>
      <c r="AW1772" s="317"/>
      <c r="AX1772" s="317"/>
      <c r="AY1772" s="313"/>
      <c r="AZ1772" s="40"/>
      <c r="BA1772" s="40"/>
      <c r="BB1772" s="40"/>
      <c r="BC1772" s="40"/>
      <c r="BD1772" s="40"/>
      <c r="BE1772" s="40"/>
      <c r="BF1772" s="40"/>
      <c r="BG1772" s="40"/>
      <c r="BH1772" s="40"/>
      <c r="BI1772" s="40"/>
      <c r="BJ1772" s="40"/>
      <c r="BK1772" s="40"/>
      <c r="BL1772" s="62">
        <v>1</v>
      </c>
      <c r="BM1772" s="275">
        <v>3</v>
      </c>
      <c r="BN1772" s="62">
        <v>0</v>
      </c>
      <c r="BO1772" s="33" t="s">
        <v>698</v>
      </c>
    </row>
    <row r="1773" spans="1:67">
      <c r="A1773" s="33" t="str">
        <f>Database_Productkaarten[[#This Row],[Product]]&amp;", "&amp;Database_Productkaarten[[#This Row],[Levensfase]]</f>
        <v>Betongranulaat 300mm, A3</v>
      </c>
      <c r="B1773" s="33" t="s">
        <v>702</v>
      </c>
      <c r="C1773" s="33" t="s">
        <v>48</v>
      </c>
      <c r="D1773" s="33" t="s">
        <v>700</v>
      </c>
      <c r="E1773" s="33" t="s">
        <v>385</v>
      </c>
      <c r="F1773" s="33" t="s">
        <v>76</v>
      </c>
      <c r="G1773" s="33">
        <v>1</v>
      </c>
      <c r="H1773" s="33">
        <v>1</v>
      </c>
      <c r="I1773" s="33">
        <v>0.3</v>
      </c>
      <c r="L1773" s="33">
        <v>2.2000000000000002</v>
      </c>
      <c r="M1773" s="271">
        <v>0.66</v>
      </c>
      <c r="N1773" s="41"/>
      <c r="O1773" s="33">
        <v>100</v>
      </c>
      <c r="P1773" s="40"/>
      <c r="Q1773" s="40"/>
      <c r="R1773" s="40"/>
      <c r="S1773" s="40"/>
      <c r="T1773" s="40"/>
      <c r="U1773" s="40"/>
      <c r="V1773" s="40"/>
      <c r="W1773" s="40"/>
      <c r="X1773" s="40"/>
      <c r="Y1773" s="40"/>
      <c r="Z1773" s="40"/>
      <c r="AA1773" s="40"/>
      <c r="AB1773" s="40"/>
      <c r="AC1773" s="40"/>
      <c r="AD1773" s="40"/>
      <c r="AE1773" s="40"/>
      <c r="AF1773" s="40"/>
      <c r="AG1773" s="40"/>
      <c r="AH1773" s="40"/>
      <c r="AI1773" s="40"/>
      <c r="AJ1773" s="40"/>
      <c r="AK1773" s="40"/>
      <c r="AL1773" s="40"/>
      <c r="AM1773" s="40"/>
      <c r="AN1773" s="40"/>
      <c r="AO1773" s="40"/>
      <c r="AP1773" s="40"/>
      <c r="AQ1773" s="40"/>
      <c r="AR1773" s="40"/>
      <c r="AS1773" s="40"/>
      <c r="AT1773" s="40"/>
      <c r="AU1773" s="40"/>
      <c r="AV1773" s="317"/>
      <c r="AW1773" s="317"/>
      <c r="AX1773" s="317"/>
      <c r="AY1773" s="313"/>
      <c r="AZ1773" s="40"/>
      <c r="BA1773" s="40"/>
      <c r="BB1773" s="40"/>
      <c r="BC1773" s="40"/>
      <c r="BD1773" s="40"/>
      <c r="BE1773" s="40"/>
      <c r="BF1773" s="40"/>
      <c r="BG1773" s="40"/>
      <c r="BH1773" s="40"/>
      <c r="BI1773" s="40"/>
      <c r="BJ1773" s="40"/>
      <c r="BK1773" s="40"/>
      <c r="BL1773" s="62">
        <v>1</v>
      </c>
      <c r="BM1773" s="275">
        <v>3</v>
      </c>
      <c r="BN1773" s="62">
        <v>0</v>
      </c>
      <c r="BO1773" s="33" t="s">
        <v>698</v>
      </c>
    </row>
    <row r="1774" spans="1:67">
      <c r="A1774" s="33" t="str">
        <f>Database_Productkaarten[[#This Row],[Product]]&amp;", "&amp;Database_Productkaarten[[#This Row],[Levensfase]]</f>
        <v>Betongranulaat 300mm, A1-A3</v>
      </c>
      <c r="B1774" s="33" t="s">
        <v>702</v>
      </c>
      <c r="C1774" s="451" t="str">
        <f>C1773</f>
        <v>Funderingslagen</v>
      </c>
      <c r="D1774" s="451" t="str">
        <f>D1773</f>
        <v>Betongranulaat</v>
      </c>
      <c r="E1774" s="33" t="s">
        <v>385</v>
      </c>
      <c r="F1774" s="451" t="s">
        <v>77</v>
      </c>
      <c r="G1774" s="33">
        <v>1</v>
      </c>
      <c r="H1774" s="33">
        <v>1</v>
      </c>
      <c r="I1774" s="33">
        <v>0.3</v>
      </c>
      <c r="L1774" s="33">
        <v>2.2000000000000002</v>
      </c>
      <c r="M1774" s="271">
        <v>0.66</v>
      </c>
      <c r="N1774" s="41">
        <v>0</v>
      </c>
      <c r="O1774" s="33">
        <v>100</v>
      </c>
      <c r="P1774" s="163">
        <v>0</v>
      </c>
      <c r="Q1774" s="163">
        <v>0</v>
      </c>
      <c r="R1774" s="163">
        <v>0</v>
      </c>
      <c r="S1774" s="163">
        <v>0</v>
      </c>
      <c r="T1774" s="163">
        <v>0</v>
      </c>
      <c r="U1774" s="163">
        <v>0</v>
      </c>
      <c r="V1774" s="163">
        <v>0</v>
      </c>
      <c r="W1774" s="163">
        <v>0</v>
      </c>
      <c r="X1774" s="163">
        <v>0</v>
      </c>
      <c r="Y1774" s="163">
        <v>0</v>
      </c>
      <c r="Z1774" s="163">
        <v>0</v>
      </c>
      <c r="AA1774" s="40"/>
      <c r="AB1774" s="40"/>
      <c r="AC1774" s="40"/>
      <c r="AD1774" s="40"/>
      <c r="AE1774" s="40"/>
      <c r="AF1774" s="40"/>
      <c r="AG1774" s="40"/>
      <c r="AH1774" s="40"/>
      <c r="AI1774" s="40"/>
      <c r="AJ1774" s="40"/>
      <c r="AK1774" s="40"/>
      <c r="AL1774" s="40"/>
      <c r="AM1774" s="40"/>
      <c r="AN1774" s="40"/>
      <c r="AO1774" s="40"/>
      <c r="AP1774" s="40"/>
      <c r="AQ1774" s="40"/>
      <c r="AR1774" s="40"/>
      <c r="AS1774" s="40"/>
      <c r="AT1774" s="40"/>
      <c r="AU1774" s="40"/>
      <c r="AV1774" s="315">
        <v>0</v>
      </c>
      <c r="AW1774" s="317"/>
      <c r="AX1774" s="317"/>
      <c r="AY1774" s="313">
        <v>0</v>
      </c>
      <c r="AZ1774" s="40"/>
      <c r="BA1774" s="40"/>
      <c r="BB1774" s="40"/>
      <c r="BC1774" s="40">
        <v>0</v>
      </c>
      <c r="BD1774" s="40">
        <v>0</v>
      </c>
      <c r="BE1774" s="163">
        <v>0</v>
      </c>
      <c r="BF1774" s="163">
        <v>0</v>
      </c>
      <c r="BG1774" s="40"/>
      <c r="BH1774" s="40"/>
      <c r="BI1774" s="40"/>
      <c r="BJ1774" s="40"/>
      <c r="BK1774" s="40"/>
      <c r="BL1774" s="62">
        <v>1</v>
      </c>
      <c r="BM1774" s="275">
        <v>3</v>
      </c>
      <c r="BN1774" s="62">
        <v>0</v>
      </c>
      <c r="BO1774" s="33" t="s">
        <v>698</v>
      </c>
    </row>
    <row r="1775" spans="1:67">
      <c r="A1775" s="33" t="str">
        <f>Database_Productkaarten[[#This Row],[Product]]&amp;", "&amp;Database_Productkaarten[[#This Row],[Levensfase]]</f>
        <v>Betongranulaat 300mm, A4</v>
      </c>
      <c r="B1775" s="33" t="s">
        <v>702</v>
      </c>
      <c r="C1775" s="33" t="s">
        <v>48</v>
      </c>
      <c r="D1775" s="33" t="s">
        <v>700</v>
      </c>
      <c r="E1775" s="33" t="s">
        <v>385</v>
      </c>
      <c r="F1775" s="33" t="s">
        <v>78</v>
      </c>
      <c r="G1775" s="33">
        <v>1</v>
      </c>
      <c r="H1775" s="33">
        <v>1</v>
      </c>
      <c r="I1775" s="33">
        <v>0.3</v>
      </c>
      <c r="L1775" s="33">
        <v>2.2000000000000002</v>
      </c>
      <c r="M1775" s="271">
        <v>0.66</v>
      </c>
      <c r="N1775" s="41">
        <v>0.31584000000000001</v>
      </c>
      <c r="O1775" s="33">
        <v>100</v>
      </c>
      <c r="P1775" s="163">
        <v>5.3499999999999996E-6</v>
      </c>
      <c r="Q1775" s="163">
        <v>2.1100000000000001E-2</v>
      </c>
      <c r="R1775" s="163">
        <v>2.79</v>
      </c>
      <c r="S1775" s="163">
        <v>5.5400000000000001E-7</v>
      </c>
      <c r="T1775" s="163">
        <v>1.7600000000000001E-3</v>
      </c>
      <c r="U1775" s="163">
        <v>1.0200000000000001E-2</v>
      </c>
      <c r="V1775" s="163">
        <v>2.0699999999999998E-3</v>
      </c>
      <c r="W1775" s="163">
        <v>0.98199999999999998</v>
      </c>
      <c r="X1775" s="163">
        <v>6.3299999999999995E-2</v>
      </c>
      <c r="Y1775" s="163">
        <v>166</v>
      </c>
      <c r="Z1775" s="163">
        <v>5.8199999999999997E-3</v>
      </c>
      <c r="AA1775" s="40"/>
      <c r="AB1775" s="40"/>
      <c r="AC1775" s="40"/>
      <c r="AD1775" s="40"/>
      <c r="AE1775" s="40"/>
      <c r="AF1775" s="40"/>
      <c r="AG1775" s="40"/>
      <c r="AH1775" s="40"/>
      <c r="AI1775" s="40"/>
      <c r="AJ1775" s="40"/>
      <c r="AK1775" s="40"/>
      <c r="AL1775" s="40"/>
      <c r="AM1775" s="40"/>
      <c r="AN1775" s="40"/>
      <c r="AO1775" s="40"/>
      <c r="AP1775" s="40"/>
      <c r="AQ1775" s="40"/>
      <c r="AR1775" s="40"/>
      <c r="AS1775" s="40"/>
      <c r="AT1775" s="40"/>
      <c r="AU1775" s="40"/>
      <c r="AV1775" s="315">
        <v>0.754</v>
      </c>
      <c r="AW1775" s="317"/>
      <c r="AX1775" s="317"/>
      <c r="AY1775" s="313">
        <v>48.2</v>
      </c>
      <c r="AZ1775" s="40"/>
      <c r="BA1775" s="40"/>
      <c r="BB1775" s="40"/>
      <c r="BC1775" s="40">
        <v>9.7900000000000001E-3</v>
      </c>
      <c r="BD1775" s="40">
        <v>3.4099999999999999E-4</v>
      </c>
      <c r="BE1775" s="163">
        <v>3.98</v>
      </c>
      <c r="BF1775" s="163">
        <v>0</v>
      </c>
      <c r="BG1775" s="40"/>
      <c r="BH1775" s="40"/>
      <c r="BI1775" s="40"/>
      <c r="BJ1775" s="40"/>
      <c r="BK1775" s="40"/>
      <c r="BL1775" s="62">
        <v>1</v>
      </c>
      <c r="BM1775" s="275">
        <v>3</v>
      </c>
      <c r="BN1775" s="62">
        <v>0</v>
      </c>
      <c r="BO1775" s="33" t="s">
        <v>698</v>
      </c>
    </row>
    <row r="1776" spans="1:67">
      <c r="A1776" s="33" t="str">
        <f>Database_Productkaarten[[#This Row],[Product]]&amp;", "&amp;Database_Productkaarten[[#This Row],[Levensfase]]</f>
        <v>Betongranulaat 300mm, A5</v>
      </c>
      <c r="B1776" s="33" t="s">
        <v>702</v>
      </c>
      <c r="C1776" s="33" t="s">
        <v>48</v>
      </c>
      <c r="D1776" s="33" t="s">
        <v>700</v>
      </c>
      <c r="E1776" s="33" t="s">
        <v>385</v>
      </c>
      <c r="F1776" s="33" t="s">
        <v>79</v>
      </c>
      <c r="G1776" s="33">
        <v>1</v>
      </c>
      <c r="H1776" s="33">
        <v>1</v>
      </c>
      <c r="I1776" s="33">
        <v>0.3</v>
      </c>
      <c r="L1776" s="33">
        <v>2.2000000000000002</v>
      </c>
      <c r="M1776" s="271">
        <v>0.66</v>
      </c>
      <c r="N1776" s="41">
        <v>0.18803</v>
      </c>
      <c r="O1776" s="33">
        <v>100</v>
      </c>
      <c r="P1776" s="163">
        <v>9.5000000000000001E-7</v>
      </c>
      <c r="Q1776" s="163">
        <v>1.3899999999999999E-2</v>
      </c>
      <c r="R1776" s="163">
        <v>2.0299999999999998</v>
      </c>
      <c r="S1776" s="163">
        <v>3.53E-7</v>
      </c>
      <c r="T1776" s="163">
        <v>6.6799999999999997E-4</v>
      </c>
      <c r="U1776" s="163">
        <v>5.9500000000000004E-3</v>
      </c>
      <c r="V1776" s="163">
        <v>1.14E-3</v>
      </c>
      <c r="W1776" s="163">
        <v>0.502</v>
      </c>
      <c r="X1776" s="163">
        <v>9.9500000000000005E-3</v>
      </c>
      <c r="Y1776" s="163">
        <v>33.299999999999997</v>
      </c>
      <c r="Z1776" s="163">
        <v>1.7899999999999999E-3</v>
      </c>
      <c r="AA1776" s="40"/>
      <c r="AB1776" s="40"/>
      <c r="AC1776" s="40"/>
      <c r="AD1776" s="40"/>
      <c r="AE1776" s="40"/>
      <c r="AF1776" s="40"/>
      <c r="AG1776" s="40"/>
      <c r="AH1776" s="40"/>
      <c r="AI1776" s="40"/>
      <c r="AJ1776" s="40"/>
      <c r="AK1776" s="40"/>
      <c r="AL1776" s="40"/>
      <c r="AM1776" s="40"/>
      <c r="AN1776" s="40"/>
      <c r="AO1776" s="40"/>
      <c r="AP1776" s="40"/>
      <c r="AQ1776" s="40"/>
      <c r="AR1776" s="40"/>
      <c r="AS1776" s="40"/>
      <c r="AT1776" s="40"/>
      <c r="AU1776" s="40"/>
      <c r="AV1776" s="315">
        <v>0.22600000000000001</v>
      </c>
      <c r="AW1776" s="317"/>
      <c r="AX1776" s="317"/>
      <c r="AY1776" s="313">
        <v>30.9</v>
      </c>
      <c r="AZ1776" s="40"/>
      <c r="BA1776" s="40"/>
      <c r="BB1776" s="40"/>
      <c r="BC1776" s="40">
        <v>2.9199999999999999E-3</v>
      </c>
      <c r="BD1776" s="40">
        <v>2.14E-4</v>
      </c>
      <c r="BE1776" s="163">
        <v>5.1900000000000002E-2</v>
      </c>
      <c r="BF1776" s="163">
        <v>0</v>
      </c>
      <c r="BG1776" s="40"/>
      <c r="BH1776" s="40"/>
      <c r="BI1776" s="40"/>
      <c r="BJ1776" s="40"/>
      <c r="BK1776" s="40"/>
      <c r="BL1776" s="62">
        <v>1</v>
      </c>
      <c r="BM1776" s="275">
        <v>3</v>
      </c>
      <c r="BN1776" s="62">
        <v>0</v>
      </c>
      <c r="BO1776" s="33" t="s">
        <v>698</v>
      </c>
    </row>
    <row r="1777" spans="1:68">
      <c r="A1777" s="33" t="str">
        <f>Database_Productkaarten[[#This Row],[Product]]&amp;", "&amp;Database_Productkaarten[[#This Row],[Levensfase]]</f>
        <v>Betongranulaat 300mm, B1</v>
      </c>
      <c r="B1777" s="33" t="s">
        <v>702</v>
      </c>
      <c r="C1777" s="33" t="s">
        <v>48</v>
      </c>
      <c r="D1777" s="33" t="s">
        <v>700</v>
      </c>
      <c r="E1777" s="33" t="s">
        <v>385</v>
      </c>
      <c r="F1777" s="33" t="s">
        <v>80</v>
      </c>
      <c r="G1777" s="33">
        <v>1</v>
      </c>
      <c r="H1777" s="33">
        <v>1</v>
      </c>
      <c r="I1777" s="33">
        <v>0.3</v>
      </c>
      <c r="L1777" s="33">
        <v>2.2000000000000002</v>
      </c>
      <c r="M1777" s="271">
        <v>0.66</v>
      </c>
      <c r="N1777" s="41">
        <v>4.1239999999999999E-2</v>
      </c>
      <c r="O1777" s="33">
        <v>100</v>
      </c>
      <c r="P1777" s="163">
        <v>0</v>
      </c>
      <c r="Q1777" s="163">
        <v>0</v>
      </c>
      <c r="R1777" s="163">
        <v>0</v>
      </c>
      <c r="S1777" s="163">
        <v>0</v>
      </c>
      <c r="T1777" s="163">
        <v>0</v>
      </c>
      <c r="U1777" s="163">
        <v>0</v>
      </c>
      <c r="V1777" s="163">
        <v>0</v>
      </c>
      <c r="W1777" s="163">
        <v>0.17399999999999999</v>
      </c>
      <c r="X1777" s="163">
        <v>7.5800000000000006E-2</v>
      </c>
      <c r="Y1777" s="163">
        <v>166</v>
      </c>
      <c r="Z1777" s="163">
        <v>0.112</v>
      </c>
      <c r="AA1777" s="40"/>
      <c r="AB1777" s="40"/>
      <c r="AC1777" s="40"/>
      <c r="AD1777" s="40"/>
      <c r="AE1777" s="40"/>
      <c r="AF1777" s="40"/>
      <c r="AG1777" s="40"/>
      <c r="AH1777" s="40"/>
      <c r="AI1777" s="40"/>
      <c r="AJ1777" s="40"/>
      <c r="AK1777" s="40"/>
      <c r="AL1777" s="40"/>
      <c r="AM1777" s="40"/>
      <c r="AN1777" s="40"/>
      <c r="AO1777" s="40"/>
      <c r="AP1777" s="40"/>
      <c r="AQ1777" s="40"/>
      <c r="AR1777" s="40"/>
      <c r="AS1777" s="40"/>
      <c r="AT1777" s="40"/>
      <c r="AU1777" s="40"/>
      <c r="AV1777" s="315">
        <v>0</v>
      </c>
      <c r="AW1777" s="317"/>
      <c r="AX1777" s="317"/>
      <c r="AY1777" s="313">
        <v>0</v>
      </c>
      <c r="AZ1777" s="40"/>
      <c r="BA1777" s="40"/>
      <c r="BB1777" s="40"/>
      <c r="BC1777" s="40">
        <v>0</v>
      </c>
      <c r="BD1777" s="40">
        <v>0</v>
      </c>
      <c r="BE1777" s="163">
        <v>0</v>
      </c>
      <c r="BF1777" s="163">
        <v>0</v>
      </c>
      <c r="BG1777" s="40"/>
      <c r="BH1777" s="40"/>
      <c r="BI1777" s="40"/>
      <c r="BJ1777" s="40"/>
      <c r="BK1777" s="40"/>
      <c r="BL1777" s="62">
        <v>1</v>
      </c>
      <c r="BM1777" s="275">
        <v>3</v>
      </c>
      <c r="BN1777" s="62">
        <v>0</v>
      </c>
      <c r="BO1777" s="33" t="s">
        <v>698</v>
      </c>
    </row>
    <row r="1778" spans="1:68">
      <c r="A1778" s="33" t="str">
        <f>Database_Productkaarten[[#This Row],[Product]]&amp;", "&amp;Database_Productkaarten[[#This Row],[Levensfase]]</f>
        <v>Betongranulaat 300mm, C1</v>
      </c>
      <c r="B1778" s="33" t="s">
        <v>702</v>
      </c>
      <c r="C1778" s="33" t="s">
        <v>48</v>
      </c>
      <c r="D1778" s="33" t="s">
        <v>700</v>
      </c>
      <c r="E1778" s="33" t="s">
        <v>385</v>
      </c>
      <c r="F1778" s="33" t="s">
        <v>83</v>
      </c>
      <c r="G1778" s="33">
        <v>1</v>
      </c>
      <c r="H1778" s="33">
        <v>1</v>
      </c>
      <c r="I1778" s="33">
        <v>0.3</v>
      </c>
      <c r="L1778" s="33">
        <v>2.2000000000000002</v>
      </c>
      <c r="M1778" s="271">
        <v>0.66</v>
      </c>
      <c r="N1778" s="41">
        <v>6.2149999999999997E-2</v>
      </c>
      <c r="O1778" s="33">
        <v>100</v>
      </c>
      <c r="P1778" s="163">
        <v>3.1399999999999998E-7</v>
      </c>
      <c r="Q1778" s="163">
        <v>4.5799999999999999E-3</v>
      </c>
      <c r="R1778" s="163">
        <v>0.67100000000000004</v>
      </c>
      <c r="S1778" s="163">
        <v>1.17E-7</v>
      </c>
      <c r="T1778" s="163">
        <v>2.2100000000000001E-4</v>
      </c>
      <c r="U1778" s="163">
        <v>1.97E-3</v>
      </c>
      <c r="V1778" s="163">
        <v>3.7599999999999998E-4</v>
      </c>
      <c r="W1778" s="163">
        <v>0.16600000000000001</v>
      </c>
      <c r="X1778" s="163">
        <v>3.29E-3</v>
      </c>
      <c r="Y1778" s="163">
        <v>11</v>
      </c>
      <c r="Z1778" s="163">
        <v>5.9100000000000005E-4</v>
      </c>
      <c r="AA1778" s="40"/>
      <c r="AB1778" s="40"/>
      <c r="AC1778" s="40"/>
      <c r="AD1778" s="40"/>
      <c r="AE1778" s="40"/>
      <c r="AF1778" s="40"/>
      <c r="AG1778" s="40"/>
      <c r="AH1778" s="40"/>
      <c r="AI1778" s="40"/>
      <c r="AJ1778" s="40"/>
      <c r="AK1778" s="40"/>
      <c r="AL1778" s="40"/>
      <c r="AM1778" s="40"/>
      <c r="AN1778" s="40"/>
      <c r="AO1778" s="40"/>
      <c r="AP1778" s="40"/>
      <c r="AQ1778" s="40"/>
      <c r="AR1778" s="40"/>
      <c r="AS1778" s="40"/>
      <c r="AT1778" s="40"/>
      <c r="AU1778" s="40"/>
      <c r="AV1778" s="315">
        <v>7.46E-2</v>
      </c>
      <c r="AW1778" s="317"/>
      <c r="AX1778" s="317"/>
      <c r="AY1778" s="313">
        <v>10.199999999999999</v>
      </c>
      <c r="AZ1778" s="40"/>
      <c r="BA1778" s="40"/>
      <c r="BB1778" s="40"/>
      <c r="BC1778" s="40">
        <v>9.6599999999999995E-4</v>
      </c>
      <c r="BD1778" s="40">
        <v>7.0599999999999995E-5</v>
      </c>
      <c r="BE1778" s="163">
        <v>1.72E-2</v>
      </c>
      <c r="BF1778" s="163">
        <v>0</v>
      </c>
      <c r="BG1778" s="40"/>
      <c r="BH1778" s="40"/>
      <c r="BI1778" s="40"/>
      <c r="BJ1778" s="40"/>
      <c r="BK1778" s="40"/>
      <c r="BL1778" s="62">
        <v>1</v>
      </c>
      <c r="BM1778" s="275">
        <v>3</v>
      </c>
      <c r="BN1778" s="62">
        <v>0</v>
      </c>
      <c r="BO1778" s="33" t="s">
        <v>698</v>
      </c>
    </row>
    <row r="1779" spans="1:68">
      <c r="A1779" s="33" t="str">
        <f>Database_Productkaarten[[#This Row],[Product]]&amp;", "&amp;Database_Productkaarten[[#This Row],[Levensfase]]</f>
        <v>Betongranulaat 300mm, C2</v>
      </c>
      <c r="B1779" s="33" t="s">
        <v>702</v>
      </c>
      <c r="C1779" s="33" t="s">
        <v>48</v>
      </c>
      <c r="D1779" s="33" t="s">
        <v>700</v>
      </c>
      <c r="E1779" s="33" t="s">
        <v>385</v>
      </c>
      <c r="F1779" s="33" t="s">
        <v>84</v>
      </c>
      <c r="G1779" s="33">
        <v>1</v>
      </c>
      <c r="H1779" s="33">
        <v>1</v>
      </c>
      <c r="I1779" s="33">
        <v>0.3</v>
      </c>
      <c r="L1779" s="33">
        <v>2.2000000000000002</v>
      </c>
      <c r="M1779" s="271">
        <v>0.66</v>
      </c>
      <c r="N1779" s="41">
        <v>0.31900000000000001</v>
      </c>
      <c r="O1779" s="33">
        <v>100</v>
      </c>
      <c r="P1779" s="163">
        <v>5.4E-6</v>
      </c>
      <c r="Q1779" s="163">
        <v>2.1299999999999999E-2</v>
      </c>
      <c r="R1779" s="163">
        <v>2.82</v>
      </c>
      <c r="S1779" s="163">
        <v>5.6000000000000004E-7</v>
      </c>
      <c r="T1779" s="163">
        <v>1.7799999999999999E-3</v>
      </c>
      <c r="U1779" s="163">
        <v>1.03E-2</v>
      </c>
      <c r="V1779" s="163">
        <v>2.0899999999999998E-3</v>
      </c>
      <c r="W1779" s="163">
        <v>0.99199999999999999</v>
      </c>
      <c r="X1779" s="163">
        <v>6.4000000000000001E-2</v>
      </c>
      <c r="Y1779" s="163">
        <v>167</v>
      </c>
      <c r="Z1779" s="163">
        <v>5.8799999999999998E-3</v>
      </c>
      <c r="AA1779" s="40"/>
      <c r="AB1779" s="40"/>
      <c r="AC1779" s="40"/>
      <c r="AD1779" s="40"/>
      <c r="AE1779" s="40"/>
      <c r="AF1779" s="40"/>
      <c r="AG1779" s="40"/>
      <c r="AH1779" s="40"/>
      <c r="AI1779" s="40"/>
      <c r="AJ1779" s="40"/>
      <c r="AK1779" s="40"/>
      <c r="AL1779" s="40"/>
      <c r="AM1779" s="40"/>
      <c r="AN1779" s="40"/>
      <c r="AO1779" s="40"/>
      <c r="AP1779" s="40"/>
      <c r="AQ1779" s="40"/>
      <c r="AR1779" s="40"/>
      <c r="AS1779" s="40"/>
      <c r="AT1779" s="40"/>
      <c r="AU1779" s="40"/>
      <c r="AV1779" s="315">
        <v>0.76100000000000001</v>
      </c>
      <c r="AW1779" s="317"/>
      <c r="AX1779" s="317"/>
      <c r="AY1779" s="313">
        <v>48.7</v>
      </c>
      <c r="AZ1779" s="40"/>
      <c r="BA1779" s="40"/>
      <c r="BB1779" s="40"/>
      <c r="BC1779" s="40">
        <v>9.8799999999999999E-3</v>
      </c>
      <c r="BD1779" s="40">
        <v>3.4499999999999998E-4</v>
      </c>
      <c r="BE1779" s="163">
        <v>4.0199999999999996</v>
      </c>
      <c r="BF1779" s="163">
        <v>0</v>
      </c>
      <c r="BG1779" s="40"/>
      <c r="BH1779" s="40"/>
      <c r="BI1779" s="40"/>
      <c r="BJ1779" s="40"/>
      <c r="BK1779" s="40"/>
      <c r="BL1779" s="62">
        <v>1</v>
      </c>
      <c r="BM1779" s="275">
        <v>3</v>
      </c>
      <c r="BN1779" s="62">
        <v>0</v>
      </c>
      <c r="BO1779" s="33" t="s">
        <v>698</v>
      </c>
    </row>
    <row r="1780" spans="1:68">
      <c r="A1780" s="33" t="str">
        <f>Database_Productkaarten[[#This Row],[Product]]&amp;", "&amp;Database_Productkaarten[[#This Row],[Levensfase]]</f>
        <v>Betongranulaat 300mm, C3</v>
      </c>
      <c r="B1780" s="33" t="s">
        <v>702</v>
      </c>
      <c r="C1780" s="33" t="s">
        <v>48</v>
      </c>
      <c r="D1780" s="33" t="s">
        <v>700</v>
      </c>
      <c r="E1780" s="33" t="s">
        <v>385</v>
      </c>
      <c r="F1780" s="33" t="s">
        <v>85</v>
      </c>
      <c r="G1780" s="33">
        <v>1</v>
      </c>
      <c r="H1780" s="33">
        <v>1</v>
      </c>
      <c r="I1780" s="33">
        <v>0.3</v>
      </c>
      <c r="L1780" s="33">
        <v>2.2000000000000002</v>
      </c>
      <c r="M1780" s="271">
        <v>0.66</v>
      </c>
      <c r="N1780" s="41">
        <v>0</v>
      </c>
      <c r="O1780" s="33">
        <v>100</v>
      </c>
      <c r="P1780" s="163">
        <v>0</v>
      </c>
      <c r="Q1780" s="163">
        <v>0</v>
      </c>
      <c r="R1780" s="163">
        <v>0</v>
      </c>
      <c r="S1780" s="163">
        <v>0</v>
      </c>
      <c r="T1780" s="163">
        <v>0</v>
      </c>
      <c r="U1780" s="163">
        <v>0</v>
      </c>
      <c r="V1780" s="163">
        <v>0</v>
      </c>
      <c r="W1780" s="163">
        <v>0</v>
      </c>
      <c r="X1780" s="163">
        <v>0</v>
      </c>
      <c r="Y1780" s="163">
        <v>0</v>
      </c>
      <c r="Z1780" s="163">
        <v>0</v>
      </c>
      <c r="AA1780" s="40"/>
      <c r="AB1780" s="40"/>
      <c r="AC1780" s="40"/>
      <c r="AD1780" s="40"/>
      <c r="AE1780" s="40"/>
      <c r="AF1780" s="40"/>
      <c r="AG1780" s="40"/>
      <c r="AH1780" s="40"/>
      <c r="AI1780" s="40"/>
      <c r="AJ1780" s="40"/>
      <c r="AK1780" s="40"/>
      <c r="AL1780" s="40"/>
      <c r="AM1780" s="40"/>
      <c r="AN1780" s="40"/>
      <c r="AO1780" s="40"/>
      <c r="AP1780" s="40"/>
      <c r="AQ1780" s="40"/>
      <c r="AR1780" s="40"/>
      <c r="AS1780" s="40"/>
      <c r="AT1780" s="40"/>
      <c r="AU1780" s="40"/>
      <c r="AV1780" s="315">
        <v>0</v>
      </c>
      <c r="AW1780" s="317"/>
      <c r="AX1780" s="317"/>
      <c r="AY1780" s="313">
        <v>0</v>
      </c>
      <c r="AZ1780" s="40"/>
      <c r="BA1780" s="40"/>
      <c r="BB1780" s="40"/>
      <c r="BC1780" s="40">
        <v>0</v>
      </c>
      <c r="BD1780" s="40">
        <v>0</v>
      </c>
      <c r="BE1780" s="163">
        <v>0</v>
      </c>
      <c r="BF1780" s="163">
        <v>0</v>
      </c>
      <c r="BG1780" s="40"/>
      <c r="BH1780" s="40"/>
      <c r="BI1780" s="40"/>
      <c r="BJ1780" s="40"/>
      <c r="BK1780" s="40"/>
      <c r="BL1780" s="62">
        <v>1</v>
      </c>
      <c r="BM1780" s="275">
        <v>3</v>
      </c>
      <c r="BN1780" s="62">
        <v>0</v>
      </c>
      <c r="BO1780" s="33" t="s">
        <v>698</v>
      </c>
    </row>
    <row r="1781" spans="1:68">
      <c r="A1781" s="33" t="str">
        <f>Database_Productkaarten[[#This Row],[Product]]&amp;", "&amp;Database_Productkaarten[[#This Row],[Levensfase]]</f>
        <v>Betongranulaat 300mm, C4</v>
      </c>
      <c r="B1781" s="33" t="s">
        <v>702</v>
      </c>
      <c r="C1781" s="33" t="s">
        <v>48</v>
      </c>
      <c r="D1781" s="33" t="s">
        <v>700</v>
      </c>
      <c r="E1781" s="33" t="s">
        <v>385</v>
      </c>
      <c r="F1781" s="33" t="s">
        <v>86</v>
      </c>
      <c r="G1781" s="33">
        <v>1</v>
      </c>
      <c r="H1781" s="33">
        <v>1</v>
      </c>
      <c r="I1781" s="33">
        <v>0.3</v>
      </c>
      <c r="L1781" s="33">
        <v>2.2000000000000002</v>
      </c>
      <c r="M1781" s="271">
        <v>0.66</v>
      </c>
      <c r="N1781" s="41">
        <v>4.9100000000000003E-3</v>
      </c>
      <c r="O1781" s="33">
        <v>100</v>
      </c>
      <c r="P1781" s="163">
        <v>3.92E-8</v>
      </c>
      <c r="Q1781" s="163">
        <v>5.1000000000000004E-4</v>
      </c>
      <c r="R1781" s="163">
        <v>3.49E-2</v>
      </c>
      <c r="S1781" s="163">
        <v>1.26E-8</v>
      </c>
      <c r="T1781" s="163">
        <v>3.8000000000000002E-5</v>
      </c>
      <c r="U1781" s="163">
        <v>2.63E-4</v>
      </c>
      <c r="V1781" s="163">
        <v>4.9700000000000002E-5</v>
      </c>
      <c r="W1781" s="163">
        <v>1.52E-2</v>
      </c>
      <c r="X1781" s="163">
        <v>3.6699999999999998E-4</v>
      </c>
      <c r="Y1781" s="163">
        <v>1.29</v>
      </c>
      <c r="Z1781" s="163">
        <v>3.7799999999999997E-5</v>
      </c>
      <c r="AA1781" s="40"/>
      <c r="AB1781" s="40"/>
      <c r="AC1781" s="40"/>
      <c r="AD1781" s="40"/>
      <c r="AE1781" s="40"/>
      <c r="AF1781" s="40"/>
      <c r="AG1781" s="40"/>
      <c r="AH1781" s="40"/>
      <c r="AI1781" s="40"/>
      <c r="AJ1781" s="40"/>
      <c r="AK1781" s="40"/>
      <c r="AL1781" s="40"/>
      <c r="AM1781" s="40"/>
      <c r="AN1781" s="40"/>
      <c r="AO1781" s="40"/>
      <c r="AP1781" s="40"/>
      <c r="AQ1781" s="40"/>
      <c r="AR1781" s="40"/>
      <c r="AS1781" s="40"/>
      <c r="AT1781" s="40"/>
      <c r="AU1781" s="40"/>
      <c r="AV1781" s="315">
        <v>8.7600000000000004E-3</v>
      </c>
      <c r="AW1781" s="317"/>
      <c r="AX1781" s="317"/>
      <c r="AY1781" s="313">
        <v>1.1399999999999999</v>
      </c>
      <c r="AZ1781" s="40"/>
      <c r="BA1781" s="40"/>
      <c r="BB1781" s="40"/>
      <c r="BC1781" s="40">
        <v>1.1199999999999999E-3</v>
      </c>
      <c r="BD1781" s="40">
        <v>7.1699999999999997E-7</v>
      </c>
      <c r="BE1781" s="163">
        <v>6.6</v>
      </c>
      <c r="BF1781" s="163">
        <v>7.0899999999999999E-6</v>
      </c>
      <c r="BG1781" s="40"/>
      <c r="BH1781" s="40"/>
      <c r="BI1781" s="40"/>
      <c r="BJ1781" s="40"/>
      <c r="BK1781" s="40"/>
      <c r="BL1781" s="62">
        <v>1</v>
      </c>
      <c r="BM1781" s="275">
        <v>3</v>
      </c>
      <c r="BN1781" s="62">
        <v>0</v>
      </c>
      <c r="BO1781" s="33" t="s">
        <v>698</v>
      </c>
    </row>
    <row r="1782" spans="1:68">
      <c r="A1782" s="33" t="str">
        <f>Database_Productkaarten[[#This Row],[Product]]&amp;", "&amp;Database_Productkaarten[[#This Row],[Levensfase]]</f>
        <v>Betongranulaat 300mm, D</v>
      </c>
      <c r="B1782" s="33" t="s">
        <v>702</v>
      </c>
      <c r="C1782" s="33" t="str">
        <f>C1783</f>
        <v>Funderingslagen</v>
      </c>
      <c r="D1782" s="33" t="str">
        <f>D1783</f>
        <v>Betongranulaat</v>
      </c>
      <c r="E1782" s="33" t="s">
        <v>385</v>
      </c>
      <c r="F1782" s="33" t="s">
        <v>89</v>
      </c>
      <c r="G1782" s="33">
        <v>1</v>
      </c>
      <c r="H1782" s="33">
        <v>1</v>
      </c>
      <c r="I1782" s="33">
        <v>0.3</v>
      </c>
      <c r="L1782" s="33">
        <v>2.2000000000000002</v>
      </c>
      <c r="M1782" s="271">
        <v>0.66</v>
      </c>
      <c r="N1782" s="41">
        <v>9.92E-3</v>
      </c>
      <c r="O1782" s="33">
        <v>100</v>
      </c>
      <c r="P1782" s="163">
        <v>1.54E-7</v>
      </c>
      <c r="Q1782" s="163">
        <v>1.9000000000000001E-4</v>
      </c>
      <c r="R1782" s="163">
        <v>2.7699999999999999E-2</v>
      </c>
      <c r="S1782" s="163">
        <v>2.4800000000000001E-9</v>
      </c>
      <c r="T1782" s="163">
        <v>2.0100000000000001E-5</v>
      </c>
      <c r="U1782" s="163">
        <v>1.5899999999999999E-4</v>
      </c>
      <c r="V1782" s="163">
        <v>2.76E-5</v>
      </c>
      <c r="W1782" s="163">
        <v>1.24E-2</v>
      </c>
      <c r="X1782" s="163">
        <v>1.7699999999999999E-4</v>
      </c>
      <c r="Y1782" s="163">
        <v>0.77400000000000002</v>
      </c>
      <c r="Z1782" s="163">
        <v>6.4599999999999998E-5</v>
      </c>
      <c r="AA1782" s="40"/>
      <c r="AB1782" s="40"/>
      <c r="AC1782" s="40"/>
      <c r="AD1782" s="40"/>
      <c r="AE1782" s="40"/>
      <c r="AF1782" s="40"/>
      <c r="AG1782" s="40"/>
      <c r="AH1782" s="40"/>
      <c r="AI1782" s="40"/>
      <c r="AJ1782" s="40"/>
      <c r="AK1782" s="40"/>
      <c r="AL1782" s="40"/>
      <c r="AM1782" s="40"/>
      <c r="AN1782" s="40"/>
      <c r="AO1782" s="40"/>
      <c r="AP1782" s="40"/>
      <c r="AQ1782" s="40"/>
      <c r="AR1782" s="40"/>
      <c r="AS1782" s="40"/>
      <c r="AT1782" s="40"/>
      <c r="AU1782" s="40"/>
      <c r="AV1782" s="315">
        <v>2.3400000000000001E-2</v>
      </c>
      <c r="AW1782" s="317"/>
      <c r="AX1782" s="317"/>
      <c r="AY1782" s="313">
        <v>0.38300000000000001</v>
      </c>
      <c r="AZ1782" s="40"/>
      <c r="BA1782" s="40"/>
      <c r="BB1782" s="40"/>
      <c r="BC1782" s="40">
        <v>9.3200000000000002E-3</v>
      </c>
      <c r="BD1782" s="40">
        <v>5.0999999999999999E-7</v>
      </c>
      <c r="BE1782" s="163">
        <v>3.62E-3</v>
      </c>
      <c r="BF1782" s="163">
        <v>1.61E-6</v>
      </c>
      <c r="BG1782" s="40"/>
      <c r="BH1782" s="40"/>
      <c r="BI1782" s="40"/>
      <c r="BJ1782" s="40"/>
      <c r="BK1782" s="40"/>
      <c r="BL1782" s="62">
        <v>1</v>
      </c>
      <c r="BM1782" s="275">
        <v>3</v>
      </c>
      <c r="BN1782" s="62">
        <v>0</v>
      </c>
      <c r="BO1782" s="33" t="s">
        <v>698</v>
      </c>
    </row>
    <row r="1783" spans="1:68">
      <c r="A1783" s="33" t="str">
        <f>Database_Productkaarten[[#This Row],[Product]]&amp;", "&amp;Database_Productkaarten[[#This Row],[Levensfase]]</f>
        <v>Betongranulaat 300mm, D1</v>
      </c>
      <c r="B1783" s="33" t="s">
        <v>702</v>
      </c>
      <c r="C1783" s="33" t="s">
        <v>48</v>
      </c>
      <c r="D1783" s="33" t="s">
        <v>700</v>
      </c>
      <c r="E1783" s="33" t="s">
        <v>385</v>
      </c>
      <c r="F1783" s="33" t="s">
        <v>87</v>
      </c>
      <c r="G1783" s="33">
        <v>1</v>
      </c>
      <c r="H1783" s="33">
        <v>1</v>
      </c>
      <c r="I1783" s="33">
        <v>0.3</v>
      </c>
      <c r="L1783" s="33">
        <v>2.2000000000000002</v>
      </c>
      <c r="M1783" s="271">
        <v>0.66</v>
      </c>
      <c r="N1783" s="41"/>
      <c r="O1783" s="33">
        <v>100</v>
      </c>
      <c r="P1783" s="40"/>
      <c r="Q1783" s="40"/>
      <c r="R1783" s="40"/>
      <c r="S1783" s="40"/>
      <c r="T1783" s="40"/>
      <c r="U1783" s="40"/>
      <c r="V1783" s="40"/>
      <c r="W1783" s="40"/>
      <c r="X1783" s="40"/>
      <c r="Y1783" s="40"/>
      <c r="Z1783" s="40"/>
      <c r="AA1783" s="40"/>
      <c r="AB1783" s="40"/>
      <c r="AC1783" s="40"/>
      <c r="AD1783" s="40"/>
      <c r="AE1783" s="40"/>
      <c r="AF1783" s="40"/>
      <c r="AG1783" s="40"/>
      <c r="AH1783" s="40"/>
      <c r="AI1783" s="40"/>
      <c r="AJ1783" s="40"/>
      <c r="AK1783" s="40"/>
      <c r="AL1783" s="40"/>
      <c r="AM1783" s="40"/>
      <c r="AN1783" s="40"/>
      <c r="AO1783" s="40"/>
      <c r="AP1783" s="40"/>
      <c r="AQ1783" s="40"/>
      <c r="AR1783" s="40"/>
      <c r="AS1783" s="40"/>
      <c r="AT1783" s="40"/>
      <c r="AU1783" s="40"/>
      <c r="AV1783" s="313"/>
      <c r="AW1783" s="317"/>
      <c r="AX1783" s="317"/>
      <c r="AY1783" s="313"/>
      <c r="AZ1783" s="40"/>
      <c r="BA1783" s="40"/>
      <c r="BB1783" s="40"/>
      <c r="BC1783" s="40"/>
      <c r="BD1783" s="40"/>
      <c r="BE1783" s="40"/>
      <c r="BF1783" s="40"/>
      <c r="BG1783" s="40"/>
      <c r="BH1783" s="40"/>
      <c r="BI1783" s="40"/>
      <c r="BJ1783" s="40"/>
      <c r="BK1783" s="40"/>
      <c r="BL1783" s="62">
        <v>1</v>
      </c>
      <c r="BM1783" s="275">
        <v>3</v>
      </c>
      <c r="BN1783" s="62">
        <v>0</v>
      </c>
      <c r="BO1783" s="33" t="s">
        <v>698</v>
      </c>
    </row>
    <row r="1784" spans="1:68">
      <c r="A1784" s="33" t="str">
        <f>Database_Productkaarten[[#This Row],[Product]]&amp;", "&amp;Database_Productkaarten[[#This Row],[Levensfase]]</f>
        <v>Betongranulaat 300mm, D2</v>
      </c>
      <c r="B1784" s="33" t="s">
        <v>702</v>
      </c>
      <c r="C1784" s="33" t="s">
        <v>48</v>
      </c>
      <c r="D1784" s="33" t="s">
        <v>700</v>
      </c>
      <c r="E1784" s="33" t="s">
        <v>385</v>
      </c>
      <c r="F1784" s="33" t="s">
        <v>88</v>
      </c>
      <c r="G1784" s="33">
        <v>1</v>
      </c>
      <c r="H1784" s="33">
        <v>1</v>
      </c>
      <c r="I1784" s="33">
        <v>0.3</v>
      </c>
      <c r="L1784" s="33">
        <v>2.2000000000000002</v>
      </c>
      <c r="M1784" s="271">
        <v>0.66</v>
      </c>
      <c r="N1784" s="41"/>
      <c r="O1784" s="33">
        <v>100</v>
      </c>
      <c r="P1784" s="40"/>
      <c r="Q1784" s="40"/>
      <c r="R1784" s="40"/>
      <c r="S1784" s="40"/>
      <c r="T1784" s="40"/>
      <c r="U1784" s="40"/>
      <c r="V1784" s="40"/>
      <c r="W1784" s="40"/>
      <c r="X1784" s="40"/>
      <c r="Y1784" s="40"/>
      <c r="Z1784" s="40"/>
      <c r="AA1784" s="40"/>
      <c r="AB1784" s="40"/>
      <c r="AC1784" s="40"/>
      <c r="AD1784" s="40"/>
      <c r="AE1784" s="40"/>
      <c r="AF1784" s="40"/>
      <c r="AG1784" s="40"/>
      <c r="AH1784" s="40"/>
      <c r="AI1784" s="40"/>
      <c r="AJ1784" s="40"/>
      <c r="AK1784" s="40"/>
      <c r="AL1784" s="40"/>
      <c r="AM1784" s="40"/>
      <c r="AN1784" s="40"/>
      <c r="AO1784" s="40"/>
      <c r="AP1784" s="40"/>
      <c r="AQ1784" s="40"/>
      <c r="AR1784" s="40"/>
      <c r="AS1784" s="40"/>
      <c r="AT1784" s="40"/>
      <c r="AU1784" s="40"/>
      <c r="AV1784" s="313"/>
      <c r="AW1784" s="317"/>
      <c r="AX1784" s="317"/>
      <c r="AY1784" s="313"/>
      <c r="AZ1784" s="40"/>
      <c r="BA1784" s="40"/>
      <c r="BB1784" s="40"/>
      <c r="BC1784" s="40"/>
      <c r="BD1784" s="40"/>
      <c r="BE1784" s="40"/>
      <c r="BF1784" s="40"/>
      <c r="BG1784" s="40"/>
      <c r="BH1784" s="40"/>
      <c r="BI1784" s="40"/>
      <c r="BJ1784" s="40"/>
      <c r="BK1784" s="40"/>
      <c r="BL1784" s="62">
        <v>1</v>
      </c>
      <c r="BM1784" s="275">
        <v>3</v>
      </c>
      <c r="BN1784" s="62">
        <v>0</v>
      </c>
      <c r="BO1784" s="33" t="s">
        <v>698</v>
      </c>
    </row>
    <row r="1785" spans="1:68">
      <c r="A1785" s="33" t="str">
        <f>Database_Productkaarten[[#This Row],[Product]]&amp;", "&amp;Database_Productkaarten[[#This Row],[Levensfase]]</f>
        <v>Hydraulisch Menggranulaat 200mm, Totaal</v>
      </c>
      <c r="B1785" s="33" t="s">
        <v>703</v>
      </c>
      <c r="C1785" s="33" t="s">
        <v>48</v>
      </c>
      <c r="D1785" s="33" t="s">
        <v>704</v>
      </c>
      <c r="E1785" s="33" t="s">
        <v>385</v>
      </c>
      <c r="F1785" s="33" t="s">
        <v>90</v>
      </c>
      <c r="G1785" s="33">
        <v>1</v>
      </c>
      <c r="H1785" s="33">
        <v>1</v>
      </c>
      <c r="I1785" s="33">
        <v>0.2</v>
      </c>
      <c r="L1785" s="33">
        <v>1.95</v>
      </c>
      <c r="M1785" s="269">
        <v>0.34125</v>
      </c>
      <c r="N1785" s="41">
        <v>0.48509000000000002</v>
      </c>
      <c r="O1785" s="33">
        <v>100</v>
      </c>
      <c r="P1785" s="163">
        <v>7.7800000000000001E-6</v>
      </c>
      <c r="Q1785" s="163">
        <v>4.4499999999999998E-2</v>
      </c>
      <c r="R1785" s="163">
        <v>6.13</v>
      </c>
      <c r="S1785" s="163">
        <v>1.15E-6</v>
      </c>
      <c r="T1785" s="163">
        <v>3.0599999999999998E-3</v>
      </c>
      <c r="U1785" s="163">
        <v>2.06E-2</v>
      </c>
      <c r="V1785" s="163">
        <v>4.1099999999999999E-3</v>
      </c>
      <c r="W1785" s="163">
        <v>1.98</v>
      </c>
      <c r="X1785" s="163">
        <v>0.14000000000000001</v>
      </c>
      <c r="Y1785" s="163">
        <v>354</v>
      </c>
      <c r="Z1785" s="163">
        <v>8.4000000000000005E-2</v>
      </c>
      <c r="AA1785" s="40"/>
      <c r="AB1785" s="40"/>
      <c r="AC1785" s="40"/>
      <c r="AD1785" s="40"/>
      <c r="AE1785" s="40"/>
      <c r="AF1785" s="40"/>
      <c r="AG1785" s="40"/>
      <c r="AH1785" s="40"/>
      <c r="AI1785" s="40"/>
      <c r="AJ1785" s="40"/>
      <c r="AK1785" s="40"/>
      <c r="AL1785" s="40"/>
      <c r="AM1785" s="40"/>
      <c r="AN1785" s="40"/>
      <c r="AO1785" s="40"/>
      <c r="AP1785" s="40"/>
      <c r="AQ1785" s="40"/>
      <c r="AR1785" s="40"/>
      <c r="AS1785" s="40"/>
      <c r="AT1785" s="40"/>
      <c r="AU1785" s="40"/>
      <c r="AV1785" s="315">
        <v>1.28</v>
      </c>
      <c r="AW1785" s="317"/>
      <c r="AX1785" s="317"/>
      <c r="AY1785" s="313">
        <v>101</v>
      </c>
      <c r="AZ1785" s="40"/>
      <c r="BA1785" s="40"/>
      <c r="BB1785" s="40"/>
      <c r="BC1785" s="40">
        <v>2.2200000000000001E-2</v>
      </c>
      <c r="BD1785" s="40">
        <v>6.9200000000000002E-4</v>
      </c>
      <c r="BE1785" s="163">
        <v>8.85</v>
      </c>
      <c r="BF1785" s="163">
        <v>1.0499999999999999E-5</v>
      </c>
      <c r="BG1785" s="40"/>
      <c r="BH1785" s="40"/>
      <c r="BI1785" s="40"/>
      <c r="BJ1785" s="40"/>
      <c r="BK1785" s="40"/>
      <c r="BL1785" s="62">
        <v>1</v>
      </c>
      <c r="BM1785" s="275">
        <v>3</v>
      </c>
      <c r="BN1785" s="62">
        <v>0</v>
      </c>
    </row>
    <row r="1786" spans="1:68">
      <c r="A1786" s="33" t="str">
        <f>Database_Productkaarten[[#This Row],[Product]]&amp;", "&amp;Database_Productkaarten[[#This Row],[Levensfase]]</f>
        <v>Hydraulisch Menggranulaat 200mm, A1</v>
      </c>
      <c r="B1786" s="33" t="s">
        <v>703</v>
      </c>
      <c r="C1786" s="33" t="s">
        <v>48</v>
      </c>
      <c r="D1786" s="33" t="s">
        <v>704</v>
      </c>
      <c r="E1786" s="33" t="s">
        <v>385</v>
      </c>
      <c r="F1786" s="33" t="s">
        <v>74</v>
      </c>
      <c r="G1786" s="33">
        <v>1</v>
      </c>
      <c r="H1786" s="33">
        <v>1</v>
      </c>
      <c r="I1786" s="33">
        <v>0.2</v>
      </c>
      <c r="L1786" s="33">
        <v>1.95</v>
      </c>
      <c r="M1786" s="269">
        <v>0.34125</v>
      </c>
      <c r="N1786" s="41"/>
      <c r="O1786" s="33">
        <v>100</v>
      </c>
      <c r="P1786" s="40"/>
      <c r="Q1786" s="40"/>
      <c r="R1786" s="40"/>
      <c r="S1786" s="40"/>
      <c r="T1786" s="40"/>
      <c r="U1786" s="40"/>
      <c r="V1786" s="40"/>
      <c r="W1786" s="40"/>
      <c r="X1786" s="40"/>
      <c r="Y1786" s="40"/>
      <c r="Z1786" s="40"/>
      <c r="AA1786" s="40"/>
      <c r="AB1786" s="40"/>
      <c r="AC1786" s="40"/>
      <c r="AD1786" s="40"/>
      <c r="AE1786" s="40"/>
      <c r="AF1786" s="40"/>
      <c r="AG1786" s="40"/>
      <c r="AH1786" s="40"/>
      <c r="AI1786" s="40"/>
      <c r="AJ1786" s="40"/>
      <c r="AK1786" s="40"/>
      <c r="AL1786" s="40"/>
      <c r="AM1786" s="40"/>
      <c r="AN1786" s="40"/>
      <c r="AO1786" s="40"/>
      <c r="AP1786" s="40"/>
      <c r="AQ1786" s="40"/>
      <c r="AR1786" s="40"/>
      <c r="AS1786" s="40"/>
      <c r="AT1786" s="40"/>
      <c r="AU1786" s="40"/>
      <c r="AV1786" s="317"/>
      <c r="AW1786" s="317"/>
      <c r="AX1786" s="317"/>
      <c r="AY1786" s="313"/>
      <c r="AZ1786" s="40"/>
      <c r="BA1786" s="40"/>
      <c r="BB1786" s="40"/>
      <c r="BC1786" s="40"/>
      <c r="BD1786" s="40"/>
      <c r="BE1786" s="40"/>
      <c r="BF1786" s="40"/>
      <c r="BG1786" s="40"/>
      <c r="BH1786" s="40"/>
      <c r="BI1786" s="40"/>
      <c r="BJ1786" s="40"/>
      <c r="BK1786" s="40"/>
      <c r="BL1786" s="62">
        <v>1</v>
      </c>
      <c r="BM1786" s="275">
        <v>3</v>
      </c>
      <c r="BN1786" s="62">
        <v>0</v>
      </c>
    </row>
    <row r="1787" spans="1:68">
      <c r="A1787" s="33" t="str">
        <f>Database_Productkaarten[[#This Row],[Product]]&amp;", "&amp;Database_Productkaarten[[#This Row],[Levensfase]]</f>
        <v>Hydraulisch Menggranulaat 200mm, A2</v>
      </c>
      <c r="B1787" s="33" t="s">
        <v>703</v>
      </c>
      <c r="C1787" s="33" t="s">
        <v>48</v>
      </c>
      <c r="D1787" s="33" t="s">
        <v>704</v>
      </c>
      <c r="E1787" s="33" t="s">
        <v>385</v>
      </c>
      <c r="F1787" s="33" t="s">
        <v>75</v>
      </c>
      <c r="G1787" s="33">
        <v>1</v>
      </c>
      <c r="H1787" s="33">
        <v>1</v>
      </c>
      <c r="I1787" s="33">
        <v>0.2</v>
      </c>
      <c r="L1787" s="33">
        <v>1.95</v>
      </c>
      <c r="M1787" s="269">
        <v>0.34125</v>
      </c>
      <c r="N1787" s="41"/>
      <c r="O1787" s="33">
        <v>100</v>
      </c>
      <c r="P1787" s="40"/>
      <c r="Q1787" s="40"/>
      <c r="R1787" s="40"/>
      <c r="S1787" s="40"/>
      <c r="T1787" s="40"/>
      <c r="U1787" s="40"/>
      <c r="V1787" s="40"/>
      <c r="W1787" s="40"/>
      <c r="X1787" s="40"/>
      <c r="Y1787" s="40"/>
      <c r="Z1787" s="40"/>
      <c r="AA1787" s="40"/>
      <c r="AB1787" s="40"/>
      <c r="AC1787" s="40"/>
      <c r="AD1787" s="40"/>
      <c r="AE1787" s="40"/>
      <c r="AF1787" s="40"/>
      <c r="AG1787" s="40"/>
      <c r="AH1787" s="40"/>
      <c r="AI1787" s="40"/>
      <c r="AJ1787" s="40"/>
      <c r="AK1787" s="40"/>
      <c r="AL1787" s="40"/>
      <c r="AM1787" s="40"/>
      <c r="AN1787" s="40"/>
      <c r="AO1787" s="40"/>
      <c r="AP1787" s="40"/>
      <c r="AQ1787" s="40"/>
      <c r="AR1787" s="40"/>
      <c r="AS1787" s="40"/>
      <c r="AT1787" s="40"/>
      <c r="AU1787" s="40"/>
      <c r="AV1787" s="317"/>
      <c r="AW1787" s="317"/>
      <c r="AX1787" s="317"/>
      <c r="AY1787" s="313"/>
      <c r="AZ1787" s="40"/>
      <c r="BA1787" s="40"/>
      <c r="BB1787" s="40"/>
      <c r="BC1787" s="40"/>
      <c r="BD1787" s="40"/>
      <c r="BE1787" s="40"/>
      <c r="BF1787" s="40"/>
      <c r="BG1787" s="40"/>
      <c r="BH1787" s="40"/>
      <c r="BI1787" s="40"/>
      <c r="BJ1787" s="40"/>
      <c r="BK1787" s="40"/>
      <c r="BL1787" s="62">
        <v>1</v>
      </c>
      <c r="BM1787" s="275">
        <v>3</v>
      </c>
      <c r="BN1787" s="62">
        <v>0</v>
      </c>
    </row>
    <row r="1788" spans="1:68">
      <c r="A1788" s="33" t="str">
        <f>Database_Productkaarten[[#This Row],[Product]]&amp;", "&amp;Database_Productkaarten[[#This Row],[Levensfase]]</f>
        <v>Hydraulisch Menggranulaat 200mm, A3</v>
      </c>
      <c r="B1788" s="33" t="s">
        <v>703</v>
      </c>
      <c r="C1788" s="33" t="s">
        <v>48</v>
      </c>
      <c r="D1788" s="33" t="s">
        <v>704</v>
      </c>
      <c r="E1788" s="33" t="s">
        <v>385</v>
      </c>
      <c r="F1788" s="33" t="s">
        <v>76</v>
      </c>
      <c r="G1788" s="33">
        <v>1</v>
      </c>
      <c r="H1788" s="33">
        <v>1</v>
      </c>
      <c r="I1788" s="33">
        <v>0.2</v>
      </c>
      <c r="L1788" s="33">
        <v>1.95</v>
      </c>
      <c r="M1788" s="269">
        <v>0.34125</v>
      </c>
      <c r="N1788" s="41"/>
      <c r="O1788" s="33">
        <v>100</v>
      </c>
      <c r="P1788" s="40"/>
      <c r="Q1788" s="40"/>
      <c r="R1788" s="40"/>
      <c r="S1788" s="40"/>
      <c r="T1788" s="40"/>
      <c r="U1788" s="40"/>
      <c r="V1788" s="40"/>
      <c r="W1788" s="40"/>
      <c r="X1788" s="40"/>
      <c r="Y1788" s="40"/>
      <c r="Z1788" s="40"/>
      <c r="AA1788" s="40"/>
      <c r="AB1788" s="40"/>
      <c r="AC1788" s="40"/>
      <c r="AD1788" s="40"/>
      <c r="AE1788" s="40"/>
      <c r="AF1788" s="40"/>
      <c r="AG1788" s="40"/>
      <c r="AH1788" s="40"/>
      <c r="AI1788" s="40"/>
      <c r="AJ1788" s="40"/>
      <c r="AK1788" s="40"/>
      <c r="AL1788" s="40"/>
      <c r="AM1788" s="40"/>
      <c r="AN1788" s="40"/>
      <c r="AO1788" s="40"/>
      <c r="AP1788" s="40"/>
      <c r="AQ1788" s="40"/>
      <c r="AR1788" s="40"/>
      <c r="AS1788" s="40"/>
      <c r="AT1788" s="40"/>
      <c r="AU1788" s="40"/>
      <c r="AV1788" s="317"/>
      <c r="AW1788" s="317"/>
      <c r="AX1788" s="317"/>
      <c r="AY1788" s="313"/>
      <c r="AZ1788" s="40"/>
      <c r="BA1788" s="40"/>
      <c r="BB1788" s="40"/>
      <c r="BC1788" s="40"/>
      <c r="BD1788" s="40"/>
      <c r="BE1788" s="40"/>
      <c r="BF1788" s="40"/>
      <c r="BG1788" s="40"/>
      <c r="BH1788" s="40"/>
      <c r="BI1788" s="40"/>
      <c r="BJ1788" s="40"/>
      <c r="BK1788" s="40"/>
      <c r="BL1788" s="62">
        <v>1</v>
      </c>
      <c r="BM1788" s="275">
        <v>3</v>
      </c>
      <c r="BN1788" s="62">
        <v>0</v>
      </c>
    </row>
    <row r="1789" spans="1:68">
      <c r="A1789" s="451" t="str">
        <f>Database_Productkaarten[[#This Row],[Product]]&amp;", "&amp;Database_Productkaarten[[#This Row],[Levensfase]]</f>
        <v>Hydraulisch Menggranulaat 200mm, A1-A3</v>
      </c>
      <c r="B1789" s="33" t="s">
        <v>703</v>
      </c>
      <c r="C1789" s="451" t="str">
        <f>C1788</f>
        <v>Funderingslagen</v>
      </c>
      <c r="D1789" s="451" t="str">
        <f>D1788</f>
        <v>Hydraulisch Menggranulaat</v>
      </c>
      <c r="E1789" s="33" t="s">
        <v>385</v>
      </c>
      <c r="F1789" s="451" t="s">
        <v>77</v>
      </c>
      <c r="G1789" s="33">
        <v>1</v>
      </c>
      <c r="H1789" s="33">
        <v>1</v>
      </c>
      <c r="I1789" s="33">
        <v>0.2</v>
      </c>
      <c r="J1789" s="451"/>
      <c r="K1789" s="451"/>
      <c r="L1789" s="33">
        <v>1.95</v>
      </c>
      <c r="M1789" s="269">
        <v>0.34125</v>
      </c>
      <c r="N1789" s="452">
        <v>8.26E-3</v>
      </c>
      <c r="O1789" s="451">
        <f>O1788</f>
        <v>100</v>
      </c>
      <c r="P1789" s="163">
        <v>5.03E-8</v>
      </c>
      <c r="Q1789" s="163">
        <v>5.6499999999999996E-4</v>
      </c>
      <c r="R1789" s="163">
        <v>7.8799999999999995E-2</v>
      </c>
      <c r="S1789" s="163">
        <v>9.1600000000000006E-9</v>
      </c>
      <c r="T1789" s="163">
        <v>4.5200000000000001E-5</v>
      </c>
      <c r="U1789" s="163">
        <v>3.9300000000000001E-4</v>
      </c>
      <c r="V1789" s="163">
        <v>8.8800000000000004E-5</v>
      </c>
      <c r="W1789" s="163">
        <v>1.8100000000000002E-2</v>
      </c>
      <c r="X1789" s="163">
        <v>3.0899999999999998E-4</v>
      </c>
      <c r="Y1789" s="163">
        <v>1.1399999999999999</v>
      </c>
      <c r="Z1789" s="163">
        <v>2.2900000000000001E-4</v>
      </c>
      <c r="AA1789" s="40"/>
      <c r="AB1789" s="40"/>
      <c r="AC1789" s="40"/>
      <c r="AD1789" s="40"/>
      <c r="AE1789" s="40"/>
      <c r="AF1789" s="40"/>
      <c r="AG1789" s="453">
        <f t="shared" ref="AG1789:BK1789" si="796">SUM(AG1786:AG1788)</f>
        <v>0</v>
      </c>
      <c r="AH1789" s="453">
        <f t="shared" si="796"/>
        <v>0</v>
      </c>
      <c r="AI1789" s="453">
        <f t="shared" si="796"/>
        <v>0</v>
      </c>
      <c r="AJ1789" s="453">
        <f t="shared" si="796"/>
        <v>0</v>
      </c>
      <c r="AK1789" s="453">
        <f t="shared" si="796"/>
        <v>0</v>
      </c>
      <c r="AL1789" s="453">
        <f t="shared" si="796"/>
        <v>0</v>
      </c>
      <c r="AM1789" s="453">
        <f t="shared" si="796"/>
        <v>0</v>
      </c>
      <c r="AN1789" s="453">
        <f t="shared" si="796"/>
        <v>0</v>
      </c>
      <c r="AO1789" s="453">
        <f t="shared" si="796"/>
        <v>0</v>
      </c>
      <c r="AP1789" s="453">
        <f t="shared" si="796"/>
        <v>0</v>
      </c>
      <c r="AQ1789" s="453">
        <f t="shared" si="796"/>
        <v>0</v>
      </c>
      <c r="AR1789" s="453">
        <f t="shared" si="796"/>
        <v>0</v>
      </c>
      <c r="AS1789" s="453">
        <f t="shared" si="796"/>
        <v>0</v>
      </c>
      <c r="AT1789" s="453">
        <f t="shared" si="796"/>
        <v>0</v>
      </c>
      <c r="AU1789" s="453">
        <f t="shared" si="796"/>
        <v>0</v>
      </c>
      <c r="AV1789" s="315">
        <v>6.3500000000000001E-2</v>
      </c>
      <c r="AW1789" s="317"/>
      <c r="AX1789" s="317"/>
      <c r="AY1789" s="313">
        <v>1.18</v>
      </c>
      <c r="AZ1789" s="40"/>
      <c r="BA1789" s="40"/>
      <c r="BB1789" s="40"/>
      <c r="BC1789" s="40">
        <v>5.2099999999999998E-4</v>
      </c>
      <c r="BD1789" s="40">
        <v>1.81E-6</v>
      </c>
      <c r="BE1789" s="163">
        <v>0.14799999999999999</v>
      </c>
      <c r="BF1789" s="163">
        <v>5.3399999999999997E-6</v>
      </c>
      <c r="BG1789" s="453">
        <f t="shared" si="796"/>
        <v>0</v>
      </c>
      <c r="BH1789" s="453">
        <f t="shared" si="796"/>
        <v>0</v>
      </c>
      <c r="BI1789" s="453">
        <f t="shared" si="796"/>
        <v>0</v>
      </c>
      <c r="BJ1789" s="453">
        <f t="shared" si="796"/>
        <v>0</v>
      </c>
      <c r="BK1789" s="453">
        <f t="shared" si="796"/>
        <v>0</v>
      </c>
      <c r="BL1789" s="62">
        <f>BL1788</f>
        <v>1</v>
      </c>
      <c r="BM1789" s="275">
        <f>BM1788</f>
        <v>3</v>
      </c>
      <c r="BN1789" s="62">
        <v>0</v>
      </c>
      <c r="BO1789" s="451">
        <f>BO1788</f>
        <v>0</v>
      </c>
      <c r="BP1789" s="451"/>
    </row>
    <row r="1790" spans="1:68">
      <c r="A1790" s="33" t="str">
        <f>Database_Productkaarten[[#This Row],[Product]]&amp;", "&amp;Database_Productkaarten[[#This Row],[Levensfase]]</f>
        <v>Hydraulisch Menggranulaat 200mm, A4</v>
      </c>
      <c r="B1790" s="33" t="s">
        <v>703</v>
      </c>
      <c r="C1790" s="33" t="s">
        <v>48</v>
      </c>
      <c r="D1790" s="33" t="s">
        <v>704</v>
      </c>
      <c r="E1790" s="33" t="s">
        <v>385</v>
      </c>
      <c r="F1790" s="33" t="s">
        <v>78</v>
      </c>
      <c r="G1790" s="33">
        <v>1</v>
      </c>
      <c r="H1790" s="33">
        <v>1</v>
      </c>
      <c r="I1790" s="33">
        <v>0.2</v>
      </c>
      <c r="L1790" s="33">
        <v>1.95</v>
      </c>
      <c r="M1790" s="269">
        <v>0.34125</v>
      </c>
      <c r="N1790" s="41">
        <v>0.18662999999999999</v>
      </c>
      <c r="O1790" s="33">
        <v>100</v>
      </c>
      <c r="P1790" s="163">
        <v>3.1599999999999998E-6</v>
      </c>
      <c r="Q1790" s="163">
        <v>1.2500000000000001E-2</v>
      </c>
      <c r="R1790" s="163">
        <v>1.65</v>
      </c>
      <c r="S1790" s="163">
        <v>3.2800000000000003E-7</v>
      </c>
      <c r="T1790" s="163">
        <v>1.0399999999999999E-3</v>
      </c>
      <c r="U1790" s="163">
        <v>6.0099999999999997E-3</v>
      </c>
      <c r="V1790" s="163">
        <v>1.2199999999999999E-3</v>
      </c>
      <c r="W1790" s="163">
        <v>0.57999999999999996</v>
      </c>
      <c r="X1790" s="163">
        <v>3.7400000000000003E-2</v>
      </c>
      <c r="Y1790" s="163">
        <v>97.9</v>
      </c>
      <c r="Z1790" s="163">
        <v>3.4399999999999999E-3</v>
      </c>
      <c r="AA1790" s="40"/>
      <c r="AB1790" s="40"/>
      <c r="AC1790" s="40"/>
      <c r="AD1790" s="40"/>
      <c r="AE1790" s="40"/>
      <c r="AF1790" s="40"/>
      <c r="AG1790" s="40"/>
      <c r="AH1790" s="40"/>
      <c r="AI1790" s="40"/>
      <c r="AJ1790" s="40"/>
      <c r="AK1790" s="40"/>
      <c r="AL1790" s="40"/>
      <c r="AM1790" s="40"/>
      <c r="AN1790" s="40"/>
      <c r="AO1790" s="40"/>
      <c r="AP1790" s="40"/>
      <c r="AQ1790" s="40"/>
      <c r="AR1790" s="40"/>
      <c r="AS1790" s="40"/>
      <c r="AT1790" s="40"/>
      <c r="AU1790" s="40"/>
      <c r="AV1790" s="315">
        <v>0.44500000000000001</v>
      </c>
      <c r="AW1790" s="317"/>
      <c r="AX1790" s="317"/>
      <c r="AY1790" s="313">
        <v>28.5</v>
      </c>
      <c r="AZ1790" s="40"/>
      <c r="BA1790" s="40"/>
      <c r="BB1790" s="40"/>
      <c r="BC1790" s="40">
        <v>5.7800000000000004E-3</v>
      </c>
      <c r="BD1790" s="40">
        <v>2.02E-4</v>
      </c>
      <c r="BE1790" s="163">
        <v>2.35</v>
      </c>
      <c r="BF1790" s="163">
        <v>0</v>
      </c>
      <c r="BG1790" s="40"/>
      <c r="BH1790" s="40"/>
      <c r="BI1790" s="40"/>
      <c r="BJ1790" s="40"/>
      <c r="BK1790" s="40"/>
      <c r="BL1790" s="62">
        <v>1</v>
      </c>
      <c r="BM1790" s="275">
        <v>3</v>
      </c>
      <c r="BN1790" s="62">
        <v>0</v>
      </c>
    </row>
    <row r="1791" spans="1:68">
      <c r="A1791" s="33" t="str">
        <f>Database_Productkaarten[[#This Row],[Product]]&amp;", "&amp;Database_Productkaarten[[#This Row],[Levensfase]]</f>
        <v>Hydraulisch Menggranulaat 200mm, A5</v>
      </c>
      <c r="B1791" s="33" t="s">
        <v>703</v>
      </c>
      <c r="C1791" s="33" t="s">
        <v>48</v>
      </c>
      <c r="D1791" s="33" t="s">
        <v>704</v>
      </c>
      <c r="E1791" s="33" t="s">
        <v>385</v>
      </c>
      <c r="F1791" s="33" t="s">
        <v>79</v>
      </c>
      <c r="G1791" s="33">
        <v>1</v>
      </c>
      <c r="H1791" s="33">
        <v>1</v>
      </c>
      <c r="I1791" s="33">
        <v>0.2</v>
      </c>
      <c r="L1791" s="33">
        <v>1.95</v>
      </c>
      <c r="M1791" s="269">
        <v>0.34125</v>
      </c>
      <c r="N1791" s="41">
        <v>0.18803</v>
      </c>
      <c r="O1791" s="33">
        <v>100</v>
      </c>
      <c r="P1791" s="163">
        <v>9.5000000000000001E-7</v>
      </c>
      <c r="Q1791" s="163">
        <v>1.3899999999999999E-2</v>
      </c>
      <c r="R1791" s="163">
        <v>2.0299999999999998</v>
      </c>
      <c r="S1791" s="163">
        <v>3.53E-7</v>
      </c>
      <c r="T1791" s="163">
        <v>6.6799999999999997E-4</v>
      </c>
      <c r="U1791" s="163">
        <v>5.9500000000000004E-3</v>
      </c>
      <c r="V1791" s="163">
        <v>1.14E-3</v>
      </c>
      <c r="W1791" s="163">
        <v>0.502</v>
      </c>
      <c r="X1791" s="163">
        <v>9.9500000000000005E-3</v>
      </c>
      <c r="Y1791" s="163">
        <v>33.299999999999997</v>
      </c>
      <c r="Z1791" s="163">
        <v>1.7899999999999999E-3</v>
      </c>
      <c r="AA1791" s="40"/>
      <c r="AB1791" s="40"/>
      <c r="AC1791" s="40"/>
      <c r="AD1791" s="40"/>
      <c r="AE1791" s="40"/>
      <c r="AF1791" s="40"/>
      <c r="AG1791" s="40"/>
      <c r="AH1791" s="40"/>
      <c r="AI1791" s="40"/>
      <c r="AJ1791" s="40"/>
      <c r="AK1791" s="40"/>
      <c r="AL1791" s="40"/>
      <c r="AM1791" s="40"/>
      <c r="AN1791" s="40"/>
      <c r="AO1791" s="40"/>
      <c r="AP1791" s="40"/>
      <c r="AQ1791" s="40"/>
      <c r="AR1791" s="40"/>
      <c r="AS1791" s="40"/>
      <c r="AT1791" s="40"/>
      <c r="AU1791" s="40"/>
      <c r="AV1791" s="315">
        <v>0.22600000000000001</v>
      </c>
      <c r="AW1791" s="317"/>
      <c r="AX1791" s="317"/>
      <c r="AY1791" s="313">
        <v>30.9</v>
      </c>
      <c r="AZ1791" s="40"/>
      <c r="BA1791" s="40"/>
      <c r="BB1791" s="40"/>
      <c r="BC1791" s="40">
        <v>2.9199999999999999E-3</v>
      </c>
      <c r="BD1791" s="40">
        <v>2.14E-4</v>
      </c>
      <c r="BE1791" s="163">
        <v>5.1900000000000002E-2</v>
      </c>
      <c r="BF1791" s="163">
        <v>0</v>
      </c>
      <c r="BG1791" s="40"/>
      <c r="BH1791" s="40"/>
      <c r="BI1791" s="40"/>
      <c r="BJ1791" s="40"/>
      <c r="BK1791" s="40"/>
      <c r="BL1791" s="62">
        <v>1</v>
      </c>
      <c r="BM1791" s="275">
        <v>3</v>
      </c>
      <c r="BN1791" s="62">
        <v>0</v>
      </c>
    </row>
    <row r="1792" spans="1:68">
      <c r="A1792" s="33" t="str">
        <f>Database_Productkaarten[[#This Row],[Product]]&amp;", "&amp;Database_Productkaarten[[#This Row],[Levensfase]]</f>
        <v>Hydraulisch Menggranulaat 200mm, B1</v>
      </c>
      <c r="B1792" s="33" t="s">
        <v>703</v>
      </c>
      <c r="C1792" s="33" t="s">
        <v>48</v>
      </c>
      <c r="D1792" s="33" t="s">
        <v>704</v>
      </c>
      <c r="E1792" s="33" t="s">
        <v>385</v>
      </c>
      <c r="F1792" s="33" t="s">
        <v>80</v>
      </c>
      <c r="G1792" s="33">
        <v>1</v>
      </c>
      <c r="H1792" s="33">
        <v>1</v>
      </c>
      <c r="I1792" s="33">
        <v>0.2</v>
      </c>
      <c r="L1792" s="33">
        <v>1.95</v>
      </c>
      <c r="M1792" s="269">
        <v>0.34125</v>
      </c>
      <c r="N1792" s="41">
        <v>2.7490000000000001E-2</v>
      </c>
      <c r="O1792" s="33">
        <v>100</v>
      </c>
      <c r="P1792" s="163">
        <v>0</v>
      </c>
      <c r="Q1792" s="163">
        <v>0</v>
      </c>
      <c r="R1792" s="163">
        <v>0</v>
      </c>
      <c r="S1792" s="163">
        <v>0</v>
      </c>
      <c r="T1792" s="163">
        <v>0</v>
      </c>
      <c r="U1792" s="163">
        <v>0</v>
      </c>
      <c r="V1792" s="163">
        <v>0</v>
      </c>
      <c r="W1792" s="163">
        <v>0.11600000000000001</v>
      </c>
      <c r="X1792" s="163">
        <v>5.0500000000000003E-2</v>
      </c>
      <c r="Y1792" s="163">
        <v>111</v>
      </c>
      <c r="Z1792" s="163">
        <v>7.4399999999999994E-2</v>
      </c>
      <c r="AA1792" s="40"/>
      <c r="AB1792" s="40"/>
      <c r="AC1792" s="40"/>
      <c r="AD1792" s="40"/>
      <c r="AE1792" s="40"/>
      <c r="AF1792" s="40"/>
      <c r="AG1792" s="40"/>
      <c r="AH1792" s="40"/>
      <c r="AI1792" s="40"/>
      <c r="AJ1792" s="40"/>
      <c r="AK1792" s="40"/>
      <c r="AL1792" s="40"/>
      <c r="AM1792" s="40"/>
      <c r="AN1792" s="40"/>
      <c r="AO1792" s="40"/>
      <c r="AP1792" s="40"/>
      <c r="AQ1792" s="40"/>
      <c r="AR1792" s="40"/>
      <c r="AS1792" s="40"/>
      <c r="AT1792" s="40"/>
      <c r="AU1792" s="40"/>
      <c r="AV1792" s="315">
        <v>0</v>
      </c>
      <c r="AW1792" s="317"/>
      <c r="AX1792" s="317"/>
      <c r="AY1792" s="313">
        <v>0</v>
      </c>
      <c r="AZ1792" s="40"/>
      <c r="BA1792" s="40"/>
      <c r="BB1792" s="40"/>
      <c r="BC1792" s="40">
        <v>0</v>
      </c>
      <c r="BD1792" s="40">
        <v>0</v>
      </c>
      <c r="BE1792" s="163">
        <v>0</v>
      </c>
      <c r="BF1792" s="163">
        <v>0</v>
      </c>
      <c r="BG1792" s="40"/>
      <c r="BH1792" s="40"/>
      <c r="BI1792" s="40"/>
      <c r="BJ1792" s="40"/>
      <c r="BK1792" s="40"/>
      <c r="BL1792" s="62">
        <v>1</v>
      </c>
      <c r="BM1792" s="275">
        <v>3</v>
      </c>
      <c r="BN1792" s="62">
        <v>0</v>
      </c>
    </row>
    <row r="1793" spans="1:67">
      <c r="A1793" s="33" t="str">
        <f>Database_Productkaarten[[#This Row],[Product]]&amp;", "&amp;Database_Productkaarten[[#This Row],[Levensfase]]</f>
        <v>Hydraulisch Menggranulaat 200mm, C1</v>
      </c>
      <c r="B1793" s="33" t="s">
        <v>703</v>
      </c>
      <c r="C1793" s="33" t="s">
        <v>48</v>
      </c>
      <c r="D1793" s="33" t="s">
        <v>704</v>
      </c>
      <c r="E1793" s="33" t="s">
        <v>385</v>
      </c>
      <c r="F1793" s="33" t="s">
        <v>83</v>
      </c>
      <c r="G1793" s="33">
        <v>1</v>
      </c>
      <c r="H1793" s="33">
        <v>1</v>
      </c>
      <c r="I1793" s="33">
        <v>0.2</v>
      </c>
      <c r="L1793" s="33">
        <v>1.95</v>
      </c>
      <c r="M1793" s="269">
        <v>0.34125</v>
      </c>
      <c r="N1793" s="41">
        <v>6.2149999999999997E-2</v>
      </c>
      <c r="O1793" s="33">
        <v>100</v>
      </c>
      <c r="P1793" s="163">
        <v>3.1399999999999998E-7</v>
      </c>
      <c r="Q1793" s="163">
        <v>4.5799999999999999E-3</v>
      </c>
      <c r="R1793" s="163">
        <v>0.67100000000000004</v>
      </c>
      <c r="S1793" s="163">
        <v>1.17E-7</v>
      </c>
      <c r="T1793" s="163">
        <v>2.2100000000000001E-4</v>
      </c>
      <c r="U1793" s="163">
        <v>1.97E-3</v>
      </c>
      <c r="V1793" s="163">
        <v>3.7599999999999998E-4</v>
      </c>
      <c r="W1793" s="163">
        <v>0.16600000000000001</v>
      </c>
      <c r="X1793" s="163">
        <v>3.29E-3</v>
      </c>
      <c r="Y1793" s="163">
        <v>11</v>
      </c>
      <c r="Z1793" s="163">
        <v>5.9100000000000005E-4</v>
      </c>
      <c r="AA1793" s="40"/>
      <c r="AB1793" s="40"/>
      <c r="AC1793" s="40"/>
      <c r="AD1793" s="40"/>
      <c r="AE1793" s="40"/>
      <c r="AF1793" s="40"/>
      <c r="AG1793" s="40"/>
      <c r="AH1793" s="40"/>
      <c r="AI1793" s="40"/>
      <c r="AJ1793" s="40"/>
      <c r="AK1793" s="40"/>
      <c r="AL1793" s="40"/>
      <c r="AM1793" s="40"/>
      <c r="AN1793" s="40"/>
      <c r="AO1793" s="40"/>
      <c r="AP1793" s="40"/>
      <c r="AQ1793" s="40"/>
      <c r="AR1793" s="40"/>
      <c r="AS1793" s="40"/>
      <c r="AT1793" s="40"/>
      <c r="AU1793" s="40"/>
      <c r="AV1793" s="315">
        <v>7.46E-2</v>
      </c>
      <c r="AW1793" s="317"/>
      <c r="AX1793" s="317"/>
      <c r="AY1793" s="313">
        <v>10.199999999999999</v>
      </c>
      <c r="AZ1793" s="40"/>
      <c r="BA1793" s="40"/>
      <c r="BB1793" s="40"/>
      <c r="BC1793" s="40">
        <v>9.6599999999999995E-4</v>
      </c>
      <c r="BD1793" s="40">
        <v>7.0599999999999995E-5</v>
      </c>
      <c r="BE1793" s="163">
        <v>1.72E-2</v>
      </c>
      <c r="BF1793" s="163">
        <v>0</v>
      </c>
      <c r="BG1793" s="40"/>
      <c r="BH1793" s="40"/>
      <c r="BI1793" s="40"/>
      <c r="BJ1793" s="40"/>
      <c r="BK1793" s="40"/>
      <c r="BL1793" s="62">
        <v>1</v>
      </c>
      <c r="BM1793" s="275">
        <v>3</v>
      </c>
      <c r="BN1793" s="62">
        <v>0</v>
      </c>
    </row>
    <row r="1794" spans="1:67">
      <c r="A1794" s="33" t="str">
        <f>Database_Productkaarten[[#This Row],[Product]]&amp;", "&amp;Database_Productkaarten[[#This Row],[Levensfase]]</f>
        <v>Hydraulisch Menggranulaat 200mm, C2</v>
      </c>
      <c r="B1794" s="33" t="s">
        <v>703</v>
      </c>
      <c r="C1794" s="33" t="s">
        <v>48</v>
      </c>
      <c r="D1794" s="33" t="s">
        <v>704</v>
      </c>
      <c r="E1794" s="33" t="s">
        <v>385</v>
      </c>
      <c r="F1794" s="33" t="s">
        <v>84</v>
      </c>
      <c r="G1794" s="33">
        <v>1</v>
      </c>
      <c r="H1794" s="33">
        <v>1</v>
      </c>
      <c r="I1794" s="33">
        <v>0.2</v>
      </c>
      <c r="L1794" s="33">
        <v>1.95</v>
      </c>
      <c r="M1794" s="269">
        <v>0.34125</v>
      </c>
      <c r="N1794" s="41">
        <v>3.7699999999999999E-3</v>
      </c>
      <c r="O1794" s="33">
        <v>100</v>
      </c>
      <c r="P1794" s="163">
        <v>3.19E-6</v>
      </c>
      <c r="Q1794" s="163">
        <v>1.26E-2</v>
      </c>
      <c r="R1794" s="163">
        <v>1.66</v>
      </c>
      <c r="S1794" s="163">
        <v>3.3099999999999999E-7</v>
      </c>
      <c r="T1794" s="163">
        <v>1.0499999999999999E-3</v>
      </c>
      <c r="U1794" s="163">
        <v>6.0699999999999999E-3</v>
      </c>
      <c r="V1794" s="163">
        <v>1.24E-3</v>
      </c>
      <c r="W1794" s="163">
        <v>0.58599999999999997</v>
      </c>
      <c r="X1794" s="163">
        <v>3.78E-2</v>
      </c>
      <c r="Y1794" s="163">
        <v>98.9</v>
      </c>
      <c r="Z1794" s="163">
        <v>3.47E-3</v>
      </c>
      <c r="AA1794" s="40"/>
      <c r="AB1794" s="40"/>
      <c r="AC1794" s="40"/>
      <c r="AD1794" s="40"/>
      <c r="AE1794" s="40"/>
      <c r="AF1794" s="40"/>
      <c r="AG1794" s="40"/>
      <c r="AH1794" s="40"/>
      <c r="AI1794" s="40"/>
      <c r="AJ1794" s="40"/>
      <c r="AK1794" s="40"/>
      <c r="AL1794" s="40"/>
      <c r="AM1794" s="40"/>
      <c r="AN1794" s="40"/>
      <c r="AO1794" s="40"/>
      <c r="AP1794" s="40"/>
      <c r="AQ1794" s="40"/>
      <c r="AR1794" s="40"/>
      <c r="AS1794" s="40"/>
      <c r="AT1794" s="40"/>
      <c r="AU1794" s="40"/>
      <c r="AV1794" s="315">
        <v>0.45</v>
      </c>
      <c r="AW1794" s="317"/>
      <c r="AX1794" s="317"/>
      <c r="AY1794" s="313">
        <v>28.8</v>
      </c>
      <c r="AZ1794" s="40"/>
      <c r="BA1794" s="40"/>
      <c r="BB1794" s="40"/>
      <c r="BC1794" s="40">
        <v>5.8399999999999997E-3</v>
      </c>
      <c r="BD1794" s="40">
        <v>2.04E-4</v>
      </c>
      <c r="BE1794" s="163">
        <v>2.38</v>
      </c>
      <c r="BF1794" s="163">
        <v>0</v>
      </c>
      <c r="BG1794" s="40"/>
      <c r="BH1794" s="40"/>
      <c r="BI1794" s="40"/>
      <c r="BJ1794" s="40"/>
      <c r="BK1794" s="40"/>
      <c r="BL1794" s="62">
        <v>1</v>
      </c>
      <c r="BM1794" s="275">
        <v>3</v>
      </c>
      <c r="BN1794" s="62">
        <v>0</v>
      </c>
    </row>
    <row r="1795" spans="1:67">
      <c r="A1795" s="33" t="str">
        <f>Database_Productkaarten[[#This Row],[Product]]&amp;", "&amp;Database_Productkaarten[[#This Row],[Levensfase]]</f>
        <v>Hydraulisch Menggranulaat 200mm, C3</v>
      </c>
      <c r="B1795" s="33" t="s">
        <v>703</v>
      </c>
      <c r="C1795" s="33" t="s">
        <v>48</v>
      </c>
      <c r="D1795" s="33" t="s">
        <v>704</v>
      </c>
      <c r="E1795" s="33" t="s">
        <v>385</v>
      </c>
      <c r="F1795" s="33" t="s">
        <v>85</v>
      </c>
      <c r="G1795" s="33">
        <v>1</v>
      </c>
      <c r="H1795" s="33">
        <v>1</v>
      </c>
      <c r="I1795" s="33">
        <v>0.2</v>
      </c>
      <c r="L1795" s="33">
        <v>1.95</v>
      </c>
      <c r="M1795" s="269">
        <v>0.34125</v>
      </c>
      <c r="N1795" s="41">
        <v>0</v>
      </c>
      <c r="O1795" s="33">
        <v>100</v>
      </c>
      <c r="P1795" s="163">
        <v>0</v>
      </c>
      <c r="Q1795" s="163">
        <v>0</v>
      </c>
      <c r="R1795" s="163">
        <v>0</v>
      </c>
      <c r="S1795" s="163">
        <v>0</v>
      </c>
      <c r="T1795" s="163">
        <v>0</v>
      </c>
      <c r="U1795" s="163">
        <v>0</v>
      </c>
      <c r="V1795" s="163">
        <v>0</v>
      </c>
      <c r="W1795" s="163">
        <v>0</v>
      </c>
      <c r="X1795" s="163">
        <v>0</v>
      </c>
      <c r="Y1795" s="163">
        <v>0</v>
      </c>
      <c r="Z1795" s="163">
        <v>0</v>
      </c>
      <c r="AA1795" s="40"/>
      <c r="AB1795" s="40"/>
      <c r="AC1795" s="40"/>
      <c r="AD1795" s="40"/>
      <c r="AE1795" s="40"/>
      <c r="AF1795" s="40"/>
      <c r="AG1795" s="40"/>
      <c r="AH1795" s="40"/>
      <c r="AI1795" s="40"/>
      <c r="AJ1795" s="40"/>
      <c r="AK1795" s="40"/>
      <c r="AL1795" s="40"/>
      <c r="AM1795" s="40"/>
      <c r="AN1795" s="40"/>
      <c r="AO1795" s="40"/>
      <c r="AP1795" s="40"/>
      <c r="AQ1795" s="40"/>
      <c r="AR1795" s="40"/>
      <c r="AS1795" s="40"/>
      <c r="AT1795" s="40"/>
      <c r="AU1795" s="40"/>
      <c r="AV1795" s="315">
        <v>0</v>
      </c>
      <c r="AW1795" s="317"/>
      <c r="AX1795" s="317"/>
      <c r="AY1795" s="313">
        <v>0</v>
      </c>
      <c r="AZ1795" s="40"/>
      <c r="BA1795" s="40"/>
      <c r="BB1795" s="40"/>
      <c r="BC1795" s="40">
        <v>0</v>
      </c>
      <c r="BD1795" s="40">
        <v>0</v>
      </c>
      <c r="BE1795" s="163">
        <v>0</v>
      </c>
      <c r="BF1795" s="163">
        <v>0</v>
      </c>
      <c r="BG1795" s="40"/>
      <c r="BH1795" s="40"/>
      <c r="BI1795" s="40"/>
      <c r="BJ1795" s="40"/>
      <c r="BK1795" s="40"/>
      <c r="BL1795" s="62">
        <v>1</v>
      </c>
      <c r="BM1795" s="275">
        <v>3</v>
      </c>
      <c r="BN1795" s="62">
        <v>0</v>
      </c>
    </row>
    <row r="1796" spans="1:67">
      <c r="A1796" s="33" t="str">
        <f>Database_Productkaarten[[#This Row],[Product]]&amp;", "&amp;Database_Productkaarten[[#This Row],[Levensfase]]</f>
        <v>Hydraulisch Menggranulaat 200mm, C4</v>
      </c>
      <c r="B1796" s="33" t="s">
        <v>703</v>
      </c>
      <c r="C1796" s="33" t="s">
        <v>48</v>
      </c>
      <c r="D1796" s="33" t="s">
        <v>704</v>
      </c>
      <c r="E1796" s="33" t="s">
        <v>385</v>
      </c>
      <c r="F1796" s="33" t="s">
        <v>86</v>
      </c>
      <c r="G1796" s="33">
        <v>1</v>
      </c>
      <c r="H1796" s="33">
        <v>1</v>
      </c>
      <c r="I1796" s="33">
        <v>0.2</v>
      </c>
      <c r="L1796" s="33">
        <v>1.95</v>
      </c>
      <c r="M1796" s="269">
        <v>0.34125</v>
      </c>
      <c r="N1796" s="41">
        <v>2.8999999999999998E-3</v>
      </c>
      <c r="O1796" s="33">
        <v>100</v>
      </c>
      <c r="P1796" s="163">
        <v>2.3199999999999999E-8</v>
      </c>
      <c r="Q1796" s="163">
        <v>3.01E-4</v>
      </c>
      <c r="R1796" s="163">
        <v>2.06E-2</v>
      </c>
      <c r="S1796" s="163">
        <v>7.4300000000000002E-9</v>
      </c>
      <c r="T1796" s="163">
        <v>2.2399999999999999E-5</v>
      </c>
      <c r="U1796" s="163">
        <v>1.55E-4</v>
      </c>
      <c r="V1796" s="163">
        <v>2.94E-5</v>
      </c>
      <c r="W1796" s="163">
        <v>8.9599999999999992E-3</v>
      </c>
      <c r="X1796" s="163">
        <v>2.1699999999999999E-4</v>
      </c>
      <c r="Y1796" s="163">
        <v>0.76</v>
      </c>
      <c r="Z1796" s="163">
        <v>2.2399999999999999E-5</v>
      </c>
      <c r="AA1796" s="40"/>
      <c r="AB1796" s="40"/>
      <c r="AC1796" s="40"/>
      <c r="AD1796" s="40"/>
      <c r="AE1796" s="40"/>
      <c r="AF1796" s="40"/>
      <c r="AG1796" s="40"/>
      <c r="AH1796" s="40"/>
      <c r="AI1796" s="40"/>
      <c r="AJ1796" s="40"/>
      <c r="AK1796" s="40"/>
      <c r="AL1796" s="40"/>
      <c r="AM1796" s="40"/>
      <c r="AN1796" s="40"/>
      <c r="AO1796" s="40"/>
      <c r="AP1796" s="40"/>
      <c r="AQ1796" s="40"/>
      <c r="AR1796" s="40"/>
      <c r="AS1796" s="40"/>
      <c r="AT1796" s="40"/>
      <c r="AU1796" s="40"/>
      <c r="AV1796" s="315">
        <v>5.1799999999999997E-3</v>
      </c>
      <c r="AW1796" s="317"/>
      <c r="AX1796" s="317"/>
      <c r="AY1796" s="313">
        <v>0.67200000000000004</v>
      </c>
      <c r="AZ1796" s="40"/>
      <c r="BA1796" s="40"/>
      <c r="BB1796" s="40"/>
      <c r="BC1796" s="40">
        <v>6.6100000000000002E-4</v>
      </c>
      <c r="BD1796" s="40">
        <v>4.2300000000000002E-7</v>
      </c>
      <c r="BE1796" s="163">
        <v>3.9</v>
      </c>
      <c r="BF1796" s="163">
        <v>4.1899999999999997E-6</v>
      </c>
      <c r="BG1796" s="40"/>
      <c r="BH1796" s="40"/>
      <c r="BI1796" s="40"/>
      <c r="BJ1796" s="40"/>
      <c r="BK1796" s="40"/>
      <c r="BL1796" s="62">
        <v>1</v>
      </c>
      <c r="BM1796" s="275">
        <v>3</v>
      </c>
      <c r="BN1796" s="62">
        <v>0</v>
      </c>
    </row>
    <row r="1797" spans="1:67">
      <c r="A1797" s="33" t="str">
        <f>Database_Productkaarten[[#This Row],[Product]]&amp;", "&amp;Database_Productkaarten[[#This Row],[Levensfase]]</f>
        <v>Hydraulisch Menggranulaat 200mm, D</v>
      </c>
      <c r="B1797" s="33" t="s">
        <v>703</v>
      </c>
      <c r="C1797" s="33" t="str">
        <f>C1798</f>
        <v>Funderingslagen</v>
      </c>
      <c r="D1797" s="33" t="str">
        <f>D1798</f>
        <v>Hydraulisch Menggranulaat</v>
      </c>
      <c r="E1797" s="33" t="s">
        <v>385</v>
      </c>
      <c r="F1797" s="33" t="s">
        <v>89</v>
      </c>
      <c r="G1797" s="33">
        <v>1</v>
      </c>
      <c r="H1797" s="33">
        <v>1</v>
      </c>
      <c r="I1797" s="33">
        <v>0.2</v>
      </c>
      <c r="L1797" s="33">
        <v>1.95</v>
      </c>
      <c r="M1797" s="269">
        <v>0.34125</v>
      </c>
      <c r="N1797" s="41">
        <v>5.8599999999999998E-3</v>
      </c>
      <c r="O1797" s="33">
        <f>O1798</f>
        <v>100</v>
      </c>
      <c r="P1797" s="163">
        <v>9.0800000000000006E-8</v>
      </c>
      <c r="Q1797" s="163">
        <v>1.12E-4</v>
      </c>
      <c r="R1797" s="163">
        <v>1.6400000000000001E-2</v>
      </c>
      <c r="S1797" s="163">
        <v>1.4700000000000001E-9</v>
      </c>
      <c r="T1797" s="163">
        <v>1.19E-5</v>
      </c>
      <c r="U1797" s="163">
        <v>9.3800000000000003E-5</v>
      </c>
      <c r="V1797" s="163">
        <v>1.63E-5</v>
      </c>
      <c r="W1797" s="163">
        <v>7.3200000000000001E-3</v>
      </c>
      <c r="X1797" s="163">
        <v>1.05E-4</v>
      </c>
      <c r="Y1797" s="163">
        <v>0.45700000000000002</v>
      </c>
      <c r="Z1797" s="163">
        <v>3.82E-5</v>
      </c>
      <c r="AA1797" s="40"/>
      <c r="AB1797" s="40"/>
      <c r="AC1797" s="40"/>
      <c r="AD1797" s="40"/>
      <c r="AE1797" s="40"/>
      <c r="AF1797" s="40"/>
      <c r="AG1797" s="40">
        <f t="shared" ref="AG1797:BK1797" si="797">SUM(AG1798:AG1799)</f>
        <v>0</v>
      </c>
      <c r="AH1797" s="40">
        <f t="shared" si="797"/>
        <v>0</v>
      </c>
      <c r="AI1797" s="40">
        <f t="shared" si="797"/>
        <v>0</v>
      </c>
      <c r="AJ1797" s="40">
        <f t="shared" si="797"/>
        <v>0</v>
      </c>
      <c r="AK1797" s="40">
        <f t="shared" si="797"/>
        <v>0</v>
      </c>
      <c r="AL1797" s="40">
        <f t="shared" si="797"/>
        <v>0</v>
      </c>
      <c r="AM1797" s="40">
        <f t="shared" si="797"/>
        <v>0</v>
      </c>
      <c r="AN1797" s="40">
        <f t="shared" si="797"/>
        <v>0</v>
      </c>
      <c r="AO1797" s="40">
        <f t="shared" si="797"/>
        <v>0</v>
      </c>
      <c r="AP1797" s="40">
        <f t="shared" si="797"/>
        <v>0</v>
      </c>
      <c r="AQ1797" s="40">
        <f t="shared" si="797"/>
        <v>0</v>
      </c>
      <c r="AR1797" s="40">
        <f t="shared" si="797"/>
        <v>0</v>
      </c>
      <c r="AS1797" s="40">
        <f t="shared" si="797"/>
        <v>0</v>
      </c>
      <c r="AT1797" s="40">
        <f t="shared" si="797"/>
        <v>0</v>
      </c>
      <c r="AU1797" s="40">
        <f t="shared" si="797"/>
        <v>0</v>
      </c>
      <c r="AV1797" s="315">
        <v>1.38E-2</v>
      </c>
      <c r="AW1797" s="317"/>
      <c r="AX1797" s="317"/>
      <c r="AY1797" s="313">
        <v>0.22600000000000001</v>
      </c>
      <c r="AZ1797" s="40"/>
      <c r="BA1797" s="40"/>
      <c r="BB1797" s="40"/>
      <c r="BC1797" s="40">
        <v>5.5100000000000001E-3</v>
      </c>
      <c r="BD1797" s="40">
        <v>3.0199999999999998E-7</v>
      </c>
      <c r="BE1797" s="163">
        <v>2.14E-3</v>
      </c>
      <c r="BF1797" s="163">
        <v>9.5300000000000002E-7</v>
      </c>
      <c r="BG1797" s="40">
        <f t="shared" si="797"/>
        <v>0</v>
      </c>
      <c r="BH1797" s="40">
        <f t="shared" si="797"/>
        <v>0</v>
      </c>
      <c r="BI1797" s="40">
        <f t="shared" si="797"/>
        <v>0</v>
      </c>
      <c r="BJ1797" s="40">
        <f t="shared" si="797"/>
        <v>0</v>
      </c>
      <c r="BK1797" s="40">
        <f t="shared" si="797"/>
        <v>0</v>
      </c>
      <c r="BL1797" s="62">
        <f>BL1798</f>
        <v>1</v>
      </c>
      <c r="BM1797" s="275">
        <f>BM1798</f>
        <v>3</v>
      </c>
      <c r="BN1797" s="62">
        <v>0</v>
      </c>
      <c r="BO1797" s="33">
        <f>BO1798</f>
        <v>0</v>
      </c>
    </row>
    <row r="1798" spans="1:67">
      <c r="A1798" s="33" t="str">
        <f>Database_Productkaarten[[#This Row],[Product]]&amp;", "&amp;Database_Productkaarten[[#This Row],[Levensfase]]</f>
        <v>Hydraulisch Menggranulaat 200mm, D1</v>
      </c>
      <c r="B1798" s="33" t="s">
        <v>703</v>
      </c>
      <c r="C1798" s="33" t="s">
        <v>48</v>
      </c>
      <c r="D1798" s="33" t="s">
        <v>704</v>
      </c>
      <c r="E1798" s="33" t="s">
        <v>385</v>
      </c>
      <c r="F1798" s="33" t="s">
        <v>87</v>
      </c>
      <c r="G1798" s="33">
        <v>1</v>
      </c>
      <c r="H1798" s="33">
        <v>1</v>
      </c>
      <c r="I1798" s="33">
        <v>0.2</v>
      </c>
      <c r="L1798" s="33">
        <v>1.95</v>
      </c>
      <c r="M1798" s="269">
        <v>0.34125</v>
      </c>
      <c r="N1798" s="41"/>
      <c r="O1798" s="33">
        <v>100</v>
      </c>
      <c r="P1798" s="40"/>
      <c r="Q1798" s="40"/>
      <c r="R1798" s="40"/>
      <c r="S1798" s="40"/>
      <c r="T1798" s="40"/>
      <c r="U1798" s="40"/>
      <c r="V1798" s="40"/>
      <c r="W1798" s="40"/>
      <c r="X1798" s="40"/>
      <c r="Y1798" s="40"/>
      <c r="Z1798" s="40"/>
      <c r="AA1798" s="40"/>
      <c r="AB1798" s="40"/>
      <c r="AC1798" s="40"/>
      <c r="AD1798" s="40"/>
      <c r="AE1798" s="40"/>
      <c r="AF1798" s="40"/>
      <c r="AG1798" s="40"/>
      <c r="AH1798" s="40"/>
      <c r="AI1798" s="40"/>
      <c r="AJ1798" s="40"/>
      <c r="AK1798" s="40"/>
      <c r="AL1798" s="40"/>
      <c r="AM1798" s="40"/>
      <c r="AN1798" s="40"/>
      <c r="AO1798" s="40"/>
      <c r="AP1798" s="40"/>
      <c r="AQ1798" s="40"/>
      <c r="AR1798" s="40"/>
      <c r="AS1798" s="40"/>
      <c r="AT1798" s="40"/>
      <c r="AU1798" s="40"/>
      <c r="AV1798" s="313"/>
      <c r="AW1798" s="317"/>
      <c r="AX1798" s="317"/>
      <c r="AY1798" s="313"/>
      <c r="AZ1798" s="40"/>
      <c r="BA1798" s="40"/>
      <c r="BB1798" s="40"/>
      <c r="BC1798" s="40"/>
      <c r="BD1798" s="40"/>
      <c r="BE1798" s="40"/>
      <c r="BF1798" s="40"/>
      <c r="BG1798" s="40"/>
      <c r="BH1798" s="40"/>
      <c r="BI1798" s="40"/>
      <c r="BJ1798" s="40"/>
      <c r="BK1798" s="40"/>
      <c r="BL1798" s="62">
        <v>1</v>
      </c>
      <c r="BM1798" s="275">
        <v>3</v>
      </c>
      <c r="BN1798" s="62">
        <v>0</v>
      </c>
    </row>
    <row r="1799" spans="1:67">
      <c r="A1799" s="33" t="str">
        <f>Database_Productkaarten[[#This Row],[Product]]&amp;", "&amp;Database_Productkaarten[[#This Row],[Levensfase]]</f>
        <v>Hydraulisch Menggranulaat 200mm, D2</v>
      </c>
      <c r="B1799" s="33" t="s">
        <v>703</v>
      </c>
      <c r="C1799" s="33" t="s">
        <v>48</v>
      </c>
      <c r="D1799" s="33" t="s">
        <v>704</v>
      </c>
      <c r="E1799" s="33" t="s">
        <v>385</v>
      </c>
      <c r="F1799" s="33" t="s">
        <v>88</v>
      </c>
      <c r="G1799" s="33">
        <v>1</v>
      </c>
      <c r="H1799" s="33">
        <v>1</v>
      </c>
      <c r="I1799" s="33">
        <v>0.2</v>
      </c>
      <c r="L1799" s="33">
        <v>1.95</v>
      </c>
      <c r="M1799" s="269">
        <v>0.34125</v>
      </c>
      <c r="N1799" s="41"/>
      <c r="O1799" s="33">
        <v>100</v>
      </c>
      <c r="P1799" s="40"/>
      <c r="Q1799" s="40"/>
      <c r="R1799" s="40"/>
      <c r="S1799" s="40"/>
      <c r="T1799" s="40"/>
      <c r="U1799" s="40"/>
      <c r="V1799" s="40"/>
      <c r="W1799" s="40"/>
      <c r="X1799" s="40"/>
      <c r="Y1799" s="40"/>
      <c r="Z1799" s="40"/>
      <c r="AA1799" s="40"/>
      <c r="AB1799" s="40"/>
      <c r="AC1799" s="40"/>
      <c r="AD1799" s="40"/>
      <c r="AE1799" s="40"/>
      <c r="AF1799" s="40"/>
      <c r="AG1799" s="40"/>
      <c r="AH1799" s="40"/>
      <c r="AI1799" s="40"/>
      <c r="AJ1799" s="40"/>
      <c r="AK1799" s="40"/>
      <c r="AL1799" s="40"/>
      <c r="AM1799" s="40"/>
      <c r="AN1799" s="40"/>
      <c r="AO1799" s="40"/>
      <c r="AP1799" s="40"/>
      <c r="AQ1799" s="40"/>
      <c r="AR1799" s="40"/>
      <c r="AS1799" s="40"/>
      <c r="AT1799" s="40"/>
      <c r="AU1799" s="40"/>
      <c r="AV1799" s="313"/>
      <c r="AW1799" s="317"/>
      <c r="AX1799" s="317"/>
      <c r="AY1799" s="313"/>
      <c r="AZ1799" s="40"/>
      <c r="BA1799" s="40"/>
      <c r="BB1799" s="40"/>
      <c r="BC1799" s="40"/>
      <c r="BD1799" s="40"/>
      <c r="BE1799" s="40"/>
      <c r="BF1799" s="40"/>
      <c r="BG1799" s="40"/>
      <c r="BH1799" s="40"/>
      <c r="BI1799" s="40"/>
      <c r="BJ1799" s="40"/>
      <c r="BK1799" s="40"/>
      <c r="BL1799" s="62">
        <v>1</v>
      </c>
      <c r="BM1799" s="275">
        <v>3</v>
      </c>
      <c r="BN1799" s="62">
        <v>0</v>
      </c>
    </row>
    <row r="1800" spans="1:67">
      <c r="A1800" s="33" t="str">
        <f>Database_Productkaarten[[#This Row],[Product]]&amp;", "&amp;Database_Productkaarten[[#This Row],[Levensfase]]</f>
        <v>Hydraulisch Menggranulaat 250mm, Totaal</v>
      </c>
      <c r="B1800" s="33" t="s">
        <v>705</v>
      </c>
      <c r="C1800" s="33" t="s">
        <v>48</v>
      </c>
      <c r="D1800" s="33" t="s">
        <v>704</v>
      </c>
      <c r="E1800" s="33" t="s">
        <v>385</v>
      </c>
      <c r="F1800" s="33" t="s">
        <v>90</v>
      </c>
      <c r="G1800" s="33">
        <v>1</v>
      </c>
      <c r="H1800" s="33">
        <v>1</v>
      </c>
      <c r="I1800" s="33">
        <v>0.25</v>
      </c>
      <c r="L1800" s="33">
        <v>1.95</v>
      </c>
      <c r="M1800" s="271">
        <v>0.42659999999999998</v>
      </c>
      <c r="N1800" s="41">
        <v>0.77471999999999996</v>
      </c>
      <c r="O1800" s="33">
        <v>100</v>
      </c>
      <c r="P1800" s="163">
        <v>9.4099999999999997E-6</v>
      </c>
      <c r="Q1800" s="163">
        <v>5.0999999999999997E-2</v>
      </c>
      <c r="R1800" s="163">
        <v>6.98</v>
      </c>
      <c r="S1800" s="163">
        <v>1.3200000000000001E-6</v>
      </c>
      <c r="T1800" s="163">
        <v>3.5999999999999999E-3</v>
      </c>
      <c r="U1800" s="163">
        <v>2.3800000000000002E-2</v>
      </c>
      <c r="V1800" s="163">
        <v>4.7600000000000003E-3</v>
      </c>
      <c r="W1800" s="163">
        <v>2.31</v>
      </c>
      <c r="X1800" s="163">
        <v>0.17100000000000001</v>
      </c>
      <c r="Y1800" s="163">
        <v>432</v>
      </c>
      <c r="Z1800" s="163">
        <v>0.104</v>
      </c>
      <c r="AA1800" s="163">
        <v>1.52</v>
      </c>
      <c r="AB1800" s="163">
        <v>115</v>
      </c>
      <c r="AC1800" s="163">
        <v>2.6800000000000001E-2</v>
      </c>
      <c r="AD1800" s="163">
        <v>7.94E-4</v>
      </c>
      <c r="AE1800" s="163">
        <v>11</v>
      </c>
      <c r="AF1800" s="163">
        <v>1.31E-5</v>
      </c>
      <c r="AG1800" s="40"/>
      <c r="AH1800" s="40"/>
      <c r="AI1800" s="40"/>
      <c r="AJ1800" s="40"/>
      <c r="AK1800" s="40"/>
      <c r="AL1800" s="40"/>
      <c r="AM1800" s="40"/>
      <c r="AN1800" s="40"/>
      <c r="AO1800" s="40"/>
      <c r="AP1800" s="40"/>
      <c r="AQ1800" s="40"/>
      <c r="AR1800" s="40"/>
      <c r="AS1800" s="40"/>
      <c r="AT1800" s="40"/>
      <c r="AU1800" s="40"/>
      <c r="AV1800" s="313"/>
      <c r="AW1800" s="317"/>
      <c r="AX1800" s="317"/>
      <c r="AY1800" s="313"/>
      <c r="AZ1800" s="40"/>
      <c r="BA1800" s="40"/>
      <c r="BB1800" s="40"/>
      <c r="BC1800" s="40"/>
      <c r="BD1800" s="40"/>
      <c r="BE1800" s="40"/>
      <c r="BF1800" s="40"/>
      <c r="BG1800" s="40"/>
      <c r="BH1800" s="40"/>
      <c r="BI1800" s="40"/>
      <c r="BJ1800" s="40"/>
      <c r="BK1800" s="40"/>
      <c r="BL1800" s="62">
        <v>1</v>
      </c>
      <c r="BM1800" s="275">
        <v>3</v>
      </c>
      <c r="BN1800" s="62">
        <v>0</v>
      </c>
      <c r="BO1800" s="33" t="s">
        <v>698</v>
      </c>
    </row>
    <row r="1801" spans="1:67">
      <c r="A1801" s="33" t="str">
        <f>Database_Productkaarten[[#This Row],[Product]]&amp;", "&amp;Database_Productkaarten[[#This Row],[Levensfase]]</f>
        <v>Hydraulisch Menggranulaat 250mm, A1</v>
      </c>
      <c r="B1801" s="33" t="s">
        <v>705</v>
      </c>
      <c r="C1801" s="33" t="s">
        <v>48</v>
      </c>
      <c r="D1801" s="33" t="s">
        <v>704</v>
      </c>
      <c r="E1801" s="33" t="s">
        <v>385</v>
      </c>
      <c r="F1801" s="33" t="s">
        <v>74</v>
      </c>
      <c r="G1801" s="33">
        <v>1</v>
      </c>
      <c r="H1801" s="33">
        <v>1</v>
      </c>
      <c r="I1801" s="33">
        <v>0.25</v>
      </c>
      <c r="L1801" s="33">
        <v>1.95</v>
      </c>
      <c r="M1801" s="271">
        <v>0.42659999999999998</v>
      </c>
      <c r="N1801" s="41"/>
      <c r="O1801" s="33">
        <v>100</v>
      </c>
      <c r="P1801" s="40"/>
      <c r="Q1801" s="40"/>
      <c r="R1801" s="40"/>
      <c r="S1801" s="40"/>
      <c r="T1801" s="40"/>
      <c r="U1801" s="40"/>
      <c r="V1801" s="40"/>
      <c r="W1801" s="40"/>
      <c r="X1801" s="40"/>
      <c r="Y1801" s="40"/>
      <c r="Z1801" s="40"/>
      <c r="AA1801" s="40"/>
      <c r="AB1801" s="40"/>
      <c r="AC1801" s="40"/>
      <c r="AD1801" s="40"/>
      <c r="AE1801" s="40"/>
      <c r="AF1801" s="40"/>
      <c r="AG1801" s="40"/>
      <c r="AH1801" s="40"/>
      <c r="AI1801" s="40"/>
      <c r="AJ1801" s="40"/>
      <c r="AK1801" s="40"/>
      <c r="AL1801" s="40"/>
      <c r="AM1801" s="40"/>
      <c r="AN1801" s="40"/>
      <c r="AO1801" s="40"/>
      <c r="AP1801" s="40"/>
      <c r="AQ1801" s="40"/>
      <c r="AR1801" s="40"/>
      <c r="AS1801" s="40"/>
      <c r="AT1801" s="40"/>
      <c r="AU1801" s="40"/>
      <c r="AV1801" s="313"/>
      <c r="AW1801" s="317"/>
      <c r="AX1801" s="317"/>
      <c r="AY1801" s="313"/>
      <c r="AZ1801" s="40"/>
      <c r="BA1801" s="40"/>
      <c r="BB1801" s="40"/>
      <c r="BC1801" s="40"/>
      <c r="BD1801" s="40"/>
      <c r="BE1801" s="40"/>
      <c r="BF1801" s="40"/>
      <c r="BG1801" s="40"/>
      <c r="BH1801" s="40"/>
      <c r="BI1801" s="40"/>
      <c r="BJ1801" s="40"/>
      <c r="BK1801" s="40"/>
      <c r="BL1801" s="62">
        <v>1</v>
      </c>
      <c r="BM1801" s="275">
        <v>3</v>
      </c>
      <c r="BN1801" s="62">
        <v>0</v>
      </c>
      <c r="BO1801" s="33" t="s">
        <v>698</v>
      </c>
    </row>
    <row r="1802" spans="1:67">
      <c r="A1802" s="33" t="str">
        <f>Database_Productkaarten[[#This Row],[Product]]&amp;", "&amp;Database_Productkaarten[[#This Row],[Levensfase]]</f>
        <v>Hydraulisch Menggranulaat 250mm, A2</v>
      </c>
      <c r="B1802" s="33" t="s">
        <v>705</v>
      </c>
      <c r="C1802" s="33" t="s">
        <v>48</v>
      </c>
      <c r="D1802" s="33" t="s">
        <v>704</v>
      </c>
      <c r="E1802" s="33" t="s">
        <v>385</v>
      </c>
      <c r="F1802" s="33" t="s">
        <v>75</v>
      </c>
      <c r="G1802" s="33">
        <v>1</v>
      </c>
      <c r="H1802" s="33">
        <v>1</v>
      </c>
      <c r="I1802" s="33">
        <v>0.25</v>
      </c>
      <c r="L1802" s="33">
        <v>1.95</v>
      </c>
      <c r="M1802" s="271">
        <v>0.42659999999999998</v>
      </c>
      <c r="N1802" s="41"/>
      <c r="O1802" s="33">
        <v>100</v>
      </c>
      <c r="P1802" s="40"/>
      <c r="Q1802" s="40"/>
      <c r="R1802" s="40"/>
      <c r="S1802" s="40"/>
      <c r="T1802" s="40"/>
      <c r="U1802" s="40"/>
      <c r="V1802" s="40"/>
      <c r="W1802" s="40"/>
      <c r="X1802" s="40"/>
      <c r="Y1802" s="40"/>
      <c r="Z1802" s="40"/>
      <c r="AA1802" s="40"/>
      <c r="AB1802" s="40"/>
      <c r="AC1802" s="40"/>
      <c r="AD1802" s="40"/>
      <c r="AE1802" s="40"/>
      <c r="AF1802" s="40"/>
      <c r="AG1802" s="40"/>
      <c r="AH1802" s="40"/>
      <c r="AI1802" s="40"/>
      <c r="AJ1802" s="40"/>
      <c r="AK1802" s="40"/>
      <c r="AL1802" s="40"/>
      <c r="AM1802" s="40"/>
      <c r="AN1802" s="40"/>
      <c r="AO1802" s="40"/>
      <c r="AP1802" s="40"/>
      <c r="AQ1802" s="40"/>
      <c r="AR1802" s="40"/>
      <c r="AS1802" s="40"/>
      <c r="AT1802" s="40"/>
      <c r="AU1802" s="40"/>
      <c r="AV1802" s="313"/>
      <c r="AW1802" s="317"/>
      <c r="AX1802" s="317"/>
      <c r="AY1802" s="313"/>
      <c r="AZ1802" s="40"/>
      <c r="BA1802" s="40"/>
      <c r="BB1802" s="40"/>
      <c r="BC1802" s="40"/>
      <c r="BD1802" s="40"/>
      <c r="BE1802" s="40"/>
      <c r="BF1802" s="40"/>
      <c r="BG1802" s="40"/>
      <c r="BH1802" s="40"/>
      <c r="BI1802" s="40"/>
      <c r="BJ1802" s="40"/>
      <c r="BK1802" s="40"/>
      <c r="BL1802" s="62">
        <v>1</v>
      </c>
      <c r="BM1802" s="275">
        <v>3</v>
      </c>
      <c r="BN1802" s="62">
        <v>0</v>
      </c>
      <c r="BO1802" s="33" t="s">
        <v>698</v>
      </c>
    </row>
    <row r="1803" spans="1:67">
      <c r="A1803" s="33" t="str">
        <f>Database_Productkaarten[[#This Row],[Product]]&amp;", "&amp;Database_Productkaarten[[#This Row],[Levensfase]]</f>
        <v>Hydraulisch Menggranulaat 250mm, A3</v>
      </c>
      <c r="B1803" s="33" t="s">
        <v>705</v>
      </c>
      <c r="C1803" s="33" t="s">
        <v>48</v>
      </c>
      <c r="D1803" s="33" t="s">
        <v>704</v>
      </c>
      <c r="E1803" s="33" t="s">
        <v>385</v>
      </c>
      <c r="F1803" s="33" t="s">
        <v>76</v>
      </c>
      <c r="G1803" s="33">
        <v>1</v>
      </c>
      <c r="H1803" s="33">
        <v>1</v>
      </c>
      <c r="I1803" s="33">
        <v>0.25</v>
      </c>
      <c r="L1803" s="33">
        <v>1.95</v>
      </c>
      <c r="M1803" s="271">
        <v>0.42659999999999998</v>
      </c>
      <c r="N1803" s="41"/>
      <c r="O1803" s="33">
        <v>100</v>
      </c>
      <c r="P1803" s="40"/>
      <c r="Q1803" s="40"/>
      <c r="R1803" s="40"/>
      <c r="S1803" s="40"/>
      <c r="T1803" s="40"/>
      <c r="U1803" s="40"/>
      <c r="V1803" s="40"/>
      <c r="W1803" s="40"/>
      <c r="X1803" s="40"/>
      <c r="Y1803" s="40"/>
      <c r="Z1803" s="40"/>
      <c r="AA1803" s="40"/>
      <c r="AB1803" s="40"/>
      <c r="AC1803" s="40"/>
      <c r="AD1803" s="40"/>
      <c r="AE1803" s="40"/>
      <c r="AF1803" s="40"/>
      <c r="AG1803" s="40"/>
      <c r="AH1803" s="40"/>
      <c r="AI1803" s="40"/>
      <c r="AJ1803" s="40"/>
      <c r="AK1803" s="40"/>
      <c r="AL1803" s="40"/>
      <c r="AM1803" s="40"/>
      <c r="AN1803" s="40"/>
      <c r="AO1803" s="40"/>
      <c r="AP1803" s="40"/>
      <c r="AQ1803" s="40"/>
      <c r="AR1803" s="40"/>
      <c r="AS1803" s="40"/>
      <c r="AT1803" s="40"/>
      <c r="AU1803" s="40"/>
      <c r="AV1803" s="313"/>
      <c r="AW1803" s="317"/>
      <c r="AX1803" s="317"/>
      <c r="AY1803" s="313"/>
      <c r="AZ1803" s="40"/>
      <c r="BA1803" s="40"/>
      <c r="BB1803" s="40"/>
      <c r="BC1803" s="40"/>
      <c r="BD1803" s="40"/>
      <c r="BE1803" s="40"/>
      <c r="BF1803" s="40"/>
      <c r="BG1803" s="40"/>
      <c r="BH1803" s="40"/>
      <c r="BI1803" s="40"/>
      <c r="BJ1803" s="40"/>
      <c r="BK1803" s="40"/>
      <c r="BL1803" s="62">
        <v>1</v>
      </c>
      <c r="BM1803" s="275">
        <v>3</v>
      </c>
      <c r="BN1803" s="62">
        <v>0</v>
      </c>
      <c r="BO1803" s="33" t="s">
        <v>698</v>
      </c>
    </row>
    <row r="1804" spans="1:67">
      <c r="A1804" s="33" t="str">
        <f>Database_Productkaarten[[#This Row],[Product]]&amp;", "&amp;Database_Productkaarten[[#This Row],[Levensfase]]</f>
        <v>Hydraulisch Menggranulaat 250mm, A1-A3</v>
      </c>
      <c r="B1804" s="33" t="s">
        <v>705</v>
      </c>
      <c r="C1804" s="451" t="str">
        <f>C1803</f>
        <v>Funderingslagen</v>
      </c>
      <c r="D1804" s="451" t="str">
        <f>D1803</f>
        <v>Hydraulisch Menggranulaat</v>
      </c>
      <c r="E1804" s="33" t="s">
        <v>385</v>
      </c>
      <c r="F1804" s="451" t="s">
        <v>77</v>
      </c>
      <c r="G1804" s="33">
        <v>1</v>
      </c>
      <c r="H1804" s="33">
        <v>1</v>
      </c>
      <c r="I1804" s="33">
        <v>0.25</v>
      </c>
      <c r="L1804" s="33">
        <v>1.95</v>
      </c>
      <c r="M1804" s="271">
        <v>0.42659999999999998</v>
      </c>
      <c r="N1804" s="41">
        <v>1.031E-2</v>
      </c>
      <c r="O1804" s="33">
        <v>100</v>
      </c>
      <c r="P1804" s="163">
        <v>6.2900000000000001E-8</v>
      </c>
      <c r="Q1804" s="163">
        <v>7.0699999999999995E-4</v>
      </c>
      <c r="R1804" s="163">
        <v>9.8500000000000004E-2</v>
      </c>
      <c r="S1804" s="163">
        <v>1.14E-8</v>
      </c>
      <c r="T1804" s="163">
        <v>5.6400000000000002E-5</v>
      </c>
      <c r="U1804" s="163">
        <v>4.9100000000000001E-4</v>
      </c>
      <c r="V1804" s="163">
        <v>1.11E-4</v>
      </c>
      <c r="W1804" s="163">
        <v>2.2599999999999999E-2</v>
      </c>
      <c r="X1804" s="163">
        <v>3.8699999999999997E-4</v>
      </c>
      <c r="Y1804" s="163">
        <v>1.43</v>
      </c>
      <c r="Z1804" s="163">
        <v>2.8600000000000001E-4</v>
      </c>
      <c r="AA1804" s="40"/>
      <c r="AB1804" s="40"/>
      <c r="AC1804" s="40"/>
      <c r="AD1804" s="40"/>
      <c r="AE1804" s="40"/>
      <c r="AF1804" s="40"/>
      <c r="AG1804" s="40"/>
      <c r="AH1804" s="40"/>
      <c r="AI1804" s="40"/>
      <c r="AJ1804" s="40"/>
      <c r="AK1804" s="40"/>
      <c r="AL1804" s="40"/>
      <c r="AM1804" s="40"/>
      <c r="AN1804" s="40"/>
      <c r="AO1804" s="40"/>
      <c r="AP1804" s="40"/>
      <c r="AQ1804" s="40"/>
      <c r="AR1804" s="40"/>
      <c r="AS1804" s="40"/>
      <c r="AT1804" s="40"/>
      <c r="AU1804" s="40"/>
      <c r="AV1804" s="315">
        <v>7.9399999999999998E-2</v>
      </c>
      <c r="AW1804" s="317"/>
      <c r="AX1804" s="317"/>
      <c r="AY1804" s="313">
        <v>1.48</v>
      </c>
      <c r="AZ1804" s="40"/>
      <c r="BA1804" s="40"/>
      <c r="BB1804" s="40"/>
      <c r="BC1804" s="40">
        <v>6.5099999999999999E-4</v>
      </c>
      <c r="BD1804" s="40">
        <v>2.26E-6</v>
      </c>
      <c r="BE1804" s="163">
        <v>0.185</v>
      </c>
      <c r="BF1804" s="163">
        <v>6.6800000000000004E-6</v>
      </c>
      <c r="BG1804" s="40"/>
      <c r="BH1804" s="40"/>
      <c r="BI1804" s="40"/>
      <c r="BJ1804" s="40"/>
      <c r="BK1804" s="40"/>
      <c r="BL1804" s="62">
        <v>1</v>
      </c>
      <c r="BM1804" s="275">
        <v>3</v>
      </c>
      <c r="BN1804" s="62">
        <v>0</v>
      </c>
      <c r="BO1804" s="33" t="s">
        <v>698</v>
      </c>
    </row>
    <row r="1805" spans="1:67">
      <c r="A1805" s="33" t="str">
        <f>Database_Productkaarten[[#This Row],[Product]]&amp;", "&amp;Database_Productkaarten[[#This Row],[Levensfase]]</f>
        <v>Hydraulisch Menggranulaat 250mm, A4</v>
      </c>
      <c r="B1805" s="33" t="s">
        <v>705</v>
      </c>
      <c r="C1805" s="33" t="s">
        <v>48</v>
      </c>
      <c r="D1805" s="33" t="s">
        <v>704</v>
      </c>
      <c r="E1805" s="33" t="s">
        <v>385</v>
      </c>
      <c r="F1805" s="33" t="s">
        <v>78</v>
      </c>
      <c r="G1805" s="33">
        <v>1</v>
      </c>
      <c r="H1805" s="33">
        <v>1</v>
      </c>
      <c r="I1805" s="33">
        <v>0.25</v>
      </c>
      <c r="L1805" s="33">
        <v>1.95</v>
      </c>
      <c r="M1805" s="271">
        <v>0.42659999999999998</v>
      </c>
      <c r="N1805" s="41">
        <v>0.23329</v>
      </c>
      <c r="O1805" s="33">
        <v>100</v>
      </c>
      <c r="P1805" s="163">
        <v>3.9500000000000003E-6</v>
      </c>
      <c r="Q1805" s="163">
        <v>1.5599999999999999E-2</v>
      </c>
      <c r="R1805" s="163">
        <v>2.06</v>
      </c>
      <c r="S1805" s="163">
        <v>4.0900000000000002E-7</v>
      </c>
      <c r="T1805" s="163">
        <v>1.2999999999999999E-3</v>
      </c>
      <c r="U1805" s="163">
        <v>7.5100000000000002E-3</v>
      </c>
      <c r="V1805" s="163">
        <v>1.5299999999999999E-3</v>
      </c>
      <c r="W1805" s="163">
        <v>0.72499999999999998</v>
      </c>
      <c r="X1805" s="163">
        <v>4.6800000000000001E-2</v>
      </c>
      <c r="Y1805" s="163">
        <v>122</v>
      </c>
      <c r="Z1805" s="163">
        <v>4.3E-3</v>
      </c>
      <c r="AA1805" s="40"/>
      <c r="AB1805" s="40"/>
      <c r="AC1805" s="40"/>
      <c r="AD1805" s="40"/>
      <c r="AE1805" s="40"/>
      <c r="AF1805" s="40"/>
      <c r="AG1805" s="40"/>
      <c r="AH1805" s="40"/>
      <c r="AI1805" s="40"/>
      <c r="AJ1805" s="40"/>
      <c r="AK1805" s="40"/>
      <c r="AL1805" s="40"/>
      <c r="AM1805" s="40"/>
      <c r="AN1805" s="40"/>
      <c r="AO1805" s="40"/>
      <c r="AP1805" s="40"/>
      <c r="AQ1805" s="40"/>
      <c r="AR1805" s="40"/>
      <c r="AS1805" s="40"/>
      <c r="AT1805" s="40"/>
      <c r="AU1805" s="40"/>
      <c r="AV1805" s="315">
        <v>0.55700000000000005</v>
      </c>
      <c r="AW1805" s="317"/>
      <c r="AX1805" s="317"/>
      <c r="AY1805" s="313">
        <v>35.6</v>
      </c>
      <c r="AZ1805" s="40"/>
      <c r="BA1805" s="40"/>
      <c r="BB1805" s="40"/>
      <c r="BC1805" s="40">
        <v>7.2300000000000003E-3</v>
      </c>
      <c r="BD1805" s="40">
        <v>2.52E-4</v>
      </c>
      <c r="BE1805" s="163">
        <v>2.94</v>
      </c>
      <c r="BF1805" s="163">
        <v>0</v>
      </c>
      <c r="BG1805" s="40"/>
      <c r="BH1805" s="40"/>
      <c r="BI1805" s="40"/>
      <c r="BJ1805" s="40"/>
      <c r="BK1805" s="40"/>
      <c r="BL1805" s="62">
        <v>1</v>
      </c>
      <c r="BM1805" s="275">
        <v>3</v>
      </c>
      <c r="BN1805" s="62">
        <v>0</v>
      </c>
      <c r="BO1805" s="33" t="s">
        <v>698</v>
      </c>
    </row>
    <row r="1806" spans="1:67">
      <c r="A1806" s="33" t="str">
        <f>Database_Productkaarten[[#This Row],[Product]]&amp;", "&amp;Database_Productkaarten[[#This Row],[Levensfase]]</f>
        <v>Hydraulisch Menggranulaat 250mm, A5</v>
      </c>
      <c r="B1806" s="33" t="s">
        <v>705</v>
      </c>
      <c r="C1806" s="33" t="s">
        <v>48</v>
      </c>
      <c r="D1806" s="33" t="s">
        <v>704</v>
      </c>
      <c r="E1806" s="33" t="s">
        <v>385</v>
      </c>
      <c r="F1806" s="33" t="s">
        <v>79</v>
      </c>
      <c r="G1806" s="33">
        <v>1</v>
      </c>
      <c r="H1806" s="33">
        <v>1</v>
      </c>
      <c r="I1806" s="33">
        <v>0.25</v>
      </c>
      <c r="L1806" s="33">
        <v>1.95</v>
      </c>
      <c r="M1806" s="271">
        <v>0.42659999999999998</v>
      </c>
      <c r="N1806" s="41">
        <v>0.18803</v>
      </c>
      <c r="O1806" s="33">
        <v>100</v>
      </c>
      <c r="P1806" s="163">
        <v>9.5000000000000001E-7</v>
      </c>
      <c r="Q1806" s="163">
        <v>1.3899999999999999E-2</v>
      </c>
      <c r="R1806" s="163">
        <v>2.0299999999999998</v>
      </c>
      <c r="S1806" s="163">
        <v>3.53E-7</v>
      </c>
      <c r="T1806" s="163">
        <v>6.6799999999999997E-4</v>
      </c>
      <c r="U1806" s="163">
        <v>5.9500000000000004E-3</v>
      </c>
      <c r="V1806" s="163">
        <v>1.14E-3</v>
      </c>
      <c r="W1806" s="163">
        <v>0.502</v>
      </c>
      <c r="X1806" s="163">
        <v>9.9500000000000005E-3</v>
      </c>
      <c r="Y1806" s="163">
        <v>33.299999999999997</v>
      </c>
      <c r="Z1806" s="163">
        <v>1.7899999999999999E-3</v>
      </c>
      <c r="AA1806" s="40"/>
      <c r="AB1806" s="40"/>
      <c r="AC1806" s="40"/>
      <c r="AD1806" s="40"/>
      <c r="AE1806" s="40"/>
      <c r="AF1806" s="40"/>
      <c r="AG1806" s="40"/>
      <c r="AH1806" s="40"/>
      <c r="AI1806" s="40"/>
      <c r="AJ1806" s="40"/>
      <c r="AK1806" s="40"/>
      <c r="AL1806" s="40"/>
      <c r="AM1806" s="40"/>
      <c r="AN1806" s="40"/>
      <c r="AO1806" s="40"/>
      <c r="AP1806" s="40"/>
      <c r="AQ1806" s="40"/>
      <c r="AR1806" s="40"/>
      <c r="AS1806" s="40"/>
      <c r="AT1806" s="40"/>
      <c r="AU1806" s="40"/>
      <c r="AV1806" s="315">
        <v>0.22600000000000001</v>
      </c>
      <c r="AW1806" s="317"/>
      <c r="AX1806" s="317"/>
      <c r="AY1806" s="313">
        <v>30.9</v>
      </c>
      <c r="AZ1806" s="40"/>
      <c r="BA1806" s="40"/>
      <c r="BB1806" s="40"/>
      <c r="BC1806" s="40">
        <v>2.9199999999999999E-3</v>
      </c>
      <c r="BD1806" s="40">
        <v>2.14E-4</v>
      </c>
      <c r="BE1806" s="163">
        <v>5.1900000000000002E-2</v>
      </c>
      <c r="BF1806" s="163">
        <v>0</v>
      </c>
      <c r="BG1806" s="40"/>
      <c r="BH1806" s="40"/>
      <c r="BI1806" s="40"/>
      <c r="BJ1806" s="40"/>
      <c r="BK1806" s="40"/>
      <c r="BL1806" s="62">
        <v>1</v>
      </c>
      <c r="BM1806" s="275">
        <v>3</v>
      </c>
      <c r="BN1806" s="62">
        <v>0</v>
      </c>
      <c r="BO1806" s="33" t="s">
        <v>698</v>
      </c>
    </row>
    <row r="1807" spans="1:67">
      <c r="A1807" s="33" t="str">
        <f>Database_Productkaarten[[#This Row],[Product]]&amp;", "&amp;Database_Productkaarten[[#This Row],[Levensfase]]</f>
        <v>Hydraulisch Menggranulaat 250mm, B1</v>
      </c>
      <c r="B1807" s="33" t="s">
        <v>705</v>
      </c>
      <c r="C1807" s="33" t="s">
        <v>48</v>
      </c>
      <c r="D1807" s="33" t="s">
        <v>704</v>
      </c>
      <c r="E1807" s="33" t="s">
        <v>385</v>
      </c>
      <c r="F1807" s="33" t="s">
        <v>80</v>
      </c>
      <c r="G1807" s="33">
        <v>1</v>
      </c>
      <c r="H1807" s="33">
        <v>1</v>
      </c>
      <c r="I1807" s="33">
        <v>0.25</v>
      </c>
      <c r="L1807" s="33">
        <v>1.95</v>
      </c>
      <c r="M1807" s="271">
        <v>0.42659999999999998</v>
      </c>
      <c r="N1807" s="41">
        <v>3.437E-3</v>
      </c>
      <c r="O1807" s="33">
        <v>100</v>
      </c>
      <c r="P1807" s="163">
        <v>0</v>
      </c>
      <c r="Q1807" s="163">
        <v>0</v>
      </c>
      <c r="R1807" s="163">
        <v>0</v>
      </c>
      <c r="S1807" s="163">
        <v>0</v>
      </c>
      <c r="T1807" s="163">
        <v>0</v>
      </c>
      <c r="U1807" s="163">
        <v>0</v>
      </c>
      <c r="V1807" s="163">
        <v>0</v>
      </c>
      <c r="W1807" s="163">
        <v>0.14499999999999999</v>
      </c>
      <c r="X1807" s="163">
        <v>6.3200000000000006E-2</v>
      </c>
      <c r="Y1807" s="163">
        <v>139</v>
      </c>
      <c r="Z1807" s="163">
        <v>9.2999999999999999E-2</v>
      </c>
      <c r="AA1807" s="40"/>
      <c r="AB1807" s="40"/>
      <c r="AC1807" s="40"/>
      <c r="AD1807" s="40"/>
      <c r="AE1807" s="40"/>
      <c r="AF1807" s="40"/>
      <c r="AG1807" s="40"/>
      <c r="AH1807" s="40"/>
      <c r="AI1807" s="40"/>
      <c r="AJ1807" s="40"/>
      <c r="AK1807" s="40"/>
      <c r="AL1807" s="40"/>
      <c r="AM1807" s="40"/>
      <c r="AN1807" s="40"/>
      <c r="AO1807" s="40"/>
      <c r="AP1807" s="40"/>
      <c r="AQ1807" s="40"/>
      <c r="AR1807" s="40"/>
      <c r="AS1807" s="40"/>
      <c r="AT1807" s="40"/>
      <c r="AU1807" s="40"/>
      <c r="AV1807" s="315">
        <v>0</v>
      </c>
      <c r="AW1807" s="317"/>
      <c r="AX1807" s="317"/>
      <c r="AY1807" s="313">
        <v>0</v>
      </c>
      <c r="AZ1807" s="40"/>
      <c r="BA1807" s="40"/>
      <c r="BB1807" s="40"/>
      <c r="BC1807" s="40">
        <v>0</v>
      </c>
      <c r="BD1807" s="40">
        <v>0</v>
      </c>
      <c r="BE1807" s="163">
        <v>0</v>
      </c>
      <c r="BF1807" s="163">
        <v>0</v>
      </c>
      <c r="BG1807" s="40"/>
      <c r="BH1807" s="40"/>
      <c r="BI1807" s="40"/>
      <c r="BJ1807" s="40"/>
      <c r="BK1807" s="40"/>
      <c r="BL1807" s="62">
        <v>1</v>
      </c>
      <c r="BM1807" s="275">
        <v>3</v>
      </c>
      <c r="BN1807" s="62">
        <v>0</v>
      </c>
      <c r="BO1807" s="33" t="s">
        <v>698</v>
      </c>
    </row>
    <row r="1808" spans="1:67">
      <c r="A1808" s="33" t="str">
        <f>Database_Productkaarten[[#This Row],[Product]]&amp;", "&amp;Database_Productkaarten[[#This Row],[Levensfase]]</f>
        <v>Hydraulisch Menggranulaat 250mm, C1</v>
      </c>
      <c r="B1808" s="33" t="s">
        <v>705</v>
      </c>
      <c r="C1808" s="33" t="s">
        <v>48</v>
      </c>
      <c r="D1808" s="33" t="s">
        <v>704</v>
      </c>
      <c r="E1808" s="33" t="s">
        <v>385</v>
      </c>
      <c r="F1808" s="33" t="s">
        <v>83</v>
      </c>
      <c r="G1808" s="33">
        <v>1</v>
      </c>
      <c r="H1808" s="33">
        <v>1</v>
      </c>
      <c r="I1808" s="33">
        <v>0.25</v>
      </c>
      <c r="L1808" s="33">
        <v>1.95</v>
      </c>
      <c r="M1808" s="271">
        <v>0.42659999999999998</v>
      </c>
      <c r="N1808" s="41">
        <v>6.2149999999999997E-2</v>
      </c>
      <c r="O1808" s="33">
        <v>100</v>
      </c>
      <c r="P1808" s="163">
        <v>3.1399999999999998E-7</v>
      </c>
      <c r="Q1808" s="163">
        <v>4.5799999999999999E-3</v>
      </c>
      <c r="R1808" s="163">
        <v>0.67100000000000004</v>
      </c>
      <c r="S1808" s="163">
        <v>1.17E-7</v>
      </c>
      <c r="T1808" s="163">
        <v>2.2100000000000001E-4</v>
      </c>
      <c r="U1808" s="163">
        <v>1.97E-3</v>
      </c>
      <c r="V1808" s="163">
        <v>3.7599999999999998E-4</v>
      </c>
      <c r="W1808" s="163">
        <v>0.16600000000000001</v>
      </c>
      <c r="X1808" s="163">
        <v>3.29E-3</v>
      </c>
      <c r="Y1808" s="163">
        <v>11</v>
      </c>
      <c r="Z1808" s="163">
        <v>5.9100000000000005E-4</v>
      </c>
      <c r="AA1808" s="40"/>
      <c r="AB1808" s="40"/>
      <c r="AC1808" s="40"/>
      <c r="AD1808" s="40"/>
      <c r="AE1808" s="40"/>
      <c r="AF1808" s="40"/>
      <c r="AG1808" s="40"/>
      <c r="AH1808" s="40"/>
      <c r="AI1808" s="40"/>
      <c r="AJ1808" s="40"/>
      <c r="AK1808" s="40"/>
      <c r="AL1808" s="40"/>
      <c r="AM1808" s="40"/>
      <c r="AN1808" s="40"/>
      <c r="AO1808" s="40"/>
      <c r="AP1808" s="40"/>
      <c r="AQ1808" s="40"/>
      <c r="AR1808" s="40"/>
      <c r="AS1808" s="40"/>
      <c r="AT1808" s="40"/>
      <c r="AU1808" s="40"/>
      <c r="AV1808" s="315">
        <v>7.46E-2</v>
      </c>
      <c r="AW1808" s="317"/>
      <c r="AX1808" s="317"/>
      <c r="AY1808" s="313">
        <v>10.199999999999999</v>
      </c>
      <c r="AZ1808" s="40"/>
      <c r="BA1808" s="40"/>
      <c r="BB1808" s="40"/>
      <c r="BC1808" s="40">
        <v>9.6599999999999995E-4</v>
      </c>
      <c r="BD1808" s="40">
        <v>7.0599999999999995E-5</v>
      </c>
      <c r="BE1808" s="163">
        <v>1.72E-2</v>
      </c>
      <c r="BF1808" s="163">
        <v>0</v>
      </c>
      <c r="BG1808" s="40"/>
      <c r="BH1808" s="40"/>
      <c r="BI1808" s="40"/>
      <c r="BJ1808" s="40"/>
      <c r="BK1808" s="40"/>
      <c r="BL1808" s="62">
        <v>1</v>
      </c>
      <c r="BM1808" s="275">
        <v>3</v>
      </c>
      <c r="BN1808" s="62">
        <v>0</v>
      </c>
      <c r="BO1808" s="33" t="s">
        <v>698</v>
      </c>
    </row>
    <row r="1809" spans="1:67">
      <c r="A1809" s="33" t="str">
        <f>Database_Productkaarten[[#This Row],[Product]]&amp;", "&amp;Database_Productkaarten[[#This Row],[Levensfase]]</f>
        <v>Hydraulisch Menggranulaat 250mm, C2</v>
      </c>
      <c r="B1809" s="33" t="s">
        <v>705</v>
      </c>
      <c r="C1809" s="33" t="s">
        <v>48</v>
      </c>
      <c r="D1809" s="33" t="s">
        <v>704</v>
      </c>
      <c r="E1809" s="33" t="s">
        <v>385</v>
      </c>
      <c r="F1809" s="33" t="s">
        <v>84</v>
      </c>
      <c r="G1809" s="33">
        <v>1</v>
      </c>
      <c r="H1809" s="33">
        <v>1</v>
      </c>
      <c r="I1809" s="33">
        <v>0.25</v>
      </c>
      <c r="L1809" s="33">
        <v>1.95</v>
      </c>
      <c r="M1809" s="271">
        <v>0.42659999999999998</v>
      </c>
      <c r="N1809" s="41">
        <v>0.23562</v>
      </c>
      <c r="O1809" s="33">
        <v>100</v>
      </c>
      <c r="P1809" s="163">
        <v>3.9899999999999999E-6</v>
      </c>
      <c r="Q1809" s="163">
        <v>1.5699999999999999E-2</v>
      </c>
      <c r="R1809" s="163">
        <v>2.08</v>
      </c>
      <c r="S1809" s="163">
        <v>4.1399999999999997E-7</v>
      </c>
      <c r="T1809" s="163">
        <v>1.31E-3</v>
      </c>
      <c r="U1809" s="163">
        <v>7.5900000000000004E-3</v>
      </c>
      <c r="V1809" s="163">
        <v>1.5499999999999999E-3</v>
      </c>
      <c r="W1809" s="163">
        <v>0.73299999999999998</v>
      </c>
      <c r="X1809" s="163">
        <v>4.7199999999999999E-2</v>
      </c>
      <c r="Y1809" s="163">
        <v>124</v>
      </c>
      <c r="Z1809" s="163">
        <v>4.3400000000000001E-3</v>
      </c>
      <c r="AA1809" s="40"/>
      <c r="AB1809" s="40"/>
      <c r="AC1809" s="40"/>
      <c r="AD1809" s="40"/>
      <c r="AE1809" s="40"/>
      <c r="AF1809" s="40"/>
      <c r="AG1809" s="40"/>
      <c r="AH1809" s="40"/>
      <c r="AI1809" s="40"/>
      <c r="AJ1809" s="40"/>
      <c r="AK1809" s="40"/>
      <c r="AL1809" s="40"/>
      <c r="AM1809" s="40"/>
      <c r="AN1809" s="40"/>
      <c r="AO1809" s="40"/>
      <c r="AP1809" s="40"/>
      <c r="AQ1809" s="40"/>
      <c r="AR1809" s="40"/>
      <c r="AS1809" s="40"/>
      <c r="AT1809" s="40"/>
      <c r="AU1809" s="40"/>
      <c r="AV1809" s="315">
        <v>0.56200000000000006</v>
      </c>
      <c r="AW1809" s="317"/>
      <c r="AX1809" s="317"/>
      <c r="AY1809" s="313">
        <v>36</v>
      </c>
      <c r="AZ1809" s="40"/>
      <c r="BA1809" s="40"/>
      <c r="BB1809" s="40"/>
      <c r="BC1809" s="40">
        <v>7.3000000000000001E-3</v>
      </c>
      <c r="BD1809" s="40">
        <v>2.5500000000000002E-4</v>
      </c>
      <c r="BE1809" s="163">
        <v>2.97</v>
      </c>
      <c r="BF1809" s="163">
        <v>0</v>
      </c>
      <c r="BG1809" s="40"/>
      <c r="BH1809" s="40"/>
      <c r="BI1809" s="40"/>
      <c r="BJ1809" s="40"/>
      <c r="BK1809" s="40"/>
      <c r="BL1809" s="62">
        <v>1</v>
      </c>
      <c r="BM1809" s="275">
        <v>3</v>
      </c>
      <c r="BN1809" s="62">
        <v>0</v>
      </c>
      <c r="BO1809" s="33" t="s">
        <v>698</v>
      </c>
    </row>
    <row r="1810" spans="1:67">
      <c r="A1810" s="33" t="str">
        <f>Database_Productkaarten[[#This Row],[Product]]&amp;", "&amp;Database_Productkaarten[[#This Row],[Levensfase]]</f>
        <v>Hydraulisch Menggranulaat 250mm, C3</v>
      </c>
      <c r="B1810" s="33" t="s">
        <v>705</v>
      </c>
      <c r="C1810" s="33" t="s">
        <v>48</v>
      </c>
      <c r="D1810" s="33" t="s">
        <v>704</v>
      </c>
      <c r="E1810" s="33" t="s">
        <v>385</v>
      </c>
      <c r="F1810" s="33" t="s">
        <v>85</v>
      </c>
      <c r="G1810" s="33">
        <v>1</v>
      </c>
      <c r="H1810" s="33">
        <v>1</v>
      </c>
      <c r="I1810" s="33">
        <v>0.25</v>
      </c>
      <c r="L1810" s="33">
        <v>1.95</v>
      </c>
      <c r="M1810" s="271">
        <v>0.42659999999999998</v>
      </c>
      <c r="N1810" s="41">
        <v>0</v>
      </c>
      <c r="O1810" s="33">
        <v>100</v>
      </c>
      <c r="P1810" s="163">
        <v>0</v>
      </c>
      <c r="Q1810" s="163">
        <v>0</v>
      </c>
      <c r="R1810" s="163">
        <v>0</v>
      </c>
      <c r="S1810" s="163">
        <v>0</v>
      </c>
      <c r="T1810" s="163">
        <v>0</v>
      </c>
      <c r="U1810" s="163">
        <v>0</v>
      </c>
      <c r="V1810" s="163">
        <v>0</v>
      </c>
      <c r="W1810" s="163">
        <v>0</v>
      </c>
      <c r="X1810" s="163">
        <v>0</v>
      </c>
      <c r="Y1810" s="163">
        <v>0</v>
      </c>
      <c r="Z1810" s="163">
        <v>0</v>
      </c>
      <c r="AA1810" s="40"/>
      <c r="AB1810" s="40"/>
      <c r="AC1810" s="40"/>
      <c r="AD1810" s="40"/>
      <c r="AE1810" s="40"/>
      <c r="AF1810" s="40"/>
      <c r="AG1810" s="40"/>
      <c r="AH1810" s="40"/>
      <c r="AI1810" s="40"/>
      <c r="AJ1810" s="40"/>
      <c r="AK1810" s="40"/>
      <c r="AL1810" s="40"/>
      <c r="AM1810" s="40"/>
      <c r="AN1810" s="40"/>
      <c r="AO1810" s="40"/>
      <c r="AP1810" s="40"/>
      <c r="AQ1810" s="40"/>
      <c r="AR1810" s="40"/>
      <c r="AS1810" s="40"/>
      <c r="AT1810" s="40"/>
      <c r="AU1810" s="40"/>
      <c r="AV1810" s="315">
        <v>0</v>
      </c>
      <c r="AW1810" s="317"/>
      <c r="AX1810" s="317"/>
      <c r="AY1810" s="313">
        <v>0</v>
      </c>
      <c r="AZ1810" s="40"/>
      <c r="BA1810" s="40"/>
      <c r="BB1810" s="40"/>
      <c r="BC1810" s="40">
        <v>0</v>
      </c>
      <c r="BD1810" s="40">
        <v>0</v>
      </c>
      <c r="BE1810" s="163">
        <v>0</v>
      </c>
      <c r="BF1810" s="163">
        <v>0</v>
      </c>
      <c r="BG1810" s="40"/>
      <c r="BH1810" s="40"/>
      <c r="BI1810" s="40"/>
      <c r="BJ1810" s="40"/>
      <c r="BK1810" s="40"/>
      <c r="BL1810" s="62">
        <v>1</v>
      </c>
      <c r="BM1810" s="275">
        <v>3</v>
      </c>
      <c r="BN1810" s="62">
        <v>0</v>
      </c>
      <c r="BO1810" s="33" t="s">
        <v>698</v>
      </c>
    </row>
    <row r="1811" spans="1:67">
      <c r="A1811" s="33" t="str">
        <f>Database_Productkaarten[[#This Row],[Product]]&amp;", "&amp;Database_Productkaarten[[#This Row],[Levensfase]]</f>
        <v>Hydraulisch Menggranulaat 250mm, C4</v>
      </c>
      <c r="B1811" s="33" t="s">
        <v>705</v>
      </c>
      <c r="C1811" s="33" t="s">
        <v>48</v>
      </c>
      <c r="D1811" s="33" t="s">
        <v>704</v>
      </c>
      <c r="E1811" s="33" t="s">
        <v>385</v>
      </c>
      <c r="F1811" s="33" t="s">
        <v>86</v>
      </c>
      <c r="G1811" s="33">
        <v>1</v>
      </c>
      <c r="H1811" s="33">
        <v>1</v>
      </c>
      <c r="I1811" s="33">
        <v>0.25</v>
      </c>
      <c r="L1811" s="33">
        <v>1.95</v>
      </c>
      <c r="M1811" s="271">
        <v>0.42659999999999998</v>
      </c>
      <c r="N1811" s="41">
        <v>3.62E-3</v>
      </c>
      <c r="O1811" s="33">
        <v>100</v>
      </c>
      <c r="P1811" s="163">
        <v>2.9000000000000002E-8</v>
      </c>
      <c r="Q1811" s="163">
        <v>3.7599999999999998E-4</v>
      </c>
      <c r="R1811" s="163">
        <v>2.5700000000000001E-2</v>
      </c>
      <c r="S1811" s="163">
        <v>9.2799999999999994E-9</v>
      </c>
      <c r="T1811" s="163">
        <v>2.8E-5</v>
      </c>
      <c r="U1811" s="163">
        <v>1.94E-4</v>
      </c>
      <c r="V1811" s="163">
        <v>3.6699999999999998E-5</v>
      </c>
      <c r="W1811" s="163">
        <v>1.12E-2</v>
      </c>
      <c r="X1811" s="163">
        <v>2.7099999999999997E-4</v>
      </c>
      <c r="Y1811" s="163">
        <v>0.95</v>
      </c>
      <c r="Z1811" s="163">
        <v>2.8E-5</v>
      </c>
      <c r="AA1811" s="40"/>
      <c r="AB1811" s="40"/>
      <c r="AC1811" s="40"/>
      <c r="AD1811" s="40"/>
      <c r="AE1811" s="40"/>
      <c r="AF1811" s="40"/>
      <c r="AG1811" s="40"/>
      <c r="AH1811" s="40"/>
      <c r="AI1811" s="40"/>
      <c r="AJ1811" s="40"/>
      <c r="AK1811" s="40"/>
      <c r="AL1811" s="40"/>
      <c r="AM1811" s="40"/>
      <c r="AN1811" s="40"/>
      <c r="AO1811" s="40"/>
      <c r="AP1811" s="40"/>
      <c r="AQ1811" s="40"/>
      <c r="AR1811" s="40"/>
      <c r="AS1811" s="40"/>
      <c r="AT1811" s="40"/>
      <c r="AU1811" s="40"/>
      <c r="AV1811" s="315">
        <v>6.4700000000000001E-3</v>
      </c>
      <c r="AW1811" s="317"/>
      <c r="AX1811" s="317"/>
      <c r="AY1811" s="313">
        <v>0.84099999999999997</v>
      </c>
      <c r="AZ1811" s="40"/>
      <c r="BA1811" s="40"/>
      <c r="BB1811" s="40"/>
      <c r="BC1811" s="40">
        <v>8.2600000000000002E-4</v>
      </c>
      <c r="BD1811" s="40">
        <v>5.2900000000000004E-7</v>
      </c>
      <c r="BE1811" s="163">
        <v>4.87</v>
      </c>
      <c r="BF1811" s="163">
        <v>5.2299999999999999E-6</v>
      </c>
      <c r="BG1811" s="40"/>
      <c r="BH1811" s="40"/>
      <c r="BI1811" s="40"/>
      <c r="BJ1811" s="40"/>
      <c r="BK1811" s="40"/>
      <c r="BL1811" s="62">
        <v>1</v>
      </c>
      <c r="BM1811" s="275">
        <v>3</v>
      </c>
      <c r="BN1811" s="62">
        <v>0</v>
      </c>
      <c r="BO1811" s="33" t="s">
        <v>698</v>
      </c>
    </row>
    <row r="1812" spans="1:67">
      <c r="A1812" s="33" t="str">
        <f>Database_Productkaarten[[#This Row],[Product]]&amp;", "&amp;Database_Productkaarten[[#This Row],[Levensfase]]</f>
        <v>Hydraulisch Menggranulaat 250mm, D</v>
      </c>
      <c r="B1812" s="33" t="s">
        <v>705</v>
      </c>
      <c r="C1812" s="33" t="str">
        <f>C1813</f>
        <v>Funderingslagen</v>
      </c>
      <c r="D1812" s="33" t="str">
        <f>D1813</f>
        <v>Hydraulisch Menggranulaat</v>
      </c>
      <c r="E1812" s="33" t="s">
        <v>385</v>
      </c>
      <c r="F1812" s="33" t="s">
        <v>89</v>
      </c>
      <c r="G1812" s="33">
        <v>1</v>
      </c>
      <c r="H1812" s="33">
        <v>1</v>
      </c>
      <c r="I1812" s="33">
        <v>0.25</v>
      </c>
      <c r="L1812" s="33">
        <v>1.95</v>
      </c>
      <c r="M1812" s="271">
        <v>0.42659999999999998</v>
      </c>
      <c r="N1812" s="41">
        <v>7.3299999999999997E-3</v>
      </c>
      <c r="O1812" s="33">
        <v>100</v>
      </c>
      <c r="P1812" s="163">
        <v>1.1300000000000001E-7</v>
      </c>
      <c r="Q1812" s="163">
        <v>1.3999999999999999E-4</v>
      </c>
      <c r="R1812" s="163">
        <v>2.0500000000000001E-2</v>
      </c>
      <c r="S1812" s="163">
        <v>1.8300000000000001E-9</v>
      </c>
      <c r="T1812" s="163">
        <v>1.4800000000000001E-5</v>
      </c>
      <c r="U1812" s="163">
        <v>1.17E-4</v>
      </c>
      <c r="V1812" s="163">
        <v>2.0400000000000001E-5</v>
      </c>
      <c r="W1812" s="163">
        <v>9.1400000000000006E-3</v>
      </c>
      <c r="X1812" s="163">
        <v>1.3100000000000001E-4</v>
      </c>
      <c r="Y1812" s="163">
        <v>0.57199999999999995</v>
      </c>
      <c r="Z1812" s="163">
        <v>4.7700000000000001E-5</v>
      </c>
      <c r="AA1812" s="40"/>
      <c r="AB1812" s="40"/>
      <c r="AC1812" s="40"/>
      <c r="AD1812" s="40"/>
      <c r="AE1812" s="40"/>
      <c r="AF1812" s="40"/>
      <c r="AG1812" s="40"/>
      <c r="AH1812" s="40"/>
      <c r="AI1812" s="40"/>
      <c r="AJ1812" s="40"/>
      <c r="AK1812" s="40"/>
      <c r="AL1812" s="40"/>
      <c r="AM1812" s="40"/>
      <c r="AN1812" s="40"/>
      <c r="AO1812" s="40"/>
      <c r="AP1812" s="40"/>
      <c r="AQ1812" s="40"/>
      <c r="AR1812" s="40"/>
      <c r="AS1812" s="40"/>
      <c r="AT1812" s="40"/>
      <c r="AU1812" s="40"/>
      <c r="AV1812" s="315">
        <v>1.7299999999999999E-2</v>
      </c>
      <c r="AW1812" s="317"/>
      <c r="AX1812" s="317"/>
      <c r="AY1812" s="313">
        <v>0.28299999999999997</v>
      </c>
      <c r="AZ1812" s="40"/>
      <c r="BA1812" s="40"/>
      <c r="BB1812" s="40"/>
      <c r="BC1812" s="40">
        <v>6.8799999999999998E-3</v>
      </c>
      <c r="BD1812" s="40">
        <v>3.77E-7</v>
      </c>
      <c r="BE1812" s="163">
        <v>2.6700000000000001E-3</v>
      </c>
      <c r="BF1812" s="163">
        <v>1.19E-6</v>
      </c>
      <c r="BG1812" s="40"/>
      <c r="BH1812" s="40"/>
      <c r="BI1812" s="40"/>
      <c r="BJ1812" s="40"/>
      <c r="BK1812" s="40"/>
      <c r="BL1812" s="62">
        <v>1</v>
      </c>
      <c r="BM1812" s="275">
        <v>3</v>
      </c>
      <c r="BN1812" s="62">
        <v>0</v>
      </c>
      <c r="BO1812" s="33" t="s">
        <v>698</v>
      </c>
    </row>
    <row r="1813" spans="1:67">
      <c r="A1813" s="33" t="str">
        <f>Database_Productkaarten[[#This Row],[Product]]&amp;", "&amp;Database_Productkaarten[[#This Row],[Levensfase]]</f>
        <v>Hydraulisch Menggranulaat 250mm, D1</v>
      </c>
      <c r="B1813" s="33" t="s">
        <v>705</v>
      </c>
      <c r="C1813" s="33" t="s">
        <v>48</v>
      </c>
      <c r="D1813" s="33" t="s">
        <v>704</v>
      </c>
      <c r="E1813" s="33" t="s">
        <v>385</v>
      </c>
      <c r="F1813" s="33" t="s">
        <v>87</v>
      </c>
      <c r="G1813" s="33">
        <v>1</v>
      </c>
      <c r="H1813" s="33">
        <v>1</v>
      </c>
      <c r="I1813" s="33">
        <v>0.25</v>
      </c>
      <c r="L1813" s="33">
        <v>1.95</v>
      </c>
      <c r="M1813" s="271">
        <v>0.42659999999999998</v>
      </c>
      <c r="N1813" s="41"/>
      <c r="O1813" s="33">
        <v>100</v>
      </c>
      <c r="P1813" s="40"/>
      <c r="Q1813" s="40"/>
      <c r="R1813" s="40"/>
      <c r="S1813" s="40"/>
      <c r="T1813" s="40"/>
      <c r="U1813" s="40"/>
      <c r="V1813" s="40"/>
      <c r="W1813" s="40"/>
      <c r="X1813" s="40"/>
      <c r="Y1813" s="40"/>
      <c r="Z1813" s="40"/>
      <c r="AA1813" s="40"/>
      <c r="AB1813" s="40"/>
      <c r="AC1813" s="40"/>
      <c r="AD1813" s="40"/>
      <c r="AE1813" s="40"/>
      <c r="AF1813" s="40"/>
      <c r="AG1813" s="40"/>
      <c r="AH1813" s="40"/>
      <c r="AI1813" s="40"/>
      <c r="AJ1813" s="40"/>
      <c r="AK1813" s="40"/>
      <c r="AL1813" s="40"/>
      <c r="AM1813" s="40"/>
      <c r="AN1813" s="40"/>
      <c r="AO1813" s="40"/>
      <c r="AP1813" s="40"/>
      <c r="AQ1813" s="40"/>
      <c r="AR1813" s="40"/>
      <c r="AS1813" s="40"/>
      <c r="AT1813" s="40"/>
      <c r="AU1813" s="40"/>
      <c r="AV1813" s="317"/>
      <c r="AW1813" s="317"/>
      <c r="AX1813" s="317"/>
      <c r="AY1813" s="313"/>
      <c r="AZ1813" s="40"/>
      <c r="BA1813" s="40"/>
      <c r="BB1813" s="40"/>
      <c r="BC1813" s="40"/>
      <c r="BD1813" s="40"/>
      <c r="BE1813" s="40"/>
      <c r="BF1813" s="40"/>
      <c r="BG1813" s="40"/>
      <c r="BH1813" s="40"/>
      <c r="BI1813" s="40"/>
      <c r="BJ1813" s="40"/>
      <c r="BK1813" s="40"/>
      <c r="BL1813" s="62">
        <v>1</v>
      </c>
      <c r="BM1813" s="275">
        <v>3</v>
      </c>
      <c r="BN1813" s="62">
        <v>0</v>
      </c>
      <c r="BO1813" s="33" t="s">
        <v>698</v>
      </c>
    </row>
    <row r="1814" spans="1:67">
      <c r="A1814" s="33" t="str">
        <f>Database_Productkaarten[[#This Row],[Product]]&amp;", "&amp;Database_Productkaarten[[#This Row],[Levensfase]]</f>
        <v>Hydraulisch Menggranulaat 250mm, D2</v>
      </c>
      <c r="B1814" s="33" t="s">
        <v>705</v>
      </c>
      <c r="C1814" s="33" t="s">
        <v>48</v>
      </c>
      <c r="D1814" s="33" t="s">
        <v>704</v>
      </c>
      <c r="E1814" s="33" t="s">
        <v>385</v>
      </c>
      <c r="F1814" s="33" t="s">
        <v>88</v>
      </c>
      <c r="G1814" s="33">
        <v>1</v>
      </c>
      <c r="H1814" s="33">
        <v>1</v>
      </c>
      <c r="I1814" s="33">
        <v>0.25</v>
      </c>
      <c r="L1814" s="33">
        <v>1.95</v>
      </c>
      <c r="M1814" s="271">
        <v>0.42659999999999998</v>
      </c>
      <c r="N1814" s="41"/>
      <c r="O1814" s="33">
        <v>100</v>
      </c>
      <c r="P1814" s="40"/>
      <c r="Q1814" s="40"/>
      <c r="R1814" s="40"/>
      <c r="S1814" s="40"/>
      <c r="T1814" s="40"/>
      <c r="U1814" s="40"/>
      <c r="V1814" s="40"/>
      <c r="W1814" s="40"/>
      <c r="X1814" s="40"/>
      <c r="Y1814" s="40"/>
      <c r="Z1814" s="40"/>
      <c r="AA1814" s="40"/>
      <c r="AB1814" s="40"/>
      <c r="AC1814" s="40"/>
      <c r="AD1814" s="40"/>
      <c r="AE1814" s="40"/>
      <c r="AF1814" s="40"/>
      <c r="AG1814" s="40"/>
      <c r="AH1814" s="40"/>
      <c r="AI1814" s="40"/>
      <c r="AJ1814" s="40"/>
      <c r="AK1814" s="40"/>
      <c r="AL1814" s="40"/>
      <c r="AM1814" s="40"/>
      <c r="AN1814" s="40"/>
      <c r="AO1814" s="40"/>
      <c r="AP1814" s="40"/>
      <c r="AQ1814" s="40"/>
      <c r="AR1814" s="40"/>
      <c r="AS1814" s="40"/>
      <c r="AT1814" s="40"/>
      <c r="AU1814" s="40"/>
      <c r="AV1814" s="317"/>
      <c r="AW1814" s="317"/>
      <c r="AX1814" s="317"/>
      <c r="AY1814" s="313"/>
      <c r="AZ1814" s="40"/>
      <c r="BA1814" s="40"/>
      <c r="BB1814" s="40"/>
      <c r="BC1814" s="40"/>
      <c r="BD1814" s="40"/>
      <c r="BE1814" s="40"/>
      <c r="BF1814" s="40"/>
      <c r="BG1814" s="40"/>
      <c r="BH1814" s="40"/>
      <c r="BI1814" s="40"/>
      <c r="BJ1814" s="40"/>
      <c r="BK1814" s="40"/>
      <c r="BL1814" s="62">
        <v>1</v>
      </c>
      <c r="BM1814" s="275">
        <v>3</v>
      </c>
      <c r="BN1814" s="62">
        <v>0</v>
      </c>
      <c r="BO1814" s="33" t="s">
        <v>698</v>
      </c>
    </row>
    <row r="1815" spans="1:67">
      <c r="A1815" s="33" t="str">
        <f>Database_Productkaarten[[#This Row],[Product]]&amp;", "&amp;Database_Productkaarten[[#This Row],[Levensfase]]</f>
        <v>Hydraulisch Menggranulaat 250mm, Totaal</v>
      </c>
      <c r="B1815" s="33" t="s">
        <v>705</v>
      </c>
      <c r="C1815" s="33" t="s">
        <v>48</v>
      </c>
      <c r="D1815" s="33" t="s">
        <v>704</v>
      </c>
      <c r="E1815" s="33" t="s">
        <v>385</v>
      </c>
      <c r="F1815" s="33" t="s">
        <v>90</v>
      </c>
      <c r="G1815" s="33">
        <v>1</v>
      </c>
      <c r="H1815" s="33">
        <v>1</v>
      </c>
      <c r="I1815" s="33">
        <v>0.3</v>
      </c>
      <c r="L1815" s="33">
        <v>1.95</v>
      </c>
      <c r="M1815" s="271">
        <v>0.51190000000000002</v>
      </c>
      <c r="N1815" s="41">
        <v>0.87963000000000002</v>
      </c>
      <c r="O1815" s="33">
        <v>100</v>
      </c>
      <c r="P1815" s="163">
        <v>1.1E-5</v>
      </c>
      <c r="Q1815" s="163">
        <v>5.7500000000000002E-2</v>
      </c>
      <c r="R1815" s="163">
        <v>7.84</v>
      </c>
      <c r="S1815" s="163">
        <v>1.48E-6</v>
      </c>
      <c r="T1815" s="163">
        <v>4.1399999999999996E-3</v>
      </c>
      <c r="U1815" s="163">
        <v>2.7E-2</v>
      </c>
      <c r="V1815" s="163">
        <v>5.4099999999999999E-3</v>
      </c>
      <c r="W1815" s="163">
        <v>2.64</v>
      </c>
      <c r="X1815" s="163">
        <v>0.20300000000000001</v>
      </c>
      <c r="Y1815" s="163">
        <v>509</v>
      </c>
      <c r="Z1815" s="163">
        <v>0.125</v>
      </c>
      <c r="AA1815" s="40"/>
      <c r="AB1815" s="40"/>
      <c r="AC1815" s="40"/>
      <c r="AD1815" s="40"/>
      <c r="AE1815" s="40"/>
      <c r="AF1815" s="40"/>
      <c r="AG1815" s="40"/>
      <c r="AH1815" s="40"/>
      <c r="AI1815" s="40"/>
      <c r="AJ1815" s="40"/>
      <c r="AK1815" s="40"/>
      <c r="AL1815" s="40"/>
      <c r="AM1815" s="40"/>
      <c r="AN1815" s="40"/>
      <c r="AO1815" s="40"/>
      <c r="AP1815" s="40"/>
      <c r="AQ1815" s="40"/>
      <c r="AR1815" s="40"/>
      <c r="AS1815" s="40"/>
      <c r="AT1815" s="40"/>
      <c r="AU1815" s="40"/>
      <c r="AV1815" s="315">
        <v>1.77</v>
      </c>
      <c r="AW1815" s="317"/>
      <c r="AX1815" s="317"/>
      <c r="AY1815" s="313">
        <v>130</v>
      </c>
      <c r="AZ1815" s="40"/>
      <c r="BA1815" s="40"/>
      <c r="BB1815" s="40"/>
      <c r="BC1815" s="40">
        <v>3.1399999999999997E-2</v>
      </c>
      <c r="BD1815" s="40">
        <v>8.9599999999999999E-4</v>
      </c>
      <c r="BE1815" s="163">
        <v>13.2</v>
      </c>
      <c r="BF1815" s="163">
        <v>1.5699999999999999E-5</v>
      </c>
      <c r="BG1815" s="40"/>
      <c r="BH1815" s="40"/>
      <c r="BI1815" s="40"/>
      <c r="BJ1815" s="40"/>
      <c r="BK1815" s="40"/>
      <c r="BL1815" s="62">
        <v>1</v>
      </c>
      <c r="BM1815" s="275">
        <v>3</v>
      </c>
      <c r="BN1815" s="62">
        <v>0</v>
      </c>
      <c r="BO1815" s="33" t="s">
        <v>698</v>
      </c>
    </row>
    <row r="1816" spans="1:67">
      <c r="A1816" s="33" t="str">
        <f>Database_Productkaarten[[#This Row],[Product]]&amp;", "&amp;Database_Productkaarten[[#This Row],[Levensfase]]</f>
        <v>Hydraulisch Menggranulaat 300mm, A1</v>
      </c>
      <c r="B1816" s="33" t="s">
        <v>706</v>
      </c>
      <c r="C1816" s="33" t="s">
        <v>48</v>
      </c>
      <c r="D1816" s="33" t="s">
        <v>704</v>
      </c>
      <c r="E1816" s="33" t="s">
        <v>385</v>
      </c>
      <c r="F1816" s="33" t="s">
        <v>74</v>
      </c>
      <c r="G1816" s="33">
        <v>1</v>
      </c>
      <c r="H1816" s="33">
        <v>1</v>
      </c>
      <c r="I1816" s="33">
        <v>0.3</v>
      </c>
      <c r="L1816" s="33">
        <v>1.95</v>
      </c>
      <c r="M1816" s="271">
        <v>0.51190000000000002</v>
      </c>
      <c r="N1816" s="41"/>
      <c r="O1816" s="33">
        <v>100</v>
      </c>
      <c r="P1816" s="40"/>
      <c r="Q1816" s="40"/>
      <c r="R1816" s="40"/>
      <c r="S1816" s="40"/>
      <c r="T1816" s="40"/>
      <c r="U1816" s="40"/>
      <c r="V1816" s="40"/>
      <c r="W1816" s="40"/>
      <c r="X1816" s="40"/>
      <c r="Y1816" s="40"/>
      <c r="Z1816" s="40"/>
      <c r="AA1816" s="40"/>
      <c r="AB1816" s="40"/>
      <c r="AC1816" s="40"/>
      <c r="AD1816" s="40"/>
      <c r="AE1816" s="40"/>
      <c r="AF1816" s="40"/>
      <c r="AG1816" s="40"/>
      <c r="AH1816" s="40"/>
      <c r="AI1816" s="40"/>
      <c r="AJ1816" s="40"/>
      <c r="AK1816" s="40"/>
      <c r="AL1816" s="40"/>
      <c r="AM1816" s="40"/>
      <c r="AN1816" s="40"/>
      <c r="AO1816" s="40"/>
      <c r="AP1816" s="40"/>
      <c r="AQ1816" s="40"/>
      <c r="AR1816" s="40"/>
      <c r="AS1816" s="40"/>
      <c r="AT1816" s="40"/>
      <c r="AU1816" s="40"/>
      <c r="AV1816" s="317"/>
      <c r="AW1816" s="317"/>
      <c r="AX1816" s="317"/>
      <c r="AY1816" s="313"/>
      <c r="AZ1816" s="40"/>
      <c r="BA1816" s="40"/>
      <c r="BB1816" s="40"/>
      <c r="BC1816" s="40"/>
      <c r="BD1816" s="40"/>
      <c r="BE1816" s="40"/>
      <c r="BF1816" s="40"/>
      <c r="BG1816" s="40"/>
      <c r="BH1816" s="40"/>
      <c r="BI1816" s="40"/>
      <c r="BJ1816" s="40"/>
      <c r="BK1816" s="40"/>
      <c r="BL1816" s="62">
        <v>1</v>
      </c>
      <c r="BM1816" s="275">
        <v>3</v>
      </c>
      <c r="BN1816" s="62">
        <v>0</v>
      </c>
      <c r="BO1816" s="33" t="s">
        <v>698</v>
      </c>
    </row>
    <row r="1817" spans="1:67">
      <c r="A1817" s="33" t="str">
        <f>Database_Productkaarten[[#This Row],[Product]]&amp;", "&amp;Database_Productkaarten[[#This Row],[Levensfase]]</f>
        <v>Hydraulisch Menggranulaat 300mm, A2</v>
      </c>
      <c r="B1817" s="33" t="s">
        <v>706</v>
      </c>
      <c r="C1817" s="33" t="s">
        <v>48</v>
      </c>
      <c r="D1817" s="33" t="s">
        <v>704</v>
      </c>
      <c r="E1817" s="33" t="s">
        <v>385</v>
      </c>
      <c r="F1817" s="33" t="s">
        <v>75</v>
      </c>
      <c r="G1817" s="33">
        <v>1</v>
      </c>
      <c r="H1817" s="33">
        <v>1</v>
      </c>
      <c r="I1817" s="33">
        <v>0.3</v>
      </c>
      <c r="L1817" s="33">
        <v>1.95</v>
      </c>
      <c r="M1817" s="271">
        <v>0.51190000000000002</v>
      </c>
      <c r="N1817" s="41"/>
      <c r="O1817" s="33">
        <v>100</v>
      </c>
      <c r="P1817" s="40"/>
      <c r="Q1817" s="40"/>
      <c r="R1817" s="40"/>
      <c r="S1817" s="40"/>
      <c r="T1817" s="40"/>
      <c r="U1817" s="40"/>
      <c r="V1817" s="40"/>
      <c r="W1817" s="40"/>
      <c r="X1817" s="40"/>
      <c r="Y1817" s="40"/>
      <c r="Z1817" s="40"/>
      <c r="AA1817" s="40"/>
      <c r="AB1817" s="40"/>
      <c r="AC1817" s="40"/>
      <c r="AD1817" s="40"/>
      <c r="AE1817" s="40"/>
      <c r="AF1817" s="40"/>
      <c r="AG1817" s="40"/>
      <c r="AH1817" s="40"/>
      <c r="AI1817" s="40"/>
      <c r="AJ1817" s="40"/>
      <c r="AK1817" s="40"/>
      <c r="AL1817" s="40"/>
      <c r="AM1817" s="40"/>
      <c r="AN1817" s="40"/>
      <c r="AO1817" s="40"/>
      <c r="AP1817" s="40"/>
      <c r="AQ1817" s="40"/>
      <c r="AR1817" s="40"/>
      <c r="AS1817" s="40"/>
      <c r="AT1817" s="40"/>
      <c r="AU1817" s="40"/>
      <c r="AV1817" s="317"/>
      <c r="AW1817" s="317"/>
      <c r="AX1817" s="317"/>
      <c r="AY1817" s="313"/>
      <c r="AZ1817" s="40"/>
      <c r="BA1817" s="40"/>
      <c r="BB1817" s="40"/>
      <c r="BC1817" s="40"/>
      <c r="BD1817" s="40"/>
      <c r="BE1817" s="40"/>
      <c r="BF1817" s="40"/>
      <c r="BG1817" s="40"/>
      <c r="BH1817" s="40"/>
      <c r="BI1817" s="40"/>
      <c r="BJ1817" s="40"/>
      <c r="BK1817" s="40"/>
      <c r="BL1817" s="62">
        <v>1</v>
      </c>
      <c r="BM1817" s="275">
        <v>3</v>
      </c>
      <c r="BN1817" s="62">
        <v>0</v>
      </c>
      <c r="BO1817" s="33" t="s">
        <v>698</v>
      </c>
    </row>
    <row r="1818" spans="1:67">
      <c r="A1818" s="33" t="str">
        <f>Database_Productkaarten[[#This Row],[Product]]&amp;", "&amp;Database_Productkaarten[[#This Row],[Levensfase]]</f>
        <v>Hydraulisch Menggranulaat 300mm, A3</v>
      </c>
      <c r="B1818" s="33" t="s">
        <v>706</v>
      </c>
      <c r="C1818" s="33" t="s">
        <v>48</v>
      </c>
      <c r="D1818" s="33" t="s">
        <v>704</v>
      </c>
      <c r="E1818" s="33" t="s">
        <v>385</v>
      </c>
      <c r="F1818" s="33" t="s">
        <v>76</v>
      </c>
      <c r="G1818" s="33">
        <v>1</v>
      </c>
      <c r="H1818" s="33">
        <v>1</v>
      </c>
      <c r="I1818" s="33">
        <v>0.3</v>
      </c>
      <c r="L1818" s="33">
        <v>1.95</v>
      </c>
      <c r="M1818" s="271">
        <v>0.51190000000000002</v>
      </c>
      <c r="N1818" s="41"/>
      <c r="O1818" s="33">
        <v>100</v>
      </c>
      <c r="P1818" s="40"/>
      <c r="Q1818" s="40"/>
      <c r="R1818" s="40"/>
      <c r="S1818" s="40"/>
      <c r="T1818" s="40"/>
      <c r="U1818" s="40"/>
      <c r="V1818" s="40"/>
      <c r="W1818" s="40"/>
      <c r="X1818" s="40"/>
      <c r="Y1818" s="40"/>
      <c r="Z1818" s="40"/>
      <c r="AA1818" s="40"/>
      <c r="AB1818" s="40"/>
      <c r="AC1818" s="40"/>
      <c r="AD1818" s="40"/>
      <c r="AE1818" s="40"/>
      <c r="AF1818" s="40"/>
      <c r="AG1818" s="40"/>
      <c r="AH1818" s="40"/>
      <c r="AI1818" s="40"/>
      <c r="AJ1818" s="40"/>
      <c r="AK1818" s="40"/>
      <c r="AL1818" s="40"/>
      <c r="AM1818" s="40"/>
      <c r="AN1818" s="40"/>
      <c r="AO1818" s="40"/>
      <c r="AP1818" s="40"/>
      <c r="AQ1818" s="40"/>
      <c r="AR1818" s="40"/>
      <c r="AS1818" s="40"/>
      <c r="AT1818" s="40"/>
      <c r="AU1818" s="40"/>
      <c r="AV1818" s="317"/>
      <c r="AW1818" s="317"/>
      <c r="AX1818" s="317"/>
      <c r="AY1818" s="313"/>
      <c r="AZ1818" s="40"/>
      <c r="BA1818" s="40"/>
      <c r="BB1818" s="40"/>
      <c r="BC1818" s="40"/>
      <c r="BD1818" s="40"/>
      <c r="BE1818" s="40"/>
      <c r="BF1818" s="40"/>
      <c r="BG1818" s="40"/>
      <c r="BH1818" s="40"/>
      <c r="BI1818" s="40"/>
      <c r="BJ1818" s="40"/>
      <c r="BK1818" s="40"/>
      <c r="BL1818" s="62">
        <v>1</v>
      </c>
      <c r="BM1818" s="275">
        <v>3</v>
      </c>
      <c r="BN1818" s="62">
        <v>0</v>
      </c>
      <c r="BO1818" s="33" t="s">
        <v>698</v>
      </c>
    </row>
    <row r="1819" spans="1:67">
      <c r="A1819" s="33" t="str">
        <f>Database_Productkaarten[[#This Row],[Product]]&amp;", "&amp;Database_Productkaarten[[#This Row],[Levensfase]]</f>
        <v>Hydraulisch Menggranulaat 300mm, A1-A3</v>
      </c>
      <c r="B1819" s="33" t="s">
        <v>706</v>
      </c>
      <c r="C1819" s="451" t="str">
        <f>C1818</f>
        <v>Funderingslagen</v>
      </c>
      <c r="D1819" s="451" t="str">
        <f>D1818</f>
        <v>Hydraulisch Menggranulaat</v>
      </c>
      <c r="E1819" s="33" t="s">
        <v>385</v>
      </c>
      <c r="F1819" s="451" t="s">
        <v>77</v>
      </c>
      <c r="G1819" s="33">
        <v>1</v>
      </c>
      <c r="H1819" s="33">
        <v>1</v>
      </c>
      <c r="I1819" s="33">
        <v>0.3</v>
      </c>
      <c r="L1819" s="33">
        <v>1.95</v>
      </c>
      <c r="M1819" s="271">
        <v>0.51190000000000002</v>
      </c>
      <c r="N1819" s="41">
        <v>1.238E-3</v>
      </c>
      <c r="O1819" s="33">
        <v>100</v>
      </c>
      <c r="P1819" s="163">
        <v>7.54E-8</v>
      </c>
      <c r="Q1819" s="163">
        <v>8.4800000000000001E-4</v>
      </c>
      <c r="R1819" s="163">
        <v>0.11799999999999999</v>
      </c>
      <c r="S1819" s="163">
        <v>1.37E-8</v>
      </c>
      <c r="T1819" s="163">
        <v>6.7700000000000006E-5</v>
      </c>
      <c r="U1819" s="163">
        <v>5.8900000000000001E-4</v>
      </c>
      <c r="V1819" s="163">
        <v>1.3300000000000001E-4</v>
      </c>
      <c r="W1819" s="163">
        <v>2.7099999999999999E-2</v>
      </c>
      <c r="X1819" s="163">
        <v>4.64E-4</v>
      </c>
      <c r="Y1819" s="163">
        <v>1.71</v>
      </c>
      <c r="Z1819" s="163">
        <v>3.4299999999999999E-4</v>
      </c>
      <c r="AA1819" s="40"/>
      <c r="AB1819" s="40"/>
      <c r="AC1819" s="40"/>
      <c r="AD1819" s="40"/>
      <c r="AE1819" s="40"/>
      <c r="AF1819" s="40"/>
      <c r="AG1819" s="40"/>
      <c r="AH1819" s="40"/>
      <c r="AI1819" s="40"/>
      <c r="AJ1819" s="40"/>
      <c r="AK1819" s="40"/>
      <c r="AL1819" s="40"/>
      <c r="AM1819" s="40"/>
      <c r="AN1819" s="40"/>
      <c r="AO1819" s="40"/>
      <c r="AP1819" s="40"/>
      <c r="AQ1819" s="40"/>
      <c r="AR1819" s="40"/>
      <c r="AS1819" s="40"/>
      <c r="AT1819" s="40"/>
      <c r="AU1819" s="40"/>
      <c r="AV1819" s="315">
        <v>9.5200000000000007E-2</v>
      </c>
      <c r="AW1819" s="317"/>
      <c r="AX1819" s="317"/>
      <c r="AY1819" s="313">
        <v>1.78</v>
      </c>
      <c r="AZ1819" s="40"/>
      <c r="BA1819" s="40"/>
      <c r="BB1819" s="40"/>
      <c r="BC1819" s="40">
        <v>7.8200000000000003E-4</v>
      </c>
      <c r="BD1819" s="40">
        <v>2.7199999999999998E-6</v>
      </c>
      <c r="BE1819" s="163">
        <v>0.223</v>
      </c>
      <c r="BF1819" s="163">
        <v>8.0199999999999994E-6</v>
      </c>
      <c r="BG1819" s="40"/>
      <c r="BH1819" s="40"/>
      <c r="BI1819" s="40"/>
      <c r="BJ1819" s="40"/>
      <c r="BK1819" s="40"/>
      <c r="BL1819" s="62">
        <v>1</v>
      </c>
      <c r="BM1819" s="275">
        <v>3</v>
      </c>
      <c r="BN1819" s="62">
        <v>0</v>
      </c>
      <c r="BO1819" s="33" t="s">
        <v>698</v>
      </c>
    </row>
    <row r="1820" spans="1:67">
      <c r="A1820" s="33" t="str">
        <f>Database_Productkaarten[[#This Row],[Product]]&amp;", "&amp;Database_Productkaarten[[#This Row],[Levensfase]]</f>
        <v>Hydraulisch Menggranulaat 300mm, A4</v>
      </c>
      <c r="B1820" s="33" t="s">
        <v>706</v>
      </c>
      <c r="C1820" s="33" t="s">
        <v>48</v>
      </c>
      <c r="D1820" s="33" t="s">
        <v>704</v>
      </c>
      <c r="E1820" s="33" t="s">
        <v>385</v>
      </c>
      <c r="F1820" s="33" t="s">
        <v>78</v>
      </c>
      <c r="G1820" s="33">
        <v>1</v>
      </c>
      <c r="H1820" s="33">
        <v>1</v>
      </c>
      <c r="I1820" s="33">
        <v>0.3</v>
      </c>
      <c r="L1820" s="33">
        <v>1.95</v>
      </c>
      <c r="M1820" s="271">
        <v>0.51190000000000002</v>
      </c>
      <c r="N1820" s="41">
        <v>0.27994999999999998</v>
      </c>
      <c r="O1820" s="33">
        <v>100</v>
      </c>
      <c r="P1820" s="163">
        <v>4.7400000000000004E-6</v>
      </c>
      <c r="Q1820" s="163">
        <v>1.8700000000000001E-2</v>
      </c>
      <c r="R1820" s="163">
        <v>2.4700000000000002</v>
      </c>
      <c r="S1820" s="163">
        <v>4.9100000000000004E-7</v>
      </c>
      <c r="T1820" s="163">
        <v>1.56E-3</v>
      </c>
      <c r="U1820" s="163">
        <v>9.0100000000000006E-3</v>
      </c>
      <c r="V1820" s="163">
        <v>1.8400000000000001E-3</v>
      </c>
      <c r="W1820" s="163">
        <v>0.87</v>
      </c>
      <c r="X1820" s="163">
        <v>5.6099999999999997E-2</v>
      </c>
      <c r="Y1820" s="163">
        <v>147</v>
      </c>
      <c r="Z1820" s="163">
        <v>5.1599999999999997E-3</v>
      </c>
      <c r="AA1820" s="40"/>
      <c r="AB1820" s="40"/>
      <c r="AC1820" s="40"/>
      <c r="AD1820" s="40"/>
      <c r="AE1820" s="40"/>
      <c r="AF1820" s="40"/>
      <c r="AG1820" s="40"/>
      <c r="AH1820" s="40"/>
      <c r="AI1820" s="40"/>
      <c r="AJ1820" s="40"/>
      <c r="AK1820" s="40"/>
      <c r="AL1820" s="40"/>
      <c r="AM1820" s="40"/>
      <c r="AN1820" s="40"/>
      <c r="AO1820" s="40"/>
      <c r="AP1820" s="40"/>
      <c r="AQ1820" s="40"/>
      <c r="AR1820" s="40"/>
      <c r="AS1820" s="40"/>
      <c r="AT1820" s="40"/>
      <c r="AU1820" s="40"/>
      <c r="AV1820" s="315">
        <v>0.66800000000000004</v>
      </c>
      <c r="AW1820" s="317"/>
      <c r="AX1820" s="317"/>
      <c r="AY1820" s="313">
        <v>42.7</v>
      </c>
      <c r="AZ1820" s="40"/>
      <c r="BA1820" s="40"/>
      <c r="BB1820" s="40"/>
      <c r="BC1820" s="40">
        <v>8.6700000000000006E-3</v>
      </c>
      <c r="BD1820" s="40">
        <v>3.0299999999999999E-4</v>
      </c>
      <c r="BE1820" s="163">
        <v>3.53</v>
      </c>
      <c r="BF1820" s="163">
        <v>0</v>
      </c>
      <c r="BG1820" s="40"/>
      <c r="BH1820" s="40"/>
      <c r="BI1820" s="40"/>
      <c r="BJ1820" s="40"/>
      <c r="BK1820" s="40"/>
      <c r="BL1820" s="62">
        <v>1</v>
      </c>
      <c r="BM1820" s="275">
        <v>3</v>
      </c>
      <c r="BN1820" s="62">
        <v>0</v>
      </c>
      <c r="BO1820" s="33" t="s">
        <v>698</v>
      </c>
    </row>
    <row r="1821" spans="1:67">
      <c r="A1821" s="33" t="str">
        <f>Database_Productkaarten[[#This Row],[Product]]&amp;", "&amp;Database_Productkaarten[[#This Row],[Levensfase]]</f>
        <v>Hydraulisch Menggranulaat 300mm, A5</v>
      </c>
      <c r="B1821" s="33" t="s">
        <v>706</v>
      </c>
      <c r="C1821" s="33" t="s">
        <v>48</v>
      </c>
      <c r="D1821" s="33" t="s">
        <v>704</v>
      </c>
      <c r="E1821" s="33" t="s">
        <v>385</v>
      </c>
      <c r="F1821" s="33" t="s">
        <v>79</v>
      </c>
      <c r="G1821" s="33">
        <v>1</v>
      </c>
      <c r="H1821" s="33">
        <v>1</v>
      </c>
      <c r="I1821" s="33">
        <v>0.3</v>
      </c>
      <c r="L1821" s="33">
        <v>1.95</v>
      </c>
      <c r="M1821" s="271">
        <v>0.51190000000000002</v>
      </c>
      <c r="N1821" s="41">
        <v>0.18803</v>
      </c>
      <c r="O1821" s="33">
        <v>100</v>
      </c>
      <c r="P1821" s="163">
        <v>9.5000000000000001E-7</v>
      </c>
      <c r="Q1821" s="163">
        <v>1.3899999999999999E-2</v>
      </c>
      <c r="R1821" s="163">
        <v>2.0299999999999998</v>
      </c>
      <c r="S1821" s="163">
        <v>3.53E-7</v>
      </c>
      <c r="T1821" s="163">
        <v>6.6799999999999997E-4</v>
      </c>
      <c r="U1821" s="163">
        <v>5.9500000000000004E-3</v>
      </c>
      <c r="V1821" s="163">
        <v>1.14E-3</v>
      </c>
      <c r="W1821" s="163">
        <v>0.502</v>
      </c>
      <c r="X1821" s="163">
        <v>9.9500000000000005E-3</v>
      </c>
      <c r="Y1821" s="163">
        <v>33.299999999999997</v>
      </c>
      <c r="Z1821" s="163">
        <v>1.7899999999999999E-3</v>
      </c>
      <c r="AA1821" s="40"/>
      <c r="AB1821" s="40"/>
      <c r="AC1821" s="40"/>
      <c r="AD1821" s="40"/>
      <c r="AE1821" s="40"/>
      <c r="AF1821" s="40"/>
      <c r="AG1821" s="40"/>
      <c r="AH1821" s="40"/>
      <c r="AI1821" s="40"/>
      <c r="AJ1821" s="40"/>
      <c r="AK1821" s="40"/>
      <c r="AL1821" s="40"/>
      <c r="AM1821" s="40"/>
      <c r="AN1821" s="40"/>
      <c r="AO1821" s="40"/>
      <c r="AP1821" s="40"/>
      <c r="AQ1821" s="40"/>
      <c r="AR1821" s="40"/>
      <c r="AS1821" s="40"/>
      <c r="AT1821" s="40"/>
      <c r="AU1821" s="40"/>
      <c r="AV1821" s="315">
        <v>0.22600000000000001</v>
      </c>
      <c r="AW1821" s="317"/>
      <c r="AX1821" s="317"/>
      <c r="AY1821" s="313">
        <v>30.9</v>
      </c>
      <c r="AZ1821" s="40"/>
      <c r="BA1821" s="40"/>
      <c r="BB1821" s="40"/>
      <c r="BC1821" s="40">
        <v>2.9199999999999999E-3</v>
      </c>
      <c r="BD1821" s="40">
        <v>2.14E-4</v>
      </c>
      <c r="BE1821" s="163">
        <v>5.1900000000000002E-2</v>
      </c>
      <c r="BF1821" s="163">
        <v>0</v>
      </c>
      <c r="BG1821" s="40"/>
      <c r="BH1821" s="40"/>
      <c r="BI1821" s="40"/>
      <c r="BJ1821" s="40"/>
      <c r="BK1821" s="40"/>
      <c r="BL1821" s="62">
        <v>1</v>
      </c>
      <c r="BM1821" s="275">
        <v>3</v>
      </c>
      <c r="BN1821" s="62">
        <v>0</v>
      </c>
      <c r="BO1821" s="33" t="s">
        <v>698</v>
      </c>
    </row>
    <row r="1822" spans="1:67">
      <c r="A1822" s="33" t="str">
        <f>Database_Productkaarten[[#This Row],[Product]]&amp;", "&amp;Database_Productkaarten[[#This Row],[Levensfase]]</f>
        <v>Hydraulisch Menggranulaat 300mm, B1</v>
      </c>
      <c r="B1822" s="33" t="s">
        <v>706</v>
      </c>
      <c r="C1822" s="33" t="s">
        <v>48</v>
      </c>
      <c r="D1822" s="33" t="s">
        <v>704</v>
      </c>
      <c r="E1822" s="33" t="s">
        <v>385</v>
      </c>
      <c r="F1822" s="33" t="s">
        <v>80</v>
      </c>
      <c r="G1822" s="33">
        <v>1</v>
      </c>
      <c r="H1822" s="33">
        <v>1</v>
      </c>
      <c r="I1822" s="33">
        <v>0.3</v>
      </c>
      <c r="L1822" s="33">
        <v>1.95</v>
      </c>
      <c r="M1822" s="271">
        <v>0.51190000000000002</v>
      </c>
      <c r="N1822" s="41">
        <v>4.1239999999999999E-2</v>
      </c>
      <c r="O1822" s="33">
        <v>100</v>
      </c>
      <c r="P1822" s="163">
        <v>0</v>
      </c>
      <c r="Q1822" s="163">
        <v>0</v>
      </c>
      <c r="R1822" s="163">
        <v>0</v>
      </c>
      <c r="S1822" s="163">
        <v>0</v>
      </c>
      <c r="T1822" s="163">
        <v>0</v>
      </c>
      <c r="U1822" s="163">
        <v>0</v>
      </c>
      <c r="V1822" s="163">
        <v>0</v>
      </c>
      <c r="W1822" s="163">
        <v>0.17399999999999999</v>
      </c>
      <c r="X1822" s="163">
        <v>7.5800000000000006E-2</v>
      </c>
      <c r="Y1822" s="163">
        <v>166</v>
      </c>
      <c r="Z1822" s="163">
        <v>0.112</v>
      </c>
      <c r="AA1822" s="40"/>
      <c r="AB1822" s="40"/>
      <c r="AC1822" s="40"/>
      <c r="AD1822" s="40"/>
      <c r="AE1822" s="40"/>
      <c r="AF1822" s="40"/>
      <c r="AG1822" s="40"/>
      <c r="AH1822" s="40"/>
      <c r="AI1822" s="40"/>
      <c r="AJ1822" s="40"/>
      <c r="AK1822" s="40"/>
      <c r="AL1822" s="40"/>
      <c r="AM1822" s="40"/>
      <c r="AN1822" s="40"/>
      <c r="AO1822" s="40"/>
      <c r="AP1822" s="40"/>
      <c r="AQ1822" s="40"/>
      <c r="AR1822" s="40"/>
      <c r="AS1822" s="40"/>
      <c r="AT1822" s="40"/>
      <c r="AU1822" s="40"/>
      <c r="AV1822" s="315">
        <v>0</v>
      </c>
      <c r="AW1822" s="317"/>
      <c r="AX1822" s="317"/>
      <c r="AY1822" s="313">
        <v>0</v>
      </c>
      <c r="AZ1822" s="40"/>
      <c r="BA1822" s="40"/>
      <c r="BB1822" s="40"/>
      <c r="BC1822" s="40">
        <v>0</v>
      </c>
      <c r="BD1822" s="40">
        <v>0</v>
      </c>
      <c r="BE1822" s="163">
        <v>0</v>
      </c>
      <c r="BF1822" s="163">
        <v>0</v>
      </c>
      <c r="BG1822" s="40"/>
      <c r="BH1822" s="40"/>
      <c r="BI1822" s="40"/>
      <c r="BJ1822" s="40"/>
      <c r="BK1822" s="40"/>
      <c r="BL1822" s="62">
        <v>1</v>
      </c>
      <c r="BM1822" s="275">
        <v>3</v>
      </c>
      <c r="BN1822" s="62">
        <v>0</v>
      </c>
      <c r="BO1822" s="33" t="s">
        <v>698</v>
      </c>
    </row>
    <row r="1823" spans="1:67">
      <c r="A1823" s="33" t="str">
        <f>Database_Productkaarten[[#This Row],[Product]]&amp;", "&amp;Database_Productkaarten[[#This Row],[Levensfase]]</f>
        <v>Hydraulisch Menggranulaat 300mm, C1</v>
      </c>
      <c r="B1823" s="33" t="s">
        <v>706</v>
      </c>
      <c r="C1823" s="33" t="s">
        <v>48</v>
      </c>
      <c r="D1823" s="33" t="s">
        <v>704</v>
      </c>
      <c r="E1823" s="33" t="s">
        <v>385</v>
      </c>
      <c r="F1823" s="33" t="s">
        <v>83</v>
      </c>
      <c r="G1823" s="33">
        <v>1</v>
      </c>
      <c r="H1823" s="33">
        <v>1</v>
      </c>
      <c r="I1823" s="33">
        <v>0.3</v>
      </c>
      <c r="L1823" s="33">
        <v>1.95</v>
      </c>
      <c r="M1823" s="271">
        <v>0.51190000000000002</v>
      </c>
      <c r="N1823" s="41">
        <v>6.2149999999999997E-2</v>
      </c>
      <c r="O1823" s="33">
        <v>100</v>
      </c>
      <c r="P1823" s="163">
        <v>3.1399999999999998E-7</v>
      </c>
      <c r="Q1823" s="163">
        <v>4.5799999999999999E-3</v>
      </c>
      <c r="R1823" s="163">
        <v>0.67100000000000004</v>
      </c>
      <c r="S1823" s="163">
        <v>1.17E-7</v>
      </c>
      <c r="T1823" s="163">
        <v>2.2100000000000001E-4</v>
      </c>
      <c r="U1823" s="163">
        <v>1.97E-3</v>
      </c>
      <c r="V1823" s="163">
        <v>3.7599999999999998E-4</v>
      </c>
      <c r="W1823" s="163">
        <v>0.16600000000000001</v>
      </c>
      <c r="X1823" s="163">
        <v>3.29E-3</v>
      </c>
      <c r="Y1823" s="163">
        <v>11</v>
      </c>
      <c r="Z1823" s="163">
        <v>5.9100000000000005E-4</v>
      </c>
      <c r="AA1823" s="40"/>
      <c r="AB1823" s="40"/>
      <c r="AC1823" s="40"/>
      <c r="AD1823" s="40"/>
      <c r="AE1823" s="40"/>
      <c r="AF1823" s="40"/>
      <c r="AG1823" s="40"/>
      <c r="AH1823" s="40"/>
      <c r="AI1823" s="40"/>
      <c r="AJ1823" s="40"/>
      <c r="AK1823" s="40"/>
      <c r="AL1823" s="40"/>
      <c r="AM1823" s="40"/>
      <c r="AN1823" s="40"/>
      <c r="AO1823" s="40"/>
      <c r="AP1823" s="40"/>
      <c r="AQ1823" s="40"/>
      <c r="AR1823" s="40"/>
      <c r="AS1823" s="40"/>
      <c r="AT1823" s="40"/>
      <c r="AU1823" s="40"/>
      <c r="AV1823" s="315">
        <v>7.46E-2</v>
      </c>
      <c r="AW1823" s="317"/>
      <c r="AX1823" s="317"/>
      <c r="AY1823" s="313">
        <v>10.199999999999999</v>
      </c>
      <c r="AZ1823" s="40"/>
      <c r="BA1823" s="40"/>
      <c r="BB1823" s="40"/>
      <c r="BC1823" s="40">
        <v>9.6599999999999995E-4</v>
      </c>
      <c r="BD1823" s="40">
        <v>7.0599999999999995E-5</v>
      </c>
      <c r="BE1823" s="163">
        <v>1.72E-2</v>
      </c>
      <c r="BF1823" s="163">
        <v>0</v>
      </c>
      <c r="BG1823" s="40"/>
      <c r="BH1823" s="40"/>
      <c r="BI1823" s="40"/>
      <c r="BJ1823" s="40"/>
      <c r="BK1823" s="40"/>
      <c r="BL1823" s="62">
        <v>1</v>
      </c>
      <c r="BM1823" s="275">
        <v>3</v>
      </c>
      <c r="BN1823" s="62">
        <v>0</v>
      </c>
      <c r="BO1823" s="33" t="s">
        <v>698</v>
      </c>
    </row>
    <row r="1824" spans="1:67">
      <c r="A1824" s="33" t="str">
        <f>Database_Productkaarten[[#This Row],[Product]]&amp;", "&amp;Database_Productkaarten[[#This Row],[Levensfase]]</f>
        <v>Hydraulisch Menggranulaat 300mm, C2</v>
      </c>
      <c r="B1824" s="33" t="s">
        <v>706</v>
      </c>
      <c r="C1824" s="33" t="s">
        <v>48</v>
      </c>
      <c r="D1824" s="33" t="s">
        <v>704</v>
      </c>
      <c r="E1824" s="33" t="s">
        <v>385</v>
      </c>
      <c r="F1824" s="33" t="s">
        <v>84</v>
      </c>
      <c r="G1824" s="33">
        <v>1</v>
      </c>
      <c r="H1824" s="33">
        <v>1</v>
      </c>
      <c r="I1824" s="33">
        <v>0.3</v>
      </c>
      <c r="L1824" s="33">
        <v>1.95</v>
      </c>
      <c r="M1824" s="271">
        <v>0.51190000000000002</v>
      </c>
      <c r="N1824" s="41">
        <v>0.28275</v>
      </c>
      <c r="O1824" s="33">
        <v>100</v>
      </c>
      <c r="P1824" s="163">
        <v>4.7899999999999999E-6</v>
      </c>
      <c r="Q1824" s="163">
        <v>1.89E-2</v>
      </c>
      <c r="R1824" s="163">
        <v>2.5</v>
      </c>
      <c r="S1824" s="163">
        <v>4.9599999999999999E-7</v>
      </c>
      <c r="T1824" s="163">
        <v>1.58E-3</v>
      </c>
      <c r="U1824" s="163">
        <v>9.1000000000000004E-3</v>
      </c>
      <c r="V1824" s="163">
        <v>1.8500000000000001E-3</v>
      </c>
      <c r="W1824" s="163">
        <v>0.879</v>
      </c>
      <c r="X1824" s="163">
        <v>5.67E-2</v>
      </c>
      <c r="Y1824" s="163">
        <v>148</v>
      </c>
      <c r="Z1824" s="163">
        <v>5.2100000000000002E-3</v>
      </c>
      <c r="AA1824" s="40"/>
      <c r="AB1824" s="40"/>
      <c r="AC1824" s="40"/>
      <c r="AD1824" s="40"/>
      <c r="AE1824" s="40"/>
      <c r="AF1824" s="40"/>
      <c r="AG1824" s="40"/>
      <c r="AH1824" s="40"/>
      <c r="AI1824" s="40"/>
      <c r="AJ1824" s="40"/>
      <c r="AK1824" s="40"/>
      <c r="AL1824" s="40"/>
      <c r="AM1824" s="40"/>
      <c r="AN1824" s="40"/>
      <c r="AO1824" s="40"/>
      <c r="AP1824" s="40"/>
      <c r="AQ1824" s="40"/>
      <c r="AR1824" s="40"/>
      <c r="AS1824" s="40"/>
      <c r="AT1824" s="40"/>
      <c r="AU1824" s="40"/>
      <c r="AV1824" s="315">
        <v>0.67500000000000004</v>
      </c>
      <c r="AW1824" s="317"/>
      <c r="AX1824" s="317"/>
      <c r="AY1824" s="313">
        <v>43.2</v>
      </c>
      <c r="AZ1824" s="40"/>
      <c r="BA1824" s="40"/>
      <c r="BB1824" s="40"/>
      <c r="BC1824" s="40">
        <v>8.7600000000000004E-3</v>
      </c>
      <c r="BD1824" s="40">
        <v>3.0600000000000001E-4</v>
      </c>
      <c r="BE1824" s="163">
        <v>3.56</v>
      </c>
      <c r="BF1824" s="163">
        <v>0</v>
      </c>
      <c r="BG1824" s="40"/>
      <c r="BH1824" s="40"/>
      <c r="BI1824" s="40"/>
      <c r="BJ1824" s="40"/>
      <c r="BK1824" s="40"/>
      <c r="BL1824" s="62">
        <v>1</v>
      </c>
      <c r="BM1824" s="275">
        <v>3</v>
      </c>
      <c r="BN1824" s="62">
        <v>0</v>
      </c>
      <c r="BO1824" s="33" t="s">
        <v>698</v>
      </c>
    </row>
    <row r="1825" spans="1:67">
      <c r="A1825" s="33" t="str">
        <f>Database_Productkaarten[[#This Row],[Product]]&amp;", "&amp;Database_Productkaarten[[#This Row],[Levensfase]]</f>
        <v>Hydraulisch Menggranulaat 300mm, C3</v>
      </c>
      <c r="B1825" s="33" t="s">
        <v>706</v>
      </c>
      <c r="C1825" s="33" t="s">
        <v>48</v>
      </c>
      <c r="D1825" s="33" t="s">
        <v>704</v>
      </c>
      <c r="E1825" s="33" t="s">
        <v>385</v>
      </c>
      <c r="F1825" s="33" t="s">
        <v>85</v>
      </c>
      <c r="G1825" s="33">
        <v>1</v>
      </c>
      <c r="H1825" s="33">
        <v>1</v>
      </c>
      <c r="I1825" s="33">
        <v>0.3</v>
      </c>
      <c r="L1825" s="33">
        <v>1.95</v>
      </c>
      <c r="M1825" s="271">
        <v>0.51190000000000002</v>
      </c>
      <c r="N1825" s="41">
        <v>0</v>
      </c>
      <c r="O1825" s="33">
        <v>100</v>
      </c>
      <c r="P1825" s="163">
        <v>0</v>
      </c>
      <c r="Q1825" s="163">
        <v>0</v>
      </c>
      <c r="R1825" s="163">
        <v>0</v>
      </c>
      <c r="S1825" s="163">
        <v>0</v>
      </c>
      <c r="T1825" s="163">
        <v>0</v>
      </c>
      <c r="U1825" s="163">
        <v>0</v>
      </c>
      <c r="V1825" s="163">
        <v>0</v>
      </c>
      <c r="W1825" s="163">
        <v>0</v>
      </c>
      <c r="X1825" s="163">
        <v>0</v>
      </c>
      <c r="Y1825" s="163">
        <v>0</v>
      </c>
      <c r="Z1825" s="163">
        <v>0</v>
      </c>
      <c r="AA1825" s="40"/>
      <c r="AB1825" s="40"/>
      <c r="AC1825" s="40"/>
      <c r="AD1825" s="40"/>
      <c r="AE1825" s="40"/>
      <c r="AF1825" s="40"/>
      <c r="AG1825" s="40"/>
      <c r="AH1825" s="40"/>
      <c r="AI1825" s="40"/>
      <c r="AJ1825" s="40"/>
      <c r="AK1825" s="40"/>
      <c r="AL1825" s="40"/>
      <c r="AM1825" s="40"/>
      <c r="AN1825" s="40"/>
      <c r="AO1825" s="40"/>
      <c r="AP1825" s="40"/>
      <c r="AQ1825" s="40"/>
      <c r="AR1825" s="40"/>
      <c r="AS1825" s="40"/>
      <c r="AT1825" s="40"/>
      <c r="AU1825" s="40"/>
      <c r="AV1825" s="315">
        <v>0</v>
      </c>
      <c r="AW1825" s="317"/>
      <c r="AX1825" s="317"/>
      <c r="AY1825" s="313">
        <v>0</v>
      </c>
      <c r="AZ1825" s="40"/>
      <c r="BA1825" s="40"/>
      <c r="BB1825" s="40"/>
      <c r="BC1825" s="40">
        <v>0</v>
      </c>
      <c r="BD1825" s="40">
        <v>0</v>
      </c>
      <c r="BE1825" s="163">
        <v>0</v>
      </c>
      <c r="BF1825" s="163">
        <v>0</v>
      </c>
      <c r="BG1825" s="40"/>
      <c r="BH1825" s="40"/>
      <c r="BI1825" s="40"/>
      <c r="BJ1825" s="40"/>
      <c r="BK1825" s="40"/>
      <c r="BL1825" s="62">
        <v>1</v>
      </c>
      <c r="BM1825" s="275">
        <v>3</v>
      </c>
      <c r="BN1825" s="62">
        <v>0</v>
      </c>
      <c r="BO1825" s="33" t="s">
        <v>698</v>
      </c>
    </row>
    <row r="1826" spans="1:67">
      <c r="A1826" s="33" t="str">
        <f>Database_Productkaarten[[#This Row],[Product]]&amp;", "&amp;Database_Productkaarten[[#This Row],[Levensfase]]</f>
        <v>Hydraulisch Menggranulaat 300mm, C4</v>
      </c>
      <c r="B1826" s="33" t="s">
        <v>706</v>
      </c>
      <c r="C1826" s="33" t="s">
        <v>48</v>
      </c>
      <c r="D1826" s="33" t="s">
        <v>704</v>
      </c>
      <c r="E1826" s="33" t="s">
        <v>385</v>
      </c>
      <c r="F1826" s="33" t="s">
        <v>86</v>
      </c>
      <c r="G1826" s="33">
        <v>1</v>
      </c>
      <c r="H1826" s="33">
        <v>1</v>
      </c>
      <c r="I1826" s="33">
        <v>0.3</v>
      </c>
      <c r="L1826" s="33">
        <v>1.95</v>
      </c>
      <c r="M1826" s="271">
        <v>0.51190000000000002</v>
      </c>
      <c r="N1826" s="41">
        <v>4.3499999999999997E-3</v>
      </c>
      <c r="O1826" s="33">
        <v>100</v>
      </c>
      <c r="P1826" s="163">
        <v>3.4800000000000001E-8</v>
      </c>
      <c r="Q1826" s="163">
        <v>4.5199999999999998E-4</v>
      </c>
      <c r="R1826" s="163">
        <v>3.09E-2</v>
      </c>
      <c r="S1826" s="163">
        <v>1.11E-8</v>
      </c>
      <c r="T1826" s="163">
        <v>3.3599999999999997E-5</v>
      </c>
      <c r="U1826" s="163">
        <v>2.33E-4</v>
      </c>
      <c r="V1826" s="163">
        <v>4.4100000000000001E-5</v>
      </c>
      <c r="W1826" s="163">
        <v>1.34E-2</v>
      </c>
      <c r="X1826" s="163">
        <v>3.2499999999999999E-4</v>
      </c>
      <c r="Y1826" s="163">
        <v>1.1399999999999999</v>
      </c>
      <c r="Z1826" s="163">
        <v>3.3500000000000001E-5</v>
      </c>
      <c r="AA1826" s="40"/>
      <c r="AB1826" s="40"/>
      <c r="AC1826" s="40"/>
      <c r="AD1826" s="40"/>
      <c r="AE1826" s="40"/>
      <c r="AF1826" s="40"/>
      <c r="AG1826" s="40"/>
      <c r="AH1826" s="40"/>
      <c r="AI1826" s="40"/>
      <c r="AJ1826" s="40"/>
      <c r="AK1826" s="40"/>
      <c r="AL1826" s="40"/>
      <c r="AM1826" s="40"/>
      <c r="AN1826" s="40"/>
      <c r="AO1826" s="40"/>
      <c r="AP1826" s="40"/>
      <c r="AQ1826" s="40"/>
      <c r="AR1826" s="40"/>
      <c r="AS1826" s="40"/>
      <c r="AT1826" s="40"/>
      <c r="AU1826" s="40"/>
      <c r="AV1826" s="315">
        <v>7.77E-3</v>
      </c>
      <c r="AW1826" s="317"/>
      <c r="AX1826" s="317"/>
      <c r="AY1826" s="313">
        <v>1.01</v>
      </c>
      <c r="AZ1826" s="40"/>
      <c r="BA1826" s="40"/>
      <c r="BB1826" s="40"/>
      <c r="BC1826" s="40">
        <v>9.9099999999999991E-4</v>
      </c>
      <c r="BD1826" s="40">
        <v>6.3499999999999996E-7</v>
      </c>
      <c r="BE1826" s="163">
        <v>5.85</v>
      </c>
      <c r="BF1826" s="163">
        <v>6.28E-6</v>
      </c>
      <c r="BG1826" s="40"/>
      <c r="BH1826" s="40"/>
      <c r="BI1826" s="40"/>
      <c r="BJ1826" s="40"/>
      <c r="BK1826" s="40"/>
      <c r="BL1826" s="62">
        <v>1</v>
      </c>
      <c r="BM1826" s="275">
        <v>3</v>
      </c>
      <c r="BN1826" s="62">
        <v>0</v>
      </c>
      <c r="BO1826" s="33" t="s">
        <v>698</v>
      </c>
    </row>
    <row r="1827" spans="1:67">
      <c r="A1827" s="33" t="str">
        <f>Database_Productkaarten[[#This Row],[Product]]&amp;", "&amp;Database_Productkaarten[[#This Row],[Levensfase]]</f>
        <v>Hydraulisch Menggranulaat 300mm, D</v>
      </c>
      <c r="B1827" s="33" t="s">
        <v>706</v>
      </c>
      <c r="C1827" s="33" t="str">
        <f>C1828</f>
        <v>Funderingslagen</v>
      </c>
      <c r="D1827" s="33" t="str">
        <f>D1828</f>
        <v>Hydraulisch Menggranulaat</v>
      </c>
      <c r="E1827" s="33" t="s">
        <v>385</v>
      </c>
      <c r="F1827" s="33" t="s">
        <v>89</v>
      </c>
      <c r="G1827" s="33">
        <v>1</v>
      </c>
      <c r="H1827" s="33">
        <v>1</v>
      </c>
      <c r="I1827" s="33">
        <v>0.3</v>
      </c>
      <c r="L1827" s="33">
        <v>1.95</v>
      </c>
      <c r="M1827" s="271">
        <v>0.51190000000000002</v>
      </c>
      <c r="N1827" s="41">
        <v>8.7899999999999992E-3</v>
      </c>
      <c r="O1827" s="33">
        <v>100</v>
      </c>
      <c r="P1827" s="163">
        <v>1.36E-7</v>
      </c>
      <c r="Q1827" s="163">
        <v>1.6899999999999999E-4</v>
      </c>
      <c r="R1827" s="163">
        <v>2.46E-2</v>
      </c>
      <c r="S1827" s="163">
        <v>2.1999999999999998E-9</v>
      </c>
      <c r="T1827" s="163">
        <v>1.7799999999999999E-5</v>
      </c>
      <c r="U1827" s="163">
        <v>1.4100000000000001E-4</v>
      </c>
      <c r="V1827" s="163">
        <v>2.4499999999999999E-5</v>
      </c>
      <c r="W1827" s="163">
        <v>1.0999999999999999E-2</v>
      </c>
      <c r="X1827" s="163">
        <v>1.5699999999999999E-4</v>
      </c>
      <c r="Y1827" s="163">
        <v>0.68600000000000005</v>
      </c>
      <c r="Z1827" s="163">
        <v>5.7299999999999997E-5</v>
      </c>
      <c r="AA1827" s="40"/>
      <c r="AB1827" s="40"/>
      <c r="AC1827" s="40"/>
      <c r="AD1827" s="40"/>
      <c r="AE1827" s="40"/>
      <c r="AF1827" s="40"/>
      <c r="AG1827" s="40"/>
      <c r="AH1827" s="40"/>
      <c r="AI1827" s="40"/>
      <c r="AJ1827" s="40"/>
      <c r="AK1827" s="40"/>
      <c r="AL1827" s="40"/>
      <c r="AM1827" s="40"/>
      <c r="AN1827" s="40"/>
      <c r="AO1827" s="40"/>
      <c r="AP1827" s="40"/>
      <c r="AQ1827" s="40"/>
      <c r="AR1827" s="40"/>
      <c r="AS1827" s="40"/>
      <c r="AT1827" s="40"/>
      <c r="AU1827" s="40"/>
      <c r="AV1827" s="315">
        <v>2.07E-2</v>
      </c>
      <c r="AW1827" s="317"/>
      <c r="AX1827" s="317"/>
      <c r="AY1827" s="313">
        <v>0.33900000000000002</v>
      </c>
      <c r="AZ1827" s="40"/>
      <c r="BA1827" s="40"/>
      <c r="BB1827" s="40"/>
      <c r="BC1827" s="40">
        <v>8.26E-3</v>
      </c>
      <c r="BD1827" s="40">
        <v>4.5200000000000002E-7</v>
      </c>
      <c r="BE1827" s="163">
        <v>3.2100000000000002E-3</v>
      </c>
      <c r="BF1827" s="163">
        <v>1.4300000000000001E-6</v>
      </c>
      <c r="BG1827" s="40"/>
      <c r="BH1827" s="40"/>
      <c r="BI1827" s="40"/>
      <c r="BJ1827" s="40"/>
      <c r="BK1827" s="40"/>
      <c r="BL1827" s="62">
        <v>1</v>
      </c>
      <c r="BM1827" s="275">
        <v>3</v>
      </c>
      <c r="BN1827" s="62">
        <v>0</v>
      </c>
      <c r="BO1827" s="33" t="s">
        <v>698</v>
      </c>
    </row>
    <row r="1828" spans="1:67">
      <c r="A1828" s="33" t="str">
        <f>Database_Productkaarten[[#This Row],[Product]]&amp;", "&amp;Database_Productkaarten[[#This Row],[Levensfase]]</f>
        <v>Hydraulisch Menggranulaat 300mm, D1</v>
      </c>
      <c r="B1828" s="33" t="s">
        <v>706</v>
      </c>
      <c r="C1828" s="33" t="s">
        <v>48</v>
      </c>
      <c r="D1828" s="33" t="s">
        <v>704</v>
      </c>
      <c r="E1828" s="33" t="s">
        <v>385</v>
      </c>
      <c r="F1828" s="33" t="s">
        <v>87</v>
      </c>
      <c r="G1828" s="33">
        <v>1</v>
      </c>
      <c r="H1828" s="33">
        <v>1</v>
      </c>
      <c r="I1828" s="33">
        <v>0.3</v>
      </c>
      <c r="L1828" s="33">
        <v>1.95</v>
      </c>
      <c r="M1828" s="271">
        <v>0.51190000000000002</v>
      </c>
      <c r="N1828" s="41"/>
      <c r="O1828" s="33">
        <v>100</v>
      </c>
      <c r="P1828" s="40"/>
      <c r="Q1828" s="40"/>
      <c r="R1828" s="40"/>
      <c r="S1828" s="40"/>
      <c r="T1828" s="40"/>
      <c r="U1828" s="40"/>
      <c r="V1828" s="40"/>
      <c r="W1828" s="40"/>
      <c r="X1828" s="40"/>
      <c r="Y1828" s="40"/>
      <c r="Z1828" s="40"/>
      <c r="AA1828" s="40"/>
      <c r="AB1828" s="40"/>
      <c r="AC1828" s="40"/>
      <c r="AD1828" s="40"/>
      <c r="AE1828" s="40"/>
      <c r="AF1828" s="40"/>
      <c r="AG1828" s="40"/>
      <c r="AH1828" s="40"/>
      <c r="AI1828" s="40"/>
      <c r="AJ1828" s="40"/>
      <c r="AK1828" s="40"/>
      <c r="AL1828" s="40"/>
      <c r="AM1828" s="40"/>
      <c r="AN1828" s="40"/>
      <c r="AO1828" s="40"/>
      <c r="AP1828" s="40"/>
      <c r="AQ1828" s="40"/>
      <c r="AR1828" s="40"/>
      <c r="AS1828" s="40"/>
      <c r="AT1828" s="40"/>
      <c r="AU1828" s="40"/>
      <c r="AV1828" s="313"/>
      <c r="AW1828" s="317"/>
      <c r="AX1828" s="317"/>
      <c r="AY1828" s="313"/>
      <c r="AZ1828" s="40"/>
      <c r="BA1828" s="40"/>
      <c r="BB1828" s="40"/>
      <c r="BC1828" s="40"/>
      <c r="BD1828" s="40"/>
      <c r="BE1828" s="40"/>
      <c r="BF1828" s="40"/>
      <c r="BG1828" s="40"/>
      <c r="BH1828" s="40"/>
      <c r="BI1828" s="40"/>
      <c r="BJ1828" s="40"/>
      <c r="BK1828" s="40"/>
      <c r="BL1828" s="62">
        <v>1</v>
      </c>
      <c r="BM1828" s="275">
        <v>3</v>
      </c>
      <c r="BN1828" s="62">
        <v>0</v>
      </c>
      <c r="BO1828" s="33" t="s">
        <v>698</v>
      </c>
    </row>
    <row r="1829" spans="1:67">
      <c r="A1829" s="33" t="str">
        <f>Database_Productkaarten[[#This Row],[Product]]&amp;", "&amp;Database_Productkaarten[[#This Row],[Levensfase]]</f>
        <v>Hydraulisch Menggranulaat 300mm, D2</v>
      </c>
      <c r="B1829" s="33" t="s">
        <v>706</v>
      </c>
      <c r="C1829" s="33" t="s">
        <v>48</v>
      </c>
      <c r="D1829" s="33" t="s">
        <v>704</v>
      </c>
      <c r="E1829" s="33" t="s">
        <v>385</v>
      </c>
      <c r="F1829" s="33" t="s">
        <v>88</v>
      </c>
      <c r="G1829" s="33">
        <v>1</v>
      </c>
      <c r="H1829" s="33">
        <v>1</v>
      </c>
      <c r="I1829" s="33">
        <v>0.3</v>
      </c>
      <c r="L1829" s="33">
        <v>1.95</v>
      </c>
      <c r="M1829" s="271">
        <v>0.51190000000000002</v>
      </c>
      <c r="N1829" s="41"/>
      <c r="O1829" s="33">
        <v>100</v>
      </c>
      <c r="P1829" s="40"/>
      <c r="Q1829" s="40"/>
      <c r="R1829" s="40"/>
      <c r="S1829" s="40"/>
      <c r="T1829" s="40"/>
      <c r="U1829" s="40"/>
      <c r="V1829" s="40"/>
      <c r="W1829" s="40"/>
      <c r="X1829" s="40"/>
      <c r="Y1829" s="40"/>
      <c r="Z1829" s="40"/>
      <c r="AA1829" s="40"/>
      <c r="AB1829" s="40"/>
      <c r="AC1829" s="40"/>
      <c r="AD1829" s="40"/>
      <c r="AE1829" s="40"/>
      <c r="AF1829" s="40"/>
      <c r="AG1829" s="40"/>
      <c r="AH1829" s="40"/>
      <c r="AI1829" s="40"/>
      <c r="AJ1829" s="40"/>
      <c r="AK1829" s="40"/>
      <c r="AL1829" s="40"/>
      <c r="AM1829" s="40"/>
      <c r="AN1829" s="40"/>
      <c r="AO1829" s="40"/>
      <c r="AP1829" s="40"/>
      <c r="AQ1829" s="40"/>
      <c r="AR1829" s="40"/>
      <c r="AS1829" s="40"/>
      <c r="AT1829" s="40"/>
      <c r="AU1829" s="40"/>
      <c r="AV1829" s="313"/>
      <c r="AW1829" s="317"/>
      <c r="AX1829" s="317"/>
      <c r="AY1829" s="313"/>
      <c r="AZ1829" s="40"/>
      <c r="BA1829" s="40"/>
      <c r="BB1829" s="40"/>
      <c r="BC1829" s="40"/>
      <c r="BD1829" s="40"/>
      <c r="BE1829" s="40"/>
      <c r="BF1829" s="40"/>
      <c r="BG1829" s="40"/>
      <c r="BH1829" s="40"/>
      <c r="BI1829" s="40"/>
      <c r="BJ1829" s="40"/>
      <c r="BK1829" s="40"/>
      <c r="BL1829" s="62">
        <v>1</v>
      </c>
      <c r="BM1829" s="275">
        <v>3</v>
      </c>
      <c r="BN1829" s="62">
        <v>0</v>
      </c>
      <c r="BO1829" s="33" t="s">
        <v>698</v>
      </c>
    </row>
    <row r="1830" spans="1:67">
      <c r="A1830" s="33" t="str">
        <f>Database_Productkaarten[[#This Row],[Product]]&amp;", "&amp;Database_Productkaarten[[#This Row],[Levensfase]]</f>
        <v>Fosforslakmengsel 200mm, Totaal</v>
      </c>
      <c r="B1830" t="s">
        <v>244</v>
      </c>
      <c r="C1830" s="33" t="s">
        <v>48</v>
      </c>
      <c r="D1830" s="33" t="s">
        <v>707</v>
      </c>
      <c r="E1830" s="33" t="s">
        <v>385</v>
      </c>
      <c r="F1830" s="33" t="s">
        <v>90</v>
      </c>
      <c r="G1830" s="33">
        <v>1</v>
      </c>
      <c r="H1830" s="33">
        <v>1</v>
      </c>
      <c r="I1830" s="33">
        <v>0.2</v>
      </c>
      <c r="L1830" s="33">
        <v>2.8</v>
      </c>
      <c r="M1830" s="271">
        <v>0.56000000000000005</v>
      </c>
      <c r="N1830" s="41">
        <v>0.65847999999999995</v>
      </c>
      <c r="O1830" s="33">
        <v>100</v>
      </c>
      <c r="P1830" s="163">
        <v>1.11E-5</v>
      </c>
      <c r="Q1830" s="163">
        <v>6.1499999999999999E-2</v>
      </c>
      <c r="R1830" s="163">
        <v>8.41</v>
      </c>
      <c r="S1830" s="163">
        <v>1.53E-6</v>
      </c>
      <c r="T1830" s="163">
        <v>4.4600000000000004E-3</v>
      </c>
      <c r="U1830" s="163">
        <v>3.0099999999999998E-2</v>
      </c>
      <c r="V1830" s="163">
        <v>6.13E-3</v>
      </c>
      <c r="W1830" s="163">
        <v>2.69</v>
      </c>
      <c r="X1830" s="163">
        <v>0.17599999999999999</v>
      </c>
      <c r="Y1830" s="163">
        <v>453</v>
      </c>
      <c r="Z1830" s="163">
        <v>8.9399999999999993E-2</v>
      </c>
      <c r="AA1830" s="40"/>
      <c r="AB1830" s="40"/>
      <c r="AC1830" s="40"/>
      <c r="AD1830" s="40"/>
      <c r="AE1830" s="40"/>
      <c r="AF1830" s="40"/>
      <c r="AG1830" s="40"/>
      <c r="AH1830" s="40"/>
      <c r="AI1830" s="40"/>
      <c r="AJ1830" s="40"/>
      <c r="AK1830" s="40"/>
      <c r="AL1830" s="40"/>
      <c r="AM1830" s="40"/>
      <c r="AN1830" s="40"/>
      <c r="AO1830" s="40"/>
      <c r="AP1830" s="40"/>
      <c r="AQ1830" s="40"/>
      <c r="AR1830" s="40"/>
      <c r="AS1830" s="40"/>
      <c r="AT1830" s="40"/>
      <c r="AU1830" s="40"/>
      <c r="AV1830" s="315">
        <v>2.34</v>
      </c>
      <c r="AW1830" s="317"/>
      <c r="AX1830" s="317"/>
      <c r="AY1830" s="313">
        <v>138</v>
      </c>
      <c r="AZ1830" s="40"/>
      <c r="BA1830" s="40"/>
      <c r="BB1830" s="40"/>
      <c r="BC1830" s="40">
        <v>3.5400000000000001E-2</v>
      </c>
      <c r="BD1830" s="40">
        <v>8.8800000000000001E-4</v>
      </c>
      <c r="BE1830" s="163">
        <v>14.2</v>
      </c>
      <c r="BF1830" s="163">
        <v>6.8800000000000005E-5</v>
      </c>
      <c r="BG1830" s="40"/>
      <c r="BH1830" s="40"/>
      <c r="BI1830" s="40"/>
      <c r="BJ1830" s="40"/>
      <c r="BK1830" s="40"/>
      <c r="BL1830" s="62">
        <v>1</v>
      </c>
      <c r="BM1830" s="275">
        <v>3</v>
      </c>
      <c r="BN1830" s="62">
        <v>0</v>
      </c>
      <c r="BO1830" s="33" t="s">
        <v>698</v>
      </c>
    </row>
    <row r="1831" spans="1:67">
      <c r="A1831" s="33" t="str">
        <f>Database_Productkaarten[[#This Row],[Product]]&amp;", "&amp;Database_Productkaarten[[#This Row],[Levensfase]]</f>
        <v>Fosforslakmengsel 200mm, A1</v>
      </c>
      <c r="B1831" t="s">
        <v>244</v>
      </c>
      <c r="C1831" s="33" t="s">
        <v>48</v>
      </c>
      <c r="D1831" s="33" t="s">
        <v>707</v>
      </c>
      <c r="E1831" s="33" t="s">
        <v>385</v>
      </c>
      <c r="F1831" s="33" t="s">
        <v>74</v>
      </c>
      <c r="G1831" s="33">
        <v>1</v>
      </c>
      <c r="H1831" s="33">
        <v>1</v>
      </c>
      <c r="I1831" s="33">
        <v>0.2</v>
      </c>
      <c r="L1831" s="33">
        <v>2.8</v>
      </c>
      <c r="M1831" s="271">
        <v>0.56000000000000005</v>
      </c>
      <c r="N1831" s="41"/>
      <c r="O1831" s="33">
        <v>100</v>
      </c>
      <c r="P1831" s="40"/>
      <c r="Q1831" s="40"/>
      <c r="R1831" s="40"/>
      <c r="S1831" s="40"/>
      <c r="T1831" s="40"/>
      <c r="U1831" s="40"/>
      <c r="V1831" s="40"/>
      <c r="W1831" s="40"/>
      <c r="X1831" s="40"/>
      <c r="Y1831" s="40"/>
      <c r="Z1831" s="40"/>
      <c r="AA1831" s="40"/>
      <c r="AB1831" s="40"/>
      <c r="AC1831" s="40"/>
      <c r="AD1831" s="40"/>
      <c r="AE1831" s="40"/>
      <c r="AF1831" s="40"/>
      <c r="AG1831" s="40"/>
      <c r="AH1831" s="40"/>
      <c r="AI1831" s="40"/>
      <c r="AJ1831" s="40"/>
      <c r="AK1831" s="40"/>
      <c r="AL1831" s="40"/>
      <c r="AM1831" s="40"/>
      <c r="AN1831" s="40"/>
      <c r="AO1831" s="40"/>
      <c r="AP1831" s="40"/>
      <c r="AQ1831" s="40"/>
      <c r="AR1831" s="40"/>
      <c r="AS1831" s="40"/>
      <c r="AT1831" s="40"/>
      <c r="AU1831" s="40"/>
      <c r="AV1831" s="317"/>
      <c r="AW1831" s="317"/>
      <c r="AX1831" s="317"/>
      <c r="AY1831" s="313"/>
      <c r="AZ1831" s="40"/>
      <c r="BA1831" s="40"/>
      <c r="BB1831" s="40"/>
      <c r="BC1831" s="40"/>
      <c r="BD1831" s="40"/>
      <c r="BE1831" s="40"/>
      <c r="BF1831" s="40"/>
      <c r="BG1831" s="40"/>
      <c r="BH1831" s="40"/>
      <c r="BI1831" s="40"/>
      <c r="BJ1831" s="40"/>
      <c r="BK1831" s="40"/>
      <c r="BL1831" s="62">
        <v>1</v>
      </c>
      <c r="BM1831" s="275">
        <v>3</v>
      </c>
      <c r="BN1831" s="62">
        <v>0</v>
      </c>
      <c r="BO1831" s="33" t="s">
        <v>698</v>
      </c>
    </row>
    <row r="1832" spans="1:67">
      <c r="A1832" s="33" t="str">
        <f>Database_Productkaarten[[#This Row],[Product]]&amp;", "&amp;Database_Productkaarten[[#This Row],[Levensfase]]</f>
        <v>Fosforslakmengsel 200mm, A2</v>
      </c>
      <c r="B1832" t="s">
        <v>244</v>
      </c>
      <c r="C1832" s="33" t="s">
        <v>48</v>
      </c>
      <c r="D1832" s="33" t="s">
        <v>707</v>
      </c>
      <c r="E1832" s="33" t="s">
        <v>385</v>
      </c>
      <c r="F1832" s="33" t="s">
        <v>75</v>
      </c>
      <c r="G1832" s="33">
        <v>1</v>
      </c>
      <c r="H1832" s="33">
        <v>1</v>
      </c>
      <c r="I1832" s="33">
        <v>0.2</v>
      </c>
      <c r="L1832" s="33">
        <v>2.8</v>
      </c>
      <c r="M1832" s="271">
        <v>0.56000000000000005</v>
      </c>
      <c r="N1832" s="41"/>
      <c r="O1832" s="33">
        <v>100</v>
      </c>
      <c r="P1832" s="40"/>
      <c r="Q1832" s="40"/>
      <c r="R1832" s="40"/>
      <c r="S1832" s="40"/>
      <c r="T1832" s="40"/>
      <c r="U1832" s="40"/>
      <c r="V1832" s="40"/>
      <c r="W1832" s="40"/>
      <c r="X1832" s="40"/>
      <c r="Y1832" s="40"/>
      <c r="Z1832" s="40"/>
      <c r="AA1832" s="40"/>
      <c r="AB1832" s="40"/>
      <c r="AC1832" s="40"/>
      <c r="AD1832" s="40"/>
      <c r="AE1832" s="40"/>
      <c r="AF1832" s="40"/>
      <c r="AG1832" s="40"/>
      <c r="AH1832" s="40"/>
      <c r="AI1832" s="40"/>
      <c r="AJ1832" s="40"/>
      <c r="AK1832" s="40"/>
      <c r="AL1832" s="40"/>
      <c r="AM1832" s="40"/>
      <c r="AN1832" s="40"/>
      <c r="AO1832" s="40"/>
      <c r="AP1832" s="40"/>
      <c r="AQ1832" s="40"/>
      <c r="AR1832" s="40"/>
      <c r="AS1832" s="40"/>
      <c r="AT1832" s="40"/>
      <c r="AU1832" s="40"/>
      <c r="AV1832" s="317"/>
      <c r="AW1832" s="317"/>
      <c r="AX1832" s="317"/>
      <c r="AY1832" s="313"/>
      <c r="AZ1832" s="40"/>
      <c r="BA1832" s="40"/>
      <c r="BB1832" s="40"/>
      <c r="BC1832" s="40"/>
      <c r="BD1832" s="40"/>
      <c r="BE1832" s="40"/>
      <c r="BF1832" s="40"/>
      <c r="BG1832" s="40"/>
      <c r="BH1832" s="40"/>
      <c r="BI1832" s="40"/>
      <c r="BJ1832" s="40"/>
      <c r="BK1832" s="40"/>
      <c r="BL1832" s="62">
        <v>1</v>
      </c>
      <c r="BM1832" s="275">
        <v>3</v>
      </c>
      <c r="BN1832" s="62">
        <v>0</v>
      </c>
      <c r="BO1832" s="33" t="s">
        <v>698</v>
      </c>
    </row>
    <row r="1833" spans="1:67">
      <c r="A1833" s="33" t="str">
        <f>Database_Productkaarten[[#This Row],[Product]]&amp;", "&amp;Database_Productkaarten[[#This Row],[Levensfase]]</f>
        <v>Fosforslakmengsel 200mm, A3</v>
      </c>
      <c r="B1833" t="s">
        <v>244</v>
      </c>
      <c r="C1833" s="33" t="s">
        <v>48</v>
      </c>
      <c r="D1833" s="33" t="s">
        <v>707</v>
      </c>
      <c r="E1833" s="33" t="s">
        <v>385</v>
      </c>
      <c r="F1833" s="33" t="s">
        <v>76</v>
      </c>
      <c r="G1833" s="33">
        <v>1</v>
      </c>
      <c r="H1833" s="33">
        <v>1</v>
      </c>
      <c r="I1833" s="33">
        <v>0.2</v>
      </c>
      <c r="L1833" s="33">
        <v>2.8</v>
      </c>
      <c r="M1833" s="271">
        <v>0.56000000000000005</v>
      </c>
      <c r="N1833" s="41"/>
      <c r="O1833" s="33">
        <v>100</v>
      </c>
      <c r="P1833" s="40"/>
      <c r="Q1833" s="40"/>
      <c r="R1833" s="40"/>
      <c r="S1833" s="40"/>
      <c r="T1833" s="40"/>
      <c r="U1833" s="40"/>
      <c r="V1833" s="40"/>
      <c r="W1833" s="40"/>
      <c r="X1833" s="40"/>
      <c r="Y1833" s="40"/>
      <c r="Z1833" s="40"/>
      <c r="AA1833" s="40"/>
      <c r="AB1833" s="40"/>
      <c r="AC1833" s="40"/>
      <c r="AD1833" s="40"/>
      <c r="AE1833" s="40"/>
      <c r="AF1833" s="40"/>
      <c r="AG1833" s="40"/>
      <c r="AH1833" s="40"/>
      <c r="AI1833" s="40"/>
      <c r="AJ1833" s="40"/>
      <c r="AK1833" s="40"/>
      <c r="AL1833" s="40"/>
      <c r="AM1833" s="40"/>
      <c r="AN1833" s="40"/>
      <c r="AO1833" s="40"/>
      <c r="AP1833" s="40"/>
      <c r="AQ1833" s="40"/>
      <c r="AR1833" s="40"/>
      <c r="AS1833" s="40"/>
      <c r="AT1833" s="40"/>
      <c r="AU1833" s="40"/>
      <c r="AV1833" s="317"/>
      <c r="AW1833" s="317"/>
      <c r="AX1833" s="317"/>
      <c r="AY1833" s="313"/>
      <c r="AZ1833" s="40"/>
      <c r="BA1833" s="40"/>
      <c r="BB1833" s="40"/>
      <c r="BC1833" s="40"/>
      <c r="BD1833" s="40"/>
      <c r="BE1833" s="40"/>
      <c r="BF1833" s="40"/>
      <c r="BG1833" s="40"/>
      <c r="BH1833" s="40"/>
      <c r="BI1833" s="40"/>
      <c r="BJ1833" s="40"/>
      <c r="BK1833" s="40"/>
      <c r="BL1833" s="62">
        <v>1</v>
      </c>
      <c r="BM1833" s="275">
        <v>3</v>
      </c>
      <c r="BN1833" s="62">
        <v>0</v>
      </c>
      <c r="BO1833" s="33" t="s">
        <v>698</v>
      </c>
    </row>
    <row r="1834" spans="1:67">
      <c r="A1834" s="33" t="str">
        <f>Database_Productkaarten[[#This Row],[Product]]&amp;", "&amp;Database_Productkaarten[[#This Row],[Levensfase]]</f>
        <v>Fosforslakmengsel 200mm, A1-A3</v>
      </c>
      <c r="B1834" t="s">
        <v>244</v>
      </c>
      <c r="C1834" s="33" t="s">
        <v>48</v>
      </c>
      <c r="D1834" s="33" t="s">
        <v>707</v>
      </c>
      <c r="E1834" s="33" t="s">
        <v>385</v>
      </c>
      <c r="F1834" s="451" t="s">
        <v>77</v>
      </c>
      <c r="G1834" s="33">
        <v>1</v>
      </c>
      <c r="H1834" s="33">
        <v>1</v>
      </c>
      <c r="I1834" s="33">
        <v>0.2</v>
      </c>
      <c r="L1834" s="33">
        <v>2.8</v>
      </c>
      <c r="M1834" s="271">
        <v>0.56000000000000005</v>
      </c>
      <c r="N1834" s="41">
        <v>9.4839999999999994E-2</v>
      </c>
      <c r="O1834" s="33">
        <v>100</v>
      </c>
      <c r="P1834" s="163">
        <v>5.7800000000000001E-7</v>
      </c>
      <c r="Q1834" s="163">
        <v>6.4900000000000001E-3</v>
      </c>
      <c r="R1834" s="163">
        <v>0.90500000000000003</v>
      </c>
      <c r="S1834" s="163">
        <v>1.05E-7</v>
      </c>
      <c r="T1834" s="163">
        <v>5.1900000000000004E-4</v>
      </c>
      <c r="U1834" s="163">
        <v>4.5100000000000001E-3</v>
      </c>
      <c r="V1834" s="163">
        <v>1.0200000000000001E-3</v>
      </c>
      <c r="W1834" s="163">
        <v>0.20799999999999999</v>
      </c>
      <c r="X1834" s="163">
        <v>3.5500000000000002E-3</v>
      </c>
      <c r="Y1834" s="163">
        <v>13.1</v>
      </c>
      <c r="Z1834" s="163">
        <v>2.63E-3</v>
      </c>
      <c r="AA1834" s="40"/>
      <c r="AB1834" s="40"/>
      <c r="AC1834" s="40"/>
      <c r="AD1834" s="40"/>
      <c r="AE1834" s="40"/>
      <c r="AF1834" s="40"/>
      <c r="AG1834" s="40"/>
      <c r="AH1834" s="40"/>
      <c r="AI1834" s="40"/>
      <c r="AJ1834" s="40"/>
      <c r="AK1834" s="40"/>
      <c r="AL1834" s="40"/>
      <c r="AM1834" s="40"/>
      <c r="AN1834" s="40"/>
      <c r="AO1834" s="40"/>
      <c r="AP1834" s="40"/>
      <c r="AQ1834" s="40"/>
      <c r="AR1834" s="40"/>
      <c r="AS1834" s="40"/>
      <c r="AT1834" s="40"/>
      <c r="AU1834" s="40"/>
      <c r="AV1834" s="315">
        <v>0.72899999999999998</v>
      </c>
      <c r="AW1834" s="317"/>
      <c r="AX1834" s="317"/>
      <c r="AY1834" s="313">
        <v>13.6</v>
      </c>
      <c r="AZ1834" s="40"/>
      <c r="BA1834" s="40"/>
      <c r="BB1834" s="40"/>
      <c r="BC1834" s="40">
        <v>5.9899999999999997E-3</v>
      </c>
      <c r="BD1834" s="40">
        <v>2.0800000000000001E-5</v>
      </c>
      <c r="BE1834" s="163">
        <v>1.7</v>
      </c>
      <c r="BF1834" s="163">
        <v>6.1400000000000002E-5</v>
      </c>
      <c r="BG1834" s="40"/>
      <c r="BH1834" s="40"/>
      <c r="BI1834" s="40"/>
      <c r="BJ1834" s="40"/>
      <c r="BK1834" s="40"/>
      <c r="BL1834" s="62">
        <v>1</v>
      </c>
      <c r="BM1834" s="275">
        <v>3</v>
      </c>
      <c r="BN1834" s="62">
        <v>0</v>
      </c>
      <c r="BO1834" s="33" t="s">
        <v>698</v>
      </c>
    </row>
    <row r="1835" spans="1:67">
      <c r="A1835" s="33" t="str">
        <f>Database_Productkaarten[[#This Row],[Product]]&amp;", "&amp;Database_Productkaarten[[#This Row],[Levensfase]]</f>
        <v>Fosforslakmengsel 200mm, A4</v>
      </c>
      <c r="B1835" t="s">
        <v>244</v>
      </c>
      <c r="C1835" s="33" t="s">
        <v>48</v>
      </c>
      <c r="D1835" s="33" t="s">
        <v>707</v>
      </c>
      <c r="E1835" s="33" t="s">
        <v>385</v>
      </c>
      <c r="F1835" s="33" t="s">
        <v>78</v>
      </c>
      <c r="G1835" s="33">
        <v>1</v>
      </c>
      <c r="H1835" s="33">
        <v>1</v>
      </c>
      <c r="I1835" s="33">
        <v>0.2</v>
      </c>
      <c r="L1835" s="33">
        <v>2.8</v>
      </c>
      <c r="M1835" s="271">
        <v>0.56000000000000005</v>
      </c>
      <c r="N1835" s="41">
        <v>0.26798</v>
      </c>
      <c r="O1835" s="33">
        <v>100</v>
      </c>
      <c r="P1835" s="163">
        <v>4.5399999999999997E-6</v>
      </c>
      <c r="Q1835" s="163">
        <v>1.7899999999999999E-2</v>
      </c>
      <c r="R1835" s="163">
        <v>2.37</v>
      </c>
      <c r="S1835" s="163">
        <v>4.7E-7</v>
      </c>
      <c r="T1835" s="163">
        <v>1.49E-3</v>
      </c>
      <c r="U1835" s="163">
        <v>8.6300000000000005E-3</v>
      </c>
      <c r="V1835" s="163">
        <v>1.7600000000000001E-3</v>
      </c>
      <c r="W1835" s="163">
        <v>0.83299999999999996</v>
      </c>
      <c r="X1835" s="163">
        <v>5.3699999999999998E-2</v>
      </c>
      <c r="Y1835" s="163">
        <v>141</v>
      </c>
      <c r="Z1835" s="163">
        <v>4.9399999999999999E-3</v>
      </c>
      <c r="AA1835" s="40"/>
      <c r="AB1835" s="40"/>
      <c r="AC1835" s="40"/>
      <c r="AD1835" s="40"/>
      <c r="AE1835" s="40"/>
      <c r="AF1835" s="40"/>
      <c r="AG1835" s="40"/>
      <c r="AH1835" s="40"/>
      <c r="AI1835" s="40"/>
      <c r="AJ1835" s="40"/>
      <c r="AK1835" s="40"/>
      <c r="AL1835" s="40"/>
      <c r="AM1835" s="40"/>
      <c r="AN1835" s="40"/>
      <c r="AO1835" s="40"/>
      <c r="AP1835" s="40"/>
      <c r="AQ1835" s="40"/>
      <c r="AR1835" s="40"/>
      <c r="AS1835" s="40"/>
      <c r="AT1835" s="40"/>
      <c r="AU1835" s="40"/>
      <c r="AV1835" s="315">
        <v>0.64</v>
      </c>
      <c r="AW1835" s="317"/>
      <c r="AX1835" s="317"/>
      <c r="AY1835" s="313">
        <v>40.9</v>
      </c>
      <c r="AZ1835" s="40"/>
      <c r="BA1835" s="40"/>
      <c r="BB1835" s="40"/>
      <c r="BC1835" s="40">
        <v>8.3000000000000001E-3</v>
      </c>
      <c r="BD1835" s="40">
        <v>2.9E-4</v>
      </c>
      <c r="BE1835" s="163">
        <v>3.38</v>
      </c>
      <c r="BF1835" s="163">
        <v>0</v>
      </c>
      <c r="BG1835" s="40"/>
      <c r="BH1835" s="40"/>
      <c r="BI1835" s="40"/>
      <c r="BJ1835" s="40"/>
      <c r="BK1835" s="40"/>
      <c r="BL1835" s="62">
        <v>1</v>
      </c>
      <c r="BM1835" s="275">
        <v>3</v>
      </c>
      <c r="BN1835" s="62">
        <v>0</v>
      </c>
      <c r="BO1835" s="33" t="s">
        <v>698</v>
      </c>
    </row>
    <row r="1836" spans="1:67">
      <c r="A1836" s="33" t="str">
        <f>Database_Productkaarten[[#This Row],[Product]]&amp;", "&amp;Database_Productkaarten[[#This Row],[Levensfase]]</f>
        <v>Fosforslakmengsel 200mm, A5</v>
      </c>
      <c r="B1836" t="s">
        <v>244</v>
      </c>
      <c r="C1836" s="33" t="s">
        <v>48</v>
      </c>
      <c r="D1836" s="33" t="s">
        <v>707</v>
      </c>
      <c r="E1836" s="33" t="s">
        <v>385</v>
      </c>
      <c r="F1836" s="33" t="s">
        <v>79</v>
      </c>
      <c r="G1836" s="33">
        <v>1</v>
      </c>
      <c r="H1836" s="33">
        <v>1</v>
      </c>
      <c r="I1836" s="33">
        <v>0.2</v>
      </c>
      <c r="L1836" s="33">
        <v>2.8</v>
      </c>
      <c r="M1836" s="271">
        <v>0.56000000000000005</v>
      </c>
      <c r="N1836" s="41">
        <v>0.18803</v>
      </c>
      <c r="O1836" s="33">
        <v>100</v>
      </c>
      <c r="P1836" s="163">
        <v>9.5000000000000001E-7</v>
      </c>
      <c r="Q1836" s="163">
        <v>1.3899999999999999E-2</v>
      </c>
      <c r="R1836" s="163">
        <v>2.0299999999999998</v>
      </c>
      <c r="S1836" s="163">
        <v>3.53E-7</v>
      </c>
      <c r="T1836" s="163">
        <v>6.6799999999999997E-4</v>
      </c>
      <c r="U1836" s="163">
        <v>5.9500000000000004E-3</v>
      </c>
      <c r="V1836" s="163">
        <v>1.14E-3</v>
      </c>
      <c r="W1836" s="163">
        <v>0.502</v>
      </c>
      <c r="X1836" s="163">
        <v>9.9500000000000005E-3</v>
      </c>
      <c r="Y1836" s="163">
        <v>33.299999999999997</v>
      </c>
      <c r="Z1836" s="163">
        <v>1.7899999999999999E-3</v>
      </c>
      <c r="AA1836" s="40"/>
      <c r="AB1836" s="40"/>
      <c r="AC1836" s="40"/>
      <c r="AD1836" s="40"/>
      <c r="AE1836" s="40"/>
      <c r="AF1836" s="40"/>
      <c r="AG1836" s="40"/>
      <c r="AH1836" s="40"/>
      <c r="AI1836" s="40"/>
      <c r="AJ1836" s="40"/>
      <c r="AK1836" s="40"/>
      <c r="AL1836" s="40"/>
      <c r="AM1836" s="40"/>
      <c r="AN1836" s="40"/>
      <c r="AO1836" s="40"/>
      <c r="AP1836" s="40"/>
      <c r="AQ1836" s="40"/>
      <c r="AR1836" s="40"/>
      <c r="AS1836" s="40"/>
      <c r="AT1836" s="40"/>
      <c r="AU1836" s="40"/>
      <c r="AV1836" s="315">
        <v>0.22600000000000001</v>
      </c>
      <c r="AW1836" s="317"/>
      <c r="AX1836" s="317"/>
      <c r="AY1836" s="313">
        <v>30.9</v>
      </c>
      <c r="AZ1836" s="40"/>
      <c r="BA1836" s="40"/>
      <c r="BB1836" s="40"/>
      <c r="BC1836" s="40">
        <v>2.9199999999999999E-3</v>
      </c>
      <c r="BD1836" s="40">
        <v>2.14E-4</v>
      </c>
      <c r="BE1836" s="163">
        <v>5.1900000000000002E-2</v>
      </c>
      <c r="BF1836" s="163">
        <v>0</v>
      </c>
      <c r="BG1836" s="40"/>
      <c r="BH1836" s="40"/>
      <c r="BI1836" s="40"/>
      <c r="BJ1836" s="40"/>
      <c r="BK1836" s="40"/>
      <c r="BL1836" s="62">
        <v>1</v>
      </c>
      <c r="BM1836" s="275">
        <v>3</v>
      </c>
      <c r="BN1836" s="62">
        <v>0</v>
      </c>
      <c r="BO1836" s="33" t="s">
        <v>698</v>
      </c>
    </row>
    <row r="1837" spans="1:67">
      <c r="A1837" s="33" t="str">
        <f>Database_Productkaarten[[#This Row],[Product]]&amp;", "&amp;Database_Productkaarten[[#This Row],[Levensfase]]</f>
        <v>Fosforslakmengsel 200mm, B1</v>
      </c>
      <c r="B1837" t="s">
        <v>244</v>
      </c>
      <c r="C1837" s="33" t="s">
        <v>48</v>
      </c>
      <c r="D1837" s="33" t="s">
        <v>707</v>
      </c>
      <c r="E1837" s="33" t="s">
        <v>385</v>
      </c>
      <c r="F1837" s="33" t="s">
        <v>80</v>
      </c>
      <c r="G1837" s="33">
        <v>1</v>
      </c>
      <c r="H1837" s="33">
        <v>1</v>
      </c>
      <c r="I1837" s="33">
        <v>0.2</v>
      </c>
      <c r="L1837" s="33">
        <v>2.8</v>
      </c>
      <c r="M1837" s="271">
        <v>0.56000000000000005</v>
      </c>
      <c r="N1837" s="41">
        <v>2.7490000000000001E-2</v>
      </c>
      <c r="O1837" s="33">
        <v>100</v>
      </c>
      <c r="P1837" s="163">
        <v>0</v>
      </c>
      <c r="Q1837" s="163">
        <v>0</v>
      </c>
      <c r="R1837" s="163">
        <v>0</v>
      </c>
      <c r="S1837" s="163">
        <v>0</v>
      </c>
      <c r="T1837" s="163">
        <v>0</v>
      </c>
      <c r="U1837" s="163">
        <v>0</v>
      </c>
      <c r="V1837" s="163">
        <v>0</v>
      </c>
      <c r="W1837" s="163">
        <v>0.11600000000000001</v>
      </c>
      <c r="X1837" s="163">
        <v>5.0500000000000003E-2</v>
      </c>
      <c r="Y1837" s="163">
        <v>111</v>
      </c>
      <c r="Z1837" s="163">
        <v>7.4399999999999994E-2</v>
      </c>
      <c r="AA1837" s="40"/>
      <c r="AB1837" s="40"/>
      <c r="AC1837" s="40"/>
      <c r="AD1837" s="40"/>
      <c r="AE1837" s="40"/>
      <c r="AF1837" s="40"/>
      <c r="AG1837" s="40"/>
      <c r="AH1837" s="40"/>
      <c r="AI1837" s="40"/>
      <c r="AJ1837" s="40"/>
      <c r="AK1837" s="40"/>
      <c r="AL1837" s="40"/>
      <c r="AM1837" s="40"/>
      <c r="AN1837" s="40"/>
      <c r="AO1837" s="40"/>
      <c r="AP1837" s="40"/>
      <c r="AQ1837" s="40"/>
      <c r="AR1837" s="40"/>
      <c r="AS1837" s="40"/>
      <c r="AT1837" s="40"/>
      <c r="AU1837" s="40"/>
      <c r="AV1837" s="315">
        <v>0</v>
      </c>
      <c r="AW1837" s="317"/>
      <c r="AX1837" s="317"/>
      <c r="AY1837" s="313">
        <v>0</v>
      </c>
      <c r="AZ1837" s="40"/>
      <c r="BA1837" s="40"/>
      <c r="BB1837" s="40"/>
      <c r="BC1837" s="40">
        <v>0</v>
      </c>
      <c r="BD1837" s="40">
        <v>0</v>
      </c>
      <c r="BE1837" s="163">
        <v>0</v>
      </c>
      <c r="BF1837" s="163">
        <v>0</v>
      </c>
      <c r="BG1837" s="40"/>
      <c r="BH1837" s="40"/>
      <c r="BI1837" s="40"/>
      <c r="BJ1837" s="40"/>
      <c r="BK1837" s="40"/>
      <c r="BL1837" s="62">
        <v>1</v>
      </c>
      <c r="BM1837" s="275">
        <v>3</v>
      </c>
      <c r="BN1837" s="62">
        <v>0</v>
      </c>
      <c r="BO1837" s="33" t="s">
        <v>698</v>
      </c>
    </row>
    <row r="1838" spans="1:67">
      <c r="A1838" s="33" t="str">
        <f>Database_Productkaarten[[#This Row],[Product]]&amp;", "&amp;Database_Productkaarten[[#This Row],[Levensfase]]</f>
        <v>Fosforslakmengsel 200mm, C1</v>
      </c>
      <c r="B1838" t="s">
        <v>244</v>
      </c>
      <c r="C1838" s="33" t="s">
        <v>48</v>
      </c>
      <c r="D1838" s="33" t="s">
        <v>707</v>
      </c>
      <c r="E1838" s="33" t="s">
        <v>385</v>
      </c>
      <c r="F1838" s="33" t="s">
        <v>83</v>
      </c>
      <c r="G1838" s="33">
        <v>1</v>
      </c>
      <c r="H1838" s="33">
        <v>1</v>
      </c>
      <c r="I1838" s="33">
        <v>0.2</v>
      </c>
      <c r="L1838" s="33">
        <v>2.8</v>
      </c>
      <c r="M1838" s="271">
        <v>0.56000000000000005</v>
      </c>
      <c r="N1838" s="41">
        <v>6.2149999999999997E-2</v>
      </c>
      <c r="O1838" s="33">
        <v>100</v>
      </c>
      <c r="P1838" s="163">
        <v>3.1399999999999998E-7</v>
      </c>
      <c r="Q1838" s="163">
        <v>4.5799999999999999E-3</v>
      </c>
      <c r="R1838" s="163">
        <v>0.67100000000000004</v>
      </c>
      <c r="S1838" s="163">
        <v>1.17E-7</v>
      </c>
      <c r="T1838" s="163">
        <v>2.2100000000000001E-4</v>
      </c>
      <c r="U1838" s="163">
        <v>1.97E-3</v>
      </c>
      <c r="V1838" s="163">
        <v>3.7599999999999998E-4</v>
      </c>
      <c r="W1838" s="163">
        <v>0.16600000000000001</v>
      </c>
      <c r="X1838" s="163">
        <v>3.29E-3</v>
      </c>
      <c r="Y1838" s="163">
        <v>11</v>
      </c>
      <c r="Z1838" s="163">
        <v>5.9100000000000005E-4</v>
      </c>
      <c r="AA1838" s="40"/>
      <c r="AB1838" s="40"/>
      <c r="AC1838" s="40"/>
      <c r="AD1838" s="40"/>
      <c r="AE1838" s="40"/>
      <c r="AF1838" s="40"/>
      <c r="AG1838" s="40"/>
      <c r="AH1838" s="40"/>
      <c r="AI1838" s="40"/>
      <c r="AJ1838" s="40"/>
      <c r="AK1838" s="40"/>
      <c r="AL1838" s="40"/>
      <c r="AM1838" s="40"/>
      <c r="AN1838" s="40"/>
      <c r="AO1838" s="40"/>
      <c r="AP1838" s="40"/>
      <c r="AQ1838" s="40"/>
      <c r="AR1838" s="40"/>
      <c r="AS1838" s="40"/>
      <c r="AT1838" s="40"/>
      <c r="AU1838" s="40"/>
      <c r="AV1838" s="315">
        <v>7.46E-2</v>
      </c>
      <c r="AW1838" s="317"/>
      <c r="AX1838" s="317"/>
      <c r="AY1838" s="313">
        <v>10.199999999999999</v>
      </c>
      <c r="AZ1838" s="40"/>
      <c r="BA1838" s="40"/>
      <c r="BB1838" s="40"/>
      <c r="BC1838" s="40">
        <v>9.6599999999999995E-4</v>
      </c>
      <c r="BD1838" s="40">
        <v>7.0599999999999995E-5</v>
      </c>
      <c r="BE1838" s="163">
        <v>1.72E-2</v>
      </c>
      <c r="BF1838" s="163">
        <v>0</v>
      </c>
      <c r="BG1838" s="40"/>
      <c r="BH1838" s="40"/>
      <c r="BI1838" s="40"/>
      <c r="BJ1838" s="40"/>
      <c r="BK1838" s="40"/>
      <c r="BL1838" s="62">
        <v>1</v>
      </c>
      <c r="BM1838" s="275">
        <v>3</v>
      </c>
      <c r="BN1838" s="62">
        <v>0</v>
      </c>
      <c r="BO1838" s="33" t="s">
        <v>698</v>
      </c>
    </row>
    <row r="1839" spans="1:67">
      <c r="A1839" s="33" t="str">
        <f>Database_Productkaarten[[#This Row],[Product]]&amp;", "&amp;Database_Productkaarten[[#This Row],[Levensfase]]</f>
        <v>Fosforslakmengsel 200mm, C2</v>
      </c>
      <c r="B1839" t="s">
        <v>244</v>
      </c>
      <c r="C1839" s="33" t="s">
        <v>48</v>
      </c>
      <c r="D1839" s="33" t="s">
        <v>707</v>
      </c>
      <c r="E1839" s="33" t="s">
        <v>385</v>
      </c>
      <c r="F1839" s="33" t="s">
        <v>84</v>
      </c>
      <c r="G1839" s="33">
        <v>1</v>
      </c>
      <c r="H1839" s="33">
        <v>1</v>
      </c>
      <c r="I1839" s="33">
        <v>0.2</v>
      </c>
      <c r="L1839" s="33">
        <v>2.8</v>
      </c>
      <c r="M1839" s="271">
        <v>0.56000000000000005</v>
      </c>
      <c r="N1839" s="41">
        <v>5.4099999999999999E-3</v>
      </c>
      <c r="O1839" s="33">
        <v>100</v>
      </c>
      <c r="P1839" s="163">
        <v>4.5900000000000001E-6</v>
      </c>
      <c r="Q1839" s="163">
        <v>1.8100000000000002E-2</v>
      </c>
      <c r="R1839" s="163">
        <v>2.39</v>
      </c>
      <c r="S1839" s="163">
        <v>4.75E-7</v>
      </c>
      <c r="T1839" s="163">
        <v>1.5100000000000001E-3</v>
      </c>
      <c r="U1839" s="163">
        <v>8.7100000000000007E-3</v>
      </c>
      <c r="V1839" s="163">
        <v>1.7700000000000001E-3</v>
      </c>
      <c r="W1839" s="163">
        <v>0.84099999999999997</v>
      </c>
      <c r="X1839" s="163">
        <v>5.4300000000000001E-2</v>
      </c>
      <c r="Y1839" s="163">
        <v>142</v>
      </c>
      <c r="Z1839" s="163">
        <v>4.9899999999999996E-3</v>
      </c>
      <c r="AA1839" s="40"/>
      <c r="AB1839" s="40"/>
      <c r="AC1839" s="40"/>
      <c r="AD1839" s="40"/>
      <c r="AE1839" s="40"/>
      <c r="AF1839" s="40"/>
      <c r="AG1839" s="40"/>
      <c r="AH1839" s="40"/>
      <c r="AI1839" s="40"/>
      <c r="AJ1839" s="40"/>
      <c r="AK1839" s="40"/>
      <c r="AL1839" s="40"/>
      <c r="AM1839" s="40"/>
      <c r="AN1839" s="40"/>
      <c r="AO1839" s="40"/>
      <c r="AP1839" s="40"/>
      <c r="AQ1839" s="40"/>
      <c r="AR1839" s="40"/>
      <c r="AS1839" s="40"/>
      <c r="AT1839" s="40"/>
      <c r="AU1839" s="40"/>
      <c r="AV1839" s="315">
        <v>0.64600000000000002</v>
      </c>
      <c r="AW1839" s="317"/>
      <c r="AX1839" s="317"/>
      <c r="AY1839" s="313">
        <v>41.3</v>
      </c>
      <c r="AZ1839" s="40"/>
      <c r="BA1839" s="40"/>
      <c r="BB1839" s="40"/>
      <c r="BC1839" s="40">
        <v>8.3899999999999999E-3</v>
      </c>
      <c r="BD1839" s="40">
        <v>2.9300000000000002E-4</v>
      </c>
      <c r="BE1839" s="163">
        <v>3.41</v>
      </c>
      <c r="BF1839" s="163">
        <v>0</v>
      </c>
      <c r="BG1839" s="40"/>
      <c r="BH1839" s="40"/>
      <c r="BI1839" s="40"/>
      <c r="BJ1839" s="40"/>
      <c r="BK1839" s="40"/>
      <c r="BL1839" s="62">
        <v>1</v>
      </c>
      <c r="BM1839" s="275">
        <v>3</v>
      </c>
      <c r="BN1839" s="62">
        <v>0</v>
      </c>
      <c r="BO1839" s="33" t="s">
        <v>698</v>
      </c>
    </row>
    <row r="1840" spans="1:67">
      <c r="A1840" s="33" t="str">
        <f>Database_Productkaarten[[#This Row],[Product]]&amp;", "&amp;Database_Productkaarten[[#This Row],[Levensfase]]</f>
        <v>Fosforslakmengsel 200mm, C3</v>
      </c>
      <c r="B1840" t="s">
        <v>244</v>
      </c>
      <c r="C1840" s="33" t="s">
        <v>48</v>
      </c>
      <c r="D1840" s="33" t="s">
        <v>707</v>
      </c>
      <c r="E1840" s="33" t="s">
        <v>385</v>
      </c>
      <c r="F1840" s="33" t="s">
        <v>85</v>
      </c>
      <c r="G1840" s="33">
        <v>1</v>
      </c>
      <c r="H1840" s="33">
        <v>1</v>
      </c>
      <c r="I1840" s="33">
        <v>0.2</v>
      </c>
      <c r="L1840" s="33">
        <v>2.8</v>
      </c>
      <c r="M1840" s="271">
        <v>0.56000000000000005</v>
      </c>
      <c r="N1840" s="41">
        <v>0</v>
      </c>
      <c r="O1840" s="33">
        <v>100</v>
      </c>
      <c r="P1840" s="163">
        <v>0</v>
      </c>
      <c r="Q1840" s="163">
        <v>0</v>
      </c>
      <c r="R1840" s="163">
        <v>0</v>
      </c>
      <c r="S1840" s="163">
        <v>0</v>
      </c>
      <c r="T1840" s="163">
        <v>0</v>
      </c>
      <c r="U1840" s="163">
        <v>0</v>
      </c>
      <c r="V1840" s="163">
        <v>0</v>
      </c>
      <c r="W1840" s="163">
        <v>0</v>
      </c>
      <c r="X1840" s="163">
        <v>0</v>
      </c>
      <c r="Y1840" s="163">
        <v>0</v>
      </c>
      <c r="Z1840" s="163">
        <v>0</v>
      </c>
      <c r="AA1840" s="40"/>
      <c r="AB1840" s="40"/>
      <c r="AC1840" s="40"/>
      <c r="AD1840" s="40"/>
      <c r="AE1840" s="40"/>
      <c r="AF1840" s="40"/>
      <c r="AG1840" s="40"/>
      <c r="AH1840" s="40"/>
      <c r="AI1840" s="40"/>
      <c r="AJ1840" s="40"/>
      <c r="AK1840" s="40"/>
      <c r="AL1840" s="40"/>
      <c r="AM1840" s="40"/>
      <c r="AN1840" s="40"/>
      <c r="AO1840" s="40"/>
      <c r="AP1840" s="40"/>
      <c r="AQ1840" s="40"/>
      <c r="AR1840" s="40"/>
      <c r="AS1840" s="40"/>
      <c r="AT1840" s="40"/>
      <c r="AU1840" s="40"/>
      <c r="AV1840" s="315">
        <v>0</v>
      </c>
      <c r="AW1840" s="317"/>
      <c r="AX1840" s="317"/>
      <c r="AY1840" s="313">
        <v>0</v>
      </c>
      <c r="AZ1840" s="40"/>
      <c r="BA1840" s="40"/>
      <c r="BB1840" s="40"/>
      <c r="BC1840" s="40">
        <v>0</v>
      </c>
      <c r="BD1840" s="40">
        <v>0</v>
      </c>
      <c r="BE1840" s="163">
        <v>0</v>
      </c>
      <c r="BF1840" s="163">
        <v>0</v>
      </c>
      <c r="BG1840" s="40"/>
      <c r="BH1840" s="40"/>
      <c r="BI1840" s="40"/>
      <c r="BJ1840" s="40"/>
      <c r="BK1840" s="40"/>
      <c r="BL1840" s="62">
        <v>1</v>
      </c>
      <c r="BM1840" s="275">
        <v>3</v>
      </c>
      <c r="BN1840" s="62">
        <v>0</v>
      </c>
      <c r="BO1840" s="33" t="s">
        <v>698</v>
      </c>
    </row>
    <row r="1841" spans="1:67">
      <c r="A1841" s="33" t="str">
        <f>Database_Productkaarten[[#This Row],[Product]]&amp;", "&amp;Database_Productkaarten[[#This Row],[Levensfase]]</f>
        <v>Fosforslakmengsel 200mm, C4</v>
      </c>
      <c r="B1841" t="s">
        <v>244</v>
      </c>
      <c r="C1841" s="33" t="s">
        <v>48</v>
      </c>
      <c r="D1841" s="33" t="s">
        <v>707</v>
      </c>
      <c r="E1841" s="33" t="s">
        <v>385</v>
      </c>
      <c r="F1841" s="33" t="s">
        <v>86</v>
      </c>
      <c r="G1841" s="33">
        <v>1</v>
      </c>
      <c r="H1841" s="33">
        <v>1</v>
      </c>
      <c r="I1841" s="33">
        <v>0.2</v>
      </c>
      <c r="L1841" s="33">
        <v>2.8</v>
      </c>
      <c r="M1841" s="271">
        <v>0.56000000000000005</v>
      </c>
      <c r="N1841" s="41">
        <v>4.1599999999999996E-3</v>
      </c>
      <c r="O1841" s="33">
        <v>100</v>
      </c>
      <c r="P1841" s="163">
        <v>3.33E-8</v>
      </c>
      <c r="Q1841" s="163">
        <v>4.3199999999999998E-4</v>
      </c>
      <c r="R1841" s="163">
        <v>2.9600000000000001E-2</v>
      </c>
      <c r="S1841" s="163">
        <v>1.07E-8</v>
      </c>
      <c r="T1841" s="163">
        <v>3.2199999999999997E-5</v>
      </c>
      <c r="U1841" s="163">
        <v>2.23E-4</v>
      </c>
      <c r="V1841" s="163">
        <v>4.2200000000000003E-5</v>
      </c>
      <c r="W1841" s="163">
        <v>1.29E-2</v>
      </c>
      <c r="X1841" s="163">
        <v>3.1199999999999999E-4</v>
      </c>
      <c r="Y1841" s="163">
        <v>1.0900000000000001</v>
      </c>
      <c r="Z1841" s="163">
        <v>3.2100000000000001E-5</v>
      </c>
      <c r="AA1841" s="40"/>
      <c r="AB1841" s="40"/>
      <c r="AC1841" s="40"/>
      <c r="AD1841" s="40"/>
      <c r="AE1841" s="40"/>
      <c r="AF1841" s="40"/>
      <c r="AG1841" s="40"/>
      <c r="AH1841" s="40"/>
      <c r="AI1841" s="40"/>
      <c r="AJ1841" s="40"/>
      <c r="AK1841" s="40"/>
      <c r="AL1841" s="40"/>
      <c r="AM1841" s="40"/>
      <c r="AN1841" s="40"/>
      <c r="AO1841" s="40"/>
      <c r="AP1841" s="40"/>
      <c r="AQ1841" s="40"/>
      <c r="AR1841" s="40"/>
      <c r="AS1841" s="40"/>
      <c r="AT1841" s="40"/>
      <c r="AU1841" s="40"/>
      <c r="AV1841" s="315">
        <v>7.4400000000000004E-3</v>
      </c>
      <c r="AW1841" s="317"/>
      <c r="AX1841" s="317"/>
      <c r="AY1841" s="313">
        <v>0.96599999999999997</v>
      </c>
      <c r="AZ1841" s="40"/>
      <c r="BA1841" s="40"/>
      <c r="BB1841" s="40"/>
      <c r="BC1841" s="40">
        <v>9.4799999999999995E-4</v>
      </c>
      <c r="BD1841" s="40">
        <v>6.0800000000000004E-7</v>
      </c>
      <c r="BE1841" s="163">
        <v>5.6</v>
      </c>
      <c r="BF1841" s="163">
        <v>6.0100000000000001E-6</v>
      </c>
      <c r="BG1841" s="40"/>
      <c r="BH1841" s="40"/>
      <c r="BI1841" s="40"/>
      <c r="BJ1841" s="40"/>
      <c r="BK1841" s="40"/>
      <c r="BL1841" s="62">
        <v>1</v>
      </c>
      <c r="BM1841" s="275">
        <v>3</v>
      </c>
      <c r="BN1841" s="62">
        <v>0</v>
      </c>
      <c r="BO1841" s="33" t="s">
        <v>698</v>
      </c>
    </row>
    <row r="1842" spans="1:67">
      <c r="A1842" s="33" t="str">
        <f>Database_Productkaarten[[#This Row],[Product]]&amp;", "&amp;Database_Productkaarten[[#This Row],[Levensfase]]</f>
        <v>Fosforslakmengsel 200mm, D</v>
      </c>
      <c r="B1842" t="s">
        <v>244</v>
      </c>
      <c r="C1842" s="33" t="s">
        <v>48</v>
      </c>
      <c r="D1842" s="33" t="s">
        <v>707</v>
      </c>
      <c r="E1842" s="33" t="s">
        <v>385</v>
      </c>
      <c r="F1842" s="33" t="s">
        <v>89</v>
      </c>
      <c r="G1842" s="33">
        <v>1</v>
      </c>
      <c r="H1842" s="33">
        <v>1</v>
      </c>
      <c r="I1842" s="33">
        <v>0.2</v>
      </c>
      <c r="L1842" s="33">
        <v>2.8</v>
      </c>
      <c r="M1842" s="271">
        <v>0.56000000000000005</v>
      </c>
      <c r="N1842" s="41">
        <v>8.4200000000000004E-3</v>
      </c>
      <c r="O1842" s="33">
        <v>100</v>
      </c>
      <c r="P1842" s="163">
        <v>1.3E-7</v>
      </c>
      <c r="Q1842" s="163">
        <v>1.6100000000000001E-4</v>
      </c>
      <c r="R1842" s="163">
        <v>2.35E-2</v>
      </c>
      <c r="S1842" s="163">
        <v>2.11E-9</v>
      </c>
      <c r="T1842" s="163">
        <v>1.7E-5</v>
      </c>
      <c r="U1842" s="163">
        <v>1.35E-4</v>
      </c>
      <c r="V1842" s="163">
        <v>2.34E-5</v>
      </c>
      <c r="W1842" s="163">
        <v>1.0500000000000001E-2</v>
      </c>
      <c r="X1842" s="163">
        <v>1.4999999999999999E-4</v>
      </c>
      <c r="Y1842" s="163">
        <v>0.65700000000000003</v>
      </c>
      <c r="Z1842" s="163">
        <v>5.4799999999999997E-5</v>
      </c>
      <c r="AA1842" s="40"/>
      <c r="AB1842" s="40"/>
      <c r="AC1842" s="40"/>
      <c r="AD1842" s="40"/>
      <c r="AE1842" s="40"/>
      <c r="AF1842" s="40"/>
      <c r="AG1842" s="40"/>
      <c r="AH1842" s="40"/>
      <c r="AI1842" s="40"/>
      <c r="AJ1842" s="40"/>
      <c r="AK1842" s="40"/>
      <c r="AL1842" s="40"/>
      <c r="AM1842" s="40"/>
      <c r="AN1842" s="40"/>
      <c r="AO1842" s="40"/>
      <c r="AP1842" s="40"/>
      <c r="AQ1842" s="40"/>
      <c r="AR1842" s="40"/>
      <c r="AS1842" s="40"/>
      <c r="AT1842" s="40"/>
      <c r="AU1842" s="40"/>
      <c r="AV1842" s="315">
        <v>1.9800000000000002E-2</v>
      </c>
      <c r="AW1842" s="317"/>
      <c r="AX1842" s="317"/>
      <c r="AY1842" s="313">
        <v>0.32500000000000001</v>
      </c>
      <c r="AZ1842" s="40"/>
      <c r="BA1842" s="40"/>
      <c r="BB1842" s="40"/>
      <c r="BC1842" s="40">
        <v>7.9100000000000004E-3</v>
      </c>
      <c r="BD1842" s="40">
        <v>4.3300000000000003E-7</v>
      </c>
      <c r="BE1842" s="163">
        <v>3.0699999999999998E-3</v>
      </c>
      <c r="BF1842" s="163">
        <v>1.37E-6</v>
      </c>
      <c r="BG1842" s="40"/>
      <c r="BH1842" s="40"/>
      <c r="BI1842" s="40"/>
      <c r="BJ1842" s="40"/>
      <c r="BK1842" s="40"/>
      <c r="BL1842" s="62">
        <v>1</v>
      </c>
      <c r="BM1842" s="275">
        <v>3</v>
      </c>
      <c r="BN1842" s="62">
        <v>0</v>
      </c>
      <c r="BO1842" s="33" t="s">
        <v>698</v>
      </c>
    </row>
    <row r="1843" spans="1:67">
      <c r="A1843" s="33" t="str">
        <f>Database_Productkaarten[[#This Row],[Product]]&amp;", "&amp;Database_Productkaarten[[#This Row],[Levensfase]]</f>
        <v>Fosforslakmengsel 200mm, D1</v>
      </c>
      <c r="B1843" t="s">
        <v>244</v>
      </c>
      <c r="C1843" s="33" t="s">
        <v>48</v>
      </c>
      <c r="D1843" s="33" t="s">
        <v>707</v>
      </c>
      <c r="E1843" s="33" t="s">
        <v>385</v>
      </c>
      <c r="F1843" s="33" t="s">
        <v>87</v>
      </c>
      <c r="G1843" s="33">
        <v>1</v>
      </c>
      <c r="H1843" s="33">
        <v>1</v>
      </c>
      <c r="I1843" s="33">
        <v>0.2</v>
      </c>
      <c r="L1843" s="33">
        <v>2.8</v>
      </c>
      <c r="M1843" s="271">
        <v>0.56000000000000005</v>
      </c>
      <c r="N1843" s="41"/>
      <c r="O1843" s="33">
        <v>100</v>
      </c>
      <c r="P1843" s="40"/>
      <c r="Q1843" s="40"/>
      <c r="R1843" s="40"/>
      <c r="S1843" s="40"/>
      <c r="T1843" s="40"/>
      <c r="U1843" s="40"/>
      <c r="V1843" s="40"/>
      <c r="W1843" s="40"/>
      <c r="X1843" s="40"/>
      <c r="Y1843" s="40"/>
      <c r="Z1843" s="40"/>
      <c r="AA1843" s="40"/>
      <c r="AB1843" s="40"/>
      <c r="AC1843" s="40"/>
      <c r="AD1843" s="40"/>
      <c r="AE1843" s="40"/>
      <c r="AF1843" s="40"/>
      <c r="AG1843" s="40"/>
      <c r="AH1843" s="40"/>
      <c r="AI1843" s="40"/>
      <c r="AJ1843" s="40"/>
      <c r="AK1843" s="40"/>
      <c r="AL1843" s="40"/>
      <c r="AM1843" s="40"/>
      <c r="AN1843" s="40"/>
      <c r="AO1843" s="40"/>
      <c r="AP1843" s="40"/>
      <c r="AQ1843" s="40"/>
      <c r="AR1843" s="40"/>
      <c r="AS1843" s="40"/>
      <c r="AT1843" s="40"/>
      <c r="AU1843" s="40"/>
      <c r="AV1843" s="313"/>
      <c r="AW1843" s="317"/>
      <c r="AX1843" s="317"/>
      <c r="AY1843" s="313"/>
      <c r="AZ1843" s="40"/>
      <c r="BA1843" s="40"/>
      <c r="BB1843" s="40"/>
      <c r="BC1843" s="40"/>
      <c r="BD1843" s="40"/>
      <c r="BE1843" s="40"/>
      <c r="BF1843" s="40"/>
      <c r="BG1843" s="40"/>
      <c r="BH1843" s="40"/>
      <c r="BI1843" s="40"/>
      <c r="BJ1843" s="40"/>
      <c r="BK1843" s="40"/>
      <c r="BL1843" s="62">
        <v>1</v>
      </c>
      <c r="BM1843" s="275">
        <v>3</v>
      </c>
      <c r="BN1843" s="62">
        <v>0</v>
      </c>
      <c r="BO1843" s="33" t="s">
        <v>698</v>
      </c>
    </row>
    <row r="1844" spans="1:67">
      <c r="A1844" s="33" t="str">
        <f>Database_Productkaarten[[#This Row],[Product]]&amp;", "&amp;Database_Productkaarten[[#This Row],[Levensfase]]</f>
        <v>Fosforslakmengsel 200mm, D2</v>
      </c>
      <c r="B1844" t="s">
        <v>244</v>
      </c>
      <c r="C1844" s="33" t="s">
        <v>48</v>
      </c>
      <c r="D1844" s="33" t="s">
        <v>707</v>
      </c>
      <c r="E1844" s="33" t="s">
        <v>385</v>
      </c>
      <c r="F1844" s="33" t="s">
        <v>88</v>
      </c>
      <c r="G1844" s="33">
        <v>1</v>
      </c>
      <c r="H1844" s="33">
        <v>1</v>
      </c>
      <c r="I1844" s="33">
        <v>0.2</v>
      </c>
      <c r="L1844" s="33">
        <v>2.8</v>
      </c>
      <c r="M1844" s="271">
        <v>0.56000000000000005</v>
      </c>
      <c r="N1844" s="41"/>
      <c r="O1844" s="33">
        <v>100</v>
      </c>
      <c r="P1844" s="40"/>
      <c r="Q1844" s="40"/>
      <c r="R1844" s="40"/>
      <c r="S1844" s="40"/>
      <c r="T1844" s="40"/>
      <c r="U1844" s="40"/>
      <c r="V1844" s="40"/>
      <c r="W1844" s="40"/>
      <c r="X1844" s="40"/>
      <c r="Y1844" s="40"/>
      <c r="Z1844" s="40"/>
      <c r="AA1844" s="40"/>
      <c r="AB1844" s="40"/>
      <c r="AC1844" s="40"/>
      <c r="AD1844" s="40"/>
      <c r="AE1844" s="40"/>
      <c r="AF1844" s="40"/>
      <c r="AG1844" s="40"/>
      <c r="AH1844" s="40"/>
      <c r="AI1844" s="40"/>
      <c r="AJ1844" s="40"/>
      <c r="AK1844" s="40"/>
      <c r="AL1844" s="40"/>
      <c r="AM1844" s="40"/>
      <c r="AN1844" s="40"/>
      <c r="AO1844" s="40"/>
      <c r="AP1844" s="40"/>
      <c r="AQ1844" s="40"/>
      <c r="AR1844" s="40"/>
      <c r="AS1844" s="40"/>
      <c r="AT1844" s="40"/>
      <c r="AU1844" s="40"/>
      <c r="AV1844" s="313"/>
      <c r="AW1844" s="317"/>
      <c r="AX1844" s="317"/>
      <c r="AY1844" s="313"/>
      <c r="AZ1844" s="40"/>
      <c r="BA1844" s="40"/>
      <c r="BB1844" s="40"/>
      <c r="BC1844" s="40"/>
      <c r="BD1844" s="40"/>
      <c r="BE1844" s="40"/>
      <c r="BF1844" s="40"/>
      <c r="BG1844" s="40"/>
      <c r="BH1844" s="40"/>
      <c r="BI1844" s="40"/>
      <c r="BJ1844" s="40"/>
      <c r="BK1844" s="40"/>
      <c r="BL1844" s="62">
        <v>1</v>
      </c>
      <c r="BM1844" s="275">
        <v>3</v>
      </c>
      <c r="BN1844" s="62">
        <v>0</v>
      </c>
      <c r="BO1844" s="33" t="s">
        <v>698</v>
      </c>
    </row>
    <row r="1845" spans="1:67">
      <c r="A1845" s="33" t="str">
        <f>Database_Productkaarten[[#This Row],[Product]]&amp;", "&amp;Database_Productkaarten[[#This Row],[Levensfase]]</f>
        <v>AGRAC 200mm, Totaal</v>
      </c>
      <c r="B1845" s="33" t="s">
        <v>708</v>
      </c>
      <c r="C1845" s="33" t="s">
        <v>48</v>
      </c>
      <c r="D1845" s="33" t="s">
        <v>709</v>
      </c>
      <c r="E1845" s="33" t="s">
        <v>385</v>
      </c>
      <c r="F1845" s="33" t="s">
        <v>90</v>
      </c>
      <c r="G1845" s="33">
        <v>1</v>
      </c>
      <c r="H1845" s="33">
        <v>1</v>
      </c>
      <c r="I1845" s="33">
        <v>0.2</v>
      </c>
      <c r="L1845" s="33">
        <v>2.5</v>
      </c>
      <c r="M1845" s="271">
        <v>0.5</v>
      </c>
      <c r="N1845" s="41">
        <v>1.47245</v>
      </c>
      <c r="O1845" s="33">
        <v>100</v>
      </c>
      <c r="P1845" s="163">
        <v>2.0000000000000002E-5</v>
      </c>
      <c r="Q1845" s="163">
        <v>0.10299999999999999</v>
      </c>
      <c r="R1845" s="163">
        <v>16.2</v>
      </c>
      <c r="S1845" s="163">
        <v>2.4200000000000001E-6</v>
      </c>
      <c r="T1845" s="163">
        <v>8.5299999999999994E-3</v>
      </c>
      <c r="U1845" s="163">
        <v>6.3799999999999996E-2</v>
      </c>
      <c r="V1845" s="163">
        <v>1.2999999999999999E-2</v>
      </c>
      <c r="W1845" s="163">
        <v>4.6500000000000004</v>
      </c>
      <c r="X1845" s="163">
        <v>0.215</v>
      </c>
      <c r="Y1845" s="163">
        <v>605</v>
      </c>
      <c r="Z1845" s="163">
        <v>9.9500000000000005E-2</v>
      </c>
      <c r="AA1845" s="40"/>
      <c r="AB1845" s="40"/>
      <c r="AC1845" s="40"/>
      <c r="AD1845" s="40"/>
      <c r="AE1845" s="40"/>
      <c r="AF1845" s="40"/>
      <c r="AG1845" s="40"/>
      <c r="AH1845" s="40"/>
      <c r="AI1845" s="40"/>
      <c r="AJ1845" s="40"/>
      <c r="AK1845" s="40"/>
      <c r="AL1845" s="40"/>
      <c r="AM1845" s="40"/>
      <c r="AN1845" s="40"/>
      <c r="AO1845" s="40"/>
      <c r="AP1845" s="40"/>
      <c r="AQ1845" s="40"/>
      <c r="AR1845" s="40"/>
      <c r="AS1845" s="40"/>
      <c r="AT1845" s="40"/>
      <c r="AU1845" s="40"/>
      <c r="AV1845" s="315">
        <v>4.1100000000000003</v>
      </c>
      <c r="AW1845" s="317"/>
      <c r="AX1845" s="317"/>
      <c r="AY1845" s="313">
        <v>228</v>
      </c>
      <c r="AZ1845" s="40"/>
      <c r="BA1845" s="40"/>
      <c r="BB1845" s="40"/>
      <c r="BC1845" s="40">
        <v>7.3400000000000007E-2</v>
      </c>
      <c r="BD1845" s="40">
        <v>1.01E-3</v>
      </c>
      <c r="BE1845" s="163">
        <v>15.5</v>
      </c>
      <c r="BF1845" s="163">
        <v>5.7600000000000001E-4</v>
      </c>
      <c r="BG1845" s="40"/>
      <c r="BH1845" s="40"/>
      <c r="BI1845" s="40"/>
      <c r="BJ1845" s="40"/>
      <c r="BK1845" s="40"/>
      <c r="BL1845" s="62">
        <v>0.8</v>
      </c>
      <c r="BM1845" s="275">
        <v>3</v>
      </c>
      <c r="BN1845" s="62">
        <v>0</v>
      </c>
      <c r="BO1845" s="33" t="s">
        <v>698</v>
      </c>
    </row>
    <row r="1846" spans="1:67">
      <c r="A1846" s="33" t="str">
        <f>Database_Productkaarten[[#This Row],[Product]]&amp;", "&amp;Database_Productkaarten[[#This Row],[Levensfase]]</f>
        <v>AGRAC 200mm, A1</v>
      </c>
      <c r="B1846" s="33" t="s">
        <v>708</v>
      </c>
      <c r="C1846" s="33" t="s">
        <v>48</v>
      </c>
      <c r="D1846" s="33" t="s">
        <v>709</v>
      </c>
      <c r="E1846" s="33" t="s">
        <v>385</v>
      </c>
      <c r="F1846" s="33" t="s">
        <v>74</v>
      </c>
      <c r="G1846" s="33">
        <v>1</v>
      </c>
      <c r="H1846" s="33">
        <v>1</v>
      </c>
      <c r="I1846" s="33">
        <v>0.2</v>
      </c>
      <c r="L1846" s="33">
        <v>2.5</v>
      </c>
      <c r="M1846" s="271">
        <v>0.5</v>
      </c>
      <c r="N1846" s="41"/>
      <c r="O1846" s="33">
        <v>100</v>
      </c>
      <c r="P1846" s="40"/>
      <c r="Q1846" s="40"/>
      <c r="R1846" s="40"/>
      <c r="S1846" s="40"/>
      <c r="T1846" s="40"/>
      <c r="U1846" s="40"/>
      <c r="V1846" s="40"/>
      <c r="W1846" s="40"/>
      <c r="X1846" s="40"/>
      <c r="Y1846" s="40"/>
      <c r="Z1846" s="40"/>
      <c r="AA1846" s="40"/>
      <c r="AB1846" s="40"/>
      <c r="AC1846" s="40"/>
      <c r="AD1846" s="40"/>
      <c r="AE1846" s="40"/>
      <c r="AF1846" s="40"/>
      <c r="AG1846" s="40"/>
      <c r="AH1846" s="40"/>
      <c r="AI1846" s="40"/>
      <c r="AJ1846" s="40"/>
      <c r="AK1846" s="40"/>
      <c r="AL1846" s="40"/>
      <c r="AM1846" s="40"/>
      <c r="AN1846" s="40"/>
      <c r="AO1846" s="40"/>
      <c r="AP1846" s="40"/>
      <c r="AQ1846" s="40"/>
      <c r="AR1846" s="40"/>
      <c r="AS1846" s="40"/>
      <c r="AT1846" s="40"/>
      <c r="AU1846" s="40"/>
      <c r="AV1846" s="317"/>
      <c r="AW1846" s="317"/>
      <c r="AX1846" s="317"/>
      <c r="AY1846" s="313"/>
      <c r="AZ1846" s="40"/>
      <c r="BA1846" s="40"/>
      <c r="BB1846" s="40"/>
      <c r="BC1846" s="40"/>
      <c r="BD1846" s="40"/>
      <c r="BE1846" s="40"/>
      <c r="BF1846" s="40"/>
      <c r="BG1846" s="40"/>
      <c r="BH1846" s="40"/>
      <c r="BI1846" s="40"/>
      <c r="BJ1846" s="40"/>
      <c r="BK1846" s="40"/>
      <c r="BL1846" s="62">
        <v>0.8</v>
      </c>
      <c r="BM1846" s="275">
        <v>3</v>
      </c>
      <c r="BN1846" s="62">
        <v>0</v>
      </c>
      <c r="BO1846" s="33" t="s">
        <v>698</v>
      </c>
    </row>
    <row r="1847" spans="1:67">
      <c r="A1847" s="33" t="str">
        <f>Database_Productkaarten[[#This Row],[Product]]&amp;", "&amp;Database_Productkaarten[[#This Row],[Levensfase]]</f>
        <v>AGRAC 200mm, A2</v>
      </c>
      <c r="B1847" s="33" t="s">
        <v>708</v>
      </c>
      <c r="C1847" s="33" t="s">
        <v>48</v>
      </c>
      <c r="D1847" s="33" t="s">
        <v>709</v>
      </c>
      <c r="E1847" s="33" t="s">
        <v>385</v>
      </c>
      <c r="F1847" s="33" t="s">
        <v>75</v>
      </c>
      <c r="G1847" s="33">
        <v>1</v>
      </c>
      <c r="H1847" s="33">
        <v>1</v>
      </c>
      <c r="I1847" s="33">
        <v>0.2</v>
      </c>
      <c r="L1847" s="33">
        <v>2.5</v>
      </c>
      <c r="M1847" s="271">
        <v>0.5</v>
      </c>
      <c r="N1847" s="41"/>
      <c r="O1847" s="33">
        <v>100</v>
      </c>
      <c r="P1847" s="40"/>
      <c r="Q1847" s="40"/>
      <c r="R1847" s="40"/>
      <c r="S1847" s="40"/>
      <c r="T1847" s="40"/>
      <c r="U1847" s="40"/>
      <c r="V1847" s="40"/>
      <c r="W1847" s="40"/>
      <c r="X1847" s="40"/>
      <c r="Y1847" s="40"/>
      <c r="Z1847" s="40"/>
      <c r="AA1847" s="40"/>
      <c r="AB1847" s="40"/>
      <c r="AC1847" s="40"/>
      <c r="AD1847" s="40"/>
      <c r="AE1847" s="40"/>
      <c r="AF1847" s="40"/>
      <c r="AG1847" s="40"/>
      <c r="AH1847" s="40"/>
      <c r="AI1847" s="40"/>
      <c r="AJ1847" s="40"/>
      <c r="AK1847" s="40"/>
      <c r="AL1847" s="40"/>
      <c r="AM1847" s="40"/>
      <c r="AN1847" s="40"/>
      <c r="AO1847" s="40"/>
      <c r="AP1847" s="40"/>
      <c r="AQ1847" s="40"/>
      <c r="AR1847" s="40"/>
      <c r="AS1847" s="40"/>
      <c r="AT1847" s="40"/>
      <c r="AU1847" s="40"/>
      <c r="AV1847" s="317"/>
      <c r="AW1847" s="317"/>
      <c r="AX1847" s="317"/>
      <c r="AY1847" s="313"/>
      <c r="AZ1847" s="40"/>
      <c r="BA1847" s="40"/>
      <c r="BB1847" s="40"/>
      <c r="BC1847" s="40"/>
      <c r="BD1847" s="40"/>
      <c r="BE1847" s="40"/>
      <c r="BF1847" s="40"/>
      <c r="BG1847" s="40"/>
      <c r="BH1847" s="40"/>
      <c r="BI1847" s="40"/>
      <c r="BJ1847" s="40"/>
      <c r="BK1847" s="40"/>
      <c r="BL1847" s="62">
        <v>0.8</v>
      </c>
      <c r="BM1847" s="275">
        <v>3</v>
      </c>
      <c r="BN1847" s="62">
        <v>0</v>
      </c>
      <c r="BO1847" s="33" t="s">
        <v>698</v>
      </c>
    </row>
    <row r="1848" spans="1:67">
      <c r="A1848" s="33" t="str">
        <f>Database_Productkaarten[[#This Row],[Product]]&amp;", "&amp;Database_Productkaarten[[#This Row],[Levensfase]]</f>
        <v>AGRAC 200mm, A3</v>
      </c>
      <c r="B1848" s="33" t="s">
        <v>708</v>
      </c>
      <c r="C1848" s="33" t="s">
        <v>48</v>
      </c>
      <c r="D1848" s="33" t="s">
        <v>709</v>
      </c>
      <c r="E1848" s="33" t="s">
        <v>385</v>
      </c>
      <c r="F1848" s="33" t="s">
        <v>76</v>
      </c>
      <c r="G1848" s="33">
        <v>1</v>
      </c>
      <c r="H1848" s="33">
        <v>1</v>
      </c>
      <c r="I1848" s="33">
        <v>0.2</v>
      </c>
      <c r="L1848" s="33">
        <v>2.5</v>
      </c>
      <c r="M1848" s="271">
        <v>0.5</v>
      </c>
      <c r="N1848" s="41"/>
      <c r="O1848" s="33">
        <v>100</v>
      </c>
      <c r="P1848" s="40"/>
      <c r="Q1848" s="40"/>
      <c r="R1848" s="40"/>
      <c r="S1848" s="40"/>
      <c r="T1848" s="40"/>
      <c r="U1848" s="40"/>
      <c r="V1848" s="40"/>
      <c r="W1848" s="40"/>
      <c r="X1848" s="40"/>
      <c r="Y1848" s="40"/>
      <c r="Z1848" s="40"/>
      <c r="AA1848" s="40"/>
      <c r="AB1848" s="40"/>
      <c r="AC1848" s="40"/>
      <c r="AD1848" s="40"/>
      <c r="AE1848" s="40"/>
      <c r="AF1848" s="40"/>
      <c r="AG1848" s="40"/>
      <c r="AH1848" s="40"/>
      <c r="AI1848" s="40"/>
      <c r="AJ1848" s="40"/>
      <c r="AK1848" s="40"/>
      <c r="AL1848" s="40"/>
      <c r="AM1848" s="40"/>
      <c r="AN1848" s="40"/>
      <c r="AO1848" s="40"/>
      <c r="AP1848" s="40"/>
      <c r="AQ1848" s="40"/>
      <c r="AR1848" s="40"/>
      <c r="AS1848" s="40"/>
      <c r="AT1848" s="40"/>
      <c r="AU1848" s="40"/>
      <c r="AV1848" s="317"/>
      <c r="AW1848" s="317"/>
      <c r="AX1848" s="317"/>
      <c r="AY1848" s="313"/>
      <c r="AZ1848" s="40"/>
      <c r="BA1848" s="40"/>
      <c r="BB1848" s="40"/>
      <c r="BC1848" s="40"/>
      <c r="BD1848" s="40"/>
      <c r="BE1848" s="40"/>
      <c r="BF1848" s="40"/>
      <c r="BG1848" s="40"/>
      <c r="BH1848" s="40"/>
      <c r="BI1848" s="40"/>
      <c r="BJ1848" s="40"/>
      <c r="BK1848" s="40"/>
      <c r="BL1848" s="62">
        <v>0.8</v>
      </c>
      <c r="BM1848" s="275">
        <v>3</v>
      </c>
      <c r="BN1848" s="62">
        <v>0</v>
      </c>
      <c r="BO1848" s="33" t="s">
        <v>698</v>
      </c>
    </row>
    <row r="1849" spans="1:67">
      <c r="A1849" s="33" t="str">
        <f>Database_Productkaarten[[#This Row],[Product]]&amp;", "&amp;Database_Productkaarten[[#This Row],[Levensfase]]</f>
        <v>AGRAC 200mm, A1-A3</v>
      </c>
      <c r="B1849" s="33" t="s">
        <v>708</v>
      </c>
      <c r="C1849" s="33" t="s">
        <v>48</v>
      </c>
      <c r="D1849" s="33" t="s">
        <v>709</v>
      </c>
      <c r="E1849" s="33" t="s">
        <v>385</v>
      </c>
      <c r="F1849" s="451" t="s">
        <v>77</v>
      </c>
      <c r="G1849" s="33">
        <v>1</v>
      </c>
      <c r="H1849" s="33">
        <v>1</v>
      </c>
      <c r="I1849" s="33">
        <v>0.2</v>
      </c>
      <c r="L1849" s="33">
        <v>2.5</v>
      </c>
      <c r="M1849" s="271">
        <v>0.5</v>
      </c>
      <c r="N1849" s="41">
        <v>0.90049999999999997</v>
      </c>
      <c r="O1849" s="33">
        <v>100</v>
      </c>
      <c r="P1849" s="163">
        <v>1.2099999999999999E-5</v>
      </c>
      <c r="Q1849" s="163">
        <v>4.8000000000000001E-2</v>
      </c>
      <c r="R1849" s="163">
        <v>8.67</v>
      </c>
      <c r="S1849" s="163">
        <v>1.02E-6</v>
      </c>
      <c r="T1849" s="163">
        <v>4.6800000000000001E-3</v>
      </c>
      <c r="U1849" s="163">
        <v>3.78E-2</v>
      </c>
      <c r="V1849" s="163">
        <v>7.6099999999999996E-3</v>
      </c>
      <c r="W1849" s="163">
        <v>2.3199999999999998</v>
      </c>
      <c r="X1849" s="163">
        <v>5.33E-2</v>
      </c>
      <c r="Y1849" s="163">
        <v>194</v>
      </c>
      <c r="Z1849" s="163">
        <v>1.23E-2</v>
      </c>
      <c r="AA1849" s="40"/>
      <c r="AB1849" s="40"/>
      <c r="AC1849" s="40"/>
      <c r="AD1849" s="40"/>
      <c r="AE1849" s="40"/>
      <c r="AF1849" s="40"/>
      <c r="AG1849" s="40"/>
      <c r="AH1849" s="40"/>
      <c r="AI1849" s="40"/>
      <c r="AJ1849" s="40"/>
      <c r="AK1849" s="40"/>
      <c r="AL1849" s="40"/>
      <c r="AM1849" s="40"/>
      <c r="AN1849" s="40"/>
      <c r="AO1849" s="40"/>
      <c r="AP1849" s="40"/>
      <c r="AQ1849" s="40"/>
      <c r="AR1849" s="40"/>
      <c r="AS1849" s="40"/>
      <c r="AT1849" s="40"/>
      <c r="AU1849" s="40"/>
      <c r="AV1849" s="315">
        <v>2.3199999999999998</v>
      </c>
      <c r="AW1849" s="317"/>
      <c r="AX1849" s="317"/>
      <c r="AY1849" s="313">
        <v>105</v>
      </c>
      <c r="AZ1849" s="40"/>
      <c r="BA1849" s="40"/>
      <c r="BB1849" s="40"/>
      <c r="BC1849" s="40">
        <v>0.17799999999999999</v>
      </c>
      <c r="BD1849" s="40">
        <v>1.8799999999999999E-4</v>
      </c>
      <c r="BE1849" s="163">
        <v>2.93</v>
      </c>
      <c r="BF1849" s="163">
        <v>5.3200000000000003E-4</v>
      </c>
      <c r="BG1849" s="40"/>
      <c r="BH1849" s="40"/>
      <c r="BI1849" s="40"/>
      <c r="BJ1849" s="40"/>
      <c r="BK1849" s="40"/>
      <c r="BL1849" s="62">
        <v>0.8</v>
      </c>
      <c r="BM1849" s="275">
        <v>3</v>
      </c>
      <c r="BN1849" s="62">
        <v>0</v>
      </c>
      <c r="BO1849" s="33" t="s">
        <v>698</v>
      </c>
    </row>
    <row r="1850" spans="1:67">
      <c r="A1850" s="33" t="str">
        <f>Database_Productkaarten[[#This Row],[Product]]&amp;", "&amp;Database_Productkaarten[[#This Row],[Levensfase]]</f>
        <v>AGRAC 200mm, A4</v>
      </c>
      <c r="B1850" s="33" t="s">
        <v>708</v>
      </c>
      <c r="C1850" s="33" t="s">
        <v>48</v>
      </c>
      <c r="D1850" s="33" t="s">
        <v>709</v>
      </c>
      <c r="E1850" s="33" t="s">
        <v>385</v>
      </c>
      <c r="F1850" s="33" t="s">
        <v>78</v>
      </c>
      <c r="G1850" s="33">
        <v>1</v>
      </c>
      <c r="H1850" s="33">
        <v>1</v>
      </c>
      <c r="I1850" s="33">
        <v>0.2</v>
      </c>
      <c r="L1850" s="33">
        <v>2.5</v>
      </c>
      <c r="M1850" s="271">
        <v>0.5</v>
      </c>
      <c r="N1850" s="41">
        <v>0.23927000000000001</v>
      </c>
      <c r="O1850" s="33">
        <v>100</v>
      </c>
      <c r="P1850" s="163">
        <v>4.0500000000000002E-6</v>
      </c>
      <c r="Q1850" s="163">
        <v>1.6E-2</v>
      </c>
      <c r="R1850" s="163">
        <v>2.11</v>
      </c>
      <c r="S1850" s="163">
        <v>4.2E-7</v>
      </c>
      <c r="T1850" s="163">
        <v>1.33E-3</v>
      </c>
      <c r="U1850" s="163">
        <v>7.7000000000000002E-3</v>
      </c>
      <c r="V1850" s="163">
        <v>1.57E-3</v>
      </c>
      <c r="W1850" s="163">
        <v>0.74399999999999999</v>
      </c>
      <c r="X1850" s="163">
        <v>4.8000000000000001E-2</v>
      </c>
      <c r="Y1850" s="163">
        <v>126</v>
      </c>
      <c r="Z1850" s="163">
        <v>4.4099999999999999E-3</v>
      </c>
      <c r="AA1850" s="40"/>
      <c r="AB1850" s="40"/>
      <c r="AC1850" s="40"/>
      <c r="AD1850" s="40"/>
      <c r="AE1850" s="40"/>
      <c r="AF1850" s="40"/>
      <c r="AG1850" s="40"/>
      <c r="AH1850" s="40"/>
      <c r="AI1850" s="40"/>
      <c r="AJ1850" s="40"/>
      <c r="AK1850" s="40"/>
      <c r="AL1850" s="40"/>
      <c r="AM1850" s="40"/>
      <c r="AN1850" s="40"/>
      <c r="AO1850" s="40"/>
      <c r="AP1850" s="40"/>
      <c r="AQ1850" s="40"/>
      <c r="AR1850" s="40"/>
      <c r="AS1850" s="40"/>
      <c r="AT1850" s="40"/>
      <c r="AU1850" s="40"/>
      <c r="AV1850" s="315">
        <v>0.57099999999999995</v>
      </c>
      <c r="AW1850" s="317"/>
      <c r="AX1850" s="317"/>
      <c r="AY1850" s="313">
        <v>36.5</v>
      </c>
      <c r="AZ1850" s="40"/>
      <c r="BA1850" s="40"/>
      <c r="BB1850" s="40"/>
      <c r="BC1850" s="40">
        <v>7.4099999999999999E-3</v>
      </c>
      <c r="BD1850" s="40">
        <v>2.5900000000000001E-4</v>
      </c>
      <c r="BE1850" s="163">
        <v>3.02</v>
      </c>
      <c r="BF1850" s="163">
        <v>0</v>
      </c>
      <c r="BG1850" s="40"/>
      <c r="BH1850" s="40"/>
      <c r="BI1850" s="40"/>
      <c r="BJ1850" s="40"/>
      <c r="BK1850" s="40"/>
      <c r="BL1850" s="62">
        <v>0.8</v>
      </c>
      <c r="BM1850" s="275">
        <v>3</v>
      </c>
      <c r="BN1850" s="62">
        <v>0</v>
      </c>
      <c r="BO1850" s="33" t="s">
        <v>698</v>
      </c>
    </row>
    <row r="1851" spans="1:67">
      <c r="A1851" s="33" t="str">
        <f>Database_Productkaarten[[#This Row],[Product]]&amp;", "&amp;Database_Productkaarten[[#This Row],[Levensfase]]</f>
        <v>AGRAC 200mm, A5</v>
      </c>
      <c r="B1851" s="33" t="s">
        <v>708</v>
      </c>
      <c r="C1851" s="33" t="s">
        <v>48</v>
      </c>
      <c r="D1851" s="33" t="s">
        <v>709</v>
      </c>
      <c r="E1851" s="33" t="s">
        <v>385</v>
      </c>
      <c r="F1851" s="33" t="s">
        <v>79</v>
      </c>
      <c r="G1851" s="33">
        <v>1</v>
      </c>
      <c r="H1851" s="33">
        <v>1</v>
      </c>
      <c r="I1851" s="33">
        <v>0.2</v>
      </c>
      <c r="L1851" s="33">
        <v>2.5</v>
      </c>
      <c r="M1851" s="271">
        <v>0.5</v>
      </c>
      <c r="N1851" s="41">
        <v>0.19186</v>
      </c>
      <c r="O1851" s="33">
        <v>100</v>
      </c>
      <c r="P1851" s="163">
        <v>9.6899999999999996E-7</v>
      </c>
      <c r="Q1851" s="163">
        <v>1.41E-2</v>
      </c>
      <c r="R1851" s="163">
        <v>2.0699999999999998</v>
      </c>
      <c r="S1851" s="163">
        <v>3.5999999999999999E-7</v>
      </c>
      <c r="T1851" s="163">
        <v>6.8099999999999996E-4</v>
      </c>
      <c r="U1851" s="163">
        <v>6.0699999999999999E-3</v>
      </c>
      <c r="V1851" s="163">
        <v>1.16E-3</v>
      </c>
      <c r="W1851" s="163">
        <v>0.51200000000000001</v>
      </c>
      <c r="X1851" s="163">
        <v>1.01E-2</v>
      </c>
      <c r="Y1851" s="163">
        <v>33.9</v>
      </c>
      <c r="Z1851" s="163">
        <v>1.82E-3</v>
      </c>
      <c r="AA1851" s="40"/>
      <c r="AB1851" s="40"/>
      <c r="AC1851" s="40"/>
      <c r="AD1851" s="40"/>
      <c r="AE1851" s="40"/>
      <c r="AF1851" s="40"/>
      <c r="AG1851" s="40"/>
      <c r="AH1851" s="40"/>
      <c r="AI1851" s="40"/>
      <c r="AJ1851" s="40"/>
      <c r="AK1851" s="40"/>
      <c r="AL1851" s="40"/>
      <c r="AM1851" s="40"/>
      <c r="AN1851" s="40"/>
      <c r="AO1851" s="40"/>
      <c r="AP1851" s="40"/>
      <c r="AQ1851" s="40"/>
      <c r="AR1851" s="40"/>
      <c r="AS1851" s="40"/>
      <c r="AT1851" s="40"/>
      <c r="AU1851" s="40"/>
      <c r="AV1851" s="315">
        <v>0.23</v>
      </c>
      <c r="AW1851" s="317"/>
      <c r="AX1851" s="317"/>
      <c r="AY1851" s="313">
        <v>31.6</v>
      </c>
      <c r="AZ1851" s="40"/>
      <c r="BA1851" s="40"/>
      <c r="BB1851" s="40"/>
      <c r="BC1851" s="40">
        <v>2.98E-3</v>
      </c>
      <c r="BD1851" s="40">
        <v>2.1800000000000001E-4</v>
      </c>
      <c r="BE1851" s="163">
        <v>5.2900000000000003E-2</v>
      </c>
      <c r="BF1851" s="163">
        <v>0</v>
      </c>
      <c r="BG1851" s="40"/>
      <c r="BH1851" s="40"/>
      <c r="BI1851" s="40"/>
      <c r="BJ1851" s="40"/>
      <c r="BK1851" s="40"/>
      <c r="BL1851" s="62">
        <v>0.8</v>
      </c>
      <c r="BM1851" s="275">
        <v>3</v>
      </c>
      <c r="BN1851" s="62">
        <v>0</v>
      </c>
      <c r="BO1851" s="33" t="s">
        <v>698</v>
      </c>
    </row>
    <row r="1852" spans="1:67">
      <c r="A1852" s="33" t="str">
        <f>Database_Productkaarten[[#This Row],[Product]]&amp;", "&amp;Database_Productkaarten[[#This Row],[Levensfase]]</f>
        <v>AGRAC 200mm, B1</v>
      </c>
      <c r="B1852" s="33" t="s">
        <v>708</v>
      </c>
      <c r="C1852" s="33" t="s">
        <v>48</v>
      </c>
      <c r="D1852" s="33" t="s">
        <v>709</v>
      </c>
      <c r="E1852" s="33" t="s">
        <v>385</v>
      </c>
      <c r="F1852" s="33" t="s">
        <v>80</v>
      </c>
      <c r="G1852" s="33">
        <v>1</v>
      </c>
      <c r="H1852" s="33">
        <v>1</v>
      </c>
      <c r="I1852" s="33">
        <v>0.2</v>
      </c>
      <c r="L1852" s="33">
        <v>2.5</v>
      </c>
      <c r="M1852" s="271">
        <v>0.5</v>
      </c>
      <c r="N1852" s="41">
        <v>2.7490000000000001E-2</v>
      </c>
      <c r="O1852" s="33">
        <v>100</v>
      </c>
      <c r="P1852" s="163">
        <v>0</v>
      </c>
      <c r="Q1852" s="163">
        <v>0</v>
      </c>
      <c r="R1852" s="163">
        <v>0</v>
      </c>
      <c r="S1852" s="163">
        <v>0</v>
      </c>
      <c r="T1852" s="163">
        <v>0</v>
      </c>
      <c r="U1852" s="163">
        <v>0</v>
      </c>
      <c r="V1852" s="163">
        <v>0</v>
      </c>
      <c r="W1852" s="163">
        <v>0.11600000000000001</v>
      </c>
      <c r="X1852" s="163">
        <v>5.0500000000000003E-2</v>
      </c>
      <c r="Y1852" s="163">
        <v>111</v>
      </c>
      <c r="Z1852" s="163">
        <v>7.4399999999999994E-2</v>
      </c>
      <c r="AA1852" s="40"/>
      <c r="AB1852" s="40"/>
      <c r="AC1852" s="40"/>
      <c r="AD1852" s="40"/>
      <c r="AE1852" s="40"/>
      <c r="AF1852" s="40"/>
      <c r="AG1852" s="40"/>
      <c r="AH1852" s="40"/>
      <c r="AI1852" s="40"/>
      <c r="AJ1852" s="40"/>
      <c r="AK1852" s="40"/>
      <c r="AL1852" s="40"/>
      <c r="AM1852" s="40"/>
      <c r="AN1852" s="40"/>
      <c r="AO1852" s="40"/>
      <c r="AP1852" s="40"/>
      <c r="AQ1852" s="40"/>
      <c r="AR1852" s="40"/>
      <c r="AS1852" s="40"/>
      <c r="AT1852" s="40"/>
      <c r="AU1852" s="40"/>
      <c r="AV1852" s="315">
        <v>0</v>
      </c>
      <c r="AW1852" s="317"/>
      <c r="AX1852" s="317"/>
      <c r="AY1852" s="313">
        <v>0</v>
      </c>
      <c r="AZ1852" s="40"/>
      <c r="BA1852" s="40"/>
      <c r="BB1852" s="40"/>
      <c r="BC1852" s="40">
        <v>0</v>
      </c>
      <c r="BD1852" s="40">
        <v>0</v>
      </c>
      <c r="BE1852" s="163">
        <v>0</v>
      </c>
      <c r="BF1852" s="163">
        <v>0</v>
      </c>
      <c r="BG1852" s="40"/>
      <c r="BH1852" s="40"/>
      <c r="BI1852" s="40"/>
      <c r="BJ1852" s="40"/>
      <c r="BK1852" s="40"/>
      <c r="BL1852" s="62">
        <v>0.8</v>
      </c>
      <c r="BM1852" s="275">
        <v>3</v>
      </c>
      <c r="BN1852" s="62">
        <v>0</v>
      </c>
      <c r="BO1852" s="33" t="s">
        <v>698</v>
      </c>
    </row>
    <row r="1853" spans="1:67">
      <c r="A1853" s="33" t="str">
        <f>Database_Productkaarten[[#This Row],[Product]]&amp;", "&amp;Database_Productkaarten[[#This Row],[Levensfase]]</f>
        <v>AGRAC 200mm, C1</v>
      </c>
      <c r="B1853" s="33" t="s">
        <v>708</v>
      </c>
      <c r="C1853" s="33" t="s">
        <v>48</v>
      </c>
      <c r="D1853" s="33" t="s">
        <v>709</v>
      </c>
      <c r="E1853" s="33" t="s">
        <v>385</v>
      </c>
      <c r="F1853" s="33" t="s">
        <v>83</v>
      </c>
      <c r="G1853" s="33">
        <v>1</v>
      </c>
      <c r="H1853" s="33">
        <v>1</v>
      </c>
      <c r="I1853" s="33">
        <v>0.2</v>
      </c>
      <c r="L1853" s="33">
        <v>2.5</v>
      </c>
      <c r="M1853" s="271">
        <v>0.5</v>
      </c>
      <c r="N1853" s="41">
        <v>6.2149999999999997E-2</v>
      </c>
      <c r="O1853" s="33">
        <v>100</v>
      </c>
      <c r="P1853" s="163">
        <v>3.1399999999999998E-7</v>
      </c>
      <c r="Q1853" s="163">
        <v>4.5799999999999999E-3</v>
      </c>
      <c r="R1853" s="163">
        <v>0.67100000000000004</v>
      </c>
      <c r="S1853" s="163">
        <v>1.17E-7</v>
      </c>
      <c r="T1853" s="163">
        <v>2.2100000000000001E-4</v>
      </c>
      <c r="U1853" s="163">
        <v>1.97E-3</v>
      </c>
      <c r="V1853" s="163">
        <v>3.7599999999999998E-4</v>
      </c>
      <c r="W1853" s="163">
        <v>0.16600000000000001</v>
      </c>
      <c r="X1853" s="163">
        <v>3.29E-3</v>
      </c>
      <c r="Y1853" s="163">
        <v>11</v>
      </c>
      <c r="Z1853" s="163">
        <v>5.9100000000000005E-4</v>
      </c>
      <c r="AA1853" s="40"/>
      <c r="AB1853" s="40"/>
      <c r="AC1853" s="40"/>
      <c r="AD1853" s="40"/>
      <c r="AE1853" s="40"/>
      <c r="AF1853" s="40"/>
      <c r="AG1853" s="40"/>
      <c r="AH1853" s="40"/>
      <c r="AI1853" s="40"/>
      <c r="AJ1853" s="40"/>
      <c r="AK1853" s="40"/>
      <c r="AL1853" s="40"/>
      <c r="AM1853" s="40"/>
      <c r="AN1853" s="40"/>
      <c r="AO1853" s="40"/>
      <c r="AP1853" s="40"/>
      <c r="AQ1853" s="40"/>
      <c r="AR1853" s="40"/>
      <c r="AS1853" s="40"/>
      <c r="AT1853" s="40"/>
      <c r="AU1853" s="40"/>
      <c r="AV1853" s="315">
        <v>7.46E-2</v>
      </c>
      <c r="AW1853" s="317"/>
      <c r="AX1853" s="317"/>
      <c r="AY1853" s="313">
        <v>10.199999999999999</v>
      </c>
      <c r="AZ1853" s="40"/>
      <c r="BA1853" s="40"/>
      <c r="BB1853" s="40"/>
      <c r="BC1853" s="40">
        <v>9.6599999999999995E-4</v>
      </c>
      <c r="BD1853" s="40">
        <v>7.0599999999999995E-5</v>
      </c>
      <c r="BE1853" s="163">
        <v>1.72E-2</v>
      </c>
      <c r="BF1853" s="163">
        <v>0</v>
      </c>
      <c r="BG1853" s="40"/>
      <c r="BH1853" s="40"/>
      <c r="BI1853" s="40"/>
      <c r="BJ1853" s="40"/>
      <c r="BK1853" s="40"/>
      <c r="BL1853" s="62">
        <v>0.8</v>
      </c>
      <c r="BM1853" s="275">
        <v>3</v>
      </c>
      <c r="BN1853" s="62">
        <v>0</v>
      </c>
      <c r="BO1853" s="33" t="s">
        <v>698</v>
      </c>
    </row>
    <row r="1854" spans="1:67">
      <c r="A1854" s="33" t="str">
        <f>Database_Productkaarten[[#This Row],[Product]]&amp;", "&amp;Database_Productkaarten[[#This Row],[Levensfase]]</f>
        <v>AGRAC 200mm, C2</v>
      </c>
      <c r="B1854" s="33" t="s">
        <v>708</v>
      </c>
      <c r="C1854" s="33" t="s">
        <v>48</v>
      </c>
      <c r="D1854" s="33" t="s">
        <v>709</v>
      </c>
      <c r="E1854" s="33" t="s">
        <v>385</v>
      </c>
      <c r="F1854" s="33" t="s">
        <v>84</v>
      </c>
      <c r="G1854" s="33">
        <v>1</v>
      </c>
      <c r="H1854" s="33">
        <v>1</v>
      </c>
      <c r="I1854" s="33">
        <v>0.2</v>
      </c>
      <c r="L1854" s="33">
        <v>2.5</v>
      </c>
      <c r="M1854" s="271">
        <v>0.5</v>
      </c>
      <c r="N1854" s="41">
        <v>4.8300000000000001E-3</v>
      </c>
      <c r="O1854" s="33">
        <v>100</v>
      </c>
      <c r="P1854" s="163">
        <v>4.0899999999999998E-6</v>
      </c>
      <c r="Q1854" s="163">
        <v>1.61E-2</v>
      </c>
      <c r="R1854" s="163">
        <v>2.13</v>
      </c>
      <c r="S1854" s="163">
        <v>4.2399999999999999E-7</v>
      </c>
      <c r="T1854" s="163">
        <v>1.3500000000000001E-3</v>
      </c>
      <c r="U1854" s="163">
        <v>7.7799999999999996E-3</v>
      </c>
      <c r="V1854" s="163">
        <v>1.58E-3</v>
      </c>
      <c r="W1854" s="163">
        <v>0.751</v>
      </c>
      <c r="X1854" s="163">
        <v>4.8399999999999999E-2</v>
      </c>
      <c r="Y1854" s="163">
        <v>127</v>
      </c>
      <c r="Z1854" s="163">
        <v>4.45E-3</v>
      </c>
      <c r="AA1854" s="40"/>
      <c r="AB1854" s="40"/>
      <c r="AC1854" s="40"/>
      <c r="AD1854" s="40"/>
      <c r="AE1854" s="40"/>
      <c r="AF1854" s="40"/>
      <c r="AG1854" s="40"/>
      <c r="AH1854" s="40"/>
      <c r="AI1854" s="40"/>
      <c r="AJ1854" s="40"/>
      <c r="AK1854" s="40"/>
      <c r="AL1854" s="40"/>
      <c r="AM1854" s="40"/>
      <c r="AN1854" s="40"/>
      <c r="AO1854" s="40"/>
      <c r="AP1854" s="40"/>
      <c r="AQ1854" s="40"/>
      <c r="AR1854" s="40"/>
      <c r="AS1854" s="40"/>
      <c r="AT1854" s="40"/>
      <c r="AU1854" s="40"/>
      <c r="AV1854" s="315">
        <v>0.57699999999999996</v>
      </c>
      <c r="AW1854" s="317"/>
      <c r="AX1854" s="317"/>
      <c r="AY1854" s="313">
        <v>36.9</v>
      </c>
      <c r="AZ1854" s="40"/>
      <c r="BA1854" s="40"/>
      <c r="BB1854" s="40"/>
      <c r="BC1854" s="40">
        <v>7.4900000000000001E-3</v>
      </c>
      <c r="BD1854" s="40">
        <v>2.61E-4</v>
      </c>
      <c r="BE1854" s="163">
        <v>3.05</v>
      </c>
      <c r="BF1854" s="163">
        <v>0</v>
      </c>
      <c r="BG1854" s="40"/>
      <c r="BH1854" s="40"/>
      <c r="BI1854" s="40"/>
      <c r="BJ1854" s="40"/>
      <c r="BK1854" s="40"/>
      <c r="BL1854" s="62">
        <v>0.8</v>
      </c>
      <c r="BM1854" s="275">
        <v>3</v>
      </c>
      <c r="BN1854" s="62">
        <v>0</v>
      </c>
      <c r="BO1854" s="33" t="s">
        <v>698</v>
      </c>
    </row>
    <row r="1855" spans="1:67">
      <c r="A1855" s="33" t="str">
        <f>Database_Productkaarten[[#This Row],[Product]]&amp;", "&amp;Database_Productkaarten[[#This Row],[Levensfase]]</f>
        <v>AGRAC 200mm, C3</v>
      </c>
      <c r="B1855" s="33" t="s">
        <v>708</v>
      </c>
      <c r="C1855" s="33" t="s">
        <v>48</v>
      </c>
      <c r="D1855" s="33" t="s">
        <v>709</v>
      </c>
      <c r="E1855" s="33" t="s">
        <v>385</v>
      </c>
      <c r="F1855" s="33" t="s">
        <v>85</v>
      </c>
      <c r="G1855" s="33">
        <v>1</v>
      </c>
      <c r="H1855" s="33">
        <v>1</v>
      </c>
      <c r="I1855" s="33">
        <v>0.2</v>
      </c>
      <c r="L1855" s="33">
        <v>2.5</v>
      </c>
      <c r="M1855" s="271">
        <v>0.5</v>
      </c>
      <c r="N1855" s="41">
        <v>8.3830000000000002E-2</v>
      </c>
      <c r="O1855" s="33">
        <v>100</v>
      </c>
      <c r="P1855" s="163">
        <v>5.1099999999999996E-7</v>
      </c>
      <c r="Q1855" s="163">
        <v>5.7400000000000003E-3</v>
      </c>
      <c r="R1855" s="163">
        <v>0.8</v>
      </c>
      <c r="S1855" s="163">
        <v>9.2999999999999999E-8</v>
      </c>
      <c r="T1855" s="163">
        <v>4.5800000000000002E-4</v>
      </c>
      <c r="U1855" s="163">
        <v>3.9899999999999996E-3</v>
      </c>
      <c r="V1855" s="163">
        <v>9.01E-4</v>
      </c>
      <c r="W1855" s="163">
        <v>0.183</v>
      </c>
      <c r="X1855" s="163">
        <v>3.14E-3</v>
      </c>
      <c r="Y1855" s="163">
        <v>11.6</v>
      </c>
      <c r="Z1855" s="163">
        <v>2.32E-3</v>
      </c>
      <c r="AA1855" s="40"/>
      <c r="AB1855" s="40"/>
      <c r="AC1855" s="40"/>
      <c r="AD1855" s="40"/>
      <c r="AE1855" s="40"/>
      <c r="AF1855" s="40"/>
      <c r="AG1855" s="40"/>
      <c r="AH1855" s="40"/>
      <c r="AI1855" s="40"/>
      <c r="AJ1855" s="40"/>
      <c r="AK1855" s="40"/>
      <c r="AL1855" s="40"/>
      <c r="AM1855" s="40"/>
      <c r="AN1855" s="40"/>
      <c r="AO1855" s="40"/>
      <c r="AP1855" s="40"/>
      <c r="AQ1855" s="40"/>
      <c r="AR1855" s="40"/>
      <c r="AS1855" s="40"/>
      <c r="AT1855" s="40"/>
      <c r="AU1855" s="40"/>
      <c r="AV1855" s="315">
        <v>0.64500000000000002</v>
      </c>
      <c r="AW1855" s="317"/>
      <c r="AX1855" s="317"/>
      <c r="AY1855" s="313">
        <v>12</v>
      </c>
      <c r="AZ1855" s="40"/>
      <c r="BA1855" s="40"/>
      <c r="BB1855" s="40"/>
      <c r="BC1855" s="40">
        <v>5.2900000000000004E-3</v>
      </c>
      <c r="BD1855" s="40">
        <v>1.84E-5</v>
      </c>
      <c r="BE1855" s="163">
        <v>1.51</v>
      </c>
      <c r="BF1855" s="163">
        <v>5.4299999999999998E-5</v>
      </c>
      <c r="BG1855" s="40"/>
      <c r="BH1855" s="40"/>
      <c r="BI1855" s="40"/>
      <c r="BJ1855" s="40"/>
      <c r="BK1855" s="40"/>
      <c r="BL1855" s="62">
        <v>0.8</v>
      </c>
      <c r="BM1855" s="275">
        <v>3</v>
      </c>
      <c r="BN1855" s="62">
        <v>0</v>
      </c>
      <c r="BO1855" s="33" t="s">
        <v>698</v>
      </c>
    </row>
    <row r="1856" spans="1:67">
      <c r="A1856" s="33" t="str">
        <f>Database_Productkaarten[[#This Row],[Product]]&amp;", "&amp;Database_Productkaarten[[#This Row],[Levensfase]]</f>
        <v>AGRAC 200mm, C4</v>
      </c>
      <c r="B1856" s="33" t="s">
        <v>708</v>
      </c>
      <c r="C1856" s="33" t="s">
        <v>48</v>
      </c>
      <c r="D1856" s="33" t="s">
        <v>709</v>
      </c>
      <c r="E1856" s="33" t="s">
        <v>385</v>
      </c>
      <c r="F1856" s="33" t="s">
        <v>86</v>
      </c>
      <c r="G1856" s="33">
        <v>1</v>
      </c>
      <c r="H1856" s="33">
        <v>1</v>
      </c>
      <c r="I1856" s="33">
        <v>0.2</v>
      </c>
      <c r="L1856" s="33">
        <v>2.5</v>
      </c>
      <c r="M1856" s="271">
        <v>0.5</v>
      </c>
      <c r="N1856" s="41">
        <v>3.7200000000000002E-3</v>
      </c>
      <c r="O1856" s="33">
        <v>100</v>
      </c>
      <c r="P1856" s="163">
        <v>2.9700000000000001E-8</v>
      </c>
      <c r="Q1856" s="163">
        <v>3.86E-4</v>
      </c>
      <c r="R1856" s="163">
        <v>2.64E-2</v>
      </c>
      <c r="S1856" s="163">
        <v>9.5200000000000002E-9</v>
      </c>
      <c r="T1856" s="163">
        <v>2.8799999999999999E-5</v>
      </c>
      <c r="U1856" s="163">
        <v>1.9900000000000001E-4</v>
      </c>
      <c r="V1856" s="163">
        <v>3.7700000000000002E-5</v>
      </c>
      <c r="W1856" s="163">
        <v>1.15E-2</v>
      </c>
      <c r="X1856" s="163">
        <v>2.7799999999999998E-4</v>
      </c>
      <c r="Y1856" s="163">
        <v>0.97499999999999998</v>
      </c>
      <c r="Z1856" s="163">
        <v>2.87E-5</v>
      </c>
      <c r="AA1856" s="40"/>
      <c r="AB1856" s="40"/>
      <c r="AC1856" s="40"/>
      <c r="AD1856" s="40"/>
      <c r="AE1856" s="40"/>
      <c r="AF1856" s="40"/>
      <c r="AG1856" s="40"/>
      <c r="AH1856" s="40"/>
      <c r="AI1856" s="40"/>
      <c r="AJ1856" s="40"/>
      <c r="AK1856" s="40"/>
      <c r="AL1856" s="40"/>
      <c r="AM1856" s="40"/>
      <c r="AN1856" s="40"/>
      <c r="AO1856" s="40"/>
      <c r="AP1856" s="40"/>
      <c r="AQ1856" s="40"/>
      <c r="AR1856" s="40"/>
      <c r="AS1856" s="40"/>
      <c r="AT1856" s="40"/>
      <c r="AU1856" s="40"/>
      <c r="AV1856" s="315">
        <v>6.6400000000000001E-3</v>
      </c>
      <c r="AW1856" s="317"/>
      <c r="AX1856" s="317"/>
      <c r="AY1856" s="313">
        <v>0.86199999999999999</v>
      </c>
      <c r="AZ1856" s="40"/>
      <c r="BA1856" s="40"/>
      <c r="BB1856" s="40"/>
      <c r="BC1856" s="40">
        <v>8.4699999999999999E-4</v>
      </c>
      <c r="BD1856" s="40">
        <v>5.4300000000000003E-7</v>
      </c>
      <c r="BE1856" s="163">
        <v>5</v>
      </c>
      <c r="BF1856" s="163">
        <v>5.3700000000000003E-6</v>
      </c>
      <c r="BG1856" s="40"/>
      <c r="BH1856" s="40"/>
      <c r="BI1856" s="40"/>
      <c r="BJ1856" s="40"/>
      <c r="BK1856" s="40"/>
      <c r="BL1856" s="62">
        <v>0.8</v>
      </c>
      <c r="BM1856" s="275">
        <v>3</v>
      </c>
      <c r="BN1856" s="62">
        <v>0</v>
      </c>
      <c r="BO1856" s="33" t="s">
        <v>698</v>
      </c>
    </row>
    <row r="1857" spans="1:67">
      <c r="A1857" s="33" t="str">
        <f>Database_Productkaarten[[#This Row],[Product]]&amp;", "&amp;Database_Productkaarten[[#This Row],[Levensfase]]</f>
        <v>AGRAC 200mm, D</v>
      </c>
      <c r="B1857" s="33" t="s">
        <v>708</v>
      </c>
      <c r="C1857" s="33" t="s">
        <v>48</v>
      </c>
      <c r="D1857" s="33" t="s">
        <v>709</v>
      </c>
      <c r="E1857" s="33" t="s">
        <v>385</v>
      </c>
      <c r="F1857" s="33" t="s">
        <v>89</v>
      </c>
      <c r="G1857" s="33">
        <v>1</v>
      </c>
      <c r="H1857" s="33">
        <v>1</v>
      </c>
      <c r="I1857" s="33">
        <v>0.2</v>
      </c>
      <c r="L1857" s="33">
        <v>2.5</v>
      </c>
      <c r="M1857" s="271">
        <v>0.5</v>
      </c>
      <c r="N1857" s="41">
        <v>-4.1200000000000001E-2</v>
      </c>
      <c r="O1857" s="33">
        <v>100</v>
      </c>
      <c r="P1857" s="163">
        <v>-2.1100000000000001E-6</v>
      </c>
      <c r="Q1857" s="163">
        <v>-2.2300000000000002E-3</v>
      </c>
      <c r="R1857" s="163">
        <v>-0.32500000000000001</v>
      </c>
      <c r="S1857" s="163">
        <v>-2.36E-8</v>
      </c>
      <c r="T1857" s="163">
        <v>-2.1800000000000001E-4</v>
      </c>
      <c r="U1857" s="163">
        <v>-1.75E-3</v>
      </c>
      <c r="V1857" s="163">
        <v>-2.81E-4</v>
      </c>
      <c r="W1857" s="163">
        <v>-0.15</v>
      </c>
      <c r="X1857" s="163">
        <v>-2.16E-3</v>
      </c>
      <c r="Y1857" s="163">
        <v>-9.73</v>
      </c>
      <c r="Z1857" s="163">
        <v>-8.6200000000000003E-4</v>
      </c>
      <c r="AA1857" s="40"/>
      <c r="AB1857" s="40"/>
      <c r="AC1857" s="40"/>
      <c r="AD1857" s="40"/>
      <c r="AE1857" s="40"/>
      <c r="AF1857" s="40"/>
      <c r="AG1857" s="40"/>
      <c r="AH1857" s="40"/>
      <c r="AI1857" s="40"/>
      <c r="AJ1857" s="40"/>
      <c r="AK1857" s="40"/>
      <c r="AL1857" s="40"/>
      <c r="AM1857" s="40"/>
      <c r="AN1857" s="40"/>
      <c r="AO1857" s="40"/>
      <c r="AP1857" s="40"/>
      <c r="AQ1857" s="40"/>
      <c r="AR1857" s="40"/>
      <c r="AS1857" s="40"/>
      <c r="AT1857" s="40"/>
      <c r="AU1857" s="40"/>
      <c r="AV1857" s="315">
        <v>-0.32</v>
      </c>
      <c r="AW1857" s="317"/>
      <c r="AX1857" s="317"/>
      <c r="AY1857" s="313">
        <v>-4.38</v>
      </c>
      <c r="AZ1857" s="40"/>
      <c r="BA1857" s="40"/>
      <c r="BB1857" s="40"/>
      <c r="BC1857" s="40">
        <v>-0.129</v>
      </c>
      <c r="BD1857" s="40">
        <v>-6.7000000000000002E-6</v>
      </c>
      <c r="BE1857" s="163">
        <v>-4.9299999999999997E-2</v>
      </c>
      <c r="BF1857" s="163">
        <v>-1.63E-5</v>
      </c>
      <c r="BG1857" s="40"/>
      <c r="BH1857" s="40"/>
      <c r="BI1857" s="40"/>
      <c r="BJ1857" s="40"/>
      <c r="BK1857" s="40"/>
      <c r="BL1857" s="62">
        <v>0.8</v>
      </c>
      <c r="BM1857" s="275">
        <v>3</v>
      </c>
      <c r="BN1857" s="62">
        <v>0</v>
      </c>
      <c r="BO1857" s="33" t="s">
        <v>698</v>
      </c>
    </row>
    <row r="1858" spans="1:67">
      <c r="A1858" s="33" t="str">
        <f>Database_Productkaarten[[#This Row],[Product]]&amp;", "&amp;Database_Productkaarten[[#This Row],[Levensfase]]</f>
        <v>AGRAC 200mm, D1</v>
      </c>
      <c r="B1858" s="33" t="s">
        <v>708</v>
      </c>
      <c r="C1858" s="33" t="s">
        <v>48</v>
      </c>
      <c r="D1858" s="33" t="s">
        <v>709</v>
      </c>
      <c r="E1858" s="33" t="s">
        <v>385</v>
      </c>
      <c r="F1858" s="33" t="s">
        <v>87</v>
      </c>
      <c r="G1858" s="33">
        <v>1</v>
      </c>
      <c r="H1858" s="33">
        <v>1</v>
      </c>
      <c r="I1858" s="33">
        <v>0.2</v>
      </c>
      <c r="L1858" s="33">
        <v>2.5</v>
      </c>
      <c r="M1858" s="271">
        <v>0.5</v>
      </c>
      <c r="N1858" s="41"/>
      <c r="O1858" s="33">
        <v>100</v>
      </c>
      <c r="P1858" s="40"/>
      <c r="Q1858" s="40"/>
      <c r="R1858" s="40"/>
      <c r="S1858" s="40"/>
      <c r="T1858" s="40"/>
      <c r="U1858" s="40"/>
      <c r="V1858" s="40"/>
      <c r="W1858" s="40"/>
      <c r="X1858" s="40"/>
      <c r="Y1858" s="40"/>
      <c r="Z1858" s="40"/>
      <c r="AA1858" s="40"/>
      <c r="AB1858" s="40"/>
      <c r="AC1858" s="40"/>
      <c r="AD1858" s="40"/>
      <c r="AE1858" s="40"/>
      <c r="AF1858" s="40"/>
      <c r="AG1858" s="40"/>
      <c r="AH1858" s="40"/>
      <c r="AI1858" s="40"/>
      <c r="AJ1858" s="40"/>
      <c r="AK1858" s="40"/>
      <c r="AL1858" s="40"/>
      <c r="AM1858" s="40"/>
      <c r="AN1858" s="40"/>
      <c r="AO1858" s="40"/>
      <c r="AP1858" s="40"/>
      <c r="AQ1858" s="40"/>
      <c r="AR1858" s="40"/>
      <c r="AS1858" s="40"/>
      <c r="AT1858" s="40"/>
      <c r="AU1858" s="40"/>
      <c r="AV1858" s="313"/>
      <c r="AW1858" s="317"/>
      <c r="AX1858" s="317"/>
      <c r="AY1858" s="313"/>
      <c r="AZ1858" s="40"/>
      <c r="BA1858" s="40"/>
      <c r="BB1858" s="40"/>
      <c r="BC1858" s="40"/>
      <c r="BD1858" s="40"/>
      <c r="BE1858" s="40"/>
      <c r="BF1858" s="40"/>
      <c r="BG1858" s="40"/>
      <c r="BH1858" s="40"/>
      <c r="BI1858" s="40"/>
      <c r="BJ1858" s="40"/>
      <c r="BK1858" s="40"/>
      <c r="BL1858" s="62">
        <v>0.8</v>
      </c>
      <c r="BM1858" s="275">
        <v>3</v>
      </c>
      <c r="BN1858" s="62">
        <v>0</v>
      </c>
      <c r="BO1858" s="33" t="s">
        <v>698</v>
      </c>
    </row>
    <row r="1859" spans="1:67">
      <c r="A1859" s="33" t="str">
        <f>Database_Productkaarten[[#This Row],[Product]]&amp;", "&amp;Database_Productkaarten[[#This Row],[Levensfase]]</f>
        <v>AGRAC 200mm, D2</v>
      </c>
      <c r="B1859" s="33" t="s">
        <v>708</v>
      </c>
      <c r="C1859" s="33" t="s">
        <v>48</v>
      </c>
      <c r="D1859" s="33" t="s">
        <v>709</v>
      </c>
      <c r="E1859" s="33" t="s">
        <v>385</v>
      </c>
      <c r="F1859" s="33" t="s">
        <v>88</v>
      </c>
      <c r="G1859" s="33">
        <v>1</v>
      </c>
      <c r="H1859" s="33">
        <v>1</v>
      </c>
      <c r="I1859" s="33">
        <v>0.2</v>
      </c>
      <c r="L1859" s="33">
        <v>2.5</v>
      </c>
      <c r="M1859" s="271">
        <v>0.5</v>
      </c>
      <c r="N1859" s="41"/>
      <c r="O1859" s="33">
        <v>100</v>
      </c>
      <c r="P1859" s="40"/>
      <c r="Q1859" s="40"/>
      <c r="R1859" s="40"/>
      <c r="S1859" s="40"/>
      <c r="T1859" s="40"/>
      <c r="U1859" s="40"/>
      <c r="V1859" s="40"/>
      <c r="W1859" s="40"/>
      <c r="X1859" s="40"/>
      <c r="Y1859" s="40"/>
      <c r="Z1859" s="40"/>
      <c r="AA1859" s="40"/>
      <c r="AB1859" s="40"/>
      <c r="AC1859" s="40"/>
      <c r="AD1859" s="40"/>
      <c r="AE1859" s="40"/>
      <c r="AF1859" s="40"/>
      <c r="AG1859" s="40"/>
      <c r="AH1859" s="40"/>
      <c r="AI1859" s="40"/>
      <c r="AJ1859" s="40"/>
      <c r="AK1859" s="40"/>
      <c r="AL1859" s="40"/>
      <c r="AM1859" s="40"/>
      <c r="AN1859" s="40"/>
      <c r="AO1859" s="40"/>
      <c r="AP1859" s="40"/>
      <c r="AQ1859" s="40"/>
      <c r="AR1859" s="40"/>
      <c r="AS1859" s="40"/>
      <c r="AT1859" s="40"/>
      <c r="AU1859" s="40"/>
      <c r="AV1859" s="313"/>
      <c r="AW1859" s="317"/>
      <c r="AX1859" s="317"/>
      <c r="AY1859" s="313"/>
      <c r="AZ1859" s="40"/>
      <c r="BA1859" s="40"/>
      <c r="BB1859" s="40"/>
      <c r="BC1859" s="40"/>
      <c r="BD1859" s="40"/>
      <c r="BE1859" s="40"/>
      <c r="BF1859" s="40"/>
      <c r="BG1859" s="40"/>
      <c r="BH1859" s="40"/>
      <c r="BI1859" s="40"/>
      <c r="BJ1859" s="40"/>
      <c r="BK1859" s="40"/>
      <c r="BL1859" s="62">
        <v>0.8</v>
      </c>
      <c r="BM1859" s="275">
        <v>3</v>
      </c>
      <c r="BN1859" s="62">
        <v>0</v>
      </c>
      <c r="BO1859" s="33" t="s">
        <v>698</v>
      </c>
    </row>
    <row r="1860" spans="1:67">
      <c r="A1860" s="33" t="str">
        <f>Database_Productkaarten[[#This Row],[Product]]&amp;", "&amp;Database_Productkaarten[[#This Row],[Levensfase]]</f>
        <v>AGRAC 200mm, Totaal</v>
      </c>
      <c r="B1860" s="33" t="s">
        <v>708</v>
      </c>
      <c r="C1860" s="33" t="s">
        <v>48</v>
      </c>
      <c r="D1860" s="33" t="s">
        <v>709</v>
      </c>
      <c r="E1860" s="33" t="s">
        <v>385</v>
      </c>
      <c r="F1860" s="33" t="s">
        <v>90</v>
      </c>
      <c r="G1860" s="33">
        <v>1</v>
      </c>
      <c r="H1860" s="33">
        <v>1</v>
      </c>
      <c r="I1860" s="33">
        <v>0.25</v>
      </c>
      <c r="L1860" s="33">
        <v>2.5</v>
      </c>
      <c r="M1860" s="271">
        <v>0.625</v>
      </c>
      <c r="N1860" s="41">
        <v>2.0238399999999999</v>
      </c>
      <c r="O1860" s="33">
        <v>100</v>
      </c>
      <c r="P1860" s="163">
        <v>2.4700000000000001E-5</v>
      </c>
      <c r="Q1860" s="163">
        <v>0.124</v>
      </c>
      <c r="R1860" s="163">
        <v>19.5</v>
      </c>
      <c r="S1860" s="163">
        <v>2.9100000000000001E-6</v>
      </c>
      <c r="T1860" s="163">
        <v>1.04E-2</v>
      </c>
      <c r="U1860" s="163">
        <v>7.7700000000000005E-2</v>
      </c>
      <c r="V1860" s="163">
        <v>1.5800000000000002E-2</v>
      </c>
      <c r="W1860" s="163">
        <v>5.65</v>
      </c>
      <c r="X1860" s="163">
        <v>0.26500000000000001</v>
      </c>
      <c r="Y1860" s="163">
        <v>745</v>
      </c>
      <c r="Z1860" s="163">
        <v>0.124</v>
      </c>
      <c r="AA1860" s="40"/>
      <c r="AB1860" s="40"/>
      <c r="AC1860" s="40"/>
      <c r="AD1860" s="40"/>
      <c r="AE1860" s="40"/>
      <c r="AF1860" s="40"/>
      <c r="AG1860" s="40"/>
      <c r="AH1860" s="40"/>
      <c r="AI1860" s="40"/>
      <c r="AJ1860" s="40"/>
      <c r="AK1860" s="40"/>
      <c r="AL1860" s="40"/>
      <c r="AM1860" s="40"/>
      <c r="AN1860" s="40"/>
      <c r="AO1860" s="40"/>
      <c r="AP1860" s="40"/>
      <c r="AQ1860" s="40"/>
      <c r="AR1860" s="40"/>
      <c r="AS1860" s="40"/>
      <c r="AT1860" s="40"/>
      <c r="AU1860" s="40"/>
      <c r="AV1860" s="315">
        <v>5.0599999999999996</v>
      </c>
      <c r="AW1860" s="317"/>
      <c r="AX1860" s="317"/>
      <c r="AY1860" s="313">
        <v>275</v>
      </c>
      <c r="AZ1860" s="40"/>
      <c r="BA1860" s="40"/>
      <c r="BB1860" s="40"/>
      <c r="BC1860" s="40">
        <v>9.0700000000000003E-2</v>
      </c>
      <c r="BD1860" s="40">
        <v>1.1900000000000001E-3</v>
      </c>
      <c r="BE1860" s="163">
        <v>19.399999999999999</v>
      </c>
      <c r="BF1860" s="163">
        <v>7.2000000000000005E-4</v>
      </c>
      <c r="BG1860" s="40"/>
      <c r="BH1860" s="40"/>
      <c r="BI1860" s="40"/>
      <c r="BJ1860" s="40"/>
      <c r="BK1860" s="40"/>
      <c r="BL1860" s="62">
        <v>0.8</v>
      </c>
      <c r="BM1860" s="275">
        <v>3</v>
      </c>
      <c r="BN1860" s="62">
        <v>0</v>
      </c>
      <c r="BO1860" s="33" t="s">
        <v>698</v>
      </c>
    </row>
    <row r="1861" spans="1:67">
      <c r="A1861" s="33" t="str">
        <f>Database_Productkaarten[[#This Row],[Product]]&amp;", "&amp;Database_Productkaarten[[#This Row],[Levensfase]]</f>
        <v>AGRAC 250mm, A1</v>
      </c>
      <c r="B1861" s="33" t="s">
        <v>710</v>
      </c>
      <c r="C1861" s="33" t="s">
        <v>48</v>
      </c>
      <c r="D1861" s="33" t="s">
        <v>709</v>
      </c>
      <c r="E1861" s="33" t="s">
        <v>385</v>
      </c>
      <c r="F1861" s="33" t="s">
        <v>74</v>
      </c>
      <c r="G1861" s="33">
        <v>1</v>
      </c>
      <c r="H1861" s="33">
        <v>1</v>
      </c>
      <c r="I1861" s="33">
        <v>0.25</v>
      </c>
      <c r="L1861" s="33">
        <v>2.5</v>
      </c>
      <c r="M1861" s="271">
        <v>0.625</v>
      </c>
      <c r="N1861" s="41"/>
      <c r="O1861" s="33">
        <v>100</v>
      </c>
      <c r="P1861" s="40"/>
      <c r="Q1861" s="40"/>
      <c r="R1861" s="40"/>
      <c r="S1861" s="40"/>
      <c r="T1861" s="40"/>
      <c r="U1861" s="40"/>
      <c r="V1861" s="40"/>
      <c r="W1861" s="40"/>
      <c r="X1861" s="40"/>
      <c r="Y1861" s="40"/>
      <c r="Z1861" s="40"/>
      <c r="AA1861" s="40"/>
      <c r="AB1861" s="40"/>
      <c r="AC1861" s="40"/>
      <c r="AD1861" s="40"/>
      <c r="AE1861" s="40"/>
      <c r="AF1861" s="40"/>
      <c r="AG1861" s="40"/>
      <c r="AH1861" s="40"/>
      <c r="AI1861" s="40"/>
      <c r="AJ1861" s="40"/>
      <c r="AK1861" s="40"/>
      <c r="AL1861" s="40"/>
      <c r="AM1861" s="40"/>
      <c r="AN1861" s="40"/>
      <c r="AO1861" s="40"/>
      <c r="AP1861" s="40"/>
      <c r="AQ1861" s="40"/>
      <c r="AR1861" s="40"/>
      <c r="AS1861" s="40"/>
      <c r="AT1861" s="40"/>
      <c r="AU1861" s="40"/>
      <c r="AV1861" s="317"/>
      <c r="AW1861" s="317"/>
      <c r="AX1861" s="317"/>
      <c r="AY1861" s="313"/>
      <c r="AZ1861" s="40"/>
      <c r="BA1861" s="40"/>
      <c r="BB1861" s="40"/>
      <c r="BC1861" s="40"/>
      <c r="BD1861" s="40"/>
      <c r="BE1861" s="40"/>
      <c r="BF1861" s="40"/>
      <c r="BG1861" s="40"/>
      <c r="BH1861" s="40"/>
      <c r="BI1861" s="40"/>
      <c r="BJ1861" s="40"/>
      <c r="BK1861" s="40"/>
      <c r="BL1861" s="62">
        <v>0.8</v>
      </c>
      <c r="BM1861" s="275">
        <v>3</v>
      </c>
      <c r="BN1861" s="62">
        <v>0</v>
      </c>
      <c r="BO1861" s="33" t="s">
        <v>698</v>
      </c>
    </row>
    <row r="1862" spans="1:67">
      <c r="A1862" s="33" t="str">
        <f>Database_Productkaarten[[#This Row],[Product]]&amp;", "&amp;Database_Productkaarten[[#This Row],[Levensfase]]</f>
        <v>AGRAC 250mm, A2</v>
      </c>
      <c r="B1862" s="33" t="s">
        <v>710</v>
      </c>
      <c r="C1862" s="33" t="s">
        <v>48</v>
      </c>
      <c r="D1862" s="33" t="s">
        <v>709</v>
      </c>
      <c r="E1862" s="33" t="s">
        <v>385</v>
      </c>
      <c r="F1862" s="33" t="s">
        <v>75</v>
      </c>
      <c r="G1862" s="33">
        <v>1</v>
      </c>
      <c r="H1862" s="33">
        <v>1</v>
      </c>
      <c r="I1862" s="33">
        <v>0.25</v>
      </c>
      <c r="L1862" s="33">
        <v>2.5</v>
      </c>
      <c r="M1862" s="271">
        <v>0.625</v>
      </c>
      <c r="N1862" s="41"/>
      <c r="O1862" s="33">
        <v>100</v>
      </c>
      <c r="P1862" s="40"/>
      <c r="Q1862" s="40"/>
      <c r="R1862" s="40"/>
      <c r="S1862" s="40"/>
      <c r="T1862" s="40"/>
      <c r="U1862" s="40"/>
      <c r="V1862" s="40"/>
      <c r="W1862" s="40"/>
      <c r="X1862" s="40"/>
      <c r="Y1862" s="40"/>
      <c r="Z1862" s="40"/>
      <c r="AA1862" s="40"/>
      <c r="AB1862" s="40"/>
      <c r="AC1862" s="40"/>
      <c r="AD1862" s="40"/>
      <c r="AE1862" s="40"/>
      <c r="AF1862" s="40"/>
      <c r="AG1862" s="40"/>
      <c r="AH1862" s="40"/>
      <c r="AI1862" s="40"/>
      <c r="AJ1862" s="40"/>
      <c r="AK1862" s="40"/>
      <c r="AL1862" s="40"/>
      <c r="AM1862" s="40"/>
      <c r="AN1862" s="40"/>
      <c r="AO1862" s="40"/>
      <c r="AP1862" s="40"/>
      <c r="AQ1862" s="40"/>
      <c r="AR1862" s="40"/>
      <c r="AS1862" s="40"/>
      <c r="AT1862" s="40"/>
      <c r="AU1862" s="40"/>
      <c r="AV1862" s="317"/>
      <c r="AW1862" s="317"/>
      <c r="AX1862" s="317"/>
      <c r="AY1862" s="313"/>
      <c r="AZ1862" s="40"/>
      <c r="BA1862" s="40"/>
      <c r="BB1862" s="40"/>
      <c r="BC1862" s="40"/>
      <c r="BD1862" s="40"/>
      <c r="BE1862" s="40"/>
      <c r="BF1862" s="40"/>
      <c r="BG1862" s="40"/>
      <c r="BH1862" s="40"/>
      <c r="BI1862" s="40"/>
      <c r="BJ1862" s="40"/>
      <c r="BK1862" s="40"/>
      <c r="BL1862" s="62">
        <v>0.8</v>
      </c>
      <c r="BM1862" s="275">
        <v>3</v>
      </c>
      <c r="BN1862" s="62">
        <v>0</v>
      </c>
      <c r="BO1862" s="33" t="s">
        <v>698</v>
      </c>
    </row>
    <row r="1863" spans="1:67">
      <c r="A1863" s="33" t="str">
        <f>Database_Productkaarten[[#This Row],[Product]]&amp;", "&amp;Database_Productkaarten[[#This Row],[Levensfase]]</f>
        <v>AGRAC 250mm, A3</v>
      </c>
      <c r="B1863" s="33" t="s">
        <v>710</v>
      </c>
      <c r="C1863" s="33" t="s">
        <v>48</v>
      </c>
      <c r="D1863" s="33" t="s">
        <v>709</v>
      </c>
      <c r="E1863" s="33" t="s">
        <v>385</v>
      </c>
      <c r="F1863" s="33" t="s">
        <v>76</v>
      </c>
      <c r="G1863" s="33">
        <v>1</v>
      </c>
      <c r="H1863" s="33">
        <v>1</v>
      </c>
      <c r="I1863" s="33">
        <v>0.25</v>
      </c>
      <c r="L1863" s="33">
        <v>2.5</v>
      </c>
      <c r="M1863" s="271">
        <v>0.625</v>
      </c>
      <c r="N1863" s="41"/>
      <c r="O1863" s="33">
        <v>100</v>
      </c>
      <c r="P1863" s="40"/>
      <c r="Q1863" s="40"/>
      <c r="R1863" s="40"/>
      <c r="S1863" s="40"/>
      <c r="T1863" s="40"/>
      <c r="U1863" s="40"/>
      <c r="V1863" s="40"/>
      <c r="W1863" s="40"/>
      <c r="X1863" s="40"/>
      <c r="Y1863" s="40"/>
      <c r="Z1863" s="40"/>
      <c r="AA1863" s="40"/>
      <c r="AB1863" s="40"/>
      <c r="AC1863" s="40"/>
      <c r="AD1863" s="40"/>
      <c r="AE1863" s="40"/>
      <c r="AF1863" s="40"/>
      <c r="AG1863" s="40"/>
      <c r="AH1863" s="40"/>
      <c r="AI1863" s="40"/>
      <c r="AJ1863" s="40"/>
      <c r="AK1863" s="40"/>
      <c r="AL1863" s="40"/>
      <c r="AM1863" s="40"/>
      <c r="AN1863" s="40"/>
      <c r="AO1863" s="40"/>
      <c r="AP1863" s="40"/>
      <c r="AQ1863" s="40"/>
      <c r="AR1863" s="40"/>
      <c r="AS1863" s="40"/>
      <c r="AT1863" s="40"/>
      <c r="AU1863" s="40"/>
      <c r="AV1863" s="317"/>
      <c r="AW1863" s="317"/>
      <c r="AX1863" s="317"/>
      <c r="AY1863" s="313"/>
      <c r="AZ1863" s="40"/>
      <c r="BA1863" s="40"/>
      <c r="BB1863" s="40"/>
      <c r="BC1863" s="40"/>
      <c r="BD1863" s="40"/>
      <c r="BE1863" s="40"/>
      <c r="BF1863" s="40"/>
      <c r="BG1863" s="40"/>
      <c r="BH1863" s="40"/>
      <c r="BI1863" s="40"/>
      <c r="BJ1863" s="40"/>
      <c r="BK1863" s="40"/>
      <c r="BL1863" s="62">
        <v>0.8</v>
      </c>
      <c r="BM1863" s="275">
        <v>3</v>
      </c>
      <c r="BN1863" s="62">
        <v>0</v>
      </c>
      <c r="BO1863" s="33" t="s">
        <v>698</v>
      </c>
    </row>
    <row r="1864" spans="1:67">
      <c r="A1864" s="33" t="str">
        <f>Database_Productkaarten[[#This Row],[Product]]&amp;", "&amp;Database_Productkaarten[[#This Row],[Levensfase]]</f>
        <v>AGRAC 250mm, A1-A3</v>
      </c>
      <c r="B1864" s="33" t="s">
        <v>710</v>
      </c>
      <c r="C1864" s="33" t="s">
        <v>48</v>
      </c>
      <c r="D1864" s="33" t="s">
        <v>709</v>
      </c>
      <c r="E1864" s="33" t="s">
        <v>385</v>
      </c>
      <c r="F1864" s="451" t="s">
        <v>77</v>
      </c>
      <c r="G1864" s="33">
        <v>1</v>
      </c>
      <c r="H1864" s="33">
        <v>1</v>
      </c>
      <c r="I1864" s="33">
        <v>0.25</v>
      </c>
      <c r="L1864" s="33">
        <v>2.5</v>
      </c>
      <c r="M1864" s="271">
        <v>0.625</v>
      </c>
      <c r="N1864" s="41">
        <v>1.1256200000000001</v>
      </c>
      <c r="O1864" s="33">
        <v>100</v>
      </c>
      <c r="P1864" s="163">
        <v>1.52E-5</v>
      </c>
      <c r="Q1864" s="163">
        <v>0.06</v>
      </c>
      <c r="R1864" s="163">
        <v>10.8</v>
      </c>
      <c r="S1864" s="163">
        <v>1.2699999999999999E-6</v>
      </c>
      <c r="T1864" s="163">
        <v>5.8500000000000002E-3</v>
      </c>
      <c r="U1864" s="163">
        <v>4.7300000000000002E-2</v>
      </c>
      <c r="V1864" s="163">
        <v>9.5099999999999994E-3</v>
      </c>
      <c r="W1864" s="163">
        <v>2.9</v>
      </c>
      <c r="X1864" s="163">
        <v>6.6600000000000006E-2</v>
      </c>
      <c r="Y1864" s="163">
        <v>242</v>
      </c>
      <c r="Z1864" s="163">
        <v>1.54E-2</v>
      </c>
      <c r="AA1864" s="40"/>
      <c r="AB1864" s="40"/>
      <c r="AC1864" s="40"/>
      <c r="AD1864" s="40"/>
      <c r="AE1864" s="40"/>
      <c r="AF1864" s="40"/>
      <c r="AG1864" s="40"/>
      <c r="AH1864" s="40"/>
      <c r="AI1864" s="40"/>
      <c r="AJ1864" s="40"/>
      <c r="AK1864" s="40"/>
      <c r="AL1864" s="40"/>
      <c r="AM1864" s="40"/>
      <c r="AN1864" s="40"/>
      <c r="AO1864" s="40"/>
      <c r="AP1864" s="40"/>
      <c r="AQ1864" s="40"/>
      <c r="AR1864" s="40"/>
      <c r="AS1864" s="40"/>
      <c r="AT1864" s="40"/>
      <c r="AU1864" s="40"/>
      <c r="AV1864" s="315">
        <v>2.91</v>
      </c>
      <c r="AW1864" s="317"/>
      <c r="AX1864" s="317"/>
      <c r="AY1864" s="313">
        <v>131</v>
      </c>
      <c r="AZ1864" s="40"/>
      <c r="BA1864" s="40"/>
      <c r="BB1864" s="40"/>
      <c r="BC1864" s="40">
        <v>0.222</v>
      </c>
      <c r="BD1864" s="40">
        <v>2.3499999999999999E-4</v>
      </c>
      <c r="BE1864" s="163">
        <v>3.66</v>
      </c>
      <c r="BF1864" s="163">
        <v>6.6600000000000003E-4</v>
      </c>
      <c r="BG1864" s="40"/>
      <c r="BH1864" s="40"/>
      <c r="BI1864" s="40"/>
      <c r="BJ1864" s="40"/>
      <c r="BK1864" s="40"/>
      <c r="BL1864" s="62">
        <v>0.8</v>
      </c>
      <c r="BM1864" s="275">
        <v>3</v>
      </c>
      <c r="BN1864" s="62">
        <v>0</v>
      </c>
      <c r="BO1864" s="33" t="s">
        <v>698</v>
      </c>
    </row>
    <row r="1865" spans="1:67">
      <c r="A1865" s="33" t="str">
        <f>Database_Productkaarten[[#This Row],[Product]]&amp;", "&amp;Database_Productkaarten[[#This Row],[Levensfase]]</f>
        <v>AGRAC 250mm, A4</v>
      </c>
      <c r="B1865" s="33" t="s">
        <v>710</v>
      </c>
      <c r="C1865" s="33" t="s">
        <v>48</v>
      </c>
      <c r="D1865" s="33" t="s">
        <v>709</v>
      </c>
      <c r="E1865" s="33" t="s">
        <v>385</v>
      </c>
      <c r="F1865" s="33" t="s">
        <v>78</v>
      </c>
      <c r="G1865" s="33">
        <v>1</v>
      </c>
      <c r="H1865" s="33">
        <v>1</v>
      </c>
      <c r="I1865" s="33">
        <v>0.25</v>
      </c>
      <c r="L1865" s="33">
        <v>2.5</v>
      </c>
      <c r="M1865" s="271">
        <v>0.625</v>
      </c>
      <c r="N1865" s="41">
        <v>0.29624</v>
      </c>
      <c r="O1865" s="33">
        <v>100</v>
      </c>
      <c r="P1865" s="163">
        <v>5.0699999999999997E-6</v>
      </c>
      <c r="Q1865" s="163">
        <v>0.02</v>
      </c>
      <c r="R1865" s="163">
        <v>2.64</v>
      </c>
      <c r="S1865" s="163">
        <v>5.2499999999999995E-7</v>
      </c>
      <c r="T1865" s="163">
        <v>1.67E-3</v>
      </c>
      <c r="U1865" s="163">
        <v>9.6299999999999997E-3</v>
      </c>
      <c r="V1865" s="163">
        <v>1.9599999999999999E-3</v>
      </c>
      <c r="W1865" s="163">
        <v>0.93</v>
      </c>
      <c r="X1865" s="163">
        <v>0.06</v>
      </c>
      <c r="Y1865" s="163">
        <v>157</v>
      </c>
      <c r="Z1865" s="163">
        <v>5.5100000000000001E-3</v>
      </c>
      <c r="AA1865" s="40"/>
      <c r="AB1865" s="40"/>
      <c r="AC1865" s="40"/>
      <c r="AD1865" s="40"/>
      <c r="AE1865" s="40"/>
      <c r="AF1865" s="40"/>
      <c r="AG1865" s="40"/>
      <c r="AH1865" s="40"/>
      <c r="AI1865" s="40"/>
      <c r="AJ1865" s="40"/>
      <c r="AK1865" s="40"/>
      <c r="AL1865" s="40"/>
      <c r="AM1865" s="40"/>
      <c r="AN1865" s="40"/>
      <c r="AO1865" s="40"/>
      <c r="AP1865" s="40"/>
      <c r="AQ1865" s="40"/>
      <c r="AR1865" s="40"/>
      <c r="AS1865" s="40"/>
      <c r="AT1865" s="40"/>
      <c r="AU1865" s="40"/>
      <c r="AV1865" s="315">
        <v>0.71399999999999997</v>
      </c>
      <c r="AW1865" s="317"/>
      <c r="AX1865" s="317"/>
      <c r="AY1865" s="313">
        <v>45.6</v>
      </c>
      <c r="AZ1865" s="40"/>
      <c r="BA1865" s="40"/>
      <c r="BB1865" s="40"/>
      <c r="BC1865" s="40">
        <v>9.2700000000000005E-3</v>
      </c>
      <c r="BD1865" s="40">
        <v>3.2299999999999999E-4</v>
      </c>
      <c r="BE1865" s="163">
        <v>3.77</v>
      </c>
      <c r="BF1865" s="163">
        <v>0</v>
      </c>
      <c r="BG1865" s="40"/>
      <c r="BH1865" s="40"/>
      <c r="BI1865" s="40"/>
      <c r="BJ1865" s="40"/>
      <c r="BK1865" s="40"/>
      <c r="BL1865" s="62">
        <v>0.8</v>
      </c>
      <c r="BM1865" s="275">
        <v>3</v>
      </c>
      <c r="BN1865" s="62">
        <v>0</v>
      </c>
      <c r="BO1865" s="33" t="s">
        <v>698</v>
      </c>
    </row>
    <row r="1866" spans="1:67">
      <c r="A1866" s="33" t="str">
        <f>Database_Productkaarten[[#This Row],[Product]]&amp;", "&amp;Database_Productkaarten[[#This Row],[Levensfase]]</f>
        <v>AGRAC 250mm, A5</v>
      </c>
      <c r="B1866" s="33" t="s">
        <v>710</v>
      </c>
      <c r="C1866" s="33" t="s">
        <v>48</v>
      </c>
      <c r="D1866" s="33" t="s">
        <v>709</v>
      </c>
      <c r="E1866" s="33" t="s">
        <v>385</v>
      </c>
      <c r="F1866" s="33" t="s">
        <v>79</v>
      </c>
      <c r="G1866" s="33">
        <v>1</v>
      </c>
      <c r="H1866" s="33">
        <v>1</v>
      </c>
      <c r="I1866" s="33">
        <v>0.25</v>
      </c>
      <c r="L1866" s="33">
        <v>2.5</v>
      </c>
      <c r="M1866" s="271">
        <v>0.625</v>
      </c>
      <c r="N1866" s="41">
        <v>0.19267999999999999</v>
      </c>
      <c r="O1866" s="33">
        <v>100</v>
      </c>
      <c r="P1866" s="163">
        <v>9.7300000000000004E-7</v>
      </c>
      <c r="Q1866" s="163">
        <v>1.4200000000000001E-2</v>
      </c>
      <c r="R1866" s="163">
        <v>2.08</v>
      </c>
      <c r="S1866" s="163">
        <v>3.6199999999999999E-7</v>
      </c>
      <c r="T1866" s="163">
        <v>6.8499999999999995E-4</v>
      </c>
      <c r="U1866" s="163">
        <v>6.1000000000000004E-3</v>
      </c>
      <c r="V1866" s="163">
        <v>1.17E-3</v>
      </c>
      <c r="W1866" s="163">
        <v>0.51500000000000001</v>
      </c>
      <c r="X1866" s="163">
        <v>1.0200000000000001E-2</v>
      </c>
      <c r="Y1866" s="163">
        <v>34.1</v>
      </c>
      <c r="Z1866" s="163">
        <v>1.83E-3</v>
      </c>
      <c r="AA1866" s="40"/>
      <c r="AB1866" s="40"/>
      <c r="AC1866" s="40"/>
      <c r="AD1866" s="40"/>
      <c r="AE1866" s="40"/>
      <c r="AF1866" s="40"/>
      <c r="AG1866" s="40"/>
      <c r="AH1866" s="40"/>
      <c r="AI1866" s="40"/>
      <c r="AJ1866" s="40"/>
      <c r="AK1866" s="40"/>
      <c r="AL1866" s="40"/>
      <c r="AM1866" s="40"/>
      <c r="AN1866" s="40"/>
      <c r="AO1866" s="40"/>
      <c r="AP1866" s="40"/>
      <c r="AQ1866" s="40"/>
      <c r="AR1866" s="40"/>
      <c r="AS1866" s="40"/>
      <c r="AT1866" s="40"/>
      <c r="AU1866" s="40"/>
      <c r="AV1866" s="315">
        <v>0.23100000000000001</v>
      </c>
      <c r="AW1866" s="317"/>
      <c r="AX1866" s="317"/>
      <c r="AY1866" s="313">
        <v>31.7</v>
      </c>
      <c r="AZ1866" s="40"/>
      <c r="BA1866" s="40"/>
      <c r="BB1866" s="40"/>
      <c r="BC1866" s="40">
        <v>3.0000000000000001E-3</v>
      </c>
      <c r="BD1866" s="40">
        <v>2.1900000000000001E-4</v>
      </c>
      <c r="BE1866" s="163">
        <v>5.3199999999999997E-2</v>
      </c>
      <c r="BF1866" s="163">
        <v>0</v>
      </c>
      <c r="BG1866" s="40"/>
      <c r="BH1866" s="40"/>
      <c r="BI1866" s="40"/>
      <c r="BJ1866" s="40"/>
      <c r="BK1866" s="40"/>
      <c r="BL1866" s="62">
        <v>0.8</v>
      </c>
      <c r="BM1866" s="275">
        <v>3</v>
      </c>
      <c r="BN1866" s="62">
        <v>0</v>
      </c>
      <c r="BO1866" s="33" t="s">
        <v>698</v>
      </c>
    </row>
    <row r="1867" spans="1:67">
      <c r="A1867" s="33" t="str">
        <f>Database_Productkaarten[[#This Row],[Product]]&amp;", "&amp;Database_Productkaarten[[#This Row],[Levensfase]]</f>
        <v>AGRAC 250mm, B1</v>
      </c>
      <c r="B1867" s="33" t="s">
        <v>710</v>
      </c>
      <c r="C1867" s="33" t="s">
        <v>48</v>
      </c>
      <c r="D1867" s="33" t="s">
        <v>709</v>
      </c>
      <c r="E1867" s="33" t="s">
        <v>385</v>
      </c>
      <c r="F1867" s="33" t="s">
        <v>80</v>
      </c>
      <c r="G1867" s="33">
        <v>1</v>
      </c>
      <c r="H1867" s="33">
        <v>1</v>
      </c>
      <c r="I1867" s="33">
        <v>0.25</v>
      </c>
      <c r="L1867" s="33">
        <v>2.5</v>
      </c>
      <c r="M1867" s="271">
        <v>0.625</v>
      </c>
      <c r="N1867" s="41">
        <v>6.2149999999999997E-2</v>
      </c>
      <c r="O1867" s="33">
        <v>100</v>
      </c>
      <c r="P1867" s="163">
        <v>0</v>
      </c>
      <c r="Q1867" s="163">
        <v>0</v>
      </c>
      <c r="R1867" s="163">
        <v>0</v>
      </c>
      <c r="S1867" s="163">
        <v>0</v>
      </c>
      <c r="T1867" s="163">
        <v>0</v>
      </c>
      <c r="U1867" s="163">
        <v>0</v>
      </c>
      <c r="V1867" s="163">
        <v>0</v>
      </c>
      <c r="W1867" s="163">
        <v>0.14499999999999999</v>
      </c>
      <c r="X1867" s="163">
        <v>6.3200000000000006E-2</v>
      </c>
      <c r="Y1867" s="163">
        <v>139</v>
      </c>
      <c r="Z1867" s="163">
        <v>9.2999999999999999E-2</v>
      </c>
      <c r="AA1867" s="40"/>
      <c r="AB1867" s="40"/>
      <c r="AC1867" s="40"/>
      <c r="AD1867" s="40"/>
      <c r="AE1867" s="40"/>
      <c r="AF1867" s="40"/>
      <c r="AG1867" s="40"/>
      <c r="AH1867" s="40"/>
      <c r="AI1867" s="40"/>
      <c r="AJ1867" s="40"/>
      <c r="AK1867" s="40"/>
      <c r="AL1867" s="40"/>
      <c r="AM1867" s="40"/>
      <c r="AN1867" s="40"/>
      <c r="AO1867" s="40"/>
      <c r="AP1867" s="40"/>
      <c r="AQ1867" s="40"/>
      <c r="AR1867" s="40"/>
      <c r="AS1867" s="40"/>
      <c r="AT1867" s="40"/>
      <c r="AU1867" s="40"/>
      <c r="AV1867" s="315">
        <v>0</v>
      </c>
      <c r="AW1867" s="317"/>
      <c r="AX1867" s="317"/>
      <c r="AY1867" s="313">
        <v>0</v>
      </c>
      <c r="AZ1867" s="40"/>
      <c r="BA1867" s="40"/>
      <c r="BB1867" s="40"/>
      <c r="BC1867" s="40">
        <v>0</v>
      </c>
      <c r="BD1867" s="40">
        <v>0</v>
      </c>
      <c r="BE1867" s="163">
        <v>0</v>
      </c>
      <c r="BF1867" s="163">
        <v>0</v>
      </c>
      <c r="BG1867" s="40"/>
      <c r="BH1867" s="40"/>
      <c r="BI1867" s="40"/>
      <c r="BJ1867" s="40"/>
      <c r="BK1867" s="40"/>
      <c r="BL1867" s="62">
        <v>0.8</v>
      </c>
      <c r="BM1867" s="275">
        <v>3</v>
      </c>
      <c r="BN1867" s="62">
        <v>0</v>
      </c>
      <c r="BO1867" s="33" t="s">
        <v>698</v>
      </c>
    </row>
    <row r="1868" spans="1:67">
      <c r="A1868" s="33" t="str">
        <f>Database_Productkaarten[[#This Row],[Product]]&amp;", "&amp;Database_Productkaarten[[#This Row],[Levensfase]]</f>
        <v>AGRAC 250mm, C1</v>
      </c>
      <c r="B1868" s="33" t="s">
        <v>710</v>
      </c>
      <c r="C1868" s="33" t="s">
        <v>48</v>
      </c>
      <c r="D1868" s="33" t="s">
        <v>709</v>
      </c>
      <c r="E1868" s="33" t="s">
        <v>385</v>
      </c>
      <c r="F1868" s="33" t="s">
        <v>83</v>
      </c>
      <c r="G1868" s="33">
        <v>1</v>
      </c>
      <c r="H1868" s="33">
        <v>1</v>
      </c>
      <c r="I1868" s="33">
        <v>0.25</v>
      </c>
      <c r="L1868" s="33">
        <v>2.5</v>
      </c>
      <c r="M1868" s="271">
        <v>0.625</v>
      </c>
      <c r="N1868" s="41">
        <v>0.29920000000000002</v>
      </c>
      <c r="O1868" s="33">
        <v>100</v>
      </c>
      <c r="P1868" s="163">
        <v>3.1399999999999998E-7</v>
      </c>
      <c r="Q1868" s="163">
        <v>4.5799999999999999E-3</v>
      </c>
      <c r="R1868" s="163">
        <v>0.67100000000000004</v>
      </c>
      <c r="S1868" s="163">
        <v>1.17E-7</v>
      </c>
      <c r="T1868" s="163">
        <v>2.2100000000000001E-4</v>
      </c>
      <c r="U1868" s="163">
        <v>1.97E-3</v>
      </c>
      <c r="V1868" s="163">
        <v>3.7599999999999998E-4</v>
      </c>
      <c r="W1868" s="163">
        <v>0.16600000000000001</v>
      </c>
      <c r="X1868" s="163">
        <v>3.29E-3</v>
      </c>
      <c r="Y1868" s="163">
        <v>11</v>
      </c>
      <c r="Z1868" s="163">
        <v>5.9100000000000005E-4</v>
      </c>
      <c r="AA1868" s="40"/>
      <c r="AB1868" s="40"/>
      <c r="AC1868" s="40"/>
      <c r="AD1868" s="40"/>
      <c r="AE1868" s="40"/>
      <c r="AF1868" s="40"/>
      <c r="AG1868" s="40"/>
      <c r="AH1868" s="40"/>
      <c r="AI1868" s="40"/>
      <c r="AJ1868" s="40"/>
      <c r="AK1868" s="40"/>
      <c r="AL1868" s="40"/>
      <c r="AM1868" s="40"/>
      <c r="AN1868" s="40"/>
      <c r="AO1868" s="40"/>
      <c r="AP1868" s="40"/>
      <c r="AQ1868" s="40"/>
      <c r="AR1868" s="40"/>
      <c r="AS1868" s="40"/>
      <c r="AT1868" s="40"/>
      <c r="AU1868" s="40"/>
      <c r="AV1868" s="315">
        <v>7.46E-2</v>
      </c>
      <c r="AW1868" s="317"/>
      <c r="AX1868" s="317"/>
      <c r="AY1868" s="313">
        <v>10.199999999999999</v>
      </c>
      <c r="AZ1868" s="40"/>
      <c r="BA1868" s="40"/>
      <c r="BB1868" s="40"/>
      <c r="BC1868" s="40">
        <v>9.6599999999999995E-4</v>
      </c>
      <c r="BD1868" s="40">
        <v>7.0599999999999995E-5</v>
      </c>
      <c r="BE1868" s="163">
        <v>1.72E-2</v>
      </c>
      <c r="BF1868" s="163">
        <v>0</v>
      </c>
      <c r="BG1868" s="40"/>
      <c r="BH1868" s="40"/>
      <c r="BI1868" s="40"/>
      <c r="BJ1868" s="40"/>
      <c r="BK1868" s="40"/>
      <c r="BL1868" s="62">
        <v>0.8</v>
      </c>
      <c r="BM1868" s="275">
        <v>3</v>
      </c>
      <c r="BN1868" s="62">
        <v>0</v>
      </c>
      <c r="BO1868" s="33" t="s">
        <v>698</v>
      </c>
    </row>
    <row r="1869" spans="1:67">
      <c r="A1869" s="33" t="str">
        <f>Database_Productkaarten[[#This Row],[Product]]&amp;", "&amp;Database_Productkaarten[[#This Row],[Levensfase]]</f>
        <v>AGRAC 250mm, C2</v>
      </c>
      <c r="B1869" s="33" t="s">
        <v>710</v>
      </c>
      <c r="C1869" s="33" t="s">
        <v>48</v>
      </c>
      <c r="D1869" s="33" t="s">
        <v>709</v>
      </c>
      <c r="E1869" s="33" t="s">
        <v>385</v>
      </c>
      <c r="F1869" s="33" t="s">
        <v>84</v>
      </c>
      <c r="G1869" s="33">
        <v>1</v>
      </c>
      <c r="H1869" s="33">
        <v>1</v>
      </c>
      <c r="I1869" s="33">
        <v>0.25</v>
      </c>
      <c r="L1869" s="33">
        <v>2.5</v>
      </c>
      <c r="M1869" s="271">
        <v>0.625</v>
      </c>
      <c r="N1869" s="41">
        <v>0.10478999999999999</v>
      </c>
      <c r="O1869" s="33">
        <v>100</v>
      </c>
      <c r="P1869" s="163">
        <v>5.1200000000000001E-6</v>
      </c>
      <c r="Q1869" s="163">
        <v>2.0199999999999999E-2</v>
      </c>
      <c r="R1869" s="163">
        <v>2.67</v>
      </c>
      <c r="S1869" s="163">
        <v>5.3000000000000001E-7</v>
      </c>
      <c r="T1869" s="163">
        <v>1.6800000000000001E-3</v>
      </c>
      <c r="U1869" s="163">
        <v>9.7300000000000008E-3</v>
      </c>
      <c r="V1869" s="163">
        <v>1.98E-3</v>
      </c>
      <c r="W1869" s="163">
        <v>0.93899999999999995</v>
      </c>
      <c r="X1869" s="163">
        <v>6.0600000000000001E-2</v>
      </c>
      <c r="Y1869" s="163">
        <v>158</v>
      </c>
      <c r="Z1869" s="163">
        <v>5.5700000000000003E-3</v>
      </c>
      <c r="AA1869" s="40"/>
      <c r="AB1869" s="40"/>
      <c r="AC1869" s="40"/>
      <c r="AD1869" s="40"/>
      <c r="AE1869" s="40"/>
      <c r="AF1869" s="40"/>
      <c r="AG1869" s="40"/>
      <c r="AH1869" s="40"/>
      <c r="AI1869" s="40"/>
      <c r="AJ1869" s="40"/>
      <c r="AK1869" s="40"/>
      <c r="AL1869" s="40"/>
      <c r="AM1869" s="40"/>
      <c r="AN1869" s="40"/>
      <c r="AO1869" s="40"/>
      <c r="AP1869" s="40"/>
      <c r="AQ1869" s="40"/>
      <c r="AR1869" s="40"/>
      <c r="AS1869" s="40"/>
      <c r="AT1869" s="40"/>
      <c r="AU1869" s="40"/>
      <c r="AV1869" s="315">
        <v>0.72099999999999997</v>
      </c>
      <c r="AW1869" s="317"/>
      <c r="AX1869" s="317"/>
      <c r="AY1869" s="313">
        <v>46.1</v>
      </c>
      <c r="AZ1869" s="40"/>
      <c r="BA1869" s="40"/>
      <c r="BB1869" s="40"/>
      <c r="BC1869" s="40">
        <v>9.3600000000000003E-3</v>
      </c>
      <c r="BD1869" s="40">
        <v>3.2699999999999998E-4</v>
      </c>
      <c r="BE1869" s="163">
        <v>3.81</v>
      </c>
      <c r="BF1869" s="163">
        <v>0</v>
      </c>
      <c r="BG1869" s="40"/>
      <c r="BH1869" s="40"/>
      <c r="BI1869" s="40"/>
      <c r="BJ1869" s="40"/>
      <c r="BK1869" s="40"/>
      <c r="BL1869" s="62">
        <v>0.8</v>
      </c>
      <c r="BM1869" s="275">
        <v>3</v>
      </c>
      <c r="BN1869" s="62">
        <v>0</v>
      </c>
      <c r="BO1869" s="33" t="s">
        <v>698</v>
      </c>
    </row>
    <row r="1870" spans="1:67">
      <c r="A1870" s="33" t="str">
        <f>Database_Productkaarten[[#This Row],[Product]]&amp;", "&amp;Database_Productkaarten[[#This Row],[Levensfase]]</f>
        <v>AGRAC 250mm, C3</v>
      </c>
      <c r="B1870" s="33" t="s">
        <v>710</v>
      </c>
      <c r="C1870" s="33" t="s">
        <v>48</v>
      </c>
      <c r="D1870" s="33" t="s">
        <v>709</v>
      </c>
      <c r="E1870" s="33" t="s">
        <v>385</v>
      </c>
      <c r="F1870" s="33" t="s">
        <v>85</v>
      </c>
      <c r="G1870" s="33">
        <v>1</v>
      </c>
      <c r="H1870" s="33">
        <v>1</v>
      </c>
      <c r="I1870" s="33">
        <v>0.25</v>
      </c>
      <c r="L1870" s="33">
        <v>2.5</v>
      </c>
      <c r="M1870" s="271">
        <v>0.625</v>
      </c>
      <c r="N1870" s="41">
        <v>4.64E-3</v>
      </c>
      <c r="O1870" s="33">
        <v>100</v>
      </c>
      <c r="P1870" s="163">
        <v>6.3799999999999997E-7</v>
      </c>
      <c r="Q1870" s="163">
        <v>7.1700000000000002E-3</v>
      </c>
      <c r="R1870" s="163">
        <v>1</v>
      </c>
      <c r="S1870" s="163">
        <v>1.1600000000000001E-7</v>
      </c>
      <c r="T1870" s="163">
        <v>5.7300000000000005E-4</v>
      </c>
      <c r="U1870" s="163">
        <v>4.9899999999999996E-3</v>
      </c>
      <c r="V1870" s="163">
        <v>1.1299999999999999E-3</v>
      </c>
      <c r="W1870" s="163">
        <v>0.22900000000000001</v>
      </c>
      <c r="X1870" s="163">
        <v>3.9300000000000003E-3</v>
      </c>
      <c r="Y1870" s="163">
        <v>14.5</v>
      </c>
      <c r="Z1870" s="163">
        <v>2.8999999999999998E-3</v>
      </c>
      <c r="AA1870" s="40"/>
      <c r="AB1870" s="40"/>
      <c r="AC1870" s="40"/>
      <c r="AD1870" s="40"/>
      <c r="AE1870" s="40"/>
      <c r="AF1870" s="40"/>
      <c r="AG1870" s="40"/>
      <c r="AH1870" s="40"/>
      <c r="AI1870" s="40"/>
      <c r="AJ1870" s="40"/>
      <c r="AK1870" s="40"/>
      <c r="AL1870" s="40"/>
      <c r="AM1870" s="40"/>
      <c r="AN1870" s="40"/>
      <c r="AO1870" s="40"/>
      <c r="AP1870" s="40"/>
      <c r="AQ1870" s="40"/>
      <c r="AR1870" s="40"/>
      <c r="AS1870" s="40"/>
      <c r="AT1870" s="40"/>
      <c r="AU1870" s="40"/>
      <c r="AV1870" s="315">
        <v>0.80600000000000005</v>
      </c>
      <c r="AW1870" s="317"/>
      <c r="AX1870" s="317"/>
      <c r="AY1870" s="313">
        <v>15</v>
      </c>
      <c r="AZ1870" s="40"/>
      <c r="BA1870" s="40"/>
      <c r="BB1870" s="40"/>
      <c r="BC1870" s="40">
        <v>6.6100000000000004E-3</v>
      </c>
      <c r="BD1870" s="40">
        <v>2.3E-5</v>
      </c>
      <c r="BE1870" s="163">
        <v>1.88</v>
      </c>
      <c r="BF1870" s="163">
        <v>6.7799999999999995E-5</v>
      </c>
      <c r="BG1870" s="40"/>
      <c r="BH1870" s="40"/>
      <c r="BI1870" s="40"/>
      <c r="BJ1870" s="40"/>
      <c r="BK1870" s="40"/>
      <c r="BL1870" s="62">
        <v>0.8</v>
      </c>
      <c r="BM1870" s="275">
        <v>3</v>
      </c>
      <c r="BN1870" s="62">
        <v>0</v>
      </c>
      <c r="BO1870" s="33" t="s">
        <v>698</v>
      </c>
    </row>
    <row r="1871" spans="1:67">
      <c r="A1871" s="33" t="str">
        <f>Database_Productkaarten[[#This Row],[Product]]&amp;", "&amp;Database_Productkaarten[[#This Row],[Levensfase]]</f>
        <v>AGRAC 250mm, C4</v>
      </c>
      <c r="B1871" s="33" t="s">
        <v>710</v>
      </c>
      <c r="C1871" s="33" t="s">
        <v>48</v>
      </c>
      <c r="D1871" s="33" t="s">
        <v>709</v>
      </c>
      <c r="E1871" s="33" t="s">
        <v>385</v>
      </c>
      <c r="F1871" s="33" t="s">
        <v>86</v>
      </c>
      <c r="G1871" s="33">
        <v>1</v>
      </c>
      <c r="H1871" s="33">
        <v>1</v>
      </c>
      <c r="I1871" s="33">
        <v>0.25</v>
      </c>
      <c r="L1871" s="33">
        <v>2.5</v>
      </c>
      <c r="M1871" s="271">
        <v>0.625</v>
      </c>
      <c r="N1871" s="41">
        <v>-6.1490000000000003E-2</v>
      </c>
      <c r="O1871" s="33">
        <v>100</v>
      </c>
      <c r="P1871" s="163">
        <v>3.7200000000000002E-8</v>
      </c>
      <c r="Q1871" s="163">
        <v>4.8299999999999998E-4</v>
      </c>
      <c r="R1871" s="163">
        <v>3.3000000000000002E-2</v>
      </c>
      <c r="S1871" s="163">
        <v>1.1900000000000001E-8</v>
      </c>
      <c r="T1871" s="163">
        <v>3.5899999999999998E-5</v>
      </c>
      <c r="U1871" s="163">
        <v>2.4899999999999998E-4</v>
      </c>
      <c r="V1871" s="163">
        <v>4.71E-5</v>
      </c>
      <c r="W1871" s="163">
        <v>1.44E-2</v>
      </c>
      <c r="X1871" s="163">
        <v>3.48E-4</v>
      </c>
      <c r="Y1871" s="163">
        <v>1.22</v>
      </c>
      <c r="Z1871" s="163">
        <v>3.5800000000000003E-5</v>
      </c>
      <c r="AA1871" s="40"/>
      <c r="AB1871" s="40"/>
      <c r="AC1871" s="40"/>
      <c r="AD1871" s="40"/>
      <c r="AE1871" s="40"/>
      <c r="AF1871" s="40"/>
      <c r="AG1871" s="40"/>
      <c r="AH1871" s="40"/>
      <c r="AI1871" s="40"/>
      <c r="AJ1871" s="40"/>
      <c r="AK1871" s="40"/>
      <c r="AL1871" s="40"/>
      <c r="AM1871" s="40"/>
      <c r="AN1871" s="40"/>
      <c r="AO1871" s="40"/>
      <c r="AP1871" s="40"/>
      <c r="AQ1871" s="40"/>
      <c r="AR1871" s="40"/>
      <c r="AS1871" s="40"/>
      <c r="AT1871" s="40"/>
      <c r="AU1871" s="40"/>
      <c r="AV1871" s="315">
        <v>8.3000000000000001E-3</v>
      </c>
      <c r="AW1871" s="317"/>
      <c r="AX1871" s="317"/>
      <c r="AY1871" s="313">
        <v>1.08</v>
      </c>
      <c r="AZ1871" s="40"/>
      <c r="BA1871" s="40"/>
      <c r="BB1871" s="40"/>
      <c r="BC1871" s="40">
        <v>1.06E-3</v>
      </c>
      <c r="BD1871" s="40">
        <v>6.7899999999999998E-7</v>
      </c>
      <c r="BE1871" s="163">
        <v>6.25</v>
      </c>
      <c r="BF1871" s="163">
        <v>6.7100000000000001E-6</v>
      </c>
      <c r="BG1871" s="40"/>
      <c r="BH1871" s="40"/>
      <c r="BI1871" s="40"/>
      <c r="BJ1871" s="40"/>
      <c r="BK1871" s="40"/>
      <c r="BL1871" s="62">
        <v>0.8</v>
      </c>
      <c r="BM1871" s="275">
        <v>3</v>
      </c>
      <c r="BN1871" s="62">
        <v>0</v>
      </c>
      <c r="BO1871" s="33" t="s">
        <v>698</v>
      </c>
    </row>
    <row r="1872" spans="1:67">
      <c r="A1872" s="33" t="str">
        <f>Database_Productkaarten[[#This Row],[Product]]&amp;", "&amp;Database_Productkaarten[[#This Row],[Levensfase]]</f>
        <v>AGRAC 250mm, D</v>
      </c>
      <c r="B1872" s="33" t="s">
        <v>710</v>
      </c>
      <c r="C1872" s="33" t="s">
        <v>48</v>
      </c>
      <c r="D1872" s="33" t="s">
        <v>709</v>
      </c>
      <c r="E1872" s="33" t="s">
        <v>385</v>
      </c>
      <c r="F1872" s="33" t="s">
        <v>89</v>
      </c>
      <c r="G1872" s="33">
        <v>1</v>
      </c>
      <c r="H1872" s="33">
        <v>1</v>
      </c>
      <c r="I1872" s="33">
        <v>0.25</v>
      </c>
      <c r="L1872" s="33">
        <v>2.5</v>
      </c>
      <c r="M1872" s="271">
        <v>0.625</v>
      </c>
      <c r="N1872" s="41"/>
      <c r="O1872" s="33">
        <v>100</v>
      </c>
      <c r="P1872" s="163">
        <v>-2.6400000000000001E-6</v>
      </c>
      <c r="Q1872" s="163">
        <v>-2.7799999999999999E-3</v>
      </c>
      <c r="R1872" s="163">
        <v>-0.40600000000000003</v>
      </c>
      <c r="S1872" s="163">
        <v>-2.9499999999999999E-8</v>
      </c>
      <c r="T1872" s="163">
        <v>-2.72E-4</v>
      </c>
      <c r="U1872" s="163">
        <v>-2.1900000000000001E-3</v>
      </c>
      <c r="V1872" s="163">
        <v>-3.5100000000000002E-4</v>
      </c>
      <c r="W1872" s="163">
        <v>-0.188</v>
      </c>
      <c r="X1872" s="163">
        <v>-2.7000000000000001E-3</v>
      </c>
      <c r="Y1872" s="163">
        <v>-12.2</v>
      </c>
      <c r="Z1872" s="163">
        <v>-1.08E-3</v>
      </c>
      <c r="AA1872" s="40"/>
      <c r="AB1872" s="40"/>
      <c r="AC1872" s="40"/>
      <c r="AD1872" s="40"/>
      <c r="AE1872" s="40"/>
      <c r="AF1872" s="40"/>
      <c r="AG1872" s="40"/>
      <c r="AH1872" s="40"/>
      <c r="AI1872" s="40"/>
      <c r="AJ1872" s="40"/>
      <c r="AK1872" s="40"/>
      <c r="AL1872" s="40"/>
      <c r="AM1872" s="40"/>
      <c r="AN1872" s="40"/>
      <c r="AO1872" s="40"/>
      <c r="AP1872" s="40"/>
      <c r="AQ1872" s="40"/>
      <c r="AR1872" s="40"/>
      <c r="AS1872" s="40"/>
      <c r="AT1872" s="40"/>
      <c r="AU1872" s="40"/>
      <c r="AV1872" s="315">
        <v>-0.4</v>
      </c>
      <c r="AW1872" s="317"/>
      <c r="AX1872" s="317"/>
      <c r="AY1872" s="313">
        <v>-5.48</v>
      </c>
      <c r="AZ1872" s="40"/>
      <c r="BA1872" s="40"/>
      <c r="BB1872" s="40"/>
      <c r="BC1872" s="40">
        <v>-0.16200000000000001</v>
      </c>
      <c r="BD1872" s="40">
        <v>-8.3699999999999995E-6</v>
      </c>
      <c r="BE1872" s="163">
        <v>-6.1600000000000002E-2</v>
      </c>
      <c r="BF1872" s="163">
        <v>-2.0400000000000001E-5</v>
      </c>
      <c r="BG1872" s="40"/>
      <c r="BH1872" s="40"/>
      <c r="BI1872" s="40"/>
      <c r="BJ1872" s="40"/>
      <c r="BK1872" s="40"/>
      <c r="BL1872" s="62">
        <v>0.8</v>
      </c>
      <c r="BM1872" s="275">
        <v>3</v>
      </c>
      <c r="BN1872" s="62">
        <v>0</v>
      </c>
      <c r="BO1872" s="33" t="s">
        <v>698</v>
      </c>
    </row>
    <row r="1873" spans="1:67">
      <c r="A1873" s="33" t="str">
        <f>Database_Productkaarten[[#This Row],[Product]]&amp;", "&amp;Database_Productkaarten[[#This Row],[Levensfase]]</f>
        <v>AGRAC 250mm, D1</v>
      </c>
      <c r="B1873" s="33" t="s">
        <v>710</v>
      </c>
      <c r="C1873" s="33" t="s">
        <v>48</v>
      </c>
      <c r="D1873" s="33" t="s">
        <v>709</v>
      </c>
      <c r="E1873" s="33" t="s">
        <v>385</v>
      </c>
      <c r="F1873" s="33" t="s">
        <v>87</v>
      </c>
      <c r="G1873" s="33">
        <v>1</v>
      </c>
      <c r="H1873" s="33">
        <v>1</v>
      </c>
      <c r="I1873" s="33">
        <v>0.25</v>
      </c>
      <c r="L1873" s="33">
        <v>2.5</v>
      </c>
      <c r="M1873" s="271">
        <v>0.625</v>
      </c>
      <c r="N1873" s="41"/>
      <c r="O1873" s="33">
        <v>100</v>
      </c>
      <c r="P1873" s="40"/>
      <c r="Q1873" s="40"/>
      <c r="R1873" s="40"/>
      <c r="S1873" s="40"/>
      <c r="T1873" s="40"/>
      <c r="U1873" s="40"/>
      <c r="V1873" s="40"/>
      <c r="W1873" s="40"/>
      <c r="X1873" s="40"/>
      <c r="Y1873" s="40"/>
      <c r="Z1873" s="40"/>
      <c r="AA1873" s="40"/>
      <c r="AB1873" s="40"/>
      <c r="AC1873" s="40"/>
      <c r="AD1873" s="40"/>
      <c r="AE1873" s="40"/>
      <c r="AF1873" s="40"/>
      <c r="AG1873" s="40"/>
      <c r="AH1873" s="40"/>
      <c r="AI1873" s="40"/>
      <c r="AJ1873" s="40"/>
      <c r="AK1873" s="40"/>
      <c r="AL1873" s="40"/>
      <c r="AM1873" s="40"/>
      <c r="AN1873" s="40"/>
      <c r="AO1873" s="40"/>
      <c r="AP1873" s="40"/>
      <c r="AQ1873" s="40"/>
      <c r="AR1873" s="40"/>
      <c r="AS1873" s="40"/>
      <c r="AT1873" s="40"/>
      <c r="AU1873" s="40"/>
      <c r="AV1873" s="313"/>
      <c r="AW1873" s="317"/>
      <c r="AX1873" s="317"/>
      <c r="AY1873" s="313"/>
      <c r="AZ1873" s="40"/>
      <c r="BA1873" s="40"/>
      <c r="BB1873" s="40"/>
      <c r="BC1873" s="40"/>
      <c r="BD1873" s="40"/>
      <c r="BE1873" s="40"/>
      <c r="BF1873" s="40"/>
      <c r="BG1873" s="40"/>
      <c r="BH1873" s="40"/>
      <c r="BI1873" s="40"/>
      <c r="BJ1873" s="40"/>
      <c r="BK1873" s="40"/>
      <c r="BL1873" s="62">
        <v>0.8</v>
      </c>
      <c r="BM1873" s="275">
        <v>3</v>
      </c>
      <c r="BN1873" s="62">
        <v>0</v>
      </c>
      <c r="BO1873" s="33" t="s">
        <v>698</v>
      </c>
    </row>
    <row r="1874" spans="1:67">
      <c r="A1874" s="33" t="str">
        <f>Database_Productkaarten[[#This Row],[Product]]&amp;", "&amp;Database_Productkaarten[[#This Row],[Levensfase]]</f>
        <v>AGRAC 250mm, D2</v>
      </c>
      <c r="B1874" s="33" t="s">
        <v>710</v>
      </c>
      <c r="C1874" s="33" t="s">
        <v>48</v>
      </c>
      <c r="D1874" s="33" t="s">
        <v>709</v>
      </c>
      <c r="E1874" s="33" t="s">
        <v>385</v>
      </c>
      <c r="F1874" s="33" t="s">
        <v>88</v>
      </c>
      <c r="G1874" s="33">
        <v>1</v>
      </c>
      <c r="H1874" s="33">
        <v>1</v>
      </c>
      <c r="I1874" s="33">
        <v>0.25</v>
      </c>
      <c r="L1874" s="33">
        <v>2.5</v>
      </c>
      <c r="M1874" s="271">
        <v>0.625</v>
      </c>
      <c r="N1874" s="41"/>
      <c r="O1874" s="33">
        <v>100</v>
      </c>
      <c r="P1874" s="40"/>
      <c r="Q1874" s="40"/>
      <c r="R1874" s="40"/>
      <c r="S1874" s="40"/>
      <c r="T1874" s="40"/>
      <c r="U1874" s="40"/>
      <c r="V1874" s="40"/>
      <c r="W1874" s="40"/>
      <c r="X1874" s="40"/>
      <c r="Y1874" s="40"/>
      <c r="Z1874" s="40"/>
      <c r="AA1874" s="40"/>
      <c r="AB1874" s="40"/>
      <c r="AC1874" s="40"/>
      <c r="AD1874" s="40"/>
      <c r="AE1874" s="40"/>
      <c r="AF1874" s="40"/>
      <c r="AG1874" s="40"/>
      <c r="AH1874" s="40"/>
      <c r="AI1874" s="40"/>
      <c r="AJ1874" s="40"/>
      <c r="AK1874" s="40"/>
      <c r="AL1874" s="40"/>
      <c r="AM1874" s="40"/>
      <c r="AN1874" s="40"/>
      <c r="AO1874" s="40"/>
      <c r="AP1874" s="40"/>
      <c r="AQ1874" s="40"/>
      <c r="AR1874" s="40"/>
      <c r="AS1874" s="40"/>
      <c r="AT1874" s="40"/>
      <c r="AU1874" s="40"/>
      <c r="AV1874" s="313"/>
      <c r="AW1874" s="317"/>
      <c r="AX1874" s="317"/>
      <c r="AY1874" s="313"/>
      <c r="AZ1874" s="40"/>
      <c r="BA1874" s="40"/>
      <c r="BB1874" s="40"/>
      <c r="BC1874" s="40"/>
      <c r="BD1874" s="40"/>
      <c r="BE1874" s="40"/>
      <c r="BF1874" s="40"/>
      <c r="BG1874" s="40"/>
      <c r="BH1874" s="40"/>
      <c r="BI1874" s="40"/>
      <c r="BJ1874" s="40"/>
      <c r="BK1874" s="40"/>
      <c r="BL1874" s="62">
        <v>0.8</v>
      </c>
      <c r="BM1874" s="275">
        <v>3</v>
      </c>
      <c r="BN1874" s="62">
        <v>0</v>
      </c>
      <c r="BO1874" s="33" t="s">
        <v>698</v>
      </c>
    </row>
    <row r="1875" spans="1:67">
      <c r="A1875" s="33" t="str">
        <f>Database_Productkaarten[[#This Row],[Product]]&amp;", "&amp;Database_Productkaarten[[#This Row],[Levensfase]]</f>
        <v>AGREC 200mm, Totaal</v>
      </c>
      <c r="B1875" s="33" t="s">
        <v>711</v>
      </c>
      <c r="C1875" s="33" t="s">
        <v>48</v>
      </c>
      <c r="D1875" s="33" t="s">
        <v>712</v>
      </c>
      <c r="E1875" s="33" t="s">
        <v>385</v>
      </c>
      <c r="F1875" s="33" t="s">
        <v>90</v>
      </c>
      <c r="G1875" s="33">
        <v>1</v>
      </c>
      <c r="H1875" s="33">
        <v>1</v>
      </c>
      <c r="I1875" s="33">
        <v>0.2</v>
      </c>
      <c r="L1875" s="33">
        <v>2.5</v>
      </c>
      <c r="M1875" s="271">
        <v>0.48499999999999999</v>
      </c>
      <c r="N1875" s="41">
        <v>2.9296700000000002</v>
      </c>
      <c r="O1875" s="33">
        <v>100</v>
      </c>
      <c r="P1875" s="163">
        <v>2.9600000000000001E-5</v>
      </c>
      <c r="Q1875" s="163">
        <v>0.47099999999999997</v>
      </c>
      <c r="R1875" s="163">
        <v>23.5</v>
      </c>
      <c r="S1875" s="163">
        <v>1.2300000000000001E-5</v>
      </c>
      <c r="T1875" s="163">
        <v>2.98E-2</v>
      </c>
      <c r="U1875" s="163">
        <v>0.13400000000000001</v>
      </c>
      <c r="V1875" s="163">
        <v>2.3900000000000001E-2</v>
      </c>
      <c r="W1875" s="163">
        <v>10.6</v>
      </c>
      <c r="X1875" s="163">
        <v>0.46300000000000002</v>
      </c>
      <c r="Y1875" s="163">
        <v>1440</v>
      </c>
      <c r="Z1875" s="163">
        <v>0.112</v>
      </c>
      <c r="AA1875" s="40"/>
      <c r="AB1875" s="40"/>
      <c r="AC1875" s="40"/>
      <c r="AD1875" s="40"/>
      <c r="AE1875" s="40"/>
      <c r="AF1875" s="40"/>
      <c r="AG1875" s="40"/>
      <c r="AH1875" s="40"/>
      <c r="AI1875" s="40"/>
      <c r="AJ1875" s="40"/>
      <c r="AK1875" s="40"/>
      <c r="AL1875" s="40"/>
      <c r="AM1875" s="40"/>
      <c r="AN1875" s="40"/>
      <c r="AO1875" s="40"/>
      <c r="AP1875" s="40"/>
      <c r="AQ1875" s="40"/>
      <c r="AR1875" s="40"/>
      <c r="AS1875" s="40"/>
      <c r="AT1875" s="40"/>
      <c r="AU1875" s="40"/>
      <c r="AV1875" s="315">
        <v>6.68</v>
      </c>
      <c r="AW1875" s="317"/>
      <c r="AX1875" s="317"/>
      <c r="AY1875" s="313">
        <v>1060</v>
      </c>
      <c r="AZ1875" s="40"/>
      <c r="BA1875" s="40"/>
      <c r="BB1875" s="40"/>
      <c r="BC1875" s="40">
        <v>0.16</v>
      </c>
      <c r="BD1875" s="40">
        <v>1.24E-3</v>
      </c>
      <c r="BE1875" s="163">
        <v>15.8</v>
      </c>
      <c r="BF1875" s="163">
        <v>6.11E-3</v>
      </c>
      <c r="BG1875" s="40"/>
      <c r="BH1875" s="40"/>
      <c r="BI1875" s="40"/>
      <c r="BJ1875" s="40"/>
      <c r="BK1875" s="40"/>
      <c r="BL1875" s="62">
        <v>0.77</v>
      </c>
      <c r="BM1875" s="275">
        <v>3</v>
      </c>
      <c r="BN1875" s="62">
        <v>0</v>
      </c>
      <c r="BO1875" s="33" t="s">
        <v>698</v>
      </c>
    </row>
    <row r="1876" spans="1:67">
      <c r="A1876" s="33" t="str">
        <f>Database_Productkaarten[[#This Row],[Product]]&amp;", "&amp;Database_Productkaarten[[#This Row],[Levensfase]]</f>
        <v>AGREC 200mm, A1</v>
      </c>
      <c r="B1876" s="33" t="s">
        <v>711</v>
      </c>
      <c r="C1876" s="33" t="s">
        <v>48</v>
      </c>
      <c r="D1876" s="33" t="s">
        <v>712</v>
      </c>
      <c r="E1876" s="33" t="s">
        <v>385</v>
      </c>
      <c r="F1876" s="33" t="s">
        <v>74</v>
      </c>
      <c r="G1876" s="33">
        <v>1</v>
      </c>
      <c r="H1876" s="33">
        <v>1</v>
      </c>
      <c r="I1876" s="33">
        <v>0.2</v>
      </c>
      <c r="L1876" s="33">
        <v>2.5</v>
      </c>
      <c r="M1876" s="271">
        <v>0.48499999999999999</v>
      </c>
      <c r="N1876" s="41"/>
      <c r="O1876" s="33">
        <v>100</v>
      </c>
      <c r="P1876" s="40"/>
      <c r="Q1876" s="40"/>
      <c r="R1876" s="40"/>
      <c r="S1876" s="40"/>
      <c r="T1876" s="40"/>
      <c r="U1876" s="40"/>
      <c r="V1876" s="40"/>
      <c r="W1876" s="40"/>
      <c r="X1876" s="40"/>
      <c r="Y1876" s="40"/>
      <c r="Z1876" s="40"/>
      <c r="AA1876" s="40"/>
      <c r="AB1876" s="40"/>
      <c r="AC1876" s="40"/>
      <c r="AD1876" s="40"/>
      <c r="AE1876" s="40"/>
      <c r="AF1876" s="40"/>
      <c r="AG1876" s="40"/>
      <c r="AH1876" s="40"/>
      <c r="AI1876" s="40"/>
      <c r="AJ1876" s="40"/>
      <c r="AK1876" s="40"/>
      <c r="AL1876" s="40"/>
      <c r="AM1876" s="40"/>
      <c r="AN1876" s="40"/>
      <c r="AO1876" s="40"/>
      <c r="AP1876" s="40"/>
      <c r="AQ1876" s="40"/>
      <c r="AR1876" s="40"/>
      <c r="AS1876" s="40"/>
      <c r="AT1876" s="40"/>
      <c r="AU1876" s="40"/>
      <c r="AV1876" s="317"/>
      <c r="AW1876" s="317"/>
      <c r="AX1876" s="317"/>
      <c r="AY1876" s="313"/>
      <c r="AZ1876" s="40"/>
      <c r="BA1876" s="40"/>
      <c r="BB1876" s="40"/>
      <c r="BC1876" s="40"/>
      <c r="BD1876" s="40"/>
      <c r="BE1876" s="40"/>
      <c r="BF1876" s="40"/>
      <c r="BG1876" s="40"/>
      <c r="BH1876" s="40"/>
      <c r="BI1876" s="40"/>
      <c r="BJ1876" s="40"/>
      <c r="BK1876" s="40"/>
      <c r="BL1876" s="62">
        <v>0.77</v>
      </c>
      <c r="BM1876" s="275">
        <v>3</v>
      </c>
      <c r="BN1876" s="62">
        <v>0</v>
      </c>
      <c r="BO1876" s="33" t="s">
        <v>698</v>
      </c>
    </row>
    <row r="1877" spans="1:67">
      <c r="A1877" s="33" t="str">
        <f>Database_Productkaarten[[#This Row],[Product]]&amp;", "&amp;Database_Productkaarten[[#This Row],[Levensfase]]</f>
        <v>AGREC 200mm, A2</v>
      </c>
      <c r="B1877" s="33" t="s">
        <v>711</v>
      </c>
      <c r="C1877" s="33" t="s">
        <v>48</v>
      </c>
      <c r="D1877" s="33" t="s">
        <v>712</v>
      </c>
      <c r="E1877" s="33" t="s">
        <v>385</v>
      </c>
      <c r="F1877" s="33" t="s">
        <v>75</v>
      </c>
      <c r="G1877" s="33">
        <v>1</v>
      </c>
      <c r="H1877" s="33">
        <v>1</v>
      </c>
      <c r="I1877" s="33">
        <v>0.2</v>
      </c>
      <c r="L1877" s="33">
        <v>2.5</v>
      </c>
      <c r="M1877" s="271">
        <v>0.48499999999999999</v>
      </c>
      <c r="N1877" s="41"/>
      <c r="O1877" s="33">
        <v>100</v>
      </c>
      <c r="P1877" s="40"/>
      <c r="Q1877" s="40"/>
      <c r="R1877" s="40"/>
      <c r="S1877" s="40"/>
      <c r="T1877" s="40"/>
      <c r="U1877" s="40"/>
      <c r="V1877" s="40"/>
      <c r="W1877" s="40"/>
      <c r="X1877" s="40"/>
      <c r="Y1877" s="40"/>
      <c r="Z1877" s="40"/>
      <c r="AA1877" s="40"/>
      <c r="AB1877" s="40"/>
      <c r="AC1877" s="40"/>
      <c r="AD1877" s="40"/>
      <c r="AE1877" s="40"/>
      <c r="AF1877" s="40"/>
      <c r="AG1877" s="40"/>
      <c r="AH1877" s="40"/>
      <c r="AI1877" s="40"/>
      <c r="AJ1877" s="40"/>
      <c r="AK1877" s="40"/>
      <c r="AL1877" s="40"/>
      <c r="AM1877" s="40"/>
      <c r="AN1877" s="40"/>
      <c r="AO1877" s="40"/>
      <c r="AP1877" s="40"/>
      <c r="AQ1877" s="40"/>
      <c r="AR1877" s="40"/>
      <c r="AS1877" s="40"/>
      <c r="AT1877" s="40"/>
      <c r="AU1877" s="40"/>
      <c r="AV1877" s="317"/>
      <c r="AW1877" s="317"/>
      <c r="AX1877" s="317"/>
      <c r="AY1877" s="313"/>
      <c r="AZ1877" s="40"/>
      <c r="BA1877" s="40"/>
      <c r="BB1877" s="40"/>
      <c r="BC1877" s="40"/>
      <c r="BD1877" s="40"/>
      <c r="BE1877" s="40"/>
      <c r="BF1877" s="40"/>
      <c r="BG1877" s="40"/>
      <c r="BH1877" s="40"/>
      <c r="BI1877" s="40"/>
      <c r="BJ1877" s="40"/>
      <c r="BK1877" s="40"/>
      <c r="BL1877" s="62">
        <v>0.77</v>
      </c>
      <c r="BM1877" s="275">
        <v>3</v>
      </c>
      <c r="BN1877" s="62">
        <v>0</v>
      </c>
      <c r="BO1877" s="33" t="s">
        <v>698</v>
      </c>
    </row>
    <row r="1878" spans="1:67">
      <c r="A1878" s="33" t="str">
        <f>Database_Productkaarten[[#This Row],[Product]]&amp;", "&amp;Database_Productkaarten[[#This Row],[Levensfase]]</f>
        <v>AGREC 200mm, A3</v>
      </c>
      <c r="B1878" s="33" t="s">
        <v>711</v>
      </c>
      <c r="C1878" s="33" t="s">
        <v>48</v>
      </c>
      <c r="D1878" s="33" t="s">
        <v>712</v>
      </c>
      <c r="E1878" s="33" t="s">
        <v>385</v>
      </c>
      <c r="F1878" s="33" t="s">
        <v>76</v>
      </c>
      <c r="G1878" s="33">
        <v>1</v>
      </c>
      <c r="H1878" s="33">
        <v>1</v>
      </c>
      <c r="I1878" s="33">
        <v>0.2</v>
      </c>
      <c r="L1878" s="33">
        <v>2.5</v>
      </c>
      <c r="M1878" s="271">
        <v>0.48499999999999999</v>
      </c>
      <c r="N1878" s="41"/>
      <c r="O1878" s="33">
        <v>100</v>
      </c>
      <c r="P1878" s="40"/>
      <c r="Q1878" s="40"/>
      <c r="R1878" s="40"/>
      <c r="S1878" s="40"/>
      <c r="T1878" s="40"/>
      <c r="U1878" s="40"/>
      <c r="V1878" s="40"/>
      <c r="W1878" s="40"/>
      <c r="X1878" s="40"/>
      <c r="Y1878" s="40"/>
      <c r="Z1878" s="40"/>
      <c r="AA1878" s="40"/>
      <c r="AB1878" s="40"/>
      <c r="AC1878" s="40"/>
      <c r="AD1878" s="40"/>
      <c r="AE1878" s="40"/>
      <c r="AF1878" s="40"/>
      <c r="AG1878" s="40"/>
      <c r="AH1878" s="40"/>
      <c r="AI1878" s="40"/>
      <c r="AJ1878" s="40"/>
      <c r="AK1878" s="40"/>
      <c r="AL1878" s="40"/>
      <c r="AM1878" s="40"/>
      <c r="AN1878" s="40"/>
      <c r="AO1878" s="40"/>
      <c r="AP1878" s="40"/>
      <c r="AQ1878" s="40"/>
      <c r="AR1878" s="40"/>
      <c r="AS1878" s="40"/>
      <c r="AT1878" s="40"/>
      <c r="AU1878" s="40"/>
      <c r="AV1878" s="317"/>
      <c r="AW1878" s="317"/>
      <c r="AX1878" s="317"/>
      <c r="AY1878" s="313"/>
      <c r="AZ1878" s="40"/>
      <c r="BA1878" s="40"/>
      <c r="BB1878" s="40"/>
      <c r="BC1878" s="40"/>
      <c r="BD1878" s="40"/>
      <c r="BE1878" s="40"/>
      <c r="BF1878" s="40"/>
      <c r="BG1878" s="40"/>
      <c r="BH1878" s="40"/>
      <c r="BI1878" s="40"/>
      <c r="BJ1878" s="40"/>
      <c r="BK1878" s="40"/>
      <c r="BL1878" s="62">
        <v>0.77</v>
      </c>
      <c r="BM1878" s="275">
        <v>3</v>
      </c>
      <c r="BN1878" s="62">
        <v>0</v>
      </c>
      <c r="BO1878" s="33" t="s">
        <v>698</v>
      </c>
    </row>
    <row r="1879" spans="1:67">
      <c r="A1879" s="33" t="str">
        <f>Database_Productkaarten[[#This Row],[Product]]&amp;", "&amp;Database_Productkaarten[[#This Row],[Levensfase]]</f>
        <v>AGREC 200mm, A1-A3</v>
      </c>
      <c r="B1879" s="33" t="s">
        <v>711</v>
      </c>
      <c r="C1879" s="33" t="s">
        <v>48</v>
      </c>
      <c r="D1879" s="33" t="s">
        <v>712</v>
      </c>
      <c r="E1879" s="33" t="s">
        <v>385</v>
      </c>
      <c r="F1879" s="451" t="s">
        <v>77</v>
      </c>
      <c r="G1879" s="33">
        <v>1</v>
      </c>
      <c r="H1879" s="33">
        <v>1</v>
      </c>
      <c r="I1879" s="33">
        <v>0.2</v>
      </c>
      <c r="L1879" s="33">
        <v>2.5</v>
      </c>
      <c r="M1879" s="271">
        <v>0.48499999999999999</v>
      </c>
      <c r="N1879" s="41">
        <v>2.3795700000000002</v>
      </c>
      <c r="O1879" s="33">
        <v>100</v>
      </c>
      <c r="P1879" s="163">
        <v>2.1699999999999999E-5</v>
      </c>
      <c r="Q1879" s="163">
        <v>0.41599999999999998</v>
      </c>
      <c r="R1879" s="163">
        <v>16</v>
      </c>
      <c r="S1879" s="163">
        <v>1.0900000000000001E-5</v>
      </c>
      <c r="T1879" s="163">
        <v>2.5999999999999999E-2</v>
      </c>
      <c r="U1879" s="163">
        <v>0.108</v>
      </c>
      <c r="V1879" s="163">
        <v>1.8499999999999999E-2</v>
      </c>
      <c r="W1879" s="163">
        <v>8.3000000000000007</v>
      </c>
      <c r="X1879" s="163">
        <v>0.30099999999999999</v>
      </c>
      <c r="Y1879" s="163">
        <v>1030</v>
      </c>
      <c r="Z1879" s="163">
        <v>2.47E-2</v>
      </c>
      <c r="AA1879" s="40"/>
      <c r="AB1879" s="40"/>
      <c r="AC1879" s="40"/>
      <c r="AD1879" s="40"/>
      <c r="AE1879" s="40"/>
      <c r="AF1879" s="40"/>
      <c r="AG1879" s="40"/>
      <c r="AH1879" s="40"/>
      <c r="AI1879" s="40"/>
      <c r="AJ1879" s="40"/>
      <c r="AK1879" s="40"/>
      <c r="AL1879" s="40"/>
      <c r="AM1879" s="40"/>
      <c r="AN1879" s="40"/>
      <c r="AO1879" s="40"/>
      <c r="AP1879" s="40"/>
      <c r="AQ1879" s="40"/>
      <c r="AR1879" s="40"/>
      <c r="AS1879" s="40"/>
      <c r="AT1879" s="40"/>
      <c r="AU1879" s="40"/>
      <c r="AV1879" s="315">
        <v>4.88</v>
      </c>
      <c r="AW1879" s="317"/>
      <c r="AX1879" s="317"/>
      <c r="AY1879" s="313">
        <v>936</v>
      </c>
      <c r="AZ1879" s="40"/>
      <c r="BA1879" s="40"/>
      <c r="BB1879" s="40"/>
      <c r="BC1879" s="40">
        <v>0.26</v>
      </c>
      <c r="BD1879" s="40">
        <v>4.15E-4</v>
      </c>
      <c r="BE1879" s="163">
        <v>3.25</v>
      </c>
      <c r="BF1879" s="163">
        <v>6.0699999999999999E-3</v>
      </c>
      <c r="BG1879" s="40"/>
      <c r="BH1879" s="40"/>
      <c r="BI1879" s="40"/>
      <c r="BJ1879" s="40"/>
      <c r="BK1879" s="40"/>
      <c r="BL1879" s="62">
        <v>0.77</v>
      </c>
      <c r="BM1879" s="275">
        <v>3</v>
      </c>
      <c r="BN1879" s="62">
        <v>0</v>
      </c>
      <c r="BO1879" s="33" t="s">
        <v>698</v>
      </c>
    </row>
    <row r="1880" spans="1:67">
      <c r="A1880" s="33" t="str">
        <f>Database_Productkaarten[[#This Row],[Product]]&amp;", "&amp;Database_Productkaarten[[#This Row],[Levensfase]]</f>
        <v>AGREC 200mm, A4</v>
      </c>
      <c r="B1880" s="33" t="s">
        <v>711</v>
      </c>
      <c r="C1880" s="33" t="s">
        <v>48</v>
      </c>
      <c r="D1880" s="33" t="s">
        <v>712</v>
      </c>
      <c r="E1880" s="33" t="s">
        <v>385</v>
      </c>
      <c r="F1880" s="33" t="s">
        <v>78</v>
      </c>
      <c r="G1880" s="33">
        <v>1</v>
      </c>
      <c r="H1880" s="33">
        <v>1</v>
      </c>
      <c r="I1880" s="33">
        <v>0.2</v>
      </c>
      <c r="L1880" s="33">
        <v>2.5</v>
      </c>
      <c r="M1880" s="271">
        <v>0.48499999999999999</v>
      </c>
      <c r="N1880" s="41">
        <v>0.23927000000000001</v>
      </c>
      <c r="O1880" s="33">
        <v>100</v>
      </c>
      <c r="P1880" s="163">
        <v>4.0500000000000002E-6</v>
      </c>
      <c r="Q1880" s="163">
        <v>1.6E-2</v>
      </c>
      <c r="R1880" s="163">
        <v>2.11</v>
      </c>
      <c r="S1880" s="163">
        <v>4.2E-7</v>
      </c>
      <c r="T1880" s="163">
        <v>1.33E-3</v>
      </c>
      <c r="U1880" s="163">
        <v>7.7000000000000002E-3</v>
      </c>
      <c r="V1880" s="163">
        <v>1.57E-3</v>
      </c>
      <c r="W1880" s="163">
        <v>0.74399999999999999</v>
      </c>
      <c r="X1880" s="163">
        <v>4.8000000000000001E-2</v>
      </c>
      <c r="Y1880" s="163">
        <v>126</v>
      </c>
      <c r="Z1880" s="163">
        <v>4.4099999999999999E-3</v>
      </c>
      <c r="AA1880" s="40"/>
      <c r="AB1880" s="40"/>
      <c r="AC1880" s="40"/>
      <c r="AD1880" s="40"/>
      <c r="AE1880" s="40"/>
      <c r="AF1880" s="40"/>
      <c r="AG1880" s="40"/>
      <c r="AH1880" s="40"/>
      <c r="AI1880" s="40"/>
      <c r="AJ1880" s="40"/>
      <c r="AK1880" s="40"/>
      <c r="AL1880" s="40"/>
      <c r="AM1880" s="40"/>
      <c r="AN1880" s="40"/>
      <c r="AO1880" s="40"/>
      <c r="AP1880" s="40"/>
      <c r="AQ1880" s="40"/>
      <c r="AR1880" s="40"/>
      <c r="AS1880" s="40"/>
      <c r="AT1880" s="40"/>
      <c r="AU1880" s="40"/>
      <c r="AV1880" s="315">
        <v>0.57099999999999995</v>
      </c>
      <c r="AW1880" s="317"/>
      <c r="AX1880" s="317"/>
      <c r="AY1880" s="313">
        <v>36.5</v>
      </c>
      <c r="AZ1880" s="40"/>
      <c r="BA1880" s="40"/>
      <c r="BB1880" s="40"/>
      <c r="BC1880" s="40">
        <v>7.4099999999999999E-3</v>
      </c>
      <c r="BD1880" s="40">
        <v>2.5900000000000001E-4</v>
      </c>
      <c r="BE1880" s="163">
        <v>3.02</v>
      </c>
      <c r="BF1880" s="163">
        <v>0</v>
      </c>
      <c r="BG1880" s="40"/>
      <c r="BH1880" s="40"/>
      <c r="BI1880" s="40"/>
      <c r="BJ1880" s="40"/>
      <c r="BK1880" s="40"/>
      <c r="BL1880" s="62">
        <v>0.77</v>
      </c>
      <c r="BM1880" s="275">
        <v>3</v>
      </c>
      <c r="BN1880" s="62">
        <v>0</v>
      </c>
      <c r="BO1880" s="33" t="s">
        <v>698</v>
      </c>
    </row>
    <row r="1881" spans="1:67">
      <c r="A1881" s="33" t="str">
        <f>Database_Productkaarten[[#This Row],[Product]]&amp;", "&amp;Database_Productkaarten[[#This Row],[Levensfase]]</f>
        <v>AGREC 200mm, A5</v>
      </c>
      <c r="B1881" s="33" t="s">
        <v>711</v>
      </c>
      <c r="C1881" s="33" t="s">
        <v>48</v>
      </c>
      <c r="D1881" s="33" t="s">
        <v>712</v>
      </c>
      <c r="E1881" s="33" t="s">
        <v>385</v>
      </c>
      <c r="F1881" s="33" t="s">
        <v>79</v>
      </c>
      <c r="G1881" s="33">
        <v>1</v>
      </c>
      <c r="H1881" s="33">
        <v>1</v>
      </c>
      <c r="I1881" s="33">
        <v>0.2</v>
      </c>
      <c r="L1881" s="33">
        <v>2.5</v>
      </c>
      <c r="M1881" s="271">
        <v>0.48499999999999999</v>
      </c>
      <c r="N1881" s="41">
        <v>0.19186</v>
      </c>
      <c r="O1881" s="33">
        <v>100</v>
      </c>
      <c r="P1881" s="163">
        <v>9.6899999999999996E-7</v>
      </c>
      <c r="Q1881" s="163">
        <v>1.41E-2</v>
      </c>
      <c r="R1881" s="163">
        <v>2.0699999999999998</v>
      </c>
      <c r="S1881" s="163">
        <v>3.5999999999999999E-7</v>
      </c>
      <c r="T1881" s="163">
        <v>6.8099999999999996E-4</v>
      </c>
      <c r="U1881" s="163">
        <v>6.0699999999999999E-3</v>
      </c>
      <c r="V1881" s="163">
        <v>1.16E-3</v>
      </c>
      <c r="W1881" s="163">
        <v>0.51200000000000001</v>
      </c>
      <c r="X1881" s="163">
        <v>1.01E-2</v>
      </c>
      <c r="Y1881" s="163">
        <v>33.9</v>
      </c>
      <c r="Z1881" s="163">
        <v>1.82E-3</v>
      </c>
      <c r="AA1881" s="40"/>
      <c r="AB1881" s="40"/>
      <c r="AC1881" s="40"/>
      <c r="AD1881" s="40"/>
      <c r="AE1881" s="40"/>
      <c r="AF1881" s="40"/>
      <c r="AG1881" s="40"/>
      <c r="AH1881" s="40"/>
      <c r="AI1881" s="40"/>
      <c r="AJ1881" s="40"/>
      <c r="AK1881" s="40"/>
      <c r="AL1881" s="40"/>
      <c r="AM1881" s="40"/>
      <c r="AN1881" s="40"/>
      <c r="AO1881" s="40"/>
      <c r="AP1881" s="40"/>
      <c r="AQ1881" s="40"/>
      <c r="AR1881" s="40"/>
      <c r="AS1881" s="40"/>
      <c r="AT1881" s="40"/>
      <c r="AU1881" s="40"/>
      <c r="AV1881" s="315">
        <v>0.23</v>
      </c>
      <c r="AW1881" s="317"/>
      <c r="AX1881" s="317"/>
      <c r="AY1881" s="313">
        <v>31.6</v>
      </c>
      <c r="AZ1881" s="40"/>
      <c r="BA1881" s="40"/>
      <c r="BB1881" s="40"/>
      <c r="BC1881" s="40">
        <v>2.98E-3</v>
      </c>
      <c r="BD1881" s="40">
        <v>2.1800000000000001E-4</v>
      </c>
      <c r="BE1881" s="163">
        <v>5.2900000000000003E-2</v>
      </c>
      <c r="BF1881" s="163">
        <v>0</v>
      </c>
      <c r="BG1881" s="40"/>
      <c r="BH1881" s="40"/>
      <c r="BI1881" s="40"/>
      <c r="BJ1881" s="40"/>
      <c r="BK1881" s="40"/>
      <c r="BL1881" s="62">
        <v>0.77</v>
      </c>
      <c r="BM1881" s="275">
        <v>3</v>
      </c>
      <c r="BN1881" s="62">
        <v>0</v>
      </c>
      <c r="BO1881" s="33" t="s">
        <v>698</v>
      </c>
    </row>
    <row r="1882" spans="1:67">
      <c r="A1882" s="33" t="str">
        <f>Database_Productkaarten[[#This Row],[Product]]&amp;", "&amp;Database_Productkaarten[[#This Row],[Levensfase]]</f>
        <v>AGREC 200mm, B1</v>
      </c>
      <c r="B1882" s="33" t="s">
        <v>711</v>
      </c>
      <c r="C1882" s="33" t="s">
        <v>48</v>
      </c>
      <c r="D1882" s="33" t="s">
        <v>712</v>
      </c>
      <c r="E1882" s="33" t="s">
        <v>385</v>
      </c>
      <c r="F1882" s="33" t="s">
        <v>80</v>
      </c>
      <c r="G1882" s="33">
        <v>1</v>
      </c>
      <c r="H1882" s="33">
        <v>1</v>
      </c>
      <c r="I1882" s="33">
        <v>0.2</v>
      </c>
      <c r="L1882" s="33">
        <v>2.5</v>
      </c>
      <c r="M1882" s="271">
        <v>0.48499999999999999</v>
      </c>
      <c r="N1882" s="41">
        <v>4.4000000000000003E-3</v>
      </c>
      <c r="O1882" s="33">
        <v>100</v>
      </c>
      <c r="P1882" s="163">
        <v>0</v>
      </c>
      <c r="Q1882" s="163">
        <v>0</v>
      </c>
      <c r="R1882" s="163">
        <v>0</v>
      </c>
      <c r="S1882" s="163">
        <v>0</v>
      </c>
      <c r="T1882" s="163">
        <v>0</v>
      </c>
      <c r="U1882" s="163">
        <v>0</v>
      </c>
      <c r="V1882" s="163">
        <v>0</v>
      </c>
      <c r="W1882" s="163">
        <v>0.11600000000000001</v>
      </c>
      <c r="X1882" s="163">
        <v>5.0500000000000003E-2</v>
      </c>
      <c r="Y1882" s="163">
        <v>111</v>
      </c>
      <c r="Z1882" s="163">
        <v>7.4399999999999994E-2</v>
      </c>
      <c r="AA1882" s="40"/>
      <c r="AB1882" s="40"/>
      <c r="AC1882" s="40"/>
      <c r="AD1882" s="40"/>
      <c r="AE1882" s="40"/>
      <c r="AF1882" s="40"/>
      <c r="AG1882" s="40"/>
      <c r="AH1882" s="40"/>
      <c r="AI1882" s="40"/>
      <c r="AJ1882" s="40"/>
      <c r="AK1882" s="40"/>
      <c r="AL1882" s="40"/>
      <c r="AM1882" s="40"/>
      <c r="AN1882" s="40"/>
      <c r="AO1882" s="40"/>
      <c r="AP1882" s="40"/>
      <c r="AQ1882" s="40"/>
      <c r="AR1882" s="40"/>
      <c r="AS1882" s="40"/>
      <c r="AT1882" s="40"/>
      <c r="AU1882" s="40"/>
      <c r="AV1882" s="315">
        <v>0</v>
      </c>
      <c r="AW1882" s="317"/>
      <c r="AX1882" s="317"/>
      <c r="AY1882" s="313">
        <v>0</v>
      </c>
      <c r="AZ1882" s="40"/>
      <c r="BA1882" s="40"/>
      <c r="BB1882" s="40"/>
      <c r="BC1882" s="40">
        <v>0</v>
      </c>
      <c r="BD1882" s="40">
        <v>0</v>
      </c>
      <c r="BE1882" s="163">
        <v>0</v>
      </c>
      <c r="BF1882" s="163">
        <v>0</v>
      </c>
      <c r="BG1882" s="40"/>
      <c r="BH1882" s="40"/>
      <c r="BI1882" s="40"/>
      <c r="BJ1882" s="40"/>
      <c r="BK1882" s="40"/>
      <c r="BL1882" s="62">
        <v>0.77</v>
      </c>
      <c r="BM1882" s="275">
        <v>3</v>
      </c>
      <c r="BN1882" s="62">
        <v>0</v>
      </c>
      <c r="BO1882" s="33" t="s">
        <v>698</v>
      </c>
    </row>
    <row r="1883" spans="1:67">
      <c r="A1883" s="33" t="str">
        <f>Database_Productkaarten[[#This Row],[Product]]&amp;", "&amp;Database_Productkaarten[[#This Row],[Levensfase]]</f>
        <v>AGREC 200mm, C1</v>
      </c>
      <c r="B1883" s="33" t="s">
        <v>711</v>
      </c>
      <c r="C1883" s="33" t="s">
        <v>48</v>
      </c>
      <c r="D1883" s="33" t="s">
        <v>712</v>
      </c>
      <c r="E1883" s="33" t="s">
        <v>385</v>
      </c>
      <c r="F1883" s="33" t="s">
        <v>83</v>
      </c>
      <c r="G1883" s="33">
        <v>1</v>
      </c>
      <c r="H1883" s="33">
        <v>1</v>
      </c>
      <c r="I1883" s="33">
        <v>0.2</v>
      </c>
      <c r="L1883" s="33">
        <v>2.5</v>
      </c>
      <c r="M1883" s="271">
        <v>0.48499999999999999</v>
      </c>
      <c r="N1883" s="41">
        <v>6.2149999999999997E-2</v>
      </c>
      <c r="O1883" s="33">
        <v>100</v>
      </c>
      <c r="P1883" s="163">
        <v>3.1399999999999998E-7</v>
      </c>
      <c r="Q1883" s="163">
        <v>4.5799999999999999E-3</v>
      </c>
      <c r="R1883" s="163">
        <v>0.67100000000000004</v>
      </c>
      <c r="S1883" s="163">
        <v>1.17E-7</v>
      </c>
      <c r="T1883" s="163">
        <v>2.2100000000000001E-4</v>
      </c>
      <c r="U1883" s="163">
        <v>1.97E-3</v>
      </c>
      <c r="V1883" s="163">
        <v>3.7599999999999998E-4</v>
      </c>
      <c r="W1883" s="163">
        <v>0.16600000000000001</v>
      </c>
      <c r="X1883" s="163">
        <v>3.29E-3</v>
      </c>
      <c r="Y1883" s="163">
        <v>11</v>
      </c>
      <c r="Z1883" s="163">
        <v>5.9100000000000005E-4</v>
      </c>
      <c r="AA1883" s="40"/>
      <c r="AB1883" s="40"/>
      <c r="AC1883" s="40"/>
      <c r="AD1883" s="40"/>
      <c r="AE1883" s="40"/>
      <c r="AF1883" s="40"/>
      <c r="AG1883" s="40"/>
      <c r="AH1883" s="40"/>
      <c r="AI1883" s="40"/>
      <c r="AJ1883" s="40"/>
      <c r="AK1883" s="40"/>
      <c r="AL1883" s="40"/>
      <c r="AM1883" s="40"/>
      <c r="AN1883" s="40"/>
      <c r="AO1883" s="40"/>
      <c r="AP1883" s="40"/>
      <c r="AQ1883" s="40"/>
      <c r="AR1883" s="40"/>
      <c r="AS1883" s="40"/>
      <c r="AT1883" s="40"/>
      <c r="AU1883" s="40"/>
      <c r="AV1883" s="315">
        <v>7.46E-2</v>
      </c>
      <c r="AW1883" s="317"/>
      <c r="AX1883" s="317"/>
      <c r="AY1883" s="313">
        <v>10.199999999999999</v>
      </c>
      <c r="AZ1883" s="40"/>
      <c r="BA1883" s="40"/>
      <c r="BB1883" s="40"/>
      <c r="BC1883" s="40">
        <v>9.6599999999999995E-4</v>
      </c>
      <c r="BD1883" s="40">
        <v>7.0599999999999995E-5</v>
      </c>
      <c r="BE1883" s="163">
        <v>1.72E-2</v>
      </c>
      <c r="BF1883" s="163">
        <v>0</v>
      </c>
      <c r="BG1883" s="40"/>
      <c r="BH1883" s="40"/>
      <c r="BI1883" s="40"/>
      <c r="BJ1883" s="40"/>
      <c r="BK1883" s="40"/>
      <c r="BL1883" s="62">
        <v>0.77</v>
      </c>
      <c r="BM1883" s="275">
        <v>3</v>
      </c>
      <c r="BN1883" s="62">
        <v>0</v>
      </c>
      <c r="BO1883" s="33" t="s">
        <v>698</v>
      </c>
    </row>
    <row r="1884" spans="1:67">
      <c r="A1884" s="33" t="str">
        <f>Database_Productkaarten[[#This Row],[Product]]&amp;", "&amp;Database_Productkaarten[[#This Row],[Levensfase]]</f>
        <v>AGREC 200mm, C2</v>
      </c>
      <c r="B1884" s="33" t="s">
        <v>711</v>
      </c>
      <c r="C1884" s="33" t="s">
        <v>48</v>
      </c>
      <c r="D1884" s="33" t="s">
        <v>712</v>
      </c>
      <c r="E1884" s="33" t="s">
        <v>385</v>
      </c>
      <c r="F1884" s="33" t="s">
        <v>84</v>
      </c>
      <c r="G1884" s="33">
        <v>1</v>
      </c>
      <c r="H1884" s="33">
        <v>1</v>
      </c>
      <c r="I1884" s="33">
        <v>0.2</v>
      </c>
      <c r="L1884" s="33">
        <v>2.5</v>
      </c>
      <c r="M1884" s="271">
        <v>0.48499999999999999</v>
      </c>
      <c r="N1884" s="41">
        <v>4.8300000000000001E-3</v>
      </c>
      <c r="O1884" s="33">
        <v>100</v>
      </c>
      <c r="P1884" s="163">
        <v>4.0899999999999998E-6</v>
      </c>
      <c r="Q1884" s="163">
        <v>1.61E-2</v>
      </c>
      <c r="R1884" s="163">
        <v>2.13</v>
      </c>
      <c r="S1884" s="163">
        <v>4.2399999999999999E-7</v>
      </c>
      <c r="T1884" s="163">
        <v>1.3500000000000001E-3</v>
      </c>
      <c r="U1884" s="163">
        <v>7.7799999999999996E-3</v>
      </c>
      <c r="V1884" s="163">
        <v>1.58E-3</v>
      </c>
      <c r="W1884" s="163">
        <v>0.751</v>
      </c>
      <c r="X1884" s="163">
        <v>4.8399999999999999E-2</v>
      </c>
      <c r="Y1884" s="163">
        <v>127</v>
      </c>
      <c r="Z1884" s="163">
        <v>4.45E-3</v>
      </c>
      <c r="AA1884" s="40"/>
      <c r="AB1884" s="40"/>
      <c r="AC1884" s="40"/>
      <c r="AD1884" s="40"/>
      <c r="AE1884" s="40"/>
      <c r="AF1884" s="40"/>
      <c r="AG1884" s="40"/>
      <c r="AH1884" s="40"/>
      <c r="AI1884" s="40"/>
      <c r="AJ1884" s="40"/>
      <c r="AK1884" s="40"/>
      <c r="AL1884" s="40"/>
      <c r="AM1884" s="40"/>
      <c r="AN1884" s="40"/>
      <c r="AO1884" s="40"/>
      <c r="AP1884" s="40"/>
      <c r="AQ1884" s="40"/>
      <c r="AR1884" s="40"/>
      <c r="AS1884" s="40"/>
      <c r="AT1884" s="40"/>
      <c r="AU1884" s="40"/>
      <c r="AV1884" s="315">
        <v>0.57699999999999996</v>
      </c>
      <c r="AW1884" s="317"/>
      <c r="AX1884" s="317"/>
      <c r="AY1884" s="313">
        <v>36.9</v>
      </c>
      <c r="AZ1884" s="40"/>
      <c r="BA1884" s="40"/>
      <c r="BB1884" s="40"/>
      <c r="BC1884" s="40">
        <v>7.4900000000000001E-3</v>
      </c>
      <c r="BD1884" s="40">
        <v>2.61E-4</v>
      </c>
      <c r="BE1884" s="163">
        <v>3.05</v>
      </c>
      <c r="BF1884" s="163">
        <v>0</v>
      </c>
      <c r="BG1884" s="40"/>
      <c r="BH1884" s="40"/>
      <c r="BI1884" s="40"/>
      <c r="BJ1884" s="40"/>
      <c r="BK1884" s="40"/>
      <c r="BL1884" s="62">
        <v>0.77</v>
      </c>
      <c r="BM1884" s="275">
        <v>3</v>
      </c>
      <c r="BN1884" s="62">
        <v>0</v>
      </c>
      <c r="BO1884" s="33" t="s">
        <v>698</v>
      </c>
    </row>
    <row r="1885" spans="1:67">
      <c r="A1885" s="33" t="str">
        <f>Database_Productkaarten[[#This Row],[Product]]&amp;", "&amp;Database_Productkaarten[[#This Row],[Levensfase]]</f>
        <v>AGREC 200mm, C3</v>
      </c>
      <c r="B1885" s="33" t="s">
        <v>711</v>
      </c>
      <c r="C1885" s="33" t="s">
        <v>48</v>
      </c>
      <c r="D1885" s="33" t="s">
        <v>712</v>
      </c>
      <c r="E1885" s="33" t="s">
        <v>385</v>
      </c>
      <c r="F1885" s="33" t="s">
        <v>85</v>
      </c>
      <c r="G1885" s="33">
        <v>1</v>
      </c>
      <c r="H1885" s="33">
        <v>1</v>
      </c>
      <c r="I1885" s="33">
        <v>0.2</v>
      </c>
      <c r="L1885" s="33">
        <v>2.5</v>
      </c>
      <c r="M1885" s="271">
        <v>0.48499999999999999</v>
      </c>
      <c r="N1885" s="41">
        <v>8.3830000000000002E-2</v>
      </c>
      <c r="O1885" s="33">
        <v>100</v>
      </c>
      <c r="P1885" s="163">
        <v>5.1099999999999996E-7</v>
      </c>
      <c r="Q1885" s="163">
        <v>5.7400000000000003E-3</v>
      </c>
      <c r="R1885" s="163">
        <v>0.8</v>
      </c>
      <c r="S1885" s="163">
        <v>9.2999999999999999E-8</v>
      </c>
      <c r="T1885" s="163">
        <v>4.5800000000000002E-4</v>
      </c>
      <c r="U1885" s="163">
        <v>3.9899999999999996E-3</v>
      </c>
      <c r="V1885" s="163">
        <v>9.01E-4</v>
      </c>
      <c r="W1885" s="163">
        <v>0.183</v>
      </c>
      <c r="X1885" s="163">
        <v>3.14E-3</v>
      </c>
      <c r="Y1885" s="163">
        <v>11.6</v>
      </c>
      <c r="Z1885" s="163">
        <v>2.32E-3</v>
      </c>
      <c r="AA1885" s="40"/>
      <c r="AB1885" s="40"/>
      <c r="AC1885" s="40"/>
      <c r="AD1885" s="40"/>
      <c r="AE1885" s="40"/>
      <c r="AF1885" s="40"/>
      <c r="AG1885" s="40"/>
      <c r="AH1885" s="40"/>
      <c r="AI1885" s="40"/>
      <c r="AJ1885" s="40"/>
      <c r="AK1885" s="40"/>
      <c r="AL1885" s="40"/>
      <c r="AM1885" s="40"/>
      <c r="AN1885" s="40"/>
      <c r="AO1885" s="40"/>
      <c r="AP1885" s="40"/>
      <c r="AQ1885" s="40"/>
      <c r="AR1885" s="40"/>
      <c r="AS1885" s="40"/>
      <c r="AT1885" s="40"/>
      <c r="AU1885" s="40"/>
      <c r="AV1885" s="315">
        <v>0.64500000000000002</v>
      </c>
      <c r="AW1885" s="317"/>
      <c r="AX1885" s="317"/>
      <c r="AY1885" s="313">
        <v>12</v>
      </c>
      <c r="AZ1885" s="40"/>
      <c r="BA1885" s="40"/>
      <c r="BB1885" s="40"/>
      <c r="BC1885" s="40">
        <v>5.2900000000000004E-3</v>
      </c>
      <c r="BD1885" s="40">
        <v>1.84E-5</v>
      </c>
      <c r="BE1885" s="163">
        <v>1.51</v>
      </c>
      <c r="BF1885" s="163">
        <v>5.4299999999999998E-5</v>
      </c>
      <c r="BG1885" s="40"/>
      <c r="BH1885" s="40"/>
      <c r="BI1885" s="40"/>
      <c r="BJ1885" s="40"/>
      <c r="BK1885" s="40"/>
      <c r="BL1885" s="62">
        <v>0.77</v>
      </c>
      <c r="BM1885" s="275">
        <v>3</v>
      </c>
      <c r="BN1885" s="62">
        <v>0</v>
      </c>
      <c r="BO1885" s="33" t="s">
        <v>698</v>
      </c>
    </row>
    <row r="1886" spans="1:67">
      <c r="A1886" s="33" t="str">
        <f>Database_Productkaarten[[#This Row],[Product]]&amp;", "&amp;Database_Productkaarten[[#This Row],[Levensfase]]</f>
        <v>AGREC 200mm, C4</v>
      </c>
      <c r="B1886" s="33" t="s">
        <v>711</v>
      </c>
      <c r="C1886" s="33" t="s">
        <v>48</v>
      </c>
      <c r="D1886" s="33" t="s">
        <v>712</v>
      </c>
      <c r="E1886" s="33" t="s">
        <v>385</v>
      </c>
      <c r="F1886" s="33" t="s">
        <v>86</v>
      </c>
      <c r="G1886" s="33">
        <v>1</v>
      </c>
      <c r="H1886" s="33">
        <v>1</v>
      </c>
      <c r="I1886" s="33">
        <v>0.2</v>
      </c>
      <c r="L1886" s="33">
        <v>2.5</v>
      </c>
      <c r="M1886" s="271">
        <v>0.48499999999999999</v>
      </c>
      <c r="N1886" s="41">
        <v>3.7200000000000002E-3</v>
      </c>
      <c r="O1886" s="33">
        <v>100</v>
      </c>
      <c r="P1886" s="163">
        <v>2.9700000000000001E-8</v>
      </c>
      <c r="Q1886" s="163">
        <v>3.86E-4</v>
      </c>
      <c r="R1886" s="163">
        <v>2.64E-2</v>
      </c>
      <c r="S1886" s="163">
        <v>9.5200000000000002E-9</v>
      </c>
      <c r="T1886" s="163">
        <v>2.8799999999999999E-5</v>
      </c>
      <c r="U1886" s="163">
        <v>1.9900000000000001E-4</v>
      </c>
      <c r="V1886" s="163">
        <v>3.7700000000000002E-5</v>
      </c>
      <c r="W1886" s="163">
        <v>1.15E-2</v>
      </c>
      <c r="X1886" s="163">
        <v>2.7799999999999998E-4</v>
      </c>
      <c r="Y1886" s="163">
        <v>0.97499999999999998</v>
      </c>
      <c r="Z1886" s="163">
        <v>2.87E-5</v>
      </c>
      <c r="AA1886" s="40"/>
      <c r="AB1886" s="40"/>
      <c r="AC1886" s="40"/>
      <c r="AD1886" s="40"/>
      <c r="AE1886" s="40"/>
      <c r="AF1886" s="40"/>
      <c r="AG1886" s="40"/>
      <c r="AH1886" s="40"/>
      <c r="AI1886" s="40"/>
      <c r="AJ1886" s="40"/>
      <c r="AK1886" s="40"/>
      <c r="AL1886" s="40"/>
      <c r="AM1886" s="40"/>
      <c r="AN1886" s="40"/>
      <c r="AO1886" s="40"/>
      <c r="AP1886" s="40"/>
      <c r="AQ1886" s="40"/>
      <c r="AR1886" s="40"/>
      <c r="AS1886" s="40"/>
      <c r="AT1886" s="40"/>
      <c r="AU1886" s="40"/>
      <c r="AV1886" s="315">
        <v>6.6400000000000001E-3</v>
      </c>
      <c r="AW1886" s="317"/>
      <c r="AX1886" s="317"/>
      <c r="AY1886" s="313">
        <v>0.86199999999999999</v>
      </c>
      <c r="AZ1886" s="40"/>
      <c r="BA1886" s="40"/>
      <c r="BB1886" s="40"/>
      <c r="BC1886" s="40">
        <v>8.4699999999999999E-4</v>
      </c>
      <c r="BD1886" s="40">
        <v>5.4300000000000003E-7</v>
      </c>
      <c r="BE1886" s="163">
        <v>5</v>
      </c>
      <c r="BF1886" s="163">
        <v>5.3700000000000003E-6</v>
      </c>
      <c r="BG1886" s="40"/>
      <c r="BH1886" s="40"/>
      <c r="BI1886" s="40"/>
      <c r="BJ1886" s="40"/>
      <c r="BK1886" s="40"/>
      <c r="BL1886" s="62">
        <v>0.77</v>
      </c>
      <c r="BM1886" s="275">
        <v>3</v>
      </c>
      <c r="BN1886" s="62">
        <v>0</v>
      </c>
      <c r="BO1886" s="33" t="s">
        <v>698</v>
      </c>
    </row>
    <row r="1887" spans="1:67">
      <c r="A1887" s="33" t="str">
        <f>Database_Productkaarten[[#This Row],[Product]]&amp;", "&amp;Database_Productkaarten[[#This Row],[Levensfase]]</f>
        <v>AGREC 200mm, D</v>
      </c>
      <c r="B1887" s="33" t="s">
        <v>711</v>
      </c>
      <c r="C1887" s="33" t="s">
        <v>48</v>
      </c>
      <c r="D1887" s="33" t="s">
        <v>712</v>
      </c>
      <c r="E1887" s="33" t="s">
        <v>385</v>
      </c>
      <c r="F1887" s="33" t="s">
        <v>89</v>
      </c>
      <c r="G1887" s="33">
        <v>1</v>
      </c>
      <c r="H1887" s="33">
        <v>1</v>
      </c>
      <c r="I1887" s="33">
        <v>0.2</v>
      </c>
      <c r="L1887" s="33">
        <v>2.5</v>
      </c>
      <c r="M1887" s="271">
        <v>0.48499999999999999</v>
      </c>
      <c r="N1887" s="41">
        <v>-3.9960000000000002E-2</v>
      </c>
      <c r="O1887" s="33">
        <v>100</v>
      </c>
      <c r="P1887" s="163">
        <v>-2.0499999999999999E-6</v>
      </c>
      <c r="Q1887" s="163">
        <v>-2.16E-3</v>
      </c>
      <c r="R1887" s="163">
        <v>-0.315</v>
      </c>
      <c r="S1887" s="163">
        <v>-2.29E-8</v>
      </c>
      <c r="T1887" s="163">
        <v>-2.1100000000000001E-4</v>
      </c>
      <c r="U1887" s="163">
        <v>-1.6999999999999999E-3</v>
      </c>
      <c r="V1887" s="163">
        <v>-2.7300000000000002E-4</v>
      </c>
      <c r="W1887" s="163">
        <v>-0.14599999999999999</v>
      </c>
      <c r="X1887" s="163">
        <v>-2.0899999999999998E-3</v>
      </c>
      <c r="Y1887" s="163">
        <v>-9.44</v>
      </c>
      <c r="Z1887" s="163">
        <v>-8.3600000000000005E-4</v>
      </c>
      <c r="AA1887" s="40"/>
      <c r="AB1887" s="40"/>
      <c r="AC1887" s="40"/>
      <c r="AD1887" s="40"/>
      <c r="AE1887" s="40"/>
      <c r="AF1887" s="40"/>
      <c r="AG1887" s="40"/>
      <c r="AH1887" s="40"/>
      <c r="AI1887" s="40"/>
      <c r="AJ1887" s="40"/>
      <c r="AK1887" s="40"/>
      <c r="AL1887" s="40"/>
      <c r="AM1887" s="40"/>
      <c r="AN1887" s="40"/>
      <c r="AO1887" s="40"/>
      <c r="AP1887" s="40"/>
      <c r="AQ1887" s="40"/>
      <c r="AR1887" s="40"/>
      <c r="AS1887" s="40"/>
      <c r="AT1887" s="40"/>
      <c r="AU1887" s="40"/>
      <c r="AV1887" s="315">
        <v>-0.31</v>
      </c>
      <c r="AW1887" s="317"/>
      <c r="AX1887" s="317"/>
      <c r="AY1887" s="313">
        <v>-4.25</v>
      </c>
      <c r="AZ1887" s="40"/>
      <c r="BA1887" s="40"/>
      <c r="BB1887" s="40"/>
      <c r="BC1887" s="40">
        <v>-0.125</v>
      </c>
      <c r="BD1887" s="40">
        <v>-6.4999999999999996E-6</v>
      </c>
      <c r="BE1887" s="163">
        <v>-4.7800000000000002E-2</v>
      </c>
      <c r="BF1887" s="163">
        <v>-1.5800000000000001E-5</v>
      </c>
      <c r="BG1887" s="40"/>
      <c r="BH1887" s="40"/>
      <c r="BI1887" s="40"/>
      <c r="BJ1887" s="40"/>
      <c r="BK1887" s="40"/>
      <c r="BL1887" s="62">
        <v>0.77</v>
      </c>
      <c r="BM1887" s="275">
        <v>3</v>
      </c>
      <c r="BN1887" s="62">
        <v>0</v>
      </c>
      <c r="BO1887" s="33" t="s">
        <v>698</v>
      </c>
    </row>
    <row r="1888" spans="1:67">
      <c r="A1888" s="33" t="str">
        <f>Database_Productkaarten[[#This Row],[Product]]&amp;", "&amp;Database_Productkaarten[[#This Row],[Levensfase]]</f>
        <v>AGREC 200mm, D1</v>
      </c>
      <c r="B1888" s="33" t="s">
        <v>711</v>
      </c>
      <c r="C1888" s="33" t="s">
        <v>48</v>
      </c>
      <c r="D1888" s="33" t="s">
        <v>712</v>
      </c>
      <c r="E1888" s="33" t="s">
        <v>385</v>
      </c>
      <c r="F1888" s="33" t="s">
        <v>87</v>
      </c>
      <c r="G1888" s="33">
        <v>1</v>
      </c>
      <c r="H1888" s="33">
        <v>1</v>
      </c>
      <c r="I1888" s="33">
        <v>0.2</v>
      </c>
      <c r="L1888" s="33">
        <v>2.5</v>
      </c>
      <c r="M1888" s="271">
        <v>0.48499999999999999</v>
      </c>
      <c r="N1888" s="41"/>
      <c r="O1888" s="33">
        <v>100</v>
      </c>
      <c r="P1888" s="40"/>
      <c r="Q1888" s="40"/>
      <c r="R1888" s="40"/>
      <c r="S1888" s="40"/>
      <c r="T1888" s="40"/>
      <c r="U1888" s="40"/>
      <c r="V1888" s="40"/>
      <c r="W1888" s="40"/>
      <c r="X1888" s="40"/>
      <c r="Y1888" s="40"/>
      <c r="Z1888" s="40"/>
      <c r="AA1888" s="40"/>
      <c r="AB1888" s="40"/>
      <c r="AC1888" s="40"/>
      <c r="AD1888" s="40"/>
      <c r="AE1888" s="40"/>
      <c r="AF1888" s="40"/>
      <c r="AG1888" s="40"/>
      <c r="AH1888" s="40"/>
      <c r="AI1888" s="40"/>
      <c r="AJ1888" s="40"/>
      <c r="AK1888" s="40"/>
      <c r="AL1888" s="40"/>
      <c r="AM1888" s="40"/>
      <c r="AN1888" s="40"/>
      <c r="AO1888" s="40"/>
      <c r="AP1888" s="40"/>
      <c r="AQ1888" s="40"/>
      <c r="AR1888" s="40"/>
      <c r="AS1888" s="40"/>
      <c r="AT1888" s="40"/>
      <c r="AU1888" s="40"/>
      <c r="AV1888" s="317"/>
      <c r="AW1888" s="317"/>
      <c r="AX1888" s="317"/>
      <c r="AY1888" s="313"/>
      <c r="AZ1888" s="40"/>
      <c r="BA1888" s="40"/>
      <c r="BB1888" s="40"/>
      <c r="BC1888" s="40"/>
      <c r="BD1888" s="40"/>
      <c r="BE1888" s="40"/>
      <c r="BF1888" s="40"/>
      <c r="BG1888" s="40"/>
      <c r="BH1888" s="40"/>
      <c r="BI1888" s="40"/>
      <c r="BJ1888" s="40"/>
      <c r="BK1888" s="40"/>
      <c r="BL1888" s="62">
        <v>0.77</v>
      </c>
      <c r="BM1888" s="275">
        <v>3</v>
      </c>
      <c r="BN1888" s="62">
        <v>0</v>
      </c>
      <c r="BO1888" s="33" t="s">
        <v>698</v>
      </c>
    </row>
    <row r="1889" spans="1:67">
      <c r="A1889" s="33" t="str">
        <f>Database_Productkaarten[[#This Row],[Product]]&amp;", "&amp;Database_Productkaarten[[#This Row],[Levensfase]]</f>
        <v>AGREC 200mm, D2</v>
      </c>
      <c r="B1889" s="33" t="s">
        <v>711</v>
      </c>
      <c r="C1889" s="33" t="s">
        <v>48</v>
      </c>
      <c r="D1889" s="33" t="s">
        <v>712</v>
      </c>
      <c r="E1889" s="33" t="s">
        <v>385</v>
      </c>
      <c r="F1889" s="33" t="s">
        <v>88</v>
      </c>
      <c r="G1889" s="33">
        <v>1</v>
      </c>
      <c r="H1889" s="33">
        <v>1</v>
      </c>
      <c r="I1889" s="33">
        <v>0.2</v>
      </c>
      <c r="L1889" s="33">
        <v>2.5</v>
      </c>
      <c r="M1889" s="271">
        <v>0.48499999999999999</v>
      </c>
      <c r="N1889" s="41"/>
      <c r="O1889" s="33">
        <v>100</v>
      </c>
      <c r="P1889" s="40"/>
      <c r="Q1889" s="40"/>
      <c r="R1889" s="40"/>
      <c r="S1889" s="40"/>
      <c r="T1889" s="40"/>
      <c r="U1889" s="40"/>
      <c r="V1889" s="40"/>
      <c r="W1889" s="40"/>
      <c r="X1889" s="40"/>
      <c r="Y1889" s="40"/>
      <c r="Z1889" s="40"/>
      <c r="AA1889" s="40"/>
      <c r="AB1889" s="40"/>
      <c r="AC1889" s="40"/>
      <c r="AD1889" s="40"/>
      <c r="AE1889" s="40"/>
      <c r="AF1889" s="40"/>
      <c r="AG1889" s="40"/>
      <c r="AH1889" s="40"/>
      <c r="AI1889" s="40"/>
      <c r="AJ1889" s="40"/>
      <c r="AK1889" s="40"/>
      <c r="AL1889" s="40"/>
      <c r="AM1889" s="40"/>
      <c r="AN1889" s="40"/>
      <c r="AO1889" s="40"/>
      <c r="AP1889" s="40"/>
      <c r="AQ1889" s="40"/>
      <c r="AR1889" s="40"/>
      <c r="AS1889" s="40"/>
      <c r="AT1889" s="40"/>
      <c r="AU1889" s="40"/>
      <c r="AV1889" s="317"/>
      <c r="AW1889" s="317"/>
      <c r="AX1889" s="317"/>
      <c r="AY1889" s="313"/>
      <c r="AZ1889" s="40"/>
      <c r="BA1889" s="40"/>
      <c r="BB1889" s="40"/>
      <c r="BC1889" s="40"/>
      <c r="BD1889" s="40"/>
      <c r="BE1889" s="40"/>
      <c r="BF1889" s="40"/>
      <c r="BG1889" s="40"/>
      <c r="BH1889" s="40"/>
      <c r="BI1889" s="40"/>
      <c r="BJ1889" s="40"/>
      <c r="BK1889" s="40"/>
      <c r="BL1889" s="62">
        <v>0.77</v>
      </c>
      <c r="BM1889" s="275">
        <v>3</v>
      </c>
      <c r="BN1889" s="62">
        <v>0</v>
      </c>
      <c r="BO1889" s="33" t="s">
        <v>698</v>
      </c>
    </row>
    <row r="1890" spans="1:67">
      <c r="A1890" s="33" t="str">
        <f>Database_Productkaarten[[#This Row],[Product]]&amp;", "&amp;Database_Productkaarten[[#This Row],[Levensfase]]</f>
        <v>Metselwerkmengsel 200mm, Totaal</v>
      </c>
      <c r="B1890" s="33" t="s">
        <v>713</v>
      </c>
      <c r="C1890" s="33" t="s">
        <v>48</v>
      </c>
      <c r="D1890" s="33" t="s">
        <v>714</v>
      </c>
      <c r="E1890" s="33" t="s">
        <v>385</v>
      </c>
      <c r="F1890" s="33" t="s">
        <v>90</v>
      </c>
      <c r="G1890" s="33">
        <v>1</v>
      </c>
      <c r="H1890" s="33">
        <v>1</v>
      </c>
      <c r="I1890" s="33">
        <v>0.2</v>
      </c>
      <c r="L1890" s="33">
        <v>1.875</v>
      </c>
      <c r="M1890" s="271">
        <v>0.375</v>
      </c>
      <c r="N1890" s="41">
        <v>0.46916999999999998</v>
      </c>
      <c r="O1890" s="33">
        <v>100</v>
      </c>
      <c r="P1890" s="163">
        <v>7.4800000000000004E-6</v>
      </c>
      <c r="Q1890" s="163">
        <v>4.2900000000000001E-2</v>
      </c>
      <c r="R1890" s="163">
        <v>5.92</v>
      </c>
      <c r="S1890" s="163">
        <v>1.11E-6</v>
      </c>
      <c r="T1890" s="163">
        <v>2.9299999999999999E-3</v>
      </c>
      <c r="U1890" s="163">
        <v>1.9800000000000002E-2</v>
      </c>
      <c r="V1890" s="163">
        <v>3.9199999999999999E-3</v>
      </c>
      <c r="W1890" s="163">
        <v>1.92</v>
      </c>
      <c r="X1890" s="163">
        <v>0.13600000000000001</v>
      </c>
      <c r="Y1890" s="163">
        <v>346</v>
      </c>
      <c r="Z1890" s="163">
        <v>8.3500000000000005E-2</v>
      </c>
      <c r="AA1890" s="40"/>
      <c r="AB1890" s="40"/>
      <c r="AC1890" s="40"/>
      <c r="AD1890" s="40"/>
      <c r="AE1890" s="40"/>
      <c r="AF1890" s="40"/>
      <c r="AG1890" s="40"/>
      <c r="AH1890" s="40"/>
      <c r="AI1890" s="40"/>
      <c r="AJ1890" s="40"/>
      <c r="AK1890" s="40"/>
      <c r="AL1890" s="40"/>
      <c r="AM1890" s="40"/>
      <c r="AN1890" s="40"/>
      <c r="AO1890" s="40"/>
      <c r="AP1890" s="40"/>
      <c r="AQ1890" s="40"/>
      <c r="AR1890" s="40"/>
      <c r="AS1890" s="40"/>
      <c r="AT1890" s="40"/>
      <c r="AU1890" s="40"/>
      <c r="AV1890" s="315">
        <v>1.18</v>
      </c>
      <c r="AW1890" s="317"/>
      <c r="AX1890" s="317"/>
      <c r="AY1890" s="313">
        <v>97.1</v>
      </c>
      <c r="AZ1890" s="40"/>
      <c r="BA1890" s="40"/>
      <c r="BB1890" s="40"/>
      <c r="BC1890" s="40">
        <v>2.1000000000000001E-2</v>
      </c>
      <c r="BD1890" s="40">
        <v>6.7500000000000004E-4</v>
      </c>
      <c r="BE1890" s="163">
        <v>8.3699999999999992</v>
      </c>
      <c r="BF1890" s="163">
        <v>4.9400000000000001E-6</v>
      </c>
      <c r="BG1890" s="40"/>
      <c r="BH1890" s="40"/>
      <c r="BI1890" s="40"/>
      <c r="BJ1890" s="40"/>
      <c r="BK1890" s="40"/>
      <c r="BL1890" s="62">
        <v>1</v>
      </c>
      <c r="BM1890" s="275">
        <v>3</v>
      </c>
      <c r="BN1890" s="62">
        <v>0</v>
      </c>
      <c r="BO1890" s="33" t="s">
        <v>698</v>
      </c>
    </row>
    <row r="1891" spans="1:67">
      <c r="A1891" s="33" t="str">
        <f>Database_Productkaarten[[#This Row],[Product]]&amp;", "&amp;Database_Productkaarten[[#This Row],[Levensfase]]</f>
        <v>Metselwerkmengsel 200mm, A1</v>
      </c>
      <c r="B1891" s="33" t="s">
        <v>713</v>
      </c>
      <c r="C1891" s="33" t="s">
        <v>48</v>
      </c>
      <c r="D1891" s="33" t="s">
        <v>714</v>
      </c>
      <c r="E1891" s="33" t="s">
        <v>385</v>
      </c>
      <c r="F1891" s="33" t="s">
        <v>74</v>
      </c>
      <c r="G1891" s="33">
        <v>1</v>
      </c>
      <c r="H1891" s="33">
        <v>1</v>
      </c>
      <c r="I1891" s="33">
        <v>0.2</v>
      </c>
      <c r="L1891" s="33">
        <v>1.875</v>
      </c>
      <c r="M1891" s="271">
        <v>0.375</v>
      </c>
      <c r="N1891" s="41"/>
      <c r="O1891" s="33">
        <v>100</v>
      </c>
      <c r="P1891" s="40"/>
      <c r="Q1891" s="40"/>
      <c r="R1891" s="40"/>
      <c r="S1891" s="40"/>
      <c r="T1891" s="40"/>
      <c r="U1891" s="40"/>
      <c r="V1891" s="40"/>
      <c r="W1891" s="40"/>
      <c r="X1891" s="40"/>
      <c r="Y1891" s="40"/>
      <c r="Z1891" s="40"/>
      <c r="AA1891" s="40"/>
      <c r="AB1891" s="40"/>
      <c r="AC1891" s="40"/>
      <c r="AD1891" s="40"/>
      <c r="AE1891" s="40"/>
      <c r="AF1891" s="40"/>
      <c r="AG1891" s="40"/>
      <c r="AH1891" s="40"/>
      <c r="AI1891" s="40"/>
      <c r="AJ1891" s="40"/>
      <c r="AK1891" s="40"/>
      <c r="AL1891" s="40"/>
      <c r="AM1891" s="40"/>
      <c r="AN1891" s="40"/>
      <c r="AO1891" s="40"/>
      <c r="AP1891" s="40"/>
      <c r="AQ1891" s="40"/>
      <c r="AR1891" s="40"/>
      <c r="AS1891" s="40"/>
      <c r="AT1891" s="40"/>
      <c r="AU1891" s="40"/>
      <c r="AV1891" s="317"/>
      <c r="AW1891" s="317"/>
      <c r="AX1891" s="317"/>
      <c r="AY1891" s="313"/>
      <c r="AZ1891" s="40"/>
      <c r="BA1891" s="40"/>
      <c r="BB1891" s="40"/>
      <c r="BC1891" s="40"/>
      <c r="BD1891" s="40"/>
      <c r="BE1891" s="40"/>
      <c r="BF1891" s="40"/>
      <c r="BG1891" s="40"/>
      <c r="BH1891" s="40"/>
      <c r="BI1891" s="40"/>
      <c r="BJ1891" s="40"/>
      <c r="BK1891" s="40"/>
      <c r="BL1891" s="62">
        <v>1</v>
      </c>
      <c r="BM1891" s="275">
        <v>3</v>
      </c>
      <c r="BN1891" s="62">
        <v>0</v>
      </c>
      <c r="BO1891" s="33" t="s">
        <v>698</v>
      </c>
    </row>
    <row r="1892" spans="1:67">
      <c r="A1892" s="33" t="str">
        <f>Database_Productkaarten[[#This Row],[Product]]&amp;", "&amp;Database_Productkaarten[[#This Row],[Levensfase]]</f>
        <v>Metselwerkmengsel 200mm, A2</v>
      </c>
      <c r="B1892" s="33" t="s">
        <v>713</v>
      </c>
      <c r="C1892" s="33" t="s">
        <v>48</v>
      </c>
      <c r="D1892" s="33" t="s">
        <v>714</v>
      </c>
      <c r="E1892" s="33" t="s">
        <v>385</v>
      </c>
      <c r="F1892" s="33" t="s">
        <v>75</v>
      </c>
      <c r="G1892" s="33">
        <v>1</v>
      </c>
      <c r="H1892" s="33">
        <v>1</v>
      </c>
      <c r="I1892" s="33">
        <v>0.2</v>
      </c>
      <c r="L1892" s="33">
        <v>1.875</v>
      </c>
      <c r="M1892" s="271">
        <v>0.375</v>
      </c>
      <c r="N1892" s="41"/>
      <c r="O1892" s="33">
        <v>100</v>
      </c>
      <c r="P1892" s="40"/>
      <c r="Q1892" s="40"/>
      <c r="R1892" s="40"/>
      <c r="S1892" s="40"/>
      <c r="T1892" s="40"/>
      <c r="U1892" s="40"/>
      <c r="V1892" s="40"/>
      <c r="W1892" s="40"/>
      <c r="X1892" s="40"/>
      <c r="Y1892" s="40"/>
      <c r="Z1892" s="40"/>
      <c r="AA1892" s="40"/>
      <c r="AB1892" s="40"/>
      <c r="AC1892" s="40"/>
      <c r="AD1892" s="40"/>
      <c r="AE1892" s="40"/>
      <c r="AF1892" s="40"/>
      <c r="AG1892" s="40"/>
      <c r="AH1892" s="40"/>
      <c r="AI1892" s="40"/>
      <c r="AJ1892" s="40"/>
      <c r="AK1892" s="40"/>
      <c r="AL1892" s="40"/>
      <c r="AM1892" s="40"/>
      <c r="AN1892" s="40"/>
      <c r="AO1892" s="40"/>
      <c r="AP1892" s="40"/>
      <c r="AQ1892" s="40"/>
      <c r="AR1892" s="40"/>
      <c r="AS1892" s="40"/>
      <c r="AT1892" s="40"/>
      <c r="AU1892" s="40"/>
      <c r="AV1892" s="317"/>
      <c r="AW1892" s="317"/>
      <c r="AX1892" s="317"/>
      <c r="AY1892" s="313"/>
      <c r="AZ1892" s="40"/>
      <c r="BA1892" s="40"/>
      <c r="BB1892" s="40"/>
      <c r="BC1892" s="40"/>
      <c r="BD1892" s="40"/>
      <c r="BE1892" s="40"/>
      <c r="BF1892" s="40"/>
      <c r="BG1892" s="40"/>
      <c r="BH1892" s="40"/>
      <c r="BI1892" s="40"/>
      <c r="BJ1892" s="40"/>
      <c r="BK1892" s="40"/>
      <c r="BL1892" s="62">
        <v>1</v>
      </c>
      <c r="BM1892" s="275">
        <v>3</v>
      </c>
      <c r="BN1892" s="62">
        <v>0</v>
      </c>
      <c r="BO1892" s="33" t="s">
        <v>698</v>
      </c>
    </row>
    <row r="1893" spans="1:67">
      <c r="A1893" s="33" t="str">
        <f>Database_Productkaarten[[#This Row],[Product]]&amp;", "&amp;Database_Productkaarten[[#This Row],[Levensfase]]</f>
        <v>Metselwerkmengsel 200mm, A3</v>
      </c>
      <c r="B1893" s="33" t="s">
        <v>713</v>
      </c>
      <c r="C1893" s="33" t="s">
        <v>48</v>
      </c>
      <c r="D1893" s="33" t="s">
        <v>714</v>
      </c>
      <c r="E1893" s="33" t="s">
        <v>385</v>
      </c>
      <c r="F1893" s="33" t="s">
        <v>76</v>
      </c>
      <c r="G1893" s="33">
        <v>1</v>
      </c>
      <c r="H1893" s="33">
        <v>1</v>
      </c>
      <c r="I1893" s="33">
        <v>0.2</v>
      </c>
      <c r="L1893" s="33">
        <v>1.875</v>
      </c>
      <c r="M1893" s="271">
        <v>0.375</v>
      </c>
      <c r="N1893" s="41"/>
      <c r="O1893" s="33">
        <v>100</v>
      </c>
      <c r="P1893" s="40"/>
      <c r="Q1893" s="40"/>
      <c r="R1893" s="40"/>
      <c r="S1893" s="40"/>
      <c r="T1893" s="40"/>
      <c r="U1893" s="40"/>
      <c r="V1893" s="40"/>
      <c r="W1893" s="40"/>
      <c r="X1893" s="40"/>
      <c r="Y1893" s="40"/>
      <c r="Z1893" s="40"/>
      <c r="AA1893" s="40"/>
      <c r="AB1893" s="40"/>
      <c r="AC1893" s="40"/>
      <c r="AD1893" s="40"/>
      <c r="AE1893" s="40"/>
      <c r="AF1893" s="40"/>
      <c r="AG1893" s="40"/>
      <c r="AH1893" s="40"/>
      <c r="AI1893" s="40"/>
      <c r="AJ1893" s="40"/>
      <c r="AK1893" s="40"/>
      <c r="AL1893" s="40"/>
      <c r="AM1893" s="40"/>
      <c r="AN1893" s="40"/>
      <c r="AO1893" s="40"/>
      <c r="AP1893" s="40"/>
      <c r="AQ1893" s="40"/>
      <c r="AR1893" s="40"/>
      <c r="AS1893" s="40"/>
      <c r="AT1893" s="40"/>
      <c r="AU1893" s="40"/>
      <c r="AV1893" s="317"/>
      <c r="AW1893" s="317"/>
      <c r="AX1893" s="317"/>
      <c r="AY1893" s="313"/>
      <c r="AZ1893" s="40"/>
      <c r="BA1893" s="40"/>
      <c r="BB1893" s="40"/>
      <c r="BC1893" s="40"/>
      <c r="BD1893" s="40"/>
      <c r="BE1893" s="40"/>
      <c r="BF1893" s="40"/>
      <c r="BG1893" s="40"/>
      <c r="BH1893" s="40"/>
      <c r="BI1893" s="40"/>
      <c r="BJ1893" s="40"/>
      <c r="BK1893" s="40"/>
      <c r="BL1893" s="62">
        <v>1</v>
      </c>
      <c r="BM1893" s="275">
        <v>3</v>
      </c>
      <c r="BN1893" s="62">
        <v>0</v>
      </c>
      <c r="BO1893" s="33" t="s">
        <v>698</v>
      </c>
    </row>
    <row r="1894" spans="1:67">
      <c r="A1894" s="33" t="str">
        <f>Database_Productkaarten[[#This Row],[Product]]&amp;", "&amp;Database_Productkaarten[[#This Row],[Levensfase]]</f>
        <v>Metselwerkmengsel 200mm, A1-A3</v>
      </c>
      <c r="B1894" s="33" t="s">
        <v>713</v>
      </c>
      <c r="C1894" s="33" t="s">
        <v>48</v>
      </c>
      <c r="D1894" s="33" t="s">
        <v>714</v>
      </c>
      <c r="E1894" s="33" t="s">
        <v>385</v>
      </c>
      <c r="F1894" s="451" t="s">
        <v>77</v>
      </c>
      <c r="G1894" s="33">
        <v>1</v>
      </c>
      <c r="H1894" s="33">
        <v>1</v>
      </c>
      <c r="I1894" s="33">
        <v>0.2</v>
      </c>
      <c r="L1894" s="33">
        <v>1.875</v>
      </c>
      <c r="M1894" s="271">
        <v>0.375</v>
      </c>
      <c r="N1894" s="41">
        <v>0</v>
      </c>
      <c r="O1894" s="33">
        <v>100</v>
      </c>
      <c r="P1894" s="163">
        <v>0</v>
      </c>
      <c r="Q1894" s="163">
        <v>0</v>
      </c>
      <c r="R1894" s="163">
        <v>0</v>
      </c>
      <c r="S1894" s="163">
        <v>0</v>
      </c>
      <c r="T1894" s="163">
        <v>0</v>
      </c>
      <c r="U1894" s="163">
        <v>0</v>
      </c>
      <c r="V1894" s="163">
        <v>0</v>
      </c>
      <c r="W1894" s="163">
        <v>0</v>
      </c>
      <c r="X1894" s="163">
        <v>0</v>
      </c>
      <c r="Y1894" s="163">
        <v>0</v>
      </c>
      <c r="Z1894" s="163">
        <v>0</v>
      </c>
      <c r="AA1894" s="40"/>
      <c r="AB1894" s="40"/>
      <c r="AC1894" s="40"/>
      <c r="AD1894" s="40"/>
      <c r="AE1894" s="40"/>
      <c r="AF1894" s="40"/>
      <c r="AG1894" s="40"/>
      <c r="AH1894" s="40"/>
      <c r="AI1894" s="40"/>
      <c r="AJ1894" s="40"/>
      <c r="AK1894" s="40"/>
      <c r="AL1894" s="40"/>
      <c r="AM1894" s="40"/>
      <c r="AN1894" s="40"/>
      <c r="AO1894" s="40"/>
      <c r="AP1894" s="40"/>
      <c r="AQ1894" s="40"/>
      <c r="AR1894" s="40"/>
      <c r="AS1894" s="40"/>
      <c r="AT1894" s="40"/>
      <c r="AU1894" s="40"/>
      <c r="AV1894" s="315">
        <v>0</v>
      </c>
      <c r="AW1894" s="317"/>
      <c r="AX1894" s="317"/>
      <c r="AY1894" s="313">
        <v>0</v>
      </c>
      <c r="AZ1894" s="40"/>
      <c r="BA1894" s="40"/>
      <c r="BB1894" s="40"/>
      <c r="BC1894" s="40">
        <v>0</v>
      </c>
      <c r="BD1894" s="40">
        <v>0</v>
      </c>
      <c r="BE1894" s="163">
        <v>0</v>
      </c>
      <c r="BF1894" s="163">
        <v>0</v>
      </c>
      <c r="BG1894" s="40"/>
      <c r="BH1894" s="40"/>
      <c r="BI1894" s="40"/>
      <c r="BJ1894" s="40"/>
      <c r="BK1894" s="40"/>
      <c r="BL1894" s="62">
        <v>1</v>
      </c>
      <c r="BM1894" s="275">
        <v>3</v>
      </c>
      <c r="BN1894" s="62">
        <v>0</v>
      </c>
      <c r="BO1894" s="33" t="s">
        <v>698</v>
      </c>
    </row>
    <row r="1895" spans="1:67">
      <c r="A1895" s="33" t="str">
        <f>Database_Productkaarten[[#This Row],[Product]]&amp;", "&amp;Database_Productkaarten[[#This Row],[Levensfase]]</f>
        <v>Metselwerkmengsel 200mm, A4</v>
      </c>
      <c r="B1895" s="33" t="s">
        <v>713</v>
      </c>
      <c r="C1895" s="33" t="s">
        <v>48</v>
      </c>
      <c r="D1895" s="33" t="s">
        <v>714</v>
      </c>
      <c r="E1895" s="33" t="s">
        <v>385</v>
      </c>
      <c r="F1895" s="33" t="s">
        <v>78</v>
      </c>
      <c r="G1895" s="33">
        <v>1</v>
      </c>
      <c r="H1895" s="33">
        <v>1</v>
      </c>
      <c r="I1895" s="33">
        <v>0.2</v>
      </c>
      <c r="L1895" s="33">
        <v>1.875</v>
      </c>
      <c r="M1895" s="271">
        <v>0.375</v>
      </c>
      <c r="N1895" s="41">
        <v>0.17945</v>
      </c>
      <c r="O1895" s="33">
        <v>100</v>
      </c>
      <c r="P1895" s="163">
        <v>3.0400000000000001E-6</v>
      </c>
      <c r="Q1895" s="163">
        <v>1.2E-2</v>
      </c>
      <c r="R1895" s="163">
        <v>1.58</v>
      </c>
      <c r="S1895" s="163">
        <v>3.15E-7</v>
      </c>
      <c r="T1895" s="163">
        <v>1E-3</v>
      </c>
      <c r="U1895" s="163">
        <v>5.7800000000000004E-3</v>
      </c>
      <c r="V1895" s="163">
        <v>1.1800000000000001E-3</v>
      </c>
      <c r="W1895" s="163">
        <v>0.55800000000000005</v>
      </c>
      <c r="X1895" s="163">
        <v>3.5999999999999997E-2</v>
      </c>
      <c r="Y1895" s="163">
        <v>94.2</v>
      </c>
      <c r="Z1895" s="163">
        <v>3.31E-3</v>
      </c>
      <c r="AA1895" s="40"/>
      <c r="AB1895" s="40"/>
      <c r="AC1895" s="40"/>
      <c r="AD1895" s="40"/>
      <c r="AE1895" s="40"/>
      <c r="AF1895" s="40"/>
      <c r="AG1895" s="40"/>
      <c r="AH1895" s="40"/>
      <c r="AI1895" s="40"/>
      <c r="AJ1895" s="40"/>
      <c r="AK1895" s="40"/>
      <c r="AL1895" s="40"/>
      <c r="AM1895" s="40"/>
      <c r="AN1895" s="40"/>
      <c r="AO1895" s="40"/>
      <c r="AP1895" s="40"/>
      <c r="AQ1895" s="40"/>
      <c r="AR1895" s="40"/>
      <c r="AS1895" s="40"/>
      <c r="AT1895" s="40"/>
      <c r="AU1895" s="40"/>
      <c r="AV1895" s="315">
        <v>0.42799999999999999</v>
      </c>
      <c r="AW1895" s="317"/>
      <c r="AX1895" s="317"/>
      <c r="AY1895" s="313">
        <v>27.4</v>
      </c>
      <c r="AZ1895" s="40"/>
      <c r="BA1895" s="40"/>
      <c r="BB1895" s="40"/>
      <c r="BC1895" s="40">
        <v>5.5599999999999998E-3</v>
      </c>
      <c r="BD1895" s="40">
        <v>1.94E-4</v>
      </c>
      <c r="BE1895" s="163">
        <v>2.2599999999999998</v>
      </c>
      <c r="BF1895" s="163">
        <v>0</v>
      </c>
      <c r="BG1895" s="40"/>
      <c r="BH1895" s="40"/>
      <c r="BI1895" s="40"/>
      <c r="BJ1895" s="40"/>
      <c r="BK1895" s="40"/>
      <c r="BL1895" s="62">
        <v>1</v>
      </c>
      <c r="BM1895" s="275">
        <v>3</v>
      </c>
      <c r="BN1895" s="62">
        <v>0</v>
      </c>
      <c r="BO1895" s="33" t="s">
        <v>698</v>
      </c>
    </row>
    <row r="1896" spans="1:67">
      <c r="A1896" s="33" t="str">
        <f>Database_Productkaarten[[#This Row],[Product]]&amp;", "&amp;Database_Productkaarten[[#This Row],[Levensfase]]</f>
        <v>Metselwerkmengsel 200mm, A5</v>
      </c>
      <c r="B1896" s="33" t="s">
        <v>713</v>
      </c>
      <c r="C1896" s="33" t="s">
        <v>48</v>
      </c>
      <c r="D1896" s="33" t="s">
        <v>714</v>
      </c>
      <c r="E1896" s="33" t="s">
        <v>385</v>
      </c>
      <c r="F1896" s="33" t="s">
        <v>79</v>
      </c>
      <c r="G1896" s="33">
        <v>1</v>
      </c>
      <c r="H1896" s="33">
        <v>1</v>
      </c>
      <c r="I1896" s="33">
        <v>0.2</v>
      </c>
      <c r="L1896" s="33">
        <v>1.875</v>
      </c>
      <c r="M1896" s="271">
        <v>0.375</v>
      </c>
      <c r="N1896" s="41">
        <v>0.18803</v>
      </c>
      <c r="O1896" s="33">
        <v>100</v>
      </c>
      <c r="P1896" s="163">
        <v>9.5000000000000001E-7</v>
      </c>
      <c r="Q1896" s="163">
        <v>1.3899999999999999E-2</v>
      </c>
      <c r="R1896" s="163">
        <v>2.0299999999999998</v>
      </c>
      <c r="S1896" s="163">
        <v>3.53E-7</v>
      </c>
      <c r="T1896" s="163">
        <v>6.6799999999999997E-4</v>
      </c>
      <c r="U1896" s="163">
        <v>5.9500000000000004E-3</v>
      </c>
      <c r="V1896" s="163">
        <v>1.14E-3</v>
      </c>
      <c r="W1896" s="163">
        <v>0.502</v>
      </c>
      <c r="X1896" s="163">
        <v>9.9500000000000005E-3</v>
      </c>
      <c r="Y1896" s="163">
        <v>33.299999999999997</v>
      </c>
      <c r="Z1896" s="163">
        <v>1.7899999999999999E-3</v>
      </c>
      <c r="AA1896" s="40"/>
      <c r="AB1896" s="40"/>
      <c r="AC1896" s="40"/>
      <c r="AD1896" s="40"/>
      <c r="AE1896" s="40"/>
      <c r="AF1896" s="40"/>
      <c r="AG1896" s="40"/>
      <c r="AH1896" s="40"/>
      <c r="AI1896" s="40"/>
      <c r="AJ1896" s="40"/>
      <c r="AK1896" s="40"/>
      <c r="AL1896" s="40"/>
      <c r="AM1896" s="40"/>
      <c r="AN1896" s="40"/>
      <c r="AO1896" s="40"/>
      <c r="AP1896" s="40"/>
      <c r="AQ1896" s="40"/>
      <c r="AR1896" s="40"/>
      <c r="AS1896" s="40"/>
      <c r="AT1896" s="40"/>
      <c r="AU1896" s="40"/>
      <c r="AV1896" s="315">
        <v>0.22600000000000001</v>
      </c>
      <c r="AW1896" s="317"/>
      <c r="AX1896" s="317"/>
      <c r="AY1896" s="313">
        <v>30.9</v>
      </c>
      <c r="AZ1896" s="40"/>
      <c r="BA1896" s="40"/>
      <c r="BB1896" s="40"/>
      <c r="BC1896" s="40">
        <v>2.9199999999999999E-3</v>
      </c>
      <c r="BD1896" s="40">
        <v>2.14E-4</v>
      </c>
      <c r="BE1896" s="163">
        <v>5.1900000000000002E-2</v>
      </c>
      <c r="BF1896" s="163">
        <v>0</v>
      </c>
      <c r="BG1896" s="40"/>
      <c r="BH1896" s="40"/>
      <c r="BI1896" s="40"/>
      <c r="BJ1896" s="40"/>
      <c r="BK1896" s="40"/>
      <c r="BL1896" s="62">
        <v>1</v>
      </c>
      <c r="BM1896" s="275">
        <v>3</v>
      </c>
      <c r="BN1896" s="62">
        <v>0</v>
      </c>
      <c r="BO1896" s="33" t="s">
        <v>698</v>
      </c>
    </row>
    <row r="1897" spans="1:67">
      <c r="A1897" s="33" t="str">
        <f>Database_Productkaarten[[#This Row],[Product]]&amp;", "&amp;Database_Productkaarten[[#This Row],[Levensfase]]</f>
        <v>Metselwerkmengsel 200mm, B1</v>
      </c>
      <c r="B1897" s="33" t="s">
        <v>713</v>
      </c>
      <c r="C1897" s="33" t="s">
        <v>48</v>
      </c>
      <c r="D1897" s="33" t="s">
        <v>714</v>
      </c>
      <c r="E1897" s="33" t="s">
        <v>385</v>
      </c>
      <c r="F1897" s="33" t="s">
        <v>80</v>
      </c>
      <c r="G1897" s="33">
        <v>1</v>
      </c>
      <c r="H1897" s="33">
        <v>1</v>
      </c>
      <c r="I1897" s="33">
        <v>0.2</v>
      </c>
      <c r="L1897" s="33">
        <v>1.875</v>
      </c>
      <c r="M1897" s="271">
        <v>0.375</v>
      </c>
      <c r="N1897" s="41">
        <v>2.7490000000000001E-2</v>
      </c>
      <c r="O1897" s="33">
        <v>100</v>
      </c>
      <c r="P1897" s="163">
        <v>0</v>
      </c>
      <c r="Q1897" s="163">
        <v>0</v>
      </c>
      <c r="R1897" s="163">
        <v>0</v>
      </c>
      <c r="S1897" s="163">
        <v>0</v>
      </c>
      <c r="T1897" s="163">
        <v>0</v>
      </c>
      <c r="U1897" s="163">
        <v>0</v>
      </c>
      <c r="V1897" s="163">
        <v>0</v>
      </c>
      <c r="W1897" s="163">
        <v>0.11600000000000001</v>
      </c>
      <c r="X1897" s="163">
        <v>5.0500000000000003E-2</v>
      </c>
      <c r="Y1897" s="163">
        <v>111</v>
      </c>
      <c r="Z1897" s="163">
        <v>7.4399999999999994E-2</v>
      </c>
      <c r="AA1897" s="40"/>
      <c r="AB1897" s="40"/>
      <c r="AC1897" s="40"/>
      <c r="AD1897" s="40"/>
      <c r="AE1897" s="40"/>
      <c r="AF1897" s="40"/>
      <c r="AG1897" s="40"/>
      <c r="AH1897" s="40"/>
      <c r="AI1897" s="40"/>
      <c r="AJ1897" s="40"/>
      <c r="AK1897" s="40"/>
      <c r="AL1897" s="40"/>
      <c r="AM1897" s="40"/>
      <c r="AN1897" s="40"/>
      <c r="AO1897" s="40"/>
      <c r="AP1897" s="40"/>
      <c r="AQ1897" s="40"/>
      <c r="AR1897" s="40"/>
      <c r="AS1897" s="40"/>
      <c r="AT1897" s="40"/>
      <c r="AU1897" s="40"/>
      <c r="AV1897" s="315">
        <v>0</v>
      </c>
      <c r="AW1897" s="317"/>
      <c r="AX1897" s="317"/>
      <c r="AY1897" s="313">
        <v>0</v>
      </c>
      <c r="AZ1897" s="40"/>
      <c r="BA1897" s="40"/>
      <c r="BB1897" s="40"/>
      <c r="BC1897" s="40">
        <v>0</v>
      </c>
      <c r="BD1897" s="40">
        <v>0</v>
      </c>
      <c r="BE1897" s="163">
        <v>0</v>
      </c>
      <c r="BF1897" s="163">
        <v>0</v>
      </c>
      <c r="BG1897" s="40"/>
      <c r="BH1897" s="40"/>
      <c r="BI1897" s="40"/>
      <c r="BJ1897" s="40"/>
      <c r="BK1897" s="40"/>
      <c r="BL1897" s="62">
        <v>1</v>
      </c>
      <c r="BM1897" s="275">
        <v>3</v>
      </c>
      <c r="BN1897" s="62">
        <v>0</v>
      </c>
      <c r="BO1897" s="33" t="s">
        <v>698</v>
      </c>
    </row>
    <row r="1898" spans="1:67">
      <c r="A1898" s="33" t="str">
        <f>Database_Productkaarten[[#This Row],[Product]]&amp;", "&amp;Database_Productkaarten[[#This Row],[Levensfase]]</f>
        <v>Metselwerkmengsel 200mm, C1</v>
      </c>
      <c r="B1898" s="33" t="s">
        <v>713</v>
      </c>
      <c r="C1898" s="33" t="s">
        <v>48</v>
      </c>
      <c r="D1898" s="33" t="s">
        <v>714</v>
      </c>
      <c r="E1898" s="33" t="s">
        <v>385</v>
      </c>
      <c r="F1898" s="33" t="s">
        <v>83</v>
      </c>
      <c r="G1898" s="33">
        <v>1</v>
      </c>
      <c r="H1898" s="33">
        <v>1</v>
      </c>
      <c r="I1898" s="33">
        <v>0.2</v>
      </c>
      <c r="L1898" s="33">
        <v>1.875</v>
      </c>
      <c r="M1898" s="271">
        <v>0.375</v>
      </c>
      <c r="N1898" s="41">
        <v>6.2149999999999997E-2</v>
      </c>
      <c r="O1898" s="33">
        <v>100</v>
      </c>
      <c r="P1898" s="163">
        <v>3.1399999999999998E-7</v>
      </c>
      <c r="Q1898" s="163">
        <v>4.5799999999999999E-3</v>
      </c>
      <c r="R1898" s="163">
        <v>0.67100000000000004</v>
      </c>
      <c r="S1898" s="163">
        <v>1.17E-7</v>
      </c>
      <c r="T1898" s="163">
        <v>2.2100000000000001E-4</v>
      </c>
      <c r="U1898" s="163">
        <v>1.97E-3</v>
      </c>
      <c r="V1898" s="163">
        <v>3.7599999999999998E-4</v>
      </c>
      <c r="W1898" s="163">
        <v>0.16600000000000001</v>
      </c>
      <c r="X1898" s="163">
        <v>3.29E-3</v>
      </c>
      <c r="Y1898" s="163">
        <v>11</v>
      </c>
      <c r="Z1898" s="163">
        <v>5.9100000000000005E-4</v>
      </c>
      <c r="AA1898" s="40"/>
      <c r="AB1898" s="40"/>
      <c r="AC1898" s="40"/>
      <c r="AD1898" s="40"/>
      <c r="AE1898" s="40"/>
      <c r="AF1898" s="40"/>
      <c r="AG1898" s="40"/>
      <c r="AH1898" s="40"/>
      <c r="AI1898" s="40"/>
      <c r="AJ1898" s="40"/>
      <c r="AK1898" s="40"/>
      <c r="AL1898" s="40"/>
      <c r="AM1898" s="40"/>
      <c r="AN1898" s="40"/>
      <c r="AO1898" s="40"/>
      <c r="AP1898" s="40"/>
      <c r="AQ1898" s="40"/>
      <c r="AR1898" s="40"/>
      <c r="AS1898" s="40"/>
      <c r="AT1898" s="40"/>
      <c r="AU1898" s="40"/>
      <c r="AV1898" s="315">
        <v>7.46E-2</v>
      </c>
      <c r="AW1898" s="317"/>
      <c r="AX1898" s="317"/>
      <c r="AY1898" s="313">
        <v>10.199999999999999</v>
      </c>
      <c r="AZ1898" s="40"/>
      <c r="BA1898" s="40"/>
      <c r="BB1898" s="40"/>
      <c r="BC1898" s="40">
        <v>9.6599999999999995E-4</v>
      </c>
      <c r="BD1898" s="40">
        <v>7.0599999999999995E-5</v>
      </c>
      <c r="BE1898" s="163">
        <v>1.72E-2</v>
      </c>
      <c r="BF1898" s="163">
        <v>0</v>
      </c>
      <c r="BG1898" s="40"/>
      <c r="BH1898" s="40"/>
      <c r="BI1898" s="40"/>
      <c r="BJ1898" s="40"/>
      <c r="BK1898" s="40"/>
      <c r="BL1898" s="62">
        <v>1</v>
      </c>
      <c r="BM1898" s="275">
        <v>3</v>
      </c>
      <c r="BN1898" s="62">
        <v>0</v>
      </c>
      <c r="BO1898" s="33" t="s">
        <v>698</v>
      </c>
    </row>
    <row r="1899" spans="1:67">
      <c r="A1899" s="33" t="str">
        <f>Database_Productkaarten[[#This Row],[Product]]&amp;", "&amp;Database_Productkaarten[[#This Row],[Levensfase]]</f>
        <v>Metselwerkmengsel 200mm, C2</v>
      </c>
      <c r="B1899" s="33" t="s">
        <v>713</v>
      </c>
      <c r="C1899" s="33" t="s">
        <v>48</v>
      </c>
      <c r="D1899" s="33" t="s">
        <v>714</v>
      </c>
      <c r="E1899" s="33" t="s">
        <v>385</v>
      </c>
      <c r="F1899" s="33" t="s">
        <v>84</v>
      </c>
      <c r="G1899" s="33">
        <v>1</v>
      </c>
      <c r="H1899" s="33">
        <v>1</v>
      </c>
      <c r="I1899" s="33">
        <v>0.2</v>
      </c>
      <c r="L1899" s="33">
        <v>1.875</v>
      </c>
      <c r="M1899" s="271">
        <v>0.375</v>
      </c>
      <c r="N1899" s="41">
        <v>3.62E-3</v>
      </c>
      <c r="O1899" s="33">
        <v>100</v>
      </c>
      <c r="P1899" s="163">
        <v>3.0699999999999998E-6</v>
      </c>
      <c r="Q1899" s="163">
        <v>1.21E-2</v>
      </c>
      <c r="R1899" s="163">
        <v>1.6</v>
      </c>
      <c r="S1899" s="163">
        <v>3.1800000000000002E-7</v>
      </c>
      <c r="T1899" s="163">
        <v>1.01E-3</v>
      </c>
      <c r="U1899" s="163">
        <v>5.8399999999999997E-3</v>
      </c>
      <c r="V1899" s="163">
        <v>1.1900000000000001E-3</v>
      </c>
      <c r="W1899" s="163">
        <v>0.56299999999999994</v>
      </c>
      <c r="X1899" s="163">
        <v>3.6299999999999999E-2</v>
      </c>
      <c r="Y1899" s="163">
        <v>95.1</v>
      </c>
      <c r="Z1899" s="163">
        <v>3.3400000000000001E-3</v>
      </c>
      <c r="AA1899" s="40"/>
      <c r="AB1899" s="40"/>
      <c r="AC1899" s="40"/>
      <c r="AD1899" s="40"/>
      <c r="AE1899" s="40"/>
      <c r="AF1899" s="40"/>
      <c r="AG1899" s="40"/>
      <c r="AH1899" s="40"/>
      <c r="AI1899" s="40"/>
      <c r="AJ1899" s="40"/>
      <c r="AK1899" s="40"/>
      <c r="AL1899" s="40"/>
      <c r="AM1899" s="40"/>
      <c r="AN1899" s="40"/>
      <c r="AO1899" s="40"/>
      <c r="AP1899" s="40"/>
      <c r="AQ1899" s="40"/>
      <c r="AR1899" s="40"/>
      <c r="AS1899" s="40"/>
      <c r="AT1899" s="40"/>
      <c r="AU1899" s="40"/>
      <c r="AV1899" s="315">
        <v>0.433</v>
      </c>
      <c r="AW1899" s="317"/>
      <c r="AX1899" s="317"/>
      <c r="AY1899" s="313">
        <v>27.7</v>
      </c>
      <c r="AZ1899" s="40"/>
      <c r="BA1899" s="40"/>
      <c r="BB1899" s="40"/>
      <c r="BC1899" s="40">
        <v>5.62E-3</v>
      </c>
      <c r="BD1899" s="40">
        <v>1.9599999999999999E-4</v>
      </c>
      <c r="BE1899" s="163">
        <v>2.2799999999999998</v>
      </c>
      <c r="BF1899" s="163">
        <v>0</v>
      </c>
      <c r="BG1899" s="40"/>
      <c r="BH1899" s="40"/>
      <c r="BI1899" s="40"/>
      <c r="BJ1899" s="40"/>
      <c r="BK1899" s="40"/>
      <c r="BL1899" s="62">
        <v>1</v>
      </c>
      <c r="BM1899" s="275">
        <v>3</v>
      </c>
      <c r="BN1899" s="62">
        <v>0</v>
      </c>
      <c r="BO1899" s="33" t="s">
        <v>698</v>
      </c>
    </row>
    <row r="1900" spans="1:67">
      <c r="A1900" s="33" t="str">
        <f>Database_Productkaarten[[#This Row],[Product]]&amp;", "&amp;Database_Productkaarten[[#This Row],[Levensfase]]</f>
        <v>Metselwerkmengsel 200mm, C3</v>
      </c>
      <c r="B1900" s="33" t="s">
        <v>713</v>
      </c>
      <c r="C1900" s="33" t="s">
        <v>48</v>
      </c>
      <c r="D1900" s="33" t="s">
        <v>714</v>
      </c>
      <c r="E1900" s="33" t="s">
        <v>385</v>
      </c>
      <c r="F1900" s="33" t="s">
        <v>85</v>
      </c>
      <c r="G1900" s="33">
        <v>1</v>
      </c>
      <c r="H1900" s="33">
        <v>1</v>
      </c>
      <c r="I1900" s="33">
        <v>0.2</v>
      </c>
      <c r="L1900" s="33">
        <v>1.875</v>
      </c>
      <c r="M1900" s="271">
        <v>0.375</v>
      </c>
      <c r="N1900" s="41">
        <v>0</v>
      </c>
      <c r="O1900" s="33">
        <v>100</v>
      </c>
      <c r="P1900" s="163">
        <v>0</v>
      </c>
      <c r="Q1900" s="163">
        <v>0</v>
      </c>
      <c r="R1900" s="163">
        <v>0</v>
      </c>
      <c r="S1900" s="163">
        <v>0</v>
      </c>
      <c r="T1900" s="163">
        <v>0</v>
      </c>
      <c r="U1900" s="163">
        <v>0</v>
      </c>
      <c r="V1900" s="163">
        <v>0</v>
      </c>
      <c r="W1900" s="163">
        <v>0</v>
      </c>
      <c r="X1900" s="163">
        <v>0</v>
      </c>
      <c r="Y1900" s="163">
        <v>0</v>
      </c>
      <c r="Z1900" s="163">
        <v>0</v>
      </c>
      <c r="AA1900" s="40"/>
      <c r="AB1900" s="40"/>
      <c r="AC1900" s="40"/>
      <c r="AD1900" s="40"/>
      <c r="AE1900" s="40"/>
      <c r="AF1900" s="40"/>
      <c r="AG1900" s="40"/>
      <c r="AH1900" s="40"/>
      <c r="AI1900" s="40"/>
      <c r="AJ1900" s="40"/>
      <c r="AK1900" s="40"/>
      <c r="AL1900" s="40"/>
      <c r="AM1900" s="40"/>
      <c r="AN1900" s="40"/>
      <c r="AO1900" s="40"/>
      <c r="AP1900" s="40"/>
      <c r="AQ1900" s="40"/>
      <c r="AR1900" s="40"/>
      <c r="AS1900" s="40"/>
      <c r="AT1900" s="40"/>
      <c r="AU1900" s="40"/>
      <c r="AV1900" s="315">
        <v>0</v>
      </c>
      <c r="AW1900" s="317"/>
      <c r="AX1900" s="317"/>
      <c r="AY1900" s="313">
        <v>0</v>
      </c>
      <c r="AZ1900" s="40"/>
      <c r="BA1900" s="40"/>
      <c r="BB1900" s="40"/>
      <c r="BC1900" s="40">
        <v>0</v>
      </c>
      <c r="BD1900" s="40">
        <v>0</v>
      </c>
      <c r="BE1900" s="163">
        <v>0</v>
      </c>
      <c r="BF1900" s="163">
        <v>0</v>
      </c>
      <c r="BG1900" s="40"/>
      <c r="BH1900" s="40"/>
      <c r="BI1900" s="40"/>
      <c r="BJ1900" s="40"/>
      <c r="BK1900" s="40"/>
      <c r="BL1900" s="62">
        <v>1</v>
      </c>
      <c r="BM1900" s="275">
        <v>3</v>
      </c>
      <c r="BN1900" s="62">
        <v>0</v>
      </c>
      <c r="BO1900" s="33" t="s">
        <v>698</v>
      </c>
    </row>
    <row r="1901" spans="1:67">
      <c r="A1901" s="33" t="str">
        <f>Database_Productkaarten[[#This Row],[Product]]&amp;", "&amp;Database_Productkaarten[[#This Row],[Levensfase]]</f>
        <v>Metselwerkmengsel 200mm, C4</v>
      </c>
      <c r="B1901" s="33" t="s">
        <v>713</v>
      </c>
      <c r="C1901" s="33" t="s">
        <v>48</v>
      </c>
      <c r="D1901" s="33" t="s">
        <v>714</v>
      </c>
      <c r="E1901" s="33" t="s">
        <v>385</v>
      </c>
      <c r="F1901" s="33" t="s">
        <v>86</v>
      </c>
      <c r="G1901" s="33">
        <v>1</v>
      </c>
      <c r="H1901" s="33">
        <v>1</v>
      </c>
      <c r="I1901" s="33">
        <v>0.2</v>
      </c>
      <c r="L1901" s="33">
        <v>1.875</v>
      </c>
      <c r="M1901" s="271">
        <v>0.375</v>
      </c>
      <c r="N1901" s="41">
        <v>2.7899999999999999E-3</v>
      </c>
      <c r="O1901" s="33">
        <v>100</v>
      </c>
      <c r="P1901" s="163">
        <v>2.2300000000000001E-8</v>
      </c>
      <c r="Q1901" s="163">
        <v>2.9E-4</v>
      </c>
      <c r="R1901" s="163">
        <v>1.9800000000000002E-2</v>
      </c>
      <c r="S1901" s="163">
        <v>7.1399999999999997E-9</v>
      </c>
      <c r="T1901" s="163">
        <v>2.16E-5</v>
      </c>
      <c r="U1901" s="163">
        <v>1.4899999999999999E-4</v>
      </c>
      <c r="V1901" s="163">
        <v>2.8200000000000001E-5</v>
      </c>
      <c r="W1901" s="163">
        <v>8.6099999999999996E-3</v>
      </c>
      <c r="X1901" s="163">
        <v>2.0900000000000001E-4</v>
      </c>
      <c r="Y1901" s="163">
        <v>0.73099999999999998</v>
      </c>
      <c r="Z1901" s="163">
        <v>2.1500000000000001E-5</v>
      </c>
      <c r="AA1901" s="40"/>
      <c r="AB1901" s="40"/>
      <c r="AC1901" s="40"/>
      <c r="AD1901" s="40"/>
      <c r="AE1901" s="40"/>
      <c r="AF1901" s="40"/>
      <c r="AG1901" s="40"/>
      <c r="AH1901" s="40"/>
      <c r="AI1901" s="40"/>
      <c r="AJ1901" s="40"/>
      <c r="AK1901" s="40"/>
      <c r="AL1901" s="40"/>
      <c r="AM1901" s="40"/>
      <c r="AN1901" s="40"/>
      <c r="AO1901" s="40"/>
      <c r="AP1901" s="40"/>
      <c r="AQ1901" s="40"/>
      <c r="AR1901" s="40"/>
      <c r="AS1901" s="40"/>
      <c r="AT1901" s="40"/>
      <c r="AU1901" s="40"/>
      <c r="AV1901" s="315">
        <v>4.9800000000000001E-3</v>
      </c>
      <c r="AW1901" s="317"/>
      <c r="AX1901" s="317"/>
      <c r="AY1901" s="313">
        <v>0.64700000000000002</v>
      </c>
      <c r="AZ1901" s="40"/>
      <c r="BA1901" s="40"/>
      <c r="BB1901" s="40"/>
      <c r="BC1901" s="40">
        <v>6.3500000000000004E-4</v>
      </c>
      <c r="BD1901" s="40">
        <v>4.0699999999999998E-7</v>
      </c>
      <c r="BE1901" s="163">
        <v>3.75</v>
      </c>
      <c r="BF1901" s="163">
        <v>4.0300000000000004E-6</v>
      </c>
      <c r="BG1901" s="40"/>
      <c r="BH1901" s="40"/>
      <c r="BI1901" s="40"/>
      <c r="BJ1901" s="40"/>
      <c r="BK1901" s="40"/>
      <c r="BL1901" s="62">
        <v>1</v>
      </c>
      <c r="BM1901" s="275">
        <v>3</v>
      </c>
      <c r="BN1901" s="62">
        <v>0</v>
      </c>
      <c r="BO1901" s="33" t="s">
        <v>698</v>
      </c>
    </row>
    <row r="1902" spans="1:67">
      <c r="A1902" s="33" t="str">
        <f>Database_Productkaarten[[#This Row],[Product]]&amp;", "&amp;Database_Productkaarten[[#This Row],[Levensfase]]</f>
        <v>Metselwerkmengsel 200mm, D</v>
      </c>
      <c r="B1902" s="33" t="s">
        <v>713</v>
      </c>
      <c r="C1902" s="33" t="s">
        <v>48</v>
      </c>
      <c r="D1902" s="33" t="s">
        <v>714</v>
      </c>
      <c r="E1902" s="33" t="s">
        <v>385</v>
      </c>
      <c r="F1902" s="33" t="s">
        <v>89</v>
      </c>
      <c r="G1902" s="33">
        <v>1</v>
      </c>
      <c r="H1902" s="33">
        <v>1</v>
      </c>
      <c r="I1902" s="33">
        <v>0.2</v>
      </c>
      <c r="L1902" s="33">
        <v>1.875</v>
      </c>
      <c r="M1902" s="271">
        <v>0.375</v>
      </c>
      <c r="N1902" s="41">
        <v>5.64E-3</v>
      </c>
      <c r="O1902" s="33">
        <v>100</v>
      </c>
      <c r="P1902" s="163">
        <v>8.7299999999999994E-8</v>
      </c>
      <c r="Q1902" s="163">
        <v>1.08E-4</v>
      </c>
      <c r="R1902" s="163">
        <v>1.5699999999999999E-2</v>
      </c>
      <c r="S1902" s="163">
        <v>1.4100000000000001E-9</v>
      </c>
      <c r="T1902" s="163">
        <v>1.1399999999999999E-5</v>
      </c>
      <c r="U1902" s="163">
        <v>9.0199999999999997E-5</v>
      </c>
      <c r="V1902" s="163">
        <v>1.5699999999999999E-5</v>
      </c>
      <c r="W1902" s="163">
        <v>7.0299999999999998E-3</v>
      </c>
      <c r="X1902" s="163">
        <v>1.01E-4</v>
      </c>
      <c r="Y1902" s="163">
        <v>0.44</v>
      </c>
      <c r="Z1902" s="163">
        <v>3.6699999999999998E-5</v>
      </c>
      <c r="AA1902" s="40"/>
      <c r="AB1902" s="40"/>
      <c r="AC1902" s="40"/>
      <c r="AD1902" s="40"/>
      <c r="AE1902" s="40"/>
      <c r="AF1902" s="40"/>
      <c r="AG1902" s="40"/>
      <c r="AH1902" s="40"/>
      <c r="AI1902" s="40"/>
      <c r="AJ1902" s="40"/>
      <c r="AK1902" s="40"/>
      <c r="AL1902" s="40"/>
      <c r="AM1902" s="40"/>
      <c r="AN1902" s="40"/>
      <c r="AO1902" s="40"/>
      <c r="AP1902" s="40"/>
      <c r="AQ1902" s="40"/>
      <c r="AR1902" s="40"/>
      <c r="AS1902" s="40"/>
      <c r="AT1902" s="40"/>
      <c r="AU1902" s="40"/>
      <c r="AV1902" s="315">
        <v>1.3299999999999999E-2</v>
      </c>
      <c r="AW1902" s="317"/>
      <c r="AX1902" s="317"/>
      <c r="AY1902" s="313">
        <v>0.217</v>
      </c>
      <c r="AZ1902" s="40"/>
      <c r="BA1902" s="40"/>
      <c r="BB1902" s="40"/>
      <c r="BC1902" s="40">
        <v>5.3E-3</v>
      </c>
      <c r="BD1902" s="40">
        <v>2.8999999999999998E-7</v>
      </c>
      <c r="BE1902" s="163">
        <v>2.0600000000000002E-3</v>
      </c>
      <c r="BF1902" s="163">
        <v>9.1699999999999997E-7</v>
      </c>
      <c r="BG1902" s="40"/>
      <c r="BH1902" s="40"/>
      <c r="BI1902" s="40"/>
      <c r="BJ1902" s="40"/>
      <c r="BK1902" s="40"/>
      <c r="BL1902" s="62">
        <v>1</v>
      </c>
      <c r="BM1902" s="275">
        <v>3</v>
      </c>
      <c r="BN1902" s="62">
        <v>0</v>
      </c>
      <c r="BO1902" s="33" t="s">
        <v>698</v>
      </c>
    </row>
    <row r="1903" spans="1:67">
      <c r="A1903" s="33" t="str">
        <f>Database_Productkaarten[[#This Row],[Product]]&amp;", "&amp;Database_Productkaarten[[#This Row],[Levensfase]]</f>
        <v>Metselwerkmengsel 200mm, D1</v>
      </c>
      <c r="B1903" s="33" t="s">
        <v>713</v>
      </c>
      <c r="C1903" s="33" t="s">
        <v>48</v>
      </c>
      <c r="D1903" s="33" t="s">
        <v>714</v>
      </c>
      <c r="E1903" s="33" t="s">
        <v>385</v>
      </c>
      <c r="F1903" s="33" t="s">
        <v>87</v>
      </c>
      <c r="G1903" s="33">
        <v>1</v>
      </c>
      <c r="H1903" s="33">
        <v>1</v>
      </c>
      <c r="I1903" s="33">
        <v>0.2</v>
      </c>
      <c r="L1903" s="33">
        <v>1.875</v>
      </c>
      <c r="M1903" s="271">
        <v>0.375</v>
      </c>
      <c r="N1903" s="41"/>
      <c r="O1903" s="33">
        <v>100</v>
      </c>
      <c r="P1903" s="40"/>
      <c r="Q1903" s="40"/>
      <c r="R1903" s="40"/>
      <c r="S1903" s="40"/>
      <c r="T1903" s="40"/>
      <c r="U1903" s="40"/>
      <c r="V1903" s="40"/>
      <c r="W1903" s="40"/>
      <c r="X1903" s="40"/>
      <c r="Y1903" s="40"/>
      <c r="Z1903" s="40"/>
      <c r="AA1903" s="40"/>
      <c r="AB1903" s="40"/>
      <c r="AC1903" s="40"/>
      <c r="AD1903" s="40"/>
      <c r="AE1903" s="40"/>
      <c r="AF1903" s="40"/>
      <c r="AG1903" s="40"/>
      <c r="AH1903" s="40"/>
      <c r="AI1903" s="40"/>
      <c r="AJ1903" s="40"/>
      <c r="AK1903" s="40"/>
      <c r="AL1903" s="40"/>
      <c r="AM1903" s="40"/>
      <c r="AN1903" s="40"/>
      <c r="AO1903" s="40"/>
      <c r="AP1903" s="40"/>
      <c r="AQ1903" s="40"/>
      <c r="AR1903" s="40"/>
      <c r="AS1903" s="40"/>
      <c r="AT1903" s="40"/>
      <c r="AU1903" s="40"/>
      <c r="AV1903" s="313"/>
      <c r="AW1903" s="317"/>
      <c r="AX1903" s="317"/>
      <c r="AY1903" s="313"/>
      <c r="AZ1903" s="40"/>
      <c r="BA1903" s="40"/>
      <c r="BB1903" s="40"/>
      <c r="BC1903" s="40"/>
      <c r="BD1903" s="40"/>
      <c r="BE1903" s="40"/>
      <c r="BF1903" s="40"/>
      <c r="BG1903" s="40"/>
      <c r="BH1903" s="40"/>
      <c r="BI1903" s="40"/>
      <c r="BJ1903" s="40"/>
      <c r="BK1903" s="40"/>
      <c r="BL1903" s="62">
        <v>1</v>
      </c>
      <c r="BM1903" s="275">
        <v>3</v>
      </c>
      <c r="BN1903" s="62">
        <v>0</v>
      </c>
      <c r="BO1903" s="33" t="s">
        <v>698</v>
      </c>
    </row>
    <row r="1904" spans="1:67">
      <c r="A1904" s="33" t="str">
        <f>Database_Productkaarten[[#This Row],[Product]]&amp;", "&amp;Database_Productkaarten[[#This Row],[Levensfase]]</f>
        <v>Metselwerkmengsel 200mm, D2</v>
      </c>
      <c r="B1904" s="33" t="s">
        <v>713</v>
      </c>
      <c r="C1904" s="33" t="s">
        <v>48</v>
      </c>
      <c r="D1904" s="33" t="s">
        <v>714</v>
      </c>
      <c r="E1904" s="33" t="s">
        <v>385</v>
      </c>
      <c r="F1904" s="33" t="s">
        <v>88</v>
      </c>
      <c r="G1904" s="33">
        <v>1</v>
      </c>
      <c r="H1904" s="33">
        <v>1</v>
      </c>
      <c r="I1904" s="33">
        <v>0.2</v>
      </c>
      <c r="L1904" s="33">
        <v>1.875</v>
      </c>
      <c r="M1904" s="271">
        <v>0.375</v>
      </c>
      <c r="N1904" s="41"/>
      <c r="O1904" s="33">
        <v>100</v>
      </c>
      <c r="P1904" s="40"/>
      <c r="Q1904" s="40"/>
      <c r="R1904" s="40"/>
      <c r="S1904" s="40"/>
      <c r="T1904" s="40"/>
      <c r="U1904" s="40"/>
      <c r="V1904" s="40"/>
      <c r="W1904" s="40"/>
      <c r="X1904" s="40"/>
      <c r="Y1904" s="40"/>
      <c r="Z1904" s="40"/>
      <c r="AA1904" s="40"/>
      <c r="AB1904" s="40"/>
      <c r="AC1904" s="40"/>
      <c r="AD1904" s="40"/>
      <c r="AE1904" s="40"/>
      <c r="AF1904" s="40"/>
      <c r="AG1904" s="40"/>
      <c r="AH1904" s="40"/>
      <c r="AI1904" s="40"/>
      <c r="AJ1904" s="40"/>
      <c r="AK1904" s="40"/>
      <c r="AL1904" s="40"/>
      <c r="AM1904" s="40"/>
      <c r="AN1904" s="40"/>
      <c r="AO1904" s="40"/>
      <c r="AP1904" s="40"/>
      <c r="AQ1904" s="40"/>
      <c r="AR1904" s="40"/>
      <c r="AS1904" s="40"/>
      <c r="AT1904" s="40"/>
      <c r="AU1904" s="40"/>
      <c r="AV1904" s="313"/>
      <c r="AW1904" s="317"/>
      <c r="AX1904" s="317"/>
      <c r="AY1904" s="313"/>
      <c r="AZ1904" s="40"/>
      <c r="BA1904" s="40"/>
      <c r="BB1904" s="40"/>
      <c r="BC1904" s="40"/>
      <c r="BD1904" s="40"/>
      <c r="BE1904" s="40"/>
      <c r="BF1904" s="40"/>
      <c r="BG1904" s="40"/>
      <c r="BH1904" s="40"/>
      <c r="BI1904" s="40"/>
      <c r="BJ1904" s="40"/>
      <c r="BK1904" s="40"/>
      <c r="BL1904" s="62">
        <v>1</v>
      </c>
      <c r="BM1904" s="275">
        <v>3</v>
      </c>
      <c r="BN1904" s="62">
        <v>0</v>
      </c>
      <c r="BO1904" s="33" t="s">
        <v>698</v>
      </c>
    </row>
    <row r="1905" spans="1:68">
      <c r="A1905" s="33" t="str">
        <f>Database_Productkaarten[[#This Row],[Product]]&amp;", "&amp;Database_Productkaarten[[#This Row],[Levensfase]]</f>
        <v>PP Drainbuis 125 mm, Totaal</v>
      </c>
      <c r="B1905" s="33" t="s">
        <v>715</v>
      </c>
      <c r="C1905" s="33" t="s">
        <v>246</v>
      </c>
      <c r="D1905" s="33" t="s">
        <v>716</v>
      </c>
      <c r="E1905" s="33" t="s">
        <v>389</v>
      </c>
      <c r="F1905" s="33" t="s">
        <v>90</v>
      </c>
      <c r="G1905" s="33">
        <v>1</v>
      </c>
      <c r="J1905" s="33">
        <v>0.125</v>
      </c>
      <c r="L1905" s="33">
        <v>0.91</v>
      </c>
      <c r="M1905" s="269"/>
      <c r="N1905" s="41"/>
      <c r="O1905" s="33">
        <v>15</v>
      </c>
      <c r="AV1905" s="316"/>
      <c r="AW1905" s="314"/>
      <c r="AX1905" s="314"/>
      <c r="AY1905" s="316"/>
      <c r="BL1905" s="62">
        <v>0</v>
      </c>
      <c r="BM1905" s="275">
        <v>3</v>
      </c>
      <c r="BN1905" s="62">
        <v>0.03</v>
      </c>
      <c r="BO1905" s="33" t="s">
        <v>717</v>
      </c>
    </row>
    <row r="1906" spans="1:68">
      <c r="A1906" s="33" t="str">
        <f>Database_Productkaarten[[#This Row],[Product]]&amp;", "&amp;Database_Productkaarten[[#This Row],[Levensfase]]</f>
        <v>PP Drainbuis 125 mm, A1</v>
      </c>
      <c r="B1906" s="33" t="s">
        <v>715</v>
      </c>
      <c r="C1906" s="33" t="s">
        <v>246</v>
      </c>
      <c r="D1906" s="33" t="s">
        <v>716</v>
      </c>
      <c r="E1906" s="33" t="s">
        <v>389</v>
      </c>
      <c r="F1906" s="33" t="s">
        <v>74</v>
      </c>
      <c r="G1906" s="33">
        <v>1</v>
      </c>
      <c r="J1906" s="33">
        <v>0.125</v>
      </c>
      <c r="L1906" s="33">
        <v>0.91</v>
      </c>
      <c r="M1906" s="269"/>
      <c r="N1906" s="41">
        <v>0.1232</v>
      </c>
      <c r="O1906" s="33">
        <v>15</v>
      </c>
      <c r="R1906" s="33">
        <v>1.4925999999999999</v>
      </c>
      <c r="AV1906" s="315">
        <v>1.33</v>
      </c>
      <c r="AW1906" s="314"/>
      <c r="AX1906" s="314"/>
      <c r="AY1906" s="315">
        <v>49.6</v>
      </c>
      <c r="BL1906" s="62">
        <v>0</v>
      </c>
      <c r="BM1906" s="275">
        <v>3</v>
      </c>
      <c r="BN1906" s="62">
        <v>0.03</v>
      </c>
      <c r="BO1906" s="33" t="s">
        <v>717</v>
      </c>
    </row>
    <row r="1907" spans="1:68">
      <c r="A1907" s="33" t="str">
        <f>Database_Productkaarten[[#This Row],[Product]]&amp;", "&amp;Database_Productkaarten[[#This Row],[Levensfase]]</f>
        <v>PP Drainbuis 125 mm, A2</v>
      </c>
      <c r="B1907" s="33" t="s">
        <v>715</v>
      </c>
      <c r="C1907" s="33" t="s">
        <v>246</v>
      </c>
      <c r="D1907" s="33" t="s">
        <v>716</v>
      </c>
      <c r="E1907" s="33" t="s">
        <v>389</v>
      </c>
      <c r="F1907" s="33" t="s">
        <v>75</v>
      </c>
      <c r="G1907" s="33">
        <v>1</v>
      </c>
      <c r="J1907" s="33">
        <v>0.125</v>
      </c>
      <c r="L1907" s="33">
        <v>0.91</v>
      </c>
      <c r="M1907" s="269"/>
      <c r="N1907" s="41"/>
      <c r="O1907" s="33">
        <v>15</v>
      </c>
      <c r="AV1907" s="316"/>
      <c r="AW1907" s="314"/>
      <c r="AX1907" s="314"/>
      <c r="AY1907" s="316"/>
      <c r="BL1907" s="62">
        <v>0</v>
      </c>
      <c r="BM1907" s="275">
        <v>3</v>
      </c>
      <c r="BN1907" s="62">
        <v>0.03</v>
      </c>
      <c r="BO1907" s="33" t="s">
        <v>717</v>
      </c>
    </row>
    <row r="1908" spans="1:68">
      <c r="A1908" s="33" t="str">
        <f>Database_Productkaarten[[#This Row],[Product]]&amp;", "&amp;Database_Productkaarten[[#This Row],[Levensfase]]</f>
        <v>PP Drainbuis 125 mm, A3</v>
      </c>
      <c r="B1908" s="33" t="s">
        <v>715</v>
      </c>
      <c r="C1908" s="33" t="s">
        <v>246</v>
      </c>
      <c r="D1908" s="33" t="s">
        <v>716</v>
      </c>
      <c r="E1908" s="33" t="s">
        <v>389</v>
      </c>
      <c r="F1908" s="33" t="s">
        <v>76</v>
      </c>
      <c r="G1908" s="33">
        <v>1</v>
      </c>
      <c r="J1908" s="33">
        <v>0.125</v>
      </c>
      <c r="L1908" s="33">
        <v>0.91</v>
      </c>
      <c r="M1908" s="269"/>
      <c r="N1908" s="41"/>
      <c r="O1908" s="33">
        <v>15</v>
      </c>
      <c r="AV1908" s="316"/>
      <c r="AW1908" s="314"/>
      <c r="AX1908" s="314"/>
      <c r="AY1908" s="316"/>
      <c r="BL1908" s="62">
        <v>0</v>
      </c>
      <c r="BM1908" s="275">
        <v>3</v>
      </c>
      <c r="BN1908" s="62">
        <v>0.03</v>
      </c>
      <c r="BO1908" s="33" t="s">
        <v>717</v>
      </c>
    </row>
    <row r="1909" spans="1:68">
      <c r="A1909" s="451" t="str">
        <f>Database_Productkaarten[[#This Row],[Product]]&amp;", "&amp;Database_Productkaarten[[#This Row],[Levensfase]]</f>
        <v>PP Drainbuis 125 mm, A1-A3</v>
      </c>
      <c r="B1909" s="451" t="str">
        <f>B1908</f>
        <v>PP Drainbuis 125 mm</v>
      </c>
      <c r="C1909" s="451" t="str">
        <f>C1908</f>
        <v>Waterafvoer</v>
      </c>
      <c r="D1909" s="451" t="str">
        <f>D1908</f>
        <v>Drainbuis</v>
      </c>
      <c r="E1909" s="451" t="str">
        <f>E1908</f>
        <v>m1</v>
      </c>
      <c r="F1909" s="451" t="s">
        <v>77</v>
      </c>
      <c r="G1909" s="451">
        <f t="shared" ref="G1909:M1909" si="798">G1908</f>
        <v>1</v>
      </c>
      <c r="H1909" s="451"/>
      <c r="I1909" s="451"/>
      <c r="J1909" s="451">
        <f t="shared" si="798"/>
        <v>0.125</v>
      </c>
      <c r="K1909" s="451"/>
      <c r="L1909" s="451">
        <f t="shared" si="798"/>
        <v>0.91</v>
      </c>
      <c r="M1909" s="454">
        <f t="shared" si="798"/>
        <v>0</v>
      </c>
      <c r="N1909" s="452">
        <f>SUM(N1906:N1908)</f>
        <v>0.1232</v>
      </c>
      <c r="O1909" s="451">
        <f>O1908</f>
        <v>15</v>
      </c>
      <c r="P1909" s="453">
        <f t="shared" ref="P1909:BF1909" si="799">SUM(P1906:P1908)</f>
        <v>0</v>
      </c>
      <c r="Q1909" s="453">
        <f t="shared" si="799"/>
        <v>0</v>
      </c>
      <c r="R1909" s="453">
        <f t="shared" si="799"/>
        <v>1.4925999999999999</v>
      </c>
      <c r="S1909" s="453">
        <f t="shared" si="799"/>
        <v>0</v>
      </c>
      <c r="T1909" s="453">
        <f t="shared" si="799"/>
        <v>0</v>
      </c>
      <c r="U1909" s="453">
        <f t="shared" si="799"/>
        <v>0</v>
      </c>
      <c r="V1909" s="453">
        <f t="shared" si="799"/>
        <v>0</v>
      </c>
      <c r="W1909" s="453">
        <f t="shared" si="799"/>
        <v>0</v>
      </c>
      <c r="X1909" s="453">
        <f t="shared" si="799"/>
        <v>0</v>
      </c>
      <c r="Y1909" s="453">
        <f t="shared" si="799"/>
        <v>0</v>
      </c>
      <c r="Z1909" s="453">
        <f t="shared" si="799"/>
        <v>0</v>
      </c>
      <c r="AA1909" s="453">
        <f t="shared" si="799"/>
        <v>0</v>
      </c>
      <c r="AB1909" s="453">
        <f t="shared" si="799"/>
        <v>0</v>
      </c>
      <c r="AC1909" s="453">
        <f t="shared" si="799"/>
        <v>0</v>
      </c>
      <c r="AD1909" s="453">
        <f t="shared" si="799"/>
        <v>0</v>
      </c>
      <c r="AE1909" s="453">
        <f t="shared" si="799"/>
        <v>0</v>
      </c>
      <c r="AF1909" s="453">
        <f t="shared" si="799"/>
        <v>0</v>
      </c>
      <c r="AG1909" s="453">
        <f t="shared" si="799"/>
        <v>0</v>
      </c>
      <c r="AH1909" s="453">
        <f t="shared" si="799"/>
        <v>0</v>
      </c>
      <c r="AI1909" s="453">
        <f t="shared" si="799"/>
        <v>0</v>
      </c>
      <c r="AJ1909" s="453">
        <f t="shared" si="799"/>
        <v>0</v>
      </c>
      <c r="AK1909" s="453">
        <f t="shared" si="799"/>
        <v>0</v>
      </c>
      <c r="AL1909" s="453">
        <f t="shared" si="799"/>
        <v>0</v>
      </c>
      <c r="AM1909" s="453">
        <f t="shared" si="799"/>
        <v>0</v>
      </c>
      <c r="AN1909" s="453">
        <f t="shared" si="799"/>
        <v>0</v>
      </c>
      <c r="AO1909" s="453">
        <f t="shared" si="799"/>
        <v>0</v>
      </c>
      <c r="AP1909" s="453">
        <f t="shared" si="799"/>
        <v>0</v>
      </c>
      <c r="AQ1909" s="453">
        <f t="shared" si="799"/>
        <v>0</v>
      </c>
      <c r="AR1909" s="453">
        <f t="shared" si="799"/>
        <v>0</v>
      </c>
      <c r="AS1909" s="453">
        <f t="shared" si="799"/>
        <v>0</v>
      </c>
      <c r="AT1909" s="453">
        <f t="shared" si="799"/>
        <v>0</v>
      </c>
      <c r="AU1909" s="453">
        <f t="shared" si="799"/>
        <v>0</v>
      </c>
      <c r="AV1909" s="317">
        <f t="shared" si="799"/>
        <v>1.33</v>
      </c>
      <c r="AW1909" s="317">
        <f t="shared" si="799"/>
        <v>0</v>
      </c>
      <c r="AX1909" s="317">
        <f t="shared" si="799"/>
        <v>0</v>
      </c>
      <c r="AY1909" s="317">
        <f t="shared" si="799"/>
        <v>49.6</v>
      </c>
      <c r="AZ1909" s="453">
        <f t="shared" si="799"/>
        <v>0</v>
      </c>
      <c r="BA1909" s="453">
        <f t="shared" si="799"/>
        <v>0</v>
      </c>
      <c r="BB1909" s="453">
        <f t="shared" si="799"/>
        <v>0</v>
      </c>
      <c r="BC1909" s="453">
        <f t="shared" si="799"/>
        <v>0</v>
      </c>
      <c r="BD1909" s="453">
        <f t="shared" si="799"/>
        <v>0</v>
      </c>
      <c r="BE1909" s="453">
        <f t="shared" si="799"/>
        <v>0</v>
      </c>
      <c r="BF1909" s="453">
        <f t="shared" si="799"/>
        <v>0</v>
      </c>
      <c r="BG1909" s="453"/>
      <c r="BH1909" s="453"/>
      <c r="BI1909" s="453"/>
      <c r="BJ1909" s="453"/>
      <c r="BK1909" s="453"/>
      <c r="BL1909" s="62">
        <f>BL1908</f>
        <v>0</v>
      </c>
      <c r="BM1909" s="275">
        <f>BM1908</f>
        <v>3</v>
      </c>
      <c r="BN1909" s="62">
        <v>0.03</v>
      </c>
      <c r="BO1909" s="451" t="str">
        <f>BO1908</f>
        <v>NMD Drainbuis, PP450 vezels</v>
      </c>
      <c r="BP1909" s="451"/>
    </row>
    <row r="1910" spans="1:68">
      <c r="A1910" s="33" t="str">
        <f>Database_Productkaarten[[#This Row],[Product]]&amp;", "&amp;Database_Productkaarten[[#This Row],[Levensfase]]</f>
        <v>PP Drainbuis 125 mm, A4</v>
      </c>
      <c r="B1910" s="33" t="s">
        <v>715</v>
      </c>
      <c r="C1910" s="33" t="s">
        <v>246</v>
      </c>
      <c r="D1910" s="33" t="s">
        <v>716</v>
      </c>
      <c r="E1910" s="33" t="s">
        <v>389</v>
      </c>
      <c r="F1910" s="33" t="s">
        <v>78</v>
      </c>
      <c r="G1910" s="33">
        <v>1</v>
      </c>
      <c r="J1910" s="33">
        <v>0.125</v>
      </c>
      <c r="L1910" s="33">
        <v>0.91</v>
      </c>
      <c r="M1910" s="269"/>
      <c r="N1910" s="41">
        <v>9.3849999999999999E-4</v>
      </c>
      <c r="O1910" s="33">
        <v>15</v>
      </c>
      <c r="R1910" s="33">
        <v>8.3999999999999995E-3</v>
      </c>
      <c r="AV1910" s="313">
        <v>0</v>
      </c>
      <c r="AW1910" s="314"/>
      <c r="AX1910" s="314"/>
      <c r="AY1910" s="313">
        <v>0</v>
      </c>
      <c r="BL1910" s="62">
        <v>0</v>
      </c>
      <c r="BM1910" s="275">
        <v>3</v>
      </c>
      <c r="BN1910" s="62">
        <v>0.03</v>
      </c>
      <c r="BO1910" s="33" t="s">
        <v>717</v>
      </c>
    </row>
    <row r="1911" spans="1:68">
      <c r="A1911" s="33" t="str">
        <f>Database_Productkaarten[[#This Row],[Product]]&amp;", "&amp;Database_Productkaarten[[#This Row],[Levensfase]]</f>
        <v>PP Drainbuis 125 mm, A5</v>
      </c>
      <c r="B1911" s="33" t="s">
        <v>715</v>
      </c>
      <c r="C1911" s="33" t="s">
        <v>246</v>
      </c>
      <c r="D1911" s="33" t="s">
        <v>716</v>
      </c>
      <c r="E1911" s="33" t="s">
        <v>389</v>
      </c>
      <c r="F1911" s="33" t="s">
        <v>79</v>
      </c>
      <c r="G1911" s="33">
        <v>1</v>
      </c>
      <c r="J1911" s="33">
        <v>0.125</v>
      </c>
      <c r="L1911" s="33">
        <v>0.91</v>
      </c>
      <c r="M1911" s="269"/>
      <c r="N1911" s="41">
        <f>0.0043+4.3152*0.02</f>
        <v>9.0604000000000004E-2</v>
      </c>
      <c r="O1911" s="33">
        <v>15</v>
      </c>
      <c r="R1911" s="33">
        <f>0.0558+46.5697*0.02</f>
        <v>0.9871939999999999</v>
      </c>
      <c r="AL1911" s="163"/>
      <c r="AM1911" s="40"/>
      <c r="AN1911" s="40"/>
      <c r="AO1911" s="40"/>
      <c r="AP1911" s="40"/>
      <c r="AQ1911" s="40"/>
      <c r="AR1911" s="40"/>
      <c r="AS1911" s="40"/>
      <c r="AT1911" s="40"/>
      <c r="AV1911" s="313">
        <v>4.0500000000000001E-2</v>
      </c>
      <c r="AW1911" s="314"/>
      <c r="AX1911" s="314"/>
      <c r="AY1911" s="313">
        <v>1.5</v>
      </c>
      <c r="BL1911" s="62">
        <v>0</v>
      </c>
      <c r="BM1911" s="275">
        <v>3</v>
      </c>
      <c r="BN1911" s="62">
        <v>0.03</v>
      </c>
      <c r="BO1911" s="33" t="s">
        <v>717</v>
      </c>
    </row>
    <row r="1912" spans="1:68">
      <c r="A1912" s="33" t="str">
        <f>Database_Productkaarten[[#This Row],[Product]]&amp;", "&amp;Database_Productkaarten[[#This Row],[Levensfase]]</f>
        <v>PP Drainbuis 125 mm, B1</v>
      </c>
      <c r="B1912" s="33" t="s">
        <v>715</v>
      </c>
      <c r="C1912" s="33" t="s">
        <v>246</v>
      </c>
      <c r="D1912" s="33" t="s">
        <v>716</v>
      </c>
      <c r="E1912" s="33" t="s">
        <v>389</v>
      </c>
      <c r="F1912" s="33" t="s">
        <v>80</v>
      </c>
      <c r="G1912" s="33">
        <v>1</v>
      </c>
      <c r="J1912" s="33">
        <v>0.125</v>
      </c>
      <c r="L1912" s="33">
        <v>0.91</v>
      </c>
      <c r="M1912" s="269"/>
      <c r="N1912" s="41"/>
      <c r="O1912" s="33">
        <v>15</v>
      </c>
      <c r="AL1912" s="163"/>
      <c r="AM1912" s="40"/>
      <c r="AN1912" s="40"/>
      <c r="AO1912" s="40"/>
      <c r="AP1912" s="40"/>
      <c r="AQ1912" s="40"/>
      <c r="AR1912" s="40"/>
      <c r="AS1912" s="40"/>
      <c r="AT1912" s="40"/>
      <c r="AV1912" s="313">
        <v>0</v>
      </c>
      <c r="AW1912" s="314"/>
      <c r="AX1912" s="314"/>
      <c r="AY1912" s="313">
        <v>0</v>
      </c>
      <c r="BL1912" s="62">
        <v>0</v>
      </c>
      <c r="BM1912" s="275">
        <v>3</v>
      </c>
      <c r="BN1912" s="62">
        <v>0.03</v>
      </c>
      <c r="BO1912" s="33" t="s">
        <v>717</v>
      </c>
    </row>
    <row r="1913" spans="1:68">
      <c r="A1913" s="33" t="str">
        <f>Database_Productkaarten[[#This Row],[Product]]&amp;", "&amp;Database_Productkaarten[[#This Row],[Levensfase]]</f>
        <v>PP Drainbuis 125 mm, C1</v>
      </c>
      <c r="B1913" s="33" t="s">
        <v>715</v>
      </c>
      <c r="C1913" s="33" t="s">
        <v>246</v>
      </c>
      <c r="D1913" s="33" t="s">
        <v>716</v>
      </c>
      <c r="E1913" s="33" t="s">
        <v>389</v>
      </c>
      <c r="F1913" s="33" t="s">
        <v>83</v>
      </c>
      <c r="G1913" s="33">
        <v>1</v>
      </c>
      <c r="J1913" s="33">
        <v>0.125</v>
      </c>
      <c r="L1913" s="33">
        <v>0.91</v>
      </c>
      <c r="M1913" s="269"/>
      <c r="N1913" s="41">
        <f>4.3152*0.004</f>
        <v>1.72608E-2</v>
      </c>
      <c r="O1913" s="33">
        <v>15</v>
      </c>
      <c r="R1913" s="33">
        <f>46.5697*0.004</f>
        <v>0.18627879999999999</v>
      </c>
      <c r="AV1913" s="313">
        <v>0</v>
      </c>
      <c r="AW1913" s="314"/>
      <c r="AX1913" s="314"/>
      <c r="AY1913" s="313">
        <v>0</v>
      </c>
      <c r="BL1913" s="62">
        <v>0</v>
      </c>
      <c r="BM1913" s="275">
        <v>3</v>
      </c>
      <c r="BN1913" s="62">
        <v>0.03</v>
      </c>
      <c r="BO1913" s="33" t="s">
        <v>717</v>
      </c>
    </row>
    <row r="1914" spans="1:68">
      <c r="A1914" s="33" t="str">
        <f>Database_Productkaarten[[#This Row],[Product]]&amp;", "&amp;Database_Productkaarten[[#This Row],[Levensfase]]</f>
        <v>PP Drainbuis 125 mm, C2</v>
      </c>
      <c r="B1914" s="33" t="s">
        <v>715</v>
      </c>
      <c r="C1914" s="33" t="s">
        <v>246</v>
      </c>
      <c r="D1914" s="33" t="s">
        <v>716</v>
      </c>
      <c r="E1914" s="33" t="s">
        <v>389</v>
      </c>
      <c r="F1914" s="33" t="s">
        <v>84</v>
      </c>
      <c r="G1914" s="33">
        <v>1</v>
      </c>
      <c r="J1914" s="33">
        <v>0.125</v>
      </c>
      <c r="L1914" s="33">
        <v>0.91</v>
      </c>
      <c r="M1914" s="269"/>
      <c r="N1914" s="41">
        <v>3.629E-5</v>
      </c>
      <c r="O1914" s="33">
        <v>15</v>
      </c>
      <c r="R1914" s="40">
        <v>3.234E-4</v>
      </c>
      <c r="AV1914" s="313">
        <v>0</v>
      </c>
      <c r="AW1914" s="314"/>
      <c r="AX1914" s="314"/>
      <c r="AY1914" s="313">
        <v>0</v>
      </c>
      <c r="BL1914" s="62">
        <v>0</v>
      </c>
      <c r="BM1914" s="275">
        <v>3</v>
      </c>
      <c r="BN1914" s="62">
        <v>0.03</v>
      </c>
      <c r="BO1914" s="33" t="s">
        <v>717</v>
      </c>
    </row>
    <row r="1915" spans="1:68">
      <c r="A1915" s="33" t="str">
        <f>Database_Productkaarten[[#This Row],[Product]]&amp;", "&amp;Database_Productkaarten[[#This Row],[Levensfase]]</f>
        <v>PP Drainbuis 125 mm, C3</v>
      </c>
      <c r="B1915" s="33" t="s">
        <v>715</v>
      </c>
      <c r="C1915" s="33" t="s">
        <v>246</v>
      </c>
      <c r="D1915" s="33" t="s">
        <v>716</v>
      </c>
      <c r="E1915" s="33" t="s">
        <v>389</v>
      </c>
      <c r="F1915" s="33" t="s">
        <v>85</v>
      </c>
      <c r="G1915" s="33">
        <v>1</v>
      </c>
      <c r="J1915" s="33">
        <v>0.125</v>
      </c>
      <c r="L1915" s="33">
        <v>0.91</v>
      </c>
      <c r="M1915" s="269"/>
      <c r="N1915" s="41">
        <v>1.9699999999999999E-2</v>
      </c>
      <c r="O1915" s="33">
        <v>15</v>
      </c>
      <c r="R1915" s="33">
        <v>0.35460000000000003</v>
      </c>
      <c r="AV1915" s="313">
        <v>6.3599999999999996E-4</v>
      </c>
      <c r="AW1915" s="314"/>
      <c r="AX1915" s="314"/>
      <c r="AY1915" s="313">
        <v>3.7100000000000001E-2</v>
      </c>
      <c r="BL1915" s="62">
        <v>0</v>
      </c>
      <c r="BM1915" s="275">
        <v>3</v>
      </c>
      <c r="BN1915" s="62">
        <v>0.03</v>
      </c>
      <c r="BO1915" s="33" t="s">
        <v>717</v>
      </c>
    </row>
    <row r="1916" spans="1:68">
      <c r="A1916" s="33" t="str">
        <f>Database_Productkaarten[[#This Row],[Product]]&amp;", "&amp;Database_Productkaarten[[#This Row],[Levensfase]]</f>
        <v>PP Drainbuis 125 mm, C4</v>
      </c>
      <c r="B1916" s="33" t="s">
        <v>715</v>
      </c>
      <c r="C1916" s="33" t="s">
        <v>246</v>
      </c>
      <c r="D1916" s="33" t="s">
        <v>716</v>
      </c>
      <c r="E1916" s="33" t="s">
        <v>389</v>
      </c>
      <c r="F1916" s="33" t="s">
        <v>86</v>
      </c>
      <c r="G1916" s="33">
        <v>1</v>
      </c>
      <c r="J1916" s="33">
        <v>0.125</v>
      </c>
      <c r="L1916" s="33">
        <v>0.91</v>
      </c>
      <c r="M1916" s="269"/>
      <c r="N1916" s="41">
        <v>1.7689999999999999E-4</v>
      </c>
      <c r="O1916" s="33">
        <v>15</v>
      </c>
      <c r="R1916" s="33">
        <v>2.5000000000000001E-3</v>
      </c>
      <c r="AV1916" s="317">
        <v>2.5900000000000001E-4</v>
      </c>
      <c r="AW1916" s="314"/>
      <c r="AX1916" s="314"/>
      <c r="AY1916" s="317">
        <v>4.0300000000000002E-2</v>
      </c>
      <c r="BL1916" s="62">
        <v>0</v>
      </c>
      <c r="BM1916" s="275">
        <v>3</v>
      </c>
      <c r="BN1916" s="62">
        <v>0.03</v>
      </c>
      <c r="BO1916" s="33" t="s">
        <v>717</v>
      </c>
    </row>
    <row r="1917" spans="1:68">
      <c r="A1917" s="33" t="str">
        <f>Database_Productkaarten[[#This Row],[Product]]&amp;", "&amp;Database_Productkaarten[[#This Row],[Levensfase]]</f>
        <v>PP Drainbuis 125 mm, D</v>
      </c>
      <c r="B1917" s="33" t="str">
        <f>B1918</f>
        <v>PP Drainbuis 125 mm</v>
      </c>
      <c r="C1917" s="33" t="str">
        <f>C1918</f>
        <v>Waterafvoer</v>
      </c>
      <c r="D1917" s="33" t="str">
        <f>D1918</f>
        <v>Drainbuis</v>
      </c>
      <c r="E1917" s="33" t="str">
        <f>E1918</f>
        <v>m1</v>
      </c>
      <c r="F1917" s="33" t="s">
        <v>89</v>
      </c>
      <c r="G1917" s="33">
        <f t="shared" ref="G1917:M1917" si="800">G1918</f>
        <v>1</v>
      </c>
      <c r="J1917" s="33">
        <f t="shared" si="800"/>
        <v>0.125</v>
      </c>
      <c r="L1917" s="33">
        <f t="shared" si="800"/>
        <v>0.91</v>
      </c>
      <c r="M1917" s="45">
        <f t="shared" si="800"/>
        <v>0</v>
      </c>
      <c r="N1917" s="41">
        <f>SUM(N1918:N1919)</f>
        <v>6.3489999999999998E-4</v>
      </c>
      <c r="O1917" s="33">
        <f>O1918</f>
        <v>15</v>
      </c>
      <c r="P1917" s="40">
        <f>SUM(P1918:P1919)</f>
        <v>0</v>
      </c>
      <c r="Q1917" s="40">
        <f>SUM(Q1918:Q1919)</f>
        <v>0</v>
      </c>
      <c r="R1917" s="40">
        <f>SUM(R1918:R1919)</f>
        <v>-4.8599999999999997E-2</v>
      </c>
      <c r="S1917" s="40">
        <f t="shared" ref="S1917:BF1917" si="801">SUM(S1918:S1919)</f>
        <v>0</v>
      </c>
      <c r="T1917" s="40">
        <f t="shared" si="801"/>
        <v>0</v>
      </c>
      <c r="U1917" s="40">
        <f t="shared" si="801"/>
        <v>0</v>
      </c>
      <c r="V1917" s="40">
        <f t="shared" si="801"/>
        <v>0</v>
      </c>
      <c r="W1917" s="40">
        <f t="shared" si="801"/>
        <v>0</v>
      </c>
      <c r="X1917" s="40">
        <f t="shared" si="801"/>
        <v>0</v>
      </c>
      <c r="Y1917" s="40">
        <f t="shared" si="801"/>
        <v>0</v>
      </c>
      <c r="Z1917" s="40">
        <f t="shared" si="801"/>
        <v>0</v>
      </c>
      <c r="AA1917" s="40">
        <f t="shared" si="801"/>
        <v>0</v>
      </c>
      <c r="AB1917" s="40">
        <f t="shared" si="801"/>
        <v>0</v>
      </c>
      <c r="AC1917" s="40">
        <f t="shared" si="801"/>
        <v>0</v>
      </c>
      <c r="AD1917" s="40">
        <f t="shared" si="801"/>
        <v>0</v>
      </c>
      <c r="AE1917" s="40">
        <f t="shared" si="801"/>
        <v>0</v>
      </c>
      <c r="AF1917" s="40">
        <f t="shared" si="801"/>
        <v>0</v>
      </c>
      <c r="AG1917" s="40">
        <f t="shared" si="801"/>
        <v>0</v>
      </c>
      <c r="AH1917" s="40">
        <f t="shared" si="801"/>
        <v>0</v>
      </c>
      <c r="AI1917" s="40">
        <f t="shared" si="801"/>
        <v>0</v>
      </c>
      <c r="AJ1917" s="40">
        <f t="shared" si="801"/>
        <v>0</v>
      </c>
      <c r="AK1917" s="40">
        <f t="shared" si="801"/>
        <v>0</v>
      </c>
      <c r="AL1917" s="40">
        <f t="shared" si="801"/>
        <v>0</v>
      </c>
      <c r="AM1917" s="40">
        <f t="shared" si="801"/>
        <v>0</v>
      </c>
      <c r="AN1917" s="40">
        <f t="shared" si="801"/>
        <v>0</v>
      </c>
      <c r="AO1917" s="40">
        <f t="shared" si="801"/>
        <v>0</v>
      </c>
      <c r="AP1917" s="40">
        <f t="shared" si="801"/>
        <v>0</v>
      </c>
      <c r="AQ1917" s="40">
        <f t="shared" si="801"/>
        <v>0</v>
      </c>
      <c r="AR1917" s="40">
        <f t="shared" si="801"/>
        <v>0</v>
      </c>
      <c r="AS1917" s="40">
        <f t="shared" si="801"/>
        <v>0</v>
      </c>
      <c r="AT1917" s="40">
        <f t="shared" si="801"/>
        <v>0</v>
      </c>
      <c r="AU1917" s="40">
        <f t="shared" si="801"/>
        <v>0</v>
      </c>
      <c r="AV1917" s="317">
        <f t="shared" ref="AV1917:BC1917" si="802">SUM(AV1918:AV1919)</f>
        <v>2.06E-2</v>
      </c>
      <c r="AW1917" s="317">
        <f t="shared" si="802"/>
        <v>0</v>
      </c>
      <c r="AX1917" s="317">
        <f t="shared" si="802"/>
        <v>0</v>
      </c>
      <c r="AY1917" s="317">
        <f t="shared" si="802"/>
        <v>0.47399999999999998</v>
      </c>
      <c r="AZ1917" s="40">
        <f t="shared" si="802"/>
        <v>0</v>
      </c>
      <c r="BA1917" s="40">
        <f t="shared" si="802"/>
        <v>0</v>
      </c>
      <c r="BB1917" s="40">
        <f t="shared" si="802"/>
        <v>0</v>
      </c>
      <c r="BC1917" s="40">
        <f t="shared" si="802"/>
        <v>0</v>
      </c>
      <c r="BD1917" s="40">
        <f t="shared" si="801"/>
        <v>0</v>
      </c>
      <c r="BE1917" s="40">
        <f t="shared" si="801"/>
        <v>0</v>
      </c>
      <c r="BF1917" s="40">
        <f t="shared" si="801"/>
        <v>0</v>
      </c>
      <c r="BG1917" s="40"/>
      <c r="BH1917" s="40"/>
      <c r="BI1917" s="40"/>
      <c r="BJ1917" s="40"/>
      <c r="BK1917" s="40"/>
      <c r="BL1917" s="62">
        <f>BL1918</f>
        <v>0</v>
      </c>
      <c r="BM1917" s="275">
        <f>BM1918</f>
        <v>3</v>
      </c>
      <c r="BN1917" s="62">
        <v>0.03</v>
      </c>
      <c r="BO1917" s="33" t="str">
        <f>BO1918</f>
        <v>NMD Drainbuis, PP450 vezels</v>
      </c>
    </row>
    <row r="1918" spans="1:68">
      <c r="A1918" s="33" t="str">
        <f>Database_Productkaarten[[#This Row],[Product]]&amp;", "&amp;Database_Productkaarten[[#This Row],[Levensfase]]</f>
        <v>PP Drainbuis 125 mm, D1</v>
      </c>
      <c r="B1918" s="33" t="s">
        <v>715</v>
      </c>
      <c r="C1918" s="33" t="s">
        <v>246</v>
      </c>
      <c r="D1918" s="33" t="s">
        <v>716</v>
      </c>
      <c r="E1918" s="33" t="s">
        <v>389</v>
      </c>
      <c r="F1918" s="33" t="s">
        <v>87</v>
      </c>
      <c r="G1918" s="33">
        <v>1</v>
      </c>
      <c r="J1918" s="33">
        <v>0.125</v>
      </c>
      <c r="L1918" s="33">
        <v>0.91</v>
      </c>
      <c r="M1918" s="269"/>
      <c r="N1918" s="41">
        <v>6.3489999999999998E-4</v>
      </c>
      <c r="O1918" s="33">
        <v>15</v>
      </c>
      <c r="R1918" s="33">
        <v>-4.8599999999999997E-2</v>
      </c>
      <c r="AV1918" s="317">
        <v>2.06E-2</v>
      </c>
      <c r="AW1918" s="314"/>
      <c r="AX1918" s="314"/>
      <c r="AY1918" s="317">
        <v>0.47399999999999998</v>
      </c>
      <c r="BL1918" s="62">
        <v>0</v>
      </c>
      <c r="BM1918" s="275">
        <v>3</v>
      </c>
      <c r="BN1918" s="62">
        <v>0.03</v>
      </c>
      <c r="BO1918" s="33" t="s">
        <v>717</v>
      </c>
    </row>
    <row r="1919" spans="1:68">
      <c r="A1919" s="33" t="str">
        <f>Database_Productkaarten[[#This Row],[Product]]&amp;", "&amp;Database_Productkaarten[[#This Row],[Levensfase]]</f>
        <v>PP Drainbuis 125 mm, D2</v>
      </c>
      <c r="B1919" s="33" t="s">
        <v>715</v>
      </c>
      <c r="C1919" s="33" t="s">
        <v>246</v>
      </c>
      <c r="D1919" s="33" t="s">
        <v>716</v>
      </c>
      <c r="E1919" s="33" t="s">
        <v>389</v>
      </c>
      <c r="F1919" s="33" t="s">
        <v>88</v>
      </c>
      <c r="G1919" s="33">
        <v>1</v>
      </c>
      <c r="J1919" s="33">
        <v>0.125</v>
      </c>
      <c r="L1919" s="33">
        <v>0.91</v>
      </c>
      <c r="M1919" s="269"/>
      <c r="N1919" s="41"/>
      <c r="O1919" s="33">
        <v>15</v>
      </c>
      <c r="AV1919" s="316"/>
      <c r="AW1919" s="314"/>
      <c r="AX1919" s="314"/>
      <c r="AY1919" s="316"/>
      <c r="BL1919" s="62">
        <v>0</v>
      </c>
      <c r="BM1919" s="275">
        <v>3</v>
      </c>
      <c r="BN1919" s="62">
        <v>0.03</v>
      </c>
      <c r="BO1919" s="33" t="s">
        <v>717</v>
      </c>
    </row>
    <row r="1920" spans="1:68">
      <c r="A1920" s="33" t="str">
        <f>Database_Productkaarten[[#This Row],[Product]]&amp;", "&amp;Database_Productkaarten[[#This Row],[Levensfase]]</f>
        <v>Rioolbuis PE 160 mm, Totaal</v>
      </c>
      <c r="B1920" s="33" t="s">
        <v>718</v>
      </c>
      <c r="C1920" s="33" t="s">
        <v>246</v>
      </c>
      <c r="D1920" s="33" t="s">
        <v>719</v>
      </c>
      <c r="E1920" s="33" t="s">
        <v>389</v>
      </c>
      <c r="F1920" s="33" t="s">
        <v>90</v>
      </c>
      <c r="G1920" s="33">
        <v>1</v>
      </c>
      <c r="J1920" s="33">
        <v>0.16</v>
      </c>
      <c r="K1920" s="33">
        <v>1.2500000000000001E-2</v>
      </c>
      <c r="M1920" s="361">
        <v>1.6999999999999999E-3</v>
      </c>
      <c r="N1920" s="41"/>
      <c r="O1920" s="33">
        <v>50</v>
      </c>
      <c r="P1920" s="40"/>
      <c r="Q1920" s="40"/>
      <c r="R1920" s="40"/>
      <c r="S1920" s="40"/>
      <c r="T1920" s="40"/>
      <c r="U1920" s="40"/>
      <c r="V1920" s="40"/>
      <c r="W1920" s="40"/>
      <c r="X1920" s="40"/>
      <c r="Y1920" s="40"/>
      <c r="Z1920" s="40"/>
      <c r="AA1920" s="40"/>
      <c r="AB1920" s="40"/>
      <c r="AC1920" s="40"/>
      <c r="AD1920" s="40"/>
      <c r="AE1920" s="40"/>
      <c r="AF1920" s="40"/>
      <c r="AG1920" s="40"/>
      <c r="AH1920" s="40"/>
      <c r="AI1920" s="40"/>
      <c r="AJ1920" s="40"/>
      <c r="AK1920" s="40"/>
      <c r="AL1920" s="40"/>
      <c r="AM1920" s="40"/>
      <c r="AN1920" s="40"/>
      <c r="AO1920" s="40"/>
      <c r="AP1920" s="40"/>
      <c r="AQ1920" s="40"/>
      <c r="AR1920" s="40"/>
      <c r="AS1920" s="40"/>
      <c r="AT1920" s="40"/>
      <c r="AU1920" s="40"/>
      <c r="AV1920" s="108"/>
      <c r="AW1920" s="40"/>
      <c r="AX1920" s="40"/>
      <c r="AY1920" s="108"/>
      <c r="AZ1920" s="40"/>
      <c r="BA1920" s="40"/>
      <c r="BB1920" s="40"/>
      <c r="BC1920" s="40"/>
      <c r="BD1920" s="40"/>
      <c r="BE1920" s="40"/>
      <c r="BF1920" s="40"/>
      <c r="BG1920" s="40"/>
      <c r="BH1920" s="40"/>
      <c r="BI1920" s="40"/>
      <c r="BJ1920" s="40"/>
      <c r="BK1920" s="40"/>
      <c r="BL1920" s="62">
        <v>0</v>
      </c>
      <c r="BM1920" s="275">
        <v>3</v>
      </c>
      <c r="BN1920" s="62">
        <v>0.03</v>
      </c>
      <c r="BO1920" s="33" t="s">
        <v>720</v>
      </c>
    </row>
    <row r="1921" spans="1:67">
      <c r="A1921" s="33" t="str">
        <f>Database_Productkaarten[[#This Row],[Product]]&amp;", "&amp;Database_Productkaarten[[#This Row],[Levensfase]]</f>
        <v>Rioolbuis PE 160 mm, A1</v>
      </c>
      <c r="B1921" s="33" t="s">
        <v>718</v>
      </c>
      <c r="C1921" s="33" t="s">
        <v>246</v>
      </c>
      <c r="D1921" s="33" t="s">
        <v>719</v>
      </c>
      <c r="E1921" s="33" t="s">
        <v>389</v>
      </c>
      <c r="F1921" s="33" t="s">
        <v>74</v>
      </c>
      <c r="G1921" s="33">
        <v>1</v>
      </c>
      <c r="J1921" s="33">
        <v>0.16</v>
      </c>
      <c r="K1921" s="33">
        <v>1.2500000000000001E-2</v>
      </c>
      <c r="M1921" s="361">
        <v>1.6999999999999999E-3</v>
      </c>
      <c r="N1921" s="41"/>
      <c r="O1921" s="33">
        <v>50</v>
      </c>
      <c r="P1921" s="163"/>
      <c r="Q1921" s="163"/>
      <c r="R1921" s="163"/>
      <c r="S1921" s="163"/>
      <c r="T1921" s="163"/>
      <c r="U1921" s="163"/>
      <c r="V1921" s="163"/>
      <c r="W1921" s="163"/>
      <c r="X1921" s="163"/>
      <c r="Y1921" s="163"/>
      <c r="Z1921" s="163"/>
      <c r="AA1921" s="163"/>
      <c r="AB1921" s="163"/>
      <c r="AC1921" s="163"/>
      <c r="AD1921" s="163"/>
      <c r="AE1921" s="163"/>
      <c r="AF1921" s="163"/>
      <c r="AG1921" s="40"/>
      <c r="AH1921" s="40"/>
      <c r="AI1921" s="40"/>
      <c r="AJ1921" s="40"/>
      <c r="AK1921" s="40"/>
      <c r="AL1921" s="40"/>
      <c r="AM1921" s="40"/>
      <c r="AN1921" s="40"/>
      <c r="AO1921" s="40"/>
      <c r="AP1921" s="40"/>
      <c r="AQ1921" s="40"/>
      <c r="AR1921" s="40"/>
      <c r="AS1921" s="40"/>
      <c r="AT1921" s="40"/>
      <c r="AU1921" s="40"/>
      <c r="AV1921" s="108"/>
      <c r="AW1921" s="40"/>
      <c r="AX1921" s="40"/>
      <c r="AY1921" s="108"/>
      <c r="AZ1921" s="40"/>
      <c r="BA1921" s="40"/>
      <c r="BB1921" s="40"/>
      <c r="BC1921" s="40"/>
      <c r="BD1921" s="40"/>
      <c r="BE1921" s="40"/>
      <c r="BF1921" s="40"/>
      <c r="BG1921" s="40"/>
      <c r="BH1921" s="40"/>
      <c r="BI1921" s="40"/>
      <c r="BJ1921" s="40"/>
      <c r="BK1921" s="40"/>
      <c r="BL1921" s="62">
        <v>0</v>
      </c>
      <c r="BM1921" s="275">
        <v>3</v>
      </c>
      <c r="BN1921" s="62">
        <v>0.03</v>
      </c>
      <c r="BO1921" s="33" t="s">
        <v>720</v>
      </c>
    </row>
    <row r="1922" spans="1:67">
      <c r="A1922" s="33" t="str">
        <f>Database_Productkaarten[[#This Row],[Product]]&amp;", "&amp;Database_Productkaarten[[#This Row],[Levensfase]]</f>
        <v>Rioolbuis PE 160 mm, A2</v>
      </c>
      <c r="B1922" s="33" t="s">
        <v>718</v>
      </c>
      <c r="C1922" s="33" t="s">
        <v>246</v>
      </c>
      <c r="D1922" s="33" t="s">
        <v>719</v>
      </c>
      <c r="E1922" s="33" t="s">
        <v>389</v>
      </c>
      <c r="F1922" s="33" t="s">
        <v>75</v>
      </c>
      <c r="G1922" s="33">
        <v>1</v>
      </c>
      <c r="J1922" s="33">
        <v>0.16</v>
      </c>
      <c r="K1922" s="33">
        <v>1.2500000000000001E-2</v>
      </c>
      <c r="M1922" s="361">
        <v>1.6999999999999999E-3</v>
      </c>
      <c r="N1922" s="41"/>
      <c r="O1922" s="33">
        <v>50</v>
      </c>
      <c r="P1922" s="163"/>
      <c r="Q1922" s="163"/>
      <c r="R1922" s="163"/>
      <c r="S1922" s="163"/>
      <c r="T1922" s="163"/>
      <c r="U1922" s="163"/>
      <c r="V1922" s="163"/>
      <c r="W1922" s="163"/>
      <c r="X1922" s="163"/>
      <c r="Y1922" s="163"/>
      <c r="Z1922" s="163"/>
      <c r="AA1922" s="163"/>
      <c r="AB1922" s="163"/>
      <c r="AC1922" s="163"/>
      <c r="AD1922" s="163"/>
      <c r="AE1922" s="163"/>
      <c r="AF1922" s="163"/>
      <c r="AG1922" s="40"/>
      <c r="AH1922" s="40"/>
      <c r="AI1922" s="40"/>
      <c r="AJ1922" s="40"/>
      <c r="AK1922" s="40"/>
      <c r="AL1922" s="40"/>
      <c r="AM1922" s="40"/>
      <c r="AN1922" s="40"/>
      <c r="AO1922" s="40"/>
      <c r="AP1922" s="40"/>
      <c r="AQ1922" s="40"/>
      <c r="AR1922" s="40"/>
      <c r="AS1922" s="40"/>
      <c r="AT1922" s="40"/>
      <c r="AU1922" s="40"/>
      <c r="AV1922" s="108"/>
      <c r="AW1922" s="40"/>
      <c r="AX1922" s="40"/>
      <c r="AY1922" s="108"/>
      <c r="AZ1922" s="40"/>
      <c r="BA1922" s="40"/>
      <c r="BB1922" s="40"/>
      <c r="BC1922" s="40"/>
      <c r="BD1922" s="40"/>
      <c r="BE1922" s="40"/>
      <c r="BF1922" s="40"/>
      <c r="BG1922" s="40"/>
      <c r="BH1922" s="40"/>
      <c r="BI1922" s="40"/>
      <c r="BJ1922" s="40"/>
      <c r="BK1922" s="40"/>
      <c r="BL1922" s="62">
        <v>0</v>
      </c>
      <c r="BM1922" s="275">
        <v>3</v>
      </c>
      <c r="BN1922" s="62">
        <v>0.03</v>
      </c>
      <c r="BO1922" s="33" t="s">
        <v>720</v>
      </c>
    </row>
    <row r="1923" spans="1:67">
      <c r="A1923" s="33" t="str">
        <f>Database_Productkaarten[[#This Row],[Product]]&amp;", "&amp;Database_Productkaarten[[#This Row],[Levensfase]]</f>
        <v>Rioolbuis PE 160 mm, A3</v>
      </c>
      <c r="B1923" s="33" t="s">
        <v>718</v>
      </c>
      <c r="C1923" s="33" t="s">
        <v>246</v>
      </c>
      <c r="D1923" s="33" t="s">
        <v>719</v>
      </c>
      <c r="E1923" s="33" t="s">
        <v>389</v>
      </c>
      <c r="F1923" s="33" t="s">
        <v>76</v>
      </c>
      <c r="G1923" s="33">
        <v>1</v>
      </c>
      <c r="J1923" s="33">
        <v>0.16</v>
      </c>
      <c r="K1923" s="33">
        <v>1.2500000000000001E-2</v>
      </c>
      <c r="M1923" s="361">
        <v>1.6999999999999999E-3</v>
      </c>
      <c r="N1923" s="41"/>
      <c r="O1923" s="33">
        <v>50</v>
      </c>
      <c r="P1923" s="163"/>
      <c r="Q1923" s="163"/>
      <c r="R1923" s="163"/>
      <c r="S1923" s="163"/>
      <c r="T1923" s="163"/>
      <c r="U1923" s="163"/>
      <c r="V1923" s="163"/>
      <c r="W1923" s="163"/>
      <c r="X1923" s="163"/>
      <c r="Y1923" s="163"/>
      <c r="Z1923" s="163"/>
      <c r="AA1923" s="163"/>
      <c r="AB1923" s="163"/>
      <c r="AC1923" s="163"/>
      <c r="AD1923" s="163"/>
      <c r="AE1923" s="163"/>
      <c r="AF1923" s="163"/>
      <c r="AG1923" s="40"/>
      <c r="AH1923" s="40"/>
      <c r="AI1923" s="40"/>
      <c r="AJ1923" s="40"/>
      <c r="AK1923" s="40"/>
      <c r="AL1923" s="40"/>
      <c r="AM1923" s="40"/>
      <c r="AN1923" s="40"/>
      <c r="AO1923" s="40"/>
      <c r="AP1923" s="40"/>
      <c r="AQ1923" s="40"/>
      <c r="AR1923" s="40"/>
      <c r="AS1923" s="40"/>
      <c r="AT1923" s="40"/>
      <c r="AU1923" s="40"/>
      <c r="AV1923" s="108"/>
      <c r="AW1923" s="40"/>
      <c r="AX1923" s="40"/>
      <c r="AY1923" s="108"/>
      <c r="AZ1923" s="40"/>
      <c r="BA1923" s="40"/>
      <c r="BB1923" s="40"/>
      <c r="BC1923" s="40"/>
      <c r="BD1923" s="40"/>
      <c r="BE1923" s="40"/>
      <c r="BF1923" s="40"/>
      <c r="BG1923" s="40"/>
      <c r="BH1923" s="40"/>
      <c r="BI1923" s="40"/>
      <c r="BJ1923" s="40"/>
      <c r="BK1923" s="40"/>
      <c r="BL1923" s="62">
        <v>0</v>
      </c>
      <c r="BM1923" s="275">
        <v>3</v>
      </c>
      <c r="BN1923" s="62">
        <v>0.03</v>
      </c>
      <c r="BO1923" s="33" t="s">
        <v>720</v>
      </c>
    </row>
    <row r="1924" spans="1:67">
      <c r="A1924" s="33" t="str">
        <f>Database_Productkaarten[[#This Row],[Product]]&amp;", "&amp;Database_Productkaarten[[#This Row],[Levensfase]]</f>
        <v>Rioolbuis PE 160 mm, A1-A3</v>
      </c>
      <c r="B1924" s="33" t="s">
        <v>718</v>
      </c>
      <c r="C1924" s="33" t="s">
        <v>246</v>
      </c>
      <c r="D1924" s="33" t="s">
        <v>719</v>
      </c>
      <c r="E1924" s="33" t="s">
        <v>389</v>
      </c>
      <c r="F1924" s="451" t="s">
        <v>77</v>
      </c>
      <c r="G1924" s="33">
        <v>1</v>
      </c>
      <c r="J1924" s="33">
        <v>0.16</v>
      </c>
      <c r="K1924" s="33">
        <v>1.2500000000000001E-2</v>
      </c>
      <c r="M1924" s="361">
        <v>1.6999999999999999E-3</v>
      </c>
      <c r="N1924">
        <v>0.35462314400000006</v>
      </c>
      <c r="O1924" s="33">
        <v>50</v>
      </c>
      <c r="P1924" s="163">
        <v>1.55E-6</v>
      </c>
      <c r="Q1924" s="163">
        <v>6.3E-2</v>
      </c>
      <c r="R1924" s="163">
        <v>4.3</v>
      </c>
      <c r="S1924" s="163">
        <v>6.3199999999999997E-8</v>
      </c>
      <c r="T1924" s="163">
        <v>4.8799999999999998E-3</v>
      </c>
      <c r="U1924" s="163">
        <v>1.5699999999999999E-2</v>
      </c>
      <c r="V1924" s="163">
        <v>1.31E-3</v>
      </c>
      <c r="W1924" s="163">
        <v>0.45600000000000002</v>
      </c>
      <c r="X1924" s="163">
        <v>1.17E-2</v>
      </c>
      <c r="Y1924" s="163">
        <v>36.799999999999997</v>
      </c>
      <c r="Z1924" s="163">
        <v>2E-3</v>
      </c>
      <c r="AA1924" s="40"/>
      <c r="AB1924" s="40"/>
      <c r="AC1924" s="40"/>
      <c r="AD1924" s="40"/>
      <c r="AE1924" s="40"/>
      <c r="AF1924" s="40"/>
      <c r="AG1924" s="40"/>
      <c r="AH1924" s="40"/>
      <c r="AI1924" s="40"/>
      <c r="AJ1924" s="40"/>
      <c r="AK1924" s="40"/>
      <c r="AL1924" s="40"/>
      <c r="AM1924" s="40"/>
      <c r="AN1924" s="40"/>
      <c r="AO1924" s="40"/>
      <c r="AP1924" s="40"/>
      <c r="AQ1924" s="40"/>
      <c r="AR1924" s="40"/>
      <c r="AS1924" s="40"/>
      <c r="AT1924" s="40"/>
      <c r="AU1924" s="40"/>
      <c r="AV1924" s="163">
        <v>3.83</v>
      </c>
      <c r="AW1924" s="40"/>
      <c r="AX1924" s="40"/>
      <c r="AY1924" s="281">
        <v>143</v>
      </c>
      <c r="AZ1924" s="40"/>
      <c r="BA1924" s="40"/>
      <c r="BB1924" s="40"/>
      <c r="BC1924" s="40">
        <v>3.9899999999999998E-2</v>
      </c>
      <c r="BD1924" s="40">
        <v>1.5500000000000001E-5</v>
      </c>
      <c r="BE1924" s="163">
        <v>0.20100000000000001</v>
      </c>
      <c r="BF1924" s="163">
        <v>5.0599999999999997E-5</v>
      </c>
      <c r="BG1924" s="40"/>
      <c r="BH1924" s="40"/>
      <c r="BI1924" s="40"/>
      <c r="BJ1924" s="40"/>
      <c r="BK1924" s="40"/>
      <c r="BL1924" s="62">
        <v>0</v>
      </c>
      <c r="BM1924" s="275">
        <v>3</v>
      </c>
      <c r="BN1924" s="62">
        <v>0.03</v>
      </c>
      <c r="BO1924" s="33" t="s">
        <v>720</v>
      </c>
    </row>
    <row r="1925" spans="1:67">
      <c r="A1925" s="33" t="str">
        <f>Database_Productkaarten[[#This Row],[Product]]&amp;", "&amp;Database_Productkaarten[[#This Row],[Levensfase]]</f>
        <v>Rioolbuis PE 160 mm, A4</v>
      </c>
      <c r="B1925" s="33" t="s">
        <v>718</v>
      </c>
      <c r="C1925" s="33" t="s">
        <v>246</v>
      </c>
      <c r="D1925" s="33" t="s">
        <v>719</v>
      </c>
      <c r="E1925" s="33" t="s">
        <v>389</v>
      </c>
      <c r="F1925" s="33" t="s">
        <v>78</v>
      </c>
      <c r="G1925" s="33">
        <v>1</v>
      </c>
      <c r="J1925" s="33">
        <v>0.16</v>
      </c>
      <c r="K1925" s="33">
        <v>1.2500000000000001E-2</v>
      </c>
      <c r="M1925" s="361">
        <v>1.6999999999999999E-3</v>
      </c>
      <c r="N1925">
        <v>2.415285024E-3</v>
      </c>
      <c r="O1925" s="33">
        <v>50</v>
      </c>
      <c r="P1925" s="163">
        <v>4.14E-8</v>
      </c>
      <c r="Q1925" s="163">
        <v>1.63E-4</v>
      </c>
      <c r="R1925" s="163">
        <v>2.1499999999999998E-2</v>
      </c>
      <c r="S1925" s="163">
        <v>4.2800000000000001E-9</v>
      </c>
      <c r="T1925" s="163">
        <v>1.36E-5</v>
      </c>
      <c r="U1925" s="163">
        <v>7.86E-5</v>
      </c>
      <c r="V1925" s="163">
        <v>1.5999999999999999E-5</v>
      </c>
      <c r="W1925" s="163">
        <v>7.5900000000000004E-3</v>
      </c>
      <c r="X1925" s="163">
        <v>4.8899999999999996E-4</v>
      </c>
      <c r="Y1925" s="163">
        <v>1.28</v>
      </c>
      <c r="Z1925" s="163">
        <v>4.5000000000000003E-5</v>
      </c>
      <c r="AA1925" s="40"/>
      <c r="AB1925" s="40"/>
      <c r="AC1925" s="40"/>
      <c r="AD1925" s="40"/>
      <c r="AE1925" s="40"/>
      <c r="AF1925" s="40"/>
      <c r="AG1925" s="40"/>
      <c r="AH1925" s="40"/>
      <c r="AI1925" s="40"/>
      <c r="AJ1925" s="40"/>
      <c r="AK1925" s="40"/>
      <c r="AL1925" s="40"/>
      <c r="AM1925" s="40"/>
      <c r="AN1925" s="40"/>
      <c r="AO1925" s="40"/>
      <c r="AP1925" s="40"/>
      <c r="AQ1925" s="40"/>
      <c r="AR1925" s="40"/>
      <c r="AS1925" s="40"/>
      <c r="AT1925" s="40"/>
      <c r="AU1925" s="40"/>
      <c r="AV1925" s="163">
        <v>5.8300000000000001E-3</v>
      </c>
      <c r="AW1925" s="40"/>
      <c r="AX1925" s="40"/>
      <c r="AY1925" s="281">
        <v>0.372</v>
      </c>
      <c r="AZ1925" s="40"/>
      <c r="BA1925" s="40"/>
      <c r="BB1925" s="40"/>
      <c r="BC1925" s="40">
        <v>7.5599999999999994E-5</v>
      </c>
      <c r="BD1925" s="40">
        <v>2.6400000000000001E-6</v>
      </c>
      <c r="BE1925" s="163">
        <v>3.0800000000000001E-2</v>
      </c>
      <c r="BF1925" s="163">
        <v>0</v>
      </c>
      <c r="BG1925" s="40"/>
      <c r="BH1925" s="40"/>
      <c r="BI1925" s="40"/>
      <c r="BJ1925" s="40"/>
      <c r="BK1925" s="40"/>
      <c r="BL1925" s="62">
        <v>0</v>
      </c>
      <c r="BM1925" s="275">
        <v>3</v>
      </c>
      <c r="BN1925" s="62">
        <v>0.03</v>
      </c>
      <c r="BO1925" s="33" t="s">
        <v>720</v>
      </c>
    </row>
    <row r="1926" spans="1:67">
      <c r="A1926" s="33" t="str">
        <f>Database_Productkaarten[[#This Row],[Product]]&amp;", "&amp;Database_Productkaarten[[#This Row],[Levensfase]]</f>
        <v>Rioolbuis PE 160 mm, A5</v>
      </c>
      <c r="B1926" s="33" t="s">
        <v>718</v>
      </c>
      <c r="C1926" s="33" t="s">
        <v>246</v>
      </c>
      <c r="D1926" s="33" t="s">
        <v>719</v>
      </c>
      <c r="E1926" s="33" t="s">
        <v>389</v>
      </c>
      <c r="F1926" s="33" t="s">
        <v>79</v>
      </c>
      <c r="G1926" s="33">
        <v>1</v>
      </c>
      <c r="J1926" s="33">
        <v>0.16</v>
      </c>
      <c r="K1926" s="33">
        <v>1.2500000000000001E-2</v>
      </c>
      <c r="M1926" s="361">
        <v>1.6999999999999999E-3</v>
      </c>
      <c r="N1926">
        <v>0.43218333879999993</v>
      </c>
      <c r="O1926" s="33">
        <v>50</v>
      </c>
      <c r="P1926" s="163">
        <v>2.1799999999999999E-6</v>
      </c>
      <c r="Q1926" s="163">
        <v>3.2899999999999999E-2</v>
      </c>
      <c r="R1926" s="163">
        <v>4.68</v>
      </c>
      <c r="S1926" s="163">
        <v>7.9299999999999997E-7</v>
      </c>
      <c r="T1926" s="163">
        <v>1.64E-3</v>
      </c>
      <c r="U1926" s="163">
        <v>1.38E-2</v>
      </c>
      <c r="V1926" s="163">
        <v>2.5899999999999999E-3</v>
      </c>
      <c r="W1926" s="163">
        <v>1.1399999999999999</v>
      </c>
      <c r="X1926" s="163">
        <v>2.2700000000000001E-2</v>
      </c>
      <c r="Y1926" s="163">
        <v>75.8</v>
      </c>
      <c r="Z1926" s="163">
        <v>4.0699999999999998E-3</v>
      </c>
      <c r="AA1926" s="40"/>
      <c r="AB1926" s="40"/>
      <c r="AC1926" s="40"/>
      <c r="AD1926" s="40"/>
      <c r="AE1926" s="40"/>
      <c r="AF1926" s="40"/>
      <c r="AG1926" s="40"/>
      <c r="AH1926" s="40"/>
      <c r="AI1926" s="40"/>
      <c r="AJ1926" s="40"/>
      <c r="AK1926" s="40"/>
      <c r="AL1926" s="40"/>
      <c r="AM1926" s="40"/>
      <c r="AN1926" s="40"/>
      <c r="AO1926" s="40"/>
      <c r="AP1926" s="40"/>
      <c r="AQ1926" s="40"/>
      <c r="AR1926" s="40"/>
      <c r="AS1926" s="40"/>
      <c r="AT1926" s="40"/>
      <c r="AU1926" s="40"/>
      <c r="AV1926" s="163">
        <v>0.62</v>
      </c>
      <c r="AW1926" s="40"/>
      <c r="AX1926" s="40"/>
      <c r="AY1926" s="281">
        <v>73.5</v>
      </c>
      <c r="AZ1926" s="40"/>
      <c r="BA1926" s="40"/>
      <c r="BB1926" s="40"/>
      <c r="BC1926" s="40">
        <v>7.7400000000000004E-3</v>
      </c>
      <c r="BD1926" s="40">
        <v>4.7899999999999999E-4</v>
      </c>
      <c r="BE1926" s="163">
        <v>0.123</v>
      </c>
      <c r="BF1926" s="163">
        <v>1.5200000000000001E-6</v>
      </c>
      <c r="BG1926" s="40"/>
      <c r="BH1926" s="40"/>
      <c r="BI1926" s="40"/>
      <c r="BJ1926" s="40"/>
      <c r="BK1926" s="40"/>
      <c r="BL1926" s="62">
        <v>0</v>
      </c>
      <c r="BM1926" s="275">
        <v>3</v>
      </c>
      <c r="BN1926" s="62">
        <v>0.03</v>
      </c>
      <c r="BO1926" s="33" t="s">
        <v>720</v>
      </c>
    </row>
    <row r="1927" spans="1:67">
      <c r="A1927" s="33" t="str">
        <f>Database_Productkaarten[[#This Row],[Product]]&amp;", "&amp;Database_Productkaarten[[#This Row],[Levensfase]]</f>
        <v>Rioolbuis PE 160 mm, B1</v>
      </c>
      <c r="B1927" s="33" t="s">
        <v>718</v>
      </c>
      <c r="C1927" s="33" t="s">
        <v>246</v>
      </c>
      <c r="D1927" s="33" t="s">
        <v>719</v>
      </c>
      <c r="E1927" s="33" t="s">
        <v>389</v>
      </c>
      <c r="F1927" s="33" t="s">
        <v>80</v>
      </c>
      <c r="G1927" s="33">
        <v>1</v>
      </c>
      <c r="J1927" s="33">
        <v>0.16</v>
      </c>
      <c r="K1927" s="33">
        <v>1.2500000000000001E-2</v>
      </c>
      <c r="M1927" s="361">
        <v>1.6999999999999999E-3</v>
      </c>
      <c r="N1927">
        <v>0</v>
      </c>
      <c r="O1927" s="33">
        <v>50</v>
      </c>
      <c r="P1927" s="163">
        <v>0</v>
      </c>
      <c r="Q1927" s="163">
        <v>0</v>
      </c>
      <c r="R1927" s="163">
        <v>0</v>
      </c>
      <c r="S1927" s="163">
        <v>0</v>
      </c>
      <c r="T1927" s="163">
        <v>0</v>
      </c>
      <c r="U1927" s="163">
        <v>0</v>
      </c>
      <c r="V1927" s="163">
        <v>0</v>
      </c>
      <c r="W1927" s="163">
        <v>0</v>
      </c>
      <c r="X1927" s="163">
        <v>0</v>
      </c>
      <c r="Y1927" s="163">
        <v>0</v>
      </c>
      <c r="Z1927" s="163">
        <v>0</v>
      </c>
      <c r="AA1927" s="40"/>
      <c r="AB1927" s="40"/>
      <c r="AC1927" s="40"/>
      <c r="AD1927" s="40"/>
      <c r="AE1927" s="40"/>
      <c r="AF1927" s="40"/>
      <c r="AG1927" s="40"/>
      <c r="AH1927" s="40"/>
      <c r="AI1927" s="40"/>
      <c r="AJ1927" s="40"/>
      <c r="AK1927" s="40"/>
      <c r="AL1927" s="40"/>
      <c r="AM1927" s="40"/>
      <c r="AN1927" s="40"/>
      <c r="AO1927" s="40"/>
      <c r="AP1927" s="40"/>
      <c r="AQ1927" s="40"/>
      <c r="AR1927" s="40"/>
      <c r="AS1927" s="40"/>
      <c r="AT1927" s="40"/>
      <c r="AU1927" s="40"/>
      <c r="AV1927" s="163">
        <v>0</v>
      </c>
      <c r="AW1927" s="40"/>
      <c r="AX1927" s="40"/>
      <c r="AY1927" s="281">
        <v>0</v>
      </c>
      <c r="AZ1927" s="40"/>
      <c r="BA1927" s="40"/>
      <c r="BB1927" s="40"/>
      <c r="BC1927" s="40">
        <v>0</v>
      </c>
      <c r="BD1927" s="40">
        <v>0</v>
      </c>
      <c r="BE1927" s="163">
        <v>0</v>
      </c>
      <c r="BF1927" s="163">
        <v>0</v>
      </c>
      <c r="BG1927" s="40"/>
      <c r="BH1927" s="40"/>
      <c r="BI1927" s="40"/>
      <c r="BJ1927" s="40"/>
      <c r="BK1927" s="40"/>
      <c r="BL1927" s="62">
        <v>0</v>
      </c>
      <c r="BM1927" s="275">
        <v>3</v>
      </c>
      <c r="BN1927" s="62">
        <v>0.03</v>
      </c>
      <c r="BO1927" s="33" t="s">
        <v>720</v>
      </c>
    </row>
    <row r="1928" spans="1:67">
      <c r="A1928" s="33" t="str">
        <f>Database_Productkaarten[[#This Row],[Product]]&amp;", "&amp;Database_Productkaarten[[#This Row],[Levensfase]]</f>
        <v>Rioolbuis PE 160 mm, C1</v>
      </c>
      <c r="B1928" s="33" t="s">
        <v>718</v>
      </c>
      <c r="C1928" s="33" t="s">
        <v>246</v>
      </c>
      <c r="D1928" s="33" t="s">
        <v>719</v>
      </c>
      <c r="E1928" s="33" t="s">
        <v>389</v>
      </c>
      <c r="F1928" s="33" t="s">
        <v>83</v>
      </c>
      <c r="G1928" s="33">
        <v>1</v>
      </c>
      <c r="J1928" s="33">
        <v>0.16</v>
      </c>
      <c r="K1928" s="33">
        <v>1.2500000000000001E-2</v>
      </c>
      <c r="M1928" s="361">
        <v>1.6999999999999999E-3</v>
      </c>
      <c r="N1928">
        <v>1.2859343384000001E-2</v>
      </c>
      <c r="O1928" s="33">
        <v>50</v>
      </c>
      <c r="P1928" s="163">
        <v>6.4900000000000005E-8</v>
      </c>
      <c r="Q1928" s="163">
        <v>9.4700000000000003E-4</v>
      </c>
      <c r="R1928" s="163">
        <v>0.13900000000000001</v>
      </c>
      <c r="S1928" s="163">
        <v>2.4100000000000001E-8</v>
      </c>
      <c r="T1928" s="163">
        <v>4.5599999999999997E-5</v>
      </c>
      <c r="U1928" s="163">
        <v>4.06E-4</v>
      </c>
      <c r="V1928" s="163">
        <v>7.7799999999999994E-5</v>
      </c>
      <c r="W1928" s="163">
        <v>3.4299999999999997E-2</v>
      </c>
      <c r="X1928" s="163">
        <v>6.7900000000000002E-4</v>
      </c>
      <c r="Y1928" s="163">
        <v>2.27</v>
      </c>
      <c r="Z1928" s="163">
        <v>1.22E-4</v>
      </c>
      <c r="AA1928" s="40"/>
      <c r="AB1928" s="40"/>
      <c r="AC1928" s="40"/>
      <c r="AD1928" s="40"/>
      <c r="AE1928" s="40"/>
      <c r="AF1928" s="40"/>
      <c r="AG1928" s="40"/>
      <c r="AH1928" s="40"/>
      <c r="AI1928" s="40"/>
      <c r="AJ1928" s="40"/>
      <c r="AK1928" s="40"/>
      <c r="AL1928" s="40"/>
      <c r="AM1928" s="40"/>
      <c r="AN1928" s="40"/>
      <c r="AO1928" s="40"/>
      <c r="AP1928" s="40"/>
      <c r="AQ1928" s="40"/>
      <c r="AR1928" s="40"/>
      <c r="AS1928" s="40"/>
      <c r="AT1928" s="40"/>
      <c r="AU1928" s="40"/>
      <c r="AV1928" s="163">
        <v>1.54E-2</v>
      </c>
      <c r="AW1928" s="40"/>
      <c r="AX1928" s="40"/>
      <c r="AY1928" s="281">
        <v>2.11</v>
      </c>
      <c r="AZ1928" s="40"/>
      <c r="BA1928" s="40"/>
      <c r="BB1928" s="40"/>
      <c r="BC1928" s="40">
        <v>2.0000000000000001E-4</v>
      </c>
      <c r="BD1928" s="40">
        <v>1.4600000000000001E-5</v>
      </c>
      <c r="BE1928" s="163">
        <v>3.5500000000000002E-3</v>
      </c>
      <c r="BF1928" s="163">
        <v>0</v>
      </c>
      <c r="BG1928" s="40"/>
      <c r="BH1928" s="40"/>
      <c r="BI1928" s="40"/>
      <c r="BJ1928" s="40"/>
      <c r="BK1928" s="40"/>
      <c r="BL1928" s="62">
        <v>0</v>
      </c>
      <c r="BM1928" s="275">
        <v>3</v>
      </c>
      <c r="BN1928" s="62">
        <v>0.03</v>
      </c>
      <c r="BO1928" s="33" t="s">
        <v>720</v>
      </c>
    </row>
    <row r="1929" spans="1:67">
      <c r="A1929" s="33" t="str">
        <f>Database_Productkaarten[[#This Row],[Product]]&amp;", "&amp;Database_Productkaarten[[#This Row],[Levensfase]]</f>
        <v>Rioolbuis PE 160 mm, C2</v>
      </c>
      <c r="B1929" s="33" t="s">
        <v>718</v>
      </c>
      <c r="C1929" s="33" t="s">
        <v>246</v>
      </c>
      <c r="D1929" s="33" t="s">
        <v>719</v>
      </c>
      <c r="E1929" s="33" t="s">
        <v>389</v>
      </c>
      <c r="F1929" s="33" t="s">
        <v>84</v>
      </c>
      <c r="G1929" s="33">
        <v>1</v>
      </c>
      <c r="J1929" s="33">
        <v>0.16</v>
      </c>
      <c r="K1929" s="33">
        <v>1.2500000000000001E-2</v>
      </c>
      <c r="M1929" s="361">
        <v>1.6999999999999999E-3</v>
      </c>
      <c r="N1929">
        <v>8.0576910799999991E-5</v>
      </c>
      <c r="O1929" s="33">
        <v>50</v>
      </c>
      <c r="P1929" s="163">
        <v>1.38E-9</v>
      </c>
      <c r="Q1929" s="163">
        <v>5.4399999999999996E-6</v>
      </c>
      <c r="R1929" s="163">
        <v>7.18E-4</v>
      </c>
      <c r="S1929" s="163">
        <v>1.43E-10</v>
      </c>
      <c r="T1929" s="163">
        <v>4.5299999999999999E-7</v>
      </c>
      <c r="U1929" s="163">
        <v>2.6199999999999999E-6</v>
      </c>
      <c r="V1929" s="163">
        <v>5.3300000000000002E-7</v>
      </c>
      <c r="W1929" s="163">
        <v>2.5300000000000002E-4</v>
      </c>
      <c r="X1929" s="163">
        <v>1.63E-5</v>
      </c>
      <c r="Y1929" s="163">
        <v>4.2700000000000002E-2</v>
      </c>
      <c r="Z1929" s="163">
        <v>1.5E-6</v>
      </c>
      <c r="AA1929" s="40"/>
      <c r="AB1929" s="40"/>
      <c r="AC1929" s="40"/>
      <c r="AD1929" s="40"/>
      <c r="AE1929" s="40"/>
      <c r="AF1929" s="40"/>
      <c r="AG1929" s="40"/>
      <c r="AH1929" s="40"/>
      <c r="AI1929" s="40"/>
      <c r="AJ1929" s="40"/>
      <c r="AK1929" s="40"/>
      <c r="AL1929" s="40"/>
      <c r="AM1929" s="40"/>
      <c r="AN1929" s="40"/>
      <c r="AO1929" s="40"/>
      <c r="AP1929" s="40"/>
      <c r="AQ1929" s="40"/>
      <c r="AR1929" s="40"/>
      <c r="AS1929" s="40"/>
      <c r="AT1929" s="40"/>
      <c r="AU1929" s="40"/>
      <c r="AV1929" s="163">
        <v>1.94E-4</v>
      </c>
      <c r="AW1929" s="40"/>
      <c r="AX1929" s="40"/>
      <c r="AY1929" s="281">
        <v>1.24E-2</v>
      </c>
      <c r="AZ1929" s="40"/>
      <c r="BA1929" s="40"/>
      <c r="BB1929" s="40"/>
      <c r="BC1929" s="40">
        <v>2.52E-6</v>
      </c>
      <c r="BD1929" s="40">
        <v>8.7999999999999994E-8</v>
      </c>
      <c r="BE1929" s="163">
        <v>1.0300000000000001E-3</v>
      </c>
      <c r="BF1929" s="163">
        <v>0</v>
      </c>
      <c r="BG1929" s="40"/>
      <c r="BH1929" s="40"/>
      <c r="BI1929" s="40"/>
      <c r="BJ1929" s="40"/>
      <c r="BK1929" s="40"/>
      <c r="BL1929" s="62">
        <v>0</v>
      </c>
      <c r="BM1929" s="275">
        <v>3</v>
      </c>
      <c r="BN1929" s="62">
        <v>0.03</v>
      </c>
      <c r="BO1929" s="33" t="s">
        <v>720</v>
      </c>
    </row>
    <row r="1930" spans="1:67">
      <c r="A1930" s="33" t="str">
        <f>Database_Productkaarten[[#This Row],[Product]]&amp;", "&amp;Database_Productkaarten[[#This Row],[Levensfase]]</f>
        <v>Rioolbuis PE 160 mm, C3</v>
      </c>
      <c r="B1930" s="33" t="s">
        <v>718</v>
      </c>
      <c r="C1930" s="33" t="s">
        <v>246</v>
      </c>
      <c r="D1930" s="33" t="s">
        <v>719</v>
      </c>
      <c r="E1930" s="33" t="s">
        <v>389</v>
      </c>
      <c r="F1930" s="33" t="s">
        <v>85</v>
      </c>
      <c r="G1930" s="33">
        <v>1</v>
      </c>
      <c r="J1930" s="33">
        <v>0.16</v>
      </c>
      <c r="K1930" s="33">
        <v>1.2500000000000001E-2</v>
      </c>
      <c r="M1930" s="361">
        <v>1.6999999999999999E-3</v>
      </c>
      <c r="N1930">
        <v>9.4048255000000001E-3</v>
      </c>
      <c r="O1930" s="33">
        <v>50</v>
      </c>
      <c r="P1930" s="163">
        <v>3.7499999999999998E-8</v>
      </c>
      <c r="Q1930" s="163">
        <v>7.9200000000000001E-5</v>
      </c>
      <c r="R1930" s="163">
        <v>0.14399999999999999</v>
      </c>
      <c r="S1930" s="163">
        <v>1.0500000000000001E-9</v>
      </c>
      <c r="T1930" s="163">
        <v>7.0500000000000003E-6</v>
      </c>
      <c r="U1930" s="163">
        <v>4.7700000000000001E-5</v>
      </c>
      <c r="V1930" s="163">
        <v>1.13E-5</v>
      </c>
      <c r="W1930" s="163">
        <v>1.7600000000000001E-2</v>
      </c>
      <c r="X1930" s="163">
        <v>1.6199999999999999E-3</v>
      </c>
      <c r="Y1930" s="163">
        <v>2.5</v>
      </c>
      <c r="Z1930" s="163">
        <v>4.8600000000000002E-5</v>
      </c>
      <c r="AA1930" s="40"/>
      <c r="AB1930" s="40"/>
      <c r="AC1930" s="40"/>
      <c r="AD1930" s="40"/>
      <c r="AE1930" s="40"/>
      <c r="AF1930" s="40"/>
      <c r="AG1930" s="40"/>
      <c r="AH1930" s="40"/>
      <c r="AI1930" s="40"/>
      <c r="AJ1930" s="40"/>
      <c r="AK1930" s="40"/>
      <c r="AL1930" s="40"/>
      <c r="AM1930" s="40"/>
      <c r="AN1930" s="40"/>
      <c r="AO1930" s="40"/>
      <c r="AP1930" s="40"/>
      <c r="AQ1930" s="40"/>
      <c r="AR1930" s="40"/>
      <c r="AS1930" s="40"/>
      <c r="AT1930" s="40"/>
      <c r="AU1930" s="40"/>
      <c r="AV1930" s="163">
        <v>7.4900000000000001E-3</v>
      </c>
      <c r="AW1930" s="40"/>
      <c r="AX1930" s="40"/>
      <c r="AY1930" s="281">
        <v>0.17799999999999999</v>
      </c>
      <c r="AZ1930" s="40"/>
      <c r="BA1930" s="40"/>
      <c r="BB1930" s="40"/>
      <c r="BC1930" s="40">
        <v>8.9099999999999997E-5</v>
      </c>
      <c r="BD1930" s="40">
        <v>2.6E-7</v>
      </c>
      <c r="BE1930" s="163">
        <v>8.4700000000000001E-3</v>
      </c>
      <c r="BF1930" s="163">
        <v>6.0399999999999996E-7</v>
      </c>
      <c r="BG1930" s="40"/>
      <c r="BH1930" s="40"/>
      <c r="BI1930" s="40"/>
      <c r="BJ1930" s="40"/>
      <c r="BK1930" s="40"/>
      <c r="BL1930" s="62">
        <v>0</v>
      </c>
      <c r="BM1930" s="275">
        <v>3</v>
      </c>
      <c r="BN1930" s="62">
        <v>0.03</v>
      </c>
      <c r="BO1930" s="33" t="s">
        <v>720</v>
      </c>
    </row>
    <row r="1931" spans="1:67">
      <c r="A1931" s="33" t="str">
        <f>Database_Productkaarten[[#This Row],[Product]]&amp;", "&amp;Database_Productkaarten[[#This Row],[Levensfase]]</f>
        <v>Rioolbuis PE 160 mm, C4</v>
      </c>
      <c r="B1931" s="33" t="s">
        <v>718</v>
      </c>
      <c r="C1931" s="33" t="s">
        <v>246</v>
      </c>
      <c r="D1931" s="33" t="s">
        <v>719</v>
      </c>
      <c r="E1931" s="33" t="s">
        <v>389</v>
      </c>
      <c r="F1931" s="33" t="s">
        <v>86</v>
      </c>
      <c r="G1931" s="33">
        <v>1</v>
      </c>
      <c r="J1931" s="33">
        <v>0.16</v>
      </c>
      <c r="K1931" s="33">
        <v>1.2500000000000001E-2</v>
      </c>
      <c r="M1931" s="361">
        <v>1.6999999999999999E-3</v>
      </c>
      <c r="N1931">
        <v>0</v>
      </c>
      <c r="O1931" s="33">
        <v>50</v>
      </c>
      <c r="P1931" s="163">
        <v>0</v>
      </c>
      <c r="Q1931" s="163">
        <v>0</v>
      </c>
      <c r="R1931" s="163">
        <v>0</v>
      </c>
      <c r="S1931" s="163">
        <v>0</v>
      </c>
      <c r="T1931" s="163">
        <v>0</v>
      </c>
      <c r="U1931" s="163">
        <v>0</v>
      </c>
      <c r="V1931" s="163">
        <v>0</v>
      </c>
      <c r="W1931" s="163">
        <v>0</v>
      </c>
      <c r="X1931" s="163">
        <v>0</v>
      </c>
      <c r="Y1931" s="163">
        <v>0</v>
      </c>
      <c r="Z1931" s="163">
        <v>0</v>
      </c>
      <c r="AA1931" s="40"/>
      <c r="AB1931" s="40"/>
      <c r="AC1931" s="40"/>
      <c r="AD1931" s="40"/>
      <c r="AE1931" s="40"/>
      <c r="AF1931" s="40"/>
      <c r="AG1931" s="40"/>
      <c r="AH1931" s="40"/>
      <c r="AI1931" s="40"/>
      <c r="AJ1931" s="40"/>
      <c r="AK1931" s="40"/>
      <c r="AL1931" s="40"/>
      <c r="AM1931" s="40"/>
      <c r="AN1931" s="40"/>
      <c r="AO1931" s="40"/>
      <c r="AP1931" s="40"/>
      <c r="AQ1931" s="40"/>
      <c r="AR1931" s="40"/>
      <c r="AS1931" s="40"/>
      <c r="AT1931" s="40"/>
      <c r="AU1931" s="40"/>
      <c r="AV1931" s="163">
        <v>0</v>
      </c>
      <c r="AW1931" s="40"/>
      <c r="AX1931" s="40"/>
      <c r="AY1931" s="281">
        <v>0</v>
      </c>
      <c r="AZ1931" s="40"/>
      <c r="BA1931" s="40"/>
      <c r="BB1931" s="40"/>
      <c r="BC1931" s="40">
        <v>0</v>
      </c>
      <c r="BD1931" s="40">
        <v>0</v>
      </c>
      <c r="BE1931" s="163">
        <v>0</v>
      </c>
      <c r="BF1931" s="163">
        <v>0</v>
      </c>
      <c r="BG1931" s="40"/>
      <c r="BH1931" s="40"/>
      <c r="BI1931" s="40"/>
      <c r="BJ1931" s="40"/>
      <c r="BK1931" s="40"/>
      <c r="BL1931" s="62">
        <v>0</v>
      </c>
      <c r="BM1931" s="275">
        <v>3</v>
      </c>
      <c r="BN1931" s="62">
        <v>0.03</v>
      </c>
      <c r="BO1931" s="33" t="s">
        <v>720</v>
      </c>
    </row>
    <row r="1932" spans="1:67">
      <c r="A1932" s="33" t="str">
        <f>Database_Productkaarten[[#This Row],[Product]]&amp;", "&amp;Database_Productkaarten[[#This Row],[Levensfase]]</f>
        <v>Rioolbuis PE 160 mm, D</v>
      </c>
      <c r="B1932" s="33" t="s">
        <v>718</v>
      </c>
      <c r="C1932" s="33" t="s">
        <v>246</v>
      </c>
      <c r="D1932" s="33" t="s">
        <v>719</v>
      </c>
      <c r="E1932" s="33" t="s">
        <v>389</v>
      </c>
      <c r="F1932" s="33" t="s">
        <v>89</v>
      </c>
      <c r="G1932" s="33">
        <v>1</v>
      </c>
      <c r="J1932" s="33">
        <v>0.16</v>
      </c>
      <c r="K1932" s="33">
        <v>1.2500000000000001E-2</v>
      </c>
      <c r="M1932" s="361">
        <v>1.6999999999999999E-3</v>
      </c>
      <c r="N1932">
        <v>-8.591621013600002E-3</v>
      </c>
      <c r="O1932" s="33">
        <v>50</v>
      </c>
      <c r="P1932" s="163">
        <v>-5.7100000000000003E-9</v>
      </c>
      <c r="Q1932" s="163">
        <v>-1.6299999999999999E-3</v>
      </c>
      <c r="R1932" s="163">
        <v>-0.13100000000000001</v>
      </c>
      <c r="S1932" s="163">
        <v>-8.6699999999999992E-9</v>
      </c>
      <c r="T1932" s="163">
        <v>-8.6700000000000007E-5</v>
      </c>
      <c r="U1932" s="163">
        <v>-2.3499999999999999E-4</v>
      </c>
      <c r="V1932" s="163">
        <v>-1.9599999999999999E-5</v>
      </c>
      <c r="W1932" s="163">
        <v>-5.0400000000000002E-3</v>
      </c>
      <c r="X1932" s="163">
        <v>-1.2300000000000001E-4</v>
      </c>
      <c r="Y1932" s="163">
        <v>-0.32600000000000001</v>
      </c>
      <c r="Z1932" s="163">
        <v>-1.45E-5</v>
      </c>
      <c r="AA1932" s="40"/>
      <c r="AB1932" s="40"/>
      <c r="AC1932" s="40"/>
      <c r="AD1932" s="40"/>
      <c r="AE1932" s="40"/>
      <c r="AF1932" s="40"/>
      <c r="AG1932" s="40"/>
      <c r="AH1932" s="40"/>
      <c r="AI1932" s="40"/>
      <c r="AJ1932" s="40"/>
      <c r="AK1932" s="40"/>
      <c r="AL1932" s="40"/>
      <c r="AM1932" s="40"/>
      <c r="AN1932" s="40"/>
      <c r="AO1932" s="40"/>
      <c r="AP1932" s="40"/>
      <c r="AQ1932" s="40"/>
      <c r="AR1932" s="40"/>
      <c r="AS1932" s="40"/>
      <c r="AT1932" s="40"/>
      <c r="AU1932" s="40"/>
      <c r="AV1932" s="163">
        <v>-2.8199999999999999E-2</v>
      </c>
      <c r="AW1932" s="40"/>
      <c r="AX1932" s="40"/>
      <c r="AY1932" s="281">
        <v>-3.57</v>
      </c>
      <c r="AZ1932" s="40"/>
      <c r="BA1932" s="40"/>
      <c r="BB1932" s="40"/>
      <c r="BC1932" s="40">
        <v>-4.5199999999999998E-4</v>
      </c>
      <c r="BD1932" s="40">
        <v>-1.5999999999999999E-6</v>
      </c>
      <c r="BE1932" s="163">
        <v>-1.07E-3</v>
      </c>
      <c r="BF1932" s="163">
        <v>-6.1799999999999995E-7</v>
      </c>
      <c r="BG1932" s="40"/>
      <c r="BH1932" s="40"/>
      <c r="BI1932" s="40"/>
      <c r="BJ1932" s="40"/>
      <c r="BK1932" s="40"/>
      <c r="BL1932" s="62">
        <v>0</v>
      </c>
      <c r="BM1932" s="275">
        <v>3</v>
      </c>
      <c r="BN1932" s="62">
        <v>0.03</v>
      </c>
      <c r="BO1932" s="33" t="s">
        <v>720</v>
      </c>
    </row>
    <row r="1933" spans="1:67">
      <c r="A1933" s="33" t="str">
        <f>Database_Productkaarten[[#This Row],[Product]]&amp;", "&amp;Database_Productkaarten[[#This Row],[Levensfase]]</f>
        <v>Rioolbuis PE 160 mm, D1</v>
      </c>
      <c r="B1933" s="33" t="s">
        <v>718</v>
      </c>
      <c r="C1933" s="33" t="s">
        <v>246</v>
      </c>
      <c r="D1933" s="33" t="s">
        <v>719</v>
      </c>
      <c r="E1933" s="33" t="s">
        <v>389</v>
      </c>
      <c r="F1933" s="33" t="s">
        <v>87</v>
      </c>
      <c r="G1933" s="33">
        <v>1</v>
      </c>
      <c r="J1933" s="33">
        <v>0.16</v>
      </c>
      <c r="K1933" s="33">
        <v>1.2500000000000001E-2</v>
      </c>
      <c r="M1933" s="361">
        <v>1.6999999999999999E-3</v>
      </c>
      <c r="N1933" s="41"/>
      <c r="O1933" s="33">
        <v>50</v>
      </c>
      <c r="P1933" s="40"/>
      <c r="Q1933" s="40"/>
      <c r="R1933" s="40"/>
      <c r="S1933" s="40"/>
      <c r="T1933" s="40"/>
      <c r="U1933" s="40"/>
      <c r="V1933" s="40"/>
      <c r="W1933" s="40"/>
      <c r="X1933" s="40"/>
      <c r="Y1933" s="40"/>
      <c r="Z1933" s="40"/>
      <c r="AA1933" s="40"/>
      <c r="AB1933" s="40"/>
      <c r="AC1933" s="40"/>
      <c r="AD1933" s="40"/>
      <c r="AE1933" s="40"/>
      <c r="AF1933" s="40"/>
      <c r="AG1933" s="40"/>
      <c r="AH1933" s="40"/>
      <c r="AI1933" s="40"/>
      <c r="AJ1933" s="40"/>
      <c r="AK1933" s="40"/>
      <c r="AL1933" s="40"/>
      <c r="AM1933" s="40"/>
      <c r="AN1933" s="40"/>
      <c r="AO1933" s="40"/>
      <c r="AP1933" s="40"/>
      <c r="AQ1933" s="40"/>
      <c r="AR1933" s="40"/>
      <c r="AS1933" s="40"/>
      <c r="AT1933" s="40"/>
      <c r="AU1933" s="40"/>
      <c r="AV1933" s="40"/>
      <c r="AW1933" s="40"/>
      <c r="AX1933" s="40"/>
      <c r="AY1933" s="281"/>
      <c r="AZ1933" s="40"/>
      <c r="BA1933" s="40"/>
      <c r="BB1933" s="40"/>
      <c r="BC1933" s="40"/>
      <c r="BD1933" s="40"/>
      <c r="BE1933" s="40"/>
      <c r="BF1933" s="40"/>
      <c r="BG1933" s="40"/>
      <c r="BH1933" s="40"/>
      <c r="BI1933" s="40"/>
      <c r="BJ1933" s="40"/>
      <c r="BK1933" s="40"/>
      <c r="BL1933" s="62">
        <v>0</v>
      </c>
      <c r="BM1933" s="275">
        <v>3</v>
      </c>
      <c r="BN1933" s="62">
        <v>0.03</v>
      </c>
      <c r="BO1933" s="33" t="s">
        <v>720</v>
      </c>
    </row>
    <row r="1934" spans="1:67">
      <c r="A1934" s="33" t="str">
        <f>Database_Productkaarten[[#This Row],[Product]]&amp;", "&amp;Database_Productkaarten[[#This Row],[Levensfase]]</f>
        <v>Rioolbuis PE 160 mm, D2</v>
      </c>
      <c r="B1934" s="33" t="s">
        <v>718</v>
      </c>
      <c r="C1934" s="33" t="s">
        <v>246</v>
      </c>
      <c r="D1934" s="33" t="s">
        <v>719</v>
      </c>
      <c r="E1934" s="33" t="s">
        <v>389</v>
      </c>
      <c r="F1934" s="33" t="s">
        <v>88</v>
      </c>
      <c r="G1934" s="33">
        <v>1</v>
      </c>
      <c r="J1934" s="33">
        <v>0.16</v>
      </c>
      <c r="K1934" s="33">
        <v>1.2500000000000001E-2</v>
      </c>
      <c r="M1934" s="361">
        <v>1.6999999999999999E-3</v>
      </c>
      <c r="N1934" s="41"/>
      <c r="O1934" s="33">
        <v>50</v>
      </c>
      <c r="P1934" s="40"/>
      <c r="Q1934" s="40"/>
      <c r="R1934" s="40"/>
      <c r="S1934" s="40"/>
      <c r="T1934" s="40"/>
      <c r="U1934" s="40"/>
      <c r="V1934" s="40"/>
      <c r="W1934" s="40"/>
      <c r="X1934" s="40"/>
      <c r="Y1934" s="40"/>
      <c r="Z1934" s="40"/>
      <c r="AA1934" s="40"/>
      <c r="AB1934" s="40"/>
      <c r="AC1934" s="40"/>
      <c r="AD1934" s="40"/>
      <c r="AE1934" s="40"/>
      <c r="AF1934" s="40"/>
      <c r="AG1934" s="40"/>
      <c r="AH1934" s="40"/>
      <c r="AI1934" s="40"/>
      <c r="AJ1934" s="40"/>
      <c r="AK1934" s="40"/>
      <c r="AL1934" s="40"/>
      <c r="AM1934" s="40"/>
      <c r="AN1934" s="40"/>
      <c r="AO1934" s="40"/>
      <c r="AP1934" s="40"/>
      <c r="AQ1934" s="40"/>
      <c r="AR1934" s="40"/>
      <c r="AS1934" s="40"/>
      <c r="AT1934" s="40"/>
      <c r="AU1934" s="40"/>
      <c r="AV1934" s="40"/>
      <c r="AW1934" s="40"/>
      <c r="AX1934" s="40"/>
      <c r="AY1934" s="281"/>
      <c r="AZ1934" s="40"/>
      <c r="BA1934" s="40"/>
      <c r="BB1934" s="40"/>
      <c r="BC1934" s="40"/>
      <c r="BD1934" s="40"/>
      <c r="BE1934" s="40"/>
      <c r="BF1934" s="40"/>
      <c r="BG1934" s="40"/>
      <c r="BH1934" s="40"/>
      <c r="BI1934" s="40"/>
      <c r="BJ1934" s="40"/>
      <c r="BK1934" s="40"/>
      <c r="BL1934" s="62">
        <v>0</v>
      </c>
      <c r="BM1934" s="275">
        <v>3</v>
      </c>
      <c r="BN1934" s="62">
        <v>0.03</v>
      </c>
      <c r="BO1934" s="33" t="s">
        <v>720</v>
      </c>
    </row>
    <row r="1935" spans="1:67">
      <c r="A1935" s="33" t="str">
        <f>Database_Productkaarten[[#This Row],[Product]]&amp;", "&amp;Database_Productkaarten[[#This Row],[Levensfase]]</f>
        <v>Rioolbuis PE 250 mm, Totaal</v>
      </c>
      <c r="B1935" s="33" t="s">
        <v>721</v>
      </c>
      <c r="C1935" s="33" t="s">
        <v>246</v>
      </c>
      <c r="D1935" s="33" t="s">
        <v>719</v>
      </c>
      <c r="E1935" s="33" t="s">
        <v>389</v>
      </c>
      <c r="F1935" s="33" t="s">
        <v>90</v>
      </c>
      <c r="G1935" s="33">
        <v>1</v>
      </c>
      <c r="J1935" s="33">
        <v>0.25</v>
      </c>
      <c r="K1935" s="33">
        <v>3.2000000000000001E-2</v>
      </c>
      <c r="M1935" s="361">
        <v>3.7000000000000002E-3</v>
      </c>
      <c r="N1935" s="41"/>
      <c r="O1935" s="33">
        <v>50</v>
      </c>
      <c r="P1935" s="40"/>
      <c r="Q1935" s="40"/>
      <c r="R1935" s="40"/>
      <c r="S1935" s="40"/>
      <c r="T1935" s="40"/>
      <c r="U1935" s="40"/>
      <c r="V1935" s="40"/>
      <c r="W1935" s="40"/>
      <c r="X1935" s="40"/>
      <c r="Y1935" s="40"/>
      <c r="Z1935" s="40"/>
      <c r="AA1935" s="40"/>
      <c r="AB1935" s="40"/>
      <c r="AC1935" s="40"/>
      <c r="AD1935" s="40"/>
      <c r="AE1935" s="40"/>
      <c r="AF1935" s="40"/>
      <c r="AG1935" s="40"/>
      <c r="AH1935" s="40"/>
      <c r="AI1935" s="40"/>
      <c r="AJ1935" s="40"/>
      <c r="AK1935" s="40"/>
      <c r="AL1935" s="40"/>
      <c r="AM1935" s="40"/>
      <c r="AN1935" s="40"/>
      <c r="AO1935" s="40"/>
      <c r="AP1935" s="40"/>
      <c r="AQ1935" s="40"/>
      <c r="AR1935" s="40"/>
      <c r="AS1935" s="40"/>
      <c r="AT1935" s="40"/>
      <c r="AU1935" s="40"/>
      <c r="AV1935" s="40"/>
      <c r="AW1935" s="40"/>
      <c r="AX1935" s="40"/>
      <c r="AY1935" s="281"/>
      <c r="AZ1935" s="40"/>
      <c r="BA1935" s="40"/>
      <c r="BB1935" s="40"/>
      <c r="BC1935" s="40"/>
      <c r="BD1935" s="40"/>
      <c r="BE1935" s="40"/>
      <c r="BF1935" s="40"/>
      <c r="BG1935" s="40"/>
      <c r="BH1935" s="40"/>
      <c r="BI1935" s="40"/>
      <c r="BJ1935" s="40"/>
      <c r="BK1935" s="40"/>
      <c r="BL1935" s="62">
        <v>0</v>
      </c>
      <c r="BM1935" s="275">
        <v>3</v>
      </c>
      <c r="BN1935" s="62">
        <v>0.03</v>
      </c>
      <c r="BO1935" s="33" t="s">
        <v>720</v>
      </c>
    </row>
    <row r="1936" spans="1:67">
      <c r="A1936" s="33" t="str">
        <f>Database_Productkaarten[[#This Row],[Product]]&amp;", "&amp;Database_Productkaarten[[#This Row],[Levensfase]]</f>
        <v>Rioolbuis PE 250 mm, A1</v>
      </c>
      <c r="B1936" s="33" t="s">
        <v>721</v>
      </c>
      <c r="C1936" s="33" t="s">
        <v>246</v>
      </c>
      <c r="D1936" s="33" t="s">
        <v>719</v>
      </c>
      <c r="E1936" s="33" t="s">
        <v>389</v>
      </c>
      <c r="F1936" s="33" t="s">
        <v>74</v>
      </c>
      <c r="G1936" s="33">
        <v>1</v>
      </c>
      <c r="J1936" s="33">
        <v>0.25</v>
      </c>
      <c r="K1936" s="33">
        <v>3.2000000000000001E-2</v>
      </c>
      <c r="M1936" s="361">
        <v>3.7000000000000002E-3</v>
      </c>
      <c r="N1936" s="41"/>
      <c r="O1936" s="33">
        <v>50</v>
      </c>
      <c r="P1936" s="40"/>
      <c r="Q1936" s="40"/>
      <c r="R1936" s="40"/>
      <c r="S1936" s="40"/>
      <c r="T1936" s="40"/>
      <c r="U1936" s="40"/>
      <c r="V1936" s="40"/>
      <c r="W1936" s="40"/>
      <c r="X1936" s="40"/>
      <c r="Y1936" s="40"/>
      <c r="Z1936" s="40"/>
      <c r="AA1936" s="40"/>
      <c r="AB1936" s="40"/>
      <c r="AC1936" s="40"/>
      <c r="AD1936" s="40"/>
      <c r="AE1936" s="40"/>
      <c r="AF1936" s="40"/>
      <c r="AG1936" s="40"/>
      <c r="AH1936" s="40"/>
      <c r="AI1936" s="40"/>
      <c r="AJ1936" s="40"/>
      <c r="AK1936" s="40"/>
      <c r="AL1936" s="40"/>
      <c r="AM1936" s="40"/>
      <c r="AN1936" s="40"/>
      <c r="AO1936" s="40"/>
      <c r="AP1936" s="40"/>
      <c r="AQ1936" s="40"/>
      <c r="AR1936" s="40"/>
      <c r="AS1936" s="40"/>
      <c r="AT1936" s="40"/>
      <c r="AU1936" s="40"/>
      <c r="AV1936" s="40"/>
      <c r="AW1936" s="40"/>
      <c r="AX1936" s="40"/>
      <c r="AY1936" s="281"/>
      <c r="AZ1936" s="40"/>
      <c r="BA1936" s="40"/>
      <c r="BB1936" s="40"/>
      <c r="BC1936" s="40"/>
      <c r="BD1936" s="40"/>
      <c r="BE1936" s="40"/>
      <c r="BF1936" s="40"/>
      <c r="BG1936" s="40"/>
      <c r="BH1936" s="40"/>
      <c r="BI1936" s="40"/>
      <c r="BJ1936" s="40"/>
      <c r="BK1936" s="40"/>
      <c r="BL1936" s="62">
        <v>0</v>
      </c>
      <c r="BM1936" s="275">
        <v>3</v>
      </c>
      <c r="BN1936" s="62">
        <v>0.03</v>
      </c>
      <c r="BO1936" s="33" t="s">
        <v>720</v>
      </c>
    </row>
    <row r="1937" spans="1:67">
      <c r="A1937" s="33" t="str">
        <f>Database_Productkaarten[[#This Row],[Product]]&amp;", "&amp;Database_Productkaarten[[#This Row],[Levensfase]]</f>
        <v>Rioolbuis PE 250 mm, A2</v>
      </c>
      <c r="B1937" s="33" t="s">
        <v>721</v>
      </c>
      <c r="C1937" s="33" t="s">
        <v>246</v>
      </c>
      <c r="D1937" s="33" t="s">
        <v>719</v>
      </c>
      <c r="E1937" s="33" t="s">
        <v>389</v>
      </c>
      <c r="F1937" s="33" t="s">
        <v>75</v>
      </c>
      <c r="G1937" s="33">
        <v>1</v>
      </c>
      <c r="J1937" s="33">
        <v>0.25</v>
      </c>
      <c r="K1937" s="33">
        <v>3.2000000000000001E-2</v>
      </c>
      <c r="M1937" s="361">
        <v>3.7000000000000002E-3</v>
      </c>
      <c r="N1937" s="41"/>
      <c r="O1937" s="33">
        <v>50</v>
      </c>
      <c r="P1937" s="40"/>
      <c r="Q1937" s="40"/>
      <c r="R1937" s="40"/>
      <c r="S1937" s="40"/>
      <c r="T1937" s="40"/>
      <c r="U1937" s="40"/>
      <c r="V1937" s="40"/>
      <c r="W1937" s="40"/>
      <c r="X1937" s="40"/>
      <c r="Y1937" s="40"/>
      <c r="Z1937" s="40"/>
      <c r="AA1937" s="40"/>
      <c r="AB1937" s="40"/>
      <c r="AC1937" s="40"/>
      <c r="AD1937" s="40"/>
      <c r="AE1937" s="40"/>
      <c r="AF1937" s="40"/>
      <c r="AG1937" s="40"/>
      <c r="AH1937" s="40"/>
      <c r="AI1937" s="40"/>
      <c r="AJ1937" s="40"/>
      <c r="AK1937" s="40"/>
      <c r="AL1937" s="40"/>
      <c r="AM1937" s="40"/>
      <c r="AN1937" s="40"/>
      <c r="AO1937" s="40"/>
      <c r="AP1937" s="40"/>
      <c r="AQ1937" s="40"/>
      <c r="AR1937" s="40"/>
      <c r="AS1937" s="40"/>
      <c r="AT1937" s="40"/>
      <c r="AU1937" s="40"/>
      <c r="AV1937" s="40"/>
      <c r="AW1937" s="40"/>
      <c r="AX1937" s="40"/>
      <c r="AY1937" s="281"/>
      <c r="AZ1937" s="40"/>
      <c r="BA1937" s="40"/>
      <c r="BB1937" s="40"/>
      <c r="BC1937" s="40"/>
      <c r="BD1937" s="40"/>
      <c r="BE1937" s="40"/>
      <c r="BF1937" s="40"/>
      <c r="BG1937" s="40"/>
      <c r="BH1937" s="40"/>
      <c r="BI1937" s="40"/>
      <c r="BJ1937" s="40"/>
      <c r="BK1937" s="40"/>
      <c r="BL1937" s="62">
        <v>0</v>
      </c>
      <c r="BM1937" s="275">
        <v>3</v>
      </c>
      <c r="BN1937" s="62">
        <v>0.03</v>
      </c>
      <c r="BO1937" s="33" t="s">
        <v>720</v>
      </c>
    </row>
    <row r="1938" spans="1:67">
      <c r="A1938" s="33" t="str">
        <f>Database_Productkaarten[[#This Row],[Product]]&amp;", "&amp;Database_Productkaarten[[#This Row],[Levensfase]]</f>
        <v>Rioolbuis PE 250 mm, A3</v>
      </c>
      <c r="B1938" s="33" t="s">
        <v>721</v>
      </c>
      <c r="C1938" s="33" t="s">
        <v>246</v>
      </c>
      <c r="D1938" s="33" t="s">
        <v>719</v>
      </c>
      <c r="E1938" s="33" t="s">
        <v>389</v>
      </c>
      <c r="F1938" s="33" t="s">
        <v>76</v>
      </c>
      <c r="G1938" s="33">
        <v>1</v>
      </c>
      <c r="J1938" s="33">
        <v>0.25</v>
      </c>
      <c r="K1938" s="33">
        <v>3.2000000000000001E-2</v>
      </c>
      <c r="M1938" s="361">
        <v>3.7000000000000002E-3</v>
      </c>
      <c r="N1938" s="41"/>
      <c r="O1938" s="33">
        <v>50</v>
      </c>
      <c r="P1938" s="40"/>
      <c r="Q1938" s="40"/>
      <c r="R1938" s="40"/>
      <c r="S1938" s="40"/>
      <c r="T1938" s="40"/>
      <c r="U1938" s="40"/>
      <c r="V1938" s="40"/>
      <c r="W1938" s="40"/>
      <c r="X1938" s="40"/>
      <c r="Y1938" s="40"/>
      <c r="Z1938" s="40"/>
      <c r="AA1938" s="40"/>
      <c r="AB1938" s="40"/>
      <c r="AC1938" s="40"/>
      <c r="AD1938" s="40"/>
      <c r="AE1938" s="40"/>
      <c r="AF1938" s="40"/>
      <c r="AG1938" s="40"/>
      <c r="AH1938" s="40"/>
      <c r="AI1938" s="40"/>
      <c r="AJ1938" s="40"/>
      <c r="AK1938" s="40"/>
      <c r="AL1938" s="40"/>
      <c r="AM1938" s="40"/>
      <c r="AN1938" s="40"/>
      <c r="AO1938" s="40"/>
      <c r="AP1938" s="40"/>
      <c r="AQ1938" s="40"/>
      <c r="AR1938" s="40"/>
      <c r="AS1938" s="40"/>
      <c r="AT1938" s="40"/>
      <c r="AU1938" s="40"/>
      <c r="AV1938" s="40"/>
      <c r="AW1938" s="40"/>
      <c r="AX1938" s="40"/>
      <c r="AY1938" s="281"/>
      <c r="AZ1938" s="40"/>
      <c r="BA1938" s="40"/>
      <c r="BB1938" s="40"/>
      <c r="BC1938" s="40"/>
      <c r="BD1938" s="40"/>
      <c r="BE1938" s="40"/>
      <c r="BF1938" s="40"/>
      <c r="BG1938" s="40"/>
      <c r="BH1938" s="40"/>
      <c r="BI1938" s="40"/>
      <c r="BJ1938" s="40"/>
      <c r="BK1938" s="40"/>
      <c r="BL1938" s="62">
        <v>0</v>
      </c>
      <c r="BM1938" s="275">
        <v>3</v>
      </c>
      <c r="BN1938" s="62">
        <v>0.03</v>
      </c>
      <c r="BO1938" s="33" t="s">
        <v>720</v>
      </c>
    </row>
    <row r="1939" spans="1:67">
      <c r="A1939" s="33" t="str">
        <f>Database_Productkaarten[[#This Row],[Product]]&amp;", "&amp;Database_Productkaarten[[#This Row],[Levensfase]]</f>
        <v>Rioolbuis PE 250 mm, A1-A3</v>
      </c>
      <c r="B1939" s="33" t="s">
        <v>721</v>
      </c>
      <c r="C1939" s="33" t="s">
        <v>246</v>
      </c>
      <c r="D1939" s="33" t="s">
        <v>719</v>
      </c>
      <c r="E1939" s="33" t="s">
        <v>389</v>
      </c>
      <c r="F1939" s="451" t="s">
        <v>77</v>
      </c>
      <c r="G1939" s="33">
        <v>1</v>
      </c>
      <c r="J1939" s="33">
        <v>0.25</v>
      </c>
      <c r="K1939" s="33">
        <v>3.2000000000000001E-2</v>
      </c>
      <c r="M1939" s="361">
        <v>3.7000000000000002E-3</v>
      </c>
      <c r="N1939">
        <v>0.77238767919999995</v>
      </c>
      <c r="O1939" s="33">
        <v>50</v>
      </c>
      <c r="P1939" s="163">
        <v>3.3699999999999999E-6</v>
      </c>
      <c r="Q1939" s="163">
        <v>0.13700000000000001</v>
      </c>
      <c r="R1939" s="163">
        <v>9.36</v>
      </c>
      <c r="S1939" s="163">
        <v>1.3799999999999999E-7</v>
      </c>
      <c r="T1939" s="163">
        <v>1.06E-2</v>
      </c>
      <c r="U1939" s="163">
        <v>3.4299999999999997E-2</v>
      </c>
      <c r="V1939" s="163">
        <v>2.8600000000000001E-3</v>
      </c>
      <c r="W1939" s="163">
        <v>0.99199999999999999</v>
      </c>
      <c r="X1939" s="163">
        <v>2.5399999999999999E-2</v>
      </c>
      <c r="Y1939" s="163">
        <v>80.2</v>
      </c>
      <c r="Z1939" s="163">
        <v>4.3499999999999997E-3</v>
      </c>
      <c r="AA1939" s="40"/>
      <c r="AB1939" s="40"/>
      <c r="AC1939" s="40"/>
      <c r="AD1939" s="40"/>
      <c r="AE1939" s="40"/>
      <c r="AF1939" s="40"/>
      <c r="AG1939" s="40"/>
      <c r="AH1939" s="40"/>
      <c r="AI1939" s="40"/>
      <c r="AJ1939" s="40"/>
      <c r="AK1939" s="40"/>
      <c r="AL1939" s="40"/>
      <c r="AM1939" s="40"/>
      <c r="AN1939" s="40"/>
      <c r="AO1939" s="40"/>
      <c r="AP1939" s="40"/>
      <c r="AQ1939" s="40"/>
      <c r="AR1939" s="40"/>
      <c r="AS1939" s="40"/>
      <c r="AT1939" s="40"/>
      <c r="AU1939" s="40"/>
      <c r="AV1939" s="163">
        <v>8.33</v>
      </c>
      <c r="AW1939" s="40"/>
      <c r="AX1939" s="40"/>
      <c r="AY1939" s="281">
        <v>311</v>
      </c>
      <c r="AZ1939" s="40"/>
      <c r="BA1939" s="40"/>
      <c r="BB1939" s="40"/>
      <c r="BC1939" s="40">
        <v>8.6800000000000002E-2</v>
      </c>
      <c r="BD1939" s="40">
        <v>3.3599999999999997E-5</v>
      </c>
      <c r="BE1939" s="163">
        <v>0.438</v>
      </c>
      <c r="BF1939" s="163">
        <v>1.1E-4</v>
      </c>
      <c r="BG1939" s="40"/>
      <c r="BH1939" s="40"/>
      <c r="BI1939" s="40"/>
      <c r="BJ1939" s="40"/>
      <c r="BK1939" s="40"/>
      <c r="BL1939" s="62">
        <v>0</v>
      </c>
      <c r="BM1939" s="275">
        <v>3</v>
      </c>
      <c r="BN1939" s="62">
        <v>0.03</v>
      </c>
      <c r="BO1939" s="33" t="s">
        <v>720</v>
      </c>
    </row>
    <row r="1940" spans="1:67">
      <c r="A1940" s="33" t="str">
        <f>Database_Productkaarten[[#This Row],[Product]]&amp;", "&amp;Database_Productkaarten[[#This Row],[Levensfase]]</f>
        <v>Rioolbuis PE 250 mm, A4</v>
      </c>
      <c r="B1940" s="33" t="s">
        <v>721</v>
      </c>
      <c r="C1940" s="33" t="s">
        <v>246</v>
      </c>
      <c r="D1940" s="33" t="s">
        <v>719</v>
      </c>
      <c r="E1940" s="33" t="s">
        <v>389</v>
      </c>
      <c r="F1940" s="33" t="s">
        <v>78</v>
      </c>
      <c r="G1940" s="33">
        <v>1</v>
      </c>
      <c r="J1940" s="33">
        <v>0.25</v>
      </c>
      <c r="K1940" s="33">
        <v>3.2000000000000001E-2</v>
      </c>
      <c r="M1940" s="361">
        <v>3.7000000000000002E-3</v>
      </c>
      <c r="N1940">
        <v>5.260168E-3</v>
      </c>
      <c r="O1940" s="33">
        <v>50</v>
      </c>
      <c r="P1940" s="163">
        <v>8.9999999999999999E-8</v>
      </c>
      <c r="Q1940" s="163">
        <v>3.5500000000000001E-4</v>
      </c>
      <c r="R1940" s="163">
        <v>4.6899999999999997E-2</v>
      </c>
      <c r="S1940" s="163">
        <v>9.3200000000000001E-9</v>
      </c>
      <c r="T1940" s="163">
        <v>2.9600000000000001E-5</v>
      </c>
      <c r="U1940" s="163">
        <v>1.7100000000000001E-4</v>
      </c>
      <c r="V1940" s="163">
        <v>3.4799999999999999E-5</v>
      </c>
      <c r="W1940" s="163">
        <v>1.6500000000000001E-2</v>
      </c>
      <c r="X1940" s="163">
        <v>1.06E-3</v>
      </c>
      <c r="Y1940" s="163">
        <v>2.79</v>
      </c>
      <c r="Z1940" s="163">
        <v>9.7899999999999994E-5</v>
      </c>
      <c r="AA1940" s="40"/>
      <c r="AB1940" s="40"/>
      <c r="AC1940" s="40"/>
      <c r="AD1940" s="40"/>
      <c r="AE1940" s="40"/>
      <c r="AF1940" s="40"/>
      <c r="AG1940" s="40"/>
      <c r="AH1940" s="40"/>
      <c r="AI1940" s="40"/>
      <c r="AJ1940" s="40"/>
      <c r="AK1940" s="40"/>
      <c r="AL1940" s="40"/>
      <c r="AM1940" s="40"/>
      <c r="AN1940" s="40"/>
      <c r="AO1940" s="40"/>
      <c r="AP1940" s="40"/>
      <c r="AQ1940" s="40"/>
      <c r="AR1940" s="40"/>
      <c r="AS1940" s="40"/>
      <c r="AT1940" s="40"/>
      <c r="AU1940" s="40"/>
      <c r="AV1940" s="163">
        <v>1.2699999999999999E-2</v>
      </c>
      <c r="AW1940" s="40"/>
      <c r="AX1940" s="40"/>
      <c r="AY1940" s="363">
        <v>0.81100000000000005</v>
      </c>
      <c r="AZ1940" s="40"/>
      <c r="BA1940" s="40"/>
      <c r="BB1940" s="40"/>
      <c r="BC1940" s="40">
        <v>1.65E-4</v>
      </c>
      <c r="BD1940" s="40">
        <v>5.7400000000000001E-6</v>
      </c>
      <c r="BE1940" s="163">
        <v>6.6900000000000001E-2</v>
      </c>
      <c r="BF1940" s="163">
        <v>0</v>
      </c>
      <c r="BG1940" s="40"/>
      <c r="BH1940" s="40"/>
      <c r="BI1940" s="40"/>
      <c r="BJ1940" s="40"/>
      <c r="BK1940" s="40"/>
      <c r="BL1940" s="62">
        <v>0</v>
      </c>
      <c r="BM1940" s="275">
        <v>3</v>
      </c>
      <c r="BN1940" s="62">
        <v>0.03</v>
      </c>
      <c r="BO1940" s="33" t="s">
        <v>720</v>
      </c>
    </row>
    <row r="1941" spans="1:67">
      <c r="A1941" s="33" t="str">
        <f>Database_Productkaarten[[#This Row],[Product]]&amp;", "&amp;Database_Productkaarten[[#This Row],[Levensfase]]</f>
        <v>Rioolbuis PE 250 mm, A5</v>
      </c>
      <c r="B1941" s="33" t="s">
        <v>721</v>
      </c>
      <c r="C1941" s="33" t="s">
        <v>246</v>
      </c>
      <c r="D1941" s="33" t="s">
        <v>719</v>
      </c>
      <c r="E1941" s="33" t="s">
        <v>389</v>
      </c>
      <c r="F1941" s="33" t="s">
        <v>79</v>
      </c>
      <c r="G1941" s="33">
        <v>1</v>
      </c>
      <c r="J1941" s="33">
        <v>0.25</v>
      </c>
      <c r="K1941" s="33">
        <v>3.2000000000000001E-2</v>
      </c>
      <c r="M1941" s="361">
        <v>3.7000000000000002E-3</v>
      </c>
      <c r="N1941">
        <v>0.44518463679999998</v>
      </c>
      <c r="O1941" s="33">
        <v>50</v>
      </c>
      <c r="P1941" s="163">
        <v>2.2299999999999998E-6</v>
      </c>
      <c r="Q1941" s="163">
        <v>3.5099999999999999E-2</v>
      </c>
      <c r="R1941" s="163">
        <v>4.83</v>
      </c>
      <c r="S1941" s="163">
        <v>7.9599999999999998E-7</v>
      </c>
      <c r="T1941" s="163">
        <v>1.81E-3</v>
      </c>
      <c r="U1941" s="163">
        <v>1.44E-2</v>
      </c>
      <c r="V1941" s="163">
        <v>2.64E-3</v>
      </c>
      <c r="W1941" s="163">
        <v>1.1599999999999999</v>
      </c>
      <c r="X1941" s="163">
        <v>2.3199999999999998E-2</v>
      </c>
      <c r="Y1941" s="163">
        <v>77.2</v>
      </c>
      <c r="Z1941" s="163">
        <v>4.1399999999999996E-3</v>
      </c>
      <c r="AA1941" s="40"/>
      <c r="AB1941" s="40"/>
      <c r="AC1941" s="40"/>
      <c r="AD1941" s="40"/>
      <c r="AE1941" s="40"/>
      <c r="AF1941" s="40"/>
      <c r="AG1941" s="40"/>
      <c r="AH1941" s="40"/>
      <c r="AI1941" s="40"/>
      <c r="AJ1941" s="40"/>
      <c r="AK1941" s="40"/>
      <c r="AL1941" s="40"/>
      <c r="AM1941" s="40"/>
      <c r="AN1941" s="40"/>
      <c r="AO1941" s="40"/>
      <c r="AP1941" s="40"/>
      <c r="AQ1941" s="40"/>
      <c r="AR1941" s="40"/>
      <c r="AS1941" s="40"/>
      <c r="AT1941" s="40"/>
      <c r="AU1941" s="40"/>
      <c r="AV1941" s="163">
        <v>0.755</v>
      </c>
      <c r="AW1941" s="40"/>
      <c r="AX1941" s="40"/>
      <c r="AY1941" s="281">
        <v>78.400000000000006</v>
      </c>
      <c r="AZ1941" s="40"/>
      <c r="BA1941" s="40"/>
      <c r="BB1941" s="40"/>
      <c r="BC1941" s="40">
        <v>9.1400000000000006E-3</v>
      </c>
      <c r="BD1941" s="40">
        <v>4.8000000000000001E-4</v>
      </c>
      <c r="BE1941" s="163">
        <v>0.13200000000000001</v>
      </c>
      <c r="BF1941" s="163">
        <v>3.3000000000000002E-6</v>
      </c>
      <c r="BG1941" s="40"/>
      <c r="BH1941" s="40"/>
      <c r="BI1941" s="40"/>
      <c r="BJ1941" s="40"/>
      <c r="BK1941" s="40"/>
      <c r="BL1941" s="62">
        <v>0</v>
      </c>
      <c r="BM1941" s="275">
        <v>3</v>
      </c>
      <c r="BN1941" s="62">
        <v>0.03</v>
      </c>
      <c r="BO1941" s="33" t="s">
        <v>720</v>
      </c>
    </row>
    <row r="1942" spans="1:67">
      <c r="A1942" s="33" t="str">
        <f>Database_Productkaarten[[#This Row],[Product]]&amp;", "&amp;Database_Productkaarten[[#This Row],[Levensfase]]</f>
        <v>Rioolbuis PE 250 mm, B1</v>
      </c>
      <c r="B1942" s="33" t="s">
        <v>721</v>
      </c>
      <c r="C1942" s="33" t="s">
        <v>246</v>
      </c>
      <c r="D1942" s="33" t="s">
        <v>719</v>
      </c>
      <c r="E1942" s="33" t="s">
        <v>389</v>
      </c>
      <c r="F1942" s="33" t="s">
        <v>80</v>
      </c>
      <c r="G1942" s="33">
        <v>1</v>
      </c>
      <c r="J1942" s="33">
        <v>0.25</v>
      </c>
      <c r="K1942" s="33">
        <v>3.2000000000000001E-2</v>
      </c>
      <c r="M1942" s="361">
        <v>3.7000000000000002E-3</v>
      </c>
      <c r="N1942">
        <v>0</v>
      </c>
      <c r="O1942" s="33">
        <v>50</v>
      </c>
      <c r="P1942" s="163">
        <v>0</v>
      </c>
      <c r="Q1942" s="163">
        <v>0</v>
      </c>
      <c r="R1942" s="163">
        <v>0</v>
      </c>
      <c r="S1942" s="163">
        <v>0</v>
      </c>
      <c r="T1942" s="163">
        <v>0</v>
      </c>
      <c r="U1942" s="163">
        <v>0</v>
      </c>
      <c r="V1942" s="163">
        <v>0</v>
      </c>
      <c r="W1942" s="163">
        <v>0</v>
      </c>
      <c r="X1942" s="163">
        <v>0</v>
      </c>
      <c r="Y1942" s="163">
        <v>0</v>
      </c>
      <c r="Z1942" s="163">
        <v>0</v>
      </c>
      <c r="AA1942" s="40"/>
      <c r="AB1942" s="40"/>
      <c r="AC1942" s="40"/>
      <c r="AD1942" s="40"/>
      <c r="AE1942" s="40"/>
      <c r="AF1942" s="40"/>
      <c r="AG1942" s="40"/>
      <c r="AH1942" s="40"/>
      <c r="AI1942" s="40"/>
      <c r="AJ1942" s="40"/>
      <c r="AK1942" s="40"/>
      <c r="AL1942" s="40"/>
      <c r="AM1942" s="40"/>
      <c r="AN1942" s="40"/>
      <c r="AO1942" s="40"/>
      <c r="AP1942" s="40"/>
      <c r="AQ1942" s="40"/>
      <c r="AR1942" s="40"/>
      <c r="AS1942" s="40"/>
      <c r="AT1942" s="40"/>
      <c r="AU1942" s="40"/>
      <c r="AV1942" s="163">
        <v>0</v>
      </c>
      <c r="AW1942" s="40"/>
      <c r="AX1942" s="40"/>
      <c r="AY1942" s="281">
        <v>0</v>
      </c>
      <c r="AZ1942" s="40"/>
      <c r="BA1942" s="40"/>
      <c r="BB1942" s="40"/>
      <c r="BC1942" s="40">
        <v>0</v>
      </c>
      <c r="BD1942" s="40">
        <v>0</v>
      </c>
      <c r="BE1942" s="163">
        <v>0</v>
      </c>
      <c r="BF1942" s="163">
        <v>0</v>
      </c>
      <c r="BG1942" s="40"/>
      <c r="BH1942" s="40"/>
      <c r="BI1942" s="40"/>
      <c r="BJ1942" s="40"/>
      <c r="BK1942" s="40"/>
      <c r="BL1942" s="62">
        <v>0</v>
      </c>
      <c r="BM1942" s="275">
        <v>3</v>
      </c>
      <c r="BN1942" s="62">
        <v>0.03</v>
      </c>
      <c r="BO1942" s="33" t="s">
        <v>720</v>
      </c>
    </row>
    <row r="1943" spans="1:67">
      <c r="A1943" s="33" t="str">
        <f>Database_Productkaarten[[#This Row],[Product]]&amp;", "&amp;Database_Productkaarten[[#This Row],[Levensfase]]</f>
        <v>Rioolbuis PE 250 mm, C1</v>
      </c>
      <c r="B1943" s="33" t="s">
        <v>721</v>
      </c>
      <c r="C1943" s="33" t="s">
        <v>246</v>
      </c>
      <c r="D1943" s="33" t="s">
        <v>719</v>
      </c>
      <c r="E1943" s="33" t="s">
        <v>389</v>
      </c>
      <c r="F1943" s="33" t="s">
        <v>83</v>
      </c>
      <c r="G1943" s="33">
        <v>1</v>
      </c>
      <c r="J1943" s="33">
        <v>0.25</v>
      </c>
      <c r="K1943" s="33">
        <v>3.2000000000000001E-2</v>
      </c>
      <c r="M1943" s="361">
        <v>3.7000000000000002E-3</v>
      </c>
      <c r="N1943">
        <v>1.2859343384000001E-2</v>
      </c>
      <c r="O1943" s="33">
        <v>50</v>
      </c>
      <c r="P1943" s="163">
        <v>6.4900000000000005E-8</v>
      </c>
      <c r="Q1943" s="163">
        <v>9.4700000000000003E-4</v>
      </c>
      <c r="R1943" s="163">
        <v>0.13900000000000001</v>
      </c>
      <c r="S1943" s="163">
        <v>2.4100000000000001E-8</v>
      </c>
      <c r="T1943" s="163">
        <v>4.5599999999999997E-5</v>
      </c>
      <c r="U1943" s="163">
        <v>4.06E-4</v>
      </c>
      <c r="V1943" s="163">
        <v>7.7799999999999994E-5</v>
      </c>
      <c r="W1943" s="163">
        <v>3.4299999999999997E-2</v>
      </c>
      <c r="X1943" s="163">
        <v>6.7900000000000002E-4</v>
      </c>
      <c r="Y1943" s="163">
        <v>2.27</v>
      </c>
      <c r="Z1943" s="163">
        <v>1.22E-4</v>
      </c>
      <c r="AA1943" s="40"/>
      <c r="AB1943" s="40"/>
      <c r="AC1943" s="40"/>
      <c r="AD1943" s="40"/>
      <c r="AE1943" s="40"/>
      <c r="AF1943" s="40"/>
      <c r="AG1943" s="40"/>
      <c r="AH1943" s="40"/>
      <c r="AI1943" s="40"/>
      <c r="AJ1943" s="40"/>
      <c r="AK1943" s="40"/>
      <c r="AL1943" s="40"/>
      <c r="AM1943" s="40"/>
      <c r="AN1943" s="40"/>
      <c r="AO1943" s="40"/>
      <c r="AP1943" s="40"/>
      <c r="AQ1943" s="40"/>
      <c r="AR1943" s="40"/>
      <c r="AS1943" s="40"/>
      <c r="AT1943" s="40"/>
      <c r="AU1943" s="40"/>
      <c r="AV1943" s="163">
        <v>1.54E-2</v>
      </c>
      <c r="AW1943" s="40"/>
      <c r="AX1943" s="40"/>
      <c r="AY1943" s="281">
        <v>2.11</v>
      </c>
      <c r="AZ1943" s="40"/>
      <c r="BA1943" s="40"/>
      <c r="BB1943" s="40"/>
      <c r="BC1943" s="40">
        <v>2.0000000000000001E-4</v>
      </c>
      <c r="BD1943" s="40">
        <v>1.4600000000000001E-5</v>
      </c>
      <c r="BE1943" s="163">
        <v>3.5500000000000002E-3</v>
      </c>
      <c r="BF1943" s="163">
        <v>0</v>
      </c>
      <c r="BG1943" s="40"/>
      <c r="BH1943" s="40"/>
      <c r="BI1943" s="40"/>
      <c r="BJ1943" s="40"/>
      <c r="BK1943" s="40"/>
      <c r="BL1943" s="62">
        <v>0</v>
      </c>
      <c r="BM1943" s="275">
        <v>3</v>
      </c>
      <c r="BN1943" s="62">
        <v>0.03</v>
      </c>
      <c r="BO1943" s="33" t="s">
        <v>720</v>
      </c>
    </row>
    <row r="1944" spans="1:67">
      <c r="A1944" s="33" t="str">
        <f>Database_Productkaarten[[#This Row],[Product]]&amp;", "&amp;Database_Productkaarten[[#This Row],[Levensfase]]</f>
        <v>Rioolbuis PE 250 mm, C2</v>
      </c>
      <c r="B1944" s="33" t="s">
        <v>721</v>
      </c>
      <c r="C1944" s="33" t="s">
        <v>246</v>
      </c>
      <c r="D1944" s="33" t="s">
        <v>719</v>
      </c>
      <c r="E1944" s="33" t="s">
        <v>389</v>
      </c>
      <c r="F1944" s="33" t="s">
        <v>84</v>
      </c>
      <c r="G1944" s="33">
        <v>1</v>
      </c>
      <c r="J1944" s="33">
        <v>0.25</v>
      </c>
      <c r="K1944" s="33">
        <v>3.2000000000000001E-2</v>
      </c>
      <c r="M1944" s="361">
        <v>3.7000000000000002E-3</v>
      </c>
      <c r="N1944">
        <v>1.7516041000000001E-4</v>
      </c>
      <c r="O1944" s="33">
        <v>50</v>
      </c>
      <c r="P1944" s="163">
        <v>3E-9</v>
      </c>
      <c r="Q1944" s="163">
        <v>1.1800000000000001E-5</v>
      </c>
      <c r="R1944" s="163">
        <v>1.56E-3</v>
      </c>
      <c r="S1944" s="163">
        <v>3.1100000000000001E-10</v>
      </c>
      <c r="T1944" s="163">
        <v>9.8599999999999996E-7</v>
      </c>
      <c r="U1944" s="163">
        <v>5.6999999999999996E-6</v>
      </c>
      <c r="V1944" s="163">
        <v>1.1599999999999999E-6</v>
      </c>
      <c r="W1944" s="163">
        <v>5.5000000000000003E-4</v>
      </c>
      <c r="X1944" s="163">
        <v>3.5500000000000002E-5</v>
      </c>
      <c r="Y1944" s="163">
        <v>9.2899999999999996E-2</v>
      </c>
      <c r="Z1944" s="163">
        <v>3.2600000000000001E-6</v>
      </c>
      <c r="AA1944" s="40"/>
      <c r="AB1944" s="40"/>
      <c r="AC1944" s="40"/>
      <c r="AD1944" s="40"/>
      <c r="AE1944" s="40"/>
      <c r="AF1944" s="40"/>
      <c r="AG1944" s="40"/>
      <c r="AH1944" s="40"/>
      <c r="AI1944" s="40"/>
      <c r="AJ1944" s="40"/>
      <c r="AK1944" s="40"/>
      <c r="AL1944" s="40"/>
      <c r="AM1944" s="40"/>
      <c r="AN1944" s="40"/>
      <c r="AO1944" s="40"/>
      <c r="AP1944" s="40"/>
      <c r="AQ1944" s="40"/>
      <c r="AR1944" s="40"/>
      <c r="AS1944" s="40"/>
      <c r="AT1944" s="40"/>
      <c r="AU1944" s="40"/>
      <c r="AV1944" s="163">
        <v>4.2299999999999998E-4</v>
      </c>
      <c r="AW1944" s="40"/>
      <c r="AX1944" s="40"/>
      <c r="AY1944" s="281">
        <v>2.7E-2</v>
      </c>
      <c r="AZ1944" s="40"/>
      <c r="BA1944" s="40"/>
      <c r="BB1944" s="40"/>
      <c r="BC1944" s="40">
        <v>5.49E-6</v>
      </c>
      <c r="BD1944" s="40">
        <v>1.91E-7</v>
      </c>
      <c r="BE1944" s="163">
        <v>2.2300000000000002E-3</v>
      </c>
      <c r="BF1944" s="163">
        <v>0</v>
      </c>
      <c r="BG1944" s="40"/>
      <c r="BH1944" s="40"/>
      <c r="BI1944" s="40"/>
      <c r="BJ1944" s="40"/>
      <c r="BK1944" s="40"/>
      <c r="BL1944" s="62">
        <v>0</v>
      </c>
      <c r="BM1944" s="275">
        <v>3</v>
      </c>
      <c r="BN1944" s="62">
        <v>0.03</v>
      </c>
      <c r="BO1944" s="33" t="s">
        <v>720</v>
      </c>
    </row>
    <row r="1945" spans="1:67">
      <c r="A1945" s="33" t="str">
        <f>Database_Productkaarten[[#This Row],[Product]]&amp;", "&amp;Database_Productkaarten[[#This Row],[Levensfase]]</f>
        <v>Rioolbuis PE 250 mm, C3</v>
      </c>
      <c r="B1945" s="33" t="s">
        <v>721</v>
      </c>
      <c r="C1945" s="33" t="s">
        <v>246</v>
      </c>
      <c r="D1945" s="33" t="s">
        <v>719</v>
      </c>
      <c r="E1945" s="33" t="s">
        <v>389</v>
      </c>
      <c r="F1945" s="33" t="s">
        <v>85</v>
      </c>
      <c r="G1945" s="33">
        <v>1</v>
      </c>
      <c r="J1945" s="33">
        <v>0.25</v>
      </c>
      <c r="K1945" s="33">
        <v>3.2000000000000001E-2</v>
      </c>
      <c r="M1945" s="361">
        <v>3.7000000000000002E-3</v>
      </c>
      <c r="N1945">
        <v>2.0449561472E-2</v>
      </c>
      <c r="O1945" s="33">
        <v>50</v>
      </c>
      <c r="P1945" s="163">
        <v>8.1699999999999997E-8</v>
      </c>
      <c r="Q1945" s="163">
        <v>1.7200000000000001E-4</v>
      </c>
      <c r="R1945" s="163">
        <v>0.313</v>
      </c>
      <c r="S1945" s="163">
        <v>2.28E-9</v>
      </c>
      <c r="T1945" s="163">
        <v>1.5299999999999999E-5</v>
      </c>
      <c r="U1945" s="163">
        <v>1.0399999999999999E-4</v>
      </c>
      <c r="V1945" s="163">
        <v>2.4600000000000002E-5</v>
      </c>
      <c r="W1945" s="163">
        <v>3.8300000000000001E-2</v>
      </c>
      <c r="X1945" s="163">
        <v>3.5200000000000001E-3</v>
      </c>
      <c r="Y1945" s="163">
        <v>5.45</v>
      </c>
      <c r="Z1945" s="163">
        <v>1.06E-4</v>
      </c>
      <c r="AA1945" s="40"/>
      <c r="AB1945" s="40"/>
      <c r="AC1945" s="40"/>
      <c r="AD1945" s="40"/>
      <c r="AE1945" s="40"/>
      <c r="AF1945" s="40"/>
      <c r="AG1945" s="40"/>
      <c r="AH1945" s="40"/>
      <c r="AI1945" s="40"/>
      <c r="AJ1945" s="40"/>
      <c r="AK1945" s="40"/>
      <c r="AL1945" s="40"/>
      <c r="AM1945" s="40"/>
      <c r="AN1945" s="40"/>
      <c r="AO1945" s="40"/>
      <c r="AP1945" s="40"/>
      <c r="AQ1945" s="40"/>
      <c r="AR1945" s="40"/>
      <c r="AS1945" s="40"/>
      <c r="AT1945" s="40"/>
      <c r="AU1945" s="40"/>
      <c r="AV1945" s="163">
        <v>1.6299999999999999E-2</v>
      </c>
      <c r="AW1945" s="40"/>
      <c r="AX1945" s="40"/>
      <c r="AY1945" s="281">
        <v>0.38800000000000001</v>
      </c>
      <c r="AZ1945" s="40"/>
      <c r="BA1945" s="40"/>
      <c r="BB1945" s="40"/>
      <c r="BC1945" s="40">
        <v>1.94E-4</v>
      </c>
      <c r="BD1945" s="40">
        <v>5.6599999999999996E-7</v>
      </c>
      <c r="BE1945" s="163">
        <v>1.84E-2</v>
      </c>
      <c r="BF1945" s="163">
        <v>1.31E-6</v>
      </c>
      <c r="BG1945" s="40"/>
      <c r="BH1945" s="40"/>
      <c r="BI1945" s="40"/>
      <c r="BJ1945" s="40"/>
      <c r="BK1945" s="40"/>
      <c r="BL1945" s="62">
        <v>0</v>
      </c>
      <c r="BM1945" s="275">
        <v>3</v>
      </c>
      <c r="BN1945" s="62">
        <v>0.03</v>
      </c>
      <c r="BO1945" s="33" t="s">
        <v>720</v>
      </c>
    </row>
    <row r="1946" spans="1:67">
      <c r="A1946" s="33" t="str">
        <f>Database_Productkaarten[[#This Row],[Product]]&amp;", "&amp;Database_Productkaarten[[#This Row],[Levensfase]]</f>
        <v>Rioolbuis PE 250 mm, C4</v>
      </c>
      <c r="B1946" s="33" t="s">
        <v>721</v>
      </c>
      <c r="C1946" s="33" t="s">
        <v>246</v>
      </c>
      <c r="D1946" s="33" t="s">
        <v>719</v>
      </c>
      <c r="E1946" s="33" t="s">
        <v>389</v>
      </c>
      <c r="F1946" s="33" t="s">
        <v>86</v>
      </c>
      <c r="G1946" s="33">
        <v>1</v>
      </c>
      <c r="J1946" s="33">
        <v>0.25</v>
      </c>
      <c r="K1946" s="33">
        <v>3.2000000000000001E-2</v>
      </c>
      <c r="M1946" s="361">
        <v>3.7000000000000002E-3</v>
      </c>
      <c r="N1946">
        <v>0</v>
      </c>
      <c r="O1946" s="33">
        <v>50</v>
      </c>
      <c r="P1946" s="163">
        <v>0</v>
      </c>
      <c r="Q1946" s="163">
        <v>0</v>
      </c>
      <c r="R1946" s="163">
        <v>0</v>
      </c>
      <c r="S1946" s="163">
        <v>0</v>
      </c>
      <c r="T1946" s="163">
        <v>0</v>
      </c>
      <c r="U1946" s="163">
        <v>0</v>
      </c>
      <c r="V1946" s="163">
        <v>0</v>
      </c>
      <c r="W1946" s="163">
        <v>0</v>
      </c>
      <c r="X1946" s="163">
        <v>0</v>
      </c>
      <c r="Y1946" s="163">
        <v>0</v>
      </c>
      <c r="Z1946" s="163">
        <v>0</v>
      </c>
      <c r="AA1946" s="40"/>
      <c r="AB1946" s="40"/>
      <c r="AC1946" s="40"/>
      <c r="AD1946" s="40"/>
      <c r="AE1946" s="40"/>
      <c r="AF1946" s="40"/>
      <c r="AG1946" s="40"/>
      <c r="AH1946" s="40"/>
      <c r="AI1946" s="40"/>
      <c r="AJ1946" s="40"/>
      <c r="AK1946" s="40"/>
      <c r="AL1946" s="40"/>
      <c r="AM1946" s="40"/>
      <c r="AN1946" s="40"/>
      <c r="AO1946" s="40"/>
      <c r="AP1946" s="40"/>
      <c r="AQ1946" s="40"/>
      <c r="AR1946" s="40"/>
      <c r="AS1946" s="40"/>
      <c r="AT1946" s="40"/>
      <c r="AU1946" s="40"/>
      <c r="AV1946" s="163">
        <v>0</v>
      </c>
      <c r="AW1946" s="40"/>
      <c r="AX1946" s="40"/>
      <c r="AY1946" s="281">
        <v>0</v>
      </c>
      <c r="AZ1946" s="40"/>
      <c r="BA1946" s="40"/>
      <c r="BB1946" s="40"/>
      <c r="BC1946" s="40">
        <v>0</v>
      </c>
      <c r="BD1946" s="40">
        <v>0</v>
      </c>
      <c r="BE1946" s="163">
        <v>0</v>
      </c>
      <c r="BF1946" s="163">
        <v>0</v>
      </c>
      <c r="BG1946" s="40"/>
      <c r="BH1946" s="40"/>
      <c r="BI1946" s="40"/>
      <c r="BJ1946" s="40"/>
      <c r="BK1946" s="40"/>
      <c r="BL1946" s="62">
        <v>0</v>
      </c>
      <c r="BM1946" s="275">
        <v>3</v>
      </c>
      <c r="BN1946" s="62">
        <v>0.03</v>
      </c>
      <c r="BO1946" s="33" t="s">
        <v>720</v>
      </c>
    </row>
    <row r="1947" spans="1:67">
      <c r="A1947" s="33" t="str">
        <f>Database_Productkaarten[[#This Row],[Product]]&amp;", "&amp;Database_Productkaarten[[#This Row],[Levensfase]]</f>
        <v>Rioolbuis PE 250 mm, D</v>
      </c>
      <c r="B1947" s="33" t="s">
        <v>721</v>
      </c>
      <c r="C1947" s="33" t="s">
        <v>246</v>
      </c>
      <c r="D1947" s="33" t="s">
        <v>719</v>
      </c>
      <c r="E1947" s="33" t="s">
        <v>389</v>
      </c>
      <c r="F1947" s="33" t="s">
        <v>89</v>
      </c>
      <c r="G1947" s="33">
        <v>1</v>
      </c>
      <c r="J1947" s="33">
        <v>0.25</v>
      </c>
      <c r="K1947" s="33">
        <v>3.2000000000000001E-2</v>
      </c>
      <c r="M1947" s="361">
        <v>3.7000000000000002E-3</v>
      </c>
      <c r="N1947">
        <v>-1.8745034984E-2</v>
      </c>
      <c r="O1947" s="33">
        <v>50</v>
      </c>
      <c r="P1947" s="163">
        <v>-1.24E-8</v>
      </c>
      <c r="Q1947" s="163">
        <v>-3.5500000000000002E-3</v>
      </c>
      <c r="R1947" s="163">
        <v>-0.28599999999999998</v>
      </c>
      <c r="S1947" s="163">
        <v>-1.89E-8</v>
      </c>
      <c r="T1947" s="163">
        <v>-1.8900000000000001E-4</v>
      </c>
      <c r="U1947" s="163">
        <v>-5.1099999999999995E-4</v>
      </c>
      <c r="V1947" s="163">
        <v>-4.2599999999999999E-5</v>
      </c>
      <c r="W1947" s="163">
        <v>-1.0999999999999999E-2</v>
      </c>
      <c r="X1947" s="163">
        <v>-2.6899999999999998E-4</v>
      </c>
      <c r="Y1947" s="163">
        <v>-0.71099999999999997</v>
      </c>
      <c r="Z1947" s="163">
        <v>-3.1600000000000002E-5</v>
      </c>
      <c r="AA1947" s="40"/>
      <c r="AB1947" s="40"/>
      <c r="AC1947" s="40"/>
      <c r="AD1947" s="40"/>
      <c r="AE1947" s="40"/>
      <c r="AF1947" s="40"/>
      <c r="AG1947" s="40"/>
      <c r="AH1947" s="40"/>
      <c r="AI1947" s="40"/>
      <c r="AJ1947" s="40"/>
      <c r="AK1947" s="40"/>
      <c r="AL1947" s="40"/>
      <c r="AM1947" s="40"/>
      <c r="AN1947" s="40"/>
      <c r="AO1947" s="40"/>
      <c r="AP1947" s="40"/>
      <c r="AQ1947" s="40"/>
      <c r="AR1947" s="40"/>
      <c r="AS1947" s="40"/>
      <c r="AT1947" s="40"/>
      <c r="AU1947" s="40"/>
      <c r="AV1947" s="163">
        <v>-6.1400000000000003E-2</v>
      </c>
      <c r="AW1947" s="40"/>
      <c r="AX1947" s="40"/>
      <c r="AY1947" s="281">
        <v>-7.77</v>
      </c>
      <c r="AZ1947" s="40"/>
      <c r="BA1947" s="40"/>
      <c r="BB1947" s="40"/>
      <c r="BC1947" s="40">
        <v>-9.8499999999999998E-4</v>
      </c>
      <c r="BD1947" s="40">
        <v>-3.4800000000000001E-6</v>
      </c>
      <c r="BE1947" s="163">
        <v>-2.33E-3</v>
      </c>
      <c r="BF1947" s="163">
        <v>-1.3400000000000001E-6</v>
      </c>
      <c r="BG1947" s="40"/>
      <c r="BH1947" s="40"/>
      <c r="BI1947" s="40"/>
      <c r="BJ1947" s="40"/>
      <c r="BK1947" s="40"/>
      <c r="BL1947" s="62">
        <v>0</v>
      </c>
      <c r="BM1947" s="275">
        <v>3</v>
      </c>
      <c r="BN1947" s="62">
        <v>0.03</v>
      </c>
      <c r="BO1947" s="33" t="s">
        <v>720</v>
      </c>
    </row>
    <row r="1948" spans="1:67">
      <c r="A1948" s="33" t="str">
        <f>Database_Productkaarten[[#This Row],[Product]]&amp;", "&amp;Database_Productkaarten[[#This Row],[Levensfase]]</f>
        <v>Rioolbuis PE 250 mm, D1</v>
      </c>
      <c r="B1948" s="33" t="s">
        <v>721</v>
      </c>
      <c r="C1948" s="33" t="s">
        <v>246</v>
      </c>
      <c r="D1948" s="33" t="s">
        <v>719</v>
      </c>
      <c r="E1948" s="33" t="s">
        <v>389</v>
      </c>
      <c r="F1948" s="33" t="s">
        <v>87</v>
      </c>
      <c r="G1948" s="33">
        <v>1</v>
      </c>
      <c r="J1948" s="33">
        <v>0.25</v>
      </c>
      <c r="K1948" s="33">
        <v>3.2000000000000001E-2</v>
      </c>
      <c r="M1948" s="361">
        <v>3.7000000000000002E-3</v>
      </c>
      <c r="N1948" s="41"/>
      <c r="O1948" s="33">
        <v>50</v>
      </c>
      <c r="P1948" s="40"/>
      <c r="Q1948" s="40"/>
      <c r="R1948" s="40"/>
      <c r="S1948" s="40"/>
      <c r="T1948" s="40"/>
      <c r="U1948" s="40"/>
      <c r="V1948" s="40"/>
      <c r="W1948" s="40"/>
      <c r="X1948" s="40"/>
      <c r="Y1948" s="40"/>
      <c r="Z1948" s="40"/>
      <c r="AA1948" s="40"/>
      <c r="AB1948" s="40"/>
      <c r="AC1948" s="40"/>
      <c r="AD1948" s="40"/>
      <c r="AE1948" s="40"/>
      <c r="AF1948" s="40"/>
      <c r="AG1948" s="40"/>
      <c r="AH1948" s="40"/>
      <c r="AI1948" s="40"/>
      <c r="AJ1948" s="40"/>
      <c r="AK1948" s="40"/>
      <c r="AL1948" s="40"/>
      <c r="AM1948" s="40"/>
      <c r="AN1948" s="40"/>
      <c r="AO1948" s="40"/>
      <c r="AP1948" s="40"/>
      <c r="AQ1948" s="40"/>
      <c r="AR1948" s="40"/>
      <c r="AS1948" s="40"/>
      <c r="AT1948" s="40"/>
      <c r="AU1948" s="40"/>
      <c r="AV1948" s="40"/>
      <c r="AW1948" s="40"/>
      <c r="AX1948" s="40"/>
      <c r="AY1948" s="281"/>
      <c r="AZ1948" s="40"/>
      <c r="BA1948" s="40"/>
      <c r="BB1948" s="40"/>
      <c r="BC1948" s="40"/>
      <c r="BD1948" s="40"/>
      <c r="BE1948" s="40"/>
      <c r="BF1948" s="40"/>
      <c r="BG1948" s="40"/>
      <c r="BH1948" s="40"/>
      <c r="BI1948" s="40"/>
      <c r="BJ1948" s="40"/>
      <c r="BK1948" s="40"/>
      <c r="BL1948" s="62">
        <v>0</v>
      </c>
      <c r="BM1948" s="275">
        <v>3</v>
      </c>
      <c r="BN1948" s="62">
        <v>0.03</v>
      </c>
      <c r="BO1948" s="33" t="s">
        <v>720</v>
      </c>
    </row>
    <row r="1949" spans="1:67">
      <c r="A1949" s="33" t="str">
        <f>Database_Productkaarten[[#This Row],[Product]]&amp;", "&amp;Database_Productkaarten[[#This Row],[Levensfase]]</f>
        <v>Rioolbuis PE 250 mm, D2</v>
      </c>
      <c r="B1949" s="33" t="s">
        <v>721</v>
      </c>
      <c r="C1949" s="33" t="s">
        <v>246</v>
      </c>
      <c r="D1949" s="33" t="s">
        <v>719</v>
      </c>
      <c r="E1949" s="33" t="s">
        <v>389</v>
      </c>
      <c r="F1949" s="33" t="s">
        <v>88</v>
      </c>
      <c r="G1949" s="33">
        <v>1</v>
      </c>
      <c r="J1949" s="33">
        <v>0.25</v>
      </c>
      <c r="K1949" s="33">
        <v>3.2000000000000001E-2</v>
      </c>
      <c r="M1949" s="361">
        <v>3.7000000000000002E-3</v>
      </c>
      <c r="N1949" s="41"/>
      <c r="O1949" s="33">
        <v>50</v>
      </c>
      <c r="P1949" s="40"/>
      <c r="Q1949" s="40"/>
      <c r="R1949" s="40"/>
      <c r="S1949" s="40"/>
      <c r="T1949" s="40"/>
      <c r="U1949" s="40"/>
      <c r="V1949" s="40"/>
      <c r="W1949" s="40"/>
      <c r="X1949" s="40"/>
      <c r="Y1949" s="40"/>
      <c r="Z1949" s="40"/>
      <c r="AA1949" s="40"/>
      <c r="AB1949" s="40"/>
      <c r="AC1949" s="40"/>
      <c r="AD1949" s="40"/>
      <c r="AE1949" s="40"/>
      <c r="AF1949" s="40"/>
      <c r="AG1949" s="40"/>
      <c r="AH1949" s="40"/>
      <c r="AI1949" s="40"/>
      <c r="AJ1949" s="40"/>
      <c r="AK1949" s="40"/>
      <c r="AL1949" s="40"/>
      <c r="AM1949" s="40"/>
      <c r="AN1949" s="40"/>
      <c r="AO1949" s="40"/>
      <c r="AP1949" s="40"/>
      <c r="AQ1949" s="40"/>
      <c r="AR1949" s="40"/>
      <c r="AS1949" s="40"/>
      <c r="AT1949" s="40"/>
      <c r="AU1949" s="40"/>
      <c r="AV1949" s="40"/>
      <c r="AW1949" s="40"/>
      <c r="AX1949" s="40"/>
      <c r="AY1949" s="281"/>
      <c r="AZ1949" s="40"/>
      <c r="BA1949" s="40"/>
      <c r="BB1949" s="40"/>
      <c r="BC1949" s="40"/>
      <c r="BD1949" s="40"/>
      <c r="BE1949" s="40"/>
      <c r="BF1949" s="40"/>
      <c r="BG1949" s="40"/>
      <c r="BH1949" s="40"/>
      <c r="BI1949" s="40"/>
      <c r="BJ1949" s="40"/>
      <c r="BK1949" s="40"/>
      <c r="BL1949" s="62">
        <v>0</v>
      </c>
      <c r="BM1949" s="275">
        <v>3</v>
      </c>
      <c r="BN1949" s="62">
        <v>0.03</v>
      </c>
      <c r="BO1949" s="33" t="s">
        <v>720</v>
      </c>
    </row>
    <row r="1950" spans="1:67">
      <c r="A1950" s="33" t="str">
        <f>Database_Productkaarten[[#This Row],[Product]]&amp;", "&amp;Database_Productkaarten[[#This Row],[Levensfase]]</f>
        <v>Rioolbuis PE 580 mm, Totaal</v>
      </c>
      <c r="B1950" s="33" t="s">
        <v>722</v>
      </c>
      <c r="C1950" s="33" t="s">
        <v>246</v>
      </c>
      <c r="D1950" s="33" t="s">
        <v>719</v>
      </c>
      <c r="E1950" s="33" t="s">
        <v>389</v>
      </c>
      <c r="F1950" s="33" t="s">
        <v>90</v>
      </c>
      <c r="G1950" s="33">
        <v>1</v>
      </c>
      <c r="J1950" s="33">
        <v>0.57999999999999996</v>
      </c>
      <c r="K1950" s="33">
        <v>0.08</v>
      </c>
      <c r="M1950" s="361">
        <v>1.5800000000000002E-2</v>
      </c>
      <c r="N1950" s="41"/>
      <c r="O1950" s="33">
        <v>50</v>
      </c>
      <c r="P1950" s="40"/>
      <c r="Q1950" s="40"/>
      <c r="R1950" s="40"/>
      <c r="S1950" s="40"/>
      <c r="T1950" s="40"/>
      <c r="U1950" s="40"/>
      <c r="V1950" s="40"/>
      <c r="W1950" s="40"/>
      <c r="X1950" s="40"/>
      <c r="Y1950" s="40"/>
      <c r="Z1950" s="40"/>
      <c r="AA1950" s="40"/>
      <c r="AB1950" s="40"/>
      <c r="AC1950" s="40"/>
      <c r="AD1950" s="40"/>
      <c r="AE1950" s="40"/>
      <c r="AF1950" s="40"/>
      <c r="AG1950" s="40"/>
      <c r="AH1950" s="40"/>
      <c r="AI1950" s="40"/>
      <c r="AJ1950" s="40"/>
      <c r="AK1950" s="40"/>
      <c r="AL1950" s="40"/>
      <c r="AM1950" s="40"/>
      <c r="AN1950" s="40"/>
      <c r="AO1950" s="40"/>
      <c r="AP1950" s="40"/>
      <c r="AQ1950" s="40"/>
      <c r="AR1950" s="40"/>
      <c r="AS1950" s="40"/>
      <c r="AT1950" s="40"/>
      <c r="AU1950" s="40"/>
      <c r="AV1950" s="40"/>
      <c r="AW1950" s="40"/>
      <c r="AX1950" s="40"/>
      <c r="AY1950" s="281"/>
      <c r="AZ1950" s="40"/>
      <c r="BA1950" s="40"/>
      <c r="BB1950" s="40"/>
      <c r="BC1950" s="40"/>
      <c r="BD1950" s="40"/>
      <c r="BE1950" s="40"/>
      <c r="BF1950" s="40"/>
      <c r="BG1950" s="40"/>
      <c r="BH1950" s="40"/>
      <c r="BI1950" s="40"/>
      <c r="BJ1950" s="40"/>
      <c r="BK1950" s="40"/>
      <c r="BL1950" s="62">
        <v>0</v>
      </c>
      <c r="BM1950" s="275">
        <v>3</v>
      </c>
      <c r="BN1950" s="62">
        <v>0.03</v>
      </c>
      <c r="BO1950" s="33" t="s">
        <v>720</v>
      </c>
    </row>
    <row r="1951" spans="1:67">
      <c r="A1951" s="33" t="str">
        <f>Database_Productkaarten[[#This Row],[Product]]&amp;", "&amp;Database_Productkaarten[[#This Row],[Levensfase]]</f>
        <v>Rioolbuis PE 580 mm, A1</v>
      </c>
      <c r="B1951" s="33" t="s">
        <v>722</v>
      </c>
      <c r="C1951" s="33" t="s">
        <v>246</v>
      </c>
      <c r="D1951" s="33" t="s">
        <v>719</v>
      </c>
      <c r="E1951" s="33" t="s">
        <v>389</v>
      </c>
      <c r="F1951" s="33" t="s">
        <v>74</v>
      </c>
      <c r="G1951" s="33">
        <v>1</v>
      </c>
      <c r="J1951" s="33">
        <v>0.57999999999999996</v>
      </c>
      <c r="K1951" s="33">
        <v>0.08</v>
      </c>
      <c r="M1951" s="361">
        <v>1.5800000000000002E-2</v>
      </c>
      <c r="N1951" s="41"/>
      <c r="O1951" s="33">
        <v>50</v>
      </c>
      <c r="P1951" s="40"/>
      <c r="Q1951" s="40"/>
      <c r="R1951" s="40"/>
      <c r="S1951" s="40"/>
      <c r="T1951" s="40"/>
      <c r="U1951" s="40"/>
      <c r="V1951" s="40"/>
      <c r="W1951" s="40"/>
      <c r="X1951" s="40"/>
      <c r="Y1951" s="40"/>
      <c r="Z1951" s="40"/>
      <c r="AA1951" s="40"/>
      <c r="AB1951" s="40"/>
      <c r="AC1951" s="40"/>
      <c r="AD1951" s="40"/>
      <c r="AE1951" s="40"/>
      <c r="AF1951" s="40"/>
      <c r="AG1951" s="40"/>
      <c r="AH1951" s="40"/>
      <c r="AI1951" s="40"/>
      <c r="AJ1951" s="40"/>
      <c r="AK1951" s="40"/>
      <c r="AL1951" s="40"/>
      <c r="AM1951" s="40"/>
      <c r="AN1951" s="40"/>
      <c r="AO1951" s="40"/>
      <c r="AP1951" s="40"/>
      <c r="AQ1951" s="40"/>
      <c r="AR1951" s="40"/>
      <c r="AS1951" s="40"/>
      <c r="AT1951" s="40"/>
      <c r="AU1951" s="40"/>
      <c r="AV1951" s="40"/>
      <c r="AW1951" s="40"/>
      <c r="AX1951" s="40"/>
      <c r="AY1951" s="281"/>
      <c r="AZ1951" s="40"/>
      <c r="BA1951" s="40"/>
      <c r="BB1951" s="40"/>
      <c r="BC1951" s="40"/>
      <c r="BD1951" s="40"/>
      <c r="BE1951" s="40"/>
      <c r="BF1951" s="40"/>
      <c r="BG1951" s="40"/>
      <c r="BH1951" s="40"/>
      <c r="BI1951" s="40"/>
      <c r="BJ1951" s="40"/>
      <c r="BK1951" s="40"/>
      <c r="BL1951" s="62">
        <v>0</v>
      </c>
      <c r="BM1951" s="275">
        <v>3</v>
      </c>
      <c r="BN1951" s="62">
        <v>0.03</v>
      </c>
      <c r="BO1951" s="33" t="s">
        <v>720</v>
      </c>
    </row>
    <row r="1952" spans="1:67">
      <c r="A1952" s="33" t="str">
        <f>Database_Productkaarten[[#This Row],[Product]]&amp;", "&amp;Database_Productkaarten[[#This Row],[Levensfase]]</f>
        <v>Rioolbuis PE 580 mm, A2</v>
      </c>
      <c r="B1952" s="33" t="s">
        <v>722</v>
      </c>
      <c r="C1952" s="33" t="s">
        <v>246</v>
      </c>
      <c r="D1952" s="33" t="s">
        <v>719</v>
      </c>
      <c r="E1952" s="33" t="s">
        <v>389</v>
      </c>
      <c r="F1952" s="33" t="s">
        <v>75</v>
      </c>
      <c r="G1952" s="33">
        <v>1</v>
      </c>
      <c r="J1952" s="33">
        <v>0.57999999999999996</v>
      </c>
      <c r="K1952" s="33">
        <v>0.08</v>
      </c>
      <c r="M1952" s="361">
        <v>1.5800000000000002E-2</v>
      </c>
      <c r="N1952" s="41"/>
      <c r="O1952" s="33">
        <v>50</v>
      </c>
      <c r="P1952" s="40"/>
      <c r="Q1952" s="40"/>
      <c r="R1952" s="40"/>
      <c r="S1952" s="40"/>
      <c r="T1952" s="40"/>
      <c r="U1952" s="40"/>
      <c r="V1952" s="40"/>
      <c r="W1952" s="40"/>
      <c r="X1952" s="40"/>
      <c r="Y1952" s="40"/>
      <c r="Z1952" s="40"/>
      <c r="AA1952" s="40"/>
      <c r="AB1952" s="40"/>
      <c r="AC1952" s="40"/>
      <c r="AD1952" s="40"/>
      <c r="AE1952" s="40"/>
      <c r="AF1952" s="40"/>
      <c r="AG1952" s="40"/>
      <c r="AH1952" s="40"/>
      <c r="AI1952" s="40"/>
      <c r="AJ1952" s="40"/>
      <c r="AK1952" s="40"/>
      <c r="AL1952" s="40"/>
      <c r="AM1952" s="40"/>
      <c r="AN1952" s="40"/>
      <c r="AO1952" s="40"/>
      <c r="AP1952" s="40"/>
      <c r="AQ1952" s="40"/>
      <c r="AR1952" s="40"/>
      <c r="AS1952" s="40"/>
      <c r="AT1952" s="40"/>
      <c r="AU1952" s="40"/>
      <c r="AV1952" s="40"/>
      <c r="AW1952" s="40"/>
      <c r="AX1952" s="40"/>
      <c r="AY1952" s="281"/>
      <c r="AZ1952" s="40"/>
      <c r="BA1952" s="40"/>
      <c r="BB1952" s="40"/>
      <c r="BC1952" s="40"/>
      <c r="BD1952" s="40"/>
      <c r="BE1952" s="40"/>
      <c r="BF1952" s="40"/>
      <c r="BG1952" s="40"/>
      <c r="BH1952" s="40"/>
      <c r="BI1952" s="40"/>
      <c r="BJ1952" s="40"/>
      <c r="BK1952" s="40"/>
      <c r="BL1952" s="62">
        <v>0</v>
      </c>
      <c r="BM1952" s="275">
        <v>3</v>
      </c>
      <c r="BN1952" s="62">
        <v>0.03</v>
      </c>
      <c r="BO1952" s="33" t="s">
        <v>720</v>
      </c>
    </row>
    <row r="1953" spans="1:67">
      <c r="A1953" s="33" t="str">
        <f>Database_Productkaarten[[#This Row],[Product]]&amp;", "&amp;Database_Productkaarten[[#This Row],[Levensfase]]</f>
        <v>Rioolbuis PE 580 mm, A3</v>
      </c>
      <c r="B1953" s="33" t="s">
        <v>722</v>
      </c>
      <c r="C1953" s="33" t="s">
        <v>246</v>
      </c>
      <c r="D1953" s="33" t="s">
        <v>719</v>
      </c>
      <c r="E1953" s="33" t="s">
        <v>389</v>
      </c>
      <c r="F1953" s="33" t="s">
        <v>76</v>
      </c>
      <c r="G1953" s="33">
        <v>1</v>
      </c>
      <c r="J1953" s="33">
        <v>0.57999999999999996</v>
      </c>
      <c r="K1953" s="33">
        <v>0.08</v>
      </c>
      <c r="M1953" s="361">
        <v>1.5800000000000002E-2</v>
      </c>
      <c r="N1953" s="41"/>
      <c r="O1953" s="33">
        <v>50</v>
      </c>
      <c r="P1953" s="40"/>
      <c r="Q1953" s="40"/>
      <c r="R1953" s="40"/>
      <c r="S1953" s="40"/>
      <c r="T1953" s="40"/>
      <c r="U1953" s="40"/>
      <c r="V1953" s="40"/>
      <c r="W1953" s="40"/>
      <c r="X1953" s="40"/>
      <c r="Y1953" s="40"/>
      <c r="Z1953" s="40"/>
      <c r="AA1953" s="40"/>
      <c r="AB1953" s="40"/>
      <c r="AC1953" s="40"/>
      <c r="AD1953" s="40"/>
      <c r="AE1953" s="40"/>
      <c r="AF1953" s="40"/>
      <c r="AG1953" s="40"/>
      <c r="AH1953" s="40"/>
      <c r="AI1953" s="40"/>
      <c r="AJ1953" s="40"/>
      <c r="AK1953" s="40"/>
      <c r="AL1953" s="40"/>
      <c r="AM1953" s="40"/>
      <c r="AN1953" s="40"/>
      <c r="AO1953" s="40"/>
      <c r="AP1953" s="40"/>
      <c r="AQ1953" s="40"/>
      <c r="AR1953" s="40"/>
      <c r="AS1953" s="40"/>
      <c r="AT1953" s="40"/>
      <c r="AU1953" s="40"/>
      <c r="AV1953" s="40"/>
      <c r="AW1953" s="40"/>
      <c r="AX1953" s="40"/>
      <c r="AY1953" s="281"/>
      <c r="AZ1953" s="40"/>
      <c r="BA1953" s="40"/>
      <c r="BB1953" s="40"/>
      <c r="BC1953" s="40"/>
      <c r="BD1953" s="40"/>
      <c r="BE1953" s="40"/>
      <c r="BF1953" s="40"/>
      <c r="BG1953" s="40"/>
      <c r="BH1953" s="40"/>
      <c r="BI1953" s="40"/>
      <c r="BJ1953" s="40"/>
      <c r="BK1953" s="40"/>
      <c r="BL1953" s="62">
        <v>0</v>
      </c>
      <c r="BM1953" s="275">
        <v>3</v>
      </c>
      <c r="BN1953" s="62">
        <v>0.03</v>
      </c>
      <c r="BO1953" s="33" t="s">
        <v>720</v>
      </c>
    </row>
    <row r="1954" spans="1:67">
      <c r="A1954" s="33" t="str">
        <f>Database_Productkaarten[[#This Row],[Product]]&amp;", "&amp;Database_Productkaarten[[#This Row],[Levensfase]]</f>
        <v>Rioolbuis PE 580 mm, A1-A3</v>
      </c>
      <c r="B1954" s="33" t="s">
        <v>722</v>
      </c>
      <c r="C1954" s="33" t="s">
        <v>246</v>
      </c>
      <c r="D1954" s="33" t="s">
        <v>719</v>
      </c>
      <c r="E1954" s="33" t="s">
        <v>389</v>
      </c>
      <c r="F1954" s="451" t="s">
        <v>77</v>
      </c>
      <c r="G1954" s="33">
        <v>1</v>
      </c>
      <c r="J1954" s="33">
        <v>0.57999999999999996</v>
      </c>
      <c r="K1954" s="33">
        <v>0.08</v>
      </c>
      <c r="M1954" s="361">
        <v>1.5800000000000002E-2</v>
      </c>
      <c r="N1954">
        <v>3.2984059440000002</v>
      </c>
      <c r="O1954" s="33">
        <v>50</v>
      </c>
      <c r="P1954" s="163">
        <v>1.4399999999999999E-5</v>
      </c>
      <c r="Q1954" s="163">
        <v>0.58499999999999996</v>
      </c>
      <c r="R1954" s="163">
        <v>40</v>
      </c>
      <c r="S1954" s="163">
        <v>5.8800000000000002E-7</v>
      </c>
      <c r="T1954" s="163">
        <v>4.5400000000000003E-2</v>
      </c>
      <c r="U1954" s="163">
        <v>0.14599999999999999</v>
      </c>
      <c r="V1954" s="163">
        <v>1.2200000000000001E-2</v>
      </c>
      <c r="W1954" s="163">
        <v>4.24</v>
      </c>
      <c r="X1954" s="163">
        <v>0.109</v>
      </c>
      <c r="Y1954" s="163">
        <v>342</v>
      </c>
      <c r="Z1954" s="163">
        <v>1.8599999999999998E-2</v>
      </c>
      <c r="AA1954" s="40"/>
      <c r="AB1954" s="40"/>
      <c r="AC1954" s="40"/>
      <c r="AD1954" s="40"/>
      <c r="AE1954" s="40"/>
      <c r="AF1954" s="40"/>
      <c r="AG1954" s="40"/>
      <c r="AH1954" s="40"/>
      <c r="AI1954" s="40"/>
      <c r="AJ1954" s="40"/>
      <c r="AK1954" s="40"/>
      <c r="AL1954" s="40"/>
      <c r="AM1954" s="40"/>
      <c r="AN1954" s="40"/>
      <c r="AO1954" s="40"/>
      <c r="AP1954" s="40"/>
      <c r="AQ1954" s="40"/>
      <c r="AR1954" s="40"/>
      <c r="AS1954" s="40"/>
      <c r="AT1954" s="40"/>
      <c r="AU1954" s="40"/>
      <c r="AV1954" s="163">
        <v>35.6</v>
      </c>
      <c r="AW1954" s="40"/>
      <c r="AX1954" s="40"/>
      <c r="AY1954" s="281">
        <v>1330</v>
      </c>
      <c r="AZ1954" s="40"/>
      <c r="BA1954" s="40"/>
      <c r="BB1954" s="40"/>
      <c r="BC1954" s="40">
        <v>0.371</v>
      </c>
      <c r="BD1954" s="40">
        <v>1.44E-4</v>
      </c>
      <c r="BE1954" s="163">
        <v>1.87</v>
      </c>
      <c r="BF1954" s="163">
        <v>4.6999999999999999E-4</v>
      </c>
      <c r="BG1954" s="40"/>
      <c r="BH1954" s="40"/>
      <c r="BI1954" s="40"/>
      <c r="BJ1954" s="40"/>
      <c r="BK1954" s="40"/>
      <c r="BL1954" s="62">
        <v>0</v>
      </c>
      <c r="BM1954" s="275">
        <v>3</v>
      </c>
      <c r="BN1954" s="62">
        <v>0.03</v>
      </c>
      <c r="BO1954" s="33" t="s">
        <v>720</v>
      </c>
    </row>
    <row r="1955" spans="1:67">
      <c r="A1955" s="33" t="str">
        <f>Database_Productkaarten[[#This Row],[Product]]&amp;", "&amp;Database_Productkaarten[[#This Row],[Levensfase]]</f>
        <v>Rioolbuis PE 580 mm, A4</v>
      </c>
      <c r="B1955" s="33" t="s">
        <v>722</v>
      </c>
      <c r="C1955" s="33" t="s">
        <v>246</v>
      </c>
      <c r="D1955" s="33" t="s">
        <v>719</v>
      </c>
      <c r="E1955" s="33" t="s">
        <v>389</v>
      </c>
      <c r="F1955" s="33" t="s">
        <v>78</v>
      </c>
      <c r="G1955" s="33">
        <v>1</v>
      </c>
      <c r="J1955" s="33">
        <v>0.57999999999999996</v>
      </c>
      <c r="K1955" s="33">
        <v>0.08</v>
      </c>
      <c r="M1955" s="361">
        <v>1.5800000000000002E-2</v>
      </c>
      <c r="N1955">
        <v>2.2454035440000002E-2</v>
      </c>
      <c r="O1955" s="33">
        <v>50</v>
      </c>
      <c r="P1955" s="163">
        <v>3.84E-7</v>
      </c>
      <c r="Q1955" s="163">
        <v>1.5200000000000001E-3</v>
      </c>
      <c r="R1955" s="163">
        <v>0.2</v>
      </c>
      <c r="S1955" s="163">
        <v>3.9799999999999999E-8</v>
      </c>
      <c r="T1955" s="163">
        <v>1.26E-4</v>
      </c>
      <c r="U1955" s="163">
        <v>7.2999999999999996E-4</v>
      </c>
      <c r="V1955" s="163">
        <v>1.4899999999999999E-4</v>
      </c>
      <c r="W1955" s="163">
        <v>7.0499999999999993E-2</v>
      </c>
      <c r="X1955" s="163">
        <v>4.5500000000000002E-3</v>
      </c>
      <c r="Y1955" s="163">
        <v>11.9</v>
      </c>
      <c r="Z1955" s="163">
        <v>4.1800000000000002E-4</v>
      </c>
      <c r="AA1955" s="40"/>
      <c r="AB1955" s="40"/>
      <c r="AC1955" s="40"/>
      <c r="AD1955" s="40"/>
      <c r="AE1955" s="40"/>
      <c r="AF1955" s="40"/>
      <c r="AG1955" s="40"/>
      <c r="AH1955" s="40"/>
      <c r="AI1955" s="40"/>
      <c r="AJ1955" s="40"/>
      <c r="AK1955" s="40"/>
      <c r="AL1955" s="40"/>
      <c r="AM1955" s="40"/>
      <c r="AN1955" s="40"/>
      <c r="AO1955" s="40"/>
      <c r="AP1955" s="40"/>
      <c r="AQ1955" s="40"/>
      <c r="AR1955" s="40"/>
      <c r="AS1955" s="40"/>
      <c r="AT1955" s="40"/>
      <c r="AU1955" s="40"/>
      <c r="AV1955" s="163">
        <v>5.4100000000000002E-2</v>
      </c>
      <c r="AW1955" s="40"/>
      <c r="AX1955" s="40"/>
      <c r="AY1955" s="281">
        <v>3.46</v>
      </c>
      <c r="AZ1955" s="40"/>
      <c r="BA1955" s="40"/>
      <c r="BB1955" s="40"/>
      <c r="BC1955" s="40">
        <v>7.0299999999999996E-4</v>
      </c>
      <c r="BD1955" s="40">
        <v>2.4499999999999999E-5</v>
      </c>
      <c r="BE1955" s="163">
        <v>0.28599999999999998</v>
      </c>
      <c r="BF1955" s="163">
        <v>0</v>
      </c>
      <c r="BG1955" s="40"/>
      <c r="BH1955" s="40"/>
      <c r="BI1955" s="40"/>
      <c r="BJ1955" s="40"/>
      <c r="BK1955" s="40"/>
      <c r="BL1955" s="62">
        <v>0</v>
      </c>
      <c r="BM1955" s="275">
        <v>3</v>
      </c>
      <c r="BN1955" s="62">
        <v>0.03</v>
      </c>
      <c r="BO1955" s="33" t="s">
        <v>720</v>
      </c>
    </row>
    <row r="1956" spans="1:67">
      <c r="A1956" s="33" t="str">
        <f>Database_Productkaarten[[#This Row],[Product]]&amp;", "&amp;Database_Productkaarten[[#This Row],[Levensfase]]</f>
        <v>Rioolbuis PE 580 mm, A5</v>
      </c>
      <c r="B1956" s="33" t="s">
        <v>722</v>
      </c>
      <c r="C1956" s="33" t="s">
        <v>246</v>
      </c>
      <c r="D1956" s="33" t="s">
        <v>719</v>
      </c>
      <c r="E1956" s="33" t="s">
        <v>389</v>
      </c>
      <c r="F1956" s="33" t="s">
        <v>79</v>
      </c>
      <c r="G1956" s="33">
        <v>1</v>
      </c>
      <c r="J1956" s="33">
        <v>0.57999999999999996</v>
      </c>
      <c r="K1956" s="33">
        <v>0.08</v>
      </c>
      <c r="M1956" s="361">
        <v>1.5800000000000002E-2</v>
      </c>
      <c r="N1956">
        <v>1.0031170791999997</v>
      </c>
      <c r="O1956" s="33">
        <v>50</v>
      </c>
      <c r="P1956" s="163">
        <v>4.87E-6</v>
      </c>
      <c r="Q1956" s="163">
        <v>7.5499999999999998E-2</v>
      </c>
      <c r="R1956" s="163">
        <v>11.2</v>
      </c>
      <c r="S1956" s="163">
        <v>1.59E-6</v>
      </c>
      <c r="T1956" s="163">
        <v>4.3499999999999997E-3</v>
      </c>
      <c r="U1956" s="163">
        <v>3.1800000000000002E-2</v>
      </c>
      <c r="V1956" s="163">
        <v>5.6600000000000001E-3</v>
      </c>
      <c r="W1956" s="163">
        <v>2.48</v>
      </c>
      <c r="X1956" s="163">
        <v>6.3899999999999998E-2</v>
      </c>
      <c r="Y1956" s="163">
        <v>185</v>
      </c>
      <c r="Z1956" s="163">
        <v>8.8599999999999998E-3</v>
      </c>
      <c r="AA1956" s="40"/>
      <c r="AB1956" s="40"/>
      <c r="AC1956" s="40"/>
      <c r="AD1956" s="40"/>
      <c r="AE1956" s="40"/>
      <c r="AF1956" s="40"/>
      <c r="AG1956" s="40"/>
      <c r="AH1956" s="40"/>
      <c r="AI1956" s="40"/>
      <c r="AJ1956" s="40"/>
      <c r="AK1956" s="40"/>
      <c r="AL1956" s="40"/>
      <c r="AM1956" s="40"/>
      <c r="AN1956" s="40"/>
      <c r="AO1956" s="40"/>
      <c r="AP1956" s="40"/>
      <c r="AQ1956" s="40"/>
      <c r="AR1956" s="40"/>
      <c r="AS1956" s="40"/>
      <c r="AT1956" s="40"/>
      <c r="AU1956" s="40"/>
      <c r="AV1956" s="163">
        <v>2.09</v>
      </c>
      <c r="AW1956" s="40"/>
      <c r="AX1956" s="40"/>
      <c r="AY1956" s="281">
        <v>170</v>
      </c>
      <c r="AZ1956" s="40"/>
      <c r="BA1956" s="40"/>
      <c r="BB1956" s="40"/>
      <c r="BC1956" s="40">
        <v>2.41E-2</v>
      </c>
      <c r="BD1956" s="40">
        <v>9.8900000000000008E-4</v>
      </c>
      <c r="BE1956" s="163">
        <v>0.373</v>
      </c>
      <c r="BF1956" s="163">
        <v>8.9600000000000006E-6</v>
      </c>
      <c r="BG1956" s="40"/>
      <c r="BH1956" s="40"/>
      <c r="BI1956" s="40"/>
      <c r="BJ1956" s="40"/>
      <c r="BK1956" s="40"/>
      <c r="BL1956" s="62">
        <v>0</v>
      </c>
      <c r="BM1956" s="275">
        <v>3</v>
      </c>
      <c r="BN1956" s="62">
        <v>0.03</v>
      </c>
      <c r="BO1956" s="33" t="s">
        <v>720</v>
      </c>
    </row>
    <row r="1957" spans="1:67">
      <c r="A1957" s="33" t="str">
        <f>Database_Productkaarten[[#This Row],[Product]]&amp;", "&amp;Database_Productkaarten[[#This Row],[Levensfase]]</f>
        <v>Rioolbuis PE 580 mm, B1</v>
      </c>
      <c r="B1957" s="33" t="s">
        <v>722</v>
      </c>
      <c r="C1957" s="33" t="s">
        <v>246</v>
      </c>
      <c r="D1957" s="33" t="s">
        <v>719</v>
      </c>
      <c r="E1957" s="33" t="s">
        <v>389</v>
      </c>
      <c r="F1957" s="33" t="s">
        <v>80</v>
      </c>
      <c r="G1957" s="33">
        <v>1</v>
      </c>
      <c r="J1957" s="33">
        <v>0.57999999999999996</v>
      </c>
      <c r="K1957" s="33">
        <v>0.08</v>
      </c>
      <c r="M1957" s="361">
        <v>1.5800000000000002E-2</v>
      </c>
      <c r="N1957">
        <v>0</v>
      </c>
      <c r="O1957" s="33">
        <v>50</v>
      </c>
      <c r="P1957" s="163">
        <v>0</v>
      </c>
      <c r="Q1957" s="163">
        <v>0</v>
      </c>
      <c r="R1957" s="163">
        <v>0</v>
      </c>
      <c r="S1957" s="163">
        <v>0</v>
      </c>
      <c r="T1957" s="163">
        <v>0</v>
      </c>
      <c r="U1957" s="163">
        <v>0</v>
      </c>
      <c r="V1957" s="163">
        <v>0</v>
      </c>
      <c r="W1957" s="163">
        <v>0</v>
      </c>
      <c r="X1957" s="163">
        <v>0</v>
      </c>
      <c r="Y1957" s="163">
        <v>0</v>
      </c>
      <c r="Z1957" s="163">
        <v>0</v>
      </c>
      <c r="AA1957" s="40"/>
      <c r="AB1957" s="40"/>
      <c r="AC1957" s="40"/>
      <c r="AD1957" s="40"/>
      <c r="AE1957" s="40"/>
      <c r="AF1957" s="40"/>
      <c r="AG1957" s="40"/>
      <c r="AH1957" s="40"/>
      <c r="AI1957" s="40"/>
      <c r="AJ1957" s="40"/>
      <c r="AK1957" s="40"/>
      <c r="AL1957" s="40"/>
      <c r="AM1957" s="40"/>
      <c r="AN1957" s="40"/>
      <c r="AO1957" s="40"/>
      <c r="AP1957" s="40"/>
      <c r="AQ1957" s="40"/>
      <c r="AR1957" s="40"/>
      <c r="AS1957" s="40"/>
      <c r="AT1957" s="40"/>
      <c r="AU1957" s="40"/>
      <c r="AV1957" s="163">
        <v>0</v>
      </c>
      <c r="AW1957" s="40"/>
      <c r="AX1957" s="40"/>
      <c r="AY1957" s="281">
        <v>0</v>
      </c>
      <c r="AZ1957" s="40"/>
      <c r="BA1957" s="40"/>
      <c r="BB1957" s="40"/>
      <c r="BC1957" s="40">
        <v>0</v>
      </c>
      <c r="BD1957" s="40">
        <v>0</v>
      </c>
      <c r="BE1957" s="163">
        <v>0</v>
      </c>
      <c r="BF1957" s="163">
        <v>0</v>
      </c>
      <c r="BG1957" s="40"/>
      <c r="BH1957" s="40"/>
      <c r="BI1957" s="40"/>
      <c r="BJ1957" s="40"/>
      <c r="BK1957" s="40"/>
      <c r="BL1957" s="62">
        <v>0</v>
      </c>
      <c r="BM1957" s="275">
        <v>3</v>
      </c>
      <c r="BN1957" s="62">
        <v>0.03</v>
      </c>
      <c r="BO1957" s="33" t="s">
        <v>720</v>
      </c>
    </row>
    <row r="1958" spans="1:67">
      <c r="A1958" s="33" t="str">
        <f>Database_Productkaarten[[#This Row],[Product]]&amp;", "&amp;Database_Productkaarten[[#This Row],[Levensfase]]</f>
        <v>Rioolbuis PE 580 mm, C1</v>
      </c>
      <c r="B1958" s="33" t="s">
        <v>722</v>
      </c>
      <c r="C1958" s="33" t="s">
        <v>246</v>
      </c>
      <c r="D1958" s="33" t="s">
        <v>719</v>
      </c>
      <c r="E1958" s="33" t="s">
        <v>389</v>
      </c>
      <c r="F1958" s="33" t="s">
        <v>83</v>
      </c>
      <c r="G1958" s="33">
        <v>1</v>
      </c>
      <c r="J1958" s="33">
        <v>0.57999999999999996</v>
      </c>
      <c r="K1958" s="33">
        <v>0.08</v>
      </c>
      <c r="M1958" s="361">
        <v>1.5800000000000002E-2</v>
      </c>
      <c r="N1958">
        <v>0.4383693052</v>
      </c>
      <c r="O1958" s="33">
        <v>50</v>
      </c>
      <c r="P1958" s="163">
        <v>2.2199999999999999E-6</v>
      </c>
      <c r="Q1958" s="163">
        <v>3.2300000000000002E-2</v>
      </c>
      <c r="R1958" s="163">
        <v>4.7300000000000004</v>
      </c>
      <c r="S1958" s="163">
        <v>8.2500000000000004E-7</v>
      </c>
      <c r="T1958" s="163">
        <v>1.56E-3</v>
      </c>
      <c r="U1958" s="163">
        <v>1.3899999999999999E-2</v>
      </c>
      <c r="V1958" s="163">
        <v>2.66E-3</v>
      </c>
      <c r="W1958" s="163">
        <v>1.17</v>
      </c>
      <c r="X1958" s="163">
        <v>2.3199999999999998E-2</v>
      </c>
      <c r="Y1958" s="163">
        <v>77.7</v>
      </c>
      <c r="Z1958" s="163">
        <v>4.1700000000000001E-3</v>
      </c>
      <c r="AA1958" s="40"/>
      <c r="AB1958" s="40"/>
      <c r="AC1958" s="40"/>
      <c r="AD1958" s="40"/>
      <c r="AE1958" s="40"/>
      <c r="AF1958" s="40"/>
      <c r="AG1958" s="40"/>
      <c r="AH1958" s="40"/>
      <c r="AI1958" s="40"/>
      <c r="AJ1958" s="40"/>
      <c r="AK1958" s="40"/>
      <c r="AL1958" s="40"/>
      <c r="AM1958" s="40"/>
      <c r="AN1958" s="40"/>
      <c r="AO1958" s="40"/>
      <c r="AP1958" s="40"/>
      <c r="AQ1958" s="40"/>
      <c r="AR1958" s="40"/>
      <c r="AS1958" s="40"/>
      <c r="AT1958" s="40"/>
      <c r="AU1958" s="40"/>
      <c r="AV1958" s="163">
        <v>0.52700000000000002</v>
      </c>
      <c r="AW1958" s="40"/>
      <c r="AX1958" s="40"/>
      <c r="AY1958" s="281">
        <v>72.2</v>
      </c>
      <c r="AZ1958" s="40"/>
      <c r="BA1958" s="40"/>
      <c r="BB1958" s="40"/>
      <c r="BC1958" s="40">
        <v>6.8199999999999997E-3</v>
      </c>
      <c r="BD1958" s="40">
        <v>4.9799999999999996E-4</v>
      </c>
      <c r="BE1958" s="163">
        <v>0.121</v>
      </c>
      <c r="BF1958" s="163">
        <v>0</v>
      </c>
      <c r="BG1958" s="40"/>
      <c r="BH1958" s="40"/>
      <c r="BI1958" s="40"/>
      <c r="BJ1958" s="40"/>
      <c r="BK1958" s="40"/>
      <c r="BL1958" s="62">
        <v>0</v>
      </c>
      <c r="BM1958" s="275">
        <v>3</v>
      </c>
      <c r="BN1958" s="62">
        <v>0.03</v>
      </c>
      <c r="BO1958" s="33" t="s">
        <v>720</v>
      </c>
    </row>
    <row r="1959" spans="1:67">
      <c r="A1959" s="33" t="str">
        <f>Database_Productkaarten[[#This Row],[Product]]&amp;", "&amp;Database_Productkaarten[[#This Row],[Levensfase]]</f>
        <v>Rioolbuis PE 580 mm, C2</v>
      </c>
      <c r="B1959" s="33" t="s">
        <v>722</v>
      </c>
      <c r="C1959" s="33" t="s">
        <v>246</v>
      </c>
      <c r="D1959" s="33" t="s">
        <v>719</v>
      </c>
      <c r="E1959" s="33" t="s">
        <v>389</v>
      </c>
      <c r="F1959" s="33" t="s">
        <v>84</v>
      </c>
      <c r="G1959" s="33">
        <v>1</v>
      </c>
      <c r="J1959" s="33">
        <v>0.57999999999999996</v>
      </c>
      <c r="K1959" s="33">
        <v>0.08</v>
      </c>
      <c r="M1959" s="361">
        <v>1.5800000000000002E-2</v>
      </c>
      <c r="N1959">
        <v>2.0974373440000003E-2</v>
      </c>
      <c r="O1959" s="33">
        <v>50</v>
      </c>
      <c r="P1959" s="163">
        <v>3.5900000000000003E-7</v>
      </c>
      <c r="Q1959" s="163">
        <v>1.41E-3</v>
      </c>
      <c r="R1959" s="163">
        <v>0.187</v>
      </c>
      <c r="S1959" s="163">
        <v>3.7200000000000002E-8</v>
      </c>
      <c r="T1959" s="163">
        <v>1.18E-4</v>
      </c>
      <c r="U1959" s="163">
        <v>6.8199999999999999E-4</v>
      </c>
      <c r="V1959" s="163">
        <v>1.3899999999999999E-4</v>
      </c>
      <c r="W1959" s="163">
        <v>6.5799999999999997E-2</v>
      </c>
      <c r="X1959" s="163">
        <v>4.2399999999999998E-3</v>
      </c>
      <c r="Y1959" s="163">
        <v>11.1</v>
      </c>
      <c r="Z1959" s="163">
        <v>3.8999999999999999E-4</v>
      </c>
      <c r="AA1959" s="40"/>
      <c r="AB1959" s="40"/>
      <c r="AC1959" s="40"/>
      <c r="AD1959" s="40"/>
      <c r="AE1959" s="40"/>
      <c r="AF1959" s="40"/>
      <c r="AG1959" s="40"/>
      <c r="AH1959" s="40"/>
      <c r="AI1959" s="40"/>
      <c r="AJ1959" s="40"/>
      <c r="AK1959" s="40"/>
      <c r="AL1959" s="40"/>
      <c r="AM1959" s="40"/>
      <c r="AN1959" s="40"/>
      <c r="AO1959" s="40"/>
      <c r="AP1959" s="40"/>
      <c r="AQ1959" s="40"/>
      <c r="AR1959" s="40"/>
      <c r="AS1959" s="40"/>
      <c r="AT1959" s="40"/>
      <c r="AU1959" s="40"/>
      <c r="AV1959" s="163">
        <v>5.0500000000000003E-2</v>
      </c>
      <c r="AW1959" s="40"/>
      <c r="AX1959" s="40"/>
      <c r="AY1959" s="281">
        <v>3.23</v>
      </c>
      <c r="AZ1959" s="40"/>
      <c r="BA1959" s="40"/>
      <c r="BB1959" s="40"/>
      <c r="BC1959" s="40">
        <v>6.5600000000000001E-4</v>
      </c>
      <c r="BD1959" s="40">
        <v>2.2900000000000001E-5</v>
      </c>
      <c r="BE1959" s="163">
        <v>0.26700000000000002</v>
      </c>
      <c r="BF1959" s="163">
        <v>0</v>
      </c>
      <c r="BG1959" s="40"/>
      <c r="BH1959" s="40"/>
      <c r="BI1959" s="40"/>
      <c r="BJ1959" s="40"/>
      <c r="BK1959" s="40"/>
      <c r="BL1959" s="62">
        <v>0</v>
      </c>
      <c r="BM1959" s="275">
        <v>3</v>
      </c>
      <c r="BN1959" s="62">
        <v>0.03</v>
      </c>
      <c r="BO1959" s="33" t="s">
        <v>720</v>
      </c>
    </row>
    <row r="1960" spans="1:67">
      <c r="A1960" s="33" t="str">
        <f>Database_Productkaarten[[#This Row],[Product]]&amp;", "&amp;Database_Productkaarten[[#This Row],[Levensfase]]</f>
        <v>Rioolbuis PE 580 mm, C3</v>
      </c>
      <c r="B1960" s="33" t="s">
        <v>722</v>
      </c>
      <c r="C1960" s="33" t="s">
        <v>246</v>
      </c>
      <c r="D1960" s="33" t="s">
        <v>719</v>
      </c>
      <c r="E1960" s="33" t="s">
        <v>389</v>
      </c>
      <c r="F1960" s="33" t="s">
        <v>85</v>
      </c>
      <c r="G1960" s="33">
        <v>1</v>
      </c>
      <c r="J1960" s="33">
        <v>0.57999999999999996</v>
      </c>
      <c r="K1960" s="33">
        <v>0.08</v>
      </c>
      <c r="M1960" s="361">
        <v>1.5800000000000002E-2</v>
      </c>
      <c r="N1960">
        <v>1.4720655736000003E-2</v>
      </c>
      <c r="O1960" s="33">
        <v>50</v>
      </c>
      <c r="P1960" s="163">
        <v>2.2099999999999999E-8</v>
      </c>
      <c r="Q1960" s="163">
        <v>2.0699999999999999E-4</v>
      </c>
      <c r="R1960" s="163">
        <v>0.20100000000000001</v>
      </c>
      <c r="S1960" s="163">
        <v>4.5399999999999996E-9</v>
      </c>
      <c r="T1960" s="163">
        <v>4.6100000000000002E-5</v>
      </c>
      <c r="U1960" s="163">
        <v>1.16E-4</v>
      </c>
      <c r="V1960" s="163">
        <v>4.5399999999999999E-5</v>
      </c>
      <c r="W1960" s="163">
        <v>1.6199999999999999E-2</v>
      </c>
      <c r="X1960" s="163">
        <v>1.7100000000000001E-2</v>
      </c>
      <c r="Y1960" s="163">
        <v>17</v>
      </c>
      <c r="Z1960" s="163">
        <v>2.6599999999999999E-5</v>
      </c>
      <c r="AA1960" s="40"/>
      <c r="AB1960" s="40"/>
      <c r="AC1960" s="40"/>
      <c r="AD1960" s="40"/>
      <c r="AE1960" s="40"/>
      <c r="AF1960" s="40"/>
      <c r="AG1960" s="40"/>
      <c r="AH1960" s="40"/>
      <c r="AI1960" s="40"/>
      <c r="AJ1960" s="40"/>
      <c r="AK1960" s="40"/>
      <c r="AL1960" s="40"/>
      <c r="AM1960" s="40"/>
      <c r="AN1960" s="40"/>
      <c r="AO1960" s="40"/>
      <c r="AP1960" s="40"/>
      <c r="AQ1960" s="40"/>
      <c r="AR1960" s="40"/>
      <c r="AS1960" s="40"/>
      <c r="AT1960" s="40"/>
      <c r="AU1960" s="40"/>
      <c r="AV1960" s="163">
        <v>7.11E-3</v>
      </c>
      <c r="AW1960" s="40"/>
      <c r="AX1960" s="40"/>
      <c r="AY1960" s="281">
        <v>0.45800000000000002</v>
      </c>
      <c r="AZ1960" s="40"/>
      <c r="BA1960" s="40"/>
      <c r="BB1960" s="40"/>
      <c r="BC1960" s="40">
        <v>4.4099999999999999E-4</v>
      </c>
      <c r="BD1960" s="40">
        <v>3.3500000000000002E-7</v>
      </c>
      <c r="BE1960" s="163">
        <v>1.58</v>
      </c>
      <c r="BF1960" s="163">
        <v>2.5900000000000002E-6</v>
      </c>
      <c r="BG1960" s="40"/>
      <c r="BH1960" s="40"/>
      <c r="BI1960" s="40"/>
      <c r="BJ1960" s="40"/>
      <c r="BK1960" s="40"/>
      <c r="BL1960" s="62">
        <v>0</v>
      </c>
      <c r="BM1960" s="275">
        <v>3</v>
      </c>
      <c r="BN1960" s="62">
        <v>0.03</v>
      </c>
      <c r="BO1960" s="33" t="s">
        <v>720</v>
      </c>
    </row>
    <row r="1961" spans="1:67">
      <c r="A1961" s="33" t="str">
        <f>Database_Productkaarten[[#This Row],[Product]]&amp;", "&amp;Database_Productkaarten[[#This Row],[Levensfase]]</f>
        <v>Rioolbuis PE 580 mm, C4</v>
      </c>
      <c r="B1961" s="33" t="s">
        <v>722</v>
      </c>
      <c r="C1961" s="33" t="s">
        <v>246</v>
      </c>
      <c r="D1961" s="33" t="s">
        <v>719</v>
      </c>
      <c r="E1961" s="33" t="s">
        <v>389</v>
      </c>
      <c r="F1961" s="33" t="s">
        <v>86</v>
      </c>
      <c r="G1961" s="33">
        <v>1</v>
      </c>
      <c r="J1961" s="33">
        <v>0.57999999999999996</v>
      </c>
      <c r="K1961" s="33">
        <v>0.08</v>
      </c>
      <c r="M1961" s="361">
        <v>1.5800000000000002E-2</v>
      </c>
      <c r="N1961">
        <v>2.2824795288000002</v>
      </c>
      <c r="O1961" s="33">
        <v>50</v>
      </c>
      <c r="P1961" s="163">
        <v>1.13E-6</v>
      </c>
      <c r="Q1961" s="163">
        <v>3.4499999999999999E-3</v>
      </c>
      <c r="R1961" s="163">
        <v>40.9</v>
      </c>
      <c r="S1961" s="163">
        <v>5.1599999999999999E-8</v>
      </c>
      <c r="T1961" s="163">
        <v>2.5000000000000001E-4</v>
      </c>
      <c r="U1961" s="163">
        <v>4.3899999999999998E-3</v>
      </c>
      <c r="V1961" s="163">
        <v>1.64E-3</v>
      </c>
      <c r="W1961" s="163">
        <v>1.36</v>
      </c>
      <c r="X1961" s="163">
        <v>0.46300000000000002</v>
      </c>
      <c r="Y1961" s="163">
        <v>677</v>
      </c>
      <c r="Z1961" s="163">
        <v>1.9300000000000001E-3</v>
      </c>
      <c r="AA1961" s="40"/>
      <c r="AB1961" s="40"/>
      <c r="AC1961" s="40"/>
      <c r="AD1961" s="40"/>
      <c r="AE1961" s="40"/>
      <c r="AF1961" s="40"/>
      <c r="AG1961" s="40"/>
      <c r="AH1961" s="40"/>
      <c r="AI1961" s="40"/>
      <c r="AJ1961" s="40"/>
      <c r="AK1961" s="40"/>
      <c r="AL1961" s="40"/>
      <c r="AM1961" s="40"/>
      <c r="AN1961" s="40"/>
      <c r="AO1961" s="40"/>
      <c r="AP1961" s="40"/>
      <c r="AQ1961" s="40"/>
      <c r="AR1961" s="40"/>
      <c r="AS1961" s="40"/>
      <c r="AT1961" s="40"/>
      <c r="AU1961" s="40"/>
      <c r="AV1961" s="163">
        <v>0.20799999999999999</v>
      </c>
      <c r="AW1961" s="40"/>
      <c r="AX1961" s="40"/>
      <c r="AY1961" s="281">
        <v>7.33</v>
      </c>
      <c r="AZ1961" s="40"/>
      <c r="BA1961" s="40"/>
      <c r="BB1961" s="40"/>
      <c r="BC1961" s="40">
        <v>5.0400000000000002E-3</v>
      </c>
      <c r="BD1961" s="40">
        <v>4.3300000000000002E-5</v>
      </c>
      <c r="BE1961" s="163">
        <v>0.502</v>
      </c>
      <c r="BF1961" s="163">
        <v>1.8899999999999999E-5</v>
      </c>
      <c r="BG1961" s="40"/>
      <c r="BH1961" s="40"/>
      <c r="BI1961" s="40"/>
      <c r="BJ1961" s="40"/>
      <c r="BK1961" s="40"/>
      <c r="BL1961" s="62">
        <v>0</v>
      </c>
      <c r="BM1961" s="275">
        <v>3</v>
      </c>
      <c r="BN1961" s="62">
        <v>0.03</v>
      </c>
      <c r="BO1961" s="33" t="s">
        <v>720</v>
      </c>
    </row>
    <row r="1962" spans="1:67">
      <c r="A1962" s="33" t="str">
        <f>Database_Productkaarten[[#This Row],[Product]]&amp;", "&amp;Database_Productkaarten[[#This Row],[Levensfase]]</f>
        <v>Rioolbuis PE 580 mm, D</v>
      </c>
      <c r="B1962" s="33" t="s">
        <v>722</v>
      </c>
      <c r="C1962" s="33" t="s">
        <v>246</v>
      </c>
      <c r="D1962" s="33" t="s">
        <v>719</v>
      </c>
      <c r="E1962" s="33" t="s">
        <v>389</v>
      </c>
      <c r="F1962" s="33" t="s">
        <v>89</v>
      </c>
      <c r="G1962" s="33">
        <v>1</v>
      </c>
      <c r="J1962" s="33">
        <v>0.57999999999999996</v>
      </c>
      <c r="K1962" s="33">
        <v>0.08</v>
      </c>
      <c r="M1962" s="361">
        <v>1.5800000000000002E-2</v>
      </c>
      <c r="N1962">
        <v>-1.4935307464000001</v>
      </c>
      <c r="O1962" s="33">
        <v>50</v>
      </c>
      <c r="P1962" s="163">
        <v>-1.5400000000000001E-6</v>
      </c>
      <c r="Q1962" s="163">
        <v>-0.23300000000000001</v>
      </c>
      <c r="R1962" s="163">
        <v>-24.6</v>
      </c>
      <c r="S1962" s="163">
        <v>-2.7300000000000001E-6</v>
      </c>
      <c r="T1962" s="163">
        <v>-4.7400000000000003E-3</v>
      </c>
      <c r="U1962" s="163">
        <v>-1.8800000000000001E-2</v>
      </c>
      <c r="V1962" s="163">
        <v>-2.5000000000000001E-3</v>
      </c>
      <c r="W1962" s="163">
        <v>-1.25</v>
      </c>
      <c r="X1962" s="163">
        <v>-1.3899999999999999E-2</v>
      </c>
      <c r="Y1962" s="163">
        <v>-58.4</v>
      </c>
      <c r="Z1962" s="163">
        <v>-3.8600000000000001E-3</v>
      </c>
      <c r="AA1962" s="40"/>
      <c r="AB1962" s="40"/>
      <c r="AC1962" s="40"/>
      <c r="AD1962" s="40"/>
      <c r="AE1962" s="40"/>
      <c r="AF1962" s="40"/>
      <c r="AG1962" s="40"/>
      <c r="AH1962" s="40"/>
      <c r="AI1962" s="40"/>
      <c r="AJ1962" s="40"/>
      <c r="AK1962" s="40"/>
      <c r="AL1962" s="40"/>
      <c r="AM1962" s="40"/>
      <c r="AN1962" s="40"/>
      <c r="AO1962" s="40"/>
      <c r="AP1962" s="40"/>
      <c r="AQ1962" s="40"/>
      <c r="AR1962" s="40"/>
      <c r="AS1962" s="40"/>
      <c r="AT1962" s="40"/>
      <c r="AU1962" s="40"/>
      <c r="AV1962" s="163">
        <v>-1.29</v>
      </c>
      <c r="AW1962" s="40"/>
      <c r="AX1962" s="40"/>
      <c r="AY1962" s="281">
        <v>-482</v>
      </c>
      <c r="AZ1962" s="40"/>
      <c r="BA1962" s="40"/>
      <c r="BB1962" s="40"/>
      <c r="BC1962" s="40">
        <v>-2.81E-2</v>
      </c>
      <c r="BD1962" s="40">
        <v>-5.04E-4</v>
      </c>
      <c r="BE1962" s="163">
        <v>-0.13800000000000001</v>
      </c>
      <c r="BF1962" s="163">
        <v>-1.93E-4</v>
      </c>
      <c r="BG1962" s="40"/>
      <c r="BH1962" s="40"/>
      <c r="BI1962" s="40"/>
      <c r="BJ1962" s="40"/>
      <c r="BK1962" s="40"/>
      <c r="BL1962" s="62">
        <v>0</v>
      </c>
      <c r="BM1962" s="275">
        <v>3</v>
      </c>
      <c r="BN1962" s="62">
        <v>0.03</v>
      </c>
      <c r="BO1962" s="33" t="s">
        <v>720</v>
      </c>
    </row>
    <row r="1963" spans="1:67">
      <c r="A1963" s="33" t="str">
        <f>Database_Productkaarten[[#This Row],[Product]]&amp;", "&amp;Database_Productkaarten[[#This Row],[Levensfase]]</f>
        <v>Rioolbuis PE 580 mm, D1</v>
      </c>
      <c r="B1963" s="33" t="s">
        <v>722</v>
      </c>
      <c r="C1963" s="33" t="s">
        <v>246</v>
      </c>
      <c r="D1963" s="33" t="s">
        <v>719</v>
      </c>
      <c r="E1963" s="33" t="s">
        <v>389</v>
      </c>
      <c r="F1963" s="33" t="s">
        <v>87</v>
      </c>
      <c r="G1963" s="33">
        <v>1</v>
      </c>
      <c r="J1963" s="33">
        <v>0.57999999999999996</v>
      </c>
      <c r="K1963" s="33">
        <v>0.08</v>
      </c>
      <c r="M1963" s="361">
        <v>1.5800000000000002E-2</v>
      </c>
      <c r="N1963" s="41"/>
      <c r="O1963" s="33">
        <v>50</v>
      </c>
      <c r="P1963" s="40"/>
      <c r="Q1963" s="40"/>
      <c r="R1963" s="40"/>
      <c r="S1963" s="40"/>
      <c r="T1963" s="40"/>
      <c r="U1963" s="40"/>
      <c r="V1963" s="40"/>
      <c r="W1963" s="40"/>
      <c r="X1963" s="40"/>
      <c r="Y1963" s="40"/>
      <c r="Z1963" s="40"/>
      <c r="AA1963" s="40"/>
      <c r="AB1963" s="40"/>
      <c r="AC1963" s="40"/>
      <c r="AD1963" s="40"/>
      <c r="AE1963" s="40"/>
      <c r="AF1963" s="40"/>
      <c r="AG1963" s="40"/>
      <c r="AH1963" s="40"/>
      <c r="AI1963" s="40"/>
      <c r="AJ1963" s="40"/>
      <c r="AK1963" s="40"/>
      <c r="AL1963" s="40"/>
      <c r="AM1963" s="40"/>
      <c r="AN1963" s="40"/>
      <c r="AO1963" s="40"/>
      <c r="AP1963" s="40"/>
      <c r="AQ1963" s="40"/>
      <c r="AR1963" s="40"/>
      <c r="AS1963" s="40"/>
      <c r="AT1963" s="40"/>
      <c r="AU1963" s="40"/>
      <c r="AV1963" s="108"/>
      <c r="AW1963" s="40"/>
      <c r="AX1963" s="40"/>
      <c r="AY1963" s="108"/>
      <c r="AZ1963" s="40"/>
      <c r="BA1963" s="40"/>
      <c r="BB1963" s="40"/>
      <c r="BC1963" s="40"/>
      <c r="BD1963" s="40"/>
      <c r="BE1963" s="40"/>
      <c r="BF1963" s="40"/>
      <c r="BG1963" s="40"/>
      <c r="BH1963" s="40"/>
      <c r="BI1963" s="40"/>
      <c r="BJ1963" s="40"/>
      <c r="BK1963" s="40"/>
      <c r="BL1963" s="62">
        <v>0</v>
      </c>
      <c r="BM1963" s="275">
        <v>3</v>
      </c>
      <c r="BN1963" s="62">
        <v>0.03</v>
      </c>
      <c r="BO1963" s="33" t="s">
        <v>720</v>
      </c>
    </row>
    <row r="1964" spans="1:67">
      <c r="A1964" s="33" t="str">
        <f>Database_Productkaarten[[#This Row],[Product]]&amp;", "&amp;Database_Productkaarten[[#This Row],[Levensfase]]</f>
        <v>Rioolbuis PE 580 mm, D2</v>
      </c>
      <c r="B1964" s="33" t="s">
        <v>722</v>
      </c>
      <c r="C1964" s="33" t="s">
        <v>246</v>
      </c>
      <c r="D1964" s="33" t="s">
        <v>719</v>
      </c>
      <c r="E1964" s="33" t="s">
        <v>389</v>
      </c>
      <c r="F1964" s="33" t="s">
        <v>88</v>
      </c>
      <c r="G1964" s="33">
        <v>1</v>
      </c>
      <c r="J1964" s="33">
        <v>0.57999999999999996</v>
      </c>
      <c r="K1964" s="33">
        <v>0.08</v>
      </c>
      <c r="M1964" s="361">
        <v>1.5800000000000002E-2</v>
      </c>
      <c r="N1964" s="41"/>
      <c r="O1964" s="33">
        <v>50</v>
      </c>
      <c r="P1964" s="40"/>
      <c r="Q1964" s="40"/>
      <c r="R1964" s="40"/>
      <c r="S1964" s="40"/>
      <c r="T1964" s="40"/>
      <c r="U1964" s="40"/>
      <c r="V1964" s="40"/>
      <c r="W1964" s="40"/>
      <c r="X1964" s="40"/>
      <c r="Y1964" s="40"/>
      <c r="Z1964" s="40"/>
      <c r="AA1964" s="40"/>
      <c r="AB1964" s="40"/>
      <c r="AC1964" s="40"/>
      <c r="AD1964" s="40"/>
      <c r="AE1964" s="40"/>
      <c r="AF1964" s="40"/>
      <c r="AG1964" s="40"/>
      <c r="AH1964" s="40"/>
      <c r="AI1964" s="40"/>
      <c r="AJ1964" s="40"/>
      <c r="AK1964" s="40"/>
      <c r="AL1964" s="40"/>
      <c r="AM1964" s="40"/>
      <c r="AN1964" s="40"/>
      <c r="AO1964" s="40"/>
      <c r="AP1964" s="40"/>
      <c r="AQ1964" s="40"/>
      <c r="AR1964" s="40"/>
      <c r="AS1964" s="40"/>
      <c r="AT1964" s="40"/>
      <c r="AU1964" s="40"/>
      <c r="AV1964" s="108"/>
      <c r="AW1964" s="40"/>
      <c r="AX1964" s="40"/>
      <c r="AY1964" s="108"/>
      <c r="AZ1964" s="40"/>
      <c r="BA1964" s="40"/>
      <c r="BB1964" s="40"/>
      <c r="BC1964" s="40"/>
      <c r="BD1964" s="40"/>
      <c r="BE1964" s="40"/>
      <c r="BF1964" s="40"/>
      <c r="BG1964" s="40"/>
      <c r="BH1964" s="40"/>
      <c r="BI1964" s="40"/>
      <c r="BJ1964" s="40"/>
      <c r="BK1964" s="40"/>
      <c r="BL1964" s="62">
        <v>0</v>
      </c>
      <c r="BM1964" s="275">
        <v>3</v>
      </c>
      <c r="BN1964" s="62">
        <v>0.03</v>
      </c>
      <c r="BO1964" s="33" t="s">
        <v>720</v>
      </c>
    </row>
    <row r="1965" spans="1:67">
      <c r="A1965" s="33" t="str">
        <f>Database_Productkaarten[[#This Row],[Product]]&amp;", "&amp;Database_Productkaarten[[#This Row],[Levensfase]]</f>
        <v>Hulpstuk HDPE 160 mm, Totaal</v>
      </c>
      <c r="B1965" s="33" t="s">
        <v>723</v>
      </c>
      <c r="C1965" s="33" t="s">
        <v>246</v>
      </c>
      <c r="D1965" s="33" t="s">
        <v>719</v>
      </c>
      <c r="E1965" s="33" t="s">
        <v>724</v>
      </c>
      <c r="F1965" s="33" t="s">
        <v>90</v>
      </c>
      <c r="M1965" s="309">
        <v>3.4500000000000004E-3</v>
      </c>
      <c r="N1965" s="41"/>
      <c r="O1965" s="33">
        <v>50</v>
      </c>
      <c r="P1965" s="40"/>
      <c r="Q1965" s="40"/>
      <c r="R1965" s="40"/>
      <c r="S1965" s="40"/>
      <c r="T1965" s="40"/>
      <c r="U1965" s="40"/>
      <c r="V1965" s="40"/>
      <c r="W1965" s="40"/>
      <c r="X1965" s="40"/>
      <c r="Y1965" s="40"/>
      <c r="Z1965" s="40"/>
      <c r="AA1965" s="40"/>
      <c r="AB1965" s="40"/>
      <c r="AC1965" s="40"/>
      <c r="AD1965" s="40"/>
      <c r="AE1965" s="40"/>
      <c r="AF1965" s="40"/>
      <c r="AG1965" s="40"/>
      <c r="AH1965" s="40"/>
      <c r="AI1965" s="40"/>
      <c r="AJ1965" s="40"/>
      <c r="AK1965" s="40"/>
      <c r="AL1965" s="40"/>
      <c r="AM1965" s="40"/>
      <c r="AN1965" s="40"/>
      <c r="AO1965" s="40"/>
      <c r="AP1965" s="40"/>
      <c r="AQ1965" s="40"/>
      <c r="AR1965" s="40"/>
      <c r="AS1965" s="40"/>
      <c r="AT1965" s="40"/>
      <c r="AU1965" s="40"/>
      <c r="AV1965" s="108"/>
      <c r="AW1965" s="40"/>
      <c r="AX1965" s="40"/>
      <c r="AY1965" s="108"/>
      <c r="AZ1965" s="40"/>
      <c r="BA1965" s="40"/>
      <c r="BB1965" s="40"/>
      <c r="BC1965" s="40"/>
      <c r="BD1965" s="40"/>
      <c r="BE1965" s="40"/>
      <c r="BF1965" s="40"/>
      <c r="BG1965" s="40"/>
      <c r="BH1965" s="40"/>
      <c r="BI1965" s="40"/>
      <c r="BJ1965" s="40"/>
      <c r="BK1965" s="40"/>
      <c r="BL1965" s="62">
        <v>0</v>
      </c>
      <c r="BM1965" s="275">
        <v>3</v>
      </c>
      <c r="BN1965" s="62">
        <v>0.03</v>
      </c>
      <c r="BO1965" s="33" t="s">
        <v>725</v>
      </c>
    </row>
    <row r="1966" spans="1:67">
      <c r="A1966" s="33" t="str">
        <f>Database_Productkaarten[[#This Row],[Product]]&amp;", "&amp;Database_Productkaarten[[#This Row],[Levensfase]]</f>
        <v>Hulpstuk HDPE 160 mm, A1</v>
      </c>
      <c r="B1966" s="33" t="s">
        <v>723</v>
      </c>
      <c r="C1966" s="33" t="s">
        <v>246</v>
      </c>
      <c r="D1966" s="33" t="s">
        <v>719</v>
      </c>
      <c r="E1966" s="33" t="s">
        <v>724</v>
      </c>
      <c r="F1966" s="33" t="s">
        <v>74</v>
      </c>
      <c r="M1966" s="309">
        <v>3.4500000000000004E-3</v>
      </c>
      <c r="N1966" s="41"/>
      <c r="O1966" s="33">
        <v>50</v>
      </c>
      <c r="P1966" s="40"/>
      <c r="Q1966" s="40"/>
      <c r="R1966" s="40"/>
      <c r="S1966" s="40"/>
      <c r="T1966" s="40"/>
      <c r="U1966" s="40"/>
      <c r="V1966" s="40"/>
      <c r="W1966" s="40"/>
      <c r="X1966" s="40"/>
      <c r="Y1966" s="40"/>
      <c r="Z1966" s="40"/>
      <c r="AA1966" s="40"/>
      <c r="AB1966" s="40"/>
      <c r="AC1966" s="40"/>
      <c r="AD1966" s="40"/>
      <c r="AE1966" s="40"/>
      <c r="AF1966" s="40"/>
      <c r="AG1966" s="40"/>
      <c r="AH1966" s="40"/>
      <c r="AI1966" s="40"/>
      <c r="AJ1966" s="40"/>
      <c r="AK1966" s="40"/>
      <c r="AL1966" s="40"/>
      <c r="AM1966" s="40"/>
      <c r="AN1966" s="40"/>
      <c r="AO1966" s="40"/>
      <c r="AP1966" s="40"/>
      <c r="AQ1966" s="40"/>
      <c r="AR1966" s="40"/>
      <c r="AS1966" s="40"/>
      <c r="AT1966" s="40"/>
      <c r="AU1966" s="40"/>
      <c r="AV1966" s="108"/>
      <c r="AW1966" s="40"/>
      <c r="AX1966" s="40"/>
      <c r="AY1966" s="108"/>
      <c r="AZ1966" s="40"/>
      <c r="BA1966" s="40"/>
      <c r="BB1966" s="40"/>
      <c r="BC1966" s="40"/>
      <c r="BD1966" s="40"/>
      <c r="BE1966" s="40"/>
      <c r="BF1966" s="40"/>
      <c r="BG1966" s="40"/>
      <c r="BH1966" s="40"/>
      <c r="BI1966" s="40"/>
      <c r="BJ1966" s="40"/>
      <c r="BK1966" s="40"/>
      <c r="BL1966" s="62">
        <v>0</v>
      </c>
      <c r="BM1966" s="275">
        <v>3</v>
      </c>
      <c r="BN1966" s="62">
        <v>0.03</v>
      </c>
      <c r="BO1966" s="33" t="s">
        <v>725</v>
      </c>
    </row>
    <row r="1967" spans="1:67">
      <c r="A1967" s="33" t="str">
        <f>Database_Productkaarten[[#This Row],[Product]]&amp;", "&amp;Database_Productkaarten[[#This Row],[Levensfase]]</f>
        <v>Hulpstuk HDPE 160 mm, A2</v>
      </c>
      <c r="B1967" s="33" t="s">
        <v>723</v>
      </c>
      <c r="C1967" s="33" t="s">
        <v>246</v>
      </c>
      <c r="D1967" s="33" t="s">
        <v>719</v>
      </c>
      <c r="E1967" s="33" t="s">
        <v>724</v>
      </c>
      <c r="F1967" s="33" t="s">
        <v>75</v>
      </c>
      <c r="M1967" s="309">
        <v>3.4500000000000004E-3</v>
      </c>
      <c r="N1967" s="41"/>
      <c r="O1967" s="33">
        <v>50</v>
      </c>
      <c r="P1967" s="40"/>
      <c r="Q1967" s="40"/>
      <c r="R1967" s="40"/>
      <c r="S1967" s="40"/>
      <c r="T1967" s="40"/>
      <c r="U1967" s="40"/>
      <c r="V1967" s="40"/>
      <c r="W1967" s="40"/>
      <c r="X1967" s="40"/>
      <c r="Y1967" s="40"/>
      <c r="Z1967" s="40"/>
      <c r="AA1967" s="40"/>
      <c r="AB1967" s="40"/>
      <c r="AC1967" s="40"/>
      <c r="AD1967" s="40"/>
      <c r="AE1967" s="40"/>
      <c r="AF1967" s="40"/>
      <c r="AG1967" s="40"/>
      <c r="AH1967" s="40"/>
      <c r="AI1967" s="40"/>
      <c r="AJ1967" s="40"/>
      <c r="AK1967" s="40"/>
      <c r="AL1967" s="40"/>
      <c r="AM1967" s="40"/>
      <c r="AN1967" s="40"/>
      <c r="AO1967" s="40"/>
      <c r="AP1967" s="40"/>
      <c r="AQ1967" s="40"/>
      <c r="AR1967" s="40"/>
      <c r="AS1967" s="40"/>
      <c r="AT1967" s="40"/>
      <c r="AU1967" s="40"/>
      <c r="AV1967" s="108"/>
      <c r="AW1967" s="40"/>
      <c r="AX1967" s="40"/>
      <c r="AY1967" s="108"/>
      <c r="AZ1967" s="40"/>
      <c r="BA1967" s="40"/>
      <c r="BB1967" s="40"/>
      <c r="BC1967" s="40"/>
      <c r="BD1967" s="40"/>
      <c r="BE1967" s="40"/>
      <c r="BF1967" s="40"/>
      <c r="BG1967" s="40"/>
      <c r="BH1967" s="40"/>
      <c r="BI1967" s="40"/>
      <c r="BJ1967" s="40"/>
      <c r="BK1967" s="40"/>
      <c r="BL1967" s="62">
        <v>0</v>
      </c>
      <c r="BM1967" s="275">
        <v>3</v>
      </c>
      <c r="BN1967" s="62">
        <v>0.03</v>
      </c>
      <c r="BO1967" s="33" t="s">
        <v>725</v>
      </c>
    </row>
    <row r="1968" spans="1:67">
      <c r="A1968" s="33" t="str">
        <f>Database_Productkaarten[[#This Row],[Product]]&amp;", "&amp;Database_Productkaarten[[#This Row],[Levensfase]]</f>
        <v>Hulpstuk HDPE 160 mm, A3</v>
      </c>
      <c r="B1968" s="33" t="s">
        <v>723</v>
      </c>
      <c r="C1968" s="33" t="s">
        <v>246</v>
      </c>
      <c r="D1968" s="33" t="s">
        <v>719</v>
      </c>
      <c r="E1968" s="33" t="s">
        <v>724</v>
      </c>
      <c r="F1968" s="33" t="s">
        <v>76</v>
      </c>
      <c r="M1968" s="309">
        <v>3.4500000000000004E-3</v>
      </c>
      <c r="N1968" s="41"/>
      <c r="O1968" s="33">
        <v>50</v>
      </c>
      <c r="P1968" s="40"/>
      <c r="Q1968" s="40"/>
      <c r="R1968" s="40"/>
      <c r="S1968" s="40"/>
      <c r="T1968" s="40"/>
      <c r="U1968" s="40"/>
      <c r="V1968" s="40"/>
      <c r="W1968" s="40"/>
      <c r="X1968" s="40"/>
      <c r="Y1968" s="40"/>
      <c r="Z1968" s="40"/>
      <c r="AA1968" s="40"/>
      <c r="AB1968" s="40"/>
      <c r="AC1968" s="40"/>
      <c r="AD1968" s="40"/>
      <c r="AE1968" s="40"/>
      <c r="AF1968" s="40"/>
      <c r="AG1968" s="40"/>
      <c r="AH1968" s="40"/>
      <c r="AI1968" s="40"/>
      <c r="AJ1968" s="40"/>
      <c r="AK1968" s="40"/>
      <c r="AL1968" s="40"/>
      <c r="AM1968" s="40"/>
      <c r="AN1968" s="40"/>
      <c r="AO1968" s="40"/>
      <c r="AP1968" s="40"/>
      <c r="AQ1968" s="40"/>
      <c r="AR1968" s="40"/>
      <c r="AS1968" s="40"/>
      <c r="AT1968" s="40"/>
      <c r="AU1968" s="40"/>
      <c r="AV1968" s="108"/>
      <c r="AW1968" s="40"/>
      <c r="AX1968" s="40"/>
      <c r="AY1968" s="108"/>
      <c r="AZ1968" s="40"/>
      <c r="BA1968" s="40"/>
      <c r="BB1968" s="40"/>
      <c r="BC1968" s="40"/>
      <c r="BD1968" s="40"/>
      <c r="BE1968" s="40"/>
      <c r="BF1968" s="40"/>
      <c r="BG1968" s="40"/>
      <c r="BH1968" s="40"/>
      <c r="BI1968" s="40"/>
      <c r="BJ1968" s="40"/>
      <c r="BK1968" s="40"/>
      <c r="BL1968" s="62">
        <v>0</v>
      </c>
      <c r="BM1968" s="275">
        <v>3</v>
      </c>
      <c r="BN1968" s="62">
        <v>0.03</v>
      </c>
      <c r="BO1968" s="33" t="s">
        <v>725</v>
      </c>
    </row>
    <row r="1969" spans="1:68">
      <c r="A1969" s="33" t="str">
        <f>Database_Productkaarten[[#This Row],[Product]]&amp;", "&amp;Database_Productkaarten[[#This Row],[Levensfase]]</f>
        <v>Hulpstuk HDPE 160 mm, A1-A3</v>
      </c>
      <c r="B1969" s="33" t="s">
        <v>723</v>
      </c>
      <c r="C1969" s="33" t="s">
        <v>246</v>
      </c>
      <c r="D1969" s="33" t="s">
        <v>719</v>
      </c>
      <c r="E1969" s="33" t="s">
        <v>724</v>
      </c>
      <c r="F1969" s="33" t="s">
        <v>77</v>
      </c>
      <c r="M1969" s="309">
        <v>3.4500000000000004E-3</v>
      </c>
      <c r="N1969" s="41">
        <v>0.72019999999999995</v>
      </c>
      <c r="O1969" s="33">
        <v>50</v>
      </c>
      <c r="P1969" s="40"/>
      <c r="Q1969" s="40"/>
      <c r="R1969" s="40">
        <v>8.7280999999999995</v>
      </c>
      <c r="S1969" s="40"/>
      <c r="T1969" s="40"/>
      <c r="U1969" s="40"/>
      <c r="V1969" s="40"/>
      <c r="W1969" s="40"/>
      <c r="X1969" s="40"/>
      <c r="Y1969" s="40"/>
      <c r="Z1969" s="40"/>
      <c r="AA1969" s="40"/>
      <c r="AB1969" s="40"/>
      <c r="AC1969" s="40"/>
      <c r="AD1969" s="40"/>
      <c r="AE1969" s="40"/>
      <c r="AF1969" s="40"/>
      <c r="AG1969" s="40"/>
      <c r="AH1969" s="40"/>
      <c r="AI1969" s="40"/>
      <c r="AJ1969" s="40"/>
      <c r="AK1969" s="40"/>
      <c r="AL1969" s="40"/>
      <c r="AM1969" s="40"/>
      <c r="AN1969" s="40"/>
      <c r="AO1969" s="40"/>
      <c r="AP1969" s="40"/>
      <c r="AQ1969" s="40"/>
      <c r="AR1969" s="40"/>
      <c r="AS1969" s="40"/>
      <c r="AT1969" s="40"/>
      <c r="AU1969" s="40"/>
      <c r="AV1969" s="108"/>
      <c r="AW1969" s="40"/>
      <c r="AX1969" s="40"/>
      <c r="AY1969" s="108"/>
      <c r="AZ1969" s="40"/>
      <c r="BA1969" s="40"/>
      <c r="BB1969" s="40"/>
      <c r="BC1969" s="40"/>
      <c r="BD1969" s="40"/>
      <c r="BE1969" s="40"/>
      <c r="BF1969" s="40"/>
      <c r="BG1969" s="40"/>
      <c r="BH1969" s="40"/>
      <c r="BI1969" s="40"/>
      <c r="BJ1969" s="40"/>
      <c r="BK1969" s="40"/>
      <c r="BL1969" s="62">
        <v>0</v>
      </c>
      <c r="BM1969" s="275">
        <v>3</v>
      </c>
      <c r="BN1969" s="62">
        <v>0.03</v>
      </c>
      <c r="BO1969" s="33" t="s">
        <v>725</v>
      </c>
    </row>
    <row r="1970" spans="1:68">
      <c r="A1970" s="33" t="str">
        <f>Database_Productkaarten[[#This Row],[Product]]&amp;", "&amp;Database_Productkaarten[[#This Row],[Levensfase]]</f>
        <v>Hulpstuk HDPE 160 mm, A4</v>
      </c>
      <c r="B1970" s="33" t="s">
        <v>723</v>
      </c>
      <c r="C1970" s="33" t="s">
        <v>246</v>
      </c>
      <c r="D1970" s="33" t="s">
        <v>719</v>
      </c>
      <c r="E1970" s="33" t="s">
        <v>724</v>
      </c>
      <c r="F1970" s="33" t="s">
        <v>78</v>
      </c>
      <c r="M1970" s="309">
        <v>3.4500000000000004E-3</v>
      </c>
      <c r="N1970" s="41">
        <v>5.0000000000000001E-3</v>
      </c>
      <c r="O1970" s="33">
        <v>50</v>
      </c>
      <c r="P1970" s="40"/>
      <c r="Q1970" s="40"/>
      <c r="R1970" s="40">
        <v>4.41E-2</v>
      </c>
      <c r="S1970" s="40"/>
      <c r="T1970" s="40"/>
      <c r="U1970" s="40"/>
      <c r="V1970" s="40"/>
      <c r="W1970" s="40"/>
      <c r="X1970" s="40"/>
      <c r="Y1970" s="40"/>
      <c r="Z1970" s="40"/>
      <c r="AA1970" s="40"/>
      <c r="AB1970" s="40"/>
      <c r="AC1970" s="40"/>
      <c r="AD1970" s="40"/>
      <c r="AE1970" s="40"/>
      <c r="AF1970" s="40"/>
      <c r="AG1970" s="40"/>
      <c r="AH1970" s="40"/>
      <c r="AI1970" s="40"/>
      <c r="AJ1970" s="40"/>
      <c r="AK1970" s="40"/>
      <c r="AL1970" s="40"/>
      <c r="AM1970" s="40"/>
      <c r="AN1970" s="40"/>
      <c r="AO1970" s="40"/>
      <c r="AP1970" s="40"/>
      <c r="AQ1970" s="40"/>
      <c r="AR1970" s="40"/>
      <c r="AS1970" s="40"/>
      <c r="AT1970" s="40"/>
      <c r="AU1970" s="40"/>
      <c r="AV1970" s="108"/>
      <c r="AW1970" s="40"/>
      <c r="AX1970" s="40"/>
      <c r="AY1970" s="108"/>
      <c r="AZ1970" s="40"/>
      <c r="BA1970" s="40"/>
      <c r="BB1970" s="40"/>
      <c r="BC1970" s="40"/>
      <c r="BD1970" s="40"/>
      <c r="BE1970" s="40"/>
      <c r="BF1970" s="40"/>
      <c r="BG1970" s="40"/>
      <c r="BH1970" s="40"/>
      <c r="BI1970" s="40"/>
      <c r="BJ1970" s="40"/>
      <c r="BK1970" s="40"/>
      <c r="BL1970" s="62">
        <v>0</v>
      </c>
      <c r="BM1970" s="275">
        <v>3</v>
      </c>
      <c r="BN1970" s="62">
        <v>0.03</v>
      </c>
      <c r="BO1970" s="33" t="s">
        <v>725</v>
      </c>
    </row>
    <row r="1971" spans="1:68">
      <c r="A1971" s="33" t="str">
        <f>Database_Productkaarten[[#This Row],[Product]]&amp;", "&amp;Database_Productkaarten[[#This Row],[Levensfase]]</f>
        <v>Hulpstuk HDPE 160 mm, A5</v>
      </c>
      <c r="B1971" s="33" t="s">
        <v>723</v>
      </c>
      <c r="C1971" s="33" t="s">
        <v>246</v>
      </c>
      <c r="D1971" s="33" t="s">
        <v>719</v>
      </c>
      <c r="E1971" s="33" t="s">
        <v>724</v>
      </c>
      <c r="F1971" s="33" t="s">
        <v>79</v>
      </c>
      <c r="M1971" s="309">
        <v>3.4500000000000004E-3</v>
      </c>
      <c r="N1971" s="41">
        <v>3.5900000000000001E-2</v>
      </c>
      <c r="O1971" s="33">
        <v>50</v>
      </c>
      <c r="P1971" s="40"/>
      <c r="Q1971" s="40"/>
      <c r="R1971" s="40">
        <v>0.50019999999999998</v>
      </c>
      <c r="S1971" s="40"/>
      <c r="T1971" s="40"/>
      <c r="U1971" s="40"/>
      <c r="V1971" s="40"/>
      <c r="W1971" s="40"/>
      <c r="X1971" s="40"/>
      <c r="Y1971" s="40"/>
      <c r="Z1971" s="40"/>
      <c r="AA1971" s="40"/>
      <c r="AB1971" s="40"/>
      <c r="AC1971" s="40"/>
      <c r="AD1971" s="40"/>
      <c r="AE1971" s="40"/>
      <c r="AF1971" s="40"/>
      <c r="AG1971" s="40"/>
      <c r="AH1971" s="40"/>
      <c r="AI1971" s="40"/>
      <c r="AJ1971" s="40"/>
      <c r="AK1971" s="40"/>
      <c r="AL1971" s="40"/>
      <c r="AM1971" s="40"/>
      <c r="AN1971" s="40"/>
      <c r="AO1971" s="40"/>
      <c r="AP1971" s="40"/>
      <c r="AQ1971" s="40"/>
      <c r="AR1971" s="40"/>
      <c r="AS1971" s="40"/>
      <c r="AT1971" s="40"/>
      <c r="AU1971" s="40"/>
      <c r="AV1971" s="108"/>
      <c r="AW1971" s="40"/>
      <c r="AX1971" s="40"/>
      <c r="AY1971" s="108"/>
      <c r="AZ1971" s="40"/>
      <c r="BA1971" s="40"/>
      <c r="BB1971" s="40"/>
      <c r="BC1971" s="40"/>
      <c r="BD1971" s="40"/>
      <c r="BE1971" s="40"/>
      <c r="BF1971" s="40"/>
      <c r="BG1971" s="40"/>
      <c r="BH1971" s="40"/>
      <c r="BI1971" s="40"/>
      <c r="BJ1971" s="40"/>
      <c r="BK1971" s="40"/>
      <c r="BL1971" s="62">
        <v>0</v>
      </c>
      <c r="BM1971" s="275">
        <v>3</v>
      </c>
      <c r="BN1971" s="62">
        <v>0.03</v>
      </c>
      <c r="BO1971" s="33" t="s">
        <v>725</v>
      </c>
    </row>
    <row r="1972" spans="1:68">
      <c r="A1972" s="33" t="str">
        <f>Database_Productkaarten[[#This Row],[Product]]&amp;", "&amp;Database_Productkaarten[[#This Row],[Levensfase]]</f>
        <v>Hulpstuk HDPE 160 mm, B1</v>
      </c>
      <c r="B1972" s="33" t="s">
        <v>723</v>
      </c>
      <c r="C1972" s="33" t="s">
        <v>246</v>
      </c>
      <c r="D1972" s="33" t="s">
        <v>719</v>
      </c>
      <c r="E1972" s="33" t="s">
        <v>724</v>
      </c>
      <c r="F1972" s="33" t="s">
        <v>80</v>
      </c>
      <c r="M1972" s="309">
        <v>3.4500000000000004E-3</v>
      </c>
      <c r="N1972" s="41">
        <v>0</v>
      </c>
      <c r="O1972" s="33">
        <v>50</v>
      </c>
      <c r="P1972" s="40"/>
      <c r="Q1972" s="40"/>
      <c r="R1972" s="40">
        <v>0</v>
      </c>
      <c r="S1972" s="40"/>
      <c r="T1972" s="40"/>
      <c r="U1972" s="40"/>
      <c r="V1972" s="40"/>
      <c r="W1972" s="40"/>
      <c r="X1972" s="40"/>
      <c r="Y1972" s="40"/>
      <c r="Z1972" s="40"/>
      <c r="AA1972" s="40"/>
      <c r="AB1972" s="40"/>
      <c r="AC1972" s="40"/>
      <c r="AD1972" s="40"/>
      <c r="AE1972" s="40"/>
      <c r="AF1972" s="40"/>
      <c r="AG1972" s="40"/>
      <c r="AH1972" s="40"/>
      <c r="AI1972" s="40"/>
      <c r="AJ1972" s="40"/>
      <c r="AK1972" s="40"/>
      <c r="AL1972" s="40"/>
      <c r="AM1972" s="40"/>
      <c r="AN1972" s="40"/>
      <c r="AO1972" s="40"/>
      <c r="AP1972" s="40"/>
      <c r="AQ1972" s="40"/>
      <c r="AR1972" s="40"/>
      <c r="AS1972" s="40"/>
      <c r="AT1972" s="40"/>
      <c r="AU1972" s="40"/>
      <c r="AV1972" s="108"/>
      <c r="AW1972" s="40"/>
      <c r="AX1972" s="40"/>
      <c r="AY1972" s="108"/>
      <c r="AZ1972" s="40"/>
      <c r="BA1972" s="40"/>
      <c r="BB1972" s="40"/>
      <c r="BC1972" s="40"/>
      <c r="BD1972" s="40"/>
      <c r="BE1972" s="40"/>
      <c r="BF1972" s="40"/>
      <c r="BG1972" s="40"/>
      <c r="BH1972" s="40"/>
      <c r="BI1972" s="40"/>
      <c r="BJ1972" s="40"/>
      <c r="BK1972" s="40"/>
      <c r="BL1972" s="62">
        <v>0</v>
      </c>
      <c r="BM1972" s="275">
        <v>3</v>
      </c>
      <c r="BN1972" s="62">
        <v>0.03</v>
      </c>
      <c r="BO1972" s="33" t="s">
        <v>725</v>
      </c>
    </row>
    <row r="1973" spans="1:68">
      <c r="A1973" s="33" t="str">
        <f>Database_Productkaarten[[#This Row],[Product]]&amp;", "&amp;Database_Productkaarten[[#This Row],[Levensfase]]</f>
        <v>Hulpstuk HDPE 160 mm, C1</v>
      </c>
      <c r="B1973" s="33" t="s">
        <v>723</v>
      </c>
      <c r="C1973" s="33" t="s">
        <v>246</v>
      </c>
      <c r="D1973" s="33" t="s">
        <v>719</v>
      </c>
      <c r="E1973" s="33" t="s">
        <v>724</v>
      </c>
      <c r="F1973" s="33" t="s">
        <v>83</v>
      </c>
      <c r="M1973" s="309">
        <v>3.4500000000000004E-3</v>
      </c>
      <c r="N1973" s="41">
        <v>0</v>
      </c>
      <c r="O1973" s="33">
        <v>50</v>
      </c>
      <c r="P1973" s="40"/>
      <c r="Q1973" s="40"/>
      <c r="R1973" s="40">
        <v>0</v>
      </c>
      <c r="S1973" s="40"/>
      <c r="T1973" s="40"/>
      <c r="U1973" s="40"/>
      <c r="V1973" s="40"/>
      <c r="W1973" s="40"/>
      <c r="X1973" s="40"/>
      <c r="Y1973" s="40"/>
      <c r="Z1973" s="40"/>
      <c r="AA1973" s="40"/>
      <c r="AB1973" s="40"/>
      <c r="AC1973" s="40"/>
      <c r="AD1973" s="40"/>
      <c r="AE1973" s="40"/>
      <c r="AF1973" s="40"/>
      <c r="AG1973" s="40"/>
      <c r="AH1973" s="40"/>
      <c r="AI1973" s="40"/>
      <c r="AJ1973" s="40"/>
      <c r="AK1973" s="40"/>
      <c r="AL1973" s="40"/>
      <c r="AM1973" s="40"/>
      <c r="AN1973" s="40"/>
      <c r="AO1973" s="40"/>
      <c r="AP1973" s="40"/>
      <c r="AQ1973" s="40"/>
      <c r="AR1973" s="40"/>
      <c r="AS1973" s="40"/>
      <c r="AT1973" s="40"/>
      <c r="AU1973" s="40"/>
      <c r="AV1973" s="108"/>
      <c r="AW1973" s="40"/>
      <c r="AX1973" s="40"/>
      <c r="AY1973" s="108"/>
      <c r="AZ1973" s="40"/>
      <c r="BA1973" s="40"/>
      <c r="BB1973" s="40"/>
      <c r="BC1973" s="40"/>
      <c r="BD1973" s="40"/>
      <c r="BE1973" s="40"/>
      <c r="BF1973" s="40"/>
      <c r="BG1973" s="40"/>
      <c r="BH1973" s="40"/>
      <c r="BI1973" s="40"/>
      <c r="BJ1973" s="40"/>
      <c r="BK1973" s="40"/>
      <c r="BL1973" s="62">
        <v>0</v>
      </c>
      <c r="BM1973" s="275">
        <v>3</v>
      </c>
      <c r="BN1973" s="62">
        <v>0.03</v>
      </c>
      <c r="BO1973" s="33" t="s">
        <v>725</v>
      </c>
    </row>
    <row r="1974" spans="1:68">
      <c r="A1974" s="33" t="str">
        <f>Database_Productkaarten[[#This Row],[Product]]&amp;", "&amp;Database_Productkaarten[[#This Row],[Levensfase]]</f>
        <v>Hulpstuk HDPE 160 mm, C2</v>
      </c>
      <c r="B1974" s="33" t="s">
        <v>723</v>
      </c>
      <c r="C1974" s="33" t="s">
        <v>246</v>
      </c>
      <c r="D1974" s="33" t="s">
        <v>719</v>
      </c>
      <c r="E1974" s="33" t="s">
        <v>724</v>
      </c>
      <c r="F1974" s="33" t="s">
        <v>84</v>
      </c>
      <c r="M1974" s="309">
        <v>3.4500000000000004E-3</v>
      </c>
      <c r="N1974" s="41">
        <v>1E-4</v>
      </c>
      <c r="O1974" s="33">
        <v>50</v>
      </c>
      <c r="P1974" s="40"/>
      <c r="Q1974" s="40"/>
      <c r="R1974" s="40">
        <v>8.0000000000000004E-4</v>
      </c>
      <c r="S1974" s="40"/>
      <c r="T1974" s="40"/>
      <c r="U1974" s="40"/>
      <c r="V1974" s="40"/>
      <c r="W1974" s="40"/>
      <c r="X1974" s="40"/>
      <c r="Y1974" s="40"/>
      <c r="Z1974" s="40"/>
      <c r="AA1974" s="40"/>
      <c r="AB1974" s="40"/>
      <c r="AC1974" s="40"/>
      <c r="AD1974" s="40"/>
      <c r="AE1974" s="40"/>
      <c r="AF1974" s="40"/>
      <c r="AG1974" s="40"/>
      <c r="AH1974" s="40"/>
      <c r="AI1974" s="40"/>
      <c r="AJ1974" s="40"/>
      <c r="AK1974" s="40"/>
      <c r="AL1974" s="40"/>
      <c r="AM1974" s="40"/>
      <c r="AN1974" s="40"/>
      <c r="AO1974" s="40"/>
      <c r="AP1974" s="40"/>
      <c r="AQ1974" s="40"/>
      <c r="AR1974" s="40"/>
      <c r="AS1974" s="40"/>
      <c r="AT1974" s="40"/>
      <c r="AU1974" s="40"/>
      <c r="AV1974" s="108"/>
      <c r="AW1974" s="40"/>
      <c r="AX1974" s="40"/>
      <c r="AY1974" s="108"/>
      <c r="AZ1974" s="40"/>
      <c r="BA1974" s="40"/>
      <c r="BB1974" s="40"/>
      <c r="BC1974" s="40"/>
      <c r="BD1974" s="40"/>
      <c r="BE1974" s="40"/>
      <c r="BF1974" s="40"/>
      <c r="BG1974" s="40"/>
      <c r="BH1974" s="40"/>
      <c r="BI1974" s="40"/>
      <c r="BJ1974" s="40"/>
      <c r="BK1974" s="40"/>
      <c r="BL1974" s="62">
        <v>0</v>
      </c>
      <c r="BM1974" s="275">
        <v>3</v>
      </c>
      <c r="BN1974" s="62">
        <v>0.03</v>
      </c>
      <c r="BO1974" s="33" t="s">
        <v>725</v>
      </c>
    </row>
    <row r="1975" spans="1:68">
      <c r="A1975" s="33" t="str">
        <f>Database_Productkaarten[[#This Row],[Product]]&amp;", "&amp;Database_Productkaarten[[#This Row],[Levensfase]]</f>
        <v>Hulpstuk HDPE 160 mm, C3</v>
      </c>
      <c r="B1975" s="33" t="s">
        <v>723</v>
      </c>
      <c r="C1975" s="33" t="s">
        <v>246</v>
      </c>
      <c r="D1975" s="33" t="s">
        <v>719</v>
      </c>
      <c r="E1975" s="33" t="s">
        <v>724</v>
      </c>
      <c r="F1975" s="33" t="s">
        <v>85</v>
      </c>
      <c r="M1975" s="309">
        <v>3.4500000000000004E-3</v>
      </c>
      <c r="N1975" s="41">
        <v>0.46870000000000001</v>
      </c>
      <c r="O1975" s="33">
        <v>50</v>
      </c>
      <c r="P1975" s="40"/>
      <c r="Q1975" s="40"/>
      <c r="R1975" s="40">
        <v>7.8555000000000001</v>
      </c>
      <c r="S1975" s="40"/>
      <c r="T1975" s="40"/>
      <c r="U1975" s="40"/>
      <c r="V1975" s="40"/>
      <c r="W1975" s="40"/>
      <c r="X1975" s="40"/>
      <c r="Y1975" s="40"/>
      <c r="Z1975" s="40"/>
      <c r="AA1975" s="40"/>
      <c r="AB1975" s="40"/>
      <c r="AC1975" s="40"/>
      <c r="AD1975" s="40"/>
      <c r="AE1975" s="40"/>
      <c r="AF1975" s="40"/>
      <c r="AG1975" s="40"/>
      <c r="AH1975" s="40"/>
      <c r="AI1975" s="40"/>
      <c r="AJ1975" s="40"/>
      <c r="AK1975" s="40"/>
      <c r="AL1975" s="40"/>
      <c r="AM1975" s="40"/>
      <c r="AN1975" s="40"/>
      <c r="AO1975" s="40"/>
      <c r="AP1975" s="40"/>
      <c r="AQ1975" s="40"/>
      <c r="AR1975" s="40"/>
      <c r="AS1975" s="40"/>
      <c r="AT1975" s="40"/>
      <c r="AU1975" s="40"/>
      <c r="AV1975" s="108"/>
      <c r="AW1975" s="40"/>
      <c r="AX1975" s="40"/>
      <c r="AY1975" s="108"/>
      <c r="AZ1975" s="40"/>
      <c r="BA1975" s="40"/>
      <c r="BB1975" s="40"/>
      <c r="BC1975" s="40"/>
      <c r="BD1975" s="40"/>
      <c r="BE1975" s="40"/>
      <c r="BF1975" s="40"/>
      <c r="BG1975" s="40"/>
      <c r="BH1975" s="40"/>
      <c r="BI1975" s="40"/>
      <c r="BJ1975" s="40"/>
      <c r="BK1975" s="40"/>
      <c r="BL1975" s="62">
        <v>0</v>
      </c>
      <c r="BM1975" s="275">
        <v>3</v>
      </c>
      <c r="BN1975" s="62">
        <v>0.03</v>
      </c>
      <c r="BO1975" s="33" t="s">
        <v>725</v>
      </c>
    </row>
    <row r="1976" spans="1:68">
      <c r="A1976" s="33" t="str">
        <f>Database_Productkaarten[[#This Row],[Product]]&amp;", "&amp;Database_Productkaarten[[#This Row],[Levensfase]]</f>
        <v>Hulpstuk HDPE 160 mm, C4</v>
      </c>
      <c r="B1976" s="33" t="s">
        <v>723</v>
      </c>
      <c r="C1976" s="33" t="s">
        <v>246</v>
      </c>
      <c r="D1976" s="33" t="s">
        <v>719</v>
      </c>
      <c r="E1976" s="33" t="s">
        <v>724</v>
      </c>
      <c r="F1976" s="33" t="s">
        <v>86</v>
      </c>
      <c r="M1976" s="309">
        <v>3.4500000000000004E-3</v>
      </c>
      <c r="N1976" s="41">
        <v>3.2000000000000002E-3</v>
      </c>
      <c r="O1976" s="33">
        <v>50</v>
      </c>
      <c r="P1976" s="40"/>
      <c r="Q1976" s="40"/>
      <c r="R1976" s="40">
        <v>4.3799999999999999E-2</v>
      </c>
      <c r="S1976" s="40"/>
      <c r="T1976" s="40"/>
      <c r="U1976" s="40"/>
      <c r="V1976" s="40"/>
      <c r="W1976" s="40"/>
      <c r="X1976" s="40"/>
      <c r="Y1976" s="40"/>
      <c r="Z1976" s="40"/>
      <c r="AA1976" s="40"/>
      <c r="AB1976" s="40"/>
      <c r="AC1976" s="40"/>
      <c r="AD1976" s="40"/>
      <c r="AE1976" s="40"/>
      <c r="AF1976" s="40"/>
      <c r="AG1976" s="40"/>
      <c r="AH1976" s="40"/>
      <c r="AI1976" s="40"/>
      <c r="AJ1976" s="40"/>
      <c r="AK1976" s="40"/>
      <c r="AL1976" s="40"/>
      <c r="AM1976" s="40"/>
      <c r="AN1976" s="40"/>
      <c r="AO1976" s="40"/>
      <c r="AP1976" s="40"/>
      <c r="AQ1976" s="40"/>
      <c r="AR1976" s="40"/>
      <c r="AS1976" s="40"/>
      <c r="AT1976" s="40"/>
      <c r="AU1976" s="40"/>
      <c r="AV1976" s="108"/>
      <c r="AW1976" s="40"/>
      <c r="AX1976" s="40"/>
      <c r="AY1976" s="108"/>
      <c r="AZ1976" s="40"/>
      <c r="BA1976" s="40"/>
      <c r="BB1976" s="40"/>
      <c r="BC1976" s="40"/>
      <c r="BD1976" s="40"/>
      <c r="BE1976" s="40"/>
      <c r="BF1976" s="40"/>
      <c r="BG1976" s="40"/>
      <c r="BH1976" s="40"/>
      <c r="BI1976" s="40"/>
      <c r="BJ1976" s="40"/>
      <c r="BK1976" s="40"/>
      <c r="BL1976" s="62">
        <v>0</v>
      </c>
      <c r="BM1976" s="275">
        <v>3</v>
      </c>
      <c r="BN1976" s="62">
        <v>0.03</v>
      </c>
      <c r="BO1976" s="33" t="s">
        <v>725</v>
      </c>
    </row>
    <row r="1977" spans="1:68">
      <c r="A1977" s="33" t="str">
        <f>Database_Productkaarten[[#This Row],[Product]]&amp;", "&amp;Database_Productkaarten[[#This Row],[Levensfase]]</f>
        <v>Hulpstuk HDPE 160 mm, D</v>
      </c>
      <c r="B1977" s="33" t="s">
        <v>723</v>
      </c>
      <c r="C1977" s="33" t="s">
        <v>246</v>
      </c>
      <c r="D1977" s="33" t="s">
        <v>719</v>
      </c>
      <c r="E1977" s="33" t="s">
        <v>724</v>
      </c>
      <c r="F1977" s="33" t="s">
        <v>89</v>
      </c>
      <c r="M1977" s="309">
        <v>3.4500000000000004E-3</v>
      </c>
      <c r="N1977" s="41">
        <v>-0.32569999999999999</v>
      </c>
      <c r="O1977" s="33">
        <v>50</v>
      </c>
      <c r="P1977" s="40"/>
      <c r="Q1977" s="40"/>
      <c r="R1977" s="40">
        <v>-5.3643999999999998</v>
      </c>
      <c r="S1977" s="40"/>
      <c r="T1977" s="40"/>
      <c r="U1977" s="40"/>
      <c r="V1977" s="40"/>
      <c r="W1977" s="40"/>
      <c r="X1977" s="40"/>
      <c r="Y1977" s="40"/>
      <c r="Z1977" s="40"/>
      <c r="AA1977" s="40"/>
      <c r="AB1977" s="40"/>
      <c r="AC1977" s="40"/>
      <c r="AD1977" s="40"/>
      <c r="AE1977" s="40"/>
      <c r="AF1977" s="40"/>
      <c r="AG1977" s="40"/>
      <c r="AH1977" s="40"/>
      <c r="AI1977" s="40"/>
      <c r="AJ1977" s="40"/>
      <c r="AK1977" s="40"/>
      <c r="AL1977" s="40"/>
      <c r="AM1977" s="40"/>
      <c r="AN1977" s="40"/>
      <c r="AO1977" s="40"/>
      <c r="AP1977" s="40"/>
      <c r="AQ1977" s="40"/>
      <c r="AR1977" s="40"/>
      <c r="AS1977" s="40"/>
      <c r="AT1977" s="40"/>
      <c r="AU1977" s="40"/>
      <c r="AV1977" s="108"/>
      <c r="AW1977" s="40"/>
      <c r="AX1977" s="40"/>
      <c r="AY1977" s="108"/>
      <c r="AZ1977" s="40"/>
      <c r="BA1977" s="40"/>
      <c r="BB1977" s="40"/>
      <c r="BC1977" s="40"/>
      <c r="BD1977" s="40"/>
      <c r="BE1977" s="40"/>
      <c r="BF1977" s="40"/>
      <c r="BG1977" s="40"/>
      <c r="BH1977" s="40"/>
      <c r="BI1977" s="40"/>
      <c r="BJ1977" s="40"/>
      <c r="BK1977" s="40"/>
      <c r="BL1977" s="62">
        <v>0</v>
      </c>
      <c r="BM1977" s="275">
        <v>3</v>
      </c>
      <c r="BN1977" s="62">
        <v>0.03</v>
      </c>
      <c r="BO1977" s="33" t="s">
        <v>725</v>
      </c>
    </row>
    <row r="1978" spans="1:68">
      <c r="A1978" s="33" t="str">
        <f>Database_Productkaarten[[#This Row],[Product]]&amp;", "&amp;Database_Productkaarten[[#This Row],[Levensfase]]</f>
        <v>Hulpstuk HDPE 160 mm, D1</v>
      </c>
      <c r="B1978" s="33" t="s">
        <v>723</v>
      </c>
      <c r="C1978" s="33" t="s">
        <v>246</v>
      </c>
      <c r="D1978" s="33" t="s">
        <v>719</v>
      </c>
      <c r="E1978" s="33" t="s">
        <v>724</v>
      </c>
      <c r="F1978" s="33" t="s">
        <v>87</v>
      </c>
      <c r="M1978" s="309">
        <v>3.4500000000000004E-3</v>
      </c>
      <c r="N1978" s="41"/>
      <c r="O1978" s="33">
        <v>50</v>
      </c>
      <c r="P1978" s="40"/>
      <c r="Q1978" s="40"/>
      <c r="R1978" s="40"/>
      <c r="S1978" s="40"/>
      <c r="T1978" s="40"/>
      <c r="U1978" s="40"/>
      <c r="V1978" s="40"/>
      <c r="W1978" s="40"/>
      <c r="X1978" s="40"/>
      <c r="Y1978" s="40"/>
      <c r="Z1978" s="40"/>
      <c r="AA1978" s="40"/>
      <c r="AB1978" s="40"/>
      <c r="AC1978" s="40"/>
      <c r="AD1978" s="40"/>
      <c r="AE1978" s="40"/>
      <c r="AF1978" s="40"/>
      <c r="AG1978" s="40"/>
      <c r="AH1978" s="40"/>
      <c r="AI1978" s="40"/>
      <c r="AJ1978" s="40"/>
      <c r="AK1978" s="40"/>
      <c r="AL1978" s="40"/>
      <c r="AM1978" s="40"/>
      <c r="AN1978" s="40"/>
      <c r="AO1978" s="40"/>
      <c r="AP1978" s="40"/>
      <c r="AQ1978" s="40"/>
      <c r="AR1978" s="40"/>
      <c r="AS1978" s="40"/>
      <c r="AT1978" s="40"/>
      <c r="AU1978" s="40"/>
      <c r="AV1978" s="108"/>
      <c r="AW1978" s="40"/>
      <c r="AX1978" s="40"/>
      <c r="AY1978" s="108"/>
      <c r="AZ1978" s="40"/>
      <c r="BA1978" s="40"/>
      <c r="BB1978" s="40"/>
      <c r="BC1978" s="40"/>
      <c r="BD1978" s="40"/>
      <c r="BE1978" s="40"/>
      <c r="BF1978" s="40"/>
      <c r="BG1978" s="40"/>
      <c r="BH1978" s="40"/>
      <c r="BI1978" s="40"/>
      <c r="BJ1978" s="40"/>
      <c r="BK1978" s="40"/>
      <c r="BL1978" s="62">
        <v>0</v>
      </c>
      <c r="BM1978" s="275">
        <v>3</v>
      </c>
      <c r="BN1978" s="62">
        <v>0.03</v>
      </c>
      <c r="BO1978" s="33" t="s">
        <v>725</v>
      </c>
    </row>
    <row r="1979" spans="1:68">
      <c r="A1979" s="33" t="str">
        <f>Database_Productkaarten[[#This Row],[Product]]&amp;", "&amp;Database_Productkaarten[[#This Row],[Levensfase]]</f>
        <v>Hulpstuk HDPE 160 mm, D2</v>
      </c>
      <c r="B1979" s="33" t="s">
        <v>723</v>
      </c>
      <c r="C1979" s="33" t="s">
        <v>246</v>
      </c>
      <c r="D1979" s="33" t="s">
        <v>719</v>
      </c>
      <c r="E1979" s="33" t="s">
        <v>724</v>
      </c>
      <c r="F1979" s="33" t="s">
        <v>88</v>
      </c>
      <c r="M1979" s="309">
        <v>3.4500000000000004E-3</v>
      </c>
      <c r="N1979" s="41"/>
      <c r="O1979" s="33">
        <v>50</v>
      </c>
      <c r="P1979" s="40"/>
      <c r="Q1979" s="40"/>
      <c r="R1979" s="40"/>
      <c r="S1979" s="40"/>
      <c r="T1979" s="40"/>
      <c r="U1979" s="40"/>
      <c r="V1979" s="40"/>
      <c r="W1979" s="40"/>
      <c r="X1979" s="40"/>
      <c r="Y1979" s="40"/>
      <c r="Z1979" s="40"/>
      <c r="AA1979" s="40"/>
      <c r="AB1979" s="40"/>
      <c r="AC1979" s="40"/>
      <c r="AD1979" s="40"/>
      <c r="AE1979" s="40"/>
      <c r="AF1979" s="40"/>
      <c r="AG1979" s="40"/>
      <c r="AH1979" s="40"/>
      <c r="AI1979" s="40"/>
      <c r="AJ1979" s="40"/>
      <c r="AK1979" s="40"/>
      <c r="AL1979" s="40"/>
      <c r="AM1979" s="40"/>
      <c r="AN1979" s="40"/>
      <c r="AO1979" s="40"/>
      <c r="AP1979" s="40"/>
      <c r="AQ1979" s="40"/>
      <c r="AR1979" s="40"/>
      <c r="AS1979" s="40"/>
      <c r="AT1979" s="40"/>
      <c r="AU1979" s="40"/>
      <c r="AV1979" s="108"/>
      <c r="AW1979" s="40"/>
      <c r="AX1979" s="40"/>
      <c r="AY1979" s="108"/>
      <c r="AZ1979" s="40"/>
      <c r="BA1979" s="40"/>
      <c r="BB1979" s="40"/>
      <c r="BC1979" s="40"/>
      <c r="BD1979" s="40"/>
      <c r="BE1979" s="40"/>
      <c r="BF1979" s="40"/>
      <c r="BG1979" s="40"/>
      <c r="BH1979" s="40"/>
      <c r="BI1979" s="40"/>
      <c r="BJ1979" s="40"/>
      <c r="BK1979" s="40"/>
      <c r="BL1979" s="62">
        <v>0</v>
      </c>
      <c r="BM1979" s="275">
        <v>3</v>
      </c>
      <c r="BN1979" s="62">
        <v>0.03</v>
      </c>
      <c r="BO1979" s="33" t="s">
        <v>725</v>
      </c>
    </row>
    <row r="1980" spans="1:68">
      <c r="A1980" s="33" t="str">
        <f>Database_Productkaarten[[#This Row],[Product]]&amp;", "&amp;Database_Productkaarten[[#This Row],[Levensfase]]</f>
        <v>Betonbuis 300 mm, Totaal</v>
      </c>
      <c r="B1980" s="33" t="s">
        <v>726</v>
      </c>
      <c r="C1980" s="33" t="s">
        <v>246</v>
      </c>
      <c r="D1980" s="33" t="s">
        <v>727</v>
      </c>
      <c r="E1980" s="33" t="s">
        <v>389</v>
      </c>
      <c r="F1980" s="33" t="s">
        <v>90</v>
      </c>
      <c r="G1980" s="33">
        <v>1</v>
      </c>
      <c r="J1980" s="33">
        <v>0.3</v>
      </c>
      <c r="K1980" s="33">
        <v>5.5E-2</v>
      </c>
      <c r="L1980" s="33">
        <v>2.4</v>
      </c>
      <c r="M1980" s="270">
        <f>0.46/2.5</f>
        <v>0.184</v>
      </c>
      <c r="N1980" s="41"/>
      <c r="O1980" s="33">
        <v>40</v>
      </c>
      <c r="AV1980" s="316"/>
      <c r="AW1980" s="314"/>
      <c r="AX1980" s="314"/>
      <c r="AY1980" s="316"/>
      <c r="BL1980" s="62">
        <v>0</v>
      </c>
      <c r="BM1980" s="275">
        <v>3</v>
      </c>
      <c r="BN1980" s="62">
        <v>0.03</v>
      </c>
      <c r="BO1980" s="33" t="s">
        <v>728</v>
      </c>
      <c r="BP1980" t="s">
        <v>615</v>
      </c>
    </row>
    <row r="1981" spans="1:68">
      <c r="A1981" s="33" t="str">
        <f>Database_Productkaarten[[#This Row],[Product]]&amp;", "&amp;Database_Productkaarten[[#This Row],[Levensfase]]</f>
        <v>Betonbuis 300 mm, A1</v>
      </c>
      <c r="B1981" s="33" t="s">
        <v>726</v>
      </c>
      <c r="C1981" s="33" t="s">
        <v>246</v>
      </c>
      <c r="D1981" s="33" t="s">
        <v>727</v>
      </c>
      <c r="E1981" s="33" t="s">
        <v>389</v>
      </c>
      <c r="F1981" s="33" t="s">
        <v>74</v>
      </c>
      <c r="G1981" s="33">
        <v>1</v>
      </c>
      <c r="J1981" s="33">
        <v>0.3</v>
      </c>
      <c r="K1981" s="33">
        <v>5.5E-2</v>
      </c>
      <c r="L1981" s="33">
        <v>2.4</v>
      </c>
      <c r="M1981" s="270">
        <f t="shared" ref="M1981:M1994" si="803">0.46/2.5</f>
        <v>0.184</v>
      </c>
      <c r="N1981" s="41">
        <v>1.4984999999999999</v>
      </c>
      <c r="O1981" s="33">
        <v>40</v>
      </c>
      <c r="P1981" s="163">
        <v>2.4265877000000001E-5</v>
      </c>
      <c r="Q1981" s="163">
        <v>5.3678388E-2</v>
      </c>
      <c r="R1981" s="163">
        <v>17.805069</v>
      </c>
      <c r="S1981" s="163">
        <v>5.0095531999999997E-7</v>
      </c>
      <c r="T1981" s="163">
        <v>4.4512837000000001E-3</v>
      </c>
      <c r="U1981" s="163">
        <v>4.8990641000000001E-2</v>
      </c>
      <c r="V1981" s="163">
        <v>7.8361904E-3</v>
      </c>
      <c r="W1981" s="163">
        <v>1.8874687999999999</v>
      </c>
      <c r="X1981" s="163">
        <v>4.4612287E-2</v>
      </c>
      <c r="Y1981" s="163">
        <v>234.44878</v>
      </c>
      <c r="Z1981" s="163">
        <v>4.0973738000000003E-2</v>
      </c>
      <c r="AA1981" s="163"/>
      <c r="AB1981" s="163"/>
      <c r="AC1981" s="163"/>
      <c r="AD1981" s="163"/>
      <c r="AE1981" s="163"/>
      <c r="AF1981" s="163"/>
      <c r="AV1981" s="163">
        <v>14.381562000000001</v>
      </c>
      <c r="AW1981" s="40"/>
      <c r="AX1981" s="40"/>
      <c r="AY1981" s="313">
        <v>116.58047999999999</v>
      </c>
      <c r="AZ1981" s="40"/>
      <c r="BA1981" s="40"/>
      <c r="BB1981" s="40"/>
      <c r="BC1981" s="40"/>
      <c r="BD1981" s="40">
        <v>2.0075037999999998</v>
      </c>
      <c r="BE1981" s="163">
        <v>6.0411273000000003</v>
      </c>
      <c r="BF1981" s="163">
        <v>1.2507568</v>
      </c>
      <c r="BL1981" s="62">
        <v>0</v>
      </c>
      <c r="BM1981" s="275">
        <v>3</v>
      </c>
      <c r="BN1981" s="62">
        <v>0.03</v>
      </c>
      <c r="BO1981" s="33" t="s">
        <v>728</v>
      </c>
      <c r="BP1981" t="s">
        <v>615</v>
      </c>
    </row>
    <row r="1982" spans="1:68">
      <c r="A1982" s="33" t="str">
        <f>Database_Productkaarten[[#This Row],[Product]]&amp;", "&amp;Database_Productkaarten[[#This Row],[Levensfase]]</f>
        <v>Betonbuis 300 mm, A2</v>
      </c>
      <c r="B1982" s="33" t="s">
        <v>726</v>
      </c>
      <c r="C1982" s="33" t="s">
        <v>246</v>
      </c>
      <c r="D1982" s="33" t="s">
        <v>727</v>
      </c>
      <c r="E1982" s="33" t="s">
        <v>389</v>
      </c>
      <c r="F1982" s="33" t="s">
        <v>75</v>
      </c>
      <c r="G1982" s="33">
        <v>1</v>
      </c>
      <c r="J1982" s="33">
        <v>0.3</v>
      </c>
      <c r="K1982" s="33">
        <v>5.5E-2</v>
      </c>
      <c r="L1982" s="33">
        <v>2.4</v>
      </c>
      <c r="M1982" s="270">
        <f t="shared" si="803"/>
        <v>0.184</v>
      </c>
      <c r="N1982" s="41"/>
      <c r="O1982" s="33">
        <v>40</v>
      </c>
      <c r="P1982" s="163">
        <v>2.9419671E-6</v>
      </c>
      <c r="Q1982" s="163">
        <v>7.6359764000000002E-3</v>
      </c>
      <c r="R1982" s="163">
        <v>1.0345082000000001</v>
      </c>
      <c r="S1982" s="163">
        <v>1.9063945000000001E-7</v>
      </c>
      <c r="T1982" s="163">
        <v>6.1059967999999997E-4</v>
      </c>
      <c r="U1982" s="163">
        <v>4.4850393999999998E-3</v>
      </c>
      <c r="V1982" s="163">
        <v>8.9374650999999997E-4</v>
      </c>
      <c r="W1982" s="163">
        <v>0.41388414000000001</v>
      </c>
      <c r="X1982" s="163">
        <v>1.2138665E-2</v>
      </c>
      <c r="Y1982" s="163">
        <v>43.812038999999999</v>
      </c>
      <c r="Z1982" s="163">
        <v>1.4664445999999999E-3</v>
      </c>
      <c r="AA1982" s="163"/>
      <c r="AB1982" s="163"/>
      <c r="AC1982" s="163"/>
      <c r="AD1982" s="163"/>
      <c r="AE1982" s="163"/>
      <c r="AF1982" s="163"/>
      <c r="AV1982" s="163">
        <v>0.21785266</v>
      </c>
      <c r="AW1982" s="40"/>
      <c r="AX1982" s="40"/>
      <c r="AY1982" s="313">
        <v>17.022969</v>
      </c>
      <c r="AZ1982" s="40"/>
      <c r="BA1982" s="40"/>
      <c r="BB1982" s="40"/>
      <c r="BC1982" s="40"/>
      <c r="BD1982" s="40">
        <v>3.0615385000000001E-3</v>
      </c>
      <c r="BE1982" s="163">
        <v>1.175652E-4</v>
      </c>
      <c r="BF1982" s="163">
        <v>0.97849313000000004</v>
      </c>
      <c r="BL1982" s="62">
        <v>0</v>
      </c>
      <c r="BM1982" s="275">
        <v>3</v>
      </c>
      <c r="BN1982" s="62">
        <v>0.03</v>
      </c>
      <c r="BO1982" s="33" t="s">
        <v>728</v>
      </c>
      <c r="BP1982" t="s">
        <v>615</v>
      </c>
    </row>
    <row r="1983" spans="1:68">
      <c r="A1983" s="33" t="str">
        <f>Database_Productkaarten[[#This Row],[Product]]&amp;", "&amp;Database_Productkaarten[[#This Row],[Levensfase]]</f>
        <v>Betonbuis 300 mm, A3</v>
      </c>
      <c r="B1983" s="33" t="s">
        <v>726</v>
      </c>
      <c r="C1983" s="33" t="s">
        <v>246</v>
      </c>
      <c r="D1983" s="33" t="s">
        <v>727</v>
      </c>
      <c r="E1983" s="33" t="s">
        <v>389</v>
      </c>
      <c r="F1983" s="33" t="s">
        <v>76</v>
      </c>
      <c r="G1983" s="33">
        <v>1</v>
      </c>
      <c r="J1983" s="33">
        <v>0.3</v>
      </c>
      <c r="K1983" s="33">
        <v>5.5E-2</v>
      </c>
      <c r="L1983" s="33">
        <v>2.4</v>
      </c>
      <c r="M1983" s="270">
        <f t="shared" si="803"/>
        <v>0.184</v>
      </c>
      <c r="N1983" s="41"/>
      <c r="O1983" s="33">
        <v>40</v>
      </c>
      <c r="P1983" s="163">
        <v>3.0567295000000002E-7</v>
      </c>
      <c r="Q1983" s="163">
        <v>9.1878501000000005E-3</v>
      </c>
      <c r="R1983" s="163">
        <v>1.1241684999999999</v>
      </c>
      <c r="S1983" s="163">
        <v>7.7584037000000004E-8</v>
      </c>
      <c r="T1983" s="163">
        <v>1.8607214E-4</v>
      </c>
      <c r="U1983" s="163">
        <v>2.0470776000000002E-3</v>
      </c>
      <c r="V1983" s="163">
        <v>4.5834157999999998E-4</v>
      </c>
      <c r="W1983" s="163">
        <v>9.3828491E-2</v>
      </c>
      <c r="X1983" s="163">
        <v>2.1470857999999998E-3</v>
      </c>
      <c r="Y1983" s="163">
        <v>10.537349000000001</v>
      </c>
      <c r="Z1983" s="163">
        <v>1.5806877999999999E-3</v>
      </c>
      <c r="AA1983" s="163"/>
      <c r="AB1983" s="163"/>
      <c r="AC1983" s="163"/>
      <c r="AD1983" s="163"/>
      <c r="AE1983" s="163"/>
      <c r="AF1983" s="163"/>
      <c r="AV1983" s="163">
        <v>1.4235272999999999</v>
      </c>
      <c r="AW1983" s="40"/>
      <c r="AX1983" s="40"/>
      <c r="AY1983" s="313">
        <v>18.433741999999999</v>
      </c>
      <c r="AZ1983" s="40"/>
      <c r="BA1983" s="40"/>
      <c r="BB1983" s="40"/>
      <c r="BC1983" s="40"/>
      <c r="BD1983" s="40">
        <v>3.6163964000000002E-3</v>
      </c>
      <c r="BE1983" s="163">
        <v>8.0906024999999996E-5</v>
      </c>
      <c r="BF1983" s="163">
        <v>3.5513464000000002E-2</v>
      </c>
      <c r="BL1983" s="62">
        <v>0</v>
      </c>
      <c r="BM1983" s="275">
        <v>3</v>
      </c>
      <c r="BN1983" s="62">
        <v>0.03</v>
      </c>
      <c r="BO1983" s="33" t="s">
        <v>728</v>
      </c>
      <c r="BP1983" t="s">
        <v>615</v>
      </c>
    </row>
    <row r="1984" spans="1:68">
      <c r="A1984" s="451" t="str">
        <f>Database_Productkaarten[[#This Row],[Product]]&amp;", "&amp;Database_Productkaarten[[#This Row],[Levensfase]]</f>
        <v>Betonbuis 300 mm, A1-A3</v>
      </c>
      <c r="B1984" s="451" t="str">
        <f>B1983</f>
        <v>Betonbuis 300 mm</v>
      </c>
      <c r="C1984" s="451" t="str">
        <f>C1983</f>
        <v>Waterafvoer</v>
      </c>
      <c r="D1984" s="451" t="str">
        <f>D1983</f>
        <v>Betonnen riolering</v>
      </c>
      <c r="E1984" s="451" t="str">
        <f>E1983</f>
        <v>m1</v>
      </c>
      <c r="F1984" s="451" t="s">
        <v>77</v>
      </c>
      <c r="G1984" s="451">
        <f t="shared" ref="G1984:M1984" si="804">G1983</f>
        <v>1</v>
      </c>
      <c r="H1984" s="451"/>
      <c r="I1984" s="451"/>
      <c r="J1984" s="451">
        <f t="shared" si="804"/>
        <v>0.3</v>
      </c>
      <c r="K1984" s="451">
        <f t="shared" si="804"/>
        <v>5.5E-2</v>
      </c>
      <c r="L1984" s="451">
        <f t="shared" si="804"/>
        <v>2.4</v>
      </c>
      <c r="M1984" s="454">
        <f t="shared" si="804"/>
        <v>0.184</v>
      </c>
      <c r="N1984" s="452">
        <f>SUM(N1981:N1983)</f>
        <v>1.4984999999999999</v>
      </c>
      <c r="O1984" s="451">
        <f>O1983</f>
        <v>40</v>
      </c>
      <c r="P1984" s="40">
        <f>SUM(P1981:P1983)</f>
        <v>2.7513517050000002E-5</v>
      </c>
      <c r="Q1984" s="40">
        <f t="shared" ref="Q1984:Z1984" si="805">SUM(Q1981:Q1983)</f>
        <v>7.0502214500000007E-2</v>
      </c>
      <c r="R1984" s="40">
        <f t="shared" si="805"/>
        <v>19.9637457</v>
      </c>
      <c r="S1984" s="40">
        <f t="shared" si="805"/>
        <v>7.6917880699999997E-7</v>
      </c>
      <c r="T1984" s="40">
        <f t="shared" si="805"/>
        <v>5.24795552E-3</v>
      </c>
      <c r="U1984" s="40">
        <f t="shared" si="805"/>
        <v>5.5522758000000005E-2</v>
      </c>
      <c r="V1984" s="40">
        <f t="shared" si="805"/>
        <v>9.18827849E-3</v>
      </c>
      <c r="W1984" s="40">
        <f t="shared" si="805"/>
        <v>2.3951814310000001</v>
      </c>
      <c r="X1984" s="40">
        <f t="shared" si="805"/>
        <v>5.8898037799999997E-2</v>
      </c>
      <c r="Y1984" s="40">
        <f t="shared" si="805"/>
        <v>288.79816799999998</v>
      </c>
      <c r="Z1984" s="40">
        <f t="shared" si="805"/>
        <v>4.4020870400000002E-2</v>
      </c>
      <c r="AA1984" s="40"/>
      <c r="AB1984" s="40"/>
      <c r="AC1984" s="40"/>
      <c r="AD1984" s="40"/>
      <c r="AE1984" s="40"/>
      <c r="AF1984" s="40"/>
      <c r="AG1984" s="453"/>
      <c r="AH1984" s="453"/>
      <c r="AI1984" s="453"/>
      <c r="AJ1984" s="453"/>
      <c r="AK1984" s="453"/>
      <c r="AL1984" s="453"/>
      <c r="AM1984" s="453"/>
      <c r="AN1984" s="453"/>
      <c r="AO1984" s="453"/>
      <c r="AP1984" s="453"/>
      <c r="AQ1984" s="453"/>
      <c r="AR1984" s="453"/>
      <c r="AS1984" s="453"/>
      <c r="AT1984" s="453"/>
      <c r="AU1984" s="453"/>
      <c r="AV1984" s="40">
        <f>SUM(AV1981:AV1983)</f>
        <v>16.022941960000001</v>
      </c>
      <c r="AW1984" s="40"/>
      <c r="AX1984" s="40"/>
      <c r="AY1984" s="313">
        <f>SUM(AY1981:AY1983)</f>
        <v>152.03719099999998</v>
      </c>
      <c r="AZ1984" s="40"/>
      <c r="BA1984" s="40"/>
      <c r="BB1984" s="40"/>
      <c r="BC1984" s="40"/>
      <c r="BD1984" s="40">
        <f>SUM(BD1981:BD1983)</f>
        <v>2.0141817348999997</v>
      </c>
      <c r="BE1984" s="40">
        <f>SUM(BE1981:BE1983)</f>
        <v>6.0413257712250008</v>
      </c>
      <c r="BF1984" s="40">
        <f>SUM(BF1981:BF1983)</f>
        <v>2.264763394</v>
      </c>
      <c r="BG1984" s="453"/>
      <c r="BH1984" s="453"/>
      <c r="BI1984" s="453"/>
      <c r="BJ1984" s="453"/>
      <c r="BK1984" s="453"/>
      <c r="BL1984" s="62">
        <f>BL1983</f>
        <v>0</v>
      </c>
      <c r="BM1984" s="275">
        <f>BM1983</f>
        <v>3</v>
      </c>
      <c r="BN1984" s="62">
        <v>0.03</v>
      </c>
      <c r="BO1984" s="451" t="str">
        <f>BO1983</f>
        <v>NMD Rioolbuis beton 300mm</v>
      </c>
      <c r="BP1984" t="s">
        <v>615</v>
      </c>
    </row>
    <row r="1985" spans="1:68">
      <c r="A1985" s="33" t="str">
        <f>Database_Productkaarten[[#This Row],[Product]]&amp;", "&amp;Database_Productkaarten[[#This Row],[Levensfase]]</f>
        <v>Betonbuis 300 mm, A4</v>
      </c>
      <c r="B1985" s="33" t="s">
        <v>726</v>
      </c>
      <c r="C1985" s="33" t="s">
        <v>246</v>
      </c>
      <c r="D1985" s="33" t="s">
        <v>727</v>
      </c>
      <c r="E1985" s="33" t="s">
        <v>389</v>
      </c>
      <c r="F1985" s="33" t="s">
        <v>78</v>
      </c>
      <c r="G1985" s="33">
        <v>1</v>
      </c>
      <c r="J1985" s="33">
        <v>0.3</v>
      </c>
      <c r="K1985" s="33">
        <v>5.5E-2</v>
      </c>
      <c r="L1985" s="33">
        <v>2.4</v>
      </c>
      <c r="M1985" s="270">
        <f t="shared" si="803"/>
        <v>0.184</v>
      </c>
      <c r="N1985" s="41">
        <v>0.4204</v>
      </c>
      <c r="O1985" s="33">
        <v>40</v>
      </c>
      <c r="P1985" s="40">
        <v>1.0111731999999999E-5</v>
      </c>
      <c r="Q1985" s="40">
        <v>2.6245345999999999E-2</v>
      </c>
      <c r="R1985" s="40">
        <v>3.5556717</v>
      </c>
      <c r="S1985" s="40">
        <v>6.5524014000000001E-7</v>
      </c>
      <c r="T1985" s="40">
        <v>2.0986707000000002E-3</v>
      </c>
      <c r="U1985" s="40">
        <v>1.5415371000000001E-2</v>
      </c>
      <c r="V1985" s="40">
        <v>3.0718646999999999E-3</v>
      </c>
      <c r="W1985" s="40">
        <v>1.4225466</v>
      </c>
      <c r="X1985" s="40">
        <v>4.1721376999999997E-2</v>
      </c>
      <c r="Y1985" s="40">
        <v>150.58482000000001</v>
      </c>
      <c r="Z1985" s="40">
        <v>5.0402650000000004E-3</v>
      </c>
      <c r="AA1985" s="40"/>
      <c r="AB1985" s="40"/>
      <c r="AC1985" s="40"/>
      <c r="AD1985" s="40"/>
      <c r="AE1985" s="40"/>
      <c r="AF1985" s="40"/>
      <c r="AV1985" s="40">
        <v>0.74877371999999998</v>
      </c>
      <c r="AW1985" s="40"/>
      <c r="AX1985" s="40"/>
      <c r="AY1985" s="313">
        <v>58.509047000000002</v>
      </c>
      <c r="AZ1985" s="40"/>
      <c r="BA1985" s="40"/>
      <c r="BB1985" s="40"/>
      <c r="BC1985" s="40"/>
      <c r="BD1985" s="40">
        <v>1.0522706E-2</v>
      </c>
      <c r="BE1985" s="40">
        <v>4.0407921999999999E-4</v>
      </c>
      <c r="BF1985" s="40">
        <v>3.3631443000000001</v>
      </c>
      <c r="BL1985" s="62">
        <v>0</v>
      </c>
      <c r="BM1985" s="275">
        <v>3</v>
      </c>
      <c r="BN1985" s="62">
        <v>0.03</v>
      </c>
      <c r="BO1985" s="33" t="s">
        <v>728</v>
      </c>
      <c r="BP1985" t="s">
        <v>615</v>
      </c>
    </row>
    <row r="1986" spans="1:68">
      <c r="A1986" s="33" t="str">
        <f>Database_Productkaarten[[#This Row],[Product]]&amp;", "&amp;Database_Productkaarten[[#This Row],[Levensfase]]</f>
        <v>Betonbuis 300 mm, A5</v>
      </c>
      <c r="B1986" s="33" t="s">
        <v>726</v>
      </c>
      <c r="C1986" s="33" t="s">
        <v>246</v>
      </c>
      <c r="D1986" s="33" t="s">
        <v>727</v>
      </c>
      <c r="E1986" s="33" t="s">
        <v>389</v>
      </c>
      <c r="F1986" s="33" t="s">
        <v>79</v>
      </c>
      <c r="G1986" s="33">
        <v>1</v>
      </c>
      <c r="J1986" s="33">
        <v>0.3</v>
      </c>
      <c r="K1986" s="33">
        <v>5.5E-2</v>
      </c>
      <c r="L1986" s="33">
        <v>2.4</v>
      </c>
      <c r="M1986" s="270">
        <f t="shared" si="803"/>
        <v>0.184</v>
      </c>
      <c r="N1986" s="41">
        <v>0.56999999999999995</v>
      </c>
      <c r="O1986" s="33">
        <v>40</v>
      </c>
      <c r="P1986" s="40">
        <v>2.4071581000000001E-6</v>
      </c>
      <c r="Q1986" s="40">
        <v>2.9742622999999999E-2</v>
      </c>
      <c r="R1986" s="40">
        <v>4.6052293000000004</v>
      </c>
      <c r="S1986" s="40">
        <v>7.4450049000000001E-7</v>
      </c>
      <c r="T1986" s="40">
        <v>4.1253810999999996E-3</v>
      </c>
      <c r="U1986" s="40">
        <v>3.1432047999999997E-2</v>
      </c>
      <c r="V1986" s="40">
        <v>6.9339487999999999E-3</v>
      </c>
      <c r="W1986" s="40">
        <v>1.4897358999999999</v>
      </c>
      <c r="X1986" s="40">
        <v>2.2474170000000002E-2</v>
      </c>
      <c r="Y1986" s="40">
        <v>79.052999</v>
      </c>
      <c r="Z1986" s="40">
        <v>3.7832567999999999E-3</v>
      </c>
      <c r="AA1986" s="40"/>
      <c r="AB1986" s="40"/>
      <c r="AC1986" s="40"/>
      <c r="AD1986" s="40"/>
      <c r="AE1986" s="40"/>
      <c r="AF1986" s="40"/>
      <c r="AV1986" s="40">
        <v>0.81989173000000004</v>
      </c>
      <c r="AW1986" s="40"/>
      <c r="AX1986" s="40"/>
      <c r="AY1986" s="313">
        <v>66.547269</v>
      </c>
      <c r="AZ1986" s="40"/>
      <c r="BA1986" s="40"/>
      <c r="BB1986" s="40"/>
      <c r="BC1986" s="40"/>
      <c r="BD1986" s="40">
        <v>5.8312603999999997E-2</v>
      </c>
      <c r="BE1986" s="40">
        <v>0.18166921</v>
      </c>
      <c r="BF1986" s="40">
        <v>0.33150035</v>
      </c>
      <c r="BL1986" s="62">
        <v>0</v>
      </c>
      <c r="BM1986" s="275">
        <v>3</v>
      </c>
      <c r="BN1986" s="62">
        <v>0.03</v>
      </c>
      <c r="BO1986" s="33" t="s">
        <v>728</v>
      </c>
      <c r="BP1986" t="s">
        <v>615</v>
      </c>
    </row>
    <row r="1987" spans="1:68">
      <c r="A1987" s="33" t="str">
        <f>Database_Productkaarten[[#This Row],[Product]]&amp;", "&amp;Database_Productkaarten[[#This Row],[Levensfase]]</f>
        <v>Betonbuis 300 mm, B1</v>
      </c>
      <c r="B1987" s="33" t="s">
        <v>726</v>
      </c>
      <c r="C1987" s="33" t="s">
        <v>246</v>
      </c>
      <c r="D1987" s="33" t="s">
        <v>727</v>
      </c>
      <c r="E1987" s="33" t="s">
        <v>389</v>
      </c>
      <c r="F1987" s="33" t="s">
        <v>80</v>
      </c>
      <c r="G1987" s="33">
        <v>1</v>
      </c>
      <c r="J1987" s="33">
        <v>0.3</v>
      </c>
      <c r="K1987" s="33">
        <v>5.5E-2</v>
      </c>
      <c r="L1987" s="33">
        <v>2.4</v>
      </c>
      <c r="M1987" s="270">
        <f t="shared" si="803"/>
        <v>0.184</v>
      </c>
      <c r="N1987" s="41"/>
      <c r="O1987" s="33">
        <v>40</v>
      </c>
      <c r="P1987" s="40">
        <v>0</v>
      </c>
      <c r="Q1987" s="40">
        <v>0</v>
      </c>
      <c r="R1987" s="40">
        <v>0</v>
      </c>
      <c r="S1987" s="40">
        <v>0</v>
      </c>
      <c r="T1987" s="40">
        <v>0</v>
      </c>
      <c r="U1987" s="40">
        <v>0</v>
      </c>
      <c r="V1987" s="40">
        <v>0</v>
      </c>
      <c r="W1987" s="40">
        <v>0</v>
      </c>
      <c r="X1987" s="40">
        <v>0</v>
      </c>
      <c r="Y1987" s="40">
        <v>0</v>
      </c>
      <c r="Z1987" s="40">
        <v>0</v>
      </c>
      <c r="AA1987" s="40"/>
      <c r="AB1987" s="40"/>
      <c r="AC1987" s="40"/>
      <c r="AD1987" s="40"/>
      <c r="AE1987" s="40"/>
      <c r="AF1987" s="40"/>
      <c r="AV1987" s="40">
        <v>0</v>
      </c>
      <c r="AW1987" s="40"/>
      <c r="AX1987" s="40"/>
      <c r="AY1987" s="313">
        <v>0</v>
      </c>
      <c r="AZ1987" s="40"/>
      <c r="BA1987" s="40"/>
      <c r="BB1987" s="40"/>
      <c r="BC1987" s="40"/>
      <c r="BD1987" s="40">
        <v>0</v>
      </c>
      <c r="BE1987" s="40">
        <v>0</v>
      </c>
      <c r="BF1987" s="40">
        <v>0</v>
      </c>
      <c r="BL1987" s="62">
        <v>0</v>
      </c>
      <c r="BM1987" s="275">
        <v>3</v>
      </c>
      <c r="BN1987" s="62">
        <v>0.03</v>
      </c>
      <c r="BO1987" s="33" t="s">
        <v>728</v>
      </c>
      <c r="BP1987" t="s">
        <v>615</v>
      </c>
    </row>
    <row r="1988" spans="1:68">
      <c r="A1988" s="33" t="str">
        <f>Database_Productkaarten[[#This Row],[Product]]&amp;", "&amp;Database_Productkaarten[[#This Row],[Levensfase]]</f>
        <v>Betonbuis 300 mm, C1</v>
      </c>
      <c r="B1988" s="33" t="s">
        <v>726</v>
      </c>
      <c r="C1988" s="33" t="s">
        <v>246</v>
      </c>
      <c r="D1988" s="33" t="s">
        <v>727</v>
      </c>
      <c r="E1988" s="33" t="s">
        <v>389</v>
      </c>
      <c r="F1988" s="33" t="s">
        <v>83</v>
      </c>
      <c r="G1988" s="33">
        <v>1</v>
      </c>
      <c r="J1988" s="33">
        <v>0.3</v>
      </c>
      <c r="K1988" s="33">
        <v>5.5E-2</v>
      </c>
      <c r="L1988" s="33">
        <v>2.4</v>
      </c>
      <c r="M1988" s="270">
        <f t="shared" si="803"/>
        <v>0.184</v>
      </c>
      <c r="N1988" s="41">
        <v>0.13070000000000001</v>
      </c>
      <c r="O1988" s="33">
        <v>40</v>
      </c>
      <c r="P1988" s="40">
        <v>5.3072094E-7</v>
      </c>
      <c r="Q1988" s="40">
        <v>1.0934592E-2</v>
      </c>
      <c r="R1988" s="40">
        <v>1.584811</v>
      </c>
      <c r="S1988" s="40">
        <v>2.8545933000000002E-7</v>
      </c>
      <c r="T1988" s="40">
        <v>1.5974495000000001E-3</v>
      </c>
      <c r="U1988" s="40">
        <v>1.1991464E-2</v>
      </c>
      <c r="V1988" s="40">
        <v>2.6851423999999999E-3</v>
      </c>
      <c r="W1988" s="40">
        <v>0.56101261000000002</v>
      </c>
      <c r="X1988" s="40">
        <v>7.8457045999999996E-3</v>
      </c>
      <c r="Y1988" s="40">
        <v>26.595618000000002</v>
      </c>
      <c r="Z1988" s="40">
        <v>9.3743633999999998E-4</v>
      </c>
      <c r="AA1988" s="40"/>
      <c r="AB1988" s="40"/>
      <c r="AC1988" s="40"/>
      <c r="AD1988" s="40"/>
      <c r="AE1988" s="40"/>
      <c r="AF1988" s="40"/>
      <c r="AV1988" s="40">
        <v>0.13169761999999999</v>
      </c>
      <c r="AW1988" s="40"/>
      <c r="AX1988" s="40"/>
      <c r="AY1988" s="313">
        <v>24.528438000000001</v>
      </c>
      <c r="AZ1988" s="40"/>
      <c r="BA1988" s="40"/>
      <c r="BB1988" s="40"/>
      <c r="BC1988" s="40"/>
      <c r="BD1988" s="40">
        <v>2.0222482E-3</v>
      </c>
      <c r="BE1988" s="40">
        <v>1.6981312999999999E-4</v>
      </c>
      <c r="BF1988" s="40">
        <v>2.5028471E-2</v>
      </c>
      <c r="BL1988" s="62">
        <v>0</v>
      </c>
      <c r="BM1988" s="275">
        <v>3</v>
      </c>
      <c r="BN1988" s="62">
        <v>0.03</v>
      </c>
      <c r="BO1988" s="33" t="s">
        <v>728</v>
      </c>
      <c r="BP1988" t="s">
        <v>615</v>
      </c>
    </row>
    <row r="1989" spans="1:68">
      <c r="A1989" s="33" t="str">
        <f>Database_Productkaarten[[#This Row],[Product]]&amp;", "&amp;Database_Productkaarten[[#This Row],[Levensfase]]</f>
        <v>Betonbuis 300 mm, C2</v>
      </c>
      <c r="B1989" s="33" t="s">
        <v>726</v>
      </c>
      <c r="C1989" s="33" t="s">
        <v>246</v>
      </c>
      <c r="D1989" s="33" t="s">
        <v>727</v>
      </c>
      <c r="E1989" s="33" t="s">
        <v>389</v>
      </c>
      <c r="F1989" s="33" t="s">
        <v>84</v>
      </c>
      <c r="G1989" s="33">
        <v>1</v>
      </c>
      <c r="J1989" s="33">
        <v>0.3</v>
      </c>
      <c r="K1989" s="33">
        <v>5.5E-2</v>
      </c>
      <c r="L1989" s="33">
        <v>2.4</v>
      </c>
      <c r="M1989" s="270">
        <f t="shared" si="803"/>
        <v>0.184</v>
      </c>
      <c r="N1989" s="41">
        <v>0.14169999999999999</v>
      </c>
      <c r="O1989" s="33">
        <v>40</v>
      </c>
      <c r="P1989" s="40">
        <v>3.4042829999999999E-6</v>
      </c>
      <c r="Q1989" s="40">
        <v>8.8359330000000007E-3</v>
      </c>
      <c r="R1989" s="40">
        <v>1.1970761999999999</v>
      </c>
      <c r="S1989" s="40">
        <v>2.2059751E-7</v>
      </c>
      <c r="T1989" s="40">
        <v>7.0655246000000005E-4</v>
      </c>
      <c r="U1989" s="40">
        <v>5.1898415000000003E-3</v>
      </c>
      <c r="V1989" s="40">
        <v>1.0341943999999999E-3</v>
      </c>
      <c r="W1989" s="40">
        <v>0.47892402000000001</v>
      </c>
      <c r="X1989" s="40">
        <v>1.4046197E-2</v>
      </c>
      <c r="Y1989" s="40">
        <v>50.696888000000001</v>
      </c>
      <c r="Z1989" s="40">
        <v>1.6968892000000001E-3</v>
      </c>
      <c r="AA1989" s="40"/>
      <c r="AB1989" s="40"/>
      <c r="AC1989" s="40"/>
      <c r="AD1989" s="40"/>
      <c r="AE1989" s="40"/>
      <c r="AF1989" s="40"/>
      <c r="AV1989" s="40">
        <v>0.25208714999999998</v>
      </c>
      <c r="AW1989" s="40"/>
      <c r="AX1989" s="40"/>
      <c r="AY1989" s="313">
        <v>19.698046000000001</v>
      </c>
      <c r="AZ1989" s="40"/>
      <c r="BA1989" s="40"/>
      <c r="BB1989" s="40"/>
      <c r="BC1989" s="40"/>
      <c r="BD1989" s="40">
        <v>3.5426443999999999E-3</v>
      </c>
      <c r="BE1989" s="40">
        <v>1.3604000000000001E-4</v>
      </c>
      <c r="BF1989" s="40">
        <v>1.1322585999999999</v>
      </c>
      <c r="BL1989" s="62">
        <v>0</v>
      </c>
      <c r="BM1989" s="275">
        <v>3</v>
      </c>
      <c r="BN1989" s="62">
        <v>0.03</v>
      </c>
      <c r="BO1989" s="33" t="s">
        <v>728</v>
      </c>
      <c r="BP1989" t="s">
        <v>615</v>
      </c>
    </row>
    <row r="1990" spans="1:68">
      <c r="A1990" s="33" t="str">
        <f>Database_Productkaarten[[#This Row],[Product]]&amp;", "&amp;Database_Productkaarten[[#This Row],[Levensfase]]</f>
        <v>Betonbuis 300 mm, C3</v>
      </c>
      <c r="B1990" s="33" t="s">
        <v>726</v>
      </c>
      <c r="C1990" s="33" t="s">
        <v>246</v>
      </c>
      <c r="D1990" s="33" t="s">
        <v>727</v>
      </c>
      <c r="E1990" s="33" t="s">
        <v>389</v>
      </c>
      <c r="F1990" s="33" t="s">
        <v>85</v>
      </c>
      <c r="G1990" s="33">
        <v>1</v>
      </c>
      <c r="J1990" s="33">
        <v>0.3</v>
      </c>
      <c r="K1990" s="33">
        <v>5.5E-2</v>
      </c>
      <c r="L1990" s="33">
        <v>2.4</v>
      </c>
      <c r="M1990" s="270">
        <f t="shared" si="803"/>
        <v>0.184</v>
      </c>
      <c r="N1990" s="41">
        <v>5.1299999999999998E-2</v>
      </c>
      <c r="O1990" s="33">
        <v>40</v>
      </c>
      <c r="P1990" s="40">
        <v>1.8303920000000001E-7</v>
      </c>
      <c r="Q1990" s="40">
        <v>2.1794605E-3</v>
      </c>
      <c r="R1990" s="40">
        <v>0.75811048999999997</v>
      </c>
      <c r="S1990" s="40">
        <v>3.3972613000000002E-8</v>
      </c>
      <c r="T1990" s="40">
        <v>1.6171061E-4</v>
      </c>
      <c r="U1990" s="40">
        <v>1.366096E-3</v>
      </c>
      <c r="V1990" s="40">
        <v>3.1245147999999997E-4</v>
      </c>
      <c r="W1990" s="40">
        <v>6.4199425000000004E-2</v>
      </c>
      <c r="X1990" s="40">
        <v>1.1329108E-3</v>
      </c>
      <c r="Y1990" s="40">
        <v>4.2171120999999996</v>
      </c>
      <c r="Z1990" s="40">
        <v>8.6915851E-4</v>
      </c>
      <c r="AA1990" s="40"/>
      <c r="AB1990" s="40"/>
      <c r="AC1990" s="40"/>
      <c r="AD1990" s="40"/>
      <c r="AE1990" s="40"/>
      <c r="AF1990" s="40"/>
      <c r="AV1990" s="40">
        <v>0.23375019999999999</v>
      </c>
      <c r="AW1990" s="40"/>
      <c r="AX1990" s="40"/>
      <c r="AY1990" s="313">
        <v>4.5640058999999997</v>
      </c>
      <c r="AZ1990" s="40"/>
      <c r="BA1990" s="40"/>
      <c r="BB1990" s="40"/>
      <c r="BC1990" s="40"/>
      <c r="BD1990" s="40">
        <v>1.3906839000000001E-3</v>
      </c>
      <c r="BE1990" s="40">
        <v>2.6620582000000001E-5</v>
      </c>
      <c r="BF1990" s="40">
        <v>0.55646894999999996</v>
      </c>
      <c r="BL1990" s="62">
        <v>0</v>
      </c>
      <c r="BM1990" s="275">
        <v>3</v>
      </c>
      <c r="BN1990" s="62">
        <v>0.03</v>
      </c>
      <c r="BO1990" s="33" t="s">
        <v>728</v>
      </c>
      <c r="BP1990" t="s">
        <v>615</v>
      </c>
    </row>
    <row r="1991" spans="1:68">
      <c r="A1991" s="33" t="str">
        <f>Database_Productkaarten[[#This Row],[Product]]&amp;", "&amp;Database_Productkaarten[[#This Row],[Levensfase]]</f>
        <v>Betonbuis 300 mm, C4</v>
      </c>
      <c r="B1991" s="33" t="s">
        <v>726</v>
      </c>
      <c r="C1991" s="33" t="s">
        <v>246</v>
      </c>
      <c r="D1991" s="33" t="s">
        <v>727</v>
      </c>
      <c r="E1991" s="33" t="s">
        <v>389</v>
      </c>
      <c r="F1991" s="33" t="s">
        <v>86</v>
      </c>
      <c r="G1991" s="33">
        <v>1</v>
      </c>
      <c r="J1991" s="33">
        <v>0.3</v>
      </c>
      <c r="K1991" s="33">
        <v>5.5E-2</v>
      </c>
      <c r="L1991" s="33">
        <v>2.4</v>
      </c>
      <c r="M1991" s="270">
        <f t="shared" si="803"/>
        <v>0.184</v>
      </c>
      <c r="N1991" s="41">
        <v>1.2999999999999999E-3</v>
      </c>
      <c r="O1991" s="33">
        <v>40</v>
      </c>
      <c r="P1991" s="40">
        <v>1.0975072E-8</v>
      </c>
      <c r="Q1991" s="40">
        <v>1.3086085E-4</v>
      </c>
      <c r="R1991" s="40">
        <v>9.6158501999999996E-3</v>
      </c>
      <c r="S1991" s="40">
        <v>3.1826950999999999E-9</v>
      </c>
      <c r="T1991" s="40">
        <v>1.0190159000000001E-5</v>
      </c>
      <c r="U1991" s="40">
        <v>7.1055309999999998E-5</v>
      </c>
      <c r="V1991" s="40">
        <v>1.3372767E-5</v>
      </c>
      <c r="W1991" s="40">
        <v>3.9203520000000002E-3</v>
      </c>
      <c r="X1991" s="40">
        <v>9.748395E-5</v>
      </c>
      <c r="Y1991" s="40">
        <v>0.33528481999999998</v>
      </c>
      <c r="Z1991" s="40">
        <v>1.1610364E-5</v>
      </c>
      <c r="AA1991" s="40"/>
      <c r="AB1991" s="40"/>
      <c r="AC1991" s="40"/>
      <c r="AD1991" s="40"/>
      <c r="AE1991" s="40"/>
      <c r="AF1991" s="40"/>
      <c r="AV1991" s="40">
        <v>7.0094729E-3</v>
      </c>
      <c r="AW1991" s="40"/>
      <c r="AX1991" s="40"/>
      <c r="AY1991" s="313">
        <v>0.29231955999999998</v>
      </c>
      <c r="AZ1991" s="40"/>
      <c r="BA1991" s="40"/>
      <c r="BB1991" s="40"/>
      <c r="BC1991" s="40"/>
      <c r="BD1991" s="40">
        <v>2.9462078999999998E-4</v>
      </c>
      <c r="BE1991" s="40">
        <v>1.9857052000000001E-6</v>
      </c>
      <c r="BF1991" s="40">
        <v>1.7994185</v>
      </c>
      <c r="BL1991" s="62">
        <v>0</v>
      </c>
      <c r="BM1991" s="275">
        <v>3</v>
      </c>
      <c r="BN1991" s="62">
        <v>0.03</v>
      </c>
      <c r="BO1991" s="33" t="s">
        <v>728</v>
      </c>
      <c r="BP1991" t="s">
        <v>615</v>
      </c>
    </row>
    <row r="1992" spans="1:68">
      <c r="A1992" s="33" t="str">
        <f>Database_Productkaarten[[#This Row],[Product]]&amp;", "&amp;Database_Productkaarten[[#This Row],[Levensfase]]</f>
        <v>Betonbuis 300 mm, D</v>
      </c>
      <c r="B1992" s="33" t="str">
        <f>B1993</f>
        <v>Betonbuis 300 mm</v>
      </c>
      <c r="C1992" s="33" t="str">
        <f>C1993</f>
        <v>Waterafvoer</v>
      </c>
      <c r="D1992" s="33" t="str">
        <f>D1993</f>
        <v>Betonnen riolering</v>
      </c>
      <c r="E1992" s="33" t="str">
        <f>E1993</f>
        <v>m1</v>
      </c>
      <c r="F1992" s="33" t="s">
        <v>89</v>
      </c>
      <c r="G1992" s="33">
        <f t="shared" ref="G1992:M1992" si="806">G1993</f>
        <v>1</v>
      </c>
      <c r="J1992" s="33">
        <f t="shared" si="806"/>
        <v>0.3</v>
      </c>
      <c r="K1992" s="33">
        <f t="shared" si="806"/>
        <v>5.5E-2</v>
      </c>
      <c r="L1992" s="33">
        <f t="shared" si="806"/>
        <v>2.4</v>
      </c>
      <c r="M1992" s="45">
        <f t="shared" si="806"/>
        <v>0.184</v>
      </c>
      <c r="N1992" s="41">
        <f>SUM(N1993:N1994)</f>
        <v>-9.5500000000000002E-2</v>
      </c>
      <c r="O1992" s="33">
        <f>O1993</f>
        <v>40</v>
      </c>
      <c r="P1992" s="163">
        <v>-4.1202794E-6</v>
      </c>
      <c r="Q1992" s="163">
        <v>-5.2024988000000001E-3</v>
      </c>
      <c r="R1992" s="163">
        <v>-0.78505879000000001</v>
      </c>
      <c r="S1992" s="163">
        <v>-6.6730273E-8</v>
      </c>
      <c r="T1992" s="163">
        <v>-5.4807922000000002E-4</v>
      </c>
      <c r="U1992" s="163">
        <v>-4.4588882000000003E-3</v>
      </c>
      <c r="V1992" s="163">
        <v>-7.2851766999999996E-4</v>
      </c>
      <c r="W1992" s="163">
        <v>-0.30426054000000002</v>
      </c>
      <c r="X1992" s="163">
        <v>-4.4313607999999999E-3</v>
      </c>
      <c r="Y1992" s="163">
        <v>-21.140943</v>
      </c>
      <c r="Z1992" s="163">
        <v>-1.7221262999999999E-3</v>
      </c>
      <c r="AA1992" s="163"/>
      <c r="AB1992" s="163"/>
      <c r="AC1992" s="163"/>
      <c r="AD1992" s="163"/>
      <c r="AE1992" s="163"/>
      <c r="AF1992" s="163"/>
      <c r="AG1992" s="40"/>
      <c r="AH1992" s="40"/>
      <c r="AI1992" s="40"/>
      <c r="AJ1992" s="40"/>
      <c r="AK1992" s="40"/>
      <c r="AL1992" s="40"/>
      <c r="AM1992" s="40"/>
      <c r="AN1992" s="40"/>
      <c r="AO1992" s="40"/>
      <c r="AP1992" s="40"/>
      <c r="AQ1992" s="40"/>
      <c r="AR1992" s="40"/>
      <c r="AS1992" s="40"/>
      <c r="AT1992" s="40"/>
      <c r="AU1992" s="40"/>
      <c r="AV1992" s="163">
        <v>-0.63880888999999996</v>
      </c>
      <c r="AW1992" s="40"/>
      <c r="AX1992" s="40"/>
      <c r="AY1992" s="313">
        <v>-10.453097</v>
      </c>
      <c r="AZ1992" s="40"/>
      <c r="BA1992" s="40"/>
      <c r="BB1992" s="40"/>
      <c r="BC1992" s="40"/>
      <c r="BD1992" s="40">
        <v>-0.25054090000000001</v>
      </c>
      <c r="BE1992" s="163">
        <v>-5.5924063000000001E-5</v>
      </c>
      <c r="BF1992" s="163">
        <v>-0.10027786</v>
      </c>
      <c r="BG1992" s="40"/>
      <c r="BH1992" s="40"/>
      <c r="BI1992" s="40"/>
      <c r="BJ1992" s="40"/>
      <c r="BK1992" s="40"/>
      <c r="BL1992" s="62">
        <f>BL1993</f>
        <v>0</v>
      </c>
      <c r="BM1992" s="275">
        <f>BM1993</f>
        <v>3</v>
      </c>
      <c r="BN1992" s="62">
        <v>0.03</v>
      </c>
      <c r="BO1992" s="33" t="str">
        <f>BO1993</f>
        <v>NMD Rioolbuis beton 300mm</v>
      </c>
      <c r="BP1992" t="s">
        <v>615</v>
      </c>
    </row>
    <row r="1993" spans="1:68">
      <c r="A1993" s="33" t="str">
        <f>Database_Productkaarten[[#This Row],[Product]]&amp;", "&amp;Database_Productkaarten[[#This Row],[Levensfase]]</f>
        <v>Betonbuis 300 mm, D1</v>
      </c>
      <c r="B1993" s="33" t="s">
        <v>726</v>
      </c>
      <c r="C1993" s="33" t="s">
        <v>246</v>
      </c>
      <c r="D1993" s="33" t="s">
        <v>727</v>
      </c>
      <c r="E1993" s="33" t="s">
        <v>389</v>
      </c>
      <c r="F1993" s="33" t="s">
        <v>87</v>
      </c>
      <c r="G1993" s="33">
        <v>1</v>
      </c>
      <c r="J1993" s="33">
        <v>0.3</v>
      </c>
      <c r="K1993" s="33">
        <v>5.5E-2</v>
      </c>
      <c r="L1993" s="33">
        <v>2.4</v>
      </c>
      <c r="M1993" s="270">
        <f t="shared" si="803"/>
        <v>0.184</v>
      </c>
      <c r="N1993" s="41">
        <v>-9.5500000000000002E-2</v>
      </c>
      <c r="O1993" s="33">
        <v>40</v>
      </c>
      <c r="AV1993" s="316"/>
      <c r="AW1993" s="314"/>
      <c r="AX1993" s="314"/>
      <c r="AY1993" s="316"/>
      <c r="BL1993" s="62">
        <v>0</v>
      </c>
      <c r="BM1993" s="275">
        <v>3</v>
      </c>
      <c r="BN1993" s="62">
        <v>0.03</v>
      </c>
      <c r="BO1993" s="33" t="s">
        <v>728</v>
      </c>
      <c r="BP1993" t="s">
        <v>615</v>
      </c>
    </row>
    <row r="1994" spans="1:68">
      <c r="A1994" s="33" t="str">
        <f>Database_Productkaarten[[#This Row],[Product]]&amp;", "&amp;Database_Productkaarten[[#This Row],[Levensfase]]</f>
        <v>Betonbuis 300 mm, D2</v>
      </c>
      <c r="B1994" s="33" t="s">
        <v>726</v>
      </c>
      <c r="C1994" s="33" t="s">
        <v>246</v>
      </c>
      <c r="D1994" s="33" t="s">
        <v>727</v>
      </c>
      <c r="E1994" s="33" t="s">
        <v>389</v>
      </c>
      <c r="F1994" s="33" t="s">
        <v>88</v>
      </c>
      <c r="G1994" s="33">
        <v>1</v>
      </c>
      <c r="J1994" s="33">
        <v>0.3</v>
      </c>
      <c r="K1994" s="33">
        <v>5.5E-2</v>
      </c>
      <c r="L1994" s="33">
        <v>2.4</v>
      </c>
      <c r="M1994" s="270">
        <f t="shared" si="803"/>
        <v>0.184</v>
      </c>
      <c r="N1994" s="41"/>
      <c r="O1994" s="33">
        <v>40</v>
      </c>
      <c r="AV1994" s="316"/>
      <c r="AW1994" s="314"/>
      <c r="AX1994" s="314"/>
      <c r="AY1994" s="316"/>
      <c r="BL1994" s="62">
        <v>0</v>
      </c>
      <c r="BM1994" s="275">
        <v>3</v>
      </c>
      <c r="BN1994" s="62">
        <v>0.03</v>
      </c>
      <c r="BO1994" s="33" t="s">
        <v>728</v>
      </c>
      <c r="BP1994" t="s">
        <v>615</v>
      </c>
    </row>
    <row r="1995" spans="1:68">
      <c r="A1995" s="33" t="str">
        <f>Database_Productkaarten[[#This Row],[Product]]&amp;", "&amp;Database_Productkaarten[[#This Row],[Levensfase]]</f>
        <v>Betonbuis 500 mm, Totaal</v>
      </c>
      <c r="B1995" s="33" t="s">
        <v>254</v>
      </c>
      <c r="C1995" s="33" t="s">
        <v>246</v>
      </c>
      <c r="D1995" s="33" t="s">
        <v>727</v>
      </c>
      <c r="E1995" s="33" t="s">
        <v>389</v>
      </c>
      <c r="F1995" s="33" t="s">
        <v>90</v>
      </c>
      <c r="G1995" s="33">
        <v>1</v>
      </c>
      <c r="J1995" s="33">
        <v>0.5</v>
      </c>
      <c r="K1995" s="33">
        <v>6.5000000000000002E-2</v>
      </c>
      <c r="L1995" s="33">
        <v>2.4</v>
      </c>
      <c r="M1995" s="270">
        <f>0.82/2.5</f>
        <v>0.32799999999999996</v>
      </c>
      <c r="N1995" s="41"/>
      <c r="O1995" s="33">
        <v>40</v>
      </c>
      <c r="AV1995" s="316"/>
      <c r="AW1995" s="314"/>
      <c r="AX1995" s="314"/>
      <c r="AY1995" s="316"/>
      <c r="BL1995" s="62">
        <v>0</v>
      </c>
      <c r="BM1995" s="275">
        <v>3</v>
      </c>
      <c r="BN1995" s="62">
        <v>0.03</v>
      </c>
      <c r="BO1995" s="33" t="s">
        <v>729</v>
      </c>
      <c r="BP1995" t="s">
        <v>615</v>
      </c>
    </row>
    <row r="1996" spans="1:68">
      <c r="A1996" s="33" t="str">
        <f>Database_Productkaarten[[#This Row],[Product]]&amp;", "&amp;Database_Productkaarten[[#This Row],[Levensfase]]</f>
        <v>Betonbuis 500 mm, A1</v>
      </c>
      <c r="B1996" s="33" t="s">
        <v>254</v>
      </c>
      <c r="C1996" s="33" t="s">
        <v>246</v>
      </c>
      <c r="D1996" s="33" t="s">
        <v>727</v>
      </c>
      <c r="E1996" s="33" t="s">
        <v>389</v>
      </c>
      <c r="F1996" s="33" t="s">
        <v>74</v>
      </c>
      <c r="G1996" s="33">
        <v>1</v>
      </c>
      <c r="J1996" s="33">
        <v>0.5</v>
      </c>
      <c r="K1996" s="33">
        <v>6.5000000000000002E-2</v>
      </c>
      <c r="L1996" s="33">
        <v>2.4</v>
      </c>
      <c r="M1996" s="270">
        <f t="shared" ref="M1996:M2009" si="807">0.82/2.5</f>
        <v>0.32799999999999996</v>
      </c>
      <c r="N1996" s="41">
        <v>2.7</v>
      </c>
      <c r="O1996" s="33">
        <v>40</v>
      </c>
      <c r="P1996" s="163">
        <v>4.5119832000000002E-5</v>
      </c>
      <c r="Q1996" s="163">
        <v>9.7485969000000006E-2</v>
      </c>
      <c r="R1996" s="163">
        <v>32.185417000000001</v>
      </c>
      <c r="S1996" s="163">
        <v>9.1252331000000001E-7</v>
      </c>
      <c r="T1996" s="163">
        <v>8.0886494999999996E-3</v>
      </c>
      <c r="U1996" s="163">
        <v>8.8649592999999999E-2</v>
      </c>
      <c r="V1996" s="163">
        <v>1.417178E-2</v>
      </c>
      <c r="W1996" s="163">
        <v>3.4228608</v>
      </c>
      <c r="X1996" s="163">
        <v>8.0869008000000006E-2</v>
      </c>
      <c r="Y1996" s="163">
        <v>424.54924</v>
      </c>
      <c r="Z1996" s="163">
        <v>7.4019593999999994E-2</v>
      </c>
      <c r="AA1996" s="40"/>
      <c r="AB1996" s="40"/>
      <c r="AC1996" s="40"/>
      <c r="AD1996" s="40"/>
      <c r="AE1996" s="40"/>
      <c r="AF1996" s="40"/>
      <c r="AV1996" s="163">
        <v>26.006613000000002</v>
      </c>
      <c r="AW1996" s="40"/>
      <c r="AX1996" s="40"/>
      <c r="AY1996" s="313">
        <v>211.75682</v>
      </c>
      <c r="AZ1996" s="40"/>
      <c r="BA1996" s="40"/>
      <c r="BB1996" s="40"/>
      <c r="BC1996" s="40"/>
      <c r="BD1996" s="40">
        <v>3.6241020000000002</v>
      </c>
      <c r="BE1996" s="163">
        <v>10.905417</v>
      </c>
      <c r="BF1996" s="163">
        <v>2.2615913000000001</v>
      </c>
      <c r="BL1996" s="62">
        <v>0</v>
      </c>
      <c r="BM1996" s="275">
        <v>3</v>
      </c>
      <c r="BN1996" s="62">
        <v>0.03</v>
      </c>
      <c r="BO1996" s="33" t="s">
        <v>729</v>
      </c>
      <c r="BP1996" t="s">
        <v>615</v>
      </c>
    </row>
    <row r="1997" spans="1:68">
      <c r="A1997" s="33" t="str">
        <f>Database_Productkaarten[[#This Row],[Product]]&amp;", "&amp;Database_Productkaarten[[#This Row],[Levensfase]]</f>
        <v>Betonbuis 500 mm, A2</v>
      </c>
      <c r="B1997" s="33" t="s">
        <v>254</v>
      </c>
      <c r="C1997" s="33" t="s">
        <v>246</v>
      </c>
      <c r="D1997" s="33" t="s">
        <v>727</v>
      </c>
      <c r="E1997" s="33" t="s">
        <v>389</v>
      </c>
      <c r="F1997" s="33" t="s">
        <v>75</v>
      </c>
      <c r="G1997" s="33">
        <v>1</v>
      </c>
      <c r="J1997" s="33">
        <v>0.5</v>
      </c>
      <c r="K1997" s="33">
        <v>6.5000000000000002E-2</v>
      </c>
      <c r="L1997" s="33">
        <v>2.4</v>
      </c>
      <c r="M1997" s="270">
        <f t="shared" si="807"/>
        <v>0.32799999999999996</v>
      </c>
      <c r="N1997" s="41"/>
      <c r="O1997" s="33">
        <v>40</v>
      </c>
      <c r="P1997" s="163">
        <v>6.506566E-6</v>
      </c>
      <c r="Q1997" s="163">
        <v>1.6888014999999999E-2</v>
      </c>
      <c r="R1997" s="163">
        <v>2.2879575999999999</v>
      </c>
      <c r="S1997" s="163">
        <v>4.2162542999999999E-7</v>
      </c>
      <c r="T1997" s="163">
        <v>1.3504254000000001E-3</v>
      </c>
      <c r="U1997" s="163">
        <v>9.9192831000000006E-3</v>
      </c>
      <c r="V1997" s="163">
        <v>1.9766437E-3</v>
      </c>
      <c r="W1997" s="163">
        <v>0.91536185000000003</v>
      </c>
      <c r="X1997" s="163">
        <v>2.6846331000000001E-2</v>
      </c>
      <c r="Y1997" s="163">
        <v>96.896366</v>
      </c>
      <c r="Z1997" s="163">
        <v>3.2432443999999999E-3</v>
      </c>
      <c r="AA1997" s="40"/>
      <c r="AB1997" s="40"/>
      <c r="AC1997" s="40"/>
      <c r="AD1997" s="40"/>
      <c r="AE1997" s="40"/>
      <c r="AF1997" s="40"/>
      <c r="AV1997" s="163">
        <v>0.48181120999999999</v>
      </c>
      <c r="AW1997" s="40"/>
      <c r="AX1997" s="40"/>
      <c r="AY1997" s="313">
        <v>37.648643</v>
      </c>
      <c r="AZ1997" s="40"/>
      <c r="BA1997" s="40"/>
      <c r="BB1997" s="40"/>
      <c r="BC1997" s="40"/>
      <c r="BD1997" s="40">
        <v>6.7710145000000003E-3</v>
      </c>
      <c r="BE1997" s="163">
        <v>2.6001166000000001E-4</v>
      </c>
      <c r="BF1997" s="163">
        <v>2.1640725000000001</v>
      </c>
      <c r="BL1997" s="62">
        <v>0</v>
      </c>
      <c r="BM1997" s="275">
        <v>3</v>
      </c>
      <c r="BN1997" s="62">
        <v>0.03</v>
      </c>
      <c r="BO1997" s="33" t="s">
        <v>729</v>
      </c>
      <c r="BP1997" t="s">
        <v>615</v>
      </c>
    </row>
    <row r="1998" spans="1:68">
      <c r="A1998" s="33" t="str">
        <f>Database_Productkaarten[[#This Row],[Product]]&amp;", "&amp;Database_Productkaarten[[#This Row],[Levensfase]]</f>
        <v>Betonbuis 500 mm, A3</v>
      </c>
      <c r="B1998" s="33" t="s">
        <v>254</v>
      </c>
      <c r="C1998" s="33" t="s">
        <v>246</v>
      </c>
      <c r="D1998" s="33" t="s">
        <v>727</v>
      </c>
      <c r="E1998" s="33" t="s">
        <v>389</v>
      </c>
      <c r="F1998" s="33" t="s">
        <v>76</v>
      </c>
      <c r="G1998" s="33">
        <v>1</v>
      </c>
      <c r="J1998" s="33">
        <v>0.5</v>
      </c>
      <c r="K1998" s="33">
        <v>6.5000000000000002E-2</v>
      </c>
      <c r="L1998" s="33">
        <v>2.4</v>
      </c>
      <c r="M1998" s="270">
        <f t="shared" si="807"/>
        <v>0.32799999999999996</v>
      </c>
      <c r="N1998" s="41"/>
      <c r="O1998" s="33">
        <v>40</v>
      </c>
      <c r="P1998" s="163">
        <v>5.5179921999999998E-7</v>
      </c>
      <c r="Q1998" s="163">
        <v>1.6585859000000001E-2</v>
      </c>
      <c r="R1998" s="163">
        <v>2.0293432</v>
      </c>
      <c r="S1998" s="163">
        <v>1.4005429999999999E-7</v>
      </c>
      <c r="T1998" s="163">
        <v>3.3589646999999999E-4</v>
      </c>
      <c r="U1998" s="163">
        <v>3.6953738999999999E-3</v>
      </c>
      <c r="V1998" s="163">
        <v>8.2739583000000002E-4</v>
      </c>
      <c r="W1998" s="163">
        <v>0.16937869999999999</v>
      </c>
      <c r="X1998" s="163">
        <v>3.8759082E-3</v>
      </c>
      <c r="Y1998" s="163">
        <v>19.021968000000001</v>
      </c>
      <c r="Z1998" s="163">
        <v>2.8534493999999998E-3</v>
      </c>
      <c r="AA1998" s="40"/>
      <c r="AB1998" s="40"/>
      <c r="AC1998" s="40"/>
      <c r="AD1998" s="40"/>
      <c r="AE1998" s="40"/>
      <c r="AF1998" s="40"/>
      <c r="AV1998" s="163">
        <v>2.5697440999999999</v>
      </c>
      <c r="AW1998" s="40"/>
      <c r="AX1998" s="40"/>
      <c r="AY1998" s="313">
        <v>33.276496000000002</v>
      </c>
      <c r="AZ1998" s="40"/>
      <c r="BA1998" s="40"/>
      <c r="BB1998" s="40"/>
      <c r="BC1998" s="40"/>
      <c r="BD1998" s="40">
        <v>6.5283001000000004E-3</v>
      </c>
      <c r="BE1998" s="163">
        <v>1.4605114E-4</v>
      </c>
      <c r="BF1998" s="163">
        <v>6.4108720999999994E-2</v>
      </c>
      <c r="BL1998" s="62">
        <v>0</v>
      </c>
      <c r="BM1998" s="275">
        <v>3</v>
      </c>
      <c r="BN1998" s="62">
        <v>0.03</v>
      </c>
      <c r="BO1998" s="33" t="s">
        <v>729</v>
      </c>
      <c r="BP1998" t="s">
        <v>615</v>
      </c>
    </row>
    <row r="1999" spans="1:68">
      <c r="A1999" s="451" t="str">
        <f>Database_Productkaarten[[#This Row],[Product]]&amp;", "&amp;Database_Productkaarten[[#This Row],[Levensfase]]</f>
        <v>Betonbuis 500 mm, A1-A3</v>
      </c>
      <c r="B1999" s="451" t="str">
        <f>B1998</f>
        <v>Betonbuis 500 mm</v>
      </c>
      <c r="C1999" s="451" t="str">
        <f>C1998</f>
        <v>Waterafvoer</v>
      </c>
      <c r="D1999" s="451" t="str">
        <f>D1998</f>
        <v>Betonnen riolering</v>
      </c>
      <c r="E1999" s="451" t="str">
        <f>E1998</f>
        <v>m1</v>
      </c>
      <c r="F1999" s="451" t="s">
        <v>77</v>
      </c>
      <c r="G1999" s="451">
        <f t="shared" ref="G1999:M1999" si="808">G1998</f>
        <v>1</v>
      </c>
      <c r="H1999" s="451"/>
      <c r="I1999" s="451"/>
      <c r="J1999" s="451">
        <f t="shared" si="808"/>
        <v>0.5</v>
      </c>
      <c r="K1999" s="451">
        <f t="shared" si="808"/>
        <v>6.5000000000000002E-2</v>
      </c>
      <c r="L1999" s="451">
        <f t="shared" si="808"/>
        <v>2.4</v>
      </c>
      <c r="M1999" s="454">
        <f t="shared" si="808"/>
        <v>0.32799999999999996</v>
      </c>
      <c r="N1999" s="452">
        <f>SUM(N1996:N1998)</f>
        <v>2.7</v>
      </c>
      <c r="O1999" s="451">
        <f>O1998</f>
        <v>40</v>
      </c>
      <c r="P1999" s="40">
        <f>SUM(P1996:P1998)</f>
        <v>5.2178197220000003E-5</v>
      </c>
      <c r="Q1999" s="40">
        <f t="shared" ref="Q1999:Z1999" si="809">SUM(Q1996:Q1998)</f>
        <v>0.13095984300000002</v>
      </c>
      <c r="R1999" s="40">
        <f t="shared" si="809"/>
        <v>36.502717799999999</v>
      </c>
      <c r="S1999" s="40">
        <f t="shared" si="809"/>
        <v>1.47420304E-6</v>
      </c>
      <c r="T1999" s="40">
        <f t="shared" si="809"/>
        <v>9.7749713699999997E-3</v>
      </c>
      <c r="U1999" s="40">
        <f t="shared" si="809"/>
        <v>0.10226425</v>
      </c>
      <c r="V1999" s="40">
        <f t="shared" si="809"/>
        <v>1.6975819530000002E-2</v>
      </c>
      <c r="W1999" s="40">
        <f t="shared" si="809"/>
        <v>4.5076013500000007</v>
      </c>
      <c r="X1999" s="40">
        <f t="shared" si="809"/>
        <v>0.11159124720000001</v>
      </c>
      <c r="Y1999" s="40">
        <f t="shared" si="809"/>
        <v>540.46757400000001</v>
      </c>
      <c r="Z1999" s="40">
        <f t="shared" si="809"/>
        <v>8.0116287799999991E-2</v>
      </c>
      <c r="AA1999" s="40"/>
      <c r="AB1999" s="40"/>
      <c r="AC1999" s="40"/>
      <c r="AD1999" s="40"/>
      <c r="AE1999" s="40"/>
      <c r="AF1999" s="40"/>
      <c r="AG1999" s="453">
        <f t="shared" ref="AG1999:AU1999" si="810">SUM(AG1996:AG1998)</f>
        <v>0</v>
      </c>
      <c r="AH1999" s="453">
        <f t="shared" si="810"/>
        <v>0</v>
      </c>
      <c r="AI1999" s="453">
        <f t="shared" si="810"/>
        <v>0</v>
      </c>
      <c r="AJ1999" s="453">
        <f t="shared" si="810"/>
        <v>0</v>
      </c>
      <c r="AK1999" s="453">
        <f t="shared" si="810"/>
        <v>0</v>
      </c>
      <c r="AL1999" s="453">
        <f t="shared" si="810"/>
        <v>0</v>
      </c>
      <c r="AM1999" s="453">
        <f t="shared" si="810"/>
        <v>0</v>
      </c>
      <c r="AN1999" s="453">
        <f t="shared" si="810"/>
        <v>0</v>
      </c>
      <c r="AO1999" s="453">
        <f t="shared" si="810"/>
        <v>0</v>
      </c>
      <c r="AP1999" s="453">
        <f t="shared" si="810"/>
        <v>0</v>
      </c>
      <c r="AQ1999" s="453">
        <f t="shared" si="810"/>
        <v>0</v>
      </c>
      <c r="AR1999" s="453">
        <f t="shared" si="810"/>
        <v>0</v>
      </c>
      <c r="AS1999" s="453">
        <f t="shared" si="810"/>
        <v>0</v>
      </c>
      <c r="AT1999" s="453">
        <f t="shared" si="810"/>
        <v>0</v>
      </c>
      <c r="AU1999" s="453">
        <f t="shared" si="810"/>
        <v>0</v>
      </c>
      <c r="AV1999" s="40">
        <f>SUM(AV1996:AV1998)</f>
        <v>29.058168310000003</v>
      </c>
      <c r="AW1999" s="40"/>
      <c r="AX1999" s="40"/>
      <c r="AY1999" s="313">
        <f>SUM(AY1996:AY1998)</f>
        <v>282.68195900000001</v>
      </c>
      <c r="AZ1999" s="40"/>
      <c r="BA1999" s="40"/>
      <c r="BB1999" s="40"/>
      <c r="BC1999" s="40"/>
      <c r="BD1999" s="40">
        <f>SUM(BD1996:BD1998)</f>
        <v>3.6374013145999999</v>
      </c>
      <c r="BE1999" s="40">
        <f>SUM(BE1996:BE1998)</f>
        <v>10.9058230628</v>
      </c>
      <c r="BF1999" s="40">
        <f>SUM(BF1996:BF1998)</f>
        <v>4.4897725210000008</v>
      </c>
      <c r="BG1999" s="453"/>
      <c r="BH1999" s="453"/>
      <c r="BI1999" s="453"/>
      <c r="BJ1999" s="453"/>
      <c r="BK1999" s="453"/>
      <c r="BL1999" s="62">
        <f>BL1998</f>
        <v>0</v>
      </c>
      <c r="BM1999" s="275">
        <f>BM1998</f>
        <v>3</v>
      </c>
      <c r="BN1999" s="62">
        <v>0.03</v>
      </c>
      <c r="BO1999" s="451" t="str">
        <f>BO1998</f>
        <v>NMD Rioolbuis beton 500mm</v>
      </c>
      <c r="BP1999" t="s">
        <v>615</v>
      </c>
    </row>
    <row r="2000" spans="1:68">
      <c r="A2000" s="33" t="str">
        <f>Database_Productkaarten[[#This Row],[Product]]&amp;", "&amp;Database_Productkaarten[[#This Row],[Levensfase]]</f>
        <v>Betonbuis 500 mm, A4</v>
      </c>
      <c r="B2000" s="33" t="s">
        <v>254</v>
      </c>
      <c r="C2000" s="33" t="s">
        <v>246</v>
      </c>
      <c r="D2000" s="33" t="s">
        <v>727</v>
      </c>
      <c r="E2000" s="33" t="s">
        <v>389</v>
      </c>
      <c r="F2000" s="33" t="s">
        <v>78</v>
      </c>
      <c r="G2000" s="33">
        <v>1</v>
      </c>
      <c r="J2000" s="33">
        <v>0.5</v>
      </c>
      <c r="K2000" s="33">
        <v>6.5000000000000002E-2</v>
      </c>
      <c r="L2000" s="33">
        <v>2.4</v>
      </c>
      <c r="M2000" s="270">
        <f t="shared" si="807"/>
        <v>0.32799999999999996</v>
      </c>
      <c r="N2000" s="41">
        <f>0.759</f>
        <v>0.75900000000000001</v>
      </c>
      <c r="O2000" s="33">
        <v>40</v>
      </c>
      <c r="P2000" s="40">
        <v>1.8257293E-5</v>
      </c>
      <c r="Q2000" s="40">
        <v>4.7387430000000001E-2</v>
      </c>
      <c r="R2000" s="40">
        <v>6.4199628999999998</v>
      </c>
      <c r="S2000" s="40">
        <v>1.1830724999999999E-6</v>
      </c>
      <c r="T2000" s="40">
        <v>3.7892665000000001E-3</v>
      </c>
      <c r="U2000" s="40">
        <v>2.7833309000000001E-2</v>
      </c>
      <c r="V2000" s="40">
        <v>5.5464223000000002E-3</v>
      </c>
      <c r="W2000" s="40">
        <v>2.5684868999999999</v>
      </c>
      <c r="X2000" s="40">
        <v>7.5330263999999994E-2</v>
      </c>
      <c r="Y2000" s="40">
        <v>271.88925</v>
      </c>
      <c r="Z2000" s="40">
        <v>9.1004784000000005E-3</v>
      </c>
      <c r="AA2000" s="40"/>
      <c r="AB2000" s="40"/>
      <c r="AC2000" s="40"/>
      <c r="AD2000" s="40"/>
      <c r="AE2000" s="40"/>
      <c r="AF2000" s="40"/>
      <c r="AV2000" s="40">
        <v>1.3519525999999999</v>
      </c>
      <c r="AW2000" s="40"/>
      <c r="AX2000" s="40"/>
      <c r="AY2000" s="313">
        <v>105.64134</v>
      </c>
      <c r="AZ2000" s="40"/>
      <c r="BA2000" s="40"/>
      <c r="BB2000" s="40"/>
      <c r="BC2000" s="40"/>
      <c r="BD2000" s="40">
        <v>1.8999329999999998E-2</v>
      </c>
      <c r="BE2000" s="40">
        <v>7.2958747000000004E-4</v>
      </c>
      <c r="BF2000" s="40">
        <v>6.0723438999999999</v>
      </c>
      <c r="BL2000" s="62">
        <v>0</v>
      </c>
      <c r="BM2000" s="275">
        <v>3</v>
      </c>
      <c r="BN2000" s="62">
        <v>0.03</v>
      </c>
      <c r="BO2000" s="33" t="s">
        <v>729</v>
      </c>
      <c r="BP2000" t="s">
        <v>615</v>
      </c>
    </row>
    <row r="2001" spans="1:68">
      <c r="A2001" s="33" t="str">
        <f>Database_Productkaarten[[#This Row],[Product]]&amp;", "&amp;Database_Productkaarten[[#This Row],[Levensfase]]</f>
        <v>Betonbuis 500 mm, A5</v>
      </c>
      <c r="B2001" s="33" t="s">
        <v>254</v>
      </c>
      <c r="C2001" s="33" t="s">
        <v>246</v>
      </c>
      <c r="D2001" s="33" t="s">
        <v>727</v>
      </c>
      <c r="E2001" s="33" t="s">
        <v>389</v>
      </c>
      <c r="F2001" s="33" t="s">
        <v>79</v>
      </c>
      <c r="G2001" s="33">
        <v>1</v>
      </c>
      <c r="J2001" s="33">
        <v>0.5</v>
      </c>
      <c r="K2001" s="33">
        <v>6.5000000000000002E-2</v>
      </c>
      <c r="L2001" s="33">
        <v>2.4</v>
      </c>
      <c r="M2001" s="270">
        <f t="shared" si="807"/>
        <v>0.32799999999999996</v>
      </c>
      <c r="N2001" s="41">
        <f>0.1026+1.0103</f>
        <v>1.1129</v>
      </c>
      <c r="O2001" s="33">
        <v>40</v>
      </c>
      <c r="P2001" s="40">
        <v>3.9955593999999996E-6</v>
      </c>
      <c r="Q2001" s="40">
        <v>4.5040858000000003E-2</v>
      </c>
      <c r="R2001" s="40">
        <v>7.0564612999999996</v>
      </c>
      <c r="S2001" s="40">
        <v>1.1178222E-6</v>
      </c>
      <c r="T2001" s="40">
        <v>6.1762251999999997E-3</v>
      </c>
      <c r="U2001" s="40">
        <v>4.7193949999999998E-2</v>
      </c>
      <c r="V2001" s="40">
        <v>1.0377341999999999E-2</v>
      </c>
      <c r="W2001" s="40">
        <v>2.2452816000000002</v>
      </c>
      <c r="X2001" s="40">
        <v>3.4442322999999997E-2</v>
      </c>
      <c r="Y2001" s="40">
        <v>121.97177000000001</v>
      </c>
      <c r="Z2001" s="40">
        <v>6.0978958000000002E-3</v>
      </c>
      <c r="AA2001" s="40"/>
      <c r="AB2001" s="40"/>
      <c r="AC2001" s="40"/>
      <c r="AD2001" s="40"/>
      <c r="AE2001" s="40"/>
      <c r="AF2001" s="40"/>
      <c r="AV2001" s="40">
        <v>1.3785506999999999</v>
      </c>
      <c r="AW2001" s="40"/>
      <c r="AX2001" s="40"/>
      <c r="AY2001" s="313">
        <v>100.72478</v>
      </c>
      <c r="AZ2001" s="40"/>
      <c r="BA2001" s="40"/>
      <c r="BB2001" s="40"/>
      <c r="BC2001" s="40"/>
      <c r="BD2001" s="40">
        <v>0.10368361</v>
      </c>
      <c r="BE2001" s="40">
        <v>0.32781386000000001</v>
      </c>
      <c r="BF2001" s="40">
        <v>0.59045398000000004</v>
      </c>
      <c r="BL2001" s="62">
        <v>0</v>
      </c>
      <c r="BM2001" s="275">
        <v>3</v>
      </c>
      <c r="BN2001" s="62">
        <v>0.03</v>
      </c>
      <c r="BO2001" s="33" t="s">
        <v>729</v>
      </c>
      <c r="BP2001" t="s">
        <v>615</v>
      </c>
    </row>
    <row r="2002" spans="1:68">
      <c r="A2002" s="33" t="str">
        <f>Database_Productkaarten[[#This Row],[Product]]&amp;", "&amp;Database_Productkaarten[[#This Row],[Levensfase]]</f>
        <v>Betonbuis 500 mm, B1</v>
      </c>
      <c r="B2002" s="33" t="s">
        <v>254</v>
      </c>
      <c r="C2002" s="33" t="s">
        <v>246</v>
      </c>
      <c r="D2002" s="33" t="s">
        <v>727</v>
      </c>
      <c r="E2002" s="33" t="s">
        <v>389</v>
      </c>
      <c r="F2002" s="33" t="s">
        <v>80</v>
      </c>
      <c r="G2002" s="33">
        <v>1</v>
      </c>
      <c r="J2002" s="33">
        <v>0.5</v>
      </c>
      <c r="K2002" s="33">
        <v>6.5000000000000002E-2</v>
      </c>
      <c r="L2002" s="33">
        <v>2.4</v>
      </c>
      <c r="M2002" s="270">
        <f t="shared" si="807"/>
        <v>0.32799999999999996</v>
      </c>
      <c r="N2002" s="41"/>
      <c r="O2002" s="33">
        <v>40</v>
      </c>
      <c r="P2002" s="40">
        <v>0</v>
      </c>
      <c r="Q2002" s="40">
        <v>0</v>
      </c>
      <c r="R2002" s="40">
        <v>0</v>
      </c>
      <c r="S2002" s="40">
        <v>0</v>
      </c>
      <c r="T2002" s="40">
        <v>0</v>
      </c>
      <c r="U2002" s="40">
        <v>0</v>
      </c>
      <c r="V2002" s="40">
        <v>0</v>
      </c>
      <c r="W2002" s="40">
        <v>0</v>
      </c>
      <c r="X2002" s="40">
        <v>0</v>
      </c>
      <c r="Y2002" s="40">
        <v>0</v>
      </c>
      <c r="Z2002" s="40">
        <v>0</v>
      </c>
      <c r="AA2002" s="40"/>
      <c r="AB2002" s="40"/>
      <c r="AC2002" s="40"/>
      <c r="AD2002" s="40"/>
      <c r="AE2002" s="40"/>
      <c r="AF2002" s="40"/>
      <c r="AV2002" s="40">
        <v>0</v>
      </c>
      <c r="AW2002" s="40"/>
      <c r="AX2002" s="40"/>
      <c r="AY2002" s="313">
        <v>0</v>
      </c>
      <c r="AZ2002" s="40"/>
      <c r="BA2002" s="40"/>
      <c r="BB2002" s="40"/>
      <c r="BC2002" s="40"/>
      <c r="BD2002" s="40">
        <v>0</v>
      </c>
      <c r="BE2002" s="40">
        <v>0</v>
      </c>
      <c r="BF2002" s="40">
        <v>0</v>
      </c>
      <c r="BL2002" s="62">
        <v>0</v>
      </c>
      <c r="BM2002" s="275">
        <v>3</v>
      </c>
      <c r="BN2002" s="62">
        <v>0.03</v>
      </c>
      <c r="BO2002" s="33" t="s">
        <v>729</v>
      </c>
      <c r="BP2002" t="s">
        <v>615</v>
      </c>
    </row>
    <row r="2003" spans="1:68">
      <c r="A2003" s="33" t="str">
        <f>Database_Productkaarten[[#This Row],[Product]]&amp;", "&amp;Database_Productkaarten[[#This Row],[Levensfase]]</f>
        <v>Betonbuis 500 mm, C1</v>
      </c>
      <c r="B2003" s="33" t="s">
        <v>254</v>
      </c>
      <c r="C2003" s="33" t="s">
        <v>246</v>
      </c>
      <c r="D2003" s="33" t="s">
        <v>727</v>
      </c>
      <c r="E2003" s="33" t="s">
        <v>389</v>
      </c>
      <c r="F2003" s="33" t="s">
        <v>83</v>
      </c>
      <c r="G2003" s="33">
        <v>1</v>
      </c>
      <c r="J2003" s="33">
        <v>0.5</v>
      </c>
      <c r="K2003" s="33">
        <v>6.5000000000000002E-2</v>
      </c>
      <c r="L2003" s="33">
        <v>2.4</v>
      </c>
      <c r="M2003" s="270">
        <f t="shared" si="807"/>
        <v>0.32799999999999996</v>
      </c>
      <c r="N2003" s="41"/>
      <c r="O2003" s="33">
        <v>40</v>
      </c>
      <c r="P2003" s="40">
        <v>1.2383489E-6</v>
      </c>
      <c r="Q2003" s="40">
        <v>2.5514048000000001E-2</v>
      </c>
      <c r="R2003" s="40">
        <v>3.6978922999999999</v>
      </c>
      <c r="S2003" s="40">
        <v>6.6607177000000005E-7</v>
      </c>
      <c r="T2003" s="40">
        <v>3.7273822000000001E-3</v>
      </c>
      <c r="U2003" s="40">
        <v>2.7980082999999999E-2</v>
      </c>
      <c r="V2003" s="40">
        <v>6.2653324000000003E-3</v>
      </c>
      <c r="W2003" s="40">
        <v>1.3090294</v>
      </c>
      <c r="X2003" s="40">
        <v>1.8306644E-2</v>
      </c>
      <c r="Y2003" s="40">
        <v>62.056441</v>
      </c>
      <c r="Z2003" s="40">
        <v>2.1873514999999999E-3</v>
      </c>
      <c r="AA2003" s="40"/>
      <c r="AB2003" s="40"/>
      <c r="AC2003" s="40"/>
      <c r="AD2003" s="40"/>
      <c r="AE2003" s="40"/>
      <c r="AF2003" s="40"/>
      <c r="AV2003" s="40">
        <v>0.30729444</v>
      </c>
      <c r="AW2003" s="40"/>
      <c r="AX2003" s="40"/>
      <c r="AY2003" s="313">
        <v>57.233023000000003</v>
      </c>
      <c r="AZ2003" s="40"/>
      <c r="BA2003" s="40"/>
      <c r="BB2003" s="40"/>
      <c r="BC2003" s="40"/>
      <c r="BD2003" s="40">
        <v>4.7185791999999997E-3</v>
      </c>
      <c r="BE2003" s="40">
        <v>3.9623064000000001E-4</v>
      </c>
      <c r="BF2003" s="40">
        <v>5.8399765999999999E-2</v>
      </c>
      <c r="BL2003" s="62">
        <v>0</v>
      </c>
      <c r="BM2003" s="275">
        <v>3</v>
      </c>
      <c r="BN2003" s="62">
        <v>0.03</v>
      </c>
      <c r="BO2003" s="33" t="s">
        <v>729</v>
      </c>
      <c r="BP2003" t="s">
        <v>615</v>
      </c>
    </row>
    <row r="2004" spans="1:68">
      <c r="A2004" s="33" t="str">
        <f>Database_Productkaarten[[#This Row],[Product]]&amp;", "&amp;Database_Productkaarten[[#This Row],[Levensfase]]</f>
        <v>Betonbuis 500 mm, C2</v>
      </c>
      <c r="B2004" s="33" t="s">
        <v>254</v>
      </c>
      <c r="C2004" s="33" t="s">
        <v>246</v>
      </c>
      <c r="D2004" s="33" t="s">
        <v>727</v>
      </c>
      <c r="E2004" s="33" t="s">
        <v>389</v>
      </c>
      <c r="F2004" s="33" t="s">
        <v>84</v>
      </c>
      <c r="G2004" s="33">
        <v>1</v>
      </c>
      <c r="J2004" s="33">
        <v>0.5</v>
      </c>
      <c r="K2004" s="33">
        <v>6.5000000000000002E-2</v>
      </c>
      <c r="L2004" s="33">
        <v>2.4</v>
      </c>
      <c r="M2004" s="270">
        <f t="shared" si="807"/>
        <v>0.32799999999999996</v>
      </c>
      <c r="N2004" s="41">
        <v>0.27089999999999997</v>
      </c>
      <c r="O2004" s="33">
        <v>40</v>
      </c>
      <c r="P2004" s="40">
        <v>6.1466220999999999E-6</v>
      </c>
      <c r="Q2004" s="40">
        <v>1.5953768E-2</v>
      </c>
      <c r="R2004" s="40">
        <v>2.1613875</v>
      </c>
      <c r="S2004" s="40">
        <v>3.9830105999999999E-7</v>
      </c>
      <c r="T2004" s="40">
        <v>1.2757197000000001E-3</v>
      </c>
      <c r="U2004" s="40">
        <v>9.3705472000000008E-3</v>
      </c>
      <c r="V2004" s="40">
        <v>1.8672955000000001E-3</v>
      </c>
      <c r="W2004" s="40">
        <v>0.86472393000000003</v>
      </c>
      <c r="X2004" s="40">
        <v>2.5361188999999999E-2</v>
      </c>
      <c r="Y2004" s="40">
        <v>91.536047999999994</v>
      </c>
      <c r="Z2004" s="40">
        <v>3.0638277000000001E-3</v>
      </c>
      <c r="AA2004" s="40"/>
      <c r="AB2004" s="40"/>
      <c r="AC2004" s="40"/>
      <c r="AD2004" s="40"/>
      <c r="AE2004" s="40"/>
      <c r="AF2004" s="40"/>
      <c r="AV2004" s="40">
        <v>0.45515736000000001</v>
      </c>
      <c r="AW2004" s="40"/>
      <c r="AX2004" s="40"/>
      <c r="AY2004" s="313">
        <v>35.565916000000001</v>
      </c>
      <c r="AZ2004" s="40"/>
      <c r="BA2004" s="40"/>
      <c r="BB2004" s="40"/>
      <c r="BC2004" s="40"/>
      <c r="BD2004" s="40">
        <v>6.3964412000000002E-3</v>
      </c>
      <c r="BE2004" s="40">
        <v>2.4562778000000003E-4</v>
      </c>
      <c r="BF2004" s="40">
        <v>2.0443557999999999</v>
      </c>
      <c r="BL2004" s="62">
        <v>0</v>
      </c>
      <c r="BM2004" s="275">
        <v>3</v>
      </c>
      <c r="BN2004" s="62">
        <v>0.03</v>
      </c>
      <c r="BO2004" s="33" t="s">
        <v>729</v>
      </c>
      <c r="BP2004" t="s">
        <v>615</v>
      </c>
    </row>
    <row r="2005" spans="1:68">
      <c r="A2005" s="33" t="str">
        <f>Database_Productkaarten[[#This Row],[Product]]&amp;", "&amp;Database_Productkaarten[[#This Row],[Levensfase]]</f>
        <v>Betonbuis 500 mm, C3</v>
      </c>
      <c r="B2005" s="33" t="s">
        <v>254</v>
      </c>
      <c r="C2005" s="33" t="s">
        <v>246</v>
      </c>
      <c r="D2005" s="33" t="s">
        <v>727</v>
      </c>
      <c r="E2005" s="33" t="s">
        <v>389</v>
      </c>
      <c r="F2005" s="33" t="s">
        <v>85</v>
      </c>
      <c r="G2005" s="33">
        <v>1</v>
      </c>
      <c r="J2005" s="33">
        <v>0.5</v>
      </c>
      <c r="K2005" s="33">
        <v>6.5000000000000002E-2</v>
      </c>
      <c r="L2005" s="33">
        <v>2.4</v>
      </c>
      <c r="M2005" s="270">
        <f t="shared" si="807"/>
        <v>0.32799999999999996</v>
      </c>
      <c r="N2005" s="41">
        <v>0.25590000000000002</v>
      </c>
      <c r="O2005" s="33">
        <v>40</v>
      </c>
      <c r="P2005" s="40">
        <v>3.2973429000000003E-7</v>
      </c>
      <c r="Q2005" s="40">
        <v>3.9324117999999996E-3</v>
      </c>
      <c r="R2005" s="40">
        <v>1.3345893</v>
      </c>
      <c r="S2005" s="40">
        <v>6.1270795999999994E-8</v>
      </c>
      <c r="T2005" s="40">
        <v>2.9180169999999997E-4</v>
      </c>
      <c r="U2005" s="40">
        <v>2.4627577000000001E-3</v>
      </c>
      <c r="V2005" s="40">
        <v>5.6297392000000004E-4</v>
      </c>
      <c r="W2005" s="40">
        <v>0.11577065</v>
      </c>
      <c r="X2005" s="40">
        <v>2.0386892999999999E-3</v>
      </c>
      <c r="Y2005" s="40">
        <v>7.5972799999999996</v>
      </c>
      <c r="Z2005" s="40">
        <v>1.5671343999999999E-3</v>
      </c>
      <c r="AA2005" s="40"/>
      <c r="AB2005" s="40"/>
      <c r="AC2005" s="40"/>
      <c r="AD2005" s="40"/>
      <c r="AE2005" s="40"/>
      <c r="AF2005" s="40"/>
      <c r="AV2005" s="40">
        <v>0.42182607</v>
      </c>
      <c r="AW2005" s="40"/>
      <c r="AX2005" s="40"/>
      <c r="AY2005" s="313">
        <v>8.2348157000000004</v>
      </c>
      <c r="AZ2005" s="40"/>
      <c r="BA2005" s="40"/>
      <c r="BB2005" s="40"/>
      <c r="BC2005" s="40"/>
      <c r="BD2005" s="40">
        <v>2.4621983000000002E-3</v>
      </c>
      <c r="BE2005" s="40">
        <v>4.8018512999999997E-5</v>
      </c>
      <c r="BF2005" s="40">
        <v>1.0037100000000001</v>
      </c>
      <c r="BL2005" s="62">
        <v>0</v>
      </c>
      <c r="BM2005" s="275">
        <v>3</v>
      </c>
      <c r="BN2005" s="62">
        <v>0.03</v>
      </c>
      <c r="BO2005" s="33" t="s">
        <v>729</v>
      </c>
      <c r="BP2005" t="s">
        <v>615</v>
      </c>
    </row>
    <row r="2006" spans="1:68">
      <c r="A2006" s="33" t="str">
        <f>Database_Productkaarten[[#This Row],[Product]]&amp;", "&amp;Database_Productkaarten[[#This Row],[Levensfase]]</f>
        <v>Betonbuis 500 mm, C4</v>
      </c>
      <c r="B2006" s="33" t="s">
        <v>254</v>
      </c>
      <c r="C2006" s="33" t="s">
        <v>246</v>
      </c>
      <c r="D2006" s="33" t="s">
        <v>727</v>
      </c>
      <c r="E2006" s="33" t="s">
        <v>389</v>
      </c>
      <c r="F2006" s="33" t="s">
        <v>86</v>
      </c>
      <c r="G2006" s="33">
        <v>1</v>
      </c>
      <c r="J2006" s="33">
        <v>0.5</v>
      </c>
      <c r="K2006" s="33">
        <v>6.5000000000000002E-2</v>
      </c>
      <c r="L2006" s="33">
        <v>2.4</v>
      </c>
      <c r="M2006" s="270">
        <f t="shared" si="807"/>
        <v>0.32799999999999996</v>
      </c>
      <c r="N2006" s="41">
        <v>9.2499999999999999E-2</v>
      </c>
      <c r="O2006" s="33">
        <v>40</v>
      </c>
      <c r="P2006" s="40">
        <v>1.9816100999999999E-8</v>
      </c>
      <c r="Q2006" s="40">
        <v>2.3627654000000001E-4</v>
      </c>
      <c r="R2006" s="40">
        <v>1.7361952E-2</v>
      </c>
      <c r="S2006" s="40">
        <v>5.7465328000000001E-9</v>
      </c>
      <c r="T2006" s="40">
        <v>1.8398899000000002E-5</v>
      </c>
      <c r="U2006" s="40">
        <v>1.2829431E-4</v>
      </c>
      <c r="V2006" s="40">
        <v>2.4145273E-5</v>
      </c>
      <c r="W2006" s="40">
        <v>7.0784133000000001E-3</v>
      </c>
      <c r="X2006" s="40">
        <v>1.7601269E-4</v>
      </c>
      <c r="Y2006" s="40">
        <v>0.60537538000000002</v>
      </c>
      <c r="Z2006" s="40">
        <v>2.0963156999999998E-5</v>
      </c>
      <c r="AA2006" s="40"/>
      <c r="AB2006" s="40"/>
      <c r="AC2006" s="40"/>
      <c r="AD2006" s="40"/>
      <c r="AE2006" s="40"/>
      <c r="AF2006" s="40"/>
      <c r="AV2006" s="40">
        <v>1.2655993000000001E-2</v>
      </c>
      <c r="AW2006" s="40"/>
      <c r="AX2006" s="40"/>
      <c r="AY2006" s="313">
        <v>0.52779920999999996</v>
      </c>
      <c r="AZ2006" s="40"/>
      <c r="BA2006" s="40"/>
      <c r="BB2006" s="40"/>
      <c r="BC2006" s="40"/>
      <c r="BD2006" s="40">
        <v>5.3195420000000002E-4</v>
      </c>
      <c r="BE2006" s="40">
        <v>3.585301E-6</v>
      </c>
      <c r="BF2006" s="40">
        <v>3.2489501000000001</v>
      </c>
      <c r="BL2006" s="62">
        <v>0</v>
      </c>
      <c r="BM2006" s="275">
        <v>3</v>
      </c>
      <c r="BN2006" s="62">
        <v>0.03</v>
      </c>
      <c r="BO2006" s="33" t="s">
        <v>729</v>
      </c>
      <c r="BP2006" t="s">
        <v>615</v>
      </c>
    </row>
    <row r="2007" spans="1:68">
      <c r="A2007" s="33" t="str">
        <f>Database_Productkaarten[[#This Row],[Product]]&amp;", "&amp;Database_Productkaarten[[#This Row],[Levensfase]]</f>
        <v>Betonbuis 500 mm, D</v>
      </c>
      <c r="B2007" s="33" t="str">
        <f>B2008</f>
        <v>Betonbuis 500 mm</v>
      </c>
      <c r="C2007" s="33" t="str">
        <f>C2008</f>
        <v>Waterafvoer</v>
      </c>
      <c r="D2007" s="33" t="str">
        <f>D2008</f>
        <v>Betonnen riolering</v>
      </c>
      <c r="E2007" s="33" t="str">
        <f>E2008</f>
        <v>m1</v>
      </c>
      <c r="F2007" s="33" t="s">
        <v>89</v>
      </c>
      <c r="G2007" s="33">
        <f t="shared" ref="G2007:M2007" si="811">G2008</f>
        <v>1</v>
      </c>
      <c r="J2007" s="33">
        <f t="shared" si="811"/>
        <v>0.5</v>
      </c>
      <c r="K2007" s="33">
        <f t="shared" si="811"/>
        <v>6.5000000000000002E-2</v>
      </c>
      <c r="L2007" s="33">
        <f t="shared" si="811"/>
        <v>2.4</v>
      </c>
      <c r="M2007" s="45">
        <f t="shared" si="811"/>
        <v>0.32799999999999996</v>
      </c>
      <c r="N2007" s="41">
        <f>SUM(N2008:N2009)</f>
        <v>-0.1704</v>
      </c>
      <c r="O2007" s="33">
        <f>O2008</f>
        <v>40</v>
      </c>
      <c r="P2007" s="163">
        <v>-7.4393934000000001E-6</v>
      </c>
      <c r="Q2007" s="163">
        <v>-9.3934006000000007E-3</v>
      </c>
      <c r="R2007" s="163">
        <v>-1.4174673</v>
      </c>
      <c r="S2007" s="163">
        <v>-1.2048521999999999E-7</v>
      </c>
      <c r="T2007" s="163">
        <v>-9.895874900000001E-4</v>
      </c>
      <c r="U2007" s="163">
        <v>-8.0507702999999993E-3</v>
      </c>
      <c r="V2007" s="163">
        <v>-1.3153791E-3</v>
      </c>
      <c r="W2007" s="163">
        <v>-0.54935929999999999</v>
      </c>
      <c r="X2007" s="163">
        <v>-8.0010681999999993E-3</v>
      </c>
      <c r="Y2007" s="163">
        <v>-38.171146</v>
      </c>
      <c r="Z2007" s="163">
        <v>-3.1093948E-3</v>
      </c>
      <c r="AA2007" s="40"/>
      <c r="AB2007" s="40"/>
      <c r="AC2007" s="40"/>
      <c r="AD2007" s="40"/>
      <c r="AE2007" s="40"/>
      <c r="AF2007" s="40"/>
      <c r="AG2007" s="40">
        <f t="shared" ref="AG2007:AU2007" si="812">SUM(AG2008:AG2009)</f>
        <v>0</v>
      </c>
      <c r="AH2007" s="40">
        <f t="shared" si="812"/>
        <v>0</v>
      </c>
      <c r="AI2007" s="40">
        <f t="shared" si="812"/>
        <v>0</v>
      </c>
      <c r="AJ2007" s="40">
        <f t="shared" si="812"/>
        <v>0</v>
      </c>
      <c r="AK2007" s="40">
        <f t="shared" si="812"/>
        <v>0</v>
      </c>
      <c r="AL2007" s="40">
        <f t="shared" si="812"/>
        <v>0</v>
      </c>
      <c r="AM2007" s="40">
        <f t="shared" si="812"/>
        <v>0</v>
      </c>
      <c r="AN2007" s="40">
        <f t="shared" si="812"/>
        <v>0</v>
      </c>
      <c r="AO2007" s="40">
        <f t="shared" si="812"/>
        <v>0</v>
      </c>
      <c r="AP2007" s="40">
        <f t="shared" si="812"/>
        <v>0</v>
      </c>
      <c r="AQ2007" s="40">
        <f t="shared" si="812"/>
        <v>0</v>
      </c>
      <c r="AR2007" s="40">
        <f t="shared" si="812"/>
        <v>0</v>
      </c>
      <c r="AS2007" s="40">
        <f t="shared" si="812"/>
        <v>0</v>
      </c>
      <c r="AT2007" s="40">
        <f t="shared" si="812"/>
        <v>0</v>
      </c>
      <c r="AU2007" s="40">
        <f t="shared" si="812"/>
        <v>0</v>
      </c>
      <c r="AV2007" s="163">
        <v>-1.1534049</v>
      </c>
      <c r="AW2007" s="40"/>
      <c r="AX2007" s="40"/>
      <c r="AY2007" s="313">
        <v>-18.873647999999999</v>
      </c>
      <c r="AZ2007" s="40"/>
      <c r="BA2007" s="40"/>
      <c r="BB2007" s="40"/>
      <c r="BC2007" s="40"/>
      <c r="BD2007" s="40">
        <v>-0.45236552000000002</v>
      </c>
      <c r="BE2007" s="163">
        <v>-1.00974E-4</v>
      </c>
      <c r="BF2007" s="163">
        <v>-0.18105726</v>
      </c>
      <c r="BG2007" s="40"/>
      <c r="BH2007" s="40"/>
      <c r="BI2007" s="40"/>
      <c r="BJ2007" s="40"/>
      <c r="BK2007" s="40"/>
      <c r="BL2007" s="62">
        <f>BL2008</f>
        <v>0</v>
      </c>
      <c r="BM2007" s="275">
        <f>BM2008</f>
        <v>3</v>
      </c>
      <c r="BN2007" s="62">
        <v>0.03</v>
      </c>
      <c r="BO2007" s="33" t="str">
        <f>BO2008</f>
        <v>NMD Rioolbuis beton 500mm</v>
      </c>
      <c r="BP2007" t="s">
        <v>615</v>
      </c>
    </row>
    <row r="2008" spans="1:68">
      <c r="A2008" s="33" t="str">
        <f>Database_Productkaarten[[#This Row],[Product]]&amp;", "&amp;Database_Productkaarten[[#This Row],[Levensfase]]</f>
        <v>Betonbuis 500 mm, D1</v>
      </c>
      <c r="B2008" s="33" t="s">
        <v>254</v>
      </c>
      <c r="C2008" s="33" t="s">
        <v>246</v>
      </c>
      <c r="D2008" s="33" t="s">
        <v>727</v>
      </c>
      <c r="E2008" s="33" t="s">
        <v>389</v>
      </c>
      <c r="F2008" s="33" t="s">
        <v>87</v>
      </c>
      <c r="G2008" s="33">
        <v>1</v>
      </c>
      <c r="J2008" s="33">
        <v>0.5</v>
      </c>
      <c r="K2008" s="33">
        <v>6.5000000000000002E-2</v>
      </c>
      <c r="L2008" s="33">
        <v>2.4</v>
      </c>
      <c r="M2008" s="270">
        <f t="shared" si="807"/>
        <v>0.32799999999999996</v>
      </c>
      <c r="N2008" s="41">
        <v>2.3999999999999998E-3</v>
      </c>
      <c r="O2008" s="33">
        <v>40</v>
      </c>
      <c r="AA2008" s="40"/>
      <c r="AB2008" s="40"/>
      <c r="AC2008" s="40"/>
      <c r="AD2008" s="40"/>
      <c r="AE2008" s="40"/>
      <c r="AF2008" s="40"/>
      <c r="AW2008" s="40"/>
      <c r="AX2008" s="40"/>
      <c r="AY2008" s="316"/>
      <c r="AZ2008" s="40"/>
      <c r="BA2008" s="40"/>
      <c r="BB2008" s="40"/>
      <c r="BC2008" s="40"/>
      <c r="BD2008" s="40"/>
      <c r="BL2008" s="62">
        <v>0</v>
      </c>
      <c r="BM2008" s="275">
        <v>3</v>
      </c>
      <c r="BN2008" s="62">
        <v>0.03</v>
      </c>
      <c r="BO2008" s="33" t="s">
        <v>729</v>
      </c>
      <c r="BP2008" t="s">
        <v>615</v>
      </c>
    </row>
    <row r="2009" spans="1:68">
      <c r="A2009" s="33" t="str">
        <f>Database_Productkaarten[[#This Row],[Product]]&amp;", "&amp;Database_Productkaarten[[#This Row],[Levensfase]]</f>
        <v>Betonbuis 500 mm, D2</v>
      </c>
      <c r="B2009" s="33" t="s">
        <v>254</v>
      </c>
      <c r="C2009" s="33" t="s">
        <v>246</v>
      </c>
      <c r="D2009" s="33" t="s">
        <v>727</v>
      </c>
      <c r="E2009" s="33" t="s">
        <v>389</v>
      </c>
      <c r="F2009" s="33" t="s">
        <v>88</v>
      </c>
      <c r="G2009" s="33">
        <v>1</v>
      </c>
      <c r="J2009" s="33">
        <v>0.5</v>
      </c>
      <c r="K2009" s="33">
        <v>6.5000000000000002E-2</v>
      </c>
      <c r="L2009" s="33">
        <v>2.4</v>
      </c>
      <c r="M2009" s="270">
        <f t="shared" si="807"/>
        <v>0.32799999999999996</v>
      </c>
      <c r="N2009" s="41">
        <v>-0.17280000000000001</v>
      </c>
      <c r="O2009" s="33">
        <v>40</v>
      </c>
      <c r="AA2009" s="40"/>
      <c r="AB2009" s="40"/>
      <c r="AC2009" s="40"/>
      <c r="AD2009" s="40"/>
      <c r="AE2009" s="40"/>
      <c r="AF2009" s="40"/>
      <c r="AW2009" s="40"/>
      <c r="AX2009" s="40"/>
      <c r="AY2009" s="316"/>
      <c r="AZ2009" s="40"/>
      <c r="BA2009" s="40"/>
      <c r="BB2009" s="40"/>
      <c r="BC2009" s="40"/>
      <c r="BD2009" s="40"/>
      <c r="BL2009" s="62">
        <v>0</v>
      </c>
      <c r="BM2009" s="275">
        <v>3</v>
      </c>
      <c r="BN2009" s="62">
        <v>0.03</v>
      </c>
      <c r="BO2009" s="33" t="s">
        <v>730</v>
      </c>
      <c r="BP2009" t="s">
        <v>615</v>
      </c>
    </row>
    <row r="2010" spans="1:68">
      <c r="A2010" s="33" t="str">
        <f>Database_Productkaarten[[#This Row],[Product]]&amp;", "&amp;Database_Productkaarten[[#This Row],[Levensfase]]</f>
        <v>Betonbuis 800 mm, Totaal</v>
      </c>
      <c r="B2010" s="33" t="s">
        <v>257</v>
      </c>
      <c r="C2010" s="33" t="s">
        <v>246</v>
      </c>
      <c r="D2010" s="33" t="s">
        <v>727</v>
      </c>
      <c r="E2010" s="33" t="s">
        <v>389</v>
      </c>
      <c r="F2010" s="33" t="s">
        <v>90</v>
      </c>
      <c r="G2010" s="33">
        <v>1</v>
      </c>
      <c r="J2010" s="33">
        <v>0.8</v>
      </c>
      <c r="K2010" s="33">
        <v>0.1</v>
      </c>
      <c r="L2010" s="33">
        <v>2.4</v>
      </c>
      <c r="M2010" s="270">
        <f>1.66/2.5</f>
        <v>0.66399999999999992</v>
      </c>
      <c r="N2010" s="41"/>
      <c r="O2010" s="33">
        <v>40</v>
      </c>
      <c r="AA2010" s="40"/>
      <c r="AB2010" s="40"/>
      <c r="AC2010" s="40"/>
      <c r="AD2010" s="40"/>
      <c r="AE2010" s="40"/>
      <c r="AF2010" s="40"/>
      <c r="AW2010" s="40"/>
      <c r="AX2010" s="40"/>
      <c r="AY2010" s="316"/>
      <c r="AZ2010" s="40"/>
      <c r="BA2010" s="40"/>
      <c r="BB2010" s="40"/>
      <c r="BC2010" s="40"/>
      <c r="BD2010" s="40"/>
      <c r="BL2010" s="62">
        <v>0</v>
      </c>
      <c r="BM2010" s="275">
        <v>3</v>
      </c>
      <c r="BN2010" s="62">
        <v>0.03</v>
      </c>
      <c r="BO2010" s="33" t="s">
        <v>730</v>
      </c>
      <c r="BP2010" t="s">
        <v>615</v>
      </c>
    </row>
    <row r="2011" spans="1:68">
      <c r="A2011" s="33" t="str">
        <f>Database_Productkaarten[[#This Row],[Product]]&amp;", "&amp;Database_Productkaarten[[#This Row],[Levensfase]]</f>
        <v>Betonbuis 800 mm, A1</v>
      </c>
      <c r="B2011" s="33" t="s">
        <v>257</v>
      </c>
      <c r="C2011" s="33" t="s">
        <v>246</v>
      </c>
      <c r="D2011" s="33" t="s">
        <v>727</v>
      </c>
      <c r="E2011" s="33" t="s">
        <v>389</v>
      </c>
      <c r="F2011" s="33" t="s">
        <v>74</v>
      </c>
      <c r="G2011" s="33">
        <v>1</v>
      </c>
      <c r="J2011" s="33">
        <v>0.8</v>
      </c>
      <c r="K2011" s="33">
        <v>0.1</v>
      </c>
      <c r="L2011" s="33">
        <v>2.4</v>
      </c>
      <c r="M2011" s="270">
        <f t="shared" ref="M2011:M2023" si="813">1.66/2.5</f>
        <v>0.66399999999999992</v>
      </c>
      <c r="N2011" s="41">
        <v>6.4364999999999997</v>
      </c>
      <c r="O2011" s="33">
        <v>40</v>
      </c>
      <c r="P2011" s="163">
        <v>1.1306439E-4</v>
      </c>
      <c r="Q2011" s="163">
        <v>0.23687412999999999</v>
      </c>
      <c r="R2011" s="163">
        <v>77.713116999999997</v>
      </c>
      <c r="S2011" s="163">
        <v>2.2262003000000002E-6</v>
      </c>
      <c r="T2011" s="163">
        <v>1.9669117E-2</v>
      </c>
      <c r="U2011" s="163">
        <v>0.21434844</v>
      </c>
      <c r="V2011" s="163">
        <v>3.4240226999999998E-2</v>
      </c>
      <c r="W2011" s="163">
        <v>8.3006489999999999</v>
      </c>
      <c r="X2011" s="163">
        <v>0.19600155</v>
      </c>
      <c r="Y2011" s="163">
        <v>1027.5438999999999</v>
      </c>
      <c r="Z2011" s="163">
        <v>0.17857007</v>
      </c>
      <c r="AA2011" s="40"/>
      <c r="AB2011" s="40"/>
      <c r="AC2011" s="40"/>
      <c r="AD2011" s="40"/>
      <c r="AE2011" s="40"/>
      <c r="AF2011" s="40"/>
      <c r="AV2011" s="163">
        <v>62.825997999999998</v>
      </c>
      <c r="AW2011" s="40"/>
      <c r="AX2011" s="40"/>
      <c r="AY2011" s="313">
        <v>514.64239999999995</v>
      </c>
      <c r="AZ2011" s="40"/>
      <c r="BA2011" s="40"/>
      <c r="BB2011" s="40"/>
      <c r="BC2011" s="40"/>
      <c r="BD2011" s="40">
        <v>8.7348941</v>
      </c>
      <c r="BE2011" s="163">
        <v>26.282857</v>
      </c>
      <c r="BF2011" s="163">
        <v>5.4628614000000004</v>
      </c>
      <c r="BL2011" s="62">
        <v>0</v>
      </c>
      <c r="BM2011" s="275">
        <v>3</v>
      </c>
      <c r="BN2011" s="62">
        <v>0.03</v>
      </c>
      <c r="BO2011" s="33" t="s">
        <v>730</v>
      </c>
      <c r="BP2011" t="s">
        <v>615</v>
      </c>
    </row>
    <row r="2012" spans="1:68">
      <c r="A2012" s="33" t="str">
        <f>Database_Productkaarten[[#This Row],[Product]]&amp;", "&amp;Database_Productkaarten[[#This Row],[Levensfase]]</f>
        <v>Betonbuis 800 mm, A2</v>
      </c>
      <c r="B2012" s="33" t="s">
        <v>257</v>
      </c>
      <c r="C2012" s="33" t="s">
        <v>246</v>
      </c>
      <c r="D2012" s="33" t="s">
        <v>727</v>
      </c>
      <c r="E2012" s="33" t="s">
        <v>389</v>
      </c>
      <c r="F2012" s="33" t="s">
        <v>75</v>
      </c>
      <c r="G2012" s="33">
        <v>1</v>
      </c>
      <c r="J2012" s="33">
        <v>0.8</v>
      </c>
      <c r="K2012" s="33">
        <v>0.1</v>
      </c>
      <c r="L2012" s="33">
        <v>2.4</v>
      </c>
      <c r="M2012" s="270">
        <f t="shared" si="813"/>
        <v>0.66399999999999992</v>
      </c>
      <c r="N2012" s="41"/>
      <c r="O2012" s="33">
        <v>40</v>
      </c>
      <c r="P2012" s="163">
        <v>1.5683801E-5</v>
      </c>
      <c r="Q2012" s="163">
        <v>4.0707843E-2</v>
      </c>
      <c r="R2012" s="163">
        <v>5.5150246999999997</v>
      </c>
      <c r="S2012" s="163">
        <v>1.0163102000000001E-6</v>
      </c>
      <c r="T2012" s="163">
        <v>3.2551430999999999E-3</v>
      </c>
      <c r="U2012" s="163">
        <v>2.3910010999999998E-2</v>
      </c>
      <c r="V2012" s="163">
        <v>4.7646156999999996E-3</v>
      </c>
      <c r="W2012" s="163">
        <v>2.2064409</v>
      </c>
      <c r="X2012" s="163">
        <v>6.4711941999999995E-2</v>
      </c>
      <c r="Y2012" s="163">
        <v>233.56458000000001</v>
      </c>
      <c r="Z2012" s="163">
        <v>7.8177030000000005E-3</v>
      </c>
      <c r="AA2012" s="40"/>
      <c r="AB2012" s="40"/>
      <c r="AC2012" s="40"/>
      <c r="AD2012" s="40"/>
      <c r="AE2012" s="40"/>
      <c r="AF2012" s="40"/>
      <c r="AV2012" s="163">
        <v>1.1613855</v>
      </c>
      <c r="AW2012" s="40"/>
      <c r="AX2012" s="40"/>
      <c r="AY2012" s="313">
        <v>90.750457999999995</v>
      </c>
      <c r="AZ2012" s="40"/>
      <c r="BA2012" s="40"/>
      <c r="BB2012" s="40"/>
      <c r="BC2012" s="40"/>
      <c r="BD2012" s="40">
        <v>1.6321242999999999E-2</v>
      </c>
      <c r="BE2012" s="163">
        <v>6.2674707000000003E-4</v>
      </c>
      <c r="BF2012" s="163">
        <v>5.216405</v>
      </c>
      <c r="BL2012" s="62">
        <v>0</v>
      </c>
      <c r="BM2012" s="275">
        <v>3</v>
      </c>
      <c r="BN2012" s="62">
        <v>0.03</v>
      </c>
      <c r="BO2012" s="33" t="s">
        <v>730</v>
      </c>
      <c r="BP2012" t="s">
        <v>615</v>
      </c>
    </row>
    <row r="2013" spans="1:68">
      <c r="A2013" s="33" t="str">
        <f>Database_Productkaarten[[#This Row],[Product]]&amp;", "&amp;Database_Productkaarten[[#This Row],[Levensfase]]</f>
        <v>Betonbuis 800 mm, A3</v>
      </c>
      <c r="B2013" s="33" t="s">
        <v>257</v>
      </c>
      <c r="C2013" s="33" t="s">
        <v>246</v>
      </c>
      <c r="D2013" s="33" t="s">
        <v>727</v>
      </c>
      <c r="E2013" s="33" t="s">
        <v>389</v>
      </c>
      <c r="F2013" s="33" t="s">
        <v>76</v>
      </c>
      <c r="G2013" s="33">
        <v>1</v>
      </c>
      <c r="J2013" s="33">
        <v>0.8</v>
      </c>
      <c r="K2013" s="33">
        <v>0.1</v>
      </c>
      <c r="L2013" s="33">
        <v>2.4</v>
      </c>
      <c r="M2013" s="270">
        <f t="shared" si="813"/>
        <v>0.66399999999999992</v>
      </c>
      <c r="N2013" s="41"/>
      <c r="O2013" s="33">
        <v>40</v>
      </c>
      <c r="P2013" s="163">
        <v>1.3298758000000001E-6</v>
      </c>
      <c r="Q2013" s="163">
        <v>3.9973113999999997E-2</v>
      </c>
      <c r="R2013" s="163">
        <v>4.8908630999999998</v>
      </c>
      <c r="S2013" s="163">
        <v>3.3754094000000001E-7</v>
      </c>
      <c r="T2013" s="163">
        <v>8.0953465E-4</v>
      </c>
      <c r="U2013" s="163">
        <v>8.9061169000000003E-3</v>
      </c>
      <c r="V2013" s="163">
        <v>1.9940835E-3</v>
      </c>
      <c r="W2013" s="163">
        <v>0.40821486000000001</v>
      </c>
      <c r="X2013" s="163">
        <v>9.3412176E-3</v>
      </c>
      <c r="Y2013" s="163">
        <v>45.844310999999998</v>
      </c>
      <c r="Z2013" s="163">
        <v>6.8770183E-3</v>
      </c>
      <c r="AA2013" s="40"/>
      <c r="AB2013" s="40"/>
      <c r="AC2013" s="40"/>
      <c r="AD2013" s="40"/>
      <c r="AE2013" s="40"/>
      <c r="AF2013" s="40"/>
      <c r="AV2013" s="163">
        <v>6.1932682000000003</v>
      </c>
      <c r="AW2013" s="40"/>
      <c r="AX2013" s="40"/>
      <c r="AY2013" s="313">
        <v>80.198749000000007</v>
      </c>
      <c r="AZ2013" s="40"/>
      <c r="BA2013" s="40"/>
      <c r="BB2013" s="40"/>
      <c r="BC2013" s="40"/>
      <c r="BD2013" s="40">
        <v>1.5733673E-2</v>
      </c>
      <c r="BE2013" s="163">
        <v>3.5199374999999997E-4</v>
      </c>
      <c r="BF2013" s="163">
        <v>0.15450663000000001</v>
      </c>
      <c r="BL2013" s="62">
        <v>0</v>
      </c>
      <c r="BM2013" s="275">
        <v>3</v>
      </c>
      <c r="BN2013" s="62">
        <v>0.03</v>
      </c>
      <c r="BO2013" s="33" t="s">
        <v>730</v>
      </c>
      <c r="BP2013" t="s">
        <v>615</v>
      </c>
    </row>
    <row r="2014" spans="1:68">
      <c r="A2014" s="451" t="str">
        <f>Database_Productkaarten[[#This Row],[Product]]&amp;", "&amp;Database_Productkaarten[[#This Row],[Levensfase]]</f>
        <v>Betonbuis 800 mm, A1-A3</v>
      </c>
      <c r="B2014" s="451" t="str">
        <f>B2013</f>
        <v>Betonbuis 800 mm</v>
      </c>
      <c r="C2014" s="451" t="str">
        <f>C2013</f>
        <v>Waterafvoer</v>
      </c>
      <c r="D2014" s="451" t="str">
        <f>D2013</f>
        <v>Betonnen riolering</v>
      </c>
      <c r="E2014" s="451" t="str">
        <f>E2013</f>
        <v>m1</v>
      </c>
      <c r="F2014" s="451" t="s">
        <v>77</v>
      </c>
      <c r="G2014" s="451">
        <f t="shared" ref="G2014:M2014" si="814">G2013</f>
        <v>1</v>
      </c>
      <c r="H2014" s="451"/>
      <c r="I2014" s="451"/>
      <c r="J2014" s="451">
        <f t="shared" si="814"/>
        <v>0.8</v>
      </c>
      <c r="K2014" s="451">
        <f t="shared" si="814"/>
        <v>0.1</v>
      </c>
      <c r="L2014" s="451">
        <f t="shared" si="814"/>
        <v>2.4</v>
      </c>
      <c r="M2014" s="454">
        <f t="shared" si="814"/>
        <v>0.66399999999999992</v>
      </c>
      <c r="N2014" s="452">
        <f>SUM(N2011:N2013)</f>
        <v>6.4364999999999997</v>
      </c>
      <c r="O2014" s="451">
        <f>O2013</f>
        <v>40</v>
      </c>
      <c r="P2014" s="40">
        <f>SUM(P2011:P2013)</f>
        <v>1.3007806679999999E-4</v>
      </c>
      <c r="Q2014" s="40">
        <f t="shared" ref="Q2014:Z2014" si="815">SUM(Q2011:Q2013)</f>
        <v>0.31755508699999996</v>
      </c>
      <c r="R2014" s="40">
        <f t="shared" si="815"/>
        <v>88.119004799999999</v>
      </c>
      <c r="S2014" s="40">
        <f t="shared" si="815"/>
        <v>3.5800514400000003E-6</v>
      </c>
      <c r="T2014" s="40">
        <f t="shared" si="815"/>
        <v>2.3733794749999999E-2</v>
      </c>
      <c r="U2014" s="40">
        <f t="shared" si="815"/>
        <v>0.24716456790000002</v>
      </c>
      <c r="V2014" s="40">
        <f t="shared" si="815"/>
        <v>4.0998926200000001E-2</v>
      </c>
      <c r="W2014" s="40">
        <f t="shared" si="815"/>
        <v>10.91530476</v>
      </c>
      <c r="X2014" s="40">
        <f t="shared" si="815"/>
        <v>0.2700547096</v>
      </c>
      <c r="Y2014" s="40">
        <f t="shared" si="815"/>
        <v>1306.9527909999999</v>
      </c>
      <c r="Z2014" s="40">
        <f t="shared" si="815"/>
        <v>0.19326479130000002</v>
      </c>
      <c r="AA2014" s="40"/>
      <c r="AB2014" s="40"/>
      <c r="AC2014" s="40"/>
      <c r="AD2014" s="40"/>
      <c r="AE2014" s="40"/>
      <c r="AF2014" s="40"/>
      <c r="AG2014" s="453">
        <f t="shared" ref="AG2014:AU2014" si="816">SUM(AG2011:AG2013)</f>
        <v>0</v>
      </c>
      <c r="AH2014" s="453">
        <f t="shared" si="816"/>
        <v>0</v>
      </c>
      <c r="AI2014" s="453">
        <f t="shared" si="816"/>
        <v>0</v>
      </c>
      <c r="AJ2014" s="453">
        <f t="shared" si="816"/>
        <v>0</v>
      </c>
      <c r="AK2014" s="453">
        <f t="shared" si="816"/>
        <v>0</v>
      </c>
      <c r="AL2014" s="453">
        <f t="shared" si="816"/>
        <v>0</v>
      </c>
      <c r="AM2014" s="453">
        <f t="shared" si="816"/>
        <v>0</v>
      </c>
      <c r="AN2014" s="453">
        <f t="shared" si="816"/>
        <v>0</v>
      </c>
      <c r="AO2014" s="453">
        <f t="shared" si="816"/>
        <v>0</v>
      </c>
      <c r="AP2014" s="453">
        <f t="shared" si="816"/>
        <v>0</v>
      </c>
      <c r="AQ2014" s="453">
        <f t="shared" si="816"/>
        <v>0</v>
      </c>
      <c r="AR2014" s="453">
        <f t="shared" si="816"/>
        <v>0</v>
      </c>
      <c r="AS2014" s="453">
        <f t="shared" si="816"/>
        <v>0</v>
      </c>
      <c r="AT2014" s="453">
        <f t="shared" si="816"/>
        <v>0</v>
      </c>
      <c r="AU2014" s="453">
        <f t="shared" si="816"/>
        <v>0</v>
      </c>
      <c r="AV2014" s="40">
        <f>SUM(AV2011:AV2013)</f>
        <v>70.180651699999999</v>
      </c>
      <c r="AW2014" s="40"/>
      <c r="AX2014" s="40"/>
      <c r="AY2014" s="313">
        <f>SUM(AY2011:AY2013)</f>
        <v>685.59160699999995</v>
      </c>
      <c r="AZ2014" s="40"/>
      <c r="BA2014" s="40"/>
      <c r="BB2014" s="40"/>
      <c r="BC2014" s="40"/>
      <c r="BD2014" s="40">
        <f>SUM(BD2011:BD2013)</f>
        <v>8.7669490159999999</v>
      </c>
      <c r="BE2014" s="40">
        <f>SUM(BE2011:BE2013)</f>
        <v>26.283835740820003</v>
      </c>
      <c r="BF2014" s="40">
        <f>SUM(BF2011:BF2013)</f>
        <v>10.83377303</v>
      </c>
      <c r="BG2014" s="453"/>
      <c r="BH2014" s="453"/>
      <c r="BI2014" s="453"/>
      <c r="BJ2014" s="453"/>
      <c r="BK2014" s="453"/>
      <c r="BL2014" s="62">
        <f>BL2013</f>
        <v>0</v>
      </c>
      <c r="BM2014" s="275">
        <f>BM2013</f>
        <v>3</v>
      </c>
      <c r="BN2014" s="62">
        <v>0.03</v>
      </c>
      <c r="BO2014" s="451" t="str">
        <f>BO2013</f>
        <v>NMD Rioolbuis beton 800mm</v>
      </c>
      <c r="BP2014" t="s">
        <v>615</v>
      </c>
    </row>
    <row r="2015" spans="1:68">
      <c r="A2015" s="33" t="str">
        <f>Database_Productkaarten[[#This Row],[Product]]&amp;", "&amp;Database_Productkaarten[[#This Row],[Levensfase]]</f>
        <v>Betonbuis 800 mm, A4</v>
      </c>
      <c r="B2015" s="33" t="s">
        <v>257</v>
      </c>
      <c r="C2015" s="33" t="s">
        <v>246</v>
      </c>
      <c r="D2015" s="33" t="s">
        <v>727</v>
      </c>
      <c r="E2015" s="33" t="s">
        <v>389</v>
      </c>
      <c r="F2015" s="33" t="s">
        <v>78</v>
      </c>
      <c r="G2015" s="33">
        <v>1</v>
      </c>
      <c r="J2015" s="33">
        <v>0.8</v>
      </c>
      <c r="K2015" s="33">
        <v>0.1</v>
      </c>
      <c r="L2015" s="33">
        <v>2.4</v>
      </c>
      <c r="M2015" s="270">
        <f t="shared" si="813"/>
        <v>0.66399999999999992</v>
      </c>
      <c r="N2015" s="41">
        <v>1.8288</v>
      </c>
      <c r="O2015" s="33">
        <v>40</v>
      </c>
      <c r="P2015" s="40">
        <v>4.3986032999999999E-5</v>
      </c>
      <c r="Q2015" s="40">
        <v>0.11416725</v>
      </c>
      <c r="R2015" s="40">
        <v>15.467172</v>
      </c>
      <c r="S2015" s="40">
        <v>2.8502945999999999E-6</v>
      </c>
      <c r="T2015" s="40">
        <v>9.1292174000000004E-3</v>
      </c>
      <c r="U2015" s="40">
        <v>6.7056863999999994E-2</v>
      </c>
      <c r="V2015" s="40">
        <v>1.3362611E-2</v>
      </c>
      <c r="W2015" s="40">
        <v>6.1880777</v>
      </c>
      <c r="X2015" s="40">
        <v>0.18148798999999999</v>
      </c>
      <c r="Y2015" s="40">
        <v>655.04395</v>
      </c>
      <c r="Z2015" s="40">
        <v>2.1925152999999999E-2</v>
      </c>
      <c r="AA2015" s="40"/>
      <c r="AB2015" s="40"/>
      <c r="AC2015" s="40"/>
      <c r="AD2015" s="40"/>
      <c r="AE2015" s="40"/>
      <c r="AF2015" s="40"/>
      <c r="AV2015" s="40">
        <v>3.2571656999999998</v>
      </c>
      <c r="AW2015" s="40"/>
      <c r="AX2015" s="40"/>
      <c r="AY2015" s="313">
        <v>254.51436000000001</v>
      </c>
      <c r="AZ2015" s="40"/>
      <c r="BA2015" s="40"/>
      <c r="BB2015" s="40"/>
      <c r="BC2015" s="40"/>
      <c r="BD2015" s="40">
        <v>4.5773770999999998E-2</v>
      </c>
      <c r="BE2015" s="40">
        <v>1.7577446000000001E-3</v>
      </c>
      <c r="BF2015" s="40">
        <v>14.629678</v>
      </c>
      <c r="BL2015" s="62">
        <v>0</v>
      </c>
      <c r="BM2015" s="275">
        <v>3</v>
      </c>
      <c r="BN2015" s="62">
        <v>0.03</v>
      </c>
      <c r="BO2015" s="33" t="s">
        <v>730</v>
      </c>
      <c r="BP2015" t="s">
        <v>615</v>
      </c>
    </row>
    <row r="2016" spans="1:68">
      <c r="A2016" s="33" t="str">
        <f>Database_Productkaarten[[#This Row],[Product]]&amp;", "&amp;Database_Productkaarten[[#This Row],[Levensfase]]</f>
        <v>Betonbuis 800 mm, A5</v>
      </c>
      <c r="B2016" s="33" t="s">
        <v>257</v>
      </c>
      <c r="C2016" s="33" t="s">
        <v>246</v>
      </c>
      <c r="D2016" s="33" t="s">
        <v>727</v>
      </c>
      <c r="E2016" s="33" t="s">
        <v>389</v>
      </c>
      <c r="F2016" s="33" t="s">
        <v>79</v>
      </c>
      <c r="G2016" s="33">
        <v>1</v>
      </c>
      <c r="J2016" s="33">
        <v>0.8</v>
      </c>
      <c r="K2016" s="33">
        <v>0.1</v>
      </c>
      <c r="L2016" s="33">
        <v>2.4</v>
      </c>
      <c r="M2016" s="270">
        <f t="shared" si="813"/>
        <v>0.66399999999999992</v>
      </c>
      <c r="N2016" s="41">
        <f>0.2452+1.415</f>
        <v>1.6602000000000001</v>
      </c>
      <c r="O2016" s="33">
        <v>40</v>
      </c>
      <c r="P2016" s="40">
        <v>8.0043360000000007E-6</v>
      </c>
      <c r="Q2016" s="40">
        <v>7.2466224999999995E-2</v>
      </c>
      <c r="R2016" s="40">
        <v>11.752179999999999</v>
      </c>
      <c r="S2016" s="40">
        <v>1.7512827999999999E-6</v>
      </c>
      <c r="T2016" s="40">
        <v>9.6103990000000004E-3</v>
      </c>
      <c r="U2016" s="40">
        <v>7.4125276000000004E-2</v>
      </c>
      <c r="V2016" s="40">
        <v>1.6137077E-2</v>
      </c>
      <c r="W2016" s="40">
        <v>3.5584519999999999</v>
      </c>
      <c r="X2016" s="40">
        <v>5.7104182000000003E-2</v>
      </c>
      <c r="Y2016" s="40">
        <v>206.17155</v>
      </c>
      <c r="Z2016" s="40">
        <v>1.1601798E-2</v>
      </c>
      <c r="AA2016" s="40"/>
      <c r="AB2016" s="40"/>
      <c r="AC2016" s="40"/>
      <c r="AD2016" s="40"/>
      <c r="AE2016" s="40"/>
      <c r="AF2016" s="40"/>
      <c r="AV2016" s="40">
        <v>2.8914176</v>
      </c>
      <c r="AW2016" s="40"/>
      <c r="AX2016" s="40"/>
      <c r="AY2016" s="313">
        <v>161.80652000000001</v>
      </c>
      <c r="AZ2016" s="40"/>
      <c r="BA2016" s="40"/>
      <c r="BB2016" s="40"/>
      <c r="BC2016" s="40"/>
      <c r="BD2016" s="40">
        <v>0.24319914000000001</v>
      </c>
      <c r="BE2016" s="40">
        <v>0.78949420999999997</v>
      </c>
      <c r="BF2016" s="40">
        <v>1.3397848000000001</v>
      </c>
      <c r="BL2016" s="62">
        <v>0</v>
      </c>
      <c r="BM2016" s="275">
        <v>3</v>
      </c>
      <c r="BN2016" s="62">
        <v>0.03</v>
      </c>
      <c r="BO2016" s="33" t="s">
        <v>730</v>
      </c>
      <c r="BP2016" t="s">
        <v>615</v>
      </c>
    </row>
    <row r="2017" spans="1:68">
      <c r="A2017" s="33" t="str">
        <f>Database_Productkaarten[[#This Row],[Product]]&amp;", "&amp;Database_Productkaarten[[#This Row],[Levensfase]]</f>
        <v>Betonbuis 800 mm, B1</v>
      </c>
      <c r="B2017" s="33" t="s">
        <v>257</v>
      </c>
      <c r="C2017" s="33" t="s">
        <v>246</v>
      </c>
      <c r="D2017" s="33" t="s">
        <v>727</v>
      </c>
      <c r="E2017" s="33" t="s">
        <v>389</v>
      </c>
      <c r="F2017" s="33" t="s">
        <v>80</v>
      </c>
      <c r="G2017" s="33">
        <v>1</v>
      </c>
      <c r="J2017" s="33">
        <v>0.8</v>
      </c>
      <c r="K2017" s="33">
        <v>0.1</v>
      </c>
      <c r="L2017" s="33">
        <v>2.4</v>
      </c>
      <c r="M2017" s="270">
        <f t="shared" si="813"/>
        <v>0.66399999999999992</v>
      </c>
      <c r="N2017" s="41"/>
      <c r="O2017" s="33">
        <v>40</v>
      </c>
      <c r="P2017" s="40">
        <v>0</v>
      </c>
      <c r="Q2017" s="40">
        <v>0</v>
      </c>
      <c r="R2017" s="40">
        <v>0</v>
      </c>
      <c r="S2017" s="40">
        <v>0</v>
      </c>
      <c r="T2017" s="40">
        <v>0</v>
      </c>
      <c r="U2017" s="40">
        <v>0</v>
      </c>
      <c r="V2017" s="40">
        <v>0</v>
      </c>
      <c r="W2017" s="40">
        <v>0</v>
      </c>
      <c r="X2017" s="40">
        <v>0</v>
      </c>
      <c r="Y2017" s="40">
        <v>0</v>
      </c>
      <c r="Z2017" s="40">
        <v>0</v>
      </c>
      <c r="AA2017" s="40"/>
      <c r="AB2017" s="40"/>
      <c r="AC2017" s="40"/>
      <c r="AD2017" s="40"/>
      <c r="AE2017" s="40"/>
      <c r="AF2017" s="40"/>
      <c r="AV2017" s="40">
        <v>0</v>
      </c>
      <c r="AW2017" s="40"/>
      <c r="AX2017" s="40"/>
      <c r="AY2017" s="313">
        <v>0</v>
      </c>
      <c r="AZ2017" s="40"/>
      <c r="BA2017" s="40"/>
      <c r="BB2017" s="40"/>
      <c r="BC2017" s="40"/>
      <c r="BD2017" s="40">
        <v>0</v>
      </c>
      <c r="BE2017" s="40">
        <v>0</v>
      </c>
      <c r="BF2017" s="40">
        <v>0</v>
      </c>
      <c r="BL2017" s="62">
        <v>0</v>
      </c>
      <c r="BM2017" s="275">
        <v>3</v>
      </c>
      <c r="BN2017" s="62">
        <v>0.03</v>
      </c>
      <c r="BO2017" s="33" t="s">
        <v>730</v>
      </c>
      <c r="BP2017" t="s">
        <v>615</v>
      </c>
    </row>
    <row r="2018" spans="1:68">
      <c r="A2018" s="33" t="str">
        <f>Database_Productkaarten[[#This Row],[Product]]&amp;", "&amp;Database_Productkaarten[[#This Row],[Levensfase]]</f>
        <v>Betonbuis 800 mm, C1</v>
      </c>
      <c r="B2018" s="33" t="s">
        <v>257</v>
      </c>
      <c r="C2018" s="33" t="s">
        <v>246</v>
      </c>
      <c r="D2018" s="33" t="s">
        <v>727</v>
      </c>
      <c r="E2018" s="33" t="s">
        <v>389</v>
      </c>
      <c r="F2018" s="33" t="s">
        <v>83</v>
      </c>
      <c r="G2018" s="33">
        <v>1</v>
      </c>
      <c r="J2018" s="33">
        <v>0.8</v>
      </c>
      <c r="K2018" s="33">
        <v>0.1</v>
      </c>
      <c r="L2018" s="33">
        <v>2.4</v>
      </c>
      <c r="M2018" s="270">
        <f t="shared" si="813"/>
        <v>0.66399999999999992</v>
      </c>
      <c r="N2018" s="41">
        <v>0.47489999999999999</v>
      </c>
      <c r="O2018" s="33">
        <v>40</v>
      </c>
      <c r="P2018" s="40">
        <v>1.9459768000000002E-6</v>
      </c>
      <c r="Q2018" s="40">
        <v>4.0093504000000002E-2</v>
      </c>
      <c r="R2018" s="40">
        <v>5.8109736999999999</v>
      </c>
      <c r="S2018" s="40">
        <v>1.0466841999999999E-6</v>
      </c>
      <c r="T2018" s="40">
        <v>5.8573148999999996E-3</v>
      </c>
      <c r="U2018" s="40">
        <v>4.3968701999999998E-2</v>
      </c>
      <c r="V2018" s="40">
        <v>9.8455222999999994E-3</v>
      </c>
      <c r="W2018" s="40">
        <v>2.0570461999999998</v>
      </c>
      <c r="X2018" s="40">
        <v>2.8767583999999999E-2</v>
      </c>
      <c r="Y2018" s="40">
        <v>97.517264999999995</v>
      </c>
      <c r="Z2018" s="40">
        <v>3.4372665999999998E-3</v>
      </c>
      <c r="AA2018" s="40"/>
      <c r="AB2018" s="40"/>
      <c r="AC2018" s="40"/>
      <c r="AD2018" s="40"/>
      <c r="AE2018" s="40"/>
      <c r="AF2018" s="40"/>
      <c r="AV2018" s="40">
        <v>0.48289126999999998</v>
      </c>
      <c r="AW2018" s="40"/>
      <c r="AX2018" s="40"/>
      <c r="AY2018" s="313">
        <v>89.937607999999997</v>
      </c>
      <c r="AZ2018" s="40"/>
      <c r="BA2018" s="40"/>
      <c r="BB2018" s="40"/>
      <c r="BC2018" s="40"/>
      <c r="BD2018" s="40">
        <v>7.4149102000000003E-3</v>
      </c>
      <c r="BE2018" s="40">
        <v>6.2264815E-4</v>
      </c>
      <c r="BF2018" s="40">
        <v>9.1771061000000001E-2</v>
      </c>
      <c r="BL2018" s="62">
        <v>0</v>
      </c>
      <c r="BM2018" s="275">
        <v>3</v>
      </c>
      <c r="BN2018" s="62">
        <v>0.03</v>
      </c>
      <c r="BO2018" s="33" t="s">
        <v>730</v>
      </c>
      <c r="BP2018" t="s">
        <v>615</v>
      </c>
    </row>
    <row r="2019" spans="1:68">
      <c r="A2019" s="33" t="str">
        <f>Database_Productkaarten[[#This Row],[Product]]&amp;", "&amp;Database_Productkaarten[[#This Row],[Levensfase]]</f>
        <v>Betonbuis 800 mm, C2</v>
      </c>
      <c r="B2019" s="33" t="s">
        <v>257</v>
      </c>
      <c r="C2019" s="33" t="s">
        <v>246</v>
      </c>
      <c r="D2019" s="33" t="s">
        <v>727</v>
      </c>
      <c r="E2019" s="33" t="s">
        <v>389</v>
      </c>
      <c r="F2019" s="33" t="s">
        <v>84</v>
      </c>
      <c r="G2019" s="33">
        <v>1</v>
      </c>
      <c r="J2019" s="33">
        <v>0.8</v>
      </c>
      <c r="K2019" s="33">
        <v>0.1</v>
      </c>
      <c r="L2019" s="33">
        <v>2.4</v>
      </c>
      <c r="M2019" s="270">
        <f t="shared" si="813"/>
        <v>0.66399999999999992</v>
      </c>
      <c r="N2019" s="41">
        <v>0.61629999999999996</v>
      </c>
      <c r="O2019" s="33">
        <v>40</v>
      </c>
      <c r="P2019" s="40">
        <v>1.4808631000000001E-5</v>
      </c>
      <c r="Q2019" s="40">
        <v>3.8436309000000002E-2</v>
      </c>
      <c r="R2019" s="40">
        <v>5.2072813</v>
      </c>
      <c r="S2019" s="40">
        <v>9.5959918000000009E-7</v>
      </c>
      <c r="T2019" s="40">
        <v>3.0735032000000001E-3</v>
      </c>
      <c r="U2019" s="40">
        <v>2.2575811000000001E-2</v>
      </c>
      <c r="V2019" s="40">
        <v>4.4987457999999996E-3</v>
      </c>
      <c r="W2019" s="40">
        <v>2.0833195</v>
      </c>
      <c r="X2019" s="40">
        <v>6.1100956999999997E-2</v>
      </c>
      <c r="Y2019" s="40">
        <v>220.53146000000001</v>
      </c>
      <c r="Z2019" s="40">
        <v>7.3814680000000004E-3</v>
      </c>
      <c r="AA2019" s="40"/>
      <c r="AB2019" s="40"/>
      <c r="AC2019" s="40"/>
      <c r="AD2019" s="40"/>
      <c r="AE2019" s="40"/>
      <c r="AF2019" s="40"/>
      <c r="AV2019" s="40">
        <v>1.0965791</v>
      </c>
      <c r="AW2019" s="40"/>
      <c r="AX2019" s="40"/>
      <c r="AY2019" s="313">
        <v>85.686499999999995</v>
      </c>
      <c r="AZ2019" s="40"/>
      <c r="BA2019" s="40"/>
      <c r="BB2019" s="40"/>
      <c r="BC2019" s="40"/>
      <c r="BD2019" s="40">
        <v>1.5410503000000001E-2</v>
      </c>
      <c r="BE2019" s="40">
        <v>5.9177400999999995E-4</v>
      </c>
      <c r="BF2019" s="40">
        <v>4.9253248000000003</v>
      </c>
      <c r="BL2019" s="62">
        <v>0</v>
      </c>
      <c r="BM2019" s="275">
        <v>3</v>
      </c>
      <c r="BN2019" s="62">
        <v>0.03</v>
      </c>
      <c r="BO2019" s="33" t="s">
        <v>730</v>
      </c>
      <c r="BP2019" t="s">
        <v>615</v>
      </c>
    </row>
    <row r="2020" spans="1:68">
      <c r="A2020" s="33" t="str">
        <f>Database_Productkaarten[[#This Row],[Product]]&amp;", "&amp;Database_Productkaarten[[#This Row],[Levensfase]]</f>
        <v>Betonbuis 800 mm, C3</v>
      </c>
      <c r="B2020" s="33" t="s">
        <v>257</v>
      </c>
      <c r="C2020" s="33" t="s">
        <v>246</v>
      </c>
      <c r="D2020" s="33" t="s">
        <v>727</v>
      </c>
      <c r="E2020" s="33" t="s">
        <v>389</v>
      </c>
      <c r="F2020" s="33" t="s">
        <v>85</v>
      </c>
      <c r="G2020" s="33">
        <v>1</v>
      </c>
      <c r="J2020" s="33">
        <v>0.8</v>
      </c>
      <c r="K2020" s="33">
        <v>0.1</v>
      </c>
      <c r="L2020" s="33">
        <v>2.4</v>
      </c>
      <c r="M2020" s="270">
        <f t="shared" si="813"/>
        <v>0.66399999999999992</v>
      </c>
      <c r="N2020" s="41">
        <v>0.223</v>
      </c>
      <c r="O2020" s="33">
        <v>40</v>
      </c>
      <c r="P2020" s="40">
        <v>7.7936131999999998E-7</v>
      </c>
      <c r="Q2020" s="40">
        <v>9.4196504999999996E-3</v>
      </c>
      <c r="R2020" s="40">
        <v>2.5317493</v>
      </c>
      <c r="S2020" s="40">
        <v>1.4624428999999999E-7</v>
      </c>
      <c r="T2020" s="40">
        <v>6.9950606999999996E-4</v>
      </c>
      <c r="U2020" s="40">
        <v>5.8573554999999996E-3</v>
      </c>
      <c r="V2020" s="40">
        <v>1.3328713999999999E-3</v>
      </c>
      <c r="W2020" s="40">
        <v>0.27602209999999999</v>
      </c>
      <c r="X2020" s="40">
        <v>4.7749595999999998E-3</v>
      </c>
      <c r="Y2020" s="40">
        <v>17.965012999999999</v>
      </c>
      <c r="Z2020" s="40">
        <v>3.7320497000000001E-3</v>
      </c>
      <c r="AA2020" s="40"/>
      <c r="AB2020" s="40"/>
      <c r="AC2020" s="40"/>
      <c r="AD2020" s="40"/>
      <c r="AE2020" s="40"/>
      <c r="AF2020" s="40"/>
      <c r="AV2020" s="40">
        <v>1.0118237000000001</v>
      </c>
      <c r="AW2020" s="40"/>
      <c r="AX2020" s="40"/>
      <c r="AY2020" s="313">
        <v>19.724705</v>
      </c>
      <c r="AZ2020" s="40"/>
      <c r="BA2020" s="40"/>
      <c r="BB2020" s="40"/>
      <c r="BC2020" s="40"/>
      <c r="BD2020" s="40">
        <v>4.9580288999999996E-3</v>
      </c>
      <c r="BE2020" s="40">
        <v>1.1476028E-4</v>
      </c>
      <c r="BF2020" s="40">
        <v>2.3976823999999999</v>
      </c>
      <c r="BL2020" s="62">
        <v>0</v>
      </c>
      <c r="BM2020" s="275">
        <v>3</v>
      </c>
      <c r="BN2020" s="62">
        <v>0.03</v>
      </c>
      <c r="BO2020" s="33" t="s">
        <v>730</v>
      </c>
      <c r="BP2020" t="s">
        <v>615</v>
      </c>
    </row>
    <row r="2021" spans="1:68">
      <c r="A2021" s="33" t="str">
        <f>Database_Productkaarten[[#This Row],[Product]]&amp;", "&amp;Database_Productkaarten[[#This Row],[Levensfase]]</f>
        <v>Betonbuis 800 mm, C4</v>
      </c>
      <c r="B2021" s="33" t="s">
        <v>257</v>
      </c>
      <c r="C2021" s="33" t="s">
        <v>246</v>
      </c>
      <c r="D2021" s="33" t="s">
        <v>727</v>
      </c>
      <c r="E2021" s="33" t="s">
        <v>389</v>
      </c>
      <c r="F2021" s="33" t="s">
        <v>86</v>
      </c>
      <c r="G2021" s="33">
        <v>1</v>
      </c>
      <c r="J2021" s="33">
        <v>0.8</v>
      </c>
      <c r="K2021" s="33">
        <v>0.1</v>
      </c>
      <c r="L2021" s="33">
        <v>2.4</v>
      </c>
      <c r="M2021" s="270">
        <f t="shared" si="813"/>
        <v>0.66399999999999992</v>
      </c>
      <c r="N2021" s="41">
        <v>5.8999999999999999E-3</v>
      </c>
      <c r="O2021" s="33">
        <v>40</v>
      </c>
      <c r="P2021" s="40">
        <v>4.7741561000000001E-8</v>
      </c>
      <c r="Q2021" s="40">
        <v>5.6924470999999998E-4</v>
      </c>
      <c r="R2021" s="40">
        <v>4.1828947999999998E-2</v>
      </c>
      <c r="S2021" s="40">
        <v>1.3844724000000001E-8</v>
      </c>
      <c r="T2021" s="40">
        <v>4.4327192999999999E-5</v>
      </c>
      <c r="U2021" s="40">
        <v>3.0909060000000003E-4</v>
      </c>
      <c r="V2021" s="40">
        <v>5.8171534999999999E-5</v>
      </c>
      <c r="W2021" s="40">
        <v>1.7053531E-2</v>
      </c>
      <c r="X2021" s="40">
        <v>4.2405517999999999E-4</v>
      </c>
      <c r="Y2021" s="40">
        <v>1.4584889999999999</v>
      </c>
      <c r="Z2021" s="40">
        <v>5.0505082000000003E-5</v>
      </c>
      <c r="AA2021" s="40"/>
      <c r="AB2021" s="40"/>
      <c r="AC2021" s="40"/>
      <c r="AD2021" s="40"/>
      <c r="AE2021" s="40"/>
      <c r="AF2021" s="40"/>
      <c r="AV2021" s="40">
        <v>3.0491206999999999E-2</v>
      </c>
      <c r="AW2021" s="40"/>
      <c r="AX2021" s="40"/>
      <c r="AY2021" s="313">
        <v>1.2715901000000001</v>
      </c>
      <c r="AZ2021" s="40"/>
      <c r="BA2021" s="40"/>
      <c r="BB2021" s="40"/>
      <c r="BC2021" s="40"/>
      <c r="BD2021" s="40">
        <v>1.2816004000000001E-3</v>
      </c>
      <c r="BE2021" s="40">
        <v>8.6378176E-6</v>
      </c>
      <c r="BF2021" s="40">
        <v>7.8274705999999998</v>
      </c>
      <c r="BL2021" s="62">
        <v>0</v>
      </c>
      <c r="BM2021" s="275">
        <v>3</v>
      </c>
      <c r="BN2021" s="62">
        <v>0.03</v>
      </c>
      <c r="BO2021" s="33" t="s">
        <v>730</v>
      </c>
      <c r="BP2021" t="s">
        <v>615</v>
      </c>
    </row>
    <row r="2022" spans="1:68">
      <c r="A2022" s="33" t="str">
        <f>Database_Productkaarten[[#This Row],[Product]]&amp;", "&amp;Database_Productkaarten[[#This Row],[Levensfase]]</f>
        <v>Betonbuis 800 mm, D</v>
      </c>
      <c r="B2022" s="33" t="str">
        <f>B2023</f>
        <v>Betonbuis 800 mm</v>
      </c>
      <c r="C2022" s="33" t="str">
        <f>C2023</f>
        <v>Waterafvoer</v>
      </c>
      <c r="D2022" s="33" t="str">
        <f>D2023</f>
        <v>Betonnen riolering</v>
      </c>
      <c r="E2022" s="33" t="str">
        <f>E2023</f>
        <v>m1</v>
      </c>
      <c r="F2022" s="33" t="s">
        <v>89</v>
      </c>
      <c r="G2022" s="33">
        <f t="shared" ref="G2022:M2022" si="817">G2023</f>
        <v>1</v>
      </c>
      <c r="J2022" s="33">
        <f t="shared" si="817"/>
        <v>0.8</v>
      </c>
      <c r="K2022" s="33">
        <f t="shared" si="817"/>
        <v>0.1</v>
      </c>
      <c r="L2022" s="33">
        <f t="shared" si="817"/>
        <v>2.4</v>
      </c>
      <c r="M2022" s="45">
        <f t="shared" si="817"/>
        <v>0.66399999999999992</v>
      </c>
      <c r="N2022" s="41">
        <f>SUM(N2023:N2024)</f>
        <v>-0.41589999999999999</v>
      </c>
      <c r="O2022" s="33">
        <f>O2023</f>
        <v>40</v>
      </c>
      <c r="P2022" s="163">
        <v>-1.7923214999999999E-5</v>
      </c>
      <c r="Q2022" s="163">
        <v>-2.2630870000000001E-2</v>
      </c>
      <c r="R2022" s="163">
        <v>-3.4150057</v>
      </c>
      <c r="S2022" s="163">
        <v>-2.9027668999999999E-7</v>
      </c>
      <c r="T2022" s="163">
        <v>-2.3841446000000001E-3</v>
      </c>
      <c r="U2022" s="163">
        <v>-1.9396164E-2</v>
      </c>
      <c r="V2022" s="163">
        <v>-3.1690518999999999E-3</v>
      </c>
      <c r="W2022" s="163">
        <v>-1.3235333</v>
      </c>
      <c r="X2022" s="163">
        <v>-1.9276419999999999E-2</v>
      </c>
      <c r="Y2022" s="163">
        <v>-91.963099999999997</v>
      </c>
      <c r="Z2022" s="163">
        <v>-7.4912494999999999E-3</v>
      </c>
      <c r="AA2022" s="40"/>
      <c r="AB2022" s="40"/>
      <c r="AC2022" s="40"/>
      <c r="AD2022" s="40"/>
      <c r="AE2022" s="40"/>
      <c r="AF2022" s="40"/>
      <c r="AG2022" s="40">
        <f t="shared" ref="AG2022:AU2022" si="818">SUM(AG2023:AG2024)</f>
        <v>0</v>
      </c>
      <c r="AH2022" s="40">
        <f t="shared" si="818"/>
        <v>0</v>
      </c>
      <c r="AI2022" s="40">
        <f t="shared" si="818"/>
        <v>0</v>
      </c>
      <c r="AJ2022" s="40">
        <f t="shared" si="818"/>
        <v>0</v>
      </c>
      <c r="AK2022" s="40">
        <f t="shared" si="818"/>
        <v>0</v>
      </c>
      <c r="AL2022" s="40">
        <f t="shared" si="818"/>
        <v>0</v>
      </c>
      <c r="AM2022" s="40">
        <f t="shared" si="818"/>
        <v>0</v>
      </c>
      <c r="AN2022" s="40">
        <f t="shared" si="818"/>
        <v>0</v>
      </c>
      <c r="AO2022" s="40">
        <f t="shared" si="818"/>
        <v>0</v>
      </c>
      <c r="AP2022" s="40">
        <f t="shared" si="818"/>
        <v>0</v>
      </c>
      <c r="AQ2022" s="40">
        <f t="shared" si="818"/>
        <v>0</v>
      </c>
      <c r="AR2022" s="40">
        <f t="shared" si="818"/>
        <v>0</v>
      </c>
      <c r="AS2022" s="40">
        <f t="shared" si="818"/>
        <v>0</v>
      </c>
      <c r="AT2022" s="40">
        <f t="shared" si="818"/>
        <v>0</v>
      </c>
      <c r="AU2022" s="40">
        <f t="shared" si="818"/>
        <v>0</v>
      </c>
      <c r="AV2022" s="163">
        <v>-2.7788187</v>
      </c>
      <c r="AW2022" s="40"/>
      <c r="AX2022" s="40"/>
      <c r="AY2022" s="313">
        <v>-45.470973000000001</v>
      </c>
      <c r="AZ2022" s="40"/>
      <c r="BA2022" s="40"/>
      <c r="BB2022" s="40"/>
      <c r="BC2022" s="40"/>
      <c r="BD2022" s="40">
        <v>-1.0898528999999999</v>
      </c>
      <c r="BE2022" s="163">
        <v>-2.4326967000000001E-4</v>
      </c>
      <c r="BF2022" s="163">
        <v>-0.43620871</v>
      </c>
      <c r="BG2022" s="40"/>
      <c r="BH2022" s="40"/>
      <c r="BI2022" s="40"/>
      <c r="BJ2022" s="40"/>
      <c r="BK2022" s="40"/>
      <c r="BL2022" s="62">
        <f>BL2023</f>
        <v>0</v>
      </c>
      <c r="BM2022" s="275">
        <f>BM2023</f>
        <v>3</v>
      </c>
      <c r="BN2022" s="62">
        <v>0.03</v>
      </c>
      <c r="BO2022" s="33" t="str">
        <f>BO2023</f>
        <v>NMD Rioolbuis beton 800mm</v>
      </c>
      <c r="BP2022" t="s">
        <v>615</v>
      </c>
    </row>
    <row r="2023" spans="1:68">
      <c r="A2023" s="33" t="str">
        <f>Database_Productkaarten[[#This Row],[Product]]&amp;", "&amp;Database_Productkaarten[[#This Row],[Levensfase]]</f>
        <v>Betonbuis 800 mm, D1</v>
      </c>
      <c r="B2023" s="33" t="s">
        <v>257</v>
      </c>
      <c r="C2023" s="33" t="s">
        <v>246</v>
      </c>
      <c r="D2023" s="33" t="s">
        <v>727</v>
      </c>
      <c r="E2023" s="33" t="s">
        <v>389</v>
      </c>
      <c r="F2023" s="33" t="s">
        <v>87</v>
      </c>
      <c r="G2023" s="33">
        <v>1</v>
      </c>
      <c r="J2023" s="33">
        <v>0.8</v>
      </c>
      <c r="K2023" s="33">
        <v>0.1</v>
      </c>
      <c r="L2023" s="33">
        <v>2.4</v>
      </c>
      <c r="M2023" s="270">
        <f t="shared" si="813"/>
        <v>0.66399999999999992</v>
      </c>
      <c r="N2023" s="41">
        <v>-0.41589999999999999</v>
      </c>
      <c r="O2023" s="33">
        <v>40</v>
      </c>
      <c r="R2023" s="33">
        <v>-3.2532999999999999</v>
      </c>
      <c r="AV2023" s="316"/>
      <c r="AW2023" s="314"/>
      <c r="AX2023" s="314"/>
      <c r="AY2023" s="316"/>
      <c r="BL2023" s="62">
        <v>0</v>
      </c>
      <c r="BM2023" s="275">
        <v>3</v>
      </c>
      <c r="BN2023" s="62">
        <v>0.03</v>
      </c>
      <c r="BO2023" s="33" t="s">
        <v>730</v>
      </c>
      <c r="BP2023" t="s">
        <v>615</v>
      </c>
    </row>
    <row r="2024" spans="1:68">
      <c r="A2024" s="33" t="str">
        <f>Database_Productkaarten[[#This Row],[Product]]&amp;", "&amp;Database_Productkaarten[[#This Row],[Levensfase]]</f>
        <v>Betonbuis 800 mm, D2</v>
      </c>
      <c r="B2024" s="33" t="s">
        <v>257</v>
      </c>
      <c r="C2024" s="33" t="s">
        <v>246</v>
      </c>
      <c r="D2024" s="33" t="s">
        <v>727</v>
      </c>
      <c r="E2024" s="33" t="s">
        <v>389</v>
      </c>
      <c r="F2024" s="33" t="s">
        <v>88</v>
      </c>
      <c r="G2024" s="33">
        <v>1</v>
      </c>
      <c r="J2024" s="33">
        <v>0.8</v>
      </c>
      <c r="K2024" s="33">
        <v>0.1</v>
      </c>
      <c r="L2024" s="33">
        <v>2.4</v>
      </c>
      <c r="M2024" s="270">
        <f>1.66/2.5</f>
        <v>0.66399999999999992</v>
      </c>
      <c r="N2024" s="41"/>
      <c r="O2024" s="33">
        <v>40</v>
      </c>
      <c r="AV2024" s="316"/>
      <c r="AW2024" s="314"/>
      <c r="AX2024" s="314"/>
      <c r="AY2024" s="316"/>
      <c r="BL2024" s="62">
        <v>0</v>
      </c>
      <c r="BM2024" s="275">
        <v>3</v>
      </c>
      <c r="BN2024" s="62">
        <v>0.03</v>
      </c>
      <c r="BO2024" s="33" t="s">
        <v>730</v>
      </c>
      <c r="BP2024" t="s">
        <v>615</v>
      </c>
    </row>
    <row r="2025" spans="1:68">
      <c r="A2025" s="33" t="str">
        <f>Database_Productkaarten[[#This Row],[Product]]&amp;", "&amp;Database_Productkaarten[[#This Row],[Levensfase]]</f>
        <v>Betonbuis 1000 mm, Totaal</v>
      </c>
      <c r="B2025" s="33" t="s">
        <v>731</v>
      </c>
      <c r="C2025" s="33" t="s">
        <v>246</v>
      </c>
      <c r="D2025" s="33" t="s">
        <v>727</v>
      </c>
      <c r="E2025" s="33" t="s">
        <v>389</v>
      </c>
      <c r="F2025" s="33" t="s">
        <v>90</v>
      </c>
      <c r="G2025" s="33">
        <v>1</v>
      </c>
      <c r="J2025" s="33">
        <v>1</v>
      </c>
      <c r="K2025" s="33">
        <v>0.125</v>
      </c>
      <c r="L2025" s="33">
        <v>2.4</v>
      </c>
      <c r="M2025" s="269">
        <f>3.131/2.5</f>
        <v>1.2524</v>
      </c>
      <c r="N2025" s="41"/>
      <c r="O2025" s="33">
        <v>100</v>
      </c>
      <c r="AV2025" s="108"/>
      <c r="AY2025" s="108"/>
      <c r="BL2025" s="62">
        <v>0</v>
      </c>
      <c r="BM2025" s="275">
        <v>3</v>
      </c>
      <c r="BN2025" s="62">
        <v>0.03</v>
      </c>
      <c r="BO2025" s="33" t="s">
        <v>732</v>
      </c>
      <c r="BP2025"/>
    </row>
    <row r="2026" spans="1:68">
      <c r="A2026" s="33" t="str">
        <f>Database_Productkaarten[[#This Row],[Product]]&amp;", "&amp;Database_Productkaarten[[#This Row],[Levensfase]]</f>
        <v>Betonbuis 1000 mm, A1</v>
      </c>
      <c r="B2026" s="33" t="s">
        <v>731</v>
      </c>
      <c r="C2026" s="33" t="s">
        <v>246</v>
      </c>
      <c r="D2026" s="33" t="s">
        <v>727</v>
      </c>
      <c r="E2026" s="33" t="s">
        <v>389</v>
      </c>
      <c r="F2026" s="33" t="s">
        <v>74</v>
      </c>
      <c r="G2026" s="33">
        <v>1</v>
      </c>
      <c r="J2026" s="33">
        <v>1</v>
      </c>
      <c r="K2026" s="33">
        <v>0.125</v>
      </c>
      <c r="L2026" s="33">
        <v>2.4</v>
      </c>
      <c r="M2026" s="269">
        <f t="shared" ref="M2026:M2039" si="819">3.131/2.5</f>
        <v>1.2524</v>
      </c>
      <c r="N2026" s="41">
        <f>0.0142+18.8317</f>
        <v>18.8459</v>
      </c>
      <c r="O2026" s="33">
        <v>100</v>
      </c>
      <c r="R2026" s="33">
        <f>10.9013+345.2651</f>
        <v>356.16640000000001</v>
      </c>
      <c r="AV2026" s="108"/>
      <c r="AY2026" s="108"/>
      <c r="BL2026" s="62">
        <v>0</v>
      </c>
      <c r="BM2026" s="275">
        <v>3</v>
      </c>
      <c r="BN2026" s="62">
        <v>0.03</v>
      </c>
      <c r="BO2026" s="33" t="s">
        <v>732</v>
      </c>
      <c r="BP2026"/>
    </row>
    <row r="2027" spans="1:68">
      <c r="A2027" s="33" t="str">
        <f>Database_Productkaarten[[#This Row],[Product]]&amp;", "&amp;Database_Productkaarten[[#This Row],[Levensfase]]</f>
        <v>Betonbuis 1000 mm, A2</v>
      </c>
      <c r="B2027" s="33" t="s">
        <v>731</v>
      </c>
      <c r="C2027" s="33" t="s">
        <v>246</v>
      </c>
      <c r="D2027" s="33" t="s">
        <v>727</v>
      </c>
      <c r="E2027" s="33" t="s">
        <v>389</v>
      </c>
      <c r="F2027" s="33" t="s">
        <v>75</v>
      </c>
      <c r="G2027" s="33">
        <v>1</v>
      </c>
      <c r="J2027" s="33">
        <v>1</v>
      </c>
      <c r="K2027" s="33">
        <v>0.125</v>
      </c>
      <c r="L2027" s="33">
        <v>2.4</v>
      </c>
      <c r="M2027" s="269">
        <f t="shared" si="819"/>
        <v>1.2524</v>
      </c>
      <c r="N2027" s="41"/>
      <c r="O2027" s="33">
        <v>100</v>
      </c>
      <c r="AV2027" s="108"/>
      <c r="AY2027" s="108"/>
      <c r="BL2027" s="62">
        <v>0</v>
      </c>
      <c r="BM2027" s="275">
        <v>3</v>
      </c>
      <c r="BN2027" s="62">
        <v>0.03</v>
      </c>
      <c r="BO2027" s="33" t="s">
        <v>732</v>
      </c>
      <c r="BP2027"/>
    </row>
    <row r="2028" spans="1:68">
      <c r="A2028" s="33" t="str">
        <f>Database_Productkaarten[[#This Row],[Product]]&amp;", "&amp;Database_Productkaarten[[#This Row],[Levensfase]]</f>
        <v>Betonbuis 1000 mm, A3</v>
      </c>
      <c r="B2028" s="33" t="s">
        <v>731</v>
      </c>
      <c r="C2028" s="33" t="s">
        <v>246</v>
      </c>
      <c r="D2028" s="33" t="s">
        <v>727</v>
      </c>
      <c r="E2028" s="33" t="s">
        <v>389</v>
      </c>
      <c r="F2028" s="33" t="s">
        <v>76</v>
      </c>
      <c r="G2028" s="33">
        <v>1</v>
      </c>
      <c r="J2028" s="33">
        <v>1</v>
      </c>
      <c r="K2028" s="33">
        <v>0.125</v>
      </c>
      <c r="L2028" s="33">
        <v>2.4</v>
      </c>
      <c r="M2028" s="269">
        <f t="shared" si="819"/>
        <v>1.2524</v>
      </c>
      <c r="N2028" s="41"/>
      <c r="O2028" s="33">
        <v>100</v>
      </c>
      <c r="AV2028" s="108"/>
      <c r="AY2028" s="108"/>
      <c r="BL2028" s="62">
        <v>0</v>
      </c>
      <c r="BM2028" s="275">
        <v>3</v>
      </c>
      <c r="BN2028" s="62">
        <v>0.03</v>
      </c>
      <c r="BO2028" s="33" t="s">
        <v>732</v>
      </c>
      <c r="BP2028"/>
    </row>
    <row r="2029" spans="1:68">
      <c r="A2029" s="451" t="str">
        <f>Database_Productkaarten[[#This Row],[Product]]&amp;", "&amp;Database_Productkaarten[[#This Row],[Levensfase]]</f>
        <v>Betonbuis 1000 mm, A1-A3</v>
      </c>
      <c r="B2029" s="451" t="str">
        <f>B2028</f>
        <v>Betonbuis 1000 mm</v>
      </c>
      <c r="C2029" s="451" t="str">
        <f>C2028</f>
        <v>Waterafvoer</v>
      </c>
      <c r="D2029" s="451" t="str">
        <f>D2028</f>
        <v>Betonnen riolering</v>
      </c>
      <c r="E2029" s="451" t="str">
        <f>E2028</f>
        <v>m1</v>
      </c>
      <c r="F2029" s="451" t="s">
        <v>77</v>
      </c>
      <c r="G2029" s="451">
        <f t="shared" ref="G2029:M2029" si="820">G2028</f>
        <v>1</v>
      </c>
      <c r="H2029" s="451"/>
      <c r="I2029" s="451"/>
      <c r="J2029" s="451">
        <f t="shared" si="820"/>
        <v>1</v>
      </c>
      <c r="K2029" s="451">
        <f t="shared" si="820"/>
        <v>0.125</v>
      </c>
      <c r="L2029" s="451">
        <f t="shared" si="820"/>
        <v>2.4</v>
      </c>
      <c r="M2029" s="454">
        <f t="shared" si="820"/>
        <v>1.2524</v>
      </c>
      <c r="N2029" s="452">
        <f>SUM(N2026:N2028)</f>
        <v>18.8459</v>
      </c>
      <c r="O2029" s="451">
        <f>O2028</f>
        <v>100</v>
      </c>
      <c r="P2029" s="453">
        <f t="shared" ref="P2029:BK2029" si="821">SUM(P2026:P2028)</f>
        <v>0</v>
      </c>
      <c r="Q2029" s="453">
        <f t="shared" si="821"/>
        <v>0</v>
      </c>
      <c r="R2029" s="453">
        <f t="shared" si="821"/>
        <v>356.16640000000001</v>
      </c>
      <c r="S2029" s="453">
        <f t="shared" si="821"/>
        <v>0</v>
      </c>
      <c r="T2029" s="453">
        <f t="shared" si="821"/>
        <v>0</v>
      </c>
      <c r="U2029" s="453">
        <f t="shared" si="821"/>
        <v>0</v>
      </c>
      <c r="V2029" s="453">
        <f t="shared" si="821"/>
        <v>0</v>
      </c>
      <c r="W2029" s="453">
        <f t="shared" si="821"/>
        <v>0</v>
      </c>
      <c r="X2029" s="453">
        <f t="shared" si="821"/>
        <v>0</v>
      </c>
      <c r="Y2029" s="453">
        <f t="shared" si="821"/>
        <v>0</v>
      </c>
      <c r="Z2029" s="453">
        <f t="shared" si="821"/>
        <v>0</v>
      </c>
      <c r="AA2029" s="453">
        <f t="shared" si="821"/>
        <v>0</v>
      </c>
      <c r="AB2029" s="453">
        <f t="shared" si="821"/>
        <v>0</v>
      </c>
      <c r="AC2029" s="453">
        <f t="shared" si="821"/>
        <v>0</v>
      </c>
      <c r="AD2029" s="453">
        <f t="shared" si="821"/>
        <v>0</v>
      </c>
      <c r="AE2029" s="453">
        <f t="shared" si="821"/>
        <v>0</v>
      </c>
      <c r="AF2029" s="453">
        <f t="shared" si="821"/>
        <v>0</v>
      </c>
      <c r="AG2029" s="453">
        <f t="shared" si="821"/>
        <v>0</v>
      </c>
      <c r="AH2029" s="453">
        <f t="shared" si="821"/>
        <v>0</v>
      </c>
      <c r="AI2029" s="453">
        <f t="shared" si="821"/>
        <v>0</v>
      </c>
      <c r="AJ2029" s="453">
        <f t="shared" si="821"/>
        <v>0</v>
      </c>
      <c r="AK2029" s="453">
        <f t="shared" si="821"/>
        <v>0</v>
      </c>
      <c r="AL2029" s="453">
        <f t="shared" si="821"/>
        <v>0</v>
      </c>
      <c r="AM2029" s="453">
        <f t="shared" si="821"/>
        <v>0</v>
      </c>
      <c r="AN2029" s="453">
        <f t="shared" si="821"/>
        <v>0</v>
      </c>
      <c r="AO2029" s="453">
        <f t="shared" si="821"/>
        <v>0</v>
      </c>
      <c r="AP2029" s="453">
        <f t="shared" si="821"/>
        <v>0</v>
      </c>
      <c r="AQ2029" s="453">
        <f t="shared" si="821"/>
        <v>0</v>
      </c>
      <c r="AR2029" s="453">
        <f t="shared" si="821"/>
        <v>0</v>
      </c>
      <c r="AS2029" s="453">
        <f t="shared" si="821"/>
        <v>0</v>
      </c>
      <c r="AT2029" s="453">
        <f t="shared" si="821"/>
        <v>0</v>
      </c>
      <c r="AU2029" s="453">
        <f t="shared" si="821"/>
        <v>0</v>
      </c>
      <c r="AV2029" s="453">
        <f t="shared" si="821"/>
        <v>0</v>
      </c>
      <c r="AW2029" s="453">
        <f t="shared" si="821"/>
        <v>0</v>
      </c>
      <c r="AX2029" s="453">
        <f t="shared" si="821"/>
        <v>0</v>
      </c>
      <c r="AY2029" s="453">
        <f t="shared" si="821"/>
        <v>0</v>
      </c>
      <c r="AZ2029" s="453">
        <f t="shared" si="821"/>
        <v>0</v>
      </c>
      <c r="BA2029" s="453">
        <f t="shared" si="821"/>
        <v>0</v>
      </c>
      <c r="BB2029" s="453">
        <f t="shared" si="821"/>
        <v>0</v>
      </c>
      <c r="BC2029" s="453">
        <f t="shared" si="821"/>
        <v>0</v>
      </c>
      <c r="BD2029" s="453">
        <f t="shared" si="821"/>
        <v>0</v>
      </c>
      <c r="BE2029" s="453">
        <f t="shared" si="821"/>
        <v>0</v>
      </c>
      <c r="BF2029" s="453">
        <f t="shared" si="821"/>
        <v>0</v>
      </c>
      <c r="BG2029" s="453">
        <f t="shared" si="821"/>
        <v>0</v>
      </c>
      <c r="BH2029" s="453">
        <f t="shared" si="821"/>
        <v>0</v>
      </c>
      <c r="BI2029" s="453">
        <f t="shared" si="821"/>
        <v>0</v>
      </c>
      <c r="BJ2029" s="453">
        <f t="shared" si="821"/>
        <v>0</v>
      </c>
      <c r="BK2029" s="453">
        <f t="shared" si="821"/>
        <v>0</v>
      </c>
      <c r="BL2029" s="62">
        <f>BL2028</f>
        <v>0</v>
      </c>
      <c r="BM2029" s="275">
        <f>BM2028</f>
        <v>3</v>
      </c>
      <c r="BN2029" s="62">
        <v>0.03</v>
      </c>
      <c r="BO2029" s="451" t="str">
        <f>BO2028</f>
        <v>NMD Betonbuis ongewapend</v>
      </c>
      <c r="BP2029"/>
    </row>
    <row r="2030" spans="1:68">
      <c r="A2030" s="33" t="str">
        <f>Database_Productkaarten[[#This Row],[Product]]&amp;", "&amp;Database_Productkaarten[[#This Row],[Levensfase]]</f>
        <v>Betonbuis 1000 mm, A4</v>
      </c>
      <c r="B2030" s="33" t="s">
        <v>731</v>
      </c>
      <c r="C2030" s="33" t="s">
        <v>246</v>
      </c>
      <c r="D2030" s="33" t="s">
        <v>727</v>
      </c>
      <c r="E2030" s="33" t="s">
        <v>389</v>
      </c>
      <c r="F2030" s="33" t="s">
        <v>78</v>
      </c>
      <c r="G2030" s="33">
        <v>1</v>
      </c>
      <c r="J2030" s="33">
        <v>1</v>
      </c>
      <c r="K2030" s="33">
        <v>0.125</v>
      </c>
      <c r="L2030" s="33">
        <v>2.4</v>
      </c>
      <c r="M2030" s="269">
        <f t="shared" si="819"/>
        <v>1.2524</v>
      </c>
      <c r="N2030" s="41">
        <v>1.058E-4</v>
      </c>
      <c r="O2030" s="33">
        <v>100</v>
      </c>
      <c r="R2030" s="33">
        <v>5.0700000000000002E-2</v>
      </c>
      <c r="AV2030" s="108"/>
      <c r="AY2030" s="108"/>
      <c r="BL2030" s="62">
        <v>0</v>
      </c>
      <c r="BM2030" s="275">
        <v>3</v>
      </c>
      <c r="BN2030" s="62">
        <v>0.03</v>
      </c>
      <c r="BO2030" s="33" t="s">
        <v>732</v>
      </c>
      <c r="BP2030"/>
    </row>
    <row r="2031" spans="1:68">
      <c r="A2031" s="33" t="str">
        <f>Database_Productkaarten[[#This Row],[Product]]&amp;", "&amp;Database_Productkaarten[[#This Row],[Levensfase]]</f>
        <v>Betonbuis 1000 mm, A5</v>
      </c>
      <c r="B2031" s="33" t="s">
        <v>731</v>
      </c>
      <c r="C2031" s="33" t="s">
        <v>246</v>
      </c>
      <c r="D2031" s="33" t="s">
        <v>727</v>
      </c>
      <c r="E2031" s="33" t="s">
        <v>389</v>
      </c>
      <c r="F2031" s="33" t="s">
        <v>79</v>
      </c>
      <c r="G2031" s="33">
        <v>1</v>
      </c>
      <c r="J2031" s="33">
        <v>1</v>
      </c>
      <c r="K2031" s="33">
        <v>0.125</v>
      </c>
      <c r="L2031" s="33">
        <v>2.4</v>
      </c>
      <c r="M2031" s="269">
        <f t="shared" si="819"/>
        <v>1.2524</v>
      </c>
      <c r="N2031" s="41">
        <f>0.0055+0.8358+(4.3152*0.1)</f>
        <v>1.2728199999999998</v>
      </c>
      <c r="O2031" s="33">
        <v>100</v>
      </c>
      <c r="R2031" s="33">
        <f>6.6707+10.842+(46.5697*0.1)</f>
        <v>22.169670000000004</v>
      </c>
      <c r="AV2031" s="108"/>
      <c r="AY2031" s="108"/>
      <c r="BL2031" s="62">
        <v>0</v>
      </c>
      <c r="BM2031" s="275">
        <v>3</v>
      </c>
      <c r="BN2031" s="62">
        <v>0.03</v>
      </c>
      <c r="BO2031" s="33" t="s">
        <v>732</v>
      </c>
      <c r="BP2031"/>
    </row>
    <row r="2032" spans="1:68">
      <c r="A2032" s="33" t="str">
        <f>Database_Productkaarten[[#This Row],[Product]]&amp;", "&amp;Database_Productkaarten[[#This Row],[Levensfase]]</f>
        <v>Betonbuis 1000 mm, B1</v>
      </c>
      <c r="B2032" s="33" t="s">
        <v>731</v>
      </c>
      <c r="C2032" s="33" t="s">
        <v>246</v>
      </c>
      <c r="D2032" s="33" t="s">
        <v>727</v>
      </c>
      <c r="E2032" s="33" t="s">
        <v>389</v>
      </c>
      <c r="F2032" s="33" t="s">
        <v>80</v>
      </c>
      <c r="G2032" s="33">
        <v>1</v>
      </c>
      <c r="J2032" s="33">
        <v>1</v>
      </c>
      <c r="K2032" s="33">
        <v>0.125</v>
      </c>
      <c r="L2032" s="33">
        <v>2.4</v>
      </c>
      <c r="M2032" s="269">
        <f t="shared" si="819"/>
        <v>1.2524</v>
      </c>
      <c r="N2032" s="41"/>
      <c r="O2032" s="33">
        <v>100</v>
      </c>
      <c r="AV2032" s="108"/>
      <c r="AY2032" s="108"/>
      <c r="BL2032" s="62">
        <v>0</v>
      </c>
      <c r="BM2032" s="275">
        <v>3</v>
      </c>
      <c r="BN2032" s="62">
        <v>0.03</v>
      </c>
      <c r="BO2032" s="33" t="s">
        <v>732</v>
      </c>
      <c r="BP2032"/>
    </row>
    <row r="2033" spans="1:68">
      <c r="A2033" s="33" t="str">
        <f>Database_Productkaarten[[#This Row],[Product]]&amp;", "&amp;Database_Productkaarten[[#This Row],[Levensfase]]</f>
        <v>Betonbuis 1000 mm, C1</v>
      </c>
      <c r="B2033" s="33" t="s">
        <v>731</v>
      </c>
      <c r="C2033" s="33" t="s">
        <v>246</v>
      </c>
      <c r="D2033" s="33" t="s">
        <v>727</v>
      </c>
      <c r="E2033" s="33" t="s">
        <v>389</v>
      </c>
      <c r="F2033" s="33" t="s">
        <v>83</v>
      </c>
      <c r="G2033" s="33">
        <v>1</v>
      </c>
      <c r="J2033" s="33">
        <v>1</v>
      </c>
      <c r="K2033" s="33">
        <v>0.125</v>
      </c>
      <c r="L2033" s="33">
        <v>2.4</v>
      </c>
      <c r="M2033" s="269">
        <f t="shared" si="819"/>
        <v>1.2524</v>
      </c>
      <c r="N2033" s="41">
        <f>4.3152*0.1</f>
        <v>0.43152000000000001</v>
      </c>
      <c r="O2033" s="33">
        <v>100</v>
      </c>
      <c r="R2033" s="33">
        <f>(46.5697*0.1)</f>
        <v>4.6569700000000003</v>
      </c>
      <c r="AV2033" s="108"/>
      <c r="AY2033" s="108"/>
      <c r="BL2033" s="62">
        <v>0</v>
      </c>
      <c r="BM2033" s="275">
        <v>3</v>
      </c>
      <c r="BN2033" s="62">
        <v>0.03</v>
      </c>
      <c r="BO2033" s="33" t="s">
        <v>732</v>
      </c>
      <c r="BP2033"/>
    </row>
    <row r="2034" spans="1:68">
      <c r="A2034" s="33" t="str">
        <f>Database_Productkaarten[[#This Row],[Product]]&amp;", "&amp;Database_Productkaarten[[#This Row],[Levensfase]]</f>
        <v>Betonbuis 1000 mm, C2</v>
      </c>
      <c r="B2034" s="33" t="s">
        <v>731</v>
      </c>
      <c r="C2034" s="33" t="s">
        <v>246</v>
      </c>
      <c r="D2034" s="33" t="s">
        <v>727</v>
      </c>
      <c r="E2034" s="33" t="s">
        <v>389</v>
      </c>
      <c r="F2034" s="33" t="s">
        <v>84</v>
      </c>
      <c r="G2034" s="33">
        <v>1</v>
      </c>
      <c r="J2034" s="33">
        <v>1</v>
      </c>
      <c r="K2034" s="33">
        <v>0.125</v>
      </c>
      <c r="L2034" s="33">
        <v>2.4</v>
      </c>
      <c r="M2034" s="269">
        <f t="shared" si="819"/>
        <v>1.2524</v>
      </c>
      <c r="N2034" s="41">
        <v>1.058E-4</v>
      </c>
      <c r="O2034" s="33">
        <v>100</v>
      </c>
      <c r="R2034" s="33">
        <v>5.0700000000000002E-2</v>
      </c>
      <c r="AV2034" s="108"/>
      <c r="AY2034" s="108"/>
      <c r="BL2034" s="62">
        <v>0</v>
      </c>
      <c r="BM2034" s="275">
        <v>3</v>
      </c>
      <c r="BN2034" s="62">
        <v>0.03</v>
      </c>
      <c r="BO2034" s="33" t="s">
        <v>732</v>
      </c>
      <c r="BP2034"/>
    </row>
    <row r="2035" spans="1:68">
      <c r="A2035" s="33" t="str">
        <f>Database_Productkaarten[[#This Row],[Product]]&amp;", "&amp;Database_Productkaarten[[#This Row],[Levensfase]]</f>
        <v>Betonbuis 1000 mm, C3</v>
      </c>
      <c r="B2035" s="33" t="s">
        <v>731</v>
      </c>
      <c r="C2035" s="33" t="s">
        <v>246</v>
      </c>
      <c r="D2035" s="33" t="s">
        <v>727</v>
      </c>
      <c r="E2035" s="33" t="s">
        <v>389</v>
      </c>
      <c r="F2035" s="33" t="s">
        <v>85</v>
      </c>
      <c r="G2035" s="33">
        <v>1</v>
      </c>
      <c r="J2035" s="33">
        <v>1</v>
      </c>
      <c r="K2035" s="33">
        <v>0.125</v>
      </c>
      <c r="L2035" s="33">
        <v>2.4</v>
      </c>
      <c r="M2035" s="269">
        <f t="shared" si="819"/>
        <v>1.2524</v>
      </c>
      <c r="N2035" s="41">
        <f>0.00004494+0.6663</f>
        <v>0.66634494</v>
      </c>
      <c r="O2035" s="33">
        <v>100</v>
      </c>
      <c r="R2035" s="33">
        <f>0.6315+0.1873</f>
        <v>0.81879999999999997</v>
      </c>
      <c r="AV2035" s="108"/>
      <c r="AY2035" s="108"/>
      <c r="BL2035" s="62">
        <v>0</v>
      </c>
      <c r="BM2035" s="275">
        <v>3</v>
      </c>
      <c r="BN2035" s="62">
        <v>0.03</v>
      </c>
      <c r="BO2035" s="33" t="s">
        <v>732</v>
      </c>
      <c r="BP2035"/>
    </row>
    <row r="2036" spans="1:68">
      <c r="A2036" s="33" t="str">
        <f>Database_Productkaarten[[#This Row],[Product]]&amp;", "&amp;Database_Productkaarten[[#This Row],[Levensfase]]</f>
        <v>Betonbuis 1000 mm, C4</v>
      </c>
      <c r="B2036" s="33" t="s">
        <v>731</v>
      </c>
      <c r="C2036" s="33" t="s">
        <v>246</v>
      </c>
      <c r="D2036" s="33" t="s">
        <v>727</v>
      </c>
      <c r="E2036" s="33" t="s">
        <v>389</v>
      </c>
      <c r="F2036" s="33" t="s">
        <v>86</v>
      </c>
      <c r="G2036" s="33">
        <v>1</v>
      </c>
      <c r="J2036" s="33">
        <v>1</v>
      </c>
      <c r="K2036" s="33">
        <v>0.125</v>
      </c>
      <c r="L2036" s="33">
        <v>2.4</v>
      </c>
      <c r="M2036" s="269">
        <f t="shared" si="819"/>
        <v>1.2524</v>
      </c>
      <c r="N2036" s="41">
        <v>1.7399999999999999E-2</v>
      </c>
      <c r="O2036" s="33">
        <v>100</v>
      </c>
      <c r="R2036" s="33">
        <v>0.1236</v>
      </c>
      <c r="AV2036" s="108"/>
      <c r="AY2036" s="108"/>
      <c r="BL2036" s="62">
        <v>0</v>
      </c>
      <c r="BM2036" s="275">
        <v>3</v>
      </c>
      <c r="BN2036" s="62">
        <v>0.03</v>
      </c>
      <c r="BO2036" s="33" t="s">
        <v>732</v>
      </c>
      <c r="BP2036"/>
    </row>
    <row r="2037" spans="1:68">
      <c r="A2037" s="33" t="str">
        <f>Database_Productkaarten[[#This Row],[Product]]&amp;", "&amp;Database_Productkaarten[[#This Row],[Levensfase]]</f>
        <v>Betonbuis 1000 mm, D</v>
      </c>
      <c r="B2037" s="33" t="str">
        <f>B2038</f>
        <v>Betonbuis 1000 mm</v>
      </c>
      <c r="C2037" s="33" t="str">
        <f>C2038</f>
        <v>Waterafvoer</v>
      </c>
      <c r="D2037" s="33" t="str">
        <f>D2038</f>
        <v>Betonnen riolering</v>
      </c>
      <c r="E2037" s="33" t="str">
        <f>E2038</f>
        <v>m1</v>
      </c>
      <c r="F2037" s="33" t="s">
        <v>89</v>
      </c>
      <c r="G2037" s="33">
        <f t="shared" ref="G2037:M2037" si="822">G2038</f>
        <v>1</v>
      </c>
      <c r="J2037" s="33">
        <f t="shared" si="822"/>
        <v>1</v>
      </c>
      <c r="K2037" s="33">
        <f t="shared" si="822"/>
        <v>0.125</v>
      </c>
      <c r="L2037" s="33">
        <f t="shared" si="822"/>
        <v>2.4</v>
      </c>
      <c r="M2037" s="45">
        <f t="shared" si="822"/>
        <v>1.2524</v>
      </c>
      <c r="N2037" s="41">
        <f>SUM(N2038:N2039)</f>
        <v>-2.2000000000000002</v>
      </c>
      <c r="O2037" s="33">
        <f>O2038</f>
        <v>100</v>
      </c>
      <c r="P2037" s="40">
        <f>SUM(P2038:P2039)</f>
        <v>0</v>
      </c>
      <c r="Q2037" s="40">
        <f>SUM(Q2038:Q2039)</f>
        <v>0</v>
      </c>
      <c r="R2037" s="40">
        <f>SUM(R2038:R2039)</f>
        <v>-17.289000000000001</v>
      </c>
      <c r="S2037" s="40">
        <f t="shared" ref="S2037:BK2037" si="823">SUM(S2038:S2039)</f>
        <v>0</v>
      </c>
      <c r="T2037" s="40">
        <f t="shared" si="823"/>
        <v>0</v>
      </c>
      <c r="U2037" s="40">
        <f t="shared" si="823"/>
        <v>0</v>
      </c>
      <c r="V2037" s="40">
        <f t="shared" si="823"/>
        <v>0</v>
      </c>
      <c r="W2037" s="40">
        <f t="shared" si="823"/>
        <v>0</v>
      </c>
      <c r="X2037" s="40">
        <f t="shared" si="823"/>
        <v>0</v>
      </c>
      <c r="Y2037" s="40">
        <f t="shared" si="823"/>
        <v>0</v>
      </c>
      <c r="Z2037" s="40">
        <f t="shared" si="823"/>
        <v>0</v>
      </c>
      <c r="AA2037" s="40">
        <f t="shared" si="823"/>
        <v>0</v>
      </c>
      <c r="AB2037" s="40">
        <f t="shared" si="823"/>
        <v>0</v>
      </c>
      <c r="AC2037" s="40">
        <f t="shared" si="823"/>
        <v>0</v>
      </c>
      <c r="AD2037" s="40">
        <f t="shared" si="823"/>
        <v>0</v>
      </c>
      <c r="AE2037" s="40">
        <f t="shared" si="823"/>
        <v>0</v>
      </c>
      <c r="AF2037" s="40">
        <f t="shared" si="823"/>
        <v>0</v>
      </c>
      <c r="AG2037" s="40">
        <f t="shared" si="823"/>
        <v>0</v>
      </c>
      <c r="AH2037" s="40">
        <f t="shared" si="823"/>
        <v>0</v>
      </c>
      <c r="AI2037" s="40">
        <f t="shared" si="823"/>
        <v>0</v>
      </c>
      <c r="AJ2037" s="40">
        <f t="shared" si="823"/>
        <v>0</v>
      </c>
      <c r="AK2037" s="40">
        <f t="shared" si="823"/>
        <v>0</v>
      </c>
      <c r="AL2037" s="40">
        <f t="shared" si="823"/>
        <v>0</v>
      </c>
      <c r="AM2037" s="40">
        <f t="shared" si="823"/>
        <v>0</v>
      </c>
      <c r="AN2037" s="40">
        <f t="shared" si="823"/>
        <v>0</v>
      </c>
      <c r="AO2037" s="40">
        <f t="shared" si="823"/>
        <v>0</v>
      </c>
      <c r="AP2037" s="40">
        <f t="shared" si="823"/>
        <v>0</v>
      </c>
      <c r="AQ2037" s="40">
        <f t="shared" si="823"/>
        <v>0</v>
      </c>
      <c r="AR2037" s="40">
        <f t="shared" si="823"/>
        <v>0</v>
      </c>
      <c r="AS2037" s="40">
        <f t="shared" si="823"/>
        <v>0</v>
      </c>
      <c r="AT2037" s="40">
        <f t="shared" si="823"/>
        <v>0</v>
      </c>
      <c r="AU2037" s="40">
        <f t="shared" si="823"/>
        <v>0</v>
      </c>
      <c r="AV2037" s="40">
        <f t="shared" si="823"/>
        <v>0</v>
      </c>
      <c r="AW2037" s="40">
        <f t="shared" si="823"/>
        <v>0</v>
      </c>
      <c r="AX2037" s="40">
        <f t="shared" si="823"/>
        <v>0</v>
      </c>
      <c r="AY2037" s="40">
        <f t="shared" si="823"/>
        <v>0</v>
      </c>
      <c r="AZ2037" s="40">
        <f t="shared" si="823"/>
        <v>0</v>
      </c>
      <c r="BA2037" s="40">
        <f t="shared" si="823"/>
        <v>0</v>
      </c>
      <c r="BB2037" s="40">
        <f t="shared" si="823"/>
        <v>0</v>
      </c>
      <c r="BC2037" s="40">
        <f t="shared" si="823"/>
        <v>0</v>
      </c>
      <c r="BD2037" s="40">
        <f t="shared" si="823"/>
        <v>0</v>
      </c>
      <c r="BE2037" s="40">
        <f t="shared" si="823"/>
        <v>0</v>
      </c>
      <c r="BF2037" s="40">
        <f t="shared" si="823"/>
        <v>0</v>
      </c>
      <c r="BG2037" s="40">
        <f t="shared" si="823"/>
        <v>0</v>
      </c>
      <c r="BH2037" s="40">
        <f t="shared" si="823"/>
        <v>0</v>
      </c>
      <c r="BI2037" s="40">
        <f t="shared" si="823"/>
        <v>0</v>
      </c>
      <c r="BJ2037" s="40">
        <f t="shared" si="823"/>
        <v>0</v>
      </c>
      <c r="BK2037" s="40">
        <f t="shared" si="823"/>
        <v>0</v>
      </c>
      <c r="BL2037" s="62">
        <f>BL2038</f>
        <v>0</v>
      </c>
      <c r="BM2037" s="275">
        <f>BM2038</f>
        <v>3</v>
      </c>
      <c r="BN2037" s="62">
        <v>0.03</v>
      </c>
      <c r="BO2037" s="33" t="str">
        <f>BO2038</f>
        <v>NMD Betonbuis ongewapend</v>
      </c>
      <c r="BP2037"/>
    </row>
    <row r="2038" spans="1:68">
      <c r="A2038" s="33" t="str">
        <f>Database_Productkaarten[[#This Row],[Product]]&amp;", "&amp;Database_Productkaarten[[#This Row],[Levensfase]]</f>
        <v>Betonbuis 1000 mm, D1</v>
      </c>
      <c r="B2038" s="33" t="s">
        <v>731</v>
      </c>
      <c r="C2038" s="33" t="s">
        <v>246</v>
      </c>
      <c r="D2038" s="33" t="s">
        <v>727</v>
      </c>
      <c r="E2038" s="33" t="s">
        <v>389</v>
      </c>
      <c r="F2038" s="33" t="s">
        <v>87</v>
      </c>
      <c r="G2038" s="33">
        <v>1</v>
      </c>
      <c r="J2038" s="33">
        <v>1</v>
      </c>
      <c r="K2038" s="33">
        <v>0.125</v>
      </c>
      <c r="L2038" s="33">
        <v>2.4</v>
      </c>
      <c r="M2038" s="269">
        <f t="shared" si="819"/>
        <v>1.2524</v>
      </c>
      <c r="N2038" s="41">
        <v>-2.2000000000000002</v>
      </c>
      <c r="O2038" s="33">
        <v>100</v>
      </c>
      <c r="R2038" s="33">
        <v>-17.289000000000001</v>
      </c>
      <c r="AV2038" s="108"/>
      <c r="AY2038" s="108"/>
      <c r="BL2038" s="62">
        <v>0</v>
      </c>
      <c r="BM2038" s="275">
        <v>3</v>
      </c>
      <c r="BN2038" s="62">
        <v>0.03</v>
      </c>
      <c r="BO2038" s="33" t="s">
        <v>732</v>
      </c>
      <c r="BP2038"/>
    </row>
    <row r="2039" spans="1:68">
      <c r="A2039" s="33" t="str">
        <f>Database_Productkaarten[[#This Row],[Product]]&amp;", "&amp;Database_Productkaarten[[#This Row],[Levensfase]]</f>
        <v>Betonbuis 1000 mm, D2</v>
      </c>
      <c r="B2039" s="33" t="s">
        <v>731</v>
      </c>
      <c r="C2039" s="33" t="s">
        <v>246</v>
      </c>
      <c r="D2039" s="33" t="s">
        <v>727</v>
      </c>
      <c r="E2039" s="33" t="s">
        <v>389</v>
      </c>
      <c r="F2039" s="33" t="s">
        <v>88</v>
      </c>
      <c r="G2039" s="33">
        <v>1</v>
      </c>
      <c r="J2039" s="33">
        <v>1</v>
      </c>
      <c r="K2039" s="33">
        <v>0.125</v>
      </c>
      <c r="L2039" s="33">
        <v>2.4</v>
      </c>
      <c r="M2039" s="269">
        <f t="shared" si="819"/>
        <v>1.2524</v>
      </c>
      <c r="N2039" s="41"/>
      <c r="O2039" s="33">
        <v>100</v>
      </c>
      <c r="AV2039" s="108"/>
      <c r="AY2039" s="108"/>
      <c r="BL2039" s="62">
        <v>0</v>
      </c>
      <c r="BM2039" s="275">
        <v>3</v>
      </c>
      <c r="BN2039" s="62">
        <v>0.03</v>
      </c>
      <c r="BO2039" s="33" t="s">
        <v>732</v>
      </c>
      <c r="BP2039"/>
    </row>
    <row r="2040" spans="1:68">
      <c r="A2040" s="33" t="str">
        <f>Database_Productkaarten[[#This Row],[Product]]&amp;", "&amp;Database_Productkaarten[[#This Row],[Levensfase]]</f>
        <v>PVC 200 mm, Totaal</v>
      </c>
      <c r="B2040" s="33" t="s">
        <v>733</v>
      </c>
      <c r="C2040" s="33" t="s">
        <v>246</v>
      </c>
      <c r="D2040" s="33" t="s">
        <v>734</v>
      </c>
      <c r="E2040" s="33" t="s">
        <v>389</v>
      </c>
      <c r="F2040" s="33" t="s">
        <v>90</v>
      </c>
      <c r="G2040" s="33">
        <v>1</v>
      </c>
      <c r="J2040" s="33">
        <v>0.2</v>
      </c>
      <c r="L2040" s="33">
        <v>1.3</v>
      </c>
      <c r="M2040" s="269"/>
      <c r="N2040" s="41"/>
      <c r="O2040" s="33">
        <v>50</v>
      </c>
      <c r="AV2040" s="108"/>
      <c r="AY2040" s="108"/>
      <c r="BL2040" s="62">
        <v>0</v>
      </c>
      <c r="BM2040" s="275">
        <v>3</v>
      </c>
      <c r="BN2040" s="62">
        <v>0.03</v>
      </c>
      <c r="BO2040" s="33" t="s">
        <v>735</v>
      </c>
    </row>
    <row r="2041" spans="1:68">
      <c r="A2041" s="33" t="str">
        <f>Database_Productkaarten[[#This Row],[Product]]&amp;", "&amp;Database_Productkaarten[[#This Row],[Levensfase]]</f>
        <v>PVC 200 mm, A1</v>
      </c>
      <c r="B2041" s="33" t="s">
        <v>733</v>
      </c>
      <c r="C2041" s="33" t="s">
        <v>246</v>
      </c>
      <c r="D2041" s="33" t="s">
        <v>734</v>
      </c>
      <c r="E2041" s="33" t="s">
        <v>389</v>
      </c>
      <c r="F2041" s="33" t="s">
        <v>74</v>
      </c>
      <c r="G2041" s="33">
        <v>1</v>
      </c>
      <c r="J2041" s="33">
        <v>0.2</v>
      </c>
      <c r="L2041" s="33">
        <v>1.3</v>
      </c>
      <c r="M2041" s="269"/>
      <c r="N2041" s="41">
        <v>0.97689999999999999</v>
      </c>
      <c r="O2041" s="33">
        <v>50</v>
      </c>
      <c r="R2041" s="33">
        <v>13.2049</v>
      </c>
      <c r="AV2041" s="108"/>
      <c r="AY2041" s="108"/>
      <c r="BL2041" s="62">
        <v>0</v>
      </c>
      <c r="BM2041" s="275">
        <v>3</v>
      </c>
      <c r="BN2041" s="62">
        <v>0.03</v>
      </c>
      <c r="BO2041" s="33" t="s">
        <v>735</v>
      </c>
    </row>
    <row r="2042" spans="1:68">
      <c r="A2042" s="33" t="str">
        <f>Database_Productkaarten[[#This Row],[Product]]&amp;", "&amp;Database_Productkaarten[[#This Row],[Levensfase]]</f>
        <v>PVC 200 mm, A2</v>
      </c>
      <c r="B2042" s="33" t="s">
        <v>733</v>
      </c>
      <c r="C2042" s="33" t="s">
        <v>246</v>
      </c>
      <c r="D2042" s="33" t="s">
        <v>734</v>
      </c>
      <c r="E2042" s="33" t="s">
        <v>389</v>
      </c>
      <c r="F2042" s="33" t="s">
        <v>75</v>
      </c>
      <c r="G2042" s="33">
        <v>1</v>
      </c>
      <c r="J2042" s="33">
        <v>0.2</v>
      </c>
      <c r="L2042" s="33">
        <v>1.3</v>
      </c>
      <c r="M2042" s="269"/>
      <c r="N2042" s="41"/>
      <c r="O2042" s="33">
        <v>50</v>
      </c>
      <c r="AV2042" s="108"/>
      <c r="AY2042" s="108"/>
      <c r="BL2042" s="62">
        <v>0</v>
      </c>
      <c r="BM2042" s="275">
        <v>3</v>
      </c>
      <c r="BN2042" s="62">
        <v>0.03</v>
      </c>
      <c r="BO2042" s="33" t="s">
        <v>735</v>
      </c>
    </row>
    <row r="2043" spans="1:68">
      <c r="A2043" s="33" t="str">
        <f>Database_Productkaarten[[#This Row],[Product]]&amp;", "&amp;Database_Productkaarten[[#This Row],[Levensfase]]</f>
        <v>PVC 200 mm, A3</v>
      </c>
      <c r="B2043" s="33" t="s">
        <v>733</v>
      </c>
      <c r="C2043" s="33" t="s">
        <v>246</v>
      </c>
      <c r="D2043" s="33" t="s">
        <v>734</v>
      </c>
      <c r="E2043" s="33" t="s">
        <v>389</v>
      </c>
      <c r="F2043" s="33" t="s">
        <v>76</v>
      </c>
      <c r="G2043" s="33">
        <v>1</v>
      </c>
      <c r="J2043" s="33">
        <v>0.2</v>
      </c>
      <c r="L2043" s="33">
        <v>1.3</v>
      </c>
      <c r="M2043" s="269"/>
      <c r="N2043" s="41"/>
      <c r="O2043" s="33">
        <v>50</v>
      </c>
      <c r="AV2043" s="108"/>
      <c r="AY2043" s="108"/>
      <c r="BL2043" s="62">
        <v>0</v>
      </c>
      <c r="BM2043" s="275">
        <v>3</v>
      </c>
      <c r="BN2043" s="62">
        <v>0.03</v>
      </c>
      <c r="BO2043" s="33" t="s">
        <v>735</v>
      </c>
    </row>
    <row r="2044" spans="1:68">
      <c r="A2044" s="451" t="str">
        <f>Database_Productkaarten[[#This Row],[Product]]&amp;", "&amp;Database_Productkaarten[[#This Row],[Levensfase]]</f>
        <v>PVC 200 mm, A1-A3</v>
      </c>
      <c r="B2044" s="451" t="str">
        <f>B2043</f>
        <v>PVC 200 mm</v>
      </c>
      <c r="C2044" s="451" t="str">
        <f>C2043</f>
        <v>Waterafvoer</v>
      </c>
      <c r="D2044" s="451" t="str">
        <f>D2043</f>
        <v>PVC riolering</v>
      </c>
      <c r="E2044" s="451" t="str">
        <f>E2043</f>
        <v>m1</v>
      </c>
      <c r="F2044" s="451" t="s">
        <v>77</v>
      </c>
      <c r="G2044" s="451">
        <f t="shared" ref="G2044:M2044" si="824">G2043</f>
        <v>1</v>
      </c>
      <c r="H2044" s="451"/>
      <c r="I2044" s="451"/>
      <c r="J2044" s="451">
        <f t="shared" si="824"/>
        <v>0.2</v>
      </c>
      <c r="K2044" s="451"/>
      <c r="L2044" s="451">
        <f t="shared" si="824"/>
        <v>1.3</v>
      </c>
      <c r="M2044" s="454">
        <f t="shared" si="824"/>
        <v>0</v>
      </c>
      <c r="N2044" s="452">
        <f>SUM(N2041:N2043)</f>
        <v>0.97689999999999999</v>
      </c>
      <c r="O2044" s="33">
        <v>50</v>
      </c>
      <c r="P2044" s="453">
        <f t="shared" ref="P2044:BK2044" si="825">SUM(P2041:P2043)</f>
        <v>0</v>
      </c>
      <c r="Q2044" s="453">
        <f t="shared" si="825"/>
        <v>0</v>
      </c>
      <c r="R2044" s="453">
        <f t="shared" si="825"/>
        <v>13.2049</v>
      </c>
      <c r="S2044" s="453">
        <f t="shared" si="825"/>
        <v>0</v>
      </c>
      <c r="T2044" s="453">
        <f t="shared" si="825"/>
        <v>0</v>
      </c>
      <c r="U2044" s="453">
        <f t="shared" si="825"/>
        <v>0</v>
      </c>
      <c r="V2044" s="453">
        <f t="shared" si="825"/>
        <v>0</v>
      </c>
      <c r="W2044" s="453">
        <f t="shared" si="825"/>
        <v>0</v>
      </c>
      <c r="X2044" s="453">
        <f t="shared" si="825"/>
        <v>0</v>
      </c>
      <c r="Y2044" s="453">
        <f t="shared" si="825"/>
        <v>0</v>
      </c>
      <c r="Z2044" s="453">
        <f t="shared" si="825"/>
        <v>0</v>
      </c>
      <c r="AA2044" s="453">
        <f t="shared" si="825"/>
        <v>0</v>
      </c>
      <c r="AB2044" s="453">
        <f t="shared" si="825"/>
        <v>0</v>
      </c>
      <c r="AC2044" s="453">
        <f t="shared" si="825"/>
        <v>0</v>
      </c>
      <c r="AD2044" s="453">
        <f t="shared" si="825"/>
        <v>0</v>
      </c>
      <c r="AE2044" s="453">
        <f t="shared" si="825"/>
        <v>0</v>
      </c>
      <c r="AF2044" s="453">
        <f t="shared" si="825"/>
        <v>0</v>
      </c>
      <c r="AG2044" s="453">
        <f t="shared" si="825"/>
        <v>0</v>
      </c>
      <c r="AH2044" s="453">
        <f t="shared" si="825"/>
        <v>0</v>
      </c>
      <c r="AI2044" s="453">
        <f t="shared" si="825"/>
        <v>0</v>
      </c>
      <c r="AJ2044" s="453">
        <f t="shared" si="825"/>
        <v>0</v>
      </c>
      <c r="AK2044" s="453">
        <f t="shared" si="825"/>
        <v>0</v>
      </c>
      <c r="AL2044" s="453">
        <f t="shared" si="825"/>
        <v>0</v>
      </c>
      <c r="AM2044" s="453">
        <f t="shared" si="825"/>
        <v>0</v>
      </c>
      <c r="AN2044" s="453">
        <f t="shared" si="825"/>
        <v>0</v>
      </c>
      <c r="AO2044" s="453">
        <f t="shared" si="825"/>
        <v>0</v>
      </c>
      <c r="AP2044" s="453">
        <f t="shared" si="825"/>
        <v>0</v>
      </c>
      <c r="AQ2044" s="453">
        <f t="shared" si="825"/>
        <v>0</v>
      </c>
      <c r="AR2044" s="453">
        <f t="shared" si="825"/>
        <v>0</v>
      </c>
      <c r="AS2044" s="453">
        <f t="shared" si="825"/>
        <v>0</v>
      </c>
      <c r="AT2044" s="453">
        <f t="shared" si="825"/>
        <v>0</v>
      </c>
      <c r="AU2044" s="453">
        <f t="shared" si="825"/>
        <v>0</v>
      </c>
      <c r="AV2044" s="453">
        <f t="shared" si="825"/>
        <v>0</v>
      </c>
      <c r="AW2044" s="453">
        <f t="shared" si="825"/>
        <v>0</v>
      </c>
      <c r="AX2044" s="453">
        <f t="shared" si="825"/>
        <v>0</v>
      </c>
      <c r="AY2044" s="453">
        <f t="shared" si="825"/>
        <v>0</v>
      </c>
      <c r="AZ2044" s="453">
        <f t="shared" si="825"/>
        <v>0</v>
      </c>
      <c r="BA2044" s="453">
        <f t="shared" si="825"/>
        <v>0</v>
      </c>
      <c r="BB2044" s="453">
        <f t="shared" si="825"/>
        <v>0</v>
      </c>
      <c r="BC2044" s="453">
        <f t="shared" si="825"/>
        <v>0</v>
      </c>
      <c r="BD2044" s="453">
        <f t="shared" si="825"/>
        <v>0</v>
      </c>
      <c r="BE2044" s="453">
        <f t="shared" si="825"/>
        <v>0</v>
      </c>
      <c r="BF2044" s="453">
        <f t="shared" si="825"/>
        <v>0</v>
      </c>
      <c r="BG2044" s="453">
        <f t="shared" si="825"/>
        <v>0</v>
      </c>
      <c r="BH2044" s="453">
        <f t="shared" si="825"/>
        <v>0</v>
      </c>
      <c r="BI2044" s="453">
        <f t="shared" si="825"/>
        <v>0</v>
      </c>
      <c r="BJ2044" s="453">
        <f t="shared" si="825"/>
        <v>0</v>
      </c>
      <c r="BK2044" s="453">
        <f t="shared" si="825"/>
        <v>0</v>
      </c>
      <c r="BL2044" s="62">
        <f>BL2043</f>
        <v>0</v>
      </c>
      <c r="BM2044" s="275">
        <f>BM2043</f>
        <v>3</v>
      </c>
      <c r="BN2044" s="62">
        <v>0.03</v>
      </c>
      <c r="BO2044" s="451" t="str">
        <f>BO2043</f>
        <v>NMD PVC rioleringsbuis, groot</v>
      </c>
      <c r="BP2044" s="451"/>
    </row>
    <row r="2045" spans="1:68">
      <c r="A2045" s="33" t="str">
        <f>Database_Productkaarten[[#This Row],[Product]]&amp;", "&amp;Database_Productkaarten[[#This Row],[Levensfase]]</f>
        <v>PVC 200 mm, A4</v>
      </c>
      <c r="B2045" s="33" t="s">
        <v>733</v>
      </c>
      <c r="C2045" s="33" t="s">
        <v>246</v>
      </c>
      <c r="D2045" s="33" t="s">
        <v>734</v>
      </c>
      <c r="E2045" s="33" t="s">
        <v>389</v>
      </c>
      <c r="F2045" s="33" t="s">
        <v>78</v>
      </c>
      <c r="G2045" s="33">
        <v>1</v>
      </c>
      <c r="J2045" s="33">
        <v>0.2</v>
      </c>
      <c r="L2045" s="33">
        <v>1.3</v>
      </c>
      <c r="M2045" s="269"/>
      <c r="N2045" s="41">
        <v>7.7000000000000002E-3</v>
      </c>
      <c r="O2045" s="33">
        <v>50</v>
      </c>
      <c r="R2045" s="33">
        <v>6.8099999999999994E-2</v>
      </c>
      <c r="AV2045" s="108"/>
      <c r="AY2045" s="108"/>
      <c r="BL2045" s="62">
        <v>0</v>
      </c>
      <c r="BM2045" s="275">
        <v>3</v>
      </c>
      <c r="BN2045" s="62">
        <v>0.03</v>
      </c>
      <c r="BO2045" s="33" t="s">
        <v>735</v>
      </c>
    </row>
    <row r="2046" spans="1:68">
      <c r="A2046" s="33" t="str">
        <f>Database_Productkaarten[[#This Row],[Product]]&amp;", "&amp;Database_Productkaarten[[#This Row],[Levensfase]]</f>
        <v>PVC 200 mm, A5</v>
      </c>
      <c r="B2046" s="33" t="s">
        <v>733</v>
      </c>
      <c r="C2046" s="33" t="s">
        <v>246</v>
      </c>
      <c r="D2046" s="33" t="s">
        <v>734</v>
      </c>
      <c r="E2046" s="33" t="s">
        <v>389</v>
      </c>
      <c r="F2046" s="33" t="s">
        <v>79</v>
      </c>
      <c r="G2046" s="33">
        <v>1</v>
      </c>
      <c r="J2046" s="33">
        <v>0.2</v>
      </c>
      <c r="L2046" s="33">
        <v>1.3</v>
      </c>
      <c r="M2046" s="269"/>
      <c r="N2046" s="41">
        <f>0.0395+(3.7299*0.0667)</f>
        <v>0.28828432999999998</v>
      </c>
      <c r="O2046" s="33">
        <v>50</v>
      </c>
      <c r="R2046" s="33">
        <f>0.5164+(133.6384*0.0667)</f>
        <v>9.4300812799999996</v>
      </c>
      <c r="AV2046" s="108"/>
      <c r="AY2046" s="108"/>
      <c r="BL2046" s="62">
        <v>0</v>
      </c>
      <c r="BM2046" s="275">
        <v>3</v>
      </c>
      <c r="BN2046" s="62">
        <v>0.03</v>
      </c>
      <c r="BO2046" s="33" t="s">
        <v>735</v>
      </c>
    </row>
    <row r="2047" spans="1:68">
      <c r="A2047" s="33" t="str">
        <f>Database_Productkaarten[[#This Row],[Product]]&amp;", "&amp;Database_Productkaarten[[#This Row],[Levensfase]]</f>
        <v>PVC 200 mm, B1</v>
      </c>
      <c r="B2047" s="33" t="s">
        <v>733</v>
      </c>
      <c r="C2047" s="33" t="s">
        <v>246</v>
      </c>
      <c r="D2047" s="33" t="s">
        <v>734</v>
      </c>
      <c r="E2047" s="33" t="s">
        <v>389</v>
      </c>
      <c r="F2047" s="33" t="s">
        <v>80</v>
      </c>
      <c r="G2047" s="33">
        <v>1</v>
      </c>
      <c r="J2047" s="33">
        <v>0.2</v>
      </c>
      <c r="L2047" s="33">
        <v>1.3</v>
      </c>
      <c r="M2047" s="269"/>
      <c r="N2047" s="41"/>
      <c r="O2047" s="33">
        <v>50</v>
      </c>
      <c r="AV2047" s="108"/>
      <c r="AY2047" s="108"/>
      <c r="BL2047" s="62">
        <v>0</v>
      </c>
      <c r="BM2047" s="275">
        <v>3</v>
      </c>
      <c r="BN2047" s="62">
        <v>0.03</v>
      </c>
      <c r="BO2047" s="33" t="s">
        <v>735</v>
      </c>
    </row>
    <row r="2048" spans="1:68">
      <c r="A2048" s="33" t="str">
        <f>Database_Productkaarten[[#This Row],[Product]]&amp;", "&amp;Database_Productkaarten[[#This Row],[Levensfase]]</f>
        <v>PVC 200 mm, C1</v>
      </c>
      <c r="B2048" s="33" t="s">
        <v>733</v>
      </c>
      <c r="C2048" s="33" t="s">
        <v>246</v>
      </c>
      <c r="D2048" s="33" t="s">
        <v>734</v>
      </c>
      <c r="E2048" s="33" t="s">
        <v>389</v>
      </c>
      <c r="F2048" s="33" t="s">
        <v>83</v>
      </c>
      <c r="G2048" s="33">
        <v>1</v>
      </c>
      <c r="J2048" s="33">
        <v>0.2</v>
      </c>
      <c r="L2048" s="33">
        <v>1.3</v>
      </c>
      <c r="M2048" s="269"/>
      <c r="N2048" s="41">
        <f>3.7288*0.002</f>
        <v>7.4576E-3</v>
      </c>
      <c r="O2048" s="33">
        <v>50</v>
      </c>
      <c r="R2048" s="33">
        <f>113.6384*0.002</f>
        <v>0.2272768</v>
      </c>
      <c r="AV2048" s="108"/>
      <c r="AY2048" s="108"/>
      <c r="BL2048" s="62">
        <v>0</v>
      </c>
      <c r="BM2048" s="275">
        <v>3</v>
      </c>
      <c r="BN2048" s="62">
        <v>0.03</v>
      </c>
      <c r="BO2048" s="33" t="s">
        <v>735</v>
      </c>
    </row>
    <row r="2049" spans="1:68">
      <c r="A2049" s="33" t="str">
        <f>Database_Productkaarten[[#This Row],[Product]]&amp;", "&amp;Database_Productkaarten[[#This Row],[Levensfase]]</f>
        <v>PVC 200 mm, C2</v>
      </c>
      <c r="B2049" s="33" t="s">
        <v>733</v>
      </c>
      <c r="C2049" s="33" t="s">
        <v>246</v>
      </c>
      <c r="D2049" s="33" t="s">
        <v>734</v>
      </c>
      <c r="E2049" s="33" t="s">
        <v>389</v>
      </c>
      <c r="F2049" s="33" t="s">
        <v>84</v>
      </c>
      <c r="G2049" s="33">
        <v>1</v>
      </c>
      <c r="J2049" s="33">
        <v>0.2</v>
      </c>
      <c r="L2049" s="33">
        <v>1.3</v>
      </c>
      <c r="M2049" s="269"/>
      <c r="N2049" s="41">
        <v>3.2000000000000002E-3</v>
      </c>
      <c r="O2049" s="33">
        <v>50</v>
      </c>
      <c r="R2049" s="33">
        <v>3.4000000000000002E-2</v>
      </c>
      <c r="AV2049" s="108"/>
      <c r="AY2049" s="108"/>
      <c r="BL2049" s="62">
        <v>0</v>
      </c>
      <c r="BM2049" s="275">
        <v>3</v>
      </c>
      <c r="BN2049" s="62">
        <v>0.03</v>
      </c>
      <c r="BO2049" s="33" t="s">
        <v>735</v>
      </c>
    </row>
    <row r="2050" spans="1:68">
      <c r="A2050" s="33" t="str">
        <f>Database_Productkaarten[[#This Row],[Product]]&amp;", "&amp;Database_Productkaarten[[#This Row],[Levensfase]]</f>
        <v>PVC 200 mm, C3</v>
      </c>
      <c r="B2050" s="33" t="s">
        <v>733</v>
      </c>
      <c r="C2050" s="33" t="s">
        <v>246</v>
      </c>
      <c r="D2050" s="33" t="s">
        <v>734</v>
      </c>
      <c r="E2050" s="33" t="s">
        <v>389</v>
      </c>
      <c r="F2050" s="33" t="s">
        <v>85</v>
      </c>
      <c r="G2050" s="33">
        <v>1</v>
      </c>
      <c r="J2050" s="33">
        <v>0.2</v>
      </c>
      <c r="L2050" s="33">
        <v>1.3</v>
      </c>
      <c r="M2050" s="269"/>
      <c r="N2050" s="41">
        <v>0.32890000000000003</v>
      </c>
      <c r="O2050" s="33">
        <v>50</v>
      </c>
      <c r="R2050" s="33">
        <v>3.8671000000000002</v>
      </c>
      <c r="AV2050" s="108"/>
      <c r="AY2050" s="108"/>
      <c r="BL2050" s="62">
        <v>0</v>
      </c>
      <c r="BM2050" s="275">
        <v>3</v>
      </c>
      <c r="BN2050" s="62">
        <v>0.03</v>
      </c>
      <c r="BO2050" s="33" t="s">
        <v>735</v>
      </c>
    </row>
    <row r="2051" spans="1:68">
      <c r="A2051" s="33" t="str">
        <f>Database_Productkaarten[[#This Row],[Product]]&amp;", "&amp;Database_Productkaarten[[#This Row],[Levensfase]]</f>
        <v>PVC 200 mm, C4</v>
      </c>
      <c r="B2051" s="33" t="s">
        <v>733</v>
      </c>
      <c r="C2051" s="33" t="s">
        <v>246</v>
      </c>
      <c r="D2051" s="33" t="s">
        <v>734</v>
      </c>
      <c r="E2051" s="33" t="s">
        <v>389</v>
      </c>
      <c r="F2051" s="33" t="s">
        <v>86</v>
      </c>
      <c r="G2051" s="33">
        <v>1</v>
      </c>
      <c r="J2051" s="33">
        <v>0.2</v>
      </c>
      <c r="L2051" s="33">
        <v>1.3</v>
      </c>
      <c r="M2051" s="269"/>
      <c r="N2051" s="41">
        <v>2.3E-3</v>
      </c>
      <c r="O2051" s="33">
        <v>50</v>
      </c>
      <c r="R2051" s="33">
        <v>3.9100000000000003E-2</v>
      </c>
      <c r="AV2051" s="108"/>
      <c r="AY2051" s="108"/>
      <c r="BL2051" s="62">
        <v>0</v>
      </c>
      <c r="BM2051" s="275">
        <v>3</v>
      </c>
      <c r="BN2051" s="62">
        <v>0.03</v>
      </c>
      <c r="BO2051" s="33" t="s">
        <v>735</v>
      </c>
    </row>
    <row r="2052" spans="1:68">
      <c r="A2052" s="33" t="str">
        <f>Database_Productkaarten[[#This Row],[Product]]&amp;", "&amp;Database_Productkaarten[[#This Row],[Levensfase]]</f>
        <v>PVC 200 mm, D</v>
      </c>
      <c r="B2052" s="33" t="str">
        <f>B2053</f>
        <v>PVC 200 mm</v>
      </c>
      <c r="C2052" s="33" t="str">
        <f>C2053</f>
        <v>Waterafvoer</v>
      </c>
      <c r="D2052" s="33" t="str">
        <f>D2053</f>
        <v>PVC riolering</v>
      </c>
      <c r="E2052" s="33" t="str">
        <f>E2053</f>
        <v>m1</v>
      </c>
      <c r="F2052" s="33" t="s">
        <v>89</v>
      </c>
      <c r="G2052" s="33">
        <f t="shared" ref="G2052:M2052" si="826">G2053</f>
        <v>1</v>
      </c>
      <c r="J2052" s="33">
        <f t="shared" si="826"/>
        <v>0.2</v>
      </c>
      <c r="L2052" s="33">
        <f t="shared" si="826"/>
        <v>1.3</v>
      </c>
      <c r="M2052" s="45">
        <f t="shared" si="826"/>
        <v>0</v>
      </c>
      <c r="N2052" s="41">
        <f>SUM(N2053:N2054)</f>
        <v>-0.36030000000000001</v>
      </c>
      <c r="O2052" s="33">
        <v>50</v>
      </c>
      <c r="P2052" s="40">
        <f>SUM(P2053:P2054)</f>
        <v>0</v>
      </c>
      <c r="Q2052" s="40">
        <f>SUM(Q2053:Q2054)</f>
        <v>0</v>
      </c>
      <c r="R2052" s="40">
        <f>SUM(R2053:R2054)</f>
        <v>-5.8041</v>
      </c>
      <c r="S2052" s="40">
        <f t="shared" ref="S2052:BK2052" si="827">SUM(S2053:S2054)</f>
        <v>0</v>
      </c>
      <c r="T2052" s="40">
        <f t="shared" si="827"/>
        <v>0</v>
      </c>
      <c r="U2052" s="40">
        <f t="shared" si="827"/>
        <v>0</v>
      </c>
      <c r="V2052" s="40">
        <f t="shared" si="827"/>
        <v>0</v>
      </c>
      <c r="W2052" s="40">
        <f t="shared" si="827"/>
        <v>0</v>
      </c>
      <c r="X2052" s="40">
        <f t="shared" si="827"/>
        <v>0</v>
      </c>
      <c r="Y2052" s="40">
        <f t="shared" si="827"/>
        <v>0</v>
      </c>
      <c r="Z2052" s="40">
        <f t="shared" si="827"/>
        <v>0</v>
      </c>
      <c r="AA2052" s="40">
        <f t="shared" si="827"/>
        <v>0</v>
      </c>
      <c r="AB2052" s="40">
        <f t="shared" si="827"/>
        <v>0</v>
      </c>
      <c r="AC2052" s="40">
        <f t="shared" si="827"/>
        <v>0</v>
      </c>
      <c r="AD2052" s="40">
        <f t="shared" si="827"/>
        <v>0</v>
      </c>
      <c r="AE2052" s="40">
        <f t="shared" si="827"/>
        <v>0</v>
      </c>
      <c r="AF2052" s="40">
        <f t="shared" si="827"/>
        <v>0</v>
      </c>
      <c r="AG2052" s="40">
        <f t="shared" si="827"/>
        <v>0</v>
      </c>
      <c r="AH2052" s="40">
        <f t="shared" si="827"/>
        <v>0</v>
      </c>
      <c r="AI2052" s="40">
        <f t="shared" si="827"/>
        <v>0</v>
      </c>
      <c r="AJ2052" s="40">
        <f t="shared" si="827"/>
        <v>0</v>
      </c>
      <c r="AK2052" s="40">
        <f t="shared" si="827"/>
        <v>0</v>
      </c>
      <c r="AL2052" s="40">
        <f t="shared" si="827"/>
        <v>0</v>
      </c>
      <c r="AM2052" s="40">
        <f t="shared" si="827"/>
        <v>0</v>
      </c>
      <c r="AN2052" s="40">
        <f t="shared" si="827"/>
        <v>0</v>
      </c>
      <c r="AO2052" s="40">
        <f t="shared" si="827"/>
        <v>0</v>
      </c>
      <c r="AP2052" s="40">
        <f t="shared" si="827"/>
        <v>0</v>
      </c>
      <c r="AQ2052" s="40">
        <f t="shared" si="827"/>
        <v>0</v>
      </c>
      <c r="AR2052" s="40">
        <f t="shared" si="827"/>
        <v>0</v>
      </c>
      <c r="AS2052" s="40">
        <f t="shared" si="827"/>
        <v>0</v>
      </c>
      <c r="AT2052" s="40">
        <f t="shared" si="827"/>
        <v>0</v>
      </c>
      <c r="AU2052" s="40">
        <f t="shared" si="827"/>
        <v>0</v>
      </c>
      <c r="AV2052" s="40">
        <f t="shared" si="827"/>
        <v>0</v>
      </c>
      <c r="AW2052" s="40">
        <f t="shared" si="827"/>
        <v>0</v>
      </c>
      <c r="AX2052" s="40">
        <f t="shared" si="827"/>
        <v>0</v>
      </c>
      <c r="AY2052" s="40">
        <f t="shared" si="827"/>
        <v>0</v>
      </c>
      <c r="AZ2052" s="40">
        <f t="shared" si="827"/>
        <v>0</v>
      </c>
      <c r="BA2052" s="40">
        <f t="shared" si="827"/>
        <v>0</v>
      </c>
      <c r="BB2052" s="40">
        <f t="shared" si="827"/>
        <v>0</v>
      </c>
      <c r="BC2052" s="40">
        <f t="shared" si="827"/>
        <v>0</v>
      </c>
      <c r="BD2052" s="40">
        <f t="shared" si="827"/>
        <v>0</v>
      </c>
      <c r="BE2052" s="40">
        <f t="shared" si="827"/>
        <v>0</v>
      </c>
      <c r="BF2052" s="40">
        <f t="shared" si="827"/>
        <v>0</v>
      </c>
      <c r="BG2052" s="40">
        <f t="shared" si="827"/>
        <v>0</v>
      </c>
      <c r="BH2052" s="40">
        <f t="shared" si="827"/>
        <v>0</v>
      </c>
      <c r="BI2052" s="40">
        <f t="shared" si="827"/>
        <v>0</v>
      </c>
      <c r="BJ2052" s="40">
        <f t="shared" si="827"/>
        <v>0</v>
      </c>
      <c r="BK2052" s="40">
        <f t="shared" si="827"/>
        <v>0</v>
      </c>
      <c r="BL2052" s="62">
        <f>BL2053</f>
        <v>0</v>
      </c>
      <c r="BM2052" s="275">
        <f>BM2053</f>
        <v>3</v>
      </c>
      <c r="BN2052" s="62">
        <v>0.03</v>
      </c>
      <c r="BO2052" s="33" t="str">
        <f>BO2053</f>
        <v>NMD PVC rioleringsbuis, groot</v>
      </c>
    </row>
    <row r="2053" spans="1:68">
      <c r="A2053" s="33" t="str">
        <f>Database_Productkaarten[[#This Row],[Product]]&amp;", "&amp;Database_Productkaarten[[#This Row],[Levensfase]]</f>
        <v>PVC 200 mm, D1</v>
      </c>
      <c r="B2053" s="33" t="s">
        <v>733</v>
      </c>
      <c r="C2053" s="33" t="s">
        <v>246</v>
      </c>
      <c r="D2053" s="33" t="s">
        <v>734</v>
      </c>
      <c r="E2053" s="33" t="s">
        <v>389</v>
      </c>
      <c r="F2053" s="33" t="s">
        <v>87</v>
      </c>
      <c r="G2053" s="33">
        <v>1</v>
      </c>
      <c r="J2053" s="33">
        <v>0.2</v>
      </c>
      <c r="L2053" s="33">
        <v>1.3</v>
      </c>
      <c r="M2053" s="269"/>
      <c r="N2053" s="41">
        <v>-0.36030000000000001</v>
      </c>
      <c r="O2053" s="33">
        <v>50</v>
      </c>
      <c r="R2053" s="33">
        <v>-5.8041</v>
      </c>
      <c r="AV2053" s="108"/>
      <c r="AY2053" s="108"/>
      <c r="BL2053" s="62">
        <v>0</v>
      </c>
      <c r="BM2053" s="275">
        <v>3</v>
      </c>
      <c r="BN2053" s="62">
        <v>0.03</v>
      </c>
      <c r="BO2053" s="33" t="s">
        <v>735</v>
      </c>
    </row>
    <row r="2054" spans="1:68">
      <c r="A2054" s="33" t="str">
        <f>Database_Productkaarten[[#This Row],[Product]]&amp;", "&amp;Database_Productkaarten[[#This Row],[Levensfase]]</f>
        <v>PVC 200 mm, D2</v>
      </c>
      <c r="B2054" s="33" t="s">
        <v>733</v>
      </c>
      <c r="C2054" s="33" t="s">
        <v>246</v>
      </c>
      <c r="D2054" s="33" t="s">
        <v>734</v>
      </c>
      <c r="E2054" s="33" t="s">
        <v>389</v>
      </c>
      <c r="F2054" s="33" t="s">
        <v>88</v>
      </c>
      <c r="G2054" s="33">
        <v>1</v>
      </c>
      <c r="J2054" s="33">
        <v>0.2</v>
      </c>
      <c r="L2054" s="33">
        <v>1.3</v>
      </c>
      <c r="M2054" s="269"/>
      <c r="N2054" s="41"/>
      <c r="O2054" s="33">
        <v>50</v>
      </c>
      <c r="AV2054" s="108"/>
      <c r="AY2054" s="108"/>
      <c r="BL2054" s="62">
        <v>0</v>
      </c>
      <c r="BM2054" s="275">
        <v>3</v>
      </c>
      <c r="BN2054" s="62">
        <v>0.03</v>
      </c>
      <c r="BO2054" s="33" t="s">
        <v>735</v>
      </c>
    </row>
    <row r="2055" spans="1:68">
      <c r="A2055" s="33" t="str">
        <f>Database_Productkaarten[[#This Row],[Product]]&amp;", "&amp;Database_Productkaarten[[#This Row],[Levensfase]]</f>
        <v>Kolk, Staal &amp; Beton, Totaal</v>
      </c>
      <c r="B2055" s="33" t="s">
        <v>247</v>
      </c>
      <c r="C2055" s="33" t="s">
        <v>246</v>
      </c>
      <c r="D2055" s="33" t="s">
        <v>736</v>
      </c>
      <c r="E2055" s="33" t="s">
        <v>724</v>
      </c>
      <c r="F2055" s="33" t="s">
        <v>90</v>
      </c>
      <c r="G2055" s="33">
        <v>0.9</v>
      </c>
      <c r="H2055" s="33">
        <v>0.38</v>
      </c>
      <c r="I2055" s="33">
        <v>0.38</v>
      </c>
      <c r="L2055" s="33" t="s">
        <v>737</v>
      </c>
      <c r="M2055" s="271">
        <v>0.20283999999999999</v>
      </c>
      <c r="N2055" s="41"/>
      <c r="O2055" s="33">
        <v>40</v>
      </c>
      <c r="AV2055" s="311"/>
      <c r="AY2055" s="311"/>
      <c r="BL2055" s="62">
        <v>0</v>
      </c>
      <c r="BM2055" s="275">
        <v>3</v>
      </c>
      <c r="BN2055" s="62">
        <v>0.03</v>
      </c>
      <c r="BO2055" s="33" t="s">
        <v>738</v>
      </c>
      <c r="BP2055" t="s">
        <v>739</v>
      </c>
    </row>
    <row r="2056" spans="1:68">
      <c r="A2056" s="33" t="str">
        <f>Database_Productkaarten[[#This Row],[Product]]&amp;", "&amp;Database_Productkaarten[[#This Row],[Levensfase]]</f>
        <v>Kolk, Staal &amp; Beton, A1</v>
      </c>
      <c r="B2056" s="33" t="s">
        <v>247</v>
      </c>
      <c r="C2056" s="33" t="s">
        <v>246</v>
      </c>
      <c r="D2056" s="33" t="s">
        <v>736</v>
      </c>
      <c r="E2056" s="33" t="s">
        <v>724</v>
      </c>
      <c r="F2056" s="33" t="s">
        <v>74</v>
      </c>
      <c r="G2056" s="33">
        <v>0.9</v>
      </c>
      <c r="H2056" s="33">
        <v>0.38</v>
      </c>
      <c r="I2056" s="33">
        <v>0.38</v>
      </c>
      <c r="L2056" s="33" t="s">
        <v>737</v>
      </c>
      <c r="M2056" s="271">
        <v>0.20283999999999999</v>
      </c>
      <c r="N2056" s="41">
        <v>7.76</v>
      </c>
      <c r="O2056" s="33">
        <v>40</v>
      </c>
      <c r="P2056" s="163">
        <v>7.4870263999999995E-5</v>
      </c>
      <c r="Q2056" s="163">
        <v>0.39390709000000002</v>
      </c>
      <c r="R2056" s="163">
        <v>65.328920999999994</v>
      </c>
      <c r="S2056" s="163">
        <v>3.2672409E-6</v>
      </c>
      <c r="T2056" s="163">
        <v>6.700718E-2</v>
      </c>
      <c r="U2056" s="163">
        <v>0.25614846000000002</v>
      </c>
      <c r="V2056" s="163">
        <v>3.0732355999999999E-2</v>
      </c>
      <c r="W2056" s="163">
        <v>29.329156999999999</v>
      </c>
      <c r="X2056" s="163">
        <v>0.58138970000000001</v>
      </c>
      <c r="Y2056" s="163">
        <v>1464.4414999999999</v>
      </c>
      <c r="Z2056" s="163">
        <v>1.7087190000000001</v>
      </c>
      <c r="AA2056" s="40"/>
      <c r="AB2056" s="40"/>
      <c r="AC2056" s="40"/>
      <c r="AD2056" s="40"/>
      <c r="AE2056" s="40"/>
      <c r="AF2056" s="40"/>
      <c r="AV2056" s="163">
        <v>35.650260000000003</v>
      </c>
      <c r="AW2056" s="40"/>
      <c r="AX2056" s="40"/>
      <c r="AY2056" s="313">
        <v>698.81961000000001</v>
      </c>
      <c r="AZ2056" s="40"/>
      <c r="BA2056" s="40"/>
      <c r="BB2056" s="40"/>
      <c r="BC2056" s="40">
        <v>2.1493497000000001</v>
      </c>
      <c r="BD2056" s="163">
        <v>5.9636969999999998</v>
      </c>
      <c r="BE2056" s="163">
        <v>7.5202030000000004</v>
      </c>
      <c r="BL2056" s="62">
        <v>0</v>
      </c>
      <c r="BM2056" s="275">
        <v>3</v>
      </c>
      <c r="BN2056" s="62">
        <v>0.03</v>
      </c>
      <c r="BO2056" s="33" t="s">
        <v>738</v>
      </c>
      <c r="BP2056" t="s">
        <v>739</v>
      </c>
    </row>
    <row r="2057" spans="1:68">
      <c r="A2057" s="33" t="str">
        <f>Database_Productkaarten[[#This Row],[Product]]&amp;", "&amp;Database_Productkaarten[[#This Row],[Levensfase]]</f>
        <v>Kolk, Staal &amp; Beton, A2</v>
      </c>
      <c r="B2057" s="33" t="s">
        <v>247</v>
      </c>
      <c r="C2057" s="33" t="s">
        <v>246</v>
      </c>
      <c r="D2057" s="33" t="s">
        <v>736</v>
      </c>
      <c r="E2057" s="33" t="s">
        <v>724</v>
      </c>
      <c r="F2057" s="33" t="s">
        <v>75</v>
      </c>
      <c r="G2057" s="33">
        <v>0.9</v>
      </c>
      <c r="H2057" s="33">
        <v>0.38</v>
      </c>
      <c r="I2057" s="33">
        <v>0.38</v>
      </c>
      <c r="L2057" s="33" t="s">
        <v>737</v>
      </c>
      <c r="M2057" s="271">
        <v>0.20283999999999999</v>
      </c>
      <c r="N2057" s="41"/>
      <c r="O2057" s="33">
        <v>40</v>
      </c>
      <c r="P2057" s="163">
        <v>4.9731580000000002E-6</v>
      </c>
      <c r="Q2057" s="163">
        <v>1.2908002E-2</v>
      </c>
      <c r="R2057" s="163">
        <v>1.7487527</v>
      </c>
      <c r="S2057" s="163">
        <v>3.2226059999999998E-7</v>
      </c>
      <c r="T2057" s="163">
        <v>1.0321695000000001E-3</v>
      </c>
      <c r="U2057" s="163">
        <v>7.5815971999999999E-3</v>
      </c>
      <c r="V2057" s="163">
        <v>1.5108064000000001E-3</v>
      </c>
      <c r="W2057" s="163">
        <v>0.69963774000000001</v>
      </c>
      <c r="X2057" s="163">
        <v>2.0519433E-2</v>
      </c>
      <c r="Y2057" s="163">
        <v>74.060716999999997</v>
      </c>
      <c r="Z2057" s="163">
        <v>2.4789062E-3</v>
      </c>
      <c r="AA2057" s="40"/>
      <c r="AB2057" s="40"/>
      <c r="AC2057" s="40"/>
      <c r="AD2057" s="40"/>
      <c r="AE2057" s="40"/>
      <c r="AF2057" s="40"/>
      <c r="AV2057" s="163">
        <v>0.36826235000000002</v>
      </c>
      <c r="AW2057" s="40"/>
      <c r="AX2057" s="40"/>
      <c r="AY2057" s="313">
        <v>28.775955</v>
      </c>
      <c r="AZ2057" s="40"/>
      <c r="BA2057" s="40"/>
      <c r="BB2057" s="40"/>
      <c r="BC2057" s="40">
        <v>5.1752836999999999E-3</v>
      </c>
      <c r="BD2057" s="163">
        <v>1.9873448999999999E-4</v>
      </c>
      <c r="BE2057" s="163">
        <v>1.6540637</v>
      </c>
      <c r="BL2057" s="62">
        <v>0</v>
      </c>
      <c r="BM2057" s="275">
        <v>3</v>
      </c>
      <c r="BN2057" s="62">
        <v>0.03</v>
      </c>
      <c r="BO2057" s="33" t="s">
        <v>738</v>
      </c>
      <c r="BP2057" t="s">
        <v>739</v>
      </c>
    </row>
    <row r="2058" spans="1:68">
      <c r="A2058" s="33" t="str">
        <f>Database_Productkaarten[[#This Row],[Product]]&amp;", "&amp;Database_Productkaarten[[#This Row],[Levensfase]]</f>
        <v>Kolk, Staal &amp; Beton, A3</v>
      </c>
      <c r="B2058" s="33" t="s">
        <v>247</v>
      </c>
      <c r="C2058" s="33" t="s">
        <v>246</v>
      </c>
      <c r="D2058" s="33" t="s">
        <v>736</v>
      </c>
      <c r="E2058" s="33" t="s">
        <v>724</v>
      </c>
      <c r="F2058" s="33" t="s">
        <v>76</v>
      </c>
      <c r="G2058" s="33">
        <v>0.9</v>
      </c>
      <c r="H2058" s="33">
        <v>0.38</v>
      </c>
      <c r="I2058" s="33">
        <v>0.38</v>
      </c>
      <c r="L2058" s="33" t="s">
        <v>737</v>
      </c>
      <c r="M2058" s="271">
        <v>0.20283999999999999</v>
      </c>
      <c r="N2058" s="41"/>
      <c r="O2058" s="33">
        <v>40</v>
      </c>
      <c r="P2058" s="163">
        <v>3.0152325999999998E-7</v>
      </c>
      <c r="Q2058" s="163">
        <v>9.0631196000000008E-3</v>
      </c>
      <c r="R2058" s="163">
        <v>1.1089073</v>
      </c>
      <c r="S2058" s="163">
        <v>7.6530786999999994E-8</v>
      </c>
      <c r="T2058" s="163">
        <v>1.8354609999999999E-4</v>
      </c>
      <c r="U2058" s="163">
        <v>2.0192872999999999E-3</v>
      </c>
      <c r="V2058" s="163">
        <v>4.5211931999999998E-4</v>
      </c>
      <c r="W2058" s="163">
        <v>9.2554712999999997E-2</v>
      </c>
      <c r="X2058" s="163">
        <v>2.1179379000000002E-3</v>
      </c>
      <c r="Y2058" s="163">
        <v>10.394297999999999</v>
      </c>
      <c r="Z2058" s="163">
        <v>1.5592290000000001E-3</v>
      </c>
      <c r="AA2058" s="40"/>
      <c r="AB2058" s="40"/>
      <c r="AC2058" s="40"/>
      <c r="AD2058" s="40"/>
      <c r="AE2058" s="40"/>
      <c r="AF2058" s="40"/>
      <c r="AV2058" s="163">
        <v>1.4042021</v>
      </c>
      <c r="AW2058" s="40"/>
      <c r="AX2058" s="40"/>
      <c r="AY2058" s="313">
        <v>18.183492999999999</v>
      </c>
      <c r="AZ2058" s="40"/>
      <c r="BA2058" s="40"/>
      <c r="BB2058" s="40"/>
      <c r="BC2058" s="40">
        <v>3.5673017E-3</v>
      </c>
      <c r="BD2058" s="163">
        <v>7.9807678000000005E-5</v>
      </c>
      <c r="BE2058" s="163">
        <v>3.5031347999999997E-2</v>
      </c>
      <c r="BL2058" s="62">
        <v>0</v>
      </c>
      <c r="BM2058" s="275">
        <v>3</v>
      </c>
      <c r="BN2058" s="62">
        <v>0.03</v>
      </c>
      <c r="BO2058" s="33" t="s">
        <v>738</v>
      </c>
      <c r="BP2058" t="s">
        <v>739</v>
      </c>
    </row>
    <row r="2059" spans="1:68">
      <c r="A2059" s="451" t="str">
        <f>Database_Productkaarten[[#This Row],[Product]]&amp;", "&amp;Database_Productkaarten[[#This Row],[Levensfase]]</f>
        <v>Kolk, Staal &amp; Beton, A1-A3</v>
      </c>
      <c r="B2059" s="451" t="str">
        <f>B2058</f>
        <v>Kolk, Staal &amp; Beton</v>
      </c>
      <c r="C2059" s="451" t="str">
        <f>C2058</f>
        <v>Waterafvoer</v>
      </c>
      <c r="D2059" s="451" t="str">
        <f>D2058</f>
        <v>Kolk</v>
      </c>
      <c r="E2059" s="451" t="str">
        <f>E2058</f>
        <v>stuk</v>
      </c>
      <c r="F2059" s="451" t="s">
        <v>77</v>
      </c>
      <c r="G2059" s="451">
        <f t="shared" ref="G2059:M2059" si="828">G2058</f>
        <v>0.9</v>
      </c>
      <c r="H2059" s="451">
        <f t="shared" si="828"/>
        <v>0.38</v>
      </c>
      <c r="I2059" s="451">
        <f t="shared" si="828"/>
        <v>0.38</v>
      </c>
      <c r="J2059" s="451">
        <f t="shared" si="828"/>
        <v>0</v>
      </c>
      <c r="K2059" s="451">
        <f t="shared" si="828"/>
        <v>0</v>
      </c>
      <c r="L2059" s="451" t="str">
        <f t="shared" si="828"/>
        <v>NVT</v>
      </c>
      <c r="M2059" s="454">
        <f t="shared" si="828"/>
        <v>0.20283999999999999</v>
      </c>
      <c r="N2059" s="452">
        <f>SUM(N2056:N2058)</f>
        <v>7.76</v>
      </c>
      <c r="O2059" s="33">
        <v>40</v>
      </c>
      <c r="P2059" s="40">
        <f>SUM(P2056:P2058)</f>
        <v>8.0144945259999991E-5</v>
      </c>
      <c r="Q2059" s="40">
        <f t="shared" ref="Q2059:Z2059" si="829">SUM(Q2056:Q2058)</f>
        <v>0.41587821159999999</v>
      </c>
      <c r="R2059" s="40">
        <f t="shared" si="829"/>
        <v>68.18658099999999</v>
      </c>
      <c r="S2059" s="40">
        <f t="shared" si="829"/>
        <v>3.666032287E-6</v>
      </c>
      <c r="T2059" s="40">
        <f t="shared" si="829"/>
        <v>6.82228956E-2</v>
      </c>
      <c r="U2059" s="40">
        <f t="shared" si="829"/>
        <v>0.26574934450000004</v>
      </c>
      <c r="V2059" s="40">
        <f t="shared" si="829"/>
        <v>3.2695281719999997E-2</v>
      </c>
      <c r="W2059" s="40">
        <f t="shared" si="829"/>
        <v>30.121349452999997</v>
      </c>
      <c r="X2059" s="40">
        <f t="shared" si="829"/>
        <v>0.60402707090000007</v>
      </c>
      <c r="Y2059" s="40">
        <f t="shared" si="829"/>
        <v>1548.8965149999999</v>
      </c>
      <c r="Z2059" s="40">
        <f t="shared" si="829"/>
        <v>1.7127571351999999</v>
      </c>
      <c r="AA2059" s="40"/>
      <c r="AB2059" s="40"/>
      <c r="AC2059" s="40"/>
      <c r="AD2059" s="40"/>
      <c r="AE2059" s="40"/>
      <c r="AF2059" s="40"/>
      <c r="AG2059" s="453">
        <f t="shared" ref="AG2059:AU2059" si="830">SUM(AG2056:AG2058)</f>
        <v>0</v>
      </c>
      <c r="AH2059" s="453">
        <f t="shared" si="830"/>
        <v>0</v>
      </c>
      <c r="AI2059" s="453">
        <f t="shared" si="830"/>
        <v>0</v>
      </c>
      <c r="AJ2059" s="453">
        <f t="shared" si="830"/>
        <v>0</v>
      </c>
      <c r="AK2059" s="453">
        <f t="shared" si="830"/>
        <v>0</v>
      </c>
      <c r="AL2059" s="453">
        <f t="shared" si="830"/>
        <v>0</v>
      </c>
      <c r="AM2059" s="453">
        <f t="shared" si="830"/>
        <v>0</v>
      </c>
      <c r="AN2059" s="453">
        <f t="shared" si="830"/>
        <v>0</v>
      </c>
      <c r="AO2059" s="453">
        <f t="shared" si="830"/>
        <v>0</v>
      </c>
      <c r="AP2059" s="453">
        <f t="shared" si="830"/>
        <v>0</v>
      </c>
      <c r="AQ2059" s="453">
        <f t="shared" si="830"/>
        <v>0</v>
      </c>
      <c r="AR2059" s="453">
        <f t="shared" si="830"/>
        <v>0</v>
      </c>
      <c r="AS2059" s="453">
        <f t="shared" si="830"/>
        <v>0</v>
      </c>
      <c r="AT2059" s="453">
        <f t="shared" si="830"/>
        <v>0</v>
      </c>
      <c r="AU2059" s="453">
        <f t="shared" si="830"/>
        <v>0</v>
      </c>
      <c r="AV2059" s="40">
        <f>SUM(AV2056:AV2058)</f>
        <v>37.422724450000004</v>
      </c>
      <c r="AW2059" s="40"/>
      <c r="AX2059" s="40"/>
      <c r="AY2059" s="313">
        <f>SUM(AY2056:AY2058)</f>
        <v>745.77905799999996</v>
      </c>
      <c r="AZ2059" s="40"/>
      <c r="BA2059" s="40"/>
      <c r="BB2059" s="40"/>
      <c r="BC2059" s="40">
        <f>SUM(BC2056:BC2058)</f>
        <v>2.1580922854</v>
      </c>
      <c r="BD2059" s="40">
        <f>SUM(BD2056:BD2058)</f>
        <v>5.9639755421679999</v>
      </c>
      <c r="BE2059" s="40">
        <f>SUM(BE2056:BE2058)</f>
        <v>9.2092980480000008</v>
      </c>
      <c r="BF2059" s="453"/>
      <c r="BG2059" s="453"/>
      <c r="BH2059" s="453"/>
      <c r="BI2059" s="453"/>
      <c r="BJ2059" s="453"/>
      <c r="BK2059" s="453"/>
      <c r="BL2059" s="62">
        <f>BL2058</f>
        <v>0</v>
      </c>
      <c r="BM2059" s="275">
        <f>BM2058</f>
        <v>3</v>
      </c>
      <c r="BN2059" s="62">
        <v>0.03</v>
      </c>
      <c r="BO2059" s="451" t="str">
        <f>BO2058</f>
        <v>NMD H25 Leidingwerk V1.4 &amp; DuboCalc 6.0 (27/09/2022)</v>
      </c>
      <c r="BP2059" t="s">
        <v>739</v>
      </c>
    </row>
    <row r="2060" spans="1:68">
      <c r="A2060" s="33" t="str">
        <f>Database_Productkaarten[[#This Row],[Product]]&amp;", "&amp;Database_Productkaarten[[#This Row],[Levensfase]]</f>
        <v>Kolk, Staal &amp; Beton, A4</v>
      </c>
      <c r="B2060" s="33" t="s">
        <v>247</v>
      </c>
      <c r="C2060" s="33" t="s">
        <v>246</v>
      </c>
      <c r="D2060" s="33" t="s">
        <v>736</v>
      </c>
      <c r="E2060" s="33" t="s">
        <v>724</v>
      </c>
      <c r="F2060" s="33" t="s">
        <v>78</v>
      </c>
      <c r="G2060" s="33">
        <v>0.9</v>
      </c>
      <c r="H2060" s="33">
        <v>0.38</v>
      </c>
      <c r="I2060" s="33">
        <v>0.38</v>
      </c>
      <c r="L2060" s="33" t="s">
        <v>737</v>
      </c>
      <c r="M2060" s="271">
        <v>0.20283999999999999</v>
      </c>
      <c r="N2060" s="41">
        <v>0.33</v>
      </c>
      <c r="O2060" s="33">
        <v>40</v>
      </c>
      <c r="P2060" s="40">
        <v>1.1572315E-5</v>
      </c>
      <c r="Q2060" s="40">
        <v>3.0036340000000002E-2</v>
      </c>
      <c r="R2060" s="40">
        <v>4.0692687999999997</v>
      </c>
      <c r="S2060" s="40">
        <v>7.4988593000000001E-7</v>
      </c>
      <c r="T2060" s="40">
        <v>2.4018120000000001E-3</v>
      </c>
      <c r="U2060" s="40">
        <v>1.7642036E-2</v>
      </c>
      <c r="V2060" s="40">
        <v>3.5155784999999998E-3</v>
      </c>
      <c r="W2060" s="40">
        <v>1.6280256</v>
      </c>
      <c r="X2060" s="40">
        <v>4.7747798000000001E-2</v>
      </c>
      <c r="Y2060" s="40">
        <v>172.33596</v>
      </c>
      <c r="Z2060" s="40">
        <v>5.7683031999999999E-3</v>
      </c>
      <c r="AA2060" s="40"/>
      <c r="AB2060" s="40"/>
      <c r="AC2060" s="40"/>
      <c r="AD2060" s="40"/>
      <c r="AE2060" s="40"/>
      <c r="AF2060" s="40"/>
      <c r="AV2060" s="40">
        <v>0.85692992999999995</v>
      </c>
      <c r="AW2060" s="40"/>
      <c r="AX2060" s="40"/>
      <c r="AY2060" s="313">
        <v>66.960353999999995</v>
      </c>
      <c r="AZ2060" s="40"/>
      <c r="BA2060" s="40"/>
      <c r="BB2060" s="40"/>
      <c r="BC2060" s="40">
        <v>1.2042651999999999E-2</v>
      </c>
      <c r="BD2060" s="40">
        <v>4.6244621000000001E-4</v>
      </c>
      <c r="BE2060" s="40">
        <v>3.8489317999999999</v>
      </c>
      <c r="BL2060" s="62">
        <v>0</v>
      </c>
      <c r="BM2060" s="275">
        <v>3</v>
      </c>
      <c r="BN2060" s="62">
        <v>0.03</v>
      </c>
      <c r="BO2060" s="33" t="s">
        <v>738</v>
      </c>
      <c r="BP2060" t="s">
        <v>739</v>
      </c>
    </row>
    <row r="2061" spans="1:68">
      <c r="A2061" s="33" t="str">
        <f>Database_Productkaarten[[#This Row],[Product]]&amp;", "&amp;Database_Productkaarten[[#This Row],[Levensfase]]</f>
        <v>Kolk, Staal &amp; Beton, A5</v>
      </c>
      <c r="B2061" s="33" t="s">
        <v>247</v>
      </c>
      <c r="C2061" s="33" t="s">
        <v>246</v>
      </c>
      <c r="D2061" s="33" t="s">
        <v>736</v>
      </c>
      <c r="E2061" s="33" t="s">
        <v>724</v>
      </c>
      <c r="F2061" s="33" t="s">
        <v>79</v>
      </c>
      <c r="G2061" s="33">
        <v>0.9</v>
      </c>
      <c r="H2061" s="33">
        <v>0.38</v>
      </c>
      <c r="I2061" s="33">
        <v>0.38</v>
      </c>
      <c r="L2061" s="33" t="s">
        <v>737</v>
      </c>
      <c r="M2061" s="271">
        <v>0.20283999999999999</v>
      </c>
      <c r="N2061" s="41">
        <v>3.73</v>
      </c>
      <c r="O2061" s="33">
        <v>40</v>
      </c>
      <c r="P2061" s="40">
        <v>1.1283236000000001E-5</v>
      </c>
      <c r="Q2061" s="40">
        <v>0.18712815999999999</v>
      </c>
      <c r="R2061" s="40">
        <v>27.580338000000001</v>
      </c>
      <c r="S2061" s="40">
        <v>4.8360935999999998E-6</v>
      </c>
      <c r="T2061" s="40">
        <v>2.6600384000000001E-2</v>
      </c>
      <c r="U2061" s="40">
        <v>0.20319824</v>
      </c>
      <c r="V2061" s="40">
        <v>4.5325998999999999E-2</v>
      </c>
      <c r="W2061" s="40">
        <v>9.5650866000000008</v>
      </c>
      <c r="X2061" s="40">
        <v>0.14628094999999999</v>
      </c>
      <c r="Y2061" s="40">
        <v>481.76004</v>
      </c>
      <c r="Z2061" s="40">
        <v>6.5212723E-2</v>
      </c>
      <c r="AA2061" s="40"/>
      <c r="AB2061" s="40"/>
      <c r="AC2061" s="40"/>
      <c r="AD2061" s="40"/>
      <c r="AE2061" s="40"/>
      <c r="AF2061" s="40"/>
      <c r="AV2061" s="40">
        <v>3.1094966999999998</v>
      </c>
      <c r="AW2061" s="40"/>
      <c r="AX2061" s="40"/>
      <c r="AY2061" s="313">
        <v>420.27488</v>
      </c>
      <c r="AZ2061" s="40"/>
      <c r="BA2061" s="40"/>
      <c r="BB2061" s="40"/>
      <c r="BC2061" s="40">
        <v>8.6813662E-2</v>
      </c>
      <c r="BD2061" s="40">
        <v>0.18162575</v>
      </c>
      <c r="BE2061" s="40">
        <v>0.90989830999999999</v>
      </c>
      <c r="BL2061" s="62">
        <v>0</v>
      </c>
      <c r="BM2061" s="275">
        <v>3</v>
      </c>
      <c r="BN2061" s="62">
        <v>0.03</v>
      </c>
      <c r="BO2061" s="33" t="s">
        <v>738</v>
      </c>
      <c r="BP2061" t="s">
        <v>739</v>
      </c>
    </row>
    <row r="2062" spans="1:68">
      <c r="A2062" s="33" t="str">
        <f>Database_Productkaarten[[#This Row],[Product]]&amp;", "&amp;Database_Productkaarten[[#This Row],[Levensfase]]</f>
        <v>Kolk, Staal &amp; Beton, B1</v>
      </c>
      <c r="B2062" s="33" t="s">
        <v>247</v>
      </c>
      <c r="C2062" s="33" t="s">
        <v>246</v>
      </c>
      <c r="D2062" s="33" t="s">
        <v>736</v>
      </c>
      <c r="E2062" s="33" t="s">
        <v>724</v>
      </c>
      <c r="F2062" s="33" t="s">
        <v>80</v>
      </c>
      <c r="G2062" s="33">
        <v>0.9</v>
      </c>
      <c r="H2062" s="33">
        <v>0.38</v>
      </c>
      <c r="I2062" s="33">
        <v>0.38</v>
      </c>
      <c r="L2062" s="33" t="s">
        <v>737</v>
      </c>
      <c r="M2062" s="271">
        <v>0.20283999999999999</v>
      </c>
      <c r="N2062" s="41"/>
      <c r="O2062" s="33">
        <v>40</v>
      </c>
      <c r="P2062" s="40">
        <v>0</v>
      </c>
      <c r="Q2062" s="40">
        <v>0</v>
      </c>
      <c r="R2062" s="40">
        <v>0</v>
      </c>
      <c r="S2062" s="40">
        <v>0</v>
      </c>
      <c r="T2062" s="40">
        <v>0</v>
      </c>
      <c r="U2062" s="40">
        <v>0</v>
      </c>
      <c r="V2062" s="40">
        <v>0</v>
      </c>
      <c r="W2062" s="40">
        <v>0</v>
      </c>
      <c r="X2062" s="40">
        <v>0</v>
      </c>
      <c r="Y2062" s="40">
        <v>0</v>
      </c>
      <c r="Z2062" s="40">
        <v>0</v>
      </c>
      <c r="AA2062" s="40"/>
      <c r="AB2062" s="40"/>
      <c r="AC2062" s="40"/>
      <c r="AD2062" s="40"/>
      <c r="AE2062" s="40"/>
      <c r="AF2062" s="40"/>
      <c r="AV2062" s="40">
        <v>0</v>
      </c>
      <c r="AW2062" s="40"/>
      <c r="AX2062" s="40"/>
      <c r="AY2062" s="313">
        <v>0</v>
      </c>
      <c r="AZ2062" s="40"/>
      <c r="BA2062" s="40"/>
      <c r="BB2062" s="40"/>
      <c r="BC2062" s="40">
        <v>0</v>
      </c>
      <c r="BD2062" s="40">
        <v>0</v>
      </c>
      <c r="BE2062" s="40">
        <v>0</v>
      </c>
      <c r="BL2062" s="62">
        <v>0</v>
      </c>
      <c r="BM2062" s="275">
        <v>3</v>
      </c>
      <c r="BN2062" s="62">
        <v>0.03</v>
      </c>
      <c r="BO2062" s="33" t="s">
        <v>738</v>
      </c>
      <c r="BP2062" t="s">
        <v>739</v>
      </c>
    </row>
    <row r="2063" spans="1:68">
      <c r="A2063" s="33" t="str">
        <f>Database_Productkaarten[[#This Row],[Product]]&amp;", "&amp;Database_Productkaarten[[#This Row],[Levensfase]]</f>
        <v>Kolk, Staal &amp; Beton, C1</v>
      </c>
      <c r="B2063" s="33" t="s">
        <v>247</v>
      </c>
      <c r="C2063" s="33" t="s">
        <v>246</v>
      </c>
      <c r="D2063" s="33" t="s">
        <v>736</v>
      </c>
      <c r="E2063" s="33" t="s">
        <v>724</v>
      </c>
      <c r="F2063" s="33" t="s">
        <v>83</v>
      </c>
      <c r="G2063" s="33">
        <v>0.9</v>
      </c>
      <c r="H2063" s="33">
        <v>0.38</v>
      </c>
      <c r="I2063" s="33">
        <v>0.38</v>
      </c>
      <c r="L2063" s="33" t="s">
        <v>737</v>
      </c>
      <c r="M2063" s="271">
        <v>0.20283999999999999</v>
      </c>
      <c r="N2063" s="41">
        <v>3.49</v>
      </c>
      <c r="O2063" s="33">
        <v>40</v>
      </c>
      <c r="P2063" s="40">
        <v>8.8453490000000005E-6</v>
      </c>
      <c r="Q2063" s="40">
        <v>0.18224319999999999</v>
      </c>
      <c r="R2063" s="40">
        <v>26.413516999999999</v>
      </c>
      <c r="S2063" s="40">
        <v>4.7576554000000002E-6</v>
      </c>
      <c r="T2063" s="40">
        <v>2.6624159000000001E-2</v>
      </c>
      <c r="U2063" s="40">
        <v>0.19985773000000001</v>
      </c>
      <c r="V2063" s="40">
        <v>4.4752373999999998E-2</v>
      </c>
      <c r="W2063" s="40">
        <v>9.3502101</v>
      </c>
      <c r="X2063" s="40">
        <v>0.13076173999999999</v>
      </c>
      <c r="Y2063" s="40">
        <v>443.26029</v>
      </c>
      <c r="Z2063" s="40">
        <v>1.5623939E-2</v>
      </c>
      <c r="AA2063" s="40"/>
      <c r="AB2063" s="40"/>
      <c r="AC2063" s="40"/>
      <c r="AD2063" s="40"/>
      <c r="AE2063" s="40"/>
      <c r="AF2063" s="40"/>
      <c r="AV2063" s="40">
        <v>2.1949603</v>
      </c>
      <c r="AW2063" s="40"/>
      <c r="AX2063" s="40"/>
      <c r="AY2063" s="313">
        <v>408.80730999999997</v>
      </c>
      <c r="AZ2063" s="40"/>
      <c r="BA2063" s="40"/>
      <c r="BB2063" s="40"/>
      <c r="BC2063" s="40">
        <v>3.3704137000000002E-2</v>
      </c>
      <c r="BD2063" s="40">
        <v>2.8302189000000001E-3</v>
      </c>
      <c r="BE2063" s="40">
        <v>0.41714118</v>
      </c>
      <c r="BL2063" s="62">
        <v>0</v>
      </c>
      <c r="BM2063" s="275">
        <v>3</v>
      </c>
      <c r="BN2063" s="62">
        <v>0.03</v>
      </c>
      <c r="BO2063" s="33" t="s">
        <v>738</v>
      </c>
      <c r="BP2063" t="s">
        <v>739</v>
      </c>
    </row>
    <row r="2064" spans="1:68">
      <c r="A2064" s="33" t="str">
        <f>Database_Productkaarten[[#This Row],[Product]]&amp;", "&amp;Database_Productkaarten[[#This Row],[Levensfase]]</f>
        <v>Kolk, Staal &amp; Beton, C2</v>
      </c>
      <c r="B2064" s="33" t="s">
        <v>247</v>
      </c>
      <c r="C2064" s="33" t="s">
        <v>246</v>
      </c>
      <c r="D2064" s="33" t="s">
        <v>736</v>
      </c>
      <c r="E2064" s="33" t="s">
        <v>724</v>
      </c>
      <c r="F2064" s="33" t="s">
        <v>84</v>
      </c>
      <c r="G2064" s="33">
        <v>0.9</v>
      </c>
      <c r="H2064" s="33">
        <v>0.38</v>
      </c>
      <c r="I2064" s="33">
        <v>0.38</v>
      </c>
      <c r="L2064" s="33" t="s">
        <v>737</v>
      </c>
      <c r="M2064" s="271">
        <v>0.20283999999999999</v>
      </c>
      <c r="N2064" s="41">
        <v>0.1</v>
      </c>
      <c r="O2064" s="33">
        <v>40</v>
      </c>
      <c r="P2064" s="40">
        <v>3.9147381999999996E-6</v>
      </c>
      <c r="Q2064" s="40">
        <v>1.0160837000000001E-2</v>
      </c>
      <c r="R2064" s="40">
        <v>1.3765717</v>
      </c>
      <c r="S2064" s="40">
        <v>2.53675E-7</v>
      </c>
      <c r="T2064" s="40">
        <v>8.1249646000000001E-4</v>
      </c>
      <c r="U2064" s="40">
        <v>5.9680323000000004E-3</v>
      </c>
      <c r="V2064" s="40">
        <v>1.1892667E-3</v>
      </c>
      <c r="W2064" s="40">
        <v>0.55073627999999997</v>
      </c>
      <c r="X2064" s="40">
        <v>1.6152354000000001E-2</v>
      </c>
      <c r="Y2064" s="40">
        <v>58.298633000000002</v>
      </c>
      <c r="Z2064" s="40">
        <v>1.9513292E-3</v>
      </c>
      <c r="AA2064" s="40"/>
      <c r="AB2064" s="40"/>
      <c r="AC2064" s="40"/>
      <c r="AD2064" s="40"/>
      <c r="AE2064" s="40"/>
      <c r="AF2064" s="40"/>
      <c r="AV2064" s="40">
        <v>0.28988636000000001</v>
      </c>
      <c r="AW2064" s="40"/>
      <c r="AX2064" s="40"/>
      <c r="AY2064" s="313">
        <v>22.651668999999998</v>
      </c>
      <c r="AZ2064" s="40"/>
      <c r="BA2064" s="40"/>
      <c r="BB2064" s="40"/>
      <c r="BC2064" s="40">
        <v>4.0738462E-3</v>
      </c>
      <c r="BD2064" s="40">
        <v>1.5643851999999999E-4</v>
      </c>
      <c r="BE2064" s="40">
        <v>1.3020350999999999</v>
      </c>
      <c r="BL2064" s="62">
        <v>0</v>
      </c>
      <c r="BM2064" s="275">
        <v>3</v>
      </c>
      <c r="BN2064" s="62">
        <v>0.03</v>
      </c>
      <c r="BO2064" s="33" t="s">
        <v>738</v>
      </c>
      <c r="BP2064" t="s">
        <v>739</v>
      </c>
    </row>
    <row r="2065" spans="1:72">
      <c r="A2065" s="33" t="str">
        <f>Database_Productkaarten[[#This Row],[Product]]&amp;", "&amp;Database_Productkaarten[[#This Row],[Levensfase]]</f>
        <v>Kolk, Staal &amp; Beton, C3</v>
      </c>
      <c r="B2065" s="33" t="s">
        <v>247</v>
      </c>
      <c r="C2065" s="33" t="s">
        <v>246</v>
      </c>
      <c r="D2065" s="33" t="s">
        <v>736</v>
      </c>
      <c r="E2065" s="33" t="s">
        <v>724</v>
      </c>
      <c r="F2065" s="33" t="s">
        <v>85</v>
      </c>
      <c r="G2065" s="33">
        <v>0.9</v>
      </c>
      <c r="H2065" s="33">
        <v>0.38</v>
      </c>
      <c r="I2065" s="33">
        <v>0.38</v>
      </c>
      <c r="L2065" s="33" t="s">
        <v>737</v>
      </c>
      <c r="M2065" s="271">
        <v>0.20283999999999999</v>
      </c>
      <c r="N2065" s="41">
        <v>0.04</v>
      </c>
      <c r="O2065" s="33">
        <v>40</v>
      </c>
      <c r="P2065" s="40">
        <v>3.5015695000000001E-7</v>
      </c>
      <c r="Q2065" s="40">
        <v>2.7925802999999999E-3</v>
      </c>
      <c r="R2065" s="40">
        <v>8.3094417000000007</v>
      </c>
      <c r="S2065" s="40">
        <v>4.9300028E-8</v>
      </c>
      <c r="T2065" s="40">
        <v>2.0137831999999999E-4</v>
      </c>
      <c r="U2065" s="40">
        <v>2.2127204999999998E-3</v>
      </c>
      <c r="V2065" s="40">
        <v>5.7322755000000002E-4</v>
      </c>
      <c r="W2065" s="40">
        <v>9.6530497000000007E-2</v>
      </c>
      <c r="X2065" s="40">
        <v>2.6485914000000002E-3</v>
      </c>
      <c r="Y2065" s="40">
        <v>7.9787198000000004</v>
      </c>
      <c r="Z2065" s="40">
        <v>1.3546752999999999E-3</v>
      </c>
      <c r="AA2065" s="40"/>
      <c r="AB2065" s="40"/>
      <c r="AC2065" s="40"/>
      <c r="AD2065" s="40"/>
      <c r="AE2065" s="40"/>
      <c r="AF2065" s="40"/>
      <c r="AV2065" s="40">
        <v>0.28420825999999999</v>
      </c>
      <c r="AW2065" s="40"/>
      <c r="AX2065" s="40"/>
      <c r="AY2065" s="313">
        <v>5.8575473000000002</v>
      </c>
      <c r="AZ2065" s="40"/>
      <c r="BA2065" s="40"/>
      <c r="BB2065" s="40"/>
      <c r="BC2065" s="40">
        <v>1.2151591E-2</v>
      </c>
      <c r="BD2065" s="40">
        <v>3.7007410999999997E-5</v>
      </c>
      <c r="BE2065" s="40">
        <v>0.78574314000000001</v>
      </c>
      <c r="BL2065" s="62">
        <v>0</v>
      </c>
      <c r="BM2065" s="275">
        <v>3</v>
      </c>
      <c r="BN2065" s="62">
        <v>0.03</v>
      </c>
      <c r="BO2065" s="33" t="s">
        <v>738</v>
      </c>
      <c r="BP2065" t="s">
        <v>739</v>
      </c>
    </row>
    <row r="2066" spans="1:72">
      <c r="A2066" s="33" t="str">
        <f>Database_Productkaarten[[#This Row],[Product]]&amp;", "&amp;Database_Productkaarten[[#This Row],[Levensfase]]</f>
        <v>Kolk, Staal &amp; Beton, C4</v>
      </c>
      <c r="B2066" s="33" t="s">
        <v>247</v>
      </c>
      <c r="C2066" s="33" t="s">
        <v>246</v>
      </c>
      <c r="D2066" s="33" t="s">
        <v>736</v>
      </c>
      <c r="E2066" s="33" t="s">
        <v>724</v>
      </c>
      <c r="F2066" s="33" t="s">
        <v>86</v>
      </c>
      <c r="G2066" s="33">
        <v>0.9</v>
      </c>
      <c r="H2066" s="33">
        <v>0.38</v>
      </c>
      <c r="I2066" s="33">
        <v>0.38</v>
      </c>
      <c r="L2066" s="33" t="s">
        <v>737</v>
      </c>
      <c r="M2066" s="271">
        <v>0.20283999999999999</v>
      </c>
      <c r="N2066" s="41">
        <v>0</v>
      </c>
      <c r="O2066" s="33">
        <v>40</v>
      </c>
      <c r="P2066" s="40">
        <v>1.8657621999999999E-8</v>
      </c>
      <c r="Q2066" s="40">
        <v>2.2246344999999999E-4</v>
      </c>
      <c r="R2066" s="40">
        <v>1.6346945000000002E-2</v>
      </c>
      <c r="S2066" s="40">
        <v>5.4105816000000002E-9</v>
      </c>
      <c r="T2066" s="40">
        <v>1.7323271000000001E-5</v>
      </c>
      <c r="U2066" s="40">
        <v>1.2079403E-4</v>
      </c>
      <c r="V2066" s="40">
        <v>2.2733703E-5</v>
      </c>
      <c r="W2066" s="40">
        <v>6.6645983000000004E-3</v>
      </c>
      <c r="X2066" s="40">
        <v>1.6572270999999999E-4</v>
      </c>
      <c r="Y2066" s="40">
        <v>0.56998420000000005</v>
      </c>
      <c r="Z2066" s="40">
        <v>1.9737618000000001E-5</v>
      </c>
      <c r="AA2066" s="40"/>
      <c r="AB2066" s="40"/>
      <c r="AC2066" s="40"/>
      <c r="AD2066" s="40"/>
      <c r="AE2066" s="40"/>
      <c r="AF2066" s="40"/>
      <c r="AV2066" s="40">
        <v>1.1916104E-2</v>
      </c>
      <c r="AW2066" s="40"/>
      <c r="AX2066" s="40"/>
      <c r="AY2066" s="313">
        <v>0.49694325</v>
      </c>
      <c r="AZ2066" s="40"/>
      <c r="BA2066" s="40"/>
      <c r="BB2066" s="40"/>
      <c r="BC2066" s="40">
        <v>5.0085533999999997E-4</v>
      </c>
      <c r="BD2066" s="40">
        <v>3.3756988E-6</v>
      </c>
      <c r="BE2066" s="40">
        <v>3.0590115</v>
      </c>
      <c r="BL2066" s="62">
        <v>0</v>
      </c>
      <c r="BM2066" s="275">
        <v>3</v>
      </c>
      <c r="BN2066" s="62">
        <v>0.03</v>
      </c>
      <c r="BO2066" s="33" t="s">
        <v>738</v>
      </c>
      <c r="BP2066" t="s">
        <v>739</v>
      </c>
    </row>
    <row r="2067" spans="1:72">
      <c r="A2067" s="33" t="str">
        <f>Database_Productkaarten[[#This Row],[Product]]&amp;", "&amp;Database_Productkaarten[[#This Row],[Levensfase]]</f>
        <v>Kolk, Staal &amp; Beton, D</v>
      </c>
      <c r="B2067" s="33" t="str">
        <f>B2068</f>
        <v>Kolk, Staal &amp; Beton</v>
      </c>
      <c r="C2067" s="33" t="str">
        <f>C2068</f>
        <v>Waterafvoer</v>
      </c>
      <c r="D2067" s="33" t="str">
        <f>D2068</f>
        <v>Kolk</v>
      </c>
      <c r="E2067" s="33" t="str">
        <f>E2068</f>
        <v>stuk</v>
      </c>
      <c r="F2067" s="33" t="s">
        <v>89</v>
      </c>
      <c r="G2067" s="33">
        <f t="shared" ref="G2067:M2067" si="831">G2068</f>
        <v>0.9</v>
      </c>
      <c r="H2067" s="33">
        <f t="shared" si="831"/>
        <v>0.38</v>
      </c>
      <c r="I2067" s="33">
        <f t="shared" si="831"/>
        <v>0.38</v>
      </c>
      <c r="J2067" s="33">
        <f t="shared" si="831"/>
        <v>0</v>
      </c>
      <c r="K2067" s="33">
        <f t="shared" si="831"/>
        <v>0</v>
      </c>
      <c r="L2067" s="33" t="str">
        <f t="shared" si="831"/>
        <v>NVT</v>
      </c>
      <c r="M2067" s="45">
        <f t="shared" si="831"/>
        <v>0.20283999999999999</v>
      </c>
      <c r="N2067" s="41">
        <f>SUM(N2068:N2069)</f>
        <v>-3.78</v>
      </c>
      <c r="O2067" s="33">
        <v>40</v>
      </c>
      <c r="P2067" s="163">
        <v>-1.4737914999999999E-5</v>
      </c>
      <c r="Q2067" s="163">
        <v>-0.29625850999999997</v>
      </c>
      <c r="R2067" s="163">
        <v>-43.064169999999997</v>
      </c>
      <c r="S2067" s="163">
        <v>-2.1096988000000002E-6</v>
      </c>
      <c r="T2067" s="163">
        <v>-7.2448398999999997E-2</v>
      </c>
      <c r="U2067" s="163">
        <v>-0.18034272000000001</v>
      </c>
      <c r="V2067" s="163">
        <v>-1.8875263E-2</v>
      </c>
      <c r="W2067" s="163">
        <v>-25.240756999999999</v>
      </c>
      <c r="X2067" s="163">
        <v>-0.15343449000000001</v>
      </c>
      <c r="Y2067" s="163">
        <v>-504.75501000000003</v>
      </c>
      <c r="Z2067" s="163">
        <v>-6.8891758999999997E-2</v>
      </c>
      <c r="AA2067" s="40"/>
      <c r="AB2067" s="40"/>
      <c r="AC2067" s="40"/>
      <c r="AD2067" s="40"/>
      <c r="AE2067" s="40"/>
      <c r="AF2067" s="40"/>
      <c r="AG2067" s="40">
        <f t="shared" ref="AG2067:AU2067" si="832">SUM(AG2068:AG2069)</f>
        <v>0</v>
      </c>
      <c r="AH2067" s="40">
        <f t="shared" si="832"/>
        <v>0</v>
      </c>
      <c r="AI2067" s="40">
        <f t="shared" si="832"/>
        <v>0</v>
      </c>
      <c r="AJ2067" s="40">
        <f t="shared" si="832"/>
        <v>0</v>
      </c>
      <c r="AK2067" s="40">
        <f t="shared" si="832"/>
        <v>0</v>
      </c>
      <c r="AL2067" s="40">
        <f t="shared" si="832"/>
        <v>0</v>
      </c>
      <c r="AM2067" s="40">
        <f t="shared" si="832"/>
        <v>0</v>
      </c>
      <c r="AN2067" s="40">
        <f t="shared" si="832"/>
        <v>0</v>
      </c>
      <c r="AO2067" s="40">
        <f t="shared" si="832"/>
        <v>0</v>
      </c>
      <c r="AP2067" s="40">
        <f t="shared" si="832"/>
        <v>0</v>
      </c>
      <c r="AQ2067" s="40">
        <f t="shared" si="832"/>
        <v>0</v>
      </c>
      <c r="AR2067" s="40">
        <f t="shared" si="832"/>
        <v>0</v>
      </c>
      <c r="AS2067" s="40">
        <f t="shared" si="832"/>
        <v>0</v>
      </c>
      <c r="AT2067" s="40">
        <f t="shared" si="832"/>
        <v>0</v>
      </c>
      <c r="AU2067" s="40">
        <f t="shared" si="832"/>
        <v>0</v>
      </c>
      <c r="AV2067" s="163">
        <v>-8.3811198000000005</v>
      </c>
      <c r="AW2067" s="40"/>
      <c r="AX2067" s="40"/>
      <c r="AY2067" s="313">
        <v>-459.49297000000001</v>
      </c>
      <c r="AZ2067" s="40"/>
      <c r="BA2067" s="40"/>
      <c r="BB2067" s="40"/>
      <c r="BC2067" s="40">
        <v>-0.41654373</v>
      </c>
      <c r="BD2067" s="163">
        <v>-4.7837239999999996E-3</v>
      </c>
      <c r="BE2067" s="163">
        <v>-1.7797818999999999</v>
      </c>
      <c r="BF2067" s="40"/>
      <c r="BG2067" s="40"/>
      <c r="BH2067" s="40"/>
      <c r="BI2067" s="40"/>
      <c r="BJ2067" s="40"/>
      <c r="BK2067" s="40"/>
      <c r="BL2067" s="62">
        <f>BL2068</f>
        <v>0</v>
      </c>
      <c r="BM2067" s="275">
        <f>BM2068</f>
        <v>3</v>
      </c>
      <c r="BN2067" s="62">
        <v>0.03</v>
      </c>
      <c r="BO2067" s="33" t="str">
        <f>BO2068</f>
        <v>NMD H25 Leidingwerk V1.4 &amp; DuboCalc 6.0 (27/09/2022)</v>
      </c>
      <c r="BP2067" t="s">
        <v>739</v>
      </c>
    </row>
    <row r="2068" spans="1:72">
      <c r="A2068" s="33" t="str">
        <f>Database_Productkaarten[[#This Row],[Product]]&amp;", "&amp;Database_Productkaarten[[#This Row],[Levensfase]]</f>
        <v>Kolk, Staal &amp; Beton, D1</v>
      </c>
      <c r="B2068" s="33" t="s">
        <v>247</v>
      </c>
      <c r="C2068" s="33" t="s">
        <v>246</v>
      </c>
      <c r="D2068" s="33" t="s">
        <v>736</v>
      </c>
      <c r="E2068" s="33" t="s">
        <v>724</v>
      </c>
      <c r="F2068" s="33" t="s">
        <v>87</v>
      </c>
      <c r="G2068" s="33">
        <v>0.9</v>
      </c>
      <c r="H2068" s="33">
        <v>0.38</v>
      </c>
      <c r="I2068" s="33">
        <v>0.38</v>
      </c>
      <c r="L2068" s="33" t="s">
        <v>737</v>
      </c>
      <c r="M2068" s="271">
        <v>0.20283999999999999</v>
      </c>
      <c r="N2068" s="41">
        <v>-3.78</v>
      </c>
      <c r="O2068" s="33">
        <v>40</v>
      </c>
      <c r="R2068" s="33">
        <f>-29.52-2.1</f>
        <v>-31.62</v>
      </c>
      <c r="AV2068" s="311"/>
      <c r="AY2068" s="311"/>
      <c r="BL2068" s="62">
        <v>0</v>
      </c>
      <c r="BM2068" s="275">
        <v>3</v>
      </c>
      <c r="BN2068" s="62">
        <v>0.03</v>
      </c>
      <c r="BO2068" s="33" t="s">
        <v>738</v>
      </c>
      <c r="BP2068" t="s">
        <v>739</v>
      </c>
    </row>
    <row r="2069" spans="1:72">
      <c r="A2069" s="33" t="str">
        <f>Database_Productkaarten[[#This Row],[Product]]&amp;", "&amp;Database_Productkaarten[[#This Row],[Levensfase]]</f>
        <v>Kolk, Staal &amp; Beton, D2</v>
      </c>
      <c r="B2069" s="33" t="s">
        <v>247</v>
      </c>
      <c r="C2069" s="33" t="s">
        <v>246</v>
      </c>
      <c r="D2069" s="33" t="s">
        <v>736</v>
      </c>
      <c r="E2069" s="33" t="s">
        <v>724</v>
      </c>
      <c r="F2069" s="33" t="s">
        <v>88</v>
      </c>
      <c r="G2069" s="33">
        <v>0.9</v>
      </c>
      <c r="H2069" s="33">
        <v>0.38</v>
      </c>
      <c r="I2069" s="33">
        <v>0.38</v>
      </c>
      <c r="L2069" s="33" t="s">
        <v>737</v>
      </c>
      <c r="M2069" s="271">
        <v>0.20283999999999999</v>
      </c>
      <c r="N2069" s="41"/>
      <c r="O2069" s="33">
        <v>40</v>
      </c>
      <c r="AV2069" s="311"/>
      <c r="AY2069" s="311"/>
      <c r="BL2069" s="62">
        <v>0</v>
      </c>
      <c r="BM2069" s="275">
        <v>3</v>
      </c>
      <c r="BN2069" s="62">
        <v>0.03</v>
      </c>
      <c r="BO2069" s="33" t="s">
        <v>738</v>
      </c>
      <c r="BP2069" t="s">
        <v>739</v>
      </c>
    </row>
    <row r="2070" spans="1:72">
      <c r="A2070" s="33" t="str">
        <f>Database_Productkaarten[[#This Row],[Product]]&amp;", "&amp;Database_Productkaarten[[#This Row],[Levensfase]]</f>
        <v>Kolk, PVC &amp; Gietijzer, Totaal</v>
      </c>
      <c r="B2070" s="33" t="s">
        <v>740</v>
      </c>
      <c r="C2070" s="33" t="s">
        <v>246</v>
      </c>
      <c r="D2070" s="33" t="s">
        <v>736</v>
      </c>
      <c r="E2070" s="33" t="s">
        <v>724</v>
      </c>
      <c r="F2070" s="33" t="s">
        <v>90</v>
      </c>
      <c r="G2070" s="33">
        <v>0.93</v>
      </c>
      <c r="H2070" s="33">
        <v>0.4</v>
      </c>
      <c r="I2070" s="33">
        <v>0.36</v>
      </c>
      <c r="L2070" s="33" t="s">
        <v>737</v>
      </c>
      <c r="M2070" s="33">
        <v>4.1000000000000002E-2</v>
      </c>
      <c r="N2070" s="41"/>
      <c r="O2070" s="33">
        <v>40</v>
      </c>
      <c r="AV2070" s="108"/>
      <c r="AY2070" s="108"/>
      <c r="BL2070" s="62">
        <v>0</v>
      </c>
      <c r="BM2070" s="275">
        <v>3</v>
      </c>
      <c r="BN2070" s="62">
        <v>0.03</v>
      </c>
      <c r="BO2070" s="33" t="s">
        <v>738</v>
      </c>
    </row>
    <row r="2071" spans="1:72">
      <c r="A2071" s="33" t="str">
        <f>Database_Productkaarten[[#This Row],[Product]]&amp;", "&amp;Database_Productkaarten[[#This Row],[Levensfase]]</f>
        <v>Kolk, PVC &amp; Gietijzer, A1</v>
      </c>
      <c r="B2071" s="33" t="s">
        <v>740</v>
      </c>
      <c r="C2071" s="33" t="s">
        <v>246</v>
      </c>
      <c r="D2071" s="33" t="s">
        <v>736</v>
      </c>
      <c r="E2071" s="33" t="s">
        <v>724</v>
      </c>
      <c r="F2071" s="33" t="s">
        <v>74</v>
      </c>
      <c r="G2071" s="33">
        <v>0.93</v>
      </c>
      <c r="H2071" s="33">
        <v>0.4</v>
      </c>
      <c r="I2071" s="33">
        <v>0.36</v>
      </c>
      <c r="L2071" s="33" t="s">
        <v>737</v>
      </c>
      <c r="M2071" s="33">
        <v>4.1000000000000002E-2</v>
      </c>
      <c r="N2071" s="41">
        <v>9.82</v>
      </c>
      <c r="O2071" s="33">
        <v>40</v>
      </c>
      <c r="R2071" s="33">
        <v>83.6</v>
      </c>
      <c r="AV2071" s="108"/>
      <c r="AY2071" s="108"/>
      <c r="BL2071" s="62">
        <v>0</v>
      </c>
      <c r="BM2071" s="275">
        <v>3</v>
      </c>
      <c r="BN2071" s="62">
        <v>0.03</v>
      </c>
      <c r="BO2071" s="33" t="s">
        <v>738</v>
      </c>
      <c r="BT2071" s="33" t="s">
        <v>741</v>
      </c>
    </row>
    <row r="2072" spans="1:72">
      <c r="A2072" s="33" t="str">
        <f>Database_Productkaarten[[#This Row],[Product]]&amp;", "&amp;Database_Productkaarten[[#This Row],[Levensfase]]</f>
        <v>Kolk, PVC &amp; Gietijzer, A2</v>
      </c>
      <c r="B2072" s="33" t="s">
        <v>740</v>
      </c>
      <c r="C2072" s="33" t="s">
        <v>246</v>
      </c>
      <c r="D2072" s="33" t="s">
        <v>736</v>
      </c>
      <c r="E2072" s="33" t="s">
        <v>724</v>
      </c>
      <c r="F2072" s="33" t="s">
        <v>75</v>
      </c>
      <c r="G2072" s="33">
        <v>0.93</v>
      </c>
      <c r="H2072" s="33">
        <v>0.4</v>
      </c>
      <c r="I2072" s="33">
        <v>0.36</v>
      </c>
      <c r="L2072" s="33" t="s">
        <v>737</v>
      </c>
      <c r="M2072" s="33">
        <v>4.1000000000000002E-2</v>
      </c>
      <c r="N2072" s="41"/>
      <c r="O2072" s="33">
        <v>40</v>
      </c>
      <c r="AV2072" s="108"/>
      <c r="AY2072" s="108"/>
      <c r="BL2072" s="62">
        <v>0</v>
      </c>
      <c r="BM2072" s="275">
        <v>3</v>
      </c>
      <c r="BN2072" s="62">
        <v>0.03</v>
      </c>
      <c r="BO2072" s="33" t="s">
        <v>738</v>
      </c>
    </row>
    <row r="2073" spans="1:72">
      <c r="A2073" s="33" t="str">
        <f>Database_Productkaarten[[#This Row],[Product]]&amp;", "&amp;Database_Productkaarten[[#This Row],[Levensfase]]</f>
        <v>Kolk, PVC &amp; Gietijzer, A3</v>
      </c>
      <c r="B2073" s="33" t="s">
        <v>740</v>
      </c>
      <c r="C2073" s="33" t="s">
        <v>246</v>
      </c>
      <c r="D2073" s="33" t="s">
        <v>736</v>
      </c>
      <c r="E2073" s="33" t="s">
        <v>724</v>
      </c>
      <c r="F2073" s="33" t="s">
        <v>76</v>
      </c>
      <c r="G2073" s="33">
        <v>0.93</v>
      </c>
      <c r="H2073" s="33">
        <v>0.4</v>
      </c>
      <c r="I2073" s="33">
        <v>0.36</v>
      </c>
      <c r="L2073" s="33" t="s">
        <v>737</v>
      </c>
      <c r="M2073" s="33">
        <v>4.1000000000000002E-2</v>
      </c>
      <c r="N2073" s="41"/>
      <c r="O2073" s="33">
        <v>40</v>
      </c>
      <c r="AV2073" s="108"/>
      <c r="AY2073" s="108"/>
      <c r="BL2073" s="62">
        <v>0</v>
      </c>
      <c r="BM2073" s="275">
        <v>3</v>
      </c>
      <c r="BN2073" s="62">
        <v>0.03</v>
      </c>
      <c r="BO2073" s="33" t="s">
        <v>738</v>
      </c>
    </row>
    <row r="2074" spans="1:72">
      <c r="A2074" s="451" t="str">
        <f>Database_Productkaarten[[#This Row],[Product]]&amp;", "&amp;Database_Productkaarten[[#This Row],[Levensfase]]</f>
        <v>Kolk, PVC &amp; Gietijzer, A1-A3</v>
      </c>
      <c r="B2074" s="451" t="str">
        <f>B2073</f>
        <v>Kolk, PVC &amp; Gietijzer</v>
      </c>
      <c r="C2074" s="451" t="str">
        <f>C2073</f>
        <v>Waterafvoer</v>
      </c>
      <c r="D2074" s="451" t="str">
        <f>D2073</f>
        <v>Kolk</v>
      </c>
      <c r="E2074" s="451" t="str">
        <f>E2073</f>
        <v>stuk</v>
      </c>
      <c r="F2074" s="451" t="s">
        <v>77</v>
      </c>
      <c r="G2074" s="451">
        <f t="shared" ref="G2074:M2074" si="833">G2073</f>
        <v>0.93</v>
      </c>
      <c r="H2074" s="451">
        <f t="shared" si="833"/>
        <v>0.4</v>
      </c>
      <c r="I2074" s="451">
        <f t="shared" si="833"/>
        <v>0.36</v>
      </c>
      <c r="J2074" s="451">
        <f t="shared" si="833"/>
        <v>0</v>
      </c>
      <c r="K2074" s="451">
        <f t="shared" si="833"/>
        <v>0</v>
      </c>
      <c r="L2074" s="451" t="str">
        <f t="shared" si="833"/>
        <v>NVT</v>
      </c>
      <c r="M2074" s="454">
        <f t="shared" si="833"/>
        <v>4.1000000000000002E-2</v>
      </c>
      <c r="N2074" s="452">
        <f>SUM(N2071:N2073)</f>
        <v>9.82</v>
      </c>
      <c r="O2074" s="33">
        <v>40</v>
      </c>
      <c r="P2074" s="453">
        <f t="shared" ref="P2074:BK2074" si="834">SUM(P2071:P2073)</f>
        <v>0</v>
      </c>
      <c r="Q2074" s="453">
        <f t="shared" si="834"/>
        <v>0</v>
      </c>
      <c r="R2074" s="453">
        <f t="shared" si="834"/>
        <v>83.6</v>
      </c>
      <c r="S2074" s="453">
        <f t="shared" si="834"/>
        <v>0</v>
      </c>
      <c r="T2074" s="453">
        <f t="shared" si="834"/>
        <v>0</v>
      </c>
      <c r="U2074" s="453">
        <f t="shared" si="834"/>
        <v>0</v>
      </c>
      <c r="V2074" s="453">
        <f t="shared" si="834"/>
        <v>0</v>
      </c>
      <c r="W2074" s="453">
        <f t="shared" si="834"/>
        <v>0</v>
      </c>
      <c r="X2074" s="453">
        <f t="shared" si="834"/>
        <v>0</v>
      </c>
      <c r="Y2074" s="453">
        <f t="shared" si="834"/>
        <v>0</v>
      </c>
      <c r="Z2074" s="453">
        <f t="shared" si="834"/>
        <v>0</v>
      </c>
      <c r="AA2074" s="453">
        <f t="shared" si="834"/>
        <v>0</v>
      </c>
      <c r="AB2074" s="453">
        <f t="shared" si="834"/>
        <v>0</v>
      </c>
      <c r="AC2074" s="453">
        <f t="shared" si="834"/>
        <v>0</v>
      </c>
      <c r="AD2074" s="453">
        <f t="shared" si="834"/>
        <v>0</v>
      </c>
      <c r="AE2074" s="453">
        <f t="shared" si="834"/>
        <v>0</v>
      </c>
      <c r="AF2074" s="453">
        <f t="shared" si="834"/>
        <v>0</v>
      </c>
      <c r="AG2074" s="453">
        <f t="shared" si="834"/>
        <v>0</v>
      </c>
      <c r="AH2074" s="453">
        <f t="shared" si="834"/>
        <v>0</v>
      </c>
      <c r="AI2074" s="453">
        <f t="shared" si="834"/>
        <v>0</v>
      </c>
      <c r="AJ2074" s="453">
        <f t="shared" si="834"/>
        <v>0</v>
      </c>
      <c r="AK2074" s="453">
        <f t="shared" si="834"/>
        <v>0</v>
      </c>
      <c r="AL2074" s="453">
        <f t="shared" si="834"/>
        <v>0</v>
      </c>
      <c r="AM2074" s="453">
        <f t="shared" si="834"/>
        <v>0</v>
      </c>
      <c r="AN2074" s="453">
        <f t="shared" si="834"/>
        <v>0</v>
      </c>
      <c r="AO2074" s="453">
        <f t="shared" si="834"/>
        <v>0</v>
      </c>
      <c r="AP2074" s="453">
        <f t="shared" si="834"/>
        <v>0</v>
      </c>
      <c r="AQ2074" s="453">
        <f t="shared" si="834"/>
        <v>0</v>
      </c>
      <c r="AR2074" s="453">
        <f t="shared" si="834"/>
        <v>0</v>
      </c>
      <c r="AS2074" s="453">
        <f t="shared" si="834"/>
        <v>0</v>
      </c>
      <c r="AT2074" s="453">
        <f t="shared" si="834"/>
        <v>0</v>
      </c>
      <c r="AU2074" s="453">
        <f t="shared" si="834"/>
        <v>0</v>
      </c>
      <c r="AV2074" s="453">
        <f t="shared" si="834"/>
        <v>0</v>
      </c>
      <c r="AW2074" s="453">
        <f t="shared" si="834"/>
        <v>0</v>
      </c>
      <c r="AX2074" s="453">
        <f t="shared" si="834"/>
        <v>0</v>
      </c>
      <c r="AY2074" s="453">
        <f t="shared" si="834"/>
        <v>0</v>
      </c>
      <c r="AZ2074" s="453">
        <f t="shared" si="834"/>
        <v>0</v>
      </c>
      <c r="BA2074" s="453">
        <f t="shared" si="834"/>
        <v>0</v>
      </c>
      <c r="BB2074" s="453">
        <f t="shared" si="834"/>
        <v>0</v>
      </c>
      <c r="BC2074" s="453">
        <f t="shared" si="834"/>
        <v>0</v>
      </c>
      <c r="BD2074" s="453">
        <f t="shared" si="834"/>
        <v>0</v>
      </c>
      <c r="BE2074" s="453">
        <f t="shared" si="834"/>
        <v>0</v>
      </c>
      <c r="BF2074" s="453">
        <f t="shared" si="834"/>
        <v>0</v>
      </c>
      <c r="BG2074" s="453">
        <f t="shared" si="834"/>
        <v>0</v>
      </c>
      <c r="BH2074" s="453">
        <f t="shared" si="834"/>
        <v>0</v>
      </c>
      <c r="BI2074" s="453">
        <f t="shared" si="834"/>
        <v>0</v>
      </c>
      <c r="BJ2074" s="453">
        <f t="shared" si="834"/>
        <v>0</v>
      </c>
      <c r="BK2074" s="453">
        <f t="shared" si="834"/>
        <v>0</v>
      </c>
      <c r="BL2074" s="62">
        <f>BL2073</f>
        <v>0</v>
      </c>
      <c r="BM2074" s="275">
        <f>BM2073</f>
        <v>3</v>
      </c>
      <c r="BN2074" s="62">
        <v>0.03</v>
      </c>
      <c r="BO2074" s="451" t="str">
        <f>BO2073</f>
        <v>NMD H25 Leidingwerk V1.4 &amp; DuboCalc 6.0 (27/09/2022)</v>
      </c>
      <c r="BP2074" s="451"/>
    </row>
    <row r="2075" spans="1:72">
      <c r="A2075" s="33" t="str">
        <f>Database_Productkaarten[[#This Row],[Product]]&amp;", "&amp;Database_Productkaarten[[#This Row],[Levensfase]]</f>
        <v>Kolk, PVC &amp; Gietijzer, A4</v>
      </c>
      <c r="B2075" s="33" t="s">
        <v>740</v>
      </c>
      <c r="C2075" s="33" t="s">
        <v>246</v>
      </c>
      <c r="D2075" s="33" t="s">
        <v>736</v>
      </c>
      <c r="E2075" s="33" t="s">
        <v>724</v>
      </c>
      <c r="F2075" s="33" t="s">
        <v>78</v>
      </c>
      <c r="G2075" s="33">
        <v>0.93</v>
      </c>
      <c r="H2075" s="33">
        <v>0.4</v>
      </c>
      <c r="I2075" s="33">
        <v>0.36</v>
      </c>
      <c r="L2075" s="33" t="s">
        <v>737</v>
      </c>
      <c r="M2075" s="33">
        <v>4.1000000000000002E-2</v>
      </c>
      <c r="N2075" s="41">
        <v>0.1</v>
      </c>
      <c r="O2075" s="33">
        <v>40</v>
      </c>
      <c r="R2075" s="33">
        <v>0.8</v>
      </c>
      <c r="AV2075" s="108"/>
      <c r="AY2075" s="108"/>
      <c r="BL2075" s="62">
        <v>0</v>
      </c>
      <c r="BM2075" s="275">
        <v>3</v>
      </c>
      <c r="BN2075" s="62">
        <v>0.03</v>
      </c>
      <c r="BO2075" s="33" t="s">
        <v>738</v>
      </c>
    </row>
    <row r="2076" spans="1:72">
      <c r="A2076" s="33" t="str">
        <f>Database_Productkaarten[[#This Row],[Product]]&amp;", "&amp;Database_Productkaarten[[#This Row],[Levensfase]]</f>
        <v>Kolk, PVC &amp; Gietijzer, A5</v>
      </c>
      <c r="B2076" s="33" t="s">
        <v>740</v>
      </c>
      <c r="C2076" s="33" t="s">
        <v>246</v>
      </c>
      <c r="D2076" s="33" t="s">
        <v>736</v>
      </c>
      <c r="E2076" s="33" t="s">
        <v>724</v>
      </c>
      <c r="F2076" s="33" t="s">
        <v>79</v>
      </c>
      <c r="G2076" s="33">
        <v>0.93</v>
      </c>
      <c r="H2076" s="33">
        <v>0.4</v>
      </c>
      <c r="I2076" s="33">
        <v>0.36</v>
      </c>
      <c r="L2076" s="33" t="s">
        <v>737</v>
      </c>
      <c r="M2076" s="33">
        <v>4.1000000000000002E-2</v>
      </c>
      <c r="N2076" s="41">
        <v>3.88</v>
      </c>
      <c r="O2076" s="33">
        <v>40</v>
      </c>
      <c r="R2076" s="33">
        <v>29.83</v>
      </c>
      <c r="AV2076" s="108"/>
      <c r="AY2076" s="108"/>
      <c r="BL2076" s="62">
        <v>0</v>
      </c>
      <c r="BM2076" s="275">
        <v>3</v>
      </c>
      <c r="BN2076" s="62">
        <v>0.03</v>
      </c>
      <c r="BO2076" s="33" t="s">
        <v>738</v>
      </c>
    </row>
    <row r="2077" spans="1:72">
      <c r="A2077" s="33" t="str">
        <f>Database_Productkaarten[[#This Row],[Product]]&amp;", "&amp;Database_Productkaarten[[#This Row],[Levensfase]]</f>
        <v>Kolk, PVC &amp; Gietijzer, B1</v>
      </c>
      <c r="B2077" s="33" t="s">
        <v>740</v>
      </c>
      <c r="C2077" s="33" t="s">
        <v>246</v>
      </c>
      <c r="D2077" s="33" t="s">
        <v>736</v>
      </c>
      <c r="E2077" s="33" t="s">
        <v>724</v>
      </c>
      <c r="F2077" s="33" t="s">
        <v>80</v>
      </c>
      <c r="G2077" s="33">
        <v>0.93</v>
      </c>
      <c r="H2077" s="33">
        <v>0.4</v>
      </c>
      <c r="I2077" s="33">
        <v>0.36</v>
      </c>
      <c r="L2077" s="33" t="s">
        <v>737</v>
      </c>
      <c r="M2077" s="33">
        <v>4.1000000000000002E-2</v>
      </c>
      <c r="N2077" s="41"/>
      <c r="O2077" s="33">
        <v>40</v>
      </c>
      <c r="AV2077" s="108"/>
      <c r="AY2077" s="108"/>
      <c r="BL2077" s="62">
        <v>0</v>
      </c>
      <c r="BM2077" s="275">
        <v>3</v>
      </c>
      <c r="BN2077" s="62">
        <v>0.03</v>
      </c>
      <c r="BO2077" s="33" t="s">
        <v>738</v>
      </c>
    </row>
    <row r="2078" spans="1:72">
      <c r="A2078" s="33" t="str">
        <f>Database_Productkaarten[[#This Row],[Product]]&amp;", "&amp;Database_Productkaarten[[#This Row],[Levensfase]]</f>
        <v>Kolk, PVC &amp; Gietijzer, C1</v>
      </c>
      <c r="B2078" s="33" t="s">
        <v>740</v>
      </c>
      <c r="C2078" s="33" t="s">
        <v>246</v>
      </c>
      <c r="D2078" s="33" t="s">
        <v>736</v>
      </c>
      <c r="E2078" s="33" t="s">
        <v>724</v>
      </c>
      <c r="F2078" s="33" t="s">
        <v>83</v>
      </c>
      <c r="G2078" s="33">
        <v>0.93</v>
      </c>
      <c r="H2078" s="33">
        <v>0.4</v>
      </c>
      <c r="I2078" s="33">
        <v>0.36</v>
      </c>
      <c r="L2078" s="33" t="s">
        <v>737</v>
      </c>
      <c r="M2078" s="33">
        <v>4.1000000000000002E-2</v>
      </c>
      <c r="N2078" s="41">
        <v>3.94</v>
      </c>
      <c r="O2078" s="33">
        <v>40</v>
      </c>
      <c r="R2078" s="33">
        <v>26.24</v>
      </c>
      <c r="AV2078" s="108"/>
      <c r="AY2078" s="108"/>
      <c r="BL2078" s="62">
        <v>0</v>
      </c>
      <c r="BM2078" s="275">
        <v>3</v>
      </c>
      <c r="BN2078" s="62">
        <v>0.03</v>
      </c>
      <c r="BO2078" s="33" t="s">
        <v>738</v>
      </c>
    </row>
    <row r="2079" spans="1:72">
      <c r="A2079" s="33" t="str">
        <f>Database_Productkaarten[[#This Row],[Product]]&amp;", "&amp;Database_Productkaarten[[#This Row],[Levensfase]]</f>
        <v>Kolk, PVC &amp; Gietijzer, C2</v>
      </c>
      <c r="B2079" s="33" t="s">
        <v>740</v>
      </c>
      <c r="C2079" s="33" t="s">
        <v>246</v>
      </c>
      <c r="D2079" s="33" t="s">
        <v>736</v>
      </c>
      <c r="E2079" s="33" t="s">
        <v>724</v>
      </c>
      <c r="F2079" s="33" t="s">
        <v>84</v>
      </c>
      <c r="G2079" s="33">
        <v>0.93</v>
      </c>
      <c r="H2079" s="33">
        <v>0.4</v>
      </c>
      <c r="I2079" s="33">
        <v>0.36</v>
      </c>
      <c r="L2079" s="33" t="s">
        <v>737</v>
      </c>
      <c r="M2079" s="33">
        <v>4.1000000000000002E-2</v>
      </c>
      <c r="N2079" s="41">
        <v>0.06</v>
      </c>
      <c r="O2079" s="33">
        <v>40</v>
      </c>
      <c r="R2079" s="33">
        <v>0.46</v>
      </c>
      <c r="AV2079" s="108"/>
      <c r="AY2079" s="108"/>
      <c r="BL2079" s="62">
        <v>0</v>
      </c>
      <c r="BM2079" s="275">
        <v>3</v>
      </c>
      <c r="BN2079" s="62">
        <v>0.03</v>
      </c>
      <c r="BO2079" s="33" t="s">
        <v>738</v>
      </c>
    </row>
    <row r="2080" spans="1:72">
      <c r="A2080" s="33" t="str">
        <f>Database_Productkaarten[[#This Row],[Product]]&amp;", "&amp;Database_Productkaarten[[#This Row],[Levensfase]]</f>
        <v>Kolk, PVC &amp; Gietijzer, C3</v>
      </c>
      <c r="B2080" s="33" t="s">
        <v>740</v>
      </c>
      <c r="C2080" s="33" t="s">
        <v>246</v>
      </c>
      <c r="D2080" s="33" t="s">
        <v>736</v>
      </c>
      <c r="E2080" s="33" t="s">
        <v>724</v>
      </c>
      <c r="F2080" s="33" t="s">
        <v>85</v>
      </c>
      <c r="G2080" s="33">
        <v>0.93</v>
      </c>
      <c r="H2080" s="33">
        <v>0.4</v>
      </c>
      <c r="I2080" s="33">
        <v>0.36</v>
      </c>
      <c r="L2080" s="33" t="s">
        <v>737</v>
      </c>
      <c r="M2080" s="33">
        <v>4.1000000000000002E-2</v>
      </c>
      <c r="N2080" s="41">
        <v>2.76</v>
      </c>
      <c r="O2080" s="33">
        <v>40</v>
      </c>
      <c r="R2080" s="33">
        <v>34.79</v>
      </c>
      <c r="AV2080" s="108"/>
      <c r="AY2080" s="108"/>
      <c r="BL2080" s="62">
        <v>0</v>
      </c>
      <c r="BM2080" s="275">
        <v>3</v>
      </c>
      <c r="BN2080" s="62">
        <v>0.03</v>
      </c>
      <c r="BO2080" s="33" t="s">
        <v>738</v>
      </c>
    </row>
    <row r="2081" spans="1:68">
      <c r="A2081" s="33" t="str">
        <f>Database_Productkaarten[[#This Row],[Product]]&amp;", "&amp;Database_Productkaarten[[#This Row],[Levensfase]]</f>
        <v>Kolk, PVC &amp; Gietijzer, C4</v>
      </c>
      <c r="B2081" s="33" t="s">
        <v>740</v>
      </c>
      <c r="C2081" s="33" t="s">
        <v>246</v>
      </c>
      <c r="D2081" s="33" t="s">
        <v>736</v>
      </c>
      <c r="E2081" s="33" t="s">
        <v>724</v>
      </c>
      <c r="F2081" s="33" t="s">
        <v>86</v>
      </c>
      <c r="G2081" s="33">
        <v>0.93</v>
      </c>
      <c r="H2081" s="33">
        <v>0.4</v>
      </c>
      <c r="I2081" s="33">
        <v>0.36</v>
      </c>
      <c r="L2081" s="33" t="s">
        <v>737</v>
      </c>
      <c r="M2081" s="33">
        <v>4.1000000000000002E-2</v>
      </c>
      <c r="N2081" s="41">
        <v>0</v>
      </c>
      <c r="O2081" s="33">
        <v>40</v>
      </c>
      <c r="R2081" s="33">
        <v>0.01</v>
      </c>
      <c r="AV2081" s="108"/>
      <c r="AY2081" s="108"/>
      <c r="BL2081" s="62">
        <v>0</v>
      </c>
      <c r="BM2081" s="275">
        <v>3</v>
      </c>
      <c r="BN2081" s="62">
        <v>0.03</v>
      </c>
      <c r="BO2081" s="33" t="s">
        <v>738</v>
      </c>
    </row>
    <row r="2082" spans="1:68">
      <c r="A2082" s="33" t="str">
        <f>Database_Productkaarten[[#This Row],[Product]]&amp;", "&amp;Database_Productkaarten[[#This Row],[Levensfase]]</f>
        <v>Kolk, PVC &amp; Gietijzer, D</v>
      </c>
      <c r="B2082" s="33" t="str">
        <f>B2083</f>
        <v>Kolk, PVC &amp; Gietijzer</v>
      </c>
      <c r="C2082" s="33" t="str">
        <f>C2083</f>
        <v>Waterafvoer</v>
      </c>
      <c r="D2082" s="33" t="str">
        <f>D2083</f>
        <v>Kolk</v>
      </c>
      <c r="E2082" s="33" t="str">
        <f>E2083</f>
        <v>stuk</v>
      </c>
      <c r="F2082" s="33" t="s">
        <v>89</v>
      </c>
      <c r="G2082" s="33">
        <f t="shared" ref="G2082:M2082" si="835">G2083</f>
        <v>0.93</v>
      </c>
      <c r="H2082" s="33">
        <f t="shared" si="835"/>
        <v>0.4</v>
      </c>
      <c r="I2082" s="33">
        <f t="shared" si="835"/>
        <v>0.36</v>
      </c>
      <c r="J2082" s="33">
        <f t="shared" si="835"/>
        <v>0</v>
      </c>
      <c r="K2082" s="33">
        <f t="shared" si="835"/>
        <v>0</v>
      </c>
      <c r="L2082" s="33" t="str">
        <f t="shared" si="835"/>
        <v>NVT</v>
      </c>
      <c r="M2082" s="45">
        <f t="shared" si="835"/>
        <v>4.1000000000000002E-2</v>
      </c>
      <c r="N2082" s="41">
        <f>SUM(N2083:N2084)</f>
        <v>-4.68</v>
      </c>
      <c r="O2082" s="33">
        <v>40</v>
      </c>
      <c r="P2082" s="40">
        <f>SUM(P2083:P2084)</f>
        <v>0</v>
      </c>
      <c r="Q2082" s="40">
        <f>SUM(Q2083:Q2084)</f>
        <v>0</v>
      </c>
      <c r="R2082" s="40">
        <f>SUM(R2083:R2084)</f>
        <v>-44.3</v>
      </c>
      <c r="S2082" s="40">
        <f t="shared" ref="S2082:BK2082" si="836">SUM(S2083:S2084)</f>
        <v>0</v>
      </c>
      <c r="T2082" s="40">
        <f t="shared" si="836"/>
        <v>0</v>
      </c>
      <c r="U2082" s="40">
        <f t="shared" si="836"/>
        <v>0</v>
      </c>
      <c r="V2082" s="40">
        <f t="shared" si="836"/>
        <v>0</v>
      </c>
      <c r="W2082" s="40">
        <f t="shared" si="836"/>
        <v>0</v>
      </c>
      <c r="X2082" s="40">
        <f t="shared" si="836"/>
        <v>0</v>
      </c>
      <c r="Y2082" s="40">
        <f t="shared" si="836"/>
        <v>0</v>
      </c>
      <c r="Z2082" s="40">
        <f t="shared" si="836"/>
        <v>0</v>
      </c>
      <c r="AA2082" s="40">
        <f t="shared" si="836"/>
        <v>0</v>
      </c>
      <c r="AB2082" s="40">
        <f t="shared" si="836"/>
        <v>0</v>
      </c>
      <c r="AC2082" s="40">
        <f t="shared" si="836"/>
        <v>0</v>
      </c>
      <c r="AD2082" s="40">
        <f t="shared" si="836"/>
        <v>0</v>
      </c>
      <c r="AE2082" s="40">
        <f t="shared" si="836"/>
        <v>0</v>
      </c>
      <c r="AF2082" s="40">
        <f t="shared" si="836"/>
        <v>0</v>
      </c>
      <c r="AG2082" s="40">
        <f t="shared" si="836"/>
        <v>0</v>
      </c>
      <c r="AH2082" s="40">
        <f t="shared" si="836"/>
        <v>0</v>
      </c>
      <c r="AI2082" s="40">
        <f t="shared" si="836"/>
        <v>0</v>
      </c>
      <c r="AJ2082" s="40">
        <f t="shared" si="836"/>
        <v>0</v>
      </c>
      <c r="AK2082" s="40">
        <f t="shared" si="836"/>
        <v>0</v>
      </c>
      <c r="AL2082" s="40">
        <f t="shared" si="836"/>
        <v>0</v>
      </c>
      <c r="AM2082" s="40">
        <f t="shared" si="836"/>
        <v>0</v>
      </c>
      <c r="AN2082" s="40">
        <f t="shared" si="836"/>
        <v>0</v>
      </c>
      <c r="AO2082" s="40">
        <f t="shared" si="836"/>
        <v>0</v>
      </c>
      <c r="AP2082" s="40">
        <f t="shared" si="836"/>
        <v>0</v>
      </c>
      <c r="AQ2082" s="40">
        <f t="shared" si="836"/>
        <v>0</v>
      </c>
      <c r="AR2082" s="40">
        <f t="shared" si="836"/>
        <v>0</v>
      </c>
      <c r="AS2082" s="40">
        <f t="shared" si="836"/>
        <v>0</v>
      </c>
      <c r="AT2082" s="40">
        <f t="shared" si="836"/>
        <v>0</v>
      </c>
      <c r="AU2082" s="40">
        <f t="shared" si="836"/>
        <v>0</v>
      </c>
      <c r="AV2082" s="40">
        <f t="shared" si="836"/>
        <v>0</v>
      </c>
      <c r="AW2082" s="40">
        <f t="shared" si="836"/>
        <v>0</v>
      </c>
      <c r="AX2082" s="40">
        <f t="shared" si="836"/>
        <v>0</v>
      </c>
      <c r="AY2082" s="40">
        <f t="shared" si="836"/>
        <v>0</v>
      </c>
      <c r="AZ2082" s="40">
        <f t="shared" si="836"/>
        <v>0</v>
      </c>
      <c r="BA2082" s="40">
        <f t="shared" si="836"/>
        <v>0</v>
      </c>
      <c r="BB2082" s="40">
        <f t="shared" si="836"/>
        <v>0</v>
      </c>
      <c r="BC2082" s="40">
        <f t="shared" si="836"/>
        <v>0</v>
      </c>
      <c r="BD2082" s="40">
        <f t="shared" si="836"/>
        <v>0</v>
      </c>
      <c r="BE2082" s="40">
        <f t="shared" si="836"/>
        <v>0</v>
      </c>
      <c r="BF2082" s="40">
        <f t="shared" si="836"/>
        <v>0</v>
      </c>
      <c r="BG2082" s="40">
        <f t="shared" si="836"/>
        <v>0</v>
      </c>
      <c r="BH2082" s="40">
        <f t="shared" si="836"/>
        <v>0</v>
      </c>
      <c r="BI2082" s="40">
        <f t="shared" si="836"/>
        <v>0</v>
      </c>
      <c r="BJ2082" s="40">
        <f t="shared" si="836"/>
        <v>0</v>
      </c>
      <c r="BK2082" s="40">
        <f t="shared" si="836"/>
        <v>0</v>
      </c>
      <c r="BL2082" s="62">
        <f>BL2083</f>
        <v>0</v>
      </c>
      <c r="BM2082" s="275">
        <f>BM2083</f>
        <v>3</v>
      </c>
      <c r="BN2082" s="62">
        <v>0.03</v>
      </c>
      <c r="BO2082" s="33" t="str">
        <f>BO2083</f>
        <v>NMD H25 Leidingwerk V1.4 &amp; DuboCalc 6.0 (27/09/2022)</v>
      </c>
    </row>
    <row r="2083" spans="1:68">
      <c r="A2083" s="33" t="str">
        <f>Database_Productkaarten[[#This Row],[Product]]&amp;", "&amp;Database_Productkaarten[[#This Row],[Levensfase]]</f>
        <v>Kolk, PVC &amp; Gietijzer, D1</v>
      </c>
      <c r="B2083" s="33" t="s">
        <v>740</v>
      </c>
      <c r="C2083" s="33" t="s">
        <v>246</v>
      </c>
      <c r="D2083" s="33" t="s">
        <v>736</v>
      </c>
      <c r="E2083" s="33" t="s">
        <v>724</v>
      </c>
      <c r="F2083" s="33" t="s">
        <v>87</v>
      </c>
      <c r="G2083" s="33">
        <v>0.93</v>
      </c>
      <c r="H2083" s="33">
        <v>0.4</v>
      </c>
      <c r="I2083" s="33">
        <v>0.36</v>
      </c>
      <c r="L2083" s="33" t="s">
        <v>737</v>
      </c>
      <c r="M2083" s="33">
        <v>4.1000000000000002E-2</v>
      </c>
      <c r="N2083" s="41">
        <v>-4.68</v>
      </c>
      <c r="O2083" s="33">
        <v>40</v>
      </c>
      <c r="R2083" s="33">
        <v>-44.3</v>
      </c>
      <c r="AV2083" s="108"/>
      <c r="AY2083" s="108"/>
      <c r="BL2083" s="62">
        <v>0</v>
      </c>
      <c r="BM2083" s="275">
        <v>3</v>
      </c>
      <c r="BN2083" s="62">
        <v>0.03</v>
      </c>
      <c r="BO2083" s="33" t="s">
        <v>738</v>
      </c>
    </row>
    <row r="2084" spans="1:68">
      <c r="A2084" s="33" t="str">
        <f>Database_Productkaarten[[#This Row],[Product]]&amp;", "&amp;Database_Productkaarten[[#This Row],[Levensfase]]</f>
        <v>Kolk, PVC &amp; Gietijzer, D2</v>
      </c>
      <c r="B2084" s="33" t="s">
        <v>740</v>
      </c>
      <c r="C2084" s="33" t="s">
        <v>246</v>
      </c>
      <c r="D2084" s="33" t="s">
        <v>736</v>
      </c>
      <c r="E2084" s="33" t="s">
        <v>724</v>
      </c>
      <c r="F2084" s="33" t="s">
        <v>88</v>
      </c>
      <c r="G2084" s="33">
        <v>0.93</v>
      </c>
      <c r="H2084" s="33">
        <v>0.4</v>
      </c>
      <c r="I2084" s="33">
        <v>0.36</v>
      </c>
      <c r="L2084" s="33" t="s">
        <v>737</v>
      </c>
      <c r="M2084" s="33">
        <v>4.1000000000000002E-2</v>
      </c>
      <c r="N2084" s="41"/>
      <c r="O2084" s="33">
        <v>40</v>
      </c>
      <c r="AV2084" s="108"/>
      <c r="AY2084" s="108"/>
      <c r="BL2084" s="62">
        <v>0</v>
      </c>
      <c r="BM2084" s="275">
        <v>3</v>
      </c>
      <c r="BN2084" s="62">
        <v>0.03</v>
      </c>
      <c r="BO2084" s="33" t="s">
        <v>738</v>
      </c>
    </row>
    <row r="2085" spans="1:68">
      <c r="A2085" s="33" t="str">
        <f>Database_Productkaarten[[#This Row],[Product]]&amp;", "&amp;Database_Productkaarten[[#This Row],[Levensfase]]</f>
        <v>Kolk, HDPE &amp; Gietijzer, Totaal</v>
      </c>
      <c r="B2085" s="33" t="s">
        <v>742</v>
      </c>
      <c r="C2085" s="33" t="s">
        <v>246</v>
      </c>
      <c r="D2085" s="33" t="s">
        <v>736</v>
      </c>
      <c r="E2085" s="33" t="s">
        <v>724</v>
      </c>
      <c r="F2085" s="33" t="s">
        <v>90</v>
      </c>
      <c r="G2085" s="33">
        <v>0.93</v>
      </c>
      <c r="H2085" s="33">
        <v>0.4</v>
      </c>
      <c r="I2085" s="33">
        <v>0.36</v>
      </c>
      <c r="L2085" s="33" t="s">
        <v>737</v>
      </c>
      <c r="M2085" s="33">
        <v>4.1000000000000002E-2</v>
      </c>
      <c r="N2085" s="41"/>
      <c r="O2085" s="33">
        <v>40</v>
      </c>
      <c r="AV2085" s="108"/>
      <c r="AY2085" s="108"/>
      <c r="BL2085" s="62">
        <v>0</v>
      </c>
      <c r="BM2085" s="275">
        <v>3</v>
      </c>
      <c r="BN2085" s="62">
        <v>0.03</v>
      </c>
      <c r="BO2085" s="33" t="s">
        <v>738</v>
      </c>
    </row>
    <row r="2086" spans="1:68">
      <c r="A2086" s="33" t="str">
        <f>Database_Productkaarten[[#This Row],[Product]]&amp;", "&amp;Database_Productkaarten[[#This Row],[Levensfase]]</f>
        <v>Kolk, HDPE &amp; Gietijzer, A1</v>
      </c>
      <c r="B2086" s="33" t="s">
        <v>742</v>
      </c>
      <c r="C2086" s="33" t="s">
        <v>246</v>
      </c>
      <c r="D2086" s="33" t="s">
        <v>736</v>
      </c>
      <c r="E2086" s="33" t="s">
        <v>724</v>
      </c>
      <c r="F2086" s="33" t="s">
        <v>74</v>
      </c>
      <c r="G2086" s="33">
        <v>0.93</v>
      </c>
      <c r="H2086" s="33">
        <v>0.4</v>
      </c>
      <c r="I2086" s="33">
        <v>0.36</v>
      </c>
      <c r="L2086" s="33" t="s">
        <v>737</v>
      </c>
      <c r="M2086" s="33">
        <v>4.1000000000000002E-2</v>
      </c>
      <c r="N2086" s="41">
        <v>9.66</v>
      </c>
      <c r="O2086" s="33">
        <v>40</v>
      </c>
      <c r="R2086" s="33">
        <v>84.73</v>
      </c>
      <c r="AV2086" s="108"/>
      <c r="AY2086" s="108"/>
      <c r="BL2086" s="62">
        <v>0</v>
      </c>
      <c r="BM2086" s="275">
        <v>3</v>
      </c>
      <c r="BN2086" s="62">
        <v>0.03</v>
      </c>
      <c r="BO2086" s="33" t="s">
        <v>738</v>
      </c>
    </row>
    <row r="2087" spans="1:68">
      <c r="A2087" s="33" t="str">
        <f>Database_Productkaarten[[#This Row],[Product]]&amp;", "&amp;Database_Productkaarten[[#This Row],[Levensfase]]</f>
        <v>Kolk, HDPE &amp; Gietijzer, A2</v>
      </c>
      <c r="B2087" s="33" t="s">
        <v>742</v>
      </c>
      <c r="C2087" s="33" t="s">
        <v>246</v>
      </c>
      <c r="D2087" s="33" t="s">
        <v>736</v>
      </c>
      <c r="E2087" s="33" t="s">
        <v>724</v>
      </c>
      <c r="F2087" s="33" t="s">
        <v>75</v>
      </c>
      <c r="G2087" s="33">
        <v>0.93</v>
      </c>
      <c r="H2087" s="33">
        <v>0.4</v>
      </c>
      <c r="I2087" s="33">
        <v>0.36</v>
      </c>
      <c r="L2087" s="33" t="s">
        <v>737</v>
      </c>
      <c r="M2087" s="33">
        <v>4.1000000000000002E-2</v>
      </c>
      <c r="N2087" s="41"/>
      <c r="O2087" s="33">
        <v>40</v>
      </c>
      <c r="AV2087" s="108"/>
      <c r="AY2087" s="108"/>
      <c r="BL2087" s="62">
        <v>0</v>
      </c>
      <c r="BM2087" s="275">
        <v>3</v>
      </c>
      <c r="BN2087" s="62">
        <v>0.03</v>
      </c>
      <c r="BO2087" s="33" t="s">
        <v>738</v>
      </c>
    </row>
    <row r="2088" spans="1:68">
      <c r="A2088" s="33" t="str">
        <f>Database_Productkaarten[[#This Row],[Product]]&amp;", "&amp;Database_Productkaarten[[#This Row],[Levensfase]]</f>
        <v>Kolk, HDPE &amp; Gietijzer, A3</v>
      </c>
      <c r="B2088" s="33" t="s">
        <v>742</v>
      </c>
      <c r="C2088" s="33" t="s">
        <v>246</v>
      </c>
      <c r="D2088" s="33" t="s">
        <v>736</v>
      </c>
      <c r="E2088" s="33" t="s">
        <v>724</v>
      </c>
      <c r="F2088" s="33" t="s">
        <v>76</v>
      </c>
      <c r="G2088" s="33">
        <v>0.93</v>
      </c>
      <c r="H2088" s="33">
        <v>0.4</v>
      </c>
      <c r="I2088" s="33">
        <v>0.36</v>
      </c>
      <c r="L2088" s="33" t="s">
        <v>737</v>
      </c>
      <c r="M2088" s="33">
        <v>4.1000000000000002E-2</v>
      </c>
      <c r="N2088" s="41"/>
      <c r="O2088" s="33">
        <v>40</v>
      </c>
      <c r="AV2088" s="108"/>
      <c r="AY2088" s="108"/>
      <c r="BL2088" s="62">
        <v>0</v>
      </c>
      <c r="BM2088" s="275">
        <v>3</v>
      </c>
      <c r="BN2088" s="62">
        <v>0.03</v>
      </c>
      <c r="BO2088" s="33" t="s">
        <v>738</v>
      </c>
    </row>
    <row r="2089" spans="1:68">
      <c r="A2089" s="451" t="str">
        <f>Database_Productkaarten[[#This Row],[Product]]&amp;", "&amp;Database_Productkaarten[[#This Row],[Levensfase]]</f>
        <v>Kolk, HDPE &amp; Gietijzer, A1-A3</v>
      </c>
      <c r="B2089" s="451" t="str">
        <f>B2088</f>
        <v>Kolk, HDPE &amp; Gietijzer</v>
      </c>
      <c r="C2089" s="451" t="str">
        <f>C2088</f>
        <v>Waterafvoer</v>
      </c>
      <c r="D2089" s="451" t="str">
        <f>D2088</f>
        <v>Kolk</v>
      </c>
      <c r="E2089" s="451" t="str">
        <f>E2088</f>
        <v>stuk</v>
      </c>
      <c r="F2089" s="451" t="s">
        <v>77</v>
      </c>
      <c r="G2089" s="451">
        <f t="shared" ref="G2089:M2089" si="837">G2088</f>
        <v>0.93</v>
      </c>
      <c r="H2089" s="451">
        <f t="shared" si="837"/>
        <v>0.4</v>
      </c>
      <c r="I2089" s="451">
        <f t="shared" si="837"/>
        <v>0.36</v>
      </c>
      <c r="J2089" s="451">
        <f t="shared" si="837"/>
        <v>0</v>
      </c>
      <c r="K2089" s="451">
        <f t="shared" si="837"/>
        <v>0</v>
      </c>
      <c r="L2089" s="451" t="str">
        <f t="shared" si="837"/>
        <v>NVT</v>
      </c>
      <c r="M2089" s="454">
        <f t="shared" si="837"/>
        <v>4.1000000000000002E-2</v>
      </c>
      <c r="N2089" s="452">
        <f>SUM(N2086:N2088)</f>
        <v>9.66</v>
      </c>
      <c r="O2089" s="33">
        <v>40</v>
      </c>
      <c r="P2089" s="453">
        <f t="shared" ref="P2089:BK2089" si="838">SUM(P2086:P2088)</f>
        <v>0</v>
      </c>
      <c r="Q2089" s="453">
        <f t="shared" si="838"/>
        <v>0</v>
      </c>
      <c r="R2089" s="453">
        <f t="shared" si="838"/>
        <v>84.73</v>
      </c>
      <c r="S2089" s="453">
        <f t="shared" si="838"/>
        <v>0</v>
      </c>
      <c r="T2089" s="453">
        <f t="shared" si="838"/>
        <v>0</v>
      </c>
      <c r="U2089" s="453">
        <f t="shared" si="838"/>
        <v>0</v>
      </c>
      <c r="V2089" s="453">
        <f t="shared" si="838"/>
        <v>0</v>
      </c>
      <c r="W2089" s="453">
        <f t="shared" si="838"/>
        <v>0</v>
      </c>
      <c r="X2089" s="453">
        <f t="shared" si="838"/>
        <v>0</v>
      </c>
      <c r="Y2089" s="453">
        <f t="shared" si="838"/>
        <v>0</v>
      </c>
      <c r="Z2089" s="453">
        <f t="shared" si="838"/>
        <v>0</v>
      </c>
      <c r="AA2089" s="453">
        <f t="shared" si="838"/>
        <v>0</v>
      </c>
      <c r="AB2089" s="453">
        <f t="shared" si="838"/>
        <v>0</v>
      </c>
      <c r="AC2089" s="453">
        <f t="shared" si="838"/>
        <v>0</v>
      </c>
      <c r="AD2089" s="453">
        <f t="shared" si="838"/>
        <v>0</v>
      </c>
      <c r="AE2089" s="453">
        <f t="shared" si="838"/>
        <v>0</v>
      </c>
      <c r="AF2089" s="453">
        <f t="shared" si="838"/>
        <v>0</v>
      </c>
      <c r="AG2089" s="453">
        <f t="shared" si="838"/>
        <v>0</v>
      </c>
      <c r="AH2089" s="453">
        <f t="shared" si="838"/>
        <v>0</v>
      </c>
      <c r="AI2089" s="453">
        <f t="shared" si="838"/>
        <v>0</v>
      </c>
      <c r="AJ2089" s="453">
        <f t="shared" si="838"/>
        <v>0</v>
      </c>
      <c r="AK2089" s="453">
        <f t="shared" si="838"/>
        <v>0</v>
      </c>
      <c r="AL2089" s="453">
        <f t="shared" si="838"/>
        <v>0</v>
      </c>
      <c r="AM2089" s="453">
        <f t="shared" si="838"/>
        <v>0</v>
      </c>
      <c r="AN2089" s="453">
        <f t="shared" si="838"/>
        <v>0</v>
      </c>
      <c r="AO2089" s="453">
        <f t="shared" si="838"/>
        <v>0</v>
      </c>
      <c r="AP2089" s="453">
        <f t="shared" si="838"/>
        <v>0</v>
      </c>
      <c r="AQ2089" s="453">
        <f t="shared" si="838"/>
        <v>0</v>
      </c>
      <c r="AR2089" s="453">
        <f t="shared" si="838"/>
        <v>0</v>
      </c>
      <c r="AS2089" s="453">
        <f t="shared" si="838"/>
        <v>0</v>
      </c>
      <c r="AT2089" s="453">
        <f t="shared" si="838"/>
        <v>0</v>
      </c>
      <c r="AU2089" s="453">
        <f t="shared" si="838"/>
        <v>0</v>
      </c>
      <c r="AV2089" s="453">
        <f t="shared" si="838"/>
        <v>0</v>
      </c>
      <c r="AW2089" s="453">
        <f t="shared" si="838"/>
        <v>0</v>
      </c>
      <c r="AX2089" s="453">
        <f t="shared" si="838"/>
        <v>0</v>
      </c>
      <c r="AY2089" s="453">
        <f t="shared" si="838"/>
        <v>0</v>
      </c>
      <c r="AZ2089" s="453">
        <f t="shared" si="838"/>
        <v>0</v>
      </c>
      <c r="BA2089" s="453">
        <f t="shared" si="838"/>
        <v>0</v>
      </c>
      <c r="BB2089" s="453">
        <f t="shared" si="838"/>
        <v>0</v>
      </c>
      <c r="BC2089" s="453">
        <f t="shared" si="838"/>
        <v>0</v>
      </c>
      <c r="BD2089" s="453">
        <f t="shared" si="838"/>
        <v>0</v>
      </c>
      <c r="BE2089" s="453">
        <f t="shared" si="838"/>
        <v>0</v>
      </c>
      <c r="BF2089" s="453">
        <f t="shared" si="838"/>
        <v>0</v>
      </c>
      <c r="BG2089" s="453">
        <f t="shared" si="838"/>
        <v>0</v>
      </c>
      <c r="BH2089" s="453">
        <f t="shared" si="838"/>
        <v>0</v>
      </c>
      <c r="BI2089" s="453">
        <f t="shared" si="838"/>
        <v>0</v>
      </c>
      <c r="BJ2089" s="453">
        <f t="shared" si="838"/>
        <v>0</v>
      </c>
      <c r="BK2089" s="453">
        <f t="shared" si="838"/>
        <v>0</v>
      </c>
      <c r="BL2089" s="62">
        <f>BL2088</f>
        <v>0</v>
      </c>
      <c r="BM2089" s="275">
        <f>BM2088</f>
        <v>3</v>
      </c>
      <c r="BN2089" s="62">
        <v>0.03</v>
      </c>
      <c r="BO2089" s="451" t="str">
        <f>BO2088</f>
        <v>NMD H25 Leidingwerk V1.4 &amp; DuboCalc 6.0 (27/09/2022)</v>
      </c>
      <c r="BP2089" s="451"/>
    </row>
    <row r="2090" spans="1:68">
      <c r="A2090" s="33" t="str">
        <f>Database_Productkaarten[[#This Row],[Product]]&amp;", "&amp;Database_Productkaarten[[#This Row],[Levensfase]]</f>
        <v>Kolk, HDPE &amp; Gietijzer, A4</v>
      </c>
      <c r="B2090" s="33" t="s">
        <v>742</v>
      </c>
      <c r="C2090" s="33" t="s">
        <v>246</v>
      </c>
      <c r="D2090" s="33" t="s">
        <v>736</v>
      </c>
      <c r="E2090" s="33" t="s">
        <v>724</v>
      </c>
      <c r="F2090" s="33" t="s">
        <v>78</v>
      </c>
      <c r="G2090" s="33">
        <v>0.93</v>
      </c>
      <c r="H2090" s="33">
        <v>0.4</v>
      </c>
      <c r="I2090" s="33">
        <v>0.36</v>
      </c>
      <c r="L2090" s="33" t="s">
        <v>737</v>
      </c>
      <c r="M2090" s="33">
        <v>4.1000000000000002E-2</v>
      </c>
      <c r="N2090" s="41">
        <v>0.1</v>
      </c>
      <c r="O2090" s="33">
        <v>40</v>
      </c>
      <c r="R2090" s="33">
        <v>0.8</v>
      </c>
      <c r="AV2090" s="108"/>
      <c r="AY2090" s="108"/>
      <c r="BL2090" s="62">
        <v>0</v>
      </c>
      <c r="BM2090" s="275">
        <v>3</v>
      </c>
      <c r="BN2090" s="62">
        <v>0.03</v>
      </c>
      <c r="BO2090" s="33" t="s">
        <v>738</v>
      </c>
    </row>
    <row r="2091" spans="1:68">
      <c r="A2091" s="33" t="str">
        <f>Database_Productkaarten[[#This Row],[Product]]&amp;", "&amp;Database_Productkaarten[[#This Row],[Levensfase]]</f>
        <v>Kolk, HDPE &amp; Gietijzer, A5</v>
      </c>
      <c r="B2091" s="33" t="s">
        <v>742</v>
      </c>
      <c r="C2091" s="33" t="s">
        <v>246</v>
      </c>
      <c r="D2091" s="33" t="s">
        <v>736</v>
      </c>
      <c r="E2091" s="33" t="s">
        <v>724</v>
      </c>
      <c r="F2091" s="33" t="s">
        <v>79</v>
      </c>
      <c r="G2091" s="33">
        <v>0.93</v>
      </c>
      <c r="H2091" s="33">
        <v>0.4</v>
      </c>
      <c r="I2091" s="33">
        <v>0.36</v>
      </c>
      <c r="L2091" s="33" t="s">
        <v>737</v>
      </c>
      <c r="M2091" s="33">
        <v>4.1000000000000002E-2</v>
      </c>
      <c r="N2091" s="41">
        <v>3.87</v>
      </c>
      <c r="O2091" s="33">
        <v>40</v>
      </c>
      <c r="R2091" s="33">
        <v>30.16</v>
      </c>
      <c r="AV2091" s="108"/>
      <c r="AY2091" s="108"/>
      <c r="BL2091" s="62">
        <v>0</v>
      </c>
      <c r="BM2091" s="275">
        <v>3</v>
      </c>
      <c r="BN2091" s="62">
        <v>0.03</v>
      </c>
      <c r="BO2091" s="33" t="s">
        <v>738</v>
      </c>
    </row>
    <row r="2092" spans="1:68">
      <c r="A2092" s="33" t="str">
        <f>Database_Productkaarten[[#This Row],[Product]]&amp;", "&amp;Database_Productkaarten[[#This Row],[Levensfase]]</f>
        <v>Kolk, HDPE &amp; Gietijzer, B1</v>
      </c>
      <c r="B2092" s="33" t="s">
        <v>742</v>
      </c>
      <c r="C2092" s="33" t="s">
        <v>246</v>
      </c>
      <c r="D2092" s="33" t="s">
        <v>736</v>
      </c>
      <c r="E2092" s="33" t="s">
        <v>724</v>
      </c>
      <c r="F2092" s="33" t="s">
        <v>80</v>
      </c>
      <c r="G2092" s="33">
        <v>0.93</v>
      </c>
      <c r="H2092" s="33">
        <v>0.4</v>
      </c>
      <c r="I2092" s="33">
        <v>0.36</v>
      </c>
      <c r="L2092" s="33" t="s">
        <v>737</v>
      </c>
      <c r="M2092" s="33">
        <v>4.1000000000000002E-2</v>
      </c>
      <c r="N2092" s="41"/>
      <c r="O2092" s="33">
        <v>40</v>
      </c>
      <c r="AV2092" s="108"/>
      <c r="AY2092" s="108"/>
      <c r="BL2092" s="62">
        <v>0</v>
      </c>
      <c r="BM2092" s="275">
        <v>3</v>
      </c>
      <c r="BN2092" s="62">
        <v>0.03</v>
      </c>
      <c r="BO2092" s="33" t="s">
        <v>738</v>
      </c>
    </row>
    <row r="2093" spans="1:68">
      <c r="A2093" s="33" t="str">
        <f>Database_Productkaarten[[#This Row],[Product]]&amp;", "&amp;Database_Productkaarten[[#This Row],[Levensfase]]</f>
        <v>Kolk, HDPE &amp; Gietijzer, C1</v>
      </c>
      <c r="B2093" s="33" t="s">
        <v>742</v>
      </c>
      <c r="C2093" s="33" t="s">
        <v>246</v>
      </c>
      <c r="D2093" s="33" t="s">
        <v>736</v>
      </c>
      <c r="E2093" s="33" t="s">
        <v>724</v>
      </c>
      <c r="F2093" s="33" t="s">
        <v>83</v>
      </c>
      <c r="G2093" s="33">
        <v>0.93</v>
      </c>
      <c r="H2093" s="33">
        <v>0.4</v>
      </c>
      <c r="I2093" s="33">
        <v>0.36</v>
      </c>
      <c r="L2093" s="33" t="s">
        <v>737</v>
      </c>
      <c r="M2093" s="33">
        <v>4.1000000000000002E-2</v>
      </c>
      <c r="N2093" s="41">
        <v>3.49</v>
      </c>
      <c r="O2093" s="33">
        <v>40</v>
      </c>
      <c r="R2093" s="33">
        <v>26.24</v>
      </c>
      <c r="AV2093" s="108"/>
      <c r="AY2093" s="108"/>
      <c r="BL2093" s="62">
        <v>0</v>
      </c>
      <c r="BM2093" s="275">
        <v>3</v>
      </c>
      <c r="BN2093" s="62">
        <v>0.03</v>
      </c>
      <c r="BO2093" s="33" t="s">
        <v>738</v>
      </c>
    </row>
    <row r="2094" spans="1:68">
      <c r="A2094" s="33" t="str">
        <f>Database_Productkaarten[[#This Row],[Product]]&amp;", "&amp;Database_Productkaarten[[#This Row],[Levensfase]]</f>
        <v>Kolk, HDPE &amp; Gietijzer, C2</v>
      </c>
      <c r="B2094" s="33" t="s">
        <v>742</v>
      </c>
      <c r="C2094" s="33" t="s">
        <v>246</v>
      </c>
      <c r="D2094" s="33" t="s">
        <v>736</v>
      </c>
      <c r="E2094" s="33" t="s">
        <v>724</v>
      </c>
      <c r="F2094" s="33" t="s">
        <v>84</v>
      </c>
      <c r="G2094" s="33">
        <v>0.93</v>
      </c>
      <c r="H2094" s="33">
        <v>0.4</v>
      </c>
      <c r="I2094" s="33">
        <v>0.36</v>
      </c>
      <c r="L2094" s="33" t="s">
        <v>737</v>
      </c>
      <c r="M2094" s="33">
        <v>4.1000000000000002E-2</v>
      </c>
      <c r="N2094" s="41">
        <v>0.06</v>
      </c>
      <c r="O2094" s="33">
        <v>40</v>
      </c>
      <c r="R2094" s="33">
        <v>0.56000000000000005</v>
      </c>
      <c r="AV2094" s="108"/>
      <c r="AY2094" s="108"/>
      <c r="BL2094" s="62">
        <v>0</v>
      </c>
      <c r="BM2094" s="275">
        <v>3</v>
      </c>
      <c r="BN2094" s="62">
        <v>0.03</v>
      </c>
      <c r="BO2094" s="33" t="s">
        <v>738</v>
      </c>
    </row>
    <row r="2095" spans="1:68">
      <c r="A2095" s="33" t="str">
        <f>Database_Productkaarten[[#This Row],[Product]]&amp;", "&amp;Database_Productkaarten[[#This Row],[Levensfase]]</f>
        <v>Kolk, HDPE &amp; Gietijzer, C3</v>
      </c>
      <c r="B2095" s="33" t="s">
        <v>742</v>
      </c>
      <c r="C2095" s="33" t="s">
        <v>246</v>
      </c>
      <c r="D2095" s="33" t="s">
        <v>736</v>
      </c>
      <c r="E2095" s="33" t="s">
        <v>724</v>
      </c>
      <c r="F2095" s="33" t="s">
        <v>85</v>
      </c>
      <c r="G2095" s="33">
        <v>0.93</v>
      </c>
      <c r="H2095" s="33">
        <v>0.4</v>
      </c>
      <c r="I2095" s="33">
        <v>0.36</v>
      </c>
      <c r="L2095" s="33" t="s">
        <v>737</v>
      </c>
      <c r="M2095" s="33">
        <v>4.1000000000000002E-2</v>
      </c>
      <c r="N2095" s="41">
        <v>2.61</v>
      </c>
      <c r="O2095" s="33">
        <v>40</v>
      </c>
      <c r="R2095" s="33">
        <v>44.7</v>
      </c>
      <c r="AV2095" s="108"/>
      <c r="AY2095" s="108"/>
      <c r="BL2095" s="62">
        <v>0</v>
      </c>
      <c r="BM2095" s="275">
        <v>3</v>
      </c>
      <c r="BN2095" s="62">
        <v>0.03</v>
      </c>
      <c r="BO2095" s="33" t="s">
        <v>738</v>
      </c>
    </row>
    <row r="2096" spans="1:68">
      <c r="A2096" s="33" t="str">
        <f>Database_Productkaarten[[#This Row],[Product]]&amp;", "&amp;Database_Productkaarten[[#This Row],[Levensfase]]</f>
        <v>Kolk, HDPE &amp; Gietijzer, C4</v>
      </c>
      <c r="B2096" s="33" t="s">
        <v>742</v>
      </c>
      <c r="C2096" s="33" t="s">
        <v>246</v>
      </c>
      <c r="D2096" s="33" t="s">
        <v>736</v>
      </c>
      <c r="E2096" s="33" t="s">
        <v>724</v>
      </c>
      <c r="F2096" s="33" t="s">
        <v>86</v>
      </c>
      <c r="G2096" s="33">
        <v>0.93</v>
      </c>
      <c r="H2096" s="33">
        <v>0.4</v>
      </c>
      <c r="I2096" s="33">
        <v>0.36</v>
      </c>
      <c r="L2096" s="33" t="s">
        <v>737</v>
      </c>
      <c r="M2096" s="33">
        <v>4.1000000000000002E-2</v>
      </c>
      <c r="N2096" s="41"/>
      <c r="O2096" s="33">
        <v>40</v>
      </c>
      <c r="R2096" s="33">
        <v>0.01</v>
      </c>
      <c r="AV2096" s="108"/>
      <c r="AY2096" s="108"/>
      <c r="BL2096" s="62">
        <v>0</v>
      </c>
      <c r="BM2096" s="275">
        <v>3</v>
      </c>
      <c r="BN2096" s="62">
        <v>0.03</v>
      </c>
      <c r="BO2096" s="33" t="s">
        <v>738</v>
      </c>
    </row>
    <row r="2097" spans="1:68">
      <c r="A2097" s="33" t="str">
        <f>Database_Productkaarten[[#This Row],[Product]]&amp;", "&amp;Database_Productkaarten[[#This Row],[Levensfase]]</f>
        <v>Kolk, HDPE &amp; Gietijzer, D</v>
      </c>
      <c r="B2097" s="33" t="str">
        <f>B2098</f>
        <v>Kolk, HDPE &amp; Gietijzer</v>
      </c>
      <c r="C2097" s="33" t="str">
        <f>C2098</f>
        <v>Waterafvoer</v>
      </c>
      <c r="D2097" s="33" t="str">
        <f>D2098</f>
        <v>Kolk</v>
      </c>
      <c r="E2097" s="33" t="str">
        <f>E2098</f>
        <v>stuk</v>
      </c>
      <c r="F2097" s="33" t="s">
        <v>89</v>
      </c>
      <c r="G2097" s="33">
        <f t="shared" ref="G2097:M2097" si="839">G2098</f>
        <v>0.93</v>
      </c>
      <c r="H2097" s="33">
        <f t="shared" si="839"/>
        <v>0.4</v>
      </c>
      <c r="I2097" s="33">
        <f t="shared" si="839"/>
        <v>0.36</v>
      </c>
      <c r="J2097" s="33">
        <f t="shared" si="839"/>
        <v>0</v>
      </c>
      <c r="K2097" s="33">
        <f t="shared" si="839"/>
        <v>0</v>
      </c>
      <c r="L2097" s="33" t="str">
        <f t="shared" si="839"/>
        <v>NVT</v>
      </c>
      <c r="M2097" s="45">
        <f t="shared" si="839"/>
        <v>4.1000000000000002E-2</v>
      </c>
      <c r="N2097" s="41">
        <f>SUM(N2098:N2099)</f>
        <v>-5.43</v>
      </c>
      <c r="O2097" s="33">
        <v>40</v>
      </c>
      <c r="P2097" s="40">
        <f>SUM(P2098:P2099)</f>
        <v>0</v>
      </c>
      <c r="Q2097" s="40">
        <f>SUM(Q2098:Q2099)</f>
        <v>0</v>
      </c>
      <c r="R2097" s="40">
        <f>SUM(R2098:R2099)</f>
        <v>-56.74</v>
      </c>
      <c r="S2097" s="40">
        <f t="shared" ref="S2097:BK2097" si="840">SUM(S2098:S2099)</f>
        <v>0</v>
      </c>
      <c r="T2097" s="40">
        <f t="shared" si="840"/>
        <v>0</v>
      </c>
      <c r="U2097" s="40">
        <f t="shared" si="840"/>
        <v>0</v>
      </c>
      <c r="V2097" s="40">
        <f t="shared" si="840"/>
        <v>0</v>
      </c>
      <c r="W2097" s="40">
        <f t="shared" si="840"/>
        <v>0</v>
      </c>
      <c r="X2097" s="40">
        <f t="shared" si="840"/>
        <v>0</v>
      </c>
      <c r="Y2097" s="40">
        <f t="shared" si="840"/>
        <v>0</v>
      </c>
      <c r="Z2097" s="40">
        <f t="shared" si="840"/>
        <v>0</v>
      </c>
      <c r="AA2097" s="40">
        <f t="shared" si="840"/>
        <v>0</v>
      </c>
      <c r="AB2097" s="40">
        <f t="shared" si="840"/>
        <v>0</v>
      </c>
      <c r="AC2097" s="40">
        <f t="shared" si="840"/>
        <v>0</v>
      </c>
      <c r="AD2097" s="40">
        <f t="shared" si="840"/>
        <v>0</v>
      </c>
      <c r="AE2097" s="40">
        <f t="shared" si="840"/>
        <v>0</v>
      </c>
      <c r="AF2097" s="40">
        <f t="shared" si="840"/>
        <v>0</v>
      </c>
      <c r="AG2097" s="40">
        <f t="shared" si="840"/>
        <v>0</v>
      </c>
      <c r="AH2097" s="40">
        <f t="shared" si="840"/>
        <v>0</v>
      </c>
      <c r="AI2097" s="40">
        <f t="shared" si="840"/>
        <v>0</v>
      </c>
      <c r="AJ2097" s="40">
        <f t="shared" si="840"/>
        <v>0</v>
      </c>
      <c r="AK2097" s="40">
        <f t="shared" si="840"/>
        <v>0</v>
      </c>
      <c r="AL2097" s="40">
        <f t="shared" si="840"/>
        <v>0</v>
      </c>
      <c r="AM2097" s="40">
        <f t="shared" si="840"/>
        <v>0</v>
      </c>
      <c r="AN2097" s="40">
        <f t="shared" si="840"/>
        <v>0</v>
      </c>
      <c r="AO2097" s="40">
        <f t="shared" si="840"/>
        <v>0</v>
      </c>
      <c r="AP2097" s="40">
        <f t="shared" si="840"/>
        <v>0</v>
      </c>
      <c r="AQ2097" s="40">
        <f t="shared" si="840"/>
        <v>0</v>
      </c>
      <c r="AR2097" s="40">
        <f t="shared" si="840"/>
        <v>0</v>
      </c>
      <c r="AS2097" s="40">
        <f t="shared" si="840"/>
        <v>0</v>
      </c>
      <c r="AT2097" s="40">
        <f t="shared" si="840"/>
        <v>0</v>
      </c>
      <c r="AU2097" s="40">
        <f t="shared" si="840"/>
        <v>0</v>
      </c>
      <c r="AV2097" s="40">
        <f t="shared" si="840"/>
        <v>0</v>
      </c>
      <c r="AW2097" s="40">
        <f t="shared" si="840"/>
        <v>0</v>
      </c>
      <c r="AX2097" s="40">
        <f t="shared" si="840"/>
        <v>0</v>
      </c>
      <c r="AY2097" s="40">
        <f t="shared" si="840"/>
        <v>0</v>
      </c>
      <c r="AZ2097" s="40">
        <f t="shared" si="840"/>
        <v>0</v>
      </c>
      <c r="BA2097" s="40">
        <f t="shared" si="840"/>
        <v>0</v>
      </c>
      <c r="BB2097" s="40">
        <f t="shared" si="840"/>
        <v>0</v>
      </c>
      <c r="BC2097" s="40">
        <f t="shared" si="840"/>
        <v>0</v>
      </c>
      <c r="BD2097" s="40">
        <f t="shared" si="840"/>
        <v>0</v>
      </c>
      <c r="BE2097" s="40">
        <f t="shared" si="840"/>
        <v>0</v>
      </c>
      <c r="BF2097" s="40">
        <f t="shared" si="840"/>
        <v>0</v>
      </c>
      <c r="BG2097" s="40">
        <f t="shared" si="840"/>
        <v>0</v>
      </c>
      <c r="BH2097" s="40">
        <f t="shared" si="840"/>
        <v>0</v>
      </c>
      <c r="BI2097" s="40">
        <f t="shared" si="840"/>
        <v>0</v>
      </c>
      <c r="BJ2097" s="40">
        <f t="shared" si="840"/>
        <v>0</v>
      </c>
      <c r="BK2097" s="40">
        <f t="shared" si="840"/>
        <v>0</v>
      </c>
      <c r="BL2097" s="62">
        <f>BL2098</f>
        <v>0</v>
      </c>
      <c r="BM2097" s="275">
        <f>BM2098</f>
        <v>3</v>
      </c>
      <c r="BN2097" s="62">
        <v>0.03</v>
      </c>
      <c r="BO2097" s="33" t="str">
        <f>BO2098</f>
        <v>NMD H25 Leidingwerk V1.4 &amp; DuboCalc 6.0 (27/09/2022)</v>
      </c>
    </row>
    <row r="2098" spans="1:68">
      <c r="A2098" s="33" t="str">
        <f>Database_Productkaarten[[#This Row],[Product]]&amp;", "&amp;Database_Productkaarten[[#This Row],[Levensfase]]</f>
        <v>Kolk, HDPE &amp; Gietijzer, D1</v>
      </c>
      <c r="B2098" s="33" t="s">
        <v>742</v>
      </c>
      <c r="C2098" s="33" t="s">
        <v>246</v>
      </c>
      <c r="D2098" s="33" t="s">
        <v>736</v>
      </c>
      <c r="E2098" s="33" t="s">
        <v>724</v>
      </c>
      <c r="F2098" s="33" t="s">
        <v>87</v>
      </c>
      <c r="G2098" s="33">
        <v>0.93</v>
      </c>
      <c r="H2098" s="33">
        <v>0.4</v>
      </c>
      <c r="I2098" s="33">
        <v>0.36</v>
      </c>
      <c r="L2098" s="33" t="s">
        <v>737</v>
      </c>
      <c r="M2098" s="33">
        <v>4.1000000000000002E-2</v>
      </c>
      <c r="N2098" s="41">
        <v>-5.43</v>
      </c>
      <c r="O2098" s="33">
        <v>40</v>
      </c>
      <c r="R2098" s="33">
        <v>-56.74</v>
      </c>
      <c r="AV2098" s="108"/>
      <c r="AY2098" s="108"/>
      <c r="BL2098" s="62">
        <v>0</v>
      </c>
      <c r="BM2098" s="275">
        <v>3</v>
      </c>
      <c r="BN2098" s="62">
        <v>0.03</v>
      </c>
      <c r="BO2098" s="33" t="s">
        <v>738</v>
      </c>
    </row>
    <row r="2099" spans="1:68">
      <c r="A2099" s="33" t="str">
        <f>Database_Productkaarten[[#This Row],[Product]]&amp;", "&amp;Database_Productkaarten[[#This Row],[Levensfase]]</f>
        <v>Kolk, HDPE &amp; Gietijzer, D2</v>
      </c>
      <c r="B2099" s="33" t="s">
        <v>742</v>
      </c>
      <c r="C2099" s="33" t="s">
        <v>246</v>
      </c>
      <c r="D2099" s="33" t="s">
        <v>736</v>
      </c>
      <c r="E2099" s="33" t="s">
        <v>724</v>
      </c>
      <c r="F2099" s="33" t="s">
        <v>88</v>
      </c>
      <c r="G2099" s="33">
        <v>0.93</v>
      </c>
      <c r="H2099" s="33">
        <v>0.4</v>
      </c>
      <c r="I2099" s="33">
        <v>0.36</v>
      </c>
      <c r="L2099" s="33" t="s">
        <v>737</v>
      </c>
      <c r="M2099" s="33">
        <v>4.1000000000000002E-2</v>
      </c>
      <c r="N2099" s="41"/>
      <c r="O2099" s="33">
        <v>40</v>
      </c>
      <c r="AV2099" s="108"/>
      <c r="AY2099" s="108"/>
      <c r="BL2099" s="62">
        <v>0</v>
      </c>
      <c r="BM2099" s="275">
        <v>3</v>
      </c>
      <c r="BN2099" s="62">
        <v>0.03</v>
      </c>
      <c r="BO2099" s="33" t="s">
        <v>738</v>
      </c>
    </row>
    <row r="2100" spans="1:68">
      <c r="A2100" s="33" t="str">
        <f>Database_Productkaarten[[#This Row],[Product]]&amp;", "&amp;Database_Productkaarten[[#This Row],[Levensfase]]</f>
        <v>Kolk, PP &amp; Gietijzer, Totaal</v>
      </c>
      <c r="B2100" s="33" t="s">
        <v>743</v>
      </c>
      <c r="C2100" s="33" t="s">
        <v>246</v>
      </c>
      <c r="D2100" s="33" t="s">
        <v>736</v>
      </c>
      <c r="E2100" s="33" t="s">
        <v>724</v>
      </c>
      <c r="F2100" s="33" t="s">
        <v>90</v>
      </c>
      <c r="G2100" s="33">
        <v>0.93</v>
      </c>
      <c r="H2100" s="33">
        <v>0.4</v>
      </c>
      <c r="I2100" s="33">
        <v>0.36</v>
      </c>
      <c r="L2100" s="33" t="s">
        <v>737</v>
      </c>
      <c r="M2100" s="33">
        <v>4.1000000000000002E-2</v>
      </c>
      <c r="N2100" s="41"/>
      <c r="O2100" s="33">
        <v>40</v>
      </c>
      <c r="AV2100" s="108"/>
      <c r="AY2100" s="108"/>
      <c r="BL2100" s="62">
        <v>0</v>
      </c>
      <c r="BM2100" s="275">
        <v>3</v>
      </c>
      <c r="BN2100" s="62">
        <v>0.03</v>
      </c>
      <c r="BO2100" s="33" t="s">
        <v>738</v>
      </c>
    </row>
    <row r="2101" spans="1:68">
      <c r="A2101" s="33" t="str">
        <f>Database_Productkaarten[[#This Row],[Product]]&amp;", "&amp;Database_Productkaarten[[#This Row],[Levensfase]]</f>
        <v>Kolk, PP &amp; Gietijzer, A1</v>
      </c>
      <c r="B2101" s="33" t="s">
        <v>743</v>
      </c>
      <c r="C2101" s="33" t="s">
        <v>246</v>
      </c>
      <c r="D2101" s="33" t="s">
        <v>736</v>
      </c>
      <c r="E2101" s="33" t="s">
        <v>724</v>
      </c>
      <c r="F2101" s="33" t="s">
        <v>74</v>
      </c>
      <c r="G2101" s="33">
        <v>0.93</v>
      </c>
      <c r="H2101" s="33">
        <v>0.4</v>
      </c>
      <c r="I2101" s="33">
        <v>0.36</v>
      </c>
      <c r="L2101" s="33" t="s">
        <v>737</v>
      </c>
      <c r="M2101" s="33">
        <v>4.1000000000000002E-2</v>
      </c>
      <c r="N2101" s="41">
        <v>9.67</v>
      </c>
      <c r="O2101" s="33">
        <v>40</v>
      </c>
      <c r="R2101" s="33">
        <v>85.27</v>
      </c>
      <c r="AV2101" s="108"/>
      <c r="AY2101" s="108"/>
      <c r="BL2101" s="62">
        <v>0</v>
      </c>
      <c r="BM2101" s="275">
        <v>3</v>
      </c>
      <c r="BN2101" s="62">
        <v>0.03</v>
      </c>
      <c r="BO2101" s="33" t="s">
        <v>738</v>
      </c>
    </row>
    <row r="2102" spans="1:68">
      <c r="A2102" s="33" t="str">
        <f>Database_Productkaarten[[#This Row],[Product]]&amp;", "&amp;Database_Productkaarten[[#This Row],[Levensfase]]</f>
        <v>Kolk, PP &amp; Gietijzer, A2</v>
      </c>
      <c r="B2102" s="33" t="s">
        <v>743</v>
      </c>
      <c r="C2102" s="33" t="s">
        <v>246</v>
      </c>
      <c r="D2102" s="33" t="s">
        <v>736</v>
      </c>
      <c r="E2102" s="33" t="s">
        <v>724</v>
      </c>
      <c r="F2102" s="33" t="s">
        <v>75</v>
      </c>
      <c r="G2102" s="33">
        <v>0.93</v>
      </c>
      <c r="H2102" s="33">
        <v>0.4</v>
      </c>
      <c r="I2102" s="33">
        <v>0.36</v>
      </c>
      <c r="L2102" s="33" t="s">
        <v>737</v>
      </c>
      <c r="M2102" s="33">
        <v>4.1000000000000002E-2</v>
      </c>
      <c r="N2102" s="41"/>
      <c r="O2102" s="33">
        <v>40</v>
      </c>
      <c r="AV2102" s="108"/>
      <c r="AY2102" s="108"/>
      <c r="BL2102" s="62">
        <v>0</v>
      </c>
      <c r="BM2102" s="275">
        <v>3</v>
      </c>
      <c r="BN2102" s="62">
        <v>0.03</v>
      </c>
      <c r="BO2102" s="33" t="s">
        <v>738</v>
      </c>
    </row>
    <row r="2103" spans="1:68">
      <c r="A2103" s="33" t="str">
        <f>Database_Productkaarten[[#This Row],[Product]]&amp;", "&amp;Database_Productkaarten[[#This Row],[Levensfase]]</f>
        <v>Kolk, PP &amp; Gietijzer, A3</v>
      </c>
      <c r="B2103" s="33" t="s">
        <v>743</v>
      </c>
      <c r="C2103" s="33" t="s">
        <v>246</v>
      </c>
      <c r="D2103" s="33" t="s">
        <v>736</v>
      </c>
      <c r="E2103" s="33" t="s">
        <v>724</v>
      </c>
      <c r="F2103" s="33" t="s">
        <v>76</v>
      </c>
      <c r="G2103" s="33">
        <v>0.93</v>
      </c>
      <c r="H2103" s="33">
        <v>0.4</v>
      </c>
      <c r="I2103" s="33">
        <v>0.36</v>
      </c>
      <c r="L2103" s="33" t="s">
        <v>737</v>
      </c>
      <c r="M2103" s="33">
        <v>4.1000000000000002E-2</v>
      </c>
      <c r="N2103" s="41"/>
      <c r="O2103" s="33">
        <v>40</v>
      </c>
      <c r="AV2103" s="108"/>
      <c r="AY2103" s="108"/>
      <c r="BL2103" s="62">
        <v>0</v>
      </c>
      <c r="BM2103" s="275">
        <v>3</v>
      </c>
      <c r="BN2103" s="62">
        <v>0.03</v>
      </c>
      <c r="BO2103" s="33" t="s">
        <v>738</v>
      </c>
    </row>
    <row r="2104" spans="1:68">
      <c r="A2104" s="451" t="str">
        <f>Database_Productkaarten[[#This Row],[Product]]&amp;", "&amp;Database_Productkaarten[[#This Row],[Levensfase]]</f>
        <v>Kolk, PP &amp; Gietijzer, A1-A3</v>
      </c>
      <c r="B2104" s="451" t="str">
        <f>B2103</f>
        <v>Kolk, PP &amp; Gietijzer</v>
      </c>
      <c r="C2104" s="451" t="str">
        <f>C2103</f>
        <v>Waterafvoer</v>
      </c>
      <c r="D2104" s="451" t="str">
        <f>D2103</f>
        <v>Kolk</v>
      </c>
      <c r="E2104" s="451" t="str">
        <f>E2103</f>
        <v>stuk</v>
      </c>
      <c r="F2104" s="451" t="s">
        <v>77</v>
      </c>
      <c r="G2104" s="451">
        <f t="shared" ref="G2104:M2104" si="841">G2103</f>
        <v>0.93</v>
      </c>
      <c r="H2104" s="451">
        <f t="shared" si="841"/>
        <v>0.4</v>
      </c>
      <c r="I2104" s="451">
        <f t="shared" si="841"/>
        <v>0.36</v>
      </c>
      <c r="J2104" s="451">
        <f t="shared" si="841"/>
        <v>0</v>
      </c>
      <c r="K2104" s="451">
        <f t="shared" si="841"/>
        <v>0</v>
      </c>
      <c r="L2104" s="451" t="str">
        <f t="shared" si="841"/>
        <v>NVT</v>
      </c>
      <c r="M2104" s="454">
        <f t="shared" si="841"/>
        <v>4.1000000000000002E-2</v>
      </c>
      <c r="N2104" s="452">
        <f>SUM(N2101:N2103)</f>
        <v>9.67</v>
      </c>
      <c r="O2104" s="33">
        <v>40</v>
      </c>
      <c r="P2104" s="453">
        <f t="shared" ref="P2104:BK2104" si="842">SUM(P2101:P2103)</f>
        <v>0</v>
      </c>
      <c r="Q2104" s="453">
        <f t="shared" si="842"/>
        <v>0</v>
      </c>
      <c r="R2104" s="453">
        <f t="shared" si="842"/>
        <v>85.27</v>
      </c>
      <c r="S2104" s="453">
        <f t="shared" si="842"/>
        <v>0</v>
      </c>
      <c r="T2104" s="453">
        <f t="shared" si="842"/>
        <v>0</v>
      </c>
      <c r="U2104" s="453">
        <f t="shared" si="842"/>
        <v>0</v>
      </c>
      <c r="V2104" s="453">
        <f t="shared" si="842"/>
        <v>0</v>
      </c>
      <c r="W2104" s="453">
        <f t="shared" si="842"/>
        <v>0</v>
      </c>
      <c r="X2104" s="453">
        <f t="shared" si="842"/>
        <v>0</v>
      </c>
      <c r="Y2104" s="453">
        <f t="shared" si="842"/>
        <v>0</v>
      </c>
      <c r="Z2104" s="453">
        <f t="shared" si="842"/>
        <v>0</v>
      </c>
      <c r="AA2104" s="453">
        <f t="shared" si="842"/>
        <v>0</v>
      </c>
      <c r="AB2104" s="453">
        <f t="shared" si="842"/>
        <v>0</v>
      </c>
      <c r="AC2104" s="453">
        <f t="shared" si="842"/>
        <v>0</v>
      </c>
      <c r="AD2104" s="453">
        <f t="shared" si="842"/>
        <v>0</v>
      </c>
      <c r="AE2104" s="453">
        <f t="shared" si="842"/>
        <v>0</v>
      </c>
      <c r="AF2104" s="453">
        <f t="shared" si="842"/>
        <v>0</v>
      </c>
      <c r="AG2104" s="453">
        <f t="shared" si="842"/>
        <v>0</v>
      </c>
      <c r="AH2104" s="453">
        <f t="shared" si="842"/>
        <v>0</v>
      </c>
      <c r="AI2104" s="453">
        <f t="shared" si="842"/>
        <v>0</v>
      </c>
      <c r="AJ2104" s="453">
        <f t="shared" si="842"/>
        <v>0</v>
      </c>
      <c r="AK2104" s="453">
        <f t="shared" si="842"/>
        <v>0</v>
      </c>
      <c r="AL2104" s="453">
        <f t="shared" si="842"/>
        <v>0</v>
      </c>
      <c r="AM2104" s="453">
        <f t="shared" si="842"/>
        <v>0</v>
      </c>
      <c r="AN2104" s="453">
        <f t="shared" si="842"/>
        <v>0</v>
      </c>
      <c r="AO2104" s="453">
        <f t="shared" si="842"/>
        <v>0</v>
      </c>
      <c r="AP2104" s="453">
        <f t="shared" si="842"/>
        <v>0</v>
      </c>
      <c r="AQ2104" s="453">
        <f t="shared" si="842"/>
        <v>0</v>
      </c>
      <c r="AR2104" s="453">
        <f t="shared" si="842"/>
        <v>0</v>
      </c>
      <c r="AS2104" s="453">
        <f t="shared" si="842"/>
        <v>0</v>
      </c>
      <c r="AT2104" s="453">
        <f t="shared" si="842"/>
        <v>0</v>
      </c>
      <c r="AU2104" s="453">
        <f t="shared" si="842"/>
        <v>0</v>
      </c>
      <c r="AV2104" s="453">
        <f t="shared" si="842"/>
        <v>0</v>
      </c>
      <c r="AW2104" s="453">
        <f t="shared" si="842"/>
        <v>0</v>
      </c>
      <c r="AX2104" s="453">
        <f t="shared" si="842"/>
        <v>0</v>
      </c>
      <c r="AY2104" s="453">
        <f t="shared" si="842"/>
        <v>0</v>
      </c>
      <c r="AZ2104" s="453">
        <f t="shared" si="842"/>
        <v>0</v>
      </c>
      <c r="BA2104" s="453">
        <f t="shared" si="842"/>
        <v>0</v>
      </c>
      <c r="BB2104" s="453">
        <f t="shared" si="842"/>
        <v>0</v>
      </c>
      <c r="BC2104" s="453">
        <f t="shared" si="842"/>
        <v>0</v>
      </c>
      <c r="BD2104" s="453">
        <f t="shared" si="842"/>
        <v>0</v>
      </c>
      <c r="BE2104" s="453">
        <f t="shared" si="842"/>
        <v>0</v>
      </c>
      <c r="BF2104" s="453">
        <f t="shared" si="842"/>
        <v>0</v>
      </c>
      <c r="BG2104" s="453">
        <f t="shared" si="842"/>
        <v>0</v>
      </c>
      <c r="BH2104" s="453">
        <f t="shared" si="842"/>
        <v>0</v>
      </c>
      <c r="BI2104" s="453">
        <f t="shared" si="842"/>
        <v>0</v>
      </c>
      <c r="BJ2104" s="453">
        <f t="shared" si="842"/>
        <v>0</v>
      </c>
      <c r="BK2104" s="453">
        <f t="shared" si="842"/>
        <v>0</v>
      </c>
      <c r="BL2104" s="62">
        <f>BL2103</f>
        <v>0</v>
      </c>
      <c r="BM2104" s="275">
        <f>BM2103</f>
        <v>3</v>
      </c>
      <c r="BN2104" s="62">
        <v>0.03</v>
      </c>
      <c r="BO2104" s="451" t="str">
        <f>BO2103</f>
        <v>NMD H25 Leidingwerk V1.4 &amp; DuboCalc 6.0 (27/09/2022)</v>
      </c>
      <c r="BP2104" s="451"/>
    </row>
    <row r="2105" spans="1:68">
      <c r="A2105" s="33" t="str">
        <f>Database_Productkaarten[[#This Row],[Product]]&amp;", "&amp;Database_Productkaarten[[#This Row],[Levensfase]]</f>
        <v>Kolk, PP &amp; Gietijzer, A4</v>
      </c>
      <c r="B2105" s="33" t="s">
        <v>743</v>
      </c>
      <c r="C2105" s="33" t="s">
        <v>246</v>
      </c>
      <c r="D2105" s="33" t="s">
        <v>736</v>
      </c>
      <c r="E2105" s="33" t="s">
        <v>724</v>
      </c>
      <c r="F2105" s="33" t="s">
        <v>78</v>
      </c>
      <c r="G2105" s="33">
        <v>0.93</v>
      </c>
      <c r="H2105" s="33">
        <v>0.4</v>
      </c>
      <c r="I2105" s="33">
        <v>0.36</v>
      </c>
      <c r="L2105" s="33" t="s">
        <v>737</v>
      </c>
      <c r="M2105" s="33">
        <v>4.1000000000000002E-2</v>
      </c>
      <c r="N2105" s="41">
        <v>0.1</v>
      </c>
      <c r="O2105" s="33">
        <v>40</v>
      </c>
      <c r="R2105" s="33">
        <v>0.8</v>
      </c>
      <c r="AV2105" s="108"/>
      <c r="AY2105" s="108"/>
      <c r="BL2105" s="62">
        <v>0</v>
      </c>
      <c r="BM2105" s="275">
        <v>3</v>
      </c>
      <c r="BN2105" s="62">
        <v>0.03</v>
      </c>
      <c r="BO2105" s="33" t="s">
        <v>738</v>
      </c>
    </row>
    <row r="2106" spans="1:68">
      <c r="A2106" s="33" t="str">
        <f>Database_Productkaarten[[#This Row],[Product]]&amp;", "&amp;Database_Productkaarten[[#This Row],[Levensfase]]</f>
        <v>Kolk, PP &amp; Gietijzer, A5</v>
      </c>
      <c r="B2106" s="33" t="s">
        <v>743</v>
      </c>
      <c r="C2106" s="33" t="s">
        <v>246</v>
      </c>
      <c r="D2106" s="33" t="s">
        <v>736</v>
      </c>
      <c r="E2106" s="33" t="s">
        <v>724</v>
      </c>
      <c r="F2106" s="33" t="s">
        <v>79</v>
      </c>
      <c r="G2106" s="33">
        <v>0.93</v>
      </c>
      <c r="H2106" s="33">
        <v>0.4</v>
      </c>
      <c r="I2106" s="33">
        <v>0.36</v>
      </c>
      <c r="L2106" s="33" t="s">
        <v>737</v>
      </c>
      <c r="M2106" s="33">
        <v>4.1000000000000002E-2</v>
      </c>
      <c r="N2106" s="41">
        <v>3.86</v>
      </c>
      <c r="O2106" s="33">
        <v>40</v>
      </c>
      <c r="R2106" s="33">
        <v>29.97</v>
      </c>
      <c r="AV2106" s="108"/>
      <c r="AY2106" s="108"/>
      <c r="BL2106" s="62">
        <v>0</v>
      </c>
      <c r="BM2106" s="275">
        <v>3</v>
      </c>
      <c r="BN2106" s="62">
        <v>0.03</v>
      </c>
      <c r="BO2106" s="33" t="s">
        <v>738</v>
      </c>
    </row>
    <row r="2107" spans="1:68">
      <c r="A2107" s="33" t="str">
        <f>Database_Productkaarten[[#This Row],[Product]]&amp;", "&amp;Database_Productkaarten[[#This Row],[Levensfase]]</f>
        <v>Kolk, PP &amp; Gietijzer, B1</v>
      </c>
      <c r="B2107" s="33" t="s">
        <v>743</v>
      </c>
      <c r="C2107" s="33" t="s">
        <v>246</v>
      </c>
      <c r="D2107" s="33" t="s">
        <v>736</v>
      </c>
      <c r="E2107" s="33" t="s">
        <v>724</v>
      </c>
      <c r="F2107" s="33" t="s">
        <v>80</v>
      </c>
      <c r="G2107" s="33">
        <v>0.93</v>
      </c>
      <c r="H2107" s="33">
        <v>0.4</v>
      </c>
      <c r="I2107" s="33">
        <v>0.36</v>
      </c>
      <c r="L2107" s="33" t="s">
        <v>737</v>
      </c>
      <c r="M2107" s="33">
        <v>4.1000000000000002E-2</v>
      </c>
      <c r="N2107" s="41"/>
      <c r="O2107" s="33">
        <v>40</v>
      </c>
      <c r="AV2107" s="108"/>
      <c r="AY2107" s="108"/>
      <c r="BL2107" s="62">
        <v>0</v>
      </c>
      <c r="BM2107" s="275">
        <v>3</v>
      </c>
      <c r="BN2107" s="62">
        <v>0.03</v>
      </c>
      <c r="BO2107" s="33" t="s">
        <v>738</v>
      </c>
    </row>
    <row r="2108" spans="1:68">
      <c r="A2108" s="33" t="str">
        <f>Database_Productkaarten[[#This Row],[Product]]&amp;", "&amp;Database_Productkaarten[[#This Row],[Levensfase]]</f>
        <v>Kolk, PP &amp; Gietijzer, C1</v>
      </c>
      <c r="B2108" s="33" t="s">
        <v>743</v>
      </c>
      <c r="C2108" s="33" t="s">
        <v>246</v>
      </c>
      <c r="D2108" s="33" t="s">
        <v>736</v>
      </c>
      <c r="E2108" s="33" t="s">
        <v>724</v>
      </c>
      <c r="F2108" s="33" t="s">
        <v>83</v>
      </c>
      <c r="G2108" s="33">
        <v>0.93</v>
      </c>
      <c r="H2108" s="33">
        <v>0.4</v>
      </c>
      <c r="I2108" s="33">
        <v>0.36</v>
      </c>
      <c r="L2108" s="33" t="s">
        <v>737</v>
      </c>
      <c r="M2108" s="33">
        <v>4.1000000000000002E-2</v>
      </c>
      <c r="N2108" s="41">
        <v>3.49</v>
      </c>
      <c r="O2108" s="33">
        <v>40</v>
      </c>
      <c r="R2108" s="33">
        <v>26.24</v>
      </c>
      <c r="AV2108" s="108"/>
      <c r="AY2108" s="108"/>
      <c r="BL2108" s="62">
        <v>0</v>
      </c>
      <c r="BM2108" s="275">
        <v>3</v>
      </c>
      <c r="BN2108" s="62">
        <v>0.03</v>
      </c>
      <c r="BO2108" s="33" t="s">
        <v>738</v>
      </c>
    </row>
    <row r="2109" spans="1:68">
      <c r="A2109" s="33" t="str">
        <f>Database_Productkaarten[[#This Row],[Product]]&amp;", "&amp;Database_Productkaarten[[#This Row],[Levensfase]]</f>
        <v>Kolk, PP &amp; Gietijzer, C2</v>
      </c>
      <c r="B2109" s="33" t="s">
        <v>743</v>
      </c>
      <c r="C2109" s="33" t="s">
        <v>246</v>
      </c>
      <c r="D2109" s="33" t="s">
        <v>736</v>
      </c>
      <c r="E2109" s="33" t="s">
        <v>724</v>
      </c>
      <c r="F2109" s="33" t="s">
        <v>84</v>
      </c>
      <c r="G2109" s="33">
        <v>0.93</v>
      </c>
      <c r="H2109" s="33">
        <v>0.4</v>
      </c>
      <c r="I2109" s="33">
        <v>0.36</v>
      </c>
      <c r="L2109" s="33" t="s">
        <v>737</v>
      </c>
      <c r="M2109" s="33">
        <v>4.1000000000000002E-2</v>
      </c>
      <c r="N2109" s="41">
        <v>0.06</v>
      </c>
      <c r="O2109" s="33">
        <v>40</v>
      </c>
      <c r="R2109" s="33">
        <v>0.46</v>
      </c>
      <c r="AV2109" s="108"/>
      <c r="AY2109" s="108"/>
      <c r="BL2109" s="62">
        <v>0</v>
      </c>
      <c r="BM2109" s="275">
        <v>3</v>
      </c>
      <c r="BN2109" s="62">
        <v>0.03</v>
      </c>
      <c r="BO2109" s="33" t="s">
        <v>738</v>
      </c>
    </row>
    <row r="2110" spans="1:68">
      <c r="A2110" s="33" t="str">
        <f>Database_Productkaarten[[#This Row],[Product]]&amp;", "&amp;Database_Productkaarten[[#This Row],[Levensfase]]</f>
        <v>Kolk, PP &amp; Gietijzer, C3</v>
      </c>
      <c r="B2110" s="33" t="s">
        <v>743</v>
      </c>
      <c r="C2110" s="33" t="s">
        <v>246</v>
      </c>
      <c r="D2110" s="33" t="s">
        <v>736</v>
      </c>
      <c r="E2110" s="33" t="s">
        <v>724</v>
      </c>
      <c r="F2110" s="33" t="s">
        <v>85</v>
      </c>
      <c r="G2110" s="33">
        <v>0.93</v>
      </c>
      <c r="H2110" s="33">
        <v>0.4</v>
      </c>
      <c r="I2110" s="33">
        <v>0.36</v>
      </c>
      <c r="L2110" s="33" t="s">
        <v>737</v>
      </c>
      <c r="M2110" s="33">
        <v>4.1000000000000002E-2</v>
      </c>
      <c r="N2110" s="41">
        <v>2.23</v>
      </c>
      <c r="O2110" s="33">
        <v>40</v>
      </c>
      <c r="R2110" s="33">
        <v>37.93</v>
      </c>
      <c r="AV2110" s="108"/>
      <c r="AY2110" s="108"/>
      <c r="BL2110" s="62">
        <v>0</v>
      </c>
      <c r="BM2110" s="275">
        <v>3</v>
      </c>
      <c r="BN2110" s="62">
        <v>0.03</v>
      </c>
      <c r="BO2110" s="33" t="s">
        <v>738</v>
      </c>
    </row>
    <row r="2111" spans="1:68">
      <c r="A2111" s="33" t="str">
        <f>Database_Productkaarten[[#This Row],[Product]]&amp;", "&amp;Database_Productkaarten[[#This Row],[Levensfase]]</f>
        <v>Kolk, PP &amp; Gietijzer, C4</v>
      </c>
      <c r="B2111" s="33" t="s">
        <v>743</v>
      </c>
      <c r="C2111" s="33" t="s">
        <v>246</v>
      </c>
      <c r="D2111" s="33" t="s">
        <v>736</v>
      </c>
      <c r="E2111" s="33" t="s">
        <v>724</v>
      </c>
      <c r="F2111" s="33" t="s">
        <v>86</v>
      </c>
      <c r="G2111" s="33">
        <v>0.93</v>
      </c>
      <c r="H2111" s="33">
        <v>0.4</v>
      </c>
      <c r="I2111" s="33">
        <v>0.36</v>
      </c>
      <c r="L2111" s="33" t="s">
        <v>737</v>
      </c>
      <c r="M2111" s="33">
        <v>4.1000000000000002E-2</v>
      </c>
      <c r="N2111" s="41"/>
      <c r="O2111" s="33">
        <v>40</v>
      </c>
      <c r="R2111" s="33">
        <v>0.01</v>
      </c>
      <c r="AV2111" s="108"/>
      <c r="AY2111" s="108"/>
      <c r="BL2111" s="62">
        <v>0</v>
      </c>
      <c r="BM2111" s="275">
        <v>3</v>
      </c>
      <c r="BN2111" s="62">
        <v>0.03</v>
      </c>
      <c r="BO2111" s="33" t="s">
        <v>738</v>
      </c>
    </row>
    <row r="2112" spans="1:68">
      <c r="A2112" s="33" t="str">
        <f>Database_Productkaarten[[#This Row],[Product]]&amp;", "&amp;Database_Productkaarten[[#This Row],[Levensfase]]</f>
        <v>Kolk, PP &amp; Gietijzer, D</v>
      </c>
      <c r="B2112" s="33" t="str">
        <f>B2113</f>
        <v>Kolk, PP &amp; Gietijzer</v>
      </c>
      <c r="C2112" s="33" t="str">
        <f>C2113</f>
        <v>Waterafvoer</v>
      </c>
      <c r="D2112" s="33" t="str">
        <f>D2113</f>
        <v>Kolk</v>
      </c>
      <c r="E2112" s="33" t="str">
        <f>E2113</f>
        <v>stuk</v>
      </c>
      <c r="F2112" s="33" t="s">
        <v>89</v>
      </c>
      <c r="G2112" s="33">
        <f t="shared" ref="G2112:M2112" si="843">G2113</f>
        <v>0.93</v>
      </c>
      <c r="H2112" s="33">
        <f t="shared" si="843"/>
        <v>0.4</v>
      </c>
      <c r="I2112" s="33">
        <f t="shared" si="843"/>
        <v>0.36</v>
      </c>
      <c r="J2112" s="33">
        <f t="shared" si="843"/>
        <v>0</v>
      </c>
      <c r="K2112" s="33">
        <f t="shared" si="843"/>
        <v>0</v>
      </c>
      <c r="L2112" s="33" t="str">
        <f t="shared" si="843"/>
        <v>NVT</v>
      </c>
      <c r="M2112" s="45">
        <f t="shared" si="843"/>
        <v>4.1000000000000002E-2</v>
      </c>
      <c r="N2112" s="41">
        <f>SUM(N2113:N2114)</f>
        <v>-5.08</v>
      </c>
      <c r="O2112" s="33">
        <v>40</v>
      </c>
      <c r="P2112" s="40">
        <f>SUM(P2113:P2114)</f>
        <v>0</v>
      </c>
      <c r="Q2112" s="40">
        <f>SUM(Q2113:Q2114)</f>
        <v>0</v>
      </c>
      <c r="R2112" s="40">
        <f>SUM(R2113:R2114)</f>
        <v>-51.1</v>
      </c>
      <c r="S2112" s="40">
        <f t="shared" ref="S2112:BK2112" si="844">SUM(S2113:S2114)</f>
        <v>0</v>
      </c>
      <c r="T2112" s="40">
        <f t="shared" si="844"/>
        <v>0</v>
      </c>
      <c r="U2112" s="40">
        <f t="shared" si="844"/>
        <v>0</v>
      </c>
      <c r="V2112" s="40">
        <f t="shared" si="844"/>
        <v>0</v>
      </c>
      <c r="W2112" s="40">
        <f t="shared" si="844"/>
        <v>0</v>
      </c>
      <c r="X2112" s="40">
        <f t="shared" si="844"/>
        <v>0</v>
      </c>
      <c r="Y2112" s="40">
        <f t="shared" si="844"/>
        <v>0</v>
      </c>
      <c r="Z2112" s="40">
        <f t="shared" si="844"/>
        <v>0</v>
      </c>
      <c r="AA2112" s="40">
        <f t="shared" si="844"/>
        <v>0</v>
      </c>
      <c r="AB2112" s="40">
        <f t="shared" si="844"/>
        <v>0</v>
      </c>
      <c r="AC2112" s="40">
        <f t="shared" si="844"/>
        <v>0</v>
      </c>
      <c r="AD2112" s="40">
        <f t="shared" si="844"/>
        <v>0</v>
      </c>
      <c r="AE2112" s="40">
        <f t="shared" si="844"/>
        <v>0</v>
      </c>
      <c r="AF2112" s="40">
        <f t="shared" si="844"/>
        <v>0</v>
      </c>
      <c r="AG2112" s="40">
        <f t="shared" si="844"/>
        <v>0</v>
      </c>
      <c r="AH2112" s="40">
        <f t="shared" si="844"/>
        <v>0</v>
      </c>
      <c r="AI2112" s="40">
        <f t="shared" si="844"/>
        <v>0</v>
      </c>
      <c r="AJ2112" s="40">
        <f t="shared" si="844"/>
        <v>0</v>
      </c>
      <c r="AK2112" s="40">
        <f t="shared" si="844"/>
        <v>0</v>
      </c>
      <c r="AL2112" s="40">
        <f t="shared" si="844"/>
        <v>0</v>
      </c>
      <c r="AM2112" s="40">
        <f t="shared" si="844"/>
        <v>0</v>
      </c>
      <c r="AN2112" s="40">
        <f t="shared" si="844"/>
        <v>0</v>
      </c>
      <c r="AO2112" s="40">
        <f t="shared" si="844"/>
        <v>0</v>
      </c>
      <c r="AP2112" s="40">
        <f t="shared" si="844"/>
        <v>0</v>
      </c>
      <c r="AQ2112" s="40">
        <f t="shared" si="844"/>
        <v>0</v>
      </c>
      <c r="AR2112" s="40">
        <f t="shared" si="844"/>
        <v>0</v>
      </c>
      <c r="AS2112" s="40">
        <f t="shared" si="844"/>
        <v>0</v>
      </c>
      <c r="AT2112" s="40">
        <f t="shared" si="844"/>
        <v>0</v>
      </c>
      <c r="AU2112" s="40">
        <f t="shared" si="844"/>
        <v>0</v>
      </c>
      <c r="AV2112" s="40">
        <f t="shared" si="844"/>
        <v>0</v>
      </c>
      <c r="AW2112" s="40">
        <f t="shared" si="844"/>
        <v>0</v>
      </c>
      <c r="AX2112" s="40">
        <f t="shared" si="844"/>
        <v>0</v>
      </c>
      <c r="AY2112" s="40">
        <f t="shared" si="844"/>
        <v>0</v>
      </c>
      <c r="AZ2112" s="40">
        <f t="shared" si="844"/>
        <v>0</v>
      </c>
      <c r="BA2112" s="40">
        <f t="shared" si="844"/>
        <v>0</v>
      </c>
      <c r="BB2112" s="40">
        <f t="shared" si="844"/>
        <v>0</v>
      </c>
      <c r="BC2112" s="40">
        <f t="shared" si="844"/>
        <v>0</v>
      </c>
      <c r="BD2112" s="40">
        <f t="shared" si="844"/>
        <v>0</v>
      </c>
      <c r="BE2112" s="40">
        <f t="shared" si="844"/>
        <v>0</v>
      </c>
      <c r="BF2112" s="40">
        <f t="shared" si="844"/>
        <v>0</v>
      </c>
      <c r="BG2112" s="40">
        <f t="shared" si="844"/>
        <v>0</v>
      </c>
      <c r="BH2112" s="40">
        <f t="shared" si="844"/>
        <v>0</v>
      </c>
      <c r="BI2112" s="40">
        <f t="shared" si="844"/>
        <v>0</v>
      </c>
      <c r="BJ2112" s="40">
        <f t="shared" si="844"/>
        <v>0</v>
      </c>
      <c r="BK2112" s="40">
        <f t="shared" si="844"/>
        <v>0</v>
      </c>
      <c r="BL2112" s="62">
        <f>BL2113</f>
        <v>0</v>
      </c>
      <c r="BM2112" s="275">
        <f>BM2113</f>
        <v>3</v>
      </c>
      <c r="BN2112" s="62">
        <v>0.03</v>
      </c>
      <c r="BO2112" s="33" t="str">
        <f>BO2113</f>
        <v>NMD H25 Leidingwerk V1.4 &amp; DuboCalc 6.0 (27/09/2022)</v>
      </c>
    </row>
    <row r="2113" spans="1:67">
      <c r="A2113" s="33" t="str">
        <f>Database_Productkaarten[[#This Row],[Product]]&amp;", "&amp;Database_Productkaarten[[#This Row],[Levensfase]]</f>
        <v>Kolk, PP &amp; Gietijzer, D1</v>
      </c>
      <c r="B2113" s="33" t="s">
        <v>743</v>
      </c>
      <c r="C2113" s="33" t="s">
        <v>246</v>
      </c>
      <c r="D2113" s="33" t="s">
        <v>736</v>
      </c>
      <c r="E2113" s="33" t="s">
        <v>724</v>
      </c>
      <c r="F2113" s="33" t="s">
        <v>87</v>
      </c>
      <c r="G2113" s="33">
        <v>0.93</v>
      </c>
      <c r="H2113" s="33">
        <v>0.4</v>
      </c>
      <c r="I2113" s="33">
        <v>0.36</v>
      </c>
      <c r="L2113" s="33" t="s">
        <v>737</v>
      </c>
      <c r="M2113" s="33">
        <v>4.1000000000000002E-2</v>
      </c>
      <c r="N2113" s="41">
        <v>-5.08</v>
      </c>
      <c r="O2113" s="33">
        <v>40</v>
      </c>
      <c r="R2113" s="33">
        <v>-51.1</v>
      </c>
      <c r="AV2113" s="108"/>
      <c r="AY2113" s="108"/>
      <c r="BL2113" s="62">
        <v>0</v>
      </c>
      <c r="BM2113" s="275">
        <v>3</v>
      </c>
      <c r="BN2113" s="62">
        <v>0.03</v>
      </c>
      <c r="BO2113" s="33" t="s">
        <v>738</v>
      </c>
    </row>
    <row r="2114" spans="1:67">
      <c r="A2114" s="33" t="str">
        <f>Database_Productkaarten[[#This Row],[Product]]&amp;", "&amp;Database_Productkaarten[[#This Row],[Levensfase]]</f>
        <v>Kolk, PP &amp; Gietijzer, D2</v>
      </c>
      <c r="B2114" s="33" t="s">
        <v>743</v>
      </c>
      <c r="C2114" s="33" t="s">
        <v>246</v>
      </c>
      <c r="D2114" s="33" t="s">
        <v>736</v>
      </c>
      <c r="E2114" s="33" t="s">
        <v>724</v>
      </c>
      <c r="F2114" s="33" t="s">
        <v>88</v>
      </c>
      <c r="G2114" s="33">
        <v>0.93</v>
      </c>
      <c r="H2114" s="33">
        <v>0.4</v>
      </c>
      <c r="I2114" s="33">
        <v>0.36</v>
      </c>
      <c r="L2114" s="33" t="s">
        <v>737</v>
      </c>
      <c r="M2114" s="33">
        <v>4.1000000000000002E-2</v>
      </c>
      <c r="N2114" s="41"/>
      <c r="O2114" s="33">
        <v>40</v>
      </c>
      <c r="AV2114" s="108"/>
      <c r="AY2114" s="108"/>
      <c r="BL2114" s="62">
        <v>0</v>
      </c>
      <c r="BM2114" s="275">
        <v>3</v>
      </c>
      <c r="BN2114" s="62">
        <v>0.03</v>
      </c>
      <c r="BO2114" s="33" t="s">
        <v>738</v>
      </c>
    </row>
    <row r="2115" spans="1:67">
      <c r="A2115" s="33" t="str">
        <f>Database_Productkaarten[[#This Row],[Product]]&amp;", "&amp;Database_Productkaarten[[#This Row],[Levensfase]]</f>
        <v>Rand &amp; Deksel van inspectieput 520mm, Totaal</v>
      </c>
      <c r="B2115" s="33" t="s">
        <v>744</v>
      </c>
      <c r="C2115" s="33" t="s">
        <v>246</v>
      </c>
      <c r="D2115" s="33" t="s">
        <v>745</v>
      </c>
      <c r="E2115" s="33" t="s">
        <v>724</v>
      </c>
      <c r="F2115" s="33" t="s">
        <v>90</v>
      </c>
      <c r="M2115" s="361">
        <v>0.17393</v>
      </c>
      <c r="N2115" s="41"/>
      <c r="O2115" s="33">
        <v>40</v>
      </c>
      <c r="P2115" s="40"/>
      <c r="Q2115" s="40"/>
      <c r="R2115" s="40"/>
      <c r="S2115" s="40"/>
      <c r="T2115" s="40"/>
      <c r="U2115" s="40"/>
      <c r="V2115" s="40"/>
      <c r="W2115" s="40"/>
      <c r="X2115" s="40"/>
      <c r="Y2115" s="40"/>
      <c r="Z2115" s="40"/>
      <c r="AA2115" s="40"/>
      <c r="AB2115" s="40"/>
      <c r="AC2115" s="40"/>
      <c r="AD2115" s="40"/>
      <c r="AE2115" s="40"/>
      <c r="AF2115" s="40"/>
      <c r="AG2115" s="40"/>
      <c r="AH2115" s="40"/>
      <c r="AI2115" s="40"/>
      <c r="AJ2115" s="40"/>
      <c r="AK2115" s="40"/>
      <c r="AL2115" s="40"/>
      <c r="AM2115" s="40"/>
      <c r="AN2115" s="40"/>
      <c r="AO2115" s="40"/>
      <c r="AP2115" s="40"/>
      <c r="AQ2115" s="40"/>
      <c r="AR2115" s="40"/>
      <c r="AS2115" s="40"/>
      <c r="AT2115" s="40"/>
      <c r="AU2115" s="40"/>
      <c r="AV2115" s="108"/>
      <c r="AW2115" s="40"/>
      <c r="AX2115" s="40"/>
      <c r="AY2115" s="108"/>
      <c r="AZ2115" s="40"/>
      <c r="BA2115" s="40"/>
      <c r="BB2115" s="40"/>
      <c r="BC2115" s="40"/>
      <c r="BD2115" s="40"/>
      <c r="BE2115" s="40"/>
      <c r="BF2115" s="40"/>
      <c r="BG2115" s="40"/>
      <c r="BH2115" s="40"/>
      <c r="BI2115" s="40"/>
      <c r="BJ2115" s="40"/>
      <c r="BK2115" s="40"/>
      <c r="BL2115" s="62">
        <v>0</v>
      </c>
      <c r="BM2115" s="275">
        <v>3</v>
      </c>
      <c r="BN2115" s="62">
        <v>0.03</v>
      </c>
      <c r="BO2115" s="33" t="s">
        <v>746</v>
      </c>
    </row>
    <row r="2116" spans="1:67">
      <c r="A2116" s="33" t="str">
        <f>Database_Productkaarten[[#This Row],[Product]]&amp;", "&amp;Database_Productkaarten[[#This Row],[Levensfase]]</f>
        <v>Rand &amp; Deksel van inspectieput 520mm, A1</v>
      </c>
      <c r="B2116" s="33" t="s">
        <v>744</v>
      </c>
      <c r="C2116" s="33" t="s">
        <v>246</v>
      </c>
      <c r="D2116" s="33" t="s">
        <v>745</v>
      </c>
      <c r="E2116" s="33" t="s">
        <v>724</v>
      </c>
      <c r="F2116" s="33" t="s">
        <v>74</v>
      </c>
      <c r="M2116" s="361">
        <v>0.17393</v>
      </c>
      <c r="N2116" s="326">
        <v>14.588476</v>
      </c>
      <c r="O2116" s="33">
        <v>40</v>
      </c>
      <c r="P2116" s="163">
        <v>8.8635510000000003E-5</v>
      </c>
      <c r="Q2116" s="163">
        <v>0.76345562</v>
      </c>
      <c r="R2116" s="163">
        <v>115.02976</v>
      </c>
      <c r="S2116" s="163">
        <v>6.1400240000000003E-6</v>
      </c>
      <c r="T2116" s="163">
        <v>0.13871544999999999</v>
      </c>
      <c r="U2116" s="163">
        <v>0.48070247999999999</v>
      </c>
      <c r="V2116" s="163">
        <v>5.4699945999999999E-2</v>
      </c>
      <c r="W2116" s="163">
        <v>60.924712999999997</v>
      </c>
      <c r="X2116" s="163">
        <v>1.1965545</v>
      </c>
      <c r="Y2116" s="163">
        <v>2813.6522</v>
      </c>
      <c r="Z2116" s="163">
        <v>3.6935121</v>
      </c>
      <c r="AA2116" s="40"/>
      <c r="AB2116" s="40"/>
      <c r="AC2116" s="40"/>
      <c r="AD2116" s="40"/>
      <c r="AE2116" s="40"/>
      <c r="AF2116" s="40"/>
      <c r="AG2116" s="40"/>
      <c r="AH2116" s="40"/>
      <c r="AI2116" s="40"/>
      <c r="AJ2116" s="40"/>
      <c r="AK2116" s="40"/>
      <c r="AL2116" s="40"/>
      <c r="AM2116" s="40"/>
      <c r="AN2116" s="40"/>
      <c r="AO2116" s="40"/>
      <c r="AP2116" s="40"/>
      <c r="AQ2116" s="40"/>
      <c r="AR2116" s="40"/>
      <c r="AS2116" s="40"/>
      <c r="AT2116" s="40"/>
      <c r="AU2116" s="40"/>
      <c r="AV2116" s="163">
        <v>55.009957999999997</v>
      </c>
      <c r="AW2116" s="40"/>
      <c r="AX2116" s="40"/>
      <c r="AY2116" s="281">
        <v>1312.8347000000001</v>
      </c>
      <c r="AZ2116" s="40"/>
      <c r="BA2116" s="40"/>
      <c r="BB2116" s="40"/>
      <c r="BC2116" s="40">
        <v>1.6841058</v>
      </c>
      <c r="BD2116" s="163">
        <v>3.9327321</v>
      </c>
      <c r="BE2116" s="163">
        <v>14.546552</v>
      </c>
      <c r="BF2116" s="40"/>
      <c r="BG2116" s="40"/>
      <c r="BH2116" s="40"/>
      <c r="BI2116" s="40"/>
      <c r="BJ2116" s="40"/>
      <c r="BK2116" s="40"/>
      <c r="BL2116" s="62">
        <v>0</v>
      </c>
      <c r="BM2116" s="275">
        <v>3</v>
      </c>
      <c r="BN2116" s="62">
        <v>0.03</v>
      </c>
      <c r="BO2116" s="33" t="s">
        <v>746</v>
      </c>
    </row>
    <row r="2117" spans="1:67">
      <c r="A2117" s="33" t="str">
        <f>Database_Productkaarten[[#This Row],[Product]]&amp;", "&amp;Database_Productkaarten[[#This Row],[Levensfase]]</f>
        <v>Rand &amp; Deksel van inspectieput 520mm, A2</v>
      </c>
      <c r="B2117" s="33" t="s">
        <v>744</v>
      </c>
      <c r="C2117" s="33" t="s">
        <v>246</v>
      </c>
      <c r="D2117" s="33" t="s">
        <v>745</v>
      </c>
      <c r="E2117" s="33" t="s">
        <v>724</v>
      </c>
      <c r="F2117" s="33" t="s">
        <v>75</v>
      </c>
      <c r="M2117" s="361">
        <v>0.17393</v>
      </c>
      <c r="N2117" s="326">
        <v>0.22548128000000001</v>
      </c>
      <c r="O2117" s="33">
        <v>40</v>
      </c>
      <c r="P2117" s="163">
        <v>5.4266292999999998E-6</v>
      </c>
      <c r="Q2117" s="163">
        <v>1.4085001999999999E-2</v>
      </c>
      <c r="R2117" s="163">
        <v>1.9082105</v>
      </c>
      <c r="S2117" s="163">
        <v>3.5164554000000002E-7</v>
      </c>
      <c r="T2117" s="163">
        <v>1.1262866E-3</v>
      </c>
      <c r="U2117" s="163">
        <v>8.2729156999999994E-3</v>
      </c>
      <c r="V2117" s="163">
        <v>1.6485674E-3</v>
      </c>
      <c r="W2117" s="163">
        <v>0.76343333999999996</v>
      </c>
      <c r="X2117" s="163">
        <v>2.2390472000000002E-2</v>
      </c>
      <c r="Y2117" s="163">
        <v>80.813851999999997</v>
      </c>
      <c r="Z2117" s="163">
        <v>2.7049422000000002E-3</v>
      </c>
      <c r="AA2117" s="40"/>
      <c r="AB2117" s="40"/>
      <c r="AC2117" s="40"/>
      <c r="AD2117" s="40"/>
      <c r="AE2117" s="40"/>
      <c r="AF2117" s="40"/>
      <c r="AG2117" s="40"/>
      <c r="AH2117" s="40"/>
      <c r="AI2117" s="40"/>
      <c r="AJ2117" s="40"/>
      <c r="AK2117" s="40"/>
      <c r="AL2117" s="40"/>
      <c r="AM2117" s="40"/>
      <c r="AN2117" s="40"/>
      <c r="AO2117" s="40"/>
      <c r="AP2117" s="40"/>
      <c r="AQ2117" s="40"/>
      <c r="AR2117" s="40"/>
      <c r="AS2117" s="40"/>
      <c r="AT2117" s="40"/>
      <c r="AU2117" s="40"/>
      <c r="AV2117" s="163">
        <v>0.40184189999999997</v>
      </c>
      <c r="AW2117" s="40"/>
      <c r="AX2117" s="40"/>
      <c r="AY2117" s="281">
        <v>31.399854999999999</v>
      </c>
      <c r="AZ2117" s="40"/>
      <c r="BA2117" s="40"/>
      <c r="BB2117" s="40"/>
      <c r="BC2117" s="40">
        <v>5.6471856000000001E-3</v>
      </c>
      <c r="BD2117" s="163">
        <v>2.1685585E-4</v>
      </c>
      <c r="BE2117" s="163">
        <v>1.8048873999999999</v>
      </c>
      <c r="BF2117" s="40"/>
      <c r="BG2117" s="40"/>
      <c r="BH2117" s="40"/>
      <c r="BI2117" s="40"/>
      <c r="BJ2117" s="40"/>
      <c r="BK2117" s="40"/>
      <c r="BL2117" s="62">
        <v>0</v>
      </c>
      <c r="BM2117" s="275">
        <v>3</v>
      </c>
      <c r="BN2117" s="62">
        <v>0.03</v>
      </c>
      <c r="BO2117" s="33" t="s">
        <v>746</v>
      </c>
    </row>
    <row r="2118" spans="1:67">
      <c r="A2118" s="33" t="str">
        <f>Database_Productkaarten[[#This Row],[Product]]&amp;", "&amp;Database_Productkaarten[[#This Row],[Levensfase]]</f>
        <v>Rand &amp; Deksel van inspectieput 520mm, A3</v>
      </c>
      <c r="B2118" s="33" t="s">
        <v>744</v>
      </c>
      <c r="C2118" s="33" t="s">
        <v>246</v>
      </c>
      <c r="D2118" s="33" t="s">
        <v>745</v>
      </c>
      <c r="E2118" s="33" t="s">
        <v>724</v>
      </c>
      <c r="F2118" s="33" t="s">
        <v>76</v>
      </c>
      <c r="M2118" s="361">
        <v>0.17393</v>
      </c>
      <c r="N2118" s="326">
        <v>5.1963598999999999E-2</v>
      </c>
      <c r="O2118" s="33">
        <v>40</v>
      </c>
      <c r="P2118" s="163">
        <v>1.9848893000000001E-7</v>
      </c>
      <c r="Q2118" s="163">
        <v>5.9661365000000001E-3</v>
      </c>
      <c r="R2118" s="163">
        <v>0.72997957999999996</v>
      </c>
      <c r="S2118" s="163">
        <v>5.0379244999999999E-8</v>
      </c>
      <c r="T2118" s="163">
        <v>1.2082607E-4</v>
      </c>
      <c r="U2118" s="163">
        <v>1.3292712E-3</v>
      </c>
      <c r="V2118" s="163">
        <v>2.976244E-4</v>
      </c>
      <c r="W2118" s="163">
        <v>6.0927592000000003E-2</v>
      </c>
      <c r="X2118" s="163">
        <v>1.3942116E-3</v>
      </c>
      <c r="Y2118" s="163">
        <v>6.8424345000000004</v>
      </c>
      <c r="Z2118" s="163">
        <v>1.0264206000000001E-3</v>
      </c>
      <c r="AA2118" s="40"/>
      <c r="AB2118" s="40"/>
      <c r="AC2118" s="40"/>
      <c r="AD2118" s="40"/>
      <c r="AE2118" s="40"/>
      <c r="AF2118" s="40"/>
      <c r="AG2118" s="40"/>
      <c r="AH2118" s="40"/>
      <c r="AI2118" s="40"/>
      <c r="AJ2118" s="40"/>
      <c r="AK2118" s="40"/>
      <c r="AL2118" s="40"/>
      <c r="AM2118" s="40"/>
      <c r="AN2118" s="40"/>
      <c r="AO2118" s="40"/>
      <c r="AP2118" s="40"/>
      <c r="AQ2118" s="40"/>
      <c r="AR2118" s="40"/>
      <c r="AS2118" s="40"/>
      <c r="AT2118" s="40"/>
      <c r="AU2118" s="40"/>
      <c r="AV2118" s="163">
        <v>0.92436839000000004</v>
      </c>
      <c r="AW2118" s="40"/>
      <c r="AX2118" s="40"/>
      <c r="AY2118" s="281">
        <v>11.969963</v>
      </c>
      <c r="AZ2118" s="40"/>
      <c r="BA2118" s="40"/>
      <c r="BB2118" s="40"/>
      <c r="BC2118" s="40">
        <v>2.3483093999999999E-3</v>
      </c>
      <c r="BD2118" s="163">
        <v>5.2536381000000002E-5</v>
      </c>
      <c r="BE2118" s="163">
        <v>2.3060691000000001E-2</v>
      </c>
      <c r="BF2118" s="40"/>
      <c r="BG2118" s="40"/>
      <c r="BH2118" s="40"/>
      <c r="BI2118" s="40"/>
      <c r="BJ2118" s="40"/>
      <c r="BK2118" s="40"/>
      <c r="BL2118" s="62">
        <v>0</v>
      </c>
      <c r="BM2118" s="275">
        <v>3</v>
      </c>
      <c r="BN2118" s="62">
        <v>0.03</v>
      </c>
      <c r="BO2118" s="33" t="s">
        <v>746</v>
      </c>
    </row>
    <row r="2119" spans="1:67">
      <c r="A2119" s="33" t="str">
        <f>Database_Productkaarten[[#This Row],[Product]]&amp;", "&amp;Database_Productkaarten[[#This Row],[Levensfase]]</f>
        <v>Rand &amp; Deksel van inspectieput 520mm, A1-A3</v>
      </c>
      <c r="B2119" s="33" t="s">
        <v>744</v>
      </c>
      <c r="C2119" s="33" t="s">
        <v>246</v>
      </c>
      <c r="D2119" s="33" t="s">
        <v>745</v>
      </c>
      <c r="E2119" s="33" t="s">
        <v>724</v>
      </c>
      <c r="F2119" s="451" t="s">
        <v>77</v>
      </c>
      <c r="M2119" s="361">
        <v>0.17393</v>
      </c>
      <c r="N2119" s="41">
        <f>SUM(N2116:N2118)</f>
        <v>14.865920879000001</v>
      </c>
      <c r="O2119" s="33">
        <v>40</v>
      </c>
      <c r="P2119" s="40">
        <f>SUM(P2116:P2118)</f>
        <v>9.4260628229999999E-5</v>
      </c>
      <c r="Q2119" s="40">
        <f t="shared" ref="Q2119:Z2119" si="845">SUM(Q2116:Q2118)</f>
        <v>0.78350675849999996</v>
      </c>
      <c r="R2119" s="40">
        <f t="shared" si="845"/>
        <v>117.66795008</v>
      </c>
      <c r="S2119" s="40">
        <f t="shared" si="845"/>
        <v>6.5420487850000005E-6</v>
      </c>
      <c r="T2119" s="40">
        <f t="shared" si="845"/>
        <v>0.13996256266999998</v>
      </c>
      <c r="U2119" s="40">
        <f t="shared" si="845"/>
        <v>0.49030466689999996</v>
      </c>
      <c r="V2119" s="40">
        <f t="shared" si="845"/>
        <v>5.6646137800000003E-2</v>
      </c>
      <c r="W2119" s="40">
        <f t="shared" si="845"/>
        <v>61.749073931999995</v>
      </c>
      <c r="X2119" s="40">
        <f t="shared" si="845"/>
        <v>1.2203391836000002</v>
      </c>
      <c r="Y2119" s="40">
        <f t="shared" si="845"/>
        <v>2901.3084864999996</v>
      </c>
      <c r="Z2119" s="40">
        <f t="shared" si="845"/>
        <v>3.6972434627999999</v>
      </c>
      <c r="AA2119" s="40"/>
      <c r="AB2119" s="40"/>
      <c r="AC2119" s="40"/>
      <c r="AD2119" s="40"/>
      <c r="AE2119" s="40"/>
      <c r="AF2119" s="40"/>
      <c r="AG2119" s="40"/>
      <c r="AH2119" s="40"/>
      <c r="AI2119" s="40"/>
      <c r="AJ2119" s="40"/>
      <c r="AK2119" s="40"/>
      <c r="AL2119" s="40"/>
      <c r="AM2119" s="40"/>
      <c r="AN2119" s="40"/>
      <c r="AO2119" s="40"/>
      <c r="AP2119" s="40"/>
      <c r="AQ2119" s="40"/>
      <c r="AR2119" s="40"/>
      <c r="AS2119" s="40"/>
      <c r="AT2119" s="40"/>
      <c r="AU2119" s="40"/>
      <c r="AV2119" s="40">
        <f>SUM(AV2116:AV2118)</f>
        <v>56.336168289999996</v>
      </c>
      <c r="AW2119" s="40"/>
      <c r="AX2119" s="40"/>
      <c r="AY2119" s="281">
        <f>SUM(AY2116:AY2118)</f>
        <v>1356.204518</v>
      </c>
      <c r="AZ2119" s="40"/>
      <c r="BA2119" s="40"/>
      <c r="BB2119" s="40"/>
      <c r="BC2119" s="40">
        <f>SUM(BC2116:BC2118)</f>
        <v>1.6921012950000001</v>
      </c>
      <c r="BD2119" s="40">
        <f>SUM(BD2116:BD2118)</f>
        <v>3.9330014922309999</v>
      </c>
      <c r="BE2119" s="40">
        <f>SUM(BE2116:BE2118)</f>
        <v>16.374500091000002</v>
      </c>
      <c r="BF2119" s="40"/>
      <c r="BG2119" s="40"/>
      <c r="BH2119" s="40"/>
      <c r="BI2119" s="40"/>
      <c r="BJ2119" s="40"/>
      <c r="BK2119" s="40"/>
      <c r="BL2119" s="62">
        <v>0</v>
      </c>
      <c r="BM2119" s="275">
        <v>3</v>
      </c>
      <c r="BN2119" s="62">
        <v>0.03</v>
      </c>
      <c r="BO2119" s="33" t="s">
        <v>746</v>
      </c>
    </row>
    <row r="2120" spans="1:67">
      <c r="A2120" s="33" t="str">
        <f>Database_Productkaarten[[#This Row],[Product]]&amp;", "&amp;Database_Productkaarten[[#This Row],[Levensfase]]</f>
        <v>Rand &amp; Deksel van inspectieput 520mm, A4</v>
      </c>
      <c r="B2120" s="33" t="s">
        <v>744</v>
      </c>
      <c r="C2120" s="33" t="s">
        <v>246</v>
      </c>
      <c r="D2120" s="33" t="s">
        <v>745</v>
      </c>
      <c r="E2120" s="33" t="s">
        <v>724</v>
      </c>
      <c r="F2120" s="33" t="s">
        <v>78</v>
      </c>
      <c r="M2120" s="361">
        <v>0.17393</v>
      </c>
      <c r="N2120" s="41">
        <v>0.40614641000000001</v>
      </c>
      <c r="O2120" s="33">
        <v>40</v>
      </c>
      <c r="P2120" s="40">
        <v>9.7746739000000004E-6</v>
      </c>
      <c r="Q2120" s="40">
        <v>2.5370501E-2</v>
      </c>
      <c r="R2120" s="40">
        <v>3.4371493000000002</v>
      </c>
      <c r="S2120" s="40">
        <v>6.3339880000000003E-7</v>
      </c>
      <c r="T2120" s="40">
        <v>2.0287149999999999E-3</v>
      </c>
      <c r="U2120" s="40">
        <v>1.4901525000000001E-2</v>
      </c>
      <c r="V2120" s="40">
        <v>2.9694691999999998E-3</v>
      </c>
      <c r="W2120" s="40">
        <v>1.3751283999999999</v>
      </c>
      <c r="X2120" s="40">
        <v>4.0330664000000002E-2</v>
      </c>
      <c r="Y2120" s="40">
        <v>145.56532000000001</v>
      </c>
      <c r="Z2120" s="40">
        <v>4.8722560999999998E-3</v>
      </c>
      <c r="AA2120" s="40"/>
      <c r="AB2120" s="40"/>
      <c r="AC2120" s="40"/>
      <c r="AD2120" s="40"/>
      <c r="AE2120" s="40"/>
      <c r="AF2120" s="40"/>
      <c r="AG2120" s="40"/>
      <c r="AH2120" s="40"/>
      <c r="AI2120" s="40"/>
      <c r="AJ2120" s="40"/>
      <c r="AK2120" s="40"/>
      <c r="AL2120" s="40"/>
      <c r="AM2120" s="40"/>
      <c r="AN2120" s="40"/>
      <c r="AO2120" s="40"/>
      <c r="AP2120" s="40"/>
      <c r="AQ2120" s="40"/>
      <c r="AR2120" s="40"/>
      <c r="AS2120" s="40"/>
      <c r="AT2120" s="40"/>
      <c r="AU2120" s="40"/>
      <c r="AV2120" s="40">
        <v>0.72381459999999997</v>
      </c>
      <c r="AW2120" s="40"/>
      <c r="AX2120" s="40"/>
      <c r="AY2120" s="281">
        <v>56.558745999999999</v>
      </c>
      <c r="AZ2120" s="40"/>
      <c r="BA2120" s="40"/>
      <c r="BB2120" s="40"/>
      <c r="BC2120" s="40">
        <v>1.0171949E-2</v>
      </c>
      <c r="BD2120" s="40">
        <v>3.9060990999999998E-4</v>
      </c>
      <c r="BE2120" s="40">
        <v>3.2510395000000001</v>
      </c>
      <c r="BF2120" s="40"/>
      <c r="BG2120" s="40"/>
      <c r="BH2120" s="40"/>
      <c r="BI2120" s="40"/>
      <c r="BJ2120" s="40"/>
      <c r="BK2120" s="40"/>
      <c r="BL2120" s="62">
        <v>0</v>
      </c>
      <c r="BM2120" s="275">
        <v>3</v>
      </c>
      <c r="BN2120" s="62">
        <v>0.03</v>
      </c>
      <c r="BO2120" s="33" t="s">
        <v>746</v>
      </c>
    </row>
    <row r="2121" spans="1:67">
      <c r="A2121" s="33" t="str">
        <f>Database_Productkaarten[[#This Row],[Product]]&amp;", "&amp;Database_Productkaarten[[#This Row],[Levensfase]]</f>
        <v>Rand &amp; Deksel van inspectieput 520mm, A5</v>
      </c>
      <c r="B2121" s="33" t="s">
        <v>744</v>
      </c>
      <c r="C2121" s="33" t="s">
        <v>246</v>
      </c>
      <c r="D2121" s="33" t="s">
        <v>745</v>
      </c>
      <c r="E2121" s="33" t="s">
        <v>724</v>
      </c>
      <c r="F2121" s="33" t="s">
        <v>79</v>
      </c>
      <c r="M2121" s="361">
        <v>0.17393</v>
      </c>
      <c r="N2121" s="41">
        <v>0.82343736000000001</v>
      </c>
      <c r="O2121" s="33">
        <v>40</v>
      </c>
      <c r="P2121" s="40">
        <v>4.2815954000000001E-6</v>
      </c>
      <c r="Q2121" s="40">
        <v>4.2510142000000001E-2</v>
      </c>
      <c r="R2121" s="40">
        <v>6.5244089000000001</v>
      </c>
      <c r="S2121" s="40">
        <v>1.0504786E-6</v>
      </c>
      <c r="T2121" s="40">
        <v>4.9120122000000004E-3</v>
      </c>
      <c r="U2121" s="40">
        <v>4.4120466999999997E-2</v>
      </c>
      <c r="V2121" s="40">
        <v>9.6805229999999999E-3</v>
      </c>
      <c r="W2121" s="40">
        <v>2.1512134999999999</v>
      </c>
      <c r="X2121" s="40">
        <v>5.4920657999999997E-2</v>
      </c>
      <c r="Y2121" s="40">
        <v>150.89104</v>
      </c>
      <c r="Z2121" s="40">
        <v>0.11010921999999999</v>
      </c>
      <c r="AA2121" s="40"/>
      <c r="AB2121" s="40"/>
      <c r="AC2121" s="40"/>
      <c r="AD2121" s="40"/>
      <c r="AE2121" s="40"/>
      <c r="AF2121" s="40"/>
      <c r="AG2121" s="40"/>
      <c r="AH2121" s="40"/>
      <c r="AI2121" s="40"/>
      <c r="AJ2121" s="40"/>
      <c r="AK2121" s="40"/>
      <c r="AL2121" s="40"/>
      <c r="AM2121" s="40"/>
      <c r="AN2121" s="40"/>
      <c r="AO2121" s="40"/>
      <c r="AP2121" s="40"/>
      <c r="AQ2121" s="40"/>
      <c r="AR2121" s="40"/>
      <c r="AS2121" s="40"/>
      <c r="AT2121" s="40"/>
      <c r="AU2121" s="40"/>
      <c r="AV2121" s="40">
        <v>1.7249334000000001</v>
      </c>
      <c r="AW2121" s="40"/>
      <c r="AX2121" s="40"/>
      <c r="AY2121" s="281">
        <v>96.657037000000003</v>
      </c>
      <c r="AZ2121" s="40"/>
      <c r="BA2121" s="40"/>
      <c r="BB2121" s="40"/>
      <c r="BC2121" s="40">
        <v>4.2756661000000001E-2</v>
      </c>
      <c r="BD2121" s="40">
        <v>0.11826908</v>
      </c>
      <c r="BE2121" s="40">
        <v>0.92565565000000005</v>
      </c>
      <c r="BF2121" s="40"/>
      <c r="BG2121" s="40"/>
      <c r="BH2121" s="40"/>
      <c r="BI2121" s="40"/>
      <c r="BJ2121" s="40"/>
      <c r="BK2121" s="40"/>
      <c r="BL2121" s="62">
        <v>0</v>
      </c>
      <c r="BM2121" s="275">
        <v>3</v>
      </c>
      <c r="BN2121" s="62">
        <v>0.03</v>
      </c>
      <c r="BO2121" s="33" t="s">
        <v>746</v>
      </c>
    </row>
    <row r="2122" spans="1:67">
      <c r="A2122" s="33" t="str">
        <f>Database_Productkaarten[[#This Row],[Product]]&amp;", "&amp;Database_Productkaarten[[#This Row],[Levensfase]]</f>
        <v>Rand &amp; Deksel van inspectieput 520mm, B1</v>
      </c>
      <c r="B2122" s="33" t="s">
        <v>744</v>
      </c>
      <c r="C2122" s="33" t="s">
        <v>246</v>
      </c>
      <c r="D2122" s="33" t="s">
        <v>745</v>
      </c>
      <c r="E2122" s="33" t="s">
        <v>724</v>
      </c>
      <c r="F2122" s="33" t="s">
        <v>80</v>
      </c>
      <c r="M2122" s="361">
        <v>0.17393</v>
      </c>
      <c r="N2122" s="41">
        <v>0</v>
      </c>
      <c r="O2122" s="33">
        <v>40</v>
      </c>
      <c r="P2122" s="40">
        <v>0</v>
      </c>
      <c r="Q2122" s="40">
        <v>0</v>
      </c>
      <c r="R2122" s="40">
        <v>0</v>
      </c>
      <c r="S2122" s="40">
        <v>0</v>
      </c>
      <c r="T2122" s="40">
        <v>0</v>
      </c>
      <c r="U2122" s="40">
        <v>0</v>
      </c>
      <c r="V2122" s="40">
        <v>0</v>
      </c>
      <c r="W2122" s="40">
        <v>0</v>
      </c>
      <c r="X2122" s="40">
        <v>0</v>
      </c>
      <c r="Y2122" s="40">
        <v>0</v>
      </c>
      <c r="Z2122" s="40">
        <v>0</v>
      </c>
      <c r="AA2122" s="40"/>
      <c r="AB2122" s="40"/>
      <c r="AC2122" s="40"/>
      <c r="AD2122" s="40"/>
      <c r="AE2122" s="40"/>
      <c r="AF2122" s="40"/>
      <c r="AG2122" s="40"/>
      <c r="AH2122" s="40"/>
      <c r="AI2122" s="40"/>
      <c r="AJ2122" s="40"/>
      <c r="AK2122" s="40"/>
      <c r="AL2122" s="40"/>
      <c r="AM2122" s="40"/>
      <c r="AN2122" s="40"/>
      <c r="AO2122" s="40"/>
      <c r="AP2122" s="40"/>
      <c r="AQ2122" s="40"/>
      <c r="AR2122" s="40"/>
      <c r="AS2122" s="40"/>
      <c r="AT2122" s="40"/>
      <c r="AU2122" s="40"/>
      <c r="AV2122" s="40">
        <v>0</v>
      </c>
      <c r="AW2122" s="40"/>
      <c r="AX2122" s="40"/>
      <c r="AY2122" s="281">
        <v>0</v>
      </c>
      <c r="AZ2122" s="40"/>
      <c r="BA2122" s="40"/>
      <c r="BB2122" s="40"/>
      <c r="BC2122" s="40">
        <v>0</v>
      </c>
      <c r="BD2122" s="40">
        <v>0</v>
      </c>
      <c r="BE2122" s="40">
        <v>0</v>
      </c>
      <c r="BF2122" s="40"/>
      <c r="BG2122" s="40"/>
      <c r="BH2122" s="40"/>
      <c r="BI2122" s="40"/>
      <c r="BJ2122" s="40"/>
      <c r="BK2122" s="40"/>
      <c r="BL2122" s="62">
        <v>0</v>
      </c>
      <c r="BM2122" s="275">
        <v>3</v>
      </c>
      <c r="BN2122" s="62">
        <v>0.03</v>
      </c>
      <c r="BO2122" s="33" t="s">
        <v>746</v>
      </c>
    </row>
    <row r="2123" spans="1:67">
      <c r="A2123" s="33" t="str">
        <f>Database_Productkaarten[[#This Row],[Product]]&amp;", "&amp;Database_Productkaarten[[#This Row],[Levensfase]]</f>
        <v>Rand &amp; Deksel van inspectieput 520mm, C1</v>
      </c>
      <c r="B2123" s="33" t="s">
        <v>744</v>
      </c>
      <c r="C2123" s="33" t="s">
        <v>246</v>
      </c>
      <c r="D2123" s="33" t="s">
        <v>745</v>
      </c>
      <c r="E2123" s="33" t="s">
        <v>724</v>
      </c>
      <c r="F2123" s="33" t="s">
        <v>83</v>
      </c>
      <c r="M2123" s="361">
        <v>0.17393</v>
      </c>
      <c r="N2123" s="41">
        <v>0.69922695000000001</v>
      </c>
      <c r="O2123" s="33">
        <v>40</v>
      </c>
      <c r="P2123" s="40">
        <v>1.7690698000000001E-6</v>
      </c>
      <c r="Q2123" s="40">
        <v>3.6448639999999997E-2</v>
      </c>
      <c r="R2123" s="40">
        <v>5.2827033999999999</v>
      </c>
      <c r="S2123" s="40">
        <v>9.5153109000000003E-7</v>
      </c>
      <c r="T2123" s="40">
        <v>5.3248317000000002E-3</v>
      </c>
      <c r="U2123" s="40">
        <v>3.9971547000000003E-2</v>
      </c>
      <c r="V2123" s="40">
        <v>8.9504748000000002E-3</v>
      </c>
      <c r="W2123" s="40">
        <v>1.870042</v>
      </c>
      <c r="X2123" s="40">
        <v>2.6152348999999998E-2</v>
      </c>
      <c r="Y2123" s="40">
        <v>88.652058999999994</v>
      </c>
      <c r="Z2123" s="40">
        <v>3.1247877999999998E-3</v>
      </c>
      <c r="AA2123" s="40"/>
      <c r="AB2123" s="40"/>
      <c r="AC2123" s="40"/>
      <c r="AD2123" s="40"/>
      <c r="AE2123" s="40"/>
      <c r="AF2123" s="40"/>
      <c r="AG2123" s="40"/>
      <c r="AH2123" s="40"/>
      <c r="AI2123" s="40"/>
      <c r="AJ2123" s="40"/>
      <c r="AK2123" s="40"/>
      <c r="AL2123" s="40"/>
      <c r="AM2123" s="40"/>
      <c r="AN2123" s="40"/>
      <c r="AO2123" s="40"/>
      <c r="AP2123" s="40"/>
      <c r="AQ2123" s="40"/>
      <c r="AR2123" s="40"/>
      <c r="AS2123" s="40"/>
      <c r="AT2123" s="40"/>
      <c r="AU2123" s="40"/>
      <c r="AV2123" s="40">
        <v>0.43899206000000002</v>
      </c>
      <c r="AW2123" s="40"/>
      <c r="AX2123" s="40"/>
      <c r="AY2123" s="281">
        <v>81.761460999999997</v>
      </c>
      <c r="AZ2123" s="40"/>
      <c r="BA2123" s="40"/>
      <c r="BB2123" s="40"/>
      <c r="BC2123" s="40">
        <v>6.7408273999999997E-3</v>
      </c>
      <c r="BD2123" s="40">
        <v>5.6604376999999997E-4</v>
      </c>
      <c r="BE2123" s="40">
        <v>8.3428237000000002E-2</v>
      </c>
      <c r="BF2123" s="40"/>
      <c r="BG2123" s="40"/>
      <c r="BH2123" s="40"/>
      <c r="BI2123" s="40"/>
      <c r="BJ2123" s="40"/>
      <c r="BK2123" s="40"/>
      <c r="BL2123" s="62">
        <v>0</v>
      </c>
      <c r="BM2123" s="275">
        <v>3</v>
      </c>
      <c r="BN2123" s="62">
        <v>0.03</v>
      </c>
      <c r="BO2123" s="33" t="s">
        <v>746</v>
      </c>
    </row>
    <row r="2124" spans="1:67">
      <c r="A2124" s="33" t="str">
        <f>Database_Productkaarten[[#This Row],[Product]]&amp;", "&amp;Database_Productkaarten[[#This Row],[Levensfase]]</f>
        <v>Rand &amp; Deksel van inspectieput 520mm, C2</v>
      </c>
      <c r="B2124" s="33" t="s">
        <v>744</v>
      </c>
      <c r="C2124" s="33" t="s">
        <v>246</v>
      </c>
      <c r="D2124" s="33" t="s">
        <v>745</v>
      </c>
      <c r="E2124" s="33" t="s">
        <v>724</v>
      </c>
      <c r="F2124" s="33" t="s">
        <v>84</v>
      </c>
      <c r="M2124" s="361">
        <v>0.17393</v>
      </c>
      <c r="N2124" s="41">
        <v>0.13844769000000001</v>
      </c>
      <c r="O2124" s="33">
        <v>40</v>
      </c>
      <c r="P2124" s="40">
        <v>3.3320028E-6</v>
      </c>
      <c r="Q2124" s="40">
        <v>8.6483273999999992E-3</v>
      </c>
      <c r="R2124" s="40">
        <v>1.1716597</v>
      </c>
      <c r="S2124" s="40">
        <v>2.1591376000000001E-7</v>
      </c>
      <c r="T2124" s="40">
        <v>6.9155085000000005E-4</v>
      </c>
      <c r="U2124" s="40">
        <v>5.0796501999999999E-3</v>
      </c>
      <c r="V2124" s="40">
        <v>1.0122363E-3</v>
      </c>
      <c r="W2124" s="40">
        <v>0.46875545000000002</v>
      </c>
      <c r="X2124" s="40">
        <v>1.3747966E-2</v>
      </c>
      <c r="Y2124" s="40">
        <v>49.620486</v>
      </c>
      <c r="Z2124" s="40">
        <v>1.6608606000000001E-3</v>
      </c>
      <c r="AA2124" s="40"/>
      <c r="AB2124" s="40"/>
      <c r="AC2124" s="40"/>
      <c r="AD2124" s="40"/>
      <c r="AE2124" s="40"/>
      <c r="AF2124" s="40"/>
      <c r="AG2124" s="40"/>
      <c r="AH2124" s="40"/>
      <c r="AI2124" s="40"/>
      <c r="AJ2124" s="40"/>
      <c r="AK2124" s="40"/>
      <c r="AL2124" s="40"/>
      <c r="AM2124" s="40"/>
      <c r="AN2124" s="40"/>
      <c r="AO2124" s="40"/>
      <c r="AP2124" s="40"/>
      <c r="AQ2124" s="40"/>
      <c r="AR2124" s="40"/>
      <c r="AS2124" s="40"/>
      <c r="AT2124" s="40"/>
      <c r="AU2124" s="40"/>
      <c r="AV2124" s="40">
        <v>0.24673481</v>
      </c>
      <c r="AW2124" s="40"/>
      <c r="AX2124" s="40"/>
      <c r="AY2124" s="281">
        <v>19.279814999999999</v>
      </c>
      <c r="AZ2124" s="40"/>
      <c r="BA2124" s="40"/>
      <c r="BB2124" s="40"/>
      <c r="BC2124" s="40">
        <v>3.4674265000000002E-3</v>
      </c>
      <c r="BD2124" s="40">
        <v>1.3315158000000001E-4</v>
      </c>
      <c r="BE2124" s="40">
        <v>1.1082183000000001</v>
      </c>
      <c r="BF2124" s="40"/>
      <c r="BG2124" s="40"/>
      <c r="BH2124" s="40"/>
      <c r="BI2124" s="40"/>
      <c r="BJ2124" s="40"/>
      <c r="BK2124" s="40"/>
      <c r="BL2124" s="62">
        <v>0</v>
      </c>
      <c r="BM2124" s="275">
        <v>3</v>
      </c>
      <c r="BN2124" s="62">
        <v>0.03</v>
      </c>
      <c r="BO2124" s="33" t="s">
        <v>746</v>
      </c>
    </row>
    <row r="2125" spans="1:67">
      <c r="A2125" s="33" t="str">
        <f>Database_Productkaarten[[#This Row],[Product]]&amp;", "&amp;Database_Productkaarten[[#This Row],[Levensfase]]</f>
        <v>Rand &amp; Deksel van inspectieput 520mm, C3</v>
      </c>
      <c r="B2125" s="33" t="s">
        <v>744</v>
      </c>
      <c r="C2125" s="33" t="s">
        <v>246</v>
      </c>
      <c r="D2125" s="33" t="s">
        <v>745</v>
      </c>
      <c r="E2125" s="33" t="s">
        <v>724</v>
      </c>
      <c r="F2125" s="33" t="s">
        <v>85</v>
      </c>
      <c r="M2125" s="361">
        <v>0.17393</v>
      </c>
      <c r="N2125" s="41">
        <v>0.82805432000000001</v>
      </c>
      <c r="O2125" s="33">
        <v>40</v>
      </c>
      <c r="P2125" s="40">
        <v>2.3919269000000001E-6</v>
      </c>
      <c r="Q2125" s="40">
        <v>2.7937097000000001E-2</v>
      </c>
      <c r="R2125" s="40">
        <v>12.615841</v>
      </c>
      <c r="S2125" s="40">
        <v>4.3775194000000001E-7</v>
      </c>
      <c r="T2125" s="40">
        <v>2.0705636999999999E-3</v>
      </c>
      <c r="U2125" s="40">
        <v>1.7693691000000001E-2</v>
      </c>
      <c r="V2125" s="40">
        <v>4.0733907000000003E-3</v>
      </c>
      <c r="W2125" s="40">
        <v>0.82856708000000001</v>
      </c>
      <c r="X2125" s="40">
        <v>1.4994788E-2</v>
      </c>
      <c r="Y2125" s="40">
        <v>55.073518</v>
      </c>
      <c r="Z2125" s="40">
        <v>1.1236365999999999E-2</v>
      </c>
      <c r="AA2125" s="40"/>
      <c r="AB2125" s="40"/>
      <c r="AC2125" s="40"/>
      <c r="AD2125" s="40"/>
      <c r="AE2125" s="40"/>
      <c r="AF2125" s="40"/>
      <c r="AG2125" s="40"/>
      <c r="AH2125" s="40"/>
      <c r="AI2125" s="40"/>
      <c r="AJ2125" s="40"/>
      <c r="AK2125" s="40"/>
      <c r="AL2125" s="40"/>
      <c r="AM2125" s="40"/>
      <c r="AN2125" s="40"/>
      <c r="AO2125" s="40"/>
      <c r="AP2125" s="40"/>
      <c r="AQ2125" s="40"/>
      <c r="AR2125" s="40"/>
      <c r="AS2125" s="40"/>
      <c r="AT2125" s="40"/>
      <c r="AU2125" s="40"/>
      <c r="AV2125" s="40">
        <v>2.9902503999999999</v>
      </c>
      <c r="AW2125" s="40"/>
      <c r="AX2125" s="40"/>
      <c r="AY2125" s="281">
        <v>58.506838999999999</v>
      </c>
      <c r="AZ2125" s="40"/>
      <c r="BA2125" s="40"/>
      <c r="BB2125" s="40"/>
      <c r="BC2125" s="40">
        <v>2.1921706999999999E-2</v>
      </c>
      <c r="BD2125" s="40">
        <v>3.4237660000000002E-4</v>
      </c>
      <c r="BE2125" s="40">
        <v>7.1617404000000002</v>
      </c>
      <c r="BF2125" s="40"/>
      <c r="BG2125" s="40"/>
      <c r="BH2125" s="40"/>
      <c r="BI2125" s="40"/>
      <c r="BJ2125" s="40"/>
      <c r="BK2125" s="40"/>
      <c r="BL2125" s="62">
        <v>0</v>
      </c>
      <c r="BM2125" s="275">
        <v>3</v>
      </c>
      <c r="BN2125" s="62">
        <v>0.03</v>
      </c>
      <c r="BO2125" s="33" t="s">
        <v>746</v>
      </c>
    </row>
    <row r="2126" spans="1:67">
      <c r="A2126" s="33" t="str">
        <f>Database_Productkaarten[[#This Row],[Product]]&amp;", "&amp;Database_Productkaarten[[#This Row],[Levensfase]]</f>
        <v>Rand &amp; Deksel van inspectieput 520mm, C4</v>
      </c>
      <c r="B2126" s="33" t="s">
        <v>744</v>
      </c>
      <c r="C2126" s="33" t="s">
        <v>246</v>
      </c>
      <c r="D2126" s="33" t="s">
        <v>745</v>
      </c>
      <c r="E2126" s="33" t="s">
        <v>724</v>
      </c>
      <c r="F2126" s="33" t="s">
        <v>86</v>
      </c>
      <c r="M2126" s="361">
        <v>0.17393</v>
      </c>
      <c r="N2126" s="41">
        <v>2.8822527999999999E-3</v>
      </c>
      <c r="O2126" s="33">
        <v>40</v>
      </c>
      <c r="P2126" s="40">
        <v>2.4023212000000001E-8</v>
      </c>
      <c r="Q2126" s="40">
        <v>2.8643986999999998E-4</v>
      </c>
      <c r="R2126" s="40">
        <v>2.1048027E-2</v>
      </c>
      <c r="S2126" s="40">
        <v>6.9665659000000002E-9</v>
      </c>
      <c r="T2126" s="40">
        <v>2.2305125999999999E-5</v>
      </c>
      <c r="U2126" s="40">
        <v>1.5553217999999999E-4</v>
      </c>
      <c r="V2126" s="40">
        <v>2.9271499999999999E-5</v>
      </c>
      <c r="W2126" s="40">
        <v>8.5812148000000005E-3</v>
      </c>
      <c r="X2126" s="40">
        <v>2.1338153000000001E-4</v>
      </c>
      <c r="Y2126" s="40">
        <v>0.73390122000000002</v>
      </c>
      <c r="Z2126" s="40">
        <v>2.5413796E-5</v>
      </c>
      <c r="AA2126" s="40"/>
      <c r="AB2126" s="40"/>
      <c r="AC2126" s="40"/>
      <c r="AD2126" s="40"/>
      <c r="AE2126" s="40"/>
      <c r="AF2126" s="40"/>
      <c r="AG2126" s="40"/>
      <c r="AH2126" s="40"/>
      <c r="AI2126" s="40"/>
      <c r="AJ2126" s="40"/>
      <c r="AK2126" s="40"/>
      <c r="AL2126" s="40"/>
      <c r="AM2126" s="40"/>
      <c r="AN2126" s="40"/>
      <c r="AO2126" s="40"/>
      <c r="AP2126" s="40"/>
      <c r="AQ2126" s="40"/>
      <c r="AR2126" s="40"/>
      <c r="AS2126" s="40"/>
      <c r="AT2126" s="40"/>
      <c r="AU2126" s="40"/>
      <c r="AV2126" s="40">
        <v>1.5342957000000001E-2</v>
      </c>
      <c r="AW2126" s="40"/>
      <c r="AX2126" s="40"/>
      <c r="AY2126" s="281">
        <v>0.63985504000000004</v>
      </c>
      <c r="AZ2126" s="40"/>
      <c r="BA2126" s="40"/>
      <c r="BB2126" s="40"/>
      <c r="BC2126" s="40">
        <v>6.4489216999999996E-4</v>
      </c>
      <c r="BD2126" s="40">
        <v>4.3464880000000003E-6</v>
      </c>
      <c r="BE2126" s="40">
        <v>3.9387272000000002</v>
      </c>
      <c r="BF2126" s="40"/>
      <c r="BG2126" s="40"/>
      <c r="BH2126" s="40"/>
      <c r="BI2126" s="40"/>
      <c r="BJ2126" s="40"/>
      <c r="BK2126" s="40"/>
      <c r="BL2126" s="62">
        <v>0</v>
      </c>
      <c r="BM2126" s="275">
        <v>3</v>
      </c>
      <c r="BN2126" s="62">
        <v>0.03</v>
      </c>
      <c r="BO2126" s="33" t="s">
        <v>746</v>
      </c>
    </row>
    <row r="2127" spans="1:67">
      <c r="A2127" s="33" t="str">
        <f>Database_Productkaarten[[#This Row],[Product]]&amp;", "&amp;Database_Productkaarten[[#This Row],[Levensfase]]</f>
        <v>Rand &amp; Deksel van inspectieput 520mm, D</v>
      </c>
      <c r="B2127" s="33" t="s">
        <v>744</v>
      </c>
      <c r="C2127" s="33" t="s">
        <v>246</v>
      </c>
      <c r="D2127" s="33" t="s">
        <v>745</v>
      </c>
      <c r="E2127" s="33" t="s">
        <v>724</v>
      </c>
      <c r="F2127" s="33" t="s">
        <v>89</v>
      </c>
      <c r="M2127" s="361">
        <v>0.17393</v>
      </c>
      <c r="N2127" s="326">
        <v>-12.101105</v>
      </c>
      <c r="O2127" s="33">
        <v>40</v>
      </c>
      <c r="P2127" s="163">
        <v>-2.6032402E-5</v>
      </c>
      <c r="Q2127" s="163">
        <v>-0.64369905000000005</v>
      </c>
      <c r="R2127" s="163">
        <v>-93.52346</v>
      </c>
      <c r="S2127" s="163">
        <v>-4.5378311999999997E-6</v>
      </c>
      <c r="T2127" s="163">
        <v>-0.15853634</v>
      </c>
      <c r="U2127" s="163">
        <v>-0.38983773999999999</v>
      </c>
      <c r="V2127" s="163">
        <v>-4.0395566000000001E-2</v>
      </c>
      <c r="W2127" s="163">
        <v>-55.057723000000003</v>
      </c>
      <c r="X2127" s="163">
        <v>-0.33068234000000002</v>
      </c>
      <c r="Y2127" s="163">
        <v>-1077.6691000000001</v>
      </c>
      <c r="Z2127" s="163">
        <v>-0.14889066000000001</v>
      </c>
      <c r="AA2127" s="40"/>
      <c r="AB2127" s="40"/>
      <c r="AC2127" s="40"/>
      <c r="AD2127" s="40"/>
      <c r="AE2127" s="40"/>
      <c r="AF2127" s="40"/>
      <c r="AG2127" s="40"/>
      <c r="AH2127" s="40"/>
      <c r="AI2127" s="40"/>
      <c r="AJ2127" s="40"/>
      <c r="AK2127" s="40"/>
      <c r="AL2127" s="40"/>
      <c r="AM2127" s="40"/>
      <c r="AN2127" s="40"/>
      <c r="AO2127" s="40"/>
      <c r="AP2127" s="40"/>
      <c r="AQ2127" s="40"/>
      <c r="AR2127" s="40"/>
      <c r="AS2127" s="40"/>
      <c r="AT2127" s="40"/>
      <c r="AU2127" s="40"/>
      <c r="AV2127" s="163">
        <v>-17.447600000000001</v>
      </c>
      <c r="AW2127" s="40"/>
      <c r="AX2127" s="40"/>
      <c r="AY2127" s="281">
        <v>-994.67060000000004</v>
      </c>
      <c r="AZ2127" s="40"/>
      <c r="BA2127" s="40"/>
      <c r="BB2127" s="40"/>
      <c r="BC2127" s="40">
        <v>-0.52777943000000005</v>
      </c>
      <c r="BD2127" s="163">
        <v>-1.0437448E-2</v>
      </c>
      <c r="BE2127" s="163">
        <v>-3.7599779999999998</v>
      </c>
      <c r="BF2127" s="40"/>
      <c r="BG2127" s="40"/>
      <c r="BH2127" s="40"/>
      <c r="BI2127" s="40"/>
      <c r="BJ2127" s="40"/>
      <c r="BK2127" s="40"/>
      <c r="BL2127" s="62">
        <v>0</v>
      </c>
      <c r="BM2127" s="275">
        <v>3</v>
      </c>
      <c r="BN2127" s="62">
        <v>0.03</v>
      </c>
      <c r="BO2127" s="33" t="s">
        <v>746</v>
      </c>
    </row>
    <row r="2128" spans="1:67">
      <c r="A2128" s="33" t="str">
        <f>Database_Productkaarten[[#This Row],[Product]]&amp;", "&amp;Database_Productkaarten[[#This Row],[Levensfase]]</f>
        <v>Rand &amp; Deksel van inspectieput 520mm, D1</v>
      </c>
      <c r="B2128" s="33" t="s">
        <v>744</v>
      </c>
      <c r="C2128" s="33" t="s">
        <v>246</v>
      </c>
      <c r="D2128" s="33" t="s">
        <v>745</v>
      </c>
      <c r="E2128" s="33" t="s">
        <v>724</v>
      </c>
      <c r="F2128" s="33" t="s">
        <v>87</v>
      </c>
      <c r="M2128" s="361">
        <v>0.17393</v>
      </c>
      <c r="N2128" s="41"/>
      <c r="O2128" s="33">
        <v>40</v>
      </c>
      <c r="P2128" s="40"/>
      <c r="Q2128" s="40"/>
      <c r="R2128" s="40"/>
      <c r="S2128" s="40"/>
      <c r="T2128" s="40"/>
      <c r="U2128" s="40"/>
      <c r="V2128" s="40"/>
      <c r="W2128" s="40"/>
      <c r="X2128" s="40"/>
      <c r="Y2128" s="40"/>
      <c r="Z2128" s="40"/>
      <c r="AA2128" s="40"/>
      <c r="AB2128" s="40"/>
      <c r="AC2128" s="40"/>
      <c r="AD2128" s="40"/>
      <c r="AE2128" s="40"/>
      <c r="AF2128" s="40"/>
      <c r="AG2128" s="40"/>
      <c r="AH2128" s="40"/>
      <c r="AI2128" s="40"/>
      <c r="AJ2128" s="40"/>
      <c r="AK2128" s="40"/>
      <c r="AL2128" s="40"/>
      <c r="AM2128" s="40"/>
      <c r="AN2128" s="40"/>
      <c r="AO2128" s="40"/>
      <c r="AP2128" s="40"/>
      <c r="AQ2128" s="40"/>
      <c r="AR2128" s="40"/>
      <c r="AS2128" s="40"/>
      <c r="AT2128" s="40"/>
      <c r="AU2128" s="40"/>
      <c r="AV2128" s="108"/>
      <c r="AW2128" s="40"/>
      <c r="AX2128" s="40"/>
      <c r="AY2128" s="108"/>
      <c r="AZ2128" s="40"/>
      <c r="BA2128" s="40"/>
      <c r="BB2128" s="40"/>
      <c r="BC2128" s="40"/>
      <c r="BD2128" s="40"/>
      <c r="BE2128" s="40"/>
      <c r="BF2128" s="40"/>
      <c r="BG2128" s="40"/>
      <c r="BH2128" s="40"/>
      <c r="BI2128" s="40"/>
      <c r="BJ2128" s="40"/>
      <c r="BK2128" s="40"/>
      <c r="BL2128" s="62">
        <v>0</v>
      </c>
      <c r="BM2128" s="275">
        <v>3</v>
      </c>
      <c r="BN2128" s="62">
        <v>0.03</v>
      </c>
      <c r="BO2128" s="33" t="s">
        <v>746</v>
      </c>
    </row>
    <row r="2129" spans="1:67">
      <c r="A2129" s="33" t="str">
        <f>Database_Productkaarten[[#This Row],[Product]]&amp;", "&amp;Database_Productkaarten[[#This Row],[Levensfase]]</f>
        <v>Rand &amp; Deksel van inspectieput 520mm, D2</v>
      </c>
      <c r="B2129" s="33" t="s">
        <v>744</v>
      </c>
      <c r="C2129" s="33" t="s">
        <v>246</v>
      </c>
      <c r="D2129" s="33" t="s">
        <v>745</v>
      </c>
      <c r="E2129" s="33" t="s">
        <v>724</v>
      </c>
      <c r="F2129" s="33" t="s">
        <v>88</v>
      </c>
      <c r="M2129" s="361">
        <v>0.17393</v>
      </c>
      <c r="N2129" s="41"/>
      <c r="O2129" s="33">
        <v>40</v>
      </c>
      <c r="P2129" s="40"/>
      <c r="Q2129" s="40"/>
      <c r="R2129" s="40"/>
      <c r="S2129" s="40"/>
      <c r="T2129" s="40"/>
      <c r="U2129" s="40"/>
      <c r="V2129" s="40"/>
      <c r="W2129" s="40"/>
      <c r="X2129" s="40"/>
      <c r="Y2129" s="40"/>
      <c r="Z2129" s="40"/>
      <c r="AA2129" s="40"/>
      <c r="AB2129" s="40"/>
      <c r="AC2129" s="40"/>
      <c r="AD2129" s="40"/>
      <c r="AE2129" s="40"/>
      <c r="AF2129" s="40"/>
      <c r="AG2129" s="40"/>
      <c r="AH2129" s="40"/>
      <c r="AI2129" s="40"/>
      <c r="AJ2129" s="40"/>
      <c r="AK2129" s="40"/>
      <c r="AL2129" s="40"/>
      <c r="AM2129" s="40"/>
      <c r="AN2129" s="40"/>
      <c r="AO2129" s="40"/>
      <c r="AP2129" s="40"/>
      <c r="AQ2129" s="40"/>
      <c r="AR2129" s="40"/>
      <c r="AS2129" s="40"/>
      <c r="AT2129" s="40"/>
      <c r="AU2129" s="40"/>
      <c r="AV2129" s="108"/>
      <c r="AW2129" s="40"/>
      <c r="AX2129" s="40"/>
      <c r="AY2129" s="108"/>
      <c r="AZ2129" s="40"/>
      <c r="BA2129" s="40"/>
      <c r="BB2129" s="40"/>
      <c r="BC2129" s="40"/>
      <c r="BD2129" s="40"/>
      <c r="BE2129" s="40"/>
      <c r="BF2129" s="40"/>
      <c r="BG2129" s="40"/>
      <c r="BH2129" s="40"/>
      <c r="BI2129" s="40"/>
      <c r="BJ2129" s="40"/>
      <c r="BK2129" s="40"/>
      <c r="BL2129" s="62">
        <v>0</v>
      </c>
      <c r="BM2129" s="275">
        <v>3</v>
      </c>
      <c r="BN2129" s="62">
        <v>0.03</v>
      </c>
      <c r="BO2129" s="33" t="s">
        <v>746</v>
      </c>
    </row>
    <row r="2130" spans="1:67">
      <c r="A2130" s="33" t="str">
        <f>Database_Productkaarten[[#This Row],[Product]]&amp;", "&amp;Database_Productkaarten[[#This Row],[Levensfase]]</f>
        <v>Inspectieput prefab beton 0,8x0,8x1,1, Totaal</v>
      </c>
      <c r="B2130" s="33" t="s">
        <v>747</v>
      </c>
      <c r="C2130" s="33" t="s">
        <v>246</v>
      </c>
      <c r="D2130" s="33" t="s">
        <v>748</v>
      </c>
      <c r="E2130" s="33" t="s">
        <v>724</v>
      </c>
      <c r="F2130" s="33" t="s">
        <v>90</v>
      </c>
      <c r="G2130" s="33">
        <v>0.8</v>
      </c>
      <c r="H2130" s="33">
        <v>0.8</v>
      </c>
      <c r="I2130" s="33">
        <v>1.1000000000000001</v>
      </c>
      <c r="M2130">
        <v>1.6266400000000003</v>
      </c>
      <c r="N2130" s="41">
        <f>SUM(N2131:N2144)</f>
        <v>47.847535213</v>
      </c>
      <c r="O2130" s="33">
        <v>40</v>
      </c>
      <c r="P2130" s="40"/>
      <c r="Q2130" s="40"/>
      <c r="R2130" s="40"/>
      <c r="S2130" s="40"/>
      <c r="T2130" s="40"/>
      <c r="U2130" s="40"/>
      <c r="V2130" s="40"/>
      <c r="W2130" s="40"/>
      <c r="X2130" s="40"/>
      <c r="Y2130" s="40"/>
      <c r="Z2130" s="40"/>
      <c r="AA2130" s="40"/>
      <c r="AB2130" s="40"/>
      <c r="AC2130" s="40"/>
      <c r="AD2130" s="40"/>
      <c r="AE2130" s="40"/>
      <c r="AF2130" s="40"/>
      <c r="AG2130" s="40"/>
      <c r="AH2130" s="40"/>
      <c r="AI2130" s="40"/>
      <c r="AJ2130" s="40"/>
      <c r="AK2130" s="40"/>
      <c r="AL2130" s="40"/>
      <c r="AM2130" s="40"/>
      <c r="AN2130" s="40"/>
      <c r="AO2130" s="40"/>
      <c r="AP2130" s="40"/>
      <c r="AQ2130" s="40"/>
      <c r="AR2130" s="40"/>
      <c r="AS2130" s="40"/>
      <c r="AT2130" s="40"/>
      <c r="AU2130" s="40"/>
      <c r="AV2130" s="108"/>
      <c r="AW2130" s="40"/>
      <c r="AX2130" s="40"/>
      <c r="AY2130" s="108"/>
      <c r="AZ2130" s="40"/>
      <c r="BA2130" s="40"/>
      <c r="BB2130" s="40"/>
      <c r="BC2130" s="40"/>
      <c r="BD2130" s="40"/>
      <c r="BE2130" s="40"/>
      <c r="BF2130" s="40"/>
      <c r="BG2130" s="40"/>
      <c r="BH2130" s="40"/>
      <c r="BI2130" s="40"/>
      <c r="BJ2130" s="40"/>
      <c r="BK2130" s="40"/>
      <c r="BL2130" s="62">
        <v>0</v>
      </c>
      <c r="BM2130" s="275">
        <v>3</v>
      </c>
      <c r="BN2130" s="62">
        <v>0.03</v>
      </c>
      <c r="BO2130" s="33" t="s">
        <v>746</v>
      </c>
    </row>
    <row r="2131" spans="1:67">
      <c r="A2131" s="33" t="str">
        <f>Database_Productkaarten[[#This Row],[Product]]&amp;", "&amp;Database_Productkaarten[[#This Row],[Levensfase]]</f>
        <v>Inspectieput prefab beton 0,8x0,8x1,1, A1</v>
      </c>
      <c r="B2131" s="33" t="s">
        <v>747</v>
      </c>
      <c r="C2131" s="33" t="s">
        <v>246</v>
      </c>
      <c r="D2131" s="33" t="s">
        <v>748</v>
      </c>
      <c r="E2131" s="33" t="s">
        <v>724</v>
      </c>
      <c r="F2131" s="33" t="s">
        <v>74</v>
      </c>
      <c r="G2131" s="33">
        <v>0.8</v>
      </c>
      <c r="H2131" s="33">
        <v>0.8</v>
      </c>
      <c r="I2131" s="33">
        <v>1.1000000000000001</v>
      </c>
      <c r="M2131">
        <v>1.6266400000000003</v>
      </c>
      <c r="N2131" s="326">
        <v>13.261917</v>
      </c>
      <c r="O2131" s="33">
        <v>40</v>
      </c>
      <c r="P2131" s="163">
        <v>4.4535027999999998E-4</v>
      </c>
      <c r="Q2131" s="163">
        <v>0.59714683000000002</v>
      </c>
      <c r="R2131" s="163">
        <v>166.71798000000001</v>
      </c>
      <c r="S2131" s="163">
        <v>6.0690554E-6</v>
      </c>
      <c r="T2131" s="163">
        <v>5.0275957000000003E-2</v>
      </c>
      <c r="U2131" s="163">
        <v>0.48027660999999999</v>
      </c>
      <c r="V2131" s="163">
        <v>7.4991821E-2</v>
      </c>
      <c r="W2131" s="163">
        <v>20.672625</v>
      </c>
      <c r="X2131" s="163">
        <v>0.47514044</v>
      </c>
      <c r="Y2131" s="163">
        <v>2363.4083000000001</v>
      </c>
      <c r="Z2131" s="163">
        <v>0.37507928000000001</v>
      </c>
      <c r="AA2131" s="40"/>
      <c r="AB2131" s="40"/>
      <c r="AC2131" s="40"/>
      <c r="AD2131" s="40"/>
      <c r="AE2131" s="40"/>
      <c r="AF2131" s="40"/>
      <c r="AG2131" s="40"/>
      <c r="AH2131" s="40"/>
      <c r="AI2131" s="40"/>
      <c r="AJ2131" s="40"/>
      <c r="AK2131" s="40"/>
      <c r="AL2131" s="40"/>
      <c r="AM2131" s="40"/>
      <c r="AN2131" s="40"/>
      <c r="AO2131" s="40"/>
      <c r="AP2131" s="40"/>
      <c r="AQ2131" s="40"/>
      <c r="AR2131" s="40"/>
      <c r="AS2131" s="40"/>
      <c r="AT2131" s="40"/>
      <c r="AU2131" s="40"/>
      <c r="AV2131" s="163">
        <v>136.23393999999999</v>
      </c>
      <c r="AW2131" s="40"/>
      <c r="AX2131" s="40"/>
      <c r="AY2131" s="281">
        <v>1301.1987999999999</v>
      </c>
      <c r="AZ2131" s="40"/>
      <c r="BA2131" s="40"/>
      <c r="BB2131" s="40"/>
      <c r="BC2131" s="40">
        <v>17.727823000000001</v>
      </c>
      <c r="BD2131" s="163">
        <v>53.508026999999998</v>
      </c>
      <c r="BE2131" s="163">
        <v>11.589952</v>
      </c>
      <c r="BF2131" s="40"/>
      <c r="BG2131" s="40"/>
      <c r="BH2131" s="40"/>
      <c r="BI2131" s="40"/>
      <c r="BJ2131" s="40"/>
      <c r="BK2131" s="40"/>
      <c r="BL2131" s="62">
        <v>0</v>
      </c>
      <c r="BM2131" s="275">
        <v>3</v>
      </c>
      <c r="BN2131" s="62">
        <v>0.03</v>
      </c>
      <c r="BO2131" s="33" t="s">
        <v>746</v>
      </c>
    </row>
    <row r="2132" spans="1:67">
      <c r="A2132" s="33" t="str">
        <f>Database_Productkaarten[[#This Row],[Product]]&amp;", "&amp;Database_Productkaarten[[#This Row],[Levensfase]]</f>
        <v>Inspectieput prefab beton 0,8x0,8x1,1, A2</v>
      </c>
      <c r="B2132" s="33" t="s">
        <v>747</v>
      </c>
      <c r="C2132" s="33" t="s">
        <v>246</v>
      </c>
      <c r="D2132" s="33" t="s">
        <v>748</v>
      </c>
      <c r="E2132" s="33" t="s">
        <v>724</v>
      </c>
      <c r="F2132" s="33" t="s">
        <v>75</v>
      </c>
      <c r="G2132" s="33">
        <v>0.8</v>
      </c>
      <c r="H2132" s="33">
        <v>0.8</v>
      </c>
      <c r="I2132" s="33">
        <v>1.1000000000000001</v>
      </c>
      <c r="M2132">
        <v>1.6266400000000003</v>
      </c>
      <c r="N2132" s="326">
        <v>1.3319719000000001</v>
      </c>
      <c r="O2132" s="33">
        <v>40</v>
      </c>
      <c r="P2132" s="163">
        <v>3.2056398999999997E-5</v>
      </c>
      <c r="Q2132" s="163">
        <v>8.3203479999999996E-2</v>
      </c>
      <c r="R2132" s="163">
        <v>11.272256</v>
      </c>
      <c r="S2132" s="163">
        <v>2.0772544000000002E-6</v>
      </c>
      <c r="T2132" s="163">
        <v>6.6532446000000002E-3</v>
      </c>
      <c r="U2132" s="163">
        <v>4.8870094000000003E-2</v>
      </c>
      <c r="V2132" s="163">
        <v>9.7384823000000002E-3</v>
      </c>
      <c r="W2132" s="163">
        <v>4.5097835999999996</v>
      </c>
      <c r="X2132" s="163">
        <v>0.13226588</v>
      </c>
      <c r="Y2132" s="163">
        <v>477.38677000000001</v>
      </c>
      <c r="Z2132" s="163">
        <v>1.5978741000000001E-2</v>
      </c>
      <c r="AA2132" s="40"/>
      <c r="AB2132" s="40"/>
      <c r="AC2132" s="40"/>
      <c r="AD2132" s="40"/>
      <c r="AE2132" s="40"/>
      <c r="AF2132" s="40"/>
      <c r="AG2132" s="40"/>
      <c r="AH2132" s="40"/>
      <c r="AI2132" s="40"/>
      <c r="AJ2132" s="40"/>
      <c r="AK2132" s="40"/>
      <c r="AL2132" s="40"/>
      <c r="AM2132" s="40"/>
      <c r="AN2132" s="40"/>
      <c r="AO2132" s="40"/>
      <c r="AP2132" s="40"/>
      <c r="AQ2132" s="40"/>
      <c r="AR2132" s="40"/>
      <c r="AS2132" s="40"/>
      <c r="AT2132" s="40"/>
      <c r="AU2132" s="40"/>
      <c r="AV2132" s="163">
        <v>2.3737762999999998</v>
      </c>
      <c r="AW2132" s="40"/>
      <c r="AX2132" s="40"/>
      <c r="AY2132" s="281">
        <v>185.48645999999999</v>
      </c>
      <c r="AZ2132" s="40"/>
      <c r="BA2132" s="40"/>
      <c r="BB2132" s="40"/>
      <c r="BC2132" s="40">
        <v>3.3359277E-2</v>
      </c>
      <c r="BD2132" s="163">
        <v>1.2810193999999999E-3</v>
      </c>
      <c r="BE2132" s="163">
        <v>10.661902</v>
      </c>
      <c r="BF2132" s="40"/>
      <c r="BG2132" s="40"/>
      <c r="BH2132" s="40"/>
      <c r="BI2132" s="40"/>
      <c r="BJ2132" s="40"/>
      <c r="BK2132" s="40"/>
      <c r="BL2132" s="62">
        <v>0</v>
      </c>
      <c r="BM2132" s="275">
        <v>3</v>
      </c>
      <c r="BN2132" s="62">
        <v>0.03</v>
      </c>
      <c r="BO2132" s="33" t="s">
        <v>746</v>
      </c>
    </row>
    <row r="2133" spans="1:67">
      <c r="A2133" s="33" t="str">
        <f>Database_Productkaarten[[#This Row],[Product]]&amp;", "&amp;Database_Productkaarten[[#This Row],[Levensfase]]</f>
        <v>Inspectieput prefab beton 0,8x0,8x1,1, A3</v>
      </c>
      <c r="B2133" s="33" t="s">
        <v>747</v>
      </c>
      <c r="C2133" s="33" t="s">
        <v>246</v>
      </c>
      <c r="D2133" s="33" t="s">
        <v>748</v>
      </c>
      <c r="E2133" s="33" t="s">
        <v>724</v>
      </c>
      <c r="F2133" s="33" t="s">
        <v>76</v>
      </c>
      <c r="G2133" s="33">
        <v>0.8</v>
      </c>
      <c r="H2133" s="33">
        <v>0.8</v>
      </c>
      <c r="I2133" s="33">
        <v>1.1000000000000001</v>
      </c>
      <c r="M2133">
        <v>1.6266400000000003</v>
      </c>
      <c r="N2133" s="326">
        <v>0.70878348000000002</v>
      </c>
      <c r="O2133" s="33">
        <v>40</v>
      </c>
      <c r="P2133" s="163">
        <v>2.707389E-6</v>
      </c>
      <c r="Q2133" s="163">
        <v>8.1378101999999994E-2</v>
      </c>
      <c r="R2133" s="163">
        <v>9.9569214000000006</v>
      </c>
      <c r="S2133" s="163">
        <v>6.8717290000000002E-7</v>
      </c>
      <c r="T2133" s="163">
        <v>1.6480676E-3</v>
      </c>
      <c r="U2133" s="163">
        <v>1.8131259E-2</v>
      </c>
      <c r="V2133" s="163">
        <v>4.0595969000000003E-3</v>
      </c>
      <c r="W2133" s="163">
        <v>0.83105235</v>
      </c>
      <c r="X2133" s="163">
        <v>1.9017045999999999E-2</v>
      </c>
      <c r="Y2133" s="163">
        <v>93.330806999999993</v>
      </c>
      <c r="Z2133" s="163">
        <v>1.4000378000000001E-2</v>
      </c>
      <c r="AA2133" s="40"/>
      <c r="AB2133" s="40"/>
      <c r="AC2133" s="40"/>
      <c r="AD2133" s="40"/>
      <c r="AE2133" s="40"/>
      <c r="AF2133" s="40"/>
      <c r="AG2133" s="40"/>
      <c r="AH2133" s="40"/>
      <c r="AI2133" s="40"/>
      <c r="AJ2133" s="40"/>
      <c r="AK2133" s="40"/>
      <c r="AL2133" s="40"/>
      <c r="AM2133" s="40"/>
      <c r="AN2133" s="40"/>
      <c r="AO2133" s="40"/>
      <c r="AP2133" s="40"/>
      <c r="AQ2133" s="40"/>
      <c r="AR2133" s="40"/>
      <c r="AS2133" s="40"/>
      <c r="AT2133" s="40"/>
      <c r="AU2133" s="40"/>
      <c r="AV2133" s="163">
        <v>12.608385</v>
      </c>
      <c r="AW2133" s="40"/>
      <c r="AX2133" s="40"/>
      <c r="AY2133" s="281">
        <v>163.27028999999999</v>
      </c>
      <c r="AZ2133" s="40"/>
      <c r="BA2133" s="40"/>
      <c r="BB2133" s="40"/>
      <c r="BC2133" s="40">
        <v>3.2030940000000001E-2</v>
      </c>
      <c r="BD2133" s="163">
        <v>7.1659622999999996E-4</v>
      </c>
      <c r="BE2133" s="163">
        <v>0.31454782999999997</v>
      </c>
      <c r="BF2133" s="40"/>
      <c r="BG2133" s="40"/>
      <c r="BH2133" s="40"/>
      <c r="BI2133" s="40"/>
      <c r="BJ2133" s="40"/>
      <c r="BK2133" s="40"/>
      <c r="BL2133" s="62">
        <v>0</v>
      </c>
      <c r="BM2133" s="275">
        <v>3</v>
      </c>
      <c r="BN2133" s="62">
        <v>0.03</v>
      </c>
      <c r="BO2133" s="33" t="s">
        <v>746</v>
      </c>
    </row>
    <row r="2134" spans="1:67">
      <c r="A2134" s="33" t="str">
        <f>Database_Productkaarten[[#This Row],[Product]]&amp;", "&amp;Database_Productkaarten[[#This Row],[Levensfase]]</f>
        <v>Inspectieput prefab beton 0,8x0,8x1,1, A1-A3</v>
      </c>
      <c r="B2134" s="33" t="s">
        <v>747</v>
      </c>
      <c r="C2134" s="33" t="s">
        <v>246</v>
      </c>
      <c r="D2134" s="33" t="s">
        <v>748</v>
      </c>
      <c r="E2134" s="33" t="s">
        <v>724</v>
      </c>
      <c r="F2134" s="451" t="s">
        <v>77</v>
      </c>
      <c r="G2134" s="33">
        <v>0.8</v>
      </c>
      <c r="H2134" s="33">
        <v>0.8</v>
      </c>
      <c r="I2134" s="33">
        <v>1.1000000000000001</v>
      </c>
      <c r="M2134">
        <v>1.6266400000000003</v>
      </c>
      <c r="N2134" s="41">
        <f>SUM(N2131:N2133)</f>
        <v>15.302672379999999</v>
      </c>
      <c r="O2134" s="33">
        <v>40</v>
      </c>
      <c r="P2134" s="40">
        <f t="shared" ref="P2134:Z2134" si="846">SUM(P2131:P2133)</f>
        <v>4.8011406799999996E-4</v>
      </c>
      <c r="Q2134" s="40">
        <f t="shared" si="846"/>
        <v>0.76172841199999997</v>
      </c>
      <c r="R2134" s="40">
        <f t="shared" si="846"/>
        <v>187.94715740000001</v>
      </c>
      <c r="S2134" s="40">
        <f t="shared" si="846"/>
        <v>8.8334827000000014E-6</v>
      </c>
      <c r="T2134" s="40">
        <f t="shared" si="846"/>
        <v>5.8577269200000004E-2</v>
      </c>
      <c r="U2134" s="40">
        <f t="shared" si="846"/>
        <v>0.54727796299999998</v>
      </c>
      <c r="V2134" s="40">
        <f t="shared" si="846"/>
        <v>8.8789900200000008E-2</v>
      </c>
      <c r="W2134" s="40">
        <f t="shared" si="846"/>
        <v>26.013460949999999</v>
      </c>
      <c r="X2134" s="40">
        <f t="shared" si="846"/>
        <v>0.62642336599999993</v>
      </c>
      <c r="Y2134" s="40">
        <f t="shared" si="846"/>
        <v>2934.1258769999999</v>
      </c>
      <c r="Z2134" s="40">
        <f t="shared" si="846"/>
        <v>0.40505839900000001</v>
      </c>
      <c r="AA2134" s="40"/>
      <c r="AB2134" s="40"/>
      <c r="AC2134" s="40"/>
      <c r="AD2134" s="40"/>
      <c r="AE2134" s="40"/>
      <c r="AF2134" s="40"/>
      <c r="AG2134" s="40"/>
      <c r="AH2134" s="40"/>
      <c r="AI2134" s="40"/>
      <c r="AJ2134" s="40"/>
      <c r="AK2134" s="40"/>
      <c r="AL2134" s="40"/>
      <c r="AM2134" s="40"/>
      <c r="AN2134" s="40"/>
      <c r="AO2134" s="40"/>
      <c r="AP2134" s="40"/>
      <c r="AQ2134" s="40"/>
      <c r="AR2134" s="40"/>
      <c r="AS2134" s="40"/>
      <c r="AT2134" s="40"/>
      <c r="AU2134" s="40"/>
      <c r="AV2134" s="40">
        <f>SUM(AV2131:AV2133)</f>
        <v>151.21610129999999</v>
      </c>
      <c r="AW2134" s="40"/>
      <c r="AX2134" s="40"/>
      <c r="AY2134" s="281">
        <f>SUM(AY2131:AY2133)</f>
        <v>1649.9555499999999</v>
      </c>
      <c r="AZ2134" s="40"/>
      <c r="BA2134" s="40"/>
      <c r="BB2134" s="40"/>
      <c r="BC2134" s="40">
        <f>SUM(BC2131:BC2133)</f>
        <v>17.793213216999998</v>
      </c>
      <c r="BD2134" s="40">
        <f>SUM(BD2131:BD2133)</f>
        <v>53.510024615629995</v>
      </c>
      <c r="BE2134" s="40">
        <f>SUM(BE2131:BE2133)</f>
        <v>22.56640183</v>
      </c>
      <c r="BF2134" s="40"/>
      <c r="BG2134" s="40"/>
      <c r="BH2134" s="40"/>
      <c r="BI2134" s="40"/>
      <c r="BJ2134" s="40"/>
      <c r="BK2134" s="40"/>
      <c r="BL2134" s="62">
        <v>0</v>
      </c>
      <c r="BM2134" s="275">
        <v>3</v>
      </c>
      <c r="BN2134" s="62">
        <v>0.03</v>
      </c>
      <c r="BO2134" s="33" t="s">
        <v>746</v>
      </c>
    </row>
    <row r="2135" spans="1:67">
      <c r="A2135" s="33" t="str">
        <f>Database_Productkaarten[[#This Row],[Product]]&amp;", "&amp;Database_Productkaarten[[#This Row],[Levensfase]]</f>
        <v>Inspectieput prefab beton 0,8x0,8x1,1, A4</v>
      </c>
      <c r="B2135" s="33" t="s">
        <v>747</v>
      </c>
      <c r="C2135" s="33" t="s">
        <v>246</v>
      </c>
      <c r="D2135" s="33" t="s">
        <v>748</v>
      </c>
      <c r="E2135" s="33" t="s">
        <v>724</v>
      </c>
      <c r="F2135" s="33" t="s">
        <v>78</v>
      </c>
      <c r="G2135" s="33">
        <v>0.8</v>
      </c>
      <c r="H2135" s="33">
        <v>0.8</v>
      </c>
      <c r="I2135" s="33">
        <v>1.1000000000000001</v>
      </c>
      <c r="M2135">
        <v>1.6266400000000003</v>
      </c>
      <c r="N2135" s="41">
        <v>3.7972355000000002</v>
      </c>
      <c r="O2135" s="33">
        <v>40</v>
      </c>
      <c r="P2135" s="40">
        <v>9.1387582999999999E-5</v>
      </c>
      <c r="Q2135" s="40">
        <v>0.23719960000000001</v>
      </c>
      <c r="R2135" s="40">
        <v>32.135370999999999</v>
      </c>
      <c r="S2135" s="40">
        <v>5.9219147000000004E-6</v>
      </c>
      <c r="T2135" s="40">
        <v>1.8967319E-2</v>
      </c>
      <c r="U2135" s="40">
        <v>0.13932069999999999</v>
      </c>
      <c r="V2135" s="40">
        <v>2.7762829999999999E-2</v>
      </c>
      <c r="W2135" s="40">
        <v>12.85666</v>
      </c>
      <c r="X2135" s="40">
        <v>0.37706853000000001</v>
      </c>
      <c r="Y2135" s="40">
        <v>1360.9521</v>
      </c>
      <c r="Z2135" s="40">
        <v>4.5552795E-2</v>
      </c>
      <c r="AA2135" s="40"/>
      <c r="AB2135" s="40"/>
      <c r="AC2135" s="40"/>
      <c r="AD2135" s="40"/>
      <c r="AE2135" s="40"/>
      <c r="AF2135" s="40"/>
      <c r="AG2135" s="40"/>
      <c r="AH2135" s="40"/>
      <c r="AI2135" s="40"/>
      <c r="AJ2135" s="40"/>
      <c r="AK2135" s="40"/>
      <c r="AL2135" s="40"/>
      <c r="AM2135" s="40"/>
      <c r="AN2135" s="40"/>
      <c r="AO2135" s="40"/>
      <c r="AP2135" s="40"/>
      <c r="AQ2135" s="40"/>
      <c r="AR2135" s="40"/>
      <c r="AS2135" s="40"/>
      <c r="AT2135" s="40"/>
      <c r="AU2135" s="40"/>
      <c r="AV2135" s="40">
        <v>6.7672505000000003</v>
      </c>
      <c r="AW2135" s="40"/>
      <c r="AX2135" s="40"/>
      <c r="AY2135" s="281">
        <v>528.79175999999995</v>
      </c>
      <c r="AZ2135" s="40"/>
      <c r="BA2135" s="40"/>
      <c r="BB2135" s="40"/>
      <c r="BC2135" s="40">
        <v>9.5101878000000001E-2</v>
      </c>
      <c r="BD2135" s="40">
        <v>3.6519781000000002E-3</v>
      </c>
      <c r="BE2135" s="40">
        <v>30.395351000000002</v>
      </c>
      <c r="BF2135" s="40"/>
      <c r="BG2135" s="40"/>
      <c r="BH2135" s="40"/>
      <c r="BI2135" s="40"/>
      <c r="BJ2135" s="40"/>
      <c r="BK2135" s="40"/>
      <c r="BL2135" s="62">
        <v>0</v>
      </c>
      <c r="BM2135" s="275">
        <v>3</v>
      </c>
      <c r="BN2135" s="62">
        <v>0.03</v>
      </c>
      <c r="BO2135" s="33" t="s">
        <v>746</v>
      </c>
    </row>
    <row r="2136" spans="1:67">
      <c r="A2136" s="33" t="str">
        <f>Database_Productkaarten[[#This Row],[Product]]&amp;", "&amp;Database_Productkaarten[[#This Row],[Levensfase]]</f>
        <v>Inspectieput prefab beton 0,8x0,8x1,1, A5</v>
      </c>
      <c r="B2136" s="33" t="s">
        <v>747</v>
      </c>
      <c r="C2136" s="33" t="s">
        <v>246</v>
      </c>
      <c r="D2136" s="33" t="s">
        <v>748</v>
      </c>
      <c r="E2136" s="33" t="s">
        <v>724</v>
      </c>
      <c r="F2136" s="33" t="s">
        <v>79</v>
      </c>
      <c r="G2136" s="33">
        <v>0.8</v>
      </c>
      <c r="H2136" s="33">
        <v>0.8</v>
      </c>
      <c r="I2136" s="33">
        <v>1.1000000000000001</v>
      </c>
      <c r="M2136">
        <v>1.6266400000000003</v>
      </c>
      <c r="N2136" s="41">
        <v>8.1498530000000002</v>
      </c>
      <c r="O2136" s="33">
        <v>40</v>
      </c>
      <c r="P2136" s="40">
        <v>3.6092466000000001E-5</v>
      </c>
      <c r="Q2136" s="40">
        <v>0.42482523999999999</v>
      </c>
      <c r="R2136" s="40">
        <v>64.028645999999995</v>
      </c>
      <c r="S2136" s="40">
        <v>1.0760539E-5</v>
      </c>
      <c r="T2136" s="40">
        <v>5.9865230999999998E-2</v>
      </c>
      <c r="U2136" s="40">
        <v>0.45244493000000002</v>
      </c>
      <c r="V2136" s="40">
        <v>0.10023683999999999</v>
      </c>
      <c r="W2136" s="40">
        <v>21.407931999999999</v>
      </c>
      <c r="X2136" s="40">
        <v>0.31521733000000002</v>
      </c>
      <c r="Y2136" s="40">
        <v>1094.5966000000001</v>
      </c>
      <c r="Z2136" s="40">
        <v>4.747001E-2</v>
      </c>
      <c r="AA2136" s="40"/>
      <c r="AB2136" s="40"/>
      <c r="AC2136" s="40"/>
      <c r="AD2136" s="40"/>
      <c r="AE2136" s="40"/>
      <c r="AF2136" s="40"/>
      <c r="AG2136" s="40"/>
      <c r="AH2136" s="40"/>
      <c r="AI2136" s="40"/>
      <c r="AJ2136" s="40"/>
      <c r="AK2136" s="40"/>
      <c r="AL2136" s="40"/>
      <c r="AM2136" s="40"/>
      <c r="AN2136" s="40"/>
      <c r="AO2136" s="40"/>
      <c r="AP2136" s="40"/>
      <c r="AQ2136" s="40"/>
      <c r="AR2136" s="40"/>
      <c r="AS2136" s="40"/>
      <c r="AT2136" s="40"/>
      <c r="AU2136" s="40"/>
      <c r="AV2136" s="40">
        <v>9.4369435999999993</v>
      </c>
      <c r="AW2136" s="40"/>
      <c r="AX2136" s="40"/>
      <c r="AY2136" s="281">
        <v>951.31194000000005</v>
      </c>
      <c r="AZ2136" s="40"/>
      <c r="BA2136" s="40"/>
      <c r="BB2136" s="40"/>
      <c r="BC2136" s="40">
        <v>0.54312521999999996</v>
      </c>
      <c r="BD2136" s="40">
        <v>1.6115467999999999</v>
      </c>
      <c r="BE2136" s="40">
        <v>3.4094703000000002</v>
      </c>
      <c r="BF2136" s="40"/>
      <c r="BG2136" s="40"/>
      <c r="BH2136" s="40"/>
      <c r="BI2136" s="40"/>
      <c r="BJ2136" s="40"/>
      <c r="BK2136" s="40"/>
      <c r="BL2136" s="62">
        <v>0</v>
      </c>
      <c r="BM2136" s="275">
        <v>3</v>
      </c>
      <c r="BN2136" s="62">
        <v>0.03</v>
      </c>
      <c r="BO2136" s="33" t="s">
        <v>746</v>
      </c>
    </row>
    <row r="2137" spans="1:67">
      <c r="A2137" s="33" t="str">
        <f>Database_Productkaarten[[#This Row],[Product]]&amp;", "&amp;Database_Productkaarten[[#This Row],[Levensfase]]</f>
        <v>Inspectieput prefab beton 0,8x0,8x1,1, B1</v>
      </c>
      <c r="B2137" s="33" t="s">
        <v>747</v>
      </c>
      <c r="C2137" s="33" t="s">
        <v>246</v>
      </c>
      <c r="D2137" s="33" t="s">
        <v>748</v>
      </c>
      <c r="E2137" s="33" t="s">
        <v>724</v>
      </c>
      <c r="F2137" s="33" t="s">
        <v>80</v>
      </c>
      <c r="G2137" s="33">
        <v>0.8</v>
      </c>
      <c r="H2137" s="33">
        <v>0.8</v>
      </c>
      <c r="I2137" s="33">
        <v>1.1000000000000001</v>
      </c>
      <c r="M2137">
        <v>1.6266400000000003</v>
      </c>
      <c r="N2137" s="41">
        <v>0</v>
      </c>
      <c r="O2137" s="33">
        <v>40</v>
      </c>
      <c r="P2137" s="40">
        <v>0</v>
      </c>
      <c r="Q2137" s="40">
        <v>0</v>
      </c>
      <c r="R2137" s="40">
        <v>0</v>
      </c>
      <c r="S2137" s="40">
        <v>0</v>
      </c>
      <c r="T2137" s="40">
        <v>0</v>
      </c>
      <c r="U2137" s="40">
        <v>0</v>
      </c>
      <c r="V2137" s="40">
        <v>0</v>
      </c>
      <c r="W2137" s="40">
        <v>0</v>
      </c>
      <c r="X2137" s="40">
        <v>0</v>
      </c>
      <c r="Y2137" s="40">
        <v>0</v>
      </c>
      <c r="Z2137" s="40">
        <v>0</v>
      </c>
      <c r="AA2137" s="40"/>
      <c r="AB2137" s="40"/>
      <c r="AC2137" s="40"/>
      <c r="AD2137" s="40"/>
      <c r="AE2137" s="40"/>
      <c r="AF2137" s="40"/>
      <c r="AG2137" s="40"/>
      <c r="AH2137" s="40"/>
      <c r="AI2137" s="40"/>
      <c r="AJ2137" s="40"/>
      <c r="AK2137" s="40"/>
      <c r="AL2137" s="40"/>
      <c r="AM2137" s="40"/>
      <c r="AN2137" s="40"/>
      <c r="AO2137" s="40"/>
      <c r="AP2137" s="40"/>
      <c r="AQ2137" s="40"/>
      <c r="AR2137" s="40"/>
      <c r="AS2137" s="40"/>
      <c r="AT2137" s="40"/>
      <c r="AU2137" s="40"/>
      <c r="AV2137" s="40">
        <v>0</v>
      </c>
      <c r="AW2137" s="40"/>
      <c r="AX2137" s="40"/>
      <c r="AY2137" s="281">
        <v>0</v>
      </c>
      <c r="AZ2137" s="40"/>
      <c r="BA2137" s="40"/>
      <c r="BB2137" s="40"/>
      <c r="BC2137" s="40">
        <v>0</v>
      </c>
      <c r="BD2137" s="40">
        <v>0</v>
      </c>
      <c r="BE2137" s="40">
        <v>0</v>
      </c>
      <c r="BF2137" s="40"/>
      <c r="BG2137" s="40"/>
      <c r="BH2137" s="40"/>
      <c r="BI2137" s="40"/>
      <c r="BJ2137" s="40"/>
      <c r="BK2137" s="40"/>
      <c r="BL2137" s="62">
        <v>0</v>
      </c>
      <c r="BM2137" s="275">
        <v>3</v>
      </c>
      <c r="BN2137" s="62">
        <v>0.03</v>
      </c>
      <c r="BO2137" s="33" t="s">
        <v>746</v>
      </c>
    </row>
    <row r="2138" spans="1:67">
      <c r="A2138" s="33" t="str">
        <f>Database_Productkaarten[[#This Row],[Product]]&amp;", "&amp;Database_Productkaarten[[#This Row],[Levensfase]]</f>
        <v>Inspectieput prefab beton 0,8x0,8x1,1, C1</v>
      </c>
      <c r="B2138" s="33" t="s">
        <v>747</v>
      </c>
      <c r="C2138" s="33" t="s">
        <v>246</v>
      </c>
      <c r="D2138" s="33" t="s">
        <v>748</v>
      </c>
      <c r="E2138" s="33" t="s">
        <v>724</v>
      </c>
      <c r="F2138" s="33" t="s">
        <v>83</v>
      </c>
      <c r="G2138" s="33">
        <v>0.8</v>
      </c>
      <c r="H2138" s="33">
        <v>0.8</v>
      </c>
      <c r="I2138" s="33">
        <v>1.1000000000000001</v>
      </c>
      <c r="M2138">
        <v>1.6266400000000003</v>
      </c>
      <c r="N2138" s="41">
        <v>4.1953617000000003</v>
      </c>
      <c r="O2138" s="33">
        <v>40</v>
      </c>
      <c r="P2138" s="40">
        <v>1.0614419E-5</v>
      </c>
      <c r="Q2138" s="40">
        <v>0.21869184</v>
      </c>
      <c r="R2138" s="40">
        <v>31.69622</v>
      </c>
      <c r="S2138" s="40">
        <v>5.7091865000000001E-6</v>
      </c>
      <c r="T2138" s="40">
        <v>3.1948989999999997E-2</v>
      </c>
      <c r="U2138" s="40">
        <v>0.23982928000000001</v>
      </c>
      <c r="V2138" s="40">
        <v>5.3702848999999997E-2</v>
      </c>
      <c r="W2138" s="40">
        <v>11.220252</v>
      </c>
      <c r="X2138" s="40">
        <v>0.15691409000000001</v>
      </c>
      <c r="Y2138" s="40">
        <v>531.91234999999995</v>
      </c>
      <c r="Z2138" s="40">
        <v>1.8748727E-2</v>
      </c>
      <c r="AA2138" s="40"/>
      <c r="AB2138" s="40"/>
      <c r="AC2138" s="40"/>
      <c r="AD2138" s="40"/>
      <c r="AE2138" s="40"/>
      <c r="AF2138" s="40"/>
      <c r="AG2138" s="40"/>
      <c r="AH2138" s="40"/>
      <c r="AI2138" s="40"/>
      <c r="AJ2138" s="40"/>
      <c r="AK2138" s="40"/>
      <c r="AL2138" s="40"/>
      <c r="AM2138" s="40"/>
      <c r="AN2138" s="40"/>
      <c r="AO2138" s="40"/>
      <c r="AP2138" s="40"/>
      <c r="AQ2138" s="40"/>
      <c r="AR2138" s="40"/>
      <c r="AS2138" s="40"/>
      <c r="AT2138" s="40"/>
      <c r="AU2138" s="40"/>
      <c r="AV2138" s="40">
        <v>2.6339524000000001</v>
      </c>
      <c r="AW2138" s="40"/>
      <c r="AX2138" s="40"/>
      <c r="AY2138" s="281">
        <v>490.56876999999997</v>
      </c>
      <c r="AZ2138" s="40"/>
      <c r="BA2138" s="40"/>
      <c r="BB2138" s="40"/>
      <c r="BC2138" s="40">
        <v>4.0444964E-2</v>
      </c>
      <c r="BD2138" s="40">
        <v>3.3962625999999999E-3</v>
      </c>
      <c r="BE2138" s="40">
        <v>0.50056942000000004</v>
      </c>
      <c r="BF2138" s="40"/>
      <c r="BG2138" s="40"/>
      <c r="BH2138" s="40"/>
      <c r="BI2138" s="40"/>
      <c r="BJ2138" s="40"/>
      <c r="BK2138" s="40"/>
      <c r="BL2138" s="62">
        <v>0</v>
      </c>
      <c r="BM2138" s="275">
        <v>3</v>
      </c>
      <c r="BN2138" s="62">
        <v>0.03</v>
      </c>
      <c r="BO2138" s="33" t="s">
        <v>746</v>
      </c>
    </row>
    <row r="2139" spans="1:67">
      <c r="A2139" s="33" t="str">
        <f>Database_Productkaarten[[#This Row],[Product]]&amp;", "&amp;Database_Productkaarten[[#This Row],[Levensfase]]</f>
        <v>Inspectieput prefab beton 0,8x0,8x1,1, C2</v>
      </c>
      <c r="B2139" s="33" t="s">
        <v>747</v>
      </c>
      <c r="C2139" s="33" t="s">
        <v>246</v>
      </c>
      <c r="D2139" s="33" t="s">
        <v>748</v>
      </c>
      <c r="E2139" s="33" t="s">
        <v>724</v>
      </c>
      <c r="F2139" s="33" t="s">
        <v>84</v>
      </c>
      <c r="G2139" s="33">
        <v>0.8</v>
      </c>
      <c r="H2139" s="33">
        <v>0.8</v>
      </c>
      <c r="I2139" s="33">
        <v>1.1000000000000001</v>
      </c>
      <c r="M2139">
        <v>1.6266400000000003</v>
      </c>
      <c r="N2139" s="41">
        <v>1.276438</v>
      </c>
      <c r="O2139" s="33">
        <v>40</v>
      </c>
      <c r="P2139" s="40">
        <v>3.0719870999999998E-5</v>
      </c>
      <c r="Q2139" s="40">
        <v>7.9734476999999998E-2</v>
      </c>
      <c r="R2139" s="40">
        <v>10.802282</v>
      </c>
      <c r="S2139" s="40">
        <v>1.9906474E-6</v>
      </c>
      <c r="T2139" s="40">
        <v>6.3758508999999996E-3</v>
      </c>
      <c r="U2139" s="40">
        <v>4.6832552999999999E-2</v>
      </c>
      <c r="V2139" s="40">
        <v>9.3324557000000006E-3</v>
      </c>
      <c r="W2139" s="40">
        <v>4.3217571000000001</v>
      </c>
      <c r="X2139" s="40">
        <v>0.12675132</v>
      </c>
      <c r="Y2139" s="40">
        <v>457.48307999999997</v>
      </c>
      <c r="Z2139" s="40">
        <v>1.5312539999999999E-2</v>
      </c>
      <c r="AA2139" s="40"/>
      <c r="AB2139" s="40"/>
      <c r="AC2139" s="40"/>
      <c r="AD2139" s="40"/>
      <c r="AE2139" s="40"/>
      <c r="AF2139" s="40"/>
      <c r="AG2139" s="40"/>
      <c r="AH2139" s="40"/>
      <c r="AI2139" s="40"/>
      <c r="AJ2139" s="40"/>
      <c r="AK2139" s="40"/>
      <c r="AL2139" s="40"/>
      <c r="AM2139" s="40"/>
      <c r="AN2139" s="40"/>
      <c r="AO2139" s="40"/>
      <c r="AP2139" s="40"/>
      <c r="AQ2139" s="40"/>
      <c r="AR2139" s="40"/>
      <c r="AS2139" s="40"/>
      <c r="AT2139" s="40"/>
      <c r="AU2139" s="40"/>
      <c r="AV2139" s="40">
        <v>2.2748064000000001</v>
      </c>
      <c r="AW2139" s="40"/>
      <c r="AX2139" s="40"/>
      <c r="AY2139" s="281">
        <v>177.75298000000001</v>
      </c>
      <c r="AZ2139" s="40"/>
      <c r="BA2139" s="40"/>
      <c r="BB2139" s="40"/>
      <c r="BC2139" s="40">
        <v>3.1968429E-2</v>
      </c>
      <c r="BD2139" s="40">
        <v>1.2276099E-3</v>
      </c>
      <c r="BE2139" s="40">
        <v>10.217376</v>
      </c>
      <c r="BF2139" s="40"/>
      <c r="BG2139" s="40"/>
      <c r="BH2139" s="40"/>
      <c r="BI2139" s="40"/>
      <c r="BJ2139" s="40"/>
      <c r="BK2139" s="40"/>
      <c r="BL2139" s="62">
        <v>0</v>
      </c>
      <c r="BM2139" s="275">
        <v>3</v>
      </c>
      <c r="BN2139" s="62">
        <v>0.03</v>
      </c>
      <c r="BO2139" s="33" t="s">
        <v>746</v>
      </c>
    </row>
    <row r="2140" spans="1:67">
      <c r="A2140" s="33" t="str">
        <f>Database_Productkaarten[[#This Row],[Product]]&amp;", "&amp;Database_Productkaarten[[#This Row],[Levensfase]]</f>
        <v>Inspectieput prefab beton 0,8x0,8x1,1, C3</v>
      </c>
      <c r="B2140" s="33" t="s">
        <v>747</v>
      </c>
      <c r="C2140" s="33" t="s">
        <v>246</v>
      </c>
      <c r="D2140" s="33" t="s">
        <v>748</v>
      </c>
      <c r="E2140" s="33" t="s">
        <v>724</v>
      </c>
      <c r="F2140" s="33" t="s">
        <v>85</v>
      </c>
      <c r="G2140" s="33">
        <v>0.8</v>
      </c>
      <c r="H2140" s="33">
        <v>0.8</v>
      </c>
      <c r="I2140" s="33">
        <v>1.1000000000000001</v>
      </c>
      <c r="M2140">
        <v>1.6266400000000003</v>
      </c>
      <c r="N2140" s="41">
        <v>0.67148839999999999</v>
      </c>
      <c r="O2140" s="33">
        <v>40</v>
      </c>
      <c r="P2140" s="40">
        <v>1.7342081E-6</v>
      </c>
      <c r="Q2140" s="40">
        <v>1.9965660999999999E-2</v>
      </c>
      <c r="R2140" s="40">
        <v>10.588867</v>
      </c>
      <c r="S2140" s="40">
        <v>3.1408268E-7</v>
      </c>
      <c r="T2140" s="40">
        <v>1.4785107E-3</v>
      </c>
      <c r="U2140" s="40">
        <v>1.2744148E-2</v>
      </c>
      <c r="V2140" s="40">
        <v>2.9481620999999999E-3</v>
      </c>
      <c r="W2140" s="40">
        <v>0.59520638999999997</v>
      </c>
      <c r="X2140" s="40">
        <v>1.0972795E-2</v>
      </c>
      <c r="Y2140" s="40">
        <v>39.911062999999999</v>
      </c>
      <c r="Z2140" s="40">
        <v>8.0818907999999998E-3</v>
      </c>
      <c r="AA2140" s="40"/>
      <c r="AB2140" s="40"/>
      <c r="AC2140" s="40"/>
      <c r="AD2140" s="40"/>
      <c r="AE2140" s="40"/>
      <c r="AF2140" s="40"/>
      <c r="AG2140" s="40"/>
      <c r="AH2140" s="40"/>
      <c r="AI2140" s="40"/>
      <c r="AJ2140" s="40"/>
      <c r="AK2140" s="40"/>
      <c r="AL2140" s="40"/>
      <c r="AM2140" s="40"/>
      <c r="AN2140" s="40"/>
      <c r="AO2140" s="40"/>
      <c r="AP2140" s="40"/>
      <c r="AQ2140" s="40"/>
      <c r="AR2140" s="40"/>
      <c r="AS2140" s="40"/>
      <c r="AT2140" s="40"/>
      <c r="AU2140" s="40"/>
      <c r="AV2140" s="40">
        <v>2.1337475000000001</v>
      </c>
      <c r="AW2140" s="40"/>
      <c r="AX2140" s="40"/>
      <c r="AY2140" s="281">
        <v>41.814839999999997</v>
      </c>
      <c r="AZ2140" s="40"/>
      <c r="BA2140" s="40"/>
      <c r="BB2140" s="40"/>
      <c r="BC2140" s="40">
        <v>1.7889210999999999E-2</v>
      </c>
      <c r="BD2140" s="40">
        <v>2.4530564999999997E-4</v>
      </c>
      <c r="BE2140" s="40">
        <v>5.1338321999999996</v>
      </c>
      <c r="BF2140" s="40"/>
      <c r="BG2140" s="40"/>
      <c r="BH2140" s="40"/>
      <c r="BI2140" s="40"/>
      <c r="BJ2140" s="40"/>
      <c r="BK2140" s="40"/>
      <c r="BL2140" s="62">
        <v>0</v>
      </c>
      <c r="BM2140" s="275">
        <v>3</v>
      </c>
      <c r="BN2140" s="62">
        <v>0.03</v>
      </c>
      <c r="BO2140" s="33" t="s">
        <v>746</v>
      </c>
    </row>
    <row r="2141" spans="1:67">
      <c r="A2141" s="33" t="str">
        <f>Database_Productkaarten[[#This Row],[Product]]&amp;", "&amp;Database_Productkaarten[[#This Row],[Levensfase]]</f>
        <v>Inspectieput prefab beton 0,8x0,8x1,1, C4</v>
      </c>
      <c r="B2141" s="33" t="s">
        <v>747</v>
      </c>
      <c r="C2141" s="33" t="s">
        <v>246</v>
      </c>
      <c r="D2141" s="33" t="s">
        <v>748</v>
      </c>
      <c r="E2141" s="33" t="s">
        <v>724</v>
      </c>
      <c r="F2141" s="33" t="s">
        <v>86</v>
      </c>
      <c r="G2141" s="33">
        <v>0.8</v>
      </c>
      <c r="H2141" s="33">
        <v>0.8</v>
      </c>
      <c r="I2141" s="33">
        <v>1.1000000000000001</v>
      </c>
      <c r="M2141">
        <v>1.6266400000000003</v>
      </c>
      <c r="N2141" s="41">
        <v>1.1882343E-2</v>
      </c>
      <c r="O2141" s="33">
        <v>40</v>
      </c>
      <c r="P2141" s="40">
        <v>9.9037825999999994E-8</v>
      </c>
      <c r="Q2141" s="40">
        <v>1.1808738000000001E-3</v>
      </c>
      <c r="R2141" s="40">
        <v>8.6772363000000005E-2</v>
      </c>
      <c r="S2141" s="40">
        <v>2.8720287000000001E-8</v>
      </c>
      <c r="T2141" s="40">
        <v>9.1954864999999994E-5</v>
      </c>
      <c r="U2141" s="40">
        <v>6.4119521999999999E-4</v>
      </c>
      <c r="V2141" s="40">
        <v>1.2067436E-4</v>
      </c>
      <c r="W2141" s="40">
        <v>3.5376820000000003E-2</v>
      </c>
      <c r="X2141" s="40">
        <v>8.7968431999999996E-4</v>
      </c>
      <c r="Y2141" s="40">
        <v>3.0255730000000001</v>
      </c>
      <c r="Z2141" s="40">
        <v>1.0477063E-4</v>
      </c>
      <c r="AA2141" s="40"/>
      <c r="AB2141" s="40"/>
      <c r="AC2141" s="40"/>
      <c r="AD2141" s="40"/>
      <c r="AE2141" s="40"/>
      <c r="AF2141" s="40"/>
      <c r="AG2141" s="40"/>
      <c r="AH2141" s="40"/>
      <c r="AI2141" s="40"/>
      <c r="AJ2141" s="40"/>
      <c r="AK2141" s="40"/>
      <c r="AL2141" s="40"/>
      <c r="AM2141" s="40"/>
      <c r="AN2141" s="40"/>
      <c r="AO2141" s="40"/>
      <c r="AP2141" s="40"/>
      <c r="AQ2141" s="40"/>
      <c r="AR2141" s="40"/>
      <c r="AS2141" s="40"/>
      <c r="AT2141" s="40"/>
      <c r="AU2141" s="40"/>
      <c r="AV2141" s="40">
        <v>6.3252704000000007E-2</v>
      </c>
      <c r="AW2141" s="40"/>
      <c r="AX2141" s="40"/>
      <c r="AY2141" s="281">
        <v>2.6378591999999998</v>
      </c>
      <c r="AZ2141" s="40"/>
      <c r="BA2141" s="40"/>
      <c r="BB2141" s="40"/>
      <c r="BC2141" s="40">
        <v>2.6586253000000001E-3</v>
      </c>
      <c r="BD2141" s="40">
        <v>1.7918782999999999E-5</v>
      </c>
      <c r="BE2141" s="40">
        <v>16.237753000000001</v>
      </c>
      <c r="BF2141" s="40"/>
      <c r="BG2141" s="40"/>
      <c r="BH2141" s="40"/>
      <c r="BI2141" s="40"/>
      <c r="BJ2141" s="40"/>
      <c r="BK2141" s="40"/>
      <c r="BL2141" s="62">
        <v>0</v>
      </c>
      <c r="BM2141" s="275">
        <v>3</v>
      </c>
      <c r="BN2141" s="62">
        <v>0.03</v>
      </c>
      <c r="BO2141" s="33" t="s">
        <v>746</v>
      </c>
    </row>
    <row r="2142" spans="1:67">
      <c r="A2142" s="33" t="str">
        <f>Database_Productkaarten[[#This Row],[Product]]&amp;", "&amp;Database_Productkaarten[[#This Row],[Levensfase]]</f>
        <v>Inspectieput prefab beton 0,8x0,8x1,1, D</v>
      </c>
      <c r="B2142" s="33" t="s">
        <v>747</v>
      </c>
      <c r="C2142" s="33" t="s">
        <v>246</v>
      </c>
      <c r="D2142" s="33" t="s">
        <v>748</v>
      </c>
      <c r="E2142" s="33" t="s">
        <v>724</v>
      </c>
      <c r="F2142" s="33" t="s">
        <v>89</v>
      </c>
      <c r="G2142" s="33">
        <v>0.8</v>
      </c>
      <c r="H2142" s="33">
        <v>0.8</v>
      </c>
      <c r="I2142" s="33">
        <v>1.1000000000000001</v>
      </c>
      <c r="M2142">
        <v>1.6266400000000003</v>
      </c>
      <c r="N2142" s="326">
        <v>-0.86006848999999996</v>
      </c>
      <c r="O2142" s="33">
        <v>40</v>
      </c>
      <c r="P2142" s="163">
        <v>-3.7180944000000002E-5</v>
      </c>
      <c r="Q2142" s="163">
        <v>-4.6946770999999998E-2</v>
      </c>
      <c r="R2142" s="163">
        <v>-7.0842833000000001</v>
      </c>
      <c r="S2142" s="163">
        <v>-6.0216657E-7</v>
      </c>
      <c r="T2142" s="163">
        <v>-4.9458061000000001E-3</v>
      </c>
      <c r="U2142" s="163">
        <v>-4.0236512000000002E-2</v>
      </c>
      <c r="V2142" s="163">
        <v>-6.5740625999999996E-3</v>
      </c>
      <c r="W2142" s="163">
        <v>-2.7456133</v>
      </c>
      <c r="X2142" s="163">
        <v>-3.9988108000000001E-2</v>
      </c>
      <c r="Y2142" s="163">
        <v>-190.77351999999999</v>
      </c>
      <c r="Z2142" s="163">
        <v>-1.5540277E-2</v>
      </c>
      <c r="AA2142" s="40"/>
      <c r="AB2142" s="40"/>
      <c r="AC2142" s="40"/>
      <c r="AD2142" s="40"/>
      <c r="AE2142" s="40"/>
      <c r="AF2142" s="40"/>
      <c r="AG2142" s="40"/>
      <c r="AH2142" s="40"/>
      <c r="AI2142" s="40"/>
      <c r="AJ2142" s="40"/>
      <c r="AK2142" s="40"/>
      <c r="AL2142" s="40"/>
      <c r="AM2142" s="40"/>
      <c r="AN2142" s="40"/>
      <c r="AO2142" s="40"/>
      <c r="AP2142" s="40"/>
      <c r="AQ2142" s="40"/>
      <c r="AR2142" s="40"/>
      <c r="AS2142" s="40"/>
      <c r="AT2142" s="40"/>
      <c r="AU2142" s="40"/>
      <c r="AV2142" s="163">
        <v>-5.7645403999999996</v>
      </c>
      <c r="AW2142" s="40"/>
      <c r="AX2142" s="40"/>
      <c r="AY2142" s="281">
        <v>-94.327588000000006</v>
      </c>
      <c r="AZ2142" s="40"/>
      <c r="BA2142" s="40"/>
      <c r="BB2142" s="40"/>
      <c r="BC2142" s="40">
        <v>-2.2608533</v>
      </c>
      <c r="BD2142" s="163">
        <v>-5.0465253000000002E-4</v>
      </c>
      <c r="BE2142" s="163">
        <v>-0.90489631000000004</v>
      </c>
      <c r="BF2142" s="40"/>
      <c r="BG2142" s="40"/>
      <c r="BH2142" s="40"/>
      <c r="BI2142" s="40"/>
      <c r="BJ2142" s="40"/>
      <c r="BK2142" s="40"/>
      <c r="BL2142" s="62">
        <v>0</v>
      </c>
      <c r="BM2142" s="275">
        <v>3</v>
      </c>
      <c r="BN2142" s="62">
        <v>0.03</v>
      </c>
      <c r="BO2142" s="33" t="s">
        <v>746</v>
      </c>
    </row>
    <row r="2143" spans="1:67">
      <c r="A2143" s="33" t="str">
        <f>Database_Productkaarten[[#This Row],[Product]]&amp;", "&amp;Database_Productkaarten[[#This Row],[Levensfase]]</f>
        <v>Inspectieput prefab beton 0,8x0,8x1,1, D1</v>
      </c>
      <c r="B2143" s="33" t="s">
        <v>747</v>
      </c>
      <c r="C2143" s="33" t="s">
        <v>246</v>
      </c>
      <c r="D2143" s="33" t="s">
        <v>748</v>
      </c>
      <c r="E2143" s="33" t="s">
        <v>724</v>
      </c>
      <c r="F2143" s="33" t="s">
        <v>87</v>
      </c>
      <c r="G2143" s="33">
        <v>0.8</v>
      </c>
      <c r="H2143" s="33">
        <v>0.8</v>
      </c>
      <c r="I2143" s="33">
        <v>1.1000000000000001</v>
      </c>
      <c r="M2143">
        <v>1.6266400000000003</v>
      </c>
      <c r="N2143" s="41"/>
      <c r="O2143" s="33">
        <v>40</v>
      </c>
      <c r="P2143" s="40"/>
      <c r="Q2143" s="40"/>
      <c r="R2143" s="40"/>
      <c r="S2143" s="40"/>
      <c r="T2143" s="40"/>
      <c r="U2143" s="40"/>
      <c r="V2143" s="40"/>
      <c r="W2143" s="40"/>
      <c r="X2143" s="40"/>
      <c r="Y2143" s="40"/>
      <c r="Z2143" s="40"/>
      <c r="AA2143" s="40"/>
      <c r="AB2143" s="40"/>
      <c r="AC2143" s="40"/>
      <c r="AD2143" s="40"/>
      <c r="AE2143" s="40"/>
      <c r="AF2143" s="40"/>
      <c r="AG2143" s="40"/>
      <c r="AH2143" s="40"/>
      <c r="AI2143" s="40"/>
      <c r="AJ2143" s="40"/>
      <c r="AK2143" s="40"/>
      <c r="AL2143" s="40"/>
      <c r="AM2143" s="40"/>
      <c r="AN2143" s="40"/>
      <c r="AO2143" s="40"/>
      <c r="AP2143" s="40"/>
      <c r="AQ2143" s="40"/>
      <c r="AR2143" s="40"/>
      <c r="AS2143" s="40"/>
      <c r="AT2143" s="40"/>
      <c r="AU2143" s="40"/>
      <c r="AV2143" s="40"/>
      <c r="AW2143" s="40"/>
      <c r="AX2143" s="40"/>
      <c r="AY2143" s="281"/>
      <c r="AZ2143" s="40"/>
      <c r="BA2143" s="40"/>
      <c r="BB2143" s="40"/>
      <c r="BC2143" s="40"/>
      <c r="BD2143" s="40"/>
      <c r="BE2143" s="40"/>
      <c r="BF2143" s="40"/>
      <c r="BG2143" s="40"/>
      <c r="BH2143" s="40"/>
      <c r="BI2143" s="40"/>
      <c r="BJ2143" s="40"/>
      <c r="BK2143" s="40"/>
      <c r="BL2143" s="62">
        <v>0</v>
      </c>
      <c r="BM2143" s="275">
        <v>3</v>
      </c>
      <c r="BN2143" s="62">
        <v>0.03</v>
      </c>
      <c r="BO2143" s="33" t="s">
        <v>746</v>
      </c>
    </row>
    <row r="2144" spans="1:67">
      <c r="A2144" s="33" t="str">
        <f>Database_Productkaarten[[#This Row],[Product]]&amp;", "&amp;Database_Productkaarten[[#This Row],[Levensfase]]</f>
        <v>Inspectieput prefab beton 0,8x0,8x1,1, D2</v>
      </c>
      <c r="B2144" s="33" t="s">
        <v>747</v>
      </c>
      <c r="C2144" s="33" t="s">
        <v>246</v>
      </c>
      <c r="D2144" s="33" t="s">
        <v>748</v>
      </c>
      <c r="E2144" s="33" t="s">
        <v>724</v>
      </c>
      <c r="F2144" s="33" t="s">
        <v>88</v>
      </c>
      <c r="G2144" s="33">
        <v>0.8</v>
      </c>
      <c r="H2144" s="33">
        <v>0.8</v>
      </c>
      <c r="I2144" s="33">
        <v>1.1000000000000001</v>
      </c>
      <c r="M2144">
        <v>1.6266400000000003</v>
      </c>
      <c r="N2144" s="41"/>
      <c r="O2144" s="33">
        <v>40</v>
      </c>
      <c r="P2144" s="40"/>
      <c r="Q2144" s="40"/>
      <c r="R2144" s="40"/>
      <c r="S2144" s="40"/>
      <c r="T2144" s="40"/>
      <c r="U2144" s="40"/>
      <c r="V2144" s="40"/>
      <c r="W2144" s="40"/>
      <c r="X2144" s="40"/>
      <c r="Y2144" s="40"/>
      <c r="Z2144" s="40"/>
      <c r="AA2144" s="40"/>
      <c r="AB2144" s="40"/>
      <c r="AC2144" s="40"/>
      <c r="AD2144" s="40"/>
      <c r="AE2144" s="40"/>
      <c r="AF2144" s="40"/>
      <c r="AG2144" s="40"/>
      <c r="AH2144" s="40"/>
      <c r="AI2144" s="40"/>
      <c r="AJ2144" s="40"/>
      <c r="AK2144" s="40"/>
      <c r="AL2144" s="40"/>
      <c r="AM2144" s="40"/>
      <c r="AN2144" s="40"/>
      <c r="AO2144" s="40"/>
      <c r="AP2144" s="40"/>
      <c r="AQ2144" s="40"/>
      <c r="AR2144" s="40"/>
      <c r="AS2144" s="40"/>
      <c r="AT2144" s="40"/>
      <c r="AU2144" s="40"/>
      <c r="AV2144" s="40"/>
      <c r="AW2144" s="40"/>
      <c r="AX2144" s="40"/>
      <c r="AY2144" s="281"/>
      <c r="AZ2144" s="40"/>
      <c r="BA2144" s="40"/>
      <c r="BB2144" s="40"/>
      <c r="BC2144" s="40"/>
      <c r="BD2144" s="40"/>
      <c r="BE2144" s="40"/>
      <c r="BF2144" s="40"/>
      <c r="BG2144" s="40"/>
      <c r="BH2144" s="40"/>
      <c r="BI2144" s="40"/>
      <c r="BJ2144" s="40"/>
      <c r="BK2144" s="40"/>
      <c r="BL2144" s="62">
        <v>0</v>
      </c>
      <c r="BM2144" s="275">
        <v>3</v>
      </c>
      <c r="BN2144" s="62">
        <v>0.03</v>
      </c>
      <c r="BO2144" s="33" t="s">
        <v>746</v>
      </c>
    </row>
    <row r="2145" spans="1:67">
      <c r="A2145" s="33" t="str">
        <f>Database_Productkaarten[[#This Row],[Product]]&amp;", "&amp;Database_Productkaarten[[#This Row],[Levensfase]]</f>
        <v>Inspectieput prefab beton 1x1x1,2, Totaal</v>
      </c>
      <c r="B2145" s="33" t="s">
        <v>749</v>
      </c>
      <c r="C2145" s="33" t="s">
        <v>246</v>
      </c>
      <c r="D2145" s="33" t="s">
        <v>748</v>
      </c>
      <c r="E2145" s="33" t="s">
        <v>724</v>
      </c>
      <c r="F2145" s="33" t="s">
        <v>90</v>
      </c>
      <c r="G2145" s="33">
        <v>1</v>
      </c>
      <c r="H2145" s="33">
        <v>1</v>
      </c>
      <c r="I2145" s="33">
        <v>1.2</v>
      </c>
      <c r="M2145">
        <v>2.2905500000000001</v>
      </c>
      <c r="N2145" s="41">
        <f>SUM(N2146:N2159)</f>
        <v>65.335396155000012</v>
      </c>
      <c r="O2145" s="33">
        <v>40</v>
      </c>
      <c r="P2145" s="40"/>
      <c r="Q2145" s="40"/>
      <c r="R2145" s="40"/>
      <c r="S2145" s="40"/>
      <c r="T2145" s="40"/>
      <c r="U2145" s="40"/>
      <c r="V2145" s="40"/>
      <c r="W2145" s="40"/>
      <c r="X2145" s="40"/>
      <c r="Y2145" s="40"/>
      <c r="Z2145" s="40"/>
      <c r="AA2145" s="40"/>
      <c r="AB2145" s="40"/>
      <c r="AC2145" s="40"/>
      <c r="AD2145" s="40"/>
      <c r="AE2145" s="40"/>
      <c r="AF2145" s="40"/>
      <c r="AG2145" s="40"/>
      <c r="AH2145" s="40"/>
      <c r="AI2145" s="40"/>
      <c r="AJ2145" s="40"/>
      <c r="AK2145" s="40"/>
      <c r="AL2145" s="40"/>
      <c r="AM2145" s="40"/>
      <c r="AN2145" s="40"/>
      <c r="AO2145" s="40"/>
      <c r="AP2145" s="40"/>
      <c r="AQ2145" s="40"/>
      <c r="AR2145" s="40"/>
      <c r="AS2145" s="40"/>
      <c r="AT2145" s="40"/>
      <c r="AU2145" s="40"/>
      <c r="AV2145" s="40"/>
      <c r="AW2145" s="40"/>
      <c r="AX2145" s="40"/>
      <c r="AY2145" s="281"/>
      <c r="AZ2145" s="40"/>
      <c r="BA2145" s="40"/>
      <c r="BB2145" s="40"/>
      <c r="BC2145" s="40"/>
      <c r="BD2145" s="40"/>
      <c r="BE2145" s="40"/>
      <c r="BF2145" s="40"/>
      <c r="BG2145" s="40"/>
      <c r="BH2145" s="40"/>
      <c r="BI2145" s="40"/>
      <c r="BJ2145" s="40"/>
      <c r="BK2145" s="40"/>
      <c r="BL2145" s="62">
        <v>0</v>
      </c>
      <c r="BM2145" s="275">
        <v>3</v>
      </c>
      <c r="BN2145" s="62">
        <v>0.03</v>
      </c>
      <c r="BO2145" s="33" t="s">
        <v>746</v>
      </c>
    </row>
    <row r="2146" spans="1:67">
      <c r="A2146" s="33" t="str">
        <f>Database_Productkaarten[[#This Row],[Product]]&amp;", "&amp;Database_Productkaarten[[#This Row],[Levensfase]]</f>
        <v>Inspectieput prefab beton 1x1x1,2, A1</v>
      </c>
      <c r="B2146" s="33" t="s">
        <v>749</v>
      </c>
      <c r="C2146" s="33" t="s">
        <v>246</v>
      </c>
      <c r="D2146" s="33" t="s">
        <v>748</v>
      </c>
      <c r="E2146" s="33" t="s">
        <v>724</v>
      </c>
      <c r="F2146" s="33" t="s">
        <v>74</v>
      </c>
      <c r="G2146" s="33">
        <v>1</v>
      </c>
      <c r="H2146" s="33">
        <v>1</v>
      </c>
      <c r="I2146" s="33">
        <v>1.2</v>
      </c>
      <c r="M2146">
        <v>2.2905500000000001</v>
      </c>
      <c r="N2146" s="326">
        <v>18.42953</v>
      </c>
      <c r="O2146" s="33">
        <v>40</v>
      </c>
      <c r="P2146" s="163">
        <v>5.6449227999999995E-4</v>
      </c>
      <c r="Q2146" s="163">
        <v>0.81275739000000002</v>
      </c>
      <c r="R2146" s="163">
        <v>232.59845999999999</v>
      </c>
      <c r="S2146" s="163">
        <v>8.1538746000000002E-6</v>
      </c>
      <c r="T2146" s="163">
        <v>6.8245111999999997E-2</v>
      </c>
      <c r="U2146" s="163">
        <v>0.66599450999999998</v>
      </c>
      <c r="V2146" s="163">
        <v>0.10433021000000001</v>
      </c>
      <c r="W2146" s="163">
        <v>28.358654999999999</v>
      </c>
      <c r="X2146" s="163">
        <v>0.65292015999999997</v>
      </c>
      <c r="Y2146" s="163">
        <v>3264.0032999999999</v>
      </c>
      <c r="Z2146" s="163">
        <v>0.52540827999999995</v>
      </c>
      <c r="AA2146" s="40"/>
      <c r="AB2146" s="40"/>
      <c r="AC2146" s="40"/>
      <c r="AD2146" s="40"/>
      <c r="AE2146" s="40"/>
      <c r="AF2146" s="40"/>
      <c r="AG2146" s="40"/>
      <c r="AH2146" s="40"/>
      <c r="AI2146" s="40"/>
      <c r="AJ2146" s="40"/>
      <c r="AK2146" s="40"/>
      <c r="AL2146" s="40"/>
      <c r="AM2146" s="40"/>
      <c r="AN2146" s="40"/>
      <c r="AO2146" s="40"/>
      <c r="AP2146" s="40"/>
      <c r="AQ2146" s="40"/>
      <c r="AR2146" s="40"/>
      <c r="AS2146" s="40"/>
      <c r="AT2146" s="40"/>
      <c r="AU2146" s="40"/>
      <c r="AV2146" s="163">
        <v>189.62709000000001</v>
      </c>
      <c r="AW2146" s="40"/>
      <c r="AX2146" s="40"/>
      <c r="AY2146" s="281">
        <v>1769.6259</v>
      </c>
      <c r="AZ2146" s="40"/>
      <c r="BA2146" s="40"/>
      <c r="BB2146" s="40"/>
      <c r="BC2146" s="40">
        <v>24.946216</v>
      </c>
      <c r="BD2146" s="163">
        <v>75.318961000000002</v>
      </c>
      <c r="BE2146" s="163">
        <v>16.137274000000001</v>
      </c>
      <c r="BF2146" s="40"/>
      <c r="BG2146" s="40"/>
      <c r="BH2146" s="40"/>
      <c r="BI2146" s="40"/>
      <c r="BJ2146" s="40"/>
      <c r="BK2146" s="40"/>
      <c r="BL2146" s="62">
        <v>0</v>
      </c>
      <c r="BM2146" s="275">
        <v>3</v>
      </c>
      <c r="BN2146" s="62">
        <v>0.03</v>
      </c>
      <c r="BO2146" s="33" t="s">
        <v>746</v>
      </c>
    </row>
    <row r="2147" spans="1:67">
      <c r="A2147" s="33" t="str">
        <f>Database_Productkaarten[[#This Row],[Product]]&amp;", "&amp;Database_Productkaarten[[#This Row],[Levensfase]]</f>
        <v>Inspectieput prefab beton 1x1x1,2, A2</v>
      </c>
      <c r="B2147" s="33" t="s">
        <v>749</v>
      </c>
      <c r="C2147" s="33" t="s">
        <v>246</v>
      </c>
      <c r="D2147" s="33" t="s">
        <v>748</v>
      </c>
      <c r="E2147" s="33" t="s">
        <v>724</v>
      </c>
      <c r="F2147" s="33" t="s">
        <v>75</v>
      </c>
      <c r="G2147" s="33">
        <v>1</v>
      </c>
      <c r="H2147" s="33">
        <v>1</v>
      </c>
      <c r="I2147" s="33">
        <v>1.2</v>
      </c>
      <c r="M2147">
        <v>2.2905500000000001</v>
      </c>
      <c r="N2147" s="326">
        <v>1.8732842000000001</v>
      </c>
      <c r="O2147" s="33">
        <v>40</v>
      </c>
      <c r="P2147" s="163">
        <v>4.5084092000000002E-5</v>
      </c>
      <c r="Q2147" s="163">
        <v>0.1170173</v>
      </c>
      <c r="R2147" s="163">
        <v>15.853292</v>
      </c>
      <c r="S2147" s="163">
        <v>2.9214488000000001E-6</v>
      </c>
      <c r="T2147" s="163">
        <v>9.3571174999999996E-3</v>
      </c>
      <c r="U2147" s="163">
        <v>6.8730858000000006E-2</v>
      </c>
      <c r="V2147" s="163">
        <v>1.3696193000000001E-2</v>
      </c>
      <c r="W2147" s="163">
        <v>6.3425557000000001</v>
      </c>
      <c r="X2147" s="163">
        <v>0.18601862</v>
      </c>
      <c r="Y2147" s="163">
        <v>671.39634000000001</v>
      </c>
      <c r="Z2147" s="163">
        <v>2.2472487999999999E-2</v>
      </c>
      <c r="AA2147" s="40"/>
      <c r="AB2147" s="40"/>
      <c r="AC2147" s="40"/>
      <c r="AD2147" s="40"/>
      <c r="AE2147" s="40"/>
      <c r="AF2147" s="40"/>
      <c r="AG2147" s="40"/>
      <c r="AH2147" s="40"/>
      <c r="AI2147" s="40"/>
      <c r="AJ2147" s="40"/>
      <c r="AK2147" s="40"/>
      <c r="AL2147" s="40"/>
      <c r="AM2147" s="40"/>
      <c r="AN2147" s="40"/>
      <c r="AO2147" s="40"/>
      <c r="AP2147" s="40"/>
      <c r="AQ2147" s="40"/>
      <c r="AR2147" s="40"/>
      <c r="AS2147" s="40"/>
      <c r="AT2147" s="40"/>
      <c r="AU2147" s="40"/>
      <c r="AV2147" s="163">
        <v>3.3384768999999999</v>
      </c>
      <c r="AW2147" s="40"/>
      <c r="AX2147" s="40"/>
      <c r="AY2147" s="281">
        <v>260.86799999999999</v>
      </c>
      <c r="AZ2147" s="40"/>
      <c r="BA2147" s="40"/>
      <c r="BB2147" s="40"/>
      <c r="BC2147" s="40">
        <v>4.6916459000000001E-2</v>
      </c>
      <c r="BD2147" s="163">
        <v>1.8016245999999999E-3</v>
      </c>
      <c r="BE2147" s="163">
        <v>14.99489</v>
      </c>
      <c r="BF2147" s="40"/>
      <c r="BG2147" s="40"/>
      <c r="BH2147" s="40"/>
      <c r="BI2147" s="40"/>
      <c r="BJ2147" s="40"/>
      <c r="BK2147" s="40"/>
      <c r="BL2147" s="62">
        <v>0</v>
      </c>
      <c r="BM2147" s="275">
        <v>3</v>
      </c>
      <c r="BN2147" s="62">
        <v>0.03</v>
      </c>
      <c r="BO2147" s="33" t="s">
        <v>746</v>
      </c>
    </row>
    <row r="2148" spans="1:67">
      <c r="A2148" s="33" t="str">
        <f>Database_Productkaarten[[#This Row],[Product]]&amp;", "&amp;Database_Productkaarten[[#This Row],[Levensfase]]</f>
        <v>Inspectieput prefab beton 1x1x1,2, A3</v>
      </c>
      <c r="B2148" s="33" t="s">
        <v>749</v>
      </c>
      <c r="C2148" s="33" t="s">
        <v>246</v>
      </c>
      <c r="D2148" s="33" t="s">
        <v>748</v>
      </c>
      <c r="E2148" s="33" t="s">
        <v>724</v>
      </c>
      <c r="F2148" s="33" t="s">
        <v>76</v>
      </c>
      <c r="G2148" s="33">
        <v>1</v>
      </c>
      <c r="H2148" s="33">
        <v>1</v>
      </c>
      <c r="I2148" s="33">
        <v>1.2</v>
      </c>
      <c r="M2148">
        <v>2.2905500000000001</v>
      </c>
      <c r="N2148" s="326">
        <v>0.99770108999999996</v>
      </c>
      <c r="O2148" s="33">
        <v>40</v>
      </c>
      <c r="P2148" s="163">
        <v>3.8109874000000001E-6</v>
      </c>
      <c r="Q2148" s="163">
        <v>0.11454982</v>
      </c>
      <c r="R2148" s="163">
        <v>14.015608</v>
      </c>
      <c r="S2148" s="163">
        <v>9.6728150000000006E-7</v>
      </c>
      <c r="T2148" s="163">
        <v>2.3198605000000001E-3</v>
      </c>
      <c r="U2148" s="163">
        <v>2.5522006999999999E-2</v>
      </c>
      <c r="V2148" s="163">
        <v>5.7143884999999997E-3</v>
      </c>
      <c r="W2148" s="163">
        <v>1.1698097999999999</v>
      </c>
      <c r="X2148" s="163">
        <v>2.6768862000000001E-2</v>
      </c>
      <c r="Y2148" s="163">
        <v>131.37474</v>
      </c>
      <c r="Z2148" s="163">
        <v>1.9707275999999999E-2</v>
      </c>
      <c r="AA2148" s="40"/>
      <c r="AB2148" s="40"/>
      <c r="AC2148" s="40"/>
      <c r="AD2148" s="40"/>
      <c r="AE2148" s="40"/>
      <c r="AF2148" s="40"/>
      <c r="AG2148" s="40"/>
      <c r="AH2148" s="40"/>
      <c r="AI2148" s="40"/>
      <c r="AJ2148" s="40"/>
      <c r="AK2148" s="40"/>
      <c r="AL2148" s="40"/>
      <c r="AM2148" s="40"/>
      <c r="AN2148" s="40"/>
      <c r="AO2148" s="40"/>
      <c r="AP2148" s="40"/>
      <c r="AQ2148" s="40"/>
      <c r="AR2148" s="40"/>
      <c r="AS2148" s="40"/>
      <c r="AT2148" s="40"/>
      <c r="AU2148" s="40"/>
      <c r="AV2148" s="163">
        <v>17.747872999999998</v>
      </c>
      <c r="AW2148" s="40"/>
      <c r="AX2148" s="40"/>
      <c r="AY2148" s="281">
        <v>229.82328000000001</v>
      </c>
      <c r="AZ2148" s="40"/>
      <c r="BA2148" s="40"/>
      <c r="BB2148" s="40"/>
      <c r="BC2148" s="40">
        <v>4.5087540000000002E-2</v>
      </c>
      <c r="BD2148" s="163">
        <v>1.0086985000000001E-3</v>
      </c>
      <c r="BE2148" s="163">
        <v>0.44276526999999999</v>
      </c>
      <c r="BF2148" s="40"/>
      <c r="BG2148" s="40"/>
      <c r="BH2148" s="40"/>
      <c r="BI2148" s="40"/>
      <c r="BJ2148" s="40"/>
      <c r="BK2148" s="40"/>
      <c r="BL2148" s="62">
        <v>0</v>
      </c>
      <c r="BM2148" s="275">
        <v>3</v>
      </c>
      <c r="BN2148" s="62">
        <v>0.03</v>
      </c>
      <c r="BO2148" s="33" t="s">
        <v>746</v>
      </c>
    </row>
    <row r="2149" spans="1:67">
      <c r="A2149" s="33" t="str">
        <f>Database_Productkaarten[[#This Row],[Product]]&amp;", "&amp;Database_Productkaarten[[#This Row],[Levensfase]]</f>
        <v>Inspectieput prefab beton 1x1x1,2, A1-A3</v>
      </c>
      <c r="B2149" s="33" t="s">
        <v>749</v>
      </c>
      <c r="C2149" s="33" t="s">
        <v>246</v>
      </c>
      <c r="D2149" s="33" t="s">
        <v>748</v>
      </c>
      <c r="E2149" s="33" t="s">
        <v>724</v>
      </c>
      <c r="F2149" s="451" t="s">
        <v>77</v>
      </c>
      <c r="G2149" s="33">
        <v>1</v>
      </c>
      <c r="H2149" s="33">
        <v>1</v>
      </c>
      <c r="I2149" s="33">
        <v>1.2</v>
      </c>
      <c r="M2149">
        <v>2.2905500000000001</v>
      </c>
      <c r="N2149" s="41">
        <f>SUM(N2146:N2148)</f>
        <v>21.30051529</v>
      </c>
      <c r="O2149" s="33">
        <v>40</v>
      </c>
      <c r="P2149" s="40">
        <f t="shared" ref="P2149:Z2149" si="847">SUM(P2146:P2148)</f>
        <v>6.1338735939999996E-4</v>
      </c>
      <c r="Q2149" s="40">
        <f t="shared" si="847"/>
        <v>1.04432451</v>
      </c>
      <c r="R2149" s="40">
        <f t="shared" si="847"/>
        <v>262.46735999999999</v>
      </c>
      <c r="S2149" s="40">
        <f t="shared" si="847"/>
        <v>1.2042604899999999E-5</v>
      </c>
      <c r="T2149" s="40">
        <f t="shared" si="847"/>
        <v>7.9922090000000001E-2</v>
      </c>
      <c r="U2149" s="40">
        <f t="shared" si="847"/>
        <v>0.76024737499999995</v>
      </c>
      <c r="V2149" s="40">
        <f t="shared" si="847"/>
        <v>0.1237407915</v>
      </c>
      <c r="W2149" s="40">
        <f t="shared" si="847"/>
        <v>35.8710205</v>
      </c>
      <c r="X2149" s="40">
        <f t="shared" si="847"/>
        <v>0.86570764199999994</v>
      </c>
      <c r="Y2149" s="40">
        <f t="shared" si="847"/>
        <v>4066.7743799999998</v>
      </c>
      <c r="Z2149" s="40">
        <f t="shared" si="847"/>
        <v>0.56758804399999996</v>
      </c>
      <c r="AA2149" s="40"/>
      <c r="AB2149" s="40"/>
      <c r="AC2149" s="40"/>
      <c r="AD2149" s="40"/>
      <c r="AE2149" s="40"/>
      <c r="AF2149" s="40"/>
      <c r="AG2149" s="40"/>
      <c r="AH2149" s="40"/>
      <c r="AI2149" s="40"/>
      <c r="AJ2149" s="40"/>
      <c r="AK2149" s="40"/>
      <c r="AL2149" s="40"/>
      <c r="AM2149" s="40"/>
      <c r="AN2149" s="40"/>
      <c r="AO2149" s="40"/>
      <c r="AP2149" s="40"/>
      <c r="AQ2149" s="40"/>
      <c r="AR2149" s="40"/>
      <c r="AS2149" s="40"/>
      <c r="AT2149" s="40"/>
      <c r="AU2149" s="40"/>
      <c r="AV2149" s="40">
        <f>SUM(AV2146:AV2148)</f>
        <v>210.7134399</v>
      </c>
      <c r="AW2149" s="40"/>
      <c r="AX2149" s="40"/>
      <c r="AY2149" s="281">
        <f>SUM(AY2146:AY2148)</f>
        <v>2260.31718</v>
      </c>
      <c r="AZ2149" s="40"/>
      <c r="BA2149" s="40"/>
      <c r="BB2149" s="40"/>
      <c r="BC2149" s="40">
        <f>SUM(BC2146:BC2148)</f>
        <v>25.038219998999999</v>
      </c>
      <c r="BD2149" s="40">
        <f>SUM(BD2146:BD2148)</f>
        <v>75.321771323100009</v>
      </c>
      <c r="BE2149" s="40">
        <f>SUM(BE2146:BE2148)</f>
        <v>31.574929270000002</v>
      </c>
      <c r="BF2149" s="40"/>
      <c r="BG2149" s="40"/>
      <c r="BH2149" s="40"/>
      <c r="BI2149" s="40"/>
      <c r="BJ2149" s="40"/>
      <c r="BK2149" s="40"/>
      <c r="BL2149" s="62">
        <v>0</v>
      </c>
      <c r="BM2149" s="275">
        <v>3</v>
      </c>
      <c r="BN2149" s="62">
        <v>0.03</v>
      </c>
      <c r="BO2149" s="33" t="s">
        <v>746</v>
      </c>
    </row>
    <row r="2150" spans="1:67">
      <c r="A2150" s="33" t="str">
        <f>Database_Productkaarten[[#This Row],[Product]]&amp;", "&amp;Database_Productkaarten[[#This Row],[Levensfase]]</f>
        <v>Inspectieput prefab beton 1x1x1,2, A4</v>
      </c>
      <c r="B2150" s="33" t="s">
        <v>749</v>
      </c>
      <c r="C2150" s="33" t="s">
        <v>246</v>
      </c>
      <c r="D2150" s="33" t="s">
        <v>748</v>
      </c>
      <c r="E2150" s="33" t="s">
        <v>724</v>
      </c>
      <c r="F2150" s="33" t="s">
        <v>78</v>
      </c>
      <c r="G2150" s="33">
        <v>1</v>
      </c>
      <c r="H2150" s="33">
        <v>1</v>
      </c>
      <c r="I2150" s="33">
        <v>1.2</v>
      </c>
      <c r="M2150">
        <v>2.2905500000000001</v>
      </c>
      <c r="N2150" s="41">
        <v>5.3464273000000002</v>
      </c>
      <c r="O2150" s="33">
        <v>40</v>
      </c>
      <c r="P2150" s="40">
        <v>1.2867177999999999E-4</v>
      </c>
      <c r="Q2150" s="40">
        <v>0.33397201999999998</v>
      </c>
      <c r="R2150" s="40">
        <v>45.245922999999998</v>
      </c>
      <c r="S2150" s="40">
        <v>8.3379306000000003E-6</v>
      </c>
      <c r="T2150" s="40">
        <v>2.6705584000000001E-2</v>
      </c>
      <c r="U2150" s="40">
        <v>0.19616059</v>
      </c>
      <c r="V2150" s="40">
        <v>3.9089477999999997E-2</v>
      </c>
      <c r="W2150" s="40">
        <v>18.101904999999999</v>
      </c>
      <c r="X2150" s="40">
        <v>0.53090451999999999</v>
      </c>
      <c r="Y2150" s="40">
        <v>1916.1918000000001</v>
      </c>
      <c r="Z2150" s="40">
        <v>6.4137370999999999E-2</v>
      </c>
      <c r="AA2150" s="40"/>
      <c r="AB2150" s="40"/>
      <c r="AC2150" s="40"/>
      <c r="AD2150" s="40"/>
      <c r="AE2150" s="40"/>
      <c r="AF2150" s="40"/>
      <c r="AG2150" s="40"/>
      <c r="AH2150" s="40"/>
      <c r="AI2150" s="40"/>
      <c r="AJ2150" s="40"/>
      <c r="AK2150" s="40"/>
      <c r="AL2150" s="40"/>
      <c r="AM2150" s="40"/>
      <c r="AN2150" s="40"/>
      <c r="AO2150" s="40"/>
      <c r="AP2150" s="40"/>
      <c r="AQ2150" s="40"/>
      <c r="AR2150" s="40"/>
      <c r="AS2150" s="40"/>
      <c r="AT2150" s="40"/>
      <c r="AU2150" s="40"/>
      <c r="AV2150" s="40">
        <v>9.5281455000000008</v>
      </c>
      <c r="AW2150" s="40"/>
      <c r="AX2150" s="40"/>
      <c r="AY2150" s="281">
        <v>744.52761999999996</v>
      </c>
      <c r="AZ2150" s="40"/>
      <c r="BA2150" s="40"/>
      <c r="BB2150" s="40"/>
      <c r="BC2150" s="40">
        <v>0.13390142999999999</v>
      </c>
      <c r="BD2150" s="40">
        <v>5.1419079999999997E-3</v>
      </c>
      <c r="BE2150" s="40">
        <v>42.796011</v>
      </c>
      <c r="BF2150" s="40"/>
      <c r="BG2150" s="40"/>
      <c r="BH2150" s="40"/>
      <c r="BI2150" s="40"/>
      <c r="BJ2150" s="40"/>
      <c r="BK2150" s="40"/>
      <c r="BL2150" s="62">
        <v>0</v>
      </c>
      <c r="BM2150" s="275">
        <v>3</v>
      </c>
      <c r="BN2150" s="62">
        <v>0.03</v>
      </c>
      <c r="BO2150" s="33" t="s">
        <v>746</v>
      </c>
    </row>
    <row r="2151" spans="1:67">
      <c r="A2151" s="33" t="str">
        <f>Database_Productkaarten[[#This Row],[Product]]&amp;", "&amp;Database_Productkaarten[[#This Row],[Levensfase]]</f>
        <v>Inspectieput prefab beton 1x1x1,2, A5</v>
      </c>
      <c r="B2151" s="33" t="s">
        <v>749</v>
      </c>
      <c r="C2151" s="33" t="s">
        <v>246</v>
      </c>
      <c r="D2151" s="33" t="s">
        <v>748</v>
      </c>
      <c r="E2151" s="33" t="s">
        <v>724</v>
      </c>
      <c r="F2151" s="33" t="s">
        <v>79</v>
      </c>
      <c r="G2151" s="33">
        <v>1</v>
      </c>
      <c r="H2151" s="33">
        <v>1</v>
      </c>
      <c r="I2151" s="33">
        <v>1.2</v>
      </c>
      <c r="M2151">
        <v>2.2905500000000001</v>
      </c>
      <c r="N2151" s="41">
        <v>11.062136000000001</v>
      </c>
      <c r="O2151" s="33">
        <v>40</v>
      </c>
      <c r="P2151" s="40">
        <v>4.7921165999999998E-5</v>
      </c>
      <c r="Q2151" s="40">
        <v>0.57634987000000004</v>
      </c>
      <c r="R2151" s="40">
        <v>86.981797999999998</v>
      </c>
      <c r="S2151" s="40">
        <v>1.4591858E-5</v>
      </c>
      <c r="T2151" s="40">
        <v>8.1152161E-2</v>
      </c>
      <c r="U2151" s="40">
        <v>0.61374669999999998</v>
      </c>
      <c r="V2151" s="40">
        <v>0.13594749</v>
      </c>
      <c r="W2151" s="40">
        <v>29.044377000000001</v>
      </c>
      <c r="X2151" s="40">
        <v>0.42828998000000001</v>
      </c>
      <c r="Y2151" s="40">
        <v>1488.2628</v>
      </c>
      <c r="Z2151" s="40">
        <v>6.4955066000000006E-2</v>
      </c>
      <c r="AA2151" s="40"/>
      <c r="AB2151" s="40"/>
      <c r="AC2151" s="40"/>
      <c r="AD2151" s="40"/>
      <c r="AE2151" s="40"/>
      <c r="AF2151" s="40"/>
      <c r="AG2151" s="40"/>
      <c r="AH2151" s="40"/>
      <c r="AI2151" s="40"/>
      <c r="AJ2151" s="40"/>
      <c r="AK2151" s="40"/>
      <c r="AL2151" s="40"/>
      <c r="AM2151" s="40"/>
      <c r="AN2151" s="40"/>
      <c r="AO2151" s="40"/>
      <c r="AP2151" s="40"/>
      <c r="AQ2151" s="40"/>
      <c r="AR2151" s="40"/>
      <c r="AS2151" s="40"/>
      <c r="AT2151" s="40"/>
      <c r="AU2151" s="40"/>
      <c r="AV2151" s="40">
        <v>12.968415999999999</v>
      </c>
      <c r="AW2151" s="40"/>
      <c r="AX2151" s="40"/>
      <c r="AY2151" s="281">
        <v>1290.5496000000001</v>
      </c>
      <c r="AZ2151" s="40"/>
      <c r="BA2151" s="40"/>
      <c r="BB2151" s="40"/>
      <c r="BC2151" s="40">
        <v>0.76028017999999997</v>
      </c>
      <c r="BD2151" s="40">
        <v>2.2681222000000001</v>
      </c>
      <c r="BE2151" s="40">
        <v>4.7449197999999999</v>
      </c>
      <c r="BF2151" s="40"/>
      <c r="BG2151" s="40"/>
      <c r="BH2151" s="40"/>
      <c r="BI2151" s="40"/>
      <c r="BJ2151" s="40"/>
      <c r="BK2151" s="40"/>
      <c r="BL2151" s="62">
        <v>0</v>
      </c>
      <c r="BM2151" s="275">
        <v>3</v>
      </c>
      <c r="BN2151" s="62">
        <v>0.03</v>
      </c>
      <c r="BO2151" s="33" t="s">
        <v>746</v>
      </c>
    </row>
    <row r="2152" spans="1:67">
      <c r="A2152" s="33" t="str">
        <f>Database_Productkaarten[[#This Row],[Product]]&amp;", "&amp;Database_Productkaarten[[#This Row],[Levensfase]]</f>
        <v>Inspectieput prefab beton 1x1x1,2, B1</v>
      </c>
      <c r="B2152" s="33" t="s">
        <v>749</v>
      </c>
      <c r="C2152" s="33" t="s">
        <v>246</v>
      </c>
      <c r="D2152" s="33" t="s">
        <v>748</v>
      </c>
      <c r="E2152" s="33" t="s">
        <v>724</v>
      </c>
      <c r="F2152" s="33" t="s">
        <v>80</v>
      </c>
      <c r="G2152" s="33">
        <v>1</v>
      </c>
      <c r="H2152" s="33">
        <v>1</v>
      </c>
      <c r="I2152" s="33">
        <v>1.2</v>
      </c>
      <c r="M2152">
        <v>2.2905500000000001</v>
      </c>
      <c r="N2152" s="41">
        <v>0</v>
      </c>
      <c r="O2152" s="33">
        <v>40</v>
      </c>
      <c r="P2152" s="40">
        <v>0</v>
      </c>
      <c r="Q2152" s="40">
        <v>0</v>
      </c>
      <c r="R2152" s="40">
        <v>0</v>
      </c>
      <c r="S2152" s="40">
        <v>0</v>
      </c>
      <c r="T2152" s="40">
        <v>0</v>
      </c>
      <c r="U2152" s="40">
        <v>0</v>
      </c>
      <c r="V2152" s="40">
        <v>0</v>
      </c>
      <c r="W2152" s="40">
        <v>0</v>
      </c>
      <c r="X2152" s="40">
        <v>0</v>
      </c>
      <c r="Y2152" s="40">
        <v>0</v>
      </c>
      <c r="Z2152" s="40">
        <v>0</v>
      </c>
      <c r="AA2152" s="40"/>
      <c r="AB2152" s="40"/>
      <c r="AC2152" s="40"/>
      <c r="AD2152" s="40"/>
      <c r="AE2152" s="40"/>
      <c r="AF2152" s="40"/>
      <c r="AG2152" s="40"/>
      <c r="AH2152" s="40"/>
      <c r="AI2152" s="40"/>
      <c r="AJ2152" s="40"/>
      <c r="AK2152" s="40"/>
      <c r="AL2152" s="40"/>
      <c r="AM2152" s="40"/>
      <c r="AN2152" s="40"/>
      <c r="AO2152" s="40"/>
      <c r="AP2152" s="40"/>
      <c r="AQ2152" s="40"/>
      <c r="AR2152" s="40"/>
      <c r="AS2152" s="40"/>
      <c r="AT2152" s="40"/>
      <c r="AU2152" s="40"/>
      <c r="AV2152" s="40">
        <v>0</v>
      </c>
      <c r="AW2152" s="40"/>
      <c r="AX2152" s="40"/>
      <c r="AY2152" s="281">
        <v>0</v>
      </c>
      <c r="AZ2152" s="40"/>
      <c r="BA2152" s="40"/>
      <c r="BB2152" s="40"/>
      <c r="BC2152" s="40">
        <v>0</v>
      </c>
      <c r="BD2152" s="40">
        <v>0</v>
      </c>
      <c r="BE2152" s="40">
        <v>0</v>
      </c>
      <c r="BF2152" s="40"/>
      <c r="BG2152" s="40"/>
      <c r="BH2152" s="40"/>
      <c r="BI2152" s="40"/>
      <c r="BJ2152" s="40"/>
      <c r="BK2152" s="40"/>
      <c r="BL2152" s="62">
        <v>0</v>
      </c>
      <c r="BM2152" s="275">
        <v>3</v>
      </c>
      <c r="BN2152" s="62">
        <v>0.03</v>
      </c>
      <c r="BO2152" s="33" t="s">
        <v>746</v>
      </c>
    </row>
    <row r="2153" spans="1:67">
      <c r="A2153" s="33" t="str">
        <f>Database_Productkaarten[[#This Row],[Product]]&amp;", "&amp;Database_Productkaarten[[#This Row],[Levensfase]]</f>
        <v>Inspectieput prefab beton 1x1x1,2, C1</v>
      </c>
      <c r="B2153" s="33" t="s">
        <v>749</v>
      </c>
      <c r="C2153" s="33" t="s">
        <v>246</v>
      </c>
      <c r="D2153" s="33" t="s">
        <v>748</v>
      </c>
      <c r="E2153" s="33" t="s">
        <v>724</v>
      </c>
      <c r="F2153" s="33" t="s">
        <v>83</v>
      </c>
      <c r="G2153" s="33">
        <v>1</v>
      </c>
      <c r="H2153" s="33">
        <v>1</v>
      </c>
      <c r="I2153" s="33">
        <v>1.2</v>
      </c>
      <c r="M2153">
        <v>2.2905500000000001</v>
      </c>
      <c r="N2153" s="41">
        <v>4.8945885999999996</v>
      </c>
      <c r="O2153" s="33">
        <v>40</v>
      </c>
      <c r="P2153" s="40">
        <v>1.2383488999999999E-5</v>
      </c>
      <c r="Q2153" s="40">
        <v>0.25514048</v>
      </c>
      <c r="R2153" s="40">
        <v>36.978923000000002</v>
      </c>
      <c r="S2153" s="40">
        <v>6.6607175999999999E-6</v>
      </c>
      <c r="T2153" s="40">
        <v>3.7273821999999998E-2</v>
      </c>
      <c r="U2153" s="40">
        <v>0.27980083</v>
      </c>
      <c r="V2153" s="40">
        <v>6.2653322999999997E-2</v>
      </c>
      <c r="W2153" s="40">
        <v>13.090294</v>
      </c>
      <c r="X2153" s="40">
        <v>0.18306644</v>
      </c>
      <c r="Y2153" s="40">
        <v>620.56440999999995</v>
      </c>
      <c r="Z2153" s="40">
        <v>2.1873515E-2</v>
      </c>
      <c r="AA2153" s="40"/>
      <c r="AB2153" s="40"/>
      <c r="AC2153" s="40"/>
      <c r="AD2153" s="40"/>
      <c r="AE2153" s="40"/>
      <c r="AF2153" s="40"/>
      <c r="AG2153" s="40"/>
      <c r="AH2153" s="40"/>
      <c r="AI2153" s="40"/>
      <c r="AJ2153" s="40"/>
      <c r="AK2153" s="40"/>
      <c r="AL2153" s="40"/>
      <c r="AM2153" s="40"/>
      <c r="AN2153" s="40"/>
      <c r="AO2153" s="40"/>
      <c r="AP2153" s="40"/>
      <c r="AQ2153" s="40"/>
      <c r="AR2153" s="40"/>
      <c r="AS2153" s="40"/>
      <c r="AT2153" s="40"/>
      <c r="AU2153" s="40"/>
      <c r="AV2153" s="40">
        <v>3.0729443999999999</v>
      </c>
      <c r="AW2153" s="40"/>
      <c r="AX2153" s="40"/>
      <c r="AY2153" s="281">
        <v>572.33023000000003</v>
      </c>
      <c r="AZ2153" s="40"/>
      <c r="BA2153" s="40"/>
      <c r="BB2153" s="40"/>
      <c r="BC2153" s="40">
        <v>4.7185791999999997E-2</v>
      </c>
      <c r="BD2153" s="40">
        <v>3.9623063999999998E-3</v>
      </c>
      <c r="BE2153" s="40">
        <v>0.58399765999999997</v>
      </c>
      <c r="BF2153" s="40"/>
      <c r="BG2153" s="40"/>
      <c r="BH2153" s="40"/>
      <c r="BI2153" s="40"/>
      <c r="BJ2153" s="40"/>
      <c r="BK2153" s="40"/>
      <c r="BL2153" s="62">
        <v>0</v>
      </c>
      <c r="BM2153" s="275">
        <v>3</v>
      </c>
      <c r="BN2153" s="62">
        <v>0.03</v>
      </c>
      <c r="BO2153" s="33" t="s">
        <v>746</v>
      </c>
    </row>
    <row r="2154" spans="1:67">
      <c r="A2154" s="33" t="str">
        <f>Database_Productkaarten[[#This Row],[Product]]&amp;", "&amp;Database_Productkaarten[[#This Row],[Levensfase]]</f>
        <v>Inspectieput prefab beton 1x1x1,2, C2</v>
      </c>
      <c r="B2154" s="33" t="s">
        <v>749</v>
      </c>
      <c r="C2154" s="33" t="s">
        <v>246</v>
      </c>
      <c r="D2154" s="33" t="s">
        <v>748</v>
      </c>
      <c r="E2154" s="33" t="s">
        <v>724</v>
      </c>
      <c r="F2154" s="33" t="s">
        <v>84</v>
      </c>
      <c r="G2154" s="33">
        <v>1</v>
      </c>
      <c r="H2154" s="33">
        <v>1</v>
      </c>
      <c r="I2154" s="33">
        <v>1.2</v>
      </c>
      <c r="M2154">
        <v>2.2905500000000001</v>
      </c>
      <c r="N2154" s="41">
        <v>1.7977635000000001</v>
      </c>
      <c r="O2154" s="33">
        <v>40</v>
      </c>
      <c r="P2154" s="40">
        <v>4.3266545E-5</v>
      </c>
      <c r="Q2154" s="40">
        <v>0.11229980000000001</v>
      </c>
      <c r="R2154" s="40">
        <v>15.214173000000001</v>
      </c>
      <c r="S2154" s="40">
        <v>2.8036718000000001E-6</v>
      </c>
      <c r="T2154" s="40">
        <v>8.9798892000000005E-3</v>
      </c>
      <c r="U2154" s="40">
        <v>6.5960002000000004E-2</v>
      </c>
      <c r="V2154" s="40">
        <v>1.3144037000000001E-2</v>
      </c>
      <c r="W2154" s="40">
        <v>6.0868582</v>
      </c>
      <c r="X2154" s="40">
        <v>0.17851935999999999</v>
      </c>
      <c r="Y2154" s="40">
        <v>644.32928000000004</v>
      </c>
      <c r="Z2154" s="40">
        <v>2.1566518999999999E-2</v>
      </c>
      <c r="AA2154" s="40"/>
      <c r="AB2154" s="40"/>
      <c r="AC2154" s="40"/>
      <c r="AD2154" s="40"/>
      <c r="AE2154" s="40"/>
      <c r="AF2154" s="40"/>
      <c r="AG2154" s="40"/>
      <c r="AH2154" s="40"/>
      <c r="AI2154" s="40"/>
      <c r="AJ2154" s="40"/>
      <c r="AK2154" s="40"/>
      <c r="AL2154" s="40"/>
      <c r="AM2154" s="40"/>
      <c r="AN2154" s="40"/>
      <c r="AO2154" s="40"/>
      <c r="AP2154" s="40"/>
      <c r="AQ2154" s="40"/>
      <c r="AR2154" s="40"/>
      <c r="AS2154" s="40"/>
      <c r="AT2154" s="40"/>
      <c r="AU2154" s="40"/>
      <c r="AV2154" s="40">
        <v>3.2038875999999998</v>
      </c>
      <c r="AW2154" s="40"/>
      <c r="AX2154" s="40"/>
      <c r="AY2154" s="281">
        <v>250.35122000000001</v>
      </c>
      <c r="AZ2154" s="40"/>
      <c r="BA2154" s="40"/>
      <c r="BB2154" s="40"/>
      <c r="BC2154" s="40">
        <v>4.5025042000000001E-2</v>
      </c>
      <c r="BD2154" s="40">
        <v>1.7289928E-3</v>
      </c>
      <c r="BE2154" s="40">
        <v>14.390377000000001</v>
      </c>
      <c r="BF2154" s="40"/>
      <c r="BG2154" s="40"/>
      <c r="BH2154" s="40"/>
      <c r="BI2154" s="40"/>
      <c r="BJ2154" s="40"/>
      <c r="BK2154" s="40"/>
      <c r="BL2154" s="62">
        <v>0</v>
      </c>
      <c r="BM2154" s="275">
        <v>3</v>
      </c>
      <c r="BN2154" s="62">
        <v>0.03</v>
      </c>
      <c r="BO2154" s="33" t="s">
        <v>746</v>
      </c>
    </row>
    <row r="2155" spans="1:67">
      <c r="A2155" s="33" t="str">
        <f>Database_Productkaarten[[#This Row],[Product]]&amp;", "&amp;Database_Productkaarten[[#This Row],[Levensfase]]</f>
        <v>Inspectieput prefab beton 1x1x1,2, C3</v>
      </c>
      <c r="B2155" s="33" t="s">
        <v>749</v>
      </c>
      <c r="C2155" s="33" t="s">
        <v>246</v>
      </c>
      <c r="D2155" s="33" t="s">
        <v>748</v>
      </c>
      <c r="E2155" s="33" t="s">
        <v>724</v>
      </c>
      <c r="F2155" s="33" t="s">
        <v>85</v>
      </c>
      <c r="G2155" s="33">
        <v>1</v>
      </c>
      <c r="H2155" s="33">
        <v>1</v>
      </c>
      <c r="I2155" s="33">
        <v>1.2</v>
      </c>
      <c r="M2155">
        <v>2.2905500000000001</v>
      </c>
      <c r="N2155" s="41">
        <v>0.82805432000000001</v>
      </c>
      <c r="O2155" s="33">
        <v>40</v>
      </c>
      <c r="P2155" s="40">
        <v>2.3919269000000001E-6</v>
      </c>
      <c r="Q2155" s="40">
        <v>2.7937097000000001E-2</v>
      </c>
      <c r="R2155" s="40">
        <v>12.615841</v>
      </c>
      <c r="S2155" s="40">
        <v>4.3775194999999999E-7</v>
      </c>
      <c r="T2155" s="40">
        <v>2.0705636999999999E-3</v>
      </c>
      <c r="U2155" s="40">
        <v>1.7693691000000001E-2</v>
      </c>
      <c r="V2155" s="40">
        <v>4.0733907000000003E-3</v>
      </c>
      <c r="W2155" s="40">
        <v>0.82856708000000001</v>
      </c>
      <c r="X2155" s="40">
        <v>1.4994788E-2</v>
      </c>
      <c r="Y2155" s="40">
        <v>55.073518</v>
      </c>
      <c r="Z2155" s="40">
        <v>1.1236365999999999E-2</v>
      </c>
      <c r="AA2155" s="40"/>
      <c r="AB2155" s="40"/>
      <c r="AC2155" s="40"/>
      <c r="AD2155" s="40"/>
      <c r="AE2155" s="40"/>
      <c r="AF2155" s="40"/>
      <c r="AG2155" s="40"/>
      <c r="AH2155" s="40"/>
      <c r="AI2155" s="40"/>
      <c r="AJ2155" s="40"/>
      <c r="AK2155" s="40"/>
      <c r="AL2155" s="40"/>
      <c r="AM2155" s="40"/>
      <c r="AN2155" s="40"/>
      <c r="AO2155" s="40"/>
      <c r="AP2155" s="40"/>
      <c r="AQ2155" s="40"/>
      <c r="AR2155" s="40"/>
      <c r="AS2155" s="40"/>
      <c r="AT2155" s="40"/>
      <c r="AU2155" s="40"/>
      <c r="AV2155" s="40">
        <v>2.9902503</v>
      </c>
      <c r="AW2155" s="40"/>
      <c r="AX2155" s="40"/>
      <c r="AY2155" s="281">
        <v>58.506838999999999</v>
      </c>
      <c r="AZ2155" s="40"/>
      <c r="BA2155" s="40"/>
      <c r="BB2155" s="40"/>
      <c r="BC2155" s="40">
        <v>2.1921706999999999E-2</v>
      </c>
      <c r="BD2155" s="40">
        <v>3.4237660000000002E-4</v>
      </c>
      <c r="BE2155" s="40">
        <v>7.1617404000000002</v>
      </c>
      <c r="BF2155" s="40"/>
      <c r="BG2155" s="40"/>
      <c r="BH2155" s="40"/>
      <c r="BI2155" s="40"/>
      <c r="BJ2155" s="40"/>
      <c r="BK2155" s="40"/>
      <c r="BL2155" s="62">
        <v>0</v>
      </c>
      <c r="BM2155" s="275">
        <v>3</v>
      </c>
      <c r="BN2155" s="62">
        <v>0.03</v>
      </c>
      <c r="BO2155" s="33" t="s">
        <v>746</v>
      </c>
    </row>
    <row r="2156" spans="1:67">
      <c r="A2156" s="33" t="str">
        <f>Database_Productkaarten[[#This Row],[Product]]&amp;", "&amp;Database_Productkaarten[[#This Row],[Levensfase]]</f>
        <v>Inspectieput prefab beton 1x1x1,2, C4</v>
      </c>
      <c r="B2156" s="33" t="s">
        <v>749</v>
      </c>
      <c r="C2156" s="33" t="s">
        <v>246</v>
      </c>
      <c r="D2156" s="33" t="s">
        <v>748</v>
      </c>
      <c r="E2156" s="33" t="s">
        <v>724</v>
      </c>
      <c r="F2156" s="33" t="s">
        <v>86</v>
      </c>
      <c r="G2156" s="33">
        <v>1</v>
      </c>
      <c r="H2156" s="33">
        <v>1</v>
      </c>
      <c r="I2156" s="33">
        <v>1.2</v>
      </c>
      <c r="M2156">
        <v>2.2905500000000001</v>
      </c>
      <c r="N2156" s="41">
        <v>1.6735355E-2</v>
      </c>
      <c r="O2156" s="33">
        <v>40</v>
      </c>
      <c r="P2156" s="40">
        <v>1.3948705999999999E-7</v>
      </c>
      <c r="Q2156" s="40">
        <v>1.6631687E-3</v>
      </c>
      <c r="R2156" s="40">
        <v>0.12221211</v>
      </c>
      <c r="S2156" s="40">
        <v>4.0450286E-8</v>
      </c>
      <c r="T2156" s="40">
        <v>1.2951126000000001E-4</v>
      </c>
      <c r="U2156" s="40">
        <v>9.0307351000000003E-4</v>
      </c>
      <c r="V2156" s="40">
        <v>1.6996044000000001E-4</v>
      </c>
      <c r="W2156" s="40">
        <v>4.9825494999999997E-2</v>
      </c>
      <c r="X2156" s="40">
        <v>1.2389668E-3</v>
      </c>
      <c r="Y2156" s="40">
        <v>4.2612838000000002</v>
      </c>
      <c r="Z2156" s="40">
        <v>1.4756127E-4</v>
      </c>
      <c r="AA2156" s="40"/>
      <c r="AB2156" s="40"/>
      <c r="AC2156" s="40"/>
      <c r="AD2156" s="40"/>
      <c r="AE2156" s="40"/>
      <c r="AF2156" s="40"/>
      <c r="AG2156" s="40"/>
      <c r="AH2156" s="40"/>
      <c r="AI2156" s="40"/>
      <c r="AJ2156" s="40"/>
      <c r="AK2156" s="40"/>
      <c r="AL2156" s="40"/>
      <c r="AM2156" s="40"/>
      <c r="AN2156" s="40"/>
      <c r="AO2156" s="40"/>
      <c r="AP2156" s="40"/>
      <c r="AQ2156" s="40"/>
      <c r="AR2156" s="40"/>
      <c r="AS2156" s="40"/>
      <c r="AT2156" s="40"/>
      <c r="AU2156" s="40"/>
      <c r="AV2156" s="40">
        <v>8.9086505999999996E-2</v>
      </c>
      <c r="AW2156" s="40"/>
      <c r="AX2156" s="40"/>
      <c r="AY2156" s="281">
        <v>3.7152191999999999</v>
      </c>
      <c r="AZ2156" s="40"/>
      <c r="BA2156" s="40"/>
      <c r="BB2156" s="40"/>
      <c r="BC2156" s="40">
        <v>3.7444664999999999E-3</v>
      </c>
      <c r="BD2156" s="40">
        <v>2.5237209000000001E-5</v>
      </c>
      <c r="BE2156" s="40">
        <v>22.869610000000002</v>
      </c>
      <c r="BF2156" s="40"/>
      <c r="BG2156" s="40"/>
      <c r="BH2156" s="40"/>
      <c r="BI2156" s="40"/>
      <c r="BJ2156" s="40"/>
      <c r="BK2156" s="40"/>
      <c r="BL2156" s="62">
        <v>0</v>
      </c>
      <c r="BM2156" s="275">
        <v>3</v>
      </c>
      <c r="BN2156" s="62">
        <v>0.03</v>
      </c>
      <c r="BO2156" s="33" t="s">
        <v>746</v>
      </c>
    </row>
    <row r="2157" spans="1:67">
      <c r="A2157" s="33" t="str">
        <f>Database_Productkaarten[[#This Row],[Product]]&amp;", "&amp;Database_Productkaarten[[#This Row],[Levensfase]]</f>
        <v>Inspectieput prefab beton 1x1x1,2, D</v>
      </c>
      <c r="B2157" s="33" t="s">
        <v>749</v>
      </c>
      <c r="C2157" s="33" t="s">
        <v>246</v>
      </c>
      <c r="D2157" s="33" t="s">
        <v>748</v>
      </c>
      <c r="E2157" s="33" t="s">
        <v>724</v>
      </c>
      <c r="F2157" s="33" t="s">
        <v>89</v>
      </c>
      <c r="G2157" s="33">
        <v>1</v>
      </c>
      <c r="H2157" s="33">
        <v>1</v>
      </c>
      <c r="I2157" s="33">
        <v>1.2</v>
      </c>
      <c r="M2157">
        <v>2.2905500000000001</v>
      </c>
      <c r="N2157" s="326">
        <v>-1.2113395</v>
      </c>
      <c r="O2157" s="33">
        <v>40</v>
      </c>
      <c r="P2157" s="163">
        <v>-5.2366461999999997E-5</v>
      </c>
      <c r="Q2157" s="163">
        <v>-6.6120869999999998E-2</v>
      </c>
      <c r="R2157" s="163">
        <v>-9.9776612</v>
      </c>
      <c r="S2157" s="163">
        <v>-8.4810471000000002E-7</v>
      </c>
      <c r="T2157" s="163">
        <v>-6.9657825E-3</v>
      </c>
      <c r="U2157" s="163">
        <v>-5.6669992000000002E-2</v>
      </c>
      <c r="V2157" s="163">
        <v>-9.2590549000000008E-3</v>
      </c>
      <c r="W2157" s="163">
        <v>-3.8669823999999999</v>
      </c>
      <c r="X2157" s="163">
        <v>-5.6320135E-2</v>
      </c>
      <c r="Y2157" s="163">
        <v>-268.68964</v>
      </c>
      <c r="Z2157" s="163">
        <v>-2.1887269000000001E-2</v>
      </c>
      <c r="AA2157" s="40"/>
      <c r="AB2157" s="40"/>
      <c r="AC2157" s="40"/>
      <c r="AD2157" s="40"/>
      <c r="AE2157" s="40"/>
      <c r="AF2157" s="40"/>
      <c r="AG2157" s="40"/>
      <c r="AH2157" s="40"/>
      <c r="AI2157" s="40"/>
      <c r="AJ2157" s="40"/>
      <c r="AK2157" s="40"/>
      <c r="AL2157" s="40"/>
      <c r="AM2157" s="40"/>
      <c r="AN2157" s="40"/>
      <c r="AO2157" s="40"/>
      <c r="AP2157" s="40"/>
      <c r="AQ2157" s="40"/>
      <c r="AR2157" s="40"/>
      <c r="AS2157" s="40"/>
      <c r="AT2157" s="40"/>
      <c r="AU2157" s="40"/>
      <c r="AV2157" s="163">
        <v>-8.1189060000000008</v>
      </c>
      <c r="AW2157" s="40"/>
      <c r="AX2157" s="40"/>
      <c r="AY2157" s="281">
        <v>-132.85306</v>
      </c>
      <c r="AZ2157" s="40"/>
      <c r="BA2157" s="40"/>
      <c r="BB2157" s="40"/>
      <c r="BC2157" s="40">
        <v>-3.1842356999999999</v>
      </c>
      <c r="BD2157" s="163">
        <v>-7.1076378000000003E-4</v>
      </c>
      <c r="BE2157" s="163">
        <v>-1.2744759999999999</v>
      </c>
      <c r="BF2157" s="40"/>
      <c r="BG2157" s="40"/>
      <c r="BH2157" s="40"/>
      <c r="BI2157" s="40"/>
      <c r="BJ2157" s="40"/>
      <c r="BK2157" s="40"/>
      <c r="BL2157" s="62">
        <v>0</v>
      </c>
      <c r="BM2157" s="275">
        <v>3</v>
      </c>
      <c r="BN2157" s="62">
        <v>0.03</v>
      </c>
      <c r="BO2157" s="33" t="s">
        <v>746</v>
      </c>
    </row>
    <row r="2158" spans="1:67">
      <c r="A2158" s="33" t="str">
        <f>Database_Productkaarten[[#This Row],[Product]]&amp;", "&amp;Database_Productkaarten[[#This Row],[Levensfase]]</f>
        <v>Inspectieput prefab beton 1x1x1,2, D1</v>
      </c>
      <c r="B2158" s="33" t="s">
        <v>749</v>
      </c>
      <c r="C2158" s="33" t="s">
        <v>246</v>
      </c>
      <c r="D2158" s="33" t="s">
        <v>748</v>
      </c>
      <c r="E2158" s="33" t="s">
        <v>724</v>
      </c>
      <c r="F2158" s="33" t="s">
        <v>87</v>
      </c>
      <c r="G2158" s="33">
        <v>1</v>
      </c>
      <c r="H2158" s="33">
        <v>1</v>
      </c>
      <c r="I2158" s="33">
        <v>1.2</v>
      </c>
      <c r="M2158">
        <v>2.2905500000000001</v>
      </c>
      <c r="N2158" s="41"/>
      <c r="O2158" s="33">
        <v>40</v>
      </c>
      <c r="P2158" s="40"/>
      <c r="Q2158" s="40"/>
      <c r="R2158" s="40"/>
      <c r="S2158" s="40"/>
      <c r="T2158" s="40"/>
      <c r="U2158" s="40"/>
      <c r="V2158" s="40"/>
      <c r="W2158" s="40"/>
      <c r="X2158" s="40"/>
      <c r="Y2158" s="40"/>
      <c r="Z2158" s="40"/>
      <c r="AA2158" s="40"/>
      <c r="AB2158" s="40"/>
      <c r="AC2158" s="40"/>
      <c r="AD2158" s="40"/>
      <c r="AE2158" s="40"/>
      <c r="AF2158" s="40"/>
      <c r="AG2158" s="40"/>
      <c r="AH2158" s="40"/>
      <c r="AI2158" s="40"/>
      <c r="AJ2158" s="40"/>
      <c r="AK2158" s="40"/>
      <c r="AL2158" s="40"/>
      <c r="AM2158" s="40"/>
      <c r="AN2158" s="40"/>
      <c r="AO2158" s="40"/>
      <c r="AP2158" s="40"/>
      <c r="AQ2158" s="40"/>
      <c r="AR2158" s="40"/>
      <c r="AS2158" s="40"/>
      <c r="AT2158" s="40"/>
      <c r="AU2158" s="40"/>
      <c r="AV2158" s="40"/>
      <c r="AW2158" s="40"/>
      <c r="AX2158" s="40"/>
      <c r="AY2158" s="281"/>
      <c r="AZ2158" s="40"/>
      <c r="BA2158" s="40"/>
      <c r="BB2158" s="40"/>
      <c r="BC2158" s="40"/>
      <c r="BD2158" s="40"/>
      <c r="BE2158" s="40"/>
      <c r="BF2158" s="40"/>
      <c r="BG2158" s="40"/>
      <c r="BH2158" s="40"/>
      <c r="BI2158" s="40"/>
      <c r="BJ2158" s="40"/>
      <c r="BK2158" s="40"/>
      <c r="BL2158" s="62">
        <v>0</v>
      </c>
      <c r="BM2158" s="275">
        <v>3</v>
      </c>
      <c r="BN2158" s="62">
        <v>0.03</v>
      </c>
      <c r="BO2158" s="33" t="s">
        <v>746</v>
      </c>
    </row>
    <row r="2159" spans="1:67">
      <c r="A2159" s="33" t="str">
        <f>Database_Productkaarten[[#This Row],[Product]]&amp;", "&amp;Database_Productkaarten[[#This Row],[Levensfase]]</f>
        <v>Inspectieput prefab beton 1x1x1,2, D2</v>
      </c>
      <c r="B2159" s="33" t="s">
        <v>749</v>
      </c>
      <c r="C2159" s="33" t="s">
        <v>246</v>
      </c>
      <c r="D2159" s="33" t="s">
        <v>748</v>
      </c>
      <c r="E2159" s="33" t="s">
        <v>724</v>
      </c>
      <c r="F2159" s="33" t="s">
        <v>88</v>
      </c>
      <c r="G2159" s="33">
        <v>1</v>
      </c>
      <c r="H2159" s="33">
        <v>1</v>
      </c>
      <c r="I2159" s="33">
        <v>1.2</v>
      </c>
      <c r="M2159">
        <v>2.2905500000000001</v>
      </c>
      <c r="N2159" s="41"/>
      <c r="O2159" s="33">
        <v>40</v>
      </c>
      <c r="P2159" s="40"/>
      <c r="Q2159" s="40"/>
      <c r="R2159" s="40"/>
      <c r="S2159" s="40"/>
      <c r="T2159" s="40"/>
      <c r="U2159" s="40"/>
      <c r="V2159" s="40"/>
      <c r="W2159" s="40"/>
      <c r="X2159" s="40"/>
      <c r="Y2159" s="40"/>
      <c r="Z2159" s="40"/>
      <c r="AA2159" s="40"/>
      <c r="AB2159" s="40"/>
      <c r="AC2159" s="40"/>
      <c r="AD2159" s="40"/>
      <c r="AE2159" s="40"/>
      <c r="AF2159" s="40"/>
      <c r="AG2159" s="40"/>
      <c r="AH2159" s="40"/>
      <c r="AI2159" s="40"/>
      <c r="AJ2159" s="40"/>
      <c r="AK2159" s="40"/>
      <c r="AL2159" s="40"/>
      <c r="AM2159" s="40"/>
      <c r="AN2159" s="40"/>
      <c r="AO2159" s="40"/>
      <c r="AP2159" s="40"/>
      <c r="AQ2159" s="40"/>
      <c r="AR2159" s="40"/>
      <c r="AS2159" s="40"/>
      <c r="AT2159" s="40"/>
      <c r="AU2159" s="40"/>
      <c r="AV2159" s="40"/>
      <c r="AW2159" s="40"/>
      <c r="AX2159" s="40"/>
      <c r="AY2159" s="281"/>
      <c r="AZ2159" s="40"/>
      <c r="BA2159" s="40"/>
      <c r="BB2159" s="40"/>
      <c r="BC2159" s="40"/>
      <c r="BD2159" s="40"/>
      <c r="BE2159" s="40"/>
      <c r="BF2159" s="40"/>
      <c r="BG2159" s="40"/>
      <c r="BH2159" s="40"/>
      <c r="BI2159" s="40"/>
      <c r="BJ2159" s="40"/>
      <c r="BK2159" s="40"/>
      <c r="BL2159" s="62">
        <v>0</v>
      </c>
      <c r="BM2159" s="275">
        <v>3</v>
      </c>
      <c r="BN2159" s="62">
        <v>0.03</v>
      </c>
      <c r="BO2159" s="33" t="s">
        <v>746</v>
      </c>
    </row>
    <row r="2160" spans="1:67">
      <c r="A2160" s="33" t="str">
        <f>Database_Productkaarten[[#This Row],[Product]]&amp;", "&amp;Database_Productkaarten[[#This Row],[Levensfase]]</f>
        <v>Inspectieput prefab beton 2x2x2,4 met wapening, Totaal</v>
      </c>
      <c r="B2160" s="33" t="s">
        <v>750</v>
      </c>
      <c r="C2160" s="33" t="s">
        <v>246</v>
      </c>
      <c r="D2160" s="33" t="s">
        <v>748</v>
      </c>
      <c r="E2160" s="33" t="s">
        <v>724</v>
      </c>
      <c r="F2160" s="33" t="s">
        <v>90</v>
      </c>
      <c r="G2160" s="33">
        <v>2</v>
      </c>
      <c r="H2160" s="33">
        <v>2</v>
      </c>
      <c r="I2160" s="33">
        <v>2.4</v>
      </c>
      <c r="M2160">
        <v>13.40347</v>
      </c>
      <c r="N2160" s="41">
        <f>SUM(N2161:N2174)</f>
        <v>619.69392362999997</v>
      </c>
      <c r="O2160" s="33">
        <v>40</v>
      </c>
      <c r="P2160" s="40"/>
      <c r="Q2160" s="40"/>
      <c r="R2160" s="40"/>
      <c r="S2160" s="40"/>
      <c r="T2160" s="40"/>
      <c r="U2160" s="40"/>
      <c r="V2160" s="40"/>
      <c r="W2160" s="40"/>
      <c r="X2160" s="40"/>
      <c r="Y2160" s="40"/>
      <c r="Z2160" s="40"/>
      <c r="AA2160" s="40"/>
      <c r="AB2160" s="40"/>
      <c r="AC2160" s="40"/>
      <c r="AD2160" s="40"/>
      <c r="AE2160" s="40"/>
      <c r="AF2160" s="40"/>
      <c r="AG2160" s="40"/>
      <c r="AH2160" s="40"/>
      <c r="AI2160" s="40"/>
      <c r="AJ2160" s="40"/>
      <c r="AK2160" s="40"/>
      <c r="AL2160" s="40"/>
      <c r="AM2160" s="40"/>
      <c r="AN2160" s="40"/>
      <c r="AO2160" s="40"/>
      <c r="AP2160" s="40"/>
      <c r="AQ2160" s="40"/>
      <c r="AR2160" s="40"/>
      <c r="AS2160" s="40"/>
      <c r="AT2160" s="40"/>
      <c r="AU2160" s="40"/>
      <c r="AV2160" s="40"/>
      <c r="AW2160" s="40"/>
      <c r="AX2160" s="40"/>
      <c r="AY2160" s="281"/>
      <c r="AZ2160" s="40"/>
      <c r="BA2160" s="40"/>
      <c r="BB2160" s="40"/>
      <c r="BC2160" s="40"/>
      <c r="BD2160" s="40"/>
      <c r="BE2160" s="40"/>
      <c r="BF2160" s="40"/>
      <c r="BG2160" s="40"/>
      <c r="BH2160" s="40"/>
      <c r="BI2160" s="40"/>
      <c r="BJ2160" s="40"/>
      <c r="BK2160" s="40"/>
      <c r="BL2160" s="62">
        <v>0</v>
      </c>
      <c r="BM2160" s="275">
        <v>3</v>
      </c>
      <c r="BN2160" s="62">
        <v>0.03</v>
      </c>
      <c r="BO2160" s="33" t="s">
        <v>746</v>
      </c>
    </row>
    <row r="2161" spans="1:67">
      <c r="A2161" s="33" t="str">
        <f>Database_Productkaarten[[#This Row],[Product]]&amp;", "&amp;Database_Productkaarten[[#This Row],[Levensfase]]</f>
        <v>Inspectieput prefab beton 2x2x2,4 met wapening, A1</v>
      </c>
      <c r="B2161" s="33" t="s">
        <v>750</v>
      </c>
      <c r="C2161" s="33" t="s">
        <v>246</v>
      </c>
      <c r="D2161" s="33" t="s">
        <v>748</v>
      </c>
      <c r="E2161" s="33" t="s">
        <v>724</v>
      </c>
      <c r="F2161" s="33" t="s">
        <v>74</v>
      </c>
      <c r="G2161" s="33">
        <v>2</v>
      </c>
      <c r="H2161" s="33">
        <v>2</v>
      </c>
      <c r="I2161" s="33">
        <v>2.4</v>
      </c>
      <c r="M2161">
        <v>13.40347</v>
      </c>
      <c r="N2161" s="326">
        <v>294.76094000000001</v>
      </c>
      <c r="O2161" s="33">
        <v>40</v>
      </c>
      <c r="P2161" s="163">
        <v>6.1480731E-3</v>
      </c>
      <c r="Q2161" s="163">
        <v>10.614514</v>
      </c>
      <c r="R2161" s="163">
        <v>2256.8110000000001</v>
      </c>
      <c r="S2161" s="163">
        <v>9.5545222999999997E-5</v>
      </c>
      <c r="T2161" s="163">
        <v>1.6553401999999999</v>
      </c>
      <c r="U2161" s="163">
        <v>7.7446973999999997</v>
      </c>
      <c r="V2161" s="163">
        <v>1.2020759000000001</v>
      </c>
      <c r="W2161" s="163">
        <v>1446.7581</v>
      </c>
      <c r="X2161" s="163">
        <v>11.28215</v>
      </c>
      <c r="Y2161" s="163">
        <v>39871.67</v>
      </c>
      <c r="Z2161" s="163">
        <v>9.6032957999999997</v>
      </c>
      <c r="AA2161" s="40"/>
      <c r="AB2161" s="40"/>
      <c r="AC2161" s="40"/>
      <c r="AD2161" s="40"/>
      <c r="AE2161" s="40"/>
      <c r="AF2161" s="40"/>
      <c r="AG2161" s="40"/>
      <c r="AH2161" s="40"/>
      <c r="AI2161" s="40"/>
      <c r="AJ2161" s="40"/>
      <c r="AK2161" s="40"/>
      <c r="AL2161" s="40"/>
      <c r="AM2161" s="40"/>
      <c r="AN2161" s="40"/>
      <c r="AO2161" s="40"/>
      <c r="AP2161" s="40"/>
      <c r="AQ2161" s="40"/>
      <c r="AR2161" s="40"/>
      <c r="AS2161" s="40"/>
      <c r="AT2161" s="40"/>
      <c r="AU2161" s="40"/>
      <c r="AV2161" s="163">
        <v>1584.1333</v>
      </c>
      <c r="AW2161" s="40"/>
      <c r="AX2161" s="40"/>
      <c r="AY2161" s="281">
        <v>20054.685000000001</v>
      </c>
      <c r="AZ2161" s="40"/>
      <c r="BA2161" s="40"/>
      <c r="BB2161" s="40"/>
      <c r="BC2161" s="40">
        <v>147.3124</v>
      </c>
      <c r="BD2161" s="163">
        <v>426.89184999999998</v>
      </c>
      <c r="BE2161" s="163">
        <v>306.43239</v>
      </c>
      <c r="BF2161" s="40"/>
      <c r="BG2161" s="40"/>
      <c r="BH2161" s="40"/>
      <c r="BI2161" s="40"/>
      <c r="BJ2161" s="40"/>
      <c r="BK2161" s="40"/>
      <c r="BL2161" s="62">
        <v>0</v>
      </c>
      <c r="BM2161" s="275">
        <v>3</v>
      </c>
      <c r="BN2161" s="62">
        <v>0.03</v>
      </c>
      <c r="BO2161" s="33" t="s">
        <v>746</v>
      </c>
    </row>
    <row r="2162" spans="1:67">
      <c r="A2162" s="33" t="str">
        <f>Database_Productkaarten[[#This Row],[Product]]&amp;", "&amp;Database_Productkaarten[[#This Row],[Levensfase]]</f>
        <v>Inspectieput prefab beton 2x2x2,4 met wapening, A2</v>
      </c>
      <c r="B2162" s="33" t="s">
        <v>750</v>
      </c>
      <c r="C2162" s="33" t="s">
        <v>246</v>
      </c>
      <c r="D2162" s="33" t="s">
        <v>748</v>
      </c>
      <c r="E2162" s="33" t="s">
        <v>724</v>
      </c>
      <c r="F2162" s="33" t="s">
        <v>75</v>
      </c>
      <c r="G2162" s="33">
        <v>2</v>
      </c>
      <c r="H2162" s="33">
        <v>2</v>
      </c>
      <c r="I2162" s="33">
        <v>2.4</v>
      </c>
      <c r="M2162">
        <v>13.40347</v>
      </c>
      <c r="N2162" s="326">
        <v>11.603463</v>
      </c>
      <c r="O2162" s="33">
        <v>40</v>
      </c>
      <c r="P2162" s="163">
        <v>2.7925905999999999E-4</v>
      </c>
      <c r="Q2162" s="163">
        <v>0.72482645000000001</v>
      </c>
      <c r="R2162" s="163">
        <v>98.198171000000002</v>
      </c>
      <c r="S2162" s="163">
        <v>1.8095985E-5</v>
      </c>
      <c r="T2162" s="163">
        <v>5.7959687000000003E-2</v>
      </c>
      <c r="U2162" s="163">
        <v>0.42573144000000002</v>
      </c>
      <c r="V2162" s="163">
        <v>8.4836710999999995E-2</v>
      </c>
      <c r="W2162" s="163">
        <v>39.286943999999998</v>
      </c>
      <c r="X2162" s="163">
        <v>1.1522332</v>
      </c>
      <c r="Y2162" s="163">
        <v>4158.7511000000004</v>
      </c>
      <c r="Z2162" s="163">
        <v>0.13919867999999999</v>
      </c>
      <c r="AA2162" s="40"/>
      <c r="AB2162" s="40"/>
      <c r="AC2162" s="40"/>
      <c r="AD2162" s="40"/>
      <c r="AE2162" s="40"/>
      <c r="AF2162" s="40"/>
      <c r="AG2162" s="40"/>
      <c r="AH2162" s="40"/>
      <c r="AI2162" s="40"/>
      <c r="AJ2162" s="40"/>
      <c r="AK2162" s="40"/>
      <c r="AL2162" s="40"/>
      <c r="AM2162" s="40"/>
      <c r="AN2162" s="40"/>
      <c r="AO2162" s="40"/>
      <c r="AP2162" s="40"/>
      <c r="AQ2162" s="40"/>
      <c r="AR2162" s="40"/>
      <c r="AS2162" s="40"/>
      <c r="AT2162" s="40"/>
      <c r="AU2162" s="40"/>
      <c r="AV2162" s="163">
        <v>20.679133</v>
      </c>
      <c r="AW2162" s="40"/>
      <c r="AX2162" s="40"/>
      <c r="AY2162" s="281">
        <v>1615.8638000000001</v>
      </c>
      <c r="AZ2162" s="40"/>
      <c r="BA2162" s="40"/>
      <c r="BB2162" s="40"/>
      <c r="BC2162" s="40">
        <v>0.29060908000000002</v>
      </c>
      <c r="BD2162" s="163">
        <v>1.115959E-2</v>
      </c>
      <c r="BE2162" s="163">
        <v>92.881075999999993</v>
      </c>
      <c r="BF2162" s="40"/>
      <c r="BG2162" s="40"/>
      <c r="BH2162" s="40"/>
      <c r="BI2162" s="40"/>
      <c r="BJ2162" s="40"/>
      <c r="BK2162" s="40"/>
      <c r="BL2162" s="62">
        <v>0</v>
      </c>
      <c r="BM2162" s="275">
        <v>3</v>
      </c>
      <c r="BN2162" s="62">
        <v>0.03</v>
      </c>
      <c r="BO2162" s="33" t="s">
        <v>746</v>
      </c>
    </row>
    <row r="2163" spans="1:67">
      <c r="A2163" s="33" t="str">
        <f>Database_Productkaarten[[#This Row],[Product]]&amp;", "&amp;Database_Productkaarten[[#This Row],[Levensfase]]</f>
        <v>Inspectieput prefab beton 2x2x2,4 met wapening, A3</v>
      </c>
      <c r="B2163" s="33" t="s">
        <v>750</v>
      </c>
      <c r="C2163" s="33" t="s">
        <v>246</v>
      </c>
      <c r="D2163" s="33" t="s">
        <v>748</v>
      </c>
      <c r="E2163" s="33" t="s">
        <v>724</v>
      </c>
      <c r="F2163" s="33" t="s">
        <v>76</v>
      </c>
      <c r="G2163" s="33">
        <v>2</v>
      </c>
      <c r="H2163" s="33">
        <v>2</v>
      </c>
      <c r="I2163" s="33">
        <v>2.4</v>
      </c>
      <c r="M2163">
        <v>13.40347</v>
      </c>
      <c r="N2163" s="326">
        <v>5.6536394999999997</v>
      </c>
      <c r="O2163" s="33">
        <v>40</v>
      </c>
      <c r="P2163" s="163">
        <v>2.1595595E-5</v>
      </c>
      <c r="Q2163" s="163">
        <v>0.64911563999999999</v>
      </c>
      <c r="R2163" s="163">
        <v>79.421777000000006</v>
      </c>
      <c r="S2163" s="163">
        <v>5.4812617999999999E-6</v>
      </c>
      <c r="T2163" s="163">
        <v>1.3145876000000001E-2</v>
      </c>
      <c r="U2163" s="163">
        <v>0.14462469999999999</v>
      </c>
      <c r="V2163" s="163">
        <v>3.2381535000000003E-2</v>
      </c>
      <c r="W2163" s="163">
        <v>6.6289218999999999</v>
      </c>
      <c r="X2163" s="163">
        <v>0.15169021999999999</v>
      </c>
      <c r="Y2163" s="163">
        <v>744.45686999999998</v>
      </c>
      <c r="Z2163" s="163">
        <v>0.11167457</v>
      </c>
      <c r="AA2163" s="40"/>
      <c r="AB2163" s="40"/>
      <c r="AC2163" s="40"/>
      <c r="AD2163" s="40"/>
      <c r="AE2163" s="40"/>
      <c r="AF2163" s="40"/>
      <c r="AG2163" s="40"/>
      <c r="AH2163" s="40"/>
      <c r="AI2163" s="40"/>
      <c r="AJ2163" s="40"/>
      <c r="AK2163" s="40"/>
      <c r="AL2163" s="40"/>
      <c r="AM2163" s="40"/>
      <c r="AN2163" s="40"/>
      <c r="AO2163" s="40"/>
      <c r="AP2163" s="40"/>
      <c r="AQ2163" s="40"/>
      <c r="AR2163" s="40"/>
      <c r="AS2163" s="40"/>
      <c r="AT2163" s="40"/>
      <c r="AU2163" s="40"/>
      <c r="AV2163" s="163">
        <v>100.57128</v>
      </c>
      <c r="AW2163" s="40"/>
      <c r="AX2163" s="40"/>
      <c r="AY2163" s="281">
        <v>1302.3318999999999</v>
      </c>
      <c r="AZ2163" s="40"/>
      <c r="BA2163" s="40"/>
      <c r="BB2163" s="40"/>
      <c r="BC2163" s="40">
        <v>0.25549606000000002</v>
      </c>
      <c r="BD2163" s="163">
        <v>5.7159580999999998E-3</v>
      </c>
      <c r="BE2163" s="163">
        <v>2.5090032</v>
      </c>
      <c r="BF2163" s="40"/>
      <c r="BG2163" s="40"/>
      <c r="BH2163" s="40"/>
      <c r="BI2163" s="40"/>
      <c r="BJ2163" s="40"/>
      <c r="BK2163" s="40"/>
      <c r="BL2163" s="62">
        <v>0</v>
      </c>
      <c r="BM2163" s="275">
        <v>3</v>
      </c>
      <c r="BN2163" s="62">
        <v>0.03</v>
      </c>
      <c r="BO2163" s="33" t="s">
        <v>746</v>
      </c>
    </row>
    <row r="2164" spans="1:67">
      <c r="A2164" s="33" t="str">
        <f>Database_Productkaarten[[#This Row],[Product]]&amp;", "&amp;Database_Productkaarten[[#This Row],[Levensfase]]</f>
        <v>Inspectieput prefab beton 2x2x2,4 met wapening, A1-A3</v>
      </c>
      <c r="B2164" s="33" t="s">
        <v>750</v>
      </c>
      <c r="C2164" s="33" t="s">
        <v>246</v>
      </c>
      <c r="D2164" s="33" t="s">
        <v>748</v>
      </c>
      <c r="E2164" s="33" t="s">
        <v>724</v>
      </c>
      <c r="F2164" s="451" t="s">
        <v>77</v>
      </c>
      <c r="G2164" s="33">
        <v>2</v>
      </c>
      <c r="H2164" s="33">
        <v>2</v>
      </c>
      <c r="I2164" s="33">
        <v>2.4</v>
      </c>
      <c r="M2164">
        <v>13.40347</v>
      </c>
      <c r="N2164" s="41">
        <f>SUM(N2161:N2163)</f>
        <v>312.01804249999998</v>
      </c>
      <c r="O2164" s="33">
        <v>40</v>
      </c>
      <c r="P2164" s="40">
        <f>SUM(P2161:P2163)</f>
        <v>6.4489277550000002E-3</v>
      </c>
      <c r="Q2164" s="40">
        <f t="shared" ref="Q2164:Z2164" si="848">SUM(Q2161:Q2163)</f>
        <v>11.98845609</v>
      </c>
      <c r="R2164" s="40">
        <f t="shared" si="848"/>
        <v>2434.4309480000002</v>
      </c>
      <c r="S2164" s="40">
        <f t="shared" si="848"/>
        <v>1.191224698E-4</v>
      </c>
      <c r="T2164" s="40">
        <f t="shared" si="848"/>
        <v>1.7264457630000001</v>
      </c>
      <c r="U2164" s="40">
        <f t="shared" si="848"/>
        <v>8.3150535399999992</v>
      </c>
      <c r="V2164" s="40">
        <f t="shared" si="848"/>
        <v>1.3192941460000001</v>
      </c>
      <c r="W2164" s="40">
        <f t="shared" si="848"/>
        <v>1492.6739659</v>
      </c>
      <c r="X2164" s="40">
        <f t="shared" si="848"/>
        <v>12.58607342</v>
      </c>
      <c r="Y2164" s="40">
        <f t="shared" si="848"/>
        <v>44774.877970000001</v>
      </c>
      <c r="Z2164" s="40">
        <f t="shared" si="848"/>
        <v>9.8541690499999994</v>
      </c>
      <c r="AA2164" s="40"/>
      <c r="AB2164" s="40"/>
      <c r="AC2164" s="40"/>
      <c r="AD2164" s="40"/>
      <c r="AE2164" s="40"/>
      <c r="AF2164" s="40"/>
      <c r="AG2164" s="40"/>
      <c r="AH2164" s="40"/>
      <c r="AI2164" s="40"/>
      <c r="AJ2164" s="40"/>
      <c r="AK2164" s="40"/>
      <c r="AL2164" s="40"/>
      <c r="AM2164" s="40"/>
      <c r="AN2164" s="40"/>
      <c r="AO2164" s="40"/>
      <c r="AP2164" s="40"/>
      <c r="AQ2164" s="40"/>
      <c r="AR2164" s="40"/>
      <c r="AS2164" s="40"/>
      <c r="AT2164" s="40"/>
      <c r="AU2164" s="40"/>
      <c r="AV2164" s="40">
        <f>SUM(AV2161:AV2163)</f>
        <v>1705.3837130000002</v>
      </c>
      <c r="AW2164" s="40"/>
      <c r="AX2164" s="40"/>
      <c r="AY2164" s="281">
        <f>SUM(AY2161:AY2163)</f>
        <v>22972.880700000002</v>
      </c>
      <c r="AZ2164" s="40"/>
      <c r="BA2164" s="40"/>
      <c r="BB2164" s="40"/>
      <c r="BC2164" s="40">
        <f>SUM(BC2161:BC2163)</f>
        <v>147.85850514000001</v>
      </c>
      <c r="BD2164" s="40">
        <f>SUM(BD2161:BD2163)</f>
        <v>426.90872554809994</v>
      </c>
      <c r="BE2164" s="40">
        <f>SUM(BE2161:BE2163)</f>
        <v>401.8224692</v>
      </c>
      <c r="BF2164" s="40"/>
      <c r="BG2164" s="40"/>
      <c r="BH2164" s="40"/>
      <c r="BI2164" s="40"/>
      <c r="BJ2164" s="40"/>
      <c r="BK2164" s="40"/>
      <c r="BL2164" s="62">
        <v>0</v>
      </c>
      <c r="BM2164" s="275">
        <v>3</v>
      </c>
      <c r="BN2164" s="62">
        <v>0.03</v>
      </c>
      <c r="BO2164" s="33" t="s">
        <v>746</v>
      </c>
    </row>
    <row r="2165" spans="1:67">
      <c r="A2165" s="33" t="str">
        <f>Database_Productkaarten[[#This Row],[Product]]&amp;", "&amp;Database_Productkaarten[[#This Row],[Levensfase]]</f>
        <v>Inspectieput prefab beton 2x2x2,4 met wapening, A4</v>
      </c>
      <c r="B2165" s="33" t="s">
        <v>750</v>
      </c>
      <c r="C2165" s="33" t="s">
        <v>246</v>
      </c>
      <c r="D2165" s="33" t="s">
        <v>748</v>
      </c>
      <c r="E2165" s="33" t="s">
        <v>724</v>
      </c>
      <c r="F2165" s="33" t="s">
        <v>78</v>
      </c>
      <c r="G2165" s="33">
        <v>2</v>
      </c>
      <c r="H2165" s="33">
        <v>2</v>
      </c>
      <c r="I2165" s="33">
        <v>2.4</v>
      </c>
      <c r="M2165">
        <v>13.40347</v>
      </c>
      <c r="N2165" s="41">
        <v>31.285177999999998</v>
      </c>
      <c r="O2165" s="33">
        <v>40</v>
      </c>
      <c r="P2165" s="40">
        <v>7.5293639000000002E-4</v>
      </c>
      <c r="Q2165" s="40">
        <v>1.9542721999999999</v>
      </c>
      <c r="R2165" s="40">
        <v>264.76123999999999</v>
      </c>
      <c r="S2165" s="40">
        <v>4.8790272000000003E-5</v>
      </c>
      <c r="T2165" s="40">
        <v>0.15627052</v>
      </c>
      <c r="U2165" s="40">
        <v>1.1478542</v>
      </c>
      <c r="V2165" s="40">
        <v>0.22873615999999999</v>
      </c>
      <c r="W2165" s="40">
        <v>105.92519</v>
      </c>
      <c r="X2165" s="40">
        <v>3.1066433</v>
      </c>
      <c r="Y2165" s="40">
        <v>11212.796</v>
      </c>
      <c r="Z2165" s="40">
        <v>0.37530653000000003</v>
      </c>
      <c r="AA2165" s="40"/>
      <c r="AB2165" s="40"/>
      <c r="AC2165" s="40"/>
      <c r="AD2165" s="40"/>
      <c r="AE2165" s="40"/>
      <c r="AF2165" s="40"/>
      <c r="AG2165" s="40"/>
      <c r="AH2165" s="40"/>
      <c r="AI2165" s="40"/>
      <c r="AJ2165" s="40"/>
      <c r="AK2165" s="40"/>
      <c r="AL2165" s="40"/>
      <c r="AM2165" s="40"/>
      <c r="AN2165" s="40"/>
      <c r="AO2165" s="40"/>
      <c r="AP2165" s="40"/>
      <c r="AQ2165" s="40"/>
      <c r="AR2165" s="40"/>
      <c r="AS2165" s="40"/>
      <c r="AT2165" s="40"/>
      <c r="AU2165" s="40"/>
      <c r="AV2165" s="40">
        <v>55.754939</v>
      </c>
      <c r="AW2165" s="40"/>
      <c r="AX2165" s="40"/>
      <c r="AY2165" s="281">
        <v>4356.6810999999998</v>
      </c>
      <c r="AZ2165" s="40"/>
      <c r="BA2165" s="40"/>
      <c r="BB2165" s="40"/>
      <c r="BC2165" s="40">
        <v>0.78353823</v>
      </c>
      <c r="BD2165" s="40">
        <v>3.0088411999999998E-2</v>
      </c>
      <c r="BE2165" s="40">
        <v>250.42533</v>
      </c>
      <c r="BF2165" s="40"/>
      <c r="BG2165" s="40"/>
      <c r="BH2165" s="40"/>
      <c r="BI2165" s="40"/>
      <c r="BJ2165" s="40"/>
      <c r="BK2165" s="40"/>
      <c r="BL2165" s="62">
        <v>0</v>
      </c>
      <c r="BM2165" s="275">
        <v>3</v>
      </c>
      <c r="BN2165" s="62">
        <v>0.03</v>
      </c>
      <c r="BO2165" s="33" t="s">
        <v>746</v>
      </c>
    </row>
    <row r="2166" spans="1:67">
      <c r="A2166" s="33" t="str">
        <f>Database_Productkaarten[[#This Row],[Product]]&amp;", "&amp;Database_Productkaarten[[#This Row],[Levensfase]]</f>
        <v>Inspectieput prefab beton 2x2x2,4 met wapening, A5</v>
      </c>
      <c r="B2166" s="33" t="s">
        <v>750</v>
      </c>
      <c r="C2166" s="33" t="s">
        <v>246</v>
      </c>
      <c r="D2166" s="33" t="s">
        <v>748</v>
      </c>
      <c r="E2166" s="33" t="s">
        <v>724</v>
      </c>
      <c r="F2166" s="33" t="s">
        <v>79</v>
      </c>
      <c r="G2166" s="33">
        <v>2</v>
      </c>
      <c r="H2166" s="33">
        <v>2</v>
      </c>
      <c r="I2166" s="33">
        <v>2.4</v>
      </c>
      <c r="M2166">
        <v>13.40347</v>
      </c>
      <c r="N2166" s="41">
        <v>28.561298000000001</v>
      </c>
      <c r="O2166" s="33">
        <v>40</v>
      </c>
      <c r="P2166" s="40">
        <v>2.6228991000000002E-4</v>
      </c>
      <c r="Q2166" s="40">
        <v>1.3709857999999999</v>
      </c>
      <c r="R2166" s="40">
        <v>219.0891</v>
      </c>
      <c r="S2166" s="40">
        <v>3.2396220999999997E-5</v>
      </c>
      <c r="T2166" s="40">
        <v>0.18168864000000001</v>
      </c>
      <c r="U2166" s="40">
        <v>1.3810643</v>
      </c>
      <c r="V2166" s="40">
        <v>0.30164413000000001</v>
      </c>
      <c r="W2166" s="40">
        <v>92.356317000000004</v>
      </c>
      <c r="X2166" s="40">
        <v>1.1949993999999999</v>
      </c>
      <c r="Y2166" s="40">
        <v>4138.5843000000004</v>
      </c>
      <c r="Z2166" s="40">
        <v>0.37105832</v>
      </c>
      <c r="AA2166" s="40"/>
      <c r="AB2166" s="40"/>
      <c r="AC2166" s="40"/>
      <c r="AD2166" s="40"/>
      <c r="AE2166" s="40"/>
      <c r="AF2166" s="40"/>
      <c r="AG2166" s="40"/>
      <c r="AH2166" s="40"/>
      <c r="AI2166" s="40"/>
      <c r="AJ2166" s="40"/>
      <c r="AK2166" s="40"/>
      <c r="AL2166" s="40"/>
      <c r="AM2166" s="40"/>
      <c r="AN2166" s="40"/>
      <c r="AO2166" s="40"/>
      <c r="AP2166" s="40"/>
      <c r="AQ2166" s="40"/>
      <c r="AR2166" s="40"/>
      <c r="AS2166" s="40"/>
      <c r="AT2166" s="40"/>
      <c r="AU2166" s="40"/>
      <c r="AV2166" s="40">
        <v>62.024042000000001</v>
      </c>
      <c r="AW2166" s="40"/>
      <c r="AX2166" s="40"/>
      <c r="AY2166" s="281">
        <v>3047.1513</v>
      </c>
      <c r="AZ2166" s="40"/>
      <c r="BA2166" s="40"/>
      <c r="BB2166" s="40"/>
      <c r="BC2166" s="40">
        <v>4.0543472999999999</v>
      </c>
      <c r="BD2166" s="40">
        <v>12.822903999999999</v>
      </c>
      <c r="BE2166" s="40">
        <v>29.352592000000001</v>
      </c>
      <c r="BF2166" s="40"/>
      <c r="BG2166" s="40"/>
      <c r="BH2166" s="40"/>
      <c r="BI2166" s="40"/>
      <c r="BJ2166" s="40"/>
      <c r="BK2166" s="40"/>
      <c r="BL2166" s="62">
        <v>0</v>
      </c>
      <c r="BM2166" s="275">
        <v>3</v>
      </c>
      <c r="BN2166" s="62">
        <v>0.03</v>
      </c>
      <c r="BO2166" s="33" t="s">
        <v>746</v>
      </c>
    </row>
    <row r="2167" spans="1:67">
      <c r="A2167" s="33" t="str">
        <f>Database_Productkaarten[[#This Row],[Product]]&amp;", "&amp;Database_Productkaarten[[#This Row],[Levensfase]]</f>
        <v>Inspectieput prefab beton 2x2x2,4 met wapening, B1</v>
      </c>
      <c r="B2167" s="33" t="s">
        <v>750</v>
      </c>
      <c r="C2167" s="33" t="s">
        <v>246</v>
      </c>
      <c r="D2167" s="33" t="s">
        <v>748</v>
      </c>
      <c r="E2167" s="33" t="s">
        <v>724</v>
      </c>
      <c r="F2167" s="33" t="s">
        <v>80</v>
      </c>
      <c r="G2167" s="33">
        <v>2</v>
      </c>
      <c r="H2167" s="33">
        <v>2</v>
      </c>
      <c r="I2167" s="33">
        <v>2.4</v>
      </c>
      <c r="M2167">
        <v>13.40347</v>
      </c>
      <c r="N2167" s="41">
        <v>0</v>
      </c>
      <c r="O2167" s="33">
        <v>40</v>
      </c>
      <c r="P2167" s="40">
        <v>0</v>
      </c>
      <c r="Q2167" s="40">
        <v>0</v>
      </c>
      <c r="R2167" s="40">
        <v>0</v>
      </c>
      <c r="S2167" s="40">
        <v>0</v>
      </c>
      <c r="T2167" s="40">
        <v>0</v>
      </c>
      <c r="U2167" s="40">
        <v>0</v>
      </c>
      <c r="V2167" s="40">
        <v>0</v>
      </c>
      <c r="W2167" s="40">
        <v>0</v>
      </c>
      <c r="X2167" s="40">
        <v>0</v>
      </c>
      <c r="Y2167" s="40">
        <v>0</v>
      </c>
      <c r="Z2167" s="40">
        <v>0</v>
      </c>
      <c r="AA2167" s="40"/>
      <c r="AB2167" s="40"/>
      <c r="AC2167" s="40"/>
      <c r="AD2167" s="40"/>
      <c r="AE2167" s="40"/>
      <c r="AF2167" s="40"/>
      <c r="AG2167" s="40"/>
      <c r="AH2167" s="40"/>
      <c r="AI2167" s="40"/>
      <c r="AJ2167" s="40"/>
      <c r="AK2167" s="40"/>
      <c r="AL2167" s="40"/>
      <c r="AM2167" s="40"/>
      <c r="AN2167" s="40"/>
      <c r="AO2167" s="40"/>
      <c r="AP2167" s="40"/>
      <c r="AQ2167" s="40"/>
      <c r="AR2167" s="40"/>
      <c r="AS2167" s="40"/>
      <c r="AT2167" s="40"/>
      <c r="AU2167" s="40"/>
      <c r="AV2167" s="40">
        <v>0</v>
      </c>
      <c r="AW2167" s="40"/>
      <c r="AX2167" s="40"/>
      <c r="AY2167" s="281">
        <v>0</v>
      </c>
      <c r="AZ2167" s="40"/>
      <c r="BA2167" s="40"/>
      <c r="BB2167" s="40"/>
      <c r="BC2167" s="40">
        <v>0</v>
      </c>
      <c r="BD2167" s="40">
        <v>0</v>
      </c>
      <c r="BE2167" s="40">
        <v>0</v>
      </c>
      <c r="BF2167" s="40"/>
      <c r="BG2167" s="40"/>
      <c r="BH2167" s="40"/>
      <c r="BI2167" s="40"/>
      <c r="BJ2167" s="40"/>
      <c r="BK2167" s="40"/>
      <c r="BL2167" s="62">
        <v>0</v>
      </c>
      <c r="BM2167" s="275">
        <v>3</v>
      </c>
      <c r="BN2167" s="62">
        <v>0.03</v>
      </c>
      <c r="BO2167" s="33" t="s">
        <v>746</v>
      </c>
    </row>
    <row r="2168" spans="1:67">
      <c r="A2168" s="33" t="str">
        <f>Database_Productkaarten[[#This Row],[Product]]&amp;", "&amp;Database_Productkaarten[[#This Row],[Levensfase]]</f>
        <v>Inspectieput prefab beton 2x2x2,4 met wapening, C1</v>
      </c>
      <c r="B2168" s="33" t="s">
        <v>750</v>
      </c>
      <c r="C2168" s="33" t="s">
        <v>246</v>
      </c>
      <c r="D2168" s="33" t="s">
        <v>748</v>
      </c>
      <c r="E2168" s="33" t="s">
        <v>724</v>
      </c>
      <c r="F2168" s="33" t="s">
        <v>83</v>
      </c>
      <c r="G2168" s="33">
        <v>2</v>
      </c>
      <c r="H2168" s="33">
        <v>2</v>
      </c>
      <c r="I2168" s="33">
        <v>2.4</v>
      </c>
      <c r="M2168">
        <v>13.40347</v>
      </c>
      <c r="N2168" s="41">
        <v>8.3907234000000006</v>
      </c>
      <c r="O2168" s="33">
        <v>40</v>
      </c>
      <c r="P2168" s="40">
        <v>2.1228838E-5</v>
      </c>
      <c r="Q2168" s="40">
        <v>0.43738367</v>
      </c>
      <c r="R2168" s="40">
        <v>63.392440000000001</v>
      </c>
      <c r="S2168" s="40">
        <v>1.1418373E-5</v>
      </c>
      <c r="T2168" s="40">
        <v>6.3897981000000006E-2</v>
      </c>
      <c r="U2168" s="40">
        <v>0.47965856000000001</v>
      </c>
      <c r="V2168" s="40">
        <v>0.10740570000000001</v>
      </c>
      <c r="W2168" s="40">
        <v>22.440504000000001</v>
      </c>
      <c r="X2168" s="40">
        <v>0.31382818000000001</v>
      </c>
      <c r="Y2168" s="40">
        <v>1063.8246999999999</v>
      </c>
      <c r="Z2168" s="40">
        <v>3.7497453E-2</v>
      </c>
      <c r="AA2168" s="40"/>
      <c r="AB2168" s="40"/>
      <c r="AC2168" s="40"/>
      <c r="AD2168" s="40"/>
      <c r="AE2168" s="40"/>
      <c r="AF2168" s="40"/>
      <c r="AG2168" s="40"/>
      <c r="AH2168" s="40"/>
      <c r="AI2168" s="40"/>
      <c r="AJ2168" s="40"/>
      <c r="AK2168" s="40"/>
      <c r="AL2168" s="40"/>
      <c r="AM2168" s="40"/>
      <c r="AN2168" s="40"/>
      <c r="AO2168" s="40"/>
      <c r="AP2168" s="40"/>
      <c r="AQ2168" s="40"/>
      <c r="AR2168" s="40"/>
      <c r="AS2168" s="40"/>
      <c r="AT2168" s="40"/>
      <c r="AU2168" s="40"/>
      <c r="AV2168" s="40">
        <v>5.2679046999999999</v>
      </c>
      <c r="AW2168" s="40"/>
      <c r="AX2168" s="40"/>
      <c r="AY2168" s="281">
        <v>981.13752999999997</v>
      </c>
      <c r="AZ2168" s="40"/>
      <c r="BA2168" s="40"/>
      <c r="BB2168" s="40"/>
      <c r="BC2168" s="40">
        <v>8.0889928999999999E-2</v>
      </c>
      <c r="BD2168" s="40">
        <v>6.7925251999999998E-3</v>
      </c>
      <c r="BE2168" s="40">
        <v>1.0011388000000001</v>
      </c>
      <c r="BF2168" s="40"/>
      <c r="BG2168" s="40"/>
      <c r="BH2168" s="40"/>
      <c r="BI2168" s="40"/>
      <c r="BJ2168" s="40"/>
      <c r="BK2168" s="40"/>
      <c r="BL2168" s="62">
        <v>0</v>
      </c>
      <c r="BM2168" s="275">
        <v>3</v>
      </c>
      <c r="BN2168" s="62">
        <v>0.03</v>
      </c>
      <c r="BO2168" s="33" t="s">
        <v>746</v>
      </c>
    </row>
    <row r="2169" spans="1:67">
      <c r="A2169" s="33" t="str">
        <f>Database_Productkaarten[[#This Row],[Product]]&amp;", "&amp;Database_Productkaarten[[#This Row],[Levensfase]]</f>
        <v>Inspectieput prefab beton 2x2x2,4 met wapening, C2</v>
      </c>
      <c r="B2169" s="33" t="s">
        <v>750</v>
      </c>
      <c r="C2169" s="33" t="s">
        <v>246</v>
      </c>
      <c r="D2169" s="33" t="s">
        <v>748</v>
      </c>
      <c r="E2169" s="33" t="s">
        <v>724</v>
      </c>
      <c r="F2169" s="33" t="s">
        <v>84</v>
      </c>
      <c r="G2169" s="33">
        <v>2</v>
      </c>
      <c r="H2169" s="33">
        <v>2</v>
      </c>
      <c r="I2169" s="33">
        <v>2.4</v>
      </c>
      <c r="M2169">
        <v>13.40347</v>
      </c>
      <c r="N2169" s="41">
        <v>10.529218999999999</v>
      </c>
      <c r="O2169" s="33">
        <v>40</v>
      </c>
      <c r="P2169" s="40">
        <v>2.5340536999999999E-4</v>
      </c>
      <c r="Q2169" s="40">
        <v>0.65772229999999998</v>
      </c>
      <c r="R2169" s="40">
        <v>89.107022999999998</v>
      </c>
      <c r="S2169" s="40">
        <v>1.6420666000000001E-5</v>
      </c>
      <c r="T2169" s="40">
        <v>5.2593802000000002E-2</v>
      </c>
      <c r="U2169" s="40">
        <v>0.38631738999999998</v>
      </c>
      <c r="V2169" s="40">
        <v>7.6982561000000005E-2</v>
      </c>
      <c r="W2169" s="40">
        <v>35.649774000000001</v>
      </c>
      <c r="X2169" s="40">
        <v>1.0455599</v>
      </c>
      <c r="Y2169" s="40">
        <v>3773.7354999999998</v>
      </c>
      <c r="Z2169" s="40">
        <v>0.12631171999999999</v>
      </c>
      <c r="AA2169" s="40"/>
      <c r="AB2169" s="40"/>
      <c r="AC2169" s="40"/>
      <c r="AD2169" s="40"/>
      <c r="AE2169" s="40"/>
      <c r="AF2169" s="40"/>
      <c r="AG2169" s="40"/>
      <c r="AH2169" s="40"/>
      <c r="AI2169" s="40"/>
      <c r="AJ2169" s="40"/>
      <c r="AK2169" s="40"/>
      <c r="AL2169" s="40"/>
      <c r="AM2169" s="40"/>
      <c r="AN2169" s="40"/>
      <c r="AO2169" s="40"/>
      <c r="AP2169" s="40"/>
      <c r="AQ2169" s="40"/>
      <c r="AR2169" s="40"/>
      <c r="AS2169" s="40"/>
      <c r="AT2169" s="40"/>
      <c r="AU2169" s="40"/>
      <c r="AV2169" s="40">
        <v>18.764666999999999</v>
      </c>
      <c r="AW2169" s="40"/>
      <c r="AX2169" s="40"/>
      <c r="AY2169" s="281">
        <v>1466.2678000000001</v>
      </c>
      <c r="AZ2169" s="40"/>
      <c r="BA2169" s="40"/>
      <c r="BB2169" s="40"/>
      <c r="BC2169" s="40">
        <v>0.26370460000000001</v>
      </c>
      <c r="BD2169" s="40">
        <v>1.012644E-2</v>
      </c>
      <c r="BE2169" s="40">
        <v>84.282183000000003</v>
      </c>
      <c r="BF2169" s="40"/>
      <c r="BG2169" s="40"/>
      <c r="BH2169" s="40"/>
      <c r="BI2169" s="40"/>
      <c r="BJ2169" s="40"/>
      <c r="BK2169" s="40"/>
      <c r="BL2169" s="62">
        <v>0</v>
      </c>
      <c r="BM2169" s="275">
        <v>3</v>
      </c>
      <c r="BN2169" s="62">
        <v>0.03</v>
      </c>
      <c r="BO2169" s="33" t="s">
        <v>746</v>
      </c>
    </row>
    <row r="2170" spans="1:67">
      <c r="A2170" s="33" t="str">
        <f>Database_Productkaarten[[#This Row],[Product]]&amp;", "&amp;Database_Productkaarten[[#This Row],[Levensfase]]</f>
        <v>Inspectieput prefab beton 2x2x2,4 met wapening, C3</v>
      </c>
      <c r="B2170" s="33" t="s">
        <v>750</v>
      </c>
      <c r="C2170" s="33" t="s">
        <v>246</v>
      </c>
      <c r="D2170" s="33" t="s">
        <v>748</v>
      </c>
      <c r="E2170" s="33" t="s">
        <v>724</v>
      </c>
      <c r="F2170" s="33" t="s">
        <v>85</v>
      </c>
      <c r="G2170" s="33">
        <v>2</v>
      </c>
      <c r="H2170" s="33">
        <v>2</v>
      </c>
      <c r="I2170" s="33">
        <v>2.4</v>
      </c>
      <c r="M2170">
        <v>13.40347</v>
      </c>
      <c r="N2170" s="41">
        <v>2.8562072999999999</v>
      </c>
      <c r="O2170" s="33">
        <v>40</v>
      </c>
      <c r="P2170" s="40">
        <v>1.3152483999999999E-5</v>
      </c>
      <c r="Q2170" s="40">
        <v>0.16052351000000001</v>
      </c>
      <c r="R2170" s="40">
        <v>34.965125</v>
      </c>
      <c r="S2170" s="40">
        <v>2.4857674999999998E-6</v>
      </c>
      <c r="T2170" s="40">
        <v>1.1927016E-2</v>
      </c>
      <c r="U2170" s="40">
        <v>9.9301894000000002E-2</v>
      </c>
      <c r="V2170" s="40">
        <v>2.2521223999999999E-2</v>
      </c>
      <c r="W2170" s="40">
        <v>4.6878811000000002</v>
      </c>
      <c r="X2170" s="40">
        <v>8.0037539000000005E-2</v>
      </c>
      <c r="Y2170" s="40">
        <v>303.27749</v>
      </c>
      <c r="Z2170" s="40">
        <v>6.3330507999999994E-2</v>
      </c>
      <c r="AA2170" s="40"/>
      <c r="AB2170" s="40"/>
      <c r="AC2170" s="40"/>
      <c r="AD2170" s="40"/>
      <c r="AE2170" s="40"/>
      <c r="AF2170" s="40"/>
      <c r="AG2170" s="40"/>
      <c r="AH2170" s="40"/>
      <c r="AI2170" s="40"/>
      <c r="AJ2170" s="40"/>
      <c r="AK2170" s="40"/>
      <c r="AL2170" s="40"/>
      <c r="AM2170" s="40"/>
      <c r="AN2170" s="40"/>
      <c r="AO2170" s="40"/>
      <c r="AP2170" s="40"/>
      <c r="AQ2170" s="40"/>
      <c r="AR2170" s="40"/>
      <c r="AS2170" s="40"/>
      <c r="AT2170" s="40"/>
      <c r="AU2170" s="40"/>
      <c r="AV2170" s="40">
        <v>17.259889999999999</v>
      </c>
      <c r="AW2170" s="40"/>
      <c r="AX2170" s="40"/>
      <c r="AY2170" s="281">
        <v>336.12477999999999</v>
      </c>
      <c r="AZ2170" s="40"/>
      <c r="BA2170" s="40"/>
      <c r="BB2170" s="40"/>
      <c r="BC2170" s="40">
        <v>7.2933028999999996E-2</v>
      </c>
      <c r="BD2170" s="40">
        <v>1.9524392999999999E-3</v>
      </c>
      <c r="BE2170" s="40">
        <v>40.778663999999999</v>
      </c>
      <c r="BF2170" s="40"/>
      <c r="BG2170" s="40"/>
      <c r="BH2170" s="40"/>
      <c r="BI2170" s="40"/>
      <c r="BJ2170" s="40"/>
      <c r="BK2170" s="40"/>
      <c r="BL2170" s="62">
        <v>0</v>
      </c>
      <c r="BM2170" s="275">
        <v>3</v>
      </c>
      <c r="BN2170" s="62">
        <v>0.03</v>
      </c>
      <c r="BO2170" s="33" t="s">
        <v>746</v>
      </c>
    </row>
    <row r="2171" spans="1:67">
      <c r="A2171" s="33" t="str">
        <f>Database_Productkaarten[[#This Row],[Product]]&amp;", "&amp;Database_Productkaarten[[#This Row],[Levensfase]]</f>
        <v>Inspectieput prefab beton 2x2x2,4 met wapening, C4</v>
      </c>
      <c r="B2171" s="33" t="s">
        <v>750</v>
      </c>
      <c r="C2171" s="33" t="s">
        <v>246</v>
      </c>
      <c r="D2171" s="33" t="s">
        <v>748</v>
      </c>
      <c r="E2171" s="33" t="s">
        <v>724</v>
      </c>
      <c r="F2171" s="33" t="s">
        <v>86</v>
      </c>
      <c r="G2171" s="33">
        <v>2</v>
      </c>
      <c r="H2171" s="33">
        <v>2</v>
      </c>
      <c r="I2171" s="33">
        <v>2.4</v>
      </c>
      <c r="M2171">
        <v>13.40347</v>
      </c>
      <c r="N2171" s="41">
        <v>0.11075093</v>
      </c>
      <c r="O2171" s="33">
        <v>40</v>
      </c>
      <c r="P2171" s="40">
        <v>9.2309496999999997E-7</v>
      </c>
      <c r="Q2171" s="40">
        <v>1.1006488E-2</v>
      </c>
      <c r="R2171" s="40">
        <v>0.80877312000000001</v>
      </c>
      <c r="S2171" s="40">
        <v>2.6769117999999998E-7</v>
      </c>
      <c r="T2171" s="40">
        <v>8.5707730999999999E-4</v>
      </c>
      <c r="U2171" s="40">
        <v>5.9763435999999996E-3</v>
      </c>
      <c r="V2171" s="40">
        <v>1.1247611E-3</v>
      </c>
      <c r="W2171" s="40">
        <v>0.32973427</v>
      </c>
      <c r="X2171" s="40">
        <v>8.1992125000000006E-3</v>
      </c>
      <c r="Y2171" s="40">
        <v>28.200247000000001</v>
      </c>
      <c r="Z2171" s="40">
        <v>9.7652834E-4</v>
      </c>
      <c r="AA2171" s="40"/>
      <c r="AB2171" s="40"/>
      <c r="AC2171" s="40"/>
      <c r="AD2171" s="40"/>
      <c r="AE2171" s="40"/>
      <c r="AF2171" s="40"/>
      <c r="AG2171" s="40"/>
      <c r="AH2171" s="40"/>
      <c r="AI2171" s="40"/>
      <c r="AJ2171" s="40"/>
      <c r="AK2171" s="40"/>
      <c r="AL2171" s="40"/>
      <c r="AM2171" s="40"/>
      <c r="AN2171" s="40"/>
      <c r="AO2171" s="40"/>
      <c r="AP2171" s="40"/>
      <c r="AQ2171" s="40"/>
      <c r="AR2171" s="40"/>
      <c r="AS2171" s="40"/>
      <c r="AT2171" s="40"/>
      <c r="AU2171" s="40"/>
      <c r="AV2171" s="40">
        <v>0.58955508000000001</v>
      </c>
      <c r="AW2171" s="40"/>
      <c r="AX2171" s="40"/>
      <c r="AY2171" s="281">
        <v>24.586511000000002</v>
      </c>
      <c r="AZ2171" s="40"/>
      <c r="BA2171" s="40"/>
      <c r="BB2171" s="40"/>
      <c r="BC2171" s="40">
        <v>2.4780063000000001E-2</v>
      </c>
      <c r="BD2171" s="40">
        <v>1.6701435000000001E-4</v>
      </c>
      <c r="BE2171" s="40">
        <v>151.34609</v>
      </c>
      <c r="BF2171" s="40"/>
      <c r="BG2171" s="40"/>
      <c r="BH2171" s="40"/>
      <c r="BI2171" s="40"/>
      <c r="BJ2171" s="40"/>
      <c r="BK2171" s="40"/>
      <c r="BL2171" s="62">
        <v>0</v>
      </c>
      <c r="BM2171" s="275">
        <v>3</v>
      </c>
      <c r="BN2171" s="62">
        <v>0.03</v>
      </c>
      <c r="BO2171" s="33" t="s">
        <v>746</v>
      </c>
    </row>
    <row r="2172" spans="1:67">
      <c r="A2172" s="33" t="str">
        <f>Database_Productkaarten[[#This Row],[Product]]&amp;", "&amp;Database_Productkaarten[[#This Row],[Levensfase]]</f>
        <v>Inspectieput prefab beton 2x2x2,4 met wapening, D</v>
      </c>
      <c r="B2172" s="33" t="s">
        <v>750</v>
      </c>
      <c r="C2172" s="33" t="s">
        <v>246</v>
      </c>
      <c r="D2172" s="33" t="s">
        <v>748</v>
      </c>
      <c r="E2172" s="33" t="s">
        <v>724</v>
      </c>
      <c r="F2172" s="33" t="s">
        <v>89</v>
      </c>
      <c r="G2172" s="33">
        <v>2</v>
      </c>
      <c r="H2172" s="33">
        <v>2</v>
      </c>
      <c r="I2172" s="33">
        <v>2.4</v>
      </c>
      <c r="M2172">
        <v>13.40347</v>
      </c>
      <c r="N2172" s="326">
        <v>-86.075537999999995</v>
      </c>
      <c r="O2172" s="33">
        <v>40</v>
      </c>
      <c r="P2172" s="163">
        <v>-4.5011110999999999E-4</v>
      </c>
      <c r="Q2172" s="163">
        <v>-4.5876261999999999</v>
      </c>
      <c r="R2172" s="163">
        <v>-668.51412000000005</v>
      </c>
      <c r="S2172" s="163">
        <v>-3.4374781000000003E-5</v>
      </c>
      <c r="T2172" s="163">
        <v>-1.0802664</v>
      </c>
      <c r="U2172" s="163">
        <v>-2.8668846000000001</v>
      </c>
      <c r="V2172" s="163">
        <v>-0.31510342000000002</v>
      </c>
      <c r="W2172" s="163">
        <v>-382.87207999999998</v>
      </c>
      <c r="X2172" s="163">
        <v>-2.4757758000000001</v>
      </c>
      <c r="Y2172" s="163">
        <v>-8521.7170999999998</v>
      </c>
      <c r="Z2172" s="163">
        <v>-1.0962441999999999</v>
      </c>
      <c r="AA2172" s="40"/>
      <c r="AB2172" s="40"/>
      <c r="AC2172" s="40"/>
      <c r="AD2172" s="40"/>
      <c r="AE2172" s="40"/>
      <c r="AF2172" s="40"/>
      <c r="AG2172" s="40"/>
      <c r="AH2172" s="40"/>
      <c r="AI2172" s="40"/>
      <c r="AJ2172" s="40"/>
      <c r="AK2172" s="40"/>
      <c r="AL2172" s="40"/>
      <c r="AM2172" s="40"/>
      <c r="AN2172" s="40"/>
      <c r="AO2172" s="40"/>
      <c r="AP2172" s="40"/>
      <c r="AQ2172" s="40"/>
      <c r="AR2172" s="40"/>
      <c r="AS2172" s="40"/>
      <c r="AT2172" s="40"/>
      <c r="AU2172" s="40"/>
      <c r="AV2172" s="163">
        <v>-158.03396000000001</v>
      </c>
      <c r="AW2172" s="40"/>
      <c r="AX2172" s="40"/>
      <c r="AY2172" s="281">
        <v>-7252.3434999999999</v>
      </c>
      <c r="AZ2172" s="40"/>
      <c r="BA2172" s="40"/>
      <c r="BB2172" s="40"/>
      <c r="BC2172" s="40">
        <v>-20.426745</v>
      </c>
      <c r="BD2172" s="163">
        <v>-7.2463350999999995E-2</v>
      </c>
      <c r="BE2172" s="163">
        <v>-31.526603999999999</v>
      </c>
      <c r="BF2172" s="40"/>
      <c r="BG2172" s="40"/>
      <c r="BH2172" s="40"/>
      <c r="BI2172" s="40"/>
      <c r="BJ2172" s="40"/>
      <c r="BK2172" s="40"/>
      <c r="BL2172" s="62">
        <v>0</v>
      </c>
      <c r="BM2172" s="275">
        <v>3</v>
      </c>
      <c r="BN2172" s="62">
        <v>0.03</v>
      </c>
      <c r="BO2172" s="33" t="s">
        <v>746</v>
      </c>
    </row>
    <row r="2173" spans="1:67">
      <c r="A2173" s="33" t="str">
        <f>Database_Productkaarten[[#This Row],[Product]]&amp;", "&amp;Database_Productkaarten[[#This Row],[Levensfase]]</f>
        <v>Inspectieput prefab beton 2x2x2,4 met wapening, D1</v>
      </c>
      <c r="B2173" s="33" t="s">
        <v>750</v>
      </c>
      <c r="C2173" s="33" t="s">
        <v>246</v>
      </c>
      <c r="D2173" s="33" t="s">
        <v>748</v>
      </c>
      <c r="E2173" s="33" t="s">
        <v>724</v>
      </c>
      <c r="F2173" s="33" t="s">
        <v>87</v>
      </c>
      <c r="G2173" s="33">
        <v>2</v>
      </c>
      <c r="H2173" s="33">
        <v>2</v>
      </c>
      <c r="I2173" s="33">
        <v>2.4</v>
      </c>
      <c r="M2173">
        <v>13.40347</v>
      </c>
      <c r="N2173" s="41"/>
      <c r="O2173" s="33">
        <v>40</v>
      </c>
      <c r="P2173" s="40"/>
      <c r="Q2173" s="40"/>
      <c r="R2173" s="40"/>
      <c r="S2173" s="40"/>
      <c r="T2173" s="40"/>
      <c r="U2173" s="40"/>
      <c r="V2173" s="40"/>
      <c r="W2173" s="40"/>
      <c r="X2173" s="40"/>
      <c r="Y2173" s="40"/>
      <c r="Z2173" s="40"/>
      <c r="AA2173" s="40"/>
      <c r="AB2173" s="40"/>
      <c r="AC2173" s="40"/>
      <c r="AD2173" s="40"/>
      <c r="AE2173" s="40"/>
      <c r="AF2173" s="40"/>
      <c r="AG2173" s="40"/>
      <c r="AH2173" s="40"/>
      <c r="AI2173" s="40"/>
      <c r="AJ2173" s="40"/>
      <c r="AK2173" s="40"/>
      <c r="AL2173" s="40"/>
      <c r="AM2173" s="40"/>
      <c r="AN2173" s="40"/>
      <c r="AO2173" s="40"/>
      <c r="AP2173" s="40"/>
      <c r="AQ2173" s="40"/>
      <c r="AR2173" s="40"/>
      <c r="AS2173" s="40"/>
      <c r="AT2173" s="40"/>
      <c r="AU2173" s="40"/>
      <c r="AV2173" s="108"/>
      <c r="AW2173" s="40"/>
      <c r="AX2173" s="40"/>
      <c r="AY2173" s="108"/>
      <c r="AZ2173" s="40"/>
      <c r="BA2173" s="40"/>
      <c r="BB2173" s="40"/>
      <c r="BC2173" s="40"/>
      <c r="BD2173" s="40"/>
      <c r="BE2173" s="40"/>
      <c r="BF2173" s="40"/>
      <c r="BG2173" s="40"/>
      <c r="BH2173" s="40"/>
      <c r="BI2173" s="40"/>
      <c r="BJ2173" s="40"/>
      <c r="BK2173" s="40"/>
      <c r="BL2173" s="62">
        <v>0</v>
      </c>
      <c r="BM2173" s="275">
        <v>3</v>
      </c>
      <c r="BN2173" s="62">
        <v>0.03</v>
      </c>
      <c r="BO2173" s="33" t="s">
        <v>746</v>
      </c>
    </row>
    <row r="2174" spans="1:67">
      <c r="A2174" s="33" t="str">
        <f>Database_Productkaarten[[#This Row],[Product]]&amp;", "&amp;Database_Productkaarten[[#This Row],[Levensfase]]</f>
        <v>Inspectieput prefab beton 2x2x2,4 met wapening, D2</v>
      </c>
      <c r="B2174" s="33" t="s">
        <v>750</v>
      </c>
      <c r="C2174" s="33" t="s">
        <v>246</v>
      </c>
      <c r="D2174" s="33" t="s">
        <v>748</v>
      </c>
      <c r="E2174" s="33" t="s">
        <v>724</v>
      </c>
      <c r="F2174" s="33" t="s">
        <v>88</v>
      </c>
      <c r="G2174" s="33">
        <v>2</v>
      </c>
      <c r="H2174" s="33">
        <v>2</v>
      </c>
      <c r="I2174" s="33">
        <v>2.4</v>
      </c>
      <c r="M2174">
        <v>13.40347</v>
      </c>
      <c r="N2174" s="41"/>
      <c r="O2174" s="33">
        <v>40</v>
      </c>
      <c r="P2174" s="40"/>
      <c r="Q2174" s="40"/>
      <c r="R2174" s="40"/>
      <c r="S2174" s="40"/>
      <c r="T2174" s="40"/>
      <c r="U2174" s="40"/>
      <c r="V2174" s="40"/>
      <c r="W2174" s="40"/>
      <c r="X2174" s="40"/>
      <c r="Y2174" s="40"/>
      <c r="Z2174" s="40"/>
      <c r="AA2174" s="40"/>
      <c r="AB2174" s="40"/>
      <c r="AC2174" s="40"/>
      <c r="AD2174" s="40"/>
      <c r="AE2174" s="40"/>
      <c r="AF2174" s="40"/>
      <c r="AG2174" s="40"/>
      <c r="AH2174" s="40"/>
      <c r="AI2174" s="40"/>
      <c r="AJ2174" s="40"/>
      <c r="AK2174" s="40"/>
      <c r="AL2174" s="40"/>
      <c r="AM2174" s="40"/>
      <c r="AN2174" s="40"/>
      <c r="AO2174" s="40"/>
      <c r="AP2174" s="40"/>
      <c r="AQ2174" s="40"/>
      <c r="AR2174" s="40"/>
      <c r="AS2174" s="40"/>
      <c r="AT2174" s="40"/>
      <c r="AU2174" s="40"/>
      <c r="AV2174" s="108"/>
      <c r="AW2174" s="40"/>
      <c r="AX2174" s="40"/>
      <c r="AY2174" s="108"/>
      <c r="AZ2174" s="40"/>
      <c r="BA2174" s="40"/>
      <c r="BB2174" s="40"/>
      <c r="BC2174" s="40"/>
      <c r="BD2174" s="40"/>
      <c r="BE2174" s="40"/>
      <c r="BF2174" s="40"/>
      <c r="BG2174" s="40"/>
      <c r="BH2174" s="40"/>
      <c r="BI2174" s="40"/>
      <c r="BJ2174" s="40"/>
      <c r="BK2174" s="40"/>
      <c r="BL2174" s="62">
        <v>0</v>
      </c>
      <c r="BM2174" s="275">
        <v>3</v>
      </c>
      <c r="BN2174" s="62">
        <v>0.03</v>
      </c>
      <c r="BO2174" s="33" t="s">
        <v>746</v>
      </c>
    </row>
    <row r="2175" spans="1:67">
      <c r="A2175" s="33" t="str">
        <f>Database_Productkaarten[[#This Row],[Product]]&amp;", "&amp;Database_Productkaarten[[#This Row],[Levensfase]]</f>
        <v>Kunststof Inflitratiekrat, Totaal</v>
      </c>
      <c r="B2175" s="33" t="s">
        <v>60</v>
      </c>
      <c r="C2175" s="33" t="s">
        <v>48</v>
      </c>
      <c r="D2175" s="33" t="s">
        <v>751</v>
      </c>
      <c r="E2175" s="33" t="s">
        <v>385</v>
      </c>
      <c r="F2175" s="33" t="s">
        <v>90</v>
      </c>
      <c r="G2175" s="33">
        <v>1</v>
      </c>
      <c r="H2175" s="33">
        <v>1</v>
      </c>
      <c r="M2175" s="271">
        <v>1.4E-2</v>
      </c>
      <c r="N2175" s="41"/>
      <c r="O2175" s="33">
        <v>15</v>
      </c>
      <c r="P2175" s="40"/>
      <c r="Q2175" s="40"/>
      <c r="R2175" s="40"/>
      <c r="S2175" s="40"/>
      <c r="T2175" s="40"/>
      <c r="U2175" s="40"/>
      <c r="V2175" s="40"/>
      <c r="W2175" s="40"/>
      <c r="X2175" s="40"/>
      <c r="Y2175" s="40"/>
      <c r="Z2175" s="40"/>
      <c r="AA2175" s="40"/>
      <c r="AB2175" s="40"/>
      <c r="AC2175" s="40"/>
      <c r="AD2175" s="40"/>
      <c r="AE2175" s="40"/>
      <c r="AF2175" s="40"/>
      <c r="AG2175" s="40"/>
      <c r="AH2175" s="40"/>
      <c r="AI2175" s="40"/>
      <c r="AJ2175" s="40"/>
      <c r="AK2175" s="40"/>
      <c r="AL2175" s="40"/>
      <c r="AM2175" s="40"/>
      <c r="AN2175" s="40"/>
      <c r="AO2175" s="40"/>
      <c r="AP2175" s="40"/>
      <c r="AQ2175" s="40"/>
      <c r="AR2175" s="40"/>
      <c r="AS2175" s="40"/>
      <c r="AT2175" s="40"/>
      <c r="AU2175" s="40"/>
      <c r="AV2175" s="108"/>
      <c r="AW2175" s="40"/>
      <c r="AX2175" s="40"/>
      <c r="AY2175" s="108"/>
      <c r="AZ2175" s="40"/>
      <c r="BA2175" s="40"/>
      <c r="BB2175" s="40"/>
      <c r="BC2175" s="40"/>
      <c r="BD2175" s="40"/>
      <c r="BE2175" s="40"/>
      <c r="BF2175" s="40"/>
      <c r="BG2175" s="40"/>
      <c r="BH2175" s="40"/>
      <c r="BI2175" s="40"/>
      <c r="BJ2175" s="40"/>
      <c r="BK2175" s="40"/>
      <c r="BL2175" s="62">
        <v>0</v>
      </c>
      <c r="BM2175" s="275">
        <v>3</v>
      </c>
      <c r="BN2175" s="62">
        <v>0.03</v>
      </c>
      <c r="BO2175" s="33" t="s">
        <v>752</v>
      </c>
    </row>
    <row r="2176" spans="1:67">
      <c r="A2176" s="33" t="str">
        <f>Database_Productkaarten[[#This Row],[Product]]&amp;", "&amp;Database_Productkaarten[[#This Row],[Levensfase]]</f>
        <v>Kunststof Inflitratiekrat, A1</v>
      </c>
      <c r="B2176" s="33" t="s">
        <v>60</v>
      </c>
      <c r="C2176" s="33" t="s">
        <v>48</v>
      </c>
      <c r="D2176" s="33" t="s">
        <v>751</v>
      </c>
      <c r="E2176" s="33" t="s">
        <v>385</v>
      </c>
      <c r="F2176" s="33" t="s">
        <v>74</v>
      </c>
      <c r="G2176" s="33">
        <v>1</v>
      </c>
      <c r="H2176" s="33">
        <v>1</v>
      </c>
      <c r="M2176" s="271">
        <v>1.4E-2</v>
      </c>
      <c r="N2176" s="41"/>
      <c r="O2176" s="33">
        <v>15</v>
      </c>
      <c r="P2176" s="40"/>
      <c r="Q2176" s="40"/>
      <c r="R2176" s="40"/>
      <c r="S2176" s="40"/>
      <c r="T2176" s="40"/>
      <c r="U2176" s="40"/>
      <c r="V2176" s="40"/>
      <c r="W2176" s="40"/>
      <c r="X2176" s="40"/>
      <c r="Y2176" s="40"/>
      <c r="Z2176" s="40"/>
      <c r="AA2176" s="40"/>
      <c r="AB2176" s="40"/>
      <c r="AC2176" s="40"/>
      <c r="AD2176" s="40"/>
      <c r="AE2176" s="40"/>
      <c r="AF2176" s="40"/>
      <c r="AG2176" s="40"/>
      <c r="AH2176" s="40"/>
      <c r="AI2176" s="40"/>
      <c r="AJ2176" s="40"/>
      <c r="AK2176" s="40"/>
      <c r="AL2176" s="40"/>
      <c r="AM2176" s="40"/>
      <c r="AN2176" s="40"/>
      <c r="AO2176" s="40"/>
      <c r="AP2176" s="40"/>
      <c r="AQ2176" s="40"/>
      <c r="AR2176" s="40"/>
      <c r="AS2176" s="40"/>
      <c r="AT2176" s="40"/>
      <c r="AU2176" s="40"/>
      <c r="AV2176" s="108"/>
      <c r="AW2176" s="40"/>
      <c r="AX2176" s="40"/>
      <c r="AY2176" s="108"/>
      <c r="AZ2176" s="40"/>
      <c r="BA2176" s="40"/>
      <c r="BB2176" s="40"/>
      <c r="BC2176" s="40"/>
      <c r="BD2176" s="40"/>
      <c r="BE2176" s="40"/>
      <c r="BF2176" s="40"/>
      <c r="BG2176" s="40"/>
      <c r="BH2176" s="40"/>
      <c r="BI2176" s="40"/>
      <c r="BJ2176" s="40"/>
      <c r="BK2176" s="40"/>
      <c r="BL2176" s="62">
        <v>0</v>
      </c>
      <c r="BM2176" s="275">
        <v>3</v>
      </c>
      <c r="BN2176" s="62">
        <v>0.03</v>
      </c>
      <c r="BO2176" s="33" t="s">
        <v>752</v>
      </c>
    </row>
    <row r="2177" spans="1:68">
      <c r="A2177" s="33" t="str">
        <f>Database_Productkaarten[[#This Row],[Product]]&amp;", "&amp;Database_Productkaarten[[#This Row],[Levensfase]]</f>
        <v>Kunststof Inflitratiekrat, A2</v>
      </c>
      <c r="B2177" s="33" t="s">
        <v>60</v>
      </c>
      <c r="C2177" s="33" t="s">
        <v>48</v>
      </c>
      <c r="D2177" s="33" t="s">
        <v>751</v>
      </c>
      <c r="E2177" s="33" t="s">
        <v>385</v>
      </c>
      <c r="F2177" s="33" t="s">
        <v>75</v>
      </c>
      <c r="G2177" s="33">
        <v>1</v>
      </c>
      <c r="H2177" s="33">
        <v>1</v>
      </c>
      <c r="M2177" s="271">
        <v>1.4E-2</v>
      </c>
      <c r="N2177" s="41"/>
      <c r="O2177" s="33">
        <v>15</v>
      </c>
      <c r="P2177" s="40"/>
      <c r="Q2177" s="40"/>
      <c r="R2177" s="40"/>
      <c r="S2177" s="40"/>
      <c r="T2177" s="40"/>
      <c r="U2177" s="40"/>
      <c r="V2177" s="40"/>
      <c r="W2177" s="40"/>
      <c r="X2177" s="40"/>
      <c r="Y2177" s="40"/>
      <c r="Z2177" s="40"/>
      <c r="AA2177" s="40"/>
      <c r="AB2177" s="40"/>
      <c r="AC2177" s="40"/>
      <c r="AD2177" s="40"/>
      <c r="AE2177" s="40"/>
      <c r="AF2177" s="40"/>
      <c r="AG2177" s="40"/>
      <c r="AH2177" s="40"/>
      <c r="AI2177" s="40"/>
      <c r="AJ2177" s="40"/>
      <c r="AK2177" s="40"/>
      <c r="AL2177" s="40"/>
      <c r="AM2177" s="40"/>
      <c r="AN2177" s="40"/>
      <c r="AO2177" s="40"/>
      <c r="AP2177" s="40"/>
      <c r="AQ2177" s="40"/>
      <c r="AR2177" s="40"/>
      <c r="AS2177" s="40"/>
      <c r="AT2177" s="40"/>
      <c r="AU2177" s="40"/>
      <c r="AV2177" s="108"/>
      <c r="AW2177" s="40"/>
      <c r="AX2177" s="40"/>
      <c r="AY2177" s="108"/>
      <c r="AZ2177" s="40"/>
      <c r="BA2177" s="40"/>
      <c r="BB2177" s="40"/>
      <c r="BC2177" s="40"/>
      <c r="BD2177" s="40"/>
      <c r="BE2177" s="40"/>
      <c r="BF2177" s="40"/>
      <c r="BG2177" s="40"/>
      <c r="BH2177" s="40"/>
      <c r="BI2177" s="40"/>
      <c r="BJ2177" s="40"/>
      <c r="BK2177" s="40"/>
      <c r="BL2177" s="62">
        <v>0</v>
      </c>
      <c r="BM2177" s="275">
        <v>3</v>
      </c>
      <c r="BN2177" s="62">
        <v>0.03</v>
      </c>
      <c r="BO2177" s="33" t="s">
        <v>752</v>
      </c>
    </row>
    <row r="2178" spans="1:68">
      <c r="A2178" s="33" t="str">
        <f>Database_Productkaarten[[#This Row],[Product]]&amp;", "&amp;Database_Productkaarten[[#This Row],[Levensfase]]</f>
        <v>Kunststof Inflitratiekrat, A3</v>
      </c>
      <c r="B2178" s="33" t="s">
        <v>60</v>
      </c>
      <c r="C2178" s="33" t="s">
        <v>48</v>
      </c>
      <c r="D2178" s="33" t="s">
        <v>751</v>
      </c>
      <c r="E2178" s="33" t="s">
        <v>385</v>
      </c>
      <c r="F2178" s="33" t="s">
        <v>76</v>
      </c>
      <c r="G2178" s="33">
        <v>1</v>
      </c>
      <c r="H2178" s="33">
        <v>1</v>
      </c>
      <c r="M2178" s="271">
        <v>1.4E-2</v>
      </c>
      <c r="N2178" s="41"/>
      <c r="O2178" s="33">
        <v>15</v>
      </c>
      <c r="P2178" s="40"/>
      <c r="Q2178" s="40"/>
      <c r="R2178" s="40"/>
      <c r="S2178" s="40"/>
      <c r="T2178" s="40"/>
      <c r="U2178" s="40"/>
      <c r="V2178" s="40"/>
      <c r="W2178" s="40"/>
      <c r="X2178" s="40"/>
      <c r="Y2178" s="40"/>
      <c r="Z2178" s="40"/>
      <c r="AA2178" s="40"/>
      <c r="AB2178" s="40"/>
      <c r="AC2178" s="40"/>
      <c r="AD2178" s="40"/>
      <c r="AE2178" s="40"/>
      <c r="AF2178" s="40"/>
      <c r="AG2178" s="40"/>
      <c r="AH2178" s="40"/>
      <c r="AI2178" s="40"/>
      <c r="AJ2178" s="40"/>
      <c r="AK2178" s="40"/>
      <c r="AL2178" s="40"/>
      <c r="AM2178" s="40"/>
      <c r="AN2178" s="40"/>
      <c r="AO2178" s="40"/>
      <c r="AP2178" s="40"/>
      <c r="AQ2178" s="40"/>
      <c r="AR2178" s="40"/>
      <c r="AS2178" s="40"/>
      <c r="AT2178" s="40"/>
      <c r="AU2178" s="40"/>
      <c r="AV2178" s="108"/>
      <c r="AW2178" s="40"/>
      <c r="AX2178" s="40"/>
      <c r="AY2178" s="108"/>
      <c r="AZ2178" s="40"/>
      <c r="BA2178" s="40"/>
      <c r="BB2178" s="40"/>
      <c r="BC2178" s="40"/>
      <c r="BD2178" s="40"/>
      <c r="BE2178" s="40"/>
      <c r="BF2178" s="40"/>
      <c r="BG2178" s="40"/>
      <c r="BH2178" s="40"/>
      <c r="BI2178" s="40"/>
      <c r="BJ2178" s="40"/>
      <c r="BK2178" s="40"/>
      <c r="BL2178" s="62">
        <v>0</v>
      </c>
      <c r="BM2178" s="275">
        <v>3</v>
      </c>
      <c r="BN2178" s="62">
        <v>0.03</v>
      </c>
      <c r="BO2178" s="33" t="s">
        <v>752</v>
      </c>
    </row>
    <row r="2179" spans="1:68">
      <c r="A2179" s="33" t="str">
        <f>Database_Productkaarten[[#This Row],[Product]]&amp;", "&amp;Database_Productkaarten[[#This Row],[Levensfase]]</f>
        <v>Kunststof Inflitratiekrat, A1-A3</v>
      </c>
      <c r="B2179" s="33" t="s">
        <v>60</v>
      </c>
      <c r="C2179" s="33" t="s">
        <v>48</v>
      </c>
      <c r="D2179" s="33" t="s">
        <v>751</v>
      </c>
      <c r="E2179" s="33" t="s">
        <v>385</v>
      </c>
      <c r="F2179" s="451" t="s">
        <v>77</v>
      </c>
      <c r="G2179" s="33">
        <v>1</v>
      </c>
      <c r="H2179" s="33">
        <v>1</v>
      </c>
      <c r="M2179" s="271">
        <v>1.4E-2</v>
      </c>
      <c r="N2179" s="189">
        <v>4.7130000000000001</v>
      </c>
      <c r="O2179" s="33">
        <v>15</v>
      </c>
      <c r="P2179" s="163">
        <v>4.4000000000000002E-4</v>
      </c>
      <c r="Q2179" s="163">
        <v>0.67</v>
      </c>
      <c r="R2179" s="163">
        <v>50</v>
      </c>
      <c r="S2179" s="163">
        <v>2.2000000000000001E-6</v>
      </c>
      <c r="T2179" s="163">
        <v>3.2000000000000001E-2</v>
      </c>
      <c r="U2179" s="163">
        <v>0.18</v>
      </c>
      <c r="V2179" s="163">
        <v>0.02</v>
      </c>
      <c r="W2179" s="163">
        <v>11</v>
      </c>
      <c r="X2179" s="163">
        <v>0.28999999999999998</v>
      </c>
      <c r="Y2179" s="163">
        <v>1100</v>
      </c>
      <c r="Z2179" s="163">
        <v>5.1999999999999998E-2</v>
      </c>
      <c r="AA2179" s="163">
        <v>0.22</v>
      </c>
      <c r="AB2179" s="163">
        <v>51</v>
      </c>
      <c r="AC2179" s="163">
        <v>-0.8</v>
      </c>
      <c r="AD2179" s="163">
        <v>52</v>
      </c>
      <c r="AE2179" s="163">
        <v>3.5999999999999997E-2</v>
      </c>
      <c r="AF2179" s="163">
        <v>660</v>
      </c>
      <c r="AG2179" s="163">
        <v>1.7E-6</v>
      </c>
      <c r="AH2179" s="163">
        <v>3.9E-2</v>
      </c>
      <c r="AI2179" s="163">
        <v>1.6000000000000001E-3</v>
      </c>
      <c r="AJ2179" s="163">
        <v>0.43</v>
      </c>
      <c r="AK2179" s="163">
        <v>1.4E-8</v>
      </c>
      <c r="AL2179" s="163">
        <v>3.9999999999999998E-7</v>
      </c>
      <c r="AM2179" s="163">
        <v>1.6</v>
      </c>
      <c r="AN2179" s="163">
        <v>180</v>
      </c>
      <c r="AO2179" s="163">
        <v>2.3E-6</v>
      </c>
      <c r="AP2179" s="163">
        <v>0.16</v>
      </c>
      <c r="AQ2179" s="163">
        <v>1300</v>
      </c>
      <c r="AR2179" s="163">
        <v>4.4000000000000002E-4</v>
      </c>
      <c r="AS2179" s="163">
        <v>19</v>
      </c>
      <c r="AT2179" s="163"/>
      <c r="AU2179" s="163"/>
      <c r="AV2179" s="163">
        <v>49</v>
      </c>
      <c r="AW2179" s="40"/>
      <c r="AX2179" s="163"/>
      <c r="AY2179" s="163">
        <v>1400</v>
      </c>
      <c r="AZ2179" s="40"/>
      <c r="BA2179" s="163"/>
      <c r="BB2179" s="163"/>
      <c r="BC2179" s="163">
        <v>0.48</v>
      </c>
      <c r="BD2179" s="40">
        <v>8.0999999999999996E-4</v>
      </c>
      <c r="BE2179" s="40">
        <v>3.6</v>
      </c>
      <c r="BF2179" s="40">
        <v>1.4E-3</v>
      </c>
      <c r="BG2179" s="40"/>
      <c r="BH2179" s="163"/>
      <c r="BI2179" s="163"/>
      <c r="BJ2179" s="163"/>
      <c r="BK2179" s="163"/>
      <c r="BL2179" s="62">
        <v>0</v>
      </c>
      <c r="BM2179" s="275">
        <v>3</v>
      </c>
      <c r="BN2179" s="62">
        <v>0.03</v>
      </c>
      <c r="BO2179" s="33" t="s">
        <v>752</v>
      </c>
    </row>
    <row r="2180" spans="1:68">
      <c r="A2180" s="33" t="str">
        <f>Database_Productkaarten[[#This Row],[Product]]&amp;", "&amp;Database_Productkaarten[[#This Row],[Levensfase]]</f>
        <v>Kunststof Inflitratiekrat, A4</v>
      </c>
      <c r="B2180" s="33" t="s">
        <v>60</v>
      </c>
      <c r="C2180" s="33" t="s">
        <v>48</v>
      </c>
      <c r="D2180" s="33" t="s">
        <v>751</v>
      </c>
      <c r="E2180" s="33" t="s">
        <v>385</v>
      </c>
      <c r="F2180" s="33" t="s">
        <v>78</v>
      </c>
      <c r="G2180" s="33">
        <v>1</v>
      </c>
      <c r="H2180" s="33">
        <v>1</v>
      </c>
      <c r="M2180" s="271">
        <v>1.4E-2</v>
      </c>
      <c r="N2180" s="189">
        <v>3.4000000000000002E-2</v>
      </c>
      <c r="O2180" s="33">
        <v>15</v>
      </c>
      <c r="P2180" s="163">
        <v>7.1999999999999997E-6</v>
      </c>
      <c r="Q2180" s="163">
        <v>2.0999999999999999E-3</v>
      </c>
      <c r="R2180" s="163">
        <v>0.28000000000000003</v>
      </c>
      <c r="S2180" s="163">
        <v>4.9999999999999998E-8</v>
      </c>
      <c r="T2180" s="163">
        <v>1.7000000000000001E-4</v>
      </c>
      <c r="U2180" s="163">
        <v>1.1999999999999999E-3</v>
      </c>
      <c r="V2180" s="163">
        <v>2.4000000000000001E-4</v>
      </c>
      <c r="W2180" s="163">
        <v>0.12</v>
      </c>
      <c r="X2180" s="163">
        <v>3.5000000000000001E-3</v>
      </c>
      <c r="Y2180" s="163">
        <v>12</v>
      </c>
      <c r="Z2180" s="163">
        <v>4.2000000000000002E-4</v>
      </c>
      <c r="AA2180" s="163">
        <v>1.6000000000000001E-3</v>
      </c>
      <c r="AB2180" s="163">
        <v>0.28000000000000003</v>
      </c>
      <c r="AC2180" s="163">
        <v>1.2999999999999999E-4</v>
      </c>
      <c r="AD2180" s="163">
        <v>0.28000000000000003</v>
      </c>
      <c r="AE2180" s="163">
        <v>1E-4</v>
      </c>
      <c r="AF2180" s="163">
        <v>3.8</v>
      </c>
      <c r="AG2180" s="163">
        <v>2.4999999999999999E-8</v>
      </c>
      <c r="AH2180" s="163">
        <v>5.8E-4</v>
      </c>
      <c r="AI2180" s="163">
        <v>2.9000000000000002E-6</v>
      </c>
      <c r="AJ2180" s="163">
        <v>6.4000000000000003E-3</v>
      </c>
      <c r="AK2180" s="163">
        <v>1.2E-10</v>
      </c>
      <c r="AL2180" s="163">
        <v>4.2000000000000004E-9</v>
      </c>
      <c r="AM2180" s="163">
        <v>1.7999999999999999E-2</v>
      </c>
      <c r="AN2180" s="163">
        <v>3.7</v>
      </c>
      <c r="AO2180" s="163">
        <v>6.2999999999999995E-8</v>
      </c>
      <c r="AP2180" s="163">
        <v>1.8E-3</v>
      </c>
      <c r="AQ2180" s="163">
        <v>4.3</v>
      </c>
      <c r="AR2180" s="163">
        <v>7.1999999999999997E-6</v>
      </c>
      <c r="AS2180" s="163">
        <v>1.4999999999999999E-2</v>
      </c>
      <c r="AT2180" s="163"/>
      <c r="AU2180" s="163"/>
      <c r="AV2180" s="163">
        <v>5.3999999999999999E-2</v>
      </c>
      <c r="AW2180" s="40"/>
      <c r="AX2180" s="163"/>
      <c r="AY2180" s="163">
        <v>4.5</v>
      </c>
      <c r="AZ2180" s="40"/>
      <c r="BA2180" s="163"/>
      <c r="BB2180" s="163"/>
      <c r="BC2180" s="163">
        <v>5.1999999999999995E-4</v>
      </c>
      <c r="BD2180" s="40">
        <v>1.1E-5</v>
      </c>
      <c r="BE2180" s="40">
        <v>0.27</v>
      </c>
      <c r="BF2180" s="40">
        <v>2.8E-5</v>
      </c>
      <c r="BG2180" s="40"/>
      <c r="BH2180" s="163"/>
      <c r="BI2180" s="163"/>
      <c r="BJ2180" s="163"/>
      <c r="BK2180" s="163"/>
      <c r="BL2180" s="62">
        <v>0</v>
      </c>
      <c r="BM2180" s="275">
        <v>3</v>
      </c>
      <c r="BN2180" s="62">
        <v>0.03</v>
      </c>
      <c r="BO2180" s="33" t="s">
        <v>752</v>
      </c>
    </row>
    <row r="2181" spans="1:68">
      <c r="A2181" s="33" t="str">
        <f>Database_Productkaarten[[#This Row],[Product]]&amp;", "&amp;Database_Productkaarten[[#This Row],[Levensfase]]</f>
        <v>Kunststof Inflitratiekrat, A5</v>
      </c>
      <c r="B2181" s="33" t="s">
        <v>60</v>
      </c>
      <c r="C2181" s="33" t="s">
        <v>48</v>
      </c>
      <c r="D2181" s="33" t="s">
        <v>751</v>
      </c>
      <c r="E2181" s="33" t="s">
        <v>385</v>
      </c>
      <c r="F2181" s="33" t="s">
        <v>79</v>
      </c>
      <c r="G2181" s="33">
        <v>1</v>
      </c>
      <c r="H2181" s="33">
        <v>1</v>
      </c>
      <c r="M2181" s="271">
        <v>1.4E-2</v>
      </c>
      <c r="N2181" s="189">
        <v>0.66400000000000003</v>
      </c>
      <c r="O2181" s="33">
        <v>15</v>
      </c>
      <c r="P2181" s="163">
        <v>2.0000000000000002E-5</v>
      </c>
      <c r="Q2181" s="163">
        <v>4.2999999999999997E-2</v>
      </c>
      <c r="R2181" s="163">
        <v>5.9</v>
      </c>
      <c r="S2181" s="163">
        <v>6.9999999999999997E-7</v>
      </c>
      <c r="T2181" s="163">
        <v>4.4999999999999997E-3</v>
      </c>
      <c r="U2181" s="163">
        <v>3.2000000000000001E-2</v>
      </c>
      <c r="V2181" s="163">
        <v>6.6E-3</v>
      </c>
      <c r="W2181" s="163">
        <v>1.7</v>
      </c>
      <c r="X2181" s="163">
        <v>3.1E-2</v>
      </c>
      <c r="Y2181" s="163">
        <v>110</v>
      </c>
      <c r="Z2181" s="163">
        <v>3.8999999999999998E-3</v>
      </c>
      <c r="AA2181" s="163">
        <v>4.3999999999999997E-2</v>
      </c>
      <c r="AB2181" s="163">
        <v>6</v>
      </c>
      <c r="AC2181" s="163">
        <v>-2.3E-2</v>
      </c>
      <c r="AD2181" s="163">
        <v>6</v>
      </c>
      <c r="AE2181" s="163">
        <v>1.4E-3</v>
      </c>
      <c r="AF2181" s="163">
        <v>61</v>
      </c>
      <c r="AG2181" s="163">
        <v>9.9999999999999995E-7</v>
      </c>
      <c r="AH2181" s="163">
        <v>1.7000000000000001E-2</v>
      </c>
      <c r="AI2181" s="163">
        <v>6.3E-5</v>
      </c>
      <c r="AJ2181" s="163">
        <v>0.19</v>
      </c>
      <c r="AK2181" s="163">
        <v>1.6000000000000001E-9</v>
      </c>
      <c r="AL2181" s="163">
        <v>4.1000000000000003E-8</v>
      </c>
      <c r="AM2181" s="163">
        <v>0.26</v>
      </c>
      <c r="AN2181" s="163">
        <v>12</v>
      </c>
      <c r="AO2181" s="163">
        <v>8.6000000000000002E-7</v>
      </c>
      <c r="AP2181" s="163">
        <v>5.3999999999999999E-2</v>
      </c>
      <c r="AQ2181" s="163">
        <v>89</v>
      </c>
      <c r="AR2181" s="163">
        <v>2.0000000000000002E-5</v>
      </c>
      <c r="AS2181" s="163">
        <v>0.68</v>
      </c>
      <c r="AT2181" s="163"/>
      <c r="AU2181" s="163"/>
      <c r="AV2181" s="163">
        <v>1.8</v>
      </c>
      <c r="AW2181" s="40"/>
      <c r="AX2181" s="163"/>
      <c r="AY2181" s="163">
        <v>95</v>
      </c>
      <c r="AZ2181" s="40"/>
      <c r="BA2181" s="163"/>
      <c r="BB2181" s="163"/>
      <c r="BC2181" s="163">
        <v>1.7999999999999999E-2</v>
      </c>
      <c r="BD2181" s="40">
        <v>1.6000000000000001E-4</v>
      </c>
      <c r="BE2181" s="40">
        <v>0.24</v>
      </c>
      <c r="BF2181" s="40">
        <v>3.8000000000000002E-4</v>
      </c>
      <c r="BG2181" s="40"/>
      <c r="BH2181" s="163"/>
      <c r="BI2181" s="163"/>
      <c r="BJ2181" s="163"/>
      <c r="BK2181" s="163"/>
      <c r="BL2181" s="62">
        <v>0</v>
      </c>
      <c r="BM2181" s="275">
        <v>3</v>
      </c>
      <c r="BN2181" s="62">
        <v>0.03</v>
      </c>
      <c r="BO2181" s="33" t="s">
        <v>752</v>
      </c>
    </row>
    <row r="2182" spans="1:68">
      <c r="A2182" s="33" t="str">
        <f>Database_Productkaarten[[#This Row],[Product]]&amp;", "&amp;Database_Productkaarten[[#This Row],[Levensfase]]</f>
        <v>Kunststof Inflitratiekrat, B1</v>
      </c>
      <c r="B2182" s="33" t="s">
        <v>60</v>
      </c>
      <c r="C2182" s="33" t="s">
        <v>48</v>
      </c>
      <c r="D2182" s="33" t="s">
        <v>751</v>
      </c>
      <c r="E2182" s="33" t="s">
        <v>385</v>
      </c>
      <c r="F2182" s="33" t="s">
        <v>80</v>
      </c>
      <c r="G2182" s="33">
        <v>1</v>
      </c>
      <c r="H2182" s="33">
        <v>1</v>
      </c>
      <c r="M2182" s="271">
        <v>1.4E-2</v>
      </c>
      <c r="N2182" s="189"/>
      <c r="O2182" s="33">
        <v>15</v>
      </c>
      <c r="P2182" s="163">
        <v>0</v>
      </c>
      <c r="Q2182" s="163">
        <v>0</v>
      </c>
      <c r="R2182" s="163">
        <v>0</v>
      </c>
      <c r="S2182" s="163">
        <v>0</v>
      </c>
      <c r="T2182" s="163">
        <v>0</v>
      </c>
      <c r="U2182" s="163">
        <v>0</v>
      </c>
      <c r="V2182" s="163">
        <v>0</v>
      </c>
      <c r="W2182" s="163">
        <v>0</v>
      </c>
      <c r="X2182" s="163">
        <v>0</v>
      </c>
      <c r="Y2182" s="163">
        <v>0</v>
      </c>
      <c r="Z2182" s="163">
        <v>0</v>
      </c>
      <c r="AA2182" s="163">
        <v>0</v>
      </c>
      <c r="AB2182" s="163">
        <v>0</v>
      </c>
      <c r="AC2182" s="163">
        <v>0</v>
      </c>
      <c r="AD2182" s="163">
        <v>0</v>
      </c>
      <c r="AE2182" s="163">
        <v>0</v>
      </c>
      <c r="AF2182" s="163">
        <v>0</v>
      </c>
      <c r="AG2182" s="163">
        <v>0</v>
      </c>
      <c r="AH2182" s="163">
        <v>0</v>
      </c>
      <c r="AI2182" s="163">
        <v>0</v>
      </c>
      <c r="AJ2182" s="163">
        <v>0</v>
      </c>
      <c r="AK2182" s="163">
        <v>0</v>
      </c>
      <c r="AL2182" s="163">
        <v>0</v>
      </c>
      <c r="AM2182" s="163">
        <v>0</v>
      </c>
      <c r="AN2182" s="163">
        <v>0</v>
      </c>
      <c r="AO2182" s="163">
        <v>0</v>
      </c>
      <c r="AP2182" s="163">
        <v>0</v>
      </c>
      <c r="AQ2182" s="163">
        <v>0</v>
      </c>
      <c r="AR2182" s="163">
        <v>0</v>
      </c>
      <c r="AS2182" s="163">
        <v>0</v>
      </c>
      <c r="AT2182" s="163"/>
      <c r="AU2182" s="163"/>
      <c r="AV2182" s="163">
        <v>0</v>
      </c>
      <c r="AW2182" s="40"/>
      <c r="AX2182" s="163"/>
      <c r="AY2182" s="163">
        <v>0</v>
      </c>
      <c r="AZ2182" s="40"/>
      <c r="BA2182" s="163"/>
      <c r="BB2182" s="163"/>
      <c r="BC2182" s="163">
        <v>0</v>
      </c>
      <c r="BD2182" s="40">
        <v>0</v>
      </c>
      <c r="BE2182" s="40">
        <v>0</v>
      </c>
      <c r="BF2182" s="40">
        <v>0</v>
      </c>
      <c r="BG2182" s="40"/>
      <c r="BH2182" s="163"/>
      <c r="BI2182" s="163"/>
      <c r="BJ2182" s="163"/>
      <c r="BK2182" s="163"/>
      <c r="BL2182" s="62">
        <v>0</v>
      </c>
      <c r="BM2182" s="275">
        <v>3</v>
      </c>
      <c r="BN2182" s="62">
        <v>0.03</v>
      </c>
      <c r="BO2182" s="33" t="s">
        <v>752</v>
      </c>
    </row>
    <row r="2183" spans="1:68">
      <c r="A2183" s="33" t="str">
        <f>Database_Productkaarten[[#This Row],[Product]]&amp;", "&amp;Database_Productkaarten[[#This Row],[Levensfase]]</f>
        <v>Kunststof Inflitratiekrat, C1</v>
      </c>
      <c r="B2183" s="33" t="s">
        <v>60</v>
      </c>
      <c r="C2183" s="33" t="s">
        <v>48</v>
      </c>
      <c r="D2183" s="33" t="s">
        <v>751</v>
      </c>
      <c r="E2183" s="33" t="s">
        <v>385</v>
      </c>
      <c r="F2183" s="33" t="s">
        <v>83</v>
      </c>
      <c r="G2183" s="33">
        <v>1</v>
      </c>
      <c r="H2183" s="33">
        <v>1</v>
      </c>
      <c r="M2183" s="271">
        <v>1.4E-2</v>
      </c>
      <c r="N2183" s="189">
        <v>0.23200000000000001</v>
      </c>
      <c r="O2183" s="33">
        <v>15</v>
      </c>
      <c r="P2183" s="163">
        <v>2.7E-6</v>
      </c>
      <c r="Q2183" s="163">
        <v>1.0999999999999999E-2</v>
      </c>
      <c r="R2183" s="163">
        <v>1.7</v>
      </c>
      <c r="S2183" s="163">
        <v>2.9999999999999999E-7</v>
      </c>
      <c r="T2183" s="163">
        <v>1.8E-3</v>
      </c>
      <c r="U2183" s="163">
        <v>1.2999999999999999E-2</v>
      </c>
      <c r="V2183" s="163">
        <v>3.0000000000000001E-3</v>
      </c>
      <c r="W2183" s="163">
        <v>0.64</v>
      </c>
      <c r="X2183" s="163">
        <v>8.8999999999999999E-3</v>
      </c>
      <c r="Y2183" s="163">
        <v>31</v>
      </c>
      <c r="Z2183" s="163">
        <v>1.1000000000000001E-3</v>
      </c>
      <c r="AA2183" s="163">
        <v>1.7999999999999999E-2</v>
      </c>
      <c r="AB2183" s="163">
        <v>1.7</v>
      </c>
      <c r="AC2183" s="163">
        <v>4.8999999999999998E-4</v>
      </c>
      <c r="AD2183" s="163">
        <v>1.7</v>
      </c>
      <c r="AE2183" s="163">
        <v>1.3999999999999999E-4</v>
      </c>
      <c r="AF2183" s="163">
        <v>14</v>
      </c>
      <c r="AG2183" s="163">
        <v>4.7999999999999996E-7</v>
      </c>
      <c r="AH2183" s="163">
        <v>8.0999999999999996E-3</v>
      </c>
      <c r="AI2183" s="163">
        <v>6.3999999999999997E-6</v>
      </c>
      <c r="AJ2183" s="163">
        <v>8.7999999999999995E-2</v>
      </c>
      <c r="AK2183" s="163">
        <v>5.1E-10</v>
      </c>
      <c r="AL2183" s="163">
        <v>1.2E-8</v>
      </c>
      <c r="AM2183" s="163">
        <v>0.1</v>
      </c>
      <c r="AN2183" s="163">
        <v>3.1</v>
      </c>
      <c r="AO2183" s="163">
        <v>3.8000000000000001E-7</v>
      </c>
      <c r="AP2183" s="163">
        <v>2.4E-2</v>
      </c>
      <c r="AQ2183" s="163">
        <v>24</v>
      </c>
      <c r="AR2183" s="163">
        <v>2.7E-6</v>
      </c>
      <c r="AS2183" s="163">
        <v>3.2000000000000001E-2</v>
      </c>
      <c r="AT2183" s="163"/>
      <c r="AU2183" s="163"/>
      <c r="AV2183" s="163">
        <v>0.13</v>
      </c>
      <c r="AW2183" s="40"/>
      <c r="AX2183" s="307"/>
      <c r="AY2183" s="163">
        <v>26</v>
      </c>
      <c r="AZ2183" s="40"/>
      <c r="BA2183" s="163"/>
      <c r="BB2183" s="163"/>
      <c r="BC2183" s="163">
        <v>1.1999999999999999E-3</v>
      </c>
      <c r="BD2183" s="40">
        <v>6.4999999999999994E-5</v>
      </c>
      <c r="BE2183" s="40">
        <v>2.8000000000000001E-2</v>
      </c>
      <c r="BF2183" s="40">
        <v>1.7000000000000001E-4</v>
      </c>
      <c r="BG2183" s="40"/>
      <c r="BH2183" s="163"/>
      <c r="BI2183" s="163"/>
      <c r="BJ2183" s="163"/>
      <c r="BK2183" s="163"/>
      <c r="BL2183" s="62">
        <v>0</v>
      </c>
      <c r="BM2183" s="275">
        <v>3</v>
      </c>
      <c r="BN2183" s="62">
        <v>0.03</v>
      </c>
      <c r="BO2183" s="33" t="s">
        <v>752</v>
      </c>
    </row>
    <row r="2184" spans="1:68">
      <c r="A2184" s="33" t="str">
        <f>Database_Productkaarten[[#This Row],[Product]]&amp;", "&amp;Database_Productkaarten[[#This Row],[Levensfase]]</f>
        <v>Kunststof Inflitratiekrat, C2</v>
      </c>
      <c r="B2184" s="33" t="s">
        <v>60</v>
      </c>
      <c r="C2184" s="33" t="s">
        <v>48</v>
      </c>
      <c r="D2184" s="33" t="s">
        <v>751</v>
      </c>
      <c r="E2184" s="33" t="s">
        <v>385</v>
      </c>
      <c r="F2184" s="33" t="s">
        <v>84</v>
      </c>
      <c r="G2184" s="33">
        <v>1</v>
      </c>
      <c r="H2184" s="33">
        <v>1</v>
      </c>
      <c r="M2184" s="271">
        <v>1.4E-2</v>
      </c>
      <c r="N2184" s="189">
        <v>3.2000000000000001E-2</v>
      </c>
      <c r="O2184" s="33">
        <v>15</v>
      </c>
      <c r="P2184" s="163">
        <v>6.7000000000000002E-6</v>
      </c>
      <c r="Q2184" s="163">
        <v>1.9E-3</v>
      </c>
      <c r="R2184" s="163">
        <v>0.26</v>
      </c>
      <c r="S2184" s="163">
        <v>4.6999999999999997E-8</v>
      </c>
      <c r="T2184" s="163">
        <v>1.6000000000000001E-4</v>
      </c>
      <c r="U2184" s="163">
        <v>1.1999999999999999E-3</v>
      </c>
      <c r="V2184" s="163">
        <v>2.3000000000000001E-4</v>
      </c>
      <c r="W2184" s="163">
        <v>0.11</v>
      </c>
      <c r="X2184" s="163">
        <v>3.2000000000000002E-3</v>
      </c>
      <c r="Y2184" s="163">
        <v>12</v>
      </c>
      <c r="Z2184" s="163">
        <v>3.8999999999999999E-4</v>
      </c>
      <c r="AA2184" s="163">
        <v>1.5E-3</v>
      </c>
      <c r="AB2184" s="163">
        <v>0.26</v>
      </c>
      <c r="AC2184" s="163">
        <v>1.2E-4</v>
      </c>
      <c r="AD2184" s="163">
        <v>0.26</v>
      </c>
      <c r="AE2184" s="163">
        <v>9.7E-5</v>
      </c>
      <c r="AF2184" s="163">
        <v>3.6</v>
      </c>
      <c r="AG2184" s="163">
        <v>2.4E-8</v>
      </c>
      <c r="AH2184" s="163">
        <v>5.4000000000000001E-4</v>
      </c>
      <c r="AI2184" s="163">
        <v>2.7E-6</v>
      </c>
      <c r="AJ2184" s="163">
        <v>6.0000000000000001E-3</v>
      </c>
      <c r="AK2184" s="163">
        <v>1.2E-10</v>
      </c>
      <c r="AL2184" s="163">
        <v>3.9000000000000002E-9</v>
      </c>
      <c r="AM2184" s="163">
        <v>1.7000000000000001E-2</v>
      </c>
      <c r="AN2184" s="163">
        <v>3.5</v>
      </c>
      <c r="AO2184" s="163">
        <v>5.8000000000000003E-8</v>
      </c>
      <c r="AP2184" s="163">
        <v>1.6999999999999999E-3</v>
      </c>
      <c r="AQ2184" s="163">
        <v>4</v>
      </c>
      <c r="AR2184" s="163">
        <v>6.7000000000000002E-6</v>
      </c>
      <c r="AS2184" s="163">
        <v>1.4E-2</v>
      </c>
      <c r="AT2184" s="163"/>
      <c r="AU2184" s="163"/>
      <c r="AV2184" s="163">
        <v>0.05</v>
      </c>
      <c r="AW2184" s="40"/>
      <c r="AX2184" s="163"/>
      <c r="AY2184" s="163">
        <v>4.2</v>
      </c>
      <c r="AZ2184" s="40"/>
      <c r="BA2184" s="211"/>
      <c r="BB2184" s="163"/>
      <c r="BC2184" s="163">
        <v>4.8999999999999998E-4</v>
      </c>
      <c r="BD2184" s="40">
        <v>1.0000000000000001E-5</v>
      </c>
      <c r="BE2184" s="40">
        <v>0.25</v>
      </c>
      <c r="BF2184" s="40">
        <v>2.5999999999999998E-5</v>
      </c>
      <c r="BG2184" s="40"/>
      <c r="BH2184" s="163"/>
      <c r="BI2184" s="163"/>
      <c r="BJ2184" s="163"/>
      <c r="BK2184" s="163"/>
      <c r="BL2184" s="62">
        <v>0</v>
      </c>
      <c r="BM2184" s="275">
        <v>3</v>
      </c>
      <c r="BN2184" s="62">
        <v>0.03</v>
      </c>
      <c r="BO2184" s="33" t="s">
        <v>752</v>
      </c>
    </row>
    <row r="2185" spans="1:68">
      <c r="A2185" s="33" t="str">
        <f>Database_Productkaarten[[#This Row],[Product]]&amp;", "&amp;Database_Productkaarten[[#This Row],[Levensfase]]</f>
        <v>Kunststof Inflitratiekrat, C3</v>
      </c>
      <c r="B2185" s="33" t="s">
        <v>60</v>
      </c>
      <c r="C2185" s="33" t="s">
        <v>48</v>
      </c>
      <c r="D2185" s="33" t="s">
        <v>751</v>
      </c>
      <c r="E2185" s="33" t="s">
        <v>385</v>
      </c>
      <c r="F2185" s="33" t="s">
        <v>85</v>
      </c>
      <c r="G2185" s="33">
        <v>1</v>
      </c>
      <c r="H2185" s="33">
        <v>1</v>
      </c>
      <c r="M2185" s="271">
        <v>1.4E-2</v>
      </c>
      <c r="N2185" s="189">
        <v>1.899</v>
      </c>
      <c r="O2185" s="33">
        <v>15</v>
      </c>
      <c r="P2185" s="163">
        <v>4.0000000000000003E-5</v>
      </c>
      <c r="Q2185" s="163">
        <v>1.2999999999999999E-2</v>
      </c>
      <c r="R2185" s="163">
        <v>32</v>
      </c>
      <c r="S2185" s="163">
        <v>9.7000000000000003E-7</v>
      </c>
      <c r="T2185" s="163">
        <v>1.1000000000000001E-3</v>
      </c>
      <c r="U2185" s="163">
        <v>1.0999999999999999E-2</v>
      </c>
      <c r="V2185" s="163">
        <v>1.8E-3</v>
      </c>
      <c r="W2185" s="163">
        <v>2.2999999999999998</v>
      </c>
      <c r="X2185" s="163">
        <v>0.12</v>
      </c>
      <c r="Y2185" s="163">
        <v>350</v>
      </c>
      <c r="Z2185" s="163">
        <v>5.7999999999999996E-3</v>
      </c>
      <c r="AA2185" s="163">
        <v>1.4E-2</v>
      </c>
      <c r="AB2185" s="163">
        <v>32</v>
      </c>
      <c r="AC2185" s="163">
        <v>4.8999999999999998E-3</v>
      </c>
      <c r="AD2185" s="163">
        <v>32</v>
      </c>
      <c r="AE2185" s="163">
        <v>2.5999999999999999E-3</v>
      </c>
      <c r="AF2185" s="163">
        <v>400</v>
      </c>
      <c r="AG2185" s="163">
        <v>1.1000000000000001E-7</v>
      </c>
      <c r="AH2185" s="163">
        <v>3.8999999999999998E-3</v>
      </c>
      <c r="AI2185" s="163">
        <v>9.5000000000000005E-5</v>
      </c>
      <c r="AJ2185" s="163">
        <v>4.2999999999999997E-2</v>
      </c>
      <c r="AK2185" s="163">
        <v>6.1E-9</v>
      </c>
      <c r="AL2185" s="163">
        <v>1.3E-7</v>
      </c>
      <c r="AM2185" s="163">
        <v>0.1</v>
      </c>
      <c r="AN2185" s="163">
        <v>8.6999999999999993</v>
      </c>
      <c r="AO2185" s="163">
        <v>9.7000000000000003E-7</v>
      </c>
      <c r="AP2185" s="163">
        <v>1.2E-2</v>
      </c>
      <c r="AQ2185" s="163">
        <v>24</v>
      </c>
      <c r="AR2185" s="163">
        <v>4.0000000000000003E-5</v>
      </c>
      <c r="AS2185" s="163">
        <v>1.6</v>
      </c>
      <c r="AT2185" s="163"/>
      <c r="AU2185" s="163"/>
      <c r="AV2185" s="163">
        <v>2.5</v>
      </c>
      <c r="AW2185" s="40"/>
      <c r="AX2185" s="163"/>
      <c r="AY2185" s="211">
        <v>26</v>
      </c>
      <c r="AZ2185" s="40"/>
      <c r="BA2185" s="163"/>
      <c r="BB2185" s="163"/>
      <c r="BC2185" s="163">
        <v>4.8000000000000001E-2</v>
      </c>
      <c r="BD2185" s="40">
        <v>4.6999999999999997E-5</v>
      </c>
      <c r="BE2185" s="40">
        <v>0.59</v>
      </c>
      <c r="BF2185" s="40">
        <v>8.7000000000000001E-5</v>
      </c>
      <c r="BG2185" s="40"/>
      <c r="BH2185" s="211"/>
      <c r="BI2185" s="163"/>
      <c r="BJ2185" s="163"/>
      <c r="BK2185" s="163"/>
      <c r="BL2185" s="62">
        <v>0</v>
      </c>
      <c r="BM2185" s="275">
        <v>3</v>
      </c>
      <c r="BN2185" s="62">
        <v>0.03</v>
      </c>
      <c r="BO2185" s="33" t="s">
        <v>752</v>
      </c>
    </row>
    <row r="2186" spans="1:68">
      <c r="A2186" s="33" t="str">
        <f>Database_Productkaarten[[#This Row],[Product]]&amp;", "&amp;Database_Productkaarten[[#This Row],[Levensfase]]</f>
        <v>Kunststof Inflitratiekrat, C4</v>
      </c>
      <c r="B2186" s="33" t="s">
        <v>60</v>
      </c>
      <c r="C2186" s="33" t="s">
        <v>48</v>
      </c>
      <c r="D2186" s="33" t="s">
        <v>751</v>
      </c>
      <c r="E2186" s="33" t="s">
        <v>385</v>
      </c>
      <c r="F2186" s="33" t="s">
        <v>86</v>
      </c>
      <c r="G2186" s="33">
        <v>1</v>
      </c>
      <c r="H2186" s="33">
        <v>1</v>
      </c>
      <c r="M2186" s="271">
        <v>1.4E-2</v>
      </c>
      <c r="N2186" s="189">
        <v>1.2999999999999999E-2</v>
      </c>
      <c r="O2186" s="33">
        <v>15</v>
      </c>
      <c r="P2186" s="163">
        <v>1.6E-7</v>
      </c>
      <c r="Q2186" s="163">
        <v>1.7000000000000001E-4</v>
      </c>
      <c r="R2186" s="163">
        <v>0.18</v>
      </c>
      <c r="S2186" s="163">
        <v>3.7E-9</v>
      </c>
      <c r="T2186" s="163">
        <v>4.0000000000000003E-5</v>
      </c>
      <c r="U2186" s="163">
        <v>9.7999999999999997E-5</v>
      </c>
      <c r="V2186" s="163">
        <v>4.0000000000000003E-5</v>
      </c>
      <c r="W2186" s="163">
        <v>1.4999999999999999E-2</v>
      </c>
      <c r="X2186" s="163">
        <v>1.4999999999999999E-2</v>
      </c>
      <c r="Y2186" s="163">
        <v>15</v>
      </c>
      <c r="Z2186" s="163">
        <v>2.5000000000000001E-5</v>
      </c>
      <c r="AA2186" s="163">
        <v>1.2999999999999999E-4</v>
      </c>
      <c r="AB2186" s="163">
        <v>0.21</v>
      </c>
      <c r="AC2186" s="163">
        <v>1.6000000000000001E-4</v>
      </c>
      <c r="AD2186" s="163">
        <v>0.21</v>
      </c>
      <c r="AE2186" s="163">
        <v>7.3000000000000004E-6</v>
      </c>
      <c r="AF2186" s="163">
        <v>0.37</v>
      </c>
      <c r="AG2186" s="163">
        <v>2.4E-9</v>
      </c>
      <c r="AH2186" s="163">
        <v>7.7999999999999999E-5</v>
      </c>
      <c r="AI2186" s="163">
        <v>2.7000000000000001E-7</v>
      </c>
      <c r="AJ2186" s="163">
        <v>4.8000000000000001E-4</v>
      </c>
      <c r="AK2186" s="163">
        <v>9.7999999999999994E-12</v>
      </c>
      <c r="AL2186" s="163">
        <v>2.4E-10</v>
      </c>
      <c r="AM2186" s="163">
        <v>1.4E-3</v>
      </c>
      <c r="AN2186" s="163">
        <v>0.83</v>
      </c>
      <c r="AO2186" s="163">
        <v>4.5999999999999998E-9</v>
      </c>
      <c r="AP2186" s="163">
        <v>1.8000000000000001E-4</v>
      </c>
      <c r="AQ2186" s="163">
        <v>0.35</v>
      </c>
      <c r="AR2186" s="163">
        <v>1.6E-7</v>
      </c>
      <c r="AS2186" s="163">
        <v>1.4999999999999999E-2</v>
      </c>
      <c r="AT2186" s="163"/>
      <c r="AU2186" s="163"/>
      <c r="AV2186" s="211">
        <v>6.1999999999999998E-3</v>
      </c>
      <c r="AW2186" s="40"/>
      <c r="AX2186" s="163"/>
      <c r="AY2186" s="163">
        <v>0.37</v>
      </c>
      <c r="AZ2186" s="40"/>
      <c r="BA2186" s="211"/>
      <c r="BB2186" s="163"/>
      <c r="BC2186" s="163">
        <v>3.6999999999999999E-4</v>
      </c>
      <c r="BD2186" s="40">
        <v>5.3000000000000001E-7</v>
      </c>
      <c r="BE2186" s="40">
        <v>1.4</v>
      </c>
      <c r="BF2186" s="40">
        <v>2.0999999999999998E-6</v>
      </c>
      <c r="BG2186" s="40"/>
      <c r="BH2186" s="163"/>
      <c r="BI2186" s="163"/>
      <c r="BJ2186" s="211"/>
      <c r="BK2186" s="163"/>
      <c r="BL2186" s="62">
        <v>0</v>
      </c>
      <c r="BM2186" s="275">
        <v>3</v>
      </c>
      <c r="BN2186" s="62">
        <v>0.03</v>
      </c>
      <c r="BO2186" s="33" t="s">
        <v>752</v>
      </c>
    </row>
    <row r="2187" spans="1:68">
      <c r="A2187" s="33" t="str">
        <f>Database_Productkaarten[[#This Row],[Product]]&amp;", "&amp;Database_Productkaarten[[#This Row],[Levensfase]]</f>
        <v>Kunststof Inflitratiekrat, D</v>
      </c>
      <c r="B2187" s="33" t="s">
        <v>60</v>
      </c>
      <c r="C2187" s="33" t="s">
        <v>48</v>
      </c>
      <c r="D2187" s="33" t="s">
        <v>751</v>
      </c>
      <c r="E2187" s="33" t="s">
        <v>385</v>
      </c>
      <c r="F2187" s="33" t="s">
        <v>89</v>
      </c>
      <c r="G2187" s="33">
        <v>1</v>
      </c>
      <c r="H2187" s="33">
        <v>1</v>
      </c>
      <c r="M2187" s="271">
        <v>1.4E-2</v>
      </c>
      <c r="N2187" s="189">
        <v>-1.194</v>
      </c>
      <c r="O2187" s="33">
        <v>15</v>
      </c>
      <c r="P2187" s="163">
        <v>-1.1E-5</v>
      </c>
      <c r="Q2187" s="163">
        <v>-0.18</v>
      </c>
      <c r="R2187" s="163">
        <v>-20</v>
      </c>
      <c r="S2187" s="163">
        <v>-2.2000000000000001E-6</v>
      </c>
      <c r="T2187" s="163">
        <v>-3.3E-3</v>
      </c>
      <c r="U2187" s="163">
        <v>-1.4E-2</v>
      </c>
      <c r="V2187" s="163">
        <v>-2E-3</v>
      </c>
      <c r="W2187" s="163">
        <v>-1.1000000000000001</v>
      </c>
      <c r="X2187" s="163">
        <v>-1.2E-2</v>
      </c>
      <c r="Y2187" s="163">
        <v>-50</v>
      </c>
      <c r="Z2187" s="163">
        <v>-3.5000000000000001E-3</v>
      </c>
      <c r="AA2187" s="163">
        <v>-1.7999999999999999E-2</v>
      </c>
      <c r="AB2187" s="163">
        <v>-20</v>
      </c>
      <c r="AC2187" s="163">
        <v>-8.3999999999999995E-3</v>
      </c>
      <c r="AD2187" s="163">
        <v>-20</v>
      </c>
      <c r="AE2187" s="163">
        <v>-7.3999999999999999E-4</v>
      </c>
      <c r="AF2187" s="163">
        <v>-22</v>
      </c>
      <c r="AG2187" s="163">
        <v>-6.4000000000000004E-8</v>
      </c>
      <c r="AH2187" s="163">
        <v>-5.1000000000000004E-3</v>
      </c>
      <c r="AI2187" s="163">
        <v>-3.1999999999999999E-5</v>
      </c>
      <c r="AJ2187" s="163">
        <v>-5.6000000000000001E-2</v>
      </c>
      <c r="AK2187" s="163">
        <v>-1.3999999999999999E-9</v>
      </c>
      <c r="AL2187" s="163">
        <v>-2.0999999999999999E-8</v>
      </c>
      <c r="AM2187" s="163">
        <v>-0.12</v>
      </c>
      <c r="AN2187" s="163">
        <v>-5.4</v>
      </c>
      <c r="AO2187" s="163">
        <v>-2.5000000000000002E-6</v>
      </c>
      <c r="AP2187" s="163">
        <v>-1.9E-2</v>
      </c>
      <c r="AQ2187" s="163">
        <v>-340</v>
      </c>
      <c r="AR2187" s="163">
        <v>-1.1E-5</v>
      </c>
      <c r="AS2187" s="163">
        <v>-1.9</v>
      </c>
      <c r="AT2187" s="163"/>
      <c r="AU2187" s="163"/>
      <c r="AV2187" s="163">
        <v>-1.1000000000000001</v>
      </c>
      <c r="AW2187" s="40"/>
      <c r="AX2187" s="163"/>
      <c r="AY2187" s="211">
        <v>-380</v>
      </c>
      <c r="AZ2187" s="40"/>
      <c r="BA2187" s="163"/>
      <c r="BB2187" s="163"/>
      <c r="BC2187" s="163">
        <v>-2.5999999999999999E-2</v>
      </c>
      <c r="BD2187" s="40">
        <v>-4.0999999999999999E-4</v>
      </c>
      <c r="BE2187" s="40">
        <v>-0.15</v>
      </c>
      <c r="BF2187" s="40">
        <v>-1.7000000000000001E-4</v>
      </c>
      <c r="BG2187" s="40"/>
      <c r="BH2187" s="163"/>
      <c r="BI2187" s="211"/>
      <c r="BJ2187" s="163"/>
      <c r="BK2187" s="163"/>
      <c r="BL2187" s="62">
        <v>0</v>
      </c>
      <c r="BM2187" s="275">
        <v>3</v>
      </c>
      <c r="BN2187" s="62">
        <v>0.03</v>
      </c>
      <c r="BO2187" s="33" t="s">
        <v>752</v>
      </c>
    </row>
    <row r="2188" spans="1:68">
      <c r="A2188" s="33" t="str">
        <f>Database_Productkaarten[[#This Row],[Product]]&amp;", "&amp;Database_Productkaarten[[#This Row],[Levensfase]]</f>
        <v>Kunststof Inflitratiekrat, D1</v>
      </c>
      <c r="B2188" s="33" t="s">
        <v>60</v>
      </c>
      <c r="C2188" s="33" t="s">
        <v>48</v>
      </c>
      <c r="D2188" s="33" t="s">
        <v>751</v>
      </c>
      <c r="E2188" s="33" t="s">
        <v>385</v>
      </c>
      <c r="F2188" s="33" t="s">
        <v>87</v>
      </c>
      <c r="G2188" s="33">
        <v>1</v>
      </c>
      <c r="H2188" s="33">
        <v>1</v>
      </c>
      <c r="M2188" s="271">
        <v>1.4E-2</v>
      </c>
      <c r="N2188"/>
      <c r="O2188" s="33">
        <v>15</v>
      </c>
      <c r="P2188" s="40"/>
      <c r="Q2188" s="40"/>
      <c r="R2188" s="40"/>
      <c r="S2188" s="40"/>
      <c r="T2188" s="40"/>
      <c r="U2188" s="40"/>
      <c r="V2188" s="40"/>
      <c r="W2188" s="40"/>
      <c r="X2188" s="40"/>
      <c r="Y2188" s="40"/>
      <c r="Z2188" s="40"/>
      <c r="AA2188" s="40"/>
      <c r="AB2188" s="40"/>
      <c r="AC2188" s="40"/>
      <c r="AD2188" s="40"/>
      <c r="AE2188" s="40"/>
      <c r="AF2188" s="40"/>
      <c r="AG2188" s="40"/>
      <c r="AH2188" s="40"/>
      <c r="AI2188" s="40"/>
      <c r="AJ2188" s="40"/>
      <c r="AK2188" s="40"/>
      <c r="AL2188" s="40"/>
      <c r="AM2188" s="40"/>
      <c r="AN2188" s="40"/>
      <c r="AO2188" s="40"/>
      <c r="AP2188" s="40"/>
      <c r="AQ2188" s="40"/>
      <c r="AR2188" s="40"/>
      <c r="AS2188" s="40"/>
      <c r="AT2188" s="40"/>
      <c r="AU2188" s="40"/>
      <c r="AV2188" s="316"/>
      <c r="AW2188" s="317"/>
      <c r="AX2188" s="317"/>
      <c r="AY2188" s="316"/>
      <c r="AZ2188" s="40"/>
      <c r="BA2188" s="40"/>
      <c r="BB2188" s="40"/>
      <c r="BC2188" s="40"/>
      <c r="BD2188" s="40"/>
      <c r="BE2188" s="40"/>
      <c r="BF2188" s="40"/>
      <c r="BG2188" s="40"/>
      <c r="BH2188" s="40"/>
      <c r="BI2188" s="40"/>
      <c r="BJ2188" s="40"/>
      <c r="BK2188" s="40"/>
      <c r="BL2188" s="62">
        <v>0</v>
      </c>
      <c r="BM2188" s="275">
        <v>3</v>
      </c>
      <c r="BN2188" s="62">
        <v>0.03</v>
      </c>
      <c r="BO2188" s="33" t="s">
        <v>752</v>
      </c>
    </row>
    <row r="2189" spans="1:68">
      <c r="A2189" s="33" t="str">
        <f>Database_Productkaarten[[#This Row],[Product]]&amp;", "&amp;Database_Productkaarten[[#This Row],[Levensfase]]</f>
        <v>Kunststof Inflitratiekrat, D2</v>
      </c>
      <c r="B2189" s="33" t="s">
        <v>60</v>
      </c>
      <c r="C2189" s="33" t="s">
        <v>48</v>
      </c>
      <c r="D2189" s="33" t="s">
        <v>751</v>
      </c>
      <c r="E2189" s="33" t="s">
        <v>385</v>
      </c>
      <c r="F2189" s="33" t="s">
        <v>88</v>
      </c>
      <c r="G2189" s="33">
        <v>1</v>
      </c>
      <c r="H2189" s="33">
        <v>1</v>
      </c>
      <c r="M2189" s="271">
        <v>1.4E-2</v>
      </c>
      <c r="N2189" s="41"/>
      <c r="O2189" s="33">
        <v>15</v>
      </c>
      <c r="P2189" s="40"/>
      <c r="Q2189" s="40"/>
      <c r="R2189" s="40"/>
      <c r="S2189" s="40"/>
      <c r="T2189" s="40"/>
      <c r="U2189" s="40"/>
      <c r="V2189" s="40"/>
      <c r="W2189" s="40"/>
      <c r="X2189" s="40"/>
      <c r="Y2189" s="40"/>
      <c r="Z2189" s="40"/>
      <c r="AA2189" s="40"/>
      <c r="AB2189" s="40"/>
      <c r="AC2189" s="40"/>
      <c r="AD2189" s="40"/>
      <c r="AE2189" s="40"/>
      <c r="AF2189" s="40"/>
      <c r="AG2189" s="40"/>
      <c r="AH2189" s="40"/>
      <c r="AI2189" s="40"/>
      <c r="AJ2189" s="40"/>
      <c r="AK2189" s="40"/>
      <c r="AL2189" s="40"/>
      <c r="AM2189" s="40"/>
      <c r="AN2189" s="40"/>
      <c r="AO2189" s="40"/>
      <c r="AP2189" s="40"/>
      <c r="AQ2189" s="40"/>
      <c r="AR2189" s="40"/>
      <c r="AS2189" s="40"/>
      <c r="AT2189" s="40"/>
      <c r="AU2189" s="40"/>
      <c r="AV2189" s="316"/>
      <c r="AW2189" s="317"/>
      <c r="AX2189" s="317"/>
      <c r="AY2189" s="316"/>
      <c r="AZ2189" s="40"/>
      <c r="BA2189" s="40"/>
      <c r="BB2189" s="40"/>
      <c r="BC2189" s="40"/>
      <c r="BD2189" s="40"/>
      <c r="BE2189" s="40"/>
      <c r="BF2189" s="40"/>
      <c r="BG2189" s="40"/>
      <c r="BH2189" s="40"/>
      <c r="BI2189" s="40"/>
      <c r="BJ2189" s="40"/>
      <c r="BK2189" s="40"/>
      <c r="BL2189" s="62">
        <v>0</v>
      </c>
      <c r="BM2189" s="275">
        <v>3</v>
      </c>
      <c r="BN2189" s="62">
        <v>0.03</v>
      </c>
      <c r="BO2189" s="33" t="s">
        <v>752</v>
      </c>
    </row>
    <row r="2190" spans="1:68">
      <c r="A2190" s="33" t="str">
        <f>Database_Productkaarten[[#This Row],[Product]]&amp;", "&amp;Database_Productkaarten[[#This Row],[Levensfase]]</f>
        <v>Geogrid, Totaal</v>
      </c>
      <c r="B2190" s="33" t="s">
        <v>49</v>
      </c>
      <c r="C2190" s="33" t="s">
        <v>48</v>
      </c>
      <c r="D2190" s="33" t="s">
        <v>751</v>
      </c>
      <c r="E2190" s="33" t="s">
        <v>385</v>
      </c>
      <c r="F2190" s="33" t="s">
        <v>90</v>
      </c>
      <c r="G2190" s="33">
        <v>1</v>
      </c>
      <c r="H2190" s="33">
        <v>1</v>
      </c>
      <c r="I2190" s="33">
        <v>0.01</v>
      </c>
      <c r="M2190" s="271">
        <v>0.255</v>
      </c>
      <c r="N2190" s="41">
        <v>0.76304348507520003</v>
      </c>
      <c r="O2190" s="33">
        <v>35</v>
      </c>
      <c r="P2190" s="40">
        <v>1.6003159663798E-5</v>
      </c>
      <c r="Q2190" s="40">
        <v>4.1031267107120011E-2</v>
      </c>
      <c r="R2190" s="40">
        <v>5.9382846008120005</v>
      </c>
      <c r="S2190" s="40">
        <v>8.6101946146772002E-7</v>
      </c>
      <c r="T2190" s="40">
        <v>5.566614205872001E-3</v>
      </c>
      <c r="U2190" s="40">
        <v>4.0326272803192002E-2</v>
      </c>
      <c r="V2190" s="40">
        <v>8.8683340133324014E-3</v>
      </c>
      <c r="W2190" s="40">
        <v>2.0103465879288001</v>
      </c>
      <c r="X2190" s="40">
        <v>3.5426869768319998E-2</v>
      </c>
      <c r="Y2190" s="40">
        <v>110.435068642</v>
      </c>
      <c r="Z2190" s="40">
        <v>3.6420194570656E-3</v>
      </c>
      <c r="AA2190" s="40">
        <v>6.0045289375520001</v>
      </c>
      <c r="AB2190" s="40">
        <v>6.014484240939999</v>
      </c>
      <c r="AC2190" s="40">
        <v>-1.0690071945047919E-2</v>
      </c>
      <c r="AD2190" s="40">
        <v>7.3473074348916017E-4</v>
      </c>
      <c r="AE2190" s="40">
        <v>1.0853996380443199E-6</v>
      </c>
      <c r="AF2190" s="40">
        <v>5.607447688956E-2</v>
      </c>
      <c r="AG2190" s="40">
        <v>3.6346219831957197E-5</v>
      </c>
      <c r="AH2190" s="40">
        <v>2.3979888731611994E-2</v>
      </c>
      <c r="AI2190" s="40">
        <v>0.26323591287872</v>
      </c>
      <c r="AJ2190" s="40">
        <v>7.2953062770908003E-2</v>
      </c>
      <c r="AK2190" s="40">
        <v>1.48479975967384E-5</v>
      </c>
      <c r="AL2190" s="40">
        <v>86.072712715039998</v>
      </c>
      <c r="AM2190" s="40">
        <v>0.40445270345304801</v>
      </c>
      <c r="AN2190" s="40">
        <v>1.4322846270250398E-6</v>
      </c>
      <c r="AO2190" s="40">
        <v>0.31228461167863997</v>
      </c>
      <c r="AP2190" s="40">
        <v>50.702459312932</v>
      </c>
      <c r="AQ2190" s="40">
        <v>1.6671998280692002E-9</v>
      </c>
      <c r="AR2190" s="40">
        <v>4.2105501894492001E-8</v>
      </c>
      <c r="AS2190" s="40">
        <v>11.426488768480001</v>
      </c>
      <c r="AT2190" s="40">
        <v>0</v>
      </c>
      <c r="AU2190" s="40">
        <v>0</v>
      </c>
      <c r="AV2190" s="317">
        <v>0.92961648232499994</v>
      </c>
      <c r="AW2190" s="317">
        <v>0</v>
      </c>
      <c r="AX2190" s="317">
        <v>0</v>
      </c>
      <c r="AY2190" s="317">
        <v>91.412191855627995</v>
      </c>
      <c r="AZ2190" s="40">
        <v>0</v>
      </c>
      <c r="BA2190" s="40">
        <v>0</v>
      </c>
      <c r="BB2190" s="40">
        <v>0</v>
      </c>
      <c r="BC2190" s="40">
        <v>1.1207653631997201E-2</v>
      </c>
      <c r="BD2190" s="40">
        <v>1.8944881765049204E-4</v>
      </c>
      <c r="BE2190" s="40">
        <v>0.14561150685743596</v>
      </c>
      <c r="BF2190" s="40">
        <v>4.9620825315931994E-4</v>
      </c>
      <c r="BG2190" s="40">
        <v>0</v>
      </c>
      <c r="BH2190" s="40">
        <v>0</v>
      </c>
      <c r="BI2190" s="40">
        <v>0</v>
      </c>
      <c r="BJ2190" s="40">
        <v>0</v>
      </c>
      <c r="BK2190" s="40">
        <v>0</v>
      </c>
      <c r="BL2190" s="62">
        <v>0</v>
      </c>
      <c r="BM2190" s="275">
        <v>3</v>
      </c>
      <c r="BN2190" s="62">
        <v>0.05</v>
      </c>
      <c r="BO2190" s="33" t="s">
        <v>753</v>
      </c>
      <c r="BP2190" s="33" t="s">
        <v>754</v>
      </c>
    </row>
    <row r="2191" spans="1:68">
      <c r="A2191" s="33" t="str">
        <f>Database_Productkaarten[[#This Row],[Product]]&amp;", "&amp;Database_Productkaarten[[#This Row],[Levensfase]]</f>
        <v>Geogrid, A1</v>
      </c>
      <c r="B2191" s="33" t="s">
        <v>49</v>
      </c>
      <c r="C2191" s="33" t="s">
        <v>48</v>
      </c>
      <c r="D2191" s="33" t="s">
        <v>751</v>
      </c>
      <c r="E2191" s="33" t="s">
        <v>385</v>
      </c>
      <c r="F2191" s="33" t="s">
        <v>74</v>
      </c>
      <c r="G2191" s="33">
        <v>1</v>
      </c>
      <c r="H2191" s="33">
        <v>1</v>
      </c>
      <c r="M2191" s="271">
        <v>0.255</v>
      </c>
      <c r="N2191" s="41"/>
      <c r="O2191" s="33">
        <v>35</v>
      </c>
      <c r="P2191" s="40"/>
      <c r="Q2191" s="40"/>
      <c r="R2191" s="40"/>
      <c r="S2191" s="40"/>
      <c r="T2191" s="40"/>
      <c r="U2191" s="40"/>
      <c r="V2191" s="40"/>
      <c r="W2191" s="40"/>
      <c r="X2191" s="40"/>
      <c r="Y2191" s="40"/>
      <c r="Z2191" s="40"/>
      <c r="AA2191" s="40"/>
      <c r="AB2191" s="40"/>
      <c r="AC2191" s="40"/>
      <c r="AD2191" s="40"/>
      <c r="AE2191" s="40"/>
      <c r="AF2191" s="40"/>
      <c r="AG2191" s="40"/>
      <c r="AH2191" s="40"/>
      <c r="AI2191" s="40"/>
      <c r="AJ2191" s="40"/>
      <c r="AK2191" s="40"/>
      <c r="AL2191" s="40"/>
      <c r="AM2191" s="40"/>
      <c r="AN2191" s="40"/>
      <c r="AO2191" s="40"/>
      <c r="AP2191" s="40"/>
      <c r="AQ2191" s="40"/>
      <c r="AR2191" s="40"/>
      <c r="AS2191" s="40"/>
      <c r="AT2191" s="40"/>
      <c r="AU2191" s="40"/>
      <c r="AV2191" s="317"/>
      <c r="AW2191" s="317"/>
      <c r="AX2191" s="317"/>
      <c r="AY2191" s="317"/>
      <c r="AZ2191" s="40"/>
      <c r="BA2191" s="40"/>
      <c r="BB2191" s="40"/>
      <c r="BC2191" s="40"/>
      <c r="BD2191" s="40"/>
      <c r="BE2191" s="40"/>
      <c r="BF2191" s="40"/>
      <c r="BG2191" s="40"/>
      <c r="BH2191" s="40"/>
      <c r="BI2191" s="40"/>
      <c r="BJ2191" s="40"/>
      <c r="BK2191" s="40"/>
      <c r="BL2191" s="62">
        <v>0</v>
      </c>
      <c r="BM2191" s="275">
        <v>3</v>
      </c>
      <c r="BN2191" s="62">
        <v>0.05</v>
      </c>
      <c r="BO2191" s="33" t="s">
        <v>753</v>
      </c>
    </row>
    <row r="2192" spans="1:68">
      <c r="A2192" s="33" t="str">
        <f>Database_Productkaarten[[#This Row],[Product]]&amp;", "&amp;Database_Productkaarten[[#This Row],[Levensfase]]</f>
        <v>Geogrid, A2</v>
      </c>
      <c r="B2192" s="33" t="s">
        <v>49</v>
      </c>
      <c r="C2192" s="33" t="s">
        <v>48</v>
      </c>
      <c r="D2192" s="33" t="s">
        <v>751</v>
      </c>
      <c r="E2192" s="33" t="s">
        <v>385</v>
      </c>
      <c r="F2192" s="33" t="s">
        <v>75</v>
      </c>
      <c r="G2192" s="33">
        <v>1</v>
      </c>
      <c r="H2192" s="33">
        <v>1</v>
      </c>
      <c r="M2192" s="271">
        <v>0.255</v>
      </c>
      <c r="N2192" s="41"/>
      <c r="O2192" s="33">
        <v>35</v>
      </c>
      <c r="P2192" s="40"/>
      <c r="Q2192" s="40"/>
      <c r="R2192" s="40"/>
      <c r="S2192" s="40"/>
      <c r="T2192" s="40"/>
      <c r="U2192" s="40"/>
      <c r="V2192" s="40"/>
      <c r="W2192" s="40"/>
      <c r="X2192" s="40"/>
      <c r="Y2192" s="40"/>
      <c r="Z2192" s="40"/>
      <c r="AA2192" s="40"/>
      <c r="AB2192" s="40"/>
      <c r="AC2192" s="40"/>
      <c r="AD2192" s="40"/>
      <c r="AE2192" s="40"/>
      <c r="AF2192" s="40"/>
      <c r="AG2192" s="40"/>
      <c r="AH2192" s="40"/>
      <c r="AI2192" s="40"/>
      <c r="AJ2192" s="40"/>
      <c r="AK2192" s="40"/>
      <c r="AL2192" s="40"/>
      <c r="AM2192" s="40"/>
      <c r="AN2192" s="40"/>
      <c r="AO2192" s="40"/>
      <c r="AP2192" s="40"/>
      <c r="AQ2192" s="40"/>
      <c r="AR2192" s="40"/>
      <c r="AS2192" s="40"/>
      <c r="AT2192" s="40"/>
      <c r="AU2192" s="40"/>
      <c r="AV2192" s="316"/>
      <c r="AW2192" s="317"/>
      <c r="AX2192" s="317"/>
      <c r="AY2192" s="316"/>
      <c r="AZ2192" s="40"/>
      <c r="BA2192" s="40"/>
      <c r="BB2192" s="40"/>
      <c r="BC2192" s="40"/>
      <c r="BD2192" s="40"/>
      <c r="BE2192" s="40"/>
      <c r="BF2192" s="40"/>
      <c r="BG2192" s="40"/>
      <c r="BH2192" s="40"/>
      <c r="BI2192" s="40"/>
      <c r="BJ2192" s="40"/>
      <c r="BK2192" s="40"/>
      <c r="BL2192" s="62">
        <v>0</v>
      </c>
      <c r="BM2192" s="275">
        <v>3</v>
      </c>
      <c r="BN2192" s="62">
        <v>0.05</v>
      </c>
      <c r="BO2192" s="33" t="s">
        <v>753</v>
      </c>
    </row>
    <row r="2193" spans="1:68">
      <c r="A2193" s="33" t="str">
        <f>Database_Productkaarten[[#This Row],[Product]]&amp;", "&amp;Database_Productkaarten[[#This Row],[Levensfase]]</f>
        <v>Geogrid, A3</v>
      </c>
      <c r="B2193" s="33" t="s">
        <v>49</v>
      </c>
      <c r="C2193" s="33" t="s">
        <v>48</v>
      </c>
      <c r="D2193" s="33" t="s">
        <v>751</v>
      </c>
      <c r="E2193" s="33" t="s">
        <v>385</v>
      </c>
      <c r="F2193" s="33" t="s">
        <v>76</v>
      </c>
      <c r="G2193" s="33">
        <v>1</v>
      </c>
      <c r="H2193" s="33">
        <v>1</v>
      </c>
      <c r="M2193" s="271">
        <v>0.255</v>
      </c>
      <c r="N2193" s="41"/>
      <c r="O2193" s="33">
        <v>35</v>
      </c>
      <c r="P2193" s="40"/>
      <c r="Q2193" s="40"/>
      <c r="R2193" s="40"/>
      <c r="S2193" s="40"/>
      <c r="T2193" s="40"/>
      <c r="U2193" s="40"/>
      <c r="V2193" s="40"/>
      <c r="W2193" s="40"/>
      <c r="X2193" s="40"/>
      <c r="Y2193" s="40"/>
      <c r="Z2193" s="40"/>
      <c r="AA2193" s="40"/>
      <c r="AB2193" s="40"/>
      <c r="AC2193" s="40"/>
      <c r="AD2193" s="40"/>
      <c r="AE2193" s="40"/>
      <c r="AF2193" s="40"/>
      <c r="AG2193" s="40"/>
      <c r="AH2193" s="40"/>
      <c r="AI2193" s="40"/>
      <c r="AJ2193" s="40"/>
      <c r="AK2193" s="40"/>
      <c r="AL2193" s="40"/>
      <c r="AM2193" s="40"/>
      <c r="AN2193" s="40"/>
      <c r="AO2193" s="40"/>
      <c r="AP2193" s="40"/>
      <c r="AQ2193" s="40"/>
      <c r="AR2193" s="40"/>
      <c r="AS2193" s="40"/>
      <c r="AT2193" s="40"/>
      <c r="AU2193" s="40"/>
      <c r="AV2193" s="317"/>
      <c r="AW2193" s="317"/>
      <c r="AX2193" s="317"/>
      <c r="AY2193" s="317"/>
      <c r="AZ2193" s="40"/>
      <c r="BA2193" s="40"/>
      <c r="BB2193" s="40"/>
      <c r="BC2193" s="40"/>
      <c r="BD2193" s="40"/>
      <c r="BE2193" s="40"/>
      <c r="BF2193" s="40"/>
      <c r="BG2193" s="40"/>
      <c r="BH2193" s="40"/>
      <c r="BI2193" s="40"/>
      <c r="BJ2193" s="40"/>
      <c r="BK2193" s="40"/>
      <c r="BL2193" s="62">
        <v>0</v>
      </c>
      <c r="BM2193" s="275">
        <v>3</v>
      </c>
      <c r="BN2193" s="62">
        <v>0.05</v>
      </c>
      <c r="BO2193" s="33" t="s">
        <v>753</v>
      </c>
    </row>
    <row r="2194" spans="1:68">
      <c r="A2194" s="33" t="str">
        <f>Database_Productkaarten[[#This Row],[Product]]&amp;", "&amp;Database_Productkaarten[[#This Row],[Levensfase]]</f>
        <v>Geogrid, A1-A3</v>
      </c>
      <c r="B2194" s="33" t="s">
        <v>49</v>
      </c>
      <c r="C2194" s="33" t="s">
        <v>48</v>
      </c>
      <c r="D2194" s="33" t="s">
        <v>751</v>
      </c>
      <c r="E2194" s="33" t="s">
        <v>385</v>
      </c>
      <c r="F2194" s="451" t="s">
        <v>77</v>
      </c>
      <c r="G2194" s="33">
        <v>1</v>
      </c>
      <c r="H2194" s="33">
        <v>1</v>
      </c>
      <c r="M2194" s="271">
        <v>0.255</v>
      </c>
      <c r="N2194" s="41">
        <v>6.4146153560000002E-2</v>
      </c>
      <c r="O2194" s="33">
        <v>35</v>
      </c>
      <c r="P2194" s="40">
        <v>6.9699623760000001E-6</v>
      </c>
      <c r="Q2194" s="40">
        <v>1.0258674504E-2</v>
      </c>
      <c r="R2194" s="40">
        <v>0.69156051160000009</v>
      </c>
      <c r="S2194" s="40">
        <v>1.6378667719999999E-8</v>
      </c>
      <c r="T2194" s="40">
        <v>4.8434090000000002E-4</v>
      </c>
      <c r="U2194" s="40">
        <v>2.544067452E-3</v>
      </c>
      <c r="V2194" s="40">
        <v>2.532260668E-4</v>
      </c>
      <c r="W2194" s="40">
        <v>0.14638978720000001</v>
      </c>
      <c r="X2194" s="40">
        <v>3.2615506720000001E-3</v>
      </c>
      <c r="Y2194" s="40">
        <v>11.922808692</v>
      </c>
      <c r="Z2194" s="40">
        <v>5.9897907360000004E-4</v>
      </c>
      <c r="AA2194" s="40">
        <v>0.70502434479999998</v>
      </c>
      <c r="AB2194" s="40">
        <v>0.71665892999999992</v>
      </c>
      <c r="AC2194" s="40">
        <v>-1.1975711432E-2</v>
      </c>
      <c r="AD2194" s="40">
        <v>3.4112805480000005E-4</v>
      </c>
      <c r="AE2194" s="40">
        <v>1.7360932479999999E-8</v>
      </c>
      <c r="AF2194" s="40">
        <v>3.0637731519999999E-3</v>
      </c>
      <c r="AG2194" s="40">
        <v>1.8208478679999998E-5</v>
      </c>
      <c r="AH2194" s="40">
        <v>5.3619207039999996E-4</v>
      </c>
      <c r="AI2194" s="40">
        <v>6.0141661599999998E-3</v>
      </c>
      <c r="AJ2194" s="40">
        <v>2.2931868079999998E-3</v>
      </c>
      <c r="AK2194" s="40">
        <v>6.9699302599999992E-6</v>
      </c>
      <c r="AL2194" s="40">
        <v>20.625177919999999</v>
      </c>
      <c r="AM2194" s="40">
        <v>0.3396479288</v>
      </c>
      <c r="AN2194" s="40">
        <v>2.5875216399999998E-8</v>
      </c>
      <c r="AO2194" s="40">
        <v>1.3524482840000001E-2</v>
      </c>
      <c r="AP2194" s="40">
        <v>8.6226374760000013</v>
      </c>
      <c r="AQ2194" s="40">
        <v>1.923993052E-10</v>
      </c>
      <c r="AR2194" s="40">
        <v>5.462288164E-9</v>
      </c>
      <c r="AS2194" s="40">
        <v>2.4301305480000002</v>
      </c>
      <c r="AT2194" s="40">
        <v>0</v>
      </c>
      <c r="AU2194" s="40">
        <v>0</v>
      </c>
      <c r="AV2194" s="316">
        <v>0.56581522399999995</v>
      </c>
      <c r="AW2194" s="317">
        <v>0</v>
      </c>
      <c r="AX2194" s="317">
        <v>0</v>
      </c>
      <c r="AY2194" s="316">
        <v>22.106494319999999</v>
      </c>
      <c r="AZ2194" s="40">
        <v>0</v>
      </c>
      <c r="BA2194" s="40">
        <v>0</v>
      </c>
      <c r="BB2194" s="40">
        <v>0</v>
      </c>
      <c r="BC2194" s="40">
        <v>7.9729110800000006E-3</v>
      </c>
      <c r="BD2194" s="40">
        <v>3.3297974200000002E-6</v>
      </c>
      <c r="BE2194" s="40">
        <v>5.2103426080000001E-2</v>
      </c>
      <c r="BF2194" s="40">
        <v>1.1749744619999998E-5</v>
      </c>
      <c r="BG2194" s="40">
        <v>0</v>
      </c>
      <c r="BH2194" s="40">
        <v>0</v>
      </c>
      <c r="BI2194" s="40">
        <v>0</v>
      </c>
      <c r="BJ2194" s="40">
        <v>0</v>
      </c>
      <c r="BK2194" s="40">
        <v>0</v>
      </c>
      <c r="BL2194" s="62">
        <v>0</v>
      </c>
      <c r="BM2194" s="275">
        <v>3</v>
      </c>
      <c r="BN2194" s="62">
        <v>0.05</v>
      </c>
      <c r="BO2194" s="33" t="s">
        <v>753</v>
      </c>
      <c r="BP2194" s="33" t="s">
        <v>755</v>
      </c>
    </row>
    <row r="2195" spans="1:68">
      <c r="A2195" s="33" t="str">
        <f>Database_Productkaarten[[#This Row],[Product]]&amp;", "&amp;Database_Productkaarten[[#This Row],[Levensfase]]</f>
        <v>Geogrid, A4</v>
      </c>
      <c r="B2195" s="33" t="s">
        <v>49</v>
      </c>
      <c r="C2195" s="33" t="s">
        <v>48</v>
      </c>
      <c r="D2195" s="33" t="s">
        <v>751</v>
      </c>
      <c r="E2195" s="33" t="s">
        <v>385</v>
      </c>
      <c r="F2195" s="33" t="s">
        <v>78</v>
      </c>
      <c r="G2195" s="33">
        <v>1</v>
      </c>
      <c r="H2195" s="33">
        <v>1</v>
      </c>
      <c r="M2195" s="271">
        <v>0.255</v>
      </c>
      <c r="N2195" s="41">
        <v>6.1500825599999996E-4</v>
      </c>
      <c r="O2195" s="33">
        <v>35</v>
      </c>
      <c r="P2195" s="40">
        <v>1.3037920479999999E-7</v>
      </c>
      <c r="Q2195" s="40">
        <v>3.7522647999999997E-5</v>
      </c>
      <c r="R2195" s="40">
        <v>5.1026987039999999E-3</v>
      </c>
      <c r="S2195" s="40">
        <v>9.0528830039999989E-10</v>
      </c>
      <c r="T2195" s="40">
        <v>3.07891194E-6</v>
      </c>
      <c r="U2195" s="40">
        <v>2.243604168E-5</v>
      </c>
      <c r="V2195" s="40">
        <v>4.4077697199999998E-6</v>
      </c>
      <c r="W2195" s="40">
        <v>2.148358528E-3</v>
      </c>
      <c r="X2195" s="40">
        <v>6.2719222320000009E-5</v>
      </c>
      <c r="Y2195" s="40">
        <v>0.22560325639999998</v>
      </c>
      <c r="Z2195" s="40">
        <v>7.5931371479999998E-6</v>
      </c>
      <c r="AA2195" s="40">
        <v>5.1500545519999998E-3</v>
      </c>
      <c r="AB2195" s="40">
        <v>5.1457932919999998E-3</v>
      </c>
      <c r="AC2195" s="40">
        <v>2.375560132E-6</v>
      </c>
      <c r="AD2195" s="40">
        <v>1.8855914919999998E-6</v>
      </c>
      <c r="AE2195" s="40">
        <v>1.135799576E-9</v>
      </c>
      <c r="AF2195" s="40">
        <v>2.9844248079999998E-5</v>
      </c>
      <c r="AG2195" s="40">
        <v>5.1908862639999997E-8</v>
      </c>
      <c r="AH2195" s="40">
        <v>1.0516396475999999E-5</v>
      </c>
      <c r="AI2195" s="40">
        <v>1.1594449995999999E-4</v>
      </c>
      <c r="AJ2195" s="40">
        <v>3.3102990399999997E-5</v>
      </c>
      <c r="AK2195" s="40">
        <v>1.3037869639999999E-7</v>
      </c>
      <c r="AL2195" s="40">
        <v>7.7608785199999988E-2</v>
      </c>
      <c r="AM2195" s="40">
        <v>2.7761460999999998E-4</v>
      </c>
      <c r="AN2195" s="40">
        <v>4.6210813399999999E-10</v>
      </c>
      <c r="AO2195" s="40">
        <v>3.2516945320000003E-4</v>
      </c>
      <c r="AP2195" s="40">
        <v>6.9205375880000003E-2</v>
      </c>
      <c r="AQ2195" s="40">
        <v>2.2454275879999999E-12</v>
      </c>
      <c r="AR2195" s="40">
        <v>7.5687863999999994E-11</v>
      </c>
      <c r="AS2195" s="40">
        <v>6.7305615279999995E-2</v>
      </c>
      <c r="AT2195" s="40">
        <v>0</v>
      </c>
      <c r="AU2195" s="40">
        <v>0</v>
      </c>
      <c r="AV2195" s="316">
        <v>9.716066872E-4</v>
      </c>
      <c r="AW2195" s="317">
        <v>0</v>
      </c>
      <c r="AX2195" s="317">
        <v>0</v>
      </c>
      <c r="AY2195" s="316">
        <v>8.2398642319999993E-2</v>
      </c>
      <c r="AZ2195" s="40">
        <v>0</v>
      </c>
      <c r="BA2195" s="40">
        <v>0</v>
      </c>
      <c r="BB2195" s="40">
        <v>0</v>
      </c>
      <c r="BC2195" s="40">
        <v>9.4524880079999994E-6</v>
      </c>
      <c r="BD2195" s="40">
        <v>1.9666674039999999E-7</v>
      </c>
      <c r="BE2195" s="40">
        <v>4.9229623160000008E-3</v>
      </c>
      <c r="BF2195" s="40">
        <v>5.0962530600000006E-7</v>
      </c>
      <c r="BG2195" s="40">
        <v>0</v>
      </c>
      <c r="BH2195" s="40">
        <v>0</v>
      </c>
      <c r="BI2195" s="40">
        <v>0</v>
      </c>
      <c r="BJ2195" s="40">
        <v>0</v>
      </c>
      <c r="BK2195" s="40">
        <v>0</v>
      </c>
      <c r="BL2195" s="62">
        <v>0</v>
      </c>
      <c r="BM2195" s="275">
        <v>3</v>
      </c>
      <c r="BN2195" s="62">
        <v>0.05</v>
      </c>
      <c r="BO2195" s="33" t="s">
        <v>753</v>
      </c>
      <c r="BP2195" s="33" t="s">
        <v>756</v>
      </c>
    </row>
    <row r="2196" spans="1:68">
      <c r="A2196" s="33" t="str">
        <f>Database_Productkaarten[[#This Row],[Product]]&amp;", "&amp;Database_Productkaarten[[#This Row],[Levensfase]]</f>
        <v>Geogrid, A5</v>
      </c>
      <c r="B2196" s="33" t="s">
        <v>49</v>
      </c>
      <c r="C2196" s="33" t="s">
        <v>48</v>
      </c>
      <c r="D2196" s="33" t="s">
        <v>751</v>
      </c>
      <c r="E2196" s="33" t="s">
        <v>385</v>
      </c>
      <c r="F2196" s="33" t="s">
        <v>79</v>
      </c>
      <c r="G2196" s="33">
        <v>1</v>
      </c>
      <c r="H2196" s="33">
        <v>1</v>
      </c>
      <c r="M2196" s="271">
        <v>0.255</v>
      </c>
      <c r="N2196" s="41">
        <v>0.46538127000000001</v>
      </c>
      <c r="O2196" s="33">
        <v>35</v>
      </c>
      <c r="P2196" s="40">
        <v>5.3834866999999998E-6</v>
      </c>
      <c r="Q2196" s="40">
        <v>2.2914085000000001E-2</v>
      </c>
      <c r="R2196" s="40">
        <v>3.4740837</v>
      </c>
      <c r="S2196" s="40">
        <v>6.0150250000000005E-7</v>
      </c>
      <c r="T2196" s="40">
        <v>3.5369792000000001E-3</v>
      </c>
      <c r="U2196" s="40">
        <v>2.6180675E-2</v>
      </c>
      <c r="V2196" s="40">
        <v>5.9513658000000004E-3</v>
      </c>
      <c r="W2196" s="40">
        <v>1.2860469999999999</v>
      </c>
      <c r="X2196" s="40">
        <v>1.7901364999999999E-2</v>
      </c>
      <c r="Y2196" s="40">
        <v>62.246799000000003</v>
      </c>
      <c r="Z2196" s="40">
        <v>2.1170314999999999E-3</v>
      </c>
      <c r="AA2196" s="40">
        <v>3.5114952000000001</v>
      </c>
      <c r="AB2196" s="40">
        <v>3.5102422</v>
      </c>
      <c r="AC2196" s="40">
        <v>9.7629838000000001E-4</v>
      </c>
      <c r="AD2196" s="40">
        <v>2.7665444000000001E-4</v>
      </c>
      <c r="AE2196" s="40">
        <v>7.5807048999999999E-7</v>
      </c>
      <c r="AF2196" s="40">
        <v>3.6714760999999999E-2</v>
      </c>
      <c r="AG2196" s="40">
        <v>1.2779085999999999E-5</v>
      </c>
      <c r="AH2196" s="40">
        <v>1.6207962999999999E-2</v>
      </c>
      <c r="AI2196" s="40">
        <v>0.17783882000000001</v>
      </c>
      <c r="AJ2196" s="40">
        <v>4.8896874999999999E-2</v>
      </c>
      <c r="AK2196" s="40">
        <v>5.3834439000000004E-6</v>
      </c>
      <c r="AL2196" s="40">
        <v>48.312432999999999</v>
      </c>
      <c r="AM2196" s="40">
        <v>6.4709804999999995E-2</v>
      </c>
      <c r="AN2196" s="40">
        <v>9.713708600000001E-7</v>
      </c>
      <c r="AO2196" s="40">
        <v>0.20702945</v>
      </c>
      <c r="AP2196" s="40">
        <v>29.123768999999999</v>
      </c>
      <c r="AQ2196" s="40">
        <v>1.0177550000000001E-9</v>
      </c>
      <c r="AR2196" s="40">
        <v>2.5000640000000001E-8</v>
      </c>
      <c r="AS2196" s="40">
        <v>6.1658127</v>
      </c>
      <c r="AT2196" s="40">
        <v>0</v>
      </c>
      <c r="AU2196" s="40">
        <v>0</v>
      </c>
      <c r="AV2196" s="316">
        <v>0.26132104</v>
      </c>
      <c r="AW2196" s="317">
        <v>0</v>
      </c>
      <c r="AX2196" s="317">
        <v>0</v>
      </c>
      <c r="AY2196" s="316">
        <v>51.306691999999998</v>
      </c>
      <c r="AZ2196" s="40">
        <v>0</v>
      </c>
      <c r="BA2196" s="40">
        <v>0</v>
      </c>
      <c r="BB2196" s="40">
        <v>0</v>
      </c>
      <c r="BC2196" s="40">
        <v>2.4865929E-3</v>
      </c>
      <c r="BD2196" s="40">
        <v>1.3159007E-4</v>
      </c>
      <c r="BE2196" s="40">
        <v>5.7201178999999998E-2</v>
      </c>
      <c r="BF2196" s="40">
        <v>3.3546428999999998E-4</v>
      </c>
      <c r="BG2196" s="40">
        <v>0</v>
      </c>
      <c r="BH2196" s="40">
        <v>0</v>
      </c>
      <c r="BI2196" s="40">
        <v>0</v>
      </c>
      <c r="BJ2196" s="40">
        <v>0</v>
      </c>
      <c r="BK2196" s="40">
        <v>0</v>
      </c>
      <c r="BL2196" s="62">
        <v>0</v>
      </c>
      <c r="BM2196" s="275">
        <v>3</v>
      </c>
      <c r="BN2196" s="62">
        <v>0.05</v>
      </c>
      <c r="BO2196" s="33" t="s">
        <v>753</v>
      </c>
      <c r="BP2196" s="33" t="s">
        <v>757</v>
      </c>
    </row>
    <row r="2197" spans="1:68">
      <c r="A2197" s="33" t="str">
        <f>Database_Productkaarten[[#This Row],[Product]]&amp;", "&amp;Database_Productkaarten[[#This Row],[Levensfase]]</f>
        <v>Geogrid, B1</v>
      </c>
      <c r="B2197" s="33" t="s">
        <v>49</v>
      </c>
      <c r="C2197" s="33" t="s">
        <v>48</v>
      </c>
      <c r="D2197" s="33" t="s">
        <v>751</v>
      </c>
      <c r="E2197" s="33" t="s">
        <v>385</v>
      </c>
      <c r="F2197" s="33" t="s">
        <v>80</v>
      </c>
      <c r="G2197" s="33">
        <v>1</v>
      </c>
      <c r="H2197" s="33">
        <v>1</v>
      </c>
      <c r="M2197" s="271">
        <v>0.255</v>
      </c>
      <c r="N2197" s="41"/>
      <c r="O2197" s="33">
        <v>35</v>
      </c>
      <c r="P2197" s="40"/>
      <c r="Q2197" s="40"/>
      <c r="R2197" s="40"/>
      <c r="S2197" s="40"/>
      <c r="T2197" s="40"/>
      <c r="U2197" s="40"/>
      <c r="V2197" s="40"/>
      <c r="W2197" s="40"/>
      <c r="X2197" s="40"/>
      <c r="Y2197" s="40"/>
      <c r="Z2197" s="40"/>
      <c r="AA2197" s="40"/>
      <c r="AB2197" s="40"/>
      <c r="AC2197" s="40"/>
      <c r="AD2197" s="40"/>
      <c r="AE2197" s="40"/>
      <c r="AF2197" s="40"/>
      <c r="AG2197" s="40"/>
      <c r="AH2197" s="40"/>
      <c r="AI2197" s="40"/>
      <c r="AJ2197" s="40"/>
      <c r="AK2197" s="40"/>
      <c r="AL2197" s="40"/>
      <c r="AM2197" s="40"/>
      <c r="AN2197" s="40"/>
      <c r="AO2197" s="40"/>
      <c r="AP2197" s="40"/>
      <c r="AQ2197" s="40"/>
      <c r="AR2197" s="40"/>
      <c r="AS2197" s="40"/>
      <c r="AT2197" s="40"/>
      <c r="AU2197" s="40"/>
      <c r="AV2197" s="316"/>
      <c r="AW2197" s="317"/>
      <c r="AX2197" s="317"/>
      <c r="AY2197" s="316"/>
      <c r="AZ2197" s="40"/>
      <c r="BA2197" s="40"/>
      <c r="BB2197" s="40"/>
      <c r="BC2197" s="40"/>
      <c r="BD2197" s="40"/>
      <c r="BE2197" s="40"/>
      <c r="BF2197" s="40"/>
      <c r="BG2197" s="40"/>
      <c r="BH2197" s="40"/>
      <c r="BI2197" s="40"/>
      <c r="BJ2197" s="40"/>
      <c r="BK2197" s="40"/>
      <c r="BL2197" s="62">
        <v>0</v>
      </c>
      <c r="BM2197" s="275">
        <v>3</v>
      </c>
      <c r="BN2197" s="62">
        <v>0.05</v>
      </c>
      <c r="BO2197" s="33" t="s">
        <v>753</v>
      </c>
    </row>
    <row r="2198" spans="1:68">
      <c r="A2198" s="33" t="str">
        <f>Database_Productkaarten[[#This Row],[Product]]&amp;", "&amp;Database_Productkaarten[[#This Row],[Levensfase]]</f>
        <v>Geogrid, C1</v>
      </c>
      <c r="B2198" s="33" t="s">
        <v>49</v>
      </c>
      <c r="C2198" s="33" t="s">
        <v>48</v>
      </c>
      <c r="D2198" s="33" t="s">
        <v>751</v>
      </c>
      <c r="E2198" s="33" t="s">
        <v>385</v>
      </c>
      <c r="F2198" s="33" t="s">
        <v>83</v>
      </c>
      <c r="G2198" s="33">
        <v>1</v>
      </c>
      <c r="H2198" s="33">
        <v>1</v>
      </c>
      <c r="M2198" s="271">
        <v>0.255</v>
      </c>
      <c r="N2198" s="41">
        <v>0.20837966999999999</v>
      </c>
      <c r="O2198" s="33">
        <v>35</v>
      </c>
      <c r="P2198" s="40">
        <v>2.4105163999999998E-6</v>
      </c>
      <c r="Q2198" s="40">
        <v>1.0260038000000001E-2</v>
      </c>
      <c r="R2198" s="40">
        <v>1.5555597999999999</v>
      </c>
      <c r="S2198" s="40">
        <v>2.6932948000000001E-7</v>
      </c>
      <c r="T2198" s="40">
        <v>1.5837220000000001E-3</v>
      </c>
      <c r="U2198" s="40">
        <v>1.1722689999999999E-2</v>
      </c>
      <c r="V2198" s="40">
        <v>2.6647906E-3</v>
      </c>
      <c r="W2198" s="40">
        <v>0.57584194</v>
      </c>
      <c r="X2198" s="40">
        <v>8.0155365999999995E-3</v>
      </c>
      <c r="Y2198" s="40">
        <v>27.871701000000002</v>
      </c>
      <c r="Z2198" s="40">
        <v>9.4792453999999996E-4</v>
      </c>
      <c r="AA2198" s="40">
        <v>1.5723113</v>
      </c>
      <c r="AB2198" s="40">
        <v>1.5717502999999999</v>
      </c>
      <c r="AC2198" s="40">
        <v>4.3714852999999999E-4</v>
      </c>
      <c r="AD2198" s="40">
        <v>1.2387512E-4</v>
      </c>
      <c r="AE2198" s="40">
        <v>3.3943455E-7</v>
      </c>
      <c r="AF2198" s="40">
        <v>1.6439445E-2</v>
      </c>
      <c r="AG2198" s="40">
        <v>5.7219787999999998E-6</v>
      </c>
      <c r="AH2198" s="40">
        <v>7.2572968999999998E-3</v>
      </c>
      <c r="AI2198" s="40">
        <v>7.9629322000000002E-2</v>
      </c>
      <c r="AJ2198" s="40">
        <v>2.1894123000000001E-2</v>
      </c>
      <c r="AK2198" s="40">
        <v>2.4104973E-6</v>
      </c>
      <c r="AL2198" s="40">
        <v>21.632432999999999</v>
      </c>
      <c r="AM2198" s="40">
        <v>2.8974539000000001E-2</v>
      </c>
      <c r="AN2198" s="40">
        <v>4.3494218000000002E-7</v>
      </c>
      <c r="AO2198" s="40">
        <v>9.2699751999999996E-2</v>
      </c>
      <c r="AP2198" s="40">
        <v>13.040493</v>
      </c>
      <c r="AQ2198" s="40">
        <v>4.5571119999999999E-10</v>
      </c>
      <c r="AR2198" s="40">
        <v>1.1194316999999999E-8</v>
      </c>
      <c r="AS2198" s="40">
        <v>2.7608117000000001</v>
      </c>
      <c r="AT2198" s="40">
        <v>0</v>
      </c>
      <c r="AU2198" s="40">
        <v>0</v>
      </c>
      <c r="AV2198" s="316">
        <v>0.11700942</v>
      </c>
      <c r="AW2198" s="317">
        <v>0</v>
      </c>
      <c r="AX2198" s="317">
        <v>0</v>
      </c>
      <c r="AY2198" s="316">
        <v>22.973146</v>
      </c>
      <c r="AZ2198" s="40">
        <v>0</v>
      </c>
      <c r="BA2198" s="40">
        <v>0</v>
      </c>
      <c r="BB2198" s="40">
        <v>0</v>
      </c>
      <c r="BC2198" s="40">
        <v>1.1133998E-3</v>
      </c>
      <c r="BD2198" s="40">
        <v>5.8920925000000002E-5</v>
      </c>
      <c r="BE2198" s="40">
        <v>2.5612467999999999E-2</v>
      </c>
      <c r="BF2198" s="40">
        <v>1.5020788999999999E-4</v>
      </c>
      <c r="BG2198" s="40">
        <v>0</v>
      </c>
      <c r="BH2198" s="40">
        <v>0</v>
      </c>
      <c r="BI2198" s="40">
        <v>0</v>
      </c>
      <c r="BJ2198" s="40">
        <v>0</v>
      </c>
      <c r="BK2198" s="40">
        <v>0</v>
      </c>
      <c r="BL2198" s="62">
        <v>0</v>
      </c>
      <c r="BM2198" s="275">
        <v>3</v>
      </c>
      <c r="BN2198" s="62">
        <v>0.05</v>
      </c>
      <c r="BO2198" s="33" t="s">
        <v>753</v>
      </c>
      <c r="BP2198" s="33" t="s">
        <v>758</v>
      </c>
    </row>
    <row r="2199" spans="1:68">
      <c r="A2199" s="33" t="str">
        <f>Database_Productkaarten[[#This Row],[Product]]&amp;", "&amp;Database_Productkaarten[[#This Row],[Levensfase]]</f>
        <v>Geogrid, C2</v>
      </c>
      <c r="B2199" s="33" t="s">
        <v>49</v>
      </c>
      <c r="C2199" s="33" t="s">
        <v>48</v>
      </c>
      <c r="D2199" s="33" t="s">
        <v>751</v>
      </c>
      <c r="E2199" s="33" t="s">
        <v>385</v>
      </c>
      <c r="F2199" s="33" t="s">
        <v>84</v>
      </c>
      <c r="G2199" s="33">
        <v>1</v>
      </c>
      <c r="H2199" s="33">
        <v>1</v>
      </c>
      <c r="M2199" s="271">
        <v>0.255</v>
      </c>
      <c r="N2199" s="41">
        <v>4.4075591679999999E-4</v>
      </c>
      <c r="O2199" s="33">
        <v>35</v>
      </c>
      <c r="P2199" s="40">
        <v>9.3438429279999989E-8</v>
      </c>
      <c r="Q2199" s="40">
        <v>2.6891231480000001E-5</v>
      </c>
      <c r="R2199" s="40">
        <v>3.6569340959999998E-3</v>
      </c>
      <c r="S2199" s="40">
        <v>6.4878994799999999E-10</v>
      </c>
      <c r="T2199" s="40">
        <v>2.206553588E-6</v>
      </c>
      <c r="U2199" s="40">
        <v>1.6079163080000001E-5</v>
      </c>
      <c r="V2199" s="40">
        <v>3.1589016119999999E-6</v>
      </c>
      <c r="W2199" s="40">
        <v>1.539656912E-3</v>
      </c>
      <c r="X2199" s="40">
        <v>4.4948776119999998E-5</v>
      </c>
      <c r="Y2199" s="40">
        <v>0.16168233519999997</v>
      </c>
      <c r="Z2199" s="40">
        <v>5.4417483079999994E-6</v>
      </c>
      <c r="AA2199" s="40">
        <v>3.6908723999999997E-3</v>
      </c>
      <c r="AB2199" s="40">
        <v>3.6878185280000003E-3</v>
      </c>
      <c r="AC2199" s="40">
        <v>1.7024847839999999E-6</v>
      </c>
      <c r="AD2199" s="40">
        <v>1.351340592E-6</v>
      </c>
      <c r="AE2199" s="40">
        <v>8.1398969199999995E-10</v>
      </c>
      <c r="AF2199" s="40">
        <v>2.1388378080000002E-5</v>
      </c>
      <c r="AG2199" s="40">
        <v>3.7201351600000003E-8</v>
      </c>
      <c r="AH2199" s="40">
        <v>7.5367508760000005E-6</v>
      </c>
      <c r="AI2199" s="40">
        <v>8.3093558160000002E-5</v>
      </c>
      <c r="AJ2199" s="40">
        <v>2.3723810199999999E-5</v>
      </c>
      <c r="AK2199" s="40">
        <v>9.3438063480000002E-8</v>
      </c>
      <c r="AL2199" s="40">
        <v>5.5619629599999998E-2</v>
      </c>
      <c r="AM2199" s="40">
        <v>1.98957132E-4</v>
      </c>
      <c r="AN2199" s="40">
        <v>3.3117750120000003E-10</v>
      </c>
      <c r="AO2199" s="40">
        <v>2.3303811040000001E-4</v>
      </c>
      <c r="AP2199" s="40">
        <v>4.9597186440000003E-2</v>
      </c>
      <c r="AQ2199" s="40">
        <v>1.6092231440000001E-12</v>
      </c>
      <c r="AR2199" s="40">
        <v>5.42429692E-11</v>
      </c>
      <c r="AS2199" s="40">
        <v>4.8235691240000003E-2</v>
      </c>
      <c r="AT2199" s="40">
        <v>0</v>
      </c>
      <c r="AU2199" s="40">
        <v>0</v>
      </c>
      <c r="AV2199" s="316">
        <v>6.963181312E-4</v>
      </c>
      <c r="AW2199" s="317">
        <v>0</v>
      </c>
      <c r="AX2199" s="317">
        <v>0</v>
      </c>
      <c r="AY2199" s="316">
        <v>5.9052360039999995E-2</v>
      </c>
      <c r="AZ2199" s="40">
        <v>0</v>
      </c>
      <c r="BA2199" s="40">
        <v>0</v>
      </c>
      <c r="BB2199" s="40">
        <v>0</v>
      </c>
      <c r="BC2199" s="40">
        <v>6.7742830599999996E-6</v>
      </c>
      <c r="BD2199" s="40">
        <v>1.409445008E-7</v>
      </c>
      <c r="BE2199" s="40">
        <v>3.5281230199999997E-3</v>
      </c>
      <c r="BF2199" s="40">
        <v>3.6523147240000002E-7</v>
      </c>
      <c r="BG2199" s="40">
        <v>0</v>
      </c>
      <c r="BH2199" s="40">
        <v>0</v>
      </c>
      <c r="BI2199" s="40">
        <v>0</v>
      </c>
      <c r="BJ2199" s="40">
        <v>0</v>
      </c>
      <c r="BK2199" s="40">
        <v>0</v>
      </c>
      <c r="BL2199" s="62">
        <v>0</v>
      </c>
      <c r="BM2199" s="275">
        <v>3</v>
      </c>
      <c r="BN2199" s="62">
        <v>0.05</v>
      </c>
      <c r="BO2199" s="33" t="s">
        <v>753</v>
      </c>
    </row>
    <row r="2200" spans="1:68">
      <c r="A2200" s="33" t="str">
        <f>Database_Productkaarten[[#This Row],[Product]]&amp;", "&amp;Database_Productkaarten[[#This Row],[Levensfase]]</f>
        <v>Geogrid, C3</v>
      </c>
      <c r="B2200" s="33" t="s">
        <v>49</v>
      </c>
      <c r="C2200" s="33" t="s">
        <v>48</v>
      </c>
      <c r="D2200" s="33" t="s">
        <v>751</v>
      </c>
      <c r="E2200" s="33" t="s">
        <v>385</v>
      </c>
      <c r="F2200" s="33" t="s">
        <v>85</v>
      </c>
      <c r="G2200" s="33">
        <v>1</v>
      </c>
      <c r="H2200" s="33">
        <v>1</v>
      </c>
      <c r="M2200" s="271">
        <v>0.255</v>
      </c>
      <c r="N2200" s="41">
        <v>1.40266878E-2</v>
      </c>
      <c r="O2200" s="33">
        <v>35</v>
      </c>
      <c r="P2200" s="40">
        <v>1.1550682211999999E-6</v>
      </c>
      <c r="Q2200" s="40">
        <v>0</v>
      </c>
      <c r="R2200" s="40">
        <v>0</v>
      </c>
      <c r="S2200" s="40">
        <v>0</v>
      </c>
      <c r="T2200" s="40">
        <v>0</v>
      </c>
      <c r="U2200" s="40">
        <v>0</v>
      </c>
      <c r="V2200" s="40">
        <v>0</v>
      </c>
      <c r="W2200" s="40">
        <v>0</v>
      </c>
      <c r="X2200" s="40">
        <v>0</v>
      </c>
      <c r="Y2200" s="40">
        <v>0</v>
      </c>
      <c r="Z2200" s="40">
        <v>0</v>
      </c>
      <c r="AA2200" s="40">
        <v>0</v>
      </c>
      <c r="AB2200" s="40">
        <v>0</v>
      </c>
      <c r="AC2200" s="40">
        <v>0</v>
      </c>
      <c r="AD2200" s="40">
        <v>0</v>
      </c>
      <c r="AE2200" s="40">
        <v>0</v>
      </c>
      <c r="AF2200" s="40">
        <v>0</v>
      </c>
      <c r="AG2200" s="40">
        <v>0</v>
      </c>
      <c r="AH2200" s="40">
        <v>0</v>
      </c>
      <c r="AI2200" s="40">
        <v>0</v>
      </c>
      <c r="AJ2200" s="40">
        <v>0</v>
      </c>
      <c r="AK2200" s="40">
        <v>0</v>
      </c>
      <c r="AL2200" s="40">
        <v>0</v>
      </c>
      <c r="AM2200" s="40">
        <v>0</v>
      </c>
      <c r="AN2200" s="40">
        <v>0</v>
      </c>
      <c r="AO2200" s="40">
        <v>0</v>
      </c>
      <c r="AP2200" s="40">
        <v>0</v>
      </c>
      <c r="AQ2200" s="40">
        <v>0</v>
      </c>
      <c r="AR2200" s="40">
        <v>0</v>
      </c>
      <c r="AS2200" s="40">
        <v>0</v>
      </c>
      <c r="AT2200" s="40">
        <v>0</v>
      </c>
      <c r="AU2200" s="40">
        <v>0</v>
      </c>
      <c r="AV2200" s="316">
        <v>0</v>
      </c>
      <c r="AW2200" s="317">
        <v>0</v>
      </c>
      <c r="AX2200" s="317">
        <v>0</v>
      </c>
      <c r="AY2200" s="316">
        <v>0</v>
      </c>
      <c r="AZ2200" s="40">
        <v>0</v>
      </c>
      <c r="BA2200" s="40">
        <v>0</v>
      </c>
      <c r="BB2200" s="40">
        <v>0</v>
      </c>
      <c r="BC2200" s="40">
        <v>0</v>
      </c>
      <c r="BD2200" s="40">
        <v>0</v>
      </c>
      <c r="BE2200" s="40">
        <v>0</v>
      </c>
      <c r="BF2200" s="40">
        <v>0</v>
      </c>
      <c r="BG2200" s="40">
        <v>0</v>
      </c>
      <c r="BH2200" s="40">
        <v>0</v>
      </c>
      <c r="BI2200" s="40">
        <v>0</v>
      </c>
      <c r="BJ2200" s="40">
        <v>0</v>
      </c>
      <c r="BK2200" s="40">
        <v>0</v>
      </c>
      <c r="BL2200" s="62">
        <v>0</v>
      </c>
      <c r="BM2200" s="275">
        <v>3</v>
      </c>
      <c r="BN2200" s="62">
        <v>0.05</v>
      </c>
      <c r="BO2200" s="33" t="s">
        <v>753</v>
      </c>
      <c r="BP2200" s="33" t="s">
        <v>759</v>
      </c>
    </row>
    <row r="2201" spans="1:68">
      <c r="A2201" s="33" t="str">
        <f>Database_Productkaarten[[#This Row],[Product]]&amp;", "&amp;Database_Productkaarten[[#This Row],[Levensfase]]</f>
        <v>Geogrid, C4</v>
      </c>
      <c r="B2201" s="33" t="s">
        <v>49</v>
      </c>
      <c r="C2201" s="33" t="s">
        <v>48</v>
      </c>
      <c r="D2201" s="33" t="s">
        <v>751</v>
      </c>
      <c r="E2201" s="33" t="s">
        <v>385</v>
      </c>
      <c r="F2201" s="33" t="s">
        <v>86</v>
      </c>
      <c r="G2201" s="33">
        <v>1</v>
      </c>
      <c r="H2201" s="33">
        <v>1</v>
      </c>
      <c r="M2201" s="271">
        <v>0.255</v>
      </c>
      <c r="N2201" s="41">
        <v>2.5823182354399999E-2</v>
      </c>
      <c r="O2201" s="33">
        <v>35</v>
      </c>
      <c r="P2201" s="40">
        <v>7.0186484277999998E-8</v>
      </c>
      <c r="Q2201" s="40">
        <v>2.4693212440000001E-5</v>
      </c>
      <c r="R2201" s="40">
        <v>0.46476713209199999</v>
      </c>
      <c r="S2201" s="40">
        <v>4.0929222252000005E-10</v>
      </c>
      <c r="T2201" s="40">
        <v>3.780320544E-6</v>
      </c>
      <c r="U2201" s="40">
        <v>4.3933564311999996E-5</v>
      </c>
      <c r="V2201" s="40">
        <v>1.79987259964E-5</v>
      </c>
      <c r="W2201" s="40">
        <v>1.3049111504799999E-2</v>
      </c>
      <c r="X2201" s="40">
        <v>6.3126247483999993E-3</v>
      </c>
      <c r="Y2201" s="40">
        <v>8.70997545</v>
      </c>
      <c r="Z2201" s="40">
        <v>1.28576229176E-5</v>
      </c>
      <c r="AA2201" s="40">
        <v>0.46709608732000002</v>
      </c>
      <c r="AB2201" s="40">
        <v>0.46708721883999998</v>
      </c>
      <c r="AC2201" s="40">
        <v>7.9919049560800008E-6</v>
      </c>
      <c r="AD2201" s="40">
        <v>8.6965782916000011E-7</v>
      </c>
      <c r="AE2201" s="40">
        <v>4.7606115711999999E-10</v>
      </c>
      <c r="AF2201" s="40">
        <v>6.272548308E-5</v>
      </c>
      <c r="AG2201" s="40">
        <v>4.7408116517199992E-8</v>
      </c>
      <c r="AH2201" s="40">
        <v>2.9911900371999998E-5</v>
      </c>
      <c r="AI2201" s="40">
        <v>3.1840784108000002E-4</v>
      </c>
      <c r="AJ2201" s="40">
        <v>8.0614849868000001E-5</v>
      </c>
      <c r="AK2201" s="40">
        <v>7.0186310938399999E-8</v>
      </c>
      <c r="AL2201" s="40">
        <v>4.6133017039999995E-2</v>
      </c>
      <c r="AM2201" s="40">
        <v>2.6386997904800002E-4</v>
      </c>
      <c r="AN2201" s="40">
        <v>3.7406564903999997E-10</v>
      </c>
      <c r="AO2201" s="40">
        <v>8.1214861440000006E-5</v>
      </c>
      <c r="AP2201" s="40">
        <v>0.11196116277199999</v>
      </c>
      <c r="AQ2201" s="40">
        <v>1.6145159017199997E-11</v>
      </c>
      <c r="AR2201" s="40">
        <v>6.3501307221200006E-10</v>
      </c>
      <c r="AS2201" s="40">
        <v>2.9082895520000002E-2</v>
      </c>
      <c r="AT2201" s="40">
        <v>0</v>
      </c>
      <c r="AU2201" s="40">
        <v>0</v>
      </c>
      <c r="AV2201" s="316">
        <v>9.2384676660000004E-4</v>
      </c>
      <c r="AW2201" s="317">
        <v>0</v>
      </c>
      <c r="AX2201" s="317">
        <v>0</v>
      </c>
      <c r="AY2201" s="316">
        <v>5.0148502467999997E-2</v>
      </c>
      <c r="AZ2201" s="40">
        <v>0</v>
      </c>
      <c r="BA2201" s="40">
        <v>0</v>
      </c>
      <c r="BB2201" s="40">
        <v>0</v>
      </c>
      <c r="BC2201" s="40">
        <v>2.9186975329200001E-5</v>
      </c>
      <c r="BD2201" s="40">
        <v>4.6984103973200004E-7</v>
      </c>
      <c r="BE2201" s="40">
        <v>4.3817004298359998E-3</v>
      </c>
      <c r="BF2201" s="40">
        <v>1.1337960211999999E-7</v>
      </c>
      <c r="BG2201" s="40">
        <v>0</v>
      </c>
      <c r="BH2201" s="40">
        <v>0</v>
      </c>
      <c r="BI2201" s="40">
        <v>0</v>
      </c>
      <c r="BJ2201" s="40">
        <v>0</v>
      </c>
      <c r="BK2201" s="40">
        <v>0</v>
      </c>
      <c r="BL2201" s="62">
        <v>0</v>
      </c>
      <c r="BM2201" s="275">
        <v>3</v>
      </c>
      <c r="BN2201" s="62">
        <v>0.05</v>
      </c>
      <c r="BO2201" s="33" t="s">
        <v>753</v>
      </c>
      <c r="BP2201" s="33" t="s">
        <v>760</v>
      </c>
    </row>
    <row r="2202" spans="1:68">
      <c r="A2202" s="33" t="str">
        <f>Database_Productkaarten[[#This Row],[Product]]&amp;", "&amp;Database_Productkaarten[[#This Row],[Levensfase]]</f>
        <v>Geogrid, D</v>
      </c>
      <c r="B2202" s="33" t="s">
        <v>49</v>
      </c>
      <c r="C2202" s="33" t="s">
        <v>48</v>
      </c>
      <c r="D2202" s="33" t="s">
        <v>751</v>
      </c>
      <c r="E2202" s="33" t="s">
        <v>385</v>
      </c>
      <c r="F2202" s="33" t="s">
        <v>89</v>
      </c>
      <c r="G2202" s="33">
        <v>1</v>
      </c>
      <c r="H2202" s="33">
        <v>1</v>
      </c>
      <c r="M2202" s="271">
        <v>0.255</v>
      </c>
      <c r="N2202" s="41">
        <v>-1.5769242812000001E-2</v>
      </c>
      <c r="O2202" s="33">
        <v>35</v>
      </c>
      <c r="P2202" s="40">
        <v>-2.0987815176000001E-7</v>
      </c>
      <c r="Q2202" s="40">
        <v>-2.4906374888E-3</v>
      </c>
      <c r="R2202" s="40">
        <v>-0.25644617568</v>
      </c>
      <c r="S2202" s="40">
        <v>-2.8154556723200003E-8</v>
      </c>
      <c r="T2202" s="40">
        <v>-4.7493680200000004E-5</v>
      </c>
      <c r="U2202" s="40">
        <v>-2.0360841787999998E-4</v>
      </c>
      <c r="V2202" s="40">
        <v>-2.6613850796000004E-5</v>
      </c>
      <c r="W2202" s="40">
        <v>-1.4669266215999999E-2</v>
      </c>
      <c r="X2202" s="40">
        <v>-1.7187525052E-4</v>
      </c>
      <c r="Y2202" s="40">
        <v>-0.70350109159999996</v>
      </c>
      <c r="Z2202" s="40">
        <v>-4.7808164908000003E-5</v>
      </c>
      <c r="AA2202" s="40">
        <v>-0.26023892152</v>
      </c>
      <c r="AB2202" s="40">
        <v>-0.26008801972000001</v>
      </c>
      <c r="AC2202" s="40">
        <v>-1.3987737292E-4</v>
      </c>
      <c r="AD2202" s="40">
        <v>-1.1033461223999999E-5</v>
      </c>
      <c r="AE2202" s="40">
        <v>-3.1892184860800003E-8</v>
      </c>
      <c r="AF2202" s="40">
        <v>-2.5746037167999997E-4</v>
      </c>
      <c r="AG2202" s="40">
        <v>-4.9984197880000005E-7</v>
      </c>
      <c r="AH2202" s="40">
        <v>-6.9528286512E-5</v>
      </c>
      <c r="AI2202" s="40">
        <v>-7.6384118048E-4</v>
      </c>
      <c r="AJ2202" s="40">
        <v>-2.6856368756000002E-4</v>
      </c>
      <c r="AK2202" s="40">
        <v>-2.0987693407999998E-7</v>
      </c>
      <c r="AL2202" s="40">
        <v>-4.6766926368000004</v>
      </c>
      <c r="AM2202" s="40">
        <v>-2.9620011068E-2</v>
      </c>
      <c r="AN2202" s="40">
        <v>-1.0709806591999999E-9</v>
      </c>
      <c r="AO2202" s="40">
        <v>-1.6084955864000001E-3</v>
      </c>
      <c r="AP2202" s="40">
        <v>-0.31520388816</v>
      </c>
      <c r="AQ2202" s="40">
        <v>-1.8665486880000002E-11</v>
      </c>
      <c r="AR2202" s="40">
        <v>-3.1668717492000005E-10</v>
      </c>
      <c r="AS2202" s="40">
        <v>-7.4890381559999997E-2</v>
      </c>
      <c r="AT2202" s="40">
        <v>0</v>
      </c>
      <c r="AU2202" s="40">
        <v>0</v>
      </c>
      <c r="AV2202" s="316">
        <v>-1.7120973260000002E-2</v>
      </c>
      <c r="AW2202" s="317">
        <v>0</v>
      </c>
      <c r="AX2202" s="317">
        <v>0</v>
      </c>
      <c r="AY2202" s="316">
        <v>-5.1657399691999997</v>
      </c>
      <c r="AZ2202" s="40">
        <v>0</v>
      </c>
      <c r="BA2202" s="40">
        <v>0</v>
      </c>
      <c r="BB2202" s="40">
        <v>0</v>
      </c>
      <c r="BC2202" s="40">
        <v>-4.1066389439999994E-4</v>
      </c>
      <c r="BD2202" s="40">
        <v>-5.19942705044E-6</v>
      </c>
      <c r="BE2202" s="40">
        <v>-2.1383519884E-3</v>
      </c>
      <c r="BF2202" s="40">
        <v>-2.2019078412000002E-6</v>
      </c>
      <c r="BG2202" s="40">
        <v>0</v>
      </c>
      <c r="BH2202" s="40">
        <v>0</v>
      </c>
      <c r="BI2202" s="40">
        <v>0</v>
      </c>
      <c r="BJ2202" s="40">
        <v>0</v>
      </c>
      <c r="BK2202" s="40">
        <v>0</v>
      </c>
      <c r="BL2202" s="62">
        <v>0</v>
      </c>
      <c r="BM2202" s="275">
        <v>3</v>
      </c>
      <c r="BN2202" s="62">
        <v>0.05</v>
      </c>
      <c r="BO2202" s="33" t="s">
        <v>753</v>
      </c>
      <c r="BP2202" s="33" t="s">
        <v>761</v>
      </c>
    </row>
    <row r="2203" spans="1:68">
      <c r="A2203" s="33" t="str">
        <f>Database_Productkaarten[[#This Row],[Product]]&amp;", "&amp;Database_Productkaarten[[#This Row],[Levensfase]]</f>
        <v>Geogrid, D1</v>
      </c>
      <c r="B2203" s="33" t="s">
        <v>49</v>
      </c>
      <c r="C2203" s="33" t="s">
        <v>48</v>
      </c>
      <c r="D2203" s="33" t="s">
        <v>751</v>
      </c>
      <c r="E2203" s="33" t="s">
        <v>385</v>
      </c>
      <c r="F2203" s="33" t="s">
        <v>87</v>
      </c>
      <c r="G2203" s="33">
        <v>1</v>
      </c>
      <c r="H2203" s="33">
        <v>1</v>
      </c>
      <c r="M2203" s="271">
        <v>0.255</v>
      </c>
      <c r="N2203" s="41"/>
      <c r="O2203" s="33">
        <v>35</v>
      </c>
      <c r="P2203" s="40"/>
      <c r="Q2203" s="40"/>
      <c r="R2203" s="40"/>
      <c r="S2203" s="40"/>
      <c r="T2203" s="40"/>
      <c r="U2203" s="40"/>
      <c r="V2203" s="40"/>
      <c r="W2203" s="40"/>
      <c r="X2203" s="40"/>
      <c r="Y2203" s="40"/>
      <c r="Z2203" s="40"/>
      <c r="AA2203" s="40"/>
      <c r="AB2203" s="40"/>
      <c r="AC2203" s="40"/>
      <c r="AD2203" s="40"/>
      <c r="AE2203" s="40"/>
      <c r="AF2203" s="40"/>
      <c r="AG2203" s="40"/>
      <c r="AH2203" s="40"/>
      <c r="AI2203" s="40"/>
      <c r="AJ2203" s="40"/>
      <c r="AK2203" s="40"/>
      <c r="AL2203" s="40"/>
      <c r="AM2203" s="40"/>
      <c r="AN2203" s="40"/>
      <c r="AO2203" s="40"/>
      <c r="AP2203" s="40"/>
      <c r="AQ2203" s="40"/>
      <c r="AR2203" s="40"/>
      <c r="AS2203" s="40"/>
      <c r="AT2203" s="40"/>
      <c r="AU2203" s="40"/>
      <c r="AV2203" s="317"/>
      <c r="AW2203" s="317"/>
      <c r="AX2203" s="317"/>
      <c r="AY2203" s="317"/>
      <c r="AZ2203" s="40"/>
      <c r="BA2203" s="40"/>
      <c r="BB2203" s="40"/>
      <c r="BC2203" s="40"/>
      <c r="BD2203" s="40"/>
      <c r="BE2203" s="40"/>
      <c r="BF2203" s="40"/>
      <c r="BG2203" s="40"/>
      <c r="BH2203" s="40"/>
      <c r="BI2203" s="40"/>
      <c r="BJ2203" s="40"/>
      <c r="BK2203" s="40"/>
      <c r="BL2203" s="62">
        <v>0</v>
      </c>
      <c r="BM2203" s="275">
        <v>3</v>
      </c>
      <c r="BN2203" s="62">
        <v>0.05</v>
      </c>
      <c r="BO2203" s="33" t="s">
        <v>753</v>
      </c>
    </row>
    <row r="2204" spans="1:68">
      <c r="A2204" s="33" t="str">
        <f>Database_Productkaarten[[#This Row],[Product]]&amp;", "&amp;Database_Productkaarten[[#This Row],[Levensfase]]</f>
        <v>Geogrid, D2</v>
      </c>
      <c r="B2204" s="33" t="s">
        <v>49</v>
      </c>
      <c r="C2204" s="33" t="s">
        <v>48</v>
      </c>
      <c r="D2204" s="33" t="s">
        <v>751</v>
      </c>
      <c r="E2204" s="33" t="s">
        <v>385</v>
      </c>
      <c r="F2204" s="33" t="s">
        <v>88</v>
      </c>
      <c r="G2204" s="33">
        <v>1</v>
      </c>
      <c r="H2204" s="33">
        <v>1</v>
      </c>
      <c r="M2204" s="271">
        <v>0.255</v>
      </c>
      <c r="N2204" s="41"/>
      <c r="O2204" s="33">
        <v>35</v>
      </c>
      <c r="P2204" s="40"/>
      <c r="Q2204" s="40"/>
      <c r="R2204" s="40"/>
      <c r="S2204" s="40"/>
      <c r="T2204" s="40"/>
      <c r="U2204" s="40"/>
      <c r="V2204" s="40"/>
      <c r="W2204" s="40"/>
      <c r="X2204" s="40"/>
      <c r="Y2204" s="40"/>
      <c r="Z2204" s="40"/>
      <c r="AA2204" s="40"/>
      <c r="AB2204" s="40"/>
      <c r="AC2204" s="40"/>
      <c r="AD2204" s="40"/>
      <c r="AE2204" s="40"/>
      <c r="AF2204" s="40"/>
      <c r="AG2204" s="40"/>
      <c r="AH2204" s="40"/>
      <c r="AI2204" s="40"/>
      <c r="AJ2204" s="40"/>
      <c r="AK2204" s="40"/>
      <c r="AL2204" s="40"/>
      <c r="AM2204" s="40"/>
      <c r="AN2204" s="40"/>
      <c r="AO2204" s="40"/>
      <c r="AP2204" s="40"/>
      <c r="AQ2204" s="40"/>
      <c r="AR2204" s="40"/>
      <c r="AS2204" s="40"/>
      <c r="AT2204" s="40"/>
      <c r="AU2204" s="40"/>
      <c r="AV2204" s="317"/>
      <c r="AW2204" s="317"/>
      <c r="AX2204" s="317"/>
      <c r="AY2204" s="317"/>
      <c r="AZ2204" s="40"/>
      <c r="BA2204" s="40"/>
      <c r="BB2204" s="40"/>
      <c r="BC2204" s="40"/>
      <c r="BD2204" s="40"/>
      <c r="BE2204" s="40"/>
      <c r="BF2204" s="40"/>
      <c r="BG2204" s="40"/>
      <c r="BH2204" s="40"/>
      <c r="BI2204" s="40"/>
      <c r="BJ2204" s="40"/>
      <c r="BK2204" s="40"/>
      <c r="BL2204" s="62">
        <v>0</v>
      </c>
      <c r="BM2204" s="275">
        <v>3</v>
      </c>
      <c r="BN2204" s="62">
        <v>0.05</v>
      </c>
      <c r="BO2204" s="33" t="s">
        <v>753</v>
      </c>
    </row>
    <row r="2205" spans="1:68">
      <c r="A2205" s="33" t="str">
        <f>Database_Productkaarten[[#This Row],[Product]]&amp;", "&amp;Database_Productkaarten[[#This Row],[Levensfase]]</f>
        <v>Geotextiel PP, 275 g/m2, Totaal</v>
      </c>
      <c r="B2205" s="33" t="s">
        <v>762</v>
      </c>
      <c r="C2205" s="33" t="s">
        <v>48</v>
      </c>
      <c r="D2205" s="33" t="s">
        <v>751</v>
      </c>
      <c r="E2205" s="33" t="s">
        <v>385</v>
      </c>
      <c r="F2205" s="33" t="s">
        <v>90</v>
      </c>
      <c r="G2205" s="33">
        <v>1</v>
      </c>
      <c r="H2205" s="33">
        <v>1</v>
      </c>
      <c r="M2205" s="361">
        <v>2.7500000000000002E-4</v>
      </c>
      <c r="N2205" s="41">
        <v>0.13401457663999997</v>
      </c>
      <c r="O2205" s="33">
        <v>100</v>
      </c>
      <c r="P2205" s="40">
        <v>5.7899999999999998E-7</v>
      </c>
      <c r="Q2205" s="40">
        <v>1.21E-2</v>
      </c>
      <c r="R2205" s="40">
        <v>1.63</v>
      </c>
      <c r="S2205" s="40">
        <v>9.0800000000000006E-8</v>
      </c>
      <c r="T2205" s="40">
        <v>8.3000000000000001E-4</v>
      </c>
      <c r="U2205" s="40">
        <v>4.2900000000000004E-3</v>
      </c>
      <c r="V2205" s="40">
        <v>6.2200000000000005E-4</v>
      </c>
      <c r="W2205" s="40">
        <v>0.25600000000000001</v>
      </c>
      <c r="X2205" s="40">
        <v>1.26E-2</v>
      </c>
      <c r="Y2205" s="40">
        <v>26.8</v>
      </c>
      <c r="Z2205" s="40">
        <v>9.9599999999999992E-4</v>
      </c>
      <c r="AA2205" s="40"/>
      <c r="AB2205" s="40"/>
      <c r="AC2205" s="40"/>
      <c r="AD2205" s="40"/>
      <c r="AE2205" s="40"/>
      <c r="AF2205" s="40"/>
      <c r="AG2205" s="40"/>
      <c r="AH2205" s="40"/>
      <c r="AI2205" s="40"/>
      <c r="AJ2205" s="40"/>
      <c r="AK2205" s="40"/>
      <c r="AL2205" s="40"/>
      <c r="AM2205" s="40"/>
      <c r="AN2205" s="40"/>
      <c r="AO2205" s="40"/>
      <c r="AP2205" s="40"/>
      <c r="AQ2205" s="40"/>
      <c r="AR2205" s="40"/>
      <c r="AS2205" s="40"/>
      <c r="AT2205" s="40"/>
      <c r="AU2205" s="40"/>
      <c r="AV2205" s="281">
        <v>0.76200000000000001</v>
      </c>
      <c r="AW2205" s="40"/>
      <c r="AX2205" s="40"/>
      <c r="AY2205" s="281">
        <v>27.8</v>
      </c>
      <c r="AZ2205" s="40"/>
      <c r="BA2205" s="40"/>
      <c r="BB2205" s="40"/>
      <c r="BC2205" s="40">
        <v>1.12E-2</v>
      </c>
      <c r="BD2205" s="40">
        <v>6.3600000000000001E-5</v>
      </c>
      <c r="BE2205" s="40">
        <v>6.6299999999999998E-2</v>
      </c>
      <c r="BF2205" s="40">
        <v>8.5900000000000008E-6</v>
      </c>
      <c r="BG2205" s="40"/>
      <c r="BH2205" s="40"/>
      <c r="BI2205" s="40"/>
      <c r="BJ2205" s="40"/>
      <c r="BK2205" s="40"/>
      <c r="BL2205" s="62">
        <v>0</v>
      </c>
      <c r="BM2205" s="275">
        <v>3</v>
      </c>
      <c r="BN2205" s="279">
        <v>0.05</v>
      </c>
      <c r="BO2205" s="33" t="s">
        <v>763</v>
      </c>
    </row>
    <row r="2206" spans="1:68">
      <c r="A2206" s="33" t="str">
        <f>Database_Productkaarten[[#This Row],[Product]]&amp;", "&amp;Database_Productkaarten[[#This Row],[Levensfase]]</f>
        <v>Geotextiel PP, 275 g/m2, A1</v>
      </c>
      <c r="B2206" s="33" t="s">
        <v>762</v>
      </c>
      <c r="C2206" s="33" t="s">
        <v>48</v>
      </c>
      <c r="D2206" s="33" t="s">
        <v>751</v>
      </c>
      <c r="E2206" s="33" t="s">
        <v>385</v>
      </c>
      <c r="F2206" s="33" t="s">
        <v>74</v>
      </c>
      <c r="G2206" s="33">
        <v>1</v>
      </c>
      <c r="H2206" s="33">
        <v>1</v>
      </c>
      <c r="M2206" s="361">
        <v>2.7500000000000002E-4</v>
      </c>
      <c r="N2206" s="41"/>
      <c r="O2206" s="33">
        <v>100</v>
      </c>
      <c r="P2206" s="40"/>
      <c r="Q2206" s="40"/>
      <c r="R2206" s="40"/>
      <c r="S2206" s="40"/>
      <c r="T2206" s="40"/>
      <c r="U2206" s="40"/>
      <c r="V2206" s="40"/>
      <c r="W2206" s="40"/>
      <c r="X2206" s="40"/>
      <c r="Y2206" s="40"/>
      <c r="Z2206" s="40"/>
      <c r="AA2206" s="40"/>
      <c r="AB2206" s="40"/>
      <c r="AC2206" s="40"/>
      <c r="AD2206" s="40"/>
      <c r="AE2206" s="40"/>
      <c r="AF2206" s="40"/>
      <c r="AG2206" s="40"/>
      <c r="AH2206" s="40"/>
      <c r="AI2206" s="40"/>
      <c r="AJ2206" s="40"/>
      <c r="AK2206" s="40"/>
      <c r="AL2206" s="40"/>
      <c r="AM2206" s="40"/>
      <c r="AN2206" s="40"/>
      <c r="AO2206" s="40"/>
      <c r="AP2206" s="40"/>
      <c r="AQ2206" s="40"/>
      <c r="AR2206" s="40"/>
      <c r="AS2206" s="40"/>
      <c r="AT2206" s="40"/>
      <c r="AU2206" s="40"/>
      <c r="AV2206" s="281"/>
      <c r="AW2206" s="40"/>
      <c r="AX2206" s="40"/>
      <c r="AY2206" s="281"/>
      <c r="AZ2206" s="40"/>
      <c r="BA2206" s="40"/>
      <c r="BB2206" s="40"/>
      <c r="BC2206" s="40"/>
      <c r="BD2206" s="40"/>
      <c r="BE2206" s="40"/>
      <c r="BF2206" s="40"/>
      <c r="BG2206" s="40"/>
      <c r="BH2206" s="40"/>
      <c r="BI2206" s="40"/>
      <c r="BJ2206" s="40"/>
      <c r="BK2206" s="40"/>
      <c r="BL2206" s="62">
        <v>0</v>
      </c>
      <c r="BM2206" s="275">
        <v>3</v>
      </c>
      <c r="BN2206" s="279">
        <v>0.05</v>
      </c>
      <c r="BO2206" s="33" t="s">
        <v>763</v>
      </c>
    </row>
    <row r="2207" spans="1:68">
      <c r="A2207" s="33" t="str">
        <f>Database_Productkaarten[[#This Row],[Product]]&amp;", "&amp;Database_Productkaarten[[#This Row],[Levensfase]]</f>
        <v>Geotextiel PP, 275 g/m2, A2</v>
      </c>
      <c r="B2207" s="33" t="s">
        <v>762</v>
      </c>
      <c r="C2207" s="33" t="s">
        <v>48</v>
      </c>
      <c r="D2207" s="33" t="s">
        <v>751</v>
      </c>
      <c r="E2207" s="33" t="s">
        <v>385</v>
      </c>
      <c r="F2207" s="33" t="s">
        <v>75</v>
      </c>
      <c r="G2207" s="33">
        <v>1</v>
      </c>
      <c r="H2207" s="33">
        <v>1</v>
      </c>
      <c r="M2207" s="361">
        <v>2.7500000000000002E-4</v>
      </c>
      <c r="N2207" s="41"/>
      <c r="O2207" s="33">
        <v>100</v>
      </c>
      <c r="P2207" s="40"/>
      <c r="Q2207" s="40"/>
      <c r="R2207" s="40"/>
      <c r="S2207" s="40"/>
      <c r="T2207" s="40"/>
      <c r="U2207" s="40"/>
      <c r="V2207" s="40"/>
      <c r="W2207" s="40"/>
      <c r="X2207" s="40"/>
      <c r="Y2207" s="40"/>
      <c r="Z2207" s="40"/>
      <c r="AA2207" s="40"/>
      <c r="AB2207" s="40"/>
      <c r="AC2207" s="40"/>
      <c r="AD2207" s="40"/>
      <c r="AE2207" s="40"/>
      <c r="AF2207" s="40"/>
      <c r="AG2207" s="40"/>
      <c r="AH2207" s="40"/>
      <c r="AI2207" s="40"/>
      <c r="AJ2207" s="40"/>
      <c r="AK2207" s="40"/>
      <c r="AL2207" s="40"/>
      <c r="AM2207" s="40"/>
      <c r="AN2207" s="40"/>
      <c r="AO2207" s="40"/>
      <c r="AP2207" s="40"/>
      <c r="AQ2207" s="40"/>
      <c r="AR2207" s="40"/>
      <c r="AS2207" s="40"/>
      <c r="AT2207" s="40"/>
      <c r="AU2207" s="40"/>
      <c r="AV2207" s="281"/>
      <c r="AW2207" s="40"/>
      <c r="AX2207" s="40"/>
      <c r="AY2207" s="281"/>
      <c r="AZ2207" s="40"/>
      <c r="BA2207" s="40"/>
      <c r="BB2207" s="40"/>
      <c r="BC2207" s="40"/>
      <c r="BD2207" s="40"/>
      <c r="BE2207" s="40"/>
      <c r="BF2207" s="40"/>
      <c r="BG2207" s="40"/>
      <c r="BH2207" s="40"/>
      <c r="BI2207" s="40"/>
      <c r="BJ2207" s="40"/>
      <c r="BK2207" s="40"/>
      <c r="BL2207" s="62">
        <v>0</v>
      </c>
      <c r="BM2207" s="275">
        <v>3</v>
      </c>
      <c r="BN2207" s="279">
        <v>0.05</v>
      </c>
      <c r="BO2207" s="33" t="s">
        <v>763</v>
      </c>
    </row>
    <row r="2208" spans="1:68">
      <c r="A2208" s="33" t="str">
        <f>Database_Productkaarten[[#This Row],[Product]]&amp;", "&amp;Database_Productkaarten[[#This Row],[Levensfase]]</f>
        <v>Geotextiel PP, 275 g/m2, A3</v>
      </c>
      <c r="B2208" s="33" t="s">
        <v>762</v>
      </c>
      <c r="C2208" s="33" t="s">
        <v>48</v>
      </c>
      <c r="D2208" s="33" t="s">
        <v>751</v>
      </c>
      <c r="E2208" s="33" t="s">
        <v>385</v>
      </c>
      <c r="F2208" s="33" t="s">
        <v>76</v>
      </c>
      <c r="G2208" s="33">
        <v>1</v>
      </c>
      <c r="H2208" s="33">
        <v>1</v>
      </c>
      <c r="M2208" s="361">
        <v>2.7500000000000002E-4</v>
      </c>
      <c r="N2208" s="41">
        <v>6.1559823560000004E-2</v>
      </c>
      <c r="O2208" s="33">
        <v>100</v>
      </c>
      <c r="P2208" s="40">
        <v>2.6600000000000003E-7</v>
      </c>
      <c r="Q2208" s="40">
        <v>1.0200000000000001E-2</v>
      </c>
      <c r="R2208" s="40">
        <v>0.74</v>
      </c>
      <c r="S2208" s="40">
        <v>1.27E-8</v>
      </c>
      <c r="T2208" s="40">
        <v>6.5300000000000004E-4</v>
      </c>
      <c r="U2208" s="40">
        <v>2.5400000000000002E-3</v>
      </c>
      <c r="V2208" s="40">
        <v>2.7099999999999997E-4</v>
      </c>
      <c r="W2208" s="40">
        <v>9.1700000000000004E-2</v>
      </c>
      <c r="X2208" s="40">
        <v>2.31E-3</v>
      </c>
      <c r="Y2208" s="40">
        <v>6.74</v>
      </c>
      <c r="Z2208" s="40">
        <v>4.35E-4</v>
      </c>
      <c r="AA2208" s="40"/>
      <c r="AB2208" s="40"/>
      <c r="AC2208" s="40"/>
      <c r="AD2208" s="40"/>
      <c r="AE2208" s="40"/>
      <c r="AF2208" s="40"/>
      <c r="AG2208" s="40"/>
      <c r="AH2208" s="40"/>
      <c r="AI2208" s="40"/>
      <c r="AJ2208" s="40"/>
      <c r="AK2208" s="40"/>
      <c r="AL2208" s="40"/>
      <c r="AM2208" s="40"/>
      <c r="AN2208" s="40"/>
      <c r="AO2208" s="40"/>
      <c r="AP2208" s="40"/>
      <c r="AQ2208" s="40"/>
      <c r="AR2208" s="40"/>
      <c r="AS2208" s="40"/>
      <c r="AT2208" s="40"/>
      <c r="AU2208" s="40"/>
      <c r="AV2208" s="281">
        <v>0.67100000000000004</v>
      </c>
      <c r="AW2208" s="40"/>
      <c r="AX2208" s="40"/>
      <c r="AY2208" s="281">
        <v>23.2</v>
      </c>
      <c r="AZ2208" s="40"/>
      <c r="BA2208" s="40"/>
      <c r="BB2208" s="40"/>
      <c r="BC2208" s="40">
        <v>1.0200000000000001E-2</v>
      </c>
      <c r="BD2208" s="40">
        <v>3.2200000000000001E-6</v>
      </c>
      <c r="BE2208" s="40">
        <v>3.4200000000000001E-2</v>
      </c>
      <c r="BF2208" s="40">
        <v>9.9899999999999992E-6</v>
      </c>
      <c r="BG2208" s="40"/>
      <c r="BH2208" s="40"/>
      <c r="BI2208" s="40"/>
      <c r="BJ2208" s="40"/>
      <c r="BK2208" s="40"/>
      <c r="BL2208" s="62">
        <v>0</v>
      </c>
      <c r="BM2208" s="275">
        <v>3</v>
      </c>
      <c r="BN2208" s="279">
        <v>0.05</v>
      </c>
      <c r="BO2208" s="33" t="s">
        <v>763</v>
      </c>
    </row>
    <row r="2209" spans="1:67">
      <c r="A2209" s="33" t="str">
        <f>Database_Productkaarten[[#This Row],[Product]]&amp;", "&amp;Database_Productkaarten[[#This Row],[Levensfase]]</f>
        <v>Geotextiel PP, 275 g/m2, A1-A3</v>
      </c>
      <c r="B2209" s="33" t="s">
        <v>762</v>
      </c>
      <c r="C2209" s="33" t="s">
        <v>48</v>
      </c>
      <c r="D2209" s="33" t="s">
        <v>751</v>
      </c>
      <c r="E2209" s="33" t="s">
        <v>385</v>
      </c>
      <c r="F2209" s="33" t="s">
        <v>77</v>
      </c>
      <c r="G2209" s="33">
        <v>1</v>
      </c>
      <c r="H2209" s="33">
        <v>1</v>
      </c>
      <c r="M2209" s="361">
        <v>2.7500000000000002E-4</v>
      </c>
      <c r="N2209" s="41">
        <v>3.9146806040000001E-4</v>
      </c>
      <c r="O2209" s="33">
        <v>100</v>
      </c>
      <c r="P2209" s="40">
        <v>6.6899999999999999E-9</v>
      </c>
      <c r="Q2209" s="40">
        <v>2.6400000000000001E-5</v>
      </c>
      <c r="R2209" s="40">
        <v>3.49E-3</v>
      </c>
      <c r="S2209" s="40">
        <v>6.9299999999999999E-10</v>
      </c>
      <c r="T2209" s="40">
        <v>2.2000000000000001E-6</v>
      </c>
      <c r="U2209" s="40">
        <v>1.27E-5</v>
      </c>
      <c r="V2209" s="40">
        <v>2.5900000000000002E-6</v>
      </c>
      <c r="W2209" s="40">
        <v>1.23E-3</v>
      </c>
      <c r="X2209" s="40">
        <v>7.9200000000000001E-5</v>
      </c>
      <c r="Y2209" s="40">
        <v>0.20699999999999999</v>
      </c>
      <c r="Z2209" s="40">
        <v>7.2699999999999999E-6</v>
      </c>
      <c r="AA2209" s="40"/>
      <c r="AB2209" s="40"/>
      <c r="AC2209" s="40"/>
      <c r="AD2209" s="40"/>
      <c r="AE2209" s="40"/>
      <c r="AF2209" s="40"/>
      <c r="AG2209" s="40"/>
      <c r="AH2209" s="40"/>
      <c r="AI2209" s="40"/>
      <c r="AJ2209" s="40"/>
      <c r="AK2209" s="40"/>
      <c r="AL2209" s="40"/>
      <c r="AM2209" s="40"/>
      <c r="AN2209" s="40"/>
      <c r="AO2209" s="40"/>
      <c r="AP2209" s="40"/>
      <c r="AQ2209" s="40"/>
      <c r="AR2209" s="40"/>
      <c r="AS2209" s="40"/>
      <c r="AT2209" s="40"/>
      <c r="AU2209" s="40"/>
      <c r="AV2209" s="281">
        <v>9.4200000000000002E-4</v>
      </c>
      <c r="AW2209" s="40"/>
      <c r="AX2209" s="40"/>
      <c r="AY2209" s="281">
        <v>6.0299999999999999E-2</v>
      </c>
      <c r="AZ2209" s="40"/>
      <c r="BA2209" s="40"/>
      <c r="BB2209" s="40"/>
      <c r="BC2209" s="40">
        <v>1.22E-5</v>
      </c>
      <c r="BD2209" s="40">
        <v>4.27E-7</v>
      </c>
      <c r="BE2209" s="40">
        <v>4.9800000000000001E-3</v>
      </c>
      <c r="BF2209" s="40">
        <v>0</v>
      </c>
      <c r="BG2209" s="40"/>
      <c r="BH2209" s="40"/>
      <c r="BI2209" s="40"/>
      <c r="BJ2209" s="40"/>
      <c r="BK2209" s="40"/>
      <c r="BL2209" s="62">
        <v>0</v>
      </c>
      <c r="BM2209" s="275">
        <v>3</v>
      </c>
      <c r="BN2209" s="279">
        <v>0.05</v>
      </c>
      <c r="BO2209" s="33" t="s">
        <v>763</v>
      </c>
    </row>
    <row r="2210" spans="1:67">
      <c r="A2210" s="33" t="str">
        <f>Database_Productkaarten[[#This Row],[Product]]&amp;", "&amp;Database_Productkaarten[[#This Row],[Levensfase]]</f>
        <v>Geotextiel PP, 275 g/m2, A4</v>
      </c>
      <c r="B2210" s="33" t="s">
        <v>762</v>
      </c>
      <c r="C2210" s="33" t="s">
        <v>48</v>
      </c>
      <c r="D2210" s="33" t="s">
        <v>751</v>
      </c>
      <c r="E2210" s="33" t="s">
        <v>385</v>
      </c>
      <c r="F2210" s="33" t="s">
        <v>78</v>
      </c>
      <c r="G2210" s="33">
        <v>1</v>
      </c>
      <c r="H2210" s="33">
        <v>1</v>
      </c>
      <c r="M2210" s="361">
        <v>2.7500000000000002E-4</v>
      </c>
      <c r="N2210" s="41">
        <v>2.7634590600000005E-2</v>
      </c>
      <c r="O2210" s="33">
        <v>100</v>
      </c>
      <c r="P2210" s="40">
        <v>1.35E-7</v>
      </c>
      <c r="Q2210" s="40">
        <v>2.14E-3</v>
      </c>
      <c r="R2210" s="40">
        <v>0.307</v>
      </c>
      <c r="S2210" s="40">
        <v>4.43E-8</v>
      </c>
      <c r="T2210" s="40">
        <v>1.15E-4</v>
      </c>
      <c r="U2210" s="40">
        <v>8.7699999999999996E-4</v>
      </c>
      <c r="V2210" s="40">
        <v>1.5799999999999999E-4</v>
      </c>
      <c r="W2210" s="40">
        <v>6.9000000000000006E-2</v>
      </c>
      <c r="X2210" s="40">
        <v>1.73E-3</v>
      </c>
      <c r="Y2210" s="40">
        <v>5.04</v>
      </c>
      <c r="Z2210" s="40">
        <v>2.4899999999999998E-4</v>
      </c>
      <c r="AA2210" s="40"/>
      <c r="AB2210" s="40"/>
      <c r="AC2210" s="40"/>
      <c r="AD2210" s="40"/>
      <c r="AE2210" s="40"/>
      <c r="AF2210" s="40"/>
      <c r="AG2210" s="40"/>
      <c r="AH2210" s="40"/>
      <c r="AI2210" s="40"/>
      <c r="AJ2210" s="40"/>
      <c r="AK2210" s="40"/>
      <c r="AL2210" s="40"/>
      <c r="AM2210" s="40"/>
      <c r="AN2210" s="40"/>
      <c r="AO2210" s="40"/>
      <c r="AP2210" s="40"/>
      <c r="AQ2210" s="40"/>
      <c r="AR2210" s="40"/>
      <c r="AS2210" s="40"/>
      <c r="AT2210" s="40"/>
      <c r="AU2210" s="40"/>
      <c r="AV2210" s="281">
        <v>6.1800000000000001E-2</v>
      </c>
      <c r="AW2210" s="40"/>
      <c r="AX2210" s="40"/>
      <c r="AY2210" s="281">
        <v>4.82</v>
      </c>
      <c r="AZ2210" s="40"/>
      <c r="BA2210" s="40"/>
      <c r="BB2210" s="40"/>
      <c r="BC2210" s="40">
        <v>8.6200000000000003E-4</v>
      </c>
      <c r="BD2210" s="40">
        <v>2.72E-5</v>
      </c>
      <c r="BE2210" s="40">
        <v>9.0200000000000002E-3</v>
      </c>
      <c r="BF2210" s="40">
        <v>4.0900000000000002E-7</v>
      </c>
      <c r="BG2210" s="40"/>
      <c r="BH2210" s="40"/>
      <c r="BI2210" s="40"/>
      <c r="BJ2210" s="40"/>
      <c r="BK2210" s="40"/>
      <c r="BL2210" s="62">
        <v>0</v>
      </c>
      <c r="BM2210" s="275">
        <v>3</v>
      </c>
      <c r="BN2210" s="279">
        <v>0.05</v>
      </c>
      <c r="BO2210" s="33" t="s">
        <v>763</v>
      </c>
    </row>
    <row r="2211" spans="1:67">
      <c r="A2211" s="33" t="str">
        <f>Database_Productkaarten[[#This Row],[Product]]&amp;", "&amp;Database_Productkaarten[[#This Row],[Levensfase]]</f>
        <v>Geotextiel PP, 275 g/m2, A5</v>
      </c>
      <c r="B2211" s="33" t="s">
        <v>762</v>
      </c>
      <c r="C2211" s="33" t="s">
        <v>48</v>
      </c>
      <c r="D2211" s="33" t="s">
        <v>751</v>
      </c>
      <c r="E2211" s="33" t="s">
        <v>385</v>
      </c>
      <c r="F2211" s="33" t="s">
        <v>79</v>
      </c>
      <c r="G2211" s="33">
        <v>1</v>
      </c>
      <c r="H2211" s="33">
        <v>1</v>
      </c>
      <c r="M2211" s="361">
        <v>2.7500000000000002E-4</v>
      </c>
      <c r="N2211" s="41">
        <v>0</v>
      </c>
      <c r="O2211" s="33">
        <v>100</v>
      </c>
      <c r="P2211" s="40">
        <v>0</v>
      </c>
      <c r="Q2211" s="40">
        <v>0</v>
      </c>
      <c r="R2211" s="40">
        <v>0</v>
      </c>
      <c r="S2211" s="40">
        <v>0</v>
      </c>
      <c r="T2211" s="40">
        <v>0</v>
      </c>
      <c r="U2211" s="40">
        <v>0</v>
      </c>
      <c r="V2211" s="40">
        <v>0</v>
      </c>
      <c r="W2211" s="40">
        <v>0</v>
      </c>
      <c r="X2211" s="40">
        <v>0</v>
      </c>
      <c r="Y2211" s="40">
        <v>0</v>
      </c>
      <c r="Z2211" s="40">
        <v>0</v>
      </c>
      <c r="AA2211" s="40"/>
      <c r="AB2211" s="40"/>
      <c r="AC2211" s="40"/>
      <c r="AD2211" s="40"/>
      <c r="AE2211" s="40"/>
      <c r="AF2211" s="40"/>
      <c r="AG2211" s="40"/>
      <c r="AH2211" s="40"/>
      <c r="AI2211" s="40"/>
      <c r="AJ2211" s="40"/>
      <c r="AK2211" s="40"/>
      <c r="AL2211" s="40"/>
      <c r="AM2211" s="40"/>
      <c r="AN2211" s="40"/>
      <c r="AO2211" s="40"/>
      <c r="AP2211" s="40"/>
      <c r="AQ2211" s="40"/>
      <c r="AR2211" s="40"/>
      <c r="AS2211" s="40"/>
      <c r="AT2211" s="40"/>
      <c r="AU2211" s="40"/>
      <c r="AV2211" s="281">
        <v>0</v>
      </c>
      <c r="AW2211" s="40"/>
      <c r="AX2211" s="40"/>
      <c r="AY2211" s="281">
        <v>0</v>
      </c>
      <c r="AZ2211" s="40"/>
      <c r="BA2211" s="40"/>
      <c r="BB2211" s="40"/>
      <c r="BC2211" s="40">
        <v>0</v>
      </c>
      <c r="BD2211" s="40">
        <v>0</v>
      </c>
      <c r="BE2211" s="40">
        <v>0</v>
      </c>
      <c r="BF2211" s="40">
        <v>0</v>
      </c>
      <c r="BG2211" s="40"/>
      <c r="BH2211" s="40"/>
      <c r="BI2211" s="40"/>
      <c r="BJ2211" s="40"/>
      <c r="BK2211" s="40"/>
      <c r="BL2211" s="62">
        <v>0</v>
      </c>
      <c r="BM2211" s="275">
        <v>3</v>
      </c>
      <c r="BN2211" s="279">
        <v>0.05</v>
      </c>
      <c r="BO2211" s="33" t="s">
        <v>763</v>
      </c>
    </row>
    <row r="2212" spans="1:67">
      <c r="A2212" s="33" t="str">
        <f>Database_Productkaarten[[#This Row],[Product]]&amp;", "&amp;Database_Productkaarten[[#This Row],[Levensfase]]</f>
        <v>Geotextiel PP, 275 g/m2, B1</v>
      </c>
      <c r="B2212" s="33" t="s">
        <v>762</v>
      </c>
      <c r="C2212" s="33" t="s">
        <v>48</v>
      </c>
      <c r="D2212" s="33" t="s">
        <v>751</v>
      </c>
      <c r="E2212" s="33" t="s">
        <v>385</v>
      </c>
      <c r="F2212" s="33" t="s">
        <v>80</v>
      </c>
      <c r="G2212" s="33">
        <v>1</v>
      </c>
      <c r="H2212" s="33">
        <v>1</v>
      </c>
      <c r="M2212" s="361">
        <v>2.7500000000000002E-4</v>
      </c>
      <c r="N2212" s="41">
        <v>3.2968966719999999E-2</v>
      </c>
      <c r="O2212" s="33">
        <v>100</v>
      </c>
      <c r="P2212" s="40">
        <v>1.67E-7</v>
      </c>
      <c r="Q2212" s="40">
        <v>2.4299999999999999E-3</v>
      </c>
      <c r="R2212" s="40">
        <v>0.35599999999999998</v>
      </c>
      <c r="S2212" s="40">
        <v>6.1999999999999999E-8</v>
      </c>
      <c r="T2212" s="40">
        <v>1.17E-4</v>
      </c>
      <c r="U2212" s="40">
        <v>1.0399999999999999E-3</v>
      </c>
      <c r="V2212" s="40">
        <v>2.0000000000000001E-4</v>
      </c>
      <c r="W2212" s="40">
        <v>8.8099999999999998E-2</v>
      </c>
      <c r="X2212" s="40">
        <v>1.75E-3</v>
      </c>
      <c r="Y2212" s="40">
        <v>5.84</v>
      </c>
      <c r="Z2212" s="40">
        <v>3.1300000000000002E-4</v>
      </c>
      <c r="AA2212" s="40"/>
      <c r="AB2212" s="40"/>
      <c r="AC2212" s="40"/>
      <c r="AD2212" s="40"/>
      <c r="AE2212" s="40"/>
      <c r="AF2212" s="40"/>
      <c r="AG2212" s="40"/>
      <c r="AH2212" s="40"/>
      <c r="AI2212" s="40"/>
      <c r="AJ2212" s="40"/>
      <c r="AK2212" s="40"/>
      <c r="AL2212" s="40"/>
      <c r="AM2212" s="40"/>
      <c r="AN2212" s="40"/>
      <c r="AO2212" s="40"/>
      <c r="AP2212" s="40"/>
      <c r="AQ2212" s="40"/>
      <c r="AR2212" s="40"/>
      <c r="AS2212" s="40"/>
      <c r="AT2212" s="40"/>
      <c r="AU2212" s="40"/>
      <c r="AV2212" s="281">
        <v>3.9600000000000003E-2</v>
      </c>
      <c r="AW2212" s="40"/>
      <c r="AX2212" s="40"/>
      <c r="AY2212" s="281">
        <v>5.43</v>
      </c>
      <c r="AZ2212" s="40"/>
      <c r="BA2212" s="40"/>
      <c r="BB2212" s="40"/>
      <c r="BC2212" s="40">
        <v>5.13E-4</v>
      </c>
      <c r="BD2212" s="40">
        <v>3.7499999999999997E-5</v>
      </c>
      <c r="BE2212" s="40">
        <v>9.11E-3</v>
      </c>
      <c r="BF2212" s="40">
        <v>0</v>
      </c>
      <c r="BG2212" s="40"/>
      <c r="BH2212" s="40"/>
      <c r="BI2212" s="40"/>
      <c r="BJ2212" s="40"/>
      <c r="BK2212" s="40"/>
      <c r="BL2212" s="62">
        <v>0</v>
      </c>
      <c r="BM2212" s="275">
        <v>3</v>
      </c>
      <c r="BN2212" s="279">
        <v>0.05</v>
      </c>
      <c r="BO2212" s="33" t="s">
        <v>763</v>
      </c>
    </row>
    <row r="2213" spans="1:67">
      <c r="A2213" s="33" t="str">
        <f>Database_Productkaarten[[#This Row],[Product]]&amp;", "&amp;Database_Productkaarten[[#This Row],[Levensfase]]</f>
        <v>Geotextiel PP, 275 g/m2, C1</v>
      </c>
      <c r="B2213" s="33" t="s">
        <v>762</v>
      </c>
      <c r="C2213" s="33" t="s">
        <v>48</v>
      </c>
      <c r="D2213" s="33" t="s">
        <v>751</v>
      </c>
      <c r="E2213" s="33" t="s">
        <v>385</v>
      </c>
      <c r="F2213" s="33" t="s">
        <v>83</v>
      </c>
      <c r="G2213" s="33">
        <v>1</v>
      </c>
      <c r="H2213" s="33">
        <v>1</v>
      </c>
      <c r="M2213" s="361">
        <v>2.7500000000000002E-4</v>
      </c>
      <c r="N2213" s="41">
        <v>2.8039327640000004E-4</v>
      </c>
      <c r="O2213" s="33">
        <v>100</v>
      </c>
      <c r="P2213" s="40">
        <v>4.7900000000000002E-9</v>
      </c>
      <c r="Q2213" s="40">
        <v>1.8899999999999999E-5</v>
      </c>
      <c r="R2213" s="40">
        <v>2.5000000000000001E-3</v>
      </c>
      <c r="S2213" s="40">
        <v>4.9700000000000004E-10</v>
      </c>
      <c r="T2213" s="40">
        <v>1.5799999999999999E-6</v>
      </c>
      <c r="U2213" s="40">
        <v>9.1099999999999992E-6</v>
      </c>
      <c r="V2213" s="40">
        <v>1.86E-6</v>
      </c>
      <c r="W2213" s="40">
        <v>8.8000000000000003E-4</v>
      </c>
      <c r="X2213" s="40">
        <v>5.6700000000000003E-5</v>
      </c>
      <c r="Y2213" s="40">
        <v>0.14799999999999999</v>
      </c>
      <c r="Z2213" s="40">
        <v>5.2100000000000001E-6</v>
      </c>
      <c r="AA2213" s="40"/>
      <c r="AB2213" s="40"/>
      <c r="AC2213" s="40"/>
      <c r="AD2213" s="40"/>
      <c r="AE2213" s="40"/>
      <c r="AF2213" s="40"/>
      <c r="AG2213" s="40"/>
      <c r="AH2213" s="40"/>
      <c r="AI2213" s="40"/>
      <c r="AJ2213" s="40"/>
      <c r="AK2213" s="40"/>
      <c r="AL2213" s="40"/>
      <c r="AM2213" s="40"/>
      <c r="AN2213" s="40"/>
      <c r="AO2213" s="40"/>
      <c r="AP2213" s="40"/>
      <c r="AQ2213" s="40"/>
      <c r="AR2213" s="40"/>
      <c r="AS2213" s="40"/>
      <c r="AT2213" s="40"/>
      <c r="AU2213" s="40"/>
      <c r="AV2213" s="281">
        <v>6.7500000000000004E-4</v>
      </c>
      <c r="AW2213" s="40"/>
      <c r="AX2213" s="40"/>
      <c r="AY2213" s="281">
        <v>4.3200000000000002E-2</v>
      </c>
      <c r="AZ2213" s="40"/>
      <c r="BA2213" s="40"/>
      <c r="BB2213" s="40"/>
      <c r="BC2213" s="40">
        <v>8.7700000000000007E-6</v>
      </c>
      <c r="BD2213" s="40">
        <v>3.0600000000000001E-7</v>
      </c>
      <c r="BE2213" s="40">
        <v>3.5699999999999998E-3</v>
      </c>
      <c r="BF2213" s="40">
        <v>0</v>
      </c>
      <c r="BG2213" s="40"/>
      <c r="BH2213" s="40"/>
      <c r="BI2213" s="40"/>
      <c r="BJ2213" s="40"/>
      <c r="BK2213" s="40"/>
      <c r="BL2213" s="62">
        <v>0</v>
      </c>
      <c r="BM2213" s="275">
        <v>3</v>
      </c>
      <c r="BN2213" s="279">
        <v>0.05</v>
      </c>
      <c r="BO2213" s="33" t="s">
        <v>763</v>
      </c>
    </row>
    <row r="2214" spans="1:67">
      <c r="A2214" s="33" t="str">
        <f>Database_Productkaarten[[#This Row],[Product]]&amp;", "&amp;Database_Productkaarten[[#This Row],[Levensfase]]</f>
        <v>Geotextiel PP, 275 g/m2, C2</v>
      </c>
      <c r="B2214" s="33" t="s">
        <v>762</v>
      </c>
      <c r="C2214" s="33" t="s">
        <v>48</v>
      </c>
      <c r="D2214" s="33" t="s">
        <v>751</v>
      </c>
      <c r="E2214" s="33" t="s">
        <v>385</v>
      </c>
      <c r="F2214" s="33" t="s">
        <v>84</v>
      </c>
      <c r="G2214" s="33">
        <v>1</v>
      </c>
      <c r="H2214" s="33">
        <v>1</v>
      </c>
      <c r="M2214" s="361">
        <v>2.7500000000000002E-4</v>
      </c>
      <c r="N2214" s="41">
        <v>2.7891924672000003E-2</v>
      </c>
      <c r="O2214" s="33">
        <v>100</v>
      </c>
      <c r="P2214" s="40">
        <v>1.77E-8</v>
      </c>
      <c r="Q2214" s="40">
        <v>4.9599999999999999E-5</v>
      </c>
      <c r="R2214" s="40">
        <v>0.497</v>
      </c>
      <c r="S2214" s="40">
        <v>7.2799999999999997E-10</v>
      </c>
      <c r="T2214" s="40">
        <v>3.8800000000000001E-6</v>
      </c>
      <c r="U2214" s="40">
        <v>5.7099999999999999E-5</v>
      </c>
      <c r="V2214" s="40">
        <v>2.05E-5</v>
      </c>
      <c r="W2214" s="40">
        <v>1.7999999999999999E-2</v>
      </c>
      <c r="X2214" s="40">
        <v>5.62E-3</v>
      </c>
      <c r="Y2214" s="40">
        <v>8.23</v>
      </c>
      <c r="Z2214" s="40">
        <v>2.8399999999999999E-5</v>
      </c>
      <c r="AA2214" s="40"/>
      <c r="AB2214" s="40"/>
      <c r="AC2214" s="40"/>
      <c r="AD2214" s="40"/>
      <c r="AE2214" s="40"/>
      <c r="AF2214" s="40"/>
      <c r="AG2214" s="40"/>
      <c r="AH2214" s="40"/>
      <c r="AI2214" s="40"/>
      <c r="AJ2214" s="40"/>
      <c r="AK2214" s="40"/>
      <c r="AL2214" s="40"/>
      <c r="AM2214" s="40"/>
      <c r="AN2214" s="40"/>
      <c r="AO2214" s="40"/>
      <c r="AP2214" s="40"/>
      <c r="AQ2214" s="40"/>
      <c r="AR2214" s="40"/>
      <c r="AS2214" s="40"/>
      <c r="AT2214" s="40"/>
      <c r="AU2214" s="40"/>
      <c r="AV2214" s="281">
        <v>3.2799999999999999E-3</v>
      </c>
      <c r="AW2214" s="40"/>
      <c r="AX2214" s="40"/>
      <c r="AY2214" s="281">
        <v>0.106</v>
      </c>
      <c r="AZ2214" s="40"/>
      <c r="BA2214" s="40"/>
      <c r="BB2214" s="40"/>
      <c r="BC2214" s="40">
        <v>5.5699999999999999E-5</v>
      </c>
      <c r="BD2214" s="40">
        <v>5.4199999999999996E-7</v>
      </c>
      <c r="BE2214" s="40">
        <v>6.9899999999999997E-3</v>
      </c>
      <c r="BF2214" s="40">
        <v>2.91E-7</v>
      </c>
      <c r="BG2214" s="40"/>
      <c r="BH2214" s="40"/>
      <c r="BI2214" s="40"/>
      <c r="BJ2214" s="40"/>
      <c r="BK2214" s="40"/>
      <c r="BL2214" s="62">
        <v>0</v>
      </c>
      <c r="BM2214" s="275">
        <v>3</v>
      </c>
      <c r="BN2214" s="279">
        <v>0.05</v>
      </c>
      <c r="BO2214" s="33" t="s">
        <v>763</v>
      </c>
    </row>
    <row r="2215" spans="1:67">
      <c r="A2215" s="33" t="str">
        <f>Database_Productkaarten[[#This Row],[Product]]&amp;", "&amp;Database_Productkaarten[[#This Row],[Levensfase]]</f>
        <v>Geotextiel PP, 275 g/m2, C3</v>
      </c>
      <c r="B2215" s="33" t="s">
        <v>762</v>
      </c>
      <c r="C2215" s="33" t="s">
        <v>48</v>
      </c>
      <c r="D2215" s="33" t="s">
        <v>751</v>
      </c>
      <c r="E2215" s="33" t="s">
        <v>385</v>
      </c>
      <c r="F2215" s="33" t="s">
        <v>85</v>
      </c>
      <c r="G2215" s="33">
        <v>1</v>
      </c>
      <c r="H2215" s="33">
        <v>1</v>
      </c>
      <c r="M2215" s="361">
        <v>2.7500000000000002E-4</v>
      </c>
      <c r="N2215" s="41">
        <v>8.2364342164000003E-4</v>
      </c>
      <c r="O2215" s="33">
        <v>100</v>
      </c>
      <c r="P2215" s="40">
        <v>1.04E-10</v>
      </c>
      <c r="Q2215" s="40">
        <v>2.12E-6</v>
      </c>
      <c r="R2215" s="40">
        <v>1.14E-2</v>
      </c>
      <c r="S2215" s="40">
        <v>5.5500000000000002E-11</v>
      </c>
      <c r="T2215" s="40">
        <v>2.3800000000000001E-6</v>
      </c>
      <c r="U2215" s="40">
        <v>2.3599999999999999E-6</v>
      </c>
      <c r="V2215" s="40">
        <v>1.1799999999999999E-6</v>
      </c>
      <c r="W2215" s="40">
        <v>6.6299999999999996E-4</v>
      </c>
      <c r="X2215" s="40">
        <v>1.2600000000000001E-3</v>
      </c>
      <c r="Y2215" s="40">
        <v>1.31</v>
      </c>
      <c r="Z2215" s="40">
        <v>2.0900000000000001E-7</v>
      </c>
      <c r="AA2215" s="40"/>
      <c r="AB2215" s="40"/>
      <c r="AC2215" s="40"/>
      <c r="AD2215" s="40"/>
      <c r="AE2215" s="40"/>
      <c r="AF2215" s="40"/>
      <c r="AG2215" s="40"/>
      <c r="AH2215" s="40"/>
      <c r="AI2215" s="40"/>
      <c r="AJ2215" s="40"/>
      <c r="AK2215" s="40"/>
      <c r="AL2215" s="40"/>
      <c r="AM2215" s="40"/>
      <c r="AN2215" s="40"/>
      <c r="AO2215" s="40"/>
      <c r="AP2215" s="40"/>
      <c r="AQ2215" s="40"/>
      <c r="AR2215" s="40"/>
      <c r="AS2215" s="40"/>
      <c r="AT2215" s="40"/>
      <c r="AU2215" s="40"/>
      <c r="AV2215" s="281">
        <v>2.5999999999999998E-5</v>
      </c>
      <c r="AW2215" s="40"/>
      <c r="AX2215" s="40"/>
      <c r="AY2215" s="281">
        <v>4.7499999999999999E-3</v>
      </c>
      <c r="AZ2215" s="40"/>
      <c r="BA2215" s="40"/>
      <c r="BB2215" s="40"/>
      <c r="BC2215" s="40">
        <v>6.1399999999999997E-7</v>
      </c>
      <c r="BD2215" s="40">
        <v>2.0000000000000001E-9</v>
      </c>
      <c r="BE2215" s="40">
        <v>4.7899999999999999E-6</v>
      </c>
      <c r="BF2215" s="40">
        <v>3.1100000000000001E-8</v>
      </c>
      <c r="BG2215" s="40"/>
      <c r="BH2215" s="40"/>
      <c r="BI2215" s="40"/>
      <c r="BJ2215" s="40"/>
      <c r="BK2215" s="40"/>
      <c r="BL2215" s="62">
        <v>0</v>
      </c>
      <c r="BM2215" s="275">
        <v>3</v>
      </c>
      <c r="BN2215" s="279">
        <v>0.05</v>
      </c>
      <c r="BO2215" s="33" t="s">
        <v>763</v>
      </c>
    </row>
    <row r="2216" spans="1:67">
      <c r="A2216" s="33" t="str">
        <f>Database_Productkaarten[[#This Row],[Product]]&amp;", "&amp;Database_Productkaarten[[#This Row],[Levensfase]]</f>
        <v>Geotextiel PP, 275 g/m2, C4</v>
      </c>
      <c r="B2216" s="33" t="s">
        <v>762</v>
      </c>
      <c r="C2216" s="33" t="s">
        <v>48</v>
      </c>
      <c r="D2216" s="33" t="s">
        <v>751</v>
      </c>
      <c r="E2216" s="33" t="s">
        <v>385</v>
      </c>
      <c r="F2216" s="33" t="s">
        <v>86</v>
      </c>
      <c r="G2216" s="33">
        <v>1</v>
      </c>
      <c r="H2216" s="33">
        <v>1</v>
      </c>
      <c r="M2216" s="361">
        <v>2.7500000000000002E-4</v>
      </c>
      <c r="N2216" s="41">
        <v>-1.7647934800000001E-2</v>
      </c>
      <c r="O2216" s="33">
        <v>100</v>
      </c>
      <c r="P2216" s="40">
        <v>-1.7500000000000001E-8</v>
      </c>
      <c r="Q2216" s="40">
        <v>-2.8300000000000001E-3</v>
      </c>
      <c r="R2216" s="40">
        <v>-0.28799999999999998</v>
      </c>
      <c r="S2216" s="40">
        <v>-3.0199999999999999E-8</v>
      </c>
      <c r="T2216" s="40">
        <v>-6.6199999999999996E-5</v>
      </c>
      <c r="U2216" s="40">
        <v>-2.5500000000000002E-4</v>
      </c>
      <c r="V2216" s="40">
        <v>-3.3099999999999998E-5</v>
      </c>
      <c r="W2216" s="40">
        <v>-1.41E-2</v>
      </c>
      <c r="X2216" s="40">
        <v>-1.6799999999999999E-4</v>
      </c>
      <c r="Y2216" s="40">
        <v>-0.67300000000000004</v>
      </c>
      <c r="Z2216" s="40">
        <v>-4.3099999999999997E-5</v>
      </c>
      <c r="AA2216" s="40"/>
      <c r="AB2216" s="40"/>
      <c r="AC2216" s="40"/>
      <c r="AD2216" s="40"/>
      <c r="AE2216" s="40"/>
      <c r="AF2216" s="40"/>
      <c r="AG2216" s="40"/>
      <c r="AH2216" s="40"/>
      <c r="AI2216" s="40"/>
      <c r="AJ2216" s="40"/>
      <c r="AK2216" s="40"/>
      <c r="AL2216" s="40"/>
      <c r="AM2216" s="40"/>
      <c r="AN2216" s="40"/>
      <c r="AO2216" s="40"/>
      <c r="AP2216" s="40"/>
      <c r="AQ2216" s="40"/>
      <c r="AR2216" s="40"/>
      <c r="AS2216" s="40"/>
      <c r="AT2216" s="40"/>
      <c r="AU2216" s="40"/>
      <c r="AV2216" s="281">
        <v>-1.5699999999999999E-2</v>
      </c>
      <c r="AW2216" s="40"/>
      <c r="AX2216" s="40"/>
      <c r="AY2216" s="281">
        <v>-5.91</v>
      </c>
      <c r="AZ2216" s="40"/>
      <c r="BA2216" s="40"/>
      <c r="BB2216" s="40"/>
      <c r="BC2216" s="40">
        <v>-4.4499999999999997E-4</v>
      </c>
      <c r="BD2216" s="40">
        <v>-5.57E-6</v>
      </c>
      <c r="BE2216" s="40">
        <v>-1.66E-3</v>
      </c>
      <c r="BF2216" s="40">
        <v>-2.1399999999999998E-6</v>
      </c>
      <c r="BG2216" s="40"/>
      <c r="BH2216" s="40"/>
      <c r="BI2216" s="40"/>
      <c r="BJ2216" s="40"/>
      <c r="BK2216" s="40"/>
      <c r="BL2216" s="62">
        <v>0</v>
      </c>
      <c r="BM2216" s="275">
        <v>3</v>
      </c>
      <c r="BN2216" s="279">
        <v>0.05</v>
      </c>
      <c r="BO2216" s="33" t="s">
        <v>763</v>
      </c>
    </row>
    <row r="2217" spans="1:67">
      <c r="A2217" s="33" t="str">
        <f>Database_Productkaarten[[#This Row],[Product]]&amp;", "&amp;Database_Productkaarten[[#This Row],[Levensfase]]</f>
        <v>Geotextiel PP, 275 g/m2, D</v>
      </c>
      <c r="B2217" s="33" t="s">
        <v>762</v>
      </c>
      <c r="C2217" s="33" t="s">
        <v>48</v>
      </c>
      <c r="D2217" s="33" t="s">
        <v>751</v>
      </c>
      <c r="E2217" s="33" t="s">
        <v>385</v>
      </c>
      <c r="F2217" s="33" t="s">
        <v>89</v>
      </c>
      <c r="G2217" s="33">
        <v>1</v>
      </c>
      <c r="H2217" s="33">
        <v>1</v>
      </c>
      <c r="M2217" s="361">
        <v>2.7500000000000002E-4</v>
      </c>
      <c r="N2217" s="41"/>
      <c r="O2217" s="33">
        <v>100</v>
      </c>
      <c r="P2217" s="40"/>
      <c r="Q2217" s="40"/>
      <c r="R2217" s="40"/>
      <c r="S2217" s="40"/>
      <c r="T2217" s="40"/>
      <c r="U2217" s="40"/>
      <c r="V2217" s="40"/>
      <c r="W2217" s="40"/>
      <c r="X2217" s="40"/>
      <c r="Y2217" s="40"/>
      <c r="Z2217" s="40"/>
      <c r="AA2217" s="40"/>
      <c r="AB2217" s="40"/>
      <c r="AC2217" s="40"/>
      <c r="AD2217" s="40"/>
      <c r="AE2217" s="40"/>
      <c r="AF2217" s="40"/>
      <c r="AG2217" s="40"/>
      <c r="AH2217" s="40"/>
      <c r="AI2217" s="40"/>
      <c r="AJ2217" s="40"/>
      <c r="AK2217" s="40"/>
      <c r="AL2217" s="40"/>
      <c r="AM2217" s="40"/>
      <c r="AN2217" s="40"/>
      <c r="AO2217" s="40"/>
      <c r="AP2217" s="40"/>
      <c r="AQ2217" s="40"/>
      <c r="AR2217" s="40"/>
      <c r="AS2217" s="40"/>
      <c r="AT2217" s="40"/>
      <c r="AU2217" s="40"/>
      <c r="AV2217" s="281"/>
      <c r="AW2217" s="40"/>
      <c r="AX2217" s="40"/>
      <c r="AY2217" s="281"/>
      <c r="AZ2217" s="40"/>
      <c r="BA2217" s="40"/>
      <c r="BB2217" s="40"/>
      <c r="BC2217" s="40"/>
      <c r="BD2217" s="40"/>
      <c r="BE2217" s="40"/>
      <c r="BF2217" s="40"/>
      <c r="BG2217" s="40"/>
      <c r="BH2217" s="40"/>
      <c r="BI2217" s="40"/>
      <c r="BJ2217" s="40"/>
      <c r="BK2217" s="40"/>
      <c r="BL2217" s="62">
        <v>0</v>
      </c>
      <c r="BM2217" s="275">
        <v>3</v>
      </c>
      <c r="BN2217" s="279">
        <v>0.05</v>
      </c>
      <c r="BO2217" s="33" t="s">
        <v>763</v>
      </c>
    </row>
    <row r="2218" spans="1:67">
      <c r="A2218" s="33" t="str">
        <f>Database_Productkaarten[[#This Row],[Product]]&amp;", "&amp;Database_Productkaarten[[#This Row],[Levensfase]]</f>
        <v>Geotextiel PP, 275 g/m2, D1</v>
      </c>
      <c r="B2218" s="33" t="s">
        <v>762</v>
      </c>
      <c r="C2218" s="33" t="s">
        <v>48</v>
      </c>
      <c r="D2218" s="33" t="s">
        <v>751</v>
      </c>
      <c r="E2218" s="33" t="s">
        <v>385</v>
      </c>
      <c r="F2218" s="33" t="s">
        <v>87</v>
      </c>
      <c r="G2218" s="33">
        <v>1</v>
      </c>
      <c r="H2218" s="33">
        <v>1</v>
      </c>
      <c r="M2218" s="361">
        <v>2.7500000000000002E-4</v>
      </c>
      <c r="N2218" s="41"/>
      <c r="O2218" s="33">
        <v>100</v>
      </c>
      <c r="P2218" s="40"/>
      <c r="Q2218" s="40"/>
      <c r="R2218" s="40"/>
      <c r="S2218" s="40"/>
      <c r="T2218" s="40"/>
      <c r="U2218" s="40"/>
      <c r="V2218" s="40"/>
      <c r="W2218" s="40"/>
      <c r="X2218" s="40"/>
      <c r="Y2218" s="40"/>
      <c r="Z2218" s="40"/>
      <c r="AA2218" s="40"/>
      <c r="AB2218" s="40"/>
      <c r="AC2218" s="40"/>
      <c r="AD2218" s="40"/>
      <c r="AE2218" s="40"/>
      <c r="AF2218" s="40"/>
      <c r="AG2218" s="40"/>
      <c r="AH2218" s="40"/>
      <c r="AI2218" s="40"/>
      <c r="AJ2218" s="40"/>
      <c r="AK2218" s="40"/>
      <c r="AL2218" s="40"/>
      <c r="AM2218" s="40"/>
      <c r="AN2218" s="40"/>
      <c r="AO2218" s="40"/>
      <c r="AP2218" s="40"/>
      <c r="AQ2218" s="40"/>
      <c r="AR2218" s="40"/>
      <c r="AS2218" s="40"/>
      <c r="AT2218" s="40"/>
      <c r="AU2218" s="40"/>
      <c r="AV2218" s="281"/>
      <c r="AW2218" s="40"/>
      <c r="AX2218" s="40"/>
      <c r="AY2218" s="281"/>
      <c r="AZ2218" s="40"/>
      <c r="BA2218" s="40"/>
      <c r="BB2218" s="40"/>
      <c r="BC2218" s="40"/>
      <c r="BD2218" s="40"/>
      <c r="BE2218" s="40"/>
      <c r="BF2218" s="40"/>
      <c r="BG2218" s="40"/>
      <c r="BH2218" s="40"/>
      <c r="BI2218" s="40"/>
      <c r="BJ2218" s="40"/>
      <c r="BK2218" s="40"/>
      <c r="BL2218" s="62">
        <v>0</v>
      </c>
      <c r="BM2218" s="275">
        <v>3</v>
      </c>
      <c r="BN2218" s="279">
        <v>0.05</v>
      </c>
      <c r="BO2218" s="33" t="s">
        <v>763</v>
      </c>
    </row>
    <row r="2219" spans="1:67">
      <c r="A2219" s="33" t="str">
        <f>Database_Productkaarten[[#This Row],[Product]]&amp;", "&amp;Database_Productkaarten[[#This Row],[Levensfase]]</f>
        <v>Geotextiel PP, 275 g/m2, D2</v>
      </c>
      <c r="B2219" s="33" t="s">
        <v>762</v>
      </c>
      <c r="C2219" s="33" t="s">
        <v>48</v>
      </c>
      <c r="D2219" s="33" t="s">
        <v>751</v>
      </c>
      <c r="E2219" s="33" t="s">
        <v>385</v>
      </c>
      <c r="F2219" s="33" t="s">
        <v>88</v>
      </c>
      <c r="G2219" s="33">
        <v>1</v>
      </c>
      <c r="H2219" s="33">
        <v>1</v>
      </c>
      <c r="M2219" s="361">
        <v>2.7500000000000002E-4</v>
      </c>
      <c r="N2219" s="41"/>
      <c r="O2219" s="33">
        <v>100</v>
      </c>
      <c r="P2219" s="40"/>
      <c r="Q2219" s="40"/>
      <c r="R2219" s="40"/>
      <c r="S2219" s="40"/>
      <c r="T2219" s="40"/>
      <c r="U2219" s="40"/>
      <c r="V2219" s="40"/>
      <c r="W2219" s="40"/>
      <c r="X2219" s="40"/>
      <c r="Y2219" s="40"/>
      <c r="Z2219" s="40"/>
      <c r="AA2219" s="40"/>
      <c r="AB2219" s="40"/>
      <c r="AC2219" s="40"/>
      <c r="AD2219" s="40"/>
      <c r="AE2219" s="40"/>
      <c r="AF2219" s="40"/>
      <c r="AG2219" s="40"/>
      <c r="AH2219" s="40"/>
      <c r="AI2219" s="40"/>
      <c r="AJ2219" s="40"/>
      <c r="AK2219" s="40"/>
      <c r="AL2219" s="40"/>
      <c r="AM2219" s="40"/>
      <c r="AN2219" s="40"/>
      <c r="AO2219" s="40"/>
      <c r="AP2219" s="40"/>
      <c r="AQ2219" s="40"/>
      <c r="AR2219" s="40"/>
      <c r="AS2219" s="40"/>
      <c r="AT2219" s="40"/>
      <c r="AU2219" s="40"/>
      <c r="AV2219" s="281"/>
      <c r="AW2219" s="40"/>
      <c r="AX2219" s="40"/>
      <c r="AY2219" s="281"/>
      <c r="AZ2219" s="40"/>
      <c r="BA2219" s="40"/>
      <c r="BB2219" s="40"/>
      <c r="BC2219" s="40"/>
      <c r="BD2219" s="40"/>
      <c r="BE2219" s="40"/>
      <c r="BF2219" s="40"/>
      <c r="BG2219" s="40"/>
      <c r="BH2219" s="40"/>
      <c r="BI2219" s="40"/>
      <c r="BJ2219" s="40"/>
      <c r="BK2219" s="40"/>
      <c r="BL2219" s="62">
        <v>0</v>
      </c>
      <c r="BM2219" s="275">
        <v>3</v>
      </c>
      <c r="BN2219" s="279">
        <v>0.05</v>
      </c>
      <c r="BO2219" s="33" t="s">
        <v>763</v>
      </c>
    </row>
    <row r="2220" spans="1:67">
      <c r="A2220" s="33" t="str">
        <f>Database_Productkaarten[[#This Row],[Product]]&amp;", "&amp;Database_Productkaarten[[#This Row],[Levensfase]]</f>
        <v>Steenwool, 1 cm, Totaal</v>
      </c>
      <c r="B2220" s="33" t="s">
        <v>764</v>
      </c>
      <c r="C2220" s="33" t="s">
        <v>48</v>
      </c>
      <c r="D2220" s="33" t="s">
        <v>751</v>
      </c>
      <c r="E2220" s="33" t="s">
        <v>385</v>
      </c>
      <c r="F2220" s="33" t="s">
        <v>90</v>
      </c>
      <c r="G2220" s="33">
        <v>1</v>
      </c>
      <c r="H2220" s="33">
        <v>1</v>
      </c>
      <c r="I2220" s="33">
        <v>0.01</v>
      </c>
      <c r="L2220" s="33">
        <v>0.08</v>
      </c>
      <c r="M2220" s="271">
        <v>8.0000000000000004E-4</v>
      </c>
      <c r="N2220" s="41">
        <v>0.86849706999999998</v>
      </c>
      <c r="O2220" s="33">
        <v>35</v>
      </c>
      <c r="P2220" s="40">
        <v>3.8407578000000001E-5</v>
      </c>
      <c r="Q2220" s="40">
        <v>3.9625644000000002E-2</v>
      </c>
      <c r="R2220" s="40">
        <v>6.1386006999999996</v>
      </c>
      <c r="S2220" s="40">
        <v>9.264471E-7</v>
      </c>
      <c r="T2220" s="40">
        <v>6.5656793999999997E-3</v>
      </c>
      <c r="U2220" s="40">
        <v>4.6272529E-2</v>
      </c>
      <c r="V2220" s="40">
        <v>9.3831152999999997E-3</v>
      </c>
      <c r="W2220" s="40">
        <v>2.8655257999999999</v>
      </c>
      <c r="X2220" s="40">
        <v>3.9202656000000002E-2</v>
      </c>
      <c r="Y2220" s="40">
        <v>131.39920000000001</v>
      </c>
      <c r="Z2220" s="40">
        <v>5.1694269999999999E-3</v>
      </c>
      <c r="AA2220" s="40">
        <v>6.2392213999999999</v>
      </c>
      <c r="AB2220" s="40">
        <v>6.2152561999999998</v>
      </c>
      <c r="AC2220" s="40">
        <v>2.2847231999999999E-2</v>
      </c>
      <c r="AD2220" s="40">
        <v>1.1179291E-3</v>
      </c>
      <c r="AE2220" s="40">
        <v>1.1536829000000001E-6</v>
      </c>
      <c r="AF2220" s="40">
        <v>6.3525494000000002E-2</v>
      </c>
      <c r="AG2220" s="40">
        <v>6.3373617000000006E-5</v>
      </c>
      <c r="AH2220" s="40">
        <v>2.4646299999999999E-2</v>
      </c>
      <c r="AI2220" s="40">
        <v>0.27667449999999999</v>
      </c>
      <c r="AJ2220" s="40">
        <v>7.6466654999999994E-2</v>
      </c>
      <c r="AK2220" s="40">
        <v>3.8407045000000003E-5</v>
      </c>
      <c r="AL2220" s="40">
        <v>80.953962000000004</v>
      </c>
      <c r="AM2220" s="40">
        <v>0.39523504999999998</v>
      </c>
      <c r="AN2220" s="40">
        <v>1.4772893E-6</v>
      </c>
      <c r="AO2220" s="40">
        <v>0.32809988000000001</v>
      </c>
      <c r="AP2220" s="40">
        <v>69.658569999999997</v>
      </c>
      <c r="AQ2220" s="40">
        <v>5.7481429999999997E-9</v>
      </c>
      <c r="AR2220" s="40">
        <v>5.3441728000000002E-8</v>
      </c>
      <c r="AS2220" s="40">
        <v>17.069248999999999</v>
      </c>
      <c r="AT2220" s="40">
        <v>0</v>
      </c>
      <c r="AU2220" s="40">
        <v>0</v>
      </c>
      <c r="AV2220" s="316">
        <v>1.1492830999999999</v>
      </c>
      <c r="AW2220" s="317">
        <v>0</v>
      </c>
      <c r="AX2220" s="317">
        <v>0</v>
      </c>
      <c r="AY2220" s="316">
        <v>85.865859</v>
      </c>
      <c r="AZ2220" s="40">
        <v>0</v>
      </c>
      <c r="BA2220" s="40">
        <v>0</v>
      </c>
      <c r="BB2220" s="40">
        <v>0</v>
      </c>
      <c r="BC2220" s="40">
        <v>1.2074675999999999E-2</v>
      </c>
      <c r="BD2220" s="40">
        <v>2.0271258999999999E-4</v>
      </c>
      <c r="BE2220" s="40">
        <v>0.99742005</v>
      </c>
      <c r="BF2220" s="40">
        <v>5.1607395999999999E-4</v>
      </c>
      <c r="BG2220" s="40">
        <v>0</v>
      </c>
      <c r="BH2220" s="40">
        <v>0</v>
      </c>
      <c r="BI2220" s="40">
        <v>0</v>
      </c>
      <c r="BJ2220" s="40">
        <v>0</v>
      </c>
      <c r="BK2220" s="40">
        <v>0</v>
      </c>
      <c r="BL2220" s="62">
        <v>0</v>
      </c>
      <c r="BM2220" s="275">
        <v>3</v>
      </c>
      <c r="BN2220" s="62">
        <v>0.05</v>
      </c>
      <c r="BO2220" s="33" t="s">
        <v>753</v>
      </c>
    </row>
    <row r="2221" spans="1:67">
      <c r="A2221" s="33" t="str">
        <f>Database_Productkaarten[[#This Row],[Product]]&amp;", "&amp;Database_Productkaarten[[#This Row],[Levensfase]]</f>
        <v>Steenwool, 1 cm, A1</v>
      </c>
      <c r="B2221" s="33" t="s">
        <v>764</v>
      </c>
      <c r="C2221" s="33" t="s">
        <v>48</v>
      </c>
      <c r="D2221" s="33" t="s">
        <v>751</v>
      </c>
      <c r="E2221" s="33" t="s">
        <v>385</v>
      </c>
      <c r="F2221" s="33" t="s">
        <v>74</v>
      </c>
      <c r="G2221" s="33">
        <v>1</v>
      </c>
      <c r="H2221" s="33">
        <v>1</v>
      </c>
      <c r="I2221" s="33">
        <v>0.01</v>
      </c>
      <c r="L2221" s="33">
        <v>0.08</v>
      </c>
      <c r="M2221" s="271">
        <v>8.0000000000000004E-4</v>
      </c>
      <c r="N2221" s="41"/>
      <c r="O2221" s="33">
        <v>35</v>
      </c>
      <c r="P2221" s="40"/>
      <c r="Q2221" s="40"/>
      <c r="R2221" s="40"/>
      <c r="S2221" s="40"/>
      <c r="T2221" s="40"/>
      <c r="U2221" s="40"/>
      <c r="V2221" s="40"/>
      <c r="W2221" s="40"/>
      <c r="X2221" s="40"/>
      <c r="Y2221" s="40"/>
      <c r="Z2221" s="40"/>
      <c r="AA2221" s="40"/>
      <c r="AB2221" s="40"/>
      <c r="AC2221" s="40"/>
      <c r="AD2221" s="40"/>
      <c r="AE2221" s="40"/>
      <c r="AF2221" s="40"/>
      <c r="AG2221" s="40"/>
      <c r="AH2221" s="40"/>
      <c r="AI2221" s="40"/>
      <c r="AJ2221" s="40"/>
      <c r="AK2221" s="40"/>
      <c r="AL2221" s="40"/>
      <c r="AM2221" s="40"/>
      <c r="AN2221" s="40"/>
      <c r="AO2221" s="40"/>
      <c r="AP2221" s="40"/>
      <c r="AQ2221" s="40"/>
      <c r="AR2221" s="40"/>
      <c r="AS2221" s="40"/>
      <c r="AT2221" s="40"/>
      <c r="AU2221" s="40"/>
      <c r="AV2221" s="316"/>
      <c r="AW2221" s="317"/>
      <c r="AX2221" s="317"/>
      <c r="AY2221" s="316"/>
      <c r="AZ2221" s="40"/>
      <c r="BA2221" s="40"/>
      <c r="BB2221" s="40"/>
      <c r="BC2221" s="40"/>
      <c r="BD2221" s="40"/>
      <c r="BE2221" s="40"/>
      <c r="BF2221" s="40"/>
      <c r="BG2221" s="40"/>
      <c r="BH2221" s="40"/>
      <c r="BI2221" s="40"/>
      <c r="BJ2221" s="40"/>
      <c r="BK2221" s="40"/>
      <c r="BL2221" s="62">
        <v>0</v>
      </c>
      <c r="BM2221" s="275">
        <v>3</v>
      </c>
      <c r="BN2221" s="62">
        <v>0.05</v>
      </c>
      <c r="BO2221" s="33" t="s">
        <v>753</v>
      </c>
    </row>
    <row r="2222" spans="1:67">
      <c r="A2222" s="33" t="str">
        <f>Database_Productkaarten[[#This Row],[Product]]&amp;", "&amp;Database_Productkaarten[[#This Row],[Levensfase]]</f>
        <v>Steenwool, 1 cm, A2</v>
      </c>
      <c r="B2222" s="33" t="s">
        <v>764</v>
      </c>
      <c r="C2222" s="33" t="s">
        <v>48</v>
      </c>
      <c r="D2222" s="33" t="s">
        <v>751</v>
      </c>
      <c r="E2222" s="33" t="s">
        <v>385</v>
      </c>
      <c r="F2222" s="33" t="s">
        <v>75</v>
      </c>
      <c r="G2222" s="33">
        <v>1</v>
      </c>
      <c r="H2222" s="33">
        <v>1</v>
      </c>
      <c r="I2222" s="33">
        <v>0.01</v>
      </c>
      <c r="L2222" s="33">
        <v>0.08</v>
      </c>
      <c r="M2222" s="271">
        <v>8.0000000000000004E-4</v>
      </c>
      <c r="N2222" s="41"/>
      <c r="O2222" s="33">
        <v>35</v>
      </c>
      <c r="P2222" s="40"/>
      <c r="Q2222" s="40"/>
      <c r="R2222" s="40"/>
      <c r="S2222" s="40"/>
      <c r="T2222" s="40"/>
      <c r="U2222" s="40"/>
      <c r="V2222" s="40"/>
      <c r="W2222" s="40"/>
      <c r="X2222" s="40"/>
      <c r="Y2222" s="40"/>
      <c r="Z2222" s="40"/>
      <c r="AA2222" s="40"/>
      <c r="AB2222" s="40"/>
      <c r="AC2222" s="40"/>
      <c r="AD2222" s="40"/>
      <c r="AE2222" s="40"/>
      <c r="AF2222" s="40"/>
      <c r="AG2222" s="40"/>
      <c r="AH2222" s="40"/>
      <c r="AI2222" s="40"/>
      <c r="AJ2222" s="40"/>
      <c r="AK2222" s="40"/>
      <c r="AL2222" s="40"/>
      <c r="AM2222" s="40"/>
      <c r="AN2222" s="40"/>
      <c r="AO2222" s="40"/>
      <c r="AP2222" s="40"/>
      <c r="AQ2222" s="40"/>
      <c r="AR2222" s="40"/>
      <c r="AS2222" s="40"/>
      <c r="AT2222" s="40"/>
      <c r="AU2222" s="40"/>
      <c r="AV2222" s="316"/>
      <c r="AW2222" s="317"/>
      <c r="AX2222" s="317"/>
      <c r="AY2222" s="316"/>
      <c r="AZ2222" s="40"/>
      <c r="BA2222" s="40"/>
      <c r="BB2222" s="40"/>
      <c r="BC2222" s="40"/>
      <c r="BD2222" s="40"/>
      <c r="BE2222" s="40"/>
      <c r="BF2222" s="40"/>
      <c r="BG2222" s="40"/>
      <c r="BH2222" s="40"/>
      <c r="BI2222" s="40"/>
      <c r="BJ2222" s="40"/>
      <c r="BK2222" s="40"/>
      <c r="BL2222" s="62">
        <v>0</v>
      </c>
      <c r="BM2222" s="275">
        <v>3</v>
      </c>
      <c r="BN2222" s="62">
        <v>0.05</v>
      </c>
      <c r="BO2222" s="33" t="s">
        <v>753</v>
      </c>
    </row>
    <row r="2223" spans="1:67">
      <c r="A2223" s="33" t="str">
        <f>Database_Productkaarten[[#This Row],[Product]]&amp;", "&amp;Database_Productkaarten[[#This Row],[Levensfase]]</f>
        <v>Steenwool, 1 cm, A3</v>
      </c>
      <c r="B2223" s="33" t="s">
        <v>764</v>
      </c>
      <c r="C2223" s="33" t="s">
        <v>48</v>
      </c>
      <c r="D2223" s="33" t="s">
        <v>751</v>
      </c>
      <c r="E2223" s="33" t="s">
        <v>385</v>
      </c>
      <c r="F2223" s="33" t="s">
        <v>76</v>
      </c>
      <c r="G2223" s="33">
        <v>1</v>
      </c>
      <c r="H2223" s="33">
        <v>1</v>
      </c>
      <c r="I2223" s="33">
        <v>0.01</v>
      </c>
      <c r="L2223" s="33">
        <v>0.08</v>
      </c>
      <c r="M2223" s="271">
        <v>8.0000000000000004E-4</v>
      </c>
      <c r="N2223" s="41"/>
      <c r="O2223" s="33">
        <v>35</v>
      </c>
      <c r="P2223" s="40"/>
      <c r="Q2223" s="40"/>
      <c r="R2223" s="40"/>
      <c r="S2223" s="40"/>
      <c r="T2223" s="40"/>
      <c r="U2223" s="40"/>
      <c r="V2223" s="40"/>
      <c r="W2223" s="40"/>
      <c r="X2223" s="40"/>
      <c r="Y2223" s="40"/>
      <c r="Z2223" s="40"/>
      <c r="AA2223" s="40"/>
      <c r="AB2223" s="40"/>
      <c r="AC2223" s="40"/>
      <c r="AD2223" s="40"/>
      <c r="AE2223" s="40"/>
      <c r="AF2223" s="40"/>
      <c r="AG2223" s="40"/>
      <c r="AH2223" s="40"/>
      <c r="AI2223" s="40"/>
      <c r="AJ2223" s="40"/>
      <c r="AK2223" s="40"/>
      <c r="AL2223" s="40"/>
      <c r="AM2223" s="40"/>
      <c r="AN2223" s="40"/>
      <c r="AO2223" s="40"/>
      <c r="AP2223" s="40"/>
      <c r="AQ2223" s="40"/>
      <c r="AR2223" s="40"/>
      <c r="AS2223" s="40"/>
      <c r="AT2223" s="40"/>
      <c r="AU2223" s="40"/>
      <c r="AV2223" s="316"/>
      <c r="AW2223" s="317"/>
      <c r="AX2223" s="317"/>
      <c r="AY2223" s="316"/>
      <c r="AZ2223" s="40"/>
      <c r="BA2223" s="40"/>
      <c r="BB2223" s="40"/>
      <c r="BC2223" s="40"/>
      <c r="BD2223" s="40"/>
      <c r="BE2223" s="40"/>
      <c r="BF2223" s="40"/>
      <c r="BG2223" s="40"/>
      <c r="BH2223" s="40"/>
      <c r="BI2223" s="40"/>
      <c r="BJ2223" s="40"/>
      <c r="BK2223" s="40"/>
      <c r="BL2223" s="62">
        <v>0</v>
      </c>
      <c r="BM2223" s="275">
        <v>3</v>
      </c>
      <c r="BN2223" s="62">
        <v>0.05</v>
      </c>
      <c r="BO2223" s="33" t="s">
        <v>753</v>
      </c>
    </row>
    <row r="2224" spans="1:67">
      <c r="A2224" s="33" t="str">
        <f>Database_Productkaarten[[#This Row],[Product]]&amp;", "&amp;Database_Productkaarten[[#This Row],[Levensfase]]</f>
        <v>Steenwool, 1 cm, A1-A3</v>
      </c>
      <c r="B2224" s="33" t="s">
        <v>764</v>
      </c>
      <c r="C2224" s="33" t="s">
        <v>48</v>
      </c>
      <c r="D2224" s="33" t="s">
        <v>751</v>
      </c>
      <c r="E2224" s="33" t="s">
        <v>385</v>
      </c>
      <c r="F2224" s="451" t="s">
        <v>77</v>
      </c>
      <c r="G2224" s="33">
        <v>1</v>
      </c>
      <c r="H2224" s="33">
        <v>1</v>
      </c>
      <c r="I2224" s="33">
        <v>0.01</v>
      </c>
      <c r="L2224" s="33">
        <v>0.08</v>
      </c>
      <c r="M2224" s="271">
        <v>8.0000000000000004E-4</v>
      </c>
      <c r="N2224" s="41">
        <v>0.15967595000000001</v>
      </c>
      <c r="O2224" s="33">
        <v>35</v>
      </c>
      <c r="P2224" s="40">
        <v>2.6325377000000001E-5</v>
      </c>
      <c r="Q2224" s="40">
        <v>7.0582357000000002E-3</v>
      </c>
      <c r="R2224" s="40">
        <v>1.0144324</v>
      </c>
      <c r="S2224" s="40">
        <v>6.0202805999999998E-8</v>
      </c>
      <c r="T2224" s="40">
        <v>1.3292813E-3</v>
      </c>
      <c r="U2224" s="40">
        <v>7.7161579000000003E-3</v>
      </c>
      <c r="V2224" s="40">
        <v>6.4706298999999995E-4</v>
      </c>
      <c r="W2224" s="40">
        <v>0.72833464000000003</v>
      </c>
      <c r="X2224" s="40">
        <v>8.6974197000000003E-3</v>
      </c>
      <c r="Y2224" s="40">
        <v>25.897248999999999</v>
      </c>
      <c r="Z2224" s="40">
        <v>1.1911393E-3</v>
      </c>
      <c r="AA2224" s="40">
        <v>1.0304835999999999</v>
      </c>
      <c r="AB2224" s="40">
        <v>1.0372863999999999</v>
      </c>
      <c r="AC2224" s="40">
        <v>-7.3489979000000002E-3</v>
      </c>
      <c r="AD2224" s="40">
        <v>5.4623878999999998E-4</v>
      </c>
      <c r="AE2224" s="40">
        <v>5.9746492999999999E-8</v>
      </c>
      <c r="AF2224" s="40">
        <v>9.5321594999999999E-3</v>
      </c>
      <c r="AG2224" s="40">
        <v>4.0019270000000003E-5</v>
      </c>
      <c r="AH2224" s="40">
        <v>9.3864586999999999E-4</v>
      </c>
      <c r="AI2224" s="40">
        <v>1.6556332999999999E-2</v>
      </c>
      <c r="AJ2224" s="40">
        <v>4.8515193E-3</v>
      </c>
      <c r="AK2224" s="40">
        <v>2.6325131000000001E-5</v>
      </c>
      <c r="AL2224" s="40">
        <v>11.778765</v>
      </c>
      <c r="AM2224" s="40">
        <v>0.25470912000000001</v>
      </c>
      <c r="AN2224" s="40">
        <v>5.3867483E-8</v>
      </c>
      <c r="AO2224" s="40">
        <v>1.8877167E-2</v>
      </c>
      <c r="AP2224" s="40">
        <v>24.174281000000001</v>
      </c>
      <c r="AQ2224" s="40">
        <v>3.9594806000000003E-9</v>
      </c>
      <c r="AR2224" s="40">
        <v>1.2467961E-8</v>
      </c>
      <c r="AS2224" s="40">
        <v>5.4786871000000001</v>
      </c>
      <c r="AT2224" s="40">
        <v>0</v>
      </c>
      <c r="AU2224" s="40">
        <v>0</v>
      </c>
      <c r="AV2224" s="316">
        <v>0.63113277999999995</v>
      </c>
      <c r="AW2224" s="317">
        <v>0</v>
      </c>
      <c r="AX2224" s="317">
        <v>0</v>
      </c>
      <c r="AY2224" s="316">
        <v>12.591177999999999</v>
      </c>
      <c r="AZ2224" s="40">
        <v>0</v>
      </c>
      <c r="BA2224" s="40">
        <v>0</v>
      </c>
      <c r="BB2224" s="40">
        <v>0</v>
      </c>
      <c r="BC2224" s="40">
        <v>6.9464775000000001E-3</v>
      </c>
      <c r="BD2224" s="40">
        <v>1.1697588E-5</v>
      </c>
      <c r="BE2224" s="40">
        <v>6.8183462E-2</v>
      </c>
      <c r="BF2224" s="40">
        <v>1.8001203000000001E-5</v>
      </c>
      <c r="BG2224" s="40">
        <v>0</v>
      </c>
      <c r="BH2224" s="40">
        <v>0</v>
      </c>
      <c r="BI2224" s="40">
        <v>0</v>
      </c>
      <c r="BJ2224" s="40">
        <v>0</v>
      </c>
      <c r="BK2224" s="40">
        <v>0</v>
      </c>
      <c r="BL2224" s="62">
        <v>0</v>
      </c>
      <c r="BM2224" s="275">
        <v>3</v>
      </c>
      <c r="BN2224" s="62">
        <v>0.05</v>
      </c>
      <c r="BO2224" s="33" t="s">
        <v>753</v>
      </c>
    </row>
    <row r="2225" spans="1:68">
      <c r="A2225" s="33" t="str">
        <f>Database_Productkaarten[[#This Row],[Product]]&amp;", "&amp;Database_Productkaarten[[#This Row],[Levensfase]]</f>
        <v>Steenwool, 1 cm, A4</v>
      </c>
      <c r="B2225" s="33" t="s">
        <v>764</v>
      </c>
      <c r="C2225" s="33" t="s">
        <v>48</v>
      </c>
      <c r="D2225" s="33" t="s">
        <v>751</v>
      </c>
      <c r="E2225" s="33" t="s">
        <v>385</v>
      </c>
      <c r="F2225" s="33" t="s">
        <v>78</v>
      </c>
      <c r="G2225" s="33">
        <v>1</v>
      </c>
      <c r="H2225" s="33">
        <v>1</v>
      </c>
      <c r="I2225" s="33">
        <v>0.01</v>
      </c>
      <c r="L2225" s="33">
        <v>0.08</v>
      </c>
      <c r="M2225" s="271">
        <v>8.0000000000000004E-4</v>
      </c>
      <c r="N2225" s="41">
        <v>1.9355098E-3</v>
      </c>
      <c r="O2225" s="33">
        <v>35</v>
      </c>
      <c r="P2225" s="40">
        <v>4.1032008000000001E-7</v>
      </c>
      <c r="Q2225" s="40">
        <v>1.1808859E-4</v>
      </c>
      <c r="R2225" s="40">
        <v>1.6058847000000001E-2</v>
      </c>
      <c r="S2225" s="40">
        <v>2.8490584E-9</v>
      </c>
      <c r="T2225" s="40">
        <v>9.6897309999999995E-6</v>
      </c>
      <c r="U2225" s="40">
        <v>7.0609098999999999E-5</v>
      </c>
      <c r="V2225" s="40">
        <v>1.3871817E-5</v>
      </c>
      <c r="W2225" s="40">
        <v>6.7611598000000004E-3</v>
      </c>
      <c r="X2225" s="40">
        <v>1.9738544000000001E-4</v>
      </c>
      <c r="Y2225" s="40">
        <v>0.71000240000000003</v>
      </c>
      <c r="Z2225" s="40">
        <v>2.3896575999999999E-5</v>
      </c>
      <c r="AA2225" s="40">
        <v>1.6207882E-2</v>
      </c>
      <c r="AB2225" s="40">
        <v>1.6194472000000001E-2</v>
      </c>
      <c r="AC2225" s="40">
        <v>7.4761925E-6</v>
      </c>
      <c r="AD2225" s="40">
        <v>5.9341982000000001E-6</v>
      </c>
      <c r="AE2225" s="40">
        <v>3.5745069000000001E-9</v>
      </c>
      <c r="AF2225" s="40">
        <v>9.3923675999999998E-5</v>
      </c>
      <c r="AG2225" s="40">
        <v>1.6336384999999999E-7</v>
      </c>
      <c r="AH2225" s="40">
        <v>3.3096448999999998E-5</v>
      </c>
      <c r="AI2225" s="40">
        <v>3.6489220999999999E-4</v>
      </c>
      <c r="AJ2225" s="40">
        <v>1.0417936E-4</v>
      </c>
      <c r="AK2225" s="40">
        <v>4.1031846999999999E-7</v>
      </c>
      <c r="AL2225" s="40">
        <v>0.24424480000000001</v>
      </c>
      <c r="AM2225" s="40">
        <v>8.7368878999999995E-4</v>
      </c>
      <c r="AN2225" s="40">
        <v>1.4543136E-9</v>
      </c>
      <c r="AO2225" s="40">
        <v>1.0233499999999999E-3</v>
      </c>
      <c r="AP2225" s="40">
        <v>0.2177982</v>
      </c>
      <c r="AQ2225" s="40">
        <v>7.0666485000000003E-12</v>
      </c>
      <c r="AR2225" s="40">
        <v>2.3819942000000002E-10</v>
      </c>
      <c r="AS2225" s="40">
        <v>0.21181939999999999</v>
      </c>
      <c r="AT2225" s="40">
        <v>0</v>
      </c>
      <c r="AU2225" s="40">
        <v>0</v>
      </c>
      <c r="AV2225" s="316">
        <v>3.0577708999999999E-3</v>
      </c>
      <c r="AW2225" s="317">
        <v>0</v>
      </c>
      <c r="AX2225" s="317">
        <v>0</v>
      </c>
      <c r="AY2225" s="316">
        <v>0.25931910000000002</v>
      </c>
      <c r="AZ2225" s="40">
        <v>0</v>
      </c>
      <c r="BA2225" s="40">
        <v>0</v>
      </c>
      <c r="BB2225" s="40">
        <v>0</v>
      </c>
      <c r="BC2225" s="40">
        <v>2.9748191999999999E-5</v>
      </c>
      <c r="BD2225" s="40">
        <v>6.1893546E-7</v>
      </c>
      <c r="BE2225" s="40">
        <v>1.5493194E-2</v>
      </c>
      <c r="BF2225" s="40">
        <v>1.6038561999999999E-6</v>
      </c>
      <c r="BG2225" s="40">
        <v>0</v>
      </c>
      <c r="BH2225" s="40">
        <v>0</v>
      </c>
      <c r="BI2225" s="40">
        <v>0</v>
      </c>
      <c r="BJ2225" s="40">
        <v>0</v>
      </c>
      <c r="BK2225" s="40">
        <v>0</v>
      </c>
      <c r="BL2225" s="62">
        <v>0</v>
      </c>
      <c r="BM2225" s="275">
        <v>3</v>
      </c>
      <c r="BN2225" s="62">
        <v>0.05</v>
      </c>
      <c r="BO2225" s="33" t="s">
        <v>753</v>
      </c>
      <c r="BP2225" s="33" t="s">
        <v>755</v>
      </c>
    </row>
    <row r="2226" spans="1:68">
      <c r="A2226" s="33" t="str">
        <f>Database_Productkaarten[[#This Row],[Product]]&amp;", "&amp;Database_Productkaarten[[#This Row],[Levensfase]]</f>
        <v>Steenwool, 1 cm, A5</v>
      </c>
      <c r="B2226" s="33" t="s">
        <v>764</v>
      </c>
      <c r="C2226" s="33" t="s">
        <v>48</v>
      </c>
      <c r="D2226" s="33" t="s">
        <v>751</v>
      </c>
      <c r="E2226" s="33" t="s">
        <v>385</v>
      </c>
      <c r="F2226" s="33" t="s">
        <v>79</v>
      </c>
      <c r="G2226" s="33">
        <v>1</v>
      </c>
      <c r="H2226" s="33">
        <v>1</v>
      </c>
      <c r="I2226" s="33">
        <v>0.01</v>
      </c>
      <c r="L2226" s="33">
        <v>0.08</v>
      </c>
      <c r="M2226" s="271">
        <v>8.0000000000000004E-4</v>
      </c>
      <c r="N2226" s="41">
        <v>0.46538126000000002</v>
      </c>
      <c r="O2226" s="33">
        <v>35</v>
      </c>
      <c r="P2226" s="40">
        <v>5.3834866999999998E-6</v>
      </c>
      <c r="Q2226" s="40">
        <v>2.2914085000000001E-2</v>
      </c>
      <c r="R2226" s="40">
        <v>3.4740836000000002</v>
      </c>
      <c r="S2226" s="40">
        <v>6.0150249000000001E-7</v>
      </c>
      <c r="T2226" s="40">
        <v>3.5369791E-3</v>
      </c>
      <c r="U2226" s="40">
        <v>2.6180675E-2</v>
      </c>
      <c r="V2226" s="40">
        <v>5.9513656999999999E-3</v>
      </c>
      <c r="W2226" s="40">
        <v>1.2860469999999999</v>
      </c>
      <c r="X2226" s="40">
        <v>1.7901364999999999E-2</v>
      </c>
      <c r="Y2226" s="40">
        <v>62.246799000000003</v>
      </c>
      <c r="Z2226" s="40">
        <v>2.1170314999999999E-3</v>
      </c>
      <c r="AA2226" s="40">
        <v>3.5114952000000001</v>
      </c>
      <c r="AB2226" s="40">
        <v>3.5102422</v>
      </c>
      <c r="AC2226" s="40">
        <v>9.7629838000000001E-4</v>
      </c>
      <c r="AD2226" s="40">
        <v>2.7665444000000001E-4</v>
      </c>
      <c r="AE2226" s="40">
        <v>7.5807048999999999E-7</v>
      </c>
      <c r="AF2226" s="40">
        <v>3.6714760999999999E-2</v>
      </c>
      <c r="AG2226" s="40">
        <v>1.2779085999999999E-5</v>
      </c>
      <c r="AH2226" s="40">
        <v>1.6207962999999999E-2</v>
      </c>
      <c r="AI2226" s="40">
        <v>0.17783882000000001</v>
      </c>
      <c r="AJ2226" s="40">
        <v>4.8896874999999999E-2</v>
      </c>
      <c r="AK2226" s="40">
        <v>5.3834439000000004E-6</v>
      </c>
      <c r="AL2226" s="40">
        <v>48.312432999999999</v>
      </c>
      <c r="AM2226" s="40">
        <v>6.4709804999999995E-2</v>
      </c>
      <c r="AN2226" s="40">
        <v>9.713708600000001E-7</v>
      </c>
      <c r="AO2226" s="40">
        <v>0.20702945</v>
      </c>
      <c r="AP2226" s="40">
        <v>29.123768999999999</v>
      </c>
      <c r="AQ2226" s="40">
        <v>1.0177550000000001E-9</v>
      </c>
      <c r="AR2226" s="40">
        <v>2.5000640000000001E-8</v>
      </c>
      <c r="AS2226" s="40">
        <v>6.1658127</v>
      </c>
      <c r="AT2226" s="40">
        <v>0</v>
      </c>
      <c r="AU2226" s="40">
        <v>0</v>
      </c>
      <c r="AV2226" s="316">
        <v>0.26132104</v>
      </c>
      <c r="AW2226" s="317">
        <v>0</v>
      </c>
      <c r="AX2226" s="317">
        <v>0</v>
      </c>
      <c r="AY2226" s="316">
        <v>51.306691999999998</v>
      </c>
      <c r="AZ2226" s="40">
        <v>0</v>
      </c>
      <c r="BA2226" s="40">
        <v>0</v>
      </c>
      <c r="BB2226" s="40">
        <v>0</v>
      </c>
      <c r="BC2226" s="40">
        <v>2.4865929E-3</v>
      </c>
      <c r="BD2226" s="40">
        <v>1.3159006000000001E-4</v>
      </c>
      <c r="BE2226" s="40">
        <v>5.7201178999999998E-2</v>
      </c>
      <c r="BF2226" s="40">
        <v>3.3546428999999998E-4</v>
      </c>
      <c r="BG2226" s="40">
        <v>0</v>
      </c>
      <c r="BH2226" s="40">
        <v>0</v>
      </c>
      <c r="BI2226" s="40">
        <v>0</v>
      </c>
      <c r="BJ2226" s="40">
        <v>0</v>
      </c>
      <c r="BK2226" s="40">
        <v>0</v>
      </c>
      <c r="BL2226" s="62">
        <v>0</v>
      </c>
      <c r="BM2226" s="275">
        <v>3</v>
      </c>
      <c r="BN2226" s="62">
        <v>0.05</v>
      </c>
      <c r="BO2226" s="33" t="s">
        <v>753</v>
      </c>
      <c r="BP2226" s="33" t="s">
        <v>765</v>
      </c>
    </row>
    <row r="2227" spans="1:68">
      <c r="A2227" s="33" t="str">
        <f>Database_Productkaarten[[#This Row],[Product]]&amp;", "&amp;Database_Productkaarten[[#This Row],[Levensfase]]</f>
        <v>Steenwool, 1 cm, B1</v>
      </c>
      <c r="B2227" s="33" t="s">
        <v>764</v>
      </c>
      <c r="C2227" s="33" t="s">
        <v>48</v>
      </c>
      <c r="D2227" s="33" t="s">
        <v>751</v>
      </c>
      <c r="E2227" s="33" t="s">
        <v>385</v>
      </c>
      <c r="F2227" s="33" t="s">
        <v>80</v>
      </c>
      <c r="G2227" s="33">
        <v>1</v>
      </c>
      <c r="H2227" s="33">
        <v>1</v>
      </c>
      <c r="I2227" s="33">
        <v>0.01</v>
      </c>
      <c r="L2227" s="33">
        <v>0.08</v>
      </c>
      <c r="M2227" s="271">
        <v>8.0000000000000004E-4</v>
      </c>
      <c r="N2227" s="41"/>
      <c r="O2227" s="33">
        <v>35</v>
      </c>
      <c r="P2227" s="40"/>
      <c r="Q2227" s="40"/>
      <c r="R2227" s="40"/>
      <c r="S2227" s="40"/>
      <c r="T2227" s="40"/>
      <c r="U2227" s="40"/>
      <c r="V2227" s="40"/>
      <c r="W2227" s="40"/>
      <c r="X2227" s="40"/>
      <c r="Y2227" s="40"/>
      <c r="Z2227" s="40"/>
      <c r="AA2227" s="40"/>
      <c r="AB2227" s="40"/>
      <c r="AC2227" s="40"/>
      <c r="AD2227" s="40"/>
      <c r="AE2227" s="40"/>
      <c r="AF2227" s="40"/>
      <c r="AG2227" s="40"/>
      <c r="AH2227" s="40"/>
      <c r="AI2227" s="40"/>
      <c r="AJ2227" s="40"/>
      <c r="AK2227" s="40"/>
      <c r="AL2227" s="40"/>
      <c r="AM2227" s="40"/>
      <c r="AN2227" s="40"/>
      <c r="AO2227" s="40"/>
      <c r="AP2227" s="40"/>
      <c r="AQ2227" s="40"/>
      <c r="AR2227" s="40"/>
      <c r="AS2227" s="40"/>
      <c r="AT2227" s="40"/>
      <c r="AU2227" s="40"/>
      <c r="AV2227" s="316"/>
      <c r="AW2227" s="317"/>
      <c r="AX2227" s="317"/>
      <c r="AY2227" s="316"/>
      <c r="AZ2227" s="40"/>
      <c r="BA2227" s="40"/>
      <c r="BB2227" s="40"/>
      <c r="BC2227" s="40"/>
      <c r="BD2227" s="40"/>
      <c r="BE2227" s="40"/>
      <c r="BF2227" s="40"/>
      <c r="BG2227" s="40"/>
      <c r="BH2227" s="40"/>
      <c r="BI2227" s="40"/>
      <c r="BJ2227" s="40"/>
      <c r="BK2227" s="40"/>
      <c r="BL2227" s="62">
        <v>0</v>
      </c>
      <c r="BM2227" s="275">
        <v>3</v>
      </c>
      <c r="BN2227" s="62">
        <v>0.05</v>
      </c>
      <c r="BO2227" s="33" t="s">
        <v>753</v>
      </c>
    </row>
    <row r="2228" spans="1:68">
      <c r="A2228" s="33" t="str">
        <f>Database_Productkaarten[[#This Row],[Product]]&amp;", "&amp;Database_Productkaarten[[#This Row],[Levensfase]]</f>
        <v>Steenwool, 1 cm, C1</v>
      </c>
      <c r="B2228" s="33" t="s">
        <v>764</v>
      </c>
      <c r="C2228" s="33" t="s">
        <v>48</v>
      </c>
      <c r="D2228" s="33" t="s">
        <v>751</v>
      </c>
      <c r="E2228" s="33" t="s">
        <v>385</v>
      </c>
      <c r="F2228" s="33" t="s">
        <v>83</v>
      </c>
      <c r="G2228" s="33">
        <v>1</v>
      </c>
      <c r="H2228" s="33">
        <v>1</v>
      </c>
      <c r="I2228" s="33">
        <v>0.01</v>
      </c>
      <c r="L2228" s="33">
        <v>0.08</v>
      </c>
      <c r="M2228" s="271">
        <v>8.0000000000000004E-4</v>
      </c>
      <c r="N2228" s="41">
        <v>0.20837966999999999</v>
      </c>
      <c r="O2228" s="33">
        <v>35</v>
      </c>
      <c r="P2228" s="40">
        <v>2.4105163999999998E-6</v>
      </c>
      <c r="Q2228" s="40">
        <v>1.0260038000000001E-2</v>
      </c>
      <c r="R2228" s="40">
        <v>1.5555597999999999</v>
      </c>
      <c r="S2228" s="40">
        <v>2.6932946999999997E-7</v>
      </c>
      <c r="T2228" s="40">
        <v>1.5837220000000001E-3</v>
      </c>
      <c r="U2228" s="40">
        <v>1.1722689999999999E-2</v>
      </c>
      <c r="V2228" s="40">
        <v>2.6647906E-3</v>
      </c>
      <c r="W2228" s="40">
        <v>0.57584192999999995</v>
      </c>
      <c r="X2228" s="40">
        <v>8.0155365999999995E-3</v>
      </c>
      <c r="Y2228" s="40">
        <v>27.871701000000002</v>
      </c>
      <c r="Z2228" s="40">
        <v>9.4792453999999996E-4</v>
      </c>
      <c r="AA2228" s="40">
        <v>1.5723113</v>
      </c>
      <c r="AB2228" s="40">
        <v>1.5717502000000001</v>
      </c>
      <c r="AC2228" s="40">
        <v>4.3714852999999999E-4</v>
      </c>
      <c r="AD2228" s="40">
        <v>1.2387512E-4</v>
      </c>
      <c r="AE2228" s="40">
        <v>3.3943455E-7</v>
      </c>
      <c r="AF2228" s="40">
        <v>1.6439445E-2</v>
      </c>
      <c r="AG2228" s="40">
        <v>5.7219788999999997E-6</v>
      </c>
      <c r="AH2228" s="40">
        <v>7.2572968999999998E-3</v>
      </c>
      <c r="AI2228" s="40">
        <v>7.9629322000000002E-2</v>
      </c>
      <c r="AJ2228" s="40">
        <v>2.1894123000000001E-2</v>
      </c>
      <c r="AK2228" s="40">
        <v>2.4104973E-6</v>
      </c>
      <c r="AL2228" s="40">
        <v>21.632432999999999</v>
      </c>
      <c r="AM2228" s="40">
        <v>2.8974539000000001E-2</v>
      </c>
      <c r="AN2228" s="40">
        <v>4.3494218000000002E-7</v>
      </c>
      <c r="AO2228" s="40">
        <v>9.2699751999999996E-2</v>
      </c>
      <c r="AP2228" s="40">
        <v>13.040493</v>
      </c>
      <c r="AQ2228" s="40">
        <v>4.5571119999999999E-10</v>
      </c>
      <c r="AR2228" s="40">
        <v>1.1194316999999999E-8</v>
      </c>
      <c r="AS2228" s="40">
        <v>2.7608117000000001</v>
      </c>
      <c r="AT2228" s="40">
        <v>0</v>
      </c>
      <c r="AU2228" s="40">
        <v>0</v>
      </c>
      <c r="AV2228" s="316">
        <v>0.11700942</v>
      </c>
      <c r="AW2228" s="317">
        <v>0</v>
      </c>
      <c r="AX2228" s="317">
        <v>0</v>
      </c>
      <c r="AY2228" s="316">
        <v>22.973146</v>
      </c>
      <c r="AZ2228" s="40">
        <v>0</v>
      </c>
      <c r="BA2228" s="40">
        <v>0</v>
      </c>
      <c r="BB2228" s="40">
        <v>0</v>
      </c>
      <c r="BC2228" s="40">
        <v>1.1133998E-3</v>
      </c>
      <c r="BD2228" s="40">
        <v>5.8920923999999999E-5</v>
      </c>
      <c r="BE2228" s="40">
        <v>2.5612467999999999E-2</v>
      </c>
      <c r="BF2228" s="40">
        <v>1.5020788999999999E-4</v>
      </c>
      <c r="BG2228" s="40">
        <v>0</v>
      </c>
      <c r="BH2228" s="40">
        <v>0</v>
      </c>
      <c r="BI2228" s="40">
        <v>0</v>
      </c>
      <c r="BJ2228" s="40">
        <v>0</v>
      </c>
      <c r="BK2228" s="40">
        <v>0</v>
      </c>
      <c r="BL2228" s="62">
        <v>0</v>
      </c>
      <c r="BM2228" s="275">
        <v>3</v>
      </c>
      <c r="BN2228" s="62">
        <v>0.05</v>
      </c>
      <c r="BO2228" s="33" t="s">
        <v>753</v>
      </c>
      <c r="BP2228" s="33" t="s">
        <v>757</v>
      </c>
    </row>
    <row r="2229" spans="1:68">
      <c r="A2229" s="33" t="str">
        <f>Database_Productkaarten[[#This Row],[Product]]&amp;", "&amp;Database_Productkaarten[[#This Row],[Levensfase]]</f>
        <v>Steenwool, 1 cm, C2</v>
      </c>
      <c r="B2229" s="33" t="s">
        <v>764</v>
      </c>
      <c r="C2229" s="33" t="s">
        <v>48</v>
      </c>
      <c r="D2229" s="33" t="s">
        <v>751</v>
      </c>
      <c r="E2229" s="33" t="s">
        <v>385</v>
      </c>
      <c r="F2229" s="33" t="s">
        <v>84</v>
      </c>
      <c r="G2229" s="33">
        <v>1</v>
      </c>
      <c r="H2229" s="33">
        <v>1</v>
      </c>
      <c r="I2229" s="33">
        <v>0.01</v>
      </c>
      <c r="L2229" s="33">
        <v>0.08</v>
      </c>
      <c r="M2229" s="271">
        <v>8.0000000000000004E-4</v>
      </c>
      <c r="N2229" s="41">
        <v>1.2580814E-3</v>
      </c>
      <c r="O2229" s="33">
        <v>35</v>
      </c>
      <c r="P2229" s="40">
        <v>2.6670805E-7</v>
      </c>
      <c r="Q2229" s="40">
        <v>7.6757581000000007E-5</v>
      </c>
      <c r="R2229" s="40">
        <v>1.0438251000000001E-2</v>
      </c>
      <c r="S2229" s="40">
        <v>1.8518880000000001E-9</v>
      </c>
      <c r="T2229" s="40">
        <v>6.2983251000000003E-6</v>
      </c>
      <c r="U2229" s="40">
        <v>4.5895914E-5</v>
      </c>
      <c r="V2229" s="40">
        <v>9.0166807999999994E-6</v>
      </c>
      <c r="W2229" s="40">
        <v>4.3947539000000002E-3</v>
      </c>
      <c r="X2229" s="40">
        <v>1.2830053E-4</v>
      </c>
      <c r="Y2229" s="40">
        <v>0.46150155999999998</v>
      </c>
      <c r="Z2229" s="40">
        <v>1.5532775E-5</v>
      </c>
      <c r="AA2229" s="40">
        <v>1.0535123E-2</v>
      </c>
      <c r="AB2229" s="40">
        <v>1.0526407E-2</v>
      </c>
      <c r="AC2229" s="40">
        <v>4.8595250999999998E-6</v>
      </c>
      <c r="AD2229" s="40">
        <v>3.8572288000000004E-6</v>
      </c>
      <c r="AE2229" s="40">
        <v>2.3234295E-9</v>
      </c>
      <c r="AF2229" s="40">
        <v>6.1050388999999997E-5</v>
      </c>
      <c r="AG2229" s="40">
        <v>1.061865E-7</v>
      </c>
      <c r="AH2229" s="40">
        <v>2.1512692E-5</v>
      </c>
      <c r="AI2229" s="40">
        <v>2.3717994E-4</v>
      </c>
      <c r="AJ2229" s="40">
        <v>6.7716583000000002E-5</v>
      </c>
      <c r="AK2229" s="40">
        <v>2.6670700999999999E-7</v>
      </c>
      <c r="AL2229" s="40">
        <v>0.15875912</v>
      </c>
      <c r="AM2229" s="40">
        <v>5.6789771000000002E-4</v>
      </c>
      <c r="AN2229" s="40">
        <v>9.4530382000000009E-10</v>
      </c>
      <c r="AO2229" s="40">
        <v>6.6517748000000001E-4</v>
      </c>
      <c r="AP2229" s="40">
        <v>0.14156883000000001</v>
      </c>
      <c r="AQ2229" s="40">
        <v>4.5933216000000002E-12</v>
      </c>
      <c r="AR2229" s="40">
        <v>1.5482962000000001E-10</v>
      </c>
      <c r="AS2229" s="40">
        <v>0.13768261000000001</v>
      </c>
      <c r="AT2229" s="40">
        <v>0</v>
      </c>
      <c r="AU2229" s="40">
        <v>0</v>
      </c>
      <c r="AV2229" s="316">
        <v>1.9875511000000002E-3</v>
      </c>
      <c r="AW2229" s="317">
        <v>0</v>
      </c>
      <c r="AX2229" s="317">
        <v>0</v>
      </c>
      <c r="AY2229" s="316">
        <v>0.16855740999999999</v>
      </c>
      <c r="AZ2229" s="40">
        <v>0</v>
      </c>
      <c r="BA2229" s="40">
        <v>0</v>
      </c>
      <c r="BB2229" s="40">
        <v>0</v>
      </c>
      <c r="BC2229" s="40">
        <v>1.9336325000000002E-5</v>
      </c>
      <c r="BD2229" s="40">
        <v>4.0230804999999997E-7</v>
      </c>
      <c r="BE2229" s="40">
        <v>1.0070575999999999E-2</v>
      </c>
      <c r="BF2229" s="40">
        <v>1.0425065E-6</v>
      </c>
      <c r="BG2229" s="40">
        <v>0</v>
      </c>
      <c r="BH2229" s="40">
        <v>0</v>
      </c>
      <c r="BI2229" s="40">
        <v>0</v>
      </c>
      <c r="BJ2229" s="40">
        <v>0</v>
      </c>
      <c r="BK2229" s="40">
        <v>0</v>
      </c>
      <c r="BL2229" s="62">
        <v>0</v>
      </c>
      <c r="BM2229" s="275">
        <v>3</v>
      </c>
      <c r="BN2229" s="62">
        <v>0.05</v>
      </c>
      <c r="BO2229" s="33" t="s">
        <v>753</v>
      </c>
      <c r="BP2229" s="33" t="s">
        <v>758</v>
      </c>
    </row>
    <row r="2230" spans="1:68">
      <c r="A2230" s="33" t="str">
        <f>Database_Productkaarten[[#This Row],[Product]]&amp;", "&amp;Database_Productkaarten[[#This Row],[Levensfase]]</f>
        <v>Steenwool, 1 cm, C3</v>
      </c>
      <c r="B2230" s="33" t="s">
        <v>764</v>
      </c>
      <c r="C2230" s="33" t="s">
        <v>48</v>
      </c>
      <c r="D2230" s="33" t="s">
        <v>751</v>
      </c>
      <c r="E2230" s="33" t="s">
        <v>385</v>
      </c>
      <c r="F2230" s="33" t="s">
        <v>85</v>
      </c>
      <c r="G2230" s="33">
        <v>1</v>
      </c>
      <c r="H2230" s="33">
        <v>1</v>
      </c>
      <c r="I2230" s="33">
        <v>0.01</v>
      </c>
      <c r="L2230" s="33">
        <v>0.08</v>
      </c>
      <c r="M2230" s="271">
        <v>8.0000000000000004E-4</v>
      </c>
      <c r="N2230" s="41">
        <v>4.4143786999999997E-2</v>
      </c>
      <c r="O2230" s="33">
        <v>35</v>
      </c>
      <c r="P2230" s="40">
        <v>3.6351477999999999E-6</v>
      </c>
      <c r="Q2230" s="40">
        <v>1.4088286E-3</v>
      </c>
      <c r="R2230" s="40">
        <v>0.29131235999999999</v>
      </c>
      <c r="S2230" s="40">
        <v>1.8105960000000001E-8</v>
      </c>
      <c r="T2230" s="40">
        <v>1.3070325E-4</v>
      </c>
      <c r="U2230" s="40">
        <v>6.645132E-4</v>
      </c>
      <c r="V2230" s="40">
        <v>1.1255726E-4</v>
      </c>
      <c r="W2230" s="40">
        <v>0.27182486</v>
      </c>
      <c r="X2230" s="40">
        <v>3.2216897E-3</v>
      </c>
      <c r="Y2230" s="40">
        <v>8.0502204000000006</v>
      </c>
      <c r="Z2230" s="40">
        <v>8.8744024999999995E-4</v>
      </c>
      <c r="AA2230" s="40">
        <v>0.29433564000000001</v>
      </c>
      <c r="AB2230" s="40">
        <v>0.29540189</v>
      </c>
      <c r="AC2230" s="40">
        <v>-1.2340681999999999E-3</v>
      </c>
      <c r="AD2230" s="40">
        <v>1.6781488E-4</v>
      </c>
      <c r="AE2230" s="40">
        <v>2.1479973999999999E-8</v>
      </c>
      <c r="AF2230" s="40">
        <v>8.4754511E-4</v>
      </c>
      <c r="AG2230" s="40">
        <v>4.8083431000000003E-6</v>
      </c>
      <c r="AH2230" s="40">
        <v>2.3395022000000001E-4</v>
      </c>
      <c r="AI2230" s="40">
        <v>2.5607479999999998E-3</v>
      </c>
      <c r="AJ2230" s="40">
        <v>8.2932082000000001E-4</v>
      </c>
      <c r="AK2230" s="40">
        <v>3.6349243000000002E-6</v>
      </c>
      <c r="AL2230" s="40">
        <v>2.9017374999999999</v>
      </c>
      <c r="AM2230" s="40">
        <v>5.6427118999999998E-2</v>
      </c>
      <c r="AN2230" s="40">
        <v>1.4601649E-8</v>
      </c>
      <c r="AO2230" s="40">
        <v>8.7454360000000005E-3</v>
      </c>
      <c r="AP2230" s="40">
        <v>3.1607970000000001</v>
      </c>
      <c r="AQ2230" s="40">
        <v>3.1216819000000002E-10</v>
      </c>
      <c r="AR2230" s="40">
        <v>4.3474595E-9</v>
      </c>
      <c r="AS2230" s="40">
        <v>2.3295385999999998</v>
      </c>
      <c r="AT2230" s="40">
        <v>0</v>
      </c>
      <c r="AU2230" s="40">
        <v>0</v>
      </c>
      <c r="AV2230" s="316">
        <v>0.14297425</v>
      </c>
      <c r="AW2230" s="317">
        <v>0</v>
      </c>
      <c r="AX2230" s="317">
        <v>0</v>
      </c>
      <c r="AY2230" s="316">
        <v>3.0914044999999999</v>
      </c>
      <c r="AZ2230" s="40">
        <v>0</v>
      </c>
      <c r="BA2230" s="40">
        <v>0</v>
      </c>
      <c r="BB2230" s="40">
        <v>0</v>
      </c>
      <c r="BC2230" s="40">
        <v>1.5698136E-3</v>
      </c>
      <c r="BD2230" s="40">
        <v>4.5936406000000003E-6</v>
      </c>
      <c r="BE2230" s="40">
        <v>0.14058158000000001</v>
      </c>
      <c r="BF2230" s="40">
        <v>1.10937E-5</v>
      </c>
      <c r="BG2230" s="40">
        <v>0</v>
      </c>
      <c r="BH2230" s="40">
        <v>0</v>
      </c>
      <c r="BI2230" s="40">
        <v>0</v>
      </c>
      <c r="BJ2230" s="40">
        <v>0</v>
      </c>
      <c r="BK2230" s="40">
        <v>0</v>
      </c>
      <c r="BL2230" s="62">
        <v>0</v>
      </c>
      <c r="BM2230" s="275">
        <v>3</v>
      </c>
      <c r="BN2230" s="62">
        <v>0.05</v>
      </c>
      <c r="BO2230" s="33" t="s">
        <v>753</v>
      </c>
    </row>
    <row r="2231" spans="1:68">
      <c r="A2231" s="33" t="str">
        <f>Database_Productkaarten[[#This Row],[Product]]&amp;", "&amp;Database_Productkaarten[[#This Row],[Levensfase]]</f>
        <v>Steenwool, 1 cm, C4</v>
      </c>
      <c r="B2231" s="33" t="s">
        <v>764</v>
      </c>
      <c r="C2231" s="33" t="s">
        <v>48</v>
      </c>
      <c r="D2231" s="33" t="s">
        <v>751</v>
      </c>
      <c r="E2231" s="33" t="s">
        <v>385</v>
      </c>
      <c r="F2231" s="33" t="s">
        <v>86</v>
      </c>
      <c r="G2231" s="33">
        <v>1</v>
      </c>
      <c r="H2231" s="33">
        <v>1</v>
      </c>
      <c r="I2231" s="33">
        <v>0.01</v>
      </c>
      <c r="L2231" s="33">
        <v>0.08</v>
      </c>
      <c r="M2231" s="271">
        <v>8.0000000000000004E-4</v>
      </c>
      <c r="N2231" s="41">
        <v>2.6236396399999997E-3</v>
      </c>
      <c r="O2231" s="33">
        <v>35</v>
      </c>
      <c r="P2231" s="40">
        <v>4.4385506999999996E-8</v>
      </c>
      <c r="Q2231" s="40">
        <v>5.4617873099999995E-5</v>
      </c>
      <c r="R2231" s="40">
        <v>2.4253901000000001E-2</v>
      </c>
      <c r="S2231" s="40">
        <v>1.3183850900000001E-9</v>
      </c>
      <c r="T2231" s="40">
        <v>4.2857563099999998E-6</v>
      </c>
      <c r="U2231" s="40">
        <v>3.46281665E-5</v>
      </c>
      <c r="V2231" s="40">
        <v>8.2323431E-6</v>
      </c>
      <c r="W2231" s="40">
        <v>5.2161852E-3</v>
      </c>
      <c r="X2231" s="40">
        <v>1.1721697439999999E-3</v>
      </c>
      <c r="Y2231" s="40">
        <v>6.74737046</v>
      </c>
      <c r="Z2231" s="40">
        <v>2.7084190499999998E-5</v>
      </c>
      <c r="AA2231" s="40">
        <v>5.4477182400000004E-2</v>
      </c>
      <c r="AB2231" s="40">
        <v>2.43989251E-2</v>
      </c>
      <c r="AC2231" s="40">
        <v>3.0076946091299999E-2</v>
      </c>
      <c r="AD2231" s="40">
        <v>1.3110367400000001E-6</v>
      </c>
      <c r="AE2231" s="40">
        <v>1.6422398699999999E-9</v>
      </c>
      <c r="AF2231" s="40">
        <v>4.6286497999999999E-5</v>
      </c>
      <c r="AG2231" s="40">
        <v>6.1838917000000005E-8</v>
      </c>
      <c r="AH2231" s="40">
        <v>1.7009602900000001E-5</v>
      </c>
      <c r="AI2231" s="40">
        <v>1.8370504399999998E-4</v>
      </c>
      <c r="AJ2231" s="40">
        <v>5.1049177000000003E-5</v>
      </c>
      <c r="AK2231" s="40">
        <v>4.4385137999999994E-8</v>
      </c>
      <c r="AL2231" s="40">
        <v>0.113118179</v>
      </c>
      <c r="AM2231" s="40">
        <v>7.2154207E-3</v>
      </c>
      <c r="AN2231" s="40">
        <v>7.6284757999999998E-10</v>
      </c>
      <c r="AO2231" s="40">
        <v>4.4447267900000001E-4</v>
      </c>
      <c r="AP2231" s="40">
        <v>0.169614236</v>
      </c>
      <c r="AQ2231" s="40">
        <v>7.2572477000000003E-12</v>
      </c>
      <c r="AR2231" s="40">
        <v>2.6520771500000001E-10</v>
      </c>
      <c r="AS2231" s="40">
        <v>0.21776672180000001</v>
      </c>
      <c r="AT2231" s="40">
        <v>0</v>
      </c>
      <c r="AU2231" s="40">
        <v>0</v>
      </c>
      <c r="AV2231" s="316">
        <v>1.23940307E-3</v>
      </c>
      <c r="AW2231" s="317">
        <v>0</v>
      </c>
      <c r="AX2231" s="317">
        <v>0</v>
      </c>
      <c r="AY2231" s="316">
        <v>0.120382742</v>
      </c>
      <c r="AZ2231" s="40">
        <v>0</v>
      </c>
      <c r="BA2231" s="40">
        <v>0</v>
      </c>
      <c r="BB2231" s="40">
        <v>0</v>
      </c>
      <c r="BC2231" s="40">
        <v>1.5333910599999999E-4</v>
      </c>
      <c r="BD2231" s="40">
        <v>1.91029026E-7</v>
      </c>
      <c r="BE2231" s="40">
        <v>0.68197643869999991</v>
      </c>
      <c r="BF2231" s="40">
        <v>7.0272456300000002E-7</v>
      </c>
      <c r="BG2231" s="40">
        <v>0</v>
      </c>
      <c r="BH2231" s="40">
        <v>0</v>
      </c>
      <c r="BI2231" s="40">
        <v>0</v>
      </c>
      <c r="BJ2231" s="40">
        <v>0</v>
      </c>
      <c r="BK2231" s="40">
        <v>0</v>
      </c>
      <c r="BL2231" s="62">
        <v>0</v>
      </c>
      <c r="BM2231" s="275">
        <v>3</v>
      </c>
      <c r="BN2231" s="62">
        <v>0.05</v>
      </c>
      <c r="BO2231" s="33" t="s">
        <v>753</v>
      </c>
      <c r="BP2231" s="33" t="s">
        <v>766</v>
      </c>
    </row>
    <row r="2232" spans="1:68">
      <c r="A2232" s="33" t="str">
        <f>Database_Productkaarten[[#This Row],[Product]]&amp;", "&amp;Database_Productkaarten[[#This Row],[Levensfase]]</f>
        <v>Steenwool, 1 cm, D</v>
      </c>
      <c r="B2232" s="33" t="s">
        <v>764</v>
      </c>
      <c r="C2232" s="33" t="s">
        <v>48</v>
      </c>
      <c r="D2232" s="33" t="s">
        <v>751</v>
      </c>
      <c r="E2232" s="33" t="s">
        <v>385</v>
      </c>
      <c r="F2232" s="33" t="s">
        <v>89</v>
      </c>
      <c r="G2232" s="33">
        <v>1</v>
      </c>
      <c r="H2232" s="33">
        <v>1</v>
      </c>
      <c r="I2232" s="33">
        <v>0.01</v>
      </c>
      <c r="L2232" s="33">
        <v>0.08</v>
      </c>
      <c r="M2232" s="271">
        <v>8.0000000000000004E-4</v>
      </c>
      <c r="N2232" s="41">
        <v>-1.4900834044E-2</v>
      </c>
      <c r="O2232" s="33">
        <v>35</v>
      </c>
      <c r="P2232" s="40">
        <v>-6.8363631000000001E-8</v>
      </c>
      <c r="Q2232" s="40">
        <v>-2.2650073795999997E-3</v>
      </c>
      <c r="R2232" s="40">
        <v>-0.24753865171</v>
      </c>
      <c r="S2232" s="40">
        <v>-2.8712978305000001E-8</v>
      </c>
      <c r="T2232" s="40">
        <v>-3.5280178600000004E-5</v>
      </c>
      <c r="U2232" s="40">
        <v>-1.6264085429999999E-4</v>
      </c>
      <c r="V2232" s="40">
        <v>-2.378223267E-5</v>
      </c>
      <c r="W2232" s="40">
        <v>-1.2894733910000001E-2</v>
      </c>
      <c r="X2232" s="40">
        <v>-1.3121099320000001E-4</v>
      </c>
      <c r="Y2232" s="40">
        <v>-0.58564438169999999</v>
      </c>
      <c r="Z2232" s="40">
        <v>-4.0622052879999999E-5</v>
      </c>
      <c r="AA2232" s="40">
        <v>-0.25062457697000001</v>
      </c>
      <c r="AB2232" s="40">
        <v>-0.25054438276000002</v>
      </c>
      <c r="AC2232" s="40">
        <v>-7.2430714100000008E-5</v>
      </c>
      <c r="AD2232" s="40">
        <v>-7.7565628199999998E-6</v>
      </c>
      <c r="AE2232" s="40">
        <v>-3.2588748709000002E-8</v>
      </c>
      <c r="AF2232" s="40">
        <v>-2.0967811569999999E-4</v>
      </c>
      <c r="AG2232" s="40">
        <v>-2.8645015699999996E-7</v>
      </c>
      <c r="AH2232" s="40">
        <v>-6.3174499600000003E-5</v>
      </c>
      <c r="AI2232" s="40">
        <v>-6.96500071E-4</v>
      </c>
      <c r="AJ2232" s="40">
        <v>-2.2812854600000001E-4</v>
      </c>
      <c r="AK2232" s="40">
        <v>-6.8362129699999997E-8</v>
      </c>
      <c r="AL2232" s="40">
        <v>-4.1875290272999992</v>
      </c>
      <c r="AM2232" s="40">
        <v>-1.8242540820999999E-2</v>
      </c>
      <c r="AN2232" s="40">
        <v>-6.5537373800000001E-10</v>
      </c>
      <c r="AO2232" s="40">
        <v>-1.38492147E-3</v>
      </c>
      <c r="AP2232" s="40">
        <v>-0.36975126999999997</v>
      </c>
      <c r="AQ2232" s="40">
        <v>-1.5889234580000001E-11</v>
      </c>
      <c r="AR2232" s="40">
        <v>-2.268867521E-10</v>
      </c>
      <c r="AS2232" s="40">
        <v>-0.23286996899999998</v>
      </c>
      <c r="AT2232" s="40">
        <v>0</v>
      </c>
      <c r="AU2232" s="40">
        <v>0</v>
      </c>
      <c r="AV2232" s="316">
        <v>-9.4391623100000006E-3</v>
      </c>
      <c r="AW2232" s="317">
        <v>0</v>
      </c>
      <c r="AX2232" s="317">
        <v>0</v>
      </c>
      <c r="AY2232" s="316">
        <v>-4.6448208090999996</v>
      </c>
      <c r="AZ2232" s="40">
        <v>0</v>
      </c>
      <c r="BA2232" s="40">
        <v>0</v>
      </c>
      <c r="BB2232" s="40">
        <v>0</v>
      </c>
      <c r="BC2232" s="40">
        <v>-2.4403189110000002E-4</v>
      </c>
      <c r="BD2232" s="40">
        <v>-5.3019062240000006E-6</v>
      </c>
      <c r="BE2232" s="40">
        <v>-1.6988529119999999E-3</v>
      </c>
      <c r="BF2232" s="40">
        <v>-2.0422197979999997E-6</v>
      </c>
      <c r="BG2232" s="40">
        <v>0</v>
      </c>
      <c r="BH2232" s="40">
        <v>0</v>
      </c>
      <c r="BI2232" s="40">
        <v>0</v>
      </c>
      <c r="BJ2232" s="40">
        <v>0</v>
      </c>
      <c r="BK2232" s="40">
        <v>0</v>
      </c>
      <c r="BL2232" s="62">
        <v>0</v>
      </c>
      <c r="BM2232" s="275">
        <v>3</v>
      </c>
      <c r="BN2232" s="62">
        <v>0.05</v>
      </c>
      <c r="BO2232" s="33" t="s">
        <v>753</v>
      </c>
      <c r="BP2232" s="33" t="s">
        <v>767</v>
      </c>
    </row>
    <row r="2233" spans="1:68">
      <c r="A2233" s="33" t="str">
        <f>Database_Productkaarten[[#This Row],[Product]]&amp;", "&amp;Database_Productkaarten[[#This Row],[Levensfase]]</f>
        <v>Steenwool, 1 cm, D1</v>
      </c>
      <c r="B2233" s="33" t="s">
        <v>764</v>
      </c>
      <c r="C2233" s="33" t="s">
        <v>48</v>
      </c>
      <c r="D2233" s="33" t="s">
        <v>751</v>
      </c>
      <c r="E2233" s="33" t="s">
        <v>385</v>
      </c>
      <c r="F2233" s="33" t="s">
        <v>87</v>
      </c>
      <c r="G2233" s="33">
        <v>1</v>
      </c>
      <c r="H2233" s="33">
        <v>1</v>
      </c>
      <c r="I2233" s="33">
        <v>0.01</v>
      </c>
      <c r="L2233" s="33">
        <v>0.08</v>
      </c>
      <c r="M2233" s="271">
        <v>8.0000000000000004E-4</v>
      </c>
      <c r="N2233" s="41"/>
      <c r="O2233" s="33">
        <v>35</v>
      </c>
      <c r="P2233" s="40"/>
      <c r="Q2233" s="40"/>
      <c r="R2233" s="40"/>
      <c r="S2233" s="40"/>
      <c r="T2233" s="40"/>
      <c r="U2233" s="40"/>
      <c r="V2233" s="40"/>
      <c r="W2233" s="40"/>
      <c r="X2233" s="40"/>
      <c r="Y2233" s="40"/>
      <c r="Z2233" s="40"/>
      <c r="AA2233" s="40"/>
      <c r="AB2233" s="40"/>
      <c r="AC2233" s="40"/>
      <c r="AD2233" s="40"/>
      <c r="AE2233" s="40"/>
      <c r="AF2233" s="40"/>
      <c r="AG2233" s="40"/>
      <c r="AH2233" s="40"/>
      <c r="AI2233" s="40"/>
      <c r="AJ2233" s="40"/>
      <c r="AK2233" s="40"/>
      <c r="AL2233" s="40"/>
      <c r="AM2233" s="40"/>
      <c r="AN2233" s="40"/>
      <c r="AO2233" s="40"/>
      <c r="AP2233" s="40"/>
      <c r="AQ2233" s="40"/>
      <c r="AR2233" s="40"/>
      <c r="AS2233" s="40"/>
      <c r="AT2233" s="40"/>
      <c r="AU2233" s="40"/>
      <c r="AV2233" s="316"/>
      <c r="AW2233" s="317"/>
      <c r="AX2233" s="317"/>
      <c r="AY2233" s="316"/>
      <c r="AZ2233" s="40"/>
      <c r="BA2233" s="40"/>
      <c r="BB2233" s="40"/>
      <c r="BC2233" s="40"/>
      <c r="BD2233" s="40"/>
      <c r="BE2233" s="40"/>
      <c r="BF2233" s="40"/>
      <c r="BG2233" s="40"/>
      <c r="BH2233" s="40"/>
      <c r="BI2233" s="40"/>
      <c r="BJ2233" s="40"/>
      <c r="BK2233" s="40"/>
      <c r="BL2233" s="62">
        <v>0</v>
      </c>
      <c r="BM2233" s="275">
        <v>3</v>
      </c>
      <c r="BN2233" s="62">
        <v>0.05</v>
      </c>
      <c r="BO2233" s="33" t="s">
        <v>753</v>
      </c>
    </row>
    <row r="2234" spans="1:68">
      <c r="A2234" s="33" t="str">
        <f>Database_Productkaarten[[#This Row],[Product]]&amp;", "&amp;Database_Productkaarten[[#This Row],[Levensfase]]</f>
        <v>Steenwool, 1 cm, D2</v>
      </c>
      <c r="B2234" s="33" t="s">
        <v>764</v>
      </c>
      <c r="C2234" s="33" t="s">
        <v>48</v>
      </c>
      <c r="D2234" s="33" t="s">
        <v>751</v>
      </c>
      <c r="E2234" s="33" t="s">
        <v>385</v>
      </c>
      <c r="F2234" s="33" t="s">
        <v>88</v>
      </c>
      <c r="G2234" s="33">
        <v>1</v>
      </c>
      <c r="H2234" s="33">
        <v>1</v>
      </c>
      <c r="I2234" s="33">
        <v>0.01</v>
      </c>
      <c r="L2234" s="33">
        <v>0.08</v>
      </c>
      <c r="M2234" s="271">
        <v>8.0000000000000004E-4</v>
      </c>
      <c r="N2234" s="41"/>
      <c r="O2234" s="33">
        <v>35</v>
      </c>
      <c r="P2234" s="40"/>
      <c r="Q2234" s="40"/>
      <c r="R2234" s="40"/>
      <c r="S2234" s="40"/>
      <c r="T2234" s="40"/>
      <c r="U2234" s="40"/>
      <c r="V2234" s="40"/>
      <c r="W2234" s="40"/>
      <c r="X2234" s="40"/>
      <c r="Y2234" s="40"/>
      <c r="Z2234" s="40"/>
      <c r="AA2234" s="40"/>
      <c r="AB2234" s="40"/>
      <c r="AC2234" s="40"/>
      <c r="AD2234" s="40"/>
      <c r="AE2234" s="40"/>
      <c r="AF2234" s="40"/>
      <c r="AG2234" s="40"/>
      <c r="AH2234" s="40"/>
      <c r="AI2234" s="40"/>
      <c r="AJ2234" s="40"/>
      <c r="AK2234" s="40"/>
      <c r="AL2234" s="40"/>
      <c r="AM2234" s="40"/>
      <c r="AN2234" s="40"/>
      <c r="AO2234" s="40"/>
      <c r="AP2234" s="40"/>
      <c r="AQ2234" s="40"/>
      <c r="AR2234" s="40"/>
      <c r="AS2234" s="40"/>
      <c r="AT2234" s="40"/>
      <c r="AU2234" s="40"/>
      <c r="AV2234" s="316"/>
      <c r="AW2234" s="317"/>
      <c r="AX2234" s="317"/>
      <c r="AY2234" s="316"/>
      <c r="AZ2234" s="40"/>
      <c r="BA2234" s="40"/>
      <c r="BB2234" s="40"/>
      <c r="BC2234" s="40"/>
      <c r="BD2234" s="40"/>
      <c r="BE2234" s="40"/>
      <c r="BF2234" s="40"/>
      <c r="BG2234" s="40"/>
      <c r="BH2234" s="40"/>
      <c r="BI2234" s="40"/>
      <c r="BJ2234" s="40"/>
      <c r="BK2234" s="40"/>
      <c r="BL2234" s="62">
        <v>0</v>
      </c>
      <c r="BM2234" s="275">
        <v>3</v>
      </c>
      <c r="BN2234" s="62">
        <v>0.05</v>
      </c>
      <c r="BO2234" s="33" t="s">
        <v>753</v>
      </c>
    </row>
    <row r="2235" spans="1:68">
      <c r="A2235" s="33" t="str">
        <f>Database_Productkaarten[[#This Row],[Product]]&amp;", "&amp;Database_Productkaarten[[#This Row],[Levensfase]]</f>
        <v>Steenwool, 50 cm, Totaal</v>
      </c>
      <c r="B2235" s="33" t="s">
        <v>768</v>
      </c>
      <c r="C2235" s="33" t="s">
        <v>48</v>
      </c>
      <c r="D2235" s="33" t="s">
        <v>751</v>
      </c>
      <c r="E2235" s="33" t="s">
        <v>385</v>
      </c>
      <c r="F2235" s="33" t="s">
        <v>90</v>
      </c>
      <c r="G2235" s="33">
        <v>1</v>
      </c>
      <c r="H2235" s="33">
        <v>1</v>
      </c>
      <c r="I2235" s="33">
        <v>0.5</v>
      </c>
      <c r="L2235" s="33">
        <v>0.08</v>
      </c>
      <c r="M2235" s="41">
        <f>M2220*50</f>
        <v>0.04</v>
      </c>
      <c r="N2235" s="41">
        <f>SUM(N2239:N2247)</f>
        <v>10.4105676198</v>
      </c>
      <c r="O2235" s="33">
        <v>35</v>
      </c>
      <c r="P2235" s="40">
        <f t="shared" ref="P2235:BK2235" si="849">SUM(P2239:P2247)</f>
        <v>1.5384727434000003E-3</v>
      </c>
      <c r="Q2235" s="40">
        <f t="shared" si="849"/>
        <v>0.35575017122500008</v>
      </c>
      <c r="R2235" s="40">
        <f t="shared" si="849"/>
        <v>60.477498764499998</v>
      </c>
      <c r="S2235" s="40">
        <f t="shared" si="849"/>
        <v>3.6515879192499999E-6</v>
      </c>
      <c r="T2235" s="40">
        <f t="shared" si="849"/>
        <v>7.7369610290499991E-2</v>
      </c>
      <c r="U2235" s="40">
        <f t="shared" si="849"/>
        <v>0.45636153625999998</v>
      </c>
      <c r="V2235" s="40">
        <f t="shared" si="849"/>
        <v>4.69640992115E-2</v>
      </c>
      <c r="W2235" s="40">
        <f t="shared" si="849"/>
        <v>52.043732179500005</v>
      </c>
      <c r="X2235" s="40">
        <f t="shared" si="849"/>
        <v>0.69020460763999991</v>
      </c>
      <c r="Y2235" s="40">
        <f t="shared" si="849"/>
        <v>2154.153471915</v>
      </c>
      <c r="Z2235" s="40">
        <f t="shared" si="849"/>
        <v>0.10828850797099999</v>
      </c>
      <c r="AA2235" s="40">
        <f t="shared" si="849"/>
        <v>62.854549021499999</v>
      </c>
      <c r="AB2235" s="40">
        <f t="shared" si="849"/>
        <v>61.745177966999996</v>
      </c>
      <c r="AC2235" s="40">
        <f t="shared" si="849"/>
        <v>1.0731026966500001</v>
      </c>
      <c r="AD2235" s="40">
        <f t="shared" si="849"/>
        <v>3.6270508106E-2</v>
      </c>
      <c r="AE2235" s="40">
        <f t="shared" si="849"/>
        <v>3.9063997680499999E-6</v>
      </c>
      <c r="AF2235" s="40">
        <f t="shared" si="849"/>
        <v>0.57171855886500011</v>
      </c>
      <c r="AG2235" s="40">
        <f t="shared" si="849"/>
        <v>2.2621286754000002E-3</v>
      </c>
      <c r="AH2235" s="40">
        <f t="shared" si="849"/>
        <v>8.2517276614999996E-2</v>
      </c>
      <c r="AI2235" s="40">
        <f t="shared" si="849"/>
        <v>1.21778604815</v>
      </c>
      <c r="AJ2235" s="40">
        <f t="shared" si="849"/>
        <v>0.35457383269999998</v>
      </c>
      <c r="AK2235" s="40">
        <f t="shared" si="849"/>
        <v>1.5384491306150003E-3</v>
      </c>
      <c r="AL2235" s="40">
        <f t="shared" si="849"/>
        <v>620.39964458500003</v>
      </c>
      <c r="AM2235" s="40">
        <f t="shared" si="849"/>
        <v>15.171219612949999</v>
      </c>
      <c r="AN2235" s="40">
        <f t="shared" si="849"/>
        <v>4.9551242030999999E-6</v>
      </c>
      <c r="AO2235" s="40">
        <f t="shared" si="849"/>
        <v>1.7182632864499998</v>
      </c>
      <c r="AP2235" s="40">
        <f t="shared" si="849"/>
        <v>1416.8796618000001</v>
      </c>
      <c r="AQ2235" s="40">
        <f t="shared" si="849"/>
        <v>2.1520730486099998E-7</v>
      </c>
      <c r="AR2235" s="40">
        <f t="shared" si="849"/>
        <v>8.9853348214500015E-7</v>
      </c>
      <c r="AS2235" s="40">
        <f t="shared" si="849"/>
        <v>416.05784753999995</v>
      </c>
      <c r="AT2235" s="40">
        <f t="shared" si="849"/>
        <v>0</v>
      </c>
      <c r="AU2235" s="40">
        <f t="shared" si="849"/>
        <v>0</v>
      </c>
      <c r="AV2235" s="317">
        <f t="shared" si="849"/>
        <v>38.92596009799999</v>
      </c>
      <c r="AW2235" s="317">
        <f t="shared" si="849"/>
        <v>0</v>
      </c>
      <c r="AX2235" s="317">
        <f t="shared" si="849"/>
        <v>0</v>
      </c>
      <c r="AY2235" s="317">
        <f t="shared" si="849"/>
        <v>653.58088514500014</v>
      </c>
      <c r="AZ2235" s="40">
        <f t="shared" si="849"/>
        <v>0</v>
      </c>
      <c r="BA2235" s="40">
        <f t="shared" si="849"/>
        <v>0</v>
      </c>
      <c r="BB2235" s="40">
        <f t="shared" si="849"/>
        <v>0</v>
      </c>
      <c r="BC2235" s="40">
        <f t="shared" si="849"/>
        <v>0.427334134295</v>
      </c>
      <c r="BD2235" s="40">
        <f t="shared" si="849"/>
        <v>8.0059072959999978E-4</v>
      </c>
      <c r="BE2235" s="40">
        <f t="shared" si="849"/>
        <v>45.813133536399995</v>
      </c>
      <c r="BF2235" s="40">
        <f t="shared" si="849"/>
        <v>2.00576070325E-3</v>
      </c>
      <c r="BG2235" s="40">
        <f t="shared" si="849"/>
        <v>0</v>
      </c>
      <c r="BH2235" s="40">
        <f t="shared" si="849"/>
        <v>0</v>
      </c>
      <c r="BI2235" s="40">
        <f t="shared" si="849"/>
        <v>0</v>
      </c>
      <c r="BJ2235" s="40">
        <f t="shared" si="849"/>
        <v>0</v>
      </c>
      <c r="BK2235" s="40">
        <f t="shared" si="849"/>
        <v>0</v>
      </c>
      <c r="BL2235" s="62">
        <v>0</v>
      </c>
      <c r="BM2235" s="275">
        <v>3</v>
      </c>
      <c r="BN2235" s="62">
        <v>0.05</v>
      </c>
      <c r="BO2235" s="33" t="s">
        <v>753</v>
      </c>
    </row>
    <row r="2236" spans="1:68">
      <c r="A2236" s="33" t="str">
        <f>Database_Productkaarten[[#This Row],[Product]]&amp;", "&amp;Database_Productkaarten[[#This Row],[Levensfase]]</f>
        <v>Steenwool, 50 cm, A1</v>
      </c>
      <c r="B2236" s="33" t="s">
        <v>768</v>
      </c>
      <c r="C2236" s="33" t="s">
        <v>48</v>
      </c>
      <c r="D2236" s="33" t="s">
        <v>751</v>
      </c>
      <c r="E2236" s="33" t="s">
        <v>385</v>
      </c>
      <c r="F2236" s="33" t="s">
        <v>74</v>
      </c>
      <c r="G2236" s="33">
        <v>1</v>
      </c>
      <c r="H2236" s="33">
        <v>1</v>
      </c>
      <c r="I2236" s="33">
        <v>0.5</v>
      </c>
      <c r="L2236" s="33">
        <v>0.08</v>
      </c>
      <c r="M2236" s="41">
        <f t="shared" ref="M2236:M2249" si="850">M2221*50</f>
        <v>0.04</v>
      </c>
      <c r="N2236" s="41"/>
      <c r="O2236" s="33">
        <v>35</v>
      </c>
      <c r="P2236" s="40"/>
      <c r="Q2236" s="40"/>
      <c r="R2236" s="40"/>
      <c r="S2236" s="40"/>
      <c r="T2236" s="40"/>
      <c r="U2236" s="40"/>
      <c r="V2236" s="40"/>
      <c r="W2236" s="40"/>
      <c r="X2236" s="40"/>
      <c r="Y2236" s="40"/>
      <c r="Z2236" s="40"/>
      <c r="AA2236" s="40"/>
      <c r="AB2236" s="40"/>
      <c r="AC2236" s="40"/>
      <c r="AD2236" s="40"/>
      <c r="AE2236" s="40"/>
      <c r="AF2236" s="40"/>
      <c r="AG2236" s="40"/>
      <c r="AH2236" s="40"/>
      <c r="AI2236" s="40"/>
      <c r="AJ2236" s="40"/>
      <c r="AK2236" s="40"/>
      <c r="AL2236" s="40"/>
      <c r="AM2236" s="40"/>
      <c r="AN2236" s="40"/>
      <c r="AO2236" s="40"/>
      <c r="AP2236" s="40"/>
      <c r="AQ2236" s="40"/>
      <c r="AR2236" s="40"/>
      <c r="AS2236" s="40"/>
      <c r="AT2236" s="40"/>
      <c r="AU2236" s="40"/>
      <c r="AV2236" s="317"/>
      <c r="AW2236" s="317"/>
      <c r="AX2236" s="317"/>
      <c r="AY2236" s="317"/>
      <c r="AZ2236" s="40"/>
      <c r="BA2236" s="40"/>
      <c r="BB2236" s="40"/>
      <c r="BC2236" s="40"/>
      <c r="BD2236" s="40"/>
      <c r="BE2236" s="40"/>
      <c r="BF2236" s="40"/>
      <c r="BG2236" s="40"/>
      <c r="BH2236" s="40"/>
      <c r="BI2236" s="40"/>
      <c r="BJ2236" s="40"/>
      <c r="BK2236" s="40"/>
      <c r="BL2236" s="62">
        <v>0</v>
      </c>
      <c r="BM2236" s="275">
        <v>3</v>
      </c>
      <c r="BN2236" s="62">
        <v>0.05</v>
      </c>
      <c r="BO2236" s="33" t="s">
        <v>753</v>
      </c>
    </row>
    <row r="2237" spans="1:68">
      <c r="A2237" s="33" t="str">
        <f>Database_Productkaarten[[#This Row],[Product]]&amp;", "&amp;Database_Productkaarten[[#This Row],[Levensfase]]</f>
        <v>Steenwool, 50 cm, A2</v>
      </c>
      <c r="B2237" s="33" t="s">
        <v>768</v>
      </c>
      <c r="C2237" s="33" t="s">
        <v>48</v>
      </c>
      <c r="D2237" s="33" t="s">
        <v>751</v>
      </c>
      <c r="E2237" s="33" t="s">
        <v>385</v>
      </c>
      <c r="F2237" s="33" t="s">
        <v>75</v>
      </c>
      <c r="G2237" s="33">
        <v>1</v>
      </c>
      <c r="H2237" s="33">
        <v>1</v>
      </c>
      <c r="I2237" s="33">
        <v>0.5</v>
      </c>
      <c r="L2237" s="33">
        <v>0.08</v>
      </c>
      <c r="M2237" s="41">
        <f t="shared" si="850"/>
        <v>0.04</v>
      </c>
      <c r="N2237" s="41"/>
      <c r="O2237" s="33">
        <v>35</v>
      </c>
      <c r="P2237" s="40"/>
      <c r="Q2237" s="40"/>
      <c r="R2237" s="40"/>
      <c r="S2237" s="40"/>
      <c r="T2237" s="40"/>
      <c r="U2237" s="40"/>
      <c r="V2237" s="40"/>
      <c r="W2237" s="40"/>
      <c r="X2237" s="40"/>
      <c r="Y2237" s="40"/>
      <c r="Z2237" s="40"/>
      <c r="AA2237" s="40"/>
      <c r="AB2237" s="40"/>
      <c r="AC2237" s="40"/>
      <c r="AD2237" s="40"/>
      <c r="AE2237" s="40"/>
      <c r="AF2237" s="40"/>
      <c r="AG2237" s="40"/>
      <c r="AH2237" s="40"/>
      <c r="AI2237" s="40"/>
      <c r="AJ2237" s="40"/>
      <c r="AK2237" s="40"/>
      <c r="AL2237" s="40"/>
      <c r="AM2237" s="40"/>
      <c r="AN2237" s="40"/>
      <c r="AO2237" s="40"/>
      <c r="AP2237" s="40"/>
      <c r="AQ2237" s="40"/>
      <c r="AR2237" s="40"/>
      <c r="AS2237" s="40"/>
      <c r="AT2237" s="40"/>
      <c r="AU2237" s="40"/>
      <c r="AV2237" s="317"/>
      <c r="AW2237" s="317"/>
      <c r="AX2237" s="317"/>
      <c r="AY2237" s="317"/>
      <c r="AZ2237" s="40"/>
      <c r="BA2237" s="40"/>
      <c r="BB2237" s="40"/>
      <c r="BC2237" s="40"/>
      <c r="BD2237" s="40"/>
      <c r="BE2237" s="40"/>
      <c r="BF2237" s="40"/>
      <c r="BG2237" s="40"/>
      <c r="BH2237" s="40"/>
      <c r="BI2237" s="40"/>
      <c r="BJ2237" s="40"/>
      <c r="BK2237" s="40"/>
      <c r="BL2237" s="62">
        <v>0</v>
      </c>
      <c r="BM2237" s="275">
        <v>3</v>
      </c>
      <c r="BN2237" s="62">
        <v>0.05</v>
      </c>
      <c r="BO2237" s="33" t="s">
        <v>753</v>
      </c>
    </row>
    <row r="2238" spans="1:68">
      <c r="A2238" s="33" t="str">
        <f>Database_Productkaarten[[#This Row],[Product]]&amp;", "&amp;Database_Productkaarten[[#This Row],[Levensfase]]</f>
        <v>Steenwool, 50 cm, A3</v>
      </c>
      <c r="B2238" s="33" t="s">
        <v>768</v>
      </c>
      <c r="C2238" s="33" t="s">
        <v>48</v>
      </c>
      <c r="D2238" s="33" t="s">
        <v>751</v>
      </c>
      <c r="E2238" s="33" t="s">
        <v>385</v>
      </c>
      <c r="F2238" s="33" t="s">
        <v>76</v>
      </c>
      <c r="G2238" s="33">
        <v>1</v>
      </c>
      <c r="H2238" s="33">
        <v>1</v>
      </c>
      <c r="I2238" s="33">
        <v>0.5</v>
      </c>
      <c r="L2238" s="33">
        <v>0.08</v>
      </c>
      <c r="M2238" s="41">
        <f t="shared" si="850"/>
        <v>0.04</v>
      </c>
      <c r="N2238" s="41"/>
      <c r="O2238" s="33">
        <v>35</v>
      </c>
      <c r="P2238" s="40"/>
      <c r="Q2238" s="40"/>
      <c r="R2238" s="40"/>
      <c r="S2238" s="40"/>
      <c r="T2238" s="40"/>
      <c r="U2238" s="40"/>
      <c r="V2238" s="40"/>
      <c r="W2238" s="40"/>
      <c r="X2238" s="40"/>
      <c r="Y2238" s="40"/>
      <c r="Z2238" s="40"/>
      <c r="AA2238" s="40"/>
      <c r="AB2238" s="40"/>
      <c r="AC2238" s="40"/>
      <c r="AD2238" s="40"/>
      <c r="AE2238" s="40"/>
      <c r="AF2238" s="40"/>
      <c r="AG2238" s="40"/>
      <c r="AH2238" s="40"/>
      <c r="AI2238" s="40"/>
      <c r="AJ2238" s="40"/>
      <c r="AK2238" s="40"/>
      <c r="AL2238" s="40"/>
      <c r="AM2238" s="40"/>
      <c r="AN2238" s="40"/>
      <c r="AO2238" s="40"/>
      <c r="AP2238" s="40"/>
      <c r="AQ2238" s="40"/>
      <c r="AR2238" s="40"/>
      <c r="AS2238" s="40"/>
      <c r="AT2238" s="40"/>
      <c r="AU2238" s="40"/>
      <c r="AV2238" s="40"/>
      <c r="AW2238" s="40"/>
      <c r="AX2238" s="40"/>
      <c r="AY2238" s="40"/>
      <c r="AZ2238" s="40"/>
      <c r="BA2238" s="40"/>
      <c r="BB2238" s="40"/>
      <c r="BC2238" s="40"/>
      <c r="BD2238" s="40"/>
      <c r="BE2238" s="40"/>
      <c r="BF2238" s="40"/>
      <c r="BG2238" s="40"/>
      <c r="BH2238" s="40"/>
      <c r="BI2238" s="40"/>
      <c r="BJ2238" s="40"/>
      <c r="BK2238" s="40"/>
      <c r="BL2238" s="62">
        <v>0</v>
      </c>
      <c r="BM2238" s="275">
        <v>3</v>
      </c>
      <c r="BN2238" s="62">
        <v>0.05</v>
      </c>
      <c r="BO2238" s="33" t="s">
        <v>753</v>
      </c>
    </row>
    <row r="2239" spans="1:68">
      <c r="A2239" s="33" t="str">
        <f>Database_Productkaarten[[#This Row],[Product]]&amp;", "&amp;Database_Productkaarten[[#This Row],[Levensfase]]</f>
        <v>Steenwool, 50 cm, A1-A3</v>
      </c>
      <c r="B2239" s="33" t="s">
        <v>768</v>
      </c>
      <c r="C2239" s="33" t="s">
        <v>48</v>
      </c>
      <c r="D2239" s="33" t="s">
        <v>751</v>
      </c>
      <c r="E2239" s="33" t="s">
        <v>385</v>
      </c>
      <c r="F2239" s="451" t="s">
        <v>77</v>
      </c>
      <c r="G2239" s="33">
        <v>1</v>
      </c>
      <c r="H2239" s="33">
        <v>1</v>
      </c>
      <c r="I2239" s="33">
        <v>0.5</v>
      </c>
      <c r="L2239" s="33">
        <v>0.08</v>
      </c>
      <c r="M2239" s="41">
        <f t="shared" si="850"/>
        <v>0.04</v>
      </c>
      <c r="N2239" s="41">
        <f>N2224*50</f>
        <v>7.9837975000000005</v>
      </c>
      <c r="O2239" s="33">
        <v>35</v>
      </c>
      <c r="P2239" s="40">
        <f t="shared" ref="P2239:BK2239" si="851">P2224*50</f>
        <v>1.3162688500000001E-3</v>
      </c>
      <c r="Q2239" s="40">
        <f t="shared" si="851"/>
        <v>0.35291178500000003</v>
      </c>
      <c r="R2239" s="40">
        <f t="shared" si="851"/>
        <v>50.721620000000001</v>
      </c>
      <c r="S2239" s="40">
        <f t="shared" si="851"/>
        <v>3.0101402999999999E-6</v>
      </c>
      <c r="T2239" s="40">
        <f t="shared" si="851"/>
        <v>6.6464065000000003E-2</v>
      </c>
      <c r="U2239" s="40">
        <f t="shared" si="851"/>
        <v>0.38580789500000001</v>
      </c>
      <c r="V2239" s="40">
        <f t="shared" si="851"/>
        <v>3.2353149499999997E-2</v>
      </c>
      <c r="W2239" s="40">
        <f t="shared" si="851"/>
        <v>36.416732000000003</v>
      </c>
      <c r="X2239" s="40">
        <f t="shared" si="851"/>
        <v>0.43487098499999999</v>
      </c>
      <c r="Y2239" s="40">
        <f t="shared" si="851"/>
        <v>1294.8624499999999</v>
      </c>
      <c r="Z2239" s="40">
        <f t="shared" si="851"/>
        <v>5.9556965000000003E-2</v>
      </c>
      <c r="AA2239" s="40">
        <f t="shared" si="851"/>
        <v>51.524179999999994</v>
      </c>
      <c r="AB2239" s="40">
        <f t="shared" si="851"/>
        <v>51.864319999999999</v>
      </c>
      <c r="AC2239" s="40">
        <f t="shared" si="851"/>
        <v>-0.36744989500000003</v>
      </c>
      <c r="AD2239" s="40">
        <f t="shared" si="851"/>
        <v>2.73119395E-2</v>
      </c>
      <c r="AE2239" s="40">
        <f t="shared" si="851"/>
        <v>2.98732465E-6</v>
      </c>
      <c r="AF2239" s="40">
        <f t="shared" si="851"/>
        <v>0.47660797500000002</v>
      </c>
      <c r="AG2239" s="40">
        <f t="shared" si="851"/>
        <v>2.0009635000000003E-3</v>
      </c>
      <c r="AH2239" s="40">
        <f t="shared" si="851"/>
        <v>4.69322935E-2</v>
      </c>
      <c r="AI2239" s="40">
        <f t="shared" si="851"/>
        <v>0.82781664999999993</v>
      </c>
      <c r="AJ2239" s="40">
        <f t="shared" si="851"/>
        <v>0.242575965</v>
      </c>
      <c r="AK2239" s="40">
        <f t="shared" si="851"/>
        <v>1.31625655E-3</v>
      </c>
      <c r="AL2239" s="40">
        <f t="shared" si="851"/>
        <v>588.93825000000004</v>
      </c>
      <c r="AM2239" s="40">
        <f t="shared" si="851"/>
        <v>12.735456000000001</v>
      </c>
      <c r="AN2239" s="40">
        <f t="shared" si="851"/>
        <v>2.6933741499999999E-6</v>
      </c>
      <c r="AO2239" s="40">
        <f t="shared" si="851"/>
        <v>0.94385834999999996</v>
      </c>
      <c r="AP2239" s="40">
        <f t="shared" si="851"/>
        <v>1208.71405</v>
      </c>
      <c r="AQ2239" s="40">
        <f t="shared" si="851"/>
        <v>1.9797403000000003E-7</v>
      </c>
      <c r="AR2239" s="40">
        <f t="shared" si="851"/>
        <v>6.2339805000000006E-7</v>
      </c>
      <c r="AS2239" s="40">
        <f t="shared" si="851"/>
        <v>273.93435499999998</v>
      </c>
      <c r="AT2239" s="40">
        <f t="shared" si="851"/>
        <v>0</v>
      </c>
      <c r="AU2239" s="40">
        <f t="shared" si="851"/>
        <v>0</v>
      </c>
      <c r="AV2239" s="40">
        <f t="shared" si="851"/>
        <v>31.556638999999997</v>
      </c>
      <c r="AW2239" s="40">
        <f t="shared" si="851"/>
        <v>0</v>
      </c>
      <c r="AX2239" s="40">
        <f t="shared" si="851"/>
        <v>0</v>
      </c>
      <c r="AY2239" s="40">
        <f t="shared" si="851"/>
        <v>629.55889999999999</v>
      </c>
      <c r="AZ2239" s="40">
        <f t="shared" si="851"/>
        <v>0</v>
      </c>
      <c r="BA2239" s="40">
        <f t="shared" si="851"/>
        <v>0</v>
      </c>
      <c r="BB2239" s="40">
        <f t="shared" si="851"/>
        <v>0</v>
      </c>
      <c r="BC2239" s="40">
        <f t="shared" si="851"/>
        <v>0.347323875</v>
      </c>
      <c r="BD2239" s="40">
        <f t="shared" si="851"/>
        <v>5.8487939999999998E-4</v>
      </c>
      <c r="BE2239" s="40">
        <f t="shared" si="851"/>
        <v>3.4091730999999998</v>
      </c>
      <c r="BF2239" s="40">
        <f t="shared" si="851"/>
        <v>9.000601500000001E-4</v>
      </c>
      <c r="BG2239" s="40">
        <f t="shared" si="851"/>
        <v>0</v>
      </c>
      <c r="BH2239" s="40">
        <f t="shared" si="851"/>
        <v>0</v>
      </c>
      <c r="BI2239" s="40">
        <f t="shared" si="851"/>
        <v>0</v>
      </c>
      <c r="BJ2239" s="40">
        <f t="shared" si="851"/>
        <v>0</v>
      </c>
      <c r="BK2239" s="40">
        <f t="shared" si="851"/>
        <v>0</v>
      </c>
      <c r="BL2239" s="62">
        <v>0</v>
      </c>
      <c r="BM2239" s="275">
        <v>3</v>
      </c>
      <c r="BN2239" s="62">
        <v>0.05</v>
      </c>
      <c r="BO2239" s="33" t="s">
        <v>753</v>
      </c>
    </row>
    <row r="2240" spans="1:68">
      <c r="A2240" s="33" t="str">
        <f>Database_Productkaarten[[#This Row],[Product]]&amp;", "&amp;Database_Productkaarten[[#This Row],[Levensfase]]</f>
        <v>Steenwool, 50 cm, A4</v>
      </c>
      <c r="B2240" s="33" t="s">
        <v>768</v>
      </c>
      <c r="C2240" s="33" t="s">
        <v>48</v>
      </c>
      <c r="D2240" s="33" t="s">
        <v>751</v>
      </c>
      <c r="E2240" s="33" t="s">
        <v>385</v>
      </c>
      <c r="F2240" s="33" t="s">
        <v>78</v>
      </c>
      <c r="G2240" s="33">
        <v>1</v>
      </c>
      <c r="H2240" s="33">
        <v>1</v>
      </c>
      <c r="I2240" s="33">
        <v>0.5</v>
      </c>
      <c r="L2240" s="33">
        <v>0.08</v>
      </c>
      <c r="M2240" s="41">
        <f t="shared" si="850"/>
        <v>0.04</v>
      </c>
      <c r="N2240" s="41">
        <f>N2225*50</f>
        <v>9.6775490000000006E-2</v>
      </c>
      <c r="O2240" s="33">
        <v>35</v>
      </c>
      <c r="P2240" s="40">
        <f t="shared" ref="P2240:BK2240" si="852">P2225*50</f>
        <v>2.0516003999999999E-5</v>
      </c>
      <c r="Q2240" s="40">
        <f t="shared" si="852"/>
        <v>5.9044294999999998E-3</v>
      </c>
      <c r="R2240" s="40">
        <f t="shared" si="852"/>
        <v>0.80294235000000003</v>
      </c>
      <c r="S2240" s="40">
        <f t="shared" si="852"/>
        <v>1.4245292000000001E-7</v>
      </c>
      <c r="T2240" s="40">
        <f t="shared" si="852"/>
        <v>4.8448654999999998E-4</v>
      </c>
      <c r="U2240" s="40">
        <f t="shared" si="852"/>
        <v>3.5304549499999998E-3</v>
      </c>
      <c r="V2240" s="40">
        <f t="shared" si="852"/>
        <v>6.9359084999999997E-4</v>
      </c>
      <c r="W2240" s="40">
        <f t="shared" si="852"/>
        <v>0.33805799000000003</v>
      </c>
      <c r="X2240" s="40">
        <f t="shared" si="852"/>
        <v>9.8692720000000001E-3</v>
      </c>
      <c r="Y2240" s="40">
        <f t="shared" si="852"/>
        <v>35.500120000000003</v>
      </c>
      <c r="Z2240" s="40">
        <f t="shared" si="852"/>
        <v>1.1948287999999998E-3</v>
      </c>
      <c r="AA2240" s="40">
        <f t="shared" si="852"/>
        <v>0.81039410000000001</v>
      </c>
      <c r="AB2240" s="40">
        <f t="shared" si="852"/>
        <v>0.8097236000000001</v>
      </c>
      <c r="AC2240" s="40">
        <f t="shared" si="852"/>
        <v>3.7380962500000001E-4</v>
      </c>
      <c r="AD2240" s="40">
        <f t="shared" si="852"/>
        <v>2.9670991000000003E-4</v>
      </c>
      <c r="AE2240" s="40">
        <f t="shared" si="852"/>
        <v>1.7872534500000001E-7</v>
      </c>
      <c r="AF2240" s="40">
        <f t="shared" si="852"/>
        <v>4.6961837999999999E-3</v>
      </c>
      <c r="AG2240" s="40">
        <f t="shared" si="852"/>
        <v>8.1681925000000003E-6</v>
      </c>
      <c r="AH2240" s="40">
        <f t="shared" si="852"/>
        <v>1.65482245E-3</v>
      </c>
      <c r="AI2240" s="40">
        <f t="shared" si="852"/>
        <v>1.8244610500000001E-2</v>
      </c>
      <c r="AJ2240" s="40">
        <f t="shared" si="852"/>
        <v>5.2089680000000005E-3</v>
      </c>
      <c r="AK2240" s="40">
        <f t="shared" si="852"/>
        <v>2.0515923499999999E-5</v>
      </c>
      <c r="AL2240" s="40">
        <f t="shared" si="852"/>
        <v>12.212240000000001</v>
      </c>
      <c r="AM2240" s="40">
        <f t="shared" si="852"/>
        <v>4.3684439499999998E-2</v>
      </c>
      <c r="AN2240" s="40">
        <f t="shared" si="852"/>
        <v>7.2715680000000005E-8</v>
      </c>
      <c r="AO2240" s="40">
        <f t="shared" si="852"/>
        <v>5.1167499999999998E-2</v>
      </c>
      <c r="AP2240" s="40">
        <f t="shared" si="852"/>
        <v>10.88991</v>
      </c>
      <c r="AQ2240" s="40">
        <f t="shared" si="852"/>
        <v>3.5333242500000001E-10</v>
      </c>
      <c r="AR2240" s="40">
        <f t="shared" si="852"/>
        <v>1.1909971000000001E-8</v>
      </c>
      <c r="AS2240" s="40">
        <f t="shared" si="852"/>
        <v>10.590969999999999</v>
      </c>
      <c r="AT2240" s="40">
        <f t="shared" si="852"/>
        <v>0</v>
      </c>
      <c r="AU2240" s="40">
        <f t="shared" si="852"/>
        <v>0</v>
      </c>
      <c r="AV2240" s="40">
        <f t="shared" si="852"/>
        <v>0.15288854499999999</v>
      </c>
      <c r="AW2240" s="40">
        <f t="shared" si="852"/>
        <v>0</v>
      </c>
      <c r="AX2240" s="40">
        <f t="shared" si="852"/>
        <v>0</v>
      </c>
      <c r="AY2240" s="40">
        <f t="shared" si="852"/>
        <v>12.965955000000001</v>
      </c>
      <c r="AZ2240" s="40">
        <f t="shared" si="852"/>
        <v>0</v>
      </c>
      <c r="BA2240" s="40">
        <f t="shared" si="852"/>
        <v>0</v>
      </c>
      <c r="BB2240" s="40">
        <f t="shared" si="852"/>
        <v>0</v>
      </c>
      <c r="BC2240" s="40">
        <f t="shared" si="852"/>
        <v>1.4874095999999999E-3</v>
      </c>
      <c r="BD2240" s="40">
        <f t="shared" si="852"/>
        <v>3.0946772999999999E-5</v>
      </c>
      <c r="BE2240" s="40">
        <f t="shared" si="852"/>
        <v>0.77465969999999995</v>
      </c>
      <c r="BF2240" s="40">
        <f t="shared" si="852"/>
        <v>8.0192809999999996E-5</v>
      </c>
      <c r="BG2240" s="40">
        <f t="shared" si="852"/>
        <v>0</v>
      </c>
      <c r="BH2240" s="40">
        <f t="shared" si="852"/>
        <v>0</v>
      </c>
      <c r="BI2240" s="40">
        <f t="shared" si="852"/>
        <v>0</v>
      </c>
      <c r="BJ2240" s="40">
        <f t="shared" si="852"/>
        <v>0</v>
      </c>
      <c r="BK2240" s="40">
        <f t="shared" si="852"/>
        <v>0</v>
      </c>
      <c r="BL2240" s="62">
        <v>0</v>
      </c>
      <c r="BM2240" s="275">
        <v>3</v>
      </c>
      <c r="BN2240" s="62">
        <v>0.05</v>
      </c>
      <c r="BO2240" s="33" t="s">
        <v>753</v>
      </c>
      <c r="BP2240" s="33" t="s">
        <v>755</v>
      </c>
    </row>
    <row r="2241" spans="1:68">
      <c r="A2241" s="33" t="str">
        <f>Database_Productkaarten[[#This Row],[Product]]&amp;", "&amp;Database_Productkaarten[[#This Row],[Levensfase]]</f>
        <v>Steenwool, 50 cm, A5</v>
      </c>
      <c r="B2241" s="33" t="s">
        <v>768</v>
      </c>
      <c r="C2241" s="33" t="s">
        <v>48</v>
      </c>
      <c r="D2241" s="33" t="s">
        <v>751</v>
      </c>
      <c r="E2241" s="33" t="s">
        <v>385</v>
      </c>
      <c r="F2241" s="33" t="s">
        <v>79</v>
      </c>
      <c r="G2241" s="33">
        <v>1</v>
      </c>
      <c r="H2241" s="33">
        <v>1</v>
      </c>
      <c r="I2241" s="33">
        <v>0.5</v>
      </c>
      <c r="L2241" s="33">
        <v>0.08</v>
      </c>
      <c r="M2241" s="41">
        <f t="shared" si="850"/>
        <v>0.04</v>
      </c>
      <c r="N2241" s="41">
        <f>N2226</f>
        <v>0.46538126000000002</v>
      </c>
      <c r="O2241" s="33">
        <v>35</v>
      </c>
      <c r="P2241" s="40">
        <f t="shared" ref="P2241:BK2241" si="853">P2226</f>
        <v>5.3834866999999998E-6</v>
      </c>
      <c r="Q2241" s="40">
        <f t="shared" si="853"/>
        <v>2.2914085000000001E-2</v>
      </c>
      <c r="R2241" s="40">
        <f t="shared" si="853"/>
        <v>3.4740836000000002</v>
      </c>
      <c r="S2241" s="40">
        <f t="shared" si="853"/>
        <v>6.0150249000000001E-7</v>
      </c>
      <c r="T2241" s="40">
        <f t="shared" si="853"/>
        <v>3.5369791E-3</v>
      </c>
      <c r="U2241" s="40">
        <f t="shared" si="853"/>
        <v>2.6180675E-2</v>
      </c>
      <c r="V2241" s="40">
        <f t="shared" si="853"/>
        <v>5.9513656999999999E-3</v>
      </c>
      <c r="W2241" s="40">
        <f t="shared" si="853"/>
        <v>1.2860469999999999</v>
      </c>
      <c r="X2241" s="40">
        <f t="shared" si="853"/>
        <v>1.7901364999999999E-2</v>
      </c>
      <c r="Y2241" s="40">
        <f t="shared" si="853"/>
        <v>62.246799000000003</v>
      </c>
      <c r="Z2241" s="40">
        <f t="shared" si="853"/>
        <v>2.1170314999999999E-3</v>
      </c>
      <c r="AA2241" s="40">
        <f t="shared" si="853"/>
        <v>3.5114952000000001</v>
      </c>
      <c r="AB2241" s="40">
        <f t="shared" si="853"/>
        <v>3.5102422</v>
      </c>
      <c r="AC2241" s="40">
        <f t="shared" si="853"/>
        <v>9.7629838000000001E-4</v>
      </c>
      <c r="AD2241" s="40">
        <f t="shared" si="853"/>
        <v>2.7665444000000001E-4</v>
      </c>
      <c r="AE2241" s="40">
        <f t="shared" si="853"/>
        <v>7.5807048999999999E-7</v>
      </c>
      <c r="AF2241" s="40">
        <f t="shared" si="853"/>
        <v>3.6714760999999999E-2</v>
      </c>
      <c r="AG2241" s="40">
        <f t="shared" si="853"/>
        <v>1.2779085999999999E-5</v>
      </c>
      <c r="AH2241" s="40">
        <f t="shared" si="853"/>
        <v>1.6207962999999999E-2</v>
      </c>
      <c r="AI2241" s="40">
        <f t="shared" si="853"/>
        <v>0.17783882000000001</v>
      </c>
      <c r="AJ2241" s="40">
        <f t="shared" si="853"/>
        <v>4.8896874999999999E-2</v>
      </c>
      <c r="AK2241" s="40">
        <f t="shared" si="853"/>
        <v>5.3834439000000004E-6</v>
      </c>
      <c r="AL2241" s="40">
        <f t="shared" si="853"/>
        <v>48.312432999999999</v>
      </c>
      <c r="AM2241" s="40">
        <f t="shared" si="853"/>
        <v>6.4709804999999995E-2</v>
      </c>
      <c r="AN2241" s="40">
        <f t="shared" si="853"/>
        <v>9.713708600000001E-7</v>
      </c>
      <c r="AO2241" s="40">
        <f t="shared" si="853"/>
        <v>0.20702945</v>
      </c>
      <c r="AP2241" s="40">
        <f t="shared" si="853"/>
        <v>29.123768999999999</v>
      </c>
      <c r="AQ2241" s="40">
        <f t="shared" si="853"/>
        <v>1.0177550000000001E-9</v>
      </c>
      <c r="AR2241" s="40">
        <f t="shared" si="853"/>
        <v>2.5000640000000001E-8</v>
      </c>
      <c r="AS2241" s="40">
        <f t="shared" si="853"/>
        <v>6.1658127</v>
      </c>
      <c r="AT2241" s="40">
        <f t="shared" si="853"/>
        <v>0</v>
      </c>
      <c r="AU2241" s="40">
        <f t="shared" si="853"/>
        <v>0</v>
      </c>
      <c r="AV2241" s="40">
        <f t="shared" si="853"/>
        <v>0.26132104</v>
      </c>
      <c r="AW2241" s="40">
        <f t="shared" si="853"/>
        <v>0</v>
      </c>
      <c r="AX2241" s="40">
        <f t="shared" si="853"/>
        <v>0</v>
      </c>
      <c r="AY2241" s="40">
        <f t="shared" si="853"/>
        <v>51.306691999999998</v>
      </c>
      <c r="AZ2241" s="40">
        <f t="shared" si="853"/>
        <v>0</v>
      </c>
      <c r="BA2241" s="40">
        <f t="shared" si="853"/>
        <v>0</v>
      </c>
      <c r="BB2241" s="40">
        <f t="shared" si="853"/>
        <v>0</v>
      </c>
      <c r="BC2241" s="40">
        <f t="shared" si="853"/>
        <v>2.4865929E-3</v>
      </c>
      <c r="BD2241" s="40">
        <f t="shared" si="853"/>
        <v>1.3159006000000001E-4</v>
      </c>
      <c r="BE2241" s="40">
        <f t="shared" si="853"/>
        <v>5.7201178999999998E-2</v>
      </c>
      <c r="BF2241" s="40">
        <f t="shared" si="853"/>
        <v>3.3546428999999998E-4</v>
      </c>
      <c r="BG2241" s="40">
        <f t="shared" si="853"/>
        <v>0</v>
      </c>
      <c r="BH2241" s="40">
        <f t="shared" si="853"/>
        <v>0</v>
      </c>
      <c r="BI2241" s="40">
        <f t="shared" si="853"/>
        <v>0</v>
      </c>
      <c r="BJ2241" s="40">
        <f t="shared" si="853"/>
        <v>0</v>
      </c>
      <c r="BK2241" s="40">
        <f t="shared" si="853"/>
        <v>0</v>
      </c>
      <c r="BL2241" s="62">
        <v>0</v>
      </c>
      <c r="BM2241" s="275">
        <v>3</v>
      </c>
      <c r="BN2241" s="62">
        <v>0.05</v>
      </c>
      <c r="BO2241" s="33" t="s">
        <v>753</v>
      </c>
      <c r="BP2241" s="33" t="s">
        <v>765</v>
      </c>
    </row>
    <row r="2242" spans="1:68">
      <c r="A2242" s="33" t="str">
        <f>Database_Productkaarten[[#This Row],[Product]]&amp;", "&amp;Database_Productkaarten[[#This Row],[Levensfase]]</f>
        <v>Steenwool, 50 cm, B1</v>
      </c>
      <c r="B2242" s="33" t="s">
        <v>768</v>
      </c>
      <c r="C2242" s="33" t="s">
        <v>48</v>
      </c>
      <c r="D2242" s="33" t="s">
        <v>751</v>
      </c>
      <c r="E2242" s="33" t="s">
        <v>385</v>
      </c>
      <c r="F2242" s="33" t="s">
        <v>80</v>
      </c>
      <c r="G2242" s="33">
        <v>1</v>
      </c>
      <c r="H2242" s="33">
        <v>1</v>
      </c>
      <c r="I2242" s="33">
        <v>0.5</v>
      </c>
      <c r="L2242" s="33">
        <v>0.08</v>
      </c>
      <c r="M2242" s="41">
        <f t="shared" si="850"/>
        <v>0.04</v>
      </c>
      <c r="N2242" s="41"/>
      <c r="O2242" s="33">
        <v>35</v>
      </c>
      <c r="P2242" s="40"/>
      <c r="Q2242" s="40"/>
      <c r="R2242" s="40"/>
      <c r="S2242" s="40"/>
      <c r="T2242" s="40"/>
      <c r="U2242" s="40"/>
      <c r="V2242" s="40"/>
      <c r="W2242" s="40"/>
      <c r="X2242" s="40"/>
      <c r="Y2242" s="40"/>
      <c r="Z2242" s="40"/>
      <c r="AA2242" s="40"/>
      <c r="AB2242" s="40"/>
      <c r="AC2242" s="40"/>
      <c r="AD2242" s="40"/>
      <c r="AE2242" s="40"/>
      <c r="AF2242" s="40"/>
      <c r="AG2242" s="40"/>
      <c r="AH2242" s="40"/>
      <c r="AI2242" s="40"/>
      <c r="AJ2242" s="40"/>
      <c r="AK2242" s="40"/>
      <c r="AL2242" s="40"/>
      <c r="AM2242" s="40"/>
      <c r="AN2242" s="40"/>
      <c r="AO2242" s="40"/>
      <c r="AP2242" s="40"/>
      <c r="AQ2242" s="40"/>
      <c r="AR2242" s="40"/>
      <c r="AS2242" s="40"/>
      <c r="AT2242" s="40"/>
      <c r="AU2242" s="40"/>
      <c r="AV2242" s="40"/>
      <c r="AW2242" s="40"/>
      <c r="AX2242" s="40"/>
      <c r="AY2242" s="40"/>
      <c r="AZ2242" s="40"/>
      <c r="BA2242" s="40"/>
      <c r="BB2242" s="40"/>
      <c r="BC2242" s="40"/>
      <c r="BD2242" s="40"/>
      <c r="BE2242" s="40"/>
      <c r="BF2242" s="40"/>
      <c r="BG2242" s="40"/>
      <c r="BH2242" s="40"/>
      <c r="BI2242" s="40"/>
      <c r="BJ2242" s="40"/>
      <c r="BK2242" s="40"/>
      <c r="BL2242" s="62">
        <v>0</v>
      </c>
      <c r="BM2242" s="275">
        <v>3</v>
      </c>
      <c r="BN2242" s="62">
        <v>0.05</v>
      </c>
      <c r="BO2242" s="33" t="s">
        <v>753</v>
      </c>
    </row>
    <row r="2243" spans="1:68">
      <c r="A2243" s="33" t="str">
        <f>Database_Productkaarten[[#This Row],[Product]]&amp;", "&amp;Database_Productkaarten[[#This Row],[Levensfase]]</f>
        <v>Steenwool, 50 cm, C1</v>
      </c>
      <c r="B2243" s="33" t="s">
        <v>768</v>
      </c>
      <c r="C2243" s="33" t="s">
        <v>48</v>
      </c>
      <c r="D2243" s="33" t="s">
        <v>751</v>
      </c>
      <c r="E2243" s="33" t="s">
        <v>385</v>
      </c>
      <c r="F2243" s="33" t="s">
        <v>83</v>
      </c>
      <c r="G2243" s="33">
        <v>1</v>
      </c>
      <c r="H2243" s="33">
        <v>1</v>
      </c>
      <c r="I2243" s="33">
        <v>0.5</v>
      </c>
      <c r="L2243" s="33">
        <v>0.08</v>
      </c>
      <c r="M2243" s="41">
        <f t="shared" si="850"/>
        <v>0.04</v>
      </c>
      <c r="N2243" s="41">
        <f>N2228</f>
        <v>0.20837966999999999</v>
      </c>
      <c r="O2243" s="33">
        <v>35</v>
      </c>
      <c r="P2243" s="40">
        <f t="shared" ref="P2243:BK2243" si="854">P2228</f>
        <v>2.4105163999999998E-6</v>
      </c>
      <c r="Q2243" s="40">
        <f t="shared" si="854"/>
        <v>1.0260038000000001E-2</v>
      </c>
      <c r="R2243" s="40">
        <f t="shared" si="854"/>
        <v>1.5555597999999999</v>
      </c>
      <c r="S2243" s="40">
        <f t="shared" si="854"/>
        <v>2.6932946999999997E-7</v>
      </c>
      <c r="T2243" s="40">
        <f t="shared" si="854"/>
        <v>1.5837220000000001E-3</v>
      </c>
      <c r="U2243" s="40">
        <f t="shared" si="854"/>
        <v>1.1722689999999999E-2</v>
      </c>
      <c r="V2243" s="40">
        <f t="shared" si="854"/>
        <v>2.6647906E-3</v>
      </c>
      <c r="W2243" s="40">
        <f t="shared" si="854"/>
        <v>0.57584192999999995</v>
      </c>
      <c r="X2243" s="40">
        <f t="shared" si="854"/>
        <v>8.0155365999999995E-3</v>
      </c>
      <c r="Y2243" s="40">
        <f t="shared" si="854"/>
        <v>27.871701000000002</v>
      </c>
      <c r="Z2243" s="40">
        <f t="shared" si="854"/>
        <v>9.4792453999999996E-4</v>
      </c>
      <c r="AA2243" s="40">
        <f t="shared" si="854"/>
        <v>1.5723113</v>
      </c>
      <c r="AB2243" s="40">
        <f t="shared" si="854"/>
        <v>1.5717502000000001</v>
      </c>
      <c r="AC2243" s="40">
        <f t="shared" si="854"/>
        <v>4.3714852999999999E-4</v>
      </c>
      <c r="AD2243" s="40">
        <f t="shared" si="854"/>
        <v>1.2387512E-4</v>
      </c>
      <c r="AE2243" s="40">
        <f t="shared" si="854"/>
        <v>3.3943455E-7</v>
      </c>
      <c r="AF2243" s="40">
        <f t="shared" si="854"/>
        <v>1.6439445E-2</v>
      </c>
      <c r="AG2243" s="40">
        <f t="shared" si="854"/>
        <v>5.7219788999999997E-6</v>
      </c>
      <c r="AH2243" s="40">
        <f t="shared" si="854"/>
        <v>7.2572968999999998E-3</v>
      </c>
      <c r="AI2243" s="40">
        <f t="shared" si="854"/>
        <v>7.9629322000000002E-2</v>
      </c>
      <c r="AJ2243" s="40">
        <f t="shared" si="854"/>
        <v>2.1894123000000001E-2</v>
      </c>
      <c r="AK2243" s="40">
        <f t="shared" si="854"/>
        <v>2.4104973E-6</v>
      </c>
      <c r="AL2243" s="40">
        <f t="shared" si="854"/>
        <v>21.632432999999999</v>
      </c>
      <c r="AM2243" s="40">
        <f t="shared" si="854"/>
        <v>2.8974539000000001E-2</v>
      </c>
      <c r="AN2243" s="40">
        <f t="shared" si="854"/>
        <v>4.3494218000000002E-7</v>
      </c>
      <c r="AO2243" s="40">
        <f t="shared" si="854"/>
        <v>9.2699751999999996E-2</v>
      </c>
      <c r="AP2243" s="40">
        <f t="shared" si="854"/>
        <v>13.040493</v>
      </c>
      <c r="AQ2243" s="40">
        <f t="shared" si="854"/>
        <v>4.5571119999999999E-10</v>
      </c>
      <c r="AR2243" s="40">
        <f t="shared" si="854"/>
        <v>1.1194316999999999E-8</v>
      </c>
      <c r="AS2243" s="40">
        <f t="shared" si="854"/>
        <v>2.7608117000000001</v>
      </c>
      <c r="AT2243" s="40">
        <f t="shared" si="854"/>
        <v>0</v>
      </c>
      <c r="AU2243" s="40">
        <f t="shared" si="854"/>
        <v>0</v>
      </c>
      <c r="AV2243" s="40">
        <f t="shared" si="854"/>
        <v>0.11700942</v>
      </c>
      <c r="AW2243" s="40">
        <f t="shared" si="854"/>
        <v>0</v>
      </c>
      <c r="AX2243" s="40">
        <f t="shared" si="854"/>
        <v>0</v>
      </c>
      <c r="AY2243" s="40">
        <f t="shared" si="854"/>
        <v>22.973146</v>
      </c>
      <c r="AZ2243" s="40">
        <f t="shared" si="854"/>
        <v>0</v>
      </c>
      <c r="BA2243" s="40">
        <f t="shared" si="854"/>
        <v>0</v>
      </c>
      <c r="BB2243" s="40">
        <f t="shared" si="854"/>
        <v>0</v>
      </c>
      <c r="BC2243" s="40">
        <f t="shared" si="854"/>
        <v>1.1133998E-3</v>
      </c>
      <c r="BD2243" s="40">
        <f t="shared" si="854"/>
        <v>5.8920923999999999E-5</v>
      </c>
      <c r="BE2243" s="40">
        <f t="shared" si="854"/>
        <v>2.5612467999999999E-2</v>
      </c>
      <c r="BF2243" s="40">
        <f t="shared" si="854"/>
        <v>1.5020788999999999E-4</v>
      </c>
      <c r="BG2243" s="40">
        <f t="shared" si="854"/>
        <v>0</v>
      </c>
      <c r="BH2243" s="40">
        <f t="shared" si="854"/>
        <v>0</v>
      </c>
      <c r="BI2243" s="40">
        <f t="shared" si="854"/>
        <v>0</v>
      </c>
      <c r="BJ2243" s="40">
        <f t="shared" si="854"/>
        <v>0</v>
      </c>
      <c r="BK2243" s="40">
        <f t="shared" si="854"/>
        <v>0</v>
      </c>
      <c r="BL2243" s="62">
        <v>0</v>
      </c>
      <c r="BM2243" s="275">
        <v>3</v>
      </c>
      <c r="BN2243" s="62">
        <v>0.05</v>
      </c>
      <c r="BO2243" s="33" t="s">
        <v>753</v>
      </c>
      <c r="BP2243" s="33" t="s">
        <v>757</v>
      </c>
    </row>
    <row r="2244" spans="1:68">
      <c r="A2244" s="33" t="str">
        <f>Database_Productkaarten[[#This Row],[Product]]&amp;", "&amp;Database_Productkaarten[[#This Row],[Levensfase]]</f>
        <v>Steenwool, 50 cm, C2</v>
      </c>
      <c r="B2244" s="33" t="s">
        <v>768</v>
      </c>
      <c r="C2244" s="33" t="s">
        <v>48</v>
      </c>
      <c r="D2244" s="33" t="s">
        <v>751</v>
      </c>
      <c r="E2244" s="33" t="s">
        <v>385</v>
      </c>
      <c r="F2244" s="33" t="s">
        <v>84</v>
      </c>
      <c r="G2244" s="33">
        <v>1</v>
      </c>
      <c r="H2244" s="33">
        <v>1</v>
      </c>
      <c r="I2244" s="33">
        <v>0.5</v>
      </c>
      <c r="L2244" s="33">
        <v>0.08</v>
      </c>
      <c r="M2244" s="41">
        <f t="shared" si="850"/>
        <v>0.04</v>
      </c>
      <c r="N2244" s="41">
        <f>N2229*50</f>
        <v>6.2904070000000006E-2</v>
      </c>
      <c r="O2244" s="33">
        <v>35</v>
      </c>
      <c r="P2244" s="40">
        <f t="shared" ref="P2244:BK2244" si="855">P2229*50</f>
        <v>1.33354025E-5</v>
      </c>
      <c r="Q2244" s="40">
        <f t="shared" si="855"/>
        <v>3.8378790500000004E-3</v>
      </c>
      <c r="R2244" s="40">
        <f t="shared" si="855"/>
        <v>0.52191255000000003</v>
      </c>
      <c r="S2244" s="40">
        <f t="shared" si="855"/>
        <v>9.259440000000001E-8</v>
      </c>
      <c r="T2244" s="40">
        <f t="shared" si="855"/>
        <v>3.14916255E-4</v>
      </c>
      <c r="U2244" s="40">
        <f t="shared" si="855"/>
        <v>2.2947956999999999E-3</v>
      </c>
      <c r="V2244" s="40">
        <f t="shared" si="855"/>
        <v>4.5083403999999995E-4</v>
      </c>
      <c r="W2244" s="40">
        <f t="shared" si="855"/>
        <v>0.21973769500000001</v>
      </c>
      <c r="X2244" s="40">
        <f t="shared" si="855"/>
        <v>6.4150264999999996E-3</v>
      </c>
      <c r="Y2244" s="40">
        <f t="shared" si="855"/>
        <v>23.075077999999998</v>
      </c>
      <c r="Z2244" s="40">
        <f t="shared" si="855"/>
        <v>7.7663875E-4</v>
      </c>
      <c r="AA2244" s="40">
        <f t="shared" si="855"/>
        <v>0.52675614999999998</v>
      </c>
      <c r="AB2244" s="40">
        <f t="shared" si="855"/>
        <v>0.52632034999999999</v>
      </c>
      <c r="AC2244" s="40">
        <f t="shared" si="855"/>
        <v>2.4297625499999998E-4</v>
      </c>
      <c r="AD2244" s="40">
        <f t="shared" si="855"/>
        <v>1.9286144000000001E-4</v>
      </c>
      <c r="AE2244" s="40">
        <f t="shared" si="855"/>
        <v>1.1617147499999999E-7</v>
      </c>
      <c r="AF2244" s="40">
        <f t="shared" si="855"/>
        <v>3.05251945E-3</v>
      </c>
      <c r="AG2244" s="40">
        <f t="shared" si="855"/>
        <v>5.3093250000000002E-6</v>
      </c>
      <c r="AH2244" s="40">
        <f t="shared" si="855"/>
        <v>1.0756346E-3</v>
      </c>
      <c r="AI2244" s="40">
        <f t="shared" si="855"/>
        <v>1.1858997E-2</v>
      </c>
      <c r="AJ2244" s="40">
        <f t="shared" si="855"/>
        <v>3.3858291500000002E-3</v>
      </c>
      <c r="AK2244" s="40">
        <f t="shared" si="855"/>
        <v>1.3335350499999999E-5</v>
      </c>
      <c r="AL2244" s="40">
        <f t="shared" si="855"/>
        <v>7.9379559999999998</v>
      </c>
      <c r="AM2244" s="40">
        <f t="shared" si="855"/>
        <v>2.8394885500000001E-2</v>
      </c>
      <c r="AN2244" s="40">
        <f t="shared" si="855"/>
        <v>4.7265191000000005E-8</v>
      </c>
      <c r="AO2244" s="40">
        <f t="shared" si="855"/>
        <v>3.3258874000000001E-2</v>
      </c>
      <c r="AP2244" s="40">
        <f t="shared" si="855"/>
        <v>7.0784415000000003</v>
      </c>
      <c r="AQ2244" s="40">
        <f t="shared" si="855"/>
        <v>2.2966608000000001E-10</v>
      </c>
      <c r="AR2244" s="40">
        <f t="shared" si="855"/>
        <v>7.7414810000000008E-9</v>
      </c>
      <c r="AS2244" s="40">
        <f t="shared" si="855"/>
        <v>6.8841305000000004</v>
      </c>
      <c r="AT2244" s="40">
        <f t="shared" si="855"/>
        <v>0</v>
      </c>
      <c r="AU2244" s="40">
        <f t="shared" si="855"/>
        <v>0</v>
      </c>
      <c r="AV2244" s="40">
        <f t="shared" si="855"/>
        <v>9.9377555000000006E-2</v>
      </c>
      <c r="AW2244" s="40">
        <f t="shared" si="855"/>
        <v>0</v>
      </c>
      <c r="AX2244" s="40">
        <f t="shared" si="855"/>
        <v>0</v>
      </c>
      <c r="AY2244" s="40">
        <f t="shared" si="855"/>
        <v>8.4278704999999992</v>
      </c>
      <c r="AZ2244" s="40">
        <f t="shared" si="855"/>
        <v>0</v>
      </c>
      <c r="BA2244" s="40">
        <f t="shared" si="855"/>
        <v>0</v>
      </c>
      <c r="BB2244" s="40">
        <f t="shared" si="855"/>
        <v>0</v>
      </c>
      <c r="BC2244" s="40">
        <f t="shared" si="855"/>
        <v>9.6681625000000009E-4</v>
      </c>
      <c r="BD2244" s="40">
        <f t="shared" si="855"/>
        <v>2.0115402499999997E-5</v>
      </c>
      <c r="BE2244" s="40">
        <f t="shared" si="855"/>
        <v>0.5035288</v>
      </c>
      <c r="BF2244" s="40">
        <f t="shared" si="855"/>
        <v>5.2125325000000002E-5</v>
      </c>
      <c r="BG2244" s="40">
        <f t="shared" si="855"/>
        <v>0</v>
      </c>
      <c r="BH2244" s="40">
        <f t="shared" si="855"/>
        <v>0</v>
      </c>
      <c r="BI2244" s="40">
        <f t="shared" si="855"/>
        <v>0</v>
      </c>
      <c r="BJ2244" s="40">
        <f t="shared" si="855"/>
        <v>0</v>
      </c>
      <c r="BK2244" s="40">
        <f t="shared" si="855"/>
        <v>0</v>
      </c>
      <c r="BL2244" s="62">
        <v>0</v>
      </c>
      <c r="BM2244" s="275">
        <v>3</v>
      </c>
      <c r="BN2244" s="62">
        <v>0.05</v>
      </c>
      <c r="BO2244" s="33" t="s">
        <v>753</v>
      </c>
      <c r="BP2244" s="33" t="s">
        <v>758</v>
      </c>
    </row>
    <row r="2245" spans="1:68">
      <c r="A2245" s="33" t="str">
        <f>Database_Productkaarten[[#This Row],[Product]]&amp;", "&amp;Database_Productkaarten[[#This Row],[Levensfase]]</f>
        <v>Steenwool, 50 cm, C3</v>
      </c>
      <c r="B2245" s="33" t="s">
        <v>768</v>
      </c>
      <c r="C2245" s="33" t="s">
        <v>48</v>
      </c>
      <c r="D2245" s="33" t="s">
        <v>751</v>
      </c>
      <c r="E2245" s="33" t="s">
        <v>385</v>
      </c>
      <c r="F2245" s="33" t="s">
        <v>85</v>
      </c>
      <c r="G2245" s="33">
        <v>1</v>
      </c>
      <c r="H2245" s="33">
        <v>1</v>
      </c>
      <c r="I2245" s="33">
        <v>0.5</v>
      </c>
      <c r="L2245" s="33">
        <v>0.08</v>
      </c>
      <c r="M2245" s="41">
        <f t="shared" si="850"/>
        <v>0.04</v>
      </c>
      <c r="N2245" s="41">
        <f>N2230*50</f>
        <v>2.2071893499999997</v>
      </c>
      <c r="O2245" s="33">
        <v>35</v>
      </c>
      <c r="P2245" s="40">
        <f t="shared" ref="P2245:BK2245" si="856">P2230*50</f>
        <v>1.8175738999999999E-4</v>
      </c>
      <c r="Q2245" s="40">
        <f t="shared" si="856"/>
        <v>7.0441429999999999E-2</v>
      </c>
      <c r="R2245" s="40">
        <f t="shared" si="856"/>
        <v>14.565617999999999</v>
      </c>
      <c r="S2245" s="40">
        <f t="shared" si="856"/>
        <v>9.0529799999999998E-7</v>
      </c>
      <c r="T2245" s="40">
        <f t="shared" si="856"/>
        <v>6.5351625000000003E-3</v>
      </c>
      <c r="U2245" s="40">
        <f t="shared" si="856"/>
        <v>3.3225659999999997E-2</v>
      </c>
      <c r="V2245" s="40">
        <f t="shared" si="856"/>
        <v>5.6278630000000003E-3</v>
      </c>
      <c r="W2245" s="40">
        <f t="shared" si="856"/>
        <v>13.591243</v>
      </c>
      <c r="X2245" s="40">
        <f t="shared" si="856"/>
        <v>0.161084485</v>
      </c>
      <c r="Y2245" s="40">
        <f t="shared" si="856"/>
        <v>402.51102000000003</v>
      </c>
      <c r="Z2245" s="40">
        <f t="shared" si="856"/>
        <v>4.4372012499999995E-2</v>
      </c>
      <c r="AA2245" s="40">
        <f t="shared" si="856"/>
        <v>14.716782</v>
      </c>
      <c r="AB2245" s="40">
        <f t="shared" si="856"/>
        <v>14.770094500000001</v>
      </c>
      <c r="AC2245" s="40">
        <f t="shared" si="856"/>
        <v>-6.1703409999999993E-2</v>
      </c>
      <c r="AD2245" s="40">
        <f t="shared" si="856"/>
        <v>8.3907440000000003E-3</v>
      </c>
      <c r="AE2245" s="40">
        <f t="shared" si="856"/>
        <v>1.0739987E-6</v>
      </c>
      <c r="AF2245" s="40">
        <f t="shared" si="856"/>
        <v>4.2377255500000002E-2</v>
      </c>
      <c r="AG2245" s="40">
        <f t="shared" si="856"/>
        <v>2.4041715500000002E-4</v>
      </c>
      <c r="AH2245" s="40">
        <f t="shared" si="856"/>
        <v>1.1697511000000001E-2</v>
      </c>
      <c r="AI2245" s="40">
        <f t="shared" si="856"/>
        <v>0.1280374</v>
      </c>
      <c r="AJ2245" s="40">
        <f t="shared" si="856"/>
        <v>4.1466041000000002E-2</v>
      </c>
      <c r="AK2245" s="40">
        <f t="shared" si="856"/>
        <v>1.81746215E-4</v>
      </c>
      <c r="AL2245" s="40">
        <f t="shared" si="856"/>
        <v>145.08687499999999</v>
      </c>
      <c r="AM2245" s="40">
        <f t="shared" si="856"/>
        <v>2.8213559500000001</v>
      </c>
      <c r="AN2245" s="40">
        <f t="shared" si="856"/>
        <v>7.3008244999999998E-7</v>
      </c>
      <c r="AO2245" s="40">
        <f t="shared" si="856"/>
        <v>0.43727180000000004</v>
      </c>
      <c r="AP2245" s="40">
        <f t="shared" si="856"/>
        <v>158.03985</v>
      </c>
      <c r="AQ2245" s="40">
        <f t="shared" si="856"/>
        <v>1.56084095E-8</v>
      </c>
      <c r="AR2245" s="40">
        <f t="shared" si="856"/>
        <v>2.1737297500000001E-7</v>
      </c>
      <c r="AS2245" s="40">
        <f t="shared" si="856"/>
        <v>116.47693</v>
      </c>
      <c r="AT2245" s="40">
        <f t="shared" si="856"/>
        <v>0</v>
      </c>
      <c r="AU2245" s="40">
        <f t="shared" si="856"/>
        <v>0</v>
      </c>
      <c r="AV2245" s="40">
        <f t="shared" si="856"/>
        <v>7.1487125000000002</v>
      </c>
      <c r="AW2245" s="40">
        <f t="shared" si="856"/>
        <v>0</v>
      </c>
      <c r="AX2245" s="40">
        <f t="shared" si="856"/>
        <v>0</v>
      </c>
      <c r="AY2245" s="40">
        <f t="shared" si="856"/>
        <v>154.57022499999999</v>
      </c>
      <c r="AZ2245" s="40">
        <f t="shared" si="856"/>
        <v>0</v>
      </c>
      <c r="BA2245" s="40">
        <f t="shared" si="856"/>
        <v>0</v>
      </c>
      <c r="BB2245" s="40">
        <f t="shared" si="856"/>
        <v>0</v>
      </c>
      <c r="BC2245" s="40">
        <f t="shared" si="856"/>
        <v>7.8490679999999993E-2</v>
      </c>
      <c r="BD2245" s="40">
        <f t="shared" si="856"/>
        <v>2.2968203E-4</v>
      </c>
      <c r="BE2245" s="40">
        <f t="shared" si="856"/>
        <v>7.0290790000000003</v>
      </c>
      <c r="BF2245" s="40">
        <f t="shared" si="856"/>
        <v>5.5468499999999997E-4</v>
      </c>
      <c r="BG2245" s="40">
        <f t="shared" si="856"/>
        <v>0</v>
      </c>
      <c r="BH2245" s="40">
        <f t="shared" si="856"/>
        <v>0</v>
      </c>
      <c r="BI2245" s="40">
        <f t="shared" si="856"/>
        <v>0</v>
      </c>
      <c r="BJ2245" s="40">
        <f t="shared" si="856"/>
        <v>0</v>
      </c>
      <c r="BK2245" s="40">
        <f t="shared" si="856"/>
        <v>0</v>
      </c>
      <c r="BL2245" s="62">
        <v>0</v>
      </c>
      <c r="BM2245" s="275">
        <v>3</v>
      </c>
      <c r="BN2245" s="62">
        <v>0.05</v>
      </c>
      <c r="BO2245" s="33" t="s">
        <v>753</v>
      </c>
    </row>
    <row r="2246" spans="1:68">
      <c r="A2246" s="33" t="str">
        <f>Database_Productkaarten[[#This Row],[Product]]&amp;", "&amp;Database_Productkaarten[[#This Row],[Levensfase]]</f>
        <v>Steenwool, 50 cm, C4</v>
      </c>
      <c r="B2246" s="33" t="s">
        <v>768</v>
      </c>
      <c r="C2246" s="33" t="s">
        <v>48</v>
      </c>
      <c r="D2246" s="33" t="s">
        <v>751</v>
      </c>
      <c r="E2246" s="33" t="s">
        <v>385</v>
      </c>
      <c r="F2246" s="33" t="s">
        <v>86</v>
      </c>
      <c r="G2246" s="33">
        <v>1</v>
      </c>
      <c r="H2246" s="33">
        <v>1</v>
      </c>
      <c r="I2246" s="33">
        <v>0.5</v>
      </c>
      <c r="L2246" s="33">
        <v>0.08</v>
      </c>
      <c r="M2246" s="41">
        <f t="shared" si="850"/>
        <v>0.04</v>
      </c>
      <c r="N2246" s="41">
        <f>N2231*50</f>
        <v>0.13118198199999997</v>
      </c>
      <c r="O2246" s="33">
        <v>35</v>
      </c>
      <c r="P2246" s="40">
        <f t="shared" ref="P2246:BK2246" si="857">P2231*50</f>
        <v>2.2192753499999998E-6</v>
      </c>
      <c r="Q2246" s="40">
        <f t="shared" si="857"/>
        <v>2.7308936549999998E-3</v>
      </c>
      <c r="R2246" s="40">
        <f t="shared" si="857"/>
        <v>1.21269505</v>
      </c>
      <c r="S2246" s="40">
        <f t="shared" si="857"/>
        <v>6.5919254500000006E-8</v>
      </c>
      <c r="T2246" s="40">
        <f t="shared" si="857"/>
        <v>2.1428781549999998E-4</v>
      </c>
      <c r="U2246" s="40">
        <f t="shared" si="857"/>
        <v>1.731408325E-3</v>
      </c>
      <c r="V2246" s="40">
        <f t="shared" si="857"/>
        <v>4.11617155E-4</v>
      </c>
      <c r="W2246" s="40">
        <f t="shared" si="857"/>
        <v>0.26080925999999999</v>
      </c>
      <c r="X2246" s="40">
        <f t="shared" si="857"/>
        <v>5.8608487199999997E-2</v>
      </c>
      <c r="Y2246" s="40">
        <f t="shared" si="857"/>
        <v>337.36852299999998</v>
      </c>
      <c r="Z2246" s="40">
        <f t="shared" si="857"/>
        <v>1.354209525E-3</v>
      </c>
      <c r="AA2246" s="40">
        <f t="shared" si="857"/>
        <v>2.7238591200000002</v>
      </c>
      <c r="AB2246" s="40">
        <f t="shared" si="857"/>
        <v>1.219946255</v>
      </c>
      <c r="AC2246" s="40">
        <f t="shared" si="857"/>
        <v>1.503847304565</v>
      </c>
      <c r="AD2246" s="40">
        <f t="shared" si="857"/>
        <v>6.5551836999999999E-5</v>
      </c>
      <c r="AE2246" s="40">
        <f t="shared" si="857"/>
        <v>8.2111993499999991E-8</v>
      </c>
      <c r="AF2246" s="40">
        <f t="shared" si="857"/>
        <v>2.3143248999999999E-3</v>
      </c>
      <c r="AG2246" s="40">
        <f t="shared" si="857"/>
        <v>3.0919458500000001E-6</v>
      </c>
      <c r="AH2246" s="40">
        <f t="shared" si="857"/>
        <v>8.5048014499999999E-4</v>
      </c>
      <c r="AI2246" s="40">
        <f t="shared" si="857"/>
        <v>9.1852521999999989E-3</v>
      </c>
      <c r="AJ2246" s="40">
        <f t="shared" si="857"/>
        <v>2.5524588500000001E-3</v>
      </c>
      <c r="AK2246" s="40">
        <f t="shared" si="857"/>
        <v>2.2192568999999996E-6</v>
      </c>
      <c r="AL2246" s="40">
        <f t="shared" si="857"/>
        <v>5.6559089499999997</v>
      </c>
      <c r="AM2246" s="40">
        <f t="shared" si="857"/>
        <v>0.36077103500000002</v>
      </c>
      <c r="AN2246" s="40">
        <f t="shared" si="857"/>
        <v>3.8142378999999997E-8</v>
      </c>
      <c r="AO2246" s="40">
        <f t="shared" si="857"/>
        <v>2.2223633950000002E-2</v>
      </c>
      <c r="AP2246" s="40">
        <f t="shared" si="857"/>
        <v>8.4807117999999999</v>
      </c>
      <c r="AQ2246" s="40">
        <f t="shared" si="857"/>
        <v>3.62862385E-10</v>
      </c>
      <c r="AR2246" s="40">
        <f t="shared" si="857"/>
        <v>1.3260385750000001E-8</v>
      </c>
      <c r="AS2246" s="40">
        <f t="shared" si="857"/>
        <v>10.888336090000001</v>
      </c>
      <c r="AT2246" s="40">
        <f t="shared" si="857"/>
        <v>0</v>
      </c>
      <c r="AU2246" s="40">
        <f t="shared" si="857"/>
        <v>0</v>
      </c>
      <c r="AV2246" s="40">
        <f t="shared" si="857"/>
        <v>6.19701535E-2</v>
      </c>
      <c r="AW2246" s="40">
        <f t="shared" si="857"/>
        <v>0</v>
      </c>
      <c r="AX2246" s="40">
        <f t="shared" si="857"/>
        <v>0</v>
      </c>
      <c r="AY2246" s="40">
        <f t="shared" si="857"/>
        <v>6.0191371</v>
      </c>
      <c r="AZ2246" s="40">
        <f t="shared" si="857"/>
        <v>0</v>
      </c>
      <c r="BA2246" s="40">
        <f t="shared" si="857"/>
        <v>0</v>
      </c>
      <c r="BB2246" s="40">
        <f t="shared" si="857"/>
        <v>0</v>
      </c>
      <c r="BC2246" s="40">
        <f t="shared" si="857"/>
        <v>7.6669552999999993E-3</v>
      </c>
      <c r="BD2246" s="40">
        <f t="shared" si="857"/>
        <v>9.551451299999999E-6</v>
      </c>
      <c r="BE2246" s="40">
        <f t="shared" si="857"/>
        <v>34.098821934999997</v>
      </c>
      <c r="BF2246" s="40">
        <f t="shared" si="857"/>
        <v>3.5136228150000001E-5</v>
      </c>
      <c r="BG2246" s="40">
        <f t="shared" si="857"/>
        <v>0</v>
      </c>
      <c r="BH2246" s="40">
        <f t="shared" si="857"/>
        <v>0</v>
      </c>
      <c r="BI2246" s="40">
        <f t="shared" si="857"/>
        <v>0</v>
      </c>
      <c r="BJ2246" s="40">
        <f t="shared" si="857"/>
        <v>0</v>
      </c>
      <c r="BK2246" s="40">
        <f t="shared" si="857"/>
        <v>0</v>
      </c>
      <c r="BL2246" s="62">
        <v>0</v>
      </c>
      <c r="BM2246" s="275">
        <v>3</v>
      </c>
      <c r="BN2246" s="62">
        <v>0.05</v>
      </c>
      <c r="BO2246" s="33" t="s">
        <v>753</v>
      </c>
      <c r="BP2246" s="33" t="s">
        <v>766</v>
      </c>
    </row>
    <row r="2247" spans="1:68">
      <c r="A2247" s="33" t="str">
        <f>Database_Productkaarten[[#This Row],[Product]]&amp;", "&amp;Database_Productkaarten[[#This Row],[Levensfase]]</f>
        <v>Steenwool, 50 cm, D</v>
      </c>
      <c r="B2247" s="33" t="s">
        <v>768</v>
      </c>
      <c r="C2247" s="33" t="s">
        <v>48</v>
      </c>
      <c r="D2247" s="33" t="s">
        <v>751</v>
      </c>
      <c r="E2247" s="33" t="s">
        <v>385</v>
      </c>
      <c r="F2247" s="33" t="s">
        <v>89</v>
      </c>
      <c r="G2247" s="33">
        <v>1</v>
      </c>
      <c r="H2247" s="33">
        <v>1</v>
      </c>
      <c r="I2247" s="33">
        <v>0.5</v>
      </c>
      <c r="L2247" s="33">
        <v>0.08</v>
      </c>
      <c r="M2247" s="41">
        <f t="shared" si="850"/>
        <v>0.04</v>
      </c>
      <c r="N2247" s="41">
        <f>N2232*50</f>
        <v>-0.74504170219999999</v>
      </c>
      <c r="O2247" s="33">
        <v>35</v>
      </c>
      <c r="P2247" s="40">
        <f t="shared" ref="P2247:BK2247" si="858">P2232*50</f>
        <v>-3.4181815499999999E-6</v>
      </c>
      <c r="Q2247" s="40">
        <f t="shared" si="858"/>
        <v>-0.11325036897999999</v>
      </c>
      <c r="R2247" s="40">
        <f t="shared" si="858"/>
        <v>-12.376932585500001</v>
      </c>
      <c r="S2247" s="40">
        <f t="shared" si="858"/>
        <v>-1.43564891525E-6</v>
      </c>
      <c r="T2247" s="40">
        <f t="shared" si="858"/>
        <v>-1.7640089300000003E-3</v>
      </c>
      <c r="U2247" s="40">
        <f t="shared" si="858"/>
        <v>-8.1320427149999992E-3</v>
      </c>
      <c r="V2247" s="40">
        <f t="shared" si="858"/>
        <v>-1.1891116334999999E-3</v>
      </c>
      <c r="W2247" s="40">
        <f t="shared" si="858"/>
        <v>-0.64473669550000001</v>
      </c>
      <c r="X2247" s="40">
        <f t="shared" si="858"/>
        <v>-6.5605496600000006E-3</v>
      </c>
      <c r="Y2247" s="40">
        <f t="shared" si="858"/>
        <v>-29.282219085000001</v>
      </c>
      <c r="Z2247" s="40">
        <f t="shared" si="858"/>
        <v>-2.0311026439999999E-3</v>
      </c>
      <c r="AA2247" s="40">
        <f t="shared" si="858"/>
        <v>-12.531228848500001</v>
      </c>
      <c r="AB2247" s="40">
        <f t="shared" si="858"/>
        <v>-12.527219138000001</v>
      </c>
      <c r="AC2247" s="40">
        <f t="shared" si="858"/>
        <v>-3.6215357050000006E-3</v>
      </c>
      <c r="AD2247" s="40">
        <f t="shared" si="858"/>
        <v>-3.8782814099999998E-4</v>
      </c>
      <c r="AE2247" s="40">
        <f t="shared" si="858"/>
        <v>-1.6294374354500002E-6</v>
      </c>
      <c r="AF2247" s="40">
        <f t="shared" si="858"/>
        <v>-1.0483905784999999E-2</v>
      </c>
      <c r="AG2247" s="40">
        <f t="shared" si="858"/>
        <v>-1.4322507849999998E-5</v>
      </c>
      <c r="AH2247" s="40">
        <f t="shared" si="858"/>
        <v>-3.1587249800000003E-3</v>
      </c>
      <c r="AI2247" s="40">
        <f t="shared" si="858"/>
        <v>-3.4825003549999997E-2</v>
      </c>
      <c r="AJ2247" s="40">
        <f t="shared" si="858"/>
        <v>-1.1406427300000001E-2</v>
      </c>
      <c r="AK2247" s="40">
        <f t="shared" si="858"/>
        <v>-3.4181064850000001E-6</v>
      </c>
      <c r="AL2247" s="40">
        <f t="shared" si="858"/>
        <v>-209.37645136499995</v>
      </c>
      <c r="AM2247" s="40">
        <f t="shared" si="858"/>
        <v>-0.91212704104999998</v>
      </c>
      <c r="AN2247" s="40">
        <f t="shared" si="858"/>
        <v>-3.2768686900000002E-8</v>
      </c>
      <c r="AO2247" s="40">
        <f t="shared" si="858"/>
        <v>-6.9246073500000005E-2</v>
      </c>
      <c r="AP2247" s="40">
        <f t="shared" si="858"/>
        <v>-18.487563499999997</v>
      </c>
      <c r="AQ2247" s="40">
        <f t="shared" si="858"/>
        <v>-7.9446172900000008E-10</v>
      </c>
      <c r="AR2247" s="40">
        <f t="shared" si="858"/>
        <v>-1.1344337605E-8</v>
      </c>
      <c r="AS2247" s="40">
        <f t="shared" si="858"/>
        <v>-11.643498449999999</v>
      </c>
      <c r="AT2247" s="40">
        <f t="shared" si="858"/>
        <v>0</v>
      </c>
      <c r="AU2247" s="40">
        <f t="shared" si="858"/>
        <v>0</v>
      </c>
      <c r="AV2247" s="40">
        <f t="shared" si="858"/>
        <v>-0.47195811550000005</v>
      </c>
      <c r="AW2247" s="40">
        <f t="shared" si="858"/>
        <v>0</v>
      </c>
      <c r="AX2247" s="40">
        <f t="shared" si="858"/>
        <v>0</v>
      </c>
      <c r="AY2247" s="40">
        <f t="shared" si="858"/>
        <v>-232.24104045499999</v>
      </c>
      <c r="AZ2247" s="40">
        <f t="shared" si="858"/>
        <v>0</v>
      </c>
      <c r="BA2247" s="40">
        <f t="shared" si="858"/>
        <v>0</v>
      </c>
      <c r="BB2247" s="40">
        <f t="shared" si="858"/>
        <v>0</v>
      </c>
      <c r="BC2247" s="40">
        <f t="shared" si="858"/>
        <v>-1.2201594555E-2</v>
      </c>
      <c r="BD2247" s="40">
        <f t="shared" si="858"/>
        <v>-2.6509531120000004E-4</v>
      </c>
      <c r="BE2247" s="40">
        <f t="shared" si="858"/>
        <v>-8.4942645599999991E-2</v>
      </c>
      <c r="BF2247" s="40">
        <f t="shared" si="858"/>
        <v>-1.0211098989999998E-4</v>
      </c>
      <c r="BG2247" s="40">
        <f t="shared" si="858"/>
        <v>0</v>
      </c>
      <c r="BH2247" s="40">
        <f t="shared" si="858"/>
        <v>0</v>
      </c>
      <c r="BI2247" s="40">
        <f t="shared" si="858"/>
        <v>0</v>
      </c>
      <c r="BJ2247" s="40">
        <f t="shared" si="858"/>
        <v>0</v>
      </c>
      <c r="BK2247" s="40">
        <f t="shared" si="858"/>
        <v>0</v>
      </c>
      <c r="BL2247" s="62">
        <v>0</v>
      </c>
      <c r="BM2247" s="275">
        <v>3</v>
      </c>
      <c r="BN2247" s="62">
        <v>0.05</v>
      </c>
      <c r="BO2247" s="33" t="s">
        <v>753</v>
      </c>
      <c r="BP2247" s="33" t="s">
        <v>767</v>
      </c>
    </row>
    <row r="2248" spans="1:68">
      <c r="A2248" s="33" t="str">
        <f>Database_Productkaarten[[#This Row],[Product]]&amp;", "&amp;Database_Productkaarten[[#This Row],[Levensfase]]</f>
        <v>Steenwool, 50 cm, D1</v>
      </c>
      <c r="B2248" s="33" t="s">
        <v>768</v>
      </c>
      <c r="C2248" s="33" t="s">
        <v>48</v>
      </c>
      <c r="D2248" s="33" t="s">
        <v>751</v>
      </c>
      <c r="E2248" s="33" t="s">
        <v>385</v>
      </c>
      <c r="F2248" s="33" t="s">
        <v>87</v>
      </c>
      <c r="G2248" s="33">
        <v>1</v>
      </c>
      <c r="H2248" s="33">
        <v>1</v>
      </c>
      <c r="I2248" s="33">
        <v>0.5</v>
      </c>
      <c r="L2248" s="33">
        <v>0.08</v>
      </c>
      <c r="M2248" s="41">
        <f t="shared" si="850"/>
        <v>0.04</v>
      </c>
      <c r="N2248" s="41"/>
      <c r="O2248" s="33">
        <v>35</v>
      </c>
      <c r="P2248" s="40"/>
      <c r="Q2248" s="40"/>
      <c r="R2248" s="40"/>
      <c r="S2248" s="40"/>
      <c r="T2248" s="40"/>
      <c r="U2248" s="40"/>
      <c r="V2248" s="40"/>
      <c r="W2248" s="40"/>
      <c r="X2248" s="40"/>
      <c r="Y2248" s="40"/>
      <c r="Z2248" s="40"/>
      <c r="AA2248" s="40"/>
      <c r="AB2248" s="40"/>
      <c r="AC2248" s="40"/>
      <c r="AD2248" s="40"/>
      <c r="AE2248" s="40"/>
      <c r="AF2248" s="40"/>
      <c r="AG2248" s="40"/>
      <c r="AH2248" s="40"/>
      <c r="AI2248" s="40"/>
      <c r="AJ2248" s="40"/>
      <c r="AK2248" s="40"/>
      <c r="AL2248" s="40"/>
      <c r="AM2248" s="40"/>
      <c r="AN2248" s="40"/>
      <c r="AO2248" s="40"/>
      <c r="AP2248" s="40"/>
      <c r="AQ2248" s="40"/>
      <c r="AR2248" s="40"/>
      <c r="AS2248" s="40"/>
      <c r="AT2248" s="40"/>
      <c r="AU2248" s="40"/>
      <c r="AV2248" s="108"/>
      <c r="AW2248" s="40"/>
      <c r="AX2248" s="40"/>
      <c r="AY2248" s="108"/>
      <c r="AZ2248" s="40"/>
      <c r="BA2248" s="40"/>
      <c r="BB2248" s="40"/>
      <c r="BC2248" s="40"/>
      <c r="BD2248" s="40"/>
      <c r="BE2248" s="40"/>
      <c r="BF2248" s="40"/>
      <c r="BG2248" s="40"/>
      <c r="BH2248" s="40"/>
      <c r="BI2248" s="40"/>
      <c r="BJ2248" s="40"/>
      <c r="BK2248" s="40"/>
      <c r="BL2248" s="62">
        <v>0</v>
      </c>
      <c r="BM2248" s="275">
        <v>3</v>
      </c>
      <c r="BN2248" s="62">
        <v>0.05</v>
      </c>
      <c r="BO2248" s="33" t="s">
        <v>753</v>
      </c>
    </row>
    <row r="2249" spans="1:68">
      <c r="A2249" s="33" t="str">
        <f>Database_Productkaarten[[#This Row],[Product]]&amp;", "&amp;Database_Productkaarten[[#This Row],[Levensfase]]</f>
        <v>Steenwool, 50 cm, D2</v>
      </c>
      <c r="B2249" s="33" t="s">
        <v>768</v>
      </c>
      <c r="C2249" s="33" t="s">
        <v>48</v>
      </c>
      <c r="D2249" s="33" t="s">
        <v>751</v>
      </c>
      <c r="E2249" s="33" t="s">
        <v>385</v>
      </c>
      <c r="F2249" s="33" t="s">
        <v>88</v>
      </c>
      <c r="G2249" s="33">
        <v>1</v>
      </c>
      <c r="H2249" s="33">
        <v>1</v>
      </c>
      <c r="I2249" s="33">
        <v>0.5</v>
      </c>
      <c r="L2249" s="33">
        <v>0.08</v>
      </c>
      <c r="M2249" s="41">
        <f t="shared" si="850"/>
        <v>0.04</v>
      </c>
      <c r="N2249" s="41"/>
      <c r="O2249" s="33">
        <v>35</v>
      </c>
      <c r="P2249" s="40"/>
      <c r="Q2249" s="40"/>
      <c r="R2249" s="40"/>
      <c r="S2249" s="40"/>
      <c r="T2249" s="40"/>
      <c r="U2249" s="40"/>
      <c r="V2249" s="40"/>
      <c r="W2249" s="40"/>
      <c r="X2249" s="40"/>
      <c r="Y2249" s="40"/>
      <c r="Z2249" s="40"/>
      <c r="AA2249" s="40"/>
      <c r="AB2249" s="40"/>
      <c r="AC2249" s="40"/>
      <c r="AD2249" s="40"/>
      <c r="AE2249" s="40"/>
      <c r="AF2249" s="40"/>
      <c r="AG2249" s="40"/>
      <c r="AH2249" s="40"/>
      <c r="AI2249" s="40"/>
      <c r="AJ2249" s="40"/>
      <c r="AK2249" s="40"/>
      <c r="AL2249" s="40"/>
      <c r="AM2249" s="40"/>
      <c r="AN2249" s="40"/>
      <c r="AO2249" s="40"/>
      <c r="AP2249" s="40"/>
      <c r="AQ2249" s="40"/>
      <c r="AR2249" s="40"/>
      <c r="AS2249" s="40"/>
      <c r="AT2249" s="40"/>
      <c r="AU2249" s="40"/>
      <c r="AV2249" s="108"/>
      <c r="AW2249" s="40"/>
      <c r="AX2249" s="40"/>
      <c r="AY2249" s="108"/>
      <c r="AZ2249" s="40"/>
      <c r="BA2249" s="40"/>
      <c r="BB2249" s="40"/>
      <c r="BC2249" s="40"/>
      <c r="BD2249" s="40"/>
      <c r="BE2249" s="40"/>
      <c r="BF2249" s="40"/>
      <c r="BG2249" s="40"/>
      <c r="BH2249" s="40"/>
      <c r="BI2249" s="40"/>
      <c r="BJ2249" s="40"/>
      <c r="BK2249" s="40"/>
      <c r="BL2249" s="62">
        <v>0</v>
      </c>
      <c r="BM2249" s="275">
        <v>3</v>
      </c>
      <c r="BN2249" s="62">
        <v>0.05</v>
      </c>
      <c r="BO2249" s="33" t="s">
        <v>753</v>
      </c>
    </row>
    <row r="2250" spans="1:68">
      <c r="A2250" s="33" t="str">
        <f>Database_Productkaarten[[#This Row],[Product]]&amp;", "&amp;Database_Productkaarten[[#This Row],[Levensfase]]</f>
        <v>Grond, Totaal</v>
      </c>
      <c r="B2250" s="33" t="s">
        <v>769</v>
      </c>
      <c r="C2250" t="s">
        <v>40</v>
      </c>
      <c r="D2250" s="33" t="s">
        <v>769</v>
      </c>
      <c r="E2250" s="33" t="s">
        <v>378</v>
      </c>
      <c r="F2250" s="33" t="s">
        <v>90</v>
      </c>
      <c r="L2250" s="33">
        <v>1.625</v>
      </c>
      <c r="M2250" s="269">
        <v>1</v>
      </c>
      <c r="N2250" s="41">
        <f>SUM(N2251:N2264)</f>
        <v>0.94601203737215167</v>
      </c>
      <c r="O2250" s="33">
        <v>100</v>
      </c>
      <c r="P2250" s="40">
        <f t="shared" ref="P2250:Z2250" si="859">SUM(P2251:P2264)</f>
        <v>1.5448636794871797E-4</v>
      </c>
      <c r="Q2250" s="40">
        <f t="shared" si="859"/>
        <v>7.3100649222974365E-2</v>
      </c>
      <c r="R2250" s="40">
        <f t="shared" si="859"/>
        <v>9.8963516365538453</v>
      </c>
      <c r="S2250" s="40">
        <f t="shared" si="859"/>
        <v>1.8605928256410258E-6</v>
      </c>
      <c r="T2250" s="40">
        <f t="shared" si="859"/>
        <v>5.909974924717949E-3</v>
      </c>
      <c r="U2250" s="40">
        <f t="shared" si="859"/>
        <v>3.3988285481657173E-2</v>
      </c>
      <c r="V2250" s="40">
        <f t="shared" si="859"/>
        <v>8.7966181461538468E-3</v>
      </c>
      <c r="W2250" s="40">
        <f t="shared" si="859"/>
        <v>2.5640601792615385</v>
      </c>
      <c r="X2250" s="40">
        <f t="shared" si="859"/>
        <v>8.1444898340104238E-2</v>
      </c>
      <c r="Y2250" s="40">
        <f t="shared" si="859"/>
        <v>219.04283745048599</v>
      </c>
      <c r="Z2250" s="40">
        <f t="shared" si="859"/>
        <v>1.370194663979548E-2</v>
      </c>
      <c r="AA2250" s="40"/>
      <c r="AB2250" s="40"/>
      <c r="AC2250" s="40"/>
      <c r="AD2250" s="40"/>
      <c r="AE2250" s="40"/>
      <c r="AF2250" s="40"/>
      <c r="AG2250" s="40"/>
      <c r="AH2250" s="40"/>
      <c r="AI2250" s="40"/>
      <c r="AJ2250" s="40"/>
      <c r="AK2250" s="40"/>
      <c r="AL2250" s="40"/>
      <c r="AM2250" s="40"/>
      <c r="AN2250" s="40"/>
      <c r="AO2250" s="40"/>
      <c r="AP2250" s="40"/>
      <c r="AQ2250" s="40"/>
      <c r="AR2250" s="40"/>
      <c r="AS2250" s="40"/>
      <c r="AT2250" s="40"/>
      <c r="AU2250" s="40"/>
      <c r="AV2250" s="281">
        <f>SUM(AV2251:AV2264)</f>
        <v>1.5259010762666667</v>
      </c>
      <c r="AW2250" s="40"/>
      <c r="AX2250" s="40"/>
      <c r="AY2250" s="281">
        <f>SUM(AY2251:AY2264)</f>
        <v>163.04483660471794</v>
      </c>
      <c r="AZ2250" s="40"/>
      <c r="BA2250" s="40"/>
      <c r="BB2250" s="40"/>
      <c r="BC2250" s="40">
        <f>SUM(BC2251:BC2264)</f>
        <v>1.4244045295246156E-2</v>
      </c>
      <c r="BD2250" s="40">
        <f>SUM(BD2251:BD2264)</f>
        <v>5.7498782828998229E-4</v>
      </c>
      <c r="BE2250" s="40">
        <f>SUM(BE2251:BE2264)</f>
        <v>12.303902000645889</v>
      </c>
      <c r="BF2250" s="40">
        <f>SUM(BF2251:BF2264)</f>
        <v>9.5618692000000005E-4</v>
      </c>
      <c r="BG2250" s="40"/>
      <c r="BH2250" s="40"/>
      <c r="BI2250" s="40"/>
      <c r="BJ2250" s="40"/>
      <c r="BK2250" s="40"/>
      <c r="BL2250" s="62">
        <v>1</v>
      </c>
      <c r="BM2250" s="275">
        <v>3</v>
      </c>
      <c r="BN2250" s="62">
        <v>0.05</v>
      </c>
    </row>
    <row r="2251" spans="1:68">
      <c r="A2251" s="33" t="str">
        <f>Database_Productkaarten[[#This Row],[Product]]&amp;", "&amp;Database_Productkaarten[[#This Row],[Levensfase]]</f>
        <v>Grond, A1</v>
      </c>
      <c r="B2251" s="33" t="s">
        <v>769</v>
      </c>
      <c r="C2251" t="s">
        <v>40</v>
      </c>
      <c r="D2251" s="33" t="s">
        <v>769</v>
      </c>
      <c r="E2251" s="33" t="s">
        <v>378</v>
      </c>
      <c r="F2251" s="33" t="s">
        <v>74</v>
      </c>
      <c r="L2251" s="33">
        <v>1.625</v>
      </c>
      <c r="M2251" s="269">
        <v>1</v>
      </c>
      <c r="N2251" s="41">
        <v>0</v>
      </c>
      <c r="O2251" s="33">
        <v>100</v>
      </c>
      <c r="P2251" s="40"/>
      <c r="Q2251" s="40"/>
      <c r="R2251" s="40"/>
      <c r="S2251" s="40"/>
      <c r="T2251" s="40"/>
      <c r="U2251" s="40"/>
      <c r="V2251" s="40"/>
      <c r="W2251" s="40"/>
      <c r="X2251" s="40"/>
      <c r="Y2251" s="40"/>
      <c r="Z2251" s="40"/>
      <c r="AA2251" s="40"/>
      <c r="AB2251" s="40"/>
      <c r="AC2251" s="40"/>
      <c r="AD2251" s="40"/>
      <c r="AE2251" s="40"/>
      <c r="AF2251" s="40"/>
      <c r="AG2251" s="40"/>
      <c r="AH2251" s="40"/>
      <c r="AI2251" s="40"/>
      <c r="AJ2251" s="40"/>
      <c r="AK2251" s="40"/>
      <c r="AL2251" s="40"/>
      <c r="AM2251" s="40"/>
      <c r="AN2251" s="40"/>
      <c r="AO2251" s="40"/>
      <c r="AP2251" s="40"/>
      <c r="AQ2251" s="40"/>
      <c r="AR2251" s="40"/>
      <c r="AS2251" s="40"/>
      <c r="AT2251" s="40"/>
      <c r="AU2251" s="40"/>
      <c r="AV2251" s="281"/>
      <c r="AW2251" s="40"/>
      <c r="AX2251" s="40"/>
      <c r="AY2251" s="281"/>
      <c r="AZ2251" s="40"/>
      <c r="BA2251" s="40"/>
      <c r="BB2251" s="40"/>
      <c r="BC2251" s="40"/>
      <c r="BD2251" s="40"/>
      <c r="BE2251" s="40"/>
      <c r="BF2251" s="40"/>
      <c r="BG2251" s="40"/>
      <c r="BH2251" s="40"/>
      <c r="BI2251" s="40"/>
      <c r="BJ2251" s="40"/>
      <c r="BK2251" s="40"/>
      <c r="BL2251" s="62">
        <v>1</v>
      </c>
      <c r="BM2251" s="275">
        <v>3</v>
      </c>
      <c r="BN2251" s="62">
        <v>0.05</v>
      </c>
    </row>
    <row r="2252" spans="1:68">
      <c r="A2252" s="33" t="str">
        <f>Database_Productkaarten[[#This Row],[Product]]&amp;", "&amp;Database_Productkaarten[[#This Row],[Levensfase]]</f>
        <v>Grond, A2</v>
      </c>
      <c r="B2252" s="33" t="s">
        <v>769</v>
      </c>
      <c r="C2252" t="s">
        <v>40</v>
      </c>
      <c r="D2252" s="33" t="s">
        <v>769</v>
      </c>
      <c r="E2252" s="33" t="s">
        <v>378</v>
      </c>
      <c r="F2252" s="33" t="s">
        <v>75</v>
      </c>
      <c r="L2252" s="33">
        <v>1.625</v>
      </c>
      <c r="M2252" s="269">
        <v>1</v>
      </c>
      <c r="N2252" s="41">
        <v>0</v>
      </c>
      <c r="O2252" s="33">
        <v>100</v>
      </c>
      <c r="P2252" s="40"/>
      <c r="Q2252" s="40"/>
      <c r="R2252" s="40"/>
      <c r="S2252" s="40"/>
      <c r="T2252" s="40"/>
      <c r="U2252" s="40"/>
      <c r="V2252" s="40"/>
      <c r="W2252" s="40"/>
      <c r="X2252" s="40"/>
      <c r="Y2252" s="40"/>
      <c r="Z2252" s="40"/>
      <c r="AA2252" s="40"/>
      <c r="AB2252" s="40"/>
      <c r="AC2252" s="40"/>
      <c r="AD2252" s="40"/>
      <c r="AE2252" s="40"/>
      <c r="AF2252" s="40"/>
      <c r="AG2252" s="40"/>
      <c r="AH2252" s="40"/>
      <c r="AI2252" s="40"/>
      <c r="AJ2252" s="40"/>
      <c r="AK2252" s="40"/>
      <c r="AL2252" s="40"/>
      <c r="AM2252" s="40"/>
      <c r="AN2252" s="40"/>
      <c r="AO2252" s="40"/>
      <c r="AP2252" s="40"/>
      <c r="AQ2252" s="40"/>
      <c r="AR2252" s="40"/>
      <c r="AS2252" s="40"/>
      <c r="AT2252" s="40"/>
      <c r="AU2252" s="40"/>
      <c r="AV2252" s="281"/>
      <c r="AW2252" s="40"/>
      <c r="AX2252" s="40"/>
      <c r="AY2252" s="281"/>
      <c r="AZ2252" s="40"/>
      <c r="BA2252" s="40"/>
      <c r="BB2252" s="40"/>
      <c r="BC2252" s="40"/>
      <c r="BD2252" s="40"/>
      <c r="BE2252" s="40"/>
      <c r="BF2252" s="40"/>
      <c r="BG2252" s="40"/>
      <c r="BH2252" s="40"/>
      <c r="BI2252" s="40"/>
      <c r="BJ2252" s="40"/>
      <c r="BK2252" s="40"/>
      <c r="BL2252" s="62">
        <v>1</v>
      </c>
      <c r="BM2252" s="275">
        <v>3</v>
      </c>
      <c r="BN2252" s="62">
        <v>0.05</v>
      </c>
    </row>
    <row r="2253" spans="1:68">
      <c r="A2253" s="33" t="str">
        <f>Database_Productkaarten[[#This Row],[Product]]&amp;", "&amp;Database_Productkaarten[[#This Row],[Levensfase]]</f>
        <v>Grond, A3</v>
      </c>
      <c r="B2253" s="33" t="s">
        <v>769</v>
      </c>
      <c r="C2253" t="s">
        <v>40</v>
      </c>
      <c r="D2253" s="33" t="s">
        <v>769</v>
      </c>
      <c r="E2253" s="33" t="s">
        <v>378</v>
      </c>
      <c r="F2253" s="33" t="s">
        <v>76</v>
      </c>
      <c r="L2253" s="33">
        <v>1.625</v>
      </c>
      <c r="M2253" s="269">
        <v>1</v>
      </c>
      <c r="N2253" s="41">
        <v>0</v>
      </c>
      <c r="O2253" s="33">
        <v>100</v>
      </c>
      <c r="P2253" s="40"/>
      <c r="Q2253" s="40"/>
      <c r="R2253" s="40"/>
      <c r="S2253" s="40"/>
      <c r="T2253" s="40"/>
      <c r="U2253" s="40"/>
      <c r="V2253" s="40"/>
      <c r="W2253" s="40"/>
      <c r="X2253" s="40"/>
      <c r="Y2253" s="40"/>
      <c r="Z2253" s="40"/>
      <c r="AA2253" s="40"/>
      <c r="AB2253" s="40"/>
      <c r="AC2253" s="40"/>
      <c r="AD2253" s="40"/>
      <c r="AE2253" s="40"/>
      <c r="AF2253" s="40"/>
      <c r="AG2253" s="40"/>
      <c r="AH2253" s="40"/>
      <c r="AI2253" s="40"/>
      <c r="AJ2253" s="40"/>
      <c r="AK2253" s="40"/>
      <c r="AL2253" s="40"/>
      <c r="AM2253" s="40"/>
      <c r="AN2253" s="40"/>
      <c r="AO2253" s="40"/>
      <c r="AP2253" s="40"/>
      <c r="AQ2253" s="40"/>
      <c r="AR2253" s="40"/>
      <c r="AS2253" s="40"/>
      <c r="AT2253" s="40"/>
      <c r="AU2253" s="40"/>
      <c r="AV2253" s="281"/>
      <c r="AW2253" s="40"/>
      <c r="AX2253" s="40"/>
      <c r="AY2253" s="281"/>
      <c r="AZ2253" s="40"/>
      <c r="BA2253" s="40"/>
      <c r="BB2253" s="40"/>
      <c r="BC2253" s="40"/>
      <c r="BD2253" s="40"/>
      <c r="BE2253" s="40"/>
      <c r="BF2253" s="40"/>
      <c r="BG2253" s="40"/>
      <c r="BH2253" s="40"/>
      <c r="BI2253" s="40"/>
      <c r="BJ2253" s="40"/>
      <c r="BK2253" s="40"/>
      <c r="BL2253" s="62">
        <v>1</v>
      </c>
      <c r="BM2253" s="275">
        <v>3</v>
      </c>
      <c r="BN2253" s="62">
        <v>0.05</v>
      </c>
    </row>
    <row r="2254" spans="1:68">
      <c r="A2254" s="451" t="str">
        <f>Database_Productkaarten[[#This Row],[Product]]&amp;", "&amp;Database_Productkaarten[[#This Row],[Levensfase]]</f>
        <v>Grond, A1-A3</v>
      </c>
      <c r="B2254" s="451" t="str">
        <f>B2253</f>
        <v>Grond</v>
      </c>
      <c r="C2254" t="s">
        <v>40</v>
      </c>
      <c r="D2254" s="451" t="str">
        <f>D2253</f>
        <v>Grond</v>
      </c>
      <c r="E2254" s="451" t="str">
        <f>E2253</f>
        <v>Ton</v>
      </c>
      <c r="F2254" s="451" t="s">
        <v>77</v>
      </c>
      <c r="G2254" s="451">
        <f t="shared" ref="G2254:M2254" si="860">G2253</f>
        <v>0</v>
      </c>
      <c r="H2254" s="451">
        <f t="shared" si="860"/>
        <v>0</v>
      </c>
      <c r="I2254" s="451">
        <f t="shared" si="860"/>
        <v>0</v>
      </c>
      <c r="J2254" s="451">
        <f t="shared" si="860"/>
        <v>0</v>
      </c>
      <c r="K2254" s="451">
        <f t="shared" si="860"/>
        <v>0</v>
      </c>
      <c r="L2254" s="451">
        <f t="shared" si="860"/>
        <v>1.625</v>
      </c>
      <c r="M2254" s="454">
        <f t="shared" si="860"/>
        <v>1</v>
      </c>
      <c r="N2254" s="452">
        <f>SUM(N2251:N2253)</f>
        <v>0</v>
      </c>
      <c r="O2254" s="451">
        <f>O2253</f>
        <v>100</v>
      </c>
      <c r="P2254" s="453">
        <f t="shared" ref="P2254:BK2254" si="861">SUM(P2251:P2253)</f>
        <v>0</v>
      </c>
      <c r="Q2254" s="453">
        <f t="shared" si="861"/>
        <v>0</v>
      </c>
      <c r="R2254" s="453">
        <f t="shared" si="861"/>
        <v>0</v>
      </c>
      <c r="S2254" s="453">
        <f t="shared" si="861"/>
        <v>0</v>
      </c>
      <c r="T2254" s="453">
        <f t="shared" si="861"/>
        <v>0</v>
      </c>
      <c r="U2254" s="453">
        <f t="shared" si="861"/>
        <v>0</v>
      </c>
      <c r="V2254" s="453">
        <f t="shared" si="861"/>
        <v>0</v>
      </c>
      <c r="W2254" s="453">
        <f t="shared" si="861"/>
        <v>0</v>
      </c>
      <c r="X2254" s="453">
        <f t="shared" si="861"/>
        <v>0</v>
      </c>
      <c r="Y2254" s="453">
        <f t="shared" si="861"/>
        <v>0</v>
      </c>
      <c r="Z2254" s="453">
        <f t="shared" si="861"/>
        <v>0</v>
      </c>
      <c r="AA2254" s="453">
        <f t="shared" si="861"/>
        <v>0</v>
      </c>
      <c r="AB2254" s="453">
        <f t="shared" si="861"/>
        <v>0</v>
      </c>
      <c r="AC2254" s="453">
        <f t="shared" si="861"/>
        <v>0</v>
      </c>
      <c r="AD2254" s="453">
        <f t="shared" si="861"/>
        <v>0</v>
      </c>
      <c r="AE2254" s="453">
        <f t="shared" si="861"/>
        <v>0</v>
      </c>
      <c r="AF2254" s="453">
        <f t="shared" si="861"/>
        <v>0</v>
      </c>
      <c r="AG2254" s="453">
        <f t="shared" si="861"/>
        <v>0</v>
      </c>
      <c r="AH2254" s="453">
        <f t="shared" si="861"/>
        <v>0</v>
      </c>
      <c r="AI2254" s="453">
        <f t="shared" si="861"/>
        <v>0</v>
      </c>
      <c r="AJ2254" s="453">
        <f t="shared" si="861"/>
        <v>0</v>
      </c>
      <c r="AK2254" s="453">
        <f t="shared" si="861"/>
        <v>0</v>
      </c>
      <c r="AL2254" s="453">
        <f t="shared" si="861"/>
        <v>0</v>
      </c>
      <c r="AM2254" s="453">
        <f t="shared" si="861"/>
        <v>0</v>
      </c>
      <c r="AN2254" s="453">
        <f t="shared" si="861"/>
        <v>0</v>
      </c>
      <c r="AO2254" s="453">
        <f t="shared" si="861"/>
        <v>0</v>
      </c>
      <c r="AP2254" s="453">
        <f t="shared" si="861"/>
        <v>0</v>
      </c>
      <c r="AQ2254" s="453">
        <f t="shared" si="861"/>
        <v>0</v>
      </c>
      <c r="AR2254" s="453">
        <f t="shared" si="861"/>
        <v>0</v>
      </c>
      <c r="AS2254" s="453">
        <f t="shared" si="861"/>
        <v>0</v>
      </c>
      <c r="AT2254" s="453">
        <f t="shared" si="861"/>
        <v>0</v>
      </c>
      <c r="AU2254" s="453">
        <f t="shared" si="861"/>
        <v>0</v>
      </c>
      <c r="AV2254" s="453">
        <f t="shared" si="861"/>
        <v>0</v>
      </c>
      <c r="AW2254" s="453">
        <f t="shared" si="861"/>
        <v>0</v>
      </c>
      <c r="AX2254" s="453">
        <f t="shared" si="861"/>
        <v>0</v>
      </c>
      <c r="AY2254" s="453">
        <f t="shared" si="861"/>
        <v>0</v>
      </c>
      <c r="AZ2254" s="453">
        <f t="shared" si="861"/>
        <v>0</v>
      </c>
      <c r="BA2254" s="453">
        <f t="shared" si="861"/>
        <v>0</v>
      </c>
      <c r="BB2254" s="453">
        <f t="shared" si="861"/>
        <v>0</v>
      </c>
      <c r="BC2254" s="453">
        <f t="shared" si="861"/>
        <v>0</v>
      </c>
      <c r="BD2254" s="453">
        <f t="shared" si="861"/>
        <v>0</v>
      </c>
      <c r="BE2254" s="453">
        <f t="shared" si="861"/>
        <v>0</v>
      </c>
      <c r="BF2254" s="453">
        <f t="shared" si="861"/>
        <v>0</v>
      </c>
      <c r="BG2254" s="453">
        <f t="shared" si="861"/>
        <v>0</v>
      </c>
      <c r="BH2254" s="453">
        <f t="shared" si="861"/>
        <v>0</v>
      </c>
      <c r="BI2254" s="453">
        <f t="shared" si="861"/>
        <v>0</v>
      </c>
      <c r="BJ2254" s="453">
        <f t="shared" si="861"/>
        <v>0</v>
      </c>
      <c r="BK2254" s="453">
        <f t="shared" si="861"/>
        <v>0</v>
      </c>
      <c r="BL2254" s="62">
        <f>BL2253</f>
        <v>1</v>
      </c>
      <c r="BM2254" s="275">
        <f>BM2253</f>
        <v>3</v>
      </c>
      <c r="BN2254" s="62">
        <v>0.05</v>
      </c>
      <c r="BO2254" s="451">
        <f>BO2253</f>
        <v>0</v>
      </c>
      <c r="BP2254" s="451"/>
    </row>
    <row r="2255" spans="1:68">
      <c r="A2255" s="33" t="str">
        <f>Database_Productkaarten[[#This Row],[Product]]&amp;", "&amp;Database_Productkaarten[[#This Row],[Levensfase]]</f>
        <v>Grond, A4</v>
      </c>
      <c r="B2255" s="33" t="s">
        <v>769</v>
      </c>
      <c r="C2255" t="s">
        <v>40</v>
      </c>
      <c r="D2255" s="33" t="s">
        <v>769</v>
      </c>
      <c r="E2255" s="33" t="s">
        <v>378</v>
      </c>
      <c r="F2255" s="33" t="s">
        <v>78</v>
      </c>
      <c r="L2255" s="33">
        <v>1.625</v>
      </c>
      <c r="M2255" s="269">
        <v>1</v>
      </c>
      <c r="N2255" s="41">
        <f>G$2552*50</f>
        <v>0.42992438500000002</v>
      </c>
      <c r="O2255" s="33">
        <v>100</v>
      </c>
      <c r="P2255" s="40">
        <f t="shared" ref="P2255:Z2255" si="862">J$2552*50</f>
        <v>7.7025545000000006E-5</v>
      </c>
      <c r="Q2255" s="40">
        <f t="shared" si="862"/>
        <v>3.3373646E-2</v>
      </c>
      <c r="R2255" s="40">
        <f t="shared" si="862"/>
        <v>4.4832367999999994</v>
      </c>
      <c r="S2255" s="40">
        <f t="shared" si="862"/>
        <v>8.4932390000000005E-7</v>
      </c>
      <c r="T2255" s="40">
        <f t="shared" si="862"/>
        <v>2.8019094000000001E-3</v>
      </c>
      <c r="U2255" s="40">
        <f t="shared" si="862"/>
        <v>1.65595615E-2</v>
      </c>
      <c r="V2255" s="40">
        <f t="shared" si="862"/>
        <v>3.2106001500000004E-3</v>
      </c>
      <c r="W2255" s="40">
        <f t="shared" si="862"/>
        <v>0.96850040000000004</v>
      </c>
      <c r="X2255" s="40">
        <f t="shared" si="862"/>
        <v>4.0722445500000003E-2</v>
      </c>
      <c r="Y2255" s="40">
        <f t="shared" si="862"/>
        <v>109.34218</v>
      </c>
      <c r="Z2255" s="40">
        <f t="shared" si="862"/>
        <v>5.4427E-3</v>
      </c>
      <c r="AA2255" s="40"/>
      <c r="AB2255" s="40"/>
      <c r="AC2255" s="40"/>
      <c r="AD2255" s="40"/>
      <c r="AE2255" s="40"/>
      <c r="AF2255" s="40"/>
      <c r="AG2255" s="40"/>
      <c r="AH2255" s="40"/>
      <c r="AI2255" s="40"/>
      <c r="AJ2255" s="40"/>
      <c r="AK2255" s="40"/>
      <c r="AL2255" s="40"/>
      <c r="AM2255" s="40"/>
      <c r="AN2255" s="40"/>
      <c r="AO2255" s="40"/>
      <c r="AP2255" s="40"/>
      <c r="AQ2255" s="40"/>
      <c r="AR2255" s="40"/>
      <c r="AS2255" s="40"/>
      <c r="AT2255" s="40"/>
      <c r="AU2255" s="40"/>
      <c r="AV2255" s="281">
        <f>AP$2552*50</f>
        <v>0.71124284999999998</v>
      </c>
      <c r="AW2255" s="40"/>
      <c r="AX2255" s="40"/>
      <c r="AY2255" s="281">
        <f>AS$2552*50</f>
        <v>74.431809999999999</v>
      </c>
      <c r="AZ2255" s="40"/>
      <c r="BA2255" s="40"/>
      <c r="BB2255" s="40"/>
      <c r="BC2255" s="40">
        <f>AW$2552*50</f>
        <v>7.1161370000000007E-3</v>
      </c>
      <c r="BD2255" s="40">
        <f>AX$2552*50</f>
        <v>1.7396450000000001E-4</v>
      </c>
      <c r="BE2255" s="40">
        <f>AY$2552*50</f>
        <v>6.1519510000000004</v>
      </c>
      <c r="BF2255" s="40">
        <f>AZ$2552*50</f>
        <v>4.7809346000000002E-4</v>
      </c>
      <c r="BG2255" s="40"/>
      <c r="BH2255" s="40"/>
      <c r="BI2255" s="40"/>
      <c r="BJ2255" s="40"/>
      <c r="BK2255" s="40"/>
      <c r="BL2255" s="62">
        <v>1</v>
      </c>
      <c r="BM2255" s="275">
        <v>3</v>
      </c>
      <c r="BN2255" s="62">
        <v>0.05</v>
      </c>
    </row>
    <row r="2256" spans="1:68">
      <c r="A2256" s="33" t="str">
        <f>Database_Productkaarten[[#This Row],[Product]]&amp;", "&amp;Database_Productkaarten[[#This Row],[Levensfase]]</f>
        <v>Grond, A5</v>
      </c>
      <c r="B2256" s="33" t="s">
        <v>769</v>
      </c>
      <c r="C2256" t="s">
        <v>40</v>
      </c>
      <c r="D2256" s="33" t="s">
        <v>769</v>
      </c>
      <c r="E2256" s="33" t="s">
        <v>378</v>
      </c>
      <c r="F2256" s="33" t="s">
        <v>79</v>
      </c>
      <c r="L2256" s="33">
        <v>1.625</v>
      </c>
      <c r="M2256" s="269">
        <v>1</v>
      </c>
      <c r="N2256" s="41">
        <f>((1/Database_Productkaarten[[#This Row],[Soortelijk Gewicht '[ton / m3']]])/$H$2631)*(G$2631)</f>
        <v>4.3081633686075829E-2</v>
      </c>
      <c r="O2256" s="33">
        <v>100</v>
      </c>
      <c r="P2256" s="40">
        <f>((1/Database_Productkaarten[[#This Row],[Soortelijk Gewicht '[ton / m3']]])/$H$2631)*(J$2631)</f>
        <v>2.1763897435897436E-7</v>
      </c>
      <c r="Q2256" s="40">
        <f>((1/Database_Productkaarten[[#This Row],[Soortelijk Gewicht '[ton / m3']]])/$H$2631)*(K$2631)</f>
        <v>3.1766786114871795E-3</v>
      </c>
      <c r="R2256" s="40">
        <f>((1/Database_Productkaarten[[#This Row],[Soortelijk Gewicht '[ton / m3']]])/$H$2631)*(L$2631)</f>
        <v>0.46493901827692308</v>
      </c>
      <c r="S2256" s="40">
        <f>((1/Database_Productkaarten[[#This Row],[Soortelijk Gewicht '[ton / m3']]])/$H$2631)*(M$2631)</f>
        <v>8.0972512820512805E-8</v>
      </c>
      <c r="T2256" s="40">
        <f>((1/Database_Productkaarten[[#This Row],[Soortelijk Gewicht '[ton / m3']]])/$H$2631)*(N$2631)</f>
        <v>1.5307806235897436E-4</v>
      </c>
      <c r="U2256" s="40">
        <f>((1/Database_Productkaarten[[#This Row],[Soortelijk Gewicht '[ton / m3']]])/$H$2631)*(O$2631)</f>
        <v>4.3458124082858447E-4</v>
      </c>
      <c r="V2256" s="40">
        <f>((1/Database_Productkaarten[[#This Row],[Soortelijk Gewicht '[ton / m3']]])/$H$2631)*(P$2631)</f>
        <v>1.1877089230769231E-3</v>
      </c>
      <c r="W2256" s="40">
        <f>((1/Database_Productkaarten[[#This Row],[Soortelijk Gewicht '[ton / m3']]])/$H$2631)*(Q$2631)</f>
        <v>0.31352968963076921</v>
      </c>
      <c r="X2256" s="40">
        <f>((1/Database_Productkaarten[[#This Row],[Soortelijk Gewicht '[ton / m3']]])/$H$2631)*(R$2631)</f>
        <v>3.6700521185066661E-9</v>
      </c>
      <c r="Y2256" s="40">
        <f>((1/Database_Productkaarten[[#This Row],[Soortelijk Gewicht '[ton / m3']]])/$H$2631)*(S$2631)</f>
        <v>0.17923872524298928</v>
      </c>
      <c r="Z2256" s="40">
        <f>((1/Database_Productkaarten[[#This Row],[Soortelijk Gewicht '[ton / m3']]])/$H$2631)*(T$2631)</f>
        <v>1.4082733198977396E-3</v>
      </c>
      <c r="AA2256" s="40"/>
      <c r="AB2256" s="40"/>
      <c r="AC2256" s="40"/>
      <c r="AD2256" s="40"/>
      <c r="AE2256" s="40"/>
      <c r="AF2256" s="40"/>
      <c r="AG2256" s="40"/>
      <c r="AH2256" s="40"/>
      <c r="AI2256" s="40"/>
      <c r="AJ2256" s="40"/>
      <c r="AK2256" s="40"/>
      <c r="AL2256" s="40"/>
      <c r="AM2256" s="40"/>
      <c r="AN2256" s="40"/>
      <c r="AO2256" s="40"/>
      <c r="AP2256" s="40"/>
      <c r="AQ2256" s="40"/>
      <c r="AR2256" s="40"/>
      <c r="AS2256" s="40"/>
      <c r="AT2256" s="40"/>
      <c r="AU2256" s="40"/>
      <c r="AV2256" s="281">
        <f>((1/Database_Productkaarten[[#This Row],[Soortelijk Gewicht '[ton / m3']]])/$H$2631)*(AP$2631)</f>
        <v>5.1707688133333325E-2</v>
      </c>
      <c r="AW2256" s="40"/>
      <c r="AX2256" s="40"/>
      <c r="AY2256" s="281">
        <f>((1/Database_Productkaarten[[#This Row],[Soortelijk Gewicht '[ton / m3']]])/$H$2631)*(AS$2631)</f>
        <v>7.0906083023589748</v>
      </c>
      <c r="AZ2256" s="40"/>
      <c r="BA2256" s="40"/>
      <c r="BB2256" s="40"/>
      <c r="BC2256" s="40">
        <f>((1/Database_Productkaarten[[#This Row],[Soortelijk Gewicht '[ton / m3']]])/$H$2631)*(AW$2631)</f>
        <v>5.8856476230775379E-6</v>
      </c>
      <c r="BD2256" s="40">
        <f>((1/Database_Productkaarten[[#This Row],[Soortelijk Gewicht '[ton / m3']]])/$H$2631)*(AX$2631)</f>
        <v>1.1352941414499116E-4</v>
      </c>
      <c r="BE2256" s="40">
        <f>((1/Database_Productkaarten[[#This Row],[Soortelijk Gewicht '[ton / m3']]])/$H$2631)*(AY$2631)</f>
        <v>3.2294406716719205E-10</v>
      </c>
      <c r="BF2256" s="40">
        <f>((1/Database_Productkaarten[[#This Row],[Soortelijk Gewicht '[ton / m3']]])/$H$2631)*(AZ$2631)</f>
        <v>0</v>
      </c>
      <c r="BG2256" s="40"/>
      <c r="BH2256" s="40"/>
      <c r="BI2256" s="40"/>
      <c r="BJ2256" s="40"/>
      <c r="BK2256" s="40"/>
      <c r="BL2256" s="62">
        <v>1</v>
      </c>
      <c r="BM2256" s="275">
        <v>3</v>
      </c>
      <c r="BN2256" s="62">
        <v>0.05</v>
      </c>
    </row>
    <row r="2257" spans="1:68">
      <c r="A2257" s="33" t="str">
        <f>Database_Productkaarten[[#This Row],[Product]]&amp;", "&amp;Database_Productkaarten[[#This Row],[Levensfase]]</f>
        <v>Grond, B1</v>
      </c>
      <c r="B2257" s="33" t="s">
        <v>769</v>
      </c>
      <c r="C2257" t="s">
        <v>40</v>
      </c>
      <c r="D2257" s="33" t="s">
        <v>769</v>
      </c>
      <c r="E2257" s="33" t="s">
        <v>378</v>
      </c>
      <c r="F2257" s="33" t="s">
        <v>80</v>
      </c>
      <c r="L2257" s="33">
        <v>1.625</v>
      </c>
      <c r="M2257" s="269">
        <v>1</v>
      </c>
      <c r="N2257" s="41">
        <v>0</v>
      </c>
      <c r="O2257" s="33">
        <v>100</v>
      </c>
      <c r="P2257" s="40"/>
      <c r="Q2257" s="40"/>
      <c r="R2257" s="40"/>
      <c r="S2257" s="40"/>
      <c r="T2257" s="40"/>
      <c r="U2257" s="40"/>
      <c r="V2257" s="40"/>
      <c r="W2257" s="40"/>
      <c r="X2257" s="40"/>
      <c r="Y2257" s="40"/>
      <c r="Z2257" s="40"/>
      <c r="AA2257" s="40"/>
      <c r="AB2257" s="40"/>
      <c r="AC2257" s="40"/>
      <c r="AD2257" s="40"/>
      <c r="AE2257" s="40"/>
      <c r="AF2257" s="40"/>
      <c r="AG2257" s="40"/>
      <c r="AH2257" s="40"/>
      <c r="AI2257" s="40"/>
      <c r="AJ2257" s="40"/>
      <c r="AK2257" s="40"/>
      <c r="AL2257" s="40"/>
      <c r="AM2257" s="40"/>
      <c r="AN2257" s="40"/>
      <c r="AO2257" s="40"/>
      <c r="AP2257" s="40"/>
      <c r="AQ2257" s="40"/>
      <c r="AR2257" s="40"/>
      <c r="AS2257" s="40"/>
      <c r="AT2257" s="40"/>
      <c r="AU2257" s="40"/>
      <c r="AV2257" s="281"/>
      <c r="AW2257" s="40"/>
      <c r="AX2257" s="40"/>
      <c r="AY2257" s="281"/>
      <c r="AZ2257" s="40"/>
      <c r="BA2257" s="40"/>
      <c r="BB2257" s="40"/>
      <c r="BC2257" s="40"/>
      <c r="BD2257" s="40"/>
      <c r="BE2257" s="40"/>
      <c r="BF2257" s="40"/>
      <c r="BG2257" s="40"/>
      <c r="BH2257" s="40"/>
      <c r="BI2257" s="40"/>
      <c r="BJ2257" s="40"/>
      <c r="BK2257" s="40"/>
      <c r="BL2257" s="62">
        <v>1</v>
      </c>
      <c r="BM2257" s="275">
        <v>3</v>
      </c>
      <c r="BN2257" s="62">
        <v>0.05</v>
      </c>
    </row>
    <row r="2258" spans="1:68">
      <c r="A2258" s="33" t="str">
        <f>Database_Productkaarten[[#This Row],[Product]]&amp;", "&amp;Database_Productkaarten[[#This Row],[Levensfase]]</f>
        <v>Grond, C1</v>
      </c>
      <c r="B2258" s="33" t="s">
        <v>769</v>
      </c>
      <c r="C2258" t="s">
        <v>40</v>
      </c>
      <c r="D2258" s="33" t="s">
        <v>769</v>
      </c>
      <c r="E2258" s="33" t="s">
        <v>378</v>
      </c>
      <c r="F2258" s="33" t="s">
        <v>83</v>
      </c>
      <c r="L2258" s="33">
        <v>1.625</v>
      </c>
      <c r="M2258" s="269">
        <v>1</v>
      </c>
      <c r="N2258" s="41">
        <f>((1/Database_Productkaarten[[#This Row],[Soortelijk Gewicht '[ton / m3']]])/$H$2631)*(G$2631)</f>
        <v>4.3081633686075829E-2</v>
      </c>
      <c r="O2258" s="33">
        <v>100</v>
      </c>
      <c r="P2258" s="40">
        <f>((1/Database_Productkaarten[[#This Row],[Soortelijk Gewicht '[ton / m3']]])/$H$2631)*(J$2631)</f>
        <v>2.1763897435897436E-7</v>
      </c>
      <c r="Q2258" s="40">
        <f>((1/Database_Productkaarten[[#This Row],[Soortelijk Gewicht '[ton / m3']]])/$H$2631)*(K$2631)</f>
        <v>3.1766786114871795E-3</v>
      </c>
      <c r="R2258" s="40">
        <f>((1/Database_Productkaarten[[#This Row],[Soortelijk Gewicht '[ton / m3']]])/$H$2631)*(L$2631)</f>
        <v>0.46493901827692308</v>
      </c>
      <c r="S2258" s="40">
        <f>((1/Database_Productkaarten[[#This Row],[Soortelijk Gewicht '[ton / m3']]])/$H$2631)*(M$2631)</f>
        <v>8.0972512820512805E-8</v>
      </c>
      <c r="T2258" s="40">
        <f>((1/Database_Productkaarten[[#This Row],[Soortelijk Gewicht '[ton / m3']]])/$H$2631)*(N$2631)</f>
        <v>1.5307806235897436E-4</v>
      </c>
      <c r="U2258" s="40">
        <f>((1/Database_Productkaarten[[#This Row],[Soortelijk Gewicht '[ton / m3']]])/$H$2631)*(O$2631)</f>
        <v>4.3458124082858447E-4</v>
      </c>
      <c r="V2258" s="40">
        <f>((1/Database_Productkaarten[[#This Row],[Soortelijk Gewicht '[ton / m3']]])/$H$2631)*(P$2631)</f>
        <v>1.1877089230769231E-3</v>
      </c>
      <c r="W2258" s="40">
        <f>((1/Database_Productkaarten[[#This Row],[Soortelijk Gewicht '[ton / m3']]])/$H$2631)*(Q$2631)</f>
        <v>0.31352968963076921</v>
      </c>
      <c r="X2258" s="40">
        <f>((1/Database_Productkaarten[[#This Row],[Soortelijk Gewicht '[ton / m3']]])/$H$2631)*(R$2631)</f>
        <v>3.6700521185066661E-9</v>
      </c>
      <c r="Y2258" s="40">
        <f>((1/Database_Productkaarten[[#This Row],[Soortelijk Gewicht '[ton / m3']]])/$H$2631)*(S$2631)</f>
        <v>0.17923872524298928</v>
      </c>
      <c r="Z2258" s="40">
        <f>((1/Database_Productkaarten[[#This Row],[Soortelijk Gewicht '[ton / m3']]])/$H$2631)*(T$2631)</f>
        <v>1.4082733198977396E-3</v>
      </c>
      <c r="AA2258" s="40"/>
      <c r="AB2258" s="40"/>
      <c r="AC2258" s="40"/>
      <c r="AD2258" s="40"/>
      <c r="AE2258" s="40"/>
      <c r="AF2258" s="40"/>
      <c r="AG2258" s="40"/>
      <c r="AH2258" s="40"/>
      <c r="AI2258" s="40"/>
      <c r="AJ2258" s="40"/>
      <c r="AK2258" s="40"/>
      <c r="AL2258" s="40"/>
      <c r="AM2258" s="40"/>
      <c r="AN2258" s="40"/>
      <c r="AO2258" s="40"/>
      <c r="AP2258" s="40"/>
      <c r="AQ2258" s="40"/>
      <c r="AR2258" s="40"/>
      <c r="AS2258" s="40"/>
      <c r="AT2258" s="40"/>
      <c r="AU2258" s="40"/>
      <c r="AV2258" s="281">
        <f>((1/Database_Productkaarten[[#This Row],[Soortelijk Gewicht '[ton / m3']]])/$H$2631)*(AP$2631)</f>
        <v>5.1707688133333325E-2</v>
      </c>
      <c r="AW2258" s="40"/>
      <c r="AX2258" s="40"/>
      <c r="AY2258" s="281">
        <f>((1/Database_Productkaarten[[#This Row],[Soortelijk Gewicht '[ton / m3']]])/$H$2631)*(AS$2631)</f>
        <v>7.0906083023589748</v>
      </c>
      <c r="AZ2258" s="40"/>
      <c r="BA2258" s="40"/>
      <c r="BB2258" s="40"/>
      <c r="BC2258" s="40">
        <f>((1/Database_Productkaarten[[#This Row],[Soortelijk Gewicht '[ton / m3']]])/$H$2631)*(AW$2631)</f>
        <v>5.8856476230775379E-6</v>
      </c>
      <c r="BD2258" s="40">
        <f>((1/Database_Productkaarten[[#This Row],[Soortelijk Gewicht '[ton / m3']]])/$H$2631)*(AX$2631)</f>
        <v>1.1352941414499116E-4</v>
      </c>
      <c r="BE2258" s="40">
        <f>((1/Database_Productkaarten[[#This Row],[Soortelijk Gewicht '[ton / m3']]])/$H$2631)*(AY$2631)</f>
        <v>3.2294406716719205E-10</v>
      </c>
      <c r="BF2258" s="40">
        <f>((1/Database_Productkaarten[[#This Row],[Soortelijk Gewicht '[ton / m3']]])/$H$2631)*(AZ$2631)</f>
        <v>0</v>
      </c>
      <c r="BG2258" s="40"/>
      <c r="BH2258" s="40"/>
      <c r="BI2258" s="40"/>
      <c r="BJ2258" s="40"/>
      <c r="BK2258" s="40"/>
      <c r="BL2258" s="62">
        <v>1</v>
      </c>
      <c r="BM2258" s="275">
        <v>3</v>
      </c>
      <c r="BN2258" s="62">
        <v>0.05</v>
      </c>
    </row>
    <row r="2259" spans="1:68">
      <c r="A2259" s="33" t="str">
        <f>Database_Productkaarten[[#This Row],[Product]]&amp;", "&amp;Database_Productkaarten[[#This Row],[Levensfase]]</f>
        <v>Grond, C2</v>
      </c>
      <c r="B2259" s="33" t="s">
        <v>769</v>
      </c>
      <c r="C2259" t="s">
        <v>40</v>
      </c>
      <c r="D2259" s="33" t="s">
        <v>769</v>
      </c>
      <c r="E2259" s="33" t="s">
        <v>378</v>
      </c>
      <c r="F2259" s="33" t="s">
        <v>84</v>
      </c>
      <c r="L2259" s="33">
        <v>1.625</v>
      </c>
      <c r="M2259" s="269">
        <v>1</v>
      </c>
      <c r="N2259" s="41">
        <f>G$2552*50</f>
        <v>0.42992438500000002</v>
      </c>
      <c r="O2259" s="33">
        <v>100</v>
      </c>
      <c r="P2259" s="40">
        <f t="shared" ref="P2259:Z2259" si="863">J$2552*50</f>
        <v>7.7025545000000006E-5</v>
      </c>
      <c r="Q2259" s="40">
        <f t="shared" si="863"/>
        <v>3.3373646E-2</v>
      </c>
      <c r="R2259" s="40">
        <f t="shared" si="863"/>
        <v>4.4832367999999994</v>
      </c>
      <c r="S2259" s="40">
        <f t="shared" si="863"/>
        <v>8.4932390000000005E-7</v>
      </c>
      <c r="T2259" s="40">
        <f t="shared" si="863"/>
        <v>2.8019094000000001E-3</v>
      </c>
      <c r="U2259" s="40">
        <f t="shared" si="863"/>
        <v>1.65595615E-2</v>
      </c>
      <c r="V2259" s="40">
        <f t="shared" si="863"/>
        <v>3.2106001500000004E-3</v>
      </c>
      <c r="W2259" s="40">
        <f t="shared" si="863"/>
        <v>0.96850040000000004</v>
      </c>
      <c r="X2259" s="40">
        <f t="shared" si="863"/>
        <v>4.0722445500000003E-2</v>
      </c>
      <c r="Y2259" s="40">
        <f t="shared" si="863"/>
        <v>109.34218</v>
      </c>
      <c r="Z2259" s="40">
        <f t="shared" si="863"/>
        <v>5.4427E-3</v>
      </c>
      <c r="AA2259" s="40"/>
      <c r="AB2259" s="40"/>
      <c r="AC2259" s="40"/>
      <c r="AD2259" s="40"/>
      <c r="AE2259" s="40"/>
      <c r="AF2259" s="40"/>
      <c r="AG2259" s="40"/>
      <c r="AH2259" s="40"/>
      <c r="AI2259" s="40"/>
      <c r="AJ2259" s="40"/>
      <c r="AK2259" s="40"/>
      <c r="AL2259" s="40"/>
      <c r="AM2259" s="40"/>
      <c r="AN2259" s="40"/>
      <c r="AO2259" s="40"/>
      <c r="AP2259" s="40"/>
      <c r="AQ2259" s="40"/>
      <c r="AR2259" s="40"/>
      <c r="AS2259" s="40"/>
      <c r="AT2259" s="40"/>
      <c r="AU2259" s="40"/>
      <c r="AV2259" s="281">
        <f>AP$2552*50</f>
        <v>0.71124284999999998</v>
      </c>
      <c r="AW2259" s="40"/>
      <c r="AX2259" s="40"/>
      <c r="AY2259" s="281">
        <f>AS$2552*50</f>
        <v>74.431809999999999</v>
      </c>
      <c r="AZ2259" s="40"/>
      <c r="BA2259" s="40"/>
      <c r="BB2259" s="40"/>
      <c r="BC2259" s="40">
        <f>AW$2552*50</f>
        <v>7.1161370000000007E-3</v>
      </c>
      <c r="BD2259" s="40">
        <f>AX$2552*50</f>
        <v>1.7396450000000001E-4</v>
      </c>
      <c r="BE2259" s="40">
        <f>AY$2552*50</f>
        <v>6.1519510000000004</v>
      </c>
      <c r="BF2259" s="40">
        <f>AZ$2552*50</f>
        <v>4.7809346000000002E-4</v>
      </c>
      <c r="BG2259" s="40"/>
      <c r="BH2259" s="40"/>
      <c r="BI2259" s="40"/>
      <c r="BJ2259" s="40"/>
      <c r="BK2259" s="40"/>
      <c r="BL2259" s="62">
        <v>1</v>
      </c>
      <c r="BM2259" s="275">
        <v>3</v>
      </c>
      <c r="BN2259" s="62">
        <v>0.05</v>
      </c>
    </row>
    <row r="2260" spans="1:68">
      <c r="A2260" s="33" t="str">
        <f>Database_Productkaarten[[#This Row],[Product]]&amp;", "&amp;Database_Productkaarten[[#This Row],[Levensfase]]</f>
        <v>Grond, C3</v>
      </c>
      <c r="B2260" s="33" t="s">
        <v>769</v>
      </c>
      <c r="C2260" t="s">
        <v>40</v>
      </c>
      <c r="D2260" s="33" t="s">
        <v>769</v>
      </c>
      <c r="E2260" s="33" t="s">
        <v>378</v>
      </c>
      <c r="F2260" s="33" t="s">
        <v>85</v>
      </c>
      <c r="L2260" s="33">
        <v>1.625</v>
      </c>
      <c r="M2260" s="269">
        <v>1</v>
      </c>
      <c r="N2260" s="41">
        <v>0</v>
      </c>
      <c r="O2260" s="33">
        <v>100</v>
      </c>
      <c r="P2260" s="40"/>
      <c r="Q2260" s="40"/>
      <c r="R2260" s="40"/>
      <c r="S2260" s="40"/>
      <c r="T2260" s="40"/>
      <c r="U2260" s="40"/>
      <c r="V2260" s="40"/>
      <c r="W2260" s="40"/>
      <c r="X2260" s="40"/>
      <c r="Y2260" s="40"/>
      <c r="Z2260" s="40"/>
      <c r="AA2260" s="40"/>
      <c r="AB2260" s="40"/>
      <c r="AC2260" s="40"/>
      <c r="AD2260" s="40"/>
      <c r="AE2260" s="40"/>
      <c r="AF2260" s="40"/>
      <c r="AG2260" s="40"/>
      <c r="AH2260" s="40"/>
      <c r="AI2260" s="40"/>
      <c r="AJ2260" s="40"/>
      <c r="AK2260" s="40"/>
      <c r="AL2260" s="40"/>
      <c r="AM2260" s="40"/>
      <c r="AN2260" s="40"/>
      <c r="AO2260" s="40"/>
      <c r="AP2260" s="40"/>
      <c r="AQ2260" s="40"/>
      <c r="AR2260" s="40"/>
      <c r="AS2260" s="40"/>
      <c r="AT2260" s="40"/>
      <c r="AU2260" s="40"/>
      <c r="AV2260" s="281"/>
      <c r="AW2260" s="40"/>
      <c r="AX2260" s="40"/>
      <c r="AY2260" s="281"/>
      <c r="AZ2260" s="40"/>
      <c r="BA2260" s="40"/>
      <c r="BB2260" s="40"/>
      <c r="BC2260" s="40"/>
      <c r="BD2260" s="40"/>
      <c r="BE2260" s="40"/>
      <c r="BF2260" s="40"/>
      <c r="BG2260" s="40"/>
      <c r="BH2260" s="40"/>
      <c r="BI2260" s="40"/>
      <c r="BJ2260" s="40"/>
      <c r="BK2260" s="40"/>
      <c r="BL2260" s="62">
        <v>1</v>
      </c>
      <c r="BM2260" s="275">
        <v>3</v>
      </c>
      <c r="BN2260" s="62">
        <v>0.05</v>
      </c>
    </row>
    <row r="2261" spans="1:68">
      <c r="A2261" s="33" t="str">
        <f>Database_Productkaarten[[#This Row],[Product]]&amp;", "&amp;Database_Productkaarten[[#This Row],[Levensfase]]</f>
        <v>Grond, C4</v>
      </c>
      <c r="B2261" s="33" t="s">
        <v>769</v>
      </c>
      <c r="C2261" t="s">
        <v>40</v>
      </c>
      <c r="D2261" s="33" t="s">
        <v>769</v>
      </c>
      <c r="E2261" s="33" t="s">
        <v>378</v>
      </c>
      <c r="F2261" s="33" t="s">
        <v>86</v>
      </c>
      <c r="L2261" s="33">
        <v>1.625</v>
      </c>
      <c r="M2261" s="269">
        <v>1</v>
      </c>
      <c r="N2261" s="41">
        <v>0</v>
      </c>
      <c r="O2261" s="33">
        <v>100</v>
      </c>
      <c r="P2261" s="40"/>
      <c r="Q2261" s="40"/>
      <c r="R2261" s="40"/>
      <c r="S2261" s="40"/>
      <c r="T2261" s="40"/>
      <c r="U2261" s="40"/>
      <c r="V2261" s="40"/>
      <c r="W2261" s="40"/>
      <c r="X2261" s="40"/>
      <c r="Y2261" s="40"/>
      <c r="Z2261" s="40"/>
      <c r="AA2261" s="40"/>
      <c r="AB2261" s="40"/>
      <c r="AC2261" s="40"/>
      <c r="AD2261" s="40"/>
      <c r="AE2261" s="40"/>
      <c r="AF2261" s="40"/>
      <c r="AG2261" s="40"/>
      <c r="AH2261" s="40"/>
      <c r="AI2261" s="40"/>
      <c r="AJ2261" s="40"/>
      <c r="AK2261" s="40"/>
      <c r="AL2261" s="40"/>
      <c r="AM2261" s="40"/>
      <c r="AN2261" s="40"/>
      <c r="AO2261" s="40"/>
      <c r="AP2261" s="40"/>
      <c r="AQ2261" s="40"/>
      <c r="AR2261" s="40"/>
      <c r="AS2261" s="40"/>
      <c r="AT2261" s="40"/>
      <c r="AU2261" s="40"/>
      <c r="AV2261" s="281"/>
      <c r="AW2261" s="40"/>
      <c r="AX2261" s="40"/>
      <c r="AY2261" s="281"/>
      <c r="AZ2261" s="40"/>
      <c r="BA2261" s="40"/>
      <c r="BB2261" s="40"/>
      <c r="BC2261" s="40"/>
      <c r="BD2261" s="40"/>
      <c r="BE2261" s="40"/>
      <c r="BF2261" s="40"/>
      <c r="BG2261" s="40"/>
      <c r="BH2261" s="40"/>
      <c r="BI2261" s="40"/>
      <c r="BJ2261" s="40"/>
      <c r="BK2261" s="40"/>
      <c r="BL2261" s="62">
        <v>1</v>
      </c>
      <c r="BM2261" s="275">
        <v>3</v>
      </c>
      <c r="BN2261" s="62">
        <v>0.05</v>
      </c>
    </row>
    <row r="2262" spans="1:68">
      <c r="A2262" s="33" t="str">
        <f>Database_Productkaarten[[#This Row],[Product]]&amp;", "&amp;Database_Productkaarten[[#This Row],[Levensfase]]</f>
        <v>Grond, D</v>
      </c>
      <c r="B2262" s="33" t="str">
        <f>B2263</f>
        <v>Grond</v>
      </c>
      <c r="C2262" t="s">
        <v>40</v>
      </c>
      <c r="D2262" s="33" t="str">
        <f>D2263</f>
        <v>Grond</v>
      </c>
      <c r="E2262" s="33" t="str">
        <f>E2263</f>
        <v>Ton</v>
      </c>
      <c r="F2262" s="33" t="s">
        <v>89</v>
      </c>
      <c r="G2262" s="33">
        <f t="shared" ref="G2262:M2262" si="864">G2263</f>
        <v>0</v>
      </c>
      <c r="H2262" s="33">
        <f t="shared" si="864"/>
        <v>0</v>
      </c>
      <c r="I2262" s="33">
        <f t="shared" si="864"/>
        <v>0</v>
      </c>
      <c r="J2262" s="33">
        <f t="shared" si="864"/>
        <v>0</v>
      </c>
      <c r="K2262" s="33">
        <f t="shared" si="864"/>
        <v>0</v>
      </c>
      <c r="L2262" s="33">
        <f t="shared" si="864"/>
        <v>1.625</v>
      </c>
      <c r="M2262" s="45">
        <f t="shared" si="864"/>
        <v>1</v>
      </c>
      <c r="N2262" s="41">
        <f>SUM(N2263:N2264)</f>
        <v>0</v>
      </c>
      <c r="O2262" s="33">
        <f>O2263</f>
        <v>100</v>
      </c>
      <c r="P2262" s="40">
        <f>SUM(P2263:P2264)</f>
        <v>0</v>
      </c>
      <c r="Q2262" s="40">
        <f>SUM(Q2263:Q2264)</f>
        <v>0</v>
      </c>
      <c r="R2262" s="40">
        <f>SUM(R2263:R2264)</f>
        <v>0</v>
      </c>
      <c r="S2262" s="40">
        <f t="shared" ref="S2262:BK2262" si="865">SUM(S2263:S2264)</f>
        <v>0</v>
      </c>
      <c r="T2262" s="40">
        <f t="shared" si="865"/>
        <v>0</v>
      </c>
      <c r="U2262" s="40">
        <f t="shared" si="865"/>
        <v>0</v>
      </c>
      <c r="V2262" s="40">
        <f t="shared" si="865"/>
        <v>0</v>
      </c>
      <c r="W2262" s="40">
        <f t="shared" si="865"/>
        <v>0</v>
      </c>
      <c r="X2262" s="40">
        <f t="shared" si="865"/>
        <v>0</v>
      </c>
      <c r="Y2262" s="40">
        <f t="shared" si="865"/>
        <v>0</v>
      </c>
      <c r="Z2262" s="40">
        <f t="shared" si="865"/>
        <v>0</v>
      </c>
      <c r="AA2262" s="40">
        <f t="shared" si="865"/>
        <v>0</v>
      </c>
      <c r="AB2262" s="40">
        <f t="shared" si="865"/>
        <v>0</v>
      </c>
      <c r="AC2262" s="40">
        <f t="shared" si="865"/>
        <v>0</v>
      </c>
      <c r="AD2262" s="40">
        <f t="shared" si="865"/>
        <v>0</v>
      </c>
      <c r="AE2262" s="40">
        <f t="shared" si="865"/>
        <v>0</v>
      </c>
      <c r="AF2262" s="40">
        <f t="shared" si="865"/>
        <v>0</v>
      </c>
      <c r="AG2262" s="40">
        <f t="shared" si="865"/>
        <v>0</v>
      </c>
      <c r="AH2262" s="40">
        <f t="shared" si="865"/>
        <v>0</v>
      </c>
      <c r="AI2262" s="40">
        <f t="shared" si="865"/>
        <v>0</v>
      </c>
      <c r="AJ2262" s="40">
        <f t="shared" si="865"/>
        <v>0</v>
      </c>
      <c r="AK2262" s="40">
        <f t="shared" si="865"/>
        <v>0</v>
      </c>
      <c r="AL2262" s="40">
        <f t="shared" si="865"/>
        <v>0</v>
      </c>
      <c r="AM2262" s="40">
        <f t="shared" si="865"/>
        <v>0</v>
      </c>
      <c r="AN2262" s="40">
        <f t="shared" si="865"/>
        <v>0</v>
      </c>
      <c r="AO2262" s="40">
        <f t="shared" si="865"/>
        <v>0</v>
      </c>
      <c r="AP2262" s="40">
        <f t="shared" si="865"/>
        <v>0</v>
      </c>
      <c r="AQ2262" s="40">
        <f t="shared" si="865"/>
        <v>0</v>
      </c>
      <c r="AR2262" s="40">
        <f t="shared" si="865"/>
        <v>0</v>
      </c>
      <c r="AS2262" s="40">
        <f t="shared" si="865"/>
        <v>0</v>
      </c>
      <c r="AT2262" s="40">
        <f t="shared" si="865"/>
        <v>0</v>
      </c>
      <c r="AU2262" s="40">
        <f t="shared" si="865"/>
        <v>0</v>
      </c>
      <c r="AV2262" s="40">
        <f t="shared" si="865"/>
        <v>0</v>
      </c>
      <c r="AW2262" s="40">
        <f t="shared" si="865"/>
        <v>0</v>
      </c>
      <c r="AX2262" s="40">
        <f t="shared" si="865"/>
        <v>0</v>
      </c>
      <c r="AY2262" s="40">
        <f t="shared" si="865"/>
        <v>0</v>
      </c>
      <c r="AZ2262" s="40">
        <f t="shared" si="865"/>
        <v>0</v>
      </c>
      <c r="BA2262" s="40">
        <f t="shared" si="865"/>
        <v>0</v>
      </c>
      <c r="BB2262" s="40">
        <f t="shared" si="865"/>
        <v>0</v>
      </c>
      <c r="BC2262" s="40">
        <f t="shared" si="865"/>
        <v>0</v>
      </c>
      <c r="BD2262" s="40">
        <f t="shared" si="865"/>
        <v>0</v>
      </c>
      <c r="BE2262" s="40">
        <f t="shared" si="865"/>
        <v>0</v>
      </c>
      <c r="BF2262" s="40">
        <f t="shared" si="865"/>
        <v>0</v>
      </c>
      <c r="BG2262" s="40">
        <f t="shared" si="865"/>
        <v>0</v>
      </c>
      <c r="BH2262" s="40">
        <f t="shared" si="865"/>
        <v>0</v>
      </c>
      <c r="BI2262" s="40">
        <f t="shared" si="865"/>
        <v>0</v>
      </c>
      <c r="BJ2262" s="40">
        <f t="shared" si="865"/>
        <v>0</v>
      </c>
      <c r="BK2262" s="40">
        <f t="shared" si="865"/>
        <v>0</v>
      </c>
      <c r="BL2262" s="62">
        <f>BL2263</f>
        <v>1</v>
      </c>
      <c r="BM2262" s="275">
        <f>BM2263</f>
        <v>3</v>
      </c>
      <c r="BN2262" s="62">
        <v>0.05</v>
      </c>
      <c r="BO2262" s="33">
        <f>BO2263</f>
        <v>0</v>
      </c>
    </row>
    <row r="2263" spans="1:68">
      <c r="A2263" s="33" t="str">
        <f>Database_Productkaarten[[#This Row],[Product]]&amp;", "&amp;Database_Productkaarten[[#This Row],[Levensfase]]</f>
        <v>Grond, D1</v>
      </c>
      <c r="B2263" s="33" t="s">
        <v>769</v>
      </c>
      <c r="C2263" t="s">
        <v>40</v>
      </c>
      <c r="D2263" s="33" t="s">
        <v>769</v>
      </c>
      <c r="E2263" s="33" t="s">
        <v>378</v>
      </c>
      <c r="F2263" s="33" t="s">
        <v>87</v>
      </c>
      <c r="L2263" s="33">
        <v>1.625</v>
      </c>
      <c r="M2263" s="269">
        <v>1</v>
      </c>
      <c r="N2263" s="41">
        <v>0</v>
      </c>
      <c r="O2263" s="33">
        <v>100</v>
      </c>
      <c r="P2263" s="40"/>
      <c r="Q2263" s="40"/>
      <c r="R2263" s="40"/>
      <c r="S2263" s="40"/>
      <c r="T2263" s="40"/>
      <c r="U2263" s="40"/>
      <c r="V2263" s="40"/>
      <c r="W2263" s="40"/>
      <c r="X2263" s="40"/>
      <c r="Y2263" s="40"/>
      <c r="Z2263" s="40"/>
      <c r="AA2263" s="40"/>
      <c r="AB2263" s="40"/>
      <c r="AC2263" s="40"/>
      <c r="AD2263" s="40"/>
      <c r="AE2263" s="40"/>
      <c r="AF2263" s="40"/>
      <c r="AG2263" s="40"/>
      <c r="AH2263" s="40"/>
      <c r="AI2263" s="40"/>
      <c r="AJ2263" s="40"/>
      <c r="AK2263" s="40"/>
      <c r="AL2263" s="40"/>
      <c r="AM2263" s="40"/>
      <c r="AN2263" s="40"/>
      <c r="AO2263" s="40"/>
      <c r="AP2263" s="40"/>
      <c r="AQ2263" s="40"/>
      <c r="AR2263" s="40"/>
      <c r="AS2263" s="40"/>
      <c r="AT2263" s="40"/>
      <c r="AU2263" s="40"/>
      <c r="AV2263" s="281"/>
      <c r="AW2263" s="40"/>
      <c r="AX2263" s="40"/>
      <c r="AY2263" s="281"/>
      <c r="AZ2263" s="40"/>
      <c r="BA2263" s="40"/>
      <c r="BB2263" s="40"/>
      <c r="BC2263" s="40"/>
      <c r="BD2263" s="40"/>
      <c r="BE2263" s="40"/>
      <c r="BF2263" s="40"/>
      <c r="BG2263" s="40"/>
      <c r="BH2263" s="40"/>
      <c r="BI2263" s="40"/>
      <c r="BJ2263" s="40"/>
      <c r="BK2263" s="40"/>
      <c r="BL2263" s="62">
        <v>1</v>
      </c>
      <c r="BM2263" s="275">
        <v>3</v>
      </c>
      <c r="BN2263" s="62">
        <v>0.05</v>
      </c>
    </row>
    <row r="2264" spans="1:68">
      <c r="A2264" s="33" t="str">
        <f>Database_Productkaarten[[#This Row],[Product]]&amp;", "&amp;Database_Productkaarten[[#This Row],[Levensfase]]</f>
        <v>Grond, D2</v>
      </c>
      <c r="B2264" s="33" t="s">
        <v>769</v>
      </c>
      <c r="C2264" t="s">
        <v>40</v>
      </c>
      <c r="D2264" s="33" t="s">
        <v>769</v>
      </c>
      <c r="E2264" s="33" t="s">
        <v>378</v>
      </c>
      <c r="F2264" s="33" t="s">
        <v>88</v>
      </c>
      <c r="L2264" s="33">
        <v>1.625</v>
      </c>
      <c r="M2264" s="269">
        <v>1</v>
      </c>
      <c r="N2264" s="41">
        <v>0</v>
      </c>
      <c r="O2264" s="33">
        <v>100</v>
      </c>
      <c r="P2264" s="40"/>
      <c r="Q2264" s="40"/>
      <c r="R2264" s="40"/>
      <c r="S2264" s="40"/>
      <c r="T2264" s="40"/>
      <c r="U2264" s="40"/>
      <c r="V2264" s="40"/>
      <c r="W2264" s="40"/>
      <c r="X2264" s="40"/>
      <c r="Y2264" s="40"/>
      <c r="Z2264" s="40"/>
      <c r="AA2264" s="40"/>
      <c r="AB2264" s="40"/>
      <c r="AC2264" s="40"/>
      <c r="AD2264" s="40"/>
      <c r="AE2264" s="40"/>
      <c r="AF2264" s="40"/>
      <c r="AG2264" s="40"/>
      <c r="AH2264" s="40"/>
      <c r="AI2264" s="40"/>
      <c r="AJ2264" s="40"/>
      <c r="AK2264" s="40"/>
      <c r="AL2264" s="40"/>
      <c r="AM2264" s="40"/>
      <c r="AN2264" s="40"/>
      <c r="AO2264" s="40"/>
      <c r="AP2264" s="40"/>
      <c r="AQ2264" s="40"/>
      <c r="AR2264" s="40"/>
      <c r="AS2264" s="40"/>
      <c r="AT2264" s="40"/>
      <c r="AU2264" s="40"/>
      <c r="AV2264" s="281"/>
      <c r="AW2264" s="40"/>
      <c r="AX2264" s="40"/>
      <c r="AY2264" s="281"/>
      <c r="AZ2264" s="40"/>
      <c r="BA2264" s="40"/>
      <c r="BB2264" s="40"/>
      <c r="BC2264" s="40"/>
      <c r="BD2264" s="40"/>
      <c r="BE2264" s="40"/>
      <c r="BF2264" s="40"/>
      <c r="BG2264" s="40"/>
      <c r="BH2264" s="40"/>
      <c r="BI2264" s="40"/>
      <c r="BJ2264" s="40"/>
      <c r="BK2264" s="40"/>
      <c r="BL2264" s="62">
        <v>1</v>
      </c>
      <c r="BM2264" s="275">
        <v>3</v>
      </c>
      <c r="BN2264" s="62">
        <v>0.05</v>
      </c>
    </row>
    <row r="2265" spans="1:68">
      <c r="A2265" s="33" t="str">
        <f>Database_Productkaarten[[#This Row],[Product]]&amp;", "&amp;Database_Productkaarten[[#This Row],[Levensfase]]</f>
        <v>Ophoogmateriaal (Grond), Totaal</v>
      </c>
      <c r="B2265" s="33" t="s">
        <v>41</v>
      </c>
      <c r="C2265" t="s">
        <v>40</v>
      </c>
      <c r="D2265" s="33" t="s">
        <v>769</v>
      </c>
      <c r="E2265" s="33" t="s">
        <v>666</v>
      </c>
      <c r="F2265" s="33" t="s">
        <v>90</v>
      </c>
      <c r="G2265" s="33">
        <v>1</v>
      </c>
      <c r="H2265" s="33">
        <v>1</v>
      </c>
      <c r="I2265" s="33">
        <v>1</v>
      </c>
      <c r="L2265" s="33">
        <v>1.625</v>
      </c>
      <c r="M2265" s="33">
        <v>1.625</v>
      </c>
      <c r="N2265" s="41"/>
      <c r="O2265" s="33">
        <v>100</v>
      </c>
      <c r="AV2265" s="281"/>
      <c r="AY2265" s="281"/>
      <c r="BL2265" s="62">
        <v>1</v>
      </c>
      <c r="BM2265" s="275">
        <v>3</v>
      </c>
      <c r="BN2265" s="62">
        <v>0.05</v>
      </c>
      <c r="BO2265" t="s">
        <v>770</v>
      </c>
      <c r="BP2265" s="33" t="s">
        <v>771</v>
      </c>
    </row>
    <row r="2266" spans="1:68">
      <c r="A2266" s="33" t="str">
        <f>Database_Productkaarten[[#This Row],[Product]]&amp;", "&amp;Database_Productkaarten[[#This Row],[Levensfase]]</f>
        <v>Ophoogmateriaal (Grond), A1</v>
      </c>
      <c r="B2266" s="33" t="s">
        <v>41</v>
      </c>
      <c r="C2266" t="s">
        <v>40</v>
      </c>
      <c r="D2266" s="33" t="s">
        <v>769</v>
      </c>
      <c r="E2266" s="33" t="s">
        <v>666</v>
      </c>
      <c r="F2266" s="33" t="s">
        <v>74</v>
      </c>
      <c r="G2266" s="33">
        <v>1</v>
      </c>
      <c r="H2266" s="33">
        <v>1</v>
      </c>
      <c r="I2266" s="33">
        <v>1</v>
      </c>
      <c r="L2266" s="33">
        <v>1.625</v>
      </c>
      <c r="M2266" s="33">
        <v>1.625</v>
      </c>
      <c r="N2266" s="41"/>
      <c r="O2266" s="33">
        <v>100</v>
      </c>
      <c r="AV2266" s="281"/>
      <c r="AY2266" s="281"/>
      <c r="BL2266" s="62">
        <v>1</v>
      </c>
      <c r="BM2266" s="275">
        <v>3</v>
      </c>
      <c r="BN2266" s="62">
        <v>0.05</v>
      </c>
      <c r="BO2266" t="s">
        <v>770</v>
      </c>
      <c r="BP2266" s="33" t="s">
        <v>771</v>
      </c>
    </row>
    <row r="2267" spans="1:68">
      <c r="A2267" s="33" t="str">
        <f>Database_Productkaarten[[#This Row],[Product]]&amp;", "&amp;Database_Productkaarten[[#This Row],[Levensfase]]</f>
        <v>Ophoogmateriaal (Grond), A2</v>
      </c>
      <c r="B2267" s="33" t="s">
        <v>41</v>
      </c>
      <c r="C2267" t="s">
        <v>40</v>
      </c>
      <c r="D2267" s="33" t="s">
        <v>769</v>
      </c>
      <c r="E2267" s="33" t="s">
        <v>666</v>
      </c>
      <c r="F2267" s="33" t="s">
        <v>75</v>
      </c>
      <c r="G2267" s="33">
        <v>1</v>
      </c>
      <c r="H2267" s="33">
        <v>1</v>
      </c>
      <c r="I2267" s="33">
        <v>1</v>
      </c>
      <c r="L2267" s="33">
        <v>1.625</v>
      </c>
      <c r="M2267" s="33">
        <v>1.625</v>
      </c>
      <c r="N2267" s="41"/>
      <c r="O2267" s="33">
        <v>100</v>
      </c>
      <c r="AV2267" s="281"/>
      <c r="AY2267" s="281"/>
      <c r="BL2267" s="62">
        <v>1</v>
      </c>
      <c r="BM2267" s="275">
        <v>3</v>
      </c>
      <c r="BN2267" s="62">
        <v>0.05</v>
      </c>
      <c r="BO2267" t="s">
        <v>770</v>
      </c>
      <c r="BP2267" s="33" t="s">
        <v>771</v>
      </c>
    </row>
    <row r="2268" spans="1:68">
      <c r="A2268" s="33" t="str">
        <f>Database_Productkaarten[[#This Row],[Product]]&amp;", "&amp;Database_Productkaarten[[#This Row],[Levensfase]]</f>
        <v>Ophoogmateriaal (Grond), A3</v>
      </c>
      <c r="B2268" s="33" t="s">
        <v>41</v>
      </c>
      <c r="C2268" t="s">
        <v>40</v>
      </c>
      <c r="D2268" s="33" t="s">
        <v>769</v>
      </c>
      <c r="E2268" s="33" t="s">
        <v>666</v>
      </c>
      <c r="F2268" s="33" t="s">
        <v>76</v>
      </c>
      <c r="G2268" s="33">
        <v>1</v>
      </c>
      <c r="H2268" s="33">
        <v>1</v>
      </c>
      <c r="I2268" s="33">
        <v>1</v>
      </c>
      <c r="L2268" s="33">
        <v>1.625</v>
      </c>
      <c r="M2268" s="33">
        <v>1.625</v>
      </c>
      <c r="N2268" s="41"/>
      <c r="O2268" s="33">
        <v>100</v>
      </c>
      <c r="AV2268" s="281"/>
      <c r="AY2268" s="281"/>
      <c r="BL2268" s="62">
        <v>1</v>
      </c>
      <c r="BM2268" s="275">
        <v>3</v>
      </c>
      <c r="BN2268" s="62">
        <v>0.05</v>
      </c>
      <c r="BO2268" t="s">
        <v>770</v>
      </c>
      <c r="BP2268" s="33" t="s">
        <v>771</v>
      </c>
    </row>
    <row r="2269" spans="1:68">
      <c r="A2269" s="33" t="str">
        <f>Database_Productkaarten[[#This Row],[Product]]&amp;", "&amp;Database_Productkaarten[[#This Row],[Levensfase]]</f>
        <v>Ophoogmateriaal (Grond), A1-A3</v>
      </c>
      <c r="B2269" s="33" t="s">
        <v>41</v>
      </c>
      <c r="C2269" t="s">
        <v>40</v>
      </c>
      <c r="D2269" s="33" t="s">
        <v>769</v>
      </c>
      <c r="E2269" s="33" t="s">
        <v>666</v>
      </c>
      <c r="F2269" s="451" t="s">
        <v>77</v>
      </c>
      <c r="G2269" s="33">
        <v>1</v>
      </c>
      <c r="H2269" s="33">
        <v>1</v>
      </c>
      <c r="I2269" s="33">
        <v>1</v>
      </c>
      <c r="L2269" s="33">
        <v>1.625</v>
      </c>
      <c r="M2269" s="33">
        <v>1.625</v>
      </c>
      <c r="N2269" s="41">
        <v>0</v>
      </c>
      <c r="O2269" s="33">
        <v>100</v>
      </c>
      <c r="P2269" s="163">
        <v>0</v>
      </c>
      <c r="Q2269" s="163">
        <v>0</v>
      </c>
      <c r="R2269" s="163">
        <v>0</v>
      </c>
      <c r="S2269" s="163">
        <v>0</v>
      </c>
      <c r="T2269" s="163">
        <v>0</v>
      </c>
      <c r="U2269" s="163">
        <v>0</v>
      </c>
      <c r="V2269" s="163">
        <v>0</v>
      </c>
      <c r="W2269" s="163">
        <v>0</v>
      </c>
      <c r="X2269" s="163">
        <v>0</v>
      </c>
      <c r="Y2269" s="163">
        <v>0</v>
      </c>
      <c r="Z2269" s="163">
        <v>0</v>
      </c>
      <c r="AV2269" s="163">
        <v>0</v>
      </c>
      <c r="AY2269" s="163">
        <v>0</v>
      </c>
      <c r="BL2269" s="62">
        <v>1</v>
      </c>
      <c r="BM2269" s="275">
        <v>3</v>
      </c>
      <c r="BN2269" s="62">
        <v>0.05</v>
      </c>
      <c r="BO2269" t="s">
        <v>770</v>
      </c>
      <c r="BP2269" s="33" t="s">
        <v>771</v>
      </c>
    </row>
    <row r="2270" spans="1:68">
      <c r="A2270" s="33" t="str">
        <f>Database_Productkaarten[[#This Row],[Product]]&amp;", "&amp;Database_Productkaarten[[#This Row],[Levensfase]]</f>
        <v>Ophoogmateriaal (Grond), A4</v>
      </c>
      <c r="B2270" s="33" t="s">
        <v>41</v>
      </c>
      <c r="C2270" t="s">
        <v>40</v>
      </c>
      <c r="D2270" s="33" t="s">
        <v>769</v>
      </c>
      <c r="E2270" s="33" t="s">
        <v>666</v>
      </c>
      <c r="F2270" s="33" t="s">
        <v>78</v>
      </c>
      <c r="G2270" s="33">
        <v>1</v>
      </c>
      <c r="H2270" s="33">
        <v>1</v>
      </c>
      <c r="I2270" s="33">
        <v>1</v>
      </c>
      <c r="L2270" s="33">
        <v>1.625</v>
      </c>
      <c r="M2270" s="33">
        <v>1.625</v>
      </c>
      <c r="N2270" s="41">
        <v>0.77022999999999997</v>
      </c>
      <c r="O2270" s="33">
        <v>100</v>
      </c>
      <c r="P2270" s="163">
        <v>0</v>
      </c>
      <c r="Q2270" s="163">
        <v>0.05</v>
      </c>
      <c r="R2270" s="163">
        <v>6.86</v>
      </c>
      <c r="S2270" s="163">
        <v>0</v>
      </c>
      <c r="T2270" s="163">
        <v>0</v>
      </c>
      <c r="U2270" s="163">
        <v>0.03</v>
      </c>
      <c r="V2270" s="163">
        <v>0.01</v>
      </c>
      <c r="W2270" s="163">
        <v>2.42</v>
      </c>
      <c r="X2270" s="163">
        <v>0.16</v>
      </c>
      <c r="Y2270" s="163">
        <v>408.01</v>
      </c>
      <c r="Z2270" s="163">
        <v>0.01</v>
      </c>
      <c r="AV2270" s="163">
        <v>0</v>
      </c>
      <c r="AY2270" s="163">
        <v>0</v>
      </c>
      <c r="BL2270" s="62">
        <v>1</v>
      </c>
      <c r="BM2270" s="275">
        <v>3</v>
      </c>
      <c r="BN2270" s="62">
        <v>0.05</v>
      </c>
      <c r="BO2270" t="s">
        <v>770</v>
      </c>
      <c r="BP2270" s="33" t="s">
        <v>771</v>
      </c>
    </row>
    <row r="2271" spans="1:68">
      <c r="A2271" s="33" t="str">
        <f>Database_Productkaarten[[#This Row],[Product]]&amp;", "&amp;Database_Productkaarten[[#This Row],[Levensfase]]</f>
        <v>Ophoogmateriaal (Grond), A5</v>
      </c>
      <c r="B2271" s="33" t="s">
        <v>41</v>
      </c>
      <c r="C2271" t="s">
        <v>40</v>
      </c>
      <c r="D2271" s="33" t="s">
        <v>769</v>
      </c>
      <c r="E2271" s="33" t="s">
        <v>666</v>
      </c>
      <c r="F2271" s="33" t="s">
        <v>79</v>
      </c>
      <c r="G2271" s="33">
        <v>1</v>
      </c>
      <c r="H2271" s="33">
        <v>1</v>
      </c>
      <c r="I2271" s="33">
        <v>1</v>
      </c>
      <c r="L2271" s="33">
        <v>1.625</v>
      </c>
      <c r="M2271" s="33">
        <v>1.625</v>
      </c>
      <c r="N2271" s="41">
        <v>0.15537000000000001</v>
      </c>
      <c r="O2271" s="33">
        <v>100</v>
      </c>
      <c r="P2271" s="163">
        <v>0</v>
      </c>
      <c r="Q2271" s="163">
        <v>1.1500000000000002E-2</v>
      </c>
      <c r="R2271" s="163">
        <v>1.67675</v>
      </c>
      <c r="S2271" s="163">
        <v>0</v>
      </c>
      <c r="T2271" s="163">
        <v>5.0000000000000001E-4</v>
      </c>
      <c r="U2271" s="163">
        <v>5.000000000000001E-3</v>
      </c>
      <c r="V2271" s="163">
        <v>1E-3</v>
      </c>
      <c r="W2271" s="163">
        <v>0.41500000000000004</v>
      </c>
      <c r="X2271" s="163">
        <v>8.2500000000000004E-3</v>
      </c>
      <c r="Y2271" s="163">
        <v>27.506250000000001</v>
      </c>
      <c r="Z2271" s="163">
        <v>1.5E-3</v>
      </c>
      <c r="AV2271" s="163">
        <v>0</v>
      </c>
      <c r="AY2271" s="163">
        <v>0</v>
      </c>
      <c r="BL2271" s="62">
        <v>1</v>
      </c>
      <c r="BM2271" s="275">
        <v>3</v>
      </c>
      <c r="BN2271" s="62">
        <v>0.05</v>
      </c>
      <c r="BO2271" t="s">
        <v>770</v>
      </c>
      <c r="BP2271" s="33" t="s">
        <v>771</v>
      </c>
    </row>
    <row r="2272" spans="1:68">
      <c r="A2272" s="33" t="str">
        <f>Database_Productkaarten[[#This Row],[Product]]&amp;", "&amp;Database_Productkaarten[[#This Row],[Levensfase]]</f>
        <v>Ophoogmateriaal (Grond), B1</v>
      </c>
      <c r="B2272" s="33" t="s">
        <v>41</v>
      </c>
      <c r="C2272" t="s">
        <v>40</v>
      </c>
      <c r="D2272" s="33" t="s">
        <v>769</v>
      </c>
      <c r="E2272" s="33" t="s">
        <v>666</v>
      </c>
      <c r="F2272" s="33" t="s">
        <v>80</v>
      </c>
      <c r="G2272" s="33">
        <v>1</v>
      </c>
      <c r="H2272" s="33">
        <v>1</v>
      </c>
      <c r="I2272" s="33">
        <v>1</v>
      </c>
      <c r="L2272" s="33">
        <v>1.625</v>
      </c>
      <c r="M2272" s="33">
        <v>1.625</v>
      </c>
      <c r="N2272" s="41"/>
      <c r="O2272" s="33">
        <v>100</v>
      </c>
      <c r="P2272" s="163"/>
      <c r="Q2272" s="163"/>
      <c r="R2272" s="163"/>
      <c r="S2272" s="163"/>
      <c r="T2272" s="163"/>
      <c r="U2272" s="163"/>
      <c r="V2272" s="163"/>
      <c r="W2272" s="163"/>
      <c r="X2272" s="163"/>
      <c r="Y2272" s="163"/>
      <c r="Z2272" s="163"/>
      <c r="AV2272" s="163">
        <v>0</v>
      </c>
      <c r="AY2272" s="163">
        <v>0</v>
      </c>
      <c r="BL2272" s="62">
        <v>1</v>
      </c>
      <c r="BM2272" s="275">
        <v>3</v>
      </c>
      <c r="BN2272" s="62">
        <v>0.05</v>
      </c>
      <c r="BO2272" t="s">
        <v>770</v>
      </c>
      <c r="BP2272" s="33" t="s">
        <v>771</v>
      </c>
    </row>
    <row r="2273" spans="1:68">
      <c r="A2273" s="33" t="str">
        <f>Database_Productkaarten[[#This Row],[Product]]&amp;", "&amp;Database_Productkaarten[[#This Row],[Levensfase]]</f>
        <v>Ophoogmateriaal (Grond), C1</v>
      </c>
      <c r="B2273" s="33" t="s">
        <v>41</v>
      </c>
      <c r="C2273" t="s">
        <v>40</v>
      </c>
      <c r="D2273" s="33" t="s">
        <v>769</v>
      </c>
      <c r="E2273" s="33" t="s">
        <v>666</v>
      </c>
      <c r="F2273" s="33" t="s">
        <v>83</v>
      </c>
      <c r="G2273" s="33">
        <v>1</v>
      </c>
      <c r="H2273" s="33">
        <v>1</v>
      </c>
      <c r="I2273" s="33">
        <v>1</v>
      </c>
      <c r="L2273" s="33">
        <v>1.625</v>
      </c>
      <c r="M2273" s="33">
        <v>1.625</v>
      </c>
      <c r="N2273" s="41">
        <v>7.1919999999999998E-2</v>
      </c>
      <c r="O2273" s="33">
        <v>100</v>
      </c>
      <c r="P2273" s="163">
        <v>0</v>
      </c>
      <c r="Q2273" s="163">
        <v>5.3333440000000003E-3</v>
      </c>
      <c r="R2273" s="163">
        <v>0.77616821899999999</v>
      </c>
      <c r="S2273" s="163">
        <v>0</v>
      </c>
      <c r="T2273" s="163">
        <v>3.3333400000000002E-4</v>
      </c>
      <c r="U2273" s="163">
        <v>2.3333380000000003E-3</v>
      </c>
      <c r="V2273" s="163">
        <v>5.0000099999999992E-4</v>
      </c>
      <c r="W2273" s="163">
        <v>0.19216705099999998</v>
      </c>
      <c r="X2273" s="163">
        <v>3.8333410000000001E-3</v>
      </c>
      <c r="Y2273" s="163">
        <v>12.732858799000001</v>
      </c>
      <c r="Z2273" s="163">
        <v>6.6666800000000003E-4</v>
      </c>
      <c r="AV2273" s="163">
        <v>0</v>
      </c>
      <c r="AY2273" s="163">
        <v>0</v>
      </c>
      <c r="BL2273" s="62">
        <v>1</v>
      </c>
      <c r="BM2273" s="275">
        <v>3</v>
      </c>
      <c r="BN2273" s="62">
        <v>0.05</v>
      </c>
      <c r="BO2273" t="s">
        <v>770</v>
      </c>
      <c r="BP2273" s="33" t="s">
        <v>771</v>
      </c>
    </row>
    <row r="2274" spans="1:68">
      <c r="A2274" s="33" t="str">
        <f>Database_Productkaarten[[#This Row],[Product]]&amp;", "&amp;Database_Productkaarten[[#This Row],[Levensfase]]</f>
        <v>Ophoogmateriaal (Grond), C2</v>
      </c>
      <c r="B2274" s="33" t="s">
        <v>41</v>
      </c>
      <c r="C2274" t="s">
        <v>40</v>
      </c>
      <c r="D2274" s="33" t="s">
        <v>769</v>
      </c>
      <c r="E2274" s="33" t="s">
        <v>666</v>
      </c>
      <c r="F2274" s="33" t="s">
        <v>84</v>
      </c>
      <c r="G2274" s="33">
        <v>1</v>
      </c>
      <c r="H2274" s="33">
        <v>1</v>
      </c>
      <c r="I2274" s="33">
        <v>1</v>
      </c>
      <c r="L2274" s="33">
        <v>1.625</v>
      </c>
      <c r="M2274" s="33">
        <v>1.625</v>
      </c>
      <c r="N2274" s="41">
        <v>0.77793000000000001</v>
      </c>
      <c r="O2274" s="33">
        <v>100</v>
      </c>
      <c r="P2274" s="163">
        <v>0</v>
      </c>
      <c r="Q2274" s="163">
        <v>0.05</v>
      </c>
      <c r="R2274" s="163">
        <v>6.93</v>
      </c>
      <c r="S2274" s="163">
        <v>0</v>
      </c>
      <c r="T2274" s="163">
        <v>0</v>
      </c>
      <c r="U2274" s="163">
        <v>0.03</v>
      </c>
      <c r="V2274" s="163">
        <v>0.01</v>
      </c>
      <c r="W2274" s="163">
        <v>2.44</v>
      </c>
      <c r="X2274" s="163">
        <v>0.16</v>
      </c>
      <c r="Y2274" s="163">
        <v>412.09</v>
      </c>
      <c r="Z2274" s="163">
        <v>0.01</v>
      </c>
      <c r="AV2274" s="163">
        <v>0</v>
      </c>
      <c r="AY2274" s="163">
        <v>0</v>
      </c>
      <c r="BL2274" s="62">
        <v>1</v>
      </c>
      <c r="BM2274" s="275">
        <v>3</v>
      </c>
      <c r="BN2274" s="62">
        <v>0.05</v>
      </c>
      <c r="BO2274" t="s">
        <v>770</v>
      </c>
      <c r="BP2274" s="33" t="s">
        <v>771</v>
      </c>
    </row>
    <row r="2275" spans="1:68">
      <c r="A2275" s="33" t="str">
        <f>Database_Productkaarten[[#This Row],[Product]]&amp;", "&amp;Database_Productkaarten[[#This Row],[Levensfase]]</f>
        <v>Ophoogmateriaal (Grond), C3</v>
      </c>
      <c r="B2275" s="33" t="s">
        <v>41</v>
      </c>
      <c r="C2275" t="s">
        <v>40</v>
      </c>
      <c r="D2275" s="33" t="s">
        <v>769</v>
      </c>
      <c r="E2275" s="33" t="s">
        <v>666</v>
      </c>
      <c r="F2275" s="33" t="s">
        <v>85</v>
      </c>
      <c r="G2275" s="33">
        <v>1</v>
      </c>
      <c r="H2275" s="33">
        <v>1</v>
      </c>
      <c r="I2275" s="33">
        <v>1</v>
      </c>
      <c r="L2275" s="33">
        <v>1.625</v>
      </c>
      <c r="M2275" s="33">
        <v>1.625</v>
      </c>
      <c r="N2275" s="41"/>
      <c r="O2275" s="33">
        <v>100</v>
      </c>
      <c r="P2275" s="163">
        <v>0</v>
      </c>
      <c r="Q2275" s="163">
        <v>0</v>
      </c>
      <c r="R2275" s="163">
        <v>0</v>
      </c>
      <c r="S2275" s="163">
        <v>0</v>
      </c>
      <c r="T2275" s="163">
        <v>0</v>
      </c>
      <c r="U2275" s="163">
        <v>0</v>
      </c>
      <c r="V2275" s="163">
        <v>0</v>
      </c>
      <c r="W2275" s="163">
        <v>0</v>
      </c>
      <c r="X2275" s="163">
        <v>0</v>
      </c>
      <c r="Y2275" s="163">
        <v>0</v>
      </c>
      <c r="Z2275" s="163">
        <v>0</v>
      </c>
      <c r="AV2275" s="163">
        <v>0</v>
      </c>
      <c r="AY2275" s="163">
        <v>0</v>
      </c>
      <c r="BL2275" s="62">
        <v>1</v>
      </c>
      <c r="BM2275" s="275">
        <v>3</v>
      </c>
      <c r="BN2275" s="62">
        <v>0.05</v>
      </c>
      <c r="BO2275" t="s">
        <v>770</v>
      </c>
      <c r="BP2275" s="33" t="s">
        <v>771</v>
      </c>
    </row>
    <row r="2276" spans="1:68">
      <c r="A2276" s="33" t="str">
        <f>Database_Productkaarten[[#This Row],[Product]]&amp;", "&amp;Database_Productkaarten[[#This Row],[Levensfase]]</f>
        <v>Ophoogmateriaal (Grond), C4</v>
      </c>
      <c r="B2276" s="33" t="s">
        <v>41</v>
      </c>
      <c r="C2276" t="s">
        <v>40</v>
      </c>
      <c r="D2276" s="33" t="s">
        <v>769</v>
      </c>
      <c r="E2276" s="33" t="s">
        <v>666</v>
      </c>
      <c r="F2276" s="33" t="s">
        <v>86</v>
      </c>
      <c r="G2276" s="33">
        <v>1</v>
      </c>
      <c r="H2276" s="33">
        <v>1</v>
      </c>
      <c r="I2276" s="33">
        <v>1</v>
      </c>
      <c r="L2276" s="33">
        <v>1.625</v>
      </c>
      <c r="M2276" s="33">
        <v>1.625</v>
      </c>
      <c r="N2276" s="41">
        <v>1.208E-2</v>
      </c>
      <c r="O2276" s="33">
        <v>100</v>
      </c>
      <c r="P2276" s="163">
        <v>0</v>
      </c>
      <c r="Q2276" s="163">
        <v>0</v>
      </c>
      <c r="R2276" s="163">
        <v>0.09</v>
      </c>
      <c r="S2276" s="163">
        <v>0</v>
      </c>
      <c r="T2276" s="163">
        <v>0</v>
      </c>
      <c r="U2276" s="163">
        <v>0</v>
      </c>
      <c r="V2276" s="163">
        <v>0</v>
      </c>
      <c r="W2276" s="163">
        <v>0.04</v>
      </c>
      <c r="X2276" s="163">
        <v>0</v>
      </c>
      <c r="Y2276" s="163">
        <v>3.17</v>
      </c>
      <c r="Z2276" s="163">
        <v>0</v>
      </c>
      <c r="AV2276" s="163">
        <v>2.1600000000000001E-2</v>
      </c>
      <c r="AY2276" s="163">
        <v>2.8</v>
      </c>
      <c r="BL2276" s="62">
        <v>1</v>
      </c>
      <c r="BM2276" s="275">
        <v>3</v>
      </c>
      <c r="BN2276" s="62">
        <v>0.05</v>
      </c>
      <c r="BO2276" t="s">
        <v>770</v>
      </c>
      <c r="BP2276" s="33" t="s">
        <v>771</v>
      </c>
    </row>
    <row r="2277" spans="1:68">
      <c r="A2277" s="33" t="str">
        <f>Database_Productkaarten[[#This Row],[Product]]&amp;", "&amp;Database_Productkaarten[[#This Row],[Levensfase]]</f>
        <v>Ophoogmateriaal (Grond), D</v>
      </c>
      <c r="B2277" s="33" t="s">
        <v>41</v>
      </c>
      <c r="C2277" t="s">
        <v>40</v>
      </c>
      <c r="D2277" s="33" t="s">
        <v>769</v>
      </c>
      <c r="E2277" s="33" t="s">
        <v>666</v>
      </c>
      <c r="F2277" s="33" t="s">
        <v>89</v>
      </c>
      <c r="G2277" s="33">
        <v>1</v>
      </c>
      <c r="H2277" s="33">
        <v>1</v>
      </c>
      <c r="I2277" s="33">
        <v>1</v>
      </c>
      <c r="L2277" s="33">
        <v>1.625</v>
      </c>
      <c r="M2277" s="33">
        <v>1.625</v>
      </c>
      <c r="N2277" s="41"/>
      <c r="O2277" s="33">
        <v>100</v>
      </c>
      <c r="AV2277" s="163">
        <v>0</v>
      </c>
      <c r="AY2277" s="163">
        <v>0</v>
      </c>
      <c r="BL2277" s="62">
        <v>1</v>
      </c>
      <c r="BM2277" s="275">
        <v>3</v>
      </c>
      <c r="BN2277" s="62">
        <v>0.05</v>
      </c>
      <c r="BO2277" t="s">
        <v>770</v>
      </c>
      <c r="BP2277" s="33" t="s">
        <v>771</v>
      </c>
    </row>
    <row r="2278" spans="1:68">
      <c r="A2278" s="33" t="str">
        <f>Database_Productkaarten[[#This Row],[Product]]&amp;", "&amp;Database_Productkaarten[[#This Row],[Levensfase]]</f>
        <v>Ophoogmateriaal (Grond), D1</v>
      </c>
      <c r="B2278" s="33" t="s">
        <v>41</v>
      </c>
      <c r="C2278" t="s">
        <v>40</v>
      </c>
      <c r="D2278" s="33" t="s">
        <v>769</v>
      </c>
      <c r="E2278" s="33" t="s">
        <v>666</v>
      </c>
      <c r="F2278" s="33" t="s">
        <v>87</v>
      </c>
      <c r="G2278" s="33">
        <v>1</v>
      </c>
      <c r="H2278" s="33">
        <v>1</v>
      </c>
      <c r="I2278" s="33">
        <v>1</v>
      </c>
      <c r="L2278" s="33">
        <v>1.625</v>
      </c>
      <c r="M2278" s="33">
        <v>1.625</v>
      </c>
      <c r="N2278" s="41"/>
      <c r="O2278" s="33">
        <v>100</v>
      </c>
      <c r="AV2278" s="281"/>
      <c r="AY2278" s="281"/>
      <c r="BL2278" s="62">
        <v>1</v>
      </c>
      <c r="BM2278" s="275">
        <v>3</v>
      </c>
      <c r="BN2278" s="62">
        <v>0.05</v>
      </c>
      <c r="BO2278" t="s">
        <v>770</v>
      </c>
      <c r="BP2278" s="33" t="s">
        <v>771</v>
      </c>
    </row>
    <row r="2279" spans="1:68">
      <c r="A2279" s="33" t="str">
        <f>Database_Productkaarten[[#This Row],[Product]]&amp;", "&amp;Database_Productkaarten[[#This Row],[Levensfase]]</f>
        <v>Ophoogmateriaal (Grond), D2</v>
      </c>
      <c r="B2279" s="33" t="s">
        <v>41</v>
      </c>
      <c r="C2279" t="s">
        <v>40</v>
      </c>
      <c r="D2279" s="33" t="s">
        <v>769</v>
      </c>
      <c r="E2279" s="33" t="s">
        <v>666</v>
      </c>
      <c r="F2279" s="33" t="s">
        <v>88</v>
      </c>
      <c r="G2279" s="33">
        <v>1</v>
      </c>
      <c r="H2279" s="33">
        <v>1</v>
      </c>
      <c r="I2279" s="33">
        <v>1</v>
      </c>
      <c r="L2279" s="33">
        <v>1.625</v>
      </c>
      <c r="M2279" s="33">
        <v>1.625</v>
      </c>
      <c r="N2279" s="41"/>
      <c r="O2279" s="33">
        <v>100</v>
      </c>
      <c r="AV2279" s="281"/>
      <c r="AY2279" s="281"/>
      <c r="BL2279" s="62">
        <v>1</v>
      </c>
      <c r="BM2279" s="275">
        <v>3</v>
      </c>
      <c r="BN2279" s="62">
        <v>0.05</v>
      </c>
      <c r="BO2279" t="s">
        <v>770</v>
      </c>
      <c r="BP2279" s="33" t="s">
        <v>771</v>
      </c>
    </row>
    <row r="2280" spans="1:68">
      <c r="A2280" s="33" t="str">
        <f>Database_Productkaarten[[#This Row],[Product]]&amp;", "&amp;Database_Productkaarten[[#This Row],[Levensfase]]</f>
        <v>Ophoogmateriaal (Zand), Totaal</v>
      </c>
      <c r="B2280" s="33" t="s">
        <v>46</v>
      </c>
      <c r="C2280" t="s">
        <v>40</v>
      </c>
      <c r="D2280" s="451" t="s">
        <v>627</v>
      </c>
      <c r="E2280" s="33" t="s">
        <v>666</v>
      </c>
      <c r="F2280" s="451" t="s">
        <v>90</v>
      </c>
      <c r="G2280" s="33">
        <v>1</v>
      </c>
      <c r="H2280" s="33">
        <v>1</v>
      </c>
      <c r="I2280" s="33">
        <v>1</v>
      </c>
      <c r="L2280" s="33">
        <v>1.5</v>
      </c>
      <c r="M2280" s="271">
        <v>1.5</v>
      </c>
      <c r="N2280" s="41"/>
      <c r="O2280" s="33">
        <v>100</v>
      </c>
      <c r="AV2280" s="281"/>
      <c r="AY2280" s="281"/>
      <c r="BL2280" s="62">
        <v>0</v>
      </c>
      <c r="BM2280" s="275">
        <v>3</v>
      </c>
      <c r="BN2280" s="62">
        <v>0.05</v>
      </c>
      <c r="BO2280" t="s">
        <v>770</v>
      </c>
      <c r="BP2280" s="33" t="s">
        <v>771</v>
      </c>
    </row>
    <row r="2281" spans="1:68">
      <c r="A2281" s="33" t="str">
        <f>Database_Productkaarten[[#This Row],[Product]]&amp;", "&amp;Database_Productkaarten[[#This Row],[Levensfase]]</f>
        <v>Ophoogmateriaal (Zand), A1</v>
      </c>
      <c r="B2281" s="33" t="s">
        <v>46</v>
      </c>
      <c r="C2281" t="s">
        <v>40</v>
      </c>
      <c r="D2281" s="451" t="s">
        <v>627</v>
      </c>
      <c r="E2281" s="451" t="s">
        <v>666</v>
      </c>
      <c r="F2281" s="451" t="s">
        <v>74</v>
      </c>
      <c r="G2281" s="33">
        <v>1</v>
      </c>
      <c r="H2281" s="33">
        <v>1</v>
      </c>
      <c r="I2281" s="33">
        <v>1</v>
      </c>
      <c r="L2281" s="33">
        <v>1.5</v>
      </c>
      <c r="M2281" s="271">
        <v>1.5</v>
      </c>
      <c r="N2281" s="41"/>
      <c r="O2281" s="33">
        <v>100</v>
      </c>
      <c r="AV2281" s="281"/>
      <c r="AY2281" s="281"/>
      <c r="BL2281" s="62">
        <v>0</v>
      </c>
      <c r="BM2281" s="275">
        <v>3</v>
      </c>
      <c r="BN2281" s="62">
        <v>0.05</v>
      </c>
      <c r="BO2281" t="s">
        <v>770</v>
      </c>
      <c r="BP2281" s="33" t="s">
        <v>771</v>
      </c>
    </row>
    <row r="2282" spans="1:68">
      <c r="A2282" s="33" t="str">
        <f>Database_Productkaarten[[#This Row],[Product]]&amp;", "&amp;Database_Productkaarten[[#This Row],[Levensfase]]</f>
        <v>Ophoogmateriaal (Zand), A2</v>
      </c>
      <c r="B2282" s="33" t="s">
        <v>46</v>
      </c>
      <c r="C2282" t="s">
        <v>40</v>
      </c>
      <c r="D2282" s="451" t="s">
        <v>627</v>
      </c>
      <c r="E2282" s="451" t="s">
        <v>666</v>
      </c>
      <c r="F2282" s="451" t="s">
        <v>75</v>
      </c>
      <c r="G2282" s="33">
        <v>1</v>
      </c>
      <c r="H2282" s="33">
        <v>1</v>
      </c>
      <c r="I2282" s="33">
        <v>1</v>
      </c>
      <c r="L2282" s="33">
        <v>1.5</v>
      </c>
      <c r="M2282" s="271">
        <v>1.5</v>
      </c>
      <c r="N2282" s="41"/>
      <c r="O2282" s="33">
        <v>100</v>
      </c>
      <c r="AV2282" s="281"/>
      <c r="AY2282" s="281"/>
      <c r="BL2282" s="62">
        <v>0</v>
      </c>
      <c r="BM2282" s="275">
        <v>3</v>
      </c>
      <c r="BN2282" s="62">
        <v>0.05</v>
      </c>
      <c r="BO2282" t="s">
        <v>770</v>
      </c>
      <c r="BP2282" s="33" t="s">
        <v>771</v>
      </c>
    </row>
    <row r="2283" spans="1:68">
      <c r="A2283" s="33" t="str">
        <f>Database_Productkaarten[[#This Row],[Product]]&amp;", "&amp;Database_Productkaarten[[#This Row],[Levensfase]]</f>
        <v>Ophoogmateriaal (Zand), A3</v>
      </c>
      <c r="B2283" s="33" t="s">
        <v>46</v>
      </c>
      <c r="C2283" t="s">
        <v>40</v>
      </c>
      <c r="D2283" s="451" t="s">
        <v>627</v>
      </c>
      <c r="E2283" s="451" t="s">
        <v>666</v>
      </c>
      <c r="F2283" s="451" t="s">
        <v>76</v>
      </c>
      <c r="G2283" s="33">
        <v>1</v>
      </c>
      <c r="H2283" s="33">
        <v>1</v>
      </c>
      <c r="I2283" s="33">
        <v>1</v>
      </c>
      <c r="L2283" s="33">
        <v>1.5</v>
      </c>
      <c r="M2283" s="271">
        <v>1.5</v>
      </c>
      <c r="N2283" s="41"/>
      <c r="O2283" s="33">
        <v>100</v>
      </c>
      <c r="P2283" s="163"/>
      <c r="Q2283" s="163"/>
      <c r="R2283" s="163"/>
      <c r="S2283" s="163"/>
      <c r="T2283" s="163"/>
      <c r="U2283" s="163"/>
      <c r="V2283" s="163"/>
      <c r="W2283" s="163"/>
      <c r="X2283" s="163"/>
      <c r="Y2283" s="163"/>
      <c r="Z2283" s="163"/>
      <c r="AV2283" s="281"/>
      <c r="AY2283" s="281"/>
      <c r="BL2283" s="62">
        <v>0</v>
      </c>
      <c r="BM2283" s="275">
        <v>3</v>
      </c>
      <c r="BN2283" s="62">
        <v>0.05</v>
      </c>
      <c r="BO2283" t="s">
        <v>770</v>
      </c>
      <c r="BP2283" s="33" t="s">
        <v>771</v>
      </c>
    </row>
    <row r="2284" spans="1:68">
      <c r="A2284" s="33" t="str">
        <f>Database_Productkaarten[[#This Row],[Product]]&amp;", "&amp;Database_Productkaarten[[#This Row],[Levensfase]]</f>
        <v>Ophoogmateriaal (Zand), A1-A3</v>
      </c>
      <c r="B2284" s="33" t="s">
        <v>46</v>
      </c>
      <c r="C2284" t="s">
        <v>40</v>
      </c>
      <c r="D2284" s="451" t="str">
        <f>D2283</f>
        <v>Zand</v>
      </c>
      <c r="E2284" s="451" t="s">
        <v>666</v>
      </c>
      <c r="F2284" s="451" t="s">
        <v>77</v>
      </c>
      <c r="G2284" s="33">
        <v>1</v>
      </c>
      <c r="H2284" s="33">
        <v>1</v>
      </c>
      <c r="I2284" s="33">
        <v>1</v>
      </c>
      <c r="L2284" s="33">
        <v>1.5</v>
      </c>
      <c r="M2284" s="271">
        <v>1.5</v>
      </c>
      <c r="N2284" s="41">
        <v>2.2424200000000001</v>
      </c>
      <c r="O2284" s="33">
        <v>100</v>
      </c>
      <c r="P2284" s="163">
        <v>0</v>
      </c>
      <c r="Q2284" s="163">
        <v>0.13</v>
      </c>
      <c r="R2284" s="163">
        <v>17.600000000000001</v>
      </c>
      <c r="S2284" s="163">
        <v>0</v>
      </c>
      <c r="T2284" s="163">
        <v>0.01</v>
      </c>
      <c r="U2284" s="163">
        <v>0.11</v>
      </c>
      <c r="V2284" s="163">
        <v>0.02</v>
      </c>
      <c r="W2284" s="163">
        <v>7.3</v>
      </c>
      <c r="X2284" s="163">
        <v>0.15</v>
      </c>
      <c r="Y2284" s="163">
        <v>588.26</v>
      </c>
      <c r="Z2284" s="163">
        <v>0.03</v>
      </c>
      <c r="AV2284" s="163">
        <v>8.49</v>
      </c>
      <c r="AW2284" s="163"/>
      <c r="AY2284" s="163">
        <v>269</v>
      </c>
      <c r="BL2284" s="62">
        <v>0</v>
      </c>
      <c r="BM2284" s="275">
        <v>3</v>
      </c>
      <c r="BN2284" s="62">
        <v>0.05</v>
      </c>
      <c r="BO2284" t="s">
        <v>770</v>
      </c>
      <c r="BP2284" s="33" t="s">
        <v>771</v>
      </c>
    </row>
    <row r="2285" spans="1:68">
      <c r="A2285" s="33" t="str">
        <f>Database_Productkaarten[[#This Row],[Product]]&amp;", "&amp;Database_Productkaarten[[#This Row],[Levensfase]]</f>
        <v>Ophoogmateriaal (Zand), A4</v>
      </c>
      <c r="B2285" s="33" t="s">
        <v>46</v>
      </c>
      <c r="C2285" t="s">
        <v>40</v>
      </c>
      <c r="D2285" s="451" t="s">
        <v>627</v>
      </c>
      <c r="E2285" s="451" t="s">
        <v>666</v>
      </c>
      <c r="F2285" s="451" t="s">
        <v>78</v>
      </c>
      <c r="G2285" s="33">
        <v>1</v>
      </c>
      <c r="H2285" s="33">
        <v>1</v>
      </c>
      <c r="I2285" s="33">
        <v>1</v>
      </c>
      <c r="L2285" s="33">
        <v>1.5</v>
      </c>
      <c r="M2285" s="271">
        <v>1.5</v>
      </c>
      <c r="N2285" s="41">
        <v>0.71097999999999995</v>
      </c>
      <c r="O2285" s="33">
        <v>100</v>
      </c>
      <c r="P2285" s="163">
        <v>0</v>
      </c>
      <c r="Q2285" s="163">
        <v>0.05</v>
      </c>
      <c r="R2285" s="163">
        <v>6.34</v>
      </c>
      <c r="S2285" s="163">
        <v>0</v>
      </c>
      <c r="T2285" s="163">
        <v>0</v>
      </c>
      <c r="U2285" s="163">
        <v>0.02</v>
      </c>
      <c r="V2285" s="163">
        <v>0</v>
      </c>
      <c r="W2285" s="163">
        <v>2.23</v>
      </c>
      <c r="X2285" s="163">
        <v>0.14000000000000001</v>
      </c>
      <c r="Y2285" s="163">
        <v>376.63</v>
      </c>
      <c r="Z2285" s="163">
        <v>0.01</v>
      </c>
      <c r="AV2285" s="163">
        <v>0</v>
      </c>
      <c r="AW2285" s="163"/>
      <c r="AY2285" s="163">
        <v>0</v>
      </c>
      <c r="BL2285" s="62">
        <v>0</v>
      </c>
      <c r="BM2285" s="275">
        <v>3</v>
      </c>
      <c r="BN2285" s="62">
        <v>0.05</v>
      </c>
      <c r="BO2285" t="s">
        <v>770</v>
      </c>
      <c r="BP2285" s="33" t="s">
        <v>771</v>
      </c>
    </row>
    <row r="2286" spans="1:68">
      <c r="A2286" s="33" t="str">
        <f>Database_Productkaarten[[#This Row],[Product]]&amp;", "&amp;Database_Productkaarten[[#This Row],[Levensfase]]</f>
        <v>Ophoogmateriaal (Zand), A5</v>
      </c>
      <c r="B2286" s="33" t="s">
        <v>46</v>
      </c>
      <c r="C2286" t="s">
        <v>40</v>
      </c>
      <c r="D2286" s="451" t="s">
        <v>627</v>
      </c>
      <c r="E2286" s="451" t="s">
        <v>666</v>
      </c>
      <c r="F2286" s="451" t="s">
        <v>79</v>
      </c>
      <c r="G2286" s="33">
        <v>1</v>
      </c>
      <c r="H2286" s="33">
        <v>1</v>
      </c>
      <c r="I2286" s="33">
        <v>1</v>
      </c>
      <c r="L2286" s="33">
        <v>1.5</v>
      </c>
      <c r="M2286" s="271">
        <v>1.5</v>
      </c>
      <c r="N2286" s="41">
        <v>0.22273999999999999</v>
      </c>
      <c r="O2286" s="33">
        <v>100</v>
      </c>
      <c r="P2286" s="163">
        <v>0</v>
      </c>
      <c r="Q2286" s="163">
        <v>1.7100000000000001E-2</v>
      </c>
      <c r="R2286" s="163">
        <v>2.4884499999999998</v>
      </c>
      <c r="S2286" s="163">
        <v>0</v>
      </c>
      <c r="T2286" s="163">
        <v>6.9999999999999999E-4</v>
      </c>
      <c r="U2286" s="163">
        <v>7.2500000000000004E-3</v>
      </c>
      <c r="V2286" s="163">
        <v>1.4E-3</v>
      </c>
      <c r="W2286" s="163">
        <v>0.61599999999999999</v>
      </c>
      <c r="X2286" s="163">
        <v>1.23E-2</v>
      </c>
      <c r="Y2286" s="163">
        <v>40.822249999999997</v>
      </c>
      <c r="Z2286" s="163">
        <v>2.0999999999999999E-3</v>
      </c>
      <c r="AV2286" s="163">
        <v>0</v>
      </c>
      <c r="AW2286" s="163"/>
      <c r="AY2286" s="163">
        <v>0</v>
      </c>
      <c r="BL2286" s="62">
        <v>0</v>
      </c>
      <c r="BM2286" s="275">
        <v>3</v>
      </c>
      <c r="BN2286" s="62">
        <v>0.05</v>
      </c>
      <c r="BO2286" t="s">
        <v>770</v>
      </c>
      <c r="BP2286" s="33" t="s">
        <v>771</v>
      </c>
    </row>
    <row r="2287" spans="1:68">
      <c r="A2287" s="33" t="str">
        <f>Database_Productkaarten[[#This Row],[Product]]&amp;", "&amp;Database_Productkaarten[[#This Row],[Levensfase]]</f>
        <v>Ophoogmateriaal (Zand), B1</v>
      </c>
      <c r="B2287" s="33" t="s">
        <v>46</v>
      </c>
      <c r="C2287" t="s">
        <v>40</v>
      </c>
      <c r="D2287" s="451" t="s">
        <v>627</v>
      </c>
      <c r="E2287" s="451" t="s">
        <v>666</v>
      </c>
      <c r="F2287" s="451" t="s">
        <v>80</v>
      </c>
      <c r="G2287" s="33">
        <v>1</v>
      </c>
      <c r="H2287" s="33">
        <v>1</v>
      </c>
      <c r="I2287" s="33">
        <v>1</v>
      </c>
      <c r="L2287" s="33">
        <v>1.5</v>
      </c>
      <c r="M2287" s="271">
        <v>1.5</v>
      </c>
      <c r="N2287" s="41"/>
      <c r="O2287" s="33">
        <v>100</v>
      </c>
      <c r="P2287" s="163"/>
      <c r="Q2287" s="163"/>
      <c r="R2287" s="163"/>
      <c r="S2287" s="163"/>
      <c r="T2287" s="163"/>
      <c r="U2287" s="163"/>
      <c r="V2287" s="163"/>
      <c r="W2287" s="163"/>
      <c r="X2287" s="163"/>
      <c r="Y2287" s="163"/>
      <c r="Z2287" s="163"/>
      <c r="AV2287" s="163">
        <v>0</v>
      </c>
      <c r="AW2287" s="163"/>
      <c r="AY2287" s="163">
        <v>0</v>
      </c>
      <c r="BL2287" s="62">
        <v>0</v>
      </c>
      <c r="BM2287" s="275">
        <v>3</v>
      </c>
      <c r="BN2287" s="62">
        <v>0.05</v>
      </c>
      <c r="BO2287" t="s">
        <v>770</v>
      </c>
      <c r="BP2287" s="33" t="s">
        <v>771</v>
      </c>
    </row>
    <row r="2288" spans="1:68">
      <c r="A2288" s="33" t="str">
        <f>Database_Productkaarten[[#This Row],[Product]]&amp;", "&amp;Database_Productkaarten[[#This Row],[Levensfase]]</f>
        <v>Ophoogmateriaal (Zand), C1</v>
      </c>
      <c r="B2288" s="33" t="s">
        <v>46</v>
      </c>
      <c r="C2288" t="s">
        <v>40</v>
      </c>
      <c r="D2288" s="451" t="s">
        <v>627</v>
      </c>
      <c r="E2288" s="451" t="s">
        <v>666</v>
      </c>
      <c r="F2288" s="451" t="s">
        <v>83</v>
      </c>
      <c r="G2288" s="33">
        <v>1</v>
      </c>
      <c r="H2288" s="33">
        <v>1</v>
      </c>
      <c r="I2288" s="33">
        <v>1</v>
      </c>
      <c r="L2288" s="33">
        <v>1.5</v>
      </c>
      <c r="M2288" s="271">
        <v>1.5</v>
      </c>
      <c r="N2288" s="41">
        <v>3.7519999999999998E-2</v>
      </c>
      <c r="O2288" s="33">
        <v>100</v>
      </c>
      <c r="P2288" s="163">
        <v>0</v>
      </c>
      <c r="Q2288" s="163">
        <v>3.2000000000000002E-3</v>
      </c>
      <c r="R2288" s="163">
        <v>0.4657</v>
      </c>
      <c r="S2288" s="163">
        <v>0</v>
      </c>
      <c r="T2288" s="163">
        <v>2.0000000000000001E-4</v>
      </c>
      <c r="U2288" s="163">
        <v>1.4000000000000002E-3</v>
      </c>
      <c r="V2288" s="163">
        <v>2.9999999999999997E-4</v>
      </c>
      <c r="W2288" s="163">
        <v>0.1153</v>
      </c>
      <c r="X2288" s="163">
        <v>2.3E-3</v>
      </c>
      <c r="Y2288" s="163">
        <v>7.6397000000000004</v>
      </c>
      <c r="Z2288" s="163">
        <v>4.0000000000000002E-4</v>
      </c>
      <c r="AV2288" s="163">
        <v>0</v>
      </c>
      <c r="AW2288" s="163"/>
      <c r="AY2288" s="163">
        <v>0</v>
      </c>
      <c r="BL2288" s="62">
        <v>0</v>
      </c>
      <c r="BM2288" s="275">
        <v>3</v>
      </c>
      <c r="BN2288" s="62">
        <v>0.05</v>
      </c>
      <c r="BO2288" t="s">
        <v>770</v>
      </c>
      <c r="BP2288" s="33" t="s">
        <v>771</v>
      </c>
    </row>
    <row r="2289" spans="1:68">
      <c r="A2289" s="33" t="str">
        <f>Database_Productkaarten[[#This Row],[Product]]&amp;", "&amp;Database_Productkaarten[[#This Row],[Levensfase]]</f>
        <v>Ophoogmateriaal (Zand), C2</v>
      </c>
      <c r="B2289" s="33" t="s">
        <v>46</v>
      </c>
      <c r="C2289" t="s">
        <v>40</v>
      </c>
      <c r="D2289" s="451" t="s">
        <v>627</v>
      </c>
      <c r="E2289" s="451" t="s">
        <v>666</v>
      </c>
      <c r="F2289" s="451" t="s">
        <v>84</v>
      </c>
      <c r="G2289" s="33">
        <v>1</v>
      </c>
      <c r="H2289" s="33">
        <v>1</v>
      </c>
      <c r="I2289" s="33">
        <v>1</v>
      </c>
      <c r="L2289" s="33">
        <v>1.5</v>
      </c>
      <c r="M2289" s="271">
        <v>1.5</v>
      </c>
      <c r="N2289" s="41">
        <v>0.71809000000000001</v>
      </c>
      <c r="O2289" s="33">
        <v>100</v>
      </c>
      <c r="P2289" s="163">
        <v>0</v>
      </c>
      <c r="Q2289" s="163">
        <v>0.05</v>
      </c>
      <c r="R2289" s="163">
        <v>6.4</v>
      </c>
      <c r="S2289" s="163">
        <v>0</v>
      </c>
      <c r="T2289" s="163">
        <v>0</v>
      </c>
      <c r="U2289" s="163">
        <v>0.02</v>
      </c>
      <c r="V2289" s="163">
        <v>0</v>
      </c>
      <c r="W2289" s="163">
        <v>2.25</v>
      </c>
      <c r="X2289" s="163">
        <v>0.15</v>
      </c>
      <c r="Y2289" s="163">
        <v>380.39</v>
      </c>
      <c r="Z2289" s="163">
        <v>0.01</v>
      </c>
      <c r="AV2289" s="163">
        <v>0</v>
      </c>
      <c r="AW2289" s="163"/>
      <c r="AY2289" s="163">
        <v>0</v>
      </c>
      <c r="BL2289" s="62">
        <v>0</v>
      </c>
      <c r="BM2289" s="275">
        <v>3</v>
      </c>
      <c r="BN2289" s="62">
        <v>0.05</v>
      </c>
      <c r="BO2289" t="s">
        <v>770</v>
      </c>
      <c r="BP2289" s="33" t="s">
        <v>771</v>
      </c>
    </row>
    <row r="2290" spans="1:68">
      <c r="A2290" s="33" t="str">
        <f>Database_Productkaarten[[#This Row],[Product]]&amp;", "&amp;Database_Productkaarten[[#This Row],[Levensfase]]</f>
        <v>Ophoogmateriaal (Zand), C3</v>
      </c>
      <c r="B2290" s="33" t="s">
        <v>46</v>
      </c>
      <c r="C2290" t="s">
        <v>40</v>
      </c>
      <c r="D2290" s="451" t="s">
        <v>627</v>
      </c>
      <c r="E2290" s="451" t="s">
        <v>666</v>
      </c>
      <c r="F2290" s="451" t="s">
        <v>85</v>
      </c>
      <c r="G2290" s="33">
        <v>1</v>
      </c>
      <c r="H2290" s="33">
        <v>1</v>
      </c>
      <c r="I2290" s="33">
        <v>1</v>
      </c>
      <c r="L2290" s="33">
        <v>1.5</v>
      </c>
      <c r="M2290" s="271">
        <v>1.5</v>
      </c>
      <c r="N2290" s="41"/>
      <c r="O2290" s="33">
        <v>100</v>
      </c>
      <c r="P2290" s="163">
        <v>0</v>
      </c>
      <c r="Q2290" s="163">
        <v>0</v>
      </c>
      <c r="R2290" s="163">
        <v>0</v>
      </c>
      <c r="S2290" s="163">
        <v>0</v>
      </c>
      <c r="T2290" s="163">
        <v>0</v>
      </c>
      <c r="U2290" s="163">
        <v>0</v>
      </c>
      <c r="V2290" s="163">
        <v>0</v>
      </c>
      <c r="W2290" s="163">
        <v>0</v>
      </c>
      <c r="X2290" s="163">
        <v>0</v>
      </c>
      <c r="Y2290" s="163">
        <v>0</v>
      </c>
      <c r="Z2290" s="163">
        <v>0</v>
      </c>
      <c r="AV2290" s="163">
        <v>0</v>
      </c>
      <c r="AW2290" s="163"/>
      <c r="AY2290" s="163">
        <v>0</v>
      </c>
      <c r="BL2290" s="62">
        <v>0</v>
      </c>
      <c r="BM2290" s="275">
        <v>3</v>
      </c>
      <c r="BN2290" s="62">
        <v>0.05</v>
      </c>
      <c r="BO2290" t="s">
        <v>770</v>
      </c>
      <c r="BP2290" s="33" t="s">
        <v>771</v>
      </c>
    </row>
    <row r="2291" spans="1:68">
      <c r="A2291" s="33" t="str">
        <f>Database_Productkaarten[[#This Row],[Product]]&amp;", "&amp;Database_Productkaarten[[#This Row],[Levensfase]]</f>
        <v>Ophoogmateriaal (Zand), C4</v>
      </c>
      <c r="B2291" s="33" t="s">
        <v>46</v>
      </c>
      <c r="C2291" t="s">
        <v>40</v>
      </c>
      <c r="D2291" s="451" t="s">
        <v>627</v>
      </c>
      <c r="E2291" s="451" t="s">
        <v>666</v>
      </c>
      <c r="F2291" s="451" t="s">
        <v>86</v>
      </c>
      <c r="G2291" s="33">
        <v>1</v>
      </c>
      <c r="H2291" s="33">
        <v>1</v>
      </c>
      <c r="I2291" s="33">
        <v>1</v>
      </c>
      <c r="L2291" s="33">
        <v>1.5</v>
      </c>
      <c r="M2291" s="271">
        <v>1.5</v>
      </c>
      <c r="N2291" s="41">
        <v>1.115E-2</v>
      </c>
      <c r="O2291" s="33">
        <v>100</v>
      </c>
      <c r="P2291" s="163">
        <v>0</v>
      </c>
      <c r="Q2291" s="163">
        <v>0</v>
      </c>
      <c r="R2291" s="163">
        <v>0.08</v>
      </c>
      <c r="S2291" s="163">
        <v>0</v>
      </c>
      <c r="T2291" s="163">
        <v>0</v>
      </c>
      <c r="U2291" s="163">
        <v>0</v>
      </c>
      <c r="V2291" s="163">
        <v>0</v>
      </c>
      <c r="W2291" s="163">
        <v>0.03</v>
      </c>
      <c r="X2291" s="163">
        <v>0</v>
      </c>
      <c r="Y2291" s="163">
        <v>2.92</v>
      </c>
      <c r="Z2291" s="163">
        <v>0</v>
      </c>
      <c r="AV2291" s="163">
        <v>1.9900000000000001E-2</v>
      </c>
      <c r="AW2291" s="163"/>
      <c r="AY2291" s="163">
        <v>2.59</v>
      </c>
      <c r="BL2291" s="62">
        <v>0</v>
      </c>
      <c r="BM2291" s="275">
        <v>3</v>
      </c>
      <c r="BN2291" s="62">
        <v>0.05</v>
      </c>
      <c r="BO2291" t="s">
        <v>770</v>
      </c>
      <c r="BP2291" s="33" t="s">
        <v>771</v>
      </c>
    </row>
    <row r="2292" spans="1:68">
      <c r="A2292" s="33" t="str">
        <f>Database_Productkaarten[[#This Row],[Product]]&amp;", "&amp;Database_Productkaarten[[#This Row],[Levensfase]]</f>
        <v>Ophoogmateriaal (Zand), D</v>
      </c>
      <c r="B2292" s="33" t="s">
        <v>46</v>
      </c>
      <c r="C2292" t="s">
        <v>40</v>
      </c>
      <c r="D2292" s="451" t="str">
        <f>D2293</f>
        <v>Zand</v>
      </c>
      <c r="E2292" s="451" t="s">
        <v>666</v>
      </c>
      <c r="F2292" s="451" t="s">
        <v>89</v>
      </c>
      <c r="G2292" s="33">
        <v>1</v>
      </c>
      <c r="H2292" s="33">
        <v>1</v>
      </c>
      <c r="I2292" s="33">
        <v>1</v>
      </c>
      <c r="L2292" s="33">
        <v>1.5</v>
      </c>
      <c r="M2292" s="271">
        <v>1.5</v>
      </c>
      <c r="N2292" s="41">
        <v>-0.79693000000000003</v>
      </c>
      <c r="O2292" s="33">
        <v>100</v>
      </c>
      <c r="P2292" s="163">
        <v>0</v>
      </c>
      <c r="Q2292" s="163">
        <v>-0.04</v>
      </c>
      <c r="R2292" s="163">
        <v>-6.23</v>
      </c>
      <c r="S2292" s="163">
        <v>0</v>
      </c>
      <c r="T2292" s="163">
        <v>0</v>
      </c>
      <c r="U2292" s="163">
        <v>-0.04</v>
      </c>
      <c r="V2292" s="163">
        <v>-0.01</v>
      </c>
      <c r="W2292" s="163">
        <v>-2.79</v>
      </c>
      <c r="X2292" s="163">
        <v>-0.04</v>
      </c>
      <c r="Y2292" s="163">
        <v>-174.18</v>
      </c>
      <c r="Z2292" s="163">
        <v>-0.01</v>
      </c>
      <c r="AV2292" s="163">
        <v>-5.26</v>
      </c>
      <c r="AW2292" s="163"/>
      <c r="AY2292" s="163">
        <v>-86.1</v>
      </c>
      <c r="BL2292" s="62">
        <v>0</v>
      </c>
      <c r="BM2292" s="275">
        <v>3</v>
      </c>
      <c r="BN2292" s="62">
        <v>0.05</v>
      </c>
      <c r="BO2292" t="s">
        <v>770</v>
      </c>
      <c r="BP2292" s="33" t="s">
        <v>771</v>
      </c>
    </row>
    <row r="2293" spans="1:68">
      <c r="A2293" s="33" t="str">
        <f>Database_Productkaarten[[#This Row],[Product]]&amp;", "&amp;Database_Productkaarten[[#This Row],[Levensfase]]</f>
        <v>Ophoogmateriaal (Zand), D1</v>
      </c>
      <c r="B2293" s="33" t="s">
        <v>46</v>
      </c>
      <c r="C2293" t="s">
        <v>40</v>
      </c>
      <c r="D2293" s="451" t="s">
        <v>627</v>
      </c>
      <c r="E2293" s="451" t="s">
        <v>666</v>
      </c>
      <c r="F2293" s="451" t="s">
        <v>87</v>
      </c>
      <c r="G2293" s="33">
        <v>1</v>
      </c>
      <c r="H2293" s="33">
        <v>1</v>
      </c>
      <c r="I2293" s="33">
        <v>1</v>
      </c>
      <c r="L2293" s="33">
        <v>1.5</v>
      </c>
      <c r="M2293" s="271">
        <v>1.5</v>
      </c>
      <c r="N2293" s="41"/>
      <c r="O2293" s="33">
        <v>100</v>
      </c>
      <c r="P2293" s="163"/>
      <c r="Q2293" s="163"/>
      <c r="R2293" s="163"/>
      <c r="S2293" s="163"/>
      <c r="T2293" s="163"/>
      <c r="U2293" s="163"/>
      <c r="V2293" s="163"/>
      <c r="W2293" s="163"/>
      <c r="X2293" s="163"/>
      <c r="Y2293" s="163"/>
      <c r="Z2293" s="163"/>
      <c r="AV2293" s="281"/>
      <c r="AY2293" s="281"/>
      <c r="BL2293" s="62">
        <v>0</v>
      </c>
      <c r="BM2293" s="275">
        <v>3</v>
      </c>
      <c r="BN2293" s="62">
        <v>0.05</v>
      </c>
      <c r="BO2293" t="s">
        <v>770</v>
      </c>
      <c r="BP2293" s="33" t="s">
        <v>771</v>
      </c>
    </row>
    <row r="2294" spans="1:68">
      <c r="A2294" s="33" t="str">
        <f>Database_Productkaarten[[#This Row],[Product]]&amp;", "&amp;Database_Productkaarten[[#This Row],[Levensfase]]</f>
        <v>Ophoogmateriaal (Zand), D2</v>
      </c>
      <c r="B2294" s="33" t="s">
        <v>46</v>
      </c>
      <c r="C2294" t="s">
        <v>40</v>
      </c>
      <c r="D2294" s="451" t="s">
        <v>627</v>
      </c>
      <c r="E2294" s="451" t="s">
        <v>666</v>
      </c>
      <c r="F2294" s="451" t="s">
        <v>88</v>
      </c>
      <c r="G2294" s="33">
        <v>1</v>
      </c>
      <c r="H2294" s="33">
        <v>1</v>
      </c>
      <c r="I2294" s="33">
        <v>1</v>
      </c>
      <c r="L2294" s="33">
        <v>1.5</v>
      </c>
      <c r="M2294" s="271">
        <v>1.5</v>
      </c>
      <c r="N2294" s="41"/>
      <c r="O2294" s="33">
        <v>100</v>
      </c>
      <c r="P2294" s="40"/>
      <c r="Q2294" s="40"/>
      <c r="R2294" s="40"/>
      <c r="S2294" s="40"/>
      <c r="T2294" s="40"/>
      <c r="U2294" s="40"/>
      <c r="V2294" s="40"/>
      <c r="W2294" s="40"/>
      <c r="X2294" s="40"/>
      <c r="Y2294" s="40"/>
      <c r="Z2294" s="40"/>
      <c r="AV2294" s="281"/>
      <c r="AY2294" s="281"/>
      <c r="BL2294" s="62">
        <v>0</v>
      </c>
      <c r="BM2294" s="275">
        <v>3</v>
      </c>
      <c r="BN2294" s="62">
        <v>0.05</v>
      </c>
      <c r="BO2294" t="s">
        <v>770</v>
      </c>
      <c r="BP2294" s="33" t="s">
        <v>771</v>
      </c>
    </row>
    <row r="2295" spans="1:68">
      <c r="A2295" s="33" t="str">
        <f>Database_Productkaarten[[#This Row],[Product]]&amp;", "&amp;Database_Productkaarten[[#This Row],[Levensfase]]</f>
        <v>Zand (hergebruik), Totaal</v>
      </c>
      <c r="B2295" s="33" t="s">
        <v>772</v>
      </c>
      <c r="C2295" t="s">
        <v>40</v>
      </c>
      <c r="D2295" s="33" t="s">
        <v>627</v>
      </c>
      <c r="E2295" s="451" t="s">
        <v>666</v>
      </c>
      <c r="F2295" s="33" t="s">
        <v>90</v>
      </c>
      <c r="L2295" s="33">
        <v>1.5</v>
      </c>
      <c r="M2295" s="269">
        <v>1</v>
      </c>
      <c r="N2295" s="41">
        <f>SUM(N2296:N2309)</f>
        <v>1.7084493000000001</v>
      </c>
      <c r="O2295" s="33">
        <v>100</v>
      </c>
      <c r="P2295" s="40">
        <f t="shared" ref="P2295:Z2295" si="866">SUM(P2296:P2309)</f>
        <v>0</v>
      </c>
      <c r="Q2295" s="40">
        <f t="shared" si="866"/>
        <v>0.1207</v>
      </c>
      <c r="R2295" s="40">
        <f t="shared" si="866"/>
        <v>15.836450000000001</v>
      </c>
      <c r="S2295" s="40">
        <f t="shared" si="866"/>
        <v>0</v>
      </c>
      <c r="T2295" s="40">
        <f t="shared" si="866"/>
        <v>8.9999999999999998E-4</v>
      </c>
      <c r="U2295" s="40">
        <f t="shared" si="866"/>
        <v>4.9049999999999996E-2</v>
      </c>
      <c r="V2295" s="40">
        <f t="shared" si="866"/>
        <v>1.8E-3</v>
      </c>
      <c r="W2295" s="40">
        <f t="shared" si="866"/>
        <v>5.2691999999999997</v>
      </c>
      <c r="X2295" s="40">
        <f t="shared" si="866"/>
        <v>0.30499999999999999</v>
      </c>
      <c r="Y2295" s="40">
        <f t="shared" si="866"/>
        <v>810.14374999999995</v>
      </c>
      <c r="Z2295" s="40">
        <f t="shared" si="866"/>
        <v>2.2599999999999999E-2</v>
      </c>
      <c r="AA2295" s="40"/>
      <c r="AB2295" s="40"/>
      <c r="AC2295" s="40"/>
      <c r="AD2295" s="40"/>
      <c r="AE2295" s="40"/>
      <c r="AF2295" s="40"/>
      <c r="AG2295" s="40"/>
      <c r="AH2295" s="40"/>
      <c r="AI2295" s="40"/>
      <c r="AJ2295" s="40"/>
      <c r="AK2295" s="40"/>
      <c r="AL2295" s="40"/>
      <c r="AM2295" s="40"/>
      <c r="AN2295" s="40"/>
      <c r="AO2295" s="40"/>
      <c r="AP2295" s="40"/>
      <c r="AQ2295" s="40"/>
      <c r="AR2295" s="40"/>
      <c r="AS2295" s="40"/>
      <c r="AT2295" s="40"/>
      <c r="AU2295" s="40"/>
      <c r="AV2295" s="281">
        <f>SUM(AV2296:AV2309)</f>
        <v>1.4224857</v>
      </c>
      <c r="AW2295" s="40"/>
      <c r="AX2295" s="40"/>
      <c r="AY2295" s="281">
        <f>SUM(AY2296:AY2309)</f>
        <v>75.143052850000004</v>
      </c>
      <c r="AZ2295" s="40"/>
      <c r="BA2295" s="40"/>
      <c r="BB2295" s="40"/>
      <c r="BC2295" s="40"/>
      <c r="BD2295" s="40"/>
      <c r="BE2295" s="40"/>
      <c r="BF2295" s="40"/>
      <c r="BG2295" s="40"/>
      <c r="BH2295" s="40"/>
      <c r="BI2295" s="40"/>
      <c r="BJ2295" s="40"/>
      <c r="BK2295" s="40"/>
      <c r="BL2295" s="62">
        <v>1</v>
      </c>
      <c r="BM2295" s="275">
        <v>3</v>
      </c>
      <c r="BN2295" s="62">
        <v>0.05</v>
      </c>
    </row>
    <row r="2296" spans="1:68">
      <c r="A2296" s="33" t="str">
        <f>Database_Productkaarten[[#This Row],[Product]]&amp;", "&amp;Database_Productkaarten[[#This Row],[Levensfase]]</f>
        <v>Zand (hergebruik), A1</v>
      </c>
      <c r="B2296" s="33" t="s">
        <v>772</v>
      </c>
      <c r="C2296" t="s">
        <v>40</v>
      </c>
      <c r="D2296" s="33" t="s">
        <v>627</v>
      </c>
      <c r="E2296" s="451" t="s">
        <v>666</v>
      </c>
      <c r="F2296" s="33" t="s">
        <v>74</v>
      </c>
      <c r="L2296" s="33">
        <v>1.5</v>
      </c>
      <c r="M2296" s="269">
        <v>1</v>
      </c>
      <c r="N2296" s="41"/>
      <c r="O2296" s="33">
        <v>100</v>
      </c>
      <c r="P2296" s="40"/>
      <c r="Q2296" s="40"/>
      <c r="R2296" s="40"/>
      <c r="S2296" s="40"/>
      <c r="T2296" s="40"/>
      <c r="U2296" s="40"/>
      <c r="V2296" s="40"/>
      <c r="W2296" s="40"/>
      <c r="X2296" s="40"/>
      <c r="Y2296" s="40"/>
      <c r="Z2296" s="40"/>
      <c r="AA2296" s="40"/>
      <c r="AB2296" s="40"/>
      <c r="AC2296" s="40"/>
      <c r="AD2296" s="40"/>
      <c r="AE2296" s="40"/>
      <c r="AF2296" s="40"/>
      <c r="AG2296" s="40"/>
      <c r="AH2296" s="40"/>
      <c r="AI2296" s="40"/>
      <c r="AJ2296" s="40"/>
      <c r="AK2296" s="40"/>
      <c r="AL2296" s="40"/>
      <c r="AM2296" s="40"/>
      <c r="AN2296" s="40"/>
      <c r="AO2296" s="40"/>
      <c r="AP2296" s="40"/>
      <c r="AQ2296" s="40"/>
      <c r="AR2296" s="40"/>
      <c r="AS2296" s="40"/>
      <c r="AT2296" s="40"/>
      <c r="AU2296" s="40"/>
      <c r="AV2296" s="281"/>
      <c r="AW2296" s="40"/>
      <c r="AX2296" s="40"/>
      <c r="AY2296" s="281"/>
      <c r="AZ2296" s="40"/>
      <c r="BA2296" s="40"/>
      <c r="BB2296" s="40"/>
      <c r="BC2296" s="40"/>
      <c r="BD2296" s="40"/>
      <c r="BE2296" s="40"/>
      <c r="BF2296" s="40"/>
      <c r="BG2296" s="40"/>
      <c r="BH2296" s="40"/>
      <c r="BI2296" s="40"/>
      <c r="BJ2296" s="40"/>
      <c r="BK2296" s="40"/>
      <c r="BL2296" s="62">
        <v>1</v>
      </c>
      <c r="BM2296" s="275">
        <v>3</v>
      </c>
      <c r="BN2296" s="62">
        <v>0.05</v>
      </c>
    </row>
    <row r="2297" spans="1:68">
      <c r="A2297" s="33" t="str">
        <f>Database_Productkaarten[[#This Row],[Product]]&amp;", "&amp;Database_Productkaarten[[#This Row],[Levensfase]]</f>
        <v>Zand (hergebruik), A2</v>
      </c>
      <c r="B2297" s="33" t="s">
        <v>772</v>
      </c>
      <c r="C2297" t="s">
        <v>40</v>
      </c>
      <c r="D2297" s="33" t="s">
        <v>627</v>
      </c>
      <c r="E2297" s="451" t="s">
        <v>666</v>
      </c>
      <c r="F2297" s="33" t="s">
        <v>75</v>
      </c>
      <c r="L2297" s="33">
        <v>1.5</v>
      </c>
      <c r="M2297" s="269">
        <v>1</v>
      </c>
      <c r="N2297" s="41"/>
      <c r="O2297" s="33">
        <v>100</v>
      </c>
      <c r="P2297" s="40"/>
      <c r="Q2297" s="40"/>
      <c r="R2297" s="40"/>
      <c r="S2297" s="40"/>
      <c r="T2297" s="40"/>
      <c r="U2297" s="40"/>
      <c r="V2297" s="40"/>
      <c r="W2297" s="40"/>
      <c r="X2297" s="40"/>
      <c r="Y2297" s="40"/>
      <c r="Z2297" s="40"/>
      <c r="AA2297" s="40"/>
      <c r="AB2297" s="40"/>
      <c r="AC2297" s="40"/>
      <c r="AD2297" s="40"/>
      <c r="AE2297" s="40"/>
      <c r="AF2297" s="40"/>
      <c r="AG2297" s="40"/>
      <c r="AH2297" s="40"/>
      <c r="AI2297" s="40"/>
      <c r="AJ2297" s="40"/>
      <c r="AK2297" s="40"/>
      <c r="AL2297" s="40"/>
      <c r="AM2297" s="40"/>
      <c r="AN2297" s="40"/>
      <c r="AO2297" s="40"/>
      <c r="AP2297" s="40"/>
      <c r="AQ2297" s="40"/>
      <c r="AR2297" s="40"/>
      <c r="AS2297" s="40"/>
      <c r="AT2297" s="40"/>
      <c r="AU2297" s="40"/>
      <c r="AV2297" s="281"/>
      <c r="AW2297" s="40"/>
      <c r="AX2297" s="40"/>
      <c r="AY2297" s="281"/>
      <c r="AZ2297" s="40"/>
      <c r="BA2297" s="40"/>
      <c r="BB2297" s="40"/>
      <c r="BC2297" s="40"/>
      <c r="BD2297" s="40"/>
      <c r="BE2297" s="40"/>
      <c r="BF2297" s="40"/>
      <c r="BG2297" s="40"/>
      <c r="BH2297" s="40"/>
      <c r="BI2297" s="40"/>
      <c r="BJ2297" s="40"/>
      <c r="BK2297" s="40"/>
      <c r="BL2297" s="62">
        <v>1</v>
      </c>
      <c r="BM2297" s="275">
        <v>3</v>
      </c>
      <c r="BN2297" s="62">
        <v>0.05</v>
      </c>
    </row>
    <row r="2298" spans="1:68">
      <c r="A2298" s="33" t="str">
        <f>Database_Productkaarten[[#This Row],[Product]]&amp;", "&amp;Database_Productkaarten[[#This Row],[Levensfase]]</f>
        <v>Zand (hergebruik), A3</v>
      </c>
      <c r="B2298" s="33" t="s">
        <v>772</v>
      </c>
      <c r="C2298" t="s">
        <v>40</v>
      </c>
      <c r="D2298" s="33" t="s">
        <v>627</v>
      </c>
      <c r="E2298" s="451" t="s">
        <v>666</v>
      </c>
      <c r="F2298" s="33" t="s">
        <v>76</v>
      </c>
      <c r="L2298" s="33">
        <v>1.5</v>
      </c>
      <c r="M2298" s="269">
        <v>1</v>
      </c>
      <c r="N2298" s="41"/>
      <c r="O2298" s="33">
        <v>100</v>
      </c>
      <c r="P2298" s="40"/>
      <c r="Q2298" s="40"/>
      <c r="R2298" s="40"/>
      <c r="S2298" s="40"/>
      <c r="T2298" s="40"/>
      <c r="U2298" s="40"/>
      <c r="V2298" s="40"/>
      <c r="W2298" s="40"/>
      <c r="X2298" s="40"/>
      <c r="Y2298" s="40"/>
      <c r="Z2298" s="40"/>
      <c r="AA2298" s="40"/>
      <c r="AB2298" s="40"/>
      <c r="AC2298" s="40"/>
      <c r="AD2298" s="40"/>
      <c r="AE2298" s="40"/>
      <c r="AF2298" s="40"/>
      <c r="AG2298" s="40"/>
      <c r="AH2298" s="40"/>
      <c r="AI2298" s="40"/>
      <c r="AJ2298" s="40"/>
      <c r="AK2298" s="40"/>
      <c r="AL2298" s="40"/>
      <c r="AM2298" s="40"/>
      <c r="AN2298" s="40"/>
      <c r="AO2298" s="40"/>
      <c r="AP2298" s="40"/>
      <c r="AQ2298" s="40"/>
      <c r="AR2298" s="40"/>
      <c r="AS2298" s="40"/>
      <c r="AT2298" s="40"/>
      <c r="AU2298" s="40"/>
      <c r="AV2298" s="281"/>
      <c r="AW2298" s="40"/>
      <c r="AX2298" s="40"/>
      <c r="AY2298" s="281"/>
      <c r="AZ2298" s="40"/>
      <c r="BA2298" s="40"/>
      <c r="BB2298" s="40"/>
      <c r="BC2298" s="40"/>
      <c r="BD2298" s="40"/>
      <c r="BE2298" s="40"/>
      <c r="BF2298" s="40"/>
      <c r="BG2298" s="40"/>
      <c r="BH2298" s="40"/>
      <c r="BI2298" s="40"/>
      <c r="BJ2298" s="40"/>
      <c r="BK2298" s="40"/>
      <c r="BL2298" s="62">
        <v>1</v>
      </c>
      <c r="BM2298" s="275">
        <v>3</v>
      </c>
      <c r="BN2298" s="62">
        <v>0.05</v>
      </c>
    </row>
    <row r="2299" spans="1:68">
      <c r="A2299" s="451" t="str">
        <f>Database_Productkaarten[[#This Row],[Product]]&amp;", "&amp;Database_Productkaarten[[#This Row],[Levensfase]]</f>
        <v>Zand (hergebruik), A1-A3</v>
      </c>
      <c r="B2299" s="451" t="str">
        <f>B2298</f>
        <v>Zand (hergebruik)</v>
      </c>
      <c r="C2299" t="s">
        <v>40</v>
      </c>
      <c r="D2299" s="451" t="str">
        <f>D2298</f>
        <v>Zand</v>
      </c>
      <c r="E2299" s="451" t="s">
        <v>666</v>
      </c>
      <c r="F2299" s="451" t="s">
        <v>77</v>
      </c>
      <c r="G2299" s="451">
        <f t="shared" ref="G2299:M2299" si="867">G2298</f>
        <v>0</v>
      </c>
      <c r="H2299" s="451">
        <f t="shared" si="867"/>
        <v>0</v>
      </c>
      <c r="I2299" s="451">
        <f t="shared" si="867"/>
        <v>0</v>
      </c>
      <c r="J2299" s="451">
        <f t="shared" si="867"/>
        <v>0</v>
      </c>
      <c r="K2299" s="451">
        <f t="shared" si="867"/>
        <v>0</v>
      </c>
      <c r="L2299" s="451">
        <f t="shared" si="867"/>
        <v>1.5</v>
      </c>
      <c r="M2299" s="454">
        <f t="shared" si="867"/>
        <v>1</v>
      </c>
      <c r="N2299" s="452">
        <f>SUM(N2296:N2298)</f>
        <v>0</v>
      </c>
      <c r="O2299" s="451">
        <f>O2298</f>
        <v>100</v>
      </c>
      <c r="P2299" s="453">
        <f t="shared" ref="P2299:BK2299" si="868">SUM(P2296:P2298)</f>
        <v>0</v>
      </c>
      <c r="Q2299" s="453">
        <f t="shared" si="868"/>
        <v>0</v>
      </c>
      <c r="R2299" s="453">
        <f t="shared" si="868"/>
        <v>0</v>
      </c>
      <c r="S2299" s="453">
        <f t="shared" si="868"/>
        <v>0</v>
      </c>
      <c r="T2299" s="453">
        <f t="shared" si="868"/>
        <v>0</v>
      </c>
      <c r="U2299" s="453">
        <f t="shared" si="868"/>
        <v>0</v>
      </c>
      <c r="V2299" s="453">
        <f t="shared" si="868"/>
        <v>0</v>
      </c>
      <c r="W2299" s="453">
        <f t="shared" si="868"/>
        <v>0</v>
      </c>
      <c r="X2299" s="453">
        <f t="shared" si="868"/>
        <v>0</v>
      </c>
      <c r="Y2299" s="453">
        <f t="shared" si="868"/>
        <v>0</v>
      </c>
      <c r="Z2299" s="453">
        <f t="shared" si="868"/>
        <v>0</v>
      </c>
      <c r="AA2299" s="453">
        <f t="shared" si="868"/>
        <v>0</v>
      </c>
      <c r="AB2299" s="453">
        <f t="shared" si="868"/>
        <v>0</v>
      </c>
      <c r="AC2299" s="453">
        <f t="shared" si="868"/>
        <v>0</v>
      </c>
      <c r="AD2299" s="453">
        <f t="shared" si="868"/>
        <v>0</v>
      </c>
      <c r="AE2299" s="453">
        <f t="shared" si="868"/>
        <v>0</v>
      </c>
      <c r="AF2299" s="453">
        <f t="shared" si="868"/>
        <v>0</v>
      </c>
      <c r="AG2299" s="453">
        <f t="shared" si="868"/>
        <v>0</v>
      </c>
      <c r="AH2299" s="453">
        <f t="shared" si="868"/>
        <v>0</v>
      </c>
      <c r="AI2299" s="453">
        <f t="shared" si="868"/>
        <v>0</v>
      </c>
      <c r="AJ2299" s="453">
        <f t="shared" si="868"/>
        <v>0</v>
      </c>
      <c r="AK2299" s="453">
        <f t="shared" si="868"/>
        <v>0</v>
      </c>
      <c r="AL2299" s="453">
        <f t="shared" si="868"/>
        <v>0</v>
      </c>
      <c r="AM2299" s="453">
        <f t="shared" si="868"/>
        <v>0</v>
      </c>
      <c r="AN2299" s="453">
        <f t="shared" si="868"/>
        <v>0</v>
      </c>
      <c r="AO2299" s="453">
        <f t="shared" si="868"/>
        <v>0</v>
      </c>
      <c r="AP2299" s="453">
        <f t="shared" si="868"/>
        <v>0</v>
      </c>
      <c r="AQ2299" s="453">
        <f t="shared" si="868"/>
        <v>0</v>
      </c>
      <c r="AR2299" s="453">
        <f t="shared" si="868"/>
        <v>0</v>
      </c>
      <c r="AS2299" s="453">
        <f t="shared" si="868"/>
        <v>0</v>
      </c>
      <c r="AT2299" s="453">
        <f t="shared" si="868"/>
        <v>0</v>
      </c>
      <c r="AU2299" s="453">
        <f t="shared" si="868"/>
        <v>0</v>
      </c>
      <c r="AV2299" s="453">
        <f t="shared" si="868"/>
        <v>0</v>
      </c>
      <c r="AW2299" s="453">
        <f t="shared" si="868"/>
        <v>0</v>
      </c>
      <c r="AX2299" s="453">
        <f t="shared" si="868"/>
        <v>0</v>
      </c>
      <c r="AY2299" s="453">
        <f t="shared" si="868"/>
        <v>0</v>
      </c>
      <c r="AZ2299" s="453">
        <f t="shared" si="868"/>
        <v>0</v>
      </c>
      <c r="BA2299" s="453">
        <f t="shared" si="868"/>
        <v>0</v>
      </c>
      <c r="BB2299" s="453">
        <f t="shared" si="868"/>
        <v>0</v>
      </c>
      <c r="BC2299" s="453">
        <f t="shared" si="868"/>
        <v>0</v>
      </c>
      <c r="BD2299" s="453">
        <f t="shared" si="868"/>
        <v>0</v>
      </c>
      <c r="BE2299" s="453">
        <f t="shared" si="868"/>
        <v>0</v>
      </c>
      <c r="BF2299" s="453">
        <f t="shared" si="868"/>
        <v>0</v>
      </c>
      <c r="BG2299" s="453">
        <f t="shared" si="868"/>
        <v>0</v>
      </c>
      <c r="BH2299" s="453">
        <f t="shared" si="868"/>
        <v>0</v>
      </c>
      <c r="BI2299" s="453">
        <f t="shared" si="868"/>
        <v>0</v>
      </c>
      <c r="BJ2299" s="453">
        <f t="shared" si="868"/>
        <v>0</v>
      </c>
      <c r="BK2299" s="453">
        <f t="shared" si="868"/>
        <v>0</v>
      </c>
      <c r="BL2299" s="62">
        <f>BL2298</f>
        <v>1</v>
      </c>
      <c r="BM2299" s="275">
        <f>BM2298</f>
        <v>3</v>
      </c>
      <c r="BN2299" s="62">
        <v>0.05</v>
      </c>
      <c r="BO2299" s="451">
        <f>BO2298</f>
        <v>0</v>
      </c>
      <c r="BP2299" s="451"/>
    </row>
    <row r="2300" spans="1:68">
      <c r="A2300" s="33" t="str">
        <f>Database_Productkaarten[[#This Row],[Product]]&amp;", "&amp;Database_Productkaarten[[#This Row],[Levensfase]]</f>
        <v>Zand (hergebruik), A4</v>
      </c>
      <c r="B2300" s="33" t="s">
        <v>772</v>
      </c>
      <c r="C2300" t="s">
        <v>40</v>
      </c>
      <c r="D2300" s="33" t="s">
        <v>627</v>
      </c>
      <c r="E2300" s="451" t="s">
        <v>666</v>
      </c>
      <c r="F2300" s="33" t="s">
        <v>78</v>
      </c>
      <c r="L2300" s="33">
        <v>1.5</v>
      </c>
      <c r="M2300" s="269">
        <v>1</v>
      </c>
      <c r="N2300" s="41">
        <f>N2285</f>
        <v>0.71097999999999995</v>
      </c>
      <c r="O2300" s="33">
        <v>100</v>
      </c>
      <c r="P2300" s="40">
        <f>P2285</f>
        <v>0</v>
      </c>
      <c r="Q2300" s="40">
        <f t="shared" ref="Q2300:Z2300" si="869">Q2285</f>
        <v>0.05</v>
      </c>
      <c r="R2300" s="40">
        <f t="shared" si="869"/>
        <v>6.34</v>
      </c>
      <c r="S2300" s="40">
        <f t="shared" si="869"/>
        <v>0</v>
      </c>
      <c r="T2300" s="40">
        <f t="shared" si="869"/>
        <v>0</v>
      </c>
      <c r="U2300" s="40">
        <f t="shared" si="869"/>
        <v>0.02</v>
      </c>
      <c r="V2300" s="40">
        <f t="shared" si="869"/>
        <v>0</v>
      </c>
      <c r="W2300" s="40">
        <f t="shared" si="869"/>
        <v>2.23</v>
      </c>
      <c r="X2300" s="40">
        <f t="shared" si="869"/>
        <v>0.14000000000000001</v>
      </c>
      <c r="Y2300" s="40">
        <f t="shared" si="869"/>
        <v>376.63</v>
      </c>
      <c r="Z2300" s="40">
        <f t="shared" si="869"/>
        <v>0.01</v>
      </c>
      <c r="AA2300" s="40"/>
      <c r="AB2300" s="40"/>
      <c r="AC2300" s="40"/>
      <c r="AD2300" s="40"/>
      <c r="AE2300" s="40"/>
      <c r="AF2300" s="40"/>
      <c r="AG2300" s="40"/>
      <c r="AH2300" s="40"/>
      <c r="AI2300" s="40"/>
      <c r="AJ2300" s="40"/>
      <c r="AK2300" s="40"/>
      <c r="AL2300" s="40"/>
      <c r="AM2300" s="40"/>
      <c r="AN2300" s="40"/>
      <c r="AO2300" s="40"/>
      <c r="AP2300" s="40"/>
      <c r="AQ2300" s="40"/>
      <c r="AR2300" s="40"/>
      <c r="AS2300" s="40"/>
      <c r="AT2300" s="40"/>
      <c r="AU2300" s="40"/>
      <c r="AV2300" s="281">
        <f>AQ$2351*50</f>
        <v>0</v>
      </c>
      <c r="AW2300" s="40"/>
      <c r="AX2300" s="40"/>
      <c r="AY2300" s="281">
        <f>AT$2351*50</f>
        <v>0</v>
      </c>
      <c r="AZ2300" s="40"/>
      <c r="BA2300" s="40"/>
      <c r="BB2300" s="40"/>
      <c r="BC2300" s="40">
        <f>AX$2351*50</f>
        <v>0</v>
      </c>
      <c r="BD2300" s="40">
        <f>AY$2351*50</f>
        <v>0</v>
      </c>
      <c r="BE2300" s="40">
        <f>AZ$2351*50</f>
        <v>0</v>
      </c>
      <c r="BF2300" s="40">
        <f>BA$2351*50</f>
        <v>0</v>
      </c>
      <c r="BG2300" s="40"/>
      <c r="BH2300" s="40"/>
      <c r="BI2300" s="40"/>
      <c r="BJ2300" s="40"/>
      <c r="BK2300" s="40"/>
      <c r="BL2300" s="62">
        <v>1</v>
      </c>
      <c r="BM2300" s="275">
        <v>3</v>
      </c>
      <c r="BN2300" s="62">
        <v>0.05</v>
      </c>
    </row>
    <row r="2301" spans="1:68">
      <c r="A2301" s="33" t="str">
        <f>Database_Productkaarten[[#This Row],[Product]]&amp;", "&amp;Database_Productkaarten[[#This Row],[Levensfase]]</f>
        <v>Zand (hergebruik), A5</v>
      </c>
      <c r="B2301" s="33" t="s">
        <v>772</v>
      </c>
      <c r="C2301" t="s">
        <v>40</v>
      </c>
      <c r="D2301" s="33" t="s">
        <v>627</v>
      </c>
      <c r="E2301" s="451" t="s">
        <v>666</v>
      </c>
      <c r="F2301" s="33" t="s">
        <v>79</v>
      </c>
      <c r="L2301" s="33">
        <v>1.5</v>
      </c>
      <c r="M2301" s="269">
        <v>1</v>
      </c>
      <c r="N2301" s="41">
        <f>N2286</f>
        <v>0.22273999999999999</v>
      </c>
      <c r="O2301" s="33">
        <v>100</v>
      </c>
      <c r="P2301" s="40">
        <f t="shared" ref="P2301:Z2301" si="870">P2286</f>
        <v>0</v>
      </c>
      <c r="Q2301" s="40">
        <f t="shared" si="870"/>
        <v>1.7100000000000001E-2</v>
      </c>
      <c r="R2301" s="40">
        <f t="shared" si="870"/>
        <v>2.4884499999999998</v>
      </c>
      <c r="S2301" s="40">
        <f t="shared" si="870"/>
        <v>0</v>
      </c>
      <c r="T2301" s="40">
        <f t="shared" si="870"/>
        <v>6.9999999999999999E-4</v>
      </c>
      <c r="U2301" s="40">
        <f t="shared" si="870"/>
        <v>7.2500000000000004E-3</v>
      </c>
      <c r="V2301" s="40">
        <f t="shared" si="870"/>
        <v>1.4E-3</v>
      </c>
      <c r="W2301" s="40">
        <f t="shared" si="870"/>
        <v>0.61599999999999999</v>
      </c>
      <c r="X2301" s="40">
        <f t="shared" si="870"/>
        <v>1.23E-2</v>
      </c>
      <c r="Y2301" s="40">
        <f t="shared" si="870"/>
        <v>40.822249999999997</v>
      </c>
      <c r="Z2301" s="40">
        <f t="shared" si="870"/>
        <v>2.0999999999999999E-3</v>
      </c>
      <c r="AA2301" s="40"/>
      <c r="AB2301" s="40"/>
      <c r="AC2301" s="40"/>
      <c r="AD2301" s="40"/>
      <c r="AE2301" s="40"/>
      <c r="AF2301" s="40"/>
      <c r="AG2301" s="40"/>
      <c r="AH2301" s="40"/>
      <c r="AI2301" s="40"/>
      <c r="AJ2301" s="40"/>
      <c r="AK2301" s="40"/>
      <c r="AL2301" s="40"/>
      <c r="AM2301" s="40"/>
      <c r="AN2301" s="40"/>
      <c r="AO2301" s="40"/>
      <c r="AP2301" s="40"/>
      <c r="AQ2301" s="40"/>
      <c r="AR2301" s="40"/>
      <c r="AS2301" s="40"/>
      <c r="AT2301" s="40"/>
      <c r="AU2301" s="40"/>
      <c r="AV2301" s="281">
        <f>AP$2552*50</f>
        <v>0.71124284999999998</v>
      </c>
      <c r="AW2301" s="40"/>
      <c r="AX2301" s="40"/>
      <c r="AY2301" s="281">
        <f>AS$2552*50</f>
        <v>74.431809999999999</v>
      </c>
      <c r="AZ2301" s="40"/>
      <c r="BA2301" s="40"/>
      <c r="BB2301" s="40"/>
      <c r="BC2301" s="40">
        <f>AW$2552*50</f>
        <v>7.1161370000000007E-3</v>
      </c>
      <c r="BD2301" s="40">
        <f>AX$2552*50</f>
        <v>1.7396450000000001E-4</v>
      </c>
      <c r="BE2301" s="40">
        <f>AY$2552*50</f>
        <v>6.1519510000000004</v>
      </c>
      <c r="BF2301" s="40">
        <f>AZ$2552*50</f>
        <v>4.7809346000000002E-4</v>
      </c>
      <c r="BG2301" s="40"/>
      <c r="BH2301" s="40"/>
      <c r="BI2301" s="40"/>
      <c r="BJ2301" s="40"/>
      <c r="BK2301" s="40"/>
      <c r="BL2301" s="62">
        <v>1</v>
      </c>
      <c r="BM2301" s="275">
        <v>3</v>
      </c>
      <c r="BN2301" s="62">
        <v>0.05</v>
      </c>
    </row>
    <row r="2302" spans="1:68">
      <c r="A2302" s="33" t="str">
        <f>Database_Productkaarten[[#This Row],[Product]]&amp;", "&amp;Database_Productkaarten[[#This Row],[Levensfase]]</f>
        <v>Zand (hergebruik), B1</v>
      </c>
      <c r="B2302" s="33" t="s">
        <v>772</v>
      </c>
      <c r="C2302" t="s">
        <v>40</v>
      </c>
      <c r="D2302" s="33" t="s">
        <v>627</v>
      </c>
      <c r="E2302" s="451" t="s">
        <v>666</v>
      </c>
      <c r="F2302" s="33" t="s">
        <v>80</v>
      </c>
      <c r="L2302" s="33">
        <v>1.5</v>
      </c>
      <c r="M2302" s="269">
        <v>1</v>
      </c>
      <c r="N2302" s="41"/>
      <c r="O2302" s="33">
        <v>100</v>
      </c>
      <c r="P2302" s="40"/>
      <c r="Q2302" s="40"/>
      <c r="R2302" s="40"/>
      <c r="S2302" s="40"/>
      <c r="T2302" s="40"/>
      <c r="U2302" s="40"/>
      <c r="V2302" s="40"/>
      <c r="W2302" s="40"/>
      <c r="X2302" s="40"/>
      <c r="Y2302" s="40"/>
      <c r="Z2302" s="40"/>
      <c r="AA2302" s="40"/>
      <c r="AB2302" s="40"/>
      <c r="AC2302" s="40"/>
      <c r="AD2302" s="40"/>
      <c r="AE2302" s="40"/>
      <c r="AF2302" s="40"/>
      <c r="AG2302" s="40"/>
      <c r="AH2302" s="40"/>
      <c r="AI2302" s="40"/>
      <c r="AJ2302" s="40"/>
      <c r="AK2302" s="40"/>
      <c r="AL2302" s="40"/>
      <c r="AM2302" s="40"/>
      <c r="AN2302" s="40"/>
      <c r="AO2302" s="40"/>
      <c r="AP2302" s="40"/>
      <c r="AQ2302" s="40"/>
      <c r="AR2302" s="40"/>
      <c r="AS2302" s="40"/>
      <c r="AT2302" s="40"/>
      <c r="AU2302" s="40"/>
      <c r="AV2302" s="281"/>
      <c r="AW2302" s="40"/>
      <c r="AX2302" s="40"/>
      <c r="AY2302" s="281"/>
      <c r="AZ2302" s="40"/>
      <c r="BA2302" s="40"/>
      <c r="BB2302" s="40"/>
      <c r="BC2302" s="40"/>
      <c r="BD2302" s="40"/>
      <c r="BE2302" s="40"/>
      <c r="BF2302" s="40"/>
      <c r="BG2302" s="40"/>
      <c r="BH2302" s="40"/>
      <c r="BI2302" s="40"/>
      <c r="BJ2302" s="40"/>
      <c r="BK2302" s="40"/>
      <c r="BL2302" s="62">
        <v>1</v>
      </c>
      <c r="BM2302" s="275">
        <v>3</v>
      </c>
      <c r="BN2302" s="62">
        <v>0.05</v>
      </c>
    </row>
    <row r="2303" spans="1:68">
      <c r="A2303" s="33" t="str">
        <f>Database_Productkaarten[[#This Row],[Product]]&amp;", "&amp;Database_Productkaarten[[#This Row],[Levensfase]]</f>
        <v>Zand (hergebruik), C1</v>
      </c>
      <c r="B2303" s="33" t="s">
        <v>772</v>
      </c>
      <c r="C2303" t="s">
        <v>40</v>
      </c>
      <c r="D2303" s="33" t="s">
        <v>627</v>
      </c>
      <c r="E2303" s="451" t="s">
        <v>666</v>
      </c>
      <c r="F2303" s="33" t="s">
        <v>83</v>
      </c>
      <c r="L2303" s="33">
        <v>1.5</v>
      </c>
      <c r="M2303" s="269">
        <v>1</v>
      </c>
      <c r="N2303" s="41">
        <f>N2288</f>
        <v>3.7519999999999998E-2</v>
      </c>
      <c r="O2303" s="33">
        <v>100</v>
      </c>
      <c r="P2303" s="40">
        <f t="shared" ref="P2303:Z2303" si="871">P2288</f>
        <v>0</v>
      </c>
      <c r="Q2303" s="40">
        <f t="shared" si="871"/>
        <v>3.2000000000000002E-3</v>
      </c>
      <c r="R2303" s="40">
        <f t="shared" si="871"/>
        <v>0.4657</v>
      </c>
      <c r="S2303" s="40">
        <f t="shared" si="871"/>
        <v>0</v>
      </c>
      <c r="T2303" s="40">
        <f t="shared" si="871"/>
        <v>2.0000000000000001E-4</v>
      </c>
      <c r="U2303" s="40">
        <f t="shared" si="871"/>
        <v>1.4000000000000002E-3</v>
      </c>
      <c r="V2303" s="40">
        <f t="shared" si="871"/>
        <v>2.9999999999999997E-4</v>
      </c>
      <c r="W2303" s="40">
        <f t="shared" si="871"/>
        <v>0.1153</v>
      </c>
      <c r="X2303" s="40">
        <f t="shared" si="871"/>
        <v>2.3E-3</v>
      </c>
      <c r="Y2303" s="40">
        <f t="shared" si="871"/>
        <v>7.6397000000000004</v>
      </c>
      <c r="Z2303" s="40">
        <f t="shared" si="871"/>
        <v>4.0000000000000002E-4</v>
      </c>
      <c r="AA2303" s="40"/>
      <c r="AB2303" s="40"/>
      <c r="AC2303" s="40"/>
      <c r="AD2303" s="40"/>
      <c r="AE2303" s="40"/>
      <c r="AF2303" s="40"/>
      <c r="AG2303" s="40"/>
      <c r="AH2303" s="40"/>
      <c r="AI2303" s="40"/>
      <c r="AJ2303" s="40"/>
      <c r="AK2303" s="40"/>
      <c r="AL2303" s="40"/>
      <c r="AM2303" s="40"/>
      <c r="AN2303" s="40"/>
      <c r="AO2303" s="40"/>
      <c r="AP2303" s="40"/>
      <c r="AQ2303" s="40"/>
      <c r="AR2303" s="40"/>
      <c r="AS2303" s="40"/>
      <c r="AT2303" s="40"/>
      <c r="AU2303" s="40"/>
      <c r="AV2303" s="281">
        <f>AP$2552*50</f>
        <v>0.71124284999999998</v>
      </c>
      <c r="AW2303" s="40"/>
      <c r="AX2303" s="40"/>
      <c r="AY2303" s="281">
        <f>AP$2552*50</f>
        <v>0.71124284999999998</v>
      </c>
      <c r="AZ2303" s="40"/>
      <c r="BA2303" s="40"/>
      <c r="BB2303" s="40"/>
      <c r="BC2303" s="40"/>
      <c r="BD2303" s="40"/>
      <c r="BE2303" s="40"/>
      <c r="BF2303" s="40"/>
      <c r="BG2303" s="40"/>
      <c r="BH2303" s="40"/>
      <c r="BI2303" s="40"/>
      <c r="BJ2303" s="40"/>
      <c r="BK2303" s="40"/>
      <c r="BL2303" s="62">
        <v>1</v>
      </c>
      <c r="BM2303" s="275">
        <v>3</v>
      </c>
      <c r="BN2303" s="62">
        <v>0.05</v>
      </c>
    </row>
    <row r="2304" spans="1:68">
      <c r="A2304" s="33" t="str">
        <f>Database_Productkaarten[[#This Row],[Product]]&amp;", "&amp;Database_Productkaarten[[#This Row],[Levensfase]]</f>
        <v>Zand (hergebruik), C2</v>
      </c>
      <c r="B2304" s="33" t="s">
        <v>772</v>
      </c>
      <c r="C2304" t="s">
        <v>40</v>
      </c>
      <c r="D2304" s="33" t="s">
        <v>627</v>
      </c>
      <c r="E2304" s="451" t="s">
        <v>666</v>
      </c>
      <c r="F2304" s="33" t="s">
        <v>84</v>
      </c>
      <c r="L2304" s="33">
        <v>1.5</v>
      </c>
      <c r="M2304" s="269">
        <v>1</v>
      </c>
      <c r="N2304" s="41">
        <f>N2289</f>
        <v>0.71809000000000001</v>
      </c>
      <c r="O2304" s="33">
        <v>100</v>
      </c>
      <c r="P2304" s="40">
        <f t="shared" ref="P2304:Z2304" si="872">P2289</f>
        <v>0</v>
      </c>
      <c r="Q2304" s="40">
        <f t="shared" si="872"/>
        <v>0.05</v>
      </c>
      <c r="R2304" s="40">
        <f t="shared" si="872"/>
        <v>6.4</v>
      </c>
      <c r="S2304" s="40">
        <f t="shared" si="872"/>
        <v>0</v>
      </c>
      <c r="T2304" s="40">
        <f t="shared" si="872"/>
        <v>0</v>
      </c>
      <c r="U2304" s="40">
        <f t="shared" si="872"/>
        <v>0.02</v>
      </c>
      <c r="V2304" s="40">
        <f t="shared" si="872"/>
        <v>0</v>
      </c>
      <c r="W2304" s="40">
        <f t="shared" si="872"/>
        <v>2.25</v>
      </c>
      <c r="X2304" s="40">
        <f t="shared" si="872"/>
        <v>0.15</v>
      </c>
      <c r="Y2304" s="40">
        <f t="shared" si="872"/>
        <v>380.39</v>
      </c>
      <c r="Z2304" s="40">
        <f t="shared" si="872"/>
        <v>0.01</v>
      </c>
      <c r="AA2304" s="40"/>
      <c r="AB2304" s="40"/>
      <c r="AC2304" s="40"/>
      <c r="AD2304" s="40"/>
      <c r="AE2304" s="40"/>
      <c r="AF2304" s="40"/>
      <c r="AG2304" s="40"/>
      <c r="AH2304" s="40"/>
      <c r="AI2304" s="40"/>
      <c r="AJ2304" s="40"/>
      <c r="AK2304" s="40"/>
      <c r="AL2304" s="40"/>
      <c r="AM2304" s="40"/>
      <c r="AN2304" s="40"/>
      <c r="AO2304" s="40"/>
      <c r="AP2304" s="40"/>
      <c r="AQ2304" s="40"/>
      <c r="AR2304" s="40"/>
      <c r="AS2304" s="40"/>
      <c r="AT2304" s="40"/>
      <c r="AU2304" s="40"/>
      <c r="AV2304" s="281">
        <f>AQ$2351*50</f>
        <v>0</v>
      </c>
      <c r="AW2304" s="40"/>
      <c r="AX2304" s="40"/>
      <c r="AY2304" s="281">
        <f>AT$2351*50</f>
        <v>0</v>
      </c>
      <c r="AZ2304" s="40"/>
      <c r="BA2304" s="40"/>
      <c r="BB2304" s="40"/>
      <c r="BC2304" s="40">
        <f>AX$2351*50</f>
        <v>0</v>
      </c>
      <c r="BD2304" s="40">
        <f>AY$2351*50</f>
        <v>0</v>
      </c>
      <c r="BE2304" s="40">
        <f>AZ$2351*50</f>
        <v>0</v>
      </c>
      <c r="BF2304" s="40">
        <f>BA$2351*50</f>
        <v>0</v>
      </c>
      <c r="BG2304" s="40"/>
      <c r="BH2304" s="40"/>
      <c r="BI2304" s="40"/>
      <c r="BJ2304" s="40"/>
      <c r="BK2304" s="40"/>
      <c r="BL2304" s="62">
        <v>1</v>
      </c>
      <c r="BM2304" s="275">
        <v>3</v>
      </c>
      <c r="BN2304" s="62">
        <v>0.05</v>
      </c>
    </row>
    <row r="2305" spans="1:68">
      <c r="A2305" s="33" t="str">
        <f>Database_Productkaarten[[#This Row],[Product]]&amp;", "&amp;Database_Productkaarten[[#This Row],[Levensfase]]</f>
        <v>Zand (hergebruik), C3</v>
      </c>
      <c r="B2305" s="33" t="s">
        <v>772</v>
      </c>
      <c r="C2305" t="s">
        <v>40</v>
      </c>
      <c r="D2305" s="33" t="s">
        <v>627</v>
      </c>
      <c r="E2305" s="451" t="s">
        <v>666</v>
      </c>
      <c r="F2305" s="33" t="s">
        <v>85</v>
      </c>
      <c r="L2305" s="33">
        <v>1.5</v>
      </c>
      <c r="M2305" s="269">
        <v>1</v>
      </c>
      <c r="N2305" s="41"/>
      <c r="O2305" s="33">
        <v>100</v>
      </c>
      <c r="P2305" s="40"/>
      <c r="Q2305" s="40"/>
      <c r="R2305" s="40"/>
      <c r="S2305" s="40"/>
      <c r="T2305" s="40"/>
      <c r="U2305" s="40"/>
      <c r="V2305" s="40"/>
      <c r="W2305" s="40"/>
      <c r="X2305" s="40"/>
      <c r="Y2305" s="40"/>
      <c r="Z2305" s="40"/>
      <c r="AA2305" s="40"/>
      <c r="AB2305" s="40"/>
      <c r="AC2305" s="40"/>
      <c r="AD2305" s="40"/>
      <c r="AE2305" s="40"/>
      <c r="AF2305" s="40"/>
      <c r="AG2305" s="40"/>
      <c r="AH2305" s="40"/>
      <c r="AI2305" s="40"/>
      <c r="AJ2305" s="40"/>
      <c r="AK2305" s="40"/>
      <c r="AL2305" s="40"/>
      <c r="AM2305" s="40"/>
      <c r="AN2305" s="40"/>
      <c r="AO2305" s="40"/>
      <c r="AP2305" s="40"/>
      <c r="AQ2305" s="40"/>
      <c r="AR2305" s="40"/>
      <c r="AS2305" s="40"/>
      <c r="AT2305" s="40"/>
      <c r="AU2305" s="40"/>
      <c r="AV2305" s="281"/>
      <c r="AW2305" s="40"/>
      <c r="AX2305" s="40"/>
      <c r="AY2305" s="281"/>
      <c r="AZ2305" s="40"/>
      <c r="BA2305" s="40"/>
      <c r="BB2305" s="40"/>
      <c r="BC2305" s="40"/>
      <c r="BD2305" s="40"/>
      <c r="BE2305" s="40"/>
      <c r="BF2305" s="40"/>
      <c r="BG2305" s="40"/>
      <c r="BH2305" s="40"/>
      <c r="BI2305" s="40"/>
      <c r="BJ2305" s="40"/>
      <c r="BK2305" s="40"/>
      <c r="BL2305" s="62">
        <v>1</v>
      </c>
      <c r="BM2305" s="275">
        <v>3</v>
      </c>
      <c r="BN2305" s="62">
        <v>0.05</v>
      </c>
    </row>
    <row r="2306" spans="1:68">
      <c r="A2306" s="33" t="str">
        <f>Database_Productkaarten[[#This Row],[Product]]&amp;", "&amp;Database_Productkaarten[[#This Row],[Levensfase]]</f>
        <v>Zand (hergebruik), C4</v>
      </c>
      <c r="B2306" s="33" t="s">
        <v>772</v>
      </c>
      <c r="C2306" t="s">
        <v>40</v>
      </c>
      <c r="D2306" s="33" t="s">
        <v>627</v>
      </c>
      <c r="E2306" s="451" t="s">
        <v>666</v>
      </c>
      <c r="F2306" s="33" t="s">
        <v>86</v>
      </c>
      <c r="L2306" s="33">
        <v>1.5</v>
      </c>
      <c r="M2306" s="269">
        <v>1</v>
      </c>
      <c r="N2306" s="41">
        <f>N2291</f>
        <v>1.115E-2</v>
      </c>
      <c r="O2306" s="33">
        <v>100</v>
      </c>
      <c r="P2306" s="40">
        <f t="shared" ref="P2306:Z2306" si="873">P2291</f>
        <v>0</v>
      </c>
      <c r="Q2306" s="40">
        <f t="shared" si="873"/>
        <v>0</v>
      </c>
      <c r="R2306" s="40">
        <f t="shared" si="873"/>
        <v>0.08</v>
      </c>
      <c r="S2306" s="40">
        <f t="shared" si="873"/>
        <v>0</v>
      </c>
      <c r="T2306" s="40">
        <f t="shared" si="873"/>
        <v>0</v>
      </c>
      <c r="U2306" s="40">
        <f t="shared" si="873"/>
        <v>0</v>
      </c>
      <c r="V2306" s="40">
        <f t="shared" si="873"/>
        <v>0</v>
      </c>
      <c r="W2306" s="40">
        <f t="shared" si="873"/>
        <v>0.03</v>
      </c>
      <c r="X2306" s="40">
        <f t="shared" si="873"/>
        <v>0</v>
      </c>
      <c r="Y2306" s="40">
        <f t="shared" si="873"/>
        <v>2.92</v>
      </c>
      <c r="Z2306" s="40">
        <f t="shared" si="873"/>
        <v>0</v>
      </c>
      <c r="AA2306" s="40"/>
      <c r="AB2306" s="40"/>
      <c r="AC2306" s="40"/>
      <c r="AD2306" s="40"/>
      <c r="AE2306" s="40"/>
      <c r="AF2306" s="40"/>
      <c r="AG2306" s="40"/>
      <c r="AH2306" s="40"/>
      <c r="AI2306" s="40"/>
      <c r="AJ2306" s="40"/>
      <c r="AK2306" s="40"/>
      <c r="AL2306" s="40"/>
      <c r="AM2306" s="40"/>
      <c r="AN2306" s="40"/>
      <c r="AO2306" s="40"/>
      <c r="AP2306" s="40"/>
      <c r="AQ2306" s="40"/>
      <c r="AR2306" s="40"/>
      <c r="AS2306" s="40"/>
      <c r="AT2306" s="40"/>
      <c r="AU2306" s="40"/>
      <c r="AV2306" s="281"/>
      <c r="AW2306" s="40"/>
      <c r="AX2306" s="40"/>
      <c r="AY2306" s="281"/>
      <c r="AZ2306" s="40"/>
      <c r="BA2306" s="40"/>
      <c r="BB2306" s="40"/>
      <c r="BC2306" s="40"/>
      <c r="BD2306" s="40"/>
      <c r="BE2306" s="40"/>
      <c r="BF2306" s="40"/>
      <c r="BG2306" s="40"/>
      <c r="BH2306" s="40"/>
      <c r="BI2306" s="40"/>
      <c r="BJ2306" s="40"/>
      <c r="BK2306" s="40"/>
      <c r="BL2306" s="62">
        <v>1</v>
      </c>
      <c r="BM2306" s="275">
        <v>3</v>
      </c>
      <c r="BN2306" s="62">
        <v>0.05</v>
      </c>
    </row>
    <row r="2307" spans="1:68">
      <c r="A2307" s="33" t="str">
        <f>Database_Productkaarten[[#This Row],[Product]]&amp;", "&amp;Database_Productkaarten[[#This Row],[Levensfase]]</f>
        <v>Zand (hergebruik), D</v>
      </c>
      <c r="B2307" s="33" t="str">
        <f>B2308</f>
        <v>Zand (hergebruik)</v>
      </c>
      <c r="C2307" t="s">
        <v>40</v>
      </c>
      <c r="D2307" s="33" t="str">
        <f>D2308</f>
        <v>Zand</v>
      </c>
      <c r="E2307" s="451" t="s">
        <v>666</v>
      </c>
      <c r="F2307" s="33" t="s">
        <v>89</v>
      </c>
      <c r="G2307" s="33">
        <f t="shared" ref="G2307:M2307" si="874">G2308</f>
        <v>0</v>
      </c>
      <c r="H2307" s="33">
        <f t="shared" si="874"/>
        <v>0</v>
      </c>
      <c r="I2307" s="33">
        <f t="shared" si="874"/>
        <v>0</v>
      </c>
      <c r="J2307" s="33">
        <f t="shared" si="874"/>
        <v>0</v>
      </c>
      <c r="K2307" s="33">
        <f t="shared" si="874"/>
        <v>0</v>
      </c>
      <c r="L2307" s="33">
        <f t="shared" si="874"/>
        <v>1.5</v>
      </c>
      <c r="M2307" s="45">
        <f t="shared" si="874"/>
        <v>1</v>
      </c>
      <c r="N2307" s="41">
        <f>N2292*-0.01</f>
        <v>7.9693000000000003E-3</v>
      </c>
      <c r="O2307" s="33">
        <f>O2308</f>
        <v>100</v>
      </c>
      <c r="P2307" s="40">
        <f>P2292*-0.01</f>
        <v>0</v>
      </c>
      <c r="Q2307" s="40">
        <f t="shared" ref="Q2307:Z2307" si="875">Q2292*-0.01</f>
        <v>4.0000000000000002E-4</v>
      </c>
      <c r="R2307" s="40">
        <f t="shared" si="875"/>
        <v>6.2300000000000008E-2</v>
      </c>
      <c r="S2307" s="40">
        <f t="shared" si="875"/>
        <v>0</v>
      </c>
      <c r="T2307" s="40">
        <f t="shared" si="875"/>
        <v>0</v>
      </c>
      <c r="U2307" s="40">
        <f t="shared" si="875"/>
        <v>4.0000000000000002E-4</v>
      </c>
      <c r="V2307" s="40">
        <f t="shared" si="875"/>
        <v>1E-4</v>
      </c>
      <c r="W2307" s="40">
        <f t="shared" si="875"/>
        <v>2.7900000000000001E-2</v>
      </c>
      <c r="X2307" s="40">
        <f t="shared" si="875"/>
        <v>4.0000000000000002E-4</v>
      </c>
      <c r="Y2307" s="40">
        <f t="shared" si="875"/>
        <v>1.7418</v>
      </c>
      <c r="Z2307" s="40">
        <f t="shared" si="875"/>
        <v>1E-4</v>
      </c>
      <c r="AA2307" s="40">
        <f t="shared" ref="AA2307:BK2307" si="876">SUM(AA2308:AA2309)</f>
        <v>0</v>
      </c>
      <c r="AB2307" s="40">
        <f t="shared" si="876"/>
        <v>0</v>
      </c>
      <c r="AC2307" s="40">
        <f t="shared" si="876"/>
        <v>0</v>
      </c>
      <c r="AD2307" s="40">
        <f t="shared" si="876"/>
        <v>0</v>
      </c>
      <c r="AE2307" s="40">
        <f t="shared" si="876"/>
        <v>0</v>
      </c>
      <c r="AF2307" s="40">
        <f t="shared" si="876"/>
        <v>0</v>
      </c>
      <c r="AG2307" s="40">
        <f t="shared" si="876"/>
        <v>0</v>
      </c>
      <c r="AH2307" s="40">
        <f t="shared" si="876"/>
        <v>0</v>
      </c>
      <c r="AI2307" s="40">
        <f t="shared" si="876"/>
        <v>0</v>
      </c>
      <c r="AJ2307" s="40">
        <f t="shared" si="876"/>
        <v>0</v>
      </c>
      <c r="AK2307" s="40">
        <f t="shared" si="876"/>
        <v>0</v>
      </c>
      <c r="AL2307" s="40">
        <f t="shared" si="876"/>
        <v>0</v>
      </c>
      <c r="AM2307" s="40">
        <f t="shared" si="876"/>
        <v>0</v>
      </c>
      <c r="AN2307" s="40">
        <f t="shared" si="876"/>
        <v>0</v>
      </c>
      <c r="AO2307" s="40">
        <f t="shared" si="876"/>
        <v>0</v>
      </c>
      <c r="AP2307" s="40">
        <f t="shared" si="876"/>
        <v>0</v>
      </c>
      <c r="AQ2307" s="40">
        <f t="shared" si="876"/>
        <v>0</v>
      </c>
      <c r="AR2307" s="40">
        <f t="shared" si="876"/>
        <v>0</v>
      </c>
      <c r="AS2307" s="40">
        <f t="shared" si="876"/>
        <v>0</v>
      </c>
      <c r="AT2307" s="40">
        <f t="shared" si="876"/>
        <v>0</v>
      </c>
      <c r="AU2307" s="40">
        <f t="shared" si="876"/>
        <v>0</v>
      </c>
      <c r="AV2307" s="40">
        <f t="shared" si="876"/>
        <v>0</v>
      </c>
      <c r="AW2307" s="40">
        <f t="shared" si="876"/>
        <v>0</v>
      </c>
      <c r="AX2307" s="40">
        <f t="shared" si="876"/>
        <v>0</v>
      </c>
      <c r="AY2307" s="40">
        <f t="shared" si="876"/>
        <v>0</v>
      </c>
      <c r="AZ2307" s="40">
        <f t="shared" si="876"/>
        <v>0</v>
      </c>
      <c r="BA2307" s="40">
        <f t="shared" si="876"/>
        <v>0</v>
      </c>
      <c r="BB2307" s="40">
        <f t="shared" si="876"/>
        <v>0</v>
      </c>
      <c r="BC2307" s="40">
        <f t="shared" si="876"/>
        <v>0</v>
      </c>
      <c r="BD2307" s="40">
        <f t="shared" si="876"/>
        <v>0</v>
      </c>
      <c r="BE2307" s="40">
        <f t="shared" si="876"/>
        <v>0</v>
      </c>
      <c r="BF2307" s="40">
        <f t="shared" si="876"/>
        <v>0</v>
      </c>
      <c r="BG2307" s="40">
        <f t="shared" si="876"/>
        <v>0</v>
      </c>
      <c r="BH2307" s="40">
        <f t="shared" si="876"/>
        <v>0</v>
      </c>
      <c r="BI2307" s="40">
        <f t="shared" si="876"/>
        <v>0</v>
      </c>
      <c r="BJ2307" s="40">
        <f t="shared" si="876"/>
        <v>0</v>
      </c>
      <c r="BK2307" s="40">
        <f t="shared" si="876"/>
        <v>0</v>
      </c>
      <c r="BL2307" s="62">
        <f>BL2308</f>
        <v>1</v>
      </c>
      <c r="BM2307" s="275">
        <f>BM2308</f>
        <v>3</v>
      </c>
      <c r="BN2307" s="62">
        <v>0.05</v>
      </c>
      <c r="BO2307" s="33">
        <f>BO2308</f>
        <v>0</v>
      </c>
    </row>
    <row r="2308" spans="1:68">
      <c r="A2308" s="33" t="str">
        <f>Database_Productkaarten[[#This Row],[Product]]&amp;", "&amp;Database_Productkaarten[[#This Row],[Levensfase]]</f>
        <v>Zand (hergebruik), D1</v>
      </c>
      <c r="B2308" s="33" t="s">
        <v>772</v>
      </c>
      <c r="C2308" t="s">
        <v>40</v>
      </c>
      <c r="D2308" s="33" t="s">
        <v>627</v>
      </c>
      <c r="E2308" s="451" t="s">
        <v>666</v>
      </c>
      <c r="F2308" s="33" t="s">
        <v>87</v>
      </c>
      <c r="L2308" s="33">
        <v>1.5</v>
      </c>
      <c r="M2308" s="269">
        <v>1</v>
      </c>
      <c r="N2308" s="41"/>
      <c r="O2308" s="33">
        <v>100</v>
      </c>
      <c r="P2308" s="40"/>
      <c r="Q2308" s="40"/>
      <c r="R2308" s="40"/>
      <c r="S2308" s="40"/>
      <c r="T2308" s="40"/>
      <c r="U2308" s="40"/>
      <c r="V2308" s="40"/>
      <c r="W2308" s="40"/>
      <c r="X2308" s="40"/>
      <c r="Y2308" s="40"/>
      <c r="Z2308" s="40"/>
      <c r="AA2308" s="40"/>
      <c r="AB2308" s="40"/>
      <c r="AC2308" s="40"/>
      <c r="AD2308" s="40"/>
      <c r="AE2308" s="40"/>
      <c r="AF2308" s="40"/>
      <c r="AG2308" s="40"/>
      <c r="AH2308" s="40"/>
      <c r="AI2308" s="40"/>
      <c r="AJ2308" s="40"/>
      <c r="AK2308" s="40"/>
      <c r="AL2308" s="40"/>
      <c r="AM2308" s="40"/>
      <c r="AN2308" s="40"/>
      <c r="AO2308" s="40"/>
      <c r="AP2308" s="40"/>
      <c r="AQ2308" s="40"/>
      <c r="AR2308" s="40"/>
      <c r="AS2308" s="40"/>
      <c r="AT2308" s="40"/>
      <c r="AU2308" s="40"/>
      <c r="AV2308" s="281"/>
      <c r="AW2308" s="40"/>
      <c r="AX2308" s="40"/>
      <c r="AY2308" s="281"/>
      <c r="AZ2308" s="40"/>
      <c r="BA2308" s="40"/>
      <c r="BB2308" s="40"/>
      <c r="BC2308" s="40"/>
      <c r="BD2308" s="40"/>
      <c r="BE2308" s="40"/>
      <c r="BF2308" s="40"/>
      <c r="BG2308" s="40"/>
      <c r="BH2308" s="40"/>
      <c r="BI2308" s="40"/>
      <c r="BJ2308" s="40"/>
      <c r="BK2308" s="40"/>
      <c r="BL2308" s="62">
        <v>1</v>
      </c>
      <c r="BM2308" s="275">
        <v>3</v>
      </c>
      <c r="BN2308" s="62">
        <v>0.05</v>
      </c>
    </row>
    <row r="2309" spans="1:68">
      <c r="A2309" s="33" t="str">
        <f>Database_Productkaarten[[#This Row],[Product]]&amp;", "&amp;Database_Productkaarten[[#This Row],[Levensfase]]</f>
        <v>Zand (hergebruik), D2</v>
      </c>
      <c r="B2309" s="33" t="s">
        <v>772</v>
      </c>
      <c r="C2309" t="s">
        <v>40</v>
      </c>
      <c r="D2309" s="33" t="s">
        <v>627</v>
      </c>
      <c r="E2309" s="451" t="s">
        <v>666</v>
      </c>
      <c r="F2309" s="33" t="s">
        <v>88</v>
      </c>
      <c r="L2309" s="33">
        <v>1.5</v>
      </c>
      <c r="M2309" s="269">
        <v>1</v>
      </c>
      <c r="N2309" s="41">
        <v>0</v>
      </c>
      <c r="O2309" s="33">
        <v>100</v>
      </c>
      <c r="P2309" s="40"/>
      <c r="Q2309" s="40"/>
      <c r="R2309" s="40"/>
      <c r="S2309" s="40"/>
      <c r="T2309" s="40"/>
      <c r="U2309" s="40"/>
      <c r="V2309" s="40"/>
      <c r="W2309" s="40"/>
      <c r="X2309" s="40"/>
      <c r="Y2309" s="40"/>
      <c r="Z2309" s="40"/>
      <c r="AA2309" s="40"/>
      <c r="AB2309" s="40"/>
      <c r="AC2309" s="40"/>
      <c r="AD2309" s="40"/>
      <c r="AE2309" s="40"/>
      <c r="AF2309" s="40"/>
      <c r="AG2309" s="40"/>
      <c r="AH2309" s="40"/>
      <c r="AI2309" s="40"/>
      <c r="AJ2309" s="40"/>
      <c r="AK2309" s="40"/>
      <c r="AL2309" s="40"/>
      <c r="AM2309" s="40"/>
      <c r="AN2309" s="40"/>
      <c r="AO2309" s="40"/>
      <c r="AP2309" s="40"/>
      <c r="AQ2309" s="40"/>
      <c r="AR2309" s="40"/>
      <c r="AS2309" s="40"/>
      <c r="AT2309" s="40"/>
      <c r="AU2309" s="40"/>
      <c r="AV2309" s="281"/>
      <c r="AW2309" s="40"/>
      <c r="AX2309" s="40"/>
      <c r="AY2309" s="281"/>
      <c r="AZ2309" s="40"/>
      <c r="BA2309" s="40"/>
      <c r="BB2309" s="40"/>
      <c r="BC2309" s="40"/>
      <c r="BD2309" s="40"/>
      <c r="BE2309" s="40"/>
      <c r="BF2309" s="40"/>
      <c r="BG2309" s="40"/>
      <c r="BH2309" s="40"/>
      <c r="BI2309" s="40"/>
      <c r="BJ2309" s="40"/>
      <c r="BK2309" s="40"/>
      <c r="BL2309" s="62">
        <v>1</v>
      </c>
      <c r="BM2309" s="275">
        <v>3</v>
      </c>
      <c r="BN2309" s="62">
        <v>0.05</v>
      </c>
    </row>
    <row r="2310" spans="1:68">
      <c r="A2310" s="33" t="str">
        <f>Database_Productkaarten[[#This Row],[Product]]&amp;", "&amp;Database_Productkaarten[[#This Row],[Levensfase]]</f>
        <v>Straatzand, Totaal</v>
      </c>
      <c r="B2310" s="33" t="s">
        <v>773</v>
      </c>
      <c r="C2310" t="s">
        <v>40</v>
      </c>
      <c r="D2310" s="33" t="s">
        <v>627</v>
      </c>
      <c r="E2310" s="33" t="s">
        <v>378</v>
      </c>
      <c r="F2310" s="33" t="s">
        <v>90</v>
      </c>
      <c r="L2310" s="33">
        <v>1.7</v>
      </c>
      <c r="M2310" s="269">
        <v>1</v>
      </c>
      <c r="N2310" s="41">
        <f>SUM(N2311:N2324)</f>
        <v>0.79334194675279202</v>
      </c>
      <c r="O2310" s="33">
        <v>100</v>
      </c>
      <c r="P2310" s="40">
        <f t="shared" ref="P2310:Z2310" si="877">SUM(P2311:P2324)</f>
        <v>0.70392156862745092</v>
      </c>
      <c r="Q2310" s="40">
        <f t="shared" si="877"/>
        <v>5.0000416074509807E-2</v>
      </c>
      <c r="R2310" s="40">
        <f t="shared" si="877"/>
        <v>86.346073062051374</v>
      </c>
      <c r="S2310" s="40">
        <f t="shared" si="877"/>
        <v>0.88885400552941174</v>
      </c>
      <c r="T2310" s="40">
        <f t="shared" si="877"/>
        <v>5000.0000001548005</v>
      </c>
      <c r="U2310" s="40">
        <f t="shared" si="877"/>
        <v>2.0292649236862744E-2</v>
      </c>
      <c r="V2310" s="40">
        <f t="shared" si="877"/>
        <v>8.3081707805464681E-4</v>
      </c>
      <c r="W2310" s="40">
        <f t="shared" si="877"/>
        <v>2.23227062</v>
      </c>
      <c r="X2310" s="40">
        <f t="shared" si="877"/>
        <v>0.73939499488235294</v>
      </c>
      <c r="Y2310" s="40">
        <f t="shared" si="877"/>
        <v>376.63000000701629</v>
      </c>
      <c r="Z2310" s="40">
        <f t="shared" si="877"/>
        <v>0.35266226884689128</v>
      </c>
      <c r="AA2310" s="40"/>
      <c r="AB2310" s="40"/>
      <c r="AC2310" s="40"/>
      <c r="AD2310" s="40"/>
      <c r="AE2310" s="40"/>
      <c r="AF2310" s="40"/>
      <c r="AG2310" s="40"/>
      <c r="AH2310" s="40"/>
      <c r="AI2310" s="40"/>
      <c r="AJ2310" s="40"/>
      <c r="AK2310" s="40"/>
      <c r="AL2310" s="40"/>
      <c r="AM2310" s="40"/>
      <c r="AN2310" s="40"/>
      <c r="AO2310" s="40"/>
      <c r="AP2310" s="40"/>
      <c r="AQ2310" s="40"/>
      <c r="AR2310" s="40"/>
      <c r="AS2310" s="40"/>
      <c r="AT2310" s="40"/>
      <c r="AU2310" s="40"/>
      <c r="AV2310" s="281">
        <f>SUM(AV2311:AV2324)</f>
        <v>18.7026</v>
      </c>
      <c r="AW2310" s="40"/>
      <c r="AX2310" s="40"/>
      <c r="AY2310" s="281">
        <f>SUM(AY2311:AY2324)</f>
        <v>1688.7300000000002</v>
      </c>
      <c r="AZ2310" s="40"/>
      <c r="BA2310" s="40"/>
      <c r="BB2310" s="40"/>
      <c r="BC2310" s="40">
        <f>SUM(BC2311:BC2324)</f>
        <v>0</v>
      </c>
      <c r="BD2310" s="40">
        <f>SUM(BD2311:BD2324)</f>
        <v>1.1251973397059999E-5</v>
      </c>
      <c r="BE2310" s="40">
        <f>SUM(BE2311:BE2324)</f>
        <v>2.1704152704189487E-4</v>
      </c>
      <c r="BF2310" s="40">
        <f>SUM(BF2311:BF2324)</f>
        <v>6.1739306958433781E-10</v>
      </c>
      <c r="BG2310" s="40"/>
      <c r="BH2310" s="40"/>
      <c r="BI2310" s="40"/>
      <c r="BJ2310" s="40"/>
      <c r="BK2310" s="40"/>
      <c r="BL2310" s="62">
        <v>0</v>
      </c>
      <c r="BM2310" s="275">
        <v>3</v>
      </c>
      <c r="BN2310" s="62">
        <v>0.05</v>
      </c>
    </row>
    <row r="2311" spans="1:68">
      <c r="A2311" s="33" t="str">
        <f>Database_Productkaarten[[#This Row],[Product]]&amp;", "&amp;Database_Productkaarten[[#This Row],[Levensfase]]</f>
        <v>Straatzand, A1</v>
      </c>
      <c r="B2311" s="33" t="s">
        <v>773</v>
      </c>
      <c r="C2311" t="s">
        <v>40</v>
      </c>
      <c r="D2311" s="33" t="s">
        <v>627</v>
      </c>
      <c r="E2311" s="33" t="s">
        <v>378</v>
      </c>
      <c r="F2311" s="33" t="s">
        <v>74</v>
      </c>
      <c r="L2311" s="33">
        <v>1.7</v>
      </c>
      <c r="M2311" s="269">
        <v>1</v>
      </c>
      <c r="N2311" s="41"/>
      <c r="O2311" s="33">
        <v>100</v>
      </c>
      <c r="P2311" s="40"/>
      <c r="Q2311" s="40"/>
      <c r="R2311" s="40"/>
      <c r="S2311" s="40"/>
      <c r="T2311" s="40"/>
      <c r="U2311" s="40"/>
      <c r="V2311" s="40"/>
      <c r="W2311" s="40"/>
      <c r="X2311" s="40"/>
      <c r="Y2311" s="40"/>
      <c r="Z2311" s="40"/>
      <c r="AA2311" s="40"/>
      <c r="AB2311" s="40"/>
      <c r="AC2311" s="40"/>
      <c r="AD2311" s="40"/>
      <c r="AE2311" s="40"/>
      <c r="AF2311" s="40"/>
      <c r="AG2311" s="40"/>
      <c r="AH2311" s="40"/>
      <c r="AI2311" s="40"/>
      <c r="AJ2311" s="40"/>
      <c r="AK2311" s="40"/>
      <c r="AL2311" s="40"/>
      <c r="AM2311" s="40"/>
      <c r="AN2311" s="40"/>
      <c r="AO2311" s="40"/>
      <c r="AP2311" s="40"/>
      <c r="AQ2311" s="40"/>
      <c r="AR2311" s="40"/>
      <c r="AS2311" s="40"/>
      <c r="AT2311" s="40"/>
      <c r="AU2311" s="40"/>
      <c r="AV2311" s="163">
        <v>9.6199999999999992</v>
      </c>
      <c r="AW2311" s="40"/>
      <c r="AX2311" s="40"/>
      <c r="AY2311" s="163">
        <v>305</v>
      </c>
      <c r="AZ2311" s="40"/>
      <c r="BA2311" s="40"/>
      <c r="BB2311" s="40"/>
      <c r="BC2311" s="40"/>
      <c r="BD2311" s="40"/>
      <c r="BE2311" s="40"/>
      <c r="BF2311" s="40"/>
      <c r="BG2311" s="40"/>
      <c r="BH2311" s="40"/>
      <c r="BI2311" s="40"/>
      <c r="BJ2311" s="40"/>
      <c r="BK2311" s="40"/>
      <c r="BL2311" s="62">
        <v>0</v>
      </c>
      <c r="BM2311" s="275">
        <v>3</v>
      </c>
      <c r="BN2311" s="62">
        <v>0.05</v>
      </c>
    </row>
    <row r="2312" spans="1:68">
      <c r="A2312" s="33" t="str">
        <f>Database_Productkaarten[[#This Row],[Product]]&amp;", "&amp;Database_Productkaarten[[#This Row],[Levensfase]]</f>
        <v>Straatzand, A2</v>
      </c>
      <c r="B2312" s="33" t="s">
        <v>773</v>
      </c>
      <c r="C2312" t="s">
        <v>40</v>
      </c>
      <c r="D2312" s="33" t="s">
        <v>627</v>
      </c>
      <c r="E2312" s="33" t="s">
        <v>378</v>
      </c>
      <c r="F2312" s="33" t="s">
        <v>75</v>
      </c>
      <c r="L2312" s="33">
        <v>1.7</v>
      </c>
      <c r="M2312" s="269">
        <v>1</v>
      </c>
      <c r="N2312" s="41"/>
      <c r="O2312" s="33">
        <v>100</v>
      </c>
      <c r="P2312" s="40"/>
      <c r="Q2312" s="40"/>
      <c r="R2312" s="40"/>
      <c r="S2312" s="40"/>
      <c r="T2312" s="40"/>
      <c r="U2312" s="40"/>
      <c r="V2312" s="40"/>
      <c r="W2312" s="40"/>
      <c r="X2312" s="40"/>
      <c r="Y2312" s="40"/>
      <c r="Z2312" s="40"/>
      <c r="AA2312" s="40"/>
      <c r="AB2312" s="40"/>
      <c r="AC2312" s="40"/>
      <c r="AD2312" s="40"/>
      <c r="AE2312" s="40"/>
      <c r="AF2312" s="40"/>
      <c r="AG2312" s="40"/>
      <c r="AH2312" s="40"/>
      <c r="AI2312" s="40"/>
      <c r="AJ2312" s="40"/>
      <c r="AK2312" s="40"/>
      <c r="AL2312" s="40"/>
      <c r="AM2312" s="163"/>
      <c r="AN2312" s="40"/>
      <c r="AO2312" s="40"/>
      <c r="AP2312" s="40"/>
      <c r="AQ2312" s="40"/>
      <c r="AR2312" s="40"/>
      <c r="AS2312" s="40"/>
      <c r="AT2312" s="40"/>
      <c r="AU2312" s="40"/>
      <c r="AV2312" s="108"/>
      <c r="AW2312" s="40"/>
      <c r="AX2312" s="40"/>
      <c r="AY2312" s="108"/>
      <c r="AZ2312" s="40"/>
      <c r="BA2312" s="40"/>
      <c r="BB2312" s="40"/>
      <c r="BC2312" s="40"/>
      <c r="BD2312" s="40"/>
      <c r="BE2312" s="40"/>
      <c r="BF2312" s="40"/>
      <c r="BG2312" s="40"/>
      <c r="BH2312" s="40"/>
      <c r="BI2312" s="40"/>
      <c r="BJ2312" s="40"/>
      <c r="BK2312" s="40"/>
      <c r="BL2312" s="62">
        <v>0</v>
      </c>
      <c r="BM2312" s="275">
        <v>3</v>
      </c>
      <c r="BN2312" s="62">
        <v>0.05</v>
      </c>
    </row>
    <row r="2313" spans="1:68">
      <c r="A2313" s="33" t="str">
        <f>Database_Productkaarten[[#This Row],[Product]]&amp;", "&amp;Database_Productkaarten[[#This Row],[Levensfase]]</f>
        <v>Straatzand, A3</v>
      </c>
      <c r="B2313" s="33" t="s">
        <v>773</v>
      </c>
      <c r="C2313" t="s">
        <v>40</v>
      </c>
      <c r="D2313" s="33" t="s">
        <v>627</v>
      </c>
      <c r="E2313" s="33" t="s">
        <v>378</v>
      </c>
      <c r="F2313" s="33" t="s">
        <v>76</v>
      </c>
      <c r="L2313" s="33">
        <v>1.7</v>
      </c>
      <c r="M2313" s="269">
        <v>1</v>
      </c>
      <c r="N2313" s="41"/>
      <c r="O2313" s="33">
        <v>100</v>
      </c>
      <c r="P2313" s="40"/>
      <c r="Q2313" s="40"/>
      <c r="R2313" s="40"/>
      <c r="S2313" s="40"/>
      <c r="T2313" s="40"/>
      <c r="U2313" s="40"/>
      <c r="V2313" s="40"/>
      <c r="W2313" s="40"/>
      <c r="X2313" s="40"/>
      <c r="Y2313" s="40"/>
      <c r="Z2313" s="40"/>
      <c r="AA2313" s="40"/>
      <c r="AB2313" s="40"/>
      <c r="AC2313" s="40"/>
      <c r="AD2313" s="40"/>
      <c r="AE2313" s="40"/>
      <c r="AF2313" s="40"/>
      <c r="AG2313" s="40"/>
      <c r="AH2313" s="40"/>
      <c r="AI2313" s="40"/>
      <c r="AJ2313" s="40"/>
      <c r="AK2313" s="40"/>
      <c r="AL2313" s="40"/>
      <c r="AM2313" s="163"/>
      <c r="AN2313" s="40"/>
      <c r="AO2313" s="40"/>
      <c r="AP2313" s="40"/>
      <c r="AQ2313" s="40"/>
      <c r="AR2313" s="40"/>
      <c r="AS2313" s="40"/>
      <c r="AT2313" s="40"/>
      <c r="AU2313" s="40"/>
      <c r="AV2313" s="108"/>
      <c r="AW2313" s="40"/>
      <c r="AX2313" s="40"/>
      <c r="AY2313" s="108"/>
      <c r="AZ2313" s="40"/>
      <c r="BA2313" s="40"/>
      <c r="BB2313" s="40"/>
      <c r="BC2313" s="40"/>
      <c r="BD2313" s="40"/>
      <c r="BE2313" s="40"/>
      <c r="BF2313" s="40"/>
      <c r="BG2313" s="40"/>
      <c r="BH2313" s="40"/>
      <c r="BI2313" s="40"/>
      <c r="BJ2313" s="40"/>
      <c r="BK2313" s="40"/>
      <c r="BL2313" s="62">
        <v>0</v>
      </c>
      <c r="BM2313" s="275">
        <v>3</v>
      </c>
      <c r="BN2313" s="62">
        <v>0.05</v>
      </c>
    </row>
    <row r="2314" spans="1:68">
      <c r="A2314" s="451" t="str">
        <f>Database_Productkaarten[[#This Row],[Product]]&amp;", "&amp;Database_Productkaarten[[#This Row],[Levensfase]]</f>
        <v>Straatzand, A1-A3</v>
      </c>
      <c r="B2314" s="451" t="str">
        <f>B2313</f>
        <v>Straatzand</v>
      </c>
      <c r="C2314" t="s">
        <v>40</v>
      </c>
      <c r="D2314" s="451" t="str">
        <f>D2313</f>
        <v>Zand</v>
      </c>
      <c r="E2314" s="451" t="str">
        <f>E2313</f>
        <v>Ton</v>
      </c>
      <c r="F2314" s="451" t="s">
        <v>77</v>
      </c>
      <c r="G2314" s="451">
        <f t="shared" ref="G2314:M2314" si="878">G2313</f>
        <v>0</v>
      </c>
      <c r="H2314" s="451">
        <f t="shared" si="878"/>
        <v>0</v>
      </c>
      <c r="I2314" s="451">
        <f t="shared" si="878"/>
        <v>0</v>
      </c>
      <c r="J2314" s="451">
        <f t="shared" si="878"/>
        <v>0</v>
      </c>
      <c r="K2314" s="451">
        <f t="shared" si="878"/>
        <v>0</v>
      </c>
      <c r="L2314" s="451">
        <f t="shared" si="878"/>
        <v>1.7</v>
      </c>
      <c r="M2314" s="454">
        <f t="shared" si="878"/>
        <v>1</v>
      </c>
      <c r="N2314" s="452">
        <f>SUM(N2311:N2313)</f>
        <v>0</v>
      </c>
      <c r="O2314" s="451">
        <f>O2313</f>
        <v>100</v>
      </c>
      <c r="P2314" s="453">
        <f t="shared" ref="P2314:BK2314" si="879">SUM(P2311:P2313)</f>
        <v>0</v>
      </c>
      <c r="Q2314" s="453">
        <f t="shared" si="879"/>
        <v>0</v>
      </c>
      <c r="R2314" s="453">
        <f t="shared" si="879"/>
        <v>0</v>
      </c>
      <c r="S2314" s="453">
        <f t="shared" si="879"/>
        <v>0</v>
      </c>
      <c r="T2314" s="453">
        <f t="shared" si="879"/>
        <v>0</v>
      </c>
      <c r="U2314" s="453">
        <f t="shared" si="879"/>
        <v>0</v>
      </c>
      <c r="V2314" s="453">
        <f t="shared" si="879"/>
        <v>0</v>
      </c>
      <c r="W2314" s="453">
        <f t="shared" si="879"/>
        <v>0</v>
      </c>
      <c r="X2314" s="453">
        <f t="shared" si="879"/>
        <v>0</v>
      </c>
      <c r="Y2314" s="453">
        <f t="shared" si="879"/>
        <v>0</v>
      </c>
      <c r="Z2314" s="453">
        <f t="shared" si="879"/>
        <v>0</v>
      </c>
      <c r="AA2314" s="453">
        <f t="shared" si="879"/>
        <v>0</v>
      </c>
      <c r="AB2314" s="453">
        <f t="shared" si="879"/>
        <v>0</v>
      </c>
      <c r="AC2314" s="453">
        <f t="shared" si="879"/>
        <v>0</v>
      </c>
      <c r="AD2314" s="453">
        <f t="shared" si="879"/>
        <v>0</v>
      </c>
      <c r="AE2314" s="453">
        <f t="shared" si="879"/>
        <v>0</v>
      </c>
      <c r="AF2314" s="453">
        <f t="shared" si="879"/>
        <v>0</v>
      </c>
      <c r="AG2314" s="453">
        <f t="shared" si="879"/>
        <v>0</v>
      </c>
      <c r="AH2314" s="453">
        <f t="shared" si="879"/>
        <v>0</v>
      </c>
      <c r="AI2314" s="453">
        <f t="shared" si="879"/>
        <v>0</v>
      </c>
      <c r="AJ2314" s="453">
        <f t="shared" si="879"/>
        <v>0</v>
      </c>
      <c r="AK2314" s="453">
        <f t="shared" si="879"/>
        <v>0</v>
      </c>
      <c r="AL2314" s="453">
        <f t="shared" si="879"/>
        <v>0</v>
      </c>
      <c r="AM2314" s="453">
        <f t="shared" si="879"/>
        <v>0</v>
      </c>
      <c r="AN2314" s="453">
        <f t="shared" si="879"/>
        <v>0</v>
      </c>
      <c r="AO2314" s="453">
        <f t="shared" si="879"/>
        <v>0</v>
      </c>
      <c r="AP2314" s="453">
        <f t="shared" si="879"/>
        <v>0</v>
      </c>
      <c r="AQ2314" s="453">
        <f t="shared" si="879"/>
        <v>0</v>
      </c>
      <c r="AR2314" s="453">
        <f t="shared" si="879"/>
        <v>0</v>
      </c>
      <c r="AS2314" s="453">
        <f t="shared" si="879"/>
        <v>0</v>
      </c>
      <c r="AT2314" s="453">
        <f t="shared" si="879"/>
        <v>0</v>
      </c>
      <c r="AU2314" s="453">
        <f t="shared" si="879"/>
        <v>0</v>
      </c>
      <c r="AV2314" s="453">
        <f t="shared" si="879"/>
        <v>9.6199999999999992</v>
      </c>
      <c r="AW2314" s="453">
        <f t="shared" si="879"/>
        <v>0</v>
      </c>
      <c r="AX2314" s="453">
        <f t="shared" si="879"/>
        <v>0</v>
      </c>
      <c r="AY2314" s="453">
        <f t="shared" si="879"/>
        <v>305</v>
      </c>
      <c r="AZ2314" s="453">
        <f t="shared" si="879"/>
        <v>0</v>
      </c>
      <c r="BA2314" s="453">
        <f t="shared" si="879"/>
        <v>0</v>
      </c>
      <c r="BB2314" s="453">
        <f t="shared" si="879"/>
        <v>0</v>
      </c>
      <c r="BC2314" s="453">
        <f t="shared" si="879"/>
        <v>0</v>
      </c>
      <c r="BD2314" s="453">
        <f t="shared" si="879"/>
        <v>0</v>
      </c>
      <c r="BE2314" s="453">
        <f t="shared" si="879"/>
        <v>0</v>
      </c>
      <c r="BF2314" s="453">
        <f t="shared" si="879"/>
        <v>0</v>
      </c>
      <c r="BG2314" s="453">
        <f t="shared" si="879"/>
        <v>0</v>
      </c>
      <c r="BH2314" s="453">
        <f t="shared" si="879"/>
        <v>0</v>
      </c>
      <c r="BI2314" s="453">
        <f t="shared" si="879"/>
        <v>0</v>
      </c>
      <c r="BJ2314" s="453">
        <f t="shared" si="879"/>
        <v>0</v>
      </c>
      <c r="BK2314" s="453">
        <f t="shared" si="879"/>
        <v>0</v>
      </c>
      <c r="BL2314" s="62">
        <f>BL2313</f>
        <v>0</v>
      </c>
      <c r="BM2314" s="275">
        <f>BM2313</f>
        <v>3</v>
      </c>
      <c r="BN2314" s="62">
        <v>0.05</v>
      </c>
      <c r="BO2314" s="451">
        <f>BO2313</f>
        <v>0</v>
      </c>
      <c r="BP2314" s="451"/>
    </row>
    <row r="2315" spans="1:68">
      <c r="A2315" s="33" t="str">
        <f>Database_Productkaarten[[#This Row],[Product]]&amp;", "&amp;Database_Productkaarten[[#This Row],[Levensfase]]</f>
        <v>Straatzand, A4</v>
      </c>
      <c r="B2315" s="33" t="s">
        <v>773</v>
      </c>
      <c r="C2315" t="s">
        <v>40</v>
      </c>
      <c r="D2315" s="33" t="s">
        <v>627</v>
      </c>
      <c r="E2315" s="33" t="s">
        <v>378</v>
      </c>
      <c r="F2315" s="33" t="s">
        <v>78</v>
      </c>
      <c r="L2315" s="33">
        <v>1.7</v>
      </c>
      <c r="M2315" s="269">
        <v>1</v>
      </c>
      <c r="N2315" s="41">
        <f>N2300</f>
        <v>0.71097999999999995</v>
      </c>
      <c r="O2315" s="33">
        <v>100</v>
      </c>
      <c r="P2315" s="40">
        <f t="shared" ref="P2315:Z2315" si="880">P2300</f>
        <v>0</v>
      </c>
      <c r="Q2315" s="40">
        <f t="shared" si="880"/>
        <v>0.05</v>
      </c>
      <c r="R2315" s="40">
        <f t="shared" si="880"/>
        <v>6.34</v>
      </c>
      <c r="S2315" s="40">
        <f t="shared" si="880"/>
        <v>0</v>
      </c>
      <c r="T2315" s="40">
        <f t="shared" si="880"/>
        <v>0</v>
      </c>
      <c r="U2315" s="40">
        <f t="shared" si="880"/>
        <v>0.02</v>
      </c>
      <c r="V2315" s="40">
        <f t="shared" si="880"/>
        <v>0</v>
      </c>
      <c r="W2315" s="40">
        <f t="shared" si="880"/>
        <v>2.23</v>
      </c>
      <c r="X2315" s="40">
        <f t="shared" si="880"/>
        <v>0.14000000000000001</v>
      </c>
      <c r="Y2315" s="40">
        <f t="shared" si="880"/>
        <v>376.63</v>
      </c>
      <c r="Z2315" s="40">
        <f t="shared" si="880"/>
        <v>0.01</v>
      </c>
      <c r="AA2315" s="40"/>
      <c r="AB2315" s="40"/>
      <c r="AC2315" s="40"/>
      <c r="AD2315" s="40"/>
      <c r="AE2315" s="40"/>
      <c r="AF2315" s="40"/>
      <c r="AG2315" s="40"/>
      <c r="AH2315" s="40"/>
      <c r="AI2315" s="40"/>
      <c r="AJ2315" s="40"/>
      <c r="AK2315" s="40"/>
      <c r="AL2315" s="40"/>
      <c r="AM2315" s="40"/>
      <c r="AN2315" s="40"/>
      <c r="AO2315" s="40"/>
      <c r="AP2315" s="40"/>
      <c r="AQ2315" s="40"/>
      <c r="AR2315" s="40"/>
      <c r="AS2315" s="40"/>
      <c r="AT2315" s="40"/>
      <c r="AU2315" s="40"/>
      <c r="AV2315" s="281">
        <v>1.94</v>
      </c>
      <c r="AW2315" s="40"/>
      <c r="AX2315" s="40"/>
      <c r="AY2315" s="281">
        <v>124</v>
      </c>
      <c r="AZ2315" s="40"/>
      <c r="BA2315" s="40"/>
      <c r="BB2315" s="40"/>
      <c r="BC2315" s="40">
        <f>AX$2351*50</f>
        <v>0</v>
      </c>
      <c r="BD2315" s="40">
        <f>AY$2351*50</f>
        <v>0</v>
      </c>
      <c r="BE2315" s="40">
        <f>AZ$2351*50</f>
        <v>0</v>
      </c>
      <c r="BF2315" s="40">
        <f>BA$2351*50</f>
        <v>0</v>
      </c>
      <c r="BG2315" s="40"/>
      <c r="BH2315" s="40"/>
      <c r="BI2315" s="40"/>
      <c r="BJ2315" s="40"/>
      <c r="BK2315" s="40"/>
      <c r="BL2315" s="62">
        <v>0</v>
      </c>
      <c r="BM2315" s="275">
        <v>3</v>
      </c>
      <c r="BN2315" s="62">
        <v>0.05</v>
      </c>
    </row>
    <row r="2316" spans="1:68">
      <c r="A2316" s="33" t="str">
        <f>Database_Productkaarten[[#This Row],[Product]]&amp;", "&amp;Database_Productkaarten[[#This Row],[Levensfase]]</f>
        <v>Straatzand, A5</v>
      </c>
      <c r="B2316" s="33" t="s">
        <v>773</v>
      </c>
      <c r="C2316" t="s">
        <v>40</v>
      </c>
      <c r="D2316" s="33" t="s">
        <v>627</v>
      </c>
      <c r="E2316" s="33" t="s">
        <v>378</v>
      </c>
      <c r="F2316" s="33" t="s">
        <v>79</v>
      </c>
      <c r="L2316" s="33">
        <v>1.7</v>
      </c>
      <c r="M2316" s="269">
        <v>1</v>
      </c>
      <c r="N2316" s="41">
        <f>((1/Database_Productkaarten[[#This Row],[Soortelijk Gewicht '[ton / m3']]])/$H$2631)*(G$2631)</f>
        <v>4.1180973376396014E-2</v>
      </c>
      <c r="O2316" s="33">
        <v>100</v>
      </c>
      <c r="P2316" s="289">
        <f>((1/Database_Productkaarten[[#This Row],[Soortelijk Gewicht '[ton / m3']]])/$H$2631)*(I$2631)</f>
        <v>0.35196078431372546</v>
      </c>
      <c r="Q2316" s="40">
        <f>((1/Database_Productkaarten[[#This Row],[Soortelijk Gewicht '[ton / m3']]])/$H$2631)*(J$2631)</f>
        <v>2.0803725490196078E-7</v>
      </c>
      <c r="R2316" s="40">
        <f>((1/Database_Productkaarten[[#This Row],[Soortelijk Gewicht '[ton / m3']]])/$H$2631)*(K$2631)</f>
        <v>3.0365310256862746E-3</v>
      </c>
      <c r="S2316" s="40">
        <f>((1/Database_Productkaarten[[#This Row],[Soortelijk Gewicht '[ton / m3']]])/$H$2631)*(L$2631)</f>
        <v>0.44442700276470587</v>
      </c>
      <c r="T2316" s="40">
        <f>((1/Database_Productkaarten[[#This Row],[Soortelijk Gewicht '[ton / m3']]])/$H$2631)*(M$2631)</f>
        <v>7.7400196078431361E-8</v>
      </c>
      <c r="U2316" s="40">
        <f>((1/Database_Productkaarten[[#This Row],[Soortelijk Gewicht '[ton / m3']]])/$H$2631)*(N$2631)</f>
        <v>1.4632461843137255E-4</v>
      </c>
      <c r="V2316" s="40">
        <f>((1/Database_Productkaarten[[#This Row],[Soortelijk Gewicht '[ton / m3']]])/$H$2631)*(O$2631)</f>
        <v>4.154085390273234E-4</v>
      </c>
      <c r="W2316" s="40">
        <f>((1/Database_Productkaarten[[#This Row],[Soortelijk Gewicht '[ton / m3']]])/$H$2631)*(P$2631)</f>
        <v>1.1353099999999998E-3</v>
      </c>
      <c r="X2316" s="40">
        <f>((1/Database_Productkaarten[[#This Row],[Soortelijk Gewicht '[ton / m3']]])/$H$2631)*(Q$2631)</f>
        <v>0.29969749744117646</v>
      </c>
      <c r="Y2316" s="40">
        <f>((1/Database_Productkaarten[[#This Row],[Soortelijk Gewicht '[ton / m3']]])/$H$2631)*(R$2631)</f>
        <v>3.5081380544549016E-9</v>
      </c>
      <c r="Z2316" s="40">
        <f>((1/Database_Productkaarten[[#This Row],[Soortelijk Gewicht '[ton / m3']]])/$H$2631)*(S$2631)</f>
        <v>0.17133113442344564</v>
      </c>
      <c r="AA2316" s="40"/>
      <c r="AB2316" s="40"/>
      <c r="AC2316" s="40"/>
      <c r="AD2316" s="40"/>
      <c r="AE2316" s="40"/>
      <c r="AF2316" s="40"/>
      <c r="AG2316" s="40"/>
      <c r="AH2316" s="40"/>
      <c r="AI2316" s="40"/>
      <c r="AJ2316" s="40"/>
      <c r="AK2316" s="40"/>
      <c r="AL2316" s="40"/>
      <c r="AM2316" s="40"/>
      <c r="AN2316" s="40"/>
      <c r="AO2316" s="40"/>
      <c r="AP2316" s="40"/>
      <c r="AQ2316" s="40"/>
      <c r="AR2316" s="40"/>
      <c r="AS2316" s="40"/>
      <c r="AT2316" s="40"/>
      <c r="AU2316" s="40"/>
      <c r="AV2316" s="281">
        <v>3.73</v>
      </c>
      <c r="AW2316" s="40"/>
      <c r="AX2316" s="40"/>
      <c r="AY2316" s="281">
        <v>511</v>
      </c>
      <c r="AZ2316" s="40"/>
      <c r="BA2316" s="40"/>
      <c r="BB2316" s="40"/>
      <c r="BC2316" s="40">
        <f>((1/Database_Productkaarten[[#This Row],[Soortelijk Gewicht '[ton / m3']]])/$H$2631)*(AV$2631)</f>
        <v>0</v>
      </c>
      <c r="BD2316" s="40">
        <f>((1/Database_Productkaarten[[#This Row],[Soortelijk Gewicht '[ton / m3']]])/$H$2631)*(AW$2631)</f>
        <v>5.6259866985299993E-6</v>
      </c>
      <c r="BE2316" s="40">
        <f>((1/Database_Productkaarten[[#This Row],[Soortelijk Gewicht '[ton / m3']]])/$H$2631)*(AX$2631)</f>
        <v>1.0852076352094743E-4</v>
      </c>
      <c r="BF2316" s="40">
        <f>((1/Database_Productkaarten[[#This Row],[Soortelijk Gewicht '[ton / m3']]])/$H$2631)*(AY$2631)</f>
        <v>3.0869653479216891E-10</v>
      </c>
      <c r="BG2316" s="40"/>
      <c r="BH2316" s="40"/>
      <c r="BI2316" s="40"/>
      <c r="BJ2316" s="40"/>
      <c r="BK2316" s="40"/>
      <c r="BL2316" s="62">
        <v>0</v>
      </c>
      <c r="BM2316" s="275">
        <v>3</v>
      </c>
      <c r="BN2316" s="62">
        <v>0.05</v>
      </c>
    </row>
    <row r="2317" spans="1:68">
      <c r="A2317" s="33" t="str">
        <f>Database_Productkaarten[[#This Row],[Product]]&amp;", "&amp;Database_Productkaarten[[#This Row],[Levensfase]]</f>
        <v>Straatzand, B1</v>
      </c>
      <c r="B2317" s="33" t="s">
        <v>773</v>
      </c>
      <c r="C2317" t="s">
        <v>40</v>
      </c>
      <c r="D2317" s="33" t="s">
        <v>627</v>
      </c>
      <c r="E2317" s="33" t="s">
        <v>378</v>
      </c>
      <c r="F2317" s="33" t="s">
        <v>80</v>
      </c>
      <c r="L2317" s="33">
        <v>1.7</v>
      </c>
      <c r="M2317" s="269">
        <v>1</v>
      </c>
      <c r="N2317" s="41">
        <v>0</v>
      </c>
      <c r="O2317" s="33">
        <v>100</v>
      </c>
      <c r="P2317" s="40"/>
      <c r="Q2317" s="40"/>
      <c r="R2317" s="40"/>
      <c r="S2317" s="40"/>
      <c r="T2317" s="40"/>
      <c r="U2317" s="40"/>
      <c r="V2317" s="40"/>
      <c r="W2317" s="40"/>
      <c r="X2317" s="40"/>
      <c r="Y2317" s="40"/>
      <c r="Z2317" s="40"/>
      <c r="AA2317" s="40"/>
      <c r="AB2317" s="40"/>
      <c r="AC2317" s="40"/>
      <c r="AD2317" s="40"/>
      <c r="AE2317" s="40"/>
      <c r="AF2317" s="40"/>
      <c r="AG2317" s="40"/>
      <c r="AH2317" s="40"/>
      <c r="AI2317" s="40"/>
      <c r="AJ2317" s="40"/>
      <c r="AK2317" s="40"/>
      <c r="AL2317" s="40"/>
      <c r="AM2317" s="40"/>
      <c r="AN2317" s="40"/>
      <c r="AO2317" s="40"/>
      <c r="AP2317" s="40"/>
      <c r="AQ2317" s="40"/>
      <c r="AR2317" s="40"/>
      <c r="AS2317" s="40"/>
      <c r="AT2317" s="40"/>
      <c r="AU2317" s="40"/>
      <c r="AV2317" s="281">
        <v>0</v>
      </c>
      <c r="AW2317" s="40"/>
      <c r="AX2317" s="40"/>
      <c r="AY2317" s="281">
        <v>0</v>
      </c>
      <c r="AZ2317" s="40"/>
      <c r="BA2317" s="40"/>
      <c r="BB2317" s="40"/>
      <c r="BC2317" s="40"/>
      <c r="BD2317" s="40"/>
      <c r="BE2317" s="40"/>
      <c r="BF2317" s="40"/>
      <c r="BG2317" s="40"/>
      <c r="BH2317" s="40"/>
      <c r="BI2317" s="40"/>
      <c r="BJ2317" s="40"/>
      <c r="BK2317" s="40"/>
      <c r="BL2317" s="62">
        <v>0</v>
      </c>
      <c r="BM2317" s="275">
        <v>3</v>
      </c>
      <c r="BN2317" s="62">
        <v>0.05</v>
      </c>
    </row>
    <row r="2318" spans="1:68">
      <c r="A2318" s="33" t="str">
        <f>Database_Productkaarten[[#This Row],[Product]]&amp;", "&amp;Database_Productkaarten[[#This Row],[Levensfase]]</f>
        <v>Straatzand, C1</v>
      </c>
      <c r="B2318" s="33" t="s">
        <v>773</v>
      </c>
      <c r="C2318" t="s">
        <v>40</v>
      </c>
      <c r="D2318" s="33" t="s">
        <v>627</v>
      </c>
      <c r="E2318" s="33" t="s">
        <v>378</v>
      </c>
      <c r="F2318" s="33" t="s">
        <v>83</v>
      </c>
      <c r="L2318" s="33">
        <v>1.7</v>
      </c>
      <c r="M2318" s="269">
        <v>1</v>
      </c>
      <c r="N2318" s="41">
        <f>((1/Database_Productkaarten[[#This Row],[Soortelijk Gewicht '[ton / m3']]])/$H$2631)*(G$2631)</f>
        <v>4.1180973376396014E-2</v>
      </c>
      <c r="O2318" s="33">
        <v>100</v>
      </c>
      <c r="P2318" s="289">
        <f>((1/Database_Productkaarten[[#This Row],[Soortelijk Gewicht '[ton / m3']]])/$H$2631)*(I$2631)</f>
        <v>0.35196078431372546</v>
      </c>
      <c r="Q2318" s="40">
        <f>((1/Database_Productkaarten[[#This Row],[Soortelijk Gewicht '[ton / m3']]])/$H$2631)*(J$2631)</f>
        <v>2.0803725490196078E-7</v>
      </c>
      <c r="R2318" s="40">
        <f>((1/Database_Productkaarten[[#This Row],[Soortelijk Gewicht '[ton / m3']]])/$H$2631)*(K$2631)</f>
        <v>3.0365310256862746E-3</v>
      </c>
      <c r="S2318" s="40">
        <f>((1/Database_Productkaarten[[#This Row],[Soortelijk Gewicht '[ton / m3']]])/$H$2631)*(L$2631)</f>
        <v>0.44442700276470587</v>
      </c>
      <c r="T2318" s="40">
        <f>((1/Database_Productkaarten[[#This Row],[Soortelijk Gewicht '[ton / m3']]])/$H$2631)*(M$2631)</f>
        <v>7.7400196078431361E-8</v>
      </c>
      <c r="U2318" s="40">
        <f>((1/Database_Productkaarten[[#This Row],[Soortelijk Gewicht '[ton / m3']]])/$H$2631)*(N$2631)</f>
        <v>1.4632461843137255E-4</v>
      </c>
      <c r="V2318" s="40">
        <f>((1/Database_Productkaarten[[#This Row],[Soortelijk Gewicht '[ton / m3']]])/$H$2631)*(O$2631)</f>
        <v>4.154085390273234E-4</v>
      </c>
      <c r="W2318" s="40">
        <f>((1/Database_Productkaarten[[#This Row],[Soortelijk Gewicht '[ton / m3']]])/$H$2631)*(P$2631)</f>
        <v>1.1353099999999998E-3</v>
      </c>
      <c r="X2318" s="40">
        <f>((1/Database_Productkaarten[[#This Row],[Soortelijk Gewicht '[ton / m3']]])/$H$2631)*(Q$2631)</f>
        <v>0.29969749744117646</v>
      </c>
      <c r="Y2318" s="40">
        <f>((1/Database_Productkaarten[[#This Row],[Soortelijk Gewicht '[ton / m3']]])/$H$2631)*(R$2631)</f>
        <v>3.5081380544549016E-9</v>
      </c>
      <c r="Z2318" s="40">
        <f>((1/Database_Productkaarten[[#This Row],[Soortelijk Gewicht '[ton / m3']]])/$H$2631)*(S$2631)</f>
        <v>0.17133113442344564</v>
      </c>
      <c r="AA2318" s="40"/>
      <c r="AB2318" s="40"/>
      <c r="AC2318" s="40"/>
      <c r="AD2318" s="40"/>
      <c r="AE2318" s="40"/>
      <c r="AF2318" s="40"/>
      <c r="AG2318" s="40"/>
      <c r="AH2318" s="40"/>
      <c r="AI2318" s="40"/>
      <c r="AJ2318" s="40"/>
      <c r="AK2318" s="40"/>
      <c r="AL2318" s="40"/>
      <c r="AM2318" s="40"/>
      <c r="AN2318" s="40"/>
      <c r="AO2318" s="40"/>
      <c r="AP2318" s="40"/>
      <c r="AQ2318" s="40"/>
      <c r="AR2318" s="40"/>
      <c r="AS2318" s="40"/>
      <c r="AT2318" s="40"/>
      <c r="AU2318" s="40"/>
      <c r="AV2318" s="281">
        <v>3.73</v>
      </c>
      <c r="AW2318" s="40"/>
      <c r="AX2318" s="40"/>
      <c r="AY2318" s="281">
        <v>511</v>
      </c>
      <c r="AZ2318" s="40"/>
      <c r="BA2318" s="40"/>
      <c r="BB2318" s="40"/>
      <c r="BC2318" s="40">
        <f>((1/Database_Productkaarten[[#This Row],[Soortelijk Gewicht '[ton / m3']]])/$H$2631)*(AV$2631)</f>
        <v>0</v>
      </c>
      <c r="BD2318" s="40">
        <f>((1/Database_Productkaarten[[#This Row],[Soortelijk Gewicht '[ton / m3']]])/$H$2631)*(AW$2631)</f>
        <v>5.6259866985299993E-6</v>
      </c>
      <c r="BE2318" s="40">
        <f>((1/Database_Productkaarten[[#This Row],[Soortelijk Gewicht '[ton / m3']]])/$H$2631)*(AX$2631)</f>
        <v>1.0852076352094743E-4</v>
      </c>
      <c r="BF2318" s="40">
        <f>((1/Database_Productkaarten[[#This Row],[Soortelijk Gewicht '[ton / m3']]])/$H$2631)*(AY$2631)</f>
        <v>3.0869653479216891E-10</v>
      </c>
      <c r="BG2318" s="40"/>
      <c r="BH2318" s="40"/>
      <c r="BI2318" s="40"/>
      <c r="BJ2318" s="40"/>
      <c r="BK2318" s="40"/>
      <c r="BL2318" s="62">
        <v>0</v>
      </c>
      <c r="BM2318" s="275">
        <v>3</v>
      </c>
      <c r="BN2318" s="62">
        <v>0.05</v>
      </c>
    </row>
    <row r="2319" spans="1:68">
      <c r="A2319" s="33" t="str">
        <f>Database_Productkaarten[[#This Row],[Product]]&amp;", "&amp;Database_Productkaarten[[#This Row],[Levensfase]]</f>
        <v>Straatzand, C2</v>
      </c>
      <c r="B2319" s="33" t="s">
        <v>773</v>
      </c>
      <c r="C2319" t="s">
        <v>40</v>
      </c>
      <c r="D2319" s="33" t="s">
        <v>627</v>
      </c>
      <c r="E2319" s="33" t="s">
        <v>378</v>
      </c>
      <c r="F2319" s="33" t="s">
        <v>84</v>
      </c>
      <c r="L2319" s="33">
        <v>1.7</v>
      </c>
      <c r="M2319" s="269">
        <v>1</v>
      </c>
      <c r="N2319" s="41">
        <f>G$2351*50</f>
        <v>0</v>
      </c>
      <c r="O2319" s="33">
        <v>100</v>
      </c>
      <c r="P2319" s="40">
        <f>J$2351*50</f>
        <v>0</v>
      </c>
      <c r="Q2319" s="40">
        <f>K$2351*50</f>
        <v>0</v>
      </c>
      <c r="R2319" s="40">
        <f>L$2351*50</f>
        <v>80</v>
      </c>
      <c r="S2319" s="40">
        <f t="shared" ref="S2319:Z2319" si="881">N$2351*50</f>
        <v>0</v>
      </c>
      <c r="T2319" s="40">
        <f t="shared" si="881"/>
        <v>5000</v>
      </c>
      <c r="U2319" s="40">
        <f t="shared" si="881"/>
        <v>0</v>
      </c>
      <c r="V2319" s="40">
        <f t="shared" si="881"/>
        <v>0</v>
      </c>
      <c r="W2319" s="40">
        <f t="shared" si="881"/>
        <v>0</v>
      </c>
      <c r="X2319" s="40">
        <f t="shared" si="881"/>
        <v>0</v>
      </c>
      <c r="Y2319" s="40">
        <f t="shared" si="881"/>
        <v>0</v>
      </c>
      <c r="Z2319" s="40">
        <f t="shared" si="881"/>
        <v>0</v>
      </c>
      <c r="AA2319" s="40"/>
      <c r="AB2319" s="40"/>
      <c r="AC2319" s="40"/>
      <c r="AD2319" s="40"/>
      <c r="AE2319" s="40"/>
      <c r="AF2319" s="40"/>
      <c r="AG2319" s="40"/>
      <c r="AH2319" s="40"/>
      <c r="AI2319" s="40"/>
      <c r="AJ2319" s="40"/>
      <c r="AK2319" s="40"/>
      <c r="AL2319" s="40"/>
      <c r="AM2319" s="40"/>
      <c r="AN2319" s="40"/>
      <c r="AO2319" s="40"/>
      <c r="AP2319" s="40"/>
      <c r="AQ2319" s="40"/>
      <c r="AR2319" s="40"/>
      <c r="AS2319" s="40"/>
      <c r="AT2319" s="40"/>
      <c r="AU2319" s="40"/>
      <c r="AV2319" s="281">
        <v>1.96</v>
      </c>
      <c r="AW2319" s="40"/>
      <c r="AX2319" s="40"/>
      <c r="AY2319" s="281">
        <v>125</v>
      </c>
      <c r="AZ2319" s="40"/>
      <c r="BA2319" s="40"/>
      <c r="BB2319" s="40"/>
      <c r="BC2319" s="40">
        <f>AX$2351*50</f>
        <v>0</v>
      </c>
      <c r="BD2319" s="40">
        <f>AY$2351*50</f>
        <v>0</v>
      </c>
      <c r="BE2319" s="40">
        <f>AZ$2351*50</f>
        <v>0</v>
      </c>
      <c r="BF2319" s="40">
        <f>BA$2351*50</f>
        <v>0</v>
      </c>
      <c r="BG2319" s="40"/>
      <c r="BH2319" s="40"/>
      <c r="BI2319" s="40"/>
      <c r="BJ2319" s="40"/>
      <c r="BK2319" s="40"/>
      <c r="BL2319" s="62">
        <v>0</v>
      </c>
      <c r="BM2319" s="275">
        <v>3</v>
      </c>
      <c r="BN2319" s="62">
        <v>0.05</v>
      </c>
    </row>
    <row r="2320" spans="1:68">
      <c r="A2320" s="33" t="str">
        <f>Database_Productkaarten[[#This Row],[Product]]&amp;", "&amp;Database_Productkaarten[[#This Row],[Levensfase]]</f>
        <v>Straatzand, C3</v>
      </c>
      <c r="B2320" s="33" t="s">
        <v>773</v>
      </c>
      <c r="C2320" t="s">
        <v>40</v>
      </c>
      <c r="D2320" s="33" t="s">
        <v>627</v>
      </c>
      <c r="E2320" s="33" t="s">
        <v>378</v>
      </c>
      <c r="F2320" s="33" t="s">
        <v>85</v>
      </c>
      <c r="L2320" s="33">
        <v>1.7</v>
      </c>
      <c r="M2320" s="269">
        <v>1</v>
      </c>
      <c r="N2320" s="41"/>
      <c r="O2320" s="33">
        <v>100</v>
      </c>
      <c r="P2320" s="40"/>
      <c r="Q2320" s="40"/>
      <c r="R2320" s="40"/>
      <c r="S2320" s="40"/>
      <c r="T2320" s="40"/>
      <c r="U2320" s="40"/>
      <c r="V2320" s="40"/>
      <c r="W2320" s="40"/>
      <c r="X2320" s="40"/>
      <c r="Y2320" s="40"/>
      <c r="Z2320" s="40"/>
      <c r="AA2320" s="40"/>
      <c r="AB2320" s="40"/>
      <c r="AC2320" s="40"/>
      <c r="AD2320" s="40"/>
      <c r="AE2320" s="40"/>
      <c r="AF2320" s="40"/>
      <c r="AG2320" s="40"/>
      <c r="AH2320" s="40"/>
      <c r="AI2320" s="40"/>
      <c r="AJ2320" s="40"/>
      <c r="AK2320" s="40"/>
      <c r="AL2320" s="40"/>
      <c r="AM2320" s="40"/>
      <c r="AN2320" s="40"/>
      <c r="AO2320" s="40"/>
      <c r="AP2320" s="40"/>
      <c r="AQ2320" s="40"/>
      <c r="AR2320" s="40"/>
      <c r="AS2320" s="40"/>
      <c r="AT2320" s="40"/>
      <c r="AU2320" s="40"/>
      <c r="AV2320" s="281">
        <v>0</v>
      </c>
      <c r="AW2320" s="40"/>
      <c r="AX2320" s="40"/>
      <c r="AY2320" s="281">
        <v>0</v>
      </c>
      <c r="AZ2320" s="40"/>
      <c r="BA2320" s="40"/>
      <c r="BB2320" s="40"/>
      <c r="BC2320" s="40"/>
      <c r="BD2320" s="40"/>
      <c r="BE2320" s="40"/>
      <c r="BF2320" s="40"/>
      <c r="BG2320" s="40"/>
      <c r="BH2320" s="40"/>
      <c r="BI2320" s="40"/>
      <c r="BJ2320" s="40"/>
      <c r="BK2320" s="40"/>
      <c r="BL2320" s="62">
        <v>0</v>
      </c>
      <c r="BM2320" s="275">
        <v>3</v>
      </c>
      <c r="BN2320" s="62">
        <v>0.05</v>
      </c>
    </row>
    <row r="2321" spans="1:68">
      <c r="A2321" s="33" t="str">
        <f>Database_Productkaarten[[#This Row],[Product]]&amp;", "&amp;Database_Productkaarten[[#This Row],[Levensfase]]</f>
        <v>Straatzand, C4</v>
      </c>
      <c r="B2321" s="33" t="s">
        <v>773</v>
      </c>
      <c r="C2321" t="s">
        <v>40</v>
      </c>
      <c r="D2321" s="33" t="s">
        <v>627</v>
      </c>
      <c r="E2321" s="33" t="s">
        <v>378</v>
      </c>
      <c r="F2321" s="33" t="s">
        <v>86</v>
      </c>
      <c r="L2321" s="33">
        <v>1.7</v>
      </c>
      <c r="M2321" s="269">
        <v>1</v>
      </c>
      <c r="N2321" s="41"/>
      <c r="O2321" s="33">
        <v>100</v>
      </c>
      <c r="P2321" s="40"/>
      <c r="Q2321" s="40"/>
      <c r="S2321" s="40"/>
      <c r="T2321" s="40"/>
      <c r="U2321" s="40"/>
      <c r="V2321" s="40"/>
      <c r="W2321" s="40"/>
      <c r="X2321" s="40"/>
      <c r="Y2321" s="40"/>
      <c r="Z2321" s="40"/>
      <c r="AA2321" s="40"/>
      <c r="AB2321" s="40"/>
      <c r="AC2321" s="40"/>
      <c r="AD2321" s="40"/>
      <c r="AE2321" s="40"/>
      <c r="AF2321" s="40"/>
      <c r="AG2321" s="40"/>
      <c r="AH2321" s="40"/>
      <c r="AI2321" s="40"/>
      <c r="AJ2321" s="40"/>
      <c r="AK2321" s="40"/>
      <c r="AL2321" s="40"/>
      <c r="AM2321" s="40"/>
      <c r="AN2321" s="40"/>
      <c r="AO2321" s="40"/>
      <c r="AP2321" s="40"/>
      <c r="AQ2321" s="40"/>
      <c r="AR2321" s="40"/>
      <c r="AS2321" s="40"/>
      <c r="AT2321" s="40"/>
      <c r="AU2321" s="40"/>
      <c r="AV2321" s="40">
        <v>2.2599999999999999E-2</v>
      </c>
      <c r="AW2321" s="40"/>
      <c r="AX2321" s="40"/>
      <c r="AY2321" s="40">
        <v>2.93</v>
      </c>
      <c r="AZ2321" s="40"/>
      <c r="BA2321" s="40"/>
      <c r="BB2321" s="40"/>
      <c r="BC2321" s="40"/>
      <c r="BD2321" s="40"/>
      <c r="BE2321" s="40"/>
      <c r="BF2321" s="40"/>
      <c r="BG2321" s="40"/>
      <c r="BH2321" s="40"/>
      <c r="BI2321" s="40"/>
      <c r="BJ2321" s="40"/>
      <c r="BK2321" s="40"/>
      <c r="BL2321" s="62">
        <v>0</v>
      </c>
      <c r="BM2321" s="275">
        <v>3</v>
      </c>
      <c r="BN2321" s="62">
        <v>0.05</v>
      </c>
    </row>
    <row r="2322" spans="1:68">
      <c r="A2322" s="33" t="str">
        <f>Database_Productkaarten[[#This Row],[Product]]&amp;", "&amp;Database_Productkaarten[[#This Row],[Levensfase]]</f>
        <v>Straatzand, D</v>
      </c>
      <c r="B2322" s="33" t="str">
        <f>B2323</f>
        <v>Straatzand</v>
      </c>
      <c r="C2322" t="s">
        <v>40</v>
      </c>
      <c r="D2322" s="33" t="str">
        <f>D2323</f>
        <v>Zand</v>
      </c>
      <c r="E2322" s="33" t="str">
        <f>E2323</f>
        <v>Ton</v>
      </c>
      <c r="F2322" s="33" t="s">
        <v>89</v>
      </c>
      <c r="G2322" s="33">
        <f t="shared" ref="G2322:M2322" si="882">G2323</f>
        <v>0</v>
      </c>
      <c r="H2322" s="33">
        <f t="shared" si="882"/>
        <v>0</v>
      </c>
      <c r="I2322" s="33">
        <f t="shared" si="882"/>
        <v>0</v>
      </c>
      <c r="J2322" s="33">
        <f t="shared" si="882"/>
        <v>0</v>
      </c>
      <c r="K2322" s="33">
        <f t="shared" si="882"/>
        <v>0</v>
      </c>
      <c r="L2322" s="33">
        <f t="shared" si="882"/>
        <v>1.7</v>
      </c>
      <c r="M2322" s="45">
        <f t="shared" si="882"/>
        <v>1</v>
      </c>
      <c r="N2322" s="41">
        <f>SUM(N2323:N2324)</f>
        <v>0</v>
      </c>
      <c r="O2322" s="33">
        <f>O2323</f>
        <v>100</v>
      </c>
      <c r="P2322" s="40">
        <f>SUM(P2323:P2324)</f>
        <v>0</v>
      </c>
      <c r="Q2322" s="40">
        <f>SUM(Q2323:Q2324)</f>
        <v>0</v>
      </c>
      <c r="R2322" s="40">
        <f>SUM(R2323:R2324)</f>
        <v>0</v>
      </c>
      <c r="S2322" s="40">
        <f t="shared" ref="S2322:BK2322" si="883">SUM(S2323:S2324)</f>
        <v>0</v>
      </c>
      <c r="T2322" s="40">
        <f t="shared" si="883"/>
        <v>0</v>
      </c>
      <c r="U2322" s="40">
        <f t="shared" si="883"/>
        <v>0</v>
      </c>
      <c r="V2322" s="40">
        <f t="shared" si="883"/>
        <v>0</v>
      </c>
      <c r="W2322" s="40">
        <f t="shared" si="883"/>
        <v>0</v>
      </c>
      <c r="X2322" s="40">
        <f t="shared" si="883"/>
        <v>0</v>
      </c>
      <c r="Y2322" s="40">
        <f t="shared" si="883"/>
        <v>0</v>
      </c>
      <c r="Z2322" s="40">
        <f t="shared" si="883"/>
        <v>0</v>
      </c>
      <c r="AA2322" s="40">
        <f t="shared" si="883"/>
        <v>0</v>
      </c>
      <c r="AB2322" s="40">
        <f t="shared" si="883"/>
        <v>0</v>
      </c>
      <c r="AC2322" s="40">
        <f t="shared" si="883"/>
        <v>0</v>
      </c>
      <c r="AD2322" s="40">
        <f t="shared" si="883"/>
        <v>0</v>
      </c>
      <c r="AE2322" s="40">
        <f t="shared" si="883"/>
        <v>0</v>
      </c>
      <c r="AF2322" s="40">
        <f t="shared" si="883"/>
        <v>0</v>
      </c>
      <c r="AG2322" s="40">
        <f t="shared" si="883"/>
        <v>0</v>
      </c>
      <c r="AH2322" s="40">
        <f t="shared" si="883"/>
        <v>0</v>
      </c>
      <c r="AI2322" s="40">
        <f t="shared" si="883"/>
        <v>0</v>
      </c>
      <c r="AJ2322" s="40">
        <f t="shared" si="883"/>
        <v>0</v>
      </c>
      <c r="AK2322" s="40">
        <f t="shared" si="883"/>
        <v>0</v>
      </c>
      <c r="AL2322" s="40">
        <f t="shared" si="883"/>
        <v>0</v>
      </c>
      <c r="AM2322" s="40">
        <f t="shared" si="883"/>
        <v>0</v>
      </c>
      <c r="AN2322" s="40">
        <f t="shared" si="883"/>
        <v>0</v>
      </c>
      <c r="AO2322" s="40">
        <f t="shared" si="883"/>
        <v>0</v>
      </c>
      <c r="AP2322" s="40">
        <f t="shared" si="883"/>
        <v>0</v>
      </c>
      <c r="AQ2322" s="40">
        <f t="shared" si="883"/>
        <v>0</v>
      </c>
      <c r="AR2322" s="40">
        <f t="shared" si="883"/>
        <v>0</v>
      </c>
      <c r="AS2322" s="40">
        <f t="shared" si="883"/>
        <v>0</v>
      </c>
      <c r="AT2322" s="40">
        <f t="shared" si="883"/>
        <v>0</v>
      </c>
      <c r="AU2322" s="40">
        <f t="shared" si="883"/>
        <v>0</v>
      </c>
      <c r="AV2322" s="40">
        <f t="shared" si="883"/>
        <v>-5.96</v>
      </c>
      <c r="AW2322" s="40">
        <f t="shared" si="883"/>
        <v>0</v>
      </c>
      <c r="AX2322" s="40">
        <f t="shared" si="883"/>
        <v>0</v>
      </c>
      <c r="AY2322" s="40">
        <f t="shared" si="883"/>
        <v>-97.6</v>
      </c>
      <c r="AZ2322" s="40">
        <f t="shared" si="883"/>
        <v>0</v>
      </c>
      <c r="BA2322" s="40">
        <f t="shared" si="883"/>
        <v>0</v>
      </c>
      <c r="BB2322" s="40">
        <f t="shared" si="883"/>
        <v>0</v>
      </c>
      <c r="BC2322" s="40">
        <f t="shared" si="883"/>
        <v>0</v>
      </c>
      <c r="BD2322" s="40">
        <f t="shared" si="883"/>
        <v>0</v>
      </c>
      <c r="BE2322" s="40">
        <f t="shared" si="883"/>
        <v>0</v>
      </c>
      <c r="BF2322" s="40">
        <f t="shared" si="883"/>
        <v>0</v>
      </c>
      <c r="BG2322" s="40">
        <f t="shared" si="883"/>
        <v>0</v>
      </c>
      <c r="BH2322" s="40">
        <f t="shared" si="883"/>
        <v>0</v>
      </c>
      <c r="BI2322" s="40">
        <f t="shared" si="883"/>
        <v>0</v>
      </c>
      <c r="BJ2322" s="40">
        <f t="shared" si="883"/>
        <v>0</v>
      </c>
      <c r="BK2322" s="40">
        <f t="shared" si="883"/>
        <v>0</v>
      </c>
      <c r="BL2322" s="62">
        <f>BL2323</f>
        <v>0</v>
      </c>
      <c r="BM2322" s="275">
        <f>BM2323</f>
        <v>3</v>
      </c>
      <c r="BN2322" s="62">
        <v>0.05</v>
      </c>
      <c r="BO2322" s="33">
        <f>BO2323</f>
        <v>0</v>
      </c>
    </row>
    <row r="2323" spans="1:68">
      <c r="A2323" s="33" t="str">
        <f>Database_Productkaarten[[#This Row],[Product]]&amp;", "&amp;Database_Productkaarten[[#This Row],[Levensfase]]</f>
        <v>Straatzand, D1</v>
      </c>
      <c r="B2323" s="33" t="s">
        <v>773</v>
      </c>
      <c r="C2323" t="s">
        <v>40</v>
      </c>
      <c r="D2323" s="33" t="s">
        <v>627</v>
      </c>
      <c r="E2323" s="33" t="s">
        <v>378</v>
      </c>
      <c r="F2323" s="33" t="s">
        <v>87</v>
      </c>
      <c r="L2323" s="33">
        <v>1.7</v>
      </c>
      <c r="M2323" s="269">
        <v>1</v>
      </c>
      <c r="N2323" s="41"/>
      <c r="O2323" s="33">
        <v>100</v>
      </c>
      <c r="P2323" s="40"/>
      <c r="Q2323" s="40"/>
      <c r="R2323" s="40"/>
      <c r="S2323" s="40"/>
      <c r="T2323" s="40"/>
      <c r="U2323" s="40"/>
      <c r="V2323" s="40"/>
      <c r="W2323" s="40"/>
      <c r="X2323" s="40"/>
      <c r="Y2323" s="40"/>
      <c r="Z2323" s="40"/>
      <c r="AA2323" s="40"/>
      <c r="AB2323" s="40"/>
      <c r="AC2323" s="40"/>
      <c r="AD2323" s="40"/>
      <c r="AE2323" s="40"/>
      <c r="AF2323" s="40"/>
      <c r="AG2323" s="40"/>
      <c r="AH2323" s="40"/>
      <c r="AI2323" s="40"/>
      <c r="AJ2323" s="40"/>
      <c r="AK2323" s="40"/>
      <c r="AL2323" s="40"/>
      <c r="AM2323" s="40"/>
      <c r="AN2323" s="40"/>
      <c r="AO2323" s="40"/>
      <c r="AP2323" s="40"/>
      <c r="AQ2323" s="40"/>
      <c r="AR2323" s="40"/>
      <c r="AS2323" s="40"/>
      <c r="AT2323" s="40"/>
      <c r="AU2323" s="40"/>
      <c r="AV2323" s="40">
        <v>-5.96</v>
      </c>
      <c r="AW2323" s="40"/>
      <c r="AX2323" s="40"/>
      <c r="AY2323" s="40">
        <v>-97.6</v>
      </c>
      <c r="AZ2323" s="40"/>
      <c r="BA2323" s="40"/>
      <c r="BB2323" s="40"/>
      <c r="BC2323" s="40"/>
      <c r="BD2323" s="40"/>
      <c r="BE2323" s="40"/>
      <c r="BF2323" s="40"/>
      <c r="BG2323" s="40"/>
      <c r="BH2323" s="40"/>
      <c r="BI2323" s="40"/>
      <c r="BJ2323" s="40"/>
      <c r="BK2323" s="40"/>
      <c r="BL2323" s="62">
        <v>0</v>
      </c>
      <c r="BM2323" s="275">
        <v>3</v>
      </c>
      <c r="BN2323" s="62">
        <v>0.05</v>
      </c>
    </row>
    <row r="2324" spans="1:68">
      <c r="A2324" s="33" t="str">
        <f>Database_Productkaarten[[#This Row],[Product]]&amp;", "&amp;Database_Productkaarten[[#This Row],[Levensfase]]</f>
        <v>Straatzand, D2</v>
      </c>
      <c r="B2324" s="33" t="s">
        <v>773</v>
      </c>
      <c r="C2324" t="s">
        <v>40</v>
      </c>
      <c r="D2324" s="33" t="s">
        <v>627</v>
      </c>
      <c r="E2324" s="33" t="s">
        <v>378</v>
      </c>
      <c r="F2324" s="33" t="s">
        <v>88</v>
      </c>
      <c r="L2324" s="33">
        <v>1.7</v>
      </c>
      <c r="M2324" s="269">
        <v>1</v>
      </c>
      <c r="N2324" s="41">
        <v>0</v>
      </c>
      <c r="O2324" s="33">
        <v>100</v>
      </c>
      <c r="P2324" s="40"/>
      <c r="Q2324" s="40"/>
      <c r="R2324" s="40"/>
      <c r="S2324" s="40"/>
      <c r="T2324" s="40"/>
      <c r="U2324" s="40"/>
      <c r="V2324" s="40"/>
      <c r="W2324" s="40"/>
      <c r="X2324" s="40"/>
      <c r="Y2324" s="40"/>
      <c r="Z2324" s="40"/>
      <c r="AA2324" s="40"/>
      <c r="AB2324" s="40"/>
      <c r="AC2324" s="40"/>
      <c r="AD2324" s="40"/>
      <c r="AE2324" s="40"/>
      <c r="AF2324" s="40"/>
      <c r="AG2324" s="40"/>
      <c r="AH2324" s="40"/>
      <c r="AI2324" s="40"/>
      <c r="AJ2324" s="40"/>
      <c r="AK2324" s="40"/>
      <c r="AL2324" s="40"/>
      <c r="AM2324" s="40"/>
      <c r="AN2324" s="40"/>
      <c r="AO2324" s="40"/>
      <c r="AP2324" s="40"/>
      <c r="AQ2324" s="40"/>
      <c r="AR2324" s="40"/>
      <c r="AS2324" s="40"/>
      <c r="AT2324" s="40"/>
      <c r="AU2324" s="40"/>
      <c r="AV2324" s="281"/>
      <c r="AW2324" s="40"/>
      <c r="AX2324" s="40"/>
      <c r="AY2324" s="281"/>
      <c r="AZ2324" s="40"/>
      <c r="BA2324" s="40"/>
      <c r="BB2324" s="40"/>
      <c r="BC2324" s="40"/>
      <c r="BD2324" s="40"/>
      <c r="BE2324" s="40"/>
      <c r="BF2324" s="40"/>
      <c r="BG2324" s="40"/>
      <c r="BH2324" s="40"/>
      <c r="BI2324" s="40"/>
      <c r="BJ2324" s="40"/>
      <c r="BK2324" s="40"/>
      <c r="BL2324" s="62">
        <v>0</v>
      </c>
      <c r="BM2324" s="275">
        <v>3</v>
      </c>
      <c r="BN2324" s="62">
        <v>0.05</v>
      </c>
    </row>
    <row r="2325" spans="1:68">
      <c r="A2325" s="33" t="str">
        <f>Database_Productkaarten[[#This Row],[Product]]&amp;", "&amp;Database_Productkaarten[[#This Row],[Levensfase]]</f>
        <v>Ophoogzand, Cascade-leden, Totaal</v>
      </c>
      <c r="B2325" s="33" t="s">
        <v>774</v>
      </c>
      <c r="C2325" t="s">
        <v>40</v>
      </c>
      <c r="D2325" s="33" t="s">
        <v>627</v>
      </c>
      <c r="E2325" s="33" t="s">
        <v>378</v>
      </c>
      <c r="F2325" s="33" t="s">
        <v>90</v>
      </c>
      <c r="L2325" s="33">
        <v>1.6</v>
      </c>
      <c r="M2325" s="269">
        <v>1</v>
      </c>
      <c r="N2325" s="41">
        <f>SUM(N2326:N2339)</f>
        <v>1.2376803384248416</v>
      </c>
      <c r="O2325" s="33">
        <v>100</v>
      </c>
      <c r="P2325" s="40">
        <f t="shared" ref="P2325:Z2325" si="884">SUM(P2326:P2339)</f>
        <v>1.5449316916666669E-4</v>
      </c>
      <c r="Q2325" s="40">
        <f t="shared" si="884"/>
        <v>7.3199920429583329E-2</v>
      </c>
      <c r="R2325" s="40">
        <f t="shared" si="884"/>
        <v>12.401040980874999</v>
      </c>
      <c r="S2325" s="40">
        <f t="shared" si="884"/>
        <v>1.8631232166666665E-6</v>
      </c>
      <c r="T2325" s="40">
        <f t="shared" si="884"/>
        <v>5.9147586141666672E-3</v>
      </c>
      <c r="U2325" s="40">
        <f t="shared" si="884"/>
        <v>3.400186614543306E-2</v>
      </c>
      <c r="V2325" s="40">
        <f t="shared" si="884"/>
        <v>8.83373405E-3</v>
      </c>
      <c r="W2325" s="40">
        <f t="shared" si="884"/>
        <v>2.5738579820625</v>
      </c>
      <c r="X2325" s="40">
        <f t="shared" si="884"/>
        <v>8.1444898454793371E-2</v>
      </c>
      <c r="Y2325" s="40">
        <f t="shared" si="884"/>
        <v>219.04843866064982</v>
      </c>
      <c r="Z2325" s="40">
        <f t="shared" si="884"/>
        <v>1.3745955181042283E-2</v>
      </c>
      <c r="AA2325" s="40"/>
      <c r="AB2325" s="40"/>
      <c r="AC2325" s="40"/>
      <c r="AD2325" s="40"/>
      <c r="AE2325" s="40"/>
      <c r="AF2325" s="40"/>
      <c r="AG2325" s="40"/>
      <c r="AH2325" s="40"/>
      <c r="AI2325" s="40"/>
      <c r="AJ2325" s="40"/>
      <c r="AK2325" s="40"/>
      <c r="AL2325" s="40"/>
      <c r="AM2325" s="40"/>
      <c r="AN2325" s="40"/>
      <c r="AO2325" s="40"/>
      <c r="AP2325" s="40"/>
      <c r="AQ2325" s="40"/>
      <c r="AR2325" s="40"/>
      <c r="AS2325" s="40"/>
      <c r="AT2325" s="40"/>
      <c r="AU2325" s="40"/>
      <c r="AV2325" s="281">
        <f>SUM(AV2326:AV2339)</f>
        <v>1.5275169415208332</v>
      </c>
      <c r="AW2325" s="40"/>
      <c r="AX2325" s="40"/>
      <c r="AY2325" s="281">
        <f>SUM(AY2326:AY2339)</f>
        <v>163.26641811416667</v>
      </c>
      <c r="AZ2325" s="40"/>
      <c r="BA2325" s="40"/>
      <c r="BB2325" s="40"/>
      <c r="BC2325" s="40">
        <f>SUM(BC2326:BC2339)</f>
        <v>1.4244229221734378E-2</v>
      </c>
      <c r="BD2325" s="40">
        <f>SUM(BD2326:BD2339)</f>
        <v>5.7853562248201334E-4</v>
      </c>
      <c r="BE2325" s="40">
        <f>SUM(BE2326:BE2339)</f>
        <v>12.303902000655981</v>
      </c>
      <c r="BF2325" s="40">
        <f>SUM(BF2326:BF2339)</f>
        <v>9.5618692000000005E-4</v>
      </c>
      <c r="BG2325" s="40"/>
      <c r="BH2325" s="40"/>
      <c r="BI2325" s="40"/>
      <c r="BJ2325" s="40"/>
      <c r="BK2325" s="40"/>
      <c r="BL2325" s="62">
        <v>0</v>
      </c>
      <c r="BM2325" s="275">
        <v>2</v>
      </c>
      <c r="BN2325" s="62">
        <v>0.05</v>
      </c>
    </row>
    <row r="2326" spans="1:68">
      <c r="A2326" s="33" t="str">
        <f>Database_Productkaarten[[#This Row],[Product]]&amp;", "&amp;Database_Productkaarten[[#This Row],[Levensfase]]</f>
        <v>Ophoogzand, Cascade-leden, A1</v>
      </c>
      <c r="B2326" s="33" t="s">
        <v>774</v>
      </c>
      <c r="C2326" t="s">
        <v>40</v>
      </c>
      <c r="D2326" s="33" t="s">
        <v>627</v>
      </c>
      <c r="E2326" s="33" t="s">
        <v>378</v>
      </c>
      <c r="F2326" s="33" t="s">
        <v>74</v>
      </c>
      <c r="L2326" s="33">
        <v>1.6</v>
      </c>
      <c r="M2326" s="269">
        <v>1</v>
      </c>
      <c r="N2326" s="41">
        <v>8.3199999999999996E-2</v>
      </c>
      <c r="O2326" s="33">
        <v>100</v>
      </c>
      <c r="P2326" s="40"/>
      <c r="Q2326" s="40"/>
      <c r="R2326" s="40">
        <v>0.73</v>
      </c>
      <c r="S2326" s="40"/>
      <c r="T2326" s="40"/>
      <c r="U2326" s="40"/>
      <c r="V2326" s="40"/>
      <c r="W2326" s="40"/>
      <c r="X2326" s="40"/>
      <c r="Y2326" s="40"/>
      <c r="Z2326" s="40"/>
      <c r="AA2326" s="40"/>
      <c r="AB2326" s="40"/>
      <c r="AC2326" s="40"/>
      <c r="AD2326" s="40"/>
      <c r="AE2326" s="40"/>
      <c r="AF2326" s="40"/>
      <c r="AG2326" s="40"/>
      <c r="AH2326" s="40"/>
      <c r="AI2326" s="40"/>
      <c r="AJ2326" s="40"/>
      <c r="AK2326" s="40"/>
      <c r="AL2326" s="40"/>
      <c r="AM2326" s="40"/>
      <c r="AN2326" s="40"/>
      <c r="AO2326" s="40"/>
      <c r="AP2326" s="40"/>
      <c r="AQ2326" s="40"/>
      <c r="AR2326" s="40"/>
      <c r="AS2326" s="40"/>
      <c r="AT2326" s="40"/>
      <c r="AU2326" s="40"/>
      <c r="AV2326" s="281"/>
      <c r="AW2326" s="40"/>
      <c r="AX2326" s="40"/>
      <c r="AY2326" s="281"/>
      <c r="AZ2326" s="40"/>
      <c r="BA2326" s="40"/>
      <c r="BB2326" s="40"/>
      <c r="BC2326" s="40"/>
      <c r="BD2326" s="40"/>
      <c r="BE2326" s="40"/>
      <c r="BF2326" s="40"/>
      <c r="BG2326" s="40"/>
      <c r="BH2326" s="40"/>
      <c r="BI2326" s="40"/>
      <c r="BJ2326" s="40"/>
      <c r="BK2326" s="40"/>
      <c r="BL2326" s="62">
        <v>0</v>
      </c>
      <c r="BM2326" s="275">
        <v>2</v>
      </c>
      <c r="BN2326" s="62">
        <v>0.05</v>
      </c>
    </row>
    <row r="2327" spans="1:68">
      <c r="A2327" s="33" t="str">
        <f>Database_Productkaarten[[#This Row],[Product]]&amp;", "&amp;Database_Productkaarten[[#This Row],[Levensfase]]</f>
        <v>Ophoogzand, Cascade-leden, A2</v>
      </c>
      <c r="B2327" s="33" t="s">
        <v>774</v>
      </c>
      <c r="C2327" t="s">
        <v>40</v>
      </c>
      <c r="D2327" s="33" t="s">
        <v>627</v>
      </c>
      <c r="E2327" s="33" t="s">
        <v>378</v>
      </c>
      <c r="F2327" s="33" t="s">
        <v>75</v>
      </c>
      <c r="L2327" s="33">
        <v>1.6</v>
      </c>
      <c r="M2327" s="269">
        <v>1</v>
      </c>
      <c r="N2327" s="41">
        <v>3.6099999999999999E-4</v>
      </c>
      <c r="O2327" s="33">
        <v>100</v>
      </c>
      <c r="P2327" s="40"/>
      <c r="Q2327" s="40"/>
      <c r="R2327" s="40">
        <v>3.0799999999999998E-3</v>
      </c>
      <c r="S2327" s="40"/>
      <c r="T2327" s="40"/>
      <c r="U2327" s="40"/>
      <c r="V2327" s="40"/>
      <c r="W2327" s="40"/>
      <c r="X2327" s="40"/>
      <c r="Y2327" s="40"/>
      <c r="Z2327" s="40"/>
      <c r="AA2327" s="40"/>
      <c r="AB2327" s="40"/>
      <c r="AC2327" s="40"/>
      <c r="AD2327" s="40"/>
      <c r="AE2327" s="40"/>
      <c r="AF2327" s="40"/>
      <c r="AG2327" s="40"/>
      <c r="AH2327" s="40"/>
      <c r="AI2327" s="40"/>
      <c r="AJ2327" s="40"/>
      <c r="AK2327" s="40"/>
      <c r="AL2327" s="40"/>
      <c r="AM2327" s="40"/>
      <c r="AN2327" s="40"/>
      <c r="AO2327" s="40"/>
      <c r="AP2327" s="40"/>
      <c r="AQ2327" s="40"/>
      <c r="AR2327" s="40"/>
      <c r="AS2327" s="40"/>
      <c r="AT2327" s="40"/>
      <c r="AU2327" s="40"/>
      <c r="AV2327" s="281"/>
      <c r="AW2327" s="40"/>
      <c r="AX2327" s="40"/>
      <c r="AY2327" s="281"/>
      <c r="AZ2327" s="40"/>
      <c r="BA2327" s="40"/>
      <c r="BB2327" s="40"/>
      <c r="BC2327" s="40"/>
      <c r="BD2327" s="40"/>
      <c r="BE2327" s="40"/>
      <c r="BF2327" s="40"/>
      <c r="BG2327" s="40"/>
      <c r="BH2327" s="40"/>
      <c r="BI2327" s="40"/>
      <c r="BJ2327" s="40"/>
      <c r="BK2327" s="40"/>
      <c r="BL2327" s="62">
        <v>0</v>
      </c>
      <c r="BM2327" s="275">
        <v>2</v>
      </c>
      <c r="BN2327" s="62">
        <v>0.05</v>
      </c>
    </row>
    <row r="2328" spans="1:68">
      <c r="A2328" s="33" t="str">
        <f>Database_Productkaarten[[#This Row],[Product]]&amp;", "&amp;Database_Productkaarten[[#This Row],[Levensfase]]</f>
        <v>Ophoogzand, Cascade-leden, A3</v>
      </c>
      <c r="B2328" s="33" t="s">
        <v>774</v>
      </c>
      <c r="C2328" t="s">
        <v>40</v>
      </c>
      <c r="D2328" s="33" t="s">
        <v>627</v>
      </c>
      <c r="E2328" s="33" t="s">
        <v>378</v>
      </c>
      <c r="F2328" s="33" t="s">
        <v>76</v>
      </c>
      <c r="L2328" s="33">
        <v>1.6</v>
      </c>
      <c r="M2328" s="269">
        <v>1</v>
      </c>
      <c r="N2328" s="41">
        <v>6.1600000000000002E-2</v>
      </c>
      <c r="O2328" s="33">
        <v>100</v>
      </c>
      <c r="P2328" s="40"/>
      <c r="Q2328" s="40"/>
      <c r="R2328" s="40">
        <v>0.51200000000000001</v>
      </c>
      <c r="S2328" s="40"/>
      <c r="T2328" s="40"/>
      <c r="U2328" s="40"/>
      <c r="V2328" s="40"/>
      <c r="W2328" s="40"/>
      <c r="X2328" s="40"/>
      <c r="Y2328" s="40"/>
      <c r="Z2328" s="40"/>
      <c r="AA2328" s="40"/>
      <c r="AB2328" s="40"/>
      <c r="AC2328" s="40"/>
      <c r="AD2328" s="40"/>
      <c r="AE2328" s="40"/>
      <c r="AF2328" s="40"/>
      <c r="AG2328" s="40"/>
      <c r="AH2328" s="40"/>
      <c r="AI2328" s="40"/>
      <c r="AJ2328" s="40"/>
      <c r="AK2328" s="40"/>
      <c r="AL2328" s="40"/>
      <c r="AM2328" s="40"/>
      <c r="AN2328" s="40"/>
      <c r="AO2328" s="40"/>
      <c r="AP2328" s="40"/>
      <c r="AQ2328" s="40"/>
      <c r="AR2328" s="40"/>
      <c r="AS2328" s="40"/>
      <c r="AT2328" s="40"/>
      <c r="AU2328" s="40"/>
      <c r="AV2328" s="281"/>
      <c r="AW2328" s="40"/>
      <c r="AX2328" s="40"/>
      <c r="AY2328" s="281"/>
      <c r="AZ2328" s="40"/>
      <c r="BA2328" s="40"/>
      <c r="BB2328" s="40"/>
      <c r="BC2328" s="40"/>
      <c r="BD2328" s="40"/>
      <c r="BE2328" s="40"/>
      <c r="BF2328" s="40"/>
      <c r="BG2328" s="40"/>
      <c r="BH2328" s="40"/>
      <c r="BI2328" s="40"/>
      <c r="BJ2328" s="40"/>
      <c r="BK2328" s="40"/>
      <c r="BL2328" s="62">
        <v>0</v>
      </c>
      <c r="BM2328" s="275">
        <v>2</v>
      </c>
      <c r="BN2328" s="62">
        <v>0.05</v>
      </c>
    </row>
    <row r="2329" spans="1:68">
      <c r="A2329" s="451" t="str">
        <f>Database_Productkaarten[[#This Row],[Product]]&amp;", "&amp;Database_Productkaarten[[#This Row],[Levensfase]]</f>
        <v>Ophoogzand, Cascade-leden, A1-A3</v>
      </c>
      <c r="B2329" s="451" t="str">
        <f>B2328</f>
        <v>Ophoogzand, Cascade-leden</v>
      </c>
      <c r="C2329" t="s">
        <v>40</v>
      </c>
      <c r="D2329" s="451" t="str">
        <f>D2328</f>
        <v>Zand</v>
      </c>
      <c r="E2329" s="451" t="str">
        <f>E2328</f>
        <v>Ton</v>
      </c>
      <c r="F2329" s="451" t="s">
        <v>77</v>
      </c>
      <c r="G2329" s="451">
        <f t="shared" ref="G2329:M2329" si="885">G2328</f>
        <v>0</v>
      </c>
      <c r="H2329" s="451">
        <f t="shared" si="885"/>
        <v>0</v>
      </c>
      <c r="I2329" s="451">
        <f t="shared" si="885"/>
        <v>0</v>
      </c>
      <c r="J2329" s="451">
        <f t="shared" si="885"/>
        <v>0</v>
      </c>
      <c r="K2329" s="451">
        <f t="shared" si="885"/>
        <v>0</v>
      </c>
      <c r="L2329" s="451">
        <f t="shared" si="885"/>
        <v>1.6</v>
      </c>
      <c r="M2329" s="454">
        <f t="shared" si="885"/>
        <v>1</v>
      </c>
      <c r="N2329" s="452">
        <f>SUM(N2326:N2328)</f>
        <v>0.14516099999999998</v>
      </c>
      <c r="O2329" s="451">
        <f>O2328</f>
        <v>100</v>
      </c>
      <c r="P2329" s="453">
        <f t="shared" ref="P2329:BK2329" si="886">SUM(P2326:P2328)</f>
        <v>0</v>
      </c>
      <c r="Q2329" s="453">
        <f t="shared" si="886"/>
        <v>0</v>
      </c>
      <c r="R2329" s="453">
        <f t="shared" si="886"/>
        <v>1.24508</v>
      </c>
      <c r="S2329" s="453">
        <f t="shared" si="886"/>
        <v>0</v>
      </c>
      <c r="T2329" s="453">
        <f t="shared" si="886"/>
        <v>0</v>
      </c>
      <c r="U2329" s="453">
        <f t="shared" si="886"/>
        <v>0</v>
      </c>
      <c r="V2329" s="453">
        <f t="shared" si="886"/>
        <v>0</v>
      </c>
      <c r="W2329" s="453">
        <f t="shared" si="886"/>
        <v>0</v>
      </c>
      <c r="X2329" s="453">
        <f t="shared" si="886"/>
        <v>0</v>
      </c>
      <c r="Y2329" s="453">
        <f t="shared" si="886"/>
        <v>0</v>
      </c>
      <c r="Z2329" s="453">
        <f t="shared" si="886"/>
        <v>0</v>
      </c>
      <c r="AA2329" s="453">
        <f t="shared" si="886"/>
        <v>0</v>
      </c>
      <c r="AB2329" s="453">
        <f t="shared" si="886"/>
        <v>0</v>
      </c>
      <c r="AC2329" s="453">
        <f t="shared" si="886"/>
        <v>0</v>
      </c>
      <c r="AD2329" s="453">
        <f t="shared" si="886"/>
        <v>0</v>
      </c>
      <c r="AE2329" s="453">
        <f t="shared" si="886"/>
        <v>0</v>
      </c>
      <c r="AF2329" s="453">
        <f t="shared" si="886"/>
        <v>0</v>
      </c>
      <c r="AG2329" s="453">
        <f t="shared" si="886"/>
        <v>0</v>
      </c>
      <c r="AH2329" s="453">
        <f t="shared" si="886"/>
        <v>0</v>
      </c>
      <c r="AI2329" s="453">
        <f t="shared" si="886"/>
        <v>0</v>
      </c>
      <c r="AJ2329" s="453">
        <f t="shared" si="886"/>
        <v>0</v>
      </c>
      <c r="AK2329" s="453">
        <f t="shared" si="886"/>
        <v>0</v>
      </c>
      <c r="AL2329" s="453">
        <f t="shared" si="886"/>
        <v>0</v>
      </c>
      <c r="AM2329" s="453">
        <f t="shared" si="886"/>
        <v>0</v>
      </c>
      <c r="AN2329" s="453">
        <f t="shared" si="886"/>
        <v>0</v>
      </c>
      <c r="AO2329" s="453">
        <f t="shared" si="886"/>
        <v>0</v>
      </c>
      <c r="AP2329" s="453">
        <f t="shared" si="886"/>
        <v>0</v>
      </c>
      <c r="AQ2329" s="453">
        <f t="shared" si="886"/>
        <v>0</v>
      </c>
      <c r="AR2329" s="453">
        <f t="shared" si="886"/>
        <v>0</v>
      </c>
      <c r="AS2329" s="453">
        <f t="shared" si="886"/>
        <v>0</v>
      </c>
      <c r="AT2329" s="453">
        <f t="shared" si="886"/>
        <v>0</v>
      </c>
      <c r="AU2329" s="453">
        <f t="shared" si="886"/>
        <v>0</v>
      </c>
      <c r="AV2329" s="453">
        <f t="shared" si="886"/>
        <v>0</v>
      </c>
      <c r="AW2329" s="453">
        <f t="shared" si="886"/>
        <v>0</v>
      </c>
      <c r="AX2329" s="453">
        <f t="shared" si="886"/>
        <v>0</v>
      </c>
      <c r="AY2329" s="453">
        <f t="shared" si="886"/>
        <v>0</v>
      </c>
      <c r="AZ2329" s="453">
        <f t="shared" si="886"/>
        <v>0</v>
      </c>
      <c r="BA2329" s="453">
        <f t="shared" si="886"/>
        <v>0</v>
      </c>
      <c r="BB2329" s="453">
        <f t="shared" si="886"/>
        <v>0</v>
      </c>
      <c r="BC2329" s="453">
        <f t="shared" si="886"/>
        <v>0</v>
      </c>
      <c r="BD2329" s="453">
        <f t="shared" si="886"/>
        <v>0</v>
      </c>
      <c r="BE2329" s="453">
        <f t="shared" si="886"/>
        <v>0</v>
      </c>
      <c r="BF2329" s="453">
        <f t="shared" si="886"/>
        <v>0</v>
      </c>
      <c r="BG2329" s="453">
        <f t="shared" si="886"/>
        <v>0</v>
      </c>
      <c r="BH2329" s="453">
        <f t="shared" si="886"/>
        <v>0</v>
      </c>
      <c r="BI2329" s="453">
        <f t="shared" si="886"/>
        <v>0</v>
      </c>
      <c r="BJ2329" s="453">
        <f t="shared" si="886"/>
        <v>0</v>
      </c>
      <c r="BK2329" s="453">
        <f t="shared" si="886"/>
        <v>0</v>
      </c>
      <c r="BL2329" s="62">
        <f>BL2328</f>
        <v>0</v>
      </c>
      <c r="BM2329" s="275">
        <f>BM2328</f>
        <v>2</v>
      </c>
      <c r="BN2329" s="62">
        <v>0.05</v>
      </c>
      <c r="BO2329" s="451">
        <f>BO2328</f>
        <v>0</v>
      </c>
      <c r="BP2329" s="451"/>
    </row>
    <row r="2330" spans="1:68">
      <c r="A2330" s="33" t="str">
        <f>Database_Productkaarten[[#This Row],[Product]]&amp;", "&amp;Database_Productkaarten[[#This Row],[Levensfase]]</f>
        <v>Ophoogzand, Cascade-leden, A4</v>
      </c>
      <c r="B2330" s="33" t="s">
        <v>774</v>
      </c>
      <c r="C2330" t="s">
        <v>40</v>
      </c>
      <c r="D2330" s="33" t="s">
        <v>627</v>
      </c>
      <c r="E2330" s="33" t="s">
        <v>378</v>
      </c>
      <c r="F2330" s="33" t="s">
        <v>78</v>
      </c>
      <c r="L2330" s="33">
        <v>1.6</v>
      </c>
      <c r="M2330" s="269">
        <v>1</v>
      </c>
      <c r="N2330" s="41">
        <f>G$2552*50</f>
        <v>0.42992438500000002</v>
      </c>
      <c r="O2330" s="33">
        <v>100</v>
      </c>
      <c r="P2330" s="40">
        <f t="shared" ref="P2330:Z2330" si="887">J$2552*50</f>
        <v>7.7025545000000006E-5</v>
      </c>
      <c r="Q2330" s="40">
        <f t="shared" si="887"/>
        <v>3.3373646E-2</v>
      </c>
      <c r="R2330" s="40">
        <f t="shared" si="887"/>
        <v>4.4832367999999994</v>
      </c>
      <c r="S2330" s="40">
        <f t="shared" si="887"/>
        <v>8.4932390000000005E-7</v>
      </c>
      <c r="T2330" s="40">
        <f t="shared" si="887"/>
        <v>2.8019094000000001E-3</v>
      </c>
      <c r="U2330" s="40">
        <f t="shared" si="887"/>
        <v>1.65595615E-2</v>
      </c>
      <c r="V2330" s="40">
        <f t="shared" si="887"/>
        <v>3.2106001500000004E-3</v>
      </c>
      <c r="W2330" s="40">
        <f t="shared" si="887"/>
        <v>0.96850040000000004</v>
      </c>
      <c r="X2330" s="40">
        <f t="shared" si="887"/>
        <v>4.0722445500000003E-2</v>
      </c>
      <c r="Y2330" s="40">
        <f t="shared" si="887"/>
        <v>109.34218</v>
      </c>
      <c r="Z2330" s="40">
        <f t="shared" si="887"/>
        <v>5.4427E-3</v>
      </c>
      <c r="AA2330" s="40"/>
      <c r="AB2330" s="40"/>
      <c r="AC2330" s="40"/>
      <c r="AD2330" s="40"/>
      <c r="AE2330" s="40"/>
      <c r="AF2330" s="40"/>
      <c r="AG2330" s="40"/>
      <c r="AH2330" s="40"/>
      <c r="AI2330" s="40"/>
      <c r="AJ2330" s="40"/>
      <c r="AK2330" s="40"/>
      <c r="AL2330" s="40"/>
      <c r="AM2330" s="40"/>
      <c r="AN2330" s="40"/>
      <c r="AO2330" s="40"/>
      <c r="AP2330" s="40"/>
      <c r="AQ2330" s="40"/>
      <c r="AR2330" s="40"/>
      <c r="AS2330" s="40"/>
      <c r="AT2330" s="40"/>
      <c r="AU2330" s="40"/>
      <c r="AV2330" s="281">
        <f>AP$2552*50</f>
        <v>0.71124284999999998</v>
      </c>
      <c r="AW2330" s="40"/>
      <c r="AX2330" s="40"/>
      <c r="AY2330" s="281">
        <f>AS$2552*50</f>
        <v>74.431809999999999</v>
      </c>
      <c r="AZ2330" s="40"/>
      <c r="BA2330" s="40"/>
      <c r="BB2330" s="40"/>
      <c r="BC2330" s="40">
        <f>AW$2552*50</f>
        <v>7.1161370000000007E-3</v>
      </c>
      <c r="BD2330" s="40">
        <f>AX$2552*50</f>
        <v>1.7396450000000001E-4</v>
      </c>
      <c r="BE2330" s="40">
        <f>AY$2552*50</f>
        <v>6.1519510000000004</v>
      </c>
      <c r="BF2330" s="40">
        <f>AZ$2552*50</f>
        <v>4.7809346000000002E-4</v>
      </c>
      <c r="BG2330" s="40"/>
      <c r="BH2330" s="40"/>
      <c r="BI2330" s="40"/>
      <c r="BJ2330" s="40"/>
      <c r="BK2330" s="40"/>
      <c r="BL2330" s="62">
        <v>0</v>
      </c>
      <c r="BM2330" s="275">
        <v>2</v>
      </c>
      <c r="BN2330" s="62">
        <v>0.05</v>
      </c>
    </row>
    <row r="2331" spans="1:68">
      <c r="A2331" s="33" t="str">
        <f>Database_Productkaarten[[#This Row],[Product]]&amp;", "&amp;Database_Productkaarten[[#This Row],[Levensfase]]</f>
        <v>Ophoogzand, Cascade-leden, A5</v>
      </c>
      <c r="B2331" s="33" t="s">
        <v>774</v>
      </c>
      <c r="C2331" t="s">
        <v>40</v>
      </c>
      <c r="D2331" s="33" t="s">
        <v>627</v>
      </c>
      <c r="E2331" s="33" t="s">
        <v>378</v>
      </c>
      <c r="F2331" s="33" t="s">
        <v>79</v>
      </c>
      <c r="L2331" s="33">
        <v>1.6</v>
      </c>
      <c r="M2331" s="269">
        <v>1</v>
      </c>
      <c r="N2331" s="41">
        <f>((1/Database_Productkaarten[[#This Row],[Soortelijk Gewicht '[ton / m3']]])/$H$2631)*(G$2631)</f>
        <v>4.3754784212420766E-2</v>
      </c>
      <c r="O2331" s="33">
        <v>100</v>
      </c>
      <c r="P2331" s="40">
        <f>((1/Database_Productkaarten[[#This Row],[Soortelijk Gewicht '[ton / m3']]])/$H$2631)*(J$2631)</f>
        <v>2.2103958333333332E-7</v>
      </c>
      <c r="Q2331" s="40">
        <f>((1/Database_Productkaarten[[#This Row],[Soortelijk Gewicht '[ton / m3']]])/$H$2631)*(K$2631)</f>
        <v>3.2263142147916667E-3</v>
      </c>
      <c r="R2331" s="40">
        <f>((1/Database_Productkaarten[[#This Row],[Soortelijk Gewicht '[ton / m3']]])/$H$2631)*(L$2631)</f>
        <v>0.47220369043749999</v>
      </c>
      <c r="S2331" s="40">
        <f>((1/Database_Productkaarten[[#This Row],[Soortelijk Gewicht '[ton / m3']]])/$H$2631)*(M$2631)</f>
        <v>8.2237708333333324E-8</v>
      </c>
      <c r="T2331" s="40">
        <f>((1/Database_Productkaarten[[#This Row],[Soortelijk Gewicht '[ton / m3']]])/$H$2631)*(N$2631)</f>
        <v>1.5546990708333334E-4</v>
      </c>
      <c r="U2331" s="40">
        <f>((1/Database_Productkaarten[[#This Row],[Soortelijk Gewicht '[ton / m3']]])/$H$2631)*(O$2631)</f>
        <v>4.4137157271653107E-4</v>
      </c>
      <c r="V2331" s="40">
        <f>((1/Database_Productkaarten[[#This Row],[Soortelijk Gewicht '[ton / m3']]])/$H$2631)*(P$2631)</f>
        <v>1.2062668749999999E-3</v>
      </c>
      <c r="W2331" s="40">
        <f>((1/Database_Productkaarten[[#This Row],[Soortelijk Gewicht '[ton / m3']]])/$H$2631)*(Q$2631)</f>
        <v>0.31842859103124999</v>
      </c>
      <c r="X2331" s="40">
        <f>((1/Database_Productkaarten[[#This Row],[Soortelijk Gewicht '[ton / m3']]])/$H$2631)*(R$2631)</f>
        <v>3.7273966828583328E-9</v>
      </c>
      <c r="Y2331" s="40">
        <f>((1/Database_Productkaarten[[#This Row],[Soortelijk Gewicht '[ton / m3']]])/$H$2631)*(S$2631)</f>
        <v>0.18203933032491099</v>
      </c>
      <c r="Z2331" s="40">
        <f>((1/Database_Productkaarten[[#This Row],[Soortelijk Gewicht '[ton / m3']]])/$H$2631)*(T$2631)</f>
        <v>1.4302775905211417E-3</v>
      </c>
      <c r="AA2331" s="40"/>
      <c r="AB2331" s="40"/>
      <c r="AC2331" s="40"/>
      <c r="AD2331" s="40"/>
      <c r="AE2331" s="40"/>
      <c r="AF2331" s="40"/>
      <c r="AG2331" s="40"/>
      <c r="AH2331" s="40"/>
      <c r="AI2331" s="40"/>
      <c r="AJ2331" s="40"/>
      <c r="AK2331" s="40"/>
      <c r="AL2331" s="40"/>
      <c r="AM2331" s="40"/>
      <c r="AN2331" s="40"/>
      <c r="AO2331" s="40"/>
      <c r="AP2331" s="40"/>
      <c r="AQ2331" s="40"/>
      <c r="AR2331" s="40"/>
      <c r="AS2331" s="40"/>
      <c r="AT2331" s="40"/>
      <c r="AU2331" s="40"/>
      <c r="AV2331" s="281">
        <f>((1/Database_Productkaarten[[#This Row],[Soortelijk Gewicht '[ton / m3']]])/$H$2631)*(AP$2631)</f>
        <v>5.2515620760416659E-2</v>
      </c>
      <c r="AW2331" s="40"/>
      <c r="AX2331" s="40"/>
      <c r="AY2331" s="281">
        <f>((1/Database_Productkaarten[[#This Row],[Soortelijk Gewicht '[ton / m3']]])/$H$2631)*(AS$2631)</f>
        <v>7.2013990570833331</v>
      </c>
      <c r="AZ2331" s="40"/>
      <c r="BA2331" s="40"/>
      <c r="BB2331" s="40"/>
      <c r="BC2331" s="40">
        <f>((1/Database_Productkaarten[[#This Row],[Soortelijk Gewicht '[ton / m3']]])/$H$2631)*(AW$2631)</f>
        <v>5.9776108671881242E-6</v>
      </c>
      <c r="BD2331" s="40">
        <f>((1/Database_Productkaarten[[#This Row],[Soortelijk Gewicht '[ton / m3']]])/$H$2631)*(AX$2631)</f>
        <v>1.1530331124100664E-4</v>
      </c>
      <c r="BE2331" s="40">
        <f>((1/Database_Productkaarten[[#This Row],[Soortelijk Gewicht '[ton / m3']]])/$H$2631)*(AY$2631)</f>
        <v>3.2799006821667943E-10</v>
      </c>
      <c r="BF2331" s="40">
        <f>((1/Database_Productkaarten[[#This Row],[Soortelijk Gewicht '[ton / m3']]])/$H$2631)*(AZ$2631)</f>
        <v>0</v>
      </c>
      <c r="BG2331" s="40"/>
      <c r="BH2331" s="40"/>
      <c r="BI2331" s="40"/>
      <c r="BJ2331" s="40"/>
      <c r="BK2331" s="40"/>
      <c r="BL2331" s="62">
        <v>0</v>
      </c>
      <c r="BM2331" s="275">
        <v>2</v>
      </c>
      <c r="BN2331" s="62">
        <v>0.05</v>
      </c>
    </row>
    <row r="2332" spans="1:68">
      <c r="A2332" s="33" t="str">
        <f>Database_Productkaarten[[#This Row],[Product]]&amp;", "&amp;Database_Productkaarten[[#This Row],[Levensfase]]</f>
        <v>Ophoogzand, Cascade-leden, B1</v>
      </c>
      <c r="B2332" s="33" t="s">
        <v>774</v>
      </c>
      <c r="C2332" t="s">
        <v>40</v>
      </c>
      <c r="D2332" s="33" t="s">
        <v>627</v>
      </c>
      <c r="E2332" s="33" t="s">
        <v>378</v>
      </c>
      <c r="F2332" s="33" t="s">
        <v>80</v>
      </c>
      <c r="L2332" s="33">
        <v>1.6</v>
      </c>
      <c r="M2332" s="269">
        <v>1</v>
      </c>
      <c r="N2332" s="41">
        <v>0</v>
      </c>
      <c r="O2332" s="33">
        <v>100</v>
      </c>
      <c r="P2332" s="40"/>
      <c r="Q2332" s="40"/>
      <c r="R2332" s="40"/>
      <c r="S2332" s="40"/>
      <c r="T2332" s="40"/>
      <c r="U2332" s="40"/>
      <c r="V2332" s="40"/>
      <c r="W2332" s="40"/>
      <c r="X2332" s="40"/>
      <c r="Y2332" s="40"/>
      <c r="Z2332" s="40"/>
      <c r="AA2332" s="40"/>
      <c r="AB2332" s="40"/>
      <c r="AC2332" s="40"/>
      <c r="AD2332" s="40"/>
      <c r="AE2332" s="40"/>
      <c r="AF2332" s="40"/>
      <c r="AG2332" s="40"/>
      <c r="AH2332" s="40"/>
      <c r="AI2332" s="40"/>
      <c r="AJ2332" s="40"/>
      <c r="AK2332" s="40"/>
      <c r="AL2332" s="40"/>
      <c r="AM2332" s="40"/>
      <c r="AN2332" s="40"/>
      <c r="AO2332" s="40"/>
      <c r="AP2332" s="40"/>
      <c r="AQ2332" s="40"/>
      <c r="AR2332" s="40"/>
      <c r="AS2332" s="40"/>
      <c r="AT2332" s="40"/>
      <c r="AU2332" s="40"/>
      <c r="AV2332" s="281"/>
      <c r="AW2332" s="40"/>
      <c r="AX2332" s="40"/>
      <c r="AY2332" s="281"/>
      <c r="AZ2332" s="40"/>
      <c r="BA2332" s="40"/>
      <c r="BB2332" s="40"/>
      <c r="BC2332" s="40"/>
      <c r="BD2332" s="40"/>
      <c r="BE2332" s="40"/>
      <c r="BF2332" s="40"/>
      <c r="BG2332" s="40"/>
      <c r="BH2332" s="40"/>
      <c r="BI2332" s="40"/>
      <c r="BJ2332" s="40"/>
      <c r="BK2332" s="40"/>
      <c r="BL2332" s="62">
        <v>0</v>
      </c>
      <c r="BM2332" s="275">
        <v>2</v>
      </c>
      <c r="BN2332" s="62">
        <v>0.05</v>
      </c>
    </row>
    <row r="2333" spans="1:68">
      <c r="A2333" s="33" t="str">
        <f>Database_Productkaarten[[#This Row],[Product]]&amp;", "&amp;Database_Productkaarten[[#This Row],[Levensfase]]</f>
        <v>Ophoogzand, Cascade-leden, C1</v>
      </c>
      <c r="B2333" s="33" t="s">
        <v>774</v>
      </c>
      <c r="C2333" t="s">
        <v>40</v>
      </c>
      <c r="D2333" s="33" t="s">
        <v>627</v>
      </c>
      <c r="E2333" s="33" t="s">
        <v>378</v>
      </c>
      <c r="F2333" s="33" t="s">
        <v>83</v>
      </c>
      <c r="L2333" s="33">
        <v>1.6</v>
      </c>
      <c r="M2333" s="269">
        <v>1</v>
      </c>
      <c r="N2333" s="41">
        <f>((1/Database_Productkaarten[[#This Row],[Soortelijk Gewicht '[ton / m3']]])/$H$2631)*(G$2631)</f>
        <v>4.3754784212420766E-2</v>
      </c>
      <c r="O2333" s="33">
        <v>100</v>
      </c>
      <c r="P2333" s="40">
        <f>((1/Database_Productkaarten[[#This Row],[Soortelijk Gewicht '[ton / m3']]])/$H$2631)*(J$2631)</f>
        <v>2.2103958333333332E-7</v>
      </c>
      <c r="Q2333" s="40">
        <f>((1/Database_Productkaarten[[#This Row],[Soortelijk Gewicht '[ton / m3']]])/$H$2631)*(K$2631)</f>
        <v>3.2263142147916667E-3</v>
      </c>
      <c r="R2333" s="40">
        <f>((1/Database_Productkaarten[[#This Row],[Soortelijk Gewicht '[ton / m3']]])/$H$2631)*(L$2631)</f>
        <v>0.47220369043749999</v>
      </c>
      <c r="S2333" s="40">
        <f>((1/Database_Productkaarten[[#This Row],[Soortelijk Gewicht '[ton / m3']]])/$H$2631)*(M$2631)</f>
        <v>8.2237708333333324E-8</v>
      </c>
      <c r="T2333" s="40">
        <f>((1/Database_Productkaarten[[#This Row],[Soortelijk Gewicht '[ton / m3']]])/$H$2631)*(N$2631)</f>
        <v>1.5546990708333334E-4</v>
      </c>
      <c r="U2333" s="40">
        <f>((1/Database_Productkaarten[[#This Row],[Soortelijk Gewicht '[ton / m3']]])/$H$2631)*(O$2631)</f>
        <v>4.4137157271653107E-4</v>
      </c>
      <c r="V2333" s="40">
        <f>((1/Database_Productkaarten[[#This Row],[Soortelijk Gewicht '[ton / m3']]])/$H$2631)*(P$2631)</f>
        <v>1.2062668749999999E-3</v>
      </c>
      <c r="W2333" s="40">
        <f>((1/Database_Productkaarten[[#This Row],[Soortelijk Gewicht '[ton / m3']]])/$H$2631)*(Q$2631)</f>
        <v>0.31842859103124999</v>
      </c>
      <c r="X2333" s="40">
        <f>((1/Database_Productkaarten[[#This Row],[Soortelijk Gewicht '[ton / m3']]])/$H$2631)*(R$2631)</f>
        <v>3.7273966828583328E-9</v>
      </c>
      <c r="Y2333" s="40">
        <f>((1/Database_Productkaarten[[#This Row],[Soortelijk Gewicht '[ton / m3']]])/$H$2631)*(S$2631)</f>
        <v>0.18203933032491099</v>
      </c>
      <c r="Z2333" s="40">
        <f>((1/Database_Productkaarten[[#This Row],[Soortelijk Gewicht '[ton / m3']]])/$H$2631)*(T$2631)</f>
        <v>1.4302775905211417E-3</v>
      </c>
      <c r="AA2333" s="40"/>
      <c r="AB2333" s="40"/>
      <c r="AC2333" s="40"/>
      <c r="AD2333" s="40"/>
      <c r="AE2333" s="40"/>
      <c r="AF2333" s="40"/>
      <c r="AG2333" s="40"/>
      <c r="AH2333" s="40"/>
      <c r="AI2333" s="40"/>
      <c r="AJ2333" s="40"/>
      <c r="AK2333" s="40"/>
      <c r="AL2333" s="40"/>
      <c r="AM2333" s="40"/>
      <c r="AN2333" s="40"/>
      <c r="AO2333" s="40"/>
      <c r="AP2333" s="40"/>
      <c r="AQ2333" s="40"/>
      <c r="AR2333" s="40"/>
      <c r="AS2333" s="40"/>
      <c r="AT2333" s="40"/>
      <c r="AU2333" s="40"/>
      <c r="AV2333" s="281">
        <f>((1/Database_Productkaarten[[#This Row],[Soortelijk Gewicht '[ton / m3']]])/$H$2631)*(AP$2631)</f>
        <v>5.2515620760416659E-2</v>
      </c>
      <c r="AW2333" s="40"/>
      <c r="AX2333" s="40"/>
      <c r="AY2333" s="281">
        <f>((1/Database_Productkaarten[[#This Row],[Soortelijk Gewicht '[ton / m3']]])/$H$2631)*(AS$2631)</f>
        <v>7.2013990570833331</v>
      </c>
      <c r="AZ2333" s="40"/>
      <c r="BA2333" s="40"/>
      <c r="BB2333" s="40"/>
      <c r="BC2333" s="40">
        <f>((1/Database_Productkaarten[[#This Row],[Soortelijk Gewicht '[ton / m3']]])/$H$2631)*(AW$2631)</f>
        <v>5.9776108671881242E-6</v>
      </c>
      <c r="BD2333" s="40">
        <f>((1/Database_Productkaarten[[#This Row],[Soortelijk Gewicht '[ton / m3']]])/$H$2631)*(AX$2631)</f>
        <v>1.1530331124100664E-4</v>
      </c>
      <c r="BE2333" s="40">
        <f>((1/Database_Productkaarten[[#This Row],[Soortelijk Gewicht '[ton / m3']]])/$H$2631)*(AY$2631)</f>
        <v>3.2799006821667943E-10</v>
      </c>
      <c r="BF2333" s="40">
        <f>((1/Database_Productkaarten[[#This Row],[Soortelijk Gewicht '[ton / m3']]])/$H$2631)*(AZ$2631)</f>
        <v>0</v>
      </c>
      <c r="BG2333" s="40"/>
      <c r="BH2333" s="40"/>
      <c r="BI2333" s="40"/>
      <c r="BJ2333" s="40"/>
      <c r="BK2333" s="40"/>
      <c r="BL2333" s="62">
        <v>0</v>
      </c>
      <c r="BM2333" s="275">
        <v>2</v>
      </c>
      <c r="BN2333" s="62">
        <v>0.05</v>
      </c>
    </row>
    <row r="2334" spans="1:68">
      <c r="A2334" s="33" t="str">
        <f>Database_Productkaarten[[#This Row],[Product]]&amp;", "&amp;Database_Productkaarten[[#This Row],[Levensfase]]</f>
        <v>Ophoogzand, Cascade-leden, C2</v>
      </c>
      <c r="B2334" s="33" t="s">
        <v>774</v>
      </c>
      <c r="C2334" t="s">
        <v>40</v>
      </c>
      <c r="D2334" s="33" t="s">
        <v>627</v>
      </c>
      <c r="E2334" s="33" t="s">
        <v>378</v>
      </c>
      <c r="F2334" s="33" t="s">
        <v>84</v>
      </c>
      <c r="L2334" s="33">
        <v>1.6</v>
      </c>
      <c r="M2334" s="269">
        <v>1</v>
      </c>
      <c r="N2334" s="41">
        <f>G$2552*50</f>
        <v>0.42992438500000002</v>
      </c>
      <c r="O2334" s="33">
        <v>100</v>
      </c>
      <c r="P2334" s="40">
        <f t="shared" ref="P2334:Z2334" si="888">J$2552*50</f>
        <v>7.7025545000000006E-5</v>
      </c>
      <c r="Q2334" s="40">
        <f t="shared" si="888"/>
        <v>3.3373646E-2</v>
      </c>
      <c r="R2334" s="40">
        <f t="shared" si="888"/>
        <v>4.4832367999999994</v>
      </c>
      <c r="S2334" s="40">
        <f t="shared" si="888"/>
        <v>8.4932390000000005E-7</v>
      </c>
      <c r="T2334" s="40">
        <f t="shared" si="888"/>
        <v>2.8019094000000001E-3</v>
      </c>
      <c r="U2334" s="40">
        <f t="shared" si="888"/>
        <v>1.65595615E-2</v>
      </c>
      <c r="V2334" s="40">
        <f t="shared" si="888"/>
        <v>3.2106001500000004E-3</v>
      </c>
      <c r="W2334" s="40">
        <f t="shared" si="888"/>
        <v>0.96850040000000004</v>
      </c>
      <c r="X2334" s="40">
        <f t="shared" si="888"/>
        <v>4.0722445500000003E-2</v>
      </c>
      <c r="Y2334" s="40">
        <f t="shared" si="888"/>
        <v>109.34218</v>
      </c>
      <c r="Z2334" s="40">
        <f t="shared" si="888"/>
        <v>5.4427E-3</v>
      </c>
      <c r="AA2334" s="40"/>
      <c r="AB2334" s="40"/>
      <c r="AC2334" s="40"/>
      <c r="AD2334" s="40"/>
      <c r="AE2334" s="40"/>
      <c r="AF2334" s="40"/>
      <c r="AG2334" s="40"/>
      <c r="AH2334" s="40"/>
      <c r="AI2334" s="40"/>
      <c r="AJ2334" s="40"/>
      <c r="AK2334" s="40"/>
      <c r="AL2334" s="40"/>
      <c r="AM2334" s="40"/>
      <c r="AN2334" s="40"/>
      <c r="AO2334" s="40"/>
      <c r="AP2334" s="40"/>
      <c r="AQ2334" s="40"/>
      <c r="AR2334" s="40"/>
      <c r="AS2334" s="40"/>
      <c r="AT2334" s="40"/>
      <c r="AU2334" s="40"/>
      <c r="AV2334" s="281">
        <f>AP$2552*50</f>
        <v>0.71124284999999998</v>
      </c>
      <c r="AW2334" s="40"/>
      <c r="AX2334" s="40"/>
      <c r="AY2334" s="281">
        <f>AS$2552*50</f>
        <v>74.431809999999999</v>
      </c>
      <c r="AZ2334" s="40"/>
      <c r="BA2334" s="40"/>
      <c r="BB2334" s="40"/>
      <c r="BC2334" s="40">
        <f>AW$2552*50</f>
        <v>7.1161370000000007E-3</v>
      </c>
      <c r="BD2334" s="40">
        <f>AX$2552*50</f>
        <v>1.7396450000000001E-4</v>
      </c>
      <c r="BE2334" s="40">
        <f>AY$2552*50</f>
        <v>6.1519510000000004</v>
      </c>
      <c r="BF2334" s="40">
        <f>AZ$2552*50</f>
        <v>4.7809346000000002E-4</v>
      </c>
      <c r="BG2334" s="40"/>
      <c r="BH2334" s="40"/>
      <c r="BI2334" s="40"/>
      <c r="BJ2334" s="40"/>
      <c r="BK2334" s="40"/>
      <c r="BL2334" s="62">
        <v>0</v>
      </c>
      <c r="BM2334" s="275">
        <v>2</v>
      </c>
      <c r="BN2334" s="62">
        <v>0.05</v>
      </c>
    </row>
    <row r="2335" spans="1:68">
      <c r="A2335" s="33" t="str">
        <f>Database_Productkaarten[[#This Row],[Product]]&amp;", "&amp;Database_Productkaarten[[#This Row],[Levensfase]]</f>
        <v>Ophoogzand, Cascade-leden, C3</v>
      </c>
      <c r="B2335" s="33" t="s">
        <v>774</v>
      </c>
      <c r="C2335" t="s">
        <v>40</v>
      </c>
      <c r="D2335" s="33" t="s">
        <v>627</v>
      </c>
      <c r="E2335" s="33" t="s">
        <v>378</v>
      </c>
      <c r="F2335" s="33" t="s">
        <v>85</v>
      </c>
      <c r="L2335" s="33">
        <v>1.6</v>
      </c>
      <c r="M2335" s="269">
        <v>1</v>
      </c>
      <c r="N2335" s="41">
        <v>0</v>
      </c>
      <c r="O2335" s="33">
        <v>100</v>
      </c>
      <c r="P2335" s="40"/>
      <c r="Q2335" s="40"/>
      <c r="R2335" s="40"/>
      <c r="S2335" s="40"/>
      <c r="T2335" s="40"/>
      <c r="U2335" s="40"/>
      <c r="V2335" s="40"/>
      <c r="W2335" s="40"/>
      <c r="X2335" s="40"/>
      <c r="Y2335" s="40"/>
      <c r="Z2335" s="40"/>
      <c r="AA2335" s="40"/>
      <c r="AB2335" s="40"/>
      <c r="AC2335" s="40"/>
      <c r="AD2335" s="40"/>
      <c r="AE2335" s="40"/>
      <c r="AF2335" s="40"/>
      <c r="AG2335" s="40"/>
      <c r="AH2335" s="40"/>
      <c r="AI2335" s="40"/>
      <c r="AJ2335" s="40"/>
      <c r="AK2335" s="40"/>
      <c r="AL2335" s="40"/>
      <c r="AM2335" s="40"/>
      <c r="AN2335" s="40"/>
      <c r="AO2335" s="40"/>
      <c r="AP2335" s="40"/>
      <c r="AQ2335" s="40"/>
      <c r="AR2335" s="40"/>
      <c r="AS2335" s="40"/>
      <c r="AT2335" s="40"/>
      <c r="AU2335" s="40"/>
      <c r="AV2335" s="281"/>
      <c r="AW2335" s="40"/>
      <c r="AX2335" s="40"/>
      <c r="AY2335" s="281"/>
      <c r="AZ2335" s="40"/>
      <c r="BA2335" s="40"/>
      <c r="BB2335" s="40"/>
      <c r="BC2335" s="40"/>
      <c r="BD2335" s="40"/>
      <c r="BE2335" s="40"/>
      <c r="BF2335" s="40"/>
      <c r="BG2335" s="40"/>
      <c r="BH2335" s="40"/>
      <c r="BI2335" s="40"/>
      <c r="BJ2335" s="40"/>
      <c r="BK2335" s="40"/>
      <c r="BL2335" s="62">
        <v>0</v>
      </c>
      <c r="BM2335" s="275">
        <v>2</v>
      </c>
      <c r="BN2335" s="62">
        <v>0.05</v>
      </c>
    </row>
    <row r="2336" spans="1:68">
      <c r="A2336" s="33" t="str">
        <f>Database_Productkaarten[[#This Row],[Product]]&amp;", "&amp;Database_Productkaarten[[#This Row],[Levensfase]]</f>
        <v>Ophoogzand, Cascade-leden, C4</v>
      </c>
      <c r="B2336" s="33" t="s">
        <v>774</v>
      </c>
      <c r="C2336" t="s">
        <v>40</v>
      </c>
      <c r="D2336" s="33" t="s">
        <v>627</v>
      </c>
      <c r="E2336" s="33" t="s">
        <v>378</v>
      </c>
      <c r="F2336" s="33" t="s">
        <v>86</v>
      </c>
      <c r="L2336" s="33">
        <v>1.6</v>
      </c>
      <c r="M2336" s="269">
        <v>1</v>
      </c>
      <c r="N2336" s="41">
        <v>0</v>
      </c>
      <c r="O2336" s="33">
        <v>100</v>
      </c>
      <c r="P2336" s="40"/>
      <c r="Q2336" s="40"/>
      <c r="R2336" s="40"/>
      <c r="S2336" s="40"/>
      <c r="T2336" s="40"/>
      <c r="U2336" s="40"/>
      <c r="V2336" s="40"/>
      <c r="W2336" s="40"/>
      <c r="X2336" s="40"/>
      <c r="Y2336" s="40"/>
      <c r="Z2336" s="40"/>
      <c r="AA2336" s="40"/>
      <c r="AB2336" s="40"/>
      <c r="AC2336" s="40"/>
      <c r="AD2336" s="40"/>
      <c r="AE2336" s="40"/>
      <c r="AF2336" s="40"/>
      <c r="AG2336" s="40"/>
      <c r="AH2336" s="40"/>
      <c r="AI2336" s="40"/>
      <c r="AJ2336" s="40"/>
      <c r="AK2336" s="40"/>
      <c r="AL2336" s="40"/>
      <c r="AM2336" s="40"/>
      <c r="AN2336" s="40"/>
      <c r="AO2336" s="40"/>
      <c r="AP2336" s="40"/>
      <c r="AQ2336" s="40"/>
      <c r="AR2336" s="40"/>
      <c r="AS2336" s="40"/>
      <c r="AT2336" s="40"/>
      <c r="AU2336" s="40"/>
      <c r="AV2336" s="281"/>
      <c r="AW2336" s="40"/>
      <c r="AX2336" s="40"/>
      <c r="AY2336" s="281"/>
      <c r="AZ2336" s="40"/>
      <c r="BA2336" s="40"/>
      <c r="BB2336" s="40"/>
      <c r="BC2336" s="40"/>
      <c r="BD2336" s="40"/>
      <c r="BE2336" s="40"/>
      <c r="BF2336" s="40"/>
      <c r="BG2336" s="40"/>
      <c r="BH2336" s="40"/>
      <c r="BI2336" s="40"/>
      <c r="BJ2336" s="40"/>
      <c r="BK2336" s="40"/>
      <c r="BL2336" s="62">
        <v>0</v>
      </c>
      <c r="BM2336" s="275">
        <v>2</v>
      </c>
      <c r="BN2336" s="62">
        <v>0.05</v>
      </c>
    </row>
    <row r="2337" spans="1:68">
      <c r="A2337" s="33" t="str">
        <f>Database_Productkaarten[[#This Row],[Product]]&amp;", "&amp;Database_Productkaarten[[#This Row],[Levensfase]]</f>
        <v>Ophoogzand, Cascade-leden, D</v>
      </c>
      <c r="B2337" s="33" t="str">
        <f>B2338</f>
        <v>Ophoogzand, Cascade-leden</v>
      </c>
      <c r="C2337" t="s">
        <v>40</v>
      </c>
      <c r="D2337" s="33" t="str">
        <f>D2338</f>
        <v>Zand</v>
      </c>
      <c r="E2337" s="33" t="str">
        <f>E2338</f>
        <v>Ton</v>
      </c>
      <c r="F2337" s="33" t="s">
        <v>89</v>
      </c>
      <c r="G2337" s="33">
        <f t="shared" ref="G2337:M2337" si="889">G2338</f>
        <v>0</v>
      </c>
      <c r="H2337" s="33">
        <f t="shared" si="889"/>
        <v>0</v>
      </c>
      <c r="I2337" s="33">
        <f t="shared" si="889"/>
        <v>0</v>
      </c>
      <c r="J2337" s="33">
        <f t="shared" si="889"/>
        <v>0</v>
      </c>
      <c r="K2337" s="33">
        <f t="shared" si="889"/>
        <v>0</v>
      </c>
      <c r="L2337" s="33">
        <f t="shared" si="889"/>
        <v>1.6</v>
      </c>
      <c r="M2337" s="45">
        <f t="shared" si="889"/>
        <v>1</v>
      </c>
      <c r="N2337" s="41">
        <f>SUM(N2338:N2339)</f>
        <v>0</v>
      </c>
      <c r="O2337" s="33">
        <f>O2338</f>
        <v>100</v>
      </c>
      <c r="P2337" s="40">
        <f>SUM(P2338:P2339)</f>
        <v>0</v>
      </c>
      <c r="Q2337" s="40">
        <f>SUM(Q2338:Q2339)</f>
        <v>0</v>
      </c>
      <c r="R2337" s="40">
        <f>SUM(R2338:R2339)</f>
        <v>0</v>
      </c>
      <c r="S2337" s="40">
        <f t="shared" ref="S2337:BK2337" si="890">SUM(S2338:S2339)</f>
        <v>0</v>
      </c>
      <c r="T2337" s="40">
        <f t="shared" si="890"/>
        <v>0</v>
      </c>
      <c r="U2337" s="40">
        <f t="shared" si="890"/>
        <v>0</v>
      </c>
      <c r="V2337" s="40">
        <f t="shared" si="890"/>
        <v>0</v>
      </c>
      <c r="W2337" s="40">
        <f t="shared" si="890"/>
        <v>0</v>
      </c>
      <c r="X2337" s="40">
        <f t="shared" si="890"/>
        <v>0</v>
      </c>
      <c r="Y2337" s="40">
        <f t="shared" si="890"/>
        <v>0</v>
      </c>
      <c r="Z2337" s="40">
        <f t="shared" si="890"/>
        <v>0</v>
      </c>
      <c r="AA2337" s="40">
        <f t="shared" si="890"/>
        <v>0</v>
      </c>
      <c r="AB2337" s="40">
        <f t="shared" si="890"/>
        <v>0</v>
      </c>
      <c r="AC2337" s="40">
        <f t="shared" si="890"/>
        <v>0</v>
      </c>
      <c r="AD2337" s="40">
        <f t="shared" si="890"/>
        <v>0</v>
      </c>
      <c r="AE2337" s="40">
        <f t="shared" si="890"/>
        <v>0</v>
      </c>
      <c r="AF2337" s="40">
        <f t="shared" si="890"/>
        <v>0</v>
      </c>
      <c r="AG2337" s="40">
        <f t="shared" si="890"/>
        <v>0</v>
      </c>
      <c r="AH2337" s="40">
        <f t="shared" si="890"/>
        <v>0</v>
      </c>
      <c r="AI2337" s="40">
        <f t="shared" si="890"/>
        <v>0</v>
      </c>
      <c r="AJ2337" s="40">
        <f t="shared" si="890"/>
        <v>0</v>
      </c>
      <c r="AK2337" s="40">
        <f t="shared" si="890"/>
        <v>0</v>
      </c>
      <c r="AL2337" s="40">
        <f t="shared" si="890"/>
        <v>0</v>
      </c>
      <c r="AM2337" s="40">
        <f t="shared" si="890"/>
        <v>0</v>
      </c>
      <c r="AN2337" s="40">
        <f t="shared" si="890"/>
        <v>0</v>
      </c>
      <c r="AO2337" s="40">
        <f t="shared" si="890"/>
        <v>0</v>
      </c>
      <c r="AP2337" s="40">
        <f t="shared" si="890"/>
        <v>0</v>
      </c>
      <c r="AQ2337" s="40">
        <f t="shared" si="890"/>
        <v>0</v>
      </c>
      <c r="AR2337" s="40">
        <f t="shared" si="890"/>
        <v>0</v>
      </c>
      <c r="AS2337" s="40">
        <f t="shared" si="890"/>
        <v>0</v>
      </c>
      <c r="AT2337" s="40">
        <f t="shared" si="890"/>
        <v>0</v>
      </c>
      <c r="AU2337" s="40">
        <f t="shared" si="890"/>
        <v>0</v>
      </c>
      <c r="AV2337" s="40">
        <f t="shared" si="890"/>
        <v>0</v>
      </c>
      <c r="AW2337" s="40">
        <f t="shared" si="890"/>
        <v>0</v>
      </c>
      <c r="AX2337" s="40">
        <f t="shared" si="890"/>
        <v>0</v>
      </c>
      <c r="AY2337" s="40">
        <f t="shared" si="890"/>
        <v>0</v>
      </c>
      <c r="AZ2337" s="40">
        <f t="shared" si="890"/>
        <v>0</v>
      </c>
      <c r="BA2337" s="40">
        <f t="shared" si="890"/>
        <v>0</v>
      </c>
      <c r="BB2337" s="40">
        <f t="shared" si="890"/>
        <v>0</v>
      </c>
      <c r="BC2337" s="40">
        <f t="shared" si="890"/>
        <v>0</v>
      </c>
      <c r="BD2337" s="40">
        <f t="shared" si="890"/>
        <v>0</v>
      </c>
      <c r="BE2337" s="40">
        <f t="shared" si="890"/>
        <v>0</v>
      </c>
      <c r="BF2337" s="40">
        <f t="shared" si="890"/>
        <v>0</v>
      </c>
      <c r="BG2337" s="40">
        <f t="shared" si="890"/>
        <v>0</v>
      </c>
      <c r="BH2337" s="40">
        <f t="shared" si="890"/>
        <v>0</v>
      </c>
      <c r="BI2337" s="40">
        <f t="shared" si="890"/>
        <v>0</v>
      </c>
      <c r="BJ2337" s="40">
        <f t="shared" si="890"/>
        <v>0</v>
      </c>
      <c r="BK2337" s="40">
        <f t="shared" si="890"/>
        <v>0</v>
      </c>
      <c r="BL2337" s="62">
        <f>BL2338</f>
        <v>0</v>
      </c>
      <c r="BM2337" s="275">
        <f>BM2338</f>
        <v>2</v>
      </c>
      <c r="BN2337" s="62">
        <v>0.05</v>
      </c>
      <c r="BO2337" s="33">
        <f>BO2338</f>
        <v>0</v>
      </c>
    </row>
    <row r="2338" spans="1:68">
      <c r="A2338" s="33" t="str">
        <f>Database_Productkaarten[[#This Row],[Product]]&amp;", "&amp;Database_Productkaarten[[#This Row],[Levensfase]]</f>
        <v>Ophoogzand, Cascade-leden, D1</v>
      </c>
      <c r="B2338" s="33" t="s">
        <v>774</v>
      </c>
      <c r="C2338" t="s">
        <v>40</v>
      </c>
      <c r="D2338" s="33" t="s">
        <v>627</v>
      </c>
      <c r="E2338" s="33" t="s">
        <v>378</v>
      </c>
      <c r="F2338" s="33" t="s">
        <v>87</v>
      </c>
      <c r="L2338" s="33">
        <v>1.6</v>
      </c>
      <c r="M2338" s="269">
        <v>1</v>
      </c>
      <c r="N2338" s="41">
        <v>0</v>
      </c>
      <c r="O2338" s="33">
        <v>100</v>
      </c>
      <c r="P2338" s="40"/>
      <c r="Q2338" s="40"/>
      <c r="R2338" s="40"/>
      <c r="S2338" s="40"/>
      <c r="T2338" s="40"/>
      <c r="U2338" s="40"/>
      <c r="V2338" s="40"/>
      <c r="W2338" s="40"/>
      <c r="X2338" s="40"/>
      <c r="Y2338" s="40"/>
      <c r="Z2338" s="40"/>
      <c r="AA2338" s="40"/>
      <c r="AB2338" s="40"/>
      <c r="AC2338" s="40"/>
      <c r="AD2338" s="40"/>
      <c r="AE2338" s="40"/>
      <c r="AF2338" s="40"/>
      <c r="AG2338" s="40"/>
      <c r="AH2338" s="40"/>
      <c r="AI2338" s="40"/>
      <c r="AJ2338" s="40"/>
      <c r="AK2338" s="40"/>
      <c r="AL2338" s="40"/>
      <c r="AM2338" s="40"/>
      <c r="AN2338" s="40"/>
      <c r="AO2338" s="40"/>
      <c r="AP2338" s="40"/>
      <c r="AQ2338" s="40"/>
      <c r="AR2338" s="40"/>
      <c r="AS2338" s="40"/>
      <c r="AT2338" s="40"/>
      <c r="AU2338" s="40"/>
      <c r="AV2338" s="281"/>
      <c r="AW2338" s="40"/>
      <c r="AX2338" s="40"/>
      <c r="AY2338" s="281"/>
      <c r="AZ2338" s="40"/>
      <c r="BA2338" s="40"/>
      <c r="BB2338" s="40"/>
      <c r="BC2338" s="40"/>
      <c r="BD2338" s="40"/>
      <c r="BE2338" s="40"/>
      <c r="BF2338" s="40"/>
      <c r="BG2338" s="40"/>
      <c r="BH2338" s="40"/>
      <c r="BI2338" s="40"/>
      <c r="BJ2338" s="40"/>
      <c r="BK2338" s="40"/>
      <c r="BL2338" s="62">
        <v>0</v>
      </c>
      <c r="BM2338" s="275">
        <v>2</v>
      </c>
      <c r="BN2338" s="62">
        <v>0.05</v>
      </c>
    </row>
    <row r="2339" spans="1:68">
      <c r="A2339" s="33" t="str">
        <f>Database_Productkaarten[[#This Row],[Product]]&amp;", "&amp;Database_Productkaarten[[#This Row],[Levensfase]]</f>
        <v>Ophoogzand, Cascade-leden, D2</v>
      </c>
      <c r="B2339" s="33" t="s">
        <v>774</v>
      </c>
      <c r="C2339" t="s">
        <v>40</v>
      </c>
      <c r="D2339" s="33" t="s">
        <v>627</v>
      </c>
      <c r="E2339" s="33" t="s">
        <v>378</v>
      </c>
      <c r="F2339" s="33" t="s">
        <v>88</v>
      </c>
      <c r="L2339" s="33">
        <v>1.6</v>
      </c>
      <c r="M2339" s="269">
        <v>1</v>
      </c>
      <c r="N2339" s="41">
        <v>0</v>
      </c>
      <c r="O2339" s="33">
        <v>100</v>
      </c>
      <c r="P2339" s="40"/>
      <c r="Q2339" s="40"/>
      <c r="R2339" s="40"/>
      <c r="S2339" s="40"/>
      <c r="T2339" s="40"/>
      <c r="U2339" s="40"/>
      <c r="V2339" s="40"/>
      <c r="W2339" s="40"/>
      <c r="X2339" s="40"/>
      <c r="Y2339" s="40"/>
      <c r="Z2339" s="40"/>
      <c r="AA2339" s="40"/>
      <c r="AB2339" s="40"/>
      <c r="AC2339" s="40"/>
      <c r="AD2339" s="40"/>
      <c r="AE2339" s="40"/>
      <c r="AF2339" s="40"/>
      <c r="AG2339" s="40"/>
      <c r="AH2339" s="40"/>
      <c r="AI2339" s="40"/>
      <c r="AJ2339" s="40"/>
      <c r="AK2339" s="40"/>
      <c r="AL2339" s="40"/>
      <c r="AM2339" s="40"/>
      <c r="AN2339" s="40"/>
      <c r="AO2339" s="40"/>
      <c r="AP2339" s="40"/>
      <c r="AQ2339" s="40"/>
      <c r="AR2339" s="40"/>
      <c r="AS2339" s="40"/>
      <c r="AT2339" s="40"/>
      <c r="AU2339" s="40"/>
      <c r="AV2339" s="281"/>
      <c r="AW2339" s="40"/>
      <c r="AX2339" s="40"/>
      <c r="AY2339" s="281"/>
      <c r="AZ2339" s="40"/>
      <c r="BA2339" s="40"/>
      <c r="BB2339" s="40"/>
      <c r="BC2339" s="40"/>
      <c r="BD2339" s="40"/>
      <c r="BE2339" s="40"/>
      <c r="BF2339" s="40"/>
      <c r="BG2339" s="40"/>
      <c r="BH2339" s="40"/>
      <c r="BI2339" s="40"/>
      <c r="BJ2339" s="40"/>
      <c r="BK2339" s="40"/>
      <c r="BL2339" s="62">
        <v>0</v>
      </c>
      <c r="BM2339" s="275">
        <v>2</v>
      </c>
      <c r="BN2339" s="62">
        <v>0.05</v>
      </c>
    </row>
    <row r="2340" spans="1:68">
      <c r="A2340" s="33" t="str">
        <f>Database_Productkaarten[[#This Row],[Product]]&amp;", "&amp;Database_Productkaarten[[#This Row],[Levensfase]]</f>
        <v>Industriezand, Cascade-leden, Totaal</v>
      </c>
      <c r="B2340" s="33" t="s">
        <v>775</v>
      </c>
      <c r="C2340" t="s">
        <v>40</v>
      </c>
      <c r="D2340" s="33" t="s">
        <v>627</v>
      </c>
      <c r="E2340" s="33" t="s">
        <v>378</v>
      </c>
      <c r="F2340" s="33" t="s">
        <v>90</v>
      </c>
      <c r="L2340" s="33">
        <v>1.6</v>
      </c>
      <c r="M2340" s="269">
        <v>1</v>
      </c>
      <c r="N2340" s="41">
        <f>SUM(N2341:N2354)</f>
        <v>1.5516383384248418</v>
      </c>
      <c r="O2340" s="33">
        <v>100</v>
      </c>
      <c r="P2340" s="40">
        <f t="shared" ref="P2340:Z2340" si="891">SUM(P2341:P2354)</f>
        <v>1.5449316916666669E-4</v>
      </c>
      <c r="Q2340" s="40">
        <f t="shared" si="891"/>
        <v>7.3199920429583329E-2</v>
      </c>
      <c r="R2340" s="40">
        <f t="shared" si="891"/>
        <v>15.019080980875</v>
      </c>
      <c r="S2340" s="40">
        <f t="shared" si="891"/>
        <v>1.8631232166666665E-6</v>
      </c>
      <c r="T2340" s="40">
        <f t="shared" si="891"/>
        <v>5.9147586141666672E-3</v>
      </c>
      <c r="U2340" s="40">
        <f t="shared" si="891"/>
        <v>3.400186614543306E-2</v>
      </c>
      <c r="V2340" s="40">
        <f t="shared" si="891"/>
        <v>8.83373405E-3</v>
      </c>
      <c r="W2340" s="40">
        <f t="shared" si="891"/>
        <v>2.5738579820625</v>
      </c>
      <c r="X2340" s="40">
        <f t="shared" si="891"/>
        <v>8.1444898454793371E-2</v>
      </c>
      <c r="Y2340" s="40">
        <f t="shared" si="891"/>
        <v>219.04843866064982</v>
      </c>
      <c r="Z2340" s="40">
        <f t="shared" si="891"/>
        <v>1.3745955181042283E-2</v>
      </c>
      <c r="AA2340" s="40"/>
      <c r="AB2340" s="40"/>
      <c r="AC2340" s="40"/>
      <c r="AD2340" s="40"/>
      <c r="AE2340" s="40"/>
      <c r="AF2340" s="40"/>
      <c r="AG2340" s="40"/>
      <c r="AH2340" s="40"/>
      <c r="AI2340" s="40"/>
      <c r="AJ2340" s="40"/>
      <c r="AK2340" s="40"/>
      <c r="AL2340" s="40"/>
      <c r="AM2340" s="40"/>
      <c r="AN2340" s="40"/>
      <c r="AO2340" s="40"/>
      <c r="AP2340" s="40"/>
      <c r="AQ2340" s="40"/>
      <c r="AR2340" s="40"/>
      <c r="AS2340" s="40"/>
      <c r="AT2340" s="40"/>
      <c r="AU2340" s="40"/>
      <c r="AV2340" s="281">
        <f>SUM(AV2341:AV2354)</f>
        <v>1.5275169415208332</v>
      </c>
      <c r="AW2340" s="40"/>
      <c r="AX2340" s="40"/>
      <c r="AY2340" s="281">
        <f>SUM(AY2341:AY2354)</f>
        <v>163.26641811416667</v>
      </c>
      <c r="AZ2340" s="40"/>
      <c r="BA2340" s="40"/>
      <c r="BB2340" s="40"/>
      <c r="BC2340" s="40">
        <f>SUM(BC2341:BC2354)</f>
        <v>1.4244229221734378E-2</v>
      </c>
      <c r="BD2340" s="40">
        <f>SUM(BD2341:BD2354)</f>
        <v>5.7853562248201334E-4</v>
      </c>
      <c r="BE2340" s="40">
        <f>SUM(BE2341:BE2354)</f>
        <v>12.303902000655981</v>
      </c>
      <c r="BF2340" s="40">
        <f>SUM(BF2341:BF2354)</f>
        <v>9.5618692000000005E-4</v>
      </c>
      <c r="BG2340" s="40"/>
      <c r="BH2340" s="40"/>
      <c r="BI2340" s="40"/>
      <c r="BJ2340" s="40"/>
      <c r="BK2340" s="40"/>
      <c r="BL2340" s="62">
        <v>0</v>
      </c>
      <c r="BM2340" s="275">
        <v>2</v>
      </c>
      <c r="BN2340" s="62">
        <v>0.05</v>
      </c>
    </row>
    <row r="2341" spans="1:68">
      <c r="A2341" s="33" t="str">
        <f>Database_Productkaarten[[#This Row],[Product]]&amp;", "&amp;Database_Productkaarten[[#This Row],[Levensfase]]</f>
        <v>Industriezand, Cascade-leden, A1</v>
      </c>
      <c r="B2341" s="33" t="s">
        <v>775</v>
      </c>
      <c r="C2341" t="s">
        <v>40</v>
      </c>
      <c r="D2341" s="33" t="s">
        <v>627</v>
      </c>
      <c r="E2341" s="33" t="s">
        <v>378</v>
      </c>
      <c r="F2341" s="33" t="s">
        <v>74</v>
      </c>
      <c r="L2341" s="33">
        <v>1.6</v>
      </c>
      <c r="M2341" s="269">
        <v>1</v>
      </c>
      <c r="N2341" s="41">
        <v>0.13700000000000001</v>
      </c>
      <c r="O2341" s="33">
        <v>100</v>
      </c>
      <c r="P2341" s="40"/>
      <c r="Q2341" s="40"/>
      <c r="R2341" s="40">
        <v>1.03</v>
      </c>
      <c r="S2341" s="40"/>
      <c r="T2341" s="40"/>
      <c r="U2341" s="40"/>
      <c r="V2341" s="40"/>
      <c r="W2341" s="40"/>
      <c r="X2341" s="40"/>
      <c r="Y2341" s="40"/>
      <c r="Z2341" s="40"/>
      <c r="AA2341" s="40"/>
      <c r="AB2341" s="40"/>
      <c r="AC2341" s="40"/>
      <c r="AD2341" s="40"/>
      <c r="AE2341" s="40"/>
      <c r="AF2341" s="40"/>
      <c r="AG2341" s="40"/>
      <c r="AH2341" s="40"/>
      <c r="AI2341" s="40"/>
      <c r="AJ2341" s="40"/>
      <c r="AK2341" s="40"/>
      <c r="AL2341" s="40"/>
      <c r="AM2341" s="40"/>
      <c r="AN2341" s="40"/>
      <c r="AO2341" s="40"/>
      <c r="AP2341" s="40"/>
      <c r="AQ2341" s="40"/>
      <c r="AR2341" s="40"/>
      <c r="AS2341" s="40"/>
      <c r="AT2341" s="40"/>
      <c r="AU2341" s="40"/>
      <c r="AV2341" s="281"/>
      <c r="AW2341" s="40"/>
      <c r="AX2341" s="40"/>
      <c r="AY2341" s="281"/>
      <c r="AZ2341" s="40"/>
      <c r="BA2341" s="40"/>
      <c r="BB2341" s="40"/>
      <c r="BC2341" s="40"/>
      <c r="BD2341" s="40"/>
      <c r="BE2341" s="40"/>
      <c r="BF2341" s="40"/>
      <c r="BG2341" s="40"/>
      <c r="BH2341" s="40"/>
      <c r="BI2341" s="40"/>
      <c r="BJ2341" s="40"/>
      <c r="BK2341" s="40"/>
      <c r="BL2341" s="62">
        <v>0</v>
      </c>
      <c r="BM2341" s="275">
        <v>2</v>
      </c>
      <c r="BN2341" s="62">
        <v>0.05</v>
      </c>
    </row>
    <row r="2342" spans="1:68">
      <c r="A2342" s="33" t="str">
        <f>Database_Productkaarten[[#This Row],[Product]]&amp;", "&amp;Database_Productkaarten[[#This Row],[Levensfase]]</f>
        <v>Industriezand, Cascade-leden, A2</v>
      </c>
      <c r="B2342" s="33" t="s">
        <v>775</v>
      </c>
      <c r="C2342" t="s">
        <v>40</v>
      </c>
      <c r="D2342" s="33" t="s">
        <v>627</v>
      </c>
      <c r="E2342" s="33" t="s">
        <v>378</v>
      </c>
      <c r="F2342" s="33" t="s">
        <v>75</v>
      </c>
      <c r="L2342" s="33">
        <v>1.6</v>
      </c>
      <c r="M2342" s="269">
        <v>1</v>
      </c>
      <c r="N2342" s="41">
        <v>6.1399999999999996E-3</v>
      </c>
      <c r="O2342" s="33">
        <v>100</v>
      </c>
      <c r="P2342" s="40"/>
      <c r="Q2342" s="40"/>
      <c r="R2342" s="40">
        <v>5.4100000000000002E-2</v>
      </c>
      <c r="S2342" s="40"/>
      <c r="T2342" s="40"/>
      <c r="U2342" s="40"/>
      <c r="V2342" s="40"/>
      <c r="W2342" s="40"/>
      <c r="X2342" s="40"/>
      <c r="Y2342" s="40"/>
      <c r="Z2342" s="40"/>
      <c r="AA2342" s="40"/>
      <c r="AB2342" s="40"/>
      <c r="AC2342" s="40"/>
      <c r="AD2342" s="40"/>
      <c r="AE2342" s="40"/>
      <c r="AF2342" s="40"/>
      <c r="AG2342" s="40"/>
      <c r="AH2342" s="40"/>
      <c r="AI2342" s="40"/>
      <c r="AJ2342" s="40"/>
      <c r="AK2342" s="40"/>
      <c r="AL2342" s="40"/>
      <c r="AM2342" s="40"/>
      <c r="AN2342" s="40"/>
      <c r="AO2342" s="40"/>
      <c r="AP2342" s="40"/>
      <c r="AQ2342" s="40"/>
      <c r="AR2342" s="40"/>
      <c r="AS2342" s="40"/>
      <c r="AT2342" s="40"/>
      <c r="AU2342" s="40"/>
      <c r="AV2342" s="281"/>
      <c r="AW2342" s="40"/>
      <c r="AX2342" s="40"/>
      <c r="AY2342" s="281"/>
      <c r="AZ2342" s="40"/>
      <c r="BA2342" s="40"/>
      <c r="BB2342" s="40"/>
      <c r="BC2342" s="40"/>
      <c r="BD2342" s="40"/>
      <c r="BE2342" s="40"/>
      <c r="BF2342" s="40"/>
      <c r="BG2342" s="40"/>
      <c r="BH2342" s="40"/>
      <c r="BI2342" s="40"/>
      <c r="BJ2342" s="40"/>
      <c r="BK2342" s="40"/>
      <c r="BL2342" s="62">
        <v>0</v>
      </c>
      <c r="BM2342" s="275">
        <v>2</v>
      </c>
      <c r="BN2342" s="62">
        <v>0.05</v>
      </c>
    </row>
    <row r="2343" spans="1:68">
      <c r="A2343" s="33" t="str">
        <f>Database_Productkaarten[[#This Row],[Product]]&amp;", "&amp;Database_Productkaarten[[#This Row],[Levensfase]]</f>
        <v>Industriezand, Cascade-leden, A3</v>
      </c>
      <c r="B2343" s="33" t="s">
        <v>775</v>
      </c>
      <c r="C2343" t="s">
        <v>40</v>
      </c>
      <c r="D2343" s="33" t="s">
        <v>627</v>
      </c>
      <c r="E2343" s="33" t="s">
        <v>378</v>
      </c>
      <c r="F2343" s="33" t="s">
        <v>76</v>
      </c>
      <c r="L2343" s="33">
        <v>1.6</v>
      </c>
      <c r="M2343" s="269">
        <v>1</v>
      </c>
      <c r="N2343" s="41">
        <v>0.159</v>
      </c>
      <c r="O2343" s="33">
        <v>100</v>
      </c>
      <c r="P2343" s="40"/>
      <c r="Q2343" s="40"/>
      <c r="R2343" s="40">
        <v>1.47</v>
      </c>
      <c r="S2343" s="40"/>
      <c r="T2343" s="40"/>
      <c r="U2343" s="40"/>
      <c r="V2343" s="40"/>
      <c r="W2343" s="40"/>
      <c r="X2343" s="40"/>
      <c r="Y2343" s="40"/>
      <c r="Z2343" s="40"/>
      <c r="AA2343" s="40"/>
      <c r="AB2343" s="40"/>
      <c r="AC2343" s="40"/>
      <c r="AD2343" s="40"/>
      <c r="AE2343" s="40"/>
      <c r="AF2343" s="40"/>
      <c r="AG2343" s="40"/>
      <c r="AH2343" s="40"/>
      <c r="AI2343" s="40"/>
      <c r="AJ2343" s="40"/>
      <c r="AK2343" s="40"/>
      <c r="AL2343" s="40"/>
      <c r="AM2343" s="40"/>
      <c r="AN2343" s="40"/>
      <c r="AO2343" s="40"/>
      <c r="AP2343" s="40"/>
      <c r="AQ2343" s="40"/>
      <c r="AR2343" s="40"/>
      <c r="AS2343" s="40"/>
      <c r="AT2343" s="40"/>
      <c r="AU2343" s="40"/>
      <c r="AV2343" s="281"/>
      <c r="AW2343" s="40"/>
      <c r="AX2343" s="40"/>
      <c r="AY2343" s="281"/>
      <c r="AZ2343" s="40"/>
      <c r="BA2343" s="40"/>
      <c r="BB2343" s="40"/>
      <c r="BC2343" s="40"/>
      <c r="BD2343" s="40"/>
      <c r="BE2343" s="40"/>
      <c r="BF2343" s="40"/>
      <c r="BG2343" s="40"/>
      <c r="BH2343" s="40"/>
      <c r="BI2343" s="40"/>
      <c r="BJ2343" s="40"/>
      <c r="BK2343" s="40"/>
      <c r="BL2343" s="62">
        <v>0</v>
      </c>
      <c r="BM2343" s="275">
        <v>2</v>
      </c>
      <c r="BN2343" s="62">
        <v>0.05</v>
      </c>
    </row>
    <row r="2344" spans="1:68">
      <c r="A2344" s="451" t="str">
        <f>Database_Productkaarten[[#This Row],[Product]]&amp;", "&amp;Database_Productkaarten[[#This Row],[Levensfase]]</f>
        <v>Industriezand, Cascade-leden, A1-A3</v>
      </c>
      <c r="B2344" s="451" t="str">
        <f>B2343</f>
        <v>Industriezand, Cascade-leden</v>
      </c>
      <c r="C2344" t="s">
        <v>40</v>
      </c>
      <c r="D2344" s="451" t="str">
        <f>D2343</f>
        <v>Zand</v>
      </c>
      <c r="E2344" s="451" t="str">
        <f>E2343</f>
        <v>Ton</v>
      </c>
      <c r="F2344" s="451" t="s">
        <v>77</v>
      </c>
      <c r="G2344" s="451">
        <f t="shared" ref="G2344:M2344" si="892">G2343</f>
        <v>0</v>
      </c>
      <c r="H2344" s="451">
        <f t="shared" si="892"/>
        <v>0</v>
      </c>
      <c r="I2344" s="451">
        <f t="shared" si="892"/>
        <v>0</v>
      </c>
      <c r="J2344" s="451">
        <f t="shared" si="892"/>
        <v>0</v>
      </c>
      <c r="K2344" s="451">
        <f t="shared" si="892"/>
        <v>0</v>
      </c>
      <c r="L2344" s="451">
        <f t="shared" si="892"/>
        <v>1.6</v>
      </c>
      <c r="M2344" s="454">
        <f t="shared" si="892"/>
        <v>1</v>
      </c>
      <c r="N2344" s="452">
        <f>SUM(N2341:N2343)</f>
        <v>0.30214000000000002</v>
      </c>
      <c r="O2344" s="451">
        <f>O2343</f>
        <v>100</v>
      </c>
      <c r="P2344" s="453">
        <f t="shared" ref="P2344:BK2344" si="893">SUM(P2341:P2343)</f>
        <v>0</v>
      </c>
      <c r="Q2344" s="453">
        <f t="shared" si="893"/>
        <v>0</v>
      </c>
      <c r="R2344" s="453">
        <f t="shared" si="893"/>
        <v>2.5541</v>
      </c>
      <c r="S2344" s="453">
        <f t="shared" si="893"/>
        <v>0</v>
      </c>
      <c r="T2344" s="453">
        <f t="shared" si="893"/>
        <v>0</v>
      </c>
      <c r="U2344" s="453">
        <f t="shared" si="893"/>
        <v>0</v>
      </c>
      <c r="V2344" s="453">
        <f t="shared" si="893"/>
        <v>0</v>
      </c>
      <c r="W2344" s="453">
        <f t="shared" si="893"/>
        <v>0</v>
      </c>
      <c r="X2344" s="453">
        <f t="shared" si="893"/>
        <v>0</v>
      </c>
      <c r="Y2344" s="453">
        <f t="shared" si="893"/>
        <v>0</v>
      </c>
      <c r="Z2344" s="453">
        <f t="shared" si="893"/>
        <v>0</v>
      </c>
      <c r="AA2344" s="453">
        <f t="shared" si="893"/>
        <v>0</v>
      </c>
      <c r="AB2344" s="453">
        <f t="shared" si="893"/>
        <v>0</v>
      </c>
      <c r="AC2344" s="453">
        <f t="shared" si="893"/>
        <v>0</v>
      </c>
      <c r="AD2344" s="453">
        <f t="shared" si="893"/>
        <v>0</v>
      </c>
      <c r="AE2344" s="453">
        <f t="shared" si="893"/>
        <v>0</v>
      </c>
      <c r="AF2344" s="453">
        <f t="shared" si="893"/>
        <v>0</v>
      </c>
      <c r="AG2344" s="453">
        <f t="shared" si="893"/>
        <v>0</v>
      </c>
      <c r="AH2344" s="453">
        <f t="shared" si="893"/>
        <v>0</v>
      </c>
      <c r="AI2344" s="453">
        <f t="shared" si="893"/>
        <v>0</v>
      </c>
      <c r="AJ2344" s="453">
        <f t="shared" si="893"/>
        <v>0</v>
      </c>
      <c r="AK2344" s="453">
        <f t="shared" si="893"/>
        <v>0</v>
      </c>
      <c r="AL2344" s="453">
        <f t="shared" si="893"/>
        <v>0</v>
      </c>
      <c r="AM2344" s="453">
        <f t="shared" si="893"/>
        <v>0</v>
      </c>
      <c r="AN2344" s="453">
        <f t="shared" si="893"/>
        <v>0</v>
      </c>
      <c r="AO2344" s="453">
        <f t="shared" si="893"/>
        <v>0</v>
      </c>
      <c r="AP2344" s="453">
        <f t="shared" si="893"/>
        <v>0</v>
      </c>
      <c r="AQ2344" s="453">
        <f t="shared" si="893"/>
        <v>0</v>
      </c>
      <c r="AR2344" s="453">
        <f t="shared" si="893"/>
        <v>0</v>
      </c>
      <c r="AS2344" s="453">
        <f t="shared" si="893"/>
        <v>0</v>
      </c>
      <c r="AT2344" s="453">
        <f t="shared" si="893"/>
        <v>0</v>
      </c>
      <c r="AU2344" s="453">
        <f t="shared" si="893"/>
        <v>0</v>
      </c>
      <c r="AV2344" s="453">
        <f t="shared" si="893"/>
        <v>0</v>
      </c>
      <c r="AW2344" s="453">
        <f t="shared" si="893"/>
        <v>0</v>
      </c>
      <c r="AX2344" s="453">
        <f t="shared" si="893"/>
        <v>0</v>
      </c>
      <c r="AY2344" s="453">
        <f t="shared" si="893"/>
        <v>0</v>
      </c>
      <c r="AZ2344" s="453">
        <f t="shared" si="893"/>
        <v>0</v>
      </c>
      <c r="BA2344" s="453">
        <f t="shared" si="893"/>
        <v>0</v>
      </c>
      <c r="BB2344" s="453">
        <f t="shared" si="893"/>
        <v>0</v>
      </c>
      <c r="BC2344" s="453">
        <f t="shared" si="893"/>
        <v>0</v>
      </c>
      <c r="BD2344" s="453">
        <f t="shared" si="893"/>
        <v>0</v>
      </c>
      <c r="BE2344" s="453">
        <f t="shared" si="893"/>
        <v>0</v>
      </c>
      <c r="BF2344" s="453">
        <f t="shared" si="893"/>
        <v>0</v>
      </c>
      <c r="BG2344" s="453">
        <f t="shared" si="893"/>
        <v>0</v>
      </c>
      <c r="BH2344" s="453">
        <f t="shared" si="893"/>
        <v>0</v>
      </c>
      <c r="BI2344" s="453">
        <f t="shared" si="893"/>
        <v>0</v>
      </c>
      <c r="BJ2344" s="453">
        <f t="shared" si="893"/>
        <v>0</v>
      </c>
      <c r="BK2344" s="453">
        <f t="shared" si="893"/>
        <v>0</v>
      </c>
      <c r="BL2344" s="62">
        <f>BL2343</f>
        <v>0</v>
      </c>
      <c r="BM2344" s="275">
        <f>BM2343</f>
        <v>2</v>
      </c>
      <c r="BN2344" s="62">
        <v>0.05</v>
      </c>
      <c r="BO2344" s="451">
        <f>BO2343</f>
        <v>0</v>
      </c>
      <c r="BP2344" s="451"/>
    </row>
    <row r="2345" spans="1:68">
      <c r="A2345" s="33" t="str">
        <f>Database_Productkaarten[[#This Row],[Product]]&amp;", "&amp;Database_Productkaarten[[#This Row],[Levensfase]]</f>
        <v>Industriezand, Cascade-leden, A4</v>
      </c>
      <c r="B2345" s="33" t="s">
        <v>775</v>
      </c>
      <c r="C2345" t="s">
        <v>40</v>
      </c>
      <c r="D2345" s="33" t="s">
        <v>627</v>
      </c>
      <c r="E2345" s="33" t="s">
        <v>378</v>
      </c>
      <c r="F2345" s="33" t="s">
        <v>78</v>
      </c>
      <c r="L2345" s="33">
        <v>1.6</v>
      </c>
      <c r="M2345" s="269">
        <v>1</v>
      </c>
      <c r="N2345" s="41">
        <f>G$2552*50</f>
        <v>0.42992438500000002</v>
      </c>
      <c r="O2345" s="33">
        <v>100</v>
      </c>
      <c r="P2345" s="40">
        <f t="shared" ref="P2345:Z2345" si="894">J$2552*50</f>
        <v>7.7025545000000006E-5</v>
      </c>
      <c r="Q2345" s="40">
        <f t="shared" si="894"/>
        <v>3.3373646E-2</v>
      </c>
      <c r="R2345" s="40">
        <f t="shared" si="894"/>
        <v>4.4832367999999994</v>
      </c>
      <c r="S2345" s="40">
        <f t="shared" si="894"/>
        <v>8.4932390000000005E-7</v>
      </c>
      <c r="T2345" s="40">
        <f t="shared" si="894"/>
        <v>2.8019094000000001E-3</v>
      </c>
      <c r="U2345" s="40">
        <f t="shared" si="894"/>
        <v>1.65595615E-2</v>
      </c>
      <c r="V2345" s="40">
        <f t="shared" si="894"/>
        <v>3.2106001500000004E-3</v>
      </c>
      <c r="W2345" s="40">
        <f t="shared" si="894"/>
        <v>0.96850040000000004</v>
      </c>
      <c r="X2345" s="40">
        <f t="shared" si="894"/>
        <v>4.0722445500000003E-2</v>
      </c>
      <c r="Y2345" s="40">
        <f t="shared" si="894"/>
        <v>109.34218</v>
      </c>
      <c r="Z2345" s="40">
        <f t="shared" si="894"/>
        <v>5.4427E-3</v>
      </c>
      <c r="AA2345" s="40"/>
      <c r="AB2345" s="40"/>
      <c r="AC2345" s="40"/>
      <c r="AD2345" s="40"/>
      <c r="AE2345" s="40"/>
      <c r="AF2345" s="40"/>
      <c r="AG2345" s="40"/>
      <c r="AH2345" s="40"/>
      <c r="AI2345" s="40"/>
      <c r="AJ2345" s="40"/>
      <c r="AK2345" s="40"/>
      <c r="AL2345" s="40"/>
      <c r="AM2345" s="40"/>
      <c r="AN2345" s="40"/>
      <c r="AO2345" s="40"/>
      <c r="AP2345" s="40"/>
      <c r="AQ2345" s="40"/>
      <c r="AR2345" s="40"/>
      <c r="AS2345" s="40"/>
      <c r="AT2345" s="40"/>
      <c r="AU2345" s="40"/>
      <c r="AV2345" s="281">
        <f>AP$2552*50</f>
        <v>0.71124284999999998</v>
      </c>
      <c r="AW2345" s="40"/>
      <c r="AX2345" s="40"/>
      <c r="AY2345" s="281">
        <f>AS$2552*50</f>
        <v>74.431809999999999</v>
      </c>
      <c r="AZ2345" s="40"/>
      <c r="BA2345" s="40"/>
      <c r="BB2345" s="40"/>
      <c r="BC2345" s="40">
        <f>AW$2552*50</f>
        <v>7.1161370000000007E-3</v>
      </c>
      <c r="BD2345" s="40">
        <f>AX$2552*50</f>
        <v>1.7396450000000001E-4</v>
      </c>
      <c r="BE2345" s="40">
        <f>AY$2552*50</f>
        <v>6.1519510000000004</v>
      </c>
      <c r="BF2345" s="40">
        <f>AZ$2552*50</f>
        <v>4.7809346000000002E-4</v>
      </c>
      <c r="BG2345" s="40"/>
      <c r="BH2345" s="40"/>
      <c r="BI2345" s="40"/>
      <c r="BJ2345" s="40"/>
      <c r="BK2345" s="40"/>
      <c r="BL2345" s="62">
        <v>0</v>
      </c>
      <c r="BM2345" s="275">
        <v>2</v>
      </c>
      <c r="BN2345" s="62">
        <v>0.05</v>
      </c>
    </row>
    <row r="2346" spans="1:68">
      <c r="A2346" s="33" t="str">
        <f>Database_Productkaarten[[#This Row],[Product]]&amp;", "&amp;Database_Productkaarten[[#This Row],[Levensfase]]</f>
        <v>Industriezand, Cascade-leden, A5</v>
      </c>
      <c r="B2346" s="33" t="s">
        <v>775</v>
      </c>
      <c r="C2346" t="s">
        <v>40</v>
      </c>
      <c r="D2346" s="33" t="s">
        <v>627</v>
      </c>
      <c r="E2346" s="33" t="s">
        <v>378</v>
      </c>
      <c r="F2346" s="33" t="s">
        <v>79</v>
      </c>
      <c r="L2346" s="33">
        <v>1.6</v>
      </c>
      <c r="M2346" s="269">
        <v>1</v>
      </c>
      <c r="N2346" s="41">
        <f>((1/Database_Productkaarten[[#This Row],[Soortelijk Gewicht '[ton / m3']]])/$H$2631)*(G$2631)</f>
        <v>4.3754784212420766E-2</v>
      </c>
      <c r="O2346" s="33">
        <v>100</v>
      </c>
      <c r="P2346" s="40">
        <f>((1/Database_Productkaarten[[#This Row],[Soortelijk Gewicht '[ton / m3']]])/$H$2631)*(J$2631)</f>
        <v>2.2103958333333332E-7</v>
      </c>
      <c r="Q2346" s="40">
        <f>((1/Database_Productkaarten[[#This Row],[Soortelijk Gewicht '[ton / m3']]])/$H$2631)*(K$2631)</f>
        <v>3.2263142147916667E-3</v>
      </c>
      <c r="R2346" s="40">
        <f>((1/Database_Productkaarten[[#This Row],[Soortelijk Gewicht '[ton / m3']]])/$H$2631)*(L$2631)</f>
        <v>0.47220369043749999</v>
      </c>
      <c r="S2346" s="40">
        <f>((1/Database_Productkaarten[[#This Row],[Soortelijk Gewicht '[ton / m3']]])/$H$2631)*(M$2631)</f>
        <v>8.2237708333333324E-8</v>
      </c>
      <c r="T2346" s="40">
        <f>((1/Database_Productkaarten[[#This Row],[Soortelijk Gewicht '[ton / m3']]])/$H$2631)*(N$2631)</f>
        <v>1.5546990708333334E-4</v>
      </c>
      <c r="U2346" s="40">
        <f>((1/Database_Productkaarten[[#This Row],[Soortelijk Gewicht '[ton / m3']]])/$H$2631)*(O$2631)</f>
        <v>4.4137157271653107E-4</v>
      </c>
      <c r="V2346" s="40">
        <f>((1/Database_Productkaarten[[#This Row],[Soortelijk Gewicht '[ton / m3']]])/$H$2631)*(P$2631)</f>
        <v>1.2062668749999999E-3</v>
      </c>
      <c r="W2346" s="40">
        <f>((1/Database_Productkaarten[[#This Row],[Soortelijk Gewicht '[ton / m3']]])/$H$2631)*(Q$2631)</f>
        <v>0.31842859103124999</v>
      </c>
      <c r="X2346" s="40">
        <f>((1/Database_Productkaarten[[#This Row],[Soortelijk Gewicht '[ton / m3']]])/$H$2631)*(R$2631)</f>
        <v>3.7273966828583328E-9</v>
      </c>
      <c r="Y2346" s="40">
        <f>((1/Database_Productkaarten[[#This Row],[Soortelijk Gewicht '[ton / m3']]])/$H$2631)*(S$2631)</f>
        <v>0.18203933032491099</v>
      </c>
      <c r="Z2346" s="40">
        <f>((1/Database_Productkaarten[[#This Row],[Soortelijk Gewicht '[ton / m3']]])/$H$2631)*(T$2631)</f>
        <v>1.4302775905211417E-3</v>
      </c>
      <c r="AA2346" s="40"/>
      <c r="AB2346" s="40"/>
      <c r="AC2346" s="40"/>
      <c r="AD2346" s="40"/>
      <c r="AE2346" s="40"/>
      <c r="AF2346" s="40"/>
      <c r="AG2346" s="40"/>
      <c r="AH2346" s="40"/>
      <c r="AI2346" s="40"/>
      <c r="AJ2346" s="40"/>
      <c r="AK2346" s="40"/>
      <c r="AL2346" s="40"/>
      <c r="AM2346" s="40"/>
      <c r="AN2346" s="40"/>
      <c r="AO2346" s="40"/>
      <c r="AP2346" s="40"/>
      <c r="AQ2346" s="40"/>
      <c r="AR2346" s="40"/>
      <c r="AS2346" s="40"/>
      <c r="AT2346" s="40"/>
      <c r="AU2346" s="40"/>
      <c r="AV2346" s="281">
        <f>((1/Database_Productkaarten[[#This Row],[Soortelijk Gewicht '[ton / m3']]])/$H$2631)*(AP$2631)</f>
        <v>5.2515620760416659E-2</v>
      </c>
      <c r="AW2346" s="40"/>
      <c r="AX2346" s="40"/>
      <c r="AY2346" s="281">
        <f>((1/Database_Productkaarten[[#This Row],[Soortelijk Gewicht '[ton / m3']]])/$H$2631)*(AS$2631)</f>
        <v>7.2013990570833331</v>
      </c>
      <c r="AZ2346" s="40"/>
      <c r="BA2346" s="40"/>
      <c r="BB2346" s="40"/>
      <c r="BC2346" s="40">
        <f>((1/Database_Productkaarten[[#This Row],[Soortelijk Gewicht '[ton / m3']]])/$H$2631)*(AW$2631)</f>
        <v>5.9776108671881242E-6</v>
      </c>
      <c r="BD2346" s="40">
        <f>((1/Database_Productkaarten[[#This Row],[Soortelijk Gewicht '[ton / m3']]])/$H$2631)*(AX$2631)</f>
        <v>1.1530331124100664E-4</v>
      </c>
      <c r="BE2346" s="40">
        <f>((1/Database_Productkaarten[[#This Row],[Soortelijk Gewicht '[ton / m3']]])/$H$2631)*(AY$2631)</f>
        <v>3.2799006821667943E-10</v>
      </c>
      <c r="BF2346" s="40">
        <f>((1/Database_Productkaarten[[#This Row],[Soortelijk Gewicht '[ton / m3']]])/$H$2631)*(AZ$2631)</f>
        <v>0</v>
      </c>
      <c r="BG2346" s="40"/>
      <c r="BH2346" s="40"/>
      <c r="BI2346" s="40"/>
      <c r="BJ2346" s="40"/>
      <c r="BK2346" s="40"/>
      <c r="BL2346" s="62">
        <v>0</v>
      </c>
      <c r="BM2346" s="275">
        <v>2</v>
      </c>
      <c r="BN2346" s="62">
        <v>0.05</v>
      </c>
    </row>
    <row r="2347" spans="1:68">
      <c r="A2347" s="33" t="str">
        <f>Database_Productkaarten[[#This Row],[Product]]&amp;", "&amp;Database_Productkaarten[[#This Row],[Levensfase]]</f>
        <v>Industriezand, Cascade-leden, B1</v>
      </c>
      <c r="B2347" s="33" t="s">
        <v>775</v>
      </c>
      <c r="C2347" t="s">
        <v>40</v>
      </c>
      <c r="D2347" s="33" t="s">
        <v>627</v>
      </c>
      <c r="E2347" s="33" t="s">
        <v>378</v>
      </c>
      <c r="F2347" s="33" t="s">
        <v>80</v>
      </c>
      <c r="L2347" s="33">
        <v>1.6</v>
      </c>
      <c r="M2347" s="269">
        <v>1</v>
      </c>
      <c r="N2347" s="41">
        <v>0</v>
      </c>
      <c r="O2347" s="33">
        <v>100</v>
      </c>
      <c r="P2347" s="40"/>
      <c r="Q2347" s="40"/>
      <c r="R2347" s="40"/>
      <c r="S2347" s="40"/>
      <c r="T2347" s="40"/>
      <c r="U2347" s="40"/>
      <c r="V2347" s="40"/>
      <c r="W2347" s="40"/>
      <c r="X2347" s="40"/>
      <c r="Y2347" s="40"/>
      <c r="Z2347" s="40"/>
      <c r="AA2347" s="40"/>
      <c r="AB2347" s="40"/>
      <c r="AC2347" s="40"/>
      <c r="AD2347" s="40"/>
      <c r="AE2347" s="40"/>
      <c r="AF2347" s="40"/>
      <c r="AG2347" s="40"/>
      <c r="AH2347" s="40"/>
      <c r="AI2347" s="40"/>
      <c r="AJ2347" s="40"/>
      <c r="AK2347" s="40"/>
      <c r="AL2347" s="40"/>
      <c r="AM2347" s="40"/>
      <c r="AN2347" s="40"/>
      <c r="AO2347" s="40"/>
      <c r="AP2347" s="40"/>
      <c r="AQ2347" s="40"/>
      <c r="AR2347" s="40"/>
      <c r="AS2347" s="40"/>
      <c r="AT2347" s="40"/>
      <c r="AU2347" s="40"/>
      <c r="AV2347" s="281"/>
      <c r="AW2347" s="40"/>
      <c r="AX2347" s="40"/>
      <c r="AY2347" s="281"/>
      <c r="AZ2347" s="40"/>
      <c r="BA2347" s="40"/>
      <c r="BB2347" s="40"/>
      <c r="BC2347" s="40"/>
      <c r="BD2347" s="40"/>
      <c r="BE2347" s="40"/>
      <c r="BF2347" s="40"/>
      <c r="BG2347" s="40"/>
      <c r="BH2347" s="40"/>
      <c r="BI2347" s="40"/>
      <c r="BJ2347" s="40"/>
      <c r="BK2347" s="40"/>
      <c r="BL2347" s="62">
        <v>0</v>
      </c>
      <c r="BM2347" s="275">
        <v>2</v>
      </c>
      <c r="BN2347" s="62">
        <v>0.05</v>
      </c>
    </row>
    <row r="2348" spans="1:68">
      <c r="A2348" s="33" t="str">
        <f>Database_Productkaarten[[#This Row],[Product]]&amp;", "&amp;Database_Productkaarten[[#This Row],[Levensfase]]</f>
        <v>Industriezand, Cascade-leden, C1</v>
      </c>
      <c r="B2348" s="33" t="s">
        <v>775</v>
      </c>
      <c r="C2348" t="s">
        <v>40</v>
      </c>
      <c r="D2348" s="33" t="s">
        <v>627</v>
      </c>
      <c r="E2348" s="33" t="s">
        <v>378</v>
      </c>
      <c r="F2348" s="33" t="s">
        <v>83</v>
      </c>
      <c r="L2348" s="33">
        <v>1.6</v>
      </c>
      <c r="M2348" s="269">
        <v>1</v>
      </c>
      <c r="N2348" s="41">
        <f>((1/Database_Productkaarten[[#This Row],[Soortelijk Gewicht '[ton / m3']]])/$H$2631)*(G$2631)</f>
        <v>4.3754784212420766E-2</v>
      </c>
      <c r="O2348" s="33">
        <v>100</v>
      </c>
      <c r="P2348" s="40">
        <f>((1/Database_Productkaarten[[#This Row],[Soortelijk Gewicht '[ton / m3']]])/$H$2631)*(J$2631)</f>
        <v>2.2103958333333332E-7</v>
      </c>
      <c r="Q2348" s="40">
        <f>((1/Database_Productkaarten[[#This Row],[Soortelijk Gewicht '[ton / m3']]])/$H$2631)*(K$2631)</f>
        <v>3.2263142147916667E-3</v>
      </c>
      <c r="R2348" s="40">
        <f>((1/Database_Productkaarten[[#This Row],[Soortelijk Gewicht '[ton / m3']]])/$H$2631)*(L$2631)</f>
        <v>0.47220369043749999</v>
      </c>
      <c r="S2348" s="40">
        <f>((1/Database_Productkaarten[[#This Row],[Soortelijk Gewicht '[ton / m3']]])/$H$2631)*(M$2631)</f>
        <v>8.2237708333333324E-8</v>
      </c>
      <c r="T2348" s="40">
        <f>((1/Database_Productkaarten[[#This Row],[Soortelijk Gewicht '[ton / m3']]])/$H$2631)*(N$2631)</f>
        <v>1.5546990708333334E-4</v>
      </c>
      <c r="U2348" s="40">
        <f>((1/Database_Productkaarten[[#This Row],[Soortelijk Gewicht '[ton / m3']]])/$H$2631)*(O$2631)</f>
        <v>4.4137157271653107E-4</v>
      </c>
      <c r="V2348" s="40">
        <f>((1/Database_Productkaarten[[#This Row],[Soortelijk Gewicht '[ton / m3']]])/$H$2631)*(P$2631)</f>
        <v>1.2062668749999999E-3</v>
      </c>
      <c r="W2348" s="40">
        <f>((1/Database_Productkaarten[[#This Row],[Soortelijk Gewicht '[ton / m3']]])/$H$2631)*(Q$2631)</f>
        <v>0.31842859103124999</v>
      </c>
      <c r="X2348" s="40">
        <f>((1/Database_Productkaarten[[#This Row],[Soortelijk Gewicht '[ton / m3']]])/$H$2631)*(R$2631)</f>
        <v>3.7273966828583328E-9</v>
      </c>
      <c r="Y2348" s="40">
        <f>((1/Database_Productkaarten[[#This Row],[Soortelijk Gewicht '[ton / m3']]])/$H$2631)*(S$2631)</f>
        <v>0.18203933032491099</v>
      </c>
      <c r="Z2348" s="40">
        <f>((1/Database_Productkaarten[[#This Row],[Soortelijk Gewicht '[ton / m3']]])/$H$2631)*(T$2631)</f>
        <v>1.4302775905211417E-3</v>
      </c>
      <c r="AA2348" s="40"/>
      <c r="AB2348" s="40"/>
      <c r="AC2348" s="40"/>
      <c r="AD2348" s="40"/>
      <c r="AE2348" s="40"/>
      <c r="AF2348" s="40"/>
      <c r="AG2348" s="40"/>
      <c r="AH2348" s="40"/>
      <c r="AI2348" s="40"/>
      <c r="AJ2348" s="40"/>
      <c r="AK2348" s="40"/>
      <c r="AL2348" s="40"/>
      <c r="AM2348" s="40"/>
      <c r="AN2348" s="40"/>
      <c r="AO2348" s="40"/>
      <c r="AP2348" s="40"/>
      <c r="AQ2348" s="40"/>
      <c r="AR2348" s="40"/>
      <c r="AS2348" s="40"/>
      <c r="AT2348" s="40"/>
      <c r="AU2348" s="40"/>
      <c r="AV2348" s="281">
        <f>((1/Database_Productkaarten[[#This Row],[Soortelijk Gewicht '[ton / m3']]])/$H$2631)*(AP$2631)</f>
        <v>5.2515620760416659E-2</v>
      </c>
      <c r="AW2348" s="40"/>
      <c r="AX2348" s="40"/>
      <c r="AY2348" s="281">
        <f>((1/Database_Productkaarten[[#This Row],[Soortelijk Gewicht '[ton / m3']]])/$H$2631)*(AS$2631)</f>
        <v>7.2013990570833331</v>
      </c>
      <c r="AZ2348" s="40"/>
      <c r="BA2348" s="40"/>
      <c r="BB2348" s="40"/>
      <c r="BC2348" s="40">
        <f>((1/Database_Productkaarten[[#This Row],[Soortelijk Gewicht '[ton / m3']]])/$H$2631)*(AW$2631)</f>
        <v>5.9776108671881242E-6</v>
      </c>
      <c r="BD2348" s="40">
        <f>((1/Database_Productkaarten[[#This Row],[Soortelijk Gewicht '[ton / m3']]])/$H$2631)*(AX$2631)</f>
        <v>1.1530331124100664E-4</v>
      </c>
      <c r="BE2348" s="40">
        <f>((1/Database_Productkaarten[[#This Row],[Soortelijk Gewicht '[ton / m3']]])/$H$2631)*(AY$2631)</f>
        <v>3.2799006821667943E-10</v>
      </c>
      <c r="BF2348" s="40">
        <f>((1/Database_Productkaarten[[#This Row],[Soortelijk Gewicht '[ton / m3']]])/$H$2631)*(AZ$2631)</f>
        <v>0</v>
      </c>
      <c r="BG2348" s="40"/>
      <c r="BH2348" s="40"/>
      <c r="BI2348" s="40"/>
      <c r="BJ2348" s="40"/>
      <c r="BK2348" s="40"/>
      <c r="BL2348" s="62">
        <v>0</v>
      </c>
      <c r="BM2348" s="275">
        <v>2</v>
      </c>
      <c r="BN2348" s="62">
        <v>0.05</v>
      </c>
    </row>
    <row r="2349" spans="1:68">
      <c r="A2349" s="33" t="str">
        <f>Database_Productkaarten[[#This Row],[Product]]&amp;", "&amp;Database_Productkaarten[[#This Row],[Levensfase]]</f>
        <v>Industriezand, Cascade-leden, C2</v>
      </c>
      <c r="B2349" s="33" t="s">
        <v>775</v>
      </c>
      <c r="C2349" t="s">
        <v>40</v>
      </c>
      <c r="D2349" s="33" t="s">
        <v>627</v>
      </c>
      <c r="E2349" s="33" t="s">
        <v>378</v>
      </c>
      <c r="F2349" s="33" t="s">
        <v>84</v>
      </c>
      <c r="L2349" s="33">
        <v>1.6</v>
      </c>
      <c r="M2349" s="269">
        <v>1</v>
      </c>
      <c r="N2349" s="41">
        <f>G$2552*50</f>
        <v>0.42992438500000002</v>
      </c>
      <c r="O2349" s="33">
        <v>100</v>
      </c>
      <c r="P2349" s="40">
        <f t="shared" ref="P2349:Z2349" si="895">J$2552*50</f>
        <v>7.7025545000000006E-5</v>
      </c>
      <c r="Q2349" s="40">
        <f t="shared" si="895"/>
        <v>3.3373646E-2</v>
      </c>
      <c r="R2349" s="40">
        <f t="shared" si="895"/>
        <v>4.4832367999999994</v>
      </c>
      <c r="S2349" s="40">
        <f t="shared" si="895"/>
        <v>8.4932390000000005E-7</v>
      </c>
      <c r="T2349" s="40">
        <f t="shared" si="895"/>
        <v>2.8019094000000001E-3</v>
      </c>
      <c r="U2349" s="40">
        <f t="shared" si="895"/>
        <v>1.65595615E-2</v>
      </c>
      <c r="V2349" s="40">
        <f t="shared" si="895"/>
        <v>3.2106001500000004E-3</v>
      </c>
      <c r="W2349" s="40">
        <f t="shared" si="895"/>
        <v>0.96850040000000004</v>
      </c>
      <c r="X2349" s="40">
        <f t="shared" si="895"/>
        <v>4.0722445500000003E-2</v>
      </c>
      <c r="Y2349" s="40">
        <f t="shared" si="895"/>
        <v>109.34218</v>
      </c>
      <c r="Z2349" s="40">
        <f t="shared" si="895"/>
        <v>5.4427E-3</v>
      </c>
      <c r="AA2349" s="40"/>
      <c r="AB2349" s="40"/>
      <c r="AC2349" s="40"/>
      <c r="AD2349" s="40"/>
      <c r="AE2349" s="40"/>
      <c r="AF2349" s="40"/>
      <c r="AG2349" s="40"/>
      <c r="AH2349" s="40"/>
      <c r="AI2349" s="40"/>
      <c r="AJ2349" s="40"/>
      <c r="AK2349" s="40"/>
      <c r="AL2349" s="40"/>
      <c r="AM2349" s="40"/>
      <c r="AN2349" s="40"/>
      <c r="AO2349" s="40"/>
      <c r="AP2349" s="40"/>
      <c r="AQ2349" s="40"/>
      <c r="AR2349" s="40"/>
      <c r="AS2349" s="40"/>
      <c r="AT2349" s="40"/>
      <c r="AU2349" s="40"/>
      <c r="AV2349" s="281">
        <f>AP$2552*50</f>
        <v>0.71124284999999998</v>
      </c>
      <c r="AW2349" s="40"/>
      <c r="AX2349" s="40"/>
      <c r="AY2349" s="281">
        <f>AS$2552*50</f>
        <v>74.431809999999999</v>
      </c>
      <c r="AZ2349" s="40"/>
      <c r="BA2349" s="40"/>
      <c r="BB2349" s="40"/>
      <c r="BC2349" s="40">
        <f>AW$2552*50</f>
        <v>7.1161370000000007E-3</v>
      </c>
      <c r="BD2349" s="40">
        <f>AX$2552*50</f>
        <v>1.7396450000000001E-4</v>
      </c>
      <c r="BE2349" s="40">
        <f>AY$2552*50</f>
        <v>6.1519510000000004</v>
      </c>
      <c r="BF2349" s="40">
        <f>AZ$2552*50</f>
        <v>4.7809346000000002E-4</v>
      </c>
      <c r="BG2349" s="40"/>
      <c r="BH2349" s="40"/>
      <c r="BI2349" s="40"/>
      <c r="BJ2349" s="40"/>
      <c r="BK2349" s="40"/>
      <c r="BL2349" s="62">
        <v>0</v>
      </c>
      <c r="BM2349" s="275">
        <v>2</v>
      </c>
      <c r="BN2349" s="62">
        <v>0.05</v>
      </c>
    </row>
    <row r="2350" spans="1:68">
      <c r="A2350" s="33" t="str">
        <f>Database_Productkaarten[[#This Row],[Product]]&amp;", "&amp;Database_Productkaarten[[#This Row],[Levensfase]]</f>
        <v>Industriezand, Cascade-leden, C3</v>
      </c>
      <c r="B2350" s="33" t="s">
        <v>775</v>
      </c>
      <c r="C2350" t="s">
        <v>40</v>
      </c>
      <c r="D2350" s="33" t="s">
        <v>627</v>
      </c>
      <c r="E2350" s="33" t="s">
        <v>378</v>
      </c>
      <c r="F2350" s="33" t="s">
        <v>85</v>
      </c>
      <c r="L2350" s="33">
        <v>1.6</v>
      </c>
      <c r="M2350" s="269">
        <v>1</v>
      </c>
      <c r="N2350" s="41">
        <v>0</v>
      </c>
      <c r="O2350" s="33">
        <v>100</v>
      </c>
      <c r="P2350" s="40"/>
      <c r="Q2350" s="40"/>
      <c r="R2350" s="40"/>
      <c r="S2350" s="40"/>
      <c r="T2350" s="40"/>
      <c r="U2350" s="40"/>
      <c r="V2350" s="40"/>
      <c r="W2350" s="40"/>
      <c r="X2350" s="40"/>
      <c r="Y2350" s="40"/>
      <c r="Z2350" s="40"/>
      <c r="AA2350" s="40"/>
      <c r="AB2350" s="40"/>
      <c r="AC2350" s="40"/>
      <c r="AD2350" s="40"/>
      <c r="AE2350" s="40"/>
      <c r="AF2350" s="40"/>
      <c r="AG2350" s="40"/>
      <c r="AH2350" s="40"/>
      <c r="AI2350" s="40"/>
      <c r="AJ2350" s="40"/>
      <c r="AK2350" s="40"/>
      <c r="AL2350" s="40"/>
      <c r="AM2350" s="40"/>
      <c r="AN2350" s="40"/>
      <c r="AO2350" s="40"/>
      <c r="AP2350" s="40"/>
      <c r="AQ2350" s="40"/>
      <c r="AR2350" s="40"/>
      <c r="AS2350" s="40"/>
      <c r="AT2350" s="40"/>
      <c r="AU2350" s="40"/>
      <c r="AV2350" s="281"/>
      <c r="AW2350" s="40"/>
      <c r="AX2350" s="40"/>
      <c r="AY2350" s="281"/>
      <c r="AZ2350" s="40"/>
      <c r="BA2350" s="40"/>
      <c r="BB2350" s="40"/>
      <c r="BC2350" s="40"/>
      <c r="BD2350" s="40"/>
      <c r="BE2350" s="40"/>
      <c r="BF2350" s="40"/>
      <c r="BG2350" s="40"/>
      <c r="BH2350" s="40"/>
      <c r="BI2350" s="40"/>
      <c r="BJ2350" s="40"/>
      <c r="BK2350" s="40"/>
      <c r="BL2350" s="62">
        <v>0</v>
      </c>
      <c r="BM2350" s="275">
        <v>2</v>
      </c>
      <c r="BN2350" s="62">
        <v>0.05</v>
      </c>
    </row>
    <row r="2351" spans="1:68">
      <c r="A2351" s="33" t="str">
        <f>Database_Productkaarten[[#This Row],[Product]]&amp;", "&amp;Database_Productkaarten[[#This Row],[Levensfase]]</f>
        <v>Industriezand, Cascade-leden, C4</v>
      </c>
      <c r="B2351" s="33" t="s">
        <v>775</v>
      </c>
      <c r="C2351" t="s">
        <v>40</v>
      </c>
      <c r="D2351" s="33" t="s">
        <v>627</v>
      </c>
      <c r="E2351" s="33" t="s">
        <v>378</v>
      </c>
      <c r="F2351" s="33" t="s">
        <v>86</v>
      </c>
      <c r="L2351" s="33">
        <v>1.6</v>
      </c>
      <c r="M2351" s="269">
        <v>1</v>
      </c>
      <c r="N2351" s="41">
        <v>0</v>
      </c>
      <c r="O2351" s="33">
        <v>100</v>
      </c>
      <c r="P2351" s="40"/>
      <c r="Q2351" s="40"/>
      <c r="R2351" s="40"/>
      <c r="S2351" s="40"/>
      <c r="T2351" s="40"/>
      <c r="U2351" s="40"/>
      <c r="V2351" s="40"/>
      <c r="W2351" s="40"/>
      <c r="X2351" s="40"/>
      <c r="Y2351" s="40"/>
      <c r="Z2351" s="40"/>
      <c r="AA2351" s="40"/>
      <c r="AB2351" s="40"/>
      <c r="AC2351" s="40"/>
      <c r="AD2351" s="40"/>
      <c r="AE2351" s="40"/>
      <c r="AF2351" s="40"/>
      <c r="AG2351" s="40"/>
      <c r="AH2351" s="40"/>
      <c r="AI2351" s="40"/>
      <c r="AJ2351" s="40"/>
      <c r="AK2351" s="40"/>
      <c r="AL2351" s="40"/>
      <c r="AM2351" s="40"/>
      <c r="AN2351" s="40"/>
      <c r="AO2351" s="40"/>
      <c r="AP2351" s="40"/>
      <c r="AQ2351" s="40"/>
      <c r="AR2351" s="40"/>
      <c r="AS2351" s="40"/>
      <c r="AT2351" s="40"/>
      <c r="AU2351" s="40"/>
      <c r="AV2351" s="281"/>
      <c r="AW2351" s="40"/>
      <c r="AX2351" s="40"/>
      <c r="AY2351" s="281"/>
      <c r="AZ2351" s="40"/>
      <c r="BA2351" s="40"/>
      <c r="BB2351" s="40"/>
      <c r="BC2351" s="40"/>
      <c r="BD2351" s="40"/>
      <c r="BE2351" s="40"/>
      <c r="BF2351" s="40"/>
      <c r="BG2351" s="40"/>
      <c r="BH2351" s="40"/>
      <c r="BI2351" s="40"/>
      <c r="BJ2351" s="40"/>
      <c r="BK2351" s="40"/>
      <c r="BL2351" s="62">
        <v>0</v>
      </c>
      <c r="BM2351" s="275">
        <v>2</v>
      </c>
      <c r="BN2351" s="62">
        <v>0.05</v>
      </c>
    </row>
    <row r="2352" spans="1:68">
      <c r="A2352" s="33" t="str">
        <f>Database_Productkaarten[[#This Row],[Product]]&amp;", "&amp;Database_Productkaarten[[#This Row],[Levensfase]]</f>
        <v>Industriezand, Cascade-leden, D</v>
      </c>
      <c r="B2352" s="33" t="str">
        <f>B2353</f>
        <v>Industriezand, Cascade-leden</v>
      </c>
      <c r="C2352" t="s">
        <v>40</v>
      </c>
      <c r="D2352" s="33" t="str">
        <f>D2353</f>
        <v>Zand</v>
      </c>
      <c r="E2352" s="33" t="str">
        <f>E2353</f>
        <v>Ton</v>
      </c>
      <c r="F2352" s="33" t="s">
        <v>89</v>
      </c>
      <c r="G2352" s="33">
        <f t="shared" ref="G2352:M2352" si="896">G2353</f>
        <v>0</v>
      </c>
      <c r="H2352" s="33">
        <f t="shared" si="896"/>
        <v>0</v>
      </c>
      <c r="I2352" s="33">
        <f t="shared" si="896"/>
        <v>0</v>
      </c>
      <c r="J2352" s="33">
        <f t="shared" si="896"/>
        <v>0</v>
      </c>
      <c r="K2352" s="33">
        <f t="shared" si="896"/>
        <v>0</v>
      </c>
      <c r="L2352" s="33">
        <f t="shared" si="896"/>
        <v>1.6</v>
      </c>
      <c r="M2352" s="45">
        <f t="shared" si="896"/>
        <v>1</v>
      </c>
      <c r="N2352" s="41">
        <f>SUM(N2353:N2354)</f>
        <v>0</v>
      </c>
      <c r="O2352" s="33">
        <f>O2353</f>
        <v>100</v>
      </c>
      <c r="P2352" s="40">
        <f>SUM(P2353:P2354)</f>
        <v>0</v>
      </c>
      <c r="Q2352" s="40">
        <f>SUM(Q2353:Q2354)</f>
        <v>0</v>
      </c>
      <c r="R2352" s="40">
        <f>SUM(R2353:R2354)</f>
        <v>0</v>
      </c>
      <c r="S2352" s="40">
        <f t="shared" ref="S2352:BK2352" si="897">SUM(S2353:S2354)</f>
        <v>0</v>
      </c>
      <c r="T2352" s="40">
        <f t="shared" si="897"/>
        <v>0</v>
      </c>
      <c r="U2352" s="40">
        <f t="shared" si="897"/>
        <v>0</v>
      </c>
      <c r="V2352" s="40">
        <f t="shared" si="897"/>
        <v>0</v>
      </c>
      <c r="W2352" s="40">
        <f t="shared" si="897"/>
        <v>0</v>
      </c>
      <c r="X2352" s="40">
        <f t="shared" si="897"/>
        <v>0</v>
      </c>
      <c r="Y2352" s="40">
        <f t="shared" si="897"/>
        <v>0</v>
      </c>
      <c r="Z2352" s="40">
        <f t="shared" si="897"/>
        <v>0</v>
      </c>
      <c r="AA2352" s="40">
        <f t="shared" si="897"/>
        <v>0</v>
      </c>
      <c r="AB2352" s="40">
        <f t="shared" si="897"/>
        <v>0</v>
      </c>
      <c r="AC2352" s="40">
        <f t="shared" si="897"/>
        <v>0</v>
      </c>
      <c r="AD2352" s="40">
        <f t="shared" si="897"/>
        <v>0</v>
      </c>
      <c r="AE2352" s="40">
        <f t="shared" si="897"/>
        <v>0</v>
      </c>
      <c r="AF2352" s="40">
        <f t="shared" si="897"/>
        <v>0</v>
      </c>
      <c r="AG2352" s="40">
        <f t="shared" si="897"/>
        <v>0</v>
      </c>
      <c r="AH2352" s="40">
        <f t="shared" si="897"/>
        <v>0</v>
      </c>
      <c r="AI2352" s="40">
        <f t="shared" si="897"/>
        <v>0</v>
      </c>
      <c r="AJ2352" s="40">
        <f t="shared" si="897"/>
        <v>0</v>
      </c>
      <c r="AK2352" s="40">
        <f t="shared" si="897"/>
        <v>0</v>
      </c>
      <c r="AL2352" s="40">
        <f t="shared" si="897"/>
        <v>0</v>
      </c>
      <c r="AM2352" s="40">
        <f t="shared" si="897"/>
        <v>0</v>
      </c>
      <c r="AN2352" s="40">
        <f t="shared" si="897"/>
        <v>0</v>
      </c>
      <c r="AO2352" s="40">
        <f t="shared" si="897"/>
        <v>0</v>
      </c>
      <c r="AP2352" s="40">
        <f t="shared" si="897"/>
        <v>0</v>
      </c>
      <c r="AQ2352" s="40">
        <f t="shared" si="897"/>
        <v>0</v>
      </c>
      <c r="AR2352" s="40">
        <f t="shared" si="897"/>
        <v>0</v>
      </c>
      <c r="AS2352" s="40">
        <f t="shared" si="897"/>
        <v>0</v>
      </c>
      <c r="AT2352" s="40">
        <f t="shared" si="897"/>
        <v>0</v>
      </c>
      <c r="AU2352" s="40">
        <f t="shared" si="897"/>
        <v>0</v>
      </c>
      <c r="AV2352" s="40">
        <f t="shared" si="897"/>
        <v>0</v>
      </c>
      <c r="AW2352" s="40">
        <f t="shared" si="897"/>
        <v>0</v>
      </c>
      <c r="AX2352" s="40">
        <f t="shared" si="897"/>
        <v>0</v>
      </c>
      <c r="AY2352" s="40">
        <f t="shared" si="897"/>
        <v>0</v>
      </c>
      <c r="AZ2352" s="40">
        <f t="shared" si="897"/>
        <v>0</v>
      </c>
      <c r="BA2352" s="40">
        <f t="shared" si="897"/>
        <v>0</v>
      </c>
      <c r="BB2352" s="40">
        <f t="shared" si="897"/>
        <v>0</v>
      </c>
      <c r="BC2352" s="40">
        <f t="shared" si="897"/>
        <v>0</v>
      </c>
      <c r="BD2352" s="40">
        <f t="shared" si="897"/>
        <v>0</v>
      </c>
      <c r="BE2352" s="40">
        <f t="shared" si="897"/>
        <v>0</v>
      </c>
      <c r="BF2352" s="40">
        <f t="shared" si="897"/>
        <v>0</v>
      </c>
      <c r="BG2352" s="40">
        <f t="shared" si="897"/>
        <v>0</v>
      </c>
      <c r="BH2352" s="40">
        <f t="shared" si="897"/>
        <v>0</v>
      </c>
      <c r="BI2352" s="40">
        <f t="shared" si="897"/>
        <v>0</v>
      </c>
      <c r="BJ2352" s="40">
        <f t="shared" si="897"/>
        <v>0</v>
      </c>
      <c r="BK2352" s="40">
        <f t="shared" si="897"/>
        <v>0</v>
      </c>
      <c r="BL2352" s="62">
        <f>BL2353</f>
        <v>0</v>
      </c>
      <c r="BM2352" s="275">
        <f>BM2353</f>
        <v>2</v>
      </c>
      <c r="BN2352" s="62">
        <v>0.05</v>
      </c>
      <c r="BO2352" s="33">
        <f>BO2353</f>
        <v>0</v>
      </c>
    </row>
    <row r="2353" spans="1:68">
      <c r="A2353" s="33" t="str">
        <f>Database_Productkaarten[[#This Row],[Product]]&amp;", "&amp;Database_Productkaarten[[#This Row],[Levensfase]]</f>
        <v>Industriezand, Cascade-leden, D1</v>
      </c>
      <c r="B2353" s="33" t="s">
        <v>775</v>
      </c>
      <c r="C2353" t="s">
        <v>40</v>
      </c>
      <c r="D2353" s="33" t="s">
        <v>627</v>
      </c>
      <c r="E2353" s="33" t="s">
        <v>378</v>
      </c>
      <c r="F2353" s="33" t="s">
        <v>87</v>
      </c>
      <c r="L2353" s="33">
        <v>1.6</v>
      </c>
      <c r="M2353" s="269">
        <v>1</v>
      </c>
      <c r="N2353" s="41">
        <v>0</v>
      </c>
      <c r="O2353" s="33">
        <v>100</v>
      </c>
      <c r="P2353" s="40"/>
      <c r="Q2353" s="40"/>
      <c r="R2353" s="40"/>
      <c r="S2353" s="40"/>
      <c r="T2353" s="40"/>
      <c r="U2353" s="40"/>
      <c r="V2353" s="40"/>
      <c r="W2353" s="40"/>
      <c r="X2353" s="40"/>
      <c r="Y2353" s="40"/>
      <c r="Z2353" s="40"/>
      <c r="AA2353" s="40"/>
      <c r="AB2353" s="40"/>
      <c r="AC2353" s="40"/>
      <c r="AD2353" s="40"/>
      <c r="AE2353" s="40"/>
      <c r="AF2353" s="40"/>
      <c r="AG2353" s="40"/>
      <c r="AH2353" s="40"/>
      <c r="AI2353" s="40"/>
      <c r="AJ2353" s="40"/>
      <c r="AK2353" s="40"/>
      <c r="AL2353" s="40"/>
      <c r="AM2353" s="40"/>
      <c r="AN2353" s="40"/>
      <c r="AO2353" s="40"/>
      <c r="AP2353" s="40"/>
      <c r="AQ2353" s="40"/>
      <c r="AR2353" s="40"/>
      <c r="AS2353" s="40"/>
      <c r="AT2353" s="40"/>
      <c r="AU2353" s="40"/>
      <c r="AV2353" s="281"/>
      <c r="AW2353" s="40"/>
      <c r="AX2353" s="40"/>
      <c r="AY2353" s="281"/>
      <c r="AZ2353" s="40"/>
      <c r="BA2353" s="40"/>
      <c r="BB2353" s="40"/>
      <c r="BC2353" s="40"/>
      <c r="BD2353" s="40"/>
      <c r="BE2353" s="40"/>
      <c r="BF2353" s="40"/>
      <c r="BG2353" s="40"/>
      <c r="BH2353" s="40"/>
      <c r="BI2353" s="40"/>
      <c r="BJ2353" s="40"/>
      <c r="BK2353" s="40"/>
      <c r="BL2353" s="62">
        <v>0</v>
      </c>
      <c r="BM2353" s="275">
        <v>2</v>
      </c>
      <c r="BN2353" s="62">
        <v>0.05</v>
      </c>
    </row>
    <row r="2354" spans="1:68">
      <c r="A2354" s="33" t="str">
        <f>Database_Productkaarten[[#This Row],[Product]]&amp;", "&amp;Database_Productkaarten[[#This Row],[Levensfase]]</f>
        <v>Industriezand, Cascade-leden, D2</v>
      </c>
      <c r="B2354" s="33" t="s">
        <v>775</v>
      </c>
      <c r="C2354" t="s">
        <v>40</v>
      </c>
      <c r="D2354" s="33" t="s">
        <v>627</v>
      </c>
      <c r="E2354" s="33" t="s">
        <v>378</v>
      </c>
      <c r="F2354" s="33" t="s">
        <v>88</v>
      </c>
      <c r="L2354" s="33">
        <v>1.6</v>
      </c>
      <c r="M2354" s="269">
        <v>1</v>
      </c>
      <c r="N2354" s="41">
        <v>0</v>
      </c>
      <c r="O2354" s="33">
        <v>100</v>
      </c>
      <c r="P2354" s="40"/>
      <c r="Q2354" s="40"/>
      <c r="R2354" s="40"/>
      <c r="S2354" s="40"/>
      <c r="T2354" s="40"/>
      <c r="U2354" s="40"/>
      <c r="V2354" s="40"/>
      <c r="W2354" s="40"/>
      <c r="X2354" s="40"/>
      <c r="Y2354" s="40"/>
      <c r="Z2354" s="40"/>
      <c r="AA2354" s="40"/>
      <c r="AB2354" s="40"/>
      <c r="AC2354" s="40"/>
      <c r="AD2354" s="40"/>
      <c r="AE2354" s="40"/>
      <c r="AF2354" s="40"/>
      <c r="AG2354" s="40"/>
      <c r="AH2354" s="40"/>
      <c r="AI2354" s="40"/>
      <c r="AJ2354" s="40"/>
      <c r="AK2354" s="40"/>
      <c r="AL2354" s="40"/>
      <c r="AM2354" s="40"/>
      <c r="AN2354" s="40"/>
      <c r="AO2354" s="40"/>
      <c r="AP2354" s="40"/>
      <c r="AQ2354" s="40"/>
      <c r="AR2354" s="40"/>
      <c r="AS2354" s="40"/>
      <c r="AT2354" s="40"/>
      <c r="AU2354" s="40"/>
      <c r="AV2354" s="281"/>
      <c r="AW2354" s="40"/>
      <c r="AX2354" s="40"/>
      <c r="AY2354" s="281"/>
      <c r="AZ2354" s="40"/>
      <c r="BA2354" s="40"/>
      <c r="BB2354" s="40"/>
      <c r="BC2354" s="40"/>
      <c r="BD2354" s="40"/>
      <c r="BE2354" s="40"/>
      <c r="BF2354" s="40"/>
      <c r="BG2354" s="40"/>
      <c r="BH2354" s="40"/>
      <c r="BI2354" s="40"/>
      <c r="BJ2354" s="40"/>
      <c r="BK2354" s="40"/>
      <c r="BL2354" s="62">
        <v>0</v>
      </c>
      <c r="BM2354" s="275">
        <v>2</v>
      </c>
      <c r="BN2354" s="62">
        <v>0.05</v>
      </c>
    </row>
    <row r="2355" spans="1:68">
      <c r="A2355" s="33" t="str">
        <f>Database_Productkaarten[[#This Row],[Product]]&amp;", "&amp;Database_Productkaarten[[#This Row],[Levensfase]]</f>
        <v>Ophoogmateriaal (Klei), Totaal</v>
      </c>
      <c r="B2355" s="33" t="s">
        <v>776</v>
      </c>
      <c r="C2355" t="s">
        <v>40</v>
      </c>
      <c r="D2355" s="33" t="s">
        <v>777</v>
      </c>
      <c r="E2355" s="33" t="s">
        <v>666</v>
      </c>
      <c r="F2355" s="33" t="s">
        <v>90</v>
      </c>
      <c r="G2355" s="33">
        <v>1</v>
      </c>
      <c r="H2355" s="33">
        <v>1</v>
      </c>
      <c r="I2355" s="33">
        <v>1</v>
      </c>
      <c r="L2355" s="33">
        <v>1.6</v>
      </c>
      <c r="M2355" s="45">
        <v>1.6</v>
      </c>
      <c r="N2355" s="41"/>
      <c r="O2355" s="33">
        <v>100</v>
      </c>
      <c r="AV2355" s="313"/>
      <c r="AW2355" s="314"/>
      <c r="AX2355" s="314"/>
      <c r="AY2355" s="313"/>
      <c r="BL2355" s="62">
        <v>0</v>
      </c>
      <c r="BM2355" s="275">
        <v>3</v>
      </c>
      <c r="BN2355" s="62">
        <v>0.05</v>
      </c>
      <c r="BO2355" t="s">
        <v>770</v>
      </c>
      <c r="BP2355" s="33" t="s">
        <v>771</v>
      </c>
    </row>
    <row r="2356" spans="1:68">
      <c r="A2356" s="33" t="str">
        <f>Database_Productkaarten[[#This Row],[Product]]&amp;", "&amp;Database_Productkaarten[[#This Row],[Levensfase]]</f>
        <v>Ophoogmateriaal (Klei), A1</v>
      </c>
      <c r="B2356" s="33" t="s">
        <v>776</v>
      </c>
      <c r="C2356" t="s">
        <v>40</v>
      </c>
      <c r="D2356" s="33" t="s">
        <v>777</v>
      </c>
      <c r="E2356" s="33" t="s">
        <v>666</v>
      </c>
      <c r="F2356" s="33" t="s">
        <v>74</v>
      </c>
      <c r="G2356" s="33">
        <v>1</v>
      </c>
      <c r="H2356" s="33">
        <v>1</v>
      </c>
      <c r="I2356" s="33">
        <v>1</v>
      </c>
      <c r="L2356" s="33">
        <v>1.6</v>
      </c>
      <c r="M2356" s="45">
        <v>1.6</v>
      </c>
      <c r="N2356" s="41"/>
      <c r="O2356" s="33">
        <v>100</v>
      </c>
      <c r="AV2356" s="313"/>
      <c r="AW2356" s="314"/>
      <c r="AX2356" s="314"/>
      <c r="AY2356" s="313"/>
      <c r="BL2356" s="62">
        <v>0</v>
      </c>
      <c r="BM2356" s="275">
        <v>3</v>
      </c>
      <c r="BN2356" s="62">
        <v>0.05</v>
      </c>
      <c r="BO2356" t="s">
        <v>770</v>
      </c>
      <c r="BP2356" s="33" t="s">
        <v>771</v>
      </c>
    </row>
    <row r="2357" spans="1:68">
      <c r="A2357" s="33" t="str">
        <f>Database_Productkaarten[[#This Row],[Product]]&amp;", "&amp;Database_Productkaarten[[#This Row],[Levensfase]]</f>
        <v>Ophoogmateriaal (Klei), A2</v>
      </c>
      <c r="B2357" s="33" t="s">
        <v>776</v>
      </c>
      <c r="C2357" t="s">
        <v>40</v>
      </c>
      <c r="D2357" s="33" t="s">
        <v>777</v>
      </c>
      <c r="E2357" s="33" t="s">
        <v>666</v>
      </c>
      <c r="F2357" s="33" t="s">
        <v>75</v>
      </c>
      <c r="G2357" s="33">
        <v>1</v>
      </c>
      <c r="H2357" s="33">
        <v>1</v>
      </c>
      <c r="I2357" s="33">
        <v>1</v>
      </c>
      <c r="L2357" s="33">
        <v>1.6</v>
      </c>
      <c r="M2357" s="45">
        <v>1.6</v>
      </c>
      <c r="N2357" s="41"/>
      <c r="O2357" s="33">
        <v>100</v>
      </c>
      <c r="AV2357" s="313"/>
      <c r="AW2357" s="314"/>
      <c r="AX2357" s="314"/>
      <c r="AY2357" s="313"/>
      <c r="BL2357" s="62">
        <v>0</v>
      </c>
      <c r="BM2357" s="275">
        <v>3</v>
      </c>
      <c r="BN2357" s="62">
        <v>0.05</v>
      </c>
      <c r="BO2357" t="s">
        <v>770</v>
      </c>
      <c r="BP2357" s="33" t="s">
        <v>771</v>
      </c>
    </row>
    <row r="2358" spans="1:68">
      <c r="A2358" s="33" t="str">
        <f>Database_Productkaarten[[#This Row],[Product]]&amp;", "&amp;Database_Productkaarten[[#This Row],[Levensfase]]</f>
        <v>Ophoogmateriaal (Klei), A3</v>
      </c>
      <c r="B2358" s="33" t="s">
        <v>776</v>
      </c>
      <c r="C2358" t="s">
        <v>40</v>
      </c>
      <c r="D2358" s="33" t="s">
        <v>777</v>
      </c>
      <c r="E2358" s="33" t="s">
        <v>666</v>
      </c>
      <c r="F2358" s="33" t="s">
        <v>76</v>
      </c>
      <c r="G2358" s="33">
        <v>1</v>
      </c>
      <c r="H2358" s="33">
        <v>1</v>
      </c>
      <c r="I2358" s="33">
        <v>1</v>
      </c>
      <c r="L2358" s="33">
        <v>1.6</v>
      </c>
      <c r="M2358" s="45">
        <v>1.6</v>
      </c>
      <c r="N2358" s="41"/>
      <c r="O2358" s="33">
        <v>100</v>
      </c>
      <c r="AV2358" s="313"/>
      <c r="AW2358" s="314"/>
      <c r="AX2358" s="314"/>
      <c r="AY2358" s="313"/>
      <c r="BL2358" s="62">
        <v>0</v>
      </c>
      <c r="BM2358" s="275">
        <v>3</v>
      </c>
      <c r="BN2358" s="62">
        <v>0.05</v>
      </c>
      <c r="BO2358" t="s">
        <v>770</v>
      </c>
      <c r="BP2358" s="33" t="s">
        <v>771</v>
      </c>
    </row>
    <row r="2359" spans="1:68">
      <c r="A2359" s="33" t="str">
        <f>Database_Productkaarten[[#This Row],[Product]]&amp;", "&amp;Database_Productkaarten[[#This Row],[Levensfase]]</f>
        <v>Ophoogmateriaal (Klei), A1-A3</v>
      </c>
      <c r="B2359" s="33" t="s">
        <v>776</v>
      </c>
      <c r="C2359" t="s">
        <v>40</v>
      </c>
      <c r="D2359" s="33" t="s">
        <v>777</v>
      </c>
      <c r="E2359" s="33" t="s">
        <v>666</v>
      </c>
      <c r="F2359" s="451" t="s">
        <v>77</v>
      </c>
      <c r="G2359" s="33">
        <v>1</v>
      </c>
      <c r="H2359" s="33">
        <v>1</v>
      </c>
      <c r="I2359" s="33">
        <v>1</v>
      </c>
      <c r="L2359" s="33">
        <v>1.6</v>
      </c>
      <c r="M2359" s="45">
        <v>1.6</v>
      </c>
      <c r="N2359" s="41">
        <v>3.11111</v>
      </c>
      <c r="O2359" s="33">
        <v>100</v>
      </c>
      <c r="P2359" s="163">
        <v>0</v>
      </c>
      <c r="Q2359" s="163">
        <v>0.11</v>
      </c>
      <c r="R2359" s="163">
        <v>15.83</v>
      </c>
      <c r="S2359" s="163">
        <v>0</v>
      </c>
      <c r="T2359" s="163">
        <v>0.01</v>
      </c>
      <c r="U2359" s="163">
        <v>0.11</v>
      </c>
      <c r="V2359" s="163">
        <v>0.02</v>
      </c>
      <c r="W2359" s="163">
        <v>17.329999999999998</v>
      </c>
      <c r="X2359" s="163">
        <v>0.21</v>
      </c>
      <c r="Y2359" s="163">
        <v>685.18</v>
      </c>
      <c r="Z2359" s="163">
        <v>0.1</v>
      </c>
      <c r="AV2359" s="315">
        <v>9.57</v>
      </c>
      <c r="AW2359" s="315"/>
      <c r="AX2359" s="314"/>
      <c r="AY2359" s="315">
        <v>221</v>
      </c>
      <c r="BL2359" s="62">
        <v>0</v>
      </c>
      <c r="BM2359" s="275">
        <v>3</v>
      </c>
      <c r="BN2359" s="62">
        <v>0.05</v>
      </c>
      <c r="BO2359" t="s">
        <v>770</v>
      </c>
      <c r="BP2359" s="33" t="s">
        <v>771</v>
      </c>
    </row>
    <row r="2360" spans="1:68">
      <c r="A2360" s="33" t="str">
        <f>Database_Productkaarten[[#This Row],[Product]]&amp;", "&amp;Database_Productkaarten[[#This Row],[Levensfase]]</f>
        <v>Ophoogmateriaal (Klei), A4</v>
      </c>
      <c r="B2360" s="33" t="s">
        <v>776</v>
      </c>
      <c r="C2360" t="s">
        <v>40</v>
      </c>
      <c r="D2360" s="33" t="s">
        <v>777</v>
      </c>
      <c r="E2360" s="33" t="s">
        <v>666</v>
      </c>
      <c r="F2360" s="33" t="s">
        <v>78</v>
      </c>
      <c r="G2360" s="33">
        <v>1</v>
      </c>
      <c r="H2360" s="33">
        <v>1</v>
      </c>
      <c r="I2360" s="33">
        <v>1</v>
      </c>
      <c r="L2360" s="33">
        <v>1.6</v>
      </c>
      <c r="M2360" s="45">
        <v>1.6</v>
      </c>
      <c r="N2360" s="41">
        <v>0.75838000000000005</v>
      </c>
      <c r="O2360" s="33">
        <v>100</v>
      </c>
      <c r="P2360" s="163">
        <v>0</v>
      </c>
      <c r="Q2360" s="163">
        <v>0.05</v>
      </c>
      <c r="R2360" s="163">
        <v>6.76</v>
      </c>
      <c r="S2360" s="163">
        <v>0</v>
      </c>
      <c r="T2360" s="163">
        <v>0</v>
      </c>
      <c r="U2360" s="163">
        <v>0.02</v>
      </c>
      <c r="V2360" s="163">
        <v>0.01</v>
      </c>
      <c r="W2360" s="163">
        <v>2.38</v>
      </c>
      <c r="X2360" s="163">
        <v>0.15</v>
      </c>
      <c r="Y2360" s="163">
        <v>401.74</v>
      </c>
      <c r="Z2360" s="163">
        <v>0.01</v>
      </c>
      <c r="AV2360" s="315">
        <v>0</v>
      </c>
      <c r="AW2360" s="315"/>
      <c r="AX2360" s="314"/>
      <c r="AY2360" s="315">
        <v>0</v>
      </c>
      <c r="BL2360" s="62">
        <v>0</v>
      </c>
      <c r="BM2360" s="275">
        <v>3</v>
      </c>
      <c r="BN2360" s="62">
        <v>0.05</v>
      </c>
      <c r="BO2360" t="s">
        <v>770</v>
      </c>
      <c r="BP2360" s="33" t="s">
        <v>771</v>
      </c>
    </row>
    <row r="2361" spans="1:68">
      <c r="A2361" s="33" t="str">
        <f>Database_Productkaarten[[#This Row],[Product]]&amp;", "&amp;Database_Productkaarten[[#This Row],[Levensfase]]</f>
        <v>Ophoogmateriaal (Klei), A5</v>
      </c>
      <c r="B2361" s="33" t="s">
        <v>776</v>
      </c>
      <c r="C2361" t="s">
        <v>40</v>
      </c>
      <c r="D2361" s="33" t="s">
        <v>777</v>
      </c>
      <c r="E2361" s="33" t="s">
        <v>666</v>
      </c>
      <c r="F2361" s="33" t="s">
        <v>79</v>
      </c>
      <c r="G2361" s="33">
        <v>1</v>
      </c>
      <c r="H2361" s="33">
        <v>1</v>
      </c>
      <c r="I2361" s="33">
        <v>1</v>
      </c>
      <c r="L2361" s="33">
        <v>1.6</v>
      </c>
      <c r="M2361" s="45">
        <v>1.6</v>
      </c>
      <c r="N2361" s="41">
        <v>0.22273999999999999</v>
      </c>
      <c r="O2361" s="33">
        <v>100</v>
      </c>
      <c r="P2361" s="163">
        <v>0</v>
      </c>
      <c r="Q2361" s="163">
        <v>1.6500000000000001E-2</v>
      </c>
      <c r="R2361" s="163">
        <v>2.4038499999999998</v>
      </c>
      <c r="S2361" s="163">
        <v>0</v>
      </c>
      <c r="T2361" s="163">
        <v>6.9999999999999999E-4</v>
      </c>
      <c r="U2361" s="163">
        <v>7.1000000000000004E-3</v>
      </c>
      <c r="V2361" s="163">
        <v>1.4E-3</v>
      </c>
      <c r="W2361" s="163">
        <v>0.59499999999999997</v>
      </c>
      <c r="X2361" s="163">
        <v>1.1849999999999999E-2</v>
      </c>
      <c r="Y2361" s="163">
        <v>39.434150000000002</v>
      </c>
      <c r="Z2361" s="163">
        <v>2.0999999999999999E-3</v>
      </c>
      <c r="AV2361" s="315">
        <v>0</v>
      </c>
      <c r="AW2361" s="315"/>
      <c r="AX2361" s="314"/>
      <c r="AY2361" s="315">
        <v>0</v>
      </c>
      <c r="BL2361" s="62">
        <v>0</v>
      </c>
      <c r="BM2361" s="275">
        <v>3</v>
      </c>
      <c r="BN2361" s="62">
        <v>0.05</v>
      </c>
      <c r="BO2361" t="s">
        <v>770</v>
      </c>
      <c r="BP2361" s="33" t="s">
        <v>771</v>
      </c>
    </row>
    <row r="2362" spans="1:68">
      <c r="A2362" s="33" t="str">
        <f>Database_Productkaarten[[#This Row],[Product]]&amp;", "&amp;Database_Productkaarten[[#This Row],[Levensfase]]</f>
        <v>Ophoogmateriaal (Klei), B1</v>
      </c>
      <c r="B2362" s="33" t="s">
        <v>776</v>
      </c>
      <c r="C2362" t="s">
        <v>40</v>
      </c>
      <c r="D2362" s="33" t="s">
        <v>777</v>
      </c>
      <c r="E2362" s="33" t="s">
        <v>666</v>
      </c>
      <c r="F2362" s="33" t="s">
        <v>80</v>
      </c>
      <c r="G2362" s="33">
        <v>1</v>
      </c>
      <c r="H2362" s="33">
        <v>1</v>
      </c>
      <c r="I2362" s="33">
        <v>1</v>
      </c>
      <c r="L2362" s="33">
        <v>1.6</v>
      </c>
      <c r="M2362" s="45">
        <v>1.6</v>
      </c>
      <c r="N2362" s="41"/>
      <c r="O2362" s="33">
        <v>100</v>
      </c>
      <c r="P2362" s="163"/>
      <c r="Q2362" s="163"/>
      <c r="R2362" s="163"/>
      <c r="S2362" s="163"/>
      <c r="T2362" s="163"/>
      <c r="U2362" s="163"/>
      <c r="V2362" s="163"/>
      <c r="W2362" s="163"/>
      <c r="X2362" s="163"/>
      <c r="Y2362" s="163"/>
      <c r="Z2362" s="163"/>
      <c r="AV2362" s="315">
        <v>0</v>
      </c>
      <c r="AW2362" s="315"/>
      <c r="AX2362" s="314"/>
      <c r="AY2362" s="315">
        <v>0</v>
      </c>
      <c r="BL2362" s="62">
        <v>0</v>
      </c>
      <c r="BM2362" s="275">
        <v>3</v>
      </c>
      <c r="BN2362" s="62">
        <v>0.05</v>
      </c>
      <c r="BO2362" t="s">
        <v>770</v>
      </c>
      <c r="BP2362" s="33" t="s">
        <v>771</v>
      </c>
    </row>
    <row r="2363" spans="1:68">
      <c r="A2363" s="33" t="str">
        <f>Database_Productkaarten[[#This Row],[Product]]&amp;", "&amp;Database_Productkaarten[[#This Row],[Levensfase]]</f>
        <v>Ophoogmateriaal (Klei), C1</v>
      </c>
      <c r="B2363" s="33" t="s">
        <v>776</v>
      </c>
      <c r="C2363" t="s">
        <v>40</v>
      </c>
      <c r="D2363" s="33" t="s">
        <v>777</v>
      </c>
      <c r="E2363" s="33" t="s">
        <v>666</v>
      </c>
      <c r="F2363" s="33" t="s">
        <v>83</v>
      </c>
      <c r="G2363" s="33">
        <v>1</v>
      </c>
      <c r="H2363" s="33">
        <v>1</v>
      </c>
      <c r="I2363" s="33">
        <v>1</v>
      </c>
      <c r="L2363" s="33">
        <v>1.6</v>
      </c>
      <c r="M2363" s="45">
        <v>1.6</v>
      </c>
      <c r="N2363" s="41">
        <v>3.7519999999999998E-2</v>
      </c>
      <c r="O2363" s="33">
        <v>100</v>
      </c>
      <c r="P2363" s="163">
        <v>0</v>
      </c>
      <c r="Q2363" s="163">
        <v>2.7826079999999998E-3</v>
      </c>
      <c r="R2363" s="163">
        <v>0.40495642049999997</v>
      </c>
      <c r="S2363" s="163">
        <v>0</v>
      </c>
      <c r="T2363" s="163">
        <v>1.7391299999999999E-4</v>
      </c>
      <c r="U2363" s="163">
        <v>1.217391E-3</v>
      </c>
      <c r="V2363" s="163">
        <v>2.6086949999999995E-4</v>
      </c>
      <c r="W2363" s="163">
        <v>0.10026084449999999</v>
      </c>
      <c r="X2363" s="163">
        <v>1.9999994999999999E-3</v>
      </c>
      <c r="Y2363" s="163">
        <v>6.6432157304999997</v>
      </c>
      <c r="Z2363" s="163">
        <v>3.4782599999999997E-4</v>
      </c>
      <c r="AV2363" s="315">
        <v>0</v>
      </c>
      <c r="AW2363" s="315"/>
      <c r="AX2363" s="314"/>
      <c r="AY2363" s="315">
        <v>0</v>
      </c>
      <c r="BL2363" s="62">
        <v>0</v>
      </c>
      <c r="BM2363" s="275">
        <v>3</v>
      </c>
      <c r="BN2363" s="62">
        <v>0.05</v>
      </c>
      <c r="BO2363" t="s">
        <v>770</v>
      </c>
      <c r="BP2363" s="33" t="s">
        <v>771</v>
      </c>
    </row>
    <row r="2364" spans="1:68">
      <c r="A2364" s="33" t="str">
        <f>Database_Productkaarten[[#This Row],[Product]]&amp;", "&amp;Database_Productkaarten[[#This Row],[Levensfase]]</f>
        <v>Ophoogmateriaal (Klei), C2</v>
      </c>
      <c r="B2364" s="33" t="s">
        <v>776</v>
      </c>
      <c r="C2364" t="s">
        <v>40</v>
      </c>
      <c r="D2364" s="33" t="s">
        <v>777</v>
      </c>
      <c r="E2364" s="33" t="s">
        <v>666</v>
      </c>
      <c r="F2364" s="33" t="s">
        <v>84</v>
      </c>
      <c r="G2364" s="33">
        <v>1</v>
      </c>
      <c r="H2364" s="33">
        <v>1</v>
      </c>
      <c r="I2364" s="33">
        <v>1</v>
      </c>
      <c r="L2364" s="33">
        <v>1.6</v>
      </c>
      <c r="M2364" s="45">
        <v>1.6</v>
      </c>
      <c r="N2364" s="41">
        <v>0.76595999999999997</v>
      </c>
      <c r="O2364" s="33">
        <v>100</v>
      </c>
      <c r="P2364" s="163">
        <v>0</v>
      </c>
      <c r="Q2364" s="163">
        <v>0.05</v>
      </c>
      <c r="R2364" s="163">
        <v>6.83</v>
      </c>
      <c r="S2364" s="163">
        <v>0</v>
      </c>
      <c r="T2364" s="163">
        <v>0</v>
      </c>
      <c r="U2364" s="163">
        <v>0.02</v>
      </c>
      <c r="V2364" s="163">
        <v>0.01</v>
      </c>
      <c r="W2364" s="163">
        <v>2.4</v>
      </c>
      <c r="X2364" s="163">
        <v>0.16</v>
      </c>
      <c r="Y2364" s="163">
        <v>405.75</v>
      </c>
      <c r="Z2364" s="163">
        <v>0.01</v>
      </c>
      <c r="AV2364" s="315">
        <v>0</v>
      </c>
      <c r="AW2364" s="315"/>
      <c r="AX2364" s="314"/>
      <c r="AY2364" s="315">
        <v>0</v>
      </c>
      <c r="BL2364" s="62">
        <v>0</v>
      </c>
      <c r="BM2364" s="275">
        <v>3</v>
      </c>
      <c r="BN2364" s="62">
        <v>0.05</v>
      </c>
      <c r="BO2364" t="s">
        <v>770</v>
      </c>
      <c r="BP2364" s="33" t="s">
        <v>771</v>
      </c>
    </row>
    <row r="2365" spans="1:68">
      <c r="A2365" s="33" t="str">
        <f>Database_Productkaarten[[#This Row],[Product]]&amp;", "&amp;Database_Productkaarten[[#This Row],[Levensfase]]</f>
        <v>Ophoogmateriaal (Klei), C3</v>
      </c>
      <c r="B2365" s="33" t="s">
        <v>776</v>
      </c>
      <c r="C2365" t="s">
        <v>40</v>
      </c>
      <c r="D2365" s="33" t="s">
        <v>777</v>
      </c>
      <c r="E2365" s="33" t="s">
        <v>666</v>
      </c>
      <c r="F2365" s="33" t="s">
        <v>85</v>
      </c>
      <c r="G2365" s="33">
        <v>1</v>
      </c>
      <c r="H2365" s="33">
        <v>1</v>
      </c>
      <c r="I2365" s="33">
        <v>1</v>
      </c>
      <c r="L2365" s="33">
        <v>1.6</v>
      </c>
      <c r="M2365" s="45">
        <v>1.6</v>
      </c>
      <c r="N2365" s="41"/>
      <c r="O2365" s="33">
        <v>100</v>
      </c>
      <c r="P2365" s="163">
        <v>0</v>
      </c>
      <c r="Q2365" s="163">
        <v>0</v>
      </c>
      <c r="R2365" s="163">
        <v>0</v>
      </c>
      <c r="S2365" s="163">
        <v>0</v>
      </c>
      <c r="T2365" s="163">
        <v>0</v>
      </c>
      <c r="U2365" s="163">
        <v>0</v>
      </c>
      <c r="V2365" s="163">
        <v>0</v>
      </c>
      <c r="W2365" s="163">
        <v>0</v>
      </c>
      <c r="X2365" s="163">
        <v>0</v>
      </c>
      <c r="Y2365" s="163">
        <v>0</v>
      </c>
      <c r="Z2365" s="163">
        <v>0</v>
      </c>
      <c r="AV2365" s="315">
        <v>0</v>
      </c>
      <c r="AW2365" s="315"/>
      <c r="AX2365" s="314"/>
      <c r="AY2365" s="315">
        <v>0</v>
      </c>
      <c r="BL2365" s="62">
        <v>0</v>
      </c>
      <c r="BM2365" s="275">
        <v>3</v>
      </c>
      <c r="BN2365" s="62">
        <v>0.05</v>
      </c>
      <c r="BO2365" t="s">
        <v>770</v>
      </c>
      <c r="BP2365" s="33" t="s">
        <v>771</v>
      </c>
    </row>
    <row r="2366" spans="1:68">
      <c r="A2366" s="33" t="str">
        <f>Database_Productkaarten[[#This Row],[Product]]&amp;", "&amp;Database_Productkaarten[[#This Row],[Levensfase]]</f>
        <v>Ophoogmateriaal (Klei), C4</v>
      </c>
      <c r="B2366" s="33" t="s">
        <v>776</v>
      </c>
      <c r="C2366" t="s">
        <v>40</v>
      </c>
      <c r="D2366" s="33" t="s">
        <v>777</v>
      </c>
      <c r="E2366" s="33" t="s">
        <v>666</v>
      </c>
      <c r="F2366" s="33" t="s">
        <v>86</v>
      </c>
      <c r="G2366" s="33">
        <v>1</v>
      </c>
      <c r="H2366" s="33">
        <v>1</v>
      </c>
      <c r="I2366" s="33">
        <v>1</v>
      </c>
      <c r="L2366" s="33">
        <v>1.6</v>
      </c>
      <c r="M2366" s="45">
        <v>1.6</v>
      </c>
      <c r="N2366" s="41">
        <v>1.189E-2</v>
      </c>
      <c r="O2366" s="33">
        <v>100</v>
      </c>
      <c r="P2366" s="163">
        <v>0</v>
      </c>
      <c r="Q2366" s="163">
        <v>0</v>
      </c>
      <c r="R2366" s="163">
        <v>0.08</v>
      </c>
      <c r="S2366" s="163">
        <v>0</v>
      </c>
      <c r="T2366" s="163">
        <v>0</v>
      </c>
      <c r="U2366" s="163">
        <v>0</v>
      </c>
      <c r="V2366" s="163">
        <v>0</v>
      </c>
      <c r="W2366" s="163">
        <v>0.04</v>
      </c>
      <c r="X2366" s="163">
        <v>0</v>
      </c>
      <c r="Y2366" s="163">
        <v>3.12</v>
      </c>
      <c r="Z2366" s="163">
        <v>0</v>
      </c>
      <c r="AV2366" s="315">
        <v>2.12E-2</v>
      </c>
      <c r="AW2366" s="315"/>
      <c r="AX2366" s="314"/>
      <c r="AY2366" s="315">
        <v>2.76</v>
      </c>
      <c r="BL2366" s="62">
        <v>0</v>
      </c>
      <c r="BM2366" s="275">
        <v>3</v>
      </c>
      <c r="BN2366" s="62">
        <v>0.05</v>
      </c>
      <c r="BO2366" t="s">
        <v>770</v>
      </c>
      <c r="BP2366" s="33" t="s">
        <v>771</v>
      </c>
    </row>
    <row r="2367" spans="1:68">
      <c r="A2367" s="33" t="str">
        <f>Database_Productkaarten[[#This Row],[Product]]&amp;", "&amp;Database_Productkaarten[[#This Row],[Levensfase]]</f>
        <v>Ophoogmateriaal (Klei), D</v>
      </c>
      <c r="B2367" s="33" t="s">
        <v>776</v>
      </c>
      <c r="C2367" t="s">
        <v>40</v>
      </c>
      <c r="D2367" s="33" t="s">
        <v>777</v>
      </c>
      <c r="E2367" s="33" t="s">
        <v>666</v>
      </c>
      <c r="F2367" s="33" t="s">
        <v>89</v>
      </c>
      <c r="G2367" s="33">
        <v>1</v>
      </c>
      <c r="H2367" s="33">
        <v>1</v>
      </c>
      <c r="I2367" s="33">
        <v>1</v>
      </c>
      <c r="L2367" s="33">
        <v>1.6</v>
      </c>
      <c r="M2367" s="45">
        <v>1.6</v>
      </c>
      <c r="N2367" s="41">
        <v>-2.5502600000000002</v>
      </c>
      <c r="O2367" s="33">
        <v>100</v>
      </c>
      <c r="P2367" s="163">
        <v>0</v>
      </c>
      <c r="Q2367" s="163">
        <v>-7.0000000000000007E-2</v>
      </c>
      <c r="R2367" s="163">
        <v>-11.45</v>
      </c>
      <c r="S2367" s="163">
        <v>0</v>
      </c>
      <c r="T2367" s="163">
        <v>-0.01</v>
      </c>
      <c r="U2367" s="163">
        <v>-0.09</v>
      </c>
      <c r="V2367" s="163">
        <v>-0.02</v>
      </c>
      <c r="W2367" s="163">
        <v>-15.11</v>
      </c>
      <c r="X2367" s="163">
        <v>-0.15</v>
      </c>
      <c r="Y2367" s="163">
        <v>-498.96</v>
      </c>
      <c r="Z2367" s="163">
        <v>-0.09</v>
      </c>
      <c r="AV2367" s="315">
        <v>-9.15</v>
      </c>
      <c r="AW2367" s="315"/>
      <c r="AX2367" s="314"/>
      <c r="AY2367" s="315">
        <v>-150</v>
      </c>
      <c r="BL2367" s="62">
        <v>0</v>
      </c>
      <c r="BM2367" s="275">
        <v>3</v>
      </c>
      <c r="BN2367" s="62">
        <v>0.05</v>
      </c>
      <c r="BO2367" t="s">
        <v>770</v>
      </c>
      <c r="BP2367" s="33" t="s">
        <v>771</v>
      </c>
    </row>
    <row r="2368" spans="1:68">
      <c r="A2368" s="33" t="str">
        <f>Database_Productkaarten[[#This Row],[Product]]&amp;", "&amp;Database_Productkaarten[[#This Row],[Levensfase]]</f>
        <v>Ophoogmateriaal (Klei), D1</v>
      </c>
      <c r="B2368" s="33" t="s">
        <v>776</v>
      </c>
      <c r="C2368" t="s">
        <v>40</v>
      </c>
      <c r="D2368" s="33" t="s">
        <v>777</v>
      </c>
      <c r="E2368" s="33" t="s">
        <v>666</v>
      </c>
      <c r="F2368" s="33" t="s">
        <v>87</v>
      </c>
      <c r="G2368" s="33">
        <v>1</v>
      </c>
      <c r="H2368" s="33">
        <v>1</v>
      </c>
      <c r="I2368" s="33">
        <v>1</v>
      </c>
      <c r="L2368" s="33">
        <v>1.6</v>
      </c>
      <c r="M2368" s="45">
        <v>1.6</v>
      </c>
      <c r="N2368" s="41"/>
      <c r="O2368" s="33">
        <v>100</v>
      </c>
      <c r="AV2368" s="313"/>
      <c r="AW2368" s="314"/>
      <c r="AX2368" s="314"/>
      <c r="AY2368" s="313"/>
      <c r="BL2368" s="62">
        <v>0</v>
      </c>
      <c r="BM2368" s="275">
        <v>3</v>
      </c>
      <c r="BN2368" s="62">
        <v>0.05</v>
      </c>
      <c r="BO2368" t="s">
        <v>770</v>
      </c>
      <c r="BP2368" s="33" t="s">
        <v>771</v>
      </c>
    </row>
    <row r="2369" spans="1:68">
      <c r="A2369" s="33" t="str">
        <f>Database_Productkaarten[[#This Row],[Product]]&amp;", "&amp;Database_Productkaarten[[#This Row],[Levensfase]]</f>
        <v>Ophoogmateriaal (Klei), D2</v>
      </c>
      <c r="B2369" s="33" t="s">
        <v>776</v>
      </c>
      <c r="C2369" t="s">
        <v>40</v>
      </c>
      <c r="D2369" s="33" t="s">
        <v>777</v>
      </c>
      <c r="E2369" s="33" t="s">
        <v>666</v>
      </c>
      <c r="F2369" s="33" t="s">
        <v>88</v>
      </c>
      <c r="G2369" s="33">
        <v>1</v>
      </c>
      <c r="H2369" s="33">
        <v>1</v>
      </c>
      <c r="I2369" s="33">
        <v>1</v>
      </c>
      <c r="L2369" s="33">
        <v>1.6</v>
      </c>
      <c r="M2369" s="45">
        <v>1.6</v>
      </c>
      <c r="N2369" s="41"/>
      <c r="O2369" s="33">
        <v>100</v>
      </c>
      <c r="AV2369" s="313"/>
      <c r="AW2369" s="314"/>
      <c r="AX2369" s="314"/>
      <c r="AY2369" s="313"/>
      <c r="BL2369" s="62">
        <v>0</v>
      </c>
      <c r="BM2369" s="275">
        <v>3</v>
      </c>
      <c r="BN2369" s="62">
        <v>0.05</v>
      </c>
      <c r="BO2369" t="s">
        <v>770</v>
      </c>
      <c r="BP2369" s="33" t="s">
        <v>771</v>
      </c>
    </row>
    <row r="2370" spans="1:68">
      <c r="A2370" s="33" t="str">
        <f>Database_Productkaarten[[#This Row],[Product]]&amp;", "&amp;Database_Productkaarten[[#This Row],[Levensfase]]</f>
        <v>Teelaarde, Totaal</v>
      </c>
      <c r="B2370" s="33" t="s">
        <v>778</v>
      </c>
      <c r="C2370" t="s">
        <v>40</v>
      </c>
      <c r="D2370" s="33" t="s">
        <v>778</v>
      </c>
      <c r="E2370" s="33" t="s">
        <v>666</v>
      </c>
      <c r="F2370" s="33" t="s">
        <v>90</v>
      </c>
      <c r="G2370" s="33">
        <v>1</v>
      </c>
      <c r="H2370" s="33">
        <v>1</v>
      </c>
      <c r="I2370" s="33">
        <v>1</v>
      </c>
      <c r="L2370" s="271">
        <v>1.8</v>
      </c>
      <c r="M2370" s="271">
        <v>1.8</v>
      </c>
      <c r="N2370" s="41"/>
      <c r="O2370" s="33">
        <v>100</v>
      </c>
      <c r="P2370" s="40"/>
      <c r="Q2370" s="40"/>
      <c r="R2370" s="40"/>
      <c r="S2370" s="40"/>
      <c r="T2370" s="40"/>
      <c r="U2370" s="40"/>
      <c r="V2370" s="40"/>
      <c r="W2370" s="40"/>
      <c r="X2370" s="40"/>
      <c r="Y2370" s="40"/>
      <c r="Z2370" s="40"/>
      <c r="AA2370" s="40"/>
      <c r="AB2370" s="40"/>
      <c r="AC2370" s="40"/>
      <c r="AD2370" s="40"/>
      <c r="AE2370" s="40"/>
      <c r="AF2370" s="40"/>
      <c r="AG2370" s="40"/>
      <c r="AH2370" s="40"/>
      <c r="AI2370" s="40"/>
      <c r="AJ2370" s="40"/>
      <c r="AK2370" s="40"/>
      <c r="AL2370" s="40"/>
      <c r="AM2370" s="40"/>
      <c r="AN2370" s="40"/>
      <c r="AO2370" s="40"/>
      <c r="AP2370" s="40"/>
      <c r="AQ2370" s="40"/>
      <c r="AR2370" s="40"/>
      <c r="AS2370" s="40"/>
      <c r="AT2370" s="40"/>
      <c r="AU2370" s="40"/>
      <c r="AV2370" s="313"/>
      <c r="AW2370" s="317"/>
      <c r="AX2370" s="317"/>
      <c r="AY2370" s="313"/>
      <c r="AZ2370" s="40"/>
      <c r="BA2370" s="40"/>
      <c r="BB2370" s="40"/>
      <c r="BC2370" s="40"/>
      <c r="BD2370" s="40"/>
      <c r="BE2370" s="40"/>
      <c r="BF2370" s="40"/>
      <c r="BG2370" s="40"/>
      <c r="BH2370" s="40"/>
      <c r="BI2370" s="40"/>
      <c r="BJ2370" s="40"/>
      <c r="BK2370" s="40"/>
      <c r="BL2370" s="62">
        <v>9.1666999999999998E-2</v>
      </c>
      <c r="BM2370" s="275">
        <v>3</v>
      </c>
      <c r="BN2370" s="62">
        <v>0.05</v>
      </c>
      <c r="BO2370" t="s">
        <v>779</v>
      </c>
    </row>
    <row r="2371" spans="1:68">
      <c r="A2371" s="33" t="str">
        <f>Database_Productkaarten[[#This Row],[Product]]&amp;", "&amp;Database_Productkaarten[[#This Row],[Levensfase]]</f>
        <v>Teelaarde, A1</v>
      </c>
      <c r="B2371" s="33" t="s">
        <v>778</v>
      </c>
      <c r="C2371" t="s">
        <v>40</v>
      </c>
      <c r="D2371" s="33" t="s">
        <v>778</v>
      </c>
      <c r="E2371" s="33" t="s">
        <v>666</v>
      </c>
      <c r="F2371" s="33" t="s">
        <v>74</v>
      </c>
      <c r="G2371" s="33">
        <v>1</v>
      </c>
      <c r="H2371" s="33">
        <v>1</v>
      </c>
      <c r="I2371" s="33">
        <v>1</v>
      </c>
      <c r="L2371" s="271">
        <v>1.8</v>
      </c>
      <c r="M2371" s="271">
        <v>1.8</v>
      </c>
      <c r="N2371" s="41"/>
      <c r="O2371" s="33">
        <v>100</v>
      </c>
      <c r="P2371" s="40"/>
      <c r="Q2371" s="40"/>
      <c r="R2371" s="40"/>
      <c r="S2371" s="40"/>
      <c r="T2371" s="40"/>
      <c r="U2371" s="40"/>
      <c r="V2371" s="40"/>
      <c r="W2371" s="40"/>
      <c r="X2371" s="40"/>
      <c r="Y2371" s="40"/>
      <c r="Z2371" s="40"/>
      <c r="AA2371" s="40"/>
      <c r="AB2371" s="40"/>
      <c r="AC2371" s="40"/>
      <c r="AD2371" s="40"/>
      <c r="AE2371" s="40"/>
      <c r="AF2371" s="40"/>
      <c r="AG2371" s="40"/>
      <c r="AH2371" s="40"/>
      <c r="AI2371" s="40"/>
      <c r="AJ2371" s="40"/>
      <c r="AK2371" s="40"/>
      <c r="AL2371" s="40"/>
      <c r="AM2371" s="40"/>
      <c r="AN2371" s="40"/>
      <c r="AO2371" s="40"/>
      <c r="AP2371" s="40"/>
      <c r="AQ2371" s="40"/>
      <c r="AR2371" s="40"/>
      <c r="AS2371" s="40"/>
      <c r="AT2371" s="40"/>
      <c r="AU2371" s="40"/>
      <c r="AV2371" s="313"/>
      <c r="AW2371" s="317"/>
      <c r="AX2371" s="317"/>
      <c r="AY2371" s="313"/>
      <c r="AZ2371" s="40"/>
      <c r="BA2371" s="40"/>
      <c r="BB2371" s="40"/>
      <c r="BC2371" s="40"/>
      <c r="BD2371" s="40"/>
      <c r="BE2371" s="40"/>
      <c r="BF2371" s="40"/>
      <c r="BG2371" s="40"/>
      <c r="BH2371" s="40"/>
      <c r="BI2371" s="40"/>
      <c r="BJ2371" s="40"/>
      <c r="BK2371" s="40"/>
      <c r="BL2371" s="62">
        <v>9.1666999999999998E-2</v>
      </c>
      <c r="BM2371" s="275">
        <v>3</v>
      </c>
      <c r="BN2371" s="62">
        <v>0.05</v>
      </c>
      <c r="BO2371" t="s">
        <v>779</v>
      </c>
    </row>
    <row r="2372" spans="1:68">
      <c r="A2372" s="33" t="str">
        <f>Database_Productkaarten[[#This Row],[Product]]&amp;", "&amp;Database_Productkaarten[[#This Row],[Levensfase]]</f>
        <v>Teelaarde, A2</v>
      </c>
      <c r="B2372" s="33" t="s">
        <v>778</v>
      </c>
      <c r="C2372" t="s">
        <v>40</v>
      </c>
      <c r="D2372" s="33" t="s">
        <v>778</v>
      </c>
      <c r="E2372" s="33" t="s">
        <v>666</v>
      </c>
      <c r="F2372" s="33" t="s">
        <v>75</v>
      </c>
      <c r="G2372" s="33">
        <v>1</v>
      </c>
      <c r="H2372" s="33">
        <v>1</v>
      </c>
      <c r="I2372" s="33">
        <v>1</v>
      </c>
      <c r="L2372" s="271">
        <v>1.8</v>
      </c>
      <c r="M2372" s="271">
        <v>1.8</v>
      </c>
      <c r="N2372" s="41"/>
      <c r="O2372" s="33">
        <v>100</v>
      </c>
      <c r="P2372" s="40"/>
      <c r="Q2372" s="40"/>
      <c r="R2372" s="40"/>
      <c r="S2372" s="40"/>
      <c r="T2372" s="40"/>
      <c r="U2372" s="40"/>
      <c r="V2372" s="40"/>
      <c r="W2372" s="40"/>
      <c r="X2372" s="40"/>
      <c r="Y2372" s="40"/>
      <c r="Z2372" s="40"/>
      <c r="AA2372" s="40"/>
      <c r="AB2372" s="40"/>
      <c r="AC2372" s="40"/>
      <c r="AD2372" s="40"/>
      <c r="AE2372" s="40"/>
      <c r="AF2372" s="40"/>
      <c r="AG2372" s="40"/>
      <c r="AH2372" s="40"/>
      <c r="AI2372" s="40"/>
      <c r="AJ2372" s="40"/>
      <c r="AK2372" s="40"/>
      <c r="AL2372" s="40"/>
      <c r="AM2372" s="40"/>
      <c r="AN2372" s="40"/>
      <c r="AO2372" s="40"/>
      <c r="AP2372" s="40"/>
      <c r="AQ2372" s="40"/>
      <c r="AR2372" s="40"/>
      <c r="AS2372" s="40"/>
      <c r="AT2372" s="40"/>
      <c r="AU2372" s="40"/>
      <c r="AV2372" s="313"/>
      <c r="AW2372" s="317"/>
      <c r="AX2372" s="317"/>
      <c r="AY2372" s="313"/>
      <c r="AZ2372" s="40"/>
      <c r="BA2372" s="40"/>
      <c r="BB2372" s="40"/>
      <c r="BC2372" s="40"/>
      <c r="BD2372" s="40"/>
      <c r="BE2372" s="40"/>
      <c r="BF2372" s="40"/>
      <c r="BG2372" s="40"/>
      <c r="BH2372" s="40"/>
      <c r="BI2372" s="40"/>
      <c r="BJ2372" s="40"/>
      <c r="BK2372" s="40"/>
      <c r="BL2372" s="62">
        <v>9.1666999999999998E-2</v>
      </c>
      <c r="BM2372" s="275">
        <v>3</v>
      </c>
      <c r="BN2372" s="62">
        <v>0.05</v>
      </c>
      <c r="BO2372" t="s">
        <v>779</v>
      </c>
    </row>
    <row r="2373" spans="1:68">
      <c r="A2373" s="33" t="str">
        <f>Database_Productkaarten[[#This Row],[Product]]&amp;", "&amp;Database_Productkaarten[[#This Row],[Levensfase]]</f>
        <v>Teelaarde, A3</v>
      </c>
      <c r="B2373" s="33" t="s">
        <v>778</v>
      </c>
      <c r="C2373" t="s">
        <v>40</v>
      </c>
      <c r="D2373" s="33" t="s">
        <v>778</v>
      </c>
      <c r="E2373" s="33" t="s">
        <v>666</v>
      </c>
      <c r="F2373" s="33" t="s">
        <v>76</v>
      </c>
      <c r="G2373" s="33">
        <v>1</v>
      </c>
      <c r="H2373" s="33">
        <v>1</v>
      </c>
      <c r="I2373" s="33">
        <v>1</v>
      </c>
      <c r="L2373" s="271">
        <v>1.8</v>
      </c>
      <c r="M2373" s="271">
        <v>1.8</v>
      </c>
      <c r="N2373" s="41"/>
      <c r="O2373" s="33">
        <v>100</v>
      </c>
      <c r="P2373" s="40"/>
      <c r="Q2373" s="40"/>
      <c r="R2373" s="40"/>
      <c r="S2373" s="40"/>
      <c r="T2373" s="40"/>
      <c r="U2373" s="40"/>
      <c r="V2373" s="40"/>
      <c r="W2373" s="40"/>
      <c r="X2373" s="40"/>
      <c r="Y2373" s="40"/>
      <c r="Z2373" s="40"/>
      <c r="AA2373" s="40"/>
      <c r="AB2373" s="40"/>
      <c r="AC2373" s="40"/>
      <c r="AD2373" s="40"/>
      <c r="AE2373" s="40"/>
      <c r="AF2373" s="40"/>
      <c r="AG2373" s="40"/>
      <c r="AH2373" s="40"/>
      <c r="AI2373" s="40"/>
      <c r="AJ2373" s="40"/>
      <c r="AK2373" s="40"/>
      <c r="AL2373" s="40"/>
      <c r="AM2373" s="40"/>
      <c r="AN2373" s="40"/>
      <c r="AO2373" s="40"/>
      <c r="AP2373" s="40"/>
      <c r="AQ2373" s="40"/>
      <c r="AR2373" s="40"/>
      <c r="AS2373" s="40"/>
      <c r="AT2373" s="40"/>
      <c r="AU2373" s="40"/>
      <c r="AV2373" s="313"/>
      <c r="AW2373" s="317"/>
      <c r="AX2373" s="317"/>
      <c r="AY2373" s="313"/>
      <c r="AZ2373" s="40"/>
      <c r="BA2373" s="40"/>
      <c r="BB2373" s="40"/>
      <c r="BC2373" s="40"/>
      <c r="BD2373" s="40"/>
      <c r="BE2373" s="40"/>
      <c r="BF2373" s="40"/>
      <c r="BG2373" s="40"/>
      <c r="BH2373" s="40"/>
      <c r="BI2373" s="40"/>
      <c r="BJ2373" s="40"/>
      <c r="BK2373" s="40"/>
      <c r="BL2373" s="62">
        <v>9.1666999999999998E-2</v>
      </c>
      <c r="BM2373" s="275">
        <v>3</v>
      </c>
      <c r="BN2373" s="62">
        <v>0.05</v>
      </c>
      <c r="BO2373" t="s">
        <v>779</v>
      </c>
    </row>
    <row r="2374" spans="1:68">
      <c r="A2374" s="33" t="str">
        <f>Database_Productkaarten[[#This Row],[Product]]&amp;", "&amp;Database_Productkaarten[[#This Row],[Levensfase]]</f>
        <v>Teelaarde, A1-A3</v>
      </c>
      <c r="B2374" s="33" t="s">
        <v>778</v>
      </c>
      <c r="C2374" t="s">
        <v>40</v>
      </c>
      <c r="D2374" s="33" t="s">
        <v>778</v>
      </c>
      <c r="E2374" s="33" t="s">
        <v>666</v>
      </c>
      <c r="F2374" s="451" t="s">
        <v>77</v>
      </c>
      <c r="G2374" s="33">
        <v>1</v>
      </c>
      <c r="H2374" s="33">
        <v>1</v>
      </c>
      <c r="I2374" s="33">
        <v>1</v>
      </c>
      <c r="L2374" s="271">
        <v>1.8</v>
      </c>
      <c r="M2374" s="271">
        <v>1.8</v>
      </c>
      <c r="N2374" s="41">
        <v>33.42</v>
      </c>
      <c r="O2374" s="33">
        <v>100</v>
      </c>
      <c r="P2374" s="163">
        <v>6.1199999999999997E-5</v>
      </c>
      <c r="Q2374" s="163">
        <v>0.22600000000000001</v>
      </c>
      <c r="R2374" s="163">
        <v>631</v>
      </c>
      <c r="S2374" s="163">
        <v>2.6199999999999999E-6</v>
      </c>
      <c r="T2374" s="163">
        <v>2.1900000000000001E-3</v>
      </c>
      <c r="U2374" s="163">
        <v>0.158</v>
      </c>
      <c r="V2374" s="163">
        <v>2.75E-2</v>
      </c>
      <c r="W2374" s="163">
        <v>9.17</v>
      </c>
      <c r="X2374" s="163">
        <v>0.223</v>
      </c>
      <c r="Y2374" s="163">
        <v>1020</v>
      </c>
      <c r="Z2374" s="163">
        <v>0.11600000000000001</v>
      </c>
      <c r="AA2374" s="40"/>
      <c r="AB2374" s="40"/>
      <c r="AC2374" s="40"/>
      <c r="AD2374" s="40"/>
      <c r="AE2374" s="40"/>
      <c r="AF2374" s="40"/>
      <c r="AG2374" s="40"/>
      <c r="AH2374" s="40"/>
      <c r="AI2374" s="40"/>
      <c r="AJ2374" s="40"/>
      <c r="AK2374" s="40"/>
      <c r="AL2374" s="40"/>
      <c r="AM2374" s="40"/>
      <c r="AN2374" s="40"/>
      <c r="AO2374" s="40"/>
      <c r="AP2374" s="40"/>
      <c r="AQ2374" s="40"/>
      <c r="AR2374" s="40"/>
      <c r="AS2374" s="40"/>
      <c r="AT2374" s="40"/>
      <c r="AU2374" s="40"/>
      <c r="AV2374" s="315">
        <v>9450</v>
      </c>
      <c r="AW2374" s="317"/>
      <c r="AX2374" s="317"/>
      <c r="AY2374" s="313">
        <v>462</v>
      </c>
      <c r="AZ2374" s="40"/>
      <c r="BA2374" s="40"/>
      <c r="BB2374" s="40"/>
      <c r="BC2374" s="40">
        <v>1.86</v>
      </c>
      <c r="BD2374" s="163">
        <v>5.94</v>
      </c>
      <c r="BE2374" s="163">
        <v>2.4599999999999999E-3</v>
      </c>
      <c r="BF2374" s="40"/>
      <c r="BG2374" s="40"/>
      <c r="BH2374" s="40"/>
      <c r="BI2374" s="40"/>
      <c r="BJ2374" s="40"/>
      <c r="BK2374" s="40"/>
      <c r="BL2374" s="62">
        <v>9.1666999999999998E-2</v>
      </c>
      <c r="BM2374" s="275">
        <v>3</v>
      </c>
      <c r="BN2374" s="62">
        <v>0.05</v>
      </c>
      <c r="BO2374" t="s">
        <v>779</v>
      </c>
    </row>
    <row r="2375" spans="1:68">
      <c r="A2375" s="33" t="str">
        <f>Database_Productkaarten[[#This Row],[Product]]&amp;", "&amp;Database_Productkaarten[[#This Row],[Levensfase]]</f>
        <v>Teelaarde, A4</v>
      </c>
      <c r="B2375" s="33" t="s">
        <v>778</v>
      </c>
      <c r="C2375" t="s">
        <v>40</v>
      </c>
      <c r="D2375" s="33" t="s">
        <v>778</v>
      </c>
      <c r="E2375" s="33" t="s">
        <v>666</v>
      </c>
      <c r="F2375" s="33" t="s">
        <v>78</v>
      </c>
      <c r="G2375" s="33">
        <v>1</v>
      </c>
      <c r="H2375" s="33">
        <v>1</v>
      </c>
      <c r="I2375" s="33">
        <v>1</v>
      </c>
      <c r="L2375" s="271">
        <v>1.8</v>
      </c>
      <c r="M2375" s="271">
        <v>1.8</v>
      </c>
      <c r="N2375" s="41">
        <v>0.86</v>
      </c>
      <c r="O2375" s="33">
        <v>100</v>
      </c>
      <c r="P2375" s="163">
        <v>1.4800000000000001E-5</v>
      </c>
      <c r="Q2375" s="163">
        <v>5.8200000000000002E-2</v>
      </c>
      <c r="R2375" s="163">
        <v>7.69</v>
      </c>
      <c r="S2375" s="163">
        <v>1.53E-6</v>
      </c>
      <c r="T2375" s="163">
        <v>4.8500000000000001E-3</v>
      </c>
      <c r="U2375" s="163">
        <v>2.8000000000000001E-2</v>
      </c>
      <c r="V2375" s="163">
        <v>5.7099999999999998E-3</v>
      </c>
      <c r="W2375" s="163">
        <v>2.71</v>
      </c>
      <c r="X2375" s="163">
        <v>0.17499999999999999</v>
      </c>
      <c r="Y2375" s="163">
        <v>457</v>
      </c>
      <c r="Z2375" s="163">
        <v>1.6E-2</v>
      </c>
      <c r="AA2375" s="40"/>
      <c r="AB2375" s="40"/>
      <c r="AC2375" s="40"/>
      <c r="AD2375" s="40"/>
      <c r="AE2375" s="40"/>
      <c r="AF2375" s="40"/>
      <c r="AG2375" s="40"/>
      <c r="AH2375" s="40"/>
      <c r="AI2375" s="40"/>
      <c r="AJ2375" s="40"/>
      <c r="AK2375" s="40"/>
      <c r="AL2375" s="40"/>
      <c r="AM2375" s="40"/>
      <c r="AN2375" s="40"/>
      <c r="AO2375" s="40"/>
      <c r="AP2375" s="40"/>
      <c r="AQ2375" s="40"/>
      <c r="AR2375" s="40"/>
      <c r="AS2375" s="40"/>
      <c r="AT2375" s="40"/>
      <c r="AU2375" s="40"/>
      <c r="AV2375" s="315">
        <v>2.08</v>
      </c>
      <c r="AW2375" s="317"/>
      <c r="AX2375" s="317"/>
      <c r="AY2375" s="313">
        <v>133</v>
      </c>
      <c r="AZ2375" s="40"/>
      <c r="BA2375" s="40"/>
      <c r="BB2375" s="40"/>
      <c r="BC2375" s="40">
        <v>2.7E-2</v>
      </c>
      <c r="BD2375" s="163">
        <v>11</v>
      </c>
      <c r="BE2375" s="163">
        <v>9.41E-4</v>
      </c>
      <c r="BF2375" s="40"/>
      <c r="BG2375" s="40"/>
      <c r="BH2375" s="40"/>
      <c r="BI2375" s="40"/>
      <c r="BJ2375" s="40"/>
      <c r="BK2375" s="40"/>
      <c r="BL2375" s="62">
        <v>9.1666999999999998E-2</v>
      </c>
      <c r="BM2375" s="275">
        <v>3</v>
      </c>
      <c r="BN2375" s="62">
        <v>0.05</v>
      </c>
      <c r="BO2375" t="s">
        <v>779</v>
      </c>
    </row>
    <row r="2376" spans="1:68">
      <c r="A2376" s="33" t="str">
        <f>Database_Productkaarten[[#This Row],[Product]]&amp;", "&amp;Database_Productkaarten[[#This Row],[Levensfase]]</f>
        <v>Teelaarde, A5</v>
      </c>
      <c r="B2376" s="33" t="s">
        <v>778</v>
      </c>
      <c r="C2376" t="s">
        <v>40</v>
      </c>
      <c r="D2376" s="33" t="s">
        <v>778</v>
      </c>
      <c r="E2376" s="33" t="s">
        <v>666</v>
      </c>
      <c r="F2376" s="33" t="s">
        <v>79</v>
      </c>
      <c r="G2376" s="33">
        <v>1</v>
      </c>
      <c r="H2376" s="33">
        <v>1</v>
      </c>
      <c r="I2376" s="33">
        <v>1</v>
      </c>
      <c r="L2376" s="271">
        <v>1.8</v>
      </c>
      <c r="M2376" s="271">
        <v>1.8</v>
      </c>
      <c r="N2376" s="41">
        <v>0.16</v>
      </c>
      <c r="O2376" s="33">
        <v>100</v>
      </c>
      <c r="P2376" s="40">
        <v>7.85E-7</v>
      </c>
      <c r="Q2376" s="40">
        <v>1.15E-2</v>
      </c>
      <c r="R2376" s="40">
        <v>1.68</v>
      </c>
      <c r="S2376" s="40">
        <v>2.9200000000000002E-7</v>
      </c>
      <c r="T2376" s="40">
        <v>5.5199999999999997E-4</v>
      </c>
      <c r="U2376" s="40">
        <v>4.9199999999999999E-3</v>
      </c>
      <c r="V2376" s="40">
        <v>9.41E-4</v>
      </c>
      <c r="W2376" s="40">
        <v>0.41499999999999998</v>
      </c>
      <c r="X2376" s="40">
        <v>8.2199999999999999E-3</v>
      </c>
      <c r="Y2376" s="40">
        <v>27.5</v>
      </c>
      <c r="Z2376" s="40">
        <v>1.48E-3</v>
      </c>
      <c r="AA2376" s="40"/>
      <c r="AB2376" s="40"/>
      <c r="AC2376" s="40"/>
      <c r="AD2376" s="40"/>
      <c r="AE2376" s="40"/>
      <c r="AF2376" s="40"/>
      <c r="AG2376" s="40"/>
      <c r="AH2376" s="40"/>
      <c r="AI2376" s="40"/>
      <c r="AJ2376" s="40"/>
      <c r="AK2376" s="40"/>
      <c r="AL2376" s="40"/>
      <c r="AM2376" s="40"/>
      <c r="AN2376" s="40"/>
      <c r="AO2376" s="40"/>
      <c r="AP2376" s="40"/>
      <c r="AQ2376" s="40"/>
      <c r="AR2376" s="40"/>
      <c r="AS2376" s="40"/>
      <c r="AT2376" s="40"/>
      <c r="AU2376" s="40"/>
      <c r="AV2376" s="317">
        <v>0.186</v>
      </c>
      <c r="AW2376" s="317"/>
      <c r="AX2376" s="317"/>
      <c r="AY2376" s="313">
        <v>25.6</v>
      </c>
      <c r="AZ2376" s="40"/>
      <c r="BA2376" s="40"/>
      <c r="BB2376" s="40"/>
      <c r="BC2376" s="40">
        <v>2.4199999999999998E-3</v>
      </c>
      <c r="BD2376" s="40">
        <v>4.2900000000000001E-2</v>
      </c>
      <c r="BE2376" s="40">
        <v>1.7699999999999999E-4</v>
      </c>
      <c r="BF2376" s="40"/>
      <c r="BG2376" s="40"/>
      <c r="BH2376" s="40"/>
      <c r="BI2376" s="40"/>
      <c r="BJ2376" s="40"/>
      <c r="BK2376" s="40"/>
      <c r="BL2376" s="62">
        <v>9.1666999999999998E-2</v>
      </c>
      <c r="BM2376" s="275">
        <v>3</v>
      </c>
      <c r="BN2376" s="62">
        <v>0.05</v>
      </c>
      <c r="BO2376" t="s">
        <v>779</v>
      </c>
    </row>
    <row r="2377" spans="1:68">
      <c r="A2377" s="33" t="str">
        <f>Database_Productkaarten[[#This Row],[Product]]&amp;", "&amp;Database_Productkaarten[[#This Row],[Levensfase]]</f>
        <v>Teelaarde, B1</v>
      </c>
      <c r="B2377" s="33" t="s">
        <v>778</v>
      </c>
      <c r="C2377" t="s">
        <v>40</v>
      </c>
      <c r="D2377" s="33" t="s">
        <v>778</v>
      </c>
      <c r="E2377" s="33" t="s">
        <v>666</v>
      </c>
      <c r="F2377" s="33" t="s">
        <v>80</v>
      </c>
      <c r="G2377" s="33">
        <v>1</v>
      </c>
      <c r="H2377" s="33">
        <v>1</v>
      </c>
      <c r="I2377" s="33">
        <v>1</v>
      </c>
      <c r="L2377" s="271">
        <v>1.8</v>
      </c>
      <c r="M2377" s="271">
        <v>1.8</v>
      </c>
      <c r="N2377" s="41">
        <v>0</v>
      </c>
      <c r="O2377" s="33">
        <v>100</v>
      </c>
      <c r="P2377" s="40">
        <v>0</v>
      </c>
      <c r="Q2377" s="40">
        <v>0</v>
      </c>
      <c r="R2377" s="40">
        <v>0</v>
      </c>
      <c r="S2377" s="40">
        <v>0</v>
      </c>
      <c r="T2377" s="40">
        <v>0</v>
      </c>
      <c r="U2377" s="40">
        <v>0</v>
      </c>
      <c r="V2377" s="40">
        <v>0</v>
      </c>
      <c r="W2377" s="40">
        <v>0</v>
      </c>
      <c r="X2377" s="40">
        <v>0</v>
      </c>
      <c r="Y2377" s="40">
        <v>0</v>
      </c>
      <c r="Z2377" s="40">
        <v>0</v>
      </c>
      <c r="AA2377" s="40"/>
      <c r="AB2377" s="40"/>
      <c r="AC2377" s="40"/>
      <c r="AD2377" s="40"/>
      <c r="AE2377" s="40"/>
      <c r="AF2377" s="40"/>
      <c r="AG2377" s="40"/>
      <c r="AH2377" s="40"/>
      <c r="AI2377" s="40"/>
      <c r="AJ2377" s="40"/>
      <c r="AK2377" s="40"/>
      <c r="AL2377" s="40"/>
      <c r="AM2377" s="40"/>
      <c r="AN2377" s="40"/>
      <c r="AO2377" s="40"/>
      <c r="AP2377" s="40"/>
      <c r="AQ2377" s="40"/>
      <c r="AR2377" s="40"/>
      <c r="AS2377" s="40"/>
      <c r="AT2377" s="40"/>
      <c r="AU2377" s="40"/>
      <c r="AV2377" s="317">
        <v>0</v>
      </c>
      <c r="AW2377" s="317"/>
      <c r="AX2377" s="317"/>
      <c r="AY2377" s="313">
        <v>0</v>
      </c>
      <c r="AZ2377" s="40"/>
      <c r="BA2377" s="40"/>
      <c r="BB2377" s="40"/>
      <c r="BC2377" s="40">
        <v>0</v>
      </c>
      <c r="BD2377" s="40">
        <v>0</v>
      </c>
      <c r="BE2377" s="40">
        <v>0</v>
      </c>
      <c r="BF2377" s="40"/>
      <c r="BG2377" s="40"/>
      <c r="BH2377" s="40"/>
      <c r="BI2377" s="40"/>
      <c r="BJ2377" s="40"/>
      <c r="BK2377" s="40"/>
      <c r="BL2377" s="62">
        <v>9.1666999999999998E-2</v>
      </c>
      <c r="BM2377" s="275">
        <v>3</v>
      </c>
      <c r="BN2377" s="62">
        <v>0.05</v>
      </c>
      <c r="BO2377" t="s">
        <v>779</v>
      </c>
    </row>
    <row r="2378" spans="1:68">
      <c r="A2378" s="33" t="str">
        <f>Database_Productkaarten[[#This Row],[Product]]&amp;", "&amp;Database_Productkaarten[[#This Row],[Levensfase]]</f>
        <v>Teelaarde, C1</v>
      </c>
      <c r="B2378" s="33" t="s">
        <v>778</v>
      </c>
      <c r="C2378" t="s">
        <v>40</v>
      </c>
      <c r="D2378" s="33" t="s">
        <v>778</v>
      </c>
      <c r="E2378" s="33" t="s">
        <v>666</v>
      </c>
      <c r="F2378" s="33" t="s">
        <v>83</v>
      </c>
      <c r="G2378" s="33">
        <v>1</v>
      </c>
      <c r="H2378" s="33">
        <v>1</v>
      </c>
      <c r="I2378" s="33">
        <v>1</v>
      </c>
      <c r="L2378" s="271">
        <v>1.8</v>
      </c>
      <c r="M2378" s="271">
        <v>1.8</v>
      </c>
      <c r="N2378" s="41">
        <v>0.16</v>
      </c>
      <c r="O2378" s="33">
        <v>100</v>
      </c>
      <c r="P2378" s="40">
        <v>7.85E-7</v>
      </c>
      <c r="Q2378" s="40">
        <v>1.15E-2</v>
      </c>
      <c r="R2378" s="40">
        <v>1.68</v>
      </c>
      <c r="S2378" s="40">
        <v>2.9200000000000002E-7</v>
      </c>
      <c r="T2378" s="40">
        <v>5.5199999999999997E-4</v>
      </c>
      <c r="U2378" s="40">
        <v>4.9199999999999999E-3</v>
      </c>
      <c r="V2378" s="40">
        <v>9.41E-4</v>
      </c>
      <c r="W2378" s="40">
        <v>0.41499999999999998</v>
      </c>
      <c r="X2378" s="40">
        <v>8.2199999999999999E-3</v>
      </c>
      <c r="Y2378" s="40">
        <v>27.5</v>
      </c>
      <c r="Z2378" s="40">
        <v>1.48E-3</v>
      </c>
      <c r="AA2378" s="40"/>
      <c r="AB2378" s="40"/>
      <c r="AC2378" s="40"/>
      <c r="AD2378" s="40"/>
      <c r="AE2378" s="40"/>
      <c r="AF2378" s="40"/>
      <c r="AG2378" s="40"/>
      <c r="AH2378" s="40"/>
      <c r="AI2378" s="40"/>
      <c r="AJ2378" s="40"/>
      <c r="AK2378" s="40"/>
      <c r="AL2378" s="40"/>
      <c r="AM2378" s="40"/>
      <c r="AN2378" s="40"/>
      <c r="AO2378" s="40"/>
      <c r="AP2378" s="40"/>
      <c r="AQ2378" s="40"/>
      <c r="AR2378" s="40"/>
      <c r="AS2378" s="40"/>
      <c r="AT2378" s="40"/>
      <c r="AU2378" s="40"/>
      <c r="AV2378" s="317">
        <v>0.186</v>
      </c>
      <c r="AW2378" s="317"/>
      <c r="AX2378" s="317"/>
      <c r="AY2378" s="313">
        <v>25.6</v>
      </c>
      <c r="AZ2378" s="40"/>
      <c r="BA2378" s="40"/>
      <c r="BB2378" s="40"/>
      <c r="BC2378" s="40">
        <v>2.4199999999999998E-3</v>
      </c>
      <c r="BD2378" s="40">
        <v>4.2900000000000001E-2</v>
      </c>
      <c r="BE2378" s="40">
        <v>1.7699999999999999E-4</v>
      </c>
      <c r="BF2378" s="40"/>
      <c r="BG2378" s="40"/>
      <c r="BH2378" s="40"/>
      <c r="BI2378" s="40"/>
      <c r="BJ2378" s="40"/>
      <c r="BK2378" s="40"/>
      <c r="BL2378" s="62">
        <v>9.1666999999999998E-2</v>
      </c>
      <c r="BM2378" s="275">
        <v>3</v>
      </c>
      <c r="BN2378" s="62">
        <v>0.05</v>
      </c>
      <c r="BO2378" t="s">
        <v>779</v>
      </c>
    </row>
    <row r="2379" spans="1:68">
      <c r="A2379" s="33" t="str">
        <f>Database_Productkaarten[[#This Row],[Product]]&amp;", "&amp;Database_Productkaarten[[#This Row],[Levensfase]]</f>
        <v>Teelaarde, C2</v>
      </c>
      <c r="B2379" s="33" t="s">
        <v>778</v>
      </c>
      <c r="C2379" t="s">
        <v>40</v>
      </c>
      <c r="D2379" s="33" t="s">
        <v>778</v>
      </c>
      <c r="E2379" s="33" t="s">
        <v>666</v>
      </c>
      <c r="F2379" s="33" t="s">
        <v>84</v>
      </c>
      <c r="G2379" s="33">
        <v>1</v>
      </c>
      <c r="H2379" s="33">
        <v>1</v>
      </c>
      <c r="I2379" s="33">
        <v>1</v>
      </c>
      <c r="L2379" s="271">
        <v>1.8</v>
      </c>
      <c r="M2379" s="271">
        <v>1.8</v>
      </c>
      <c r="N2379" s="41">
        <v>0.86</v>
      </c>
      <c r="O2379" s="33">
        <v>100</v>
      </c>
      <c r="P2379" s="40">
        <v>1.4800000000000001E-5</v>
      </c>
      <c r="Q2379" s="40">
        <v>5.8200000000000002E-2</v>
      </c>
      <c r="R2379" s="40">
        <v>7.69</v>
      </c>
      <c r="S2379" s="40">
        <v>1.53E-6</v>
      </c>
      <c r="T2379" s="40">
        <v>4.8500000000000001E-3</v>
      </c>
      <c r="U2379" s="40">
        <v>2.8000000000000001E-2</v>
      </c>
      <c r="V2379" s="40">
        <v>5.7099999999999998E-3</v>
      </c>
      <c r="W2379" s="40">
        <v>2.71</v>
      </c>
      <c r="X2379" s="40">
        <v>0.17499999999999999</v>
      </c>
      <c r="Y2379" s="40">
        <v>457</v>
      </c>
      <c r="Z2379" s="40">
        <v>1.6E-2</v>
      </c>
      <c r="AA2379" s="40"/>
      <c r="AB2379" s="40"/>
      <c r="AC2379" s="40"/>
      <c r="AD2379" s="40"/>
      <c r="AE2379" s="40"/>
      <c r="AF2379" s="40"/>
      <c r="AG2379" s="40"/>
      <c r="AH2379" s="40"/>
      <c r="AI2379" s="40"/>
      <c r="AJ2379" s="40"/>
      <c r="AK2379" s="40"/>
      <c r="AL2379" s="40"/>
      <c r="AM2379" s="40"/>
      <c r="AN2379" s="40"/>
      <c r="AO2379" s="40"/>
      <c r="AP2379" s="40"/>
      <c r="AQ2379" s="40"/>
      <c r="AR2379" s="40"/>
      <c r="AS2379" s="40"/>
      <c r="AT2379" s="40"/>
      <c r="AU2379" s="40"/>
      <c r="AV2379" s="317">
        <v>2.08</v>
      </c>
      <c r="AW2379" s="317"/>
      <c r="AX2379" s="317"/>
      <c r="AY2379" s="313">
        <v>133</v>
      </c>
      <c r="AZ2379" s="40"/>
      <c r="BA2379" s="40"/>
      <c r="BB2379" s="40"/>
      <c r="BC2379" s="40">
        <v>2.7E-2</v>
      </c>
      <c r="BD2379" s="40">
        <v>11</v>
      </c>
      <c r="BE2379" s="40">
        <v>9.41E-4</v>
      </c>
      <c r="BF2379" s="40"/>
      <c r="BG2379" s="40"/>
      <c r="BH2379" s="40"/>
      <c r="BI2379" s="40"/>
      <c r="BJ2379" s="40"/>
      <c r="BK2379" s="40"/>
      <c r="BL2379" s="62">
        <v>9.1666999999999998E-2</v>
      </c>
      <c r="BM2379" s="275">
        <v>3</v>
      </c>
      <c r="BN2379" s="62">
        <v>0.05</v>
      </c>
      <c r="BO2379" t="s">
        <v>779</v>
      </c>
    </row>
    <row r="2380" spans="1:68">
      <c r="A2380" s="33" t="str">
        <f>Database_Productkaarten[[#This Row],[Product]]&amp;", "&amp;Database_Productkaarten[[#This Row],[Levensfase]]</f>
        <v>Teelaarde, C3</v>
      </c>
      <c r="B2380" s="33" t="s">
        <v>778</v>
      </c>
      <c r="C2380" t="s">
        <v>40</v>
      </c>
      <c r="D2380" s="33" t="s">
        <v>778</v>
      </c>
      <c r="E2380" s="33" t="s">
        <v>666</v>
      </c>
      <c r="F2380" s="33" t="s">
        <v>85</v>
      </c>
      <c r="G2380" s="33">
        <v>1</v>
      </c>
      <c r="H2380" s="33">
        <v>1</v>
      </c>
      <c r="I2380" s="33">
        <v>1</v>
      </c>
      <c r="L2380" s="271">
        <v>1.8</v>
      </c>
      <c r="M2380" s="271">
        <v>1.8</v>
      </c>
      <c r="N2380" s="41">
        <v>0</v>
      </c>
      <c r="O2380" s="33">
        <v>100</v>
      </c>
      <c r="P2380" s="40">
        <v>0</v>
      </c>
      <c r="Q2380" s="40">
        <v>0</v>
      </c>
      <c r="R2380" s="40">
        <v>0</v>
      </c>
      <c r="S2380" s="40">
        <v>0</v>
      </c>
      <c r="T2380" s="40">
        <v>0</v>
      </c>
      <c r="U2380" s="40">
        <v>0</v>
      </c>
      <c r="V2380" s="40">
        <v>0</v>
      </c>
      <c r="W2380" s="40">
        <v>0</v>
      </c>
      <c r="X2380" s="40">
        <v>0</v>
      </c>
      <c r="Y2380" s="40">
        <v>0</v>
      </c>
      <c r="Z2380" s="40">
        <v>0</v>
      </c>
      <c r="AA2380" s="40"/>
      <c r="AB2380" s="40"/>
      <c r="AC2380" s="40"/>
      <c r="AD2380" s="40"/>
      <c r="AE2380" s="40"/>
      <c r="AF2380" s="40"/>
      <c r="AG2380" s="40"/>
      <c r="AH2380" s="40"/>
      <c r="AI2380" s="40"/>
      <c r="AJ2380" s="40"/>
      <c r="AK2380" s="40"/>
      <c r="AL2380" s="40"/>
      <c r="AM2380" s="40"/>
      <c r="AN2380" s="40"/>
      <c r="AO2380" s="40"/>
      <c r="AP2380" s="40"/>
      <c r="AQ2380" s="40"/>
      <c r="AR2380" s="40"/>
      <c r="AS2380" s="40"/>
      <c r="AT2380" s="40"/>
      <c r="AU2380" s="40"/>
      <c r="AV2380" s="317">
        <v>0</v>
      </c>
      <c r="AW2380" s="317"/>
      <c r="AX2380" s="317"/>
      <c r="AY2380" s="313">
        <v>0</v>
      </c>
      <c r="AZ2380" s="40"/>
      <c r="BA2380" s="40"/>
      <c r="BB2380" s="40"/>
      <c r="BC2380" s="40">
        <v>0</v>
      </c>
      <c r="BD2380" s="40">
        <v>0</v>
      </c>
      <c r="BE2380" s="40">
        <v>0</v>
      </c>
      <c r="BF2380" s="40"/>
      <c r="BG2380" s="40"/>
      <c r="BH2380" s="40"/>
      <c r="BI2380" s="40"/>
      <c r="BJ2380" s="40"/>
      <c r="BK2380" s="40"/>
      <c r="BL2380" s="62">
        <v>9.1666999999999998E-2</v>
      </c>
      <c r="BM2380" s="275">
        <v>3</v>
      </c>
      <c r="BN2380" s="62">
        <v>0.05</v>
      </c>
      <c r="BO2380" t="s">
        <v>779</v>
      </c>
    </row>
    <row r="2381" spans="1:68">
      <c r="A2381" s="33" t="str">
        <f>Database_Productkaarten[[#This Row],[Product]]&amp;", "&amp;Database_Productkaarten[[#This Row],[Levensfase]]</f>
        <v>Teelaarde, C4</v>
      </c>
      <c r="B2381" s="33" t="s">
        <v>778</v>
      </c>
      <c r="C2381" t="s">
        <v>40</v>
      </c>
      <c r="D2381" s="33" t="s">
        <v>778</v>
      </c>
      <c r="E2381" s="33" t="s">
        <v>666</v>
      </c>
      <c r="F2381" s="33" t="s">
        <v>86</v>
      </c>
      <c r="G2381" s="33">
        <v>1</v>
      </c>
      <c r="H2381" s="33">
        <v>1</v>
      </c>
      <c r="I2381" s="33">
        <v>1</v>
      </c>
      <c r="L2381" s="271">
        <v>1.8</v>
      </c>
      <c r="M2381" s="271">
        <v>1.8</v>
      </c>
      <c r="N2381" s="41">
        <v>0.01</v>
      </c>
      <c r="O2381" s="33">
        <v>100</v>
      </c>
      <c r="P2381" s="40">
        <v>1.0700000000000001E-7</v>
      </c>
      <c r="Q2381" s="40">
        <v>1.39E-3</v>
      </c>
      <c r="R2381" s="40">
        <v>9.5100000000000004E-2</v>
      </c>
      <c r="S2381" s="40">
        <v>3.4300000000000003E-8</v>
      </c>
      <c r="T2381" s="40">
        <v>1.0399999999999999E-4</v>
      </c>
      <c r="U2381" s="40">
        <v>7.1699999999999997E-4</v>
      </c>
      <c r="V2381" s="40">
        <v>1.36E-4</v>
      </c>
      <c r="W2381" s="40">
        <v>4.1300000000000003E-2</v>
      </c>
      <c r="X2381" s="40">
        <v>1E-3</v>
      </c>
      <c r="Y2381" s="40">
        <v>3.51</v>
      </c>
      <c r="Z2381" s="40">
        <v>1.03E-4</v>
      </c>
      <c r="AA2381" s="40"/>
      <c r="AB2381" s="40"/>
      <c r="AC2381" s="40"/>
      <c r="AD2381" s="40"/>
      <c r="AE2381" s="40"/>
      <c r="AF2381" s="40"/>
      <c r="AG2381" s="40"/>
      <c r="AH2381" s="40"/>
      <c r="AI2381" s="40"/>
      <c r="AJ2381" s="40"/>
      <c r="AK2381" s="40"/>
      <c r="AL2381" s="40"/>
      <c r="AM2381" s="40"/>
      <c r="AN2381" s="40"/>
      <c r="AO2381" s="40"/>
      <c r="AP2381" s="40"/>
      <c r="AQ2381" s="40"/>
      <c r="AR2381" s="40"/>
      <c r="AS2381" s="40"/>
      <c r="AT2381" s="40"/>
      <c r="AU2381" s="40"/>
      <c r="AV2381" s="317">
        <v>2.3699999999999999E-2</v>
      </c>
      <c r="AW2381" s="317"/>
      <c r="AX2381" s="317"/>
      <c r="AY2381" s="313">
        <v>3.11</v>
      </c>
      <c r="AZ2381" s="40"/>
      <c r="BA2381" s="40"/>
      <c r="BB2381" s="40"/>
      <c r="BC2381" s="40">
        <v>2.8999999999999998E-3</v>
      </c>
      <c r="BD2381" s="40">
        <v>18</v>
      </c>
      <c r="BE2381" s="40">
        <v>2.1299999999999999E-5</v>
      </c>
      <c r="BF2381" s="40"/>
      <c r="BG2381" s="40"/>
      <c r="BH2381" s="40"/>
      <c r="BI2381" s="40"/>
      <c r="BJ2381" s="40"/>
      <c r="BK2381" s="40"/>
      <c r="BL2381" s="62">
        <v>9.1666999999999998E-2</v>
      </c>
      <c r="BM2381" s="275">
        <v>3</v>
      </c>
      <c r="BN2381" s="62">
        <v>0.05</v>
      </c>
      <c r="BO2381" t="s">
        <v>779</v>
      </c>
    </row>
    <row r="2382" spans="1:68">
      <c r="A2382" s="33" t="str">
        <f>Database_Productkaarten[[#This Row],[Product]]&amp;", "&amp;Database_Productkaarten[[#This Row],[Levensfase]]</f>
        <v>Teelaarde, D</v>
      </c>
      <c r="B2382" s="33" t="s">
        <v>778</v>
      </c>
      <c r="C2382" t="s">
        <v>40</v>
      </c>
      <c r="D2382" s="33" t="s">
        <v>778</v>
      </c>
      <c r="E2382" s="33" t="s">
        <v>666</v>
      </c>
      <c r="F2382" s="33" t="s">
        <v>89</v>
      </c>
      <c r="G2382" s="33">
        <v>1</v>
      </c>
      <c r="H2382" s="33">
        <v>1</v>
      </c>
      <c r="I2382" s="33">
        <v>1</v>
      </c>
      <c r="L2382" s="271">
        <v>1.8</v>
      </c>
      <c r="M2382" s="271">
        <v>1.8</v>
      </c>
      <c r="N2382" s="41">
        <v>-0.96</v>
      </c>
      <c r="O2382" s="33">
        <v>100</v>
      </c>
      <c r="P2382" s="40">
        <v>-4.1499999999999999E-5</v>
      </c>
      <c r="Q2382" s="40">
        <v>-5.1400000000000001E-2</v>
      </c>
      <c r="R2382" s="40">
        <v>-7.48</v>
      </c>
      <c r="S2382" s="40">
        <v>-6.7100000000000001E-7</v>
      </c>
      <c r="T2382" s="40">
        <v>-5.4200000000000003E-3</v>
      </c>
      <c r="U2382" s="40">
        <v>-4.2900000000000001E-2</v>
      </c>
      <c r="V2382" s="40">
        <v>-7.4599999999999996E-3</v>
      </c>
      <c r="W2382" s="40">
        <v>-3.34</v>
      </c>
      <c r="X2382" s="40">
        <v>-4.7800000000000002E-2</v>
      </c>
      <c r="Y2382" s="40">
        <v>-209</v>
      </c>
      <c r="Z2382" s="40">
        <v>-1.7399999999999999E-2</v>
      </c>
      <c r="AA2382" s="40"/>
      <c r="AB2382" s="40"/>
      <c r="AC2382" s="40"/>
      <c r="AD2382" s="40"/>
      <c r="AE2382" s="40"/>
      <c r="AF2382" s="40"/>
      <c r="AG2382" s="40"/>
      <c r="AH2382" s="40"/>
      <c r="AI2382" s="40"/>
      <c r="AJ2382" s="40"/>
      <c r="AK2382" s="40"/>
      <c r="AL2382" s="40"/>
      <c r="AM2382" s="40"/>
      <c r="AN2382" s="40"/>
      <c r="AO2382" s="40"/>
      <c r="AP2382" s="40"/>
      <c r="AQ2382" s="40"/>
      <c r="AR2382" s="40"/>
      <c r="AS2382" s="40"/>
      <c r="AT2382" s="40"/>
      <c r="AU2382" s="40"/>
      <c r="AV2382" s="317">
        <v>-6.22</v>
      </c>
      <c r="AW2382" s="317"/>
      <c r="AX2382" s="317"/>
      <c r="AY2382" s="313">
        <v>-104</v>
      </c>
      <c r="AZ2382" s="40"/>
      <c r="BA2382" s="40"/>
      <c r="BB2382" s="40"/>
      <c r="BC2382" s="40">
        <v>-2.5099999999999998</v>
      </c>
      <c r="BD2382" s="40">
        <v>-1.01</v>
      </c>
      <c r="BE2382" s="40">
        <v>-5.7300000000000005E-4</v>
      </c>
      <c r="BF2382" s="40"/>
      <c r="BG2382" s="40"/>
      <c r="BH2382" s="40"/>
      <c r="BI2382" s="40"/>
      <c r="BJ2382" s="40"/>
      <c r="BK2382" s="40"/>
      <c r="BL2382" s="62">
        <v>9.1666999999999998E-2</v>
      </c>
      <c r="BM2382" s="275">
        <v>3</v>
      </c>
      <c r="BN2382" s="62">
        <v>0.05</v>
      </c>
      <c r="BO2382" t="s">
        <v>779</v>
      </c>
    </row>
    <row r="2383" spans="1:68">
      <c r="A2383" s="33" t="str">
        <f>Database_Productkaarten[[#This Row],[Product]]&amp;", "&amp;Database_Productkaarten[[#This Row],[Levensfase]]</f>
        <v>Teelaarde, D1</v>
      </c>
      <c r="B2383" s="33" t="s">
        <v>778</v>
      </c>
      <c r="C2383" t="s">
        <v>40</v>
      </c>
      <c r="D2383" s="33" t="s">
        <v>778</v>
      </c>
      <c r="E2383" s="33" t="s">
        <v>666</v>
      </c>
      <c r="F2383" s="33" t="s">
        <v>87</v>
      </c>
      <c r="G2383" s="33">
        <v>1</v>
      </c>
      <c r="H2383" s="33">
        <v>1</v>
      </c>
      <c r="I2383" s="33">
        <v>1</v>
      </c>
      <c r="L2383" s="271">
        <v>1.8</v>
      </c>
      <c r="M2383" s="271">
        <v>1.8</v>
      </c>
      <c r="N2383" s="41"/>
      <c r="O2383" s="33">
        <v>100</v>
      </c>
      <c r="P2383" s="40"/>
      <c r="Q2383" s="40"/>
      <c r="R2383" s="40"/>
      <c r="S2383" s="40"/>
      <c r="T2383" s="40"/>
      <c r="U2383" s="40"/>
      <c r="V2383" s="40"/>
      <c r="W2383" s="40"/>
      <c r="X2383" s="40"/>
      <c r="Y2383" s="40"/>
      <c r="Z2383" s="40"/>
      <c r="AA2383" s="40"/>
      <c r="AB2383" s="40"/>
      <c r="AC2383" s="40"/>
      <c r="AD2383" s="40"/>
      <c r="AE2383" s="40"/>
      <c r="AF2383" s="40"/>
      <c r="AG2383" s="40"/>
      <c r="AH2383" s="40"/>
      <c r="AI2383" s="40"/>
      <c r="AJ2383" s="40"/>
      <c r="AK2383" s="40"/>
      <c r="AL2383" s="40"/>
      <c r="AM2383" s="40"/>
      <c r="AN2383" s="40"/>
      <c r="AO2383" s="40"/>
      <c r="AP2383" s="40"/>
      <c r="AQ2383" s="40"/>
      <c r="AR2383" s="40"/>
      <c r="AS2383" s="40"/>
      <c r="AT2383" s="40"/>
      <c r="AU2383" s="40"/>
      <c r="AV2383" s="313"/>
      <c r="AW2383" s="317"/>
      <c r="AX2383" s="317"/>
      <c r="AY2383" s="313"/>
      <c r="AZ2383" s="40"/>
      <c r="BA2383" s="40"/>
      <c r="BB2383" s="40"/>
      <c r="BC2383" s="40"/>
      <c r="BD2383" s="40"/>
      <c r="BE2383" s="40"/>
      <c r="BF2383" s="40"/>
      <c r="BG2383" s="40"/>
      <c r="BH2383" s="40"/>
      <c r="BI2383" s="40"/>
      <c r="BJ2383" s="40"/>
      <c r="BK2383" s="40"/>
      <c r="BL2383" s="62">
        <v>9.1666999999999998E-2</v>
      </c>
      <c r="BM2383" s="275">
        <v>3</v>
      </c>
      <c r="BN2383" s="62">
        <v>0.05</v>
      </c>
      <c r="BO2383" t="s">
        <v>779</v>
      </c>
    </row>
    <row r="2384" spans="1:68">
      <c r="A2384" s="33" t="str">
        <f>Database_Productkaarten[[#This Row],[Product]]&amp;", "&amp;Database_Productkaarten[[#This Row],[Levensfase]]</f>
        <v>Teelaarde, D2</v>
      </c>
      <c r="B2384" s="33" t="s">
        <v>778</v>
      </c>
      <c r="C2384" t="s">
        <v>40</v>
      </c>
      <c r="D2384" s="33" t="s">
        <v>778</v>
      </c>
      <c r="E2384" s="33" t="s">
        <v>666</v>
      </c>
      <c r="F2384" s="33" t="s">
        <v>88</v>
      </c>
      <c r="G2384" s="33">
        <v>1</v>
      </c>
      <c r="H2384" s="33">
        <v>1</v>
      </c>
      <c r="I2384" s="33">
        <v>1</v>
      </c>
      <c r="L2384" s="271">
        <v>1.8</v>
      </c>
      <c r="M2384" s="271">
        <v>1.8</v>
      </c>
      <c r="N2384" s="41"/>
      <c r="O2384" s="33">
        <v>100</v>
      </c>
      <c r="P2384" s="40"/>
      <c r="Q2384" s="40"/>
      <c r="R2384" s="40"/>
      <c r="S2384" s="40"/>
      <c r="T2384" s="40"/>
      <c r="U2384" s="40"/>
      <c r="V2384" s="40"/>
      <c r="W2384" s="40"/>
      <c r="X2384" s="40"/>
      <c r="Y2384" s="40"/>
      <c r="Z2384" s="40"/>
      <c r="AA2384" s="40"/>
      <c r="AB2384" s="40"/>
      <c r="AC2384" s="40"/>
      <c r="AD2384" s="40"/>
      <c r="AE2384" s="40"/>
      <c r="AF2384" s="40"/>
      <c r="AG2384" s="40"/>
      <c r="AH2384" s="40"/>
      <c r="AI2384" s="40"/>
      <c r="AJ2384" s="40"/>
      <c r="AK2384" s="40"/>
      <c r="AL2384" s="40"/>
      <c r="AM2384" s="40"/>
      <c r="AN2384" s="40"/>
      <c r="AO2384" s="40"/>
      <c r="AP2384" s="40"/>
      <c r="AQ2384" s="40"/>
      <c r="AR2384" s="40"/>
      <c r="AS2384" s="40"/>
      <c r="AT2384" s="40"/>
      <c r="AU2384" s="40"/>
      <c r="AV2384" s="313"/>
      <c r="AW2384" s="317"/>
      <c r="AX2384" s="317"/>
      <c r="AY2384" s="313"/>
      <c r="AZ2384" s="40"/>
      <c r="BA2384" s="40"/>
      <c r="BB2384" s="40"/>
      <c r="BC2384" s="40"/>
      <c r="BD2384" s="40"/>
      <c r="BE2384" s="40"/>
      <c r="BF2384" s="40"/>
      <c r="BG2384" s="40"/>
      <c r="BH2384" s="40"/>
      <c r="BI2384" s="40"/>
      <c r="BJ2384" s="40"/>
      <c r="BK2384" s="40"/>
      <c r="BL2384" s="62">
        <v>9.1666999999999998E-2</v>
      </c>
      <c r="BM2384" s="275">
        <v>3</v>
      </c>
      <c r="BN2384" s="62">
        <v>0.05</v>
      </c>
      <c r="BO2384" t="s">
        <v>779</v>
      </c>
    </row>
    <row r="2385" spans="1:68">
      <c r="A2385" s="33" t="str">
        <f>Database_Productkaarten[[#This Row],[Product]]&amp;", "&amp;Database_Productkaarten[[#This Row],[Levensfase]]</f>
        <v>Brugdekplanken, Hout, 3x3m, Totaal</v>
      </c>
      <c r="B2385" s="33" t="s">
        <v>780</v>
      </c>
      <c r="C2385" s="33" t="s">
        <v>781</v>
      </c>
      <c r="D2385" s="33" t="s">
        <v>782</v>
      </c>
      <c r="E2385" s="33" t="s">
        <v>783</v>
      </c>
      <c r="F2385" s="33" t="s">
        <v>90</v>
      </c>
      <c r="G2385" s="33">
        <v>3</v>
      </c>
      <c r="H2385" s="33">
        <v>3</v>
      </c>
      <c r="I2385" s="33">
        <v>3.5000000000000003E-2</v>
      </c>
      <c r="L2385" s="33">
        <v>0.65</v>
      </c>
      <c r="M2385" s="269">
        <v>0.1945125</v>
      </c>
      <c r="N2385" s="41"/>
      <c r="O2385" s="33">
        <v>30</v>
      </c>
      <c r="AV2385" s="316"/>
      <c r="AW2385" s="314"/>
      <c r="AX2385" s="314"/>
      <c r="AY2385" s="316"/>
      <c r="BL2385" s="62">
        <v>0</v>
      </c>
      <c r="BM2385" s="275">
        <v>3</v>
      </c>
      <c r="BN2385" s="62">
        <v>0.03</v>
      </c>
    </row>
    <row r="2386" spans="1:68">
      <c r="A2386" s="33" t="str">
        <f>Database_Productkaarten[[#This Row],[Product]]&amp;", "&amp;Database_Productkaarten[[#This Row],[Levensfase]]</f>
        <v>Brugdekplanken, Hout, 3x3m, A1</v>
      </c>
      <c r="B2386" s="33" t="s">
        <v>780</v>
      </c>
      <c r="C2386" s="33" t="s">
        <v>781</v>
      </c>
      <c r="D2386" s="33" t="s">
        <v>782</v>
      </c>
      <c r="E2386" s="33" t="s">
        <v>783</v>
      </c>
      <c r="F2386" s="33" t="s">
        <v>74</v>
      </c>
      <c r="G2386" s="33">
        <v>3</v>
      </c>
      <c r="H2386" s="33">
        <v>3</v>
      </c>
      <c r="I2386" s="33">
        <v>3.5000000000000003E-2</v>
      </c>
      <c r="L2386" s="33">
        <v>0.65</v>
      </c>
      <c r="M2386" s="269">
        <v>0.1945125</v>
      </c>
      <c r="N2386" s="41">
        <v>4.8250056889125013</v>
      </c>
      <c r="O2386" s="33">
        <v>30</v>
      </c>
      <c r="P2386" s="33">
        <v>6.2689657314375018E-4</v>
      </c>
      <c r="Q2386" s="33">
        <v>0.23411026548000002</v>
      </c>
      <c r="R2386" s="33">
        <v>33.419247088500008</v>
      </c>
      <c r="S2386" s="33">
        <v>4.0633945238250004E-6</v>
      </c>
      <c r="T2386" s="33">
        <v>7.0055339956875004E-2</v>
      </c>
      <c r="U2386" s="33">
        <v>0.19706559327000001</v>
      </c>
      <c r="V2386" s="33">
        <v>4.9536004313250011E-2</v>
      </c>
      <c r="W2386" s="33">
        <v>17.745985366200006</v>
      </c>
      <c r="X2386" s="33">
        <v>0.61813594410750017</v>
      </c>
      <c r="Y2386" s="33">
        <v>1157.1261524550002</v>
      </c>
      <c r="Z2386" s="33">
        <v>0.17951642070862503</v>
      </c>
      <c r="AA2386" s="33">
        <v>-465.64948418625005</v>
      </c>
      <c r="AB2386" s="33">
        <v>33.784121416500007</v>
      </c>
      <c r="AC2386" s="33">
        <v>-499.86833715000012</v>
      </c>
      <c r="AD2386" s="33">
        <v>0.43472462260500011</v>
      </c>
      <c r="AE2386" s="33">
        <v>4.9026774478500006E-6</v>
      </c>
      <c r="AF2386" s="33">
        <v>0.26137560778875008</v>
      </c>
      <c r="AG2386" s="33">
        <v>3.4100408467125009E-3</v>
      </c>
      <c r="AH2386" s="33">
        <v>8.939224772887501E-2</v>
      </c>
      <c r="AI2386" s="33">
        <v>0.98066552117625005</v>
      </c>
      <c r="AJ2386" s="33">
        <v>0.35329846119750008</v>
      </c>
      <c r="AK2386" s="33">
        <v>6.2678118832875014E-4</v>
      </c>
      <c r="AL2386" s="33">
        <v>465.28286702625007</v>
      </c>
      <c r="AM2386" s="33">
        <v>5.1426990649125015</v>
      </c>
      <c r="AN2386" s="33">
        <v>1.1534177910937503E-5</v>
      </c>
      <c r="AO2386" s="33">
        <v>2.0284024146750004</v>
      </c>
      <c r="AP2386" s="33">
        <v>1047.4605690412502</v>
      </c>
      <c r="AQ2386" s="33">
        <v>3.2971498764750007E-8</v>
      </c>
      <c r="AR2386" s="33">
        <v>9.3936870846000025E-7</v>
      </c>
      <c r="AS2386" s="33">
        <v>30064.620324375006</v>
      </c>
      <c r="AT2386" s="33">
        <v>0</v>
      </c>
      <c r="AU2386" s="33">
        <v>0</v>
      </c>
      <c r="AV2386" s="316">
        <v>5919.4075122000013</v>
      </c>
      <c r="AW2386" s="314">
        <v>0</v>
      </c>
      <c r="AX2386" s="314">
        <v>0</v>
      </c>
      <c r="AY2386" s="316">
        <v>494.20508626125013</v>
      </c>
      <c r="AZ2386" s="33">
        <v>0</v>
      </c>
      <c r="BA2386" s="33">
        <v>0</v>
      </c>
      <c r="BB2386" s="33">
        <v>0</v>
      </c>
      <c r="BC2386" s="33">
        <v>0.18471311975025001</v>
      </c>
      <c r="BD2386" s="33">
        <v>1.7990665557637503E-3</v>
      </c>
      <c r="BE2386" s="33">
        <v>13.580531300700004</v>
      </c>
      <c r="BF2386" s="33">
        <v>2.4945761295000002E-3</v>
      </c>
      <c r="BG2386" s="33">
        <v>0</v>
      </c>
      <c r="BH2386" s="33">
        <v>0</v>
      </c>
      <c r="BI2386" s="33">
        <v>0</v>
      </c>
      <c r="BJ2386" s="33">
        <v>0</v>
      </c>
      <c r="BK2386" s="33">
        <v>0</v>
      </c>
      <c r="BL2386" s="62">
        <v>0</v>
      </c>
      <c r="BM2386" s="275">
        <v>3</v>
      </c>
      <c r="BN2386" s="62">
        <v>0.03</v>
      </c>
      <c r="BO2386" s="33" t="s">
        <v>784</v>
      </c>
      <c r="BP2386" s="33" t="s">
        <v>785</v>
      </c>
    </row>
    <row r="2387" spans="1:68">
      <c r="A2387" s="33" t="str">
        <f>Database_Productkaarten[[#This Row],[Product]]&amp;", "&amp;Database_Productkaarten[[#This Row],[Levensfase]]</f>
        <v>Brugdekplanken, Hout, 3x3m, A2</v>
      </c>
      <c r="B2387" s="33" t="s">
        <v>780</v>
      </c>
      <c r="C2387" s="33" t="s">
        <v>781</v>
      </c>
      <c r="D2387" s="33" t="s">
        <v>782</v>
      </c>
      <c r="E2387" s="33" t="s">
        <v>783</v>
      </c>
      <c r="F2387" s="33" t="s">
        <v>75</v>
      </c>
      <c r="G2387" s="33">
        <v>3</v>
      </c>
      <c r="H2387" s="33">
        <v>3</v>
      </c>
      <c r="I2387" s="33">
        <v>3.5000000000000003E-2</v>
      </c>
      <c r="L2387" s="33">
        <v>0.65</v>
      </c>
      <c r="M2387" s="269">
        <v>0.1945125</v>
      </c>
      <c r="N2387" s="41">
        <v>4.706010527400001</v>
      </c>
      <c r="O2387" s="33">
        <v>30</v>
      </c>
      <c r="P2387" s="33">
        <v>9.9765476811000025E-4</v>
      </c>
      <c r="Q2387" s="33">
        <v>0.28712132119125006</v>
      </c>
      <c r="R2387" s="33">
        <v>39.045579504750009</v>
      </c>
      <c r="S2387" s="33">
        <v>6.9272182058625008E-6</v>
      </c>
      <c r="T2387" s="33">
        <v>2.3559671055375004E-2</v>
      </c>
      <c r="U2387" s="33">
        <v>0.17167939926637502</v>
      </c>
      <c r="V2387" s="33">
        <v>3.3728020121250001E-2</v>
      </c>
      <c r="W2387" s="33">
        <v>16.439125708687502</v>
      </c>
      <c r="X2387" s="33">
        <v>0.47992417302375012</v>
      </c>
      <c r="Y2387" s="33">
        <v>1726.3042339725002</v>
      </c>
      <c r="Z2387" s="33">
        <v>5.8102280349750013E-2</v>
      </c>
      <c r="AA2387" s="33">
        <v>39.407969908125011</v>
      </c>
      <c r="AB2387" s="33">
        <v>39.375338491125007</v>
      </c>
      <c r="AC2387" s="33">
        <v>1.8203222009700003E-2</v>
      </c>
      <c r="AD2387" s="33">
        <v>1.4428434629700003E-2</v>
      </c>
      <c r="AE2387" s="33">
        <v>8.6910783687000016E-6</v>
      </c>
      <c r="AF2387" s="33">
        <v>0.22836660312375004</v>
      </c>
      <c r="AG2387" s="33">
        <v>3.9720378379500009E-4</v>
      </c>
      <c r="AH2387" s="33">
        <v>8.0470910520000008E-2</v>
      </c>
      <c r="AI2387" s="33">
        <v>0.88720117565625023</v>
      </c>
      <c r="AJ2387" s="33">
        <v>0.2533023275737501</v>
      </c>
      <c r="AK2387" s="33">
        <v>9.9765087786000029E-4</v>
      </c>
      <c r="AL2387" s="33">
        <v>593.85831379875015</v>
      </c>
      <c r="AM2387" s="33">
        <v>2.1242920198500004</v>
      </c>
      <c r="AN2387" s="33">
        <v>3.5360269819875007E-6</v>
      </c>
      <c r="AO2387" s="33">
        <v>2.4881793914250006</v>
      </c>
      <c r="AP2387" s="33">
        <v>529.55586581625016</v>
      </c>
      <c r="AQ2387" s="33">
        <v>1.7181892502775001E-8</v>
      </c>
      <c r="AR2387" s="33">
        <v>5.7915952935750004E-7</v>
      </c>
      <c r="AS2387" s="33">
        <v>515.01702900375005</v>
      </c>
      <c r="AT2387" s="33">
        <v>0</v>
      </c>
      <c r="AU2387" s="33">
        <v>0</v>
      </c>
      <c r="AV2387" s="316">
        <v>7.4343934050750011</v>
      </c>
      <c r="AW2387" s="314">
        <v>0</v>
      </c>
      <c r="AX2387" s="314">
        <v>0</v>
      </c>
      <c r="AY2387" s="316">
        <v>630.51005130750013</v>
      </c>
      <c r="AZ2387" s="33">
        <v>0</v>
      </c>
      <c r="BA2387" s="33">
        <v>0</v>
      </c>
      <c r="BB2387" s="33">
        <v>0</v>
      </c>
      <c r="BC2387" s="33">
        <v>7.2329928284250014E-2</v>
      </c>
      <c r="BD2387" s="33">
        <v>1.5048834777112502E-3</v>
      </c>
      <c r="BE2387" s="33">
        <v>37.670247751500007</v>
      </c>
      <c r="BF2387" s="33">
        <v>3.8996258915250008E-3</v>
      </c>
      <c r="BG2387" s="33">
        <v>0</v>
      </c>
      <c r="BH2387" s="33">
        <v>0</v>
      </c>
      <c r="BI2387" s="33">
        <v>0</v>
      </c>
      <c r="BJ2387" s="33">
        <v>0</v>
      </c>
      <c r="BK2387" s="33">
        <v>0</v>
      </c>
      <c r="BL2387" s="62">
        <v>0</v>
      </c>
      <c r="BM2387" s="275">
        <v>3</v>
      </c>
      <c r="BN2387" s="62">
        <v>0.03</v>
      </c>
      <c r="BO2387" s="33" t="s">
        <v>786</v>
      </c>
      <c r="BP2387" s="33" t="s">
        <v>787</v>
      </c>
    </row>
    <row r="2388" spans="1:68">
      <c r="A2388" s="33" t="str">
        <f>Database_Productkaarten[[#This Row],[Product]]&amp;", "&amp;Database_Productkaarten[[#This Row],[Levensfase]]</f>
        <v>Brugdekplanken, Hout, 3x3m, A3</v>
      </c>
      <c r="B2388" s="33" t="s">
        <v>780</v>
      </c>
      <c r="C2388" s="33" t="s">
        <v>781</v>
      </c>
      <c r="D2388" s="33" t="s">
        <v>782</v>
      </c>
      <c r="E2388" s="33" t="s">
        <v>783</v>
      </c>
      <c r="F2388" s="33" t="s">
        <v>76</v>
      </c>
      <c r="G2388" s="33">
        <v>3</v>
      </c>
      <c r="H2388" s="33">
        <v>3</v>
      </c>
      <c r="I2388" s="33">
        <v>3.5000000000000003E-2</v>
      </c>
      <c r="L2388" s="33">
        <v>0.65</v>
      </c>
      <c r="M2388" s="269">
        <v>0.1945125</v>
      </c>
      <c r="N2388" s="41"/>
      <c r="O2388" s="33">
        <v>30</v>
      </c>
      <c r="AV2388" s="316"/>
      <c r="AW2388" s="314"/>
      <c r="AX2388" s="314"/>
      <c r="AY2388" s="316"/>
      <c r="BL2388" s="62">
        <v>0</v>
      </c>
      <c r="BM2388" s="275">
        <v>3</v>
      </c>
      <c r="BN2388" s="62">
        <v>0.03</v>
      </c>
    </row>
    <row r="2389" spans="1:68">
      <c r="A2389" s="451" t="str">
        <f>Database_Productkaarten[[#This Row],[Product]]&amp;", "&amp;Database_Productkaarten[[#This Row],[Levensfase]]</f>
        <v>Brugdekplanken, Hout, 3x3m, A1-A3</v>
      </c>
      <c r="B2389" s="451" t="str">
        <f>B2388</f>
        <v>Brugdekplanken, Hout, 3x3m</v>
      </c>
      <c r="C2389" s="451" t="str">
        <f>C2388</f>
        <v>Kleine Kunstwerken</v>
      </c>
      <c r="D2389" s="451" t="str">
        <f>D2388</f>
        <v>Brugdekplanken</v>
      </c>
      <c r="E2389" s="451" t="str">
        <f>E2388</f>
        <v>Stuk</v>
      </c>
      <c r="F2389" s="451" t="s">
        <v>77</v>
      </c>
      <c r="G2389" s="451">
        <f t="shared" ref="G2389:M2389" si="898">G2388</f>
        <v>3</v>
      </c>
      <c r="H2389" s="451">
        <f t="shared" si="898"/>
        <v>3</v>
      </c>
      <c r="I2389" s="451">
        <f t="shared" si="898"/>
        <v>3.5000000000000003E-2</v>
      </c>
      <c r="J2389" s="451">
        <f t="shared" si="898"/>
        <v>0</v>
      </c>
      <c r="K2389" s="451">
        <f t="shared" si="898"/>
        <v>0</v>
      </c>
      <c r="L2389" s="451">
        <f t="shared" si="898"/>
        <v>0.65</v>
      </c>
      <c r="M2389" s="454">
        <f t="shared" si="898"/>
        <v>0.1945125</v>
      </c>
      <c r="N2389" s="452">
        <f>SUM(N2386:N2388)</f>
        <v>9.5310162163125014</v>
      </c>
      <c r="O2389" s="451">
        <f>O2388</f>
        <v>30</v>
      </c>
      <c r="P2389" s="453">
        <f t="shared" ref="P2389:BK2389" si="899">SUM(P2386:P2388)</f>
        <v>1.6245513412537504E-3</v>
      </c>
      <c r="Q2389" s="453">
        <f t="shared" si="899"/>
        <v>0.52123158667125002</v>
      </c>
      <c r="R2389" s="453">
        <f t="shared" si="899"/>
        <v>72.464826593250024</v>
      </c>
      <c r="S2389" s="453">
        <f t="shared" si="899"/>
        <v>1.0990612729687502E-5</v>
      </c>
      <c r="T2389" s="453">
        <f t="shared" si="899"/>
        <v>9.3615011012250005E-2</v>
      </c>
      <c r="U2389" s="453">
        <f t="shared" si="899"/>
        <v>0.36874499253637505</v>
      </c>
      <c r="V2389" s="453">
        <f t="shared" si="899"/>
        <v>8.3264024434500011E-2</v>
      </c>
      <c r="W2389" s="453">
        <f t="shared" si="899"/>
        <v>34.185111074887509</v>
      </c>
      <c r="X2389" s="453">
        <f t="shared" si="899"/>
        <v>1.0980601171312503</v>
      </c>
      <c r="Y2389" s="453">
        <f t="shared" si="899"/>
        <v>2883.4303864275007</v>
      </c>
      <c r="Z2389" s="453">
        <f t="shared" si="899"/>
        <v>0.23761870105837504</v>
      </c>
      <c r="AA2389" s="453">
        <f t="shared" si="899"/>
        <v>-426.24151427812501</v>
      </c>
      <c r="AB2389" s="453">
        <f t="shared" si="899"/>
        <v>73.159459907625006</v>
      </c>
      <c r="AC2389" s="453">
        <f t="shared" si="899"/>
        <v>-499.85013392799044</v>
      </c>
      <c r="AD2389" s="453">
        <f t="shared" si="899"/>
        <v>0.44915305723470011</v>
      </c>
      <c r="AE2389" s="453">
        <f t="shared" si="899"/>
        <v>1.3593755816550002E-5</v>
      </c>
      <c r="AF2389" s="453">
        <f t="shared" si="899"/>
        <v>0.48974221091250014</v>
      </c>
      <c r="AG2389" s="453">
        <f t="shared" si="899"/>
        <v>3.8072446305075008E-3</v>
      </c>
      <c r="AH2389" s="453">
        <f t="shared" si="899"/>
        <v>0.16986315824887502</v>
      </c>
      <c r="AI2389" s="453">
        <f t="shared" si="899"/>
        <v>1.8678666968325004</v>
      </c>
      <c r="AJ2389" s="453">
        <f t="shared" si="899"/>
        <v>0.60660078877125012</v>
      </c>
      <c r="AK2389" s="453">
        <f t="shared" si="899"/>
        <v>1.6244320661887505E-3</v>
      </c>
      <c r="AL2389" s="453">
        <f t="shared" si="899"/>
        <v>1059.1411808250002</v>
      </c>
      <c r="AM2389" s="453">
        <f t="shared" si="899"/>
        <v>7.2669910847625019</v>
      </c>
      <c r="AN2389" s="453">
        <f t="shared" si="899"/>
        <v>1.5070204892925004E-5</v>
      </c>
      <c r="AO2389" s="453">
        <f t="shared" si="899"/>
        <v>4.5165818061000014</v>
      </c>
      <c r="AP2389" s="453">
        <f t="shared" si="899"/>
        <v>1577.0164348575004</v>
      </c>
      <c r="AQ2389" s="453">
        <f t="shared" si="899"/>
        <v>5.0153391267525008E-8</v>
      </c>
      <c r="AR2389" s="453">
        <f t="shared" si="899"/>
        <v>1.5185282378175003E-6</v>
      </c>
      <c r="AS2389" s="453">
        <f t="shared" si="899"/>
        <v>30579.637353378756</v>
      </c>
      <c r="AT2389" s="453">
        <f t="shared" si="899"/>
        <v>0</v>
      </c>
      <c r="AU2389" s="453">
        <f t="shared" si="899"/>
        <v>0</v>
      </c>
      <c r="AV2389" s="317">
        <f t="shared" si="899"/>
        <v>5926.8419056050761</v>
      </c>
      <c r="AW2389" s="317">
        <f t="shared" si="899"/>
        <v>0</v>
      </c>
      <c r="AX2389" s="317">
        <f t="shared" si="899"/>
        <v>0</v>
      </c>
      <c r="AY2389" s="317">
        <f t="shared" si="899"/>
        <v>1124.7151375687504</v>
      </c>
      <c r="AZ2389" s="453">
        <f t="shared" si="899"/>
        <v>0</v>
      </c>
      <c r="BA2389" s="453">
        <f t="shared" si="899"/>
        <v>0</v>
      </c>
      <c r="BB2389" s="453">
        <f t="shared" si="899"/>
        <v>0</v>
      </c>
      <c r="BC2389" s="453">
        <f t="shared" si="899"/>
        <v>0.25704304803450001</v>
      </c>
      <c r="BD2389" s="453">
        <f t="shared" si="899"/>
        <v>3.3039500334750005E-3</v>
      </c>
      <c r="BE2389" s="453">
        <f t="shared" si="899"/>
        <v>51.250779052200009</v>
      </c>
      <c r="BF2389" s="453">
        <f t="shared" si="899"/>
        <v>6.3942020210250011E-3</v>
      </c>
      <c r="BG2389" s="453">
        <f t="shared" si="899"/>
        <v>0</v>
      </c>
      <c r="BH2389" s="453">
        <f t="shared" si="899"/>
        <v>0</v>
      </c>
      <c r="BI2389" s="453">
        <f t="shared" si="899"/>
        <v>0</v>
      </c>
      <c r="BJ2389" s="453">
        <f t="shared" si="899"/>
        <v>0</v>
      </c>
      <c r="BK2389" s="453">
        <f t="shared" si="899"/>
        <v>0</v>
      </c>
      <c r="BL2389" s="62">
        <f>BL2388</f>
        <v>0</v>
      </c>
      <c r="BM2389" s="275">
        <f>BM2388</f>
        <v>3</v>
      </c>
      <c r="BN2389" s="62">
        <v>0.03</v>
      </c>
      <c r="BO2389" s="451">
        <f>BO2388</f>
        <v>0</v>
      </c>
      <c r="BP2389" s="451"/>
    </row>
    <row r="2390" spans="1:68">
      <c r="A2390" s="33" t="str">
        <f>Database_Productkaarten[[#This Row],[Product]]&amp;", "&amp;Database_Productkaarten[[#This Row],[Levensfase]]</f>
        <v>Brugdekplanken, Hout, 3x3m, A4</v>
      </c>
      <c r="B2390" s="33" t="s">
        <v>780</v>
      </c>
      <c r="C2390" s="33" t="s">
        <v>781</v>
      </c>
      <c r="D2390" s="33" t="s">
        <v>782</v>
      </c>
      <c r="E2390" s="33" t="s">
        <v>783</v>
      </c>
      <c r="F2390" s="33" t="s">
        <v>78</v>
      </c>
      <c r="G2390" s="33">
        <v>3</v>
      </c>
      <c r="H2390" s="33">
        <v>3</v>
      </c>
      <c r="I2390" s="33">
        <v>3.5000000000000003E-2</v>
      </c>
      <c r="L2390" s="33">
        <v>0.65</v>
      </c>
      <c r="M2390" s="269">
        <v>0.1945125</v>
      </c>
      <c r="N2390" s="41">
        <v>0.15686701758000002</v>
      </c>
      <c r="O2390" s="33">
        <v>30</v>
      </c>
      <c r="P2390" s="33">
        <v>3.3255158288625004E-5</v>
      </c>
      <c r="Q2390" s="33">
        <v>9.5707105767000034E-3</v>
      </c>
      <c r="R2390" s="33">
        <v>1.3015193168250003</v>
      </c>
      <c r="S2390" s="33">
        <v>2.3090727677062503E-7</v>
      </c>
      <c r="T2390" s="33">
        <v>7.8532235554499999E-4</v>
      </c>
      <c r="U2390" s="33">
        <v>5.7226466422125007E-3</v>
      </c>
      <c r="V2390" s="33">
        <v>1.1242673697937501E-3</v>
      </c>
      <c r="W2390" s="33">
        <v>0.54797085047250005</v>
      </c>
      <c r="X2390" s="33">
        <v>1.5997472434125002E-2</v>
      </c>
      <c r="Y2390" s="33">
        <v>57.543474141562506</v>
      </c>
      <c r="Z2390" s="33">
        <v>1.9367426783250003E-3</v>
      </c>
      <c r="AA2390" s="33">
        <v>1.3135990293562503</v>
      </c>
      <c r="AB2390" s="33">
        <v>1.3125113154562502</v>
      </c>
      <c r="AC2390" s="33">
        <v>6.0677407023187514E-4</v>
      </c>
      <c r="AD2390" s="33">
        <v>4.8094781450625006E-4</v>
      </c>
      <c r="AE2390" s="33">
        <v>2.8970260904812502E-7</v>
      </c>
      <c r="AF2390" s="33">
        <v>7.6122201365437505E-3</v>
      </c>
      <c r="AG2390" s="33">
        <v>1.3240126450687503E-5</v>
      </c>
      <c r="AH2390" s="33">
        <v>2.6823636515812504E-3</v>
      </c>
      <c r="AI2390" s="33">
        <v>2.9573372197687502E-2</v>
      </c>
      <c r="AJ2390" s="33">
        <v>8.4434110488000001E-3</v>
      </c>
      <c r="AK2390" s="33">
        <v>3.32550289378125E-5</v>
      </c>
      <c r="AL2390" s="33">
        <v>19.795277450812502</v>
      </c>
      <c r="AM2390" s="33">
        <v>7.0809732374062503E-2</v>
      </c>
      <c r="AN2390" s="33">
        <v>1.1786756282437502E-7</v>
      </c>
      <c r="AO2390" s="33">
        <v>8.2939314020062521E-2</v>
      </c>
      <c r="AP2390" s="33">
        <v>17.651862518062501</v>
      </c>
      <c r="AQ2390" s="33">
        <v>5.7272974360875009E-10</v>
      </c>
      <c r="AR2390" s="33">
        <v>1.9305316996875006E-8</v>
      </c>
      <c r="AS2390" s="33">
        <v>17.167234624312503</v>
      </c>
      <c r="AT2390" s="33">
        <v>0</v>
      </c>
      <c r="AU2390" s="33">
        <v>0</v>
      </c>
      <c r="AV2390" s="316">
        <v>0.24781311674437506</v>
      </c>
      <c r="AW2390" s="314">
        <v>0</v>
      </c>
      <c r="AX2390" s="314">
        <v>0</v>
      </c>
      <c r="AY2390" s="316">
        <v>21.017001710250003</v>
      </c>
      <c r="AZ2390" s="33">
        <v>0</v>
      </c>
      <c r="BA2390" s="33">
        <v>0</v>
      </c>
      <c r="BB2390" s="33">
        <v>0</v>
      </c>
      <c r="BC2390" s="33">
        <v>2.4109976094750006E-3</v>
      </c>
      <c r="BD2390" s="33">
        <v>5.0162782914562511E-5</v>
      </c>
      <c r="BE2390" s="33">
        <v>1.2556749574687502</v>
      </c>
      <c r="BF2390" s="33">
        <v>1.2998752971750001E-4</v>
      </c>
      <c r="BG2390" s="33">
        <v>0</v>
      </c>
      <c r="BH2390" s="33">
        <v>0</v>
      </c>
      <c r="BI2390" s="33">
        <v>0</v>
      </c>
      <c r="BJ2390" s="33">
        <v>0</v>
      </c>
      <c r="BK2390" s="33">
        <v>0</v>
      </c>
      <c r="BL2390" s="62">
        <v>0</v>
      </c>
      <c r="BM2390" s="275">
        <v>3</v>
      </c>
      <c r="BN2390" s="62">
        <v>0.03</v>
      </c>
      <c r="BO2390" s="163" t="s">
        <v>786</v>
      </c>
      <c r="BP2390" s="33" t="s">
        <v>788</v>
      </c>
    </row>
    <row r="2391" spans="1:68">
      <c r="A2391" s="33" t="str">
        <f>Database_Productkaarten[[#This Row],[Product]]&amp;", "&amp;Database_Productkaarten[[#This Row],[Levensfase]]</f>
        <v>Brugdekplanken, Hout, 3x3m, A5</v>
      </c>
      <c r="B2391" s="33" t="s">
        <v>780</v>
      </c>
      <c r="C2391" s="33" t="s">
        <v>781</v>
      </c>
      <c r="D2391" s="33" t="s">
        <v>782</v>
      </c>
      <c r="E2391" s="33" t="s">
        <v>783</v>
      </c>
      <c r="F2391" s="33" t="s">
        <v>79</v>
      </c>
      <c r="G2391" s="33">
        <v>3</v>
      </c>
      <c r="H2391" s="33">
        <v>3</v>
      </c>
      <c r="I2391" s="33">
        <v>3.5000000000000003E-2</v>
      </c>
      <c r="L2391" s="33">
        <v>0.65</v>
      </c>
      <c r="M2391" s="269">
        <v>0.1945125</v>
      </c>
      <c r="N2391" s="41">
        <f>('Processen Database'!B$373*4)+((SUM(N2386:N2390)+SUM(N2395:N2399))*0.03)</f>
        <v>46.648066048513115</v>
      </c>
      <c r="O2391" s="33">
        <v>30</v>
      </c>
      <c r="P2391" s="40">
        <f>('Processen Database'!C$373*4)+((SUM(P2386:P2390)+SUM(P2395:P2399))*0.03)</f>
        <v>2.0908519594809292E-4</v>
      </c>
      <c r="Q2391" s="40">
        <f>('Processen Database'!D$373*4)+((SUM(Q2386:Q2390)+SUM(Q2395:Q2399))*0.03)</f>
        <v>2.4333900891959992</v>
      </c>
      <c r="R2391" s="40">
        <f>('Processen Database'!E$373*4)+((SUM(R2386:R2390)+SUM(R2395:R2399))*0.03)</f>
        <v>351.26708019779045</v>
      </c>
      <c r="S2391" s="40">
        <f>('Processen Database'!F$373*4)+((SUM(S2386:S2390)+SUM(S2395:S2399))*0.03)</f>
        <v>6.3488506958981697E-5</v>
      </c>
      <c r="T2391" s="40">
        <f>('Processen Database'!G$373*4)+((SUM(T2386:T2390)+SUM(T2395:T2399))*0.03)</f>
        <v>0.35602375826865501</v>
      </c>
      <c r="U2391" s="40">
        <f>('Processen Database'!H$373*4)+((SUM(U2386:U2390)+SUM(U2395:U2399))*0.03)</f>
        <v>2.647401094472567</v>
      </c>
      <c r="V2391" s="40">
        <f>('Processen Database'!I$373*4)+((SUM(V2386:V2390)+SUM(V2395:V2399))*0.03)</f>
        <v>0.59454544171730606</v>
      </c>
      <c r="W2391" s="40">
        <f>('Processen Database'!J$373*4)+((SUM(W2386:W2390)+SUM(W2395:W2399))*0.03)</f>
        <v>126.34566013797142</v>
      </c>
      <c r="X2391" s="40">
        <f>('Processen Database'!K$373*4)+((SUM(X2386:X2390)+SUM(X2395:X2399))*0.03)</f>
        <v>1.790710047821519</v>
      </c>
      <c r="Y2391" s="40">
        <f>('Processen Database'!L$373*4)+((SUM(Y2386:Y2390)+SUM(Y2395:Y2399))*0.03)</f>
        <v>6031.2942890346594</v>
      </c>
      <c r="Z2391" s="40">
        <f>('Processen Database'!M$373*4)+((SUM(Z2386:Z2390)+SUM(Z2395:Z2399))*0.03)</f>
        <v>0.21517502708965963</v>
      </c>
      <c r="AA2391" s="40">
        <f>('Processen Database'!N$373*4)+((SUM(AA2386:AA2390)+SUM(AA2395:AA2399))*0.03)</f>
        <v>332.71348414811803</v>
      </c>
      <c r="AB2391" s="40">
        <f>('Processen Database'!O$373*4)+((SUM(AB2386:AB2390)+SUM(AB2395:AB2399))*0.03)</f>
        <v>355.51780579956295</v>
      </c>
      <c r="AC2391" s="40">
        <f>('Processen Database'!P$373*4)+((SUM(AC2386:AC2390)+SUM(AC2395:AC2399))*0.03)</f>
        <v>-22.860938476428856</v>
      </c>
      <c r="AD2391" s="40">
        <f>('Processen Database'!Q$373*4)+((SUM(AD2386:AD2390)+SUM(AD2395:AD2399))*0.03)</f>
        <v>5.6618269218979611E-2</v>
      </c>
      <c r="AE2391" s="40">
        <f>('Processen Database'!R$373*4)+((SUM(AE2386:AE2390)+SUM(AE2395:AE2399))*0.03)</f>
        <v>8.0137607388101805E-5</v>
      </c>
      <c r="AF2391" s="40">
        <f>('Processen Database'!S$373*4)+((SUM(AF2386:AF2390)+SUM(AF2395:AF2399))*0.03)</f>
        <v>3.7106814390599561</v>
      </c>
      <c r="AG2391" s="40">
        <f>('Processen Database'!T$373*4)+((SUM(AG2386:AG2390)+SUM(AG2395:AG2399))*0.03)</f>
        <v>2.9097222128625622E-3</v>
      </c>
      <c r="AH2391" s="40">
        <f>('Processen Database'!U$373*4)+((SUM(AH2386:AH2390)+SUM(AH2395:AH2399))*0.03)</f>
        <v>1.6059111250986391</v>
      </c>
      <c r="AI2391" s="40">
        <f>('Processen Database'!V$373*4)+((SUM(AI2386:AI2390)+SUM(AI2395:AI2399))*0.03)</f>
        <v>17.649025992230442</v>
      </c>
      <c r="AJ2391" s="40">
        <f>('Processen Database'!W$373*4)+((SUM(AJ2386:AJ2390)+SUM(AJ2395:AJ2399))*0.03)</f>
        <v>4.8540383722686862</v>
      </c>
      <c r="AK2391" s="40">
        <f>('Processen Database'!X$373*4)+((SUM(AK2386:AK2390)+SUM(AK2395:AK2399))*0.03)</f>
        <v>2.1710018498795547E-4</v>
      </c>
      <c r="AL2391" s="40">
        <f>('Processen Database'!Y$373*4)+((SUM(AL2386:AL2390)+SUM(AL2395:AL2399))*0.03)</f>
        <v>5141.4089844154496</v>
      </c>
      <c r="AM2391" s="40">
        <f>('Processen Database'!Z$373*4)+((SUM(AM2386:AM2390)+SUM(AM2395:AM2399))*0.03)</f>
        <v>27.822206584898918</v>
      </c>
      <c r="AN2391" s="40">
        <f>('Processen Database'!AA$373*4)+((SUM(AN2386:AN2390)+SUM(AN2395:AN2399))*0.03)</f>
        <v>9.7190976182266595E-5</v>
      </c>
      <c r="AO2391" s="40">
        <f>('Processen Database'!AB$373*4)+((SUM(AO2386:AO2390)+SUM(AO2395:AO2399))*0.03)</f>
        <v>22.155129240119063</v>
      </c>
      <c r="AP2391" s="40">
        <f>('Processen Database'!AC$373*4)+((SUM(AP2386:AP2390)+SUM(AP2395:AP2399))*0.03)</f>
        <v>2965.9378695255855</v>
      </c>
      <c r="AQ2391" s="40">
        <f>('Processen Database'!AD$373*4)+((SUM(AQ2386:AQ2390)+SUM(AQ2395:AQ2399))*0.03)</f>
        <v>1.0314370824454723E-7</v>
      </c>
      <c r="AR2391" s="40">
        <f>('Processen Database'!AE$373*4)+((SUM(AR2386:AR2390)+SUM(AR2395:AR2399))*0.03)</f>
        <v>2.5964531444593039E-6</v>
      </c>
      <c r="AS2391" s="40">
        <f>('Processen Database'!AF$373*4)+((SUM(AS2386:AS2390)+SUM(AS2395:AS2399))*0.03)</f>
        <v>2461.4794531946427</v>
      </c>
      <c r="AT2391" s="40">
        <f>('Processen Database'!AG$373*4)+((SUM(AT2386:AT2390)+SUM(AT2395:AT2399))*0.03)</f>
        <v>0</v>
      </c>
      <c r="AU2391" s="40">
        <f>('Processen Database'!AH$373*4)+((SUM(AU2386:AU2390)+SUM(AU2395:AU2399))*0.03)</f>
        <v>0</v>
      </c>
      <c r="AV2391" s="313">
        <f>('Processen Database'!AI$373*4)+((SUM(AV2386:AV2390)+SUM(AV2395:AV2399))*0.03)</f>
        <v>382.07220216152751</v>
      </c>
      <c r="AW2391" s="317">
        <f>('Processen Database'!AJ$373*4)+((SUM(AW2386:AW2390)+SUM(AW2395:AW2399))*0.03)</f>
        <v>0</v>
      </c>
      <c r="AX2391" s="317">
        <f>('Processen Database'!AK$373*4)+((SUM(AX2386:AX2390)+SUM(AX2395:AX2399))*0.03)</f>
        <v>0</v>
      </c>
      <c r="AY2391" s="313">
        <f>('Processen Database'!AL$373*4)+((SUM(AY2386:AY2390)+SUM(AY2395:AY2399))*0.03)</f>
        <v>5459.6384308416445</v>
      </c>
      <c r="AZ2391" s="40">
        <f>('Processen Database'!AM$373*4)+((SUM(AZ2386:AZ2390)+SUM(AZ2395:AZ2399))*0.03)</f>
        <v>0</v>
      </c>
      <c r="BA2391" s="40">
        <f>('Processen Database'!AN$373*4)+((SUM(BA2386:BA2390)+SUM(BA2395:BA2399))*0.03)</f>
        <v>0</v>
      </c>
      <c r="BB2391" s="40">
        <f>('Processen Database'!AO$373*4)+((SUM(BB2386:BB2390)+SUM(BB2395:BB2399))*0.03)</f>
        <v>0</v>
      </c>
      <c r="BC2391" s="40">
        <f>('Processen Database'!AP$373*4)+((SUM(BC2386:BC2390)+SUM(BC2395:BC2399))*0.03)</f>
        <v>0.71450243586956563</v>
      </c>
      <c r="BD2391" s="40">
        <f>('Processen Database'!AQ$373*4)+((SUM(BD2386:BD2390)+SUM(BD2395:BD2399))*0.03)</f>
        <v>2.464304797540973E-3</v>
      </c>
      <c r="BE2391" s="40">
        <f>('Processen Database'!AR$373*4)+((SUM(BE2386:BE2390)+SUM(BE2395:BE2399))*0.03)</f>
        <v>8.5832655628702206</v>
      </c>
      <c r="BF2391" s="40">
        <f>('Processen Database'!AS$373*4)+((SUM(BF2386:BF2390)+SUM(BF2395:BF2399))*0.03)</f>
        <v>3.5653686968826807E-2</v>
      </c>
      <c r="BG2391" s="40">
        <f>('Processen Database'!AT$373*4)+((SUM(BG2386:BG2390)+SUM(BG2395:BG2399))*0.03)</f>
        <v>0</v>
      </c>
      <c r="BH2391" s="40">
        <f>('Processen Database'!AU$373*4)+((SUM(BH2386:BH2390)+SUM(BH2395:BH2399))*0.03)</f>
        <v>0</v>
      </c>
      <c r="BI2391" s="40">
        <f>('Processen Database'!AV$373*4)+((SUM(BI2386:BI2390)+SUM(BI2395:BI2399))*0.03)</f>
        <v>0</v>
      </c>
      <c r="BJ2391" s="40">
        <f>('Processen Database'!AW$373*4)+((SUM(BJ2386:BJ2390)+SUM(BJ2395:BJ2399))*0.03)</f>
        <v>0</v>
      </c>
      <c r="BK2391" s="40">
        <f>('Processen Database'!AX$373*4)+((SUM(BK2386:BK2390)+SUM(BK2395:BK2399))*0.03)</f>
        <v>0</v>
      </c>
      <c r="BL2391" s="62">
        <v>0</v>
      </c>
      <c r="BM2391" s="275">
        <v>3</v>
      </c>
      <c r="BN2391" s="62">
        <v>0.03</v>
      </c>
      <c r="BO2391" t="s">
        <v>789</v>
      </c>
      <c r="BP2391" s="33" t="s">
        <v>790</v>
      </c>
    </row>
    <row r="2392" spans="1:68">
      <c r="A2392" s="33" t="str">
        <f>Database_Productkaarten[[#This Row],[Product]]&amp;", "&amp;Database_Productkaarten[[#This Row],[Levensfase]]</f>
        <v>Brugdekplanken, Hout, 3x3m, B1</v>
      </c>
      <c r="B2392" s="33" t="s">
        <v>780</v>
      </c>
      <c r="C2392" s="33" t="s">
        <v>781</v>
      </c>
      <c r="D2392" s="33" t="s">
        <v>782</v>
      </c>
      <c r="E2392" s="33" t="s">
        <v>783</v>
      </c>
      <c r="F2392" s="33" t="s">
        <v>80</v>
      </c>
      <c r="G2392" s="33">
        <v>3</v>
      </c>
      <c r="H2392" s="33">
        <v>3</v>
      </c>
      <c r="I2392" s="33">
        <v>3.5000000000000003E-2</v>
      </c>
      <c r="L2392" s="33">
        <v>0.65</v>
      </c>
      <c r="M2392" s="269">
        <v>0.1945125</v>
      </c>
      <c r="N2392" s="41"/>
      <c r="O2392" s="33">
        <v>30</v>
      </c>
      <c r="AV2392" s="316"/>
      <c r="AW2392" s="314"/>
      <c r="AX2392" s="314"/>
      <c r="AY2392" s="316"/>
      <c r="BL2392" s="62">
        <v>0</v>
      </c>
      <c r="BM2392" s="275">
        <v>3</v>
      </c>
      <c r="BN2392" s="62">
        <v>0.03</v>
      </c>
    </row>
    <row r="2393" spans="1:68">
      <c r="A2393" s="33" t="str">
        <f>Database_Productkaarten[[#This Row],[Product]]&amp;", "&amp;Database_Productkaarten[[#This Row],[Levensfase]]</f>
        <v>Brugdekplanken, Hout, 3x3m, C1</v>
      </c>
      <c r="B2393" s="33" t="s">
        <v>780</v>
      </c>
      <c r="C2393" s="33" t="s">
        <v>781</v>
      </c>
      <c r="D2393" s="33" t="s">
        <v>782</v>
      </c>
      <c r="E2393" s="33" t="s">
        <v>783</v>
      </c>
      <c r="F2393" s="33" t="s">
        <v>83</v>
      </c>
      <c r="G2393" s="33">
        <v>3</v>
      </c>
      <c r="H2393" s="33">
        <v>3</v>
      </c>
      <c r="I2393" s="33">
        <v>3.5000000000000003E-2</v>
      </c>
      <c r="L2393" s="33">
        <v>0.65</v>
      </c>
      <c r="M2393" s="269">
        <v>0.1945125</v>
      </c>
      <c r="N2393" s="41">
        <v>46.254693004661441</v>
      </c>
      <c r="O2393" s="33">
        <v>30</v>
      </c>
      <c r="P2393" s="40">
        <v>1.17152884E-4</v>
      </c>
      <c r="Q2393" s="40">
        <v>2.4048400399999998</v>
      </c>
      <c r="R2393" s="40">
        <v>347.38500399999998</v>
      </c>
      <c r="S2393" s="40">
        <v>6.2976099999999995E-5</v>
      </c>
      <c r="T2393" s="40">
        <v>0.35198052400000002</v>
      </c>
      <c r="U2393" s="40">
        <v>2.6354776000000002</v>
      </c>
      <c r="V2393" s="40">
        <v>0.59302120000000003</v>
      </c>
      <c r="W2393" s="40">
        <v>125.14149999999999</v>
      </c>
      <c r="X2393" s="40">
        <v>1.7441582799999999</v>
      </c>
      <c r="Y2393" s="40">
        <v>5882.1476000000002</v>
      </c>
      <c r="Z2393" s="40">
        <v>0.20706024000000001</v>
      </c>
      <c r="AA2393" s="40">
        <v>351.14612</v>
      </c>
      <c r="AB2393" s="40">
        <v>351.05836799999997</v>
      </c>
      <c r="AC2393" s="40">
        <v>5.7936236000000002E-2</v>
      </c>
      <c r="AD2393" s="40">
        <v>2.9817705600000001E-2</v>
      </c>
      <c r="AE2393" s="40">
        <v>7.9310192000000003E-5</v>
      </c>
      <c r="AF2393" s="40">
        <v>3.6796976400000001</v>
      </c>
      <c r="AG2393" s="40">
        <v>2.6813393200000001E-3</v>
      </c>
      <c r="AH2393" s="40">
        <v>1.5949951200000001</v>
      </c>
      <c r="AI2393" s="40">
        <v>17.528640800000002</v>
      </c>
      <c r="AJ2393" s="40">
        <v>4.8154940000000002</v>
      </c>
      <c r="AK2393" s="40">
        <v>1.17154388E-4</v>
      </c>
      <c r="AL2393" s="40">
        <v>5077.0183999999999</v>
      </c>
      <c r="AM2393" s="40">
        <v>27.370287600000001</v>
      </c>
      <c r="AN2393" s="40">
        <v>9.6276376E-5</v>
      </c>
      <c r="AO2393" s="40">
        <v>21.881542</v>
      </c>
      <c r="AP2393" s="40">
        <v>2870.09384</v>
      </c>
      <c r="AQ2393" s="40">
        <v>9.8745076E-8</v>
      </c>
      <c r="AR2393" s="40">
        <v>2.5007174000000001E-6</v>
      </c>
      <c r="AS2393" s="40">
        <v>643.03895999999997</v>
      </c>
      <c r="AT2393" s="40">
        <v>0</v>
      </c>
      <c r="AU2393" s="40">
        <v>0</v>
      </c>
      <c r="AV2393" s="313">
        <v>29.411855599999999</v>
      </c>
      <c r="AW2393" s="317">
        <v>0</v>
      </c>
      <c r="AX2393" s="317">
        <v>0</v>
      </c>
      <c r="AY2393" s="313">
        <v>5391.2543999999998</v>
      </c>
      <c r="AZ2393" s="40">
        <v>0</v>
      </c>
      <c r="BA2393" s="40">
        <v>0</v>
      </c>
      <c r="BB2393" s="40">
        <v>0</v>
      </c>
      <c r="BC2393" s="40">
        <v>0.69680207999999999</v>
      </c>
      <c r="BD2393" s="40">
        <v>2.2639914800000002E-3</v>
      </c>
      <c r="BE2393" s="40">
        <v>5.4107472000000003</v>
      </c>
      <c r="BF2393" s="40">
        <v>3.52660588E-2</v>
      </c>
      <c r="BG2393" s="40">
        <v>0</v>
      </c>
      <c r="BH2393" s="40">
        <v>0</v>
      </c>
      <c r="BI2393" s="40">
        <v>0</v>
      </c>
      <c r="BJ2393" s="40">
        <v>0</v>
      </c>
      <c r="BK2393" s="40">
        <v>0</v>
      </c>
      <c r="BL2393" s="62">
        <v>0</v>
      </c>
      <c r="BM2393" s="275">
        <v>3</v>
      </c>
      <c r="BN2393" s="62">
        <v>0.03</v>
      </c>
      <c r="BO2393" t="s">
        <v>789</v>
      </c>
      <c r="BP2393" s="33" t="s">
        <v>791</v>
      </c>
    </row>
    <row r="2394" spans="1:68">
      <c r="A2394" s="33" t="str">
        <f>Database_Productkaarten[[#This Row],[Product]]&amp;", "&amp;Database_Productkaarten[[#This Row],[Levensfase]]</f>
        <v>Brugdekplanken, Hout, 3x3m, C2</v>
      </c>
      <c r="B2394" s="33" t="s">
        <v>780</v>
      </c>
      <c r="C2394" s="33" t="s">
        <v>781</v>
      </c>
      <c r="D2394" s="33" t="s">
        <v>782</v>
      </c>
      <c r="E2394" s="33" t="s">
        <v>783</v>
      </c>
      <c r="F2394" s="33" t="s">
        <v>84</v>
      </c>
      <c r="G2394" s="33">
        <v>3</v>
      </c>
      <c r="H2394" s="33">
        <v>3</v>
      </c>
      <c r="I2394" s="33">
        <v>3.5000000000000003E-2</v>
      </c>
      <c r="L2394" s="33">
        <v>0.65</v>
      </c>
      <c r="M2394" s="269">
        <v>0.1945125</v>
      </c>
      <c r="N2394" s="41">
        <v>0.47060105274000003</v>
      </c>
      <c r="O2394" s="33">
        <v>30</v>
      </c>
      <c r="P2394" s="33">
        <v>9.9765474865874993E-5</v>
      </c>
      <c r="Q2394" s="33">
        <v>2.8712131730100003E-2</v>
      </c>
      <c r="R2394" s="33">
        <v>3.9045579504750005</v>
      </c>
      <c r="S2394" s="33">
        <v>6.9272183031187504E-7</v>
      </c>
      <c r="T2394" s="33">
        <v>2.3559670666350001E-3</v>
      </c>
      <c r="U2394" s="33">
        <v>1.7167939926637499E-2</v>
      </c>
      <c r="V2394" s="33">
        <v>3.3728021093812508E-3</v>
      </c>
      <c r="W2394" s="33">
        <v>1.6439125514175001</v>
      </c>
      <c r="X2394" s="33">
        <v>4.7992417302375009E-2</v>
      </c>
      <c r="Y2394" s="33">
        <v>172.63042242468751</v>
      </c>
      <c r="Z2394" s="33">
        <v>5.8102280349750009E-3</v>
      </c>
      <c r="AA2394" s="33">
        <v>3.9407970880687504</v>
      </c>
      <c r="AB2394" s="33">
        <v>3.9375339463687506</v>
      </c>
      <c r="AC2394" s="33">
        <v>1.8203222106956251E-3</v>
      </c>
      <c r="AD2394" s="33">
        <v>1.44284344351875E-3</v>
      </c>
      <c r="AE2394" s="33">
        <v>8.6910782714437506E-7</v>
      </c>
      <c r="AF2394" s="33">
        <v>2.2836660409631251E-2</v>
      </c>
      <c r="AG2394" s="33">
        <v>3.9720379352062505E-5</v>
      </c>
      <c r="AH2394" s="33">
        <v>8.0470909547437509E-3</v>
      </c>
      <c r="AI2394" s="33">
        <v>8.8720116593062504E-2</v>
      </c>
      <c r="AJ2394" s="33">
        <v>2.5330233146400004E-2</v>
      </c>
      <c r="AK2394" s="33">
        <v>9.9765086813437506E-5</v>
      </c>
      <c r="AL2394" s="33">
        <v>59.385832352437497</v>
      </c>
      <c r="AM2394" s="33">
        <v>0.21242919712218752</v>
      </c>
      <c r="AN2394" s="33">
        <v>3.5360268847312508E-7</v>
      </c>
      <c r="AO2394" s="33">
        <v>0.24881794206018751</v>
      </c>
      <c r="AP2394" s="33">
        <v>52.95558755418751</v>
      </c>
      <c r="AQ2394" s="33">
        <v>1.71818923082625E-9</v>
      </c>
      <c r="AR2394" s="33">
        <v>5.7915950990625008E-8</v>
      </c>
      <c r="AS2394" s="33">
        <v>51.501703872937505</v>
      </c>
      <c r="AT2394" s="33">
        <v>0</v>
      </c>
      <c r="AU2394" s="33">
        <v>0</v>
      </c>
      <c r="AV2394" s="316">
        <v>0.74343935023312513</v>
      </c>
      <c r="AW2394" s="314">
        <v>0</v>
      </c>
      <c r="AX2394" s="314">
        <v>0</v>
      </c>
      <c r="AY2394" s="316">
        <v>63.051005130750006</v>
      </c>
      <c r="AZ2394" s="33">
        <v>0</v>
      </c>
      <c r="BA2394" s="33">
        <v>0</v>
      </c>
      <c r="BB2394" s="33">
        <v>0</v>
      </c>
      <c r="BC2394" s="33">
        <v>7.2329928284250011E-3</v>
      </c>
      <c r="BD2394" s="33">
        <v>1.5048834874368752E-4</v>
      </c>
      <c r="BE2394" s="33">
        <v>3.7670248724062501</v>
      </c>
      <c r="BF2394" s="33">
        <v>3.8996258915250005E-4</v>
      </c>
      <c r="BG2394" s="33">
        <v>0</v>
      </c>
      <c r="BH2394" s="33">
        <v>0</v>
      </c>
      <c r="BI2394" s="33">
        <v>0</v>
      </c>
      <c r="BJ2394" s="33">
        <v>0</v>
      </c>
      <c r="BK2394" s="33">
        <v>0</v>
      </c>
      <c r="BL2394" s="62">
        <v>0</v>
      </c>
      <c r="BM2394" s="275">
        <v>3</v>
      </c>
      <c r="BN2394" s="62">
        <v>0.03</v>
      </c>
      <c r="BO2394" s="163" t="s">
        <v>786</v>
      </c>
      <c r="BP2394" s="33" t="s">
        <v>792</v>
      </c>
    </row>
    <row r="2395" spans="1:68">
      <c r="A2395" s="33" t="str">
        <f>Database_Productkaarten[[#This Row],[Product]]&amp;", "&amp;Database_Productkaarten[[#This Row],[Levensfase]]</f>
        <v>Brugdekplanken, Hout, 3x3m, C3</v>
      </c>
      <c r="B2395" s="33" t="s">
        <v>780</v>
      </c>
      <c r="C2395" s="33" t="s">
        <v>781</v>
      </c>
      <c r="D2395" s="33" t="s">
        <v>782</v>
      </c>
      <c r="E2395" s="33" t="s">
        <v>783</v>
      </c>
      <c r="F2395" s="33" t="s">
        <v>85</v>
      </c>
      <c r="G2395" s="33">
        <v>3</v>
      </c>
      <c r="H2395" s="33">
        <v>3</v>
      </c>
      <c r="I2395" s="33">
        <v>3.5000000000000003E-2</v>
      </c>
      <c r="L2395" s="33">
        <v>0.65</v>
      </c>
      <c r="M2395" s="269">
        <v>0.1945125</v>
      </c>
      <c r="N2395" s="41">
        <v>3.7729374135930395E-2</v>
      </c>
      <c r="O2395" s="33">
        <v>30</v>
      </c>
      <c r="P2395" s="33">
        <v>5.2673184747694887E-5</v>
      </c>
      <c r="Q2395" s="33">
        <v>1.71615946263125E-3</v>
      </c>
      <c r="R2395" s="33">
        <v>0.25453912666000006</v>
      </c>
      <c r="S2395" s="33">
        <v>1.34285477269125E-8</v>
      </c>
      <c r="T2395" s="33">
        <v>1.1924256801275E-4</v>
      </c>
      <c r="U2395" s="33">
        <v>1.2509342599162502E-3</v>
      </c>
      <c r="V2395" s="33">
        <v>1.73842325964125E-4</v>
      </c>
      <c r="W2395" s="33">
        <v>0.18884162811150002</v>
      </c>
      <c r="X2395" s="33">
        <v>2.1018810698112504E-3</v>
      </c>
      <c r="Y2395" s="33">
        <v>7.9474674335875015</v>
      </c>
      <c r="Z2395" s="33">
        <v>9.7747512390937517E-4</v>
      </c>
      <c r="AA2395" s="33">
        <v>0.25105975946187503</v>
      </c>
      <c r="AB2395" s="33">
        <v>0.25867351578250003</v>
      </c>
      <c r="AC2395" s="33">
        <v>-7.9813332658150004E-3</v>
      </c>
      <c r="AD2395" s="33">
        <v>3.6758000768125006E-4</v>
      </c>
      <c r="AE2395" s="33">
        <v>1.3729271248875003E-8</v>
      </c>
      <c r="AF2395" s="33">
        <v>1.6430648810712501E-3</v>
      </c>
      <c r="AG2395" s="33">
        <v>1.2844994838812501E-5</v>
      </c>
      <c r="AH2395" s="33">
        <v>2.6490107553000006E-4</v>
      </c>
      <c r="AI2395" s="33">
        <v>4.3264527965750001E-3</v>
      </c>
      <c r="AJ2395" s="33">
        <v>8.5916829350625012E-4</v>
      </c>
      <c r="AK2395" s="33">
        <v>5.2673151965422636E-5</v>
      </c>
      <c r="AL2395" s="33">
        <v>3.1465574560875003</v>
      </c>
      <c r="AM2395" s="33">
        <v>5.4068152263125002E-2</v>
      </c>
      <c r="AN2395" s="33">
        <v>1.6201273640825001E-8</v>
      </c>
      <c r="AO2395" s="33">
        <v>1.2730411955625002E-2</v>
      </c>
      <c r="AP2395" s="33">
        <v>5.6276525833937505</v>
      </c>
      <c r="AQ2395" s="33">
        <v>3.5664236837775006E-10</v>
      </c>
      <c r="AR2395" s="33">
        <v>5.3230743099625017E-9</v>
      </c>
      <c r="AS2395" s="33">
        <v>3.6128197497437502</v>
      </c>
      <c r="AT2395" s="33">
        <v>0</v>
      </c>
      <c r="AU2395" s="33">
        <v>0</v>
      </c>
      <c r="AV2395" s="316">
        <v>0.47604587149437511</v>
      </c>
      <c r="AW2395" s="314">
        <v>0</v>
      </c>
      <c r="AX2395" s="314">
        <v>0</v>
      </c>
      <c r="AY2395" s="316">
        <v>3.3446609161875007</v>
      </c>
      <c r="AZ2395" s="33">
        <v>0</v>
      </c>
      <c r="BA2395" s="33">
        <v>0</v>
      </c>
      <c r="BB2395" s="33">
        <v>0</v>
      </c>
      <c r="BC2395" s="33">
        <v>2.0388836018687502E-3</v>
      </c>
      <c r="BD2395" s="33">
        <v>1.1150696279450002E-5</v>
      </c>
      <c r="BE2395" s="33">
        <v>0.11262502626375002</v>
      </c>
      <c r="BF2395" s="33">
        <v>1.0219376610625E-5</v>
      </c>
      <c r="BG2395" s="33">
        <v>0</v>
      </c>
      <c r="BH2395" s="33">
        <v>0</v>
      </c>
      <c r="BI2395" s="33">
        <v>0</v>
      </c>
      <c r="BJ2395" s="33">
        <v>0</v>
      </c>
      <c r="BK2395" s="33">
        <v>0</v>
      </c>
      <c r="BL2395" s="62">
        <v>0</v>
      </c>
      <c r="BM2395" s="275">
        <v>3</v>
      </c>
      <c r="BN2395" s="62">
        <v>0.03</v>
      </c>
      <c r="BO2395" s="33" t="s">
        <v>793</v>
      </c>
      <c r="BP2395" s="33" t="s">
        <v>794</v>
      </c>
    </row>
    <row r="2396" spans="1:68">
      <c r="A2396" s="33" t="str">
        <f>Database_Productkaarten[[#This Row],[Product]]&amp;", "&amp;Database_Productkaarten[[#This Row],[Levensfase]]</f>
        <v>Brugdekplanken, Hout, 3x3m, C4</v>
      </c>
      <c r="B2396" s="33" t="s">
        <v>780</v>
      </c>
      <c r="C2396" s="33" t="s">
        <v>781</v>
      </c>
      <c r="D2396" s="33" t="s">
        <v>782</v>
      </c>
      <c r="E2396" s="33" t="s">
        <v>783</v>
      </c>
      <c r="F2396" s="33" t="s">
        <v>86</v>
      </c>
      <c r="G2396" s="33">
        <v>3</v>
      </c>
      <c r="H2396" s="33">
        <v>3</v>
      </c>
      <c r="I2396" s="33">
        <v>3.5000000000000003E-2</v>
      </c>
      <c r="L2396" s="33">
        <v>0.65</v>
      </c>
      <c r="M2396" s="269">
        <v>0.1945125</v>
      </c>
      <c r="N2396" s="41">
        <v>0.65806050182600007</v>
      </c>
      <c r="O2396" s="33">
        <v>30</v>
      </c>
      <c r="P2396" s="33">
        <v>8.430105107856252E-6</v>
      </c>
      <c r="Q2396" s="33">
        <v>7.7252909249425012E-3</v>
      </c>
      <c r="R2396" s="33">
        <v>1.4273999709970002</v>
      </c>
      <c r="S2396" s="33">
        <v>1.6147234350975004E-7</v>
      </c>
      <c r="T2396" s="33">
        <v>6.3493141001631252E-3</v>
      </c>
      <c r="U2396" s="33">
        <v>3.2911617675584377E-2</v>
      </c>
      <c r="V2396" s="33">
        <v>8.5893981318031255E-3</v>
      </c>
      <c r="W2396" s="33">
        <v>3.9438031851741258</v>
      </c>
      <c r="X2396" s="33">
        <v>3.0398883128818756E-2</v>
      </c>
      <c r="Y2396" s="33">
        <v>77.080080419387514</v>
      </c>
      <c r="Z2396" s="33">
        <v>3.9386568097581256E-3</v>
      </c>
      <c r="AA2396" s="33">
        <v>228.78072831932502</v>
      </c>
      <c r="AB2396" s="33">
        <v>1.3790485242511255</v>
      </c>
      <c r="AC2396" s="33">
        <v>227.40130239133131</v>
      </c>
      <c r="AD2396" s="33">
        <v>3.7409504869100003E-4</v>
      </c>
      <c r="AE2396" s="33">
        <v>1.7842066501350005E-7</v>
      </c>
      <c r="AF2396" s="33">
        <v>4.8666770615986253E-2</v>
      </c>
      <c r="AG2396" s="33">
        <v>2.8099249955481256E-5</v>
      </c>
      <c r="AH2396" s="33">
        <v>2.2679467422600626E-2</v>
      </c>
      <c r="AI2396" s="33">
        <v>0.25965501524576257</v>
      </c>
      <c r="AJ2396" s="33">
        <v>6.793766932623127E-2</v>
      </c>
      <c r="AK2396" s="33">
        <v>8.4300373915712513E-6</v>
      </c>
      <c r="AL2396" s="33">
        <v>14.389051642761252</v>
      </c>
      <c r="AM2396" s="33">
        <v>0.50999392523625009</v>
      </c>
      <c r="AN2396" s="33">
        <v>3.9307241534356258E-7</v>
      </c>
      <c r="AO2396" s="33">
        <v>3.6806855986468753E-2</v>
      </c>
      <c r="AP2396" s="33">
        <v>35.369816871593756</v>
      </c>
      <c r="AQ2396" s="33">
        <v>4.5936655283769261E-8</v>
      </c>
      <c r="AR2396" s="33">
        <v>1.4550035218070625E-7</v>
      </c>
      <c r="AS2396" s="33">
        <v>5.1979217515225011</v>
      </c>
      <c r="AT2396" s="33">
        <v>0</v>
      </c>
      <c r="AU2396" s="33">
        <v>0</v>
      </c>
      <c r="AV2396" s="316">
        <v>0.6331758228591251</v>
      </c>
      <c r="AW2396" s="314">
        <v>0</v>
      </c>
      <c r="AX2396" s="314">
        <v>0</v>
      </c>
      <c r="AY2396" s="316">
        <v>15.497205514927503</v>
      </c>
      <c r="AZ2396" s="33">
        <v>0</v>
      </c>
      <c r="BA2396" s="33">
        <v>0</v>
      </c>
      <c r="BB2396" s="33">
        <v>0</v>
      </c>
      <c r="BC2396" s="33">
        <v>7.5855629894362508E-2</v>
      </c>
      <c r="BD2396" s="33">
        <v>4.0291266796462504E-5</v>
      </c>
      <c r="BE2396" s="33">
        <v>2.1011661538140003</v>
      </c>
      <c r="BF2396" s="33">
        <v>4.4326157782725012E-5</v>
      </c>
      <c r="BG2396" s="33">
        <v>0</v>
      </c>
      <c r="BH2396" s="33">
        <v>0</v>
      </c>
      <c r="BI2396" s="33">
        <v>0</v>
      </c>
      <c r="BJ2396" s="33">
        <v>0</v>
      </c>
      <c r="BK2396" s="33">
        <v>0</v>
      </c>
      <c r="BL2396" s="62">
        <v>0</v>
      </c>
      <c r="BM2396" s="275">
        <v>3</v>
      </c>
      <c r="BN2396" s="62">
        <v>0.03</v>
      </c>
      <c r="BO2396" s="33" t="s">
        <v>795</v>
      </c>
    </row>
    <row r="2397" spans="1:68">
      <c r="A2397" s="33" t="str">
        <f>Database_Productkaarten[[#This Row],[Product]]&amp;", "&amp;Database_Productkaarten[[#This Row],[Levensfase]]</f>
        <v>Brugdekplanken, Hout, 3x3m, D</v>
      </c>
      <c r="B2397" s="33" t="str">
        <f>B2398</f>
        <v>Brugdekplanken, Hout, 3x3m</v>
      </c>
      <c r="C2397" s="33" t="str">
        <f>C2398</f>
        <v>Kleine Kunstwerken</v>
      </c>
      <c r="D2397" s="33" t="str">
        <f>D2398</f>
        <v>Brugdekplanken</v>
      </c>
      <c r="E2397" s="33" t="str">
        <f>E2398</f>
        <v>Stuk</v>
      </c>
      <c r="F2397" s="33" t="s">
        <v>89</v>
      </c>
      <c r="G2397" s="33">
        <f t="shared" ref="G2397:M2397" si="900">G2398</f>
        <v>3</v>
      </c>
      <c r="H2397" s="33">
        <f t="shared" si="900"/>
        <v>3</v>
      </c>
      <c r="I2397" s="33">
        <f t="shared" si="900"/>
        <v>3.5000000000000003E-2</v>
      </c>
      <c r="J2397" s="33">
        <f t="shared" si="900"/>
        <v>0</v>
      </c>
      <c r="K2397" s="33">
        <f t="shared" si="900"/>
        <v>0</v>
      </c>
      <c r="L2397" s="33">
        <f t="shared" si="900"/>
        <v>0.65</v>
      </c>
      <c r="M2397" s="45">
        <f t="shared" si="900"/>
        <v>0.1945125</v>
      </c>
      <c r="N2397" s="41">
        <f>SUM(N2398:N2399)</f>
        <v>-3.4011272655555653</v>
      </c>
      <c r="O2397" s="33">
        <f>O2398</f>
        <v>30</v>
      </c>
      <c r="P2397" s="40">
        <f>SUM(P2398:P2399)</f>
        <v>-1.3952536619095621E-4</v>
      </c>
      <c r="Q2397" s="40">
        <f>SUM(Q2398:Q2399)</f>
        <v>-5.4903513886730607E-2</v>
      </c>
      <c r="R2397" s="40">
        <f>SUM(R2398:R2399)</f>
        <v>-9.2552858373166131</v>
      </c>
      <c r="S2397" s="40">
        <f t="shared" ref="S2397:BK2397" si="901">SUM(S2398:S2399)</f>
        <v>-2.6534008306628555E-6</v>
      </c>
      <c r="T2397" s="40">
        <f t="shared" si="901"/>
        <v>-2.9854712713193555E-2</v>
      </c>
      <c r="U2397" s="40">
        <f t="shared" si="901"/>
        <v>-0.18996268394911994</v>
      </c>
      <c r="V2397" s="40">
        <f t="shared" si="901"/>
        <v>-6.2803749726513258E-2</v>
      </c>
      <c r="W2397" s="40">
        <f t="shared" si="901"/>
        <v>-16.456083273909371</v>
      </c>
      <c r="X2397" s="40">
        <f t="shared" si="901"/>
        <v>-0.34644643842231149</v>
      </c>
      <c r="Y2397" s="40">
        <f t="shared" si="901"/>
        <v>-468.93774684711508</v>
      </c>
      <c r="Z2397" s="40">
        <f t="shared" si="901"/>
        <v>-0.10579868687004437</v>
      </c>
      <c r="AA2397" s="40">
        <f t="shared" si="901"/>
        <v>3.8582231926875008</v>
      </c>
      <c r="AB2397" s="40">
        <f t="shared" si="901"/>
        <v>-0.31061325932000006</v>
      </c>
      <c r="AC2397" s="40">
        <f t="shared" si="901"/>
        <v>4.171924804775001</v>
      </c>
      <c r="AD2397" s="40">
        <f t="shared" si="901"/>
        <v>-3.0883083538125007E-3</v>
      </c>
      <c r="AE2397" s="40">
        <f t="shared" si="901"/>
        <v>-4.4425620841875008E-8</v>
      </c>
      <c r="AF2397" s="40">
        <f t="shared" si="901"/>
        <v>-2.3065877300375006E-3</v>
      </c>
      <c r="AG2397" s="40">
        <f t="shared" si="901"/>
        <v>-2.7955268420625004E-5</v>
      </c>
      <c r="AH2397" s="40">
        <f t="shared" si="901"/>
        <v>-7.4310601308125016E-4</v>
      </c>
      <c r="AI2397" s="40">
        <f t="shared" si="901"/>
        <v>-8.2242464451875007E-3</v>
      </c>
      <c r="AJ2397" s="40">
        <f t="shared" si="901"/>
        <v>-2.8147086274125004E-3</v>
      </c>
      <c r="AK2397" s="40">
        <f t="shared" si="901"/>
        <v>-5.8478922035625012E-6</v>
      </c>
      <c r="AL2397" s="40">
        <f t="shared" si="901"/>
        <v>-4.6302171756749999</v>
      </c>
      <c r="AM2397" s="40">
        <f t="shared" si="901"/>
        <v>-5.2443908050625015E-2</v>
      </c>
      <c r="AN2397" s="40">
        <f t="shared" si="901"/>
        <v>-9.0439147719375021E-8</v>
      </c>
      <c r="AO2397" s="40">
        <f t="shared" si="901"/>
        <v>-2.3032761763375004E-2</v>
      </c>
      <c r="AP2397" s="40">
        <f t="shared" si="901"/>
        <v>-8.9406087509375016</v>
      </c>
      <c r="AQ2397" s="40">
        <f t="shared" si="901"/>
        <v>-2.7586755628250008E-10</v>
      </c>
      <c r="AR2397" s="40">
        <f t="shared" si="901"/>
        <v>-7.9968685728750006E-9</v>
      </c>
      <c r="AS2397" s="40">
        <f t="shared" si="901"/>
        <v>-285.28478819750006</v>
      </c>
      <c r="AT2397" s="40">
        <f t="shared" si="901"/>
        <v>0</v>
      </c>
      <c r="AU2397" s="40">
        <f t="shared" si="901"/>
        <v>0</v>
      </c>
      <c r="AV2397" s="317">
        <f t="shared" si="901"/>
        <v>-49.847980318500007</v>
      </c>
      <c r="AW2397" s="317">
        <f t="shared" si="901"/>
        <v>0</v>
      </c>
      <c r="AX2397" s="317">
        <f t="shared" si="901"/>
        <v>0</v>
      </c>
      <c r="AY2397" s="317">
        <f t="shared" si="901"/>
        <v>-4.9107242786875016</v>
      </c>
      <c r="AZ2397" s="40">
        <f t="shared" si="901"/>
        <v>0</v>
      </c>
      <c r="BA2397" s="40">
        <f t="shared" si="901"/>
        <v>0</v>
      </c>
      <c r="BB2397" s="40">
        <f t="shared" si="901"/>
        <v>0</v>
      </c>
      <c r="BC2397" s="40">
        <f t="shared" si="901"/>
        <v>-2.1898724279249999E-3</v>
      </c>
      <c r="BD2397" s="40">
        <f t="shared" si="901"/>
        <v>-1.6197114120687503E-5</v>
      </c>
      <c r="BE2397" s="40">
        <f t="shared" si="901"/>
        <v>-0.11020607313625001</v>
      </c>
      <c r="BF2397" s="40">
        <f t="shared" si="901"/>
        <v>-2.5999072633625005E-5</v>
      </c>
      <c r="BG2397" s="40">
        <f t="shared" si="901"/>
        <v>0</v>
      </c>
      <c r="BH2397" s="40">
        <f t="shared" si="901"/>
        <v>0</v>
      </c>
      <c r="BI2397" s="40">
        <f t="shared" si="901"/>
        <v>0</v>
      </c>
      <c r="BJ2397" s="40">
        <f t="shared" si="901"/>
        <v>0</v>
      </c>
      <c r="BK2397" s="40">
        <f t="shared" si="901"/>
        <v>0</v>
      </c>
      <c r="BL2397" s="62">
        <f>BL2398</f>
        <v>0</v>
      </c>
      <c r="BM2397" s="275">
        <f>BM2398</f>
        <v>3</v>
      </c>
      <c r="BN2397" s="62">
        <v>0.03</v>
      </c>
      <c r="BO2397" s="33">
        <f>BO2398</f>
        <v>0</v>
      </c>
    </row>
    <row r="2398" spans="1:68">
      <c r="A2398" s="33" t="str">
        <f>Database_Productkaarten[[#This Row],[Product]]&amp;", "&amp;Database_Productkaarten[[#This Row],[Levensfase]]</f>
        <v>Brugdekplanken, Hout, 3x3m, D1</v>
      </c>
      <c r="B2398" s="33" t="s">
        <v>780</v>
      </c>
      <c r="C2398" s="33" t="s">
        <v>781</v>
      </c>
      <c r="D2398" s="33" t="s">
        <v>782</v>
      </c>
      <c r="E2398" s="33" t="s">
        <v>783</v>
      </c>
      <c r="F2398" s="33" t="s">
        <v>87</v>
      </c>
      <c r="G2398" s="33">
        <v>3</v>
      </c>
      <c r="H2398" s="33">
        <v>3</v>
      </c>
      <c r="I2398" s="33">
        <v>3.5000000000000003E-2</v>
      </c>
      <c r="L2398" s="33">
        <v>0.65</v>
      </c>
      <c r="M2398" s="269">
        <v>0.1945125</v>
      </c>
      <c r="N2398" s="41">
        <v>-3.4011272655555653</v>
      </c>
      <c r="O2398" s="33">
        <v>30</v>
      </c>
      <c r="P2398" s="33">
        <v>-1.3952536619095621E-4</v>
      </c>
      <c r="Q2398" s="33">
        <v>-5.4903513886730607E-2</v>
      </c>
      <c r="R2398" s="33">
        <v>-9.2552858373166131</v>
      </c>
      <c r="S2398" s="33">
        <v>-2.6534008306628555E-6</v>
      </c>
      <c r="T2398" s="33">
        <v>-2.9854712713193555E-2</v>
      </c>
      <c r="U2398" s="33">
        <v>-0.18996268394911994</v>
      </c>
      <c r="V2398" s="33">
        <v>-6.2803749726513258E-2</v>
      </c>
      <c r="W2398" s="33">
        <v>-16.456083273909371</v>
      </c>
      <c r="X2398" s="33">
        <v>-0.34644643842231149</v>
      </c>
      <c r="Y2398" s="33">
        <v>-468.93774684711508</v>
      </c>
      <c r="Z2398" s="33">
        <v>-0.10579868687004437</v>
      </c>
      <c r="AA2398" s="33">
        <v>3.8582231926875008</v>
      </c>
      <c r="AB2398" s="33">
        <v>-0.31061325932000006</v>
      </c>
      <c r="AC2398" s="33">
        <v>4.171924804775001</v>
      </c>
      <c r="AD2398" s="33">
        <v>-3.0883083538125007E-3</v>
      </c>
      <c r="AE2398" s="33">
        <v>-4.4425620841875008E-8</v>
      </c>
      <c r="AF2398" s="33">
        <v>-2.3065877300375006E-3</v>
      </c>
      <c r="AG2398" s="33">
        <v>-2.7955268420625004E-5</v>
      </c>
      <c r="AH2398" s="33">
        <v>-7.4310601308125016E-4</v>
      </c>
      <c r="AI2398" s="33">
        <v>-8.2242464451875007E-3</v>
      </c>
      <c r="AJ2398" s="33">
        <v>-2.8147086274125004E-3</v>
      </c>
      <c r="AK2398" s="33">
        <v>-5.8478922035625012E-6</v>
      </c>
      <c r="AL2398" s="33">
        <v>-4.6302171756749999</v>
      </c>
      <c r="AM2398" s="33">
        <v>-5.2443908050625015E-2</v>
      </c>
      <c r="AN2398" s="33">
        <v>-9.0439147719375021E-8</v>
      </c>
      <c r="AO2398" s="33">
        <v>-2.3032761763375004E-2</v>
      </c>
      <c r="AP2398" s="33">
        <v>-8.9406087509375016</v>
      </c>
      <c r="AQ2398" s="33">
        <v>-2.7586755628250008E-10</v>
      </c>
      <c r="AR2398" s="33">
        <v>-7.9968685728750006E-9</v>
      </c>
      <c r="AS2398" s="33">
        <v>-285.28478819750006</v>
      </c>
      <c r="AT2398" s="33">
        <v>0</v>
      </c>
      <c r="AU2398" s="33">
        <v>0</v>
      </c>
      <c r="AV2398" s="316">
        <v>-49.847980318500007</v>
      </c>
      <c r="AW2398" s="314">
        <v>0</v>
      </c>
      <c r="AX2398" s="314">
        <v>0</v>
      </c>
      <c r="AY2398" s="316">
        <v>-4.9107242786875016</v>
      </c>
      <c r="AZ2398" s="33">
        <v>0</v>
      </c>
      <c r="BA2398" s="33">
        <v>0</v>
      </c>
      <c r="BB2398" s="33">
        <v>0</v>
      </c>
      <c r="BC2398" s="33">
        <v>-2.1898724279249999E-3</v>
      </c>
      <c r="BD2398" s="33">
        <v>-1.6197114120687503E-5</v>
      </c>
      <c r="BE2398" s="33">
        <v>-0.11020607313625001</v>
      </c>
      <c r="BF2398" s="33">
        <v>-2.5999072633625005E-5</v>
      </c>
      <c r="BG2398" s="33">
        <v>0</v>
      </c>
      <c r="BH2398" s="33">
        <v>0</v>
      </c>
      <c r="BI2398" s="33">
        <v>0</v>
      </c>
      <c r="BJ2398" s="33">
        <v>0</v>
      </c>
      <c r="BK2398" s="33">
        <v>0</v>
      </c>
      <c r="BL2398" s="62">
        <v>0</v>
      </c>
      <c r="BM2398" s="275">
        <v>3</v>
      </c>
      <c r="BN2398" s="62">
        <v>0.03</v>
      </c>
    </row>
    <row r="2399" spans="1:68">
      <c r="A2399" s="33" t="str">
        <f>Database_Productkaarten[[#This Row],[Product]]&amp;", "&amp;Database_Productkaarten[[#This Row],[Levensfase]]</f>
        <v>Brugdekplanken, Hout, 3x3m, D2</v>
      </c>
      <c r="B2399" s="33" t="s">
        <v>780</v>
      </c>
      <c r="C2399" s="33" t="s">
        <v>781</v>
      </c>
      <c r="D2399" s="33" t="s">
        <v>782</v>
      </c>
      <c r="E2399" s="33" t="s">
        <v>783</v>
      </c>
      <c r="F2399" s="33" t="s">
        <v>88</v>
      </c>
      <c r="G2399" s="33">
        <v>3</v>
      </c>
      <c r="H2399" s="33">
        <v>3</v>
      </c>
      <c r="I2399" s="33">
        <v>3.5000000000000003E-2</v>
      </c>
      <c r="L2399" s="33">
        <v>0.65</v>
      </c>
      <c r="M2399" s="269">
        <v>0.1945125</v>
      </c>
      <c r="N2399" s="41"/>
      <c r="O2399" s="33">
        <v>30</v>
      </c>
      <c r="AV2399" s="316"/>
      <c r="AW2399" s="314"/>
      <c r="AX2399" s="314"/>
      <c r="AY2399" s="316"/>
      <c r="BL2399" s="62">
        <v>0</v>
      </c>
      <c r="BM2399" s="275">
        <v>3</v>
      </c>
      <c r="BN2399" s="62">
        <v>0.03</v>
      </c>
    </row>
    <row r="2400" spans="1:68">
      <c r="A2400" s="33" t="str">
        <f>Database_Productkaarten[[#This Row],[Product]]&amp;", "&amp;Database_Productkaarten[[#This Row],[Levensfase]]</f>
        <v>Brugdekplanken, Hout met slijtlaag, 3x3m, Totaal</v>
      </c>
      <c r="B2400" s="33" t="s">
        <v>796</v>
      </c>
      <c r="C2400" s="33" t="s">
        <v>781</v>
      </c>
      <c r="D2400" s="33" t="s">
        <v>782</v>
      </c>
      <c r="E2400" s="33" t="s">
        <v>783</v>
      </c>
      <c r="F2400" s="33" t="s">
        <v>90</v>
      </c>
      <c r="G2400" s="33">
        <v>3</v>
      </c>
      <c r="H2400" s="33">
        <v>3</v>
      </c>
      <c r="I2400" s="33">
        <v>3.5000000000000003E-2</v>
      </c>
      <c r="L2400" s="33" t="s">
        <v>737</v>
      </c>
      <c r="M2400" s="269">
        <v>0.32951249999999999</v>
      </c>
      <c r="N2400" s="41"/>
      <c r="O2400" s="33">
        <v>30</v>
      </c>
      <c r="AV2400" s="316"/>
      <c r="AW2400" s="314"/>
      <c r="AX2400" s="314"/>
      <c r="AY2400" s="316"/>
      <c r="BL2400" s="62">
        <v>0</v>
      </c>
      <c r="BM2400" s="275">
        <v>3</v>
      </c>
      <c r="BN2400" s="62">
        <v>0.03</v>
      </c>
    </row>
    <row r="2401" spans="1:68">
      <c r="A2401" s="33" t="str">
        <f>Database_Productkaarten[[#This Row],[Product]]&amp;", "&amp;Database_Productkaarten[[#This Row],[Levensfase]]</f>
        <v>Brugdekplanken, Hout met slijtlaag, 3x3m, A1</v>
      </c>
      <c r="B2401" s="33" t="s">
        <v>796</v>
      </c>
      <c r="C2401" s="33" t="s">
        <v>781</v>
      </c>
      <c r="D2401" s="33" t="s">
        <v>782</v>
      </c>
      <c r="E2401" s="33" t="s">
        <v>783</v>
      </c>
      <c r="F2401" s="33" t="s">
        <v>74</v>
      </c>
      <c r="G2401" s="33">
        <v>3</v>
      </c>
      <c r="H2401" s="33">
        <v>3</v>
      </c>
      <c r="I2401" s="33">
        <v>3.5000000000000003E-2</v>
      </c>
      <c r="L2401" s="33" t="s">
        <v>737</v>
      </c>
      <c r="M2401" s="269">
        <v>0.32951249999999999</v>
      </c>
      <c r="N2401" s="41">
        <v>35.093948743912499</v>
      </c>
      <c r="O2401" s="33">
        <v>30</v>
      </c>
      <c r="P2401" s="33">
        <v>1.9565538139687502E-3</v>
      </c>
      <c r="Q2401" s="33">
        <v>3.1561422436799997</v>
      </c>
      <c r="R2401" s="33">
        <v>393.70942601550001</v>
      </c>
      <c r="S2401" s="33">
        <v>5.9432760443250009E-6</v>
      </c>
      <c r="T2401" s="33">
        <v>0.28759175276962501</v>
      </c>
      <c r="U2401" s="33">
        <v>1.7118652624874999</v>
      </c>
      <c r="V2401" s="33">
        <v>0.29021799531825004</v>
      </c>
      <c r="W2401" s="33">
        <v>48.24562174695</v>
      </c>
      <c r="X2401" s="33">
        <v>2.1694603308300002</v>
      </c>
      <c r="Y2401" s="33">
        <v>4281.75771678</v>
      </c>
      <c r="Z2401" s="33">
        <v>0.55052256926362508</v>
      </c>
      <c r="AA2401" s="33">
        <v>-82.775411826750059</v>
      </c>
      <c r="AB2401" s="33">
        <v>408.69507562875003</v>
      </c>
      <c r="AC2401" s="33">
        <v>-491.92326171630015</v>
      </c>
      <c r="AD2401" s="33">
        <v>0.4527683278650001</v>
      </c>
      <c r="AE2401" s="33">
        <v>6.8381606286000008E-6</v>
      </c>
      <c r="AF2401" s="33">
        <v>2.0752578017887502</v>
      </c>
      <c r="AG2401" s="33">
        <v>2.38835552767875E-2</v>
      </c>
      <c r="AH2401" s="33">
        <v>0.53100956085637496</v>
      </c>
      <c r="AI2401" s="33">
        <v>4.2135115694512493</v>
      </c>
      <c r="AJ2401" s="33">
        <v>1.4753255730975001</v>
      </c>
      <c r="AK2401" s="33">
        <v>1.9564358358037503E-3</v>
      </c>
      <c r="AL2401" s="33">
        <v>6931.8805132012512</v>
      </c>
      <c r="AM2401" s="33">
        <v>355.90958205716242</v>
      </c>
      <c r="AN2401" s="33">
        <v>4.5894104758687502E-5</v>
      </c>
      <c r="AO2401" s="33">
        <v>3.2566818213000004</v>
      </c>
      <c r="AP2401" s="33">
        <v>19811.506355291254</v>
      </c>
      <c r="AQ2401" s="33">
        <v>1.5012459149625003E-7</v>
      </c>
      <c r="AR2401" s="33">
        <v>8.7494386699350007E-6</v>
      </c>
      <c r="AS2401" s="33">
        <v>30420.126523125007</v>
      </c>
      <c r="AT2401" s="33">
        <v>0</v>
      </c>
      <c r="AU2401" s="33">
        <v>0</v>
      </c>
      <c r="AV2401" s="316">
        <v>6169.5150204150023</v>
      </c>
      <c r="AW2401" s="314">
        <v>0</v>
      </c>
      <c r="AX2401" s="314">
        <v>0</v>
      </c>
      <c r="AY2401" s="316">
        <v>7426.82451443625</v>
      </c>
      <c r="AZ2401" s="33">
        <v>0</v>
      </c>
      <c r="BA2401" s="33">
        <v>0</v>
      </c>
      <c r="BB2401" s="33">
        <v>0</v>
      </c>
      <c r="BC2401" s="33">
        <v>8.4251941559302495</v>
      </c>
      <c r="BD2401" s="33">
        <v>2.2754141786137504E-3</v>
      </c>
      <c r="BE2401" s="33">
        <v>25.786800225450005</v>
      </c>
      <c r="BF2401" s="33">
        <v>3.6927214321500006E-3</v>
      </c>
      <c r="BG2401" s="33">
        <v>0</v>
      </c>
      <c r="BH2401" s="33">
        <v>0</v>
      </c>
      <c r="BI2401" s="33">
        <v>0</v>
      </c>
      <c r="BJ2401" s="33">
        <v>0</v>
      </c>
      <c r="BK2401" s="33">
        <v>0</v>
      </c>
      <c r="BL2401" s="62">
        <v>0</v>
      </c>
      <c r="BM2401" s="275">
        <v>3</v>
      </c>
      <c r="BN2401" s="62">
        <v>0.03</v>
      </c>
      <c r="BO2401" s="33" t="s">
        <v>797</v>
      </c>
      <c r="BP2401" s="33" t="s">
        <v>798</v>
      </c>
    </row>
    <row r="2402" spans="1:68">
      <c r="A2402" s="33" t="str">
        <f>Database_Productkaarten[[#This Row],[Product]]&amp;", "&amp;Database_Productkaarten[[#This Row],[Levensfase]]</f>
        <v>Brugdekplanken, Hout met slijtlaag, 3x3m, A2</v>
      </c>
      <c r="B2402" s="33" t="s">
        <v>796</v>
      </c>
      <c r="C2402" s="33" t="s">
        <v>781</v>
      </c>
      <c r="D2402" s="33" t="s">
        <v>782</v>
      </c>
      <c r="E2402" s="33" t="s">
        <v>783</v>
      </c>
      <c r="F2402" s="33" t="s">
        <v>75</v>
      </c>
      <c r="G2402" s="33">
        <v>3</v>
      </c>
      <c r="H2402" s="33">
        <v>3</v>
      </c>
      <c r="I2402" s="33">
        <v>3.5000000000000003E-2</v>
      </c>
      <c r="L2402" s="33" t="s">
        <v>737</v>
      </c>
      <c r="M2402" s="269">
        <v>0.32951249999999999</v>
      </c>
      <c r="N2402" s="41">
        <v>5.0775532215750019</v>
      </c>
      <c r="O2402" s="33">
        <v>30</v>
      </c>
      <c r="P2402" s="33">
        <v>1.0733240543220003E-3</v>
      </c>
      <c r="Q2402" s="33">
        <v>0.30949904535075007</v>
      </c>
      <c r="R2402" s="33">
        <v>42.113024833500006</v>
      </c>
      <c r="S2402" s="33">
        <v>7.4743774482375007E-6</v>
      </c>
      <c r="T2402" s="33">
        <v>2.5419350773575006E-2</v>
      </c>
      <c r="U2402" s="33">
        <v>0.18550189788412502</v>
      </c>
      <c r="V2402" s="33">
        <v>3.6473644471500005E-2</v>
      </c>
      <c r="W2402" s="33">
        <v>17.730701770837502</v>
      </c>
      <c r="X2402" s="33">
        <v>0.51677519987250009</v>
      </c>
      <c r="Y2402" s="33">
        <v>1858.4281413900003</v>
      </c>
      <c r="Z2402" s="33">
        <v>6.2797755492000007E-2</v>
      </c>
      <c r="AA2402" s="33">
        <v>42.505062877125006</v>
      </c>
      <c r="AB2402" s="33">
        <v>42.468611020875009</v>
      </c>
      <c r="AC2402" s="33">
        <v>2.0694609658575003E-2</v>
      </c>
      <c r="AD2402" s="33">
        <v>1.5757497655200001E-2</v>
      </c>
      <c r="AE2402" s="33">
        <v>9.374535380925003E-6</v>
      </c>
      <c r="AF2402" s="33">
        <v>0.24681573711000004</v>
      </c>
      <c r="AG2402" s="33">
        <v>4.3011387663750009E-4</v>
      </c>
      <c r="AH2402" s="33">
        <v>8.7069936665250008E-2</v>
      </c>
      <c r="AI2402" s="33">
        <v>0.95995981553625032</v>
      </c>
      <c r="AJ2402" s="33">
        <v>0.27393542942625004</v>
      </c>
      <c r="AK2402" s="33">
        <v>1.0733198300685004E-3</v>
      </c>
      <c r="AL2402" s="33">
        <v>640.72542409875007</v>
      </c>
      <c r="AM2402" s="33">
        <v>2.2909103315775008</v>
      </c>
      <c r="AN2402" s="33">
        <v>3.8077486542675007E-6</v>
      </c>
      <c r="AO2402" s="33">
        <v>2.6920215562950007</v>
      </c>
      <c r="AP2402" s="33">
        <v>569.7712735987501</v>
      </c>
      <c r="AQ2402" s="33">
        <v>1.8618504219225001E-8</v>
      </c>
      <c r="AR2402" s="33">
        <v>6.248087818762501E-7</v>
      </c>
      <c r="AS2402" s="33">
        <v>554.95687053375013</v>
      </c>
      <c r="AT2402" s="33">
        <v>0</v>
      </c>
      <c r="AU2402" s="33">
        <v>0</v>
      </c>
      <c r="AV2402" s="316">
        <v>8.2492980745500013</v>
      </c>
      <c r="AW2402" s="314">
        <v>0</v>
      </c>
      <c r="AX2402" s="314">
        <v>0</v>
      </c>
      <c r="AY2402" s="316">
        <v>680.25840174000018</v>
      </c>
      <c r="AZ2402" s="33">
        <v>0</v>
      </c>
      <c r="BA2402" s="33">
        <v>0</v>
      </c>
      <c r="BB2402" s="33">
        <v>0</v>
      </c>
      <c r="BC2402" s="33">
        <v>7.8683052935250006E-2</v>
      </c>
      <c r="BD2402" s="33">
        <v>1.62305796749625E-3</v>
      </c>
      <c r="BE2402" s="33">
        <v>40.456569695580008</v>
      </c>
      <c r="BF2402" s="33">
        <v>4.2121654779375007E-3</v>
      </c>
      <c r="BG2402" s="33">
        <v>0</v>
      </c>
      <c r="BH2402" s="33">
        <v>0</v>
      </c>
      <c r="BI2402" s="33">
        <v>0</v>
      </c>
      <c r="BJ2402" s="33">
        <v>0</v>
      </c>
      <c r="BK2402" s="33">
        <v>0</v>
      </c>
      <c r="BL2402" s="62">
        <v>0</v>
      </c>
      <c r="BM2402" s="275">
        <v>3</v>
      </c>
      <c r="BN2402" s="62">
        <v>0.03</v>
      </c>
      <c r="BO2402" s="33" t="s">
        <v>786</v>
      </c>
      <c r="BP2402" s="33" t="s">
        <v>787</v>
      </c>
    </row>
    <row r="2403" spans="1:68">
      <c r="A2403" s="33" t="str">
        <f>Database_Productkaarten[[#This Row],[Product]]&amp;", "&amp;Database_Productkaarten[[#This Row],[Levensfase]]</f>
        <v>Brugdekplanken, Hout met slijtlaag, 3x3m, A3</v>
      </c>
      <c r="B2403" s="33" t="s">
        <v>796</v>
      </c>
      <c r="C2403" s="33" t="s">
        <v>781</v>
      </c>
      <c r="D2403" s="33" t="s">
        <v>782</v>
      </c>
      <c r="E2403" s="33" t="s">
        <v>783</v>
      </c>
      <c r="F2403" s="33" t="s">
        <v>76</v>
      </c>
      <c r="G2403" s="33">
        <v>3</v>
      </c>
      <c r="H2403" s="33">
        <v>3</v>
      </c>
      <c r="I2403" s="33">
        <v>3.5000000000000003E-2</v>
      </c>
      <c r="L2403" s="33" t="s">
        <v>737</v>
      </c>
      <c r="M2403" s="269">
        <v>0.32951249999999999</v>
      </c>
      <c r="N2403" s="41"/>
      <c r="O2403" s="33">
        <v>30</v>
      </c>
      <c r="AV2403" s="316"/>
      <c r="AW2403" s="314"/>
      <c r="AX2403" s="314"/>
      <c r="AY2403" s="316"/>
      <c r="BL2403" s="62">
        <v>0</v>
      </c>
      <c r="BM2403" s="275">
        <v>3</v>
      </c>
      <c r="BN2403" s="62">
        <v>0.03</v>
      </c>
    </row>
    <row r="2404" spans="1:68">
      <c r="A2404" s="451" t="str">
        <f>Database_Productkaarten[[#This Row],[Product]]&amp;", "&amp;Database_Productkaarten[[#This Row],[Levensfase]]</f>
        <v>Brugdekplanken, Hout met slijtlaag, 3x3m, A1-A3</v>
      </c>
      <c r="B2404" s="451" t="str">
        <f>B2403</f>
        <v>Brugdekplanken, Hout met slijtlaag, 3x3m</v>
      </c>
      <c r="C2404" s="451" t="str">
        <f>C2403</f>
        <v>Kleine Kunstwerken</v>
      </c>
      <c r="D2404" s="451" t="str">
        <f>D2403</f>
        <v>Brugdekplanken</v>
      </c>
      <c r="E2404" s="451" t="str">
        <f>E2403</f>
        <v>Stuk</v>
      </c>
      <c r="F2404" s="451" t="s">
        <v>77</v>
      </c>
      <c r="G2404" s="451">
        <f t="shared" ref="G2404:M2404" si="902">G2403</f>
        <v>3</v>
      </c>
      <c r="H2404" s="451">
        <f t="shared" si="902"/>
        <v>3</v>
      </c>
      <c r="I2404" s="451">
        <f t="shared" si="902"/>
        <v>3.5000000000000003E-2</v>
      </c>
      <c r="J2404" s="451">
        <f t="shared" si="902"/>
        <v>0</v>
      </c>
      <c r="K2404" s="451">
        <f t="shared" si="902"/>
        <v>0</v>
      </c>
      <c r="L2404" s="451" t="str">
        <f t="shared" si="902"/>
        <v>NVT</v>
      </c>
      <c r="M2404" s="454">
        <f t="shared" si="902"/>
        <v>0.32951249999999999</v>
      </c>
      <c r="N2404" s="452">
        <f>SUM(N2401:N2403)</f>
        <v>40.171501965487501</v>
      </c>
      <c r="O2404" s="451">
        <f>O2403</f>
        <v>30</v>
      </c>
      <c r="P2404" s="453">
        <f t="shared" ref="P2404:BK2404" si="903">SUM(P2401:P2403)</f>
        <v>3.0298778682907503E-3</v>
      </c>
      <c r="Q2404" s="453">
        <f t="shared" si="903"/>
        <v>3.4656412890307497</v>
      </c>
      <c r="R2404" s="453">
        <f t="shared" si="903"/>
        <v>435.82245084900001</v>
      </c>
      <c r="S2404" s="453">
        <f t="shared" si="903"/>
        <v>1.3417653492562502E-5</v>
      </c>
      <c r="T2404" s="453">
        <f t="shared" si="903"/>
        <v>0.3130111035432</v>
      </c>
      <c r="U2404" s="453">
        <f t="shared" si="903"/>
        <v>1.8973671603716249</v>
      </c>
      <c r="V2404" s="453">
        <f t="shared" si="903"/>
        <v>0.32669163978975002</v>
      </c>
      <c r="W2404" s="453">
        <f t="shared" si="903"/>
        <v>65.976323517787506</v>
      </c>
      <c r="X2404" s="453">
        <f t="shared" si="903"/>
        <v>2.6862355307025005</v>
      </c>
      <c r="Y2404" s="453">
        <f t="shared" si="903"/>
        <v>6140.1858581699998</v>
      </c>
      <c r="Z2404" s="453">
        <f t="shared" si="903"/>
        <v>0.61332032475562515</v>
      </c>
      <c r="AA2404" s="453">
        <f t="shared" si="903"/>
        <v>-40.270348949625053</v>
      </c>
      <c r="AB2404" s="453">
        <f t="shared" si="903"/>
        <v>451.16368664962505</v>
      </c>
      <c r="AC2404" s="453">
        <f t="shared" si="903"/>
        <v>-491.90256710664158</v>
      </c>
      <c r="AD2404" s="453">
        <f t="shared" si="903"/>
        <v>0.46852582552020011</v>
      </c>
      <c r="AE2404" s="453">
        <f t="shared" si="903"/>
        <v>1.6212696009525005E-5</v>
      </c>
      <c r="AF2404" s="453">
        <f t="shared" si="903"/>
        <v>2.3220735388987501</v>
      </c>
      <c r="AG2404" s="453">
        <f t="shared" si="903"/>
        <v>2.4313669153425001E-2</v>
      </c>
      <c r="AH2404" s="453">
        <f t="shared" si="903"/>
        <v>0.61807949752162494</v>
      </c>
      <c r="AI2404" s="453">
        <f t="shared" si="903"/>
        <v>5.1734713849874998</v>
      </c>
      <c r="AJ2404" s="453">
        <f t="shared" si="903"/>
        <v>1.7492610025237503</v>
      </c>
      <c r="AK2404" s="453">
        <f t="shared" si="903"/>
        <v>3.0297556658722509E-3</v>
      </c>
      <c r="AL2404" s="453">
        <f t="shared" si="903"/>
        <v>7572.6059373000016</v>
      </c>
      <c r="AM2404" s="453">
        <f t="shared" si="903"/>
        <v>358.20049238873992</v>
      </c>
      <c r="AN2404" s="453">
        <f t="shared" si="903"/>
        <v>4.9701853412955E-5</v>
      </c>
      <c r="AO2404" s="453">
        <f t="shared" si="903"/>
        <v>5.9487033775950007</v>
      </c>
      <c r="AP2404" s="453">
        <f t="shared" si="903"/>
        <v>20381.277628890006</v>
      </c>
      <c r="AQ2404" s="453">
        <f t="shared" si="903"/>
        <v>1.6874309571547504E-7</v>
      </c>
      <c r="AR2404" s="453">
        <f t="shared" si="903"/>
        <v>9.3742474518112511E-6</v>
      </c>
      <c r="AS2404" s="453">
        <f t="shared" si="903"/>
        <v>30975.083393658759</v>
      </c>
      <c r="AT2404" s="453">
        <f t="shared" si="903"/>
        <v>0</v>
      </c>
      <c r="AU2404" s="453">
        <f t="shared" si="903"/>
        <v>0</v>
      </c>
      <c r="AV2404" s="317">
        <f t="shared" si="903"/>
        <v>6177.7643184895524</v>
      </c>
      <c r="AW2404" s="317">
        <f t="shared" si="903"/>
        <v>0</v>
      </c>
      <c r="AX2404" s="317">
        <f t="shared" si="903"/>
        <v>0</v>
      </c>
      <c r="AY2404" s="317">
        <f t="shared" si="903"/>
        <v>8107.0829161762504</v>
      </c>
      <c r="AZ2404" s="453">
        <f t="shared" si="903"/>
        <v>0</v>
      </c>
      <c r="BA2404" s="453">
        <f t="shared" si="903"/>
        <v>0</v>
      </c>
      <c r="BB2404" s="453">
        <f t="shared" si="903"/>
        <v>0</v>
      </c>
      <c r="BC2404" s="453">
        <f t="shared" si="903"/>
        <v>8.5038772088655001</v>
      </c>
      <c r="BD2404" s="453">
        <f t="shared" si="903"/>
        <v>3.8984721461100004E-3</v>
      </c>
      <c r="BE2404" s="453">
        <f t="shared" si="903"/>
        <v>66.243369921030009</v>
      </c>
      <c r="BF2404" s="453">
        <f t="shared" si="903"/>
        <v>7.9048869100875017E-3</v>
      </c>
      <c r="BG2404" s="453">
        <f t="shared" si="903"/>
        <v>0</v>
      </c>
      <c r="BH2404" s="453">
        <f t="shared" si="903"/>
        <v>0</v>
      </c>
      <c r="BI2404" s="453">
        <f t="shared" si="903"/>
        <v>0</v>
      </c>
      <c r="BJ2404" s="453">
        <f t="shared" si="903"/>
        <v>0</v>
      </c>
      <c r="BK2404" s="453">
        <f t="shared" si="903"/>
        <v>0</v>
      </c>
      <c r="BL2404" s="62">
        <f>BL2403</f>
        <v>0</v>
      </c>
      <c r="BM2404" s="275">
        <f>BM2403</f>
        <v>3</v>
      </c>
      <c r="BN2404" s="62">
        <v>0.03</v>
      </c>
      <c r="BO2404" s="451">
        <f>BO2403</f>
        <v>0</v>
      </c>
      <c r="BP2404" s="451"/>
    </row>
    <row r="2405" spans="1:68">
      <c r="A2405" s="33" t="str">
        <f>Database_Productkaarten[[#This Row],[Product]]&amp;", "&amp;Database_Productkaarten[[#This Row],[Levensfase]]</f>
        <v>Brugdekplanken, Hout met slijtlaag, 3x3m, A4</v>
      </c>
      <c r="B2405" s="33" t="s">
        <v>796</v>
      </c>
      <c r="C2405" s="33" t="s">
        <v>781</v>
      </c>
      <c r="D2405" s="33" t="s">
        <v>782</v>
      </c>
      <c r="E2405" s="33" t="s">
        <v>783</v>
      </c>
      <c r="F2405" s="33" t="s">
        <v>78</v>
      </c>
      <c r="G2405" s="33">
        <v>3</v>
      </c>
      <c r="H2405" s="33">
        <v>3</v>
      </c>
      <c r="I2405" s="33">
        <v>3.5000000000000003E-2</v>
      </c>
      <c r="L2405" s="33" t="s">
        <v>737</v>
      </c>
      <c r="M2405" s="269">
        <v>0.32951249999999999</v>
      </c>
      <c r="N2405" s="41">
        <v>0.26573944158000001</v>
      </c>
      <c r="O2405" s="33">
        <v>30</v>
      </c>
      <c r="P2405" s="33">
        <v>5.633566143862501E-5</v>
      </c>
      <c r="Q2405" s="33">
        <v>1.6213193336700005E-2</v>
      </c>
      <c r="R2405" s="33">
        <v>2.2048294268250008</v>
      </c>
      <c r="S2405" s="33">
        <v>3.9116680952062509E-7</v>
      </c>
      <c r="T2405" s="33">
        <v>1.3303696815450002E-3</v>
      </c>
      <c r="U2405" s="33">
        <v>9.6944083372125026E-3</v>
      </c>
      <c r="V2405" s="33">
        <v>1.9045570422937506E-3</v>
      </c>
      <c r="W2405" s="33">
        <v>0.92828607347250014</v>
      </c>
      <c r="X2405" s="33">
        <v>2.7100402984125006E-2</v>
      </c>
      <c r="Y2405" s="33">
        <v>97.481108016562516</v>
      </c>
      <c r="Z2405" s="33">
        <v>3.280924988325001E-3</v>
      </c>
      <c r="AA2405" s="33">
        <v>2.2252929768562506</v>
      </c>
      <c r="AB2405" s="33">
        <v>2.2234503429562507</v>
      </c>
      <c r="AC2405" s="33">
        <v>1.0279012444818752E-3</v>
      </c>
      <c r="AD2405" s="33">
        <v>8.1474618200625011E-4</v>
      </c>
      <c r="AE2405" s="33">
        <v>4.9076861879812506E-7</v>
      </c>
      <c r="AF2405" s="33">
        <v>1.2895426709043752E-2</v>
      </c>
      <c r="AG2405" s="33">
        <v>2.2429340875687508E-5</v>
      </c>
      <c r="AH2405" s="33">
        <v>4.5440388290812501E-3</v>
      </c>
      <c r="AI2405" s="33">
        <v>5.0098558222687509E-2</v>
      </c>
      <c r="AJ2405" s="33">
        <v>1.4303499688800002E-2</v>
      </c>
      <c r="AK2405" s="33">
        <v>5.6335442312812504E-5</v>
      </c>
      <c r="AL2405" s="33">
        <v>33.534047225812508</v>
      </c>
      <c r="AM2405" s="33">
        <v>0.11995471724906252</v>
      </c>
      <c r="AN2405" s="33">
        <v>1.9967269607437505E-7</v>
      </c>
      <c r="AO2405" s="33">
        <v>0.14050274769506252</v>
      </c>
      <c r="AP2405" s="33">
        <v>29.903010593062508</v>
      </c>
      <c r="AQ2405" s="33">
        <v>9.7022869810875024E-10</v>
      </c>
      <c r="AR2405" s="33">
        <v>3.2704033246875005E-8</v>
      </c>
      <c r="AS2405" s="33">
        <v>29.082030199312506</v>
      </c>
      <c r="AT2405" s="33">
        <v>0</v>
      </c>
      <c r="AU2405" s="33">
        <v>0</v>
      </c>
      <c r="AV2405" s="316">
        <v>0.41980602599437511</v>
      </c>
      <c r="AW2405" s="314">
        <v>0</v>
      </c>
      <c r="AX2405" s="314">
        <v>0</v>
      </c>
      <c r="AY2405" s="316">
        <v>35.603700410250006</v>
      </c>
      <c r="AZ2405" s="33">
        <v>0</v>
      </c>
      <c r="BA2405" s="33">
        <v>0</v>
      </c>
      <c r="BB2405" s="33">
        <v>0</v>
      </c>
      <c r="BC2405" s="33">
        <v>4.0843331394750009E-3</v>
      </c>
      <c r="BD2405" s="33">
        <v>8.4977901189562532E-5</v>
      </c>
      <c r="BE2405" s="33">
        <v>2.1271671199687505</v>
      </c>
      <c r="BF2405" s="33">
        <v>2.2020443871750004E-4</v>
      </c>
      <c r="BG2405" s="33">
        <v>0</v>
      </c>
      <c r="BH2405" s="33">
        <v>0</v>
      </c>
      <c r="BI2405" s="33">
        <v>0</v>
      </c>
      <c r="BJ2405" s="33">
        <v>0</v>
      </c>
      <c r="BK2405" s="33">
        <v>0</v>
      </c>
      <c r="BL2405" s="62">
        <v>0</v>
      </c>
      <c r="BM2405" s="275">
        <v>3</v>
      </c>
      <c r="BN2405" s="62">
        <v>0.03</v>
      </c>
      <c r="BO2405" s="163" t="s">
        <v>786</v>
      </c>
      <c r="BP2405" s="33" t="s">
        <v>788</v>
      </c>
    </row>
    <row r="2406" spans="1:68">
      <c r="A2406" s="33" t="str">
        <f>Database_Productkaarten[[#This Row],[Product]]&amp;", "&amp;Database_Productkaarten[[#This Row],[Levensfase]]</f>
        <v>Brugdekplanken, Hout met slijtlaag, 3x3m, A5</v>
      </c>
      <c r="B2406" s="33" t="s">
        <v>796</v>
      </c>
      <c r="C2406" s="33" t="s">
        <v>781</v>
      </c>
      <c r="D2406" s="33" t="s">
        <v>782</v>
      </c>
      <c r="E2406" s="33" t="s">
        <v>783</v>
      </c>
      <c r="F2406" s="33" t="s">
        <v>79</v>
      </c>
      <c r="G2406" s="33">
        <v>3</v>
      </c>
      <c r="H2406" s="33">
        <v>3</v>
      </c>
      <c r="I2406" s="33">
        <v>3.5000000000000003E-2</v>
      </c>
      <c r="L2406" s="33" t="s">
        <v>737</v>
      </c>
      <c r="M2406" s="269">
        <v>0.32951249999999999</v>
      </c>
      <c r="N2406" s="41">
        <f>('Processen Database'!B$373*4)+((SUM(N2401:N2405)+SUM(N2410:N2414))*0.03)</f>
        <v>48.595734925206955</v>
      </c>
      <c r="O2406" s="33">
        <v>30</v>
      </c>
      <c r="P2406" s="40">
        <f>('Processen Database'!C$373*4)+((SUM(P2401:P2405)+SUM(P2410:P2414))*0.03)</f>
        <v>3.1223240467811867E-4</v>
      </c>
      <c r="Q2406" s="40">
        <f>('Processen Database'!D$373*4)+((SUM(Q2401:Q2405)+SUM(Q2410:Q2414))*0.03)</f>
        <v>2.5280549562913062</v>
      </c>
      <c r="R2406" s="40">
        <f>('Processen Database'!E$373*4)+((SUM(R2401:R2405)+SUM(R2410:R2414))*0.03)</f>
        <v>374.51392436737024</v>
      </c>
      <c r="S2406" s="40">
        <f>('Processen Database'!F$373*4)+((SUM(S2401:S2405)+SUM(S2410:S2414))*0.03)</f>
        <v>6.2900675693626645E-5</v>
      </c>
      <c r="T2406" s="40">
        <f>('Processen Database'!G$373*4)+((SUM(T2401:T2405)+SUM(T2410:T2414))*0.03)</f>
        <v>0.3685622369454214</v>
      </c>
      <c r="U2406" s="40">
        <f>('Processen Database'!H$373*4)+((SUM(U2401:U2405)+SUM(U2410:U2414))*0.03)</f>
        <v>2.7387982677618274</v>
      </c>
      <c r="V2406" s="40">
        <f>('Processen Database'!I$373*4)+((SUM(V2401:V2405)+SUM(V2410:V2414))*0.03)</f>
        <v>0.60961259039642857</v>
      </c>
      <c r="W2406" s="40">
        <f>('Processen Database'!J$373*4)+((SUM(W2401:W2405)+SUM(W2410:W2414))*0.03)</f>
        <v>128.66231961598248</v>
      </c>
      <c r="X2406" s="40">
        <f>('Processen Database'!K$373*4)+((SUM(X2401:X2405)+SUM(X2410:X2414))*0.03)</f>
        <v>1.9240367264151002</v>
      </c>
      <c r="Y2406" s="40">
        <f>('Processen Database'!L$373*4)+((SUM(Y2401:Y2405)+SUM(Y2410:Y2414))*0.03)</f>
        <v>6331.2229279289586</v>
      </c>
      <c r="Z2406" s="40">
        <f>('Processen Database'!M$373*4)+((SUM(Z2401:Z2405)+SUM(Z2410:Z2414))*0.03)</f>
        <v>0.23883220850217085</v>
      </c>
      <c r="AA2406" s="40">
        <f>('Processen Database'!N$373*4)+((SUM(AA2401:AA2405)+SUM(AA2410:AA2414))*0.03)</f>
        <v>357.24763577526653</v>
      </c>
      <c r="AB2406" s="40">
        <f>('Processen Database'!O$373*4)+((SUM(AB2401:AB2405)+SUM(AB2410:AB2414))*0.03)</f>
        <v>378.96003777942548</v>
      </c>
      <c r="AC2406" s="40">
        <f>('Processen Database'!P$373*4)+((SUM(AC2401:AC2405)+SUM(AC2410:AC2414))*0.03)</f>
        <v>-21.765641251870139</v>
      </c>
      <c r="AD2406" s="40">
        <f>('Processen Database'!Q$373*4)+((SUM(AD2401:AD2405)+SUM(AD2410:AD2414))*0.03)</f>
        <v>5.3240794253945706E-2</v>
      </c>
      <c r="AE2406" s="40">
        <f>('Processen Database'!R$373*4)+((SUM(AE2401:AE2405)+SUM(AE2410:AE2414))*0.03)</f>
        <v>7.925753657053997E-5</v>
      </c>
      <c r="AF2406" s="40">
        <f>('Processen Database'!S$373*4)+((SUM(AF2401:AF2405)+SUM(AF2410:AF2414))*0.03)</f>
        <v>3.802899887594192</v>
      </c>
      <c r="AG2406" s="40">
        <f>('Processen Database'!T$373*4)+((SUM(AG2401:AG2405)+SUM(AG2410:AG2414))*0.03)</f>
        <v>4.1351753511421167E-3</v>
      </c>
      <c r="AH2406" s="40">
        <f>('Processen Database'!U$373*4)+((SUM(AH2401:AH2405)+SUM(AH2410:AH2414))*0.03)</f>
        <v>1.627644418134705</v>
      </c>
      <c r="AI2406" s="40">
        <f>('Processen Database'!V$373*4)+((SUM(AI2401:AI2405)+SUM(AI2410:AI2414))*0.03)</f>
        <v>17.765476879468146</v>
      </c>
      <c r="AJ2406" s="40">
        <f>('Processen Database'!W$373*4)+((SUM(AJ2401:AJ2405)+SUM(AJ2410:AJ2414))*0.03)</f>
        <v>4.906123192675004</v>
      </c>
      <c r="AK2406" s="40">
        <f>('Processen Database'!X$373*4)+((SUM(AK2401:AK2405)+SUM(AK2410:AK2414))*0.03)</f>
        <v>3.1222753563352515E-4</v>
      </c>
      <c r="AL2406" s="40">
        <f>('Processen Database'!Y$373*4)+((SUM(AL2401:AL2405)+SUM(AL2410:AL2414))*0.03)</f>
        <v>5374.4984486500089</v>
      </c>
      <c r="AM2406" s="40">
        <f>('Processen Database'!Z$373*4)+((SUM(AM2401:AM2405)+SUM(AM2410:AM2414))*0.03)</f>
        <v>48.69719185737749</v>
      </c>
      <c r="AN2406" s="40">
        <f>('Processen Database'!AA$373*4)+((SUM(AN2401:AN2405)+SUM(AN2410:AN2414))*0.03)</f>
        <v>9.9092004508089275E-5</v>
      </c>
      <c r="AO2406" s="40">
        <f>('Processen Database'!AB$373*4)+((SUM(AO2401:AO2405)+SUM(AO2410:AO2414))*0.03)</f>
        <v>22.207188836628468</v>
      </c>
      <c r="AP2406" s="40">
        <f>('Processen Database'!AC$373*4)+((SUM(AP2401:AP2405)+SUM(AP2410:AP2414))*0.03)</f>
        <v>4073.8298723023427</v>
      </c>
      <c r="AQ2406" s="40">
        <f>('Processen Database'!AD$373*4)+((SUM(AQ2401:AQ2405)+SUM(AQ2410:AQ2414))*0.03)</f>
        <v>1.1015312119774091E-7</v>
      </c>
      <c r="AR2406" s="40">
        <f>('Processen Database'!AE$373*4)+((SUM(AR2401:AR2405)+SUM(AR2410:AR2414))*0.03)</f>
        <v>3.0420525642266918E-6</v>
      </c>
      <c r="AS2406" s="40">
        <f>('Processen Database'!AF$373*4)+((SUM(AS2401:AS2405)+SUM(AS2410:AS2414))*0.03)</f>
        <v>1916.501936984494</v>
      </c>
      <c r="AT2406" s="40">
        <f>('Processen Database'!AG$373*4)+((SUM(AT2401:AT2405)+SUM(AT2410:AT2414))*0.03)</f>
        <v>0</v>
      </c>
      <c r="AU2406" s="40">
        <f>('Processen Database'!AH$373*4)+((SUM(AU2401:AU2405)+SUM(AU2410:AU2414))*0.03)</f>
        <v>0</v>
      </c>
      <c r="AV2406" s="313">
        <f>('Processen Database'!AI$373*4)+((SUM(AV2401:AV2405)+SUM(AV2410:AV2414))*0.03)</f>
        <v>277.54757345357422</v>
      </c>
      <c r="AW2406" s="317">
        <f>('Processen Database'!AJ$373*4)+((SUM(AW2401:AW2405)+SUM(AW2410:AW2414))*0.03)</f>
        <v>0</v>
      </c>
      <c r="AX2406" s="317">
        <f>('Processen Database'!AK$373*4)+((SUM(AX2401:AX2405)+SUM(AX2410:AX2414))*0.03)</f>
        <v>0</v>
      </c>
      <c r="AY2406" s="313">
        <f>('Processen Database'!AL$373*4)+((SUM(AY2401:AY2405)+SUM(AY2410:AY2414))*0.03)</f>
        <v>5703.4202999470899</v>
      </c>
      <c r="AZ2406" s="40">
        <f>('Processen Database'!AM$373*4)+((SUM(AZ2401:AZ2405)+SUM(AZ2410:AZ2414))*0.03)</f>
        <v>0</v>
      </c>
      <c r="BA2406" s="40">
        <f>('Processen Database'!AN$373*4)+((SUM(BA2401:BA2405)+SUM(BA2410:BA2414))*0.03)</f>
        <v>0</v>
      </c>
      <c r="BB2406" s="40">
        <f>('Processen Database'!AO$373*4)+((SUM(BB2401:BB2405)+SUM(BB2410:BB2414))*0.03)</f>
        <v>0</v>
      </c>
      <c r="BC2406" s="40">
        <f>('Processen Database'!AP$373*4)+((SUM(BC2401:BC2405)+SUM(BC2410:BC2414))*0.03)</f>
        <v>1.2156625421012022</v>
      </c>
      <c r="BD2406" s="40">
        <f>('Processen Database'!AQ$373*4)+((SUM(BD2401:BD2405)+SUM(BD2410:BD2414))*0.03)</f>
        <v>2.0749070725666011E-3</v>
      </c>
      <c r="BE2406" s="40">
        <f>('Processen Database'!AR$373*4)+((SUM(BE2401:BE2405)+SUM(BE2410:BE2414))*0.03)</f>
        <v>10.071874341349973</v>
      </c>
      <c r="BF2406" s="40">
        <f>('Processen Database'!AS$373*4)+((SUM(BF2401:BF2405)+SUM(BF2410:BF2414))*0.03)</f>
        <v>3.567278792922586E-2</v>
      </c>
      <c r="BG2406" s="40">
        <f>('Processen Database'!AT$373*4)+((SUM(BG2401:BG2405)+SUM(BG2410:BG2414))*0.03)</f>
        <v>0</v>
      </c>
      <c r="BH2406" s="40">
        <f>('Processen Database'!AU$373*4)+((SUM(BH2401:BH2405)+SUM(BH2410:BH2414))*0.03)</f>
        <v>0</v>
      </c>
      <c r="BI2406" s="40">
        <f>('Processen Database'!AV$373*4)+((SUM(BI2401:BI2405)+SUM(BI2410:BI2414))*0.03)</f>
        <v>0</v>
      </c>
      <c r="BJ2406" s="40">
        <f>('Processen Database'!AW$373*4)+((SUM(BJ2401:BJ2405)+SUM(BJ2410:BJ2414))*0.03)</f>
        <v>0</v>
      </c>
      <c r="BK2406" s="40">
        <f>('Processen Database'!AX$373*4)+((SUM(BK2401:BK2405)+SUM(BK2410:BK2414))*0.03)</f>
        <v>0</v>
      </c>
      <c r="BL2406" s="62">
        <v>0</v>
      </c>
      <c r="BM2406" s="275">
        <v>3</v>
      </c>
      <c r="BN2406" s="62">
        <v>0.03</v>
      </c>
      <c r="BO2406" t="s">
        <v>789</v>
      </c>
      <c r="BP2406" s="33" t="s">
        <v>790</v>
      </c>
    </row>
    <row r="2407" spans="1:68">
      <c r="A2407" s="33" t="str">
        <f>Database_Productkaarten[[#This Row],[Product]]&amp;", "&amp;Database_Productkaarten[[#This Row],[Levensfase]]</f>
        <v>Brugdekplanken, Hout met slijtlaag, 3x3m, B1</v>
      </c>
      <c r="B2407" s="33" t="s">
        <v>796</v>
      </c>
      <c r="C2407" s="33" t="s">
        <v>781</v>
      </c>
      <c r="D2407" s="33" t="s">
        <v>782</v>
      </c>
      <c r="E2407" s="33" t="s">
        <v>783</v>
      </c>
      <c r="F2407" s="33" t="s">
        <v>80</v>
      </c>
      <c r="G2407" s="33">
        <v>3</v>
      </c>
      <c r="H2407" s="33">
        <v>3</v>
      </c>
      <c r="I2407" s="33">
        <v>3.5000000000000003E-2</v>
      </c>
      <c r="L2407" s="33" t="s">
        <v>737</v>
      </c>
      <c r="M2407" s="269">
        <v>0.32951249999999999</v>
      </c>
      <c r="N2407" s="41"/>
      <c r="O2407" s="33">
        <v>30</v>
      </c>
      <c r="AV2407" s="316"/>
      <c r="AW2407" s="314"/>
      <c r="AX2407" s="314"/>
      <c r="AY2407" s="316"/>
      <c r="BL2407" s="62">
        <v>0</v>
      </c>
      <c r="BM2407" s="275">
        <v>3</v>
      </c>
      <c r="BN2407" s="62">
        <v>0.03</v>
      </c>
    </row>
    <row r="2408" spans="1:68">
      <c r="A2408" s="33" t="str">
        <f>Database_Productkaarten[[#This Row],[Product]]&amp;", "&amp;Database_Productkaarten[[#This Row],[Levensfase]]</f>
        <v>Brugdekplanken, Hout met slijtlaag, 3x3m, C1</v>
      </c>
      <c r="B2408" s="33" t="s">
        <v>796</v>
      </c>
      <c r="C2408" s="33" t="s">
        <v>781</v>
      </c>
      <c r="D2408" s="33" t="s">
        <v>782</v>
      </c>
      <c r="E2408" s="33" t="s">
        <v>783</v>
      </c>
      <c r="F2408" s="33" t="s">
        <v>83</v>
      </c>
      <c r="G2408" s="33">
        <v>3</v>
      </c>
      <c r="H2408" s="33">
        <v>3</v>
      </c>
      <c r="I2408" s="33">
        <v>3.5000000000000003E-2</v>
      </c>
      <c r="L2408" s="33" t="s">
        <v>737</v>
      </c>
      <c r="M2408" s="269">
        <v>0.32951249999999999</v>
      </c>
      <c r="N2408" s="41">
        <v>46.254693004661441</v>
      </c>
      <c r="O2408" s="33">
        <v>30</v>
      </c>
      <c r="P2408" s="40">
        <v>1.17152884E-4</v>
      </c>
      <c r="Q2408" s="40">
        <v>2.4048400399999998</v>
      </c>
      <c r="R2408" s="40">
        <v>347.38500399999998</v>
      </c>
      <c r="S2408" s="40">
        <v>6.2976099999999995E-5</v>
      </c>
      <c r="T2408" s="40">
        <v>0.35198052400000002</v>
      </c>
      <c r="U2408" s="40">
        <v>2.6354776000000002</v>
      </c>
      <c r="V2408" s="40">
        <v>0.59302120000000003</v>
      </c>
      <c r="W2408" s="40">
        <v>125.14149999999999</v>
      </c>
      <c r="X2408" s="40">
        <v>1.7441582799999999</v>
      </c>
      <c r="Y2408" s="40">
        <v>5882.1476000000002</v>
      </c>
      <c r="Z2408" s="40">
        <v>0.20706024000000001</v>
      </c>
      <c r="AA2408" s="40">
        <v>351.14612</v>
      </c>
      <c r="AB2408" s="40">
        <v>351.05836799999997</v>
      </c>
      <c r="AC2408" s="40">
        <v>5.7936236000000002E-2</v>
      </c>
      <c r="AD2408" s="40">
        <v>2.9817705600000001E-2</v>
      </c>
      <c r="AE2408" s="40">
        <v>7.9310192000000003E-5</v>
      </c>
      <c r="AF2408" s="40">
        <v>3.6796976400000001</v>
      </c>
      <c r="AG2408" s="40">
        <v>2.6813393200000001E-3</v>
      </c>
      <c r="AH2408" s="40">
        <v>1.5949951200000001</v>
      </c>
      <c r="AI2408" s="40">
        <v>17.528640800000002</v>
      </c>
      <c r="AJ2408" s="40">
        <v>4.8154940000000002</v>
      </c>
      <c r="AK2408" s="40">
        <v>1.17154388E-4</v>
      </c>
      <c r="AL2408" s="40">
        <v>5077.0183999999999</v>
      </c>
      <c r="AM2408" s="40">
        <v>27.370287600000001</v>
      </c>
      <c r="AN2408" s="40">
        <v>9.6276376E-5</v>
      </c>
      <c r="AO2408" s="40">
        <v>21.881542</v>
      </c>
      <c r="AP2408" s="40">
        <v>2870.09384</v>
      </c>
      <c r="AQ2408" s="40">
        <v>9.8745076E-8</v>
      </c>
      <c r="AR2408" s="40">
        <v>2.5007174000000001E-6</v>
      </c>
      <c r="AS2408" s="40">
        <v>643.03895999999997</v>
      </c>
      <c r="AT2408" s="40">
        <v>0</v>
      </c>
      <c r="AU2408" s="40">
        <v>0</v>
      </c>
      <c r="AV2408" s="313">
        <v>29.411855599999999</v>
      </c>
      <c r="AW2408" s="317">
        <v>0</v>
      </c>
      <c r="AX2408" s="317">
        <v>0</v>
      </c>
      <c r="AY2408" s="313">
        <v>5391.2543999999998</v>
      </c>
      <c r="AZ2408" s="40">
        <v>0</v>
      </c>
      <c r="BA2408" s="40">
        <v>0</v>
      </c>
      <c r="BB2408" s="40">
        <v>0</v>
      </c>
      <c r="BC2408" s="40">
        <v>0.69680207999999999</v>
      </c>
      <c r="BD2408" s="40">
        <v>2.2639914800000002E-3</v>
      </c>
      <c r="BE2408" s="40">
        <v>5.4107472000000003</v>
      </c>
      <c r="BF2408" s="40">
        <v>3.52660588E-2</v>
      </c>
      <c r="BG2408" s="40">
        <v>0</v>
      </c>
      <c r="BH2408" s="40">
        <v>0</v>
      </c>
      <c r="BI2408" s="40">
        <v>0</v>
      </c>
      <c r="BJ2408" s="40">
        <v>0</v>
      </c>
      <c r="BK2408" s="40">
        <v>0</v>
      </c>
      <c r="BL2408" s="62">
        <v>0</v>
      </c>
      <c r="BM2408" s="275">
        <v>3</v>
      </c>
      <c r="BN2408" s="62">
        <v>0.03</v>
      </c>
      <c r="BO2408" t="s">
        <v>789</v>
      </c>
      <c r="BP2408" s="33" t="s">
        <v>791</v>
      </c>
    </row>
    <row r="2409" spans="1:68">
      <c r="A2409" s="33" t="str">
        <f>Database_Productkaarten[[#This Row],[Product]]&amp;", "&amp;Database_Productkaarten[[#This Row],[Levensfase]]</f>
        <v>Brugdekplanken, Hout met slijtlaag, 3x3m, C2</v>
      </c>
      <c r="B2409" s="33" t="s">
        <v>796</v>
      </c>
      <c r="C2409" s="33" t="s">
        <v>781</v>
      </c>
      <c r="D2409" s="33" t="s">
        <v>782</v>
      </c>
      <c r="E2409" s="33" t="s">
        <v>783</v>
      </c>
      <c r="F2409" s="33" t="s">
        <v>84</v>
      </c>
      <c r="G2409" s="33">
        <v>3</v>
      </c>
      <c r="H2409" s="33">
        <v>3</v>
      </c>
      <c r="I2409" s="33">
        <v>3.5000000000000003E-2</v>
      </c>
      <c r="L2409" s="33" t="s">
        <v>737</v>
      </c>
      <c r="M2409" s="269">
        <v>0.32951249999999999</v>
      </c>
      <c r="N2409" s="41">
        <v>0.79721832474000009</v>
      </c>
      <c r="O2409" s="33">
        <v>30</v>
      </c>
      <c r="P2409" s="33">
        <v>1.6900698431587504E-4</v>
      </c>
      <c r="Q2409" s="33">
        <v>4.863958001010002E-2</v>
      </c>
      <c r="R2409" s="33">
        <v>6.614488280475002</v>
      </c>
      <c r="S2409" s="33">
        <v>1.1735004285618752E-6</v>
      </c>
      <c r="T2409" s="33">
        <v>3.9911090446350011E-3</v>
      </c>
      <c r="U2409" s="33">
        <v>2.9083225011637504E-2</v>
      </c>
      <c r="V2409" s="33">
        <v>5.7136711268812521E-3</v>
      </c>
      <c r="W2409" s="33">
        <v>2.7848582204175005</v>
      </c>
      <c r="X2409" s="33">
        <v>8.1301208952375012E-2</v>
      </c>
      <c r="Y2409" s="33">
        <v>292.44332404968759</v>
      </c>
      <c r="Z2409" s="33">
        <v>9.842774964975003E-3</v>
      </c>
      <c r="AA2409" s="33">
        <v>6.6758789305687518</v>
      </c>
      <c r="AB2409" s="33">
        <v>6.6703510288687511</v>
      </c>
      <c r="AC2409" s="33">
        <v>3.0837037334456256E-3</v>
      </c>
      <c r="AD2409" s="33">
        <v>2.4442385460187507E-3</v>
      </c>
      <c r="AE2409" s="33">
        <v>1.4723058563943753E-6</v>
      </c>
      <c r="AF2409" s="33">
        <v>3.8686280127131253E-2</v>
      </c>
      <c r="AG2409" s="33">
        <v>6.7288022627062506E-5</v>
      </c>
      <c r="AH2409" s="33">
        <v>1.3632116487243752E-2</v>
      </c>
      <c r="AI2409" s="33">
        <v>0.15029567466806254</v>
      </c>
      <c r="AJ2409" s="33">
        <v>4.2910499066400001E-2</v>
      </c>
      <c r="AK2409" s="33">
        <v>1.6900632693843753E-4</v>
      </c>
      <c r="AL2409" s="33">
        <v>100.60214167743752</v>
      </c>
      <c r="AM2409" s="33">
        <v>0.35986415174718756</v>
      </c>
      <c r="AN2409" s="33">
        <v>5.9901808822312518E-7</v>
      </c>
      <c r="AO2409" s="33">
        <v>0.42150824308518758</v>
      </c>
      <c r="AP2409" s="33">
        <v>89.709031779187512</v>
      </c>
      <c r="AQ2409" s="33">
        <v>2.9106860943262503E-9</v>
      </c>
      <c r="AR2409" s="33">
        <v>9.8112099740625029E-8</v>
      </c>
      <c r="AS2409" s="33">
        <v>87.24609059793751</v>
      </c>
      <c r="AT2409" s="33">
        <v>0</v>
      </c>
      <c r="AU2409" s="33">
        <v>0</v>
      </c>
      <c r="AV2409" s="316">
        <v>1.2594180779831254</v>
      </c>
      <c r="AW2409" s="314">
        <v>0</v>
      </c>
      <c r="AX2409" s="314">
        <v>0</v>
      </c>
      <c r="AY2409" s="316">
        <v>106.81110123075001</v>
      </c>
      <c r="AZ2409" s="33">
        <v>0</v>
      </c>
      <c r="BA2409" s="33">
        <v>0</v>
      </c>
      <c r="BB2409" s="33">
        <v>0</v>
      </c>
      <c r="BC2409" s="33">
        <v>1.2252999418425004E-2</v>
      </c>
      <c r="BD2409" s="33">
        <v>2.5493370356868757E-4</v>
      </c>
      <c r="BE2409" s="33">
        <v>6.3815013599062516</v>
      </c>
      <c r="BF2409" s="33">
        <v>6.6061331615250023E-4</v>
      </c>
      <c r="BG2409" s="33">
        <v>0</v>
      </c>
      <c r="BH2409" s="33">
        <v>0</v>
      </c>
      <c r="BI2409" s="33">
        <v>0</v>
      </c>
      <c r="BJ2409" s="33">
        <v>0</v>
      </c>
      <c r="BK2409" s="33">
        <v>0</v>
      </c>
      <c r="BL2409" s="62">
        <v>0</v>
      </c>
      <c r="BM2409" s="275">
        <v>3</v>
      </c>
      <c r="BN2409" s="62">
        <v>0.03</v>
      </c>
      <c r="BO2409" s="163" t="s">
        <v>786</v>
      </c>
      <c r="BP2409" s="33" t="s">
        <v>792</v>
      </c>
    </row>
    <row r="2410" spans="1:68">
      <c r="A2410" s="33" t="str">
        <f>Database_Productkaarten[[#This Row],[Product]]&amp;", "&amp;Database_Productkaarten[[#This Row],[Levensfase]]</f>
        <v>Brugdekplanken, Hout met slijtlaag, 3x3m, C3</v>
      </c>
      <c r="B2410" s="33" t="s">
        <v>796</v>
      </c>
      <c r="C2410" s="33" t="s">
        <v>781</v>
      </c>
      <c r="D2410" s="33" t="s">
        <v>782</v>
      </c>
      <c r="E2410" s="33" t="s">
        <v>783</v>
      </c>
      <c r="F2410" s="33" t="s">
        <v>85</v>
      </c>
      <c r="G2410" s="33">
        <v>3</v>
      </c>
      <c r="H2410" s="33">
        <v>3</v>
      </c>
      <c r="I2410" s="33">
        <v>3.5000000000000003E-2</v>
      </c>
      <c r="L2410" s="33" t="s">
        <v>737</v>
      </c>
      <c r="M2410" s="269">
        <v>0.32951249999999999</v>
      </c>
      <c r="N2410" s="41"/>
      <c r="O2410" s="33">
        <v>30</v>
      </c>
      <c r="AV2410" s="316"/>
      <c r="AW2410" s="314"/>
      <c r="AX2410" s="314"/>
      <c r="AY2410" s="316"/>
      <c r="BL2410" s="62">
        <v>0</v>
      </c>
      <c r="BM2410" s="275">
        <v>3</v>
      </c>
      <c r="BN2410" s="62">
        <v>0.03</v>
      </c>
    </row>
    <row r="2411" spans="1:68">
      <c r="A2411" s="33" t="str">
        <f>Database_Productkaarten[[#This Row],[Product]]&amp;", "&amp;Database_Productkaarten[[#This Row],[Levensfase]]</f>
        <v>Brugdekplanken, Hout met slijtlaag, 3x3m, C4</v>
      </c>
      <c r="B2411" s="33" t="s">
        <v>796</v>
      </c>
      <c r="C2411" s="33" t="s">
        <v>781</v>
      </c>
      <c r="D2411" s="33" t="s">
        <v>782</v>
      </c>
      <c r="E2411" s="33" t="s">
        <v>783</v>
      </c>
      <c r="F2411" s="33" t="s">
        <v>86</v>
      </c>
      <c r="G2411" s="33">
        <v>3</v>
      </c>
      <c r="H2411" s="33">
        <v>3</v>
      </c>
      <c r="I2411" s="33">
        <v>3.5000000000000003E-2</v>
      </c>
      <c r="L2411" s="33" t="s">
        <v>737</v>
      </c>
      <c r="M2411" s="269">
        <v>0.32951249999999999</v>
      </c>
      <c r="N2411" s="41">
        <v>21.939735526201122</v>
      </c>
      <c r="O2411" s="33">
        <v>30</v>
      </c>
      <c r="P2411" s="33">
        <v>4.322124236322563E-4</v>
      </c>
      <c r="Q2411" s="33">
        <v>0.14428966770408375</v>
      </c>
      <c r="R2411" s="33">
        <v>361.11782976738408</v>
      </c>
      <c r="S2411" s="33">
        <v>1.1109449254726126E-5</v>
      </c>
      <c r="T2411" s="33">
        <v>1.8915117530523752E-2</v>
      </c>
      <c r="U2411" s="33">
        <v>0.15759700749320626</v>
      </c>
      <c r="V2411" s="33">
        <v>2.9552923586362499E-2</v>
      </c>
      <c r="W2411" s="33">
        <v>27.640710136165502</v>
      </c>
      <c r="X2411" s="33">
        <v>1.3523877409180498</v>
      </c>
      <c r="Y2411" s="33">
        <v>3942.302103987975</v>
      </c>
      <c r="Z2411" s="33">
        <v>6.1587234607702504E-2</v>
      </c>
      <c r="AA2411" s="33">
        <v>618.06110242972511</v>
      </c>
      <c r="AB2411" s="33">
        <v>360.30406533659772</v>
      </c>
      <c r="AC2411" s="33">
        <v>257.72911079298757</v>
      </c>
      <c r="AD2411" s="33">
        <v>2.7922097928893625E-2</v>
      </c>
      <c r="AE2411" s="33">
        <v>1.1075624269718625E-5</v>
      </c>
      <c r="AF2411" s="33">
        <v>0.209518834023315</v>
      </c>
      <c r="AG2411" s="33">
        <v>1.0691157158591624E-3</v>
      </c>
      <c r="AH2411" s="33">
        <v>6.8403341839061257E-2</v>
      </c>
      <c r="AI2411" s="33">
        <v>0.76447227104685</v>
      </c>
      <c r="AJ2411" s="33">
        <v>0.20223717694278753</v>
      </c>
      <c r="AK2411" s="33">
        <v>4.3220956938051379E-4</v>
      </c>
      <c r="AL2411" s="33">
        <v>268.01142996766504</v>
      </c>
      <c r="AM2411" s="33">
        <v>18.563755599933749</v>
      </c>
      <c r="AN2411" s="33">
        <v>1.6189911299666251E-6</v>
      </c>
      <c r="AO2411" s="33">
        <v>1.1096099717191876</v>
      </c>
      <c r="AP2411" s="33">
        <v>4558.5628359221246</v>
      </c>
      <c r="AQ2411" s="33">
        <v>1.1738713475847152E-7</v>
      </c>
      <c r="AR2411" s="33">
        <v>1.555232170589775E-6</v>
      </c>
      <c r="AS2411" s="33">
        <v>92.526624626580002</v>
      </c>
      <c r="AT2411" s="33">
        <v>0</v>
      </c>
      <c r="AU2411" s="33">
        <v>0</v>
      </c>
      <c r="AV2411" s="316">
        <v>27.638127972721122</v>
      </c>
      <c r="AW2411" s="314">
        <v>0</v>
      </c>
      <c r="AX2411" s="314">
        <v>0</v>
      </c>
      <c r="AY2411" s="316">
        <v>285.01644006167629</v>
      </c>
      <c r="AZ2411" s="33">
        <v>0</v>
      </c>
      <c r="BA2411" s="33">
        <v>0</v>
      </c>
      <c r="BB2411" s="33">
        <v>0</v>
      </c>
      <c r="BC2411" s="33">
        <v>0.61414473104696254</v>
      </c>
      <c r="BD2411" s="33">
        <v>5.3497130687313744E-4</v>
      </c>
      <c r="BE2411" s="33">
        <v>25.907496778197004</v>
      </c>
      <c r="BF2411" s="33">
        <v>9.5819985190361261E-4</v>
      </c>
      <c r="BG2411" s="33">
        <v>0</v>
      </c>
      <c r="BH2411" s="33">
        <v>0</v>
      </c>
      <c r="BI2411" s="33">
        <v>0</v>
      </c>
      <c r="BJ2411" s="33">
        <v>0</v>
      </c>
      <c r="BK2411" s="33">
        <v>0</v>
      </c>
      <c r="BL2411" s="62">
        <v>0</v>
      </c>
      <c r="BM2411" s="275">
        <v>3</v>
      </c>
      <c r="BN2411" s="62">
        <v>0.03</v>
      </c>
    </row>
    <row r="2412" spans="1:68">
      <c r="A2412" s="33" t="str">
        <f>Database_Productkaarten[[#This Row],[Product]]&amp;", "&amp;Database_Productkaarten[[#This Row],[Levensfase]]</f>
        <v>Brugdekplanken, Hout met slijtlaag, 3x3m, D</v>
      </c>
      <c r="B2412" s="33" t="str">
        <f>B2413</f>
        <v>Brugdekplanken, Hout met slijtlaag, 3x3m</v>
      </c>
      <c r="C2412" s="33" t="str">
        <f>C2413</f>
        <v>Kleine Kunstwerken</v>
      </c>
      <c r="D2412" s="33" t="str">
        <f>D2413</f>
        <v>Brugdekplanken</v>
      </c>
      <c r="E2412" s="33" t="str">
        <f>E2413</f>
        <v>Stuk</v>
      </c>
      <c r="F2412" s="33" t="s">
        <v>89</v>
      </c>
      <c r="G2412" s="33">
        <f t="shared" ref="G2412:M2412" si="904">G2413</f>
        <v>3</v>
      </c>
      <c r="H2412" s="33">
        <f t="shared" si="904"/>
        <v>3</v>
      </c>
      <c r="I2412" s="33">
        <f t="shared" si="904"/>
        <v>3.5000000000000003E-2</v>
      </c>
      <c r="J2412" s="33">
        <f t="shared" si="904"/>
        <v>0</v>
      </c>
      <c r="K2412" s="33">
        <f t="shared" si="904"/>
        <v>0</v>
      </c>
      <c r="L2412" s="33" t="str">
        <f t="shared" si="904"/>
        <v>NVT</v>
      </c>
      <c r="M2412" s="45">
        <f t="shared" si="904"/>
        <v>0.32951249999999999</v>
      </c>
      <c r="N2412" s="41">
        <f>SUM(N2413:N2414)</f>
        <v>-12.256874106952857</v>
      </c>
      <c r="O2412" s="33">
        <f>O2413</f>
        <v>30</v>
      </c>
      <c r="P2412" s="40">
        <f>SUM(P2413:P2414)</f>
        <v>-2.2826566190880003E-5</v>
      </c>
      <c r="Q2412" s="40">
        <f>SUM(Q2413:Q2414)</f>
        <v>-1.4923107813627001</v>
      </c>
      <c r="R2412" s="40">
        <f>SUM(R2413:R2414)</f>
        <v>-165.33510765659997</v>
      </c>
      <c r="S2412" s="40">
        <f t="shared" ref="S2412:BK2412" si="905">SUM(S2413:S2414)</f>
        <v>-2.0425033297574999E-5</v>
      </c>
      <c r="T2412" s="40">
        <f t="shared" si="905"/>
        <v>-4.6771964725545005E-2</v>
      </c>
      <c r="U2412" s="40">
        <f t="shared" si="905"/>
        <v>-0.25900173892305001</v>
      </c>
      <c r="V2412" s="40">
        <f t="shared" si="905"/>
        <v>-6.5897206830270005E-2</v>
      </c>
      <c r="W2412" s="40">
        <f t="shared" si="905"/>
        <v>-21.580494689565</v>
      </c>
      <c r="X2412" s="40">
        <f t="shared" si="905"/>
        <v>-0.37800549573525</v>
      </c>
      <c r="Y2412" s="40">
        <f t="shared" si="905"/>
        <v>-675.48866535629998</v>
      </c>
      <c r="Z2412" s="40">
        <f t="shared" si="905"/>
        <v>-0.116221596184125</v>
      </c>
      <c r="AA2412" s="40">
        <f t="shared" si="905"/>
        <v>-168.18091916589</v>
      </c>
      <c r="AB2412" s="40">
        <f t="shared" si="905"/>
        <v>-167.39961483230999</v>
      </c>
      <c r="AC2412" s="40">
        <f t="shared" si="905"/>
        <v>-0.68879370497669989</v>
      </c>
      <c r="AD2412" s="40">
        <f t="shared" si="905"/>
        <v>-9.2509436676554993E-2</v>
      </c>
      <c r="AE2412" s="40">
        <f t="shared" si="905"/>
        <v>-2.2873482944783996E-5</v>
      </c>
      <c r="AF2412" s="40">
        <f t="shared" si="905"/>
        <v>-0.37990987602839998</v>
      </c>
      <c r="AG2412" s="40">
        <f t="shared" si="905"/>
        <v>-6.2884116275715009E-4</v>
      </c>
      <c r="AH2412" s="40">
        <f t="shared" si="905"/>
        <v>-0.11039821894394999</v>
      </c>
      <c r="AI2412" s="40">
        <f t="shared" si="905"/>
        <v>-1.6334888084865</v>
      </c>
      <c r="AJ2412" s="40">
        <f t="shared" si="905"/>
        <v>-0.34704479625614998</v>
      </c>
      <c r="AK2412" s="40">
        <f t="shared" si="905"/>
        <v>-2.2809044493495E-5</v>
      </c>
      <c r="AL2412" s="40">
        <f t="shared" si="905"/>
        <v>-2765.3778650632503</v>
      </c>
      <c r="AM2412" s="40">
        <f t="shared" si="905"/>
        <v>-12.093943257706499</v>
      </c>
      <c r="AN2412" s="40">
        <f t="shared" si="905"/>
        <v>-3.6840435244875002E-6</v>
      </c>
      <c r="AO2412" s="40">
        <f t="shared" si="905"/>
        <v>-1.146312460161</v>
      </c>
      <c r="AP2412" s="40">
        <f t="shared" si="905"/>
        <v>-2613.2433471085506</v>
      </c>
      <c r="AQ2412" s="40">
        <f t="shared" si="905"/>
        <v>-3.7787690814750001E-8</v>
      </c>
      <c r="AR2412" s="40">
        <f t="shared" si="905"/>
        <v>-1.1459628166180498E-6</v>
      </c>
      <c r="AS2412" s="40">
        <f t="shared" si="905"/>
        <v>-9811.504771330141</v>
      </c>
      <c r="AT2412" s="40">
        <f t="shared" si="905"/>
        <v>0</v>
      </c>
      <c r="AU2412" s="40">
        <f t="shared" si="905"/>
        <v>0</v>
      </c>
      <c r="AV2412" s="317">
        <f t="shared" si="905"/>
        <v>-2056.1979879293403</v>
      </c>
      <c r="AW2412" s="317">
        <f t="shared" si="905"/>
        <v>0</v>
      </c>
      <c r="AX2412" s="317">
        <f t="shared" si="905"/>
        <v>0</v>
      </c>
      <c r="AY2412" s="317">
        <f t="shared" si="905"/>
        <v>-3064.6279872940499</v>
      </c>
      <c r="AZ2412" s="40">
        <f t="shared" si="905"/>
        <v>0</v>
      </c>
      <c r="BA2412" s="40">
        <f t="shared" si="905"/>
        <v>0</v>
      </c>
      <c r="BB2412" s="40">
        <f t="shared" si="905"/>
        <v>0</v>
      </c>
      <c r="BC2412" s="40">
        <f t="shared" si="905"/>
        <v>-0.16531737260535001</v>
      </c>
      <c r="BD2412" s="40">
        <f t="shared" si="905"/>
        <v>-7.3598535406979998E-3</v>
      </c>
      <c r="BE2412" s="40">
        <f t="shared" si="905"/>
        <v>-2.5752495142800003</v>
      </c>
      <c r="BF2412" s="40">
        <f t="shared" si="905"/>
        <v>-1.7152702349669999E-3</v>
      </c>
      <c r="BG2412" s="40">
        <f t="shared" si="905"/>
        <v>0</v>
      </c>
      <c r="BH2412" s="40">
        <f t="shared" si="905"/>
        <v>0</v>
      </c>
      <c r="BI2412" s="40">
        <f t="shared" si="905"/>
        <v>0</v>
      </c>
      <c r="BJ2412" s="40">
        <f t="shared" si="905"/>
        <v>0</v>
      </c>
      <c r="BK2412" s="40">
        <f t="shared" si="905"/>
        <v>0</v>
      </c>
      <c r="BL2412" s="62">
        <f>BL2413</f>
        <v>0</v>
      </c>
      <c r="BM2412" s="275">
        <f>BM2413</f>
        <v>3</v>
      </c>
      <c r="BN2412" s="62">
        <v>0.03</v>
      </c>
      <c r="BO2412" s="33">
        <f>BO2413</f>
        <v>0</v>
      </c>
    </row>
    <row r="2413" spans="1:68">
      <c r="A2413" s="33" t="str">
        <f>Database_Productkaarten[[#This Row],[Product]]&amp;", "&amp;Database_Productkaarten[[#This Row],[Levensfase]]</f>
        <v>Brugdekplanken, Hout met slijtlaag, 3x3m, D1</v>
      </c>
      <c r="B2413" s="33" t="s">
        <v>796</v>
      </c>
      <c r="C2413" s="33" t="s">
        <v>781</v>
      </c>
      <c r="D2413" s="33" t="s">
        <v>782</v>
      </c>
      <c r="E2413" s="33" t="s">
        <v>783</v>
      </c>
      <c r="F2413" s="33" t="s">
        <v>87</v>
      </c>
      <c r="G2413" s="33">
        <v>3</v>
      </c>
      <c r="H2413" s="33">
        <v>3</v>
      </c>
      <c r="I2413" s="33">
        <v>3.5000000000000003E-2</v>
      </c>
      <c r="L2413" s="33" t="s">
        <v>737</v>
      </c>
      <c r="M2413" s="269">
        <v>0.32951249999999999</v>
      </c>
      <c r="N2413" s="41">
        <v>-12.256874106952857</v>
      </c>
      <c r="O2413" s="33">
        <v>30</v>
      </c>
      <c r="P2413" s="33">
        <v>-2.2826566190880003E-5</v>
      </c>
      <c r="Q2413" s="33">
        <v>-1.4923107813627001</v>
      </c>
      <c r="R2413" s="33">
        <v>-165.33510765659997</v>
      </c>
      <c r="S2413" s="33">
        <v>-2.0425033297574999E-5</v>
      </c>
      <c r="T2413" s="33">
        <v>-4.6771964725545005E-2</v>
      </c>
      <c r="U2413" s="33">
        <v>-0.25900173892305001</v>
      </c>
      <c r="V2413" s="33">
        <v>-6.5897206830270005E-2</v>
      </c>
      <c r="W2413" s="33">
        <v>-21.580494689565</v>
      </c>
      <c r="X2413" s="33">
        <v>-0.37800549573525</v>
      </c>
      <c r="Y2413" s="33">
        <v>-675.48866535629998</v>
      </c>
      <c r="Z2413" s="33">
        <v>-0.116221596184125</v>
      </c>
      <c r="AA2413" s="33">
        <v>-168.18091916589</v>
      </c>
      <c r="AB2413" s="33">
        <v>-167.39961483230999</v>
      </c>
      <c r="AC2413" s="33">
        <v>-0.68879370497669989</v>
      </c>
      <c r="AD2413" s="33">
        <v>-9.2509436676554993E-2</v>
      </c>
      <c r="AE2413" s="33">
        <v>-2.2873482944783996E-5</v>
      </c>
      <c r="AF2413" s="33">
        <v>-0.37990987602839998</v>
      </c>
      <c r="AG2413" s="33">
        <v>-6.2884116275715009E-4</v>
      </c>
      <c r="AH2413" s="33">
        <v>-0.11039821894394999</v>
      </c>
      <c r="AI2413" s="33">
        <v>-1.6334888084865</v>
      </c>
      <c r="AJ2413" s="33">
        <v>-0.34704479625614998</v>
      </c>
      <c r="AK2413" s="33">
        <v>-2.2809044493495E-5</v>
      </c>
      <c r="AL2413" s="33">
        <v>-2765.3778650632503</v>
      </c>
      <c r="AM2413" s="33">
        <v>-12.093943257706499</v>
      </c>
      <c r="AN2413" s="33">
        <v>-3.6840435244875002E-6</v>
      </c>
      <c r="AO2413" s="33">
        <v>-1.146312460161</v>
      </c>
      <c r="AP2413" s="33">
        <v>-2613.2433471085506</v>
      </c>
      <c r="AQ2413" s="33">
        <v>-3.7787690814750001E-8</v>
      </c>
      <c r="AR2413" s="33">
        <v>-1.1459628166180498E-6</v>
      </c>
      <c r="AS2413" s="33">
        <v>-9811.504771330141</v>
      </c>
      <c r="AT2413" s="33">
        <v>0</v>
      </c>
      <c r="AU2413" s="33">
        <v>0</v>
      </c>
      <c r="AV2413" s="316">
        <v>-2056.1979879293403</v>
      </c>
      <c r="AW2413" s="314">
        <v>0</v>
      </c>
      <c r="AX2413" s="314">
        <v>0</v>
      </c>
      <c r="AY2413" s="316">
        <v>-3064.6279872940499</v>
      </c>
      <c r="AZ2413" s="33">
        <v>0</v>
      </c>
      <c r="BA2413" s="33">
        <v>0</v>
      </c>
      <c r="BB2413" s="33">
        <v>0</v>
      </c>
      <c r="BC2413" s="33">
        <v>-0.16531737260535001</v>
      </c>
      <c r="BD2413" s="33">
        <v>-7.3598535406979998E-3</v>
      </c>
      <c r="BE2413" s="33">
        <v>-2.5752495142800003</v>
      </c>
      <c r="BF2413" s="33">
        <v>-1.7152702349669999E-3</v>
      </c>
      <c r="BG2413" s="33">
        <v>0</v>
      </c>
      <c r="BH2413" s="33">
        <v>0</v>
      </c>
      <c r="BI2413" s="33">
        <v>0</v>
      </c>
      <c r="BJ2413" s="33">
        <v>0</v>
      </c>
      <c r="BK2413" s="33">
        <v>0</v>
      </c>
      <c r="BL2413" s="62">
        <v>0</v>
      </c>
      <c r="BM2413" s="275">
        <v>3</v>
      </c>
      <c r="BN2413" s="62">
        <v>0.03</v>
      </c>
    </row>
    <row r="2414" spans="1:68">
      <c r="A2414" s="33" t="str">
        <f>Database_Productkaarten[[#This Row],[Product]]&amp;", "&amp;Database_Productkaarten[[#This Row],[Levensfase]]</f>
        <v>Brugdekplanken, Hout met slijtlaag, 3x3m, D2</v>
      </c>
      <c r="B2414" s="33" t="s">
        <v>796</v>
      </c>
      <c r="C2414" s="33" t="s">
        <v>781</v>
      </c>
      <c r="D2414" s="33" t="s">
        <v>782</v>
      </c>
      <c r="E2414" s="33" t="s">
        <v>783</v>
      </c>
      <c r="F2414" s="33" t="s">
        <v>88</v>
      </c>
      <c r="G2414" s="33">
        <v>3</v>
      </c>
      <c r="H2414" s="33">
        <v>3</v>
      </c>
      <c r="I2414" s="33">
        <v>3.5000000000000003E-2</v>
      </c>
      <c r="L2414" s="33" t="s">
        <v>737</v>
      </c>
      <c r="M2414" s="269">
        <v>0.32951249999999999</v>
      </c>
      <c r="N2414" s="41"/>
      <c r="O2414" s="33">
        <v>30</v>
      </c>
      <c r="AV2414" s="316"/>
      <c r="AW2414" s="314"/>
      <c r="AX2414" s="314"/>
      <c r="AY2414" s="316"/>
      <c r="BL2414" s="62">
        <v>0</v>
      </c>
      <c r="BM2414" s="275">
        <v>3</v>
      </c>
      <c r="BN2414" s="62">
        <v>0.03</v>
      </c>
    </row>
    <row r="2415" spans="1:68">
      <c r="A2415" s="33" t="str">
        <f>Database_Productkaarten[[#This Row],[Product]]&amp;", "&amp;Database_Productkaarten[[#This Row],[Levensfase]]</f>
        <v>Brugdekplanken, Composiet, 3x3m, Totaal</v>
      </c>
      <c r="B2415" s="33" t="s">
        <v>799</v>
      </c>
      <c r="C2415" s="33" t="s">
        <v>781</v>
      </c>
      <c r="D2415" s="33" t="s">
        <v>782</v>
      </c>
      <c r="E2415" s="33" t="s">
        <v>783</v>
      </c>
      <c r="F2415" s="33" t="s">
        <v>90</v>
      </c>
      <c r="G2415" s="33">
        <v>3</v>
      </c>
      <c r="H2415" s="33">
        <v>3</v>
      </c>
      <c r="I2415" s="33">
        <v>3.5000000000000003E-2</v>
      </c>
      <c r="L2415" s="33" t="s">
        <v>737</v>
      </c>
      <c r="M2415" s="269">
        <v>0.25325999999999999</v>
      </c>
      <c r="N2415" s="41"/>
      <c r="O2415" s="33">
        <v>100</v>
      </c>
      <c r="AV2415" s="316"/>
      <c r="AW2415" s="314"/>
      <c r="AX2415" s="314"/>
      <c r="AY2415" s="316"/>
      <c r="BL2415" s="62">
        <v>0</v>
      </c>
      <c r="BM2415" s="275">
        <v>3</v>
      </c>
      <c r="BN2415" s="62">
        <v>0.03</v>
      </c>
    </row>
    <row r="2416" spans="1:68">
      <c r="A2416" s="33" t="str">
        <f>Database_Productkaarten[[#This Row],[Product]]&amp;", "&amp;Database_Productkaarten[[#This Row],[Levensfase]]</f>
        <v>Brugdekplanken, Composiet, 3x3m, A1</v>
      </c>
      <c r="B2416" s="33" t="s">
        <v>799</v>
      </c>
      <c r="C2416" s="33" t="s">
        <v>781</v>
      </c>
      <c r="D2416" s="33" t="s">
        <v>782</v>
      </c>
      <c r="E2416" s="33" t="s">
        <v>783</v>
      </c>
      <c r="F2416" s="33" t="s">
        <v>74</v>
      </c>
      <c r="G2416" s="33">
        <v>3</v>
      </c>
      <c r="H2416" s="33">
        <v>3</v>
      </c>
      <c r="I2416" s="33">
        <v>3.5000000000000003E-2</v>
      </c>
      <c r="L2416" s="33" t="s">
        <v>737</v>
      </c>
      <c r="M2416" s="269">
        <v>0.25325999999999999</v>
      </c>
      <c r="N2416" s="41">
        <v>106.77006223112161</v>
      </c>
      <c r="O2416" s="33">
        <v>100</v>
      </c>
      <c r="P2416" s="33">
        <v>1.6825031690192997E-2</v>
      </c>
      <c r="Q2416" s="33">
        <v>6.4387976118912</v>
      </c>
      <c r="R2416" s="33">
        <v>761.35325737644007</v>
      </c>
      <c r="S2416" s="33">
        <v>4.8869693295767999E-5</v>
      </c>
      <c r="T2416" s="33">
        <v>0.51864441999831001</v>
      </c>
      <c r="U2416" s="33">
        <v>3.4949815191063003</v>
      </c>
      <c r="V2416" s="33">
        <v>0.52670522941488007</v>
      </c>
      <c r="W2416" s="33">
        <v>489.91305337695007</v>
      </c>
      <c r="X2416" s="33">
        <v>72.150316526790903</v>
      </c>
      <c r="Y2416" s="33">
        <v>15947.116578045001</v>
      </c>
      <c r="Z2416" s="33">
        <v>0.98460525415500011</v>
      </c>
      <c r="AA2416" s="33">
        <v>794.94711683706009</v>
      </c>
      <c r="AB2416" s="33">
        <v>786.02067732788987</v>
      </c>
      <c r="AC2416" s="33">
        <v>8.5739721625940408</v>
      </c>
      <c r="AD2416" s="33">
        <v>0.35247139648956</v>
      </c>
      <c r="AE2416" s="33">
        <v>4.9165039717002E-5</v>
      </c>
      <c r="AF2416" s="33">
        <v>4.2081935226227998</v>
      </c>
      <c r="AG2416" s="33">
        <v>3.5836936145343001E-2</v>
      </c>
      <c r="AH2416" s="33">
        <v>0.8794327916114999</v>
      </c>
      <c r="AI2416" s="33">
        <v>8.1167981199030006</v>
      </c>
      <c r="AJ2416" s="33">
        <v>2.7895386230784003</v>
      </c>
      <c r="AK2416" s="33">
        <v>1.6824999058803001E-2</v>
      </c>
      <c r="AL2416" s="33">
        <v>13245.776838207003</v>
      </c>
      <c r="AM2416" s="33">
        <v>508.15504671956995</v>
      </c>
      <c r="AN2416" s="33">
        <v>5.2779940255565997E-5</v>
      </c>
      <c r="AO2416" s="33">
        <v>15.202474033221</v>
      </c>
      <c r="AP2416" s="33">
        <v>32361.792439579203</v>
      </c>
      <c r="AQ2416" s="33">
        <v>6.9033511839114012E-7</v>
      </c>
      <c r="AR2416" s="33">
        <v>2.0470493387007003E-5</v>
      </c>
      <c r="AS2416" s="33">
        <v>1478.6108936099999</v>
      </c>
      <c r="AT2416" s="33">
        <v>0</v>
      </c>
      <c r="AU2416" s="33">
        <v>0</v>
      </c>
      <c r="AV2416" s="316">
        <v>603.90646937640008</v>
      </c>
      <c r="AW2416" s="314">
        <v>0</v>
      </c>
      <c r="AX2416" s="314">
        <v>0</v>
      </c>
      <c r="AY2416" s="316">
        <v>14206.886778087</v>
      </c>
      <c r="AZ2416" s="33">
        <v>0</v>
      </c>
      <c r="BA2416" s="33">
        <v>0</v>
      </c>
      <c r="BB2416" s="33">
        <v>0</v>
      </c>
      <c r="BC2416" s="33">
        <v>12.7283323093092</v>
      </c>
      <c r="BD2416" s="33">
        <v>5.6159923604580005E-3</v>
      </c>
      <c r="BE2416" s="33">
        <v>52.706038811526007</v>
      </c>
      <c r="BF2416" s="33">
        <v>1.3049822339586001E-2</v>
      </c>
      <c r="BG2416" s="33">
        <v>0</v>
      </c>
      <c r="BH2416" s="33">
        <v>0</v>
      </c>
      <c r="BI2416" s="33">
        <v>0</v>
      </c>
      <c r="BJ2416" s="33">
        <v>0</v>
      </c>
      <c r="BK2416" s="33">
        <v>0</v>
      </c>
      <c r="BL2416" s="62">
        <v>0</v>
      </c>
      <c r="BM2416" s="275">
        <v>3</v>
      </c>
      <c r="BN2416" s="62">
        <v>0.03</v>
      </c>
      <c r="BO2416" s="33" t="s">
        <v>800</v>
      </c>
      <c r="BP2416" s="33" t="s">
        <v>801</v>
      </c>
    </row>
    <row r="2417" spans="1:68">
      <c r="A2417" s="33" t="str">
        <f>Database_Productkaarten[[#This Row],[Product]]&amp;", "&amp;Database_Productkaarten[[#This Row],[Levensfase]]</f>
        <v>Brugdekplanken, Composiet, 3x3m, A2</v>
      </c>
      <c r="B2417" s="33" t="s">
        <v>799</v>
      </c>
      <c r="C2417" s="33" t="s">
        <v>781</v>
      </c>
      <c r="D2417" s="33" t="s">
        <v>782</v>
      </c>
      <c r="E2417" s="33" t="s">
        <v>783</v>
      </c>
      <c r="F2417" s="33" t="s">
        <v>75</v>
      </c>
      <c r="G2417" s="33">
        <v>3</v>
      </c>
      <c r="H2417" s="33">
        <v>3</v>
      </c>
      <c r="I2417" s="33">
        <v>3.5000000000000003E-2</v>
      </c>
      <c r="L2417" s="33" t="s">
        <v>737</v>
      </c>
      <c r="M2417" s="269">
        <v>0.25325999999999999</v>
      </c>
      <c r="N2417" s="41">
        <v>1.16346835369548</v>
      </c>
      <c r="O2417" s="33">
        <v>100</v>
      </c>
      <c r="P2417" s="33">
        <v>2.2613457966276962E-4</v>
      </c>
      <c r="Q2417" s="33">
        <v>6.8890315978303196E-2</v>
      </c>
      <c r="R2417" s="33">
        <v>9.5191479709416011</v>
      </c>
      <c r="S2417" s="33">
        <v>1.6518861558449999E-6</v>
      </c>
      <c r="T2417" s="33">
        <v>6.3845044642425602E-3</v>
      </c>
      <c r="U2417" s="33">
        <v>4.6569939376165201E-2</v>
      </c>
      <c r="V2417" s="33">
        <v>8.6844689970839994E-3</v>
      </c>
      <c r="W2417" s="33">
        <v>3.9545960877381603</v>
      </c>
      <c r="X2417" s="33">
        <v>0.1088372594301156</v>
      </c>
      <c r="Y2417" s="33">
        <v>391.17996573084002</v>
      </c>
      <c r="Z2417" s="33">
        <v>1.49502202960968E-2</v>
      </c>
      <c r="AA2417" s="33">
        <v>9.6254185192271997</v>
      </c>
      <c r="AB2417" s="33">
        <v>9.6133015615031994</v>
      </c>
      <c r="AC2417" s="33">
        <v>7.5466373259960003E-3</v>
      </c>
      <c r="AD2417" s="33">
        <v>4.5703993358304001E-3</v>
      </c>
      <c r="AE2417" s="33">
        <v>2.06378446186296E-6</v>
      </c>
      <c r="AF2417" s="33">
        <v>6.1521260695542014E-2</v>
      </c>
      <c r="AG2417" s="33">
        <v>1.144091714109804E-4</v>
      </c>
      <c r="AH2417" s="33">
        <v>2.0887128971089196E-2</v>
      </c>
      <c r="AI2417" s="33">
        <v>0.230791711906008</v>
      </c>
      <c r="AJ2417" s="33">
        <v>6.6146647415616003E-2</v>
      </c>
      <c r="AK2417" s="33">
        <v>2.261335135494528E-4</v>
      </c>
      <c r="AL2417" s="33">
        <v>143.336092020732</v>
      </c>
      <c r="AM2417" s="33">
        <v>0.54590249811250802</v>
      </c>
      <c r="AN2417" s="33">
        <v>8.5286911395779997E-7</v>
      </c>
      <c r="AO2417" s="33">
        <v>0.61585349976583204</v>
      </c>
      <c r="AP2417" s="33">
        <v>132.09761263082399</v>
      </c>
      <c r="AQ2417" s="33">
        <v>6.0750133972401606E-9</v>
      </c>
      <c r="AR2417" s="33">
        <v>1.4869540125012602E-7</v>
      </c>
      <c r="AS2417" s="33">
        <v>112.63089747906361</v>
      </c>
      <c r="AT2417" s="33">
        <v>0</v>
      </c>
      <c r="AU2417" s="33">
        <v>0</v>
      </c>
      <c r="AV2417" s="316">
        <v>2.5677197400045602</v>
      </c>
      <c r="AW2417" s="314">
        <v>0</v>
      </c>
      <c r="AX2417" s="314">
        <v>0</v>
      </c>
      <c r="AY2417" s="316">
        <v>152.16621107828399</v>
      </c>
      <c r="AZ2417" s="33">
        <v>0</v>
      </c>
      <c r="BA2417" s="33">
        <v>0</v>
      </c>
      <c r="BB2417" s="33">
        <v>0</v>
      </c>
      <c r="BC2417" s="33">
        <v>2.04325891545384E-2</v>
      </c>
      <c r="BD2417" s="33">
        <v>7.0389534476599208E-4</v>
      </c>
      <c r="BE2417" s="33">
        <v>7.7576975648649711</v>
      </c>
      <c r="BF2417" s="33">
        <v>9.4164651110358001E-4</v>
      </c>
      <c r="BG2417" s="33">
        <v>0</v>
      </c>
      <c r="BH2417" s="33">
        <v>0</v>
      </c>
      <c r="BI2417" s="33">
        <v>0</v>
      </c>
      <c r="BJ2417" s="33">
        <v>0</v>
      </c>
      <c r="BK2417" s="33">
        <v>0</v>
      </c>
      <c r="BL2417" s="62">
        <v>0</v>
      </c>
      <c r="BM2417" s="275">
        <v>3</v>
      </c>
      <c r="BN2417" s="62">
        <v>0.03</v>
      </c>
      <c r="BO2417" s="33" t="s">
        <v>786</v>
      </c>
    </row>
    <row r="2418" spans="1:68">
      <c r="A2418" s="33" t="str">
        <f>Database_Productkaarten[[#This Row],[Product]]&amp;", "&amp;Database_Productkaarten[[#This Row],[Levensfase]]</f>
        <v>Brugdekplanken, Composiet, 3x3m, A3</v>
      </c>
      <c r="B2418" s="33" t="s">
        <v>799</v>
      </c>
      <c r="C2418" s="33" t="s">
        <v>781</v>
      </c>
      <c r="D2418" s="33" t="s">
        <v>782</v>
      </c>
      <c r="E2418" s="33" t="s">
        <v>783</v>
      </c>
      <c r="F2418" s="33" t="s">
        <v>76</v>
      </c>
      <c r="G2418" s="33">
        <v>3</v>
      </c>
      <c r="H2418" s="33">
        <v>3</v>
      </c>
      <c r="I2418" s="33">
        <v>3.5000000000000003E-2</v>
      </c>
      <c r="L2418" s="33" t="s">
        <v>737</v>
      </c>
      <c r="M2418" s="269">
        <v>0.25325999999999999</v>
      </c>
      <c r="N2418" s="41"/>
      <c r="O2418" s="33">
        <v>100</v>
      </c>
      <c r="AV2418" s="316"/>
      <c r="AW2418" s="314"/>
      <c r="AX2418" s="314"/>
      <c r="AY2418" s="316"/>
      <c r="BL2418" s="62">
        <v>0</v>
      </c>
      <c r="BM2418" s="275">
        <v>3</v>
      </c>
      <c r="BN2418" s="62">
        <v>0.03</v>
      </c>
    </row>
    <row r="2419" spans="1:68">
      <c r="A2419" s="451" t="str">
        <f>Database_Productkaarten[[#This Row],[Product]]&amp;", "&amp;Database_Productkaarten[[#This Row],[Levensfase]]</f>
        <v>Brugdekplanken, Composiet, 3x3m, A1-A3</v>
      </c>
      <c r="B2419" s="451" t="str">
        <f>B2418</f>
        <v>Brugdekplanken, Composiet, 3x3m</v>
      </c>
      <c r="C2419" s="451" t="str">
        <f>C2418</f>
        <v>Kleine Kunstwerken</v>
      </c>
      <c r="D2419" s="451" t="str">
        <f>D2418</f>
        <v>Brugdekplanken</v>
      </c>
      <c r="E2419" s="451" t="str">
        <f>E2418</f>
        <v>Stuk</v>
      </c>
      <c r="F2419" s="451" t="s">
        <v>77</v>
      </c>
      <c r="G2419" s="451">
        <f t="shared" ref="G2419:M2419" si="906">G2418</f>
        <v>3</v>
      </c>
      <c r="H2419" s="451">
        <f t="shared" si="906"/>
        <v>3</v>
      </c>
      <c r="I2419" s="451">
        <f t="shared" si="906"/>
        <v>3.5000000000000003E-2</v>
      </c>
      <c r="J2419" s="451">
        <f t="shared" si="906"/>
        <v>0</v>
      </c>
      <c r="K2419" s="451">
        <f t="shared" si="906"/>
        <v>0</v>
      </c>
      <c r="L2419" s="451" t="str">
        <f t="shared" si="906"/>
        <v>NVT</v>
      </c>
      <c r="M2419" s="454">
        <f t="shared" si="906"/>
        <v>0.25325999999999999</v>
      </c>
      <c r="N2419" s="452">
        <f>SUM(N2416:N2418)</f>
        <v>107.93353058481709</v>
      </c>
      <c r="O2419" s="451">
        <f>O2418</f>
        <v>100</v>
      </c>
      <c r="P2419" s="453">
        <f t="shared" ref="P2419:BK2419" si="907">SUM(P2416:P2418)</f>
        <v>1.7051166269855766E-2</v>
      </c>
      <c r="Q2419" s="453">
        <f t="shared" si="907"/>
        <v>6.5076879278695028</v>
      </c>
      <c r="R2419" s="453">
        <f t="shared" si="907"/>
        <v>770.87240534738169</v>
      </c>
      <c r="S2419" s="453">
        <f t="shared" si="907"/>
        <v>5.0521579451613E-5</v>
      </c>
      <c r="T2419" s="453">
        <f t="shared" si="907"/>
        <v>0.52502892446255256</v>
      </c>
      <c r="U2419" s="453">
        <f t="shared" si="907"/>
        <v>3.5415514584824654</v>
      </c>
      <c r="V2419" s="453">
        <f t="shared" si="907"/>
        <v>0.53538969841196404</v>
      </c>
      <c r="W2419" s="453">
        <f t="shared" si="907"/>
        <v>493.86764946468821</v>
      </c>
      <c r="X2419" s="453">
        <f t="shared" si="907"/>
        <v>72.25915378622102</v>
      </c>
      <c r="Y2419" s="453">
        <f t="shared" si="907"/>
        <v>16338.296543775841</v>
      </c>
      <c r="Z2419" s="453">
        <f t="shared" si="907"/>
        <v>0.99955547445109694</v>
      </c>
      <c r="AA2419" s="453">
        <f t="shared" si="907"/>
        <v>804.57253535628729</v>
      </c>
      <c r="AB2419" s="453">
        <f t="shared" si="907"/>
        <v>795.63397888939312</v>
      </c>
      <c r="AC2419" s="453">
        <f t="shared" si="907"/>
        <v>8.5815187999200369</v>
      </c>
      <c r="AD2419" s="453">
        <f t="shared" si="907"/>
        <v>0.35704179582539042</v>
      </c>
      <c r="AE2419" s="453">
        <f t="shared" si="907"/>
        <v>5.1228824178864958E-5</v>
      </c>
      <c r="AF2419" s="453">
        <f t="shared" si="907"/>
        <v>4.2697147833183422</v>
      </c>
      <c r="AG2419" s="453">
        <f t="shared" si="907"/>
        <v>3.595134531675398E-2</v>
      </c>
      <c r="AH2419" s="453">
        <f t="shared" si="907"/>
        <v>0.90031992058258914</v>
      </c>
      <c r="AI2419" s="453">
        <f t="shared" si="907"/>
        <v>8.3475898318090085</v>
      </c>
      <c r="AJ2419" s="453">
        <f t="shared" si="907"/>
        <v>2.8556852704940163</v>
      </c>
      <c r="AK2419" s="453">
        <f t="shared" si="907"/>
        <v>1.7051132572352454E-2</v>
      </c>
      <c r="AL2419" s="453">
        <f t="shared" si="907"/>
        <v>13389.112930227735</v>
      </c>
      <c r="AM2419" s="453">
        <f t="shared" si="907"/>
        <v>508.70094921768248</v>
      </c>
      <c r="AN2419" s="453">
        <f t="shared" si="907"/>
        <v>5.3632809369523799E-5</v>
      </c>
      <c r="AO2419" s="453">
        <f t="shared" si="907"/>
        <v>15.818327532986832</v>
      </c>
      <c r="AP2419" s="453">
        <f t="shared" si="907"/>
        <v>32493.890052210027</v>
      </c>
      <c r="AQ2419" s="453">
        <f t="shared" si="907"/>
        <v>6.9641013178838028E-7</v>
      </c>
      <c r="AR2419" s="453">
        <f t="shared" si="907"/>
        <v>2.0619188788257129E-5</v>
      </c>
      <c r="AS2419" s="453">
        <f t="shared" si="907"/>
        <v>1591.2417910890636</v>
      </c>
      <c r="AT2419" s="453">
        <f t="shared" si="907"/>
        <v>0</v>
      </c>
      <c r="AU2419" s="453">
        <f t="shared" si="907"/>
        <v>0</v>
      </c>
      <c r="AV2419" s="317">
        <f t="shared" si="907"/>
        <v>606.47418911640466</v>
      </c>
      <c r="AW2419" s="317">
        <f t="shared" si="907"/>
        <v>0</v>
      </c>
      <c r="AX2419" s="317">
        <f t="shared" si="907"/>
        <v>0</v>
      </c>
      <c r="AY2419" s="317">
        <f t="shared" si="907"/>
        <v>14359.052989165284</v>
      </c>
      <c r="AZ2419" s="453">
        <f t="shared" si="907"/>
        <v>0</v>
      </c>
      <c r="BA2419" s="453">
        <f t="shared" si="907"/>
        <v>0</v>
      </c>
      <c r="BB2419" s="453">
        <f t="shared" si="907"/>
        <v>0</v>
      </c>
      <c r="BC2419" s="453">
        <f t="shared" si="907"/>
        <v>12.748764898463739</v>
      </c>
      <c r="BD2419" s="453">
        <f t="shared" si="907"/>
        <v>6.3198877052239926E-3</v>
      </c>
      <c r="BE2419" s="453">
        <f t="shared" si="907"/>
        <v>60.463736376390976</v>
      </c>
      <c r="BF2419" s="453">
        <f t="shared" si="907"/>
        <v>1.3991468850689581E-2</v>
      </c>
      <c r="BG2419" s="453">
        <f t="shared" si="907"/>
        <v>0</v>
      </c>
      <c r="BH2419" s="453">
        <f t="shared" si="907"/>
        <v>0</v>
      </c>
      <c r="BI2419" s="453">
        <f t="shared" si="907"/>
        <v>0</v>
      </c>
      <c r="BJ2419" s="453">
        <f t="shared" si="907"/>
        <v>0</v>
      </c>
      <c r="BK2419" s="453">
        <f t="shared" si="907"/>
        <v>0</v>
      </c>
      <c r="BL2419" s="62">
        <f>BL2418</f>
        <v>0</v>
      </c>
      <c r="BM2419" s="275">
        <f>BM2418</f>
        <v>3</v>
      </c>
      <c r="BN2419" s="62">
        <v>0.03</v>
      </c>
      <c r="BO2419" s="451">
        <f>BO2418</f>
        <v>0</v>
      </c>
      <c r="BP2419" s="451"/>
    </row>
    <row r="2420" spans="1:68">
      <c r="A2420" s="33" t="str">
        <f>Database_Productkaarten[[#This Row],[Product]]&amp;", "&amp;Database_Productkaarten[[#This Row],[Levensfase]]</f>
        <v>Brugdekplanken, Composiet, 3x3m, A4</v>
      </c>
      <c r="B2420" s="33" t="s">
        <v>799</v>
      </c>
      <c r="C2420" s="33" t="s">
        <v>781</v>
      </c>
      <c r="D2420" s="33" t="s">
        <v>782</v>
      </c>
      <c r="E2420" s="33" t="s">
        <v>783</v>
      </c>
      <c r="F2420" s="33" t="s">
        <v>78</v>
      </c>
      <c r="G2420" s="33">
        <v>3</v>
      </c>
      <c r="H2420" s="33">
        <v>3</v>
      </c>
      <c r="I2420" s="33">
        <v>3.5000000000000003E-2</v>
      </c>
      <c r="L2420" s="33" t="s">
        <v>737</v>
      </c>
      <c r="M2420" s="269">
        <v>0.25325999999999999</v>
      </c>
      <c r="N2420" s="41">
        <v>0.20424466742399996</v>
      </c>
      <c r="O2420" s="33">
        <v>100</v>
      </c>
      <c r="P2420" s="33">
        <v>4.32990239094E-5</v>
      </c>
      <c r="Q2420" s="33">
        <v>1.2461297657760001E-2</v>
      </c>
      <c r="R2420" s="33">
        <v>1.6946097663599999</v>
      </c>
      <c r="S2420" s="33">
        <v>3.0064688343900003E-7</v>
      </c>
      <c r="T2420" s="33">
        <v>1.022508783576E-3</v>
      </c>
      <c r="U2420" s="33">
        <v>7.4510249398200001E-3</v>
      </c>
      <c r="V2420" s="33">
        <v>1.4638234256100001E-3</v>
      </c>
      <c r="W2420" s="33">
        <v>0.71347135834800002</v>
      </c>
      <c r="X2420" s="33">
        <v>2.0829097711800002E-2</v>
      </c>
      <c r="Y2420" s="33">
        <v>74.923001149499996</v>
      </c>
      <c r="Z2420" s="33">
        <v>2.5216860135599999E-3</v>
      </c>
      <c r="AA2420" s="33">
        <v>1.71033784551</v>
      </c>
      <c r="AB2420" s="33">
        <v>1.70892161559</v>
      </c>
      <c r="AC2420" s="33">
        <v>7.9003457889299995E-4</v>
      </c>
      <c r="AD2420" s="33">
        <v>6.2620573743E-4</v>
      </c>
      <c r="AE2420" s="33">
        <v>3.7719983429100002E-7</v>
      </c>
      <c r="AF2420" s="33">
        <v>9.91129553001E-3</v>
      </c>
      <c r="AG2420" s="33">
        <v>1.72389662613E-5</v>
      </c>
      <c r="AH2420" s="33">
        <v>3.4925026329899996E-3</v>
      </c>
      <c r="AI2420" s="33">
        <v>3.8505248982899996E-2</v>
      </c>
      <c r="AJ2420" s="33">
        <v>1.0993526288640001E-2</v>
      </c>
      <c r="AK2420" s="33">
        <v>4.3298855491500005E-5</v>
      </c>
      <c r="AL2420" s="33">
        <v>25.773932097899998</v>
      </c>
      <c r="AM2420" s="33">
        <v>9.219599162549999E-2</v>
      </c>
      <c r="AN2420" s="33">
        <v>1.5346642997700002E-7</v>
      </c>
      <c r="AO2420" s="33">
        <v>0.1079890015743</v>
      </c>
      <c r="AP2420" s="33">
        <v>22.983153788700001</v>
      </c>
      <c r="AQ2420" s="33">
        <v>7.4570803864199997E-10</v>
      </c>
      <c r="AR2420" s="33">
        <v>2.5135991685000003E-8</v>
      </c>
      <c r="AS2420" s="33">
        <v>22.352156498700001</v>
      </c>
      <c r="AT2420" s="33">
        <v>0</v>
      </c>
      <c r="AU2420" s="33">
        <v>0</v>
      </c>
      <c r="AV2420" s="316">
        <v>0.32265869775300005</v>
      </c>
      <c r="AW2420" s="314">
        <v>0</v>
      </c>
      <c r="AX2420" s="314">
        <v>0</v>
      </c>
      <c r="AY2420" s="316">
        <v>27.364646761200003</v>
      </c>
      <c r="AZ2420" s="33">
        <v>0</v>
      </c>
      <c r="BA2420" s="33">
        <v>0</v>
      </c>
      <c r="BB2420" s="33">
        <v>0</v>
      </c>
      <c r="BC2420" s="33">
        <v>3.1391774542800003E-3</v>
      </c>
      <c r="BD2420" s="33">
        <v>6.5313161883900005E-5</v>
      </c>
      <c r="BE2420" s="33">
        <v>1.6349192968500001</v>
      </c>
      <c r="BF2420" s="33">
        <v>1.69246921284E-4</v>
      </c>
      <c r="BG2420" s="33">
        <v>0</v>
      </c>
      <c r="BH2420" s="33">
        <v>0</v>
      </c>
      <c r="BI2420" s="33">
        <v>0</v>
      </c>
      <c r="BJ2420" s="33">
        <v>0</v>
      </c>
      <c r="BK2420" s="33">
        <v>0</v>
      </c>
      <c r="BL2420" s="62">
        <v>0</v>
      </c>
      <c r="BM2420" s="275">
        <v>3</v>
      </c>
      <c r="BN2420" s="62">
        <v>0.03</v>
      </c>
      <c r="BO2420" s="163" t="s">
        <v>786</v>
      </c>
      <c r="BP2420" s="33" t="s">
        <v>788</v>
      </c>
    </row>
    <row r="2421" spans="1:68">
      <c r="A2421" s="33" t="str">
        <f>Database_Productkaarten[[#This Row],[Product]]&amp;", "&amp;Database_Productkaarten[[#This Row],[Levensfase]]</f>
        <v>Brugdekplanken, Composiet, 3x3m, A5</v>
      </c>
      <c r="B2421" s="33" t="s">
        <v>799</v>
      </c>
      <c r="C2421" s="33" t="s">
        <v>781</v>
      </c>
      <c r="D2421" s="33" t="s">
        <v>782</v>
      </c>
      <c r="E2421" s="33" t="s">
        <v>783</v>
      </c>
      <c r="F2421" s="33" t="s">
        <v>79</v>
      </c>
      <c r="G2421" s="33">
        <v>3</v>
      </c>
      <c r="H2421" s="33">
        <v>3</v>
      </c>
      <c r="I2421" s="33">
        <v>3.5000000000000003E-2</v>
      </c>
      <c r="L2421" s="33" t="s">
        <v>737</v>
      </c>
      <c r="M2421" s="269">
        <v>0.25325999999999999</v>
      </c>
      <c r="N2421" s="41">
        <f>('Processen Database'!B$373*4)+((SUM(N2416:N2420)+SUM(N2425:N2429))*0.03)</f>
        <v>53.065780513581188</v>
      </c>
      <c r="O2421" s="33">
        <v>100</v>
      </c>
      <c r="P2421" s="40">
        <f>('Processen Database'!C$373*4)+((SUM(P2416:P2420)+SUM(P2425:P2429))*0.03)</f>
        <v>1.1684536555315204E-3</v>
      </c>
      <c r="Q2421" s="40">
        <f>('Processen Database'!D$373*4)+((SUM(Q2416:Q2420)+SUM(Q2425:Q2429))*0.03)</f>
        <v>2.640180558953042</v>
      </c>
      <c r="R2421" s="40">
        <f>('Processen Database'!E$373*4)+((SUM(R2416:R2420)+SUM(R2425:R2429))*0.03)</f>
        <v>399.64848678211962</v>
      </c>
      <c r="S2421" s="40">
        <f>('Processen Database'!F$373*4)+((SUM(S2416:S2420)+SUM(S2425:S2429))*0.03)</f>
        <v>6.4658935783805862E-5</v>
      </c>
      <c r="T2421" s="40">
        <f>('Processen Database'!G$373*4)+((SUM(T2416:T2420)+SUM(T2425:T2429))*0.03)</f>
        <v>0.38173289223395646</v>
      </c>
      <c r="U2421" s="40">
        <f>('Processen Database'!H$373*4)+((SUM(U2416:U2420)+SUM(U2425:U2429))*0.03)</f>
        <v>2.844443333212499</v>
      </c>
      <c r="V2421" s="40">
        <f>('Processen Database'!I$373*4)+((SUM(V2416:V2420)+SUM(V2425:V2429))*0.03)</f>
        <v>0.62475148091587784</v>
      </c>
      <c r="W2421" s="40">
        <f>('Processen Database'!J$373*4)+((SUM(W2416:W2420)+SUM(W2425:W2429))*0.03)</f>
        <v>155.40035714332828</v>
      </c>
      <c r="X2421" s="40">
        <f>('Processen Database'!K$373*4)+((SUM(X2416:X2420)+SUM(X2425:X2429))*0.03)</f>
        <v>6.1588038710722905</v>
      </c>
      <c r="Y2421" s="40">
        <f>('Processen Database'!L$373*4)+((SUM(Y2416:Y2420)+SUM(Y2425:Y2429))*0.03)</f>
        <v>7079.22692574346</v>
      </c>
      <c r="Z2421" s="40">
        <f>('Processen Database'!M$373*4)+((SUM(Z2416:Z2420)+SUM(Z2425:Z2429))*0.03)</f>
        <v>0.26798707098738261</v>
      </c>
      <c r="AA2421" s="40">
        <f>('Processen Database'!N$373*4)+((SUM(AA2416:AA2420)+SUM(AA2425:AA2429))*0.03)</f>
        <v>405.24297928714572</v>
      </c>
      <c r="AB2421" s="40">
        <f>('Processen Database'!O$373*4)+((SUM(AB2416:AB2420)+SUM(AB2425:AB2429))*0.03)</f>
        <v>404.61743894656655</v>
      </c>
      <c r="AC2421" s="40">
        <f>('Processen Database'!P$373*4)+((SUM(AC2416:AC2420)+SUM(AC2425:AC2429))*0.03)</f>
        <v>0.57295674085831683</v>
      </c>
      <c r="AD2421" s="40">
        <f>('Processen Database'!Q$373*4)+((SUM(AD2416:AD2420)+SUM(AD2425:AD2429))*0.03)</f>
        <v>5.2585887523254327E-2</v>
      </c>
      <c r="AE2421" s="40">
        <f>('Processen Database'!R$373*4)+((SUM(AE2416:AE2420)+SUM(AE2425:AE2429))*0.03)</f>
        <v>8.0752024204545258E-5</v>
      </c>
      <c r="AF2421" s="40">
        <f>('Processen Database'!S$373*4)+((SUM(AF2416:AF2420)+SUM(AF2425:AF2429))*0.03)</f>
        <v>3.9312840122662669</v>
      </c>
      <c r="AG2421" s="40">
        <f>('Processen Database'!T$373*4)+((SUM(AG2416:AG2420)+SUM(AG2425:AG2429))*0.03)</f>
        <v>4.8752040572825894E-3</v>
      </c>
      <c r="AH2421" s="40">
        <f>('Processen Database'!U$373*4)+((SUM(AH2416:AH2420)+SUM(AH2425:AH2429))*0.03)</f>
        <v>1.6474503600178334</v>
      </c>
      <c r="AI2421" s="40">
        <f>('Processen Database'!V$373*4)+((SUM(AI2416:AI2420)+SUM(AI2425:AI2429))*0.03)</f>
        <v>18.011962738688311</v>
      </c>
      <c r="AJ2421" s="40">
        <f>('Processen Database'!W$373*4)+((SUM(AJ2416:AJ2420)+SUM(AJ2425:AJ2429))*0.03)</f>
        <v>4.9792166148645602</v>
      </c>
      <c r="AK2421" s="40">
        <f>('Processen Database'!X$373*4)+((SUM(AK2416:AK2420)+SUM(AK2425:AK2429))*0.03)</f>
        <v>1.1684529095179756E-3</v>
      </c>
      <c r="AL2421" s="40">
        <f>('Processen Database'!Y$373*4)+((SUM(AL2416:AL2420)+SUM(AL2425:AL2429))*0.03)</f>
        <v>5593.7335678852623</v>
      </c>
      <c r="AM2421" s="40">
        <f>('Processen Database'!Z$373*4)+((SUM(AM2416:AM2420)+SUM(AM2425:AM2429))*0.03)</f>
        <v>57.82341838023558</v>
      </c>
      <c r="AN2421" s="40">
        <f>('Processen Database'!AA$373*4)+((SUM(AN2416:AN2420)+SUM(AN2425:AN2429))*0.03)</f>
        <v>9.9531631391826903E-5</v>
      </c>
      <c r="AO2421" s="40">
        <f>('Processen Database'!AB$373*4)+((SUM(AO2416:AO2420)+SUM(AO2425:AO2429))*0.03)</f>
        <v>22.804981308241686</v>
      </c>
      <c r="AP2421" s="40">
        <f>('Processen Database'!AC$373*4)+((SUM(AP2416:AP2420)+SUM(AP2425:AP2429))*0.03)</f>
        <v>5104.9425436091879</v>
      </c>
      <c r="AQ2421" s="40">
        <f>('Processen Database'!AD$373*4)+((SUM(AQ2416:AQ2420)+SUM(AQ2425:AQ2429))*0.03)</f>
        <v>1.4378801756727353E-7</v>
      </c>
      <c r="AR2421" s="40">
        <f>('Processen Database'!AE$373*4)+((SUM(AR2416:AR2420)+SUM(AR2425:AR2429))*0.03)</f>
        <v>3.8156983597945519E-6</v>
      </c>
      <c r="AS2421" s="40">
        <f>('Processen Database'!AF$373*4)+((SUM(AS2416:AS2420)+SUM(AS2425:AS2429))*0.03)</f>
        <v>740.1167647485762</v>
      </c>
      <c r="AT2421" s="40">
        <f>('Processen Database'!AG$373*4)+((SUM(AT2416:AT2420)+SUM(AT2425:AT2429))*0.03)</f>
        <v>0</v>
      </c>
      <c r="AU2421" s="40">
        <f>('Processen Database'!AH$373*4)+((SUM(AU2416:AU2420)+SUM(AU2425:AU2429))*0.03)</f>
        <v>0</v>
      </c>
      <c r="AV2421" s="313">
        <f>('Processen Database'!AI$373*4)+((SUM(AV2416:AV2420)+SUM(AV2425:AV2429))*0.03)</f>
        <v>66.979380173413958</v>
      </c>
      <c r="AW2421" s="317">
        <f>('Processen Database'!AJ$373*4)+((SUM(AW2416:AW2420)+SUM(AW2425:AW2429))*0.03)</f>
        <v>0</v>
      </c>
      <c r="AX2421" s="317">
        <f>('Processen Database'!AK$373*4)+((SUM(AX2416:AX2420)+SUM(AX2425:AX2429))*0.03)</f>
        <v>0</v>
      </c>
      <c r="AY2421" s="313">
        <f>('Processen Database'!AL$373*4)+((SUM(AY2416:AY2420)+SUM(AY2425:AY2429))*0.03)</f>
        <v>5934.0529437130108</v>
      </c>
      <c r="AZ2421" s="40">
        <f>('Processen Database'!AM$373*4)+((SUM(AZ2416:AZ2420)+SUM(AZ2425:AZ2429))*0.03)</f>
        <v>0</v>
      </c>
      <c r="BA2421" s="40">
        <f>('Processen Database'!AN$373*4)+((SUM(BA2416:BA2420)+SUM(BA2425:BA2429))*0.03)</f>
        <v>0</v>
      </c>
      <c r="BB2421" s="40">
        <f>('Processen Database'!AO$373*4)+((SUM(BB2416:BB2420)+SUM(BB2425:BB2429))*0.03)</f>
        <v>0</v>
      </c>
      <c r="BC2421" s="40">
        <f>('Processen Database'!AP$373*4)+((SUM(BC2416:BC2420)+SUM(BC2425:BC2429))*0.03)</f>
        <v>1.4808586802814534</v>
      </c>
      <c r="BD2421" s="40">
        <f>('Processen Database'!AQ$373*4)+((SUM(BD2416:BD2420)+SUM(BD2425:BD2429))*0.03)</f>
        <v>2.2927100630669253E-3</v>
      </c>
      <c r="BE2421" s="40">
        <f>('Processen Database'!AR$373*4)+((SUM(BE2416:BE2420)+SUM(BE2425:BE2429))*0.03)</f>
        <v>9.3435686065820232</v>
      </c>
      <c r="BF2421" s="40">
        <f>('Processen Database'!AS$373*4)+((SUM(BF2416:BF2420)+SUM(BF2425:BF2429))*0.03)</f>
        <v>3.6022263039555441E-2</v>
      </c>
      <c r="BG2421" s="40">
        <f>('Processen Database'!AT$373*4)+((SUM(BG2416:BG2420)+SUM(BG2425:BG2429))*0.03)</f>
        <v>0</v>
      </c>
      <c r="BH2421" s="40">
        <f>('Processen Database'!AU$373*4)+((SUM(BH2416:BH2420)+SUM(BH2425:BH2429))*0.03)</f>
        <v>0</v>
      </c>
      <c r="BI2421" s="40">
        <f>('Processen Database'!AV$373*4)+((SUM(BI2416:BI2420)+SUM(BI2425:BI2429))*0.03)</f>
        <v>0</v>
      </c>
      <c r="BJ2421" s="40">
        <f>('Processen Database'!AW$373*4)+((SUM(BJ2416:BJ2420)+SUM(BJ2425:BJ2429))*0.03)</f>
        <v>0</v>
      </c>
      <c r="BK2421" s="40">
        <f>('Processen Database'!AX$373*4)+((SUM(BK2416:BK2420)+SUM(BK2425:BK2429))*0.03)</f>
        <v>0</v>
      </c>
      <c r="BL2421" s="62">
        <v>0</v>
      </c>
      <c r="BM2421" s="275">
        <v>3</v>
      </c>
      <c r="BN2421" s="62">
        <v>0.03</v>
      </c>
      <c r="BO2421" t="s">
        <v>789</v>
      </c>
      <c r="BP2421" s="33" t="s">
        <v>791</v>
      </c>
    </row>
    <row r="2422" spans="1:68">
      <c r="A2422" s="33" t="str">
        <f>Database_Productkaarten[[#This Row],[Product]]&amp;", "&amp;Database_Productkaarten[[#This Row],[Levensfase]]</f>
        <v>Brugdekplanken, Composiet, 3x3m, B1</v>
      </c>
      <c r="B2422" s="33" t="s">
        <v>799</v>
      </c>
      <c r="C2422" s="33" t="s">
        <v>781</v>
      </c>
      <c r="D2422" s="33" t="s">
        <v>782</v>
      </c>
      <c r="E2422" s="33" t="s">
        <v>783</v>
      </c>
      <c r="F2422" s="33" t="s">
        <v>80</v>
      </c>
      <c r="G2422" s="33">
        <v>3</v>
      </c>
      <c r="H2422" s="33">
        <v>3</v>
      </c>
      <c r="I2422" s="33">
        <v>3.5000000000000003E-2</v>
      </c>
      <c r="L2422" s="33" t="s">
        <v>737</v>
      </c>
      <c r="M2422" s="269">
        <v>0.25325999999999999</v>
      </c>
      <c r="N2422" s="41"/>
      <c r="O2422" s="33">
        <v>100</v>
      </c>
      <c r="AV2422" s="316"/>
      <c r="AW2422" s="314"/>
      <c r="AX2422" s="314"/>
      <c r="AY2422" s="316"/>
      <c r="BL2422" s="62">
        <v>0</v>
      </c>
      <c r="BM2422" s="275">
        <v>3</v>
      </c>
      <c r="BN2422" s="62">
        <v>0.03</v>
      </c>
    </row>
    <row r="2423" spans="1:68">
      <c r="A2423" s="33" t="str">
        <f>Database_Productkaarten[[#This Row],[Product]]&amp;", "&amp;Database_Productkaarten[[#This Row],[Levensfase]]</f>
        <v>Brugdekplanken, Composiet, 3x3m, C1</v>
      </c>
      <c r="B2423" s="33" t="s">
        <v>799</v>
      </c>
      <c r="C2423" s="33" t="s">
        <v>781</v>
      </c>
      <c r="D2423" s="33" t="s">
        <v>782</v>
      </c>
      <c r="E2423" s="33" t="s">
        <v>783</v>
      </c>
      <c r="F2423" s="33" t="s">
        <v>83</v>
      </c>
      <c r="G2423" s="33">
        <v>3</v>
      </c>
      <c r="H2423" s="33">
        <v>3</v>
      </c>
      <c r="I2423" s="33">
        <v>3.5000000000000003E-2</v>
      </c>
      <c r="L2423" s="33" t="s">
        <v>737</v>
      </c>
      <c r="M2423" s="269">
        <v>0.25325999999999999</v>
      </c>
      <c r="N2423" s="41">
        <v>46.254693004661441</v>
      </c>
      <c r="O2423" s="33">
        <v>100</v>
      </c>
      <c r="P2423" s="40">
        <v>1.17152884E-4</v>
      </c>
      <c r="Q2423" s="40">
        <v>2.4048400399999998</v>
      </c>
      <c r="R2423" s="40">
        <v>347.38500399999998</v>
      </c>
      <c r="S2423" s="40">
        <v>6.2976099999999995E-5</v>
      </c>
      <c r="T2423" s="40">
        <v>0.35198052400000002</v>
      </c>
      <c r="U2423" s="40">
        <v>2.6354776000000002</v>
      </c>
      <c r="V2423" s="40">
        <v>0.59302120000000003</v>
      </c>
      <c r="W2423" s="40">
        <v>125.14149999999999</v>
      </c>
      <c r="X2423" s="40">
        <v>1.7441582799999999</v>
      </c>
      <c r="Y2423" s="40">
        <v>5882.1476000000002</v>
      </c>
      <c r="Z2423" s="40">
        <v>0.20706024000000001</v>
      </c>
      <c r="AA2423" s="40">
        <v>351.14612</v>
      </c>
      <c r="AB2423" s="40">
        <v>351.05836799999997</v>
      </c>
      <c r="AC2423" s="40">
        <v>5.7936236000000002E-2</v>
      </c>
      <c r="AD2423" s="40">
        <v>2.9817705600000001E-2</v>
      </c>
      <c r="AE2423" s="40">
        <v>7.9310192000000003E-5</v>
      </c>
      <c r="AF2423" s="40">
        <v>3.6796976400000001</v>
      </c>
      <c r="AG2423" s="40">
        <v>2.6813393200000001E-3</v>
      </c>
      <c r="AH2423" s="40">
        <v>1.5949951200000001</v>
      </c>
      <c r="AI2423" s="40">
        <v>17.528640800000002</v>
      </c>
      <c r="AJ2423" s="40">
        <v>4.8154940000000002</v>
      </c>
      <c r="AK2423" s="40">
        <v>1.17154388E-4</v>
      </c>
      <c r="AL2423" s="40">
        <v>5077.0183999999999</v>
      </c>
      <c r="AM2423" s="40">
        <v>27.370287600000001</v>
      </c>
      <c r="AN2423" s="40">
        <v>9.6276376E-5</v>
      </c>
      <c r="AO2423" s="40">
        <v>21.881542</v>
      </c>
      <c r="AP2423" s="40">
        <v>2870.09384</v>
      </c>
      <c r="AQ2423" s="40">
        <v>9.8745076E-8</v>
      </c>
      <c r="AR2423" s="40">
        <v>2.5007174000000001E-6</v>
      </c>
      <c r="AS2423" s="40">
        <v>643.03895999999997</v>
      </c>
      <c r="AT2423" s="40">
        <v>0</v>
      </c>
      <c r="AU2423" s="40">
        <v>0</v>
      </c>
      <c r="AV2423" s="313">
        <v>29.411855599999999</v>
      </c>
      <c r="AW2423" s="317">
        <v>0</v>
      </c>
      <c r="AX2423" s="317">
        <v>0</v>
      </c>
      <c r="AY2423" s="313">
        <v>5391.2543999999998</v>
      </c>
      <c r="AZ2423" s="40">
        <v>0</v>
      </c>
      <c r="BA2423" s="40">
        <v>0</v>
      </c>
      <c r="BB2423" s="40">
        <v>0</v>
      </c>
      <c r="BC2423" s="40">
        <v>0.69680207999999999</v>
      </c>
      <c r="BD2423" s="40">
        <v>2.2639914800000002E-3</v>
      </c>
      <c r="BE2423" s="40">
        <v>5.4107472000000003</v>
      </c>
      <c r="BF2423" s="40">
        <v>3.52660588E-2</v>
      </c>
      <c r="BG2423" s="40">
        <v>0</v>
      </c>
      <c r="BH2423" s="40">
        <v>0</v>
      </c>
      <c r="BI2423" s="40">
        <v>0</v>
      </c>
      <c r="BJ2423" s="40">
        <v>0</v>
      </c>
      <c r="BK2423" s="40">
        <v>0</v>
      </c>
      <c r="BL2423" s="62">
        <v>0</v>
      </c>
      <c r="BM2423" s="275">
        <v>3</v>
      </c>
      <c r="BN2423" s="62">
        <v>0.03</v>
      </c>
      <c r="BO2423" t="s">
        <v>789</v>
      </c>
      <c r="BP2423" s="33" t="s">
        <v>791</v>
      </c>
    </row>
    <row r="2424" spans="1:68">
      <c r="A2424" s="33" t="str">
        <f>Database_Productkaarten[[#This Row],[Product]]&amp;", "&amp;Database_Productkaarten[[#This Row],[Levensfase]]</f>
        <v>Brugdekplanken, Composiet, 3x3m, C2</v>
      </c>
      <c r="B2424" s="33" t="s">
        <v>799</v>
      </c>
      <c r="C2424" s="33" t="s">
        <v>781</v>
      </c>
      <c r="D2424" s="33" t="s">
        <v>782</v>
      </c>
      <c r="E2424" s="33" t="s">
        <v>783</v>
      </c>
      <c r="F2424" s="33" t="s">
        <v>84</v>
      </c>
      <c r="G2424" s="33">
        <v>3</v>
      </c>
      <c r="H2424" s="33">
        <v>3</v>
      </c>
      <c r="I2424" s="33">
        <v>3.5000000000000003E-2</v>
      </c>
      <c r="L2424" s="33" t="s">
        <v>737</v>
      </c>
      <c r="M2424" s="269">
        <v>0.25325999999999999</v>
      </c>
      <c r="N2424" s="41">
        <v>0.61273400227200003</v>
      </c>
      <c r="O2424" s="33">
        <v>100</v>
      </c>
      <c r="P2424" s="33">
        <v>1.2989707172820001E-4</v>
      </c>
      <c r="Q2424" s="33">
        <v>3.7383892973280007E-2</v>
      </c>
      <c r="R2424" s="33">
        <v>5.0838292990800005</v>
      </c>
      <c r="S2424" s="33">
        <v>9.0194065031700003E-7</v>
      </c>
      <c r="T2424" s="33">
        <v>3.0675263507280001E-3</v>
      </c>
      <c r="U2424" s="33">
        <v>2.235307481946E-2</v>
      </c>
      <c r="V2424" s="33">
        <v>4.3914702768300005E-3</v>
      </c>
      <c r="W2424" s="33">
        <v>2.1404140750440002</v>
      </c>
      <c r="X2424" s="33">
        <v>6.2487293135400003E-2</v>
      </c>
      <c r="Y2424" s="33">
        <v>224.76900344849997</v>
      </c>
      <c r="Z2424" s="33">
        <v>7.5650580406800005E-3</v>
      </c>
      <c r="AA2424" s="33">
        <v>5.1310135365300003</v>
      </c>
      <c r="AB2424" s="33">
        <v>5.1267648467699996</v>
      </c>
      <c r="AC2424" s="33">
        <v>2.3701037366790001E-3</v>
      </c>
      <c r="AD2424" s="33">
        <v>1.87861721229E-3</v>
      </c>
      <c r="AE2424" s="33">
        <v>1.131599502873E-6</v>
      </c>
      <c r="AF2424" s="33">
        <v>2.9733886590029998E-2</v>
      </c>
      <c r="AG2424" s="33">
        <v>5.1716898783900005E-5</v>
      </c>
      <c r="AH2424" s="33">
        <v>1.047750789897E-2</v>
      </c>
      <c r="AI2424" s="33">
        <v>0.1155157469487</v>
      </c>
      <c r="AJ2424" s="33">
        <v>3.2980578865919999E-2</v>
      </c>
      <c r="AK2424" s="33">
        <v>1.2989656647449999E-4</v>
      </c>
      <c r="AL2424" s="33">
        <v>77.32179629369999</v>
      </c>
      <c r="AM2424" s="33">
        <v>0.2765879748765</v>
      </c>
      <c r="AN2424" s="33">
        <v>4.6039928993099999E-7</v>
      </c>
      <c r="AO2424" s="33">
        <v>0.32396700472289996</v>
      </c>
      <c r="AP2424" s="33">
        <v>68.949461366099996</v>
      </c>
      <c r="AQ2424" s="33">
        <v>2.2371241159259998E-9</v>
      </c>
      <c r="AR2424" s="33">
        <v>7.5407975055000018E-8</v>
      </c>
      <c r="AS2424" s="33">
        <v>67.056469496099993</v>
      </c>
      <c r="AT2424" s="33">
        <v>0</v>
      </c>
      <c r="AU2424" s="33">
        <v>0</v>
      </c>
      <c r="AV2424" s="316">
        <v>0.96797609325900003</v>
      </c>
      <c r="AW2424" s="314">
        <v>0</v>
      </c>
      <c r="AX2424" s="314">
        <v>0</v>
      </c>
      <c r="AY2424" s="316">
        <v>82.093940283600006</v>
      </c>
      <c r="AZ2424" s="33">
        <v>0</v>
      </c>
      <c r="BA2424" s="33">
        <v>0</v>
      </c>
      <c r="BB2424" s="33">
        <v>0</v>
      </c>
      <c r="BC2424" s="33">
        <v>9.4175323628400004E-3</v>
      </c>
      <c r="BD2424" s="33">
        <v>1.9593948565170002E-4</v>
      </c>
      <c r="BE2424" s="33">
        <v>4.90475789055</v>
      </c>
      <c r="BF2424" s="33">
        <v>5.07740763852E-4</v>
      </c>
      <c r="BG2424" s="33">
        <v>0</v>
      </c>
      <c r="BH2424" s="33">
        <v>0</v>
      </c>
      <c r="BI2424" s="33">
        <v>0</v>
      </c>
      <c r="BJ2424" s="33">
        <v>0</v>
      </c>
      <c r="BK2424" s="33">
        <v>0</v>
      </c>
      <c r="BL2424" s="62">
        <v>0</v>
      </c>
      <c r="BM2424" s="275">
        <v>3</v>
      </c>
      <c r="BN2424" s="62">
        <v>0.03</v>
      </c>
      <c r="BO2424" s="163" t="s">
        <v>786</v>
      </c>
      <c r="BP2424" s="33" t="s">
        <v>792</v>
      </c>
    </row>
    <row r="2425" spans="1:68">
      <c r="A2425" s="33" t="str">
        <f>Database_Productkaarten[[#This Row],[Product]]&amp;", "&amp;Database_Productkaarten[[#This Row],[Levensfase]]</f>
        <v>Brugdekplanken, Composiet, 3x3m, C3</v>
      </c>
      <c r="B2425" s="33" t="s">
        <v>799</v>
      </c>
      <c r="C2425" s="33" t="s">
        <v>781</v>
      </c>
      <c r="D2425" s="33" t="s">
        <v>782</v>
      </c>
      <c r="E2425" s="33" t="s">
        <v>783</v>
      </c>
      <c r="F2425" s="33" t="s">
        <v>85</v>
      </c>
      <c r="G2425" s="33">
        <v>3</v>
      </c>
      <c r="H2425" s="33">
        <v>3</v>
      </c>
      <c r="I2425" s="33">
        <v>3.5000000000000003E-2</v>
      </c>
      <c r="L2425" s="33" t="s">
        <v>737</v>
      </c>
      <c r="M2425" s="269">
        <v>0.25325999999999999</v>
      </c>
      <c r="N2425" s="41"/>
      <c r="O2425" s="33">
        <v>100</v>
      </c>
      <c r="AV2425" s="316"/>
      <c r="AW2425" s="314"/>
      <c r="AX2425" s="314"/>
      <c r="AY2425" s="316"/>
      <c r="BL2425" s="62">
        <v>0</v>
      </c>
      <c r="BM2425" s="275">
        <v>3</v>
      </c>
      <c r="BN2425" s="62">
        <v>0.03</v>
      </c>
    </row>
    <row r="2426" spans="1:68">
      <c r="A2426" s="33" t="str">
        <f>Database_Productkaarten[[#This Row],[Product]]&amp;", "&amp;Database_Productkaarten[[#This Row],[Levensfase]]</f>
        <v>Brugdekplanken, Composiet, 3x3m, C4</v>
      </c>
      <c r="B2426" s="33" t="s">
        <v>799</v>
      </c>
      <c r="C2426" s="33" t="s">
        <v>781</v>
      </c>
      <c r="D2426" s="33" t="s">
        <v>782</v>
      </c>
      <c r="E2426" s="33" t="s">
        <v>783</v>
      </c>
      <c r="F2426" s="33" t="s">
        <v>86</v>
      </c>
      <c r="G2426" s="33">
        <v>3</v>
      </c>
      <c r="H2426" s="33">
        <v>3</v>
      </c>
      <c r="I2426" s="33">
        <v>3.5000000000000003E-2</v>
      </c>
      <c r="L2426" s="33" t="s">
        <v>737</v>
      </c>
      <c r="M2426" s="269">
        <v>0.25325999999999999</v>
      </c>
      <c r="N2426" s="41">
        <v>46.994972761440003</v>
      </c>
      <c r="O2426" s="33">
        <v>100</v>
      </c>
      <c r="P2426" s="33">
        <v>9.3655607146200001E-4</v>
      </c>
      <c r="Q2426" s="33">
        <v>0.29695222460376003</v>
      </c>
      <c r="R2426" s="33">
        <v>797.35748918759998</v>
      </c>
      <c r="S2426" s="33">
        <v>2.4223201765487999E-5</v>
      </c>
      <c r="T2426" s="33">
        <v>2.5251273112823998E-2</v>
      </c>
      <c r="U2426" s="33">
        <v>0.26560623372227998</v>
      </c>
      <c r="V2426" s="33">
        <v>4.3113991207319999E-2</v>
      </c>
      <c r="W2426" s="33">
        <v>51.395779753559999</v>
      </c>
      <c r="X2426" s="33">
        <v>2.9305020356964002</v>
      </c>
      <c r="Y2426" s="33">
        <v>8566.3799741519997</v>
      </c>
      <c r="Z2426" s="33">
        <v>0.12639100320791999</v>
      </c>
      <c r="AA2426" s="33">
        <v>798.49921159799999</v>
      </c>
      <c r="AB2426" s="33">
        <v>798.28839600840001</v>
      </c>
      <c r="AC2426" s="33">
        <v>0.14979691675476001</v>
      </c>
      <c r="AD2426" s="33">
        <v>6.1017557752800003E-2</v>
      </c>
      <c r="AE2426" s="33">
        <v>2.4078787676459999E-5</v>
      </c>
      <c r="AF2426" s="33">
        <v>0.34084348333199999</v>
      </c>
      <c r="AG2426" s="33">
        <v>2.3009057557596001E-3</v>
      </c>
      <c r="AH2426" s="33">
        <v>9.3068455372200015E-2</v>
      </c>
      <c r="AI2426" s="33">
        <v>1.0378547055359999</v>
      </c>
      <c r="AJ2426" s="33">
        <v>0.27516741801911998</v>
      </c>
      <c r="AK2426" s="33">
        <v>9.365499399564001E-4</v>
      </c>
      <c r="AL2426" s="33">
        <v>550.4805915444</v>
      </c>
      <c r="AM2426" s="33">
        <v>39.616637520239998</v>
      </c>
      <c r="AN2426" s="33">
        <v>2.5493601936131998E-6</v>
      </c>
      <c r="AO2426" s="33">
        <v>2.3384082982391998</v>
      </c>
      <c r="AP2426" s="33">
        <v>10050.374749140001</v>
      </c>
      <c r="AQ2426" s="33">
        <v>1.4601226896827999E-7</v>
      </c>
      <c r="AR2426" s="33">
        <v>3.0871995442200002E-6</v>
      </c>
      <c r="AS2426" s="33">
        <v>168.89647855212002</v>
      </c>
      <c r="AT2426" s="33">
        <v>0</v>
      </c>
      <c r="AU2426" s="33">
        <v>0</v>
      </c>
      <c r="AV2426" s="316">
        <v>59.768579078999998</v>
      </c>
      <c r="AW2426" s="314">
        <v>0</v>
      </c>
      <c r="AX2426" s="314">
        <v>0</v>
      </c>
      <c r="AY2426" s="316">
        <v>584.92534617000001</v>
      </c>
      <c r="AZ2426" s="33">
        <v>0</v>
      </c>
      <c r="BA2426" s="33">
        <v>0</v>
      </c>
      <c r="BB2426" s="33">
        <v>0</v>
      </c>
      <c r="BC2426" s="33">
        <v>1.1667077547047999</v>
      </c>
      <c r="BD2426" s="33">
        <v>1.0744771064544001E-3</v>
      </c>
      <c r="BE2426" s="33">
        <v>11.720030912568001</v>
      </c>
      <c r="BF2426" s="33">
        <v>1.9617819192972001E-3</v>
      </c>
      <c r="BG2426" s="33">
        <v>0</v>
      </c>
      <c r="BH2426" s="33">
        <v>0</v>
      </c>
      <c r="BI2426" s="33">
        <v>0</v>
      </c>
      <c r="BJ2426" s="33">
        <v>0</v>
      </c>
      <c r="BK2426" s="33">
        <v>0</v>
      </c>
      <c r="BL2426" s="62">
        <v>0</v>
      </c>
      <c r="BM2426" s="275">
        <v>3</v>
      </c>
      <c r="BN2426" s="62">
        <v>0.03</v>
      </c>
    </row>
    <row r="2427" spans="1:68">
      <c r="A2427" s="33" t="str">
        <f>Database_Productkaarten[[#This Row],[Product]]&amp;", "&amp;Database_Productkaarten[[#This Row],[Levensfase]]</f>
        <v>Brugdekplanken, Composiet, 3x3m, D</v>
      </c>
      <c r="B2427" s="33" t="str">
        <f>B2428</f>
        <v>Brugdekplanken, Composiet, 3x3m</v>
      </c>
      <c r="C2427" s="33" t="str">
        <f>C2428</f>
        <v>Kleine Kunstwerken</v>
      </c>
      <c r="D2427" s="33" t="str">
        <f>D2428</f>
        <v>Brugdekplanken</v>
      </c>
      <c r="E2427" s="33" t="str">
        <f>E2428</f>
        <v>Stuk</v>
      </c>
      <c r="F2427" s="33" t="s">
        <v>89</v>
      </c>
      <c r="G2427" s="33">
        <f t="shared" ref="G2427:M2427" si="908">G2428</f>
        <v>3</v>
      </c>
      <c r="H2427" s="33">
        <f t="shared" si="908"/>
        <v>3</v>
      </c>
      <c r="I2427" s="33">
        <f t="shared" si="908"/>
        <v>3.5000000000000003E-2</v>
      </c>
      <c r="J2427" s="33">
        <f t="shared" si="908"/>
        <v>0</v>
      </c>
      <c r="K2427" s="33">
        <f t="shared" si="908"/>
        <v>0</v>
      </c>
      <c r="L2427" s="33" t="str">
        <f t="shared" si="908"/>
        <v>NVT</v>
      </c>
      <c r="M2427" s="45">
        <f t="shared" si="908"/>
        <v>0.25325999999999999</v>
      </c>
      <c r="N2427" s="41">
        <f>SUM(N2428:N2429)</f>
        <v>-18.015014150586605</v>
      </c>
      <c r="O2427" s="33">
        <f>O2428</f>
        <v>100</v>
      </c>
      <c r="P2427" s="40">
        <f>SUM(P2428:P2429)</f>
        <v>-1.9414292016125162E-5</v>
      </c>
      <c r="Q2427" s="40">
        <f>SUM(Q2428:Q2429)</f>
        <v>-2.7400527064495619</v>
      </c>
      <c r="R2427" s="40">
        <f>SUM(R2428:R2429)</f>
        <v>-299.34040845570127</v>
      </c>
      <c r="S2427" s="40">
        <f t="shared" ref="S2427:BK2427" si="909">SUM(S2428:S2429)</f>
        <v>-3.4736240712645367E-5</v>
      </c>
      <c r="T2427" s="40">
        <f t="shared" si="909"/>
        <v>-4.2293011511478421E-2</v>
      </c>
      <c r="U2427" s="40">
        <f t="shared" si="909"/>
        <v>-0.19531786760520303</v>
      </c>
      <c r="V2427" s="40">
        <f t="shared" si="909"/>
        <v>-2.8840590463799526E-2</v>
      </c>
      <c r="W2427" s="40">
        <f t="shared" si="909"/>
        <v>-15.607989298504261</v>
      </c>
      <c r="X2427" s="40">
        <f t="shared" si="909"/>
        <v>-0.15739283505361501</v>
      </c>
      <c r="Y2427" s="40">
        <f t="shared" si="909"/>
        <v>-707.62593570225488</v>
      </c>
      <c r="Z2427" s="40">
        <f t="shared" si="909"/>
        <v>-4.8564635938793108E-2</v>
      </c>
      <c r="AA2427" s="40">
        <f t="shared" si="909"/>
        <v>-303.06298862561397</v>
      </c>
      <c r="AB2427" s="40">
        <f t="shared" si="909"/>
        <v>-302.98145525861219</v>
      </c>
      <c r="AC2427" s="40">
        <f t="shared" si="909"/>
        <v>-7.3137194614915205E-2</v>
      </c>
      <c r="AD2427" s="40">
        <f t="shared" si="909"/>
        <v>-8.3939788495999805E-3</v>
      </c>
      <c r="AE2427" s="40">
        <f t="shared" si="909"/>
        <v>-3.9426281191819617E-5</v>
      </c>
      <c r="AF2427" s="40">
        <f t="shared" si="909"/>
        <v>-0.25198596831156839</v>
      </c>
      <c r="AG2427" s="40">
        <f t="shared" si="909"/>
        <v>-5.4600538972126146E-4</v>
      </c>
      <c r="AH2427" s="40">
        <f t="shared" si="909"/>
        <v>-7.4346399287962203E-2</v>
      </c>
      <c r="AI2427" s="40">
        <f t="shared" si="909"/>
        <v>-0.83040416426330999</v>
      </c>
      <c r="AJ2427" s="40">
        <f t="shared" si="909"/>
        <v>-0.2700554949052254</v>
      </c>
      <c r="AK2427" s="40">
        <f t="shared" si="909"/>
        <v>-1.9414944776806743E-5</v>
      </c>
      <c r="AL2427" s="40">
        <f t="shared" si="909"/>
        <v>-5065.3207272945065</v>
      </c>
      <c r="AM2427" s="40">
        <f t="shared" si="909"/>
        <v>-21.003186303022144</v>
      </c>
      <c r="AN2427" s="40">
        <f t="shared" si="909"/>
        <v>-7.2996615087039001E-7</v>
      </c>
      <c r="AO2427" s="40">
        <f t="shared" si="909"/>
        <v>-1.650871045532142</v>
      </c>
      <c r="AP2427" s="40">
        <f t="shared" si="909"/>
        <v>-283.09061018791982</v>
      </c>
      <c r="AQ2427" s="40">
        <f t="shared" si="909"/>
        <v>-1.9073427503949E-8</v>
      </c>
      <c r="AR2427" s="40">
        <f t="shared" si="909"/>
        <v>-2.5900722630043384E-7</v>
      </c>
      <c r="AS2427" s="40">
        <f t="shared" si="909"/>
        <v>-68.902696138202643</v>
      </c>
      <c r="AT2427" s="40">
        <f t="shared" si="909"/>
        <v>0</v>
      </c>
      <c r="AU2427" s="40">
        <f t="shared" si="909"/>
        <v>0</v>
      </c>
      <c r="AV2427" s="317">
        <f t="shared" si="909"/>
        <v>-10.394398447881841</v>
      </c>
      <c r="AW2427" s="317">
        <f t="shared" si="909"/>
        <v>0</v>
      </c>
      <c r="AX2427" s="317">
        <f t="shared" si="909"/>
        <v>0</v>
      </c>
      <c r="AY2427" s="317">
        <f t="shared" si="909"/>
        <v>-5618.5555904140328</v>
      </c>
      <c r="AZ2427" s="40">
        <f t="shared" si="909"/>
        <v>0</v>
      </c>
      <c r="BA2427" s="40">
        <f t="shared" si="909"/>
        <v>0</v>
      </c>
      <c r="BB2427" s="40">
        <f t="shared" si="909"/>
        <v>0</v>
      </c>
      <c r="BC2427" s="40">
        <f t="shared" si="909"/>
        <v>-0.26607835985238903</v>
      </c>
      <c r="BD2427" s="40">
        <f t="shared" si="909"/>
        <v>-6.4111397882777275E-3</v>
      </c>
      <c r="BE2427" s="40">
        <f t="shared" si="909"/>
        <v>-1.5941880380662741</v>
      </c>
      <c r="BF2427" s="40">
        <f t="shared" si="909"/>
        <v>-2.4535792783895402E-3</v>
      </c>
      <c r="BG2427" s="40">
        <f t="shared" si="909"/>
        <v>0</v>
      </c>
      <c r="BH2427" s="40">
        <f t="shared" si="909"/>
        <v>0</v>
      </c>
      <c r="BI2427" s="40">
        <f t="shared" si="909"/>
        <v>0</v>
      </c>
      <c r="BJ2427" s="40">
        <f t="shared" si="909"/>
        <v>0</v>
      </c>
      <c r="BK2427" s="40">
        <f t="shared" si="909"/>
        <v>0</v>
      </c>
      <c r="BL2427" s="62">
        <f>BL2428</f>
        <v>0</v>
      </c>
      <c r="BM2427" s="275">
        <f>BM2428</f>
        <v>3</v>
      </c>
      <c r="BN2427" s="62">
        <v>0.03</v>
      </c>
      <c r="BO2427" s="33">
        <f>BO2428</f>
        <v>0</v>
      </c>
    </row>
    <row r="2428" spans="1:68">
      <c r="A2428" s="33" t="str">
        <f>Database_Productkaarten[[#This Row],[Product]]&amp;", "&amp;Database_Productkaarten[[#This Row],[Levensfase]]</f>
        <v>Brugdekplanken, Composiet, 3x3m, D1</v>
      </c>
      <c r="B2428" s="33" t="s">
        <v>799</v>
      </c>
      <c r="C2428" s="33" t="s">
        <v>781</v>
      </c>
      <c r="D2428" s="33" t="s">
        <v>782</v>
      </c>
      <c r="E2428" s="33" t="s">
        <v>783</v>
      </c>
      <c r="F2428" s="33" t="s">
        <v>87</v>
      </c>
      <c r="G2428" s="33">
        <v>3</v>
      </c>
      <c r="H2428" s="33">
        <v>3</v>
      </c>
      <c r="I2428" s="33">
        <v>3.5000000000000003E-2</v>
      </c>
      <c r="L2428" s="33" t="s">
        <v>737</v>
      </c>
      <c r="M2428" s="269">
        <v>0.25325999999999999</v>
      </c>
      <c r="N2428" s="41">
        <v>-18.015014150586605</v>
      </c>
      <c r="O2428" s="33">
        <v>100</v>
      </c>
      <c r="P2428" s="33">
        <v>-1.9414292016125162E-5</v>
      </c>
      <c r="Q2428" s="33">
        <v>-2.7400527064495619</v>
      </c>
      <c r="R2428" s="33">
        <v>-299.34040845570127</v>
      </c>
      <c r="S2428" s="33">
        <v>-3.4736240712645367E-5</v>
      </c>
      <c r="T2428" s="33">
        <v>-4.2293011511478421E-2</v>
      </c>
      <c r="U2428" s="33">
        <v>-0.19531786760520303</v>
      </c>
      <c r="V2428" s="33">
        <v>-2.8840590463799526E-2</v>
      </c>
      <c r="W2428" s="33">
        <v>-15.607989298504261</v>
      </c>
      <c r="X2428" s="33">
        <v>-0.15739283505361501</v>
      </c>
      <c r="Y2428" s="33">
        <v>-707.62593570225488</v>
      </c>
      <c r="Z2428" s="33">
        <v>-4.8564635938793108E-2</v>
      </c>
      <c r="AA2428" s="33">
        <v>-303.06298862561397</v>
      </c>
      <c r="AB2428" s="33">
        <v>-302.98145525861219</v>
      </c>
      <c r="AC2428" s="33">
        <v>-7.3137194614915205E-2</v>
      </c>
      <c r="AD2428" s="33">
        <v>-8.3939788495999805E-3</v>
      </c>
      <c r="AE2428" s="33">
        <v>-3.9426281191819617E-5</v>
      </c>
      <c r="AF2428" s="33">
        <v>-0.25198596831156839</v>
      </c>
      <c r="AG2428" s="33">
        <v>-5.4600538972126146E-4</v>
      </c>
      <c r="AH2428" s="33">
        <v>-7.4346399287962203E-2</v>
      </c>
      <c r="AI2428" s="33">
        <v>-0.83040416426330999</v>
      </c>
      <c r="AJ2428" s="33">
        <v>-0.2700554949052254</v>
      </c>
      <c r="AK2428" s="33">
        <v>-1.9414944776806743E-5</v>
      </c>
      <c r="AL2428" s="33">
        <v>-5065.3207272945065</v>
      </c>
      <c r="AM2428" s="33">
        <v>-21.003186303022144</v>
      </c>
      <c r="AN2428" s="33">
        <v>-7.2996615087039001E-7</v>
      </c>
      <c r="AO2428" s="33">
        <v>-1.650871045532142</v>
      </c>
      <c r="AP2428" s="33">
        <v>-283.09061018791982</v>
      </c>
      <c r="AQ2428" s="33">
        <v>-1.9073427503949E-8</v>
      </c>
      <c r="AR2428" s="33">
        <v>-2.5900722630043384E-7</v>
      </c>
      <c r="AS2428" s="33">
        <v>-68.902696138202643</v>
      </c>
      <c r="AT2428" s="33">
        <v>0</v>
      </c>
      <c r="AU2428" s="33">
        <v>0</v>
      </c>
      <c r="AV2428" s="316">
        <v>-10.394398447881841</v>
      </c>
      <c r="AW2428" s="314">
        <v>0</v>
      </c>
      <c r="AX2428" s="314">
        <v>0</v>
      </c>
      <c r="AY2428" s="316">
        <v>-5618.5555904140328</v>
      </c>
      <c r="AZ2428" s="33">
        <v>0</v>
      </c>
      <c r="BA2428" s="33">
        <v>0</v>
      </c>
      <c r="BB2428" s="33">
        <v>0</v>
      </c>
      <c r="BC2428" s="33">
        <v>-0.26607835985238903</v>
      </c>
      <c r="BD2428" s="33">
        <v>-6.4111397882777275E-3</v>
      </c>
      <c r="BE2428" s="33">
        <v>-1.5941880380662741</v>
      </c>
      <c r="BF2428" s="33">
        <v>-2.4535792783895402E-3</v>
      </c>
      <c r="BG2428" s="33">
        <v>0</v>
      </c>
      <c r="BH2428" s="33">
        <v>0</v>
      </c>
      <c r="BI2428" s="33">
        <v>0</v>
      </c>
      <c r="BJ2428" s="33">
        <v>0</v>
      </c>
      <c r="BK2428" s="33">
        <v>0</v>
      </c>
      <c r="BL2428" s="62">
        <v>0</v>
      </c>
      <c r="BM2428" s="275">
        <v>3</v>
      </c>
      <c r="BN2428" s="62">
        <v>0.03</v>
      </c>
    </row>
    <row r="2429" spans="1:68">
      <c r="A2429" s="33" t="str">
        <f>Database_Productkaarten[[#This Row],[Product]]&amp;", "&amp;Database_Productkaarten[[#This Row],[Levensfase]]</f>
        <v>Brugdekplanken, Composiet, 3x3m, D2</v>
      </c>
      <c r="B2429" s="33" t="s">
        <v>799</v>
      </c>
      <c r="C2429" s="33" t="s">
        <v>781</v>
      </c>
      <c r="D2429" s="33" t="s">
        <v>782</v>
      </c>
      <c r="E2429" s="33" t="s">
        <v>783</v>
      </c>
      <c r="F2429" s="33" t="s">
        <v>88</v>
      </c>
      <c r="G2429" s="33">
        <v>3</v>
      </c>
      <c r="H2429" s="33">
        <v>3</v>
      </c>
      <c r="I2429" s="33">
        <v>3.5000000000000003E-2</v>
      </c>
      <c r="L2429" s="33" t="s">
        <v>737</v>
      </c>
      <c r="M2429" s="269">
        <v>0.25325999999999999</v>
      </c>
      <c r="N2429" s="41"/>
      <c r="O2429" s="33">
        <v>100</v>
      </c>
      <c r="AV2429" s="316"/>
      <c r="AW2429" s="314"/>
      <c r="AX2429" s="314"/>
      <c r="AY2429" s="316"/>
      <c r="BL2429" s="62">
        <v>0</v>
      </c>
      <c r="BM2429" s="275">
        <v>3</v>
      </c>
      <c r="BN2429" s="62">
        <v>0.03</v>
      </c>
    </row>
    <row r="2430" spans="1:68">
      <c r="A2430" s="33" t="str">
        <f>Database_Productkaarten[[#This Row],[Product]]&amp;", "&amp;Database_Productkaarten[[#This Row],[Levensfase]]</f>
        <v>Brugdekplanken, Recycled Kunststof, 3x3m, Totaal</v>
      </c>
      <c r="B2430" s="33" t="s">
        <v>802</v>
      </c>
      <c r="C2430" s="33" t="s">
        <v>781</v>
      </c>
      <c r="D2430" s="33" t="s">
        <v>782</v>
      </c>
      <c r="E2430" s="33" t="s">
        <v>783</v>
      </c>
      <c r="F2430" s="33" t="s">
        <v>90</v>
      </c>
      <c r="G2430" s="33">
        <v>3</v>
      </c>
      <c r="H2430" s="33">
        <v>3</v>
      </c>
      <c r="I2430" s="33">
        <v>4.2000000000000003E-2</v>
      </c>
      <c r="L2430" s="33">
        <v>0.8</v>
      </c>
      <c r="M2430" s="269">
        <v>0.28727999999999998</v>
      </c>
      <c r="N2430" s="41"/>
      <c r="O2430" s="33">
        <v>50</v>
      </c>
      <c r="AV2430" s="316"/>
      <c r="AW2430" s="314"/>
      <c r="AX2430" s="314"/>
      <c r="AY2430" s="316"/>
      <c r="BL2430" s="62">
        <v>1</v>
      </c>
      <c r="BM2430" s="275">
        <v>3</v>
      </c>
      <c r="BN2430" s="62">
        <v>0.03</v>
      </c>
    </row>
    <row r="2431" spans="1:68">
      <c r="A2431" s="33" t="str">
        <f>Database_Productkaarten[[#This Row],[Product]]&amp;", "&amp;Database_Productkaarten[[#This Row],[Levensfase]]</f>
        <v>Brugdekplanken, Recycled Kunststof, 3x3m, A1</v>
      </c>
      <c r="B2431" s="33" t="s">
        <v>802</v>
      </c>
      <c r="C2431" s="33" t="s">
        <v>781</v>
      </c>
      <c r="D2431" s="33" t="s">
        <v>782</v>
      </c>
      <c r="E2431" s="33" t="s">
        <v>783</v>
      </c>
      <c r="F2431" s="33" t="s">
        <v>74</v>
      </c>
      <c r="G2431" s="33">
        <v>3</v>
      </c>
      <c r="H2431" s="33">
        <v>3</v>
      </c>
      <c r="I2431" s="33">
        <v>4.2000000000000003E-2</v>
      </c>
      <c r="L2431" s="33">
        <v>0.8</v>
      </c>
      <c r="M2431" s="269">
        <v>0.28727999999999998</v>
      </c>
      <c r="N2431" s="41">
        <v>2.5686</v>
      </c>
      <c r="O2431" s="33">
        <v>50</v>
      </c>
      <c r="R2431" s="40">
        <v>16.670213999999998</v>
      </c>
      <c r="AV2431" s="316"/>
      <c r="AW2431" s="314"/>
      <c r="AX2431" s="314"/>
      <c r="AY2431" s="316"/>
      <c r="BL2431" s="62">
        <v>1</v>
      </c>
      <c r="BM2431" s="275">
        <v>3</v>
      </c>
      <c r="BN2431" s="62">
        <v>0.03</v>
      </c>
      <c r="BO2431" s="33" t="s">
        <v>803</v>
      </c>
      <c r="BP2431" s="33" t="s">
        <v>804</v>
      </c>
    </row>
    <row r="2432" spans="1:68">
      <c r="A2432" s="33" t="str">
        <f>Database_Productkaarten[[#This Row],[Product]]&amp;", "&amp;Database_Productkaarten[[#This Row],[Levensfase]]</f>
        <v>Brugdekplanken, Recycled Kunststof, 3x3m, A2</v>
      </c>
      <c r="B2432" s="33" t="s">
        <v>802</v>
      </c>
      <c r="C2432" s="33" t="s">
        <v>781</v>
      </c>
      <c r="D2432" s="33" t="s">
        <v>782</v>
      </c>
      <c r="E2432" s="33" t="s">
        <v>783</v>
      </c>
      <c r="F2432" s="33" t="s">
        <v>75</v>
      </c>
      <c r="G2432" s="33">
        <v>3</v>
      </c>
      <c r="H2432" s="33">
        <v>3</v>
      </c>
      <c r="I2432" s="33">
        <v>4.2000000000000003E-2</v>
      </c>
      <c r="L2432" s="33">
        <v>0.8</v>
      </c>
      <c r="M2432" s="269">
        <v>0.28727999999999998</v>
      </c>
      <c r="N2432" s="41">
        <v>0.20714793206399998</v>
      </c>
      <c r="O2432" s="33">
        <v>50</v>
      </c>
      <c r="P2432" s="33">
        <v>4.3914503993399999E-5</v>
      </c>
      <c r="Q2432" s="33">
        <v>1.263843053136E-2</v>
      </c>
      <c r="R2432" s="40">
        <v>1.7186980359600001</v>
      </c>
      <c r="S2432" s="33">
        <v>3.0492047097900001E-7</v>
      </c>
      <c r="T2432" s="33">
        <v>1.0370433789360001E-3</v>
      </c>
      <c r="U2432" s="33">
        <v>7.5569385850200003E-3</v>
      </c>
      <c r="V2432" s="33">
        <v>1.4846311502100002E-3</v>
      </c>
      <c r="W2432" s="33">
        <v>0.72361309762800008</v>
      </c>
      <c r="X2432" s="33">
        <v>2.1125175859800002E-2</v>
      </c>
      <c r="Y2432" s="33">
        <v>75.988004719500012</v>
      </c>
      <c r="Z2432" s="33">
        <v>2.5575308751600002E-3</v>
      </c>
      <c r="AA2432" s="33">
        <v>1.7346496841099999</v>
      </c>
      <c r="AB2432" s="33">
        <v>1.7332133229900002</v>
      </c>
      <c r="AC2432" s="33">
        <v>8.0126463687300007E-4</v>
      </c>
      <c r="AD2432" s="33">
        <v>6.3510702723000004E-4</v>
      </c>
      <c r="AE2432" s="33">
        <v>3.8256159455100003E-7</v>
      </c>
      <c r="AF2432" s="33">
        <v>1.0052181038609999E-2</v>
      </c>
      <c r="AG2432" s="33">
        <v>1.7484011979300002E-5</v>
      </c>
      <c r="AH2432" s="33">
        <v>3.54214730439E-3</v>
      </c>
      <c r="AI2432" s="33">
        <v>3.9052587276899996E-2</v>
      </c>
      <c r="AJ2432" s="33">
        <v>1.114979531904E-2</v>
      </c>
      <c r="AK2432" s="33">
        <v>4.3914333181500002E-5</v>
      </c>
      <c r="AL2432" s="33">
        <v>26.140299291899996</v>
      </c>
      <c r="AM2432" s="33">
        <v>9.3506524555500001E-2</v>
      </c>
      <c r="AN2432" s="33">
        <v>1.5564790019700001E-7</v>
      </c>
      <c r="AO2432" s="33">
        <v>0.1095240264723</v>
      </c>
      <c r="AP2432" s="33">
        <v>23.309851070700002</v>
      </c>
      <c r="AQ2432" s="33">
        <v>7.5630801076199999E-10</v>
      </c>
      <c r="AR2432" s="33">
        <v>2.5493290785000001E-8</v>
      </c>
      <c r="AS2432" s="33">
        <v>22.669884380700001</v>
      </c>
      <c r="AT2432" s="33">
        <v>0</v>
      </c>
      <c r="AU2432" s="33">
        <v>0</v>
      </c>
      <c r="AV2432" s="316">
        <v>0.32724517533300007</v>
      </c>
      <c r="AW2432" s="314">
        <v>0</v>
      </c>
      <c r="AX2432" s="314">
        <v>0</v>
      </c>
      <c r="AY2432" s="316">
        <v>27.7536253932</v>
      </c>
      <c r="AZ2432" s="33">
        <v>0</v>
      </c>
      <c r="BA2432" s="33">
        <v>0</v>
      </c>
      <c r="BB2432" s="33">
        <v>0</v>
      </c>
      <c r="BC2432" s="33">
        <v>3.1837997350800001E-3</v>
      </c>
      <c r="BD2432" s="33">
        <v>6.6241565037900005E-5</v>
      </c>
      <c r="BE2432" s="33">
        <v>1.6581590878500001</v>
      </c>
      <c r="BF2432" s="33">
        <v>1.7165270552400001E-4</v>
      </c>
      <c r="BG2432" s="33">
        <v>0</v>
      </c>
      <c r="BH2432" s="33">
        <v>0</v>
      </c>
      <c r="BI2432" s="33">
        <v>0</v>
      </c>
      <c r="BJ2432" s="33">
        <v>0</v>
      </c>
      <c r="BK2432" s="33">
        <v>0</v>
      </c>
      <c r="BL2432" s="62">
        <v>1</v>
      </c>
      <c r="BM2432" s="275">
        <v>3</v>
      </c>
      <c r="BN2432" s="62">
        <v>0.03</v>
      </c>
      <c r="BO2432" s="163" t="s">
        <v>786</v>
      </c>
      <c r="BP2432" s="33" t="s">
        <v>788</v>
      </c>
    </row>
    <row r="2433" spans="1:68">
      <c r="A2433" s="33" t="str">
        <f>Database_Productkaarten[[#This Row],[Product]]&amp;", "&amp;Database_Productkaarten[[#This Row],[Levensfase]]</f>
        <v>Brugdekplanken, Recycled Kunststof, 3x3m, A3</v>
      </c>
      <c r="B2433" s="33" t="s">
        <v>802</v>
      </c>
      <c r="C2433" s="33" t="s">
        <v>781</v>
      </c>
      <c r="D2433" s="33" t="s">
        <v>782</v>
      </c>
      <c r="E2433" s="33" t="s">
        <v>783</v>
      </c>
      <c r="F2433" s="33" t="s">
        <v>76</v>
      </c>
      <c r="G2433" s="33">
        <v>3</v>
      </c>
      <c r="H2433" s="33">
        <v>3</v>
      </c>
      <c r="I2433" s="33">
        <v>4.2000000000000003E-2</v>
      </c>
      <c r="L2433" s="33">
        <v>0.8</v>
      </c>
      <c r="M2433" s="269">
        <v>0.28727999999999998</v>
      </c>
      <c r="N2433" s="41">
        <v>7.7058</v>
      </c>
      <c r="O2433" s="33">
        <v>50</v>
      </c>
      <c r="R2433" s="40">
        <v>95.551919999999996</v>
      </c>
      <c r="AV2433" s="316"/>
      <c r="AW2433" s="314"/>
      <c r="AX2433" s="314"/>
      <c r="AY2433" s="316"/>
      <c r="BL2433" s="62">
        <v>1</v>
      </c>
      <c r="BM2433" s="275">
        <v>3</v>
      </c>
      <c r="BN2433" s="62">
        <v>0.03</v>
      </c>
      <c r="BO2433" s="33" t="s">
        <v>803</v>
      </c>
      <c r="BP2433" s="33" t="s">
        <v>804</v>
      </c>
    </row>
    <row r="2434" spans="1:68">
      <c r="A2434" s="451" t="str">
        <f>Database_Productkaarten[[#This Row],[Product]]&amp;", "&amp;Database_Productkaarten[[#This Row],[Levensfase]]</f>
        <v>Brugdekplanken, Recycled Kunststof, 3x3m, A1-A3</v>
      </c>
      <c r="B2434" s="451" t="str">
        <f>B2433</f>
        <v>Brugdekplanken, Recycled Kunststof, 3x3m</v>
      </c>
      <c r="C2434" s="451" t="str">
        <f>C2433</f>
        <v>Kleine Kunstwerken</v>
      </c>
      <c r="D2434" s="451" t="str">
        <f>D2433</f>
        <v>Brugdekplanken</v>
      </c>
      <c r="E2434" s="451" t="str">
        <f>E2433</f>
        <v>Stuk</v>
      </c>
      <c r="F2434" s="451" t="s">
        <v>77</v>
      </c>
      <c r="G2434" s="451">
        <f t="shared" ref="G2434:M2434" si="910">G2433</f>
        <v>3</v>
      </c>
      <c r="H2434" s="451">
        <f t="shared" si="910"/>
        <v>3</v>
      </c>
      <c r="I2434" s="451">
        <f t="shared" si="910"/>
        <v>4.2000000000000003E-2</v>
      </c>
      <c r="J2434" s="451">
        <f t="shared" si="910"/>
        <v>0</v>
      </c>
      <c r="K2434" s="451">
        <f t="shared" si="910"/>
        <v>0</v>
      </c>
      <c r="L2434" s="451">
        <f t="shared" si="910"/>
        <v>0.8</v>
      </c>
      <c r="M2434" s="454">
        <f t="shared" si="910"/>
        <v>0.28727999999999998</v>
      </c>
      <c r="N2434" s="452">
        <f>SUM(N2431:N2433)</f>
        <v>10.481547932064</v>
      </c>
      <c r="O2434" s="451">
        <f>O2433</f>
        <v>50</v>
      </c>
      <c r="P2434" s="453">
        <f t="shared" ref="P2434:BK2434" si="911">SUM(P2431:P2433)</f>
        <v>4.3914503993399999E-5</v>
      </c>
      <c r="Q2434" s="453">
        <f t="shared" si="911"/>
        <v>1.263843053136E-2</v>
      </c>
      <c r="R2434" s="453">
        <f t="shared" si="911"/>
        <v>113.94083203596</v>
      </c>
      <c r="S2434" s="453">
        <f t="shared" si="911"/>
        <v>3.0492047097900001E-7</v>
      </c>
      <c r="T2434" s="453">
        <f t="shared" si="911"/>
        <v>1.0370433789360001E-3</v>
      </c>
      <c r="U2434" s="453">
        <f t="shared" si="911"/>
        <v>7.5569385850200003E-3</v>
      </c>
      <c r="V2434" s="453">
        <f t="shared" si="911"/>
        <v>1.4846311502100002E-3</v>
      </c>
      <c r="W2434" s="453">
        <f t="shared" si="911"/>
        <v>0.72361309762800008</v>
      </c>
      <c r="X2434" s="453">
        <f t="shared" si="911"/>
        <v>2.1125175859800002E-2</v>
      </c>
      <c r="Y2434" s="453">
        <f t="shared" si="911"/>
        <v>75.988004719500012</v>
      </c>
      <c r="Z2434" s="453">
        <f t="shared" si="911"/>
        <v>2.5575308751600002E-3</v>
      </c>
      <c r="AA2434" s="453">
        <f t="shared" si="911"/>
        <v>1.7346496841099999</v>
      </c>
      <c r="AB2434" s="453">
        <f t="shared" si="911"/>
        <v>1.7332133229900002</v>
      </c>
      <c r="AC2434" s="453">
        <f t="shared" si="911"/>
        <v>8.0126463687300007E-4</v>
      </c>
      <c r="AD2434" s="453">
        <f t="shared" si="911"/>
        <v>6.3510702723000004E-4</v>
      </c>
      <c r="AE2434" s="453">
        <f t="shared" si="911"/>
        <v>3.8256159455100003E-7</v>
      </c>
      <c r="AF2434" s="453">
        <f t="shared" si="911"/>
        <v>1.0052181038609999E-2</v>
      </c>
      <c r="AG2434" s="453">
        <f t="shared" si="911"/>
        <v>1.7484011979300002E-5</v>
      </c>
      <c r="AH2434" s="453">
        <f t="shared" si="911"/>
        <v>3.54214730439E-3</v>
      </c>
      <c r="AI2434" s="453">
        <f t="shared" si="911"/>
        <v>3.9052587276899996E-2</v>
      </c>
      <c r="AJ2434" s="453">
        <f t="shared" si="911"/>
        <v>1.114979531904E-2</v>
      </c>
      <c r="AK2434" s="453">
        <f t="shared" si="911"/>
        <v>4.3914333181500002E-5</v>
      </c>
      <c r="AL2434" s="453">
        <f t="shared" si="911"/>
        <v>26.140299291899996</v>
      </c>
      <c r="AM2434" s="453">
        <f t="shared" si="911"/>
        <v>9.3506524555500001E-2</v>
      </c>
      <c r="AN2434" s="453">
        <f t="shared" si="911"/>
        <v>1.5564790019700001E-7</v>
      </c>
      <c r="AO2434" s="453">
        <f t="shared" si="911"/>
        <v>0.1095240264723</v>
      </c>
      <c r="AP2434" s="453">
        <f t="shared" si="911"/>
        <v>23.309851070700002</v>
      </c>
      <c r="AQ2434" s="453">
        <f t="shared" si="911"/>
        <v>7.5630801076199999E-10</v>
      </c>
      <c r="AR2434" s="453">
        <f t="shared" si="911"/>
        <v>2.5493290785000001E-8</v>
      </c>
      <c r="AS2434" s="453">
        <f t="shared" si="911"/>
        <v>22.669884380700001</v>
      </c>
      <c r="AT2434" s="453">
        <f t="shared" si="911"/>
        <v>0</v>
      </c>
      <c r="AU2434" s="453">
        <f t="shared" si="911"/>
        <v>0</v>
      </c>
      <c r="AV2434" s="317">
        <f t="shared" si="911"/>
        <v>0.32724517533300007</v>
      </c>
      <c r="AW2434" s="317">
        <f t="shared" si="911"/>
        <v>0</v>
      </c>
      <c r="AX2434" s="317">
        <f t="shared" si="911"/>
        <v>0</v>
      </c>
      <c r="AY2434" s="317">
        <f t="shared" si="911"/>
        <v>27.7536253932</v>
      </c>
      <c r="AZ2434" s="453">
        <f t="shared" si="911"/>
        <v>0</v>
      </c>
      <c r="BA2434" s="453">
        <f t="shared" si="911"/>
        <v>0</v>
      </c>
      <c r="BB2434" s="453">
        <f t="shared" si="911"/>
        <v>0</v>
      </c>
      <c r="BC2434" s="453">
        <f t="shared" si="911"/>
        <v>3.1837997350800001E-3</v>
      </c>
      <c r="BD2434" s="453">
        <f t="shared" si="911"/>
        <v>6.6241565037900005E-5</v>
      </c>
      <c r="BE2434" s="453">
        <f t="shared" si="911"/>
        <v>1.6581590878500001</v>
      </c>
      <c r="BF2434" s="453">
        <f t="shared" si="911"/>
        <v>1.7165270552400001E-4</v>
      </c>
      <c r="BG2434" s="453">
        <f t="shared" si="911"/>
        <v>0</v>
      </c>
      <c r="BH2434" s="453">
        <f t="shared" si="911"/>
        <v>0</v>
      </c>
      <c r="BI2434" s="453">
        <f t="shared" si="911"/>
        <v>0</v>
      </c>
      <c r="BJ2434" s="453">
        <f t="shared" si="911"/>
        <v>0</v>
      </c>
      <c r="BK2434" s="453">
        <f t="shared" si="911"/>
        <v>0</v>
      </c>
      <c r="BL2434" s="62">
        <f>BL2433</f>
        <v>1</v>
      </c>
      <c r="BM2434" s="275">
        <f>BM2433</f>
        <v>3</v>
      </c>
      <c r="BN2434" s="62">
        <v>0.03</v>
      </c>
      <c r="BO2434" s="451" t="str">
        <f>BO2433</f>
        <v>Nature-line Black - Save Plastics : https://saveplastics.nl/milieu-impact/</v>
      </c>
      <c r="BP2434" s="451"/>
    </row>
    <row r="2435" spans="1:68">
      <c r="A2435" s="33" t="str">
        <f>Database_Productkaarten[[#This Row],[Product]]&amp;", "&amp;Database_Productkaarten[[#This Row],[Levensfase]]</f>
        <v>Brugdekplanken, Recycled Kunststof, 3x3m, A4</v>
      </c>
      <c r="B2435" s="33" t="s">
        <v>802</v>
      </c>
      <c r="C2435" s="33" t="s">
        <v>781</v>
      </c>
      <c r="D2435" s="33" t="s">
        <v>782</v>
      </c>
      <c r="E2435" s="33" t="s">
        <v>783</v>
      </c>
      <c r="F2435" s="33" t="s">
        <v>78</v>
      </c>
      <c r="G2435" s="33">
        <v>3</v>
      </c>
      <c r="H2435" s="33">
        <v>3</v>
      </c>
      <c r="I2435" s="33">
        <v>4.2000000000000003E-2</v>
      </c>
      <c r="L2435" s="33">
        <v>0.8</v>
      </c>
      <c r="M2435" s="269">
        <v>0.28727999999999998</v>
      </c>
      <c r="N2435" s="41">
        <v>0.20714793206399998</v>
      </c>
      <c r="O2435" s="33">
        <v>50</v>
      </c>
      <c r="P2435" s="33">
        <v>4.3914503993399999E-5</v>
      </c>
      <c r="Q2435" s="33">
        <v>1.263843053136E-2</v>
      </c>
      <c r="R2435" s="40">
        <v>1.7186980359600001</v>
      </c>
      <c r="S2435" s="33">
        <v>3.0492047097900001E-7</v>
      </c>
      <c r="T2435" s="33">
        <v>1.0370433789360001E-3</v>
      </c>
      <c r="U2435" s="33">
        <v>7.5569385850200003E-3</v>
      </c>
      <c r="V2435" s="33">
        <v>1.4846311502100002E-3</v>
      </c>
      <c r="W2435" s="33">
        <v>0.72361309762800008</v>
      </c>
      <c r="X2435" s="33">
        <v>2.1125175859800002E-2</v>
      </c>
      <c r="Y2435" s="33">
        <v>75.988004719500012</v>
      </c>
      <c r="Z2435" s="33">
        <v>2.5575308751600002E-3</v>
      </c>
      <c r="AA2435" s="33">
        <v>1.7346496841099999</v>
      </c>
      <c r="AB2435" s="33">
        <v>1.7332133229900002</v>
      </c>
      <c r="AC2435" s="33">
        <v>8.0126463687300007E-4</v>
      </c>
      <c r="AD2435" s="33">
        <v>6.3510702723000004E-4</v>
      </c>
      <c r="AE2435" s="33">
        <v>3.8256159455100003E-7</v>
      </c>
      <c r="AF2435" s="33">
        <v>1.0052181038609999E-2</v>
      </c>
      <c r="AG2435" s="33">
        <v>1.7484011979300002E-5</v>
      </c>
      <c r="AH2435" s="33">
        <v>3.54214730439E-3</v>
      </c>
      <c r="AI2435" s="33">
        <v>3.9052587276899996E-2</v>
      </c>
      <c r="AJ2435" s="33">
        <v>1.114979531904E-2</v>
      </c>
      <c r="AK2435" s="33">
        <v>4.3914333181500002E-5</v>
      </c>
      <c r="AL2435" s="33">
        <v>26.140299291899996</v>
      </c>
      <c r="AM2435" s="33">
        <v>9.3506524555500001E-2</v>
      </c>
      <c r="AN2435" s="33">
        <v>1.5564790019700001E-7</v>
      </c>
      <c r="AO2435" s="33">
        <v>0.1095240264723</v>
      </c>
      <c r="AP2435" s="33">
        <v>23.309851070700002</v>
      </c>
      <c r="AQ2435" s="33">
        <v>7.5630801076199999E-10</v>
      </c>
      <c r="AR2435" s="33">
        <v>2.5493290785000001E-8</v>
      </c>
      <c r="AS2435" s="33">
        <v>22.669884380700001</v>
      </c>
      <c r="AT2435" s="33">
        <v>0</v>
      </c>
      <c r="AU2435" s="33">
        <v>0</v>
      </c>
      <c r="AV2435" s="316">
        <v>0.32724517533300007</v>
      </c>
      <c r="AW2435" s="314">
        <v>0</v>
      </c>
      <c r="AX2435" s="314">
        <v>0</v>
      </c>
      <c r="AY2435" s="316">
        <v>27.7536253932</v>
      </c>
      <c r="AZ2435" s="33">
        <v>0</v>
      </c>
      <c r="BA2435" s="33">
        <v>0</v>
      </c>
      <c r="BB2435" s="33">
        <v>0</v>
      </c>
      <c r="BC2435" s="33">
        <v>3.1837997350800001E-3</v>
      </c>
      <c r="BD2435" s="33">
        <v>6.6241565037900005E-5</v>
      </c>
      <c r="BE2435" s="33">
        <v>1.6581590878500001</v>
      </c>
      <c r="BF2435" s="33">
        <v>1.7165270552400001E-4</v>
      </c>
      <c r="BG2435" s="33">
        <v>0</v>
      </c>
      <c r="BH2435" s="33">
        <v>0</v>
      </c>
      <c r="BI2435" s="33">
        <v>0</v>
      </c>
      <c r="BJ2435" s="33">
        <v>0</v>
      </c>
      <c r="BK2435" s="33">
        <v>0</v>
      </c>
      <c r="BL2435" s="62">
        <v>1</v>
      </c>
      <c r="BM2435" s="275">
        <v>3</v>
      </c>
      <c r="BN2435" s="62">
        <v>0.03</v>
      </c>
      <c r="BO2435" s="163" t="s">
        <v>786</v>
      </c>
      <c r="BP2435" s="33" t="s">
        <v>788</v>
      </c>
    </row>
    <row r="2436" spans="1:68">
      <c r="A2436" s="33" t="str">
        <f>Database_Productkaarten[[#This Row],[Product]]&amp;", "&amp;Database_Productkaarten[[#This Row],[Levensfase]]</f>
        <v>Brugdekplanken, Recycled Kunststof, 3x3m, A5</v>
      </c>
      <c r="B2436" s="33" t="s">
        <v>802</v>
      </c>
      <c r="C2436" s="33" t="s">
        <v>781</v>
      </c>
      <c r="D2436" s="33" t="s">
        <v>782</v>
      </c>
      <c r="E2436" s="33" t="s">
        <v>783</v>
      </c>
      <c r="F2436" s="33" t="s">
        <v>79</v>
      </c>
      <c r="G2436" s="33">
        <v>3</v>
      </c>
      <c r="H2436" s="33">
        <v>3</v>
      </c>
      <c r="I2436" s="33">
        <v>4.2000000000000003E-2</v>
      </c>
      <c r="L2436" s="33">
        <v>0.8</v>
      </c>
      <c r="M2436" s="269">
        <v>0.28727999999999998</v>
      </c>
      <c r="N2436" s="41">
        <f>('Processen Database'!B$373*4)+((SUM(N2431:N2435)+SUM(N2440:N2444))*0.03)</f>
        <v>46.966858318547203</v>
      </c>
      <c r="O2436" s="33">
        <v>50</v>
      </c>
      <c r="R2436" s="40">
        <v>5.1885719999999989</v>
      </c>
      <c r="AV2436" s="316"/>
      <c r="AW2436" s="314"/>
      <c r="AX2436" s="314"/>
      <c r="AY2436" s="316"/>
      <c r="BL2436" s="62">
        <v>1</v>
      </c>
      <c r="BM2436" s="275">
        <v>3</v>
      </c>
      <c r="BN2436" s="62">
        <v>0.03</v>
      </c>
      <c r="BO2436" t="s">
        <v>789</v>
      </c>
      <c r="BP2436" s="33" t="s">
        <v>791</v>
      </c>
    </row>
    <row r="2437" spans="1:68">
      <c r="A2437" s="33" t="str">
        <f>Database_Productkaarten[[#This Row],[Product]]&amp;", "&amp;Database_Productkaarten[[#This Row],[Levensfase]]</f>
        <v>Brugdekplanken, Recycled Kunststof, 3x3m, B1</v>
      </c>
      <c r="B2437" s="33" t="s">
        <v>802</v>
      </c>
      <c r="C2437" s="33" t="s">
        <v>781</v>
      </c>
      <c r="D2437" s="33" t="s">
        <v>782</v>
      </c>
      <c r="E2437" s="33" t="s">
        <v>783</v>
      </c>
      <c r="F2437" s="33" t="s">
        <v>80</v>
      </c>
      <c r="G2437" s="33">
        <v>3</v>
      </c>
      <c r="H2437" s="33">
        <v>3</v>
      </c>
      <c r="I2437" s="33">
        <v>4.2000000000000003E-2</v>
      </c>
      <c r="L2437" s="33">
        <v>0.8</v>
      </c>
      <c r="M2437" s="269">
        <v>0.28727999999999998</v>
      </c>
      <c r="N2437" s="41">
        <v>0</v>
      </c>
      <c r="O2437" s="33">
        <v>50</v>
      </c>
      <c r="R2437" s="33">
        <v>0</v>
      </c>
      <c r="AV2437" s="316"/>
      <c r="AW2437" s="314"/>
      <c r="AX2437" s="314"/>
      <c r="AY2437" s="316"/>
      <c r="BL2437" s="62">
        <v>1</v>
      </c>
      <c r="BM2437" s="275">
        <v>3</v>
      </c>
      <c r="BN2437" s="62">
        <v>0.03</v>
      </c>
    </row>
    <row r="2438" spans="1:68">
      <c r="A2438" s="33" t="str">
        <f>Database_Productkaarten[[#This Row],[Product]]&amp;", "&amp;Database_Productkaarten[[#This Row],[Levensfase]]</f>
        <v>Brugdekplanken, Recycled Kunststof, 3x3m, C1</v>
      </c>
      <c r="B2438" s="33" t="s">
        <v>802</v>
      </c>
      <c r="C2438" s="33" t="s">
        <v>781</v>
      </c>
      <c r="D2438" s="33" t="s">
        <v>782</v>
      </c>
      <c r="E2438" s="33" t="s">
        <v>783</v>
      </c>
      <c r="F2438" s="33" t="s">
        <v>83</v>
      </c>
      <c r="G2438" s="33">
        <v>3</v>
      </c>
      <c r="H2438" s="33">
        <v>3</v>
      </c>
      <c r="I2438" s="33">
        <v>4.2000000000000003E-2</v>
      </c>
      <c r="L2438" s="33">
        <v>0.8</v>
      </c>
      <c r="M2438" s="269">
        <v>0.28727999999999998</v>
      </c>
      <c r="N2438" s="41">
        <v>46.254693004661441</v>
      </c>
      <c r="O2438" s="33">
        <v>50</v>
      </c>
      <c r="P2438" s="40"/>
      <c r="R2438" s="33">
        <v>0</v>
      </c>
      <c r="AV2438" s="316"/>
      <c r="AW2438" s="314"/>
      <c r="AX2438" s="314"/>
      <c r="AY2438" s="316"/>
      <c r="BL2438" s="62">
        <v>1</v>
      </c>
      <c r="BM2438" s="275">
        <v>3</v>
      </c>
      <c r="BN2438" s="62">
        <v>0.03</v>
      </c>
      <c r="BO2438" t="s">
        <v>789</v>
      </c>
      <c r="BP2438" s="33" t="s">
        <v>791</v>
      </c>
    </row>
    <row r="2439" spans="1:68">
      <c r="A2439" s="33" t="str">
        <f>Database_Productkaarten[[#This Row],[Product]]&amp;", "&amp;Database_Productkaarten[[#This Row],[Levensfase]]</f>
        <v>Brugdekplanken, Recycled Kunststof, 3x3m, C2</v>
      </c>
      <c r="B2439" s="33" t="s">
        <v>802</v>
      </c>
      <c r="C2439" s="33" t="s">
        <v>781</v>
      </c>
      <c r="D2439" s="33" t="s">
        <v>782</v>
      </c>
      <c r="E2439" s="33" t="s">
        <v>783</v>
      </c>
      <c r="F2439" s="33" t="s">
        <v>84</v>
      </c>
      <c r="G2439" s="33">
        <v>3</v>
      </c>
      <c r="H2439" s="33">
        <v>3</v>
      </c>
      <c r="I2439" s="33">
        <v>4.2000000000000003E-2</v>
      </c>
      <c r="L2439" s="33">
        <v>0.8</v>
      </c>
      <c r="M2439" s="269">
        <v>0.28727999999999998</v>
      </c>
      <c r="N2439" s="41">
        <v>0.62144379619199996</v>
      </c>
      <c r="O2439" s="33">
        <v>50</v>
      </c>
      <c r="P2439" s="33">
        <v>1.3174351198019999E-4</v>
      </c>
      <c r="Q2439" s="33">
        <v>3.7915291594079997E-2</v>
      </c>
      <c r="R2439" s="33">
        <v>5.1560941078799996</v>
      </c>
      <c r="S2439" s="33">
        <v>9.1476141293700003E-7</v>
      </c>
      <c r="T2439" s="33">
        <v>3.1111301368079995E-3</v>
      </c>
      <c r="U2439" s="33">
        <v>2.2670815755060001E-2</v>
      </c>
      <c r="V2439" s="33">
        <v>4.4538934506299999E-3</v>
      </c>
      <c r="W2439" s="33">
        <v>2.1708392928839997</v>
      </c>
      <c r="X2439" s="33">
        <v>6.3375527579399987E-2</v>
      </c>
      <c r="Y2439" s="33">
        <v>227.96401415849999</v>
      </c>
      <c r="Z2439" s="33">
        <v>7.6725926254799992E-3</v>
      </c>
      <c r="AA2439" s="33">
        <v>5.2039490523299996</v>
      </c>
      <c r="AB2439" s="33">
        <v>5.1996399689699997</v>
      </c>
      <c r="AC2439" s="33">
        <v>2.4037939106189995E-3</v>
      </c>
      <c r="AD2439" s="33">
        <v>1.9053210816899998E-3</v>
      </c>
      <c r="AE2439" s="33">
        <v>1.1476847836529999E-6</v>
      </c>
      <c r="AF2439" s="33">
        <v>3.0156543115829999E-2</v>
      </c>
      <c r="AG2439" s="33">
        <v>5.2452035937899993E-5</v>
      </c>
      <c r="AH2439" s="33">
        <v>1.0626441913169998E-2</v>
      </c>
      <c r="AI2439" s="33">
        <v>0.11715776183069998</v>
      </c>
      <c r="AJ2439" s="33">
        <v>3.3449385957119999E-2</v>
      </c>
      <c r="AK2439" s="33">
        <v>1.317429995445E-4</v>
      </c>
      <c r="AL2439" s="33">
        <v>78.420897875699993</v>
      </c>
      <c r="AM2439" s="33">
        <v>0.28051957366649993</v>
      </c>
      <c r="AN2439" s="33">
        <v>4.6694370059099998E-7</v>
      </c>
      <c r="AO2439" s="33">
        <v>0.32857207941689998</v>
      </c>
      <c r="AP2439" s="33">
        <v>69.929553212100004</v>
      </c>
      <c r="AQ2439" s="33">
        <v>2.2689240322859997E-9</v>
      </c>
      <c r="AR2439" s="33">
        <v>7.6479872354999998E-8</v>
      </c>
      <c r="AS2439" s="33">
        <v>68.009653142099992</v>
      </c>
      <c r="AT2439" s="33">
        <v>0</v>
      </c>
      <c r="AU2439" s="33">
        <v>0</v>
      </c>
      <c r="AV2439" s="316">
        <v>0.98173552599899994</v>
      </c>
      <c r="AW2439" s="314">
        <v>0</v>
      </c>
      <c r="AX2439" s="314">
        <v>0</v>
      </c>
      <c r="AY2439" s="316">
        <v>83.26087617959999</v>
      </c>
      <c r="AZ2439" s="33">
        <v>0</v>
      </c>
      <c r="BA2439" s="33">
        <v>0</v>
      </c>
      <c r="BB2439" s="33">
        <v>0</v>
      </c>
      <c r="BC2439" s="33">
        <v>9.5513992052400007E-3</v>
      </c>
      <c r="BD2439" s="33">
        <v>1.987246951137E-4</v>
      </c>
      <c r="BE2439" s="33">
        <v>4.974477263549999</v>
      </c>
      <c r="BF2439" s="33">
        <v>5.1495811657200003E-4</v>
      </c>
      <c r="BG2439" s="33">
        <v>0</v>
      </c>
      <c r="BH2439" s="33">
        <v>0</v>
      </c>
      <c r="BI2439" s="33">
        <v>0</v>
      </c>
      <c r="BJ2439" s="33">
        <v>0</v>
      </c>
      <c r="BK2439" s="33">
        <v>0</v>
      </c>
      <c r="BL2439" s="62">
        <v>1</v>
      </c>
      <c r="BM2439" s="275">
        <v>3</v>
      </c>
      <c r="BN2439" s="62">
        <v>0.03</v>
      </c>
      <c r="BO2439" s="163" t="s">
        <v>786</v>
      </c>
      <c r="BP2439" s="33" t="s">
        <v>792</v>
      </c>
    </row>
    <row r="2440" spans="1:68">
      <c r="A2440" s="33" t="str">
        <f>Database_Productkaarten[[#This Row],[Product]]&amp;", "&amp;Database_Productkaarten[[#This Row],[Levensfase]]</f>
        <v>Brugdekplanken, Recycled Kunststof, 3x3m, C3</v>
      </c>
      <c r="B2440" s="33" t="s">
        <v>802</v>
      </c>
      <c r="C2440" s="33" t="s">
        <v>781</v>
      </c>
      <c r="D2440" s="33" t="s">
        <v>782</v>
      </c>
      <c r="E2440" s="33" t="s">
        <v>783</v>
      </c>
      <c r="F2440" s="33" t="s">
        <v>85</v>
      </c>
      <c r="G2440" s="33">
        <v>3</v>
      </c>
      <c r="H2440" s="33">
        <v>3</v>
      </c>
      <c r="I2440" s="33">
        <v>4.2000000000000003E-2</v>
      </c>
      <c r="L2440" s="33">
        <v>0.8</v>
      </c>
      <c r="M2440" s="269">
        <v>0.28727999999999998</v>
      </c>
      <c r="N2440" s="41">
        <v>2.5686</v>
      </c>
      <c r="O2440" s="33">
        <v>50</v>
      </c>
      <c r="R2440" s="40">
        <v>44.950499999999998</v>
      </c>
      <c r="AV2440" s="316"/>
      <c r="AW2440" s="314"/>
      <c r="AX2440" s="314"/>
      <c r="AY2440" s="316"/>
      <c r="BL2440" s="62">
        <v>1</v>
      </c>
      <c r="BM2440" s="275">
        <v>3</v>
      </c>
      <c r="BN2440" s="62">
        <v>0.03</v>
      </c>
    </row>
    <row r="2441" spans="1:68">
      <c r="A2441" s="33" t="str">
        <f>Database_Productkaarten[[#This Row],[Product]]&amp;", "&amp;Database_Productkaarten[[#This Row],[Levensfase]]</f>
        <v>Brugdekplanken, Recycled Kunststof, 3x3m, C4</v>
      </c>
      <c r="B2441" s="33" t="s">
        <v>802</v>
      </c>
      <c r="C2441" s="33" t="s">
        <v>781</v>
      </c>
      <c r="D2441" s="33" t="s">
        <v>782</v>
      </c>
      <c r="E2441" s="33" t="s">
        <v>783</v>
      </c>
      <c r="F2441" s="33" t="s">
        <v>86</v>
      </c>
      <c r="G2441" s="33">
        <v>3</v>
      </c>
      <c r="H2441" s="33">
        <v>3</v>
      </c>
      <c r="I2441" s="33">
        <v>4.2000000000000003E-2</v>
      </c>
      <c r="L2441" s="33">
        <v>0.8</v>
      </c>
      <c r="M2441" s="269">
        <v>0.28727999999999998</v>
      </c>
      <c r="N2441" s="41">
        <v>0</v>
      </c>
      <c r="O2441" s="33">
        <v>50</v>
      </c>
      <c r="R2441" s="33">
        <v>0</v>
      </c>
      <c r="AV2441" s="316"/>
      <c r="AW2441" s="314"/>
      <c r="AX2441" s="314"/>
      <c r="AY2441" s="316"/>
      <c r="BL2441" s="62">
        <v>1</v>
      </c>
      <c r="BM2441" s="275">
        <v>3</v>
      </c>
      <c r="BN2441" s="62">
        <v>0.03</v>
      </c>
    </row>
    <row r="2442" spans="1:68">
      <c r="A2442" s="33" t="str">
        <f>Database_Productkaarten[[#This Row],[Product]]&amp;", "&amp;Database_Productkaarten[[#This Row],[Levensfase]]</f>
        <v>Brugdekplanken, Recycled Kunststof, 3x3m, D</v>
      </c>
      <c r="B2442" s="33" t="str">
        <f>B2443</f>
        <v>Brugdekplanken, Recycled Kunststof, 3x3m</v>
      </c>
      <c r="C2442" s="33" t="str">
        <f>C2443</f>
        <v>Kleine Kunstwerken</v>
      </c>
      <c r="D2442" s="33" t="str">
        <f>D2443</f>
        <v>Brugdekplanken</v>
      </c>
      <c r="E2442" s="33" t="str">
        <f>E2443</f>
        <v>Stuk</v>
      </c>
      <c r="F2442" s="33" t="s">
        <v>89</v>
      </c>
      <c r="G2442" s="33">
        <f t="shared" ref="G2442:M2442" si="912">G2443</f>
        <v>3</v>
      </c>
      <c r="H2442" s="33">
        <f t="shared" si="912"/>
        <v>3</v>
      </c>
      <c r="I2442" s="33">
        <f t="shared" si="912"/>
        <v>4.2000000000000003E-2</v>
      </c>
      <c r="J2442" s="33">
        <f t="shared" si="912"/>
        <v>0</v>
      </c>
      <c r="K2442" s="33">
        <f t="shared" si="912"/>
        <v>0</v>
      </c>
      <c r="L2442" s="33">
        <f t="shared" si="912"/>
        <v>0.8</v>
      </c>
      <c r="M2442" s="45">
        <f t="shared" si="912"/>
        <v>0.28727999999999998</v>
      </c>
      <c r="N2442" s="41">
        <f>SUM(N2443:N2444)</f>
        <v>0</v>
      </c>
      <c r="O2442" s="33">
        <f>O2443</f>
        <v>50</v>
      </c>
      <c r="P2442" s="40">
        <f>SUM(P2443:P2444)</f>
        <v>0</v>
      </c>
      <c r="Q2442" s="40">
        <f>SUM(Q2443:Q2444)</f>
        <v>0</v>
      </c>
      <c r="R2442" s="40">
        <f>SUM(R2443:R2444)</f>
        <v>-5.5995479999999995</v>
      </c>
      <c r="S2442" s="40">
        <f t="shared" ref="S2442:BK2442" si="913">SUM(S2443:S2444)</f>
        <v>0</v>
      </c>
      <c r="T2442" s="40">
        <f t="shared" si="913"/>
        <v>0</v>
      </c>
      <c r="U2442" s="40">
        <f t="shared" si="913"/>
        <v>0</v>
      </c>
      <c r="V2442" s="40">
        <f t="shared" si="913"/>
        <v>0</v>
      </c>
      <c r="W2442" s="40">
        <f t="shared" si="913"/>
        <v>0</v>
      </c>
      <c r="X2442" s="40">
        <f t="shared" si="913"/>
        <v>0</v>
      </c>
      <c r="Y2442" s="40">
        <f t="shared" si="913"/>
        <v>0</v>
      </c>
      <c r="Z2442" s="40">
        <f t="shared" si="913"/>
        <v>0</v>
      </c>
      <c r="AA2442" s="40">
        <f t="shared" si="913"/>
        <v>0</v>
      </c>
      <c r="AB2442" s="40">
        <f t="shared" si="913"/>
        <v>0</v>
      </c>
      <c r="AC2442" s="40">
        <f t="shared" si="913"/>
        <v>0</v>
      </c>
      <c r="AD2442" s="40">
        <f t="shared" si="913"/>
        <v>0</v>
      </c>
      <c r="AE2442" s="40">
        <f t="shared" si="913"/>
        <v>0</v>
      </c>
      <c r="AF2442" s="40">
        <f t="shared" si="913"/>
        <v>0</v>
      </c>
      <c r="AG2442" s="40">
        <f t="shared" si="913"/>
        <v>0</v>
      </c>
      <c r="AH2442" s="40">
        <f t="shared" si="913"/>
        <v>0</v>
      </c>
      <c r="AI2442" s="40">
        <f t="shared" si="913"/>
        <v>0</v>
      </c>
      <c r="AJ2442" s="40">
        <f t="shared" si="913"/>
        <v>0</v>
      </c>
      <c r="AK2442" s="40">
        <f t="shared" si="913"/>
        <v>0</v>
      </c>
      <c r="AL2442" s="40">
        <f t="shared" si="913"/>
        <v>0</v>
      </c>
      <c r="AM2442" s="40">
        <f t="shared" si="913"/>
        <v>0</v>
      </c>
      <c r="AN2442" s="40">
        <f t="shared" si="913"/>
        <v>0</v>
      </c>
      <c r="AO2442" s="40">
        <f t="shared" si="913"/>
        <v>0</v>
      </c>
      <c r="AP2442" s="40">
        <f t="shared" si="913"/>
        <v>0</v>
      </c>
      <c r="AQ2442" s="40">
        <f t="shared" si="913"/>
        <v>0</v>
      </c>
      <c r="AR2442" s="40">
        <f t="shared" si="913"/>
        <v>0</v>
      </c>
      <c r="AS2442" s="40">
        <f t="shared" si="913"/>
        <v>0</v>
      </c>
      <c r="AT2442" s="40">
        <f t="shared" si="913"/>
        <v>0</v>
      </c>
      <c r="AU2442" s="40">
        <f t="shared" si="913"/>
        <v>0</v>
      </c>
      <c r="AV2442" s="317">
        <f t="shared" si="913"/>
        <v>0</v>
      </c>
      <c r="AW2442" s="317">
        <f t="shared" si="913"/>
        <v>0</v>
      </c>
      <c r="AX2442" s="317">
        <f t="shared" si="913"/>
        <v>0</v>
      </c>
      <c r="AY2442" s="317">
        <f t="shared" si="913"/>
        <v>0</v>
      </c>
      <c r="AZ2442" s="40">
        <f t="shared" si="913"/>
        <v>0</v>
      </c>
      <c r="BA2442" s="40">
        <f t="shared" si="913"/>
        <v>0</v>
      </c>
      <c r="BB2442" s="40">
        <f t="shared" si="913"/>
        <v>0</v>
      </c>
      <c r="BC2442" s="40">
        <f t="shared" si="913"/>
        <v>0</v>
      </c>
      <c r="BD2442" s="40">
        <f t="shared" si="913"/>
        <v>0</v>
      </c>
      <c r="BE2442" s="40">
        <f t="shared" si="913"/>
        <v>0</v>
      </c>
      <c r="BF2442" s="40">
        <f t="shared" si="913"/>
        <v>0</v>
      </c>
      <c r="BG2442" s="40">
        <f t="shared" si="913"/>
        <v>0</v>
      </c>
      <c r="BH2442" s="40">
        <f t="shared" si="913"/>
        <v>0</v>
      </c>
      <c r="BI2442" s="40">
        <f t="shared" si="913"/>
        <v>0</v>
      </c>
      <c r="BJ2442" s="40">
        <f t="shared" si="913"/>
        <v>0</v>
      </c>
      <c r="BK2442" s="40">
        <f t="shared" si="913"/>
        <v>0</v>
      </c>
      <c r="BL2442" s="62">
        <f>BL2443</f>
        <v>1</v>
      </c>
      <c r="BM2442" s="275">
        <f>BM2443</f>
        <v>3</v>
      </c>
      <c r="BN2442" s="62">
        <v>0.03</v>
      </c>
      <c r="BO2442" s="33">
        <f>BO2443</f>
        <v>0</v>
      </c>
    </row>
    <row r="2443" spans="1:68">
      <c r="A2443" s="33" t="str">
        <f>Database_Productkaarten[[#This Row],[Product]]&amp;", "&amp;Database_Productkaarten[[#This Row],[Levensfase]]</f>
        <v>Brugdekplanken, Recycled Kunststof, 3x3m, D1</v>
      </c>
      <c r="B2443" s="33" t="s">
        <v>802</v>
      </c>
      <c r="C2443" s="33" t="s">
        <v>781</v>
      </c>
      <c r="D2443" s="33" t="s">
        <v>782</v>
      </c>
      <c r="E2443" s="33" t="s">
        <v>783</v>
      </c>
      <c r="F2443" s="33" t="s">
        <v>87</v>
      </c>
      <c r="G2443" s="33">
        <v>3</v>
      </c>
      <c r="H2443" s="33">
        <v>3</v>
      </c>
      <c r="I2443" s="33">
        <v>4.2000000000000003E-2</v>
      </c>
      <c r="L2443" s="33">
        <v>0.8</v>
      </c>
      <c r="M2443" s="269">
        <v>0.28727999999999998</v>
      </c>
      <c r="N2443" s="41">
        <v>0</v>
      </c>
      <c r="O2443" s="33">
        <v>50</v>
      </c>
      <c r="R2443" s="40">
        <v>-5.5995479999999995</v>
      </c>
      <c r="AV2443" s="316"/>
      <c r="AW2443" s="314"/>
      <c r="AX2443" s="314"/>
      <c r="AY2443" s="316"/>
      <c r="BL2443" s="62">
        <v>1</v>
      </c>
      <c r="BM2443" s="275">
        <v>3</v>
      </c>
      <c r="BN2443" s="62">
        <v>0.03</v>
      </c>
    </row>
    <row r="2444" spans="1:68">
      <c r="A2444" s="33" t="str">
        <f>Database_Productkaarten[[#This Row],[Product]]&amp;", "&amp;Database_Productkaarten[[#This Row],[Levensfase]]</f>
        <v>Brugdekplanken, Recycled Kunststof, 3x3m, D2</v>
      </c>
      <c r="B2444" s="33" t="s">
        <v>802</v>
      </c>
      <c r="C2444" s="33" t="s">
        <v>781</v>
      </c>
      <c r="D2444" s="33" t="s">
        <v>782</v>
      </c>
      <c r="E2444" s="33" t="s">
        <v>783</v>
      </c>
      <c r="F2444" s="33" t="s">
        <v>88</v>
      </c>
      <c r="G2444" s="33">
        <v>3</v>
      </c>
      <c r="H2444" s="33">
        <v>3</v>
      </c>
      <c r="I2444" s="33">
        <v>4.2000000000000003E-2</v>
      </c>
      <c r="L2444" s="33">
        <v>0.8</v>
      </c>
      <c r="M2444" s="269">
        <v>0.28727999999999998</v>
      </c>
      <c r="N2444" s="41"/>
      <c r="O2444" s="33">
        <v>50</v>
      </c>
      <c r="AV2444" s="316"/>
      <c r="AW2444" s="314"/>
      <c r="AX2444" s="314"/>
      <c r="AY2444" s="316"/>
      <c r="BL2444" s="62">
        <v>1</v>
      </c>
      <c r="BM2444" s="275">
        <v>3</v>
      </c>
      <c r="BN2444" s="62">
        <v>0.03</v>
      </c>
    </row>
    <row r="2445" spans="1:68">
      <c r="A2445" s="33" t="str">
        <f>Database_Productkaarten[[#This Row],[Product]]&amp;", "&amp;Database_Productkaarten[[#This Row],[Levensfase]]</f>
        <v>Totaalproduct, Stalen Speeltoestel, Totaal</v>
      </c>
      <c r="B2445" s="33" t="s">
        <v>805</v>
      </c>
      <c r="C2445" s="33" t="s">
        <v>806</v>
      </c>
      <c r="D2445" s="33" t="s">
        <v>807</v>
      </c>
      <c r="E2445" s="33" t="s">
        <v>783</v>
      </c>
      <c r="F2445" s="33" t="s">
        <v>90</v>
      </c>
      <c r="G2445" s="33" t="s">
        <v>737</v>
      </c>
      <c r="H2445" s="33" t="s">
        <v>737</v>
      </c>
      <c r="I2445" s="33" t="s">
        <v>737</v>
      </c>
      <c r="J2445" s="33" t="s">
        <v>737</v>
      </c>
      <c r="K2445" s="33" t="s">
        <v>737</v>
      </c>
      <c r="L2445" s="33" t="s">
        <v>737</v>
      </c>
      <c r="M2445" s="271">
        <f>107.4636/1000</f>
        <v>0.10746360000000001</v>
      </c>
      <c r="N2445" s="41">
        <v>112.95907995335651</v>
      </c>
      <c r="O2445" s="33">
        <v>15</v>
      </c>
      <c r="P2445" s="33">
        <v>0.33870507382630555</v>
      </c>
      <c r="Q2445" s="33">
        <v>2.510994424142214</v>
      </c>
      <c r="R2445" s="33">
        <v>393.77051207770387</v>
      </c>
      <c r="S2445" s="33">
        <v>2.8505820289108078E-5</v>
      </c>
      <c r="T2445" s="33">
        <v>0.17153906577010508</v>
      </c>
      <c r="U2445" s="33">
        <v>2.3823254347026039</v>
      </c>
      <c r="V2445" s="33">
        <v>0.45536537444056269</v>
      </c>
      <c r="W2445" s="33">
        <v>532.13915315822953</v>
      </c>
      <c r="X2445" s="33">
        <v>8.5315143353091347</v>
      </c>
      <c r="Y2445" s="33">
        <v>13023.043171248777</v>
      </c>
      <c r="Z2445" s="33">
        <v>8.1050602955406905</v>
      </c>
      <c r="AA2445" s="33">
        <v>403.45298332207807</v>
      </c>
      <c r="AB2445" s="33">
        <v>401.3191062379878</v>
      </c>
      <c r="AC2445" s="33">
        <v>1.3593638928365999</v>
      </c>
      <c r="AD2445" s="33">
        <v>1.0898411054013863</v>
      </c>
      <c r="AE2445" s="33">
        <v>3.1882025304003715E-5</v>
      </c>
      <c r="AF2445" s="33">
        <v>3.5370252996439904</v>
      </c>
      <c r="AG2445" s="33">
        <v>2.0841975551940575E-2</v>
      </c>
      <c r="AH2445" s="33">
        <v>0.45681108034806056</v>
      </c>
      <c r="AI2445" s="33">
        <v>11.978038591587358</v>
      </c>
      <c r="AJ2445" s="33">
        <v>1.2654016840056768</v>
      </c>
      <c r="AK2445" s="33">
        <v>0.33862033864855279</v>
      </c>
      <c r="AL2445" s="33">
        <v>4985.991477625902</v>
      </c>
      <c r="AM2445" s="33">
        <v>139.17345668271162</v>
      </c>
      <c r="AN2445" s="33">
        <v>3.1916372458102931E-5</v>
      </c>
      <c r="AO2445" s="33">
        <v>15.46369654836448</v>
      </c>
      <c r="AP2445" s="33">
        <v>10580.250958982866</v>
      </c>
      <c r="AQ2445" s="33">
        <v>1.6063761782047816E-6</v>
      </c>
      <c r="AR2445" s="33">
        <v>3.633363118128325E-5</v>
      </c>
      <c r="AS2445" s="33">
        <v>1434.0096648297322</v>
      </c>
      <c r="AT2445" s="33">
        <v>3.36263818176</v>
      </c>
      <c r="AU2445" s="33">
        <v>0</v>
      </c>
      <c r="AV2445" s="316">
        <v>328.16650578244986</v>
      </c>
      <c r="AW2445" s="314">
        <v>0.29461247562239995</v>
      </c>
      <c r="AX2445" s="314">
        <v>4.1378688000000003E-4</v>
      </c>
      <c r="AY2445" s="316">
        <v>5348.1026396372417</v>
      </c>
      <c r="AZ2445" s="33">
        <v>4.1027351040000005E-4</v>
      </c>
      <c r="BA2445" s="33">
        <v>0</v>
      </c>
      <c r="BB2445" s="33">
        <v>0</v>
      </c>
      <c r="BC2445" s="33">
        <v>4.6175171571577565</v>
      </c>
      <c r="BD2445" s="33">
        <v>5.1737034515809716E-2</v>
      </c>
      <c r="BE2445" s="33">
        <v>107.41046077865307</v>
      </c>
      <c r="BF2445" s="33">
        <v>1.5516939985475793E-2</v>
      </c>
      <c r="BG2445" s="33">
        <v>0</v>
      </c>
      <c r="BH2445" s="33">
        <v>0</v>
      </c>
      <c r="BI2445" s="33">
        <v>0</v>
      </c>
      <c r="BJ2445" s="33">
        <v>0</v>
      </c>
      <c r="BK2445" s="33">
        <v>0</v>
      </c>
      <c r="BL2445" s="62">
        <v>0.36330444243446147</v>
      </c>
      <c r="BM2445" s="275">
        <v>3</v>
      </c>
      <c r="BN2445" s="62">
        <v>0.05</v>
      </c>
      <c r="BO2445" s="33" t="s">
        <v>753</v>
      </c>
    </row>
    <row r="2446" spans="1:68">
      <c r="A2446" s="33" t="str">
        <f>Database_Productkaarten[[#This Row],[Product]]&amp;", "&amp;Database_Productkaarten[[#This Row],[Levensfase]]</f>
        <v>Totaalproduct, Stalen Speeltoestel, A1</v>
      </c>
      <c r="B2446" s="33" t="s">
        <v>805</v>
      </c>
      <c r="C2446" s="33" t="s">
        <v>806</v>
      </c>
      <c r="D2446" s="33" t="s">
        <v>807</v>
      </c>
      <c r="E2446" s="33" t="s">
        <v>783</v>
      </c>
      <c r="F2446" s="33" t="s">
        <v>74</v>
      </c>
      <c r="G2446" s="33" t="s">
        <v>737</v>
      </c>
      <c r="H2446" s="33" t="s">
        <v>737</v>
      </c>
      <c r="I2446" s="33" t="s">
        <v>737</v>
      </c>
      <c r="J2446" s="33" t="s">
        <v>737</v>
      </c>
      <c r="K2446" s="33" t="s">
        <v>737</v>
      </c>
      <c r="L2446" s="33" t="s">
        <v>737</v>
      </c>
      <c r="M2446" s="271">
        <f t="shared" ref="M2446:M2456" si="914">107.4636/1000</f>
        <v>0.10746360000000001</v>
      </c>
      <c r="N2446" s="41">
        <v>111.03546347454001</v>
      </c>
      <c r="O2446" s="33">
        <v>15</v>
      </c>
      <c r="P2446" s="33">
        <v>0.38154361065999998</v>
      </c>
      <c r="Q2446" s="33">
        <v>2.5768454242400001</v>
      </c>
      <c r="R2446" s="33">
        <v>354.06130317200001</v>
      </c>
      <c r="S2446" s="33">
        <v>1.8179349200000001E-5</v>
      </c>
      <c r="T2446" s="33">
        <v>0.29988498537999997</v>
      </c>
      <c r="U2446" s="33">
        <v>2.3349643026</v>
      </c>
      <c r="V2446" s="33">
        <v>0.42651710767999995</v>
      </c>
      <c r="W2446" s="33">
        <v>548.73580846822006</v>
      </c>
      <c r="X2446" s="33">
        <v>7.3564046676400006</v>
      </c>
      <c r="Y2446" s="33">
        <v>10254.082433144</v>
      </c>
      <c r="Z2446" s="33">
        <v>4.2507670612599995</v>
      </c>
      <c r="AA2446" s="33">
        <v>369.6110744138</v>
      </c>
      <c r="AB2446" s="33">
        <v>368.01780409079998</v>
      </c>
      <c r="AC2446" s="33">
        <v>0.59041703157999992</v>
      </c>
      <c r="AD2446" s="33">
        <v>0.99406436216000005</v>
      </c>
      <c r="AE2446" s="33">
        <v>1.8661237200000001E-5</v>
      </c>
      <c r="AF2446" s="33">
        <v>3.4651927954199997</v>
      </c>
      <c r="AG2446" s="33">
        <v>1.8629517920000001E-2</v>
      </c>
      <c r="AH2446" s="33">
        <v>0.41174356868</v>
      </c>
      <c r="AI2446" s="33">
        <v>11.50714608216</v>
      </c>
      <c r="AJ2446" s="33">
        <v>1.3947082207799999</v>
      </c>
      <c r="AK2446" s="33">
        <v>0.38154273208</v>
      </c>
      <c r="AL2446" s="33">
        <v>4745.3687553</v>
      </c>
      <c r="AM2446" s="33">
        <v>154.51973305600004</v>
      </c>
      <c r="AN2446" s="33">
        <v>3.3707352000000004E-5</v>
      </c>
      <c r="AO2446" s="33">
        <v>8.477083240979999</v>
      </c>
      <c r="AP2446" s="33">
        <v>11953.792248117998</v>
      </c>
      <c r="AQ2446" s="33">
        <v>1.5329024159999998E-6</v>
      </c>
      <c r="AR2446" s="33">
        <v>2.0968943199999999E-5</v>
      </c>
      <c r="AS2446" s="33">
        <v>995.10041967420011</v>
      </c>
      <c r="AT2446" s="33">
        <v>0</v>
      </c>
      <c r="AU2446" s="33">
        <v>0</v>
      </c>
      <c r="AV2446" s="316">
        <v>274.70796863856003</v>
      </c>
      <c r="AW2446" s="314">
        <v>0</v>
      </c>
      <c r="AX2446" s="314">
        <v>0</v>
      </c>
      <c r="AY2446" s="316">
        <v>5083.934947322</v>
      </c>
      <c r="AZ2446" s="33">
        <v>0</v>
      </c>
      <c r="BA2446" s="33">
        <v>0</v>
      </c>
      <c r="BB2446" s="33">
        <v>0</v>
      </c>
      <c r="BC2446" s="33">
        <v>4.2342389234400004</v>
      </c>
      <c r="BD2446" s="33">
        <v>5.8097510940000006E-2</v>
      </c>
      <c r="BE2446" s="33">
        <v>79.69020082002001</v>
      </c>
      <c r="BF2446" s="33">
        <v>7.5081526000000008E-3</v>
      </c>
      <c r="BG2446" s="33">
        <v>0</v>
      </c>
      <c r="BH2446" s="33">
        <v>0</v>
      </c>
      <c r="BI2446" s="33">
        <v>0</v>
      </c>
      <c r="BJ2446" s="33">
        <v>0</v>
      </c>
      <c r="BK2446" s="33">
        <v>0</v>
      </c>
      <c r="BL2446" s="62">
        <v>0.36330444243446147</v>
      </c>
      <c r="BM2446" s="275">
        <v>3</v>
      </c>
      <c r="BN2446" s="62">
        <v>0.05</v>
      </c>
      <c r="BO2446" s="33" t="s">
        <v>753</v>
      </c>
    </row>
    <row r="2447" spans="1:68">
      <c r="A2447" s="33" t="str">
        <f>Database_Productkaarten[[#This Row],[Product]]&amp;", "&amp;Database_Productkaarten[[#This Row],[Levensfase]]</f>
        <v>Totaalproduct, Stalen Speeltoestel, A2</v>
      </c>
      <c r="B2447" s="33" t="s">
        <v>805</v>
      </c>
      <c r="C2447" s="33" t="s">
        <v>806</v>
      </c>
      <c r="D2447" s="33" t="s">
        <v>807</v>
      </c>
      <c r="E2447" s="33" t="s">
        <v>783</v>
      </c>
      <c r="F2447" s="33" t="s">
        <v>75</v>
      </c>
      <c r="G2447" s="33" t="s">
        <v>737</v>
      </c>
      <c r="H2447" s="33" t="s">
        <v>737</v>
      </c>
      <c r="I2447" s="33" t="s">
        <v>737</v>
      </c>
      <c r="J2447" s="33" t="s">
        <v>737</v>
      </c>
      <c r="K2447" s="33" t="s">
        <v>737</v>
      </c>
      <c r="L2447" s="33" t="s">
        <v>737</v>
      </c>
      <c r="M2447" s="271">
        <f t="shared" si="914"/>
        <v>0.10746360000000001</v>
      </c>
      <c r="N2447" s="41">
        <v>0.43145610734573997</v>
      </c>
      <c r="O2447" s="33">
        <v>15</v>
      </c>
      <c r="P2447" s="33">
        <v>8.3427114497579996E-5</v>
      </c>
      <c r="Q2447" s="33">
        <v>2.7814107431282757E-2</v>
      </c>
      <c r="R2447" s="33">
        <v>4.6266052263815993</v>
      </c>
      <c r="S2447" s="33">
        <v>7.0524632509674371E-7</v>
      </c>
      <c r="T2447" s="33">
        <v>2.2681814004998947E-3</v>
      </c>
      <c r="U2447" s="33">
        <v>9.7948275135389014E-3</v>
      </c>
      <c r="V2447" s="33">
        <v>1.5953362463232033E-3</v>
      </c>
      <c r="W2447" s="33">
        <v>0.80068617740889392</v>
      </c>
      <c r="X2447" s="33">
        <v>3.3648921106318508E-2</v>
      </c>
      <c r="Y2447" s="33">
        <v>91.10858263163999</v>
      </c>
      <c r="Z2447" s="33">
        <v>4.5225793375024996E-3</v>
      </c>
      <c r="AA2447" s="33">
        <v>3.7548607887357117</v>
      </c>
      <c r="AB2447" s="33">
        <v>3.7521166180878001</v>
      </c>
      <c r="AC2447" s="33">
        <v>1.8086267962151997E-3</v>
      </c>
      <c r="AD2447" s="33">
        <v>9.3556847803408531E-4</v>
      </c>
      <c r="AE2447" s="33">
        <v>8.8605651549779998E-7</v>
      </c>
      <c r="AF2447" s="33">
        <v>1.2060925453872001E-2</v>
      </c>
      <c r="AG2447" s="33">
        <v>2.6136357528114002E-5</v>
      </c>
      <c r="AH2447" s="33">
        <v>2.7703260580806003E-3</v>
      </c>
      <c r="AI2447" s="33">
        <v>3.1182400558313998E-2</v>
      </c>
      <c r="AJ2447" s="33">
        <v>1.1672833719761997E-2</v>
      </c>
      <c r="AK2447" s="33">
        <v>6.394722709734E-5</v>
      </c>
      <c r="AL2447" s="33">
        <v>58.318956886860001</v>
      </c>
      <c r="AM2447" s="33">
        <v>0.2476629418122</v>
      </c>
      <c r="AN2447" s="33">
        <v>2.6036043334343996E-7</v>
      </c>
      <c r="AO2447" s="33">
        <v>0.25040497705595999</v>
      </c>
      <c r="AP2447" s="33">
        <v>42.533774166779999</v>
      </c>
      <c r="AQ2447" s="33">
        <v>1.0764091694951998E-9</v>
      </c>
      <c r="AR2447" s="33">
        <v>3.4317893222208002E-8</v>
      </c>
      <c r="AS2447" s="33">
        <v>66.670629885179991</v>
      </c>
      <c r="AT2447" s="33">
        <v>0</v>
      </c>
      <c r="AU2447" s="33">
        <v>0</v>
      </c>
      <c r="AV2447" s="316">
        <v>0.5976756031878</v>
      </c>
      <c r="AW2447" s="314">
        <v>0</v>
      </c>
      <c r="AX2447" s="314">
        <v>0</v>
      </c>
      <c r="AY2447" s="316">
        <v>61.940189521800001</v>
      </c>
      <c r="AZ2447" s="33">
        <v>0</v>
      </c>
      <c r="BA2447" s="33">
        <v>0</v>
      </c>
      <c r="BB2447" s="33">
        <v>0</v>
      </c>
      <c r="BC2447" s="33">
        <v>7.4484062137619989E-3</v>
      </c>
      <c r="BD2447" s="33">
        <v>1.4414131325844E-4</v>
      </c>
      <c r="BE2447" s="33">
        <v>5.0697491648220003</v>
      </c>
      <c r="BF2447" s="33">
        <v>3.9604964203025995E-4</v>
      </c>
      <c r="BG2447" s="33">
        <v>0</v>
      </c>
      <c r="BH2447" s="33">
        <v>0</v>
      </c>
      <c r="BI2447" s="33">
        <v>0</v>
      </c>
      <c r="BJ2447" s="33">
        <v>0</v>
      </c>
      <c r="BK2447" s="33">
        <v>0</v>
      </c>
      <c r="BL2447" s="62">
        <v>0.36330444243446147</v>
      </c>
      <c r="BM2447" s="275">
        <v>3</v>
      </c>
      <c r="BN2447" s="62">
        <v>0.05</v>
      </c>
      <c r="BO2447" s="33" t="s">
        <v>753</v>
      </c>
      <c r="BP2447" s="33" t="s">
        <v>808</v>
      </c>
    </row>
    <row r="2448" spans="1:68">
      <c r="A2448" s="33" t="str">
        <f>Database_Productkaarten[[#This Row],[Product]]&amp;", "&amp;Database_Productkaarten[[#This Row],[Levensfase]]</f>
        <v>Totaalproduct, Stalen Speeltoestel, A3</v>
      </c>
      <c r="B2448" s="33" t="s">
        <v>805</v>
      </c>
      <c r="C2448" s="33" t="s">
        <v>806</v>
      </c>
      <c r="D2448" s="33" t="s">
        <v>807</v>
      </c>
      <c r="E2448" s="33" t="s">
        <v>783</v>
      </c>
      <c r="F2448" s="33" t="s">
        <v>76</v>
      </c>
      <c r="G2448" s="33" t="s">
        <v>737</v>
      </c>
      <c r="H2448" s="33" t="s">
        <v>737</v>
      </c>
      <c r="I2448" s="33" t="s">
        <v>737</v>
      </c>
      <c r="J2448" s="33" t="s">
        <v>737</v>
      </c>
      <c r="K2448" s="33" t="s">
        <v>737</v>
      </c>
      <c r="L2448" s="33" t="s">
        <v>737</v>
      </c>
      <c r="M2448" s="271">
        <f t="shared" si="914"/>
        <v>0.10746360000000001</v>
      </c>
      <c r="N2448" s="41">
        <v>2.4168944104000003</v>
      </c>
      <c r="O2448" s="33">
        <v>15</v>
      </c>
      <c r="P2448" s="33">
        <v>2.3061369999999998E-4</v>
      </c>
      <c r="Q2448" s="33">
        <v>0.17098074799999999</v>
      </c>
      <c r="R2448" s="33">
        <v>27.377393464000001</v>
      </c>
      <c r="S2448" s="33">
        <v>1.3852000000000003E-6</v>
      </c>
      <c r="T2448" s="33">
        <v>5.3797480000000002E-3</v>
      </c>
      <c r="U2448" s="33">
        <v>0.1055096445</v>
      </c>
      <c r="V2448" s="33">
        <v>2.0830039099999999E-2</v>
      </c>
      <c r="W2448" s="33">
        <v>3.631593895</v>
      </c>
      <c r="X2448" s="33">
        <v>0.13372079979999998</v>
      </c>
      <c r="Y2448" s="33">
        <v>633.41007643</v>
      </c>
      <c r="Z2448" s="33">
        <v>0.10281597940000001</v>
      </c>
      <c r="AA2448" s="33">
        <v>27.70727346</v>
      </c>
      <c r="AB2448" s="33">
        <v>27.517681675000002</v>
      </c>
      <c r="AC2448" s="33">
        <v>0.16319323250000001</v>
      </c>
      <c r="AD2448" s="33">
        <v>2.6879320399999997E-2</v>
      </c>
      <c r="AE2448" s="33">
        <v>1.0154000000000001E-6</v>
      </c>
      <c r="AF2448" s="33">
        <v>0.12634860220000002</v>
      </c>
      <c r="AG2448" s="33">
        <v>4.3817789999999997E-3</v>
      </c>
      <c r="AH2448" s="33">
        <v>2.0686562200000001E-2</v>
      </c>
      <c r="AI2448" s="33">
        <v>0.23347140330000002</v>
      </c>
      <c r="AJ2448" s="33">
        <v>6.1872175200000004E-2</v>
      </c>
      <c r="AK2448" s="33">
        <v>2.3061369999999998E-4</v>
      </c>
      <c r="AL2448" s="33">
        <v>358.82234383999997</v>
      </c>
      <c r="AM2448" s="33">
        <v>4.4158819926000001</v>
      </c>
      <c r="AN2448" s="33">
        <v>3.6566599999999996E-7</v>
      </c>
      <c r="AO2448" s="33">
        <v>1.9916295923</v>
      </c>
      <c r="AP2448" s="33">
        <v>217.82519199999999</v>
      </c>
      <c r="AQ2448" s="33">
        <v>7.0444999999999998E-9</v>
      </c>
      <c r="AR2448" s="33">
        <v>2.2807899999999999E-7</v>
      </c>
      <c r="AS2448" s="33">
        <v>58.529640495999999</v>
      </c>
      <c r="AT2448" s="33">
        <v>0</v>
      </c>
      <c r="AU2448" s="33">
        <v>0</v>
      </c>
      <c r="AV2448" s="316">
        <v>23.383968340999999</v>
      </c>
      <c r="AW2448" s="314">
        <v>0</v>
      </c>
      <c r="AX2448" s="314">
        <v>0</v>
      </c>
      <c r="AY2448" s="316">
        <v>383.8304349</v>
      </c>
      <c r="AZ2448" s="33">
        <v>0</v>
      </c>
      <c r="BA2448" s="33">
        <v>0</v>
      </c>
      <c r="BB2448" s="33">
        <v>0</v>
      </c>
      <c r="BC2448" s="33">
        <v>0.64339181010000002</v>
      </c>
      <c r="BD2448" s="33">
        <v>1.9580710000000002E-4</v>
      </c>
      <c r="BE2448" s="33">
        <v>2.3696802784999997</v>
      </c>
      <c r="BF2448" s="33">
        <v>1.6954451000000001E-3</v>
      </c>
      <c r="BG2448" s="33">
        <v>0</v>
      </c>
      <c r="BH2448" s="33">
        <v>0</v>
      </c>
      <c r="BI2448" s="33">
        <v>0</v>
      </c>
      <c r="BJ2448" s="33">
        <v>0</v>
      </c>
      <c r="BK2448" s="33">
        <v>0</v>
      </c>
      <c r="BL2448" s="62">
        <v>0.36330444243446147</v>
      </c>
      <c r="BM2448" s="275">
        <v>3</v>
      </c>
      <c r="BN2448" s="62">
        <v>0.05</v>
      </c>
      <c r="BO2448" s="33" t="s">
        <v>753</v>
      </c>
      <c r="BP2448" s="33" t="s">
        <v>809</v>
      </c>
    </row>
    <row r="2449" spans="1:68">
      <c r="A2449" s="451" t="str">
        <f>Database_Productkaarten[[#This Row],[Product]]&amp;", "&amp;Database_Productkaarten[[#This Row],[Levensfase]]</f>
        <v>Totaalproduct, Stalen Speeltoestel, A1-A3</v>
      </c>
      <c r="B2449" s="451" t="str">
        <f>B2448</f>
        <v>Totaalproduct, Stalen Speeltoestel</v>
      </c>
      <c r="C2449" s="451" t="str">
        <f>C2448</f>
        <v>Speeltoestel</v>
      </c>
      <c r="D2449" s="451" t="str">
        <f>D2448</f>
        <v>Stalen Speeltoestel</v>
      </c>
      <c r="E2449" s="451" t="str">
        <f>E2448</f>
        <v>Stuk</v>
      </c>
      <c r="F2449" s="451" t="s">
        <v>77</v>
      </c>
      <c r="G2449" s="451" t="str">
        <f t="shared" ref="G2449:M2449" si="915">G2448</f>
        <v>NVT</v>
      </c>
      <c r="H2449" s="451" t="str">
        <f t="shared" si="915"/>
        <v>NVT</v>
      </c>
      <c r="I2449" s="451" t="str">
        <f t="shared" si="915"/>
        <v>NVT</v>
      </c>
      <c r="J2449" s="451" t="str">
        <f t="shared" si="915"/>
        <v>NVT</v>
      </c>
      <c r="K2449" s="451" t="str">
        <f t="shared" si="915"/>
        <v>NVT</v>
      </c>
      <c r="L2449" s="451" t="str">
        <f t="shared" si="915"/>
        <v>NVT</v>
      </c>
      <c r="M2449" s="454">
        <f t="shared" si="915"/>
        <v>0.10746360000000001</v>
      </c>
      <c r="N2449" s="452">
        <f>SUM(N2446:N2448)</f>
        <v>113.88381399228575</v>
      </c>
      <c r="O2449" s="451">
        <f>O2448</f>
        <v>15</v>
      </c>
      <c r="P2449" s="453">
        <f t="shared" ref="P2449:BK2449" si="916">SUM(P2446:P2448)</f>
        <v>0.38185765147449757</v>
      </c>
      <c r="Q2449" s="453">
        <f t="shared" si="916"/>
        <v>2.7756402796712827</v>
      </c>
      <c r="R2449" s="453">
        <f t="shared" si="916"/>
        <v>386.06530186238166</v>
      </c>
      <c r="S2449" s="453">
        <f t="shared" si="916"/>
        <v>2.0269795525096747E-5</v>
      </c>
      <c r="T2449" s="453">
        <f t="shared" si="916"/>
        <v>0.30753291478049988</v>
      </c>
      <c r="U2449" s="453">
        <f t="shared" si="916"/>
        <v>2.450268774613539</v>
      </c>
      <c r="V2449" s="453">
        <f t="shared" si="916"/>
        <v>0.44894248302632311</v>
      </c>
      <c r="W2449" s="453">
        <f t="shared" si="916"/>
        <v>553.16808854062901</v>
      </c>
      <c r="X2449" s="453">
        <f t="shared" si="916"/>
        <v>7.5237743885463191</v>
      </c>
      <c r="Y2449" s="453">
        <f t="shared" si="916"/>
        <v>10978.601092205639</v>
      </c>
      <c r="Z2449" s="453">
        <f t="shared" si="916"/>
        <v>4.3581056199975015</v>
      </c>
      <c r="AA2449" s="453">
        <f t="shared" si="916"/>
        <v>401.07320866253571</v>
      </c>
      <c r="AB2449" s="453">
        <f t="shared" si="916"/>
        <v>399.28760238388782</v>
      </c>
      <c r="AC2449" s="453">
        <f t="shared" si="916"/>
        <v>0.75541889087621517</v>
      </c>
      <c r="AD2449" s="453">
        <f t="shared" si="916"/>
        <v>1.0218792510380341</v>
      </c>
      <c r="AE2449" s="453">
        <f t="shared" si="916"/>
        <v>2.05626937154978E-5</v>
      </c>
      <c r="AF2449" s="453">
        <f t="shared" si="916"/>
        <v>3.6036023230738721</v>
      </c>
      <c r="AG2449" s="453">
        <f t="shared" si="916"/>
        <v>2.3037433277528115E-2</v>
      </c>
      <c r="AH2449" s="453">
        <f t="shared" si="916"/>
        <v>0.43520045693808057</v>
      </c>
      <c r="AI2449" s="453">
        <f t="shared" si="916"/>
        <v>11.771799886018314</v>
      </c>
      <c r="AJ2449" s="453">
        <f t="shared" si="916"/>
        <v>1.4682532296997619</v>
      </c>
      <c r="AK2449" s="453">
        <f t="shared" si="916"/>
        <v>0.38183729300709734</v>
      </c>
      <c r="AL2449" s="453">
        <f t="shared" si="916"/>
        <v>5162.5100560268602</v>
      </c>
      <c r="AM2449" s="453">
        <f t="shared" si="916"/>
        <v>159.18327799041222</v>
      </c>
      <c r="AN2449" s="453">
        <f t="shared" si="916"/>
        <v>3.4333378433343444E-5</v>
      </c>
      <c r="AO2449" s="453">
        <f t="shared" si="916"/>
        <v>10.719117810335959</v>
      </c>
      <c r="AP2449" s="453">
        <f t="shared" si="916"/>
        <v>12214.151214284779</v>
      </c>
      <c r="AQ2449" s="453">
        <f t="shared" si="916"/>
        <v>1.5410233251694951E-6</v>
      </c>
      <c r="AR2449" s="453">
        <f t="shared" si="916"/>
        <v>2.1231340093222207E-5</v>
      </c>
      <c r="AS2449" s="453">
        <f t="shared" si="916"/>
        <v>1120.3006900553801</v>
      </c>
      <c r="AT2449" s="453">
        <f t="shared" si="916"/>
        <v>0</v>
      </c>
      <c r="AU2449" s="453">
        <f t="shared" si="916"/>
        <v>0</v>
      </c>
      <c r="AV2449" s="317">
        <f t="shared" si="916"/>
        <v>298.68961258274783</v>
      </c>
      <c r="AW2449" s="317">
        <f t="shared" si="916"/>
        <v>0</v>
      </c>
      <c r="AX2449" s="317">
        <f t="shared" si="916"/>
        <v>0</v>
      </c>
      <c r="AY2449" s="317">
        <f t="shared" si="916"/>
        <v>5529.7055717437997</v>
      </c>
      <c r="AZ2449" s="453">
        <f t="shared" si="916"/>
        <v>0</v>
      </c>
      <c r="BA2449" s="453">
        <f t="shared" si="916"/>
        <v>0</v>
      </c>
      <c r="BB2449" s="453">
        <f t="shared" si="916"/>
        <v>0</v>
      </c>
      <c r="BC2449" s="453">
        <f t="shared" si="916"/>
        <v>4.8850791397537625</v>
      </c>
      <c r="BD2449" s="453">
        <f t="shared" si="916"/>
        <v>5.8437459353258447E-2</v>
      </c>
      <c r="BE2449" s="453">
        <f t="shared" si="916"/>
        <v>87.129630263342008</v>
      </c>
      <c r="BF2449" s="453">
        <f t="shared" si="916"/>
        <v>9.5996473420302611E-3</v>
      </c>
      <c r="BG2449" s="453">
        <f t="shared" si="916"/>
        <v>0</v>
      </c>
      <c r="BH2449" s="453">
        <f t="shared" si="916"/>
        <v>0</v>
      </c>
      <c r="BI2449" s="453">
        <f t="shared" si="916"/>
        <v>0</v>
      </c>
      <c r="BJ2449" s="453">
        <f t="shared" si="916"/>
        <v>0</v>
      </c>
      <c r="BK2449" s="453">
        <f t="shared" si="916"/>
        <v>0</v>
      </c>
      <c r="BL2449" s="62">
        <f>BL2448</f>
        <v>0.36330444243446147</v>
      </c>
      <c r="BM2449" s="275">
        <f>BM2448</f>
        <v>3</v>
      </c>
      <c r="BN2449" s="62">
        <v>0.05</v>
      </c>
      <c r="BO2449" s="451" t="str">
        <f>BO2448</f>
        <v>Eigen berekening</v>
      </c>
      <c r="BP2449" s="451"/>
    </row>
    <row r="2450" spans="1:68">
      <c r="A2450" s="33" t="str">
        <f>Database_Productkaarten[[#This Row],[Product]]&amp;", "&amp;Database_Productkaarten[[#This Row],[Levensfase]]</f>
        <v>Totaalproduct, Stalen Speeltoestel, A4</v>
      </c>
      <c r="B2450" s="33" t="s">
        <v>805</v>
      </c>
      <c r="C2450" s="33" t="s">
        <v>806</v>
      </c>
      <c r="D2450" s="33" t="s">
        <v>807</v>
      </c>
      <c r="E2450" s="33" t="s">
        <v>783</v>
      </c>
      <c r="F2450" s="33" t="s">
        <v>78</v>
      </c>
      <c r="G2450" s="33" t="s">
        <v>737</v>
      </c>
      <c r="H2450" s="33" t="s">
        <v>737</v>
      </c>
      <c r="I2450" s="33" t="s">
        <v>737</v>
      </c>
      <c r="J2450" s="33" t="s">
        <v>737</v>
      </c>
      <c r="K2450" s="33" t="s">
        <v>737</v>
      </c>
      <c r="L2450" s="33" t="s">
        <v>737</v>
      </c>
      <c r="M2450" s="271">
        <f t="shared" si="914"/>
        <v>0.10746360000000001</v>
      </c>
      <c r="N2450" s="41">
        <v>0.90260617656728792</v>
      </c>
      <c r="O2450" s="33">
        <v>15</v>
      </c>
      <c r="P2450" s="33">
        <v>1.7452952352893736E-4</v>
      </c>
      <c r="Q2450" s="33">
        <v>7.5819316617280502E-2</v>
      </c>
      <c r="R2450" s="33">
        <v>10.16028799906317</v>
      </c>
      <c r="S2450" s="33">
        <v>1.9248030254985907E-6</v>
      </c>
      <c r="T2450" s="33">
        <v>6.1904635279852668E-3</v>
      </c>
      <c r="U2450" s="33">
        <v>2.644251075632649E-2</v>
      </c>
      <c r="V2450" s="33">
        <v>4.3540939534362621E-3</v>
      </c>
      <c r="W2450" s="33">
        <v>2.1852840438191734</v>
      </c>
      <c r="X2450" s="33">
        <v>9.1836674036497146E-2</v>
      </c>
      <c r="Y2450" s="33">
        <v>248.65938428769647</v>
      </c>
      <c r="Z2450" s="33">
        <v>1.2343313450526264E-2</v>
      </c>
      <c r="AA2450" s="33">
        <v>10.248006766779792</v>
      </c>
      <c r="AB2450" s="33">
        <v>10.240517205733989</v>
      </c>
      <c r="AC2450" s="33">
        <v>4.9362201953180055E-3</v>
      </c>
      <c r="AD2450" s="33">
        <v>2.5534134653583309E-3</v>
      </c>
      <c r="AE2450" s="33">
        <v>2.4182822432721092E-6</v>
      </c>
      <c r="AF2450" s="33">
        <v>3.29174509214471E-2</v>
      </c>
      <c r="AG2450" s="33">
        <v>7.1333022452343034E-5</v>
      </c>
      <c r="AH2450" s="33">
        <v>7.5609514710994388E-3</v>
      </c>
      <c r="AI2450" s="33">
        <v>8.5105006569929448E-2</v>
      </c>
      <c r="AJ2450" s="33">
        <v>3.1858246081864577E-2</v>
      </c>
      <c r="AK2450" s="33">
        <v>1.7452887156876886E-4</v>
      </c>
      <c r="AL2450" s="33">
        <v>159.16783570674551</v>
      </c>
      <c r="AM2450" s="33">
        <v>0.67593757737281024</v>
      </c>
      <c r="AN2450" s="33">
        <v>7.1059238524005383E-7</v>
      </c>
      <c r="AO2450" s="33">
        <v>0.68342131573986664</v>
      </c>
      <c r="AP2450" s="33">
        <v>116.08590310865496</v>
      </c>
      <c r="AQ2450" s="33">
        <v>2.9378049092309661E-9</v>
      </c>
      <c r="AR2450" s="33">
        <v>9.3662594150835451E-8</v>
      </c>
      <c r="AS2450" s="33">
        <v>181.96175704268376</v>
      </c>
      <c r="AT2450" s="33">
        <v>0</v>
      </c>
      <c r="AU2450" s="33">
        <v>0</v>
      </c>
      <c r="AV2450" s="316">
        <v>1.6312145705671894</v>
      </c>
      <c r="AW2450" s="314">
        <v>0</v>
      </c>
      <c r="AX2450" s="314">
        <v>0</v>
      </c>
      <c r="AY2450" s="316">
        <v>169.05113595527757</v>
      </c>
      <c r="AZ2450" s="33">
        <v>0</v>
      </c>
      <c r="BA2450" s="33">
        <v>0</v>
      </c>
      <c r="BB2450" s="33">
        <v>0</v>
      </c>
      <c r="BC2450" s="33">
        <v>2.0328667723072579E-2</v>
      </c>
      <c r="BD2450" s="33">
        <v>3.9339971240883397E-4</v>
      </c>
      <c r="BE2450" s="33">
        <v>13.836684419892501</v>
      </c>
      <c r="BF2450" s="33">
        <v>1.0809240720248742E-3</v>
      </c>
      <c r="BG2450" s="33">
        <v>0</v>
      </c>
      <c r="BH2450" s="33">
        <v>0</v>
      </c>
      <c r="BI2450" s="33">
        <v>0</v>
      </c>
      <c r="BJ2450" s="33">
        <v>0</v>
      </c>
      <c r="BK2450" s="33">
        <v>0</v>
      </c>
      <c r="BL2450" s="62">
        <v>0.36330444243446147</v>
      </c>
      <c r="BM2450" s="275">
        <v>3</v>
      </c>
      <c r="BN2450" s="62">
        <v>0.05</v>
      </c>
      <c r="BO2450" s="33" t="s">
        <v>753</v>
      </c>
    </row>
    <row r="2451" spans="1:68">
      <c r="A2451" s="33" t="str">
        <f>Database_Productkaarten[[#This Row],[Product]]&amp;", "&amp;Database_Productkaarten[[#This Row],[Levensfase]]</f>
        <v>Totaalproduct, Stalen Speeltoestel, A5</v>
      </c>
      <c r="B2451" s="33" t="s">
        <v>805</v>
      </c>
      <c r="C2451" s="33" t="s">
        <v>806</v>
      </c>
      <c r="D2451" s="33" t="s">
        <v>807</v>
      </c>
      <c r="E2451" s="33" t="s">
        <v>783</v>
      </c>
      <c r="F2451" s="33" t="s">
        <v>79</v>
      </c>
      <c r="G2451" s="33" t="s">
        <v>737</v>
      </c>
      <c r="H2451" s="33" t="s">
        <v>737</v>
      </c>
      <c r="I2451" s="33" t="s">
        <v>737</v>
      </c>
      <c r="J2451" s="33" t="s">
        <v>737</v>
      </c>
      <c r="K2451" s="33" t="s">
        <v>737</v>
      </c>
      <c r="L2451" s="33" t="s">
        <v>737</v>
      </c>
      <c r="M2451" s="271">
        <f t="shared" si="914"/>
        <v>0.10746360000000001</v>
      </c>
      <c r="N2451" s="41">
        <v>2.2456220605388735</v>
      </c>
      <c r="O2451" s="33">
        <v>15</v>
      </c>
      <c r="P2451" s="33">
        <v>4.2602423999999996E-5</v>
      </c>
      <c r="Q2451" s="33">
        <v>0.13007115171199998</v>
      </c>
      <c r="R2451" s="33">
        <v>19.0811929948608</v>
      </c>
      <c r="S2451" s="33">
        <v>3.3482681600000007E-6</v>
      </c>
      <c r="T2451" s="33">
        <v>5.9242333759999995E-3</v>
      </c>
      <c r="U2451" s="33">
        <v>6.4682698579200004E-2</v>
      </c>
      <c r="V2451" s="33">
        <v>1.28664163392E-2</v>
      </c>
      <c r="W2451" s="33">
        <v>5.8846298199999989</v>
      </c>
      <c r="X2451" s="33">
        <v>0.11300751720000002</v>
      </c>
      <c r="Y2451" s="33">
        <v>374.11071001855998</v>
      </c>
      <c r="Z2451" s="33">
        <v>5.877420039999999E-2</v>
      </c>
      <c r="AA2451" s="33">
        <v>19.1815584</v>
      </c>
      <c r="AB2451" s="33">
        <v>19.174163405472001</v>
      </c>
      <c r="AC2451" s="33">
        <v>2.2051952364799999E-2</v>
      </c>
      <c r="AD2451" s="33">
        <v>2.9471595071999999E-3</v>
      </c>
      <c r="AE2451" s="33">
        <v>4.1953355519999997E-6</v>
      </c>
      <c r="AF2451" s="33">
        <v>8.5906845295999984E-2</v>
      </c>
      <c r="AG2451" s="33">
        <v>1.2654713599999999E-4</v>
      </c>
      <c r="AH2451" s="33">
        <v>2.9664106489600002E-2</v>
      </c>
      <c r="AI2451" s="33">
        <v>0.32613147536639997</v>
      </c>
      <c r="AJ2451" s="33">
        <v>8.7554510545599984E-2</v>
      </c>
      <c r="AK2451" s="33">
        <v>4.2602423999999996E-5</v>
      </c>
      <c r="AL2451" s="33">
        <v>276.08015040000004</v>
      </c>
      <c r="AM2451" s="33">
        <v>0.55111278783039996</v>
      </c>
      <c r="AN2451" s="33">
        <v>3.0949569600000002E-7</v>
      </c>
      <c r="AO2451" s="33">
        <v>1.2010288586239999</v>
      </c>
      <c r="AP2451" s="33">
        <v>176.01932017663998</v>
      </c>
      <c r="AQ2451" s="33">
        <v>3.3539589120000004E-8</v>
      </c>
      <c r="AR2451" s="33">
        <v>2.8758628799999998E-7</v>
      </c>
      <c r="AS2451" s="33">
        <v>43.426269386720001</v>
      </c>
      <c r="AT2451" s="33">
        <v>1.68131909088</v>
      </c>
      <c r="AU2451" s="33">
        <v>0</v>
      </c>
      <c r="AV2451" s="316">
        <v>4.8674114228479999</v>
      </c>
      <c r="AW2451" s="314">
        <v>0.14730623781119997</v>
      </c>
      <c r="AX2451" s="314">
        <v>2.0689344000000002E-4</v>
      </c>
      <c r="AY2451" s="316">
        <v>293.27042779999999</v>
      </c>
      <c r="AZ2451" s="33">
        <v>2.0513675520000002E-4</v>
      </c>
      <c r="BA2451" s="33">
        <v>0</v>
      </c>
      <c r="BB2451" s="33">
        <v>0</v>
      </c>
      <c r="BC2451" s="33">
        <v>2.1990357907200001E-2</v>
      </c>
      <c r="BD2451" s="33">
        <v>7.3383993600000007E-4</v>
      </c>
      <c r="BE2451" s="33">
        <v>0.69060450859040001</v>
      </c>
      <c r="BF2451" s="33">
        <v>1.8788192224E-3</v>
      </c>
      <c r="BG2451" s="33">
        <v>0</v>
      </c>
      <c r="BH2451" s="33">
        <v>0</v>
      </c>
      <c r="BI2451" s="33">
        <v>0</v>
      </c>
      <c r="BJ2451" s="33">
        <v>0</v>
      </c>
      <c r="BK2451" s="33">
        <v>0</v>
      </c>
      <c r="BL2451" s="62">
        <v>0.36330444243446147</v>
      </c>
      <c r="BM2451" s="275">
        <v>3</v>
      </c>
      <c r="BN2451" s="62">
        <v>0.05</v>
      </c>
      <c r="BO2451" s="33" t="s">
        <v>753</v>
      </c>
      <c r="BP2451" s="33" t="s">
        <v>810</v>
      </c>
    </row>
    <row r="2452" spans="1:68">
      <c r="A2452" s="33" t="str">
        <f>Database_Productkaarten[[#This Row],[Product]]&amp;", "&amp;Database_Productkaarten[[#This Row],[Levensfase]]</f>
        <v>Totaalproduct, Stalen Speeltoestel, C1</v>
      </c>
      <c r="B2452" s="33" t="s">
        <v>805</v>
      </c>
      <c r="C2452" s="33" t="s">
        <v>806</v>
      </c>
      <c r="D2452" s="33" t="s">
        <v>807</v>
      </c>
      <c r="E2452" s="33" t="s">
        <v>783</v>
      </c>
      <c r="F2452" s="33" t="s">
        <v>83</v>
      </c>
      <c r="G2452" s="33" t="s">
        <v>737</v>
      </c>
      <c r="H2452" s="33" t="s">
        <v>737</v>
      </c>
      <c r="I2452" s="33" t="s">
        <v>737</v>
      </c>
      <c r="J2452" s="33" t="s">
        <v>737</v>
      </c>
      <c r="K2452" s="33" t="s">
        <v>737</v>
      </c>
      <c r="L2452" s="33" t="s">
        <v>737</v>
      </c>
      <c r="M2452" s="271">
        <f t="shared" si="914"/>
        <v>0.10746360000000001</v>
      </c>
      <c r="N2452" s="41">
        <v>2.2456220605388735</v>
      </c>
      <c r="O2452" s="33">
        <v>15</v>
      </c>
      <c r="P2452" s="33">
        <v>4.2602423999999996E-5</v>
      </c>
      <c r="Q2452" s="33">
        <v>0.13007115171199998</v>
      </c>
      <c r="R2452" s="33">
        <v>19.0811929948608</v>
      </c>
      <c r="S2452" s="33">
        <v>3.3482681600000007E-6</v>
      </c>
      <c r="T2452" s="33">
        <v>5.9242333759999995E-3</v>
      </c>
      <c r="U2452" s="33">
        <v>6.4682698579200004E-2</v>
      </c>
      <c r="V2452" s="33">
        <v>1.28664163392E-2</v>
      </c>
      <c r="W2452" s="33">
        <v>5.8846298199999989</v>
      </c>
      <c r="X2452" s="33">
        <v>0.11300751720000002</v>
      </c>
      <c r="Y2452" s="33">
        <v>374.11071001855998</v>
      </c>
      <c r="Z2452" s="33">
        <v>5.877420039999999E-2</v>
      </c>
      <c r="AA2452" s="33">
        <v>19.1815584</v>
      </c>
      <c r="AB2452" s="33">
        <v>19.174163405472001</v>
      </c>
      <c r="AC2452" s="33">
        <v>2.2051952364799999E-2</v>
      </c>
      <c r="AD2452" s="33">
        <v>2.9471595071999999E-3</v>
      </c>
      <c r="AE2452" s="33">
        <v>4.1953355519999997E-6</v>
      </c>
      <c r="AF2452" s="33">
        <v>8.5906845295999984E-2</v>
      </c>
      <c r="AG2452" s="33">
        <v>1.2654713599999999E-4</v>
      </c>
      <c r="AH2452" s="33">
        <v>2.9664106489600002E-2</v>
      </c>
      <c r="AI2452" s="33">
        <v>0.32613147536639997</v>
      </c>
      <c r="AJ2452" s="33">
        <v>8.7554510545599984E-2</v>
      </c>
      <c r="AK2452" s="33">
        <v>4.2602423999999996E-5</v>
      </c>
      <c r="AL2452" s="33">
        <v>276.08015040000004</v>
      </c>
      <c r="AM2452" s="33">
        <v>0.55111278783039996</v>
      </c>
      <c r="AN2452" s="33">
        <v>3.0949569600000002E-7</v>
      </c>
      <c r="AO2452" s="33">
        <v>1.2010288586239999</v>
      </c>
      <c r="AP2452" s="33">
        <v>176.01932017663998</v>
      </c>
      <c r="AQ2452" s="33">
        <v>3.3539589120000004E-8</v>
      </c>
      <c r="AR2452" s="33">
        <v>2.8758628799999998E-7</v>
      </c>
      <c r="AS2452" s="33">
        <v>43.426269386720001</v>
      </c>
      <c r="AT2452" s="33">
        <v>1.68131909088</v>
      </c>
      <c r="AU2452" s="33">
        <v>0</v>
      </c>
      <c r="AV2452" s="316">
        <v>4.8674114228479999</v>
      </c>
      <c r="AW2452" s="314">
        <v>0.14730623781119997</v>
      </c>
      <c r="AX2452" s="314">
        <v>2.0689344000000002E-4</v>
      </c>
      <c r="AY2452" s="316">
        <v>293.27042779999999</v>
      </c>
      <c r="AZ2452" s="33">
        <v>2.0513675520000002E-4</v>
      </c>
      <c r="BA2452" s="33">
        <v>0</v>
      </c>
      <c r="BB2452" s="33">
        <v>0</v>
      </c>
      <c r="BC2452" s="33">
        <v>2.1990357907200001E-2</v>
      </c>
      <c r="BD2452" s="33">
        <v>7.3383993600000007E-4</v>
      </c>
      <c r="BE2452" s="33">
        <v>0.69060450859040001</v>
      </c>
      <c r="BF2452" s="33">
        <v>1.8788192224E-3</v>
      </c>
      <c r="BG2452" s="33">
        <v>0</v>
      </c>
      <c r="BH2452" s="33">
        <v>0</v>
      </c>
      <c r="BI2452" s="33">
        <v>0</v>
      </c>
      <c r="BJ2452" s="33">
        <v>0</v>
      </c>
      <c r="BK2452" s="33">
        <v>0</v>
      </c>
      <c r="BL2452" s="62">
        <v>0.36330444243446147</v>
      </c>
      <c r="BM2452" s="275">
        <v>3</v>
      </c>
      <c r="BN2452" s="62">
        <v>0.05</v>
      </c>
      <c r="BO2452" s="33" t="s">
        <v>753</v>
      </c>
    </row>
    <row r="2453" spans="1:68">
      <c r="A2453" s="33" t="str">
        <f>Database_Productkaarten[[#This Row],[Product]]&amp;", "&amp;Database_Productkaarten[[#This Row],[Levensfase]]</f>
        <v>Totaalproduct, Stalen Speeltoestel, C2</v>
      </c>
      <c r="B2453" s="33" t="s">
        <v>805</v>
      </c>
      <c r="C2453" s="33" t="s">
        <v>806</v>
      </c>
      <c r="D2453" s="33" t="s">
        <v>807</v>
      </c>
      <c r="E2453" s="33" t="s">
        <v>783</v>
      </c>
      <c r="F2453" s="33" t="s">
        <v>84</v>
      </c>
      <c r="G2453" s="33" t="s">
        <v>737</v>
      </c>
      <c r="H2453" s="33" t="s">
        <v>737</v>
      </c>
      <c r="I2453" s="33" t="s">
        <v>737</v>
      </c>
      <c r="J2453" s="33" t="s">
        <v>737</v>
      </c>
      <c r="K2453" s="33" t="s">
        <v>737</v>
      </c>
      <c r="L2453" s="33" t="s">
        <v>737</v>
      </c>
      <c r="M2453" s="271">
        <f t="shared" si="914"/>
        <v>0.10746360000000001</v>
      </c>
      <c r="N2453" s="41">
        <v>0.43145610734573997</v>
      </c>
      <c r="O2453" s="33">
        <v>15</v>
      </c>
      <c r="P2453" s="33">
        <v>8.3427114497579996E-5</v>
      </c>
      <c r="Q2453" s="33">
        <v>2.7814107431282757E-2</v>
      </c>
      <c r="R2453" s="33">
        <v>4.6266052263815993</v>
      </c>
      <c r="S2453" s="33">
        <v>7.0524632509674371E-7</v>
      </c>
      <c r="T2453" s="33">
        <v>2.2681814004998947E-3</v>
      </c>
      <c r="U2453" s="33">
        <v>9.7948275135389014E-3</v>
      </c>
      <c r="V2453" s="33">
        <v>1.5953362463232033E-3</v>
      </c>
      <c r="W2453" s="33">
        <v>0.80068617740889392</v>
      </c>
      <c r="X2453" s="33">
        <v>3.3648921106318508E-2</v>
      </c>
      <c r="Y2453" s="33">
        <v>91.10858263163999</v>
      </c>
      <c r="Z2453" s="33">
        <v>4.5225793375024996E-3</v>
      </c>
      <c r="AA2453" s="33">
        <v>3.7548607887357117</v>
      </c>
      <c r="AB2453" s="33">
        <v>3.7521166180878001</v>
      </c>
      <c r="AC2453" s="33">
        <v>1.8086267962151997E-3</v>
      </c>
      <c r="AD2453" s="33">
        <v>9.3556847803408531E-4</v>
      </c>
      <c r="AE2453" s="33">
        <v>8.8605651549779998E-7</v>
      </c>
      <c r="AF2453" s="33">
        <v>1.2060925453872001E-2</v>
      </c>
      <c r="AG2453" s="33">
        <v>2.6136357528114002E-5</v>
      </c>
      <c r="AH2453" s="33">
        <v>2.7703260580806003E-3</v>
      </c>
      <c r="AI2453" s="33">
        <v>3.1182400558313998E-2</v>
      </c>
      <c r="AJ2453" s="33">
        <v>1.1672833719761997E-2</v>
      </c>
      <c r="AK2453" s="33">
        <v>6.394722709734E-5</v>
      </c>
      <c r="AL2453" s="33">
        <v>58.318956886860001</v>
      </c>
      <c r="AM2453" s="33">
        <v>0.2476629418122</v>
      </c>
      <c r="AN2453" s="33">
        <v>2.6036043334343996E-7</v>
      </c>
      <c r="AO2453" s="33">
        <v>0.25040497705595999</v>
      </c>
      <c r="AP2453" s="33">
        <v>42.533774166779999</v>
      </c>
      <c r="AQ2453" s="33">
        <v>1.0764091694951998E-9</v>
      </c>
      <c r="AR2453" s="33">
        <v>3.4317893222208002E-8</v>
      </c>
      <c r="AS2453" s="33">
        <v>66.670629885179991</v>
      </c>
      <c r="AT2453" s="33">
        <v>0</v>
      </c>
      <c r="AU2453" s="33">
        <v>0</v>
      </c>
      <c r="AV2453" s="316">
        <v>0.5976756031878</v>
      </c>
      <c r="AW2453" s="314">
        <v>0</v>
      </c>
      <c r="AX2453" s="314">
        <v>0</v>
      </c>
      <c r="AY2453" s="316">
        <v>61.940189521800001</v>
      </c>
      <c r="AZ2453" s="33">
        <v>0</v>
      </c>
      <c r="BA2453" s="33">
        <v>0</v>
      </c>
      <c r="BB2453" s="33">
        <v>0</v>
      </c>
      <c r="BC2453" s="33">
        <v>7.4484062137619989E-3</v>
      </c>
      <c r="BD2453" s="33">
        <v>1.4414131325844E-4</v>
      </c>
      <c r="BE2453" s="33">
        <v>5.0697491648220003</v>
      </c>
      <c r="BF2453" s="33">
        <v>3.9604964203025995E-4</v>
      </c>
      <c r="BG2453" s="33">
        <v>0</v>
      </c>
      <c r="BH2453" s="33">
        <v>0</v>
      </c>
      <c r="BI2453" s="33">
        <v>0</v>
      </c>
      <c r="BJ2453" s="33">
        <v>0</v>
      </c>
      <c r="BK2453" s="33">
        <v>0</v>
      </c>
      <c r="BL2453" s="62">
        <v>0.36330444243446147</v>
      </c>
      <c r="BM2453" s="275">
        <v>3</v>
      </c>
      <c r="BN2453" s="62">
        <v>0.05</v>
      </c>
      <c r="BO2453" s="33" t="s">
        <v>753</v>
      </c>
      <c r="BP2453" s="33" t="s">
        <v>811</v>
      </c>
    </row>
    <row r="2454" spans="1:68">
      <c r="A2454" s="33" t="str">
        <f>Database_Productkaarten[[#This Row],[Product]]&amp;", "&amp;Database_Productkaarten[[#This Row],[Levensfase]]</f>
        <v>Totaalproduct, Stalen Speeltoestel, C3</v>
      </c>
      <c r="B2454" s="33" t="s">
        <v>805</v>
      </c>
      <c r="C2454" s="33" t="s">
        <v>806</v>
      </c>
      <c r="D2454" s="33" t="s">
        <v>807</v>
      </c>
      <c r="E2454" s="33" t="s">
        <v>783</v>
      </c>
      <c r="F2454" s="33" t="s">
        <v>85</v>
      </c>
      <c r="G2454" s="33" t="s">
        <v>737</v>
      </c>
      <c r="H2454" s="33" t="s">
        <v>737</v>
      </c>
      <c r="I2454" s="33" t="s">
        <v>737</v>
      </c>
      <c r="J2454" s="33" t="s">
        <v>737</v>
      </c>
      <c r="K2454" s="33" t="s">
        <v>737</v>
      </c>
      <c r="L2454" s="33" t="s">
        <v>737</v>
      </c>
      <c r="M2454" s="271">
        <f t="shared" si="914"/>
        <v>0.10746360000000001</v>
      </c>
      <c r="N2454" s="41">
        <v>1.2815026199999999</v>
      </c>
      <c r="O2454" s="33">
        <v>15</v>
      </c>
      <c r="P2454" s="33">
        <v>1.9053945199999997E-4</v>
      </c>
      <c r="Q2454" s="33">
        <v>3.9587776000000005E-2</v>
      </c>
      <c r="R2454" s="33">
        <v>7.3847134400000005</v>
      </c>
      <c r="S2454" s="33">
        <v>6.0029078000000001E-7</v>
      </c>
      <c r="T2454" s="33">
        <v>4.2835514000000002E-3</v>
      </c>
      <c r="U2454" s="33">
        <v>3.3882000000000002E-2</v>
      </c>
      <c r="V2454" s="33">
        <v>4.8139845599999998E-3</v>
      </c>
      <c r="W2454" s="33">
        <v>7.5267209600000005</v>
      </c>
      <c r="X2454" s="33">
        <v>0.10768572510799999</v>
      </c>
      <c r="Y2454" s="33">
        <v>364.05183999999997</v>
      </c>
      <c r="Z2454" s="33">
        <v>2.4153615960000003E-2</v>
      </c>
      <c r="AA2454" s="33">
        <v>7.3394930799999996</v>
      </c>
      <c r="AB2454" s="33">
        <v>7.4829037199999995</v>
      </c>
      <c r="AC2454" s="33">
        <v>-0.151946156</v>
      </c>
      <c r="AD2454" s="33">
        <v>5.50950576E-3</v>
      </c>
      <c r="AE2454" s="33">
        <v>7.0475410399999997E-7</v>
      </c>
      <c r="AF2454" s="33">
        <v>4.2559672399999998E-2</v>
      </c>
      <c r="AG2454" s="33">
        <v>2.3989452799999997E-4</v>
      </c>
      <c r="AH2454" s="33">
        <v>1.02122936E-2</v>
      </c>
      <c r="AI2454" s="33">
        <v>0.115832147644</v>
      </c>
      <c r="AJ2454" s="33">
        <v>3.3964668399999995E-2</v>
      </c>
      <c r="AK2454" s="33">
        <v>1.9053945199999997E-4</v>
      </c>
      <c r="AL2454" s="33">
        <v>82.762819427351999</v>
      </c>
      <c r="AM2454" s="33">
        <v>1.3115125439999999</v>
      </c>
      <c r="AN2454" s="33">
        <v>6.05258976E-7</v>
      </c>
      <c r="AO2454" s="33">
        <v>0.31067131999999997</v>
      </c>
      <c r="AP2454" s="33">
        <v>191.53258332063999</v>
      </c>
      <c r="AQ2454" s="33">
        <v>8.8134368400000005E-9</v>
      </c>
      <c r="AR2454" s="33">
        <v>2.3356619999999997E-7</v>
      </c>
      <c r="AS2454" s="33">
        <v>104.600541115764</v>
      </c>
      <c r="AT2454" s="33">
        <v>0</v>
      </c>
      <c r="AU2454" s="33">
        <v>0</v>
      </c>
      <c r="AV2454" s="316">
        <v>7.4753414515839998</v>
      </c>
      <c r="AW2454" s="314">
        <v>0</v>
      </c>
      <c r="AX2454" s="314">
        <v>0</v>
      </c>
      <c r="AY2454" s="316">
        <v>87.899203725783991</v>
      </c>
      <c r="AZ2454" s="33">
        <v>0</v>
      </c>
      <c r="BA2454" s="33">
        <v>0</v>
      </c>
      <c r="BB2454" s="33">
        <v>0</v>
      </c>
      <c r="BC2454" s="33">
        <v>4.2623709120000006E-2</v>
      </c>
      <c r="BD2454" s="33">
        <v>1.76049668E-4</v>
      </c>
      <c r="BE2454" s="33">
        <v>3.4042080716559995</v>
      </c>
      <c r="BF2454" s="33">
        <v>3.8344062800000001E-4</v>
      </c>
      <c r="BG2454" s="33">
        <v>0</v>
      </c>
      <c r="BH2454" s="33">
        <v>0</v>
      </c>
      <c r="BI2454" s="33">
        <v>0</v>
      </c>
      <c r="BJ2454" s="33">
        <v>0</v>
      </c>
      <c r="BK2454" s="33">
        <v>0</v>
      </c>
      <c r="BL2454" s="62">
        <v>0.36330444243446147</v>
      </c>
      <c r="BM2454" s="275">
        <v>3</v>
      </c>
      <c r="BN2454" s="62">
        <v>0.05</v>
      </c>
      <c r="BO2454" s="33" t="s">
        <v>753</v>
      </c>
    </row>
    <row r="2455" spans="1:68">
      <c r="A2455" s="33" t="str">
        <f>Database_Productkaarten[[#This Row],[Product]]&amp;", "&amp;Database_Productkaarten[[#This Row],[Levensfase]]</f>
        <v>Totaalproduct, Stalen Speeltoestel, C4</v>
      </c>
      <c r="B2455" s="33" t="s">
        <v>805</v>
      </c>
      <c r="C2455" s="33" t="s">
        <v>806</v>
      </c>
      <c r="D2455" s="33" t="s">
        <v>807</v>
      </c>
      <c r="E2455" s="33" t="s">
        <v>783</v>
      </c>
      <c r="F2455" s="33" t="s">
        <v>86</v>
      </c>
      <c r="G2455" s="33" t="s">
        <v>737</v>
      </c>
      <c r="H2455" s="33" t="s">
        <v>737</v>
      </c>
      <c r="I2455" s="33" t="s">
        <v>737</v>
      </c>
      <c r="J2455" s="33" t="s">
        <v>737</v>
      </c>
      <c r="K2455" s="33" t="s">
        <v>737</v>
      </c>
      <c r="L2455" s="33" t="s">
        <v>737</v>
      </c>
      <c r="M2455" s="271">
        <f t="shared" si="914"/>
        <v>0.10746360000000001</v>
      </c>
      <c r="N2455" s="41">
        <v>1.7822245981600005</v>
      </c>
      <c r="O2455" s="33">
        <v>15</v>
      </c>
      <c r="P2455" s="33">
        <v>3.5577790468800003E-5</v>
      </c>
      <c r="Q2455" s="33">
        <v>1.1586101484000001E-2</v>
      </c>
      <c r="R2455" s="33">
        <v>30.201797295839999</v>
      </c>
      <c r="S2455" s="33">
        <v>9.1875384387999985E-7</v>
      </c>
      <c r="T2455" s="33">
        <v>1.0286048547199999E-3</v>
      </c>
      <c r="U2455" s="33">
        <v>1.0222991447999999E-2</v>
      </c>
      <c r="V2455" s="33">
        <v>1.7260958396000002E-3</v>
      </c>
      <c r="W2455" s="33">
        <v>1.9590869307726</v>
      </c>
      <c r="X2455" s="33">
        <v>0.126909187728</v>
      </c>
      <c r="Y2455" s="33">
        <v>337.38479242800003</v>
      </c>
      <c r="Z2455" s="33">
        <v>4.8268183068000004E-3</v>
      </c>
      <c r="AA2455" s="33">
        <v>30.365815490802042</v>
      </c>
      <c r="AB2455" s="33">
        <v>30.365430262489483</v>
      </c>
      <c r="AC2455" s="33">
        <v>6.3004014490399994E-3</v>
      </c>
      <c r="AD2455" s="33">
        <v>2.30671355152E-3</v>
      </c>
      <c r="AE2455" s="33">
        <v>9.1550212947999997E-7</v>
      </c>
      <c r="AF2455" s="33">
        <v>1.30788925832E-2</v>
      </c>
      <c r="AG2455" s="33">
        <v>8.7034359215999997E-5</v>
      </c>
      <c r="AH2455" s="33">
        <v>3.7364795164000005E-3</v>
      </c>
      <c r="AI2455" s="33">
        <v>4.0198758655999998E-2</v>
      </c>
      <c r="AJ2455" s="33">
        <v>1.0768825490400001E-2</v>
      </c>
      <c r="AK2455" s="33">
        <v>3.55770574768E-5</v>
      </c>
      <c r="AL2455" s="33">
        <v>21.569030424932762</v>
      </c>
      <c r="AM2455" s="33">
        <v>1.5200287138800002</v>
      </c>
      <c r="AN2455" s="33">
        <v>1.0202937564000002E-7</v>
      </c>
      <c r="AO2455" s="33">
        <v>9.1620297833039988E-2</v>
      </c>
      <c r="AP2455" s="33">
        <v>380.81702494529401</v>
      </c>
      <c r="AQ2455" s="33">
        <v>5.5112523255199999E-9</v>
      </c>
      <c r="AR2455" s="33">
        <v>1.17815763408E-7</v>
      </c>
      <c r="AS2455" s="33">
        <v>8.5531488922431613</v>
      </c>
      <c r="AT2455" s="33">
        <v>0</v>
      </c>
      <c r="AU2455" s="33">
        <v>0</v>
      </c>
      <c r="AV2455" s="316">
        <v>2.2677959989364402</v>
      </c>
      <c r="AW2455" s="314">
        <v>0</v>
      </c>
      <c r="AX2455" s="314">
        <v>0</v>
      </c>
      <c r="AY2455" s="316">
        <v>22.936716360371562</v>
      </c>
      <c r="AZ2455" s="33">
        <v>0</v>
      </c>
      <c r="BA2455" s="33">
        <v>0</v>
      </c>
      <c r="BB2455" s="33">
        <v>0</v>
      </c>
      <c r="BC2455" s="33">
        <v>4.4770858933960003E-2</v>
      </c>
      <c r="BD2455" s="33">
        <v>4.1607284707999997E-5</v>
      </c>
      <c r="BE2455" s="33">
        <v>4.1846232968584003</v>
      </c>
      <c r="BF2455" s="33">
        <v>7.9319725160000005E-5</v>
      </c>
      <c r="BG2455" s="33">
        <v>0</v>
      </c>
      <c r="BH2455" s="33">
        <v>0</v>
      </c>
      <c r="BI2455" s="33">
        <v>0</v>
      </c>
      <c r="BJ2455" s="33">
        <v>0</v>
      </c>
      <c r="BK2455" s="33">
        <v>0</v>
      </c>
      <c r="BL2455" s="62">
        <v>0.36330444243446147</v>
      </c>
      <c r="BM2455" s="275">
        <v>3</v>
      </c>
      <c r="BN2455" s="62">
        <v>0.05</v>
      </c>
      <c r="BO2455" s="33" t="s">
        <v>753</v>
      </c>
    </row>
    <row r="2456" spans="1:68">
      <c r="A2456" s="33" t="str">
        <f>Database_Productkaarten[[#This Row],[Product]]&amp;", "&amp;Database_Productkaarten[[#This Row],[Levensfase]]</f>
        <v>Totaalproduct, Stalen Speeltoestel, D</v>
      </c>
      <c r="B2456" s="33" t="s">
        <v>805</v>
      </c>
      <c r="C2456" s="33" t="s">
        <v>806</v>
      </c>
      <c r="D2456" s="33" t="s">
        <v>807</v>
      </c>
      <c r="E2456" s="33" t="s">
        <v>783</v>
      </c>
      <c r="F2456" s="33" t="s">
        <v>89</v>
      </c>
      <c r="G2456" s="33" t="s">
        <v>737</v>
      </c>
      <c r="H2456" s="33" t="s">
        <v>737</v>
      </c>
      <c r="I2456" s="33" t="s">
        <v>737</v>
      </c>
      <c r="J2456" s="33" t="s">
        <v>737</v>
      </c>
      <c r="K2456" s="33" t="s">
        <v>737</v>
      </c>
      <c r="L2456" s="33" t="s">
        <v>737</v>
      </c>
      <c r="M2456" s="271">
        <f t="shared" si="914"/>
        <v>0.10746360000000001</v>
      </c>
      <c r="N2456" s="41">
        <v>-9.8137676620800018</v>
      </c>
      <c r="O2456" s="33">
        <v>15</v>
      </c>
      <c r="P2456" s="33">
        <v>-4.3721856376687358E-2</v>
      </c>
      <c r="Q2456" s="33">
        <v>-0.67959546048563202</v>
      </c>
      <c r="R2456" s="33">
        <v>-82.830579735684182</v>
      </c>
      <c r="S2456" s="33">
        <v>-2.6096055304640003E-6</v>
      </c>
      <c r="T2456" s="33">
        <v>-0.16161311694560002</v>
      </c>
      <c r="U2456" s="33">
        <v>-0.27765106678720003</v>
      </c>
      <c r="V2456" s="33">
        <v>-3.1799451863519998E-2</v>
      </c>
      <c r="W2456" s="33">
        <v>-45.269973134400004</v>
      </c>
      <c r="X2456" s="33">
        <v>0.42164440438400008</v>
      </c>
      <c r="Y2456" s="33">
        <v>255.01605965868467</v>
      </c>
      <c r="Z2456" s="33">
        <v>3.5835599476883608</v>
      </c>
      <c r="AA2456" s="33">
        <v>-87.69151826677512</v>
      </c>
      <c r="AB2456" s="33">
        <v>-88.157790763155162</v>
      </c>
      <c r="AC2456" s="33">
        <v>0.6987420047902112</v>
      </c>
      <c r="AD2456" s="33">
        <v>5.0762334094039997E-2</v>
      </c>
      <c r="AE2456" s="33">
        <v>-1.9959345077440004E-6</v>
      </c>
      <c r="AF2456" s="33">
        <v>-0.33900765538039995</v>
      </c>
      <c r="AG2456" s="33">
        <v>-2.8729502647840007E-3</v>
      </c>
      <c r="AH2456" s="33">
        <v>-6.1997640214800011E-2</v>
      </c>
      <c r="AI2456" s="33">
        <v>-0.71834255859200014</v>
      </c>
      <c r="AJ2456" s="33">
        <v>-0.46622514047731201</v>
      </c>
      <c r="AK2456" s="33">
        <v>-4.3766751814687352E-2</v>
      </c>
      <c r="AL2456" s="33">
        <v>-1050.4975216468495</v>
      </c>
      <c r="AM2456" s="33">
        <v>-24.8671886604264</v>
      </c>
      <c r="AN2456" s="33">
        <v>-4.7142385374640005E-6</v>
      </c>
      <c r="AO2456" s="33">
        <v>1.0064031101516546</v>
      </c>
      <c r="AP2456" s="33">
        <v>-2716.9081811965607</v>
      </c>
      <c r="AQ2456" s="33">
        <v>-2.0065228448960001E-8</v>
      </c>
      <c r="AR2456" s="33">
        <v>1.404775606128E-5</v>
      </c>
      <c r="AS2456" s="33">
        <v>-134.92964093495897</v>
      </c>
      <c r="AT2456" s="33">
        <v>0</v>
      </c>
      <c r="AU2456" s="33">
        <v>0</v>
      </c>
      <c r="AV2456" s="316">
        <v>7.7700427297306174</v>
      </c>
      <c r="AW2456" s="314">
        <v>0</v>
      </c>
      <c r="AX2456" s="314">
        <v>0</v>
      </c>
      <c r="AY2456" s="316">
        <v>-1109.9710332697912</v>
      </c>
      <c r="AZ2456" s="33">
        <v>0</v>
      </c>
      <c r="BA2456" s="33">
        <v>0</v>
      </c>
      <c r="BB2456" s="33">
        <v>0</v>
      </c>
      <c r="BC2456" s="33">
        <v>-0.4267143404012001</v>
      </c>
      <c r="BD2456" s="33">
        <v>-8.9233026878240019E-3</v>
      </c>
      <c r="BE2456" s="33">
        <v>-7.5956434550986422</v>
      </c>
      <c r="BF2456" s="33">
        <v>2.1992013143040001E-4</v>
      </c>
      <c r="BG2456" s="33">
        <v>0</v>
      </c>
      <c r="BH2456" s="33">
        <v>0</v>
      </c>
      <c r="BI2456" s="33">
        <v>0</v>
      </c>
      <c r="BJ2456" s="33">
        <v>0</v>
      </c>
      <c r="BK2456" s="33">
        <v>0</v>
      </c>
      <c r="BL2456" s="62">
        <v>0.36330444243446147</v>
      </c>
      <c r="BM2456" s="275">
        <v>3</v>
      </c>
      <c r="BN2456" s="62">
        <v>0.05</v>
      </c>
      <c r="BO2456" s="33" t="s">
        <v>753</v>
      </c>
    </row>
    <row r="2457" spans="1:68">
      <c r="A2457" s="33" t="str">
        <f>Database_Productkaarten[[#This Row],[Product]]&amp;", "&amp;Database_Productkaarten[[#This Row],[Levensfase]]</f>
        <v>Deelproduct, Staanders, Stalen Speeltoestel, Totaal</v>
      </c>
      <c r="B2457" s="33" t="s">
        <v>812</v>
      </c>
      <c r="C2457" s="33" t="s">
        <v>806</v>
      </c>
      <c r="D2457" s="33" t="s">
        <v>807</v>
      </c>
      <c r="E2457" s="33" t="s">
        <v>783</v>
      </c>
      <c r="F2457" s="33" t="s">
        <v>90</v>
      </c>
      <c r="M2457" s="271">
        <f>68.2756/1000</f>
        <v>6.8275599999999992E-2</v>
      </c>
      <c r="N2457" s="41">
        <v>84.706963881675179</v>
      </c>
      <c r="O2457" s="33">
        <v>20</v>
      </c>
      <c r="P2457" s="33">
        <v>0.24179144978630329</v>
      </c>
      <c r="Q2457" s="33">
        <v>1.574401219842537</v>
      </c>
      <c r="R2457" s="33">
        <v>226.82342717781688</v>
      </c>
      <c r="S2457" s="33">
        <v>1.9416424414467758E-5</v>
      </c>
      <c r="T2457" s="33">
        <v>0.1058237150694427</v>
      </c>
      <c r="U2457" s="33">
        <v>1.5856110162360548</v>
      </c>
      <c r="V2457" s="33">
        <v>0.30448330721874384</v>
      </c>
      <c r="W2457" s="33">
        <v>372.94328150798145</v>
      </c>
      <c r="X2457" s="33">
        <v>6.0986876958114937</v>
      </c>
      <c r="Y2457" s="33">
        <v>8805.3137795150724</v>
      </c>
      <c r="Z2457" s="33">
        <v>5.8233948975869438</v>
      </c>
      <c r="AA2457" s="33">
        <v>233.73865476899124</v>
      </c>
      <c r="AB2457" s="33">
        <v>231.80850682558636</v>
      </c>
      <c r="AC2457" s="33">
        <v>1.3394835756064318</v>
      </c>
      <c r="AD2457" s="33">
        <v>0.78828285003556797</v>
      </c>
      <c r="AE2457" s="33">
        <v>2.1712023794041466E-5</v>
      </c>
      <c r="AF2457" s="33">
        <v>2.3830477004127286</v>
      </c>
      <c r="AG2457" s="33">
        <v>1.4018665691364278E-2</v>
      </c>
      <c r="AH2457" s="33">
        <v>0.29197191631369973</v>
      </c>
      <c r="AI2457" s="33">
        <v>8.197369882215046</v>
      </c>
      <c r="AJ2457" s="33">
        <v>0.79002838606684445</v>
      </c>
      <c r="AK2457" s="33">
        <v>0.24175874789009028</v>
      </c>
      <c r="AL2457" s="33">
        <v>3132.14274049084</v>
      </c>
      <c r="AM2457" s="33">
        <v>92.295239532988802</v>
      </c>
      <c r="AN2457" s="33">
        <v>2.1448695526636165E-5</v>
      </c>
      <c r="AO2457" s="33">
        <v>10.509442612480125</v>
      </c>
      <c r="AP2457" s="33">
        <v>7076.2679478682085</v>
      </c>
      <c r="AQ2457" s="33">
        <v>1.1358299659260297E-6</v>
      </c>
      <c r="AR2457" s="33">
        <v>2.6163417521054243E-5</v>
      </c>
      <c r="AS2457" s="33">
        <v>936.03415786140613</v>
      </c>
      <c r="AT2457" s="33">
        <v>2.2372317110059283</v>
      </c>
      <c r="AU2457" s="33">
        <v>0</v>
      </c>
      <c r="AV2457" s="316">
        <v>220.73845387278607</v>
      </c>
      <c r="AW2457" s="314">
        <v>0.19601168406867184</v>
      </c>
      <c r="AX2457" s="314">
        <v>2.7530084400863948E-4</v>
      </c>
      <c r="AY2457" s="316">
        <v>3361.5537878541095</v>
      </c>
      <c r="AZ2457" s="33">
        <v>2.7296332761325665E-4</v>
      </c>
      <c r="BA2457" s="33">
        <v>0</v>
      </c>
      <c r="BB2457" s="33">
        <v>0</v>
      </c>
      <c r="BC2457" s="33">
        <v>3.0331029486119125</v>
      </c>
      <c r="BD2457" s="33">
        <v>3.6466323934007831E-2</v>
      </c>
      <c r="BE2457" s="33">
        <v>71.777991898734797</v>
      </c>
      <c r="BF2457" s="33">
        <v>1.0453594778915033E-2</v>
      </c>
      <c r="BG2457" s="33">
        <v>0</v>
      </c>
      <c r="BH2457" s="33">
        <v>0</v>
      </c>
      <c r="BI2457" s="33">
        <v>0</v>
      </c>
      <c r="BJ2457" s="33">
        <v>0</v>
      </c>
      <c r="BK2457" s="33">
        <v>0</v>
      </c>
      <c r="BL2457" s="62">
        <v>0.4138</v>
      </c>
      <c r="BM2457" s="275">
        <v>3</v>
      </c>
      <c r="BN2457" s="62">
        <v>0.05</v>
      </c>
      <c r="BO2457" s="33" t="s">
        <v>753</v>
      </c>
    </row>
    <row r="2458" spans="1:68">
      <c r="A2458" s="33" t="str">
        <f>Database_Productkaarten[[#This Row],[Product]]&amp;", "&amp;Database_Productkaarten[[#This Row],[Levensfase]]</f>
        <v>Deelproduct, Staanders, Stalen Speeltoestel, A1</v>
      </c>
      <c r="B2458" s="33" t="s">
        <v>812</v>
      </c>
      <c r="C2458" s="33" t="s">
        <v>806</v>
      </c>
      <c r="D2458" s="33" t="s">
        <v>807</v>
      </c>
      <c r="E2458" s="33" t="s">
        <v>783</v>
      </c>
      <c r="F2458" s="33" t="s">
        <v>74</v>
      </c>
      <c r="M2458" s="271">
        <f t="shared" ref="M2458:M2468" si="917">68.2756/1000</f>
        <v>6.8275599999999992E-2</v>
      </c>
      <c r="N2458" s="41">
        <v>84.731175035700005</v>
      </c>
      <c r="O2458" s="33">
        <v>20</v>
      </c>
      <c r="P2458" s="33">
        <v>0.27241546461999999</v>
      </c>
      <c r="Q2458" s="33">
        <v>1.4910241099800001</v>
      </c>
      <c r="R2458" s="33">
        <v>219.10371513820002</v>
      </c>
      <c r="S2458" s="33">
        <v>1.31594416E-5</v>
      </c>
      <c r="T2458" s="33">
        <v>0.19469549625999999</v>
      </c>
      <c r="U2458" s="33">
        <v>1.5517419030599997</v>
      </c>
      <c r="V2458" s="33">
        <v>0.28654954201999999</v>
      </c>
      <c r="W2458" s="33">
        <v>389.65851098936002</v>
      </c>
      <c r="X2458" s="33">
        <v>5.3662984490200003</v>
      </c>
      <c r="Y2458" s="33">
        <v>7134.8831811</v>
      </c>
      <c r="Z2458" s="33">
        <v>3.0260275068199998</v>
      </c>
      <c r="AA2458" s="33">
        <v>228.61132858259998</v>
      </c>
      <c r="AB2458" s="33">
        <v>227.15647723759997</v>
      </c>
      <c r="AC2458" s="33">
        <v>0.72885438061999996</v>
      </c>
      <c r="AD2458" s="33">
        <v>0.72160300312000003</v>
      </c>
      <c r="AE2458" s="33">
        <v>1.34936846E-5</v>
      </c>
      <c r="AF2458" s="33">
        <v>2.3336770097999997</v>
      </c>
      <c r="AG2458" s="33">
        <v>1.2681030020000001E-2</v>
      </c>
      <c r="AH2458" s="33">
        <v>0.26391743511999999</v>
      </c>
      <c r="AI2458" s="33">
        <v>7.9060919375999994</v>
      </c>
      <c r="AJ2458" s="33">
        <v>0.88625256972000011</v>
      </c>
      <c r="AK2458" s="33">
        <v>0.27241483695999996</v>
      </c>
      <c r="AL2458" s="33">
        <v>2677.14223029</v>
      </c>
      <c r="AM2458" s="33">
        <v>98.000894638800006</v>
      </c>
      <c r="AN2458" s="33">
        <v>2.2777342000000001E-5</v>
      </c>
      <c r="AO2458" s="33">
        <v>5.6895765210199993</v>
      </c>
      <c r="AP2458" s="33">
        <v>8387.2453756039977</v>
      </c>
      <c r="AQ2458" s="33">
        <v>1.0928227079999999E-6</v>
      </c>
      <c r="AR2458" s="33">
        <v>1.50461606E-5</v>
      </c>
      <c r="AS2458" s="33">
        <v>654.48570252980005</v>
      </c>
      <c r="AT2458" s="33">
        <v>0</v>
      </c>
      <c r="AU2458" s="33">
        <v>0</v>
      </c>
      <c r="AV2458" s="316">
        <v>181.86104959958001</v>
      </c>
      <c r="AW2458" s="314">
        <v>0</v>
      </c>
      <c r="AX2458" s="314">
        <v>0</v>
      </c>
      <c r="AY2458" s="316">
        <v>2867.1990598540001</v>
      </c>
      <c r="AZ2458" s="33">
        <v>0</v>
      </c>
      <c r="BA2458" s="33">
        <v>0</v>
      </c>
      <c r="BB2458" s="33">
        <v>0</v>
      </c>
      <c r="BC2458" s="33">
        <v>2.73719558766</v>
      </c>
      <c r="BD2458" s="33">
        <v>4.1297241820000004E-2</v>
      </c>
      <c r="BE2458" s="33">
        <v>55.973639672800005</v>
      </c>
      <c r="BF2458" s="33">
        <v>5.0154410000000007E-3</v>
      </c>
      <c r="BG2458" s="33">
        <v>0</v>
      </c>
      <c r="BH2458" s="33">
        <v>0</v>
      </c>
      <c r="BI2458" s="33">
        <v>0</v>
      </c>
      <c r="BJ2458" s="33">
        <v>0</v>
      </c>
      <c r="BK2458" s="33">
        <v>0</v>
      </c>
      <c r="BL2458" s="62">
        <v>0.4138</v>
      </c>
      <c r="BM2458" s="275">
        <v>3</v>
      </c>
      <c r="BN2458" s="62">
        <v>0.05</v>
      </c>
      <c r="BO2458" s="33" t="s">
        <v>753</v>
      </c>
    </row>
    <row r="2459" spans="1:68">
      <c r="A2459" s="33" t="str">
        <f>Database_Productkaarten[[#This Row],[Product]]&amp;", "&amp;Database_Productkaarten[[#This Row],[Levensfase]]</f>
        <v>Deelproduct, Staanders, Stalen Speeltoestel, A2</v>
      </c>
      <c r="B2459" s="33" t="s">
        <v>812</v>
      </c>
      <c r="C2459" s="33" t="s">
        <v>806</v>
      </c>
      <c r="D2459" s="33" t="s">
        <v>807</v>
      </c>
      <c r="E2459" s="33" t="s">
        <v>783</v>
      </c>
      <c r="F2459" s="33" t="s">
        <v>75</v>
      </c>
      <c r="M2459" s="271">
        <f t="shared" si="917"/>
        <v>6.8275599999999992E-2</v>
      </c>
      <c r="N2459" s="41">
        <v>0.27412002392153995</v>
      </c>
      <c r="O2459" s="33">
        <v>20</v>
      </c>
      <c r="P2459" s="33">
        <v>5.3004331686179996E-5</v>
      </c>
      <c r="Q2459" s="33">
        <v>2.3026202816255996E-2</v>
      </c>
      <c r="R2459" s="33">
        <v>3.0856628966855997</v>
      </c>
      <c r="S2459" s="33">
        <v>5.8455954002060001E-7</v>
      </c>
      <c r="T2459" s="33">
        <v>1.8800336785089998E-3</v>
      </c>
      <c r="U2459" s="33">
        <v>8.0305473962480004E-3</v>
      </c>
      <c r="V2459" s="33">
        <v>1.3223312333312E-3</v>
      </c>
      <c r="W2459" s="33">
        <v>0.66366720051179995</v>
      </c>
      <c r="X2459" s="33">
        <v>2.7890648144576001E-2</v>
      </c>
      <c r="Y2459" s="33">
        <v>75.517449513239995</v>
      </c>
      <c r="Z2459" s="33">
        <v>3.748644166382E-3</v>
      </c>
      <c r="AA2459" s="33">
        <v>3.1123029433959997</v>
      </c>
      <c r="AB2459" s="33">
        <v>3.1100283759198</v>
      </c>
      <c r="AC2459" s="33">
        <v>1.4991220237031999E-3</v>
      </c>
      <c r="AD2459" s="33">
        <v>7.7546750551559993E-4</v>
      </c>
      <c r="AE2459" s="33">
        <v>7.3442837372980001E-7</v>
      </c>
      <c r="AF2459" s="33">
        <v>9.9969761655520004E-3</v>
      </c>
      <c r="AG2459" s="33">
        <v>2.1663722594273997E-5</v>
      </c>
      <c r="AH2459" s="33">
        <v>2.2962486319446002E-3</v>
      </c>
      <c r="AI2459" s="33">
        <v>2.5846251712474001E-2</v>
      </c>
      <c r="AJ2459" s="33">
        <v>9.6752973830419985E-3</v>
      </c>
      <c r="AK2459" s="33">
        <v>5.3004133686939993E-5</v>
      </c>
      <c r="AL2459" s="33">
        <v>48.33901214526</v>
      </c>
      <c r="AM2459" s="33">
        <v>0.20528113998019998</v>
      </c>
      <c r="AN2459" s="33">
        <v>2.1580574861703998E-7</v>
      </c>
      <c r="AO2459" s="33">
        <v>0.20755393911835998</v>
      </c>
      <c r="AP2459" s="33">
        <v>35.255099469980003</v>
      </c>
      <c r="AQ2459" s="33">
        <v>8.9220656018319997E-10</v>
      </c>
      <c r="AR2459" s="33">
        <v>2.8445177105728E-8</v>
      </c>
      <c r="AS2459" s="33">
        <v>55.261488884379993</v>
      </c>
      <c r="AT2459" s="33">
        <v>0</v>
      </c>
      <c r="AU2459" s="33">
        <v>0</v>
      </c>
      <c r="AV2459" s="316">
        <v>0.4953972050198</v>
      </c>
      <c r="AW2459" s="314">
        <v>0</v>
      </c>
      <c r="AX2459" s="314">
        <v>0</v>
      </c>
      <c r="AY2459" s="316">
        <v>51.340554313799998</v>
      </c>
      <c r="AZ2459" s="33">
        <v>0</v>
      </c>
      <c r="BA2459" s="33">
        <v>0</v>
      </c>
      <c r="BB2459" s="33">
        <v>0</v>
      </c>
      <c r="BC2459" s="33">
        <v>6.1737832370419993E-3</v>
      </c>
      <c r="BD2459" s="33">
        <v>1.1947485113204E-4</v>
      </c>
      <c r="BE2459" s="33">
        <v>4.2021784945020002</v>
      </c>
      <c r="BF2459" s="33">
        <v>3.2827487798465995E-4</v>
      </c>
      <c r="BG2459" s="33">
        <v>0</v>
      </c>
      <c r="BH2459" s="33">
        <v>0</v>
      </c>
      <c r="BI2459" s="33">
        <v>0</v>
      </c>
      <c r="BJ2459" s="33">
        <v>0</v>
      </c>
      <c r="BK2459" s="33">
        <v>0</v>
      </c>
      <c r="BL2459" s="62">
        <v>0.4138</v>
      </c>
      <c r="BM2459" s="275">
        <v>3</v>
      </c>
      <c r="BN2459" s="62">
        <v>0.05</v>
      </c>
      <c r="BO2459" s="33" t="s">
        <v>753</v>
      </c>
    </row>
    <row r="2460" spans="1:68">
      <c r="A2460" s="33" t="str">
        <f>Database_Productkaarten[[#This Row],[Product]]&amp;", "&amp;Database_Productkaarten[[#This Row],[Levensfase]]</f>
        <v>Deelproduct, Staanders, Stalen Speeltoestel, A3</v>
      </c>
      <c r="B2460" s="33" t="s">
        <v>812</v>
      </c>
      <c r="C2460" s="33" t="s">
        <v>806</v>
      </c>
      <c r="D2460" s="33" t="s">
        <v>807</v>
      </c>
      <c r="E2460" s="33" t="s">
        <v>783</v>
      </c>
      <c r="F2460" s="33" t="s">
        <v>76</v>
      </c>
      <c r="M2460" s="271">
        <f t="shared" si="917"/>
        <v>6.8275599999999992E-2</v>
      </c>
      <c r="N2460" s="41">
        <v>1.6080091061922579</v>
      </c>
      <c r="O2460" s="33">
        <v>20</v>
      </c>
      <c r="P2460" s="33">
        <v>1.5343199438792057E-4</v>
      </c>
      <c r="Q2460" s="33">
        <v>0.11375697613618994</v>
      </c>
      <c r="R2460" s="33">
        <v>18.214737807529833</v>
      </c>
      <c r="S2460" s="33">
        <v>9.2160178959943688E-7</v>
      </c>
      <c r="T2460" s="33">
        <v>3.5792559806482748E-3</v>
      </c>
      <c r="U2460" s="33">
        <v>7.0197716713254657E-2</v>
      </c>
      <c r="V2460" s="33">
        <v>1.3858649517749233E-2</v>
      </c>
      <c r="W2460" s="33">
        <v>2.4161734281911555</v>
      </c>
      <c r="X2460" s="33">
        <v>8.8967173261874075E-2</v>
      </c>
      <c r="Y2460" s="33">
        <v>421.4206323911377</v>
      </c>
      <c r="Z2460" s="33">
        <v>6.8405566426840037E-2</v>
      </c>
      <c r="AA2460" s="33">
        <v>18.434213691638011</v>
      </c>
      <c r="AB2460" s="33">
        <v>18.308074413303224</v>
      </c>
      <c r="AC2460" s="33">
        <v>0.10857578336883986</v>
      </c>
      <c r="AD2460" s="33">
        <v>1.7883359647600811E-2</v>
      </c>
      <c r="AE2460" s="33">
        <v>6.7556631328275191E-7</v>
      </c>
      <c r="AF2460" s="33">
        <v>8.4062299957339978E-2</v>
      </c>
      <c r="AG2460" s="33">
        <v>2.9152868668995305E-3</v>
      </c>
      <c r="AH2460" s="33">
        <v>1.3763191412200448E-2</v>
      </c>
      <c r="AI2460" s="33">
        <v>0.15533328263180179</v>
      </c>
      <c r="AJ2460" s="33">
        <v>4.1164819080804133E-2</v>
      </c>
      <c r="AK2460" s="33">
        <v>1.5343199438792057E-4</v>
      </c>
      <c r="AL2460" s="33">
        <v>238.73181795495842</v>
      </c>
      <c r="AM2460" s="33">
        <v>2.9379762828761811</v>
      </c>
      <c r="AN2460" s="33">
        <v>2.4328504186808226E-7</v>
      </c>
      <c r="AO2460" s="33">
        <v>1.3250717560517447</v>
      </c>
      <c r="AP2460" s="33">
        <v>144.92353939289697</v>
      </c>
      <c r="AQ2460" s="33">
        <v>4.6868494129607506E-9</v>
      </c>
      <c r="AR2460" s="33">
        <v>1.5174560682215558E-7</v>
      </c>
      <c r="AS2460" s="33">
        <v>38.94096262324954</v>
      </c>
      <c r="AT2460" s="33">
        <v>0</v>
      </c>
      <c r="AU2460" s="33">
        <v>0</v>
      </c>
      <c r="AV2460" s="316">
        <v>15.557830689432695</v>
      </c>
      <c r="AW2460" s="314">
        <v>0</v>
      </c>
      <c r="AX2460" s="314">
        <v>0</v>
      </c>
      <c r="AY2460" s="316">
        <v>255.37021058805232</v>
      </c>
      <c r="AZ2460" s="33">
        <v>0</v>
      </c>
      <c r="BA2460" s="33">
        <v>0</v>
      </c>
      <c r="BB2460" s="33">
        <v>0</v>
      </c>
      <c r="BC2460" s="33">
        <v>0.42806168322392507</v>
      </c>
      <c r="BD2460" s="33">
        <v>1.3027445406892568E-4</v>
      </c>
      <c r="BE2460" s="33">
        <v>1.5765965820416485</v>
      </c>
      <c r="BF2460" s="33">
        <v>1.1280141772506468E-3</v>
      </c>
      <c r="BG2460" s="33">
        <v>0</v>
      </c>
      <c r="BH2460" s="33">
        <v>0</v>
      </c>
      <c r="BI2460" s="33">
        <v>0</v>
      </c>
      <c r="BJ2460" s="33">
        <v>0</v>
      </c>
      <c r="BK2460" s="33">
        <v>0</v>
      </c>
      <c r="BL2460" s="62">
        <v>0.4138</v>
      </c>
      <c r="BM2460" s="275">
        <v>3</v>
      </c>
      <c r="BN2460" s="62">
        <v>0.05</v>
      </c>
      <c r="BO2460" s="33" t="s">
        <v>753</v>
      </c>
    </row>
    <row r="2461" spans="1:68">
      <c r="A2461" s="451" t="str">
        <f>Database_Productkaarten[[#This Row],[Product]]&amp;", "&amp;Database_Productkaarten[[#This Row],[Levensfase]]</f>
        <v>Deelproduct, Staanders, Stalen Speeltoestel, A1-A3</v>
      </c>
      <c r="B2461" s="451" t="str">
        <f>B2460</f>
        <v>Deelproduct, Staanders, Stalen Speeltoestel</v>
      </c>
      <c r="C2461" s="451" t="str">
        <f>C2460</f>
        <v>Speeltoestel</v>
      </c>
      <c r="D2461" s="451" t="str">
        <f>D2460</f>
        <v>Stalen Speeltoestel</v>
      </c>
      <c r="E2461" s="451" t="str">
        <f>E2460</f>
        <v>Stuk</v>
      </c>
      <c r="F2461" s="451" t="s">
        <v>77</v>
      </c>
      <c r="G2461" s="451">
        <f t="shared" ref="G2461:M2461" si="918">G2460</f>
        <v>0</v>
      </c>
      <c r="H2461" s="451">
        <f t="shared" si="918"/>
        <v>0</v>
      </c>
      <c r="I2461" s="451">
        <f t="shared" si="918"/>
        <v>0</v>
      </c>
      <c r="J2461" s="451">
        <f t="shared" si="918"/>
        <v>0</v>
      </c>
      <c r="K2461" s="451">
        <f t="shared" si="918"/>
        <v>0</v>
      </c>
      <c r="L2461" s="451">
        <f t="shared" si="918"/>
        <v>0</v>
      </c>
      <c r="M2461" s="454">
        <f t="shared" si="918"/>
        <v>6.8275599999999992E-2</v>
      </c>
      <c r="N2461" s="452">
        <f>SUM(N2458:N2460)</f>
        <v>86.613304165813801</v>
      </c>
      <c r="O2461" s="451">
        <f>O2460</f>
        <v>20</v>
      </c>
      <c r="P2461" s="453">
        <f t="shared" ref="P2461:BK2461" si="919">SUM(P2458:P2460)</f>
        <v>0.27262190094607414</v>
      </c>
      <c r="Q2461" s="453">
        <f t="shared" si="919"/>
        <v>1.627807288932446</v>
      </c>
      <c r="R2461" s="453">
        <f t="shared" si="919"/>
        <v>240.40411584241545</v>
      </c>
      <c r="S2461" s="453">
        <f t="shared" si="919"/>
        <v>1.4665602929620036E-5</v>
      </c>
      <c r="T2461" s="453">
        <f t="shared" si="919"/>
        <v>0.20015478591915728</v>
      </c>
      <c r="U2461" s="453">
        <f t="shared" si="919"/>
        <v>1.6299701671695024</v>
      </c>
      <c r="V2461" s="453">
        <f t="shared" si="919"/>
        <v>0.30173052277108042</v>
      </c>
      <c r="W2461" s="453">
        <f t="shared" si="919"/>
        <v>392.73835161806295</v>
      </c>
      <c r="X2461" s="453">
        <f t="shared" si="919"/>
        <v>5.4831562704264512</v>
      </c>
      <c r="Y2461" s="453">
        <f t="shared" si="919"/>
        <v>7631.8212630043772</v>
      </c>
      <c r="Z2461" s="453">
        <f t="shared" si="919"/>
        <v>3.0981817174132216</v>
      </c>
      <c r="AA2461" s="453">
        <f t="shared" si="919"/>
        <v>250.15784521763399</v>
      </c>
      <c r="AB2461" s="453">
        <f t="shared" si="919"/>
        <v>248.57458002682299</v>
      </c>
      <c r="AC2461" s="453">
        <f t="shared" si="919"/>
        <v>0.83892928601254302</v>
      </c>
      <c r="AD2461" s="453">
        <f t="shared" si="919"/>
        <v>0.74026183027311643</v>
      </c>
      <c r="AE2461" s="453">
        <f t="shared" si="919"/>
        <v>1.4903679287012552E-5</v>
      </c>
      <c r="AF2461" s="453">
        <f t="shared" si="919"/>
        <v>2.4277362859228919</v>
      </c>
      <c r="AG2461" s="453">
        <f t="shared" si="919"/>
        <v>1.5617980609493806E-2</v>
      </c>
      <c r="AH2461" s="453">
        <f t="shared" si="919"/>
        <v>0.27997687516414504</v>
      </c>
      <c r="AI2461" s="453">
        <f t="shared" si="919"/>
        <v>8.0872714719442751</v>
      </c>
      <c r="AJ2461" s="453">
        <f t="shared" si="919"/>
        <v>0.93709268618384622</v>
      </c>
      <c r="AK2461" s="453">
        <f t="shared" si="919"/>
        <v>0.27262127308807482</v>
      </c>
      <c r="AL2461" s="453">
        <f t="shared" si="919"/>
        <v>2964.2130603902183</v>
      </c>
      <c r="AM2461" s="453">
        <f t="shared" si="919"/>
        <v>101.14415206165638</v>
      </c>
      <c r="AN2461" s="453">
        <f t="shared" si="919"/>
        <v>2.3236432790485123E-5</v>
      </c>
      <c r="AO2461" s="453">
        <f t="shared" si="919"/>
        <v>7.2222022161901034</v>
      </c>
      <c r="AP2461" s="453">
        <f t="shared" si="919"/>
        <v>8567.4240144668747</v>
      </c>
      <c r="AQ2461" s="453">
        <f t="shared" si="919"/>
        <v>1.098401763973144E-6</v>
      </c>
      <c r="AR2461" s="453">
        <f t="shared" si="919"/>
        <v>1.5226351383927885E-5</v>
      </c>
      <c r="AS2461" s="453">
        <f t="shared" si="919"/>
        <v>748.68815403742963</v>
      </c>
      <c r="AT2461" s="453">
        <f t="shared" si="919"/>
        <v>0</v>
      </c>
      <c r="AU2461" s="453">
        <f t="shared" si="919"/>
        <v>0</v>
      </c>
      <c r="AV2461" s="317">
        <f t="shared" si="919"/>
        <v>197.91427749403252</v>
      </c>
      <c r="AW2461" s="317">
        <f t="shared" si="919"/>
        <v>0</v>
      </c>
      <c r="AX2461" s="317">
        <f t="shared" si="919"/>
        <v>0</v>
      </c>
      <c r="AY2461" s="317">
        <f t="shared" si="919"/>
        <v>3173.9098247558527</v>
      </c>
      <c r="AZ2461" s="453">
        <f t="shared" si="919"/>
        <v>0</v>
      </c>
      <c r="BA2461" s="453">
        <f t="shared" si="919"/>
        <v>0</v>
      </c>
      <c r="BB2461" s="453">
        <f t="shared" si="919"/>
        <v>0</v>
      </c>
      <c r="BC2461" s="453">
        <f t="shared" si="919"/>
        <v>3.1714310541209669</v>
      </c>
      <c r="BD2461" s="453">
        <f t="shared" si="919"/>
        <v>4.1546991125200973E-2</v>
      </c>
      <c r="BE2461" s="453">
        <f t="shared" si="919"/>
        <v>61.75241474934365</v>
      </c>
      <c r="BF2461" s="453">
        <f t="shared" si="919"/>
        <v>6.471730055235307E-3</v>
      </c>
      <c r="BG2461" s="453">
        <f t="shared" si="919"/>
        <v>0</v>
      </c>
      <c r="BH2461" s="453">
        <f t="shared" si="919"/>
        <v>0</v>
      </c>
      <c r="BI2461" s="453">
        <f t="shared" si="919"/>
        <v>0</v>
      </c>
      <c r="BJ2461" s="453">
        <f t="shared" si="919"/>
        <v>0</v>
      </c>
      <c r="BK2461" s="453">
        <f t="shared" si="919"/>
        <v>0</v>
      </c>
      <c r="BL2461" s="62">
        <f>BL2460</f>
        <v>0.4138</v>
      </c>
      <c r="BM2461" s="275">
        <f>BM2460</f>
        <v>3</v>
      </c>
      <c r="BN2461" s="62">
        <v>0.05</v>
      </c>
      <c r="BO2461" s="451" t="str">
        <f>BO2460</f>
        <v>Eigen berekening</v>
      </c>
      <c r="BP2461" s="451"/>
    </row>
    <row r="2462" spans="1:68">
      <c r="A2462" s="33" t="str">
        <f>Database_Productkaarten[[#This Row],[Product]]&amp;", "&amp;Database_Productkaarten[[#This Row],[Levensfase]]</f>
        <v>Deelproduct, Staanders, Stalen Speeltoestel, A4</v>
      </c>
      <c r="B2462" s="33" t="s">
        <v>812</v>
      </c>
      <c r="C2462" s="33" t="s">
        <v>806</v>
      </c>
      <c r="D2462" s="33" t="s">
        <v>807</v>
      </c>
      <c r="E2462" s="33" t="s">
        <v>783</v>
      </c>
      <c r="F2462" s="33" t="s">
        <v>78</v>
      </c>
      <c r="M2462" s="271">
        <f t="shared" si="917"/>
        <v>6.8275599999999992E-2</v>
      </c>
      <c r="N2462" s="41">
        <v>0.57345909004386153</v>
      </c>
      <c r="O2462" s="33">
        <v>20</v>
      </c>
      <c r="P2462" s="33">
        <v>1.1088506188748853E-4</v>
      </c>
      <c r="Q2462" s="33">
        <v>4.8170816291607542E-2</v>
      </c>
      <c r="R2462" s="33">
        <v>6.4552067798662733</v>
      </c>
      <c r="S2462" s="33">
        <v>1.222898557723095E-6</v>
      </c>
      <c r="T2462" s="33">
        <v>3.9330304554408271E-3</v>
      </c>
      <c r="U2462" s="33">
        <v>1.6799905152950812E-2</v>
      </c>
      <c r="V2462" s="33">
        <v>2.7663169401288697E-3</v>
      </c>
      <c r="W2462" s="33">
        <v>1.3883917834706851</v>
      </c>
      <c r="X2462" s="33">
        <v>5.8347235918452985E-2</v>
      </c>
      <c r="Y2462" s="33">
        <v>157.98250438169805</v>
      </c>
      <c r="Z2462" s="33">
        <v>7.8421635960711431E-3</v>
      </c>
      <c r="AA2462" s="33">
        <v>6.5109377575844309</v>
      </c>
      <c r="AB2462" s="33">
        <v>6.5061793624242199</v>
      </c>
      <c r="AC2462" s="33">
        <v>3.1361632735870939E-3</v>
      </c>
      <c r="AD2462" s="33">
        <v>1.6222780215386348E-3</v>
      </c>
      <c r="AE2462" s="33">
        <v>1.5364241578427413E-6</v>
      </c>
      <c r="AF2462" s="33">
        <v>2.0913674138334781E-2</v>
      </c>
      <c r="AG2462" s="33">
        <v>4.5320507667221195E-5</v>
      </c>
      <c r="AH2462" s="33">
        <v>4.8037521380281025E-3</v>
      </c>
      <c r="AI2462" s="33">
        <v>5.4070358582495599E-2</v>
      </c>
      <c r="AJ2462" s="33">
        <v>2.0240722125323858E-2</v>
      </c>
      <c r="AK2462" s="33">
        <v>1.1088464767307845E-4</v>
      </c>
      <c r="AL2462" s="33">
        <v>101.1252134078839</v>
      </c>
      <c r="AM2462" s="33">
        <v>0.42944814483857829</v>
      </c>
      <c r="AN2462" s="33">
        <v>4.5146562610684756E-7</v>
      </c>
      <c r="AO2462" s="33">
        <v>0.43420284063560904</v>
      </c>
      <c r="AP2462" s="33">
        <v>73.753668091198151</v>
      </c>
      <c r="AQ2462" s="33">
        <v>1.8664961239032542E-9</v>
      </c>
      <c r="AR2462" s="33">
        <v>5.9507310505182968E-8</v>
      </c>
      <c r="AS2462" s="33">
        <v>115.60703474612293</v>
      </c>
      <c r="AT2462" s="33">
        <v>0</v>
      </c>
      <c r="AU2462" s="33">
        <v>0</v>
      </c>
      <c r="AV2462" s="316">
        <v>1.0363709529014213</v>
      </c>
      <c r="AW2462" s="314">
        <v>0</v>
      </c>
      <c r="AX2462" s="314">
        <v>0</v>
      </c>
      <c r="AY2462" s="316">
        <v>107.40443962446959</v>
      </c>
      <c r="AZ2462" s="33">
        <v>0</v>
      </c>
      <c r="BA2462" s="33">
        <v>0</v>
      </c>
      <c r="BB2462" s="33">
        <v>0</v>
      </c>
      <c r="BC2462" s="33">
        <v>1.2915554531891861E-2</v>
      </c>
      <c r="BD2462" s="33">
        <v>2.4994138856822761E-4</v>
      </c>
      <c r="BE2462" s="33">
        <v>8.7909574104981818</v>
      </c>
      <c r="BF2462" s="33">
        <v>6.8675104474390854E-4</v>
      </c>
      <c r="BG2462" s="33">
        <v>0</v>
      </c>
      <c r="BH2462" s="33">
        <v>0</v>
      </c>
      <c r="BI2462" s="33">
        <v>0</v>
      </c>
      <c r="BJ2462" s="33">
        <v>0</v>
      </c>
      <c r="BK2462" s="33">
        <v>0</v>
      </c>
      <c r="BL2462" s="62">
        <v>0.4138</v>
      </c>
      <c r="BM2462" s="275">
        <v>3</v>
      </c>
      <c r="BN2462" s="62">
        <v>0.05</v>
      </c>
      <c r="BO2462" s="33" t="s">
        <v>753</v>
      </c>
    </row>
    <row r="2463" spans="1:68">
      <c r="A2463" s="33" t="str">
        <f>Database_Productkaarten[[#This Row],[Product]]&amp;", "&amp;Database_Productkaarten[[#This Row],[Levensfase]]</f>
        <v>Deelproduct, Staanders, Stalen Speeltoestel, A5</v>
      </c>
      <c r="B2463" s="33" t="s">
        <v>812</v>
      </c>
      <c r="C2463" s="33" t="s">
        <v>806</v>
      </c>
      <c r="D2463" s="33" t="s">
        <v>807</v>
      </c>
      <c r="E2463" s="33" t="s">
        <v>783</v>
      </c>
      <c r="F2463" s="33" t="s">
        <v>79</v>
      </c>
      <c r="M2463" s="271">
        <f t="shared" si="917"/>
        <v>6.8275599999999992E-2</v>
      </c>
      <c r="N2463" s="41">
        <v>1.5975957415479956</v>
      </c>
      <c r="O2463" s="33">
        <v>20</v>
      </c>
      <c r="P2463" s="33">
        <v>2.834426090071758E-5</v>
      </c>
      <c r="Q2463" s="33">
        <v>8.6538988011145693E-2</v>
      </c>
      <c r="R2463" s="33">
        <v>12.69510656349693</v>
      </c>
      <c r="S2463" s="33">
        <v>2.2276710426760132E-6</v>
      </c>
      <c r="T2463" s="33">
        <v>3.941513197607791E-3</v>
      </c>
      <c r="U2463" s="33">
        <v>4.303471756187674E-2</v>
      </c>
      <c r="V2463" s="33">
        <v>8.5602890008216522E-3</v>
      </c>
      <c r="W2463" s="33">
        <v>3.9151641447027217</v>
      </c>
      <c r="X2463" s="33">
        <v>7.5186204223006883E-2</v>
      </c>
      <c r="Y2463" s="33">
        <v>248.90347954188624</v>
      </c>
      <c r="Z2463" s="33">
        <v>3.9103673311374473E-2</v>
      </c>
      <c r="AA2463" s="33">
        <v>12.76188171292673</v>
      </c>
      <c r="AB2463" s="33">
        <v>12.75696167236141</v>
      </c>
      <c r="AC2463" s="33">
        <v>1.4671613314727988E-2</v>
      </c>
      <c r="AD2463" s="33">
        <v>1.9608052815986961E-3</v>
      </c>
      <c r="AE2463" s="33">
        <v>2.7912422413321833E-6</v>
      </c>
      <c r="AF2463" s="33">
        <v>5.7155574908775299E-2</v>
      </c>
      <c r="AG2463" s="33">
        <v>8.4194388540487504E-5</v>
      </c>
      <c r="AH2463" s="33">
        <v>1.9736134585391009E-2</v>
      </c>
      <c r="AI2463" s="33">
        <v>0.21698191693789981</v>
      </c>
      <c r="AJ2463" s="33">
        <v>5.8251800177828258E-2</v>
      </c>
      <c r="AK2463" s="33">
        <v>2.834426090071758E-5</v>
      </c>
      <c r="AL2463" s="33">
        <v>183.68175041981061</v>
      </c>
      <c r="AM2463" s="33">
        <v>0.36666656911321921</v>
      </c>
      <c r="AN2463" s="33">
        <v>2.0591379389757669E-7</v>
      </c>
      <c r="AO2463" s="33">
        <v>0.79906897593737169</v>
      </c>
      <c r="AP2463" s="33">
        <v>117.10924088858478</v>
      </c>
      <c r="AQ2463" s="33">
        <v>2.2314572159559485E-8</v>
      </c>
      <c r="AR2463" s="33">
        <v>1.9133701825372438E-7</v>
      </c>
      <c r="AS2463" s="33">
        <v>28.892382026009518</v>
      </c>
      <c r="AT2463" s="33">
        <v>1.1186158555029642</v>
      </c>
      <c r="AU2463" s="33">
        <v>0</v>
      </c>
      <c r="AV2463" s="316">
        <v>3.23838801473683</v>
      </c>
      <c r="AW2463" s="314">
        <v>9.8005842034335919E-2</v>
      </c>
      <c r="AX2463" s="314">
        <v>1.3765042200431974E-4</v>
      </c>
      <c r="AY2463" s="316">
        <v>195.11879230224687</v>
      </c>
      <c r="AZ2463" s="33">
        <v>1.3648166380662833E-4</v>
      </c>
      <c r="BA2463" s="33">
        <v>0</v>
      </c>
      <c r="BB2463" s="33">
        <v>0</v>
      </c>
      <c r="BC2463" s="33">
        <v>1.4630633266826194E-2</v>
      </c>
      <c r="BD2463" s="33">
        <v>4.8823866466729434E-4</v>
      </c>
      <c r="BE2463" s="33">
        <v>0.45947325369791525</v>
      </c>
      <c r="BF2463" s="33">
        <v>1.2500167179451791E-3</v>
      </c>
      <c r="BG2463" s="33">
        <v>0</v>
      </c>
      <c r="BH2463" s="33">
        <v>0</v>
      </c>
      <c r="BI2463" s="33">
        <v>0</v>
      </c>
      <c r="BJ2463" s="33">
        <v>0</v>
      </c>
      <c r="BK2463" s="33">
        <v>0</v>
      </c>
      <c r="BL2463" s="62">
        <v>0.4138</v>
      </c>
      <c r="BM2463" s="275">
        <v>3</v>
      </c>
      <c r="BN2463" s="62">
        <v>0.05</v>
      </c>
      <c r="BO2463" s="33" t="s">
        <v>753</v>
      </c>
    </row>
    <row r="2464" spans="1:68">
      <c r="A2464" s="33" t="str">
        <f>Database_Productkaarten[[#This Row],[Product]]&amp;", "&amp;Database_Productkaarten[[#This Row],[Levensfase]]</f>
        <v>Deelproduct, Staanders, Stalen Speeltoestel, C1</v>
      </c>
      <c r="B2464" s="33" t="s">
        <v>812</v>
      </c>
      <c r="C2464" s="33" t="s">
        <v>806</v>
      </c>
      <c r="D2464" s="33" t="s">
        <v>807</v>
      </c>
      <c r="E2464" s="33" t="s">
        <v>783</v>
      </c>
      <c r="F2464" s="33" t="s">
        <v>83</v>
      </c>
      <c r="M2464" s="271">
        <f t="shared" si="917"/>
        <v>6.8275599999999992E-2</v>
      </c>
      <c r="N2464" s="41">
        <v>1.5975957415479956</v>
      </c>
      <c r="O2464" s="33">
        <v>20</v>
      </c>
      <c r="P2464" s="33">
        <v>2.834426090071758E-5</v>
      </c>
      <c r="Q2464" s="33">
        <v>8.6538988011145693E-2</v>
      </c>
      <c r="R2464" s="33">
        <v>12.69510656349693</v>
      </c>
      <c r="S2464" s="33">
        <v>2.2276710426760132E-6</v>
      </c>
      <c r="T2464" s="33">
        <v>3.941513197607791E-3</v>
      </c>
      <c r="U2464" s="33">
        <v>4.303471756187674E-2</v>
      </c>
      <c r="V2464" s="33">
        <v>8.5602890008216522E-3</v>
      </c>
      <c r="W2464" s="33">
        <v>3.9151641447027217</v>
      </c>
      <c r="X2464" s="33">
        <v>7.5186204223006883E-2</v>
      </c>
      <c r="Y2464" s="33">
        <v>248.90347954188624</v>
      </c>
      <c r="Z2464" s="33">
        <v>3.9103673311374473E-2</v>
      </c>
      <c r="AA2464" s="33">
        <v>12.76188171292673</v>
      </c>
      <c r="AB2464" s="33">
        <v>12.75696167236141</v>
      </c>
      <c r="AC2464" s="33">
        <v>1.4671613314727988E-2</v>
      </c>
      <c r="AD2464" s="33">
        <v>1.9608052815986961E-3</v>
      </c>
      <c r="AE2464" s="33">
        <v>2.7912422413321833E-6</v>
      </c>
      <c r="AF2464" s="33">
        <v>5.7155574908775299E-2</v>
      </c>
      <c r="AG2464" s="33">
        <v>8.4194388540487504E-5</v>
      </c>
      <c r="AH2464" s="33">
        <v>1.9736134585391009E-2</v>
      </c>
      <c r="AI2464" s="33">
        <v>0.21698191693789981</v>
      </c>
      <c r="AJ2464" s="33">
        <v>5.8251800177828258E-2</v>
      </c>
      <c r="AK2464" s="33">
        <v>2.834426090071758E-5</v>
      </c>
      <c r="AL2464" s="33">
        <v>183.68175041981061</v>
      </c>
      <c r="AM2464" s="33">
        <v>0.36666656911321921</v>
      </c>
      <c r="AN2464" s="33">
        <v>2.0591379389757669E-7</v>
      </c>
      <c r="AO2464" s="33">
        <v>0.79906897593737169</v>
      </c>
      <c r="AP2464" s="33">
        <v>117.10924088858478</v>
      </c>
      <c r="AQ2464" s="33">
        <v>2.2314572159559485E-8</v>
      </c>
      <c r="AR2464" s="33">
        <v>1.9133701825372438E-7</v>
      </c>
      <c r="AS2464" s="33">
        <v>28.892382026009518</v>
      </c>
      <c r="AT2464" s="33">
        <v>1.1186158555029642</v>
      </c>
      <c r="AU2464" s="33">
        <v>0</v>
      </c>
      <c r="AV2464" s="316">
        <v>3.23838801473683</v>
      </c>
      <c r="AW2464" s="314">
        <v>9.8005842034335919E-2</v>
      </c>
      <c r="AX2464" s="314">
        <v>1.3765042200431974E-4</v>
      </c>
      <c r="AY2464" s="316">
        <v>195.11879230224687</v>
      </c>
      <c r="AZ2464" s="33">
        <v>1.3648166380662833E-4</v>
      </c>
      <c r="BA2464" s="33">
        <v>0</v>
      </c>
      <c r="BB2464" s="33">
        <v>0</v>
      </c>
      <c r="BC2464" s="33">
        <v>1.4630633266826194E-2</v>
      </c>
      <c r="BD2464" s="33">
        <v>4.8823866466729434E-4</v>
      </c>
      <c r="BE2464" s="33">
        <v>0.45947325369791525</v>
      </c>
      <c r="BF2464" s="33">
        <v>1.2500167179451791E-3</v>
      </c>
      <c r="BG2464" s="33">
        <v>0</v>
      </c>
      <c r="BH2464" s="33">
        <v>0</v>
      </c>
      <c r="BI2464" s="33">
        <v>0</v>
      </c>
      <c r="BJ2464" s="33">
        <v>0</v>
      </c>
      <c r="BK2464" s="33">
        <v>0</v>
      </c>
      <c r="BL2464" s="62">
        <v>0.4138</v>
      </c>
      <c r="BM2464" s="275">
        <v>3</v>
      </c>
      <c r="BN2464" s="62">
        <v>0.05</v>
      </c>
      <c r="BO2464" s="33" t="s">
        <v>753</v>
      </c>
    </row>
    <row r="2465" spans="1:68">
      <c r="A2465" s="33" t="str">
        <f>Database_Productkaarten[[#This Row],[Product]]&amp;", "&amp;Database_Productkaarten[[#This Row],[Levensfase]]</f>
        <v>Deelproduct, Staanders, Stalen Speeltoestel, C2</v>
      </c>
      <c r="B2465" s="33" t="s">
        <v>812</v>
      </c>
      <c r="C2465" s="33" t="s">
        <v>806</v>
      </c>
      <c r="D2465" s="33" t="s">
        <v>807</v>
      </c>
      <c r="E2465" s="33" t="s">
        <v>783</v>
      </c>
      <c r="F2465" s="33" t="s">
        <v>84</v>
      </c>
      <c r="M2465" s="271">
        <f t="shared" si="917"/>
        <v>6.8275599999999992E-2</v>
      </c>
      <c r="N2465" s="41">
        <v>0.27412002392153995</v>
      </c>
      <c r="O2465" s="33">
        <v>20</v>
      </c>
      <c r="P2465" s="33">
        <v>5.3004331686179996E-5</v>
      </c>
      <c r="Q2465" s="33">
        <v>2.3026202816255996E-2</v>
      </c>
      <c r="R2465" s="33">
        <v>3.0856628966855997</v>
      </c>
      <c r="S2465" s="33">
        <v>5.8455954002060001E-7</v>
      </c>
      <c r="T2465" s="33">
        <v>1.8800336785089998E-3</v>
      </c>
      <c r="U2465" s="33">
        <v>8.0305473962480004E-3</v>
      </c>
      <c r="V2465" s="33">
        <v>1.3223312333312E-3</v>
      </c>
      <c r="W2465" s="33">
        <v>0.66366720051179995</v>
      </c>
      <c r="X2465" s="33">
        <v>2.7890648144576001E-2</v>
      </c>
      <c r="Y2465" s="33">
        <v>75.517449513239995</v>
      </c>
      <c r="Z2465" s="33">
        <v>3.748644166382E-3</v>
      </c>
      <c r="AA2465" s="33">
        <v>3.1123029433959997</v>
      </c>
      <c r="AB2465" s="33">
        <v>3.1100283759198</v>
      </c>
      <c r="AC2465" s="33">
        <v>1.4991220237031999E-3</v>
      </c>
      <c r="AD2465" s="33">
        <v>7.7546750551559993E-4</v>
      </c>
      <c r="AE2465" s="33">
        <v>7.3442837372980001E-7</v>
      </c>
      <c r="AF2465" s="33">
        <v>9.9969761655520004E-3</v>
      </c>
      <c r="AG2465" s="33">
        <v>2.1663722594273997E-5</v>
      </c>
      <c r="AH2465" s="33">
        <v>2.2962486319446002E-3</v>
      </c>
      <c r="AI2465" s="33">
        <v>2.5846251712474001E-2</v>
      </c>
      <c r="AJ2465" s="33">
        <v>9.6752973830419985E-3</v>
      </c>
      <c r="AK2465" s="33">
        <v>5.3004133686939993E-5</v>
      </c>
      <c r="AL2465" s="33">
        <v>48.33901214526</v>
      </c>
      <c r="AM2465" s="33">
        <v>0.20528113998019998</v>
      </c>
      <c r="AN2465" s="33">
        <v>2.1580574861703998E-7</v>
      </c>
      <c r="AO2465" s="33">
        <v>0.20755393911835998</v>
      </c>
      <c r="AP2465" s="33">
        <v>35.255099469980003</v>
      </c>
      <c r="AQ2465" s="33">
        <v>8.9220656018319997E-10</v>
      </c>
      <c r="AR2465" s="33">
        <v>2.8445177105728E-8</v>
      </c>
      <c r="AS2465" s="33">
        <v>55.261488884379993</v>
      </c>
      <c r="AT2465" s="33">
        <v>0</v>
      </c>
      <c r="AU2465" s="33">
        <v>0</v>
      </c>
      <c r="AV2465" s="316">
        <v>0.4953972050198</v>
      </c>
      <c r="AW2465" s="314">
        <v>0</v>
      </c>
      <c r="AX2465" s="314">
        <v>0</v>
      </c>
      <c r="AY2465" s="316">
        <v>51.340554313799998</v>
      </c>
      <c r="AZ2465" s="33">
        <v>0</v>
      </c>
      <c r="BA2465" s="33">
        <v>0</v>
      </c>
      <c r="BB2465" s="33">
        <v>0</v>
      </c>
      <c r="BC2465" s="33">
        <v>6.1737832370419993E-3</v>
      </c>
      <c r="BD2465" s="33">
        <v>1.1947485113204E-4</v>
      </c>
      <c r="BE2465" s="33">
        <v>4.2021784945020002</v>
      </c>
      <c r="BF2465" s="33">
        <v>3.2827487798465995E-4</v>
      </c>
      <c r="BG2465" s="33">
        <v>0</v>
      </c>
      <c r="BH2465" s="33">
        <v>0</v>
      </c>
      <c r="BI2465" s="33">
        <v>0</v>
      </c>
      <c r="BJ2465" s="33">
        <v>0</v>
      </c>
      <c r="BK2465" s="33">
        <v>0</v>
      </c>
      <c r="BL2465" s="62">
        <v>0.4138</v>
      </c>
      <c r="BM2465" s="275">
        <v>3</v>
      </c>
      <c r="BN2465" s="62">
        <v>0.05</v>
      </c>
      <c r="BO2465" s="33" t="s">
        <v>753</v>
      </c>
    </row>
    <row r="2466" spans="1:68">
      <c r="A2466" s="33" t="str">
        <f>Database_Productkaarten[[#This Row],[Product]]&amp;", "&amp;Database_Productkaarten[[#This Row],[Levensfase]]</f>
        <v>Deelproduct, Staanders, Stalen Speeltoestel, C3</v>
      </c>
      <c r="B2466" s="33" t="s">
        <v>812</v>
      </c>
      <c r="C2466" s="33" t="s">
        <v>806</v>
      </c>
      <c r="D2466" s="33" t="s">
        <v>807</v>
      </c>
      <c r="E2466" s="33" t="s">
        <v>783</v>
      </c>
      <c r="F2466" s="33" t="s">
        <v>85</v>
      </c>
      <c r="M2466" s="271">
        <f t="shared" si="917"/>
        <v>6.8275599999999992E-2</v>
      </c>
      <c r="N2466" s="41">
        <v>0.36665201999999997</v>
      </c>
      <c r="O2466" s="33">
        <v>20</v>
      </c>
      <c r="P2466" s="33">
        <v>9.2167571999999992E-5</v>
      </c>
      <c r="Q2466" s="33">
        <v>1.0764096000000001E-2</v>
      </c>
      <c r="R2466" s="33">
        <v>1.6415246400000001</v>
      </c>
      <c r="S2466" s="33">
        <v>2.0519057999999999E-7</v>
      </c>
      <c r="T2466" s="33">
        <v>1.4464254E-3</v>
      </c>
      <c r="U2466" s="33">
        <v>1.6146144000000001E-2</v>
      </c>
      <c r="V2466" s="33">
        <v>2.0586333599999997E-3</v>
      </c>
      <c r="W2466" s="33">
        <v>1.9913577600000001</v>
      </c>
      <c r="X2466" s="33">
        <v>3.7057418747999997E-2</v>
      </c>
      <c r="Y2466" s="33">
        <v>161.46143999999998</v>
      </c>
      <c r="Z2466" s="33">
        <v>6.1960827599999999E-3</v>
      </c>
      <c r="AA2466" s="33">
        <v>1.5675214799999999</v>
      </c>
      <c r="AB2466" s="33">
        <v>1.6617073199999999</v>
      </c>
      <c r="AC2466" s="33">
        <v>-9.4858596000000003E-2</v>
      </c>
      <c r="AD2466" s="33">
        <v>1.8568065599999998E-3</v>
      </c>
      <c r="AE2466" s="33">
        <v>2.3815562399999999E-7</v>
      </c>
      <c r="AF2466" s="33">
        <v>2.0115404399999998E-2</v>
      </c>
      <c r="AG2466" s="33">
        <v>1.13023008E-4</v>
      </c>
      <c r="AH2466" s="33">
        <v>4.4401896E-3</v>
      </c>
      <c r="AI2466" s="33">
        <v>5.1512254163999995E-2</v>
      </c>
      <c r="AJ2466" s="33">
        <v>1.40606004E-2</v>
      </c>
      <c r="AK2466" s="33">
        <v>9.2167571999999992E-5</v>
      </c>
      <c r="AL2466" s="33">
        <v>23.011620325511998</v>
      </c>
      <c r="AM2466" s="33">
        <v>0.23142806399999999</v>
      </c>
      <c r="AN2466" s="33">
        <v>2.5295625599999998E-7</v>
      </c>
      <c r="AO2466" s="33">
        <v>0.11436851999999999</v>
      </c>
      <c r="AP2466" s="33">
        <v>98.93808074303999</v>
      </c>
      <c r="AQ2466" s="33">
        <v>2.41519404E-9</v>
      </c>
      <c r="AR2466" s="33">
        <v>1.1436851999999999E-7</v>
      </c>
      <c r="AS2466" s="33">
        <v>46.309118221883992</v>
      </c>
      <c r="AT2466" s="33">
        <v>0</v>
      </c>
      <c r="AU2466" s="33">
        <v>0</v>
      </c>
      <c r="AV2466" s="316">
        <v>3.6097826499839996</v>
      </c>
      <c r="AW2466" s="314">
        <v>0</v>
      </c>
      <c r="AX2466" s="314">
        <v>0</v>
      </c>
      <c r="AY2466" s="316">
        <v>24.391329858503997</v>
      </c>
      <c r="AZ2466" s="33">
        <v>0</v>
      </c>
      <c r="BA2466" s="33">
        <v>0</v>
      </c>
      <c r="BB2466" s="33">
        <v>0</v>
      </c>
      <c r="BC2466" s="33">
        <v>1.08986472E-2</v>
      </c>
      <c r="BD2466" s="33">
        <v>6.9293868000000003E-5</v>
      </c>
      <c r="BE2466" s="33">
        <v>0.67249093413599992</v>
      </c>
      <c r="BF2466" s="33">
        <v>1.3656946799999999E-4</v>
      </c>
      <c r="BG2466" s="33">
        <v>0</v>
      </c>
      <c r="BH2466" s="33">
        <v>0</v>
      </c>
      <c r="BI2466" s="33">
        <v>0</v>
      </c>
      <c r="BJ2466" s="33">
        <v>0</v>
      </c>
      <c r="BK2466" s="33">
        <v>0</v>
      </c>
      <c r="BL2466" s="62">
        <v>0.4138</v>
      </c>
      <c r="BM2466" s="275">
        <v>3</v>
      </c>
      <c r="BN2466" s="62">
        <v>0.05</v>
      </c>
      <c r="BO2466" s="33" t="s">
        <v>753</v>
      </c>
    </row>
    <row r="2467" spans="1:68">
      <c r="A2467" s="33" t="str">
        <f>Database_Productkaarten[[#This Row],[Product]]&amp;", "&amp;Database_Productkaarten[[#This Row],[Levensfase]]</f>
        <v>Deelproduct, Staanders, Stalen Speeltoestel, C4</v>
      </c>
      <c r="B2467" s="33" t="s">
        <v>812</v>
      </c>
      <c r="C2467" s="33" t="s">
        <v>806</v>
      </c>
      <c r="D2467" s="33" t="s">
        <v>807</v>
      </c>
      <c r="E2467" s="33" t="s">
        <v>783</v>
      </c>
      <c r="F2467" s="33" t="s">
        <v>86</v>
      </c>
      <c r="M2467" s="271">
        <f t="shared" si="917"/>
        <v>6.8275599999999992E-2</v>
      </c>
      <c r="N2467" s="41">
        <v>1.1167749600000001E-3</v>
      </c>
      <c r="O2467" s="33">
        <v>20</v>
      </c>
      <c r="P2467" s="33">
        <v>5.3013172800000002E-8</v>
      </c>
      <c r="Q2467" s="33">
        <v>7.3330404000000003E-5</v>
      </c>
      <c r="R2467" s="33">
        <v>5.9471630400000008E-3</v>
      </c>
      <c r="S2467" s="33">
        <v>1.7693482799999999E-9</v>
      </c>
      <c r="T2467" s="33">
        <v>5.8664323199999998E-6</v>
      </c>
      <c r="U2467" s="33">
        <v>3.9019848E-5</v>
      </c>
      <c r="V2467" s="33">
        <v>8.1403476000000005E-6</v>
      </c>
      <c r="W2467" s="33">
        <v>5.2130853305999997E-3</v>
      </c>
      <c r="X2467" s="33">
        <v>1.65497976E-3</v>
      </c>
      <c r="Y2467" s="33">
        <v>0.43930966800000004</v>
      </c>
      <c r="Z2467" s="33">
        <v>1.2984190800000001E-5</v>
      </c>
      <c r="AA2467" s="33">
        <v>6.3146829152400004E-3</v>
      </c>
      <c r="AB2467" s="33">
        <v>6.03410329788E-3</v>
      </c>
      <c r="AC2467" s="33">
        <v>2.7888427224000004E-4</v>
      </c>
      <c r="AD2467" s="33">
        <v>1.6953451200000001E-6</v>
      </c>
      <c r="AE2467" s="33">
        <v>2.1730018799999999E-9</v>
      </c>
      <c r="AF2467" s="33">
        <v>5.2609519200000007E-5</v>
      </c>
      <c r="AG2467" s="33">
        <v>7.8039696000000012E-8</v>
      </c>
      <c r="AH2467" s="33">
        <v>1.94426484E-5</v>
      </c>
      <c r="AI2467" s="33">
        <v>2.1528192000000001E-4</v>
      </c>
      <c r="AJ2467" s="33">
        <v>6.1489898400000003E-5</v>
      </c>
      <c r="AK2467" s="33">
        <v>5.3013172800000002E-8</v>
      </c>
      <c r="AL2467" s="33">
        <v>0.16172785810356</v>
      </c>
      <c r="AM2467" s="33">
        <v>7.6021428000000002E-4</v>
      </c>
      <c r="AN2467" s="33">
        <v>1.08313716E-9</v>
      </c>
      <c r="AO2467" s="33">
        <v>8.0632497623999994E-4</v>
      </c>
      <c r="AP2467" s="33">
        <v>0.7801604862660001</v>
      </c>
      <c r="AQ2467" s="33">
        <v>7.4675916000000002E-12</v>
      </c>
      <c r="AR2467" s="33">
        <v>6.1086244799999996E-10</v>
      </c>
      <c r="AS2467" s="33">
        <v>0.39607595224595998</v>
      </c>
      <c r="AT2467" s="33">
        <v>0</v>
      </c>
      <c r="AU2467" s="33">
        <v>0</v>
      </c>
      <c r="AV2467" s="316">
        <v>9.1122714656400004E-3</v>
      </c>
      <c r="AW2467" s="314">
        <v>0</v>
      </c>
      <c r="AX2467" s="314">
        <v>0</v>
      </c>
      <c r="AY2467" s="316">
        <v>0.17150724114636001</v>
      </c>
      <c r="AZ2467" s="33">
        <v>0</v>
      </c>
      <c r="BA2467" s="33">
        <v>0</v>
      </c>
      <c r="BB2467" s="33">
        <v>0</v>
      </c>
      <c r="BC2467" s="33">
        <v>2.0163170076000002E-4</v>
      </c>
      <c r="BD2467" s="33">
        <v>1.9846301999999999E-7</v>
      </c>
      <c r="BE2467" s="33">
        <v>0.67417780253040005</v>
      </c>
      <c r="BF2467" s="33">
        <v>1.06968204E-6</v>
      </c>
      <c r="BG2467" s="33">
        <v>0</v>
      </c>
      <c r="BH2467" s="33">
        <v>0</v>
      </c>
      <c r="BI2467" s="33">
        <v>0</v>
      </c>
      <c r="BJ2467" s="33">
        <v>0</v>
      </c>
      <c r="BK2467" s="33">
        <v>0</v>
      </c>
      <c r="BL2467" s="62">
        <v>0.4138</v>
      </c>
      <c r="BM2467" s="275">
        <v>3</v>
      </c>
      <c r="BN2467" s="62">
        <v>0.05</v>
      </c>
      <c r="BO2467" s="33" t="s">
        <v>753</v>
      </c>
    </row>
    <row r="2468" spans="1:68">
      <c r="A2468" s="33" t="str">
        <f>Database_Productkaarten[[#This Row],[Product]]&amp;", "&amp;Database_Productkaarten[[#This Row],[Levensfase]]</f>
        <v>Deelproduct, Staanders, Stalen Speeltoestel, D</v>
      </c>
      <c r="B2468" s="33" t="s">
        <v>812</v>
      </c>
      <c r="C2468" s="33" t="s">
        <v>806</v>
      </c>
      <c r="D2468" s="33" t="s">
        <v>807</v>
      </c>
      <c r="E2468" s="33" t="s">
        <v>783</v>
      </c>
      <c r="F2468" s="33" t="s">
        <v>89</v>
      </c>
      <c r="M2468" s="271">
        <f t="shared" si="917"/>
        <v>6.8275599999999992E-2</v>
      </c>
      <c r="N2468" s="41">
        <v>-6.3168796761600019</v>
      </c>
      <c r="O2468" s="33">
        <v>20</v>
      </c>
      <c r="P2468" s="33">
        <v>-3.1143249660318721E-2</v>
      </c>
      <c r="Q2468" s="33">
        <v>-0.308518490624064</v>
      </c>
      <c r="R2468" s="33">
        <v>-50.15924327118433</v>
      </c>
      <c r="S2468" s="33">
        <v>-1.7189386265280002E-6</v>
      </c>
      <c r="T2468" s="33">
        <v>-0.10947945321120002</v>
      </c>
      <c r="U2468" s="33">
        <v>-0.17144420245440004</v>
      </c>
      <c r="V2468" s="33">
        <v>-2.0523215435040001E-2</v>
      </c>
      <c r="W2468" s="33">
        <v>-31.674028228800005</v>
      </c>
      <c r="X2468" s="33">
        <v>0.34020873436800009</v>
      </c>
      <c r="Y2468" s="33">
        <v>280.28485386398677</v>
      </c>
      <c r="Z2468" s="33">
        <v>2.6292059588377206</v>
      </c>
      <c r="AA2468" s="33">
        <v>-53.140030738391822</v>
      </c>
      <c r="AB2468" s="33">
        <v>-53.563945707601327</v>
      </c>
      <c r="AC2468" s="33">
        <v>0.56115548939490245</v>
      </c>
      <c r="AD2468" s="33">
        <v>3.9843161767079999E-2</v>
      </c>
      <c r="AE2468" s="33">
        <v>-1.2853211330880003E-6</v>
      </c>
      <c r="AF2468" s="33">
        <v>-0.21007839955080002</v>
      </c>
      <c r="AG2468" s="33">
        <v>-1.9477889731680004E-3</v>
      </c>
      <c r="AH2468" s="33">
        <v>-3.903686103960001E-2</v>
      </c>
      <c r="AI2468" s="33">
        <v>-0.45550956998400016</v>
      </c>
      <c r="AJ2468" s="33">
        <v>-0.30760601027942408</v>
      </c>
      <c r="AK2468" s="33">
        <v>-3.1175323086318721E-2</v>
      </c>
      <c r="AL2468" s="33">
        <v>-372.07139447575923</v>
      </c>
      <c r="AM2468" s="33">
        <v>-10.449163229992804</v>
      </c>
      <c r="AN2468" s="33">
        <v>-3.1208756195280008E-6</v>
      </c>
      <c r="AO2468" s="33">
        <v>0.93217081968506887</v>
      </c>
      <c r="AP2468" s="33">
        <v>-1934.1015571663204</v>
      </c>
      <c r="AQ2468" s="33">
        <v>-1.238230668192E-8</v>
      </c>
      <c r="AR2468" s="33">
        <v>1.0351460230560001E-5</v>
      </c>
      <c r="AS2468" s="33">
        <v>-88.012478032675503</v>
      </c>
      <c r="AT2468" s="33">
        <v>0</v>
      </c>
      <c r="AU2468" s="33">
        <v>0</v>
      </c>
      <c r="AV2468" s="316">
        <v>11.196737269908992</v>
      </c>
      <c r="AW2468" s="314">
        <v>0</v>
      </c>
      <c r="AX2468" s="314">
        <v>0</v>
      </c>
      <c r="AY2468" s="316">
        <v>-385.90145254415603</v>
      </c>
      <c r="AZ2468" s="33">
        <v>0</v>
      </c>
      <c r="BA2468" s="33">
        <v>0</v>
      </c>
      <c r="BB2468" s="33">
        <v>0</v>
      </c>
      <c r="BC2468" s="33">
        <v>-0.19777898871240004</v>
      </c>
      <c r="BD2468" s="33">
        <v>-6.4960530912480012E-3</v>
      </c>
      <c r="BE2468" s="33">
        <v>-5.2331739996712816</v>
      </c>
      <c r="BF2468" s="33">
        <v>3.2916621502080003E-4</v>
      </c>
      <c r="BG2468" s="33">
        <v>0</v>
      </c>
      <c r="BH2468" s="33">
        <v>0</v>
      </c>
      <c r="BI2468" s="33">
        <v>0</v>
      </c>
      <c r="BJ2468" s="33">
        <v>0</v>
      </c>
      <c r="BK2468" s="33">
        <v>0</v>
      </c>
      <c r="BL2468" s="62">
        <v>0.4138</v>
      </c>
      <c r="BM2468" s="275">
        <v>3</v>
      </c>
      <c r="BN2468" s="62">
        <v>0.05</v>
      </c>
      <c r="BO2468" s="33" t="s">
        <v>753</v>
      </c>
    </row>
    <row r="2469" spans="1:68">
      <c r="A2469" s="33" t="str">
        <f>Database_Productkaarten[[#This Row],[Product]]&amp;", "&amp;Database_Productkaarten[[#This Row],[Levensfase]]</f>
        <v>Deelproduct, Platform, Stalen Speeltoestel, Totaal</v>
      </c>
      <c r="B2469" s="33" t="s">
        <v>813</v>
      </c>
      <c r="C2469" s="33" t="s">
        <v>806</v>
      </c>
      <c r="D2469" s="33" t="s">
        <v>807</v>
      </c>
      <c r="E2469" s="33" t="s">
        <v>783</v>
      </c>
      <c r="F2469" s="33" t="s">
        <v>90</v>
      </c>
      <c r="M2469" s="271">
        <f>8.75/1000</f>
        <v>8.7500000000000008E-3</v>
      </c>
      <c r="N2469" s="41">
        <v>4.4868731392726993</v>
      </c>
      <c r="O2469" s="33">
        <v>20</v>
      </c>
      <c r="P2469" s="33">
        <v>3.1201465906279972E-4</v>
      </c>
      <c r="Q2469" s="33">
        <v>0.33084688981623289</v>
      </c>
      <c r="R2469" s="33">
        <v>51.53171098201102</v>
      </c>
      <c r="S2469" s="33">
        <v>2.9918425893361841E-6</v>
      </c>
      <c r="T2469" s="33">
        <v>1.6986507305153144E-2</v>
      </c>
      <c r="U2469" s="33">
        <v>0.1262840269843685</v>
      </c>
      <c r="V2469" s="33">
        <v>1.7018263409315532E-2</v>
      </c>
      <c r="W2469" s="33">
        <v>11.664142609896793</v>
      </c>
      <c r="X2469" s="33">
        <v>0.31654439729626727</v>
      </c>
      <c r="Y2469" s="33">
        <v>1039.7667463840535</v>
      </c>
      <c r="Z2469" s="33">
        <v>6.1222767210284815E-2</v>
      </c>
      <c r="AA2469" s="33">
        <v>51.745773566330051</v>
      </c>
      <c r="AB2469" s="33">
        <v>52.28620724136178</v>
      </c>
      <c r="AC2469" s="33">
        <v>-0.53593918325809686</v>
      </c>
      <c r="AD2469" s="33">
        <v>2.6464275476713178E-2</v>
      </c>
      <c r="AE2469" s="33">
        <v>3.311472645534641E-6</v>
      </c>
      <c r="AF2469" s="33">
        <v>0.1547553263567665</v>
      </c>
      <c r="AG2469" s="33">
        <v>1.3708769242447424E-3</v>
      </c>
      <c r="AH2469" s="33">
        <v>3.1736219372213784E-2</v>
      </c>
      <c r="AI2469" s="33">
        <v>0.35478547925816079</v>
      </c>
      <c r="AJ2469" s="33">
        <v>0.11199438878622597</v>
      </c>
      <c r="AK2469" s="33">
        <v>3.1201410022829967E-4</v>
      </c>
      <c r="AL2469" s="33">
        <v>652.48367224835397</v>
      </c>
      <c r="AM2469" s="33">
        <v>7.4057061601125307</v>
      </c>
      <c r="AN2469" s="33">
        <v>1.2259137834648734E-6</v>
      </c>
      <c r="AO2469" s="33">
        <v>1.4442373658901466</v>
      </c>
      <c r="AP2469" s="33">
        <v>707.3651527093964</v>
      </c>
      <c r="AQ2469" s="33">
        <v>2.0583236782114571E-8</v>
      </c>
      <c r="AR2469" s="33">
        <v>3.997801271201777E-7</v>
      </c>
      <c r="AS2469" s="33">
        <v>174.06371855797019</v>
      </c>
      <c r="AT2469" s="33">
        <v>0.29097886115176785</v>
      </c>
      <c r="AU2469" s="33">
        <v>0</v>
      </c>
      <c r="AV2469" s="316">
        <v>32.076528668668971</v>
      </c>
      <c r="AW2469" s="314">
        <v>2.5493674312839703E-2</v>
      </c>
      <c r="AX2469" s="314">
        <v>3.580618210875258E-5</v>
      </c>
      <c r="AY2469" s="316">
        <v>696.99279302048399</v>
      </c>
      <c r="AZ2469" s="33">
        <v>3.5502160019620716E-5</v>
      </c>
      <c r="BA2469" s="33">
        <v>0</v>
      </c>
      <c r="BB2469" s="33">
        <v>0</v>
      </c>
      <c r="BC2469" s="33">
        <v>0.31262595344958444</v>
      </c>
      <c r="BD2469" s="33">
        <v>7.5960451664401282E-4</v>
      </c>
      <c r="BE2469" s="33">
        <v>8.0885411066331212</v>
      </c>
      <c r="BF2469" s="33">
        <v>1.5356752059401966E-3</v>
      </c>
      <c r="BG2469" s="33">
        <v>0</v>
      </c>
      <c r="BH2469" s="33">
        <v>0</v>
      </c>
      <c r="BI2469" s="33">
        <v>0</v>
      </c>
      <c r="BJ2469" s="33">
        <v>0</v>
      </c>
      <c r="BK2469" s="33">
        <v>0</v>
      </c>
      <c r="BL2469" s="62">
        <v>0</v>
      </c>
      <c r="BM2469" s="275">
        <v>3</v>
      </c>
      <c r="BN2469" s="62">
        <v>0.05</v>
      </c>
      <c r="BO2469" s="33" t="s">
        <v>753</v>
      </c>
    </row>
    <row r="2470" spans="1:68">
      <c r="A2470" s="33" t="str">
        <f>Database_Productkaarten[[#This Row],[Product]]&amp;", "&amp;Database_Productkaarten[[#This Row],[Levensfase]]</f>
        <v>Deelproduct, Platform, Stalen Speeltoestel, A1</v>
      </c>
      <c r="B2470" s="33" t="s">
        <v>813</v>
      </c>
      <c r="C2470" s="33" t="s">
        <v>806</v>
      </c>
      <c r="D2470" s="33" t="s">
        <v>807</v>
      </c>
      <c r="E2470" s="33" t="s">
        <v>783</v>
      </c>
      <c r="F2470" s="33" t="s">
        <v>74</v>
      </c>
      <c r="M2470" s="271">
        <f t="shared" ref="M2470:M2479" si="920">8.75/1000</f>
        <v>8.7500000000000008E-3</v>
      </c>
      <c r="N2470" s="41">
        <v>2.9455258875000001</v>
      </c>
      <c r="O2470" s="33">
        <v>20</v>
      </c>
      <c r="P2470" s="33">
        <v>2.7562499999999999E-4</v>
      </c>
      <c r="Q2470" s="33">
        <v>0.41923568750000001</v>
      </c>
      <c r="R2470" s="33">
        <v>31.204684</v>
      </c>
      <c r="S2470" s="33">
        <v>1.3825000000000001E-6</v>
      </c>
      <c r="T2470" s="33">
        <v>1.9940025E-2</v>
      </c>
      <c r="U2470" s="33">
        <v>0.1151143875</v>
      </c>
      <c r="V2470" s="33">
        <v>1.2328312499999999E-2</v>
      </c>
      <c r="W2470" s="33">
        <v>7.0357749875</v>
      </c>
      <c r="X2470" s="33">
        <v>0.18384896249999999</v>
      </c>
      <c r="Y2470" s="33">
        <v>661.57739375000006</v>
      </c>
      <c r="Z2470" s="33">
        <v>3.2390487500000002E-2</v>
      </c>
      <c r="AA2470" s="33">
        <v>31.712360749999998</v>
      </c>
      <c r="AB2470" s="33">
        <v>32.192923</v>
      </c>
      <c r="AC2470" s="33">
        <v>-0.50279162500000008</v>
      </c>
      <c r="AD2470" s="33">
        <v>2.2228675E-2</v>
      </c>
      <c r="AE2470" s="33">
        <v>1.46125E-6</v>
      </c>
      <c r="AF2470" s="33">
        <v>0.13863307499999999</v>
      </c>
      <c r="AG2470" s="33">
        <v>9.8280000000000004E-4</v>
      </c>
      <c r="AH2470" s="33">
        <v>2.4126287499999999E-2</v>
      </c>
      <c r="AI2470" s="33">
        <v>0.27138641250000001</v>
      </c>
      <c r="AJ2470" s="33">
        <v>9.9241537500000004E-2</v>
      </c>
      <c r="AK2470" s="33">
        <v>2.7562499999999999E-4</v>
      </c>
      <c r="AL2470" s="33">
        <v>839.99031374999993</v>
      </c>
      <c r="AM2470" s="33">
        <v>11.833780000000001</v>
      </c>
      <c r="AN2470" s="33">
        <v>1.085E-6</v>
      </c>
      <c r="AO2470" s="33">
        <v>0.96953316249999999</v>
      </c>
      <c r="AP2470" s="33">
        <v>413.13379624999999</v>
      </c>
      <c r="AQ2470" s="33">
        <v>8.7150000000000006E-9</v>
      </c>
      <c r="AR2470" s="33">
        <v>2.5025000000000001E-7</v>
      </c>
      <c r="AS2470" s="33">
        <v>111.09896875</v>
      </c>
      <c r="AT2470" s="33">
        <v>0</v>
      </c>
      <c r="AU2470" s="33">
        <v>0</v>
      </c>
      <c r="AV2470" s="316">
        <v>30.663133375000001</v>
      </c>
      <c r="AW2470" s="314">
        <v>0</v>
      </c>
      <c r="AX2470" s="314">
        <v>0</v>
      </c>
      <c r="AY2470" s="316">
        <v>900.13315</v>
      </c>
      <c r="AZ2470" s="33">
        <v>0</v>
      </c>
      <c r="BA2470" s="33">
        <v>0</v>
      </c>
      <c r="BB2470" s="33">
        <v>0</v>
      </c>
      <c r="BC2470" s="33">
        <v>0.30224092499999999</v>
      </c>
      <c r="BD2470" s="33">
        <v>5.0750000000000003E-4</v>
      </c>
      <c r="BE2470" s="33">
        <v>2.2755561500000003</v>
      </c>
      <c r="BF2470" s="33">
        <v>8.6450000000000003E-4</v>
      </c>
      <c r="BG2470" s="33">
        <v>0</v>
      </c>
      <c r="BH2470" s="33">
        <v>0</v>
      </c>
      <c r="BI2470" s="33">
        <v>0</v>
      </c>
      <c r="BJ2470" s="33">
        <v>0</v>
      </c>
      <c r="BK2470" s="33">
        <v>0</v>
      </c>
      <c r="BL2470" s="62">
        <v>0</v>
      </c>
      <c r="BM2470" s="275">
        <v>3</v>
      </c>
      <c r="BN2470" s="62">
        <v>0.05</v>
      </c>
      <c r="BO2470" s="33" t="s">
        <v>753</v>
      </c>
    </row>
    <row r="2471" spans="1:68">
      <c r="A2471" s="33" t="str">
        <f>Database_Productkaarten[[#This Row],[Product]]&amp;", "&amp;Database_Productkaarten[[#This Row],[Levensfase]]</f>
        <v>Deelproduct, Platform, Stalen Speeltoestel, A2</v>
      </c>
      <c r="B2471" s="33" t="s">
        <v>813</v>
      </c>
      <c r="C2471" s="33" t="s">
        <v>806</v>
      </c>
      <c r="D2471" s="33" t="s">
        <v>807</v>
      </c>
      <c r="E2471" s="33" t="s">
        <v>783</v>
      </c>
      <c r="F2471" s="33" t="s">
        <v>75</v>
      </c>
      <c r="M2471" s="271">
        <f t="shared" si="920"/>
        <v>8.7500000000000008E-3</v>
      </c>
      <c r="N2471" s="41">
        <v>3.51304156875E-2</v>
      </c>
      <c r="O2471" s="33">
        <v>20</v>
      </c>
      <c r="P2471" s="33">
        <v>6.7928791874999999E-6</v>
      </c>
      <c r="Q2471" s="33">
        <v>2.9509703999999999E-3</v>
      </c>
      <c r="R2471" s="33">
        <v>0.39544947749999998</v>
      </c>
      <c r="S2471" s="33">
        <v>7.4915430624999993E-8</v>
      </c>
      <c r="T2471" s="33">
        <v>2.4093958437499999E-4</v>
      </c>
      <c r="U2471" s="33">
        <v>1.029171325E-3</v>
      </c>
      <c r="V2471" s="33">
        <v>1.6946607999999999E-4</v>
      </c>
      <c r="W2471" s="33">
        <v>8.5053635624999999E-2</v>
      </c>
      <c r="X2471" s="33">
        <v>3.5743834000000001E-3</v>
      </c>
      <c r="Y2471" s="33">
        <v>9.6780941249999994</v>
      </c>
      <c r="Z2471" s="33">
        <v>4.8041520625000003E-4</v>
      </c>
      <c r="AA2471" s="33">
        <v>0.39886358750000001</v>
      </c>
      <c r="AB2471" s="33">
        <v>0.39857208562500002</v>
      </c>
      <c r="AC2471" s="33">
        <v>1.9212306749999999E-4</v>
      </c>
      <c r="AD2471" s="33">
        <v>9.9381633749999991E-5</v>
      </c>
      <c r="AE2471" s="33">
        <v>9.4122179375000003E-8</v>
      </c>
      <c r="AF2471" s="33">
        <v>1.28118305E-3</v>
      </c>
      <c r="AG2471" s="33">
        <v>2.7763589437499999E-6</v>
      </c>
      <c r="AH2471" s="33">
        <v>2.9428046812500003E-4</v>
      </c>
      <c r="AI2471" s="33">
        <v>3.3123795687500001E-3</v>
      </c>
      <c r="AJ2471" s="33">
        <v>1.23995764375E-3</v>
      </c>
      <c r="AK2471" s="33">
        <v>6.7928538124999997E-6</v>
      </c>
      <c r="AL2471" s="33">
        <v>6.1949855625000003</v>
      </c>
      <c r="AM2471" s="33">
        <v>2.6308226875E-2</v>
      </c>
      <c r="AN2471" s="33">
        <v>2.7657029749999999E-8</v>
      </c>
      <c r="AO2471" s="33">
        <v>2.6599502124999997E-2</v>
      </c>
      <c r="AP2471" s="33">
        <v>4.5181898125000002</v>
      </c>
      <c r="AQ2471" s="33">
        <v>1.143425675E-10</v>
      </c>
      <c r="AR2471" s="33">
        <v>3.6454502000000001E-9</v>
      </c>
      <c r="AS2471" s="33">
        <v>7.0821498125</v>
      </c>
      <c r="AT2471" s="33">
        <v>0</v>
      </c>
      <c r="AU2471" s="33">
        <v>0</v>
      </c>
      <c r="AV2471" s="316">
        <v>6.3488648125000005E-2</v>
      </c>
      <c r="AW2471" s="314">
        <v>0</v>
      </c>
      <c r="AX2471" s="314">
        <v>0</v>
      </c>
      <c r="AY2471" s="316">
        <v>6.5796543750000005</v>
      </c>
      <c r="AZ2471" s="33">
        <v>0</v>
      </c>
      <c r="BA2471" s="33">
        <v>0</v>
      </c>
      <c r="BB2471" s="33">
        <v>0</v>
      </c>
      <c r="BC2471" s="33">
        <v>7.9121389374999993E-4</v>
      </c>
      <c r="BD2471" s="33">
        <v>1.5311545374999999E-5</v>
      </c>
      <c r="BE2471" s="33">
        <v>0.53853883125000002</v>
      </c>
      <c r="BF2471" s="33">
        <v>4.2070742437499997E-5</v>
      </c>
      <c r="BG2471" s="33">
        <v>0</v>
      </c>
      <c r="BH2471" s="33">
        <v>0</v>
      </c>
      <c r="BI2471" s="33">
        <v>0</v>
      </c>
      <c r="BJ2471" s="33">
        <v>0</v>
      </c>
      <c r="BK2471" s="33">
        <v>0</v>
      </c>
      <c r="BL2471" s="62">
        <v>0</v>
      </c>
      <c r="BM2471" s="275">
        <v>3</v>
      </c>
      <c r="BN2471" s="62">
        <v>0.05</v>
      </c>
      <c r="BO2471" s="33" t="s">
        <v>753</v>
      </c>
    </row>
    <row r="2472" spans="1:68">
      <c r="A2472" s="33" t="str">
        <f>Database_Productkaarten[[#This Row],[Product]]&amp;", "&amp;Database_Productkaarten[[#This Row],[Levensfase]]</f>
        <v>Deelproduct, Platform, Stalen Speeltoestel, A3</v>
      </c>
      <c r="B2472" s="33" t="s">
        <v>813</v>
      </c>
      <c r="C2472" s="33" t="s">
        <v>806</v>
      </c>
      <c r="D2472" s="33" t="s">
        <v>807</v>
      </c>
      <c r="E2472" s="33" t="s">
        <v>783</v>
      </c>
      <c r="F2472" s="33" t="s">
        <v>76</v>
      </c>
      <c r="M2472" s="271">
        <f t="shared" si="920"/>
        <v>8.7500000000000008E-3</v>
      </c>
      <c r="N2472" s="41">
        <v>0.20914090218715634</v>
      </c>
      <c r="O2472" s="33">
        <v>20</v>
      </c>
      <c r="P2472" s="33">
        <v>1.9955674135857656E-5</v>
      </c>
      <c r="Q2472" s="33">
        <v>1.4795461373687665E-2</v>
      </c>
      <c r="R2472" s="33">
        <v>2.3690454758617689</v>
      </c>
      <c r="S2472" s="33">
        <v>1.1986538446323886E-7</v>
      </c>
      <c r="T2472" s="33">
        <v>4.6552523991866897E-4</v>
      </c>
      <c r="U2472" s="33">
        <v>9.1300563836068105E-3</v>
      </c>
      <c r="V2472" s="33">
        <v>1.8024838616126173E-3</v>
      </c>
      <c r="W2472" s="33">
        <v>0.31425238120020649</v>
      </c>
      <c r="X2472" s="33">
        <v>1.1571249695898636E-2</v>
      </c>
      <c r="Y2472" s="33">
        <v>54.810816007920479</v>
      </c>
      <c r="Z2472" s="33">
        <v>8.8969657087391314E-3</v>
      </c>
      <c r="AA2472" s="33">
        <v>2.3975909512785112</v>
      </c>
      <c r="AB2472" s="33">
        <v>2.3811850227482654</v>
      </c>
      <c r="AC2472" s="33">
        <v>1.4121585009681796E-2</v>
      </c>
      <c r="AD2472" s="33">
        <v>2.3259457651289188E-3</v>
      </c>
      <c r="AE2472" s="33">
        <v>8.7865515004311796E-8</v>
      </c>
      <c r="AF2472" s="33">
        <v>1.0933311997614659E-2</v>
      </c>
      <c r="AG2472" s="33">
        <v>3.7916808003750086E-4</v>
      </c>
      <c r="AH2472" s="33">
        <v>1.7900683881935488E-3</v>
      </c>
      <c r="AI2472" s="33">
        <v>2.0202959513230142E-2</v>
      </c>
      <c r="AJ2472" s="33">
        <v>5.3539792578146637E-3</v>
      </c>
      <c r="AK2472" s="33">
        <v>1.9955674135857656E-5</v>
      </c>
      <c r="AL2472" s="33">
        <v>31.049940945987643</v>
      </c>
      <c r="AM2472" s="33">
        <v>0.38211911116610758</v>
      </c>
      <c r="AN2472" s="33">
        <v>3.1642142416354822E-8</v>
      </c>
      <c r="AO2472" s="33">
        <v>0.17234150071426735</v>
      </c>
      <c r="AP2472" s="33">
        <v>18.849047346851588</v>
      </c>
      <c r="AQ2472" s="33">
        <v>6.0958107193999857E-10</v>
      </c>
      <c r="AR2472" s="33">
        <v>1.9736339173398101E-8</v>
      </c>
      <c r="AS2472" s="33">
        <v>5.0647400090587595</v>
      </c>
      <c r="AT2472" s="33">
        <v>0</v>
      </c>
      <c r="AU2472" s="33">
        <v>0</v>
      </c>
      <c r="AV2472" s="316">
        <v>2.0234827862187195</v>
      </c>
      <c r="AW2472" s="314">
        <v>0</v>
      </c>
      <c r="AX2472" s="314">
        <v>0</v>
      </c>
      <c r="AY2472" s="316">
        <v>33.213963794383965</v>
      </c>
      <c r="AZ2472" s="33">
        <v>0</v>
      </c>
      <c r="BA2472" s="33">
        <v>0</v>
      </c>
      <c r="BB2472" s="33">
        <v>0</v>
      </c>
      <c r="BC2472" s="33">
        <v>5.56745644514407E-2</v>
      </c>
      <c r="BD2472" s="33">
        <v>1.6943757812685427E-5</v>
      </c>
      <c r="BE2472" s="33">
        <v>0.2050553260448725</v>
      </c>
      <c r="BF2472" s="33">
        <v>1.467117952265481E-4</v>
      </c>
      <c r="BG2472" s="33">
        <v>0</v>
      </c>
      <c r="BH2472" s="33">
        <v>0</v>
      </c>
      <c r="BI2472" s="33">
        <v>0</v>
      </c>
      <c r="BJ2472" s="33">
        <v>0</v>
      </c>
      <c r="BK2472" s="33">
        <v>0</v>
      </c>
      <c r="BL2472" s="62">
        <v>0</v>
      </c>
      <c r="BM2472" s="275">
        <v>3</v>
      </c>
      <c r="BN2472" s="62">
        <v>0.05</v>
      </c>
      <c r="BO2472" s="33" t="s">
        <v>753</v>
      </c>
    </row>
    <row r="2473" spans="1:68">
      <c r="A2473" s="451" t="str">
        <f>Database_Productkaarten[[#This Row],[Product]]&amp;", "&amp;Database_Productkaarten[[#This Row],[Levensfase]]</f>
        <v>Deelproduct, Platform, Stalen Speeltoestel, A1-A3</v>
      </c>
      <c r="B2473" s="451" t="str">
        <f>B2472</f>
        <v>Deelproduct, Platform, Stalen Speeltoestel</v>
      </c>
      <c r="C2473" s="451" t="str">
        <f>C2472</f>
        <v>Speeltoestel</v>
      </c>
      <c r="D2473" s="451" t="str">
        <f>D2472</f>
        <v>Stalen Speeltoestel</v>
      </c>
      <c r="E2473" s="451" t="str">
        <f>E2472</f>
        <v>Stuk</v>
      </c>
      <c r="F2473" s="451" t="s">
        <v>77</v>
      </c>
      <c r="G2473" s="451">
        <f t="shared" ref="G2473:M2473" si="921">G2472</f>
        <v>0</v>
      </c>
      <c r="H2473" s="451">
        <f t="shared" si="921"/>
        <v>0</v>
      </c>
      <c r="I2473" s="451">
        <f t="shared" si="921"/>
        <v>0</v>
      </c>
      <c r="J2473" s="451">
        <f t="shared" si="921"/>
        <v>0</v>
      </c>
      <c r="K2473" s="451">
        <f t="shared" si="921"/>
        <v>0</v>
      </c>
      <c r="L2473" s="451">
        <f t="shared" si="921"/>
        <v>0</v>
      </c>
      <c r="M2473" s="454">
        <f t="shared" si="921"/>
        <v>8.7500000000000008E-3</v>
      </c>
      <c r="N2473" s="452">
        <f>SUM(N2470:N2472)</f>
        <v>3.1897972053746564</v>
      </c>
      <c r="O2473" s="451">
        <f>O2472</f>
        <v>20</v>
      </c>
      <c r="P2473" s="453">
        <f t="shared" ref="P2473:BK2473" si="922">SUM(P2470:P2472)</f>
        <v>3.0237355332335766E-4</v>
      </c>
      <c r="Q2473" s="453">
        <f t="shared" si="922"/>
        <v>0.43698211927368763</v>
      </c>
      <c r="R2473" s="453">
        <f t="shared" si="922"/>
        <v>33.969178953361769</v>
      </c>
      <c r="S2473" s="453">
        <f t="shared" si="922"/>
        <v>1.5772808150882389E-6</v>
      </c>
      <c r="T2473" s="453">
        <f t="shared" si="922"/>
        <v>2.0646489824293669E-2</v>
      </c>
      <c r="U2473" s="453">
        <f t="shared" si="922"/>
        <v>0.1252736152086068</v>
      </c>
      <c r="V2473" s="453">
        <f t="shared" si="922"/>
        <v>1.4300262441612616E-2</v>
      </c>
      <c r="W2473" s="453">
        <f t="shared" si="922"/>
        <v>7.4350810043252062</v>
      </c>
      <c r="X2473" s="453">
        <f t="shared" si="922"/>
        <v>0.1989945955958986</v>
      </c>
      <c r="Y2473" s="453">
        <f t="shared" si="922"/>
        <v>726.06630388292058</v>
      </c>
      <c r="Z2473" s="453">
        <f t="shared" si="922"/>
        <v>4.1767868414989133E-2</v>
      </c>
      <c r="AA2473" s="453">
        <f t="shared" si="922"/>
        <v>34.508815288778507</v>
      </c>
      <c r="AB2473" s="453">
        <f t="shared" si="922"/>
        <v>34.972680108373261</v>
      </c>
      <c r="AC2473" s="453">
        <f t="shared" si="922"/>
        <v>-0.48847791692281822</v>
      </c>
      <c r="AD2473" s="453">
        <f t="shared" si="922"/>
        <v>2.4654002398878917E-2</v>
      </c>
      <c r="AE2473" s="453">
        <f t="shared" si="922"/>
        <v>1.6432376943793119E-6</v>
      </c>
      <c r="AF2473" s="453">
        <f t="shared" si="922"/>
        <v>0.15084757004761465</v>
      </c>
      <c r="AG2473" s="453">
        <f t="shared" si="922"/>
        <v>1.3647444389812509E-3</v>
      </c>
      <c r="AH2473" s="453">
        <f t="shared" si="922"/>
        <v>2.621063635631855E-2</v>
      </c>
      <c r="AI2473" s="453">
        <f t="shared" si="922"/>
        <v>0.29490175158198018</v>
      </c>
      <c r="AJ2473" s="453">
        <f t="shared" si="922"/>
        <v>0.10583547440156467</v>
      </c>
      <c r="AK2473" s="453">
        <f t="shared" si="922"/>
        <v>3.0237352794835765E-4</v>
      </c>
      <c r="AL2473" s="453">
        <f t="shared" si="922"/>
        <v>877.23524025848758</v>
      </c>
      <c r="AM2473" s="453">
        <f t="shared" si="922"/>
        <v>12.242207338041108</v>
      </c>
      <c r="AN2473" s="453">
        <f t="shared" si="922"/>
        <v>1.1442991721663549E-6</v>
      </c>
      <c r="AO2473" s="453">
        <f t="shared" si="922"/>
        <v>1.1684741653392674</v>
      </c>
      <c r="AP2473" s="453">
        <f t="shared" si="922"/>
        <v>436.50103340935158</v>
      </c>
      <c r="AQ2473" s="453">
        <f t="shared" si="922"/>
        <v>9.4389236394399995E-9</v>
      </c>
      <c r="AR2473" s="453">
        <f t="shared" si="922"/>
        <v>2.7363178937339814E-7</v>
      </c>
      <c r="AS2473" s="453">
        <f t="shared" si="922"/>
        <v>123.24585857155876</v>
      </c>
      <c r="AT2473" s="453">
        <f t="shared" si="922"/>
        <v>0</v>
      </c>
      <c r="AU2473" s="453">
        <f t="shared" si="922"/>
        <v>0</v>
      </c>
      <c r="AV2473" s="317">
        <f t="shared" si="922"/>
        <v>32.750104809343718</v>
      </c>
      <c r="AW2473" s="317">
        <f t="shared" si="922"/>
        <v>0</v>
      </c>
      <c r="AX2473" s="317">
        <f t="shared" si="922"/>
        <v>0</v>
      </c>
      <c r="AY2473" s="317">
        <f t="shared" si="922"/>
        <v>939.92676816938399</v>
      </c>
      <c r="AZ2473" s="453">
        <f t="shared" si="922"/>
        <v>0</v>
      </c>
      <c r="BA2473" s="453">
        <f t="shared" si="922"/>
        <v>0</v>
      </c>
      <c r="BB2473" s="453">
        <f t="shared" si="922"/>
        <v>0</v>
      </c>
      <c r="BC2473" s="453">
        <f t="shared" si="922"/>
        <v>0.35870670334519067</v>
      </c>
      <c r="BD2473" s="453">
        <f t="shared" si="922"/>
        <v>5.3975530318768541E-4</v>
      </c>
      <c r="BE2473" s="453">
        <f t="shared" si="922"/>
        <v>3.0191503072948729</v>
      </c>
      <c r="BF2473" s="453">
        <f t="shared" si="922"/>
        <v>1.0532825376640481E-3</v>
      </c>
      <c r="BG2473" s="453">
        <f t="shared" si="922"/>
        <v>0</v>
      </c>
      <c r="BH2473" s="453">
        <f t="shared" si="922"/>
        <v>0</v>
      </c>
      <c r="BI2473" s="453">
        <f t="shared" si="922"/>
        <v>0</v>
      </c>
      <c r="BJ2473" s="453">
        <f t="shared" si="922"/>
        <v>0</v>
      </c>
      <c r="BK2473" s="453">
        <f t="shared" si="922"/>
        <v>0</v>
      </c>
      <c r="BL2473" s="62">
        <f>BL2472</f>
        <v>0</v>
      </c>
      <c r="BM2473" s="275">
        <f>BM2472</f>
        <v>3</v>
      </c>
      <c r="BN2473" s="62">
        <v>0.05</v>
      </c>
      <c r="BO2473" s="451" t="str">
        <f>BO2472</f>
        <v>Eigen berekening</v>
      </c>
      <c r="BP2473" s="451"/>
    </row>
    <row r="2474" spans="1:68">
      <c r="A2474" s="33" t="str">
        <f>Database_Productkaarten[[#This Row],[Product]]&amp;", "&amp;Database_Productkaarten[[#This Row],[Levensfase]]</f>
        <v>Deelproduct, Platform, Stalen Speeltoestel, A4</v>
      </c>
      <c r="B2474" s="33" t="s">
        <v>813</v>
      </c>
      <c r="C2474" s="33" t="s">
        <v>806</v>
      </c>
      <c r="D2474" s="33" t="s">
        <v>807</v>
      </c>
      <c r="E2474" s="33" t="s">
        <v>783</v>
      </c>
      <c r="F2474" s="33" t="s">
        <v>78</v>
      </c>
      <c r="M2474" s="271">
        <f t="shared" si="920"/>
        <v>8.7500000000000008E-3</v>
      </c>
      <c r="N2474" s="41">
        <v>7.3492829618250002E-2</v>
      </c>
      <c r="O2474" s="33">
        <v>20</v>
      </c>
      <c r="P2474" s="33">
        <v>1.4210703260250003E-5</v>
      </c>
      <c r="Q2474" s="33">
        <v>6.173430076800001E-3</v>
      </c>
      <c r="R2474" s="33">
        <v>0.8272803069300001</v>
      </c>
      <c r="S2474" s="33">
        <v>1.5672308086750003E-7</v>
      </c>
      <c r="T2474" s="33">
        <v>5.040456105125001E-4</v>
      </c>
      <c r="U2474" s="33">
        <v>2.1530264119000004E-3</v>
      </c>
      <c r="V2474" s="33">
        <v>3.5452303936000005E-4</v>
      </c>
      <c r="W2474" s="33">
        <v>0.17793220572750001</v>
      </c>
      <c r="X2474" s="33">
        <v>7.4776100728000021E-3</v>
      </c>
      <c r="Y2474" s="33">
        <v>20.246572909500003</v>
      </c>
      <c r="Z2474" s="33">
        <v>1.0050286114750002E-3</v>
      </c>
      <c r="AA2474" s="33">
        <v>0.83442262505000009</v>
      </c>
      <c r="AB2474" s="33">
        <v>0.83381280312750017</v>
      </c>
      <c r="AC2474" s="33">
        <v>4.0192145721000007E-4</v>
      </c>
      <c r="AD2474" s="33">
        <v>2.0790637780500004E-4</v>
      </c>
      <c r="AE2474" s="33">
        <v>1.9690359925250005E-7</v>
      </c>
      <c r="AF2474" s="33">
        <v>2.6802349406000008E-3</v>
      </c>
      <c r="AG2474" s="33">
        <v>5.808142910325001E-6</v>
      </c>
      <c r="AH2474" s="33">
        <v>6.1563473931750012E-4</v>
      </c>
      <c r="AI2474" s="33">
        <v>6.9294980578250018E-3</v>
      </c>
      <c r="AJ2474" s="33">
        <v>2.5939913907250004E-3</v>
      </c>
      <c r="AK2474" s="33">
        <v>1.4210650175750001E-5</v>
      </c>
      <c r="AL2474" s="33">
        <v>12.959909796750003</v>
      </c>
      <c r="AM2474" s="33">
        <v>5.5036810622500008E-2</v>
      </c>
      <c r="AN2474" s="33">
        <v>5.7858506237000007E-8</v>
      </c>
      <c r="AO2474" s="33">
        <v>5.5646158445500006E-2</v>
      </c>
      <c r="AP2474" s="33">
        <v>9.4520530877500022</v>
      </c>
      <c r="AQ2474" s="33">
        <v>2.3920465121000005E-10</v>
      </c>
      <c r="AR2474" s="33">
        <v>7.6262818184000012E-9</v>
      </c>
      <c r="AS2474" s="33">
        <v>14.815857407750002</v>
      </c>
      <c r="AT2474" s="33">
        <v>0</v>
      </c>
      <c r="AU2474" s="33">
        <v>0</v>
      </c>
      <c r="AV2474" s="316">
        <v>0.13281825187750002</v>
      </c>
      <c r="AW2474" s="314">
        <v>0</v>
      </c>
      <c r="AX2474" s="314">
        <v>0</v>
      </c>
      <c r="AY2474" s="316">
        <v>13.764636952500004</v>
      </c>
      <c r="AZ2474" s="33">
        <v>0</v>
      </c>
      <c r="BA2474" s="33">
        <v>0</v>
      </c>
      <c r="BB2474" s="33">
        <v>0</v>
      </c>
      <c r="BC2474" s="33">
        <v>1.6552194657250003E-3</v>
      </c>
      <c r="BD2474" s="33">
        <v>3.2031752924500008E-5</v>
      </c>
      <c r="BE2474" s="33">
        <v>1.1266232349750003</v>
      </c>
      <c r="BF2474" s="33">
        <v>8.8011993179250005E-5</v>
      </c>
      <c r="BG2474" s="33">
        <v>0</v>
      </c>
      <c r="BH2474" s="33">
        <v>0</v>
      </c>
      <c r="BI2474" s="33">
        <v>0</v>
      </c>
      <c r="BJ2474" s="33">
        <v>0</v>
      </c>
      <c r="BK2474" s="33">
        <v>0</v>
      </c>
      <c r="BL2474" s="62">
        <v>0</v>
      </c>
      <c r="BM2474" s="275">
        <v>3</v>
      </c>
      <c r="BN2474" s="62">
        <v>0.05</v>
      </c>
      <c r="BO2474" s="33" t="s">
        <v>753</v>
      </c>
    </row>
    <row r="2475" spans="1:68">
      <c r="A2475" s="33" t="str">
        <f>Database_Productkaarten[[#This Row],[Product]]&amp;", "&amp;Database_Productkaarten[[#This Row],[Levensfase]]</f>
        <v>Deelproduct, Platform, Stalen Speeltoestel, A5</v>
      </c>
      <c r="B2475" s="33" t="s">
        <v>813</v>
      </c>
      <c r="C2475" s="33" t="s">
        <v>806</v>
      </c>
      <c r="D2475" s="33" t="s">
        <v>807</v>
      </c>
      <c r="E2475" s="33" t="s">
        <v>783</v>
      </c>
      <c r="F2475" s="33" t="s">
        <v>79</v>
      </c>
      <c r="M2475" s="271">
        <f t="shared" si="920"/>
        <v>8.7500000000000008E-3</v>
      </c>
      <c r="N2475" s="41">
        <v>0.16755009429614623</v>
      </c>
      <c r="O2475" s="33">
        <v>20</v>
      </c>
      <c r="P2475" s="33">
        <v>3.6865116458460241E-6</v>
      </c>
      <c r="Q2475" s="33">
        <v>1.1255435032872614E-2</v>
      </c>
      <c r="R2475" s="33">
        <v>1.6511511221096229</v>
      </c>
      <c r="S2475" s="33">
        <v>2.8973538137772256E-7</v>
      </c>
      <c r="T2475" s="33">
        <v>5.126411429859886E-4</v>
      </c>
      <c r="U2475" s="33">
        <v>5.5971820194308406E-3</v>
      </c>
      <c r="V2475" s="33">
        <v>1.1133684241714595E-3</v>
      </c>
      <c r="W2475" s="33">
        <v>0.50921413210954369</v>
      </c>
      <c r="X2475" s="33">
        <v>9.7788691137843456E-3</v>
      </c>
      <c r="Y2475" s="33">
        <v>32.37288773331646</v>
      </c>
      <c r="Z2475" s="33">
        <v>5.0859024887853349E-3</v>
      </c>
      <c r="AA2475" s="33">
        <v>1.6598360325007713</v>
      </c>
      <c r="AB2475" s="33">
        <v>1.6591961221180089</v>
      </c>
      <c r="AC2475" s="33">
        <v>1.9082195700056172E-3</v>
      </c>
      <c r="AD2475" s="33">
        <v>2.5502628313963147E-4</v>
      </c>
      <c r="AE2475" s="33">
        <v>3.6303458626391445E-7</v>
      </c>
      <c r="AF2475" s="33">
        <v>7.4337691592759316E-3</v>
      </c>
      <c r="AG2475" s="33">
        <v>1.0950491704708181E-5</v>
      </c>
      <c r="AH2475" s="33">
        <v>2.5669214042263661E-3</v>
      </c>
      <c r="AI2475" s="33">
        <v>2.8221105024802802E-2</v>
      </c>
      <c r="AJ2475" s="33">
        <v>7.576346425093158E-3</v>
      </c>
      <c r="AK2475" s="33">
        <v>3.6865116458460241E-6</v>
      </c>
      <c r="AL2475" s="33">
        <v>23.890018315308115</v>
      </c>
      <c r="AM2475" s="33">
        <v>4.7689392286960917E-2</v>
      </c>
      <c r="AN2475" s="33">
        <v>2.6781562655759233E-8</v>
      </c>
      <c r="AO2475" s="33">
        <v>0.10392851999018964</v>
      </c>
      <c r="AP2475" s="33">
        <v>15.231463677397404</v>
      </c>
      <c r="AQ2475" s="33">
        <v>2.9022781869822859E-9</v>
      </c>
      <c r="AR2475" s="33">
        <v>2.4885677864189813E-8</v>
      </c>
      <c r="AS2475" s="33">
        <v>3.7578013830806904</v>
      </c>
      <c r="AT2475" s="33">
        <v>0.14548943057588393</v>
      </c>
      <c r="AU2475" s="33">
        <v>0</v>
      </c>
      <c r="AV2475" s="316">
        <v>0.42119126591137446</v>
      </c>
      <c r="AW2475" s="314">
        <v>1.2746837156419851E-2</v>
      </c>
      <c r="AX2475" s="314">
        <v>1.790309105437629E-5</v>
      </c>
      <c r="AY2475" s="316">
        <v>25.377543011800121</v>
      </c>
      <c r="AZ2475" s="33">
        <v>1.7751080009810358E-5</v>
      </c>
      <c r="BA2475" s="33">
        <v>0</v>
      </c>
      <c r="BB2475" s="33">
        <v>0</v>
      </c>
      <c r="BC2475" s="33">
        <v>1.9028896224593935E-3</v>
      </c>
      <c r="BD2475" s="33">
        <v>6.3501303828413655E-5</v>
      </c>
      <c r="BE2475" s="33">
        <v>5.9760016556623177E-2</v>
      </c>
      <c r="BF2475" s="33">
        <v>1.6257969132969926E-4</v>
      </c>
      <c r="BG2475" s="33">
        <v>0</v>
      </c>
      <c r="BH2475" s="33">
        <v>0</v>
      </c>
      <c r="BI2475" s="33">
        <v>0</v>
      </c>
      <c r="BJ2475" s="33">
        <v>0</v>
      </c>
      <c r="BK2475" s="33">
        <v>0</v>
      </c>
      <c r="BL2475" s="62">
        <v>0</v>
      </c>
      <c r="BM2475" s="275">
        <v>3</v>
      </c>
      <c r="BN2475" s="62">
        <v>0.05</v>
      </c>
      <c r="BO2475" s="33" t="s">
        <v>753</v>
      </c>
    </row>
    <row r="2476" spans="1:68">
      <c r="A2476" s="33" t="str">
        <f>Database_Productkaarten[[#This Row],[Product]]&amp;", "&amp;Database_Productkaarten[[#This Row],[Levensfase]]</f>
        <v>Deelproduct, Platform, Stalen Speeltoestel, C1</v>
      </c>
      <c r="B2476" s="33" t="s">
        <v>813</v>
      </c>
      <c r="C2476" s="33" t="s">
        <v>806</v>
      </c>
      <c r="D2476" s="33" t="s">
        <v>807</v>
      </c>
      <c r="E2476" s="33" t="s">
        <v>783</v>
      </c>
      <c r="F2476" s="33" t="s">
        <v>83</v>
      </c>
      <c r="M2476" s="271">
        <f t="shared" si="920"/>
        <v>8.7500000000000008E-3</v>
      </c>
      <c r="N2476" s="41">
        <v>0.16755009429614623</v>
      </c>
      <c r="O2476" s="33">
        <v>20</v>
      </c>
      <c r="P2476" s="33">
        <v>3.6865116458460241E-6</v>
      </c>
      <c r="Q2476" s="33">
        <v>1.1255435032872614E-2</v>
      </c>
      <c r="R2476" s="33">
        <v>1.6511511221096229</v>
      </c>
      <c r="S2476" s="33">
        <v>2.8973538137772256E-7</v>
      </c>
      <c r="T2476" s="33">
        <v>5.126411429859886E-4</v>
      </c>
      <c r="U2476" s="33">
        <v>5.5971820194308406E-3</v>
      </c>
      <c r="V2476" s="33">
        <v>1.1133684241714595E-3</v>
      </c>
      <c r="W2476" s="33">
        <v>0.50921413210954369</v>
      </c>
      <c r="X2476" s="33">
        <v>9.7788691137843456E-3</v>
      </c>
      <c r="Y2476" s="33">
        <v>32.37288773331646</v>
      </c>
      <c r="Z2476" s="33">
        <v>5.0859024887853349E-3</v>
      </c>
      <c r="AA2476" s="33">
        <v>1.6598360325007713</v>
      </c>
      <c r="AB2476" s="33">
        <v>1.6591961221180089</v>
      </c>
      <c r="AC2476" s="33">
        <v>1.9082195700056172E-3</v>
      </c>
      <c r="AD2476" s="33">
        <v>2.5502628313963147E-4</v>
      </c>
      <c r="AE2476" s="33">
        <v>3.6303458626391445E-7</v>
      </c>
      <c r="AF2476" s="33">
        <v>7.4337691592759316E-3</v>
      </c>
      <c r="AG2476" s="33">
        <v>1.0950491704708181E-5</v>
      </c>
      <c r="AH2476" s="33">
        <v>2.5669214042263661E-3</v>
      </c>
      <c r="AI2476" s="33">
        <v>2.8221105024802802E-2</v>
      </c>
      <c r="AJ2476" s="33">
        <v>7.576346425093158E-3</v>
      </c>
      <c r="AK2476" s="33">
        <v>3.6865116458460241E-6</v>
      </c>
      <c r="AL2476" s="33">
        <v>23.890018315308115</v>
      </c>
      <c r="AM2476" s="33">
        <v>4.7689392286960917E-2</v>
      </c>
      <c r="AN2476" s="33">
        <v>2.6781562655759233E-8</v>
      </c>
      <c r="AO2476" s="33">
        <v>0.10392851999018964</v>
      </c>
      <c r="AP2476" s="33">
        <v>15.231463677397404</v>
      </c>
      <c r="AQ2476" s="33">
        <v>2.9022781869822859E-9</v>
      </c>
      <c r="AR2476" s="33">
        <v>2.4885677864189813E-8</v>
      </c>
      <c r="AS2476" s="33">
        <v>3.7578013830806904</v>
      </c>
      <c r="AT2476" s="33">
        <v>0.14548943057588393</v>
      </c>
      <c r="AU2476" s="33">
        <v>0</v>
      </c>
      <c r="AV2476" s="316">
        <v>0.42119126591137446</v>
      </c>
      <c r="AW2476" s="314">
        <v>1.2746837156419851E-2</v>
      </c>
      <c r="AX2476" s="314">
        <v>1.790309105437629E-5</v>
      </c>
      <c r="AY2476" s="316">
        <v>25.377543011800121</v>
      </c>
      <c r="AZ2476" s="33">
        <v>1.7751080009810358E-5</v>
      </c>
      <c r="BA2476" s="33">
        <v>0</v>
      </c>
      <c r="BB2476" s="33">
        <v>0</v>
      </c>
      <c r="BC2476" s="33">
        <v>1.9028896224593935E-3</v>
      </c>
      <c r="BD2476" s="33">
        <v>6.3501303828413655E-5</v>
      </c>
      <c r="BE2476" s="33">
        <v>5.9760016556623177E-2</v>
      </c>
      <c r="BF2476" s="33">
        <v>1.6257969132969926E-4</v>
      </c>
      <c r="BG2476" s="33">
        <v>0</v>
      </c>
      <c r="BH2476" s="33">
        <v>0</v>
      </c>
      <c r="BI2476" s="33">
        <v>0</v>
      </c>
      <c r="BJ2476" s="33">
        <v>0</v>
      </c>
      <c r="BK2476" s="33">
        <v>0</v>
      </c>
      <c r="BL2476" s="62">
        <v>0</v>
      </c>
      <c r="BM2476" s="275">
        <v>3</v>
      </c>
      <c r="BN2476" s="62">
        <v>0.05</v>
      </c>
      <c r="BO2476" s="33" t="s">
        <v>753</v>
      </c>
    </row>
    <row r="2477" spans="1:68">
      <c r="A2477" s="33" t="str">
        <f>Database_Productkaarten[[#This Row],[Product]]&amp;", "&amp;Database_Productkaarten[[#This Row],[Levensfase]]</f>
        <v>Deelproduct, Platform, Stalen Speeltoestel, C2</v>
      </c>
      <c r="B2477" s="33" t="s">
        <v>813</v>
      </c>
      <c r="C2477" s="33" t="s">
        <v>806</v>
      </c>
      <c r="D2477" s="33" t="s">
        <v>807</v>
      </c>
      <c r="E2477" s="33" t="s">
        <v>783</v>
      </c>
      <c r="F2477" s="33" t="s">
        <v>84</v>
      </c>
      <c r="M2477" s="271">
        <f t="shared" si="920"/>
        <v>8.7500000000000008E-3</v>
      </c>
      <c r="N2477" s="41">
        <v>3.51304156875E-2</v>
      </c>
      <c r="O2477" s="33">
        <v>20</v>
      </c>
      <c r="P2477" s="33">
        <v>6.7928791874999999E-6</v>
      </c>
      <c r="Q2477" s="33">
        <v>2.9509703999999999E-3</v>
      </c>
      <c r="R2477" s="33">
        <v>0.39544947749999998</v>
      </c>
      <c r="S2477" s="33">
        <v>7.4915430624999993E-8</v>
      </c>
      <c r="T2477" s="33">
        <v>2.4093958437499999E-4</v>
      </c>
      <c r="U2477" s="33">
        <v>1.029171325E-3</v>
      </c>
      <c r="V2477" s="33">
        <v>1.6946607999999999E-4</v>
      </c>
      <c r="W2477" s="33">
        <v>8.5053635624999999E-2</v>
      </c>
      <c r="X2477" s="33">
        <v>3.5743834000000001E-3</v>
      </c>
      <c r="Y2477" s="33">
        <v>9.6780941249999994</v>
      </c>
      <c r="Z2477" s="33">
        <v>4.8041520625000003E-4</v>
      </c>
      <c r="AA2477" s="33">
        <v>0.39886358750000001</v>
      </c>
      <c r="AB2477" s="33">
        <v>0.39857208562500002</v>
      </c>
      <c r="AC2477" s="33">
        <v>1.9212306749999999E-4</v>
      </c>
      <c r="AD2477" s="33">
        <v>9.9381633749999991E-5</v>
      </c>
      <c r="AE2477" s="33">
        <v>9.4122179375000003E-8</v>
      </c>
      <c r="AF2477" s="33">
        <v>1.28118305E-3</v>
      </c>
      <c r="AG2477" s="33">
        <v>2.7763589437499999E-6</v>
      </c>
      <c r="AH2477" s="33">
        <v>2.9428046812500003E-4</v>
      </c>
      <c r="AI2477" s="33">
        <v>3.3123795687500001E-3</v>
      </c>
      <c r="AJ2477" s="33">
        <v>1.23995764375E-3</v>
      </c>
      <c r="AK2477" s="33">
        <v>6.7928538124999997E-6</v>
      </c>
      <c r="AL2477" s="33">
        <v>6.1949855625000003</v>
      </c>
      <c r="AM2477" s="33">
        <v>2.6308226875E-2</v>
      </c>
      <c r="AN2477" s="33">
        <v>2.7657029749999999E-8</v>
      </c>
      <c r="AO2477" s="33">
        <v>2.6599502124999997E-2</v>
      </c>
      <c r="AP2477" s="33">
        <v>4.5181898125000002</v>
      </c>
      <c r="AQ2477" s="33">
        <v>1.143425675E-10</v>
      </c>
      <c r="AR2477" s="33">
        <v>3.6454502000000001E-9</v>
      </c>
      <c r="AS2477" s="33">
        <v>7.0821498125</v>
      </c>
      <c r="AT2477" s="33">
        <v>0</v>
      </c>
      <c r="AU2477" s="33">
        <v>0</v>
      </c>
      <c r="AV2477" s="316">
        <v>6.3488648125000005E-2</v>
      </c>
      <c r="AW2477" s="314">
        <v>0</v>
      </c>
      <c r="AX2477" s="314">
        <v>0</v>
      </c>
      <c r="AY2477" s="316">
        <v>6.5796543750000005</v>
      </c>
      <c r="AZ2477" s="33">
        <v>0</v>
      </c>
      <c r="BA2477" s="33">
        <v>0</v>
      </c>
      <c r="BB2477" s="33">
        <v>0</v>
      </c>
      <c r="BC2477" s="33">
        <v>7.9121389374999993E-4</v>
      </c>
      <c r="BD2477" s="33">
        <v>1.5311545374999999E-5</v>
      </c>
      <c r="BE2477" s="33">
        <v>0.53853883125000002</v>
      </c>
      <c r="BF2477" s="33">
        <v>4.2070742437499997E-5</v>
      </c>
      <c r="BG2477" s="33">
        <v>0</v>
      </c>
      <c r="BH2477" s="33">
        <v>0</v>
      </c>
      <c r="BI2477" s="33">
        <v>0</v>
      </c>
      <c r="BJ2477" s="33">
        <v>0</v>
      </c>
      <c r="BK2477" s="33">
        <v>0</v>
      </c>
      <c r="BL2477" s="62">
        <v>0</v>
      </c>
      <c r="BM2477" s="275">
        <v>3</v>
      </c>
      <c r="BN2477" s="62">
        <v>0.05</v>
      </c>
      <c r="BO2477" s="33" t="s">
        <v>753</v>
      </c>
    </row>
    <row r="2478" spans="1:68">
      <c r="A2478" s="33" t="str">
        <f>Database_Productkaarten[[#This Row],[Product]]&amp;", "&amp;Database_Productkaarten[[#This Row],[Levensfase]]</f>
        <v>Deelproduct, Platform, Stalen Speeltoestel, C3</v>
      </c>
      <c r="B2478" s="33" t="s">
        <v>813</v>
      </c>
      <c r="C2478" s="33" t="s">
        <v>806</v>
      </c>
      <c r="D2478" s="33" t="s">
        <v>807</v>
      </c>
      <c r="E2478" s="33" t="s">
        <v>783</v>
      </c>
      <c r="F2478" s="33" t="s">
        <v>85</v>
      </c>
      <c r="M2478" s="271">
        <f t="shared" si="920"/>
        <v>8.7500000000000008E-3</v>
      </c>
      <c r="N2478" s="41">
        <v>0.48299999999999998</v>
      </c>
      <c r="O2478" s="33">
        <v>20</v>
      </c>
      <c r="P2478" s="33">
        <v>3.9724999999999997E-5</v>
      </c>
      <c r="Q2478" s="33">
        <v>1.54E-2</v>
      </c>
      <c r="R2478" s="33">
        <v>3.1850000000000001</v>
      </c>
      <c r="S2478" s="33">
        <v>1.9775000000000001E-7</v>
      </c>
      <c r="T2478" s="33">
        <v>1.42625E-3</v>
      </c>
      <c r="U2478" s="33">
        <v>7.2712499999999999E-3</v>
      </c>
      <c r="V2478" s="33">
        <v>1.23375E-3</v>
      </c>
      <c r="W2478" s="33">
        <v>2.9750000000000001</v>
      </c>
      <c r="X2478" s="33">
        <v>3.5262499999999995E-2</v>
      </c>
      <c r="Y2478" s="33">
        <v>88.375</v>
      </c>
      <c r="Z2478" s="33">
        <v>9.7125000000000006E-3</v>
      </c>
      <c r="AA2478" s="33">
        <v>3.2199999999999998</v>
      </c>
      <c r="AB2478" s="33">
        <v>3.2287499999999998</v>
      </c>
      <c r="AC2478" s="33">
        <v>-1.3474999999999999E-2</v>
      </c>
      <c r="AD2478" s="33">
        <v>1.8375000000000002E-3</v>
      </c>
      <c r="AE2478" s="33">
        <v>2.3449999999999999E-7</v>
      </c>
      <c r="AF2478" s="33">
        <v>9.2750000000000003E-3</v>
      </c>
      <c r="AG2478" s="33">
        <v>5.2587499999999998E-5</v>
      </c>
      <c r="AH2478" s="33">
        <v>2.555E-3</v>
      </c>
      <c r="AI2478" s="33">
        <v>2.8000000000000001E-2</v>
      </c>
      <c r="AJ2478" s="33">
        <v>9.0999999999999987E-3</v>
      </c>
      <c r="AK2478" s="33">
        <v>3.9724999999999997E-5</v>
      </c>
      <c r="AL2478" s="33">
        <v>31.762499999999999</v>
      </c>
      <c r="AM2478" s="33">
        <v>0.61687499999999995</v>
      </c>
      <c r="AN2478" s="33">
        <v>1.6012499999999999E-7</v>
      </c>
      <c r="AO2478" s="33">
        <v>9.5375000000000001E-2</v>
      </c>
      <c r="AP2478" s="33">
        <v>34.571217625000003</v>
      </c>
      <c r="AQ2478" s="33">
        <v>3.4125E-9</v>
      </c>
      <c r="AR2478" s="33">
        <v>4.7512499999999996E-8</v>
      </c>
      <c r="AS2478" s="33">
        <v>25.462500000000002</v>
      </c>
      <c r="AT2478" s="33">
        <v>0</v>
      </c>
      <c r="AU2478" s="33">
        <v>0</v>
      </c>
      <c r="AV2478" s="316">
        <v>1.5637809250000001</v>
      </c>
      <c r="AW2478" s="314">
        <v>0</v>
      </c>
      <c r="AX2478" s="314">
        <v>0</v>
      </c>
      <c r="AY2478" s="316">
        <v>33.774999999999999</v>
      </c>
      <c r="AZ2478" s="33">
        <v>0</v>
      </c>
      <c r="BA2478" s="33">
        <v>0</v>
      </c>
      <c r="BB2478" s="33">
        <v>0</v>
      </c>
      <c r="BC2478" s="33">
        <v>1.7169862500000001E-2</v>
      </c>
      <c r="BD2478" s="33">
        <v>5.0225000000000001E-5</v>
      </c>
      <c r="BE2478" s="33">
        <v>1.5399999999999998</v>
      </c>
      <c r="BF2478" s="33">
        <v>1.21625E-4</v>
      </c>
      <c r="BG2478" s="33">
        <v>0</v>
      </c>
      <c r="BH2478" s="33">
        <v>0</v>
      </c>
      <c r="BI2478" s="33">
        <v>0</v>
      </c>
      <c r="BJ2478" s="33">
        <v>0</v>
      </c>
      <c r="BK2478" s="33">
        <v>0</v>
      </c>
      <c r="BL2478" s="62">
        <v>0</v>
      </c>
      <c r="BM2478" s="275">
        <v>3</v>
      </c>
      <c r="BN2478" s="62">
        <v>0.05</v>
      </c>
      <c r="BO2478" s="33" t="s">
        <v>753</v>
      </c>
    </row>
    <row r="2479" spans="1:68">
      <c r="A2479" s="33" t="str">
        <f>Database_Productkaarten[[#This Row],[Product]]&amp;", "&amp;Database_Productkaarten[[#This Row],[Levensfase]]</f>
        <v>Deelproduct, Platform, Stalen Speeltoestel, C4</v>
      </c>
      <c r="B2479" s="33" t="s">
        <v>813</v>
      </c>
      <c r="C2479" s="33" t="s">
        <v>806</v>
      </c>
      <c r="D2479" s="33" t="s">
        <v>807</v>
      </c>
      <c r="E2479" s="33" t="s">
        <v>783</v>
      </c>
      <c r="F2479" s="33" t="s">
        <v>86</v>
      </c>
      <c r="M2479" s="271">
        <f t="shared" si="920"/>
        <v>8.7500000000000008E-3</v>
      </c>
      <c r="N2479" s="41">
        <v>1.1053525000000002</v>
      </c>
      <c r="O2479" s="33">
        <v>20</v>
      </c>
      <c r="P2479" s="33">
        <v>2.2039500000000001E-5</v>
      </c>
      <c r="Q2479" s="33">
        <v>7.1294999999999996E-3</v>
      </c>
      <c r="R2479" s="33">
        <v>18.7425</v>
      </c>
      <c r="S2479" s="33">
        <v>5.6880249999999992E-7</v>
      </c>
      <c r="T2479" s="33">
        <v>6.3349999999999995E-4</v>
      </c>
      <c r="U2479" s="33">
        <v>6.3125999999999998E-3</v>
      </c>
      <c r="V2479" s="33">
        <v>1.0645250000000002E-3</v>
      </c>
      <c r="W2479" s="33">
        <v>1.2116475</v>
      </c>
      <c r="X2479" s="33">
        <v>7.7367569999999997E-2</v>
      </c>
      <c r="Y2479" s="33">
        <v>209.05500000000001</v>
      </c>
      <c r="Z2479" s="33">
        <v>2.9851499999999998E-3</v>
      </c>
      <c r="AA2479" s="33">
        <v>18.844000000000001</v>
      </c>
      <c r="AB2479" s="33">
        <v>18.844000000000001</v>
      </c>
      <c r="AC2479" s="33">
        <v>3.6732499999999994E-3</v>
      </c>
      <c r="AD2479" s="33">
        <v>1.4304324999999999E-3</v>
      </c>
      <c r="AE2479" s="33">
        <v>5.6644000000000003E-7</v>
      </c>
      <c r="AF2479" s="33">
        <v>8.0738000000000008E-3</v>
      </c>
      <c r="AG2479" s="33">
        <v>5.3959499999999997E-5</v>
      </c>
      <c r="AH2479" s="33">
        <v>2.3028250000000001E-3</v>
      </c>
      <c r="AI2479" s="33">
        <v>2.4769639999999996E-2</v>
      </c>
      <c r="AJ2479" s="33">
        <v>6.6322725000000004E-3</v>
      </c>
      <c r="AK2479" s="33">
        <v>2.2039045E-5</v>
      </c>
      <c r="AL2479" s="33">
        <v>13.251000000000001</v>
      </c>
      <c r="AM2479" s="33">
        <v>0.94290000000000007</v>
      </c>
      <c r="AN2479" s="33">
        <v>6.2410950000000006E-8</v>
      </c>
      <c r="AO2479" s="33">
        <v>5.6185499999999992E-2</v>
      </c>
      <c r="AP2479" s="33">
        <v>235.72477992</v>
      </c>
      <c r="AQ2479" s="33">
        <v>3.4147095499999995E-9</v>
      </c>
      <c r="AR2479" s="33">
        <v>7.2612749999999996E-8</v>
      </c>
      <c r="AS2479" s="33">
        <v>4.9717500000000001</v>
      </c>
      <c r="AT2479" s="33">
        <v>0</v>
      </c>
      <c r="AU2479" s="33">
        <v>0</v>
      </c>
      <c r="AV2479" s="316">
        <v>1.3999535025000001</v>
      </c>
      <c r="AW2479" s="314">
        <v>0</v>
      </c>
      <c r="AX2479" s="314">
        <v>0</v>
      </c>
      <c r="AY2479" s="316">
        <v>14.091647499999999</v>
      </c>
      <c r="AZ2479" s="33">
        <v>0</v>
      </c>
      <c r="BA2479" s="33">
        <v>0</v>
      </c>
      <c r="BB2479" s="33">
        <v>0</v>
      </c>
      <c r="BC2479" s="33">
        <v>2.7619375000000002E-2</v>
      </c>
      <c r="BD2479" s="33">
        <v>2.5658307499999998E-5</v>
      </c>
      <c r="BE2479" s="33">
        <v>2.0230000000000001</v>
      </c>
      <c r="BF2479" s="33">
        <v>4.832555E-5</v>
      </c>
      <c r="BG2479" s="33">
        <v>0</v>
      </c>
      <c r="BH2479" s="33">
        <v>0</v>
      </c>
      <c r="BI2479" s="33">
        <v>0</v>
      </c>
      <c r="BJ2479" s="33">
        <v>0</v>
      </c>
      <c r="BK2479" s="33">
        <v>0</v>
      </c>
      <c r="BL2479" s="62">
        <v>0</v>
      </c>
      <c r="BM2479" s="275">
        <v>3</v>
      </c>
      <c r="BN2479" s="62">
        <v>0.05</v>
      </c>
      <c r="BO2479" s="33" t="s">
        <v>753</v>
      </c>
    </row>
    <row r="2480" spans="1:68">
      <c r="A2480" s="33" t="str">
        <f>Database_Productkaarten[[#This Row],[Product]]&amp;", "&amp;Database_Productkaarten[[#This Row],[Levensfase]]</f>
        <v>Deelproduct, Platform, Stalen Speeltoestel, D</v>
      </c>
      <c r="B2480" s="33" t="s">
        <v>813</v>
      </c>
      <c r="C2480" s="33" t="s">
        <v>806</v>
      </c>
      <c r="D2480" s="33" t="s">
        <v>807</v>
      </c>
      <c r="E2480" s="33" t="s">
        <v>783</v>
      </c>
      <c r="F2480" s="33" t="s">
        <v>89</v>
      </c>
      <c r="M2480" s="271">
        <f>8.75/1000</f>
        <v>8.7500000000000008E-3</v>
      </c>
      <c r="N2480" s="41">
        <v>-0.73499999999999999</v>
      </c>
      <c r="O2480" s="33">
        <v>20</v>
      </c>
      <c r="P2480" s="33">
        <v>-8.0500000000000005E-5</v>
      </c>
      <c r="Q2480" s="33">
        <v>-0.1603</v>
      </c>
      <c r="R2480" s="33">
        <v>-8.89</v>
      </c>
      <c r="S2480" s="33">
        <v>-1.631E-7</v>
      </c>
      <c r="T2480" s="33">
        <v>-7.4900000000000001E-3</v>
      </c>
      <c r="U2480" s="33">
        <v>-2.6950000000000002E-2</v>
      </c>
      <c r="V2480" s="33">
        <v>-2.3310000000000002E-3</v>
      </c>
      <c r="W2480" s="33">
        <v>-1.2389999999999999</v>
      </c>
      <c r="X2480" s="33">
        <v>-2.5690000000000001E-2</v>
      </c>
      <c r="Y2480" s="33">
        <v>-78.399999999999991</v>
      </c>
      <c r="Z2480" s="33">
        <v>-4.8999999999999998E-3</v>
      </c>
      <c r="AA2480" s="33">
        <v>-9.3800000000000008</v>
      </c>
      <c r="AB2480" s="33">
        <v>-9.31</v>
      </c>
      <c r="AC2480" s="33">
        <v>-4.2069999999999996E-2</v>
      </c>
      <c r="AD2480" s="33">
        <v>-2.2750000000000001E-3</v>
      </c>
      <c r="AE2480" s="33">
        <v>-1.498E-7</v>
      </c>
      <c r="AF2480" s="33">
        <v>-3.227E-2</v>
      </c>
      <c r="AG2480" s="33">
        <v>-1.3090000000000001E-4</v>
      </c>
      <c r="AH2480" s="33">
        <v>-5.3760000000000006E-3</v>
      </c>
      <c r="AI2480" s="33">
        <v>-5.9569999999999998E-2</v>
      </c>
      <c r="AJ2480" s="33">
        <v>-2.8560000000000002E-2</v>
      </c>
      <c r="AK2480" s="33">
        <v>-8.0500000000000005E-5</v>
      </c>
      <c r="AL2480" s="33">
        <v>-336.7</v>
      </c>
      <c r="AM2480" s="33">
        <v>-6.5729999999999995</v>
      </c>
      <c r="AN2480" s="33">
        <v>-2.8000000000000002E-7</v>
      </c>
      <c r="AO2480" s="33">
        <v>-0.16589999999999999</v>
      </c>
      <c r="AP2480" s="33">
        <v>-43.8650485</v>
      </c>
      <c r="AQ2480" s="33">
        <v>-1.8410000000000002E-9</v>
      </c>
      <c r="AR2480" s="33">
        <v>-5.5020000000000006E-8</v>
      </c>
      <c r="AS2480" s="33">
        <v>-9.0300000000000011</v>
      </c>
      <c r="AT2480" s="33">
        <v>0</v>
      </c>
      <c r="AU2480" s="33">
        <v>0</v>
      </c>
      <c r="AV2480" s="316">
        <v>-4.6760000000000002</v>
      </c>
      <c r="AW2480" s="314">
        <v>0</v>
      </c>
      <c r="AX2480" s="314">
        <v>0</v>
      </c>
      <c r="AY2480" s="316">
        <v>-361.90000000000003</v>
      </c>
      <c r="AZ2480" s="33">
        <v>0</v>
      </c>
      <c r="BA2480" s="33">
        <v>0</v>
      </c>
      <c r="BB2480" s="33">
        <v>0</v>
      </c>
      <c r="BC2480" s="33">
        <v>-9.7122200000000006E-2</v>
      </c>
      <c r="BD2480" s="33">
        <v>-3.0380000000000001E-5</v>
      </c>
      <c r="BE2480" s="33">
        <v>-0.27829129999999996</v>
      </c>
      <c r="BF2480" s="33">
        <v>-1.428E-4</v>
      </c>
      <c r="BG2480" s="33">
        <v>0</v>
      </c>
      <c r="BH2480" s="33">
        <v>0</v>
      </c>
      <c r="BI2480" s="33">
        <v>0</v>
      </c>
      <c r="BJ2480" s="33">
        <v>0</v>
      </c>
      <c r="BK2480" s="33">
        <v>0</v>
      </c>
      <c r="BL2480" s="62">
        <v>0</v>
      </c>
      <c r="BM2480" s="275">
        <v>3</v>
      </c>
      <c r="BN2480" s="62">
        <v>0.05</v>
      </c>
      <c r="BO2480" s="33" t="s">
        <v>753</v>
      </c>
    </row>
    <row r="2481" spans="1:68">
      <c r="A2481" s="33" t="str">
        <f>Database_Productkaarten[[#This Row],[Product]]&amp;", "&amp;Database_Productkaarten[[#This Row],[Levensfase]]</f>
        <v>Deelproduct, Fundering, Stalen Speeltoestel, Totaal</v>
      </c>
      <c r="B2481" s="33" t="s">
        <v>814</v>
      </c>
      <c r="C2481" s="33" t="s">
        <v>806</v>
      </c>
      <c r="D2481" s="33" t="s">
        <v>807</v>
      </c>
      <c r="E2481" s="33" t="s">
        <v>783</v>
      </c>
      <c r="F2481" s="33" t="s">
        <v>90</v>
      </c>
      <c r="M2481" s="271">
        <f>25.092/1000</f>
        <v>2.5092E-2</v>
      </c>
      <c r="N2481" s="41">
        <v>19.419040092129208</v>
      </c>
      <c r="O2481" s="33">
        <v>20</v>
      </c>
      <c r="P2481" s="33">
        <v>9.6233079992264922E-2</v>
      </c>
      <c r="Q2481" s="33">
        <v>0.38316644708831599</v>
      </c>
      <c r="R2481" s="33">
        <v>56.699994643929919</v>
      </c>
      <c r="S2481" s="33">
        <v>5.4421297493544039E-6</v>
      </c>
      <c r="T2481" s="33">
        <v>2.5088419124659249E-2</v>
      </c>
      <c r="U2481" s="33">
        <v>0.51475476819019028</v>
      </c>
      <c r="V2481" s="33">
        <v>0.10253521725870003</v>
      </c>
      <c r="W2481" s="33">
        <v>143.36312085254306</v>
      </c>
      <c r="X2481" s="33">
        <v>1.8765883771405756</v>
      </c>
      <c r="Y2481" s="33">
        <v>2768.0488422426592</v>
      </c>
      <c r="Z2481" s="33">
        <v>2.2083180117872141</v>
      </c>
      <c r="AA2481" s="33">
        <v>56.082556491777652</v>
      </c>
      <c r="AB2481" s="33">
        <v>55.402616900465738</v>
      </c>
      <c r="AC2481" s="33">
        <v>0.48014832607135571</v>
      </c>
      <c r="AD2481" s="33">
        <v>0.27390794556695663</v>
      </c>
      <c r="AE2481" s="33">
        <v>6.1072399303154524E-6</v>
      </c>
      <c r="AF2481" s="33">
        <v>0.8078718021272896</v>
      </c>
      <c r="AG2481" s="33">
        <v>4.8702258221801041E-3</v>
      </c>
      <c r="AH2481" s="33">
        <v>8.7062485049966082E-2</v>
      </c>
      <c r="AI2481" s="33">
        <v>2.9706736611562996</v>
      </c>
      <c r="AJ2481" s="33">
        <v>0.21297973585697291</v>
      </c>
      <c r="AK2481" s="33">
        <v>9.6181047610991596E-2</v>
      </c>
      <c r="AL2481" s="33">
        <v>757.25868200583</v>
      </c>
      <c r="AM2481" s="33">
        <v>26.621557596486241</v>
      </c>
      <c r="AN2481" s="33">
        <v>7.3419728365584669E-6</v>
      </c>
      <c r="AO2481" s="33">
        <v>3.421504039269049</v>
      </c>
      <c r="AP2481" s="33">
        <v>2578.499719303898</v>
      </c>
      <c r="AQ2481" s="33">
        <v>4.418299686336227E-7</v>
      </c>
      <c r="AR2481" s="33">
        <v>9.6194335133785937E-6</v>
      </c>
      <c r="AS2481" s="33">
        <v>286.92468472663228</v>
      </c>
      <c r="AT2481" s="33">
        <v>0.83442760960230389</v>
      </c>
      <c r="AU2481" s="33">
        <v>0</v>
      </c>
      <c r="AV2481" s="316">
        <v>73.076793527562884</v>
      </c>
      <c r="AW2481" s="314">
        <v>7.3107117240888433E-2</v>
      </c>
      <c r="AX2481" s="314">
        <v>1.0267985388260798E-4</v>
      </c>
      <c r="AY2481" s="316">
        <v>808.74496411001201</v>
      </c>
      <c r="AZ2481" s="33">
        <v>1.0180802276712264E-4</v>
      </c>
      <c r="BA2481" s="33">
        <v>0</v>
      </c>
      <c r="BB2481" s="33">
        <v>0</v>
      </c>
      <c r="BC2481" s="33">
        <v>0.93223547824874564</v>
      </c>
      <c r="BD2481" s="33">
        <v>1.4425672005023153E-2</v>
      </c>
      <c r="BE2481" s="33">
        <v>23.427769507350718</v>
      </c>
      <c r="BF2481" s="33">
        <v>3.3609945338802182E-3</v>
      </c>
      <c r="BG2481" s="33">
        <v>0</v>
      </c>
      <c r="BH2481" s="33">
        <v>0</v>
      </c>
      <c r="BI2481" s="33">
        <v>0</v>
      </c>
      <c r="BJ2481" s="33">
        <v>0</v>
      </c>
      <c r="BK2481" s="33">
        <v>0</v>
      </c>
      <c r="BL2481" s="62">
        <v>0.43</v>
      </c>
      <c r="BM2481" s="275">
        <v>3</v>
      </c>
      <c r="BN2481" s="62">
        <v>0.05</v>
      </c>
      <c r="BO2481" s="33" t="s">
        <v>753</v>
      </c>
    </row>
    <row r="2482" spans="1:68">
      <c r="A2482" s="33" t="str">
        <f>Database_Productkaarten[[#This Row],[Product]]&amp;", "&amp;Database_Productkaarten[[#This Row],[Levensfase]]</f>
        <v>Deelproduct, Fundering, Stalen Speeltoestel, A1</v>
      </c>
      <c r="B2482" s="33" t="s">
        <v>814</v>
      </c>
      <c r="C2482" s="33" t="s">
        <v>806</v>
      </c>
      <c r="D2482" s="33" t="s">
        <v>807</v>
      </c>
      <c r="E2482" s="33" t="s">
        <v>783</v>
      </c>
      <c r="F2482" s="33" t="s">
        <v>74</v>
      </c>
      <c r="M2482" s="271">
        <f t="shared" ref="M2482:M2492" si="923">25.092/1000</f>
        <v>2.5092E-2</v>
      </c>
      <c r="N2482" s="41">
        <v>19.621763086679998</v>
      </c>
      <c r="O2482" s="33">
        <v>20</v>
      </c>
      <c r="P2482" s="33">
        <v>0.10848952764</v>
      </c>
      <c r="Q2482" s="33">
        <v>0.36720962675999996</v>
      </c>
      <c r="R2482" s="33">
        <v>53.991726055200004</v>
      </c>
      <c r="S2482" s="33">
        <v>3.5379719999999999E-6</v>
      </c>
      <c r="T2482" s="33">
        <v>5.8893684119999998E-2</v>
      </c>
      <c r="U2482" s="33">
        <v>0.50683907915999993</v>
      </c>
      <c r="V2482" s="33">
        <v>9.6714353879999992E-2</v>
      </c>
      <c r="W2482" s="33">
        <v>149.886484884</v>
      </c>
      <c r="X2482" s="33">
        <v>1.6286175882</v>
      </c>
      <c r="Y2482" s="33">
        <v>2205.7252827479997</v>
      </c>
      <c r="Z2482" s="33">
        <v>1.1861896730399999</v>
      </c>
      <c r="AA2482" s="33">
        <v>56.148145081199999</v>
      </c>
      <c r="AB2482" s="33">
        <v>55.640772295199994</v>
      </c>
      <c r="AC2482" s="33">
        <v>0.25747127028</v>
      </c>
      <c r="AD2482" s="33">
        <v>0.24990176663999999</v>
      </c>
      <c r="AE2482" s="33">
        <v>3.5881559999999999E-6</v>
      </c>
      <c r="AF2482" s="33">
        <v>0.79561889243999995</v>
      </c>
      <c r="AG2482" s="33">
        <v>4.3755429599999993E-3</v>
      </c>
      <c r="AH2482" s="33">
        <v>7.8078525479999994E-2</v>
      </c>
      <c r="AI2482" s="33">
        <v>2.87858460132</v>
      </c>
      <c r="AJ2482" s="33">
        <v>0.25407757728000002</v>
      </c>
      <c r="AK2482" s="33">
        <v>0.10848927672</v>
      </c>
      <c r="AL2482" s="33">
        <v>621.40576373999988</v>
      </c>
      <c r="AM2482" s="33">
        <v>28.836940852800002</v>
      </c>
      <c r="AN2482" s="33">
        <v>7.9792559999999996E-6</v>
      </c>
      <c r="AO2482" s="33">
        <v>1.78720128648</v>
      </c>
      <c r="AP2482" s="33">
        <v>3084.9336817199996</v>
      </c>
      <c r="AQ2482" s="33">
        <v>4.2656399999999998E-7</v>
      </c>
      <c r="AR2482" s="33">
        <v>5.5704239999999999E-6</v>
      </c>
      <c r="AS2482" s="33">
        <v>223.31207785319998</v>
      </c>
      <c r="AT2482" s="33">
        <v>0</v>
      </c>
      <c r="AU2482" s="33">
        <v>0</v>
      </c>
      <c r="AV2482" s="316">
        <v>59.021638264799996</v>
      </c>
      <c r="AW2482" s="314">
        <v>0</v>
      </c>
      <c r="AX2482" s="314">
        <v>0</v>
      </c>
      <c r="AY2482" s="316">
        <v>660.37599838799997</v>
      </c>
      <c r="AZ2482" s="33">
        <v>0</v>
      </c>
      <c r="BA2482" s="33">
        <v>0</v>
      </c>
      <c r="BB2482" s="33">
        <v>0</v>
      </c>
      <c r="BC2482" s="33">
        <v>0.82525379903999996</v>
      </c>
      <c r="BD2482" s="33">
        <v>1.62734166E-2</v>
      </c>
      <c r="BE2482" s="33">
        <v>20.678108183639999</v>
      </c>
      <c r="BF2482" s="33">
        <v>1.5833052E-3</v>
      </c>
      <c r="BG2482" s="33">
        <v>0</v>
      </c>
      <c r="BH2482" s="33">
        <v>0</v>
      </c>
      <c r="BI2482" s="33">
        <v>0</v>
      </c>
      <c r="BJ2482" s="33">
        <v>0</v>
      </c>
      <c r="BK2482" s="33">
        <v>0</v>
      </c>
      <c r="BL2482" s="62">
        <v>0.43</v>
      </c>
      <c r="BM2482" s="275">
        <v>3</v>
      </c>
      <c r="BN2482" s="62">
        <v>0.05</v>
      </c>
      <c r="BO2482" s="33" t="s">
        <v>753</v>
      </c>
    </row>
    <row r="2483" spans="1:68">
      <c r="A2483" s="33" t="str">
        <f>Database_Productkaarten[[#This Row],[Product]]&amp;", "&amp;Database_Productkaarten[[#This Row],[Levensfase]]</f>
        <v>Deelproduct, Fundering, Stalen Speeltoestel, A2</v>
      </c>
      <c r="B2483" s="33" t="s">
        <v>814</v>
      </c>
      <c r="C2483" s="33" t="s">
        <v>806</v>
      </c>
      <c r="D2483" s="33" t="s">
        <v>807</v>
      </c>
      <c r="E2483" s="33" t="s">
        <v>783</v>
      </c>
      <c r="F2483" s="33" t="s">
        <v>75</v>
      </c>
      <c r="M2483" s="271">
        <f t="shared" si="923"/>
        <v>2.5092E-2</v>
      </c>
      <c r="N2483" s="41">
        <v>0.10074198747779999</v>
      </c>
      <c r="O2483" s="33">
        <v>20</v>
      </c>
      <c r="P2483" s="33">
        <v>1.9479648522599999E-5</v>
      </c>
      <c r="Q2483" s="33">
        <v>3.397561406676096E-5</v>
      </c>
      <c r="R2483" s="33">
        <v>0.90388451999999997</v>
      </c>
      <c r="S2483" s="33">
        <v>1.6678014371362559E-13</v>
      </c>
      <c r="T2483" s="33">
        <v>9.3555089510066157E-10</v>
      </c>
      <c r="U2483" s="33">
        <v>1.0631451761090159E-4</v>
      </c>
      <c r="V2483" s="33">
        <v>3.2301231059411166E-18</v>
      </c>
      <c r="W2483" s="33">
        <v>9.0939434217753449E-12</v>
      </c>
      <c r="X2483" s="33">
        <v>4.342958250599021E-8</v>
      </c>
      <c r="Y2483" s="33">
        <v>3.5727354805297687E-18</v>
      </c>
      <c r="Z2483" s="33">
        <v>4.9929928052548952E-16</v>
      </c>
      <c r="AA2483" s="33">
        <v>1.9797118950818853E-9</v>
      </c>
      <c r="AB2483" s="33">
        <v>1.6274201506984988E-19</v>
      </c>
      <c r="AC2483" s="33">
        <v>1.0963075357154292E-20</v>
      </c>
      <c r="AD2483" s="33">
        <v>2.2485371712862441E-14</v>
      </c>
      <c r="AE2483" s="33">
        <v>1.7505866439146702E-27</v>
      </c>
      <c r="AF2483" s="33">
        <v>1.6052235798238601E-24</v>
      </c>
      <c r="AG2483" s="33">
        <v>7.1345671838341585E-21</v>
      </c>
      <c r="AH2483" s="33">
        <v>5.8875823664523648E-32</v>
      </c>
      <c r="AI2483" s="33">
        <v>6.0766969018106165E-28</v>
      </c>
      <c r="AJ2483" s="33">
        <v>1.0110355559363515E-24</v>
      </c>
      <c r="AK2483" s="33">
        <v>4.5706841513558532E-38</v>
      </c>
      <c r="AL2483" s="33">
        <v>4.3022913799320288E-28</v>
      </c>
      <c r="AM2483" s="33">
        <v>3.0398346039160327E-27</v>
      </c>
      <c r="AN2483" s="33">
        <v>1.4447034005931695E-46</v>
      </c>
      <c r="AO2483" s="33">
        <v>1.3078720994613849E-30</v>
      </c>
      <c r="AP2483" s="33">
        <v>1.5696628273255305E-27</v>
      </c>
      <c r="AQ2483" s="33">
        <v>1.8878982411406172E-57</v>
      </c>
      <c r="AR2483" s="33">
        <v>5.4488944074924864E-40</v>
      </c>
      <c r="AS2483" s="33">
        <v>1.2704671197979115E-27</v>
      </c>
      <c r="AT2483" s="33">
        <v>0</v>
      </c>
      <c r="AU2483" s="33">
        <v>0</v>
      </c>
      <c r="AV2483" s="316">
        <v>9.2183131340836365E-30</v>
      </c>
      <c r="AW2483" s="314">
        <v>0</v>
      </c>
      <c r="AX2483" s="314">
        <v>0</v>
      </c>
      <c r="AY2483" s="316">
        <v>6.9318073534620984E-30</v>
      </c>
      <c r="AZ2483" s="33">
        <v>0</v>
      </c>
      <c r="BA2483" s="33">
        <v>0</v>
      </c>
      <c r="BB2483" s="33">
        <v>0</v>
      </c>
      <c r="BC2483" s="33">
        <v>0</v>
      </c>
      <c r="BD2483" s="33">
        <v>0</v>
      </c>
      <c r="BE2483" s="33">
        <v>0</v>
      </c>
      <c r="BF2483" s="33">
        <v>0</v>
      </c>
      <c r="BG2483" s="33">
        <v>0</v>
      </c>
      <c r="BH2483" s="33">
        <v>0</v>
      </c>
      <c r="BI2483" s="33">
        <v>0</v>
      </c>
      <c r="BJ2483" s="33">
        <v>0</v>
      </c>
      <c r="BK2483" s="33">
        <v>0</v>
      </c>
      <c r="BL2483" s="62">
        <v>0.43</v>
      </c>
      <c r="BM2483" s="275">
        <v>3</v>
      </c>
      <c r="BN2483" s="62">
        <v>0.05</v>
      </c>
      <c r="BO2483" s="33" t="s">
        <v>753</v>
      </c>
    </row>
    <row r="2484" spans="1:68">
      <c r="A2484" s="33" t="str">
        <f>Database_Productkaarten[[#This Row],[Product]]&amp;", "&amp;Database_Productkaarten[[#This Row],[Levensfase]]</f>
        <v>Deelproduct, Fundering, Stalen Speeltoestel, A3</v>
      </c>
      <c r="B2484" s="33" t="s">
        <v>814</v>
      </c>
      <c r="C2484" s="33" t="s">
        <v>806</v>
      </c>
      <c r="D2484" s="33" t="s">
        <v>807</v>
      </c>
      <c r="E2484" s="33" t="s">
        <v>783</v>
      </c>
      <c r="F2484" s="33" t="s">
        <v>76</v>
      </c>
      <c r="M2484" s="271">
        <f t="shared" si="923"/>
        <v>2.5092E-2</v>
      </c>
      <c r="N2484" s="41">
        <v>0.59974440202058599</v>
      </c>
      <c r="O2484" s="33">
        <v>20</v>
      </c>
      <c r="P2484" s="33">
        <v>5.7226031476221746E-5</v>
      </c>
      <c r="Q2484" s="33">
        <v>4.2428310490122391E-2</v>
      </c>
      <c r="R2484" s="33">
        <v>6.7936101806084013</v>
      </c>
      <c r="S2484" s="33">
        <v>3.4373282593732449E-7</v>
      </c>
      <c r="T2484" s="33">
        <v>1.3349667794330562E-3</v>
      </c>
      <c r="U2484" s="33">
        <v>2.6181871403138525E-2</v>
      </c>
      <c r="V2484" s="33">
        <v>5.1689057206381487E-3</v>
      </c>
      <c r="W2484" s="33">
        <v>0.90116808560863793</v>
      </c>
      <c r="X2484" s="33">
        <v>3.3182376842227274E-2</v>
      </c>
      <c r="Y2484" s="33">
        <v>157.17862803094181</v>
      </c>
      <c r="Z2484" s="33">
        <v>2.5513447264420834E-2</v>
      </c>
      <c r="AA2484" s="33">
        <v>6.8754688170834752</v>
      </c>
      <c r="AB2484" s="33">
        <v>6.8284222389485123</v>
      </c>
      <c r="AC2484" s="33">
        <v>4.0495864121478362E-2</v>
      </c>
      <c r="AD2484" s="33">
        <v>6.6700149872702674E-3</v>
      </c>
      <c r="AE2484" s="33">
        <v>2.5196817171293623E-7</v>
      </c>
      <c r="AF2484" s="33">
        <v>3.1352990245045377E-2</v>
      </c>
      <c r="AG2484" s="33">
        <v>1.0873240530629683E-3</v>
      </c>
      <c r="AH2484" s="33">
        <v>5.1333023996060038E-3</v>
      </c>
      <c r="AI2484" s="33">
        <v>5.7935161154968079E-2</v>
      </c>
      <c r="AJ2484" s="33">
        <v>1.5353376861381206E-2</v>
      </c>
      <c r="AK2484" s="33">
        <v>5.7226031476221746E-5</v>
      </c>
      <c r="AL2484" s="33">
        <v>89.040584939053943</v>
      </c>
      <c r="AM2484" s="33">
        <v>1.0957865985577111</v>
      </c>
      <c r="AN2484" s="33">
        <v>9.0738815715562866E-8</v>
      </c>
      <c r="AO2484" s="33">
        <v>0.49421633553398819</v>
      </c>
      <c r="AP2484" s="33">
        <v>54.052605260251433</v>
      </c>
      <c r="AQ2484" s="33">
        <v>1.7480695150992509E-9</v>
      </c>
      <c r="AR2484" s="33">
        <v>5.6597054004446312E-8</v>
      </c>
      <c r="AS2484" s="33">
        <v>14.523937863691703</v>
      </c>
      <c r="AT2484" s="33">
        <v>0</v>
      </c>
      <c r="AU2484" s="33">
        <v>0</v>
      </c>
      <c r="AV2484" s="316">
        <v>5.8026548653485843</v>
      </c>
      <c r="AW2484" s="314">
        <v>0</v>
      </c>
      <c r="AX2484" s="314">
        <v>0</v>
      </c>
      <c r="AY2484" s="316">
        <v>95.246260517563726</v>
      </c>
      <c r="AZ2484" s="33">
        <v>0</v>
      </c>
      <c r="BA2484" s="33">
        <v>0</v>
      </c>
      <c r="BB2484" s="33">
        <v>0</v>
      </c>
      <c r="BC2484" s="33">
        <v>0.1596555624246343</v>
      </c>
      <c r="BD2484" s="33">
        <v>4.8588888118388893E-5</v>
      </c>
      <c r="BE2484" s="33">
        <v>0.588028370413479</v>
      </c>
      <c r="BF2484" s="33">
        <v>4.207191275228052E-4</v>
      </c>
      <c r="BG2484" s="33">
        <v>0</v>
      </c>
      <c r="BH2484" s="33">
        <v>0</v>
      </c>
      <c r="BI2484" s="33">
        <v>0</v>
      </c>
      <c r="BJ2484" s="33">
        <v>0</v>
      </c>
      <c r="BK2484" s="33">
        <v>0</v>
      </c>
      <c r="BL2484" s="62">
        <v>0.43</v>
      </c>
      <c r="BM2484" s="275">
        <v>3</v>
      </c>
      <c r="BN2484" s="62">
        <v>0.05</v>
      </c>
      <c r="BO2484" s="33" t="s">
        <v>753</v>
      </c>
    </row>
    <row r="2485" spans="1:68">
      <c r="A2485" s="451" t="str">
        <f>Database_Productkaarten[[#This Row],[Product]]&amp;", "&amp;Database_Productkaarten[[#This Row],[Levensfase]]</f>
        <v>Deelproduct, Fundering, Stalen Speeltoestel, A1-A3</v>
      </c>
      <c r="B2485" s="451" t="str">
        <f>B2484</f>
        <v>Deelproduct, Fundering, Stalen Speeltoestel</v>
      </c>
      <c r="C2485" s="451" t="str">
        <f>C2484</f>
        <v>Speeltoestel</v>
      </c>
      <c r="D2485" s="451" t="str">
        <f>D2484</f>
        <v>Stalen Speeltoestel</v>
      </c>
      <c r="E2485" s="451" t="str">
        <f>E2484</f>
        <v>Stuk</v>
      </c>
      <c r="F2485" s="451" t="s">
        <v>77</v>
      </c>
      <c r="G2485" s="451">
        <f t="shared" ref="G2485:M2485" si="924">G2484</f>
        <v>0</v>
      </c>
      <c r="H2485" s="451">
        <f t="shared" si="924"/>
        <v>0</v>
      </c>
      <c r="I2485" s="451">
        <f t="shared" si="924"/>
        <v>0</v>
      </c>
      <c r="J2485" s="451">
        <f t="shared" si="924"/>
        <v>0</v>
      </c>
      <c r="K2485" s="451">
        <f t="shared" si="924"/>
        <v>0</v>
      </c>
      <c r="L2485" s="451">
        <f t="shared" si="924"/>
        <v>0</v>
      </c>
      <c r="M2485" s="454">
        <f t="shared" si="924"/>
        <v>2.5092E-2</v>
      </c>
      <c r="N2485" s="452">
        <f>SUM(N2482:N2484)</f>
        <v>20.322249476178385</v>
      </c>
      <c r="O2485" s="451">
        <f>O2484</f>
        <v>20</v>
      </c>
      <c r="P2485" s="453">
        <f t="shared" ref="P2485:BK2485" si="925">SUM(P2482:P2484)</f>
        <v>0.10856623331999882</v>
      </c>
      <c r="Q2485" s="453">
        <f t="shared" si="925"/>
        <v>0.40967191286418914</v>
      </c>
      <c r="R2485" s="453">
        <f t="shared" si="925"/>
        <v>61.689220755808407</v>
      </c>
      <c r="S2485" s="453">
        <f t="shared" si="925"/>
        <v>3.8817049927174682E-6</v>
      </c>
      <c r="T2485" s="453">
        <f t="shared" si="925"/>
        <v>6.0228651834983951E-2</v>
      </c>
      <c r="U2485" s="453">
        <f t="shared" si="925"/>
        <v>0.53312726508074937</v>
      </c>
      <c r="V2485" s="453">
        <f t="shared" si="925"/>
        <v>0.10188325960063814</v>
      </c>
      <c r="W2485" s="453">
        <f t="shared" si="925"/>
        <v>150.78765296961774</v>
      </c>
      <c r="X2485" s="453">
        <f t="shared" si="925"/>
        <v>1.6618000084718099</v>
      </c>
      <c r="Y2485" s="453">
        <f t="shared" si="925"/>
        <v>2362.9039107789413</v>
      </c>
      <c r="Z2485" s="453">
        <f t="shared" si="925"/>
        <v>1.2117031203044211</v>
      </c>
      <c r="AA2485" s="453">
        <f t="shared" si="925"/>
        <v>63.023613900263186</v>
      </c>
      <c r="AB2485" s="453">
        <f t="shared" si="925"/>
        <v>62.469194534148507</v>
      </c>
      <c r="AC2485" s="453">
        <f t="shared" si="925"/>
        <v>0.29796713440147837</v>
      </c>
      <c r="AD2485" s="453">
        <f t="shared" si="925"/>
        <v>0.25657178162729277</v>
      </c>
      <c r="AE2485" s="453">
        <f t="shared" si="925"/>
        <v>3.8401241717129362E-6</v>
      </c>
      <c r="AF2485" s="453">
        <f t="shared" si="925"/>
        <v>0.82697188268504529</v>
      </c>
      <c r="AG2485" s="453">
        <f t="shared" si="925"/>
        <v>5.4628670130629671E-3</v>
      </c>
      <c r="AH2485" s="453">
        <f t="shared" si="925"/>
        <v>8.3211827879606001E-2</v>
      </c>
      <c r="AI2485" s="453">
        <f t="shared" si="925"/>
        <v>2.9365197624749682</v>
      </c>
      <c r="AJ2485" s="453">
        <f t="shared" si="925"/>
        <v>0.26943095414138124</v>
      </c>
      <c r="AK2485" s="453">
        <f t="shared" si="925"/>
        <v>0.10854650275147622</v>
      </c>
      <c r="AL2485" s="453">
        <f t="shared" si="925"/>
        <v>710.44634867905381</v>
      </c>
      <c r="AM2485" s="453">
        <f t="shared" si="925"/>
        <v>29.932727451357714</v>
      </c>
      <c r="AN2485" s="453">
        <f t="shared" si="925"/>
        <v>8.0699948157155617E-6</v>
      </c>
      <c r="AO2485" s="453">
        <f t="shared" si="925"/>
        <v>2.2814176220139881</v>
      </c>
      <c r="AP2485" s="453">
        <f t="shared" si="925"/>
        <v>3138.986286980251</v>
      </c>
      <c r="AQ2485" s="453">
        <f t="shared" si="925"/>
        <v>4.2831206951509925E-7</v>
      </c>
      <c r="AR2485" s="453">
        <f t="shared" si="925"/>
        <v>5.6270210540044461E-6</v>
      </c>
      <c r="AS2485" s="453">
        <f t="shared" si="925"/>
        <v>237.83601571689169</v>
      </c>
      <c r="AT2485" s="453">
        <f t="shared" si="925"/>
        <v>0</v>
      </c>
      <c r="AU2485" s="453">
        <f t="shared" si="925"/>
        <v>0</v>
      </c>
      <c r="AV2485" s="317">
        <f t="shared" si="925"/>
        <v>64.824293130148575</v>
      </c>
      <c r="AW2485" s="317">
        <f t="shared" si="925"/>
        <v>0</v>
      </c>
      <c r="AX2485" s="317">
        <f t="shared" si="925"/>
        <v>0</v>
      </c>
      <c r="AY2485" s="317">
        <f t="shared" si="925"/>
        <v>755.62225890556374</v>
      </c>
      <c r="AZ2485" s="453">
        <f t="shared" si="925"/>
        <v>0</v>
      </c>
      <c r="BA2485" s="453">
        <f t="shared" si="925"/>
        <v>0</v>
      </c>
      <c r="BB2485" s="453">
        <f t="shared" si="925"/>
        <v>0</v>
      </c>
      <c r="BC2485" s="453">
        <f t="shared" si="925"/>
        <v>0.98490936146463426</v>
      </c>
      <c r="BD2485" s="453">
        <f t="shared" si="925"/>
        <v>1.632200548811839E-2</v>
      </c>
      <c r="BE2485" s="453">
        <f t="shared" si="925"/>
        <v>21.266136554053478</v>
      </c>
      <c r="BF2485" s="453">
        <f t="shared" si="925"/>
        <v>2.004024327522805E-3</v>
      </c>
      <c r="BG2485" s="453">
        <f t="shared" si="925"/>
        <v>0</v>
      </c>
      <c r="BH2485" s="453">
        <f t="shared" si="925"/>
        <v>0</v>
      </c>
      <c r="BI2485" s="453">
        <f t="shared" si="925"/>
        <v>0</v>
      </c>
      <c r="BJ2485" s="453">
        <f t="shared" si="925"/>
        <v>0</v>
      </c>
      <c r="BK2485" s="453">
        <f t="shared" si="925"/>
        <v>0</v>
      </c>
      <c r="BL2485" s="62">
        <f>BL2484</f>
        <v>0.43</v>
      </c>
      <c r="BM2485" s="275">
        <f>BM2484</f>
        <v>3</v>
      </c>
      <c r="BN2485" s="62">
        <v>0.05</v>
      </c>
      <c r="BO2485" s="451" t="str">
        <f>BO2484</f>
        <v>Eigen berekening</v>
      </c>
      <c r="BP2485" s="451"/>
    </row>
    <row r="2486" spans="1:68">
      <c r="A2486" s="33" t="str">
        <f>Database_Productkaarten[[#This Row],[Product]]&amp;", "&amp;Database_Productkaarten[[#This Row],[Levensfase]]</f>
        <v>Deelproduct, Fundering, Stalen Speeltoestel, A4</v>
      </c>
      <c r="B2486" s="33" t="s">
        <v>814</v>
      </c>
      <c r="C2486" s="33" t="s">
        <v>806</v>
      </c>
      <c r="D2486" s="33" t="s">
        <v>807</v>
      </c>
      <c r="E2486" s="33" t="s">
        <v>783</v>
      </c>
      <c r="F2486" s="33" t="s">
        <v>78</v>
      </c>
      <c r="M2486" s="271">
        <f t="shared" si="923"/>
        <v>2.5092E-2</v>
      </c>
      <c r="N2486" s="41">
        <v>0.21075223780355759</v>
      </c>
      <c r="O2486" s="33">
        <v>20</v>
      </c>
      <c r="P2486" s="33">
        <v>4.0751424709279196E-5</v>
      </c>
      <c r="Q2486" s="33">
        <v>1.7703280855664638E-2</v>
      </c>
      <c r="R2486" s="33">
        <v>2.3723562813128636</v>
      </c>
      <c r="S2486" s="33">
        <v>4.49428062300264E-7</v>
      </c>
      <c r="T2486" s="33">
        <v>1.4454299953119598E-3</v>
      </c>
      <c r="U2486" s="33">
        <v>6.1741415688451196E-3</v>
      </c>
      <c r="V2486" s="33">
        <v>1.0166505261281278E-3</v>
      </c>
      <c r="W2486" s="33">
        <v>0.51024856069879199</v>
      </c>
      <c r="X2486" s="33">
        <v>2.1443221936765441E-2</v>
      </c>
      <c r="Y2486" s="33">
        <v>58.060229422305596</v>
      </c>
      <c r="Z2486" s="33">
        <v>2.8820774764720799E-3</v>
      </c>
      <c r="AA2486" s="33">
        <v>2.3928380008862398</v>
      </c>
      <c r="AB2486" s="33">
        <v>2.3910892406943121</v>
      </c>
      <c r="AC2486" s="33">
        <v>1.1525729376358079E-3</v>
      </c>
      <c r="AD2486" s="33">
        <v>5.9620420935806401E-4</v>
      </c>
      <c r="AE2486" s="33">
        <v>5.6465201285071199E-7</v>
      </c>
      <c r="AF2486" s="33">
        <v>7.68599487194688E-3</v>
      </c>
      <c r="AG2486" s="33">
        <v>1.6655762503528558E-5</v>
      </c>
      <c r="AH2486" s="33">
        <v>1.765429357594824E-3</v>
      </c>
      <c r="AI2486" s="33">
        <v>1.9871424601936562E-2</v>
      </c>
      <c r="AJ2486" s="33">
        <v>7.4386779401224793E-3</v>
      </c>
      <c r="AK2486" s="33">
        <v>4.07512724811336E-5</v>
      </c>
      <c r="AL2486" s="33">
        <v>37.164577899434398</v>
      </c>
      <c r="AM2486" s="33">
        <v>0.15782670310168798</v>
      </c>
      <c r="AN2486" s="33">
        <v>1.6591835868557758E-7</v>
      </c>
      <c r="AO2486" s="33">
        <v>0.15957410373879838</v>
      </c>
      <c r="AP2486" s="33">
        <v>27.105247551751201</v>
      </c>
      <c r="AQ2486" s="33">
        <v>6.8595692664700793E-10</v>
      </c>
      <c r="AR2486" s="33">
        <v>2.1869561529976321E-8</v>
      </c>
      <c r="AS2486" s="33">
        <v>42.486799322887201</v>
      </c>
      <c r="AT2486" s="33">
        <v>0</v>
      </c>
      <c r="AU2486" s="33">
        <v>0</v>
      </c>
      <c r="AV2486" s="316">
        <v>0.38087720869831199</v>
      </c>
      <c r="AW2486" s="314">
        <v>0</v>
      </c>
      <c r="AX2486" s="314">
        <v>0</v>
      </c>
      <c r="AY2486" s="316">
        <v>39.472259475671997</v>
      </c>
      <c r="AZ2486" s="33">
        <v>0</v>
      </c>
      <c r="BA2486" s="33">
        <v>0</v>
      </c>
      <c r="BB2486" s="33">
        <v>0</v>
      </c>
      <c r="BC2486" s="33">
        <v>4.7466019238824797E-3</v>
      </c>
      <c r="BD2486" s="33">
        <v>9.1856085072177597E-5</v>
      </c>
      <c r="BE2486" s="33">
        <v>3.2307691670848802</v>
      </c>
      <c r="BF2486" s="33">
        <v>2.5238822089757035E-4</v>
      </c>
      <c r="BG2486" s="33">
        <v>0</v>
      </c>
      <c r="BH2486" s="33">
        <v>0</v>
      </c>
      <c r="BI2486" s="33">
        <v>0</v>
      </c>
      <c r="BJ2486" s="33">
        <v>0</v>
      </c>
      <c r="BK2486" s="33">
        <v>0</v>
      </c>
      <c r="BL2486" s="62">
        <v>0.43</v>
      </c>
      <c r="BM2486" s="275">
        <v>3</v>
      </c>
      <c r="BN2486" s="62">
        <v>0.05</v>
      </c>
      <c r="BO2486" s="33" t="s">
        <v>753</v>
      </c>
    </row>
    <row r="2487" spans="1:68">
      <c r="A2487" s="33" t="str">
        <f>Database_Productkaarten[[#This Row],[Product]]&amp;", "&amp;Database_Productkaarten[[#This Row],[Levensfase]]</f>
        <v>Deelproduct, Fundering, Stalen Speeltoestel, A5</v>
      </c>
      <c r="B2487" s="33" t="s">
        <v>814</v>
      </c>
      <c r="C2487" s="33" t="s">
        <v>806</v>
      </c>
      <c r="D2487" s="33" t="s">
        <v>807</v>
      </c>
      <c r="E2487" s="33" t="s">
        <v>783</v>
      </c>
      <c r="F2487" s="33" t="s">
        <v>79</v>
      </c>
      <c r="M2487" s="271">
        <f t="shared" si="923"/>
        <v>2.5092E-2</v>
      </c>
      <c r="N2487" s="41">
        <v>0.48047622469473172</v>
      </c>
      <c r="O2487" s="33">
        <v>20</v>
      </c>
      <c r="P2487" s="33">
        <v>1.0571651453436396E-5</v>
      </c>
      <c r="Q2487" s="33">
        <v>3.2276728667981675E-2</v>
      </c>
      <c r="R2487" s="33">
        <v>4.7349353092542472</v>
      </c>
      <c r="S2487" s="33">
        <v>8.3086173594626461E-7</v>
      </c>
      <c r="T2487" s="33">
        <v>1.4700790354062201E-3</v>
      </c>
      <c r="U2487" s="33">
        <v>1.605079899789242E-2</v>
      </c>
      <c r="V2487" s="33">
        <v>3.1927589142068877E-3</v>
      </c>
      <c r="W2487" s="33">
        <v>1.4602515431877339</v>
      </c>
      <c r="X2487" s="33">
        <v>2.8042443863208782E-2</v>
      </c>
      <c r="Y2487" s="33">
        <v>92.834342743357325</v>
      </c>
      <c r="Z2487" s="33">
        <v>1.4584624599840185E-2</v>
      </c>
      <c r="AA2487" s="33">
        <v>4.7598406545724981</v>
      </c>
      <c r="AB2487" s="33">
        <v>4.7580056109925817</v>
      </c>
      <c r="AC2487" s="33">
        <v>5.4721194800663939E-3</v>
      </c>
      <c r="AD2487" s="33">
        <v>7.3132794246167244E-4</v>
      </c>
      <c r="AE2487" s="33">
        <v>1.041058724403902E-6</v>
      </c>
      <c r="AF2487" s="33">
        <v>2.1317501227948767E-2</v>
      </c>
      <c r="AG2487" s="33">
        <v>3.1402255754804313E-5</v>
      </c>
      <c r="AH2487" s="33">
        <v>7.3610504999826274E-3</v>
      </c>
      <c r="AI2487" s="33">
        <v>8.0928453403697365E-2</v>
      </c>
      <c r="AJ2487" s="33">
        <v>2.1726363942678576E-2</v>
      </c>
      <c r="AK2487" s="33">
        <v>1.0571651453436396E-5</v>
      </c>
      <c r="AL2487" s="33">
        <v>68.508381664881298</v>
      </c>
      <c r="AM2487" s="33">
        <v>0.13675682643021983</v>
      </c>
      <c r="AN2487" s="33">
        <v>7.6800339446664082E-8</v>
      </c>
      <c r="AO2487" s="33">
        <v>0.29803136269643871</v>
      </c>
      <c r="AP2487" s="33">
        <v>43.678615610657801</v>
      </c>
      <c r="AQ2487" s="33">
        <v>8.3227387734582315E-9</v>
      </c>
      <c r="AR2487" s="33">
        <v>7.1363591882085806E-8</v>
      </c>
      <c r="AS2487" s="33">
        <v>10.776085977629792</v>
      </c>
      <c r="AT2487" s="33">
        <v>0.41721380480115194</v>
      </c>
      <c r="AU2487" s="33">
        <v>0</v>
      </c>
      <c r="AV2487" s="316">
        <v>1.2078321421997953</v>
      </c>
      <c r="AW2487" s="314">
        <v>3.6553558620444217E-2</v>
      </c>
      <c r="AX2487" s="314">
        <v>5.1339926941303991E-5</v>
      </c>
      <c r="AY2487" s="316">
        <v>72.774092485952991</v>
      </c>
      <c r="AZ2487" s="33">
        <v>5.0904011383561322E-5</v>
      </c>
      <c r="BA2487" s="33">
        <v>0</v>
      </c>
      <c r="BB2487" s="33">
        <v>0</v>
      </c>
      <c r="BC2487" s="33">
        <v>5.4568350179144132E-3</v>
      </c>
      <c r="BD2487" s="33">
        <v>1.8209996750429206E-4</v>
      </c>
      <c r="BE2487" s="33">
        <v>0.1713712383358616</v>
      </c>
      <c r="BF2487" s="33">
        <v>4.6622281312512173E-4</v>
      </c>
      <c r="BG2487" s="33">
        <v>0</v>
      </c>
      <c r="BH2487" s="33">
        <v>0</v>
      </c>
      <c r="BI2487" s="33">
        <v>0</v>
      </c>
      <c r="BJ2487" s="33">
        <v>0</v>
      </c>
      <c r="BK2487" s="33">
        <v>0</v>
      </c>
      <c r="BL2487" s="62">
        <v>0.43</v>
      </c>
      <c r="BM2487" s="275">
        <v>3</v>
      </c>
      <c r="BN2487" s="62">
        <v>0.05</v>
      </c>
      <c r="BO2487" s="33" t="s">
        <v>753</v>
      </c>
    </row>
    <row r="2488" spans="1:68">
      <c r="A2488" s="33" t="str">
        <f>Database_Productkaarten[[#This Row],[Product]]&amp;", "&amp;Database_Productkaarten[[#This Row],[Levensfase]]</f>
        <v>Deelproduct, Fundering, Stalen Speeltoestel, C1</v>
      </c>
      <c r="B2488" s="33" t="s">
        <v>814</v>
      </c>
      <c r="C2488" s="33" t="s">
        <v>806</v>
      </c>
      <c r="D2488" s="33" t="s">
        <v>807</v>
      </c>
      <c r="E2488" s="33" t="s">
        <v>783</v>
      </c>
      <c r="F2488" s="33" t="s">
        <v>83</v>
      </c>
      <c r="M2488" s="271">
        <f t="shared" si="923"/>
        <v>2.5092E-2</v>
      </c>
      <c r="N2488" s="41">
        <v>0.48047622469473172</v>
      </c>
      <c r="O2488" s="33">
        <v>20</v>
      </c>
      <c r="P2488" s="33">
        <v>1.0571651453436396E-5</v>
      </c>
      <c r="Q2488" s="33">
        <v>3.2276728667981675E-2</v>
      </c>
      <c r="R2488" s="33">
        <v>4.7349353092542472</v>
      </c>
      <c r="S2488" s="33">
        <v>8.3086173594626461E-7</v>
      </c>
      <c r="T2488" s="33">
        <v>1.4700790354062201E-3</v>
      </c>
      <c r="U2488" s="33">
        <v>1.605079899789242E-2</v>
      </c>
      <c r="V2488" s="33">
        <v>3.1927589142068877E-3</v>
      </c>
      <c r="W2488" s="33">
        <v>1.4602515431877339</v>
      </c>
      <c r="X2488" s="33">
        <v>2.8042443863208782E-2</v>
      </c>
      <c r="Y2488" s="33">
        <v>92.834342743357325</v>
      </c>
      <c r="Z2488" s="33">
        <v>1.4584624599840185E-2</v>
      </c>
      <c r="AA2488" s="33">
        <v>4.7598406545724981</v>
      </c>
      <c r="AB2488" s="33">
        <v>4.7580056109925817</v>
      </c>
      <c r="AC2488" s="33">
        <v>5.4721194800663939E-3</v>
      </c>
      <c r="AD2488" s="33">
        <v>7.3132794246167244E-4</v>
      </c>
      <c r="AE2488" s="33">
        <v>1.041058724403902E-6</v>
      </c>
      <c r="AF2488" s="33">
        <v>2.1317501227948767E-2</v>
      </c>
      <c r="AG2488" s="33">
        <v>3.1402255754804313E-5</v>
      </c>
      <c r="AH2488" s="33">
        <v>7.3610504999826274E-3</v>
      </c>
      <c r="AI2488" s="33">
        <v>8.0928453403697365E-2</v>
      </c>
      <c r="AJ2488" s="33">
        <v>2.1726363942678576E-2</v>
      </c>
      <c r="AK2488" s="33">
        <v>1.0571651453436396E-5</v>
      </c>
      <c r="AL2488" s="33">
        <v>68.508381664881298</v>
      </c>
      <c r="AM2488" s="33">
        <v>0.13675682643021983</v>
      </c>
      <c r="AN2488" s="33">
        <v>7.6800339446664082E-8</v>
      </c>
      <c r="AO2488" s="33">
        <v>0.29803136269643871</v>
      </c>
      <c r="AP2488" s="33">
        <v>43.678615610657801</v>
      </c>
      <c r="AQ2488" s="33">
        <v>8.3227387734582315E-9</v>
      </c>
      <c r="AR2488" s="33">
        <v>7.1363591882085806E-8</v>
      </c>
      <c r="AS2488" s="33">
        <v>10.776085977629792</v>
      </c>
      <c r="AT2488" s="33">
        <v>0.41721380480115194</v>
      </c>
      <c r="AU2488" s="33">
        <v>0</v>
      </c>
      <c r="AV2488" s="316">
        <v>1.2078321421997953</v>
      </c>
      <c r="AW2488" s="314">
        <v>3.6553558620444217E-2</v>
      </c>
      <c r="AX2488" s="314">
        <v>5.1339926941303991E-5</v>
      </c>
      <c r="AY2488" s="316">
        <v>72.774092485952991</v>
      </c>
      <c r="AZ2488" s="33">
        <v>5.0904011383561322E-5</v>
      </c>
      <c r="BA2488" s="33">
        <v>0</v>
      </c>
      <c r="BB2488" s="33">
        <v>0</v>
      </c>
      <c r="BC2488" s="33">
        <v>5.4568350179144132E-3</v>
      </c>
      <c r="BD2488" s="33">
        <v>1.8209996750429206E-4</v>
      </c>
      <c r="BE2488" s="33">
        <v>0.1713712383358616</v>
      </c>
      <c r="BF2488" s="33">
        <v>4.6622281312512173E-4</v>
      </c>
      <c r="BG2488" s="33">
        <v>0</v>
      </c>
      <c r="BH2488" s="33">
        <v>0</v>
      </c>
      <c r="BI2488" s="33">
        <v>0</v>
      </c>
      <c r="BJ2488" s="33">
        <v>0</v>
      </c>
      <c r="BK2488" s="33">
        <v>0</v>
      </c>
      <c r="BL2488" s="62">
        <v>0.43</v>
      </c>
      <c r="BM2488" s="275">
        <v>3</v>
      </c>
      <c r="BN2488" s="62">
        <v>0.05</v>
      </c>
      <c r="BO2488" s="33" t="s">
        <v>753</v>
      </c>
    </row>
    <row r="2489" spans="1:68">
      <c r="A2489" s="33" t="str">
        <f>Database_Productkaarten[[#This Row],[Product]]&amp;", "&amp;Database_Productkaarten[[#This Row],[Levensfase]]</f>
        <v>Deelproduct, Fundering, Stalen Speeltoestel, C2</v>
      </c>
      <c r="B2489" s="33" t="s">
        <v>814</v>
      </c>
      <c r="C2489" s="33" t="s">
        <v>806</v>
      </c>
      <c r="D2489" s="33" t="s">
        <v>807</v>
      </c>
      <c r="E2489" s="33" t="s">
        <v>783</v>
      </c>
      <c r="F2489" s="33" t="s">
        <v>84</v>
      </c>
      <c r="M2489" s="271">
        <f t="shared" si="923"/>
        <v>2.5092E-2</v>
      </c>
      <c r="N2489" s="41">
        <v>0.10074198747779999</v>
      </c>
      <c r="O2489" s="33">
        <v>20</v>
      </c>
      <c r="P2489" s="33">
        <v>1.9479648522599999E-5</v>
      </c>
      <c r="Q2489" s="33">
        <v>3.397561406676096E-5</v>
      </c>
      <c r="R2489" s="33">
        <v>0.90388451999999997</v>
      </c>
      <c r="S2489" s="33">
        <v>1.6678014371362559E-13</v>
      </c>
      <c r="T2489" s="33">
        <v>9.3555089510066157E-10</v>
      </c>
      <c r="U2489" s="33">
        <v>1.0631451761090159E-4</v>
      </c>
      <c r="V2489" s="33">
        <v>3.2301231059411166E-18</v>
      </c>
      <c r="W2489" s="33">
        <v>9.0939434217753449E-12</v>
      </c>
      <c r="X2489" s="33">
        <v>4.342958250599021E-8</v>
      </c>
      <c r="Y2489" s="33">
        <v>3.5727354805297687E-18</v>
      </c>
      <c r="Z2489" s="33">
        <v>4.9929928052548952E-16</v>
      </c>
      <c r="AA2489" s="33">
        <v>1.9797118950818853E-9</v>
      </c>
      <c r="AB2489" s="33">
        <v>1.6274201506984988E-19</v>
      </c>
      <c r="AC2489" s="33">
        <v>1.0963075357154292E-20</v>
      </c>
      <c r="AD2489" s="33">
        <v>2.2485371712862441E-14</v>
      </c>
      <c r="AE2489" s="33">
        <v>1.7505866439146702E-27</v>
      </c>
      <c r="AF2489" s="33">
        <v>1.6052235798238601E-24</v>
      </c>
      <c r="AG2489" s="33">
        <v>7.1345671838341585E-21</v>
      </c>
      <c r="AH2489" s="33">
        <v>5.8875823664523648E-32</v>
      </c>
      <c r="AI2489" s="33">
        <v>6.0766969018106165E-28</v>
      </c>
      <c r="AJ2489" s="33">
        <v>1.0110355559363515E-24</v>
      </c>
      <c r="AK2489" s="33">
        <v>4.5706841513558532E-38</v>
      </c>
      <c r="AL2489" s="33">
        <v>4.3022913799320288E-28</v>
      </c>
      <c r="AM2489" s="33">
        <v>3.0398346039160327E-27</v>
      </c>
      <c r="AN2489" s="33">
        <v>1.4447034005931695E-46</v>
      </c>
      <c r="AO2489" s="33">
        <v>1.3078720994613849E-30</v>
      </c>
      <c r="AP2489" s="33">
        <v>1.5696628273255305E-27</v>
      </c>
      <c r="AQ2489" s="33">
        <v>1.8878982411406172E-57</v>
      </c>
      <c r="AR2489" s="33">
        <v>5.4488944074924864E-40</v>
      </c>
      <c r="AS2489" s="33">
        <v>1.2704671197979115E-27</v>
      </c>
      <c r="AT2489" s="33">
        <v>0</v>
      </c>
      <c r="AU2489" s="33">
        <v>0</v>
      </c>
      <c r="AV2489" s="316">
        <v>9.2183131340836365E-30</v>
      </c>
      <c r="AW2489" s="314">
        <v>0</v>
      </c>
      <c r="AX2489" s="314">
        <v>0</v>
      </c>
      <c r="AY2489" s="316">
        <v>6.9318073534620984E-30</v>
      </c>
      <c r="AZ2489" s="33">
        <v>0</v>
      </c>
      <c r="BA2489" s="33">
        <v>0</v>
      </c>
      <c r="BB2489" s="33">
        <v>0</v>
      </c>
      <c r="BC2489" s="33">
        <v>0</v>
      </c>
      <c r="BD2489" s="33">
        <v>0</v>
      </c>
      <c r="BE2489" s="33">
        <v>0</v>
      </c>
      <c r="BF2489" s="33">
        <v>0</v>
      </c>
      <c r="BG2489" s="33">
        <v>0</v>
      </c>
      <c r="BH2489" s="33">
        <v>0</v>
      </c>
      <c r="BI2489" s="33">
        <v>0</v>
      </c>
      <c r="BJ2489" s="33">
        <v>0</v>
      </c>
      <c r="BK2489" s="33">
        <v>0</v>
      </c>
      <c r="BL2489" s="62">
        <v>0.43</v>
      </c>
      <c r="BM2489" s="275">
        <v>3</v>
      </c>
      <c r="BN2489" s="62">
        <v>0.05</v>
      </c>
      <c r="BO2489" s="33" t="s">
        <v>753</v>
      </c>
    </row>
    <row r="2490" spans="1:68">
      <c r="A2490" s="33" t="str">
        <f>Database_Productkaarten[[#This Row],[Product]]&amp;", "&amp;Database_Productkaarten[[#This Row],[Levensfase]]</f>
        <v>Deelproduct, Fundering, Stalen Speeltoestel, C3</v>
      </c>
      <c r="B2490" s="33" t="s">
        <v>814</v>
      </c>
      <c r="C2490" s="33" t="s">
        <v>806</v>
      </c>
      <c r="D2490" s="33" t="s">
        <v>807</v>
      </c>
      <c r="E2490" s="33" t="s">
        <v>783</v>
      </c>
      <c r="F2490" s="33" t="s">
        <v>85</v>
      </c>
      <c r="M2490" s="271">
        <f t="shared" si="923"/>
        <v>2.5092E-2</v>
      </c>
      <c r="N2490" s="41">
        <v>0.1367514</v>
      </c>
      <c r="O2490" s="33">
        <v>20</v>
      </c>
      <c r="P2490" s="33">
        <v>3.437604E-5</v>
      </c>
      <c r="Q2490" s="33">
        <v>4.0147200000000003E-3</v>
      </c>
      <c r="R2490" s="33">
        <v>0.61224480000000003</v>
      </c>
      <c r="S2490" s="33">
        <v>7.653059999999999E-8</v>
      </c>
      <c r="T2490" s="33">
        <v>5.3947800000000003E-4</v>
      </c>
      <c r="U2490" s="33">
        <v>6.02208E-3</v>
      </c>
      <c r="V2490" s="33">
        <v>7.6781519999999989E-4</v>
      </c>
      <c r="W2490" s="33">
        <v>0.74272320000000003</v>
      </c>
      <c r="X2490" s="33">
        <v>1.3821426359999998E-2</v>
      </c>
      <c r="Y2490" s="33">
        <v>60.220799999999997</v>
      </c>
      <c r="Z2490" s="33">
        <v>2.3109732000000001E-3</v>
      </c>
      <c r="AA2490" s="33">
        <v>0.58464360000000004</v>
      </c>
      <c r="AB2490" s="33">
        <v>0.6197724</v>
      </c>
      <c r="AC2490" s="33">
        <v>-3.5379719999999996E-2</v>
      </c>
      <c r="AD2490" s="33">
        <v>6.925392E-4</v>
      </c>
      <c r="AE2490" s="33">
        <v>8.8825679999999995E-8</v>
      </c>
      <c r="AF2490" s="33">
        <v>7.5025079999999997E-3</v>
      </c>
      <c r="AG2490" s="33">
        <v>4.2154559999999995E-5</v>
      </c>
      <c r="AH2490" s="33">
        <v>1.656072E-3</v>
      </c>
      <c r="AI2490" s="33">
        <v>1.9212693479999998E-2</v>
      </c>
      <c r="AJ2490" s="33">
        <v>5.2442280000000001E-3</v>
      </c>
      <c r="AK2490" s="33">
        <v>3.437604E-5</v>
      </c>
      <c r="AL2490" s="33">
        <v>8.5827191018400004</v>
      </c>
      <c r="AM2490" s="33">
        <v>8.6316479999999987E-2</v>
      </c>
      <c r="AN2490" s="33">
        <v>9.4345920000000004E-8</v>
      </c>
      <c r="AO2490" s="33">
        <v>4.2656399999999997E-2</v>
      </c>
      <c r="AP2490" s="33">
        <v>36.901258732799995</v>
      </c>
      <c r="AQ2490" s="33">
        <v>9.0080279999999999E-10</v>
      </c>
      <c r="AR2490" s="33">
        <v>4.2656399999999997E-8</v>
      </c>
      <c r="AS2490" s="33">
        <v>17.272062893879998</v>
      </c>
      <c r="AT2490" s="33">
        <v>0</v>
      </c>
      <c r="AU2490" s="33">
        <v>0</v>
      </c>
      <c r="AV2490" s="316">
        <v>1.3463524108799998</v>
      </c>
      <c r="AW2490" s="314">
        <v>0</v>
      </c>
      <c r="AX2490" s="314">
        <v>0</v>
      </c>
      <c r="AY2490" s="316">
        <v>9.0973138672799987</v>
      </c>
      <c r="AZ2490" s="33">
        <v>0</v>
      </c>
      <c r="BA2490" s="33">
        <v>0</v>
      </c>
      <c r="BB2490" s="33">
        <v>0</v>
      </c>
      <c r="BC2490" s="33">
        <v>4.0649040000000003E-3</v>
      </c>
      <c r="BD2490" s="33">
        <v>2.5844760000000001E-5</v>
      </c>
      <c r="BE2490" s="33">
        <v>0.25082113751999996</v>
      </c>
      <c r="BF2490" s="33">
        <v>5.0936760000000001E-5</v>
      </c>
      <c r="BG2490" s="33">
        <v>0</v>
      </c>
      <c r="BH2490" s="33">
        <v>0</v>
      </c>
      <c r="BI2490" s="33">
        <v>0</v>
      </c>
      <c r="BJ2490" s="33">
        <v>0</v>
      </c>
      <c r="BK2490" s="33">
        <v>0</v>
      </c>
      <c r="BL2490" s="62">
        <v>0.43</v>
      </c>
      <c r="BM2490" s="275">
        <v>3</v>
      </c>
      <c r="BN2490" s="62">
        <v>0.05</v>
      </c>
      <c r="BO2490" s="33" t="s">
        <v>753</v>
      </c>
    </row>
    <row r="2491" spans="1:68">
      <c r="A2491" s="33" t="str">
        <f>Database_Productkaarten[[#This Row],[Product]]&amp;", "&amp;Database_Productkaarten[[#This Row],[Levensfase]]</f>
        <v>Deelproduct, Fundering, Stalen Speeltoestel, C4</v>
      </c>
      <c r="B2491" s="33" t="s">
        <v>814</v>
      </c>
      <c r="C2491" s="33" t="s">
        <v>806</v>
      </c>
      <c r="D2491" s="33" t="s">
        <v>807</v>
      </c>
      <c r="E2491" s="33" t="s">
        <v>783</v>
      </c>
      <c r="F2491" s="33" t="s">
        <v>86</v>
      </c>
      <c r="M2491" s="271">
        <f t="shared" si="923"/>
        <v>2.5092E-2</v>
      </c>
      <c r="N2491" s="41">
        <v>4.1652719999999999E-4</v>
      </c>
      <c r="O2491" s="33">
        <v>20</v>
      </c>
      <c r="P2491" s="33">
        <v>1.9772495999999999E-8</v>
      </c>
      <c r="Q2491" s="33">
        <v>2.735028E-5</v>
      </c>
      <c r="R2491" s="33">
        <v>2.2181328000000001E-3</v>
      </c>
      <c r="S2491" s="33">
        <v>6.5991959999999991E-10</v>
      </c>
      <c r="T2491" s="33">
        <v>2.1880223999999996E-6</v>
      </c>
      <c r="U2491" s="33">
        <v>1.4553359999999999E-5</v>
      </c>
      <c r="V2491" s="33">
        <v>3.0361319999999996E-6</v>
      </c>
      <c r="W2491" s="33">
        <v>1.9443414419999998E-3</v>
      </c>
      <c r="X2491" s="33">
        <v>6.1726319999999991E-4</v>
      </c>
      <c r="Y2491" s="33">
        <v>0.16385075999999998</v>
      </c>
      <c r="Z2491" s="33">
        <v>4.8427560000000001E-6</v>
      </c>
      <c r="AA2491" s="33">
        <v>2.3552078868E-3</v>
      </c>
      <c r="AB2491" s="33">
        <v>2.2505591915999998E-3</v>
      </c>
      <c r="AC2491" s="33">
        <v>1.040163768E-4</v>
      </c>
      <c r="AD2491" s="33">
        <v>6.323183999999999E-7</v>
      </c>
      <c r="AE2491" s="33">
        <v>8.1047159999999988E-10</v>
      </c>
      <c r="AF2491" s="33">
        <v>1.9621944E-5</v>
      </c>
      <c r="AG2491" s="33">
        <v>2.9106719999999997E-8</v>
      </c>
      <c r="AH2491" s="33">
        <v>7.2515879999999998E-6</v>
      </c>
      <c r="AI2491" s="33">
        <v>8.0294400000000002E-5</v>
      </c>
      <c r="AJ2491" s="33">
        <v>2.2934087999999998E-5</v>
      </c>
      <c r="AK2491" s="33">
        <v>1.9772495999999999E-8</v>
      </c>
      <c r="AL2491" s="33">
        <v>6.0320166829199995E-2</v>
      </c>
      <c r="AM2491" s="33">
        <v>2.8353959999999996E-4</v>
      </c>
      <c r="AN2491" s="33">
        <v>4.0398119999999995E-10</v>
      </c>
      <c r="AO2491" s="33">
        <v>3.0073765679999994E-4</v>
      </c>
      <c r="AP2491" s="33">
        <v>0.29097900162000001</v>
      </c>
      <c r="AQ2491" s="33">
        <v>2.7852119999999999E-12</v>
      </c>
      <c r="AR2491" s="33">
        <v>2.2783535999999997E-10</v>
      </c>
      <c r="AS2491" s="33">
        <v>0.14772573999719998</v>
      </c>
      <c r="AT2491" s="33">
        <v>0</v>
      </c>
      <c r="AU2491" s="33">
        <v>0</v>
      </c>
      <c r="AV2491" s="316">
        <v>3.3986336147999998E-3</v>
      </c>
      <c r="AW2491" s="314">
        <v>0</v>
      </c>
      <c r="AX2491" s="314">
        <v>0</v>
      </c>
      <c r="AY2491" s="316">
        <v>6.3967615225199989E-2</v>
      </c>
      <c r="AZ2491" s="33">
        <v>0</v>
      </c>
      <c r="BA2491" s="33">
        <v>0</v>
      </c>
      <c r="BB2491" s="33">
        <v>0</v>
      </c>
      <c r="BC2491" s="33">
        <v>7.5203233199999992E-5</v>
      </c>
      <c r="BD2491" s="33">
        <v>7.4021399999999993E-8</v>
      </c>
      <c r="BE2491" s="33">
        <v>0.25145029432799998</v>
      </c>
      <c r="BF2491" s="33">
        <v>3.9896279999999996E-7</v>
      </c>
      <c r="BG2491" s="33">
        <v>0</v>
      </c>
      <c r="BH2491" s="33">
        <v>0</v>
      </c>
      <c r="BI2491" s="33">
        <v>0</v>
      </c>
      <c r="BJ2491" s="33">
        <v>0</v>
      </c>
      <c r="BK2491" s="33">
        <v>0</v>
      </c>
      <c r="BL2491" s="62">
        <v>0.43</v>
      </c>
      <c r="BM2491" s="275">
        <v>3</v>
      </c>
      <c r="BN2491" s="62">
        <v>0.05</v>
      </c>
      <c r="BO2491" s="33" t="s">
        <v>753</v>
      </c>
    </row>
    <row r="2492" spans="1:68">
      <c r="A2492" s="33" t="str">
        <f>Database_Productkaarten[[#This Row],[Product]]&amp;", "&amp;Database_Productkaarten[[#This Row],[Levensfase]]</f>
        <v>Deelproduct, Fundering, Stalen Speeltoestel, D</v>
      </c>
      <c r="B2492" s="33" t="s">
        <v>814</v>
      </c>
      <c r="C2492" s="33" t="s">
        <v>806</v>
      </c>
      <c r="D2492" s="33" t="s">
        <v>807</v>
      </c>
      <c r="E2492" s="33" t="s">
        <v>783</v>
      </c>
      <c r="F2492" s="33" t="s">
        <v>89</v>
      </c>
      <c r="M2492" s="271">
        <f t="shared" si="923"/>
        <v>2.5092E-2</v>
      </c>
      <c r="N2492" s="41">
        <v>-2.3128239859200002</v>
      </c>
      <c r="O2492" s="33">
        <v>20</v>
      </c>
      <c r="P2492" s="33">
        <v>-1.2448923516368639E-2</v>
      </c>
      <c r="Q2492" s="33">
        <v>-0.112838249861568</v>
      </c>
      <c r="R2492" s="33">
        <v>-18.349800464499843</v>
      </c>
      <c r="S2492" s="33">
        <v>-6.2791746393599998E-7</v>
      </c>
      <c r="T2492" s="33">
        <v>-4.0067487734400005E-2</v>
      </c>
      <c r="U2492" s="33">
        <v>-6.2791184332799996E-2</v>
      </c>
      <c r="V2492" s="33">
        <v>-7.521062028479999E-3</v>
      </c>
      <c r="W2492" s="33">
        <v>-11.599951305599999</v>
      </c>
      <c r="X2492" s="33">
        <v>0.12282152601600002</v>
      </c>
      <c r="Y2492" s="33">
        <v>101.03136579469786</v>
      </c>
      <c r="Z2492" s="33">
        <v>0.96224774885064013</v>
      </c>
      <c r="AA2492" s="33">
        <v>-19.440575528383295</v>
      </c>
      <c r="AB2492" s="33">
        <v>-19.595701055553839</v>
      </c>
      <c r="AC2492" s="33">
        <v>0.20536008339530878</v>
      </c>
      <c r="AD2492" s="33">
        <v>1.458413232696E-2</v>
      </c>
      <c r="AE2492" s="33">
        <v>-4.6928985465600001E-7</v>
      </c>
      <c r="AF2492" s="33">
        <v>-7.6943207829599986E-2</v>
      </c>
      <c r="AG2492" s="33">
        <v>-7.1428513161600005E-4</v>
      </c>
      <c r="AH2492" s="33">
        <v>-1.4300196775200001E-2</v>
      </c>
      <c r="AI2492" s="33">
        <v>-0.16686742060800003</v>
      </c>
      <c r="AJ2492" s="33">
        <v>-0.112609786197888</v>
      </c>
      <c r="AK2492" s="33">
        <v>-1.246174552836864E-2</v>
      </c>
      <c r="AL2492" s="33">
        <v>-136.01204717109007</v>
      </c>
      <c r="AM2492" s="33">
        <v>-3.8291102304336002</v>
      </c>
      <c r="AN2492" s="33">
        <v>-1.142290917936E-6</v>
      </c>
      <c r="AO2492" s="33">
        <v>0.34149245046658561</v>
      </c>
      <c r="AP2492" s="33">
        <v>-712.14128418384007</v>
      </c>
      <c r="AQ2492" s="33">
        <v>-4.7171233670399998E-9</v>
      </c>
      <c r="AR2492" s="33">
        <v>3.78493147872E-6</v>
      </c>
      <c r="AS2492" s="33">
        <v>-32.370090902283451</v>
      </c>
      <c r="AT2492" s="33">
        <v>0</v>
      </c>
      <c r="AU2492" s="33">
        <v>0</v>
      </c>
      <c r="AV2492" s="316">
        <v>4.1062078598216258</v>
      </c>
      <c r="AW2492" s="314">
        <v>0</v>
      </c>
      <c r="AX2492" s="314">
        <v>0</v>
      </c>
      <c r="AY2492" s="316">
        <v>-141.05902072563504</v>
      </c>
      <c r="AZ2492" s="33">
        <v>0</v>
      </c>
      <c r="BA2492" s="33">
        <v>0</v>
      </c>
      <c r="BB2492" s="33">
        <v>0</v>
      </c>
      <c r="BC2492" s="33">
        <v>-7.2474262408800005E-2</v>
      </c>
      <c r="BD2492" s="33">
        <v>-2.3783082845759999E-3</v>
      </c>
      <c r="BE2492" s="33">
        <v>-1.9141501223073603</v>
      </c>
      <c r="BF2492" s="33">
        <v>1.2080063640960001E-4</v>
      </c>
      <c r="BG2492" s="33">
        <v>0</v>
      </c>
      <c r="BH2492" s="33">
        <v>0</v>
      </c>
      <c r="BI2492" s="33">
        <v>0</v>
      </c>
      <c r="BJ2492" s="33">
        <v>0</v>
      </c>
      <c r="BK2492" s="33">
        <v>0</v>
      </c>
      <c r="BL2492" s="62">
        <v>0.43</v>
      </c>
      <c r="BM2492" s="275">
        <v>3</v>
      </c>
      <c r="BN2492" s="62">
        <v>0.05</v>
      </c>
      <c r="BO2492" s="33" t="s">
        <v>753</v>
      </c>
    </row>
    <row r="2493" spans="1:68">
      <c r="A2493" s="33" t="str">
        <f>Database_Productkaarten[[#This Row],[Product]]&amp;", "&amp;Database_Productkaarten[[#This Row],[Levensfase]]</f>
        <v>Deelproduct, Doppen, Stalen Speeltoestel, Totaal</v>
      </c>
      <c r="B2493" s="33" t="s">
        <v>815</v>
      </c>
      <c r="C2493" s="33" t="s">
        <v>806</v>
      </c>
      <c r="D2493" s="33" t="s">
        <v>807</v>
      </c>
      <c r="E2493" s="33" t="s">
        <v>783</v>
      </c>
      <c r="F2493" s="33" t="s">
        <v>90</v>
      </c>
      <c r="M2493" s="271">
        <f>5.346/1000</f>
        <v>5.3460000000000001E-3</v>
      </c>
      <c r="N2493" s="41">
        <v>4.3462028402794193</v>
      </c>
      <c r="O2493" s="33">
        <v>15</v>
      </c>
      <c r="P2493" s="33">
        <v>3.6852938867451969E-4</v>
      </c>
      <c r="Q2493" s="33">
        <v>0.22257986739512842</v>
      </c>
      <c r="R2493" s="33">
        <v>58.715379273946034</v>
      </c>
      <c r="S2493" s="33">
        <v>6.5542353594973192E-7</v>
      </c>
      <c r="T2493" s="33">
        <v>2.3640424270849981E-2</v>
      </c>
      <c r="U2493" s="33">
        <v>0.15567562329199053</v>
      </c>
      <c r="V2493" s="33">
        <v>3.1328586553803266E-2</v>
      </c>
      <c r="W2493" s="33">
        <v>4.1686081878081964</v>
      </c>
      <c r="X2493" s="33">
        <v>0.23969386506079871</v>
      </c>
      <c r="Y2493" s="33">
        <v>409.91380310699276</v>
      </c>
      <c r="Z2493" s="33">
        <v>1.2124618956248039E-2</v>
      </c>
      <c r="AA2493" s="33">
        <v>61.88599849497912</v>
      </c>
      <c r="AB2493" s="33">
        <v>61.821775270573958</v>
      </c>
      <c r="AC2493" s="33">
        <v>7.5671174416909126E-2</v>
      </c>
      <c r="AD2493" s="33">
        <v>1.1860343221486321E-3</v>
      </c>
      <c r="AE2493" s="33">
        <v>7.5128893411215605E-7</v>
      </c>
      <c r="AF2493" s="33">
        <v>0.19135047074720543</v>
      </c>
      <c r="AG2493" s="33">
        <v>5.8220711415144823E-4</v>
      </c>
      <c r="AH2493" s="33">
        <v>4.6040459612181006E-2</v>
      </c>
      <c r="AI2493" s="33">
        <v>0.45520956895785242</v>
      </c>
      <c r="AJ2493" s="33">
        <v>0.15039917329563324</v>
      </c>
      <c r="AK2493" s="33">
        <v>3.6852904724260683E-4</v>
      </c>
      <c r="AL2493" s="33">
        <v>444.10638288087733</v>
      </c>
      <c r="AM2493" s="33">
        <v>12.850953393124042</v>
      </c>
      <c r="AN2493" s="33">
        <v>1.8997903114434291E-6</v>
      </c>
      <c r="AO2493" s="33">
        <v>8.8512530725159216E-2</v>
      </c>
      <c r="AP2493" s="33">
        <v>218.1181391013636</v>
      </c>
      <c r="AQ2493" s="33">
        <v>8.1330068630147031E-9</v>
      </c>
      <c r="AR2493" s="33">
        <v>1.5100001973023619E-7</v>
      </c>
      <c r="AS2493" s="33">
        <v>36.987103683723603</v>
      </c>
      <c r="AT2493" s="33">
        <v>0</v>
      </c>
      <c r="AU2493" s="33">
        <v>0</v>
      </c>
      <c r="AV2493" s="316">
        <v>2.2747297134319564</v>
      </c>
      <c r="AW2493" s="314">
        <v>0</v>
      </c>
      <c r="AX2493" s="314">
        <v>0</v>
      </c>
      <c r="AY2493" s="316">
        <v>480.8110946526358</v>
      </c>
      <c r="AZ2493" s="33">
        <v>0</v>
      </c>
      <c r="BA2493" s="33">
        <v>0</v>
      </c>
      <c r="BB2493" s="33">
        <v>0</v>
      </c>
      <c r="BC2493" s="33">
        <v>0.33955277684751328</v>
      </c>
      <c r="BD2493" s="33">
        <v>8.5434060134728803E-5</v>
      </c>
      <c r="BE2493" s="33">
        <v>4.1161582659344402</v>
      </c>
      <c r="BF2493" s="33">
        <v>1.6667546674034518E-4</v>
      </c>
      <c r="BG2493" s="33">
        <v>0</v>
      </c>
      <c r="BH2493" s="33">
        <v>0</v>
      </c>
      <c r="BI2493" s="33">
        <v>0</v>
      </c>
      <c r="BJ2493" s="33">
        <v>0</v>
      </c>
      <c r="BK2493" s="33">
        <v>0</v>
      </c>
      <c r="BL2493" s="62">
        <v>0</v>
      </c>
      <c r="BM2493" s="275">
        <v>3</v>
      </c>
      <c r="BN2493" s="62">
        <v>0.05</v>
      </c>
      <c r="BO2493" s="33" t="s">
        <v>753</v>
      </c>
    </row>
    <row r="2494" spans="1:68">
      <c r="A2494" s="33" t="str">
        <f>Database_Productkaarten[[#This Row],[Product]]&amp;", "&amp;Database_Productkaarten[[#This Row],[Levensfase]]</f>
        <v>Deelproduct, Doppen, Stalen Speeltoestel, A1</v>
      </c>
      <c r="B2494" s="33" t="s">
        <v>815</v>
      </c>
      <c r="C2494" s="33" t="s">
        <v>806</v>
      </c>
      <c r="D2494" s="33" t="s">
        <v>807</v>
      </c>
      <c r="E2494" s="33" t="s">
        <v>783</v>
      </c>
      <c r="F2494" s="33" t="s">
        <v>74</v>
      </c>
      <c r="M2494" s="271">
        <f t="shared" ref="M2494:M2504" si="926">5.346/1000</f>
        <v>5.3460000000000001E-3</v>
      </c>
      <c r="N2494" s="41">
        <v>3.7369994646600002</v>
      </c>
      <c r="O2494" s="33">
        <v>15</v>
      </c>
      <c r="P2494" s="33">
        <v>3.6299340000000001E-4</v>
      </c>
      <c r="Q2494" s="33">
        <v>0.29937600000000003</v>
      </c>
      <c r="R2494" s="33">
        <v>49.761177978599996</v>
      </c>
      <c r="S2494" s="33">
        <v>9.9435600000000009E-8</v>
      </c>
      <c r="T2494" s="33">
        <v>2.6355780000000002E-2</v>
      </c>
      <c r="U2494" s="33">
        <v>0.16126893287999999</v>
      </c>
      <c r="V2494" s="33">
        <v>3.0924899280000001E-2</v>
      </c>
      <c r="W2494" s="33">
        <v>2.1550376073600002</v>
      </c>
      <c r="X2494" s="33">
        <v>0.17763966791999999</v>
      </c>
      <c r="Y2494" s="33">
        <v>251.89657554600001</v>
      </c>
      <c r="Z2494" s="33">
        <v>6.1593938999999999E-3</v>
      </c>
      <c r="AA2494" s="33">
        <v>53.139240000000001</v>
      </c>
      <c r="AB2494" s="33">
        <v>53.027631558000003</v>
      </c>
      <c r="AC2494" s="33">
        <v>0.10688300568</v>
      </c>
      <c r="AD2494" s="33">
        <v>3.3091739999999999E-4</v>
      </c>
      <c r="AE2494" s="33">
        <v>1.181466E-7</v>
      </c>
      <c r="AF2494" s="33">
        <v>0.19726381818000002</v>
      </c>
      <c r="AG2494" s="33">
        <v>5.9014494000000006E-4</v>
      </c>
      <c r="AH2494" s="33">
        <v>4.5621320579999999E-2</v>
      </c>
      <c r="AI2494" s="33">
        <v>0.45108313074000006</v>
      </c>
      <c r="AJ2494" s="33">
        <v>0.15513653627999999</v>
      </c>
      <c r="AK2494" s="33">
        <v>3.6299340000000001E-4</v>
      </c>
      <c r="AL2494" s="33">
        <v>606.83044752000001</v>
      </c>
      <c r="AM2494" s="33">
        <v>15.848117564400001</v>
      </c>
      <c r="AN2494" s="33">
        <v>1.8657540000000002E-6</v>
      </c>
      <c r="AO2494" s="33">
        <v>3.0772270979999999E-2</v>
      </c>
      <c r="AP2494" s="33">
        <v>68.479394544000002</v>
      </c>
      <c r="AQ2494" s="33">
        <v>4.8007079999999998E-9</v>
      </c>
      <c r="AR2494" s="33">
        <v>1.021086E-7</v>
      </c>
      <c r="AS2494" s="33">
        <v>6.2036705412000002</v>
      </c>
      <c r="AT2494" s="33">
        <v>0</v>
      </c>
      <c r="AU2494" s="33">
        <v>0</v>
      </c>
      <c r="AV2494" s="316">
        <v>3.1621473991800002</v>
      </c>
      <c r="AW2494" s="314">
        <v>0</v>
      </c>
      <c r="AX2494" s="314">
        <v>0</v>
      </c>
      <c r="AY2494" s="316">
        <v>656.22673908000002</v>
      </c>
      <c r="AZ2494" s="33">
        <v>0</v>
      </c>
      <c r="BA2494" s="33">
        <v>0</v>
      </c>
      <c r="BB2494" s="33">
        <v>0</v>
      </c>
      <c r="BC2494" s="33">
        <v>0.36954861174000003</v>
      </c>
      <c r="BD2494" s="33">
        <v>1.9352519999999999E-5</v>
      </c>
      <c r="BE2494" s="33">
        <v>0.76289681357999994</v>
      </c>
      <c r="BF2494" s="33">
        <v>4.4906399999999994E-5</v>
      </c>
      <c r="BG2494" s="33">
        <v>0</v>
      </c>
      <c r="BH2494" s="33">
        <v>0</v>
      </c>
      <c r="BI2494" s="33">
        <v>0</v>
      </c>
      <c r="BJ2494" s="33">
        <v>0</v>
      </c>
      <c r="BK2494" s="33">
        <v>0</v>
      </c>
      <c r="BL2494" s="62">
        <v>0</v>
      </c>
      <c r="BM2494" s="275">
        <v>3</v>
      </c>
      <c r="BN2494" s="62">
        <v>0.05</v>
      </c>
      <c r="BO2494" s="33" t="s">
        <v>753</v>
      </c>
    </row>
    <row r="2495" spans="1:68">
      <c r="A2495" s="33" t="str">
        <f>Database_Productkaarten[[#This Row],[Product]]&amp;", "&amp;Database_Productkaarten[[#This Row],[Levensfase]]</f>
        <v>Deelproduct, Doppen, Stalen Speeltoestel, A2</v>
      </c>
      <c r="B2495" s="33" t="s">
        <v>815</v>
      </c>
      <c r="C2495" s="33" t="s">
        <v>806</v>
      </c>
      <c r="D2495" s="33" t="s">
        <v>807</v>
      </c>
      <c r="E2495" s="33" t="s">
        <v>783</v>
      </c>
      <c r="F2495" s="33" t="s">
        <v>75</v>
      </c>
      <c r="M2495" s="271">
        <f t="shared" si="926"/>
        <v>5.3460000000000001E-3</v>
      </c>
      <c r="N2495" s="41">
        <v>2.1463680258899998E-2</v>
      </c>
      <c r="O2495" s="33">
        <v>15</v>
      </c>
      <c r="P2495" s="33">
        <v>4.1502551013E-6</v>
      </c>
      <c r="Q2495" s="33">
        <v>1.80295860096E-3</v>
      </c>
      <c r="R2495" s="33">
        <v>0.24160833219599998</v>
      </c>
      <c r="S2495" s="33">
        <v>4.5771187671000003E-8</v>
      </c>
      <c r="T2495" s="33">
        <v>1.4720720206499999E-4</v>
      </c>
      <c r="U2495" s="33">
        <v>6.2879427468E-4</v>
      </c>
      <c r="V2495" s="33">
        <v>1.0353893299199999E-4</v>
      </c>
      <c r="W2495" s="33">
        <v>5.1965341262999995E-2</v>
      </c>
      <c r="X2495" s="33">
        <v>2.1838461321600001E-3</v>
      </c>
      <c r="Y2495" s="33">
        <v>5.9130389933999998</v>
      </c>
      <c r="Z2495" s="33">
        <v>2.9351996487000004E-4</v>
      </c>
      <c r="AA2495" s="33">
        <v>0.24369425585999999</v>
      </c>
      <c r="AB2495" s="33">
        <v>0.24351615654299999</v>
      </c>
      <c r="AC2495" s="33">
        <v>1.17381705012E-4</v>
      </c>
      <c r="AD2495" s="33">
        <v>6.0719338746E-5</v>
      </c>
      <c r="AE2495" s="33">
        <v>5.7505962393000007E-8</v>
      </c>
      <c r="AF2495" s="33">
        <v>7.8276623832000008E-4</v>
      </c>
      <c r="AG2495" s="33">
        <v>1.6962759900899999E-6</v>
      </c>
      <c r="AH2495" s="33">
        <v>1.7979695801100001E-4</v>
      </c>
      <c r="AI2495" s="33">
        <v>2.0237692770900002E-3</v>
      </c>
      <c r="AJ2495" s="33">
        <v>7.5757869296999992E-4</v>
      </c>
      <c r="AK2495" s="33">
        <v>4.1502395978999997E-6</v>
      </c>
      <c r="AL2495" s="33">
        <v>3.7849591790999999</v>
      </c>
      <c r="AM2495" s="33">
        <v>1.6073574957E-2</v>
      </c>
      <c r="AN2495" s="33">
        <v>1.68976549764E-8</v>
      </c>
      <c r="AO2495" s="33">
        <v>1.6251535812599999E-2</v>
      </c>
      <c r="AP2495" s="33">
        <v>2.7604848843000003</v>
      </c>
      <c r="AQ2495" s="33">
        <v>6.9860041811999996E-11</v>
      </c>
      <c r="AR2495" s="33">
        <v>2.2272659164800002E-9</v>
      </c>
      <c r="AS2495" s="33">
        <v>4.3269911883000001</v>
      </c>
      <c r="AT2495" s="33">
        <v>0</v>
      </c>
      <c r="AU2495" s="33">
        <v>0</v>
      </c>
      <c r="AV2495" s="316">
        <v>3.8789750043000004E-2</v>
      </c>
      <c r="AW2495" s="314">
        <v>0</v>
      </c>
      <c r="AX2495" s="314">
        <v>0</v>
      </c>
      <c r="AY2495" s="316">
        <v>4.019980833</v>
      </c>
      <c r="AZ2495" s="33">
        <v>0</v>
      </c>
      <c r="BA2495" s="33">
        <v>0</v>
      </c>
      <c r="BB2495" s="33">
        <v>0</v>
      </c>
      <c r="BC2495" s="33">
        <v>4.8340908296999998E-4</v>
      </c>
      <c r="BD2495" s="33">
        <v>9.3549167513999998E-6</v>
      </c>
      <c r="BE2495" s="33">
        <v>0.32903183907</v>
      </c>
      <c r="BF2495" s="33">
        <v>2.57040216081E-5</v>
      </c>
      <c r="BG2495" s="33">
        <v>0</v>
      </c>
      <c r="BH2495" s="33">
        <v>0</v>
      </c>
      <c r="BI2495" s="33">
        <v>0</v>
      </c>
      <c r="BJ2495" s="33">
        <v>0</v>
      </c>
      <c r="BK2495" s="33">
        <v>0</v>
      </c>
      <c r="BL2495" s="62">
        <v>0</v>
      </c>
      <c r="BM2495" s="275">
        <v>3</v>
      </c>
      <c r="BN2495" s="62">
        <v>0.05</v>
      </c>
      <c r="BO2495" s="33" t="s">
        <v>753</v>
      </c>
    </row>
    <row r="2496" spans="1:68">
      <c r="A2496" s="33" t="str">
        <f>Database_Productkaarten[[#This Row],[Product]]&amp;", "&amp;Database_Productkaarten[[#This Row],[Levensfase]]</f>
        <v>Deelproduct, Doppen, Stalen Speeltoestel, A3</v>
      </c>
      <c r="B2496" s="33" t="s">
        <v>815</v>
      </c>
      <c r="C2496" s="33" t="s">
        <v>806</v>
      </c>
      <c r="D2496" s="33" t="s">
        <v>807</v>
      </c>
      <c r="E2496" s="33" t="s">
        <v>783</v>
      </c>
      <c r="F2496" s="33" t="s">
        <v>76</v>
      </c>
      <c r="M2496" s="271">
        <f t="shared" si="926"/>
        <v>5.3460000000000001E-3</v>
      </c>
      <c r="N2496" s="41">
        <v>0</v>
      </c>
      <c r="O2496" s="33">
        <v>15</v>
      </c>
      <c r="P2496" s="33">
        <v>0</v>
      </c>
      <c r="Q2496" s="33">
        <v>0</v>
      </c>
      <c r="R2496" s="33">
        <v>0</v>
      </c>
      <c r="S2496" s="33">
        <v>0</v>
      </c>
      <c r="T2496" s="33">
        <v>0</v>
      </c>
      <c r="U2496" s="33">
        <v>0</v>
      </c>
      <c r="V2496" s="33">
        <v>0</v>
      </c>
      <c r="W2496" s="33">
        <v>0</v>
      </c>
      <c r="X2496" s="33">
        <v>0</v>
      </c>
      <c r="Y2496" s="33">
        <v>0</v>
      </c>
      <c r="Z2496" s="33">
        <v>0</v>
      </c>
      <c r="AA2496" s="33">
        <v>0</v>
      </c>
      <c r="AB2496" s="33">
        <v>0</v>
      </c>
      <c r="AC2496" s="33">
        <v>0</v>
      </c>
      <c r="AD2496" s="33">
        <v>0</v>
      </c>
      <c r="AE2496" s="33">
        <v>0</v>
      </c>
      <c r="AF2496" s="33">
        <v>0</v>
      </c>
      <c r="AG2496" s="33">
        <v>0</v>
      </c>
      <c r="AH2496" s="33">
        <v>0</v>
      </c>
      <c r="AI2496" s="33">
        <v>0</v>
      </c>
      <c r="AJ2496" s="33">
        <v>0</v>
      </c>
      <c r="AK2496" s="33">
        <v>0</v>
      </c>
      <c r="AL2496" s="33">
        <v>0</v>
      </c>
      <c r="AM2496" s="33">
        <v>0</v>
      </c>
      <c r="AN2496" s="33">
        <v>0</v>
      </c>
      <c r="AO2496" s="33">
        <v>0</v>
      </c>
      <c r="AP2496" s="33">
        <v>0</v>
      </c>
      <c r="AQ2496" s="33">
        <v>0</v>
      </c>
      <c r="AR2496" s="33">
        <v>0</v>
      </c>
      <c r="AS2496" s="33">
        <v>0</v>
      </c>
      <c r="AT2496" s="33">
        <v>0</v>
      </c>
      <c r="AU2496" s="33">
        <v>0</v>
      </c>
      <c r="AV2496" s="316">
        <v>0</v>
      </c>
      <c r="AW2496" s="314">
        <v>0</v>
      </c>
      <c r="AX2496" s="314">
        <v>0</v>
      </c>
      <c r="AY2496" s="316">
        <v>0</v>
      </c>
      <c r="AZ2496" s="33">
        <v>0</v>
      </c>
      <c r="BA2496" s="33">
        <v>0</v>
      </c>
      <c r="BB2496" s="33">
        <v>0</v>
      </c>
      <c r="BC2496" s="33">
        <v>0</v>
      </c>
      <c r="BD2496" s="33">
        <v>0</v>
      </c>
      <c r="BE2496" s="33">
        <v>0</v>
      </c>
      <c r="BF2496" s="33">
        <v>0</v>
      </c>
      <c r="BG2496" s="33">
        <v>0</v>
      </c>
      <c r="BH2496" s="33">
        <v>0</v>
      </c>
      <c r="BI2496" s="33">
        <v>0</v>
      </c>
      <c r="BJ2496" s="33">
        <v>0</v>
      </c>
      <c r="BK2496" s="33">
        <v>0</v>
      </c>
      <c r="BL2496" s="33">
        <v>0</v>
      </c>
      <c r="BM2496" s="275">
        <v>3</v>
      </c>
      <c r="BN2496" s="62">
        <v>0.05</v>
      </c>
      <c r="BO2496" s="33" t="s">
        <v>753</v>
      </c>
    </row>
    <row r="2497" spans="1:68">
      <c r="A2497" s="451" t="str">
        <f>Database_Productkaarten[[#This Row],[Product]]&amp;", "&amp;Database_Productkaarten[[#This Row],[Levensfase]]</f>
        <v>Deelproduct, Doppen, Stalen Speeltoestel, A1-A3</v>
      </c>
      <c r="B2497" s="451" t="str">
        <f>B2496</f>
        <v>Deelproduct, Doppen, Stalen Speeltoestel</v>
      </c>
      <c r="C2497" s="451" t="str">
        <f>C2496</f>
        <v>Speeltoestel</v>
      </c>
      <c r="D2497" s="451" t="str">
        <f>D2496</f>
        <v>Stalen Speeltoestel</v>
      </c>
      <c r="E2497" s="451" t="str">
        <f>E2496</f>
        <v>Stuk</v>
      </c>
      <c r="F2497" s="451" t="s">
        <v>77</v>
      </c>
      <c r="G2497" s="451">
        <f t="shared" ref="G2497:M2497" si="927">G2496</f>
        <v>0</v>
      </c>
      <c r="H2497" s="451">
        <f t="shared" si="927"/>
        <v>0</v>
      </c>
      <c r="I2497" s="451">
        <f t="shared" si="927"/>
        <v>0</v>
      </c>
      <c r="J2497" s="451">
        <f t="shared" si="927"/>
        <v>0</v>
      </c>
      <c r="K2497" s="451">
        <f t="shared" si="927"/>
        <v>0</v>
      </c>
      <c r="L2497" s="451">
        <f t="shared" si="927"/>
        <v>0</v>
      </c>
      <c r="M2497" s="454">
        <f t="shared" si="927"/>
        <v>5.3460000000000001E-3</v>
      </c>
      <c r="N2497" s="452">
        <f>SUM(N2494:N2496)</f>
        <v>3.7584631449189003</v>
      </c>
      <c r="O2497" s="451">
        <f>O2496</f>
        <v>15</v>
      </c>
      <c r="P2497" s="453">
        <f t="shared" ref="P2497:BK2497" si="928">SUM(P2494:P2496)</f>
        <v>3.6714365510130003E-4</v>
      </c>
      <c r="Q2497" s="453">
        <f t="shared" si="928"/>
        <v>0.30117895860096006</v>
      </c>
      <c r="R2497" s="453">
        <f t="shared" si="928"/>
        <v>50.002786310795997</v>
      </c>
      <c r="S2497" s="453">
        <f t="shared" si="928"/>
        <v>1.4520678767100003E-7</v>
      </c>
      <c r="T2497" s="453">
        <f t="shared" si="928"/>
        <v>2.6502987202065002E-2</v>
      </c>
      <c r="U2497" s="453">
        <f t="shared" si="928"/>
        <v>0.16189772715467998</v>
      </c>
      <c r="V2497" s="453">
        <f t="shared" si="928"/>
        <v>3.1028438212992001E-2</v>
      </c>
      <c r="W2497" s="453">
        <f t="shared" si="928"/>
        <v>2.2070029486230003</v>
      </c>
      <c r="X2497" s="453">
        <f t="shared" si="928"/>
        <v>0.17982351405215999</v>
      </c>
      <c r="Y2497" s="453">
        <f t="shared" si="928"/>
        <v>257.8096145394</v>
      </c>
      <c r="Z2497" s="453">
        <f t="shared" si="928"/>
        <v>6.4529138648699996E-3</v>
      </c>
      <c r="AA2497" s="453">
        <f t="shared" si="928"/>
        <v>53.38293425586</v>
      </c>
      <c r="AB2497" s="453">
        <f t="shared" si="928"/>
        <v>53.271147714543005</v>
      </c>
      <c r="AC2497" s="453">
        <f t="shared" si="928"/>
        <v>0.10700038738501201</v>
      </c>
      <c r="AD2497" s="453">
        <f t="shared" si="928"/>
        <v>3.9163673874599998E-4</v>
      </c>
      <c r="AE2497" s="453">
        <f t="shared" si="928"/>
        <v>1.7565256239300001E-7</v>
      </c>
      <c r="AF2497" s="453">
        <f t="shared" si="928"/>
        <v>0.19804658441832002</v>
      </c>
      <c r="AG2497" s="453">
        <f t="shared" si="928"/>
        <v>5.9184121599009003E-4</v>
      </c>
      <c r="AH2497" s="453">
        <f t="shared" si="928"/>
        <v>4.5801117538010999E-2</v>
      </c>
      <c r="AI2497" s="453">
        <f t="shared" si="928"/>
        <v>0.45310690001709009</v>
      </c>
      <c r="AJ2497" s="453">
        <f t="shared" si="928"/>
        <v>0.15589411497296998</v>
      </c>
      <c r="AK2497" s="453">
        <f t="shared" si="928"/>
        <v>3.6714363959790004E-4</v>
      </c>
      <c r="AL2497" s="453">
        <f t="shared" si="928"/>
        <v>610.61540669910005</v>
      </c>
      <c r="AM2497" s="453">
        <f t="shared" si="928"/>
        <v>15.864191139357001</v>
      </c>
      <c r="AN2497" s="453">
        <f t="shared" si="928"/>
        <v>1.8826516549764002E-6</v>
      </c>
      <c r="AO2497" s="453">
        <f t="shared" si="928"/>
        <v>4.7023806792600001E-2</v>
      </c>
      <c r="AP2497" s="453">
        <f t="shared" si="928"/>
        <v>71.2398794283</v>
      </c>
      <c r="AQ2497" s="453">
        <f t="shared" si="928"/>
        <v>4.8705680418119995E-9</v>
      </c>
      <c r="AR2497" s="453">
        <f t="shared" si="928"/>
        <v>1.0433586591648E-7</v>
      </c>
      <c r="AS2497" s="453">
        <f t="shared" si="928"/>
        <v>10.5306617295</v>
      </c>
      <c r="AT2497" s="453">
        <f t="shared" si="928"/>
        <v>0</v>
      </c>
      <c r="AU2497" s="453">
        <f t="shared" si="928"/>
        <v>0</v>
      </c>
      <c r="AV2497" s="317">
        <f t="shared" si="928"/>
        <v>3.2009371492230003</v>
      </c>
      <c r="AW2497" s="317">
        <f t="shared" si="928"/>
        <v>0</v>
      </c>
      <c r="AX2497" s="317">
        <f t="shared" si="928"/>
        <v>0</v>
      </c>
      <c r="AY2497" s="317">
        <f t="shared" si="928"/>
        <v>660.24671991299999</v>
      </c>
      <c r="AZ2497" s="453">
        <f t="shared" si="928"/>
        <v>0</v>
      </c>
      <c r="BA2497" s="453">
        <f t="shared" si="928"/>
        <v>0</v>
      </c>
      <c r="BB2497" s="453">
        <f t="shared" si="928"/>
        <v>0</v>
      </c>
      <c r="BC2497" s="453">
        <f t="shared" si="928"/>
        <v>0.37003202082297004</v>
      </c>
      <c r="BD2497" s="453">
        <f t="shared" si="928"/>
        <v>2.8707436751400001E-5</v>
      </c>
      <c r="BE2497" s="453">
        <f t="shared" si="928"/>
        <v>1.0919286526500001</v>
      </c>
      <c r="BF2497" s="453">
        <f t="shared" si="928"/>
        <v>7.0610421608099998E-5</v>
      </c>
      <c r="BG2497" s="453">
        <f t="shared" si="928"/>
        <v>0</v>
      </c>
      <c r="BH2497" s="453">
        <f t="shared" si="928"/>
        <v>0</v>
      </c>
      <c r="BI2497" s="453">
        <f t="shared" si="928"/>
        <v>0</v>
      </c>
      <c r="BJ2497" s="453">
        <f t="shared" si="928"/>
        <v>0</v>
      </c>
      <c r="BK2497" s="453">
        <f t="shared" si="928"/>
        <v>0</v>
      </c>
      <c r="BL2497" s="62">
        <f>BL2496</f>
        <v>0</v>
      </c>
      <c r="BM2497" s="275">
        <f>BM2496</f>
        <v>3</v>
      </c>
      <c r="BN2497" s="62">
        <v>0.05</v>
      </c>
      <c r="BO2497" s="451" t="str">
        <f>BO2496</f>
        <v>Eigen berekening</v>
      </c>
      <c r="BP2497" s="451"/>
    </row>
    <row r="2498" spans="1:68">
      <c r="A2498" s="33" t="str">
        <f>Database_Productkaarten[[#This Row],[Product]]&amp;", "&amp;Database_Productkaarten[[#This Row],[Levensfase]]</f>
        <v>Deelproduct, Doppen, Stalen Speeltoestel, A4</v>
      </c>
      <c r="B2498" s="33" t="s">
        <v>815</v>
      </c>
      <c r="C2498" s="33" t="s">
        <v>806</v>
      </c>
      <c r="D2498" s="33" t="s">
        <v>807</v>
      </c>
      <c r="E2498" s="33" t="s">
        <v>783</v>
      </c>
      <c r="F2498" s="33" t="s">
        <v>78</v>
      </c>
      <c r="M2498" s="271">
        <f t="shared" si="926"/>
        <v>5.3460000000000001E-3</v>
      </c>
      <c r="N2498" s="41">
        <v>4.4902019101618798E-2</v>
      </c>
      <c r="O2498" s="33">
        <v>15</v>
      </c>
      <c r="P2498" s="33">
        <v>8.6823336719196005E-6</v>
      </c>
      <c r="Q2498" s="33">
        <v>3.7717893932083199E-3</v>
      </c>
      <c r="R2498" s="33">
        <v>0.50544463095403203</v>
      </c>
      <c r="S2498" s="33">
        <v>9.5753324607731999E-8</v>
      </c>
      <c r="T2498" s="33">
        <v>3.0795746671998003E-4</v>
      </c>
      <c r="U2498" s="33">
        <v>1.31543762263056E-3</v>
      </c>
      <c r="V2498" s="33">
        <v>2.1660344781926401E-4</v>
      </c>
      <c r="W2498" s="33">
        <v>0.10871149392219599</v>
      </c>
      <c r="X2498" s="33">
        <v>4.5686061084787202E-3</v>
      </c>
      <c r="Y2498" s="33">
        <v>12.3700775741928</v>
      </c>
      <c r="Z2498" s="33">
        <v>6.1404376650804008E-4</v>
      </c>
      <c r="AA2498" s="33">
        <v>0.50980838325912003</v>
      </c>
      <c r="AB2498" s="33">
        <v>0.50943579948795603</v>
      </c>
      <c r="AC2498" s="33">
        <v>2.4556252688510402E-4</v>
      </c>
      <c r="AD2498" s="33">
        <v>1.2702485665663199E-4</v>
      </c>
      <c r="AE2498" s="33">
        <v>1.20302473326156E-7</v>
      </c>
      <c r="AF2498" s="33">
        <v>1.6375469705654402E-3</v>
      </c>
      <c r="AG2498" s="33">
        <v>3.5486093712682799E-6</v>
      </c>
      <c r="AH2498" s="33">
        <v>3.7613523615901204E-4</v>
      </c>
      <c r="AI2498" s="33">
        <v>4.2337253276722806E-3</v>
      </c>
      <c r="AJ2498" s="33">
        <v>1.58485462569324E-3</v>
      </c>
      <c r="AK2498" s="33">
        <v>8.6823012388068001E-6</v>
      </c>
      <c r="AL2498" s="33">
        <v>7.9181346026772008</v>
      </c>
      <c r="AM2498" s="33">
        <v>3.3625918810044002E-2</v>
      </c>
      <c r="AN2498" s="33">
        <v>3.5349894210628799E-8</v>
      </c>
      <c r="AO2498" s="33">
        <v>3.3998212919959199E-2</v>
      </c>
      <c r="AP2498" s="33">
        <v>5.7749343779556011</v>
      </c>
      <c r="AQ2498" s="33">
        <v>1.46147207470704E-10</v>
      </c>
      <c r="AR2498" s="33">
        <v>4.6594402972761607E-9</v>
      </c>
      <c r="AS2498" s="33">
        <v>9.0520655659236002</v>
      </c>
      <c r="AT2498" s="33">
        <v>0</v>
      </c>
      <c r="AU2498" s="33">
        <v>0</v>
      </c>
      <c r="AV2498" s="316">
        <v>8.1148157089956E-2</v>
      </c>
      <c r="AW2498" s="314">
        <v>0</v>
      </c>
      <c r="AX2498" s="314">
        <v>0</v>
      </c>
      <c r="AY2498" s="316">
        <v>8.4097999026360011</v>
      </c>
      <c r="AZ2498" s="33">
        <v>0</v>
      </c>
      <c r="BA2498" s="33">
        <v>0</v>
      </c>
      <c r="BB2498" s="33">
        <v>0</v>
      </c>
      <c r="BC2498" s="33">
        <v>1.01129180157324E-3</v>
      </c>
      <c r="BD2498" s="33">
        <v>1.9570485843928803E-5</v>
      </c>
      <c r="BE2498" s="33">
        <v>0.68833460733444007</v>
      </c>
      <c r="BF2498" s="33">
        <v>5.3772813204145196E-5</v>
      </c>
      <c r="BG2498" s="33">
        <v>0</v>
      </c>
      <c r="BH2498" s="33">
        <v>0</v>
      </c>
      <c r="BI2498" s="33">
        <v>0</v>
      </c>
      <c r="BJ2498" s="33">
        <v>0</v>
      </c>
      <c r="BK2498" s="33">
        <v>0</v>
      </c>
      <c r="BL2498" s="62">
        <v>0</v>
      </c>
      <c r="BM2498" s="275">
        <v>3</v>
      </c>
      <c r="BN2498" s="62">
        <v>0.05</v>
      </c>
      <c r="BO2498" s="33" t="s">
        <v>753</v>
      </c>
    </row>
    <row r="2499" spans="1:68">
      <c r="A2499" s="33" t="str">
        <f>Database_Productkaarten[[#This Row],[Product]]&amp;", "&amp;Database_Productkaarten[[#This Row],[Levensfase]]</f>
        <v>Deelproduct, Doppen, Stalen Speeltoestel, A5</v>
      </c>
      <c r="B2499" s="33" t="s">
        <v>815</v>
      </c>
      <c r="C2499" s="33" t="s">
        <v>806</v>
      </c>
      <c r="D2499" s="33" t="s">
        <v>807</v>
      </c>
      <c r="E2499" s="33" t="s">
        <v>783</v>
      </c>
      <c r="F2499" s="33" t="s">
        <v>79</v>
      </c>
      <c r="M2499" s="271">
        <f t="shared" si="926"/>
        <v>5.3460000000000001E-3</v>
      </c>
      <c r="N2499" s="41">
        <v>0</v>
      </c>
      <c r="O2499" s="33">
        <v>15</v>
      </c>
      <c r="P2499" s="33">
        <v>0</v>
      </c>
      <c r="Q2499" s="33">
        <v>0</v>
      </c>
      <c r="R2499" s="33">
        <v>0</v>
      </c>
      <c r="S2499" s="33">
        <v>0</v>
      </c>
      <c r="T2499" s="33">
        <v>0</v>
      </c>
      <c r="U2499" s="33">
        <v>0</v>
      </c>
      <c r="V2499" s="33">
        <v>0</v>
      </c>
      <c r="W2499" s="33">
        <v>0</v>
      </c>
      <c r="X2499" s="33">
        <v>0</v>
      </c>
      <c r="Y2499" s="33">
        <v>0</v>
      </c>
      <c r="Z2499" s="33">
        <v>0</v>
      </c>
      <c r="AA2499" s="33">
        <v>0</v>
      </c>
      <c r="AB2499" s="33">
        <v>0</v>
      </c>
      <c r="AC2499" s="33">
        <v>0</v>
      </c>
      <c r="AD2499" s="33">
        <v>0</v>
      </c>
      <c r="AE2499" s="33">
        <v>0</v>
      </c>
      <c r="AF2499" s="33">
        <v>0</v>
      </c>
      <c r="AG2499" s="33">
        <v>0</v>
      </c>
      <c r="AH2499" s="33">
        <v>0</v>
      </c>
      <c r="AI2499" s="33">
        <v>0</v>
      </c>
      <c r="AJ2499" s="33">
        <v>0</v>
      </c>
      <c r="AK2499" s="33">
        <v>0</v>
      </c>
      <c r="AL2499" s="33">
        <v>0</v>
      </c>
      <c r="AM2499" s="33">
        <v>0</v>
      </c>
      <c r="AN2499" s="33">
        <v>0</v>
      </c>
      <c r="AO2499" s="33">
        <v>0</v>
      </c>
      <c r="AP2499" s="33">
        <v>0</v>
      </c>
      <c r="AQ2499" s="33">
        <v>0</v>
      </c>
      <c r="AR2499" s="33">
        <v>0</v>
      </c>
      <c r="AS2499" s="33">
        <v>0</v>
      </c>
      <c r="AT2499" s="33">
        <v>0</v>
      </c>
      <c r="AU2499" s="33">
        <v>0</v>
      </c>
      <c r="AV2499" s="316">
        <v>0</v>
      </c>
      <c r="AW2499" s="314">
        <v>0</v>
      </c>
      <c r="AX2499" s="314">
        <v>0</v>
      </c>
      <c r="AY2499" s="316">
        <v>0</v>
      </c>
      <c r="AZ2499" s="33">
        <v>0</v>
      </c>
      <c r="BA2499" s="33">
        <v>0</v>
      </c>
      <c r="BB2499" s="33">
        <v>0</v>
      </c>
      <c r="BC2499" s="33">
        <v>0</v>
      </c>
      <c r="BD2499" s="33">
        <v>0</v>
      </c>
      <c r="BE2499" s="33">
        <v>0</v>
      </c>
      <c r="BF2499" s="33">
        <v>0</v>
      </c>
      <c r="BG2499" s="33">
        <v>0</v>
      </c>
      <c r="BH2499" s="33">
        <v>0</v>
      </c>
      <c r="BI2499" s="33">
        <v>0</v>
      </c>
      <c r="BJ2499" s="33">
        <v>0</v>
      </c>
      <c r="BK2499" s="33">
        <v>0</v>
      </c>
      <c r="BL2499" s="62">
        <v>0</v>
      </c>
      <c r="BM2499" s="275">
        <v>3</v>
      </c>
      <c r="BN2499" s="62">
        <v>0.05</v>
      </c>
      <c r="BO2499" s="33" t="s">
        <v>753</v>
      </c>
    </row>
    <row r="2500" spans="1:68">
      <c r="A2500" s="33" t="str">
        <f>Database_Productkaarten[[#This Row],[Product]]&amp;", "&amp;Database_Productkaarten[[#This Row],[Levensfase]]</f>
        <v>Deelproduct, Doppen, Stalen Speeltoestel, C1</v>
      </c>
      <c r="B2500" s="33" t="s">
        <v>815</v>
      </c>
      <c r="C2500" s="33" t="s">
        <v>806</v>
      </c>
      <c r="D2500" s="33" t="s">
        <v>807</v>
      </c>
      <c r="E2500" s="33" t="s">
        <v>783</v>
      </c>
      <c r="F2500" s="33" t="s">
        <v>83</v>
      </c>
      <c r="M2500" s="271">
        <f t="shared" si="926"/>
        <v>5.3460000000000001E-3</v>
      </c>
      <c r="N2500" s="41">
        <v>0</v>
      </c>
      <c r="O2500" s="33">
        <v>15</v>
      </c>
      <c r="P2500" s="33">
        <v>0</v>
      </c>
      <c r="Q2500" s="33">
        <v>0</v>
      </c>
      <c r="R2500" s="33">
        <v>0</v>
      </c>
      <c r="S2500" s="33">
        <v>0</v>
      </c>
      <c r="T2500" s="33">
        <v>0</v>
      </c>
      <c r="U2500" s="33">
        <v>0</v>
      </c>
      <c r="V2500" s="33">
        <v>0</v>
      </c>
      <c r="W2500" s="33">
        <v>0</v>
      </c>
      <c r="X2500" s="33">
        <v>0</v>
      </c>
      <c r="Y2500" s="33">
        <v>0</v>
      </c>
      <c r="Z2500" s="33">
        <v>0</v>
      </c>
      <c r="AA2500" s="33">
        <v>0</v>
      </c>
      <c r="AB2500" s="33">
        <v>0</v>
      </c>
      <c r="AC2500" s="33">
        <v>0</v>
      </c>
      <c r="AD2500" s="33">
        <v>0</v>
      </c>
      <c r="AE2500" s="33">
        <v>0</v>
      </c>
      <c r="AF2500" s="33">
        <v>0</v>
      </c>
      <c r="AG2500" s="33">
        <v>0</v>
      </c>
      <c r="AH2500" s="33">
        <v>0</v>
      </c>
      <c r="AI2500" s="33">
        <v>0</v>
      </c>
      <c r="AJ2500" s="33">
        <v>0</v>
      </c>
      <c r="AK2500" s="33">
        <v>0</v>
      </c>
      <c r="AL2500" s="33">
        <v>0</v>
      </c>
      <c r="AM2500" s="33">
        <v>0</v>
      </c>
      <c r="AN2500" s="33">
        <v>0</v>
      </c>
      <c r="AO2500" s="33">
        <v>0</v>
      </c>
      <c r="AP2500" s="33">
        <v>0</v>
      </c>
      <c r="AQ2500" s="33">
        <v>0</v>
      </c>
      <c r="AR2500" s="33">
        <v>0</v>
      </c>
      <c r="AS2500" s="33">
        <v>0</v>
      </c>
      <c r="AT2500" s="33">
        <v>0</v>
      </c>
      <c r="AU2500" s="33">
        <v>0</v>
      </c>
      <c r="AV2500" s="316">
        <v>0</v>
      </c>
      <c r="AW2500" s="314">
        <v>0</v>
      </c>
      <c r="AX2500" s="314">
        <v>0</v>
      </c>
      <c r="AY2500" s="316">
        <v>0</v>
      </c>
      <c r="AZ2500" s="33">
        <v>0</v>
      </c>
      <c r="BA2500" s="33">
        <v>0</v>
      </c>
      <c r="BB2500" s="33">
        <v>0</v>
      </c>
      <c r="BC2500" s="33">
        <v>0</v>
      </c>
      <c r="BD2500" s="33">
        <v>0</v>
      </c>
      <c r="BE2500" s="33">
        <v>0</v>
      </c>
      <c r="BF2500" s="33">
        <v>0</v>
      </c>
      <c r="BG2500" s="33">
        <v>0</v>
      </c>
      <c r="BH2500" s="33">
        <v>0</v>
      </c>
      <c r="BI2500" s="33">
        <v>0</v>
      </c>
      <c r="BJ2500" s="33">
        <v>0</v>
      </c>
      <c r="BK2500" s="33">
        <v>0</v>
      </c>
      <c r="BL2500" s="62">
        <v>0</v>
      </c>
      <c r="BM2500" s="275">
        <v>3</v>
      </c>
      <c r="BN2500" s="62">
        <v>0.05</v>
      </c>
      <c r="BO2500" s="33" t="s">
        <v>753</v>
      </c>
    </row>
    <row r="2501" spans="1:68">
      <c r="A2501" s="33" t="str">
        <f>Database_Productkaarten[[#This Row],[Product]]&amp;", "&amp;Database_Productkaarten[[#This Row],[Levensfase]]</f>
        <v>Deelproduct, Doppen, Stalen Speeltoestel, C2</v>
      </c>
      <c r="B2501" s="33" t="s">
        <v>815</v>
      </c>
      <c r="C2501" s="33" t="s">
        <v>806</v>
      </c>
      <c r="D2501" s="33" t="s">
        <v>807</v>
      </c>
      <c r="E2501" s="33" t="s">
        <v>783</v>
      </c>
      <c r="F2501" s="33" t="s">
        <v>84</v>
      </c>
      <c r="M2501" s="271">
        <f t="shared" si="926"/>
        <v>5.3460000000000001E-3</v>
      </c>
      <c r="N2501" s="41">
        <v>2.1463680258899998E-2</v>
      </c>
      <c r="O2501" s="33">
        <v>15</v>
      </c>
      <c r="P2501" s="33">
        <v>4.1502551013E-6</v>
      </c>
      <c r="Q2501" s="33">
        <v>1.80295860096E-3</v>
      </c>
      <c r="R2501" s="33">
        <v>0.24160833219599998</v>
      </c>
      <c r="S2501" s="33">
        <v>4.5771187671000003E-8</v>
      </c>
      <c r="T2501" s="33">
        <v>1.4720720206499999E-4</v>
      </c>
      <c r="U2501" s="33">
        <v>6.2879427468E-4</v>
      </c>
      <c r="V2501" s="33">
        <v>1.0353893299199999E-4</v>
      </c>
      <c r="W2501" s="33">
        <v>5.1965341262999995E-2</v>
      </c>
      <c r="X2501" s="33">
        <v>2.1838461321600001E-3</v>
      </c>
      <c r="Y2501" s="33">
        <v>5.9130389933999998</v>
      </c>
      <c r="Z2501" s="33">
        <v>2.9351996487000004E-4</v>
      </c>
      <c r="AA2501" s="33">
        <v>0.24369425585999999</v>
      </c>
      <c r="AB2501" s="33">
        <v>0.24351615654299999</v>
      </c>
      <c r="AC2501" s="33">
        <v>1.17381705012E-4</v>
      </c>
      <c r="AD2501" s="33">
        <v>6.0719338746E-5</v>
      </c>
      <c r="AE2501" s="33">
        <v>5.7505962393000007E-8</v>
      </c>
      <c r="AF2501" s="33">
        <v>7.8276623832000008E-4</v>
      </c>
      <c r="AG2501" s="33">
        <v>1.6962759900899999E-6</v>
      </c>
      <c r="AH2501" s="33">
        <v>1.7979695801100001E-4</v>
      </c>
      <c r="AI2501" s="33">
        <v>2.0237692770900002E-3</v>
      </c>
      <c r="AJ2501" s="33">
        <v>7.5757869296999992E-4</v>
      </c>
      <c r="AK2501" s="33">
        <v>4.1502395978999997E-6</v>
      </c>
      <c r="AL2501" s="33">
        <v>3.7849591790999999</v>
      </c>
      <c r="AM2501" s="33">
        <v>1.6073574957E-2</v>
      </c>
      <c r="AN2501" s="33">
        <v>1.68976549764E-8</v>
      </c>
      <c r="AO2501" s="33">
        <v>1.6251535812599999E-2</v>
      </c>
      <c r="AP2501" s="33">
        <v>2.7604848843000003</v>
      </c>
      <c r="AQ2501" s="33">
        <v>6.9860041811999996E-11</v>
      </c>
      <c r="AR2501" s="33">
        <v>2.2272659164800002E-9</v>
      </c>
      <c r="AS2501" s="33">
        <v>4.3269911883000001</v>
      </c>
      <c r="AT2501" s="33">
        <v>0</v>
      </c>
      <c r="AU2501" s="33">
        <v>0</v>
      </c>
      <c r="AV2501" s="316">
        <v>3.8789750043000004E-2</v>
      </c>
      <c r="AW2501" s="314">
        <v>0</v>
      </c>
      <c r="AX2501" s="314">
        <v>0</v>
      </c>
      <c r="AY2501" s="316">
        <v>4.019980833</v>
      </c>
      <c r="AZ2501" s="33">
        <v>0</v>
      </c>
      <c r="BA2501" s="33">
        <v>0</v>
      </c>
      <c r="BB2501" s="33">
        <v>0</v>
      </c>
      <c r="BC2501" s="33">
        <v>4.8340908296999998E-4</v>
      </c>
      <c r="BD2501" s="33">
        <v>9.3549167513999998E-6</v>
      </c>
      <c r="BE2501" s="33">
        <v>0.32903183907</v>
      </c>
      <c r="BF2501" s="33">
        <v>2.57040216081E-5</v>
      </c>
      <c r="BG2501" s="33">
        <v>0</v>
      </c>
      <c r="BH2501" s="33">
        <v>0</v>
      </c>
      <c r="BI2501" s="33">
        <v>0</v>
      </c>
      <c r="BJ2501" s="33">
        <v>0</v>
      </c>
      <c r="BK2501" s="33">
        <v>0</v>
      </c>
      <c r="BL2501" s="62">
        <v>0</v>
      </c>
      <c r="BM2501" s="275">
        <v>3</v>
      </c>
      <c r="BN2501" s="62">
        <v>0.05</v>
      </c>
      <c r="BO2501" s="33" t="s">
        <v>753</v>
      </c>
    </row>
    <row r="2502" spans="1:68">
      <c r="A2502" s="33" t="str">
        <f>Database_Productkaarten[[#This Row],[Product]]&amp;", "&amp;Database_Productkaarten[[#This Row],[Levensfase]]</f>
        <v>Deelproduct, Doppen, Stalen Speeltoestel, C3</v>
      </c>
      <c r="B2502" s="33" t="s">
        <v>815</v>
      </c>
      <c r="C2502" s="33" t="s">
        <v>806</v>
      </c>
      <c r="D2502" s="33" t="s">
        <v>807</v>
      </c>
      <c r="E2502" s="33" t="s">
        <v>783</v>
      </c>
      <c r="F2502" s="33" t="s">
        <v>85</v>
      </c>
      <c r="M2502" s="271">
        <f t="shared" si="926"/>
        <v>5.3460000000000001E-3</v>
      </c>
      <c r="N2502" s="41">
        <v>0.29509920000000001</v>
      </c>
      <c r="O2502" s="33">
        <v>15</v>
      </c>
      <c r="P2502" s="33">
        <v>2.4270839999999997E-5</v>
      </c>
      <c r="Q2502" s="33">
        <v>9.4089600000000009E-3</v>
      </c>
      <c r="R2502" s="33">
        <v>1.9459439999999999</v>
      </c>
      <c r="S2502" s="33">
        <v>1.208196E-7</v>
      </c>
      <c r="T2502" s="33">
        <v>8.7139800000000001E-4</v>
      </c>
      <c r="U2502" s="33">
        <v>4.4425260000000005E-3</v>
      </c>
      <c r="V2502" s="33">
        <v>7.537860000000001E-4</v>
      </c>
      <c r="W2502" s="33">
        <v>1.8176400000000001</v>
      </c>
      <c r="X2502" s="33">
        <v>2.1544379999999998E-2</v>
      </c>
      <c r="Y2502" s="33">
        <v>53.994599999999998</v>
      </c>
      <c r="Z2502" s="33">
        <v>5.9340600000000005E-3</v>
      </c>
      <c r="AA2502" s="33">
        <v>1.967328</v>
      </c>
      <c r="AB2502" s="33">
        <v>1.972674</v>
      </c>
      <c r="AC2502" s="33">
        <v>-8.2328399999999999E-3</v>
      </c>
      <c r="AD2502" s="33">
        <v>1.1226600000000002E-3</v>
      </c>
      <c r="AE2502" s="33">
        <v>1.432728E-7</v>
      </c>
      <c r="AF2502" s="33">
        <v>5.6667599999999999E-3</v>
      </c>
      <c r="AG2502" s="33">
        <v>3.2129460000000002E-5</v>
      </c>
      <c r="AH2502" s="33">
        <v>1.561032E-3</v>
      </c>
      <c r="AI2502" s="33">
        <v>1.7107199999999999E-2</v>
      </c>
      <c r="AJ2502" s="33">
        <v>5.5598399999999999E-3</v>
      </c>
      <c r="AK2502" s="33">
        <v>2.4270839999999997E-5</v>
      </c>
      <c r="AL2502" s="33">
        <v>19.40598</v>
      </c>
      <c r="AM2502" s="33">
        <v>0.37689299999999998</v>
      </c>
      <c r="AN2502" s="33">
        <v>9.7831799999999988E-8</v>
      </c>
      <c r="AO2502" s="33">
        <v>5.8271400000000001E-2</v>
      </c>
      <c r="AP2502" s="33">
        <v>21.122026219799999</v>
      </c>
      <c r="AQ2502" s="33">
        <v>2.08494E-9</v>
      </c>
      <c r="AR2502" s="33">
        <v>2.9028779999999997E-8</v>
      </c>
      <c r="AS2502" s="33">
        <v>15.55686</v>
      </c>
      <c r="AT2502" s="33">
        <v>0</v>
      </c>
      <c r="AU2502" s="33">
        <v>0</v>
      </c>
      <c r="AV2502" s="316">
        <v>0.95542546571999998</v>
      </c>
      <c r="AW2502" s="314">
        <v>0</v>
      </c>
      <c r="AX2502" s="314">
        <v>0</v>
      </c>
      <c r="AY2502" s="316">
        <v>20.635559999999998</v>
      </c>
      <c r="AZ2502" s="33">
        <v>0</v>
      </c>
      <c r="BA2502" s="33">
        <v>0</v>
      </c>
      <c r="BB2502" s="33">
        <v>0</v>
      </c>
      <c r="BC2502" s="33">
        <v>1.049029542E-2</v>
      </c>
      <c r="BD2502" s="33">
        <v>3.068604E-5</v>
      </c>
      <c r="BE2502" s="33">
        <v>0.94089599999999995</v>
      </c>
      <c r="BF2502" s="33">
        <v>7.4309400000000011E-5</v>
      </c>
      <c r="BG2502" s="33">
        <v>0</v>
      </c>
      <c r="BH2502" s="33">
        <v>0</v>
      </c>
      <c r="BI2502" s="33">
        <v>0</v>
      </c>
      <c r="BJ2502" s="33">
        <v>0</v>
      </c>
      <c r="BK2502" s="33">
        <v>0</v>
      </c>
      <c r="BL2502" s="62">
        <v>0</v>
      </c>
      <c r="BM2502" s="275">
        <v>3</v>
      </c>
      <c r="BN2502" s="62">
        <v>0.05</v>
      </c>
      <c r="BO2502" s="33" t="s">
        <v>753</v>
      </c>
    </row>
    <row r="2503" spans="1:68">
      <c r="A2503" s="33" t="str">
        <f>Database_Productkaarten[[#This Row],[Product]]&amp;", "&amp;Database_Productkaarten[[#This Row],[Levensfase]]</f>
        <v>Deelproduct, Doppen, Stalen Speeltoestel, C4</v>
      </c>
      <c r="B2503" s="33" t="s">
        <v>815</v>
      </c>
      <c r="C2503" s="33" t="s">
        <v>806</v>
      </c>
      <c r="D2503" s="33" t="s">
        <v>807</v>
      </c>
      <c r="E2503" s="33" t="s">
        <v>783</v>
      </c>
      <c r="F2503" s="33" t="s">
        <v>86</v>
      </c>
      <c r="M2503" s="271">
        <f t="shared" si="926"/>
        <v>5.3460000000000001E-3</v>
      </c>
      <c r="N2503" s="41">
        <v>0.67533879600000013</v>
      </c>
      <c r="O2503" s="33">
        <v>15</v>
      </c>
      <c r="P2503" s="33">
        <v>1.3465504800000002E-5</v>
      </c>
      <c r="Q2503" s="33">
        <v>4.3559208000000004E-3</v>
      </c>
      <c r="R2503" s="33">
        <v>11.451132000000001</v>
      </c>
      <c r="S2503" s="33">
        <v>3.4752207600000004E-7</v>
      </c>
      <c r="T2503" s="33">
        <v>3.8705040000000003E-4</v>
      </c>
      <c r="U2503" s="33">
        <v>3.8568182400000005E-3</v>
      </c>
      <c r="V2503" s="33">
        <v>6.5039436000000007E-4</v>
      </c>
      <c r="W2503" s="33">
        <v>0.7402820040000001</v>
      </c>
      <c r="X2503" s="33">
        <v>4.7269374768000007E-2</v>
      </c>
      <c r="Y2503" s="33">
        <v>127.72663200000002</v>
      </c>
      <c r="Z2503" s="33">
        <v>1.8238413600000002E-3</v>
      </c>
      <c r="AA2503" s="33">
        <v>11.513145600000003</v>
      </c>
      <c r="AB2503" s="33">
        <v>11.513145600000003</v>
      </c>
      <c r="AC2503" s="33">
        <v>2.2442508E-3</v>
      </c>
      <c r="AD2503" s="33">
        <v>8.739533880000002E-4</v>
      </c>
      <c r="AE2503" s="33">
        <v>3.4607865600000003E-7</v>
      </c>
      <c r="AF2503" s="33">
        <v>4.9328611200000006E-3</v>
      </c>
      <c r="AG2503" s="33">
        <v>3.2967712799999998E-5</v>
      </c>
      <c r="AH2503" s="33">
        <v>1.4069602800000003E-3</v>
      </c>
      <c r="AI2503" s="33">
        <v>1.5133542336000002E-2</v>
      </c>
      <c r="AJ2503" s="33">
        <v>4.0521290040000007E-3</v>
      </c>
      <c r="AK2503" s="33">
        <v>1.3465226808000003E-5</v>
      </c>
      <c r="AL2503" s="33">
        <v>8.0959824000000005</v>
      </c>
      <c r="AM2503" s="33">
        <v>0.57608496000000009</v>
      </c>
      <c r="AN2503" s="33">
        <v>3.813130728000001E-8</v>
      </c>
      <c r="AO2503" s="33">
        <v>3.4327735200000001E-2</v>
      </c>
      <c r="AP2503" s="33">
        <v>144.021105537408</v>
      </c>
      <c r="AQ2503" s="33">
        <v>2.0862899719200003E-9</v>
      </c>
      <c r="AR2503" s="33">
        <v>4.4364315600000001E-8</v>
      </c>
      <c r="AS2503" s="33">
        <v>3.0375972000000004</v>
      </c>
      <c r="AT2503" s="33">
        <v>0</v>
      </c>
      <c r="AU2503" s="33">
        <v>0</v>
      </c>
      <c r="AV2503" s="316">
        <v>0.85533159135600012</v>
      </c>
      <c r="AW2503" s="314">
        <v>0</v>
      </c>
      <c r="AX2503" s="314">
        <v>0</v>
      </c>
      <c r="AY2503" s="316">
        <v>8.6095940040000016</v>
      </c>
      <c r="AZ2503" s="33">
        <v>0</v>
      </c>
      <c r="BA2503" s="33">
        <v>0</v>
      </c>
      <c r="BB2503" s="33">
        <v>0</v>
      </c>
      <c r="BC2503" s="33">
        <v>1.6874649000000002E-2</v>
      </c>
      <c r="BD2503" s="33">
        <v>1.5676492788000002E-5</v>
      </c>
      <c r="BE2503" s="33">
        <v>1.2359952000000001</v>
      </c>
      <c r="BF2503" s="33">
        <v>2.9525530320000004E-5</v>
      </c>
      <c r="BG2503" s="33">
        <v>0</v>
      </c>
      <c r="BH2503" s="33">
        <v>0</v>
      </c>
      <c r="BI2503" s="33">
        <v>0</v>
      </c>
      <c r="BJ2503" s="33">
        <v>0</v>
      </c>
      <c r="BK2503" s="33">
        <v>0</v>
      </c>
      <c r="BL2503" s="62">
        <v>0</v>
      </c>
      <c r="BM2503" s="275">
        <v>3</v>
      </c>
      <c r="BN2503" s="62">
        <v>0.05</v>
      </c>
      <c r="BO2503" s="33" t="s">
        <v>753</v>
      </c>
    </row>
    <row r="2504" spans="1:68">
      <c r="A2504" s="33" t="str">
        <f>Database_Productkaarten[[#This Row],[Product]]&amp;", "&amp;Database_Productkaarten[[#This Row],[Levensfase]]</f>
        <v>Deelproduct, Doppen, Stalen Speeltoestel, D</v>
      </c>
      <c r="B2504" s="33" t="s">
        <v>815</v>
      </c>
      <c r="C2504" s="33" t="s">
        <v>806</v>
      </c>
      <c r="D2504" s="33" t="s">
        <v>807</v>
      </c>
      <c r="E2504" s="33" t="s">
        <v>783</v>
      </c>
      <c r="F2504" s="33" t="s">
        <v>89</v>
      </c>
      <c r="M2504" s="271">
        <f t="shared" si="926"/>
        <v>5.3460000000000001E-3</v>
      </c>
      <c r="N2504" s="41">
        <v>-0.44906400000000007</v>
      </c>
      <c r="O2504" s="33">
        <v>15</v>
      </c>
      <c r="P2504" s="33">
        <v>-4.9183200000000007E-5</v>
      </c>
      <c r="Q2504" s="33">
        <v>-9.7938720000000021E-2</v>
      </c>
      <c r="R2504" s="33">
        <v>-5.4315360000000013</v>
      </c>
      <c r="S2504" s="33">
        <v>-9.9649440000000016E-8</v>
      </c>
      <c r="T2504" s="33">
        <v>-4.5761760000000004E-3</v>
      </c>
      <c r="U2504" s="33">
        <v>-1.6465680000000003E-2</v>
      </c>
      <c r="V2504" s="33">
        <v>-1.4241744000000002E-3</v>
      </c>
      <c r="W2504" s="33">
        <v>-0.75699360000000004</v>
      </c>
      <c r="X2504" s="33">
        <v>-1.5695856000000001E-2</v>
      </c>
      <c r="Y2504" s="33">
        <v>-47.900160000000007</v>
      </c>
      <c r="Z2504" s="33">
        <v>-2.9937600000000003E-3</v>
      </c>
      <c r="AA2504" s="33">
        <v>-5.7309120000000009</v>
      </c>
      <c r="AB2504" s="33">
        <v>-5.6881440000000012</v>
      </c>
      <c r="AC2504" s="33">
        <v>-2.5703568000000003E-2</v>
      </c>
      <c r="AD2504" s="33">
        <v>-1.3899600000000002E-3</v>
      </c>
      <c r="AE2504" s="33">
        <v>-9.1523520000000012E-8</v>
      </c>
      <c r="AF2504" s="33">
        <v>-1.9716048000000003E-2</v>
      </c>
      <c r="AG2504" s="33">
        <v>-7.9976160000000019E-5</v>
      </c>
      <c r="AH2504" s="33">
        <v>-3.2845824000000004E-3</v>
      </c>
      <c r="AI2504" s="33">
        <v>-3.6395568000000003E-2</v>
      </c>
      <c r="AJ2504" s="33">
        <v>-1.7449344000000002E-2</v>
      </c>
      <c r="AK2504" s="33">
        <v>-4.9183200000000007E-5</v>
      </c>
      <c r="AL2504" s="33">
        <v>-205.71408000000002</v>
      </c>
      <c r="AM2504" s="33">
        <v>-4.0159152000000002</v>
      </c>
      <c r="AN2504" s="33">
        <v>-1.7107200000000004E-7</v>
      </c>
      <c r="AO2504" s="33">
        <v>-0.10136016</v>
      </c>
      <c r="AP2504" s="33">
        <v>-26.800291346400005</v>
      </c>
      <c r="AQ2504" s="33">
        <v>-1.1247984000000002E-9</v>
      </c>
      <c r="AR2504" s="33">
        <v>-3.3615648000000008E-8</v>
      </c>
      <c r="AS2504" s="33">
        <v>-5.5170720000000006</v>
      </c>
      <c r="AT2504" s="33">
        <v>0</v>
      </c>
      <c r="AU2504" s="33">
        <v>0</v>
      </c>
      <c r="AV2504" s="316">
        <v>-2.8569024000000005</v>
      </c>
      <c r="AW2504" s="314">
        <v>0</v>
      </c>
      <c r="AX2504" s="314">
        <v>0</v>
      </c>
      <c r="AY2504" s="316">
        <v>-221.11056000000005</v>
      </c>
      <c r="AZ2504" s="33">
        <v>0</v>
      </c>
      <c r="BA2504" s="33">
        <v>0</v>
      </c>
      <c r="BB2504" s="33">
        <v>0</v>
      </c>
      <c r="BC2504" s="33">
        <v>-5.9338889280000015E-2</v>
      </c>
      <c r="BD2504" s="33">
        <v>-1.8561312000000001E-5</v>
      </c>
      <c r="BE2504" s="33">
        <v>-0.17002803312000001</v>
      </c>
      <c r="BF2504" s="33">
        <v>-8.7246720000000021E-5</v>
      </c>
      <c r="BG2504" s="33">
        <v>0</v>
      </c>
      <c r="BH2504" s="33">
        <v>0</v>
      </c>
      <c r="BI2504" s="33">
        <v>0</v>
      </c>
      <c r="BJ2504" s="33">
        <v>0</v>
      </c>
      <c r="BK2504" s="33">
        <v>0</v>
      </c>
      <c r="BL2504" s="62">
        <v>0</v>
      </c>
      <c r="BM2504" s="275">
        <v>3</v>
      </c>
      <c r="BN2504" s="62">
        <v>0.05</v>
      </c>
      <c r="BO2504" s="33" t="s">
        <v>753</v>
      </c>
    </row>
    <row r="2505" spans="1:68">
      <c r="A2505" s="33" t="str">
        <f>Database_Productkaarten[[#This Row],[Product]]&amp;", "&amp;Database_Productkaarten[[#This Row],[Levensfase]]</f>
        <v>Totaalproduct, Houten Speeltoestel, Totaal</v>
      </c>
      <c r="B2505" s="33" t="s">
        <v>816</v>
      </c>
      <c r="C2505" s="33" t="s">
        <v>806</v>
      </c>
      <c r="D2505" s="33" t="s">
        <v>817</v>
      </c>
      <c r="E2505" s="33" t="s">
        <v>783</v>
      </c>
      <c r="F2505" s="33" t="s">
        <v>90</v>
      </c>
      <c r="L2505" s="33" t="s">
        <v>737</v>
      </c>
      <c r="M2505" s="271">
        <f>239.984/1000</f>
        <v>0.239984</v>
      </c>
      <c r="N2505" s="41">
        <v>23.691911154915775</v>
      </c>
      <c r="O2505" s="33">
        <v>20</v>
      </c>
      <c r="P2505" s="33">
        <v>3.6715380281944947E-3</v>
      </c>
      <c r="Q2505" s="33">
        <v>1.6950095020221694</v>
      </c>
      <c r="R2505" s="33">
        <v>242.54550950744135</v>
      </c>
      <c r="S2505" s="33">
        <v>3.5120678208841113E-5</v>
      </c>
      <c r="T2505" s="33">
        <v>0.18253692162577617</v>
      </c>
      <c r="U2505" s="33">
        <v>0.96836685401385447</v>
      </c>
      <c r="V2505" s="33">
        <v>0.19880861452806917</v>
      </c>
      <c r="W2505" s="33">
        <v>100.35857198084611</v>
      </c>
      <c r="X2505" s="33">
        <v>2.4417898679931023</v>
      </c>
      <c r="Y2505" s="33">
        <v>7160.7159511030359</v>
      </c>
      <c r="Z2505" s="33">
        <v>0.70363791837967726</v>
      </c>
      <c r="AA2505" s="33">
        <v>-48.892167100781222</v>
      </c>
      <c r="AB2505" s="33">
        <v>243.42222748666578</v>
      </c>
      <c r="AC2505" s="33">
        <v>-293.44296433863394</v>
      </c>
      <c r="AD2505" s="33">
        <v>0.61136178827867271</v>
      </c>
      <c r="AE2505" s="33">
        <v>4.2620257077655118E-5</v>
      </c>
      <c r="AF2505" s="33">
        <v>1.2492304668486836</v>
      </c>
      <c r="AG2505" s="33">
        <v>1.293109628183973E-2</v>
      </c>
      <c r="AH2505" s="33">
        <v>0.37700854910248011</v>
      </c>
      <c r="AI2505" s="33">
        <v>4.1376410255839939</v>
      </c>
      <c r="AJ2505" s="33">
        <v>1.3077256078134498</v>
      </c>
      <c r="AK2505" s="33">
        <v>3.6715337646520815E-3</v>
      </c>
      <c r="AL2505" s="33">
        <v>3520.4006021714363</v>
      </c>
      <c r="AM2505" s="33">
        <v>22.673500144399686</v>
      </c>
      <c r="AN2505" s="33">
        <v>2.3903031776466303E-5</v>
      </c>
      <c r="AO2505" s="33">
        <v>15.836423446471015</v>
      </c>
      <c r="AP2505" s="33">
        <v>3233.9018131120442</v>
      </c>
      <c r="AQ2505" s="33">
        <v>2.362489674008455E-7</v>
      </c>
      <c r="AR2505" s="33">
        <v>3.646998433435251E-6</v>
      </c>
      <c r="AS2505" s="33">
        <v>34535.111219581158</v>
      </c>
      <c r="AT2505" s="33">
        <v>3.3629944080465828</v>
      </c>
      <c r="AU2505" s="33">
        <v>0</v>
      </c>
      <c r="AV2505" s="316">
        <v>6650.0394783069896</v>
      </c>
      <c r="AW2505" s="314">
        <v>0.29464368585154127</v>
      </c>
      <c r="AX2505" s="314">
        <v>4.1383071515434364E-4</v>
      </c>
      <c r="AY2505" s="316">
        <v>3741.8742632488656</v>
      </c>
      <c r="AZ2505" s="33">
        <v>4.1031697336009064E-4</v>
      </c>
      <c r="BA2505" s="33">
        <v>0</v>
      </c>
      <c r="BB2505" s="33">
        <v>0</v>
      </c>
      <c r="BC2505" s="33">
        <v>1.6985408188082054</v>
      </c>
      <c r="BD2505" s="33">
        <v>8.3878364187446857E-3</v>
      </c>
      <c r="BE2505" s="33">
        <v>172.29249646344337</v>
      </c>
      <c r="BF2505" s="33">
        <v>2.1589808906683373E-2</v>
      </c>
      <c r="BG2505" s="33">
        <v>0</v>
      </c>
      <c r="BH2505" s="33">
        <v>0</v>
      </c>
      <c r="BI2505" s="33">
        <v>0</v>
      </c>
      <c r="BJ2505" s="33">
        <v>0</v>
      </c>
      <c r="BK2505" s="33">
        <v>0</v>
      </c>
      <c r="BL2505" s="62">
        <v>0</v>
      </c>
      <c r="BM2505" s="275">
        <v>3</v>
      </c>
      <c r="BN2505" s="62">
        <v>0.05</v>
      </c>
      <c r="BO2505" s="33" t="s">
        <v>753</v>
      </c>
    </row>
    <row r="2506" spans="1:68">
      <c r="A2506" s="33" t="str">
        <f>Database_Productkaarten[[#This Row],[Product]]&amp;", "&amp;Database_Productkaarten[[#This Row],[Levensfase]]</f>
        <v>Totaalproduct, Houten Speeltoestel, A1</v>
      </c>
      <c r="B2506" s="33" t="s">
        <v>816</v>
      </c>
      <c r="C2506" s="33" t="s">
        <v>806</v>
      </c>
      <c r="D2506" s="33" t="s">
        <v>817</v>
      </c>
      <c r="E2506" s="33" t="s">
        <v>783</v>
      </c>
      <c r="F2506" s="33" t="s">
        <v>74</v>
      </c>
      <c r="L2506" s="33" t="s">
        <v>737</v>
      </c>
      <c r="M2506" s="271">
        <f t="shared" ref="M2506:M2516" si="929">239.984/1000</f>
        <v>0.239984</v>
      </c>
      <c r="N2506" s="41">
        <v>13.8966836544</v>
      </c>
      <c r="O2506" s="33">
        <v>20</v>
      </c>
      <c r="P2506" s="33">
        <v>2.0516830311999999E-3</v>
      </c>
      <c r="Q2506" s="33">
        <v>0.65108557832000002</v>
      </c>
      <c r="R2506" s="33">
        <v>90.737002567999994</v>
      </c>
      <c r="S2506" s="33">
        <v>1.3605833042080002E-5</v>
      </c>
      <c r="T2506" s="33">
        <v>0.11615740619839998</v>
      </c>
      <c r="U2506" s="33">
        <v>0.46272822527999996</v>
      </c>
      <c r="V2506" s="33">
        <v>0.1033087507152</v>
      </c>
      <c r="W2506" s="33">
        <v>64.805790447999996</v>
      </c>
      <c r="X2506" s="33">
        <v>1.3754062776319997</v>
      </c>
      <c r="Y2506" s="33">
        <v>3629.6271820800002</v>
      </c>
      <c r="Z2506" s="33">
        <v>0.319993201728</v>
      </c>
      <c r="AA2506" s="33">
        <v>-523.51844598399998</v>
      </c>
      <c r="AB2506" s="33">
        <v>91.489108343999987</v>
      </c>
      <c r="AC2506" s="33">
        <v>-615.96719350391993</v>
      </c>
      <c r="AD2506" s="33">
        <v>0.55457995509600011</v>
      </c>
      <c r="AE2506" s="33">
        <v>1.6823156058239998E-5</v>
      </c>
      <c r="AF2506" s="33">
        <v>0.61282697694400001</v>
      </c>
      <c r="AG2506" s="33">
        <v>4.7511387966399999E-3</v>
      </c>
      <c r="AH2506" s="33">
        <v>0.21073092366559998</v>
      </c>
      <c r="AI2506" s="33">
        <v>2.3179286193599999</v>
      </c>
      <c r="AJ2506" s="33">
        <v>0.75316990924799998</v>
      </c>
      <c r="AK2506" s="33">
        <v>2.0516828700799998E-3</v>
      </c>
      <c r="AL2506" s="33">
        <v>1320.8642059360002</v>
      </c>
      <c r="AM2506" s="33">
        <v>9.1377989137600011</v>
      </c>
      <c r="AN2506" s="33">
        <v>1.8696494732319997E-5</v>
      </c>
      <c r="AO2506" s="33">
        <v>5.5948370675199994</v>
      </c>
      <c r="AP2506" s="33">
        <v>1992.94983824</v>
      </c>
      <c r="AQ2506" s="33">
        <v>8.4692892639999998E-8</v>
      </c>
      <c r="AR2506" s="33">
        <v>1.9370817379199999E-6</v>
      </c>
      <c r="AS2506" s="33">
        <v>37637.427717824001</v>
      </c>
      <c r="AT2506" s="33">
        <v>0</v>
      </c>
      <c r="AU2506" s="33">
        <v>0</v>
      </c>
      <c r="AV2506" s="316">
        <v>7314.0875665759995</v>
      </c>
      <c r="AW2506" s="314">
        <v>0</v>
      </c>
      <c r="AX2506" s="314">
        <v>0</v>
      </c>
      <c r="AY2506" s="316">
        <v>1400.9081481119999</v>
      </c>
      <c r="AZ2506" s="33">
        <v>0</v>
      </c>
      <c r="BA2506" s="33">
        <v>0</v>
      </c>
      <c r="BB2506" s="33">
        <v>0</v>
      </c>
      <c r="BC2506" s="33">
        <v>0.32271106393599996</v>
      </c>
      <c r="BD2506" s="33">
        <v>4.1044333808000003E-3</v>
      </c>
      <c r="BE2506" s="33">
        <v>64.668951529600008</v>
      </c>
      <c r="BF2506" s="33">
        <v>7.9176015532799997E-3</v>
      </c>
      <c r="BG2506" s="33">
        <v>0</v>
      </c>
      <c r="BH2506" s="33">
        <v>0</v>
      </c>
      <c r="BI2506" s="33">
        <v>0</v>
      </c>
      <c r="BJ2506" s="33">
        <v>0</v>
      </c>
      <c r="BK2506" s="33">
        <v>0</v>
      </c>
      <c r="BL2506" s="62">
        <v>0</v>
      </c>
      <c r="BM2506" s="275">
        <v>3</v>
      </c>
      <c r="BN2506" s="62">
        <v>0.05</v>
      </c>
      <c r="BO2506" s="33" t="s">
        <v>753</v>
      </c>
    </row>
    <row r="2507" spans="1:68">
      <c r="A2507" s="33" t="str">
        <f>Database_Productkaarten[[#This Row],[Product]]&amp;", "&amp;Database_Productkaarten[[#This Row],[Levensfase]]</f>
        <v>Totaalproduct, Houten Speeltoestel, A2</v>
      </c>
      <c r="B2507" s="33" t="s">
        <v>816</v>
      </c>
      <c r="C2507" s="33" t="s">
        <v>806</v>
      </c>
      <c r="D2507" s="33" t="s">
        <v>817</v>
      </c>
      <c r="E2507" s="33" t="s">
        <v>783</v>
      </c>
      <c r="F2507" s="33" t="s">
        <v>75</v>
      </c>
      <c r="L2507" s="33" t="s">
        <v>737</v>
      </c>
      <c r="M2507" s="271">
        <f t="shared" si="929"/>
        <v>0.239984</v>
      </c>
      <c r="N2507" s="41">
        <v>9.6351287752559994E-2</v>
      </c>
      <c r="O2507" s="33">
        <v>20</v>
      </c>
      <c r="P2507" s="33">
        <v>3.542342875407E-4</v>
      </c>
      <c r="Q2507" s="33">
        <v>0.15388686716543998</v>
      </c>
      <c r="R2507" s="33">
        <v>20.621854158443998</v>
      </c>
      <c r="S2507" s="33">
        <v>3.9066813144689996E-6</v>
      </c>
      <c r="T2507" s="33">
        <v>1.2564489910034999E-2</v>
      </c>
      <c r="U2507" s="33">
        <v>5.3669108636519997E-2</v>
      </c>
      <c r="V2507" s="33">
        <v>8.8372977722880001E-3</v>
      </c>
      <c r="W2507" s="33">
        <v>4.4353672701569993</v>
      </c>
      <c r="X2507" s="33">
        <v>0.18639653704224002</v>
      </c>
      <c r="Y2507" s="33">
        <v>504.6921463626</v>
      </c>
      <c r="Z2507" s="33">
        <v>2.505263727093E-2</v>
      </c>
      <c r="AA2507" s="33">
        <v>20.799892776539998</v>
      </c>
      <c r="AB2507" s="33">
        <v>20.784691570076998</v>
      </c>
      <c r="AC2507" s="33">
        <v>1.0018811767068E-2</v>
      </c>
      <c r="AD2507" s="33">
        <v>5.1825420788939999E-3</v>
      </c>
      <c r="AE2507" s="33">
        <v>4.9082726532270005E-6</v>
      </c>
      <c r="AF2507" s="33">
        <v>6.6810987270480002E-2</v>
      </c>
      <c r="AG2507" s="33">
        <v>1.4478124890050998E-4</v>
      </c>
      <c r="AH2507" s="33">
        <v>1.5346104219729E-2</v>
      </c>
      <c r="AI2507" s="33">
        <v>0.17273359119351001</v>
      </c>
      <c r="AJ2507" s="33">
        <v>6.4661169496829998E-2</v>
      </c>
      <c r="AK2507" s="33">
        <v>3.542329642881E-4</v>
      </c>
      <c r="AL2507" s="33">
        <v>323.05539911489996</v>
      </c>
      <c r="AM2507" s="33">
        <v>1.3719184084229998</v>
      </c>
      <c r="AN2507" s="33">
        <v>1.4422556265995999E-6</v>
      </c>
      <c r="AO2507" s="33">
        <v>1.3871077968713998</v>
      </c>
      <c r="AP2507" s="33">
        <v>235.61404597769999</v>
      </c>
      <c r="AQ2507" s="33">
        <v>5.962723142268E-9</v>
      </c>
      <c r="AR2507" s="33">
        <v>1.9010252040671999E-7</v>
      </c>
      <c r="AS2507" s="33">
        <v>369.31913903370003</v>
      </c>
      <c r="AT2507" s="33">
        <v>0</v>
      </c>
      <c r="AU2507" s="33">
        <v>0</v>
      </c>
      <c r="AV2507" s="316">
        <v>3.3107987665769998</v>
      </c>
      <c r="AW2507" s="314">
        <v>0</v>
      </c>
      <c r="AX2507" s="314">
        <v>0</v>
      </c>
      <c r="AY2507" s="316">
        <v>343.11506438700002</v>
      </c>
      <c r="AZ2507" s="33">
        <v>0</v>
      </c>
      <c r="BA2507" s="33">
        <v>0</v>
      </c>
      <c r="BB2507" s="33">
        <v>0</v>
      </c>
      <c r="BC2507" s="33">
        <v>4.1260131706829996E-2</v>
      </c>
      <c r="BD2507" s="33">
        <v>7.9846471832459992E-4</v>
      </c>
      <c r="BE2507" s="33">
        <v>28.08366142473</v>
      </c>
      <c r="BF2507" s="33">
        <v>2.1939002685458999E-3</v>
      </c>
      <c r="BG2507" s="33">
        <v>0</v>
      </c>
      <c r="BH2507" s="33">
        <v>0</v>
      </c>
      <c r="BI2507" s="33">
        <v>0</v>
      </c>
      <c r="BJ2507" s="33">
        <v>0</v>
      </c>
      <c r="BK2507" s="33">
        <v>0</v>
      </c>
      <c r="BL2507" s="62">
        <v>0</v>
      </c>
      <c r="BM2507" s="275">
        <v>3</v>
      </c>
      <c r="BN2507" s="62">
        <v>0.05</v>
      </c>
      <c r="BO2507" s="33" t="s">
        <v>753</v>
      </c>
    </row>
    <row r="2508" spans="1:68">
      <c r="A2508" s="33" t="str">
        <f>Database_Productkaarten[[#This Row],[Product]]&amp;", "&amp;Database_Productkaarten[[#This Row],[Levensfase]]</f>
        <v>Totaalproduct, Houten Speeltoestel, A3</v>
      </c>
      <c r="B2508" s="33" t="s">
        <v>816</v>
      </c>
      <c r="C2508" s="33" t="s">
        <v>806</v>
      </c>
      <c r="D2508" s="33" t="s">
        <v>817</v>
      </c>
      <c r="E2508" s="33" t="s">
        <v>783</v>
      </c>
      <c r="F2508" s="33" t="s">
        <v>76</v>
      </c>
      <c r="L2508" s="33" t="s">
        <v>737</v>
      </c>
      <c r="M2508" s="271">
        <f t="shared" si="929"/>
        <v>0.239984</v>
      </c>
      <c r="N2508" s="41">
        <v>4.2308650552000007</v>
      </c>
      <c r="O2508" s="33">
        <v>20</v>
      </c>
      <c r="P2508" s="33">
        <v>4.0040155265351019E-4</v>
      </c>
      <c r="Q2508" s="33">
        <v>0.29844110370959398</v>
      </c>
      <c r="R2508" s="33">
        <v>47.770056875888898</v>
      </c>
      <c r="S2508" s="33">
        <v>2.4524997168477898E-6</v>
      </c>
      <c r="T2508" s="33">
        <v>9.6245642869657987E-3</v>
      </c>
      <c r="U2508" s="33">
        <v>0.18516690433825922</v>
      </c>
      <c r="V2508" s="33">
        <v>3.6621448195123009E-2</v>
      </c>
      <c r="W2508" s="33">
        <v>6.4054386661205749</v>
      </c>
      <c r="X2508" s="33">
        <v>0.23340345630620707</v>
      </c>
      <c r="Y2508" s="33">
        <v>1103.7087869503744</v>
      </c>
      <c r="Z2508" s="33">
        <v>0.17848989043381558</v>
      </c>
      <c r="AA2508" s="33">
        <v>48.345284589678641</v>
      </c>
      <c r="AB2508" s="33">
        <v>48.016371674948701</v>
      </c>
      <c r="AC2508" s="33">
        <v>0.28310692512159141</v>
      </c>
      <c r="AD2508" s="33">
        <v>4.6639784914687635E-2</v>
      </c>
      <c r="AE2508" s="33">
        <v>1.8241852384825655E-6</v>
      </c>
      <c r="AF2508" s="33">
        <v>0.22218573170420028</v>
      </c>
      <c r="AG2508" s="33">
        <v>7.6003688917394494E-3</v>
      </c>
      <c r="AH2508" s="33">
        <v>3.7227373464484299E-2</v>
      </c>
      <c r="AI2508" s="33">
        <v>0.41972939294265948</v>
      </c>
      <c r="AJ2508" s="33">
        <v>0.11137967001205415</v>
      </c>
      <c r="AK2508" s="33">
        <v>4.0040155265351019E-4</v>
      </c>
      <c r="AL2508" s="33">
        <v>626.33080457866322</v>
      </c>
      <c r="AM2508" s="33">
        <v>7.663844430502893</v>
      </c>
      <c r="AN2508" s="33">
        <v>7.1511158019867985E-7</v>
      </c>
      <c r="AO2508" s="33">
        <v>3.4713308512354724</v>
      </c>
      <c r="AP2508" s="33">
        <v>380.20071110814865</v>
      </c>
      <c r="AQ2508" s="33">
        <v>1.230203175878392E-8</v>
      </c>
      <c r="AR2508" s="33">
        <v>3.9763599175278351E-7</v>
      </c>
      <c r="AS2508" s="33">
        <v>102.021632375039</v>
      </c>
      <c r="AT2508" s="33">
        <v>0</v>
      </c>
      <c r="AU2508" s="33">
        <v>0</v>
      </c>
      <c r="AV2508" s="316">
        <v>40.57652816260093</v>
      </c>
      <c r="AW2508" s="314">
        <v>0</v>
      </c>
      <c r="AX2508" s="314">
        <v>0</v>
      </c>
      <c r="AY2508" s="316">
        <v>669.9517996414454</v>
      </c>
      <c r="AZ2508" s="33">
        <v>0</v>
      </c>
      <c r="BA2508" s="33">
        <v>0</v>
      </c>
      <c r="BB2508" s="33">
        <v>0</v>
      </c>
      <c r="BC2508" s="33">
        <v>1.1160398284559805</v>
      </c>
      <c r="BD2508" s="33">
        <v>3.5055405122674842E-4</v>
      </c>
      <c r="BE2508" s="33">
        <v>4.1144968171536132</v>
      </c>
      <c r="BF2508" s="33">
        <v>2.9683627554936997E-3</v>
      </c>
      <c r="BG2508" s="33">
        <v>0</v>
      </c>
      <c r="BH2508" s="33">
        <v>0</v>
      </c>
      <c r="BI2508" s="33">
        <v>0</v>
      </c>
      <c r="BJ2508" s="33">
        <v>0</v>
      </c>
      <c r="BK2508" s="33">
        <v>0</v>
      </c>
      <c r="BL2508" s="62">
        <v>0</v>
      </c>
      <c r="BM2508" s="275">
        <v>3</v>
      </c>
      <c r="BN2508" s="62">
        <v>0.05</v>
      </c>
      <c r="BO2508" s="33" t="s">
        <v>753</v>
      </c>
    </row>
    <row r="2509" spans="1:68">
      <c r="A2509" s="451" t="str">
        <f>Database_Productkaarten[[#This Row],[Product]]&amp;", "&amp;Database_Productkaarten[[#This Row],[Levensfase]]</f>
        <v>Totaalproduct, Houten Speeltoestel, A1-A3</v>
      </c>
      <c r="B2509" s="451" t="str">
        <f>B2508</f>
        <v>Totaalproduct, Houten Speeltoestel</v>
      </c>
      <c r="C2509" s="451" t="str">
        <f>C2508</f>
        <v>Speeltoestel</v>
      </c>
      <c r="D2509" s="451" t="str">
        <f>D2508</f>
        <v>Houten Speeltoestel</v>
      </c>
      <c r="E2509" s="451" t="str">
        <f>E2508</f>
        <v>Stuk</v>
      </c>
      <c r="F2509" s="451" t="s">
        <v>77</v>
      </c>
      <c r="G2509" s="451">
        <f t="shared" ref="G2509:M2509" si="930">G2508</f>
        <v>0</v>
      </c>
      <c r="H2509" s="451">
        <f t="shared" si="930"/>
        <v>0</v>
      </c>
      <c r="I2509" s="451">
        <f t="shared" si="930"/>
        <v>0</v>
      </c>
      <c r="J2509" s="451">
        <f t="shared" si="930"/>
        <v>0</v>
      </c>
      <c r="K2509" s="451">
        <f t="shared" si="930"/>
        <v>0</v>
      </c>
      <c r="L2509" s="451" t="str">
        <f t="shared" si="930"/>
        <v>NVT</v>
      </c>
      <c r="M2509" s="454">
        <f t="shared" si="930"/>
        <v>0.239984</v>
      </c>
      <c r="N2509" s="452">
        <f>SUM(N2506:N2508)</f>
        <v>18.223899997352561</v>
      </c>
      <c r="O2509" s="451">
        <f>O2508</f>
        <v>20</v>
      </c>
      <c r="P2509" s="453">
        <f t="shared" ref="P2509:BK2509" si="931">SUM(P2506:P2508)</f>
        <v>2.8063188713942102E-3</v>
      </c>
      <c r="Q2509" s="453">
        <f t="shared" si="931"/>
        <v>1.1034135491950341</v>
      </c>
      <c r="R2509" s="453">
        <f t="shared" si="931"/>
        <v>159.12891360233289</v>
      </c>
      <c r="S2509" s="453">
        <f t="shared" si="931"/>
        <v>1.9965014073396792E-5</v>
      </c>
      <c r="T2509" s="453">
        <f t="shared" si="931"/>
        <v>0.13834646039540077</v>
      </c>
      <c r="U2509" s="453">
        <f t="shared" si="931"/>
        <v>0.7015642382547792</v>
      </c>
      <c r="V2509" s="453">
        <f t="shared" si="931"/>
        <v>0.14876749668261102</v>
      </c>
      <c r="W2509" s="453">
        <f t="shared" si="931"/>
        <v>75.646596384277572</v>
      </c>
      <c r="X2509" s="453">
        <f t="shared" si="931"/>
        <v>1.7952062709804468</v>
      </c>
      <c r="Y2509" s="453">
        <f t="shared" si="931"/>
        <v>5238.0281153929755</v>
      </c>
      <c r="Z2509" s="453">
        <f t="shared" si="931"/>
        <v>0.52353572943274562</v>
      </c>
      <c r="AA2509" s="453">
        <f t="shared" si="931"/>
        <v>-454.37326861778138</v>
      </c>
      <c r="AB2509" s="453">
        <f t="shared" si="931"/>
        <v>160.2901715890257</v>
      </c>
      <c r="AC2509" s="453">
        <f t="shared" si="931"/>
        <v>-615.67406776703126</v>
      </c>
      <c r="AD2509" s="453">
        <f t="shared" si="931"/>
        <v>0.6064022820895818</v>
      </c>
      <c r="AE2509" s="453">
        <f t="shared" si="931"/>
        <v>2.3555613949949562E-5</v>
      </c>
      <c r="AF2509" s="453">
        <f t="shared" si="931"/>
        <v>0.90182369591868028</v>
      </c>
      <c r="AG2509" s="453">
        <f t="shared" si="931"/>
        <v>1.249628893727996E-2</v>
      </c>
      <c r="AH2509" s="453">
        <f t="shared" si="931"/>
        <v>0.26330440134981331</v>
      </c>
      <c r="AI2509" s="453">
        <f t="shared" si="931"/>
        <v>2.9103916034961697</v>
      </c>
      <c r="AJ2509" s="453">
        <f t="shared" si="931"/>
        <v>0.92921074875688414</v>
      </c>
      <c r="AK2509" s="453">
        <f t="shared" si="931"/>
        <v>2.8063173870216097E-3</v>
      </c>
      <c r="AL2509" s="453">
        <f t="shared" si="931"/>
        <v>2270.2504096295634</v>
      </c>
      <c r="AM2509" s="453">
        <f t="shared" si="931"/>
        <v>18.173561752685892</v>
      </c>
      <c r="AN2509" s="453">
        <f t="shared" si="931"/>
        <v>2.0853861939118277E-5</v>
      </c>
      <c r="AO2509" s="453">
        <f t="shared" si="931"/>
        <v>10.453275715626873</v>
      </c>
      <c r="AP2509" s="453">
        <f t="shared" si="931"/>
        <v>2608.7645953258489</v>
      </c>
      <c r="AQ2509" s="453">
        <f t="shared" si="931"/>
        <v>1.0295764754105191E-7</v>
      </c>
      <c r="AR2509" s="453">
        <f t="shared" si="931"/>
        <v>2.5248202500795037E-6</v>
      </c>
      <c r="AS2509" s="453">
        <f t="shared" si="931"/>
        <v>38108.768489232738</v>
      </c>
      <c r="AT2509" s="453">
        <f t="shared" si="931"/>
        <v>0</v>
      </c>
      <c r="AU2509" s="453">
        <f t="shared" si="931"/>
        <v>0</v>
      </c>
      <c r="AV2509" s="317">
        <f t="shared" si="931"/>
        <v>7357.9748935051775</v>
      </c>
      <c r="AW2509" s="317">
        <f t="shared" si="931"/>
        <v>0</v>
      </c>
      <c r="AX2509" s="317">
        <f t="shared" si="931"/>
        <v>0</v>
      </c>
      <c r="AY2509" s="317">
        <f t="shared" si="931"/>
        <v>2413.9750121404454</v>
      </c>
      <c r="AZ2509" s="453">
        <f t="shared" si="931"/>
        <v>0</v>
      </c>
      <c r="BA2509" s="453">
        <f t="shared" si="931"/>
        <v>0</v>
      </c>
      <c r="BB2509" s="453">
        <f t="shared" si="931"/>
        <v>0</v>
      </c>
      <c r="BC2509" s="453">
        <f t="shared" si="931"/>
        <v>1.4800110240988105</v>
      </c>
      <c r="BD2509" s="453">
        <f t="shared" si="931"/>
        <v>5.2534521503513482E-3</v>
      </c>
      <c r="BE2509" s="453">
        <f t="shared" si="931"/>
        <v>96.867109771483612</v>
      </c>
      <c r="BF2509" s="453">
        <f t="shared" si="931"/>
        <v>1.3079864577319598E-2</v>
      </c>
      <c r="BG2509" s="453">
        <f t="shared" si="931"/>
        <v>0</v>
      </c>
      <c r="BH2509" s="453">
        <f t="shared" si="931"/>
        <v>0</v>
      </c>
      <c r="BI2509" s="453">
        <f t="shared" si="931"/>
        <v>0</v>
      </c>
      <c r="BJ2509" s="453">
        <f t="shared" si="931"/>
        <v>0</v>
      </c>
      <c r="BK2509" s="453">
        <f t="shared" si="931"/>
        <v>0</v>
      </c>
      <c r="BL2509" s="62">
        <f>BL2508</f>
        <v>0</v>
      </c>
      <c r="BM2509" s="275">
        <f>BM2508</f>
        <v>3</v>
      </c>
      <c r="BN2509" s="62">
        <v>0.05</v>
      </c>
      <c r="BO2509" s="451" t="str">
        <f>BO2508</f>
        <v>Eigen berekening</v>
      </c>
      <c r="BP2509" s="451"/>
    </row>
    <row r="2510" spans="1:68">
      <c r="A2510" s="33" t="str">
        <f>Database_Productkaarten[[#This Row],[Product]]&amp;", "&amp;Database_Productkaarten[[#This Row],[Levensfase]]</f>
        <v>Totaalproduct, Houten Speeltoestel, A4</v>
      </c>
      <c r="B2510" s="33" t="s">
        <v>816</v>
      </c>
      <c r="C2510" s="33" t="s">
        <v>806</v>
      </c>
      <c r="D2510" s="33" t="s">
        <v>817</v>
      </c>
      <c r="E2510" s="33" t="s">
        <v>783</v>
      </c>
      <c r="F2510" s="33" t="s">
        <v>78</v>
      </c>
      <c r="L2510" s="33" t="s">
        <v>737</v>
      </c>
      <c r="M2510" s="271">
        <f t="shared" si="929"/>
        <v>0.239984</v>
      </c>
      <c r="N2510" s="41">
        <v>2.0156689397835548</v>
      </c>
      <c r="O2510" s="33">
        <v>20</v>
      </c>
      <c r="P2510" s="33">
        <v>3.8974823626199996E-4</v>
      </c>
      <c r="Q2510" s="33">
        <v>0.16931487767039999</v>
      </c>
      <c r="R2510" s="33">
        <v>22.689309221039998</v>
      </c>
      <c r="S2510" s="33">
        <v>4.2983477475400001E-6</v>
      </c>
      <c r="T2510" s="33">
        <v>1.3824149593099999E-2</v>
      </c>
      <c r="U2510" s="33">
        <v>5.9049733943199997E-2</v>
      </c>
      <c r="V2510" s="33">
        <v>9.7232858060799995E-3</v>
      </c>
      <c r="W2510" s="33">
        <v>4.8800373976199998</v>
      </c>
      <c r="X2510" s="33">
        <v>0.20508382195840003</v>
      </c>
      <c r="Y2510" s="33">
        <v>555.29032851600005</v>
      </c>
      <c r="Z2510" s="33">
        <v>2.75643028738E-2</v>
      </c>
      <c r="AA2510" s="33">
        <v>22.885197196399996</v>
      </c>
      <c r="AB2510" s="33">
        <v>22.868471984819998</v>
      </c>
      <c r="AC2510" s="33">
        <v>1.1023253120880001E-2</v>
      </c>
      <c r="AD2510" s="33">
        <v>5.7021206180399991E-3</v>
      </c>
      <c r="AE2510" s="33">
        <v>5.4003541638199997E-6</v>
      </c>
      <c r="AF2510" s="33">
        <v>7.3509158676799996E-2</v>
      </c>
      <c r="AG2510" s="33">
        <v>1.5929637075659997E-4</v>
      </c>
      <c r="AH2510" s="33">
        <v>1.688463613914E-2</v>
      </c>
      <c r="AI2510" s="33">
        <v>0.19005109013659999</v>
      </c>
      <c r="AJ2510" s="33">
        <v>7.1143809767799993E-2</v>
      </c>
      <c r="AK2510" s="33">
        <v>3.8974678034600001E-4</v>
      </c>
      <c r="AL2510" s="33">
        <v>355.443491634</v>
      </c>
      <c r="AM2510" s="33">
        <v>1.5094608251799999</v>
      </c>
      <c r="AN2510" s="33">
        <v>1.586849738936E-6</v>
      </c>
      <c r="AO2510" s="33">
        <v>1.5261730339239998</v>
      </c>
      <c r="AP2510" s="33">
        <v>259.23565868200001</v>
      </c>
      <c r="AQ2510" s="33">
        <v>6.5605191528799994E-9</v>
      </c>
      <c r="AR2510" s="33">
        <v>2.0916135067520001E-7</v>
      </c>
      <c r="AS2510" s="33">
        <v>406.345427642</v>
      </c>
      <c r="AT2510" s="33">
        <v>0</v>
      </c>
      <c r="AU2510" s="33">
        <v>0</v>
      </c>
      <c r="AV2510" s="316">
        <v>3.6427246748199997</v>
      </c>
      <c r="AW2510" s="314">
        <v>0</v>
      </c>
      <c r="AX2510" s="314">
        <v>0</v>
      </c>
      <c r="AY2510" s="316">
        <v>377.51424942</v>
      </c>
      <c r="AZ2510" s="33">
        <v>0</v>
      </c>
      <c r="BA2510" s="33">
        <v>0</v>
      </c>
      <c r="BB2510" s="33">
        <v>0</v>
      </c>
      <c r="BC2510" s="33">
        <v>4.5396688367799996E-2</v>
      </c>
      <c r="BD2510" s="33">
        <v>8.7851522743600001E-4</v>
      </c>
      <c r="BE2510" s="33">
        <v>30.899203981799999</v>
      </c>
      <c r="BF2510" s="33">
        <v>2.4138509180939996E-3</v>
      </c>
      <c r="BG2510" s="33">
        <v>0</v>
      </c>
      <c r="BH2510" s="33">
        <v>0</v>
      </c>
      <c r="BI2510" s="33">
        <v>0</v>
      </c>
      <c r="BJ2510" s="33">
        <v>0</v>
      </c>
      <c r="BK2510" s="33">
        <v>0</v>
      </c>
      <c r="BL2510" s="62">
        <v>0</v>
      </c>
      <c r="BM2510" s="275">
        <v>3</v>
      </c>
      <c r="BN2510" s="62">
        <v>0.05</v>
      </c>
      <c r="BO2510" s="33" t="s">
        <v>753</v>
      </c>
    </row>
    <row r="2511" spans="1:68">
      <c r="A2511" s="33" t="str">
        <f>Database_Productkaarten[[#This Row],[Product]]&amp;", "&amp;Database_Productkaarten[[#This Row],[Levensfase]]</f>
        <v>Totaalproduct, Houten Speeltoestel, A5</v>
      </c>
      <c r="B2511" s="33" t="s">
        <v>816</v>
      </c>
      <c r="C2511" s="33" t="s">
        <v>806</v>
      </c>
      <c r="D2511" s="33" t="s">
        <v>817</v>
      </c>
      <c r="E2511" s="33" t="s">
        <v>783</v>
      </c>
      <c r="F2511" s="33" t="s">
        <v>79</v>
      </c>
      <c r="L2511" s="33" t="s">
        <v>737</v>
      </c>
      <c r="M2511" s="271">
        <f t="shared" si="929"/>
        <v>0.239984</v>
      </c>
      <c r="N2511" s="41">
        <v>1.936258676</v>
      </c>
      <c r="O2511" s="33">
        <v>20</v>
      </c>
      <c r="P2511" s="33">
        <v>4.2602952288419219E-5</v>
      </c>
      <c r="Q2511" s="33">
        <v>0.13007181484717079</v>
      </c>
      <c r="R2511" s="33">
        <v>19.081290127125772</v>
      </c>
      <c r="S2511" s="33">
        <v>3.3482849562837525E-6</v>
      </c>
      <c r="T2511" s="33">
        <v>5.9242662957660515E-3</v>
      </c>
      <c r="U2511" s="33">
        <v>6.4683048341107344E-2</v>
      </c>
      <c r="V2511" s="33">
        <v>1.2866484531799052E-2</v>
      </c>
      <c r="W2511" s="33">
        <v>5.8846659136908217</v>
      </c>
      <c r="X2511" s="33">
        <v>0.11300818257956824</v>
      </c>
      <c r="Y2511" s="33">
        <v>374.11288317020001</v>
      </c>
      <c r="Z2511" s="33">
        <v>5.8774711483112196E-2</v>
      </c>
      <c r="AA2511" s="33">
        <v>19.181656351190078</v>
      </c>
      <c r="AB2511" s="33">
        <v>19.174261047777645</v>
      </c>
      <c r="AC2511" s="33">
        <v>2.2052326607161211E-2</v>
      </c>
      <c r="AD2511" s="33">
        <v>2.947183274878592E-3</v>
      </c>
      <c r="AE2511" s="33">
        <v>4.1953564952190147E-6</v>
      </c>
      <c r="AF2511" s="33">
        <v>8.5907308505509844E-2</v>
      </c>
      <c r="AG2511" s="33">
        <v>1.265480927361824E-4</v>
      </c>
      <c r="AH2511" s="33">
        <v>2.9664258964227416E-2</v>
      </c>
      <c r="AI2511" s="33">
        <v>0.32613317864808311</v>
      </c>
      <c r="AJ2511" s="33">
        <v>8.7554962970715897E-2</v>
      </c>
      <c r="AK2511" s="33">
        <v>4.2602952288419219E-5</v>
      </c>
      <c r="AL2511" s="33">
        <v>276.08155334008933</v>
      </c>
      <c r="AM2511" s="33">
        <v>0.5511169739917845</v>
      </c>
      <c r="AN2511" s="33">
        <v>3.0949763771384757E-7</v>
      </c>
      <c r="AO2511" s="33">
        <v>1.2010349337849644</v>
      </c>
      <c r="AP2511" s="33">
        <v>176.02051590223914</v>
      </c>
      <c r="AQ2511" s="33">
        <v>3.3539774226808453E-8</v>
      </c>
      <c r="AR2511" s="33">
        <v>2.8758824293752918E-7</v>
      </c>
      <c r="AS2511" s="33">
        <v>43.427066604205763</v>
      </c>
      <c r="AT2511" s="33">
        <v>1.6814972040232914</v>
      </c>
      <c r="AU2511" s="33">
        <v>0</v>
      </c>
      <c r="AV2511" s="316">
        <v>4.8676091596196986</v>
      </c>
      <c r="AW2511" s="314">
        <v>0.14732184292577064</v>
      </c>
      <c r="AX2511" s="314">
        <v>2.0691535757717182E-4</v>
      </c>
      <c r="AY2511" s="316">
        <v>293.27191839120633</v>
      </c>
      <c r="AZ2511" s="33">
        <v>2.0515848668004532E-4</v>
      </c>
      <c r="BA2511" s="33">
        <v>0</v>
      </c>
      <c r="BB2511" s="33">
        <v>0</v>
      </c>
      <c r="BC2511" s="33">
        <v>2.1990517255456896E-2</v>
      </c>
      <c r="BD2511" s="33">
        <v>7.338443149323289E-4</v>
      </c>
      <c r="BE2511" s="33">
        <v>0.69060920946767024</v>
      </c>
      <c r="BF2511" s="33">
        <v>1.8788285962180813E-3</v>
      </c>
      <c r="BG2511" s="33">
        <v>0</v>
      </c>
      <c r="BH2511" s="33">
        <v>0</v>
      </c>
      <c r="BI2511" s="33">
        <v>0</v>
      </c>
      <c r="BJ2511" s="33">
        <v>0</v>
      </c>
      <c r="BK2511" s="33">
        <v>0</v>
      </c>
      <c r="BL2511" s="62">
        <v>0</v>
      </c>
      <c r="BM2511" s="275">
        <v>3</v>
      </c>
      <c r="BN2511" s="62">
        <v>0.05</v>
      </c>
      <c r="BO2511" s="33" t="s">
        <v>753</v>
      </c>
    </row>
    <row r="2512" spans="1:68">
      <c r="A2512" s="33" t="str">
        <f>Database_Productkaarten[[#This Row],[Product]]&amp;", "&amp;Database_Productkaarten[[#This Row],[Levensfase]]</f>
        <v>Totaalproduct, Houten Speeltoestel, C1</v>
      </c>
      <c r="B2512" s="33" t="s">
        <v>816</v>
      </c>
      <c r="C2512" s="33" t="s">
        <v>806</v>
      </c>
      <c r="D2512" s="33" t="s">
        <v>817</v>
      </c>
      <c r="E2512" s="33" t="s">
        <v>783</v>
      </c>
      <c r="F2512" s="33" t="s">
        <v>83</v>
      </c>
      <c r="L2512" s="33" t="s">
        <v>737</v>
      </c>
      <c r="M2512" s="271">
        <f t="shared" si="929"/>
        <v>0.239984</v>
      </c>
      <c r="N2512" s="41">
        <v>1.936258676</v>
      </c>
      <c r="O2512" s="33">
        <v>20</v>
      </c>
      <c r="P2512" s="33">
        <v>4.2602952288419219E-5</v>
      </c>
      <c r="Q2512" s="33">
        <v>0.13007181484717079</v>
      </c>
      <c r="R2512" s="33">
        <v>19.081290127125772</v>
      </c>
      <c r="S2512" s="33">
        <v>3.3482849562837525E-6</v>
      </c>
      <c r="T2512" s="33">
        <v>5.9242662957660515E-3</v>
      </c>
      <c r="U2512" s="33">
        <v>6.4683048341107344E-2</v>
      </c>
      <c r="V2512" s="33">
        <v>1.2866484531799052E-2</v>
      </c>
      <c r="W2512" s="33">
        <v>5.8846659136908217</v>
      </c>
      <c r="X2512" s="33">
        <v>0.11300818257956824</v>
      </c>
      <c r="Y2512" s="33">
        <v>374.11288317020001</v>
      </c>
      <c r="Z2512" s="33">
        <v>5.8774711483112196E-2</v>
      </c>
      <c r="AA2512" s="33">
        <v>19.181656351190078</v>
      </c>
      <c r="AB2512" s="33">
        <v>19.174261047777645</v>
      </c>
      <c r="AC2512" s="33">
        <v>2.2052326607161211E-2</v>
      </c>
      <c r="AD2512" s="33">
        <v>2.947183274878592E-3</v>
      </c>
      <c r="AE2512" s="33">
        <v>4.1953564952190147E-6</v>
      </c>
      <c r="AF2512" s="33">
        <v>8.5907308505509844E-2</v>
      </c>
      <c r="AG2512" s="33">
        <v>1.265480927361824E-4</v>
      </c>
      <c r="AH2512" s="33">
        <v>2.9664258964227416E-2</v>
      </c>
      <c r="AI2512" s="33">
        <v>0.32613317864808311</v>
      </c>
      <c r="AJ2512" s="33">
        <v>8.7554962970715897E-2</v>
      </c>
      <c r="AK2512" s="33">
        <v>4.2602952288419219E-5</v>
      </c>
      <c r="AL2512" s="33">
        <v>276.08155334008933</v>
      </c>
      <c r="AM2512" s="33">
        <v>0.5511169739917845</v>
      </c>
      <c r="AN2512" s="33">
        <v>3.0949763771384757E-7</v>
      </c>
      <c r="AO2512" s="33">
        <v>1.2010349337849644</v>
      </c>
      <c r="AP2512" s="33">
        <v>176.02051590223914</v>
      </c>
      <c r="AQ2512" s="33">
        <v>3.3539774226808453E-8</v>
      </c>
      <c r="AR2512" s="33">
        <v>2.8758824293752918E-7</v>
      </c>
      <c r="AS2512" s="33">
        <v>43.427066604205763</v>
      </c>
      <c r="AT2512" s="33">
        <v>1.6814972040232914</v>
      </c>
      <c r="AU2512" s="33">
        <v>0</v>
      </c>
      <c r="AV2512" s="316">
        <v>4.8676091596196986</v>
      </c>
      <c r="AW2512" s="314">
        <v>0.14732184292577064</v>
      </c>
      <c r="AX2512" s="314">
        <v>2.0691535757717182E-4</v>
      </c>
      <c r="AY2512" s="316">
        <v>293.27191839120633</v>
      </c>
      <c r="AZ2512" s="33">
        <v>2.0515848668004532E-4</v>
      </c>
      <c r="BA2512" s="33">
        <v>0</v>
      </c>
      <c r="BB2512" s="33">
        <v>0</v>
      </c>
      <c r="BC2512" s="33">
        <v>2.1990517255456896E-2</v>
      </c>
      <c r="BD2512" s="33">
        <v>7.338443149323289E-4</v>
      </c>
      <c r="BE2512" s="33">
        <v>0.69060920946767024</v>
      </c>
      <c r="BF2512" s="33">
        <v>1.8788285962180813E-3</v>
      </c>
      <c r="BG2512" s="33">
        <v>0</v>
      </c>
      <c r="BH2512" s="33">
        <v>0</v>
      </c>
      <c r="BI2512" s="33">
        <v>0</v>
      </c>
      <c r="BJ2512" s="33">
        <v>0</v>
      </c>
      <c r="BK2512" s="33">
        <v>0</v>
      </c>
      <c r="BL2512" s="62">
        <v>0</v>
      </c>
      <c r="BM2512" s="275">
        <v>3</v>
      </c>
      <c r="BN2512" s="62">
        <v>0.05</v>
      </c>
      <c r="BO2512" s="33" t="s">
        <v>753</v>
      </c>
    </row>
    <row r="2513" spans="1:68">
      <c r="A2513" s="33" t="str">
        <f>Database_Productkaarten[[#This Row],[Product]]&amp;", "&amp;Database_Productkaarten[[#This Row],[Levensfase]]</f>
        <v>Totaalproduct, Houten Speeltoestel, C2</v>
      </c>
      <c r="B2513" s="33" t="s">
        <v>816</v>
      </c>
      <c r="C2513" s="33" t="s">
        <v>806</v>
      </c>
      <c r="D2513" s="33" t="s">
        <v>817</v>
      </c>
      <c r="E2513" s="33" t="s">
        <v>783</v>
      </c>
      <c r="F2513" s="33" t="s">
        <v>84</v>
      </c>
      <c r="L2513" s="33" t="s">
        <v>737</v>
      </c>
      <c r="M2513" s="271">
        <f t="shared" si="929"/>
        <v>0.239984</v>
      </c>
      <c r="N2513" s="41">
        <v>9.6351287752559994E-2</v>
      </c>
      <c r="O2513" s="33">
        <v>20</v>
      </c>
      <c r="P2513" s="33">
        <v>3.542342875407E-4</v>
      </c>
      <c r="Q2513" s="33">
        <v>0.15388686716543998</v>
      </c>
      <c r="R2513" s="33">
        <v>20.621854158443998</v>
      </c>
      <c r="S2513" s="33">
        <v>3.9066813144689996E-6</v>
      </c>
      <c r="T2513" s="33">
        <v>1.2564489910034999E-2</v>
      </c>
      <c r="U2513" s="33">
        <v>5.3669108636519997E-2</v>
      </c>
      <c r="V2513" s="33">
        <v>8.8372977722880001E-3</v>
      </c>
      <c r="W2513" s="33">
        <v>4.4353672701569993</v>
      </c>
      <c r="X2513" s="33">
        <v>0.18639653704224002</v>
      </c>
      <c r="Y2513" s="33">
        <v>504.6921463626</v>
      </c>
      <c r="Z2513" s="33">
        <v>2.505263727093E-2</v>
      </c>
      <c r="AA2513" s="33">
        <v>20.799892776539998</v>
      </c>
      <c r="AB2513" s="33">
        <v>20.784691570076998</v>
      </c>
      <c r="AC2513" s="33">
        <v>1.0018811767068E-2</v>
      </c>
      <c r="AD2513" s="33">
        <v>5.1825420788939999E-3</v>
      </c>
      <c r="AE2513" s="33">
        <v>4.9082726532270005E-6</v>
      </c>
      <c r="AF2513" s="33">
        <v>6.6810987270480002E-2</v>
      </c>
      <c r="AG2513" s="33">
        <v>1.4478124890050998E-4</v>
      </c>
      <c r="AH2513" s="33">
        <v>1.5346104219729E-2</v>
      </c>
      <c r="AI2513" s="33">
        <v>0.17273359119351001</v>
      </c>
      <c r="AJ2513" s="33">
        <v>6.4661169496829998E-2</v>
      </c>
      <c r="AK2513" s="33">
        <v>3.542329642881E-4</v>
      </c>
      <c r="AL2513" s="33">
        <v>323.05539911489996</v>
      </c>
      <c r="AM2513" s="33">
        <v>1.3719184084229998</v>
      </c>
      <c r="AN2513" s="33">
        <v>1.4422556265995999E-6</v>
      </c>
      <c r="AO2513" s="33">
        <v>1.3871077968713998</v>
      </c>
      <c r="AP2513" s="33">
        <v>235.61404597769999</v>
      </c>
      <c r="AQ2513" s="33">
        <v>5.962723142268E-9</v>
      </c>
      <c r="AR2513" s="33">
        <v>1.9010252040671999E-7</v>
      </c>
      <c r="AS2513" s="33">
        <v>369.31913903370003</v>
      </c>
      <c r="AT2513" s="33">
        <v>0</v>
      </c>
      <c r="AU2513" s="33">
        <v>0</v>
      </c>
      <c r="AV2513" s="316">
        <v>3.3107987665769998</v>
      </c>
      <c r="AW2513" s="314">
        <v>0</v>
      </c>
      <c r="AX2513" s="314">
        <v>0</v>
      </c>
      <c r="AY2513" s="316">
        <v>343.11506438700002</v>
      </c>
      <c r="AZ2513" s="33">
        <v>0</v>
      </c>
      <c r="BA2513" s="33">
        <v>0</v>
      </c>
      <c r="BB2513" s="33">
        <v>0</v>
      </c>
      <c r="BC2513" s="33">
        <v>4.1260131706829996E-2</v>
      </c>
      <c r="BD2513" s="33">
        <v>7.9846471832459992E-4</v>
      </c>
      <c r="BE2513" s="33">
        <v>28.08366142473</v>
      </c>
      <c r="BF2513" s="33">
        <v>2.1939002685458999E-3</v>
      </c>
      <c r="BG2513" s="33">
        <v>0</v>
      </c>
      <c r="BH2513" s="33">
        <v>0</v>
      </c>
      <c r="BI2513" s="33">
        <v>0</v>
      </c>
      <c r="BJ2513" s="33">
        <v>0</v>
      </c>
      <c r="BK2513" s="33">
        <v>0</v>
      </c>
      <c r="BL2513" s="62">
        <v>0</v>
      </c>
      <c r="BM2513" s="275">
        <v>3</v>
      </c>
      <c r="BN2513" s="62">
        <v>0.05</v>
      </c>
      <c r="BO2513" s="33" t="s">
        <v>753</v>
      </c>
    </row>
    <row r="2514" spans="1:68">
      <c r="A2514" s="33" t="str">
        <f>Database_Productkaarten[[#This Row],[Product]]&amp;", "&amp;Database_Productkaarten[[#This Row],[Levensfase]]</f>
        <v>Totaalproduct, Houten Speeltoestel, C3</v>
      </c>
      <c r="B2514" s="33" t="s">
        <v>816</v>
      </c>
      <c r="C2514" s="33" t="s">
        <v>806</v>
      </c>
      <c r="D2514" s="33" t="s">
        <v>817</v>
      </c>
      <c r="E2514" s="33" t="s">
        <v>783</v>
      </c>
      <c r="F2514" s="33" t="s">
        <v>85</v>
      </c>
      <c r="L2514" s="33" t="s">
        <v>737</v>
      </c>
      <c r="M2514" s="271">
        <f t="shared" si="929"/>
        <v>0.239984</v>
      </c>
      <c r="N2514" s="41">
        <v>8.7222560000000005E-2</v>
      </c>
      <c r="O2514" s="33">
        <v>20</v>
      </c>
      <c r="P2514" s="33">
        <v>1.3008335999999999E-4</v>
      </c>
      <c r="Q2514" s="33">
        <v>3.7397120000000001E-3</v>
      </c>
      <c r="R2514" s="33">
        <v>0.56107840000000009</v>
      </c>
      <c r="S2514" s="33">
        <v>3.0168160000000001E-8</v>
      </c>
      <c r="T2514" s="33">
        <v>2.7977120000000002E-4</v>
      </c>
      <c r="U2514" s="33">
        <v>2.8053119999999999E-3</v>
      </c>
      <c r="V2514" s="33">
        <v>3.9518720000000004E-4</v>
      </c>
      <c r="W2514" s="33">
        <v>0.45480320000000002</v>
      </c>
      <c r="X2514" s="33">
        <v>4.9131163199999999E-3</v>
      </c>
      <c r="Y2514" s="33">
        <v>18.034496000000004</v>
      </c>
      <c r="Z2514" s="33">
        <v>2.2857840000000003E-3</v>
      </c>
      <c r="AA2514" s="33">
        <v>0.54876000000000003</v>
      </c>
      <c r="AB2514" s="33">
        <v>0.56835999999999998</v>
      </c>
      <c r="AC2514" s="33">
        <v>-2.04850624E-2</v>
      </c>
      <c r="AD2514" s="33">
        <v>7.8255679999999995E-4</v>
      </c>
      <c r="AE2514" s="33">
        <v>3.1275840000000004E-8</v>
      </c>
      <c r="AF2514" s="33">
        <v>3.7100640000000003E-3</v>
      </c>
      <c r="AG2514" s="33">
        <v>2.6875520000000002E-5</v>
      </c>
      <c r="AH2514" s="33">
        <v>6.0967680000000002E-4</v>
      </c>
      <c r="AI2514" s="33">
        <v>1.0037599199999999E-2</v>
      </c>
      <c r="AJ2514" s="33">
        <v>1.9857695999999998E-3</v>
      </c>
      <c r="AK2514" s="33">
        <v>1.3008335999999999E-4</v>
      </c>
      <c r="AL2514" s="33">
        <v>6.8117053158400003</v>
      </c>
      <c r="AM2514" s="33">
        <v>0.12016672</v>
      </c>
      <c r="AN2514" s="33">
        <v>3.8293439999999999E-8</v>
      </c>
      <c r="AO2514" s="33">
        <v>2.640224E-2</v>
      </c>
      <c r="AP2514" s="33">
        <v>13.030274073600001</v>
      </c>
      <c r="AQ2514" s="33">
        <v>8.6417439999999998E-10</v>
      </c>
      <c r="AR2514" s="33">
        <v>1.2908255999999999E-8</v>
      </c>
      <c r="AS2514" s="33">
        <v>8.9575782145600016</v>
      </c>
      <c r="AT2514" s="33">
        <v>0</v>
      </c>
      <c r="AU2514" s="33">
        <v>0</v>
      </c>
      <c r="AV2514" s="316">
        <v>1.0723263590400003</v>
      </c>
      <c r="AW2514" s="314">
        <v>0</v>
      </c>
      <c r="AX2514" s="314">
        <v>0</v>
      </c>
      <c r="AY2514" s="316">
        <v>7.2441481686399998</v>
      </c>
      <c r="AZ2514" s="33">
        <v>0</v>
      </c>
      <c r="BA2514" s="33">
        <v>0</v>
      </c>
      <c r="BB2514" s="33">
        <v>0</v>
      </c>
      <c r="BC2514" s="33">
        <v>4.4584012799999996E-3</v>
      </c>
      <c r="BD2514" s="33">
        <v>2.6198560000000001E-5</v>
      </c>
      <c r="BE2514" s="33">
        <v>0.27404210208000002</v>
      </c>
      <c r="BF2514" s="33">
        <v>2.1613087999999999E-5</v>
      </c>
      <c r="BG2514" s="33">
        <v>0</v>
      </c>
      <c r="BH2514" s="33">
        <v>0</v>
      </c>
      <c r="BI2514" s="33">
        <v>0</v>
      </c>
      <c r="BJ2514" s="33">
        <v>0</v>
      </c>
      <c r="BK2514" s="33">
        <v>0</v>
      </c>
      <c r="BL2514" s="62">
        <v>0</v>
      </c>
      <c r="BM2514" s="275">
        <v>3</v>
      </c>
      <c r="BN2514" s="62">
        <v>0.05</v>
      </c>
      <c r="BO2514" s="33" t="s">
        <v>753</v>
      </c>
    </row>
    <row r="2515" spans="1:68">
      <c r="A2515" s="33" t="str">
        <f>Database_Productkaarten[[#This Row],[Product]]&amp;", "&amp;Database_Productkaarten[[#This Row],[Levensfase]]</f>
        <v>Totaalproduct, Houten Speeltoestel, C4</v>
      </c>
      <c r="B2515" s="33" t="s">
        <v>816</v>
      </c>
      <c r="C2515" s="33" t="s">
        <v>806</v>
      </c>
      <c r="D2515" s="33" t="s">
        <v>817</v>
      </c>
      <c r="E2515" s="33" t="s">
        <v>783</v>
      </c>
      <c r="F2515" s="33" t="s">
        <v>86</v>
      </c>
      <c r="L2515" s="33" t="s">
        <v>737</v>
      </c>
      <c r="M2515" s="271">
        <f t="shared" si="929"/>
        <v>0.239984</v>
      </c>
      <c r="N2515" s="41">
        <v>0.86344941802710728</v>
      </c>
      <c r="O2515" s="33">
        <v>20</v>
      </c>
      <c r="P2515" s="33">
        <v>1.1593468100746399E-5</v>
      </c>
      <c r="Q2515" s="33">
        <v>1.0819369192953759E-2</v>
      </c>
      <c r="R2515" s="33">
        <v>2.562194911372992</v>
      </c>
      <c r="S2515" s="33">
        <v>2.2698219286782403E-7</v>
      </c>
      <c r="T2515" s="33">
        <v>8.0676455357082885E-3</v>
      </c>
      <c r="U2515" s="33">
        <v>4.1294582097140486E-2</v>
      </c>
      <c r="V2515" s="33">
        <v>1.0891081363492096E-2</v>
      </c>
      <c r="W2515" s="33">
        <v>4.9295056614099035</v>
      </c>
      <c r="X2515" s="33">
        <v>3.8660552532878881E-2</v>
      </c>
      <c r="Y2515" s="33">
        <v>99.563674547030416</v>
      </c>
      <c r="Z2515" s="33">
        <v>5.0860274359773123E-3</v>
      </c>
      <c r="AA2515" s="33">
        <v>283.19392004339181</v>
      </c>
      <c r="AB2515" s="33">
        <v>1.8148729671877921</v>
      </c>
      <c r="AC2515" s="33">
        <v>281.15662403174161</v>
      </c>
      <c r="AD2515" s="33">
        <v>5.1675454239988804E-4</v>
      </c>
      <c r="AE2515" s="33">
        <v>2.5406739222054405E-7</v>
      </c>
      <c r="AF2515" s="33">
        <v>6.0926807971703682E-2</v>
      </c>
      <c r="AG2515" s="33">
        <v>3.6982803430296961E-5</v>
      </c>
      <c r="AH2515" s="33">
        <v>2.8517178665342879E-2</v>
      </c>
      <c r="AI2515" s="33">
        <v>0.32428761626154884</v>
      </c>
      <c r="AJ2515" s="33">
        <v>8.5050615386504005E-2</v>
      </c>
      <c r="AK2515" s="33">
        <v>1.159346809953344E-5</v>
      </c>
      <c r="AL2515" s="33">
        <v>20.399612340409597</v>
      </c>
      <c r="AM2515" s="33">
        <v>0.74182966132723205</v>
      </c>
      <c r="AN2515" s="33">
        <v>5.0213254838473606E-7</v>
      </c>
      <c r="AO2515" s="33">
        <v>5.5808208075614402E-2</v>
      </c>
      <c r="AP2515" s="33">
        <v>46.350760979617924</v>
      </c>
      <c r="AQ2515" s="33">
        <v>5.6647415991028615E-8</v>
      </c>
      <c r="AR2515" s="33">
        <v>1.821210543987693E-7</v>
      </c>
      <c r="AS2515" s="33">
        <v>12.722445445792001</v>
      </c>
      <c r="AT2515" s="33">
        <v>0</v>
      </c>
      <c r="AU2515" s="33">
        <v>0</v>
      </c>
      <c r="AV2515" s="316">
        <v>0.82749881853236795</v>
      </c>
      <c r="AW2515" s="314">
        <v>0</v>
      </c>
      <c r="AX2515" s="314">
        <v>0</v>
      </c>
      <c r="AY2515" s="316">
        <v>21.921608183647997</v>
      </c>
      <c r="AZ2515" s="33">
        <v>0</v>
      </c>
      <c r="BA2515" s="33">
        <v>0</v>
      </c>
      <c r="BB2515" s="33">
        <v>0</v>
      </c>
      <c r="BC2515" s="33">
        <v>9.63253533438512E-2</v>
      </c>
      <c r="BD2515" s="33">
        <v>5.3712956768080002E-5</v>
      </c>
      <c r="BE2515" s="33">
        <v>13.2699742076144</v>
      </c>
      <c r="BF2515" s="33">
        <v>7.0588699087716802E-5</v>
      </c>
      <c r="BG2515" s="33">
        <v>0</v>
      </c>
      <c r="BH2515" s="33">
        <v>0</v>
      </c>
      <c r="BI2515" s="33">
        <v>0</v>
      </c>
      <c r="BJ2515" s="33">
        <v>0</v>
      </c>
      <c r="BK2515" s="33">
        <v>0</v>
      </c>
      <c r="BL2515" s="62">
        <v>0</v>
      </c>
      <c r="BM2515" s="275">
        <v>3</v>
      </c>
      <c r="BN2515" s="62">
        <v>0.05</v>
      </c>
      <c r="BO2515" s="33" t="s">
        <v>753</v>
      </c>
    </row>
    <row r="2516" spans="1:68">
      <c r="A2516" s="33" t="str">
        <f>Database_Productkaarten[[#This Row],[Product]]&amp;", "&amp;Database_Productkaarten[[#This Row],[Levensfase]]</f>
        <v>Totaalproduct, Houten Speeltoestel, D</v>
      </c>
      <c r="B2516" s="33" t="s">
        <v>816</v>
      </c>
      <c r="C2516" s="33" t="s">
        <v>806</v>
      </c>
      <c r="D2516" s="33" t="s">
        <v>817</v>
      </c>
      <c r="E2516" s="33" t="s">
        <v>783</v>
      </c>
      <c r="F2516" s="33" t="s">
        <v>89</v>
      </c>
      <c r="L2516" s="33" t="s">
        <v>737</v>
      </c>
      <c r="M2516" s="271">
        <f t="shared" si="929"/>
        <v>0.239984</v>
      </c>
      <c r="N2516" s="41">
        <v>-1.4671984000000002</v>
      </c>
      <c r="O2516" s="33">
        <v>20</v>
      </c>
      <c r="P2516" s="33">
        <v>-1.0564609968000001E-4</v>
      </c>
      <c r="Q2516" s="33">
        <v>-6.3085028959999952E-3</v>
      </c>
      <c r="R2516" s="33">
        <v>-1.1804210400000001</v>
      </c>
      <c r="S2516" s="33">
        <v>-3.0851920000000256E-9</v>
      </c>
      <c r="T2516" s="33">
        <v>-2.3941276000000004E-3</v>
      </c>
      <c r="U2516" s="33">
        <v>-1.9382217600000001E-2</v>
      </c>
      <c r="V2516" s="33">
        <v>-5.5387033600000019E-3</v>
      </c>
      <c r="W2516" s="33">
        <v>-1.7570697600000003</v>
      </c>
      <c r="X2516" s="33">
        <v>-1.4486796E-2</v>
      </c>
      <c r="Y2516" s="33">
        <v>-3.1185760559679974</v>
      </c>
      <c r="Z2516" s="33">
        <v>2.5640143999999978E-3</v>
      </c>
      <c r="AA2516" s="33">
        <v>39.690018798288001</v>
      </c>
      <c r="AB2516" s="33">
        <v>-1.2528627199999993</v>
      </c>
      <c r="AC2516" s="33">
        <v>41.029817740953611</v>
      </c>
      <c r="AD2516" s="33">
        <v>-1.3118834399999998E-2</v>
      </c>
      <c r="AE2516" s="33">
        <v>7.9960088000000024E-8</v>
      </c>
      <c r="AF2516" s="33">
        <v>-2.9364863999999997E-2</v>
      </c>
      <c r="AG2516" s="33">
        <v>-1.8622478400000004E-4</v>
      </c>
      <c r="AH2516" s="33">
        <v>-6.981966E-3</v>
      </c>
      <c r="AI2516" s="33">
        <v>-0.122126832</v>
      </c>
      <c r="AJ2516" s="33">
        <v>-1.9436431136000007E-2</v>
      </c>
      <c r="AK2516" s="33">
        <v>-1.0564609968000001E-4</v>
      </c>
      <c r="AL2516" s="33">
        <v>-7.7231225434559985</v>
      </c>
      <c r="AM2516" s="33">
        <v>-0.34567117120000002</v>
      </c>
      <c r="AN2516" s="33">
        <v>-1.139356792E-6</v>
      </c>
      <c r="AO2516" s="33">
        <v>-1.4413415596800044E-2</v>
      </c>
      <c r="AP2516" s="33">
        <v>-281.13455373120001</v>
      </c>
      <c r="AQ2516" s="33">
        <v>-3.8230612800000006E-9</v>
      </c>
      <c r="AR2516" s="33">
        <v>-4.7291484000000018E-8</v>
      </c>
      <c r="AS2516" s="33">
        <v>-4457.8559931960317</v>
      </c>
      <c r="AT2516" s="33">
        <v>0</v>
      </c>
      <c r="AU2516" s="33">
        <v>0</v>
      </c>
      <c r="AV2516" s="316">
        <v>-726.52398213639685</v>
      </c>
      <c r="AW2516" s="314">
        <v>0</v>
      </c>
      <c r="AX2516" s="314">
        <v>0</v>
      </c>
      <c r="AY2516" s="316">
        <v>-8.4396558332800051</v>
      </c>
      <c r="AZ2516" s="33">
        <v>0</v>
      </c>
      <c r="BA2516" s="33">
        <v>0</v>
      </c>
      <c r="BB2516" s="33">
        <v>0</v>
      </c>
      <c r="BC2516" s="33">
        <v>-1.2891814500000001E-2</v>
      </c>
      <c r="BD2516" s="33">
        <v>-9.0195824000000027E-5</v>
      </c>
      <c r="BE2516" s="33">
        <v>1.5172865567999998</v>
      </c>
      <c r="BF2516" s="33">
        <v>5.2334163200000013E-5</v>
      </c>
      <c r="BG2516" s="33">
        <v>0</v>
      </c>
      <c r="BH2516" s="33">
        <v>0</v>
      </c>
      <c r="BI2516" s="33">
        <v>0</v>
      </c>
      <c r="BJ2516" s="33">
        <v>0</v>
      </c>
      <c r="BK2516" s="33">
        <v>0</v>
      </c>
      <c r="BL2516" s="62">
        <v>0</v>
      </c>
      <c r="BM2516" s="275">
        <v>3</v>
      </c>
      <c r="BN2516" s="62">
        <v>0.05</v>
      </c>
      <c r="BO2516" s="33" t="s">
        <v>753</v>
      </c>
    </row>
    <row r="2517" spans="1:68">
      <c r="A2517" s="33" t="str">
        <f>Database_Productkaarten[[#This Row],[Product]]&amp;", "&amp;Database_Productkaarten[[#This Row],[Levensfase]]</f>
        <v>Deelproduct, Staanders, Houten Speeltoestel, Totaal</v>
      </c>
      <c r="B2517" s="33" t="s">
        <v>818</v>
      </c>
      <c r="C2517" s="33" t="s">
        <v>806</v>
      </c>
      <c r="D2517" s="33" t="s">
        <v>817</v>
      </c>
      <c r="E2517" s="33" t="s">
        <v>783</v>
      </c>
      <c r="F2517" s="33" t="s">
        <v>90</v>
      </c>
      <c r="M2517" s="271">
        <f>227.844/1000</f>
        <v>0.22784399999999999</v>
      </c>
      <c r="N2517" s="41">
        <v>22.599845243159105</v>
      </c>
      <c r="O2517" s="33">
        <v>20</v>
      </c>
      <c r="P2517" s="33">
        <v>3.531808265814256E-3</v>
      </c>
      <c r="Q2517" s="33">
        <v>1.6274362852245476</v>
      </c>
      <c r="R2517" s="33">
        <v>232.73294101597381</v>
      </c>
      <c r="S2517" s="33">
        <v>3.3786107981595607E-5</v>
      </c>
      <c r="T2517" s="33">
        <v>0.17507037943807408</v>
      </c>
      <c r="U2517" s="33">
        <v>0.92703491625739975</v>
      </c>
      <c r="V2517" s="33">
        <v>0.19012221265541507</v>
      </c>
      <c r="W2517" s="33">
        <v>97.04385487365046</v>
      </c>
      <c r="X2517" s="33">
        <v>2.3437660209310858</v>
      </c>
      <c r="Y2517" s="33">
        <v>6868.0212020278359</v>
      </c>
      <c r="Z2517" s="33">
        <v>0.67398584964379282</v>
      </c>
      <c r="AA2517" s="33">
        <v>-46.878495924641378</v>
      </c>
      <c r="AB2517" s="33">
        <v>233.58510876563648</v>
      </c>
      <c r="AC2517" s="33">
        <v>-281.5401269149117</v>
      </c>
      <c r="AD2517" s="33">
        <v>0.58361716918788753</v>
      </c>
      <c r="AE2517" s="33">
        <v>4.1018137766343092E-5</v>
      </c>
      <c r="AF2517" s="33">
        <v>1.1957311792719039</v>
      </c>
      <c r="AG2517" s="33">
        <v>1.2315188137031745E-2</v>
      </c>
      <c r="AH2517" s="33">
        <v>0.36048171836322729</v>
      </c>
      <c r="AI2517" s="33">
        <v>3.9567222523822081</v>
      </c>
      <c r="AJ2517" s="33">
        <v>1.2515518054485579</v>
      </c>
      <c r="AK2517" s="33">
        <v>3.5318040829730429E-3</v>
      </c>
      <c r="AL2517" s="33">
        <v>3380.1530121058777</v>
      </c>
      <c r="AM2517" s="33">
        <v>21.706320268874116</v>
      </c>
      <c r="AN2517" s="33">
        <v>2.2926616784023409E-5</v>
      </c>
      <c r="AO2517" s="33">
        <v>15.196831633694286</v>
      </c>
      <c r="AP2517" s="33">
        <v>3104.141322984316</v>
      </c>
      <c r="AQ2517" s="33">
        <v>2.2631502453941258E-7</v>
      </c>
      <c r="AR2517" s="33">
        <v>3.4959625710555526E-6</v>
      </c>
      <c r="AS2517" s="33">
        <v>33002.684946701826</v>
      </c>
      <c r="AT2517" s="33">
        <v>3.1928896196999998</v>
      </c>
      <c r="AU2517" s="33">
        <v>0</v>
      </c>
      <c r="AV2517" s="316">
        <v>6348.8804477282565</v>
      </c>
      <c r="AW2517" s="314">
        <v>0.27974021122799997</v>
      </c>
      <c r="AX2517" s="314">
        <v>3.9289860000000002E-4</v>
      </c>
      <c r="AY2517" s="316">
        <v>3592.7676599870128</v>
      </c>
      <c r="AZ2517" s="33">
        <v>3.8956258799999996E-4</v>
      </c>
      <c r="BA2517" s="33">
        <v>0</v>
      </c>
      <c r="BB2517" s="33">
        <v>0</v>
      </c>
      <c r="BC2517" s="33">
        <v>1.6183011958418316</v>
      </c>
      <c r="BD2517" s="33">
        <v>8.0591844669148285E-3</v>
      </c>
      <c r="BE2517" s="33">
        <v>166.64795171459002</v>
      </c>
      <c r="BF2517" s="33">
        <v>2.0747399441041411E-2</v>
      </c>
      <c r="BG2517" s="33">
        <v>0</v>
      </c>
      <c r="BH2517" s="33">
        <v>0</v>
      </c>
      <c r="BI2517" s="33">
        <v>0</v>
      </c>
      <c r="BJ2517" s="33">
        <v>0</v>
      </c>
      <c r="BK2517" s="33">
        <v>0</v>
      </c>
      <c r="BL2517" s="62">
        <v>0</v>
      </c>
      <c r="BM2517" s="275">
        <v>3</v>
      </c>
      <c r="BN2517" s="62">
        <v>0.05</v>
      </c>
      <c r="BO2517" s="33" t="s">
        <v>753</v>
      </c>
    </row>
    <row r="2518" spans="1:68">
      <c r="A2518" s="33" t="str">
        <f>Database_Productkaarten[[#This Row],[Product]]&amp;", "&amp;Database_Productkaarten[[#This Row],[Levensfase]]</f>
        <v>Deelproduct, Staanders, Houten Speeltoestel, A1</v>
      </c>
      <c r="B2518" s="33" t="s">
        <v>818</v>
      </c>
      <c r="C2518" s="33" t="s">
        <v>806</v>
      </c>
      <c r="D2518" s="33" t="s">
        <v>817</v>
      </c>
      <c r="E2518" s="33" t="s">
        <v>783</v>
      </c>
      <c r="F2518" s="33" t="s">
        <v>74</v>
      </c>
      <c r="M2518" s="271">
        <f t="shared" ref="M2518:M2528" si="932">227.844/1000</f>
        <v>0.22784399999999999</v>
      </c>
      <c r="N2518" s="41">
        <v>13.3018236544</v>
      </c>
      <c r="O2518" s="33">
        <v>20</v>
      </c>
      <c r="P2518" s="33">
        <v>1.9503140311999999E-3</v>
      </c>
      <c r="Q2518" s="33">
        <v>0.61855037832000004</v>
      </c>
      <c r="R2518" s="33">
        <v>86.20878256799999</v>
      </c>
      <c r="S2518" s="33">
        <v>1.2919923042080002E-5</v>
      </c>
      <c r="T2518" s="33">
        <v>0.11031806619839998</v>
      </c>
      <c r="U2518" s="33">
        <v>0.43966222527999999</v>
      </c>
      <c r="V2518" s="33">
        <v>9.8112830715199995E-2</v>
      </c>
      <c r="W2518" s="33">
        <v>62.669150447999996</v>
      </c>
      <c r="X2518" s="33">
        <v>1.3068152776319997</v>
      </c>
      <c r="Y2518" s="33">
        <v>3449.9551820800002</v>
      </c>
      <c r="Z2518" s="33">
        <v>0.30518240172799999</v>
      </c>
      <c r="AA2518" s="33">
        <v>-496.93184598399995</v>
      </c>
      <c r="AB2518" s="33">
        <v>86.92446834399999</v>
      </c>
      <c r="AC2518" s="33">
        <v>-584.76739350391995</v>
      </c>
      <c r="AD2518" s="33">
        <v>0.52653655509600006</v>
      </c>
      <c r="AE2518" s="33">
        <v>1.5974570058239999E-5</v>
      </c>
      <c r="AF2518" s="33">
        <v>0.58223417694400004</v>
      </c>
      <c r="AG2518" s="33">
        <v>4.5131947966399995E-3</v>
      </c>
      <c r="AH2518" s="33">
        <v>0.20013270366559999</v>
      </c>
      <c r="AI2518" s="33">
        <v>2.2013846193599997</v>
      </c>
      <c r="AJ2518" s="33">
        <v>0.71529310924799994</v>
      </c>
      <c r="AK2518" s="33">
        <v>1.95031387008E-3</v>
      </c>
      <c r="AL2518" s="33">
        <v>1254.7012059360002</v>
      </c>
      <c r="AM2518" s="33">
        <v>8.6837629137600008</v>
      </c>
      <c r="AN2518" s="33">
        <v>1.7755644732319997E-5</v>
      </c>
      <c r="AO2518" s="33">
        <v>5.3131890675199998</v>
      </c>
      <c r="AP2518" s="33">
        <v>1894.4944382399999</v>
      </c>
      <c r="AQ2518" s="33">
        <v>8.1560772639999995E-8</v>
      </c>
      <c r="AR2518" s="33">
        <v>1.8422683379199999E-6</v>
      </c>
      <c r="AS2518" s="33">
        <v>35731.447717823998</v>
      </c>
      <c r="AT2518" s="33">
        <v>0</v>
      </c>
      <c r="AU2518" s="33">
        <v>0</v>
      </c>
      <c r="AV2518" s="316">
        <v>6943.8175665759991</v>
      </c>
      <c r="AW2518" s="314">
        <v>0</v>
      </c>
      <c r="AX2518" s="314">
        <v>0</v>
      </c>
      <c r="AY2518" s="316">
        <v>1330.7389481119999</v>
      </c>
      <c r="AZ2518" s="33">
        <v>0</v>
      </c>
      <c r="BA2518" s="33">
        <v>0</v>
      </c>
      <c r="BB2518" s="33">
        <v>0</v>
      </c>
      <c r="BC2518" s="33">
        <v>0.30666841813599999</v>
      </c>
      <c r="BD2518" s="33">
        <v>3.8980533807999999E-3</v>
      </c>
      <c r="BE2518" s="33">
        <v>61.476131529600003</v>
      </c>
      <c r="BF2518" s="33">
        <v>7.5181955532799992E-3</v>
      </c>
      <c r="BG2518" s="33">
        <v>0</v>
      </c>
      <c r="BH2518" s="33">
        <v>0</v>
      </c>
      <c r="BI2518" s="33">
        <v>0</v>
      </c>
      <c r="BJ2518" s="33">
        <v>0</v>
      </c>
      <c r="BK2518" s="33">
        <v>0</v>
      </c>
      <c r="BL2518" s="62">
        <v>0</v>
      </c>
      <c r="BM2518" s="275">
        <v>3</v>
      </c>
      <c r="BN2518" s="62">
        <v>0.05</v>
      </c>
      <c r="BO2518" s="33" t="s">
        <v>753</v>
      </c>
    </row>
    <row r="2519" spans="1:68">
      <c r="A2519" s="33" t="str">
        <f>Database_Productkaarten[[#This Row],[Product]]&amp;", "&amp;Database_Productkaarten[[#This Row],[Levensfase]]</f>
        <v>Deelproduct, Staanders, Houten Speeltoestel, A2</v>
      </c>
      <c r="B2519" s="33" t="s">
        <v>818</v>
      </c>
      <c r="C2519" s="33" t="s">
        <v>806</v>
      </c>
      <c r="D2519" s="33" t="s">
        <v>817</v>
      </c>
      <c r="E2519" s="33" t="s">
        <v>783</v>
      </c>
      <c r="F2519" s="33" t="s">
        <v>75</v>
      </c>
      <c r="M2519" s="271">
        <f t="shared" si="932"/>
        <v>0.22784399999999999</v>
      </c>
      <c r="N2519" s="41">
        <v>9.1477193507459989E-2</v>
      </c>
      <c r="O2519" s="33">
        <v>20</v>
      </c>
      <c r="P2519" s="33">
        <v>3.53291824074E-4</v>
      </c>
      <c r="Q2519" s="33">
        <v>0.15347744110079997</v>
      </c>
      <c r="R2519" s="33">
        <v>20.566988368079997</v>
      </c>
      <c r="S2519" s="33">
        <v>3.8962873335799999E-6</v>
      </c>
      <c r="T2519" s="33">
        <v>1.2531061263699999E-2</v>
      </c>
      <c r="U2519" s="33">
        <v>5.3526318466399998E-2</v>
      </c>
      <c r="V2519" s="33">
        <v>8.8137855641599993E-3</v>
      </c>
      <c r="W2519" s="33">
        <v>4.4235666857399991</v>
      </c>
      <c r="X2519" s="33">
        <v>0.18590061687680001</v>
      </c>
      <c r="Y2519" s="33">
        <v>503.34937993199998</v>
      </c>
      <c r="Z2519" s="33">
        <v>2.49859830926E-2</v>
      </c>
      <c r="AA2519" s="33">
        <v>20.7445533028</v>
      </c>
      <c r="AB2519" s="33">
        <v>20.729392540139997</v>
      </c>
      <c r="AC2519" s="33">
        <v>9.9921560637599993E-3</v>
      </c>
      <c r="AD2519" s="33">
        <v>5.16875358708E-3</v>
      </c>
      <c r="AE2519" s="33">
        <v>4.8952138731400001E-6</v>
      </c>
      <c r="AF2519" s="33">
        <v>6.6633232273600004E-2</v>
      </c>
      <c r="AG2519" s="33">
        <v>1.4439604892819998E-4</v>
      </c>
      <c r="AH2519" s="33">
        <v>1.5305274906780001E-2</v>
      </c>
      <c r="AI2519" s="33">
        <v>0.17227402218820001</v>
      </c>
      <c r="AJ2519" s="33">
        <v>6.4489134230600001E-2</v>
      </c>
      <c r="AK2519" s="33">
        <v>3.5329050434199999E-4</v>
      </c>
      <c r="AL2519" s="33">
        <v>322.19588911799997</v>
      </c>
      <c r="AM2519" s="33">
        <v>1.3682683298599998</v>
      </c>
      <c r="AN2519" s="33">
        <v>1.4384184112719999E-6</v>
      </c>
      <c r="AO2519" s="33">
        <v>1.3834173059479999</v>
      </c>
      <c r="AP2519" s="33">
        <v>234.987179414</v>
      </c>
      <c r="AQ2519" s="33">
        <v>5.9468589277600001E-9</v>
      </c>
      <c r="AR2519" s="33">
        <v>1.8959674023039999E-7</v>
      </c>
      <c r="AS2519" s="33">
        <v>368.336541334</v>
      </c>
      <c r="AT2519" s="33">
        <v>0</v>
      </c>
      <c r="AU2519" s="33">
        <v>0</v>
      </c>
      <c r="AV2519" s="316">
        <v>3.3019901701399998</v>
      </c>
      <c r="AW2519" s="314">
        <v>0</v>
      </c>
      <c r="AX2519" s="314">
        <v>0</v>
      </c>
      <c r="AY2519" s="316">
        <v>342.20218434000003</v>
      </c>
      <c r="AZ2519" s="33">
        <v>0</v>
      </c>
      <c r="BA2519" s="33">
        <v>0</v>
      </c>
      <c r="BB2519" s="33">
        <v>0</v>
      </c>
      <c r="BC2519" s="33">
        <v>4.1150356430599999E-2</v>
      </c>
      <c r="BD2519" s="33">
        <v>7.9634035077199997E-4</v>
      </c>
      <c r="BE2519" s="33">
        <v>28.008943008599999</v>
      </c>
      <c r="BF2519" s="33">
        <v>2.1880632535379997E-3</v>
      </c>
      <c r="BG2519" s="33">
        <v>0</v>
      </c>
      <c r="BH2519" s="33">
        <v>0</v>
      </c>
      <c r="BI2519" s="33">
        <v>0</v>
      </c>
      <c r="BJ2519" s="33">
        <v>0</v>
      </c>
      <c r="BK2519" s="33">
        <v>0</v>
      </c>
      <c r="BL2519" s="62">
        <v>0</v>
      </c>
      <c r="BM2519" s="275">
        <v>3</v>
      </c>
      <c r="BN2519" s="62">
        <v>0.05</v>
      </c>
      <c r="BO2519" s="33" t="s">
        <v>753</v>
      </c>
    </row>
    <row r="2520" spans="1:68">
      <c r="A2520" s="33" t="str">
        <f>Database_Productkaarten[[#This Row],[Product]]&amp;", "&amp;Database_Productkaarten[[#This Row],[Levensfase]]</f>
        <v>Deelproduct, Staanders, Houten Speeltoestel, A3</v>
      </c>
      <c r="B2520" s="33" t="s">
        <v>818</v>
      </c>
      <c r="C2520" s="33" t="s">
        <v>806</v>
      </c>
      <c r="D2520" s="33" t="s">
        <v>817</v>
      </c>
      <c r="E2520" s="33" t="s">
        <v>783</v>
      </c>
      <c r="F2520" s="33" t="s">
        <v>76</v>
      </c>
      <c r="M2520" s="271">
        <f t="shared" si="932"/>
        <v>0.22784399999999999</v>
      </c>
      <c r="N2520" s="41">
        <v>4.0168395294560844</v>
      </c>
      <c r="O2520" s="33">
        <v>20</v>
      </c>
      <c r="P2520" s="33">
        <v>3.801456526535102E-4</v>
      </c>
      <c r="Q2520" s="33">
        <v>0.283364291909594</v>
      </c>
      <c r="R2520" s="33">
        <v>45.356567377488901</v>
      </c>
      <c r="S2520" s="33">
        <v>2.3290627168477899E-6</v>
      </c>
      <c r="T2520" s="33">
        <v>9.1414524869657988E-3</v>
      </c>
      <c r="U2520" s="33">
        <v>0.17582584213825922</v>
      </c>
      <c r="V2520" s="33">
        <v>3.4774876395123007E-2</v>
      </c>
      <c r="W2520" s="33">
        <v>6.0827282561205749</v>
      </c>
      <c r="X2520" s="33">
        <v>0.22161223000620708</v>
      </c>
      <c r="Y2520" s="33">
        <v>1047.9260042303745</v>
      </c>
      <c r="Z2520" s="33">
        <v>0.16945995593381558</v>
      </c>
      <c r="AA2520" s="33">
        <v>45.902727909678639</v>
      </c>
      <c r="AB2520" s="33">
        <v>45.5904578850487</v>
      </c>
      <c r="AC2520" s="33">
        <v>0.26878169012159142</v>
      </c>
      <c r="AD2520" s="33">
        <v>4.4279936514687639E-2</v>
      </c>
      <c r="AE2520" s="33">
        <v>1.7327172384825655E-6</v>
      </c>
      <c r="AF2520" s="33">
        <v>0.21098308410420027</v>
      </c>
      <c r="AG2520" s="33">
        <v>7.2157745917394494E-3</v>
      </c>
      <c r="AH2520" s="33">
        <v>3.5361543364484299E-2</v>
      </c>
      <c r="AI2520" s="33">
        <v>0.39868717154265948</v>
      </c>
      <c r="AJ2520" s="33">
        <v>0.10579778841205414</v>
      </c>
      <c r="AK2520" s="33">
        <v>3.801456526535102E-4</v>
      </c>
      <c r="AL2520" s="33">
        <v>594.68972656866322</v>
      </c>
      <c r="AM2520" s="33">
        <v>7.276095799702893</v>
      </c>
      <c r="AN2520" s="33">
        <v>6.8000398019867982E-7</v>
      </c>
      <c r="AO2520" s="33">
        <v>3.2958980862354723</v>
      </c>
      <c r="AP2520" s="33">
        <v>360.99344584114868</v>
      </c>
      <c r="AQ2520" s="33">
        <v>1.168063175878392E-8</v>
      </c>
      <c r="AR2520" s="33">
        <v>3.775417917527835E-7</v>
      </c>
      <c r="AS2520" s="33">
        <v>96.865793253039001</v>
      </c>
      <c r="AT2520" s="33">
        <v>0</v>
      </c>
      <c r="AU2520" s="33">
        <v>0</v>
      </c>
      <c r="AV2520" s="316">
        <v>38.523487284600932</v>
      </c>
      <c r="AW2520" s="314">
        <v>0</v>
      </c>
      <c r="AX2520" s="314">
        <v>0</v>
      </c>
      <c r="AY2520" s="316">
        <v>636.10665743144546</v>
      </c>
      <c r="AZ2520" s="33">
        <v>0</v>
      </c>
      <c r="BA2520" s="33">
        <v>0</v>
      </c>
      <c r="BB2520" s="33">
        <v>0</v>
      </c>
      <c r="BC2520" s="33">
        <v>1.0595666017559804</v>
      </c>
      <c r="BD2520" s="33">
        <v>3.3296095122674845E-4</v>
      </c>
      <c r="BE2520" s="33">
        <v>3.9063507444536136</v>
      </c>
      <c r="BF2520" s="33">
        <v>2.8185249554936996E-3</v>
      </c>
      <c r="BG2520" s="33">
        <v>0</v>
      </c>
      <c r="BH2520" s="33">
        <v>0</v>
      </c>
      <c r="BI2520" s="33">
        <v>0</v>
      </c>
      <c r="BJ2520" s="33">
        <v>0</v>
      </c>
      <c r="BK2520" s="33">
        <v>0</v>
      </c>
      <c r="BL2520" s="62">
        <v>0</v>
      </c>
      <c r="BM2520" s="275">
        <v>3</v>
      </c>
      <c r="BN2520" s="62">
        <v>0.05</v>
      </c>
      <c r="BO2520" s="33" t="s">
        <v>753</v>
      </c>
    </row>
    <row r="2521" spans="1:68">
      <c r="A2521" s="451" t="str">
        <f>Database_Productkaarten[[#This Row],[Product]]&amp;", "&amp;Database_Productkaarten[[#This Row],[Levensfase]]</f>
        <v>Deelproduct, Staanders, Houten Speeltoestel, A1-A3</v>
      </c>
      <c r="B2521" s="451" t="str">
        <f>B2520</f>
        <v>Deelproduct, Staanders, Houten Speeltoestel</v>
      </c>
      <c r="C2521" s="451" t="str">
        <f>C2520</f>
        <v>Speeltoestel</v>
      </c>
      <c r="D2521" s="451" t="str">
        <f>D2520</f>
        <v>Houten Speeltoestel</v>
      </c>
      <c r="E2521" s="451" t="str">
        <f>E2520</f>
        <v>Stuk</v>
      </c>
      <c r="F2521" s="451" t="s">
        <v>77</v>
      </c>
      <c r="G2521" s="451">
        <f t="shared" ref="G2521:M2521" si="933">G2520</f>
        <v>0</v>
      </c>
      <c r="H2521" s="451">
        <f t="shared" si="933"/>
        <v>0</v>
      </c>
      <c r="I2521" s="451">
        <f t="shared" si="933"/>
        <v>0</v>
      </c>
      <c r="J2521" s="451">
        <f t="shared" si="933"/>
        <v>0</v>
      </c>
      <c r="K2521" s="451">
        <f t="shared" si="933"/>
        <v>0</v>
      </c>
      <c r="L2521" s="451">
        <f t="shared" si="933"/>
        <v>0</v>
      </c>
      <c r="M2521" s="454">
        <f t="shared" si="933"/>
        <v>0.22784399999999999</v>
      </c>
      <c r="N2521" s="452">
        <f>SUM(N2518:N2520)</f>
        <v>17.410140377363543</v>
      </c>
      <c r="O2521" s="451">
        <f>O2520</f>
        <v>20</v>
      </c>
      <c r="P2521" s="453">
        <f t="shared" ref="P2521:BK2521" si="934">SUM(P2518:P2520)</f>
        <v>2.6837515079275102E-3</v>
      </c>
      <c r="Q2521" s="453">
        <f t="shared" si="934"/>
        <v>1.0553921113303941</v>
      </c>
      <c r="R2521" s="453">
        <f t="shared" si="934"/>
        <v>152.13233831356888</v>
      </c>
      <c r="S2521" s="453">
        <f t="shared" si="934"/>
        <v>1.9145273092507789E-5</v>
      </c>
      <c r="T2521" s="453">
        <f t="shared" si="934"/>
        <v>0.13199057994906579</v>
      </c>
      <c r="U2521" s="453">
        <f t="shared" si="934"/>
        <v>0.66901438588465922</v>
      </c>
      <c r="V2521" s="453">
        <f t="shared" si="934"/>
        <v>0.14170149267448301</v>
      </c>
      <c r="W2521" s="453">
        <f t="shared" si="934"/>
        <v>73.17544538986057</v>
      </c>
      <c r="X2521" s="453">
        <f t="shared" si="934"/>
        <v>1.7143281245150068</v>
      </c>
      <c r="Y2521" s="453">
        <f t="shared" si="934"/>
        <v>5001.2305662423751</v>
      </c>
      <c r="Z2521" s="453">
        <f t="shared" si="934"/>
        <v>0.49962834075441553</v>
      </c>
      <c r="AA2521" s="453">
        <f t="shared" si="934"/>
        <v>-430.28456477152133</v>
      </c>
      <c r="AB2521" s="453">
        <f t="shared" si="934"/>
        <v>153.24431876918868</v>
      </c>
      <c r="AC2521" s="453">
        <f t="shared" si="934"/>
        <v>-584.4886196577346</v>
      </c>
      <c r="AD2521" s="453">
        <f t="shared" si="934"/>
        <v>0.57598524519776773</v>
      </c>
      <c r="AE2521" s="453">
        <f t="shared" si="934"/>
        <v>2.2602501169862563E-5</v>
      </c>
      <c r="AF2521" s="453">
        <f t="shared" si="934"/>
        <v>0.8598504933218003</v>
      </c>
      <c r="AG2521" s="453">
        <f t="shared" si="934"/>
        <v>1.1873365437307649E-2</v>
      </c>
      <c r="AH2521" s="453">
        <f t="shared" si="934"/>
        <v>0.25079952193686428</v>
      </c>
      <c r="AI2521" s="453">
        <f t="shared" si="934"/>
        <v>2.7723458130908591</v>
      </c>
      <c r="AJ2521" s="453">
        <f t="shared" si="934"/>
        <v>0.88558003189065404</v>
      </c>
      <c r="AK2521" s="453">
        <f t="shared" si="934"/>
        <v>2.6837500270755102E-3</v>
      </c>
      <c r="AL2521" s="453">
        <f t="shared" si="934"/>
        <v>2171.5868216226636</v>
      </c>
      <c r="AM2521" s="453">
        <f t="shared" si="934"/>
        <v>17.328127043322894</v>
      </c>
      <c r="AN2521" s="453">
        <f t="shared" si="934"/>
        <v>1.9874067123790677E-5</v>
      </c>
      <c r="AO2521" s="453">
        <f t="shared" si="934"/>
        <v>9.992504459703472</v>
      </c>
      <c r="AP2521" s="453">
        <f t="shared" si="934"/>
        <v>2490.4750634951483</v>
      </c>
      <c r="AQ2521" s="453">
        <f t="shared" si="934"/>
        <v>9.9188263326543909E-8</v>
      </c>
      <c r="AR2521" s="453">
        <f t="shared" si="934"/>
        <v>2.4094068699031832E-6</v>
      </c>
      <c r="AS2521" s="453">
        <f t="shared" si="934"/>
        <v>36196.650052411038</v>
      </c>
      <c r="AT2521" s="453">
        <f t="shared" si="934"/>
        <v>0</v>
      </c>
      <c r="AU2521" s="453">
        <f t="shared" si="934"/>
        <v>0</v>
      </c>
      <c r="AV2521" s="317">
        <f t="shared" si="934"/>
        <v>6985.6430440307404</v>
      </c>
      <c r="AW2521" s="317">
        <f t="shared" si="934"/>
        <v>0</v>
      </c>
      <c r="AX2521" s="317">
        <f t="shared" si="934"/>
        <v>0</v>
      </c>
      <c r="AY2521" s="317">
        <f t="shared" si="934"/>
        <v>2309.0477898834451</v>
      </c>
      <c r="AZ2521" s="453">
        <f t="shared" si="934"/>
        <v>0</v>
      </c>
      <c r="BA2521" s="453">
        <f t="shared" si="934"/>
        <v>0</v>
      </c>
      <c r="BB2521" s="453">
        <f t="shared" si="934"/>
        <v>0</v>
      </c>
      <c r="BC2521" s="453">
        <f t="shared" si="934"/>
        <v>1.4073853763225803</v>
      </c>
      <c r="BD2521" s="453">
        <f t="shared" si="934"/>
        <v>5.0273546827987485E-3</v>
      </c>
      <c r="BE2521" s="453">
        <f t="shared" si="934"/>
        <v>93.391425282653614</v>
      </c>
      <c r="BF2521" s="453">
        <f t="shared" si="934"/>
        <v>1.2524783762311698E-2</v>
      </c>
      <c r="BG2521" s="453">
        <f t="shared" si="934"/>
        <v>0</v>
      </c>
      <c r="BH2521" s="453">
        <f t="shared" si="934"/>
        <v>0</v>
      </c>
      <c r="BI2521" s="453">
        <f t="shared" si="934"/>
        <v>0</v>
      </c>
      <c r="BJ2521" s="453">
        <f t="shared" si="934"/>
        <v>0</v>
      </c>
      <c r="BK2521" s="453">
        <f t="shared" si="934"/>
        <v>0</v>
      </c>
      <c r="BL2521" s="62">
        <f>BL2520</f>
        <v>0</v>
      </c>
      <c r="BM2521" s="275">
        <f>BM2520</f>
        <v>3</v>
      </c>
      <c r="BN2521" s="62">
        <v>0.05</v>
      </c>
      <c r="BO2521" s="451" t="str">
        <f>BO2520</f>
        <v>Eigen berekening</v>
      </c>
      <c r="BP2521" s="451"/>
    </row>
    <row r="2522" spans="1:68">
      <c r="A2522" s="33" t="str">
        <f>Database_Productkaarten[[#This Row],[Product]]&amp;", "&amp;Database_Productkaarten[[#This Row],[Levensfase]]</f>
        <v>Deelproduct, Staanders, Houten Speeltoestel, A4</v>
      </c>
      <c r="B2522" s="33" t="s">
        <v>818</v>
      </c>
      <c r="C2522" s="33" t="s">
        <v>806</v>
      </c>
      <c r="D2522" s="33" t="s">
        <v>817</v>
      </c>
      <c r="E2522" s="33" t="s">
        <v>783</v>
      </c>
      <c r="F2522" s="33" t="s">
        <v>78</v>
      </c>
      <c r="M2522" s="271">
        <f t="shared" si="932"/>
        <v>0.22784399999999999</v>
      </c>
      <c r="N2522" s="41">
        <v>1.9137028881760629</v>
      </c>
      <c r="O2522" s="33">
        <v>20</v>
      </c>
      <c r="P2522" s="33">
        <v>3.7002947839199997E-4</v>
      </c>
      <c r="Q2522" s="33">
        <v>0.16074863216639998</v>
      </c>
      <c r="R2522" s="33">
        <v>21.541375880639997</v>
      </c>
      <c r="S2522" s="33">
        <v>4.0808789546400002E-6</v>
      </c>
      <c r="T2522" s="33">
        <v>1.3124736399599999E-2</v>
      </c>
      <c r="U2522" s="33">
        <v>5.6062196611199995E-2</v>
      </c>
      <c r="V2522" s="33">
        <v>9.2313499852799998E-3</v>
      </c>
      <c r="W2522" s="33">
        <v>4.6331388439199994</v>
      </c>
      <c r="X2522" s="33">
        <v>0.19470789757440002</v>
      </c>
      <c r="Y2522" s="33">
        <v>527.19620385600001</v>
      </c>
      <c r="Z2522" s="33">
        <v>2.6169726160799999E-2</v>
      </c>
      <c r="AA2522" s="33">
        <v>21.727353182399998</v>
      </c>
      <c r="AB2522" s="33">
        <v>21.711474159119998</v>
      </c>
      <c r="AC2522" s="33">
        <v>1.046554730208E-2</v>
      </c>
      <c r="AD2522" s="33">
        <v>5.4136299326399996E-3</v>
      </c>
      <c r="AE2522" s="33">
        <v>5.1271309231200001E-6</v>
      </c>
      <c r="AF2522" s="33">
        <v>6.9790067308799997E-2</v>
      </c>
      <c r="AG2522" s="33">
        <v>1.5123699736559998E-4</v>
      </c>
      <c r="AH2522" s="33">
        <v>1.603038198024E-2</v>
      </c>
      <c r="AI2522" s="33">
        <v>0.18043572544559999</v>
      </c>
      <c r="AJ2522" s="33">
        <v>6.7544389864799992E-2</v>
      </c>
      <c r="AK2522" s="33">
        <v>3.7002809613599999E-4</v>
      </c>
      <c r="AL2522" s="33">
        <v>337.46033354399998</v>
      </c>
      <c r="AM2522" s="33">
        <v>1.43309180088</v>
      </c>
      <c r="AN2522" s="33">
        <v>1.5065653325759999E-6</v>
      </c>
      <c r="AO2522" s="33">
        <v>1.4489584791839998</v>
      </c>
      <c r="AP2522" s="33">
        <v>246.11999911200002</v>
      </c>
      <c r="AQ2522" s="33">
        <v>6.2285990140799998E-9</v>
      </c>
      <c r="AR2522" s="33">
        <v>1.9857912952320001E-7</v>
      </c>
      <c r="AS2522" s="33">
        <v>385.78695847199998</v>
      </c>
      <c r="AT2522" s="33">
        <v>0</v>
      </c>
      <c r="AU2522" s="33">
        <v>0</v>
      </c>
      <c r="AV2522" s="316">
        <v>3.4584261991199998</v>
      </c>
      <c r="AW2522" s="314">
        <v>0</v>
      </c>
      <c r="AX2522" s="314">
        <v>0</v>
      </c>
      <c r="AY2522" s="316">
        <v>358.41445271999999</v>
      </c>
      <c r="AZ2522" s="33">
        <v>0</v>
      </c>
      <c r="BA2522" s="33">
        <v>0</v>
      </c>
      <c r="BB2522" s="33">
        <v>0</v>
      </c>
      <c r="BC2522" s="33">
        <v>4.3099907464799997E-2</v>
      </c>
      <c r="BD2522" s="33">
        <v>8.3406799857599996E-4</v>
      </c>
      <c r="BE2522" s="33">
        <v>29.335902688800001</v>
      </c>
      <c r="BF2522" s="33">
        <v>2.2917255629039996E-3</v>
      </c>
      <c r="BG2522" s="33">
        <v>0</v>
      </c>
      <c r="BH2522" s="33">
        <v>0</v>
      </c>
      <c r="BI2522" s="33">
        <v>0</v>
      </c>
      <c r="BJ2522" s="33">
        <v>0</v>
      </c>
      <c r="BK2522" s="33">
        <v>0</v>
      </c>
      <c r="BL2522" s="62">
        <v>0</v>
      </c>
      <c r="BM2522" s="275">
        <v>3</v>
      </c>
      <c r="BN2522" s="62">
        <v>0.05</v>
      </c>
      <c r="BO2522" s="33" t="s">
        <v>753</v>
      </c>
    </row>
    <row r="2523" spans="1:68">
      <c r="A2523" s="33" t="str">
        <f>Database_Productkaarten[[#This Row],[Product]]&amp;", "&amp;Database_Productkaarten[[#This Row],[Levensfase]]</f>
        <v>Deelproduct, Staanders, Houten Speeltoestel, A5</v>
      </c>
      <c r="B2523" s="33" t="s">
        <v>818</v>
      </c>
      <c r="C2523" s="33" t="s">
        <v>806</v>
      </c>
      <c r="D2523" s="33" t="s">
        <v>817</v>
      </c>
      <c r="E2523" s="33" t="s">
        <v>783</v>
      </c>
      <c r="F2523" s="33" t="s">
        <v>79</v>
      </c>
      <c r="M2523" s="271">
        <f t="shared" si="932"/>
        <v>0.22784399999999999</v>
      </c>
      <c r="N2523" s="41">
        <v>1.8383097280424694</v>
      </c>
      <c r="O2523" s="33">
        <v>20</v>
      </c>
      <c r="P2523" s="33">
        <v>4.0447835999999994E-5</v>
      </c>
      <c r="Q2523" s="33">
        <v>0.12349194376499999</v>
      </c>
      <c r="R2523" s="33">
        <v>18.116035431156</v>
      </c>
      <c r="S2523" s="33">
        <v>3.1789071000000001E-6</v>
      </c>
      <c r="T2523" s="33">
        <v>5.6245788450000004E-3</v>
      </c>
      <c r="U2523" s="33">
        <v>6.1410963699000003E-2</v>
      </c>
      <c r="V2523" s="33">
        <v>1.2215614913999999E-2</v>
      </c>
      <c r="W2523" s="33">
        <v>5.5869818763599994</v>
      </c>
      <c r="X2523" s="33">
        <v>0.10729150455600001</v>
      </c>
      <c r="Y2523" s="33">
        <v>355.18785475320004</v>
      </c>
      <c r="Z2523" s="33">
        <v>5.5801518299999991E-2</v>
      </c>
      <c r="AA2523" s="33">
        <v>18.2113245</v>
      </c>
      <c r="AB2523" s="33">
        <v>18.204303285000002</v>
      </c>
      <c r="AC2523" s="33">
        <v>2.0936790981E-2</v>
      </c>
      <c r="AD2523" s="33">
        <v>2.798096184E-3</v>
      </c>
      <c r="AE2523" s="33">
        <v>3.98312829E-6</v>
      </c>
      <c r="AF2523" s="33">
        <v>8.1561564198000008E-2</v>
      </c>
      <c r="AG2523" s="33">
        <v>1.2014648999999999E-4</v>
      </c>
      <c r="AH2523" s="33">
        <v>2.8163649536999999E-2</v>
      </c>
      <c r="AI2523" s="33">
        <v>0.30963526165800004</v>
      </c>
      <c r="AJ2523" s="33">
        <v>8.3125868705999986E-2</v>
      </c>
      <c r="AK2523" s="33">
        <v>4.0447835999999994E-5</v>
      </c>
      <c r="AL2523" s="33">
        <v>262.115568</v>
      </c>
      <c r="AM2523" s="33">
        <v>0.52323799354200007</v>
      </c>
      <c r="AN2523" s="33">
        <v>2.9384126999999999E-7</v>
      </c>
      <c r="AO2523" s="33">
        <v>1.1402788402800001</v>
      </c>
      <c r="AP2523" s="33">
        <v>167.11627834079999</v>
      </c>
      <c r="AQ2523" s="33">
        <v>3.1843116900000002E-8</v>
      </c>
      <c r="AR2523" s="33">
        <v>2.730402E-7</v>
      </c>
      <c r="AS2523" s="33">
        <v>41.230274691600002</v>
      </c>
      <c r="AT2523" s="33">
        <v>1.5964448098499999</v>
      </c>
      <c r="AU2523" s="33">
        <v>0</v>
      </c>
      <c r="AV2523" s="316">
        <v>4.6213828500599998</v>
      </c>
      <c r="AW2523" s="314">
        <v>0.13987010561399998</v>
      </c>
      <c r="AX2523" s="314">
        <v>1.9644930000000001E-4</v>
      </c>
      <c r="AY2523" s="316">
        <v>278.43633354599996</v>
      </c>
      <c r="AZ2523" s="33">
        <v>1.9478129399999998E-4</v>
      </c>
      <c r="BA2523" s="33">
        <v>0</v>
      </c>
      <c r="BB2523" s="33">
        <v>0</v>
      </c>
      <c r="BC2523" s="33">
        <v>2.0878097490000001E-2</v>
      </c>
      <c r="BD2523" s="33">
        <v>6.9672177000000004E-4</v>
      </c>
      <c r="BE2523" s="33">
        <v>0.65567380238100004</v>
      </c>
      <c r="BF2523" s="33">
        <v>1.7837853210000002E-3</v>
      </c>
      <c r="BG2523" s="33">
        <v>0</v>
      </c>
      <c r="BH2523" s="33">
        <v>0</v>
      </c>
      <c r="BI2523" s="33">
        <v>0</v>
      </c>
      <c r="BJ2523" s="33">
        <v>0</v>
      </c>
      <c r="BK2523" s="33">
        <v>0</v>
      </c>
      <c r="BL2523" s="62">
        <v>0</v>
      </c>
      <c r="BM2523" s="275">
        <v>3</v>
      </c>
      <c r="BN2523" s="62">
        <v>0.05</v>
      </c>
      <c r="BO2523" s="33" t="s">
        <v>753</v>
      </c>
    </row>
    <row r="2524" spans="1:68">
      <c r="A2524" s="33" t="str">
        <f>Database_Productkaarten[[#This Row],[Product]]&amp;", "&amp;Database_Productkaarten[[#This Row],[Levensfase]]</f>
        <v>Deelproduct, Staanders, Houten Speeltoestel, C1</v>
      </c>
      <c r="B2524" s="33" t="s">
        <v>818</v>
      </c>
      <c r="C2524" s="33" t="s">
        <v>806</v>
      </c>
      <c r="D2524" s="33" t="s">
        <v>817</v>
      </c>
      <c r="E2524" s="33" t="s">
        <v>783</v>
      </c>
      <c r="F2524" s="33" t="s">
        <v>83</v>
      </c>
      <c r="M2524" s="271">
        <f t="shared" si="932"/>
        <v>0.22784399999999999</v>
      </c>
      <c r="N2524" s="41">
        <v>1.8383097280424694</v>
      </c>
      <c r="O2524" s="33">
        <v>20</v>
      </c>
      <c r="P2524" s="33">
        <v>4.0447835999999994E-5</v>
      </c>
      <c r="Q2524" s="33">
        <v>0.12349194376499999</v>
      </c>
      <c r="R2524" s="33">
        <v>18.116035431156</v>
      </c>
      <c r="S2524" s="33">
        <v>3.1789071000000001E-6</v>
      </c>
      <c r="T2524" s="33">
        <v>5.6245788450000004E-3</v>
      </c>
      <c r="U2524" s="33">
        <v>6.1410963699000003E-2</v>
      </c>
      <c r="V2524" s="33">
        <v>1.2215614913999999E-2</v>
      </c>
      <c r="W2524" s="33">
        <v>5.5869818763599994</v>
      </c>
      <c r="X2524" s="33">
        <v>0.10729150455600001</v>
      </c>
      <c r="Y2524" s="33">
        <v>355.18785475320004</v>
      </c>
      <c r="Z2524" s="33">
        <v>5.5801518299999991E-2</v>
      </c>
      <c r="AA2524" s="33">
        <v>18.2113245</v>
      </c>
      <c r="AB2524" s="33">
        <v>18.204303285000002</v>
      </c>
      <c r="AC2524" s="33">
        <v>2.0936790981E-2</v>
      </c>
      <c r="AD2524" s="33">
        <v>2.798096184E-3</v>
      </c>
      <c r="AE2524" s="33">
        <v>3.98312829E-6</v>
      </c>
      <c r="AF2524" s="33">
        <v>8.1561564198000008E-2</v>
      </c>
      <c r="AG2524" s="33">
        <v>1.2014648999999999E-4</v>
      </c>
      <c r="AH2524" s="33">
        <v>2.8163649536999999E-2</v>
      </c>
      <c r="AI2524" s="33">
        <v>0.30963526165800004</v>
      </c>
      <c r="AJ2524" s="33">
        <v>8.3125868705999986E-2</v>
      </c>
      <c r="AK2524" s="33">
        <v>4.0447835999999994E-5</v>
      </c>
      <c r="AL2524" s="33">
        <v>262.115568</v>
      </c>
      <c r="AM2524" s="33">
        <v>0.52323799354200007</v>
      </c>
      <c r="AN2524" s="33">
        <v>2.9384126999999999E-7</v>
      </c>
      <c r="AO2524" s="33">
        <v>1.1402788402800001</v>
      </c>
      <c r="AP2524" s="33">
        <v>167.11627834079999</v>
      </c>
      <c r="AQ2524" s="33">
        <v>3.1843116900000002E-8</v>
      </c>
      <c r="AR2524" s="33">
        <v>2.730402E-7</v>
      </c>
      <c r="AS2524" s="33">
        <v>41.230274691600002</v>
      </c>
      <c r="AT2524" s="33">
        <v>1.5964448098499999</v>
      </c>
      <c r="AU2524" s="33">
        <v>0</v>
      </c>
      <c r="AV2524" s="316">
        <v>4.6213828500599998</v>
      </c>
      <c r="AW2524" s="314">
        <v>0.13987010561399998</v>
      </c>
      <c r="AX2524" s="314">
        <v>1.9644930000000001E-4</v>
      </c>
      <c r="AY2524" s="316">
        <v>278.43633354599996</v>
      </c>
      <c r="AZ2524" s="33">
        <v>1.9478129399999998E-4</v>
      </c>
      <c r="BA2524" s="33">
        <v>0</v>
      </c>
      <c r="BB2524" s="33">
        <v>0</v>
      </c>
      <c r="BC2524" s="33">
        <v>2.0878097490000001E-2</v>
      </c>
      <c r="BD2524" s="33">
        <v>6.9672177000000004E-4</v>
      </c>
      <c r="BE2524" s="33">
        <v>0.65567380238100004</v>
      </c>
      <c r="BF2524" s="33">
        <v>1.7837853210000002E-3</v>
      </c>
      <c r="BG2524" s="33">
        <v>0</v>
      </c>
      <c r="BH2524" s="33">
        <v>0</v>
      </c>
      <c r="BI2524" s="33">
        <v>0</v>
      </c>
      <c r="BJ2524" s="33">
        <v>0</v>
      </c>
      <c r="BK2524" s="33">
        <v>0</v>
      </c>
      <c r="BL2524" s="62">
        <v>0</v>
      </c>
      <c r="BM2524" s="275">
        <v>3</v>
      </c>
      <c r="BN2524" s="62">
        <v>0.05</v>
      </c>
      <c r="BO2524" s="33" t="s">
        <v>753</v>
      </c>
    </row>
    <row r="2525" spans="1:68">
      <c r="A2525" s="33" t="str">
        <f>Database_Productkaarten[[#This Row],[Product]]&amp;", "&amp;Database_Productkaarten[[#This Row],[Levensfase]]</f>
        <v>Deelproduct, Staanders, Houten Speeltoestel, C2</v>
      </c>
      <c r="B2525" s="33" t="s">
        <v>818</v>
      </c>
      <c r="C2525" s="33" t="s">
        <v>806</v>
      </c>
      <c r="D2525" s="33" t="s">
        <v>817</v>
      </c>
      <c r="E2525" s="33" t="s">
        <v>783</v>
      </c>
      <c r="F2525" s="33" t="s">
        <v>84</v>
      </c>
      <c r="M2525" s="271">
        <f t="shared" si="932"/>
        <v>0.22784399999999999</v>
      </c>
      <c r="N2525" s="41">
        <v>9.1477193507459989E-2</v>
      </c>
      <c r="O2525" s="33">
        <v>20</v>
      </c>
      <c r="P2525" s="33">
        <v>3.53291824074E-4</v>
      </c>
      <c r="Q2525" s="33">
        <v>0.15347744110079997</v>
      </c>
      <c r="R2525" s="33">
        <v>20.566988368079997</v>
      </c>
      <c r="S2525" s="33">
        <v>3.8962873335799999E-6</v>
      </c>
      <c r="T2525" s="33">
        <v>1.2531061263699999E-2</v>
      </c>
      <c r="U2525" s="33">
        <v>5.3526318466399998E-2</v>
      </c>
      <c r="V2525" s="33">
        <v>8.8137855641599993E-3</v>
      </c>
      <c r="W2525" s="33">
        <v>4.4235666857399991</v>
      </c>
      <c r="X2525" s="33">
        <v>0.18590061687680001</v>
      </c>
      <c r="Y2525" s="33">
        <v>503.34937993199998</v>
      </c>
      <c r="Z2525" s="33">
        <v>2.49859830926E-2</v>
      </c>
      <c r="AA2525" s="33">
        <v>20.7445533028</v>
      </c>
      <c r="AB2525" s="33">
        <v>20.729392540139997</v>
      </c>
      <c r="AC2525" s="33">
        <v>9.9921560637599993E-3</v>
      </c>
      <c r="AD2525" s="33">
        <v>5.16875358708E-3</v>
      </c>
      <c r="AE2525" s="33">
        <v>4.8952138731400001E-6</v>
      </c>
      <c r="AF2525" s="33">
        <v>6.6633232273600004E-2</v>
      </c>
      <c r="AG2525" s="33">
        <v>1.4439604892819998E-4</v>
      </c>
      <c r="AH2525" s="33">
        <v>1.5305274906780001E-2</v>
      </c>
      <c r="AI2525" s="33">
        <v>0.17227402218820001</v>
      </c>
      <c r="AJ2525" s="33">
        <v>6.4489134230600001E-2</v>
      </c>
      <c r="AK2525" s="33">
        <v>3.5329050434199999E-4</v>
      </c>
      <c r="AL2525" s="33">
        <v>322.19588911799997</v>
      </c>
      <c r="AM2525" s="33">
        <v>1.3682683298599998</v>
      </c>
      <c r="AN2525" s="33">
        <v>1.4384184112719999E-6</v>
      </c>
      <c r="AO2525" s="33">
        <v>1.3834173059479999</v>
      </c>
      <c r="AP2525" s="33">
        <v>234.987179414</v>
      </c>
      <c r="AQ2525" s="33">
        <v>5.9468589277600001E-9</v>
      </c>
      <c r="AR2525" s="33">
        <v>1.8959674023039999E-7</v>
      </c>
      <c r="AS2525" s="33">
        <v>368.336541334</v>
      </c>
      <c r="AT2525" s="33">
        <v>0</v>
      </c>
      <c r="AU2525" s="33">
        <v>0</v>
      </c>
      <c r="AV2525" s="316">
        <v>3.3019901701399998</v>
      </c>
      <c r="AW2525" s="314">
        <v>0</v>
      </c>
      <c r="AX2525" s="314">
        <v>0</v>
      </c>
      <c r="AY2525" s="316">
        <v>342.20218434000003</v>
      </c>
      <c r="AZ2525" s="33">
        <v>0</v>
      </c>
      <c r="BA2525" s="33">
        <v>0</v>
      </c>
      <c r="BB2525" s="33">
        <v>0</v>
      </c>
      <c r="BC2525" s="33">
        <v>4.1150356430599999E-2</v>
      </c>
      <c r="BD2525" s="33">
        <v>7.9634035077199997E-4</v>
      </c>
      <c r="BE2525" s="33">
        <v>28.008943008599999</v>
      </c>
      <c r="BF2525" s="33">
        <v>2.1880632535379997E-3</v>
      </c>
      <c r="BG2525" s="33">
        <v>0</v>
      </c>
      <c r="BH2525" s="33">
        <v>0</v>
      </c>
      <c r="BI2525" s="33">
        <v>0</v>
      </c>
      <c r="BJ2525" s="33">
        <v>0</v>
      </c>
      <c r="BK2525" s="33">
        <v>0</v>
      </c>
      <c r="BL2525" s="62">
        <v>0</v>
      </c>
      <c r="BM2525" s="275">
        <v>3</v>
      </c>
      <c r="BN2525" s="62">
        <v>0.05</v>
      </c>
      <c r="BO2525" s="33" t="s">
        <v>753</v>
      </c>
    </row>
    <row r="2526" spans="1:68">
      <c r="A2526" s="33" t="str">
        <f>Database_Productkaarten[[#This Row],[Product]]&amp;", "&amp;Database_Productkaarten[[#This Row],[Levensfase]]</f>
        <v>Deelproduct, Staanders, Houten Speeltoestel, C3</v>
      </c>
      <c r="B2526" s="33" t="s">
        <v>818</v>
      </c>
      <c r="C2526" s="33" t="s">
        <v>806</v>
      </c>
      <c r="D2526" s="33" t="s">
        <v>817</v>
      </c>
      <c r="E2526" s="33" t="s">
        <v>783</v>
      </c>
      <c r="F2526" s="33" t="s">
        <v>85</v>
      </c>
      <c r="M2526" s="271">
        <f t="shared" si="932"/>
        <v>0.22784399999999999</v>
      </c>
      <c r="N2526" s="41">
        <v>8.2888580000000003E-2</v>
      </c>
      <c r="O2526" s="33">
        <v>20</v>
      </c>
      <c r="P2526" s="33">
        <v>1.2351562E-4</v>
      </c>
      <c r="Q2526" s="33">
        <v>3.5527560000000002E-3</v>
      </c>
      <c r="R2526" s="33">
        <v>0.53303500000000004</v>
      </c>
      <c r="S2526" s="33">
        <v>2.868708E-8</v>
      </c>
      <c r="T2526" s="33">
        <v>2.659316E-4</v>
      </c>
      <c r="U2526" s="33">
        <v>2.6669160000000001E-3</v>
      </c>
      <c r="V2526" s="33">
        <v>3.7564180000000002E-4</v>
      </c>
      <c r="W2526" s="33">
        <v>0.43222280000000002</v>
      </c>
      <c r="X2526" s="33">
        <v>4.67274432E-3</v>
      </c>
      <c r="Y2526" s="33">
        <v>17.157988000000003</v>
      </c>
      <c r="Z2526" s="33">
        <v>2.1714252000000003E-3</v>
      </c>
      <c r="AA2526" s="33">
        <v>0.5213236</v>
      </c>
      <c r="AB2526" s="33">
        <v>0.5399524</v>
      </c>
      <c r="AC2526" s="33">
        <v>-1.9469187200000002E-2</v>
      </c>
      <c r="AD2526" s="33">
        <v>7.4334459999999994E-4</v>
      </c>
      <c r="AE2526" s="33">
        <v>2.9746200000000001E-8</v>
      </c>
      <c r="AF2526" s="33">
        <v>3.5267500000000004E-3</v>
      </c>
      <c r="AG2526" s="33">
        <v>2.5540120000000001E-5</v>
      </c>
      <c r="AH2526" s="33">
        <v>5.798124E-4</v>
      </c>
      <c r="AI2526" s="33">
        <v>9.5409760799999993E-3</v>
      </c>
      <c r="AJ2526" s="33">
        <v>1.8884067999999999E-3</v>
      </c>
      <c r="AK2526" s="33">
        <v>1.2351562E-4</v>
      </c>
      <c r="AL2526" s="33">
        <v>6.4719533698600005</v>
      </c>
      <c r="AM2526" s="33">
        <v>0.11413314000000001</v>
      </c>
      <c r="AN2526" s="33">
        <v>3.6411739999999999E-8</v>
      </c>
      <c r="AO2526" s="33">
        <v>2.5091120000000001E-2</v>
      </c>
      <c r="AP2526" s="33">
        <v>12.392924073600001</v>
      </c>
      <c r="AQ2526" s="33">
        <v>8.2095599999999999E-10</v>
      </c>
      <c r="AR2526" s="33">
        <v>1.2280618E-8</v>
      </c>
      <c r="AS2526" s="33">
        <v>8.5144682145600008</v>
      </c>
      <c r="AT2526" s="33">
        <v>0</v>
      </c>
      <c r="AU2526" s="33">
        <v>0</v>
      </c>
      <c r="AV2526" s="316">
        <v>1.0188382960000002</v>
      </c>
      <c r="AW2526" s="314">
        <v>0</v>
      </c>
      <c r="AX2526" s="314">
        <v>0</v>
      </c>
      <c r="AY2526" s="316">
        <v>6.8828084012000001</v>
      </c>
      <c r="AZ2526" s="33">
        <v>0</v>
      </c>
      <c r="BA2526" s="33">
        <v>0</v>
      </c>
      <c r="BB2526" s="33">
        <v>0</v>
      </c>
      <c r="BC2526" s="33">
        <v>4.2350738399999999E-3</v>
      </c>
      <c r="BD2526" s="33">
        <v>2.4887440000000001E-5</v>
      </c>
      <c r="BE2526" s="33">
        <v>0.26031554976000004</v>
      </c>
      <c r="BF2526" s="33">
        <v>2.0549624E-5</v>
      </c>
      <c r="BG2526" s="33">
        <v>0</v>
      </c>
      <c r="BH2526" s="33">
        <v>0</v>
      </c>
      <c r="BI2526" s="33">
        <v>0</v>
      </c>
      <c r="BJ2526" s="33">
        <v>0</v>
      </c>
      <c r="BK2526" s="33">
        <v>0</v>
      </c>
      <c r="BL2526" s="62">
        <v>0</v>
      </c>
      <c r="BM2526" s="275">
        <v>3</v>
      </c>
      <c r="BN2526" s="62">
        <v>0.05</v>
      </c>
      <c r="BO2526" s="33" t="s">
        <v>753</v>
      </c>
    </row>
    <row r="2527" spans="1:68">
      <c r="A2527" s="33" t="str">
        <f>Database_Productkaarten[[#This Row],[Product]]&amp;", "&amp;Database_Productkaarten[[#This Row],[Levensfase]]</f>
        <v>Deelproduct, Staanders, Houten Speeltoestel, C4</v>
      </c>
      <c r="B2527" s="33" t="s">
        <v>818</v>
      </c>
      <c r="C2527" s="33" t="s">
        <v>806</v>
      </c>
      <c r="D2527" s="33" t="s">
        <v>817</v>
      </c>
      <c r="E2527" s="33" t="s">
        <v>783</v>
      </c>
      <c r="F2527" s="33" t="s">
        <v>86</v>
      </c>
      <c r="M2527" s="271">
        <f t="shared" si="932"/>
        <v>0.22784399999999999</v>
      </c>
      <c r="N2527" s="41">
        <v>0.81971506802710725</v>
      </c>
      <c r="O2527" s="33">
        <v>20</v>
      </c>
      <c r="P2527" s="33">
        <v>1.10062563007464E-5</v>
      </c>
      <c r="Q2527" s="33">
        <v>1.027136959295376E-2</v>
      </c>
      <c r="R2527" s="33">
        <v>2.432418311372992</v>
      </c>
      <c r="S2527" s="33">
        <v>2.1548561286782403E-7</v>
      </c>
      <c r="T2527" s="33">
        <v>7.6590131357082885E-3</v>
      </c>
      <c r="U2527" s="33">
        <v>3.9202981497140486E-2</v>
      </c>
      <c r="V2527" s="33">
        <v>1.0339439763492097E-2</v>
      </c>
      <c r="W2527" s="33">
        <v>4.6798222814099031</v>
      </c>
      <c r="X2527" s="33">
        <v>3.6702370532878878E-2</v>
      </c>
      <c r="Y2527" s="33">
        <v>94.520718547030413</v>
      </c>
      <c r="Z2527" s="33">
        <v>4.8284166359773119E-3</v>
      </c>
      <c r="AA2527" s="33">
        <v>268.84990304339181</v>
      </c>
      <c r="AB2527" s="33">
        <v>1.722948887187792</v>
      </c>
      <c r="AC2527" s="33">
        <v>266.91579703174159</v>
      </c>
      <c r="AD2527" s="33">
        <v>4.9058070239988804E-4</v>
      </c>
      <c r="AE2527" s="33">
        <v>2.4119899222054405E-7</v>
      </c>
      <c r="AF2527" s="33">
        <v>5.7840819971703684E-2</v>
      </c>
      <c r="AG2527" s="33">
        <v>3.5109601430296962E-5</v>
      </c>
      <c r="AH2527" s="33">
        <v>2.707276146534288E-2</v>
      </c>
      <c r="AI2527" s="33">
        <v>0.30786219626154882</v>
      </c>
      <c r="AJ2527" s="33">
        <v>8.0742736386504005E-2</v>
      </c>
      <c r="AK2527" s="33">
        <v>1.100625629953344E-5</v>
      </c>
      <c r="AL2527" s="33">
        <v>19.366376940409598</v>
      </c>
      <c r="AM2527" s="33">
        <v>0.70425636132723202</v>
      </c>
      <c r="AN2527" s="33">
        <v>4.7669924838473602E-7</v>
      </c>
      <c r="AO2527" s="33">
        <v>5.2981566895614403E-2</v>
      </c>
      <c r="AP2527" s="33">
        <v>44.003069416567925</v>
      </c>
      <c r="AQ2527" s="33">
        <v>5.3778175551028615E-8</v>
      </c>
      <c r="AR2527" s="33">
        <v>1.7289647539876929E-7</v>
      </c>
      <c r="AS2527" s="33">
        <v>12.078090083072</v>
      </c>
      <c r="AT2527" s="33">
        <v>0</v>
      </c>
      <c r="AU2527" s="33">
        <v>0</v>
      </c>
      <c r="AV2527" s="316">
        <v>0.78558546853236799</v>
      </c>
      <c r="AW2527" s="314">
        <v>0</v>
      </c>
      <c r="AX2527" s="314">
        <v>0</v>
      </c>
      <c r="AY2527" s="316">
        <v>20.811283783647998</v>
      </c>
      <c r="AZ2527" s="33">
        <v>0</v>
      </c>
      <c r="BA2527" s="33">
        <v>0</v>
      </c>
      <c r="BB2527" s="33">
        <v>0</v>
      </c>
      <c r="BC2527" s="33">
        <v>9.1446414813851198E-2</v>
      </c>
      <c r="BD2527" s="33">
        <v>5.0992382768080004E-5</v>
      </c>
      <c r="BE2527" s="33">
        <v>12.597992429614401</v>
      </c>
      <c r="BF2527" s="33">
        <v>6.7013469087716807E-5</v>
      </c>
      <c r="BG2527" s="33">
        <v>0</v>
      </c>
      <c r="BH2527" s="33">
        <v>0</v>
      </c>
      <c r="BI2527" s="33">
        <v>0</v>
      </c>
      <c r="BJ2527" s="33">
        <v>0</v>
      </c>
      <c r="BK2527" s="33">
        <v>0</v>
      </c>
      <c r="BL2527" s="62">
        <v>0</v>
      </c>
      <c r="BM2527" s="275">
        <v>3</v>
      </c>
      <c r="BN2527" s="62">
        <v>0.05</v>
      </c>
      <c r="BO2527" s="33" t="s">
        <v>753</v>
      </c>
    </row>
    <row r="2528" spans="1:68">
      <c r="A2528" s="33" t="str">
        <f>Database_Productkaarten[[#This Row],[Product]]&amp;", "&amp;Database_Productkaarten[[#This Row],[Levensfase]]</f>
        <v>Deelproduct, Staanders, Houten Speeltoestel, D</v>
      </c>
      <c r="B2528" s="33" t="s">
        <v>818</v>
      </c>
      <c r="C2528" s="33" t="s">
        <v>806</v>
      </c>
      <c r="D2528" s="33" t="s">
        <v>817</v>
      </c>
      <c r="E2528" s="33" t="s">
        <v>783</v>
      </c>
      <c r="F2528" s="33" t="s">
        <v>89</v>
      </c>
      <c r="M2528" s="271">
        <f t="shared" si="932"/>
        <v>0.22784399999999999</v>
      </c>
      <c r="N2528" s="41">
        <v>-1.3946983200000003</v>
      </c>
      <c r="O2528" s="33">
        <v>20</v>
      </c>
      <c r="P2528" s="33">
        <v>-9.0682092880000007E-5</v>
      </c>
      <c r="Q2528" s="33">
        <v>-2.9899124959999954E-3</v>
      </c>
      <c r="R2528" s="33">
        <v>-0.70528572</v>
      </c>
      <c r="S2528" s="33">
        <v>6.1681707999999982E-8</v>
      </c>
      <c r="T2528" s="33">
        <v>-1.7501006000000003E-3</v>
      </c>
      <c r="U2528" s="33">
        <v>-1.6259809600000001E-2</v>
      </c>
      <c r="V2528" s="33">
        <v>-4.7707269600000017E-3</v>
      </c>
      <c r="W2528" s="33">
        <v>-1.4743048800000003</v>
      </c>
      <c r="X2528" s="33">
        <v>-7.1287419999999995E-3</v>
      </c>
      <c r="Y2528" s="33">
        <v>14.190635944032005</v>
      </c>
      <c r="Z2528" s="33">
        <v>4.5989211999999981E-3</v>
      </c>
      <c r="AA2528" s="33">
        <v>35.140286718288003</v>
      </c>
      <c r="AB2528" s="33">
        <v>-0.77158455999999931</v>
      </c>
      <c r="AC2528" s="33">
        <v>35.98983361295361</v>
      </c>
      <c r="AD2528" s="33">
        <v>-9.7805771999999978E-3</v>
      </c>
      <c r="AE2528" s="33">
        <v>1.5609002800000004E-7</v>
      </c>
      <c r="AF2528" s="33">
        <v>-2.5033311999999999E-2</v>
      </c>
      <c r="AG2528" s="33">
        <v>-1.5475304800000004E-4</v>
      </c>
      <c r="AH2528" s="33">
        <v>-5.6333334000000001E-3</v>
      </c>
      <c r="AI2528" s="33">
        <v>-0.105007004</v>
      </c>
      <c r="AJ2528" s="33">
        <v>-1.4944631136000006E-2</v>
      </c>
      <c r="AK2528" s="33">
        <v>-9.0682092880000007E-5</v>
      </c>
      <c r="AL2528" s="33">
        <v>-1.1594984890559963</v>
      </c>
      <c r="AM2528" s="33">
        <v>-0.28803239359999999</v>
      </c>
      <c r="AN2528" s="33">
        <v>-9.9322761200000008E-7</v>
      </c>
      <c r="AO2528" s="33">
        <v>1.332102140319996E-2</v>
      </c>
      <c r="AP2528" s="33">
        <v>-258.06946920860003</v>
      </c>
      <c r="AQ2528" s="33">
        <v>-3.3340620800000001E-9</v>
      </c>
      <c r="AR2528" s="33">
        <v>-3.2877662000000016E-8</v>
      </c>
      <c r="AS2528" s="33">
        <v>-4051.141713196032</v>
      </c>
      <c r="AT2528" s="33">
        <v>0</v>
      </c>
      <c r="AU2528" s="33">
        <v>0</v>
      </c>
      <c r="AV2528" s="316">
        <v>-654.5702021363968</v>
      </c>
      <c r="AW2528" s="314">
        <v>0</v>
      </c>
      <c r="AX2528" s="314">
        <v>0</v>
      </c>
      <c r="AY2528" s="316">
        <v>-1.4635262332800028</v>
      </c>
      <c r="AZ2528" s="33">
        <v>0</v>
      </c>
      <c r="BA2528" s="33">
        <v>0</v>
      </c>
      <c r="BB2528" s="33">
        <v>0</v>
      </c>
      <c r="BC2528" s="33">
        <v>-1.0772128010000001E-2</v>
      </c>
      <c r="BD2528" s="33">
        <v>-6.7901928000000018E-5</v>
      </c>
      <c r="BE2528" s="33">
        <v>1.7420251503999999</v>
      </c>
      <c r="BF2528" s="33">
        <v>8.769312720000002E-5</v>
      </c>
      <c r="BG2528" s="33">
        <v>0</v>
      </c>
      <c r="BH2528" s="33">
        <v>0</v>
      </c>
      <c r="BI2528" s="33">
        <v>0</v>
      </c>
      <c r="BJ2528" s="33">
        <v>0</v>
      </c>
      <c r="BK2528" s="33">
        <v>0</v>
      </c>
      <c r="BL2528" s="62">
        <v>0</v>
      </c>
      <c r="BM2528" s="275">
        <v>3</v>
      </c>
      <c r="BN2528" s="62">
        <v>0.05</v>
      </c>
      <c r="BO2528" s="33" t="s">
        <v>753</v>
      </c>
    </row>
    <row r="2529" spans="1:68">
      <c r="A2529" s="33" t="str">
        <f>Database_Productkaarten[[#This Row],[Product]]&amp;", "&amp;Database_Productkaarten[[#This Row],[Levensfase]]</f>
        <v>Deelproduct, Platform, Houten Speeltoestel, Totaal</v>
      </c>
      <c r="B2529" s="33" t="s">
        <v>819</v>
      </c>
      <c r="C2529" s="33" t="s">
        <v>806</v>
      </c>
      <c r="D2529" s="33" t="s">
        <v>817</v>
      </c>
      <c r="E2529" s="33" t="s">
        <v>783</v>
      </c>
      <c r="F2529" s="33" t="s">
        <v>90</v>
      </c>
      <c r="M2529" s="271">
        <f>12.14/1000</f>
        <v>1.214E-2</v>
      </c>
      <c r="N2529" s="41">
        <v>1.0920659117566691</v>
      </c>
      <c r="O2529" s="33">
        <v>20</v>
      </c>
      <c r="P2529" s="33">
        <v>1.3972976238023848E-4</v>
      </c>
      <c r="Q2529" s="33">
        <v>6.7573216797621627E-2</v>
      </c>
      <c r="R2529" s="33">
        <v>9.8125684914675482</v>
      </c>
      <c r="S2529" s="33">
        <v>1.3345702272455044E-6</v>
      </c>
      <c r="T2529" s="33">
        <v>7.4665421877021017E-3</v>
      </c>
      <c r="U2529" s="33">
        <v>4.1331937756454683E-2</v>
      </c>
      <c r="V2529" s="33">
        <v>8.6864018726541068E-3</v>
      </c>
      <c r="W2529" s="33">
        <v>3.3147171071956438</v>
      </c>
      <c r="X2529" s="33">
        <v>9.8023847062016486E-2</v>
      </c>
      <c r="Y2529" s="33">
        <v>292.69474907519998</v>
      </c>
      <c r="Z2529" s="33">
        <v>2.965206873588442E-2</v>
      </c>
      <c r="AA2529" s="33">
        <v>-2.0136711761398471</v>
      </c>
      <c r="AB2529" s="33">
        <v>9.8371187210292881</v>
      </c>
      <c r="AC2529" s="33">
        <v>-11.902837423722254</v>
      </c>
      <c r="AD2529" s="33">
        <v>2.7744619090785183E-2</v>
      </c>
      <c r="AE2529" s="33">
        <v>1.6021193113120293E-6</v>
      </c>
      <c r="AF2529" s="33">
        <v>5.3499287576779665E-2</v>
      </c>
      <c r="AG2529" s="33">
        <v>6.1590814480798469E-4</v>
      </c>
      <c r="AH2529" s="33">
        <v>1.6526830739252828E-2</v>
      </c>
      <c r="AI2529" s="33">
        <v>0.18091877320178612</v>
      </c>
      <c r="AJ2529" s="33">
        <v>5.617380236489182E-2</v>
      </c>
      <c r="AK2529" s="33">
        <v>1.3972968167903847E-4</v>
      </c>
      <c r="AL2529" s="33">
        <v>140.24759006555865</v>
      </c>
      <c r="AM2529" s="33">
        <v>0.96717987552556872</v>
      </c>
      <c r="AN2529" s="33">
        <v>9.7641499244289515E-7</v>
      </c>
      <c r="AO2529" s="33">
        <v>0.63959181277672872</v>
      </c>
      <c r="AP2529" s="33">
        <v>129.7604901277283</v>
      </c>
      <c r="AQ2529" s="33">
        <v>9.9339428614329072E-9</v>
      </c>
      <c r="AR2529" s="33">
        <v>1.5103586237969838E-7</v>
      </c>
      <c r="AS2529" s="33">
        <v>1532.4262728793312</v>
      </c>
      <c r="AT2529" s="33">
        <v>0.17010478834658307</v>
      </c>
      <c r="AU2529" s="33">
        <v>0</v>
      </c>
      <c r="AV2529" s="316">
        <v>301.15903057873345</v>
      </c>
      <c r="AW2529" s="314">
        <v>1.4903474623541302E-2</v>
      </c>
      <c r="AX2529" s="314">
        <v>2.0932115154343623E-5</v>
      </c>
      <c r="AY2529" s="316">
        <v>149.10660326185268</v>
      </c>
      <c r="AZ2529" s="33">
        <v>2.0754385360090672E-5</v>
      </c>
      <c r="BA2529" s="33">
        <v>0</v>
      </c>
      <c r="BB2529" s="33">
        <v>0</v>
      </c>
      <c r="BC2529" s="33">
        <v>8.0239622966373811E-2</v>
      </c>
      <c r="BD2529" s="33">
        <v>3.2865195182985762E-4</v>
      </c>
      <c r="BE2529" s="33">
        <v>5.64454474885334</v>
      </c>
      <c r="BF2529" s="33">
        <v>8.4240946564196251E-4</v>
      </c>
      <c r="BG2529" s="33">
        <v>0</v>
      </c>
      <c r="BH2529" s="33">
        <v>0</v>
      </c>
      <c r="BI2529" s="33">
        <v>0</v>
      </c>
      <c r="BJ2529" s="33">
        <v>0</v>
      </c>
      <c r="BK2529" s="33">
        <v>0</v>
      </c>
      <c r="BL2529" s="62">
        <v>0</v>
      </c>
      <c r="BM2529" s="275">
        <v>3</v>
      </c>
      <c r="BN2529" s="62">
        <v>0.05</v>
      </c>
      <c r="BO2529" s="33" t="s">
        <v>753</v>
      </c>
    </row>
    <row r="2530" spans="1:68">
      <c r="A2530" s="33" t="str">
        <f>Database_Productkaarten[[#This Row],[Product]]&amp;", "&amp;Database_Productkaarten[[#This Row],[Levensfase]]</f>
        <v>Deelproduct, Platform, Houten Speeltoestel, A1</v>
      </c>
      <c r="B2530" s="33" t="s">
        <v>819</v>
      </c>
      <c r="C2530" s="33" t="s">
        <v>806</v>
      </c>
      <c r="D2530" s="33" t="s">
        <v>817</v>
      </c>
      <c r="E2530" s="33" t="s">
        <v>783</v>
      </c>
      <c r="F2530" s="33" t="s">
        <v>74</v>
      </c>
      <c r="M2530" s="271">
        <f t="shared" ref="M2530:M2540" si="935">12.14/1000</f>
        <v>1.214E-2</v>
      </c>
      <c r="N2530" s="41">
        <v>0.59486000000000006</v>
      </c>
      <c r="O2530" s="33">
        <v>20</v>
      </c>
      <c r="P2530" s="33">
        <v>1.01369E-4</v>
      </c>
      <c r="Q2530" s="33">
        <v>3.25352E-2</v>
      </c>
      <c r="R2530" s="33">
        <v>4.5282200000000001</v>
      </c>
      <c r="S2530" s="33">
        <v>6.8591000000000003E-7</v>
      </c>
      <c r="T2530" s="33">
        <v>5.8393400000000002E-3</v>
      </c>
      <c r="U2530" s="33">
        <v>2.3066E-2</v>
      </c>
      <c r="V2530" s="33">
        <v>5.1959200000000006E-3</v>
      </c>
      <c r="W2530" s="33">
        <v>2.1366399999999999</v>
      </c>
      <c r="X2530" s="33">
        <v>6.8590999999999999E-2</v>
      </c>
      <c r="Y2530" s="33">
        <v>179.67200000000003</v>
      </c>
      <c r="Z2530" s="33">
        <v>1.4810800000000001E-2</v>
      </c>
      <c r="AA2530" s="33">
        <v>-26.586600000000001</v>
      </c>
      <c r="AB2530" s="33">
        <v>4.5646399999999998</v>
      </c>
      <c r="AC2530" s="33">
        <v>-31.1998</v>
      </c>
      <c r="AD2530" s="33">
        <v>2.80434E-2</v>
      </c>
      <c r="AE2530" s="33">
        <v>8.4858600000000005E-7</v>
      </c>
      <c r="AF2530" s="33">
        <v>3.0592800000000003E-2</v>
      </c>
      <c r="AG2530" s="33">
        <v>2.37944E-4</v>
      </c>
      <c r="AH2530" s="33">
        <v>1.059822E-2</v>
      </c>
      <c r="AI2530" s="33">
        <v>0.11654399999999999</v>
      </c>
      <c r="AJ2530" s="33">
        <v>3.7876800000000002E-2</v>
      </c>
      <c r="AK2530" s="33">
        <v>1.01369E-4</v>
      </c>
      <c r="AL2530" s="33">
        <v>66.163000000000011</v>
      </c>
      <c r="AM2530" s="33">
        <v>0.45403600000000005</v>
      </c>
      <c r="AN2530" s="33">
        <v>9.4085000000000006E-7</v>
      </c>
      <c r="AO2530" s="33">
        <v>0.28164800000000001</v>
      </c>
      <c r="AP2530" s="33">
        <v>98.455399999999997</v>
      </c>
      <c r="AQ2530" s="33">
        <v>3.1321200000000001E-9</v>
      </c>
      <c r="AR2530" s="33">
        <v>9.4813400000000012E-8</v>
      </c>
      <c r="AS2530" s="33">
        <v>1905.98</v>
      </c>
      <c r="AT2530" s="33">
        <v>0</v>
      </c>
      <c r="AU2530" s="33">
        <v>0</v>
      </c>
      <c r="AV2530" s="316">
        <v>370.27000000000004</v>
      </c>
      <c r="AW2530" s="314">
        <v>0</v>
      </c>
      <c r="AX2530" s="314">
        <v>0</v>
      </c>
      <c r="AY2530" s="316">
        <v>70.169200000000004</v>
      </c>
      <c r="AZ2530" s="33">
        <v>0</v>
      </c>
      <c r="BA2530" s="33">
        <v>0</v>
      </c>
      <c r="BB2530" s="33">
        <v>0</v>
      </c>
      <c r="BC2530" s="33">
        <v>1.6042645800000001E-2</v>
      </c>
      <c r="BD2530" s="33">
        <v>2.0638000000000001E-4</v>
      </c>
      <c r="BE2530" s="33">
        <v>3.1928200000000002</v>
      </c>
      <c r="BF2530" s="33">
        <v>3.9940600000000004E-4</v>
      </c>
      <c r="BG2530" s="33">
        <v>0</v>
      </c>
      <c r="BH2530" s="33">
        <v>0</v>
      </c>
      <c r="BI2530" s="33">
        <v>0</v>
      </c>
      <c r="BJ2530" s="33">
        <v>0</v>
      </c>
      <c r="BK2530" s="33">
        <v>0</v>
      </c>
      <c r="BL2530" s="62">
        <v>0</v>
      </c>
      <c r="BM2530" s="275">
        <v>3</v>
      </c>
      <c r="BN2530" s="62">
        <v>0.05</v>
      </c>
      <c r="BO2530" s="33" t="s">
        <v>753</v>
      </c>
    </row>
    <row r="2531" spans="1:68">
      <c r="A2531" s="33" t="str">
        <f>Database_Productkaarten[[#This Row],[Product]]&amp;", "&amp;Database_Productkaarten[[#This Row],[Levensfase]]</f>
        <v>Deelproduct, Platform, Houten Speeltoestel, A2</v>
      </c>
      <c r="B2531" s="33" t="s">
        <v>819</v>
      </c>
      <c r="C2531" s="33" t="s">
        <v>806</v>
      </c>
      <c r="D2531" s="33" t="s">
        <v>817</v>
      </c>
      <c r="E2531" s="33" t="s">
        <v>783</v>
      </c>
      <c r="F2531" s="33" t="s">
        <v>75</v>
      </c>
      <c r="M2531" s="271">
        <f t="shared" si="935"/>
        <v>1.214E-2</v>
      </c>
      <c r="N2531" s="41">
        <v>4.8740942450999991E-3</v>
      </c>
      <c r="O2531" s="33">
        <v>20</v>
      </c>
      <c r="P2531" s="33">
        <v>9.424634667E-7</v>
      </c>
      <c r="Q2531" s="33">
        <v>4.0942606463999996E-4</v>
      </c>
      <c r="R2531" s="33">
        <v>5.4865790363999994E-2</v>
      </c>
      <c r="S2531" s="33">
        <v>1.0393980888999999E-8</v>
      </c>
      <c r="T2531" s="33">
        <v>3.3428646334999999E-5</v>
      </c>
      <c r="U2531" s="33">
        <v>1.4279017011999999E-4</v>
      </c>
      <c r="V2531" s="33">
        <v>2.3512208127999997E-5</v>
      </c>
      <c r="W2531" s="33">
        <v>1.1800584416999998E-2</v>
      </c>
      <c r="X2531" s="33">
        <v>4.9592016543999998E-4</v>
      </c>
      <c r="Y2531" s="33">
        <v>1.3427664306</v>
      </c>
      <c r="Z2531" s="33">
        <v>6.6654178330000007E-5</v>
      </c>
      <c r="AA2531" s="33">
        <v>5.5339473739999999E-2</v>
      </c>
      <c r="AB2531" s="33">
        <v>5.5299029936999998E-2</v>
      </c>
      <c r="AC2531" s="33">
        <v>2.6655703307999998E-5</v>
      </c>
      <c r="AD2531" s="33">
        <v>1.3788491814E-5</v>
      </c>
      <c r="AE2531" s="33">
        <v>1.3058780087E-8</v>
      </c>
      <c r="AF2531" s="33">
        <v>1.7775499688000001E-4</v>
      </c>
      <c r="AG2531" s="33">
        <v>3.8519997230999996E-7</v>
      </c>
      <c r="AH2531" s="33">
        <v>4.0829312948999998E-5</v>
      </c>
      <c r="AI2531" s="33">
        <v>4.5956900531E-4</v>
      </c>
      <c r="AJ2531" s="33">
        <v>1.7203526622999998E-4</v>
      </c>
      <c r="AK2531" s="33">
        <v>9.4245994609999991E-7</v>
      </c>
      <c r="AL2531" s="33">
        <v>0.85950999689999996</v>
      </c>
      <c r="AM2531" s="33">
        <v>3.6500785629999997E-3</v>
      </c>
      <c r="AN2531" s="33">
        <v>3.8372153276000002E-9</v>
      </c>
      <c r="AO2531" s="33">
        <v>3.6904909233999995E-3</v>
      </c>
      <c r="AP2531" s="33">
        <v>0.62686656370000005</v>
      </c>
      <c r="AQ2531" s="33">
        <v>1.5864214508E-11</v>
      </c>
      <c r="AR2531" s="33">
        <v>5.0578017631999997E-10</v>
      </c>
      <c r="AS2531" s="33">
        <v>0.98259769969999999</v>
      </c>
      <c r="AT2531" s="33">
        <v>0</v>
      </c>
      <c r="AU2531" s="33">
        <v>0</v>
      </c>
      <c r="AV2531" s="316">
        <v>8.8085964370000006E-3</v>
      </c>
      <c r="AW2531" s="314">
        <v>0</v>
      </c>
      <c r="AX2531" s="314">
        <v>0</v>
      </c>
      <c r="AY2531" s="316">
        <v>0.91288004700000003</v>
      </c>
      <c r="AZ2531" s="33">
        <v>0</v>
      </c>
      <c r="BA2531" s="33">
        <v>0</v>
      </c>
      <c r="BB2531" s="33">
        <v>0</v>
      </c>
      <c r="BC2531" s="33">
        <v>1.0977527623E-4</v>
      </c>
      <c r="BD2531" s="33">
        <v>2.1243675526E-6</v>
      </c>
      <c r="BE2531" s="33">
        <v>7.4718416130000007E-2</v>
      </c>
      <c r="BF2531" s="33">
        <v>5.8370150078999997E-6</v>
      </c>
      <c r="BG2531" s="33">
        <v>0</v>
      </c>
      <c r="BH2531" s="33">
        <v>0</v>
      </c>
      <c r="BI2531" s="33">
        <v>0</v>
      </c>
      <c r="BJ2531" s="33">
        <v>0</v>
      </c>
      <c r="BK2531" s="33">
        <v>0</v>
      </c>
      <c r="BL2531" s="62">
        <v>0</v>
      </c>
      <c r="BM2531" s="275">
        <v>3</v>
      </c>
      <c r="BN2531" s="62">
        <v>0.05</v>
      </c>
      <c r="BO2531" s="33" t="s">
        <v>753</v>
      </c>
    </row>
    <row r="2532" spans="1:68">
      <c r="A2532" s="33" t="str">
        <f>Database_Productkaarten[[#This Row],[Product]]&amp;", "&amp;Database_Productkaarten[[#This Row],[Levensfase]]</f>
        <v>Deelproduct, Platform, Houten Speeltoestel, A3</v>
      </c>
      <c r="B2532" s="33" t="s">
        <v>819</v>
      </c>
      <c r="C2532" s="33" t="s">
        <v>806</v>
      </c>
      <c r="D2532" s="33" t="s">
        <v>817</v>
      </c>
      <c r="E2532" s="33" t="s">
        <v>783</v>
      </c>
      <c r="F2532" s="33" t="s">
        <v>76</v>
      </c>
      <c r="M2532" s="271">
        <f t="shared" si="935"/>
        <v>1.214E-2</v>
      </c>
      <c r="N2532" s="41">
        <v>0.21402552574391626</v>
      </c>
      <c r="O2532" s="33">
        <v>20</v>
      </c>
      <c r="P2532" s="33">
        <v>2.0255899999999997E-5</v>
      </c>
      <c r="Q2532" s="33">
        <v>1.5076811799999998E-2</v>
      </c>
      <c r="R2532" s="33">
        <v>2.4134894983999997</v>
      </c>
      <c r="S2532" s="33">
        <v>1.23437E-7</v>
      </c>
      <c r="T2532" s="33">
        <v>4.8311179999999999E-4</v>
      </c>
      <c r="U2532" s="33">
        <v>9.3410621999999999E-3</v>
      </c>
      <c r="V2532" s="33">
        <v>1.8465717999999998E-3</v>
      </c>
      <c r="W2532" s="33">
        <v>0.32271040999999995</v>
      </c>
      <c r="X2532" s="33">
        <v>1.1791226299999999E-2</v>
      </c>
      <c r="Y2532" s="33">
        <v>55.78278272</v>
      </c>
      <c r="Z2532" s="33">
        <v>9.0299344999999979E-3</v>
      </c>
      <c r="AA2532" s="33">
        <v>2.4425566799999996</v>
      </c>
      <c r="AB2532" s="33">
        <v>2.4259137898999996</v>
      </c>
      <c r="AC2532" s="33">
        <v>1.4325234999999999E-2</v>
      </c>
      <c r="AD2532" s="33">
        <v>2.3598483999999996E-3</v>
      </c>
      <c r="AE2532" s="33">
        <v>9.1467999999999996E-8</v>
      </c>
      <c r="AF2532" s="33">
        <v>1.1202647599999999E-2</v>
      </c>
      <c r="AG2532" s="33">
        <v>3.8459429999999998E-4</v>
      </c>
      <c r="AH2532" s="33">
        <v>1.8658301E-3</v>
      </c>
      <c r="AI2532" s="33">
        <v>2.1042221399999998E-2</v>
      </c>
      <c r="AJ2532" s="33">
        <v>5.5818816000000005E-3</v>
      </c>
      <c r="AK2532" s="33">
        <v>2.0255899999999997E-5</v>
      </c>
      <c r="AL2532" s="33">
        <v>31.641078009999998</v>
      </c>
      <c r="AM2532" s="33">
        <v>0.38774863079999994</v>
      </c>
      <c r="AN2532" s="33">
        <v>3.5107599999999997E-8</v>
      </c>
      <c r="AO2532" s="33">
        <v>0.17543276499999999</v>
      </c>
      <c r="AP2532" s="33">
        <v>19.207265266999997</v>
      </c>
      <c r="AQ2532" s="33">
        <v>6.2139999999999994E-10</v>
      </c>
      <c r="AR2532" s="33">
        <v>2.0094199999999995E-8</v>
      </c>
      <c r="AS2532" s="33">
        <v>5.1558391219999997</v>
      </c>
      <c r="AT2532" s="33">
        <v>0</v>
      </c>
      <c r="AU2532" s="33">
        <v>0</v>
      </c>
      <c r="AV2532" s="316">
        <v>2.0530408779999996</v>
      </c>
      <c r="AW2532" s="314">
        <v>0</v>
      </c>
      <c r="AX2532" s="314">
        <v>0</v>
      </c>
      <c r="AY2532" s="316">
        <v>33.845142209999999</v>
      </c>
      <c r="AZ2532" s="33">
        <v>0</v>
      </c>
      <c r="BA2532" s="33">
        <v>0</v>
      </c>
      <c r="BB2532" s="33">
        <v>0</v>
      </c>
      <c r="BC2532" s="33">
        <v>5.6473226699999997E-2</v>
      </c>
      <c r="BD2532" s="33">
        <v>1.7593099999999999E-5</v>
      </c>
      <c r="BE2532" s="33">
        <v>0.20814607269999996</v>
      </c>
      <c r="BF2532" s="33">
        <v>1.498378E-4</v>
      </c>
      <c r="BG2532" s="33">
        <v>0</v>
      </c>
      <c r="BH2532" s="33">
        <v>0</v>
      </c>
      <c r="BI2532" s="33">
        <v>0</v>
      </c>
      <c r="BJ2532" s="33">
        <v>0</v>
      </c>
      <c r="BK2532" s="33">
        <v>0</v>
      </c>
      <c r="BL2532" s="62">
        <v>0</v>
      </c>
      <c r="BM2532" s="275">
        <v>3</v>
      </c>
      <c r="BN2532" s="62">
        <v>0.05</v>
      </c>
      <c r="BO2532" s="33" t="s">
        <v>753</v>
      </c>
    </row>
    <row r="2533" spans="1:68">
      <c r="A2533" s="451" t="str">
        <f>Database_Productkaarten[[#This Row],[Product]]&amp;", "&amp;Database_Productkaarten[[#This Row],[Levensfase]]</f>
        <v>Deelproduct, Platform, Houten Speeltoestel, A1-A3</v>
      </c>
      <c r="B2533" s="451" t="str">
        <f>B2532</f>
        <v>Deelproduct, Platform, Houten Speeltoestel</v>
      </c>
      <c r="C2533" s="451" t="str">
        <f>C2532</f>
        <v>Speeltoestel</v>
      </c>
      <c r="D2533" s="451" t="str">
        <f>D2532</f>
        <v>Houten Speeltoestel</v>
      </c>
      <c r="E2533" s="451" t="str">
        <f>E2532</f>
        <v>Stuk</v>
      </c>
      <c r="F2533" s="451" t="s">
        <v>77</v>
      </c>
      <c r="G2533" s="451">
        <f t="shared" ref="G2533:M2533" si="936">G2532</f>
        <v>0</v>
      </c>
      <c r="H2533" s="451">
        <f t="shared" si="936"/>
        <v>0</v>
      </c>
      <c r="I2533" s="451">
        <f t="shared" si="936"/>
        <v>0</v>
      </c>
      <c r="J2533" s="451">
        <f t="shared" si="936"/>
        <v>0</v>
      </c>
      <c r="K2533" s="451">
        <f t="shared" si="936"/>
        <v>0</v>
      </c>
      <c r="L2533" s="451">
        <f t="shared" si="936"/>
        <v>0</v>
      </c>
      <c r="M2533" s="454">
        <f t="shared" si="936"/>
        <v>1.214E-2</v>
      </c>
      <c r="N2533" s="452">
        <f>SUM(N2530:N2532)</f>
        <v>0.81375961998901625</v>
      </c>
      <c r="O2533" s="451">
        <f>O2532</f>
        <v>20</v>
      </c>
      <c r="P2533" s="453">
        <f t="shared" ref="P2533:BK2533" si="937">SUM(P2530:P2532)</f>
        <v>1.2256736346670001E-4</v>
      </c>
      <c r="Q2533" s="453">
        <f t="shared" si="937"/>
        <v>4.8021437864639999E-2</v>
      </c>
      <c r="R2533" s="453">
        <f t="shared" si="937"/>
        <v>6.9965752887640003</v>
      </c>
      <c r="S2533" s="453">
        <f t="shared" si="937"/>
        <v>8.19740980889E-7</v>
      </c>
      <c r="T2533" s="453">
        <f t="shared" si="937"/>
        <v>6.3558804463349997E-3</v>
      </c>
      <c r="U2533" s="453">
        <f t="shared" si="937"/>
        <v>3.2549852370120001E-2</v>
      </c>
      <c r="V2533" s="453">
        <f t="shared" si="937"/>
        <v>7.0660040081280007E-3</v>
      </c>
      <c r="W2533" s="453">
        <f t="shared" si="937"/>
        <v>2.471150994417</v>
      </c>
      <c r="X2533" s="453">
        <f t="shared" si="937"/>
        <v>8.0878146465440004E-2</v>
      </c>
      <c r="Y2533" s="453">
        <f t="shared" si="937"/>
        <v>236.79754915060002</v>
      </c>
      <c r="Z2533" s="453">
        <f t="shared" si="937"/>
        <v>2.3907388678329998E-2</v>
      </c>
      <c r="AA2533" s="453">
        <f t="shared" si="937"/>
        <v>-24.088703846260003</v>
      </c>
      <c r="AB2533" s="453">
        <f t="shared" si="937"/>
        <v>7.0458528198370001</v>
      </c>
      <c r="AC2533" s="453">
        <f t="shared" si="937"/>
        <v>-31.18544810929669</v>
      </c>
      <c r="AD2533" s="453">
        <f t="shared" si="937"/>
        <v>3.0417036891813999E-2</v>
      </c>
      <c r="AE2533" s="453">
        <f t="shared" si="937"/>
        <v>9.5311278008700004E-7</v>
      </c>
      <c r="AF2533" s="453">
        <f t="shared" si="937"/>
        <v>4.1973202596880005E-2</v>
      </c>
      <c r="AG2533" s="453">
        <f t="shared" si="937"/>
        <v>6.2292349997230992E-4</v>
      </c>
      <c r="AH2533" s="453">
        <f t="shared" si="937"/>
        <v>1.2504879412949E-2</v>
      </c>
      <c r="AI2533" s="453">
        <f t="shared" si="937"/>
        <v>0.13804579040530998</v>
      </c>
      <c r="AJ2533" s="453">
        <f t="shared" si="937"/>
        <v>4.3630716866229997E-2</v>
      </c>
      <c r="AK2533" s="453">
        <f t="shared" si="937"/>
        <v>1.2256735994609999E-4</v>
      </c>
      <c r="AL2533" s="453">
        <f t="shared" si="937"/>
        <v>98.663588006900014</v>
      </c>
      <c r="AM2533" s="453">
        <f t="shared" si="937"/>
        <v>0.84543470936299991</v>
      </c>
      <c r="AN2533" s="453">
        <f t="shared" si="937"/>
        <v>9.7979481532760001E-7</v>
      </c>
      <c r="AO2533" s="453">
        <f t="shared" si="937"/>
        <v>0.46077125592340001</v>
      </c>
      <c r="AP2533" s="453">
        <f t="shared" si="937"/>
        <v>118.2895318307</v>
      </c>
      <c r="AQ2533" s="453">
        <f t="shared" si="937"/>
        <v>3.7693842145079999E-9</v>
      </c>
      <c r="AR2533" s="453">
        <f t="shared" si="937"/>
        <v>1.1541338017632E-7</v>
      </c>
      <c r="AS2533" s="453">
        <f t="shared" si="937"/>
        <v>1912.1184368217</v>
      </c>
      <c r="AT2533" s="453">
        <f t="shared" si="937"/>
        <v>0</v>
      </c>
      <c r="AU2533" s="453">
        <f t="shared" si="937"/>
        <v>0</v>
      </c>
      <c r="AV2533" s="317">
        <f t="shared" si="937"/>
        <v>372.33184947443704</v>
      </c>
      <c r="AW2533" s="317">
        <f t="shared" si="937"/>
        <v>0</v>
      </c>
      <c r="AX2533" s="317">
        <f t="shared" si="937"/>
        <v>0</v>
      </c>
      <c r="AY2533" s="317">
        <f t="shared" si="937"/>
        <v>104.92722225700001</v>
      </c>
      <c r="AZ2533" s="453">
        <f t="shared" si="937"/>
        <v>0</v>
      </c>
      <c r="BA2533" s="453">
        <f t="shared" si="937"/>
        <v>0</v>
      </c>
      <c r="BB2533" s="453">
        <f t="shared" si="937"/>
        <v>0</v>
      </c>
      <c r="BC2533" s="453">
        <f t="shared" si="937"/>
        <v>7.2625647776229998E-2</v>
      </c>
      <c r="BD2533" s="453">
        <f t="shared" si="937"/>
        <v>2.2609746755260002E-4</v>
      </c>
      <c r="BE2533" s="453">
        <f t="shared" si="937"/>
        <v>3.4756844888300003</v>
      </c>
      <c r="BF2533" s="453">
        <f t="shared" si="937"/>
        <v>5.5508081500790004E-4</v>
      </c>
      <c r="BG2533" s="453">
        <f t="shared" si="937"/>
        <v>0</v>
      </c>
      <c r="BH2533" s="453">
        <f t="shared" si="937"/>
        <v>0</v>
      </c>
      <c r="BI2533" s="453">
        <f t="shared" si="937"/>
        <v>0</v>
      </c>
      <c r="BJ2533" s="453">
        <f t="shared" si="937"/>
        <v>0</v>
      </c>
      <c r="BK2533" s="453">
        <f t="shared" si="937"/>
        <v>0</v>
      </c>
      <c r="BL2533" s="62">
        <f>BL2532</f>
        <v>0</v>
      </c>
      <c r="BM2533" s="275">
        <f>BM2532</f>
        <v>3</v>
      </c>
      <c r="BN2533" s="62">
        <v>0.05</v>
      </c>
      <c r="BO2533" s="451" t="str">
        <f>BO2532</f>
        <v>Eigen berekening</v>
      </c>
      <c r="BP2533" s="451"/>
    </row>
    <row r="2534" spans="1:68">
      <c r="A2534" s="33" t="str">
        <f>Database_Productkaarten[[#This Row],[Product]]&amp;", "&amp;Database_Productkaarten[[#This Row],[Levensfase]]</f>
        <v>Deelproduct, Platform, Houten Speeltoestel, A4</v>
      </c>
      <c r="B2534" s="33" t="s">
        <v>819</v>
      </c>
      <c r="C2534" s="33" t="s">
        <v>806</v>
      </c>
      <c r="D2534" s="33" t="s">
        <v>817</v>
      </c>
      <c r="E2534" s="33" t="s">
        <v>783</v>
      </c>
      <c r="F2534" s="33" t="s">
        <v>78</v>
      </c>
      <c r="M2534" s="271">
        <f t="shared" si="935"/>
        <v>1.214E-2</v>
      </c>
      <c r="N2534" s="41">
        <v>0.10196605160749199</v>
      </c>
      <c r="O2534" s="33">
        <v>20</v>
      </c>
      <c r="P2534" s="33">
        <v>1.9718757869999999E-5</v>
      </c>
      <c r="Q2534" s="33">
        <v>8.5662455039999981E-3</v>
      </c>
      <c r="R2534" s="33">
        <v>1.1479333403999998</v>
      </c>
      <c r="S2534" s="33">
        <v>2.174687929E-7</v>
      </c>
      <c r="T2534" s="33">
        <v>6.9941319349999995E-4</v>
      </c>
      <c r="U2534" s="33">
        <v>2.9875373319999997E-3</v>
      </c>
      <c r="V2534" s="33">
        <v>4.919358208E-4</v>
      </c>
      <c r="W2534" s="33">
        <v>0.24689855369999997</v>
      </c>
      <c r="X2534" s="33">
        <v>1.0375924384E-2</v>
      </c>
      <c r="Y2534" s="33">
        <v>28.094124659999999</v>
      </c>
      <c r="Z2534" s="33">
        <v>1.394576713E-3</v>
      </c>
      <c r="AA2534" s="33">
        <v>1.1578440139999999</v>
      </c>
      <c r="AB2534" s="33">
        <v>1.1569978257</v>
      </c>
      <c r="AC2534" s="33">
        <v>5.5770581879999994E-4</v>
      </c>
      <c r="AD2534" s="33">
        <v>2.8849068539999996E-4</v>
      </c>
      <c r="AE2534" s="33">
        <v>2.732232407E-7</v>
      </c>
      <c r="AF2534" s="33">
        <v>3.7190913680000002E-3</v>
      </c>
      <c r="AG2534" s="33">
        <v>8.0593733909999992E-6</v>
      </c>
      <c r="AH2534" s="33">
        <v>8.5425415889999997E-4</v>
      </c>
      <c r="AI2534" s="33">
        <v>9.6153646909999998E-3</v>
      </c>
      <c r="AJ2534" s="33">
        <v>3.5994199029999994E-3</v>
      </c>
      <c r="AK2534" s="33">
        <v>1.9718684209999997E-5</v>
      </c>
      <c r="AL2534" s="33">
        <v>17.98315809</v>
      </c>
      <c r="AM2534" s="33">
        <v>7.6369024299999991E-2</v>
      </c>
      <c r="AN2534" s="33">
        <v>8.0284406359999997E-8</v>
      </c>
      <c r="AO2534" s="33">
        <v>7.7214554739999997E-2</v>
      </c>
      <c r="AP2534" s="33">
        <v>13.11565957</v>
      </c>
      <c r="AQ2534" s="33">
        <v>3.3192013879999997E-10</v>
      </c>
      <c r="AR2534" s="33">
        <v>1.0582221152000001E-8</v>
      </c>
      <c r="AS2534" s="33">
        <v>20.558469169999999</v>
      </c>
      <c r="AT2534" s="33">
        <v>0</v>
      </c>
      <c r="AU2534" s="33">
        <v>0</v>
      </c>
      <c r="AV2534" s="316">
        <v>0.18429847569999999</v>
      </c>
      <c r="AW2534" s="314">
        <v>0</v>
      </c>
      <c r="AX2534" s="314">
        <v>0</v>
      </c>
      <c r="AY2534" s="316">
        <v>19.099796699999999</v>
      </c>
      <c r="AZ2534" s="33">
        <v>0</v>
      </c>
      <c r="BA2534" s="33">
        <v>0</v>
      </c>
      <c r="BB2534" s="33">
        <v>0</v>
      </c>
      <c r="BC2534" s="33">
        <v>2.2967809029999999E-3</v>
      </c>
      <c r="BD2534" s="33">
        <v>4.4447228859999999E-5</v>
      </c>
      <c r="BE2534" s="33">
        <v>1.5633012929999999</v>
      </c>
      <c r="BF2534" s="33">
        <v>1.2212535518999997E-4</v>
      </c>
      <c r="BG2534" s="33">
        <v>0</v>
      </c>
      <c r="BH2534" s="33">
        <v>0</v>
      </c>
      <c r="BI2534" s="33">
        <v>0</v>
      </c>
      <c r="BJ2534" s="33">
        <v>0</v>
      </c>
      <c r="BK2534" s="33">
        <v>0</v>
      </c>
      <c r="BL2534" s="62">
        <v>0</v>
      </c>
      <c r="BM2534" s="275">
        <v>3</v>
      </c>
      <c r="BN2534" s="62">
        <v>0.05</v>
      </c>
      <c r="BO2534" s="33" t="s">
        <v>753</v>
      </c>
    </row>
    <row r="2535" spans="1:68">
      <c r="A2535" s="33" t="str">
        <f>Database_Productkaarten[[#This Row],[Product]]&amp;", "&amp;Database_Productkaarten[[#This Row],[Levensfase]]</f>
        <v>Deelproduct, Platform, Houten Speeltoestel, A5</v>
      </c>
      <c r="B2535" s="33" t="s">
        <v>819</v>
      </c>
      <c r="C2535" s="33" t="s">
        <v>806</v>
      </c>
      <c r="D2535" s="33" t="s">
        <v>817</v>
      </c>
      <c r="E2535" s="33" t="s">
        <v>783</v>
      </c>
      <c r="F2535" s="33" t="s">
        <v>79</v>
      </c>
      <c r="M2535" s="271">
        <f t="shared" si="935"/>
        <v>1.214E-2</v>
      </c>
      <c r="N2535" s="41">
        <v>9.7948947957530508E-2</v>
      </c>
      <c r="O2535" s="33">
        <v>20</v>
      </c>
      <c r="P2535" s="33">
        <v>2.1551162884192277E-6</v>
      </c>
      <c r="Q2535" s="33">
        <v>6.5798710821708111E-3</v>
      </c>
      <c r="R2535" s="33">
        <v>0.96525469596977342</v>
      </c>
      <c r="S2535" s="33">
        <v>1.6937785628375226E-7</v>
      </c>
      <c r="T2535" s="33">
        <v>2.9968745076605104E-4</v>
      </c>
      <c r="U2535" s="33">
        <v>3.2720846421073406E-3</v>
      </c>
      <c r="V2535" s="33">
        <v>6.5086961779905323E-4</v>
      </c>
      <c r="W2535" s="33">
        <v>0.29768403733082205</v>
      </c>
      <c r="X2535" s="33">
        <v>5.7166780235682378E-3</v>
      </c>
      <c r="Y2535" s="33">
        <v>18.925028416999961</v>
      </c>
      <c r="Z2535" s="33">
        <v>2.9731931831122071E-3</v>
      </c>
      <c r="AA2535" s="33">
        <v>0.97033185119007925</v>
      </c>
      <c r="AB2535" s="33">
        <v>0.96995776277764389</v>
      </c>
      <c r="AC2535" s="33">
        <v>1.1155356261612107E-3</v>
      </c>
      <c r="AD2535" s="33">
        <v>1.4908709087859193E-4</v>
      </c>
      <c r="AE2535" s="33">
        <v>2.1222820521901457E-7</v>
      </c>
      <c r="AF2535" s="33">
        <v>4.3457443075098339E-3</v>
      </c>
      <c r="AG2535" s="33">
        <v>6.4016027361824115E-6</v>
      </c>
      <c r="AH2535" s="33">
        <v>1.5006094272274151E-3</v>
      </c>
      <c r="AI2535" s="33">
        <v>1.6497916990083072E-2</v>
      </c>
      <c r="AJ2535" s="33">
        <v>4.4290942647159139E-3</v>
      </c>
      <c r="AK2535" s="33">
        <v>2.1551162884192277E-6</v>
      </c>
      <c r="AL2535" s="33">
        <v>13.96598534008934</v>
      </c>
      <c r="AM2535" s="33">
        <v>2.7878980449784384E-2</v>
      </c>
      <c r="AN2535" s="33">
        <v>1.565636771384759E-8</v>
      </c>
      <c r="AO2535" s="33">
        <v>6.0756093504964324E-2</v>
      </c>
      <c r="AP2535" s="33">
        <v>8.9042375614391336</v>
      </c>
      <c r="AQ2535" s="33">
        <v>1.6966573268084538E-9</v>
      </c>
      <c r="AR2535" s="33">
        <v>1.4548042937529169E-8</v>
      </c>
      <c r="AS2535" s="33">
        <v>2.1967919126057605</v>
      </c>
      <c r="AT2535" s="33">
        <v>8.5052394173291537E-2</v>
      </c>
      <c r="AU2535" s="33">
        <v>0</v>
      </c>
      <c r="AV2535" s="316">
        <v>0.2462263095596986</v>
      </c>
      <c r="AW2535" s="314">
        <v>7.4517373117706509E-3</v>
      </c>
      <c r="AX2535" s="314">
        <v>1.0466057577171812E-5</v>
      </c>
      <c r="AY2535" s="316">
        <v>14.835584845206347</v>
      </c>
      <c r="AZ2535" s="33">
        <v>1.0377192680045336E-5</v>
      </c>
      <c r="BA2535" s="33">
        <v>0</v>
      </c>
      <c r="BB2535" s="33">
        <v>0</v>
      </c>
      <c r="BC2535" s="33">
        <v>1.112419765456897E-3</v>
      </c>
      <c r="BD2535" s="33">
        <v>3.7122544932328822E-5</v>
      </c>
      <c r="BE2535" s="33">
        <v>3.493540708667018E-2</v>
      </c>
      <c r="BF2535" s="33">
        <v>9.5043275218081213E-5</v>
      </c>
      <c r="BG2535" s="33">
        <v>0</v>
      </c>
      <c r="BH2535" s="33">
        <v>0</v>
      </c>
      <c r="BI2535" s="33">
        <v>0</v>
      </c>
      <c r="BJ2535" s="33">
        <v>0</v>
      </c>
      <c r="BK2535" s="33">
        <v>0</v>
      </c>
      <c r="BL2535" s="62">
        <v>0</v>
      </c>
      <c r="BM2535" s="275">
        <v>3</v>
      </c>
      <c r="BN2535" s="62">
        <v>0.05</v>
      </c>
      <c r="BO2535" s="33" t="s">
        <v>753</v>
      </c>
    </row>
    <row r="2536" spans="1:68">
      <c r="A2536" s="33" t="str">
        <f>Database_Productkaarten[[#This Row],[Product]]&amp;", "&amp;Database_Productkaarten[[#This Row],[Levensfase]]</f>
        <v>Deelproduct, Platform, Houten Speeltoestel, C1</v>
      </c>
      <c r="B2536" s="33" t="s">
        <v>819</v>
      </c>
      <c r="C2536" s="33" t="s">
        <v>806</v>
      </c>
      <c r="D2536" s="33" t="s">
        <v>817</v>
      </c>
      <c r="E2536" s="33" t="s">
        <v>783</v>
      </c>
      <c r="F2536" s="33" t="s">
        <v>83</v>
      </c>
      <c r="M2536" s="271">
        <f t="shared" si="935"/>
        <v>1.214E-2</v>
      </c>
      <c r="N2536" s="41">
        <v>9.7948947957530508E-2</v>
      </c>
      <c r="O2536" s="33">
        <v>20</v>
      </c>
      <c r="P2536" s="33">
        <v>2.1551162884192277E-6</v>
      </c>
      <c r="Q2536" s="33">
        <v>6.5798710821708111E-3</v>
      </c>
      <c r="R2536" s="33">
        <v>0.96525469596977342</v>
      </c>
      <c r="S2536" s="33">
        <v>1.6937785628375226E-7</v>
      </c>
      <c r="T2536" s="33">
        <v>2.9968745076605104E-4</v>
      </c>
      <c r="U2536" s="33">
        <v>3.2720846421073406E-3</v>
      </c>
      <c r="V2536" s="33">
        <v>6.5086961779905323E-4</v>
      </c>
      <c r="W2536" s="33">
        <v>0.29768403733082205</v>
      </c>
      <c r="X2536" s="33">
        <v>5.7166780235682378E-3</v>
      </c>
      <c r="Y2536" s="33">
        <v>18.925028416999961</v>
      </c>
      <c r="Z2536" s="33">
        <v>2.9731931831122071E-3</v>
      </c>
      <c r="AA2536" s="33">
        <v>0.97033185119007925</v>
      </c>
      <c r="AB2536" s="33">
        <v>0.96995776277764389</v>
      </c>
      <c r="AC2536" s="33">
        <v>1.1155356261612107E-3</v>
      </c>
      <c r="AD2536" s="33">
        <v>1.4908709087859193E-4</v>
      </c>
      <c r="AE2536" s="33">
        <v>2.1222820521901457E-7</v>
      </c>
      <c r="AF2536" s="33">
        <v>4.3457443075098339E-3</v>
      </c>
      <c r="AG2536" s="33">
        <v>6.4016027361824115E-6</v>
      </c>
      <c r="AH2536" s="33">
        <v>1.5006094272274151E-3</v>
      </c>
      <c r="AI2536" s="33">
        <v>1.6497916990083072E-2</v>
      </c>
      <c r="AJ2536" s="33">
        <v>4.4290942647159139E-3</v>
      </c>
      <c r="AK2536" s="33">
        <v>2.1551162884192277E-6</v>
      </c>
      <c r="AL2536" s="33">
        <v>13.96598534008934</v>
      </c>
      <c r="AM2536" s="33">
        <v>2.7878980449784384E-2</v>
      </c>
      <c r="AN2536" s="33">
        <v>1.565636771384759E-8</v>
      </c>
      <c r="AO2536" s="33">
        <v>6.0756093504964324E-2</v>
      </c>
      <c r="AP2536" s="33">
        <v>8.9042375614391336</v>
      </c>
      <c r="AQ2536" s="33">
        <v>1.6966573268084538E-9</v>
      </c>
      <c r="AR2536" s="33">
        <v>1.4548042937529169E-8</v>
      </c>
      <c r="AS2536" s="33">
        <v>2.1967919126057605</v>
      </c>
      <c r="AT2536" s="33">
        <v>8.5052394173291537E-2</v>
      </c>
      <c r="AU2536" s="33">
        <v>0</v>
      </c>
      <c r="AV2536" s="316">
        <v>0.2462263095596986</v>
      </c>
      <c r="AW2536" s="314">
        <v>7.4517373117706509E-3</v>
      </c>
      <c r="AX2536" s="314">
        <v>1.0466057577171812E-5</v>
      </c>
      <c r="AY2536" s="316">
        <v>14.835584845206347</v>
      </c>
      <c r="AZ2536" s="33">
        <v>1.0377192680045336E-5</v>
      </c>
      <c r="BA2536" s="33">
        <v>0</v>
      </c>
      <c r="BB2536" s="33">
        <v>0</v>
      </c>
      <c r="BC2536" s="33">
        <v>1.112419765456897E-3</v>
      </c>
      <c r="BD2536" s="33">
        <v>3.7122544932328822E-5</v>
      </c>
      <c r="BE2536" s="33">
        <v>3.493540708667018E-2</v>
      </c>
      <c r="BF2536" s="33">
        <v>9.5043275218081213E-5</v>
      </c>
      <c r="BG2536" s="33">
        <v>0</v>
      </c>
      <c r="BH2536" s="33">
        <v>0</v>
      </c>
      <c r="BI2536" s="33">
        <v>0</v>
      </c>
      <c r="BJ2536" s="33">
        <v>0</v>
      </c>
      <c r="BK2536" s="33">
        <v>0</v>
      </c>
      <c r="BL2536" s="62">
        <v>0</v>
      </c>
      <c r="BM2536" s="275">
        <v>3</v>
      </c>
      <c r="BN2536" s="62">
        <v>0.05</v>
      </c>
      <c r="BO2536" s="33" t="s">
        <v>753</v>
      </c>
    </row>
    <row r="2537" spans="1:68">
      <c r="A2537" s="33" t="str">
        <f>Database_Productkaarten[[#This Row],[Product]]&amp;", "&amp;Database_Productkaarten[[#This Row],[Levensfase]]</f>
        <v>Deelproduct, Platform, Houten Speeltoestel, C2</v>
      </c>
      <c r="B2537" s="33" t="s">
        <v>819</v>
      </c>
      <c r="C2537" s="33" t="s">
        <v>806</v>
      </c>
      <c r="D2537" s="33" t="s">
        <v>817</v>
      </c>
      <c r="E2537" s="33" t="s">
        <v>783</v>
      </c>
      <c r="F2537" s="33" t="s">
        <v>84</v>
      </c>
      <c r="M2537" s="271">
        <f t="shared" si="935"/>
        <v>1.214E-2</v>
      </c>
      <c r="N2537" s="41">
        <v>4.8740942450999991E-3</v>
      </c>
      <c r="O2537" s="33">
        <v>20</v>
      </c>
      <c r="P2537" s="33">
        <v>9.424634667E-7</v>
      </c>
      <c r="Q2537" s="33">
        <v>4.0942606463999996E-4</v>
      </c>
      <c r="R2537" s="33">
        <v>5.4865790363999994E-2</v>
      </c>
      <c r="S2537" s="33">
        <v>1.0393980888999999E-8</v>
      </c>
      <c r="T2537" s="33">
        <v>3.3428646334999999E-5</v>
      </c>
      <c r="U2537" s="33">
        <v>1.4279017011999999E-4</v>
      </c>
      <c r="V2537" s="33">
        <v>2.3512208127999997E-5</v>
      </c>
      <c r="W2537" s="33">
        <v>1.1800584416999998E-2</v>
      </c>
      <c r="X2537" s="33">
        <v>4.9592016543999998E-4</v>
      </c>
      <c r="Y2537" s="33">
        <v>1.3427664306</v>
      </c>
      <c r="Z2537" s="33">
        <v>6.6654178330000007E-5</v>
      </c>
      <c r="AA2537" s="33">
        <v>5.5339473739999999E-2</v>
      </c>
      <c r="AB2537" s="33">
        <v>5.5299029936999998E-2</v>
      </c>
      <c r="AC2537" s="33">
        <v>2.6655703307999998E-5</v>
      </c>
      <c r="AD2537" s="33">
        <v>1.3788491814E-5</v>
      </c>
      <c r="AE2537" s="33">
        <v>1.3058780087E-8</v>
      </c>
      <c r="AF2537" s="33">
        <v>1.7775499688000001E-4</v>
      </c>
      <c r="AG2537" s="33">
        <v>3.8519997230999996E-7</v>
      </c>
      <c r="AH2537" s="33">
        <v>4.0829312948999998E-5</v>
      </c>
      <c r="AI2537" s="33">
        <v>4.5956900531E-4</v>
      </c>
      <c r="AJ2537" s="33">
        <v>1.7203526622999998E-4</v>
      </c>
      <c r="AK2537" s="33">
        <v>9.4245994609999991E-7</v>
      </c>
      <c r="AL2537" s="33">
        <v>0.85950999689999996</v>
      </c>
      <c r="AM2537" s="33">
        <v>3.6500785629999997E-3</v>
      </c>
      <c r="AN2537" s="33">
        <v>3.8372153276000002E-9</v>
      </c>
      <c r="AO2537" s="33">
        <v>3.6904909233999995E-3</v>
      </c>
      <c r="AP2537" s="33">
        <v>0.62686656370000005</v>
      </c>
      <c r="AQ2537" s="33">
        <v>1.5864214508E-11</v>
      </c>
      <c r="AR2537" s="33">
        <v>5.0578017631999997E-10</v>
      </c>
      <c r="AS2537" s="33">
        <v>0.98259769969999999</v>
      </c>
      <c r="AT2537" s="33">
        <v>0</v>
      </c>
      <c r="AU2537" s="33">
        <v>0</v>
      </c>
      <c r="AV2537" s="316">
        <v>8.8085964370000006E-3</v>
      </c>
      <c r="AW2537" s="314">
        <v>0</v>
      </c>
      <c r="AX2537" s="314">
        <v>0</v>
      </c>
      <c r="AY2537" s="316">
        <v>0.91288004700000003</v>
      </c>
      <c r="AZ2537" s="33">
        <v>0</v>
      </c>
      <c r="BA2537" s="33">
        <v>0</v>
      </c>
      <c r="BB2537" s="33">
        <v>0</v>
      </c>
      <c r="BC2537" s="33">
        <v>1.0977527623E-4</v>
      </c>
      <c r="BD2537" s="33">
        <v>2.1243675526E-6</v>
      </c>
      <c r="BE2537" s="33">
        <v>7.4718416130000007E-2</v>
      </c>
      <c r="BF2537" s="33">
        <v>5.8370150078999997E-6</v>
      </c>
      <c r="BG2537" s="33">
        <v>0</v>
      </c>
      <c r="BH2537" s="33">
        <v>0</v>
      </c>
      <c r="BI2537" s="33">
        <v>0</v>
      </c>
      <c r="BJ2537" s="33">
        <v>0</v>
      </c>
      <c r="BK2537" s="33">
        <v>0</v>
      </c>
      <c r="BL2537" s="62">
        <v>0</v>
      </c>
      <c r="BM2537" s="275">
        <v>3</v>
      </c>
      <c r="BN2537" s="62">
        <v>0.05</v>
      </c>
      <c r="BO2537" s="33" t="s">
        <v>753</v>
      </c>
    </row>
    <row r="2538" spans="1:68">
      <c r="A2538" s="33" t="str">
        <f>Database_Productkaarten[[#This Row],[Product]]&amp;", "&amp;Database_Productkaarten[[#This Row],[Levensfase]]</f>
        <v>Deelproduct, Platform, Houten Speeltoestel, C3</v>
      </c>
      <c r="B2538" s="33" t="s">
        <v>819</v>
      </c>
      <c r="C2538" s="33" t="s">
        <v>806</v>
      </c>
      <c r="D2538" s="33" t="s">
        <v>817</v>
      </c>
      <c r="E2538" s="33" t="s">
        <v>783</v>
      </c>
      <c r="F2538" s="33" t="s">
        <v>85</v>
      </c>
      <c r="M2538" s="271">
        <f t="shared" si="935"/>
        <v>1.214E-2</v>
      </c>
      <c r="N2538" s="41">
        <v>4.3339800000000003E-3</v>
      </c>
      <c r="O2538" s="33">
        <v>20</v>
      </c>
      <c r="P2538" s="33">
        <v>6.5677400000000009E-6</v>
      </c>
      <c r="Q2538" s="33">
        <v>1.8695600000000003E-4</v>
      </c>
      <c r="R2538" s="33">
        <v>2.8043400000000003E-2</v>
      </c>
      <c r="S2538" s="33">
        <v>1.4810800000000002E-9</v>
      </c>
      <c r="T2538" s="33">
        <v>1.38396E-5</v>
      </c>
      <c r="U2538" s="33">
        <v>1.3839600000000002E-4</v>
      </c>
      <c r="V2538" s="33">
        <v>1.9545400000000001E-5</v>
      </c>
      <c r="W2538" s="33">
        <v>2.25804E-2</v>
      </c>
      <c r="X2538" s="33">
        <v>2.4037200000000004E-4</v>
      </c>
      <c r="Y2538" s="33">
        <v>0.87650800000000006</v>
      </c>
      <c r="Z2538" s="33">
        <v>1.1435880000000002E-4</v>
      </c>
      <c r="AA2538" s="33">
        <v>2.7436400000000003E-2</v>
      </c>
      <c r="AB2538" s="33">
        <v>2.8407600000000005E-2</v>
      </c>
      <c r="AC2538" s="33">
        <v>-1.0158752000000001E-3</v>
      </c>
      <c r="AD2538" s="33">
        <v>3.9212200000000004E-5</v>
      </c>
      <c r="AE2538" s="33">
        <v>1.5296400000000003E-9</v>
      </c>
      <c r="AF2538" s="33">
        <v>1.8331400000000004E-4</v>
      </c>
      <c r="AG2538" s="33">
        <v>1.3354000000000004E-6</v>
      </c>
      <c r="AH2538" s="33">
        <v>2.9864400000000008E-5</v>
      </c>
      <c r="AI2538" s="33">
        <v>4.9662312000000003E-4</v>
      </c>
      <c r="AJ2538" s="33">
        <v>9.7362800000000009E-5</v>
      </c>
      <c r="AK2538" s="33">
        <v>6.5677400000000009E-6</v>
      </c>
      <c r="AL2538" s="33">
        <v>0.33975194598000008</v>
      </c>
      <c r="AM2538" s="33">
        <v>6.0335800000000002E-3</v>
      </c>
      <c r="AN2538" s="33">
        <v>1.8817000000000002E-9</v>
      </c>
      <c r="AO2538" s="33">
        <v>1.3111200000000003E-3</v>
      </c>
      <c r="AP2538" s="33">
        <v>0.63735000000000008</v>
      </c>
      <c r="AQ2538" s="33">
        <v>4.3218400000000007E-11</v>
      </c>
      <c r="AR2538" s="33">
        <v>6.276380000000001E-10</v>
      </c>
      <c r="AS2538" s="33">
        <v>0.44311000000000006</v>
      </c>
      <c r="AT2538" s="33">
        <v>0</v>
      </c>
      <c r="AU2538" s="33">
        <v>0</v>
      </c>
      <c r="AV2538" s="316">
        <v>5.3488063040000006E-2</v>
      </c>
      <c r="AW2538" s="314">
        <v>0</v>
      </c>
      <c r="AX2538" s="314">
        <v>0</v>
      </c>
      <c r="AY2538" s="316">
        <v>0.36133976744000001</v>
      </c>
      <c r="AZ2538" s="33">
        <v>0</v>
      </c>
      <c r="BA2538" s="33">
        <v>0</v>
      </c>
      <c r="BB2538" s="33">
        <v>0</v>
      </c>
      <c r="BC2538" s="33">
        <v>2.2332744000000003E-4</v>
      </c>
      <c r="BD2538" s="33">
        <v>1.3111200000000002E-6</v>
      </c>
      <c r="BE2538" s="33">
        <v>1.3726552320000002E-2</v>
      </c>
      <c r="BF2538" s="33">
        <v>1.0634640000000001E-6</v>
      </c>
      <c r="BG2538" s="33">
        <v>0</v>
      </c>
      <c r="BH2538" s="33">
        <v>0</v>
      </c>
      <c r="BI2538" s="33">
        <v>0</v>
      </c>
      <c r="BJ2538" s="33">
        <v>0</v>
      </c>
      <c r="BK2538" s="33">
        <v>0</v>
      </c>
      <c r="BL2538" s="62">
        <v>0</v>
      </c>
      <c r="BM2538" s="275">
        <v>3</v>
      </c>
      <c r="BN2538" s="62">
        <v>0.05</v>
      </c>
      <c r="BO2538" s="33" t="s">
        <v>753</v>
      </c>
    </row>
    <row r="2539" spans="1:68">
      <c r="A2539" s="33" t="str">
        <f>Database_Productkaarten[[#This Row],[Product]]&amp;", "&amp;Database_Productkaarten[[#This Row],[Levensfase]]</f>
        <v>Deelproduct, Platform, Houten Speeltoestel, C4</v>
      </c>
      <c r="B2539" s="33" t="s">
        <v>819</v>
      </c>
      <c r="C2539" s="33" t="s">
        <v>806</v>
      </c>
      <c r="D2539" s="33" t="s">
        <v>817</v>
      </c>
      <c r="E2539" s="33" t="s">
        <v>783</v>
      </c>
      <c r="F2539" s="33" t="s">
        <v>86</v>
      </c>
      <c r="M2539" s="271">
        <f t="shared" si="935"/>
        <v>1.214E-2</v>
      </c>
      <c r="N2539" s="41">
        <v>4.3734350000000005E-2</v>
      </c>
      <c r="O2539" s="33">
        <v>20</v>
      </c>
      <c r="P2539" s="33">
        <v>5.872118000000001E-7</v>
      </c>
      <c r="Q2539" s="33">
        <v>5.4799960000000006E-4</v>
      </c>
      <c r="R2539" s="33">
        <v>0.12977660000000002</v>
      </c>
      <c r="S2539" s="33">
        <v>1.1496580000000002E-8</v>
      </c>
      <c r="T2539" s="33">
        <v>4.0863240000000006E-4</v>
      </c>
      <c r="U2539" s="33">
        <v>2.0916006000000001E-3</v>
      </c>
      <c r="V2539" s="33">
        <v>5.5164160000000005E-4</v>
      </c>
      <c r="W2539" s="33">
        <v>0.24968338000000004</v>
      </c>
      <c r="X2539" s="33">
        <v>1.9581820000000006E-3</v>
      </c>
      <c r="Y2539" s="33">
        <v>5.0429560000000002</v>
      </c>
      <c r="Z2539" s="33">
        <v>2.5761080000000002E-4</v>
      </c>
      <c r="AA2539" s="33">
        <v>14.344017000000003</v>
      </c>
      <c r="AB2539" s="33">
        <v>9.1924080000000019E-2</v>
      </c>
      <c r="AC2539" s="33">
        <v>14.240827000000001</v>
      </c>
      <c r="AD2539" s="33">
        <v>2.6173840000000006E-5</v>
      </c>
      <c r="AE2539" s="33">
        <v>1.2868400000000002E-8</v>
      </c>
      <c r="AF2539" s="33">
        <v>3.0859880000000004E-3</v>
      </c>
      <c r="AG2539" s="33">
        <v>1.8732020000000002E-6</v>
      </c>
      <c r="AH2539" s="33">
        <v>1.4444172000000002E-3</v>
      </c>
      <c r="AI2539" s="33">
        <v>1.6425420000000003E-2</v>
      </c>
      <c r="AJ2539" s="33">
        <v>4.3078790000000006E-3</v>
      </c>
      <c r="AK2539" s="33">
        <v>5.872118000000001E-7</v>
      </c>
      <c r="AL2539" s="33">
        <v>1.0332354000000001</v>
      </c>
      <c r="AM2539" s="33">
        <v>3.7573300000000004E-2</v>
      </c>
      <c r="AN2539" s="33">
        <v>2.5433300000000003E-8</v>
      </c>
      <c r="AO2539" s="33">
        <v>2.8266411800000005E-3</v>
      </c>
      <c r="AP2539" s="33">
        <v>2.3476915630500006</v>
      </c>
      <c r="AQ2539" s="33">
        <v>2.8692404400000006E-9</v>
      </c>
      <c r="AR2539" s="33">
        <v>9.2245790000000013E-9</v>
      </c>
      <c r="AS2539" s="33">
        <v>0.64435536272000005</v>
      </c>
      <c r="AT2539" s="33">
        <v>0</v>
      </c>
      <c r="AU2539" s="33">
        <v>0</v>
      </c>
      <c r="AV2539" s="316">
        <v>4.1913350000000009E-2</v>
      </c>
      <c r="AW2539" s="314">
        <v>0</v>
      </c>
      <c r="AX2539" s="314">
        <v>0</v>
      </c>
      <c r="AY2539" s="316">
        <v>1.1103244000000001</v>
      </c>
      <c r="AZ2539" s="33">
        <v>0</v>
      </c>
      <c r="BA2539" s="33">
        <v>0</v>
      </c>
      <c r="BB2539" s="33">
        <v>0</v>
      </c>
      <c r="BC2539" s="33">
        <v>4.8789385300000007E-3</v>
      </c>
      <c r="BD2539" s="33">
        <v>2.7205740000000008E-6</v>
      </c>
      <c r="BE2539" s="33">
        <v>0.67198177800000003</v>
      </c>
      <c r="BF2539" s="33">
        <v>3.5752300000000009E-6</v>
      </c>
      <c r="BG2539" s="33">
        <v>0</v>
      </c>
      <c r="BH2539" s="33">
        <v>0</v>
      </c>
      <c r="BI2539" s="33">
        <v>0</v>
      </c>
      <c r="BJ2539" s="33">
        <v>0</v>
      </c>
      <c r="BK2539" s="33">
        <v>0</v>
      </c>
      <c r="BL2539" s="62">
        <v>0</v>
      </c>
      <c r="BM2539" s="275">
        <v>3</v>
      </c>
      <c r="BN2539" s="62">
        <v>0.05</v>
      </c>
      <c r="BO2539" s="33" t="s">
        <v>753</v>
      </c>
    </row>
    <row r="2540" spans="1:68">
      <c r="A2540" s="33" t="str">
        <f>Database_Productkaarten[[#This Row],[Product]]&amp;", "&amp;Database_Productkaarten[[#This Row],[Levensfase]]</f>
        <v>Deelproduct, Platform, Houten Speeltoestel, D</v>
      </c>
      <c r="B2540" s="33" t="s">
        <v>819</v>
      </c>
      <c r="C2540" s="33" t="s">
        <v>806</v>
      </c>
      <c r="D2540" s="33" t="s">
        <v>817</v>
      </c>
      <c r="E2540" s="33" t="s">
        <v>783</v>
      </c>
      <c r="F2540" s="33" t="s">
        <v>89</v>
      </c>
      <c r="M2540" s="271">
        <f t="shared" si="935"/>
        <v>1.214E-2</v>
      </c>
      <c r="N2540" s="41">
        <v>-7.2500080000000022E-2</v>
      </c>
      <c r="O2540" s="33">
        <v>20</v>
      </c>
      <c r="P2540" s="33">
        <v>-1.49640068E-5</v>
      </c>
      <c r="Q2540" s="33">
        <v>-3.3185904000000003E-3</v>
      </c>
      <c r="R2540" s="33">
        <v>-0.47513532000000003</v>
      </c>
      <c r="S2540" s="33">
        <v>-6.4766900000000008E-8</v>
      </c>
      <c r="T2540" s="33">
        <v>-6.4402700000000014E-4</v>
      </c>
      <c r="U2540" s="33">
        <v>-3.1224080000000006E-3</v>
      </c>
      <c r="V2540" s="33">
        <v>-7.679764000000001E-4</v>
      </c>
      <c r="W2540" s="33">
        <v>-0.28276488000000005</v>
      </c>
      <c r="X2540" s="33">
        <v>-7.358054000000001E-3</v>
      </c>
      <c r="Y2540" s="33">
        <v>-17.309212000000002</v>
      </c>
      <c r="Z2540" s="33">
        <v>-2.0349068000000002E-3</v>
      </c>
      <c r="AA2540" s="33">
        <v>4.549732080000001</v>
      </c>
      <c r="AB2540" s="33">
        <v>-0.48127816000000007</v>
      </c>
      <c r="AC2540" s="33">
        <v>5.0399841280000013</v>
      </c>
      <c r="AD2540" s="33">
        <v>-3.3382572000000004E-3</v>
      </c>
      <c r="AE2540" s="33">
        <v>-7.6129940000000015E-8</v>
      </c>
      <c r="AF2540" s="33">
        <v>-4.3315520000000007E-3</v>
      </c>
      <c r="AG2540" s="33">
        <v>-3.1471736000000004E-5</v>
      </c>
      <c r="AH2540" s="33">
        <v>-1.3486326000000002E-3</v>
      </c>
      <c r="AI2540" s="33">
        <v>-1.7119828E-2</v>
      </c>
      <c r="AJ2540" s="33">
        <v>-4.4918000000000007E-3</v>
      </c>
      <c r="AK2540" s="33">
        <v>-1.49640068E-5</v>
      </c>
      <c r="AL2540" s="33">
        <v>-6.5636240544000017</v>
      </c>
      <c r="AM2540" s="33">
        <v>-5.763877760000001E-2</v>
      </c>
      <c r="AN2540" s="33">
        <v>-1.4612918000000004E-7</v>
      </c>
      <c r="AO2540" s="33">
        <v>-2.7734437000000004E-2</v>
      </c>
      <c r="AP2540" s="33">
        <v>-23.065084522600003</v>
      </c>
      <c r="AQ2540" s="33">
        <v>-4.8899920000000002E-10</v>
      </c>
      <c r="AR2540" s="33">
        <v>-1.4413822000000002E-8</v>
      </c>
      <c r="AS2540" s="33">
        <v>-406.71428000000009</v>
      </c>
      <c r="AT2540" s="33">
        <v>0</v>
      </c>
      <c r="AU2540" s="33">
        <v>0</v>
      </c>
      <c r="AV2540" s="316">
        <v>-71.953780000000023</v>
      </c>
      <c r="AW2540" s="314">
        <v>0</v>
      </c>
      <c r="AX2540" s="314">
        <v>0</v>
      </c>
      <c r="AY2540" s="316">
        <v>-6.9761296000000019</v>
      </c>
      <c r="AZ2540" s="33">
        <v>0</v>
      </c>
      <c r="BA2540" s="33">
        <v>0</v>
      </c>
      <c r="BB2540" s="33">
        <v>0</v>
      </c>
      <c r="BC2540" s="33">
        <v>-2.1196864900000002E-3</v>
      </c>
      <c r="BD2540" s="33">
        <v>-2.2293896000000006E-5</v>
      </c>
      <c r="BE2540" s="33">
        <v>-0.22473859360000004</v>
      </c>
      <c r="BF2540" s="33">
        <v>-3.5358964000000006E-5</v>
      </c>
      <c r="BG2540" s="33">
        <v>0</v>
      </c>
      <c r="BH2540" s="33">
        <v>0</v>
      </c>
      <c r="BI2540" s="33">
        <v>0</v>
      </c>
      <c r="BJ2540" s="33">
        <v>0</v>
      </c>
      <c r="BK2540" s="33">
        <v>0</v>
      </c>
      <c r="BL2540" s="62">
        <v>0</v>
      </c>
      <c r="BM2540" s="275">
        <v>3</v>
      </c>
      <c r="BN2540" s="62">
        <v>0.05</v>
      </c>
      <c r="BO2540" s="33" t="s">
        <v>753</v>
      </c>
    </row>
    <row r="2541" spans="1:68">
      <c r="M2541" s="41"/>
      <c r="N2541" s="41"/>
      <c r="BM2541" s="275"/>
      <c r="BN2541" s="279"/>
    </row>
    <row r="2542" spans="1:68">
      <c r="M2542" s="41"/>
      <c r="N2542" s="41"/>
      <c r="BM2542" s="275"/>
      <c r="BN2542" s="279"/>
    </row>
    <row r="2543" spans="1:68">
      <c r="M2543" s="41"/>
      <c r="N2543" s="41"/>
      <c r="BM2543" s="275"/>
      <c r="BN2543" s="279"/>
    </row>
    <row r="2544" spans="1:68">
      <c r="M2544" s="41"/>
      <c r="N2544" s="41"/>
      <c r="BM2544" s="275"/>
      <c r="BN2544" s="279"/>
    </row>
    <row r="2545" spans="1:66">
      <c r="M2545" s="41"/>
      <c r="N2545" s="41"/>
      <c r="BM2545" s="275"/>
      <c r="BN2545" s="279"/>
    </row>
    <row r="2546" spans="1:66">
      <c r="M2546" s="41"/>
      <c r="N2546" s="41"/>
      <c r="BM2546" s="275"/>
      <c r="BN2546" s="279"/>
    </row>
    <row r="2547" spans="1:66">
      <c r="M2547" s="41"/>
      <c r="N2547" s="41"/>
      <c r="BM2547" s="275"/>
      <c r="BN2547" s="279"/>
    </row>
    <row r="2549" spans="1:66" ht="15.75">
      <c r="A2549" s="33" t="s">
        <v>820</v>
      </c>
      <c r="B2549" s="33" t="s">
        <v>11</v>
      </c>
      <c r="C2549" s="33" t="s">
        <v>6</v>
      </c>
      <c r="D2549" s="33" t="s">
        <v>9</v>
      </c>
      <c r="E2549" s="33" t="s">
        <v>821</v>
      </c>
      <c r="F2549" s="33" t="s">
        <v>822</v>
      </c>
      <c r="G2549" s="33" t="s">
        <v>430</v>
      </c>
      <c r="H2549" s="33" t="s">
        <v>823</v>
      </c>
      <c r="I2549" s="33" t="s">
        <v>824</v>
      </c>
      <c r="J2549" s="174" t="s">
        <v>431</v>
      </c>
      <c r="K2549" s="175" t="s">
        <v>432</v>
      </c>
      <c r="L2549" s="175" t="s">
        <v>433</v>
      </c>
      <c r="M2549" s="175" t="s">
        <v>434</v>
      </c>
      <c r="N2549" s="176" t="s">
        <v>435</v>
      </c>
      <c r="O2549" s="175" t="s">
        <v>436</v>
      </c>
      <c r="P2549" s="175" t="s">
        <v>437</v>
      </c>
      <c r="Q2549" s="175" t="s">
        <v>438</v>
      </c>
      <c r="R2549" s="175" t="s">
        <v>439</v>
      </c>
      <c r="S2549" s="175" t="s">
        <v>440</v>
      </c>
      <c r="T2549" s="175" t="s">
        <v>441</v>
      </c>
      <c r="U2549" s="175" t="s">
        <v>442</v>
      </c>
      <c r="V2549" s="175" t="s">
        <v>443</v>
      </c>
      <c r="W2549" s="175" t="s">
        <v>444</v>
      </c>
      <c r="X2549" s="176" t="s">
        <v>445</v>
      </c>
      <c r="Y2549" s="176" t="s">
        <v>446</v>
      </c>
      <c r="Z2549" s="175" t="s">
        <v>447</v>
      </c>
      <c r="AA2549" s="175" t="s">
        <v>448</v>
      </c>
      <c r="AB2549" s="176" t="s">
        <v>449</v>
      </c>
      <c r="AC2549" s="175" t="s">
        <v>450</v>
      </c>
      <c r="AD2549" s="175" t="s">
        <v>451</v>
      </c>
      <c r="AE2549" s="176" t="s">
        <v>452</v>
      </c>
      <c r="AF2549" s="176" t="s">
        <v>453</v>
      </c>
      <c r="AG2549" s="176" t="s">
        <v>454</v>
      </c>
      <c r="AH2549" s="176" t="s">
        <v>455</v>
      </c>
      <c r="AI2549" s="176" t="s">
        <v>456</v>
      </c>
      <c r="AJ2549" s="176" t="s">
        <v>457</v>
      </c>
      <c r="AK2549" s="176" t="s">
        <v>458</v>
      </c>
      <c r="AL2549" s="176" t="s">
        <v>459</v>
      </c>
      <c r="AM2549" s="176" t="s">
        <v>460</v>
      </c>
      <c r="AN2549" s="176" t="s">
        <v>461</v>
      </c>
      <c r="AO2549" s="175" t="s">
        <v>462</v>
      </c>
      <c r="AP2549" s="175" t="s">
        <v>463</v>
      </c>
      <c r="AQ2549" s="175" t="s">
        <v>464</v>
      </c>
      <c r="AR2549" s="175" t="s">
        <v>465</v>
      </c>
      <c r="AS2549" s="176" t="s">
        <v>466</v>
      </c>
      <c r="AT2549" s="176" t="s">
        <v>467</v>
      </c>
      <c r="AU2549" s="176" t="s">
        <v>468</v>
      </c>
      <c r="AV2549" s="176" t="s">
        <v>469</v>
      </c>
      <c r="AW2549" s="176" t="s">
        <v>470</v>
      </c>
      <c r="AX2549" s="176" t="s">
        <v>471</v>
      </c>
      <c r="AY2549" s="176" t="s">
        <v>472</v>
      </c>
      <c r="AZ2549" s="176" t="s">
        <v>473</v>
      </c>
      <c r="BA2549" s="176" t="s">
        <v>474</v>
      </c>
      <c r="BB2549" s="176" t="s">
        <v>475</v>
      </c>
      <c r="BC2549" s="176" t="s">
        <v>476</v>
      </c>
      <c r="BD2549" s="176" t="s">
        <v>477</v>
      </c>
      <c r="BE2549" s="177" t="s">
        <v>478</v>
      </c>
      <c r="BF2549" s="33" t="s">
        <v>480</v>
      </c>
      <c r="BG2549" s="33" t="s">
        <v>481</v>
      </c>
      <c r="BH2549" s="33" t="s">
        <v>825</v>
      </c>
    </row>
    <row r="2550" spans="1:66">
      <c r="A2550" s="33" t="s">
        <v>826</v>
      </c>
      <c r="B2550" s="33" t="s">
        <v>827</v>
      </c>
      <c r="C2550" s="33" t="s">
        <v>828</v>
      </c>
      <c r="E2550" s="33" t="s">
        <v>829</v>
      </c>
      <c r="F2550" s="33">
        <v>0</v>
      </c>
      <c r="G2550" s="41">
        <v>0</v>
      </c>
      <c r="H2550" s="33">
        <v>0</v>
      </c>
      <c r="I2550" s="45">
        <v>0</v>
      </c>
      <c r="J2550" s="33">
        <v>0</v>
      </c>
      <c r="K2550" s="33">
        <v>0</v>
      </c>
      <c r="L2550" s="33">
        <v>0</v>
      </c>
      <c r="M2550" s="33">
        <v>0</v>
      </c>
      <c r="N2550" s="33">
        <v>0</v>
      </c>
      <c r="O2550" s="33">
        <v>0</v>
      </c>
      <c r="P2550" s="33">
        <v>0</v>
      </c>
      <c r="Q2550" s="33">
        <v>0</v>
      </c>
      <c r="R2550" s="33">
        <v>0</v>
      </c>
      <c r="S2550" s="33">
        <v>0</v>
      </c>
      <c r="T2550" s="33">
        <v>0</v>
      </c>
      <c r="AP2550" s="33">
        <v>0</v>
      </c>
      <c r="AS2550" s="33">
        <v>0</v>
      </c>
      <c r="AW2550" s="33">
        <v>0</v>
      </c>
      <c r="AX2550" s="33">
        <v>0</v>
      </c>
      <c r="AY2550" s="33">
        <v>0</v>
      </c>
      <c r="AZ2550" s="33">
        <v>0</v>
      </c>
    </row>
    <row r="2551" spans="1:66">
      <c r="A2551" t="s">
        <v>830</v>
      </c>
      <c r="B2551" s="33" t="s">
        <v>827</v>
      </c>
      <c r="C2551" s="33" t="s">
        <v>828</v>
      </c>
      <c r="D2551" s="33" t="s">
        <v>831</v>
      </c>
      <c r="E2551" s="33" t="s">
        <v>829</v>
      </c>
      <c r="G2551" s="41">
        <v>1.1058182999999999E-2</v>
      </c>
      <c r="H2551" s="33">
        <v>0.84</v>
      </c>
      <c r="I2551" s="89">
        <v>35.9</v>
      </c>
      <c r="J2551" s="163">
        <v>1.5503313E-6</v>
      </c>
      <c r="K2551">
        <v>6.7059661000000003E-4</v>
      </c>
      <c r="L2551">
        <v>8.9419296999999995E-2</v>
      </c>
      <c r="M2551" s="163">
        <v>1.7018447000000001E-8</v>
      </c>
      <c r="N2551" s="163">
        <v>5.6448398000000001E-5</v>
      </c>
      <c r="O2551">
        <v>3.4895854999999999E-4</v>
      </c>
      <c r="P2551" s="163">
        <v>6.7854228000000002E-5</v>
      </c>
      <c r="Q2551">
        <v>4.2896199000000003E-2</v>
      </c>
      <c r="R2551">
        <v>1.1632036E-3</v>
      </c>
      <c r="S2551">
        <v>4.5593297000000002</v>
      </c>
      <c r="T2551">
        <v>1.3762761999999999E-4</v>
      </c>
      <c r="U2551">
        <v>9.0215332999999995E-2</v>
      </c>
      <c r="V2551">
        <v>9.0122828000000002E-2</v>
      </c>
      <c r="W2551" s="163">
        <v>6.5975218000000001E-5</v>
      </c>
      <c r="X2551" s="163">
        <v>2.6529482000000001E-5</v>
      </c>
      <c r="Y2551" s="163">
        <v>2.1348581E-8</v>
      </c>
      <c r="Z2551">
        <v>4.6060771000000001E-4</v>
      </c>
      <c r="AA2551" s="163">
        <v>6.9304353000000001E-7</v>
      </c>
      <c r="AB2551">
        <v>1.5630171999999999E-4</v>
      </c>
      <c r="AC2551">
        <v>1.7241183000000001E-3</v>
      </c>
      <c r="AD2551">
        <v>5.1493587999999996E-4</v>
      </c>
      <c r="AE2551" s="163">
        <v>1.5503247E-6</v>
      </c>
      <c r="AF2551">
        <v>1.412609</v>
      </c>
      <c r="AG2551">
        <v>4.5911889000000003E-3</v>
      </c>
      <c r="AH2551" s="163">
        <v>8.3720122999999994E-9</v>
      </c>
      <c r="AI2551">
        <v>6.1732280999999998E-3</v>
      </c>
      <c r="AJ2551">
        <v>1.1250192000000001</v>
      </c>
      <c r="AK2551" s="163">
        <v>2.7717852E-11</v>
      </c>
      <c r="AL2551" s="163">
        <v>1.2798590000000001E-9</v>
      </c>
      <c r="AM2551">
        <v>1.6188959999999999</v>
      </c>
      <c r="AN2551">
        <v>0</v>
      </c>
      <c r="AO2551">
        <v>0</v>
      </c>
      <c r="AP2551">
        <v>1.7790574E-2</v>
      </c>
      <c r="AQ2551">
        <v>0</v>
      </c>
      <c r="AR2551">
        <v>0</v>
      </c>
      <c r="AS2551">
        <v>1.4997788999999999</v>
      </c>
      <c r="AT2551">
        <v>0</v>
      </c>
      <c r="AU2551">
        <v>0</v>
      </c>
      <c r="AV2551">
        <v>0</v>
      </c>
      <c r="AW2551">
        <v>1.6096685000000001E-4</v>
      </c>
      <c r="AX2551" s="163">
        <v>3.4243606999999999E-6</v>
      </c>
      <c r="AY2551">
        <v>0.12296701</v>
      </c>
      <c r="AZ2551" s="163">
        <v>9.6439474999999992E-6</v>
      </c>
      <c r="BA2551">
        <v>0</v>
      </c>
      <c r="BB2551">
        <v>0</v>
      </c>
      <c r="BC2551">
        <v>0</v>
      </c>
      <c r="BD2551">
        <v>0</v>
      </c>
      <c r="BE2551">
        <v>0</v>
      </c>
      <c r="BF2551" t="s">
        <v>832</v>
      </c>
      <c r="BH2551" s="33" t="s">
        <v>135</v>
      </c>
    </row>
    <row r="2552" spans="1:66">
      <c r="A2552" t="s">
        <v>224</v>
      </c>
      <c r="B2552" s="33" t="s">
        <v>827</v>
      </c>
      <c r="C2552" s="33" t="s">
        <v>828</v>
      </c>
      <c r="D2552" s="33" t="s">
        <v>831</v>
      </c>
      <c r="E2552" s="33" t="s">
        <v>829</v>
      </c>
      <c r="G2552" s="41">
        <v>8.5984877000000008E-3</v>
      </c>
      <c r="H2552" s="33">
        <v>0.84</v>
      </c>
      <c r="I2552" s="89">
        <v>35.9</v>
      </c>
      <c r="J2552" s="163">
        <v>1.5405109000000001E-6</v>
      </c>
      <c r="K2552">
        <v>6.6747292000000002E-4</v>
      </c>
      <c r="L2552">
        <v>8.9664735999999995E-2</v>
      </c>
      <c r="M2552" s="163">
        <v>1.6986478000000001E-8</v>
      </c>
      <c r="N2552" s="163">
        <v>5.6038188000000002E-5</v>
      </c>
      <c r="O2552">
        <v>3.3119123E-4</v>
      </c>
      <c r="P2552" s="163">
        <v>6.4212003000000003E-5</v>
      </c>
      <c r="Q2552">
        <v>1.9370008000000001E-2</v>
      </c>
      <c r="R2552">
        <v>8.1444891E-4</v>
      </c>
      <c r="S2552">
        <v>2.1868436</v>
      </c>
      <c r="T2552">
        <v>1.08854E-4</v>
      </c>
      <c r="U2552">
        <v>9.0509394000000007E-2</v>
      </c>
      <c r="V2552">
        <v>9.0442044999999999E-2</v>
      </c>
      <c r="W2552" s="163">
        <v>4.481689E-5</v>
      </c>
      <c r="X2552" s="163">
        <v>2.2532055000000001E-5</v>
      </c>
      <c r="Y2552" s="163">
        <v>2.1350215999999999E-8</v>
      </c>
      <c r="Z2552">
        <v>4.3510598000000002E-4</v>
      </c>
      <c r="AA2552" s="163">
        <v>6.2456367999999998E-7</v>
      </c>
      <c r="AB2552">
        <v>1.4419853999999999E-4</v>
      </c>
      <c r="AC2552">
        <v>1.5910306E-3</v>
      </c>
      <c r="AD2552">
        <v>4.8317704E-4</v>
      </c>
      <c r="AE2552" s="163">
        <v>1.5405051999999999E-6</v>
      </c>
      <c r="AF2552">
        <v>1.4018991999999999</v>
      </c>
      <c r="AG2552">
        <v>4.3905847999999997E-3</v>
      </c>
      <c r="AH2552" s="163">
        <v>6.7032723999999997E-9</v>
      </c>
      <c r="AI2552">
        <v>6.0419851000000002E-3</v>
      </c>
      <c r="AJ2552">
        <v>1.0241016000000001</v>
      </c>
      <c r="AK2552" s="163">
        <v>2.6234486000000001E-11</v>
      </c>
      <c r="AL2552" s="163">
        <v>8.7144148000000002E-10</v>
      </c>
      <c r="AM2552">
        <v>1.6167731999999999</v>
      </c>
      <c r="AN2552">
        <v>0</v>
      </c>
      <c r="AO2552">
        <v>0</v>
      </c>
      <c r="AP2552">
        <v>1.4224857E-2</v>
      </c>
      <c r="AQ2552">
        <v>0</v>
      </c>
      <c r="AR2552">
        <v>0</v>
      </c>
      <c r="AS2552">
        <v>1.4886362</v>
      </c>
      <c r="AT2552">
        <v>0</v>
      </c>
      <c r="AU2552">
        <v>0</v>
      </c>
      <c r="AV2552">
        <v>0</v>
      </c>
      <c r="AW2552">
        <v>1.4232274000000001E-4</v>
      </c>
      <c r="AX2552" s="163">
        <v>3.47929E-6</v>
      </c>
      <c r="AY2552">
        <v>0.12303902</v>
      </c>
      <c r="AZ2552" s="163">
        <v>9.5618692000000008E-6</v>
      </c>
      <c r="BA2552">
        <v>0</v>
      </c>
      <c r="BB2552">
        <v>0</v>
      </c>
      <c r="BC2552">
        <v>0</v>
      </c>
      <c r="BD2552">
        <v>0</v>
      </c>
      <c r="BE2552">
        <v>0</v>
      </c>
      <c r="BF2552" t="s">
        <v>833</v>
      </c>
      <c r="BG2552" s="33" t="s">
        <v>834</v>
      </c>
      <c r="BH2552" s="33" t="s">
        <v>135</v>
      </c>
    </row>
    <row r="2553" spans="1:66">
      <c r="A2553" t="s">
        <v>835</v>
      </c>
      <c r="B2553" s="33" t="s">
        <v>827</v>
      </c>
      <c r="C2553" s="33" t="s">
        <v>828</v>
      </c>
      <c r="D2553" s="33" t="s">
        <v>831</v>
      </c>
      <c r="E2553" s="33" t="s">
        <v>829</v>
      </c>
      <c r="G2553" s="41">
        <v>8.6972225000000007E-3</v>
      </c>
      <c r="H2553" s="33">
        <v>0.876</v>
      </c>
      <c r="I2553" s="89">
        <v>33.1</v>
      </c>
      <c r="J2553" s="163">
        <v>2.0580955E-7</v>
      </c>
      <c r="K2553">
        <v>2.8864768E-4</v>
      </c>
      <c r="L2553">
        <v>3.8487441999999997E-2</v>
      </c>
      <c r="M2553" s="163">
        <v>6.0631816000000002E-9</v>
      </c>
      <c r="N2553" s="163">
        <v>5.2732806999999997E-5</v>
      </c>
      <c r="O2553">
        <v>3.7579273000000002E-4</v>
      </c>
      <c r="P2553">
        <v>1.4614608E-4</v>
      </c>
      <c r="Q2553">
        <v>2.8326627E-2</v>
      </c>
      <c r="R2553">
        <v>1.4741120999999999E-2</v>
      </c>
      <c r="S2553">
        <v>4.6234080000000004</v>
      </c>
      <c r="T2553">
        <v>5.8088295999999999E-3</v>
      </c>
      <c r="U2553">
        <v>0</v>
      </c>
      <c r="V2553">
        <v>0</v>
      </c>
      <c r="W2553">
        <v>0</v>
      </c>
      <c r="X2553">
        <v>0</v>
      </c>
      <c r="Y2553">
        <v>0</v>
      </c>
      <c r="Z2553">
        <v>0</v>
      </c>
      <c r="AA2553">
        <v>0</v>
      </c>
      <c r="AB2553">
        <v>0</v>
      </c>
      <c r="AC2553">
        <v>0</v>
      </c>
      <c r="AD2553">
        <v>0</v>
      </c>
      <c r="AE2553">
        <v>0</v>
      </c>
      <c r="AF2553">
        <v>0</v>
      </c>
      <c r="AG2553">
        <v>0</v>
      </c>
      <c r="AH2553">
        <v>0</v>
      </c>
      <c r="AI2553">
        <v>0</v>
      </c>
      <c r="AJ2553">
        <v>0</v>
      </c>
      <c r="AK2553">
        <v>0</v>
      </c>
      <c r="AL2553">
        <v>0</v>
      </c>
      <c r="AM2553">
        <v>0</v>
      </c>
      <c r="AN2553">
        <v>0</v>
      </c>
      <c r="AO2553">
        <v>0</v>
      </c>
      <c r="AP2553">
        <v>0.19651880999999999</v>
      </c>
      <c r="AQ2553">
        <v>0</v>
      </c>
      <c r="AR2553">
        <v>0</v>
      </c>
      <c r="AS2553">
        <v>0.65246647000000002</v>
      </c>
      <c r="AT2553">
        <v>0</v>
      </c>
      <c r="AU2553">
        <v>0</v>
      </c>
      <c r="AV2553">
        <v>0</v>
      </c>
      <c r="AW2553">
        <v>1.6025995999999999E-3</v>
      </c>
      <c r="AX2553" s="163">
        <v>4.3346448999999998E-6</v>
      </c>
      <c r="AY2553">
        <v>0.11849893</v>
      </c>
      <c r="AZ2553">
        <v>0</v>
      </c>
      <c r="BA2553">
        <v>0</v>
      </c>
      <c r="BB2553">
        <v>0</v>
      </c>
      <c r="BC2553">
        <v>0</v>
      </c>
      <c r="BD2553">
        <v>0</v>
      </c>
      <c r="BE2553">
        <v>0</v>
      </c>
      <c r="BF2553" t="s">
        <v>836</v>
      </c>
      <c r="BG2553" s="33" t="s">
        <v>837</v>
      </c>
      <c r="BH2553" s="33" t="s">
        <v>135</v>
      </c>
    </row>
    <row r="2554" spans="1:66">
      <c r="A2554" t="s">
        <v>838</v>
      </c>
      <c r="B2554" s="33" t="s">
        <v>827</v>
      </c>
      <c r="C2554" s="33" t="s">
        <v>828</v>
      </c>
      <c r="D2554" s="33" t="s">
        <v>831</v>
      </c>
      <c r="E2554" s="33" t="s">
        <v>829</v>
      </c>
      <c r="G2554" s="41">
        <v>1.0817278E-2</v>
      </c>
      <c r="H2554" s="33">
        <v>0.77900000000000003</v>
      </c>
      <c r="I2554" s="89">
        <v>34.299999999999997</v>
      </c>
      <c r="J2554" s="163">
        <v>1.8489988000000001E-6</v>
      </c>
      <c r="K2554">
        <v>1.0971551000000001E-3</v>
      </c>
      <c r="L2554">
        <v>0.12705553999999999</v>
      </c>
      <c r="M2554" s="163">
        <v>5.4014328999999997E-9</v>
      </c>
      <c r="N2554">
        <v>1.0311162E-4</v>
      </c>
      <c r="O2554">
        <v>4.6617460999999997E-4</v>
      </c>
      <c r="P2554" s="163">
        <v>5.7688507999999997E-5</v>
      </c>
      <c r="Q2554">
        <v>1.693776E-2</v>
      </c>
      <c r="R2554">
        <v>5.3799526000000003E-4</v>
      </c>
      <c r="S2554">
        <v>1.5131576</v>
      </c>
      <c r="T2554">
        <v>1.0877211E-4</v>
      </c>
      <c r="U2554">
        <v>0.12989936999999999</v>
      </c>
      <c r="V2554">
        <v>0.12991384</v>
      </c>
      <c r="W2554" s="163">
        <v>-3.8064717999999997E-5</v>
      </c>
      <c r="X2554" s="163">
        <v>2.3592411000000001E-5</v>
      </c>
      <c r="Y2554" s="163">
        <v>6.5509814000000001E-9</v>
      </c>
      <c r="Z2554">
        <v>5.8605004000000002E-4</v>
      </c>
      <c r="AA2554" s="163">
        <v>7.1126821999999999E-7</v>
      </c>
      <c r="AB2554">
        <v>1.5065316000000001E-4</v>
      </c>
      <c r="AC2554">
        <v>1.6657931000000001E-3</v>
      </c>
      <c r="AD2554">
        <v>5.9658287999999997E-4</v>
      </c>
      <c r="AE2554" s="163">
        <v>1.8489927E-6</v>
      </c>
      <c r="AF2554">
        <v>2.063669</v>
      </c>
      <c r="AG2554">
        <v>4.8459143999999999E-3</v>
      </c>
      <c r="AH2554" s="163">
        <v>6.2950940999999997E-9</v>
      </c>
      <c r="AI2554">
        <v>1.8395085000000001E-3</v>
      </c>
      <c r="AJ2554">
        <v>0.65727119000000001</v>
      </c>
      <c r="AK2554" s="163">
        <v>3.0814573999999999E-11</v>
      </c>
      <c r="AL2554" s="163">
        <v>9.3072700000000003E-10</v>
      </c>
      <c r="AM2554">
        <v>1.5259923</v>
      </c>
      <c r="AN2554">
        <v>0</v>
      </c>
      <c r="AO2554">
        <v>0</v>
      </c>
      <c r="AP2554">
        <v>1.6140607000000001E-2</v>
      </c>
      <c r="AQ2554">
        <v>0</v>
      </c>
      <c r="AR2554">
        <v>0</v>
      </c>
      <c r="AS2554">
        <v>2.2697040999999998</v>
      </c>
      <c r="AT2554">
        <v>0</v>
      </c>
      <c r="AU2554">
        <v>0</v>
      </c>
      <c r="AV2554">
        <v>0</v>
      </c>
      <c r="AW2554">
        <v>1.5522942E-4</v>
      </c>
      <c r="AX2554" s="163">
        <v>2.6404418000000002E-6</v>
      </c>
      <c r="AY2554">
        <v>0.1235079</v>
      </c>
      <c r="AZ2554" s="163">
        <v>2.5934388000000002E-6</v>
      </c>
      <c r="BA2554">
        <v>0</v>
      </c>
      <c r="BB2554">
        <v>0</v>
      </c>
      <c r="BC2554">
        <v>0</v>
      </c>
      <c r="BD2554">
        <v>0</v>
      </c>
      <c r="BE2554">
        <v>0</v>
      </c>
      <c r="BF2554" t="s">
        <v>839</v>
      </c>
      <c r="BG2554" s="33" t="s">
        <v>840</v>
      </c>
      <c r="BH2554" s="33" t="s">
        <v>135</v>
      </c>
    </row>
    <row r="2555" spans="1:66">
      <c r="A2555" t="s">
        <v>841</v>
      </c>
      <c r="B2555" s="33" t="s">
        <v>827</v>
      </c>
      <c r="C2555" s="33" t="s">
        <v>828</v>
      </c>
      <c r="D2555" s="33" t="s">
        <v>831</v>
      </c>
      <c r="E2555" s="33" t="s">
        <v>829</v>
      </c>
      <c r="G2555" s="41">
        <v>8.1429332000000007E-3</v>
      </c>
      <c r="H2555" s="33">
        <v>0.78100000000000003</v>
      </c>
      <c r="I2555" s="89">
        <v>34.5</v>
      </c>
      <c r="J2555" s="163">
        <v>1.8756228000000001E-7</v>
      </c>
      <c r="K2555">
        <v>2.4429161E-4</v>
      </c>
      <c r="L2555">
        <v>4.0595556999999997E-2</v>
      </c>
      <c r="M2555" s="163">
        <v>5.4322198E-9</v>
      </c>
      <c r="N2555" s="163">
        <v>5.4208444999999997E-5</v>
      </c>
      <c r="O2555">
        <v>2.7608341999999999E-4</v>
      </c>
      <c r="P2555" s="163">
        <v>9.3144390000000001E-5</v>
      </c>
      <c r="Q2555">
        <v>3.0582972E-2</v>
      </c>
      <c r="R2555">
        <v>1.4587809E-2</v>
      </c>
      <c r="S2555">
        <v>4.8294813999999997</v>
      </c>
      <c r="T2555">
        <v>5.8295960000000003E-3</v>
      </c>
      <c r="U2555">
        <v>0</v>
      </c>
      <c r="V2555">
        <v>0</v>
      </c>
      <c r="W2555">
        <v>0</v>
      </c>
      <c r="X2555">
        <v>0</v>
      </c>
      <c r="Y2555">
        <v>0</v>
      </c>
      <c r="Z2555">
        <v>0</v>
      </c>
      <c r="AA2555">
        <v>0</v>
      </c>
      <c r="AB2555">
        <v>0</v>
      </c>
      <c r="AC2555">
        <v>0</v>
      </c>
      <c r="AD2555">
        <v>0</v>
      </c>
      <c r="AE2555">
        <v>0</v>
      </c>
      <c r="AF2555">
        <v>0</v>
      </c>
      <c r="AG2555">
        <v>0</v>
      </c>
      <c r="AH2555">
        <v>0</v>
      </c>
      <c r="AI2555">
        <v>0</v>
      </c>
      <c r="AJ2555">
        <v>0</v>
      </c>
      <c r="AK2555">
        <v>0</v>
      </c>
      <c r="AL2555">
        <v>0</v>
      </c>
      <c r="AM2555">
        <v>0</v>
      </c>
      <c r="AN2555">
        <v>0</v>
      </c>
      <c r="AO2555">
        <v>0</v>
      </c>
      <c r="AP2555">
        <v>7.7688775000000002E-2</v>
      </c>
      <c r="AQ2555">
        <v>0</v>
      </c>
      <c r="AR2555">
        <v>0</v>
      </c>
      <c r="AS2555">
        <v>0.56245235999999998</v>
      </c>
      <c r="AT2555">
        <v>0</v>
      </c>
      <c r="AU2555">
        <v>0</v>
      </c>
      <c r="AV2555">
        <v>0</v>
      </c>
      <c r="AW2555">
        <v>6.8960226999999999E-4</v>
      </c>
      <c r="AX2555" s="163">
        <v>3.7810967999999999E-6</v>
      </c>
      <c r="AY2555">
        <v>0.13312119</v>
      </c>
      <c r="AZ2555">
        <v>0</v>
      </c>
      <c r="BA2555">
        <v>0</v>
      </c>
      <c r="BB2555">
        <v>0</v>
      </c>
      <c r="BC2555">
        <v>0</v>
      </c>
      <c r="BD2555">
        <v>0</v>
      </c>
      <c r="BE2555">
        <v>0</v>
      </c>
      <c r="BF2555" t="s">
        <v>842</v>
      </c>
      <c r="BG2555" s="33" t="s">
        <v>843</v>
      </c>
      <c r="BH2555" s="33" t="s">
        <v>135</v>
      </c>
    </row>
    <row r="2556" spans="1:66">
      <c r="A2556" t="s">
        <v>844</v>
      </c>
      <c r="B2556" s="33" t="s">
        <v>827</v>
      </c>
      <c r="C2556" s="33" t="s">
        <v>828</v>
      </c>
      <c r="D2556" s="33" t="s">
        <v>831</v>
      </c>
      <c r="E2556" s="33" t="s">
        <v>829</v>
      </c>
      <c r="F2556" s="37"/>
      <c r="G2556" s="41">
        <v>8.0113074000000006E-3</v>
      </c>
      <c r="H2556" s="36">
        <v>0.78</v>
      </c>
      <c r="I2556" s="89">
        <v>35.9</v>
      </c>
      <c r="J2556" s="163">
        <v>1.5490804999999999E-6</v>
      </c>
      <c r="K2556">
        <v>6.7295335000000002E-4</v>
      </c>
      <c r="L2556">
        <v>9.0180182999999997E-2</v>
      </c>
      <c r="M2556" s="163">
        <v>1.7084071999999999E-8</v>
      </c>
      <c r="N2556" s="163">
        <v>5.4945011E-5</v>
      </c>
      <c r="O2556">
        <v>2.3469714E-4</v>
      </c>
      <c r="P2556" s="163">
        <v>3.8645851999999997E-5</v>
      </c>
      <c r="Q2556">
        <v>1.9396035999999998E-2</v>
      </c>
      <c r="R2556">
        <v>8.1511941999999995E-4</v>
      </c>
      <c r="S2556">
        <v>2.2070387999999999</v>
      </c>
      <c r="T2556">
        <v>1.0955618000000001E-4</v>
      </c>
      <c r="U2556">
        <v>9.0958754000000003E-2</v>
      </c>
      <c r="V2556">
        <v>9.0892278000000007E-2</v>
      </c>
      <c r="W2556" s="163">
        <v>4.3812659999999999E-5</v>
      </c>
      <c r="X2556" s="163">
        <v>2.2663461000000001E-5</v>
      </c>
      <c r="Y2556" s="163">
        <v>2.1464069999999999E-8</v>
      </c>
      <c r="Z2556">
        <v>2.9216708999999999E-4</v>
      </c>
      <c r="AA2556" s="163">
        <v>6.3313412000000002E-7</v>
      </c>
      <c r="AB2556" s="163">
        <v>6.7109120000000006E-5</v>
      </c>
      <c r="AC2556">
        <v>7.5537081999999998E-4</v>
      </c>
      <c r="AD2556">
        <v>2.8276585E-4</v>
      </c>
      <c r="AE2556" s="163">
        <v>1.5490747E-6</v>
      </c>
      <c r="AF2556">
        <v>1.4127339999999999</v>
      </c>
      <c r="AG2556">
        <v>5.9994534000000002E-3</v>
      </c>
      <c r="AH2556" s="163">
        <v>6.3070408999999996E-9</v>
      </c>
      <c r="AI2556">
        <v>6.0658772999999996E-3</v>
      </c>
      <c r="AJ2556">
        <v>1.0303496000000001</v>
      </c>
      <c r="AK2556" s="163">
        <v>2.6075224000000001E-11</v>
      </c>
      <c r="AL2556" s="163">
        <v>8.3132584000000004E-10</v>
      </c>
      <c r="AM2556">
        <v>1.6150472</v>
      </c>
      <c r="AN2556">
        <v>0</v>
      </c>
      <c r="AO2556">
        <v>0</v>
      </c>
      <c r="AP2556">
        <v>1.4478253999999999E-2</v>
      </c>
      <c r="AQ2556">
        <v>0</v>
      </c>
      <c r="AR2556">
        <v>0</v>
      </c>
      <c r="AS2556">
        <v>1.5004557999999999</v>
      </c>
      <c r="AT2556">
        <v>0</v>
      </c>
      <c r="AU2556">
        <v>0</v>
      </c>
      <c r="AV2556">
        <v>0</v>
      </c>
      <c r="AW2556">
        <v>1.8043218E-4</v>
      </c>
      <c r="AX2556" s="163">
        <v>3.4917176999999998E-6</v>
      </c>
      <c r="AY2556">
        <v>0.12281096</v>
      </c>
      <c r="AZ2556" s="163">
        <v>9.5940126000000008E-6</v>
      </c>
      <c r="BA2556">
        <v>0</v>
      </c>
      <c r="BB2556">
        <v>0</v>
      </c>
      <c r="BC2556">
        <v>0</v>
      </c>
      <c r="BD2556">
        <v>0</v>
      </c>
      <c r="BE2556">
        <v>0</v>
      </c>
      <c r="BF2556" t="s">
        <v>845</v>
      </c>
      <c r="BH2556" s="33" t="s">
        <v>135</v>
      </c>
    </row>
    <row r="2557" spans="1:66">
      <c r="A2557" t="s">
        <v>846</v>
      </c>
      <c r="B2557" s="33" t="s">
        <v>827</v>
      </c>
      <c r="C2557" s="33" t="s">
        <v>828</v>
      </c>
      <c r="D2557" s="33" t="s">
        <v>831</v>
      </c>
      <c r="E2557" s="33" t="s">
        <v>829</v>
      </c>
      <c r="G2557" s="43">
        <v>8.0372190999999996E-3</v>
      </c>
      <c r="H2557" s="33">
        <v>0.83750000000000002</v>
      </c>
      <c r="I2557" s="89">
        <v>33.1</v>
      </c>
      <c r="J2557" s="163">
        <v>2.0893146000000001E-7</v>
      </c>
      <c r="K2557">
        <v>2.9463088E-4</v>
      </c>
      <c r="L2557">
        <v>3.9057548999999997E-2</v>
      </c>
      <c r="M2557" s="163">
        <v>6.1700246999999996E-9</v>
      </c>
      <c r="N2557" s="163">
        <v>5.221402E-5</v>
      </c>
      <c r="O2557">
        <v>2.6658265000000002E-4</v>
      </c>
      <c r="P2557">
        <v>1.1738054E-4</v>
      </c>
      <c r="Q2557">
        <v>2.8376611E-2</v>
      </c>
      <c r="R2557">
        <v>1.4754562000000001E-2</v>
      </c>
      <c r="S2557">
        <v>4.6436380000000002</v>
      </c>
      <c r="T2557">
        <v>5.8150511000000004E-3</v>
      </c>
      <c r="U2557">
        <v>0</v>
      </c>
      <c r="V2557">
        <v>0</v>
      </c>
      <c r="W2557">
        <v>0</v>
      </c>
      <c r="X2557">
        <v>0</v>
      </c>
      <c r="Y2557">
        <v>0</v>
      </c>
      <c r="Z2557">
        <v>0</v>
      </c>
      <c r="AA2557">
        <v>0</v>
      </c>
      <c r="AB2557">
        <v>0</v>
      </c>
      <c r="AC2557">
        <v>0</v>
      </c>
      <c r="AD2557">
        <v>0</v>
      </c>
      <c r="AE2557">
        <v>0</v>
      </c>
      <c r="AF2557">
        <v>0</v>
      </c>
      <c r="AG2557">
        <v>0</v>
      </c>
      <c r="AH2557">
        <v>0</v>
      </c>
      <c r="AI2557">
        <v>0</v>
      </c>
      <c r="AJ2557">
        <v>0</v>
      </c>
      <c r="AK2557">
        <v>0</v>
      </c>
      <c r="AL2557">
        <v>0</v>
      </c>
      <c r="AM2557">
        <v>0</v>
      </c>
      <c r="AN2557">
        <v>0</v>
      </c>
      <c r="AO2557">
        <v>0</v>
      </c>
      <c r="AP2557">
        <v>0.19693630000000001</v>
      </c>
      <c r="AQ2557">
        <v>0</v>
      </c>
      <c r="AR2557">
        <v>0</v>
      </c>
      <c r="AS2557">
        <v>0.66570890999999999</v>
      </c>
      <c r="AT2557">
        <v>0</v>
      </c>
      <c r="AU2557">
        <v>0</v>
      </c>
      <c r="AV2557">
        <v>0</v>
      </c>
      <c r="AW2557">
        <v>1.6052893999999999E-3</v>
      </c>
      <c r="AX2557" s="163">
        <v>4.385462E-6</v>
      </c>
      <c r="AY2557">
        <v>0.11850985</v>
      </c>
      <c r="AZ2557">
        <v>0</v>
      </c>
      <c r="BA2557">
        <v>0</v>
      </c>
      <c r="BB2557">
        <v>0</v>
      </c>
      <c r="BC2557">
        <v>0</v>
      </c>
      <c r="BD2557">
        <v>0</v>
      </c>
      <c r="BE2557">
        <v>0</v>
      </c>
      <c r="BF2557" t="s">
        <v>847</v>
      </c>
      <c r="BH2557" s="33" t="s">
        <v>135</v>
      </c>
    </row>
    <row r="2558" spans="1:66">
      <c r="A2558" t="s">
        <v>848</v>
      </c>
      <c r="B2558" s="33" t="s">
        <v>827</v>
      </c>
      <c r="C2558" s="33" t="s">
        <v>828</v>
      </c>
      <c r="D2558" s="33" t="s">
        <v>831</v>
      </c>
      <c r="E2558" s="33" t="s">
        <v>829</v>
      </c>
      <c r="G2558" s="43">
        <v>1.0340779E-2</v>
      </c>
      <c r="H2558" s="33">
        <v>0.83479999999999999</v>
      </c>
      <c r="I2558" s="89">
        <v>34.299999999999997</v>
      </c>
      <c r="J2558" s="163">
        <v>1.865017E-6</v>
      </c>
      <c r="K2558">
        <v>1.1053397999999999E-3</v>
      </c>
      <c r="L2558">
        <v>0.12788638999999999</v>
      </c>
      <c r="M2558" s="163">
        <v>5.5125497999999999E-9</v>
      </c>
      <c r="N2558">
        <v>1.0268762E-4</v>
      </c>
      <c r="O2558">
        <v>3.8258195E-4</v>
      </c>
      <c r="P2558" s="163">
        <v>3.5318457E-5</v>
      </c>
      <c r="Q2558">
        <v>1.7100971999999999E-2</v>
      </c>
      <c r="R2558">
        <v>5.3998195999999999E-4</v>
      </c>
      <c r="S2558">
        <v>1.5369862000000001</v>
      </c>
      <c r="T2558">
        <v>1.0977096E-4</v>
      </c>
      <c r="U2558">
        <v>0.13068450000000001</v>
      </c>
      <c r="V2558">
        <v>0.13069837000000001</v>
      </c>
      <c r="W2558" s="163">
        <v>-3.7671339E-5</v>
      </c>
      <c r="X2558" s="163">
        <v>2.3803746999999999E-5</v>
      </c>
      <c r="Y2558" s="163">
        <v>6.6811411999999999E-9</v>
      </c>
      <c r="Z2558">
        <v>4.6194338999999999E-4</v>
      </c>
      <c r="AA2558" s="163">
        <v>7.2197954999999997E-7</v>
      </c>
      <c r="AB2558" s="163">
        <v>8.3064329000000003E-5</v>
      </c>
      <c r="AC2558">
        <v>9.3422519000000001E-4</v>
      </c>
      <c r="AD2558">
        <v>4.2187809000000001E-4</v>
      </c>
      <c r="AE2558" s="163">
        <v>1.8650109000000001E-6</v>
      </c>
      <c r="AF2558">
        <v>2.0795876</v>
      </c>
      <c r="AG2558">
        <v>6.4699019999999996E-3</v>
      </c>
      <c r="AH2558" s="163">
        <v>6.0242781E-9</v>
      </c>
      <c r="AI2558">
        <v>1.8681002E-3</v>
      </c>
      <c r="AJ2558">
        <v>0.66530206000000003</v>
      </c>
      <c r="AK2558" s="163">
        <v>3.1199044999999998E-11</v>
      </c>
      <c r="AL2558" s="163">
        <v>9.0187560999999998E-10</v>
      </c>
      <c r="AM2558">
        <v>1.5278471</v>
      </c>
      <c r="AN2558">
        <v>0</v>
      </c>
      <c r="AO2558">
        <v>0</v>
      </c>
      <c r="AP2558">
        <v>1.6442691999999998E-2</v>
      </c>
      <c r="AQ2558">
        <v>0</v>
      </c>
      <c r="AR2558">
        <v>0</v>
      </c>
      <c r="AS2558">
        <v>2.2871117000000001</v>
      </c>
      <c r="AT2558">
        <v>0</v>
      </c>
      <c r="AU2558">
        <v>0</v>
      </c>
      <c r="AV2558">
        <v>0</v>
      </c>
      <c r="AW2558">
        <v>1.9381406999999999E-4</v>
      </c>
      <c r="AX2558" s="163">
        <v>2.6597609E-6</v>
      </c>
      <c r="AY2558">
        <v>0.12356685000000001</v>
      </c>
      <c r="AZ2558" s="163">
        <v>2.6320863E-6</v>
      </c>
      <c r="BA2558">
        <v>0</v>
      </c>
      <c r="BB2558">
        <v>0</v>
      </c>
      <c r="BC2558">
        <v>0</v>
      </c>
      <c r="BD2558">
        <v>0</v>
      </c>
      <c r="BE2558">
        <v>0</v>
      </c>
      <c r="BF2558" t="s">
        <v>849</v>
      </c>
      <c r="BH2558" s="33" t="s">
        <v>135</v>
      </c>
    </row>
    <row r="2559" spans="1:66">
      <c r="A2559" t="s">
        <v>850</v>
      </c>
      <c r="B2559" s="33" t="s">
        <v>827</v>
      </c>
      <c r="C2559" s="33" t="s">
        <v>828</v>
      </c>
      <c r="D2559" s="33" t="s">
        <v>831</v>
      </c>
      <c r="E2559" s="33" t="s">
        <v>829</v>
      </c>
      <c r="G2559" s="43">
        <v>7.6477170999999997E-3</v>
      </c>
      <c r="H2559" s="33">
        <v>0.83169999999999999</v>
      </c>
      <c r="I2559" s="89">
        <v>34.5</v>
      </c>
      <c r="J2559" s="163">
        <v>1.9106609000000001E-7</v>
      </c>
      <c r="K2559">
        <v>2.5100664000000001E-4</v>
      </c>
      <c r="L2559">
        <v>4.1240776E-2</v>
      </c>
      <c r="M2559" s="163">
        <v>5.5522451000000002E-9</v>
      </c>
      <c r="N2559" s="163">
        <v>5.3616957000000001E-5</v>
      </c>
      <c r="O2559">
        <v>1.9094034000000001E-4</v>
      </c>
      <c r="P2559" s="163">
        <v>7.0555154999999995E-5</v>
      </c>
      <c r="Q2559">
        <v>3.0732099999999998E-2</v>
      </c>
      <c r="R2559">
        <v>1.4601594000000001E-2</v>
      </c>
      <c r="S2559">
        <v>4.8522202999999999</v>
      </c>
      <c r="T2559">
        <v>5.8361586000000003E-3</v>
      </c>
      <c r="U2559">
        <v>0</v>
      </c>
      <c r="V2559">
        <v>0</v>
      </c>
      <c r="W2559">
        <v>0</v>
      </c>
      <c r="X2559">
        <v>0</v>
      </c>
      <c r="Y2559">
        <v>0</v>
      </c>
      <c r="Z2559">
        <v>0</v>
      </c>
      <c r="AA2559">
        <v>0</v>
      </c>
      <c r="AB2559">
        <v>0</v>
      </c>
      <c r="AC2559">
        <v>0</v>
      </c>
      <c r="AD2559">
        <v>0</v>
      </c>
      <c r="AE2559">
        <v>0</v>
      </c>
      <c r="AF2559">
        <v>0</v>
      </c>
      <c r="AG2559">
        <v>0</v>
      </c>
      <c r="AH2559">
        <v>0</v>
      </c>
      <c r="AI2559">
        <v>0</v>
      </c>
      <c r="AJ2559">
        <v>0</v>
      </c>
      <c r="AK2559">
        <v>0</v>
      </c>
      <c r="AL2559">
        <v>0</v>
      </c>
      <c r="AM2559">
        <v>0</v>
      </c>
      <c r="AN2559">
        <v>0</v>
      </c>
      <c r="AO2559">
        <v>0</v>
      </c>
      <c r="AP2559">
        <v>7.8025710999999998E-2</v>
      </c>
      <c r="AQ2559">
        <v>0</v>
      </c>
      <c r="AR2559">
        <v>0</v>
      </c>
      <c r="AS2559">
        <v>0.57732152000000003</v>
      </c>
      <c r="AT2559">
        <v>0</v>
      </c>
      <c r="AU2559">
        <v>0</v>
      </c>
      <c r="AV2559">
        <v>0</v>
      </c>
      <c r="AW2559">
        <v>6.9159565000000004E-4</v>
      </c>
      <c r="AX2559" s="163">
        <v>3.8378014999999999E-6</v>
      </c>
      <c r="AY2559">
        <v>0.13313775999999999</v>
      </c>
      <c r="AZ2559">
        <v>0</v>
      </c>
      <c r="BA2559">
        <v>0</v>
      </c>
      <c r="BB2559">
        <v>0</v>
      </c>
      <c r="BC2559">
        <v>0</v>
      </c>
      <c r="BD2559">
        <v>0</v>
      </c>
      <c r="BE2559">
        <v>0</v>
      </c>
      <c r="BF2559" t="s">
        <v>851</v>
      </c>
      <c r="BH2559" s="33" t="s">
        <v>135</v>
      </c>
    </row>
    <row r="2560" spans="1:66">
      <c r="A2560" t="s">
        <v>852</v>
      </c>
      <c r="B2560" s="33" t="s">
        <v>827</v>
      </c>
      <c r="C2560" s="33" t="s">
        <v>828</v>
      </c>
      <c r="D2560" s="33" t="s">
        <v>831</v>
      </c>
      <c r="E2560" s="33" t="s">
        <v>829</v>
      </c>
      <c r="G2560" s="43">
        <v>6.0852349E-3</v>
      </c>
      <c r="H2560" s="33">
        <v>0.82899999999999996</v>
      </c>
      <c r="I2560" s="45">
        <v>35.662436</v>
      </c>
      <c r="J2560" s="163">
        <v>1.2523054E-6</v>
      </c>
      <c r="K2560">
        <v>6.3312484999999996E-4</v>
      </c>
      <c r="L2560">
        <v>6.6457852999999997E-2</v>
      </c>
      <c r="M2560" s="163">
        <v>8.4693617000000008E-9</v>
      </c>
      <c r="N2560" s="163">
        <v>4.5082388999999997E-5</v>
      </c>
      <c r="O2560">
        <v>1.7501275000000001E-4</v>
      </c>
      <c r="P2560" s="163">
        <v>2.8362754E-5</v>
      </c>
      <c r="Q2560">
        <v>1.5766447999999999E-2</v>
      </c>
      <c r="R2560">
        <v>6.2549548000000003E-4</v>
      </c>
      <c r="S2560">
        <v>1.5721026</v>
      </c>
      <c r="T2560">
        <v>3.3586271999999997E-4</v>
      </c>
      <c r="U2560">
        <v>6.7446303999999999E-2</v>
      </c>
      <c r="V2560">
        <v>6.7430538999999998E-2</v>
      </c>
      <c r="W2560" s="163">
        <v>-7.7619822000000002E-6</v>
      </c>
      <c r="X2560" s="163">
        <v>2.3527540000000001E-5</v>
      </c>
      <c r="Y2560" s="163">
        <v>9.7376410000000006E-9</v>
      </c>
      <c r="Z2560">
        <v>2.2167386000000001E-4</v>
      </c>
      <c r="AA2560" s="163">
        <v>1.5877979000000001E-6</v>
      </c>
      <c r="AB2560" s="163">
        <v>5.7169894E-5</v>
      </c>
      <c r="AC2560">
        <v>6.4229140000000005E-4</v>
      </c>
      <c r="AD2560">
        <v>2.3645175E-4</v>
      </c>
      <c r="AE2560" s="163">
        <v>1.2523004E-6</v>
      </c>
      <c r="AF2560">
        <v>1.2218389999999999</v>
      </c>
      <c r="AG2560">
        <v>1.1407778E-2</v>
      </c>
      <c r="AH2560" s="163">
        <v>5.8561244999999996E-9</v>
      </c>
      <c r="AI2560">
        <v>2.8477162999999998E-3</v>
      </c>
      <c r="AJ2560">
        <v>0.98297994</v>
      </c>
      <c r="AK2560" s="163">
        <v>3.0645880999999999E-11</v>
      </c>
      <c r="AL2560" s="163">
        <v>1.0846549999999999E-9</v>
      </c>
      <c r="AM2560">
        <v>1.5976405</v>
      </c>
      <c r="AN2560">
        <v>2.7448647999999999E-3</v>
      </c>
      <c r="AO2560">
        <v>0</v>
      </c>
      <c r="AP2560">
        <v>1.4849096000000001E-2</v>
      </c>
      <c r="AQ2560">
        <v>0.90683888999999995</v>
      </c>
      <c r="AR2560" s="163">
        <v>8.9430873999999993E-5</v>
      </c>
      <c r="AS2560">
        <v>1.3219772000000001</v>
      </c>
      <c r="AT2560" s="163">
        <v>1.6243495000000001E-5</v>
      </c>
      <c r="AU2560">
        <v>0</v>
      </c>
      <c r="AV2560">
        <v>0</v>
      </c>
      <c r="AW2560">
        <v>3.6809509E-4</v>
      </c>
      <c r="AX2560" s="163">
        <v>2.0190956999999999E-6</v>
      </c>
      <c r="AY2560">
        <v>0.12956930999999999</v>
      </c>
      <c r="AZ2560" s="163">
        <v>3.4621057000000002E-6</v>
      </c>
      <c r="BA2560">
        <v>0</v>
      </c>
      <c r="BB2560">
        <v>0</v>
      </c>
      <c r="BC2560">
        <v>0</v>
      </c>
      <c r="BD2560">
        <v>0</v>
      </c>
      <c r="BE2560">
        <v>0</v>
      </c>
      <c r="BF2560" t="s">
        <v>853</v>
      </c>
      <c r="BH2560" s="33" t="s">
        <v>854</v>
      </c>
    </row>
    <row r="2561" spans="1:62">
      <c r="A2561" t="s">
        <v>855</v>
      </c>
      <c r="B2561" s="33" t="s">
        <v>827</v>
      </c>
      <c r="C2561" s="33" t="s">
        <v>828</v>
      </c>
      <c r="D2561" s="33" t="s">
        <v>831</v>
      </c>
      <c r="E2561" s="33" t="s">
        <v>829</v>
      </c>
      <c r="G2561" s="43">
        <v>4.2068425000000003E-3</v>
      </c>
      <c r="H2561" s="33">
        <v>0.82589999999999997</v>
      </c>
      <c r="I2561" s="45">
        <v>35.662436</v>
      </c>
      <c r="J2561" s="163">
        <v>1.7989073000000001E-6</v>
      </c>
      <c r="K2561">
        <v>2.2384202999999999E-4</v>
      </c>
      <c r="L2561">
        <v>2.2346597999999999E-2</v>
      </c>
      <c r="M2561" s="163">
        <v>4.8072257999999996E-9</v>
      </c>
      <c r="N2561" s="163">
        <v>4.6082389000000001E-5</v>
      </c>
      <c r="O2561">
        <v>1.7430120000000001E-4</v>
      </c>
      <c r="P2561" s="163">
        <v>3.2368968E-5</v>
      </c>
      <c r="Q2561">
        <v>1.9723214999999999E-2</v>
      </c>
      <c r="R2561">
        <v>6.737949E-4</v>
      </c>
      <c r="S2561">
        <v>1.5535254000000001</v>
      </c>
      <c r="T2561">
        <v>3.6532970999999999E-4</v>
      </c>
      <c r="U2561">
        <v>2.3777532000000001E-2</v>
      </c>
      <c r="V2561">
        <v>2.2635657999999999E-2</v>
      </c>
      <c r="W2561">
        <v>1.0960784E-3</v>
      </c>
      <c r="X2561" s="163">
        <v>4.5796084000000003E-5</v>
      </c>
      <c r="Y2561" s="163">
        <v>5.7444371000000004E-9</v>
      </c>
      <c r="Z2561">
        <v>2.3099589999999999E-4</v>
      </c>
      <c r="AA2561" s="163">
        <v>1.0887687E-6</v>
      </c>
      <c r="AB2561" s="163">
        <v>5.694135E-5</v>
      </c>
      <c r="AC2561">
        <v>7.4151344000000004E-4</v>
      </c>
      <c r="AD2561">
        <v>2.3218689E-4</v>
      </c>
      <c r="AE2561" s="163">
        <v>1.7989024000000001E-6</v>
      </c>
      <c r="AF2561">
        <v>0.45029570000000002</v>
      </c>
      <c r="AG2561">
        <v>7.3304399999999997E-3</v>
      </c>
      <c r="AH2561" s="163">
        <v>6.6464157999999998E-9</v>
      </c>
      <c r="AI2561">
        <v>1.8379982E-3</v>
      </c>
      <c r="AJ2561">
        <v>1.3365019</v>
      </c>
      <c r="AK2561" s="163">
        <v>3.9966268999999997E-11</v>
      </c>
      <c r="AL2561" s="163">
        <v>1.3681501999999999E-9</v>
      </c>
      <c r="AM2561">
        <v>4.0123198000000002</v>
      </c>
      <c r="AN2561">
        <v>0.72665091999999998</v>
      </c>
      <c r="AO2561">
        <v>0</v>
      </c>
      <c r="AP2561">
        <v>0.73875515000000003</v>
      </c>
      <c r="AQ2561">
        <v>6.3664424999999997E-2</v>
      </c>
      <c r="AR2561" s="163">
        <v>8.9430873999999993E-5</v>
      </c>
      <c r="AS2561">
        <v>0.47880275</v>
      </c>
      <c r="AT2561" s="163">
        <v>8.8657960999999997E-5</v>
      </c>
      <c r="AU2561">
        <v>0</v>
      </c>
      <c r="AV2561">
        <v>0</v>
      </c>
      <c r="AW2561">
        <v>2.3348101E-4</v>
      </c>
      <c r="AX2561" s="163">
        <v>3.1550179999999999E-6</v>
      </c>
      <c r="AY2561">
        <v>0.13094047</v>
      </c>
      <c r="AZ2561" s="163">
        <v>2.5368629999999998E-6</v>
      </c>
      <c r="BA2561">
        <v>0</v>
      </c>
      <c r="BB2561">
        <v>0</v>
      </c>
      <c r="BC2561">
        <v>0</v>
      </c>
      <c r="BD2561">
        <v>0</v>
      </c>
      <c r="BE2561">
        <v>0</v>
      </c>
      <c r="BF2561" t="s">
        <v>856</v>
      </c>
      <c r="BH2561" s="33" t="s">
        <v>854</v>
      </c>
    </row>
    <row r="2562" spans="1:62">
      <c r="A2562" t="s">
        <v>857</v>
      </c>
      <c r="B2562" s="33" t="s">
        <v>827</v>
      </c>
      <c r="C2562" s="33" t="s">
        <v>828</v>
      </c>
      <c r="D2562" s="33" t="s">
        <v>831</v>
      </c>
      <c r="E2562" s="33" t="s">
        <v>829</v>
      </c>
      <c r="G2562" s="43">
        <v>2.2350051999999999E-2</v>
      </c>
      <c r="H2562" s="33">
        <v>0.82320000000000004</v>
      </c>
      <c r="I2562" s="45">
        <v>35.495778999999999</v>
      </c>
      <c r="J2562" s="163">
        <v>1.4347823999999999E-6</v>
      </c>
      <c r="K2562">
        <v>2.7544936E-3</v>
      </c>
      <c r="L2562">
        <v>0.30531102999999998</v>
      </c>
      <c r="M2562" s="163">
        <v>3.6403256000000001E-8</v>
      </c>
      <c r="N2562" s="163">
        <v>8.0339499000000003E-5</v>
      </c>
      <c r="O2562">
        <v>4.8533807000000003E-4</v>
      </c>
      <c r="P2562" s="163">
        <v>9.4606127000000003E-5</v>
      </c>
      <c r="Q2562">
        <v>3.5984622000000001E-2</v>
      </c>
      <c r="R2562">
        <v>1.1033881999999999E-3</v>
      </c>
      <c r="S2562">
        <v>3.3485228</v>
      </c>
      <c r="T2562">
        <v>1.373382E-3</v>
      </c>
      <c r="U2562">
        <v>0.30946614</v>
      </c>
      <c r="V2562">
        <v>0.3096796</v>
      </c>
      <c r="W2562">
        <v>-2.4952254000000002E-4</v>
      </c>
      <c r="X2562" s="163">
        <v>3.6056846000000003E-5</v>
      </c>
      <c r="Y2562" s="163">
        <v>3.8374642000000003E-8</v>
      </c>
      <c r="Z2562">
        <v>6.1519551000000004E-4</v>
      </c>
      <c r="AA2562" s="163">
        <v>1.0556371E-5</v>
      </c>
      <c r="AB2562">
        <v>1.5739256E-4</v>
      </c>
      <c r="AC2562">
        <v>1.7571567E-3</v>
      </c>
      <c r="AD2562">
        <v>5.4951404999999999E-4</v>
      </c>
      <c r="AE2562" s="163">
        <v>1.4347766E-6</v>
      </c>
      <c r="AF2562">
        <v>5.2241885999999997</v>
      </c>
      <c r="AG2562">
        <v>5.0972338999999998E-2</v>
      </c>
      <c r="AH2562" s="163">
        <v>6.9537900999999999E-9</v>
      </c>
      <c r="AI2562">
        <v>8.7425004000000004E-3</v>
      </c>
      <c r="AJ2562">
        <v>2.9917357999999998</v>
      </c>
      <c r="AK2562" s="163">
        <v>6.0500656999999996E-11</v>
      </c>
      <c r="AL2562" s="163">
        <v>1.991299E-9</v>
      </c>
      <c r="AM2562">
        <v>1.7678016999999999</v>
      </c>
      <c r="AN2562">
        <v>1.5924069999999999E-2</v>
      </c>
      <c r="AO2562">
        <v>0</v>
      </c>
      <c r="AP2562">
        <v>2.8512453E-2</v>
      </c>
      <c r="AQ2562">
        <v>5.2609389999999996</v>
      </c>
      <c r="AR2562">
        <v>5.1882464999999998E-4</v>
      </c>
      <c r="AS2562">
        <v>5.688053</v>
      </c>
      <c r="AT2562" s="163">
        <v>9.4235082000000006E-5</v>
      </c>
      <c r="AU2562">
        <v>0</v>
      </c>
      <c r="AV2562">
        <v>0</v>
      </c>
      <c r="AW2562">
        <v>1.5811044E-3</v>
      </c>
      <c r="AX2562" s="163">
        <v>5.5453764000000002E-6</v>
      </c>
      <c r="AY2562">
        <v>0.13383073000000001</v>
      </c>
      <c r="AZ2562" s="163">
        <v>9.1023965999999998E-6</v>
      </c>
      <c r="BA2562">
        <v>0</v>
      </c>
      <c r="BB2562">
        <v>0</v>
      </c>
      <c r="BC2562">
        <v>0</v>
      </c>
      <c r="BD2562">
        <v>0</v>
      </c>
      <c r="BE2562">
        <v>0</v>
      </c>
      <c r="BF2562" t="s">
        <v>858</v>
      </c>
      <c r="BH2562" s="33" t="s">
        <v>854</v>
      </c>
    </row>
    <row r="2563" spans="1:62">
      <c r="A2563" t="s">
        <v>859</v>
      </c>
      <c r="B2563" s="33" t="s">
        <v>827</v>
      </c>
      <c r="C2563" s="33" t="s">
        <v>828</v>
      </c>
      <c r="D2563" s="33" t="s">
        <v>831</v>
      </c>
      <c r="E2563" s="33" t="s">
        <v>829</v>
      </c>
      <c r="G2563" s="43">
        <v>1.1452738000000001E-2</v>
      </c>
      <c r="H2563" s="33">
        <v>0.82010000000000005</v>
      </c>
      <c r="I2563" s="45">
        <v>35.495778999999999</v>
      </c>
      <c r="J2563" s="163">
        <v>4.6058413000000003E-6</v>
      </c>
      <c r="K2563">
        <v>3.8007849E-4</v>
      </c>
      <c r="L2563">
        <v>4.9403809E-2</v>
      </c>
      <c r="M2563" s="163">
        <v>1.5157726000000001E-8</v>
      </c>
      <c r="N2563" s="163">
        <v>8.6140904000000005E-5</v>
      </c>
      <c r="O2563">
        <v>4.8121006999999997E-4</v>
      </c>
      <c r="P2563">
        <v>1.1784779E-4</v>
      </c>
      <c r="Q2563">
        <v>5.8939429000000002E-2</v>
      </c>
      <c r="R2563">
        <v>1.3835926000000001E-3</v>
      </c>
      <c r="S2563">
        <v>3.2407485999999999</v>
      </c>
      <c r="T2563">
        <v>1.544332E-3</v>
      </c>
      <c r="U2563">
        <v>5.6125938E-2</v>
      </c>
      <c r="V2563">
        <v>4.9806389999999999E-2</v>
      </c>
      <c r="W2563">
        <v>6.1543018000000003E-3</v>
      </c>
      <c r="X2563">
        <v>1.6524566999999999E-4</v>
      </c>
      <c r="Y2563" s="163">
        <v>1.5208452000000001E-8</v>
      </c>
      <c r="Z2563">
        <v>6.6927643000000002E-4</v>
      </c>
      <c r="AA2563" s="163">
        <v>7.6613013999999998E-6</v>
      </c>
      <c r="AB2563">
        <v>1.5606668999999999E-4</v>
      </c>
      <c r="AC2563">
        <v>2.3327838E-3</v>
      </c>
      <c r="AD2563">
        <v>5.2477190999999999E-4</v>
      </c>
      <c r="AE2563" s="163">
        <v>4.6058353999999997E-6</v>
      </c>
      <c r="AF2563">
        <v>0.74815416999999995</v>
      </c>
      <c r="AG2563">
        <v>2.7318054000000001E-2</v>
      </c>
      <c r="AH2563" s="163">
        <v>1.1538589E-8</v>
      </c>
      <c r="AI2563">
        <v>2.8847178E-3</v>
      </c>
      <c r="AJ2563">
        <v>5.0426598</v>
      </c>
      <c r="AK2563" s="163">
        <v>1.14572E-10</v>
      </c>
      <c r="AL2563" s="163">
        <v>3.6359688999999999E-9</v>
      </c>
      <c r="AM2563">
        <v>15.776332999999999</v>
      </c>
      <c r="AN2563">
        <v>4.2155958</v>
      </c>
      <c r="AO2563">
        <v>0</v>
      </c>
      <c r="AP2563">
        <v>4.2281841</v>
      </c>
      <c r="AQ2563">
        <v>0.36934307</v>
      </c>
      <c r="AR2563">
        <v>5.1882464999999998E-4</v>
      </c>
      <c r="AS2563">
        <v>0.79645708000000004</v>
      </c>
      <c r="AT2563">
        <v>5.1434066999999999E-4</v>
      </c>
      <c r="AU2563">
        <v>0</v>
      </c>
      <c r="AV2563">
        <v>0</v>
      </c>
      <c r="AW2563">
        <v>8.0015369000000002E-4</v>
      </c>
      <c r="AX2563" s="163">
        <v>1.2135321E-5</v>
      </c>
      <c r="AY2563">
        <v>0.14178535</v>
      </c>
      <c r="AZ2563" s="163">
        <v>3.7346896E-6</v>
      </c>
      <c r="BA2563">
        <v>0</v>
      </c>
      <c r="BB2563">
        <v>0</v>
      </c>
      <c r="BC2563">
        <v>0</v>
      </c>
      <c r="BD2563">
        <v>0</v>
      </c>
      <c r="BE2563">
        <v>0</v>
      </c>
      <c r="BF2563" t="s">
        <v>860</v>
      </c>
      <c r="BH2563" s="33" t="s">
        <v>854</v>
      </c>
    </row>
    <row r="2564" spans="1:62">
      <c r="A2564" t="s">
        <v>861</v>
      </c>
      <c r="B2564" s="33" t="s">
        <v>827</v>
      </c>
      <c r="C2564" s="33" t="s">
        <v>828</v>
      </c>
      <c r="D2564" s="33" t="s">
        <v>831</v>
      </c>
      <c r="E2564" s="33" t="s">
        <v>829</v>
      </c>
      <c r="G2564" s="43">
        <v>7.7505168000000001E-3</v>
      </c>
      <c r="H2564" s="33">
        <v>0.81159999999999999</v>
      </c>
      <c r="I2564" s="45">
        <v>35.162464999999997</v>
      </c>
      <c r="J2564" s="163">
        <v>1.0603231999999999E-6</v>
      </c>
      <c r="K2564">
        <v>3.2306000000000001E-4</v>
      </c>
      <c r="L2564">
        <v>0.1125386</v>
      </c>
      <c r="M2564" s="163">
        <v>1.0345596999999999E-8</v>
      </c>
      <c r="N2564" s="163">
        <v>4.0334170000000002E-5</v>
      </c>
      <c r="O2564">
        <v>1.256769E-4</v>
      </c>
      <c r="P2564" s="163">
        <v>2.0704430999999999E-5</v>
      </c>
      <c r="Q2564">
        <v>1.294355E-2</v>
      </c>
      <c r="R2564">
        <v>5.2741042999999998E-4</v>
      </c>
      <c r="S2564">
        <v>1.1022056</v>
      </c>
      <c r="T2564">
        <v>1.7898512E-4</v>
      </c>
      <c r="U2564">
        <v>0.11309063</v>
      </c>
      <c r="V2564">
        <v>0.11305197</v>
      </c>
      <c r="W2564" s="163">
        <v>1.7211811E-5</v>
      </c>
      <c r="X2564" s="163">
        <v>2.1450724E-5</v>
      </c>
      <c r="Y2564" s="163">
        <v>1.0664036E-8</v>
      </c>
      <c r="Z2564">
        <v>1.6053051E-4</v>
      </c>
      <c r="AA2564" s="163">
        <v>8.2436020999999997E-7</v>
      </c>
      <c r="AB2564" s="163">
        <v>4.3292871000000001E-5</v>
      </c>
      <c r="AC2564">
        <v>4.8532460000000002E-4</v>
      </c>
      <c r="AD2564">
        <v>1.9272243000000001E-4</v>
      </c>
      <c r="AE2564" s="163">
        <v>1.0603184000000001E-6</v>
      </c>
      <c r="AF2564">
        <v>0.63613843000000003</v>
      </c>
      <c r="AG2564">
        <v>6.4062918E-3</v>
      </c>
      <c r="AH2564" s="163">
        <v>5.7094059000000004E-9</v>
      </c>
      <c r="AI2564">
        <v>1.9873641000000002E-3</v>
      </c>
      <c r="AJ2564">
        <v>0.6958105</v>
      </c>
      <c r="AK2564" s="163">
        <v>2.4760881000000002E-11</v>
      </c>
      <c r="AL2564" s="163">
        <v>8.0518903999999995E-10</v>
      </c>
      <c r="AM2564">
        <v>1.5727123999999999</v>
      </c>
      <c r="AN2564">
        <v>7.9692798999999996E-4</v>
      </c>
      <c r="AO2564">
        <v>0</v>
      </c>
      <c r="AP2564">
        <v>1.2454570999999999E-2</v>
      </c>
      <c r="AQ2564">
        <v>0.26328629999999997</v>
      </c>
      <c r="AR2564" s="163">
        <v>2.5964837E-5</v>
      </c>
      <c r="AS2564">
        <v>0.68291206999999998</v>
      </c>
      <c r="AT2564" s="163">
        <v>4.7160413999999997E-6</v>
      </c>
      <c r="AU2564">
        <v>0</v>
      </c>
      <c r="AV2564">
        <v>0</v>
      </c>
      <c r="AW2564">
        <v>2.0324986E-4</v>
      </c>
      <c r="AX2564" s="163">
        <v>1.0171016000000001E-6</v>
      </c>
      <c r="AY2564">
        <v>0.12891804000000001</v>
      </c>
      <c r="AZ2564" s="163">
        <v>2.6391894000000002E-6</v>
      </c>
      <c r="BA2564">
        <v>0</v>
      </c>
      <c r="BB2564">
        <v>0</v>
      </c>
      <c r="BC2564">
        <v>0</v>
      </c>
      <c r="BD2564">
        <v>0</v>
      </c>
      <c r="BE2564">
        <v>0</v>
      </c>
      <c r="BF2564" t="s">
        <v>862</v>
      </c>
      <c r="BH2564" s="33" t="s">
        <v>854</v>
      </c>
    </row>
    <row r="2565" spans="1:62">
      <c r="A2565" t="s">
        <v>863</v>
      </c>
      <c r="B2565" s="33" t="s">
        <v>827</v>
      </c>
      <c r="C2565" s="33" t="s">
        <v>828</v>
      </c>
      <c r="D2565" s="33" t="s">
        <v>831</v>
      </c>
      <c r="E2565" s="33" t="s">
        <v>829</v>
      </c>
      <c r="G2565" s="43">
        <v>7.2051553000000001E-3</v>
      </c>
      <c r="H2565" s="33">
        <v>0.8085</v>
      </c>
      <c r="I2565" s="45">
        <v>35.162464999999997</v>
      </c>
      <c r="J2565" s="163">
        <v>1.2190204E-6</v>
      </c>
      <c r="K2565">
        <v>2.0423121999999999E-4</v>
      </c>
      <c r="L2565">
        <v>9.9731594000000007E-2</v>
      </c>
      <c r="M2565" s="163">
        <v>9.2823538000000003E-9</v>
      </c>
      <c r="N2565" s="163">
        <v>4.0624504000000001E-5</v>
      </c>
      <c r="O2565">
        <v>1.2547031000000001E-4</v>
      </c>
      <c r="P2565" s="163">
        <v>2.1867572000000001E-5</v>
      </c>
      <c r="Q2565">
        <v>1.4092334999999999E-2</v>
      </c>
      <c r="R2565">
        <v>5.4143340000000005E-4</v>
      </c>
      <c r="S2565">
        <v>1.0968119000000001</v>
      </c>
      <c r="T2565">
        <v>1.8754040000000001E-4</v>
      </c>
      <c r="U2565">
        <v>0.1004121</v>
      </c>
      <c r="V2565">
        <v>0.10004649</v>
      </c>
      <c r="W2565">
        <v>3.3769437999999998E-4</v>
      </c>
      <c r="X2565" s="163">
        <v>2.7916042999999999E-5</v>
      </c>
      <c r="Y2565" s="163">
        <v>9.5046728999999997E-9</v>
      </c>
      <c r="Z2565">
        <v>1.6323701000000001E-4</v>
      </c>
      <c r="AA2565" s="163">
        <v>6.7947501E-7</v>
      </c>
      <c r="AB2565" s="163">
        <v>4.3226516999999997E-5</v>
      </c>
      <c r="AC2565">
        <v>5.1413214999999999E-4</v>
      </c>
      <c r="AD2565">
        <v>1.9148419000000001E-4</v>
      </c>
      <c r="AE2565" s="163">
        <v>1.2190155999999999E-6</v>
      </c>
      <c r="AF2565">
        <v>0.41213306999999999</v>
      </c>
      <c r="AG2565">
        <v>5.2225014000000002E-3</v>
      </c>
      <c r="AH2565" s="163">
        <v>5.9388544000000002E-9</v>
      </c>
      <c r="AI2565">
        <v>1.6942085E-3</v>
      </c>
      <c r="AJ2565">
        <v>0.79845001000000004</v>
      </c>
      <c r="AK2565" s="163">
        <v>2.7466907999999999E-11</v>
      </c>
      <c r="AL2565" s="163">
        <v>8.8749736999999995E-10</v>
      </c>
      <c r="AM2565">
        <v>2.2737763000000002</v>
      </c>
      <c r="AN2565">
        <v>0.21097157999999999</v>
      </c>
      <c r="AO2565">
        <v>0</v>
      </c>
      <c r="AP2565">
        <v>0.22262921999999999</v>
      </c>
      <c r="AQ2565">
        <v>1.8483956999999999E-2</v>
      </c>
      <c r="AR2565" s="163">
        <v>2.5964837E-5</v>
      </c>
      <c r="AS2565">
        <v>0.43810972999999998</v>
      </c>
      <c r="AT2565" s="163">
        <v>2.5740434000000001E-5</v>
      </c>
      <c r="AU2565">
        <v>0</v>
      </c>
      <c r="AV2565">
        <v>0</v>
      </c>
      <c r="AW2565">
        <v>1.6416679999999999E-4</v>
      </c>
      <c r="AX2565" s="163">
        <v>1.3468986E-6</v>
      </c>
      <c r="AY2565">
        <v>0.12931613</v>
      </c>
      <c r="AZ2565" s="163">
        <v>2.3705599E-6</v>
      </c>
      <c r="BA2565">
        <v>0</v>
      </c>
      <c r="BB2565">
        <v>0</v>
      </c>
      <c r="BC2565">
        <v>0</v>
      </c>
      <c r="BD2565">
        <v>0</v>
      </c>
      <c r="BE2565">
        <v>0</v>
      </c>
      <c r="BF2565" t="s">
        <v>864</v>
      </c>
      <c r="BH2565" s="33" t="s">
        <v>854</v>
      </c>
    </row>
    <row r="2566" spans="1:62">
      <c r="E2566" s="41"/>
      <c r="J2566" s="40"/>
      <c r="K2566" s="40"/>
      <c r="L2566" s="40"/>
      <c r="M2566" s="40"/>
      <c r="N2566" s="40"/>
      <c r="O2566" s="40"/>
      <c r="P2566" s="40"/>
      <c r="Q2566" s="40"/>
      <c r="R2566" s="40"/>
      <c r="S2566" s="40"/>
      <c r="T2566" s="40"/>
      <c r="U2566" s="40"/>
      <c r="V2566" s="40"/>
      <c r="W2566" s="40"/>
      <c r="X2566" s="40"/>
      <c r="Y2566" s="40"/>
      <c r="Z2566" s="40"/>
      <c r="AA2566" s="40"/>
      <c r="AB2566" s="40"/>
      <c r="AC2566" s="40"/>
      <c r="AD2566" s="40"/>
      <c r="AE2566" s="40"/>
      <c r="AF2566" s="40"/>
      <c r="AG2566" s="40"/>
      <c r="AH2566" s="40"/>
      <c r="AI2566" s="40"/>
      <c r="AJ2566" s="40"/>
      <c r="AK2566" s="40"/>
      <c r="AL2566" s="40"/>
      <c r="AM2566" s="40"/>
      <c r="AN2566" s="40"/>
      <c r="AO2566" s="40"/>
      <c r="AP2566" s="40"/>
      <c r="AQ2566" s="40"/>
      <c r="AR2566" s="40"/>
      <c r="AS2566" s="40"/>
      <c r="AT2566" s="40"/>
      <c r="AU2566" s="40"/>
      <c r="AV2566" s="40"/>
      <c r="AW2566" s="40"/>
      <c r="AX2566" s="40"/>
      <c r="AY2566" s="40"/>
      <c r="AZ2566" s="40"/>
    </row>
    <row r="2567" spans="1:62" ht="15.75">
      <c r="J2567" s="40"/>
      <c r="K2567" s="40"/>
      <c r="L2567" s="40"/>
      <c r="M2567" s="40"/>
      <c r="N2567" s="40"/>
      <c r="O2567" s="40"/>
      <c r="P2567" s="40"/>
      <c r="Q2567" s="40"/>
      <c r="R2567" s="40"/>
      <c r="S2567" s="40"/>
      <c r="T2567" s="40"/>
      <c r="U2567" s="40"/>
      <c r="V2567" s="40"/>
      <c r="W2567" s="40"/>
      <c r="X2567" s="40"/>
      <c r="Y2567" s="40"/>
      <c r="Z2567" s="40"/>
      <c r="AA2567" s="40"/>
      <c r="AB2567" s="40"/>
      <c r="AC2567" s="40"/>
      <c r="AD2567" s="40"/>
      <c r="AE2567" s="40"/>
      <c r="AF2567" s="40"/>
      <c r="AG2567" s="40"/>
      <c r="AH2567" s="40"/>
      <c r="AI2567" s="40"/>
      <c r="AJ2567" s="40"/>
      <c r="AK2567" s="40"/>
      <c r="AL2567" s="40"/>
      <c r="AM2567" s="40"/>
      <c r="AN2567" s="40"/>
      <c r="AO2567" s="40"/>
      <c r="AP2567" s="40"/>
      <c r="AQ2567" s="40"/>
      <c r="AR2567" s="40"/>
      <c r="AS2567" s="40"/>
      <c r="AT2567" s="40"/>
      <c r="AU2567" s="40"/>
      <c r="AV2567" s="40"/>
      <c r="AW2567" s="40"/>
      <c r="AX2567" s="40"/>
      <c r="AY2567" s="40"/>
      <c r="AZ2567" s="40"/>
      <c r="BA2567" s="167"/>
      <c r="BB2567" s="167"/>
      <c r="BC2567" s="167"/>
      <c r="BD2567" s="167"/>
      <c r="BE2567" s="167"/>
      <c r="BF2567" s="180"/>
      <c r="BG2567" s="180"/>
      <c r="BH2567" s="180"/>
    </row>
    <row r="2568" spans="1:62" ht="15.75">
      <c r="A2568" s="33" t="s">
        <v>865</v>
      </c>
      <c r="J2568" s="174"/>
      <c r="K2568" s="175"/>
      <c r="L2568" s="175"/>
      <c r="M2568" s="175"/>
      <c r="N2568" s="176"/>
      <c r="O2568" s="175"/>
      <c r="P2568" s="175"/>
      <c r="Q2568" s="175"/>
      <c r="R2568" s="175"/>
      <c r="S2568" s="175"/>
      <c r="T2568" s="175"/>
      <c r="U2568" s="175"/>
      <c r="V2568" s="175"/>
      <c r="W2568" s="175"/>
      <c r="X2568" s="176"/>
      <c r="Y2568" s="176"/>
      <c r="Z2568" s="175"/>
      <c r="AA2568" s="175"/>
      <c r="AB2568" s="176"/>
      <c r="AC2568" s="175"/>
      <c r="AD2568" s="175"/>
      <c r="AE2568" s="176"/>
      <c r="AF2568" s="176"/>
      <c r="AG2568" s="176"/>
      <c r="AH2568" s="176"/>
      <c r="AI2568" s="176"/>
      <c r="AJ2568" s="176"/>
      <c r="AK2568" s="176"/>
      <c r="AL2568" s="176"/>
      <c r="AM2568" s="176"/>
      <c r="AN2568" s="176"/>
      <c r="AO2568" s="175"/>
      <c r="AP2568" s="175"/>
      <c r="AQ2568" s="175"/>
      <c r="AR2568" s="175"/>
      <c r="AS2568" s="176"/>
      <c r="AT2568" s="176"/>
      <c r="AU2568" s="176"/>
      <c r="AV2568" s="176"/>
      <c r="AW2568" s="176"/>
      <c r="AX2568" s="176"/>
      <c r="AY2568" s="176"/>
      <c r="AZ2568" s="176"/>
      <c r="BA2568" s="176"/>
      <c r="BB2568" s="176"/>
      <c r="BC2568" s="176"/>
      <c r="BD2568" s="176"/>
      <c r="BE2568" s="177"/>
    </row>
    <row r="2569" spans="1:62" ht="15.75">
      <c r="A2569" s="33" t="s">
        <v>820</v>
      </c>
      <c r="B2569" s="33" t="s">
        <v>11</v>
      </c>
      <c r="C2569" s="33" t="s">
        <v>6</v>
      </c>
      <c r="D2569" s="33" t="s">
        <v>9</v>
      </c>
      <c r="E2569" s="33" t="s">
        <v>821</v>
      </c>
      <c r="F2569" s="33" t="s">
        <v>822</v>
      </c>
      <c r="G2569" s="33" t="s">
        <v>430</v>
      </c>
      <c r="H2569" s="33" t="s">
        <v>823</v>
      </c>
      <c r="I2569" s="33" t="s">
        <v>824</v>
      </c>
      <c r="J2569" s="174" t="s">
        <v>431</v>
      </c>
      <c r="K2569" s="175" t="s">
        <v>432</v>
      </c>
      <c r="L2569" s="175" t="s">
        <v>433</v>
      </c>
      <c r="M2569" s="175" t="s">
        <v>434</v>
      </c>
      <c r="N2569" s="176" t="s">
        <v>435</v>
      </c>
      <c r="O2569" s="175" t="s">
        <v>436</v>
      </c>
      <c r="P2569" s="175" t="s">
        <v>437</v>
      </c>
      <c r="Q2569" s="175" t="s">
        <v>438</v>
      </c>
      <c r="R2569" s="175" t="s">
        <v>439</v>
      </c>
      <c r="S2569" s="175" t="s">
        <v>440</v>
      </c>
      <c r="T2569" s="175" t="s">
        <v>441</v>
      </c>
      <c r="U2569" s="175" t="s">
        <v>442</v>
      </c>
      <c r="V2569" s="175" t="s">
        <v>443</v>
      </c>
      <c r="W2569" s="175" t="s">
        <v>444</v>
      </c>
      <c r="X2569" s="176" t="s">
        <v>445</v>
      </c>
      <c r="Y2569" s="176" t="s">
        <v>446</v>
      </c>
      <c r="Z2569" s="175" t="s">
        <v>447</v>
      </c>
      <c r="AA2569" s="175" t="s">
        <v>448</v>
      </c>
      <c r="AB2569" s="176" t="s">
        <v>449</v>
      </c>
      <c r="AC2569" s="175" t="s">
        <v>450</v>
      </c>
      <c r="AD2569" s="175" t="s">
        <v>451</v>
      </c>
      <c r="AE2569" s="176" t="s">
        <v>452</v>
      </c>
      <c r="AF2569" s="176" t="s">
        <v>453</v>
      </c>
      <c r="AG2569" s="176" t="s">
        <v>454</v>
      </c>
      <c r="AH2569" s="176" t="s">
        <v>455</v>
      </c>
      <c r="AI2569" s="176" t="s">
        <v>456</v>
      </c>
      <c r="AJ2569" s="176" t="s">
        <v>457</v>
      </c>
      <c r="AK2569" s="176" t="s">
        <v>458</v>
      </c>
      <c r="AL2569" s="176" t="s">
        <v>459</v>
      </c>
      <c r="AM2569" s="176" t="s">
        <v>460</v>
      </c>
      <c r="AN2569" s="176" t="s">
        <v>461</v>
      </c>
      <c r="AO2569" s="175" t="s">
        <v>462</v>
      </c>
      <c r="AP2569" s="175" t="s">
        <v>463</v>
      </c>
      <c r="AQ2569" s="175" t="s">
        <v>464</v>
      </c>
      <c r="AR2569" s="175" t="s">
        <v>465</v>
      </c>
      <c r="AS2569" s="176" t="s">
        <v>466</v>
      </c>
      <c r="AT2569" s="176" t="s">
        <v>467</v>
      </c>
      <c r="AU2569" s="176" t="s">
        <v>468</v>
      </c>
      <c r="AV2569" s="176" t="s">
        <v>469</v>
      </c>
      <c r="AW2569" s="176" t="s">
        <v>470</v>
      </c>
      <c r="AX2569" s="176" t="s">
        <v>471</v>
      </c>
      <c r="AY2569" s="176" t="s">
        <v>472</v>
      </c>
      <c r="AZ2569" s="176" t="s">
        <v>473</v>
      </c>
      <c r="BA2569" s="176" t="s">
        <v>474</v>
      </c>
      <c r="BB2569" s="176" t="s">
        <v>475</v>
      </c>
      <c r="BC2569" s="176" t="s">
        <v>476</v>
      </c>
      <c r="BD2569" s="176" t="s">
        <v>477</v>
      </c>
      <c r="BE2569" s="177" t="s">
        <v>478</v>
      </c>
      <c r="BF2569" s="33" t="s">
        <v>480</v>
      </c>
      <c r="BG2569" s="33" t="s">
        <v>481</v>
      </c>
      <c r="BH2569" s="33" t="s">
        <v>866</v>
      </c>
      <c r="BI2569" s="33" t="s">
        <v>825</v>
      </c>
      <c r="BJ2569" s="33" t="s">
        <v>867</v>
      </c>
    </row>
    <row r="2570" spans="1:62">
      <c r="A2570" s="33" t="s">
        <v>826</v>
      </c>
      <c r="B2570" s="33" t="s">
        <v>868</v>
      </c>
      <c r="C2570" s="33" t="s">
        <v>869</v>
      </c>
      <c r="D2570" s="33" t="s">
        <v>870</v>
      </c>
      <c r="E2570" s="33" t="s">
        <v>829</v>
      </c>
      <c r="F2570" s="33">
        <v>0</v>
      </c>
      <c r="G2570" s="41">
        <v>0</v>
      </c>
      <c r="H2570" s="33">
        <v>0</v>
      </c>
      <c r="I2570" s="33">
        <v>0</v>
      </c>
      <c r="J2570" s="33">
        <v>0</v>
      </c>
      <c r="K2570" s="33">
        <v>0</v>
      </c>
      <c r="L2570" s="33">
        <v>0</v>
      </c>
      <c r="M2570" s="33">
        <v>0</v>
      </c>
      <c r="N2570" s="33">
        <v>0</v>
      </c>
      <c r="O2570" s="33">
        <v>0</v>
      </c>
      <c r="P2570" s="33">
        <v>0</v>
      </c>
      <c r="Q2570" s="33">
        <v>0</v>
      </c>
      <c r="R2570" s="33">
        <v>0</v>
      </c>
      <c r="S2570" s="33">
        <v>0</v>
      </c>
      <c r="T2570" s="33">
        <v>0</v>
      </c>
      <c r="AP2570" s="33">
        <v>0</v>
      </c>
      <c r="AS2570" s="33">
        <v>0</v>
      </c>
      <c r="AW2570" s="33">
        <v>0</v>
      </c>
      <c r="AX2570" s="33">
        <v>0</v>
      </c>
      <c r="AY2570" s="33">
        <v>0</v>
      </c>
      <c r="AZ2570" s="33">
        <v>0</v>
      </c>
    </row>
    <row r="2571" spans="1:62">
      <c r="A2571" s="33" t="s">
        <v>239</v>
      </c>
      <c r="B2571" s="33" t="s">
        <v>868</v>
      </c>
      <c r="C2571" s="33" t="s">
        <v>869</v>
      </c>
      <c r="D2571" s="33" t="s">
        <v>870</v>
      </c>
      <c r="E2571" s="33" t="s">
        <v>829</v>
      </c>
      <c r="F2571" s="33">
        <v>0.57999999999999996</v>
      </c>
      <c r="G2571" s="42">
        <v>0.26127051720916966</v>
      </c>
      <c r="H2571" s="33">
        <v>0.84</v>
      </c>
      <c r="I2571" s="36">
        <v>35.9</v>
      </c>
      <c r="J2571" s="33">
        <v>6.4425856000000004E-7</v>
      </c>
      <c r="K2571" s="33">
        <v>1.3213694999999999E-2</v>
      </c>
      <c r="L2571" s="33">
        <v>2.5529294999999999</v>
      </c>
      <c r="M2571" s="33">
        <v>3.4639106E-7</v>
      </c>
      <c r="N2571" s="33">
        <v>9.5517594999999995E-4</v>
      </c>
      <c r="O2571" s="33">
        <v>1.0768784E-2</v>
      </c>
      <c r="P2571" s="33">
        <v>2.4323385999999998E-3</v>
      </c>
      <c r="Q2571" s="33">
        <v>0.67825634000000001</v>
      </c>
      <c r="R2571" s="33">
        <v>9.5708474000000005E-3</v>
      </c>
      <c r="S2571" s="33">
        <v>32.243735000000001</v>
      </c>
      <c r="T2571" s="33">
        <v>1.1375229000000001E-3</v>
      </c>
      <c r="AP2571" s="33">
        <v>0.16412406000000002</v>
      </c>
      <c r="AS2571" s="33">
        <v>29.643218999999998</v>
      </c>
      <c r="AW2571" s="33">
        <v>3.8411689999999997E-3</v>
      </c>
      <c r="AX2571" s="33">
        <v>1.2428052000000001E-5</v>
      </c>
      <c r="AY2571" s="33">
        <v>2.9755680999999999E-2</v>
      </c>
      <c r="AZ2571" s="33">
        <v>1.9408612000000001E-4</v>
      </c>
      <c r="BF2571" s="33" t="s">
        <v>871</v>
      </c>
      <c r="BG2571" s="33" t="s">
        <v>872</v>
      </c>
      <c r="BH2571" s="33">
        <v>400</v>
      </c>
      <c r="BI2571" s="33" t="s">
        <v>135</v>
      </c>
      <c r="BJ2571" s="33" t="s">
        <v>867</v>
      </c>
    </row>
    <row r="2572" spans="1:62">
      <c r="A2572" s="33" t="s">
        <v>873</v>
      </c>
      <c r="B2572" s="33" t="s">
        <v>868</v>
      </c>
      <c r="C2572" s="33" t="s">
        <v>869</v>
      </c>
      <c r="D2572" s="33" t="s">
        <v>870</v>
      </c>
      <c r="E2572" s="33" t="s">
        <v>829</v>
      </c>
      <c r="F2572" s="33">
        <v>0.32</v>
      </c>
      <c r="G2572" s="42">
        <v>0.14263888068078001</v>
      </c>
      <c r="H2572" s="33">
        <v>0.84</v>
      </c>
      <c r="I2572" s="36">
        <v>35.9</v>
      </c>
      <c r="J2572" s="33">
        <v>3.55453E-7</v>
      </c>
      <c r="K2572" s="33">
        <v>7.2903144999999997E-3</v>
      </c>
      <c r="L2572" s="33">
        <v>1.4085128</v>
      </c>
      <c r="M2572" s="33">
        <v>1.9111231000000001E-7</v>
      </c>
      <c r="N2572" s="33">
        <v>5.2427148000000002E-4</v>
      </c>
      <c r="O2572" s="33">
        <v>5.7118258999999992E-3</v>
      </c>
      <c r="P2572" s="33">
        <v>1.2822911000000001E-3</v>
      </c>
      <c r="Q2572" s="33">
        <v>0.37366109999999997</v>
      </c>
      <c r="R2572" s="33">
        <v>5.2804675999999998E-3</v>
      </c>
      <c r="S2572" s="33">
        <v>17.789646999999999</v>
      </c>
      <c r="T2572" s="33">
        <v>6.2759885000000001E-4</v>
      </c>
      <c r="AP2572" s="33">
        <v>9.0551208000000008E-2</v>
      </c>
      <c r="AS2572" s="33">
        <v>16.354879999999998</v>
      </c>
      <c r="AW2572" s="33">
        <v>2.1192656999999998E-3</v>
      </c>
      <c r="AX2572" s="33">
        <v>6.8568560999999999E-6</v>
      </c>
      <c r="AY2572" s="33">
        <v>1.6416927999999997E-2</v>
      </c>
      <c r="AZ2572" s="33">
        <v>1.07082E-4</v>
      </c>
      <c r="BF2572" s="33" t="s">
        <v>874</v>
      </c>
      <c r="BG2572" s="33" t="s">
        <v>872</v>
      </c>
      <c r="BH2572" s="33">
        <v>1000</v>
      </c>
      <c r="BI2572" s="33" t="s">
        <v>135</v>
      </c>
      <c r="BJ2572" s="33" t="s">
        <v>867</v>
      </c>
    </row>
    <row r="2573" spans="1:62">
      <c r="A2573" s="33" t="s">
        <v>875</v>
      </c>
      <c r="B2573" s="33" t="s">
        <v>868</v>
      </c>
      <c r="C2573" s="33" t="s">
        <v>869</v>
      </c>
      <c r="D2573" s="33" t="s">
        <v>870</v>
      </c>
      <c r="E2573" s="33" t="s">
        <v>829</v>
      </c>
      <c r="F2573" s="33">
        <v>0.27</v>
      </c>
      <c r="G2573" s="42">
        <v>0.11581852468725519</v>
      </c>
      <c r="H2573" s="33">
        <v>0.84</v>
      </c>
      <c r="I2573" s="36">
        <v>35.9</v>
      </c>
      <c r="J2573" s="33">
        <v>2.9991346999999998E-7</v>
      </c>
      <c r="K2573" s="33">
        <v>6.1512028999999996E-3</v>
      </c>
      <c r="L2573" s="33">
        <v>1.1884326999999999</v>
      </c>
      <c r="M2573" s="33">
        <v>1.6125100999999998E-7</v>
      </c>
      <c r="N2573" s="33">
        <v>4.042146E-4</v>
      </c>
      <c r="O2573" s="33">
        <v>4.1397031000000003E-3</v>
      </c>
      <c r="P2573" s="33">
        <v>9.0522412E-4</v>
      </c>
      <c r="Q2573" s="33">
        <v>0.31363464000000002</v>
      </c>
      <c r="R2573" s="33">
        <v>4.4553944999999994E-3</v>
      </c>
      <c r="S2573" s="33">
        <v>15.010014</v>
      </c>
      <c r="T2573" s="33">
        <v>5.2953652999999999E-4</v>
      </c>
      <c r="AP2573" s="33">
        <v>7.6402581999999997E-2</v>
      </c>
      <c r="AS2573" s="33">
        <v>13.799429999999999</v>
      </c>
      <c r="AW2573" s="33">
        <v>1.7881304000000001E-3</v>
      </c>
      <c r="AX2573" s="33">
        <v>5.7854722999999998E-6</v>
      </c>
      <c r="AY2573" s="33">
        <v>1.3851782999999999E-2</v>
      </c>
      <c r="AZ2573" s="33">
        <v>9.0350436999999989E-5</v>
      </c>
      <c r="BF2573" s="33" t="s">
        <v>876</v>
      </c>
      <c r="BG2573" s="33" t="s">
        <v>872</v>
      </c>
      <c r="BH2573" s="33">
        <v>2000</v>
      </c>
      <c r="BI2573" s="33" t="s">
        <v>135</v>
      </c>
      <c r="BJ2573" s="33" t="s">
        <v>877</v>
      </c>
    </row>
    <row r="2574" spans="1:62">
      <c r="A2574" s="33" t="s">
        <v>878</v>
      </c>
      <c r="B2574" s="33" t="s">
        <v>868</v>
      </c>
      <c r="C2574" s="33" t="s">
        <v>869</v>
      </c>
      <c r="D2574" s="33" t="s">
        <v>870</v>
      </c>
      <c r="E2574" s="33" t="s">
        <v>829</v>
      </c>
      <c r="F2574" s="33">
        <v>0.57999999999999996</v>
      </c>
      <c r="G2574" s="42">
        <v>0.23687183007923182</v>
      </c>
      <c r="H2574" s="33">
        <v>0.84</v>
      </c>
      <c r="I2574" s="36">
        <v>35.9</v>
      </c>
      <c r="J2574" s="33">
        <v>6.4425856642033593E-7</v>
      </c>
      <c r="K2574" s="33">
        <v>1.3213695029882013E-2</v>
      </c>
      <c r="L2574" s="33">
        <v>2.5529294814534005</v>
      </c>
      <c r="M2574" s="33">
        <v>3.463910534822666E-7</v>
      </c>
      <c r="N2574" s="33">
        <v>8.2283180369771038E-4</v>
      </c>
      <c r="O2574" s="33">
        <v>7.0874843140985404E-3</v>
      </c>
      <c r="P2574" s="33">
        <v>1.4752006348841495E-3</v>
      </c>
      <c r="Q2574" s="33">
        <v>0.66942792442326204</v>
      </c>
      <c r="R2574" s="33">
        <v>9.570847205089399E-3</v>
      </c>
      <c r="S2574" s="33">
        <v>32.243734235632999</v>
      </c>
      <c r="T2574" s="33">
        <v>1.1375228874850821E-3</v>
      </c>
      <c r="AP2574" s="33">
        <v>0.16412406602287699</v>
      </c>
      <c r="AS2574" s="33">
        <v>29.643218725649522</v>
      </c>
      <c r="AW2574" s="33">
        <v>3.841168985666E-3</v>
      </c>
      <c r="AX2574" s="33">
        <v>1.24280516996244E-5</v>
      </c>
      <c r="AY2574" s="33">
        <v>2.9755681268562002E-2</v>
      </c>
      <c r="AZ2574" s="33">
        <v>1.9408612013958784E-4</v>
      </c>
      <c r="BF2574" s="33" t="s">
        <v>879</v>
      </c>
      <c r="BG2574" s="33" t="s">
        <v>872</v>
      </c>
      <c r="BH2574" s="33">
        <v>400</v>
      </c>
      <c r="BI2574" s="33" t="s">
        <v>135</v>
      </c>
      <c r="BJ2574" s="33" t="s">
        <v>877</v>
      </c>
    </row>
    <row r="2575" spans="1:62">
      <c r="A2575" s="33" t="s">
        <v>880</v>
      </c>
      <c r="B2575" s="33" t="s">
        <v>868</v>
      </c>
      <c r="C2575" s="33" t="s">
        <v>869</v>
      </c>
      <c r="D2575" s="33" t="s">
        <v>870</v>
      </c>
      <c r="E2575" s="33" t="s">
        <v>829</v>
      </c>
      <c r="F2575" s="33">
        <v>0.32</v>
      </c>
      <c r="G2575" s="42">
        <v>0.12951060964713479</v>
      </c>
      <c r="H2575" s="33">
        <v>0.84</v>
      </c>
      <c r="I2575" s="36">
        <v>35.9</v>
      </c>
      <c r="J2575" s="33">
        <v>3.5545300216294395E-7</v>
      </c>
      <c r="K2575" s="33">
        <v>7.2903144992452484E-3</v>
      </c>
      <c r="L2575" s="33">
        <v>1.4085128173536001</v>
      </c>
      <c r="M2575" s="33">
        <v>1.911123053695264E-7</v>
      </c>
      <c r="N2575" s="33">
        <v>4.582701345090816E-4</v>
      </c>
      <c r="O2575" s="33">
        <v>3.7294258284681601E-3</v>
      </c>
      <c r="P2575" s="33">
        <v>7.6686710890159983E-4</v>
      </c>
      <c r="Q2575" s="33">
        <v>0.368907178385248</v>
      </c>
      <c r="R2575" s="33">
        <v>5.2804674234975995E-3</v>
      </c>
      <c r="S2575" s="33">
        <v>17.789646474831997</v>
      </c>
      <c r="T2575" s="33">
        <v>6.2759883447452804E-4</v>
      </c>
      <c r="AP2575" s="33">
        <v>9.0551208840208008E-2</v>
      </c>
      <c r="AS2575" s="33">
        <v>16.354879296910081</v>
      </c>
      <c r="AW2575" s="33">
        <v>2.1192656472640002E-3</v>
      </c>
      <c r="AX2575" s="33">
        <v>6.8568561101376003E-6</v>
      </c>
      <c r="AY2575" s="33">
        <v>1.6416927596448E-2</v>
      </c>
      <c r="AZ2575" s="33">
        <v>1.0708199731839329E-4</v>
      </c>
      <c r="BF2575" s="33" t="s">
        <v>881</v>
      </c>
      <c r="BG2575" s="33" t="s">
        <v>872</v>
      </c>
      <c r="BH2575" s="33">
        <v>1000</v>
      </c>
      <c r="BI2575" s="33" t="s">
        <v>135</v>
      </c>
      <c r="BJ2575" s="33" t="s">
        <v>877</v>
      </c>
    </row>
    <row r="2576" spans="1:62">
      <c r="A2576" s="33" t="s">
        <v>882</v>
      </c>
      <c r="B2576" s="33" t="s">
        <v>868</v>
      </c>
      <c r="C2576" s="33" t="s">
        <v>869</v>
      </c>
      <c r="D2576" s="33" t="s">
        <v>870</v>
      </c>
      <c r="E2576" s="33" t="s">
        <v>829</v>
      </c>
      <c r="F2576" s="33">
        <v>0.27</v>
      </c>
      <c r="G2576" s="42">
        <v>0.10846771729987</v>
      </c>
      <c r="H2576" s="33">
        <v>0.84</v>
      </c>
      <c r="I2576" s="36">
        <v>35.9</v>
      </c>
      <c r="J2576" s="33">
        <v>2.99913470574984E-7</v>
      </c>
      <c r="K2576" s="33">
        <v>6.1512028587381784E-3</v>
      </c>
      <c r="L2576" s="33">
        <v>1.1884326896421</v>
      </c>
      <c r="M2576" s="33">
        <v>1.612510076555379E-7</v>
      </c>
      <c r="N2576" s="33">
        <v>3.6272999004203756E-4</v>
      </c>
      <c r="O2576" s="33">
        <v>3.03110304277001E-3</v>
      </c>
      <c r="P2576" s="33">
        <v>6.1698812313572477E-4</v>
      </c>
      <c r="Q2576" s="33">
        <v>0.31097560156255305</v>
      </c>
      <c r="R2576" s="33">
        <v>4.4553943885760989E-3</v>
      </c>
      <c r="S2576" s="33">
        <v>15.010014213139499</v>
      </c>
      <c r="T2576" s="33">
        <v>5.2953651658788309E-4</v>
      </c>
      <c r="AP2576" s="33">
        <v>7.6402582458925505E-2</v>
      </c>
      <c r="AS2576" s="33">
        <v>13.799429406767882</v>
      </c>
      <c r="AW2576" s="33">
        <v>1.7881303898790001E-3</v>
      </c>
      <c r="AX2576" s="33">
        <v>5.7854723429286003E-6</v>
      </c>
      <c r="AY2576" s="33">
        <v>1.3851782659503001E-2</v>
      </c>
      <c r="AZ2576" s="33">
        <v>9.035043523739433E-5</v>
      </c>
      <c r="BF2576" s="33" t="s">
        <v>883</v>
      </c>
      <c r="BG2576" s="33" t="s">
        <v>872</v>
      </c>
      <c r="BH2576" s="33">
        <v>2000</v>
      </c>
      <c r="BI2576" s="33" t="s">
        <v>135</v>
      </c>
    </row>
    <row r="2577" spans="1:61">
      <c r="A2577" s="33" t="s">
        <v>884</v>
      </c>
      <c r="B2577" s="33" t="s">
        <v>868</v>
      </c>
      <c r="C2577" s="33" t="s">
        <v>869</v>
      </c>
      <c r="D2577" s="33" t="s">
        <v>870</v>
      </c>
      <c r="E2577" s="33" t="s">
        <v>829</v>
      </c>
      <c r="F2577" s="45">
        <f>$F$2574*($I$2574/Database_Asfalt_Aanlegset[[#This Row],[Stookwaarde '[MJ/liter']]])</f>
        <v>0.6070553935860058</v>
      </c>
      <c r="G2577" s="42">
        <f>Database_Asfalt_Aanlegset[[#This Row],[Verbruik '[liter/kWh/kg per uur']]]*G$2722</f>
        <v>0.1654398396538756</v>
      </c>
      <c r="H2577" s="33">
        <v>0.77900000000000003</v>
      </c>
      <c r="I2577" s="44">
        <v>34.299999999999997</v>
      </c>
      <c r="J2577" s="40">
        <f>Database_Asfalt_Aanlegset[[#This Row],[Verbruik '[liter/kWh/kg per uur']]]*J$2722</f>
        <v>2.0748537075473147E-5</v>
      </c>
      <c r="K2577" s="40">
        <f>Database_Asfalt_Aanlegset[[#This Row],[Verbruik '[liter/kWh/kg per uur']]]*K$2722</f>
        <v>1.323784848211444E-2</v>
      </c>
      <c r="L2577" s="40">
        <f>Database_Asfalt_Aanlegset[[#This Row],[Verbruik '[liter/kWh/kg per uur']]]*L$2722</f>
        <v>1.5254626285221569</v>
      </c>
      <c r="M2577" s="40">
        <f>Database_Asfalt_Aanlegset[[#This Row],[Verbruik '[liter/kWh/kg per uur']]]*M$2722</f>
        <v>1.3841799756587712E-7</v>
      </c>
      <c r="N2577" s="40">
        <f>Database_Asfalt_Aanlegset[[#This Row],[Verbruik '[liter/kWh/kg per uur']]]*N$2722</f>
        <v>4.0121915985253401E-4</v>
      </c>
      <c r="O2577" s="40">
        <f>Database_Asfalt_Aanlegset[[#This Row],[Verbruik '[liter/kWh/kg per uur']]]*O$2722</f>
        <v>3.6333953457349838E-3</v>
      </c>
      <c r="P2577" s="40">
        <f>Database_Asfalt_Aanlegset[[#This Row],[Verbruik '[liter/kWh/kg per uur']]]*P$2722</f>
        <v>4.6998199938195454E-4</v>
      </c>
      <c r="Q2577" s="40">
        <f>Database_Asfalt_Aanlegset[[#This Row],[Verbruik '[liter/kWh/kg per uur']]]*Q$2722</f>
        <v>0.68882439303707477</v>
      </c>
      <c r="R2577" s="40">
        <f>Database_Asfalt_Aanlegset[[#This Row],[Verbruik '[liter/kWh/kg per uur']]]*R$2722</f>
        <v>1.0934197467138855E-2</v>
      </c>
      <c r="S2577" s="40">
        <f>Database_Asfalt_Aanlegset[[#This Row],[Verbruik '[liter/kWh/kg per uur']]]*S$2722</f>
        <v>37.532021346541882</v>
      </c>
      <c r="T2577" s="40">
        <f>Database_Asfalt_Aanlegset[[#This Row],[Verbruik '[liter/kWh/kg per uur']]]*T$2722</f>
        <v>2.3331657355643541E-2</v>
      </c>
      <c r="U2577" s="40"/>
      <c r="V2577" s="40"/>
      <c r="W2577" s="40"/>
      <c r="X2577" s="40"/>
      <c r="Y2577" s="40"/>
      <c r="Z2577" s="40"/>
      <c r="AA2577" s="40"/>
      <c r="AB2577" s="40"/>
      <c r="AC2577" s="40"/>
      <c r="AD2577" s="40"/>
      <c r="AE2577" s="40"/>
      <c r="AF2577" s="40"/>
      <c r="AG2577" s="40"/>
      <c r="AH2577" s="40"/>
      <c r="AI2577" s="40"/>
      <c r="AJ2577" s="40"/>
      <c r="AK2577" s="40"/>
      <c r="AL2577" s="40"/>
      <c r="AM2577" s="40"/>
      <c r="AN2577" s="40"/>
      <c r="AO2577" s="40"/>
      <c r="AP2577" s="40">
        <f>Database_Asfalt_Aanlegset[[#This Row],[Verbruik '[liter/kWh/kg per uur']]]*AP$2722</f>
        <v>0.50471002218294148</v>
      </c>
      <c r="AQ2577" s="40"/>
      <c r="AR2577" s="40"/>
      <c r="AS2577" s="40">
        <f>Database_Asfalt_Aanlegset[[#This Row],[Verbruik '[liter/kWh/kg per uur']]]*AS$2722</f>
        <v>27.361726913570696</v>
      </c>
      <c r="AT2577" s="40"/>
      <c r="AU2577" s="40"/>
      <c r="AV2577" s="40"/>
      <c r="AW2577" s="40">
        <f>Database_Asfalt_Aanlegset[[#This Row],[Verbruik '[liter/kWh/kg per uur']]]*AW$2722</f>
        <v>8.962916011872853E-3</v>
      </c>
      <c r="AX2577" s="40">
        <f>Database_Asfalt_Aanlegset[[#This Row],[Verbruik '[liter/kWh/kg per uur']]]*AX$2722</f>
        <v>5.6522215683923309E-5</v>
      </c>
      <c r="AY2577" s="40">
        <f>Database_Asfalt_Aanlegset[[#This Row],[Verbruik '[liter/kWh/kg per uur']]]*AY$2722</f>
        <v>0.10807049470650333</v>
      </c>
      <c r="AZ2577" s="40">
        <f>Database_Asfalt_Aanlegset[[#This Row],[Verbruik '[liter/kWh/kg per uur']]]*AZ$2722</f>
        <v>4.3787854617056836E-5</v>
      </c>
      <c r="BA2577" s="40"/>
      <c r="BB2577" s="40"/>
      <c r="BC2577" s="40"/>
      <c r="BD2577" s="40"/>
      <c r="BE2577" s="40"/>
      <c r="BG2577" s="33" t="s">
        <v>885</v>
      </c>
      <c r="BH2577" s="33">
        <v>400</v>
      </c>
      <c r="BI2577" s="33" t="s">
        <v>135</v>
      </c>
    </row>
    <row r="2578" spans="1:61">
      <c r="A2578" s="33" t="s">
        <v>886</v>
      </c>
      <c r="B2578" s="33" t="s">
        <v>868</v>
      </c>
      <c r="C2578" s="33" t="s">
        <v>869</v>
      </c>
      <c r="D2578" s="33" t="s">
        <v>870</v>
      </c>
      <c r="E2578" s="33" t="s">
        <v>829</v>
      </c>
      <c r="F2578" s="45">
        <f>$F$2575*($I$2575/Database_Asfalt_Aanlegset[[#This Row],[Stookwaarde '[MJ/liter']]])</f>
        <v>0.3349271137026239</v>
      </c>
      <c r="G2578" s="42">
        <f>Database_Asfalt_Aanlegset[[#This Row],[Verbruik '[liter/kWh/kg per uur']]]*G$2722</f>
        <v>9.1277152912483103E-2</v>
      </c>
      <c r="H2578" s="33">
        <v>0.77900000000000003</v>
      </c>
      <c r="I2578" s="44">
        <v>34.299999999999997</v>
      </c>
      <c r="J2578" s="40">
        <f>Database_Asfalt_Aanlegset[[#This Row],[Verbruik '[liter/kWh/kg per uur']]]*J$2722</f>
        <v>1.144746873129553E-5</v>
      </c>
      <c r="K2578" s="40">
        <f>Database_Asfalt_Aanlegset[[#This Row],[Verbruik '[liter/kWh/kg per uur']]]*K$2722</f>
        <v>7.303640541856244E-3</v>
      </c>
      <c r="L2578" s="40">
        <f>Database_Asfalt_Aanlegset[[#This Row],[Verbruik '[liter/kWh/kg per uur']]]*L$2722</f>
        <v>0.84163455366739692</v>
      </c>
      <c r="M2578" s="40">
        <f>Database_Asfalt_Aanlegset[[#This Row],[Verbruik '[liter/kWh/kg per uur']]]*M$2722</f>
        <v>7.6368550381173584E-8</v>
      </c>
      <c r="N2578" s="40">
        <f>Database_Asfalt_Aanlegset[[#This Row],[Verbruik '[liter/kWh/kg per uur']]]*N$2722</f>
        <v>2.2136229509105325E-4</v>
      </c>
      <c r="O2578" s="40">
        <f>Database_Asfalt_Aanlegset[[#This Row],[Verbruik '[liter/kWh/kg per uur']]]*O$2722</f>
        <v>2.0046319148882669E-3</v>
      </c>
      <c r="P2578" s="40">
        <f>Database_Asfalt_Aanlegset[[#This Row],[Verbruik '[liter/kWh/kg per uur']]]*P$2722</f>
        <v>2.5930041345211284E-4</v>
      </c>
      <c r="Q2578" s="40">
        <f>Database_Asfalt_Aanlegset[[#This Row],[Verbruik '[liter/kWh/kg per uur']]]*Q$2722</f>
        <v>0.38004104443424819</v>
      </c>
      <c r="R2578" s="40">
        <f>Database_Asfalt_Aanlegset[[#This Row],[Verbruik '[liter/kWh/kg per uur']]]*R$2722</f>
        <v>6.0326606715248856E-3</v>
      </c>
      <c r="S2578" s="40">
        <f>Database_Asfalt_Aanlegset[[#This Row],[Verbruik '[liter/kWh/kg per uur']]]*S$2722</f>
        <v>20.707322122230003</v>
      </c>
      <c r="T2578" s="40">
        <f>Database_Asfalt_Aanlegset[[#This Row],[Verbruik '[liter/kWh/kg per uur']]]*T$2722</f>
        <v>1.2872638541044713E-2</v>
      </c>
      <c r="U2578" s="40"/>
      <c r="V2578" s="40"/>
      <c r="W2578" s="40"/>
      <c r="X2578" s="40"/>
      <c r="Y2578" s="40"/>
      <c r="Z2578" s="40"/>
      <c r="AA2578" s="40"/>
      <c r="AB2578" s="40"/>
      <c r="AC2578" s="40"/>
      <c r="AD2578" s="40"/>
      <c r="AE2578" s="40"/>
      <c r="AF2578" s="40"/>
      <c r="AG2578" s="40"/>
      <c r="AH2578" s="40"/>
      <c r="AI2578" s="40"/>
      <c r="AJ2578" s="40"/>
      <c r="AK2578" s="40"/>
      <c r="AL2578" s="40"/>
      <c r="AM2578" s="40"/>
      <c r="AN2578" s="40"/>
      <c r="AO2578" s="40"/>
      <c r="AP2578" s="40">
        <f>Database_Asfalt_Aanlegset[[#This Row],[Verbruik '[liter/kWh/kg per uur']]]*AP$2722</f>
        <v>0.27846070189403666</v>
      </c>
      <c r="AQ2578" s="40"/>
      <c r="AR2578" s="40"/>
      <c r="AS2578" s="40">
        <f>Database_Asfalt_Aanlegset[[#This Row],[Verbruik '[liter/kWh/kg per uur']]]*AS$2722</f>
        <v>15.096125193694176</v>
      </c>
      <c r="AT2578" s="40"/>
      <c r="AU2578" s="40"/>
      <c r="AV2578" s="40"/>
      <c r="AW2578" s="40">
        <f>Database_Asfalt_Aanlegset[[#This Row],[Verbruik '[liter/kWh/kg per uur']]]*AW$2722</f>
        <v>4.9450571099988157E-3</v>
      </c>
      <c r="AX2578" s="40">
        <f>Database_Asfalt_Aanlegset[[#This Row],[Verbruik '[liter/kWh/kg per uur']]]*AX$2722</f>
        <v>3.1184670722164588E-5</v>
      </c>
      <c r="AY2578" s="40">
        <f>Database_Asfalt_Aanlegset[[#This Row],[Verbruik '[liter/kWh/kg per uur']]]*AY$2722</f>
        <v>5.9625100527725981E-2</v>
      </c>
      <c r="AZ2578" s="40">
        <f>Database_Asfalt_Aanlegset[[#This Row],[Verbruik '[liter/kWh/kg per uur']]]*AZ$2722</f>
        <v>2.4158816340445151E-5</v>
      </c>
      <c r="BA2578" s="40"/>
      <c r="BB2578" s="40"/>
      <c r="BC2578" s="40"/>
      <c r="BD2578" s="40"/>
      <c r="BE2578" s="40"/>
      <c r="BG2578" s="33" t="s">
        <v>885</v>
      </c>
      <c r="BH2578" s="33">
        <v>1000</v>
      </c>
      <c r="BI2578" s="33" t="s">
        <v>135</v>
      </c>
    </row>
    <row r="2579" spans="1:61">
      <c r="A2579" s="33" t="s">
        <v>887</v>
      </c>
      <c r="B2579" s="33" t="s">
        <v>868</v>
      </c>
      <c r="C2579" s="33" t="s">
        <v>869</v>
      </c>
      <c r="D2579" s="33" t="s">
        <v>870</v>
      </c>
      <c r="E2579" s="33" t="s">
        <v>829</v>
      </c>
      <c r="F2579" s="45">
        <f>$F$2576*($I$2576/Database_Asfalt_Aanlegset[[#This Row],[Stookwaarde '[MJ/liter']]])</f>
        <v>0.28259475218658897</v>
      </c>
      <c r="G2579" s="42">
        <f>Database_Asfalt_Aanlegset[[#This Row],[Verbruik '[liter/kWh/kg per uur']]]*G$2722</f>
        <v>7.7015097769907628E-2</v>
      </c>
      <c r="H2579" s="33">
        <v>0.77900000000000003</v>
      </c>
      <c r="I2579" s="44">
        <v>34.299999999999997</v>
      </c>
      <c r="J2579" s="40">
        <f>Database_Asfalt_Aanlegset[[#This Row],[Verbruik '[liter/kWh/kg per uur']]]*J$2722</f>
        <v>9.6588017420306053E-6</v>
      </c>
      <c r="K2579" s="40">
        <f>Database_Asfalt_Aanlegset[[#This Row],[Verbruik '[liter/kWh/kg per uur']]]*K$2722</f>
        <v>6.1624467071912069E-3</v>
      </c>
      <c r="L2579" s="40">
        <f>Database_Asfalt_Aanlegset[[#This Row],[Verbruik '[liter/kWh/kg per uur']]]*L$2722</f>
        <v>0.71012915465686632</v>
      </c>
      <c r="M2579" s="40">
        <f>Database_Asfalt_Aanlegset[[#This Row],[Verbruik '[liter/kWh/kg per uur']]]*M$2722</f>
        <v>6.4435964384115225E-8</v>
      </c>
      <c r="N2579" s="40">
        <f>Database_Asfalt_Aanlegset[[#This Row],[Verbruik '[liter/kWh/kg per uur']]]*N$2722</f>
        <v>1.8677443648307623E-4</v>
      </c>
      <c r="O2579" s="40">
        <f>Database_Asfalt_Aanlegset[[#This Row],[Verbruik '[liter/kWh/kg per uur']]]*O$2722</f>
        <v>1.6914081781869757E-3</v>
      </c>
      <c r="P2579" s="40">
        <f>Database_Asfalt_Aanlegset[[#This Row],[Verbruik '[liter/kWh/kg per uur']]]*P$2722</f>
        <v>2.1878472385022027E-4</v>
      </c>
      <c r="Q2579" s="40">
        <f>Database_Asfalt_Aanlegset[[#This Row],[Verbruik '[liter/kWh/kg per uur']]]*Q$2722</f>
        <v>0.32065963124139696</v>
      </c>
      <c r="R2579" s="40">
        <f>Database_Asfalt_Aanlegset[[#This Row],[Verbruik '[liter/kWh/kg per uur']]]*R$2722</f>
        <v>5.090057441599123E-3</v>
      </c>
      <c r="S2579" s="40">
        <f>Database_Asfalt_Aanlegset[[#This Row],[Verbruik '[liter/kWh/kg per uur']]]*S$2722</f>
        <v>17.471803040631571</v>
      </c>
      <c r="T2579" s="40">
        <f>Database_Asfalt_Aanlegset[[#This Row],[Verbruik '[liter/kWh/kg per uur']]]*T$2722</f>
        <v>1.0861288769006478E-2</v>
      </c>
      <c r="U2579" s="40"/>
      <c r="V2579" s="40"/>
      <c r="W2579" s="40"/>
      <c r="X2579" s="40"/>
      <c r="Y2579" s="40"/>
      <c r="Z2579" s="40"/>
      <c r="AA2579" s="40"/>
      <c r="AB2579" s="40"/>
      <c r="AC2579" s="40"/>
      <c r="AD2579" s="40"/>
      <c r="AE2579" s="40"/>
      <c r="AF2579" s="40"/>
      <c r="AG2579" s="40"/>
      <c r="AH2579" s="40"/>
      <c r="AI2579" s="40"/>
      <c r="AJ2579" s="40"/>
      <c r="AK2579" s="40"/>
      <c r="AL2579" s="40"/>
      <c r="AM2579" s="40"/>
      <c r="AN2579" s="40"/>
      <c r="AO2579" s="40"/>
      <c r="AP2579" s="40">
        <f>Database_Asfalt_Aanlegset[[#This Row],[Verbruik '[liter/kWh/kg per uur']]]*AP$2722</f>
        <v>0.23495121722309348</v>
      </c>
      <c r="AQ2579" s="40"/>
      <c r="AR2579" s="40"/>
      <c r="AS2579" s="40">
        <f>Database_Asfalt_Aanlegset[[#This Row],[Verbruik '[liter/kWh/kg per uur']]]*AS$2722</f>
        <v>12.737355632179463</v>
      </c>
      <c r="AT2579" s="40"/>
      <c r="AU2579" s="40"/>
      <c r="AV2579" s="40"/>
      <c r="AW2579" s="40">
        <f>Database_Asfalt_Aanlegset[[#This Row],[Verbruik '[liter/kWh/kg per uur']]]*AW$2722</f>
        <v>4.1723919365615012E-3</v>
      </c>
      <c r="AX2579" s="40">
        <f>Database_Asfalt_Aanlegset[[#This Row],[Verbruik '[liter/kWh/kg per uur']]]*AX$2722</f>
        <v>2.6312065921826376E-5</v>
      </c>
      <c r="AY2579" s="40">
        <f>Database_Asfalt_Aanlegset[[#This Row],[Verbruik '[liter/kWh/kg per uur']]]*AY$2722</f>
        <v>5.0308678570268807E-2</v>
      </c>
      <c r="AZ2579" s="40">
        <f>Database_Asfalt_Aanlegset[[#This Row],[Verbruik '[liter/kWh/kg per uur']]]*AZ$2722</f>
        <v>2.03840012872506E-5</v>
      </c>
      <c r="BA2579" s="40"/>
      <c r="BB2579" s="40"/>
      <c r="BC2579" s="40"/>
      <c r="BD2579" s="40"/>
      <c r="BE2579" s="40"/>
      <c r="BG2579" s="33" t="s">
        <v>885</v>
      </c>
      <c r="BH2579" s="33">
        <v>2000</v>
      </c>
      <c r="BI2579" s="33" t="s">
        <v>135</v>
      </c>
    </row>
    <row r="2580" spans="1:61">
      <c r="A2580" s="33" t="s">
        <v>888</v>
      </c>
      <c r="B2580" s="33" t="s">
        <v>868</v>
      </c>
      <c r="C2580" s="33" t="s">
        <v>869</v>
      </c>
      <c r="D2580" s="33" t="s">
        <v>870</v>
      </c>
      <c r="E2580" s="33" t="s">
        <v>829</v>
      </c>
      <c r="F2580" s="45">
        <f>$F$2574*($I$2574/Database_Asfalt_Aanlegset[[#This Row],[Stookwaarde '[MJ/liter']]])</f>
        <v>0.60353623188405792</v>
      </c>
      <c r="G2580" s="42">
        <f>Database_Asfalt_Aanlegset[[#This Row],[Verbruik '[liter/kWh/kg per uur']]]*G$2723</f>
        <v>0.23475810372289854</v>
      </c>
      <c r="H2580" s="33">
        <v>0.78100000000000003</v>
      </c>
      <c r="I2580" s="44">
        <v>34.5</v>
      </c>
      <c r="J2580" s="40">
        <f>Database_Asfalt_Aanlegset[[#This Row],[Verbruik '[liter/kWh/kg per uur']]]*J$2723</f>
        <v>1.1870047029971012E-5</v>
      </c>
      <c r="K2580" s="40">
        <f>Database_Asfalt_Aanlegset[[#This Row],[Verbruik '[liter/kWh/kg per uur']]]*K$2723</f>
        <v>1.7955635634028983E-2</v>
      </c>
      <c r="L2580" s="40">
        <f>Database_Asfalt_Aanlegset[[#This Row],[Verbruik '[liter/kWh/kg per uur']]]*L$2723</f>
        <v>2.8433795335304346</v>
      </c>
      <c r="M2580" s="40">
        <f>Database_Asfalt_Aanlegset[[#This Row],[Verbruik '[liter/kWh/kg per uur']]]*M$2723</f>
        <v>5.6560116723130432E-8</v>
      </c>
      <c r="N2580" s="40">
        <f>Database_Asfalt_Aanlegset[[#This Row],[Verbruik '[liter/kWh/kg per uur']]]*N$2723</f>
        <v>1.368358106573913E-3</v>
      </c>
      <c r="O2580" s="40">
        <f>Database_Asfalt_Aanlegset[[#This Row],[Verbruik '[liter/kWh/kg per uur']]]*O$2723</f>
        <v>7.2105566023768107E-3</v>
      </c>
      <c r="P2580" s="40">
        <f>Database_Asfalt_Aanlegset[[#This Row],[Verbruik '[liter/kWh/kg per uur']]]*P$2723</f>
        <v>7.3046551433623183E-4</v>
      </c>
      <c r="Q2580" s="40">
        <f>Database_Asfalt_Aanlegset[[#This Row],[Verbruik '[liter/kWh/kg per uur']]]*Q$2723</f>
        <v>0.54530312721101448</v>
      </c>
      <c r="R2580" s="40">
        <f>Database_Asfalt_Aanlegset[[#This Row],[Verbruik '[liter/kWh/kg per uur']]]*R$2723</f>
        <v>4.7571435555710147E-3</v>
      </c>
      <c r="S2580" s="40">
        <f>Database_Asfalt_Aanlegset[[#This Row],[Verbruik '[liter/kWh/kg per uur']]]*S$2723</f>
        <v>19.860105077391303</v>
      </c>
      <c r="T2580" s="40">
        <f>Database_Asfalt_Aanlegset[[#This Row],[Verbruik '[liter/kWh/kg per uur']]]*T$2723</f>
        <v>5.8914717973101438E-3</v>
      </c>
      <c r="U2580" s="40"/>
      <c r="V2580" s="40"/>
      <c r="W2580" s="40"/>
      <c r="X2580" s="40"/>
      <c r="Y2580" s="40"/>
      <c r="Z2580" s="40"/>
      <c r="AA2580" s="40"/>
      <c r="AB2580" s="40"/>
      <c r="AC2580" s="40"/>
      <c r="AD2580" s="40"/>
      <c r="AE2580" s="40"/>
      <c r="AF2580" s="40"/>
      <c r="AG2580" s="40"/>
      <c r="AH2580" s="40"/>
      <c r="AI2580" s="40"/>
      <c r="AJ2580" s="40"/>
      <c r="AK2580" s="40"/>
      <c r="AL2580" s="40"/>
      <c r="AM2580" s="40"/>
      <c r="AN2580" s="40"/>
      <c r="AO2580" s="40"/>
      <c r="AP2580" s="40">
        <f>Database_Asfalt_Aanlegset[[#This Row],[Verbruik '[liter/kWh/kg per uur']]]*AP$2723</f>
        <v>0.3782878252585507</v>
      </c>
      <c r="AQ2580" s="40"/>
      <c r="AR2580" s="40"/>
      <c r="AS2580" s="40">
        <f>Database_Asfalt_Aanlegset[[#This Row],[Verbruik '[liter/kWh/kg per uur']]]*AS$2723</f>
        <v>37.086566342144927</v>
      </c>
      <c r="AT2580" s="40"/>
      <c r="AU2580" s="40"/>
      <c r="AV2580" s="40"/>
      <c r="AW2580" s="40">
        <f>Database_Asfalt_Aanlegset[[#This Row],[Verbruik '[liter/kWh/kg per uur']]]*AW$2723</f>
        <v>3.2329187166028985E-3</v>
      </c>
      <c r="AX2580" s="40">
        <f>Database_Asfalt_Aanlegset[[#This Row],[Verbruik '[liter/kWh/kg per uur']]]*AX$2723</f>
        <v>4.1304505437739123E-5</v>
      </c>
      <c r="AY2580" s="40">
        <f>Database_Asfalt_Aanlegset[[#This Row],[Verbruik '[liter/kWh/kg per uur']]]*AY$2723</f>
        <v>8.4140325937391305E-2</v>
      </c>
      <c r="AZ2580" s="40">
        <f>Database_Asfalt_Aanlegset[[#This Row],[Verbruik '[liter/kWh/kg per uur']]]*AZ$2723</f>
        <v>2.1905017401913042E-5</v>
      </c>
      <c r="BA2580" s="40"/>
      <c r="BB2580" s="40"/>
      <c r="BC2580" s="40"/>
      <c r="BD2580" s="40"/>
      <c r="BE2580" s="40"/>
      <c r="BG2580" s="33" t="s">
        <v>885</v>
      </c>
      <c r="BH2580" s="33">
        <v>400</v>
      </c>
      <c r="BI2580" s="33" t="s">
        <v>135</v>
      </c>
    </row>
    <row r="2581" spans="1:61">
      <c r="A2581" s="33" t="s">
        <v>889</v>
      </c>
      <c r="B2581" s="33" t="s">
        <v>868</v>
      </c>
      <c r="C2581" s="33" t="s">
        <v>869</v>
      </c>
      <c r="D2581" s="33" t="s">
        <v>870</v>
      </c>
      <c r="E2581" s="33" t="s">
        <v>829</v>
      </c>
      <c r="F2581" s="45">
        <f>$F$2575*($I$2575/Database_Asfalt_Aanlegset[[#This Row],[Stookwaarde '[MJ/liter']]])</f>
        <v>0.33298550724637677</v>
      </c>
      <c r="G2581" s="42">
        <f>Database_Asfalt_Aanlegset[[#This Row],[Verbruik '[liter/kWh/kg per uur']]]*G$2723</f>
        <v>0.12952171239884055</v>
      </c>
      <c r="H2581" s="33">
        <v>0.78100000000000003</v>
      </c>
      <c r="I2581" s="44">
        <v>34.5</v>
      </c>
      <c r="J2581" s="40">
        <f>Database_Asfalt_Aanlegset[[#This Row],[Verbruik '[liter/kWh/kg per uur']]]*J$2723</f>
        <v>6.5489914648115929E-6</v>
      </c>
      <c r="K2581" s="40">
        <f>Database_Asfalt_Aanlegset[[#This Row],[Verbruik '[liter/kWh/kg per uur']]]*K$2723</f>
        <v>9.9065575911884036E-3</v>
      </c>
      <c r="L2581" s="40">
        <f>Database_Asfalt_Aanlegset[[#This Row],[Verbruik '[liter/kWh/kg per uur']]]*L$2723</f>
        <v>1.5687611219478259</v>
      </c>
      <c r="M2581" s="40">
        <f>Database_Asfalt_Aanlegset[[#This Row],[Verbruik '[liter/kWh/kg per uur']]]*M$2723</f>
        <v>3.1205581640347826E-8</v>
      </c>
      <c r="N2581" s="40">
        <f>Database_Asfalt_Aanlegset[[#This Row],[Verbruik '[liter/kWh/kg per uur']]]*N$2723</f>
        <v>7.5495619673043466E-4</v>
      </c>
      <c r="O2581" s="40">
        <f>Database_Asfalt_Aanlegset[[#This Row],[Verbruik '[liter/kWh/kg per uur']]]*O$2723</f>
        <v>3.9782381254492745E-3</v>
      </c>
      <c r="P2581" s="40">
        <f>Database_Asfalt_Aanlegset[[#This Row],[Verbruik '[liter/kWh/kg per uur']]]*P$2723</f>
        <v>4.0301545618550718E-4</v>
      </c>
      <c r="Q2581" s="40">
        <f>Database_Asfalt_Aanlegset[[#This Row],[Verbruik '[liter/kWh/kg per uur']]]*Q$2723</f>
        <v>0.30085689777159419</v>
      </c>
      <c r="R2581" s="40">
        <f>Database_Asfalt_Aanlegset[[#This Row],[Verbruik '[liter/kWh/kg per uur']]]*R$2723</f>
        <v>2.6246309272115942E-3</v>
      </c>
      <c r="S2581" s="40">
        <f>Database_Asfalt_Aanlegset[[#This Row],[Verbruik '[liter/kWh/kg per uur']]]*S$2723</f>
        <v>10.957299353043478</v>
      </c>
      <c r="T2581" s="40">
        <f>Database_Asfalt_Aanlegset[[#This Row],[Verbruik '[liter/kWh/kg per uur']]]*T$2723</f>
        <v>3.2504671985159415E-3</v>
      </c>
      <c r="U2581" s="40"/>
      <c r="V2581" s="40"/>
      <c r="W2581" s="40"/>
      <c r="X2581" s="40"/>
      <c r="Y2581" s="40"/>
      <c r="Z2581" s="40"/>
      <c r="AA2581" s="40"/>
      <c r="AB2581" s="40"/>
      <c r="AC2581" s="40"/>
      <c r="AD2581" s="40"/>
      <c r="AE2581" s="40"/>
      <c r="AF2581" s="40"/>
      <c r="AG2581" s="40"/>
      <c r="AH2581" s="40"/>
      <c r="AI2581" s="40"/>
      <c r="AJ2581" s="40"/>
      <c r="AK2581" s="40"/>
      <c r="AL2581" s="40"/>
      <c r="AM2581" s="40"/>
      <c r="AN2581" s="40"/>
      <c r="AO2581" s="40"/>
      <c r="AP2581" s="40">
        <f>Database_Asfalt_Aanlegset[[#This Row],[Verbruik '[liter/kWh/kg per uur']]]*AP$2723</f>
        <v>0.20871052428057968</v>
      </c>
      <c r="AQ2581" s="40"/>
      <c r="AR2581" s="40"/>
      <c r="AS2581" s="40">
        <f>Database_Asfalt_Aanlegset[[#This Row],[Verbruik '[liter/kWh/kg per uur']]]*AS$2723</f>
        <v>20.461553843942028</v>
      </c>
      <c r="AT2581" s="40"/>
      <c r="AU2581" s="40"/>
      <c r="AV2581" s="40"/>
      <c r="AW2581" s="40">
        <f>Database_Asfalt_Aanlegset[[#This Row],[Verbruik '[liter/kWh/kg per uur']]]*AW$2723</f>
        <v>1.7836792919188405E-3</v>
      </c>
      <c r="AX2581" s="40">
        <f>Database_Asfalt_Aanlegset[[#This Row],[Verbruik '[liter/kWh/kg per uur']]]*AX$2723</f>
        <v>2.2788692655304345E-5</v>
      </c>
      <c r="AY2581" s="40">
        <f>Database_Asfalt_Aanlegset[[#This Row],[Verbruik '[liter/kWh/kg per uur']]]*AY$2723</f>
        <v>4.642224879304347E-2</v>
      </c>
      <c r="AZ2581" s="40">
        <f>Database_Asfalt_Aanlegset[[#This Row],[Verbruik '[liter/kWh/kg per uur']]]*AZ$2723</f>
        <v>1.2085526842434781E-5</v>
      </c>
      <c r="BA2581" s="40"/>
      <c r="BB2581" s="40"/>
      <c r="BC2581" s="40"/>
      <c r="BD2581" s="40"/>
      <c r="BE2581" s="40"/>
      <c r="BG2581" s="33" t="s">
        <v>885</v>
      </c>
      <c r="BH2581" s="33">
        <v>1000</v>
      </c>
      <c r="BI2581" s="33" t="s">
        <v>135</v>
      </c>
    </row>
    <row r="2582" spans="1:61">
      <c r="A2582" s="33" t="s">
        <v>890</v>
      </c>
      <c r="B2582" s="33" t="s">
        <v>868</v>
      </c>
      <c r="C2582" s="33" t="s">
        <v>869</v>
      </c>
      <c r="D2582" s="33" t="s">
        <v>870</v>
      </c>
      <c r="E2582" s="33" t="s">
        <v>829</v>
      </c>
      <c r="F2582" s="45">
        <f>$F$2576*($I$2576/Database_Asfalt_Aanlegset[[#This Row],[Stookwaarde '[MJ/liter']]])</f>
        <v>0.28095652173913044</v>
      </c>
      <c r="G2582" s="42">
        <f>Database_Asfalt_Aanlegset[[#This Row],[Verbruik '[liter/kWh/kg per uur']]]*G$2723</f>
        <v>0.10928394483652173</v>
      </c>
      <c r="H2582" s="33">
        <v>0.78100000000000003</v>
      </c>
      <c r="I2582" s="44">
        <v>34.5</v>
      </c>
      <c r="J2582" s="40">
        <f>Database_Asfalt_Aanlegset[[#This Row],[Verbruik '[liter/kWh/kg per uur']]]*J$2723</f>
        <v>5.5257115484347823E-6</v>
      </c>
      <c r="K2582" s="40">
        <f>Database_Asfalt_Aanlegset[[#This Row],[Verbruik '[liter/kWh/kg per uur']]]*K$2723</f>
        <v>8.3586579675652174E-3</v>
      </c>
      <c r="L2582" s="40">
        <f>Database_Asfalt_Aanlegset[[#This Row],[Verbruik '[liter/kWh/kg per uur']]]*L$2723</f>
        <v>1.3236421966434782</v>
      </c>
      <c r="M2582" s="40">
        <f>Database_Asfalt_Aanlegset[[#This Row],[Verbruik '[liter/kWh/kg per uur']]]*M$2723</f>
        <v>2.632970950904348E-8</v>
      </c>
      <c r="N2582" s="40">
        <f>Database_Asfalt_Aanlegset[[#This Row],[Verbruik '[liter/kWh/kg per uur']]]*N$2723</f>
        <v>6.369942909913044E-4</v>
      </c>
      <c r="O2582" s="40">
        <f>Database_Asfalt_Aanlegset[[#This Row],[Verbruik '[liter/kWh/kg per uur']]]*O$2723</f>
        <v>3.3566384183478259E-3</v>
      </c>
      <c r="P2582" s="40">
        <f>Database_Asfalt_Aanlegset[[#This Row],[Verbruik '[liter/kWh/kg per uur']]]*P$2723</f>
        <v>3.4004429115652176E-4</v>
      </c>
      <c r="Q2582" s="40">
        <f>Database_Asfalt_Aanlegset[[#This Row],[Verbruik '[liter/kWh/kg per uur']]]*Q$2723</f>
        <v>0.25384800749478265</v>
      </c>
      <c r="R2582" s="40">
        <f>Database_Asfalt_Aanlegset[[#This Row],[Verbruik '[liter/kWh/kg per uur']]]*R$2723</f>
        <v>2.2145323448347826E-3</v>
      </c>
      <c r="S2582" s="40">
        <f>Database_Asfalt_Aanlegset[[#This Row],[Verbruik '[liter/kWh/kg per uur']]]*S$2723</f>
        <v>9.2452213291304357</v>
      </c>
      <c r="T2582" s="40">
        <f>Database_Asfalt_Aanlegset[[#This Row],[Verbruik '[liter/kWh/kg per uur']]]*T$2723</f>
        <v>2.7425816987478261E-3</v>
      </c>
      <c r="U2582" s="40"/>
      <c r="V2582" s="40"/>
      <c r="W2582" s="40"/>
      <c r="X2582" s="40"/>
      <c r="Y2582" s="40"/>
      <c r="Z2582" s="40"/>
      <c r="AA2582" s="40"/>
      <c r="AB2582" s="40"/>
      <c r="AC2582" s="40"/>
      <c r="AD2582" s="40"/>
      <c r="AE2582" s="40"/>
      <c r="AF2582" s="40"/>
      <c r="AG2582" s="40"/>
      <c r="AH2582" s="40"/>
      <c r="AI2582" s="40"/>
      <c r="AJ2582" s="40"/>
      <c r="AK2582" s="40"/>
      <c r="AL2582" s="40"/>
      <c r="AM2582" s="40"/>
      <c r="AN2582" s="40"/>
      <c r="AO2582" s="40"/>
      <c r="AP2582" s="40">
        <f>Database_Asfalt_Aanlegset[[#This Row],[Verbruik '[liter/kWh/kg per uur']]]*AP$2723</f>
        <v>0.17609950486173914</v>
      </c>
      <c r="AQ2582" s="40"/>
      <c r="AR2582" s="40"/>
      <c r="AS2582" s="40">
        <f>Database_Asfalt_Aanlegset[[#This Row],[Verbruik '[liter/kWh/kg per uur']]]*AS$2723</f>
        <v>17.264436055826089</v>
      </c>
      <c r="AT2582" s="40"/>
      <c r="AU2582" s="40"/>
      <c r="AV2582" s="40"/>
      <c r="AW2582" s="40">
        <f>Database_Asfalt_Aanlegset[[#This Row],[Verbruik '[liter/kWh/kg per uur']]]*AW$2723</f>
        <v>1.5049794025565218E-3</v>
      </c>
      <c r="AX2582" s="40">
        <f>Database_Asfalt_Aanlegset[[#This Row],[Verbruik '[liter/kWh/kg per uur']]]*AX$2723</f>
        <v>1.9227959427913043E-5</v>
      </c>
      <c r="AY2582" s="40">
        <f>Database_Asfalt_Aanlegset[[#This Row],[Verbruik '[liter/kWh/kg per uur']]]*AY$2723</f>
        <v>3.9168772419130436E-2</v>
      </c>
      <c r="AZ2582" s="40">
        <f>Database_Asfalt_Aanlegset[[#This Row],[Verbruik '[liter/kWh/kg per uur']]]*AZ$2723</f>
        <v>1.0197163273304349E-5</v>
      </c>
      <c r="BA2582" s="40"/>
      <c r="BB2582" s="40"/>
      <c r="BC2582" s="40"/>
      <c r="BD2582" s="40"/>
      <c r="BE2582" s="40"/>
      <c r="BG2582" s="33" t="s">
        <v>885</v>
      </c>
      <c r="BH2582" s="33">
        <v>2000</v>
      </c>
      <c r="BI2582" s="33" t="s">
        <v>135</v>
      </c>
    </row>
    <row r="2583" spans="1:61">
      <c r="A2583" s="33" t="s">
        <v>891</v>
      </c>
      <c r="B2583" s="33" t="s">
        <v>868</v>
      </c>
      <c r="C2583" s="33" t="s">
        <v>869</v>
      </c>
      <c r="D2583" s="33" t="s">
        <v>870</v>
      </c>
      <c r="E2583" s="33" t="s">
        <v>829</v>
      </c>
      <c r="F2583" s="33">
        <f t="shared" ref="F2583:F2588" si="938">F2571*3.1</f>
        <v>1.7979999999999998</v>
      </c>
      <c r="G2583" s="42">
        <f>Database_Asfalt_Aanlegset[[#This Row],[Verbruik '[liter/kWh/kg per uur']]]*G2728</f>
        <v>8.7063036487999998E-2</v>
      </c>
      <c r="I2583" s="44">
        <v>3.6</v>
      </c>
      <c r="J2583" s="40">
        <f>Database_Asfalt_Aanlegset[[#This Row],[Verbruik '[liter/kWh/kg per uur']]]*J2728</f>
        <v>2.5404450833999997E-5</v>
      </c>
      <c r="K2583" s="40">
        <f>Database_Asfalt_Aanlegset[[#This Row],[Verbruik '[liter/kWh/kg per uur']]]*K2728</f>
        <v>2.1702669099999995E-3</v>
      </c>
      <c r="L2583" s="40">
        <f>Database_Asfalt_Aanlegset[[#This Row],[Verbruik '[liter/kWh/kg per uur']]]*L2728</f>
        <v>0.30661962855999997</v>
      </c>
      <c r="M2583" s="40">
        <f>Database_Asfalt_Aanlegset[[#This Row],[Verbruik '[liter/kWh/kg per uur']]]*M2728</f>
        <v>3.4127052273999993E-8</v>
      </c>
      <c r="N2583" s="40">
        <f>Database_Asfalt_Aanlegset[[#This Row],[Verbruik '[liter/kWh/kg per uur']]]*N2728</f>
        <v>3.1402530288E-4</v>
      </c>
      <c r="O2583" s="40">
        <f>Database_Asfalt_Aanlegset[[#This Row],[Verbruik '[liter/kWh/kg per uur']]]*O2728</f>
        <v>2.6628905016E-3</v>
      </c>
      <c r="P2583" s="40">
        <f>Database_Asfalt_Aanlegset[[#This Row],[Verbruik '[liter/kWh/kg per uur']]]*P2728</f>
        <v>4.2034377583999993E-4</v>
      </c>
      <c r="Q2583" s="40">
        <f>Database_Asfalt_Aanlegset[[#This Row],[Verbruik '[liter/kWh/kg per uur']]]*Q2728</f>
        <v>0.58060983635999996</v>
      </c>
      <c r="R2583" s="40">
        <f>Database_Asfalt_Aanlegset[[#This Row],[Verbruik '[liter/kWh/kg per uur']]]*R2728</f>
        <v>8.9477304583999995E-3</v>
      </c>
      <c r="S2583" s="40">
        <f>Database_Asfalt_Aanlegset[[#This Row],[Verbruik '[liter/kWh/kg per uur']]]*S2728</f>
        <v>27.299041191999997</v>
      </c>
      <c r="T2583" s="40">
        <f>Database_Asfalt_Aanlegset[[#This Row],[Verbruik '[liter/kWh/kg per uur']]]*T2728</f>
        <v>1.7729941351999998E-2</v>
      </c>
      <c r="U2583" s="40"/>
      <c r="V2583" s="40"/>
      <c r="W2583" s="40"/>
      <c r="X2583" s="40"/>
      <c r="Y2583" s="40"/>
      <c r="Z2583" s="40"/>
      <c r="AA2583" s="40"/>
      <c r="AB2583" s="40"/>
      <c r="AC2583" s="40"/>
      <c r="AD2583" s="40"/>
      <c r="AE2583" s="40"/>
      <c r="AF2583" s="40"/>
      <c r="AG2583" s="40"/>
      <c r="AH2583" s="40"/>
      <c r="AI2583" s="40"/>
      <c r="AJ2583" s="40"/>
      <c r="AK2583" s="40"/>
      <c r="AL2583" s="40"/>
      <c r="AM2583" s="40"/>
      <c r="AN2583" s="40"/>
      <c r="AO2583" s="40"/>
      <c r="AP2583" s="40">
        <f>Database_Asfalt_Aanlegset[[#This Row],[Verbruik '[liter/kWh/kg per uur']]]*AP2728</f>
        <v>13.778034803599999</v>
      </c>
      <c r="AQ2583" s="40"/>
      <c r="AR2583" s="40"/>
      <c r="AS2583" s="40">
        <f>Database_Asfalt_Aanlegset[[#This Row],[Verbruik '[liter/kWh/kg per uur']]]*AS2728</f>
        <v>4.5373713084</v>
      </c>
      <c r="AT2583" s="40"/>
      <c r="AU2583" s="40"/>
      <c r="AV2583" s="40"/>
      <c r="AW2583" s="40">
        <f>Database_Asfalt_Aanlegset[[#This Row],[Verbruik '[liter/kWh/kg per uur']]]*AW2728</f>
        <v>4.108394219799999E-3</v>
      </c>
      <c r="AX2583" s="40">
        <f>Database_Asfalt_Aanlegset[[#This Row],[Verbruik '[liter/kWh/kg per uur']]]*AX2728</f>
        <v>6.2666337683999997E-5</v>
      </c>
      <c r="AY2583" s="40">
        <f>Database_Asfalt_Aanlegset[[#This Row],[Verbruik '[liter/kWh/kg per uur']]]*AY2728</f>
        <v>0.104989019174</v>
      </c>
      <c r="AZ2583" s="40">
        <f>Database_Asfalt_Aanlegset[[#This Row],[Verbruik '[liter/kWh/kg per uur']]]*AZ2728</f>
        <v>1.5115687109999999E-5</v>
      </c>
      <c r="BA2583" s="40"/>
      <c r="BB2583" s="40"/>
      <c r="BC2583" s="40"/>
      <c r="BD2583" s="40"/>
      <c r="BE2583" s="40"/>
      <c r="BF2583" s="33" t="s">
        <v>892</v>
      </c>
      <c r="BG2583" s="33" t="s">
        <v>893</v>
      </c>
      <c r="BH2583" s="33">
        <v>400</v>
      </c>
      <c r="BI2583" s="33" t="s">
        <v>854</v>
      </c>
    </row>
    <row r="2584" spans="1:61">
      <c r="A2584" s="33" t="s">
        <v>894</v>
      </c>
      <c r="B2584" s="33" t="s">
        <v>868</v>
      </c>
      <c r="C2584" s="33" t="s">
        <v>869</v>
      </c>
      <c r="D2584" s="33" t="s">
        <v>870</v>
      </c>
      <c r="E2584" s="33" t="s">
        <v>829</v>
      </c>
      <c r="F2584" s="33">
        <f t="shared" si="938"/>
        <v>0.9920000000000001</v>
      </c>
      <c r="G2584" s="42">
        <f>Database_Asfalt_Aanlegset[[#This Row],[Verbruik '[liter/kWh/kg per uur']]]*G2728</f>
        <v>4.8034778752000004E-2</v>
      </c>
      <c r="I2584" s="44">
        <v>3.6</v>
      </c>
      <c r="J2584" s="40">
        <f>Database_Asfalt_Aanlegset[[#This Row],[Verbruik '[liter/kWh/kg per uur']]]*J2728</f>
        <v>1.4016248736000002E-5</v>
      </c>
      <c r="K2584" s="40">
        <f>Database_Asfalt_Aanlegset[[#This Row],[Verbruik '[liter/kWh/kg per uur']]]*K2728</f>
        <v>1.19738864E-3</v>
      </c>
      <c r="L2584" s="40">
        <f>Database_Asfalt_Aanlegset[[#This Row],[Verbruik '[liter/kWh/kg per uur']]]*L2728</f>
        <v>0.16916945024000002</v>
      </c>
      <c r="M2584" s="40">
        <f>Database_Asfalt_Aanlegset[[#This Row],[Verbruik '[liter/kWh/kg per uur']]]*M2728</f>
        <v>1.8828718496E-8</v>
      </c>
      <c r="N2584" s="40">
        <f>Database_Asfalt_Aanlegset[[#This Row],[Verbruik '[liter/kWh/kg per uur']]]*N2728</f>
        <v>1.7325533952000001E-4</v>
      </c>
      <c r="O2584" s="40">
        <f>Database_Asfalt_Aanlegset[[#This Row],[Verbruik '[liter/kWh/kg per uur']]]*O2728</f>
        <v>1.4691809664000002E-3</v>
      </c>
      <c r="P2584" s="40">
        <f>Database_Asfalt_Aanlegset[[#This Row],[Verbruik '[liter/kWh/kg per uur']]]*P2728</f>
        <v>2.3191380736000002E-4</v>
      </c>
      <c r="Q2584" s="40">
        <f>Database_Asfalt_Aanlegset[[#This Row],[Verbruik '[liter/kWh/kg per uur']]]*Q2728</f>
        <v>0.32033646144000005</v>
      </c>
      <c r="R2584" s="40">
        <f>Database_Asfalt_Aanlegset[[#This Row],[Verbruik '[liter/kWh/kg per uur']]]*R2728</f>
        <v>4.9366788736000013E-3</v>
      </c>
      <c r="S2584" s="40">
        <f>Database_Asfalt_Aanlegset[[#This Row],[Verbruik '[liter/kWh/kg per uur']]]*S2728</f>
        <v>15.061539968000002</v>
      </c>
      <c r="T2584" s="40">
        <f>Database_Asfalt_Aanlegset[[#This Row],[Verbruik '[liter/kWh/kg per uur']]]*T2728</f>
        <v>9.7820366080000019E-3</v>
      </c>
      <c r="U2584" s="40"/>
      <c r="V2584" s="40"/>
      <c r="W2584" s="40"/>
      <c r="X2584" s="40"/>
      <c r="Y2584" s="40"/>
      <c r="Z2584" s="40"/>
      <c r="AA2584" s="40"/>
      <c r="AB2584" s="40"/>
      <c r="AC2584" s="40"/>
      <c r="AD2584" s="40"/>
      <c r="AE2584" s="40"/>
      <c r="AF2584" s="40"/>
      <c r="AG2584" s="40"/>
      <c r="AH2584" s="40"/>
      <c r="AI2584" s="40"/>
      <c r="AJ2584" s="40"/>
      <c r="AK2584" s="40"/>
      <c r="AL2584" s="40"/>
      <c r="AM2584" s="40"/>
      <c r="AN2584" s="40"/>
      <c r="AO2584" s="40"/>
      <c r="AP2584" s="40">
        <f>Database_Asfalt_Aanlegset[[#This Row],[Verbruik '[liter/kWh/kg per uur']]]*AP2728</f>
        <v>7.6016743744000008</v>
      </c>
      <c r="AQ2584" s="40"/>
      <c r="AR2584" s="40"/>
      <c r="AS2584" s="40">
        <f>Database_Asfalt_Aanlegset[[#This Row],[Verbruik '[liter/kWh/kg per uur']]]*AS2728</f>
        <v>2.5033772736000004</v>
      </c>
      <c r="AT2584" s="40"/>
      <c r="AU2584" s="40"/>
      <c r="AV2584" s="40"/>
      <c r="AW2584" s="40">
        <f>Database_Asfalt_Aanlegset[[#This Row],[Verbruik '[liter/kWh/kg per uur']]]*AW2728</f>
        <v>2.2667002592E-3</v>
      </c>
      <c r="AX2584" s="40">
        <f>Database_Asfalt_Aanlegset[[#This Row],[Verbruik '[liter/kWh/kg per uur']]]*AX2728</f>
        <v>3.4574531136E-5</v>
      </c>
      <c r="AY2584" s="40">
        <f>Database_Asfalt_Aanlegset[[#This Row],[Verbruik '[liter/kWh/kg per uur']]]*AY2728</f>
        <v>5.792497609600001E-2</v>
      </c>
      <c r="AZ2584" s="40">
        <f>Database_Asfalt_Aanlegset[[#This Row],[Verbruik '[liter/kWh/kg per uur']]]*AZ2728</f>
        <v>8.3396894400000015E-6</v>
      </c>
      <c r="BA2584" s="40"/>
      <c r="BB2584" s="40"/>
      <c r="BC2584" s="40"/>
      <c r="BD2584" s="40"/>
      <c r="BE2584" s="40"/>
      <c r="BF2584" s="33" t="s">
        <v>892</v>
      </c>
      <c r="BG2584" s="33" t="s">
        <v>893</v>
      </c>
      <c r="BH2584" s="33">
        <v>1000</v>
      </c>
      <c r="BI2584" s="33" t="s">
        <v>854</v>
      </c>
    </row>
    <row r="2585" spans="1:61">
      <c r="A2585" s="33" t="s">
        <v>895</v>
      </c>
      <c r="B2585" s="33" t="s">
        <v>868</v>
      </c>
      <c r="C2585" s="33" t="s">
        <v>869</v>
      </c>
      <c r="D2585" s="33" t="s">
        <v>870</v>
      </c>
      <c r="E2585" s="33" t="s">
        <v>829</v>
      </c>
      <c r="F2585" s="33">
        <f t="shared" si="938"/>
        <v>0.83700000000000008</v>
      </c>
      <c r="G2585" s="42">
        <f>Database_Asfalt_Aanlegset[[#This Row],[Verbruik '[liter/kWh/kg per uur']]]*G2728</f>
        <v>4.0529344572000005E-2</v>
      </c>
      <c r="I2585" s="44">
        <v>3.6</v>
      </c>
      <c r="J2585" s="40">
        <f>Database_Asfalt_Aanlegset[[#This Row],[Verbruik '[liter/kWh/kg per uur']]]*J2728</f>
        <v>1.1826209871000002E-5</v>
      </c>
      <c r="K2585" s="40">
        <f>Database_Asfalt_Aanlegset[[#This Row],[Verbruik '[liter/kWh/kg per uur']]]*K2728</f>
        <v>1.0102966650000001E-3</v>
      </c>
      <c r="L2585" s="40">
        <f>Database_Asfalt_Aanlegset[[#This Row],[Verbruik '[liter/kWh/kg per uur']]]*L2728</f>
        <v>0.14273672364000001</v>
      </c>
      <c r="M2585" s="40">
        <f>Database_Asfalt_Aanlegset[[#This Row],[Verbruik '[liter/kWh/kg per uur']]]*M2728</f>
        <v>1.5886731231000002E-8</v>
      </c>
      <c r="N2585" s="40">
        <f>Database_Asfalt_Aanlegset[[#This Row],[Verbruik '[liter/kWh/kg per uur']]]*N2728</f>
        <v>1.4618419272000003E-4</v>
      </c>
      <c r="O2585" s="40">
        <f>Database_Asfalt_Aanlegset[[#This Row],[Verbruik '[liter/kWh/kg per uur']]]*O2728</f>
        <v>1.2396214404000001E-3</v>
      </c>
      <c r="P2585" s="40">
        <f>Database_Asfalt_Aanlegset[[#This Row],[Verbruik '[liter/kWh/kg per uur']]]*P2728</f>
        <v>1.9567727496E-4</v>
      </c>
      <c r="Q2585" s="40">
        <f>Database_Asfalt_Aanlegset[[#This Row],[Verbruik '[liter/kWh/kg per uur']]]*Q2728</f>
        <v>0.27028388934000003</v>
      </c>
      <c r="R2585" s="40">
        <f>Database_Asfalt_Aanlegset[[#This Row],[Verbruik '[liter/kWh/kg per uur']]]*R2728</f>
        <v>4.1653227996000007E-3</v>
      </c>
      <c r="S2585" s="40">
        <f>Database_Asfalt_Aanlegset[[#This Row],[Verbruik '[liter/kWh/kg per uur']]]*S2728</f>
        <v>12.708174348000002</v>
      </c>
      <c r="T2585" s="40">
        <f>Database_Asfalt_Aanlegset[[#This Row],[Verbruik '[liter/kWh/kg per uur']]]*T2728</f>
        <v>8.2535933880000002E-3</v>
      </c>
      <c r="U2585" s="40"/>
      <c r="V2585" s="40"/>
      <c r="W2585" s="40"/>
      <c r="X2585" s="40"/>
      <c r="Y2585" s="40"/>
      <c r="Z2585" s="40"/>
      <c r="AA2585" s="40"/>
      <c r="AB2585" s="40"/>
      <c r="AC2585" s="40"/>
      <c r="AD2585" s="40"/>
      <c r="AE2585" s="40"/>
      <c r="AF2585" s="40"/>
      <c r="AG2585" s="40"/>
      <c r="AH2585" s="40"/>
      <c r="AI2585" s="40"/>
      <c r="AJ2585" s="40"/>
      <c r="AK2585" s="40"/>
      <c r="AL2585" s="40"/>
      <c r="AM2585" s="40"/>
      <c r="AN2585" s="40"/>
      <c r="AO2585" s="40"/>
      <c r="AP2585" s="40">
        <f>Database_Asfalt_Aanlegset[[#This Row],[Verbruik '[liter/kWh/kg per uur']]]*AP2728</f>
        <v>6.4139127534000009</v>
      </c>
      <c r="AQ2585" s="40"/>
      <c r="AR2585" s="40"/>
      <c r="AS2585" s="40">
        <f>Database_Asfalt_Aanlegset[[#This Row],[Verbruik '[liter/kWh/kg per uur']]]*AS2728</f>
        <v>2.1122245746000003</v>
      </c>
      <c r="AT2585" s="40"/>
      <c r="AU2585" s="40"/>
      <c r="AV2585" s="40"/>
      <c r="AW2585" s="40">
        <f>Database_Asfalt_Aanlegset[[#This Row],[Verbruik '[liter/kWh/kg per uur']]]*AW2728</f>
        <v>1.9125283437E-3</v>
      </c>
      <c r="AX2585" s="40">
        <f>Database_Asfalt_Aanlegset[[#This Row],[Verbruik '[liter/kWh/kg per uur']]]*AX2728</f>
        <v>2.9172260646000003E-5</v>
      </c>
      <c r="AY2585" s="40">
        <f>Database_Asfalt_Aanlegset[[#This Row],[Verbruik '[liter/kWh/kg per uur']]]*AY2728</f>
        <v>4.8874198581000006E-2</v>
      </c>
      <c r="AZ2585" s="40">
        <f>Database_Asfalt_Aanlegset[[#This Row],[Verbruik '[liter/kWh/kg per uur']]]*AZ2728</f>
        <v>7.0366129650000009E-6</v>
      </c>
      <c r="BA2585" s="40"/>
      <c r="BB2585" s="40"/>
      <c r="BC2585" s="40"/>
      <c r="BD2585" s="40"/>
      <c r="BE2585" s="40"/>
      <c r="BF2585" s="33" t="s">
        <v>892</v>
      </c>
      <c r="BG2585" s="33" t="s">
        <v>893</v>
      </c>
      <c r="BH2585" s="33">
        <v>2000</v>
      </c>
      <c r="BI2585" s="33" t="s">
        <v>854</v>
      </c>
    </row>
    <row r="2586" spans="1:61">
      <c r="A2586" s="33" t="s">
        <v>896</v>
      </c>
      <c r="B2586" s="33" t="s">
        <v>868</v>
      </c>
      <c r="C2586" s="33" t="s">
        <v>869</v>
      </c>
      <c r="D2586" s="33" t="s">
        <v>870</v>
      </c>
      <c r="E2586" s="33" t="s">
        <v>829</v>
      </c>
      <c r="F2586" s="33">
        <f t="shared" si="938"/>
        <v>1.7979999999999998</v>
      </c>
      <c r="G2586" s="42">
        <f>Database_Asfalt_Aanlegset[[#This Row],[Verbruik '[liter/kWh/kg per uur']]]*G2727</f>
        <v>0.12184973720399998</v>
      </c>
      <c r="I2586" s="44">
        <v>3.6</v>
      </c>
      <c r="J2586" s="40">
        <f>Database_Asfalt_Aanlegset[[#This Row],[Verbruik '[liter/kWh/kg per uur']]]*J2727</f>
        <v>1.5281710833999997E-5</v>
      </c>
      <c r="K2586" s="40">
        <f>Database_Asfalt_Aanlegset[[#This Row],[Verbruik '[liter/kWh/kg per uur']]]*K2727</f>
        <v>9.7499390839999988E-3</v>
      </c>
      <c r="L2586" s="40">
        <f>Database_Asfalt_Aanlegset[[#This Row],[Verbruik '[liter/kWh/kg per uur']]]*L2727</f>
        <v>1.1235336106999998</v>
      </c>
      <c r="M2586" s="40">
        <f>Database_Asfalt_Aanlegset[[#This Row],[Verbruik '[liter/kWh/kg per uur']]]*M2727</f>
        <v>1.0194761227399999E-7</v>
      </c>
      <c r="N2586" s="40">
        <f>Database_Asfalt_Aanlegset[[#This Row],[Verbruik '[liter/kWh/kg per uur']]]*N2727</f>
        <v>2.9550590287999998E-4</v>
      </c>
      <c r="O2586" s="40">
        <f>Database_Asfalt_Aanlegset[[#This Row],[Verbruik '[liter/kWh/kg per uur']]]*O2727</f>
        <v>2.6760680435999997E-3</v>
      </c>
      <c r="P2586" s="40">
        <f>Database_Asfalt_Aanlegset[[#This Row],[Verbruik '[liter/kWh/kg per uur']]]*P2727</f>
        <v>3.4615110383999997E-4</v>
      </c>
      <c r="Q2586" s="40">
        <f>Database_Asfalt_Aanlegset[[#This Row],[Verbruik '[liter/kWh/kg per uur']]]*Q2727</f>
        <v>0.50733288575999991</v>
      </c>
      <c r="R2586" s="40">
        <f>Database_Asfalt_Aanlegset[[#This Row],[Verbruik '[liter/kWh/kg per uur']]]*R2727</f>
        <v>8.0532542263999987E-3</v>
      </c>
      <c r="S2586" s="40">
        <f>Database_Asfalt_Aanlegset[[#This Row],[Verbruik '[liter/kWh/kg per uur']]]*S2727</f>
        <v>27.643081299999995</v>
      </c>
      <c r="T2586" s="40">
        <f>Database_Asfalt_Aanlegset[[#This Row],[Verbruik '[liter/kWh/kg per uur']]]*T2727</f>
        <v>1.7184230371999999E-2</v>
      </c>
      <c r="U2586" s="40"/>
      <c r="V2586" s="40"/>
      <c r="W2586" s="40"/>
      <c r="X2586" s="40"/>
      <c r="Y2586" s="40"/>
      <c r="Z2586" s="40"/>
      <c r="AA2586" s="40"/>
      <c r="AB2586" s="40"/>
      <c r="AC2586" s="40"/>
      <c r="AD2586" s="40"/>
      <c r="AE2586" s="40"/>
      <c r="AF2586" s="40"/>
      <c r="AG2586" s="40"/>
      <c r="AH2586" s="40"/>
      <c r="AI2586" s="40"/>
      <c r="AJ2586" s="40"/>
      <c r="AK2586" s="40"/>
      <c r="AL2586" s="40"/>
      <c r="AM2586" s="40"/>
      <c r="AN2586" s="40"/>
      <c r="AO2586" s="40"/>
      <c r="AP2586" s="40">
        <f>Database_Asfalt_Aanlegset[[#This Row],[Verbruik '[liter/kWh/kg per uur']]]*AP2727</f>
        <v>0.37172898435999996</v>
      </c>
      <c r="AQ2586" s="40"/>
      <c r="AR2586" s="40"/>
      <c r="AS2586" s="40">
        <f>Database_Asfalt_Aanlegset[[#This Row],[Verbruik '[liter/kWh/kg per uur']]]*AS2727</f>
        <v>20.152456873999999</v>
      </c>
      <c r="AT2586" s="40"/>
      <c r="AU2586" s="40"/>
      <c r="AV2586" s="40"/>
      <c r="AW2586" s="40">
        <f>Database_Asfalt_Aanlegset[[#This Row],[Verbruik '[liter/kWh/kg per uur']]]*AW2727</f>
        <v>6.6013661697999987E-3</v>
      </c>
      <c r="AX2586" s="40">
        <f>Database_Asfalt_Aanlegset[[#This Row],[Verbruik '[liter/kWh/kg per uur']]]*AX2727</f>
        <v>4.1629737683999996E-5</v>
      </c>
      <c r="AY2586" s="40">
        <f>Database_Asfalt_Aanlegset[[#This Row],[Verbruik '[liter/kWh/kg per uur']]]*AY2727</f>
        <v>7.9596071943999994E-2</v>
      </c>
      <c r="AZ2586" s="40">
        <f>Database_Asfalt_Aanlegset[[#This Row],[Verbruik '[liter/kWh/kg per uur']]]*AZ2727</f>
        <v>3.2250627110000001E-5</v>
      </c>
      <c r="BA2586" s="40"/>
      <c r="BB2586" s="40"/>
      <c r="BC2586" s="40"/>
      <c r="BD2586" s="40"/>
      <c r="BE2586" s="40"/>
      <c r="BF2586" s="33" t="s">
        <v>892</v>
      </c>
      <c r="BG2586" s="33" t="s">
        <v>893</v>
      </c>
      <c r="BH2586" s="33">
        <v>400</v>
      </c>
      <c r="BI2586" s="33" t="s">
        <v>854</v>
      </c>
    </row>
    <row r="2587" spans="1:61">
      <c r="A2587" s="33" t="s">
        <v>897</v>
      </c>
      <c r="B2587" s="33" t="s">
        <v>868</v>
      </c>
      <c r="C2587" s="33" t="s">
        <v>869</v>
      </c>
      <c r="D2587" s="33" t="s">
        <v>870</v>
      </c>
      <c r="E2587" s="33" t="s">
        <v>829</v>
      </c>
      <c r="F2587" s="33">
        <f t="shared" si="938"/>
        <v>0.9920000000000001</v>
      </c>
      <c r="G2587" s="42">
        <f>Database_Asfalt_Aanlegset[[#This Row],[Verbruik '[liter/kWh/kg per uur']]]*G2727</f>
        <v>6.7227441216000008E-2</v>
      </c>
      <c r="I2587" s="44">
        <v>3.6</v>
      </c>
      <c r="J2587" s="40">
        <f>Database_Asfalt_Aanlegset[[#This Row],[Verbruik '[liter/kWh/kg per uur']]]*J2727</f>
        <v>8.4312887360000016E-6</v>
      </c>
      <c r="K2587" s="40">
        <f>Database_Asfalt_Aanlegset[[#This Row],[Verbruik '[liter/kWh/kg per uur']]]*K2727</f>
        <v>5.3792767360000011E-3</v>
      </c>
      <c r="L2587" s="40">
        <f>Database_Asfalt_Aanlegset[[#This Row],[Verbruik '[liter/kWh/kg per uur']]]*L2727</f>
        <v>0.61988061280000006</v>
      </c>
      <c r="M2587" s="40">
        <f>Database_Asfalt_Aanlegset[[#This Row],[Verbruik '[liter/kWh/kg per uur']]]*M2727</f>
        <v>5.6246958496000008E-8</v>
      </c>
      <c r="N2587" s="40">
        <f>Database_Asfalt_Aanlegset[[#This Row],[Verbruik '[liter/kWh/kg per uur']]]*N2727</f>
        <v>1.6303773952000002E-4</v>
      </c>
      <c r="O2587" s="40">
        <f>Database_Asfalt_Aanlegset[[#This Row],[Verbruik '[liter/kWh/kg per uur']]]*O2727</f>
        <v>1.4764513344000002E-3</v>
      </c>
      <c r="P2587" s="40">
        <f>Database_Asfalt_Aanlegset[[#This Row],[Verbruik '[liter/kWh/kg per uur']]]*P2727</f>
        <v>1.9097991936000002E-4</v>
      </c>
      <c r="Q2587" s="40">
        <f>Database_Asfalt_Aanlegset[[#This Row],[Verbruik '[liter/kWh/kg per uur']]]*Q2727</f>
        <v>0.27990779904000002</v>
      </c>
      <c r="R2587" s="40">
        <f>Database_Asfalt_Aanlegset[[#This Row],[Verbruik '[liter/kWh/kg per uur']]]*R2727</f>
        <v>4.4431747456000004E-3</v>
      </c>
      <c r="S2587" s="40">
        <f>Database_Asfalt_Aanlegset[[#This Row],[Verbruik '[liter/kWh/kg per uur']]]*S2727</f>
        <v>15.251355200000001</v>
      </c>
      <c r="T2587" s="40">
        <f>Database_Asfalt_Aanlegset[[#This Row],[Verbruik '[liter/kWh/kg per uur']]]*T2727</f>
        <v>9.4809546880000005E-3</v>
      </c>
      <c r="U2587" s="40"/>
      <c r="V2587" s="40"/>
      <c r="W2587" s="40"/>
      <c r="X2587" s="40"/>
      <c r="Y2587" s="40"/>
      <c r="Z2587" s="40"/>
      <c r="AA2587" s="40"/>
      <c r="AB2587" s="40"/>
      <c r="AC2587" s="40"/>
      <c r="AD2587" s="40"/>
      <c r="AE2587" s="40"/>
      <c r="AF2587" s="40"/>
      <c r="AG2587" s="40"/>
      <c r="AH2587" s="40"/>
      <c r="AI2587" s="40"/>
      <c r="AJ2587" s="40"/>
      <c r="AK2587" s="40"/>
      <c r="AL2587" s="40"/>
      <c r="AM2587" s="40"/>
      <c r="AN2587" s="40"/>
      <c r="AO2587" s="40"/>
      <c r="AP2587" s="40">
        <f>Database_Asfalt_Aanlegset[[#This Row],[Verbruik '[liter/kWh/kg per uur']]]*AP2727</f>
        <v>0.20509185344000003</v>
      </c>
      <c r="AQ2587" s="40"/>
      <c r="AR2587" s="40"/>
      <c r="AS2587" s="40">
        <f>Database_Asfalt_Aanlegset[[#This Row],[Verbruik '[liter/kWh/kg per uur']]]*AS2727</f>
        <v>11.118596896000001</v>
      </c>
      <c r="AT2587" s="40"/>
      <c r="AU2587" s="40"/>
      <c r="AV2587" s="40"/>
      <c r="AW2587" s="40">
        <f>Database_Asfalt_Aanlegset[[#This Row],[Verbruik '[liter/kWh/kg per uur']]]*AW2727</f>
        <v>3.6421330592E-3</v>
      </c>
      <c r="AX2587" s="40">
        <f>Database_Asfalt_Aanlegset[[#This Row],[Verbruik '[liter/kWh/kg per uur']]]*AX2727</f>
        <v>2.2968131136000002E-5</v>
      </c>
      <c r="AY2587" s="40">
        <f>Database_Asfalt_Aanlegset[[#This Row],[Verbruik '[liter/kWh/kg per uur']]]*AY2727</f>
        <v>4.3915074176000005E-2</v>
      </c>
      <c r="AZ2587" s="40">
        <f>Database_Asfalt_Aanlegset[[#This Row],[Verbruik '[liter/kWh/kg per uur']]]*AZ2727</f>
        <v>1.7793449440000001E-5</v>
      </c>
      <c r="BA2587" s="40"/>
      <c r="BB2587" s="40"/>
      <c r="BC2587" s="40"/>
      <c r="BD2587" s="40"/>
      <c r="BE2587" s="40"/>
      <c r="BF2587" s="33" t="s">
        <v>892</v>
      </c>
      <c r="BG2587" s="33" t="s">
        <v>893</v>
      </c>
      <c r="BH2587" s="33">
        <v>1000</v>
      </c>
      <c r="BI2587" s="33" t="s">
        <v>854</v>
      </c>
    </row>
    <row r="2588" spans="1:61">
      <c r="A2588" s="33" t="s">
        <v>898</v>
      </c>
      <c r="B2588" s="33" t="s">
        <v>868</v>
      </c>
      <c r="C2588" s="33" t="s">
        <v>869</v>
      </c>
      <c r="D2588" s="33" t="s">
        <v>870</v>
      </c>
      <c r="E2588" s="33" t="s">
        <v>829</v>
      </c>
      <c r="F2588" s="33">
        <f t="shared" si="938"/>
        <v>0.83700000000000008</v>
      </c>
      <c r="G2588" s="42">
        <f>Database_Asfalt_Aanlegset[[#This Row],[Verbruik '[liter/kWh/kg per uur']]]*G2727</f>
        <v>5.6723153526000006E-2</v>
      </c>
      <c r="I2588" s="44">
        <v>3.6</v>
      </c>
      <c r="J2588" s="40">
        <f>Database_Asfalt_Aanlegset[[#This Row],[Verbruik '[liter/kWh/kg per uur']]]*J2727</f>
        <v>7.1138998710000007E-6</v>
      </c>
      <c r="K2588" s="40">
        <f>Database_Asfalt_Aanlegset[[#This Row],[Verbruik '[liter/kWh/kg per uur']]]*K2727</f>
        <v>4.5387647460000003E-3</v>
      </c>
      <c r="L2588" s="40">
        <f>Database_Asfalt_Aanlegset[[#This Row],[Verbruik '[liter/kWh/kg per uur']]]*L2727</f>
        <v>0.52302426705000005</v>
      </c>
      <c r="M2588" s="40">
        <f>Database_Asfalt_Aanlegset[[#This Row],[Verbruik '[liter/kWh/kg per uur']]]*M2727</f>
        <v>4.7458371231000009E-8</v>
      </c>
      <c r="N2588" s="40">
        <f>Database_Asfalt_Aanlegset[[#This Row],[Verbruik '[liter/kWh/kg per uur']]]*N2727</f>
        <v>1.3756309272000002E-4</v>
      </c>
      <c r="O2588" s="40">
        <f>Database_Asfalt_Aanlegset[[#This Row],[Verbruik '[liter/kWh/kg per uur']]]*O2727</f>
        <v>1.2457558134000002E-3</v>
      </c>
      <c r="P2588" s="40">
        <f>Database_Asfalt_Aanlegset[[#This Row],[Verbruik '[liter/kWh/kg per uur']]]*P2727</f>
        <v>1.6113930696000004E-4</v>
      </c>
      <c r="Q2588" s="40">
        <f>Database_Asfalt_Aanlegset[[#This Row],[Verbruik '[liter/kWh/kg per uur']]]*Q2727</f>
        <v>0.23617220544</v>
      </c>
      <c r="R2588" s="40">
        <f>Database_Asfalt_Aanlegset[[#This Row],[Verbruik '[liter/kWh/kg per uur']]]*R2727</f>
        <v>3.7489286916000003E-3</v>
      </c>
      <c r="S2588" s="40">
        <f>Database_Asfalt_Aanlegset[[#This Row],[Verbruik '[liter/kWh/kg per uur']]]*S2727</f>
        <v>12.868330950000001</v>
      </c>
      <c r="T2588" s="40">
        <f>Database_Asfalt_Aanlegset[[#This Row],[Verbruik '[liter/kWh/kg per uur']]]*T2727</f>
        <v>7.9995555180000007E-3</v>
      </c>
      <c r="U2588" s="40"/>
      <c r="V2588" s="40"/>
      <c r="W2588" s="40"/>
      <c r="X2588" s="40"/>
      <c r="Y2588" s="40"/>
      <c r="Z2588" s="40"/>
      <c r="AA2588" s="40"/>
      <c r="AB2588" s="40"/>
      <c r="AC2588" s="40"/>
      <c r="AD2588" s="40"/>
      <c r="AE2588" s="40"/>
      <c r="AF2588" s="40"/>
      <c r="AG2588" s="40"/>
      <c r="AH2588" s="40"/>
      <c r="AI2588" s="40"/>
      <c r="AJ2588" s="40"/>
      <c r="AK2588" s="40"/>
      <c r="AL2588" s="40"/>
      <c r="AM2588" s="40"/>
      <c r="AN2588" s="40"/>
      <c r="AO2588" s="40"/>
      <c r="AP2588" s="40">
        <f>Database_Asfalt_Aanlegset[[#This Row],[Verbruik '[liter/kWh/kg per uur']]]*AP2727</f>
        <v>0.17304625134000001</v>
      </c>
      <c r="AQ2588" s="40"/>
      <c r="AR2588" s="40"/>
      <c r="AS2588" s="40">
        <f>Database_Asfalt_Aanlegset[[#This Row],[Verbruik '[liter/kWh/kg per uur']]]*AS2727</f>
        <v>9.3813161310000019</v>
      </c>
      <c r="AT2588" s="40"/>
      <c r="AU2588" s="40"/>
      <c r="AV2588" s="40"/>
      <c r="AW2588" s="40">
        <f>Database_Asfalt_Aanlegset[[#This Row],[Verbruik '[liter/kWh/kg per uur']]]*AW2727</f>
        <v>3.0730497687000004E-3</v>
      </c>
      <c r="AX2588" s="40">
        <f>Database_Asfalt_Aanlegset[[#This Row],[Verbruik '[liter/kWh/kg per uur']]]*AX2727</f>
        <v>1.9379360646000001E-5</v>
      </c>
      <c r="AY2588" s="40">
        <f>Database_Asfalt_Aanlegset[[#This Row],[Verbruik '[liter/kWh/kg per uur']]]*AY2727</f>
        <v>3.7053343836000001E-2</v>
      </c>
      <c r="AZ2588" s="40">
        <f>Database_Asfalt_Aanlegset[[#This Row],[Verbruik '[liter/kWh/kg per uur']]]*AZ2727</f>
        <v>1.5013222965000002E-5</v>
      </c>
      <c r="BA2588" s="40"/>
      <c r="BB2588" s="40"/>
      <c r="BC2588" s="40"/>
      <c r="BD2588" s="40"/>
      <c r="BE2588" s="40"/>
      <c r="BF2588" s="33" t="s">
        <v>892</v>
      </c>
      <c r="BG2588" s="33" t="s">
        <v>893</v>
      </c>
      <c r="BH2588" s="33">
        <v>2000</v>
      </c>
      <c r="BI2588" s="33" t="s">
        <v>854</v>
      </c>
    </row>
    <row r="2589" spans="1:61">
      <c r="E2589" s="42"/>
      <c r="G2589" s="44"/>
    </row>
    <row r="2590" spans="1:61">
      <c r="E2590" s="42"/>
      <c r="G2590" s="44"/>
    </row>
    <row r="2591" spans="1:61" ht="15.75">
      <c r="E2591" s="42"/>
      <c r="G2591" s="44"/>
      <c r="J2591" s="167"/>
      <c r="K2591" s="166"/>
      <c r="L2591" s="167"/>
      <c r="M2591" s="166"/>
      <c r="N2591" s="167"/>
      <c r="O2591" s="167"/>
      <c r="P2591" s="166"/>
      <c r="Q2591" s="166"/>
      <c r="R2591" s="167"/>
      <c r="S2591" s="166"/>
      <c r="T2591" s="167"/>
      <c r="U2591" s="167"/>
      <c r="V2591" s="167"/>
      <c r="W2591" s="166"/>
      <c r="X2591" s="167"/>
      <c r="Y2591" s="167"/>
      <c r="Z2591" s="166"/>
      <c r="AA2591" s="167"/>
      <c r="AB2591" s="167"/>
      <c r="AC2591" s="166"/>
      <c r="AD2591" s="166"/>
      <c r="AE2591" s="167"/>
      <c r="AF2591" s="167"/>
      <c r="AG2591" s="167"/>
      <c r="AH2591" s="167"/>
      <c r="AI2591" s="167"/>
      <c r="AJ2591" s="167"/>
      <c r="AK2591" s="167"/>
      <c r="AL2591" s="167"/>
      <c r="AM2591" s="167"/>
      <c r="AN2591" s="167"/>
      <c r="AO2591" s="167"/>
      <c r="AP2591" s="166"/>
      <c r="AQ2591" s="167"/>
      <c r="AR2591" s="166"/>
      <c r="AS2591" s="167"/>
      <c r="AT2591" s="167"/>
      <c r="AU2591" s="167"/>
      <c r="AV2591" s="167"/>
      <c r="AW2591" s="167"/>
      <c r="AX2591" s="167"/>
      <c r="AY2591" s="167"/>
      <c r="AZ2591" s="167"/>
      <c r="BA2591" s="167"/>
      <c r="BB2591" s="167"/>
      <c r="BC2591" s="167"/>
      <c r="BD2591" s="167"/>
      <c r="BE2591" s="167"/>
      <c r="BF2591" s="180"/>
      <c r="BG2591" s="180"/>
      <c r="BH2591" s="180"/>
    </row>
    <row r="2592" spans="1:61" ht="15.75">
      <c r="A2592" s="33" t="s">
        <v>899</v>
      </c>
      <c r="J2592" s="174"/>
      <c r="K2592" s="175"/>
      <c r="L2592" s="175"/>
      <c r="M2592" s="175"/>
      <c r="N2592" s="176"/>
      <c r="O2592" s="175"/>
      <c r="P2592" s="175"/>
      <c r="Q2592" s="175"/>
      <c r="R2592" s="175"/>
      <c r="S2592" s="175"/>
      <c r="T2592" s="175"/>
      <c r="U2592" s="175"/>
      <c r="V2592" s="175"/>
      <c r="W2592" s="175"/>
      <c r="X2592" s="176"/>
      <c r="Y2592" s="176"/>
      <c r="Z2592" s="175"/>
      <c r="AA2592" s="175"/>
      <c r="AB2592" s="176"/>
      <c r="AC2592" s="175"/>
      <c r="AD2592" s="175"/>
      <c r="AE2592" s="176"/>
      <c r="AF2592" s="176"/>
      <c r="AG2592" s="176"/>
      <c r="AH2592" s="176"/>
      <c r="AI2592" s="176"/>
      <c r="AJ2592" s="176"/>
      <c r="AK2592" s="176"/>
      <c r="AL2592" s="176"/>
      <c r="AM2592" s="176"/>
      <c r="AN2592" s="176"/>
      <c r="AO2592" s="175"/>
      <c r="AP2592" s="175"/>
      <c r="AQ2592" s="175"/>
      <c r="AR2592" s="175"/>
      <c r="AS2592" s="176"/>
      <c r="AT2592" s="176"/>
      <c r="AU2592" s="176"/>
      <c r="AV2592" s="176"/>
      <c r="AW2592" s="176"/>
      <c r="AX2592" s="176"/>
      <c r="AY2592" s="176"/>
      <c r="AZ2592" s="176"/>
      <c r="BA2592" s="176"/>
      <c r="BB2592" s="176"/>
      <c r="BC2592" s="176"/>
      <c r="BD2592" s="176"/>
      <c r="BE2592" s="177"/>
    </row>
    <row r="2593" spans="1:63" ht="15.75">
      <c r="A2593" s="33" t="s">
        <v>820</v>
      </c>
      <c r="B2593" s="33" t="s">
        <v>11</v>
      </c>
      <c r="C2593" s="33" t="s">
        <v>6</v>
      </c>
      <c r="D2593" s="33" t="s">
        <v>9</v>
      </c>
      <c r="E2593" s="33" t="s">
        <v>821</v>
      </c>
      <c r="F2593" s="33" t="s">
        <v>822</v>
      </c>
      <c r="G2593" s="33" t="s">
        <v>430</v>
      </c>
      <c r="H2593" s="33" t="s">
        <v>823</v>
      </c>
      <c r="I2593" s="33" t="s">
        <v>824</v>
      </c>
      <c r="J2593" s="174" t="s">
        <v>431</v>
      </c>
      <c r="K2593" s="175" t="s">
        <v>432</v>
      </c>
      <c r="L2593" s="175" t="s">
        <v>433</v>
      </c>
      <c r="M2593" s="175" t="s">
        <v>434</v>
      </c>
      <c r="N2593" s="176" t="s">
        <v>435</v>
      </c>
      <c r="O2593" s="175" t="s">
        <v>436</v>
      </c>
      <c r="P2593" s="175" t="s">
        <v>437</v>
      </c>
      <c r="Q2593" s="175" t="s">
        <v>438</v>
      </c>
      <c r="R2593" s="175" t="s">
        <v>439</v>
      </c>
      <c r="S2593" s="175" t="s">
        <v>440</v>
      </c>
      <c r="T2593" s="175" t="s">
        <v>441</v>
      </c>
      <c r="U2593" s="175" t="s">
        <v>442</v>
      </c>
      <c r="V2593" s="175" t="s">
        <v>443</v>
      </c>
      <c r="W2593" s="175" t="s">
        <v>444</v>
      </c>
      <c r="X2593" s="176" t="s">
        <v>445</v>
      </c>
      <c r="Y2593" s="176" t="s">
        <v>446</v>
      </c>
      <c r="Z2593" s="175" t="s">
        <v>447</v>
      </c>
      <c r="AA2593" s="175" t="s">
        <v>448</v>
      </c>
      <c r="AB2593" s="176" t="s">
        <v>449</v>
      </c>
      <c r="AC2593" s="175" t="s">
        <v>450</v>
      </c>
      <c r="AD2593" s="175" t="s">
        <v>451</v>
      </c>
      <c r="AE2593" s="176" t="s">
        <v>452</v>
      </c>
      <c r="AF2593" s="176" t="s">
        <v>453</v>
      </c>
      <c r="AG2593" s="176" t="s">
        <v>454</v>
      </c>
      <c r="AH2593" s="176" t="s">
        <v>455</v>
      </c>
      <c r="AI2593" s="176" t="s">
        <v>456</v>
      </c>
      <c r="AJ2593" s="176" t="s">
        <v>457</v>
      </c>
      <c r="AK2593" s="176" t="s">
        <v>458</v>
      </c>
      <c r="AL2593" s="176" t="s">
        <v>459</v>
      </c>
      <c r="AM2593" s="176" t="s">
        <v>460</v>
      </c>
      <c r="AN2593" s="176" t="s">
        <v>461</v>
      </c>
      <c r="AO2593" s="175" t="s">
        <v>462</v>
      </c>
      <c r="AP2593" s="175" t="s">
        <v>463</v>
      </c>
      <c r="AQ2593" s="175" t="s">
        <v>464</v>
      </c>
      <c r="AR2593" s="175" t="s">
        <v>465</v>
      </c>
      <c r="AS2593" s="176" t="s">
        <v>466</v>
      </c>
      <c r="AT2593" s="176" t="s">
        <v>467</v>
      </c>
      <c r="AU2593" s="176" t="s">
        <v>468</v>
      </c>
      <c r="AV2593" s="176" t="s">
        <v>469</v>
      </c>
      <c r="AW2593" s="176" t="s">
        <v>470</v>
      </c>
      <c r="AX2593" s="176" t="s">
        <v>471</v>
      </c>
      <c r="AY2593" s="176" t="s">
        <v>472</v>
      </c>
      <c r="AZ2593" s="176" t="s">
        <v>473</v>
      </c>
      <c r="BA2593" s="176" t="s">
        <v>474</v>
      </c>
      <c r="BB2593" s="176" t="s">
        <v>475</v>
      </c>
      <c r="BC2593" s="176" t="s">
        <v>476</v>
      </c>
      <c r="BD2593" s="176" t="s">
        <v>477</v>
      </c>
      <c r="BE2593" s="177" t="s">
        <v>478</v>
      </c>
      <c r="BF2593" s="33" t="s">
        <v>480</v>
      </c>
      <c r="BG2593" s="33" t="s">
        <v>481</v>
      </c>
      <c r="BH2593" s="33" t="s">
        <v>866</v>
      </c>
      <c r="BI2593" s="33" t="s">
        <v>825</v>
      </c>
      <c r="BJ2593" s="33" t="s">
        <v>867</v>
      </c>
    </row>
    <row r="2594" spans="1:63">
      <c r="A2594" s="83" t="s">
        <v>826</v>
      </c>
      <c r="B2594" s="84" t="s">
        <v>868</v>
      </c>
      <c r="E2594" s="84" t="s">
        <v>829</v>
      </c>
      <c r="F2594" s="84">
        <v>0</v>
      </c>
      <c r="G2594" s="86" t="s">
        <v>900</v>
      </c>
      <c r="H2594" s="84">
        <v>0</v>
      </c>
      <c r="I2594" s="84">
        <v>0</v>
      </c>
      <c r="J2594" s="84">
        <v>0</v>
      </c>
      <c r="K2594" s="84">
        <v>0</v>
      </c>
      <c r="L2594" s="84">
        <v>0</v>
      </c>
      <c r="M2594" s="84">
        <v>0</v>
      </c>
      <c r="N2594" s="84">
        <v>0</v>
      </c>
      <c r="O2594" s="84">
        <v>0</v>
      </c>
      <c r="P2594" s="84">
        <v>0</v>
      </c>
      <c r="Q2594" s="84">
        <v>0</v>
      </c>
      <c r="R2594" s="84">
        <v>0</v>
      </c>
      <c r="S2594" s="84">
        <v>0</v>
      </c>
      <c r="T2594" s="84">
        <v>0</v>
      </c>
      <c r="U2594" s="84"/>
      <c r="V2594" s="84"/>
      <c r="W2594" s="84"/>
      <c r="X2594" s="84"/>
      <c r="Y2594" s="84"/>
      <c r="Z2594" s="84"/>
      <c r="AA2594" s="84"/>
      <c r="AB2594" s="84"/>
      <c r="AC2594" s="84"/>
      <c r="AD2594" s="84"/>
      <c r="AE2594" s="84"/>
      <c r="AF2594" s="84"/>
      <c r="AG2594" s="84"/>
      <c r="AH2594" s="84"/>
      <c r="AI2594" s="84"/>
      <c r="AJ2594" s="84"/>
      <c r="AK2594" s="84"/>
      <c r="AL2594" s="84"/>
      <c r="AM2594" s="84"/>
      <c r="AN2594" s="84"/>
      <c r="AO2594" s="84"/>
      <c r="AP2594" s="84">
        <v>0</v>
      </c>
      <c r="AQ2594" s="84"/>
      <c r="AR2594" s="84"/>
      <c r="AS2594" s="84">
        <v>0</v>
      </c>
      <c r="AT2594" s="84"/>
      <c r="AU2594" s="84"/>
      <c r="AV2594" s="84"/>
      <c r="AW2594" s="84">
        <v>0</v>
      </c>
      <c r="AX2594" s="84">
        <v>0</v>
      </c>
      <c r="AY2594" s="84">
        <v>0</v>
      </c>
      <c r="AZ2594" s="84">
        <v>0</v>
      </c>
      <c r="BA2594" s="84"/>
      <c r="BB2594" s="84"/>
      <c r="BC2594" s="84"/>
      <c r="BD2594" s="84"/>
      <c r="BE2594" s="84"/>
      <c r="BF2594" s="84"/>
      <c r="BG2594" s="87"/>
      <c r="BH2594" s="40"/>
      <c r="BJ2594" s="85"/>
      <c r="BK2594" s="85"/>
    </row>
    <row r="2595" spans="1:63">
      <c r="A2595" s="33" t="s">
        <v>239</v>
      </c>
      <c r="B2595" s="33" t="s">
        <v>868</v>
      </c>
      <c r="C2595" s="33" t="s">
        <v>869</v>
      </c>
      <c r="D2595" s="33" t="s">
        <v>901</v>
      </c>
      <c r="E2595" s="33" t="s">
        <v>829</v>
      </c>
      <c r="F2595" s="33">
        <v>0.33</v>
      </c>
      <c r="G2595" s="42">
        <v>0.13541602817878401</v>
      </c>
      <c r="H2595" s="33">
        <v>0.84</v>
      </c>
      <c r="I2595" s="36">
        <v>35.9</v>
      </c>
      <c r="J2595" s="33">
        <v>1.6635524E-6</v>
      </c>
      <c r="K2595" s="33">
        <v>7.0767184999999998E-3</v>
      </c>
      <c r="L2595" s="33">
        <v>1.4392149000000001</v>
      </c>
      <c r="M2595" s="33">
        <v>1.8598176000000001E-7</v>
      </c>
      <c r="N2595" s="33">
        <v>4.7349882999999998E-4</v>
      </c>
      <c r="O2595" s="33">
        <v>4.1086088999999996E-3</v>
      </c>
      <c r="P2595" s="33">
        <v>8.8311374000000001E-4</v>
      </c>
      <c r="Q2595" s="33">
        <v>0.38738646999999998</v>
      </c>
      <c r="R2595" s="33">
        <v>5.5203761999999997E-3</v>
      </c>
      <c r="S2595" s="33">
        <v>19.180873999999999</v>
      </c>
      <c r="T2595" s="33">
        <v>6.5374485999999997E-4</v>
      </c>
      <c r="AP2595" s="33">
        <v>8.2071100999999994E-2</v>
      </c>
      <c r="AS2595" s="33">
        <v>15.856652</v>
      </c>
      <c r="AW2595" s="33">
        <v>7.7185668999999997E-4</v>
      </c>
      <c r="AX2595" s="33">
        <v>4.0662309999999999E-5</v>
      </c>
      <c r="AY2595" s="33">
        <v>1.7667955999999999E-2</v>
      </c>
      <c r="AZ2595" s="33">
        <v>1.0377434E-4</v>
      </c>
      <c r="BF2595" s="33" t="s">
        <v>902</v>
      </c>
      <c r="BH2595" s="33">
        <v>400</v>
      </c>
      <c r="BI2595" s="33" t="s">
        <v>135</v>
      </c>
    </row>
    <row r="2596" spans="1:63">
      <c r="A2596" s="33" t="s">
        <v>873</v>
      </c>
      <c r="B2596" s="33" t="s">
        <v>868</v>
      </c>
      <c r="C2596" s="33" t="s">
        <v>869</v>
      </c>
      <c r="D2596" s="33" t="s">
        <v>901</v>
      </c>
      <c r="E2596" s="33" t="s">
        <v>829</v>
      </c>
      <c r="F2596" s="33">
        <v>0.77</v>
      </c>
      <c r="G2596" s="42">
        <v>0.31586755438505204</v>
      </c>
      <c r="H2596" s="33">
        <v>0.84</v>
      </c>
      <c r="I2596" s="36">
        <v>35.9</v>
      </c>
      <c r="J2596" s="33">
        <v>3.8816222000000003E-6</v>
      </c>
      <c r="K2596" s="33">
        <v>1.6512342999999999E-2</v>
      </c>
      <c r="L2596" s="33">
        <v>3.3581680999999999</v>
      </c>
      <c r="M2596" s="33">
        <v>4.3395745000000002E-7</v>
      </c>
      <c r="N2596" s="33">
        <v>1.1037773999999999E-3</v>
      </c>
      <c r="O2596" s="33">
        <v>9.5713375000000007E-3</v>
      </c>
      <c r="P2596" s="33">
        <v>2.0565904000000002E-3</v>
      </c>
      <c r="Q2596" s="33">
        <v>0.90386476000000004</v>
      </c>
      <c r="R2596" s="33">
        <v>1.2880878E-2</v>
      </c>
      <c r="S2596" s="33">
        <v>44.755372999999999</v>
      </c>
      <c r="T2596" s="33">
        <v>1.5254047E-3</v>
      </c>
      <c r="AP2596" s="33">
        <v>0.19149922999999999</v>
      </c>
      <c r="AS2596" s="33">
        <v>36.998856000000004</v>
      </c>
      <c r="AW2596" s="33">
        <v>1.8009988999999999E-3</v>
      </c>
      <c r="AX2596" s="33">
        <v>9.4878723000000006E-5</v>
      </c>
      <c r="AY2596" s="33">
        <v>4.1225230000000002E-2</v>
      </c>
      <c r="AZ2596" s="33">
        <v>2.4214011999999999E-4</v>
      </c>
      <c r="BF2596" s="33" t="s">
        <v>903</v>
      </c>
      <c r="BH2596" s="33">
        <v>1000</v>
      </c>
      <c r="BI2596" s="33" t="s">
        <v>135</v>
      </c>
    </row>
    <row r="2597" spans="1:63">
      <c r="A2597" s="33" t="s">
        <v>875</v>
      </c>
      <c r="B2597" s="33" t="s">
        <v>868</v>
      </c>
      <c r="C2597" s="33" t="s">
        <v>869</v>
      </c>
      <c r="D2597" s="33" t="s">
        <v>901</v>
      </c>
      <c r="E2597" s="33" t="s">
        <v>829</v>
      </c>
      <c r="F2597" s="33">
        <v>0.43</v>
      </c>
      <c r="G2597" s="42">
        <v>0.176272969400772</v>
      </c>
      <c r="H2597" s="33">
        <v>0.84</v>
      </c>
      <c r="I2597" s="36">
        <v>35.9</v>
      </c>
      <c r="J2597" s="33">
        <v>2.1676591999999998E-6</v>
      </c>
      <c r="K2597" s="33">
        <v>9.2211787000000007E-3</v>
      </c>
      <c r="L2597" s="33">
        <v>1.8753405999999999</v>
      </c>
      <c r="M2597" s="33">
        <v>2.4233986999999999E-7</v>
      </c>
      <c r="N2597" s="33">
        <v>6.1516415000000002E-4</v>
      </c>
      <c r="O2597" s="33">
        <v>5.3270130999999998E-3</v>
      </c>
      <c r="P2597" s="33">
        <v>1.1438004999999999E-3</v>
      </c>
      <c r="Q2597" s="33">
        <v>0.50471239000000001</v>
      </c>
      <c r="R2597" s="33">
        <v>7.1932174999999998E-3</v>
      </c>
      <c r="S2597" s="33">
        <v>24.993259999999999</v>
      </c>
      <c r="T2597" s="33">
        <v>8.5184937000000005E-4</v>
      </c>
      <c r="AP2597" s="33">
        <v>0.10694113</v>
      </c>
      <c r="AS2597" s="33">
        <v>20.661698999999999</v>
      </c>
      <c r="AW2597" s="33">
        <v>1.0057527E-3</v>
      </c>
      <c r="AX2597" s="33">
        <v>5.2984222E-5</v>
      </c>
      <c r="AY2597" s="33">
        <v>2.3021882E-2</v>
      </c>
      <c r="AZ2597" s="33">
        <v>1.3522111000000001E-4</v>
      </c>
      <c r="BF2597" s="33" t="s">
        <v>904</v>
      </c>
      <c r="BH2597" s="33">
        <v>2000</v>
      </c>
      <c r="BI2597" s="33" t="s">
        <v>135</v>
      </c>
    </row>
    <row r="2598" spans="1:63">
      <c r="A2598" s="33" t="s">
        <v>878</v>
      </c>
      <c r="B2598" s="33" t="s">
        <v>868</v>
      </c>
      <c r="C2598" s="33" t="s">
        <v>869</v>
      </c>
      <c r="D2598" s="33" t="s">
        <v>901</v>
      </c>
      <c r="E2598" s="33" t="s">
        <v>829</v>
      </c>
      <c r="F2598" s="33">
        <v>0.33</v>
      </c>
      <c r="G2598" s="42">
        <v>0.12767761744838399</v>
      </c>
      <c r="H2598" s="33">
        <v>0.84</v>
      </c>
      <c r="I2598" s="36">
        <v>35.9</v>
      </c>
      <c r="J2598" s="33">
        <v>1.6635524E-6</v>
      </c>
      <c r="K2598" s="33">
        <v>7.0767186000000003E-3</v>
      </c>
      <c r="L2598" s="33">
        <v>1.4392149000000001</v>
      </c>
      <c r="M2598" s="33">
        <v>1.8598176000000001E-7</v>
      </c>
      <c r="N2598" s="33">
        <v>3.9450835999999998E-4</v>
      </c>
      <c r="O2598" s="33">
        <v>2.9523588999999999E-3</v>
      </c>
      <c r="P2598" s="33">
        <v>5.8248874999999997E-4</v>
      </c>
      <c r="Q2598" s="33">
        <v>0.38461086</v>
      </c>
      <c r="R2598" s="33">
        <v>5.5203763000000001E-3</v>
      </c>
      <c r="S2598" s="33">
        <v>19.180873999999999</v>
      </c>
      <c r="T2598" s="33">
        <v>6.5374487000000004E-4</v>
      </c>
      <c r="AP2598" s="33">
        <v>8.2071100999999994E-2</v>
      </c>
      <c r="AS2598" s="33">
        <v>15.856653</v>
      </c>
      <c r="AW2598" s="33">
        <v>7.7185670000000004E-4</v>
      </c>
      <c r="AX2598" s="33">
        <v>4.0662309999999999E-5</v>
      </c>
      <c r="AY2598" s="33">
        <v>1.7667955999999999E-2</v>
      </c>
      <c r="AZ2598" s="33">
        <v>1.0377434E-4</v>
      </c>
      <c r="BF2598" s="33" t="s">
        <v>905</v>
      </c>
      <c r="BH2598" s="33">
        <v>400</v>
      </c>
      <c r="BI2598" s="33" t="s">
        <v>135</v>
      </c>
    </row>
    <row r="2599" spans="1:63">
      <c r="A2599" s="33" t="s">
        <v>880</v>
      </c>
      <c r="B2599" s="33" t="s">
        <v>868</v>
      </c>
      <c r="C2599" s="33" t="s">
        <v>869</v>
      </c>
      <c r="D2599" s="33" t="s">
        <v>901</v>
      </c>
      <c r="E2599" s="33" t="s">
        <v>829</v>
      </c>
      <c r="F2599" s="33">
        <v>0.77</v>
      </c>
      <c r="G2599" s="42">
        <v>0.29791444092505204</v>
      </c>
      <c r="H2599" s="33">
        <v>0.84</v>
      </c>
      <c r="I2599" s="36">
        <v>35.9</v>
      </c>
      <c r="J2599" s="33">
        <v>3.8816222000000003E-6</v>
      </c>
      <c r="K2599" s="33">
        <v>1.6512342999999999E-2</v>
      </c>
      <c r="L2599" s="33">
        <v>3.3581680999999999</v>
      </c>
      <c r="M2599" s="33">
        <v>4.3395745000000002E-7</v>
      </c>
      <c r="N2599" s="33">
        <v>9.2051952000000005E-4</v>
      </c>
      <c r="O2599" s="33">
        <v>6.8888374999999998E-3</v>
      </c>
      <c r="P2599" s="33">
        <v>1.3591403999999999E-3</v>
      </c>
      <c r="Q2599" s="33">
        <v>0.89742533999999996</v>
      </c>
      <c r="R2599" s="33">
        <v>1.2880878E-2</v>
      </c>
      <c r="S2599" s="33">
        <v>44.755374000000003</v>
      </c>
      <c r="T2599" s="33">
        <v>1.5254047E-3</v>
      </c>
      <c r="AP2599" s="33">
        <v>0.19149923999999999</v>
      </c>
      <c r="AS2599" s="33">
        <v>36.998856000000004</v>
      </c>
      <c r="AW2599" s="33">
        <v>1.800999E-3</v>
      </c>
      <c r="AX2599" s="33">
        <v>9.4878724000000002E-5</v>
      </c>
      <c r="AY2599" s="33">
        <v>4.1225230000000002E-2</v>
      </c>
      <c r="AZ2599" s="33">
        <v>2.4214011999999999E-4</v>
      </c>
      <c r="BF2599" s="33" t="s">
        <v>906</v>
      </c>
      <c r="BH2599" s="33">
        <v>1000</v>
      </c>
      <c r="BI2599" s="33" t="s">
        <v>135</v>
      </c>
    </row>
    <row r="2600" spans="1:63">
      <c r="A2600" s="33" t="s">
        <v>882</v>
      </c>
      <c r="B2600" s="33" t="s">
        <v>868</v>
      </c>
      <c r="C2600" s="33" t="s">
        <v>869</v>
      </c>
      <c r="D2600" s="33" t="s">
        <v>901</v>
      </c>
      <c r="E2600" s="33" t="s">
        <v>829</v>
      </c>
      <c r="F2600" s="33">
        <v>0.43</v>
      </c>
      <c r="G2600" s="42">
        <v>0.16636780362767201</v>
      </c>
      <c r="H2600" s="33">
        <v>0.84</v>
      </c>
      <c r="I2600" s="36">
        <v>35.9</v>
      </c>
      <c r="J2600" s="33">
        <v>2.1676591999999998E-6</v>
      </c>
      <c r="K2600" s="33">
        <v>9.2211788000000003E-3</v>
      </c>
      <c r="L2600" s="33">
        <v>1.8753405999999999</v>
      </c>
      <c r="M2600" s="33">
        <v>2.4233988000000003E-7</v>
      </c>
      <c r="N2600" s="33">
        <v>5.1405635000000005E-4</v>
      </c>
      <c r="O2600" s="33">
        <v>3.8470130999999999E-3</v>
      </c>
      <c r="P2600" s="33">
        <v>7.5900049000000001E-4</v>
      </c>
      <c r="Q2600" s="33">
        <v>0.50115960999999998</v>
      </c>
      <c r="R2600" s="33">
        <v>7.1932174999999998E-3</v>
      </c>
      <c r="S2600" s="33">
        <v>24.993261</v>
      </c>
      <c r="T2600" s="33">
        <v>8.5184938000000001E-4</v>
      </c>
      <c r="AP2600" s="33">
        <v>0.10694113</v>
      </c>
      <c r="AS2600" s="33">
        <v>20.661698999999999</v>
      </c>
      <c r="AW2600" s="33">
        <v>1.0057527E-3</v>
      </c>
      <c r="AX2600" s="33">
        <v>5.2984222E-5</v>
      </c>
      <c r="AY2600" s="33">
        <v>2.3021882E-2</v>
      </c>
      <c r="AZ2600" s="33">
        <v>1.3522111000000001E-4</v>
      </c>
      <c r="BF2600" s="33" t="s">
        <v>907</v>
      </c>
      <c r="BH2600" s="33">
        <v>2000</v>
      </c>
      <c r="BI2600" s="33" t="s">
        <v>135</v>
      </c>
    </row>
    <row r="2601" spans="1:63">
      <c r="A2601" s="33" t="s">
        <v>884</v>
      </c>
      <c r="B2601" s="33" t="s">
        <v>868</v>
      </c>
      <c r="C2601" s="33" t="s">
        <v>869</v>
      </c>
      <c r="D2601" s="33" t="s">
        <v>901</v>
      </c>
      <c r="E2601" s="33" t="s">
        <v>829</v>
      </c>
      <c r="F2601" s="38">
        <f>$F$2598*($I$2598/Database_Asfalt_Verwijderset[[#This Row],[Stookwaarde '[MJ/liter']]])</f>
        <v>0.34539358600583092</v>
      </c>
      <c r="G2601" s="42">
        <f>Database_Asfalt_Verwijderset[[#This Row],[Verbruik '[liter/kWh/kg per uur']]]*G$2722</f>
        <v>9.4129563940998195E-2</v>
      </c>
      <c r="H2601" s="33">
        <v>0.77900000000000003</v>
      </c>
      <c r="I2601" s="33">
        <v>34.299999999999997</v>
      </c>
      <c r="J2601" s="40">
        <f>Database_Asfalt_Verwijderset[[#This Row],[Verbruik '[liter/kWh/kg per uur']]]*J$2722</f>
        <v>1.1805202129148515E-5</v>
      </c>
      <c r="K2601" s="40">
        <f>Database_Asfalt_Verwijderset[[#This Row],[Verbruik '[liter/kWh/kg per uur']]]*K$2722</f>
        <v>7.531879308789252E-3</v>
      </c>
      <c r="L2601" s="40">
        <f>Database_Asfalt_Verwijderset[[#This Row],[Verbruik '[liter/kWh/kg per uur']]]*L$2722</f>
        <v>0.8679356334695032</v>
      </c>
      <c r="M2601" s="40">
        <f>Database_Asfalt_Verwijderset[[#This Row],[Verbruik '[liter/kWh/kg per uur']]]*M$2722</f>
        <v>7.8755067580585271E-8</v>
      </c>
      <c r="N2601" s="40">
        <f>Database_Asfalt_Verwijderset[[#This Row],[Verbruik '[liter/kWh/kg per uur']]]*N$2722</f>
        <v>2.2827986681264869E-4</v>
      </c>
      <c r="O2601" s="40">
        <f>Database_Asfalt_Verwijderset[[#This Row],[Verbruik '[liter/kWh/kg per uur']]]*O$2722</f>
        <v>2.0672766622285258E-3</v>
      </c>
      <c r="P2601" s="40">
        <f>Database_Asfalt_Verwijderset[[#This Row],[Verbruik '[liter/kWh/kg per uur']]]*P$2722</f>
        <v>2.6740355137249138E-4</v>
      </c>
      <c r="Q2601" s="40">
        <f>Database_Asfalt_Verwijderset[[#This Row],[Verbruik '[liter/kWh/kg per uur']]]*Q$2722</f>
        <v>0.39191732707281846</v>
      </c>
      <c r="R2601" s="40">
        <f>Database_Asfalt_Verwijderset[[#This Row],[Verbruik '[liter/kWh/kg per uur']]]*R$2722</f>
        <v>6.2211813175100383E-3</v>
      </c>
      <c r="S2601" s="40">
        <f>Database_Asfalt_Verwijderset[[#This Row],[Verbruik '[liter/kWh/kg per uur']]]*S$2722</f>
        <v>21.354425938549696</v>
      </c>
      <c r="T2601" s="40">
        <f>Database_Asfalt_Verwijderset[[#This Row],[Verbruik '[liter/kWh/kg per uur']]]*T$2722</f>
        <v>1.3274908495452362E-2</v>
      </c>
      <c r="U2601" s="40"/>
      <c r="V2601" s="40"/>
      <c r="W2601" s="40"/>
      <c r="X2601" s="40"/>
      <c r="Y2601" s="40"/>
      <c r="Z2601" s="40"/>
      <c r="AA2601" s="40"/>
      <c r="AB2601" s="40"/>
      <c r="AC2601" s="40"/>
      <c r="AD2601" s="40"/>
      <c r="AE2601" s="40"/>
      <c r="AF2601" s="40"/>
      <c r="AG2601" s="40"/>
      <c r="AH2601" s="40"/>
      <c r="AI2601" s="40"/>
      <c r="AJ2601" s="40"/>
      <c r="AK2601" s="40"/>
      <c r="AL2601" s="40"/>
      <c r="AM2601" s="40"/>
      <c r="AN2601" s="40"/>
      <c r="AO2601" s="40"/>
      <c r="AP2601" s="40">
        <f>Database_Asfalt_Verwijderset[[#This Row],[Verbruik '[liter/kWh/kg per uur']]]*AP$2722</f>
        <v>0.28716259882822531</v>
      </c>
      <c r="AQ2601" s="40"/>
      <c r="AR2601" s="40"/>
      <c r="AS2601" s="40">
        <f>Database_Asfalt_Verwijderset[[#This Row],[Verbruik '[liter/kWh/kg per uur']]]*AS$2722</f>
        <v>15.56787910599712</v>
      </c>
      <c r="AT2601" s="40"/>
      <c r="AU2601" s="40"/>
      <c r="AV2601" s="40"/>
      <c r="AW2601" s="40">
        <f>Database_Asfalt_Verwijderset[[#This Row],[Verbruik '[liter/kWh/kg per uur']]]*AW$2722</f>
        <v>5.0995901446862788E-3</v>
      </c>
      <c r="AX2601" s="40">
        <f>Database_Asfalt_Verwijderset[[#This Row],[Verbruik '[liter/kWh/kg per uur']]]*AX$2722</f>
        <v>3.2159191682232236E-5</v>
      </c>
      <c r="AY2601" s="40">
        <f>Database_Asfalt_Verwijderset[[#This Row],[Verbruik '[liter/kWh/kg per uur']]]*AY$2722</f>
        <v>6.1488384919217424E-2</v>
      </c>
      <c r="AZ2601" s="40">
        <f>Database_Asfalt_Verwijderset[[#This Row],[Verbruik '[liter/kWh/kg per uur']]]*AZ$2722</f>
        <v>2.4913779351084065E-5</v>
      </c>
      <c r="BA2601" s="40"/>
      <c r="BB2601" s="40"/>
      <c r="BC2601" s="40"/>
      <c r="BD2601" s="40"/>
      <c r="BE2601" s="40"/>
      <c r="BG2601" s="33" t="s">
        <v>885</v>
      </c>
      <c r="BH2601" s="33">
        <v>400</v>
      </c>
      <c r="BI2601" s="33" t="s">
        <v>135</v>
      </c>
    </row>
    <row r="2602" spans="1:63">
      <c r="A2602" s="33" t="s">
        <v>886</v>
      </c>
      <c r="B2602" s="33" t="s">
        <v>868</v>
      </c>
      <c r="C2602" s="33" t="s">
        <v>869</v>
      </c>
      <c r="D2602" s="33" t="s">
        <v>901</v>
      </c>
      <c r="E2602" s="33" t="s">
        <v>829</v>
      </c>
      <c r="F2602" s="38">
        <f>$F$2599*($I$2599/Database_Asfalt_Verwijderset[[#This Row],[Stookwaarde '[MJ/liter']]])</f>
        <v>0.80591836734693878</v>
      </c>
      <c r="G2602" s="42">
        <f>Database_Asfalt_Verwijderset[[#This Row],[Verbruik '[liter/kWh/kg per uur']]]*G$2722</f>
        <v>0.21963564919566245</v>
      </c>
      <c r="H2602" s="33">
        <v>0.77900000000000003</v>
      </c>
      <c r="I2602" s="33">
        <v>34.299999999999997</v>
      </c>
      <c r="J2602" s="40">
        <f>Database_Asfalt_Verwijderset[[#This Row],[Verbruik '[liter/kWh/kg per uur']]]*J$2722</f>
        <v>2.7545471634679869E-5</v>
      </c>
      <c r="K2602" s="40">
        <f>Database_Asfalt_Verwijderset[[#This Row],[Verbruik '[liter/kWh/kg per uur']]]*K$2722</f>
        <v>1.7574385053841585E-2</v>
      </c>
      <c r="L2602" s="40">
        <f>Database_Asfalt_Verwijderset[[#This Row],[Verbruik '[liter/kWh/kg per uur']]]*L$2722</f>
        <v>2.025183144762174</v>
      </c>
      <c r="M2602" s="40">
        <f>Database_Asfalt_Verwijderset[[#This Row],[Verbruik '[liter/kWh/kg per uur']]]*M$2722</f>
        <v>1.8376182435469896E-7</v>
      </c>
      <c r="N2602" s="40">
        <f>Database_Asfalt_Verwijderset[[#This Row],[Verbruik '[liter/kWh/kg per uur']]]*N$2722</f>
        <v>5.3265302256284689E-4</v>
      </c>
      <c r="O2602" s="40">
        <f>Database_Asfalt_Verwijderset[[#This Row],[Verbruik '[liter/kWh/kg per uur']]]*O$2722</f>
        <v>4.8236455451998927E-3</v>
      </c>
      <c r="P2602" s="40">
        <f>Database_Asfalt_Verwijderset[[#This Row],[Verbruik '[liter/kWh/kg per uur']]]*P$2722</f>
        <v>6.2394161986914661E-4</v>
      </c>
      <c r="Q2602" s="40">
        <f>Database_Asfalt_Verwijderset[[#This Row],[Verbruik '[liter/kWh/kg per uur']]]*Q$2722</f>
        <v>0.91447376316990969</v>
      </c>
      <c r="R2602" s="40">
        <f>Database_Asfalt_Verwijderset[[#This Row],[Verbruik '[liter/kWh/kg per uur']]]*R$2722</f>
        <v>1.4516089740856756E-2</v>
      </c>
      <c r="S2602" s="40">
        <f>Database_Asfalt_Verwijderset[[#This Row],[Verbruik '[liter/kWh/kg per uur']]]*S$2722</f>
        <v>49.82699385661595</v>
      </c>
      <c r="T2602" s="40">
        <f>Database_Asfalt_Verwijderset[[#This Row],[Verbruik '[liter/kWh/kg per uur']]]*T$2722</f>
        <v>3.0974786489388843E-2</v>
      </c>
      <c r="U2602" s="40"/>
      <c r="V2602" s="40"/>
      <c r="W2602" s="40"/>
      <c r="X2602" s="40"/>
      <c r="Y2602" s="40"/>
      <c r="Z2602" s="40"/>
      <c r="AA2602" s="40"/>
      <c r="AB2602" s="40"/>
      <c r="AC2602" s="40"/>
      <c r="AD2602" s="40"/>
      <c r="AE2602" s="40"/>
      <c r="AF2602" s="40"/>
      <c r="AG2602" s="40"/>
      <c r="AH2602" s="40"/>
      <c r="AI2602" s="40"/>
      <c r="AJ2602" s="40"/>
      <c r="AK2602" s="40"/>
      <c r="AL2602" s="40"/>
      <c r="AM2602" s="40"/>
      <c r="AN2602" s="40"/>
      <c r="AO2602" s="40"/>
      <c r="AP2602" s="40">
        <f>Database_Asfalt_Verwijderset[[#This Row],[Verbruik '[liter/kWh/kg per uur']]]*AP$2722</f>
        <v>0.67004606393252575</v>
      </c>
      <c r="AQ2602" s="40"/>
      <c r="AR2602" s="40"/>
      <c r="AS2602" s="40">
        <f>Database_Asfalt_Verwijderset[[#This Row],[Verbruik '[liter/kWh/kg per uur']]]*AS$2722</f>
        <v>36.325051247326613</v>
      </c>
      <c r="AT2602" s="40"/>
      <c r="AU2602" s="40"/>
      <c r="AV2602" s="40"/>
      <c r="AW2602" s="40">
        <f>Database_Asfalt_Verwijderset[[#This Row],[Verbruik '[liter/kWh/kg per uur']]]*AW$2722</f>
        <v>1.1899043670934651E-2</v>
      </c>
      <c r="AX2602" s="40">
        <f>Database_Asfalt_Verwijderset[[#This Row],[Verbruik '[liter/kWh/kg per uur']]]*AX$2722</f>
        <v>7.5038113925208536E-5</v>
      </c>
      <c r="AY2602" s="40">
        <f>Database_Asfalt_Verwijderset[[#This Row],[Verbruik '[liter/kWh/kg per uur']]]*AY$2722</f>
        <v>0.14347289814484065</v>
      </c>
      <c r="AZ2602" s="40">
        <f>Database_Asfalt_Verwijderset[[#This Row],[Verbruik '[liter/kWh/kg per uur']]]*AZ$2722</f>
        <v>5.8132151819196143E-5</v>
      </c>
      <c r="BA2602" s="40"/>
      <c r="BB2602" s="40"/>
      <c r="BC2602" s="40"/>
      <c r="BD2602" s="40"/>
      <c r="BE2602" s="40"/>
      <c r="BG2602" s="33" t="s">
        <v>885</v>
      </c>
      <c r="BH2602" s="33">
        <v>1000</v>
      </c>
      <c r="BI2602" s="33" t="s">
        <v>135</v>
      </c>
    </row>
    <row r="2603" spans="1:63">
      <c r="A2603" s="33" t="s">
        <v>887</v>
      </c>
      <c r="B2603" s="33" t="s">
        <v>868</v>
      </c>
      <c r="C2603" s="33" t="s">
        <v>869</v>
      </c>
      <c r="D2603" s="33" t="s">
        <v>901</v>
      </c>
      <c r="E2603" s="33" t="s">
        <v>829</v>
      </c>
      <c r="F2603" s="38">
        <f>$F$2600*($I$2600/Database_Asfalt_Verwijderset[[#This Row],[Stookwaarde '[MJ/liter']]])</f>
        <v>0.45005830903790089</v>
      </c>
      <c r="G2603" s="42">
        <f>Database_Asfalt_Verwijderset[[#This Row],[Verbruik '[liter/kWh/kg per uur']]]*G$2722</f>
        <v>0.12265367422614917</v>
      </c>
      <c r="H2603" s="33">
        <v>0.77900000000000003</v>
      </c>
      <c r="I2603" s="33">
        <v>34.299999999999997</v>
      </c>
      <c r="J2603" s="40">
        <f>Database_Asfalt_Verwijderset[[#This Row],[Verbruik '[liter/kWh/kg per uur']]]*J$2722</f>
        <v>1.5382536107678368E-5</v>
      </c>
      <c r="K2603" s="40">
        <f>Database_Asfalt_Verwijderset[[#This Row],[Verbruik '[liter/kWh/kg per uur']]]*K$2722</f>
        <v>9.8142669781193272E-3</v>
      </c>
      <c r="L2603" s="40">
        <f>Database_Asfalt_Verwijderset[[#This Row],[Verbruik '[liter/kWh/kg per uur']]]*L$2722</f>
        <v>1.1309464314905646</v>
      </c>
      <c r="M2603" s="40">
        <f>Database_Asfalt_Verwijderset[[#This Row],[Verbruik '[liter/kWh/kg per uur']]]*M$2722</f>
        <v>1.0262023957470202E-7</v>
      </c>
      <c r="N2603" s="40">
        <f>Database_Asfalt_Verwijderset[[#This Row],[Verbruik '[liter/kWh/kg per uur']]]*N$2722</f>
        <v>2.9745558402860284E-4</v>
      </c>
      <c r="O2603" s="40">
        <f>Database_Asfalt_Verwijderset[[#This Row],[Verbruik '[liter/kWh/kg per uur']]]*O$2722</f>
        <v>2.693724135631109E-3</v>
      </c>
      <c r="P2603" s="40">
        <f>Database_Asfalt_Verwijderset[[#This Row],[Verbruik '[liter/kWh/kg per uur']]]*P$2722</f>
        <v>3.4843493057627669E-4</v>
      </c>
      <c r="Q2603" s="40">
        <f>Database_Asfalt_Verwijderset[[#This Row],[Verbruik '[liter/kWh/kg per uur']]]*Q$2722</f>
        <v>0.51068015345852102</v>
      </c>
      <c r="R2603" s="40">
        <f>Database_Asfalt_Verwijderset[[#This Row],[Verbruik '[liter/kWh/kg per uur']]]*R$2722</f>
        <v>8.1063877773615654E-3</v>
      </c>
      <c r="S2603" s="40">
        <f>Database_Asfalt_Verwijderset[[#This Row],[Verbruik '[liter/kWh/kg per uur']]]*S$2722</f>
        <v>27.825464101746572</v>
      </c>
      <c r="T2603" s="40">
        <f>Database_Asfalt_Verwijderset[[#This Row],[Verbruik '[liter/kWh/kg per uur']]]*T$2722</f>
        <v>1.7297608039528834E-2</v>
      </c>
      <c r="U2603" s="40"/>
      <c r="V2603" s="40"/>
      <c r="W2603" s="40"/>
      <c r="X2603" s="40"/>
      <c r="Y2603" s="40"/>
      <c r="Z2603" s="40"/>
      <c r="AA2603" s="40"/>
      <c r="AB2603" s="40"/>
      <c r="AC2603" s="40"/>
      <c r="AD2603" s="40"/>
      <c r="AE2603" s="40"/>
      <c r="AF2603" s="40"/>
      <c r="AG2603" s="40"/>
      <c r="AH2603" s="40"/>
      <c r="AI2603" s="40"/>
      <c r="AJ2603" s="40"/>
      <c r="AK2603" s="40"/>
      <c r="AL2603" s="40"/>
      <c r="AM2603" s="40"/>
      <c r="AN2603" s="40"/>
      <c r="AO2603" s="40"/>
      <c r="AP2603" s="40">
        <f>Database_Asfalt_Verwijderset[[#This Row],[Verbruik '[liter/kWh/kg per uur']]]*AP$2722</f>
        <v>0.37418156817011178</v>
      </c>
      <c r="AQ2603" s="40"/>
      <c r="AR2603" s="40"/>
      <c r="AS2603" s="40">
        <f>Database_Asfalt_Verwijderset[[#This Row],[Verbruik '[liter/kWh/kg per uur']]]*AS$2722</f>
        <v>20.285418229026551</v>
      </c>
      <c r="AT2603" s="40"/>
      <c r="AU2603" s="40"/>
      <c r="AV2603" s="40"/>
      <c r="AW2603" s="40">
        <f>Database_Asfalt_Verwijderset[[#This Row],[Verbruik '[liter/kWh/kg per uur']]]*AW$2722</f>
        <v>6.6449204915609086E-3</v>
      </c>
      <c r="AX2603" s="40">
        <f>Database_Asfalt_Verwijderset[[#This Row],[Verbruik '[liter/kWh/kg per uur']]]*AX$2722</f>
        <v>4.1904401282908666E-5</v>
      </c>
      <c r="AY2603" s="40">
        <f>Database_Asfalt_Verwijderset[[#This Row],[Verbruik '[liter/kWh/kg per uur']]]*AY$2722</f>
        <v>8.0121228834131794E-2</v>
      </c>
      <c r="AZ2603" s="40">
        <f>Database_Asfalt_Verwijderset[[#This Row],[Verbruik '[liter/kWh/kg per uur']]]*AZ$2722</f>
        <v>3.2463409457473174E-5</v>
      </c>
      <c r="BA2603" s="40"/>
      <c r="BB2603" s="40"/>
      <c r="BC2603" s="40"/>
      <c r="BD2603" s="40"/>
      <c r="BE2603" s="40"/>
      <c r="BG2603" s="33" t="s">
        <v>885</v>
      </c>
      <c r="BH2603" s="33">
        <v>2000</v>
      </c>
      <c r="BI2603" s="33" t="s">
        <v>135</v>
      </c>
    </row>
    <row r="2604" spans="1:63">
      <c r="A2604" s="33" t="s">
        <v>888</v>
      </c>
      <c r="B2604" s="33" t="s">
        <v>868</v>
      </c>
      <c r="C2604" s="33" t="s">
        <v>869</v>
      </c>
      <c r="D2604" s="33" t="s">
        <v>901</v>
      </c>
      <c r="E2604" s="33" t="s">
        <v>829</v>
      </c>
      <c r="F2604" s="38">
        <f>$F$2598*($I$2598/Database_Asfalt_Verwijderset[[#This Row],[Stookwaarde '[MJ/liter']]])</f>
        <v>0.34339130434782605</v>
      </c>
      <c r="G2604" s="42">
        <f>Database_Asfalt_Verwijderset[[#This Row],[Verbruik '[liter/kWh/kg per uur']]]*G$2723</f>
        <v>0.13356926591130433</v>
      </c>
      <c r="H2604" s="33">
        <v>0.78100000000000003</v>
      </c>
      <c r="I2604" s="33">
        <v>34.5</v>
      </c>
      <c r="J2604" s="40">
        <f>Database_Asfalt_Verwijderset[[#This Row],[Verbruik '[liter/kWh/kg per uur']]]*J$2723</f>
        <v>6.7536474480869557E-6</v>
      </c>
      <c r="K2604" s="40">
        <f>Database_Asfalt_Verwijderset[[#This Row],[Verbruik '[liter/kWh/kg per uur']]]*K$2723</f>
        <v>1.0216137515913042E-2</v>
      </c>
      <c r="L2604" s="40">
        <f>Database_Asfalt_Verwijderset[[#This Row],[Verbruik '[liter/kWh/kg per uur']]]*L$2723</f>
        <v>1.6177849070086954</v>
      </c>
      <c r="M2604" s="40">
        <f>Database_Asfalt_Verwijderset[[#This Row],[Verbruik '[liter/kWh/kg per uur']]]*M$2723</f>
        <v>3.2180756066608696E-8</v>
      </c>
      <c r="N2604" s="40">
        <f>Database_Asfalt_Verwijderset[[#This Row],[Verbruik '[liter/kWh/kg per uur']]]*N$2723</f>
        <v>7.7854857787826076E-4</v>
      </c>
      <c r="O2604" s="40">
        <f>Database_Asfalt_Verwijderset[[#This Row],[Verbruik '[liter/kWh/kg per uur']]]*O$2723</f>
        <v>4.1025580668695646E-3</v>
      </c>
      <c r="P2604" s="40">
        <f>Database_Asfalt_Verwijderset[[#This Row],[Verbruik '[liter/kWh/kg per uur']]]*P$2723</f>
        <v>4.1560968919130428E-4</v>
      </c>
      <c r="Q2604" s="40">
        <f>Database_Asfalt_Verwijderset[[#This Row],[Verbruik '[liter/kWh/kg per uur']]]*Q$2723</f>
        <v>0.31025867582695649</v>
      </c>
      <c r="R2604" s="40">
        <f>Database_Asfalt_Verwijderset[[#This Row],[Verbruik '[liter/kWh/kg per uur']]]*R$2723</f>
        <v>2.7066506436869563E-3</v>
      </c>
      <c r="S2604" s="40">
        <f>Database_Asfalt_Verwijderset[[#This Row],[Verbruik '[liter/kWh/kg per uur']]]*S$2723</f>
        <v>11.299714957826087</v>
      </c>
      <c r="T2604" s="40">
        <f>Database_Asfalt_Verwijderset[[#This Row],[Verbruik '[liter/kWh/kg per uur']]]*T$2723</f>
        <v>3.3520442984695648E-3</v>
      </c>
      <c r="U2604" s="40"/>
      <c r="V2604" s="40"/>
      <c r="W2604" s="40"/>
      <c r="X2604" s="40"/>
      <c r="Y2604" s="40"/>
      <c r="Z2604" s="40"/>
      <c r="AA2604" s="40"/>
      <c r="AB2604" s="40"/>
      <c r="AC2604" s="40"/>
      <c r="AD2604" s="40"/>
      <c r="AE2604" s="40"/>
      <c r="AF2604" s="40"/>
      <c r="AG2604" s="40"/>
      <c r="AH2604" s="40"/>
      <c r="AI2604" s="40"/>
      <c r="AJ2604" s="40"/>
      <c r="AK2604" s="40"/>
      <c r="AL2604" s="40"/>
      <c r="AM2604" s="40"/>
      <c r="AN2604" s="40"/>
      <c r="AO2604" s="40"/>
      <c r="AP2604" s="40">
        <f>Database_Asfalt_Verwijderset[[#This Row],[Verbruik '[liter/kWh/kg per uur']]]*AP$2723</f>
        <v>0.2152327281643478</v>
      </c>
      <c r="AQ2604" s="40"/>
      <c r="AR2604" s="40"/>
      <c r="AS2604" s="40">
        <f>Database_Asfalt_Verwijderset[[#This Row],[Verbruik '[liter/kWh/kg per uur']]]*AS$2723</f>
        <v>21.100977401565217</v>
      </c>
      <c r="AT2604" s="40"/>
      <c r="AU2604" s="40"/>
      <c r="AV2604" s="40"/>
      <c r="AW2604" s="40">
        <f>Database_Asfalt_Verwijderset[[#This Row],[Verbruik '[liter/kWh/kg per uur']]]*AW$2723</f>
        <v>1.8394192697913042E-3</v>
      </c>
      <c r="AX2604" s="40">
        <f>Database_Asfalt_Verwijderset[[#This Row],[Verbruik '[liter/kWh/kg per uur']]]*AX$2723</f>
        <v>2.3500839300782606E-5</v>
      </c>
      <c r="AY2604" s="40">
        <f>Database_Asfalt_Verwijderset[[#This Row],[Verbruik '[liter/kWh/kg per uur']]]*AY$2723</f>
        <v>4.7872944067826086E-2</v>
      </c>
      <c r="AZ2604" s="40">
        <f>Database_Asfalt_Verwijderset[[#This Row],[Verbruik '[liter/kWh/kg per uur']]]*AZ$2723</f>
        <v>1.2463199556260868E-5</v>
      </c>
      <c r="BA2604" s="40"/>
      <c r="BB2604" s="40"/>
      <c r="BC2604" s="40"/>
      <c r="BD2604" s="40"/>
      <c r="BE2604" s="40"/>
      <c r="BG2604" s="33" t="s">
        <v>885</v>
      </c>
      <c r="BH2604" s="33">
        <v>400</v>
      </c>
      <c r="BI2604" s="33" t="s">
        <v>135</v>
      </c>
    </row>
    <row r="2605" spans="1:63">
      <c r="A2605" s="33" t="s">
        <v>889</v>
      </c>
      <c r="B2605" s="33" t="s">
        <v>868</v>
      </c>
      <c r="C2605" s="33" t="s">
        <v>869</v>
      </c>
      <c r="D2605" s="33" t="s">
        <v>901</v>
      </c>
      <c r="E2605" s="33" t="s">
        <v>829</v>
      </c>
      <c r="F2605" s="38">
        <f>$F$2599*($I$2599/Database_Asfalt_Verwijderset[[#This Row],[Stookwaarde '[MJ/liter']]])</f>
        <v>0.80124637681159416</v>
      </c>
      <c r="G2605" s="42">
        <f>Database_Asfalt_Verwijderset[[#This Row],[Verbruik '[liter/kWh/kg per uur']]]*G$2723</f>
        <v>0.31166162045971013</v>
      </c>
      <c r="H2605" s="33">
        <v>0.78100000000000003</v>
      </c>
      <c r="I2605" s="33">
        <v>34.5</v>
      </c>
      <c r="J2605" s="40">
        <f>Database_Asfalt_Verwijderset[[#This Row],[Verbruik '[liter/kWh/kg per uur']]]*J$2723</f>
        <v>1.5758510712202899E-5</v>
      </c>
      <c r="K2605" s="40">
        <f>Database_Asfalt_Verwijderset[[#This Row],[Verbruik '[liter/kWh/kg per uur']]]*K$2723</f>
        <v>2.3837654203797101E-2</v>
      </c>
      <c r="L2605" s="40">
        <f>Database_Asfalt_Verwijderset[[#This Row],[Verbruik '[liter/kWh/kg per uur']]]*L$2723</f>
        <v>3.7748314496869564</v>
      </c>
      <c r="M2605" s="40">
        <f>Database_Asfalt_Verwijderset[[#This Row],[Verbruik '[liter/kWh/kg per uur']]]*M$2723</f>
        <v>7.5088430822086955E-8</v>
      </c>
      <c r="N2605" s="40">
        <f>Database_Asfalt_Verwijderset[[#This Row],[Verbruik '[liter/kWh/kg per uur']]]*N$2723</f>
        <v>1.8166133483826087E-3</v>
      </c>
      <c r="O2605" s="40">
        <f>Database_Asfalt_Verwijderset[[#This Row],[Verbruik '[liter/kWh/kg per uur']]]*O$2723</f>
        <v>9.5726354893623175E-3</v>
      </c>
      <c r="P2605" s="40">
        <f>Database_Asfalt_Verwijderset[[#This Row],[Verbruik '[liter/kWh/kg per uur']]]*P$2723</f>
        <v>9.6975594144637679E-4</v>
      </c>
      <c r="Q2605" s="40">
        <f>Database_Asfalt_Verwijderset[[#This Row],[Verbruik '[liter/kWh/kg per uur']]]*Q$2723</f>
        <v>0.72393691026289853</v>
      </c>
      <c r="R2605" s="40">
        <f>Database_Asfalt_Verwijderset[[#This Row],[Verbruik '[liter/kWh/kg per uur']]]*R$2723</f>
        <v>6.3155181686028981E-3</v>
      </c>
      <c r="S2605" s="40">
        <f>Database_Asfalt_Verwijderset[[#This Row],[Verbruik '[liter/kWh/kg per uur']]]*S$2723</f>
        <v>26.36600156826087</v>
      </c>
      <c r="T2605" s="40">
        <f>Database_Asfalt_Verwijderset[[#This Row],[Verbruik '[liter/kWh/kg per uur']]]*T$2723</f>
        <v>7.821436696428985E-3</v>
      </c>
      <c r="U2605" s="40"/>
      <c r="V2605" s="40"/>
      <c r="W2605" s="40"/>
      <c r="X2605" s="40"/>
      <c r="Y2605" s="40"/>
      <c r="Z2605" s="40"/>
      <c r="AA2605" s="40"/>
      <c r="AB2605" s="40"/>
      <c r="AC2605" s="40"/>
      <c r="AD2605" s="40"/>
      <c r="AE2605" s="40"/>
      <c r="AF2605" s="40"/>
      <c r="AG2605" s="40"/>
      <c r="AH2605" s="40"/>
      <c r="AI2605" s="40"/>
      <c r="AJ2605" s="40"/>
      <c r="AK2605" s="40"/>
      <c r="AL2605" s="40"/>
      <c r="AM2605" s="40"/>
      <c r="AN2605" s="40"/>
      <c r="AO2605" s="40"/>
      <c r="AP2605" s="40">
        <f>Database_Asfalt_Verwijderset[[#This Row],[Verbruik '[liter/kWh/kg per uur']]]*AP$2723</f>
        <v>0.5022096990501449</v>
      </c>
      <c r="AQ2605" s="40"/>
      <c r="AR2605" s="40"/>
      <c r="AS2605" s="40">
        <f>Database_Asfalt_Verwijderset[[#This Row],[Verbruik '[liter/kWh/kg per uur']]]*AS$2723</f>
        <v>49.235613936985509</v>
      </c>
      <c r="AT2605" s="40"/>
      <c r="AU2605" s="40"/>
      <c r="AV2605" s="40"/>
      <c r="AW2605" s="40">
        <f>Database_Asfalt_Verwijderset[[#This Row],[Verbruik '[liter/kWh/kg per uur']]]*AW$2723</f>
        <v>4.2919782961797102E-3</v>
      </c>
      <c r="AX2605" s="40">
        <f>Database_Asfalt_Verwijderset[[#This Row],[Verbruik '[liter/kWh/kg per uur']]]*AX$2723</f>
        <v>5.4835291701826084E-5</v>
      </c>
      <c r="AY2605" s="40">
        <f>Database_Asfalt_Verwijderset[[#This Row],[Verbruik '[liter/kWh/kg per uur']]]*AY$2723</f>
        <v>0.11170353615826087</v>
      </c>
      <c r="AZ2605" s="40">
        <f>Database_Asfalt_Verwijderset[[#This Row],[Verbruik '[liter/kWh/kg per uur']]]*AZ$2723</f>
        <v>2.9080798964608695E-5</v>
      </c>
      <c r="BA2605" s="40"/>
      <c r="BB2605" s="40"/>
      <c r="BC2605" s="40"/>
      <c r="BD2605" s="40"/>
      <c r="BE2605" s="40"/>
      <c r="BG2605" s="33" t="s">
        <v>885</v>
      </c>
      <c r="BH2605" s="33">
        <v>1000</v>
      </c>
      <c r="BI2605" s="33" t="s">
        <v>135</v>
      </c>
    </row>
    <row r="2606" spans="1:63">
      <c r="A2606" s="33" t="s">
        <v>890</v>
      </c>
      <c r="B2606" s="33" t="s">
        <v>868</v>
      </c>
      <c r="C2606" s="33" t="s">
        <v>869</v>
      </c>
      <c r="D2606" s="33" t="s">
        <v>901</v>
      </c>
      <c r="E2606" s="33" t="s">
        <v>829</v>
      </c>
      <c r="F2606" s="38">
        <f>$F$2600*($I$2600/Database_Asfalt_Verwijderset[[#This Row],[Stookwaarde '[MJ/liter']]])</f>
        <v>0.44744927536231882</v>
      </c>
      <c r="G2606" s="42">
        <f>Database_Asfalt_Verwijderset[[#This Row],[Verbruik '[liter/kWh/kg per uur']]]*G$2723</f>
        <v>0.17404480103594203</v>
      </c>
      <c r="H2606" s="33">
        <v>0.78100000000000003</v>
      </c>
      <c r="I2606" s="33">
        <v>34.5</v>
      </c>
      <c r="J2606" s="40">
        <f>Database_Asfalt_Verwijderset[[#This Row],[Verbruik '[liter/kWh/kg per uur']]]*J$2723</f>
        <v>8.8002072808405787E-6</v>
      </c>
      <c r="K2606" s="40">
        <f>Database_Asfalt_Verwijderset[[#This Row],[Verbruik '[liter/kWh/kg per uur']]]*K$2723</f>
        <v>1.3311936763159419E-2</v>
      </c>
      <c r="L2606" s="40">
        <f>Database_Asfalt_Verwijderset[[#This Row],[Verbruik '[liter/kWh/kg per uur']]]*L$2723</f>
        <v>2.1080227576173911</v>
      </c>
      <c r="M2606" s="40">
        <f>Database_Asfalt_Verwijderset[[#This Row],[Verbruik '[liter/kWh/kg per uur']]]*M$2723</f>
        <v>4.1932500329217389E-8</v>
      </c>
      <c r="N2606" s="40">
        <f>Database_Asfalt_Verwijderset[[#This Row],[Verbruik '[liter/kWh/kg per uur']]]*N$2723</f>
        <v>1.0144723893565216E-3</v>
      </c>
      <c r="O2606" s="40">
        <f>Database_Asfalt_Verwijderset[[#This Row],[Verbruik '[liter/kWh/kg per uur']]]*O$2723</f>
        <v>5.3457574810724636E-3</v>
      </c>
      <c r="P2606" s="40">
        <f>Database_Asfalt_Verwijderset[[#This Row],[Verbruik '[liter/kWh/kg per uur']]]*P$2723</f>
        <v>5.4155201924927529E-4</v>
      </c>
      <c r="Q2606" s="40">
        <f>Database_Asfalt_Verwijderset[[#This Row],[Verbruik '[liter/kWh/kg per uur']]]*Q$2723</f>
        <v>0.40427645638057969</v>
      </c>
      <c r="R2606" s="40">
        <f>Database_Asfalt_Verwijderset[[#This Row],[Verbruik '[liter/kWh/kg per uur']]]*R$2723</f>
        <v>3.5268478084405797E-3</v>
      </c>
      <c r="S2606" s="40">
        <f>Database_Asfalt_Verwijderset[[#This Row],[Verbruik '[liter/kWh/kg per uur']]]*S$2723</f>
        <v>14.723871005652175</v>
      </c>
      <c r="T2606" s="40">
        <f>Database_Asfalt_Verwijderset[[#This Row],[Verbruik '[liter/kWh/kg per uur']]]*T$2723</f>
        <v>4.3678152980057968E-3</v>
      </c>
      <c r="U2606" s="40"/>
      <c r="V2606" s="40"/>
      <c r="W2606" s="40"/>
      <c r="X2606" s="40"/>
      <c r="Y2606" s="40"/>
      <c r="Z2606" s="40"/>
      <c r="AA2606" s="40"/>
      <c r="AB2606" s="40"/>
      <c r="AC2606" s="40"/>
      <c r="AD2606" s="40"/>
      <c r="AE2606" s="40"/>
      <c r="AF2606" s="40"/>
      <c r="AG2606" s="40"/>
      <c r="AH2606" s="40"/>
      <c r="AI2606" s="40"/>
      <c r="AJ2606" s="40"/>
      <c r="AK2606" s="40"/>
      <c r="AL2606" s="40"/>
      <c r="AM2606" s="40"/>
      <c r="AN2606" s="40"/>
      <c r="AO2606" s="40"/>
      <c r="AP2606" s="40">
        <f>Database_Asfalt_Verwijderset[[#This Row],[Verbruik '[liter/kWh/kg per uur']]]*AP$2723</f>
        <v>0.28045476700202898</v>
      </c>
      <c r="AQ2606" s="40"/>
      <c r="AR2606" s="40"/>
      <c r="AS2606" s="40">
        <f>Database_Asfalt_Verwijderset[[#This Row],[Verbruik '[liter/kWh/kg per uur']]]*AS$2723</f>
        <v>27.495212977797102</v>
      </c>
      <c r="AT2606" s="40"/>
      <c r="AU2606" s="40"/>
      <c r="AV2606" s="40"/>
      <c r="AW2606" s="40">
        <f>Database_Asfalt_Verwijderset[[#This Row],[Verbruik '[liter/kWh/kg per uur']]]*AW$2723</f>
        <v>2.3968190485159418E-3</v>
      </c>
      <c r="AX2606" s="40">
        <f>Database_Asfalt_Verwijderset[[#This Row],[Verbruik '[liter/kWh/kg per uur']]]*AX$2723</f>
        <v>3.0622305755565214E-5</v>
      </c>
      <c r="AY2606" s="40">
        <f>Database_Asfalt_Verwijderset[[#This Row],[Verbruik '[liter/kWh/kg per uur']]]*AY$2723</f>
        <v>6.2379896815652175E-2</v>
      </c>
      <c r="AZ2606" s="40">
        <f>Database_Asfalt_Verwijderset[[#This Row],[Verbruik '[liter/kWh/kg per uur']]]*AZ$2723</f>
        <v>1.6239926694521739E-5</v>
      </c>
      <c r="BA2606" s="40"/>
      <c r="BB2606" s="40"/>
      <c r="BC2606" s="40"/>
      <c r="BD2606" s="40"/>
      <c r="BE2606" s="40"/>
      <c r="BG2606" s="33" t="s">
        <v>885</v>
      </c>
      <c r="BH2606" s="33">
        <v>2000</v>
      </c>
      <c r="BI2606" s="33" t="s">
        <v>135</v>
      </c>
    </row>
    <row r="2607" spans="1:63">
      <c r="A2607" s="33" t="s">
        <v>891</v>
      </c>
      <c r="B2607" s="33" t="s">
        <v>868</v>
      </c>
      <c r="C2607" s="33" t="s">
        <v>869</v>
      </c>
      <c r="D2607" s="33" t="s">
        <v>901</v>
      </c>
      <c r="E2607" s="33" t="s">
        <v>829</v>
      </c>
      <c r="F2607" s="33">
        <f t="shared" ref="F2607:F2612" si="939">F2595*3.1</f>
        <v>1.0230000000000001</v>
      </c>
      <c r="G2607" s="42">
        <f>Database_Asfalt_Verwijderset[[#This Row],[Verbruik '[liter/kWh/kg per uur']]]*G$2728</f>
        <v>4.9535865588000008E-2</v>
      </c>
      <c r="I2607" s="44">
        <v>3.6</v>
      </c>
      <c r="J2607" s="40">
        <f>Database_Asfalt_Verwijderset[[#This Row],[Verbruik '[liter/kWh/kg per uur']]]*J$2728</f>
        <v>1.4454256509000002E-5</v>
      </c>
      <c r="K2607" s="40">
        <f>Database_Asfalt_Verwijderset[[#This Row],[Verbruik '[liter/kWh/kg per uur']]]*K$2728</f>
        <v>1.2348070350000002E-3</v>
      </c>
      <c r="L2607" s="40">
        <f>Database_Asfalt_Verwijderset[[#This Row],[Verbruik '[liter/kWh/kg per uur']]]*L$2728</f>
        <v>0.17445599556000002</v>
      </c>
      <c r="M2607" s="40">
        <f>Database_Asfalt_Verwijderset[[#This Row],[Verbruik '[liter/kWh/kg per uur']]]*M$2728</f>
        <v>1.9417115949000002E-8</v>
      </c>
      <c r="N2607" s="40">
        <f>Database_Asfalt_Verwijderset[[#This Row],[Verbruik '[liter/kWh/kg per uur']]]*N$2728</f>
        <v>1.7866956888000003E-4</v>
      </c>
      <c r="O2607" s="40">
        <f>Database_Asfalt_Verwijderset[[#This Row],[Verbruik '[liter/kWh/kg per uur']]]*O$2728</f>
        <v>1.5150928716000003E-3</v>
      </c>
      <c r="P2607" s="40">
        <f>Database_Asfalt_Verwijderset[[#This Row],[Verbruik '[liter/kWh/kg per uur']]]*P$2728</f>
        <v>2.3916111384000003E-4</v>
      </c>
      <c r="Q2607" s="40">
        <f>Database_Asfalt_Verwijderset[[#This Row],[Verbruik '[liter/kWh/kg per uur']]]*Q$2728</f>
        <v>0.33034697586000006</v>
      </c>
      <c r="R2607" s="40">
        <f>Database_Asfalt_Verwijderset[[#This Row],[Verbruik '[liter/kWh/kg per uur']]]*R$2728</f>
        <v>5.0909500884000012E-3</v>
      </c>
      <c r="S2607" s="40">
        <f>Database_Asfalt_Verwijderset[[#This Row],[Verbruik '[liter/kWh/kg per uur']]]*S$2728</f>
        <v>15.532213092000003</v>
      </c>
      <c r="T2607" s="40">
        <f>Database_Asfalt_Verwijderset[[#This Row],[Verbruik '[liter/kWh/kg per uur']]]*T$2728</f>
        <v>1.0087725252000001E-2</v>
      </c>
      <c r="U2607" s="40"/>
      <c r="V2607" s="40"/>
      <c r="W2607" s="40"/>
      <c r="X2607" s="40"/>
      <c r="Y2607" s="40"/>
      <c r="Z2607" s="40"/>
      <c r="AA2607" s="40"/>
      <c r="AB2607" s="40"/>
      <c r="AC2607" s="40"/>
      <c r="AD2607" s="40"/>
      <c r="AE2607" s="40"/>
      <c r="AF2607" s="40"/>
      <c r="AG2607" s="40"/>
      <c r="AH2607" s="40"/>
      <c r="AI2607" s="40"/>
      <c r="AJ2607" s="40"/>
      <c r="AK2607" s="40"/>
      <c r="AL2607" s="40"/>
      <c r="AM2607" s="40"/>
      <c r="AN2607" s="40"/>
      <c r="AO2607" s="40"/>
      <c r="AP2607" s="40">
        <f>Database_Asfalt_Verwijderset[[#This Row],[Verbruik '[liter/kWh/kg per uur']]]*AP$2728</f>
        <v>7.839226698600001</v>
      </c>
      <c r="AQ2607" s="40"/>
      <c r="AR2607" s="40"/>
      <c r="AS2607" s="40">
        <f>Database_Asfalt_Verwijderset[[#This Row],[Verbruik '[liter/kWh/kg per uur']]]*AS$2728</f>
        <v>2.5816078134000002</v>
      </c>
      <c r="AT2607" s="40"/>
      <c r="AU2607" s="40"/>
      <c r="AV2607" s="40"/>
      <c r="AW2607" s="40">
        <f>Database_Asfalt_Verwijderset[[#This Row],[Verbruik '[liter/kWh/kg per uur']]]*AW$2728</f>
        <v>2.3375346423000001E-3</v>
      </c>
      <c r="AX2607" s="40">
        <f>Database_Asfalt_Verwijderset[[#This Row],[Verbruik '[liter/kWh/kg per uur']]]*AX$2728</f>
        <v>3.5654985234000003E-5</v>
      </c>
      <c r="AY2607" s="40">
        <f>Database_Asfalt_Verwijderset[[#This Row],[Verbruik '[liter/kWh/kg per uur']]]*AY$2728</f>
        <v>5.9735131599000013E-2</v>
      </c>
      <c r="AZ2607" s="40">
        <f>Database_Asfalt_Verwijderset[[#This Row],[Verbruik '[liter/kWh/kg per uur']]]*AZ$2728</f>
        <v>8.6003047350000012E-6</v>
      </c>
      <c r="BA2607" s="40"/>
      <c r="BB2607" s="40"/>
      <c r="BC2607" s="40"/>
      <c r="BD2607" s="40"/>
      <c r="BE2607" s="40"/>
      <c r="BF2607" s="33" t="s">
        <v>892</v>
      </c>
      <c r="BG2607" s="33" t="s">
        <v>893</v>
      </c>
      <c r="BH2607" s="33">
        <v>400</v>
      </c>
      <c r="BI2607" s="33" t="s">
        <v>854</v>
      </c>
    </row>
    <row r="2608" spans="1:63">
      <c r="A2608" s="33" t="s">
        <v>894</v>
      </c>
      <c r="B2608" s="33" t="s">
        <v>868</v>
      </c>
      <c r="C2608" s="33" t="s">
        <v>869</v>
      </c>
      <c r="D2608" s="33" t="s">
        <v>901</v>
      </c>
      <c r="E2608" s="33" t="s">
        <v>829</v>
      </c>
      <c r="F2608" s="33">
        <f t="shared" si="939"/>
        <v>2.387</v>
      </c>
      <c r="G2608" s="42">
        <f>Database_Asfalt_Verwijderset[[#This Row],[Verbruik '[liter/kWh/kg per uur']]]*G$2728</f>
        <v>0.11558368637200001</v>
      </c>
      <c r="I2608" s="44">
        <v>3.6</v>
      </c>
      <c r="J2608" s="40">
        <f>Database_Asfalt_Verwijderset[[#This Row],[Verbruik '[liter/kWh/kg per uur']]]*J$2728</f>
        <v>3.3726598521000003E-5</v>
      </c>
      <c r="K2608" s="40">
        <f>Database_Asfalt_Verwijderset[[#This Row],[Verbruik '[liter/kWh/kg per uur']]]*K$2728</f>
        <v>2.8812164149999999E-3</v>
      </c>
      <c r="L2608" s="40">
        <f>Database_Asfalt_Verwijderset[[#This Row],[Verbruik '[liter/kWh/kg per uur']]]*L$2728</f>
        <v>0.40706398964000001</v>
      </c>
      <c r="M2608" s="40">
        <f>Database_Asfalt_Verwijderset[[#This Row],[Verbruik '[liter/kWh/kg per uur']]]*M$2728</f>
        <v>4.5306603881E-8</v>
      </c>
      <c r="N2608" s="40">
        <f>Database_Asfalt_Verwijderset[[#This Row],[Verbruik '[liter/kWh/kg per uur']]]*N$2728</f>
        <v>4.1689566072000001E-4</v>
      </c>
      <c r="O2608" s="40">
        <f>Database_Asfalt_Verwijderset[[#This Row],[Verbruik '[liter/kWh/kg per uur']]]*O$2728</f>
        <v>3.5352167004E-3</v>
      </c>
      <c r="P2608" s="40">
        <f>Database_Asfalt_Verwijderset[[#This Row],[Verbruik '[liter/kWh/kg per uur']]]*P$2728</f>
        <v>5.5804259896E-4</v>
      </c>
      <c r="Q2608" s="40">
        <f>Database_Asfalt_Verwijderset[[#This Row],[Verbruik '[liter/kWh/kg per uur']]]*Q$2728</f>
        <v>0.77080961034000006</v>
      </c>
      <c r="R2608" s="40">
        <f>Database_Asfalt_Verwijderset[[#This Row],[Verbruik '[liter/kWh/kg per uur']]]*R$2728</f>
        <v>1.1878883539600002E-2</v>
      </c>
      <c r="S2608" s="40">
        <f>Database_Asfalt_Verwijderset[[#This Row],[Verbruik '[liter/kWh/kg per uur']]]*S$2728</f>
        <v>36.241830548000003</v>
      </c>
      <c r="T2608" s="40">
        <f>Database_Asfalt_Verwijderset[[#This Row],[Verbruik '[liter/kWh/kg per uur']]]*T$2728</f>
        <v>2.3538025588E-2</v>
      </c>
      <c r="U2608" s="40"/>
      <c r="V2608" s="40"/>
      <c r="W2608" s="40"/>
      <c r="X2608" s="40"/>
      <c r="Y2608" s="40"/>
      <c r="Z2608" s="40"/>
      <c r="AA2608" s="40"/>
      <c r="AB2608" s="40"/>
      <c r="AC2608" s="40"/>
      <c r="AD2608" s="40"/>
      <c r="AE2608" s="40"/>
      <c r="AF2608" s="40"/>
      <c r="AG2608" s="40"/>
      <c r="AH2608" s="40"/>
      <c r="AI2608" s="40"/>
      <c r="AJ2608" s="40"/>
      <c r="AK2608" s="40"/>
      <c r="AL2608" s="40"/>
      <c r="AM2608" s="40"/>
      <c r="AN2608" s="40"/>
      <c r="AO2608" s="40"/>
      <c r="AP2608" s="40">
        <f>Database_Asfalt_Verwijderset[[#This Row],[Verbruik '[liter/kWh/kg per uur']]]*AP$2728</f>
        <v>18.291528963400001</v>
      </c>
      <c r="AQ2608" s="40"/>
      <c r="AR2608" s="40"/>
      <c r="AS2608" s="40">
        <f>Database_Asfalt_Verwijderset[[#This Row],[Verbruik '[liter/kWh/kg per uur']]]*AS$2728</f>
        <v>6.0237515646000004</v>
      </c>
      <c r="AT2608" s="40"/>
      <c r="AU2608" s="40"/>
      <c r="AV2608" s="40"/>
      <c r="AW2608" s="40">
        <f>Database_Asfalt_Verwijderset[[#This Row],[Verbruik '[liter/kWh/kg per uur']]]*AW$2728</f>
        <v>5.4542474986999994E-3</v>
      </c>
      <c r="AX2608" s="40">
        <f>Database_Asfalt_Verwijderset[[#This Row],[Verbruik '[liter/kWh/kg per uur']]]*AX$2728</f>
        <v>8.3194965545999996E-5</v>
      </c>
      <c r="AY2608" s="40">
        <f>Database_Asfalt_Verwijderset[[#This Row],[Verbruik '[liter/kWh/kg per uur']]]*AY$2728</f>
        <v>0.139381973731</v>
      </c>
      <c r="AZ2608" s="40">
        <f>Database_Asfalt_Verwijderset[[#This Row],[Verbruik '[liter/kWh/kg per uur']]]*AZ$2728</f>
        <v>2.0067377715E-5</v>
      </c>
      <c r="BA2608" s="40"/>
      <c r="BB2608" s="40"/>
      <c r="BC2608" s="40"/>
      <c r="BD2608" s="40"/>
      <c r="BE2608" s="40"/>
      <c r="BF2608" s="33" t="s">
        <v>892</v>
      </c>
      <c r="BG2608" s="33" t="s">
        <v>893</v>
      </c>
      <c r="BH2608" s="33">
        <v>1000</v>
      </c>
      <c r="BI2608" s="33" t="s">
        <v>854</v>
      </c>
    </row>
    <row r="2609" spans="1:63">
      <c r="A2609" s="33" t="s">
        <v>895</v>
      </c>
      <c r="B2609" s="33" t="s">
        <v>868</v>
      </c>
      <c r="C2609" s="33" t="s">
        <v>869</v>
      </c>
      <c r="D2609" s="33" t="s">
        <v>901</v>
      </c>
      <c r="E2609" s="33" t="s">
        <v>829</v>
      </c>
      <c r="F2609" s="33">
        <f t="shared" si="939"/>
        <v>1.333</v>
      </c>
      <c r="G2609" s="42">
        <f>Database_Asfalt_Verwijderset[[#This Row],[Verbruik '[liter/kWh/kg per uur']]]*G$2728</f>
        <v>6.4546733947999993E-2</v>
      </c>
      <c r="I2609" s="44">
        <v>3.6</v>
      </c>
      <c r="J2609" s="40">
        <f>Database_Asfalt_Verwijderset[[#This Row],[Verbruik '[liter/kWh/kg per uur']]]*J$2728</f>
        <v>1.8834334238999999E-5</v>
      </c>
      <c r="K2609" s="40">
        <f>Database_Asfalt_Verwijderset[[#This Row],[Verbruik '[liter/kWh/kg per uur']]]*K$2728</f>
        <v>1.6089909849999998E-3</v>
      </c>
      <c r="L2609" s="40">
        <f>Database_Asfalt_Verwijderset[[#This Row],[Verbruik '[liter/kWh/kg per uur']]]*L$2728</f>
        <v>0.22732144875999999</v>
      </c>
      <c r="M2609" s="40">
        <f>Database_Asfalt_Verwijderset[[#This Row],[Verbruik '[liter/kWh/kg per uur']]]*M$2728</f>
        <v>2.5301090478999999E-8</v>
      </c>
      <c r="N2609" s="40">
        <f>Database_Asfalt_Verwijderset[[#This Row],[Verbruik '[liter/kWh/kg per uur']]]*N$2728</f>
        <v>2.3281186247999999E-4</v>
      </c>
      <c r="O2609" s="40">
        <f>Database_Asfalt_Verwijderset[[#This Row],[Verbruik '[liter/kWh/kg per uur']]]*O$2728</f>
        <v>1.9742119235999999E-3</v>
      </c>
      <c r="P2609" s="40">
        <f>Database_Asfalt_Verwijderset[[#This Row],[Verbruik '[liter/kWh/kg per uur']]]*P$2728</f>
        <v>3.1163417863999996E-4</v>
      </c>
      <c r="Q2609" s="40">
        <f>Database_Asfalt_Verwijderset[[#This Row],[Verbruik '[liter/kWh/kg per uur']]]*Q$2728</f>
        <v>0.43045212006</v>
      </c>
      <c r="R2609" s="40">
        <f>Database_Asfalt_Verwijderset[[#This Row],[Verbruik '[liter/kWh/kg per uur']]]*R$2728</f>
        <v>6.6336622364000005E-3</v>
      </c>
      <c r="S2609" s="40">
        <f>Database_Asfalt_Verwijderset[[#This Row],[Verbruik '[liter/kWh/kg per uur']]]*S$2728</f>
        <v>20.238944331999999</v>
      </c>
      <c r="T2609" s="40">
        <f>Database_Asfalt_Verwijderset[[#This Row],[Verbruik '[liter/kWh/kg per uur']]]*T$2728</f>
        <v>1.3144611691999999E-2</v>
      </c>
      <c r="U2609" s="40"/>
      <c r="V2609" s="40"/>
      <c r="W2609" s="40"/>
      <c r="X2609" s="40"/>
      <c r="Y2609" s="40"/>
      <c r="Z2609" s="40"/>
      <c r="AA2609" s="40"/>
      <c r="AB2609" s="40"/>
      <c r="AC2609" s="40"/>
      <c r="AD2609" s="40"/>
      <c r="AE2609" s="40"/>
      <c r="AF2609" s="40"/>
      <c r="AG2609" s="40"/>
      <c r="AH2609" s="40"/>
      <c r="AI2609" s="40"/>
      <c r="AJ2609" s="40"/>
      <c r="AK2609" s="40"/>
      <c r="AL2609" s="40"/>
      <c r="AM2609" s="40"/>
      <c r="AN2609" s="40"/>
      <c r="AO2609" s="40"/>
      <c r="AP2609" s="40">
        <f>Database_Asfalt_Verwijderset[[#This Row],[Verbruik '[liter/kWh/kg per uur']]]*AP$2728</f>
        <v>10.214749940600001</v>
      </c>
      <c r="AQ2609" s="40"/>
      <c r="AR2609" s="40"/>
      <c r="AS2609" s="40">
        <f>Database_Asfalt_Verwijderset[[#This Row],[Verbruik '[liter/kWh/kg per uur']]]*AS$2728</f>
        <v>3.3639132113999999</v>
      </c>
      <c r="AT2609" s="40"/>
      <c r="AU2609" s="40"/>
      <c r="AV2609" s="40"/>
      <c r="AW2609" s="40">
        <f>Database_Asfalt_Verwijderset[[#This Row],[Verbruik '[liter/kWh/kg per uur']]]*AW$2728</f>
        <v>3.0458784732999996E-3</v>
      </c>
      <c r="AX2609" s="40">
        <f>Database_Asfalt_Verwijderset[[#This Row],[Verbruik '[liter/kWh/kg per uur']]]*AX$2728</f>
        <v>4.6459526213999997E-5</v>
      </c>
      <c r="AY2609" s="40">
        <f>Database_Asfalt_Verwijderset[[#This Row],[Verbruik '[liter/kWh/kg per uur']]]*AY$2728</f>
        <v>7.7836686629000007E-2</v>
      </c>
      <c r="AZ2609" s="40">
        <f>Database_Asfalt_Verwijderset[[#This Row],[Verbruik '[liter/kWh/kg per uur']]]*AZ$2728</f>
        <v>1.1206457685000001E-5</v>
      </c>
      <c r="BA2609" s="40"/>
      <c r="BB2609" s="40"/>
      <c r="BC2609" s="40"/>
      <c r="BD2609" s="40"/>
      <c r="BE2609" s="40"/>
      <c r="BF2609" s="33" t="s">
        <v>892</v>
      </c>
      <c r="BG2609" s="33" t="s">
        <v>893</v>
      </c>
      <c r="BH2609" s="33">
        <v>2000</v>
      </c>
      <c r="BI2609" s="33" t="s">
        <v>854</v>
      </c>
    </row>
    <row r="2610" spans="1:63">
      <c r="A2610" s="33" t="s">
        <v>896</v>
      </c>
      <c r="B2610" s="33" t="s">
        <v>868</v>
      </c>
      <c r="C2610" s="33" t="s">
        <v>869</v>
      </c>
      <c r="D2610" s="33" t="s">
        <v>901</v>
      </c>
      <c r="E2610" s="33" t="s">
        <v>829</v>
      </c>
      <c r="F2610" s="33">
        <f t="shared" si="939"/>
        <v>1.0230000000000001</v>
      </c>
      <c r="G2610" s="42">
        <f>Database_Asfalt_Verwijderset[[#This Row],[Verbruik '[liter/kWh/kg per uur']]]*G$2727</f>
        <v>6.9328298754000012E-2</v>
      </c>
      <c r="I2610" s="44">
        <v>3.6</v>
      </c>
      <c r="J2610" s="40">
        <f>Database_Asfalt_Verwijderset[[#This Row],[Verbruik '[liter/kWh/kg per uur']]]*J$2727</f>
        <v>8.6947665090000014E-6</v>
      </c>
      <c r="K2610" s="40">
        <f>Database_Asfalt_Verwijderset[[#This Row],[Verbruik '[liter/kWh/kg per uur']]]*K$2727</f>
        <v>5.5473791340000011E-3</v>
      </c>
      <c r="L2610" s="40">
        <f>Database_Asfalt_Verwijderset[[#This Row],[Verbruik '[liter/kWh/kg per uur']]]*L$2727</f>
        <v>0.63925188195000004</v>
      </c>
      <c r="M2610" s="40">
        <f>Database_Asfalt_Verwijderset[[#This Row],[Verbruik '[liter/kWh/kg per uur']]]*M$2727</f>
        <v>5.8004675949000012E-8</v>
      </c>
      <c r="N2610" s="40">
        <f>Database_Asfalt_Verwijderset[[#This Row],[Verbruik '[liter/kWh/kg per uur']]]*N$2727</f>
        <v>1.6813266888000001E-4</v>
      </c>
      <c r="O2610" s="40">
        <f>Database_Asfalt_Verwijderset[[#This Row],[Verbruik '[liter/kWh/kg per uur']]]*O$2727</f>
        <v>1.5225904386000002E-3</v>
      </c>
      <c r="P2610" s="40">
        <f>Database_Asfalt_Verwijderset[[#This Row],[Verbruik '[liter/kWh/kg per uur']]]*P$2727</f>
        <v>1.9694804184000004E-4</v>
      </c>
      <c r="Q2610" s="40">
        <f>Database_Asfalt_Verwijderset[[#This Row],[Verbruik '[liter/kWh/kg per uur']]]*Q$2727</f>
        <v>0.28865491776000002</v>
      </c>
      <c r="R2610" s="40">
        <f>Database_Asfalt_Verwijderset[[#This Row],[Verbruik '[liter/kWh/kg per uur']]]*R$2727</f>
        <v>4.582023956400001E-3</v>
      </c>
      <c r="S2610" s="40">
        <f>Database_Asfalt_Verwijderset[[#This Row],[Verbruik '[liter/kWh/kg per uur']]]*S$2727</f>
        <v>15.727960050000002</v>
      </c>
      <c r="T2610" s="40">
        <f>Database_Asfalt_Verwijderset[[#This Row],[Verbruik '[liter/kWh/kg per uur']]]*T$2727</f>
        <v>9.7772345220000015E-3</v>
      </c>
      <c r="U2610" s="40"/>
      <c r="V2610" s="40"/>
      <c r="W2610" s="40"/>
      <c r="X2610" s="40"/>
      <c r="Y2610" s="40"/>
      <c r="Z2610" s="40"/>
      <c r="AA2610" s="40"/>
      <c r="AB2610" s="40"/>
      <c r="AC2610" s="40"/>
      <c r="AD2610" s="40"/>
      <c r="AE2610" s="40"/>
      <c r="AF2610" s="40"/>
      <c r="AG2610" s="40"/>
      <c r="AH2610" s="40"/>
      <c r="AI2610" s="40"/>
      <c r="AJ2610" s="40"/>
      <c r="AK2610" s="40"/>
      <c r="AL2610" s="40"/>
      <c r="AM2610" s="40"/>
      <c r="AN2610" s="40"/>
      <c r="AO2610" s="40"/>
      <c r="AP2610" s="40">
        <f>Database_Asfalt_Verwijderset[[#This Row],[Verbruik '[liter/kWh/kg per uur']]]*AP$2727</f>
        <v>0.21150097386000002</v>
      </c>
      <c r="AQ2610" s="40"/>
      <c r="AR2610" s="40"/>
      <c r="AS2610" s="40">
        <f>Database_Asfalt_Verwijderset[[#This Row],[Verbruik '[liter/kWh/kg per uur']]]*AS$2727</f>
        <v>11.466053049000003</v>
      </c>
      <c r="AT2610" s="40"/>
      <c r="AU2610" s="40"/>
      <c r="AV2610" s="40"/>
      <c r="AW2610" s="40">
        <f>Database_Asfalt_Verwijderset[[#This Row],[Verbruik '[liter/kWh/kg per uur']]]*AW$2727</f>
        <v>3.7559497173000004E-3</v>
      </c>
      <c r="AX2610" s="40">
        <f>Database_Asfalt_Verwijderset[[#This Row],[Verbruik '[liter/kWh/kg per uur']]]*AX$2727</f>
        <v>2.3685885234000003E-5</v>
      </c>
      <c r="AY2610" s="40">
        <f>Database_Asfalt_Verwijderset[[#This Row],[Verbruik '[liter/kWh/kg per uur']]]*AY$2727</f>
        <v>4.528742024400001E-2</v>
      </c>
      <c r="AZ2610" s="40">
        <f>Database_Asfalt_Verwijderset[[#This Row],[Verbruik '[liter/kWh/kg per uur']]]*AZ$2727</f>
        <v>1.8349494735000004E-5</v>
      </c>
      <c r="BA2610" s="40"/>
      <c r="BB2610" s="40"/>
      <c r="BC2610" s="40"/>
      <c r="BD2610" s="40"/>
      <c r="BE2610" s="40"/>
      <c r="BF2610" s="33" t="s">
        <v>892</v>
      </c>
      <c r="BG2610" s="33" t="s">
        <v>893</v>
      </c>
      <c r="BH2610" s="33">
        <v>400</v>
      </c>
      <c r="BI2610" s="33" t="s">
        <v>854</v>
      </c>
    </row>
    <row r="2611" spans="1:63">
      <c r="A2611" s="33" t="s">
        <v>897</v>
      </c>
      <c r="B2611" s="33" t="s">
        <v>868</v>
      </c>
      <c r="C2611" s="33" t="s">
        <v>869</v>
      </c>
      <c r="D2611" s="33" t="s">
        <v>901</v>
      </c>
      <c r="E2611" s="33" t="s">
        <v>829</v>
      </c>
      <c r="F2611" s="33">
        <f t="shared" si="939"/>
        <v>2.387</v>
      </c>
      <c r="G2611" s="42">
        <f>Database_Asfalt_Verwijderset[[#This Row],[Verbruik '[liter/kWh/kg per uur']]]*G$2727</f>
        <v>0.16176603042599999</v>
      </c>
      <c r="I2611" s="44">
        <v>3.6</v>
      </c>
      <c r="J2611" s="40">
        <f>Database_Asfalt_Verwijderset[[#This Row],[Verbruik '[liter/kWh/kg per uur']]]*J$2727</f>
        <v>2.0287788521000001E-5</v>
      </c>
      <c r="K2611" s="40">
        <f>Database_Asfalt_Verwijderset[[#This Row],[Verbruik '[liter/kWh/kg per uur']]]*K$2727</f>
        <v>1.2943884646000001E-2</v>
      </c>
      <c r="L2611" s="40">
        <f>Database_Asfalt_Verwijderset[[#This Row],[Verbruik '[liter/kWh/kg per uur']]]*L$2727</f>
        <v>1.49158772455</v>
      </c>
      <c r="M2611" s="40">
        <f>Database_Asfalt_Verwijderset[[#This Row],[Verbruik '[liter/kWh/kg per uur']]]*M$2727</f>
        <v>1.3534424388100001E-7</v>
      </c>
      <c r="N2611" s="40">
        <f>Database_Asfalt_Verwijderset[[#This Row],[Verbruik '[liter/kWh/kg per uur']]]*N$2727</f>
        <v>3.9230956072000003E-4</v>
      </c>
      <c r="O2611" s="40">
        <f>Database_Asfalt_Verwijderset[[#This Row],[Verbruik '[liter/kWh/kg per uur']]]*O$2727</f>
        <v>3.5527110233999999E-3</v>
      </c>
      <c r="P2611" s="40">
        <f>Database_Asfalt_Verwijderset[[#This Row],[Verbruik '[liter/kWh/kg per uur']]]*P$2727</f>
        <v>4.5954543096000001E-4</v>
      </c>
      <c r="Q2611" s="40">
        <f>Database_Asfalt_Verwijderset[[#This Row],[Verbruik '[liter/kWh/kg per uur']]]*Q$2727</f>
        <v>0.67352814143999995</v>
      </c>
      <c r="R2611" s="40">
        <f>Database_Asfalt_Verwijderset[[#This Row],[Verbruik '[liter/kWh/kg per uur']]]*R$2727</f>
        <v>1.06913892316E-2</v>
      </c>
      <c r="S2611" s="40">
        <f>Database_Asfalt_Verwijderset[[#This Row],[Verbruik '[liter/kWh/kg per uur']]]*S$2727</f>
        <v>36.698573449999998</v>
      </c>
      <c r="T2611" s="40">
        <f>Database_Asfalt_Verwijderset[[#This Row],[Verbruik '[liter/kWh/kg per uur']]]*T$2727</f>
        <v>2.2813547218E-2</v>
      </c>
      <c r="U2611" s="40"/>
      <c r="V2611" s="40"/>
      <c r="W2611" s="40"/>
      <c r="X2611" s="40"/>
      <c r="Y2611" s="40"/>
      <c r="Z2611" s="40"/>
      <c r="AA2611" s="40"/>
      <c r="AB2611" s="40"/>
      <c r="AC2611" s="40"/>
      <c r="AD2611" s="40"/>
      <c r="AE2611" s="40"/>
      <c r="AF2611" s="40"/>
      <c r="AG2611" s="40"/>
      <c r="AH2611" s="40"/>
      <c r="AI2611" s="40"/>
      <c r="AJ2611" s="40"/>
      <c r="AK2611" s="40"/>
      <c r="AL2611" s="40"/>
      <c r="AM2611" s="40"/>
      <c r="AN2611" s="40"/>
      <c r="AO2611" s="40"/>
      <c r="AP2611" s="40">
        <f>Database_Asfalt_Verwijderset[[#This Row],[Verbruik '[liter/kWh/kg per uur']]]*AP$2727</f>
        <v>0.49350227233999999</v>
      </c>
      <c r="AQ2611" s="40"/>
      <c r="AR2611" s="40"/>
      <c r="AS2611" s="40">
        <f>Database_Asfalt_Verwijderset[[#This Row],[Verbruik '[liter/kWh/kg per uur']]]*AS$2727</f>
        <v>26.754123781000001</v>
      </c>
      <c r="AT2611" s="40"/>
      <c r="AU2611" s="40"/>
      <c r="AV2611" s="40"/>
      <c r="AW2611" s="40">
        <f>Database_Asfalt_Verwijderset[[#This Row],[Verbruik '[liter/kWh/kg per uur']]]*AW$2727</f>
        <v>8.7638826736999992E-3</v>
      </c>
      <c r="AX2611" s="40">
        <f>Database_Asfalt_Verwijderset[[#This Row],[Verbruik '[liter/kWh/kg per uur']]]*AX$2727</f>
        <v>5.5267065546000002E-5</v>
      </c>
      <c r="AY2611" s="40">
        <f>Database_Asfalt_Verwijderset[[#This Row],[Verbruik '[liter/kWh/kg per uur']]]*AY$2727</f>
        <v>0.105670647236</v>
      </c>
      <c r="AZ2611" s="40">
        <f>Database_Asfalt_Verwijderset[[#This Row],[Verbruik '[liter/kWh/kg per uur']]]*AZ$2727</f>
        <v>4.2815487715000001E-5</v>
      </c>
      <c r="BA2611" s="40"/>
      <c r="BB2611" s="40"/>
      <c r="BC2611" s="40"/>
      <c r="BD2611" s="40"/>
      <c r="BE2611" s="40"/>
      <c r="BF2611" s="33" t="s">
        <v>892</v>
      </c>
      <c r="BG2611" s="33" t="s">
        <v>893</v>
      </c>
      <c r="BH2611" s="33">
        <v>1000</v>
      </c>
      <c r="BI2611" s="33" t="s">
        <v>854</v>
      </c>
    </row>
    <row r="2612" spans="1:63">
      <c r="A2612" s="33" t="s">
        <v>898</v>
      </c>
      <c r="B2612" s="33" t="s">
        <v>868</v>
      </c>
      <c r="C2612" s="33" t="s">
        <v>869</v>
      </c>
      <c r="D2612" s="33" t="s">
        <v>901</v>
      </c>
      <c r="E2612" s="33" t="s">
        <v>829</v>
      </c>
      <c r="F2612" s="33">
        <f t="shared" si="939"/>
        <v>1.333</v>
      </c>
      <c r="G2612" s="42">
        <f>Database_Asfalt_Verwijderset[[#This Row],[Verbruik '[liter/kWh/kg per uur']]]*G$2727</f>
        <v>9.0336874134000003E-2</v>
      </c>
      <c r="I2612" s="44">
        <v>3.6</v>
      </c>
      <c r="J2612" s="40">
        <f>Database_Asfalt_Verwijderset[[#This Row],[Verbruik '[liter/kWh/kg per uur']]]*J$2727</f>
        <v>1.1329544239E-5</v>
      </c>
      <c r="K2612" s="40">
        <f>Database_Asfalt_Verwijderset[[#This Row],[Verbruik '[liter/kWh/kg per uur']]]*K$2727</f>
        <v>7.228403114E-3</v>
      </c>
      <c r="L2612" s="40">
        <f>Database_Asfalt_Verwijderset[[#This Row],[Verbruik '[liter/kWh/kg per uur']]]*L$2727</f>
        <v>0.83296457344999997</v>
      </c>
      <c r="M2612" s="40">
        <f>Database_Asfalt_Verwijderset[[#This Row],[Verbruik '[liter/kWh/kg per uur']]]*M$2727</f>
        <v>7.5581850478999997E-8</v>
      </c>
      <c r="N2612" s="40">
        <f>Database_Asfalt_Verwijderset[[#This Row],[Verbruik '[liter/kWh/kg per uur']]]*N$2727</f>
        <v>2.1908196247999998E-4</v>
      </c>
      <c r="O2612" s="40">
        <f>Database_Asfalt_Verwijderset[[#This Row],[Verbruik '[liter/kWh/kg per uur']]]*O$2727</f>
        <v>1.9839814806E-3</v>
      </c>
      <c r="P2612" s="40">
        <f>Database_Asfalt_Verwijderset[[#This Row],[Verbruik '[liter/kWh/kg per uur']]]*P$2727</f>
        <v>2.5662926664000004E-4</v>
      </c>
      <c r="Q2612" s="40">
        <f>Database_Asfalt_Verwijderset[[#This Row],[Verbruik '[liter/kWh/kg per uur']]]*Q$2727</f>
        <v>0.37612610495999999</v>
      </c>
      <c r="R2612" s="40">
        <f>Database_Asfalt_Verwijderset[[#This Row],[Verbruik '[liter/kWh/kg per uur']]]*R$2727</f>
        <v>5.9705160643999996E-3</v>
      </c>
      <c r="S2612" s="40">
        <f>Database_Asfalt_Verwijderset[[#This Row],[Verbruik '[liter/kWh/kg per uur']]]*S$2727</f>
        <v>20.49400855</v>
      </c>
      <c r="T2612" s="40">
        <f>Database_Asfalt_Verwijderset[[#This Row],[Verbruik '[liter/kWh/kg per uur']]]*T$2727</f>
        <v>1.2740032861999999E-2</v>
      </c>
      <c r="U2612" s="40"/>
      <c r="V2612" s="40"/>
      <c r="W2612" s="40"/>
      <c r="X2612" s="40"/>
      <c r="Y2612" s="40"/>
      <c r="Z2612" s="40"/>
      <c r="AA2612" s="40"/>
      <c r="AB2612" s="40"/>
      <c r="AC2612" s="40"/>
      <c r="AD2612" s="40"/>
      <c r="AE2612" s="40"/>
      <c r="AF2612" s="40"/>
      <c r="AG2612" s="40"/>
      <c r="AH2612" s="40"/>
      <c r="AI2612" s="40"/>
      <c r="AJ2612" s="40"/>
      <c r="AK2612" s="40"/>
      <c r="AL2612" s="40"/>
      <c r="AM2612" s="40"/>
      <c r="AN2612" s="40"/>
      <c r="AO2612" s="40"/>
      <c r="AP2612" s="40">
        <f>Database_Asfalt_Verwijderset[[#This Row],[Verbruik '[liter/kWh/kg per uur']]]*AP$2727</f>
        <v>0.27559217805999997</v>
      </c>
      <c r="AQ2612" s="40"/>
      <c r="AR2612" s="40"/>
      <c r="AS2612" s="40">
        <f>Database_Asfalt_Verwijderset[[#This Row],[Verbruik '[liter/kWh/kg per uur']]]*AS$2727</f>
        <v>14.940614579</v>
      </c>
      <c r="AT2612" s="40"/>
      <c r="AU2612" s="40"/>
      <c r="AV2612" s="40"/>
      <c r="AW2612" s="40">
        <f>Database_Asfalt_Verwijderset[[#This Row],[Verbruik '[liter/kWh/kg per uur']]]*AW$2727</f>
        <v>4.8941162982999997E-3</v>
      </c>
      <c r="AX2612" s="40">
        <f>Database_Asfalt_Verwijderset[[#This Row],[Verbruik '[liter/kWh/kg per uur']]]*AX$2727</f>
        <v>3.0863426213999999E-5</v>
      </c>
      <c r="AY2612" s="40">
        <f>Database_Asfalt_Verwijderset[[#This Row],[Verbruik '[liter/kWh/kg per uur']]]*AY$2727</f>
        <v>5.9010880923999996E-2</v>
      </c>
      <c r="AZ2612" s="40">
        <f>Database_Asfalt_Verwijderset[[#This Row],[Verbruik '[liter/kWh/kg per uur']]]*AZ$2727</f>
        <v>2.3909947685000001E-5</v>
      </c>
      <c r="BA2612" s="40"/>
      <c r="BB2612" s="40"/>
      <c r="BC2612" s="40"/>
      <c r="BD2612" s="40"/>
      <c r="BE2612" s="40"/>
      <c r="BF2612" s="33" t="s">
        <v>892</v>
      </c>
      <c r="BG2612" s="33" t="s">
        <v>893</v>
      </c>
      <c r="BH2612" s="33">
        <v>2000</v>
      </c>
      <c r="BI2612" s="33" t="s">
        <v>854</v>
      </c>
    </row>
    <row r="2613" spans="1:63">
      <c r="D2613" s="38"/>
      <c r="E2613" s="42"/>
      <c r="F2613" s="36"/>
      <c r="H2613" s="40"/>
      <c r="I2613" s="40"/>
      <c r="J2613" s="40"/>
      <c r="K2613" s="40"/>
      <c r="L2613" s="40"/>
      <c r="M2613" s="40"/>
      <c r="N2613" s="40"/>
      <c r="O2613" s="40"/>
      <c r="P2613" s="40"/>
      <c r="Q2613" s="40"/>
      <c r="R2613" s="40"/>
      <c r="S2613" s="40"/>
      <c r="T2613" s="40"/>
      <c r="U2613" s="40"/>
      <c r="V2613" s="40"/>
      <c r="W2613" s="40"/>
      <c r="X2613" s="40"/>
      <c r="Y2613" s="40"/>
    </row>
    <row r="2614" spans="1:63" ht="15.75">
      <c r="J2614" s="167"/>
      <c r="K2614" s="166"/>
      <c r="L2614" s="167"/>
      <c r="M2614" s="166"/>
      <c r="N2614" s="167"/>
      <c r="O2614" s="167"/>
      <c r="P2614" s="166"/>
      <c r="Q2614" s="166"/>
      <c r="R2614" s="167"/>
      <c r="S2614" s="166"/>
      <c r="T2614" s="167"/>
      <c r="U2614" s="167"/>
      <c r="V2614" s="167"/>
      <c r="W2614" s="166"/>
      <c r="X2614" s="167"/>
      <c r="Y2614" s="167"/>
      <c r="Z2614" s="166"/>
      <c r="AA2614" s="167"/>
      <c r="AB2614" s="167"/>
      <c r="AC2614" s="166"/>
      <c r="AD2614" s="166"/>
      <c r="AE2614" s="167"/>
      <c r="AF2614" s="167"/>
      <c r="AG2614" s="167"/>
      <c r="AH2614" s="167"/>
      <c r="AI2614" s="167"/>
      <c r="AJ2614" s="167"/>
      <c r="AK2614" s="167"/>
      <c r="AL2614" s="167"/>
      <c r="AM2614" s="167"/>
      <c r="AN2614" s="167"/>
      <c r="AO2614" s="167"/>
      <c r="AP2614" s="166"/>
      <c r="AQ2614" s="167"/>
      <c r="AR2614" s="166"/>
      <c r="AS2614" s="167"/>
      <c r="AT2614" s="167"/>
      <c r="AU2614" s="167"/>
      <c r="AV2614" s="167"/>
      <c r="AW2614" s="167"/>
      <c r="AX2614" s="167"/>
      <c r="AY2614" s="167"/>
      <c r="AZ2614" s="167"/>
      <c r="BA2614" s="167"/>
      <c r="BB2614" s="167"/>
      <c r="BC2614" s="167"/>
      <c r="BD2614" s="167"/>
      <c r="BE2614" s="167"/>
      <c r="BF2614" s="180"/>
      <c r="BG2614" s="180"/>
      <c r="BH2614" s="180" t="s">
        <v>481</v>
      </c>
    </row>
    <row r="2615" spans="1:63" ht="15.75">
      <c r="A2615" s="33" t="s">
        <v>908</v>
      </c>
      <c r="J2615" s="174"/>
      <c r="K2615" s="175"/>
      <c r="L2615" s="175"/>
      <c r="M2615" s="175"/>
      <c r="N2615" s="176"/>
      <c r="O2615" s="175"/>
      <c r="P2615" s="175"/>
      <c r="Q2615" s="175"/>
      <c r="R2615" s="175"/>
      <c r="S2615" s="175"/>
      <c r="T2615" s="175"/>
      <c r="U2615" s="175"/>
      <c r="V2615" s="175"/>
      <c r="W2615" s="175"/>
      <c r="X2615" s="176"/>
      <c r="Y2615" s="176"/>
      <c r="Z2615" s="175"/>
      <c r="AA2615" s="175"/>
      <c r="AB2615" s="176"/>
      <c r="AC2615" s="175"/>
      <c r="AD2615" s="175"/>
      <c r="AE2615" s="176"/>
      <c r="AF2615" s="176"/>
      <c r="AG2615" s="176"/>
      <c r="AH2615" s="176"/>
      <c r="AI2615" s="176"/>
      <c r="AJ2615" s="176"/>
      <c r="AK2615" s="176"/>
      <c r="AL2615" s="176"/>
      <c r="AM2615" s="176"/>
      <c r="AN2615" s="176"/>
      <c r="AO2615" s="175"/>
      <c r="AP2615" s="175"/>
      <c r="AQ2615" s="175"/>
      <c r="AR2615" s="175"/>
      <c r="AS2615" s="176"/>
      <c r="AT2615" s="176"/>
      <c r="AU2615" s="176"/>
      <c r="AV2615" s="176"/>
      <c r="AW2615" s="176"/>
      <c r="AX2615" s="176"/>
      <c r="AY2615" s="176"/>
      <c r="AZ2615" s="176"/>
      <c r="BA2615" s="176"/>
      <c r="BB2615" s="176"/>
      <c r="BC2615" s="176"/>
      <c r="BD2615" s="176"/>
      <c r="BE2615" s="177"/>
    </row>
    <row r="2616" spans="1:63" ht="15.75">
      <c r="A2616" s="33" t="s">
        <v>820</v>
      </c>
      <c r="B2616" s="33" t="s">
        <v>11</v>
      </c>
      <c r="C2616" s="33" t="s">
        <v>6</v>
      </c>
      <c r="D2616" s="33" t="s">
        <v>9</v>
      </c>
      <c r="E2616" s="33" t="s">
        <v>821</v>
      </c>
      <c r="F2616" s="33" t="s">
        <v>822</v>
      </c>
      <c r="G2616" s="33" t="s">
        <v>430</v>
      </c>
      <c r="H2616" s="33" t="s">
        <v>823</v>
      </c>
      <c r="I2616" s="33" t="s">
        <v>824</v>
      </c>
      <c r="J2616" s="174" t="s">
        <v>431</v>
      </c>
      <c r="K2616" s="175" t="s">
        <v>432</v>
      </c>
      <c r="L2616" s="175" t="s">
        <v>433</v>
      </c>
      <c r="M2616" s="175" t="s">
        <v>434</v>
      </c>
      <c r="N2616" s="176" t="s">
        <v>435</v>
      </c>
      <c r="O2616" s="175" t="s">
        <v>436</v>
      </c>
      <c r="P2616" s="175" t="s">
        <v>437</v>
      </c>
      <c r="Q2616" s="175" t="s">
        <v>438</v>
      </c>
      <c r="R2616" s="175" t="s">
        <v>439</v>
      </c>
      <c r="S2616" s="175" t="s">
        <v>440</v>
      </c>
      <c r="T2616" s="175" t="s">
        <v>441</v>
      </c>
      <c r="U2616" s="175" t="s">
        <v>442</v>
      </c>
      <c r="V2616" s="175" t="s">
        <v>443</v>
      </c>
      <c r="W2616" s="175" t="s">
        <v>444</v>
      </c>
      <c r="X2616" s="176" t="s">
        <v>445</v>
      </c>
      <c r="Y2616" s="176" t="s">
        <v>446</v>
      </c>
      <c r="Z2616" s="175" t="s">
        <v>447</v>
      </c>
      <c r="AA2616" s="175" t="s">
        <v>448</v>
      </c>
      <c r="AB2616" s="176" t="s">
        <v>449</v>
      </c>
      <c r="AC2616" s="175" t="s">
        <v>450</v>
      </c>
      <c r="AD2616" s="175" t="s">
        <v>451</v>
      </c>
      <c r="AE2616" s="176" t="s">
        <v>452</v>
      </c>
      <c r="AF2616" s="176" t="s">
        <v>453</v>
      </c>
      <c r="AG2616" s="176" t="s">
        <v>454</v>
      </c>
      <c r="AH2616" s="176" t="s">
        <v>455</v>
      </c>
      <c r="AI2616" s="176" t="s">
        <v>456</v>
      </c>
      <c r="AJ2616" s="176" t="s">
        <v>457</v>
      </c>
      <c r="AK2616" s="176" t="s">
        <v>458</v>
      </c>
      <c r="AL2616" s="176" t="s">
        <v>459</v>
      </c>
      <c r="AM2616" s="176" t="s">
        <v>460</v>
      </c>
      <c r="AN2616" s="176" t="s">
        <v>461</v>
      </c>
      <c r="AO2616" s="175" t="s">
        <v>462</v>
      </c>
      <c r="AP2616" s="33" t="s">
        <v>909</v>
      </c>
      <c r="AQ2616" s="33" t="s">
        <v>910</v>
      </c>
      <c r="AR2616" s="33" t="s">
        <v>911</v>
      </c>
      <c r="AS2616" s="33" t="s">
        <v>912</v>
      </c>
      <c r="AT2616" s="33" t="s">
        <v>913</v>
      </c>
      <c r="AU2616" s="33" t="s">
        <v>914</v>
      </c>
      <c r="AV2616" s="33" t="s">
        <v>915</v>
      </c>
      <c r="AW2616" s="33" t="s">
        <v>916</v>
      </c>
      <c r="AX2616" s="33" t="s">
        <v>917</v>
      </c>
      <c r="AY2616" s="33" t="s">
        <v>918</v>
      </c>
      <c r="AZ2616" s="33" t="s">
        <v>919</v>
      </c>
      <c r="BA2616" s="33" t="s">
        <v>920</v>
      </c>
      <c r="BB2616" s="33" t="s">
        <v>921</v>
      </c>
      <c r="BC2616" s="33" t="s">
        <v>922</v>
      </c>
      <c r="BD2616" s="33" t="s">
        <v>923</v>
      </c>
      <c r="BE2616" s="33" t="s">
        <v>924</v>
      </c>
      <c r="BF2616" s="33" t="s">
        <v>480</v>
      </c>
      <c r="BG2616" s="33" t="s">
        <v>481</v>
      </c>
      <c r="BH2616" s="33" t="s">
        <v>866</v>
      </c>
      <c r="BI2616" s="33" t="s">
        <v>825</v>
      </c>
    </row>
    <row r="2617" spans="1:63">
      <c r="A2617" s="83" t="s">
        <v>826</v>
      </c>
      <c r="B2617" s="84" t="s">
        <v>827</v>
      </c>
      <c r="E2617" s="84" t="s">
        <v>829</v>
      </c>
      <c r="F2617" s="84">
        <v>0</v>
      </c>
      <c r="G2617" s="86" t="s">
        <v>900</v>
      </c>
      <c r="H2617" s="84">
        <v>0</v>
      </c>
      <c r="I2617" s="84">
        <v>0</v>
      </c>
      <c r="J2617" s="84">
        <v>0</v>
      </c>
      <c r="K2617" s="84">
        <v>0</v>
      </c>
      <c r="L2617" s="84">
        <v>0</v>
      </c>
      <c r="M2617" s="84">
        <v>0</v>
      </c>
      <c r="N2617" s="84">
        <v>0</v>
      </c>
      <c r="O2617" s="84">
        <v>0</v>
      </c>
      <c r="P2617" s="84">
        <v>0</v>
      </c>
      <c r="Q2617" s="84">
        <v>0</v>
      </c>
      <c r="R2617" s="84">
        <v>0</v>
      </c>
      <c r="S2617" s="84">
        <v>0</v>
      </c>
      <c r="T2617" s="84">
        <v>0</v>
      </c>
      <c r="U2617" s="84"/>
      <c r="V2617" s="84"/>
      <c r="W2617" s="84"/>
      <c r="X2617" s="84"/>
      <c r="Y2617" s="84"/>
      <c r="Z2617" s="84"/>
      <c r="AA2617" s="84"/>
      <c r="AB2617" s="84"/>
      <c r="AC2617" s="84"/>
      <c r="AD2617" s="84"/>
      <c r="AE2617" s="84"/>
      <c r="AF2617" s="84"/>
      <c r="AG2617" s="84"/>
      <c r="AH2617" s="84"/>
      <c r="AI2617" s="84"/>
      <c r="AJ2617" s="84"/>
      <c r="AK2617" s="84"/>
      <c r="AL2617" s="84"/>
      <c r="AM2617" s="84"/>
      <c r="AN2617" s="84"/>
      <c r="AO2617" s="84"/>
      <c r="AP2617" s="84">
        <v>0</v>
      </c>
      <c r="AQ2617" s="84"/>
      <c r="AR2617" s="84"/>
      <c r="AS2617" s="84">
        <v>0</v>
      </c>
      <c r="AT2617" s="84"/>
      <c r="AU2617" s="84"/>
      <c r="AV2617" s="84"/>
      <c r="AW2617" s="84">
        <v>0</v>
      </c>
      <c r="AX2617" s="84">
        <v>0</v>
      </c>
      <c r="AY2617" s="84">
        <v>0</v>
      </c>
      <c r="AZ2617" s="84">
        <v>0</v>
      </c>
      <c r="BA2617" s="84"/>
      <c r="BB2617" s="84"/>
      <c r="BC2617" s="84"/>
      <c r="BD2617" s="84"/>
      <c r="BE2617" s="84"/>
      <c r="BF2617" s="84"/>
      <c r="BG2617" s="87"/>
      <c r="BH2617" s="40"/>
      <c r="BJ2617" s="85"/>
      <c r="BK2617" s="85"/>
    </row>
    <row r="2618" spans="1:63">
      <c r="A2618" s="33" t="s">
        <v>925</v>
      </c>
      <c r="B2618" s="33" t="s">
        <v>868</v>
      </c>
      <c r="C2618" s="33" t="s">
        <v>869</v>
      </c>
      <c r="D2618" s="33" t="s">
        <v>926</v>
      </c>
      <c r="E2618" s="33" t="s">
        <v>829</v>
      </c>
      <c r="F2618" s="33">
        <v>0.37</v>
      </c>
      <c r="G2618" s="33">
        <v>0.16602486890199961</v>
      </c>
      <c r="H2618" s="33">
        <v>0.84</v>
      </c>
      <c r="I2618" s="36">
        <v>35.9</v>
      </c>
      <c r="J2618" s="40">
        <v>4.1099253375090395E-7</v>
      </c>
      <c r="K2618" s="40">
        <v>8.4294261397523176E-3</v>
      </c>
      <c r="L2618" s="40">
        <v>1.6285929450651</v>
      </c>
      <c r="M2618" s="40">
        <v>2.209736030835149E-7</v>
      </c>
      <c r="N2618" s="40">
        <v>6.5298016077612554E-4</v>
      </c>
      <c r="O2618" s="40">
        <v>6.7578486141663093E-3</v>
      </c>
      <c r="P2618" s="40">
        <v>1.5225720946674751E-3</v>
      </c>
      <c r="Q2618" s="40">
        <v>0.43239645680794303</v>
      </c>
      <c r="R2618" s="40">
        <v>6.1055404584190991E-3</v>
      </c>
      <c r="S2618" s="40">
        <v>20.569278736524495</v>
      </c>
      <c r="T2618" s="40">
        <v>7.25661152361173E-4</v>
      </c>
      <c r="U2618" s="40"/>
      <c r="V2618" s="40"/>
      <c r="W2618" s="40"/>
      <c r="X2618" s="40"/>
      <c r="Y2618" s="40"/>
      <c r="Z2618" s="40"/>
      <c r="AA2618" s="40"/>
      <c r="AB2618" s="40"/>
      <c r="AC2618" s="40"/>
      <c r="AD2618" s="40"/>
      <c r="AE2618" s="40"/>
      <c r="AF2618" s="40"/>
      <c r="AG2618" s="40"/>
      <c r="AH2618" s="40"/>
      <c r="AI2618" s="40"/>
      <c r="AJ2618" s="40"/>
      <c r="AK2618" s="40"/>
      <c r="AL2618" s="40"/>
      <c r="AM2618" s="40"/>
      <c r="AN2618" s="40"/>
      <c r="AO2618" s="40"/>
      <c r="AP2618" s="40">
        <f>Database_Asfalt_Verwerkingsset[[#This Row],[Verbruik '[liter/kWh/kg per uur']]]*AP2733</f>
        <v>0.14152919949999998</v>
      </c>
      <c r="AQ2618" s="40"/>
      <c r="AR2618" s="40"/>
      <c r="AS2618" s="40">
        <f>Database_Asfalt_Verwerkingsset[[#This Row],[Verbruik '[liter/kWh/kg per uur']]]*AS2733</f>
        <v>19.40771582</v>
      </c>
      <c r="AT2618" s="40"/>
      <c r="AU2618" s="40"/>
      <c r="AV2618" s="40"/>
      <c r="AW2618" s="40">
        <f>Database_Asfalt_Verwerkingsset[[#This Row],[Verbruik '[liter/kWh/kg per uur']]]*AW2733</f>
        <v>1.8335213100000001E-3</v>
      </c>
      <c r="AX2618" s="40">
        <f>Database_Asfalt_Verwerkingsset[[#This Row],[Verbruik '[liter/kWh/kg per uur']]]*AX2733</f>
        <v>1.3397736999999998E-4</v>
      </c>
      <c r="AY2618" s="40">
        <f>Database_Asfalt_Verwerkingsset[[#This Row],[Verbruik '[liter/kWh/kg per uur']]]*AY2733</f>
        <v>3.2557931330000005E-2</v>
      </c>
      <c r="AZ2618" s="40">
        <f>Database_Asfalt_Verwerkingsset[[#This Row],[Verbruik '[liter/kWh/kg per uur']]]*AZ2733</f>
        <v>0</v>
      </c>
      <c r="BA2618" s="40"/>
      <c r="BB2618" s="40"/>
      <c r="BC2618" s="40"/>
      <c r="BD2618" s="40"/>
      <c r="BE2618" s="40"/>
      <c r="BH2618" s="40"/>
      <c r="BI2618" s="33" t="s">
        <v>135</v>
      </c>
    </row>
    <row r="2619" spans="1:63">
      <c r="A2619" s="33" t="s">
        <v>927</v>
      </c>
      <c r="B2619" s="33" t="s">
        <v>868</v>
      </c>
      <c r="C2619" s="33" t="s">
        <v>869</v>
      </c>
      <c r="D2619" s="33" t="s">
        <v>926</v>
      </c>
      <c r="E2619" s="33" t="s">
        <v>829</v>
      </c>
      <c r="F2619" s="38">
        <f>$F$2618*($I$2618/Database_Asfalt_Verwerkingsset[[#This Row],[Stookwaarde '[MJ/liter']]])</f>
        <v>0.38725947521865889</v>
      </c>
      <c r="G2619" s="38">
        <f>Database_Asfalt_Verwerkingsset[[#This Row],[Verbruik '[liter/kWh/kg per uur']]]*G$2719</f>
        <v>0.11706138714264801</v>
      </c>
      <c r="H2619" s="33">
        <v>0.77900000000000003</v>
      </c>
      <c r="I2619" s="33">
        <v>34.299999999999997</v>
      </c>
      <c r="J2619" s="40">
        <f>Database_Asfalt_Verwerkingsset[[#This Row],[Verbruik '[liter/kWh/kg per uur']]]*J$2719</f>
        <v>1.4681182817373755E-5</v>
      </c>
      <c r="K2619" s="40">
        <f>Database_Asfalt_Verwerkingsset[[#This Row],[Verbruik '[liter/kWh/kg per uur']]]*K$2719</f>
        <v>9.3667940524035185E-3</v>
      </c>
      <c r="L2619" s="40">
        <f>Database_Asfalt_Verwerkingsset[[#This Row],[Verbruik '[liter/kWh/kg per uur']]]*L$2719</f>
        <v>1.0793819173342651</v>
      </c>
      <c r="M2619" s="40">
        <f>Database_Asfalt_Verwerkingsset[[#This Row],[Verbruik '[liter/kWh/kg per uur']]]*M$2719</f>
        <v>9.7941359435968674E-8</v>
      </c>
      <c r="N2619" s="40">
        <f>Database_Asfalt_Verwerkingsset[[#This Row],[Verbruik '[liter/kWh/kg per uur']]]*N$2719</f>
        <v>2.838933566353055E-4</v>
      </c>
      <c r="O2619" s="40">
        <f>Database_Asfalt_Verwerkingsset[[#This Row],[Verbruik '[liter/kWh/kg per uur']]]*O$2719</f>
        <v>2.5709061378397838E-3</v>
      </c>
      <c r="P2619" s="40">
        <f>Database_Asfalt_Verwerkingsset[[#This Row],[Verbruik '[liter/kWh/kg per uur']]]*P$2719</f>
        <v>3.3254834443039734E-4</v>
      </c>
      <c r="Q2619" s="40">
        <f>Database_Asfalt_Verwerkingsset[[#This Row],[Verbruik '[liter/kWh/kg per uur']]]*Q$2719</f>
        <v>0.48739613816909066</v>
      </c>
      <c r="R2619" s="40">
        <f>Database_Asfalt_Verwerkingsset[[#This Row],[Verbruik '[liter/kWh/kg per uur']]]*R$2719</f>
        <v>7.7367841112079925E-3</v>
      </c>
      <c r="S2619" s="40">
        <f>Database_Asfalt_Verwerkingsset[[#This Row],[Verbruik '[liter/kWh/kg per uur']]]*S$2719</f>
        <v>26.556786384015002</v>
      </c>
      <c r="T2619" s="40">
        <f>Database_Asfalt_Verwerkingsset[[#This Row],[Verbruik '[liter/kWh/kg per uur']]]*T$2719</f>
        <v>1.6508938718163328E-2</v>
      </c>
      <c r="U2619" s="40"/>
      <c r="V2619" s="40"/>
      <c r="W2619" s="40"/>
      <c r="X2619" s="40"/>
      <c r="Y2619" s="40"/>
      <c r="Z2619" s="40"/>
      <c r="AA2619" s="40"/>
      <c r="AB2619" s="40"/>
      <c r="AC2619" s="40"/>
      <c r="AD2619" s="40"/>
      <c r="AE2619" s="40"/>
      <c r="AF2619" s="40"/>
      <c r="AG2619" s="40"/>
      <c r="AH2619" s="40"/>
      <c r="AI2619" s="40"/>
      <c r="AJ2619" s="40"/>
      <c r="AK2619" s="40"/>
      <c r="AL2619" s="40"/>
      <c r="AM2619" s="40"/>
      <c r="AN2619" s="40"/>
      <c r="AO2619" s="40"/>
      <c r="AP2619" s="40">
        <f>Database_Asfalt_Verwerkingsset[[#This Row],[Verbruik '[liter/kWh/kg per uur']]]*AP$2719</f>
        <v>0.35712108658434449</v>
      </c>
      <c r="AQ2619" s="40"/>
      <c r="AR2619" s="40"/>
      <c r="AS2619" s="40">
        <f>Database_Asfalt_Verwerkingsset[[#This Row],[Verbruik '[liter/kWh/kg per uur']]]*AS$2719</f>
        <v>19.360522313259366</v>
      </c>
      <c r="AT2619" s="40"/>
      <c r="AU2619" s="40"/>
      <c r="AV2619" s="40"/>
      <c r="AW2619" s="40">
        <f>Database_Asfalt_Verwerkingsset[[#This Row],[Verbruik '[liter/kWh/kg per uur']]]*AW$2719</f>
        <v>6.3419511490581159E-3</v>
      </c>
      <c r="AX2619" s="40">
        <f>Database_Asfalt_Verwerkingsset[[#This Row],[Verbruik '[liter/kWh/kg per uur']]]*AX$2719</f>
        <v>3.9993806728650308E-5</v>
      </c>
      <c r="AY2619" s="40">
        <f>Database_Asfalt_Verwerkingsset[[#This Row],[Verbruik '[liter/kWh/kg per uur']]]*AY$2719</f>
        <v>7.6468171427166401E-2</v>
      </c>
      <c r="AZ2619" s="40">
        <f>Database_Asfalt_Verwerkingsset[[#This Row],[Verbruik '[liter/kWh/kg per uur']]]*AZ$2719</f>
        <v>3.0983268674566798E-5</v>
      </c>
      <c r="BA2619" s="40"/>
      <c r="BB2619" s="40"/>
      <c r="BC2619" s="40"/>
      <c r="BD2619" s="40"/>
      <c r="BE2619" s="40"/>
      <c r="BH2619" s="40"/>
      <c r="BI2619" s="33" t="s">
        <v>135</v>
      </c>
    </row>
    <row r="2620" spans="1:63">
      <c r="A2620" s="33" t="s">
        <v>928</v>
      </c>
      <c r="B2620" s="33" t="s">
        <v>868</v>
      </c>
      <c r="C2620" s="33" t="s">
        <v>869</v>
      </c>
      <c r="D2620" s="33" t="s">
        <v>926</v>
      </c>
      <c r="E2620" s="33" t="s">
        <v>829</v>
      </c>
      <c r="F2620" s="38">
        <f>$F$2618*($I$2618/Database_Asfalt_Verwerkingsset[[#This Row],[Stookwaarde '[MJ/liter']]])</f>
        <v>0.38501449275362315</v>
      </c>
      <c r="G2620" s="38">
        <f>Database_Asfalt_Verwerkingsset[[#This Row],[Verbruik '[liter/kWh/kg per uur']]]*G$2720</f>
        <v>0.16316217326666665</v>
      </c>
      <c r="H2620" s="33">
        <v>0.78100000000000003</v>
      </c>
      <c r="I2620" s="33">
        <v>34.5</v>
      </c>
      <c r="J2620" s="40">
        <f>Database_Asfalt_Verwerkingsset[[#This Row],[Verbruik '[liter/kWh/kg per uur']]]*J$2720</f>
        <v>7.4253375302898541E-6</v>
      </c>
      <c r="K2620" s="40">
        <f>Database_Asfalt_Verwerkingsset[[#This Row],[Verbruik '[liter/kWh/kg per uur']]]*K$2720</f>
        <v>1.13827286297971E-2</v>
      </c>
      <c r="L2620" s="40">
        <f>Database_Asfalt_Verwerkingsset[[#This Row],[Verbruik '[liter/kWh/kg per uur']]]*L$2720</f>
        <v>1.8058859913391303</v>
      </c>
      <c r="M2620" s="40">
        <f>Database_Asfalt_Verwerkingsset[[#This Row],[Verbruik '[liter/kWh/kg per uur']]]*M$2720</f>
        <v>3.4791401881391299E-8</v>
      </c>
      <c r="N2620" s="40">
        <f>Database_Asfalt_Verwerkingsset[[#This Row],[Verbruik '[liter/kWh/kg per uur']]]*N$2720</f>
        <v>8.6920702477681156E-4</v>
      </c>
      <c r="O2620" s="40">
        <f>Database_Asfalt_Verwerkingsset[[#This Row],[Verbruik '[liter/kWh/kg per uur']]]*O$2720</f>
        <v>6.8085096615942021E-3</v>
      </c>
      <c r="P2620" s="40">
        <f>Database_Asfalt_Verwerkingsset[[#This Row],[Verbruik '[liter/kWh/kg per uur']]]*P$2720</f>
        <v>1.045026356985507E-3</v>
      </c>
      <c r="Q2620" s="40">
        <f>Database_Asfalt_Verwerkingsset[[#This Row],[Verbruik '[liter/kWh/kg per uur']]]*Q$2720</f>
        <v>0.34569147260260868</v>
      </c>
      <c r="R2620" s="40">
        <f>Database_Asfalt_Verwerkingsset[[#This Row],[Verbruik '[liter/kWh/kg per uur']]]*R$2720</f>
        <v>2.9710784901304348E-3</v>
      </c>
      <c r="S2620" s="40">
        <f>Database_Asfalt_Verwerkingsset[[#This Row],[Verbruik '[liter/kWh/kg per uur']]]*S$2720</f>
        <v>12.405484978492753</v>
      </c>
      <c r="T2620" s="40">
        <f>Database_Asfalt_Verwerkingsset[[#This Row],[Verbruik '[liter/kWh/kg per uur']]]*T$2720</f>
        <v>3.7466834865304346E-3</v>
      </c>
      <c r="U2620" s="40"/>
      <c r="V2620" s="40"/>
      <c r="W2620" s="40"/>
      <c r="X2620" s="40"/>
      <c r="Y2620" s="40"/>
      <c r="Z2620" s="40"/>
      <c r="AA2620" s="40"/>
      <c r="AB2620" s="40"/>
      <c r="AC2620" s="40"/>
      <c r="AD2620" s="40"/>
      <c r="AE2620" s="40"/>
      <c r="AF2620" s="40"/>
      <c r="AG2620" s="40"/>
      <c r="AH2620" s="40"/>
      <c r="AI2620" s="40"/>
      <c r="AJ2620" s="40"/>
      <c r="AK2620" s="40"/>
      <c r="AL2620" s="40"/>
      <c r="AM2620" s="40"/>
      <c r="AN2620" s="40"/>
      <c r="AO2620" s="40"/>
      <c r="AP2620" s="40">
        <f>Database_Asfalt_Verwerkingsset[[#This Row],[Verbruik '[liter/kWh/kg per uur']]]*AP$2720</f>
        <v>0.23791164744376808</v>
      </c>
      <c r="AQ2620" s="40"/>
      <c r="AR2620" s="40"/>
      <c r="AS2620" s="40">
        <f>Database_Asfalt_Verwerkingsset[[#This Row],[Verbruik '[liter/kWh/kg per uur']]]*AS$2720</f>
        <v>23.504038261333331</v>
      </c>
      <c r="AT2620" s="40"/>
      <c r="AU2620" s="40"/>
      <c r="AV2620" s="40"/>
      <c r="AW2620" s="40">
        <f>Database_Asfalt_Verwerkingsset[[#This Row],[Verbruik '[liter/kWh/kg per uur']]]*AW$2720</f>
        <v>1.5945465310782609E-3</v>
      </c>
      <c r="AX2620" s="40">
        <f>Database_Asfalt_Verwerkingsset[[#This Row],[Verbruik '[liter/kWh/kg per uur']]]*AX$2720</f>
        <v>2.6180325977420289E-5</v>
      </c>
      <c r="AY2620" s="40">
        <f>Database_Asfalt_Verwerkingsset[[#This Row],[Verbruik '[liter/kWh/kg per uur']]]*AY$2720</f>
        <v>5.329957755797101E-2</v>
      </c>
      <c r="AZ2620" s="40">
        <f>Database_Asfalt_Verwerkingsset[[#This Row],[Verbruik '[liter/kWh/kg per uur']]]*AZ$2720</f>
        <v>1.3524315533623187E-5</v>
      </c>
      <c r="BA2620" s="40"/>
      <c r="BB2620" s="40"/>
      <c r="BC2620" s="40"/>
      <c r="BD2620" s="40"/>
      <c r="BE2620" s="40"/>
      <c r="BH2620" s="40"/>
      <c r="BI2620" s="33" t="s">
        <v>135</v>
      </c>
    </row>
    <row r="2621" spans="1:63">
      <c r="A2621" s="33" t="s">
        <v>929</v>
      </c>
      <c r="B2621" s="33" t="s">
        <v>868</v>
      </c>
      <c r="C2621" s="33" t="s">
        <v>869</v>
      </c>
      <c r="D2621" s="33" t="s">
        <v>926</v>
      </c>
      <c r="E2621" s="33" t="s">
        <v>829</v>
      </c>
      <c r="F2621" s="33">
        <v>0.37</v>
      </c>
      <c r="G2621" s="33">
        <v>0.14496907172049961</v>
      </c>
      <c r="H2621" s="33">
        <v>0.84</v>
      </c>
      <c r="I2621" s="36">
        <v>35.9</v>
      </c>
      <c r="J2621" s="40">
        <v>4.10992533750904E-7</v>
      </c>
      <c r="K2621" s="40">
        <v>8.4294261397523176E-3</v>
      </c>
      <c r="L2621" s="40">
        <v>1.6285929450651</v>
      </c>
      <c r="M2621" s="40">
        <v>2.209736030835149E-7</v>
      </c>
      <c r="N2621" s="40">
        <v>4.9187271652612551E-4</v>
      </c>
      <c r="O2621" s="40">
        <v>3.5952736141663102E-3</v>
      </c>
      <c r="P2621" s="40">
        <v>7.0030259466747485E-4</v>
      </c>
      <c r="Q2621" s="40">
        <v>0.42480915910794304</v>
      </c>
      <c r="R2621" s="40">
        <v>6.1055404584190991E-3</v>
      </c>
      <c r="S2621" s="40">
        <v>20.569278736524495</v>
      </c>
      <c r="T2621" s="40">
        <v>7.25661152361173E-4</v>
      </c>
      <c r="U2621" s="40"/>
      <c r="V2621" s="40"/>
      <c r="W2621" s="40"/>
      <c r="X2621" s="40"/>
      <c r="Y2621" s="40"/>
      <c r="Z2621" s="40"/>
      <c r="AA2621" s="40"/>
      <c r="AB2621" s="40"/>
      <c r="AC2621" s="40"/>
      <c r="AD2621" s="40"/>
      <c r="AE2621" s="40"/>
      <c r="AF2621" s="40"/>
      <c r="AG2621" s="40"/>
      <c r="AH2621" s="40"/>
      <c r="AI2621" s="40"/>
      <c r="AJ2621" s="40"/>
      <c r="AK2621" s="40"/>
      <c r="AL2621" s="40"/>
      <c r="AM2621" s="40"/>
      <c r="AN2621" s="40"/>
      <c r="AO2621" s="40"/>
      <c r="AP2621" s="40">
        <f>Database_Asfalt_Verwerkingsset[[#This Row],[Verbruik '[liter/kWh/kg per uur']]]*AP2737</f>
        <v>0.14583008319999999</v>
      </c>
      <c r="AQ2621" s="40"/>
      <c r="AR2621" s="40"/>
      <c r="AS2621" s="40">
        <f>Database_Asfalt_Verwerkingsset[[#This Row],[Verbruik '[liter/kWh/kg per uur']]]*AS2737</f>
        <v>19.63148923</v>
      </c>
      <c r="AT2621" s="40"/>
      <c r="AU2621" s="40"/>
      <c r="AV2621" s="40"/>
      <c r="AW2621" s="40">
        <f>Database_Asfalt_Verwerkingsset[[#This Row],[Verbruik '[liter/kWh/kg per uur']]]*AW2737</f>
        <v>1.85752506E-3</v>
      </c>
      <c r="AX2621" s="40">
        <f>Database_Asfalt_Verwerkingsset[[#This Row],[Verbruik '[liter/kWh/kg per uur']]]*AX2737</f>
        <v>1.3483095999999999E-4</v>
      </c>
      <c r="AY2621" s="40">
        <f>Database_Asfalt_Verwerkingsset[[#This Row],[Verbruik '[liter/kWh/kg per uur']]]*AY2737</f>
        <v>3.308473881E-2</v>
      </c>
      <c r="AZ2621" s="40">
        <f>Database_Asfalt_Verwerkingsset[[#This Row],[Verbruik '[liter/kWh/kg per uur']]]*AZ2737</f>
        <v>0</v>
      </c>
      <c r="BA2621" s="40"/>
      <c r="BB2621" s="40"/>
      <c r="BC2621" s="40"/>
      <c r="BD2621" s="40"/>
      <c r="BE2621" s="40"/>
      <c r="BH2621" s="40"/>
      <c r="BI2621" s="33" t="s">
        <v>135</v>
      </c>
    </row>
    <row r="2622" spans="1:63">
      <c r="A2622" s="33" t="s">
        <v>930</v>
      </c>
      <c r="B2622" s="33" t="s">
        <v>868</v>
      </c>
      <c r="C2622" s="33" t="s">
        <v>869</v>
      </c>
      <c r="D2622" s="33" t="s">
        <v>926</v>
      </c>
      <c r="E2622" s="33" t="s">
        <v>829</v>
      </c>
      <c r="F2622" s="38">
        <f>$F$2618*($I$2618/Database_Asfalt_Verwerkingsset[[#This Row],[Stookwaarde '[MJ/liter']]])</f>
        <v>0.38725947521865889</v>
      </c>
      <c r="G2622" s="38">
        <f>Database_Asfalt_Verwerkingsset[[#This Row],[Verbruik '[liter/kWh/kg per uur']]]*G$2722</f>
        <v>0.10553920805505858</v>
      </c>
      <c r="H2622" s="33">
        <v>0.77900000000000003</v>
      </c>
      <c r="I2622" s="33">
        <v>34.299999999999997</v>
      </c>
      <c r="J2622" s="40">
        <f>Database_Asfalt_Verwerkingsset[[#This Row],[Verbruik '[liter/kWh/kg per uur']]]*J$2722</f>
        <v>1.3236135720560456E-5</v>
      </c>
      <c r="K2622" s="40">
        <f>Database_Asfalt_Verwerkingsset[[#This Row],[Verbruik '[liter/kWh/kg per uur']]]*K$2722</f>
        <v>8.4448343765212812E-3</v>
      </c>
      <c r="L2622" s="40">
        <f>Database_Asfalt_Verwerkingsset[[#This Row],[Verbruik '[liter/kWh/kg per uur']]]*L$2722</f>
        <v>0.97313995267792774</v>
      </c>
      <c r="M2622" s="40">
        <f>Database_Asfalt_Verwerkingsset[[#This Row],[Verbruik '[liter/kWh/kg per uur']]]*M$2722</f>
        <v>8.8301136378231956E-8</v>
      </c>
      <c r="N2622" s="40">
        <f>Database_Asfalt_Verwerkingsset[[#This Row],[Verbruik '[liter/kWh/kg per uur']]]*N$2722</f>
        <v>2.5595015369903035E-4</v>
      </c>
      <c r="O2622" s="40">
        <f>Database_Asfalt_Verwerkingsset[[#This Row],[Verbruik '[liter/kWh/kg per uur']]]*O$2722</f>
        <v>2.317855651589559E-3</v>
      </c>
      <c r="P2622" s="40">
        <f>Database_Asfalt_Verwerkingsset[[#This Row],[Verbruik '[liter/kWh/kg per uur']]]*P$2722</f>
        <v>2.9981610305400549E-4</v>
      </c>
      <c r="Q2622" s="40">
        <f>Database_Asfalt_Verwerkingsset[[#This Row],[Verbruik '[liter/kWh/kg per uur']]]*Q$2722</f>
        <v>0.43942245762709947</v>
      </c>
      <c r="R2622" s="40">
        <f>Database_Asfalt_Verwerkingsset[[#This Row],[Verbruik '[liter/kWh/kg per uur']]]*R$2722</f>
        <v>6.9752639014506483E-3</v>
      </c>
      <c r="S2622" s="40">
        <f>Database_Asfalt_Verwerkingsset[[#This Row],[Verbruik '[liter/kWh/kg per uur']]]*S$2722</f>
        <v>23.942841203828443</v>
      </c>
      <c r="T2622" s="40">
        <f>Database_Asfalt_Verwerkingsset[[#This Row],[Verbruik '[liter/kWh/kg per uur']]]*T$2722</f>
        <v>1.4883988313082951E-2</v>
      </c>
      <c r="U2622" s="40"/>
      <c r="V2622" s="40"/>
      <c r="W2622" s="40"/>
      <c r="X2622" s="40"/>
      <c r="Y2622" s="40"/>
      <c r="Z2622" s="40"/>
      <c r="AA2622" s="40"/>
      <c r="AB2622" s="40"/>
      <c r="AC2622" s="40"/>
      <c r="AD2622" s="40"/>
      <c r="AE2622" s="40"/>
      <c r="AF2622" s="40"/>
      <c r="AG2622" s="40"/>
      <c r="AH2622" s="40"/>
      <c r="AI2622" s="40"/>
      <c r="AJ2622" s="40"/>
      <c r="AK2622" s="40"/>
      <c r="AL2622" s="40"/>
      <c r="AM2622" s="40"/>
      <c r="AN2622" s="40"/>
      <c r="AO2622" s="40"/>
      <c r="AP2622" s="40">
        <f>Database_Asfalt_Verwerkingsset[[#This Row],[Verbruik '[liter/kWh/kg per uur']]]*AP$2722</f>
        <v>0.32197018656497989</v>
      </c>
      <c r="AQ2622" s="40"/>
      <c r="AR2622" s="40"/>
      <c r="AS2622" s="40">
        <f>Database_Asfalt_Verwerkingsset[[#This Row],[Verbruik '[liter/kWh/kg per uur']]]*AS$2722</f>
        <v>17.45489475520889</v>
      </c>
      <c r="AT2622" s="40"/>
      <c r="AU2622" s="40"/>
      <c r="AV2622" s="40"/>
      <c r="AW2622" s="40">
        <f>Database_Asfalt_Verwerkingsset[[#This Row],[Verbruik '[liter/kWh/kg per uur']]]*AW$2722</f>
        <v>5.7177222834361311E-3</v>
      </c>
      <c r="AX2622" s="40">
        <f>Database_Asfalt_Verwerkingsset[[#This Row],[Verbruik '[liter/kWh/kg per uur']]]*AX$2722</f>
        <v>3.6057275522502807E-5</v>
      </c>
      <c r="AY2622" s="40">
        <f>Database_Asfalt_Verwerkingsset[[#This Row],[Verbruik '[liter/kWh/kg per uur']]]*AY$2722</f>
        <v>6.8941522485183163E-2</v>
      </c>
      <c r="AZ2622" s="40">
        <f>Database_Asfalt_Verwerkingsset[[#This Row],[Verbruik '[liter/kWh/kg per uur']]]*AZ$2722</f>
        <v>2.7933631393639705E-5</v>
      </c>
      <c r="BA2622" s="40"/>
      <c r="BB2622" s="40"/>
      <c r="BC2622" s="40"/>
      <c r="BD2622" s="40"/>
      <c r="BE2622" s="40"/>
      <c r="BH2622" s="40"/>
      <c r="BI2622" s="33" t="s">
        <v>135</v>
      </c>
    </row>
    <row r="2623" spans="1:63">
      <c r="A2623" s="33" t="s">
        <v>931</v>
      </c>
      <c r="B2623" s="33" t="s">
        <v>868</v>
      </c>
      <c r="C2623" s="33" t="s">
        <v>869</v>
      </c>
      <c r="D2623" s="33" t="s">
        <v>926</v>
      </c>
      <c r="E2623" s="33" t="s">
        <v>829</v>
      </c>
      <c r="F2623" s="38">
        <f>$F$2618*($I$2618/Database_Asfalt_Verwerkingsset[[#This Row],[Stookwaarde '[MJ/liter']]])</f>
        <v>0.38501449275362315</v>
      </c>
      <c r="G2623" s="38">
        <f>Database_Asfalt_Verwerkingsset[[#This Row],[Verbruik '[liter/kWh/kg per uur']]]*G$2723</f>
        <v>0.1497594799611594</v>
      </c>
      <c r="H2623" s="33">
        <v>0.78100000000000003</v>
      </c>
      <c r="I2623" s="33">
        <v>34.5</v>
      </c>
      <c r="J2623" s="40">
        <f>Database_Asfalt_Verwerkingsset[[#This Row],[Verbruik '[liter/kWh/kg per uur']]]*J$2723</f>
        <v>7.5722713811884044E-6</v>
      </c>
      <c r="K2623" s="40">
        <f>Database_Asfalt_Verwerkingsset[[#This Row],[Verbruik '[liter/kWh/kg per uur']]]*K$2723</f>
        <v>1.1454457214811593E-2</v>
      </c>
      <c r="L2623" s="40">
        <f>Database_Asfalt_Verwerkingsset[[#This Row],[Verbruik '[liter/kWh/kg per uur']]]*L$2723</f>
        <v>1.8138800472521737</v>
      </c>
      <c r="M2623" s="40">
        <f>Database_Asfalt_Verwerkingsset[[#This Row],[Verbruik '[liter/kWh/kg per uur']]]*M$2723</f>
        <v>3.6081453771652169E-8</v>
      </c>
      <c r="N2623" s="40">
        <f>Database_Asfalt_Verwerkingsset[[#This Row],[Verbruik '[liter/kWh/kg per uur']]]*N$2723</f>
        <v>8.7291810246956515E-4</v>
      </c>
      <c r="O2623" s="40">
        <f>Database_Asfalt_Verwerkingsset[[#This Row],[Verbruik '[liter/kWh/kg per uur']]]*O$2723</f>
        <v>4.5998378325507235E-3</v>
      </c>
      <c r="P2623" s="40">
        <f>Database_Asfalt_Verwerkingsset[[#This Row],[Verbruik '[liter/kWh/kg per uur']]]*P$2723</f>
        <v>4.6598662121449271E-4</v>
      </c>
      <c r="Q2623" s="40">
        <f>Database_Asfalt_Verwerkingsset[[#This Row],[Verbruik '[liter/kWh/kg per uur']]]*Q$2723</f>
        <v>0.34786578804840579</v>
      </c>
      <c r="R2623" s="40">
        <f>Database_Asfalt_Verwerkingsset[[#This Row],[Verbruik '[liter/kWh/kg per uur']]]*R$2723</f>
        <v>3.0347295095884057E-3</v>
      </c>
      <c r="S2623" s="40">
        <f>Database_Asfalt_Verwerkingsset[[#This Row],[Verbruik '[liter/kWh/kg per uur']]]*S$2723</f>
        <v>12.669377376956522</v>
      </c>
      <c r="T2623" s="40">
        <f>Database_Asfalt_Verwerkingsset[[#This Row],[Verbruik '[liter/kWh/kg per uur']]]*T$2723</f>
        <v>3.7583526982840573E-3</v>
      </c>
      <c r="U2623" s="40"/>
      <c r="V2623" s="40"/>
      <c r="W2623" s="40"/>
      <c r="X2623" s="40"/>
      <c r="Y2623" s="40"/>
      <c r="Z2623" s="40"/>
      <c r="AA2623" s="40"/>
      <c r="AB2623" s="40"/>
      <c r="AC2623" s="40"/>
      <c r="AD2623" s="40"/>
      <c r="AE2623" s="40"/>
      <c r="AF2623" s="40"/>
      <c r="AG2623" s="40"/>
      <c r="AH2623" s="40"/>
      <c r="AI2623" s="40"/>
      <c r="AJ2623" s="40"/>
      <c r="AK2623" s="40"/>
      <c r="AL2623" s="40"/>
      <c r="AM2623" s="40"/>
      <c r="AN2623" s="40"/>
      <c r="AO2623" s="40"/>
      <c r="AP2623" s="40">
        <f>Database_Asfalt_Verwerkingsset[[#This Row],[Verbruik '[liter/kWh/kg per uur']]]*AP$2723</f>
        <v>0.24132154369942027</v>
      </c>
      <c r="AQ2623" s="40"/>
      <c r="AR2623" s="40"/>
      <c r="AS2623" s="40">
        <f>Database_Asfalt_Verwerkingsset[[#This Row],[Verbruik '[liter/kWh/kg per uur']]]*AS$2723</f>
        <v>23.65867163205797</v>
      </c>
      <c r="AT2623" s="40"/>
      <c r="AU2623" s="40"/>
      <c r="AV2623" s="40"/>
      <c r="AW2623" s="40">
        <f>Database_Asfalt_Verwerkingsset[[#This Row],[Verbruik '[liter/kWh/kg per uur']]]*AW$2723</f>
        <v>2.0623791812811594E-3</v>
      </c>
      <c r="AX2623" s="40">
        <f>Database_Asfalt_Verwerkingsset[[#This Row],[Verbruik '[liter/kWh/kg per uur']]]*AX$2723</f>
        <v>2.6349425882695651E-5</v>
      </c>
      <c r="AY2623" s="40">
        <f>Database_Asfalt_Verwerkingsset[[#This Row],[Verbruik '[liter/kWh/kg per uur']]]*AY$2723</f>
        <v>5.3675725166956519E-2</v>
      </c>
      <c r="AZ2623" s="40">
        <f>Database_Asfalt_Verwerkingsset[[#This Row],[Verbruik '[liter/kWh/kg per uur']]]*AZ$2723</f>
        <v>1.3973890411565216E-5</v>
      </c>
      <c r="BA2623" s="40"/>
      <c r="BB2623" s="40"/>
      <c r="BC2623" s="40"/>
      <c r="BD2623" s="40"/>
      <c r="BE2623" s="40"/>
      <c r="BH2623" s="40"/>
      <c r="BI2623" s="33" t="s">
        <v>135</v>
      </c>
    </row>
    <row r="2624" spans="1:63">
      <c r="A2624" s="33" t="s">
        <v>932</v>
      </c>
      <c r="B2624" s="33" t="s">
        <v>868</v>
      </c>
      <c r="C2624" s="33" t="s">
        <v>869</v>
      </c>
      <c r="D2624" s="33" t="s">
        <v>926</v>
      </c>
      <c r="E2624" s="33" t="s">
        <v>829</v>
      </c>
      <c r="F2624" s="33">
        <f>F2621*3.1</f>
        <v>1.147</v>
      </c>
      <c r="G2624" s="38">
        <f>Database_Asfalt_Verwerkingsset[[#This Row],[Verbruik '[liter/kWh/kg per uur']]]*G$2727</f>
        <v>7.7731728905999997E-2</v>
      </c>
      <c r="I2624" s="36">
        <v>3.6</v>
      </c>
      <c r="J2624" s="40">
        <f>Database_Asfalt_Verwerkingsset[[#This Row],[Verbruik '[liter/kWh/kg per uur']]]*J$2727</f>
        <v>9.7486776010000007E-6</v>
      </c>
      <c r="K2624" s="40">
        <f>Database_Asfalt_Verwerkingsset[[#This Row],[Verbruik '[liter/kWh/kg per uur']]]*K$2727</f>
        <v>6.2197887260000001E-3</v>
      </c>
      <c r="L2624" s="40">
        <f>Database_Asfalt_Verwerkingsset[[#This Row],[Verbruik '[liter/kWh/kg per uur']]]*L$2727</f>
        <v>0.71673695854999997</v>
      </c>
      <c r="M2624" s="40">
        <f>Database_Asfalt_Verwerkingsset[[#This Row],[Verbruik '[liter/kWh/kg per uur']]]*M$2727</f>
        <v>6.5035545761000001E-8</v>
      </c>
      <c r="N2624" s="40">
        <f>Database_Asfalt_Verwerkingsset[[#This Row],[Verbruik '[liter/kWh/kg per uur']]]*N$2727</f>
        <v>1.8851238632E-4</v>
      </c>
      <c r="O2624" s="40">
        <f>Database_Asfalt_Verwerkingsset[[#This Row],[Verbruik '[liter/kWh/kg per uur']]]*O$2727</f>
        <v>1.7071468554000001E-3</v>
      </c>
      <c r="P2624" s="40">
        <f>Database_Asfalt_Verwerkingsset[[#This Row],[Verbruik '[liter/kWh/kg per uur']]]*P$2727</f>
        <v>2.2082053176000001E-4</v>
      </c>
      <c r="Q2624" s="40">
        <f>Database_Asfalt_Verwerkingsset[[#This Row],[Verbruik '[liter/kWh/kg per uur']]]*Q$2727</f>
        <v>0.32364339263999997</v>
      </c>
      <c r="R2624" s="40">
        <f>Database_Asfalt_Verwerkingsset[[#This Row],[Verbruik '[liter/kWh/kg per uur']]]*R$2727</f>
        <v>5.1374207996000001E-3</v>
      </c>
      <c r="S2624" s="40">
        <f>Database_Asfalt_Verwerkingsset[[#This Row],[Verbruik '[liter/kWh/kg per uur']]]*S$2727</f>
        <v>17.634379450000001</v>
      </c>
      <c r="T2624" s="40">
        <f>Database_Asfalt_Verwerkingsset[[#This Row],[Verbruik '[liter/kWh/kg per uur']]]*T$2727</f>
        <v>1.0962353858E-2</v>
      </c>
      <c r="U2624" s="40"/>
      <c r="V2624" s="40"/>
      <c r="W2624" s="40"/>
      <c r="X2624" s="40"/>
      <c r="Y2624" s="40"/>
      <c r="Z2624" s="40"/>
      <c r="AA2624" s="40"/>
      <c r="AB2624" s="40"/>
      <c r="AC2624" s="40"/>
      <c r="AD2624" s="40"/>
      <c r="AE2624" s="40"/>
      <c r="AF2624" s="40"/>
      <c r="AG2624" s="40"/>
      <c r="AH2624" s="40"/>
      <c r="AI2624" s="40"/>
      <c r="AJ2624" s="40"/>
      <c r="AK2624" s="40"/>
      <c r="AL2624" s="40"/>
      <c r="AM2624" s="40"/>
      <c r="AN2624" s="40"/>
      <c r="AO2624" s="40"/>
      <c r="AP2624" s="40">
        <f>Database_Asfalt_Verwerkingsset[[#This Row],[Verbruik '[liter/kWh/kg per uur']]]*AP$2727</f>
        <v>0.23713745554000001</v>
      </c>
      <c r="AQ2624" s="40"/>
      <c r="AR2624" s="40"/>
      <c r="AS2624" s="40">
        <f>Database_Asfalt_Verwerkingsset[[#This Row],[Verbruik '[liter/kWh/kg per uur']]]*AS$2727</f>
        <v>12.855877661000001</v>
      </c>
      <c r="AT2624" s="40"/>
      <c r="AU2624" s="40"/>
      <c r="AV2624" s="40"/>
      <c r="AW2624" s="40">
        <f>Database_Asfalt_Verwerkingsset[[#This Row],[Verbruik '[liter/kWh/kg per uur']]]*AW$2727</f>
        <v>4.2112163497000001E-3</v>
      </c>
      <c r="AX2624" s="40">
        <f>Database_Asfalt_Verwerkingsset[[#This Row],[Verbruik '[liter/kWh/kg per uur']]]*AX$2727</f>
        <v>2.6556901626E-5</v>
      </c>
      <c r="AY2624" s="40">
        <f>Database_Asfalt_Verwerkingsset[[#This Row],[Verbruik '[liter/kWh/kg per uur']]]*AY$2727</f>
        <v>5.0776804516000001E-2</v>
      </c>
      <c r="AZ2624" s="40">
        <f>Database_Asfalt_Verwerkingsset[[#This Row],[Verbruik '[liter/kWh/kg per uur']]]*AZ$2727</f>
        <v>2.0573675915E-5</v>
      </c>
      <c r="BA2624" s="40"/>
      <c r="BB2624" s="40"/>
      <c r="BC2624" s="40"/>
      <c r="BD2624" s="40"/>
      <c r="BE2624" s="40"/>
      <c r="BF2624" s="33" t="s">
        <v>892</v>
      </c>
      <c r="BG2624" s="33" t="s">
        <v>893</v>
      </c>
      <c r="BH2624" s="40"/>
      <c r="BI2624" s="33" t="s">
        <v>854</v>
      </c>
    </row>
    <row r="2625" spans="1:63">
      <c r="A2625" s="33" t="s">
        <v>933</v>
      </c>
      <c r="B2625" s="33" t="s">
        <v>868</v>
      </c>
      <c r="C2625" s="33" t="s">
        <v>869</v>
      </c>
      <c r="D2625" s="33" t="s">
        <v>926</v>
      </c>
      <c r="E2625" s="33" t="s">
        <v>829</v>
      </c>
      <c r="F2625" s="33">
        <f>F2621*3.1</f>
        <v>1.147</v>
      </c>
      <c r="G2625" s="38">
        <f>Database_Asfalt_Verwerkingsset[[#This Row],[Verbruik '[liter/kWh/kg per uur']]]*G$2728</f>
        <v>5.5540212932000003E-2</v>
      </c>
      <c r="I2625" s="36">
        <v>3.6</v>
      </c>
      <c r="J2625" s="40">
        <f>Database_Asfalt_Verwerkingsset[[#This Row],[Verbruik '[liter/kWh/kg per uur']]]*J$2728</f>
        <v>1.6206287601000002E-5</v>
      </c>
      <c r="K2625" s="40">
        <f>Database_Asfalt_Verwerkingsset[[#This Row],[Verbruik '[liter/kWh/kg per uur']]]*K$2728</f>
        <v>1.3844806149999999E-3</v>
      </c>
      <c r="L2625" s="40">
        <f>Database_Asfalt_Verwerkingsset[[#This Row],[Verbruik '[liter/kWh/kg per uur']]]*L$2728</f>
        <v>0.19560217684</v>
      </c>
      <c r="M2625" s="40">
        <f>Database_Asfalt_Verwerkingsset[[#This Row],[Verbruik '[liter/kWh/kg per uur']]]*M$2728</f>
        <v>2.1770705760999998E-8</v>
      </c>
      <c r="N2625" s="40">
        <f>Database_Asfalt_Verwerkingsset[[#This Row],[Verbruik '[liter/kWh/kg per uur']]]*N$2728</f>
        <v>2.0032648632000002E-4</v>
      </c>
      <c r="O2625" s="40">
        <f>Database_Asfalt_Verwerkingsset[[#This Row],[Verbruik '[liter/kWh/kg per uur']]]*O$2728</f>
        <v>1.6987404924000001E-3</v>
      </c>
      <c r="P2625" s="40">
        <f>Database_Asfalt_Verwerkingsset[[#This Row],[Verbruik '[liter/kWh/kg per uur']]]*P$2728</f>
        <v>2.6815033976000001E-4</v>
      </c>
      <c r="Q2625" s="40">
        <f>Database_Asfalt_Verwerkingsset[[#This Row],[Verbruik '[liter/kWh/kg per uur']]]*Q$2728</f>
        <v>0.37038903354000002</v>
      </c>
      <c r="R2625" s="40">
        <f>Database_Asfalt_Verwerkingsset[[#This Row],[Verbruik '[liter/kWh/kg per uur']]]*R$2728</f>
        <v>5.7080349476000009E-3</v>
      </c>
      <c r="S2625" s="40">
        <f>Database_Asfalt_Verwerkingsset[[#This Row],[Verbruik '[liter/kWh/kg per uur']]]*S$2728</f>
        <v>17.414905588</v>
      </c>
      <c r="T2625" s="40">
        <f>Database_Asfalt_Verwerkingsset[[#This Row],[Verbruik '[liter/kWh/kg per uur']]]*T$2728</f>
        <v>1.1310479828E-2</v>
      </c>
      <c r="U2625" s="40"/>
      <c r="V2625" s="40"/>
      <c r="W2625" s="40"/>
      <c r="X2625" s="40"/>
      <c r="Y2625" s="40"/>
      <c r="Z2625" s="40"/>
      <c r="AA2625" s="40"/>
      <c r="AB2625" s="40"/>
      <c r="AC2625" s="40"/>
      <c r="AD2625" s="40"/>
      <c r="AE2625" s="40"/>
      <c r="AF2625" s="40"/>
      <c r="AG2625" s="40"/>
      <c r="AH2625" s="40"/>
      <c r="AI2625" s="40"/>
      <c r="AJ2625" s="40"/>
      <c r="AK2625" s="40"/>
      <c r="AL2625" s="40"/>
      <c r="AM2625" s="40"/>
      <c r="AN2625" s="40"/>
      <c r="AO2625" s="40"/>
      <c r="AP2625" s="40">
        <f>Database_Asfalt_Verwerkingsset[[#This Row],[Verbruik '[liter/kWh/kg per uur']]]*AP$2728</f>
        <v>8.7894359953999999</v>
      </c>
      <c r="AQ2625" s="40"/>
      <c r="AR2625" s="40"/>
      <c r="AS2625" s="40">
        <f>Database_Asfalt_Verwerkingsset[[#This Row],[Verbruik '[liter/kWh/kg per uur']]]*AS$2728</f>
        <v>2.8945299726</v>
      </c>
      <c r="AT2625" s="40"/>
      <c r="AU2625" s="40"/>
      <c r="AV2625" s="40"/>
      <c r="AW2625" s="40">
        <f>Database_Asfalt_Verwerkingsset[[#This Row],[Verbruik '[liter/kWh/kg per uur']]]*AW$2728</f>
        <v>2.6208721746999999E-3</v>
      </c>
      <c r="AX2625" s="40">
        <f>Database_Asfalt_Verwerkingsset[[#This Row],[Verbruik '[liter/kWh/kg per uur']]]*AX$2728</f>
        <v>3.9976801626E-5</v>
      </c>
      <c r="AY2625" s="40">
        <f>Database_Asfalt_Verwerkingsset[[#This Row],[Verbruik '[liter/kWh/kg per uur']]]*AY$2728</f>
        <v>6.6975753611E-2</v>
      </c>
      <c r="AZ2625" s="40">
        <f>Database_Asfalt_Verwerkingsset[[#This Row],[Verbruik '[liter/kWh/kg per uur']]]*AZ$2728</f>
        <v>9.6427659150000004E-6</v>
      </c>
      <c r="BA2625" s="40"/>
      <c r="BB2625" s="40"/>
      <c r="BC2625" s="40"/>
      <c r="BD2625" s="40"/>
      <c r="BE2625" s="40"/>
      <c r="BF2625" s="33" t="s">
        <v>892</v>
      </c>
      <c r="BG2625" s="33" t="s">
        <v>893</v>
      </c>
      <c r="BH2625" s="40"/>
      <c r="BI2625" s="33" t="s">
        <v>854</v>
      </c>
    </row>
    <row r="2626" spans="1:63">
      <c r="G2626" s="36"/>
    </row>
    <row r="2627" spans="1:63" ht="15.75">
      <c r="J2627" s="167"/>
      <c r="K2627" s="166"/>
      <c r="L2627" s="167"/>
      <c r="M2627" s="166"/>
      <c r="N2627" s="167"/>
      <c r="O2627" s="167"/>
      <c r="P2627" s="166"/>
      <c r="Q2627" s="166"/>
      <c r="R2627" s="167"/>
      <c r="S2627" s="166"/>
      <c r="T2627" s="167"/>
      <c r="U2627" s="167"/>
      <c r="V2627" s="167"/>
      <c r="W2627" s="166"/>
      <c r="X2627" s="167"/>
      <c r="Y2627" s="167"/>
      <c r="Z2627" s="166"/>
      <c r="AA2627" s="167"/>
      <c r="AB2627" s="167"/>
      <c r="AC2627" s="166"/>
      <c r="AD2627" s="166"/>
      <c r="AE2627" s="167"/>
      <c r="AF2627" s="167"/>
      <c r="AG2627" s="167"/>
      <c r="AH2627" s="167"/>
      <c r="AI2627" s="167"/>
      <c r="AJ2627" s="167"/>
      <c r="AK2627" s="167"/>
      <c r="AL2627" s="167"/>
      <c r="AM2627" s="167"/>
      <c r="AN2627" s="167"/>
      <c r="AO2627" s="167"/>
      <c r="AP2627" s="166"/>
      <c r="AQ2627" s="167"/>
      <c r="AR2627" s="166"/>
      <c r="AS2627" s="167"/>
      <c r="AT2627" s="167"/>
      <c r="AU2627" s="167"/>
      <c r="AV2627" s="167"/>
      <c r="AW2627" s="167"/>
      <c r="AX2627" s="167"/>
      <c r="AY2627" s="167"/>
      <c r="AZ2627" s="167"/>
      <c r="BA2627" s="167"/>
      <c r="BB2627" s="167"/>
      <c r="BC2627" s="167"/>
      <c r="BD2627" s="167"/>
      <c r="BE2627" s="167"/>
      <c r="BF2627" s="180"/>
      <c r="BG2627" s="180"/>
      <c r="BH2627" s="180" t="s">
        <v>481</v>
      </c>
    </row>
    <row r="2628" spans="1:63" ht="15.75">
      <c r="A2628" s="33" t="s">
        <v>934</v>
      </c>
      <c r="E2628" s="88"/>
      <c r="J2628" s="174"/>
      <c r="K2628" s="175"/>
      <c r="L2628" s="175"/>
      <c r="M2628" s="175"/>
      <c r="N2628" s="176"/>
      <c r="O2628" s="175"/>
      <c r="P2628" s="175"/>
      <c r="Q2628" s="175"/>
      <c r="R2628" s="175"/>
      <c r="S2628" s="175"/>
      <c r="T2628" s="175"/>
      <c r="U2628" s="175"/>
      <c r="V2628" s="175"/>
      <c r="W2628" s="175"/>
      <c r="X2628" s="176"/>
      <c r="Y2628" s="176"/>
      <c r="Z2628" s="175"/>
      <c r="AA2628" s="175"/>
      <c r="AB2628" s="176"/>
      <c r="AC2628" s="175"/>
      <c r="AD2628" s="175"/>
      <c r="AE2628" s="176"/>
      <c r="AF2628" s="176"/>
      <c r="AG2628" s="176"/>
      <c r="AH2628" s="176"/>
      <c r="AI2628" s="176"/>
      <c r="AJ2628" s="176"/>
      <c r="AK2628" s="176"/>
      <c r="AL2628" s="176"/>
      <c r="AM2628" s="176"/>
      <c r="AN2628" s="176"/>
      <c r="AO2628" s="175"/>
      <c r="AP2628" s="175"/>
      <c r="AQ2628" s="175"/>
      <c r="AR2628" s="175"/>
      <c r="AS2628" s="176"/>
      <c r="AT2628" s="176"/>
      <c r="AU2628" s="176"/>
      <c r="AV2628" s="176"/>
      <c r="AW2628" s="176"/>
      <c r="AX2628" s="176"/>
      <c r="AY2628" s="176"/>
      <c r="AZ2628" s="176"/>
      <c r="BA2628" s="176"/>
      <c r="BB2628" s="176"/>
      <c r="BC2628" s="176"/>
      <c r="BD2628" s="176"/>
      <c r="BE2628" s="177"/>
    </row>
    <row r="2629" spans="1:63" ht="15.75">
      <c r="A2629" s="33" t="s">
        <v>820</v>
      </c>
      <c r="B2629" s="33" t="s">
        <v>11</v>
      </c>
      <c r="C2629" s="33" t="s">
        <v>6</v>
      </c>
      <c r="D2629" s="33" t="s">
        <v>9</v>
      </c>
      <c r="E2629" s="33" t="s">
        <v>821</v>
      </c>
      <c r="F2629" s="33" t="s">
        <v>822</v>
      </c>
      <c r="G2629" s="33" t="s">
        <v>430</v>
      </c>
      <c r="H2629" s="33" t="s">
        <v>935</v>
      </c>
      <c r="I2629" s="33" t="s">
        <v>824</v>
      </c>
      <c r="J2629" s="174" t="s">
        <v>431</v>
      </c>
      <c r="K2629" s="175" t="s">
        <v>432</v>
      </c>
      <c r="L2629" s="175" t="s">
        <v>433</v>
      </c>
      <c r="M2629" s="175" t="s">
        <v>434</v>
      </c>
      <c r="N2629" s="176" t="s">
        <v>435</v>
      </c>
      <c r="O2629" s="175" t="s">
        <v>436</v>
      </c>
      <c r="P2629" s="175" t="s">
        <v>437</v>
      </c>
      <c r="Q2629" s="175" t="s">
        <v>438</v>
      </c>
      <c r="R2629" s="175" t="s">
        <v>439</v>
      </c>
      <c r="S2629" s="175" t="s">
        <v>440</v>
      </c>
      <c r="T2629" s="175" t="s">
        <v>441</v>
      </c>
      <c r="U2629" s="175" t="s">
        <v>442</v>
      </c>
      <c r="V2629" s="175" t="s">
        <v>443</v>
      </c>
      <c r="W2629" s="175" t="s">
        <v>444</v>
      </c>
      <c r="X2629" s="176" t="s">
        <v>445</v>
      </c>
      <c r="Y2629" s="176" t="s">
        <v>446</v>
      </c>
      <c r="Z2629" s="175" t="s">
        <v>447</v>
      </c>
      <c r="AA2629" s="175" t="s">
        <v>448</v>
      </c>
      <c r="AB2629" s="176" t="s">
        <v>449</v>
      </c>
      <c r="AC2629" s="175" t="s">
        <v>450</v>
      </c>
      <c r="AD2629" s="175" t="s">
        <v>451</v>
      </c>
      <c r="AE2629" s="176" t="s">
        <v>452</v>
      </c>
      <c r="AF2629" s="176" t="s">
        <v>453</v>
      </c>
      <c r="AG2629" s="176" t="s">
        <v>454</v>
      </c>
      <c r="AH2629" s="176" t="s">
        <v>455</v>
      </c>
      <c r="AI2629" s="176" t="s">
        <v>456</v>
      </c>
      <c r="AJ2629" s="176" t="s">
        <v>457</v>
      </c>
      <c r="AK2629" s="176" t="s">
        <v>458</v>
      </c>
      <c r="AL2629" s="176" t="s">
        <v>459</v>
      </c>
      <c r="AM2629" s="176" t="s">
        <v>460</v>
      </c>
      <c r="AN2629" s="176" t="s">
        <v>461</v>
      </c>
      <c r="AO2629" s="175" t="s">
        <v>462</v>
      </c>
      <c r="AP2629" s="175" t="s">
        <v>463</v>
      </c>
      <c r="AQ2629" s="175" t="s">
        <v>464</v>
      </c>
      <c r="AR2629" s="175" t="s">
        <v>465</v>
      </c>
      <c r="AS2629" s="176" t="s">
        <v>466</v>
      </c>
      <c r="AT2629" s="176" t="s">
        <v>467</v>
      </c>
      <c r="AU2629" s="176" t="s">
        <v>468</v>
      </c>
      <c r="AV2629" s="176" t="s">
        <v>469</v>
      </c>
      <c r="AW2629" s="176" t="s">
        <v>470</v>
      </c>
      <c r="AX2629" s="176" t="s">
        <v>471</v>
      </c>
      <c r="AY2629" s="176" t="s">
        <v>472</v>
      </c>
      <c r="AZ2629" s="176" t="s">
        <v>473</v>
      </c>
      <c r="BA2629" s="176" t="s">
        <v>474</v>
      </c>
      <c r="BB2629" s="176" t="s">
        <v>475</v>
      </c>
      <c r="BC2629" s="176" t="s">
        <v>476</v>
      </c>
      <c r="BD2629" s="176" t="s">
        <v>477</v>
      </c>
      <c r="BE2629" s="177" t="s">
        <v>478</v>
      </c>
      <c r="BF2629" s="33" t="s">
        <v>480</v>
      </c>
      <c r="BG2629" s="33" t="s">
        <v>481</v>
      </c>
      <c r="BH2629" s="33" t="s">
        <v>825</v>
      </c>
    </row>
    <row r="2630" spans="1:63">
      <c r="A2630" s="83" t="s">
        <v>826</v>
      </c>
      <c r="B2630" s="84" t="s">
        <v>936</v>
      </c>
      <c r="C2630" s="84"/>
      <c r="D2630" s="84"/>
      <c r="E2630" s="84" t="s">
        <v>829</v>
      </c>
      <c r="F2630" s="84">
        <v>0</v>
      </c>
      <c r="G2630" s="86" t="s">
        <v>900</v>
      </c>
      <c r="H2630" s="84">
        <v>0</v>
      </c>
      <c r="I2630" s="84">
        <v>0</v>
      </c>
      <c r="J2630" s="84">
        <v>0</v>
      </c>
      <c r="K2630" s="84">
        <v>0</v>
      </c>
      <c r="L2630" s="84">
        <v>0</v>
      </c>
      <c r="M2630" s="84">
        <v>0</v>
      </c>
      <c r="N2630" s="84">
        <v>0</v>
      </c>
      <c r="O2630" s="84">
        <v>0</v>
      </c>
      <c r="P2630" s="84">
        <v>0</v>
      </c>
      <c r="Q2630" s="84">
        <v>0</v>
      </c>
      <c r="R2630" s="84">
        <v>0</v>
      </c>
      <c r="S2630" s="84">
        <v>0</v>
      </c>
      <c r="T2630" s="84">
        <v>0</v>
      </c>
      <c r="U2630" s="84"/>
      <c r="V2630" s="84"/>
      <c r="W2630" s="84"/>
      <c r="X2630" s="84"/>
      <c r="Y2630" s="84"/>
      <c r="Z2630" s="84"/>
      <c r="AA2630" s="84"/>
      <c r="AB2630" s="84"/>
      <c r="AC2630" s="84"/>
      <c r="AD2630" s="84"/>
      <c r="AE2630" s="84"/>
      <c r="AF2630" s="84"/>
      <c r="AG2630" s="84"/>
      <c r="AH2630" s="84"/>
      <c r="AI2630" s="84"/>
      <c r="AJ2630" s="84"/>
      <c r="AK2630" s="84"/>
      <c r="AL2630" s="84"/>
      <c r="AM2630" s="84"/>
      <c r="AN2630" s="84"/>
      <c r="AO2630" s="84"/>
      <c r="AP2630" s="84">
        <v>0</v>
      </c>
      <c r="AQ2630" s="84"/>
      <c r="AR2630" s="84"/>
      <c r="AS2630" s="84">
        <v>0</v>
      </c>
      <c r="AT2630" s="84"/>
      <c r="AU2630" s="84"/>
      <c r="AV2630" s="84"/>
      <c r="AW2630" s="84">
        <v>0</v>
      </c>
      <c r="AX2630" s="84">
        <v>0</v>
      </c>
      <c r="AY2630" s="84">
        <v>0</v>
      </c>
      <c r="AZ2630" s="84">
        <v>0</v>
      </c>
      <c r="BA2630" s="84"/>
      <c r="BB2630" s="84"/>
      <c r="BC2630" s="84"/>
      <c r="BD2630" s="84"/>
      <c r="BE2630" s="84"/>
      <c r="BF2630" s="84"/>
      <c r="BG2630" s="87"/>
      <c r="BI2630" s="85"/>
      <c r="BJ2630" s="85"/>
      <c r="BK2630" s="85"/>
    </row>
    <row r="2631" spans="1:63">
      <c r="A2631" s="33" t="s">
        <v>937</v>
      </c>
      <c r="B2631" s="33" t="s">
        <v>936</v>
      </c>
      <c r="C2631" s="33" t="s">
        <v>938</v>
      </c>
      <c r="D2631" s="33" t="s">
        <v>939</v>
      </c>
      <c r="E2631" s="33" t="s">
        <v>829</v>
      </c>
      <c r="F2631" s="33">
        <v>13.18</v>
      </c>
      <c r="G2631" s="41">
        <f>Database_Overig_Materieel[[#This Row],[Verbruik '[liter/kWh/kg per uur']]]*G$2733</f>
        <v>4.2004592843923936</v>
      </c>
      <c r="H2631" s="33">
        <v>60</v>
      </c>
      <c r="I2631" s="36">
        <v>35.9</v>
      </c>
      <c r="J2631" s="40">
        <f>Database_Overig_Materieel[[#This Row],[Verbruik '[liter/kWh/kg per uur']]]*J$2733</f>
        <v>2.12198E-5</v>
      </c>
      <c r="K2631" s="40">
        <f>Database_Overig_Materieel[[#This Row],[Verbruik '[liter/kWh/kg per uur']]]*K$2733</f>
        <v>0.30972616462000002</v>
      </c>
      <c r="L2631" s="40">
        <f>Database_Overig_Materieel[[#This Row],[Verbruik '[liter/kWh/kg per uur']]]*L$2733</f>
        <v>45.331554281999999</v>
      </c>
      <c r="M2631" s="40">
        <f>Database_Overig_Materieel[[#This Row],[Verbruik '[liter/kWh/kg per uur']]]*M$2733</f>
        <v>7.8948199999999991E-6</v>
      </c>
      <c r="N2631" s="40">
        <f>Database_Overig_Materieel[[#This Row],[Verbruik '[liter/kWh/kg per uur']]]*N$2733</f>
        <v>1.4925111080000001E-2</v>
      </c>
      <c r="O2631" s="40">
        <f>Database_Overig_Materieel[[#This Row],[Milieu Kosten Indicator (euro) - Euro]]*O$2733</f>
        <v>4.2371670980786987E-2</v>
      </c>
      <c r="P2631" s="40">
        <f>Database_Overig_Materieel[[#This Row],[Capaciteit '[m3/uur']]]*P$2733</f>
        <v>0.11580161999999999</v>
      </c>
      <c r="Q2631" s="40">
        <f>Database_Overig_Materieel[[#This Row],[Stookwaarde '[MJ/liter']]]*Q$2733</f>
        <v>30.569144738999999</v>
      </c>
      <c r="R2631" s="40">
        <f>Database_Overig_Materieel[[#This Row],[001. abiotic depletion, non fuel (AD)]]*R$2733</f>
        <v>3.5783008155439995E-7</v>
      </c>
      <c r="S2631" s="40">
        <f>Database_Overig_Materieel[[#This Row],[002. abiotic depletion, fuel (AD)]]*S$2733</f>
        <v>17.475775711191456</v>
      </c>
      <c r="T2631" s="40">
        <f>Database_Overig_Materieel[[#This Row],[004. global warming (GWP)]]*T$2733</f>
        <v>0.13730664869002962</v>
      </c>
      <c r="U2631" s="40"/>
      <c r="V2631" s="40"/>
      <c r="W2631" s="40"/>
      <c r="X2631" s="40"/>
      <c r="Y2631" s="40"/>
      <c r="Z2631" s="40"/>
      <c r="AA2631" s="40"/>
      <c r="AB2631" s="40"/>
      <c r="AC2631" s="40"/>
      <c r="AD2631" s="40"/>
      <c r="AE2631" s="40"/>
      <c r="AF2631" s="40"/>
      <c r="AG2631" s="40"/>
      <c r="AH2631" s="40"/>
      <c r="AI2631" s="40"/>
      <c r="AJ2631" s="40"/>
      <c r="AK2631" s="40"/>
      <c r="AL2631" s="40"/>
      <c r="AM2631" s="40"/>
      <c r="AN2631" s="40"/>
      <c r="AO2631" s="40"/>
      <c r="AP2631" s="40">
        <f>Database_Overig_Materieel[[#This Row],[Verbruik '[liter/kWh/kg per uur']]]*AP$2733</f>
        <v>5.0414995929999993</v>
      </c>
      <c r="AQ2631" s="40"/>
      <c r="AR2631" s="40"/>
      <c r="AS2631" s="40">
        <f>Database_Overig_Materieel[[#This Row],[Verbruik '[liter/kWh/kg per uur']]]*AS$2733</f>
        <v>691.33430948</v>
      </c>
      <c r="AT2631" s="40"/>
      <c r="AU2631" s="40"/>
      <c r="AV2631" s="40"/>
      <c r="AW2631" s="40">
        <f>Database_Overig_Materieel[[#This Row],[008. eutrophication (EP)]]*AW$2733</f>
        <v>5.7385064325005998E-4</v>
      </c>
      <c r="AX2631" s="40">
        <f>Database_Overig_Materieel[[#This Row],[009. human toxicity (HT)]]*AX$2733</f>
        <v>1.1069117879136638E-2</v>
      </c>
      <c r="AY2631" s="40">
        <f>Database_Overig_Materieel[[#This Row],[010. Ecotoxicity, fresh water (FAETP)]]*AY$2733</f>
        <v>3.1487046548801227E-8</v>
      </c>
      <c r="AZ2631" s="40">
        <f>Database_Overig_Materieel[[#This Row],[012. Ecotoxcity, marine water (MAETP)]]*AZ$2733</f>
        <v>0</v>
      </c>
      <c r="BA2631" s="40"/>
      <c r="BB2631" s="40"/>
      <c r="BC2631" s="40"/>
      <c r="BD2631" s="40"/>
      <c r="BE2631" s="40"/>
      <c r="BG2631" s="33" t="s">
        <v>885</v>
      </c>
      <c r="BH2631" s="33" t="s">
        <v>135</v>
      </c>
    </row>
    <row r="2632" spans="1:63">
      <c r="A2632" s="33" t="s">
        <v>940</v>
      </c>
      <c r="B2632" s="33" t="s">
        <v>936</v>
      </c>
      <c r="C2632" s="33" t="s">
        <v>938</v>
      </c>
      <c r="D2632" s="33" t="s">
        <v>939</v>
      </c>
      <c r="E2632" s="33" t="s">
        <v>829</v>
      </c>
      <c r="F2632" s="38">
        <f>$F$2631*($I$2631/Database_Overig_Materieel[[#This Row],[Stookwaarde '[MJ/liter']]])</f>
        <v>14.294924471299092</v>
      </c>
      <c r="G2632" s="41">
        <f>Database_Overig_Materieel[[#This Row],[Verbruik '[liter/kWh/kg per uur']]]*G$2734</f>
        <v>4.0134485711398353</v>
      </c>
      <c r="H2632" s="33">
        <v>60</v>
      </c>
      <c r="I2632" s="33">
        <v>33.1</v>
      </c>
      <c r="J2632" s="289">
        <f>Database_Overig_Materieel[[#This Row],[Verbruik '[liter/kWh/kg per uur']]]*J$2734</f>
        <v>7.114026407311178E-5</v>
      </c>
      <c r="K2632" s="40">
        <f>Database_Overig_Materieel[[#This Row],[Verbruik '[liter/kWh/kg per uur']]]*K$2734</f>
        <v>0.42252934893280963</v>
      </c>
      <c r="L2632" s="40">
        <f>Database_Overig_Materieel[[#This Row],[Verbruik '[liter/kWh/kg per uur']]]*L$2734</f>
        <v>52.125983217516612</v>
      </c>
      <c r="M2632" s="40">
        <f>Database_Overig_Materieel[[#This Row],[Verbruik '[liter/kWh/kg per uur']]]*M$2734</f>
        <v>6.9325809309969781E-7</v>
      </c>
      <c r="N2632" s="40">
        <f>Database_Overig_Materieel[[#This Row],[Verbruik '[liter/kWh/kg per uur']]]*N$2734</f>
        <v>1.0474262828157098E-2</v>
      </c>
      <c r="O2632" s="40">
        <f>Database_Overig_Materieel[[#This Row],[Milieu Kosten Indicator (euro) - Euro]]*O$2734</f>
        <v>3.0190291944610901E-2</v>
      </c>
      <c r="P2632" s="40">
        <f>Database_Overig_Materieel[[#This Row],[Capaciteit '[m3/uur']]]*P$2734</f>
        <v>9.702042000000001E-2</v>
      </c>
      <c r="Q2632" s="40">
        <f>Database_Overig_Materieel[[#This Row],[Stookwaarde '[MJ/liter']]]*Q$2734</f>
        <v>23.965014005000004</v>
      </c>
      <c r="R2632" s="40">
        <f>Database_Overig_Materieel[[#This Row],[001. abiotic depletion, non fuel (AD)]]*R$2734</f>
        <v>4.0909792205408328E-7</v>
      </c>
      <c r="S2632" s="40">
        <f>Database_Overig_Materieel[[#This Row],[002. abiotic depletion, fuel (AD)]]*S$2734</f>
        <v>9.1739301821508317</v>
      </c>
      <c r="T2632" s="40">
        <f>Database_Overig_Materieel[[#This Row],[004. global warming (GWP)]]*T$2734</f>
        <v>0.15356992293662222</v>
      </c>
      <c r="U2632" s="40"/>
      <c r="V2632" s="40"/>
      <c r="W2632" s="40"/>
      <c r="X2632" s="40"/>
      <c r="Y2632" s="40"/>
      <c r="Z2632" s="40"/>
      <c r="AA2632" s="40"/>
      <c r="AB2632" s="40"/>
      <c r="AC2632" s="40"/>
      <c r="AD2632" s="40"/>
      <c r="AE2632" s="40"/>
      <c r="AF2632" s="40"/>
      <c r="AG2632" s="40"/>
      <c r="AH2632" s="40"/>
      <c r="AI2632" s="40"/>
      <c r="AJ2632" s="40"/>
      <c r="AK2632" s="40"/>
      <c r="AL2632" s="40"/>
      <c r="AM2632" s="40"/>
      <c r="AN2632" s="40"/>
      <c r="AO2632" s="40"/>
      <c r="AP2632" s="40">
        <f>Database_Overig_Materieel[[#This Row],[Verbruik '[liter/kWh/kg per uur']]]*AP$2734</f>
        <v>6.1613218677734132</v>
      </c>
      <c r="AQ2632" s="40"/>
      <c r="AR2632" s="40"/>
      <c r="AS2632" s="289">
        <f>Database_Overig_Materieel[[#This Row],[Verbruik '[liter/kWh/kg per uur']]]*AS$2734</f>
        <v>901.12981006314192</v>
      </c>
      <c r="AT2632" s="40"/>
      <c r="AU2632" s="40"/>
      <c r="AV2632" s="40"/>
      <c r="AW2632" s="40">
        <f>Database_Overig_Materieel[[#This Row],[008. eutrophication (EP)]]*AW$2734</f>
        <v>2.7312858768972005E-4</v>
      </c>
      <c r="AX2632" s="40">
        <f>Database_Overig_Materieel[[#This Row],[009. human toxicity (HT)]]*AX$2734</f>
        <v>2.3042744406031588E-3</v>
      </c>
      <c r="AY2632" s="40">
        <f>Database_Overig_Materieel[[#This Row],[010. Ecotoxicity, fresh water (FAETP)]]*AY$2734</f>
        <v>4.3707829716234892E-8</v>
      </c>
      <c r="AZ2632" s="40">
        <f>Database_Overig_Materieel[[#This Row],[012. Ecotoxcity, marine water (MAETP)]]*AZ$2734</f>
        <v>0</v>
      </c>
      <c r="BA2632" s="40"/>
      <c r="BB2632" s="40"/>
      <c r="BC2632" s="40"/>
      <c r="BD2632" s="40"/>
      <c r="BE2632" s="40"/>
      <c r="BG2632" s="33" t="s">
        <v>885</v>
      </c>
      <c r="BH2632" s="33" t="s">
        <v>135</v>
      </c>
    </row>
    <row r="2633" spans="1:63">
      <c r="A2633" s="33" t="s">
        <v>941</v>
      </c>
      <c r="B2633" s="33" t="s">
        <v>936</v>
      </c>
      <c r="C2633" s="33" t="s">
        <v>938</v>
      </c>
      <c r="D2633" s="33" t="s">
        <v>939</v>
      </c>
      <c r="E2633" s="33" t="s">
        <v>829</v>
      </c>
      <c r="F2633" s="38">
        <f>$F$2631*($I$2631/Database_Overig_Materieel[[#This Row],[Stookwaarde '[MJ/liter']]])</f>
        <v>13.794810495626821</v>
      </c>
      <c r="G2633" s="41">
        <f>Database_Overig_Materieel[[#This Row],[Verbruik '[liter/kWh/kg per uur']]]*G$2735</f>
        <v>3.1952629916340749</v>
      </c>
      <c r="H2633" s="33">
        <v>60</v>
      </c>
      <c r="I2633" s="33">
        <v>34.299999999999997</v>
      </c>
      <c r="J2633" s="289">
        <f>Database_Overig_Materieel[[#This Row],[Verbruik '[liter/kWh/kg per uur']]]*J$2735</f>
        <v>5.1675084220408163E-5</v>
      </c>
      <c r="K2633" s="40">
        <f>Database_Overig_Materieel[[#This Row],[Verbruik '[liter/kWh/kg per uur']]]*K$2735</f>
        <v>0.11299545855492713</v>
      </c>
      <c r="L2633" s="40">
        <f>Database_Overig_Materieel[[#This Row],[Verbruik '[liter/kWh/kg per uur']]]*L$2735</f>
        <v>19.478722130647231</v>
      </c>
      <c r="M2633" s="40">
        <f>Database_Overig_Materieel[[#This Row],[Verbruik '[liter/kWh/kg per uur']]]*M$2735</f>
        <v>1.8372618358600579E-6</v>
      </c>
      <c r="N2633" s="40">
        <f>Database_Overig_Materieel[[#This Row],[Verbruik '[liter/kWh/kg per uur']]]*N$2735</f>
        <v>1.6028645543615161E-2</v>
      </c>
      <c r="O2633" s="40">
        <f>Database_Overig_Materieel[[#This Row],[Milieu Kosten Indicator (euro) - Euro]]*O$2735</f>
        <v>4.03277433295018E-2</v>
      </c>
      <c r="P2633" s="40">
        <f>Database_Overig_Materieel[[#This Row],[Capaciteit '[m3/uur']]]*P$2735</f>
        <v>0.32506404</v>
      </c>
      <c r="Q2633" s="40">
        <f>Database_Overig_Materieel[[#This Row],[Stookwaarde '[MJ/liter']]]*Q$2735</f>
        <v>26.996490709999996</v>
      </c>
      <c r="R2633" s="40">
        <f>Database_Overig_Materieel[[#This Row],[001. abiotic depletion, non fuel (AD)]]*R$2735</f>
        <v>2.9407291550456308E-5</v>
      </c>
      <c r="S2633" s="40">
        <f>Database_Overig_Materieel[[#This Row],[002. abiotic depletion, fuel (AD)]]*S$2735</f>
        <v>5.3182265120592067</v>
      </c>
      <c r="T2633" s="40">
        <f>Database_Overig_Materieel[[#This Row],[004. global warming (GWP)]]*T$2735</f>
        <v>4.7594370038062044</v>
      </c>
      <c r="U2633" s="40"/>
      <c r="V2633" s="40"/>
      <c r="W2633" s="40"/>
      <c r="X2633" s="40"/>
      <c r="Y2633" s="40"/>
      <c r="Z2633" s="40"/>
      <c r="AA2633" s="40"/>
      <c r="AB2633" s="40"/>
      <c r="AC2633" s="40"/>
      <c r="AD2633" s="40"/>
      <c r="AE2633" s="40"/>
      <c r="AF2633" s="40"/>
      <c r="AG2633" s="40"/>
      <c r="AH2633" s="40"/>
      <c r="AI2633" s="40"/>
      <c r="AJ2633" s="40"/>
      <c r="AK2633" s="40"/>
      <c r="AL2633" s="40"/>
      <c r="AM2633" s="40"/>
      <c r="AN2633" s="40"/>
      <c r="AO2633" s="40"/>
      <c r="AP2633" s="40">
        <f>Database_Overig_Materieel[[#This Row],[Verbruik '[liter/kWh/kg per uur']]]*AP$2735</f>
        <v>108.18697662980757</v>
      </c>
      <c r="AQ2633" s="40"/>
      <c r="AR2633" s="40"/>
      <c r="AS2633" s="40">
        <f>Database_Overig_Materieel[[#This Row],[Verbruik '[liter/kWh/kg per uur']]]*AS$2735</f>
        <v>238.40832957230316</v>
      </c>
      <c r="AT2633" s="40"/>
      <c r="AU2633" s="40"/>
      <c r="AV2633" s="40"/>
      <c r="AW2633" s="40">
        <f>Database_Overig_Materieel[[#This Row],[008. eutrophication (EP)]]*AW$2735</f>
        <v>1.9892460035524442E-2</v>
      </c>
      <c r="AX2633" s="40">
        <f>Database_Overig_Materieel[[#This Row],[009. human toxicity (HT)]]*AX$2735</f>
        <v>2.7367692457262501E-3</v>
      </c>
      <c r="AY2633" s="40">
        <f>Database_Overig_Materieel[[#This Row],[010. Ecotoxicity, fresh water (FAETP)]]*AY$2735</f>
        <v>8.2744216683744446E-6</v>
      </c>
      <c r="AZ2633" s="40">
        <f>Database_Overig_Materieel[[#This Row],[012. Ecotoxcity, marine water (MAETP)]]*AZ$2735</f>
        <v>0</v>
      </c>
      <c r="BA2633" s="40"/>
      <c r="BB2633" s="40"/>
      <c r="BC2633" s="40"/>
      <c r="BD2633" s="40"/>
      <c r="BE2633" s="40"/>
      <c r="BG2633" s="33" t="s">
        <v>885</v>
      </c>
      <c r="BH2633" s="33" t="s">
        <v>135</v>
      </c>
    </row>
    <row r="2634" spans="1:63">
      <c r="A2634" s="33" t="s">
        <v>942</v>
      </c>
      <c r="B2634" s="33" t="s">
        <v>936</v>
      </c>
      <c r="C2634" s="33" t="s">
        <v>938</v>
      </c>
      <c r="D2634" s="33" t="s">
        <v>939</v>
      </c>
      <c r="E2634" s="33" t="s">
        <v>829</v>
      </c>
      <c r="F2634" s="38">
        <f>$F$2631*($I$2631/Database_Overig_Materieel[[#This Row],[Stookwaarde '[MJ/liter']]])</f>
        <v>13.714840579710144</v>
      </c>
      <c r="G2634" s="41">
        <f>Database_Overig_Materieel[[#This Row],[Verbruik '[liter/kWh/kg per uur']]]*G$2736</f>
        <v>4.1260373324460691</v>
      </c>
      <c r="H2634" s="33">
        <v>60</v>
      </c>
      <c r="I2634" s="33">
        <v>34.5</v>
      </c>
      <c r="J2634" s="40">
        <f>Database_Overig_Materieel[[#This Row],[Verbruik '[liter/kWh/kg per uur']]]*J$2736</f>
        <v>2.8822148923478255E-5</v>
      </c>
      <c r="K2634" s="40">
        <f>Database_Overig_Materieel[[#This Row],[Verbruik '[liter/kWh/kg per uur']]]*K$2736</f>
        <v>7.2287029680927525E-2</v>
      </c>
      <c r="L2634" s="40">
        <f>Database_Overig_Materieel[[#This Row],[Verbruik '[liter/kWh/kg per uur']]]*L$2736</f>
        <v>18.540093167831881</v>
      </c>
      <c r="M2634" s="40">
        <f>Database_Overig_Materieel[[#This Row],[Verbruik '[liter/kWh/kg per uur']]]*M$2736</f>
        <v>1.1250379731420288E-6</v>
      </c>
      <c r="N2634" s="40">
        <f>Database_Overig_Materieel[[#This Row],[Verbruik '[liter/kWh/kg per uur']]]*N$2736</f>
        <v>1.3593738537391303E-2</v>
      </c>
      <c r="O2634" s="40">
        <f>Database_Overig_Materieel[[#This Row],[Milieu Kosten Indicator (euro) - Euro]]*O$2736</f>
        <v>3.4101075521029561E-2</v>
      </c>
      <c r="P2634" s="40">
        <f>Database_Overig_Materieel[[#This Row],[Capaciteit '[m3/uur']]]*P$2736</f>
        <v>0.18328038000000002</v>
      </c>
      <c r="Q2634" s="40">
        <f>Database_Overig_Materieel[[#This Row],[Stookwaarde '[MJ/liter']]]*Q$2736</f>
        <v>26.29765329</v>
      </c>
      <c r="R2634" s="40">
        <f>Database_Overig_Materieel[[#This Row],[001. abiotic depletion, non fuel (AD)]]*R$2736</f>
        <v>1.468236899113264E-5</v>
      </c>
      <c r="S2634" s="40">
        <f>Database_Overig_Materieel[[#This Row],[002. abiotic depletion, fuel (AD)]]*S$2736</f>
        <v>2.3705595266825816</v>
      </c>
      <c r="T2634" s="40">
        <f>Database_Overig_Materieel[[#This Row],[004. global warming (GWP)]]*T$2736</f>
        <v>4.1691448644217832</v>
      </c>
      <c r="U2634" s="40"/>
      <c r="V2634" s="40"/>
      <c r="W2634" s="40"/>
      <c r="X2634" s="40"/>
      <c r="Y2634" s="40"/>
      <c r="Z2634" s="40"/>
      <c r="AA2634" s="40"/>
      <c r="AB2634" s="40"/>
      <c r="AC2634" s="40"/>
      <c r="AD2634" s="40"/>
      <c r="AE2634" s="40"/>
      <c r="AF2634" s="40"/>
      <c r="AG2634" s="40"/>
      <c r="AH2634" s="40"/>
      <c r="AI2634" s="40"/>
      <c r="AJ2634" s="40"/>
      <c r="AK2634" s="40"/>
      <c r="AL2634" s="40"/>
      <c r="AM2634" s="40"/>
      <c r="AN2634" s="40"/>
      <c r="AO2634" s="40"/>
      <c r="AP2634" s="40">
        <f>Database_Overig_Materieel[[#This Row],[Verbruik '[liter/kWh/kg per uur']]]*AP$2736</f>
        <v>33.774339218585503</v>
      </c>
      <c r="AQ2634" s="40"/>
      <c r="AR2634" s="40"/>
      <c r="AS2634" s="40">
        <f>Database_Overig_Materieel[[#This Row],[Verbruik '[liter/kWh/kg per uur']]]*AS$2736</f>
        <v>151.30450765762319</v>
      </c>
      <c r="AT2634" s="40"/>
      <c r="AU2634" s="40"/>
      <c r="AV2634" s="40"/>
      <c r="AW2634" s="40">
        <f>Database_Overig_Materieel[[#This Row],[008. eutrophication (EP)]]*AW$2736</f>
        <v>3.5576664530028008E-3</v>
      </c>
      <c r="AX2634" s="40">
        <f>Database_Overig_Materieel[[#This Row],[009. human toxicity (HT)]]*AX$2736</f>
        <v>1.6050167839525831E-3</v>
      </c>
      <c r="AY2634" s="40">
        <f>Database_Overig_Materieel[[#This Row],[010. Ecotoxicity, fresh water (FAETP)]]*AY$2736</f>
        <v>3.5823469522594454E-6</v>
      </c>
      <c r="AZ2634" s="40">
        <f>Database_Overig_Materieel[[#This Row],[012. Ecotoxcity, marine water (MAETP)]]*AZ$2736</f>
        <v>0</v>
      </c>
      <c r="BA2634" s="40"/>
      <c r="BB2634" s="40"/>
      <c r="BC2634" s="40"/>
      <c r="BD2634" s="40"/>
      <c r="BE2634" s="40"/>
      <c r="BG2634" s="33" t="s">
        <v>885</v>
      </c>
      <c r="BH2634" s="33" t="s">
        <v>135</v>
      </c>
    </row>
    <row r="2635" spans="1:63">
      <c r="A2635" s="33" t="s">
        <v>943</v>
      </c>
      <c r="B2635" s="33" t="s">
        <v>936</v>
      </c>
      <c r="C2635" s="33" t="s">
        <v>938</v>
      </c>
      <c r="D2635" s="33" t="s">
        <v>939</v>
      </c>
      <c r="E2635" s="33" t="s">
        <v>829</v>
      </c>
      <c r="F2635" s="33">
        <v>13.18</v>
      </c>
      <c r="G2635" s="41">
        <f>Database_Overig_Materieel[[#This Row],[Verbruik '[liter/kWh/kg per uur']]]*G$2737</f>
        <v>3.9375983304994415</v>
      </c>
      <c r="H2635" s="33">
        <v>60</v>
      </c>
      <c r="I2635" s="36">
        <v>35.9</v>
      </c>
      <c r="J2635" s="40">
        <f>Database_Overig_Materieel[[#This Row],[Verbruik '[liter/kWh/kg per uur']]]*J$2737</f>
        <v>2.3151592600000002E-5</v>
      </c>
      <c r="K2635" s="40">
        <f>Database_Overig_Materieel[[#This Row],[Verbruik '[liter/kWh/kg per uur']]]*K$2737</f>
        <v>0.31332568851999998</v>
      </c>
      <c r="L2635" s="40">
        <f>Database_Overig_Materieel[[#This Row],[Verbruik '[liter/kWh/kg per uur']]]*L$2737</f>
        <v>45.725828710000002</v>
      </c>
      <c r="M2635" s="40">
        <f>Database_Overig_Materieel[[#This Row],[Verbruik '[liter/kWh/kg per uur']]]*M$2737</f>
        <v>7.9583871399999986E-6</v>
      </c>
      <c r="N2635" s="40">
        <f>Database_Overig_Materieel[[#This Row],[Verbruik '[liter/kWh/kg per uur']]]*N$2737</f>
        <v>1.5049306219999999E-2</v>
      </c>
      <c r="O2635" s="40">
        <f>Database_Overig_Materieel[[#This Row],[Milieu Kosten Indicator (euro) - Euro]]*O$2737</f>
        <v>2.6190096586872637E-2</v>
      </c>
      <c r="P2635" s="40">
        <f>Database_Overig_Materieel[[#This Row],[Capaciteit '[m3/uur']]]*P$2737</f>
        <v>6.1294200000000007E-2</v>
      </c>
      <c r="Q2635" s="40">
        <f>Database_Overig_Materieel[[#This Row],[Stookwaarde '[MJ/liter']]]*Q$2737</f>
        <v>30.695271849999997</v>
      </c>
      <c r="R2635" s="40">
        <f>Database_Overig_Materieel[[#This Row],[001. abiotic depletion, non fuel (AD)]]*R$2737</f>
        <v>3.9494144385510322E-7</v>
      </c>
      <c r="S2635" s="40">
        <f>Database_Overig_Materieel[[#This Row],[002. abiotic depletion, fuel (AD)]]*S$2737</f>
        <v>17.972057567589335</v>
      </c>
      <c r="T2635" s="40">
        <f>Database_Overig_Materieel[[#This Row],[004. global warming (GWP)]]*T$2737</f>
        <v>0.14042100206371513</v>
      </c>
      <c r="U2635" s="40"/>
      <c r="V2635" s="40"/>
      <c r="W2635" s="40"/>
      <c r="X2635" s="40"/>
      <c r="Y2635" s="40"/>
      <c r="Z2635" s="40"/>
      <c r="AA2635" s="40"/>
      <c r="AB2635" s="40"/>
      <c r="AC2635" s="40"/>
      <c r="AD2635" s="40"/>
      <c r="AE2635" s="40"/>
      <c r="AF2635" s="40"/>
      <c r="AG2635" s="40"/>
      <c r="AH2635" s="40"/>
      <c r="AI2635" s="40"/>
      <c r="AJ2635" s="40"/>
      <c r="AK2635" s="40"/>
      <c r="AL2635" s="40"/>
      <c r="AM2635" s="40"/>
      <c r="AN2635" s="40"/>
      <c r="AO2635" s="40"/>
      <c r="AP2635" s="40">
        <f>Database_Overig_Materieel[[#This Row],[Verbruik '[liter/kWh/kg per uur']]]*AP$2737</f>
        <v>5.1947040447999999</v>
      </c>
      <c r="AQ2635" s="40"/>
      <c r="AR2635" s="40"/>
      <c r="AS2635" s="40">
        <f>Database_Overig_Materieel[[#This Row],[Verbruik '[liter/kWh/kg per uur']]]*AS$2737</f>
        <v>699.30548121999993</v>
      </c>
      <c r="AT2635" s="40"/>
      <c r="AU2635" s="40"/>
      <c r="AV2635" s="40"/>
      <c r="AW2635" s="40">
        <f>Database_Overig_Materieel[[#This Row],[008. eutrophication (EP)]]*AW$2737</f>
        <v>3.0771760143960005E-4</v>
      </c>
      <c r="AX2635" s="40">
        <f>Database_Overig_Materieel[[#This Row],[009. human toxicity (HT)]]*AX$2737</f>
        <v>1.1185602624314799E-2</v>
      </c>
      <c r="AY2635" s="40">
        <f>Database_Overig_Materieel[[#This Row],[010. Ecotoxicity, fresh water (FAETP)]]*AY$2737</f>
        <v>3.5314958149163159E-8</v>
      </c>
      <c r="AZ2635" s="40">
        <f>Database_Overig_Materieel[[#This Row],[012. Ecotoxcity, marine water (MAETP)]]*AZ$2737</f>
        <v>0</v>
      </c>
      <c r="BA2635" s="40"/>
      <c r="BB2635" s="40"/>
      <c r="BC2635" s="40"/>
      <c r="BD2635" s="40"/>
      <c r="BE2635" s="40"/>
      <c r="BG2635" s="33" t="s">
        <v>885</v>
      </c>
      <c r="BH2635" s="33" t="s">
        <v>135</v>
      </c>
    </row>
    <row r="2636" spans="1:63">
      <c r="A2636" s="33" t="s">
        <v>944</v>
      </c>
      <c r="B2636" s="33" t="s">
        <v>936</v>
      </c>
      <c r="C2636" s="33" t="s">
        <v>938</v>
      </c>
      <c r="D2636" s="33" t="s">
        <v>939</v>
      </c>
      <c r="E2636" s="33" t="s">
        <v>829</v>
      </c>
      <c r="F2636" s="38">
        <f>$F$2631*($I$2631/Database_Overig_Materieel[[#This Row],[Stookwaarde '[MJ/liter']]])</f>
        <v>14.294924471299092</v>
      </c>
      <c r="G2636" s="41">
        <f>Database_Overig_Materieel[[#This Row],[Verbruik '[liter/kWh/kg per uur']]]*G$2738</f>
        <v>3.7210483109015238</v>
      </c>
      <c r="H2636" s="33">
        <v>60</v>
      </c>
      <c r="I2636" s="33">
        <v>33.1</v>
      </c>
      <c r="J2636" s="40">
        <f>Database_Overig_Materieel[[#This Row],[Verbruik '[liter/kWh/kg per uur']]]*J$2738</f>
        <v>7.3104386695468273E-5</v>
      </c>
      <c r="K2636" s="40">
        <f>Database_Overig_Materieel[[#This Row],[Verbruik '[liter/kWh/kg per uur']]]*K$2738</f>
        <v>0.42625936645987911</v>
      </c>
      <c r="L2636" s="40">
        <f>Database_Overig_Materieel[[#This Row],[Verbruik '[liter/kWh/kg per uur']]]*L$2738</f>
        <v>52.534652236271896</v>
      </c>
      <c r="M2636" s="40">
        <f>Database_Overig_Materieel[[#This Row],[Verbruik '[liter/kWh/kg per uur']]]*M$2738</f>
        <v>7.5994820423564941E-7</v>
      </c>
      <c r="N2636" s="40">
        <f>Database_Overig_Materieel[[#This Row],[Verbruik '[liter/kWh/kg per uur']]]*N$2738</f>
        <v>1.064494422634441E-2</v>
      </c>
      <c r="O2636" s="40">
        <f>Database_Overig_Materieel[[#This Row],[Milieu Kosten Indicator (euro) - Euro]]*O$2738</f>
        <v>1.5774714525371051E-2</v>
      </c>
      <c r="P2636" s="40">
        <f>Database_Overig_Materieel[[#This Row],[Capaciteit '[m3/uur']]]*P$2738</f>
        <v>4.4942279999999994E-2</v>
      </c>
      <c r="Q2636" s="40">
        <f>Database_Overig_Materieel[[#This Row],[Stookwaarde '[MJ/liter']]]*Q$2738</f>
        <v>24.428592414000004</v>
      </c>
      <c r="R2636" s="40">
        <f>Database_Overig_Materieel[[#This Row],[001. abiotic depletion, non fuel (AD)]]*R$2738</f>
        <v>4.3498301685306756E-7</v>
      </c>
      <c r="S2636" s="40">
        <f>Database_Overig_Materieel[[#This Row],[002. abiotic depletion, fuel (AD)]]*S$2738</f>
        <v>9.6361096051777171</v>
      </c>
      <c r="T2636" s="40">
        <f>Database_Overig_Materieel[[#This Row],[004. global warming (GWP)]]*T$2738</f>
        <v>0.1568839692999176</v>
      </c>
      <c r="U2636" s="40"/>
      <c r="V2636" s="40"/>
      <c r="W2636" s="40"/>
      <c r="X2636" s="40"/>
      <c r="Y2636" s="40"/>
      <c r="Z2636" s="40"/>
      <c r="AA2636" s="40"/>
      <c r="AB2636" s="40"/>
      <c r="AC2636" s="40"/>
      <c r="AD2636" s="40"/>
      <c r="AE2636" s="40"/>
      <c r="AF2636" s="40"/>
      <c r="AG2636" s="40"/>
      <c r="AH2636" s="40"/>
      <c r="AI2636" s="40"/>
      <c r="AJ2636" s="40"/>
      <c r="AK2636" s="40"/>
      <c r="AL2636" s="40"/>
      <c r="AM2636" s="40"/>
      <c r="AN2636" s="40"/>
      <c r="AO2636" s="40"/>
      <c r="AP2636" s="40">
        <f>Database_Overig_Materieel[[#This Row],[Verbruik '[liter/kWh/kg per uur']]]*AP$2738</f>
        <v>6.3200805842054377</v>
      </c>
      <c r="AQ2636" s="40"/>
      <c r="AR2636" s="40"/>
      <c r="AS2636" s="40">
        <f>Database_Overig_Materieel[[#This Row],[Verbruik '[liter/kWh/kg per uur']]]*AS$2738</f>
        <v>909.38994633486391</v>
      </c>
      <c r="AT2636" s="40"/>
      <c r="AU2636" s="40"/>
      <c r="AV2636" s="40"/>
      <c r="AW2636" s="40">
        <f>Database_Overig_Materieel[[#This Row],[008. eutrophication (EP)]]*AW$2738</f>
        <v>1.2930563595971999E-4</v>
      </c>
      <c r="AX2636" s="40">
        <f>Database_Overig_Materieel[[#This Row],[009. human toxicity (HT)]]*AX$2738</f>
        <v>2.4026888640344187E-3</v>
      </c>
      <c r="AY2636" s="40">
        <f>Database_Overig_Materieel[[#This Row],[010. Ecotoxicity, fresh water (FAETP)]]*AY$2738</f>
        <v>4.7065110225539887E-8</v>
      </c>
      <c r="AZ2636" s="40">
        <f>Database_Overig_Materieel[[#This Row],[012. Ecotoxcity, marine water (MAETP)]]*AZ$2738</f>
        <v>0</v>
      </c>
      <c r="BA2636" s="40"/>
      <c r="BB2636" s="40"/>
      <c r="BC2636" s="40"/>
      <c r="BD2636" s="40"/>
      <c r="BE2636" s="40"/>
      <c r="BG2636" s="33" t="s">
        <v>885</v>
      </c>
      <c r="BH2636" s="33" t="s">
        <v>135</v>
      </c>
    </row>
    <row r="2637" spans="1:63">
      <c r="A2637" s="33" t="s">
        <v>945</v>
      </c>
      <c r="B2637" s="33" t="s">
        <v>936</v>
      </c>
      <c r="C2637" s="33" t="s">
        <v>938</v>
      </c>
      <c r="D2637" s="33" t="s">
        <v>939</v>
      </c>
      <c r="E2637" s="33" t="s">
        <v>829</v>
      </c>
      <c r="F2637" s="38">
        <f>$F$2631*($I$2631/Database_Overig_Materieel[[#This Row],[Stookwaarde '[MJ/liter']]])</f>
        <v>13.794810495626821</v>
      </c>
      <c r="G2637" s="41">
        <f>Database_Overig_Materieel[[#This Row],[Verbruik '[liter/kWh/kg per uur']]]*G$2739</f>
        <v>2.9442590884496145</v>
      </c>
      <c r="H2637" s="33">
        <v>60</v>
      </c>
      <c r="I2637" s="33">
        <v>34.299999999999997</v>
      </c>
      <c r="J2637" s="40">
        <f>Database_Overig_Materieel[[#This Row],[Verbruik '[liter/kWh/kg per uur']]]*J$2739</f>
        <v>5.3504138144023322E-5</v>
      </c>
      <c r="K2637" s="40">
        <f>Database_Overig_Materieel[[#This Row],[Verbruik '[liter/kWh/kg per uur']]]*K$2739</f>
        <v>0.11646904701696793</v>
      </c>
      <c r="L2637" s="40">
        <f>Database_Overig_Materieel[[#This Row],[Verbruik '[liter/kWh/kg per uur']]]*L$2739</f>
        <v>19.85923404491545</v>
      </c>
      <c r="M2637" s="40">
        <f>Database_Overig_Materieel[[#This Row],[Verbruik '[liter/kWh/kg per uur']]]*M$2739</f>
        <v>1.8993660727113702E-6</v>
      </c>
      <c r="N2637" s="40">
        <f>Database_Overig_Materieel[[#This Row],[Verbruik '[liter/kWh/kg per uur']]]*N$2739</f>
        <v>1.6187603144956268E-2</v>
      </c>
      <c r="O2637" s="40">
        <f>Database_Overig_Materieel[[#This Row],[Milieu Kosten Indicator (euro) - Euro]]*O$2739</f>
        <v>2.6485444774016386E-2</v>
      </c>
      <c r="P2637" s="40">
        <f>Database_Overig_Materieel[[#This Row],[Capaciteit '[m3/uur']]]*P$2739</f>
        <v>0.26767283999999997</v>
      </c>
      <c r="Q2637" s="40">
        <f>Database_Overig_Materieel[[#This Row],[Stookwaarde '[MJ/liter']]]*Q$2739</f>
        <v>27.422837994999998</v>
      </c>
      <c r="R2637" s="40">
        <f>Database_Overig_Materieel[[#This Row],[001. abiotic depletion, non fuel (AD)]]*R$2739</f>
        <v>3.0458475144738505E-5</v>
      </c>
      <c r="S2637" s="40">
        <f>Database_Overig_Materieel[[#This Row],[002. abiotic depletion, fuel (AD)]]*S$2739</f>
        <v>5.582225387676357</v>
      </c>
      <c r="T2637" s="40">
        <f>Database_Overig_Materieel[[#This Row],[004. global warming (GWP)]]*T$2739</f>
        <v>4.853181146808776</v>
      </c>
      <c r="U2637" s="40"/>
      <c r="V2637" s="40"/>
      <c r="W2637" s="40"/>
      <c r="X2637" s="40"/>
      <c r="Y2637" s="40"/>
      <c r="Z2637" s="40"/>
      <c r="AA2637" s="40"/>
      <c r="AB2637" s="40"/>
      <c r="AC2637" s="40"/>
      <c r="AD2637" s="40"/>
      <c r="AE2637" s="40"/>
      <c r="AF2637" s="40"/>
      <c r="AG2637" s="40"/>
      <c r="AH2637" s="40"/>
      <c r="AI2637" s="40"/>
      <c r="AJ2637" s="40"/>
      <c r="AK2637" s="40"/>
      <c r="AL2637" s="40"/>
      <c r="AM2637" s="40"/>
      <c r="AN2637" s="40"/>
      <c r="AO2637" s="40"/>
      <c r="AP2637" s="40">
        <f>Database_Overig_Materieel[[#This Row],[Verbruik '[liter/kWh/kg per uur']]]*AP$2739</f>
        <v>108.33481975233235</v>
      </c>
      <c r="AQ2637" s="40"/>
      <c r="AR2637" s="40"/>
      <c r="AS2637" s="40">
        <f>Database_Overig_Materieel[[#This Row],[Verbruik '[liter/kWh/kg per uur']]]*AS$2739</f>
        <v>246.10061939049561</v>
      </c>
      <c r="AT2637" s="40"/>
      <c r="AU2637" s="40"/>
      <c r="AV2637" s="40"/>
      <c r="AW2637" s="40">
        <f>Database_Overig_Materieel[[#This Row],[008. eutrophication (EP)]]*AW$2739</f>
        <v>1.6396386807872997E-2</v>
      </c>
      <c r="AX2637" s="40">
        <f>Database_Overig_Materieel[[#This Row],[009. human toxicity (HT)]]*AX$2739</f>
        <v>2.8382911553204949E-3</v>
      </c>
      <c r="AY2637" s="40">
        <f>Database_Overig_Materieel[[#This Row],[010. Ecotoxicity, fresh water (FAETP)]]*AY$2739</f>
        <v>8.6101811543332831E-6</v>
      </c>
      <c r="AZ2637" s="40">
        <f>Database_Overig_Materieel[[#This Row],[012. Ecotoxcity, marine water (MAETP)]]*AZ$2739</f>
        <v>0</v>
      </c>
      <c r="BA2637" s="40"/>
      <c r="BB2637" s="40"/>
      <c r="BC2637" s="40"/>
      <c r="BD2637" s="40"/>
      <c r="BE2637" s="40"/>
      <c r="BG2637" s="33" t="s">
        <v>885</v>
      </c>
      <c r="BH2637" s="33" t="s">
        <v>135</v>
      </c>
    </row>
    <row r="2638" spans="1:63">
      <c r="A2638" s="33" t="s">
        <v>946</v>
      </c>
      <c r="B2638" s="33" t="s">
        <v>936</v>
      </c>
      <c r="C2638" s="33" t="s">
        <v>938</v>
      </c>
      <c r="D2638" s="33" t="s">
        <v>939</v>
      </c>
      <c r="E2638" s="33" t="s">
        <v>829</v>
      </c>
      <c r="F2638" s="38">
        <f>$F$2631*($I$2631/Database_Overig_Materieel[[#This Row],[Stookwaarde '[MJ/liter']]])</f>
        <v>13.714840579710144</v>
      </c>
      <c r="G2638" s="41">
        <f>Database_Overig_Materieel[[#This Row],[Verbruik '[liter/kWh/kg per uur']]]*G$2740</f>
        <v>3.8779351937161803</v>
      </c>
      <c r="H2638" s="33">
        <v>60</v>
      </c>
      <c r="I2638" s="33">
        <v>34.5</v>
      </c>
      <c r="J2638" s="40">
        <f>Database_Overig_Materieel[[#This Row],[Verbruik '[liter/kWh/kg per uur']]]*J$2740</f>
        <v>3.0717539891594197E-5</v>
      </c>
      <c r="K2638" s="40">
        <f>Database_Overig_Materieel[[#This Row],[Verbruik '[liter/kWh/kg per uur']]]*K$2740</f>
        <v>7.5886544450434787E-2</v>
      </c>
      <c r="L2638" s="40">
        <f>Database_Overig_Materieel[[#This Row],[Verbruik '[liter/kWh/kg per uur']]]*L$2740</f>
        <v>18.934464780185507</v>
      </c>
      <c r="M2638" s="40">
        <f>Database_Overig_Materieel[[#This Row],[Verbruik '[liter/kWh/kg per uur']]]*M$2740</f>
        <v>1.1893934910782608E-6</v>
      </c>
      <c r="N2638" s="40">
        <f>Database_Overig_Materieel[[#This Row],[Verbruik '[liter/kWh/kg per uur']]]*N$2740</f>
        <v>1.3758453772753622E-2</v>
      </c>
      <c r="O2638" s="40">
        <f>Database_Overig_Materieel[[#This Row],[Milieu Kosten Indicator (euro) - Euro]]*O$2740</f>
        <v>1.9245199615003809E-2</v>
      </c>
      <c r="P2638" s="40">
        <f>Database_Overig_Materieel[[#This Row],[Capaciteit '[m3/uur']]]*P$2740</f>
        <v>0.13089858000000001</v>
      </c>
      <c r="Q2638" s="40">
        <f>Database_Overig_Materieel[[#This Row],[Stookwaarde '[MJ/liter']]]*Q$2740</f>
        <v>26.783656169999997</v>
      </c>
      <c r="R2638" s="40">
        <f>Database_Overig_Materieel[[#This Row],[001. abiotic depletion, non fuel (AD)]]*R$2740</f>
        <v>1.5654071479667945E-5</v>
      </c>
      <c r="S2638" s="40">
        <f>Database_Overig_Materieel[[#This Row],[002. abiotic depletion, fuel (AD)]]*S$2740</f>
        <v>2.5568601400446673</v>
      </c>
      <c r="T2638" s="40">
        <f>Database_Overig_Materieel[[#This Row],[004. global warming (GWP)]]*T$2740</f>
        <v>4.2585928869126297</v>
      </c>
      <c r="U2638" s="40"/>
      <c r="V2638" s="40"/>
      <c r="W2638" s="40"/>
      <c r="X2638" s="40"/>
      <c r="Y2638" s="40"/>
      <c r="Z2638" s="40"/>
      <c r="AA2638" s="40"/>
      <c r="AB2638" s="40"/>
      <c r="AC2638" s="40"/>
      <c r="AD2638" s="40"/>
      <c r="AE2638" s="40"/>
      <c r="AF2638" s="40"/>
      <c r="AG2638" s="40"/>
      <c r="AH2638" s="40"/>
      <c r="AI2638" s="40"/>
      <c r="AJ2638" s="40"/>
      <c r="AK2638" s="40"/>
      <c r="AL2638" s="40"/>
      <c r="AM2638" s="40"/>
      <c r="AN2638" s="40"/>
      <c r="AO2638" s="40"/>
      <c r="AP2638" s="40">
        <f>Database_Overig_Materieel[[#This Row],[Verbruik '[liter/kWh/kg per uur']]]*AP$2740</f>
        <v>33.927543588249272</v>
      </c>
      <c r="AQ2638" s="40"/>
      <c r="AR2638" s="40"/>
      <c r="AS2638" s="40">
        <f>Database_Overig_Materieel[[#This Row],[Verbruik '[liter/kWh/kg per uur']]]*AS$2740</f>
        <v>159.27566900643475</v>
      </c>
      <c r="AT2638" s="40"/>
      <c r="AU2638" s="40"/>
      <c r="AV2638" s="40"/>
      <c r="AW2638" s="40">
        <f>Database_Overig_Materieel[[#This Row],[008. eutrophication (EP)]]*AW$2740</f>
        <v>2.5490409313663203E-3</v>
      </c>
      <c r="AX2638" s="40">
        <f>Database_Overig_Materieel[[#This Row],[009. human toxicity (HT)]]*AX$2740</f>
        <v>1.694055539290032E-3</v>
      </c>
      <c r="AY2638" s="40">
        <f>Database_Overig_Materieel[[#This Row],[010. Ecotoxicity, fresh water (FAETP)]]*AY$2740</f>
        <v>3.8408515135676524E-6</v>
      </c>
      <c r="AZ2638" s="40">
        <f>Database_Overig_Materieel[[#This Row],[012. Ecotoxcity, marine water (MAETP)]]*AZ$2740</f>
        <v>0</v>
      </c>
      <c r="BA2638" s="40"/>
      <c r="BB2638" s="40"/>
      <c r="BC2638" s="40"/>
      <c r="BD2638" s="40"/>
      <c r="BE2638" s="40"/>
      <c r="BG2638" s="33" t="s">
        <v>885</v>
      </c>
      <c r="BH2638" s="33" t="s">
        <v>135</v>
      </c>
    </row>
    <row r="2639" spans="1:63">
      <c r="A2639" s="33" t="s">
        <v>947</v>
      </c>
      <c r="B2639" s="33" t="s">
        <v>936</v>
      </c>
      <c r="C2639" s="33" t="s">
        <v>938</v>
      </c>
      <c r="D2639" s="33" t="s">
        <v>939</v>
      </c>
      <c r="E2639" s="33" t="s">
        <v>829</v>
      </c>
      <c r="F2639" s="33">
        <v>13.18</v>
      </c>
      <c r="G2639" s="41">
        <f>Database_Overig_Materieel[[#This Row],[Verbruik '[liter/kWh/kg per uur']]]*G$2741</f>
        <v>3.9375665165123714</v>
      </c>
      <c r="H2639" s="33">
        <v>60</v>
      </c>
      <c r="I2639" s="36">
        <v>35.9</v>
      </c>
      <c r="J2639" s="40">
        <f>Database_Overig_Materieel[[#This Row],[Verbruik '[liter/kWh/kg per uur']]]*J$2741</f>
        <v>2.3151592600000002E-5</v>
      </c>
      <c r="K2639" s="40">
        <f>Database_Overig_Materieel[[#This Row],[Verbruik '[liter/kWh/kg per uur']]]*K$2741</f>
        <v>0.31332568851999998</v>
      </c>
      <c r="L2639" s="40">
        <f>Database_Overig_Materieel[[#This Row],[Verbruik '[liter/kWh/kg per uur']]]*L$2741</f>
        <v>45.725828710000002</v>
      </c>
      <c r="M2639" s="40">
        <f>Database_Overig_Materieel[[#This Row],[Verbruik '[liter/kWh/kg per uur']]]*M$2741</f>
        <v>7.9583871399999986E-6</v>
      </c>
      <c r="N2639" s="40">
        <f>Database_Overig_Materieel[[#This Row],[Verbruik '[liter/kWh/kg per uur']]]*N$2741</f>
        <v>1.5049306219999999E-2</v>
      </c>
      <c r="O2639" s="40">
        <f>Database_Overig_Materieel[[#This Row],[Milieu Kosten Indicator (euro) - Euro]]*O$2741</f>
        <v>2.6189884982914021E-2</v>
      </c>
      <c r="P2639" s="40">
        <f>Database_Overig_Materieel[[#This Row],[Capaciteit '[m3/uur']]]*P$2741</f>
        <v>6.1294200000000007E-2</v>
      </c>
      <c r="Q2639" s="40">
        <f>Database_Overig_Materieel[[#This Row],[Stookwaarde '[MJ/liter']]]*Q$2741</f>
        <v>30.694309011999998</v>
      </c>
      <c r="R2639" s="40">
        <f>Database_Overig_Materieel[[#This Row],[001. abiotic depletion, non fuel (AD)]]*R$2741</f>
        <v>3.9494144385510322E-7</v>
      </c>
      <c r="S2639" s="40">
        <f>Database_Overig_Materieel[[#This Row],[002. abiotic depletion, fuel (AD)]]*S$2741</f>
        <v>17.972057567589335</v>
      </c>
      <c r="T2639" s="40">
        <f>Database_Overig_Materieel[[#This Row],[004. global warming (GWP)]]*T$2741</f>
        <v>0.14042100206371513</v>
      </c>
      <c r="U2639" s="40"/>
      <c r="V2639" s="40"/>
      <c r="W2639" s="40"/>
      <c r="X2639" s="40"/>
      <c r="Y2639" s="40"/>
      <c r="Z2639" s="40"/>
      <c r="AA2639" s="40"/>
      <c r="AB2639" s="40"/>
      <c r="AC2639" s="40"/>
      <c r="AD2639" s="40"/>
      <c r="AE2639" s="40"/>
      <c r="AF2639" s="40"/>
      <c r="AG2639" s="40"/>
      <c r="AH2639" s="40"/>
      <c r="AI2639" s="40"/>
      <c r="AJ2639" s="40"/>
      <c r="AK2639" s="40"/>
      <c r="AL2639" s="40"/>
      <c r="AM2639" s="40"/>
      <c r="AN2639" s="40"/>
      <c r="AO2639" s="40"/>
      <c r="AP2639" s="40">
        <f>Database_Overig_Materieel[[#This Row],[Verbruik '[liter/kWh/kg per uur']]]*AP$2741</f>
        <v>5.1947040447999999</v>
      </c>
      <c r="AQ2639" s="40"/>
      <c r="AR2639" s="40"/>
      <c r="AS2639" s="40">
        <f>Database_Overig_Materieel[[#This Row],[Verbruik '[liter/kWh/kg per uur']]]*AS$2741</f>
        <v>699.30548121999993</v>
      </c>
      <c r="AT2639" s="40"/>
      <c r="AU2639" s="40"/>
      <c r="AV2639" s="40"/>
      <c r="AW2639" s="40">
        <f>Database_Overig_Materieel[[#This Row],[008. eutrophication (EP)]]*AW$2741</f>
        <v>3.0771760143960005E-4</v>
      </c>
      <c r="AX2639" s="40">
        <f>Database_Overig_Materieel[[#This Row],[009. human toxicity (HT)]]*AX$2741</f>
        <v>1.1185251758444894E-2</v>
      </c>
      <c r="AY2639" s="40">
        <f>Database_Overig_Materieel[[#This Row],[010. Ecotoxicity, fresh water (FAETP)]]*AY$2741</f>
        <v>3.5314958149163159E-8</v>
      </c>
      <c r="AZ2639" s="40">
        <f>Database_Overig_Materieel[[#This Row],[012. Ecotoxcity, marine water (MAETP)]]*AZ$2741</f>
        <v>0</v>
      </c>
      <c r="BA2639" s="40"/>
      <c r="BB2639" s="40"/>
      <c r="BC2639" s="40"/>
      <c r="BD2639" s="40"/>
      <c r="BE2639" s="40"/>
      <c r="BG2639" s="33" t="s">
        <v>885</v>
      </c>
      <c r="BH2639" s="33" t="s">
        <v>135</v>
      </c>
    </row>
    <row r="2640" spans="1:63">
      <c r="A2640" s="33" t="s">
        <v>948</v>
      </c>
      <c r="B2640" s="33" t="s">
        <v>936</v>
      </c>
      <c r="C2640" s="33" t="s">
        <v>938</v>
      </c>
      <c r="D2640" s="33" t="s">
        <v>939</v>
      </c>
      <c r="E2640" s="33" t="s">
        <v>829</v>
      </c>
      <c r="F2640" s="38">
        <f>$F$2631*($I$2631/Database_Overig_Materieel[[#This Row],[Stookwaarde '[MJ/liter']]])</f>
        <v>14.294924471299092</v>
      </c>
      <c r="G2640" s="41">
        <f>Database_Overig_Materieel[[#This Row],[Verbruik '[liter/kWh/kg per uur']]]*G$2742</f>
        <v>3.7210245690957113</v>
      </c>
      <c r="H2640" s="33">
        <v>60</v>
      </c>
      <c r="I2640" s="33">
        <v>33.1</v>
      </c>
      <c r="J2640" s="40">
        <f>Database_Overig_Materieel[[#This Row],[Verbruik '[liter/kWh/kg per uur']]]*J$2742</f>
        <v>7.3104386695468273E-5</v>
      </c>
      <c r="K2640" s="40">
        <f>Database_Overig_Materieel[[#This Row],[Verbruik '[liter/kWh/kg per uur']]]*K$2742</f>
        <v>0.42625936645987911</v>
      </c>
      <c r="L2640" s="40">
        <f>Database_Overig_Materieel[[#This Row],[Verbruik '[liter/kWh/kg per uur']]]*L$2742</f>
        <v>52.534652236271896</v>
      </c>
      <c r="M2640" s="40">
        <f>Database_Overig_Materieel[[#This Row],[Verbruik '[liter/kWh/kg per uur']]]*M$2742</f>
        <v>7.5994820423564941E-7</v>
      </c>
      <c r="N2640" s="40">
        <f>Database_Overig_Materieel[[#This Row],[Verbruik '[liter/kWh/kg per uur']]]*N$2742</f>
        <v>1.064494422634441E-2</v>
      </c>
      <c r="O2640" s="40">
        <f>Database_Overig_Materieel[[#This Row],[Milieu Kosten Indicator (euro) - Euro]]*O$2742</f>
        <v>1.5774613876258833E-2</v>
      </c>
      <c r="P2640" s="40">
        <f>Database_Overig_Materieel[[#This Row],[Capaciteit '[m3/uur']]]*P$2742</f>
        <v>4.4942279999999994E-2</v>
      </c>
      <c r="Q2640" s="40">
        <f>Database_Overig_Materieel[[#This Row],[Stookwaarde '[MJ/liter']]]*Q$2742</f>
        <v>24.427835417000001</v>
      </c>
      <c r="R2640" s="40">
        <f>Database_Overig_Materieel[[#This Row],[001. abiotic depletion, non fuel (AD)]]*R$2742</f>
        <v>4.3498301685306756E-7</v>
      </c>
      <c r="S2640" s="40">
        <f>Database_Overig_Materieel[[#This Row],[002. abiotic depletion, fuel (AD)]]*S$2742</f>
        <v>9.6361096051777171</v>
      </c>
      <c r="T2640" s="40">
        <f>Database_Overig_Materieel[[#This Row],[004. global warming (GWP)]]*T$2742</f>
        <v>0.1568839692999176</v>
      </c>
      <c r="U2640" s="40"/>
      <c r="V2640" s="40"/>
      <c r="W2640" s="40"/>
      <c r="X2640" s="40"/>
      <c r="Y2640" s="40"/>
      <c r="Z2640" s="40"/>
      <c r="AA2640" s="40"/>
      <c r="AB2640" s="40"/>
      <c r="AC2640" s="40"/>
      <c r="AD2640" s="40"/>
      <c r="AE2640" s="40"/>
      <c r="AF2640" s="40"/>
      <c r="AG2640" s="40"/>
      <c r="AH2640" s="40"/>
      <c r="AI2640" s="40"/>
      <c r="AJ2640" s="40"/>
      <c r="AK2640" s="40"/>
      <c r="AL2640" s="40"/>
      <c r="AM2640" s="40"/>
      <c r="AN2640" s="40"/>
      <c r="AO2640" s="40"/>
      <c r="AP2640" s="40">
        <f>Database_Overig_Materieel[[#This Row],[Verbruik '[liter/kWh/kg per uur']]]*AP$2742</f>
        <v>6.3200805842054377</v>
      </c>
      <c r="AQ2640" s="40"/>
      <c r="AR2640" s="40"/>
      <c r="AS2640" s="40">
        <f>Database_Overig_Materieel[[#This Row],[Verbruik '[liter/kWh/kg per uur']]]*AS$2742</f>
        <v>909.38994633486391</v>
      </c>
      <c r="AT2640" s="40"/>
      <c r="AU2640" s="40"/>
      <c r="AV2640" s="40"/>
      <c r="AW2640" s="40">
        <f>Database_Overig_Materieel[[#This Row],[008. eutrophication (EP)]]*AW$2742</f>
        <v>1.2930563595971999E-4</v>
      </c>
      <c r="AX2640" s="40">
        <f>Database_Overig_Materieel[[#This Row],[009. human toxicity (HT)]]*AX$2742</f>
        <v>2.4026144091402854E-3</v>
      </c>
      <c r="AY2640" s="40">
        <f>Database_Overig_Materieel[[#This Row],[010. Ecotoxicity, fresh water (FAETP)]]*AY$2742</f>
        <v>4.7065110225539887E-8</v>
      </c>
      <c r="AZ2640" s="40">
        <f>Database_Overig_Materieel[[#This Row],[012. Ecotoxcity, marine water (MAETP)]]*AZ$2742</f>
        <v>0</v>
      </c>
      <c r="BA2640" s="40"/>
      <c r="BB2640" s="40"/>
      <c r="BC2640" s="40"/>
      <c r="BD2640" s="40"/>
      <c r="BE2640" s="40"/>
      <c r="BG2640" s="33" t="s">
        <v>885</v>
      </c>
      <c r="BH2640" s="33" t="s">
        <v>135</v>
      </c>
    </row>
    <row r="2641" spans="1:60">
      <c r="A2641" s="33" t="s">
        <v>949</v>
      </c>
      <c r="B2641" s="33" t="s">
        <v>936</v>
      </c>
      <c r="C2641" s="33" t="s">
        <v>938</v>
      </c>
      <c r="D2641" s="33" t="s">
        <v>939</v>
      </c>
      <c r="E2641" s="33" t="s">
        <v>829</v>
      </c>
      <c r="F2641" s="38">
        <f>$F$2631*($I$2631/Database_Overig_Materieel[[#This Row],[Stookwaarde '[MJ/liter']]])</f>
        <v>13.794810495626821</v>
      </c>
      <c r="G2641" s="41">
        <f>Database_Overig_Materieel[[#This Row],[Verbruik '[liter/kWh/kg per uur']]]*G$2743</f>
        <v>2.9442305367631825</v>
      </c>
      <c r="H2641" s="33">
        <v>60</v>
      </c>
      <c r="I2641" s="33">
        <v>34.299999999999997</v>
      </c>
      <c r="J2641" s="40">
        <f>Database_Overig_Materieel[[#This Row],[Verbruik '[liter/kWh/kg per uur']]]*J$2743</f>
        <v>5.3504138144023322E-5</v>
      </c>
      <c r="K2641" s="40">
        <f>Database_Overig_Materieel[[#This Row],[Verbruik '[liter/kWh/kg per uur']]]*K$2743</f>
        <v>0.11646904701696793</v>
      </c>
      <c r="L2641" s="40">
        <f>Database_Overig_Materieel[[#This Row],[Verbruik '[liter/kWh/kg per uur']]]*L$2743</f>
        <v>19.859297501043731</v>
      </c>
      <c r="M2641" s="40">
        <f>Database_Overig_Materieel[[#This Row],[Verbruik '[liter/kWh/kg per uur']]]*M$2743</f>
        <v>1.8993660727113702E-6</v>
      </c>
      <c r="N2641" s="40">
        <f>Database_Overig_Materieel[[#This Row],[Verbruik '[liter/kWh/kg per uur']]]*N$2743</f>
        <v>1.6187603144956268E-2</v>
      </c>
      <c r="O2641" s="40">
        <f>Database_Overig_Materieel[[#This Row],[Milieu Kosten Indicator (euro) - Euro]]*O$2743</f>
        <v>2.6485187933809228E-2</v>
      </c>
      <c r="P2641" s="40">
        <f>Database_Overig_Materieel[[#This Row],[Capaciteit '[m3/uur']]]*P$2743</f>
        <v>0.26767283999999997</v>
      </c>
      <c r="Q2641" s="40">
        <f>Database_Overig_Materieel[[#This Row],[Stookwaarde '[MJ/liter']]]*Q$2743</f>
        <v>27.422117695000001</v>
      </c>
      <c r="R2641" s="40">
        <f>Database_Overig_Materieel[[#This Row],[001. abiotic depletion, non fuel (AD)]]*R$2743</f>
        <v>3.0458475144738505E-5</v>
      </c>
      <c r="S2641" s="40">
        <f>Database_Overig_Materieel[[#This Row],[002. abiotic depletion, fuel (AD)]]*S$2743</f>
        <v>5.582225387676357</v>
      </c>
      <c r="T2641" s="40">
        <f>Database_Overig_Materieel[[#This Row],[004. global warming (GWP)]]*T$2743</f>
        <v>4.8531966541583911</v>
      </c>
      <c r="U2641" s="40"/>
      <c r="V2641" s="40"/>
      <c r="W2641" s="40"/>
      <c r="X2641" s="40"/>
      <c r="Y2641" s="40"/>
      <c r="Z2641" s="40"/>
      <c r="AA2641" s="40"/>
      <c r="AB2641" s="40"/>
      <c r="AC2641" s="40"/>
      <c r="AD2641" s="40"/>
      <c r="AE2641" s="40"/>
      <c r="AF2641" s="40"/>
      <c r="AG2641" s="40"/>
      <c r="AH2641" s="40"/>
      <c r="AI2641" s="40"/>
      <c r="AJ2641" s="40"/>
      <c r="AK2641" s="40"/>
      <c r="AL2641" s="40"/>
      <c r="AM2641" s="40"/>
      <c r="AN2641" s="40"/>
      <c r="AO2641" s="40"/>
      <c r="AP2641" s="40">
        <f>Database_Overig_Materieel[[#This Row],[Verbruik '[liter/kWh/kg per uur']]]*AP$2743</f>
        <v>108.33481975233235</v>
      </c>
      <c r="AQ2641" s="40"/>
      <c r="AR2641" s="40"/>
      <c r="AS2641" s="40">
        <f>Database_Overig_Materieel[[#This Row],[Verbruik '[liter/kWh/kg per uur']]]*AS$2743</f>
        <v>246.10061939049561</v>
      </c>
      <c r="AT2641" s="40"/>
      <c r="AU2641" s="40"/>
      <c r="AV2641" s="40"/>
      <c r="AW2641" s="40">
        <f>Database_Overig_Materieel[[#This Row],[008. eutrophication (EP)]]*AW$2743</f>
        <v>1.6396386807872997E-2</v>
      </c>
      <c r="AX2641" s="40">
        <f>Database_Overig_Materieel[[#This Row],[009. human toxicity (HT)]]*AX$2743</f>
        <v>2.8382166035501948E-3</v>
      </c>
      <c r="AY2641" s="40">
        <f>Database_Overig_Materieel[[#This Row],[010. Ecotoxicity, fresh water (FAETP)]]*AY$2743</f>
        <v>8.6101811543332831E-6</v>
      </c>
      <c r="AZ2641" s="40">
        <f>Database_Overig_Materieel[[#This Row],[012. Ecotoxcity, marine water (MAETP)]]*AZ$2743</f>
        <v>0</v>
      </c>
      <c r="BA2641" s="40"/>
      <c r="BB2641" s="40"/>
      <c r="BC2641" s="40"/>
      <c r="BD2641" s="40"/>
      <c r="BE2641" s="40"/>
      <c r="BG2641" s="33" t="s">
        <v>885</v>
      </c>
      <c r="BH2641" s="33" t="s">
        <v>135</v>
      </c>
    </row>
    <row r="2642" spans="1:60">
      <c r="A2642" s="33" t="s">
        <v>950</v>
      </c>
      <c r="B2642" s="33" t="s">
        <v>936</v>
      </c>
      <c r="C2642" s="33" t="s">
        <v>938</v>
      </c>
      <c r="D2642" s="33" t="s">
        <v>939</v>
      </c>
      <c r="E2642" s="33" t="s">
        <v>829</v>
      </c>
      <c r="F2642" s="38">
        <f>$F$2631*($I$2631/Database_Overig_Materieel[[#This Row],[Stookwaarde '[MJ/liter']]])</f>
        <v>13.714840579710144</v>
      </c>
      <c r="G2642" s="41">
        <f>Database_Overig_Materieel[[#This Row],[Verbruik '[liter/kWh/kg per uur']]]*G$2744</f>
        <v>3.8779351937161803</v>
      </c>
      <c r="H2642" s="33">
        <v>60</v>
      </c>
      <c r="I2642" s="33">
        <v>34.5</v>
      </c>
      <c r="J2642" s="40">
        <f>Database_Overig_Materieel[[#This Row],[Verbruik '[liter/kWh/kg per uur']]]*J$2744</f>
        <v>3.0717539891594197E-5</v>
      </c>
      <c r="K2642" s="40">
        <f>Database_Overig_Materieel[[#This Row],[Verbruik '[liter/kWh/kg per uur']]]*K$2744</f>
        <v>7.5886544450434787E-2</v>
      </c>
      <c r="L2642" s="40">
        <f>Database_Overig_Materieel[[#This Row],[Verbruik '[liter/kWh/kg per uur']]]*L$2744</f>
        <v>18.934464780185507</v>
      </c>
      <c r="M2642" s="40">
        <f>Database_Overig_Materieel[[#This Row],[Verbruik '[liter/kWh/kg per uur']]]*M$2744</f>
        <v>1.1893934910782608E-6</v>
      </c>
      <c r="N2642" s="40">
        <f>Database_Overig_Materieel[[#This Row],[Verbruik '[liter/kWh/kg per uur']]]*N$2744</f>
        <v>1.3758453772753622E-2</v>
      </c>
      <c r="O2642" s="40">
        <f>Database_Overig_Materieel[[#This Row],[Milieu Kosten Indicator (euro) - Euro]]*O$2744</f>
        <v>1.9245199615003809E-2</v>
      </c>
      <c r="P2642" s="40">
        <f>Database_Overig_Materieel[[#This Row],[Capaciteit '[m3/uur']]]*P$2744</f>
        <v>0.13089858000000001</v>
      </c>
      <c r="Q2642" s="40">
        <f>Database_Overig_Materieel[[#This Row],[Stookwaarde '[MJ/liter']]]*Q$2744</f>
        <v>26.782862669999997</v>
      </c>
      <c r="R2642" s="40">
        <f>Database_Overig_Materieel[[#This Row],[001. abiotic depletion, non fuel (AD)]]*R$2744</f>
        <v>1.5654071479667945E-5</v>
      </c>
      <c r="S2642" s="40">
        <f>Database_Overig_Materieel[[#This Row],[002. abiotic depletion, fuel (AD)]]*S$2744</f>
        <v>2.5568601400446673</v>
      </c>
      <c r="T2642" s="40">
        <f>Database_Overig_Materieel[[#This Row],[004. global warming (GWP)]]*T$2744</f>
        <v>4.2585928869126297</v>
      </c>
      <c r="U2642" s="40"/>
      <c r="V2642" s="40"/>
      <c r="W2642" s="40"/>
      <c r="X2642" s="40"/>
      <c r="Y2642" s="40"/>
      <c r="Z2642" s="40"/>
      <c r="AA2642" s="40"/>
      <c r="AB2642" s="40"/>
      <c r="AC2642" s="40"/>
      <c r="AD2642" s="40"/>
      <c r="AE2642" s="40"/>
      <c r="AF2642" s="40"/>
      <c r="AG2642" s="40"/>
      <c r="AH2642" s="40"/>
      <c r="AI2642" s="40"/>
      <c r="AJ2642" s="40"/>
      <c r="AK2642" s="40"/>
      <c r="AL2642" s="40"/>
      <c r="AM2642" s="40"/>
      <c r="AN2642" s="40"/>
      <c r="AO2642" s="40"/>
      <c r="AP2642" s="40">
        <f>Database_Overig_Materieel[[#This Row],[Verbruik '[liter/kWh/kg per uur']]]*AP$2744</f>
        <v>33.927543588249272</v>
      </c>
      <c r="AQ2642" s="40"/>
      <c r="AR2642" s="40"/>
      <c r="AS2642" s="40">
        <f>Database_Overig_Materieel[[#This Row],[Verbruik '[liter/kWh/kg per uur']]]*AS$2744</f>
        <v>159.27566900643475</v>
      </c>
      <c r="AT2642" s="40"/>
      <c r="AU2642" s="40"/>
      <c r="AV2642" s="40"/>
      <c r="AW2642" s="40">
        <f>Database_Overig_Materieel[[#This Row],[008. eutrophication (EP)]]*AW$2744</f>
        <v>2.5490409313663203E-3</v>
      </c>
      <c r="AX2642" s="40">
        <f>Database_Overig_Materieel[[#This Row],[009. human toxicity (HT)]]*AX$2744</f>
        <v>1.694005350732432E-3</v>
      </c>
      <c r="AY2642" s="40">
        <f>Database_Overig_Materieel[[#This Row],[010. Ecotoxicity, fresh water (FAETP)]]*AY$2744</f>
        <v>3.8408515135676524E-6</v>
      </c>
      <c r="AZ2642" s="40">
        <f>Database_Overig_Materieel[[#This Row],[012. Ecotoxcity, marine water (MAETP)]]*AZ$2744</f>
        <v>0</v>
      </c>
      <c r="BA2642" s="40"/>
      <c r="BB2642" s="40"/>
      <c r="BC2642" s="40"/>
      <c r="BD2642" s="40"/>
      <c r="BE2642" s="40"/>
      <c r="BG2642" s="33" t="s">
        <v>885</v>
      </c>
      <c r="BH2642" s="33" t="s">
        <v>135</v>
      </c>
    </row>
    <row r="2643" spans="1:60">
      <c r="A2643" s="33" t="s">
        <v>951</v>
      </c>
      <c r="B2643" s="33" t="s">
        <v>936</v>
      </c>
      <c r="C2643" s="33" t="s">
        <v>938</v>
      </c>
      <c r="D2643" s="33" t="s">
        <v>939</v>
      </c>
      <c r="E2643" s="33" t="s">
        <v>829</v>
      </c>
      <c r="F2643" s="33">
        <f>F2631*3.1</f>
        <v>40.857999999999997</v>
      </c>
      <c r="G2643" s="41">
        <f>Database_Overig_Materieel[[#This Row],[Verbruik '[liter/kWh/kg per uur']]]*G$2745</f>
        <v>2.6556041982359999</v>
      </c>
      <c r="H2643" s="33">
        <v>60</v>
      </c>
      <c r="I2643" s="33">
        <v>3.6</v>
      </c>
      <c r="J2643" s="40">
        <f>Database_Overig_Materieel[[#This Row],[Verbruik '[liter/kWh/kg per uur']]]*J$2745</f>
        <v>7.3135820000000005E-4</v>
      </c>
      <c r="K2643" s="40">
        <f>Database_Overig_Materieel[[#This Row],[Verbruik '[liter/kWh/kg per uur']]]*K$2745</f>
        <v>6.4147059999999992E-2</v>
      </c>
      <c r="L2643" s="40">
        <f>Database_Overig_Materieel[[#This Row],[Verbruik '[liter/kWh/kg per uur']]]*L$2745</f>
        <v>9.1930499999999995</v>
      </c>
      <c r="M2643" s="40">
        <f>Database_Overig_Materieel[[#This Row],[Verbruik '[liter/kWh/kg per uur']]]*M$2745</f>
        <v>9.233908E-7</v>
      </c>
      <c r="N2643" s="40">
        <f>Database_Overig_Materieel[[#This Row],[Verbruik '[liter/kWh/kg per uur']]]*N$2745</f>
        <v>1.1971394E-2</v>
      </c>
      <c r="O2643" s="40">
        <f>Database_Overig_Materieel[[#This Row],[Verbruik '[liter/kWh/kg per uur']]]*O$2745</f>
        <v>8.7844699999999998E-2</v>
      </c>
      <c r="P2643" s="40">
        <f>Database_Overig_Materieel[[#This Row],[Verbruik '[liter/kWh/kg per uur']]]*P$2745</f>
        <v>1.2420832E-2</v>
      </c>
      <c r="Q2643" s="40">
        <f>Database_Overig_Materieel[[#This Row],[Verbruik '[liter/kWh/kg per uur']]]*Q$2745</f>
        <v>17.364649999999997</v>
      </c>
      <c r="R2643" s="40">
        <f>Database_Overig_Materieel[[#This Row],[Verbruik '[liter/kWh/kg per uur']]]*R$2745</f>
        <v>0.28764032</v>
      </c>
      <c r="S2643" s="40">
        <f>Database_Overig_Materieel[[#This Row],[Verbruik '[liter/kWh/kg per uur']]]*S$2745</f>
        <v>943.81979999999999</v>
      </c>
      <c r="T2643" s="40">
        <f>Database_Overig_Materieel[[#This Row],[Verbruik '[liter/kWh/kg per uur']]]*T$2745</f>
        <v>0.54341139999999988</v>
      </c>
      <c r="U2643" s="40"/>
      <c r="V2643" s="40"/>
      <c r="W2643" s="40"/>
      <c r="X2643" s="40"/>
      <c r="Y2643" s="40"/>
      <c r="Z2643" s="40"/>
      <c r="AA2643" s="40"/>
      <c r="AB2643" s="40"/>
      <c r="AC2643" s="40"/>
      <c r="AD2643" s="40"/>
      <c r="AE2643" s="40"/>
      <c r="AF2643" s="40"/>
      <c r="AG2643" s="40"/>
      <c r="AH2643" s="40"/>
      <c r="AI2643" s="40"/>
      <c r="AJ2643" s="40"/>
      <c r="AK2643" s="40"/>
      <c r="AL2643" s="40"/>
      <c r="AM2643" s="40"/>
      <c r="AN2643" s="40"/>
      <c r="AO2643" s="40"/>
      <c r="AP2643" s="40">
        <f>Database_Overig_Materieel[[#This Row],[Verbruik '[liter/kWh/kg per uur']]]*AP$2745</f>
        <v>355.46459999999996</v>
      </c>
      <c r="AQ2643" s="40"/>
      <c r="AR2643" s="40"/>
      <c r="AS2643" s="40">
        <f>Database_Overig_Materieel[[#This Row],[Verbruik '[liter/kWh/kg per uur']]]*AS$2745</f>
        <v>125.43405999999999</v>
      </c>
      <c r="AT2643" s="40"/>
      <c r="AU2643" s="40"/>
      <c r="AV2643" s="40"/>
      <c r="AW2643" s="40">
        <f>Database_Overig_Materieel[[#This Row],[Verbruik '[liter/kWh/kg per uur']]]*AW$2745</f>
        <v>355.46459999999996</v>
      </c>
      <c r="AX2643" s="40">
        <f>Database_Overig_Materieel[[#This Row],[Verbruik '[liter/kWh/kg per uur']]]*AX$2745</f>
        <v>1.6751779999999998E-3</v>
      </c>
      <c r="AY2643" s="40">
        <f>Database_Overig_Materieel[[#This Row],[Verbruik '[liter/kWh/kg per uur']]]*AY$2745</f>
        <v>3.1092937999999997</v>
      </c>
      <c r="AZ2643" s="40">
        <f>Database_Overig_Materieel[[#This Row],[Verbruik '[liter/kWh/kg per uur']]]*AZ$2745</f>
        <v>3.6853915999999999E-4</v>
      </c>
      <c r="BA2643" s="40"/>
      <c r="BB2643" s="40"/>
      <c r="BC2643" s="40"/>
      <c r="BD2643" s="40"/>
      <c r="BE2643" s="40"/>
      <c r="BF2643" s="33" t="s">
        <v>892</v>
      </c>
      <c r="BG2643" s="33" t="s">
        <v>893</v>
      </c>
      <c r="BH2643" s="33" t="s">
        <v>854</v>
      </c>
    </row>
    <row r="2644" spans="1:60">
      <c r="A2644" s="33" t="s">
        <v>952</v>
      </c>
      <c r="B2644" s="33" t="s">
        <v>936</v>
      </c>
      <c r="C2644" s="33" t="s">
        <v>938</v>
      </c>
      <c r="D2644" s="33" t="s">
        <v>939</v>
      </c>
      <c r="E2644" s="33" t="s">
        <v>829</v>
      </c>
      <c r="F2644" s="33">
        <f>F2631*3.1</f>
        <v>40.857999999999997</v>
      </c>
      <c r="G2644" s="41">
        <f>Database_Overig_Materieel[[#This Row],[Verbruik '[liter/kWh/kg per uur']]]*G$2746</f>
        <v>3.4072430428379996</v>
      </c>
      <c r="H2644" s="33">
        <v>60</v>
      </c>
      <c r="I2644" s="33">
        <v>3.6</v>
      </c>
      <c r="J2644" s="40">
        <f>Database_Overig_Materieel[[#This Row],[Verbruik '[liter/kWh/kg per uur']]]*J$2746</f>
        <v>5.7609779999999997E-4</v>
      </c>
      <c r="K2644" s="40">
        <f>Database_Overig_Materieel[[#This Row],[Verbruik '[liter/kWh/kg per uur']]]*K$2746</f>
        <v>0.23820213999999998</v>
      </c>
      <c r="L2644" s="40">
        <f>Database_Overig_Materieel[[#This Row],[Verbruik '[liter/kWh/kg per uur']]]*L$2746</f>
        <v>28.314593999999996</v>
      </c>
      <c r="M2644" s="40">
        <f>Database_Overig_Materieel[[#This Row],[Verbruik '[liter/kWh/kg per uur']]]*M$2746</f>
        <v>1.9816129999999999E-6</v>
      </c>
      <c r="N2644" s="40">
        <f>Database_Overig_Materieel[[#This Row],[Verbruik '[liter/kWh/kg per uur']]]*N$2746</f>
        <v>1.0704796000000001E-2</v>
      </c>
      <c r="O2644" s="40">
        <f>Database_Overig_Materieel[[#This Row],[Verbruik '[liter/kWh/kg per uur']]]*O$2746</f>
        <v>8.4984639999999986E-2</v>
      </c>
      <c r="P2644" s="40">
        <f>Database_Overig_Materieel[[#This Row],[Verbruik '[liter/kWh/kg per uur']]]*P$2746</f>
        <v>1.0173641999999998E-2</v>
      </c>
      <c r="Q2644" s="40">
        <f>Database_Overig_Materieel[[#This Row],[Verbruik '[liter/kWh/kg per uur']]]*Q$2746</f>
        <v>15.240034</v>
      </c>
      <c r="R2644" s="40">
        <f>Database_Overig_Materieel[[#This Row],[Verbruik '[liter/kWh/kg per uur']]]*R$2746</f>
        <v>0.24351367999999998</v>
      </c>
      <c r="S2644" s="40">
        <f>Database_Overig_Materieel[[#This Row],[Verbruik '[liter/kWh/kg per uur']]]*S$2746</f>
        <v>890.70439999999996</v>
      </c>
      <c r="T2644" s="40">
        <f>Database_Overig_Materieel[[#This Row],[Verbruik '[liter/kWh/kg per uur']]]*T$2746</f>
        <v>0.53932559999999996</v>
      </c>
      <c r="U2644" s="40"/>
      <c r="V2644" s="40"/>
      <c r="W2644" s="40"/>
      <c r="X2644" s="40"/>
      <c r="Y2644" s="40"/>
      <c r="Z2644" s="40"/>
      <c r="AA2644" s="40"/>
      <c r="AB2644" s="40"/>
      <c r="AC2644" s="40"/>
      <c r="AD2644" s="40"/>
      <c r="AE2644" s="40"/>
      <c r="AF2644" s="40"/>
      <c r="AG2644" s="40"/>
      <c r="AH2644" s="40"/>
      <c r="AI2644" s="40"/>
      <c r="AJ2644" s="40"/>
      <c r="AK2644" s="40"/>
      <c r="AL2644" s="40"/>
      <c r="AM2644" s="40"/>
      <c r="AN2644" s="40"/>
      <c r="AO2644" s="40"/>
      <c r="AP2644" s="40">
        <f>Database_Overig_Materieel[[#This Row],[Verbruik '[liter/kWh/kg per uur']]]*AP$2746</f>
        <v>9.7650619999999986</v>
      </c>
      <c r="AQ2644" s="40"/>
      <c r="AR2644" s="40"/>
      <c r="AS2644" s="40">
        <f>Database_Overig_Materieel[[#This Row],[Verbruik '[liter/kWh/kg per uur']]]*AS$2746</f>
        <v>445.35219999999998</v>
      </c>
      <c r="AT2644" s="40"/>
      <c r="AU2644" s="40"/>
      <c r="AV2644" s="40"/>
      <c r="AW2644" s="40">
        <f>Database_Overig_Materieel[[#This Row],[Verbruik '[liter/kWh/kg per uur']]]*AW$2746</f>
        <v>9.7650619999999986</v>
      </c>
      <c r="AX2644" s="40">
        <f>Database_Overig_Materieel[[#This Row],[Verbruik '[liter/kWh/kg per uur']]]*AX$2746</f>
        <v>1.3156275999999998E-3</v>
      </c>
      <c r="AY2644" s="40">
        <f>Database_Overig_Materieel[[#This Row],[Verbruik '[liter/kWh/kg per uur']]]*AY$2746</f>
        <v>2.3166485999999997</v>
      </c>
      <c r="AZ2644" s="40">
        <f>Database_Overig_Materieel[[#This Row],[Verbruik '[liter/kWh/kg per uur']]]*AZ$2746</f>
        <v>3.7834507999999993E-4</v>
      </c>
      <c r="BA2644" s="40"/>
      <c r="BB2644" s="40"/>
      <c r="BC2644" s="40"/>
      <c r="BD2644" s="40"/>
      <c r="BE2644" s="40"/>
      <c r="BF2644" s="33" t="s">
        <v>892</v>
      </c>
      <c r="BG2644" s="33" t="s">
        <v>893</v>
      </c>
      <c r="BH2644" s="33" t="s">
        <v>854</v>
      </c>
    </row>
    <row r="2645" spans="1:60">
      <c r="A2645" s="33" t="s">
        <v>953</v>
      </c>
      <c r="B2645" s="33" t="s">
        <v>936</v>
      </c>
      <c r="C2645" s="33" t="s">
        <v>938</v>
      </c>
      <c r="D2645" s="33" t="s">
        <v>954</v>
      </c>
      <c r="E2645" s="33" t="s">
        <v>829</v>
      </c>
      <c r="F2645" s="33">
        <v>15.94</v>
      </c>
      <c r="G2645" s="41">
        <f>Database_Overig_Materieel[[#This Row],[Verbruik '[liter/kWh/kg per uur']]]*G$2733</f>
        <v>5.0800698780891311</v>
      </c>
      <c r="H2645" s="33">
        <v>40</v>
      </c>
      <c r="I2645" s="36">
        <v>35.9</v>
      </c>
      <c r="J2645" s="40">
        <f>Database_Overig_Materieel[[#This Row],[Verbruik '[liter/kWh/kg per uur']]]*J$2733</f>
        <v>2.5663399999999999E-5</v>
      </c>
      <c r="K2645" s="40">
        <f>Database_Overig_Materieel[[#This Row],[Verbruik '[liter/kWh/kg per uur']]]*K$2733</f>
        <v>0.37458536145999999</v>
      </c>
      <c r="L2645" s="40">
        <f>Database_Overig_Materieel[[#This Row],[Verbruik '[liter/kWh/kg per uur']]]*L$2733</f>
        <v>54.824353205999998</v>
      </c>
      <c r="M2645" s="40">
        <f>Database_Overig_Materieel[[#This Row],[Verbruik '[liter/kWh/kg per uur']]]*M$2733</f>
        <v>9.5480599999999999E-6</v>
      </c>
      <c r="N2645" s="40">
        <f>Database_Overig_Materieel[[#This Row],[Verbruik '[liter/kWh/kg per uur']]]*N$2733</f>
        <v>1.8050551640000002E-2</v>
      </c>
      <c r="O2645" s="40">
        <f>Database_Overig_Materieel[[#This Row],[Verbruik '[liter/kWh/kg per uur']]]*O$2733</f>
        <v>0.16079299659999999</v>
      </c>
      <c r="P2645" s="40">
        <f>Database_Overig_Materieel[[#This Row],[Verbruik '[liter/kWh/kg per uur']]]*P$2733</f>
        <v>3.0764630379999998E-2</v>
      </c>
      <c r="Q2645" s="40">
        <f>Database_Overig_Materieel[[#This Row],[Verbruik '[liter/kWh/kg per uur']]]*Q$2733</f>
        <v>13.5730408674</v>
      </c>
      <c r="R2645" s="40">
        <f>Database_Overig_Materieel[[#This Row],[Verbruik '[liter/kWh/kg per uur']]]*R$2733</f>
        <v>0.26879666631999999</v>
      </c>
      <c r="S2645" s="40">
        <f>Database_Overig_Materieel[[#This Row],[Verbruik '[liter/kWh/kg per uur']]]*S$2733</f>
        <v>899.38757733999989</v>
      </c>
      <c r="T2645" s="40">
        <f>Database_Overig_Materieel[[#This Row],[Verbruik '[liter/kWh/kg per uur']]]*T$2733</f>
        <v>4.8281335479999993E-2</v>
      </c>
      <c r="U2645" s="40"/>
      <c r="V2645" s="40"/>
      <c r="W2645" s="40"/>
      <c r="X2645" s="40"/>
      <c r="Y2645" s="40"/>
      <c r="Z2645" s="40"/>
      <c r="AA2645" s="40"/>
      <c r="AB2645" s="40"/>
      <c r="AC2645" s="40"/>
      <c r="AD2645" s="40"/>
      <c r="AE2645" s="40"/>
      <c r="AF2645" s="40"/>
      <c r="AG2645" s="40"/>
      <c r="AH2645" s="40"/>
      <c r="AI2645" s="40"/>
      <c r="AJ2645" s="40"/>
      <c r="AK2645" s="40"/>
      <c r="AL2645" s="40"/>
      <c r="AM2645" s="40"/>
      <c r="AN2645" s="40"/>
      <c r="AO2645" s="40"/>
      <c r="AP2645" s="40">
        <f>Database_Overig_Materieel[[#This Row],[Verbruik '[liter/kWh/kg per uur']]]*AP$2733</f>
        <v>6.0972309189999994</v>
      </c>
      <c r="AQ2645" s="40"/>
      <c r="AR2645" s="40"/>
      <c r="AS2645" s="40">
        <f>Database_Overig_Materieel[[#This Row],[Verbruik '[liter/kWh/kg per uur']]]*AS$2733</f>
        <v>836.10537883999996</v>
      </c>
      <c r="AT2645" s="40"/>
      <c r="AU2645" s="40"/>
      <c r="AV2645" s="40"/>
      <c r="AW2645" s="40">
        <f>Database_Overig_Materieel[[#This Row],[Verbruik '[liter/kWh/kg per uur']]]*AW$2733</f>
        <v>7.8990080219999995E-2</v>
      </c>
      <c r="AX2645" s="40">
        <f>Database_Overig_Materieel[[#This Row],[Verbruik '[liter/kWh/kg per uur']]]*AX$2733</f>
        <v>5.7718899399999994E-3</v>
      </c>
      <c r="AY2645" s="40">
        <f>Database_Overig_Materieel[[#This Row],[Verbruik '[liter/kWh/kg per uur']]]*AY$2733</f>
        <v>1.4026308794600002</v>
      </c>
      <c r="AZ2645" s="40">
        <f>Database_Overig_Materieel[[#This Row],[Verbruik '[liter/kWh/kg per uur']]]*AZ$2733</f>
        <v>0</v>
      </c>
      <c r="BA2645" s="40"/>
      <c r="BB2645" s="40"/>
      <c r="BC2645" s="40"/>
      <c r="BD2645" s="40"/>
      <c r="BE2645" s="40"/>
      <c r="BG2645" s="33" t="s">
        <v>885</v>
      </c>
      <c r="BH2645" s="33" t="s">
        <v>135</v>
      </c>
    </row>
    <row r="2646" spans="1:60">
      <c r="A2646" s="33" t="s">
        <v>955</v>
      </c>
      <c r="B2646" s="33" t="s">
        <v>936</v>
      </c>
      <c r="C2646" s="33" t="s">
        <v>938</v>
      </c>
      <c r="D2646" s="33" t="s">
        <v>954</v>
      </c>
      <c r="E2646" s="33" t="s">
        <v>829</v>
      </c>
      <c r="F2646" s="38">
        <f>$F$2645*($I$2645/Database_Overig_Materieel[[#This Row],[Stookwaarde '[MJ/liter']]])</f>
        <v>17.288398791540786</v>
      </c>
      <c r="G2646" s="41">
        <f>Database_Overig_Materieel[[#This Row],[Verbruik '[liter/kWh/kg per uur']]]*G$2734</f>
        <v>4.8538975890720026</v>
      </c>
      <c r="H2646" s="33">
        <v>40</v>
      </c>
      <c r="I2646" s="33">
        <v>33.1</v>
      </c>
      <c r="J2646" s="40">
        <f>Database_Overig_Materieel[[#This Row],[Verbruik '[liter/kWh/kg per uur']]]*J$2734</f>
        <v>8.6037618309969796E-5</v>
      </c>
      <c r="K2646" s="40">
        <f>Database_Overig_Materieel[[#This Row],[Verbruik '[liter/kWh/kg per uur']]]*K$2734</f>
        <v>0.51101045690356495</v>
      </c>
      <c r="L2646" s="40">
        <f>Database_Overig_Materieel[[#This Row],[Verbruik '[liter/kWh/kg per uur']]]*L$2734</f>
        <v>63.041591235752271</v>
      </c>
      <c r="M2646" s="40">
        <f>Database_Overig_Materieel[[#This Row],[Verbruik '[liter/kWh/kg per uur']]]*M$2734</f>
        <v>8.3843201851359513E-7</v>
      </c>
      <c r="N2646" s="40">
        <f>Database_Overig_Materieel[[#This Row],[Verbruik '[liter/kWh/kg per uur']]]*N$2734</f>
        <v>1.2667659292930513E-2</v>
      </c>
      <c r="O2646" s="40">
        <f>Database_Overig_Materieel[[#This Row],[Verbruik '[liter/kWh/kg per uur']]]*O$2734</f>
        <v>0.13004821103842901</v>
      </c>
      <c r="P2646" s="40">
        <f>Database_Overig_Materieel[[#This Row],[Verbruik '[liter/kWh/kg per uur']]]*P$2734</f>
        <v>2.7955461864712993E-2</v>
      </c>
      <c r="Q2646" s="40">
        <f>Database_Overig_Materieel[[#This Row],[Verbruik '[liter/kWh/kg per uur']]]*Q$2734</f>
        <v>12.517121424873112</v>
      </c>
      <c r="R2646" s="40">
        <f>Database_Overig_Materieel[[#This Row],[Verbruik '[liter/kWh/kg per uur']]]*R$2734</f>
        <v>9.9418354899456191E-2</v>
      </c>
      <c r="S2646" s="40">
        <f>Database_Overig_Materieel[[#This Row],[Verbruik '[liter/kWh/kg per uur']]]*S$2734</f>
        <v>375.36460810441093</v>
      </c>
      <c r="T2646" s="40">
        <f>Database_Overig_Materieel[[#This Row],[Verbruik '[liter/kWh/kg per uur']]]*T$2734</f>
        <v>5.0933870331722052E-2</v>
      </c>
      <c r="U2646" s="40"/>
      <c r="V2646" s="40"/>
      <c r="W2646" s="40"/>
      <c r="X2646" s="40"/>
      <c r="Y2646" s="40"/>
      <c r="Z2646" s="40"/>
      <c r="AA2646" s="40"/>
      <c r="AB2646" s="40"/>
      <c r="AC2646" s="40"/>
      <c r="AD2646" s="40"/>
      <c r="AE2646" s="40"/>
      <c r="AF2646" s="40"/>
      <c r="AG2646" s="40"/>
      <c r="AH2646" s="40"/>
      <c r="AI2646" s="40"/>
      <c r="AJ2646" s="40"/>
      <c r="AK2646" s="40"/>
      <c r="AL2646" s="40"/>
      <c r="AM2646" s="40"/>
      <c r="AN2646" s="40"/>
      <c r="AO2646" s="40"/>
      <c r="AP2646" s="40">
        <f>Database_Overig_Materieel[[#This Row],[Verbruik '[liter/kWh/kg per uur']]]*AP$2734</f>
        <v>7.4515531541963744</v>
      </c>
      <c r="AQ2646" s="40"/>
      <c r="AR2646" s="40"/>
      <c r="AS2646" s="289">
        <f>Database_Overig_Materieel[[#This Row],[Verbruik '[liter/kWh/kg per uur']]]*AS$2734</f>
        <v>1089.8337763586103</v>
      </c>
      <c r="AT2646" s="40"/>
      <c r="AU2646" s="40"/>
      <c r="AV2646" s="40"/>
      <c r="AW2646" s="40">
        <f>Database_Overig_Materieel[[#This Row],[Verbruik '[liter/kWh/kg per uur']]]*AW$2734</f>
        <v>4.866971247238671E-2</v>
      </c>
      <c r="AX2646" s="40">
        <f>Database_Overig_Materieel[[#This Row],[Verbruik '[liter/kWh/kg per uur']]]*AX$2734</f>
        <v>1.6623072052447132E-3</v>
      </c>
      <c r="AY2646" s="40">
        <f>Database_Overig_Materieel[[#This Row],[Verbruik '[liter/kWh/kg per uur']]]*AY$2734</f>
        <v>1.8470844013407857</v>
      </c>
      <c r="AZ2646" s="40">
        <f>Database_Overig_Materieel[[#This Row],[Verbruik '[liter/kWh/kg per uur']]]*AZ$2734</f>
        <v>0</v>
      </c>
      <c r="BA2646" s="40"/>
      <c r="BB2646" s="40"/>
      <c r="BC2646" s="40"/>
      <c r="BD2646" s="40"/>
      <c r="BE2646" s="40"/>
      <c r="BG2646" s="33" t="s">
        <v>885</v>
      </c>
      <c r="BH2646" s="33" t="s">
        <v>135</v>
      </c>
    </row>
    <row r="2647" spans="1:60">
      <c r="A2647" s="33" t="s">
        <v>956</v>
      </c>
      <c r="B2647" s="33" t="s">
        <v>936</v>
      </c>
      <c r="C2647" s="33" t="s">
        <v>938</v>
      </c>
      <c r="D2647" s="33" t="s">
        <v>954</v>
      </c>
      <c r="E2647" s="33" t="s">
        <v>829</v>
      </c>
      <c r="F2647" s="38">
        <f>$F$2645*($I$2645/Database_Overig_Materieel[[#This Row],[Stookwaarde '[MJ/liter']]])</f>
        <v>16.683556851311952</v>
      </c>
      <c r="G2647" s="41">
        <f>Database_Overig_Materieel[[#This Row],[Verbruik '[liter/kWh/kg per uur']]]*G$2735</f>
        <v>3.8643772448138964</v>
      </c>
      <c r="H2647" s="33">
        <v>40</v>
      </c>
      <c r="I2647" s="33">
        <v>34.299999999999997</v>
      </c>
      <c r="J2647" s="40">
        <f>Database_Overig_Materieel[[#This Row],[Verbruik '[liter/kWh/kg per uur']]]*J$2735</f>
        <v>6.249627029387755E-5</v>
      </c>
      <c r="K2647" s="40">
        <f>Database_Overig_Materieel[[#This Row],[Verbruik '[liter/kWh/kg per uur']]]*K$2735</f>
        <v>0.13665763348752186</v>
      </c>
      <c r="L2647" s="40">
        <f>Database_Overig_Materieel[[#This Row],[Verbruik '[liter/kWh/kg per uur']]]*L$2735</f>
        <v>23.557726158005831</v>
      </c>
      <c r="M2647" s="40">
        <f>Database_Overig_Materieel[[#This Row],[Verbruik '[liter/kWh/kg per uur']]]*M$2735</f>
        <v>2.2219995192419822E-6</v>
      </c>
      <c r="N2647" s="40">
        <f>Database_Overig_Materieel[[#This Row],[Verbruik '[liter/kWh/kg per uur']]]*N$2735</f>
        <v>1.9385175262915454E-2</v>
      </c>
      <c r="O2647" s="40">
        <f>Database_Overig_Materieel[[#This Row],[Verbruik '[liter/kWh/kg per uur']]]*O$2735</f>
        <v>0.21056488942676382</v>
      </c>
      <c r="P2647" s="40">
        <f>Database_Overig_Materieel[[#This Row],[Verbruik '[liter/kWh/kg per uur']]]*P$2735</f>
        <v>9.0387073194285711E-2</v>
      </c>
      <c r="Q2647" s="40">
        <f>Database_Overig_Materieel[[#This Row],[Verbruik '[liter/kWh/kg per uur']]]*Q$2735</f>
        <v>13.131122085895042</v>
      </c>
      <c r="R2647" s="40">
        <f>Database_Overig_Materieel[[#This Row],[Verbruik '[liter/kWh/kg per uur']]]*R$2735</f>
        <v>9.4942897109276974</v>
      </c>
      <c r="S2647" s="40">
        <f>Database_Overig_Materieel[[#This Row],[Verbruik '[liter/kWh/kg per uur']]]*S$2735</f>
        <v>785.22566744542269</v>
      </c>
      <c r="T2647" s="40">
        <f>Database_Overig_Materieel[[#This Row],[Verbruik '[liter/kWh/kg per uur']]]*T$2735</f>
        <v>4.0764654529521858</v>
      </c>
      <c r="U2647" s="40"/>
      <c r="V2647" s="40"/>
      <c r="W2647" s="40"/>
      <c r="X2647" s="40"/>
      <c r="Y2647" s="40"/>
      <c r="Z2647" s="40"/>
      <c r="AA2647" s="40"/>
      <c r="AB2647" s="40"/>
      <c r="AC2647" s="40"/>
      <c r="AD2647" s="40"/>
      <c r="AE2647" s="40"/>
      <c r="AF2647" s="40"/>
      <c r="AG2647" s="40"/>
      <c r="AH2647" s="40"/>
      <c r="AI2647" s="40"/>
      <c r="AJ2647" s="40"/>
      <c r="AK2647" s="40"/>
      <c r="AL2647" s="40"/>
      <c r="AM2647" s="40"/>
      <c r="AN2647" s="40"/>
      <c r="AO2647" s="40"/>
      <c r="AP2647" s="40">
        <f>Database_Overig_Materieel[[#This Row],[Verbruik '[liter/kWh/kg per uur']]]*AP$2735</f>
        <v>130.84221604545772</v>
      </c>
      <c r="AQ2647" s="40"/>
      <c r="AR2647" s="40"/>
      <c r="AS2647" s="40">
        <f>Database_Overig_Materieel[[#This Row],[Verbruik '[liter/kWh/kg per uur']]]*AS$2735</f>
        <v>288.33298735830897</v>
      </c>
      <c r="AT2647" s="40"/>
      <c r="AU2647" s="40"/>
      <c r="AV2647" s="40"/>
      <c r="AW2647" s="40">
        <f>Database_Overig_Materieel[[#This Row],[Verbruik '[liter/kWh/kg per uur']]]*AW$2735</f>
        <v>1.0209587868135859</v>
      </c>
      <c r="AX2647" s="40">
        <f>Database_Overig_Materieel[[#This Row],[Verbruik '[liter/kWh/kg per uur']]]*AX$2735</f>
        <v>1.6912955758017494E-3</v>
      </c>
      <c r="AY2647" s="40">
        <f>Database_Overig_Materieel[[#This Row],[Verbruik '[liter/kWh/kg per uur']]]*AY$2735</f>
        <v>4.6943046107865891</v>
      </c>
      <c r="AZ2647" s="40">
        <f>Database_Overig_Materieel[[#This Row],[Verbruik '[liter/kWh/kg per uur']]]*AZ$2735</f>
        <v>0</v>
      </c>
      <c r="BA2647" s="40"/>
      <c r="BB2647" s="40"/>
      <c r="BC2647" s="40"/>
      <c r="BD2647" s="40"/>
      <c r="BE2647" s="40"/>
      <c r="BG2647" s="33" t="s">
        <v>885</v>
      </c>
      <c r="BH2647" s="33" t="s">
        <v>135</v>
      </c>
    </row>
    <row r="2648" spans="1:60">
      <c r="A2648" s="33" t="s">
        <v>957</v>
      </c>
      <c r="B2648" s="33" t="s">
        <v>936</v>
      </c>
      <c r="C2648" s="33" t="s">
        <v>938</v>
      </c>
      <c r="D2648" s="33" t="s">
        <v>954</v>
      </c>
      <c r="E2648" s="33" t="s">
        <v>829</v>
      </c>
      <c r="F2648" s="38">
        <f>$F$2645*($I$2645/Database_Overig_Materieel[[#This Row],[Stookwaarde '[MJ/liter']]])</f>
        <v>16.586840579710142</v>
      </c>
      <c r="G2648" s="41">
        <f>Database_Overig_Materieel[[#This Row],[Verbruik '[liter/kWh/kg per uur']]]*G$2736</f>
        <v>4.9900633595743802</v>
      </c>
      <c r="H2648" s="33">
        <v>40</v>
      </c>
      <c r="I2648" s="33">
        <v>34.5</v>
      </c>
      <c r="J2648" s="40">
        <f>Database_Overig_Materieel[[#This Row],[Verbruik '[liter/kWh/kg per uur']]]*J$2736</f>
        <v>3.4857743083478249E-5</v>
      </c>
      <c r="K2648" s="40">
        <f>Database_Overig_Materieel[[#This Row],[Verbruik '[liter/kWh/kg per uur']]]*K$2736</f>
        <v>8.7424526032927524E-2</v>
      </c>
      <c r="L2648" s="40">
        <f>Database_Overig_Materieel[[#This Row],[Verbruik '[liter/kWh/kg per uur']]]*L$2736</f>
        <v>22.42254059903188</v>
      </c>
      <c r="M2648" s="40">
        <f>Database_Overig_Materieel[[#This Row],[Verbruik '[liter/kWh/kg per uur']]]*M$2736</f>
        <v>1.3606301435420288E-6</v>
      </c>
      <c r="N2648" s="40">
        <f>Database_Overig_Materieel[[#This Row],[Verbruik '[liter/kWh/kg per uur']]]*N$2736</f>
        <v>1.6440378777391299E-2</v>
      </c>
      <c r="O2648" s="40">
        <f>Database_Overig_Materieel[[#This Row],[Verbruik '[liter/kWh/kg per uur']]]*O$2736</f>
        <v>0.13708773277837677</v>
      </c>
      <c r="P2648" s="40">
        <f>Database_Overig_Materieel[[#This Row],[Verbruik '[liter/kWh/kg per uur']]]*P$2736</f>
        <v>5.0667374074144921E-2</v>
      </c>
      <c r="Q2648" s="40">
        <f>Database_Overig_Materieel[[#This Row],[Verbruik '[liter/kWh/kg per uur']]]*Q$2736</f>
        <v>12.64333283309333</v>
      </c>
      <c r="R2648" s="40">
        <f>Database_Overig_Materieel[[#This Row],[Verbruik '[liter/kWh/kg per uur']]]*R$2736</f>
        <v>8.4495474100481136</v>
      </c>
      <c r="S2648" s="40">
        <f>Database_Overig_Materieel[[#This Row],[Verbruik '[liter/kWh/kg per uur']]]*S$2736</f>
        <v>543.94395685304346</v>
      </c>
      <c r="T2648" s="40">
        <f>Database_Overig_Materieel[[#This Row],[Verbruik '[liter/kWh/kg per uur']]]*T$2736</f>
        <v>3.7299133609460862</v>
      </c>
      <c r="U2648" s="40"/>
      <c r="V2648" s="40"/>
      <c r="W2648" s="40"/>
      <c r="X2648" s="40"/>
      <c r="Y2648" s="40"/>
      <c r="Z2648" s="40"/>
      <c r="AA2648" s="40"/>
      <c r="AB2648" s="40"/>
      <c r="AC2648" s="40"/>
      <c r="AD2648" s="40"/>
      <c r="AE2648" s="40"/>
      <c r="AF2648" s="40"/>
      <c r="AG2648" s="40"/>
      <c r="AH2648" s="40"/>
      <c r="AI2648" s="40"/>
      <c r="AJ2648" s="40"/>
      <c r="AK2648" s="40"/>
      <c r="AL2648" s="40"/>
      <c r="AM2648" s="40"/>
      <c r="AN2648" s="40"/>
      <c r="AO2648" s="40"/>
      <c r="AP2648" s="40">
        <f>Database_Overig_Materieel[[#This Row],[Verbruik '[liter/kWh/kg per uur']]]*AP$2736</f>
        <v>40.8469626057855</v>
      </c>
      <c r="AQ2648" s="40"/>
      <c r="AR2648" s="40"/>
      <c r="AS2648" s="40">
        <f>Database_Overig_Materieel[[#This Row],[Verbruik '[liter/kWh/kg per uur']]]*AS$2736</f>
        <v>182.98891138562317</v>
      </c>
      <c r="AT2648" s="40"/>
      <c r="AU2648" s="40"/>
      <c r="AV2648" s="40"/>
      <c r="AW2648" s="40">
        <f>Database_Overig_Materieel[[#This Row],[Verbruik '[liter/kWh/kg per uur']]]*AW$2736</f>
        <v>0.32196815770318837</v>
      </c>
      <c r="AX2648" s="40">
        <f>Database_Overig_Materieel[[#This Row],[Verbruik '[liter/kWh/kg per uur']]]*AX$2736</f>
        <v>1.0123396650492751E-3</v>
      </c>
      <c r="AY2648" s="40">
        <f>Database_Overig_Materieel[[#This Row],[Verbruik '[liter/kWh/kg per uur']]]*AY$2736</f>
        <v>4.0470184228597095</v>
      </c>
      <c r="AZ2648" s="40">
        <f>Database_Overig_Materieel[[#This Row],[Verbruik '[liter/kWh/kg per uur']]]*AZ$2736</f>
        <v>0</v>
      </c>
      <c r="BA2648" s="40"/>
      <c r="BB2648" s="40"/>
      <c r="BC2648" s="40"/>
      <c r="BD2648" s="40"/>
      <c r="BE2648" s="40"/>
      <c r="BG2648" s="33" t="s">
        <v>885</v>
      </c>
      <c r="BH2648" s="33" t="s">
        <v>135</v>
      </c>
    </row>
    <row r="2649" spans="1:60">
      <c r="A2649" s="33" t="s">
        <v>958</v>
      </c>
      <c r="B2649" s="33" t="s">
        <v>936</v>
      </c>
      <c r="C2649" s="33" t="s">
        <v>938</v>
      </c>
      <c r="D2649" s="33" t="s">
        <v>954</v>
      </c>
      <c r="E2649" s="33" t="s">
        <v>829</v>
      </c>
      <c r="F2649" s="33">
        <v>15.94</v>
      </c>
      <c r="G2649" s="41">
        <f>Database_Overig_Materieel[[#This Row],[Verbruik '[liter/kWh/kg per uur']]]*G$2737</f>
        <v>4.7621636865069119</v>
      </c>
      <c r="H2649" s="33">
        <v>40</v>
      </c>
      <c r="I2649" s="36">
        <v>35.9</v>
      </c>
      <c r="J2649" s="40">
        <f>Database_Overig_Materieel[[#This Row],[Verbruik '[liter/kWh/kg per uur']]]*J$2737</f>
        <v>2.79997258E-5</v>
      </c>
      <c r="K2649" s="40">
        <f>Database_Overig_Materieel[[#This Row],[Verbruik '[liter/kWh/kg per uur']]]*K$2737</f>
        <v>0.37893865515999997</v>
      </c>
      <c r="L2649" s="40">
        <f>Database_Overig_Materieel[[#This Row],[Verbruik '[liter/kWh/kg per uur']]]*L$2737</f>
        <v>55.301191929999995</v>
      </c>
      <c r="M2649" s="40">
        <f>Database_Overig_Materieel[[#This Row],[Verbruik '[liter/kWh/kg per uur']]]*M$2737</f>
        <v>9.6249386199999982E-6</v>
      </c>
      <c r="N2649" s="40">
        <f>Database_Overig_Materieel[[#This Row],[Verbruik '[liter/kWh/kg per uur']]]*N$2737</f>
        <v>1.820075426E-2</v>
      </c>
      <c r="O2649" s="40">
        <f>Database_Overig_Materieel[[#This Row],[Verbruik '[liter/kWh/kg per uur']]]*O$2737</f>
        <v>0.10602151477999999</v>
      </c>
      <c r="P2649" s="40">
        <f>Database_Overig_Materieel[[#This Row],[Verbruik '[liter/kWh/kg per uur']]]*P$2737</f>
        <v>1.6283825800000002E-2</v>
      </c>
      <c r="Q2649" s="40">
        <f>Database_Overig_Materieel[[#This Row],[Verbruik '[liter/kWh/kg per uur']]]*Q$2737</f>
        <v>13.62904271</v>
      </c>
      <c r="R2649" s="40">
        <f>Database_Overig_Materieel[[#This Row],[Verbruik '[liter/kWh/kg per uur']]]*R$2737</f>
        <v>0.27191937608</v>
      </c>
      <c r="S2649" s="40">
        <f>Database_Overig_Materieel[[#This Row],[Verbruik '[liter/kWh/kg per uur']]]*S$2737</f>
        <v>914.30293819999997</v>
      </c>
      <c r="T2649" s="40">
        <f>Database_Overig_Materieel[[#This Row],[Verbruik '[liter/kWh/kg per uur']]]*T$2737</f>
        <v>4.8950687959999996E-2</v>
      </c>
      <c r="U2649" s="40"/>
      <c r="V2649" s="40"/>
      <c r="W2649" s="40"/>
      <c r="X2649" s="40"/>
      <c r="Y2649" s="40"/>
      <c r="Z2649" s="40"/>
      <c r="AA2649" s="40"/>
      <c r="AB2649" s="40"/>
      <c r="AC2649" s="40"/>
      <c r="AD2649" s="40"/>
      <c r="AE2649" s="40"/>
      <c r="AF2649" s="40"/>
      <c r="AG2649" s="40"/>
      <c r="AH2649" s="40"/>
      <c r="AI2649" s="40"/>
      <c r="AJ2649" s="40"/>
      <c r="AK2649" s="40"/>
      <c r="AL2649" s="40"/>
      <c r="AM2649" s="40"/>
      <c r="AN2649" s="40"/>
      <c r="AO2649" s="40"/>
      <c r="AP2649" s="40">
        <f>Database_Overig_Materieel[[#This Row],[Verbruik '[liter/kWh/kg per uur']]]*AP$2737</f>
        <v>6.2825176383999999</v>
      </c>
      <c r="AQ2649" s="40"/>
      <c r="AR2649" s="40"/>
      <c r="AS2649" s="40">
        <f>Database_Overig_Materieel[[#This Row],[Verbruik '[liter/kWh/kg per uur']]]*AS$2737</f>
        <v>845.74577925999995</v>
      </c>
      <c r="AT2649" s="40"/>
      <c r="AU2649" s="40"/>
      <c r="AV2649" s="40"/>
      <c r="AW2649" s="40">
        <f>Database_Overig_Materieel[[#This Row],[Verbruik '[liter/kWh/kg per uur']]]*AW$2737</f>
        <v>8.0024187720000001E-2</v>
      </c>
      <c r="AX2649" s="40">
        <f>Database_Overig_Materieel[[#This Row],[Verbruik '[liter/kWh/kg per uur']]]*AX$2737</f>
        <v>5.8086635199999992E-3</v>
      </c>
      <c r="AY2649" s="40">
        <f>Database_Overig_Materieel[[#This Row],[Verbruik '[liter/kWh/kg per uur']]]*AY$2737</f>
        <v>1.42532631522</v>
      </c>
      <c r="AZ2649" s="40">
        <f>Database_Overig_Materieel[[#This Row],[Verbruik '[liter/kWh/kg per uur']]]*AZ$2737</f>
        <v>0</v>
      </c>
      <c r="BA2649" s="40"/>
      <c r="BB2649" s="40"/>
      <c r="BC2649" s="40"/>
      <c r="BD2649" s="40"/>
      <c r="BE2649" s="40"/>
      <c r="BG2649" s="33" t="s">
        <v>885</v>
      </c>
      <c r="BH2649" s="33" t="s">
        <v>135</v>
      </c>
    </row>
    <row r="2650" spans="1:60">
      <c r="A2650" s="33" t="s">
        <v>959</v>
      </c>
      <c r="B2650" s="33" t="s">
        <v>936</v>
      </c>
      <c r="C2650" s="33" t="s">
        <v>938</v>
      </c>
      <c r="D2650" s="33" t="s">
        <v>954</v>
      </c>
      <c r="E2650" s="33" t="s">
        <v>829</v>
      </c>
      <c r="F2650" s="38">
        <f>$F$2645*($I$2645/Database_Overig_Materieel[[#This Row],[Stookwaarde '[MJ/liter']]])</f>
        <v>17.288398791540786</v>
      </c>
      <c r="G2650" s="41">
        <f>Database_Overig_Materieel[[#This Row],[Verbruik '[liter/kWh/kg per uur']]]*G$2738</f>
        <v>4.5002663183437255</v>
      </c>
      <c r="H2650" s="33">
        <v>40</v>
      </c>
      <c r="I2650" s="33">
        <v>33.1</v>
      </c>
      <c r="J2650" s="40">
        <f>Database_Overig_Materieel[[#This Row],[Verbruik '[liter/kWh/kg per uur']]]*J$2738</f>
        <v>8.8413044303927506E-5</v>
      </c>
      <c r="K2650" s="40">
        <f>Database_Overig_Materieel[[#This Row],[Verbruik '[liter/kWh/kg per uur']]]*K$2738</f>
        <v>0.51552157066543802</v>
      </c>
      <c r="L2650" s="40">
        <f>Database_Overig_Materieel[[#This Row],[Verbruik '[liter/kWh/kg per uur']]]*L$2738</f>
        <v>63.53583889576435</v>
      </c>
      <c r="M2650" s="40">
        <f>Database_Overig_Materieel[[#This Row],[Verbruik '[liter/kWh/kg per uur']]]*M$2738</f>
        <v>9.190875853957703E-7</v>
      </c>
      <c r="N2650" s="40">
        <f>Database_Overig_Materieel[[#This Row],[Verbruik '[liter/kWh/kg per uur']]]*N$2738</f>
        <v>1.2874082774501512E-2</v>
      </c>
      <c r="O2650" s="40">
        <f>Database_Overig_Materieel[[#This Row],[Verbruik '[liter/kWh/kg per uur']]]*O$2738</f>
        <v>7.3291054764954691E-2</v>
      </c>
      <c r="P2650" s="40">
        <f>Database_Overig_Materieel[[#This Row],[Verbruik '[liter/kWh/kg per uur']]]*P$2738</f>
        <v>1.2949667654018126E-2</v>
      </c>
      <c r="Q2650" s="40">
        <f>Database_Overig_Materieel[[#This Row],[Verbruik '[liter/kWh/kg per uur']]]*Q$2738</f>
        <v>12.759252192424171</v>
      </c>
      <c r="R2650" s="40">
        <f>Database_Overig_Materieel[[#This Row],[Verbruik '[liter/kWh/kg per uur']]]*R$2738</f>
        <v>0.10286879081867069</v>
      </c>
      <c r="S2650" s="40">
        <f>Database_Overig_Materieel[[#This Row],[Verbruik '[liter/kWh/kg per uur']]]*S$2738</f>
        <v>390.82520822211478</v>
      </c>
      <c r="T2650" s="40">
        <f>Database_Overig_Materieel[[#This Row],[Verbruik '[liter/kWh/kg per uur']]]*T$2738</f>
        <v>5.1628258869184297E-2</v>
      </c>
      <c r="U2650" s="40"/>
      <c r="V2650" s="40"/>
      <c r="W2650" s="40"/>
      <c r="X2650" s="40"/>
      <c r="Y2650" s="40"/>
      <c r="Z2650" s="40"/>
      <c r="AA2650" s="40"/>
      <c r="AB2650" s="40"/>
      <c r="AC2650" s="40"/>
      <c r="AD2650" s="40"/>
      <c r="AE2650" s="40"/>
      <c r="AF2650" s="40"/>
      <c r="AG2650" s="40"/>
      <c r="AH2650" s="40"/>
      <c r="AI2650" s="40"/>
      <c r="AJ2650" s="40"/>
      <c r="AK2650" s="40"/>
      <c r="AL2650" s="40"/>
      <c r="AM2650" s="40"/>
      <c r="AN2650" s="40"/>
      <c r="AO2650" s="40"/>
      <c r="AP2650" s="40">
        <f>Database_Overig_Materieel[[#This Row],[Verbruik '[liter/kWh/kg per uur']]]*AP$2738</f>
        <v>7.6435572467552877</v>
      </c>
      <c r="AQ2650" s="40"/>
      <c r="AR2650" s="40"/>
      <c r="AS2650" s="40">
        <f>Database_Overig_Materieel[[#This Row],[Verbruik '[liter/kWh/kg per uur']]]*AS$2738</f>
        <v>1099.8236528511179</v>
      </c>
      <c r="AT2650" s="40"/>
      <c r="AU2650" s="40"/>
      <c r="AV2650" s="40"/>
      <c r="AW2650" s="40">
        <f>Database_Overig_Materieel[[#This Row],[Verbruik '[liter/kWh/kg per uur']]]*AW$2738</f>
        <v>4.9741299294682788E-2</v>
      </c>
      <c r="AX2650" s="40">
        <f>Database_Overig_Materieel[[#This Row],[Verbruik '[liter/kWh/kg per uur']]]*AX$2738</f>
        <v>1.700410836181269E-3</v>
      </c>
      <c r="AY2650" s="40">
        <f>Database_Overig_Materieel[[#This Row],[Verbruik '[liter/kWh/kg per uur']]]*AY$2738</f>
        <v>1.870602674636858</v>
      </c>
      <c r="AZ2650" s="40">
        <f>Database_Overig_Materieel[[#This Row],[Verbruik '[liter/kWh/kg per uur']]]*AZ$2738</f>
        <v>0</v>
      </c>
      <c r="BA2650" s="40"/>
      <c r="BB2650" s="40"/>
      <c r="BC2650" s="40"/>
      <c r="BD2650" s="40"/>
      <c r="BE2650" s="40"/>
      <c r="BG2650" s="33" t="s">
        <v>885</v>
      </c>
      <c r="BH2650" s="33" t="s">
        <v>135</v>
      </c>
    </row>
    <row r="2651" spans="1:60">
      <c r="A2651" s="33" t="s">
        <v>960</v>
      </c>
      <c r="B2651" s="33" t="s">
        <v>936</v>
      </c>
      <c r="C2651" s="33" t="s">
        <v>938</v>
      </c>
      <c r="D2651" s="33" t="s">
        <v>954</v>
      </c>
      <c r="E2651" s="33" t="s">
        <v>829</v>
      </c>
      <c r="F2651" s="38">
        <f>$F$2645*($I$2645/Database_Overig_Materieel[[#This Row],[Stookwaarde '[MJ/liter']]])</f>
        <v>16.683556851311952</v>
      </c>
      <c r="G2651" s="41">
        <f>Database_Overig_Materieel[[#This Row],[Verbruik '[liter/kWh/kg per uur']]]*G$2739</f>
        <v>3.5608110675179705</v>
      </c>
      <c r="H2651" s="33">
        <v>40</v>
      </c>
      <c r="I2651" s="33">
        <v>34.299999999999997</v>
      </c>
      <c r="J2651" s="40">
        <f>Database_Overig_Materieel[[#This Row],[Verbruik '[liter/kWh/kg per uur']]]*J$2739</f>
        <v>6.4708343096792992E-5</v>
      </c>
      <c r="K2651" s="40">
        <f>Database_Overig_Materieel[[#This Row],[Verbruik '[liter/kWh/kg per uur']]]*K$2739</f>
        <v>0.14085861983690962</v>
      </c>
      <c r="L2651" s="40">
        <f>Database_Overig_Materieel[[#This Row],[Verbruik '[liter/kWh/kg per uur']]]*L$2739</f>
        <v>24.017920385125361</v>
      </c>
      <c r="M2651" s="40">
        <f>Database_Overig_Materieel[[#This Row],[Verbruik '[liter/kWh/kg per uur']]]*M$2739</f>
        <v>2.2971088921865887E-6</v>
      </c>
      <c r="N2651" s="40">
        <f>Database_Overig_Materieel[[#This Row],[Verbruik '[liter/kWh/kg per uur']]]*N$2739</f>
        <v>1.9577419888513119E-2</v>
      </c>
      <c r="O2651" s="40">
        <f>Database_Overig_Materieel[[#This Row],[Verbruik '[liter/kWh/kg per uur']]]*O$2739</f>
        <v>0.15007898773346937</v>
      </c>
      <c r="P2651" s="40">
        <f>Database_Overig_Materieel[[#This Row],[Verbruik '[liter/kWh/kg per uur']]]*P$2739</f>
        <v>7.4428917394868802E-2</v>
      </c>
      <c r="Q2651" s="40">
        <f>Database_Overig_Materieel[[#This Row],[Verbruik '[liter/kWh/kg per uur']]]*Q$2739</f>
        <v>13.338497863379008</v>
      </c>
      <c r="R2651" s="40">
        <f>Database_Overig_Materieel[[#This Row],[Verbruik '[liter/kWh/kg per uur']]]*R$2739</f>
        <v>9.4975027971416903</v>
      </c>
      <c r="S2651" s="40">
        <f>Database_Overig_Materieel[[#This Row],[Verbruik '[liter/kWh/kg per uur']]]*S$2739</f>
        <v>799.62339348897956</v>
      </c>
      <c r="T2651" s="40">
        <f>Database_Overig_Materieel[[#This Row],[Verbruik '[liter/kWh/kg per uur']]]*T$2739</f>
        <v>4.0771121076157435</v>
      </c>
      <c r="U2651" s="40"/>
      <c r="V2651" s="40"/>
      <c r="W2651" s="40"/>
      <c r="X2651" s="40"/>
      <c r="Y2651" s="40"/>
      <c r="Z2651" s="40"/>
      <c r="AA2651" s="40"/>
      <c r="AB2651" s="40"/>
      <c r="AC2651" s="40"/>
      <c r="AD2651" s="40"/>
      <c r="AE2651" s="40"/>
      <c r="AF2651" s="40"/>
      <c r="AG2651" s="40"/>
      <c r="AH2651" s="40"/>
      <c r="AI2651" s="40"/>
      <c r="AJ2651" s="40"/>
      <c r="AK2651" s="40"/>
      <c r="AL2651" s="40"/>
      <c r="AM2651" s="40"/>
      <c r="AN2651" s="40"/>
      <c r="AO2651" s="40"/>
      <c r="AP2651" s="40">
        <f>Database_Overig_Materieel[[#This Row],[Verbruik '[liter/kWh/kg per uur']]]*AP$2739</f>
        <v>131.02101872930027</v>
      </c>
      <c r="AQ2651" s="40"/>
      <c r="AR2651" s="40"/>
      <c r="AS2651" s="40">
        <f>Database_Overig_Materieel[[#This Row],[Verbruik '[liter/kWh/kg per uur']]]*AS$2739</f>
        <v>297.6361056968513</v>
      </c>
      <c r="AT2651" s="40"/>
      <c r="AU2651" s="40"/>
      <c r="AV2651" s="40"/>
      <c r="AW2651" s="40">
        <f>Database_Overig_Materieel[[#This Row],[Verbruik '[liter/kWh/kg per uur']]]*AW$2739</f>
        <v>1.0219566970830902</v>
      </c>
      <c r="AX2651" s="40">
        <f>Database_Overig_Materieel[[#This Row],[Verbruik '[liter/kWh/kg per uur']]]*AX$2739</f>
        <v>1.7267648176676382E-3</v>
      </c>
      <c r="AY2651" s="40">
        <f>Database_Overig_Materieel[[#This Row],[Verbruik '[liter/kWh/kg per uur']]]*AY$2739</f>
        <v>4.716206116878717</v>
      </c>
      <c r="AZ2651" s="40">
        <f>Database_Overig_Materieel[[#This Row],[Verbruik '[liter/kWh/kg per uur']]]*AZ$2739</f>
        <v>0</v>
      </c>
      <c r="BA2651" s="40"/>
      <c r="BB2651" s="40"/>
      <c r="BC2651" s="40"/>
      <c r="BD2651" s="40"/>
      <c r="BE2651" s="40"/>
      <c r="BG2651" s="33" t="s">
        <v>885</v>
      </c>
      <c r="BH2651" s="33" t="s">
        <v>135</v>
      </c>
    </row>
    <row r="2652" spans="1:60">
      <c r="A2652" s="33" t="s">
        <v>961</v>
      </c>
      <c r="B2652" s="33" t="s">
        <v>936</v>
      </c>
      <c r="C2652" s="33" t="s">
        <v>938</v>
      </c>
      <c r="D2652" s="33" t="s">
        <v>954</v>
      </c>
      <c r="E2652" s="33" t="s">
        <v>829</v>
      </c>
      <c r="F2652" s="38">
        <f>$F$2645*($I$2645/Database_Overig_Materieel[[#This Row],[Stookwaarde '[MJ/liter']]])</f>
        <v>16.586840579710142</v>
      </c>
      <c r="G2652" s="41">
        <f>Database_Overig_Materieel[[#This Row],[Verbruik '[liter/kWh/kg per uur']]]*G$2740</f>
        <v>4.6900065999875498</v>
      </c>
      <c r="H2652" s="33">
        <v>40</v>
      </c>
      <c r="I2652" s="33">
        <v>34.5</v>
      </c>
      <c r="J2652" s="40">
        <f>Database_Overig_Materieel[[#This Row],[Verbruik '[liter/kWh/kg per uur']]]*J$2740</f>
        <v>3.7150044451594195E-5</v>
      </c>
      <c r="K2652" s="40">
        <f>Database_Overig_Materieel[[#This Row],[Verbruik '[liter/kWh/kg per uur']]]*K$2740</f>
        <v>9.1777808690434767E-2</v>
      </c>
      <c r="L2652" s="40">
        <f>Database_Overig_Materieel[[#This Row],[Verbruik '[liter/kWh/kg per uur']]]*L$2740</f>
        <v>22.899496858585504</v>
      </c>
      <c r="M2652" s="40">
        <f>Database_Overig_Materieel[[#This Row],[Verbruik '[liter/kWh/kg per uur']]]*M$2740</f>
        <v>1.4384622342782606E-6</v>
      </c>
      <c r="N2652" s="40">
        <f>Database_Overig_Materieel[[#This Row],[Verbruik '[liter/kWh/kg per uur']]]*N$2740</f>
        <v>1.663958673275362E-2</v>
      </c>
      <c r="O2652" s="40">
        <f>Database_Overig_Materieel[[#This Row],[Verbruik '[liter/kWh/kg per uur']]]*O$2740</f>
        <v>8.2316243565913022E-2</v>
      </c>
      <c r="P2652" s="40">
        <f>Database_Overig_Materieel[[#This Row],[Verbruik '[liter/kWh/kg per uur']]]*P$2740</f>
        <v>3.618656464284057E-2</v>
      </c>
      <c r="Q2652" s="40">
        <f>Database_Overig_Materieel[[#This Row],[Verbruik '[liter/kWh/kg per uur']]]*Q$2740</f>
        <v>12.876992319813329</v>
      </c>
      <c r="R2652" s="40">
        <f>Database_Overig_Materieel[[#This Row],[Verbruik '[liter/kWh/kg per uur']]]*R$2740</f>
        <v>8.4528770524260857</v>
      </c>
      <c r="S2652" s="40">
        <f>Database_Overig_Materieel[[#This Row],[Verbruik '[liter/kWh/kg per uur']]]*S$2740</f>
        <v>558.86365408608685</v>
      </c>
      <c r="T2652" s="40">
        <f>Database_Overig_Materieel[[#This Row],[Verbruik '[liter/kWh/kg per uur']]]*T$2740</f>
        <v>3.7305834693055062</v>
      </c>
      <c r="U2652" s="40"/>
      <c r="V2652" s="40"/>
      <c r="W2652" s="40"/>
      <c r="X2652" s="40"/>
      <c r="Y2652" s="40"/>
      <c r="Z2652" s="40"/>
      <c r="AA2652" s="40"/>
      <c r="AB2652" s="40"/>
      <c r="AC2652" s="40"/>
      <c r="AD2652" s="40"/>
      <c r="AE2652" s="40"/>
      <c r="AF2652" s="40"/>
      <c r="AG2652" s="40"/>
      <c r="AH2652" s="40"/>
      <c r="AI2652" s="40"/>
      <c r="AJ2652" s="40"/>
      <c r="AK2652" s="40"/>
      <c r="AL2652" s="40"/>
      <c r="AM2652" s="40"/>
      <c r="AN2652" s="40"/>
      <c r="AO2652" s="40"/>
      <c r="AP2652" s="40">
        <f>Database_Overig_Materieel[[#This Row],[Verbruik '[liter/kWh/kg per uur']]]*AP$2740</f>
        <v>41.03224922584927</v>
      </c>
      <c r="AQ2652" s="40"/>
      <c r="AR2652" s="40"/>
      <c r="AS2652" s="40">
        <f>Database_Overig_Materieel[[#This Row],[Verbruik '[liter/kWh/kg per uur']]]*AS$2740</f>
        <v>192.62929923843473</v>
      </c>
      <c r="AT2652" s="40"/>
      <c r="AU2652" s="40"/>
      <c r="AV2652" s="40"/>
      <c r="AW2652" s="40">
        <f>Database_Overig_Materieel[[#This Row],[Verbruik '[liter/kWh/kg per uur']]]*AW$2740</f>
        <v>0.3230022476922898</v>
      </c>
      <c r="AX2652" s="40">
        <f>Database_Overig_Materieel[[#This Row],[Verbruik '[liter/kWh/kg per uur']]]*AX$2740</f>
        <v>1.0491110319304346E-3</v>
      </c>
      <c r="AY2652" s="40">
        <f>Database_Overig_Materieel[[#This Row],[Verbruik '[liter/kWh/kg per uur']]]*AY$2740</f>
        <v>4.0697138650881151</v>
      </c>
      <c r="AZ2652" s="40">
        <f>Database_Overig_Materieel[[#This Row],[Verbruik '[liter/kWh/kg per uur']]]*AZ$2740</f>
        <v>0</v>
      </c>
      <c r="BA2652" s="40"/>
      <c r="BB2652" s="40"/>
      <c r="BC2652" s="40"/>
      <c r="BD2652" s="40"/>
      <c r="BE2652" s="40"/>
      <c r="BG2652" s="33" t="s">
        <v>885</v>
      </c>
      <c r="BH2652" s="33" t="s">
        <v>135</v>
      </c>
    </row>
    <row r="2653" spans="1:60">
      <c r="A2653" s="33" t="s">
        <v>962</v>
      </c>
      <c r="B2653" s="33" t="s">
        <v>936</v>
      </c>
      <c r="C2653" s="33" t="s">
        <v>938</v>
      </c>
      <c r="D2653" s="33" t="s">
        <v>954</v>
      </c>
      <c r="E2653" s="33" t="s">
        <v>829</v>
      </c>
      <c r="F2653" s="33">
        <v>15.94</v>
      </c>
      <c r="G2653" s="41">
        <f>Database_Overig_Materieel[[#This Row],[Verbruik '[liter/kWh/kg per uur']]]*G$2741</f>
        <v>4.7621252104102583</v>
      </c>
      <c r="H2653" s="33">
        <v>40</v>
      </c>
      <c r="I2653" s="36">
        <v>35.9</v>
      </c>
      <c r="J2653" s="40">
        <f>Database_Overig_Materieel[[#This Row],[Verbruik '[liter/kWh/kg per uur']]]*J$2741</f>
        <v>2.79997258E-5</v>
      </c>
      <c r="K2653" s="40">
        <f>Database_Overig_Materieel[[#This Row],[Verbruik '[liter/kWh/kg per uur']]]*K$2741</f>
        <v>0.37893865515999997</v>
      </c>
      <c r="L2653" s="40">
        <f>Database_Overig_Materieel[[#This Row],[Verbruik '[liter/kWh/kg per uur']]]*L$2741</f>
        <v>55.301191929999995</v>
      </c>
      <c r="M2653" s="40">
        <f>Database_Overig_Materieel[[#This Row],[Verbruik '[liter/kWh/kg per uur']]]*M$2741</f>
        <v>9.6249386199999982E-6</v>
      </c>
      <c r="N2653" s="40">
        <f>Database_Overig_Materieel[[#This Row],[Verbruik '[liter/kWh/kg per uur']]]*N$2741</f>
        <v>1.820075426E-2</v>
      </c>
      <c r="O2653" s="40">
        <f>Database_Overig_Materieel[[#This Row],[Verbruik '[liter/kWh/kg per uur']]]*O$2741</f>
        <v>0.10602151477999999</v>
      </c>
      <c r="P2653" s="40">
        <f>Database_Overig_Materieel[[#This Row],[Verbruik '[liter/kWh/kg per uur']]]*P$2741</f>
        <v>1.6283825800000002E-2</v>
      </c>
      <c r="Q2653" s="40">
        <f>Database_Overig_Materieel[[#This Row],[Verbruik '[liter/kWh/kg per uur']]]*Q$2741</f>
        <v>13.6286151992</v>
      </c>
      <c r="R2653" s="40">
        <f>Database_Overig_Materieel[[#This Row],[Verbruik '[liter/kWh/kg per uur']]]*R$2741</f>
        <v>0.27191937608</v>
      </c>
      <c r="S2653" s="40">
        <f>Database_Overig_Materieel[[#This Row],[Verbruik '[liter/kWh/kg per uur']]]*S$2741</f>
        <v>914.30293819999997</v>
      </c>
      <c r="T2653" s="40">
        <f>Database_Overig_Materieel[[#This Row],[Verbruik '[liter/kWh/kg per uur']]]*T$2741</f>
        <v>4.8950687959999996E-2</v>
      </c>
      <c r="U2653" s="40"/>
      <c r="V2653" s="40"/>
      <c r="W2653" s="40"/>
      <c r="X2653" s="40"/>
      <c r="Y2653" s="40"/>
      <c r="Z2653" s="40"/>
      <c r="AA2653" s="40"/>
      <c r="AB2653" s="40"/>
      <c r="AC2653" s="40"/>
      <c r="AD2653" s="40"/>
      <c r="AE2653" s="40"/>
      <c r="AF2653" s="40"/>
      <c r="AG2653" s="40"/>
      <c r="AH2653" s="40"/>
      <c r="AI2653" s="40"/>
      <c r="AJ2653" s="40"/>
      <c r="AK2653" s="40"/>
      <c r="AL2653" s="40"/>
      <c r="AM2653" s="40"/>
      <c r="AN2653" s="40"/>
      <c r="AO2653" s="40"/>
      <c r="AP2653" s="40">
        <f>Database_Overig_Materieel[[#This Row],[Verbruik '[liter/kWh/kg per uur']]]*AP$2741</f>
        <v>6.2825176383999999</v>
      </c>
      <c r="AQ2653" s="40"/>
      <c r="AR2653" s="40"/>
      <c r="AS2653" s="40">
        <f>Database_Overig_Materieel[[#This Row],[Verbruik '[liter/kWh/kg per uur']]]*AS$2741</f>
        <v>845.74577925999995</v>
      </c>
      <c r="AT2653" s="40"/>
      <c r="AU2653" s="40"/>
      <c r="AV2653" s="40"/>
      <c r="AW2653" s="40">
        <f>Database_Overig_Materieel[[#This Row],[Verbruik '[liter/kWh/kg per uur']]]*AW$2741</f>
        <v>8.0024187720000001E-2</v>
      </c>
      <c r="AX2653" s="40">
        <f>Database_Overig_Materieel[[#This Row],[Verbruik '[liter/kWh/kg per uur']]]*AX$2741</f>
        <v>5.8086635199999992E-3</v>
      </c>
      <c r="AY2653" s="40">
        <f>Database_Overig_Materieel[[#This Row],[Verbruik '[liter/kWh/kg per uur']]]*AY$2741</f>
        <v>1.42532631522</v>
      </c>
      <c r="AZ2653" s="40">
        <f>Database_Overig_Materieel[[#This Row],[Verbruik '[liter/kWh/kg per uur']]]*AZ$2741</f>
        <v>0</v>
      </c>
      <c r="BA2653" s="40"/>
      <c r="BB2653" s="40"/>
      <c r="BC2653" s="40"/>
      <c r="BD2653" s="40"/>
      <c r="BE2653" s="40"/>
      <c r="BG2653" s="33" t="s">
        <v>885</v>
      </c>
      <c r="BH2653" s="33" t="s">
        <v>135</v>
      </c>
    </row>
    <row r="2654" spans="1:60">
      <c r="A2654" s="33" t="s">
        <v>963</v>
      </c>
      <c r="B2654" s="33" t="s">
        <v>936</v>
      </c>
      <c r="C2654" s="33" t="s">
        <v>938</v>
      </c>
      <c r="D2654" s="33" t="s">
        <v>954</v>
      </c>
      <c r="E2654" s="33" t="s">
        <v>829</v>
      </c>
      <c r="F2654" s="38">
        <f>$F$2645*($I$2645/Database_Overig_Materieel[[#This Row],[Stookwaarde '[MJ/liter']]])</f>
        <v>17.288398791540786</v>
      </c>
      <c r="G2654" s="41">
        <f>Database_Overig_Materieel[[#This Row],[Verbruik '[liter/kWh/kg per uur']]]*G$2742</f>
        <v>4.5002376048092296</v>
      </c>
      <c r="H2654" s="33">
        <v>40</v>
      </c>
      <c r="I2654" s="33">
        <v>33.1</v>
      </c>
      <c r="J2654" s="40">
        <f>Database_Overig_Materieel[[#This Row],[Verbruik '[liter/kWh/kg per uur']]]*J$2742</f>
        <v>8.8413044303927506E-5</v>
      </c>
      <c r="K2654" s="40">
        <f>Database_Overig_Materieel[[#This Row],[Verbruik '[liter/kWh/kg per uur']]]*K$2742</f>
        <v>0.51552157066543802</v>
      </c>
      <c r="L2654" s="40">
        <f>Database_Overig_Materieel[[#This Row],[Verbruik '[liter/kWh/kg per uur']]]*L$2742</f>
        <v>63.53583889576435</v>
      </c>
      <c r="M2654" s="40">
        <f>Database_Overig_Materieel[[#This Row],[Verbruik '[liter/kWh/kg per uur']]]*M$2742</f>
        <v>9.190875853957703E-7</v>
      </c>
      <c r="N2654" s="40">
        <f>Database_Overig_Materieel[[#This Row],[Verbruik '[liter/kWh/kg per uur']]]*N$2742</f>
        <v>1.2874082774501512E-2</v>
      </c>
      <c r="O2654" s="40">
        <f>Database_Overig_Materieel[[#This Row],[Verbruik '[liter/kWh/kg per uur']]]*O$2742</f>
        <v>7.3291054764954691E-2</v>
      </c>
      <c r="P2654" s="40">
        <f>Database_Overig_Materieel[[#This Row],[Verbruik '[liter/kWh/kg per uur']]]*P$2742</f>
        <v>1.2949667654018126E-2</v>
      </c>
      <c r="Q2654" s="40">
        <f>Database_Overig_Materieel[[#This Row],[Verbruik '[liter/kWh/kg per uur']]]*Q$2742</f>
        <v>12.758856806743808</v>
      </c>
      <c r="R2654" s="40">
        <f>Database_Overig_Materieel[[#This Row],[Verbruik '[liter/kWh/kg per uur']]]*R$2742</f>
        <v>0.10286879081867069</v>
      </c>
      <c r="S2654" s="40">
        <f>Database_Overig_Materieel[[#This Row],[Verbruik '[liter/kWh/kg per uur']]]*S$2742</f>
        <v>390.82520822211478</v>
      </c>
      <c r="T2654" s="40">
        <f>Database_Overig_Materieel[[#This Row],[Verbruik '[liter/kWh/kg per uur']]]*T$2742</f>
        <v>5.1628258869184297E-2</v>
      </c>
      <c r="U2654" s="40"/>
      <c r="V2654" s="40"/>
      <c r="W2654" s="40"/>
      <c r="X2654" s="40"/>
      <c r="Y2654" s="40"/>
      <c r="Z2654" s="40"/>
      <c r="AA2654" s="40"/>
      <c r="AB2654" s="40"/>
      <c r="AC2654" s="40"/>
      <c r="AD2654" s="40"/>
      <c r="AE2654" s="40"/>
      <c r="AF2654" s="40"/>
      <c r="AG2654" s="40"/>
      <c r="AH2654" s="40"/>
      <c r="AI2654" s="40"/>
      <c r="AJ2654" s="40"/>
      <c r="AK2654" s="40"/>
      <c r="AL2654" s="40"/>
      <c r="AM2654" s="40"/>
      <c r="AN2654" s="40"/>
      <c r="AO2654" s="40"/>
      <c r="AP2654" s="40">
        <f>Database_Overig_Materieel[[#This Row],[Verbruik '[liter/kWh/kg per uur']]]*AP$2742</f>
        <v>7.6435572467552877</v>
      </c>
      <c r="AQ2654" s="40"/>
      <c r="AR2654" s="40"/>
      <c r="AS2654" s="40">
        <f>Database_Overig_Materieel[[#This Row],[Verbruik '[liter/kWh/kg per uur']]]*AS$2742</f>
        <v>1099.8236528511179</v>
      </c>
      <c r="AT2654" s="40"/>
      <c r="AU2654" s="40"/>
      <c r="AV2654" s="40"/>
      <c r="AW2654" s="40">
        <f>Database_Overig_Materieel[[#This Row],[Verbruik '[liter/kWh/kg per uur']]]*AW$2742</f>
        <v>4.9741299294682788E-2</v>
      </c>
      <c r="AX2654" s="40">
        <f>Database_Overig_Materieel[[#This Row],[Verbruik '[liter/kWh/kg per uur']]]*AX$2742</f>
        <v>1.700410836181269E-3</v>
      </c>
      <c r="AY2654" s="40">
        <f>Database_Overig_Materieel[[#This Row],[Verbruik '[liter/kWh/kg per uur']]]*AY$2742</f>
        <v>1.870602674636858</v>
      </c>
      <c r="AZ2654" s="40">
        <f>Database_Overig_Materieel[[#This Row],[Verbruik '[liter/kWh/kg per uur']]]*AZ$2742</f>
        <v>0</v>
      </c>
      <c r="BA2654" s="40"/>
      <c r="BB2654" s="40"/>
      <c r="BC2654" s="40"/>
      <c r="BD2654" s="40"/>
      <c r="BE2654" s="40"/>
      <c r="BG2654" s="33" t="s">
        <v>885</v>
      </c>
      <c r="BH2654" s="33" t="s">
        <v>135</v>
      </c>
    </row>
    <row r="2655" spans="1:60">
      <c r="A2655" s="33" t="s">
        <v>964</v>
      </c>
      <c r="B2655" s="33" t="s">
        <v>936</v>
      </c>
      <c r="C2655" s="33" t="s">
        <v>938</v>
      </c>
      <c r="D2655" s="33" t="s">
        <v>954</v>
      </c>
      <c r="E2655" s="33" t="s">
        <v>829</v>
      </c>
      <c r="F2655" s="38">
        <f>$F$2645*($I$2645/Database_Overig_Materieel[[#This Row],[Stookwaarde '[MJ/liter']]])</f>
        <v>16.683556851311952</v>
      </c>
      <c r="G2655" s="41">
        <f>Database_Overig_Materieel[[#This Row],[Verbruik '[liter/kWh/kg per uur']]]*G$2743</f>
        <v>3.5607765368744406</v>
      </c>
      <c r="H2655" s="33">
        <v>40</v>
      </c>
      <c r="I2655" s="33">
        <v>34.299999999999997</v>
      </c>
      <c r="J2655" s="40">
        <f>Database_Overig_Materieel[[#This Row],[Verbruik '[liter/kWh/kg per uur']]]*J$2743</f>
        <v>6.4708343096792992E-5</v>
      </c>
      <c r="K2655" s="40">
        <f>Database_Overig_Materieel[[#This Row],[Verbruik '[liter/kWh/kg per uur']]]*K$2743</f>
        <v>0.14085861983690962</v>
      </c>
      <c r="L2655" s="40">
        <f>Database_Overig_Materieel[[#This Row],[Verbruik '[liter/kWh/kg per uur']]]*L$2743</f>
        <v>24.017997129486879</v>
      </c>
      <c r="M2655" s="40">
        <f>Database_Overig_Materieel[[#This Row],[Verbruik '[liter/kWh/kg per uur']]]*M$2743</f>
        <v>2.2971088921865887E-6</v>
      </c>
      <c r="N2655" s="40">
        <f>Database_Overig_Materieel[[#This Row],[Verbruik '[liter/kWh/kg per uur']]]*N$2743</f>
        <v>1.9577419888513119E-2</v>
      </c>
      <c r="O2655" s="40">
        <f>Database_Overig_Materieel[[#This Row],[Verbruik '[liter/kWh/kg per uur']]]*O$2743</f>
        <v>0.15007898773346937</v>
      </c>
      <c r="P2655" s="40">
        <f>Database_Overig_Materieel[[#This Row],[Verbruik '[liter/kWh/kg per uur']]]*P$2743</f>
        <v>7.4428917394868802E-2</v>
      </c>
      <c r="Q2655" s="40">
        <f>Database_Overig_Materieel[[#This Row],[Verbruik '[liter/kWh/kg per uur']]]*Q$2743</f>
        <v>13.338147508685131</v>
      </c>
      <c r="R2655" s="40">
        <f>Database_Overig_Materieel[[#This Row],[Verbruik '[liter/kWh/kg per uur']]]*R$2743</f>
        <v>9.4975027971416903</v>
      </c>
      <c r="S2655" s="40">
        <f>Database_Overig_Materieel[[#This Row],[Verbruik '[liter/kWh/kg per uur']]]*S$2743</f>
        <v>799.62339348897956</v>
      </c>
      <c r="T2655" s="40">
        <f>Database_Overig_Materieel[[#This Row],[Verbruik '[liter/kWh/kg per uur']]]*T$2743</f>
        <v>4.0771121076157435</v>
      </c>
      <c r="U2655" s="40"/>
      <c r="V2655" s="40"/>
      <c r="W2655" s="40"/>
      <c r="X2655" s="40"/>
      <c r="Y2655" s="40"/>
      <c r="Z2655" s="40"/>
      <c r="AA2655" s="40"/>
      <c r="AB2655" s="40"/>
      <c r="AC2655" s="40"/>
      <c r="AD2655" s="40"/>
      <c r="AE2655" s="40"/>
      <c r="AF2655" s="40"/>
      <c r="AG2655" s="40"/>
      <c r="AH2655" s="40"/>
      <c r="AI2655" s="40"/>
      <c r="AJ2655" s="40"/>
      <c r="AK2655" s="40"/>
      <c r="AL2655" s="40"/>
      <c r="AM2655" s="40"/>
      <c r="AN2655" s="40"/>
      <c r="AO2655" s="40"/>
      <c r="AP2655" s="40">
        <f>Database_Overig_Materieel[[#This Row],[Verbruik '[liter/kWh/kg per uur']]]*AP$2743</f>
        <v>131.02101872930027</v>
      </c>
      <c r="AQ2655" s="40"/>
      <c r="AR2655" s="40"/>
      <c r="AS2655" s="40">
        <f>Database_Overig_Materieel[[#This Row],[Verbruik '[liter/kWh/kg per uur']]]*AS$2743</f>
        <v>297.6361056968513</v>
      </c>
      <c r="AT2655" s="40"/>
      <c r="AU2655" s="40"/>
      <c r="AV2655" s="40"/>
      <c r="AW2655" s="40">
        <f>Database_Overig_Materieel[[#This Row],[Verbruik '[liter/kWh/kg per uur']]]*AW$2743</f>
        <v>1.0219566970830902</v>
      </c>
      <c r="AX2655" s="40">
        <f>Database_Overig_Materieel[[#This Row],[Verbruik '[liter/kWh/kg per uur']]]*AX$2743</f>
        <v>1.7267648176676382E-3</v>
      </c>
      <c r="AY2655" s="40">
        <f>Database_Overig_Materieel[[#This Row],[Verbruik '[liter/kWh/kg per uur']]]*AY$2743</f>
        <v>4.716206116878717</v>
      </c>
      <c r="AZ2655" s="40">
        <f>Database_Overig_Materieel[[#This Row],[Verbruik '[liter/kWh/kg per uur']]]*AZ$2743</f>
        <v>0</v>
      </c>
      <c r="BA2655" s="40"/>
      <c r="BB2655" s="40"/>
      <c r="BC2655" s="40"/>
      <c r="BD2655" s="40"/>
      <c r="BE2655" s="40"/>
      <c r="BG2655" s="33" t="s">
        <v>885</v>
      </c>
      <c r="BH2655" s="33" t="s">
        <v>135</v>
      </c>
    </row>
    <row r="2656" spans="1:60">
      <c r="A2656" s="33" t="s">
        <v>965</v>
      </c>
      <c r="B2656" s="33" t="s">
        <v>936</v>
      </c>
      <c r="C2656" s="33" t="s">
        <v>938</v>
      </c>
      <c r="D2656" s="33" t="s">
        <v>954</v>
      </c>
      <c r="E2656" s="33" t="s">
        <v>829</v>
      </c>
      <c r="F2656" s="38">
        <f>$F$2645*($I$2645/Database_Overig_Materieel[[#This Row],[Stookwaarde '[MJ/liter']]])</f>
        <v>16.586840579710142</v>
      </c>
      <c r="G2656" s="41">
        <f>Database_Overig_Materieel[[#This Row],[Verbruik '[liter/kWh/kg per uur']]]*G$2744</f>
        <v>4.6900065999875498</v>
      </c>
      <c r="H2656" s="33">
        <v>40</v>
      </c>
      <c r="I2656" s="33">
        <v>34.5</v>
      </c>
      <c r="J2656" s="40">
        <f>Database_Overig_Materieel[[#This Row],[Verbruik '[liter/kWh/kg per uur']]]*J$2744</f>
        <v>3.7150044451594195E-5</v>
      </c>
      <c r="K2656" s="40">
        <f>Database_Overig_Materieel[[#This Row],[Verbruik '[liter/kWh/kg per uur']]]*K$2744</f>
        <v>9.1777808690434767E-2</v>
      </c>
      <c r="L2656" s="40">
        <f>Database_Overig_Materieel[[#This Row],[Verbruik '[liter/kWh/kg per uur']]]*L$2744</f>
        <v>22.899496858585504</v>
      </c>
      <c r="M2656" s="40">
        <f>Database_Overig_Materieel[[#This Row],[Verbruik '[liter/kWh/kg per uur']]]*M$2744</f>
        <v>1.4384622342782606E-6</v>
      </c>
      <c r="N2656" s="40">
        <f>Database_Overig_Materieel[[#This Row],[Verbruik '[liter/kWh/kg per uur']]]*N$2744</f>
        <v>1.663958673275362E-2</v>
      </c>
      <c r="O2656" s="40">
        <f>Database_Overig_Materieel[[#This Row],[Verbruik '[liter/kWh/kg per uur']]]*O$2744</f>
        <v>8.2316243565913022E-2</v>
      </c>
      <c r="P2656" s="40">
        <f>Database_Overig_Materieel[[#This Row],[Verbruik '[liter/kWh/kg per uur']]]*P$2744</f>
        <v>3.618656464284057E-2</v>
      </c>
      <c r="Q2656" s="40">
        <f>Database_Overig_Materieel[[#This Row],[Verbruik '[liter/kWh/kg per uur']]]*Q$2744</f>
        <v>12.876610822479996</v>
      </c>
      <c r="R2656" s="40">
        <f>Database_Overig_Materieel[[#This Row],[Verbruik '[liter/kWh/kg per uur']]]*R$2744</f>
        <v>8.4528770524260857</v>
      </c>
      <c r="S2656" s="40">
        <f>Database_Overig_Materieel[[#This Row],[Verbruik '[liter/kWh/kg per uur']]]*S$2744</f>
        <v>558.86365408608685</v>
      </c>
      <c r="T2656" s="40">
        <f>Database_Overig_Materieel[[#This Row],[Verbruik '[liter/kWh/kg per uur']]]*T$2744</f>
        <v>3.7305834693055062</v>
      </c>
      <c r="U2656" s="40"/>
      <c r="V2656" s="40"/>
      <c r="W2656" s="40"/>
      <c r="X2656" s="40"/>
      <c r="Y2656" s="40"/>
      <c r="Z2656" s="40"/>
      <c r="AA2656" s="40"/>
      <c r="AB2656" s="40"/>
      <c r="AC2656" s="40"/>
      <c r="AD2656" s="40"/>
      <c r="AE2656" s="40"/>
      <c r="AF2656" s="40"/>
      <c r="AG2656" s="40"/>
      <c r="AH2656" s="40"/>
      <c r="AI2656" s="40"/>
      <c r="AJ2656" s="40"/>
      <c r="AK2656" s="40"/>
      <c r="AL2656" s="40"/>
      <c r="AM2656" s="40"/>
      <c r="AN2656" s="40"/>
      <c r="AO2656" s="40"/>
      <c r="AP2656" s="40">
        <f>Database_Overig_Materieel[[#This Row],[Verbruik '[liter/kWh/kg per uur']]]*AP$2744</f>
        <v>41.03224922584927</v>
      </c>
      <c r="AQ2656" s="40"/>
      <c r="AR2656" s="40"/>
      <c r="AS2656" s="40">
        <f>Database_Overig_Materieel[[#This Row],[Verbruik '[liter/kWh/kg per uur']]]*AS$2744</f>
        <v>192.62929923843473</v>
      </c>
      <c r="AT2656" s="40"/>
      <c r="AU2656" s="40"/>
      <c r="AV2656" s="40"/>
      <c r="AW2656" s="40">
        <f>Database_Overig_Materieel[[#This Row],[Verbruik '[liter/kWh/kg per uur']]]*AW$2744</f>
        <v>0.3230022476922898</v>
      </c>
      <c r="AX2656" s="40">
        <f>Database_Overig_Materieel[[#This Row],[Verbruik '[liter/kWh/kg per uur']]]*AX$2744</f>
        <v>1.0491110319304346E-3</v>
      </c>
      <c r="AY2656" s="40">
        <f>Database_Overig_Materieel[[#This Row],[Verbruik '[liter/kWh/kg per uur']]]*AY$2744</f>
        <v>4.0697138650881151</v>
      </c>
      <c r="AZ2656" s="40">
        <f>Database_Overig_Materieel[[#This Row],[Verbruik '[liter/kWh/kg per uur']]]*AZ$2744</f>
        <v>0</v>
      </c>
      <c r="BA2656" s="40"/>
      <c r="BB2656" s="40"/>
      <c r="BC2656" s="40"/>
      <c r="BD2656" s="40"/>
      <c r="BE2656" s="40"/>
      <c r="BG2656" s="33" t="s">
        <v>885</v>
      </c>
      <c r="BH2656" s="33" t="s">
        <v>135</v>
      </c>
    </row>
    <row r="2657" spans="1:60">
      <c r="A2657" s="33" t="s">
        <v>966</v>
      </c>
      <c r="B2657" s="33" t="s">
        <v>936</v>
      </c>
      <c r="C2657" s="33" t="s">
        <v>938</v>
      </c>
      <c r="D2657" s="33" t="s">
        <v>954</v>
      </c>
      <c r="E2657" s="33" t="s">
        <v>829</v>
      </c>
      <c r="F2657" s="33">
        <f>F2645*3.1</f>
        <v>49.414000000000001</v>
      </c>
      <c r="G2657" s="41">
        <f>Database_Overig_Materieel[[#This Row],[Verbruik '[liter/kWh/kg per uur']]]*$G$2745</f>
        <v>3.2117094779880002</v>
      </c>
      <c r="H2657" s="33">
        <v>40</v>
      </c>
      <c r="I2657" s="33">
        <v>3.6</v>
      </c>
      <c r="J2657" s="40">
        <f>Database_Overig_Materieel[[#This Row],[Verbruik '[liter/kWh/kg per uur']]]*J$2745</f>
        <v>8.8451060000000012E-4</v>
      </c>
      <c r="K2657" s="40">
        <f>Database_Overig_Materieel[[#This Row],[Verbruik '[liter/kWh/kg per uur']]]*K$2745</f>
        <v>7.7579980000000007E-2</v>
      </c>
      <c r="L2657" s="40">
        <f>Database_Overig_Materieel[[#This Row],[Verbruik '[liter/kWh/kg per uur']]]*L$2745</f>
        <v>11.11815</v>
      </c>
      <c r="M2657" s="40">
        <f>Database_Overig_Materieel[[#This Row],[Verbruik '[liter/kWh/kg per uur']]]*M$2745</f>
        <v>1.1167564000000001E-6</v>
      </c>
      <c r="N2657" s="40">
        <f>Database_Overig_Materieel[[#This Row],[Verbruik '[liter/kWh/kg per uur']]]*N$2745</f>
        <v>1.4478302000000002E-2</v>
      </c>
      <c r="O2657" s="40">
        <f>Database_Overig_Materieel[[#This Row],[Verbruik '[liter/kWh/kg per uur']]]*O$2745</f>
        <v>0.1062401</v>
      </c>
      <c r="P2657" s="40">
        <f>Database_Overig_Materieel[[#This Row],[Verbruik '[liter/kWh/kg per uur']]]*P$2745</f>
        <v>1.5021856000000002E-2</v>
      </c>
      <c r="Q2657" s="40">
        <f>Database_Overig_Materieel[[#This Row],[Verbruik '[liter/kWh/kg per uur']]]*Q$2745</f>
        <v>21.00095</v>
      </c>
      <c r="R2657" s="40">
        <f>Database_Overig_Materieel[[#This Row],[Verbruik '[liter/kWh/kg per uur']]]*R$2745</f>
        <v>0.34787456</v>
      </c>
      <c r="S2657" s="40">
        <f>Database_Overig_Materieel[[#This Row],[Verbruik '[liter/kWh/kg per uur']]]*S$2745</f>
        <v>1141.4634000000001</v>
      </c>
      <c r="T2657" s="40">
        <f>Database_Overig_Materieel[[#This Row],[Verbruik '[liter/kWh/kg per uur']]]*T$2745</f>
        <v>0.65720619999999996</v>
      </c>
      <c r="U2657" s="40"/>
      <c r="V2657" s="40"/>
      <c r="W2657" s="40"/>
      <c r="X2657" s="40"/>
      <c r="Y2657" s="40"/>
      <c r="Z2657" s="40"/>
      <c r="AA2657" s="40"/>
      <c r="AB2657" s="40"/>
      <c r="AC2657" s="40"/>
      <c r="AD2657" s="40"/>
      <c r="AE2657" s="40"/>
      <c r="AF2657" s="40"/>
      <c r="AG2657" s="40"/>
      <c r="AH2657" s="40"/>
      <c r="AI2657" s="40"/>
      <c r="AJ2657" s="40"/>
      <c r="AK2657" s="40"/>
      <c r="AL2657" s="40"/>
      <c r="AM2657" s="40"/>
      <c r="AN2657" s="40"/>
      <c r="AO2657" s="40"/>
      <c r="AP2657" s="40">
        <f>Database_Overig_Materieel[[#This Row],[Verbruik '[liter/kWh/kg per uur']]]*AP$2745</f>
        <v>429.90179999999998</v>
      </c>
      <c r="AQ2657" s="40"/>
      <c r="AR2657" s="40"/>
      <c r="AS2657" s="40">
        <f>Database_Overig_Materieel[[#This Row],[Verbruik '[liter/kWh/kg per uur']]]*AS$2745</f>
        <v>151.70097999999999</v>
      </c>
      <c r="AT2657" s="40"/>
      <c r="AU2657" s="40"/>
      <c r="AV2657" s="40"/>
      <c r="AW2657" s="40">
        <f>Database_Overig_Materieel[[#This Row],[Verbruik '[liter/kWh/kg per uur']]]*AW$2745</f>
        <v>429.90179999999998</v>
      </c>
      <c r="AX2657" s="40">
        <f>Database_Overig_Materieel[[#This Row],[Verbruik '[liter/kWh/kg per uur']]]*AX$2745</f>
        <v>2.0259740000000003E-3</v>
      </c>
      <c r="AY2657" s="40">
        <f>Database_Overig_Materieel[[#This Row],[Verbruik '[liter/kWh/kg per uur']]]*AY$2745</f>
        <v>3.7604054000000002</v>
      </c>
      <c r="AZ2657" s="40">
        <f>Database_Overig_Materieel[[#This Row],[Verbruik '[liter/kWh/kg per uur']]]*AZ$2745</f>
        <v>4.4571428000000001E-4</v>
      </c>
      <c r="BA2657" s="40"/>
      <c r="BB2657" s="40"/>
      <c r="BC2657" s="40"/>
      <c r="BD2657" s="40"/>
      <c r="BE2657" s="40"/>
      <c r="BF2657" s="33" t="s">
        <v>892</v>
      </c>
      <c r="BG2657" s="33" t="s">
        <v>893</v>
      </c>
      <c r="BH2657" s="33" t="s">
        <v>854</v>
      </c>
    </row>
    <row r="2658" spans="1:60">
      <c r="A2658" s="33" t="s">
        <v>967</v>
      </c>
      <c r="B2658" s="33" t="s">
        <v>936</v>
      </c>
      <c r="C2658" s="33" t="s">
        <v>938</v>
      </c>
      <c r="D2658" s="33" t="s">
        <v>954</v>
      </c>
      <c r="E2658" s="33" t="s">
        <v>829</v>
      </c>
      <c r="F2658" s="33">
        <f>F2645*3.1</f>
        <v>49.414000000000001</v>
      </c>
      <c r="G2658" s="41">
        <f>Database_Overig_Materieel[[#This Row],[Verbruik '[liter/kWh/kg per uur']]]*$G$2746</f>
        <v>4.1207476557540001</v>
      </c>
      <c r="H2658" s="33">
        <v>40</v>
      </c>
      <c r="I2658" s="33">
        <v>3.6</v>
      </c>
      <c r="J2658" s="40">
        <f>Database_Overig_Materieel[[#This Row],[Verbruik '[liter/kWh/kg per uur']]]*J$2746</f>
        <v>6.9673740000000004E-4</v>
      </c>
      <c r="K2658" s="40">
        <f>Database_Overig_Materieel[[#This Row],[Verbruik '[liter/kWh/kg per uur']]]*K$2746</f>
        <v>0.28808362000000004</v>
      </c>
      <c r="L2658" s="40">
        <f>Database_Overig_Materieel[[#This Row],[Verbruik '[liter/kWh/kg per uur']]]*L$2746</f>
        <v>34.243901999999999</v>
      </c>
      <c r="M2658" s="40">
        <f>Database_Overig_Materieel[[#This Row],[Verbruik '[liter/kWh/kg per uur']]]*M$2746</f>
        <v>2.3965790000000001E-6</v>
      </c>
      <c r="N2658" s="40">
        <f>Database_Overig_Materieel[[#This Row],[Verbruik '[liter/kWh/kg per uur']]]*N$2746</f>
        <v>1.2946468000000001E-2</v>
      </c>
      <c r="O2658" s="40">
        <f>Database_Overig_Materieel[[#This Row],[Verbruik '[liter/kWh/kg per uur']]]*O$2746</f>
        <v>0.10278111999999999</v>
      </c>
      <c r="P2658" s="40">
        <f>Database_Overig_Materieel[[#This Row],[Verbruik '[liter/kWh/kg per uur']]]*P$2746</f>
        <v>1.2304085999999999E-2</v>
      </c>
      <c r="Q2658" s="40">
        <f>Database_Overig_Materieel[[#This Row],[Verbruik '[liter/kWh/kg per uur']]]*Q$2746</f>
        <v>18.431422000000001</v>
      </c>
      <c r="R2658" s="40">
        <f>Database_Overig_Materieel[[#This Row],[Verbruik '[liter/kWh/kg per uur']]]*R$2746</f>
        <v>0.29450744000000001</v>
      </c>
      <c r="S2658" s="40">
        <f>Database_Overig_Materieel[[#This Row],[Verbruik '[liter/kWh/kg per uur']]]*S$2746</f>
        <v>1077.2252000000001</v>
      </c>
      <c r="T2658" s="40">
        <f>Database_Overig_Materieel[[#This Row],[Verbruik '[liter/kWh/kg per uur']]]*T$2746</f>
        <v>0.65226479999999998</v>
      </c>
      <c r="U2658" s="40"/>
      <c r="V2658" s="40"/>
      <c r="W2658" s="40"/>
      <c r="X2658" s="40"/>
      <c r="Y2658" s="40"/>
      <c r="Z2658" s="40"/>
      <c r="AA2658" s="40"/>
      <c r="AB2658" s="40"/>
      <c r="AC2658" s="40"/>
      <c r="AD2658" s="40"/>
      <c r="AE2658" s="40"/>
      <c r="AF2658" s="40"/>
      <c r="AG2658" s="40"/>
      <c r="AH2658" s="40"/>
      <c r="AI2658" s="40"/>
      <c r="AJ2658" s="40"/>
      <c r="AK2658" s="40"/>
      <c r="AL2658" s="40"/>
      <c r="AM2658" s="40"/>
      <c r="AN2658" s="40"/>
      <c r="AO2658" s="40"/>
      <c r="AP2658" s="40">
        <f>Database_Overig_Materieel[[#This Row],[Verbruik '[liter/kWh/kg per uur']]]*AP$2746</f>
        <v>11.809946</v>
      </c>
      <c r="AQ2658" s="40"/>
      <c r="AR2658" s="40"/>
      <c r="AS2658" s="40">
        <f>Database_Overig_Materieel[[#This Row],[Verbruik '[liter/kWh/kg per uur']]]*AS$2746</f>
        <v>538.61260000000004</v>
      </c>
      <c r="AT2658" s="40"/>
      <c r="AU2658" s="40"/>
      <c r="AV2658" s="40"/>
      <c r="AW2658" s="40">
        <f>Database_Overig_Materieel[[#This Row],[Verbruik '[liter/kWh/kg per uur']]]*AW$2746</f>
        <v>11.809946</v>
      </c>
      <c r="AX2658" s="40">
        <f>Database_Overig_Materieel[[#This Row],[Verbruik '[liter/kWh/kg per uur']]]*AX$2746</f>
        <v>1.5911307999999999E-3</v>
      </c>
      <c r="AY2658" s="40">
        <f>Database_Overig_Materieel[[#This Row],[Verbruik '[liter/kWh/kg per uur']]]*AY$2746</f>
        <v>2.8017738000000003</v>
      </c>
      <c r="AZ2658" s="40">
        <f>Database_Overig_Materieel[[#This Row],[Verbruik '[liter/kWh/kg per uur']]]*AZ$2746</f>
        <v>4.5757364000000001E-4</v>
      </c>
      <c r="BA2658" s="40"/>
      <c r="BB2658" s="40"/>
      <c r="BC2658" s="40"/>
      <c r="BD2658" s="40"/>
      <c r="BE2658" s="40"/>
      <c r="BF2658" s="33" t="s">
        <v>892</v>
      </c>
      <c r="BG2658" s="33" t="s">
        <v>893</v>
      </c>
      <c r="BH2658" s="33" t="s">
        <v>854</v>
      </c>
    </row>
    <row r="2659" spans="1:60">
      <c r="A2659" s="33" t="s">
        <v>968</v>
      </c>
      <c r="B2659" s="33" t="s">
        <v>936</v>
      </c>
      <c r="C2659" s="33" t="s">
        <v>938</v>
      </c>
      <c r="D2659" s="33" t="s">
        <v>969</v>
      </c>
      <c r="E2659" s="33" t="s">
        <v>829</v>
      </c>
      <c r="F2659" s="33">
        <v>19.635000000000002</v>
      </c>
      <c r="G2659" s="41">
        <f>Database_Overig_Materieel[[#This Row],[Verbruik '[liter/kWh/kg per uur']]]*G$2733</f>
        <v>6.2576644953751632</v>
      </c>
      <c r="H2659" s="33">
        <v>125</v>
      </c>
      <c r="I2659" s="36">
        <v>35.9</v>
      </c>
      <c r="J2659" s="40">
        <f>Database_Overig_Materieel[[#This Row],[Verbruik '[liter/kWh/kg per uur']]]*J$2733</f>
        <v>3.1612350000000006E-5</v>
      </c>
      <c r="K2659" s="40">
        <f>Database_Overig_Materieel[[#This Row],[Verbruik '[liter/kWh/kg per uur']]]*K$2733</f>
        <v>0.46141678621500004</v>
      </c>
      <c r="L2659" s="40">
        <f>Database_Overig_Materieel[[#This Row],[Verbruik '[liter/kWh/kg per uur']]]*L$2733</f>
        <v>67.533009736500006</v>
      </c>
      <c r="M2659" s="40">
        <f>Database_Overig_Materieel[[#This Row],[Verbruik '[liter/kWh/kg per uur']]]*M$2733</f>
        <v>1.1761365000000002E-5</v>
      </c>
      <c r="N2659" s="40">
        <f>Database_Overig_Materieel[[#This Row],[Verbruik '[liter/kWh/kg per uur']]]*N$2733</f>
        <v>2.2234791810000005E-2</v>
      </c>
      <c r="O2659" s="40">
        <f>Database_Overig_Materieel[[#This Row],[Verbruik '[liter/kWh/kg per uur']]]*O$2733</f>
        <v>0.19806590265000001</v>
      </c>
      <c r="P2659" s="40">
        <f>Database_Overig_Materieel[[#This Row],[Verbruik '[liter/kWh/kg per uur']]]*P$2733</f>
        <v>3.7896080145000004E-2</v>
      </c>
      <c r="Q2659" s="40">
        <f>Database_Overig_Materieel[[#This Row],[Verbruik '[liter/kWh/kg per uur']]]*Q$2733</f>
        <v>16.719363703350002</v>
      </c>
      <c r="R2659" s="40">
        <f>Database_Overig_Materieel[[#This Row],[Verbruik '[liter/kWh/kg per uur']]]*R$2733</f>
        <v>0.33110555477999998</v>
      </c>
      <c r="S2659" s="40">
        <f>Database_Overig_Materieel[[#This Row],[Verbruik '[liter/kWh/kg per uur']]]*S$2733</f>
        <v>1107.8717114850001</v>
      </c>
      <c r="T2659" s="40">
        <f>Database_Overig_Materieel[[#This Row],[Verbruik '[liter/kWh/kg per uur']]]*T$2733</f>
        <v>5.9473276169999999E-2</v>
      </c>
      <c r="U2659" s="40"/>
      <c r="V2659" s="40"/>
      <c r="W2659" s="40"/>
      <c r="X2659" s="40"/>
      <c r="Y2659" s="40"/>
      <c r="Z2659" s="40"/>
      <c r="AA2659" s="40"/>
      <c r="AB2659" s="40"/>
      <c r="AC2659" s="40"/>
      <c r="AD2659" s="40"/>
      <c r="AE2659" s="40"/>
      <c r="AF2659" s="40"/>
      <c r="AG2659" s="40"/>
      <c r="AH2659" s="40"/>
      <c r="AI2659" s="40"/>
      <c r="AJ2659" s="40"/>
      <c r="AK2659" s="40"/>
      <c r="AL2659" s="40"/>
      <c r="AM2659" s="40"/>
      <c r="AN2659" s="40"/>
      <c r="AO2659" s="40"/>
      <c r="AP2659" s="40">
        <f>Database_Overig_Materieel[[#This Row],[Verbruik '[liter/kWh/kg per uur']]]*AP$2733</f>
        <v>7.51061035725</v>
      </c>
      <c r="AQ2659" s="40"/>
      <c r="AR2659" s="40"/>
      <c r="AS2659" s="40">
        <f>Database_Overig_Materieel[[#This Row],[Verbruik '[liter/kWh/kg per uur']]]*AS$2733</f>
        <v>1029.92027061</v>
      </c>
      <c r="AT2659" s="40"/>
      <c r="AU2659" s="40"/>
      <c r="AV2659" s="40"/>
      <c r="AW2659" s="40">
        <f>Database_Overig_Materieel[[#This Row],[Verbruik '[liter/kWh/kg per uur']]]*AW$2733</f>
        <v>9.7300516005000018E-2</v>
      </c>
      <c r="AX2659" s="40">
        <f>Database_Overig_Materieel[[#This Row],[Verbruik '[liter/kWh/kg per uur']]]*AX$2733</f>
        <v>7.1098531350000001E-3</v>
      </c>
      <c r="AY2659" s="40">
        <f>Database_Overig_Materieel[[#This Row],[Verbruik '[liter/kWh/kg per uur']]]*AY$2733</f>
        <v>1.7277702207150003</v>
      </c>
      <c r="AZ2659" s="40">
        <f>Database_Overig_Materieel[[#This Row],[Verbruik '[liter/kWh/kg per uur']]]*AZ$2733</f>
        <v>0</v>
      </c>
      <c r="BA2659" s="40"/>
      <c r="BB2659" s="40"/>
      <c r="BC2659" s="40"/>
      <c r="BD2659" s="40"/>
      <c r="BE2659" s="40"/>
      <c r="BG2659" s="33" t="s">
        <v>885</v>
      </c>
      <c r="BH2659" s="33" t="s">
        <v>135</v>
      </c>
    </row>
    <row r="2660" spans="1:60">
      <c r="A2660" s="33" t="s">
        <v>970</v>
      </c>
      <c r="B2660" s="33" t="s">
        <v>936</v>
      </c>
      <c r="C2660" s="33" t="s">
        <v>938</v>
      </c>
      <c r="D2660" s="33" t="s">
        <v>969</v>
      </c>
      <c r="E2660" s="33" t="s">
        <v>829</v>
      </c>
      <c r="F2660" s="38">
        <f>$F$2659*($I$2659/Database_Overig_Materieel[[#This Row],[Stookwaarde '[MJ/liter']]])</f>
        <v>21.295966767371603</v>
      </c>
      <c r="G2660" s="41">
        <f>Database_Overig_Materieel[[#This Row],[Verbruik '[liter/kWh/kg per uur']]]*G$2734</f>
        <v>5.9790639373543772</v>
      </c>
      <c r="H2660" s="33">
        <v>125</v>
      </c>
      <c r="I2660" s="33">
        <v>33.1</v>
      </c>
      <c r="J2660" s="40">
        <f>Database_Overig_Materieel[[#This Row],[Verbruik '[liter/kWh/kg per uur']]]*J$2734</f>
        <v>1.0598172117416921E-4</v>
      </c>
      <c r="K2660" s="40">
        <f>Database_Overig_Materieel[[#This Row],[Verbruik '[liter/kWh/kg per uur']]]*K$2734</f>
        <v>0.62946614311803639</v>
      </c>
      <c r="L2660" s="40">
        <f>Database_Overig_Materieel[[#This Row],[Verbruik '[liter/kWh/kg per uur']]]*L$2734</f>
        <v>77.65505921668732</v>
      </c>
      <c r="M2660" s="40">
        <f>Database_Overig_Materieel[[#This Row],[Verbruik '[liter/kWh/kg per uur']]]*M$2734</f>
        <v>1.032786241123867E-6</v>
      </c>
      <c r="N2660" s="40">
        <f>Database_Overig_Materieel[[#This Row],[Verbruik '[liter/kWh/kg per uur']]]*N$2734</f>
        <v>1.5604108545589124E-2</v>
      </c>
      <c r="O2660" s="40">
        <f>Database_Overig_Materieel[[#This Row],[Verbruik '[liter/kWh/kg per uur']]]*O$2734</f>
        <v>0.1601942674867976</v>
      </c>
      <c r="P2660" s="40">
        <f>Database_Overig_Materieel[[#This Row],[Verbruik '[liter/kWh/kg per uur']]]*P$2734</f>
        <v>3.4435727334607258E-2</v>
      </c>
      <c r="Q2660" s="40">
        <f>Database_Overig_Materieel[[#This Row],[Verbruik '[liter/kWh/kg per uur']]]*Q$2734</f>
        <v>15.418674979760576</v>
      </c>
      <c r="R2660" s="40">
        <f>Database_Overig_Materieel[[#This Row],[Verbruik '[liter/kWh/kg per uur']]]*R$2734</f>
        <v>0.12246420316504532</v>
      </c>
      <c r="S2660" s="40">
        <f>Database_Overig_Materieel[[#This Row],[Verbruik '[liter/kWh/kg per uur']]]*S$2734</f>
        <v>462.37666751129916</v>
      </c>
      <c r="T2660" s="40">
        <f>Database_Overig_Materieel[[#This Row],[Verbruik '[liter/kWh/kg per uur']]]*T$2734</f>
        <v>6.2740686572356499E-2</v>
      </c>
      <c r="U2660" s="40"/>
      <c r="V2660" s="40"/>
      <c r="W2660" s="40"/>
      <c r="X2660" s="40"/>
      <c r="Y2660" s="40"/>
      <c r="Z2660" s="40"/>
      <c r="AA2660" s="40"/>
      <c r="AB2660" s="40"/>
      <c r="AC2660" s="40"/>
      <c r="AD2660" s="40"/>
      <c r="AE2660" s="40"/>
      <c r="AF2660" s="40"/>
      <c r="AG2660" s="40"/>
      <c r="AH2660" s="40"/>
      <c r="AI2660" s="40"/>
      <c r="AJ2660" s="40"/>
      <c r="AK2660" s="40"/>
      <c r="AL2660" s="40"/>
      <c r="AM2660" s="40"/>
      <c r="AN2660" s="40"/>
      <c r="AO2660" s="40"/>
      <c r="AP2660" s="40">
        <f>Database_Overig_Materieel[[#This Row],[Verbruik '[liter/kWh/kg per uur']]]*AP$2734</f>
        <v>9.178873662650302</v>
      </c>
      <c r="AQ2660" s="40"/>
      <c r="AR2660" s="40"/>
      <c r="AS2660" s="40">
        <f>Database_Overig_Materieel[[#This Row],[Verbruik '[liter/kWh/kg per uur']]]*AS$2734</f>
        <v>1342.4646297867826</v>
      </c>
      <c r="AT2660" s="40"/>
      <c r="AU2660" s="40"/>
      <c r="AV2660" s="40"/>
      <c r="AW2660" s="40">
        <f>Database_Overig_Materieel[[#This Row],[Verbruik '[liter/kWh/kg per uur']]]*AW$2734</f>
        <v>5.9951681580634443E-2</v>
      </c>
      <c r="AX2660" s="40">
        <f>Database_Overig_Materieel[[#This Row],[Verbruik '[liter/kWh/kg per uur']]]*AX$2734</f>
        <v>2.0476412782296075E-3</v>
      </c>
      <c r="AY2660" s="40">
        <f>Database_Overig_Materieel[[#This Row],[Verbruik '[liter/kWh/kg per uur']]]*AY$2734</f>
        <v>2.2752510803216013</v>
      </c>
      <c r="AZ2660" s="40">
        <f>Database_Overig_Materieel[[#This Row],[Verbruik '[liter/kWh/kg per uur']]]*AZ$2734</f>
        <v>0</v>
      </c>
      <c r="BA2660" s="40"/>
      <c r="BB2660" s="40"/>
      <c r="BC2660" s="40"/>
      <c r="BD2660" s="40"/>
      <c r="BE2660" s="40"/>
      <c r="BG2660" s="33" t="s">
        <v>885</v>
      </c>
      <c r="BH2660" s="33" t="s">
        <v>135</v>
      </c>
    </row>
    <row r="2661" spans="1:60">
      <c r="A2661" s="33" t="s">
        <v>971</v>
      </c>
      <c r="B2661" s="33" t="s">
        <v>936</v>
      </c>
      <c r="C2661" s="33" t="s">
        <v>938</v>
      </c>
      <c r="D2661" s="33" t="s">
        <v>969</v>
      </c>
      <c r="E2661" s="33" t="s">
        <v>829</v>
      </c>
      <c r="F2661" s="38">
        <f>$F$2659*($I$2659/Database_Overig_Materieel[[#This Row],[Stookwaarde '[MJ/liter']]])</f>
        <v>20.550918367346942</v>
      </c>
      <c r="G2661" s="41">
        <f>Database_Overig_Materieel[[#This Row],[Verbruik '[liter/kWh/kg per uur']]]*G$2735</f>
        <v>4.760166072893405</v>
      </c>
      <c r="H2661" s="33">
        <v>125</v>
      </c>
      <c r="I2661" s="33">
        <v>34.299999999999997</v>
      </c>
      <c r="J2661" s="40">
        <f>Database_Overig_Materieel[[#This Row],[Verbruik '[liter/kWh/kg per uur']]]*J$2735</f>
        <v>7.6983329185714296E-5</v>
      </c>
      <c r="K2661" s="40">
        <f>Database_Overig_Materieel[[#This Row],[Verbruik '[liter/kWh/kg per uur']]]*K$2735</f>
        <v>0.16833579884112249</v>
      </c>
      <c r="L2661" s="40">
        <f>Database_Overig_Materieel[[#This Row],[Verbruik '[liter/kWh/kg per uur']]]*L$2735</f>
        <v>29.018566694632657</v>
      </c>
      <c r="M2661" s="40">
        <f>Database_Overig_Materieel[[#This Row],[Verbruik '[liter/kWh/kg per uur']]]*M$2735</f>
        <v>2.7370740627551021E-6</v>
      </c>
      <c r="N2661" s="40">
        <f>Database_Overig_Materieel[[#This Row],[Verbruik '[liter/kWh/kg per uur']]]*N$2735</f>
        <v>2.3878790231326538E-2</v>
      </c>
      <c r="O2661" s="40">
        <f>Database_Overig_Materieel[[#This Row],[Verbruik '[liter/kWh/kg per uur']]]*O$2735</f>
        <v>0.25937525745887757</v>
      </c>
      <c r="P2661" s="40">
        <f>Database_Overig_Materieel[[#This Row],[Verbruik '[liter/kWh/kg per uur']]]*P$2735</f>
        <v>0.11133940917000003</v>
      </c>
      <c r="Q2661" s="40">
        <f>Database_Overig_Materieel[[#This Row],[Verbruik '[liter/kWh/kg per uur']]]*Q$2735</f>
        <v>16.175005154112245</v>
      </c>
      <c r="R2661" s="40">
        <f>Database_Overig_Materieel[[#This Row],[Verbruik '[liter/kWh/kg per uur']]]*R$2735</f>
        <v>11.695130393605105</v>
      </c>
      <c r="S2661" s="40">
        <f>Database_Overig_Materieel[[#This Row],[Verbruik '[liter/kWh/kg per uur']]]*S$2735</f>
        <v>967.24629738336751</v>
      </c>
      <c r="T2661" s="40">
        <f>Database_Overig_Materieel[[#This Row],[Verbruik '[liter/kWh/kg per uur']]]*T$2735</f>
        <v>5.0214177646622451</v>
      </c>
      <c r="U2661" s="40"/>
      <c r="V2661" s="40"/>
      <c r="W2661" s="40"/>
      <c r="X2661" s="40"/>
      <c r="Y2661" s="40"/>
      <c r="Z2661" s="40"/>
      <c r="AA2661" s="40"/>
      <c r="AB2661" s="40"/>
      <c r="AC2661" s="40"/>
      <c r="AD2661" s="40"/>
      <c r="AE2661" s="40"/>
      <c r="AF2661" s="40"/>
      <c r="AG2661" s="40"/>
      <c r="AH2661" s="40"/>
      <c r="AI2661" s="40"/>
      <c r="AJ2661" s="40"/>
      <c r="AK2661" s="40"/>
      <c r="AL2661" s="40"/>
      <c r="AM2661" s="40"/>
      <c r="AN2661" s="40"/>
      <c r="AO2661" s="40"/>
      <c r="AP2661" s="40">
        <f>Database_Overig_Materieel[[#This Row],[Verbruik '[liter/kWh/kg per uur']]]*AP$2735</f>
        <v>161.1723282341633</v>
      </c>
      <c r="AQ2661" s="40"/>
      <c r="AR2661" s="40"/>
      <c r="AS2661" s="40">
        <f>Database_Overig_Materieel[[#This Row],[Verbruik '[liter/kWh/kg per uur']]]*AS$2735</f>
        <v>355.17052740153065</v>
      </c>
      <c r="AT2661" s="40"/>
      <c r="AU2661" s="40"/>
      <c r="AV2661" s="40"/>
      <c r="AW2661" s="40">
        <f>Database_Overig_Materieel[[#This Row],[Verbruik '[liter/kWh/kg per uur']]]*AW$2735</f>
        <v>1.2576239510090819</v>
      </c>
      <c r="AX2661" s="40">
        <f>Database_Overig_Materieel[[#This Row],[Verbruik '[liter/kWh/kg per uur']]]*AX$2735</f>
        <v>2.0833493494897964E-3</v>
      </c>
      <c r="AY2661" s="40">
        <f>Database_Overig_Materieel[[#This Row],[Verbruik '[liter/kWh/kg per uur']]]*AY$2735</f>
        <v>5.7824762253948991</v>
      </c>
      <c r="AZ2661" s="40">
        <f>Database_Overig_Materieel[[#This Row],[Verbruik '[liter/kWh/kg per uur']]]*AZ$2735</f>
        <v>0</v>
      </c>
      <c r="BA2661" s="40"/>
      <c r="BB2661" s="40"/>
      <c r="BC2661" s="40"/>
      <c r="BD2661" s="40"/>
      <c r="BE2661" s="40"/>
      <c r="BG2661" s="33" t="s">
        <v>885</v>
      </c>
      <c r="BH2661" s="33" t="s">
        <v>135</v>
      </c>
    </row>
    <row r="2662" spans="1:60">
      <c r="A2662" s="33" t="s">
        <v>972</v>
      </c>
      <c r="B2662" s="33" t="s">
        <v>936</v>
      </c>
      <c r="C2662" s="33" t="s">
        <v>938</v>
      </c>
      <c r="D2662" s="33" t="s">
        <v>969</v>
      </c>
      <c r="E2662" s="33" t="s">
        <v>829</v>
      </c>
      <c r="F2662" s="38">
        <f>$F$2659*($I$2659/Database_Overig_Materieel[[#This Row],[Stookwaarde '[MJ/liter']]])</f>
        <v>20.431782608695652</v>
      </c>
      <c r="G2662" s="41">
        <f>Database_Overig_Materieel[[#This Row],[Verbruik '[liter/kWh/kg per uur']]]*G$2736</f>
        <v>6.1467938560378279</v>
      </c>
      <c r="H2662" s="33">
        <v>125</v>
      </c>
      <c r="I2662" s="33">
        <v>34.5</v>
      </c>
      <c r="J2662" s="40">
        <f>Database_Overig_Materieel[[#This Row],[Verbruik '[liter/kWh/kg per uur']]]*J$2736</f>
        <v>4.2938004105652167E-5</v>
      </c>
      <c r="K2662" s="40">
        <f>Database_Overig_Materieel[[#This Row],[Verbruik '[liter/kWh/kg per uur']]]*K$2736</f>
        <v>0.10769012350417391</v>
      </c>
      <c r="L2662" s="40">
        <f>Database_Overig_Materieel[[#This Row],[Verbruik '[liter/kWh/kg per uur']]]*L$2736</f>
        <v>27.620237431743476</v>
      </c>
      <c r="M2662" s="40">
        <f>Database_Overig_Materieel[[#This Row],[Verbruik '[liter/kWh/kg per uur']]]*M$2736</f>
        <v>1.6760334296391304E-6</v>
      </c>
      <c r="N2662" s="40">
        <f>Database_Overig_Materieel[[#This Row],[Verbruik '[liter/kWh/kg per uur']]]*N$2736</f>
        <v>2.0251369968260869E-2</v>
      </c>
      <c r="O2662" s="40">
        <f>Database_Overig_Materieel[[#This Row],[Verbruik '[liter/kWh/kg per uur']]]*O$2736</f>
        <v>0.16886559806169565</v>
      </c>
      <c r="P2662" s="40">
        <f>Database_Overig_Materieel[[#This Row],[Verbruik '[liter/kWh/kg per uur']]]*P$2736</f>
        <v>6.2412414676652185E-2</v>
      </c>
      <c r="Q2662" s="40">
        <f>Database_Overig_Materieel[[#This Row],[Verbruik '[liter/kWh/kg per uur']]]*Q$2736</f>
        <v>15.57414304754</v>
      </c>
      <c r="R2662" s="40">
        <f>Database_Overig_Materieel[[#This Row],[Verbruik '[liter/kWh/kg per uur']]]*R$2736</f>
        <v>10.408209748826522</v>
      </c>
      <c r="S2662" s="40">
        <f>Database_Overig_Materieel[[#This Row],[Verbruik '[liter/kWh/kg per uur']]]*S$2736</f>
        <v>670.03385149369569</v>
      </c>
      <c r="T2662" s="40">
        <f>Database_Overig_Materieel[[#This Row],[Verbruik '[liter/kWh/kg per uur']]]*T$2736</f>
        <v>4.5945325496973908</v>
      </c>
      <c r="U2662" s="40"/>
      <c r="V2662" s="40"/>
      <c r="W2662" s="40"/>
      <c r="X2662" s="40"/>
      <c r="Y2662" s="40"/>
      <c r="Z2662" s="40"/>
      <c r="AA2662" s="40"/>
      <c r="AB2662" s="40"/>
      <c r="AC2662" s="40"/>
      <c r="AD2662" s="40"/>
      <c r="AE2662" s="40"/>
      <c r="AF2662" s="40"/>
      <c r="AG2662" s="40"/>
      <c r="AH2662" s="40"/>
      <c r="AI2662" s="40"/>
      <c r="AJ2662" s="40"/>
      <c r="AK2662" s="40"/>
      <c r="AL2662" s="40"/>
      <c r="AM2662" s="40"/>
      <c r="AN2662" s="40"/>
      <c r="AO2662" s="40"/>
      <c r="AP2662" s="40">
        <f>Database_Overig_Materieel[[#This Row],[Verbruik '[liter/kWh/kg per uur']]]*AP$2736</f>
        <v>50.31556529263478</v>
      </c>
      <c r="AQ2662" s="40"/>
      <c r="AR2662" s="40"/>
      <c r="AS2662" s="40">
        <f>Database_Overig_Materieel[[#This Row],[Verbruik '[liter/kWh/kg per uur']]]*AS$2736</f>
        <v>225.40698086930436</v>
      </c>
      <c r="AT2662" s="40"/>
      <c r="AU2662" s="40"/>
      <c r="AV2662" s="40"/>
      <c r="AW2662" s="40">
        <f>Database_Overig_Materieel[[#This Row],[Verbruik '[liter/kWh/kg per uur']]]*AW$2736</f>
        <v>0.39660255812434786</v>
      </c>
      <c r="AX2662" s="40">
        <f>Database_Overig_Materieel[[#This Row],[Verbruik '[liter/kWh/kg per uur']]]*AX$2736</f>
        <v>1.2470068584217392E-3</v>
      </c>
      <c r="AY2662" s="40">
        <f>Database_Overig_Materieel[[#This Row],[Verbruik '[liter/kWh/kg per uur']]]*AY$2736</f>
        <v>4.9851447134786957</v>
      </c>
      <c r="AZ2662" s="40">
        <f>Database_Overig_Materieel[[#This Row],[Verbruik '[liter/kWh/kg per uur']]]*AZ$2736</f>
        <v>0</v>
      </c>
      <c r="BA2662" s="40"/>
      <c r="BB2662" s="40"/>
      <c r="BC2662" s="40"/>
      <c r="BD2662" s="40"/>
      <c r="BE2662" s="40"/>
      <c r="BG2662" s="33" t="s">
        <v>885</v>
      </c>
      <c r="BH2662" s="33" t="s">
        <v>135</v>
      </c>
    </row>
    <row r="2663" spans="1:60">
      <c r="A2663" s="33" t="s">
        <v>973</v>
      </c>
      <c r="B2663" s="33" t="s">
        <v>936</v>
      </c>
      <c r="C2663" s="33" t="s">
        <v>938</v>
      </c>
      <c r="D2663" s="33" t="s">
        <v>969</v>
      </c>
      <c r="E2663" s="33" t="s">
        <v>829</v>
      </c>
      <c r="F2663" s="33">
        <v>19.635000000000002</v>
      </c>
      <c r="G2663" s="41">
        <f>Database_Overig_Materieel[[#This Row],[Verbruik '[liter/kWh/kg per uur']]]*G$2737</f>
        <v>5.8660654946401021</v>
      </c>
      <c r="H2663" s="33">
        <v>125</v>
      </c>
      <c r="I2663" s="36">
        <v>35.9</v>
      </c>
      <c r="J2663" s="40">
        <f>Database_Overig_Materieel[[#This Row],[Verbruik '[liter/kWh/kg per uur']]]*J$2737</f>
        <v>3.4490251950000004E-5</v>
      </c>
      <c r="K2663" s="40">
        <f>Database_Overig_Materieel[[#This Row],[Verbruik '[liter/kWh/kg per uur']]]*K$2737</f>
        <v>0.46677920289000002</v>
      </c>
      <c r="L2663" s="40">
        <f>Database_Overig_Materieel[[#This Row],[Verbruik '[liter/kWh/kg per uur']]]*L$2737</f>
        <v>68.120382907500002</v>
      </c>
      <c r="M2663" s="40">
        <f>Database_Overig_Materieel[[#This Row],[Verbruik '[liter/kWh/kg per uur']]]*M$2737</f>
        <v>1.1856064604999999E-5</v>
      </c>
      <c r="N2663" s="40">
        <f>Database_Overig_Materieel[[#This Row],[Verbruik '[liter/kWh/kg per uur']]]*N$2737</f>
        <v>2.2419812415000004E-2</v>
      </c>
      <c r="O2663" s="40">
        <f>Database_Overig_Materieel[[#This Row],[Verbruik '[liter/kWh/kg per uur']]]*O$2737</f>
        <v>0.130598020245</v>
      </c>
      <c r="P2663" s="40">
        <f>Database_Overig_Materieel[[#This Row],[Verbruik '[liter/kWh/kg per uur']]]*P$2737</f>
        <v>2.0058526950000002E-2</v>
      </c>
      <c r="Q2663" s="40">
        <f>Database_Overig_Materieel[[#This Row],[Verbruik '[liter/kWh/kg per uur']]]*Q$2737</f>
        <v>16.788347152500002</v>
      </c>
      <c r="R2663" s="40">
        <f>Database_Overig_Materieel[[#This Row],[Verbruik '[liter/kWh/kg per uur']]]*R$2737</f>
        <v>0.33495212982</v>
      </c>
      <c r="S2663" s="40">
        <f>Database_Overig_Materieel[[#This Row],[Verbruik '[liter/kWh/kg per uur']]]*S$2737</f>
        <v>1126.24455405</v>
      </c>
      <c r="T2663" s="40">
        <f>Database_Overig_Materieel[[#This Row],[Verbruik '[liter/kWh/kg per uur']]]*T$2737</f>
        <v>6.0297789090000005E-2</v>
      </c>
      <c r="U2663" s="40"/>
      <c r="V2663" s="40"/>
      <c r="W2663" s="40"/>
      <c r="X2663" s="40"/>
      <c r="Y2663" s="40"/>
      <c r="Z2663" s="40"/>
      <c r="AA2663" s="40"/>
      <c r="AB2663" s="40"/>
      <c r="AC2663" s="40"/>
      <c r="AD2663" s="40"/>
      <c r="AE2663" s="40"/>
      <c r="AF2663" s="40"/>
      <c r="AG2663" s="40"/>
      <c r="AH2663" s="40"/>
      <c r="AI2663" s="40"/>
      <c r="AJ2663" s="40"/>
      <c r="AK2663" s="40"/>
      <c r="AL2663" s="40"/>
      <c r="AM2663" s="40"/>
      <c r="AN2663" s="40"/>
      <c r="AO2663" s="40"/>
      <c r="AP2663" s="40">
        <f>Database_Overig_Materieel[[#This Row],[Verbruik '[liter/kWh/kg per uur']]]*AP$2737</f>
        <v>7.7388477936000006</v>
      </c>
      <c r="AQ2663" s="40"/>
      <c r="AR2663" s="40"/>
      <c r="AS2663" s="40">
        <f>Database_Overig_Materieel[[#This Row],[Verbruik '[liter/kWh/kg per uur']]]*AS$2737</f>
        <v>1041.795381165</v>
      </c>
      <c r="AT2663" s="40"/>
      <c r="AU2663" s="40"/>
      <c r="AV2663" s="40"/>
      <c r="AW2663" s="40">
        <f>Database_Overig_Materieel[[#This Row],[Verbruik '[liter/kWh/kg per uur']]]*AW$2737</f>
        <v>9.8574336630000009E-2</v>
      </c>
      <c r="AX2663" s="40">
        <f>Database_Overig_Materieel[[#This Row],[Verbruik '[liter/kWh/kg per uur']]]*AX$2737</f>
        <v>7.1551510799999999E-3</v>
      </c>
      <c r="AY2663" s="40">
        <f>Database_Overig_Materieel[[#This Row],[Verbruik '[liter/kWh/kg per uur']]]*AY$2737</f>
        <v>1.7557266122550002</v>
      </c>
      <c r="AZ2663" s="40">
        <f>Database_Overig_Materieel[[#This Row],[Verbruik '[liter/kWh/kg per uur']]]*AZ$2737</f>
        <v>0</v>
      </c>
      <c r="BA2663" s="40"/>
      <c r="BB2663" s="40"/>
      <c r="BC2663" s="40"/>
      <c r="BD2663" s="40"/>
      <c r="BE2663" s="40"/>
      <c r="BG2663" s="33" t="s">
        <v>885</v>
      </c>
      <c r="BH2663" s="33" t="s">
        <v>135</v>
      </c>
    </row>
    <row r="2664" spans="1:60">
      <c r="A2664" s="33" t="s">
        <v>974</v>
      </c>
      <c r="B2664" s="33" t="s">
        <v>936</v>
      </c>
      <c r="C2664" s="33" t="s">
        <v>938</v>
      </c>
      <c r="D2664" s="33" t="s">
        <v>969</v>
      </c>
      <c r="E2664" s="33" t="s">
        <v>829</v>
      </c>
      <c r="F2664" s="38">
        <f>$F$2659*($I$2659/Database_Overig_Materieel[[#This Row],[Stookwaarde '[MJ/liter']]])</f>
        <v>21.295966767371603</v>
      </c>
      <c r="G2664" s="41">
        <f>Database_Overig_Materieel[[#This Row],[Verbruik '[liter/kWh/kg per uur']]]*G$2738</f>
        <v>5.5434585420752223</v>
      </c>
      <c r="H2664" s="33">
        <v>125</v>
      </c>
      <c r="I2664" s="33">
        <v>33.1</v>
      </c>
      <c r="J2664" s="40">
        <f>Database_Overig_Materieel[[#This Row],[Verbruik '[liter/kWh/kg per uur']]]*J$2738</f>
        <v>1.0890778700800605E-4</v>
      </c>
      <c r="K2664" s="40">
        <f>Database_Overig_Materieel[[#This Row],[Verbruik '[liter/kWh/kg per uur']]]*K$2738</f>
        <v>0.63502296361454691</v>
      </c>
      <c r="L2664" s="40">
        <f>Database_Overig_Materieel[[#This Row],[Verbruik '[liter/kWh/kg per uur']]]*L$2738</f>
        <v>78.263876833019637</v>
      </c>
      <c r="M2664" s="40">
        <f>Database_Overig_Materieel[[#This Row],[Verbruik '[liter/kWh/kg per uur']]]*M$2738</f>
        <v>1.1321383148836858E-6</v>
      </c>
      <c r="N2664" s="40">
        <f>Database_Overig_Materieel[[#This Row],[Verbruik '[liter/kWh/kg per uur']]]*N$2738</f>
        <v>1.5858382388791541E-2</v>
      </c>
      <c r="O2664" s="40">
        <f>Database_Overig_Materieel[[#This Row],[Verbruik '[liter/kWh/kg per uur']]]*O$2738</f>
        <v>9.028041783625379E-2</v>
      </c>
      <c r="P2664" s="40">
        <f>Database_Overig_Materieel[[#This Row],[Verbruik '[liter/kWh/kg per uur']]]*P$2738</f>
        <v>1.5951488355498488E-2</v>
      </c>
      <c r="Q2664" s="40">
        <f>Database_Overig_Materieel[[#This Row],[Verbruik '[liter/kWh/kg per uur']]]*Q$2738</f>
        <v>15.716933299764655</v>
      </c>
      <c r="R2664" s="40">
        <f>Database_Overig_Materieel[[#This Row],[Verbruik '[liter/kWh/kg per uur']]]*R$2738</f>
        <v>0.12671447350844411</v>
      </c>
      <c r="S2664" s="40">
        <f>Database_Overig_Materieel[[#This Row],[Verbruik '[liter/kWh/kg per uur']]]*S$2738</f>
        <v>481.42113948815711</v>
      </c>
      <c r="T2664" s="40">
        <f>Database_Overig_Materieel[[#This Row],[Verbruik '[liter/kWh/kg per uur']]]*T$2738</f>
        <v>6.3596039077567987E-2</v>
      </c>
      <c r="U2664" s="40"/>
      <c r="V2664" s="40"/>
      <c r="W2664" s="40"/>
      <c r="X2664" s="40"/>
      <c r="Y2664" s="40"/>
      <c r="Z2664" s="40"/>
      <c r="AA2664" s="40"/>
      <c r="AB2664" s="40"/>
      <c r="AC2664" s="40"/>
      <c r="AD2664" s="40"/>
      <c r="AE2664" s="40"/>
      <c r="AF2664" s="40"/>
      <c r="AG2664" s="40"/>
      <c r="AH2664" s="40"/>
      <c r="AI2664" s="40"/>
      <c r="AJ2664" s="40"/>
      <c r="AK2664" s="40"/>
      <c r="AL2664" s="40"/>
      <c r="AM2664" s="40"/>
      <c r="AN2664" s="40"/>
      <c r="AO2664" s="40"/>
      <c r="AP2664" s="40">
        <f>Database_Overig_Materieel[[#This Row],[Verbruik '[liter/kWh/kg per uur']]]*AP$2738</f>
        <v>9.4153856047703943</v>
      </c>
      <c r="AQ2664" s="40"/>
      <c r="AR2664" s="40"/>
      <c r="AS2664" s="40">
        <f>Database_Overig_Materieel[[#This Row],[Verbruik '[liter/kWh/kg per uur']]]*AS$2738</f>
        <v>1354.7702273357402</v>
      </c>
      <c r="AT2664" s="40"/>
      <c r="AU2664" s="40"/>
      <c r="AV2664" s="40"/>
      <c r="AW2664" s="40">
        <f>Database_Overig_Materieel[[#This Row],[Verbruik '[liter/kWh/kg per uur']]]*AW$2738</f>
        <v>6.1271669488776444E-2</v>
      </c>
      <c r="AX2664" s="40">
        <f>Database_Overig_Materieel[[#This Row],[Verbruik '[liter/kWh/kg per uur']]]*AX$2738</f>
        <v>2.0945775889848945E-3</v>
      </c>
      <c r="AY2664" s="40">
        <f>Database_Overig_Materieel[[#This Row],[Verbruik '[liter/kWh/kg per uur']]]*AY$2738</f>
        <v>2.3042210487135955</v>
      </c>
      <c r="AZ2664" s="40">
        <f>Database_Overig_Materieel[[#This Row],[Verbruik '[liter/kWh/kg per uur']]]*AZ$2738</f>
        <v>0</v>
      </c>
      <c r="BA2664" s="40"/>
      <c r="BB2664" s="40"/>
      <c r="BC2664" s="40"/>
      <c r="BD2664" s="40"/>
      <c r="BE2664" s="40"/>
      <c r="BG2664" s="33" t="s">
        <v>885</v>
      </c>
      <c r="BH2664" s="33" t="s">
        <v>135</v>
      </c>
    </row>
    <row r="2665" spans="1:60">
      <c r="A2665" s="33" t="s">
        <v>975</v>
      </c>
      <c r="B2665" s="33" t="s">
        <v>936</v>
      </c>
      <c r="C2665" s="33" t="s">
        <v>938</v>
      </c>
      <c r="D2665" s="33" t="s">
        <v>969</v>
      </c>
      <c r="E2665" s="33" t="s">
        <v>829</v>
      </c>
      <c r="F2665" s="38">
        <f>$F$2659*($I$2659/Database_Overig_Materieel[[#This Row],[Stookwaarde '[MJ/liter']]])</f>
        <v>20.550918367346942</v>
      </c>
      <c r="G2665" s="41">
        <f>Database_Overig_Materieel[[#This Row],[Verbruik '[liter/kWh/kg per uur']]]*G$2739</f>
        <v>4.3862311989156444</v>
      </c>
      <c r="H2665" s="33">
        <v>125</v>
      </c>
      <c r="I2665" s="33">
        <v>34.299999999999997</v>
      </c>
      <c r="J2665" s="40">
        <f>Database_Overig_Materieel[[#This Row],[Verbruik '[liter/kWh/kg per uur']]]*J$2739</f>
        <v>7.9708175452040825E-5</v>
      </c>
      <c r="K2665" s="40">
        <f>Database_Overig_Materieel[[#This Row],[Verbruik '[liter/kWh/kg per uur']]]*K$2739</f>
        <v>0.17351060228969392</v>
      </c>
      <c r="L2665" s="40">
        <f>Database_Overig_Materieel[[#This Row],[Verbruik '[liter/kWh/kg per uur']]]*L$2739</f>
        <v>29.585437061602043</v>
      </c>
      <c r="M2665" s="40">
        <f>Database_Overig_Materieel[[#This Row],[Verbruik '[liter/kWh/kg per uur']]]*M$2739</f>
        <v>2.8295942972448983E-6</v>
      </c>
      <c r="N2665" s="40">
        <f>Database_Overig_Materieel[[#This Row],[Verbruik '[liter/kWh/kg per uur']]]*N$2739</f>
        <v>2.4115598463673473E-2</v>
      </c>
      <c r="O2665" s="40">
        <f>Database_Overig_Materieel[[#This Row],[Verbruik '[liter/kWh/kg per uur']]]*O$2739</f>
        <v>0.18486831393642858</v>
      </c>
      <c r="P2665" s="40">
        <f>Database_Overig_Materieel[[#This Row],[Verbruik '[liter/kWh/kg per uur']]]*P$2739</f>
        <v>9.1682044733265314E-2</v>
      </c>
      <c r="Q2665" s="40">
        <f>Database_Overig_Materieel[[#This Row],[Verbruik '[liter/kWh/kg per uur']]]*Q$2739</f>
        <v>16.430452041872453</v>
      </c>
      <c r="R2665" s="40">
        <f>Database_Overig_Materieel[[#This Row],[Verbruik '[liter/kWh/kg per uur']]]*R$2739</f>
        <v>11.699088294973471</v>
      </c>
      <c r="S2665" s="40">
        <f>Database_Overig_Materieel[[#This Row],[Verbruik '[liter/kWh/kg per uur']]]*S$2739</f>
        <v>984.98151387428584</v>
      </c>
      <c r="T2665" s="40">
        <f>Database_Overig_Materieel[[#This Row],[Verbruik '[liter/kWh/kg per uur']]]*T$2739</f>
        <v>5.0222143182581638</v>
      </c>
      <c r="U2665" s="40"/>
      <c r="V2665" s="40"/>
      <c r="W2665" s="40"/>
      <c r="X2665" s="40"/>
      <c r="Y2665" s="40"/>
      <c r="Z2665" s="40"/>
      <c r="AA2665" s="40"/>
      <c r="AB2665" s="40"/>
      <c r="AC2665" s="40"/>
      <c r="AD2665" s="40"/>
      <c r="AE2665" s="40"/>
      <c r="AF2665" s="40"/>
      <c r="AG2665" s="40"/>
      <c r="AH2665" s="40"/>
      <c r="AI2665" s="40"/>
      <c r="AJ2665" s="40"/>
      <c r="AK2665" s="40"/>
      <c r="AL2665" s="40"/>
      <c r="AM2665" s="40"/>
      <c r="AN2665" s="40"/>
      <c r="AO2665" s="40"/>
      <c r="AP2665" s="40">
        <f>Database_Overig_Materieel[[#This Row],[Verbruik '[liter/kWh/kg per uur']]]*AP$2739</f>
        <v>161.39257859158164</v>
      </c>
      <c r="AQ2665" s="40"/>
      <c r="AR2665" s="40"/>
      <c r="AS2665" s="40">
        <f>Database_Overig_Materieel[[#This Row],[Verbruik '[liter/kWh/kg per uur']]]*AS$2739</f>
        <v>366.63017160336739</v>
      </c>
      <c r="AT2665" s="40"/>
      <c r="AU2665" s="40"/>
      <c r="AV2665" s="40"/>
      <c r="AW2665" s="40">
        <f>Database_Overig_Materieel[[#This Row],[Verbruik '[liter/kWh/kg per uur']]]*AW$2739</f>
        <v>1.2588531836403063</v>
      </c>
      <c r="AX2665" s="40">
        <f>Database_Overig_Materieel[[#This Row],[Verbruik '[liter/kWh/kg per uur']]]*AX$2739</f>
        <v>2.1270406019387759E-3</v>
      </c>
      <c r="AY2665" s="40">
        <f>Database_Overig_Materieel[[#This Row],[Verbruik '[liter/kWh/kg per uur']]]*AY$2739</f>
        <v>5.8094546489908172</v>
      </c>
      <c r="AZ2665" s="40">
        <f>Database_Overig_Materieel[[#This Row],[Verbruik '[liter/kWh/kg per uur']]]*AZ$2739</f>
        <v>0</v>
      </c>
      <c r="BA2665" s="40"/>
      <c r="BB2665" s="40"/>
      <c r="BC2665" s="40"/>
      <c r="BD2665" s="40"/>
      <c r="BE2665" s="40"/>
      <c r="BG2665" s="33" t="s">
        <v>885</v>
      </c>
      <c r="BH2665" s="33" t="s">
        <v>135</v>
      </c>
    </row>
    <row r="2666" spans="1:60">
      <c r="A2666" s="33" t="s">
        <v>976</v>
      </c>
      <c r="B2666" s="33" t="s">
        <v>936</v>
      </c>
      <c r="C2666" s="33" t="s">
        <v>938</v>
      </c>
      <c r="D2666" s="33" t="s">
        <v>969</v>
      </c>
      <c r="E2666" s="33" t="s">
        <v>829</v>
      </c>
      <c r="F2666" s="38">
        <f>$F$2659*($I$2659/Database_Overig_Materieel[[#This Row],[Stookwaarde '[MJ/liter']]])</f>
        <v>20.431782608695652</v>
      </c>
      <c r="G2666" s="41">
        <f>Database_Overig_Materieel[[#This Row],[Verbruik '[liter/kWh/kg per uur']]]*G$2740</f>
        <v>5.777181906571867</v>
      </c>
      <c r="H2666" s="33">
        <v>125</v>
      </c>
      <c r="I2666" s="33">
        <v>34.5</v>
      </c>
      <c r="J2666" s="40">
        <f>Database_Overig_Materieel[[#This Row],[Verbruik '[liter/kWh/kg per uur']]]*J$2740</f>
        <v>4.5761676462173912E-5</v>
      </c>
      <c r="K2666" s="40">
        <f>Database_Overig_Materieel[[#This Row],[Verbruik '[liter/kWh/kg per uur']]]*K$2740</f>
        <v>0.11305252657695652</v>
      </c>
      <c r="L2666" s="40">
        <f>Database_Overig_Materieel[[#This Row],[Verbruik '[liter/kWh/kg per uur']]]*L$2740</f>
        <v>28.207755383834783</v>
      </c>
      <c r="M2666" s="40">
        <f>Database_Overig_Materieel[[#This Row],[Verbruik '[liter/kWh/kg per uur']]]*M$2740</f>
        <v>1.7719075263521738E-6</v>
      </c>
      <c r="N2666" s="40">
        <f>Database_Overig_Materieel[[#This Row],[Verbruik '[liter/kWh/kg per uur']]]*N$2740</f>
        <v>2.0496755677391305E-2</v>
      </c>
      <c r="O2666" s="40">
        <f>Database_Overig_Materieel[[#This Row],[Verbruik '[liter/kWh/kg per uur']]]*O$2740</f>
        <v>0.10139770655060869</v>
      </c>
      <c r="P2666" s="40">
        <f>Database_Overig_Materieel[[#This Row],[Verbruik '[liter/kWh/kg per uur']]]*P$2740</f>
        <v>4.4574855505782607E-2</v>
      </c>
      <c r="Q2666" s="40">
        <f>Database_Overig_Materieel[[#This Row],[Verbruik '[liter/kWh/kg per uur']]]*Q$2740</f>
        <v>15.861966386419999</v>
      </c>
      <c r="R2666" s="40">
        <f>Database_Overig_Materieel[[#This Row],[Verbruik '[liter/kWh/kg per uur']]]*R$2740</f>
        <v>10.412311224867391</v>
      </c>
      <c r="S2666" s="40">
        <f>Database_Overig_Materieel[[#This Row],[Verbruik '[liter/kWh/kg per uur']]]*S$2740</f>
        <v>688.41203563239139</v>
      </c>
      <c r="T2666" s="40">
        <f>Database_Overig_Materieel[[#This Row],[Verbruik '[liter/kWh/kg per uur']]]*T$2740</f>
        <v>4.5953579937147824</v>
      </c>
      <c r="U2666" s="40"/>
      <c r="V2666" s="40"/>
      <c r="W2666" s="40"/>
      <c r="X2666" s="40"/>
      <c r="Y2666" s="40"/>
      <c r="Z2666" s="40"/>
      <c r="AA2666" s="40"/>
      <c r="AB2666" s="40"/>
      <c r="AC2666" s="40"/>
      <c r="AD2666" s="40"/>
      <c r="AE2666" s="40"/>
      <c r="AF2666" s="40"/>
      <c r="AG2666" s="40"/>
      <c r="AH2666" s="40"/>
      <c r="AI2666" s="40"/>
      <c r="AJ2666" s="40"/>
      <c r="AK2666" s="40"/>
      <c r="AL2666" s="40"/>
      <c r="AM2666" s="40"/>
      <c r="AN2666" s="40"/>
      <c r="AO2666" s="40"/>
      <c r="AP2666" s="40">
        <f>Database_Overig_Materieel[[#This Row],[Verbruik '[liter/kWh/kg per uur']]]*AP$2740</f>
        <v>50.543802606621739</v>
      </c>
      <c r="AQ2666" s="40"/>
      <c r="AR2666" s="40"/>
      <c r="AS2666" s="40">
        <f>Database_Overig_Materieel[[#This Row],[Verbruik '[liter/kWh/kg per uur']]]*AS$2740</f>
        <v>237.2820759439565</v>
      </c>
      <c r="AT2666" s="40"/>
      <c r="AU2666" s="40"/>
      <c r="AV2666" s="40"/>
      <c r="AW2666" s="40">
        <f>Database_Overig_Materieel[[#This Row],[Verbruik '[liter/kWh/kg per uur']]]*AW$2740</f>
        <v>0.39787635717930436</v>
      </c>
      <c r="AX2666" s="40">
        <f>Database_Overig_Materieel[[#This Row],[Verbruik '[liter/kWh/kg per uur']]]*AX$2740</f>
        <v>1.2923020772869567E-3</v>
      </c>
      <c r="AY2666" s="40">
        <f>Database_Overig_Materieel[[#This Row],[Verbruik '[liter/kWh/kg per uur']]]*AY$2740</f>
        <v>5.0131011129865213</v>
      </c>
      <c r="AZ2666" s="40">
        <f>Database_Overig_Materieel[[#This Row],[Verbruik '[liter/kWh/kg per uur']]]*AZ$2740</f>
        <v>0</v>
      </c>
      <c r="BA2666" s="40"/>
      <c r="BB2666" s="40"/>
      <c r="BC2666" s="40"/>
      <c r="BD2666" s="40"/>
      <c r="BE2666" s="40"/>
      <c r="BG2666" s="33" t="s">
        <v>885</v>
      </c>
      <c r="BH2666" s="33" t="s">
        <v>135</v>
      </c>
    </row>
    <row r="2667" spans="1:60">
      <c r="A2667" s="33" t="s">
        <v>977</v>
      </c>
      <c r="B2667" s="33" t="s">
        <v>936</v>
      </c>
      <c r="C2667" s="33" t="s">
        <v>938</v>
      </c>
      <c r="D2667" s="33" t="s">
        <v>969</v>
      </c>
      <c r="E2667" s="33" t="s">
        <v>829</v>
      </c>
      <c r="F2667" s="33">
        <v>19.635000000000002</v>
      </c>
      <c r="G2667" s="41">
        <f>Database_Overig_Materieel[[#This Row],[Verbruik '[liter/kWh/kg per uur']]]*G$2741</f>
        <v>5.8660180995235525</v>
      </c>
      <c r="H2667" s="33">
        <v>125</v>
      </c>
      <c r="I2667" s="36">
        <v>35.9</v>
      </c>
      <c r="J2667" s="40">
        <f>Database_Overig_Materieel[[#This Row],[Verbruik '[liter/kWh/kg per uur']]]*J$2741</f>
        <v>3.4490251950000004E-5</v>
      </c>
      <c r="K2667" s="40">
        <f>Database_Overig_Materieel[[#This Row],[Verbruik '[liter/kWh/kg per uur']]]*K$2741</f>
        <v>0.46677920289000002</v>
      </c>
      <c r="L2667" s="40">
        <f>Database_Overig_Materieel[[#This Row],[Verbruik '[liter/kWh/kg per uur']]]*L$2741</f>
        <v>68.120382907500002</v>
      </c>
      <c r="M2667" s="40">
        <f>Database_Overig_Materieel[[#This Row],[Verbruik '[liter/kWh/kg per uur']]]*M$2741</f>
        <v>1.1856064604999999E-5</v>
      </c>
      <c r="N2667" s="40">
        <f>Database_Overig_Materieel[[#This Row],[Verbruik '[liter/kWh/kg per uur']]]*N$2741</f>
        <v>2.2419812415000004E-2</v>
      </c>
      <c r="O2667" s="40">
        <f>Database_Overig_Materieel[[#This Row],[Verbruik '[liter/kWh/kg per uur']]]*O$2741</f>
        <v>0.130598020245</v>
      </c>
      <c r="P2667" s="40">
        <f>Database_Overig_Materieel[[#This Row],[Verbruik '[liter/kWh/kg per uur']]]*P$2741</f>
        <v>2.0058526950000002E-2</v>
      </c>
      <c r="Q2667" s="40">
        <f>Database_Overig_Materieel[[#This Row],[Verbruik '[liter/kWh/kg per uur']]]*Q$2741</f>
        <v>16.787820541800002</v>
      </c>
      <c r="R2667" s="40">
        <f>Database_Overig_Materieel[[#This Row],[Verbruik '[liter/kWh/kg per uur']]]*R$2741</f>
        <v>0.33495212982</v>
      </c>
      <c r="S2667" s="40">
        <f>Database_Overig_Materieel[[#This Row],[Verbruik '[liter/kWh/kg per uur']]]*S$2741</f>
        <v>1126.24455405</v>
      </c>
      <c r="T2667" s="40">
        <f>Database_Overig_Materieel[[#This Row],[Verbruik '[liter/kWh/kg per uur']]]*T$2741</f>
        <v>6.0297789090000005E-2</v>
      </c>
      <c r="U2667" s="40"/>
      <c r="V2667" s="40"/>
      <c r="W2667" s="40"/>
      <c r="X2667" s="40"/>
      <c r="Y2667" s="40"/>
      <c r="Z2667" s="40"/>
      <c r="AA2667" s="40"/>
      <c r="AB2667" s="40"/>
      <c r="AC2667" s="40"/>
      <c r="AD2667" s="40"/>
      <c r="AE2667" s="40"/>
      <c r="AF2667" s="40"/>
      <c r="AG2667" s="40"/>
      <c r="AH2667" s="40"/>
      <c r="AI2667" s="40"/>
      <c r="AJ2667" s="40"/>
      <c r="AK2667" s="40"/>
      <c r="AL2667" s="40"/>
      <c r="AM2667" s="40"/>
      <c r="AN2667" s="40"/>
      <c r="AO2667" s="40"/>
      <c r="AP2667" s="40">
        <f>Database_Overig_Materieel[[#This Row],[Verbruik '[liter/kWh/kg per uur']]]*AP$2741</f>
        <v>7.7388477936000006</v>
      </c>
      <c r="AQ2667" s="40"/>
      <c r="AR2667" s="40"/>
      <c r="AS2667" s="40">
        <f>Database_Overig_Materieel[[#This Row],[Verbruik '[liter/kWh/kg per uur']]]*AS$2741</f>
        <v>1041.795381165</v>
      </c>
      <c r="AT2667" s="40"/>
      <c r="AU2667" s="40"/>
      <c r="AV2667" s="40"/>
      <c r="AW2667" s="40">
        <f>Database_Overig_Materieel[[#This Row],[Verbruik '[liter/kWh/kg per uur']]]*AW$2741</f>
        <v>9.8574336630000009E-2</v>
      </c>
      <c r="AX2667" s="40">
        <f>Database_Overig_Materieel[[#This Row],[Verbruik '[liter/kWh/kg per uur']]]*AX$2741</f>
        <v>7.1551510799999999E-3</v>
      </c>
      <c r="AY2667" s="40">
        <f>Database_Overig_Materieel[[#This Row],[Verbruik '[liter/kWh/kg per uur']]]*AY$2741</f>
        <v>1.7557266122550002</v>
      </c>
      <c r="AZ2667" s="40">
        <f>Database_Overig_Materieel[[#This Row],[Verbruik '[liter/kWh/kg per uur']]]*AZ$2741</f>
        <v>0</v>
      </c>
      <c r="BA2667" s="40"/>
      <c r="BB2667" s="40"/>
      <c r="BC2667" s="40"/>
      <c r="BD2667" s="40"/>
      <c r="BE2667" s="40"/>
      <c r="BG2667" s="33" t="s">
        <v>885</v>
      </c>
      <c r="BH2667" s="33" t="s">
        <v>135</v>
      </c>
    </row>
    <row r="2668" spans="1:60">
      <c r="A2668" s="33" t="s">
        <v>978</v>
      </c>
      <c r="B2668" s="33" t="s">
        <v>936</v>
      </c>
      <c r="C2668" s="33" t="s">
        <v>938</v>
      </c>
      <c r="D2668" s="33" t="s">
        <v>969</v>
      </c>
      <c r="E2668" s="33" t="s">
        <v>829</v>
      </c>
      <c r="F2668" s="38">
        <f>$F$2659*($I$2659/Database_Overig_Materieel[[#This Row],[Stookwaarde '[MJ/liter']]])</f>
        <v>21.295966767371603</v>
      </c>
      <c r="G2668" s="41">
        <f>Database_Overig_Materieel[[#This Row],[Verbruik '[liter/kWh/kg per uur']]]*G$2742</f>
        <v>5.5434231725488852</v>
      </c>
      <c r="H2668" s="33">
        <v>125</v>
      </c>
      <c r="I2668" s="33">
        <v>33.1</v>
      </c>
      <c r="J2668" s="40">
        <f>Database_Overig_Materieel[[#This Row],[Verbruik '[liter/kWh/kg per uur']]]*J$2742</f>
        <v>1.0890778700800605E-4</v>
      </c>
      <c r="K2668" s="40">
        <f>Database_Overig_Materieel[[#This Row],[Verbruik '[liter/kWh/kg per uur']]]*K$2742</f>
        <v>0.63502296361454691</v>
      </c>
      <c r="L2668" s="40">
        <f>Database_Overig_Materieel[[#This Row],[Verbruik '[liter/kWh/kg per uur']]]*L$2742</f>
        <v>78.263876833019637</v>
      </c>
      <c r="M2668" s="40">
        <f>Database_Overig_Materieel[[#This Row],[Verbruik '[liter/kWh/kg per uur']]]*M$2742</f>
        <v>1.1321383148836858E-6</v>
      </c>
      <c r="N2668" s="40">
        <f>Database_Overig_Materieel[[#This Row],[Verbruik '[liter/kWh/kg per uur']]]*N$2742</f>
        <v>1.5858382388791541E-2</v>
      </c>
      <c r="O2668" s="40">
        <f>Database_Overig_Materieel[[#This Row],[Verbruik '[liter/kWh/kg per uur']]]*O$2742</f>
        <v>9.028041783625379E-2</v>
      </c>
      <c r="P2668" s="40">
        <f>Database_Overig_Materieel[[#This Row],[Verbruik '[liter/kWh/kg per uur']]]*P$2742</f>
        <v>1.5951488355498488E-2</v>
      </c>
      <c r="Q2668" s="40">
        <f>Database_Overig_Materieel[[#This Row],[Verbruik '[liter/kWh/kg per uur']]]*Q$2742</f>
        <v>15.716446261004684</v>
      </c>
      <c r="R2668" s="40">
        <f>Database_Overig_Materieel[[#This Row],[Verbruik '[liter/kWh/kg per uur']]]*R$2742</f>
        <v>0.12671447350844411</v>
      </c>
      <c r="S2668" s="40">
        <f>Database_Overig_Materieel[[#This Row],[Verbruik '[liter/kWh/kg per uur']]]*S$2742</f>
        <v>481.42113948815711</v>
      </c>
      <c r="T2668" s="40">
        <f>Database_Overig_Materieel[[#This Row],[Verbruik '[liter/kWh/kg per uur']]]*T$2742</f>
        <v>6.3596039077567987E-2</v>
      </c>
      <c r="U2668" s="40"/>
      <c r="V2668" s="40"/>
      <c r="W2668" s="40"/>
      <c r="X2668" s="40"/>
      <c r="Y2668" s="40"/>
      <c r="Z2668" s="40"/>
      <c r="AA2668" s="40"/>
      <c r="AB2668" s="40"/>
      <c r="AC2668" s="40"/>
      <c r="AD2668" s="40"/>
      <c r="AE2668" s="40"/>
      <c r="AF2668" s="40"/>
      <c r="AG2668" s="40"/>
      <c r="AH2668" s="40"/>
      <c r="AI2668" s="40"/>
      <c r="AJ2668" s="40"/>
      <c r="AK2668" s="40"/>
      <c r="AL2668" s="40"/>
      <c r="AM2668" s="40"/>
      <c r="AN2668" s="40"/>
      <c r="AO2668" s="40"/>
      <c r="AP2668" s="40">
        <f>Database_Overig_Materieel[[#This Row],[Verbruik '[liter/kWh/kg per uur']]]*AP$2742</f>
        <v>9.4153856047703943</v>
      </c>
      <c r="AQ2668" s="40"/>
      <c r="AR2668" s="40"/>
      <c r="AS2668" s="40">
        <f>Database_Overig_Materieel[[#This Row],[Verbruik '[liter/kWh/kg per uur']]]*AS$2742</f>
        <v>1354.7702273357402</v>
      </c>
      <c r="AT2668" s="40"/>
      <c r="AU2668" s="40"/>
      <c r="AV2668" s="40"/>
      <c r="AW2668" s="40">
        <f>Database_Overig_Materieel[[#This Row],[Verbruik '[liter/kWh/kg per uur']]]*AW$2742</f>
        <v>6.1271669488776444E-2</v>
      </c>
      <c r="AX2668" s="40">
        <f>Database_Overig_Materieel[[#This Row],[Verbruik '[liter/kWh/kg per uur']]]*AX$2742</f>
        <v>2.0945775889848945E-3</v>
      </c>
      <c r="AY2668" s="40">
        <f>Database_Overig_Materieel[[#This Row],[Verbruik '[liter/kWh/kg per uur']]]*AY$2742</f>
        <v>2.3042210487135955</v>
      </c>
      <c r="AZ2668" s="40">
        <f>Database_Overig_Materieel[[#This Row],[Verbruik '[liter/kWh/kg per uur']]]*AZ$2742</f>
        <v>0</v>
      </c>
      <c r="BA2668" s="40"/>
      <c r="BB2668" s="40"/>
      <c r="BC2668" s="40"/>
      <c r="BD2668" s="40"/>
      <c r="BE2668" s="40"/>
      <c r="BG2668" s="33" t="s">
        <v>885</v>
      </c>
      <c r="BH2668" s="33" t="s">
        <v>135</v>
      </c>
    </row>
    <row r="2669" spans="1:60">
      <c r="A2669" s="33" t="s">
        <v>979</v>
      </c>
      <c r="B2669" s="33" t="s">
        <v>936</v>
      </c>
      <c r="C2669" s="33" t="s">
        <v>938</v>
      </c>
      <c r="D2669" s="33" t="s">
        <v>969</v>
      </c>
      <c r="E2669" s="33" t="s">
        <v>829</v>
      </c>
      <c r="F2669" s="38">
        <f>$F$2659*($I$2659/Database_Overig_Materieel[[#This Row],[Stookwaarde '[MJ/liter']]])</f>
        <v>20.550918367346942</v>
      </c>
      <c r="G2669" s="41">
        <f>Database_Overig_Materieel[[#This Row],[Verbruik '[liter/kWh/kg per uur']]]*G$2743</f>
        <v>4.386188663834985</v>
      </c>
      <c r="H2669" s="33">
        <v>125</v>
      </c>
      <c r="I2669" s="33">
        <v>34.299999999999997</v>
      </c>
      <c r="J2669" s="40">
        <f>Database_Overig_Materieel[[#This Row],[Verbruik '[liter/kWh/kg per uur']]]*J$2743</f>
        <v>7.9708175452040825E-5</v>
      </c>
      <c r="K2669" s="40">
        <f>Database_Overig_Materieel[[#This Row],[Verbruik '[liter/kWh/kg per uur']]]*K$2743</f>
        <v>0.17351060228969392</v>
      </c>
      <c r="L2669" s="40">
        <f>Database_Overig_Materieel[[#This Row],[Verbruik '[liter/kWh/kg per uur']]]*L$2743</f>
        <v>29.585531595826534</v>
      </c>
      <c r="M2669" s="40">
        <f>Database_Overig_Materieel[[#This Row],[Verbruik '[liter/kWh/kg per uur']]]*M$2743</f>
        <v>2.8295942972448983E-6</v>
      </c>
      <c r="N2669" s="40">
        <f>Database_Overig_Materieel[[#This Row],[Verbruik '[liter/kWh/kg per uur']]]*N$2743</f>
        <v>2.4115598463673473E-2</v>
      </c>
      <c r="O2669" s="40">
        <f>Database_Overig_Materieel[[#This Row],[Verbruik '[liter/kWh/kg per uur']]]*O$2743</f>
        <v>0.18486831393642858</v>
      </c>
      <c r="P2669" s="40">
        <f>Database_Overig_Materieel[[#This Row],[Verbruik '[liter/kWh/kg per uur']]]*P$2743</f>
        <v>9.1682044733265314E-2</v>
      </c>
      <c r="Q2669" s="40">
        <f>Database_Overig_Materieel[[#This Row],[Verbruik '[liter/kWh/kg per uur']]]*Q$2743</f>
        <v>16.430020472586737</v>
      </c>
      <c r="R2669" s="40">
        <f>Database_Overig_Materieel[[#This Row],[Verbruik '[liter/kWh/kg per uur']]]*R$2743</f>
        <v>11.699088294973471</v>
      </c>
      <c r="S2669" s="40">
        <f>Database_Overig_Materieel[[#This Row],[Verbruik '[liter/kWh/kg per uur']]]*S$2743</f>
        <v>984.98151387428584</v>
      </c>
      <c r="T2669" s="40">
        <f>Database_Overig_Materieel[[#This Row],[Verbruik '[liter/kWh/kg per uur']]]*T$2743</f>
        <v>5.0222143182581638</v>
      </c>
      <c r="U2669" s="40"/>
      <c r="V2669" s="40"/>
      <c r="W2669" s="40"/>
      <c r="X2669" s="40"/>
      <c r="Y2669" s="40"/>
      <c r="Z2669" s="40"/>
      <c r="AA2669" s="40"/>
      <c r="AB2669" s="40"/>
      <c r="AC2669" s="40"/>
      <c r="AD2669" s="40"/>
      <c r="AE2669" s="40"/>
      <c r="AF2669" s="40"/>
      <c r="AG2669" s="40"/>
      <c r="AH2669" s="40"/>
      <c r="AI2669" s="40"/>
      <c r="AJ2669" s="40"/>
      <c r="AK2669" s="40"/>
      <c r="AL2669" s="40"/>
      <c r="AM2669" s="40"/>
      <c r="AN2669" s="40"/>
      <c r="AO2669" s="40"/>
      <c r="AP2669" s="40">
        <f>Database_Overig_Materieel[[#This Row],[Verbruik '[liter/kWh/kg per uur']]]*AP$2743</f>
        <v>161.39257859158164</v>
      </c>
      <c r="AQ2669" s="40"/>
      <c r="AR2669" s="40"/>
      <c r="AS2669" s="40">
        <f>Database_Overig_Materieel[[#This Row],[Verbruik '[liter/kWh/kg per uur']]]*AS$2743</f>
        <v>366.63017160336739</v>
      </c>
      <c r="AT2669" s="40"/>
      <c r="AU2669" s="40"/>
      <c r="AV2669" s="40"/>
      <c r="AW2669" s="40">
        <f>Database_Overig_Materieel[[#This Row],[Verbruik '[liter/kWh/kg per uur']]]*AW$2743</f>
        <v>1.2588531836403063</v>
      </c>
      <c r="AX2669" s="40">
        <f>Database_Overig_Materieel[[#This Row],[Verbruik '[liter/kWh/kg per uur']]]*AX$2743</f>
        <v>2.1270406019387759E-3</v>
      </c>
      <c r="AY2669" s="40">
        <f>Database_Overig_Materieel[[#This Row],[Verbruik '[liter/kWh/kg per uur']]]*AY$2743</f>
        <v>5.8094546489908172</v>
      </c>
      <c r="AZ2669" s="40">
        <f>Database_Overig_Materieel[[#This Row],[Verbruik '[liter/kWh/kg per uur']]]*AZ$2743</f>
        <v>0</v>
      </c>
      <c r="BA2669" s="40"/>
      <c r="BB2669" s="40"/>
      <c r="BC2669" s="40"/>
      <c r="BD2669" s="40"/>
      <c r="BE2669" s="40"/>
      <c r="BG2669" s="33" t="s">
        <v>885</v>
      </c>
      <c r="BH2669" s="33" t="s">
        <v>135</v>
      </c>
    </row>
    <row r="2670" spans="1:60">
      <c r="A2670" s="33" t="s">
        <v>980</v>
      </c>
      <c r="B2670" s="33" t="s">
        <v>936</v>
      </c>
      <c r="C2670" s="33" t="s">
        <v>938</v>
      </c>
      <c r="D2670" s="33" t="s">
        <v>969</v>
      </c>
      <c r="E2670" s="33" t="s">
        <v>829</v>
      </c>
      <c r="F2670" s="38">
        <f>$F$2659*($I$2659/Database_Overig_Materieel[[#This Row],[Stookwaarde '[MJ/liter']]])</f>
        <v>20.431782608695652</v>
      </c>
      <c r="G2670" s="41">
        <f>Database_Overig_Materieel[[#This Row],[Verbruik '[liter/kWh/kg per uur']]]*G$2744</f>
        <v>5.777181906571867</v>
      </c>
      <c r="H2670" s="33">
        <v>125</v>
      </c>
      <c r="I2670" s="33">
        <v>34.5</v>
      </c>
      <c r="J2670" s="40">
        <f>Database_Overig_Materieel[[#This Row],[Verbruik '[liter/kWh/kg per uur']]]*J$2744</f>
        <v>4.5761676462173912E-5</v>
      </c>
      <c r="K2670" s="40">
        <f>Database_Overig_Materieel[[#This Row],[Verbruik '[liter/kWh/kg per uur']]]*K$2744</f>
        <v>0.11305252657695652</v>
      </c>
      <c r="L2670" s="40">
        <f>Database_Overig_Materieel[[#This Row],[Verbruik '[liter/kWh/kg per uur']]]*L$2744</f>
        <v>28.207755383834783</v>
      </c>
      <c r="M2670" s="40">
        <f>Database_Overig_Materieel[[#This Row],[Verbruik '[liter/kWh/kg per uur']]]*M$2744</f>
        <v>1.7719075263521738E-6</v>
      </c>
      <c r="N2670" s="40">
        <f>Database_Overig_Materieel[[#This Row],[Verbruik '[liter/kWh/kg per uur']]]*N$2744</f>
        <v>2.0496755677391305E-2</v>
      </c>
      <c r="O2670" s="40">
        <f>Database_Overig_Materieel[[#This Row],[Verbruik '[liter/kWh/kg per uur']]]*O$2744</f>
        <v>0.10139770655060869</v>
      </c>
      <c r="P2670" s="40">
        <f>Database_Overig_Materieel[[#This Row],[Verbruik '[liter/kWh/kg per uur']]]*P$2744</f>
        <v>4.4574855505782607E-2</v>
      </c>
      <c r="Q2670" s="40">
        <f>Database_Overig_Materieel[[#This Row],[Verbruik '[liter/kWh/kg per uur']]]*Q$2744</f>
        <v>15.861496455419999</v>
      </c>
      <c r="R2670" s="40">
        <f>Database_Overig_Materieel[[#This Row],[Verbruik '[liter/kWh/kg per uur']]]*R$2744</f>
        <v>10.412311224867391</v>
      </c>
      <c r="S2670" s="40">
        <f>Database_Overig_Materieel[[#This Row],[Verbruik '[liter/kWh/kg per uur']]]*S$2744</f>
        <v>688.41203563239139</v>
      </c>
      <c r="T2670" s="40">
        <f>Database_Overig_Materieel[[#This Row],[Verbruik '[liter/kWh/kg per uur']]]*T$2744</f>
        <v>4.5953579937147824</v>
      </c>
      <c r="U2670" s="40"/>
      <c r="V2670" s="40"/>
      <c r="W2670" s="40"/>
      <c r="X2670" s="40"/>
      <c r="Y2670" s="40"/>
      <c r="Z2670" s="40"/>
      <c r="AA2670" s="40"/>
      <c r="AB2670" s="40"/>
      <c r="AC2670" s="40"/>
      <c r="AD2670" s="40"/>
      <c r="AE2670" s="40"/>
      <c r="AF2670" s="40"/>
      <c r="AG2670" s="40"/>
      <c r="AH2670" s="40"/>
      <c r="AI2670" s="40"/>
      <c r="AJ2670" s="40"/>
      <c r="AK2670" s="40"/>
      <c r="AL2670" s="40"/>
      <c r="AM2670" s="40"/>
      <c r="AN2670" s="40"/>
      <c r="AO2670" s="40"/>
      <c r="AP2670" s="40">
        <f>Database_Overig_Materieel[[#This Row],[Verbruik '[liter/kWh/kg per uur']]]*AP$2744</f>
        <v>50.543802606621739</v>
      </c>
      <c r="AQ2670" s="40"/>
      <c r="AR2670" s="40"/>
      <c r="AS2670" s="40">
        <f>Database_Overig_Materieel[[#This Row],[Verbruik '[liter/kWh/kg per uur']]]*AS$2744</f>
        <v>237.2820759439565</v>
      </c>
      <c r="AT2670" s="40"/>
      <c r="AU2670" s="40"/>
      <c r="AV2670" s="40"/>
      <c r="AW2670" s="40">
        <f>Database_Overig_Materieel[[#This Row],[Verbruik '[liter/kWh/kg per uur']]]*AW$2744</f>
        <v>0.39787635717930436</v>
      </c>
      <c r="AX2670" s="40">
        <f>Database_Overig_Materieel[[#This Row],[Verbruik '[liter/kWh/kg per uur']]]*AX$2744</f>
        <v>1.2923020772869567E-3</v>
      </c>
      <c r="AY2670" s="40">
        <f>Database_Overig_Materieel[[#This Row],[Verbruik '[liter/kWh/kg per uur']]]*AY$2744</f>
        <v>5.0131011129865213</v>
      </c>
      <c r="AZ2670" s="40">
        <f>Database_Overig_Materieel[[#This Row],[Verbruik '[liter/kWh/kg per uur']]]*AZ$2744</f>
        <v>0</v>
      </c>
      <c r="BA2670" s="40"/>
      <c r="BB2670" s="40"/>
      <c r="BC2670" s="40"/>
      <c r="BD2670" s="40"/>
      <c r="BE2670" s="40"/>
      <c r="BG2670" s="33" t="s">
        <v>885</v>
      </c>
      <c r="BH2670" s="33" t="s">
        <v>135</v>
      </c>
    </row>
    <row r="2671" spans="1:60">
      <c r="A2671" s="33" t="s">
        <v>981</v>
      </c>
      <c r="B2671" s="33" t="s">
        <v>936</v>
      </c>
      <c r="C2671" s="33" t="s">
        <v>938</v>
      </c>
      <c r="D2671" s="33" t="s">
        <v>969</v>
      </c>
      <c r="E2671" s="33" t="s">
        <v>829</v>
      </c>
      <c r="F2671" s="45">
        <f>F2659*3.1</f>
        <v>60.868500000000004</v>
      </c>
      <c r="G2671" s="41">
        <f>Database_Overig_Materieel[[#This Row],[Verbruik '[liter/kWh/kg per uur']]]*G$2745</f>
        <v>3.9562054956270005</v>
      </c>
      <c r="H2671" s="33">
        <v>125</v>
      </c>
      <c r="I2671" s="33">
        <v>3.6</v>
      </c>
      <c r="J2671" s="40">
        <f>Database_Overig_Materieel[[#This Row],[Verbruik '[liter/kWh/kg per uur']]]*J$2745</f>
        <v>1.0895461500000001E-3</v>
      </c>
      <c r="K2671" s="40">
        <f>Database_Overig_Materieel[[#This Row],[Verbruik '[liter/kWh/kg per uur']]]*K$2745</f>
        <v>9.5563545000000014E-2</v>
      </c>
      <c r="L2671" s="40">
        <f>Database_Overig_Materieel[[#This Row],[Verbruik '[liter/kWh/kg per uur']]]*L$2745</f>
        <v>13.695412500000002</v>
      </c>
      <c r="M2671" s="40">
        <f>Database_Overig_Materieel[[#This Row],[Verbruik '[liter/kWh/kg per uur']]]*M$2745</f>
        <v>1.3756281000000001E-6</v>
      </c>
      <c r="N2671" s="40">
        <f>Database_Overig_Materieel[[#This Row],[Verbruik '[liter/kWh/kg per uur']]]*N$2745</f>
        <v>1.7834470500000001E-2</v>
      </c>
      <c r="O2671" s="40">
        <f>Database_Overig_Materieel[[#This Row],[Verbruik '[liter/kWh/kg per uur']]]*O$2745</f>
        <v>0.13086727500000001</v>
      </c>
      <c r="P2671" s="40">
        <f>Database_Overig_Materieel[[#This Row],[Verbruik '[liter/kWh/kg per uur']]]*P$2745</f>
        <v>1.8504024000000001E-2</v>
      </c>
      <c r="Q2671" s="40">
        <f>Database_Overig_Materieel[[#This Row],[Verbruik '[liter/kWh/kg per uur']]]*Q$2745</f>
        <v>25.8691125</v>
      </c>
      <c r="R2671" s="40">
        <f>Database_Overig_Materieel[[#This Row],[Verbruik '[liter/kWh/kg per uur']]]*R$2745</f>
        <v>0.42851424000000005</v>
      </c>
      <c r="S2671" s="40">
        <f>Database_Overig_Materieel[[#This Row],[Verbruik '[liter/kWh/kg per uur']]]*S$2745</f>
        <v>1406.0623500000002</v>
      </c>
      <c r="T2671" s="40">
        <f>Database_Overig_Materieel[[#This Row],[Verbruik '[liter/kWh/kg per uur']]]*T$2745</f>
        <v>0.80955105000000005</v>
      </c>
      <c r="U2671" s="40"/>
      <c r="V2671" s="40"/>
      <c r="W2671" s="40"/>
      <c r="X2671" s="40"/>
      <c r="Y2671" s="40"/>
      <c r="Z2671" s="40"/>
      <c r="AA2671" s="40"/>
      <c r="AB2671" s="40"/>
      <c r="AC2671" s="40"/>
      <c r="AD2671" s="40"/>
      <c r="AE2671" s="40"/>
      <c r="AF2671" s="40"/>
      <c r="AG2671" s="40"/>
      <c r="AH2671" s="40"/>
      <c r="AI2671" s="40"/>
      <c r="AJ2671" s="40"/>
      <c r="AK2671" s="40"/>
      <c r="AL2671" s="40"/>
      <c r="AM2671" s="40"/>
      <c r="AN2671" s="40"/>
      <c r="AO2671" s="40"/>
      <c r="AP2671" s="40">
        <f>Database_Overig_Materieel[[#This Row],[Verbruik '[liter/kWh/kg per uur']]]*AP$2745</f>
        <v>529.55595000000005</v>
      </c>
      <c r="AQ2671" s="40"/>
      <c r="AR2671" s="40"/>
      <c r="AS2671" s="40">
        <f>Database_Overig_Materieel[[#This Row],[Verbruik '[liter/kWh/kg per uur']]]*AS$2745</f>
        <v>186.86629500000001</v>
      </c>
      <c r="AT2671" s="40"/>
      <c r="AU2671" s="40"/>
      <c r="AV2671" s="40"/>
      <c r="AW2671" s="40">
        <f>Database_Overig_Materieel[[#This Row],[Verbruik '[liter/kWh/kg per uur']]]*AW$2745</f>
        <v>529.55595000000005</v>
      </c>
      <c r="AX2671" s="40">
        <f>Database_Overig_Materieel[[#This Row],[Verbruik '[liter/kWh/kg per uur']]]*AX$2745</f>
        <v>2.4956085E-3</v>
      </c>
      <c r="AY2671" s="40">
        <f>Database_Overig_Materieel[[#This Row],[Verbruik '[liter/kWh/kg per uur']]]*AY$2745</f>
        <v>4.6320928500000003</v>
      </c>
      <c r="AZ2671" s="40">
        <f>Database_Overig_Materieel[[#This Row],[Verbruik '[liter/kWh/kg per uur']]]*AZ$2745</f>
        <v>5.4903387000000009E-4</v>
      </c>
      <c r="BA2671" s="40"/>
      <c r="BB2671" s="40"/>
      <c r="BC2671" s="40"/>
      <c r="BD2671" s="40"/>
      <c r="BE2671" s="40"/>
      <c r="BF2671" s="33" t="s">
        <v>892</v>
      </c>
      <c r="BG2671" s="33" t="s">
        <v>893</v>
      </c>
      <c r="BH2671" s="33" t="s">
        <v>854</v>
      </c>
    </row>
    <row r="2672" spans="1:60">
      <c r="A2672" s="33" t="s">
        <v>982</v>
      </c>
      <c r="B2672" s="33" t="s">
        <v>936</v>
      </c>
      <c r="C2672" s="33" t="s">
        <v>938</v>
      </c>
      <c r="D2672" s="33" t="s">
        <v>969</v>
      </c>
      <c r="E2672" s="33" t="s">
        <v>829</v>
      </c>
      <c r="F2672" s="45">
        <f>F2659*3.1</f>
        <v>60.868500000000004</v>
      </c>
      <c r="G2672" s="41">
        <f>Database_Overig_Materieel[[#This Row],[Verbruik '[liter/kWh/kg per uur']]]*G$2746</f>
        <v>5.0759648821035004</v>
      </c>
      <c r="H2672" s="33">
        <v>125</v>
      </c>
      <c r="I2672" s="33">
        <v>3.6</v>
      </c>
      <c r="J2672" s="40">
        <f>Database_Overig_Materieel[[#This Row],[Verbruik '[liter/kWh/kg per uur']]]*J$2746</f>
        <v>8.5824585000000007E-4</v>
      </c>
      <c r="K2672" s="40">
        <f>Database_Overig_Materieel[[#This Row],[Verbruik '[liter/kWh/kg per uur']]]*K$2746</f>
        <v>0.35486335500000005</v>
      </c>
      <c r="L2672" s="40">
        <f>Database_Overig_Materieel[[#This Row],[Verbruik '[liter/kWh/kg per uur']]]*L$2746</f>
        <v>42.181870500000002</v>
      </c>
      <c r="M2672" s="40">
        <f>Database_Overig_Materieel[[#This Row],[Verbruik '[liter/kWh/kg per uur']]]*M$2746</f>
        <v>2.9521222500000001E-6</v>
      </c>
      <c r="N2672" s="40">
        <f>Database_Overig_Materieel[[#This Row],[Verbruik '[liter/kWh/kg per uur']]]*N$2746</f>
        <v>1.5947547000000003E-2</v>
      </c>
      <c r="O2672" s="40">
        <f>Database_Overig_Materieel[[#This Row],[Verbruik '[liter/kWh/kg per uur']]]*O$2746</f>
        <v>0.12660647999999999</v>
      </c>
      <c r="P2672" s="40">
        <f>Database_Overig_Materieel[[#This Row],[Verbruik '[liter/kWh/kg per uur']]]*P$2746</f>
        <v>1.51562565E-2</v>
      </c>
      <c r="Q2672" s="40">
        <f>Database_Overig_Materieel[[#This Row],[Verbruik '[liter/kWh/kg per uur']]]*Q$2746</f>
        <v>22.703950500000001</v>
      </c>
      <c r="R2672" s="40">
        <f>Database_Overig_Materieel[[#This Row],[Verbruik '[liter/kWh/kg per uur']]]*R$2746</f>
        <v>0.36277626000000002</v>
      </c>
      <c r="S2672" s="40">
        <f>Database_Overig_Materieel[[#This Row],[Verbruik '[liter/kWh/kg per uur']]]*S$2746</f>
        <v>1326.9333000000001</v>
      </c>
      <c r="T2672" s="40">
        <f>Database_Overig_Materieel[[#This Row],[Verbruik '[liter/kWh/kg per uur']]]*T$2746</f>
        <v>0.80346420000000007</v>
      </c>
      <c r="U2672" s="40"/>
      <c r="V2672" s="40"/>
      <c r="W2672" s="40"/>
      <c r="X2672" s="40"/>
      <c r="Y2672" s="40"/>
      <c r="Z2672" s="40"/>
      <c r="AA2672" s="40"/>
      <c r="AB2672" s="40"/>
      <c r="AC2672" s="40"/>
      <c r="AD2672" s="40"/>
      <c r="AE2672" s="40"/>
      <c r="AF2672" s="40"/>
      <c r="AG2672" s="40"/>
      <c r="AH2672" s="40"/>
      <c r="AI2672" s="40"/>
      <c r="AJ2672" s="40"/>
      <c r="AK2672" s="40"/>
      <c r="AL2672" s="40"/>
      <c r="AM2672" s="40"/>
      <c r="AN2672" s="40"/>
      <c r="AO2672" s="40"/>
      <c r="AP2672" s="40">
        <f>Database_Overig_Materieel[[#This Row],[Verbruik '[liter/kWh/kg per uur']]]*AP$2746</f>
        <v>14.5475715</v>
      </c>
      <c r="AQ2672" s="40"/>
      <c r="AR2672" s="40"/>
      <c r="AS2672" s="40">
        <f>Database_Overig_Materieel[[#This Row],[Verbruik '[liter/kWh/kg per uur']]]*AS$2746</f>
        <v>663.46665000000007</v>
      </c>
      <c r="AT2672" s="40"/>
      <c r="AU2672" s="40"/>
      <c r="AV2672" s="40"/>
      <c r="AW2672" s="40">
        <f>Database_Overig_Materieel[[#This Row],[Verbruik '[liter/kWh/kg per uur']]]*AW$2746</f>
        <v>14.5475715</v>
      </c>
      <c r="AX2672" s="40">
        <f>Database_Overig_Materieel[[#This Row],[Verbruik '[liter/kWh/kg per uur']]]*AX$2746</f>
        <v>1.9599656999999999E-3</v>
      </c>
      <c r="AY2672" s="40">
        <f>Database_Overig_Materieel[[#This Row],[Verbruik '[liter/kWh/kg per uur']]]*AY$2746</f>
        <v>3.4512439500000003</v>
      </c>
      <c r="AZ2672" s="40">
        <f>Database_Overig_Materieel[[#This Row],[Verbruik '[liter/kWh/kg per uur']]]*AZ$2746</f>
        <v>5.6364231E-4</v>
      </c>
      <c r="BA2672" s="40"/>
      <c r="BB2672" s="40"/>
      <c r="BC2672" s="40"/>
      <c r="BD2672" s="40"/>
      <c r="BE2672" s="40"/>
      <c r="BF2672" s="33" t="s">
        <v>892</v>
      </c>
      <c r="BG2672" s="33" t="s">
        <v>893</v>
      </c>
      <c r="BH2672" s="33" t="s">
        <v>854</v>
      </c>
    </row>
    <row r="2673" spans="1:60">
      <c r="A2673" s="33" t="s">
        <v>983</v>
      </c>
      <c r="B2673" s="33" t="s">
        <v>936</v>
      </c>
      <c r="C2673" s="33" t="s">
        <v>938</v>
      </c>
      <c r="D2673" s="33" t="s">
        <v>984</v>
      </c>
      <c r="E2673" s="33" t="s">
        <v>829</v>
      </c>
      <c r="F2673" s="33">
        <v>63.99</v>
      </c>
      <c r="G2673" s="41">
        <f>Database_Overig_Materieel[[#This Row],[Verbruik '[liter/kWh/kg per uur']]]*G$2733</f>
        <v>20.393580395164587</v>
      </c>
      <c r="H2673" s="108">
        <v>100</v>
      </c>
      <c r="I2673" s="33">
        <v>35.9</v>
      </c>
      <c r="J2673" s="40">
        <f>Database_Overig_Materieel[[#This Row],[Verbruik '[liter/kWh/kg per uur']]]*J$2733</f>
        <v>1.030239E-4</v>
      </c>
      <c r="K2673" s="40">
        <f>Database_Overig_Materieel[[#This Row],[Verbruik '[liter/kWh/kg per uur']]]*K$2733</f>
        <v>1.5037463789100001</v>
      </c>
      <c r="L2673" s="40">
        <f>Database_Overig_Materieel[[#This Row],[Verbruik '[liter/kWh/kg per uur']]]*L$2733</f>
        <v>220.088479401</v>
      </c>
      <c r="M2673" s="40">
        <f>Database_Overig_Materieel[[#This Row],[Verbruik '[liter/kWh/kg per uur']]]*M$2733</f>
        <v>3.8330010000000001E-5</v>
      </c>
      <c r="N2673" s="40">
        <f>Database_Overig_Materieel[[#This Row],[Verbruik '[liter/kWh/kg per uur']]]*N$2733</f>
        <v>7.2462659940000007E-2</v>
      </c>
      <c r="O2673" s="40">
        <f>Database_Overig_Materieel[[#This Row],[Verbruik '[liter/kWh/kg per uur']]]*O$2733</f>
        <v>0.64549208609999997</v>
      </c>
      <c r="P2673" s="40">
        <f>Database_Overig_Materieel[[#This Row],[Verbruik '[liter/kWh/kg per uur']]]*P$2733</f>
        <v>0.12350242773</v>
      </c>
      <c r="Q2673" s="40">
        <f>Database_Overig_Materieel[[#This Row],[Verbruik '[liter/kWh/kg per uur']]]*Q$2733</f>
        <v>54.488010357900002</v>
      </c>
      <c r="R2673" s="40">
        <f>Database_Overig_Materieel[[#This Row],[Verbruik '[liter/kWh/kg per uur']]]*R$2733</f>
        <v>1.07906516172</v>
      </c>
      <c r="S2673" s="40">
        <f>Database_Overig_Materieel[[#This Row],[Verbruik '[liter/kWh/kg per uur']]]*S$2733</f>
        <v>3610.5276708900001</v>
      </c>
      <c r="T2673" s="40">
        <f>Database_Overig_Materieel[[#This Row],[Verbruik '[liter/kWh/kg per uur']]]*T$2733</f>
        <v>0.19382199857999999</v>
      </c>
      <c r="U2673" s="40"/>
      <c r="V2673" s="40"/>
      <c r="W2673" s="40"/>
      <c r="X2673" s="40"/>
      <c r="Y2673" s="40"/>
      <c r="Z2673" s="40"/>
      <c r="AA2673" s="40"/>
      <c r="AB2673" s="40"/>
      <c r="AC2673" s="40"/>
      <c r="AD2673" s="40"/>
      <c r="AE2673" s="40"/>
      <c r="AF2673" s="40"/>
      <c r="AG2673" s="40"/>
      <c r="AH2673" s="40"/>
      <c r="AI2673" s="40"/>
      <c r="AJ2673" s="40"/>
      <c r="AK2673" s="40"/>
      <c r="AL2673" s="40"/>
      <c r="AM2673" s="40"/>
      <c r="AN2673" s="40"/>
      <c r="AO2673" s="40"/>
      <c r="AP2673" s="40">
        <f>Database_Overig_Materieel[[#This Row],[Verbruik '[liter/kWh/kg per uur']]]*AP$2733</f>
        <v>24.476901286499999</v>
      </c>
      <c r="AQ2673" s="40"/>
      <c r="AR2673" s="40"/>
      <c r="AS2673" s="40">
        <f>Database_Overig_Materieel[[#This Row],[Verbruik '[liter/kWh/kg per uur']]]*AS$2733</f>
        <v>3356.48577114</v>
      </c>
      <c r="AT2673" s="40"/>
      <c r="AU2673" s="40"/>
      <c r="AV2673" s="40"/>
      <c r="AW2673" s="40">
        <f>Database_Overig_Materieel[[#This Row],[Verbruik '[liter/kWh/kg per uur']]]*AW$2733</f>
        <v>0.31710007737000001</v>
      </c>
      <c r="AX2673" s="40">
        <f>Database_Overig_Materieel[[#This Row],[Verbruik '[liter/kWh/kg per uur']]]*AX$2733</f>
        <v>2.3170842989999999E-2</v>
      </c>
      <c r="AY2673" s="40">
        <f>Database_Overig_Materieel[[#This Row],[Verbruik '[liter/kWh/kg per uur']]]*AY$2733</f>
        <v>5.6307622319100004</v>
      </c>
      <c r="AZ2673" s="40">
        <f>Database_Overig_Materieel[[#This Row],[Verbruik '[liter/kWh/kg per uur']]]*AZ$2733</f>
        <v>0</v>
      </c>
      <c r="BA2673" s="40"/>
      <c r="BB2673" s="40"/>
      <c r="BC2673" s="40"/>
      <c r="BD2673" s="40"/>
      <c r="BE2673" s="40"/>
      <c r="BG2673" s="109" t="s">
        <v>985</v>
      </c>
      <c r="BH2673" s="33" t="s">
        <v>135</v>
      </c>
    </row>
    <row r="2674" spans="1:60">
      <c r="A2674" s="33" t="s">
        <v>986</v>
      </c>
      <c r="B2674" s="33" t="s">
        <v>936</v>
      </c>
      <c r="C2674" s="33" t="s">
        <v>938</v>
      </c>
      <c r="D2674" s="33" t="s">
        <v>984</v>
      </c>
      <c r="E2674" s="33" t="s">
        <v>829</v>
      </c>
      <c r="F2674" s="45">
        <f>$F2673*($I2673/Database_Overig_Materieel[[#This Row],[Stookwaarde '[MJ/liter']]])</f>
        <v>69.40305135951661</v>
      </c>
      <c r="G2674" s="41">
        <f>Database_Overig_Materieel[[#This Row],[Verbruik '[liter/kWh/kg per uur']]]*G$2734</f>
        <v>19.485627774449021</v>
      </c>
      <c r="H2674" s="108">
        <v>100</v>
      </c>
      <c r="I2674" s="33">
        <v>33.1</v>
      </c>
      <c r="J2674" s="40">
        <f>Database_Overig_Materieel[[#This Row],[Verbruik '[liter/kWh/kg per uur']]]*J$2734</f>
        <v>3.4539191942628398E-4</v>
      </c>
      <c r="K2674" s="40">
        <f>Database_Overig_Materieel[[#This Row],[Verbruik '[liter/kWh/kg per uur']]]*K$2734</f>
        <v>2.0514152532784893</v>
      </c>
      <c r="L2674" s="40">
        <f>Database_Overig_Materieel[[#This Row],[Verbruik '[liter/kWh/kg per uur']]]*L$2734</f>
        <v>253.07599894452869</v>
      </c>
      <c r="M2674" s="40">
        <f>Database_Overig_Materieel[[#This Row],[Verbruik '[liter/kWh/kg per uur']]]*M$2734</f>
        <v>3.365825901172205E-6</v>
      </c>
      <c r="N2674" s="40">
        <f>Database_Overig_Materieel[[#This Row],[Verbruik '[liter/kWh/kg per uur']]]*N$2734</f>
        <v>5.0853420210453165E-2</v>
      </c>
      <c r="O2674" s="40">
        <f>Database_Overig_Materieel[[#This Row],[Verbruik '[liter/kWh/kg per uur']]]*O$2734</f>
        <v>0.52206932398676731</v>
      </c>
      <c r="P2674" s="40">
        <f>Database_Overig_Materieel[[#This Row],[Verbruik '[liter/kWh/kg per uur']]]*P$2734</f>
        <v>0.11222521986969788</v>
      </c>
      <c r="Q2674" s="40">
        <f>Database_Overig_Materieel[[#This Row],[Verbruik '[liter/kWh/kg per uur']]]*Q$2734</f>
        <v>50.249096610892749</v>
      </c>
      <c r="R2674" s="40">
        <f>Database_Overig_Materieel[[#This Row],[Verbruik '[liter/kWh/kg per uur']]]*R$2734</f>
        <v>0.39910793789311172</v>
      </c>
      <c r="S2674" s="40">
        <f>Database_Overig_Materieel[[#This Row],[Verbruik '[liter/kWh/kg per uur']]]*S$2734</f>
        <v>1506.8746093225377</v>
      </c>
      <c r="T2674" s="40">
        <f>Database_Overig_Materieel[[#This Row],[Verbruik '[liter/kWh/kg per uur']]]*T$2734</f>
        <v>0.20447041170181265</v>
      </c>
      <c r="U2674" s="40"/>
      <c r="V2674" s="40"/>
      <c r="W2674" s="40"/>
      <c r="X2674" s="40"/>
      <c r="Y2674" s="40"/>
      <c r="Z2674" s="40"/>
      <c r="AA2674" s="40"/>
      <c r="AB2674" s="40"/>
      <c r="AC2674" s="40"/>
      <c r="AD2674" s="40"/>
      <c r="AE2674" s="40"/>
      <c r="AF2674" s="40"/>
      <c r="AG2674" s="40"/>
      <c r="AH2674" s="40"/>
      <c r="AI2674" s="40"/>
      <c r="AJ2674" s="40"/>
      <c r="AK2674" s="40"/>
      <c r="AL2674" s="40"/>
      <c r="AM2674" s="40"/>
      <c r="AN2674" s="40"/>
      <c r="AO2674" s="40"/>
      <c r="AP2674" s="40">
        <f>Database_Overig_Materieel[[#This Row],[Verbruik '[liter/kWh/kg per uur']]]*AP$2734</f>
        <v>29.913731890654077</v>
      </c>
      <c r="AQ2674" s="40"/>
      <c r="AR2674" s="40"/>
      <c r="AS2674" s="40">
        <f>Database_Overig_Materieel[[#This Row],[Verbruik '[liter/kWh/kg per uur']]]*AS$2734</f>
        <v>4375.0604359590634</v>
      </c>
      <c r="AT2674" s="40"/>
      <c r="AU2674" s="40"/>
      <c r="AV2674" s="40"/>
      <c r="AW2674" s="40">
        <f>Database_Overig_Materieel[[#This Row],[Verbruik '[liter/kWh/kg per uur']]]*AW$2734</f>
        <v>0.19538111048356493</v>
      </c>
      <c r="AX2674" s="40">
        <f>Database_Overig_Materieel[[#This Row],[Verbruik '[liter/kWh/kg per uur']]]*AX$2734</f>
        <v>6.6732144330996978E-3</v>
      </c>
      <c r="AY2674" s="40">
        <f>Database_Overig_Materieel[[#This Row],[Verbruik '[liter/kWh/kg per uur']]]*AY$2734</f>
        <v>7.4149893878166155</v>
      </c>
      <c r="AZ2674" s="40">
        <f>Database_Overig_Materieel[[#This Row],[Verbruik '[liter/kWh/kg per uur']]]*AZ$2734</f>
        <v>0</v>
      </c>
      <c r="BA2674" s="40"/>
      <c r="BB2674" s="40"/>
      <c r="BC2674" s="40"/>
      <c r="BD2674" s="40"/>
      <c r="BE2674" s="40"/>
      <c r="BG2674" s="33" t="s">
        <v>885</v>
      </c>
      <c r="BH2674" s="33" t="s">
        <v>135</v>
      </c>
    </row>
    <row r="2675" spans="1:60">
      <c r="A2675" s="33" t="s">
        <v>987</v>
      </c>
      <c r="B2675" s="33" t="s">
        <v>936</v>
      </c>
      <c r="C2675" s="33" t="s">
        <v>938</v>
      </c>
      <c r="D2675" s="33" t="s">
        <v>984</v>
      </c>
      <c r="E2675" s="33" t="s">
        <v>829</v>
      </c>
      <c r="F2675" s="45">
        <f>$F2673*($I2673/Database_Overig_Materieel[[#This Row],[Stookwaarde '[MJ/liter']]])</f>
        <v>66.974956268221575</v>
      </c>
      <c r="G2675" s="41">
        <f>Database_Overig_Materieel[[#This Row],[Verbruik '[liter/kWh/kg per uur']]]*G$2735</f>
        <v>15.513268500353906</v>
      </c>
      <c r="H2675" s="108">
        <v>100</v>
      </c>
      <c r="I2675" s="33">
        <v>34.299999999999997</v>
      </c>
      <c r="J2675" s="40">
        <f>Database_Overig_Materieel[[#This Row],[Verbruik '[liter/kWh/kg per uur']]]*J$2735</f>
        <v>2.5088684668163265E-4</v>
      </c>
      <c r="K2675" s="40">
        <f>Database_Overig_Materieel[[#This Row],[Verbruik '[liter/kWh/kg per uur']]]*K$2735</f>
        <v>0.54860238186113708</v>
      </c>
      <c r="L2675" s="40">
        <f>Database_Overig_Materieel[[#This Row],[Verbruik '[liter/kWh/kg per uur']]]*L$2735</f>
        <v>94.570821634303215</v>
      </c>
      <c r="M2675" s="40">
        <f>Database_Overig_Materieel[[#This Row],[Verbruik '[liter/kWh/kg per uur']]]*M$2735</f>
        <v>8.9200595505830902E-6</v>
      </c>
      <c r="N2675" s="40">
        <f>Database_Overig_Materieel[[#This Row],[Verbruik '[liter/kWh/kg per uur']]]*N$2735</f>
        <v>7.7820411861603517E-2</v>
      </c>
      <c r="O2675" s="40">
        <f>Database_Overig_Materieel[[#This Row],[Verbruik '[liter/kWh/kg per uur']]]*O$2735</f>
        <v>0.84529782148172017</v>
      </c>
      <c r="P2675" s="40">
        <f>Database_Overig_Materieel[[#This Row],[Verbruik '[liter/kWh/kg per uur']]]*P$2735</f>
        <v>0.36285249772285716</v>
      </c>
      <c r="Q2675" s="40">
        <f>Database_Overig_Materieel[[#This Row],[Verbruik '[liter/kWh/kg per uur']]]*Q$2735</f>
        <v>52.713958737542271</v>
      </c>
      <c r="R2675" s="40">
        <f>Database_Overig_Materieel[[#This Row],[Verbruik '[liter/kWh/kg per uur']]]*R$2735</f>
        <v>38.114152986340237</v>
      </c>
      <c r="S2675" s="40">
        <f>Database_Overig_Materieel[[#This Row],[Verbruik '[liter/kWh/kg per uur']]]*S$2735</f>
        <v>3152.2327766519825</v>
      </c>
      <c r="T2675" s="40">
        <f>Database_Overig_Materieel[[#This Row],[Verbruik '[liter/kWh/kg per uur']]]*T$2735</f>
        <v>16.364681576813702</v>
      </c>
      <c r="U2675" s="40"/>
      <c r="V2675" s="40"/>
      <c r="W2675" s="40"/>
      <c r="X2675" s="40"/>
      <c r="Y2675" s="40"/>
      <c r="Z2675" s="40"/>
      <c r="AA2675" s="40"/>
      <c r="AB2675" s="40"/>
      <c r="AC2675" s="40"/>
      <c r="AD2675" s="40"/>
      <c r="AE2675" s="40"/>
      <c r="AF2675" s="40"/>
      <c r="AG2675" s="40"/>
      <c r="AH2675" s="40"/>
      <c r="AI2675" s="40"/>
      <c r="AJ2675" s="40"/>
      <c r="AK2675" s="40"/>
      <c r="AL2675" s="40"/>
      <c r="AM2675" s="40"/>
      <c r="AN2675" s="40"/>
      <c r="AO2675" s="40"/>
      <c r="AP2675" s="40">
        <f>Database_Overig_Materieel[[#This Row],[Verbruik '[liter/kWh/kg per uur']]]*AP$2735</f>
        <v>525.25680079980179</v>
      </c>
      <c r="AQ2675" s="40"/>
      <c r="AR2675" s="40"/>
      <c r="AS2675" s="40">
        <f>Database_Overig_Materieel[[#This Row],[Verbruik '[liter/kWh/kg per uur']]]*AS$2735</f>
        <v>1157.4923375820699</v>
      </c>
      <c r="AT2675" s="40"/>
      <c r="AU2675" s="40"/>
      <c r="AV2675" s="40"/>
      <c r="AW2675" s="40">
        <f>Database_Overig_Materieel[[#This Row],[Verbruik '[liter/kWh/kg per uur']]]*AW$2735</f>
        <v>4.0985666730364727</v>
      </c>
      <c r="AX2675" s="40">
        <f>Database_Overig_Materieel[[#This Row],[Verbruik '[liter/kWh/kg per uur']]]*AX$2735</f>
        <v>6.7895861916909628E-3</v>
      </c>
      <c r="AY2675" s="40">
        <f>Database_Overig_Materieel[[#This Row],[Verbruik '[liter/kWh/kg per uur']]]*AY$2735</f>
        <v>18.844953076802625</v>
      </c>
      <c r="AZ2675" s="40">
        <f>Database_Overig_Materieel[[#This Row],[Verbruik '[liter/kWh/kg per uur']]]*AZ$2735</f>
        <v>0</v>
      </c>
      <c r="BA2675" s="40"/>
      <c r="BB2675" s="40"/>
      <c r="BC2675" s="40"/>
      <c r="BD2675" s="40"/>
      <c r="BE2675" s="40"/>
      <c r="BG2675" s="33" t="s">
        <v>885</v>
      </c>
      <c r="BH2675" s="33" t="s">
        <v>135</v>
      </c>
    </row>
    <row r="2676" spans="1:60">
      <c r="A2676" s="33" t="s">
        <v>988</v>
      </c>
      <c r="B2676" s="33" t="s">
        <v>936</v>
      </c>
      <c r="C2676" s="33" t="s">
        <v>938</v>
      </c>
      <c r="D2676" s="33" t="s">
        <v>984</v>
      </c>
      <c r="E2676" s="33" t="s">
        <v>829</v>
      </c>
      <c r="F2676" s="45">
        <f>$F2673*($I2673/Database_Overig_Materieel[[#This Row],[Stookwaarde '[MJ/liter']]])</f>
        <v>66.586695652173916</v>
      </c>
      <c r="G2676" s="41">
        <f>Database_Overig_Materieel[[#This Row],[Verbruik '[liter/kWh/kg per uur']]]*G$2736</f>
        <v>20.032255607224883</v>
      </c>
      <c r="H2676" s="108">
        <v>100</v>
      </c>
      <c r="I2676" s="33">
        <v>34.5</v>
      </c>
      <c r="J2676" s="40">
        <f>Database_Overig_Materieel[[#This Row],[Verbruik '[liter/kWh/kg per uur']]]*J$2736</f>
        <v>1.3993393851391303E-4</v>
      </c>
      <c r="K2676" s="40">
        <f>Database_Overig_Materieel[[#This Row],[Verbruik '[liter/kWh/kg per uur']]]*K$2736</f>
        <v>0.35095956216104351</v>
      </c>
      <c r="L2676" s="40">
        <f>Database_Overig_Materieel[[#This Row],[Verbruik '[liter/kWh/kg per uur']]]*L$2736</f>
        <v>90.013699682060874</v>
      </c>
      <c r="M2676" s="40">
        <f>Database_Overig_Materieel[[#This Row],[Verbruik '[liter/kWh/kg per uur']]]*M$2736</f>
        <v>5.4621532550347829E-6</v>
      </c>
      <c r="N2676" s="40">
        <f>Database_Overig_Materieel[[#This Row],[Verbruik '[liter/kWh/kg per uur']]]*N$2736</f>
        <v>6.5998735129565222E-2</v>
      </c>
      <c r="O2676" s="40">
        <f>Database_Overig_Materieel[[#This Row],[Verbruik '[liter/kWh/kg per uur']]]*O$2736</f>
        <v>0.55032898497417393</v>
      </c>
      <c r="P2676" s="40">
        <f>Database_Overig_Materieel[[#This Row],[Verbruik '[liter/kWh/kg per uur']]]*P$2736</f>
        <v>0.20340058136791309</v>
      </c>
      <c r="Q2676" s="40">
        <f>Database_Overig_Materieel[[#This Row],[Verbruik '[liter/kWh/kg per uur']]]*Q$2736</f>
        <v>50.75576336196</v>
      </c>
      <c r="R2676" s="40">
        <f>Database_Overig_Materieel[[#This Row],[Verbruik '[liter/kWh/kg per uur']]]*R$2736</f>
        <v>33.920109082119133</v>
      </c>
      <c r="S2676" s="40">
        <f>Database_Overig_Materieel[[#This Row],[Verbruik '[liter/kWh/kg per uur']]]*S$2736</f>
        <v>2183.6244541421743</v>
      </c>
      <c r="T2676" s="40">
        <f>Database_Overig_Materieel[[#This Row],[Verbruik '[liter/kWh/kg per uur']]]*T$2736</f>
        <v>14.973472770824348</v>
      </c>
      <c r="U2676" s="40"/>
      <c r="V2676" s="40"/>
      <c r="W2676" s="40"/>
      <c r="X2676" s="40"/>
      <c r="Y2676" s="40"/>
      <c r="Z2676" s="40"/>
      <c r="AA2676" s="40"/>
      <c r="AB2676" s="40"/>
      <c r="AC2676" s="40"/>
      <c r="AD2676" s="40"/>
      <c r="AE2676" s="40"/>
      <c r="AF2676" s="40"/>
      <c r="AG2676" s="40"/>
      <c r="AH2676" s="40"/>
      <c r="AI2676" s="40"/>
      <c r="AJ2676" s="40"/>
      <c r="AK2676" s="40"/>
      <c r="AL2676" s="40"/>
      <c r="AM2676" s="40"/>
      <c r="AN2676" s="40"/>
      <c r="AO2676" s="40"/>
      <c r="AP2676" s="40">
        <f>Database_Overig_Materieel[[#This Row],[Verbruik '[liter/kWh/kg per uur']]]*AP$2736</f>
        <v>163.9772357054087</v>
      </c>
      <c r="AQ2676" s="40"/>
      <c r="AR2676" s="40"/>
      <c r="AS2676" s="40">
        <f>Database_Overig_Materieel[[#This Row],[Verbruik '[liter/kWh/kg per uur']]]*AS$2736</f>
        <v>734.59601251982622</v>
      </c>
      <c r="AT2676" s="40"/>
      <c r="AU2676" s="40"/>
      <c r="AV2676" s="40"/>
      <c r="AW2676" s="40">
        <f>Database_Overig_Materieel[[#This Row],[Verbruik '[liter/kWh/kg per uur']]]*AW$2736</f>
        <v>1.292518344506087</v>
      </c>
      <c r="AX2676" s="40">
        <f>Database_Overig_Materieel[[#This Row],[Verbruik '[liter/kWh/kg per uur']]]*AX$2736</f>
        <v>4.0639658197304347E-3</v>
      </c>
      <c r="AY2676" s="40">
        <f>Database_Overig_Materieel[[#This Row],[Verbruik '[liter/kWh/kg per uur']]]*AY$2736</f>
        <v>16.246468562032174</v>
      </c>
      <c r="AZ2676" s="40">
        <f>Database_Overig_Materieel[[#This Row],[Verbruik '[liter/kWh/kg per uur']]]*AZ$2736</f>
        <v>0</v>
      </c>
      <c r="BA2676" s="40"/>
      <c r="BB2676" s="40"/>
      <c r="BC2676" s="40"/>
      <c r="BD2676" s="40"/>
      <c r="BE2676" s="40"/>
      <c r="BG2676" s="33" t="s">
        <v>885</v>
      </c>
      <c r="BH2676" s="33" t="s">
        <v>135</v>
      </c>
    </row>
    <row r="2677" spans="1:60">
      <c r="A2677" s="33" t="s">
        <v>989</v>
      </c>
      <c r="B2677" s="33" t="s">
        <v>936</v>
      </c>
      <c r="C2677" s="33" t="s">
        <v>938</v>
      </c>
      <c r="D2677" s="33" t="s">
        <v>984</v>
      </c>
      <c r="E2677" s="33" t="s">
        <v>829</v>
      </c>
      <c r="F2677" s="33">
        <v>63.99</v>
      </c>
      <c r="G2677" s="41">
        <f>Database_Overig_Materieel[[#This Row],[Verbruik '[liter/kWh/kg per uur']]]*G$2737</f>
        <v>19.117368525694935</v>
      </c>
      <c r="H2677" s="108">
        <v>100</v>
      </c>
      <c r="I2677" s="33">
        <v>35.9</v>
      </c>
      <c r="J2677" s="40">
        <f>Database_Overig_Materieel[[#This Row],[Verbruik '[liter/kWh/kg per uur']]]*J$2737</f>
        <v>1.1240291430000001E-4</v>
      </c>
      <c r="K2677" s="40">
        <f>Database_Overig_Materieel[[#This Row],[Verbruik '[liter/kWh/kg per uur']]]*K$2737</f>
        <v>1.5212223678600001</v>
      </c>
      <c r="L2677" s="40">
        <f>Database_Overig_Materieel[[#This Row],[Verbruik '[liter/kWh/kg per uur']]]*L$2737</f>
        <v>222.00271465500001</v>
      </c>
      <c r="M2677" s="40">
        <f>Database_Overig_Materieel[[#This Row],[Verbruik '[liter/kWh/kg per uur']]]*M$2737</f>
        <v>3.863863377E-5</v>
      </c>
      <c r="N2677" s="40">
        <f>Database_Overig_Materieel[[#This Row],[Verbruik '[liter/kWh/kg per uur']]]*N$2737</f>
        <v>7.3065637710000006E-2</v>
      </c>
      <c r="O2677" s="40">
        <f>Database_Overig_Materieel[[#This Row],[Verbruik '[liter/kWh/kg per uur']]]*O$2737</f>
        <v>0.42561585513</v>
      </c>
      <c r="P2677" s="40">
        <f>Database_Overig_Materieel[[#This Row],[Verbruik '[liter/kWh/kg per uur']]]*P$2737</f>
        <v>6.5370264300000008E-2</v>
      </c>
      <c r="Q2677" s="40">
        <f>Database_Overig_Materieel[[#This Row],[Verbruik '[liter/kWh/kg per uur']]]*Q$2737</f>
        <v>54.712825785</v>
      </c>
      <c r="R2677" s="40">
        <f>Database_Overig_Materieel[[#This Row],[Verbruik '[liter/kWh/kg per uur']]]*R$2737</f>
        <v>1.09160105868</v>
      </c>
      <c r="S2677" s="40">
        <f>Database_Overig_Materieel[[#This Row],[Verbruik '[liter/kWh/kg per uur']]]*S$2737</f>
        <v>3670.4043296999998</v>
      </c>
      <c r="T2677" s="40">
        <f>Database_Overig_Materieel[[#This Row],[Verbruik '[liter/kWh/kg per uur']]]*T$2737</f>
        <v>0.19650906666000001</v>
      </c>
      <c r="U2677" s="40"/>
      <c r="V2677" s="40"/>
      <c r="W2677" s="40"/>
      <c r="X2677" s="40"/>
      <c r="Y2677" s="40"/>
      <c r="Z2677" s="40"/>
      <c r="AA2677" s="40"/>
      <c r="AB2677" s="40"/>
      <c r="AC2677" s="40"/>
      <c r="AD2677" s="40"/>
      <c r="AE2677" s="40"/>
      <c r="AF2677" s="40"/>
      <c r="AG2677" s="40"/>
      <c r="AH2677" s="40"/>
      <c r="AI2677" s="40"/>
      <c r="AJ2677" s="40"/>
      <c r="AK2677" s="40"/>
      <c r="AL2677" s="40"/>
      <c r="AM2677" s="40"/>
      <c r="AN2677" s="40"/>
      <c r="AO2677" s="40"/>
      <c r="AP2677" s="40">
        <f>Database_Overig_Materieel[[#This Row],[Verbruik '[liter/kWh/kg per uur']]]*AP$2737</f>
        <v>25.220721686400001</v>
      </c>
      <c r="AQ2677" s="40"/>
      <c r="AR2677" s="40"/>
      <c r="AS2677" s="40">
        <f>Database_Overig_Materieel[[#This Row],[Verbruik '[liter/kWh/kg per uur']]]*AS$2737</f>
        <v>3395.18647521</v>
      </c>
      <c r="AT2677" s="40"/>
      <c r="AU2677" s="40"/>
      <c r="AV2677" s="40"/>
      <c r="AW2677" s="40">
        <f>Database_Overig_Materieel[[#This Row],[Verbruik '[liter/kWh/kg per uur']]]*AW$2737</f>
        <v>0.32125142862</v>
      </c>
      <c r="AX2677" s="40">
        <f>Database_Overig_Materieel[[#This Row],[Verbruik '[liter/kWh/kg per uur']]]*AX$2737</f>
        <v>2.3318467919999999E-2</v>
      </c>
      <c r="AY2677" s="40">
        <f>Database_Overig_Materieel[[#This Row],[Verbruik '[liter/kWh/kg per uur']]]*AY$2737</f>
        <v>5.7218714498700001</v>
      </c>
      <c r="AZ2677" s="40">
        <f>Database_Overig_Materieel[[#This Row],[Verbruik '[liter/kWh/kg per uur']]]*AZ$2737</f>
        <v>0</v>
      </c>
      <c r="BA2677" s="40"/>
      <c r="BB2677" s="40"/>
      <c r="BC2677" s="40"/>
      <c r="BD2677" s="40"/>
      <c r="BE2677" s="40"/>
      <c r="BG2677" s="109" t="s">
        <v>985</v>
      </c>
      <c r="BH2677" s="33" t="s">
        <v>135</v>
      </c>
    </row>
    <row r="2678" spans="1:60">
      <c r="A2678" s="33" t="s">
        <v>990</v>
      </c>
      <c r="B2678" s="33" t="s">
        <v>936</v>
      </c>
      <c r="C2678" s="33" t="s">
        <v>938</v>
      </c>
      <c r="D2678" s="33" t="s">
        <v>984</v>
      </c>
      <c r="E2678" s="33" t="s">
        <v>829</v>
      </c>
      <c r="F2678" s="45">
        <f>$F2677*($I2677/Database_Overig_Materieel[[#This Row],[Stookwaarde '[MJ/liter']]])</f>
        <v>69.40305135951661</v>
      </c>
      <c r="G2678" s="41">
        <f>Database_Overig_Materieel[[#This Row],[Verbruik '[liter/kWh/kg per uur']]]*G$2738</f>
        <v>18.066000107328417</v>
      </c>
      <c r="H2678" s="108">
        <v>100</v>
      </c>
      <c r="I2678" s="33">
        <v>33.1</v>
      </c>
      <c r="J2678" s="40">
        <f>Database_Overig_Materieel[[#This Row],[Verbruik '[liter/kWh/kg per uur']]]*J$2738</f>
        <v>3.5492789868308156E-4</v>
      </c>
      <c r="K2678" s="40">
        <f>Database_Overig_Materieel[[#This Row],[Verbruik '[liter/kWh/kg per uur']]]*K$2738</f>
        <v>2.0695247996788821</v>
      </c>
      <c r="L2678" s="40">
        <f>Database_Overig_Materieel[[#This Row],[Verbruik '[liter/kWh/kg per uur']]]*L$2738</f>
        <v>255.06012113801509</v>
      </c>
      <c r="M2678" s="40">
        <f>Database_Overig_Materieel[[#This Row],[Verbruik '[liter/kWh/kg per uur']]]*M$2738</f>
        <v>3.6896119566797575E-6</v>
      </c>
      <c r="N2678" s="40">
        <f>Database_Overig_Materieel[[#This Row],[Verbruik '[liter/kWh/kg per uur']]]*N$2738</f>
        <v>5.1682092643685798E-2</v>
      </c>
      <c r="O2678" s="40">
        <f>Database_Overig_Materieel[[#This Row],[Verbruik '[liter/kWh/kg per uur']]]*O$2738</f>
        <v>0.294221743689426</v>
      </c>
      <c r="P2678" s="40">
        <f>Database_Overig_Materieel[[#This Row],[Verbruik '[liter/kWh/kg per uur']]]*P$2738</f>
        <v>5.1985522784229597E-2</v>
      </c>
      <c r="Q2678" s="40">
        <f>Database_Overig_Materieel[[#This Row],[Verbruik '[liter/kWh/kg per uur']]]*Q$2738</f>
        <v>51.221113412372809</v>
      </c>
      <c r="R2678" s="40">
        <f>Database_Overig_Materieel[[#This Row],[Verbruik '[liter/kWh/kg per uur']]]*R$2738</f>
        <v>0.41295946828649538</v>
      </c>
      <c r="S2678" s="40">
        <f>Database_Overig_Materieel[[#This Row],[Verbruik '[liter/kWh/kg per uur']]]*S$2738</f>
        <v>1568.9400924801207</v>
      </c>
      <c r="T2678" s="40">
        <f>Database_Overig_Materieel[[#This Row],[Verbruik '[liter/kWh/kg per uur']]]*T$2738</f>
        <v>0.20725798525966768</v>
      </c>
      <c r="U2678" s="40"/>
      <c r="V2678" s="40"/>
      <c r="W2678" s="40"/>
      <c r="X2678" s="40"/>
      <c r="Y2678" s="40"/>
      <c r="Z2678" s="40"/>
      <c r="AA2678" s="40"/>
      <c r="AB2678" s="40"/>
      <c r="AC2678" s="40"/>
      <c r="AD2678" s="40"/>
      <c r="AE2678" s="40"/>
      <c r="AF2678" s="40"/>
      <c r="AG2678" s="40"/>
      <c r="AH2678" s="40"/>
      <c r="AI2678" s="40"/>
      <c r="AJ2678" s="40"/>
      <c r="AK2678" s="40"/>
      <c r="AL2678" s="40"/>
      <c r="AM2678" s="40"/>
      <c r="AN2678" s="40"/>
      <c r="AO2678" s="40"/>
      <c r="AP2678" s="40">
        <f>Database_Overig_Materieel[[#This Row],[Verbruik '[liter/kWh/kg per uur']]]*AP$2738</f>
        <v>30.684518708900303</v>
      </c>
      <c r="AQ2678" s="40"/>
      <c r="AR2678" s="40"/>
      <c r="AS2678" s="40">
        <f>Database_Overig_Materieel[[#This Row],[Verbruik '[liter/kWh/kg per uur']]]*AS$2738</f>
        <v>4415.1640869474923</v>
      </c>
      <c r="AT2678" s="40"/>
      <c r="AU2678" s="40"/>
      <c r="AV2678" s="40"/>
      <c r="AW2678" s="40">
        <f>Database_Overig_Materieel[[#This Row],[Verbruik '[liter/kWh/kg per uur']]]*AW$2738</f>
        <v>0.19968291981598188</v>
      </c>
      <c r="AX2678" s="40">
        <f>Database_Overig_Materieel[[#This Row],[Verbruik '[liter/kWh/kg per uur']]]*AX$2738</f>
        <v>6.8261787582960722E-3</v>
      </c>
      <c r="AY2678" s="40">
        <f>Database_Overig_Materieel[[#This Row],[Verbruik '[liter/kWh/kg per uur']]]*AY$2738</f>
        <v>7.5094018287335338</v>
      </c>
      <c r="AZ2678" s="40">
        <f>Database_Overig_Materieel[[#This Row],[Verbruik '[liter/kWh/kg per uur']]]*AZ$2738</f>
        <v>0</v>
      </c>
      <c r="BA2678" s="40"/>
      <c r="BB2678" s="40"/>
      <c r="BC2678" s="40"/>
      <c r="BD2678" s="40"/>
      <c r="BE2678" s="40"/>
      <c r="BG2678" s="33" t="s">
        <v>885</v>
      </c>
      <c r="BH2678" s="33" t="s">
        <v>135</v>
      </c>
    </row>
    <row r="2679" spans="1:60">
      <c r="A2679" s="33" t="s">
        <v>991</v>
      </c>
      <c r="B2679" s="33" t="s">
        <v>936</v>
      </c>
      <c r="C2679" s="33" t="s">
        <v>938</v>
      </c>
      <c r="D2679" s="33" t="s">
        <v>984</v>
      </c>
      <c r="E2679" s="33" t="s">
        <v>829</v>
      </c>
      <c r="F2679" s="45">
        <f>$F2677*($I2677/Database_Overig_Materieel[[#This Row],[Stookwaarde '[MJ/liter']]])</f>
        <v>66.974956268221575</v>
      </c>
      <c r="G2679" s="41">
        <f>Database_Overig_Materieel[[#This Row],[Verbruik '[liter/kWh/kg per uur']]]*G$2739</f>
        <v>14.294623601660913</v>
      </c>
      <c r="H2679" s="108">
        <v>100</v>
      </c>
      <c r="I2679" s="33">
        <v>34.299999999999997</v>
      </c>
      <c r="J2679" s="40">
        <f>Database_Overig_Materieel[[#This Row],[Verbruik '[liter/kWh/kg per uur']]]*J$2739</f>
        <v>2.5976705613323618E-4</v>
      </c>
      <c r="K2679" s="40">
        <f>Database_Overig_Materieel[[#This Row],[Verbruik '[liter/kWh/kg per uur']]]*K$2739</f>
        <v>0.56546694374930029</v>
      </c>
      <c r="L2679" s="40">
        <f>Database_Overig_Materieel[[#This Row],[Verbruik '[liter/kWh/kg per uur']]]*L$2739</f>
        <v>96.418238735518955</v>
      </c>
      <c r="M2679" s="40">
        <f>Database_Overig_Materieel[[#This Row],[Verbruik '[liter/kWh/kg per uur']]]*M$2739</f>
        <v>9.2215808037026247E-6</v>
      </c>
      <c r="N2679" s="40">
        <f>Database_Overig_Materieel[[#This Row],[Verbruik '[liter/kWh/kg per uur']]]*N$2739</f>
        <v>7.8592164282682217E-2</v>
      </c>
      <c r="O2679" s="40">
        <f>Database_Overig_Materieel[[#This Row],[Verbruik '[liter/kWh/kg per uur']]]*O$2739</f>
        <v>0.60248145703040812</v>
      </c>
      <c r="P2679" s="40">
        <f>Database_Overig_Materieel[[#This Row],[Verbruik '[liter/kWh/kg per uur']]]*P$2739</f>
        <v>0.29878961255317782</v>
      </c>
      <c r="Q2679" s="40">
        <f>Database_Overig_Materieel[[#This Row],[Verbruik '[liter/kWh/kg per uur']]]*Q$2739</f>
        <v>53.546454095208453</v>
      </c>
      <c r="R2679" s="40">
        <f>Database_Overig_Materieel[[#This Row],[Verbruik '[liter/kWh/kg per uur']]]*R$2739</f>
        <v>38.127051693167928</v>
      </c>
      <c r="S2679" s="40">
        <f>Database_Overig_Materieel[[#This Row],[Verbruik '[liter/kWh/kg per uur']]]*S$2739</f>
        <v>3210.0314271869388</v>
      </c>
      <c r="T2679" s="40">
        <f>Database_Overig_Materieel[[#This Row],[Verbruik '[liter/kWh/kg per uur']]]*T$2739</f>
        <v>16.367277526118659</v>
      </c>
      <c r="U2679" s="40"/>
      <c r="V2679" s="40"/>
      <c r="W2679" s="40"/>
      <c r="X2679" s="40"/>
      <c r="Y2679" s="40"/>
      <c r="Z2679" s="40"/>
      <c r="AA2679" s="40"/>
      <c r="AB2679" s="40"/>
      <c r="AC2679" s="40"/>
      <c r="AD2679" s="40"/>
      <c r="AE2679" s="40"/>
      <c r="AF2679" s="40"/>
      <c r="AG2679" s="40"/>
      <c r="AH2679" s="40"/>
      <c r="AI2679" s="40"/>
      <c r="AJ2679" s="40"/>
      <c r="AK2679" s="40"/>
      <c r="AL2679" s="40"/>
      <c r="AM2679" s="40"/>
      <c r="AN2679" s="40"/>
      <c r="AO2679" s="40"/>
      <c r="AP2679" s="40">
        <f>Database_Overig_Materieel[[#This Row],[Verbruik '[liter/kWh/kg per uur']]]*AP$2739</f>
        <v>525.97459149861515</v>
      </c>
      <c r="AQ2679" s="40"/>
      <c r="AR2679" s="40"/>
      <c r="AS2679" s="40">
        <f>Database_Overig_Materieel[[#This Row],[Verbruik '[liter/kWh/kg per uur']]]*AS$2739</f>
        <v>1194.8390466462683</v>
      </c>
      <c r="AT2679" s="40"/>
      <c r="AU2679" s="40"/>
      <c r="AV2679" s="40"/>
      <c r="AW2679" s="40">
        <f>Database_Overig_Materieel[[#This Row],[Verbruik '[liter/kWh/kg per uur']]]*AW$2739</f>
        <v>4.1025727130706997</v>
      </c>
      <c r="AX2679" s="40">
        <f>Database_Overig_Materieel[[#This Row],[Verbruik '[liter/kWh/kg per uur']]]*AX$2739</f>
        <v>6.9319749487172008E-3</v>
      </c>
      <c r="AY2679" s="40">
        <f>Database_Overig_Materieel[[#This Row],[Verbruik '[liter/kWh/kg per uur']]]*AY$2739</f>
        <v>18.932875120393295</v>
      </c>
      <c r="AZ2679" s="40">
        <f>Database_Overig_Materieel[[#This Row],[Verbruik '[liter/kWh/kg per uur']]]*AZ$2739</f>
        <v>0</v>
      </c>
      <c r="BA2679" s="40"/>
      <c r="BB2679" s="40"/>
      <c r="BC2679" s="40"/>
      <c r="BD2679" s="40"/>
      <c r="BE2679" s="40"/>
      <c r="BG2679" s="33" t="s">
        <v>885</v>
      </c>
      <c r="BH2679" s="33" t="s">
        <v>135</v>
      </c>
    </row>
    <row r="2680" spans="1:60">
      <c r="A2680" s="33" t="s">
        <v>992</v>
      </c>
      <c r="B2680" s="33" t="s">
        <v>936</v>
      </c>
      <c r="C2680" s="33" t="s">
        <v>938</v>
      </c>
      <c r="D2680" s="33" t="s">
        <v>984</v>
      </c>
      <c r="E2680" s="33" t="s">
        <v>829</v>
      </c>
      <c r="F2680" s="45">
        <f>$F2677*($I2677/Database_Overig_Materieel[[#This Row],[Stookwaarde '[MJ/liter']]])</f>
        <v>66.586695652173916</v>
      </c>
      <c r="G2680" s="41">
        <f>Database_Overig_Materieel[[#This Row],[Verbruik '[liter/kWh/kg per uur']]]*G$2740</f>
        <v>18.827699017139487</v>
      </c>
      <c r="H2680" s="108">
        <v>100</v>
      </c>
      <c r="I2680" s="33">
        <v>34.5</v>
      </c>
      <c r="J2680" s="40">
        <f>Database_Overig_Materieel[[#This Row],[Verbruik '[liter/kWh/kg per uur']]]*J$2740</f>
        <v>1.4913621985304348E-4</v>
      </c>
      <c r="K2680" s="40">
        <f>Database_Overig_Materieel[[#This Row],[Verbruik '[liter/kWh/kg per uur']]]*K$2740</f>
        <v>0.3684355067817392</v>
      </c>
      <c r="L2680" s="40">
        <f>Database_Overig_Materieel[[#This Row],[Verbruik '[liter/kWh/kg per uur']]]*L$2740</f>
        <v>91.92840677420871</v>
      </c>
      <c r="M2680" s="40">
        <f>Database_Overig_Materieel[[#This Row],[Verbruik '[liter/kWh/kg per uur']]]*M$2740</f>
        <v>5.7746046657130434E-6</v>
      </c>
      <c r="N2680" s="40">
        <f>Database_Overig_Materieel[[#This Row],[Verbruik '[liter/kWh/kg per uur']]]*N$2740</f>
        <v>6.6798441344347828E-2</v>
      </c>
      <c r="O2680" s="40">
        <f>Database_Overig_Materieel[[#This Row],[Verbruik '[liter/kWh/kg per uur']]]*O$2740</f>
        <v>0.33045272432765216</v>
      </c>
      <c r="P2680" s="40">
        <f>Database_Overig_Materieel[[#This Row],[Verbruik '[liter/kWh/kg per uur']]]*P$2740</f>
        <v>0.14526839846269565</v>
      </c>
      <c r="Q2680" s="40">
        <f>Database_Overig_Materieel[[#This Row],[Verbruik '[liter/kWh/kg per uur']]]*Q$2740</f>
        <v>51.693772807079995</v>
      </c>
      <c r="R2680" s="40">
        <f>Database_Overig_Materieel[[#This Row],[Verbruik '[liter/kWh/kg per uur']]]*R$2740</f>
        <v>33.933475695404354</v>
      </c>
      <c r="S2680" s="40">
        <f>Database_Overig_Materieel[[#This Row],[Verbruik '[liter/kWh/kg per uur']]]*S$2740</f>
        <v>2243.5185210143482</v>
      </c>
      <c r="T2680" s="40">
        <f>Database_Overig_Materieel[[#This Row],[Verbruik '[liter/kWh/kg per uur']]]*T$2740</f>
        <v>14.976162873328695</v>
      </c>
      <c r="U2680" s="40"/>
      <c r="V2680" s="40"/>
      <c r="W2680" s="40"/>
      <c r="X2680" s="40"/>
      <c r="Y2680" s="40"/>
      <c r="Z2680" s="40"/>
      <c r="AA2680" s="40"/>
      <c r="AB2680" s="40"/>
      <c r="AC2680" s="40"/>
      <c r="AD2680" s="40"/>
      <c r="AE2680" s="40"/>
      <c r="AF2680" s="40"/>
      <c r="AG2680" s="40"/>
      <c r="AH2680" s="40"/>
      <c r="AI2680" s="40"/>
      <c r="AJ2680" s="40"/>
      <c r="AK2680" s="40"/>
      <c r="AL2680" s="40"/>
      <c r="AM2680" s="40"/>
      <c r="AN2680" s="40"/>
      <c r="AO2680" s="40"/>
      <c r="AP2680" s="40">
        <f>Database_Overig_Materieel[[#This Row],[Verbruik '[liter/kWh/kg per uur']]]*AP$2740</f>
        <v>164.72105570653045</v>
      </c>
      <c r="AQ2680" s="40"/>
      <c r="AR2680" s="40"/>
      <c r="AS2680" s="40">
        <f>Database_Overig_Materieel[[#This Row],[Verbruik '[liter/kWh/kg per uur']]]*AS$2740</f>
        <v>773.29666613973905</v>
      </c>
      <c r="AT2680" s="40"/>
      <c r="AU2680" s="40"/>
      <c r="AV2680" s="40"/>
      <c r="AW2680" s="40">
        <f>Database_Overig_Materieel[[#This Row],[Verbruik '[liter/kWh/kg per uur']]]*AW$2740</f>
        <v>1.2966696254598262</v>
      </c>
      <c r="AX2680" s="40">
        <f>Database_Overig_Materieel[[#This Row],[Verbruik '[liter/kWh/kg per uur']]]*AX$2740</f>
        <v>4.2115818653217394E-3</v>
      </c>
      <c r="AY2680" s="40">
        <f>Database_Overig_Materieel[[#This Row],[Verbruik '[liter/kWh/kg per uur']]]*AY$2740</f>
        <v>16.337577805959132</v>
      </c>
      <c r="AZ2680" s="40">
        <f>Database_Overig_Materieel[[#This Row],[Verbruik '[liter/kWh/kg per uur']]]*AZ$2740</f>
        <v>0</v>
      </c>
      <c r="BA2680" s="40"/>
      <c r="BB2680" s="40"/>
      <c r="BC2680" s="40"/>
      <c r="BD2680" s="40"/>
      <c r="BE2680" s="40"/>
      <c r="BG2680" s="33" t="s">
        <v>885</v>
      </c>
      <c r="BH2680" s="33" t="s">
        <v>135</v>
      </c>
    </row>
    <row r="2681" spans="1:60">
      <c r="A2681" s="33" t="s">
        <v>993</v>
      </c>
      <c r="B2681" s="33" t="s">
        <v>936</v>
      </c>
      <c r="C2681" s="33" t="s">
        <v>938</v>
      </c>
      <c r="D2681" s="33" t="s">
        <v>984</v>
      </c>
      <c r="E2681" s="33" t="s">
        <v>829</v>
      </c>
      <c r="F2681" s="84">
        <v>63.99</v>
      </c>
      <c r="G2681" s="41">
        <f>Database_Overig_Materieel[[#This Row],[Verbruik '[liter/kWh/kg per uur']]]*G$2741</f>
        <v>19.117214066132522</v>
      </c>
      <c r="H2681" s="108">
        <v>100</v>
      </c>
      <c r="I2681" s="33">
        <v>35.9</v>
      </c>
      <c r="J2681" s="40">
        <f>Database_Overig_Materieel[[#This Row],[Verbruik '[liter/kWh/kg per uur']]]*J$2741</f>
        <v>1.1240291430000001E-4</v>
      </c>
      <c r="K2681" s="40">
        <f>Database_Overig_Materieel[[#This Row],[Verbruik '[liter/kWh/kg per uur']]]*K$2741</f>
        <v>1.5212223678600001</v>
      </c>
      <c r="L2681" s="40">
        <f>Database_Overig_Materieel[[#This Row],[Verbruik '[liter/kWh/kg per uur']]]*L$2741</f>
        <v>222.00271465500001</v>
      </c>
      <c r="M2681" s="40">
        <f>Database_Overig_Materieel[[#This Row],[Verbruik '[liter/kWh/kg per uur']]]*M$2741</f>
        <v>3.863863377E-5</v>
      </c>
      <c r="N2681" s="40">
        <f>Database_Overig_Materieel[[#This Row],[Verbruik '[liter/kWh/kg per uur']]]*N$2741</f>
        <v>7.3065637710000006E-2</v>
      </c>
      <c r="O2681" s="40">
        <f>Database_Overig_Materieel[[#This Row],[Verbruik '[liter/kWh/kg per uur']]]*O$2741</f>
        <v>0.42561585513</v>
      </c>
      <c r="P2681" s="40">
        <f>Database_Overig_Materieel[[#This Row],[Verbruik '[liter/kWh/kg per uur']]]*P$2741</f>
        <v>6.5370264300000008E-2</v>
      </c>
      <c r="Q2681" s="40">
        <f>Database_Overig_Materieel[[#This Row],[Verbruik '[liter/kWh/kg per uur']]]*Q$2741</f>
        <v>54.711109573200005</v>
      </c>
      <c r="R2681" s="40">
        <f>Database_Overig_Materieel[[#This Row],[Verbruik '[liter/kWh/kg per uur']]]*R$2741</f>
        <v>1.09160105868</v>
      </c>
      <c r="S2681" s="40">
        <f>Database_Overig_Materieel[[#This Row],[Verbruik '[liter/kWh/kg per uur']]]*S$2741</f>
        <v>3670.4043296999998</v>
      </c>
      <c r="T2681" s="40">
        <f>Database_Overig_Materieel[[#This Row],[Verbruik '[liter/kWh/kg per uur']]]*T$2741</f>
        <v>0.19650906666000001</v>
      </c>
      <c r="U2681" s="40"/>
      <c r="V2681" s="40"/>
      <c r="W2681" s="40"/>
      <c r="X2681" s="40"/>
      <c r="Y2681" s="40"/>
      <c r="Z2681" s="40"/>
      <c r="AA2681" s="40"/>
      <c r="AB2681" s="40"/>
      <c r="AC2681" s="40"/>
      <c r="AD2681" s="40"/>
      <c r="AE2681" s="40"/>
      <c r="AF2681" s="40"/>
      <c r="AG2681" s="40"/>
      <c r="AH2681" s="40"/>
      <c r="AI2681" s="40"/>
      <c r="AJ2681" s="40"/>
      <c r="AK2681" s="40"/>
      <c r="AL2681" s="40"/>
      <c r="AM2681" s="40"/>
      <c r="AN2681" s="40"/>
      <c r="AO2681" s="40"/>
      <c r="AP2681" s="40">
        <f>Database_Overig_Materieel[[#This Row],[Verbruik '[liter/kWh/kg per uur']]]*AP$2741</f>
        <v>25.220721686400001</v>
      </c>
      <c r="AQ2681" s="40"/>
      <c r="AR2681" s="40"/>
      <c r="AS2681" s="40">
        <f>Database_Overig_Materieel[[#This Row],[Verbruik '[liter/kWh/kg per uur']]]*AS$2741</f>
        <v>3395.18647521</v>
      </c>
      <c r="AT2681" s="40"/>
      <c r="AU2681" s="40"/>
      <c r="AV2681" s="40"/>
      <c r="AW2681" s="40">
        <f>Database_Overig_Materieel[[#This Row],[Verbruik '[liter/kWh/kg per uur']]]*AW$2741</f>
        <v>0.32125142862</v>
      </c>
      <c r="AX2681" s="40">
        <f>Database_Overig_Materieel[[#This Row],[Verbruik '[liter/kWh/kg per uur']]]*AX$2741</f>
        <v>2.3318467919999999E-2</v>
      </c>
      <c r="AY2681" s="40">
        <f>Database_Overig_Materieel[[#This Row],[Verbruik '[liter/kWh/kg per uur']]]*AY$2741</f>
        <v>5.7218714498700001</v>
      </c>
      <c r="AZ2681" s="40">
        <f>Database_Overig_Materieel[[#This Row],[Verbruik '[liter/kWh/kg per uur']]]*AZ$2741</f>
        <v>0</v>
      </c>
      <c r="BA2681" s="40"/>
      <c r="BB2681" s="40"/>
      <c r="BC2681" s="40"/>
      <c r="BD2681" s="40"/>
      <c r="BE2681" s="40"/>
      <c r="BG2681" s="109" t="s">
        <v>985</v>
      </c>
      <c r="BH2681" s="33" t="s">
        <v>135</v>
      </c>
    </row>
    <row r="2682" spans="1:60">
      <c r="A2682" s="33" t="s">
        <v>994</v>
      </c>
      <c r="B2682" s="33" t="s">
        <v>936</v>
      </c>
      <c r="C2682" s="33" t="s">
        <v>938</v>
      </c>
      <c r="D2682" s="33" t="s">
        <v>984</v>
      </c>
      <c r="E2682" s="33" t="s">
        <v>829</v>
      </c>
      <c r="F2682" s="106">
        <v>69.400000000000006</v>
      </c>
      <c r="G2682" s="41">
        <f>Database_Overig_Materieel[[#This Row],[Verbruik '[liter/kWh/kg per uur']]]*G$2742</f>
        <v>18.065090558101716</v>
      </c>
      <c r="H2682" s="108">
        <v>100</v>
      </c>
      <c r="I2682" s="33">
        <v>33.1</v>
      </c>
      <c r="J2682" s="40">
        <f>Database_Overig_Materieel[[#This Row],[Verbruik '[liter/kWh/kg per uur']]]*J$2742</f>
        <v>3.5491229400000005E-4</v>
      </c>
      <c r="K2682" s="40">
        <f>Database_Overig_Materieel[[#This Row],[Verbruik '[liter/kWh/kg per uur']]]*K$2742</f>
        <v>2.0694338114000002</v>
      </c>
      <c r="L2682" s="40">
        <f>Database_Overig_Materieel[[#This Row],[Verbruik '[liter/kWh/kg per uur']]]*L$2742</f>
        <v>255.04890722000002</v>
      </c>
      <c r="M2682" s="40">
        <f>Database_Overig_Materieel[[#This Row],[Verbruik '[liter/kWh/kg per uur']]]*M$2742</f>
        <v>3.6894497399999998E-6</v>
      </c>
      <c r="N2682" s="40">
        <f>Database_Overig_Materieel[[#This Row],[Verbruik '[liter/kWh/kg per uur']]]*N$2742</f>
        <v>5.1679820400000007E-2</v>
      </c>
      <c r="O2682" s="40">
        <f>Database_Overig_Materieel[[#This Row],[Verbruik '[liter/kWh/kg per uur']]]*O$2742</f>
        <v>0.29420880800000004</v>
      </c>
      <c r="P2682" s="40">
        <f>Database_Overig_Materieel[[#This Row],[Verbruik '[liter/kWh/kg per uur']]]*P$2742</f>
        <v>5.1983237199999997E-2</v>
      </c>
      <c r="Q2682" s="40">
        <f>Database_Overig_Materieel[[#This Row],[Verbruik '[liter/kWh/kg per uur']]]*Q$2742</f>
        <v>51.217274258000003</v>
      </c>
      <c r="R2682" s="40">
        <f>Database_Overig_Materieel[[#This Row],[Verbruik '[liter/kWh/kg per uur']]]*R$2742</f>
        <v>0.41294131220000002</v>
      </c>
      <c r="S2682" s="40">
        <f>Database_Overig_Materieel[[#This Row],[Verbruik '[liter/kWh/kg per uur']]]*S$2742</f>
        <v>1568.8711128</v>
      </c>
      <c r="T2682" s="40">
        <f>Database_Overig_Materieel[[#This Row],[Verbruik '[liter/kWh/kg per uur']]]*T$2742</f>
        <v>0.20724887300000003</v>
      </c>
      <c r="U2682" s="40"/>
      <c r="V2682" s="40"/>
      <c r="W2682" s="40"/>
      <c r="X2682" s="40"/>
      <c r="Y2682" s="40"/>
      <c r="Z2682" s="40"/>
      <c r="AA2682" s="40"/>
      <c r="AB2682" s="40"/>
      <c r="AC2682" s="40"/>
      <c r="AD2682" s="40"/>
      <c r="AE2682" s="40"/>
      <c r="AF2682" s="40"/>
      <c r="AG2682" s="40"/>
      <c r="AH2682" s="40"/>
      <c r="AI2682" s="40"/>
      <c r="AJ2682" s="40"/>
      <c r="AK2682" s="40"/>
      <c r="AL2682" s="40"/>
      <c r="AM2682" s="40"/>
      <c r="AN2682" s="40"/>
      <c r="AO2682" s="40"/>
      <c r="AP2682" s="40">
        <f>Database_Overig_Materieel[[#This Row],[Verbruik '[liter/kWh/kg per uur']]]*AP$2742</f>
        <v>30.683169640000006</v>
      </c>
      <c r="AQ2682" s="40"/>
      <c r="AR2682" s="40"/>
      <c r="AS2682" s="40">
        <f>Database_Overig_Materieel[[#This Row],[Verbruik '[liter/kWh/kg per uur']]]*AS$2742</f>
        <v>4414.9699707999998</v>
      </c>
      <c r="AT2682" s="40"/>
      <c r="AU2682" s="40"/>
      <c r="AV2682" s="40"/>
      <c r="AW2682" s="40">
        <f>Database_Overig_Materieel[[#This Row],[Verbruik '[liter/kWh/kg per uur']]]*AW$2742</f>
        <v>0.19967414060000005</v>
      </c>
      <c r="AX2682" s="40">
        <f>Database_Overig_Materieel[[#This Row],[Verbruik '[liter/kWh/kg per uur']]]*AX$2742</f>
        <v>6.8258786400000005E-3</v>
      </c>
      <c r="AY2682" s="40">
        <f>Database_Overig_Materieel[[#This Row],[Verbruik '[liter/kWh/kg per uur']]]*AY$2742</f>
        <v>7.5090716720000001</v>
      </c>
      <c r="AZ2682" s="40">
        <f>Database_Overig_Materieel[[#This Row],[Verbruik '[liter/kWh/kg per uur']]]*AZ$2742</f>
        <v>0</v>
      </c>
      <c r="BA2682" s="40"/>
      <c r="BB2682" s="40"/>
      <c r="BC2682" s="40"/>
      <c r="BD2682" s="40"/>
      <c r="BE2682" s="40"/>
      <c r="BG2682" s="33" t="s">
        <v>885</v>
      </c>
      <c r="BH2682" s="33" t="s">
        <v>135</v>
      </c>
    </row>
    <row r="2683" spans="1:60">
      <c r="A2683" s="33" t="s">
        <v>995</v>
      </c>
      <c r="B2683" s="33" t="s">
        <v>936</v>
      </c>
      <c r="C2683" s="33" t="s">
        <v>938</v>
      </c>
      <c r="D2683" s="33" t="s">
        <v>984</v>
      </c>
      <c r="E2683" s="33" t="s">
        <v>829</v>
      </c>
      <c r="F2683" s="107">
        <v>66.97</v>
      </c>
      <c r="G2683" s="41">
        <f>Database_Overig_Materieel[[#This Row],[Verbruik '[liter/kWh/kg per uur']]]*G$2743</f>
        <v>14.293427163029026</v>
      </c>
      <c r="H2683" s="108">
        <v>100</v>
      </c>
      <c r="I2683" s="33">
        <v>34.299999999999997</v>
      </c>
      <c r="J2683" s="40">
        <f>Database_Overig_Materieel[[#This Row],[Verbruik '[liter/kWh/kg per uur']]]*J$2743</f>
        <v>2.5974783290000001E-4</v>
      </c>
      <c r="K2683" s="40">
        <f>Database_Overig_Materieel[[#This Row],[Verbruik '[liter/kWh/kg per uur']]]*K$2743</f>
        <v>0.56542509816999997</v>
      </c>
      <c r="L2683" s="40">
        <f>Database_Overig_Materieel[[#This Row],[Verbruik '[liter/kWh/kg per uur']]]*L$2743</f>
        <v>96.411411673000003</v>
      </c>
      <c r="M2683" s="40">
        <f>Database_Overig_Materieel[[#This Row],[Verbruik '[liter/kWh/kg per uur']]]*M$2743</f>
        <v>9.2208983899999995E-6</v>
      </c>
      <c r="N2683" s="40">
        <f>Database_Overig_Materieel[[#This Row],[Verbruik '[liter/kWh/kg per uur']]]*N$2743</f>
        <v>7.8586348319999999E-2</v>
      </c>
      <c r="O2683" s="40">
        <f>Database_Overig_Materieel[[#This Row],[Verbruik '[liter/kWh/kg per uur']]]*O$2743</f>
        <v>0.60243687230999998</v>
      </c>
      <c r="P2683" s="40">
        <f>Database_Overig_Materieel[[#This Row],[Verbruik '[liter/kWh/kg per uur']]]*P$2743</f>
        <v>0.29876750157999998</v>
      </c>
      <c r="Q2683" s="40">
        <f>Database_Overig_Materieel[[#This Row],[Verbruik '[liter/kWh/kg per uur']]]*Q$2743</f>
        <v>53.541085190500006</v>
      </c>
      <c r="R2683" s="40">
        <f>Database_Overig_Materieel[[#This Row],[Verbruik '[liter/kWh/kg per uur']]]*R$2743</f>
        <v>38.124230222199998</v>
      </c>
      <c r="S2683" s="40">
        <f>Database_Overig_Materieel[[#This Row],[Verbruik '[liter/kWh/kg per uur']]]*S$2743</f>
        <v>3209.7938790399999</v>
      </c>
      <c r="T2683" s="40">
        <f>Database_Overig_Materieel[[#This Row],[Verbruik '[liter/kWh/kg per uur']]]*T$2743</f>
        <v>16.3660663179</v>
      </c>
      <c r="U2683" s="40"/>
      <c r="V2683" s="40"/>
      <c r="W2683" s="40"/>
      <c r="X2683" s="40"/>
      <c r="Y2683" s="40"/>
      <c r="Z2683" s="40"/>
      <c r="AA2683" s="40"/>
      <c r="AB2683" s="40"/>
      <c r="AC2683" s="40"/>
      <c r="AD2683" s="40"/>
      <c r="AE2683" s="40"/>
      <c r="AF2683" s="40"/>
      <c r="AG2683" s="40"/>
      <c r="AH2683" s="40"/>
      <c r="AI2683" s="40"/>
      <c r="AJ2683" s="40"/>
      <c r="AK2683" s="40"/>
      <c r="AL2683" s="40"/>
      <c r="AM2683" s="40"/>
      <c r="AN2683" s="40"/>
      <c r="AO2683" s="40"/>
      <c r="AP2683" s="40">
        <f>Database_Overig_Materieel[[#This Row],[Verbruik '[liter/kWh/kg per uur']]]*AP$2743</f>
        <v>525.93566842500002</v>
      </c>
      <c r="AQ2683" s="40"/>
      <c r="AR2683" s="40"/>
      <c r="AS2683" s="40">
        <f>Database_Overig_Materieel[[#This Row],[Verbruik '[liter/kWh/kg per uur']]]*AS$2743</f>
        <v>1194.75062639</v>
      </c>
      <c r="AT2683" s="40"/>
      <c r="AU2683" s="40"/>
      <c r="AV2683" s="40"/>
      <c r="AW2683" s="40">
        <f>Database_Overig_Materieel[[#This Row],[Verbruik '[liter/kWh/kg per uur']]]*AW$2743</f>
        <v>4.1022691152499995</v>
      </c>
      <c r="AX2683" s="40">
        <f>Database_Overig_Materieel[[#This Row],[Verbruik '[liter/kWh/kg per uur']]]*AX$2743</f>
        <v>6.9314619699999995E-3</v>
      </c>
      <c r="AY2683" s="40">
        <f>Database_Overig_Materieel[[#This Row],[Verbruik '[liter/kWh/kg per uur']]]*AY$2743</f>
        <v>18.931474053300001</v>
      </c>
      <c r="AZ2683" s="40">
        <f>Database_Overig_Materieel[[#This Row],[Verbruik '[liter/kWh/kg per uur']]]*AZ$2743</f>
        <v>0</v>
      </c>
      <c r="BA2683" s="40"/>
      <c r="BB2683" s="40"/>
      <c r="BC2683" s="40"/>
      <c r="BD2683" s="40"/>
      <c r="BE2683" s="40"/>
      <c r="BG2683" s="33" t="s">
        <v>885</v>
      </c>
      <c r="BH2683" s="33" t="s">
        <v>135</v>
      </c>
    </row>
    <row r="2684" spans="1:60">
      <c r="A2684" s="33" t="s">
        <v>996</v>
      </c>
      <c r="B2684" s="33" t="s">
        <v>936</v>
      </c>
      <c r="C2684" s="33" t="s">
        <v>938</v>
      </c>
      <c r="D2684" s="33" t="s">
        <v>984</v>
      </c>
      <c r="E2684" s="33" t="s">
        <v>829</v>
      </c>
      <c r="F2684" s="106">
        <v>66.59</v>
      </c>
      <c r="G2684" s="41">
        <f>Database_Overig_Materieel[[#This Row],[Verbruik '[liter/kWh/kg per uur']]]*G$2744</f>
        <v>18.82863333691175</v>
      </c>
      <c r="H2684" s="108">
        <v>100</v>
      </c>
      <c r="I2684" s="33">
        <v>34.5</v>
      </c>
      <c r="J2684" s="40">
        <f>Database_Overig_Materieel[[#This Row],[Verbruik '[liter/kWh/kg per uur']]]*J$2744</f>
        <v>1.4914362069999999E-4</v>
      </c>
      <c r="K2684" s="40">
        <f>Database_Overig_Materieel[[#This Row],[Verbruik '[liter/kWh/kg per uur']]]*K$2744</f>
        <v>0.36845379030000003</v>
      </c>
      <c r="L2684" s="40">
        <f>Database_Overig_Materieel[[#This Row],[Verbruik '[liter/kWh/kg per uur']]]*L$2744</f>
        <v>91.93296869800001</v>
      </c>
      <c r="M2684" s="40">
        <f>Database_Overig_Materieel[[#This Row],[Verbruik '[liter/kWh/kg per uur']]]*M$2744</f>
        <v>5.7748912289999998E-6</v>
      </c>
      <c r="N2684" s="40">
        <f>Database_Overig_Materieel[[#This Row],[Verbruik '[liter/kWh/kg per uur']]]*N$2744</f>
        <v>6.6801756200000006E-2</v>
      </c>
      <c r="O2684" s="40">
        <f>Database_Overig_Materieel[[#This Row],[Verbruik '[liter/kWh/kg per uur']]]*O$2744</f>
        <v>0.33046912296000003</v>
      </c>
      <c r="P2684" s="40">
        <f>Database_Overig_Materieel[[#This Row],[Verbruik '[liter/kWh/kg per uur']]]*P$2744</f>
        <v>0.14527560737</v>
      </c>
      <c r="Q2684" s="40">
        <f>Database_Overig_Materieel[[#This Row],[Verbruik '[liter/kWh/kg per uur']]]*Q$2744</f>
        <v>51.694806527399997</v>
      </c>
      <c r="R2684" s="40">
        <f>Database_Overig_Materieel[[#This Row],[Verbruik '[liter/kWh/kg per uur']]]*R$2744</f>
        <v>33.9351596355</v>
      </c>
      <c r="S2684" s="40">
        <f>Database_Overig_Materieel[[#This Row],[Verbruik '[liter/kWh/kg per uur']]]*S$2744</f>
        <v>2243.6298550500005</v>
      </c>
      <c r="T2684" s="40">
        <f>Database_Overig_Materieel[[#This Row],[Verbruik '[liter/kWh/kg per uur']]]*T$2744</f>
        <v>14.976906061599999</v>
      </c>
      <c r="U2684" s="40"/>
      <c r="V2684" s="40"/>
      <c r="W2684" s="40"/>
      <c r="X2684" s="40"/>
      <c r="Y2684" s="40"/>
      <c r="Z2684" s="40"/>
      <c r="AA2684" s="40"/>
      <c r="AB2684" s="40"/>
      <c r="AC2684" s="40"/>
      <c r="AD2684" s="40"/>
      <c r="AE2684" s="40"/>
      <c r="AF2684" s="40"/>
      <c r="AG2684" s="40"/>
      <c r="AH2684" s="40"/>
      <c r="AI2684" s="40"/>
      <c r="AJ2684" s="40"/>
      <c r="AK2684" s="40"/>
      <c r="AL2684" s="40"/>
      <c r="AM2684" s="40"/>
      <c r="AN2684" s="40"/>
      <c r="AO2684" s="40"/>
      <c r="AP2684" s="40">
        <f>Database_Overig_Materieel[[#This Row],[Verbruik '[liter/kWh/kg per uur']]]*AP$2744</f>
        <v>164.72922994700002</v>
      </c>
      <c r="AQ2684" s="40"/>
      <c r="AR2684" s="40"/>
      <c r="AS2684" s="40">
        <f>Database_Overig_Materieel[[#This Row],[Verbruik '[liter/kWh/kg per uur']]]*AS$2744</f>
        <v>773.33504078999999</v>
      </c>
      <c r="AT2684" s="40"/>
      <c r="AU2684" s="40"/>
      <c r="AV2684" s="40"/>
      <c r="AW2684" s="40">
        <f>Database_Overig_Materieel[[#This Row],[Verbruik '[liter/kWh/kg per uur']]]*AW$2744</f>
        <v>1.29673397236</v>
      </c>
      <c r="AX2684" s="40">
        <f>Database_Overig_Materieel[[#This Row],[Verbruik '[liter/kWh/kg per uur']]]*AX$2744</f>
        <v>4.2117908640000009E-3</v>
      </c>
      <c r="AY2684" s="40">
        <f>Database_Overig_Materieel[[#This Row],[Verbruik '[liter/kWh/kg per uur']]]*AY$2744</f>
        <v>16.3383885541</v>
      </c>
      <c r="AZ2684" s="40">
        <f>Database_Overig_Materieel[[#This Row],[Verbruik '[liter/kWh/kg per uur']]]*AZ$2744</f>
        <v>0</v>
      </c>
      <c r="BA2684" s="40"/>
      <c r="BB2684" s="40"/>
      <c r="BC2684" s="40"/>
      <c r="BD2684" s="40"/>
      <c r="BE2684" s="40"/>
      <c r="BG2684" s="33" t="s">
        <v>885</v>
      </c>
      <c r="BH2684" s="33" t="s">
        <v>135</v>
      </c>
    </row>
    <row r="2685" spans="1:60">
      <c r="A2685" s="33" t="s">
        <v>997</v>
      </c>
      <c r="B2685" s="33" t="s">
        <v>936</v>
      </c>
      <c r="C2685" s="33" t="s">
        <v>938</v>
      </c>
      <c r="D2685" s="33" t="s">
        <v>984</v>
      </c>
      <c r="E2685" s="33" t="s">
        <v>829</v>
      </c>
      <c r="F2685" s="45">
        <f>F2673*3.1</f>
        <v>198.369</v>
      </c>
      <c r="G2685" s="41">
        <f>Database_Overig_Materieel[[#This Row],[Verbruik '[liter/kWh/kg per uur']]]*G$2745</f>
        <v>12.893180018598001</v>
      </c>
      <c r="H2685" s="108">
        <v>100</v>
      </c>
      <c r="I2685" s="33">
        <v>3.6</v>
      </c>
      <c r="J2685" s="40">
        <f>Database_Overig_Materieel[[#This Row],[Verbruik '[liter/kWh/kg per uur']]]*J$2745</f>
        <v>3.5508051000000002E-3</v>
      </c>
      <c r="K2685" s="40">
        <f>Database_Overig_Materieel[[#This Row],[Verbruik '[liter/kWh/kg per uur']]]*K$2745</f>
        <v>0.31143933000000001</v>
      </c>
      <c r="L2685" s="40">
        <f>Database_Overig_Materieel[[#This Row],[Verbruik '[liter/kWh/kg per uur']]]*L$2745</f>
        <v>44.633025000000004</v>
      </c>
      <c r="M2685" s="40">
        <f>Database_Overig_Materieel[[#This Row],[Verbruik '[liter/kWh/kg per uur']]]*M$2745</f>
        <v>4.4831394000000001E-6</v>
      </c>
      <c r="N2685" s="40">
        <f>Database_Overig_Materieel[[#This Row],[Verbruik '[liter/kWh/kg per uur']]]*N$2745</f>
        <v>5.8122117000000001E-2</v>
      </c>
      <c r="O2685" s="40">
        <f>Database_Overig_Materieel[[#This Row],[Verbruik '[liter/kWh/kg per uur']]]*O$2745</f>
        <v>0.42649334999999999</v>
      </c>
      <c r="P2685" s="40">
        <f>Database_Overig_Materieel[[#This Row],[Verbruik '[liter/kWh/kg per uur']]]*P$2745</f>
        <v>6.0304176000000001E-2</v>
      </c>
      <c r="Q2685" s="40">
        <f>Database_Overig_Materieel[[#This Row],[Verbruik '[liter/kWh/kg per uur']]]*Q$2745</f>
        <v>84.306825000000003</v>
      </c>
      <c r="R2685" s="40">
        <f>Database_Overig_Materieel[[#This Row],[Verbruik '[liter/kWh/kg per uur']]]*R$2745</f>
        <v>1.3965177600000001</v>
      </c>
      <c r="S2685" s="40">
        <f>Database_Overig_Materieel[[#This Row],[Verbruik '[liter/kWh/kg per uur']]]*S$2745</f>
        <v>4582.3239000000003</v>
      </c>
      <c r="T2685" s="40">
        <f>Database_Overig_Materieel[[#This Row],[Verbruik '[liter/kWh/kg per uur']]]*T$2745</f>
        <v>2.6383076999999999</v>
      </c>
      <c r="U2685" s="40"/>
      <c r="V2685" s="40"/>
      <c r="W2685" s="40"/>
      <c r="X2685" s="40"/>
      <c r="Y2685" s="40"/>
      <c r="Z2685" s="40"/>
      <c r="AA2685" s="40"/>
      <c r="AB2685" s="40"/>
      <c r="AC2685" s="40"/>
      <c r="AD2685" s="40"/>
      <c r="AE2685" s="40"/>
      <c r="AF2685" s="40"/>
      <c r="AG2685" s="40"/>
      <c r="AH2685" s="40"/>
      <c r="AI2685" s="40"/>
      <c r="AJ2685" s="40"/>
      <c r="AK2685" s="40"/>
      <c r="AL2685" s="40"/>
      <c r="AM2685" s="40"/>
      <c r="AN2685" s="40"/>
      <c r="AO2685" s="40"/>
      <c r="AP2685" s="40">
        <f>Database_Overig_Materieel[[#This Row],[Verbruik '[liter/kWh/kg per uur']]]*AP$2745</f>
        <v>1725.8102999999999</v>
      </c>
      <c r="AQ2685" s="40"/>
      <c r="AR2685" s="40"/>
      <c r="AS2685" s="40">
        <f>Database_Overig_Materieel[[#This Row],[Verbruik '[liter/kWh/kg per uur']]]*AS$2745</f>
        <v>608.99282999999991</v>
      </c>
      <c r="AT2685" s="40"/>
      <c r="AU2685" s="40"/>
      <c r="AV2685" s="40"/>
      <c r="AW2685" s="40">
        <f>Database_Overig_Materieel[[#This Row],[Verbruik '[liter/kWh/kg per uur']]]*AW$2745</f>
        <v>1725.8102999999999</v>
      </c>
      <c r="AX2685" s="40">
        <f>Database_Overig_Materieel[[#This Row],[Verbruik '[liter/kWh/kg per uur']]]*AX$2745</f>
        <v>8.1331289999999994E-3</v>
      </c>
      <c r="AY2685" s="40">
        <f>Database_Overig_Materieel[[#This Row],[Verbruik '[liter/kWh/kg per uur']]]*AY$2745</f>
        <v>15.095880900000001</v>
      </c>
      <c r="AZ2685" s="40">
        <f>Database_Overig_Materieel[[#This Row],[Verbruik '[liter/kWh/kg per uur']]]*AZ$2745</f>
        <v>1.78928838E-3</v>
      </c>
      <c r="BA2685" s="40"/>
      <c r="BB2685" s="40"/>
      <c r="BC2685" s="40"/>
      <c r="BD2685" s="40"/>
      <c r="BE2685" s="40"/>
      <c r="BF2685" s="33" t="s">
        <v>892</v>
      </c>
      <c r="BG2685" s="33" t="s">
        <v>893</v>
      </c>
      <c r="BH2685" s="33" t="s">
        <v>854</v>
      </c>
    </row>
    <row r="2686" spans="1:60">
      <c r="A2686" s="33" t="s">
        <v>998</v>
      </c>
      <c r="B2686" s="33" t="s">
        <v>936</v>
      </c>
      <c r="C2686" s="33" t="s">
        <v>938</v>
      </c>
      <c r="D2686" s="33" t="s">
        <v>984</v>
      </c>
      <c r="E2686" s="33" t="s">
        <v>829</v>
      </c>
      <c r="F2686" s="45">
        <f>F2673*3.1</f>
        <v>198.369</v>
      </c>
      <c r="G2686" s="41">
        <f>Database_Overig_Materieel[[#This Row],[Verbruik '[liter/kWh/kg per uur']]]*G$2746</f>
        <v>16.542449340758999</v>
      </c>
      <c r="H2686" s="108">
        <v>100</v>
      </c>
      <c r="I2686" s="33">
        <v>3.6</v>
      </c>
      <c r="J2686" s="40">
        <f>Database_Overig_Materieel[[#This Row],[Verbruik '[liter/kWh/kg per uur']]]*J$2746</f>
        <v>2.7970029000000001E-3</v>
      </c>
      <c r="K2686" s="40">
        <f>Database_Overig_Materieel[[#This Row],[Verbruik '[liter/kWh/kg per uur']]]*K$2746</f>
        <v>1.1564912700000001</v>
      </c>
      <c r="L2686" s="40">
        <f>Database_Overig_Materieel[[#This Row],[Verbruik '[liter/kWh/kg per uur']]]*L$2746</f>
        <v>137.469717</v>
      </c>
      <c r="M2686" s="40">
        <f>Database_Overig_Materieel[[#This Row],[Verbruik '[liter/kWh/kg per uur']]]*M$2746</f>
        <v>9.6208965000000001E-6</v>
      </c>
      <c r="N2686" s="40">
        <f>Database_Overig_Materieel[[#This Row],[Verbruik '[liter/kWh/kg per uur']]]*N$2746</f>
        <v>5.1972678000000008E-2</v>
      </c>
      <c r="O2686" s="40">
        <f>Database_Overig_Materieel[[#This Row],[Verbruik '[liter/kWh/kg per uur']]]*O$2746</f>
        <v>0.41260751999999995</v>
      </c>
      <c r="P2686" s="40">
        <f>Database_Overig_Materieel[[#This Row],[Verbruik '[liter/kWh/kg per uur']]]*P$2746</f>
        <v>4.9393880999999994E-2</v>
      </c>
      <c r="Q2686" s="40">
        <f>Database_Overig_Materieel[[#This Row],[Verbruik '[liter/kWh/kg per uur']]]*Q$2746</f>
        <v>73.991636999999997</v>
      </c>
      <c r="R2686" s="40">
        <f>Database_Overig_Materieel[[#This Row],[Verbruik '[liter/kWh/kg per uur']]]*R$2746</f>
        <v>1.18227924</v>
      </c>
      <c r="S2686" s="40">
        <f>Database_Overig_Materieel[[#This Row],[Verbruik '[liter/kWh/kg per uur']]]*S$2746</f>
        <v>4324.4441999999999</v>
      </c>
      <c r="T2686" s="40">
        <f>Database_Overig_Materieel[[#This Row],[Verbruik '[liter/kWh/kg per uur']]]*T$2746</f>
        <v>2.6184707999999999</v>
      </c>
      <c r="U2686" s="40"/>
      <c r="V2686" s="40"/>
      <c r="W2686" s="40"/>
      <c r="X2686" s="40"/>
      <c r="Y2686" s="40"/>
      <c r="Z2686" s="40"/>
      <c r="AA2686" s="40"/>
      <c r="AB2686" s="40"/>
      <c r="AC2686" s="40"/>
      <c r="AD2686" s="40"/>
      <c r="AE2686" s="40"/>
      <c r="AF2686" s="40"/>
      <c r="AG2686" s="40"/>
      <c r="AH2686" s="40"/>
      <c r="AI2686" s="40"/>
      <c r="AJ2686" s="40"/>
      <c r="AK2686" s="40"/>
      <c r="AL2686" s="40"/>
      <c r="AM2686" s="40"/>
      <c r="AN2686" s="40"/>
      <c r="AO2686" s="40"/>
      <c r="AP2686" s="40">
        <f>Database_Overig_Materieel[[#This Row],[Verbruik '[liter/kWh/kg per uur']]]*AP$2746</f>
        <v>47.410190999999998</v>
      </c>
      <c r="AQ2686" s="40"/>
      <c r="AR2686" s="40"/>
      <c r="AS2686" s="40">
        <f>Database_Overig_Materieel[[#This Row],[Verbruik '[liter/kWh/kg per uur']]]*AS$2746</f>
        <v>2162.2221</v>
      </c>
      <c r="AT2686" s="40"/>
      <c r="AU2686" s="40"/>
      <c r="AV2686" s="40"/>
      <c r="AW2686" s="40">
        <f>Database_Overig_Materieel[[#This Row],[Verbruik '[liter/kWh/kg per uur']]]*AW$2746</f>
        <v>47.410190999999998</v>
      </c>
      <c r="AX2686" s="40">
        <f>Database_Overig_Materieel[[#This Row],[Verbruik '[liter/kWh/kg per uur']]]*AX$2746</f>
        <v>6.3874817999999989E-3</v>
      </c>
      <c r="AY2686" s="40">
        <f>Database_Overig_Materieel[[#This Row],[Verbruik '[liter/kWh/kg per uur']]]*AY$2746</f>
        <v>11.2475223</v>
      </c>
      <c r="AZ2686" s="40">
        <f>Database_Overig_Materieel[[#This Row],[Verbruik '[liter/kWh/kg per uur']]]*AZ$2746</f>
        <v>1.8368969399999999E-3</v>
      </c>
      <c r="BA2686" s="40"/>
      <c r="BB2686" s="40"/>
      <c r="BC2686" s="40"/>
      <c r="BD2686" s="40"/>
      <c r="BE2686" s="40"/>
      <c r="BF2686" s="33" t="s">
        <v>892</v>
      </c>
      <c r="BG2686" s="33" t="s">
        <v>893</v>
      </c>
      <c r="BH2686" s="33" t="s">
        <v>854</v>
      </c>
    </row>
    <row r="2687" spans="1:60">
      <c r="A2687" s="33" t="s">
        <v>999</v>
      </c>
      <c r="B2687" s="33" t="s">
        <v>936</v>
      </c>
      <c r="C2687" s="33" t="s">
        <v>938</v>
      </c>
      <c r="D2687" s="33" t="s">
        <v>1000</v>
      </c>
      <c r="E2687" s="33" t="s">
        <v>829</v>
      </c>
      <c r="F2687" s="45">
        <v>10</v>
      </c>
      <c r="G2687" s="41">
        <f>Database_Overig_Materieel[[#This Row],[Verbruik '[liter/kWh/kg per uur']]]*G$2733</f>
        <v>3.1869949046983259</v>
      </c>
      <c r="H2687" s="108">
        <v>125</v>
      </c>
      <c r="I2687" s="33">
        <v>35.9</v>
      </c>
      <c r="J2687" s="40">
        <f>Database_Overig_Materieel[[#This Row],[Verbruik '[liter/kWh/kg per uur']]]*J$2733</f>
        <v>1.6100000000000002E-5</v>
      </c>
      <c r="K2687" s="33">
        <f>Database_Overig_Materieel[[#This Row],[Verbruik '[liter/kWh/kg per uur']]]*K$2733</f>
        <v>0.23499709000000002</v>
      </c>
      <c r="L2687" s="33">
        <f>Database_Overig_Materieel[[#This Row],[Verbruik '[liter/kWh/kg per uur']]]*L$2733</f>
        <v>34.394199</v>
      </c>
      <c r="M2687" s="33">
        <f>Database_Overig_Materieel[[#This Row],[Verbruik '[liter/kWh/kg per uur']]]*M$2733</f>
        <v>5.9900000000000002E-6</v>
      </c>
      <c r="N2687" s="33">
        <f>Database_Overig_Materieel[[#This Row],[Verbruik '[liter/kWh/kg per uur']]]*N$2733</f>
        <v>1.132406E-2</v>
      </c>
      <c r="O2687" s="33">
        <f>Database_Overig_Materieel[[#This Row],[Verbruik '[liter/kWh/kg per uur']]]*O$2733</f>
        <v>0.1008739</v>
      </c>
      <c r="P2687" s="33">
        <f>Database_Overig_Materieel[[#This Row],[Verbruik '[liter/kWh/kg per uur']]]*P$2733</f>
        <v>1.9300270000000001E-2</v>
      </c>
      <c r="Q2687" s="33">
        <f>Database_Overig_Materieel[[#This Row],[Verbruik '[liter/kWh/kg per uur']]]*Q$2733</f>
        <v>8.5150821000000008</v>
      </c>
      <c r="R2687" s="33">
        <f>Database_Overig_Materieel[[#This Row],[Verbruik '[liter/kWh/kg per uur']]]*R$2733</f>
        <v>0.16863027999999999</v>
      </c>
      <c r="S2687" s="33">
        <f>Database_Overig_Materieel[[#This Row],[Verbruik '[liter/kWh/kg per uur']]]*S$2733</f>
        <v>564.23311000000001</v>
      </c>
      <c r="T2687" s="33">
        <f>Database_Overig_Materieel[[#This Row],[Verbruik '[liter/kWh/kg per uur']]]*T$2733</f>
        <v>3.0289419999999997E-2</v>
      </c>
      <c r="AP2687" s="33">
        <f>Database_Overig_Materieel[[#This Row],[Verbruik '[liter/kWh/kg per uur']]]*AP$2733</f>
        <v>3.8251134999999996</v>
      </c>
      <c r="AS2687" s="33">
        <f>Database_Overig_Materieel[[#This Row],[Verbruik '[liter/kWh/kg per uur']]]*AS$2733</f>
        <v>524.53286000000003</v>
      </c>
      <c r="AW2687" s="33">
        <f>Database_Overig_Materieel[[#This Row],[Verbruik '[liter/kWh/kg per uur']]]*AW$2733</f>
        <v>4.9554630000000002E-2</v>
      </c>
      <c r="AX2687" s="33">
        <f>Database_Overig_Materieel[[#This Row],[Verbruik '[liter/kWh/kg per uur']]]*AX$2733</f>
        <v>3.62101E-3</v>
      </c>
      <c r="AY2687" s="33">
        <f>Database_Overig_Materieel[[#This Row],[Verbruik '[liter/kWh/kg per uur']]]*AY$2733</f>
        <v>0.87994409000000007</v>
      </c>
      <c r="AZ2687" s="33">
        <f>Database_Overig_Materieel[[#This Row],[Verbruik '[liter/kWh/kg per uur']]]*AZ$2733</f>
        <v>0</v>
      </c>
      <c r="BG2687" s="33" t="s">
        <v>985</v>
      </c>
      <c r="BH2687" s="33" t="s">
        <v>135</v>
      </c>
    </row>
    <row r="2688" spans="1:60">
      <c r="A2688" s="33" t="s">
        <v>1001</v>
      </c>
      <c r="B2688" s="33" t="s">
        <v>936</v>
      </c>
      <c r="C2688" s="33" t="s">
        <v>938</v>
      </c>
      <c r="D2688" s="33" t="s">
        <v>1000</v>
      </c>
      <c r="E2688" s="33" t="s">
        <v>829</v>
      </c>
      <c r="F2688" s="45">
        <f>$F2687*($I2687/Database_Overig_Materieel[[#This Row],[Stookwaarde '[MJ/liter']]])</f>
        <v>10.845921450151057</v>
      </c>
      <c r="G2688" s="41">
        <f>Database_Overig_Materieel[[#This Row],[Verbruik '[liter/kWh/kg per uur']]]*G$2734</f>
        <v>3.0451051374353839</v>
      </c>
      <c r="H2688" s="108">
        <v>125</v>
      </c>
      <c r="I2688" s="33">
        <v>33.1</v>
      </c>
      <c r="J2688" s="40">
        <f>Database_Overig_Materieel[[#This Row],[Verbruik '[liter/kWh/kg per uur']]]*J$2734</f>
        <v>5.3975921148036257E-5</v>
      </c>
      <c r="K2688" s="33">
        <f>Database_Overig_Materieel[[#This Row],[Verbruik '[liter/kWh/kg per uur']]]*K$2734</f>
        <v>0.32058372453172207</v>
      </c>
      <c r="L2688" s="33">
        <f>Database_Overig_Materieel[[#This Row],[Verbruik '[liter/kWh/kg per uur']]]*L$2734</f>
        <v>39.549304413897282</v>
      </c>
      <c r="M2688" s="33">
        <f>Database_Overig_Materieel[[#This Row],[Verbruik '[liter/kWh/kg per uur']]]*M$2734</f>
        <v>5.2599248338368578E-7</v>
      </c>
      <c r="N2688" s="33">
        <f>Database_Overig_Materieel[[#This Row],[Verbruik '[liter/kWh/kg per uur']]]*N$2734</f>
        <v>7.9470886404833831E-3</v>
      </c>
      <c r="O2688" s="33">
        <f>Database_Overig_Materieel[[#This Row],[Verbruik '[liter/kWh/kg per uur']]]*O$2734</f>
        <v>8.1586079697885186E-2</v>
      </c>
      <c r="P2688" s="33">
        <f>Database_Overig_Materieel[[#This Row],[Verbruik '[liter/kWh/kg per uur']]]*P$2734</f>
        <v>1.7537930906344413E-2</v>
      </c>
      <c r="Q2688" s="33">
        <f>Database_Overig_Materieel[[#This Row],[Verbruik '[liter/kWh/kg per uur']]]*Q$2734</f>
        <v>7.852648321752266</v>
      </c>
      <c r="R2688" s="33">
        <f>Database_Overig_Materieel[[#This Row],[Verbruik '[liter/kWh/kg per uur']]]*R$2734</f>
        <v>6.2370360664652562E-2</v>
      </c>
      <c r="S2688" s="33">
        <f>Database_Overig_Materieel[[#This Row],[Verbruik '[liter/kWh/kg per uur']]]*S$2734</f>
        <v>235.48595238670694</v>
      </c>
      <c r="T2688" s="33">
        <f>Database_Overig_Materieel[[#This Row],[Verbruik '[liter/kWh/kg per uur']]]*T$2734</f>
        <v>3.1953494561933533E-2</v>
      </c>
      <c r="AP2688" s="33">
        <f>Database_Overig_Materieel[[#This Row],[Verbruik '[liter/kWh/kg per uur']]]*AP$2734</f>
        <v>4.6747510377643504</v>
      </c>
      <c r="AS2688" s="33">
        <f>Database_Overig_Materieel[[#This Row],[Verbruik '[liter/kWh/kg per uur']]]*AS$2734</f>
        <v>683.71002280966763</v>
      </c>
      <c r="AW2688" s="33">
        <f>Database_Overig_Materieel[[#This Row],[Verbruik '[liter/kWh/kg per uur']]]*AW$2734</f>
        <v>3.0533069305135951E-2</v>
      </c>
      <c r="AX2688" s="33">
        <f>Database_Overig_Materieel[[#This Row],[Verbruik '[liter/kWh/kg per uur']]]*AX$2734</f>
        <v>1.0428527009063444E-3</v>
      </c>
      <c r="AY2688" s="33">
        <f>Database_Overig_Materieel[[#This Row],[Verbruik '[liter/kWh/kg per uur']]]*AY$2734</f>
        <v>1.1587731501510574</v>
      </c>
      <c r="AZ2688" s="33">
        <f>Database_Overig_Materieel[[#This Row],[Verbruik '[liter/kWh/kg per uur']]]*AZ$2734</f>
        <v>0</v>
      </c>
      <c r="BG2688" s="33" t="s">
        <v>885</v>
      </c>
      <c r="BH2688" s="33" t="s">
        <v>135</v>
      </c>
    </row>
    <row r="2689" spans="1:60">
      <c r="A2689" s="33" t="s">
        <v>1002</v>
      </c>
      <c r="B2689" s="33" t="s">
        <v>936</v>
      </c>
      <c r="C2689" s="33" t="s">
        <v>938</v>
      </c>
      <c r="D2689" s="33" t="s">
        <v>1000</v>
      </c>
      <c r="E2689" s="33" t="s">
        <v>829</v>
      </c>
      <c r="F2689" s="45">
        <f>$F2687*($I2687/Database_Overig_Materieel[[#This Row],[Stookwaarde '[MJ/liter']]])</f>
        <v>10.466472303206997</v>
      </c>
      <c r="G2689" s="41">
        <f>Database_Overig_Materieel[[#This Row],[Verbruik '[liter/kWh/kg per uur']]]*G$2735</f>
        <v>2.4243270042747156</v>
      </c>
      <c r="H2689" s="108">
        <v>125</v>
      </c>
      <c r="I2689" s="33">
        <v>34.299999999999997</v>
      </c>
      <c r="J2689" s="40">
        <f>Database_Overig_Materieel[[#This Row],[Verbruik '[liter/kWh/kg per uur']]]*J$2735</f>
        <v>3.9207195918367344E-5</v>
      </c>
      <c r="K2689" s="33">
        <f>Database_Overig_Materieel[[#This Row],[Verbruik '[liter/kWh/kg per uur']]]*K$2735</f>
        <v>8.5732517871720121E-2</v>
      </c>
      <c r="L2689" s="33">
        <f>Database_Overig_Materieel[[#This Row],[Verbruik '[liter/kWh/kg per uur']]]*L$2735</f>
        <v>14.779000099125366</v>
      </c>
      <c r="M2689" s="33">
        <f>Database_Overig_Materieel[[#This Row],[Verbruik '[liter/kWh/kg per uur']]]*M$2735</f>
        <v>1.3939771137026238E-6</v>
      </c>
      <c r="N2689" s="33">
        <f>Database_Overig_Materieel[[#This Row],[Verbruik '[liter/kWh/kg per uur']]]*N$2735</f>
        <v>1.2161339562682217E-2</v>
      </c>
      <c r="O2689" s="33">
        <f>Database_Overig_Materieel[[#This Row],[Verbruik '[liter/kWh/kg per uur']]]*O$2735</f>
        <v>0.13209842498542274</v>
      </c>
      <c r="P2689" s="33">
        <f>Database_Overig_Materieel[[#This Row],[Verbruik '[liter/kWh/kg per uur']]]*P$2735</f>
        <v>5.6704562857142864E-2</v>
      </c>
      <c r="Q2689" s="33">
        <f>Database_Overig_Materieel[[#This Row],[Verbruik '[liter/kWh/kg per uur']]]*Q$2735</f>
        <v>8.2378432157434407</v>
      </c>
      <c r="R2689" s="33">
        <f>Database_Overig_Materieel[[#This Row],[Verbruik '[liter/kWh/kg per uur']]]*R$2735</f>
        <v>5.9562670708454819</v>
      </c>
      <c r="S2689" s="33">
        <f>Database_Overig_Materieel[[#This Row],[Verbruik '[liter/kWh/kg per uur']]]*S$2735</f>
        <v>492.61334218658891</v>
      </c>
      <c r="T2689" s="33">
        <f>Database_Overig_Materieel[[#This Row],[Verbruik '[liter/kWh/kg per uur']]]*T$2735</f>
        <v>2.5573810871720113</v>
      </c>
      <c r="AP2689" s="33">
        <f>Database_Overig_Materieel[[#This Row],[Verbruik '[liter/kWh/kg per uur']]]*AP$2735</f>
        <v>82.08420078134111</v>
      </c>
      <c r="AS2689" s="33">
        <f>Database_Overig_Materieel[[#This Row],[Verbruik '[liter/kWh/kg per uur']]]*AS$2735</f>
        <v>180.88644125364431</v>
      </c>
      <c r="AW2689" s="33">
        <f>Database_Overig_Materieel[[#This Row],[Verbruik '[liter/kWh/kg per uur']]]*AW$2735</f>
        <v>0.6405011209620991</v>
      </c>
      <c r="AX2689" s="33">
        <f>Database_Overig_Materieel[[#This Row],[Verbruik '[liter/kWh/kg per uur']]]*AX$2735</f>
        <v>1.0610386297376093E-3</v>
      </c>
      <c r="AY2689" s="33">
        <f>Database_Overig_Materieel[[#This Row],[Verbruik '[liter/kWh/kg per uur']]]*AY$2735</f>
        <v>2.9449840720116622</v>
      </c>
      <c r="AZ2689" s="33">
        <f>Database_Overig_Materieel[[#This Row],[Verbruik '[liter/kWh/kg per uur']]]*AZ$2735</f>
        <v>0</v>
      </c>
      <c r="BG2689" s="33" t="s">
        <v>885</v>
      </c>
      <c r="BH2689" s="33" t="s">
        <v>135</v>
      </c>
    </row>
    <row r="2690" spans="1:60">
      <c r="A2690" s="33" t="s">
        <v>1003</v>
      </c>
      <c r="B2690" s="33" t="s">
        <v>936</v>
      </c>
      <c r="C2690" s="33" t="s">
        <v>938</v>
      </c>
      <c r="D2690" s="33" t="s">
        <v>1000</v>
      </c>
      <c r="E2690" s="33" t="s">
        <v>829</v>
      </c>
      <c r="F2690" s="45">
        <f>$F2687*($I2687/Database_Overig_Materieel[[#This Row],[Stookwaarde '[MJ/liter']]])</f>
        <v>10.405797101449274</v>
      </c>
      <c r="G2690" s="41">
        <f>Database_Overig_Materieel[[#This Row],[Verbruik '[liter/kWh/kg per uur']]]*G$2736</f>
        <v>3.1305290837982311</v>
      </c>
      <c r="H2690" s="108">
        <v>125</v>
      </c>
      <c r="I2690" s="33">
        <v>34.5</v>
      </c>
      <c r="J2690" s="40">
        <f>Database_Overig_Materieel[[#This Row],[Verbruik '[liter/kWh/kg per uur']]]*J$2736</f>
        <v>2.1868094782608687E-5</v>
      </c>
      <c r="K2690" s="33">
        <f>Database_Overig_Materieel[[#This Row],[Verbruik '[liter/kWh/kg per uur']]]*K$2736</f>
        <v>5.4846001275362308E-2</v>
      </c>
      <c r="L2690" s="33">
        <f>Database_Overig_Materieel[[#This Row],[Verbruik '[liter/kWh/kg per uur']]]*L$2736</f>
        <v>14.066838518840576</v>
      </c>
      <c r="M2690" s="33">
        <f>Database_Overig_Materieel[[#This Row],[Verbruik '[liter/kWh/kg per uur']]]*M$2736</f>
        <v>8.5359482028985491E-7</v>
      </c>
      <c r="N2690" s="33">
        <f>Database_Overig_Materieel[[#This Row],[Verbruik '[liter/kWh/kg per uur']]]*N$2736</f>
        <v>1.0313913913043477E-2</v>
      </c>
      <c r="O2690" s="33">
        <f>Database_Overig_Materieel[[#This Row],[Verbruik '[liter/kWh/kg per uur']]]*O$2736</f>
        <v>8.6002341768115928E-2</v>
      </c>
      <c r="P2690" s="33">
        <f>Database_Overig_Materieel[[#This Row],[Verbruik '[liter/kWh/kg per uur']]]*P$2736</f>
        <v>3.178630744927536E-2</v>
      </c>
      <c r="Q2690" s="33">
        <f>Database_Overig_Materieel[[#This Row],[Verbruik '[liter/kWh/kg per uur']]]*Q$2736</f>
        <v>7.9318273733333315</v>
      </c>
      <c r="R2690" s="33">
        <f>Database_Overig_Materieel[[#This Row],[Verbruik '[liter/kWh/kg per uur']]]*R$2736</f>
        <v>5.300845301159419</v>
      </c>
      <c r="S2690" s="33">
        <f>Database_Overig_Materieel[[#This Row],[Verbruik '[liter/kWh/kg per uur']]]*S$2736</f>
        <v>341.24464043478258</v>
      </c>
      <c r="T2690" s="33">
        <f>Database_Overig_Materieel[[#This Row],[Verbruik '[liter/kWh/kg per uur']]]*T$2736</f>
        <v>2.3399707408695649</v>
      </c>
      <c r="AP2690" s="33">
        <f>Database_Overig_Materieel[[#This Row],[Verbruik '[liter/kWh/kg per uur']]]*AP$2736</f>
        <v>25.62544705507246</v>
      </c>
      <c r="AS2690" s="33">
        <f>Database_Overig_Materieel[[#This Row],[Verbruik '[liter/kWh/kg per uur']]]*AS$2736</f>
        <v>114.79856423188406</v>
      </c>
      <c r="AW2690" s="33">
        <f>Database_Overig_Materieel[[#This Row],[Verbruik '[liter/kWh/kg per uur']]]*AW$2736</f>
        <v>0.20198755188405795</v>
      </c>
      <c r="AX2690" s="33">
        <f>Database_Overig_Materieel[[#This Row],[Verbruik '[liter/kWh/kg per uur']]]*AX$2736</f>
        <v>6.3509389275362307E-4</v>
      </c>
      <c r="AY2690" s="33">
        <f>Database_Overig_Materieel[[#This Row],[Verbruik '[liter/kWh/kg per uur']]]*AY$2736</f>
        <v>2.538907417101449</v>
      </c>
      <c r="AZ2690" s="33">
        <f>Database_Overig_Materieel[[#This Row],[Verbruik '[liter/kWh/kg per uur']]]*AZ$2736</f>
        <v>0</v>
      </c>
      <c r="BG2690" s="33" t="s">
        <v>885</v>
      </c>
      <c r="BH2690" s="33" t="s">
        <v>135</v>
      </c>
    </row>
    <row r="2691" spans="1:60">
      <c r="A2691" s="33" t="s">
        <v>1004</v>
      </c>
      <c r="B2691" s="33" t="s">
        <v>936</v>
      </c>
      <c r="C2691" s="33" t="s">
        <v>938</v>
      </c>
      <c r="D2691" s="33" t="s">
        <v>1000</v>
      </c>
      <c r="E2691" s="33" t="s">
        <v>829</v>
      </c>
      <c r="F2691" s="45">
        <v>10</v>
      </c>
      <c r="G2691" s="41">
        <f>Database_Overig_Materieel[[#This Row],[Verbruik '[liter/kWh/kg per uur']]]*G$2737</f>
        <v>2.9875556377082257</v>
      </c>
      <c r="H2691" s="108">
        <v>125</v>
      </c>
      <c r="I2691" s="33">
        <v>35.9</v>
      </c>
      <c r="J2691" s="40">
        <f>Database_Overig_Materieel[[#This Row],[Verbruik '[liter/kWh/kg per uur']]]*J$2737</f>
        <v>1.75657E-5</v>
      </c>
      <c r="K2691" s="33">
        <f>Database_Overig_Materieel[[#This Row],[Verbruik '[liter/kWh/kg per uur']]]*K$2737</f>
        <v>0.23772814</v>
      </c>
      <c r="L2691" s="33">
        <f>Database_Overig_Materieel[[#This Row],[Verbruik '[liter/kWh/kg per uur']]]*L$2737</f>
        <v>34.693345000000001</v>
      </c>
      <c r="M2691" s="33">
        <f>Database_Overig_Materieel[[#This Row],[Verbruik '[liter/kWh/kg per uur']]]*M$2737</f>
        <v>6.0382299999999996E-6</v>
      </c>
      <c r="N2691" s="33">
        <f>Database_Overig_Materieel[[#This Row],[Verbruik '[liter/kWh/kg per uur']]]*N$2737</f>
        <v>1.1418290000000001E-2</v>
      </c>
      <c r="O2691" s="33">
        <f>Database_Overig_Materieel[[#This Row],[Verbruik '[liter/kWh/kg per uur']]]*O$2737</f>
        <v>6.6512870000000002E-2</v>
      </c>
      <c r="P2691" s="33">
        <f>Database_Overig_Materieel[[#This Row],[Verbruik '[liter/kWh/kg per uur']]]*P$2737</f>
        <v>1.0215700000000001E-2</v>
      </c>
      <c r="Q2691" s="33">
        <f>Database_Overig_Materieel[[#This Row],[Verbruik '[liter/kWh/kg per uur']]]*Q$2737</f>
        <v>8.5502149999999997</v>
      </c>
      <c r="R2691" s="33">
        <f>Database_Overig_Materieel[[#This Row],[Verbruik '[liter/kWh/kg per uur']]]*R$2737</f>
        <v>0.17058931999999999</v>
      </c>
      <c r="S2691" s="33">
        <f>Database_Overig_Materieel[[#This Row],[Verbruik '[liter/kWh/kg per uur']]]*S$2737</f>
        <v>573.59029999999996</v>
      </c>
      <c r="T2691" s="33">
        <f>Database_Overig_Materieel[[#This Row],[Verbruik '[liter/kWh/kg per uur']]]*T$2737</f>
        <v>3.0709340000000002E-2</v>
      </c>
      <c r="AP2691" s="33">
        <f>Database_Overig_Materieel[[#This Row],[Verbruik '[liter/kWh/kg per uur']]]*AP$2737</f>
        <v>3.9413535999999998</v>
      </c>
      <c r="AS2691" s="33">
        <f>Database_Overig_Materieel[[#This Row],[Verbruik '[liter/kWh/kg per uur']]]*AS$2737</f>
        <v>530.58078999999998</v>
      </c>
      <c r="AW2691" s="33">
        <f>Database_Overig_Materieel[[#This Row],[Verbruik '[liter/kWh/kg per uur']]]*AW$2737</f>
        <v>5.0203379999999999E-2</v>
      </c>
      <c r="AX2691" s="33">
        <f>Database_Overig_Materieel[[#This Row],[Verbruik '[liter/kWh/kg per uur']]]*AX$2737</f>
        <v>3.6440800000000001E-3</v>
      </c>
      <c r="AY2691" s="33">
        <f>Database_Overig_Materieel[[#This Row],[Verbruik '[liter/kWh/kg per uur']]]*AY$2737</f>
        <v>0.89418212999999991</v>
      </c>
      <c r="AZ2691" s="33">
        <f>Database_Overig_Materieel[[#This Row],[Verbruik '[liter/kWh/kg per uur']]]*AZ$2737</f>
        <v>0</v>
      </c>
      <c r="BG2691" s="33" t="s">
        <v>985</v>
      </c>
      <c r="BH2691" s="33" t="s">
        <v>135</v>
      </c>
    </row>
    <row r="2692" spans="1:60">
      <c r="A2692" s="33" t="s">
        <v>1005</v>
      </c>
      <c r="B2692" s="33" t="s">
        <v>936</v>
      </c>
      <c r="C2692" s="33" t="s">
        <v>938</v>
      </c>
      <c r="D2692" s="33" t="s">
        <v>1000</v>
      </c>
      <c r="E2692" s="33" t="s">
        <v>829</v>
      </c>
      <c r="F2692" s="45">
        <f>$F2691*($I2691/Database_Overig_Materieel[[#This Row],[Stookwaarde '[MJ/liter']]])</f>
        <v>10.845921450151057</v>
      </c>
      <c r="G2692" s="41">
        <f>Database_Overig_Materieel[[#This Row],[Verbruik '[liter/kWh/kg per uur']]]*G$2738</f>
        <v>2.8232536501529015</v>
      </c>
      <c r="H2692" s="108">
        <v>125</v>
      </c>
      <c r="I2692" s="33">
        <v>33.1</v>
      </c>
      <c r="J2692" s="40">
        <f>Database_Overig_Materieel[[#This Row],[Verbruik '[liter/kWh/kg per uur']]]*J$2738</f>
        <v>5.5466150755287012E-5</v>
      </c>
      <c r="K2692" s="33">
        <f>Database_Overig_Materieel[[#This Row],[Verbruik '[liter/kWh/kg per uur']]]*K$2738</f>
        <v>0.32341378335347432</v>
      </c>
      <c r="L2692" s="33">
        <f>Database_Overig_Materieel[[#This Row],[Verbruik '[liter/kWh/kg per uur']]]*L$2738</f>
        <v>39.859371954682778</v>
      </c>
      <c r="M2692" s="33">
        <f>Database_Overig_Materieel[[#This Row],[Verbruik '[liter/kWh/kg per uur']]]*M$2738</f>
        <v>5.7659196072507542E-7</v>
      </c>
      <c r="N2692" s="33">
        <f>Database_Overig_Materieel[[#This Row],[Verbruik '[liter/kWh/kg per uur']]]*N$2738</f>
        <v>8.0765889425981879E-3</v>
      </c>
      <c r="O2692" s="33">
        <f>Database_Overig_Materieel[[#This Row],[Verbruik '[liter/kWh/kg per uur']]]*O$2738</f>
        <v>4.597933172205438E-2</v>
      </c>
      <c r="P2692" s="33">
        <f>Database_Overig_Materieel[[#This Row],[Verbruik '[liter/kWh/kg per uur']]]*P$2738</f>
        <v>8.1240073111782472E-3</v>
      </c>
      <c r="Q2692" s="33">
        <f>Database_Overig_Materieel[[#This Row],[Verbruik '[liter/kWh/kg per uur']]]*Q$2738</f>
        <v>8.004549681570996</v>
      </c>
      <c r="R2692" s="33">
        <f>Database_Overig_Materieel[[#This Row],[Verbruik '[liter/kWh/kg per uur']]]*R$2738</f>
        <v>6.4535000513595162E-2</v>
      </c>
      <c r="S2692" s="33">
        <f>Database_Overig_Materieel[[#This Row],[Verbruik '[liter/kWh/kg per uur']]]*S$2738</f>
        <v>245.1851996374622</v>
      </c>
      <c r="T2692" s="33">
        <f>Database_Overig_Materieel[[#This Row],[Verbruik '[liter/kWh/kg per uur']]]*T$2738</f>
        <v>3.2389120996978854E-2</v>
      </c>
      <c r="AP2692" s="33">
        <f>Database_Overig_Materieel[[#This Row],[Verbruik '[liter/kWh/kg per uur']]]*AP$2738</f>
        <v>4.7952052990936558</v>
      </c>
      <c r="AS2692" s="33">
        <f>Database_Overig_Materieel[[#This Row],[Verbruik '[liter/kWh/kg per uur']]]*AS$2738</f>
        <v>689.97719752265857</v>
      </c>
      <c r="AW2692" s="33">
        <f>Database_Overig_Materieel[[#This Row],[Verbruik '[liter/kWh/kg per uur']]]*AW$2738</f>
        <v>3.1205332054380665E-2</v>
      </c>
      <c r="AX2692" s="33">
        <f>Database_Overig_Materieel[[#This Row],[Verbruik '[liter/kWh/kg per uur']]]*AX$2738</f>
        <v>1.0667571117824774E-3</v>
      </c>
      <c r="AY2692" s="33">
        <f>Database_Overig_Materieel[[#This Row],[Verbruik '[liter/kWh/kg per uur']]]*AY$2738</f>
        <v>1.1735273993957702</v>
      </c>
      <c r="AZ2692" s="33">
        <f>Database_Overig_Materieel[[#This Row],[Verbruik '[liter/kWh/kg per uur']]]*AZ$2738</f>
        <v>0</v>
      </c>
      <c r="BG2692" s="33" t="s">
        <v>885</v>
      </c>
      <c r="BH2692" s="33" t="s">
        <v>135</v>
      </c>
    </row>
    <row r="2693" spans="1:60">
      <c r="A2693" s="33" t="s">
        <v>1006</v>
      </c>
      <c r="B2693" s="33" t="s">
        <v>936</v>
      </c>
      <c r="C2693" s="33" t="s">
        <v>938</v>
      </c>
      <c r="D2693" s="33" t="s">
        <v>1000</v>
      </c>
      <c r="E2693" s="33" t="s">
        <v>829</v>
      </c>
      <c r="F2693" s="45">
        <f>$F2691*($I2691/Database_Overig_Materieel[[#This Row],[Stookwaarde '[MJ/liter']]])</f>
        <v>10.466472303206997</v>
      </c>
      <c r="G2693" s="41">
        <f>Database_Overig_Materieel[[#This Row],[Verbruik '[liter/kWh/kg per uur']]]*G$2739</f>
        <v>2.2338839821317258</v>
      </c>
      <c r="H2693" s="108">
        <v>125</v>
      </c>
      <c r="I2693" s="33">
        <v>34.299999999999997</v>
      </c>
      <c r="J2693" s="40">
        <f>Database_Overig_Materieel[[#This Row],[Verbruik '[liter/kWh/kg per uur']]]*J$2739</f>
        <v>4.0594945481049563E-5</v>
      </c>
      <c r="K2693" s="33">
        <f>Database_Overig_Materieel[[#This Row],[Verbruik '[liter/kWh/kg per uur']]]*K$2739</f>
        <v>8.8368017463556853E-2</v>
      </c>
      <c r="L2693" s="33">
        <f>Database_Overig_Materieel[[#This Row],[Verbruik '[liter/kWh/kg per uur']]]*L$2739</f>
        <v>15.067704131195335</v>
      </c>
      <c r="M2693" s="33">
        <f>Database_Overig_Materieel[[#This Row],[Verbruik '[liter/kWh/kg per uur']]]*M$2739</f>
        <v>1.4410971720116619E-6</v>
      </c>
      <c r="N2693" s="33">
        <f>Database_Overig_Materieel[[#This Row],[Verbruik '[liter/kWh/kg per uur']]]*N$2739</f>
        <v>1.2281944723032069E-2</v>
      </c>
      <c r="O2693" s="33">
        <f>Database_Overig_Materieel[[#This Row],[Verbruik '[liter/kWh/kg per uur']]]*O$2739</f>
        <v>9.4152438979591829E-2</v>
      </c>
      <c r="P2693" s="33">
        <f>Database_Overig_Materieel[[#This Row],[Verbruik '[liter/kWh/kg per uur']]]*P$2739</f>
        <v>4.6693172769679298E-2</v>
      </c>
      <c r="Q2693" s="33">
        <f>Database_Overig_Materieel[[#This Row],[Verbruik '[liter/kWh/kg per uur']]]*Q$2739</f>
        <v>8.3679409431486871</v>
      </c>
      <c r="R2693" s="33">
        <f>Database_Overig_Materieel[[#This Row],[Verbruik '[liter/kWh/kg per uur']]]*R$2739</f>
        <v>5.9582828087463557</v>
      </c>
      <c r="S2693" s="33">
        <f>Database_Overig_Materieel[[#This Row],[Verbruik '[liter/kWh/kg per uur']]]*S$2739</f>
        <v>501.64579265306122</v>
      </c>
      <c r="T2693" s="33">
        <f>Database_Overig_Materieel[[#This Row],[Verbruik '[liter/kWh/kg per uur']]]*T$2739</f>
        <v>2.557786767638484</v>
      </c>
      <c r="AP2693" s="33">
        <f>Database_Overig_Materieel[[#This Row],[Verbruik '[liter/kWh/kg per uur']]]*AP$2739</f>
        <v>82.196373104956265</v>
      </c>
      <c r="AS2693" s="33">
        <f>Database_Overig_Materieel[[#This Row],[Verbruik '[liter/kWh/kg per uur']]]*AS$2739</f>
        <v>186.7227764723032</v>
      </c>
      <c r="AW2693" s="33">
        <f>Database_Overig_Materieel[[#This Row],[Verbruik '[liter/kWh/kg per uur']]]*AW$2739</f>
        <v>0.64112716253644308</v>
      </c>
      <c r="AX2693" s="33">
        <f>Database_Overig_Materieel[[#This Row],[Verbruik '[liter/kWh/kg per uur']]]*AX$2739</f>
        <v>1.0832903498542274E-3</v>
      </c>
      <c r="AY2693" s="33">
        <f>Database_Overig_Materieel[[#This Row],[Verbruik '[liter/kWh/kg per uur']]]*AY$2739</f>
        <v>2.9587240381924196</v>
      </c>
      <c r="AZ2693" s="33">
        <f>Database_Overig_Materieel[[#This Row],[Verbruik '[liter/kWh/kg per uur']]]*AZ$2739</f>
        <v>0</v>
      </c>
      <c r="BG2693" s="33" t="s">
        <v>885</v>
      </c>
      <c r="BH2693" s="33" t="s">
        <v>135</v>
      </c>
    </row>
    <row r="2694" spans="1:60">
      <c r="A2694" s="33" t="s">
        <v>1007</v>
      </c>
      <c r="B2694" s="33" t="s">
        <v>936</v>
      </c>
      <c r="C2694" s="33" t="s">
        <v>938</v>
      </c>
      <c r="D2694" s="33" t="s">
        <v>1000</v>
      </c>
      <c r="E2694" s="33" t="s">
        <v>829</v>
      </c>
      <c r="F2694" s="45">
        <f>$F2691*($I2691/Database_Overig_Materieel[[#This Row],[Stookwaarde '[MJ/liter']]])</f>
        <v>10.405797101449274</v>
      </c>
      <c r="G2694" s="41">
        <f>Database_Overig_Materieel[[#This Row],[Verbruik '[liter/kWh/kg per uur']]]*G$2740</f>
        <v>2.9422877038817754</v>
      </c>
      <c r="H2694" s="108">
        <v>125</v>
      </c>
      <c r="I2694" s="33">
        <v>34.5</v>
      </c>
      <c r="J2694" s="40">
        <f>Database_Overig_Materieel[[#This Row],[Verbruik '[liter/kWh/kg per uur']]]*J$2740</f>
        <v>2.3306175942028982E-5</v>
      </c>
      <c r="K2694" s="33">
        <f>Database_Overig_Materieel[[#This Row],[Verbruik '[liter/kWh/kg per uur']]]*K$2740</f>
        <v>5.7577044347826081E-2</v>
      </c>
      <c r="L2694" s="33">
        <f>Database_Overig_Materieel[[#This Row],[Verbruik '[liter/kWh/kg per uur']]]*L$2740</f>
        <v>14.366058255072462</v>
      </c>
      <c r="M2694" s="33">
        <f>Database_Overig_Materieel[[#This Row],[Verbruik '[liter/kWh/kg per uur']]]*M$2740</f>
        <v>9.0242298260869542E-7</v>
      </c>
      <c r="N2694" s="33">
        <f>Database_Overig_Materieel[[#This Row],[Verbruik '[liter/kWh/kg per uur']]]*N$2740</f>
        <v>1.0438887536231883E-2</v>
      </c>
      <c r="O2694" s="33">
        <f>Database_Overig_Materieel[[#This Row],[Verbruik '[liter/kWh/kg per uur']]]*O$2740</f>
        <v>5.1641307130434771E-2</v>
      </c>
      <c r="P2694" s="33">
        <f>Database_Overig_Materieel[[#This Row],[Verbruik '[liter/kWh/kg per uur']]]*P$2740</f>
        <v>2.2701734405797099E-2</v>
      </c>
      <c r="Q2694" s="33">
        <f>Database_Overig_Materieel[[#This Row],[Verbruik '[liter/kWh/kg per uur']]]*Q$2740</f>
        <v>8.0784142533333316</v>
      </c>
      <c r="R2694" s="33">
        <f>Database_Overig_Materieel[[#This Row],[Verbruik '[liter/kWh/kg per uur']]]*R$2740</f>
        <v>5.3029341608695644</v>
      </c>
      <c r="S2694" s="33">
        <f>Database_Overig_Materieel[[#This Row],[Verbruik '[liter/kWh/kg per uur']]]*S$2740</f>
        <v>350.60455086956517</v>
      </c>
      <c r="T2694" s="33">
        <f>Database_Overig_Materieel[[#This Row],[Verbruik '[liter/kWh/kg per uur']]]*T$2740</f>
        <v>2.3403911350724633</v>
      </c>
      <c r="AP2694" s="33">
        <f>Database_Overig_Materieel[[#This Row],[Verbruik '[liter/kWh/kg per uur']]]*AP$2740</f>
        <v>25.741687092753619</v>
      </c>
      <c r="AS2694" s="33">
        <f>Database_Overig_Materieel[[#This Row],[Verbruik '[liter/kWh/kg per uur']]]*AS$2740</f>
        <v>120.84648634782606</v>
      </c>
      <c r="AW2694" s="33">
        <f>Database_Overig_Materieel[[#This Row],[Verbruik '[liter/kWh/kg per uur']]]*AW$2740</f>
        <v>0.20263629089855067</v>
      </c>
      <c r="AX2694" s="33">
        <f>Database_Overig_Materieel[[#This Row],[Verbruik '[liter/kWh/kg per uur']]]*AX$2740</f>
        <v>6.5816250434782599E-4</v>
      </c>
      <c r="AY2694" s="33">
        <f>Database_Overig_Materieel[[#This Row],[Verbruik '[liter/kWh/kg per uur']]]*AY$2740</f>
        <v>2.5531454611594198</v>
      </c>
      <c r="AZ2694" s="33">
        <f>Database_Overig_Materieel[[#This Row],[Verbruik '[liter/kWh/kg per uur']]]*AZ$2740</f>
        <v>0</v>
      </c>
      <c r="BG2694" s="33" t="s">
        <v>885</v>
      </c>
      <c r="BH2694" s="33" t="s">
        <v>135</v>
      </c>
    </row>
    <row r="2695" spans="1:60">
      <c r="A2695" s="33" t="s">
        <v>1008</v>
      </c>
      <c r="B2695" s="33" t="s">
        <v>936</v>
      </c>
      <c r="C2695" s="33" t="s">
        <v>938</v>
      </c>
      <c r="D2695" s="33" t="s">
        <v>1000</v>
      </c>
      <c r="E2695" s="33" t="s">
        <v>829</v>
      </c>
      <c r="F2695" s="45">
        <v>10</v>
      </c>
      <c r="G2695" s="41">
        <f>Database_Overig_Materieel[[#This Row],[Verbruik '[liter/kWh/kg per uur']]]*G$2741</f>
        <v>2.9875314996300242</v>
      </c>
      <c r="H2695" s="108">
        <v>125</v>
      </c>
      <c r="I2695" s="33">
        <v>35.9</v>
      </c>
      <c r="J2695" s="40">
        <f>Database_Overig_Materieel[[#This Row],[Verbruik '[liter/kWh/kg per uur']]]*J$2741</f>
        <v>1.75657E-5</v>
      </c>
      <c r="K2695" s="33">
        <f>Database_Overig_Materieel[[#This Row],[Verbruik '[liter/kWh/kg per uur']]]*K$2741</f>
        <v>0.23772814</v>
      </c>
      <c r="L2695" s="33">
        <f>Database_Overig_Materieel[[#This Row],[Verbruik '[liter/kWh/kg per uur']]]*L$2741</f>
        <v>34.693345000000001</v>
      </c>
      <c r="M2695" s="33">
        <f>Database_Overig_Materieel[[#This Row],[Verbruik '[liter/kWh/kg per uur']]]*M$2741</f>
        <v>6.0382299999999996E-6</v>
      </c>
      <c r="N2695" s="33">
        <f>Database_Overig_Materieel[[#This Row],[Verbruik '[liter/kWh/kg per uur']]]*N$2741</f>
        <v>1.1418290000000001E-2</v>
      </c>
      <c r="O2695" s="33">
        <f>Database_Overig_Materieel[[#This Row],[Verbruik '[liter/kWh/kg per uur']]]*O$2741</f>
        <v>6.6512870000000002E-2</v>
      </c>
      <c r="P2695" s="33">
        <f>Database_Overig_Materieel[[#This Row],[Verbruik '[liter/kWh/kg per uur']]]*P$2741</f>
        <v>1.0215700000000001E-2</v>
      </c>
      <c r="Q2695" s="33">
        <f>Database_Overig_Materieel[[#This Row],[Verbruik '[liter/kWh/kg per uur']]]*Q$2741</f>
        <v>8.5499468000000007</v>
      </c>
      <c r="R2695" s="33">
        <f>Database_Overig_Materieel[[#This Row],[Verbruik '[liter/kWh/kg per uur']]]*R$2741</f>
        <v>0.17058931999999999</v>
      </c>
      <c r="S2695" s="33">
        <f>Database_Overig_Materieel[[#This Row],[Verbruik '[liter/kWh/kg per uur']]]*S$2741</f>
        <v>573.59029999999996</v>
      </c>
      <c r="T2695" s="33">
        <f>Database_Overig_Materieel[[#This Row],[Verbruik '[liter/kWh/kg per uur']]]*T$2741</f>
        <v>3.0709340000000002E-2</v>
      </c>
      <c r="AP2695" s="33">
        <f>Database_Overig_Materieel[[#This Row],[Verbruik '[liter/kWh/kg per uur']]]*AP$2741</f>
        <v>3.9413535999999998</v>
      </c>
      <c r="AS2695" s="33">
        <f>Database_Overig_Materieel[[#This Row],[Verbruik '[liter/kWh/kg per uur']]]*AS$2741</f>
        <v>530.58078999999998</v>
      </c>
      <c r="AW2695" s="33">
        <f>Database_Overig_Materieel[[#This Row],[Verbruik '[liter/kWh/kg per uur']]]*AW$2741</f>
        <v>5.0203379999999999E-2</v>
      </c>
      <c r="AX2695" s="33">
        <f>Database_Overig_Materieel[[#This Row],[Verbruik '[liter/kWh/kg per uur']]]*AX$2741</f>
        <v>3.6440800000000001E-3</v>
      </c>
      <c r="AY2695" s="33">
        <f>Database_Overig_Materieel[[#This Row],[Verbruik '[liter/kWh/kg per uur']]]*AY$2741</f>
        <v>0.89418212999999991</v>
      </c>
      <c r="AZ2695" s="33">
        <f>Database_Overig_Materieel[[#This Row],[Verbruik '[liter/kWh/kg per uur']]]*AZ$2741</f>
        <v>0</v>
      </c>
      <c r="BG2695" s="33" t="s">
        <v>985</v>
      </c>
      <c r="BH2695" s="33" t="s">
        <v>135</v>
      </c>
    </row>
    <row r="2696" spans="1:60">
      <c r="A2696" s="33" t="s">
        <v>1009</v>
      </c>
      <c r="B2696" s="33" t="s">
        <v>936</v>
      </c>
      <c r="C2696" s="33" t="s">
        <v>938</v>
      </c>
      <c r="D2696" s="33" t="s">
        <v>1000</v>
      </c>
      <c r="E2696" s="33" t="s">
        <v>829</v>
      </c>
      <c r="F2696" s="45">
        <f>$F2695*($I2695/Database_Overig_Materieel[[#This Row],[Stookwaarde '[MJ/liter']]])</f>
        <v>10.845921450151057</v>
      </c>
      <c r="G2696" s="41">
        <f>Database_Overig_Materieel[[#This Row],[Verbruik '[liter/kWh/kg per uur']]]*G$2742</f>
        <v>2.8232356366431799</v>
      </c>
      <c r="H2696" s="108">
        <v>125</v>
      </c>
      <c r="I2696" s="33">
        <v>33.1</v>
      </c>
      <c r="J2696" s="40">
        <f>Database_Overig_Materieel[[#This Row],[Verbruik '[liter/kWh/kg per uur']]]*J$2742</f>
        <v>5.5466150755287012E-5</v>
      </c>
      <c r="K2696" s="33">
        <f>Database_Overig_Materieel[[#This Row],[Verbruik '[liter/kWh/kg per uur']]]*K$2742</f>
        <v>0.32341378335347432</v>
      </c>
      <c r="L2696" s="33">
        <f>Database_Overig_Materieel[[#This Row],[Verbruik '[liter/kWh/kg per uur']]]*L$2742</f>
        <v>39.859371954682778</v>
      </c>
      <c r="M2696" s="33">
        <f>Database_Overig_Materieel[[#This Row],[Verbruik '[liter/kWh/kg per uur']]]*M$2742</f>
        <v>5.7659196072507542E-7</v>
      </c>
      <c r="N2696" s="33">
        <f>Database_Overig_Materieel[[#This Row],[Verbruik '[liter/kWh/kg per uur']]]*N$2742</f>
        <v>8.0765889425981879E-3</v>
      </c>
      <c r="O2696" s="33">
        <f>Database_Overig_Materieel[[#This Row],[Verbruik '[liter/kWh/kg per uur']]]*O$2742</f>
        <v>4.597933172205438E-2</v>
      </c>
      <c r="P2696" s="33">
        <f>Database_Overig_Materieel[[#This Row],[Verbruik '[liter/kWh/kg per uur']]]*P$2742</f>
        <v>8.1240073111782472E-3</v>
      </c>
      <c r="Q2696" s="33">
        <f>Database_Overig_Materieel[[#This Row],[Verbruik '[liter/kWh/kg per uur']]]*Q$2742</f>
        <v>8.0043016353474314</v>
      </c>
      <c r="R2696" s="33">
        <f>Database_Overig_Materieel[[#This Row],[Verbruik '[liter/kWh/kg per uur']]]*R$2742</f>
        <v>6.4535000513595162E-2</v>
      </c>
      <c r="S2696" s="33">
        <f>Database_Overig_Materieel[[#This Row],[Verbruik '[liter/kWh/kg per uur']]]*S$2742</f>
        <v>245.1851996374622</v>
      </c>
      <c r="T2696" s="33">
        <f>Database_Overig_Materieel[[#This Row],[Verbruik '[liter/kWh/kg per uur']]]*T$2742</f>
        <v>3.2389120996978854E-2</v>
      </c>
      <c r="AP2696" s="33">
        <f>Database_Overig_Materieel[[#This Row],[Verbruik '[liter/kWh/kg per uur']]]*AP$2742</f>
        <v>4.7952052990936558</v>
      </c>
      <c r="AS2696" s="33">
        <f>Database_Overig_Materieel[[#This Row],[Verbruik '[liter/kWh/kg per uur']]]*AS$2742</f>
        <v>689.97719752265857</v>
      </c>
      <c r="AW2696" s="33">
        <f>Database_Overig_Materieel[[#This Row],[Verbruik '[liter/kWh/kg per uur']]]*AW$2742</f>
        <v>3.1205332054380665E-2</v>
      </c>
      <c r="AX2696" s="33">
        <f>Database_Overig_Materieel[[#This Row],[Verbruik '[liter/kWh/kg per uur']]]*AX$2742</f>
        <v>1.0667571117824774E-3</v>
      </c>
      <c r="AY2696" s="33">
        <f>Database_Overig_Materieel[[#This Row],[Verbruik '[liter/kWh/kg per uur']]]*AY$2742</f>
        <v>1.1735273993957702</v>
      </c>
      <c r="AZ2696" s="33">
        <f>Database_Overig_Materieel[[#This Row],[Verbruik '[liter/kWh/kg per uur']]]*AZ$2742</f>
        <v>0</v>
      </c>
      <c r="BG2696" s="33" t="s">
        <v>885</v>
      </c>
      <c r="BH2696" s="33" t="s">
        <v>135</v>
      </c>
    </row>
    <row r="2697" spans="1:60">
      <c r="A2697" s="33" t="s">
        <v>1010</v>
      </c>
      <c r="B2697" s="33" t="s">
        <v>936</v>
      </c>
      <c r="C2697" s="33" t="s">
        <v>938</v>
      </c>
      <c r="D2697" s="33" t="s">
        <v>1000</v>
      </c>
      <c r="E2697" s="33" t="s">
        <v>829</v>
      </c>
      <c r="F2697" s="45">
        <f>$F2695*($I2695/Database_Overig_Materieel[[#This Row],[Stookwaarde '[MJ/liter']]])</f>
        <v>10.466472303206997</v>
      </c>
      <c r="G2697" s="41">
        <f>Database_Overig_Materieel[[#This Row],[Verbruik '[liter/kWh/kg per uur']]]*G$2743</f>
        <v>2.2338623192436895</v>
      </c>
      <c r="H2697" s="108">
        <v>125</v>
      </c>
      <c r="I2697" s="33">
        <v>34.299999999999997</v>
      </c>
      <c r="J2697" s="40">
        <f>Database_Overig_Materieel[[#This Row],[Verbruik '[liter/kWh/kg per uur']]]*J$2743</f>
        <v>4.0594945481049563E-5</v>
      </c>
      <c r="K2697" s="33">
        <f>Database_Overig_Materieel[[#This Row],[Verbruik '[liter/kWh/kg per uur']]]*K$2743</f>
        <v>8.8368017463556853E-2</v>
      </c>
      <c r="L2697" s="33">
        <f>Database_Overig_Materieel[[#This Row],[Verbruik '[liter/kWh/kg per uur']]]*L$2743</f>
        <v>15.06775227696793</v>
      </c>
      <c r="M2697" s="33">
        <f>Database_Overig_Materieel[[#This Row],[Verbruik '[liter/kWh/kg per uur']]]*M$2743</f>
        <v>1.4410971720116619E-6</v>
      </c>
      <c r="N2697" s="33">
        <f>Database_Overig_Materieel[[#This Row],[Verbruik '[liter/kWh/kg per uur']]]*N$2743</f>
        <v>1.2281944723032069E-2</v>
      </c>
      <c r="O2697" s="33">
        <f>Database_Overig_Materieel[[#This Row],[Verbruik '[liter/kWh/kg per uur']]]*O$2743</f>
        <v>9.4152438979591829E-2</v>
      </c>
      <c r="P2697" s="33">
        <f>Database_Overig_Materieel[[#This Row],[Verbruik '[liter/kWh/kg per uur']]]*P$2743</f>
        <v>4.6693172769679298E-2</v>
      </c>
      <c r="Q2697" s="33">
        <f>Database_Overig_Materieel[[#This Row],[Verbruik '[liter/kWh/kg per uur']]]*Q$2743</f>
        <v>8.3677211472303217</v>
      </c>
      <c r="R2697" s="33">
        <f>Database_Overig_Materieel[[#This Row],[Verbruik '[liter/kWh/kg per uur']]]*R$2743</f>
        <v>5.9582828087463557</v>
      </c>
      <c r="S2697" s="33">
        <f>Database_Overig_Materieel[[#This Row],[Verbruik '[liter/kWh/kg per uur']]]*S$2743</f>
        <v>501.64579265306122</v>
      </c>
      <c r="T2697" s="33">
        <f>Database_Overig_Materieel[[#This Row],[Verbruik '[liter/kWh/kg per uur']]]*T$2743</f>
        <v>2.557786767638484</v>
      </c>
      <c r="AP2697" s="33">
        <f>Database_Overig_Materieel[[#This Row],[Verbruik '[liter/kWh/kg per uur']]]*AP$2743</f>
        <v>82.196373104956265</v>
      </c>
      <c r="AS2697" s="33">
        <f>Database_Overig_Materieel[[#This Row],[Verbruik '[liter/kWh/kg per uur']]]*AS$2743</f>
        <v>186.7227764723032</v>
      </c>
      <c r="AW2697" s="33">
        <f>Database_Overig_Materieel[[#This Row],[Verbruik '[liter/kWh/kg per uur']]]*AW$2743</f>
        <v>0.64112716253644308</v>
      </c>
      <c r="AX2697" s="33">
        <f>Database_Overig_Materieel[[#This Row],[Verbruik '[liter/kWh/kg per uur']]]*AX$2743</f>
        <v>1.0832903498542274E-3</v>
      </c>
      <c r="AY2697" s="33">
        <f>Database_Overig_Materieel[[#This Row],[Verbruik '[liter/kWh/kg per uur']]]*AY$2743</f>
        <v>2.9587240381924196</v>
      </c>
      <c r="AZ2697" s="33">
        <f>Database_Overig_Materieel[[#This Row],[Verbruik '[liter/kWh/kg per uur']]]*AZ$2743</f>
        <v>0</v>
      </c>
      <c r="BG2697" s="33" t="s">
        <v>885</v>
      </c>
      <c r="BH2697" s="33" t="s">
        <v>135</v>
      </c>
    </row>
    <row r="2698" spans="1:60">
      <c r="A2698" s="33" t="s">
        <v>1011</v>
      </c>
      <c r="B2698" s="33" t="s">
        <v>936</v>
      </c>
      <c r="C2698" s="33" t="s">
        <v>938</v>
      </c>
      <c r="D2698" s="33" t="s">
        <v>1000</v>
      </c>
      <c r="E2698" s="33" t="s">
        <v>829</v>
      </c>
      <c r="F2698" s="45">
        <f>$F2695*($I2695/Database_Overig_Materieel[[#This Row],[Stookwaarde '[MJ/liter']]])</f>
        <v>10.405797101449274</v>
      </c>
      <c r="G2698" s="41">
        <f>Database_Overig_Materieel[[#This Row],[Verbruik '[liter/kWh/kg per uur']]]*G$2744</f>
        <v>2.9422877038817754</v>
      </c>
      <c r="H2698" s="108">
        <v>125</v>
      </c>
      <c r="I2698" s="33">
        <v>34.5</v>
      </c>
      <c r="J2698" s="40">
        <f>Database_Overig_Materieel[[#This Row],[Verbruik '[liter/kWh/kg per uur']]]*J$2744</f>
        <v>2.3306175942028982E-5</v>
      </c>
      <c r="K2698" s="33">
        <f>Database_Overig_Materieel[[#This Row],[Verbruik '[liter/kWh/kg per uur']]]*K$2744</f>
        <v>5.7577044347826081E-2</v>
      </c>
      <c r="L2698" s="33">
        <f>Database_Overig_Materieel[[#This Row],[Verbruik '[liter/kWh/kg per uur']]]*L$2744</f>
        <v>14.366058255072462</v>
      </c>
      <c r="M2698" s="33">
        <f>Database_Overig_Materieel[[#This Row],[Verbruik '[liter/kWh/kg per uur']]]*M$2744</f>
        <v>9.0242298260869542E-7</v>
      </c>
      <c r="N2698" s="33">
        <f>Database_Overig_Materieel[[#This Row],[Verbruik '[liter/kWh/kg per uur']]]*N$2744</f>
        <v>1.0438887536231883E-2</v>
      </c>
      <c r="O2698" s="33">
        <f>Database_Overig_Materieel[[#This Row],[Verbruik '[liter/kWh/kg per uur']]]*O$2744</f>
        <v>5.1641307130434771E-2</v>
      </c>
      <c r="P2698" s="33">
        <f>Database_Overig_Materieel[[#This Row],[Verbruik '[liter/kWh/kg per uur']]]*P$2744</f>
        <v>2.2701734405797099E-2</v>
      </c>
      <c r="Q2698" s="33">
        <f>Database_Overig_Materieel[[#This Row],[Verbruik '[liter/kWh/kg per uur']]]*Q$2744</f>
        <v>8.0781749199999986</v>
      </c>
      <c r="R2698" s="33">
        <f>Database_Overig_Materieel[[#This Row],[Verbruik '[liter/kWh/kg per uur']]]*R$2744</f>
        <v>5.3029341608695644</v>
      </c>
      <c r="S2698" s="33">
        <f>Database_Overig_Materieel[[#This Row],[Verbruik '[liter/kWh/kg per uur']]]*S$2744</f>
        <v>350.60455086956517</v>
      </c>
      <c r="T2698" s="33">
        <f>Database_Overig_Materieel[[#This Row],[Verbruik '[liter/kWh/kg per uur']]]*T$2744</f>
        <v>2.3403911350724633</v>
      </c>
      <c r="AP2698" s="33">
        <f>Database_Overig_Materieel[[#This Row],[Verbruik '[liter/kWh/kg per uur']]]*AP$2744</f>
        <v>25.741687092753619</v>
      </c>
      <c r="AS2698" s="33">
        <f>Database_Overig_Materieel[[#This Row],[Verbruik '[liter/kWh/kg per uur']]]*AS$2744</f>
        <v>120.84648634782606</v>
      </c>
      <c r="AW2698" s="33">
        <f>Database_Overig_Materieel[[#This Row],[Verbruik '[liter/kWh/kg per uur']]]*AW$2744</f>
        <v>0.20263629089855067</v>
      </c>
      <c r="AX2698" s="33">
        <f>Database_Overig_Materieel[[#This Row],[Verbruik '[liter/kWh/kg per uur']]]*AX$2744</f>
        <v>6.5816250434782599E-4</v>
      </c>
      <c r="AY2698" s="33">
        <f>Database_Overig_Materieel[[#This Row],[Verbruik '[liter/kWh/kg per uur']]]*AY$2744</f>
        <v>2.5531454611594198</v>
      </c>
      <c r="AZ2698" s="33">
        <f>Database_Overig_Materieel[[#This Row],[Verbruik '[liter/kWh/kg per uur']]]*AZ$2744</f>
        <v>0</v>
      </c>
      <c r="BG2698" s="33" t="s">
        <v>885</v>
      </c>
      <c r="BH2698" s="33" t="s">
        <v>135</v>
      </c>
    </row>
    <row r="2699" spans="1:60">
      <c r="A2699" s="33" t="s">
        <v>1012</v>
      </c>
      <c r="B2699" s="33" t="s">
        <v>936</v>
      </c>
      <c r="C2699" s="33" t="s">
        <v>938</v>
      </c>
      <c r="D2699" s="33" t="s">
        <v>1000</v>
      </c>
      <c r="E2699" s="33" t="s">
        <v>829</v>
      </c>
      <c r="F2699" s="45">
        <f>F2687*3.1</f>
        <v>31</v>
      </c>
      <c r="G2699" s="41">
        <f>Database_Overig_Materieel[[#This Row],[Verbruik '[liter/kWh/kg per uur']]]*G$2745</f>
        <v>2.0148742020000001</v>
      </c>
      <c r="H2699" s="108">
        <v>125</v>
      </c>
      <c r="I2699" s="33">
        <v>3.6</v>
      </c>
      <c r="J2699" s="40">
        <f>Database_Overig_Materieel[[#This Row],[Verbruik '[liter/kWh/kg per uur']]]*J$2745</f>
        <v>5.549000000000001E-4</v>
      </c>
      <c r="K2699" s="33">
        <f>Database_Overig_Materieel[[#This Row],[Verbruik '[liter/kWh/kg per uur']]]*K$2745</f>
        <v>4.8669999999999998E-2</v>
      </c>
      <c r="L2699" s="33">
        <f>Database_Overig_Materieel[[#This Row],[Verbruik '[liter/kWh/kg per uur']]]*L$2745</f>
        <v>6.9750000000000005</v>
      </c>
      <c r="M2699" s="33">
        <f>Database_Overig_Materieel[[#This Row],[Verbruik '[liter/kWh/kg per uur']]]*M$2745</f>
        <v>7.0060000000000001E-7</v>
      </c>
      <c r="N2699" s="33">
        <f>Database_Overig_Materieel[[#This Row],[Verbruik '[liter/kWh/kg per uur']]]*N$2745</f>
        <v>9.0830000000000008E-3</v>
      </c>
      <c r="O2699" s="33">
        <f>Database_Overig_Materieel[[#This Row],[Verbruik '[liter/kWh/kg per uur']]]*O$2745</f>
        <v>6.6650000000000001E-2</v>
      </c>
      <c r="P2699" s="33">
        <f>Database_Overig_Materieel[[#This Row],[Verbruik '[liter/kWh/kg per uur']]]*P$2745</f>
        <v>9.4240000000000001E-3</v>
      </c>
      <c r="Q2699" s="33">
        <f>Database_Overig_Materieel[[#This Row],[Verbruik '[liter/kWh/kg per uur']]]*Q$2745</f>
        <v>13.174999999999999</v>
      </c>
      <c r="R2699" s="33">
        <f>Database_Overig_Materieel[[#This Row],[Verbruik '[liter/kWh/kg per uur']]]*R$2745</f>
        <v>0.21824000000000002</v>
      </c>
      <c r="S2699" s="33">
        <f>Database_Overig_Materieel[[#This Row],[Verbruik '[liter/kWh/kg per uur']]]*S$2745</f>
        <v>716.1</v>
      </c>
      <c r="T2699" s="33">
        <f>Database_Overig_Materieel[[#This Row],[Verbruik '[liter/kWh/kg per uur']]]*T$2745</f>
        <v>0.4123</v>
      </c>
      <c r="AP2699" s="33">
        <f>Database_Overig_Materieel[[#This Row],[Verbruik '[liter/kWh/kg per uur']]]*AP$2745</f>
        <v>269.7</v>
      </c>
      <c r="AS2699" s="33">
        <f>Database_Overig_Materieel[[#This Row],[Verbruik '[liter/kWh/kg per uur']]]*AS$2745</f>
        <v>95.17</v>
      </c>
      <c r="AW2699" s="33">
        <f>Database_Overig_Materieel[[#This Row],[Verbruik '[liter/kWh/kg per uur']]]*AW$2745</f>
        <v>269.7</v>
      </c>
      <c r="AX2699" s="33">
        <f>Database_Overig_Materieel[[#This Row],[Verbruik '[liter/kWh/kg per uur']]]*AX$2745</f>
        <v>1.271E-3</v>
      </c>
      <c r="AY2699" s="33">
        <f>Database_Overig_Materieel[[#This Row],[Verbruik '[liter/kWh/kg per uur']]]*AY$2745</f>
        <v>2.3591000000000002</v>
      </c>
      <c r="AZ2699" s="33">
        <f>Database_Overig_Materieel[[#This Row],[Verbruik '[liter/kWh/kg per uur']]]*AZ$2745</f>
        <v>2.7962000000000001E-4</v>
      </c>
      <c r="BF2699" s="33" t="s">
        <v>892</v>
      </c>
      <c r="BG2699" s="33" t="s">
        <v>893</v>
      </c>
      <c r="BH2699" s="33" t="s">
        <v>854</v>
      </c>
    </row>
    <row r="2700" spans="1:60">
      <c r="A2700" s="33" t="s">
        <v>1013</v>
      </c>
      <c r="B2700" s="33" t="s">
        <v>936</v>
      </c>
      <c r="C2700" s="33" t="s">
        <v>938</v>
      </c>
      <c r="D2700" s="33" t="s">
        <v>1000</v>
      </c>
      <c r="E2700" s="33" t="s">
        <v>829</v>
      </c>
      <c r="F2700" s="45">
        <f>F2687*3.1</f>
        <v>31</v>
      </c>
      <c r="G2700" s="41">
        <f>Database_Overig_Materieel[[#This Row],[Verbruik '[liter/kWh/kg per uur']]]*G$2746</f>
        <v>2.585161641</v>
      </c>
      <c r="H2700" s="108">
        <v>125</v>
      </c>
      <c r="I2700" s="33">
        <v>3.6</v>
      </c>
      <c r="J2700" s="40">
        <f>Database_Overig_Materieel[[#This Row],[Verbruik '[liter/kWh/kg per uur']]]*J$2746</f>
        <v>4.371E-4</v>
      </c>
      <c r="K2700" s="33">
        <f>Database_Overig_Materieel[[#This Row],[Verbruik '[liter/kWh/kg per uur']]]*K$2746</f>
        <v>0.18073</v>
      </c>
      <c r="L2700" s="33">
        <f>Database_Overig_Materieel[[#This Row],[Verbruik '[liter/kWh/kg per uur']]]*L$2746</f>
        <v>21.482999999999997</v>
      </c>
      <c r="M2700" s="33">
        <f>Database_Overig_Materieel[[#This Row],[Verbruik '[liter/kWh/kg per uur']]]*M$2746</f>
        <v>1.5034999999999999E-6</v>
      </c>
      <c r="N2700" s="33">
        <f>Database_Overig_Materieel[[#This Row],[Verbruik '[liter/kWh/kg per uur']]]*N$2746</f>
        <v>8.1220000000000007E-3</v>
      </c>
      <c r="O2700" s="33">
        <f>Database_Overig_Materieel[[#This Row],[Verbruik '[liter/kWh/kg per uur']]]*O$2746</f>
        <v>6.4479999999999996E-2</v>
      </c>
      <c r="P2700" s="33">
        <f>Database_Overig_Materieel[[#This Row],[Verbruik '[liter/kWh/kg per uur']]]*P$2746</f>
        <v>7.7189999999999993E-3</v>
      </c>
      <c r="Q2700" s="33">
        <f>Database_Overig_Materieel[[#This Row],[Verbruik '[liter/kWh/kg per uur']]]*Q$2746</f>
        <v>11.563000000000001</v>
      </c>
      <c r="R2700" s="33">
        <f>Database_Overig_Materieel[[#This Row],[Verbruik '[liter/kWh/kg per uur']]]*R$2746</f>
        <v>0.18476000000000001</v>
      </c>
      <c r="S2700" s="33">
        <f>Database_Overig_Materieel[[#This Row],[Verbruik '[liter/kWh/kg per uur']]]*S$2746</f>
        <v>675.80000000000007</v>
      </c>
      <c r="T2700" s="33">
        <f>Database_Overig_Materieel[[#This Row],[Verbruik '[liter/kWh/kg per uur']]]*T$2746</f>
        <v>0.40920000000000001</v>
      </c>
      <c r="AP2700" s="33">
        <f>Database_Overig_Materieel[[#This Row],[Verbruik '[liter/kWh/kg per uur']]]*AP$2746</f>
        <v>7.4089999999999998</v>
      </c>
      <c r="AS2700" s="33">
        <f>Database_Overig_Materieel[[#This Row],[Verbruik '[liter/kWh/kg per uur']]]*AS$2746</f>
        <v>337.90000000000003</v>
      </c>
      <c r="AW2700" s="33">
        <f>Database_Overig_Materieel[[#This Row],[Verbruik '[liter/kWh/kg per uur']]]*AW$2746</f>
        <v>7.4089999999999998</v>
      </c>
      <c r="AX2700" s="33">
        <f>Database_Overig_Materieel[[#This Row],[Verbruik '[liter/kWh/kg per uur']]]*AX$2746</f>
        <v>9.9819999999999987E-4</v>
      </c>
      <c r="AY2700" s="33">
        <f>Database_Overig_Materieel[[#This Row],[Verbruik '[liter/kWh/kg per uur']]]*AY$2746</f>
        <v>1.7577</v>
      </c>
      <c r="AZ2700" s="33">
        <f>Database_Overig_Materieel[[#This Row],[Verbruik '[liter/kWh/kg per uur']]]*AZ$2746</f>
        <v>2.8706000000000001E-4</v>
      </c>
      <c r="BF2700" s="33" t="s">
        <v>892</v>
      </c>
      <c r="BG2700" s="33" t="s">
        <v>893</v>
      </c>
      <c r="BH2700" s="33" t="s">
        <v>854</v>
      </c>
    </row>
    <row r="2701" spans="1:60">
      <c r="A2701" s="33" t="s">
        <v>1014</v>
      </c>
      <c r="B2701" s="33" t="s">
        <v>936</v>
      </c>
      <c r="C2701" s="33" t="s">
        <v>938</v>
      </c>
      <c r="D2701" s="33" t="s">
        <v>1015</v>
      </c>
      <c r="E2701" s="33" t="s">
        <v>829</v>
      </c>
      <c r="F2701" s="45">
        <v>5</v>
      </c>
      <c r="G2701" s="41">
        <f>Database_Overig_Materieel[[#This Row],[Verbruik '[liter/kWh/kg per uur']]]*G$2733</f>
        <v>1.593497452349163</v>
      </c>
      <c r="H2701" s="108">
        <v>125</v>
      </c>
      <c r="I2701" s="33">
        <v>35.9</v>
      </c>
      <c r="J2701" s="40">
        <f>Database_Overig_Materieel[[#This Row],[Verbruik '[liter/kWh/kg per uur']]]*J$2733</f>
        <v>8.0500000000000009E-6</v>
      </c>
      <c r="K2701" s="33">
        <f>Database_Overig_Materieel[[#This Row],[Verbruik '[liter/kWh/kg per uur']]]*K$2733</f>
        <v>0.11749854500000001</v>
      </c>
      <c r="L2701" s="33">
        <f>Database_Overig_Materieel[[#This Row],[Verbruik '[liter/kWh/kg per uur']]]*L$2733</f>
        <v>17.1970995</v>
      </c>
      <c r="M2701" s="33">
        <f>Database_Overig_Materieel[[#This Row],[Verbruik '[liter/kWh/kg per uur']]]*M$2733</f>
        <v>2.9950000000000001E-6</v>
      </c>
      <c r="N2701" s="33">
        <f>Database_Overig_Materieel[[#This Row],[Verbruik '[liter/kWh/kg per uur']]]*N$2733</f>
        <v>5.6620300000000002E-3</v>
      </c>
      <c r="O2701" s="33">
        <f>Database_Overig_Materieel[[#This Row],[Verbruik '[liter/kWh/kg per uur']]]*O$2733</f>
        <v>5.0436950000000001E-2</v>
      </c>
      <c r="P2701" s="33">
        <f>Database_Overig_Materieel[[#This Row],[Verbruik '[liter/kWh/kg per uur']]]*P$2733</f>
        <v>9.6501350000000007E-3</v>
      </c>
      <c r="Q2701" s="33">
        <f>Database_Overig_Materieel[[#This Row],[Verbruik '[liter/kWh/kg per uur']]]*Q$2733</f>
        <v>4.2575410500000004</v>
      </c>
      <c r="R2701" s="33">
        <f>Database_Overig_Materieel[[#This Row],[Verbruik '[liter/kWh/kg per uur']]]*R$2733</f>
        <v>8.4315139999999997E-2</v>
      </c>
      <c r="S2701" s="33">
        <f>Database_Overig_Materieel[[#This Row],[Verbruik '[liter/kWh/kg per uur']]]*S$2733</f>
        <v>282.11655500000001</v>
      </c>
      <c r="T2701" s="33">
        <f>Database_Overig_Materieel[[#This Row],[Verbruik '[liter/kWh/kg per uur']]]*T$2733</f>
        <v>1.5144709999999999E-2</v>
      </c>
      <c r="AP2701" s="33">
        <f>Database_Overig_Materieel[[#This Row],[Verbruik '[liter/kWh/kg per uur']]]*AP$2733</f>
        <v>1.9125567499999998</v>
      </c>
      <c r="AS2701" s="33">
        <f>Database_Overig_Materieel[[#This Row],[Verbruik '[liter/kWh/kg per uur']]]*AS$2733</f>
        <v>262.26643000000001</v>
      </c>
      <c r="AW2701" s="33">
        <f>Database_Overig_Materieel[[#This Row],[Verbruik '[liter/kWh/kg per uur']]]*AW$2733</f>
        <v>2.4777315000000001E-2</v>
      </c>
      <c r="AX2701" s="33">
        <f>Database_Overig_Materieel[[#This Row],[Verbruik '[liter/kWh/kg per uur']]]*AX$2733</f>
        <v>1.810505E-3</v>
      </c>
      <c r="AY2701" s="33">
        <f>Database_Overig_Materieel[[#This Row],[Verbruik '[liter/kWh/kg per uur']]]*AY$2733</f>
        <v>0.43997204500000003</v>
      </c>
      <c r="AZ2701" s="33">
        <f>Database_Overig_Materieel[[#This Row],[Verbruik '[liter/kWh/kg per uur']]]*AZ$2733</f>
        <v>0</v>
      </c>
      <c r="BG2701" s="33" t="s">
        <v>985</v>
      </c>
      <c r="BH2701" s="33" t="s">
        <v>135</v>
      </c>
    </row>
    <row r="2702" spans="1:60">
      <c r="A2702" s="33" t="s">
        <v>1016</v>
      </c>
      <c r="B2702" s="33" t="s">
        <v>936</v>
      </c>
      <c r="C2702" s="33" t="s">
        <v>938</v>
      </c>
      <c r="D2702" s="33" t="s">
        <v>1015</v>
      </c>
      <c r="E2702" s="33" t="s">
        <v>829</v>
      </c>
      <c r="F2702" s="45">
        <f>$F2701*($I2701/Database_Overig_Materieel[[#This Row],[Stookwaarde '[MJ/liter']]])</f>
        <v>5.4229607250755283</v>
      </c>
      <c r="G2702" s="41">
        <f>Database_Overig_Materieel[[#This Row],[Verbruik '[liter/kWh/kg per uur']]]*G$2734</f>
        <v>1.522552568717692</v>
      </c>
      <c r="H2702" s="108">
        <v>125</v>
      </c>
      <c r="I2702" s="33">
        <v>33.1</v>
      </c>
      <c r="J2702" s="40">
        <f>Database_Overig_Materieel[[#This Row],[Verbruik '[liter/kWh/kg per uur']]]*J$2734</f>
        <v>2.6987960574018128E-5</v>
      </c>
      <c r="K2702" s="33">
        <f>Database_Overig_Materieel[[#This Row],[Verbruik '[liter/kWh/kg per uur']]]*K$2734</f>
        <v>0.16029186226586103</v>
      </c>
      <c r="L2702" s="33">
        <f>Database_Overig_Materieel[[#This Row],[Verbruik '[liter/kWh/kg per uur']]]*L$2734</f>
        <v>19.774652206948641</v>
      </c>
      <c r="M2702" s="33">
        <f>Database_Overig_Materieel[[#This Row],[Verbruik '[liter/kWh/kg per uur']]]*M$2734</f>
        <v>2.6299624169184289E-7</v>
      </c>
      <c r="N2702" s="33">
        <f>Database_Overig_Materieel[[#This Row],[Verbruik '[liter/kWh/kg per uur']]]*N$2734</f>
        <v>3.9735443202416915E-3</v>
      </c>
      <c r="O2702" s="33">
        <f>Database_Overig_Materieel[[#This Row],[Verbruik '[liter/kWh/kg per uur']]]*O$2734</f>
        <v>4.0793039848942593E-2</v>
      </c>
      <c r="P2702" s="33">
        <f>Database_Overig_Materieel[[#This Row],[Verbruik '[liter/kWh/kg per uur']]]*P$2734</f>
        <v>8.7689654531722065E-3</v>
      </c>
      <c r="Q2702" s="33">
        <f>Database_Overig_Materieel[[#This Row],[Verbruik '[liter/kWh/kg per uur']]]*Q$2734</f>
        <v>3.926324160876133</v>
      </c>
      <c r="R2702" s="33">
        <f>Database_Overig_Materieel[[#This Row],[Verbruik '[liter/kWh/kg per uur']]]*R$2734</f>
        <v>3.1185180332326281E-2</v>
      </c>
      <c r="S2702" s="33">
        <f>Database_Overig_Materieel[[#This Row],[Verbruik '[liter/kWh/kg per uur']]]*S$2734</f>
        <v>117.74297619335347</v>
      </c>
      <c r="T2702" s="33">
        <f>Database_Overig_Materieel[[#This Row],[Verbruik '[liter/kWh/kg per uur']]]*T$2734</f>
        <v>1.5976747280966767E-2</v>
      </c>
      <c r="AP2702" s="33">
        <f>Database_Overig_Materieel[[#This Row],[Verbruik '[liter/kWh/kg per uur']]]*AP$2734</f>
        <v>2.3373755188821752</v>
      </c>
      <c r="AS2702" s="33">
        <f>Database_Overig_Materieel[[#This Row],[Verbruik '[liter/kWh/kg per uur']]]*AS$2734</f>
        <v>341.85501140483382</v>
      </c>
      <c r="AW2702" s="33">
        <f>Database_Overig_Materieel[[#This Row],[Verbruik '[liter/kWh/kg per uur']]]*AW$2734</f>
        <v>1.5266534652567975E-2</v>
      </c>
      <c r="AX2702" s="33">
        <f>Database_Overig_Materieel[[#This Row],[Verbruik '[liter/kWh/kg per uur']]]*AX$2734</f>
        <v>5.214263504531722E-4</v>
      </c>
      <c r="AY2702" s="33">
        <f>Database_Overig_Materieel[[#This Row],[Verbruik '[liter/kWh/kg per uur']]]*AY$2734</f>
        <v>0.57938657507552871</v>
      </c>
      <c r="AZ2702" s="33">
        <f>Database_Overig_Materieel[[#This Row],[Verbruik '[liter/kWh/kg per uur']]]*AZ$2734</f>
        <v>0</v>
      </c>
      <c r="BG2702" s="33" t="s">
        <v>885</v>
      </c>
      <c r="BH2702" s="33" t="s">
        <v>135</v>
      </c>
    </row>
    <row r="2703" spans="1:60">
      <c r="A2703" s="33" t="s">
        <v>1017</v>
      </c>
      <c r="B2703" s="33" t="s">
        <v>936</v>
      </c>
      <c r="C2703" s="33" t="s">
        <v>938</v>
      </c>
      <c r="D2703" s="33" t="s">
        <v>1015</v>
      </c>
      <c r="E2703" s="33" t="s">
        <v>829</v>
      </c>
      <c r="F2703" s="45">
        <f>$F2701*($I2701/Database_Overig_Materieel[[#This Row],[Stookwaarde '[MJ/liter']]])</f>
        <v>5.2332361516034984</v>
      </c>
      <c r="G2703" s="41">
        <f>Database_Overig_Materieel[[#This Row],[Verbruik '[liter/kWh/kg per uur']]]*G$2735</f>
        <v>1.2121635021373578</v>
      </c>
      <c r="H2703" s="108">
        <v>125</v>
      </c>
      <c r="I2703" s="33">
        <v>34.299999999999997</v>
      </c>
      <c r="J2703" s="40">
        <f>Database_Overig_Materieel[[#This Row],[Verbruik '[liter/kWh/kg per uur']]]*J$2735</f>
        <v>1.9603597959183672E-5</v>
      </c>
      <c r="K2703" s="33">
        <f>Database_Overig_Materieel[[#This Row],[Verbruik '[liter/kWh/kg per uur']]]*K$2735</f>
        <v>4.286625893586006E-2</v>
      </c>
      <c r="L2703" s="33">
        <f>Database_Overig_Materieel[[#This Row],[Verbruik '[liter/kWh/kg per uur']]]*L$2735</f>
        <v>7.3895000495626828</v>
      </c>
      <c r="M2703" s="33">
        <f>Database_Overig_Materieel[[#This Row],[Verbruik '[liter/kWh/kg per uur']]]*M$2735</f>
        <v>6.9698855685131189E-7</v>
      </c>
      <c r="N2703" s="33">
        <f>Database_Overig_Materieel[[#This Row],[Verbruik '[liter/kWh/kg per uur']]]*N$2735</f>
        <v>6.0806697813411085E-3</v>
      </c>
      <c r="O2703" s="33">
        <f>Database_Overig_Materieel[[#This Row],[Verbruik '[liter/kWh/kg per uur']]]*O$2735</f>
        <v>6.6049212492711368E-2</v>
      </c>
      <c r="P2703" s="33">
        <f>Database_Overig_Materieel[[#This Row],[Verbruik '[liter/kWh/kg per uur']]]*P$2735</f>
        <v>2.8352281428571432E-2</v>
      </c>
      <c r="Q2703" s="33">
        <f>Database_Overig_Materieel[[#This Row],[Verbruik '[liter/kWh/kg per uur']]]*Q$2735</f>
        <v>4.1189216078717203</v>
      </c>
      <c r="R2703" s="33">
        <f>Database_Overig_Materieel[[#This Row],[Verbruik '[liter/kWh/kg per uur']]]*R$2735</f>
        <v>2.978133535422741</v>
      </c>
      <c r="S2703" s="33">
        <f>Database_Overig_Materieel[[#This Row],[Verbruik '[liter/kWh/kg per uur']]]*S$2735</f>
        <v>246.30667109329445</v>
      </c>
      <c r="T2703" s="33">
        <f>Database_Overig_Materieel[[#This Row],[Verbruik '[liter/kWh/kg per uur']]]*T$2735</f>
        <v>1.2786905435860056</v>
      </c>
      <c r="AP2703" s="33">
        <f>Database_Overig_Materieel[[#This Row],[Verbruik '[liter/kWh/kg per uur']]]*AP$2735</f>
        <v>41.042100390670555</v>
      </c>
      <c r="AS2703" s="33">
        <f>Database_Overig_Materieel[[#This Row],[Verbruik '[liter/kWh/kg per uur']]]*AS$2735</f>
        <v>90.443220626822153</v>
      </c>
      <c r="AW2703" s="33">
        <f>Database_Overig_Materieel[[#This Row],[Verbruik '[liter/kWh/kg per uur']]]*AW$2735</f>
        <v>0.32025056048104955</v>
      </c>
      <c r="AX2703" s="33">
        <f>Database_Overig_Materieel[[#This Row],[Verbruik '[liter/kWh/kg per uur']]]*AX$2735</f>
        <v>5.3051931486880466E-4</v>
      </c>
      <c r="AY2703" s="33">
        <f>Database_Overig_Materieel[[#This Row],[Verbruik '[liter/kWh/kg per uur']]]*AY$2735</f>
        <v>1.4724920360058311</v>
      </c>
      <c r="AZ2703" s="33">
        <f>Database_Overig_Materieel[[#This Row],[Verbruik '[liter/kWh/kg per uur']]]*AZ$2735</f>
        <v>0</v>
      </c>
      <c r="BG2703" s="33" t="s">
        <v>885</v>
      </c>
      <c r="BH2703" s="33" t="s">
        <v>135</v>
      </c>
    </row>
    <row r="2704" spans="1:60">
      <c r="A2704" s="33" t="s">
        <v>1018</v>
      </c>
      <c r="B2704" s="33" t="s">
        <v>936</v>
      </c>
      <c r="C2704" s="33" t="s">
        <v>938</v>
      </c>
      <c r="D2704" s="33" t="s">
        <v>1015</v>
      </c>
      <c r="E2704" s="33" t="s">
        <v>829</v>
      </c>
      <c r="F2704" s="45">
        <f>$F2701*($I2701/Database_Overig_Materieel[[#This Row],[Stookwaarde '[MJ/liter']]])</f>
        <v>5.2028985507246368</v>
      </c>
      <c r="G2704" s="41">
        <f>Database_Overig_Materieel[[#This Row],[Verbruik '[liter/kWh/kg per uur']]]*G$2736</f>
        <v>1.5652645418991156</v>
      </c>
      <c r="H2704" s="108">
        <v>125</v>
      </c>
      <c r="I2704" s="33">
        <v>34.5</v>
      </c>
      <c r="J2704" s="40">
        <f>Database_Overig_Materieel[[#This Row],[Verbruik '[liter/kWh/kg per uur']]]*J$2736</f>
        <v>1.0934047391304344E-5</v>
      </c>
      <c r="K2704" s="33">
        <f>Database_Overig_Materieel[[#This Row],[Verbruik '[liter/kWh/kg per uur']]]*K$2736</f>
        <v>2.7423000637681154E-2</v>
      </c>
      <c r="L2704" s="33">
        <f>Database_Overig_Materieel[[#This Row],[Verbruik '[liter/kWh/kg per uur']]]*L$2736</f>
        <v>7.0334192594202882</v>
      </c>
      <c r="M2704" s="33">
        <f>Database_Overig_Materieel[[#This Row],[Verbruik '[liter/kWh/kg per uur']]]*M$2736</f>
        <v>4.2679741014492745E-7</v>
      </c>
      <c r="N2704" s="33">
        <f>Database_Overig_Materieel[[#This Row],[Verbruik '[liter/kWh/kg per uur']]]*N$2736</f>
        <v>5.1569569565217384E-3</v>
      </c>
      <c r="O2704" s="33">
        <f>Database_Overig_Materieel[[#This Row],[Verbruik '[liter/kWh/kg per uur']]]*O$2736</f>
        <v>4.3001170884057964E-2</v>
      </c>
      <c r="P2704" s="33">
        <f>Database_Overig_Materieel[[#This Row],[Verbruik '[liter/kWh/kg per uur']]]*P$2736</f>
        <v>1.589315372463768E-2</v>
      </c>
      <c r="Q2704" s="33">
        <f>Database_Overig_Materieel[[#This Row],[Verbruik '[liter/kWh/kg per uur']]]*Q$2736</f>
        <v>3.9659136866666658</v>
      </c>
      <c r="R2704" s="33">
        <f>Database_Overig_Materieel[[#This Row],[Verbruik '[liter/kWh/kg per uur']]]*R$2736</f>
        <v>2.6504226505797095</v>
      </c>
      <c r="S2704" s="33">
        <f>Database_Overig_Materieel[[#This Row],[Verbruik '[liter/kWh/kg per uur']]]*S$2736</f>
        <v>170.62232021739129</v>
      </c>
      <c r="T2704" s="33">
        <f>Database_Overig_Materieel[[#This Row],[Verbruik '[liter/kWh/kg per uur']]]*T$2736</f>
        <v>1.1699853704347825</v>
      </c>
      <c r="AP2704" s="33">
        <f>Database_Overig_Materieel[[#This Row],[Verbruik '[liter/kWh/kg per uur']]]*AP$2736</f>
        <v>12.81272352753623</v>
      </c>
      <c r="AS2704" s="33">
        <f>Database_Overig_Materieel[[#This Row],[Verbruik '[liter/kWh/kg per uur']]]*AS$2736</f>
        <v>57.399282115942029</v>
      </c>
      <c r="AW2704" s="33">
        <f>Database_Overig_Materieel[[#This Row],[Verbruik '[liter/kWh/kg per uur']]]*AW$2736</f>
        <v>0.10099377594202898</v>
      </c>
      <c r="AX2704" s="33">
        <f>Database_Overig_Materieel[[#This Row],[Verbruik '[liter/kWh/kg per uur']]]*AX$2736</f>
        <v>3.1754694637681154E-4</v>
      </c>
      <c r="AY2704" s="33">
        <f>Database_Overig_Materieel[[#This Row],[Verbruik '[liter/kWh/kg per uur']]]*AY$2736</f>
        <v>1.2694537085507245</v>
      </c>
      <c r="AZ2704" s="33">
        <f>Database_Overig_Materieel[[#This Row],[Verbruik '[liter/kWh/kg per uur']]]*AZ$2736</f>
        <v>0</v>
      </c>
      <c r="BG2704" s="33" t="s">
        <v>885</v>
      </c>
      <c r="BH2704" s="33" t="s">
        <v>135</v>
      </c>
    </row>
    <row r="2705" spans="1:60">
      <c r="A2705" s="33" t="s">
        <v>1019</v>
      </c>
      <c r="B2705" s="33" t="s">
        <v>936</v>
      </c>
      <c r="C2705" s="33" t="s">
        <v>938</v>
      </c>
      <c r="D2705" s="33" t="s">
        <v>1015</v>
      </c>
      <c r="E2705" s="33" t="s">
        <v>829</v>
      </c>
      <c r="F2705" s="45">
        <v>5</v>
      </c>
      <c r="G2705" s="41">
        <f>Database_Overig_Materieel[[#This Row],[Verbruik '[liter/kWh/kg per uur']]]*G$2737</f>
        <v>1.4937778188541129</v>
      </c>
      <c r="H2705" s="108">
        <v>125</v>
      </c>
      <c r="I2705" s="33">
        <v>35.9</v>
      </c>
      <c r="J2705" s="40">
        <f>Database_Overig_Materieel[[#This Row],[Verbruik '[liter/kWh/kg per uur']]]*J$2737</f>
        <v>8.7828500000000001E-6</v>
      </c>
      <c r="K2705" s="33">
        <f>Database_Overig_Materieel[[#This Row],[Verbruik '[liter/kWh/kg per uur']]]*K$2737</f>
        <v>0.11886407</v>
      </c>
      <c r="L2705" s="33">
        <f>Database_Overig_Materieel[[#This Row],[Verbruik '[liter/kWh/kg per uur']]]*L$2737</f>
        <v>17.3466725</v>
      </c>
      <c r="M2705" s="33">
        <f>Database_Overig_Materieel[[#This Row],[Verbruik '[liter/kWh/kg per uur']]]*M$2737</f>
        <v>3.0191149999999998E-6</v>
      </c>
      <c r="N2705" s="33">
        <f>Database_Overig_Materieel[[#This Row],[Verbruik '[liter/kWh/kg per uur']]]*N$2737</f>
        <v>5.7091450000000005E-3</v>
      </c>
      <c r="O2705" s="33">
        <f>Database_Overig_Materieel[[#This Row],[Verbruik '[liter/kWh/kg per uur']]]*O$2737</f>
        <v>3.3256435000000001E-2</v>
      </c>
      <c r="P2705" s="33">
        <f>Database_Overig_Materieel[[#This Row],[Verbruik '[liter/kWh/kg per uur']]]*P$2737</f>
        <v>5.1078500000000006E-3</v>
      </c>
      <c r="Q2705" s="33">
        <f>Database_Overig_Materieel[[#This Row],[Verbruik '[liter/kWh/kg per uur']]]*Q$2737</f>
        <v>4.2751074999999998</v>
      </c>
      <c r="R2705" s="33">
        <f>Database_Overig_Materieel[[#This Row],[Verbruik '[liter/kWh/kg per uur']]]*R$2737</f>
        <v>8.5294659999999994E-2</v>
      </c>
      <c r="S2705" s="33">
        <f>Database_Overig_Materieel[[#This Row],[Verbruik '[liter/kWh/kg per uur']]]*S$2737</f>
        <v>286.79514999999998</v>
      </c>
      <c r="T2705" s="33">
        <f>Database_Overig_Materieel[[#This Row],[Verbruik '[liter/kWh/kg per uur']]]*T$2737</f>
        <v>1.5354670000000001E-2</v>
      </c>
      <c r="AP2705" s="33">
        <f>Database_Overig_Materieel[[#This Row],[Verbruik '[liter/kWh/kg per uur']]]*AP$2737</f>
        <v>1.9706767999999999</v>
      </c>
      <c r="AS2705" s="33">
        <f>Database_Overig_Materieel[[#This Row],[Verbruik '[liter/kWh/kg per uur']]]*AS$2737</f>
        <v>265.29039499999999</v>
      </c>
      <c r="AW2705" s="33">
        <f>Database_Overig_Materieel[[#This Row],[Verbruik '[liter/kWh/kg per uur']]]*AW$2737</f>
        <v>2.5101689999999999E-2</v>
      </c>
      <c r="AX2705" s="33">
        <f>Database_Overig_Materieel[[#This Row],[Verbruik '[liter/kWh/kg per uur']]]*AX$2737</f>
        <v>1.82204E-3</v>
      </c>
      <c r="AY2705" s="33">
        <f>Database_Overig_Materieel[[#This Row],[Verbruik '[liter/kWh/kg per uur']]]*AY$2737</f>
        <v>0.44709106499999995</v>
      </c>
      <c r="AZ2705" s="33">
        <f>Database_Overig_Materieel[[#This Row],[Verbruik '[liter/kWh/kg per uur']]]*AZ$2737</f>
        <v>0</v>
      </c>
      <c r="BG2705" s="33" t="s">
        <v>985</v>
      </c>
      <c r="BH2705" s="33" t="s">
        <v>135</v>
      </c>
    </row>
    <row r="2706" spans="1:60">
      <c r="A2706" s="33" t="s">
        <v>1020</v>
      </c>
      <c r="B2706" s="33" t="s">
        <v>936</v>
      </c>
      <c r="C2706" s="33" t="s">
        <v>938</v>
      </c>
      <c r="D2706" s="33" t="s">
        <v>1015</v>
      </c>
      <c r="E2706" s="33" t="s">
        <v>829</v>
      </c>
      <c r="F2706" s="45">
        <f>$F2705*($I2705/Database_Overig_Materieel[[#This Row],[Stookwaarde '[MJ/liter']]])</f>
        <v>5.4229607250755283</v>
      </c>
      <c r="G2706" s="41">
        <f>Database_Overig_Materieel[[#This Row],[Verbruik '[liter/kWh/kg per uur']]]*G$2738</f>
        <v>1.4116268250764508</v>
      </c>
      <c r="H2706" s="108">
        <v>125</v>
      </c>
      <c r="I2706" s="33">
        <v>33.1</v>
      </c>
      <c r="J2706" s="40">
        <f>Database_Overig_Materieel[[#This Row],[Verbruik '[liter/kWh/kg per uur']]]*J$2738</f>
        <v>2.7733075377643506E-5</v>
      </c>
      <c r="K2706" s="33">
        <f>Database_Overig_Materieel[[#This Row],[Verbruik '[liter/kWh/kg per uur']]]*K$2738</f>
        <v>0.16170689167673716</v>
      </c>
      <c r="L2706" s="33">
        <f>Database_Overig_Materieel[[#This Row],[Verbruik '[liter/kWh/kg per uur']]]*L$2738</f>
        <v>19.929685977341389</v>
      </c>
      <c r="M2706" s="33">
        <f>Database_Overig_Materieel[[#This Row],[Verbruik '[liter/kWh/kg per uur']]]*M$2738</f>
        <v>2.8829598036253771E-7</v>
      </c>
      <c r="N2706" s="33">
        <f>Database_Overig_Materieel[[#This Row],[Verbruik '[liter/kWh/kg per uur']]]*N$2738</f>
        <v>4.0382944712990939E-3</v>
      </c>
      <c r="O2706" s="33">
        <f>Database_Overig_Materieel[[#This Row],[Verbruik '[liter/kWh/kg per uur']]]*O$2738</f>
        <v>2.298966586102719E-2</v>
      </c>
      <c r="P2706" s="33">
        <f>Database_Overig_Materieel[[#This Row],[Verbruik '[liter/kWh/kg per uur']]]*P$2738</f>
        <v>4.0620036555891236E-3</v>
      </c>
      <c r="Q2706" s="33">
        <f>Database_Overig_Materieel[[#This Row],[Verbruik '[liter/kWh/kg per uur']]]*Q$2738</f>
        <v>4.002274840785498</v>
      </c>
      <c r="R2706" s="33">
        <f>Database_Overig_Materieel[[#This Row],[Verbruik '[liter/kWh/kg per uur']]]*R$2738</f>
        <v>3.2267500256797581E-2</v>
      </c>
      <c r="S2706" s="33">
        <f>Database_Overig_Materieel[[#This Row],[Verbruik '[liter/kWh/kg per uur']]]*S$2738</f>
        <v>122.5925998187311</v>
      </c>
      <c r="T2706" s="33">
        <f>Database_Overig_Materieel[[#This Row],[Verbruik '[liter/kWh/kg per uur']]]*T$2738</f>
        <v>1.6194560498489427E-2</v>
      </c>
      <c r="AP2706" s="33">
        <f>Database_Overig_Materieel[[#This Row],[Verbruik '[liter/kWh/kg per uur']]]*AP$2738</f>
        <v>2.3976026495468279</v>
      </c>
      <c r="AS2706" s="33">
        <f>Database_Overig_Materieel[[#This Row],[Verbruik '[liter/kWh/kg per uur']]]*AS$2738</f>
        <v>344.98859876132929</v>
      </c>
      <c r="AW2706" s="33">
        <f>Database_Overig_Materieel[[#This Row],[Verbruik '[liter/kWh/kg per uur']]]*AW$2738</f>
        <v>1.5602666027190333E-2</v>
      </c>
      <c r="AX2706" s="33">
        <f>Database_Overig_Materieel[[#This Row],[Verbruik '[liter/kWh/kg per uur']]]*AX$2738</f>
        <v>5.3337855589123868E-4</v>
      </c>
      <c r="AY2706" s="33">
        <f>Database_Overig_Materieel[[#This Row],[Verbruik '[liter/kWh/kg per uur']]]*AY$2738</f>
        <v>0.58676369969788511</v>
      </c>
      <c r="AZ2706" s="33">
        <f>Database_Overig_Materieel[[#This Row],[Verbruik '[liter/kWh/kg per uur']]]*AZ$2738</f>
        <v>0</v>
      </c>
      <c r="BG2706" s="33" t="s">
        <v>885</v>
      </c>
      <c r="BH2706" s="33" t="s">
        <v>135</v>
      </c>
    </row>
    <row r="2707" spans="1:60">
      <c r="A2707" s="33" t="s">
        <v>1021</v>
      </c>
      <c r="B2707" s="33" t="s">
        <v>936</v>
      </c>
      <c r="C2707" s="33" t="s">
        <v>938</v>
      </c>
      <c r="D2707" s="33" t="s">
        <v>1015</v>
      </c>
      <c r="E2707" s="33" t="s">
        <v>829</v>
      </c>
      <c r="F2707" s="45">
        <f>$F2705*($I2705/Database_Overig_Materieel[[#This Row],[Stookwaarde '[MJ/liter']]])</f>
        <v>5.2332361516034984</v>
      </c>
      <c r="G2707" s="41">
        <f>Database_Overig_Materieel[[#This Row],[Verbruik '[liter/kWh/kg per uur']]]*G$2739</f>
        <v>1.1169419910658629</v>
      </c>
      <c r="H2707" s="108">
        <v>125</v>
      </c>
      <c r="I2707" s="33">
        <v>34.299999999999997</v>
      </c>
      <c r="J2707" s="40">
        <f>Database_Overig_Materieel[[#This Row],[Verbruik '[liter/kWh/kg per uur']]]*J$2739</f>
        <v>2.0297472740524782E-5</v>
      </c>
      <c r="K2707" s="33">
        <f>Database_Overig_Materieel[[#This Row],[Verbruik '[liter/kWh/kg per uur']]]*K$2739</f>
        <v>4.4184008731778426E-2</v>
      </c>
      <c r="L2707" s="33">
        <f>Database_Overig_Materieel[[#This Row],[Verbruik '[liter/kWh/kg per uur']]]*L$2739</f>
        <v>7.5338520655976673</v>
      </c>
      <c r="M2707" s="33">
        <f>Database_Overig_Materieel[[#This Row],[Verbruik '[liter/kWh/kg per uur']]]*M$2739</f>
        <v>7.2054858600583096E-7</v>
      </c>
      <c r="N2707" s="33">
        <f>Database_Overig_Materieel[[#This Row],[Verbruik '[liter/kWh/kg per uur']]]*N$2739</f>
        <v>6.1409723615160347E-3</v>
      </c>
      <c r="O2707" s="33">
        <f>Database_Overig_Materieel[[#This Row],[Verbruik '[liter/kWh/kg per uur']]]*O$2739</f>
        <v>4.7076219489795915E-2</v>
      </c>
      <c r="P2707" s="33">
        <f>Database_Overig_Materieel[[#This Row],[Verbruik '[liter/kWh/kg per uur']]]*P$2739</f>
        <v>2.3346586384839649E-2</v>
      </c>
      <c r="Q2707" s="33">
        <f>Database_Overig_Materieel[[#This Row],[Verbruik '[liter/kWh/kg per uur']]]*Q$2739</f>
        <v>4.1839704715743435</v>
      </c>
      <c r="R2707" s="33">
        <f>Database_Overig_Materieel[[#This Row],[Verbruik '[liter/kWh/kg per uur']]]*R$2739</f>
        <v>2.9791414043731779</v>
      </c>
      <c r="S2707" s="33">
        <f>Database_Overig_Materieel[[#This Row],[Verbruik '[liter/kWh/kg per uur']]]*S$2739</f>
        <v>250.82289632653061</v>
      </c>
      <c r="T2707" s="33">
        <f>Database_Overig_Materieel[[#This Row],[Verbruik '[liter/kWh/kg per uur']]]*T$2739</f>
        <v>1.278893383819242</v>
      </c>
      <c r="AP2707" s="33">
        <f>Database_Overig_Materieel[[#This Row],[Verbruik '[liter/kWh/kg per uur']]]*AP$2739</f>
        <v>41.098186552478133</v>
      </c>
      <c r="AS2707" s="33">
        <f>Database_Overig_Materieel[[#This Row],[Verbruik '[liter/kWh/kg per uur']]]*AS$2739</f>
        <v>93.361388236151598</v>
      </c>
      <c r="AW2707" s="33">
        <f>Database_Overig_Materieel[[#This Row],[Verbruik '[liter/kWh/kg per uur']]]*AW$2739</f>
        <v>0.32056358126822154</v>
      </c>
      <c r="AX2707" s="33">
        <f>Database_Overig_Materieel[[#This Row],[Verbruik '[liter/kWh/kg per uur']]]*AX$2739</f>
        <v>5.416451749271137E-4</v>
      </c>
      <c r="AY2707" s="33">
        <f>Database_Overig_Materieel[[#This Row],[Verbruik '[liter/kWh/kg per uur']]]*AY$2739</f>
        <v>1.4793620190962098</v>
      </c>
      <c r="AZ2707" s="33">
        <f>Database_Overig_Materieel[[#This Row],[Verbruik '[liter/kWh/kg per uur']]]*AZ$2739</f>
        <v>0</v>
      </c>
      <c r="BG2707" s="33" t="s">
        <v>885</v>
      </c>
      <c r="BH2707" s="33" t="s">
        <v>135</v>
      </c>
    </row>
    <row r="2708" spans="1:60">
      <c r="A2708" s="33" t="s">
        <v>1022</v>
      </c>
      <c r="B2708" s="33" t="s">
        <v>936</v>
      </c>
      <c r="C2708" s="33" t="s">
        <v>938</v>
      </c>
      <c r="D2708" s="33" t="s">
        <v>1015</v>
      </c>
      <c r="E2708" s="33" t="s">
        <v>829</v>
      </c>
      <c r="F2708" s="45">
        <f>$F2705*($I2705/Database_Overig_Materieel[[#This Row],[Stookwaarde '[MJ/liter']]])</f>
        <v>5.2028985507246368</v>
      </c>
      <c r="G2708" s="41">
        <f>Database_Overig_Materieel[[#This Row],[Verbruik '[liter/kWh/kg per uur']]]*G$2740</f>
        <v>1.4711438519408877</v>
      </c>
      <c r="H2708" s="108">
        <v>125</v>
      </c>
      <c r="I2708" s="33">
        <v>34.5</v>
      </c>
      <c r="J2708" s="40">
        <f>Database_Overig_Materieel[[#This Row],[Verbruik '[liter/kWh/kg per uur']]]*J$2740</f>
        <v>1.1653087971014491E-5</v>
      </c>
      <c r="K2708" s="33">
        <f>Database_Overig_Materieel[[#This Row],[Verbruik '[liter/kWh/kg per uur']]]*K$2740</f>
        <v>2.8788522173913041E-2</v>
      </c>
      <c r="L2708" s="33">
        <f>Database_Overig_Materieel[[#This Row],[Verbruik '[liter/kWh/kg per uur']]]*L$2740</f>
        <v>7.1830291275362308</v>
      </c>
      <c r="M2708" s="33">
        <f>Database_Overig_Materieel[[#This Row],[Verbruik '[liter/kWh/kg per uur']]]*M$2740</f>
        <v>4.5121149130434771E-7</v>
      </c>
      <c r="N2708" s="33">
        <f>Database_Overig_Materieel[[#This Row],[Verbruik '[liter/kWh/kg per uur']]]*N$2740</f>
        <v>5.2194437681159413E-3</v>
      </c>
      <c r="O2708" s="33">
        <f>Database_Overig_Materieel[[#This Row],[Verbruik '[liter/kWh/kg per uur']]]*O$2740</f>
        <v>2.5820653565217386E-2</v>
      </c>
      <c r="P2708" s="33">
        <f>Database_Overig_Materieel[[#This Row],[Verbruik '[liter/kWh/kg per uur']]]*P$2740</f>
        <v>1.1350867202898549E-2</v>
      </c>
      <c r="Q2708" s="33">
        <f>Database_Overig_Materieel[[#This Row],[Verbruik '[liter/kWh/kg per uur']]]*Q$2740</f>
        <v>4.0392071266666658</v>
      </c>
      <c r="R2708" s="33">
        <f>Database_Overig_Materieel[[#This Row],[Verbruik '[liter/kWh/kg per uur']]]*R$2740</f>
        <v>2.6514670804347822</v>
      </c>
      <c r="S2708" s="33">
        <f>Database_Overig_Materieel[[#This Row],[Verbruik '[liter/kWh/kg per uur']]]*S$2740</f>
        <v>175.30227543478259</v>
      </c>
      <c r="T2708" s="33">
        <f>Database_Overig_Materieel[[#This Row],[Verbruik '[liter/kWh/kg per uur']]]*T$2740</f>
        <v>1.1701955675362317</v>
      </c>
      <c r="AP2708" s="33">
        <f>Database_Overig_Materieel[[#This Row],[Verbruik '[liter/kWh/kg per uur']]]*AP$2740</f>
        <v>12.870843546376809</v>
      </c>
      <c r="AS2708" s="33">
        <f>Database_Overig_Materieel[[#This Row],[Verbruik '[liter/kWh/kg per uur']]]*AS$2740</f>
        <v>60.423243173913029</v>
      </c>
      <c r="AW2708" s="33">
        <f>Database_Overig_Materieel[[#This Row],[Verbruik '[liter/kWh/kg per uur']]]*AW$2740</f>
        <v>0.10131814544927534</v>
      </c>
      <c r="AX2708" s="33">
        <f>Database_Overig_Materieel[[#This Row],[Verbruik '[liter/kWh/kg per uur']]]*AX$2740</f>
        <v>3.2908125217391299E-4</v>
      </c>
      <c r="AY2708" s="33">
        <f>Database_Overig_Materieel[[#This Row],[Verbruik '[liter/kWh/kg per uur']]]*AY$2740</f>
        <v>1.2765727305797099</v>
      </c>
      <c r="AZ2708" s="33">
        <f>Database_Overig_Materieel[[#This Row],[Verbruik '[liter/kWh/kg per uur']]]*AZ$2740</f>
        <v>0</v>
      </c>
      <c r="BG2708" s="33" t="s">
        <v>885</v>
      </c>
      <c r="BH2708" s="33" t="s">
        <v>135</v>
      </c>
    </row>
    <row r="2709" spans="1:60">
      <c r="A2709" s="33" t="s">
        <v>1023</v>
      </c>
      <c r="B2709" s="33" t="s">
        <v>936</v>
      </c>
      <c r="C2709" s="33" t="s">
        <v>938</v>
      </c>
      <c r="D2709" s="33" t="s">
        <v>1015</v>
      </c>
      <c r="E2709" s="33" t="s">
        <v>829</v>
      </c>
      <c r="F2709" s="45">
        <v>5</v>
      </c>
      <c r="G2709" s="41">
        <f>Database_Overig_Materieel[[#This Row],[Verbruik '[liter/kWh/kg per uur']]]*G$2741</f>
        <v>1.4937657498150121</v>
      </c>
      <c r="H2709" s="108">
        <v>125</v>
      </c>
      <c r="I2709" s="33">
        <v>35.9</v>
      </c>
      <c r="J2709" s="40">
        <f>Database_Overig_Materieel[[#This Row],[Verbruik '[liter/kWh/kg per uur']]]*J$2741</f>
        <v>8.7828500000000001E-6</v>
      </c>
      <c r="K2709" s="33">
        <f>Database_Overig_Materieel[[#This Row],[Verbruik '[liter/kWh/kg per uur']]]*K$2741</f>
        <v>0.11886407</v>
      </c>
      <c r="L2709" s="33">
        <f>Database_Overig_Materieel[[#This Row],[Verbruik '[liter/kWh/kg per uur']]]*L$2741</f>
        <v>17.3466725</v>
      </c>
      <c r="M2709" s="33">
        <f>Database_Overig_Materieel[[#This Row],[Verbruik '[liter/kWh/kg per uur']]]*M$2741</f>
        <v>3.0191149999999998E-6</v>
      </c>
      <c r="N2709" s="33">
        <f>Database_Overig_Materieel[[#This Row],[Verbruik '[liter/kWh/kg per uur']]]*N$2741</f>
        <v>5.7091450000000005E-3</v>
      </c>
      <c r="O2709" s="33">
        <f>Database_Overig_Materieel[[#This Row],[Verbruik '[liter/kWh/kg per uur']]]*O$2741</f>
        <v>3.3256435000000001E-2</v>
      </c>
      <c r="P2709" s="33">
        <f>Database_Overig_Materieel[[#This Row],[Verbruik '[liter/kWh/kg per uur']]]*P$2741</f>
        <v>5.1078500000000006E-3</v>
      </c>
      <c r="Q2709" s="33">
        <f>Database_Overig_Materieel[[#This Row],[Verbruik '[liter/kWh/kg per uur']]]*Q$2741</f>
        <v>4.2749734000000004</v>
      </c>
      <c r="R2709" s="33">
        <f>Database_Overig_Materieel[[#This Row],[Verbruik '[liter/kWh/kg per uur']]]*R$2741</f>
        <v>8.5294659999999994E-2</v>
      </c>
      <c r="S2709" s="33">
        <f>Database_Overig_Materieel[[#This Row],[Verbruik '[liter/kWh/kg per uur']]]*S$2741</f>
        <v>286.79514999999998</v>
      </c>
      <c r="T2709" s="33">
        <f>Database_Overig_Materieel[[#This Row],[Verbruik '[liter/kWh/kg per uur']]]*T$2741</f>
        <v>1.5354670000000001E-2</v>
      </c>
      <c r="AP2709" s="33">
        <f>Database_Overig_Materieel[[#This Row],[Verbruik '[liter/kWh/kg per uur']]]*AP$2741</f>
        <v>1.9706767999999999</v>
      </c>
      <c r="AS2709" s="33">
        <f>Database_Overig_Materieel[[#This Row],[Verbruik '[liter/kWh/kg per uur']]]*AS$2741</f>
        <v>265.29039499999999</v>
      </c>
      <c r="AW2709" s="33">
        <f>Database_Overig_Materieel[[#This Row],[Verbruik '[liter/kWh/kg per uur']]]*AW$2741</f>
        <v>2.5101689999999999E-2</v>
      </c>
      <c r="AX2709" s="33">
        <f>Database_Overig_Materieel[[#This Row],[Verbruik '[liter/kWh/kg per uur']]]*AX$2741</f>
        <v>1.82204E-3</v>
      </c>
      <c r="AY2709" s="33">
        <f>Database_Overig_Materieel[[#This Row],[Verbruik '[liter/kWh/kg per uur']]]*AY$2741</f>
        <v>0.44709106499999995</v>
      </c>
      <c r="AZ2709" s="33">
        <f>Database_Overig_Materieel[[#This Row],[Verbruik '[liter/kWh/kg per uur']]]*AZ$2741</f>
        <v>0</v>
      </c>
      <c r="BG2709" s="33" t="s">
        <v>985</v>
      </c>
      <c r="BH2709" s="33" t="s">
        <v>135</v>
      </c>
    </row>
    <row r="2710" spans="1:60">
      <c r="A2710" s="33" t="s">
        <v>1024</v>
      </c>
      <c r="B2710" s="33" t="s">
        <v>936</v>
      </c>
      <c r="C2710" s="33" t="s">
        <v>938</v>
      </c>
      <c r="D2710" s="33" t="s">
        <v>1015</v>
      </c>
      <c r="E2710" s="33" t="s">
        <v>829</v>
      </c>
      <c r="F2710" s="45">
        <f>$F2709*($I2709/Database_Overig_Materieel[[#This Row],[Stookwaarde '[MJ/liter']]])</f>
        <v>5.4229607250755283</v>
      </c>
      <c r="G2710" s="41">
        <f>Database_Overig_Materieel[[#This Row],[Verbruik '[liter/kWh/kg per uur']]]*G$2742</f>
        <v>1.4116178183215899</v>
      </c>
      <c r="H2710" s="108">
        <v>125</v>
      </c>
      <c r="I2710" s="33">
        <v>33.1</v>
      </c>
      <c r="J2710" s="40">
        <f>Database_Overig_Materieel[[#This Row],[Verbruik '[liter/kWh/kg per uur']]]*J$2742</f>
        <v>2.7733075377643506E-5</v>
      </c>
      <c r="K2710" s="33">
        <f>Database_Overig_Materieel[[#This Row],[Verbruik '[liter/kWh/kg per uur']]]*K$2742</f>
        <v>0.16170689167673716</v>
      </c>
      <c r="L2710" s="33">
        <f>Database_Overig_Materieel[[#This Row],[Verbruik '[liter/kWh/kg per uur']]]*L$2742</f>
        <v>19.929685977341389</v>
      </c>
      <c r="M2710" s="33">
        <f>Database_Overig_Materieel[[#This Row],[Verbruik '[liter/kWh/kg per uur']]]*M$2742</f>
        <v>2.8829598036253771E-7</v>
      </c>
      <c r="N2710" s="33">
        <f>Database_Overig_Materieel[[#This Row],[Verbruik '[liter/kWh/kg per uur']]]*N$2742</f>
        <v>4.0382944712990939E-3</v>
      </c>
      <c r="O2710" s="33">
        <f>Database_Overig_Materieel[[#This Row],[Verbruik '[liter/kWh/kg per uur']]]*O$2742</f>
        <v>2.298966586102719E-2</v>
      </c>
      <c r="P2710" s="33">
        <f>Database_Overig_Materieel[[#This Row],[Verbruik '[liter/kWh/kg per uur']]]*P$2742</f>
        <v>4.0620036555891236E-3</v>
      </c>
      <c r="Q2710" s="33">
        <f>Database_Overig_Materieel[[#This Row],[Verbruik '[liter/kWh/kg per uur']]]*Q$2742</f>
        <v>4.0021508176737157</v>
      </c>
      <c r="R2710" s="33">
        <f>Database_Overig_Materieel[[#This Row],[Verbruik '[liter/kWh/kg per uur']]]*R$2742</f>
        <v>3.2267500256797581E-2</v>
      </c>
      <c r="S2710" s="33">
        <f>Database_Overig_Materieel[[#This Row],[Verbruik '[liter/kWh/kg per uur']]]*S$2742</f>
        <v>122.5925998187311</v>
      </c>
      <c r="T2710" s="33">
        <f>Database_Overig_Materieel[[#This Row],[Verbruik '[liter/kWh/kg per uur']]]*T$2742</f>
        <v>1.6194560498489427E-2</v>
      </c>
      <c r="AP2710" s="33">
        <f>Database_Overig_Materieel[[#This Row],[Verbruik '[liter/kWh/kg per uur']]]*AP$2742</f>
        <v>2.3976026495468279</v>
      </c>
      <c r="AS2710" s="33">
        <f>Database_Overig_Materieel[[#This Row],[Verbruik '[liter/kWh/kg per uur']]]*AS$2742</f>
        <v>344.98859876132929</v>
      </c>
      <c r="AW2710" s="33">
        <f>Database_Overig_Materieel[[#This Row],[Verbruik '[liter/kWh/kg per uur']]]*AW$2742</f>
        <v>1.5602666027190333E-2</v>
      </c>
      <c r="AX2710" s="33">
        <f>Database_Overig_Materieel[[#This Row],[Verbruik '[liter/kWh/kg per uur']]]*AX$2742</f>
        <v>5.3337855589123868E-4</v>
      </c>
      <c r="AY2710" s="33">
        <f>Database_Overig_Materieel[[#This Row],[Verbruik '[liter/kWh/kg per uur']]]*AY$2742</f>
        <v>0.58676369969788511</v>
      </c>
      <c r="AZ2710" s="33">
        <f>Database_Overig_Materieel[[#This Row],[Verbruik '[liter/kWh/kg per uur']]]*AZ$2742</f>
        <v>0</v>
      </c>
      <c r="BG2710" s="33" t="s">
        <v>885</v>
      </c>
      <c r="BH2710" s="33" t="s">
        <v>135</v>
      </c>
    </row>
    <row r="2711" spans="1:60">
      <c r="A2711" s="33" t="s">
        <v>1025</v>
      </c>
      <c r="B2711" s="33" t="s">
        <v>936</v>
      </c>
      <c r="C2711" s="33" t="s">
        <v>938</v>
      </c>
      <c r="D2711" s="33" t="s">
        <v>1015</v>
      </c>
      <c r="E2711" s="33" t="s">
        <v>829</v>
      </c>
      <c r="F2711" s="45">
        <f>$F2709*($I2709/Database_Overig_Materieel[[#This Row],[Stookwaarde '[MJ/liter']]])</f>
        <v>5.2332361516034984</v>
      </c>
      <c r="G2711" s="41">
        <f>Database_Overig_Materieel[[#This Row],[Verbruik '[liter/kWh/kg per uur']]]*G$2743</f>
        <v>1.1169311596218447</v>
      </c>
      <c r="H2711" s="108">
        <v>125</v>
      </c>
      <c r="I2711" s="33">
        <v>34.299999999999997</v>
      </c>
      <c r="J2711" s="40">
        <f>Database_Overig_Materieel[[#This Row],[Verbruik '[liter/kWh/kg per uur']]]*J$2743</f>
        <v>2.0297472740524782E-5</v>
      </c>
      <c r="K2711" s="33">
        <f>Database_Overig_Materieel[[#This Row],[Verbruik '[liter/kWh/kg per uur']]]*K$2743</f>
        <v>4.4184008731778426E-2</v>
      </c>
      <c r="L2711" s="33">
        <f>Database_Overig_Materieel[[#This Row],[Verbruik '[liter/kWh/kg per uur']]]*L$2743</f>
        <v>7.533876138483965</v>
      </c>
      <c r="M2711" s="33">
        <f>Database_Overig_Materieel[[#This Row],[Verbruik '[liter/kWh/kg per uur']]]*M$2743</f>
        <v>7.2054858600583096E-7</v>
      </c>
      <c r="N2711" s="33">
        <f>Database_Overig_Materieel[[#This Row],[Verbruik '[liter/kWh/kg per uur']]]*N$2743</f>
        <v>6.1409723615160347E-3</v>
      </c>
      <c r="O2711" s="33">
        <f>Database_Overig_Materieel[[#This Row],[Verbruik '[liter/kWh/kg per uur']]]*O$2743</f>
        <v>4.7076219489795915E-2</v>
      </c>
      <c r="P2711" s="33">
        <f>Database_Overig_Materieel[[#This Row],[Verbruik '[liter/kWh/kg per uur']]]*P$2743</f>
        <v>2.3346586384839649E-2</v>
      </c>
      <c r="Q2711" s="33">
        <f>Database_Overig_Materieel[[#This Row],[Verbruik '[liter/kWh/kg per uur']]]*Q$2743</f>
        <v>4.1838605736151608</v>
      </c>
      <c r="R2711" s="33">
        <f>Database_Overig_Materieel[[#This Row],[Verbruik '[liter/kWh/kg per uur']]]*R$2743</f>
        <v>2.9791414043731779</v>
      </c>
      <c r="S2711" s="33">
        <f>Database_Overig_Materieel[[#This Row],[Verbruik '[liter/kWh/kg per uur']]]*S$2743</f>
        <v>250.82289632653061</v>
      </c>
      <c r="T2711" s="33">
        <f>Database_Overig_Materieel[[#This Row],[Verbruik '[liter/kWh/kg per uur']]]*T$2743</f>
        <v>1.278893383819242</v>
      </c>
      <c r="AP2711" s="33">
        <f>Database_Overig_Materieel[[#This Row],[Verbruik '[liter/kWh/kg per uur']]]*AP$2743</f>
        <v>41.098186552478133</v>
      </c>
      <c r="AS2711" s="33">
        <f>Database_Overig_Materieel[[#This Row],[Verbruik '[liter/kWh/kg per uur']]]*AS$2743</f>
        <v>93.361388236151598</v>
      </c>
      <c r="AW2711" s="33">
        <f>Database_Overig_Materieel[[#This Row],[Verbruik '[liter/kWh/kg per uur']]]*AW$2743</f>
        <v>0.32056358126822154</v>
      </c>
      <c r="AX2711" s="33">
        <f>Database_Overig_Materieel[[#This Row],[Verbruik '[liter/kWh/kg per uur']]]*AX$2743</f>
        <v>5.416451749271137E-4</v>
      </c>
      <c r="AY2711" s="33">
        <f>Database_Overig_Materieel[[#This Row],[Verbruik '[liter/kWh/kg per uur']]]*AY$2743</f>
        <v>1.4793620190962098</v>
      </c>
      <c r="AZ2711" s="33">
        <f>Database_Overig_Materieel[[#This Row],[Verbruik '[liter/kWh/kg per uur']]]*AZ$2743</f>
        <v>0</v>
      </c>
      <c r="BG2711" s="33" t="s">
        <v>885</v>
      </c>
      <c r="BH2711" s="33" t="s">
        <v>135</v>
      </c>
    </row>
    <row r="2712" spans="1:60">
      <c r="A2712" s="33" t="s">
        <v>1026</v>
      </c>
      <c r="B2712" s="33" t="s">
        <v>936</v>
      </c>
      <c r="C2712" s="33" t="s">
        <v>938</v>
      </c>
      <c r="D2712" s="33" t="s">
        <v>1015</v>
      </c>
      <c r="E2712" s="33" t="s">
        <v>829</v>
      </c>
      <c r="F2712" s="45">
        <f>$F2709*($I2709/Database_Overig_Materieel[[#This Row],[Stookwaarde '[MJ/liter']]])</f>
        <v>5.2028985507246368</v>
      </c>
      <c r="G2712" s="41">
        <f>Database_Overig_Materieel[[#This Row],[Verbruik '[liter/kWh/kg per uur']]]*G$2744</f>
        <v>1.4711438519408877</v>
      </c>
      <c r="H2712" s="108">
        <v>125</v>
      </c>
      <c r="I2712" s="33">
        <v>34.5</v>
      </c>
      <c r="J2712" s="40">
        <f>Database_Overig_Materieel[[#This Row],[Verbruik '[liter/kWh/kg per uur']]]*J$2744</f>
        <v>1.1653087971014491E-5</v>
      </c>
      <c r="K2712" s="33">
        <f>Database_Overig_Materieel[[#This Row],[Verbruik '[liter/kWh/kg per uur']]]*K$2744</f>
        <v>2.8788522173913041E-2</v>
      </c>
      <c r="L2712" s="33">
        <f>Database_Overig_Materieel[[#This Row],[Verbruik '[liter/kWh/kg per uur']]]*L$2744</f>
        <v>7.1830291275362308</v>
      </c>
      <c r="M2712" s="33">
        <f>Database_Overig_Materieel[[#This Row],[Verbruik '[liter/kWh/kg per uur']]]*M$2744</f>
        <v>4.5121149130434771E-7</v>
      </c>
      <c r="N2712" s="33">
        <f>Database_Overig_Materieel[[#This Row],[Verbruik '[liter/kWh/kg per uur']]]*N$2744</f>
        <v>5.2194437681159413E-3</v>
      </c>
      <c r="O2712" s="33">
        <f>Database_Overig_Materieel[[#This Row],[Verbruik '[liter/kWh/kg per uur']]]*O$2744</f>
        <v>2.5820653565217386E-2</v>
      </c>
      <c r="P2712" s="33">
        <f>Database_Overig_Materieel[[#This Row],[Verbruik '[liter/kWh/kg per uur']]]*P$2744</f>
        <v>1.1350867202898549E-2</v>
      </c>
      <c r="Q2712" s="33">
        <f>Database_Overig_Materieel[[#This Row],[Verbruik '[liter/kWh/kg per uur']]]*Q$2744</f>
        <v>4.0390874599999993</v>
      </c>
      <c r="R2712" s="33">
        <f>Database_Overig_Materieel[[#This Row],[Verbruik '[liter/kWh/kg per uur']]]*R$2744</f>
        <v>2.6514670804347822</v>
      </c>
      <c r="S2712" s="33">
        <f>Database_Overig_Materieel[[#This Row],[Verbruik '[liter/kWh/kg per uur']]]*S$2744</f>
        <v>175.30227543478259</v>
      </c>
      <c r="T2712" s="33">
        <f>Database_Overig_Materieel[[#This Row],[Verbruik '[liter/kWh/kg per uur']]]*T$2744</f>
        <v>1.1701955675362317</v>
      </c>
      <c r="AP2712" s="33">
        <f>Database_Overig_Materieel[[#This Row],[Verbruik '[liter/kWh/kg per uur']]]*AP$2744</f>
        <v>12.870843546376809</v>
      </c>
      <c r="AS2712" s="33">
        <f>Database_Overig_Materieel[[#This Row],[Verbruik '[liter/kWh/kg per uur']]]*AS$2744</f>
        <v>60.423243173913029</v>
      </c>
      <c r="AW2712" s="33">
        <f>Database_Overig_Materieel[[#This Row],[Verbruik '[liter/kWh/kg per uur']]]*AW$2744</f>
        <v>0.10131814544927534</v>
      </c>
      <c r="AX2712" s="33">
        <f>Database_Overig_Materieel[[#This Row],[Verbruik '[liter/kWh/kg per uur']]]*AX$2744</f>
        <v>3.2908125217391299E-4</v>
      </c>
      <c r="AY2712" s="33">
        <f>Database_Overig_Materieel[[#This Row],[Verbruik '[liter/kWh/kg per uur']]]*AY$2744</f>
        <v>1.2765727305797099</v>
      </c>
      <c r="AZ2712" s="33">
        <f>Database_Overig_Materieel[[#This Row],[Verbruik '[liter/kWh/kg per uur']]]*AZ$2744</f>
        <v>0</v>
      </c>
      <c r="BG2712" s="33" t="s">
        <v>885</v>
      </c>
      <c r="BH2712" s="33" t="s">
        <v>135</v>
      </c>
    </row>
    <row r="2713" spans="1:60">
      <c r="A2713" s="33" t="s">
        <v>1027</v>
      </c>
      <c r="B2713" s="33" t="s">
        <v>936</v>
      </c>
      <c r="C2713" s="33" t="s">
        <v>938</v>
      </c>
      <c r="D2713" s="33" t="s">
        <v>1015</v>
      </c>
      <c r="E2713" s="33" t="s">
        <v>829</v>
      </c>
      <c r="F2713" s="45">
        <f>F2701*3.1</f>
        <v>15.5</v>
      </c>
      <c r="G2713" s="41">
        <f>Database_Overig_Materieel[[#This Row],[Verbruik '[liter/kWh/kg per uur']]]*G$2745</f>
        <v>1.0074371010000001</v>
      </c>
      <c r="H2713" s="108">
        <v>125</v>
      </c>
      <c r="I2713" s="33">
        <v>3.6</v>
      </c>
      <c r="J2713" s="40">
        <f>Database_Overig_Materieel[[#This Row],[Verbruik '[liter/kWh/kg per uur']]]*J$2745</f>
        <v>2.7745000000000005E-4</v>
      </c>
      <c r="K2713" s="33">
        <f>Database_Overig_Materieel[[#This Row],[Verbruik '[liter/kWh/kg per uur']]]*K$2745</f>
        <v>2.4334999999999999E-2</v>
      </c>
      <c r="L2713" s="33">
        <f>Database_Overig_Materieel[[#This Row],[Verbruik '[liter/kWh/kg per uur']]]*L$2745</f>
        <v>3.4875000000000003</v>
      </c>
      <c r="M2713" s="33">
        <f>Database_Overig_Materieel[[#This Row],[Verbruik '[liter/kWh/kg per uur']]]*M$2745</f>
        <v>3.5030000000000001E-7</v>
      </c>
      <c r="N2713" s="33">
        <f>Database_Overig_Materieel[[#This Row],[Verbruik '[liter/kWh/kg per uur']]]*N$2745</f>
        <v>4.5415000000000004E-3</v>
      </c>
      <c r="O2713" s="33">
        <f>Database_Overig_Materieel[[#This Row],[Verbruik '[liter/kWh/kg per uur']]]*O$2745</f>
        <v>3.3325E-2</v>
      </c>
      <c r="P2713" s="33">
        <f>Database_Overig_Materieel[[#This Row],[Verbruik '[liter/kWh/kg per uur']]]*P$2745</f>
        <v>4.712E-3</v>
      </c>
      <c r="Q2713" s="33">
        <f>Database_Overig_Materieel[[#This Row],[Verbruik '[liter/kWh/kg per uur']]]*Q$2745</f>
        <v>6.5874999999999995</v>
      </c>
      <c r="R2713" s="33">
        <f>Database_Overig_Materieel[[#This Row],[Verbruik '[liter/kWh/kg per uur']]]*R$2745</f>
        <v>0.10912000000000001</v>
      </c>
      <c r="S2713" s="33">
        <f>Database_Overig_Materieel[[#This Row],[Verbruik '[liter/kWh/kg per uur']]]*S$2745</f>
        <v>358.05</v>
      </c>
      <c r="T2713" s="33">
        <f>Database_Overig_Materieel[[#This Row],[Verbruik '[liter/kWh/kg per uur']]]*T$2745</f>
        <v>0.20615</v>
      </c>
      <c r="AP2713" s="33">
        <f>Database_Overig_Materieel[[#This Row],[Verbruik '[liter/kWh/kg per uur']]]*AP$2745</f>
        <v>134.85</v>
      </c>
      <c r="AS2713" s="33">
        <f>Database_Overig_Materieel[[#This Row],[Verbruik '[liter/kWh/kg per uur']]]*AS$2745</f>
        <v>47.585000000000001</v>
      </c>
      <c r="AW2713" s="33">
        <f>Database_Overig_Materieel[[#This Row],[Verbruik '[liter/kWh/kg per uur']]]*AW$2745</f>
        <v>134.85</v>
      </c>
      <c r="AX2713" s="33">
        <f>Database_Overig_Materieel[[#This Row],[Verbruik '[liter/kWh/kg per uur']]]*AX$2745</f>
        <v>6.355E-4</v>
      </c>
      <c r="AY2713" s="33">
        <f>Database_Overig_Materieel[[#This Row],[Verbruik '[liter/kWh/kg per uur']]]*AY$2745</f>
        <v>1.1795500000000001</v>
      </c>
      <c r="AZ2713" s="33">
        <f>Database_Overig_Materieel[[#This Row],[Verbruik '[liter/kWh/kg per uur']]]*AZ$2745</f>
        <v>1.3981E-4</v>
      </c>
      <c r="BF2713" s="33" t="s">
        <v>892</v>
      </c>
      <c r="BG2713" s="33" t="s">
        <v>893</v>
      </c>
      <c r="BH2713" s="33" t="s">
        <v>854</v>
      </c>
    </row>
    <row r="2714" spans="1:60">
      <c r="A2714" s="33" t="s">
        <v>1028</v>
      </c>
      <c r="B2714" s="33" t="s">
        <v>936</v>
      </c>
      <c r="C2714" s="33" t="s">
        <v>938</v>
      </c>
      <c r="D2714" s="33" t="s">
        <v>1015</v>
      </c>
      <c r="E2714" s="33" t="s">
        <v>829</v>
      </c>
      <c r="F2714" s="45">
        <f>F2701*3.1</f>
        <v>15.5</v>
      </c>
      <c r="G2714" s="41">
        <f>Database_Overig_Materieel[[#This Row],[Verbruik '[liter/kWh/kg per uur']]]*G$2746</f>
        <v>1.2925808205</v>
      </c>
      <c r="H2714" s="108">
        <v>125</v>
      </c>
      <c r="I2714" s="33">
        <v>3.6</v>
      </c>
      <c r="J2714" s="40">
        <f>Database_Overig_Materieel[[#This Row],[Verbruik '[liter/kWh/kg per uur']]]*J$2746</f>
        <v>2.1855E-4</v>
      </c>
      <c r="K2714" s="33">
        <f>Database_Overig_Materieel[[#This Row],[Verbruik '[liter/kWh/kg per uur']]]*K$2746</f>
        <v>9.0365000000000001E-2</v>
      </c>
      <c r="L2714" s="33">
        <f>Database_Overig_Materieel[[#This Row],[Verbruik '[liter/kWh/kg per uur']]]*L$2746</f>
        <v>10.741499999999998</v>
      </c>
      <c r="M2714" s="33">
        <f>Database_Overig_Materieel[[#This Row],[Verbruik '[liter/kWh/kg per uur']]]*M$2746</f>
        <v>7.5174999999999994E-7</v>
      </c>
      <c r="N2714" s="33">
        <f>Database_Overig_Materieel[[#This Row],[Verbruik '[liter/kWh/kg per uur']]]*N$2746</f>
        <v>4.0610000000000004E-3</v>
      </c>
      <c r="O2714" s="33">
        <f>Database_Overig_Materieel[[#This Row],[Verbruik '[liter/kWh/kg per uur']]]*O$2746</f>
        <v>3.2239999999999998E-2</v>
      </c>
      <c r="P2714" s="33">
        <f>Database_Overig_Materieel[[#This Row],[Verbruik '[liter/kWh/kg per uur']]]*P$2746</f>
        <v>3.8594999999999996E-3</v>
      </c>
      <c r="Q2714" s="33">
        <f>Database_Overig_Materieel[[#This Row],[Verbruik '[liter/kWh/kg per uur']]]*Q$2746</f>
        <v>5.7815000000000003</v>
      </c>
      <c r="R2714" s="33">
        <f>Database_Overig_Materieel[[#This Row],[Verbruik '[liter/kWh/kg per uur']]]*R$2746</f>
        <v>9.2380000000000004E-2</v>
      </c>
      <c r="S2714" s="33">
        <f>Database_Overig_Materieel[[#This Row],[Verbruik '[liter/kWh/kg per uur']]]*S$2746</f>
        <v>337.90000000000003</v>
      </c>
      <c r="T2714" s="33">
        <f>Database_Overig_Materieel[[#This Row],[Verbruik '[liter/kWh/kg per uur']]]*T$2746</f>
        <v>0.2046</v>
      </c>
      <c r="AP2714" s="33">
        <f>Database_Overig_Materieel[[#This Row],[Verbruik '[liter/kWh/kg per uur']]]*AP$2746</f>
        <v>3.7044999999999999</v>
      </c>
      <c r="AS2714" s="33">
        <f>Database_Overig_Materieel[[#This Row],[Verbruik '[liter/kWh/kg per uur']]]*AS$2746</f>
        <v>168.95000000000002</v>
      </c>
      <c r="AW2714" s="33">
        <f>Database_Overig_Materieel[[#This Row],[Verbruik '[liter/kWh/kg per uur']]]*AW$2746</f>
        <v>3.7044999999999999</v>
      </c>
      <c r="AX2714" s="33">
        <f>Database_Overig_Materieel[[#This Row],[Verbruik '[liter/kWh/kg per uur']]]*AX$2746</f>
        <v>4.9909999999999993E-4</v>
      </c>
      <c r="AY2714" s="33">
        <f>Database_Overig_Materieel[[#This Row],[Verbruik '[liter/kWh/kg per uur']]]*AY$2746</f>
        <v>0.87885000000000002</v>
      </c>
      <c r="AZ2714" s="33">
        <f>Database_Overig_Materieel[[#This Row],[Verbruik '[liter/kWh/kg per uur']]]*AZ$2746</f>
        <v>1.4353E-4</v>
      </c>
      <c r="BF2714" s="33" t="s">
        <v>892</v>
      </c>
      <c r="BG2714" s="33" t="s">
        <v>893</v>
      </c>
      <c r="BH2714" s="33" t="s">
        <v>854</v>
      </c>
    </row>
    <row r="2715" spans="1:60" ht="15.75">
      <c r="J2715" s="167"/>
      <c r="K2715" s="166"/>
      <c r="L2715" s="167"/>
      <c r="M2715" s="166"/>
      <c r="N2715" s="167"/>
      <c r="O2715" s="167"/>
      <c r="P2715" s="166"/>
      <c r="Q2715" s="166"/>
      <c r="R2715" s="167"/>
      <c r="S2715" s="166"/>
      <c r="T2715" s="167"/>
      <c r="U2715" s="167"/>
      <c r="V2715" s="167"/>
      <c r="W2715" s="166"/>
      <c r="X2715" s="167"/>
      <c r="Y2715" s="167"/>
      <c r="Z2715" s="166"/>
      <c r="AA2715" s="167"/>
      <c r="AB2715" s="167"/>
      <c r="AC2715" s="166"/>
      <c r="AD2715" s="166"/>
      <c r="AE2715" s="167"/>
      <c r="AF2715" s="167"/>
      <c r="AG2715" s="167"/>
      <c r="AH2715" s="167"/>
      <c r="AI2715" s="167"/>
      <c r="AJ2715" s="167"/>
      <c r="AK2715" s="167"/>
      <c r="AL2715" s="167"/>
      <c r="AM2715" s="167"/>
      <c r="AN2715" s="167"/>
      <c r="AO2715" s="167"/>
      <c r="AP2715" s="166"/>
      <c r="AQ2715" s="167"/>
      <c r="AR2715" s="166"/>
      <c r="AS2715" s="167"/>
      <c r="AT2715" s="167"/>
      <c r="AU2715" s="167"/>
      <c r="AV2715" s="167"/>
      <c r="AW2715" s="167"/>
      <c r="AX2715" s="167"/>
      <c r="AY2715" s="167"/>
      <c r="AZ2715" s="167"/>
      <c r="BA2715" s="167"/>
      <c r="BB2715" s="167"/>
      <c r="BC2715" s="167"/>
      <c r="BD2715" s="167"/>
      <c r="BE2715" s="167"/>
      <c r="BF2715" s="180"/>
      <c r="BG2715" s="180"/>
      <c r="BH2715" s="180" t="s">
        <v>481</v>
      </c>
    </row>
    <row r="2716" spans="1:60" ht="15.75">
      <c r="A2716" s="33" t="s">
        <v>1029</v>
      </c>
      <c r="J2716" s="174"/>
      <c r="K2716" s="175"/>
      <c r="L2716" s="175"/>
      <c r="M2716" s="175"/>
      <c r="N2716" s="176"/>
      <c r="O2716" s="175"/>
      <c r="P2716" s="175"/>
      <c r="Q2716" s="175"/>
      <c r="R2716" s="175"/>
      <c r="S2716" s="175"/>
      <c r="T2716" s="175"/>
      <c r="U2716" s="175"/>
      <c r="V2716" s="175"/>
      <c r="W2716" s="175"/>
      <c r="X2716" s="176"/>
      <c r="Y2716" s="176"/>
      <c r="Z2716" s="175"/>
      <c r="AA2716" s="175"/>
      <c r="AB2716" s="176"/>
      <c r="AC2716" s="175"/>
      <c r="AD2716" s="175"/>
      <c r="AE2716" s="176"/>
      <c r="AF2716" s="176"/>
      <c r="AG2716" s="176"/>
      <c r="AH2716" s="176"/>
      <c r="AI2716" s="176"/>
      <c r="AJ2716" s="176"/>
      <c r="AK2716" s="176"/>
      <c r="AL2716" s="176"/>
      <c r="AM2716" s="176"/>
      <c r="AN2716" s="176"/>
      <c r="AO2716" s="175"/>
      <c r="AP2716" s="175"/>
      <c r="AQ2716" s="175"/>
      <c r="AR2716" s="175"/>
      <c r="AS2716" s="176"/>
      <c r="AT2716" s="176"/>
      <c r="AU2716" s="176"/>
      <c r="AV2716" s="176"/>
      <c r="AW2716" s="176"/>
      <c r="AX2716" s="176"/>
      <c r="AY2716" s="176"/>
      <c r="AZ2716" s="176"/>
      <c r="BA2716" s="176"/>
      <c r="BB2716" s="176"/>
      <c r="BC2716" s="176"/>
      <c r="BD2716" s="176"/>
      <c r="BE2716" s="177"/>
    </row>
    <row r="2717" spans="1:60" ht="15.75">
      <c r="A2717" s="33" t="s">
        <v>820</v>
      </c>
      <c r="B2717" s="33" t="s">
        <v>11</v>
      </c>
      <c r="C2717" s="33" t="s">
        <v>6</v>
      </c>
      <c r="D2717" s="33" t="s">
        <v>9</v>
      </c>
      <c r="E2717" s="33" t="s">
        <v>821</v>
      </c>
      <c r="F2717" s="33" t="s">
        <v>822</v>
      </c>
      <c r="G2717" s="33" t="s">
        <v>430</v>
      </c>
      <c r="H2717" s="33" t="s">
        <v>866</v>
      </c>
      <c r="I2717" s="33" t="s">
        <v>824</v>
      </c>
      <c r="J2717" s="174" t="s">
        <v>431</v>
      </c>
      <c r="K2717" s="175" t="s">
        <v>432</v>
      </c>
      <c r="L2717" s="175" t="s">
        <v>433</v>
      </c>
      <c r="M2717" s="175" t="s">
        <v>434</v>
      </c>
      <c r="N2717" s="176" t="s">
        <v>435</v>
      </c>
      <c r="O2717" s="175" t="s">
        <v>436</v>
      </c>
      <c r="P2717" s="175" t="s">
        <v>437</v>
      </c>
      <c r="Q2717" s="175" t="s">
        <v>438</v>
      </c>
      <c r="R2717" s="175" t="s">
        <v>439</v>
      </c>
      <c r="S2717" s="175" t="s">
        <v>440</v>
      </c>
      <c r="T2717" s="175" t="s">
        <v>441</v>
      </c>
      <c r="U2717" s="175" t="s">
        <v>442</v>
      </c>
      <c r="V2717" s="175" t="s">
        <v>443</v>
      </c>
      <c r="W2717" s="175" t="s">
        <v>444</v>
      </c>
      <c r="X2717" s="176" t="s">
        <v>445</v>
      </c>
      <c r="Y2717" s="176" t="s">
        <v>446</v>
      </c>
      <c r="Z2717" s="175" t="s">
        <v>447</v>
      </c>
      <c r="AA2717" s="175" t="s">
        <v>448</v>
      </c>
      <c r="AB2717" s="176" t="s">
        <v>449</v>
      </c>
      <c r="AC2717" s="175" t="s">
        <v>450</v>
      </c>
      <c r="AD2717" s="175" t="s">
        <v>451</v>
      </c>
      <c r="AE2717" s="176" t="s">
        <v>452</v>
      </c>
      <c r="AF2717" s="176" t="s">
        <v>453</v>
      </c>
      <c r="AG2717" s="176" t="s">
        <v>454</v>
      </c>
      <c r="AH2717" s="176" t="s">
        <v>455</v>
      </c>
      <c r="AI2717" s="176" t="s">
        <v>456</v>
      </c>
      <c r="AJ2717" s="176" t="s">
        <v>457</v>
      </c>
      <c r="AK2717" s="176" t="s">
        <v>458</v>
      </c>
      <c r="AL2717" s="176" t="s">
        <v>459</v>
      </c>
      <c r="AM2717" s="176" t="s">
        <v>460</v>
      </c>
      <c r="AN2717" s="176" t="s">
        <v>461</v>
      </c>
      <c r="AO2717" s="175" t="s">
        <v>462</v>
      </c>
      <c r="AP2717" s="175" t="s">
        <v>463</v>
      </c>
      <c r="AQ2717" s="175" t="s">
        <v>464</v>
      </c>
      <c r="AR2717" s="175" t="s">
        <v>465</v>
      </c>
      <c r="AS2717" s="176" t="s">
        <v>466</v>
      </c>
      <c r="AT2717" s="176" t="s">
        <v>467</v>
      </c>
      <c r="AU2717" s="176" t="s">
        <v>468</v>
      </c>
      <c r="AV2717" s="176" t="s">
        <v>469</v>
      </c>
      <c r="AW2717" s="176" t="s">
        <v>470</v>
      </c>
      <c r="AX2717" s="176" t="s">
        <v>471</v>
      </c>
      <c r="AY2717" s="176" t="s">
        <v>472</v>
      </c>
      <c r="AZ2717" s="176" t="s">
        <v>473</v>
      </c>
      <c r="BA2717" s="176" t="s">
        <v>474</v>
      </c>
      <c r="BB2717" s="176" t="s">
        <v>475</v>
      </c>
      <c r="BC2717" s="176" t="s">
        <v>476</v>
      </c>
      <c r="BD2717" s="176" t="s">
        <v>477</v>
      </c>
      <c r="BE2717" s="177" t="s">
        <v>478</v>
      </c>
      <c r="BF2717" s="33" t="s">
        <v>480</v>
      </c>
      <c r="BG2717" s="33" t="s">
        <v>481</v>
      </c>
      <c r="BH2717" s="33" t="s">
        <v>825</v>
      </c>
    </row>
    <row r="2718" spans="1:60">
      <c r="A2718" s="39" t="s">
        <v>223</v>
      </c>
      <c r="B2718" s="39" t="s">
        <v>1030</v>
      </c>
      <c r="C2718" s="39" t="s">
        <v>1031</v>
      </c>
      <c r="D2718" s="39" t="s">
        <v>1032</v>
      </c>
      <c r="E2718" s="39" t="s">
        <v>829</v>
      </c>
      <c r="F2718" s="39">
        <v>1</v>
      </c>
      <c r="G2718" s="39">
        <v>0.366788</v>
      </c>
      <c r="H2718" s="39"/>
      <c r="I2718" s="39">
        <v>35.9</v>
      </c>
      <c r="J2718" s="46">
        <v>7.1725684000000003E-6</v>
      </c>
      <c r="K2718" s="46">
        <v>2.3623294999999999E-2</v>
      </c>
      <c r="L2718" s="46">
        <v>3.4623425999999999</v>
      </c>
      <c r="M2718" s="46">
        <v>6.0836697000000001E-7</v>
      </c>
      <c r="N2718" s="46">
        <v>1.0665121E-3</v>
      </c>
      <c r="O2718" s="46">
        <v>1.4294339E-2</v>
      </c>
      <c r="P2718" s="46">
        <v>2.9927983000000002E-3</v>
      </c>
      <c r="Q2718" s="46">
        <v>1.0628602</v>
      </c>
      <c r="R2718" s="46">
        <v>2.0343422999999999E-2</v>
      </c>
      <c r="S2718" s="46">
        <v>67.414569</v>
      </c>
      <c r="T2718" s="46">
        <v>1.0283496E-2</v>
      </c>
      <c r="U2718" s="46">
        <v>3.4831935999999999</v>
      </c>
      <c r="V2718" s="46">
        <v>3.4791462000000002</v>
      </c>
      <c r="W2718" s="46">
        <v>3.5281616999999999E-3</v>
      </c>
      <c r="X2718" s="46">
        <v>5.1921197000000003E-4</v>
      </c>
      <c r="Y2718" s="46">
        <v>7.6198893000000005E-7</v>
      </c>
      <c r="Z2718" s="46">
        <v>1.9315459E-2</v>
      </c>
      <c r="AA2718" s="46">
        <v>2.2420601E-5</v>
      </c>
      <c r="AB2718" s="46">
        <v>7.3619465999999996E-3</v>
      </c>
      <c r="AC2718" s="46">
        <v>8.0791688E-2</v>
      </c>
      <c r="AD2718" s="46">
        <v>2.0974926000000001E-2</v>
      </c>
      <c r="AE2718" s="46">
        <v>7.1725134999999998E-6</v>
      </c>
      <c r="AF2718" s="46">
        <v>50.073196000000003</v>
      </c>
      <c r="AG2718" s="46">
        <v>9.7516776999999999E-2</v>
      </c>
      <c r="AH2718" s="46">
        <v>5.6532712999999999E-8</v>
      </c>
      <c r="AI2718" s="46">
        <v>0.21792427</v>
      </c>
      <c r="AJ2718" s="46">
        <v>31.446300000000001</v>
      </c>
      <c r="AK2718" s="46">
        <v>6.0595297E-9</v>
      </c>
      <c r="AL2718" s="46">
        <v>5.1283682999999999E-8</v>
      </c>
      <c r="AM2718" s="46">
        <v>6.8431490000000004</v>
      </c>
      <c r="AN2718" s="46">
        <v>0</v>
      </c>
      <c r="AO2718" s="46">
        <v>0</v>
      </c>
      <c r="AP2718" s="46">
        <v>0.57193901999999996</v>
      </c>
      <c r="AQ2718" s="46">
        <v>0</v>
      </c>
      <c r="AR2718" s="46">
        <v>0</v>
      </c>
      <c r="AS2718" s="46">
        <v>53.218969999999999</v>
      </c>
      <c r="AT2718" s="46">
        <v>0</v>
      </c>
      <c r="AU2718" s="46">
        <v>0</v>
      </c>
      <c r="AV2718" s="46">
        <v>0</v>
      </c>
      <c r="AW2718" s="46">
        <v>3.9049159E-3</v>
      </c>
      <c r="AX2718" s="46">
        <v>1.3184975999999999E-4</v>
      </c>
      <c r="AY2718" s="46">
        <v>0.12317951000000001</v>
      </c>
      <c r="AZ2718" s="46">
        <v>3.4125981999999998E-4</v>
      </c>
      <c r="BA2718" s="46">
        <v>0</v>
      </c>
      <c r="BB2718" s="46">
        <v>0</v>
      </c>
      <c r="BC2718" s="46">
        <v>0</v>
      </c>
      <c r="BD2718" s="46">
        <v>0</v>
      </c>
      <c r="BE2718" s="46">
        <v>0</v>
      </c>
      <c r="BF2718" s="39" t="s">
        <v>1033</v>
      </c>
      <c r="BG2718" s="39"/>
      <c r="BH2718" s="33" t="s">
        <v>135</v>
      </c>
    </row>
    <row r="2719" spans="1:60">
      <c r="A2719" s="39" t="s">
        <v>1034</v>
      </c>
      <c r="B2719" s="39" t="s">
        <v>1030</v>
      </c>
      <c r="C2719" s="39" t="s">
        <v>1031</v>
      </c>
      <c r="D2719" s="39" t="s">
        <v>1035</v>
      </c>
      <c r="E2719" s="39" t="s">
        <v>829</v>
      </c>
      <c r="F2719" s="39">
        <v>1</v>
      </c>
      <c r="G2719" s="39">
        <f>G2727*4.46042975206611</f>
        <v>0.30228153120475998</v>
      </c>
      <c r="H2719" s="39"/>
      <c r="I2719" s="39">
        <v>34.299999999999997</v>
      </c>
      <c r="J2719" s="46">
        <f>J2727*4.46042975206611</f>
        <v>3.7910454764429708E-5</v>
      </c>
      <c r="K2719" s="46">
        <f>K2727*4.46042975206611</f>
        <v>2.4187385078479312E-2</v>
      </c>
      <c r="L2719" s="46">
        <f>L2727*4.46042975206611</f>
        <v>2.7872317823206578</v>
      </c>
      <c r="M2719" s="46">
        <f t="shared" ref="M2719:BE2719" si="940">M2727*4.46042975206611</f>
        <v>2.5290887816409888E-7</v>
      </c>
      <c r="N2719" s="46">
        <f t="shared" si="940"/>
        <v>7.3308304845223055E-4</v>
      </c>
      <c r="O2719" s="46">
        <f t="shared" si="940"/>
        <v>6.6387171970115622E-3</v>
      </c>
      <c r="P2719" s="46">
        <f t="shared" si="940"/>
        <v>8.5872229270214781E-4</v>
      </c>
      <c r="Q2719" s="46">
        <f t="shared" si="940"/>
        <v>1.2585776962433042</v>
      </c>
      <c r="R2719" s="46">
        <f t="shared" si="940"/>
        <v>1.9978295190426421E-2</v>
      </c>
      <c r="S2719" s="46">
        <f t="shared" si="940"/>
        <v>68.576208158677602</v>
      </c>
      <c r="T2719" s="46">
        <f t="shared" si="940"/>
        <v>4.2630173758413173E-2</v>
      </c>
      <c r="U2719" s="46">
        <f t="shared" si="940"/>
        <v>2.8320347919867737</v>
      </c>
      <c r="V2719" s="46">
        <f t="shared" si="940"/>
        <v>2.8295720995120628</v>
      </c>
      <c r="W2719" s="46">
        <f t="shared" si="940"/>
        <v>1.6459525497123945E-3</v>
      </c>
      <c r="X2719" s="46">
        <f t="shared" si="940"/>
        <v>8.1677587606214779E-4</v>
      </c>
      <c r="Y2719" s="46">
        <f t="shared" si="940"/>
        <v>2.6969841747728895E-7</v>
      </c>
      <c r="Z2719" s="46">
        <f t="shared" si="940"/>
        <v>8.086226565183461E-3</v>
      </c>
      <c r="AA2719" s="46">
        <f t="shared" si="940"/>
        <v>8.9332198010181715E-5</v>
      </c>
      <c r="AB2719" s="46">
        <f t="shared" si="940"/>
        <v>1.4819334930565272E-3</v>
      </c>
      <c r="AC2719" s="46">
        <f t="shared" si="940"/>
        <v>1.6915149921480972E-2</v>
      </c>
      <c r="AD2719" s="46">
        <f t="shared" si="940"/>
        <v>5.0089145253024731E-3</v>
      </c>
      <c r="AE2719" s="46">
        <f t="shared" si="940"/>
        <v>3.791033834721317E-5</v>
      </c>
      <c r="AF2719" s="46">
        <f t="shared" si="940"/>
        <v>45.961994351603252</v>
      </c>
      <c r="AG2719" s="46">
        <f t="shared" si="940"/>
        <v>0.48060430291041267</v>
      </c>
      <c r="AH2719" s="46">
        <f t="shared" si="940"/>
        <v>4.8166838303206553E-8</v>
      </c>
      <c r="AI2719" s="46">
        <f t="shared" si="940"/>
        <v>8.6673710511074267E-2</v>
      </c>
      <c r="AJ2719" s="46">
        <f t="shared" si="940"/>
        <v>49.66643924628093</v>
      </c>
      <c r="AK2719" s="46">
        <f t="shared" si="940"/>
        <v>3.733371450684293E-9</v>
      </c>
      <c r="AL2719" s="46">
        <f t="shared" si="940"/>
        <v>9.5104507058776743E-8</v>
      </c>
      <c r="AM2719" s="46">
        <f t="shared" si="940"/>
        <v>4.0085915635041278</v>
      </c>
      <c r="AN2719" s="46">
        <f t="shared" si="940"/>
        <v>0.12610574721639656</v>
      </c>
      <c r="AO2719" s="46">
        <f t="shared" si="940"/>
        <v>0</v>
      </c>
      <c r="AP2719" s="46">
        <f t="shared" si="940"/>
        <v>0.92217520664330466</v>
      </c>
      <c r="AQ2719" s="46">
        <f t="shared" si="940"/>
        <v>41.662378703603252</v>
      </c>
      <c r="AR2719" s="46">
        <f t="shared" si="940"/>
        <v>4.1086713409586723E-3</v>
      </c>
      <c r="AS2719" s="46">
        <f t="shared" si="940"/>
        <v>49.993669754181759</v>
      </c>
      <c r="AT2719" s="46">
        <f t="shared" si="940"/>
        <v>7.4626558095867675E-4</v>
      </c>
      <c r="AU2719" s="46">
        <f t="shared" si="940"/>
        <v>0</v>
      </c>
      <c r="AV2719" s="46">
        <f t="shared" si="940"/>
        <v>0</v>
      </c>
      <c r="AW2719" s="46">
        <f t="shared" si="940"/>
        <v>1.6376490582902459E-2</v>
      </c>
      <c r="AX2719" s="46">
        <f t="shared" si="940"/>
        <v>1.0327392688343789E-4</v>
      </c>
      <c r="AY2719" s="46">
        <f t="shared" si="940"/>
        <v>0.1974597816721981</v>
      </c>
      <c r="AZ2719" s="46">
        <f t="shared" si="940"/>
        <v>8.0006483139173463E-5</v>
      </c>
      <c r="BA2719" s="46">
        <f t="shared" si="940"/>
        <v>0</v>
      </c>
      <c r="BB2719" s="46">
        <f t="shared" si="940"/>
        <v>0</v>
      </c>
      <c r="BC2719" s="46">
        <f t="shared" si="940"/>
        <v>0</v>
      </c>
      <c r="BD2719" s="46">
        <f t="shared" si="940"/>
        <v>0</v>
      </c>
      <c r="BE2719" s="46">
        <f t="shared" si="940"/>
        <v>0</v>
      </c>
      <c r="BF2719" s="39"/>
      <c r="BG2719" s="39" t="s">
        <v>1036</v>
      </c>
      <c r="BH2719" s="33" t="s">
        <v>135</v>
      </c>
    </row>
    <row r="2720" spans="1:60">
      <c r="A2720" s="39" t="s">
        <v>1037</v>
      </c>
      <c r="B2720" s="39" t="s">
        <v>1030</v>
      </c>
      <c r="C2720" s="39" t="s">
        <v>938</v>
      </c>
      <c r="D2720" s="39" t="s">
        <v>1038</v>
      </c>
      <c r="E2720" s="39" t="s">
        <v>829</v>
      </c>
      <c r="F2720" s="39">
        <v>1</v>
      </c>
      <c r="G2720" s="39">
        <v>0.42378189999999999</v>
      </c>
      <c r="H2720" s="39"/>
      <c r="I2720" s="39">
        <v>34.299999999999997</v>
      </c>
      <c r="J2720" s="46">
        <v>1.9285864999999999E-5</v>
      </c>
      <c r="K2720" s="46">
        <v>2.9564416E-2</v>
      </c>
      <c r="L2720" s="46">
        <v>4.6904364000000003</v>
      </c>
      <c r="M2720" s="46">
        <v>9.0363876000000001E-8</v>
      </c>
      <c r="N2720" s="46">
        <v>2.2575956E-3</v>
      </c>
      <c r="O2720" s="46">
        <v>1.7683774999999999E-2</v>
      </c>
      <c r="P2720" s="46">
        <v>2.7142519999999999E-3</v>
      </c>
      <c r="Q2720" s="46">
        <v>0.89786613000000004</v>
      </c>
      <c r="R2720" s="46">
        <v>7.7167965000000003E-3</v>
      </c>
      <c r="S2720" s="46">
        <v>32.220826000000002</v>
      </c>
      <c r="T2720" s="46">
        <v>9.7312791000000003E-3</v>
      </c>
      <c r="U2720" s="46">
        <v>4.7814747000000004</v>
      </c>
      <c r="V2720" s="46">
        <v>4.7810499000000002</v>
      </c>
      <c r="W2720" s="46">
        <v>-1.0818841E-4</v>
      </c>
      <c r="X2720" s="46">
        <v>5.3297881000000005E-4</v>
      </c>
      <c r="Y2720" s="46">
        <v>1.0209190000000001E-7</v>
      </c>
      <c r="Z2720" s="46">
        <v>2.3197419E-2</v>
      </c>
      <c r="AA2720" s="46">
        <v>2.4578454999999999E-5</v>
      </c>
      <c r="AB2720" s="46">
        <v>7.7002870999999997E-3</v>
      </c>
      <c r="AC2720" s="46">
        <v>8.4655288999999995E-2</v>
      </c>
      <c r="AD2720" s="46">
        <v>2.4290968E-2</v>
      </c>
      <c r="AE2720" s="46">
        <v>1.9285801E-5</v>
      </c>
      <c r="AF2720" s="46">
        <v>55.280836000000001</v>
      </c>
      <c r="AG2720" s="46">
        <v>0.10773406000000001</v>
      </c>
      <c r="AH2720" s="46">
        <v>3.8984768E-8</v>
      </c>
      <c r="AI2720" s="46">
        <v>3.2622969000000002E-2</v>
      </c>
      <c r="AJ2720" s="46">
        <v>14.246262</v>
      </c>
      <c r="AK2720" s="46">
        <v>5.6581297000000001E-9</v>
      </c>
      <c r="AL2720" s="46">
        <v>5.0932040000000002E-8</v>
      </c>
      <c r="AM2720" s="46">
        <v>2.7511934999999998</v>
      </c>
      <c r="AN2720" s="46">
        <v>0</v>
      </c>
      <c r="AO2720" s="46">
        <v>0</v>
      </c>
      <c r="AP2720" s="46">
        <v>0.61792906999999997</v>
      </c>
      <c r="AQ2720" s="46">
        <v>0</v>
      </c>
      <c r="AR2720" s="46">
        <v>0</v>
      </c>
      <c r="AS2720" s="46">
        <v>61.047151999999997</v>
      </c>
      <c r="AT2720" s="46">
        <v>0</v>
      </c>
      <c r="AU2720" s="46">
        <v>0</v>
      </c>
      <c r="AV2720" s="46">
        <v>0</v>
      </c>
      <c r="AW2720" s="46">
        <v>4.1415234000000004E-3</v>
      </c>
      <c r="AX2720" s="46">
        <v>6.7998287E-5</v>
      </c>
      <c r="AY2720" s="46">
        <v>0.13843525000000001</v>
      </c>
      <c r="AZ2720" s="46">
        <v>3.5126770000000002E-5</v>
      </c>
      <c r="BA2720" s="46">
        <v>0</v>
      </c>
      <c r="BB2720" s="46">
        <v>0</v>
      </c>
      <c r="BC2720" s="46">
        <v>0</v>
      </c>
      <c r="BD2720" s="46">
        <v>0</v>
      </c>
      <c r="BE2720" s="46">
        <v>0</v>
      </c>
      <c r="BF2720" s="39" t="s">
        <v>1039</v>
      </c>
      <c r="BG2720" s="39"/>
      <c r="BH2720" s="33" t="s">
        <v>135</v>
      </c>
    </row>
    <row r="2721" spans="1:60">
      <c r="A2721" s="39" t="s">
        <v>1040</v>
      </c>
      <c r="B2721" s="39" t="s">
        <v>1030</v>
      </c>
      <c r="C2721" s="39" t="s">
        <v>1031</v>
      </c>
      <c r="D2721" s="39" t="s">
        <v>1032</v>
      </c>
      <c r="E2721" s="39" t="s">
        <v>829</v>
      </c>
      <c r="F2721" s="39">
        <v>1</v>
      </c>
      <c r="G2721" s="39">
        <v>0.33068560000000002</v>
      </c>
      <c r="H2721" s="39"/>
      <c r="I2721" s="39">
        <v>35.9</v>
      </c>
      <c r="J2721" s="46">
        <v>7.6429801999999997E-6</v>
      </c>
      <c r="K2721" s="46">
        <v>2.3852936000000002E-2</v>
      </c>
      <c r="L2721" s="46">
        <v>3.4879264000000001</v>
      </c>
      <c r="M2721" s="46">
        <v>6.1249708999999999E-7</v>
      </c>
      <c r="N2721" s="46">
        <v>1.0747013000000001E-3</v>
      </c>
      <c r="O2721" s="46">
        <v>8.4420884000000005E-3</v>
      </c>
      <c r="P2721" s="46">
        <v>1.4558736999999999E-3</v>
      </c>
      <c r="Q2721" s="46">
        <v>1.0596829999999999</v>
      </c>
      <c r="R2721" s="46">
        <v>2.0532080000000001E-2</v>
      </c>
      <c r="S2721" s="46">
        <v>68.259152999999998</v>
      </c>
      <c r="T2721" s="46">
        <v>1.0320802E-2</v>
      </c>
      <c r="U2721" s="46">
        <v>3.5091058999999998</v>
      </c>
      <c r="V2721" s="46">
        <v>3.5050891000000002</v>
      </c>
      <c r="W2721" s="46">
        <v>3.4906962999999998E-3</v>
      </c>
      <c r="X2721" s="46">
        <v>5.2609578E-4</v>
      </c>
      <c r="Y2721" s="46">
        <v>7.6682744999999995E-7</v>
      </c>
      <c r="Z2721" s="46">
        <v>1.0647617999999999E-2</v>
      </c>
      <c r="AA2721" s="46">
        <v>2.2801202999999999E-5</v>
      </c>
      <c r="AB2721" s="46">
        <v>2.7262202000000002E-3</v>
      </c>
      <c r="AC2721" s="46">
        <v>3.0363411E-2</v>
      </c>
      <c r="AD2721" s="46">
        <v>9.059948E-3</v>
      </c>
      <c r="AE2721" s="46">
        <v>7.6429242999999998E-6</v>
      </c>
      <c r="AF2721" s="46">
        <v>50.527847999999999</v>
      </c>
      <c r="AG2721" s="46">
        <v>0.16063047</v>
      </c>
      <c r="AH2721" s="46">
        <v>5.7432542999999999E-8</v>
      </c>
      <c r="AI2721" s="46">
        <v>0.2189876</v>
      </c>
      <c r="AJ2721" s="46">
        <v>31.728359000000001</v>
      </c>
      <c r="AK2721" s="46">
        <v>6.0713631000000002E-9</v>
      </c>
      <c r="AL2721" s="46">
        <v>5.1572728999999998E-8</v>
      </c>
      <c r="AM2721" s="46">
        <v>6.8989142000000001</v>
      </c>
      <c r="AN2721" s="46">
        <v>0</v>
      </c>
      <c r="AO2721" s="46">
        <v>0</v>
      </c>
      <c r="AP2721" s="46">
        <v>0.58285584000000001</v>
      </c>
      <c r="AQ2721" s="46">
        <v>0</v>
      </c>
      <c r="AR2721" s="46">
        <v>0</v>
      </c>
      <c r="AS2721" s="46">
        <v>53.714030999999999</v>
      </c>
      <c r="AT2721" s="46">
        <v>0</v>
      </c>
      <c r="AU2721" s="46">
        <v>0</v>
      </c>
      <c r="AV2721" s="46">
        <v>0</v>
      </c>
      <c r="AW2721" s="46">
        <v>5.4026875000000004E-3</v>
      </c>
      <c r="AX2721" s="46">
        <v>1.3239114E-4</v>
      </c>
      <c r="AY2721" s="46">
        <v>0.12438375</v>
      </c>
      <c r="AZ2721" s="46">
        <v>3.4269914E-4</v>
      </c>
      <c r="BA2721" s="46">
        <v>0</v>
      </c>
      <c r="BB2721" s="46">
        <v>0</v>
      </c>
      <c r="BC2721" s="46">
        <v>0</v>
      </c>
      <c r="BD2721" s="46">
        <v>0</v>
      </c>
      <c r="BE2721" s="46">
        <v>0</v>
      </c>
      <c r="BF2721" s="39" t="s">
        <v>1041</v>
      </c>
      <c r="BG2721" s="39"/>
      <c r="BH2721" s="33" t="s">
        <v>135</v>
      </c>
    </row>
    <row r="2722" spans="1:60">
      <c r="A2722" s="39" t="s">
        <v>1042</v>
      </c>
      <c r="B2722" s="39" t="s">
        <v>1030</v>
      </c>
      <c r="C2722" s="39" t="s">
        <v>1031</v>
      </c>
      <c r="D2722" s="39" t="s">
        <v>1035</v>
      </c>
      <c r="E2722" s="39" t="s">
        <v>829</v>
      </c>
      <c r="F2722" s="39">
        <v>1</v>
      </c>
      <c r="G2722" s="39">
        <f>G2719*0.901571479982987</f>
        <v>0.27252840745979895</v>
      </c>
      <c r="H2722" s="39"/>
      <c r="I2722" s="39">
        <v>34.299999999999997</v>
      </c>
      <c r="J2722" s="46">
        <f>J2719*0.901571479982987</f>
        <v>3.4178984808794975E-5</v>
      </c>
      <c r="K2722" s="46">
        <f t="shared" ref="K2722:BE2722" si="941">K2719*0.901571479982987</f>
        <v>2.1806656562123012E-2</v>
      </c>
      <c r="L2722" s="46">
        <f t="shared" si="941"/>
        <v>2.5128886830424544</v>
      </c>
      <c r="M2722" s="46">
        <f t="shared" si="941"/>
        <v>2.2801543158724357E-7</v>
      </c>
      <c r="N2722" s="46">
        <f t="shared" si="941"/>
        <v>6.6092676894351731E-4</v>
      </c>
      <c r="O2722" s="46">
        <f t="shared" si="941"/>
        <v>5.985278088498221E-3</v>
      </c>
      <c r="P2722" s="46">
        <f t="shared" si="941"/>
        <v>7.7419952832585924E-4</v>
      </c>
      <c r="Q2722" s="46">
        <f t="shared" si="941"/>
        <v>1.1346977562756539</v>
      </c>
      <c r="R2722" s="46">
        <f t="shared" si="941"/>
        <v>1.801186116236974E-2</v>
      </c>
      <c r="S2722" s="46">
        <f t="shared" si="941"/>
        <v>61.826353481240353</v>
      </c>
      <c r="T2722" s="46">
        <f t="shared" si="941"/>
        <v>3.8434148847304464E-2</v>
      </c>
      <c r="U2722" s="46">
        <f t="shared" si="941"/>
        <v>2.5532817987748264</v>
      </c>
      <c r="V2722" s="46">
        <f t="shared" si="941"/>
        <v>2.5510615054756585</v>
      </c>
      <c r="W2722" s="46">
        <f t="shared" si="941"/>
        <v>1.4839438762259745E-3</v>
      </c>
      <c r="X2722" s="46">
        <f t="shared" si="941"/>
        <v>7.3638183539575142E-4</v>
      </c>
      <c r="Y2722" s="46">
        <f t="shared" si="941"/>
        <v>2.4315240139406887E-7</v>
      </c>
      <c r="Z2722" s="46">
        <f t="shared" si="941"/>
        <v>7.2903112518501985E-3</v>
      </c>
      <c r="AA2722" s="46">
        <f t="shared" si="941"/>
        <v>8.0539361970172785E-5</v>
      </c>
      <c r="AB2722" s="46">
        <f t="shared" si="941"/>
        <v>1.3360689725713309E-3</v>
      </c>
      <c r="AC2722" s="46">
        <f t="shared" si="941"/>
        <v>1.5250216748843706E-2</v>
      </c>
      <c r="AD2722" s="46">
        <f t="shared" si="941"/>
        <v>4.515894481685232E-3</v>
      </c>
      <c r="AE2722" s="46">
        <f t="shared" si="941"/>
        <v>3.4178879850352762E-5</v>
      </c>
      <c r="AF2722" s="46">
        <f t="shared" si="941"/>
        <v>41.438023270544633</v>
      </c>
      <c r="AG2722" s="46">
        <f t="shared" si="941"/>
        <v>0.43329913266113257</v>
      </c>
      <c r="AH2722" s="46">
        <f t="shared" si="941"/>
        <v>4.3425847695123162E-8</v>
      </c>
      <c r="AI2722" s="46">
        <f t="shared" si="941"/>
        <v>7.8142545461086205E-2</v>
      </c>
      <c r="AJ2722" s="46">
        <f t="shared" si="941"/>
        <v>44.777845136754607</v>
      </c>
      <c r="AK2722" s="46">
        <f t="shared" si="941"/>
        <v>3.3659012241196694E-9</v>
      </c>
      <c r="AL2722" s="46">
        <f t="shared" si="941"/>
        <v>8.5743511182033789E-8</v>
      </c>
      <c r="AM2722" s="46">
        <f t="shared" si="941"/>
        <v>3.6140318285557327</v>
      </c>
      <c r="AN2722" s="46">
        <f t="shared" si="941"/>
        <v>0.11369334515224709</v>
      </c>
      <c r="AO2722" s="46">
        <f t="shared" si="941"/>
        <v>0</v>
      </c>
      <c r="AP2722" s="46">
        <f t="shared" si="941"/>
        <v>0.83140686585702106</v>
      </c>
      <c r="AQ2722" s="46">
        <f t="shared" si="941"/>
        <v>37.561612427419263</v>
      </c>
      <c r="AR2722" s="46">
        <f t="shared" si="941"/>
        <v>3.704260901631794E-3</v>
      </c>
      <c r="AS2722" s="46">
        <f t="shared" si="941"/>
        <v>45.072866830058345</v>
      </c>
      <c r="AT2722" s="46">
        <f t="shared" si="941"/>
        <v>6.728117642852778E-4</v>
      </c>
      <c r="AU2722" s="46">
        <f t="shared" si="941"/>
        <v>0</v>
      </c>
      <c r="AV2722" s="46">
        <f t="shared" si="941"/>
        <v>0</v>
      </c>
      <c r="AW2722" s="46">
        <f t="shared" si="941"/>
        <v>1.4764576851754821E-2</v>
      </c>
      <c r="AX2722" s="46">
        <f t="shared" si="941"/>
        <v>9.3108827103955899E-5</v>
      </c>
      <c r="AY2722" s="46">
        <f t="shared" si="941"/>
        <v>0.17802410759932114</v>
      </c>
      <c r="AZ2722" s="46">
        <f t="shared" si="941"/>
        <v>7.2131563412018514E-5</v>
      </c>
      <c r="BA2722" s="46">
        <f t="shared" si="941"/>
        <v>0</v>
      </c>
      <c r="BB2722" s="46">
        <f t="shared" si="941"/>
        <v>0</v>
      </c>
      <c r="BC2722" s="46">
        <f t="shared" si="941"/>
        <v>0</v>
      </c>
      <c r="BD2722" s="46">
        <f t="shared" si="941"/>
        <v>0</v>
      </c>
      <c r="BE2722" s="46">
        <f t="shared" si="941"/>
        <v>0</v>
      </c>
      <c r="BF2722" s="39"/>
      <c r="BG2722" s="39" t="s">
        <v>1043</v>
      </c>
      <c r="BH2722" s="33" t="s">
        <v>135</v>
      </c>
    </row>
    <row r="2723" spans="1:60">
      <c r="A2723" s="39" t="s">
        <v>1044</v>
      </c>
      <c r="B2723" s="39" t="s">
        <v>1030</v>
      </c>
      <c r="C2723" s="39" t="s">
        <v>938</v>
      </c>
      <c r="D2723" s="39" t="s">
        <v>1038</v>
      </c>
      <c r="E2723" s="39" t="s">
        <v>829</v>
      </c>
      <c r="F2723" s="39">
        <v>1</v>
      </c>
      <c r="G2723" s="39">
        <v>0.38897102</v>
      </c>
      <c r="H2723" s="39"/>
      <c r="I2723" s="39">
        <v>34.299999999999997</v>
      </c>
      <c r="J2723" s="46">
        <v>1.9667496999999999E-5</v>
      </c>
      <c r="K2723" s="46">
        <v>2.9750716999999999E-2</v>
      </c>
      <c r="L2723" s="46">
        <v>4.7111993999999999</v>
      </c>
      <c r="M2723" s="46">
        <v>9.3714534000000006E-8</v>
      </c>
      <c r="N2723" s="46">
        <v>2.2672344000000001E-3</v>
      </c>
      <c r="O2723" s="46">
        <v>1.1947180999999999E-2</v>
      </c>
      <c r="P2723" s="46">
        <v>1.2103093E-3</v>
      </c>
      <c r="Q2723" s="46">
        <v>0.90351349000000003</v>
      </c>
      <c r="R2723" s="46">
        <v>7.8821176000000003E-3</v>
      </c>
      <c r="S2723" s="46">
        <v>32.906235000000002</v>
      </c>
      <c r="T2723" s="46">
        <v>9.7615875999999997E-3</v>
      </c>
      <c r="U2723" s="46">
        <v>4.8025216999999998</v>
      </c>
      <c r="V2723" s="46">
        <v>4.8021218000000001</v>
      </c>
      <c r="W2723" s="46">
        <v>-1.3858324999999999E-4</v>
      </c>
      <c r="X2723" s="46">
        <v>5.3856347000000001E-4</v>
      </c>
      <c r="Y2723" s="46">
        <v>1.0601726000000001E-7</v>
      </c>
      <c r="Z2723" s="46">
        <v>1.4701820000000001E-2</v>
      </c>
      <c r="AA2723" s="46">
        <v>2.4887228000000001E-5</v>
      </c>
      <c r="AB2723" s="46">
        <v>3.1704255999999999E-3</v>
      </c>
      <c r="AC2723" s="46">
        <v>3.5319478000000001E-2</v>
      </c>
      <c r="AD2723" s="46">
        <v>1.2654067999999999E-2</v>
      </c>
      <c r="AE2723" s="46">
        <v>1.9667433000000001E-5</v>
      </c>
      <c r="AF2723" s="46">
        <v>55.649683000000003</v>
      </c>
      <c r="AG2723" s="46">
        <v>0.15893658999999999</v>
      </c>
      <c r="AH2723" s="46">
        <v>3.9284572E-8</v>
      </c>
      <c r="AI2723" s="46">
        <v>3.3485613999999997E-2</v>
      </c>
      <c r="AJ2723" s="46">
        <v>14.475156</v>
      </c>
      <c r="AK2723" s="46">
        <v>6.0387243000000001E-9</v>
      </c>
      <c r="AL2723" s="46">
        <v>5.1177491000000003E-8</v>
      </c>
      <c r="AM2723" s="46">
        <v>2.7964343999999999</v>
      </c>
      <c r="AN2723" s="46">
        <v>0</v>
      </c>
      <c r="AO2723" s="46">
        <v>0</v>
      </c>
      <c r="AP2723" s="46">
        <v>0.62678560999999999</v>
      </c>
      <c r="AQ2723" s="46">
        <v>0</v>
      </c>
      <c r="AR2723" s="46">
        <v>0</v>
      </c>
      <c r="AS2723" s="46">
        <v>61.448782000000001</v>
      </c>
      <c r="AT2723" s="46">
        <v>0</v>
      </c>
      <c r="AU2723" s="46">
        <v>0</v>
      </c>
      <c r="AV2723" s="46">
        <v>0</v>
      </c>
      <c r="AW2723" s="46">
        <v>5.3566274000000002E-3</v>
      </c>
      <c r="AX2723" s="46">
        <v>6.8437490999999999E-5</v>
      </c>
      <c r="AY2723" s="46">
        <v>0.13941222</v>
      </c>
      <c r="AZ2723" s="46">
        <v>3.6294453000000001E-5</v>
      </c>
      <c r="BA2723" s="46">
        <v>0</v>
      </c>
      <c r="BB2723" s="46">
        <v>0</v>
      </c>
      <c r="BC2723" s="46">
        <v>0</v>
      </c>
      <c r="BD2723" s="46">
        <v>0</v>
      </c>
      <c r="BE2723" s="46">
        <v>0</v>
      </c>
      <c r="BF2723" s="39" t="s">
        <v>1045</v>
      </c>
      <c r="BG2723" s="39"/>
      <c r="BH2723" s="33" t="s">
        <v>135</v>
      </c>
    </row>
    <row r="2724" spans="1:60">
      <c r="A2724" s="39" t="s">
        <v>1046</v>
      </c>
      <c r="B2724" s="39" t="s">
        <v>1030</v>
      </c>
      <c r="C2724" s="39" t="s">
        <v>1031</v>
      </c>
      <c r="D2724" s="39" t="s">
        <v>1032</v>
      </c>
      <c r="E2724" s="39" t="s">
        <v>829</v>
      </c>
      <c r="F2724" s="39">
        <v>1</v>
      </c>
      <c r="G2724" s="39">
        <v>0.33031973999999997</v>
      </c>
      <c r="H2724" s="39"/>
      <c r="I2724" s="39">
        <v>35.9</v>
      </c>
      <c r="J2724" s="46">
        <v>7.6429801999999997E-6</v>
      </c>
      <c r="K2724" s="46">
        <v>2.3852936000000002E-2</v>
      </c>
      <c r="L2724" s="46">
        <v>3.4879264000000001</v>
      </c>
      <c r="M2724" s="46">
        <v>6.1249708999999999E-7</v>
      </c>
      <c r="N2724" s="46">
        <v>1.0747013000000001E-3</v>
      </c>
      <c r="O2724" s="46">
        <v>8.3866084000000004E-3</v>
      </c>
      <c r="P2724" s="46">
        <v>1.4414687E-3</v>
      </c>
      <c r="Q2724" s="46">
        <v>1.0595241</v>
      </c>
      <c r="R2724" s="46">
        <v>2.0532080000000001E-2</v>
      </c>
      <c r="S2724" s="46">
        <v>68.259152999999998</v>
      </c>
      <c r="T2724" s="46">
        <v>1.0320802E-2</v>
      </c>
      <c r="U2724" s="46">
        <v>3.5091058999999998</v>
      </c>
      <c r="V2724" s="46">
        <v>3.5050891000000002</v>
      </c>
      <c r="W2724" s="46">
        <v>3.4906962999999998E-3</v>
      </c>
      <c r="X2724" s="46">
        <v>5.2609578E-4</v>
      </c>
      <c r="Y2724" s="46">
        <v>7.6682744999999995E-7</v>
      </c>
      <c r="Z2724" s="46">
        <v>1.0565312E-2</v>
      </c>
      <c r="AA2724" s="46">
        <v>2.2801202999999999E-5</v>
      </c>
      <c r="AB2724" s="46">
        <v>2.6834025999999999E-3</v>
      </c>
      <c r="AC2724" s="46">
        <v>2.9890770000000001E-2</v>
      </c>
      <c r="AD2724" s="46">
        <v>8.9499479999999992E-3</v>
      </c>
      <c r="AE2724" s="46">
        <v>7.6429242999999998E-6</v>
      </c>
      <c r="AF2724" s="46">
        <v>50.527847999999999</v>
      </c>
      <c r="AG2724" s="46">
        <v>0.16063047</v>
      </c>
      <c r="AH2724" s="46">
        <v>5.7309296000000002E-8</v>
      </c>
      <c r="AI2724" s="46">
        <v>0.2189876</v>
      </c>
      <c r="AJ2724" s="46">
        <v>31.728324000000001</v>
      </c>
      <c r="AK2724" s="46">
        <v>6.0713631000000002E-9</v>
      </c>
      <c r="AL2724" s="46">
        <v>5.1572728999999998E-8</v>
      </c>
      <c r="AM2724" s="46">
        <v>6.8989142000000001</v>
      </c>
      <c r="AN2724" s="46">
        <v>0</v>
      </c>
      <c r="AO2724" s="46">
        <v>0</v>
      </c>
      <c r="AP2724" s="46">
        <v>0.58285584000000001</v>
      </c>
      <c r="AQ2724" s="46">
        <v>0</v>
      </c>
      <c r="AR2724" s="46">
        <v>0</v>
      </c>
      <c r="AS2724" s="46">
        <v>53.714030999999999</v>
      </c>
      <c r="AT2724" s="46">
        <v>0</v>
      </c>
      <c r="AU2724" s="46">
        <v>0</v>
      </c>
      <c r="AV2724" s="46">
        <v>0</v>
      </c>
      <c r="AW2724" s="46">
        <v>5.4026875000000004E-3</v>
      </c>
      <c r="AX2724" s="46">
        <v>1.3239114E-4</v>
      </c>
      <c r="AY2724" s="46">
        <v>0.12438375</v>
      </c>
      <c r="AZ2724" s="46">
        <v>3.4269914E-4</v>
      </c>
      <c r="BA2724" s="46">
        <v>0</v>
      </c>
      <c r="BB2724" s="46">
        <v>0</v>
      </c>
      <c r="BC2724" s="46">
        <v>0</v>
      </c>
      <c r="BD2724" s="46">
        <v>0</v>
      </c>
      <c r="BE2724" s="46">
        <v>0</v>
      </c>
      <c r="BF2724" s="39" t="s">
        <v>1047</v>
      </c>
      <c r="BG2724" s="39"/>
      <c r="BH2724" s="33" t="s">
        <v>135</v>
      </c>
    </row>
    <row r="2725" spans="1:60">
      <c r="A2725" s="39" t="s">
        <v>1048</v>
      </c>
      <c r="B2725" s="39" t="s">
        <v>1030</v>
      </c>
      <c r="C2725" s="39" t="s">
        <v>1031</v>
      </c>
      <c r="D2725" s="39" t="s">
        <v>1035</v>
      </c>
      <c r="E2725" s="39" t="s">
        <v>829</v>
      </c>
      <c r="F2725" s="39">
        <v>1</v>
      </c>
      <c r="G2725" s="39">
        <f>G2722*0.998893631896883</f>
        <v>0.27222689072259215</v>
      </c>
      <c r="H2725" s="39"/>
      <c r="I2725" s="39">
        <v>34.299999999999997</v>
      </c>
      <c r="J2725" s="46">
        <f>J2722*0.998893631896883</f>
        <v>3.41411702702056E-5</v>
      </c>
      <c r="K2725" s="46">
        <f t="shared" ref="K2725:BE2725" si="942">K2722*0.998893631896883</f>
        <v>2.1782530372867051E-2</v>
      </c>
      <c r="L2725" s="46">
        <f t="shared" si="942"/>
        <v>2.5101085031568524</v>
      </c>
      <c r="M2725" s="46">
        <f t="shared" si="942"/>
        <v>2.2776316258671699E-7</v>
      </c>
      <c r="N2725" s="46">
        <f t="shared" si="942"/>
        <v>6.6019554064786201E-4</v>
      </c>
      <c r="O2725" s="46">
        <f t="shared" si="942"/>
        <v>5.9786561677328213E-3</v>
      </c>
      <c r="P2725" s="46">
        <f t="shared" si="942"/>
        <v>7.7334297866227123E-4</v>
      </c>
      <c r="Q2725" s="46">
        <f t="shared" si="942"/>
        <v>1.1334423628714321</v>
      </c>
      <c r="R2725" s="46">
        <f t="shared" si="942"/>
        <v>1.7991933413701922E-2</v>
      </c>
      <c r="S2725" s="46">
        <f t="shared" si="942"/>
        <v>61.757950775816667</v>
      </c>
      <c r="T2725" s="46">
        <f t="shared" si="942"/>
        <v>3.8391626530949352E-2</v>
      </c>
      <c r="U2725" s="46">
        <f t="shared" si="942"/>
        <v>2.5504569292343926</v>
      </c>
      <c r="V2725" s="46">
        <f t="shared" si="942"/>
        <v>2.5482390923969103</v>
      </c>
      <c r="W2725" s="46">
        <f t="shared" si="942"/>
        <v>1.4823020880545023E-3</v>
      </c>
      <c r="X2725" s="46">
        <f t="shared" si="942"/>
        <v>7.3556712602135482E-4</v>
      </c>
      <c r="Y2725" s="46">
        <f t="shared" si="942"/>
        <v>2.4288338533297015E-7</v>
      </c>
      <c r="Z2725" s="46">
        <f t="shared" si="942"/>
        <v>7.2822454840193564E-3</v>
      </c>
      <c r="AA2725" s="46">
        <f t="shared" si="942"/>
        <v>8.0450255789043582E-5</v>
      </c>
      <c r="AB2725" s="46">
        <f t="shared" si="942"/>
        <v>1.3345907884765135E-3</v>
      </c>
      <c r="AC2725" s="46">
        <f t="shared" si="942"/>
        <v>1.5233344395467164E-2</v>
      </c>
      <c r="AD2725" s="46">
        <f t="shared" si="942"/>
        <v>4.510898240073653E-3</v>
      </c>
      <c r="AE2725" s="46">
        <f t="shared" si="942"/>
        <v>3.4141065427886061E-5</v>
      </c>
      <c r="AF2725" s="46">
        <f t="shared" si="942"/>
        <v>41.392177563341882</v>
      </c>
      <c r="AG2725" s="46">
        <f t="shared" si="942"/>
        <v>0.43281974432164799</v>
      </c>
      <c r="AH2725" s="46">
        <f t="shared" si="942"/>
        <v>4.3377802722382457E-8</v>
      </c>
      <c r="AI2725" s="46">
        <f t="shared" si="942"/>
        <v>7.8056091041291686E-2</v>
      </c>
      <c r="AJ2725" s="46">
        <f t="shared" si="942"/>
        <v>44.728304357168987</v>
      </c>
      <c r="AK2725" s="46">
        <f t="shared" si="942"/>
        <v>3.3621772983670607E-9</v>
      </c>
      <c r="AL2725" s="46">
        <f t="shared" si="942"/>
        <v>8.5648647296212734E-8</v>
      </c>
      <c r="AM2725" s="46">
        <f t="shared" si="942"/>
        <v>3.610033379016969</v>
      </c>
      <c r="AN2725" s="46">
        <f t="shared" si="942"/>
        <v>0.11356755846163397</v>
      </c>
      <c r="AO2725" s="46">
        <f t="shared" si="942"/>
        <v>0</v>
      </c>
      <c r="AP2725" s="46">
        <f t="shared" si="942"/>
        <v>0.83048702381992434</v>
      </c>
      <c r="AQ2725" s="46">
        <f t="shared" si="942"/>
        <v>37.520055457527924</v>
      </c>
      <c r="AR2725" s="46">
        <f t="shared" si="942"/>
        <v>3.7001626255246051E-3</v>
      </c>
      <c r="AS2725" s="46">
        <f t="shared" si="942"/>
        <v>45.022999647881527</v>
      </c>
      <c r="AT2725" s="46">
        <f t="shared" si="942"/>
        <v>6.7206738680987063E-4</v>
      </c>
      <c r="AU2725" s="46">
        <f t="shared" si="942"/>
        <v>0</v>
      </c>
      <c r="AV2725" s="46">
        <f t="shared" si="942"/>
        <v>0</v>
      </c>
      <c r="AW2725" s="46">
        <f t="shared" si="942"/>
        <v>1.4748241794870019E-2</v>
      </c>
      <c r="AX2725" s="46">
        <f t="shared" si="942"/>
        <v>9.3005814467529439E-5</v>
      </c>
      <c r="AY2725" s="46">
        <f t="shared" si="942"/>
        <v>0.17782714740508737</v>
      </c>
      <c r="AZ2725" s="46">
        <f t="shared" si="942"/>
        <v>7.2051759351031495E-5</v>
      </c>
      <c r="BA2725" s="46">
        <f t="shared" si="942"/>
        <v>0</v>
      </c>
      <c r="BB2725" s="46">
        <f t="shared" si="942"/>
        <v>0</v>
      </c>
      <c r="BC2725" s="46">
        <f t="shared" si="942"/>
        <v>0</v>
      </c>
      <c r="BD2725" s="46">
        <f t="shared" si="942"/>
        <v>0</v>
      </c>
      <c r="BE2725" s="46">
        <f t="shared" si="942"/>
        <v>0</v>
      </c>
      <c r="BF2725" s="39"/>
      <c r="BG2725" s="39" t="s">
        <v>1049</v>
      </c>
      <c r="BH2725" s="33" t="s">
        <v>135</v>
      </c>
    </row>
    <row r="2726" spans="1:60">
      <c r="A2726" s="39" t="s">
        <v>1050</v>
      </c>
      <c r="B2726" s="39" t="s">
        <v>1030</v>
      </c>
      <c r="C2726" s="39" t="s">
        <v>938</v>
      </c>
      <c r="D2726" s="39" t="s">
        <v>1038</v>
      </c>
      <c r="E2726" s="39" t="s">
        <v>829</v>
      </c>
      <c r="F2726" s="39">
        <v>1</v>
      </c>
      <c r="G2726" s="39">
        <v>0.38861704000000002</v>
      </c>
      <c r="H2726" s="39"/>
      <c r="I2726" s="39">
        <v>34.299999999999997</v>
      </c>
      <c r="J2726" s="46">
        <v>1.9667496999999999E-5</v>
      </c>
      <c r="K2726" s="46">
        <v>2.9750716999999999E-2</v>
      </c>
      <c r="L2726" s="46">
        <v>4.7111993999999999</v>
      </c>
      <c r="M2726" s="46">
        <v>9.3714534000000006E-8</v>
      </c>
      <c r="N2726" s="46">
        <v>2.2672344000000001E-3</v>
      </c>
      <c r="O2726" s="46">
        <v>1.189347E-2</v>
      </c>
      <c r="P2726" s="46">
        <v>1.1963445E-3</v>
      </c>
      <c r="Q2726" s="46">
        <v>0.90336404999999997</v>
      </c>
      <c r="R2726" s="46">
        <v>7.8821176000000003E-3</v>
      </c>
      <c r="S2726" s="46">
        <v>32.906235000000002</v>
      </c>
      <c r="T2726" s="46">
        <v>9.7615875999999997E-3</v>
      </c>
      <c r="U2726" s="46">
        <v>4.8025216999999998</v>
      </c>
      <c r="V2726" s="46">
        <v>4.8021218000000001</v>
      </c>
      <c r="W2726" s="46">
        <v>-1.3858324999999999E-4</v>
      </c>
      <c r="X2726" s="46">
        <v>5.3856347000000001E-4</v>
      </c>
      <c r="Y2726" s="46">
        <v>1.0601726000000001E-7</v>
      </c>
      <c r="Z2726" s="46">
        <v>1.4622328E-2</v>
      </c>
      <c r="AA2726" s="46">
        <v>2.4887228000000001E-5</v>
      </c>
      <c r="AB2726" s="46">
        <v>3.1286385000000002E-3</v>
      </c>
      <c r="AC2726" s="46">
        <v>3.4861861000000001E-2</v>
      </c>
      <c r="AD2726" s="46">
        <v>1.2546646999999999E-2</v>
      </c>
      <c r="AE2726" s="46">
        <v>1.9667433000000001E-5</v>
      </c>
      <c r="AF2726" s="46">
        <v>55.649683000000003</v>
      </c>
      <c r="AG2726" s="46">
        <v>0.15893658999999999</v>
      </c>
      <c r="AH2726" s="46">
        <v>3.9190193999999998E-8</v>
      </c>
      <c r="AI2726" s="46">
        <v>3.3485613999999997E-2</v>
      </c>
      <c r="AJ2726" s="46">
        <v>14.475156</v>
      </c>
      <c r="AK2726" s="46">
        <v>6.0387243000000001E-9</v>
      </c>
      <c r="AL2726" s="46">
        <v>5.1177491000000003E-8</v>
      </c>
      <c r="AM2726" s="46">
        <v>2.7964343999999999</v>
      </c>
      <c r="AN2726" s="46">
        <v>0</v>
      </c>
      <c r="AO2726" s="46">
        <v>0</v>
      </c>
      <c r="AP2726" s="46">
        <v>0.62678560999999999</v>
      </c>
      <c r="AQ2726" s="46">
        <v>0</v>
      </c>
      <c r="AR2726" s="46">
        <v>0</v>
      </c>
      <c r="AS2726" s="46">
        <v>61.448782000000001</v>
      </c>
      <c r="AT2726" s="46">
        <v>0</v>
      </c>
      <c r="AU2726" s="46">
        <v>0</v>
      </c>
      <c r="AV2726" s="46">
        <v>0</v>
      </c>
      <c r="AW2726" s="46">
        <v>5.3566274000000002E-3</v>
      </c>
      <c r="AX2726" s="46">
        <v>6.8437490999999999E-5</v>
      </c>
      <c r="AY2726" s="46">
        <v>0.13941222</v>
      </c>
      <c r="AZ2726" s="46">
        <v>3.6294453000000001E-5</v>
      </c>
      <c r="BA2726" s="46">
        <v>0</v>
      </c>
      <c r="BB2726" s="46">
        <v>0</v>
      </c>
      <c r="BC2726" s="46">
        <v>0</v>
      </c>
      <c r="BD2726" s="46">
        <v>0</v>
      </c>
      <c r="BE2726" s="46">
        <v>0</v>
      </c>
      <c r="BF2726" s="39" t="s">
        <v>1051</v>
      </c>
      <c r="BG2726" s="39"/>
      <c r="BH2726" s="33" t="s">
        <v>135</v>
      </c>
    </row>
    <row r="2727" spans="1:60">
      <c r="A2727" s="39" t="s">
        <v>1052</v>
      </c>
      <c r="B2727" s="39" t="s">
        <v>1053</v>
      </c>
      <c r="C2727" s="39" t="s">
        <v>1031</v>
      </c>
      <c r="D2727" s="39" t="s">
        <v>1054</v>
      </c>
      <c r="E2727" s="39" t="s">
        <v>829</v>
      </c>
      <c r="F2727" s="39">
        <v>1</v>
      </c>
      <c r="G2727" s="39">
        <v>6.7769598E-2</v>
      </c>
      <c r="H2727" s="39"/>
      <c r="I2727" s="39">
        <v>3.6</v>
      </c>
      <c r="J2727" s="46">
        <v>8.4992830000000003E-6</v>
      </c>
      <c r="K2727" s="46">
        <v>5.4226580000000003E-3</v>
      </c>
      <c r="L2727" s="46">
        <v>0.62487965000000001</v>
      </c>
      <c r="M2727" s="46">
        <v>5.6700563000000002E-8</v>
      </c>
      <c r="N2727" s="46">
        <v>1.6435256E-4</v>
      </c>
      <c r="O2727" s="46">
        <v>1.4883582E-3</v>
      </c>
      <c r="P2727" s="46">
        <v>1.9252008000000001E-4</v>
      </c>
      <c r="Q2727" s="46">
        <v>0.28216511999999999</v>
      </c>
      <c r="R2727" s="46">
        <v>4.4790068000000001E-3</v>
      </c>
      <c r="S2727" s="46">
        <v>15.37435</v>
      </c>
      <c r="T2727" s="46">
        <v>9.5574140000000002E-3</v>
      </c>
      <c r="U2727" s="46">
        <v>0.63492420000000005</v>
      </c>
      <c r="V2727" s="46">
        <v>0.63437208</v>
      </c>
      <c r="W2727" s="46">
        <v>3.6901209999999998E-4</v>
      </c>
      <c r="X2727" s="46">
        <v>1.8311596000000001E-4</v>
      </c>
      <c r="Y2727" s="46">
        <v>6.0464671000000003E-8</v>
      </c>
      <c r="Z2727" s="46">
        <v>1.8128806E-3</v>
      </c>
      <c r="AA2727" s="46">
        <v>2.0027711000000001E-5</v>
      </c>
      <c r="AB2727" s="46">
        <v>3.3224007000000002E-4</v>
      </c>
      <c r="AC2727" s="46">
        <v>3.7922691000000001E-3</v>
      </c>
      <c r="AD2727" s="46">
        <v>1.1229668E-3</v>
      </c>
      <c r="AE2727" s="46">
        <v>8.4992568999999992E-6</v>
      </c>
      <c r="AF2727" s="46">
        <v>10.304387</v>
      </c>
      <c r="AG2727" s="46">
        <v>0.10774843000000001</v>
      </c>
      <c r="AH2727" s="46">
        <v>1.0798699E-8</v>
      </c>
      <c r="AI2727" s="46">
        <v>1.9431694999999999E-2</v>
      </c>
      <c r="AJ2727" s="46">
        <v>11.1349</v>
      </c>
      <c r="AK2727" s="46">
        <v>8.3699815000000004E-10</v>
      </c>
      <c r="AL2727" s="46">
        <v>2.1321826000000001E-8</v>
      </c>
      <c r="AM2727" s="46">
        <v>0.89870075000000005</v>
      </c>
      <c r="AN2727" s="46">
        <v>2.8272107000000001E-2</v>
      </c>
      <c r="AO2727" s="46">
        <v>0</v>
      </c>
      <c r="AP2727" s="46">
        <v>0.20674582</v>
      </c>
      <c r="AQ2727" s="46">
        <v>9.3404404999999997</v>
      </c>
      <c r="AR2727" s="46">
        <v>9.2113799999999995E-4</v>
      </c>
      <c r="AS2727" s="46">
        <v>11.208263000000001</v>
      </c>
      <c r="AT2727" s="46">
        <v>1.6730799999999999E-4</v>
      </c>
      <c r="AU2727" s="46">
        <v>0</v>
      </c>
      <c r="AV2727" s="46">
        <v>0</v>
      </c>
      <c r="AW2727" s="46">
        <v>3.6715050999999999E-3</v>
      </c>
      <c r="AX2727" s="46">
        <v>2.3153357999999999E-5</v>
      </c>
      <c r="AY2727" s="46">
        <v>4.4269228000000001E-2</v>
      </c>
      <c r="AZ2727" s="46">
        <v>1.7936945000000001E-5</v>
      </c>
      <c r="BA2727" s="46">
        <v>0</v>
      </c>
      <c r="BB2727" s="46">
        <v>0</v>
      </c>
      <c r="BC2727" s="46">
        <v>0</v>
      </c>
      <c r="BD2727" s="46">
        <v>0</v>
      </c>
      <c r="BE2727" s="46">
        <v>0</v>
      </c>
      <c r="BF2727" s="39" t="s">
        <v>1055</v>
      </c>
      <c r="BG2727" s="39"/>
      <c r="BH2727" s="33" t="s">
        <v>854</v>
      </c>
    </row>
    <row r="2728" spans="1:60">
      <c r="A2728" s="39" t="s">
        <v>1056</v>
      </c>
      <c r="B2728" s="39" t="s">
        <v>1053</v>
      </c>
      <c r="C2728" s="39" t="s">
        <v>1031</v>
      </c>
      <c r="D2728" s="39" t="s">
        <v>1054</v>
      </c>
      <c r="E2728" s="39" t="s">
        <v>829</v>
      </c>
      <c r="F2728" s="39">
        <v>1</v>
      </c>
      <c r="G2728" s="39">
        <v>4.8422156000000001E-2</v>
      </c>
      <c r="H2728" s="39"/>
      <c r="I2728" s="39">
        <v>3.6</v>
      </c>
      <c r="J2728" s="46">
        <v>1.4129283000000001E-5</v>
      </c>
      <c r="K2728" s="46">
        <v>1.2070449999999999E-3</v>
      </c>
      <c r="L2728" s="46">
        <v>0.17053372</v>
      </c>
      <c r="M2728" s="46">
        <v>1.8980562999999999E-8</v>
      </c>
      <c r="N2728" s="46">
        <v>1.7465256000000001E-4</v>
      </c>
      <c r="O2728" s="46">
        <v>1.4810292000000001E-3</v>
      </c>
      <c r="P2728" s="46">
        <v>2.3378407999999999E-4</v>
      </c>
      <c r="Q2728" s="46">
        <v>0.32291982000000002</v>
      </c>
      <c r="R2728" s="46">
        <v>4.9764908000000004E-3</v>
      </c>
      <c r="S2728" s="46">
        <v>15.183004</v>
      </c>
      <c r="T2728" s="46">
        <v>9.8609240000000001E-3</v>
      </c>
      <c r="U2728" s="46">
        <v>0.18513586000000001</v>
      </c>
      <c r="V2728" s="46">
        <v>0.17298479999999999</v>
      </c>
      <c r="W2728" s="46">
        <v>1.1738568E-2</v>
      </c>
      <c r="X2728" s="46">
        <v>4.1248195999999998E-4</v>
      </c>
      <c r="Y2728" s="46">
        <v>1.9334670999999998E-8</v>
      </c>
      <c r="Z2728" s="46">
        <v>1.9088976000000001E-3</v>
      </c>
      <c r="AA2728" s="46">
        <v>1.4887711E-5</v>
      </c>
      <c r="AB2728" s="46">
        <v>3.2988606999999998E-4</v>
      </c>
      <c r="AC2728" s="46">
        <v>4.8142560999999999E-3</v>
      </c>
      <c r="AD2728" s="46">
        <v>1.0790388000000001E-3</v>
      </c>
      <c r="AE2728" s="46">
        <v>1.4129256999999999E-5</v>
      </c>
      <c r="AF2728" s="46">
        <v>2.3574910999999998</v>
      </c>
      <c r="AG2728" s="46">
        <v>6.5751854999999998E-2</v>
      </c>
      <c r="AH2728" s="46">
        <v>1.8938698999999998E-8</v>
      </c>
      <c r="AI2728" s="46">
        <v>9.0315993999999997E-3</v>
      </c>
      <c r="AJ2728" s="46">
        <v>14.776176</v>
      </c>
      <c r="AK2728" s="46">
        <v>9.3299815000000001E-10</v>
      </c>
      <c r="AL2728" s="46">
        <v>2.4241826E-8</v>
      </c>
      <c r="AM2728" s="46">
        <v>25.769898000000001</v>
      </c>
      <c r="AN2728" s="46">
        <v>7.4845044999999999</v>
      </c>
      <c r="AO2728" s="46">
        <v>0</v>
      </c>
      <c r="AP2728" s="46">
        <v>7.6629782000000004</v>
      </c>
      <c r="AQ2728" s="46">
        <v>0.65574357999999999</v>
      </c>
      <c r="AR2728" s="46">
        <v>9.2113799999999995E-4</v>
      </c>
      <c r="AS2728" s="46">
        <v>2.5235658000000001</v>
      </c>
      <c r="AT2728" s="46">
        <v>9.1317700000000004E-4</v>
      </c>
      <c r="AU2728" s="46">
        <v>0</v>
      </c>
      <c r="AV2728" s="46">
        <v>0</v>
      </c>
      <c r="AW2728" s="46">
        <v>2.2849800999999999E-3</v>
      </c>
      <c r="AX2728" s="46">
        <v>3.4853357999999999E-5</v>
      </c>
      <c r="AY2728" s="46">
        <v>5.8392113000000002E-2</v>
      </c>
      <c r="AZ2728" s="46">
        <v>8.4069450000000005E-6</v>
      </c>
      <c r="BA2728" s="46">
        <v>0</v>
      </c>
      <c r="BB2728" s="46">
        <v>0</v>
      </c>
      <c r="BC2728" s="46">
        <v>0</v>
      </c>
      <c r="BD2728" s="46">
        <v>0</v>
      </c>
      <c r="BE2728" s="46">
        <v>0</v>
      </c>
      <c r="BF2728" s="39" t="s">
        <v>1057</v>
      </c>
      <c r="BG2728" s="39"/>
      <c r="BH2728" s="33" t="s">
        <v>854</v>
      </c>
    </row>
    <row r="2729" spans="1:60">
      <c r="A2729" s="39" t="s">
        <v>1058</v>
      </c>
      <c r="B2729" s="39" t="s">
        <v>1059</v>
      </c>
      <c r="C2729" s="39" t="s">
        <v>1031</v>
      </c>
      <c r="D2729" s="39" t="s">
        <v>1060</v>
      </c>
      <c r="E2729" s="39" t="s">
        <v>829</v>
      </c>
      <c r="F2729" s="39">
        <v>1</v>
      </c>
      <c r="G2729" s="39">
        <v>2.3819967000000002</v>
      </c>
      <c r="H2729" s="39"/>
      <c r="I2729" s="39">
        <v>120</v>
      </c>
      <c r="J2729" s="46">
        <v>5.7698319999999997E-5</v>
      </c>
      <c r="K2729" s="46">
        <v>0.28580846999999998</v>
      </c>
      <c r="L2729" s="46">
        <v>32.292673000000001</v>
      </c>
      <c r="M2729" s="46">
        <v>3.5629184000000001E-6</v>
      </c>
      <c r="N2729" s="46">
        <v>5.3150447000000003E-3</v>
      </c>
      <c r="O2729" s="46">
        <v>4.5561894999999998E-2</v>
      </c>
      <c r="P2729" s="46">
        <v>8.9619694999999999E-3</v>
      </c>
      <c r="Q2729" s="46">
        <v>4.5104885000000001</v>
      </c>
      <c r="R2729" s="46">
        <v>8.2668875000000003E-2</v>
      </c>
      <c r="S2729" s="46">
        <v>296.28708</v>
      </c>
      <c r="T2729" s="46">
        <v>0.16549057</v>
      </c>
      <c r="U2729" s="46">
        <v>32.737015</v>
      </c>
      <c r="V2729" s="46">
        <v>32.756855999999999</v>
      </c>
      <c r="W2729" s="46">
        <v>-2.2843862999999999E-2</v>
      </c>
      <c r="X2729" s="46">
        <v>3.0031791E-3</v>
      </c>
      <c r="Y2729" s="46">
        <v>3.6851461E-6</v>
      </c>
      <c r="Z2729" s="46">
        <v>5.7420416000000002E-2</v>
      </c>
      <c r="AA2729" s="46">
        <v>1.1456773E-3</v>
      </c>
      <c r="AB2729" s="46">
        <v>1.4061153E-2</v>
      </c>
      <c r="AC2729" s="46">
        <v>0.15676165</v>
      </c>
      <c r="AD2729" s="46">
        <v>4.4598081999999997E-2</v>
      </c>
      <c r="AE2729" s="46">
        <v>5.769807E-5</v>
      </c>
      <c r="AF2729" s="46">
        <v>540.10735</v>
      </c>
      <c r="AG2729" s="46">
        <v>5.3476758999999996</v>
      </c>
      <c r="AH2729" s="46">
        <v>2.1569983E-7</v>
      </c>
      <c r="AI2729" s="46">
        <v>0.83694809000000003</v>
      </c>
      <c r="AJ2729" s="46">
        <v>296.44659999999999</v>
      </c>
      <c r="AK2729" s="46">
        <v>1.06892E-8</v>
      </c>
      <c r="AL2729" s="46">
        <v>2.7896028000000001E-7</v>
      </c>
      <c r="AM2729" s="46">
        <v>26.527874000000001</v>
      </c>
      <c r="AN2729" s="46">
        <v>1.7261692</v>
      </c>
      <c r="AO2729" s="46">
        <v>0</v>
      </c>
      <c r="AP2729" s="46">
        <v>3.3349139999999999</v>
      </c>
      <c r="AQ2729" s="46">
        <v>570.28578000000005</v>
      </c>
      <c r="AR2729" s="46">
        <v>5.6240591999999999E-2</v>
      </c>
      <c r="AS2729" s="46">
        <v>588.90359999999998</v>
      </c>
      <c r="AT2729" s="46">
        <v>1.0215083E-2</v>
      </c>
      <c r="AU2729" s="46">
        <v>0</v>
      </c>
      <c r="AV2729" s="46">
        <v>0</v>
      </c>
      <c r="AW2729" s="46">
        <v>0.16789598999999999</v>
      </c>
      <c r="AX2729" s="46">
        <v>5.4951752E-4</v>
      </c>
      <c r="AY2729" s="46">
        <v>0.87218255</v>
      </c>
      <c r="AZ2729" s="46">
        <v>7.9444678999999996E-4</v>
      </c>
      <c r="BA2729" s="46">
        <v>0</v>
      </c>
      <c r="BB2729" s="46">
        <v>0</v>
      </c>
      <c r="BC2729" s="46">
        <v>0</v>
      </c>
      <c r="BD2729" s="46">
        <v>0</v>
      </c>
      <c r="BE2729" s="46">
        <v>0</v>
      </c>
      <c r="BF2729" s="39" t="s">
        <v>1061</v>
      </c>
      <c r="BG2729" s="39"/>
      <c r="BH2729" s="33" t="s">
        <v>854</v>
      </c>
    </row>
    <row r="2730" spans="1:60">
      <c r="A2730" s="39" t="s">
        <v>1062</v>
      </c>
      <c r="B2730" s="39" t="s">
        <v>1059</v>
      </c>
      <c r="C2730" s="39" t="s">
        <v>1031</v>
      </c>
      <c r="D2730" s="39" t="s">
        <v>1060</v>
      </c>
      <c r="E2730" s="39" t="s">
        <v>829</v>
      </c>
      <c r="F2730" s="39">
        <v>1</v>
      </c>
      <c r="G2730" s="39">
        <v>1.2007279</v>
      </c>
      <c r="H2730" s="39"/>
      <c r="I2730" s="39">
        <v>120</v>
      </c>
      <c r="J2730" s="46">
        <v>4.0144109999999997E-4</v>
      </c>
      <c r="K2730" s="46">
        <v>2.8421872000000001E-2</v>
      </c>
      <c r="L2730" s="46">
        <v>4.5523305000000001</v>
      </c>
      <c r="M2730" s="46">
        <v>1.2599028999999999E-6</v>
      </c>
      <c r="N2730" s="46">
        <v>5.9439169000000004E-3</v>
      </c>
      <c r="O2730" s="46">
        <v>4.5114419000000003E-2</v>
      </c>
      <c r="P2730" s="46">
        <v>1.1481366E-2</v>
      </c>
      <c r="Q2730" s="46">
        <v>6.9987896000000003</v>
      </c>
      <c r="R2730" s="46">
        <v>0.11304304</v>
      </c>
      <c r="S2730" s="46">
        <v>284.60435000000001</v>
      </c>
      <c r="T2730" s="46">
        <v>0.18402154000000001</v>
      </c>
      <c r="U2730" s="46">
        <v>5.2749378</v>
      </c>
      <c r="V2730" s="46">
        <v>4.5865998000000001</v>
      </c>
      <c r="W2730" s="46">
        <v>0.67133069000000001</v>
      </c>
      <c r="X2730" s="46">
        <v>1.7007247999999999E-2</v>
      </c>
      <c r="Y2730" s="46">
        <v>1.1739311000000001E-6</v>
      </c>
      <c r="Z2730" s="46">
        <v>6.3282786999999993E-2</v>
      </c>
      <c r="AA2730" s="46">
        <v>8.3185173E-4</v>
      </c>
      <c r="AB2730" s="46">
        <v>1.3917428000000001E-2</v>
      </c>
      <c r="AC2730" s="46">
        <v>0.21915963999999999</v>
      </c>
      <c r="AD2730" s="46">
        <v>4.1916032999999998E-2</v>
      </c>
      <c r="AE2730" s="46">
        <v>4.0144085E-4</v>
      </c>
      <c r="AF2730" s="46">
        <v>54.90522</v>
      </c>
      <c r="AG2730" s="46">
        <v>2.7835513999999999</v>
      </c>
      <c r="AH2730" s="46">
        <v>7.1269205000000004E-7</v>
      </c>
      <c r="AI2730" s="46">
        <v>0.20196444999999999</v>
      </c>
      <c r="AJ2730" s="46">
        <v>518.76675999999998</v>
      </c>
      <c r="AK2730" s="46">
        <v>1.6550533E-8</v>
      </c>
      <c r="AL2730" s="46">
        <v>4.572425E-7</v>
      </c>
      <c r="AM2730" s="46">
        <v>1545.0526</v>
      </c>
      <c r="AN2730" s="46">
        <v>456.97057999999998</v>
      </c>
      <c r="AO2730" s="46">
        <v>0</v>
      </c>
      <c r="AP2730" s="46">
        <v>458.57932</v>
      </c>
      <c r="AQ2730" s="46">
        <v>40.036788999999999</v>
      </c>
      <c r="AR2730" s="46">
        <v>5.6240591999999999E-2</v>
      </c>
      <c r="AS2730" s="46">
        <v>58.654608000000003</v>
      </c>
      <c r="AT2730" s="46">
        <v>5.5754528999999997E-2</v>
      </c>
      <c r="AU2730" s="46">
        <v>0</v>
      </c>
      <c r="AV2730" s="46">
        <v>0</v>
      </c>
      <c r="AW2730" s="46">
        <v>8.3240932000000004E-2</v>
      </c>
      <c r="AX2730" s="46">
        <v>1.2638675000000001E-3</v>
      </c>
      <c r="AY2730" s="46">
        <v>1.7344630999999999</v>
      </c>
      <c r="AZ2730" s="46">
        <v>2.1258734999999999E-4</v>
      </c>
      <c r="BA2730" s="46">
        <v>0</v>
      </c>
      <c r="BB2730" s="46">
        <v>0</v>
      </c>
      <c r="BC2730" s="46">
        <v>0</v>
      </c>
      <c r="BD2730" s="46">
        <v>0</v>
      </c>
      <c r="BE2730" s="46">
        <v>0</v>
      </c>
      <c r="BF2730" s="39" t="s">
        <v>1063</v>
      </c>
      <c r="BG2730" s="39"/>
      <c r="BH2730" s="33" t="s">
        <v>854</v>
      </c>
    </row>
    <row r="2731" spans="1:60">
      <c r="A2731" s="39" t="s">
        <v>1064</v>
      </c>
      <c r="B2731" s="39" t="s">
        <v>1059</v>
      </c>
      <c r="C2731" s="39" t="s">
        <v>1031</v>
      </c>
      <c r="D2731" s="39" t="s">
        <v>1060</v>
      </c>
      <c r="E2731" s="39" t="s">
        <v>829</v>
      </c>
      <c r="F2731" s="39">
        <v>1</v>
      </c>
      <c r="G2731" s="39">
        <v>0.79940716000000001</v>
      </c>
      <c r="H2731" s="39"/>
      <c r="I2731" s="39">
        <v>120</v>
      </c>
      <c r="J2731" s="46">
        <v>1.710694E-5</v>
      </c>
      <c r="K2731" s="46">
        <v>2.2241067999999999E-2</v>
      </c>
      <c r="L2731" s="46">
        <v>11.396141999999999</v>
      </c>
      <c r="M2731" s="46">
        <v>7.3826814999999997E-7</v>
      </c>
      <c r="N2731" s="46">
        <v>9.7846694000000003E-4</v>
      </c>
      <c r="O2731" s="46">
        <v>6.5746232999999996E-3</v>
      </c>
      <c r="P2731" s="46">
        <v>9.5102562999999996E-4</v>
      </c>
      <c r="Q2731" s="46">
        <v>2.0128363999999999</v>
      </c>
      <c r="R2731" s="46">
        <v>2.0232885999999999E-2</v>
      </c>
      <c r="S2731" s="46">
        <v>52.786285999999997</v>
      </c>
      <c r="T2731" s="46">
        <v>3.6017941999999997E-2</v>
      </c>
      <c r="U2731" s="46">
        <v>11.449911</v>
      </c>
      <c r="V2731" s="46">
        <v>11.442421</v>
      </c>
      <c r="W2731" s="46">
        <v>6.0701397999999998E-3</v>
      </c>
      <c r="X2731" s="46">
        <v>1.4198755000000001E-3</v>
      </c>
      <c r="Y2731" s="46">
        <v>6.8131652000000004E-7</v>
      </c>
      <c r="Z2731" s="46">
        <v>8.1347289000000007E-3</v>
      </c>
      <c r="AA2731" s="46">
        <v>9.0727309999999995E-5</v>
      </c>
      <c r="AB2731" s="46">
        <v>1.6927464999999999E-3</v>
      </c>
      <c r="AC2731" s="46">
        <v>1.8895055000000001E-2</v>
      </c>
      <c r="AD2731" s="46">
        <v>5.9218687999999997E-3</v>
      </c>
      <c r="AE2731" s="46">
        <v>1.7106798000000001E-5</v>
      </c>
      <c r="AF2731" s="46">
        <v>42.762714000000003</v>
      </c>
      <c r="AG2731" s="46">
        <v>0.51671632999999995</v>
      </c>
      <c r="AH2731" s="46">
        <v>8.0808576000000003E-8</v>
      </c>
      <c r="AI2731" s="46">
        <v>0.10469131</v>
      </c>
      <c r="AJ2731" s="46">
        <v>47.568294000000002</v>
      </c>
      <c r="AK2731" s="46">
        <v>6.8150082000000003E-9</v>
      </c>
      <c r="AL2731" s="46">
        <v>1.5038595999999999E-7</v>
      </c>
      <c r="AM2731" s="46">
        <v>5.3801914000000002</v>
      </c>
      <c r="AN2731" s="46">
        <v>8.6386993999999995E-2</v>
      </c>
      <c r="AO2731" s="46">
        <v>0</v>
      </c>
      <c r="AP2731" s="46">
        <v>1.5942395</v>
      </c>
      <c r="AQ2731" s="46">
        <v>28.540234999999999</v>
      </c>
      <c r="AR2731" s="46">
        <v>2.8145882999999999E-3</v>
      </c>
      <c r="AS2731" s="46">
        <v>46.346328</v>
      </c>
      <c r="AT2731" s="46">
        <v>5.1121889000000005E-4</v>
      </c>
      <c r="AU2731" s="46">
        <v>0</v>
      </c>
      <c r="AV2731" s="46">
        <v>0</v>
      </c>
      <c r="AW2731" s="46">
        <v>1.8536556999999999E-2</v>
      </c>
      <c r="AX2731" s="46">
        <v>5.8652522999999997E-5</v>
      </c>
      <c r="AY2731" s="46">
        <v>0.33964703000000002</v>
      </c>
      <c r="AZ2731" s="46">
        <v>9.3835129999999994E-5</v>
      </c>
      <c r="BA2731" s="46">
        <v>0</v>
      </c>
      <c r="BB2731" s="46">
        <v>0</v>
      </c>
      <c r="BC2731" s="46">
        <v>0</v>
      </c>
      <c r="BD2731" s="46">
        <v>0</v>
      </c>
      <c r="BE2731" s="46">
        <v>0</v>
      </c>
      <c r="BF2731" s="39" t="s">
        <v>1065</v>
      </c>
      <c r="BG2731" s="39"/>
      <c r="BH2731" s="33" t="s">
        <v>854</v>
      </c>
    </row>
    <row r="2732" spans="1:60">
      <c r="A2732" s="39" t="s">
        <v>1066</v>
      </c>
      <c r="B2732" s="39" t="s">
        <v>1059</v>
      </c>
      <c r="C2732" s="39" t="s">
        <v>1031</v>
      </c>
      <c r="D2732" s="39" t="s">
        <v>1060</v>
      </c>
      <c r="E2732" s="39" t="s">
        <v>829</v>
      </c>
      <c r="F2732" s="39">
        <v>1</v>
      </c>
      <c r="G2732" s="39">
        <v>0.74028996999999996</v>
      </c>
      <c r="H2732" s="39"/>
      <c r="I2732" s="39">
        <v>120</v>
      </c>
      <c r="J2732" s="46">
        <v>3.4309717000000001E-5</v>
      </c>
      <c r="K2732" s="46">
        <v>9.3600287000000001E-3</v>
      </c>
      <c r="L2732" s="46">
        <v>10.007861999999999</v>
      </c>
      <c r="M2732" s="46">
        <v>6.2301259000000004E-7</v>
      </c>
      <c r="N2732" s="46">
        <v>1.0099391999999999E-3</v>
      </c>
      <c r="O2732" s="46">
        <v>6.5522291000000002E-3</v>
      </c>
      <c r="P2732" s="46">
        <v>1.0771101000000001E-3</v>
      </c>
      <c r="Q2732" s="46">
        <v>2.1373646000000002</v>
      </c>
      <c r="R2732" s="46">
        <v>2.1752976E-2</v>
      </c>
      <c r="S2732" s="46">
        <v>52.201618000000003</v>
      </c>
      <c r="T2732" s="46">
        <v>3.6945332999999997E-2</v>
      </c>
      <c r="U2732" s="46">
        <v>10.075557999999999</v>
      </c>
      <c r="V2732" s="46">
        <v>10.032626</v>
      </c>
      <c r="W2732" s="46">
        <v>4.0810449999999998E-2</v>
      </c>
      <c r="X2732" s="46">
        <v>2.1207159999999999E-3</v>
      </c>
      <c r="Y2732" s="46">
        <v>5.5564151999999997E-7</v>
      </c>
      <c r="Z2732" s="46">
        <v>8.4281141999999996E-3</v>
      </c>
      <c r="AA2732" s="46">
        <v>7.5021753999999995E-5</v>
      </c>
      <c r="AB2732" s="46">
        <v>1.6855537E-3</v>
      </c>
      <c r="AC2732" s="46">
        <v>2.2017793000000001E-2</v>
      </c>
      <c r="AD2732" s="46">
        <v>5.7876443999999999E-3</v>
      </c>
      <c r="AE2732" s="46">
        <v>3.4309576000000002E-5</v>
      </c>
      <c r="AF2732" s="46">
        <v>18.480533000000001</v>
      </c>
      <c r="AG2732" s="46">
        <v>0.38839344999999997</v>
      </c>
      <c r="AH2732" s="46">
        <v>1.0568079999999999E-7</v>
      </c>
      <c r="AI2732" s="46">
        <v>7.2913239000000005E-2</v>
      </c>
      <c r="AJ2732" s="46">
        <v>58.694417000000001</v>
      </c>
      <c r="AK2732" s="46">
        <v>7.1083415000000004E-9</v>
      </c>
      <c r="AL2732" s="46">
        <v>1.5930818E-7</v>
      </c>
      <c r="AM2732" s="46">
        <v>81.375514999999993</v>
      </c>
      <c r="AN2732" s="46">
        <v>22.869319000000001</v>
      </c>
      <c r="AO2732" s="46">
        <v>0</v>
      </c>
      <c r="AP2732" s="46">
        <v>24.377172000000002</v>
      </c>
      <c r="AQ2732" s="46">
        <v>2.0036608999999999</v>
      </c>
      <c r="AR2732" s="46">
        <v>2.8145882999999999E-3</v>
      </c>
      <c r="AS2732" s="46">
        <v>19.809754000000002</v>
      </c>
      <c r="AT2732" s="46">
        <v>2.7902630999999999E-3</v>
      </c>
      <c r="AU2732" s="46">
        <v>0</v>
      </c>
      <c r="AV2732" s="46">
        <v>0</v>
      </c>
      <c r="AW2732" s="46">
        <v>1.4299953000000001E-2</v>
      </c>
      <c r="AX2732" s="46">
        <v>9.4402523000000006E-5</v>
      </c>
      <c r="AY2732" s="46">
        <v>0.38280028999999999</v>
      </c>
      <c r="AZ2732" s="46">
        <v>6.4715684999999993E-5</v>
      </c>
      <c r="BA2732" s="46">
        <v>0</v>
      </c>
      <c r="BB2732" s="46">
        <v>0</v>
      </c>
      <c r="BC2732" s="46">
        <v>0</v>
      </c>
      <c r="BD2732" s="46">
        <v>0</v>
      </c>
      <c r="BE2732" s="46">
        <v>0</v>
      </c>
      <c r="BF2732" s="39" t="s">
        <v>1067</v>
      </c>
      <c r="BG2732" s="39"/>
      <c r="BH2732" s="33" t="s">
        <v>854</v>
      </c>
    </row>
    <row r="2733" spans="1:60">
      <c r="A2733" s="39" t="s">
        <v>1068</v>
      </c>
      <c r="B2733" s="39" t="s">
        <v>1030</v>
      </c>
      <c r="C2733" s="39" t="s">
        <v>1031</v>
      </c>
      <c r="D2733" s="39" t="s">
        <v>1032</v>
      </c>
      <c r="E2733" s="39" t="s">
        <v>829</v>
      </c>
      <c r="F2733" s="39">
        <v>1</v>
      </c>
      <c r="G2733" s="39">
        <v>0.31869949046983259</v>
      </c>
      <c r="H2733" s="39"/>
      <c r="I2733" s="36">
        <v>35.9</v>
      </c>
      <c r="J2733" s="7">
        <v>1.61E-6</v>
      </c>
      <c r="K2733" s="7">
        <v>2.3499709000000001E-2</v>
      </c>
      <c r="L2733" s="7">
        <v>3.4394198999999999</v>
      </c>
      <c r="M2733" s="7">
        <v>5.99E-7</v>
      </c>
      <c r="N2733" s="7">
        <v>1.1324060000000001E-3</v>
      </c>
      <c r="O2733" s="7">
        <v>1.008739E-2</v>
      </c>
      <c r="P2733" s="7">
        <v>1.930027E-3</v>
      </c>
      <c r="Q2733" s="7">
        <v>0.85150820999999999</v>
      </c>
      <c r="R2733" s="7">
        <v>1.6863027999999999E-2</v>
      </c>
      <c r="S2733" s="7">
        <v>56.423310999999998</v>
      </c>
      <c r="T2733" s="7">
        <v>3.0289419999999997E-3</v>
      </c>
      <c r="U2733" s="7"/>
      <c r="V2733" s="7"/>
      <c r="W2733" s="7"/>
      <c r="X2733" s="7"/>
      <c r="Y2733" s="7"/>
      <c r="Z2733" s="7"/>
      <c r="AA2733" s="7"/>
      <c r="AB2733" s="7"/>
      <c r="AC2733" s="7"/>
      <c r="AD2733" s="7"/>
      <c r="AE2733" s="7"/>
      <c r="AF2733" s="7"/>
      <c r="AG2733" s="7"/>
      <c r="AH2733" s="7"/>
      <c r="AI2733" s="7"/>
      <c r="AJ2733" s="7"/>
      <c r="AK2733" s="7"/>
      <c r="AL2733" s="7"/>
      <c r="AM2733" s="7"/>
      <c r="AN2733" s="7"/>
      <c r="AO2733" s="7"/>
      <c r="AP2733" s="7">
        <v>0.38251134999999997</v>
      </c>
      <c r="AQ2733" s="7"/>
      <c r="AR2733" s="7"/>
      <c r="AS2733" s="7">
        <v>52.453285999999999</v>
      </c>
      <c r="AT2733" s="7"/>
      <c r="AU2733" s="7"/>
      <c r="AV2733" s="7"/>
      <c r="AW2733" s="7">
        <v>4.9554630000000002E-3</v>
      </c>
      <c r="AX2733" s="7">
        <v>3.6210099999999998E-4</v>
      </c>
      <c r="AY2733" s="7">
        <v>8.799440900000001E-2</v>
      </c>
      <c r="AZ2733" s="7">
        <v>0</v>
      </c>
      <c r="BA2733" s="7"/>
      <c r="BB2733" s="7"/>
      <c r="BC2733" s="7"/>
      <c r="BD2733" s="7"/>
      <c r="BE2733" s="7"/>
      <c r="BF2733" s="7" t="s">
        <v>1069</v>
      </c>
      <c r="BG2733" s="39"/>
      <c r="BH2733" s="33" t="s">
        <v>135</v>
      </c>
    </row>
    <row r="2734" spans="1:60">
      <c r="A2734" s="39" t="s">
        <v>1070</v>
      </c>
      <c r="B2734" s="39" t="s">
        <v>1030</v>
      </c>
      <c r="C2734" s="39" t="s">
        <v>1031</v>
      </c>
      <c r="D2734" s="39" t="s">
        <v>1071</v>
      </c>
      <c r="E2734" s="39" t="s">
        <v>829</v>
      </c>
      <c r="F2734" s="39">
        <v>1</v>
      </c>
      <c r="G2734" s="39">
        <v>0.28076039010894488</v>
      </c>
      <c r="H2734" s="39"/>
      <c r="I2734" s="39">
        <v>33.1</v>
      </c>
      <c r="J2734" s="7">
        <v>4.9766100000000006E-6</v>
      </c>
      <c r="K2734" s="7">
        <v>2.9557998000000002E-2</v>
      </c>
      <c r="L2734" s="7">
        <v>3.6464679000000002</v>
      </c>
      <c r="M2734" s="7">
        <v>4.8496799999999997E-8</v>
      </c>
      <c r="N2734" s="7">
        <v>7.3272599999999995E-4</v>
      </c>
      <c r="O2734" s="7">
        <v>7.5222819999999999E-3</v>
      </c>
      <c r="P2734" s="7">
        <v>1.6170070000000002E-3</v>
      </c>
      <c r="Q2734" s="7">
        <v>0.72401855000000004</v>
      </c>
      <c r="R2734" s="7">
        <v>5.7505819999999997E-3</v>
      </c>
      <c r="S2734" s="7">
        <v>21.711936000000001</v>
      </c>
      <c r="T2734" s="7">
        <v>2.9461299999999999E-3</v>
      </c>
      <c r="U2734" s="7"/>
      <c r="V2734" s="7"/>
      <c r="W2734" s="7"/>
      <c r="X2734" s="7"/>
      <c r="Y2734" s="7"/>
      <c r="Z2734" s="7"/>
      <c r="AA2734" s="7"/>
      <c r="AB2734" s="7"/>
      <c r="AC2734" s="7"/>
      <c r="AD2734" s="7"/>
      <c r="AE2734" s="7"/>
      <c r="AF2734" s="7"/>
      <c r="AG2734" s="7"/>
      <c r="AH2734" s="7"/>
      <c r="AI2734" s="7"/>
      <c r="AJ2734" s="7"/>
      <c r="AK2734" s="7"/>
      <c r="AL2734" s="7"/>
      <c r="AM2734" s="7"/>
      <c r="AN2734" s="7"/>
      <c r="AO2734" s="7"/>
      <c r="AP2734" s="7">
        <v>0.43101465</v>
      </c>
      <c r="AQ2734" s="7"/>
      <c r="AR2734" s="7"/>
      <c r="AS2734" s="7">
        <v>63.038445000000003</v>
      </c>
      <c r="AT2734" s="7"/>
      <c r="AU2734" s="7"/>
      <c r="AV2734" s="7"/>
      <c r="AW2734" s="7">
        <v>2.815166E-3</v>
      </c>
      <c r="AX2734" s="7">
        <v>9.615160000000001E-5</v>
      </c>
      <c r="AY2734" s="7">
        <v>0.10683953</v>
      </c>
      <c r="AZ2734" s="7">
        <v>0</v>
      </c>
      <c r="BA2734" s="7"/>
      <c r="BB2734" s="7"/>
      <c r="BC2734" s="7"/>
      <c r="BD2734" s="7"/>
      <c r="BE2734" s="7"/>
      <c r="BF2734" s="7" t="s">
        <v>1072</v>
      </c>
      <c r="BG2734" s="39"/>
      <c r="BH2734" s="33" t="s">
        <v>135</v>
      </c>
    </row>
    <row r="2735" spans="1:60">
      <c r="A2735" s="39" t="s">
        <v>1073</v>
      </c>
      <c r="B2735" s="39" t="s">
        <v>1030</v>
      </c>
      <c r="C2735" s="39" t="s">
        <v>1031</v>
      </c>
      <c r="D2735" s="39" t="s">
        <v>1035</v>
      </c>
      <c r="E2735" s="39" t="s">
        <v>829</v>
      </c>
      <c r="F2735" s="39">
        <v>1</v>
      </c>
      <c r="G2735" s="39">
        <v>0.23162790040841991</v>
      </c>
      <c r="H2735" s="39"/>
      <c r="I2735" s="39">
        <v>34.299999999999997</v>
      </c>
      <c r="J2735" s="7">
        <v>3.7459800000000001E-6</v>
      </c>
      <c r="K2735" s="7">
        <v>8.191157000000001E-3</v>
      </c>
      <c r="L2735" s="7">
        <v>1.4120326000000001</v>
      </c>
      <c r="M2735" s="7">
        <v>1.3318499999999998E-7</v>
      </c>
      <c r="N2735" s="7">
        <v>1.1619330000000002E-3</v>
      </c>
      <c r="O2735" s="7">
        <v>1.2621103E-2</v>
      </c>
      <c r="P2735" s="7">
        <v>5.4177340000000004E-3</v>
      </c>
      <c r="Q2735" s="7">
        <v>0.78706969999999998</v>
      </c>
      <c r="R2735" s="7">
        <v>0.56908067000000007</v>
      </c>
      <c r="S2735" s="7">
        <v>47.065843000000001</v>
      </c>
      <c r="T2735" s="7">
        <v>0.24434030999999998</v>
      </c>
      <c r="U2735" s="7"/>
      <c r="V2735" s="7"/>
      <c r="W2735" s="7"/>
      <c r="X2735" s="7"/>
      <c r="Y2735" s="7"/>
      <c r="Z2735" s="7"/>
      <c r="AA2735" s="7"/>
      <c r="AB2735" s="7"/>
      <c r="AC2735" s="7"/>
      <c r="AD2735" s="7"/>
      <c r="AE2735" s="7"/>
      <c r="AF2735" s="7"/>
      <c r="AG2735" s="7"/>
      <c r="AH2735" s="7"/>
      <c r="AI2735" s="7"/>
      <c r="AJ2735" s="7"/>
      <c r="AK2735" s="7"/>
      <c r="AL2735" s="7"/>
      <c r="AM2735" s="7"/>
      <c r="AN2735" s="7"/>
      <c r="AO2735" s="7"/>
      <c r="AP2735" s="7">
        <v>7.8425852000000003</v>
      </c>
      <c r="AQ2735" s="7"/>
      <c r="AR2735" s="7"/>
      <c r="AS2735" s="7">
        <v>17.282464999999998</v>
      </c>
      <c r="AT2735" s="7"/>
      <c r="AU2735" s="7"/>
      <c r="AV2735" s="7"/>
      <c r="AW2735" s="7">
        <v>6.1195511000000001E-2</v>
      </c>
      <c r="AX2735" s="7">
        <v>1.0137500000000001E-4</v>
      </c>
      <c r="AY2735" s="7">
        <v>0.28137313000000003</v>
      </c>
      <c r="AZ2735" s="7">
        <v>0</v>
      </c>
      <c r="BA2735" s="7"/>
      <c r="BB2735" s="7"/>
      <c r="BC2735" s="7"/>
      <c r="BD2735" s="7"/>
      <c r="BE2735" s="7"/>
      <c r="BF2735" s="7" t="s">
        <v>1074</v>
      </c>
      <c r="BG2735" s="39"/>
      <c r="BH2735" s="33" t="s">
        <v>135</v>
      </c>
    </row>
    <row r="2736" spans="1:60">
      <c r="A2736" s="39" t="s">
        <v>1075</v>
      </c>
      <c r="B2736" s="39" t="s">
        <v>1030</v>
      </c>
      <c r="C2736" s="39" t="s">
        <v>1031</v>
      </c>
      <c r="D2736" s="39" t="s">
        <v>1038</v>
      </c>
      <c r="E2736" s="39" t="s">
        <v>829</v>
      </c>
      <c r="F2736" s="39">
        <v>1</v>
      </c>
      <c r="G2736" s="39">
        <v>0.30084471696668241</v>
      </c>
      <c r="H2736" s="39"/>
      <c r="I2736" s="39">
        <v>34.5</v>
      </c>
      <c r="J2736" s="7">
        <v>2.1015299999999997E-6</v>
      </c>
      <c r="K2736" s="7">
        <v>5.2707159999999999E-3</v>
      </c>
      <c r="L2736" s="7">
        <v>1.3518270999999999</v>
      </c>
      <c r="M2736" s="7">
        <v>8.2030699999999999E-8</v>
      </c>
      <c r="N2736" s="7">
        <v>9.9116999999999999E-4</v>
      </c>
      <c r="O2736" s="7">
        <v>8.2648489999999995E-3</v>
      </c>
      <c r="P2736" s="7">
        <v>3.0546730000000004E-3</v>
      </c>
      <c r="Q2736" s="7">
        <v>0.76225082</v>
      </c>
      <c r="R2736" s="7">
        <v>0.50941270999999999</v>
      </c>
      <c r="S2736" s="7">
        <v>32.793705000000003</v>
      </c>
      <c r="T2736" s="7">
        <v>0.22487183999999999</v>
      </c>
      <c r="U2736" s="7"/>
      <c r="V2736" s="7"/>
      <c r="W2736" s="7"/>
      <c r="X2736" s="7"/>
      <c r="Y2736" s="7"/>
      <c r="Z2736" s="7"/>
      <c r="AA2736" s="7"/>
      <c r="AB2736" s="7"/>
      <c r="AC2736" s="7"/>
      <c r="AD2736" s="7"/>
      <c r="AE2736" s="7"/>
      <c r="AF2736" s="7"/>
      <c r="AG2736" s="7"/>
      <c r="AH2736" s="7"/>
      <c r="AI2736" s="7"/>
      <c r="AJ2736" s="7"/>
      <c r="AK2736" s="7"/>
      <c r="AL2736" s="7"/>
      <c r="AM2736" s="7"/>
      <c r="AN2736" s="7"/>
      <c r="AO2736" s="7"/>
      <c r="AP2736" s="7">
        <v>2.4626125999999999</v>
      </c>
      <c r="AQ2736" s="7"/>
      <c r="AR2736" s="7"/>
      <c r="AS2736" s="7">
        <v>11.032174000000001</v>
      </c>
      <c r="AT2736" s="7"/>
      <c r="AU2736" s="7"/>
      <c r="AV2736" s="7"/>
      <c r="AW2736" s="7">
        <v>1.9411060000000001E-2</v>
      </c>
      <c r="AX2736" s="7">
        <v>6.1032700000000003E-5</v>
      </c>
      <c r="AY2736" s="7">
        <v>0.24398971</v>
      </c>
      <c r="AZ2736" s="7">
        <v>0</v>
      </c>
      <c r="BA2736" s="7"/>
      <c r="BB2736" s="7"/>
      <c r="BC2736" s="7"/>
      <c r="BD2736" s="7"/>
      <c r="BE2736" s="7"/>
      <c r="BF2736" s="7" t="s">
        <v>1076</v>
      </c>
      <c r="BG2736" s="39"/>
      <c r="BH2736" s="33" t="s">
        <v>135</v>
      </c>
    </row>
    <row r="2737" spans="1:60">
      <c r="A2737" s="39" t="s">
        <v>1077</v>
      </c>
      <c r="B2737" s="39" t="s">
        <v>1030</v>
      </c>
      <c r="C2737" s="39" t="s">
        <v>1031</v>
      </c>
      <c r="D2737" s="39" t="s">
        <v>1032</v>
      </c>
      <c r="E2737" s="39" t="s">
        <v>829</v>
      </c>
      <c r="F2737" s="39">
        <v>1</v>
      </c>
      <c r="G2737" s="39">
        <v>0.29875556377082257</v>
      </c>
      <c r="H2737" s="39"/>
      <c r="I2737" s="36">
        <v>35.9</v>
      </c>
      <c r="J2737" s="46">
        <v>1.7565700000000001E-6</v>
      </c>
      <c r="K2737" s="46">
        <v>2.3772814E-2</v>
      </c>
      <c r="L2737" s="46">
        <v>3.4693345</v>
      </c>
      <c r="M2737" s="46">
        <v>6.0382299999999994E-7</v>
      </c>
      <c r="N2737" s="46">
        <v>1.141829E-3</v>
      </c>
      <c r="O2737" s="46">
        <v>6.6512869999999997E-3</v>
      </c>
      <c r="P2737" s="46">
        <v>1.0215700000000001E-3</v>
      </c>
      <c r="Q2737" s="46">
        <v>0.85502149999999999</v>
      </c>
      <c r="R2737" s="46">
        <v>1.7058931999999999E-2</v>
      </c>
      <c r="S2737" s="46">
        <v>57.359029999999997</v>
      </c>
      <c r="T2737" s="46">
        <v>3.070934E-3</v>
      </c>
      <c r="U2737" s="46"/>
      <c r="V2737" s="46"/>
      <c r="W2737" s="46"/>
      <c r="X2737" s="46"/>
      <c r="Y2737" s="46"/>
      <c r="Z2737" s="46"/>
      <c r="AA2737" s="46"/>
      <c r="AB2737" s="46"/>
      <c r="AC2737" s="46"/>
      <c r="AD2737" s="46"/>
      <c r="AE2737" s="46"/>
      <c r="AF2737" s="46"/>
      <c r="AG2737" s="46"/>
      <c r="AH2737" s="46"/>
      <c r="AI2737" s="46"/>
      <c r="AJ2737" s="46"/>
      <c r="AK2737" s="46"/>
      <c r="AL2737" s="46"/>
      <c r="AM2737" s="46"/>
      <c r="AN2737" s="46"/>
      <c r="AO2737" s="46"/>
      <c r="AP2737" s="46">
        <v>0.39413535999999999</v>
      </c>
      <c r="AQ2737" s="46"/>
      <c r="AR2737" s="46"/>
      <c r="AS2737" s="46">
        <v>53.058078999999999</v>
      </c>
      <c r="AT2737" s="46"/>
      <c r="AU2737" s="46"/>
      <c r="AV2737" s="46"/>
      <c r="AW2737" s="46">
        <v>5.0203380000000001E-3</v>
      </c>
      <c r="AX2737" s="46">
        <v>3.6440799999999998E-4</v>
      </c>
      <c r="AY2737" s="46">
        <v>8.9418212999999996E-2</v>
      </c>
      <c r="AZ2737" s="46">
        <v>0</v>
      </c>
      <c r="BA2737" s="46"/>
      <c r="BB2737" s="46"/>
      <c r="BC2737" s="46"/>
      <c r="BD2737" s="46"/>
      <c r="BE2737" s="46"/>
      <c r="BF2737" s="39" t="s">
        <v>1078</v>
      </c>
      <c r="BG2737" s="39"/>
      <c r="BH2737" s="33" t="s">
        <v>135</v>
      </c>
    </row>
    <row r="2738" spans="1:60">
      <c r="A2738" s="39" t="s">
        <v>1079</v>
      </c>
      <c r="B2738" s="39" t="s">
        <v>1030</v>
      </c>
      <c r="C2738" s="39" t="s">
        <v>1031</v>
      </c>
      <c r="D2738" s="39" t="s">
        <v>1071</v>
      </c>
      <c r="E2738" s="39" t="s">
        <v>829</v>
      </c>
      <c r="F2738" s="39">
        <v>1</v>
      </c>
      <c r="G2738" s="39">
        <v>0.26030555938735667</v>
      </c>
      <c r="H2738" s="39"/>
      <c r="I2738" s="39">
        <v>33.1</v>
      </c>
      <c r="J2738" s="46">
        <v>5.1140100000000004E-6</v>
      </c>
      <c r="K2738" s="46">
        <v>2.9818931E-2</v>
      </c>
      <c r="L2738" s="46">
        <v>3.6750563000000001</v>
      </c>
      <c r="M2738" s="46">
        <v>5.3162099999999995E-8</v>
      </c>
      <c r="N2738" s="46">
        <v>7.4466600000000006E-4</v>
      </c>
      <c r="O2738" s="46">
        <v>4.2393200000000004E-3</v>
      </c>
      <c r="P2738" s="46">
        <v>7.4903799999999994E-4</v>
      </c>
      <c r="Q2738" s="46">
        <v>0.73802394000000004</v>
      </c>
      <c r="R2738" s="46">
        <v>5.9501629999999996E-3</v>
      </c>
      <c r="S2738" s="46">
        <v>22.606211999999999</v>
      </c>
      <c r="T2738" s="46">
        <v>2.9862950000000004E-3</v>
      </c>
      <c r="U2738" s="46"/>
      <c r="V2738" s="46"/>
      <c r="W2738" s="46"/>
      <c r="X2738" s="46"/>
      <c r="Y2738" s="46"/>
      <c r="Z2738" s="46"/>
      <c r="AA2738" s="46"/>
      <c r="AB2738" s="46"/>
      <c r="AC2738" s="46"/>
      <c r="AD2738" s="46"/>
      <c r="AE2738" s="46"/>
      <c r="AF2738" s="46"/>
      <c r="AG2738" s="46"/>
      <c r="AH2738" s="46"/>
      <c r="AI2738" s="46"/>
      <c r="AJ2738" s="46"/>
      <c r="AK2738" s="46"/>
      <c r="AL2738" s="46"/>
      <c r="AM2738" s="46"/>
      <c r="AN2738" s="46"/>
      <c r="AO2738" s="46"/>
      <c r="AP2738" s="46">
        <v>0.44212060000000003</v>
      </c>
      <c r="AQ2738" s="46"/>
      <c r="AR2738" s="46"/>
      <c r="AS2738" s="46">
        <v>63.616281999999998</v>
      </c>
      <c r="AT2738" s="46"/>
      <c r="AU2738" s="46"/>
      <c r="AV2738" s="46"/>
      <c r="AW2738" s="46">
        <v>2.8771490000000003E-3</v>
      </c>
      <c r="AX2738" s="46">
        <v>9.8355600000000004E-5</v>
      </c>
      <c r="AY2738" s="46">
        <v>0.10819988</v>
      </c>
      <c r="AZ2738" s="46">
        <v>0</v>
      </c>
      <c r="BA2738" s="46"/>
      <c r="BB2738" s="46"/>
      <c r="BC2738" s="46"/>
      <c r="BD2738" s="46"/>
      <c r="BE2738" s="46"/>
      <c r="BF2738" s="39" t="s">
        <v>1080</v>
      </c>
      <c r="BG2738" s="39"/>
      <c r="BH2738" s="33" t="s">
        <v>135</v>
      </c>
    </row>
    <row r="2739" spans="1:60">
      <c r="A2739" s="39" t="s">
        <v>1081</v>
      </c>
      <c r="B2739" s="39" t="s">
        <v>1030</v>
      </c>
      <c r="C2739" s="39" t="s">
        <v>1031</v>
      </c>
      <c r="D2739" s="39" t="s">
        <v>1035</v>
      </c>
      <c r="E2739" s="39" t="s">
        <v>829</v>
      </c>
      <c r="F2739" s="39">
        <v>1</v>
      </c>
      <c r="G2739" s="39">
        <v>0.213432369323449</v>
      </c>
      <c r="H2739" s="39"/>
      <c r="I2739" s="39">
        <v>34.299999999999997</v>
      </c>
      <c r="J2739" s="46">
        <v>3.87857E-6</v>
      </c>
      <c r="K2739" s="46">
        <v>8.4429610000000006E-3</v>
      </c>
      <c r="L2739" s="46">
        <v>1.4396163</v>
      </c>
      <c r="M2739" s="46">
        <v>1.3768700000000001E-7</v>
      </c>
      <c r="N2739" s="46">
        <v>1.173456E-3</v>
      </c>
      <c r="O2739" s="46">
        <v>8.9956229999999995E-3</v>
      </c>
      <c r="P2739" s="46">
        <v>4.4612139999999998E-3</v>
      </c>
      <c r="Q2739" s="46">
        <v>0.79949965000000001</v>
      </c>
      <c r="R2739" s="46">
        <v>0.56927326</v>
      </c>
      <c r="S2739" s="46">
        <v>47.928832</v>
      </c>
      <c r="T2739" s="46">
        <v>0.24437907</v>
      </c>
      <c r="U2739" s="46"/>
      <c r="V2739" s="46"/>
      <c r="W2739" s="46"/>
      <c r="X2739" s="46"/>
      <c r="Y2739" s="46"/>
      <c r="Z2739" s="46"/>
      <c r="AA2739" s="46"/>
      <c r="AB2739" s="46"/>
      <c r="AC2739" s="46"/>
      <c r="AD2739" s="46"/>
      <c r="AE2739" s="46"/>
      <c r="AF2739" s="46"/>
      <c r="AG2739" s="46"/>
      <c r="AH2739" s="46"/>
      <c r="AI2739" s="46"/>
      <c r="AJ2739" s="46"/>
      <c r="AK2739" s="46"/>
      <c r="AL2739" s="46"/>
      <c r="AM2739" s="46"/>
      <c r="AN2739" s="46"/>
      <c r="AO2739" s="46"/>
      <c r="AP2739" s="46">
        <v>7.8533024999999999</v>
      </c>
      <c r="AQ2739" s="46"/>
      <c r="AR2739" s="46"/>
      <c r="AS2739" s="46">
        <v>17.840087</v>
      </c>
      <c r="AT2739" s="46"/>
      <c r="AU2739" s="46"/>
      <c r="AV2739" s="46"/>
      <c r="AW2739" s="46">
        <v>6.1255324999999999E-2</v>
      </c>
      <c r="AX2739" s="46">
        <v>1.03501E-4</v>
      </c>
      <c r="AY2739" s="46">
        <v>0.28268589</v>
      </c>
      <c r="AZ2739" s="46">
        <v>0</v>
      </c>
      <c r="BA2739" s="46"/>
      <c r="BB2739" s="46"/>
      <c r="BC2739" s="46"/>
      <c r="BD2739" s="46"/>
      <c r="BE2739" s="46"/>
      <c r="BF2739" s="39" t="s">
        <v>1082</v>
      </c>
      <c r="BG2739" s="39"/>
      <c r="BH2739" s="33" t="s">
        <v>135</v>
      </c>
    </row>
    <row r="2740" spans="1:60">
      <c r="A2740" s="39" t="s">
        <v>1083</v>
      </c>
      <c r="B2740" s="39" t="s">
        <v>1030</v>
      </c>
      <c r="C2740" s="39" t="s">
        <v>1031</v>
      </c>
      <c r="D2740" s="39" t="s">
        <v>1038</v>
      </c>
      <c r="E2740" s="39" t="s">
        <v>829</v>
      </c>
      <c r="F2740" s="39">
        <v>1</v>
      </c>
      <c r="G2740" s="39">
        <v>0.28275466792178627</v>
      </c>
      <c r="H2740" s="39"/>
      <c r="I2740" s="39">
        <v>34.5</v>
      </c>
      <c r="J2740" s="46">
        <v>2.2397299999999999E-6</v>
      </c>
      <c r="K2740" s="46">
        <v>5.5331700000000004E-3</v>
      </c>
      <c r="L2740" s="46">
        <v>1.3805822000000001</v>
      </c>
      <c r="M2740" s="46">
        <v>8.6723099999999994E-8</v>
      </c>
      <c r="N2740" s="46">
        <v>1.00318E-3</v>
      </c>
      <c r="O2740" s="46">
        <v>4.9627439999999998E-3</v>
      </c>
      <c r="P2740" s="46">
        <v>2.181643E-3</v>
      </c>
      <c r="Q2740" s="46">
        <v>0.77633785999999994</v>
      </c>
      <c r="R2740" s="46">
        <v>0.50961345000000002</v>
      </c>
      <c r="S2740" s="46">
        <v>33.693195000000003</v>
      </c>
      <c r="T2740" s="46">
        <v>0.22491223999999999</v>
      </c>
      <c r="U2740" s="46"/>
      <c r="V2740" s="46"/>
      <c r="W2740" s="46"/>
      <c r="X2740" s="46"/>
      <c r="Y2740" s="46"/>
      <c r="Z2740" s="46"/>
      <c r="AA2740" s="46"/>
      <c r="AB2740" s="46"/>
      <c r="AC2740" s="46"/>
      <c r="AD2740" s="46"/>
      <c r="AE2740" s="46"/>
      <c r="AF2740" s="46"/>
      <c r="AG2740" s="46"/>
      <c r="AH2740" s="46"/>
      <c r="AI2740" s="46"/>
      <c r="AJ2740" s="46"/>
      <c r="AK2740" s="46"/>
      <c r="AL2740" s="46"/>
      <c r="AM2740" s="46"/>
      <c r="AN2740" s="46"/>
      <c r="AO2740" s="46"/>
      <c r="AP2740" s="46">
        <v>2.4737833</v>
      </c>
      <c r="AQ2740" s="46"/>
      <c r="AR2740" s="46"/>
      <c r="AS2740" s="46">
        <v>11.613380999999999</v>
      </c>
      <c r="AT2740" s="46"/>
      <c r="AU2740" s="46"/>
      <c r="AV2740" s="46"/>
      <c r="AW2740" s="46">
        <v>1.9473404E-2</v>
      </c>
      <c r="AX2740" s="46">
        <v>6.3249600000000005E-5</v>
      </c>
      <c r="AY2740" s="46">
        <v>0.24535799</v>
      </c>
      <c r="AZ2740" s="46">
        <v>0</v>
      </c>
      <c r="BA2740" s="46"/>
      <c r="BB2740" s="46"/>
      <c r="BC2740" s="46"/>
      <c r="BD2740" s="46"/>
      <c r="BE2740" s="46"/>
      <c r="BF2740" s="39" t="s">
        <v>1084</v>
      </c>
      <c r="BG2740" s="39"/>
      <c r="BH2740" s="33" t="s">
        <v>135</v>
      </c>
    </row>
    <row r="2741" spans="1:60">
      <c r="A2741" s="39" t="s">
        <v>1085</v>
      </c>
      <c r="B2741" s="39" t="s">
        <v>1030</v>
      </c>
      <c r="C2741" s="39" t="s">
        <v>1031</v>
      </c>
      <c r="D2741" s="39" t="s">
        <v>1032</v>
      </c>
      <c r="E2741" s="39" t="s">
        <v>829</v>
      </c>
      <c r="F2741" s="39">
        <v>1</v>
      </c>
      <c r="G2741" s="39">
        <v>0.2987531499630024</v>
      </c>
      <c r="H2741" s="39"/>
      <c r="I2741" s="36">
        <v>35.9</v>
      </c>
      <c r="J2741" s="46">
        <v>1.7565700000000001E-6</v>
      </c>
      <c r="K2741" s="46">
        <v>2.3772814E-2</v>
      </c>
      <c r="L2741" s="46">
        <v>3.4693345</v>
      </c>
      <c r="M2741" s="46">
        <v>6.0382299999999994E-7</v>
      </c>
      <c r="N2741" s="46">
        <v>1.141829E-3</v>
      </c>
      <c r="O2741" s="46">
        <v>6.6512869999999997E-3</v>
      </c>
      <c r="P2741" s="46">
        <v>1.0215700000000001E-3</v>
      </c>
      <c r="Q2741" s="46">
        <v>0.85499468000000001</v>
      </c>
      <c r="R2741" s="46">
        <v>1.7058931999999999E-2</v>
      </c>
      <c r="S2741" s="46">
        <v>57.359029999999997</v>
      </c>
      <c r="T2741" s="46">
        <v>3.070934E-3</v>
      </c>
      <c r="U2741" s="46"/>
      <c r="V2741" s="46"/>
      <c r="W2741" s="46"/>
      <c r="X2741" s="46"/>
      <c r="Y2741" s="46"/>
      <c r="Z2741" s="46"/>
      <c r="AA2741" s="46"/>
      <c r="AB2741" s="46"/>
      <c r="AC2741" s="46"/>
      <c r="AD2741" s="46"/>
      <c r="AE2741" s="46"/>
      <c r="AF2741" s="46"/>
      <c r="AG2741" s="46"/>
      <c r="AH2741" s="46"/>
      <c r="AI2741" s="46"/>
      <c r="AJ2741" s="46"/>
      <c r="AK2741" s="46"/>
      <c r="AL2741" s="46"/>
      <c r="AM2741" s="46"/>
      <c r="AN2741" s="46"/>
      <c r="AO2741" s="46"/>
      <c r="AP2741" s="46">
        <v>0.39413535999999999</v>
      </c>
      <c r="AQ2741" s="46"/>
      <c r="AR2741" s="46"/>
      <c r="AS2741" s="46">
        <v>53.058078999999999</v>
      </c>
      <c r="AT2741" s="46"/>
      <c r="AU2741" s="46"/>
      <c r="AV2741" s="46"/>
      <c r="AW2741" s="46">
        <v>5.0203380000000001E-3</v>
      </c>
      <c r="AX2741" s="46">
        <v>3.6440799999999998E-4</v>
      </c>
      <c r="AY2741" s="46">
        <v>8.9418212999999996E-2</v>
      </c>
      <c r="AZ2741" s="46">
        <v>0</v>
      </c>
      <c r="BA2741" s="46"/>
      <c r="BB2741" s="46"/>
      <c r="BC2741" s="46"/>
      <c r="BD2741" s="46"/>
      <c r="BE2741" s="46"/>
      <c r="BF2741" s="39" t="s">
        <v>1086</v>
      </c>
      <c r="BG2741" s="39"/>
      <c r="BH2741" s="33" t="s">
        <v>135</v>
      </c>
    </row>
    <row r="2742" spans="1:60">
      <c r="A2742" s="39" t="s">
        <v>1087</v>
      </c>
      <c r="B2742" s="39" t="s">
        <v>1030</v>
      </c>
      <c r="C2742" s="39" t="s">
        <v>1031</v>
      </c>
      <c r="D2742" s="39" t="s">
        <v>1071</v>
      </c>
      <c r="E2742" s="39" t="s">
        <v>829</v>
      </c>
      <c r="F2742" s="39">
        <v>1</v>
      </c>
      <c r="G2742" s="39">
        <v>0.26030389853172498</v>
      </c>
      <c r="H2742" s="39"/>
      <c r="I2742" s="39">
        <v>33.1</v>
      </c>
      <c r="J2742" s="46">
        <v>5.1140100000000004E-6</v>
      </c>
      <c r="K2742" s="46">
        <v>2.9818931E-2</v>
      </c>
      <c r="L2742" s="46">
        <v>3.6750563000000001</v>
      </c>
      <c r="M2742" s="46">
        <v>5.3162099999999995E-8</v>
      </c>
      <c r="N2742" s="46">
        <v>7.4466600000000006E-4</v>
      </c>
      <c r="O2742" s="46">
        <v>4.2393200000000004E-3</v>
      </c>
      <c r="P2742" s="46">
        <v>7.4903799999999994E-4</v>
      </c>
      <c r="Q2742" s="46">
        <v>0.73800107000000004</v>
      </c>
      <c r="R2742" s="46">
        <v>5.9501629999999996E-3</v>
      </c>
      <c r="S2742" s="46">
        <v>22.606211999999999</v>
      </c>
      <c r="T2742" s="46">
        <v>2.9862950000000004E-3</v>
      </c>
      <c r="U2742" s="46"/>
      <c r="V2742" s="46"/>
      <c r="W2742" s="46"/>
      <c r="X2742" s="46"/>
      <c r="Y2742" s="46"/>
      <c r="Z2742" s="46"/>
      <c r="AA2742" s="46"/>
      <c r="AB2742" s="46"/>
      <c r="AC2742" s="46"/>
      <c r="AD2742" s="46"/>
      <c r="AE2742" s="46"/>
      <c r="AF2742" s="46"/>
      <c r="AG2742" s="46"/>
      <c r="AH2742" s="46"/>
      <c r="AI2742" s="46"/>
      <c r="AJ2742" s="46"/>
      <c r="AK2742" s="46"/>
      <c r="AL2742" s="46"/>
      <c r="AM2742" s="46"/>
      <c r="AN2742" s="46"/>
      <c r="AO2742" s="46"/>
      <c r="AP2742" s="46">
        <v>0.44212060000000003</v>
      </c>
      <c r="AQ2742" s="46"/>
      <c r="AR2742" s="46"/>
      <c r="AS2742" s="46">
        <v>63.616281999999998</v>
      </c>
      <c r="AT2742" s="46"/>
      <c r="AU2742" s="46"/>
      <c r="AV2742" s="46"/>
      <c r="AW2742" s="46">
        <v>2.8771490000000003E-3</v>
      </c>
      <c r="AX2742" s="46">
        <v>9.8355600000000004E-5</v>
      </c>
      <c r="AY2742" s="46">
        <v>0.10819988</v>
      </c>
      <c r="AZ2742" s="46">
        <v>0</v>
      </c>
      <c r="BA2742" s="46"/>
      <c r="BB2742" s="46"/>
      <c r="BC2742" s="46"/>
      <c r="BD2742" s="46"/>
      <c r="BE2742" s="46"/>
      <c r="BF2742" s="39" t="s">
        <v>1088</v>
      </c>
      <c r="BG2742" s="39"/>
      <c r="BH2742" s="33" t="s">
        <v>135</v>
      </c>
    </row>
    <row r="2743" spans="1:60">
      <c r="A2743" s="39" t="s">
        <v>1089</v>
      </c>
      <c r="B2743" s="39" t="s">
        <v>1030</v>
      </c>
      <c r="C2743" s="39" t="s">
        <v>1031</v>
      </c>
      <c r="D2743" s="39" t="s">
        <v>1035</v>
      </c>
      <c r="E2743" s="39" t="s">
        <v>829</v>
      </c>
      <c r="F2743" s="39">
        <v>1</v>
      </c>
      <c r="G2743" s="39">
        <v>0.21343029958233578</v>
      </c>
      <c r="H2743" s="39"/>
      <c r="I2743" s="39">
        <v>34.299999999999997</v>
      </c>
      <c r="J2743" s="46">
        <v>3.87857E-6</v>
      </c>
      <c r="K2743" s="46">
        <v>8.4429610000000006E-3</v>
      </c>
      <c r="L2743" s="46">
        <v>1.4396209</v>
      </c>
      <c r="M2743" s="46">
        <v>1.3768700000000001E-7</v>
      </c>
      <c r="N2743" s="46">
        <v>1.173456E-3</v>
      </c>
      <c r="O2743" s="46">
        <v>8.9956229999999995E-3</v>
      </c>
      <c r="P2743" s="46">
        <v>4.4612139999999998E-3</v>
      </c>
      <c r="Q2743" s="46">
        <v>0.79947865000000007</v>
      </c>
      <c r="R2743" s="46">
        <v>0.56927326</v>
      </c>
      <c r="S2743" s="46">
        <v>47.928832</v>
      </c>
      <c r="T2743" s="46">
        <v>0.24437907</v>
      </c>
      <c r="U2743" s="46"/>
      <c r="V2743" s="46"/>
      <c r="W2743" s="46"/>
      <c r="X2743" s="46"/>
      <c r="Y2743" s="46"/>
      <c r="Z2743" s="46"/>
      <c r="AA2743" s="46"/>
      <c r="AB2743" s="46"/>
      <c r="AC2743" s="46"/>
      <c r="AD2743" s="46"/>
      <c r="AE2743" s="46"/>
      <c r="AF2743" s="46"/>
      <c r="AG2743" s="46"/>
      <c r="AH2743" s="46"/>
      <c r="AI2743" s="46"/>
      <c r="AJ2743" s="46"/>
      <c r="AK2743" s="46"/>
      <c r="AL2743" s="46"/>
      <c r="AM2743" s="46"/>
      <c r="AN2743" s="46"/>
      <c r="AO2743" s="46"/>
      <c r="AP2743" s="46">
        <v>7.8533024999999999</v>
      </c>
      <c r="AQ2743" s="46"/>
      <c r="AR2743" s="46"/>
      <c r="AS2743" s="46">
        <v>17.840087</v>
      </c>
      <c r="AT2743" s="46"/>
      <c r="AU2743" s="46"/>
      <c r="AV2743" s="46"/>
      <c r="AW2743" s="46">
        <v>6.1255324999999999E-2</v>
      </c>
      <c r="AX2743" s="46">
        <v>1.03501E-4</v>
      </c>
      <c r="AY2743" s="46">
        <v>0.28268589</v>
      </c>
      <c r="AZ2743" s="46">
        <v>0</v>
      </c>
      <c r="BA2743" s="46"/>
      <c r="BB2743" s="46"/>
      <c r="BC2743" s="46"/>
      <c r="BD2743" s="46"/>
      <c r="BE2743" s="46"/>
      <c r="BF2743" s="39" t="s">
        <v>1090</v>
      </c>
      <c r="BG2743" s="39"/>
      <c r="BH2743" s="33" t="s">
        <v>135</v>
      </c>
    </row>
    <row r="2744" spans="1:60">
      <c r="A2744" s="39" t="s">
        <v>1091</v>
      </c>
      <c r="B2744" s="39" t="s">
        <v>1030</v>
      </c>
      <c r="C2744" s="39" t="s">
        <v>1031</v>
      </c>
      <c r="D2744" s="39" t="s">
        <v>1038</v>
      </c>
      <c r="E2744" s="39" t="s">
        <v>829</v>
      </c>
      <c r="F2744" s="39">
        <v>1</v>
      </c>
      <c r="G2744" s="39">
        <v>0.28275466792178627</v>
      </c>
      <c r="H2744" s="39"/>
      <c r="I2744" s="39">
        <v>34.5</v>
      </c>
      <c r="J2744" s="7">
        <v>2.2397299999999999E-6</v>
      </c>
      <c r="K2744" s="7">
        <v>5.5331700000000004E-3</v>
      </c>
      <c r="L2744" s="7">
        <v>1.3805822000000001</v>
      </c>
      <c r="M2744" s="7">
        <v>8.6723099999999994E-8</v>
      </c>
      <c r="N2744" s="7">
        <v>1.00318E-3</v>
      </c>
      <c r="O2744" s="7">
        <v>4.9627439999999998E-3</v>
      </c>
      <c r="P2744" s="7">
        <v>2.181643E-3</v>
      </c>
      <c r="Q2744" s="7">
        <v>0.77631485999999994</v>
      </c>
      <c r="R2744" s="7">
        <v>0.50961345000000002</v>
      </c>
      <c r="S2744" s="7">
        <v>33.693195000000003</v>
      </c>
      <c r="T2744" s="7">
        <v>0.22491223999999999</v>
      </c>
      <c r="U2744" s="7"/>
      <c r="V2744" s="7"/>
      <c r="W2744" s="7"/>
      <c r="X2744" s="7"/>
      <c r="Y2744" s="7"/>
      <c r="Z2744" s="7"/>
      <c r="AA2744" s="7"/>
      <c r="AB2744" s="7"/>
      <c r="AC2744" s="7"/>
      <c r="AD2744" s="7"/>
      <c r="AE2744" s="7"/>
      <c r="AF2744" s="7"/>
      <c r="AG2744" s="7"/>
      <c r="AH2744" s="7"/>
      <c r="AI2744" s="7"/>
      <c r="AJ2744" s="7"/>
      <c r="AK2744" s="7"/>
      <c r="AL2744" s="7"/>
      <c r="AM2744" s="7"/>
      <c r="AN2744" s="7"/>
      <c r="AO2744" s="7"/>
      <c r="AP2744" s="7">
        <v>2.4737833</v>
      </c>
      <c r="AQ2744" s="7"/>
      <c r="AR2744" s="7"/>
      <c r="AS2744" s="7">
        <v>11.613380999999999</v>
      </c>
      <c r="AT2744" s="7"/>
      <c r="AU2744" s="7"/>
      <c r="AV2744" s="7"/>
      <c r="AW2744" s="7">
        <v>1.9473404E-2</v>
      </c>
      <c r="AX2744" s="7">
        <v>6.3249600000000005E-5</v>
      </c>
      <c r="AY2744" s="7">
        <v>0.24535799</v>
      </c>
      <c r="AZ2744" s="7">
        <v>0</v>
      </c>
      <c r="BA2744" s="7"/>
      <c r="BB2744" s="7"/>
      <c r="BC2744" s="7"/>
      <c r="BD2744" s="7"/>
      <c r="BE2744" s="7"/>
      <c r="BF2744" s="7" t="s">
        <v>1092</v>
      </c>
      <c r="BG2744" s="39"/>
      <c r="BH2744" s="33" t="s">
        <v>135</v>
      </c>
    </row>
    <row r="2745" spans="1:60">
      <c r="A2745" s="39" t="s">
        <v>1093</v>
      </c>
      <c r="B2745" s="39" t="s">
        <v>1053</v>
      </c>
      <c r="C2745" s="39" t="s">
        <v>1031</v>
      </c>
      <c r="D2745" s="39" t="s">
        <v>1054</v>
      </c>
      <c r="E2745" s="39" t="s">
        <v>829</v>
      </c>
      <c r="F2745" s="39">
        <v>1</v>
      </c>
      <c r="G2745" s="39">
        <v>6.4995942000000001E-2</v>
      </c>
      <c r="H2745" s="401">
        <f>Database_Brandstoffen[[#This Row],[Milieu Kosten Indicator (euro) - Euro]]/G2743</f>
        <v>0.30453006029224206</v>
      </c>
      <c r="I2745" s="39">
        <v>3.6</v>
      </c>
      <c r="J2745" s="46">
        <v>1.7900000000000001E-5</v>
      </c>
      <c r="K2745" s="46">
        <v>1.57E-3</v>
      </c>
      <c r="L2745" s="46">
        <v>0.22500000000000001</v>
      </c>
      <c r="M2745" s="46">
        <v>2.2600000000000001E-8</v>
      </c>
      <c r="N2745" s="46">
        <v>2.9300000000000002E-4</v>
      </c>
      <c r="O2745" s="46">
        <v>2.15E-3</v>
      </c>
      <c r="P2745" s="46">
        <v>3.0400000000000002E-4</v>
      </c>
      <c r="Q2745" s="46">
        <v>0.42499999999999999</v>
      </c>
      <c r="R2745" s="46">
        <v>7.0400000000000003E-3</v>
      </c>
      <c r="S2745" s="46">
        <v>23.1</v>
      </c>
      <c r="T2745" s="46">
        <v>1.3299999999999999E-2</v>
      </c>
      <c r="U2745" s="46"/>
      <c r="V2745" s="46"/>
      <c r="W2745" s="46"/>
      <c r="X2745" s="46"/>
      <c r="Y2745" s="46"/>
      <c r="Z2745" s="46"/>
      <c r="AA2745" s="46"/>
      <c r="AB2745" s="46"/>
      <c r="AC2745" s="46"/>
      <c r="AD2745" s="46"/>
      <c r="AE2745" s="46"/>
      <c r="AF2745" s="46"/>
      <c r="AG2745" s="46"/>
      <c r="AH2745" s="46"/>
      <c r="AI2745" s="46"/>
      <c r="AJ2745" s="46"/>
      <c r="AK2745" s="46"/>
      <c r="AL2745" s="46"/>
      <c r="AM2745" s="46"/>
      <c r="AN2745" s="46"/>
      <c r="AO2745" s="46"/>
      <c r="AP2745" s="46">
        <v>8.6999999999999993</v>
      </c>
      <c r="AQ2745" s="46"/>
      <c r="AR2745" s="46"/>
      <c r="AS2745" s="46">
        <v>3.07</v>
      </c>
      <c r="AT2745" s="46"/>
      <c r="AU2745" s="46"/>
      <c r="AV2745" s="46"/>
      <c r="AW2745" s="46">
        <v>8.6999999999999993</v>
      </c>
      <c r="AX2745" s="46">
        <v>4.1E-5</v>
      </c>
      <c r="AY2745" s="46">
        <v>7.6100000000000001E-2</v>
      </c>
      <c r="AZ2745" s="46">
        <v>9.02E-6</v>
      </c>
      <c r="BA2745" s="46"/>
      <c r="BB2745" s="46"/>
      <c r="BC2745" s="46"/>
      <c r="BD2745" s="46"/>
      <c r="BE2745" s="46"/>
      <c r="BF2745" s="33" t="s">
        <v>892</v>
      </c>
      <c r="BG2745" s="39" t="s">
        <v>1094</v>
      </c>
      <c r="BH2745" s="33" t="s">
        <v>854</v>
      </c>
    </row>
    <row r="2746" spans="1:60">
      <c r="A2746" s="39" t="s">
        <v>1095</v>
      </c>
      <c r="B2746" s="39" t="s">
        <v>1053</v>
      </c>
      <c r="C2746" s="39" t="s">
        <v>1031</v>
      </c>
      <c r="D2746" s="39" t="s">
        <v>1054</v>
      </c>
      <c r="E2746" s="39" t="s">
        <v>829</v>
      </c>
      <c r="F2746" s="39">
        <v>1</v>
      </c>
      <c r="G2746" s="39">
        <v>8.3392310999999997E-2</v>
      </c>
      <c r="H2746" s="39"/>
      <c r="I2746" s="39">
        <v>3.6</v>
      </c>
      <c r="J2746" s="46">
        <v>1.4100000000000001E-5</v>
      </c>
      <c r="K2746" s="46">
        <v>5.8300000000000001E-3</v>
      </c>
      <c r="L2746" s="46">
        <v>0.69299999999999995</v>
      </c>
      <c r="M2746" s="46">
        <v>4.8499999999999998E-8</v>
      </c>
      <c r="N2746" s="46">
        <v>2.6200000000000003E-4</v>
      </c>
      <c r="O2746" s="46">
        <v>2.0799999999999998E-3</v>
      </c>
      <c r="P2746" s="46">
        <v>2.4899999999999998E-4</v>
      </c>
      <c r="Q2746" s="46">
        <v>0.373</v>
      </c>
      <c r="R2746" s="46">
        <v>5.96E-3</v>
      </c>
      <c r="S2746" s="46">
        <v>21.8</v>
      </c>
      <c r="T2746" s="46">
        <v>1.32E-2</v>
      </c>
      <c r="U2746" s="46"/>
      <c r="V2746" s="46"/>
      <c r="W2746" s="46"/>
      <c r="X2746" s="46"/>
      <c r="Y2746" s="46"/>
      <c r="Z2746" s="46"/>
      <c r="AA2746" s="46"/>
      <c r="AB2746" s="46"/>
      <c r="AC2746" s="46"/>
      <c r="AD2746" s="46"/>
      <c r="AE2746" s="46"/>
      <c r="AF2746" s="46"/>
      <c r="AG2746" s="46"/>
      <c r="AH2746" s="46"/>
      <c r="AI2746" s="46"/>
      <c r="AJ2746" s="46"/>
      <c r="AK2746" s="46"/>
      <c r="AL2746" s="46"/>
      <c r="AM2746" s="46"/>
      <c r="AN2746" s="46"/>
      <c r="AO2746" s="46"/>
      <c r="AP2746" s="46">
        <v>0.23899999999999999</v>
      </c>
      <c r="AQ2746" s="46"/>
      <c r="AR2746" s="46"/>
      <c r="AS2746" s="46">
        <v>10.9</v>
      </c>
      <c r="AT2746" s="46"/>
      <c r="AU2746" s="46"/>
      <c r="AV2746" s="46"/>
      <c r="AW2746" s="46">
        <v>0.23899999999999999</v>
      </c>
      <c r="AX2746" s="46">
        <v>3.2199999999999997E-5</v>
      </c>
      <c r="AY2746" s="46">
        <v>5.67E-2</v>
      </c>
      <c r="AZ2746" s="46">
        <v>9.2599999999999994E-6</v>
      </c>
      <c r="BA2746" s="46"/>
      <c r="BB2746" s="46"/>
      <c r="BC2746" s="46"/>
      <c r="BD2746" s="46"/>
      <c r="BE2746" s="46"/>
      <c r="BF2746" s="33" t="s">
        <v>892</v>
      </c>
      <c r="BG2746" s="39" t="s">
        <v>1094</v>
      </c>
      <c r="BH2746" s="33" t="s">
        <v>854</v>
      </c>
    </row>
    <row r="2747" spans="1:60">
      <c r="A2747" s="39" t="s">
        <v>1096</v>
      </c>
      <c r="B2747" s="39" t="s">
        <v>1030</v>
      </c>
      <c r="C2747" s="39" t="s">
        <v>938</v>
      </c>
      <c r="D2747" s="39" t="s">
        <v>1032</v>
      </c>
      <c r="E2747" s="39" t="s">
        <v>829</v>
      </c>
      <c r="F2747" s="39">
        <v>1</v>
      </c>
      <c r="G2747" s="39">
        <v>0.35563707</v>
      </c>
      <c r="H2747" s="39"/>
      <c r="I2747" s="39">
        <v>35.9</v>
      </c>
      <c r="J2747" s="46">
        <v>7.1725684000000003E-6</v>
      </c>
      <c r="K2747" s="46">
        <v>2.3623294999999999E-2</v>
      </c>
      <c r="L2747" s="46">
        <v>3.4623425999999999</v>
      </c>
      <c r="M2747" s="46">
        <v>6.0836697000000001E-7</v>
      </c>
      <c r="N2747" s="46">
        <v>1.0665121E-3</v>
      </c>
      <c r="O2747" s="46">
        <v>1.2593379E-2</v>
      </c>
      <c r="P2747" s="46">
        <v>2.5505883E-3</v>
      </c>
      <c r="Q2747" s="46">
        <v>1.0587800999999999</v>
      </c>
      <c r="R2747" s="46">
        <v>2.0343422999999999E-2</v>
      </c>
      <c r="S2747" s="46">
        <v>67.414569</v>
      </c>
      <c r="T2747" s="46">
        <v>1.0283496E-2</v>
      </c>
      <c r="U2747" s="46">
        <v>3.4831935999999999</v>
      </c>
      <c r="V2747" s="46">
        <v>3.4791462000000002</v>
      </c>
      <c r="W2747" s="46">
        <v>3.5281616999999999E-3</v>
      </c>
      <c r="X2747" s="46">
        <v>5.1921197000000003E-4</v>
      </c>
      <c r="Y2747" s="46">
        <v>7.6198893000000005E-7</v>
      </c>
      <c r="Z2747" s="46">
        <v>1.6797646999999999E-2</v>
      </c>
      <c r="AA2747" s="46">
        <v>2.2420601E-5</v>
      </c>
      <c r="AB2747" s="46">
        <v>6.0392913999999997E-3</v>
      </c>
      <c r="AC2747" s="46">
        <v>6.6299605999999997E-2</v>
      </c>
      <c r="AD2747" s="46">
        <v>1.7574926000000001E-2</v>
      </c>
      <c r="AE2747" s="46">
        <v>7.1725134999999998E-6</v>
      </c>
      <c r="AF2747" s="46">
        <v>50.073196000000003</v>
      </c>
      <c r="AG2747" s="46">
        <v>9.7516776999999999E-2</v>
      </c>
      <c r="AH2747" s="46">
        <v>5.5806113000000003E-8</v>
      </c>
      <c r="AI2747" s="46">
        <v>0.21792427</v>
      </c>
      <c r="AJ2747" s="46">
        <v>31.446231000000001</v>
      </c>
      <c r="AK2747" s="46">
        <v>6.0595297E-9</v>
      </c>
      <c r="AL2747" s="46">
        <v>5.1283682000000002E-8</v>
      </c>
      <c r="AM2747" s="46">
        <v>6.8431490000000004</v>
      </c>
      <c r="AN2747" s="46">
        <v>0</v>
      </c>
      <c r="AO2747" s="46">
        <v>0</v>
      </c>
      <c r="AP2747" s="46">
        <v>0.57193901999999996</v>
      </c>
      <c r="AQ2747" s="46">
        <v>0</v>
      </c>
      <c r="AR2747" s="46">
        <v>0</v>
      </c>
      <c r="AS2747" s="46">
        <v>53.218969999999999</v>
      </c>
      <c r="AT2747" s="46">
        <v>0</v>
      </c>
      <c r="AU2747" s="46">
        <v>0</v>
      </c>
      <c r="AV2747" s="46">
        <v>0</v>
      </c>
      <c r="AW2747" s="46">
        <v>3.9049159E-3</v>
      </c>
      <c r="AX2747" s="46">
        <v>1.3184975999999999E-4</v>
      </c>
      <c r="AY2747" s="46">
        <v>0.12317951000000001</v>
      </c>
      <c r="AZ2747" s="46">
        <v>3.4125981999999998E-4</v>
      </c>
      <c r="BA2747" s="46">
        <v>0</v>
      </c>
      <c r="BB2747" s="46">
        <v>0</v>
      </c>
      <c r="BC2747" s="46">
        <v>0</v>
      </c>
      <c r="BD2747" s="46">
        <v>0</v>
      </c>
      <c r="BE2747" s="46">
        <v>0</v>
      </c>
      <c r="BF2747" s="39" t="s">
        <v>1097</v>
      </c>
      <c r="BG2747" s="39"/>
      <c r="BH2747" s="33" t="s">
        <v>135</v>
      </c>
    </row>
    <row r="2748" spans="1:60">
      <c r="A2748" s="39" t="s">
        <v>1098</v>
      </c>
      <c r="B2748" s="39" t="s">
        <v>1030</v>
      </c>
      <c r="C2748" s="39" t="s">
        <v>938</v>
      </c>
      <c r="D2748" s="39" t="s">
        <v>1032</v>
      </c>
      <c r="E2748" s="39" t="s">
        <v>829</v>
      </c>
      <c r="F2748" s="39">
        <v>1</v>
      </c>
      <c r="G2748" s="39">
        <v>0.3500702</v>
      </c>
      <c r="H2748" s="39"/>
      <c r="I2748" s="39">
        <v>35.9</v>
      </c>
      <c r="J2748" s="46">
        <v>7.1725684000000003E-6</v>
      </c>
      <c r="K2748" s="46">
        <v>2.3623294999999999E-2</v>
      </c>
      <c r="L2748" s="46">
        <v>3.4623425999999999</v>
      </c>
      <c r="M2748" s="46">
        <v>6.0836697000000001E-7</v>
      </c>
      <c r="N2748" s="46">
        <v>1.0665121E-3</v>
      </c>
      <c r="O2748" s="46">
        <v>1.1744338999999999E-2</v>
      </c>
      <c r="P2748" s="46">
        <v>2.3297983000000002E-3</v>
      </c>
      <c r="Q2748" s="46">
        <v>1.0567401999999999</v>
      </c>
      <c r="R2748" s="46">
        <v>2.0343422999999999E-2</v>
      </c>
      <c r="S2748" s="46">
        <v>67.414569999999998</v>
      </c>
      <c r="T2748" s="46">
        <v>1.0283496E-2</v>
      </c>
      <c r="U2748" s="46">
        <v>3.4831935999999999</v>
      </c>
      <c r="V2748" s="46">
        <v>3.4791462000000002</v>
      </c>
      <c r="W2748" s="46">
        <v>3.5281616999999999E-3</v>
      </c>
      <c r="X2748" s="46">
        <v>5.1921197000000003E-4</v>
      </c>
      <c r="Y2748" s="46">
        <v>7.6198893000000005E-7</v>
      </c>
      <c r="Z2748" s="46">
        <v>1.5541459000000001E-2</v>
      </c>
      <c r="AA2748" s="46">
        <v>2.2420601E-5</v>
      </c>
      <c r="AB2748" s="46">
        <v>5.3780466000000002E-3</v>
      </c>
      <c r="AC2748" s="46">
        <v>5.9065687999999998E-2</v>
      </c>
      <c r="AD2748" s="46">
        <v>1.5874926000000001E-2</v>
      </c>
      <c r="AE2748" s="46">
        <v>7.1725135999999997E-6</v>
      </c>
      <c r="AF2748" s="46">
        <v>50.073196000000003</v>
      </c>
      <c r="AG2748" s="46">
        <v>9.7516776999999999E-2</v>
      </c>
      <c r="AH2748" s="46">
        <v>5.5461713000000002E-8</v>
      </c>
      <c r="AI2748" s="46">
        <v>0.21792427</v>
      </c>
      <c r="AJ2748" s="46">
        <v>31.446300999999998</v>
      </c>
      <c r="AK2748" s="46">
        <v>6.0595297E-9</v>
      </c>
      <c r="AL2748" s="46">
        <v>5.1283682999999999E-8</v>
      </c>
      <c r="AM2748" s="46">
        <v>6.8431490999999998</v>
      </c>
      <c r="AN2748" s="46">
        <v>0</v>
      </c>
      <c r="AO2748" s="46">
        <v>0</v>
      </c>
      <c r="AP2748" s="46">
        <v>0.57193901999999996</v>
      </c>
      <c r="AQ2748" s="46">
        <v>0</v>
      </c>
      <c r="AR2748" s="46">
        <v>0</v>
      </c>
      <c r="AS2748" s="46">
        <v>53.218971000000003</v>
      </c>
      <c r="AT2748" s="46">
        <v>0</v>
      </c>
      <c r="AU2748" s="46">
        <v>0</v>
      </c>
      <c r="AV2748" s="46">
        <v>0</v>
      </c>
      <c r="AW2748" s="46">
        <v>3.9049159E-3</v>
      </c>
      <c r="AX2748" s="46">
        <v>1.3184975999999999E-4</v>
      </c>
      <c r="AY2748" s="46">
        <v>0.12317951000000001</v>
      </c>
      <c r="AZ2748" s="46">
        <v>3.4125981999999998E-4</v>
      </c>
      <c r="BA2748" s="46">
        <v>0</v>
      </c>
      <c r="BB2748" s="46">
        <v>0</v>
      </c>
      <c r="BC2748" s="46">
        <v>0</v>
      </c>
      <c r="BD2748" s="46">
        <v>0</v>
      </c>
      <c r="BE2748" s="46">
        <v>0</v>
      </c>
      <c r="BF2748" s="39" t="s">
        <v>1099</v>
      </c>
      <c r="BG2748" s="39"/>
      <c r="BH2748" s="33" t="s">
        <v>135</v>
      </c>
    </row>
    <row r="2749" spans="1:60">
      <c r="A2749" s="39" t="s">
        <v>1100</v>
      </c>
      <c r="B2749" s="39" t="s">
        <v>1030</v>
      </c>
      <c r="C2749" s="39" t="s">
        <v>938</v>
      </c>
      <c r="D2749" s="39" t="s">
        <v>1032</v>
      </c>
      <c r="E2749" s="39" t="s">
        <v>829</v>
      </c>
      <c r="F2749" s="39">
        <v>1</v>
      </c>
      <c r="G2749" s="39">
        <v>0.366788</v>
      </c>
      <c r="H2749" s="39"/>
      <c r="I2749" s="39">
        <v>35.9</v>
      </c>
      <c r="J2749" s="46">
        <v>7.1725684000000003E-6</v>
      </c>
      <c r="K2749" s="46">
        <v>2.3623294999999999E-2</v>
      </c>
      <c r="L2749" s="46">
        <v>3.4623425999999999</v>
      </c>
      <c r="M2749" s="46">
        <v>6.0836697000000001E-7</v>
      </c>
      <c r="N2749" s="46">
        <v>1.0665121E-3</v>
      </c>
      <c r="O2749" s="46">
        <v>1.4294339E-2</v>
      </c>
      <c r="P2749" s="46">
        <v>2.9927983000000002E-3</v>
      </c>
      <c r="Q2749" s="46">
        <v>1.0628602</v>
      </c>
      <c r="R2749" s="46">
        <v>2.0343422999999999E-2</v>
      </c>
      <c r="S2749" s="46">
        <v>67.414569</v>
      </c>
      <c r="T2749" s="46">
        <v>1.0283496E-2</v>
      </c>
      <c r="U2749" s="46">
        <v>3.4831935999999999</v>
      </c>
      <c r="V2749" s="46">
        <v>3.4791462000000002</v>
      </c>
      <c r="W2749" s="46">
        <v>3.5281616999999999E-3</v>
      </c>
      <c r="X2749" s="46">
        <v>5.1921197000000003E-4</v>
      </c>
      <c r="Y2749" s="46">
        <v>7.6198893000000005E-7</v>
      </c>
      <c r="Z2749" s="46">
        <v>1.9315459E-2</v>
      </c>
      <c r="AA2749" s="46">
        <v>2.2420601E-5</v>
      </c>
      <c r="AB2749" s="46">
        <v>7.3619465999999996E-3</v>
      </c>
      <c r="AC2749" s="46">
        <v>8.0791688E-2</v>
      </c>
      <c r="AD2749" s="46">
        <v>2.0974926000000001E-2</v>
      </c>
      <c r="AE2749" s="46">
        <v>7.1725134999999998E-6</v>
      </c>
      <c r="AF2749" s="46">
        <v>50.073196000000003</v>
      </c>
      <c r="AG2749" s="46">
        <v>9.7516776999999999E-2</v>
      </c>
      <c r="AH2749" s="46">
        <v>5.6532712999999999E-8</v>
      </c>
      <c r="AI2749" s="46">
        <v>0.21792427</v>
      </c>
      <c r="AJ2749" s="46">
        <v>31.446300000000001</v>
      </c>
      <c r="AK2749" s="46">
        <v>6.0595297E-9</v>
      </c>
      <c r="AL2749" s="46">
        <v>5.1283682999999999E-8</v>
      </c>
      <c r="AM2749" s="46">
        <v>6.8431490000000004</v>
      </c>
      <c r="AN2749" s="46">
        <v>0</v>
      </c>
      <c r="AO2749" s="46">
        <v>0</v>
      </c>
      <c r="AP2749" s="46">
        <v>0.57193901999999996</v>
      </c>
      <c r="AQ2749" s="46">
        <v>0</v>
      </c>
      <c r="AR2749" s="46">
        <v>0</v>
      </c>
      <c r="AS2749" s="46">
        <v>53.218969999999999</v>
      </c>
      <c r="AT2749" s="46">
        <v>0</v>
      </c>
      <c r="AU2749" s="46">
        <v>0</v>
      </c>
      <c r="AV2749" s="46">
        <v>0</v>
      </c>
      <c r="AW2749" s="46">
        <v>3.9049159E-3</v>
      </c>
      <c r="AX2749" s="46">
        <v>1.3184975999999999E-4</v>
      </c>
      <c r="AY2749" s="46">
        <v>0.12317951000000001</v>
      </c>
      <c r="AZ2749" s="46">
        <v>3.4125981999999998E-4</v>
      </c>
      <c r="BA2749" s="46">
        <v>0</v>
      </c>
      <c r="BB2749" s="46">
        <v>0</v>
      </c>
      <c r="BC2749" s="46">
        <v>0</v>
      </c>
      <c r="BD2749" s="46">
        <v>0</v>
      </c>
      <c r="BE2749" s="46">
        <v>0</v>
      </c>
      <c r="BF2749" s="39" t="s">
        <v>1033</v>
      </c>
      <c r="BG2749" s="39"/>
      <c r="BH2749" s="33" t="s">
        <v>135</v>
      </c>
    </row>
    <row r="2750" spans="1:60">
      <c r="A2750" s="39" t="s">
        <v>1101</v>
      </c>
      <c r="B2750" s="39" t="s">
        <v>1030</v>
      </c>
      <c r="C2750" s="39" t="s">
        <v>938</v>
      </c>
      <c r="D2750" s="39" t="s">
        <v>1032</v>
      </c>
      <c r="E2750" s="39" t="s">
        <v>829</v>
      </c>
      <c r="F2750" s="39">
        <v>1</v>
      </c>
      <c r="G2750" s="39">
        <v>0.34679219999999999</v>
      </c>
      <c r="H2750" s="39"/>
      <c r="I2750" s="39">
        <v>35.9</v>
      </c>
      <c r="J2750" s="46">
        <v>7.1725684000000003E-6</v>
      </c>
      <c r="K2750" s="46">
        <v>2.3623294999999999E-2</v>
      </c>
      <c r="L2750" s="46">
        <v>3.4623425999999999</v>
      </c>
      <c r="M2750" s="46">
        <v>6.0836697000000001E-7</v>
      </c>
      <c r="N2750" s="46">
        <v>1.0665121E-3</v>
      </c>
      <c r="O2750" s="46">
        <v>1.1244339000000001E-2</v>
      </c>
      <c r="P2750" s="46">
        <v>2.1997982999999999E-3</v>
      </c>
      <c r="Q2750" s="46">
        <v>1.0555402</v>
      </c>
      <c r="R2750" s="46">
        <v>2.0343422999999999E-2</v>
      </c>
      <c r="S2750" s="46">
        <v>67.414569</v>
      </c>
      <c r="T2750" s="46">
        <v>1.0283496E-2</v>
      </c>
      <c r="U2750" s="46">
        <v>3.4831935999999999</v>
      </c>
      <c r="V2750" s="46">
        <v>3.4791462000000002</v>
      </c>
      <c r="W2750" s="46">
        <v>3.5281616999999999E-3</v>
      </c>
      <c r="X2750" s="46">
        <v>5.1921197000000003E-4</v>
      </c>
      <c r="Y2750" s="46">
        <v>7.6198893000000005E-7</v>
      </c>
      <c r="Z2750" s="46">
        <v>1.4801458999999999E-2</v>
      </c>
      <c r="AA2750" s="46">
        <v>2.2420601E-5</v>
      </c>
      <c r="AB2750" s="46">
        <v>4.9890465999999998E-3</v>
      </c>
      <c r="AC2750" s="46">
        <v>5.4805687999999998E-2</v>
      </c>
      <c r="AD2750" s="46">
        <v>1.4874926E-2</v>
      </c>
      <c r="AE2750" s="46">
        <v>7.1725134999999998E-6</v>
      </c>
      <c r="AF2750" s="46">
        <v>50.073196000000003</v>
      </c>
      <c r="AG2750" s="46">
        <v>9.7516776999999999E-2</v>
      </c>
      <c r="AH2750" s="46">
        <v>5.5251713000000002E-8</v>
      </c>
      <c r="AI2750" s="46">
        <v>0.21792427</v>
      </c>
      <c r="AJ2750" s="46">
        <v>31.446300000000001</v>
      </c>
      <c r="AK2750" s="46">
        <v>6.0595297E-9</v>
      </c>
      <c r="AL2750" s="46">
        <v>5.1283682999999999E-8</v>
      </c>
      <c r="AM2750" s="46">
        <v>6.8431490000000004</v>
      </c>
      <c r="AN2750" s="46">
        <v>0</v>
      </c>
      <c r="AO2750" s="46">
        <v>0</v>
      </c>
      <c r="AP2750" s="46">
        <v>0.57193901999999996</v>
      </c>
      <c r="AQ2750" s="46">
        <v>0</v>
      </c>
      <c r="AR2750" s="46">
        <v>0</v>
      </c>
      <c r="AS2750" s="46">
        <v>53.218969999999999</v>
      </c>
      <c r="AT2750" s="46">
        <v>0</v>
      </c>
      <c r="AU2750" s="46">
        <v>0</v>
      </c>
      <c r="AV2750" s="46">
        <v>0</v>
      </c>
      <c r="AW2750" s="46">
        <v>3.9049159E-3</v>
      </c>
      <c r="AX2750" s="46">
        <v>1.3184975999999999E-4</v>
      </c>
      <c r="AY2750" s="46">
        <v>0.12317951000000001</v>
      </c>
      <c r="AZ2750" s="46">
        <v>3.4125981999999998E-4</v>
      </c>
      <c r="BA2750" s="46">
        <v>0</v>
      </c>
      <c r="BB2750" s="46">
        <v>0</v>
      </c>
      <c r="BC2750" s="46">
        <v>0</v>
      </c>
      <c r="BD2750" s="46">
        <v>0</v>
      </c>
      <c r="BE2750" s="46">
        <v>0</v>
      </c>
      <c r="BF2750" s="39" t="s">
        <v>1102</v>
      </c>
      <c r="BG2750" s="39"/>
      <c r="BH2750" s="33" t="s">
        <v>135</v>
      </c>
    </row>
    <row r="2751" spans="1:60">
      <c r="A2751" s="39" t="s">
        <v>1103</v>
      </c>
      <c r="B2751" s="39" t="s">
        <v>1030</v>
      </c>
      <c r="C2751" s="39" t="s">
        <v>938</v>
      </c>
      <c r="D2751" s="39" t="s">
        <v>1032</v>
      </c>
      <c r="E2751" s="39" t="s">
        <v>829</v>
      </c>
      <c r="F2751" s="39">
        <v>1</v>
      </c>
      <c r="G2751" s="39">
        <v>0.33068560000000002</v>
      </c>
      <c r="H2751" s="39"/>
      <c r="I2751" s="39">
        <v>35.9</v>
      </c>
      <c r="J2751" s="46">
        <v>7.6429801999999997E-6</v>
      </c>
      <c r="K2751" s="46">
        <v>2.3852936000000002E-2</v>
      </c>
      <c r="L2751" s="46">
        <v>3.4879264000000001</v>
      </c>
      <c r="M2751" s="46">
        <v>6.1249708999999999E-7</v>
      </c>
      <c r="N2751" s="46">
        <v>1.0747013000000001E-3</v>
      </c>
      <c r="O2751" s="46">
        <v>8.4420884000000005E-3</v>
      </c>
      <c r="P2751" s="46">
        <v>1.4558736999999999E-3</v>
      </c>
      <c r="Q2751" s="46">
        <v>1.0596829999999999</v>
      </c>
      <c r="R2751" s="46">
        <v>2.0532080000000001E-2</v>
      </c>
      <c r="S2751" s="46">
        <v>68.259152999999998</v>
      </c>
      <c r="T2751" s="46">
        <v>1.0320802E-2</v>
      </c>
      <c r="U2751" s="46">
        <v>3.5091058999999998</v>
      </c>
      <c r="V2751" s="46">
        <v>3.5050891000000002</v>
      </c>
      <c r="W2751" s="46">
        <v>3.4906962999999998E-3</v>
      </c>
      <c r="X2751" s="46">
        <v>5.2609578E-4</v>
      </c>
      <c r="Y2751" s="46">
        <v>7.6682744999999995E-7</v>
      </c>
      <c r="Z2751" s="46">
        <v>1.0647617999999999E-2</v>
      </c>
      <c r="AA2751" s="46">
        <v>2.2801202999999999E-5</v>
      </c>
      <c r="AB2751" s="46">
        <v>2.7262202000000002E-3</v>
      </c>
      <c r="AC2751" s="46">
        <v>3.0363411E-2</v>
      </c>
      <c r="AD2751" s="46">
        <v>9.059948E-3</v>
      </c>
      <c r="AE2751" s="46">
        <v>7.6429242999999998E-6</v>
      </c>
      <c r="AF2751" s="46">
        <v>50.527847999999999</v>
      </c>
      <c r="AG2751" s="46">
        <v>0.16063047</v>
      </c>
      <c r="AH2751" s="46">
        <v>5.7432542999999999E-8</v>
      </c>
      <c r="AI2751" s="46">
        <v>0.2189876</v>
      </c>
      <c r="AJ2751" s="46">
        <v>31.728359000000001</v>
      </c>
      <c r="AK2751" s="46">
        <v>6.0713631000000002E-9</v>
      </c>
      <c r="AL2751" s="46">
        <v>5.1572728999999998E-8</v>
      </c>
      <c r="AM2751" s="46">
        <v>6.8989142000000001</v>
      </c>
      <c r="AN2751" s="46">
        <v>0</v>
      </c>
      <c r="AO2751" s="46">
        <v>0</v>
      </c>
      <c r="AP2751" s="46">
        <v>0.58285584000000001</v>
      </c>
      <c r="AQ2751" s="46">
        <v>0</v>
      </c>
      <c r="AR2751" s="46">
        <v>0</v>
      </c>
      <c r="AS2751" s="46">
        <v>53.714030999999999</v>
      </c>
      <c r="AT2751" s="46">
        <v>0</v>
      </c>
      <c r="AU2751" s="46">
        <v>0</v>
      </c>
      <c r="AV2751" s="46">
        <v>0</v>
      </c>
      <c r="AW2751" s="46">
        <v>5.4026875000000004E-3</v>
      </c>
      <c r="AX2751" s="46">
        <v>1.3239114E-4</v>
      </c>
      <c r="AY2751" s="46">
        <v>0.12438375</v>
      </c>
      <c r="AZ2751" s="46">
        <v>3.4269914E-4</v>
      </c>
      <c r="BA2751" s="46">
        <v>0</v>
      </c>
      <c r="BB2751" s="46">
        <v>0</v>
      </c>
      <c r="BC2751" s="46">
        <v>0</v>
      </c>
      <c r="BD2751" s="46">
        <v>0</v>
      </c>
      <c r="BE2751" s="46">
        <v>0</v>
      </c>
      <c r="BF2751" s="39" t="s">
        <v>1041</v>
      </c>
      <c r="BG2751" s="39"/>
      <c r="BH2751" s="33" t="s">
        <v>135</v>
      </c>
    </row>
    <row r="2752" spans="1:60">
      <c r="A2752" s="39" t="s">
        <v>1104</v>
      </c>
      <c r="B2752" s="39" t="s">
        <v>1030</v>
      </c>
      <c r="C2752" s="39" t="s">
        <v>938</v>
      </c>
      <c r="D2752" s="39" t="s">
        <v>1032</v>
      </c>
      <c r="E2752" s="39" t="s">
        <v>829</v>
      </c>
      <c r="F2752" s="39">
        <v>1</v>
      </c>
      <c r="G2752" s="39">
        <v>0.38561960000000001</v>
      </c>
      <c r="H2752" s="39"/>
      <c r="I2752" s="39">
        <v>35.9</v>
      </c>
      <c r="J2752" s="46">
        <v>7.6429801999999997E-6</v>
      </c>
      <c r="K2752" s="46">
        <v>2.3852936000000002E-2</v>
      </c>
      <c r="L2752" s="46">
        <v>3.4879264000000001</v>
      </c>
      <c r="M2752" s="46">
        <v>6.1249708999999999E-7</v>
      </c>
      <c r="N2752" s="46">
        <v>1.0747013000000001E-3</v>
      </c>
      <c r="O2752" s="46">
        <v>1.6821607999999998E-2</v>
      </c>
      <c r="P2752" s="46">
        <v>3.6345687000000002E-3</v>
      </c>
      <c r="Q2752" s="46">
        <v>1.0797680999999999</v>
      </c>
      <c r="R2752" s="46">
        <v>2.0532080000000001E-2</v>
      </c>
      <c r="S2752" s="46">
        <v>68.259152999999998</v>
      </c>
      <c r="T2752" s="46">
        <v>1.0320802E-2</v>
      </c>
      <c r="U2752" s="46">
        <v>3.5091058999999998</v>
      </c>
      <c r="V2752" s="46">
        <v>3.5050891000000002</v>
      </c>
      <c r="W2752" s="46">
        <v>3.4906962999999998E-3</v>
      </c>
      <c r="X2752" s="46">
        <v>5.2609578E-4</v>
      </c>
      <c r="Y2752" s="46">
        <v>7.6682744999999995E-7</v>
      </c>
      <c r="Z2752" s="46">
        <v>2.3049112E-2</v>
      </c>
      <c r="AA2752" s="46">
        <v>2.2801202999999999E-5</v>
      </c>
      <c r="AB2752" s="46">
        <v>9.2458326E-3</v>
      </c>
      <c r="AC2752" s="46">
        <v>0.10175697</v>
      </c>
      <c r="AD2752" s="46">
        <v>2.5819947999999999E-2</v>
      </c>
      <c r="AE2752" s="46">
        <v>7.6429242999999998E-6</v>
      </c>
      <c r="AF2752" s="46">
        <v>50.527847999999999</v>
      </c>
      <c r="AG2752" s="46">
        <v>0.16063047</v>
      </c>
      <c r="AH2752" s="46">
        <v>6.0851996000000007E-8</v>
      </c>
      <c r="AI2752" s="46">
        <v>0.2189876</v>
      </c>
      <c r="AJ2752" s="46">
        <v>31.728324000000001</v>
      </c>
      <c r="AK2752" s="46">
        <v>6.0713631000000002E-9</v>
      </c>
      <c r="AL2752" s="46">
        <v>5.1572728999999998E-8</v>
      </c>
      <c r="AM2752" s="46">
        <v>6.8989142000000001</v>
      </c>
      <c r="AN2752" s="46">
        <v>0</v>
      </c>
      <c r="AO2752" s="46">
        <v>0</v>
      </c>
      <c r="AP2752" s="46">
        <v>0.58285584000000001</v>
      </c>
      <c r="AQ2752" s="46">
        <v>0</v>
      </c>
      <c r="AR2752" s="46">
        <v>0</v>
      </c>
      <c r="AS2752" s="46">
        <v>53.714030999999999</v>
      </c>
      <c r="AT2752" s="46">
        <v>0</v>
      </c>
      <c r="AU2752" s="46">
        <v>0</v>
      </c>
      <c r="AV2752" s="46">
        <v>0</v>
      </c>
      <c r="AW2752" s="46">
        <v>5.4026875000000004E-3</v>
      </c>
      <c r="AX2752" s="46">
        <v>1.3239114E-4</v>
      </c>
      <c r="AY2752" s="46">
        <v>0.12438375</v>
      </c>
      <c r="AZ2752" s="46">
        <v>3.4269914E-4</v>
      </c>
      <c r="BA2752" s="46">
        <v>0</v>
      </c>
      <c r="BB2752" s="46">
        <v>0</v>
      </c>
      <c r="BC2752" s="46">
        <v>0</v>
      </c>
      <c r="BD2752" s="46">
        <v>0</v>
      </c>
      <c r="BE2752" s="46">
        <v>0</v>
      </c>
      <c r="BF2752" s="39" t="s">
        <v>1105</v>
      </c>
      <c r="BG2752" s="39"/>
      <c r="BH2752" s="33" t="s">
        <v>135</v>
      </c>
    </row>
    <row r="2753" spans="1:60">
      <c r="A2753" s="39" t="s">
        <v>1106</v>
      </c>
      <c r="B2753" s="39" t="s">
        <v>1030</v>
      </c>
      <c r="C2753" s="39" t="s">
        <v>938</v>
      </c>
      <c r="D2753" s="39" t="s">
        <v>1032</v>
      </c>
      <c r="E2753" s="39" t="s">
        <v>829</v>
      </c>
      <c r="F2753" s="39">
        <v>1</v>
      </c>
      <c r="G2753" s="39">
        <v>0.35775659999999998</v>
      </c>
      <c r="H2753" s="39"/>
      <c r="I2753" s="39">
        <v>35.9</v>
      </c>
      <c r="J2753" s="46">
        <v>7.6429801999999997E-6</v>
      </c>
      <c r="K2753" s="46">
        <v>2.3852936000000002E-2</v>
      </c>
      <c r="L2753" s="46">
        <v>3.4879264000000001</v>
      </c>
      <c r="M2753" s="46">
        <v>6.1249708999999999E-7</v>
      </c>
      <c r="N2753" s="46">
        <v>1.0747013000000001E-3</v>
      </c>
      <c r="O2753" s="46">
        <v>1.2571608E-2</v>
      </c>
      <c r="P2753" s="46">
        <v>2.5295687000000001E-3</v>
      </c>
      <c r="Q2753" s="46">
        <v>1.0695680999999999</v>
      </c>
      <c r="R2753" s="46">
        <v>2.0532080000000001E-2</v>
      </c>
      <c r="S2753" s="46">
        <v>68.259152999999998</v>
      </c>
      <c r="T2753" s="46">
        <v>1.0320802E-2</v>
      </c>
      <c r="U2753" s="46">
        <v>3.5091058999999998</v>
      </c>
      <c r="V2753" s="46">
        <v>3.5050891000000002</v>
      </c>
      <c r="W2753" s="46">
        <v>3.4906962999999998E-3</v>
      </c>
      <c r="X2753" s="46">
        <v>5.2609578E-4</v>
      </c>
      <c r="Y2753" s="46">
        <v>7.6682744999999995E-7</v>
      </c>
      <c r="Z2753" s="46">
        <v>1.6759112E-2</v>
      </c>
      <c r="AA2753" s="46">
        <v>2.2801202999999999E-5</v>
      </c>
      <c r="AB2753" s="46">
        <v>5.9393325999999996E-3</v>
      </c>
      <c r="AC2753" s="46">
        <v>6.5546969999999996E-2</v>
      </c>
      <c r="AD2753" s="46">
        <v>1.7319948000000002E-2</v>
      </c>
      <c r="AE2753" s="46">
        <v>7.6429242999999998E-6</v>
      </c>
      <c r="AF2753" s="46">
        <v>50.527847999999999</v>
      </c>
      <c r="AG2753" s="46">
        <v>0.16063047</v>
      </c>
      <c r="AH2753" s="46">
        <v>5.9066996000000001E-8</v>
      </c>
      <c r="AI2753" s="46">
        <v>0.2189876</v>
      </c>
      <c r="AJ2753" s="46">
        <v>31.728324000000001</v>
      </c>
      <c r="AK2753" s="46">
        <v>6.0713631000000002E-9</v>
      </c>
      <c r="AL2753" s="46">
        <v>5.1572728999999998E-8</v>
      </c>
      <c r="AM2753" s="46">
        <v>6.8989142000000001</v>
      </c>
      <c r="AN2753" s="46">
        <v>0</v>
      </c>
      <c r="AO2753" s="46">
        <v>0</v>
      </c>
      <c r="AP2753" s="46">
        <v>0.58285584000000001</v>
      </c>
      <c r="AQ2753" s="46">
        <v>0</v>
      </c>
      <c r="AR2753" s="46">
        <v>0</v>
      </c>
      <c r="AS2753" s="46">
        <v>53.714030999999999</v>
      </c>
      <c r="AT2753" s="46">
        <v>0</v>
      </c>
      <c r="AU2753" s="46">
        <v>0</v>
      </c>
      <c r="AV2753" s="46">
        <v>0</v>
      </c>
      <c r="AW2753" s="46">
        <v>5.4026875000000004E-3</v>
      </c>
      <c r="AX2753" s="46">
        <v>1.3239114E-4</v>
      </c>
      <c r="AY2753" s="46">
        <v>0.12438375</v>
      </c>
      <c r="AZ2753" s="46">
        <v>3.4269914E-4</v>
      </c>
      <c r="BA2753" s="46">
        <v>0</v>
      </c>
      <c r="BB2753" s="46">
        <v>0</v>
      </c>
      <c r="BC2753" s="46">
        <v>0</v>
      </c>
      <c r="BD2753" s="46">
        <v>0</v>
      </c>
      <c r="BE2753" s="46">
        <v>0</v>
      </c>
      <c r="BF2753" s="39" t="s">
        <v>1107</v>
      </c>
      <c r="BG2753" s="39"/>
      <c r="BH2753" s="33" t="s">
        <v>135</v>
      </c>
    </row>
    <row r="2754" spans="1:60">
      <c r="A2754" s="39" t="s">
        <v>1108</v>
      </c>
      <c r="B2754" s="39" t="s">
        <v>1030</v>
      </c>
      <c r="C2754" s="39" t="s">
        <v>938</v>
      </c>
      <c r="D2754" s="39" t="s">
        <v>1032</v>
      </c>
      <c r="E2754" s="39" t="s">
        <v>829</v>
      </c>
      <c r="F2754" s="39">
        <v>1</v>
      </c>
      <c r="G2754" s="39">
        <v>0.33031973999999997</v>
      </c>
      <c r="H2754" s="39"/>
      <c r="I2754" s="39">
        <v>35.9</v>
      </c>
      <c r="J2754" s="46">
        <v>7.6429801999999997E-6</v>
      </c>
      <c r="K2754" s="46">
        <v>2.3852936000000002E-2</v>
      </c>
      <c r="L2754" s="46">
        <v>3.4879264000000001</v>
      </c>
      <c r="M2754" s="46">
        <v>6.1249708999999999E-7</v>
      </c>
      <c r="N2754" s="46">
        <v>1.0747013000000001E-3</v>
      </c>
      <c r="O2754" s="46">
        <v>8.3866084000000004E-3</v>
      </c>
      <c r="P2754" s="46">
        <v>1.4414687E-3</v>
      </c>
      <c r="Q2754" s="46">
        <v>1.0595241</v>
      </c>
      <c r="R2754" s="46">
        <v>2.0532080000000001E-2</v>
      </c>
      <c r="S2754" s="46">
        <v>68.259152999999998</v>
      </c>
      <c r="T2754" s="46">
        <v>1.0320802E-2</v>
      </c>
      <c r="U2754" s="46">
        <v>3.5091058999999998</v>
      </c>
      <c r="V2754" s="46">
        <v>3.5050891000000002</v>
      </c>
      <c r="W2754" s="46">
        <v>3.4906962999999998E-3</v>
      </c>
      <c r="X2754" s="46">
        <v>5.2609578E-4</v>
      </c>
      <c r="Y2754" s="46">
        <v>7.6682744999999995E-7</v>
      </c>
      <c r="Z2754" s="46">
        <v>1.0565312E-2</v>
      </c>
      <c r="AA2754" s="46">
        <v>2.2801202999999999E-5</v>
      </c>
      <c r="AB2754" s="46">
        <v>2.6834025999999999E-3</v>
      </c>
      <c r="AC2754" s="46">
        <v>2.9890770000000001E-2</v>
      </c>
      <c r="AD2754" s="46">
        <v>8.9499479999999992E-3</v>
      </c>
      <c r="AE2754" s="46">
        <v>7.6429242999999998E-6</v>
      </c>
      <c r="AF2754" s="46">
        <v>50.527847999999999</v>
      </c>
      <c r="AG2754" s="46">
        <v>0.16063047</v>
      </c>
      <c r="AH2754" s="46">
        <v>5.7309296000000002E-8</v>
      </c>
      <c r="AI2754" s="46">
        <v>0.2189876</v>
      </c>
      <c r="AJ2754" s="46">
        <v>31.728324000000001</v>
      </c>
      <c r="AK2754" s="46">
        <v>6.0713631000000002E-9</v>
      </c>
      <c r="AL2754" s="46">
        <v>5.1572728999999998E-8</v>
      </c>
      <c r="AM2754" s="46">
        <v>6.8989142000000001</v>
      </c>
      <c r="AN2754" s="46">
        <v>0</v>
      </c>
      <c r="AO2754" s="46">
        <v>0</v>
      </c>
      <c r="AP2754" s="46">
        <v>0.58285584000000001</v>
      </c>
      <c r="AQ2754" s="46">
        <v>0</v>
      </c>
      <c r="AR2754" s="46">
        <v>0</v>
      </c>
      <c r="AS2754" s="46">
        <v>53.714030999999999</v>
      </c>
      <c r="AT2754" s="46">
        <v>0</v>
      </c>
      <c r="AU2754" s="46">
        <v>0</v>
      </c>
      <c r="AV2754" s="46">
        <v>0</v>
      </c>
      <c r="AW2754" s="46">
        <v>5.4026875000000004E-3</v>
      </c>
      <c r="AX2754" s="46">
        <v>1.3239114E-4</v>
      </c>
      <c r="AY2754" s="46">
        <v>0.12438375</v>
      </c>
      <c r="AZ2754" s="46">
        <v>3.4269914E-4</v>
      </c>
      <c r="BA2754" s="46">
        <v>0</v>
      </c>
      <c r="BB2754" s="46">
        <v>0</v>
      </c>
      <c r="BC2754" s="46">
        <v>0</v>
      </c>
      <c r="BD2754" s="46">
        <v>0</v>
      </c>
      <c r="BE2754" s="46">
        <v>0</v>
      </c>
      <c r="BF2754" s="39" t="s">
        <v>1047</v>
      </c>
      <c r="BG2754" s="39"/>
      <c r="BH2754" s="33" t="s">
        <v>135</v>
      </c>
    </row>
    <row r="2755" spans="1:60">
      <c r="A2755" s="39" t="s">
        <v>1109</v>
      </c>
      <c r="B2755" s="39" t="s">
        <v>1030</v>
      </c>
      <c r="C2755" s="39" t="s">
        <v>938</v>
      </c>
      <c r="D2755" s="39" t="s">
        <v>1038</v>
      </c>
      <c r="E2755" s="39" t="s">
        <v>829</v>
      </c>
      <c r="F2755" s="39">
        <v>1</v>
      </c>
      <c r="G2755" s="39">
        <v>0.41222566999999999</v>
      </c>
      <c r="H2755" s="39"/>
      <c r="I2755" s="39">
        <v>34.299999999999997</v>
      </c>
      <c r="J2755" s="46">
        <v>1.9285864999999999E-5</v>
      </c>
      <c r="K2755" s="46">
        <v>2.9564416E-2</v>
      </c>
      <c r="L2755" s="46">
        <v>4.6904364000000003</v>
      </c>
      <c r="M2755" s="46">
        <v>9.0363876000000001E-8</v>
      </c>
      <c r="N2755" s="46">
        <v>2.2575956E-3</v>
      </c>
      <c r="O2755" s="46">
        <v>1.5921079000000001E-2</v>
      </c>
      <c r="P2755" s="46">
        <v>2.2559512E-3</v>
      </c>
      <c r="Q2755" s="46">
        <v>0.89363566000000005</v>
      </c>
      <c r="R2755" s="46">
        <v>7.7167965000000003E-3</v>
      </c>
      <c r="S2755" s="46">
        <v>32.220826000000002</v>
      </c>
      <c r="T2755" s="46">
        <v>9.7312791000000003E-3</v>
      </c>
      <c r="U2755" s="46">
        <v>4.7814747000000004</v>
      </c>
      <c r="V2755" s="46">
        <v>4.7810499000000002</v>
      </c>
      <c r="W2755" s="46">
        <v>-1.0818841E-4</v>
      </c>
      <c r="X2755" s="46">
        <v>5.3297881000000005E-4</v>
      </c>
      <c r="Y2755" s="46">
        <v>1.0209190000000001E-7</v>
      </c>
      <c r="Z2755" s="46">
        <v>2.058863E-2</v>
      </c>
      <c r="AA2755" s="46">
        <v>2.4578454999999999E-5</v>
      </c>
      <c r="AB2755" s="46">
        <v>6.3289100999999997E-3</v>
      </c>
      <c r="AC2755" s="46">
        <v>6.9637123999999995E-2</v>
      </c>
      <c r="AD2755" s="46">
        <v>2.0765577E-2</v>
      </c>
      <c r="AE2755" s="46">
        <v>1.9285801E-5</v>
      </c>
      <c r="AF2755" s="46">
        <v>55.280836000000001</v>
      </c>
      <c r="AG2755" s="46">
        <v>0.10773406000000001</v>
      </c>
      <c r="AH2755" s="46">
        <v>3.8244436000000002E-8</v>
      </c>
      <c r="AI2755" s="46">
        <v>3.2622969000000002E-2</v>
      </c>
      <c r="AJ2755" s="46">
        <v>14.246262</v>
      </c>
      <c r="AK2755" s="46">
        <v>5.6581297000000001E-9</v>
      </c>
      <c r="AL2755" s="46">
        <v>5.0932040000000002E-8</v>
      </c>
      <c r="AM2755" s="46">
        <v>2.7511934999999998</v>
      </c>
      <c r="AN2755" s="46">
        <v>0</v>
      </c>
      <c r="AO2755" s="46">
        <v>0</v>
      </c>
      <c r="AP2755" s="46">
        <v>0.61792906999999997</v>
      </c>
      <c r="AQ2755" s="46">
        <v>0</v>
      </c>
      <c r="AR2755" s="46">
        <v>0</v>
      </c>
      <c r="AS2755" s="46">
        <v>61.047151999999997</v>
      </c>
      <c r="AT2755" s="46">
        <v>0</v>
      </c>
      <c r="AU2755" s="46">
        <v>0</v>
      </c>
      <c r="AV2755" s="46">
        <v>0</v>
      </c>
      <c r="AW2755" s="46">
        <v>4.1415234000000004E-3</v>
      </c>
      <c r="AX2755" s="46">
        <v>6.7998287E-5</v>
      </c>
      <c r="AY2755" s="46">
        <v>0.13843525000000001</v>
      </c>
      <c r="AZ2755" s="46">
        <v>3.5126770000000002E-5</v>
      </c>
      <c r="BA2755" s="46">
        <v>0</v>
      </c>
      <c r="BB2755" s="46">
        <v>0</v>
      </c>
      <c r="BC2755" s="46">
        <v>0</v>
      </c>
      <c r="BD2755" s="46">
        <v>0</v>
      </c>
      <c r="BE2755" s="46">
        <v>0</v>
      </c>
      <c r="BF2755" s="39" t="s">
        <v>1110</v>
      </c>
      <c r="BG2755" s="39"/>
      <c r="BH2755" s="33" t="s">
        <v>135</v>
      </c>
    </row>
    <row r="2756" spans="1:60">
      <c r="A2756" s="39" t="s">
        <v>1111</v>
      </c>
      <c r="B2756" s="39" t="s">
        <v>1030</v>
      </c>
      <c r="C2756" s="39" t="s">
        <v>938</v>
      </c>
      <c r="D2756" s="39" t="s">
        <v>1038</v>
      </c>
      <c r="E2756" s="39" t="s">
        <v>829</v>
      </c>
      <c r="F2756" s="39">
        <v>1</v>
      </c>
      <c r="G2756" s="39">
        <v>0.40758397000000002</v>
      </c>
      <c r="H2756" s="39"/>
      <c r="I2756" s="39">
        <v>34.299999999999997</v>
      </c>
      <c r="J2756" s="46">
        <v>1.9285864999999999E-5</v>
      </c>
      <c r="K2756" s="46">
        <v>2.9564416E-2</v>
      </c>
      <c r="L2756" s="46">
        <v>4.6904364000000003</v>
      </c>
      <c r="M2756" s="46">
        <v>9.0363876000000001E-8</v>
      </c>
      <c r="N2756" s="46">
        <v>2.2575956E-3</v>
      </c>
      <c r="O2756" s="46">
        <v>1.5213071E-2</v>
      </c>
      <c r="P2756" s="46">
        <v>2.0718692000000001E-3</v>
      </c>
      <c r="Q2756" s="46">
        <v>0.89193644000000005</v>
      </c>
      <c r="R2756" s="46">
        <v>7.7167965000000003E-3</v>
      </c>
      <c r="S2756" s="46">
        <v>32.220826000000002</v>
      </c>
      <c r="T2756" s="46">
        <v>9.7312791000000003E-3</v>
      </c>
      <c r="U2756" s="46">
        <v>4.7814747000000004</v>
      </c>
      <c r="V2756" s="46">
        <v>4.7810499000000002</v>
      </c>
      <c r="W2756" s="46">
        <v>-1.0818841E-4</v>
      </c>
      <c r="X2756" s="46">
        <v>5.3297881000000005E-4</v>
      </c>
      <c r="Y2756" s="46">
        <v>1.0209190000000001E-7</v>
      </c>
      <c r="Z2756" s="46">
        <v>1.9540778000000002E-2</v>
      </c>
      <c r="AA2756" s="46">
        <v>2.4578454999999999E-5</v>
      </c>
      <c r="AB2756" s="46">
        <v>5.7780801000000001E-3</v>
      </c>
      <c r="AC2756" s="46">
        <v>6.3604898000000007E-2</v>
      </c>
      <c r="AD2756" s="46">
        <v>1.9349562000000001E-2</v>
      </c>
      <c r="AE2756" s="46">
        <v>1.9285801E-5</v>
      </c>
      <c r="AF2756" s="46">
        <v>55.280836000000001</v>
      </c>
      <c r="AG2756" s="46">
        <v>0.10773406000000001</v>
      </c>
      <c r="AH2756" s="46">
        <v>3.7947073000000002E-8</v>
      </c>
      <c r="AI2756" s="46">
        <v>3.2622969000000002E-2</v>
      </c>
      <c r="AJ2756" s="46">
        <v>14.246262</v>
      </c>
      <c r="AK2756" s="46">
        <v>5.6581297000000001E-9</v>
      </c>
      <c r="AL2756" s="46">
        <v>5.0932040000000002E-8</v>
      </c>
      <c r="AM2756" s="46">
        <v>2.7511934999999998</v>
      </c>
      <c r="AN2756" s="46">
        <v>0</v>
      </c>
      <c r="AO2756" s="46">
        <v>0</v>
      </c>
      <c r="AP2756" s="46">
        <v>0.61792906999999997</v>
      </c>
      <c r="AQ2756" s="46">
        <v>0</v>
      </c>
      <c r="AR2756" s="46">
        <v>0</v>
      </c>
      <c r="AS2756" s="46">
        <v>61.047151999999997</v>
      </c>
      <c r="AT2756" s="46">
        <v>0</v>
      </c>
      <c r="AU2756" s="46">
        <v>0</v>
      </c>
      <c r="AV2756" s="46">
        <v>0</v>
      </c>
      <c r="AW2756" s="46">
        <v>4.1415234000000004E-3</v>
      </c>
      <c r="AX2756" s="46">
        <v>6.7998287E-5</v>
      </c>
      <c r="AY2756" s="46">
        <v>0.13843525000000001</v>
      </c>
      <c r="AZ2756" s="46">
        <v>3.5126770000000002E-5</v>
      </c>
      <c r="BA2756" s="46">
        <v>0</v>
      </c>
      <c r="BB2756" s="46">
        <v>0</v>
      </c>
      <c r="BC2756" s="46">
        <v>0</v>
      </c>
      <c r="BD2756" s="46">
        <v>0</v>
      </c>
      <c r="BE2756" s="46">
        <v>0</v>
      </c>
      <c r="BF2756" s="39" t="s">
        <v>1112</v>
      </c>
      <c r="BG2756" s="39"/>
      <c r="BH2756" s="33" t="s">
        <v>135</v>
      </c>
    </row>
    <row r="2757" spans="1:60">
      <c r="A2757" s="39" t="s">
        <v>1113</v>
      </c>
      <c r="B2757" s="39" t="s">
        <v>1030</v>
      </c>
      <c r="C2757" s="39" t="s">
        <v>938</v>
      </c>
      <c r="D2757" s="39" t="s">
        <v>1038</v>
      </c>
      <c r="E2757" s="39" t="s">
        <v>829</v>
      </c>
      <c r="F2757" s="39">
        <v>1</v>
      </c>
      <c r="G2757" s="39">
        <v>0.42378189999999999</v>
      </c>
      <c r="H2757" s="39"/>
      <c r="I2757" s="39">
        <v>34.299999999999997</v>
      </c>
      <c r="J2757" s="46">
        <v>1.9285864999999999E-5</v>
      </c>
      <c r="K2757" s="46">
        <v>2.9564416E-2</v>
      </c>
      <c r="L2757" s="46">
        <v>4.6904364000000003</v>
      </c>
      <c r="M2757" s="46">
        <v>9.0363876000000001E-8</v>
      </c>
      <c r="N2757" s="46">
        <v>2.2575956E-3</v>
      </c>
      <c r="O2757" s="46">
        <v>1.7683774999999999E-2</v>
      </c>
      <c r="P2757" s="46">
        <v>2.7142519999999999E-3</v>
      </c>
      <c r="Q2757" s="46">
        <v>0.89786613000000004</v>
      </c>
      <c r="R2757" s="46">
        <v>7.7167965000000003E-3</v>
      </c>
      <c r="S2757" s="46">
        <v>32.220826000000002</v>
      </c>
      <c r="T2757" s="46">
        <v>9.7312791000000003E-3</v>
      </c>
      <c r="U2757" s="46">
        <v>4.7814747000000004</v>
      </c>
      <c r="V2757" s="46">
        <v>4.7810499000000002</v>
      </c>
      <c r="W2757" s="46">
        <v>-1.0818841E-4</v>
      </c>
      <c r="X2757" s="46">
        <v>5.3297881000000005E-4</v>
      </c>
      <c r="Y2757" s="46">
        <v>1.0209190000000001E-7</v>
      </c>
      <c r="Z2757" s="46">
        <v>2.3197419E-2</v>
      </c>
      <c r="AA2757" s="46">
        <v>2.4578454999999999E-5</v>
      </c>
      <c r="AB2757" s="46">
        <v>7.7002870999999997E-3</v>
      </c>
      <c r="AC2757" s="46">
        <v>8.4655288999999995E-2</v>
      </c>
      <c r="AD2757" s="46">
        <v>2.4290968E-2</v>
      </c>
      <c r="AE2757" s="46">
        <v>1.9285801E-5</v>
      </c>
      <c r="AF2757" s="46">
        <v>55.280836000000001</v>
      </c>
      <c r="AG2757" s="46">
        <v>0.10773406000000001</v>
      </c>
      <c r="AH2757" s="46">
        <v>3.8984768E-8</v>
      </c>
      <c r="AI2757" s="46">
        <v>3.2622969000000002E-2</v>
      </c>
      <c r="AJ2757" s="46">
        <v>14.246262</v>
      </c>
      <c r="AK2757" s="46">
        <v>5.6581297000000001E-9</v>
      </c>
      <c r="AL2757" s="46">
        <v>5.0932040000000002E-8</v>
      </c>
      <c r="AM2757" s="46">
        <v>2.7511934999999998</v>
      </c>
      <c r="AN2757" s="46">
        <v>0</v>
      </c>
      <c r="AO2757" s="46">
        <v>0</v>
      </c>
      <c r="AP2757" s="46">
        <v>0.61792906999999997</v>
      </c>
      <c r="AQ2757" s="46">
        <v>0</v>
      </c>
      <c r="AR2757" s="46">
        <v>0</v>
      </c>
      <c r="AS2757" s="46">
        <v>61.047151999999997</v>
      </c>
      <c r="AT2757" s="46">
        <v>0</v>
      </c>
      <c r="AU2757" s="46">
        <v>0</v>
      </c>
      <c r="AV2757" s="46">
        <v>0</v>
      </c>
      <c r="AW2757" s="46">
        <v>4.1415234000000004E-3</v>
      </c>
      <c r="AX2757" s="46">
        <v>6.7998287E-5</v>
      </c>
      <c r="AY2757" s="46">
        <v>0.13843525000000001</v>
      </c>
      <c r="AZ2757" s="46">
        <v>3.5126770000000002E-5</v>
      </c>
      <c r="BA2757" s="46">
        <v>0</v>
      </c>
      <c r="BB2757" s="46">
        <v>0</v>
      </c>
      <c r="BC2757" s="46">
        <v>0</v>
      </c>
      <c r="BD2757" s="46">
        <v>0</v>
      </c>
      <c r="BE2757" s="46">
        <v>0</v>
      </c>
      <c r="BF2757" s="39" t="s">
        <v>1039</v>
      </c>
      <c r="BG2757" s="39"/>
      <c r="BH2757" s="33" t="s">
        <v>135</v>
      </c>
    </row>
    <row r="2758" spans="1:60">
      <c r="A2758" s="39" t="s">
        <v>1114</v>
      </c>
      <c r="B2758" s="39" t="s">
        <v>1030</v>
      </c>
      <c r="C2758" s="39" t="s">
        <v>938</v>
      </c>
      <c r="D2758" s="39" t="s">
        <v>1038</v>
      </c>
      <c r="E2758" s="39" t="s">
        <v>829</v>
      </c>
      <c r="F2758" s="39">
        <v>1</v>
      </c>
      <c r="G2758" s="39">
        <v>0.40419072</v>
      </c>
      <c r="H2758" s="39"/>
      <c r="I2758" s="39">
        <v>34.299999999999997</v>
      </c>
      <c r="J2758" s="46">
        <v>1.9285864999999999E-5</v>
      </c>
      <c r="K2758" s="46">
        <v>2.9564416E-2</v>
      </c>
      <c r="L2758" s="46">
        <v>4.6904364000000003</v>
      </c>
      <c r="M2758" s="46">
        <v>9.0363876000000001E-8</v>
      </c>
      <c r="N2758" s="46">
        <v>2.2575956E-3</v>
      </c>
      <c r="O2758" s="46">
        <v>1.4695493E-2</v>
      </c>
      <c r="P2758" s="46">
        <v>1.9372988999999999E-3</v>
      </c>
      <c r="Q2758" s="46">
        <v>0.89069425000000002</v>
      </c>
      <c r="R2758" s="46">
        <v>7.7167965000000003E-3</v>
      </c>
      <c r="S2758" s="46">
        <v>32.220826000000002</v>
      </c>
      <c r="T2758" s="46">
        <v>9.7312791000000003E-3</v>
      </c>
      <c r="U2758" s="46">
        <v>4.7814747000000004</v>
      </c>
      <c r="V2758" s="46">
        <v>4.7810499000000002</v>
      </c>
      <c r="W2758" s="46">
        <v>-1.0818841E-4</v>
      </c>
      <c r="X2758" s="46">
        <v>5.3297881000000005E-4</v>
      </c>
      <c r="Y2758" s="46">
        <v>1.0209190000000001E-7</v>
      </c>
      <c r="Z2758" s="46">
        <v>1.8774763E-2</v>
      </c>
      <c r="AA2758" s="46">
        <v>2.4578454999999999E-5</v>
      </c>
      <c r="AB2758" s="46">
        <v>5.3754043E-3</v>
      </c>
      <c r="AC2758" s="46">
        <v>5.9195131999999998E-2</v>
      </c>
      <c r="AD2758" s="46">
        <v>1.8314404999999999E-2</v>
      </c>
      <c r="AE2758" s="46">
        <v>1.9285801E-5</v>
      </c>
      <c r="AF2758" s="46">
        <v>55.280836000000001</v>
      </c>
      <c r="AG2758" s="46">
        <v>0.10773406000000001</v>
      </c>
      <c r="AH2758" s="46">
        <v>3.7729690000000001E-8</v>
      </c>
      <c r="AI2758" s="46">
        <v>3.2622969000000002E-2</v>
      </c>
      <c r="AJ2758" s="46">
        <v>14.246262</v>
      </c>
      <c r="AK2758" s="46">
        <v>5.6581297000000001E-9</v>
      </c>
      <c r="AL2758" s="46">
        <v>5.0932040000000002E-8</v>
      </c>
      <c r="AM2758" s="46">
        <v>2.7511934999999998</v>
      </c>
      <c r="AN2758" s="46">
        <v>0</v>
      </c>
      <c r="AO2758" s="46">
        <v>0</v>
      </c>
      <c r="AP2758" s="46">
        <v>0.61792906999999997</v>
      </c>
      <c r="AQ2758" s="46">
        <v>0</v>
      </c>
      <c r="AR2758" s="46">
        <v>0</v>
      </c>
      <c r="AS2758" s="46">
        <v>61.047151999999997</v>
      </c>
      <c r="AT2758" s="46">
        <v>0</v>
      </c>
      <c r="AU2758" s="46">
        <v>0</v>
      </c>
      <c r="AV2758" s="46">
        <v>0</v>
      </c>
      <c r="AW2758" s="46">
        <v>4.1415234000000004E-3</v>
      </c>
      <c r="AX2758" s="46">
        <v>6.7998287E-5</v>
      </c>
      <c r="AY2758" s="46">
        <v>0.13843525000000001</v>
      </c>
      <c r="AZ2758" s="46">
        <v>3.5126770000000002E-5</v>
      </c>
      <c r="BA2758" s="46">
        <v>0</v>
      </c>
      <c r="BB2758" s="46">
        <v>0</v>
      </c>
      <c r="BC2758" s="46">
        <v>0</v>
      </c>
      <c r="BD2758" s="46">
        <v>0</v>
      </c>
      <c r="BE2758" s="46">
        <v>0</v>
      </c>
      <c r="BF2758" s="39" t="s">
        <v>1115</v>
      </c>
      <c r="BG2758" s="39"/>
      <c r="BH2758" s="33" t="s">
        <v>135</v>
      </c>
    </row>
    <row r="2759" spans="1:60">
      <c r="A2759" s="39" t="s">
        <v>1116</v>
      </c>
      <c r="B2759" s="39" t="s">
        <v>1030</v>
      </c>
      <c r="C2759" s="39" t="s">
        <v>938</v>
      </c>
      <c r="D2759" s="39" t="s">
        <v>1038</v>
      </c>
      <c r="E2759" s="39" t="s">
        <v>829</v>
      </c>
      <c r="F2759" s="39">
        <v>1</v>
      </c>
      <c r="G2759" s="39">
        <v>0.38897102</v>
      </c>
      <c r="H2759" s="39"/>
      <c r="I2759" s="39">
        <v>34.299999999999997</v>
      </c>
      <c r="J2759" s="46">
        <v>1.9667496999999999E-5</v>
      </c>
      <c r="K2759" s="46">
        <v>2.9750716999999999E-2</v>
      </c>
      <c r="L2759" s="46">
        <v>4.7111993999999999</v>
      </c>
      <c r="M2759" s="46">
        <v>9.3714534000000006E-8</v>
      </c>
      <c r="N2759" s="46">
        <v>2.2672344000000001E-3</v>
      </c>
      <c r="O2759" s="46">
        <v>1.1947180999999999E-2</v>
      </c>
      <c r="P2759" s="46">
        <v>1.2103093E-3</v>
      </c>
      <c r="Q2759" s="46">
        <v>0.90351349000000003</v>
      </c>
      <c r="R2759" s="46">
        <v>7.8821176000000003E-3</v>
      </c>
      <c r="S2759" s="46">
        <v>32.906235000000002</v>
      </c>
      <c r="T2759" s="46">
        <v>9.7615875999999997E-3</v>
      </c>
      <c r="U2759" s="46">
        <v>4.8025216999999998</v>
      </c>
      <c r="V2759" s="46">
        <v>4.8021218000000001</v>
      </c>
      <c r="W2759" s="46">
        <v>-1.3858324999999999E-4</v>
      </c>
      <c r="X2759" s="46">
        <v>5.3856347000000001E-4</v>
      </c>
      <c r="Y2759" s="46">
        <v>1.0601726000000001E-7</v>
      </c>
      <c r="Z2759" s="46">
        <v>1.4701820000000001E-2</v>
      </c>
      <c r="AA2759" s="46">
        <v>2.4887228000000001E-5</v>
      </c>
      <c r="AB2759" s="46">
        <v>3.1704255999999999E-3</v>
      </c>
      <c r="AC2759" s="46">
        <v>3.5319478000000001E-2</v>
      </c>
      <c r="AD2759" s="46">
        <v>1.2654067999999999E-2</v>
      </c>
      <c r="AE2759" s="46">
        <v>1.9667433000000001E-5</v>
      </c>
      <c r="AF2759" s="46">
        <v>55.649683000000003</v>
      </c>
      <c r="AG2759" s="46">
        <v>0.15893658999999999</v>
      </c>
      <c r="AH2759" s="46">
        <v>3.9284572E-8</v>
      </c>
      <c r="AI2759" s="46">
        <v>3.3485613999999997E-2</v>
      </c>
      <c r="AJ2759" s="46">
        <v>14.475156</v>
      </c>
      <c r="AK2759" s="46">
        <v>6.0387243000000001E-9</v>
      </c>
      <c r="AL2759" s="46">
        <v>5.1177491000000003E-8</v>
      </c>
      <c r="AM2759" s="46">
        <v>2.7964343999999999</v>
      </c>
      <c r="AN2759" s="46">
        <v>0</v>
      </c>
      <c r="AO2759" s="46">
        <v>0</v>
      </c>
      <c r="AP2759" s="46">
        <v>0.62678560999999999</v>
      </c>
      <c r="AQ2759" s="46">
        <v>0</v>
      </c>
      <c r="AR2759" s="46">
        <v>0</v>
      </c>
      <c r="AS2759" s="46">
        <v>61.448782000000001</v>
      </c>
      <c r="AT2759" s="46">
        <v>0</v>
      </c>
      <c r="AU2759" s="46">
        <v>0</v>
      </c>
      <c r="AV2759" s="46">
        <v>0</v>
      </c>
      <c r="AW2759" s="46">
        <v>5.3566274000000002E-3</v>
      </c>
      <c r="AX2759" s="46">
        <v>6.8437490999999999E-5</v>
      </c>
      <c r="AY2759" s="46">
        <v>0.13941222</v>
      </c>
      <c r="AZ2759" s="46">
        <v>3.6294453000000001E-5</v>
      </c>
      <c r="BA2759" s="46">
        <v>0</v>
      </c>
      <c r="BB2759" s="46">
        <v>0</v>
      </c>
      <c r="BC2759" s="46">
        <v>0</v>
      </c>
      <c r="BD2759" s="46">
        <v>0</v>
      </c>
      <c r="BE2759" s="46">
        <v>0</v>
      </c>
      <c r="BF2759" s="39" t="s">
        <v>1045</v>
      </c>
      <c r="BG2759" s="39"/>
      <c r="BH2759" s="33" t="s">
        <v>135</v>
      </c>
    </row>
    <row r="2760" spans="1:60">
      <c r="A2760" s="39" t="s">
        <v>1117</v>
      </c>
      <c r="B2760" s="39" t="s">
        <v>1030</v>
      </c>
      <c r="C2760" s="39" t="s">
        <v>938</v>
      </c>
      <c r="D2760" s="39" t="s">
        <v>1038</v>
      </c>
      <c r="E2760" s="39" t="s">
        <v>829</v>
      </c>
      <c r="F2760" s="39">
        <v>1</v>
      </c>
      <c r="G2760" s="39">
        <v>0.44271684</v>
      </c>
      <c r="H2760" s="39"/>
      <c r="I2760" s="39">
        <v>34.299999999999997</v>
      </c>
      <c r="J2760" s="46">
        <v>1.9667496999999999E-5</v>
      </c>
      <c r="K2760" s="46">
        <v>2.9750716999999999E-2</v>
      </c>
      <c r="L2760" s="46">
        <v>4.7111993999999999</v>
      </c>
      <c r="M2760" s="46">
        <v>9.3714534000000006E-8</v>
      </c>
      <c r="N2760" s="46">
        <v>2.2672344000000001E-3</v>
      </c>
      <c r="O2760" s="46">
        <v>2.0145423999999999E-2</v>
      </c>
      <c r="P2760" s="46">
        <v>3.3418522999999999E-3</v>
      </c>
      <c r="Q2760" s="46">
        <v>0.92316872999999999</v>
      </c>
      <c r="R2760" s="46">
        <v>7.8821176000000003E-3</v>
      </c>
      <c r="S2760" s="46">
        <v>32.906235000000002</v>
      </c>
      <c r="T2760" s="46">
        <v>9.7615875999999997E-3</v>
      </c>
      <c r="U2760" s="46">
        <v>4.8025216999999998</v>
      </c>
      <c r="V2760" s="46">
        <v>4.8021218000000001</v>
      </c>
      <c r="W2760" s="46">
        <v>-1.3858324999999999E-4</v>
      </c>
      <c r="X2760" s="46">
        <v>5.3856347000000001E-4</v>
      </c>
      <c r="Y2760" s="46">
        <v>1.0601726000000001E-7</v>
      </c>
      <c r="Z2760" s="46">
        <v>2.6835219E-2</v>
      </c>
      <c r="AA2760" s="46">
        <v>2.4887228000000001E-5</v>
      </c>
      <c r="AB2760" s="46">
        <v>9.5486579999999998E-3</v>
      </c>
      <c r="AC2760" s="46">
        <v>0.1051685</v>
      </c>
      <c r="AD2760" s="46">
        <v>2.9050553E-2</v>
      </c>
      <c r="AE2760" s="46">
        <v>1.9667433000000001E-5</v>
      </c>
      <c r="AF2760" s="46">
        <v>55.649683000000003</v>
      </c>
      <c r="AG2760" s="46">
        <v>0.15893658999999999</v>
      </c>
      <c r="AH2760" s="46">
        <v>4.2656015000000003E-8</v>
      </c>
      <c r="AI2760" s="46">
        <v>3.3485613999999997E-2</v>
      </c>
      <c r="AJ2760" s="46">
        <v>14.475156</v>
      </c>
      <c r="AK2760" s="46">
        <v>6.0387243000000001E-9</v>
      </c>
      <c r="AL2760" s="46">
        <v>5.1177491000000003E-8</v>
      </c>
      <c r="AM2760" s="46">
        <v>2.7964343999999999</v>
      </c>
      <c r="AN2760" s="46">
        <v>0</v>
      </c>
      <c r="AO2760" s="46">
        <v>0</v>
      </c>
      <c r="AP2760" s="46">
        <v>0.62678560999999999</v>
      </c>
      <c r="AQ2760" s="46">
        <v>0</v>
      </c>
      <c r="AR2760" s="46">
        <v>0</v>
      </c>
      <c r="AS2760" s="46">
        <v>61.448782000000001</v>
      </c>
      <c r="AT2760" s="46">
        <v>0</v>
      </c>
      <c r="AU2760" s="46">
        <v>0</v>
      </c>
      <c r="AV2760" s="46">
        <v>0</v>
      </c>
      <c r="AW2760" s="46">
        <v>5.3566274000000002E-3</v>
      </c>
      <c r="AX2760" s="46">
        <v>6.8437490999999999E-5</v>
      </c>
      <c r="AY2760" s="46">
        <v>0.13941222</v>
      </c>
      <c r="AZ2760" s="46">
        <v>3.6294453000000001E-5</v>
      </c>
      <c r="BA2760" s="46">
        <v>0</v>
      </c>
      <c r="BB2760" s="46">
        <v>0</v>
      </c>
      <c r="BC2760" s="46">
        <v>0</v>
      </c>
      <c r="BD2760" s="46">
        <v>0</v>
      </c>
      <c r="BE2760" s="46">
        <v>0</v>
      </c>
      <c r="BF2760" s="39" t="s">
        <v>1118</v>
      </c>
      <c r="BG2760" s="39"/>
      <c r="BH2760" s="33" t="s">
        <v>135</v>
      </c>
    </row>
    <row r="2761" spans="1:60">
      <c r="A2761" s="39" t="s">
        <v>1119</v>
      </c>
      <c r="B2761" s="39" t="s">
        <v>1030</v>
      </c>
      <c r="C2761" s="39" t="s">
        <v>938</v>
      </c>
      <c r="D2761" s="39" t="s">
        <v>1038</v>
      </c>
      <c r="E2761" s="39" t="s">
        <v>829</v>
      </c>
      <c r="F2761" s="39">
        <v>1</v>
      </c>
      <c r="G2761" s="39">
        <v>0.41528280000000001</v>
      </c>
      <c r="H2761" s="39"/>
      <c r="I2761" s="39">
        <v>34.299999999999997</v>
      </c>
      <c r="J2761" s="46">
        <v>1.9667496999999999E-5</v>
      </c>
      <c r="K2761" s="46">
        <v>2.9750716999999999E-2</v>
      </c>
      <c r="L2761" s="46">
        <v>4.7111993999999999</v>
      </c>
      <c r="M2761" s="46">
        <v>9.3714534000000006E-8</v>
      </c>
      <c r="N2761" s="46">
        <v>2.2672344000000001E-3</v>
      </c>
      <c r="O2761" s="46">
        <v>1.5960853000000001E-2</v>
      </c>
      <c r="P2761" s="46">
        <v>2.253864E-3</v>
      </c>
      <c r="Q2761" s="46">
        <v>0.91312576999999995</v>
      </c>
      <c r="R2761" s="46">
        <v>7.8821176000000003E-3</v>
      </c>
      <c r="S2761" s="46">
        <v>32.906235000000002</v>
      </c>
      <c r="T2761" s="46">
        <v>9.7615875999999997E-3</v>
      </c>
      <c r="U2761" s="46">
        <v>4.8025216999999998</v>
      </c>
      <c r="V2761" s="46">
        <v>4.8021218000000001</v>
      </c>
      <c r="W2761" s="46">
        <v>-1.3858324999999999E-4</v>
      </c>
      <c r="X2761" s="46">
        <v>5.3856347000000001E-4</v>
      </c>
      <c r="Y2761" s="46">
        <v>1.0601726000000001E-7</v>
      </c>
      <c r="Z2761" s="46">
        <v>2.0642054999999999E-2</v>
      </c>
      <c r="AA2761" s="46">
        <v>2.4887228000000001E-5</v>
      </c>
      <c r="AB2761" s="46">
        <v>6.2930623E-3</v>
      </c>
      <c r="AC2761" s="46">
        <v>6.9515962000000001E-2</v>
      </c>
      <c r="AD2761" s="46">
        <v>2.0681412E-2</v>
      </c>
      <c r="AE2761" s="46">
        <v>1.9667433000000001E-5</v>
      </c>
      <c r="AF2761" s="46">
        <v>55.649683000000003</v>
      </c>
      <c r="AG2761" s="46">
        <v>0.15893658999999999</v>
      </c>
      <c r="AH2761" s="46">
        <v>4.0898495000000002E-8</v>
      </c>
      <c r="AI2761" s="46">
        <v>3.3485613999999997E-2</v>
      </c>
      <c r="AJ2761" s="46">
        <v>14.475156</v>
      </c>
      <c r="AK2761" s="46">
        <v>6.0387243000000001E-9</v>
      </c>
      <c r="AL2761" s="46">
        <v>5.1177491000000003E-8</v>
      </c>
      <c r="AM2761" s="46">
        <v>2.7964343999999999</v>
      </c>
      <c r="AN2761" s="46">
        <v>0</v>
      </c>
      <c r="AO2761" s="46">
        <v>0</v>
      </c>
      <c r="AP2761" s="46">
        <v>0.62678560999999999</v>
      </c>
      <c r="AQ2761" s="46">
        <v>0</v>
      </c>
      <c r="AR2761" s="46">
        <v>0</v>
      </c>
      <c r="AS2761" s="46">
        <v>61.448782000000001</v>
      </c>
      <c r="AT2761" s="46">
        <v>0</v>
      </c>
      <c r="AU2761" s="46">
        <v>0</v>
      </c>
      <c r="AV2761" s="46">
        <v>0</v>
      </c>
      <c r="AW2761" s="46">
        <v>5.3566274000000002E-3</v>
      </c>
      <c r="AX2761" s="46">
        <v>6.8437490999999999E-5</v>
      </c>
      <c r="AY2761" s="46">
        <v>0.13941222</v>
      </c>
      <c r="AZ2761" s="46">
        <v>3.6294453000000001E-5</v>
      </c>
      <c r="BA2761" s="46">
        <v>0</v>
      </c>
      <c r="BB2761" s="46">
        <v>0</v>
      </c>
      <c r="BC2761" s="46">
        <v>0</v>
      </c>
      <c r="BD2761" s="46">
        <v>0</v>
      </c>
      <c r="BE2761" s="46">
        <v>0</v>
      </c>
      <c r="BF2761" s="39" t="s">
        <v>1120</v>
      </c>
      <c r="BG2761" s="39"/>
      <c r="BH2761" s="33" t="s">
        <v>135</v>
      </c>
    </row>
    <row r="2762" spans="1:60">
      <c r="A2762" s="39" t="s">
        <v>1121</v>
      </c>
      <c r="B2762" s="39" t="s">
        <v>1030</v>
      </c>
      <c r="C2762" s="39" t="s">
        <v>938</v>
      </c>
      <c r="D2762" s="39" t="s">
        <v>1038</v>
      </c>
      <c r="E2762" s="39" t="s">
        <v>829</v>
      </c>
      <c r="F2762" s="39">
        <v>1</v>
      </c>
      <c r="G2762" s="39">
        <v>0.38861704000000002</v>
      </c>
      <c r="H2762" s="39"/>
      <c r="I2762" s="39">
        <v>34.299999999999997</v>
      </c>
      <c r="J2762" s="46">
        <v>1.9667496999999999E-5</v>
      </c>
      <c r="K2762" s="46">
        <v>2.9750716999999999E-2</v>
      </c>
      <c r="L2762" s="46">
        <v>4.7111993999999999</v>
      </c>
      <c r="M2762" s="46">
        <v>9.3714534000000006E-8</v>
      </c>
      <c r="N2762" s="46">
        <v>2.2672344000000001E-3</v>
      </c>
      <c r="O2762" s="46">
        <v>1.189347E-2</v>
      </c>
      <c r="P2762" s="46">
        <v>1.1963445E-3</v>
      </c>
      <c r="Q2762" s="46">
        <v>0.90336404999999997</v>
      </c>
      <c r="R2762" s="46">
        <v>7.8821176000000003E-3</v>
      </c>
      <c r="S2762" s="46">
        <v>32.906235000000002</v>
      </c>
      <c r="T2762" s="46">
        <v>9.7615875999999997E-3</v>
      </c>
      <c r="U2762" s="46">
        <v>4.8025216999999998</v>
      </c>
      <c r="V2762" s="46">
        <v>4.8021218000000001</v>
      </c>
      <c r="W2762" s="46">
        <v>-1.3858324999999999E-4</v>
      </c>
      <c r="X2762" s="46">
        <v>5.3856347000000001E-4</v>
      </c>
      <c r="Y2762" s="46">
        <v>1.0601726000000001E-7</v>
      </c>
      <c r="Z2762" s="46">
        <v>1.4622328E-2</v>
      </c>
      <c r="AA2762" s="46">
        <v>2.4887228000000001E-5</v>
      </c>
      <c r="AB2762" s="46">
        <v>3.1286385000000002E-3</v>
      </c>
      <c r="AC2762" s="46">
        <v>3.4861861000000001E-2</v>
      </c>
      <c r="AD2762" s="46">
        <v>1.2546646999999999E-2</v>
      </c>
      <c r="AE2762" s="46">
        <v>1.9667433000000001E-5</v>
      </c>
      <c r="AF2762" s="46">
        <v>55.649683000000003</v>
      </c>
      <c r="AG2762" s="46">
        <v>0.15893658999999999</v>
      </c>
      <c r="AH2762" s="46">
        <v>3.9190193999999998E-8</v>
      </c>
      <c r="AI2762" s="46">
        <v>3.3485613999999997E-2</v>
      </c>
      <c r="AJ2762" s="46">
        <v>14.475156</v>
      </c>
      <c r="AK2762" s="46">
        <v>6.0387243000000001E-9</v>
      </c>
      <c r="AL2762" s="46">
        <v>5.1177491000000003E-8</v>
      </c>
      <c r="AM2762" s="46">
        <v>2.7964343999999999</v>
      </c>
      <c r="AN2762" s="46">
        <v>0</v>
      </c>
      <c r="AO2762" s="46">
        <v>0</v>
      </c>
      <c r="AP2762" s="46">
        <v>0.62678560999999999</v>
      </c>
      <c r="AQ2762" s="46">
        <v>0</v>
      </c>
      <c r="AR2762" s="46">
        <v>0</v>
      </c>
      <c r="AS2762" s="46">
        <v>61.448782000000001</v>
      </c>
      <c r="AT2762" s="46">
        <v>0</v>
      </c>
      <c r="AU2762" s="46">
        <v>0</v>
      </c>
      <c r="AV2762" s="46">
        <v>0</v>
      </c>
      <c r="AW2762" s="46">
        <v>5.3566274000000002E-3</v>
      </c>
      <c r="AX2762" s="46">
        <v>6.8437490999999999E-5</v>
      </c>
      <c r="AY2762" s="46">
        <v>0.13941222</v>
      </c>
      <c r="AZ2762" s="46">
        <v>3.6294453000000001E-5</v>
      </c>
      <c r="BA2762" s="46">
        <v>0</v>
      </c>
      <c r="BB2762" s="46">
        <v>0</v>
      </c>
      <c r="BC2762" s="46">
        <v>0</v>
      </c>
      <c r="BD2762" s="46">
        <v>0</v>
      </c>
      <c r="BE2762" s="46">
        <v>0</v>
      </c>
      <c r="BF2762" s="39" t="s">
        <v>1051</v>
      </c>
      <c r="BG2762" s="39"/>
      <c r="BH2762" s="33" t="s">
        <v>135</v>
      </c>
    </row>
    <row r="2763" spans="1:60">
      <c r="A2763" s="39" t="s">
        <v>1122</v>
      </c>
      <c r="B2763" s="39" t="s">
        <v>1053</v>
      </c>
      <c r="C2763" s="39" t="s">
        <v>938</v>
      </c>
      <c r="D2763" s="39" t="s">
        <v>1054</v>
      </c>
      <c r="E2763" s="39" t="s">
        <v>829</v>
      </c>
      <c r="F2763" s="39">
        <v>1</v>
      </c>
      <c r="G2763" s="39">
        <v>6.7769598E-2</v>
      </c>
      <c r="H2763" s="39"/>
      <c r="I2763" s="39">
        <v>3.6</v>
      </c>
      <c r="J2763" s="46">
        <v>8.4992830000000003E-6</v>
      </c>
      <c r="K2763" s="46">
        <v>5.4226580000000003E-3</v>
      </c>
      <c r="L2763" s="46">
        <v>0.62487965000000001</v>
      </c>
      <c r="M2763" s="46">
        <v>5.6700563000000002E-8</v>
      </c>
      <c r="N2763" s="46">
        <v>1.6435256E-4</v>
      </c>
      <c r="O2763" s="46">
        <v>1.4883582E-3</v>
      </c>
      <c r="P2763" s="46">
        <v>1.9252008000000001E-4</v>
      </c>
      <c r="Q2763" s="46">
        <v>0.28216511999999999</v>
      </c>
      <c r="R2763" s="46">
        <v>4.4790068000000001E-3</v>
      </c>
      <c r="S2763" s="46">
        <v>15.37435</v>
      </c>
      <c r="T2763" s="46">
        <v>9.5574140000000002E-3</v>
      </c>
      <c r="U2763" s="46">
        <v>0.63492420000000005</v>
      </c>
      <c r="V2763" s="46">
        <v>0.63437208</v>
      </c>
      <c r="W2763" s="46">
        <v>3.6901209999999998E-4</v>
      </c>
      <c r="X2763" s="46">
        <v>1.8311596000000001E-4</v>
      </c>
      <c r="Y2763" s="46">
        <v>6.0464671000000003E-8</v>
      </c>
      <c r="Z2763" s="46">
        <v>1.8128806E-3</v>
      </c>
      <c r="AA2763" s="46">
        <v>2.0027711000000001E-5</v>
      </c>
      <c r="AB2763" s="46">
        <v>3.3224007000000002E-4</v>
      </c>
      <c r="AC2763" s="46">
        <v>3.7922691000000001E-3</v>
      </c>
      <c r="AD2763" s="46">
        <v>1.1229668E-3</v>
      </c>
      <c r="AE2763" s="46">
        <v>8.4992568999999992E-6</v>
      </c>
      <c r="AF2763" s="46">
        <v>10.304387</v>
      </c>
      <c r="AG2763" s="46">
        <v>0.10774843000000001</v>
      </c>
      <c r="AH2763" s="46">
        <v>1.0798699E-8</v>
      </c>
      <c r="AI2763" s="46">
        <v>1.9431694999999999E-2</v>
      </c>
      <c r="AJ2763" s="46">
        <v>11.1349</v>
      </c>
      <c r="AK2763" s="46">
        <v>8.3699815000000004E-10</v>
      </c>
      <c r="AL2763" s="46">
        <v>2.1321826000000001E-8</v>
      </c>
      <c r="AM2763" s="46">
        <v>0.89870075000000005</v>
      </c>
      <c r="AN2763" s="46">
        <v>2.8272107000000001E-2</v>
      </c>
      <c r="AO2763" s="46">
        <v>0</v>
      </c>
      <c r="AP2763" s="46">
        <v>0.20674582</v>
      </c>
      <c r="AQ2763" s="46">
        <v>9.3404404999999997</v>
      </c>
      <c r="AR2763" s="46">
        <v>9.2113799999999995E-4</v>
      </c>
      <c r="AS2763" s="46">
        <v>11.208263000000001</v>
      </c>
      <c r="AT2763" s="46">
        <v>1.6730799999999999E-4</v>
      </c>
      <c r="AU2763" s="46">
        <v>0</v>
      </c>
      <c r="AV2763" s="46">
        <v>0</v>
      </c>
      <c r="AW2763" s="46">
        <v>3.6715050999999999E-3</v>
      </c>
      <c r="AX2763" s="46">
        <v>2.3153357999999999E-5</v>
      </c>
      <c r="AY2763" s="46">
        <v>4.4269228000000001E-2</v>
      </c>
      <c r="AZ2763" s="46">
        <v>1.7936945000000001E-5</v>
      </c>
      <c r="BA2763" s="46">
        <v>0</v>
      </c>
      <c r="BB2763" s="46">
        <v>0</v>
      </c>
      <c r="BC2763" s="46">
        <v>0</v>
      </c>
      <c r="BD2763" s="46">
        <v>0</v>
      </c>
      <c r="BE2763" s="46">
        <v>0</v>
      </c>
      <c r="BF2763" s="39" t="s">
        <v>1055</v>
      </c>
      <c r="BG2763" s="39"/>
      <c r="BH2763" s="33" t="s">
        <v>854</v>
      </c>
    </row>
    <row r="2764" spans="1:60">
      <c r="A2764" s="39" t="s">
        <v>1123</v>
      </c>
      <c r="B2764" s="39" t="s">
        <v>1053</v>
      </c>
      <c r="C2764" s="39" t="s">
        <v>938</v>
      </c>
      <c r="D2764" s="39" t="s">
        <v>1054</v>
      </c>
      <c r="E2764" s="39" t="s">
        <v>829</v>
      </c>
      <c r="F2764" s="39">
        <v>1</v>
      </c>
      <c r="G2764" s="39">
        <v>4.8422156000000001E-2</v>
      </c>
      <c r="H2764" s="39"/>
      <c r="I2764" s="39">
        <v>3.6</v>
      </c>
      <c r="J2764" s="46">
        <v>1.4129283000000001E-5</v>
      </c>
      <c r="K2764" s="46">
        <v>1.2070449999999999E-3</v>
      </c>
      <c r="L2764" s="46">
        <v>0.17053372</v>
      </c>
      <c r="M2764" s="46">
        <v>1.8980562999999999E-8</v>
      </c>
      <c r="N2764" s="46">
        <v>1.7465256000000001E-4</v>
      </c>
      <c r="O2764" s="46">
        <v>1.4810292000000001E-3</v>
      </c>
      <c r="P2764" s="46">
        <v>2.3378407999999999E-4</v>
      </c>
      <c r="Q2764" s="46">
        <v>0.32291982000000002</v>
      </c>
      <c r="R2764" s="46">
        <v>4.9764908000000004E-3</v>
      </c>
      <c r="S2764" s="46">
        <v>15.183004</v>
      </c>
      <c r="T2764" s="46">
        <v>9.8609240000000001E-3</v>
      </c>
      <c r="U2764" s="46">
        <v>0.18513586000000001</v>
      </c>
      <c r="V2764" s="46">
        <v>0.17298479999999999</v>
      </c>
      <c r="W2764" s="46">
        <v>1.1738568E-2</v>
      </c>
      <c r="X2764" s="46">
        <v>4.1248195999999998E-4</v>
      </c>
      <c r="Y2764" s="46">
        <v>1.9334670999999998E-8</v>
      </c>
      <c r="Z2764" s="46">
        <v>1.9088976000000001E-3</v>
      </c>
      <c r="AA2764" s="46">
        <v>1.4887711E-5</v>
      </c>
      <c r="AB2764" s="46">
        <v>3.2988606999999998E-4</v>
      </c>
      <c r="AC2764" s="46">
        <v>4.8142560999999999E-3</v>
      </c>
      <c r="AD2764" s="46">
        <v>1.0790388000000001E-3</v>
      </c>
      <c r="AE2764" s="46">
        <v>1.4129256999999999E-5</v>
      </c>
      <c r="AF2764" s="46">
        <v>2.3574910999999998</v>
      </c>
      <c r="AG2764" s="46">
        <v>6.5751854999999998E-2</v>
      </c>
      <c r="AH2764" s="46">
        <v>1.8938698999999998E-8</v>
      </c>
      <c r="AI2764" s="46">
        <v>9.0315993999999997E-3</v>
      </c>
      <c r="AJ2764" s="46">
        <v>14.776176</v>
      </c>
      <c r="AK2764" s="46">
        <v>9.3299815000000001E-10</v>
      </c>
      <c r="AL2764" s="46">
        <v>2.4241826E-8</v>
      </c>
      <c r="AM2764" s="46">
        <v>25.769898000000001</v>
      </c>
      <c r="AN2764" s="46">
        <v>7.4845044999999999</v>
      </c>
      <c r="AO2764" s="46">
        <v>0</v>
      </c>
      <c r="AP2764" s="46">
        <v>7.6629782000000004</v>
      </c>
      <c r="AQ2764" s="46">
        <v>0.65574357999999999</v>
      </c>
      <c r="AR2764" s="46">
        <v>9.2113799999999995E-4</v>
      </c>
      <c r="AS2764" s="46">
        <v>2.5235658000000001</v>
      </c>
      <c r="AT2764" s="46">
        <v>9.1317700000000004E-4</v>
      </c>
      <c r="AU2764" s="46">
        <v>0</v>
      </c>
      <c r="AV2764" s="46">
        <v>0</v>
      </c>
      <c r="AW2764" s="46">
        <v>2.2849800999999999E-3</v>
      </c>
      <c r="AX2764" s="46">
        <v>3.4853357999999999E-5</v>
      </c>
      <c r="AY2764" s="46">
        <v>5.8392113000000002E-2</v>
      </c>
      <c r="AZ2764" s="46">
        <v>8.4069450000000005E-6</v>
      </c>
      <c r="BA2764" s="46">
        <v>0</v>
      </c>
      <c r="BB2764" s="46">
        <v>0</v>
      </c>
      <c r="BC2764" s="46">
        <v>0</v>
      </c>
      <c r="BD2764" s="46">
        <v>0</v>
      </c>
      <c r="BE2764" s="46">
        <v>0</v>
      </c>
      <c r="BF2764" s="39" t="s">
        <v>1057</v>
      </c>
      <c r="BG2764" s="39"/>
      <c r="BH2764" s="33" t="s">
        <v>854</v>
      </c>
    </row>
    <row r="2765" spans="1:60">
      <c r="A2765" s="39" t="s">
        <v>1124</v>
      </c>
      <c r="B2765" s="39" t="s">
        <v>1059</v>
      </c>
      <c r="C2765" s="39" t="s">
        <v>938</v>
      </c>
      <c r="D2765" s="39" t="s">
        <v>1060</v>
      </c>
      <c r="E2765" s="39" t="s">
        <v>829</v>
      </c>
      <c r="F2765" s="39">
        <v>1</v>
      </c>
      <c r="G2765" s="39">
        <v>2.3819967000000002</v>
      </c>
      <c r="H2765" s="39"/>
      <c r="I2765" s="39">
        <v>120</v>
      </c>
      <c r="J2765" s="46">
        <v>5.7698319999999997E-5</v>
      </c>
      <c r="K2765" s="46">
        <v>0.28580846999999998</v>
      </c>
      <c r="L2765" s="46">
        <v>32.292673000000001</v>
      </c>
      <c r="M2765" s="46">
        <v>3.5629184000000001E-6</v>
      </c>
      <c r="N2765" s="46">
        <v>5.3150447000000003E-3</v>
      </c>
      <c r="O2765" s="46">
        <v>4.5561894999999998E-2</v>
      </c>
      <c r="P2765" s="46">
        <v>8.9619694999999999E-3</v>
      </c>
      <c r="Q2765" s="46">
        <v>4.5104885000000001</v>
      </c>
      <c r="R2765" s="46">
        <v>8.2668875000000003E-2</v>
      </c>
      <c r="S2765" s="46">
        <v>296.28708</v>
      </c>
      <c r="T2765" s="46">
        <v>0.16549057</v>
      </c>
      <c r="U2765" s="46">
        <v>32.737015</v>
      </c>
      <c r="V2765" s="46">
        <v>32.756855999999999</v>
      </c>
      <c r="W2765" s="46">
        <v>-2.2843862999999999E-2</v>
      </c>
      <c r="X2765" s="46">
        <v>3.0031791E-3</v>
      </c>
      <c r="Y2765" s="46">
        <v>3.6851461E-6</v>
      </c>
      <c r="Z2765" s="46">
        <v>5.7420416000000002E-2</v>
      </c>
      <c r="AA2765" s="46">
        <v>1.1456773E-3</v>
      </c>
      <c r="AB2765" s="46">
        <v>1.4061153E-2</v>
      </c>
      <c r="AC2765" s="46">
        <v>0.15676165</v>
      </c>
      <c r="AD2765" s="46">
        <v>4.4598081999999997E-2</v>
      </c>
      <c r="AE2765" s="46">
        <v>5.769807E-5</v>
      </c>
      <c r="AF2765" s="46">
        <v>540.10735</v>
      </c>
      <c r="AG2765" s="46">
        <v>5.3476758999999996</v>
      </c>
      <c r="AH2765" s="46">
        <v>2.1569983E-7</v>
      </c>
      <c r="AI2765" s="46">
        <v>0.83694809000000003</v>
      </c>
      <c r="AJ2765" s="46">
        <v>296.44659999999999</v>
      </c>
      <c r="AK2765" s="46">
        <v>1.06892E-8</v>
      </c>
      <c r="AL2765" s="46">
        <v>2.7896028000000001E-7</v>
      </c>
      <c r="AM2765" s="46">
        <v>26.527874000000001</v>
      </c>
      <c r="AN2765" s="46">
        <v>1.7261692</v>
      </c>
      <c r="AO2765" s="46">
        <v>0</v>
      </c>
      <c r="AP2765" s="46">
        <v>3.3349139999999999</v>
      </c>
      <c r="AQ2765" s="46">
        <v>570.28578000000005</v>
      </c>
      <c r="AR2765" s="46">
        <v>5.6240591999999999E-2</v>
      </c>
      <c r="AS2765" s="46">
        <v>588.90359999999998</v>
      </c>
      <c r="AT2765" s="46">
        <v>1.0215083E-2</v>
      </c>
      <c r="AU2765" s="46">
        <v>0</v>
      </c>
      <c r="AV2765" s="46">
        <v>0</v>
      </c>
      <c r="AW2765" s="46">
        <v>0.16789598999999999</v>
      </c>
      <c r="AX2765" s="46">
        <v>5.4951752E-4</v>
      </c>
      <c r="AY2765" s="46">
        <v>0.87218255</v>
      </c>
      <c r="AZ2765" s="46">
        <v>7.9444678999999996E-4</v>
      </c>
      <c r="BA2765" s="46">
        <v>0</v>
      </c>
      <c r="BB2765" s="46">
        <v>0</v>
      </c>
      <c r="BC2765" s="46">
        <v>0</v>
      </c>
      <c r="BD2765" s="46">
        <v>0</v>
      </c>
      <c r="BE2765" s="46">
        <v>0</v>
      </c>
      <c r="BF2765" s="39" t="s">
        <v>1061</v>
      </c>
      <c r="BG2765" s="39"/>
      <c r="BH2765" s="33" t="s">
        <v>854</v>
      </c>
    </row>
    <row r="2766" spans="1:60">
      <c r="A2766" s="39" t="s">
        <v>1125</v>
      </c>
      <c r="B2766" s="39" t="s">
        <v>1059</v>
      </c>
      <c r="C2766" s="39" t="s">
        <v>938</v>
      </c>
      <c r="D2766" s="39" t="s">
        <v>1060</v>
      </c>
      <c r="E2766" s="39" t="s">
        <v>829</v>
      </c>
      <c r="F2766" s="39">
        <v>1</v>
      </c>
      <c r="G2766" s="39">
        <v>1.2007279</v>
      </c>
      <c r="H2766" s="39"/>
      <c r="I2766" s="39">
        <v>120</v>
      </c>
      <c r="J2766" s="46">
        <v>4.0144109999999997E-4</v>
      </c>
      <c r="K2766" s="46">
        <v>2.8421872000000001E-2</v>
      </c>
      <c r="L2766" s="46">
        <v>4.5523305000000001</v>
      </c>
      <c r="M2766" s="46">
        <v>1.2599028999999999E-6</v>
      </c>
      <c r="N2766" s="46">
        <v>5.9439169000000004E-3</v>
      </c>
      <c r="O2766" s="46">
        <v>4.5114419000000003E-2</v>
      </c>
      <c r="P2766" s="46">
        <v>1.1481366E-2</v>
      </c>
      <c r="Q2766" s="46">
        <v>6.9987896000000003</v>
      </c>
      <c r="R2766" s="46">
        <v>0.11304304</v>
      </c>
      <c r="S2766" s="46">
        <v>284.60435000000001</v>
      </c>
      <c r="T2766" s="46">
        <v>0.18402154000000001</v>
      </c>
      <c r="U2766" s="46">
        <v>5.2749378</v>
      </c>
      <c r="V2766" s="46">
        <v>4.5865998000000001</v>
      </c>
      <c r="W2766" s="46">
        <v>0.67133069000000001</v>
      </c>
      <c r="X2766" s="46">
        <v>1.7007247999999999E-2</v>
      </c>
      <c r="Y2766" s="46">
        <v>1.1739311000000001E-6</v>
      </c>
      <c r="Z2766" s="46">
        <v>6.3282786999999993E-2</v>
      </c>
      <c r="AA2766" s="46">
        <v>8.3185173E-4</v>
      </c>
      <c r="AB2766" s="46">
        <v>1.3917428000000001E-2</v>
      </c>
      <c r="AC2766" s="46">
        <v>0.21915963999999999</v>
      </c>
      <c r="AD2766" s="46">
        <v>4.1916032999999998E-2</v>
      </c>
      <c r="AE2766" s="46">
        <v>4.0144085E-4</v>
      </c>
      <c r="AF2766" s="46">
        <v>54.90522</v>
      </c>
      <c r="AG2766" s="46">
        <v>2.7835513999999999</v>
      </c>
      <c r="AH2766" s="46">
        <v>7.1269205000000004E-7</v>
      </c>
      <c r="AI2766" s="46">
        <v>0.20196444999999999</v>
      </c>
      <c r="AJ2766" s="46">
        <v>518.76675999999998</v>
      </c>
      <c r="AK2766" s="46">
        <v>1.6550533E-8</v>
      </c>
      <c r="AL2766" s="46">
        <v>4.572425E-7</v>
      </c>
      <c r="AM2766" s="46">
        <v>1545.0526</v>
      </c>
      <c r="AN2766" s="46">
        <v>456.97057999999998</v>
      </c>
      <c r="AO2766" s="46">
        <v>0</v>
      </c>
      <c r="AP2766" s="46">
        <v>458.57932</v>
      </c>
      <c r="AQ2766" s="46">
        <v>40.036788999999999</v>
      </c>
      <c r="AR2766" s="46">
        <v>5.6240591999999999E-2</v>
      </c>
      <c r="AS2766" s="46">
        <v>58.654608000000003</v>
      </c>
      <c r="AT2766" s="46">
        <v>5.5754528999999997E-2</v>
      </c>
      <c r="AU2766" s="46">
        <v>0</v>
      </c>
      <c r="AV2766" s="46">
        <v>0</v>
      </c>
      <c r="AW2766" s="46">
        <v>8.3240932000000004E-2</v>
      </c>
      <c r="AX2766" s="46">
        <v>1.2638675000000001E-3</v>
      </c>
      <c r="AY2766" s="46">
        <v>1.7344630999999999</v>
      </c>
      <c r="AZ2766" s="46">
        <v>2.1258734999999999E-4</v>
      </c>
      <c r="BA2766" s="46">
        <v>0</v>
      </c>
      <c r="BB2766" s="46">
        <v>0</v>
      </c>
      <c r="BC2766" s="46">
        <v>0</v>
      </c>
      <c r="BD2766" s="46">
        <v>0</v>
      </c>
      <c r="BE2766" s="46">
        <v>0</v>
      </c>
      <c r="BF2766" s="39" t="s">
        <v>1063</v>
      </c>
      <c r="BG2766" s="39"/>
      <c r="BH2766" s="33" t="s">
        <v>854</v>
      </c>
    </row>
    <row r="2767" spans="1:60">
      <c r="A2767" s="39" t="s">
        <v>1126</v>
      </c>
      <c r="B2767" s="39" t="s">
        <v>1059</v>
      </c>
      <c r="C2767" s="39" t="s">
        <v>938</v>
      </c>
      <c r="D2767" s="39" t="s">
        <v>1060</v>
      </c>
      <c r="E2767" s="39" t="s">
        <v>829</v>
      </c>
      <c r="F2767" s="39">
        <v>1</v>
      </c>
      <c r="G2767" s="39">
        <v>0.79940716000000001</v>
      </c>
      <c r="H2767" s="39"/>
      <c r="I2767" s="39">
        <v>120</v>
      </c>
      <c r="J2767" s="46">
        <v>1.710694E-5</v>
      </c>
      <c r="K2767" s="46">
        <v>2.2241067999999999E-2</v>
      </c>
      <c r="L2767" s="46">
        <v>11.396141999999999</v>
      </c>
      <c r="M2767" s="46">
        <v>7.3826814999999997E-7</v>
      </c>
      <c r="N2767" s="46">
        <v>9.7846694000000003E-4</v>
      </c>
      <c r="O2767" s="46">
        <v>6.5746232999999996E-3</v>
      </c>
      <c r="P2767" s="46">
        <v>9.5102562999999996E-4</v>
      </c>
      <c r="Q2767" s="46">
        <v>2.0128363999999999</v>
      </c>
      <c r="R2767" s="46">
        <v>2.0232885999999999E-2</v>
      </c>
      <c r="S2767" s="46">
        <v>52.786285999999997</v>
      </c>
      <c r="T2767" s="46">
        <v>3.6017941999999997E-2</v>
      </c>
      <c r="U2767" s="46">
        <v>11.449911</v>
      </c>
      <c r="V2767" s="46">
        <v>11.442421</v>
      </c>
      <c r="W2767" s="46">
        <v>6.0701397999999998E-3</v>
      </c>
      <c r="X2767" s="46">
        <v>1.4198755000000001E-3</v>
      </c>
      <c r="Y2767" s="46">
        <v>6.8131652000000004E-7</v>
      </c>
      <c r="Z2767" s="46">
        <v>8.1347289000000007E-3</v>
      </c>
      <c r="AA2767" s="46">
        <v>9.0727309999999995E-5</v>
      </c>
      <c r="AB2767" s="46">
        <v>1.6927464999999999E-3</v>
      </c>
      <c r="AC2767" s="46">
        <v>1.8895055000000001E-2</v>
      </c>
      <c r="AD2767" s="46">
        <v>5.9218687999999997E-3</v>
      </c>
      <c r="AE2767" s="46">
        <v>1.7106798000000001E-5</v>
      </c>
      <c r="AF2767" s="46">
        <v>42.762714000000003</v>
      </c>
      <c r="AG2767" s="46">
        <v>0.51671632999999995</v>
      </c>
      <c r="AH2767" s="46">
        <v>8.0808576000000003E-8</v>
      </c>
      <c r="AI2767" s="46">
        <v>0.10469131</v>
      </c>
      <c r="AJ2767" s="46">
        <v>47.568294000000002</v>
      </c>
      <c r="AK2767" s="46">
        <v>6.8150082000000003E-9</v>
      </c>
      <c r="AL2767" s="46">
        <v>1.5038595999999999E-7</v>
      </c>
      <c r="AM2767" s="46">
        <v>5.3801914000000002</v>
      </c>
      <c r="AN2767" s="46">
        <v>8.6386993999999995E-2</v>
      </c>
      <c r="AO2767" s="46">
        <v>0</v>
      </c>
      <c r="AP2767" s="46">
        <v>1.5942395</v>
      </c>
      <c r="AQ2767" s="46">
        <v>28.540234999999999</v>
      </c>
      <c r="AR2767" s="46">
        <v>2.8145882999999999E-3</v>
      </c>
      <c r="AS2767" s="46">
        <v>46.346328</v>
      </c>
      <c r="AT2767" s="46">
        <v>5.1121889000000005E-4</v>
      </c>
      <c r="AU2767" s="46">
        <v>0</v>
      </c>
      <c r="AV2767" s="46">
        <v>0</v>
      </c>
      <c r="AW2767" s="46">
        <v>1.8536556999999999E-2</v>
      </c>
      <c r="AX2767" s="46">
        <v>5.8652522999999997E-5</v>
      </c>
      <c r="AY2767" s="46">
        <v>0.33964703000000002</v>
      </c>
      <c r="AZ2767" s="46">
        <v>9.3835129999999994E-5</v>
      </c>
      <c r="BA2767" s="46">
        <v>0</v>
      </c>
      <c r="BB2767" s="46">
        <v>0</v>
      </c>
      <c r="BC2767" s="46">
        <v>0</v>
      </c>
      <c r="BD2767" s="46">
        <v>0</v>
      </c>
      <c r="BE2767" s="46">
        <v>0</v>
      </c>
      <c r="BF2767" s="39" t="s">
        <v>1065</v>
      </c>
      <c r="BG2767" s="39"/>
      <c r="BH2767" s="33" t="s">
        <v>854</v>
      </c>
    </row>
    <row r="2768" spans="1:60">
      <c r="A2768" s="39" t="s">
        <v>1127</v>
      </c>
      <c r="B2768" s="39" t="s">
        <v>1059</v>
      </c>
      <c r="C2768" s="39" t="s">
        <v>938</v>
      </c>
      <c r="D2768" s="39" t="s">
        <v>1060</v>
      </c>
      <c r="E2768" s="39" t="s">
        <v>829</v>
      </c>
      <c r="F2768" s="39">
        <v>1</v>
      </c>
      <c r="G2768" s="39">
        <v>0.74028996999999996</v>
      </c>
      <c r="H2768" s="39"/>
      <c r="I2768" s="39">
        <v>120</v>
      </c>
      <c r="J2768" s="46">
        <v>3.4309717000000001E-5</v>
      </c>
      <c r="K2768" s="46">
        <v>9.3600287000000001E-3</v>
      </c>
      <c r="L2768" s="46">
        <v>10.007861999999999</v>
      </c>
      <c r="M2768" s="46">
        <v>6.2301259000000004E-7</v>
      </c>
      <c r="N2768" s="46">
        <v>1.0099391999999999E-3</v>
      </c>
      <c r="O2768" s="46">
        <v>6.5522291000000002E-3</v>
      </c>
      <c r="P2768" s="46">
        <v>1.0771101000000001E-3</v>
      </c>
      <c r="Q2768" s="46">
        <v>2.1373646000000002</v>
      </c>
      <c r="R2768" s="46">
        <v>2.1752976E-2</v>
      </c>
      <c r="S2768" s="46">
        <v>52.201618000000003</v>
      </c>
      <c r="T2768" s="46">
        <v>3.6945332999999997E-2</v>
      </c>
      <c r="U2768" s="46">
        <v>10.075557999999999</v>
      </c>
      <c r="V2768" s="46">
        <v>10.032626</v>
      </c>
      <c r="W2768" s="46">
        <v>4.0810449999999998E-2</v>
      </c>
      <c r="X2768" s="46">
        <v>2.1207159999999999E-3</v>
      </c>
      <c r="Y2768" s="46">
        <v>5.5564151999999997E-7</v>
      </c>
      <c r="Z2768" s="46">
        <v>8.4281141999999996E-3</v>
      </c>
      <c r="AA2768" s="46">
        <v>7.5021753999999995E-5</v>
      </c>
      <c r="AB2768" s="46">
        <v>1.6855537E-3</v>
      </c>
      <c r="AC2768" s="46">
        <v>2.2017793000000001E-2</v>
      </c>
      <c r="AD2768" s="46">
        <v>5.7876443999999999E-3</v>
      </c>
      <c r="AE2768" s="46">
        <v>3.4309576000000002E-5</v>
      </c>
      <c r="AF2768" s="46">
        <v>18.480533000000001</v>
      </c>
      <c r="AG2768" s="46">
        <v>0.38839344999999997</v>
      </c>
      <c r="AH2768" s="46">
        <v>1.0568079999999999E-7</v>
      </c>
      <c r="AI2768" s="46">
        <v>7.2913239000000005E-2</v>
      </c>
      <c r="AJ2768" s="46">
        <v>58.694417000000001</v>
      </c>
      <c r="AK2768" s="46">
        <v>7.1083415000000004E-9</v>
      </c>
      <c r="AL2768" s="46">
        <v>1.5930818E-7</v>
      </c>
      <c r="AM2768" s="46">
        <v>81.375514999999993</v>
      </c>
      <c r="AN2768" s="46">
        <v>22.869319000000001</v>
      </c>
      <c r="AO2768" s="46">
        <v>0</v>
      </c>
      <c r="AP2768" s="46">
        <v>24.377172000000002</v>
      </c>
      <c r="AQ2768" s="46">
        <v>2.0036608999999999</v>
      </c>
      <c r="AR2768" s="46">
        <v>2.8145882999999999E-3</v>
      </c>
      <c r="AS2768" s="46">
        <v>19.809754000000002</v>
      </c>
      <c r="AT2768" s="46">
        <v>2.7902630999999999E-3</v>
      </c>
      <c r="AU2768" s="46">
        <v>0</v>
      </c>
      <c r="AV2768" s="46">
        <v>0</v>
      </c>
      <c r="AW2768" s="46">
        <v>1.4299953000000001E-2</v>
      </c>
      <c r="AX2768" s="46">
        <v>9.4402523000000006E-5</v>
      </c>
      <c r="AY2768" s="46">
        <v>0.38280028999999999</v>
      </c>
      <c r="AZ2768" s="46">
        <v>6.4715684999999993E-5</v>
      </c>
      <c r="BA2768" s="46">
        <v>0</v>
      </c>
      <c r="BB2768" s="46">
        <v>0</v>
      </c>
      <c r="BC2768" s="46">
        <v>0</v>
      </c>
      <c r="BD2768" s="46">
        <v>0</v>
      </c>
      <c r="BE2768" s="46">
        <v>0</v>
      </c>
      <c r="BF2768" s="39" t="s">
        <v>1067</v>
      </c>
      <c r="BG2768" s="39"/>
      <c r="BH2768" s="33" t="s">
        <v>854</v>
      </c>
    </row>
    <row r="2769" spans="1:59">
      <c r="A2769" s="39" t="s">
        <v>1128</v>
      </c>
      <c r="B2769" s="39" t="s">
        <v>1030</v>
      </c>
      <c r="C2769" s="39" t="s">
        <v>1031</v>
      </c>
      <c r="D2769" s="39" t="s">
        <v>1035</v>
      </c>
      <c r="E2769" s="39" t="s">
        <v>829</v>
      </c>
      <c r="F2769" s="39">
        <v>1</v>
      </c>
      <c r="G2769" s="48">
        <v>8.7442607699120004E-2</v>
      </c>
      <c r="H2769" s="39"/>
      <c r="I2769" s="39">
        <v>34.4</v>
      </c>
      <c r="J2769" s="7">
        <v>1.22104505E-6</v>
      </c>
      <c r="K2769" s="7">
        <v>3.4714340650499999E-3</v>
      </c>
      <c r="L2769" s="7">
        <v>0.36833795646457002</v>
      </c>
      <c r="M2769" s="7">
        <v>4.6448880000000003E-8</v>
      </c>
      <c r="N2769" s="7">
        <v>4.2755271701000003E-4</v>
      </c>
      <c r="O2769" s="7">
        <v>5.4284315702500001E-3</v>
      </c>
      <c r="P2769" s="7">
        <v>1.26547510497E-3</v>
      </c>
      <c r="Q2769" s="7">
        <v>0.37180605019839003</v>
      </c>
      <c r="R2769" s="7">
        <v>2.5758159424499999E-3</v>
      </c>
      <c r="S2769" s="7">
        <v>8.6459359357169294</v>
      </c>
      <c r="T2769" s="7">
        <v>1.7695223746900001E-3</v>
      </c>
      <c r="U2769" s="7"/>
      <c r="V2769" s="7"/>
      <c r="W2769" s="7"/>
      <c r="X2769" s="7"/>
      <c r="Y2769" s="7"/>
      <c r="Z2769" s="7"/>
      <c r="AA2769" s="7"/>
      <c r="AB2769" s="7"/>
      <c r="AC2769" s="7"/>
      <c r="AD2769" s="7"/>
      <c r="AE2769" s="7"/>
      <c r="AF2769" s="7"/>
      <c r="AG2769" s="7"/>
      <c r="AH2769" s="7"/>
      <c r="AI2769" s="7"/>
      <c r="AJ2769" s="7"/>
      <c r="AK2769" s="7"/>
      <c r="AL2769" s="7"/>
      <c r="AM2769" s="7"/>
      <c r="AN2769" s="7"/>
      <c r="AO2769" s="7"/>
      <c r="AP2769" s="7">
        <v>0.24607785242402</v>
      </c>
      <c r="AQ2769" s="7"/>
      <c r="AR2769" s="7"/>
      <c r="AS2769" s="7">
        <v>7.2864511946645196</v>
      </c>
      <c r="AT2769" s="7"/>
      <c r="AU2769" s="7"/>
      <c r="AV2769" s="46"/>
      <c r="AW2769" s="46">
        <v>1.90076072066E-3</v>
      </c>
      <c r="AX2769" s="46">
        <v>2.9649637609999999E-5</v>
      </c>
      <c r="AY2769" s="46">
        <v>7.2817317998849995E-2</v>
      </c>
      <c r="AZ2769" s="7">
        <v>1.7398343999999999E-5</v>
      </c>
      <c r="BA2769" s="7"/>
      <c r="BB2769" s="7"/>
      <c r="BC2769" s="7"/>
      <c r="BD2769" s="7"/>
      <c r="BE2769" s="7"/>
      <c r="BF2769" t="s">
        <v>1129</v>
      </c>
      <c r="BG2769" s="39"/>
    </row>
    <row r="2770" spans="1:59">
      <c r="A2770" s="39" t="s">
        <v>1130</v>
      </c>
      <c r="B2770" s="39" t="s">
        <v>1030</v>
      </c>
      <c r="C2770" s="39" t="s">
        <v>1031</v>
      </c>
      <c r="D2770" s="39" t="s">
        <v>1035</v>
      </c>
      <c r="E2770" s="39" t="s">
        <v>829</v>
      </c>
      <c r="F2770" s="39">
        <v>1</v>
      </c>
      <c r="G2770" s="48">
        <v>6.8896750266770002E-2</v>
      </c>
      <c r="H2770" s="39"/>
      <c r="I2770" s="39">
        <v>34.4</v>
      </c>
      <c r="J2770" s="7">
        <v>1.3674892700000001E-6</v>
      </c>
      <c r="K2770" s="7">
        <v>3.75130724598E-3</v>
      </c>
      <c r="L2770" s="7">
        <v>0.39917526112073998</v>
      </c>
      <c r="M2770" s="7">
        <v>5.1505539999999997E-8</v>
      </c>
      <c r="N2770" s="7">
        <v>4.4057714212999998E-4</v>
      </c>
      <c r="O2770" s="7">
        <v>2.04112538071E-3</v>
      </c>
      <c r="P2770" s="7">
        <v>3.6998913959000002E-4</v>
      </c>
      <c r="Q2770" s="7">
        <v>0.38673008297978001</v>
      </c>
      <c r="R2770" s="7">
        <v>2.7955404037900001E-3</v>
      </c>
      <c r="S2770" s="7">
        <v>9.6210406560915391</v>
      </c>
      <c r="T2770" s="7">
        <v>1.8129712898499999E-3</v>
      </c>
      <c r="U2770" s="7"/>
      <c r="V2770" s="7"/>
      <c r="W2770" s="7"/>
      <c r="X2770" s="7"/>
      <c r="Y2770" s="7"/>
      <c r="Z2770" s="7"/>
      <c r="AA2770" s="7"/>
      <c r="AB2770" s="7"/>
      <c r="AC2770" s="7"/>
      <c r="AD2770" s="7"/>
      <c r="AE2770" s="7"/>
      <c r="AF2770" s="7"/>
      <c r="AG2770" s="7"/>
      <c r="AH2770" s="7"/>
      <c r="AI2770" s="7"/>
      <c r="AJ2770" s="7"/>
      <c r="AK2770" s="7"/>
      <c r="AL2770" s="7"/>
      <c r="AM2770" s="7"/>
      <c r="AN2770" s="7"/>
      <c r="AO2770" s="7"/>
      <c r="AP2770" s="7">
        <v>0.25792389794086001</v>
      </c>
      <c r="AQ2770" s="7"/>
      <c r="AR2770" s="7"/>
      <c r="AS2770" s="7">
        <v>7.9063954714629796</v>
      </c>
      <c r="AT2770" s="7"/>
      <c r="AU2770" s="7"/>
      <c r="AV2770" s="46"/>
      <c r="AW2770" s="46">
        <v>1.98606943535E-3</v>
      </c>
      <c r="AX2770" s="46">
        <v>3.2062249850000002E-5</v>
      </c>
      <c r="AY2770" s="46">
        <v>7.5087247180569999E-2</v>
      </c>
      <c r="AZ2770" s="7">
        <v>1.9257713799999999E-5</v>
      </c>
      <c r="BA2770" s="7"/>
      <c r="BB2770" s="7"/>
      <c r="BC2770" s="7"/>
      <c r="BD2770" s="7"/>
      <c r="BE2770" s="7"/>
      <c r="BF2770" t="s">
        <v>1131</v>
      </c>
      <c r="BG2770"/>
    </row>
    <row r="2771" spans="1:59">
      <c r="A2771" s="39" t="s">
        <v>1132</v>
      </c>
      <c r="B2771" s="39" t="s">
        <v>1030</v>
      </c>
      <c r="C2771" s="39" t="s">
        <v>1031</v>
      </c>
      <c r="D2771" s="39" t="s">
        <v>1035</v>
      </c>
      <c r="E2771" s="39" t="s">
        <v>829</v>
      </c>
      <c r="F2771" s="39">
        <v>1</v>
      </c>
      <c r="G2771" s="48">
        <v>6.8896750266770002E-2</v>
      </c>
      <c r="H2771" s="39"/>
      <c r="I2771" s="39">
        <v>34.4</v>
      </c>
      <c r="J2771" s="7">
        <v>1.3674892700000001E-6</v>
      </c>
      <c r="K2771" s="7">
        <v>3.75130724598E-3</v>
      </c>
      <c r="L2771" s="7">
        <v>0.39917526112073998</v>
      </c>
      <c r="M2771" s="7">
        <v>5.1505539999999997E-8</v>
      </c>
      <c r="N2771" s="7">
        <v>4.4057714212999998E-4</v>
      </c>
      <c r="O2771" s="7">
        <v>2.04112538071E-3</v>
      </c>
      <c r="P2771" s="7">
        <v>3.6998913959000002E-4</v>
      </c>
      <c r="Q2771" s="7">
        <v>0.38673008297978001</v>
      </c>
      <c r="R2771" s="7">
        <v>2.7955404037900001E-3</v>
      </c>
      <c r="S2771" s="7">
        <v>9.6210406560915391</v>
      </c>
      <c r="T2771" s="7">
        <v>1.8129712898499999E-3</v>
      </c>
      <c r="U2771" s="7"/>
      <c r="V2771" s="7"/>
      <c r="W2771" s="7"/>
      <c r="X2771" s="7"/>
      <c r="Y2771" s="7"/>
      <c r="Z2771" s="7"/>
      <c r="AA2771" s="7"/>
      <c r="AB2771" s="7"/>
      <c r="AC2771" s="7"/>
      <c r="AD2771" s="7"/>
      <c r="AE2771" s="7"/>
      <c r="AF2771" s="7"/>
      <c r="AG2771" s="7"/>
      <c r="AH2771" s="7"/>
      <c r="AI2771" s="7"/>
      <c r="AJ2771" s="7"/>
      <c r="AK2771" s="7"/>
      <c r="AL2771" s="7"/>
      <c r="AM2771" s="7"/>
      <c r="AN2771" s="7"/>
      <c r="AO2771" s="7"/>
      <c r="AP2771" s="7">
        <v>0.25792389794086001</v>
      </c>
      <c r="AQ2771" s="7"/>
      <c r="AR2771" s="7"/>
      <c r="AS2771" s="7">
        <v>7.9063954714629796</v>
      </c>
      <c r="AT2771" s="7"/>
      <c r="AU2771" s="7"/>
      <c r="AV2771" s="46"/>
      <c r="AW2771" s="46">
        <v>1.98606943535E-3</v>
      </c>
      <c r="AX2771" s="46">
        <v>3.2062249850000002E-5</v>
      </c>
      <c r="AY2771" s="46">
        <v>7.5087247180569999E-2</v>
      </c>
      <c r="AZ2771" s="7">
        <v>1.9257713799999999E-5</v>
      </c>
      <c r="BA2771" s="7"/>
      <c r="BB2771" s="7"/>
      <c r="BC2771" s="7"/>
      <c r="BD2771" s="7"/>
      <c r="BE2771" s="7"/>
      <c r="BF2771" t="s">
        <v>1131</v>
      </c>
      <c r="BG2771" s="39"/>
    </row>
    <row r="2775" spans="1:59">
      <c r="G2775" s="62"/>
    </row>
  </sheetData>
  <phoneticPr fontId="11" type="noConversion"/>
  <conditionalFormatting sqref="A2604:A2606">
    <cfRule type="expression" dxfId="422" priority="392">
      <formula>IF($D$2:$D$2921=Transport,#REF!=0)</formula>
    </cfRule>
  </conditionalFormatting>
  <conditionalFormatting sqref="B2550:D2565 E2551:H2555 J2551:BG2555 G2556 E2556:E2565 AV2556:AV2565 BG2556:BG2565 B2566:C2566 U2566 AA2566 BF2571:BG2576 BH2571:BH2579 A2571:B2585 E2571:H2588 J2577:BE2582 B2586:B2588 A2589:F2591 H2595:H2600 A2595:B2606 A2613:B2613 H2618 H2621 H2624:H2625 F2626">
    <cfRule type="expression" dxfId="421" priority="326">
      <formula>IF($D$2:$D$2921=Transport,#REF!=0)</formula>
    </cfRule>
  </conditionalFormatting>
  <conditionalFormatting sqref="C2618:D2625 B2618:B2626">
    <cfRule type="expression" dxfId="420" priority="2924">
      <formula>IF($E$4:$E$2670=Transport,#REF!=0)</formula>
    </cfRule>
  </conditionalFormatting>
  <conditionalFormatting sqref="E2550 H2550:BE2550 B2570:E2570 H2570:BE2570 C2571:D2588 J2583:BE2588 A2586:A2588 C2594:D2612 A2607:A2609 U2607:AO2612 AQ2607:AR2612 AT2607:AV2612 BA2607:BE2612 A2610:B2612 E2610:H2612 J2610:T2612 AP2610:AP2612 AS2610:AS2612 AW2610:AZ2612 C2618:D2625 H2631">
    <cfRule type="expression" dxfId="419" priority="364">
      <formula>IF($D$2:$D$2921=Transport,#REF!=0)</formula>
    </cfRule>
  </conditionalFormatting>
  <conditionalFormatting sqref="H2601:H2605 B2607:B2609 E2607:H2609 H2619:H2620 H2622:H2623">
    <cfRule type="expression" dxfId="418" priority="431">
      <formula>IF($D$2:$D$2921=Transport,#REF!=0)</formula>
    </cfRule>
  </conditionalFormatting>
  <conditionalFormatting sqref="H2632:H2644 H2733:H2744 H2769:H2771">
    <cfRule type="expression" dxfId="417" priority="379">
      <formula>IF($D$2:$D$2921=Transport,#REF!=0)</formula>
    </cfRule>
  </conditionalFormatting>
  <conditionalFormatting sqref="I2551:I2559 I2571:I2588 G2589:G2591 I2595:I2612 G2613 I2618:I2625 G2626 I2631:I2714 I2733:I2764 I2769:I2771">
    <cfRule type="expression" dxfId="416" priority="231">
      <formula>IF($D$2:$D$2796=Transport,$AA$2:$AA$2796=0)</formula>
    </cfRule>
  </conditionalFormatting>
  <conditionalFormatting sqref="I2718:I2728">
    <cfRule type="expression" dxfId="415" priority="9">
      <formula>IF($D$2:$D$2796=Transport,$AA$2:$AA$2796=0)</formula>
    </cfRule>
  </conditionalFormatting>
  <conditionalFormatting sqref="J2607:J2609">
    <cfRule type="expression" dxfId="414" priority="8">
      <formula>IF($D$2:$D$2921=Transport,#REF!=0)</formula>
    </cfRule>
  </conditionalFormatting>
  <conditionalFormatting sqref="K2607:T2609">
    <cfRule type="expression" dxfId="413" priority="7">
      <formula>IF($D$2:$D$2921=Transport,#REF!=0)</formula>
    </cfRule>
  </conditionalFormatting>
  <conditionalFormatting sqref="AP2607:AP2609">
    <cfRule type="expression" dxfId="412" priority="6">
      <formula>IF($D$2:$D$2921=Transport,#REF!=0)</formula>
    </cfRule>
  </conditionalFormatting>
  <conditionalFormatting sqref="AS2607:AS2609">
    <cfRule type="expression" dxfId="411" priority="5">
      <formula>IF($D$2:$D$2921=Transport,#REF!=0)</formula>
    </cfRule>
  </conditionalFormatting>
  <conditionalFormatting sqref="AV2733:AV2744">
    <cfRule type="expression" dxfId="410" priority="1332">
      <formula>IF($D$2:$D$2778=Transport,$AA$2:$AA$2778=0)</formula>
    </cfRule>
  </conditionalFormatting>
  <conditionalFormatting sqref="AW2607:AY2609">
    <cfRule type="expression" dxfId="409" priority="4">
      <formula>IF($D$2:$D$2921=Transport,#REF!=0)</formula>
    </cfRule>
  </conditionalFormatting>
  <conditionalFormatting sqref="AZ2607:AZ2609">
    <cfRule type="expression" dxfId="408" priority="3">
      <formula>IF($D$2:$D$2921=Transport,#REF!=0)</formula>
    </cfRule>
  </conditionalFormatting>
  <conditionalFormatting sqref="BF2555:BF2556 H2556:H2559 J2556:AZ2559 F2556:F2565 BA2556:BE2565 H2560:AZ2565 D2566 F2566:T2566 J2566:AZ2567 F2613">
    <cfRule type="expression" dxfId="407" priority="2928">
      <formula>IF($D$2:$D$2821=Transport,$AA$2:$AA$2821=0)</formula>
    </cfRule>
  </conditionalFormatting>
  <conditionalFormatting sqref="BH2595:BH2612">
    <cfRule type="expression" dxfId="406" priority="1">
      <formula>IF($D$2:$D$2921=Transport,#REF!=0)</formula>
    </cfRule>
  </conditionalFormatting>
  <conditionalFormatting sqref="BO1604">
    <cfRule type="expression" dxfId="405" priority="396">
      <formula>IF($D$2:$D$2921=Transport,#REF!=0)</formula>
    </cfRule>
  </conditionalFormatting>
  <conditionalFormatting sqref="BO1609">
    <cfRule type="expression" dxfId="404" priority="436">
      <formula>IF($D$2:$D$2921=Transport,#REF!=0)</formula>
    </cfRule>
  </conditionalFormatting>
  <conditionalFormatting sqref="BO1665 BH2580:BH2588 H2601:H2606 H2619:H2620">
    <cfRule type="expression" dxfId="403" priority="393">
      <formula>IF($D$2:$D$2921=Transport,#REF!=0)</formula>
    </cfRule>
  </conditionalFormatting>
  <conditionalFormatting sqref="BO1668">
    <cfRule type="expression" dxfId="402" priority="399">
      <formula>IF($D$2:$D$2921=Transport,#REF!=0)</formula>
    </cfRule>
  </conditionalFormatting>
  <conditionalFormatting sqref="BO1673">
    <cfRule type="expression" dxfId="401" priority="403">
      <formula>IF($D$2:$D$2921=Transport,#REF!=0)</formula>
    </cfRule>
  </conditionalFormatting>
  <pageMargins left="0.7" right="0.7" top="0.75" bottom="0.75" header="0.3" footer="0.3"/>
  <pageSetup orientation="portrait" r:id="rId1"/>
  <tableParts count="7">
    <tablePart r:id="rId2"/>
    <tablePart r:id="rId3"/>
    <tablePart r:id="rId4"/>
    <tablePart r:id="rId5"/>
    <tablePart r:id="rId6"/>
    <tablePart r:id="rId7"/>
    <tablePart r:id="rId8"/>
  </tableParts>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F9715E9E-E72E-44C9-A184-A7C0F3EE6C7C}">
          <x14:formula1>
            <xm:f>Lijsten!$AF$2:$AF$4</xm:f>
          </x14:formula1>
          <xm:sqref>BN2541:BN2547</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6ED2D8-F28C-4991-83C9-4E3C8D7F17A4}">
  <dimension ref="A1:AN175"/>
  <sheetViews>
    <sheetView topLeftCell="A21" zoomScale="85" zoomScaleNormal="85" workbookViewId="0">
      <selection activeCell="G41" sqref="G41"/>
    </sheetView>
  </sheetViews>
  <sheetFormatPr defaultRowHeight="15"/>
  <cols>
    <col min="1" max="1" width="29.140625" customWidth="1"/>
    <col min="4" max="4" width="9.140625" customWidth="1"/>
    <col min="8" max="8" width="10.5703125" customWidth="1"/>
  </cols>
  <sheetData>
    <row r="1" spans="1:39" ht="15.75" thickBot="1">
      <c r="A1" s="282" t="s">
        <v>1133</v>
      </c>
      <c r="B1" s="282" t="s">
        <v>11</v>
      </c>
      <c r="C1" s="282" t="s">
        <v>77</v>
      </c>
      <c r="D1" s="282" t="s">
        <v>78</v>
      </c>
      <c r="E1" s="282" t="s">
        <v>79</v>
      </c>
      <c r="F1" s="282" t="s">
        <v>80</v>
      </c>
      <c r="G1" s="282" t="s">
        <v>527</v>
      </c>
      <c r="H1" s="282" t="s">
        <v>81</v>
      </c>
      <c r="I1" s="282" t="s">
        <v>82</v>
      </c>
      <c r="J1" s="282" t="s">
        <v>528</v>
      </c>
      <c r="K1" s="282" t="s">
        <v>83</v>
      </c>
      <c r="L1" s="282" t="s">
        <v>84</v>
      </c>
      <c r="M1" s="282" t="s">
        <v>85</v>
      </c>
      <c r="N1" s="282" t="s">
        <v>86</v>
      </c>
      <c r="O1" s="282" t="s">
        <v>89</v>
      </c>
      <c r="P1" s="282" t="s">
        <v>90</v>
      </c>
      <c r="Q1" s="282" t="s">
        <v>1134</v>
      </c>
      <c r="R1" s="282" t="s">
        <v>1135</v>
      </c>
      <c r="S1" s="283"/>
    </row>
    <row r="2" spans="1:39" ht="15.75" thickTop="1">
      <c r="A2" s="284"/>
      <c r="B2" s="284"/>
      <c r="C2" s="284"/>
      <c r="D2" s="284"/>
      <c r="E2" s="284"/>
      <c r="F2" s="284"/>
      <c r="G2" s="284"/>
      <c r="H2" s="284"/>
      <c r="I2" s="284"/>
      <c r="J2" s="284"/>
      <c r="K2" s="284"/>
      <c r="L2" s="284"/>
      <c r="M2" s="284"/>
      <c r="N2" s="284"/>
      <c r="O2" s="284"/>
      <c r="P2" s="284"/>
      <c r="Q2" s="284"/>
      <c r="R2" s="284"/>
      <c r="S2" s="285"/>
    </row>
    <row r="3" spans="1:39" ht="15.75" thickBot="1">
      <c r="A3" s="287" t="s">
        <v>1136</v>
      </c>
      <c r="B3" s="287" t="s">
        <v>1137</v>
      </c>
      <c r="C3" s="287">
        <v>0</v>
      </c>
      <c r="D3" s="287">
        <v>0</v>
      </c>
      <c r="E3" s="287">
        <v>0</v>
      </c>
      <c r="F3" s="287">
        <v>0</v>
      </c>
      <c r="G3" s="287">
        <v>0</v>
      </c>
      <c r="H3" s="287">
        <v>0</v>
      </c>
      <c r="I3" s="287">
        <v>0</v>
      </c>
      <c r="J3" s="287">
        <v>0</v>
      </c>
      <c r="K3" s="287">
        <v>0</v>
      </c>
      <c r="L3" s="287">
        <v>0</v>
      </c>
      <c r="M3" s="287">
        <v>0</v>
      </c>
      <c r="N3" s="287">
        <v>0</v>
      </c>
      <c r="O3" s="287">
        <v>0</v>
      </c>
      <c r="P3" s="287">
        <v>0</v>
      </c>
      <c r="Q3" s="287" t="s">
        <v>1138</v>
      </c>
      <c r="R3" s="287" t="s">
        <v>1139</v>
      </c>
      <c r="S3" s="288"/>
      <c r="Z3" t="s">
        <v>748</v>
      </c>
    </row>
    <row r="4" spans="1:39" ht="15.75" thickBot="1">
      <c r="A4" s="302" t="s">
        <v>1140</v>
      </c>
      <c r="B4" s="303" t="s">
        <v>1137</v>
      </c>
      <c r="C4" s="303">
        <v>0.05</v>
      </c>
      <c r="D4" s="303">
        <v>0.02</v>
      </c>
      <c r="E4" s="303">
        <v>0</v>
      </c>
      <c r="F4" s="303">
        <v>0</v>
      </c>
      <c r="G4" s="303">
        <v>0</v>
      </c>
      <c r="H4" s="303">
        <v>0</v>
      </c>
      <c r="I4" s="303">
        <v>0</v>
      </c>
      <c r="J4" s="303">
        <v>0</v>
      </c>
      <c r="K4" s="303">
        <v>0</v>
      </c>
      <c r="L4" s="303">
        <v>0.01</v>
      </c>
      <c r="M4" s="303">
        <v>0</v>
      </c>
      <c r="N4" s="303">
        <v>0</v>
      </c>
      <c r="O4" s="303">
        <v>0</v>
      </c>
      <c r="P4" s="303">
        <v>0.08</v>
      </c>
      <c r="Q4" s="303" t="s">
        <v>1138</v>
      </c>
      <c r="R4" s="303" t="s">
        <v>1141</v>
      </c>
      <c r="S4" s="303"/>
      <c r="Z4" t="s">
        <v>1142</v>
      </c>
      <c r="AA4" t="s">
        <v>1143</v>
      </c>
    </row>
    <row r="5" spans="1:39" ht="15.75" thickBot="1">
      <c r="A5" s="286" t="s">
        <v>1144</v>
      </c>
      <c r="B5" s="287" t="s">
        <v>1145</v>
      </c>
      <c r="C5" s="287">
        <v>17.670000000000002</v>
      </c>
      <c r="D5" s="287">
        <v>2.66</v>
      </c>
      <c r="E5" s="287">
        <v>0.57999999999999996</v>
      </c>
      <c r="F5" s="287">
        <v>0</v>
      </c>
      <c r="G5" s="287">
        <v>0</v>
      </c>
      <c r="H5" s="287">
        <v>0</v>
      </c>
      <c r="I5" s="287">
        <v>0</v>
      </c>
      <c r="J5" s="287">
        <v>0</v>
      </c>
      <c r="K5" s="287">
        <v>0</v>
      </c>
      <c r="L5" s="287">
        <v>0.89</v>
      </c>
      <c r="M5" s="287">
        <v>0.01</v>
      </c>
      <c r="N5" s="287">
        <v>0.01</v>
      </c>
      <c r="O5" s="287">
        <v>-0.42</v>
      </c>
      <c r="P5" s="287">
        <v>21.4</v>
      </c>
      <c r="Q5" s="287" t="s">
        <v>1146</v>
      </c>
      <c r="R5" s="287" t="s">
        <v>1147</v>
      </c>
      <c r="S5" s="288"/>
      <c r="Z5" t="s">
        <v>1148</v>
      </c>
    </row>
    <row r="6" spans="1:39" ht="15.75" thickBot="1">
      <c r="A6" s="302" t="s">
        <v>1149</v>
      </c>
      <c r="B6" s="303" t="s">
        <v>1150</v>
      </c>
      <c r="C6" s="303">
        <v>0</v>
      </c>
      <c r="D6" s="303">
        <v>0</v>
      </c>
      <c r="E6" s="303">
        <v>0</v>
      </c>
      <c r="F6" s="303">
        <v>0</v>
      </c>
      <c r="G6" s="303">
        <v>0</v>
      </c>
      <c r="H6" s="303">
        <v>0</v>
      </c>
      <c r="I6" s="303">
        <v>0</v>
      </c>
      <c r="J6" s="303">
        <v>0</v>
      </c>
      <c r="K6" s="303">
        <v>0</v>
      </c>
      <c r="L6" s="303">
        <v>0</v>
      </c>
      <c r="M6" s="303">
        <v>0</v>
      </c>
      <c r="N6" s="303">
        <v>0</v>
      </c>
      <c r="O6" s="303">
        <v>0</v>
      </c>
      <c r="P6" s="303">
        <v>0</v>
      </c>
      <c r="Q6" s="303">
        <v>30</v>
      </c>
      <c r="R6" s="303" t="s">
        <v>1139</v>
      </c>
      <c r="S6" s="303"/>
      <c r="Z6">
        <v>565.70000000000005</v>
      </c>
      <c r="AA6">
        <v>627.1</v>
      </c>
      <c r="AB6" t="s">
        <v>419</v>
      </c>
      <c r="AC6" t="s">
        <v>419</v>
      </c>
      <c r="AD6" t="s">
        <v>419</v>
      </c>
      <c r="AE6">
        <v>231.7</v>
      </c>
      <c r="AF6">
        <v>102.2</v>
      </c>
      <c r="AG6">
        <v>2</v>
      </c>
      <c r="AH6">
        <v>95.4</v>
      </c>
      <c r="AI6" t="s">
        <v>419</v>
      </c>
      <c r="AJ6">
        <v>2.54</v>
      </c>
      <c r="AK6">
        <f>SUM(Z6:AJ6)</f>
        <v>1626.6400000000003</v>
      </c>
      <c r="AL6">
        <f>AK6/1000</f>
        <v>1.6266400000000003</v>
      </c>
      <c r="AM6">
        <v>1.6266400000000003</v>
      </c>
    </row>
    <row r="7" spans="1:39" ht="15.75" thickBot="1">
      <c r="A7" s="286" t="s">
        <v>1151</v>
      </c>
      <c r="B7" s="287" t="s">
        <v>1152</v>
      </c>
      <c r="C7" s="287">
        <v>0</v>
      </c>
      <c r="D7" s="287">
        <v>0</v>
      </c>
      <c r="E7" s="287">
        <v>0</v>
      </c>
      <c r="F7" s="287">
        <v>0</v>
      </c>
      <c r="G7" s="287">
        <v>0</v>
      </c>
      <c r="H7" s="287">
        <v>0</v>
      </c>
      <c r="I7" s="287">
        <v>0</v>
      </c>
      <c r="J7" s="287">
        <v>0</v>
      </c>
      <c r="K7" s="287">
        <v>0</v>
      </c>
      <c r="L7" s="287">
        <v>0</v>
      </c>
      <c r="M7" s="287">
        <v>0</v>
      </c>
      <c r="N7" s="287">
        <v>0</v>
      </c>
      <c r="O7" s="287">
        <v>0</v>
      </c>
      <c r="P7" s="287">
        <v>0.01</v>
      </c>
      <c r="Q7" s="287">
        <v>2</v>
      </c>
      <c r="R7" s="287" t="s">
        <v>1141</v>
      </c>
      <c r="S7" s="288"/>
      <c r="Z7" t="e" cm="1">
        <f t="array" ref="Z7">-Inspectieput</f>
        <v>#NAME?</v>
      </c>
      <c r="AA7" t="s">
        <v>1142</v>
      </c>
      <c r="AB7" t="s">
        <v>1143</v>
      </c>
    </row>
    <row r="8" spans="1:39" ht="15.75" thickBot="1">
      <c r="A8" s="302" t="s">
        <v>1153</v>
      </c>
      <c r="B8" s="303" t="s">
        <v>1154</v>
      </c>
      <c r="C8" s="303">
        <v>0.03</v>
      </c>
      <c r="D8" s="303">
        <v>0.01</v>
      </c>
      <c r="E8" s="303">
        <v>0</v>
      </c>
      <c r="F8" s="303">
        <v>0</v>
      </c>
      <c r="G8" s="303">
        <v>0</v>
      </c>
      <c r="H8" s="303">
        <v>0</v>
      </c>
      <c r="I8" s="303">
        <v>0</v>
      </c>
      <c r="J8" s="303">
        <v>0</v>
      </c>
      <c r="K8" s="303">
        <v>0</v>
      </c>
      <c r="L8" s="303">
        <v>0</v>
      </c>
      <c r="M8" s="303">
        <v>0</v>
      </c>
      <c r="N8" s="303">
        <v>0</v>
      </c>
      <c r="O8" s="303">
        <v>0</v>
      </c>
      <c r="P8" s="303">
        <v>0.05</v>
      </c>
      <c r="Q8" s="303">
        <v>4</v>
      </c>
      <c r="R8" s="303" t="s">
        <v>1155</v>
      </c>
      <c r="S8" s="303"/>
      <c r="Z8" t="s">
        <v>1156</v>
      </c>
    </row>
    <row r="9" spans="1:39" ht="15.75" thickBot="1">
      <c r="A9" s="286" t="s">
        <v>1157</v>
      </c>
      <c r="B9" s="287" t="s">
        <v>1158</v>
      </c>
      <c r="C9" s="287">
        <v>0.01</v>
      </c>
      <c r="D9" s="287">
        <v>0</v>
      </c>
      <c r="E9" s="287">
        <v>0</v>
      </c>
      <c r="F9" s="287">
        <v>0</v>
      </c>
      <c r="G9" s="287">
        <v>0</v>
      </c>
      <c r="H9" s="287">
        <v>0</v>
      </c>
      <c r="I9" s="287">
        <v>0</v>
      </c>
      <c r="J9" s="287">
        <v>0</v>
      </c>
      <c r="K9" s="287">
        <v>0</v>
      </c>
      <c r="L9" s="287">
        <v>0</v>
      </c>
      <c r="M9" s="287">
        <v>0</v>
      </c>
      <c r="N9" s="287">
        <v>0</v>
      </c>
      <c r="O9" s="287">
        <v>0</v>
      </c>
      <c r="P9" s="287">
        <v>0.01</v>
      </c>
      <c r="Q9" s="287">
        <v>9</v>
      </c>
      <c r="R9" s="287" t="s">
        <v>1159</v>
      </c>
      <c r="S9" s="288"/>
      <c r="Z9">
        <v>796.8</v>
      </c>
      <c r="AA9">
        <v>883.2</v>
      </c>
      <c r="AB9" t="s">
        <v>419</v>
      </c>
      <c r="AC9" t="s">
        <v>419</v>
      </c>
      <c r="AD9" t="s">
        <v>419</v>
      </c>
      <c r="AE9">
        <v>326.39999999999998</v>
      </c>
      <c r="AF9">
        <v>144</v>
      </c>
      <c r="AG9">
        <v>2.9</v>
      </c>
      <c r="AH9">
        <v>134.4</v>
      </c>
      <c r="AI9" t="s">
        <v>419</v>
      </c>
      <c r="AJ9">
        <v>2.85</v>
      </c>
      <c r="AK9">
        <f>SUM(Z9:AJ9)</f>
        <v>2290.5500000000002</v>
      </c>
      <c r="AL9">
        <f>AK9/1000</f>
        <v>2.2905500000000001</v>
      </c>
      <c r="AM9">
        <v>2.2905500000000001</v>
      </c>
    </row>
    <row r="10" spans="1:39" ht="15.75" thickBot="1">
      <c r="A10" s="302" t="s">
        <v>1160</v>
      </c>
      <c r="B10" s="303" t="s">
        <v>1161</v>
      </c>
      <c r="C10" s="303">
        <v>1.6</v>
      </c>
      <c r="D10" s="303">
        <v>1.0900000000000001</v>
      </c>
      <c r="E10" s="303">
        <v>0.08</v>
      </c>
      <c r="F10" s="303">
        <v>0</v>
      </c>
      <c r="G10" s="303">
        <v>0</v>
      </c>
      <c r="H10" s="303">
        <v>0</v>
      </c>
      <c r="I10" s="303">
        <v>0</v>
      </c>
      <c r="J10" s="303">
        <v>0</v>
      </c>
      <c r="K10" s="303">
        <v>0</v>
      </c>
      <c r="L10" s="303">
        <v>0.37</v>
      </c>
      <c r="M10" s="303">
        <v>0</v>
      </c>
      <c r="N10" s="303">
        <v>0</v>
      </c>
      <c r="O10" s="303">
        <v>-0.19</v>
      </c>
      <c r="P10" s="303">
        <v>2.95</v>
      </c>
      <c r="Q10" s="303" t="s">
        <v>1162</v>
      </c>
      <c r="R10" s="303" t="s">
        <v>1163</v>
      </c>
      <c r="S10" s="303"/>
      <c r="Z10" t="s">
        <v>748</v>
      </c>
    </row>
    <row r="11" spans="1:39" ht="15.75" thickBot="1">
      <c r="A11" s="286" t="s">
        <v>1164</v>
      </c>
      <c r="B11" s="287" t="s">
        <v>1161</v>
      </c>
      <c r="C11" s="287">
        <v>0.04</v>
      </c>
      <c r="D11" s="287">
        <v>0.03</v>
      </c>
      <c r="E11" s="287">
        <v>0</v>
      </c>
      <c r="F11" s="287">
        <v>0</v>
      </c>
      <c r="G11" s="287">
        <v>0</v>
      </c>
      <c r="H11" s="287">
        <v>0</v>
      </c>
      <c r="I11" s="287">
        <v>0</v>
      </c>
      <c r="J11" s="287">
        <v>0</v>
      </c>
      <c r="K11" s="287">
        <v>0</v>
      </c>
      <c r="L11" s="287">
        <v>0.01</v>
      </c>
      <c r="M11" s="287">
        <v>0</v>
      </c>
      <c r="N11" s="287">
        <v>0</v>
      </c>
      <c r="O11" s="287">
        <v>0</v>
      </c>
      <c r="P11" s="287">
        <v>0.08</v>
      </c>
      <c r="Q11" s="287" t="s">
        <v>1165</v>
      </c>
      <c r="R11" s="287" t="s">
        <v>1139</v>
      </c>
      <c r="S11" s="288"/>
      <c r="Z11" t="s">
        <v>1142</v>
      </c>
      <c r="AA11" t="s">
        <v>1143</v>
      </c>
    </row>
    <row r="12" spans="1:39" ht="15.75" thickBot="1">
      <c r="A12" s="302" t="s">
        <v>1166</v>
      </c>
      <c r="B12" s="303" t="s">
        <v>1161</v>
      </c>
      <c r="C12" s="303">
        <v>260.83</v>
      </c>
      <c r="D12" s="303">
        <v>112.77</v>
      </c>
      <c r="E12" s="303">
        <v>10.83</v>
      </c>
      <c r="F12" s="303">
        <v>0</v>
      </c>
      <c r="G12" s="303">
        <v>0</v>
      </c>
      <c r="H12" s="303">
        <v>0</v>
      </c>
      <c r="I12" s="303">
        <v>0</v>
      </c>
      <c r="J12" s="303">
        <v>0</v>
      </c>
      <c r="K12" s="303">
        <v>0</v>
      </c>
      <c r="L12" s="303">
        <v>37.96</v>
      </c>
      <c r="M12" s="303">
        <v>0</v>
      </c>
      <c r="N12" s="303">
        <v>0.26</v>
      </c>
      <c r="O12" s="303">
        <v>-11.73</v>
      </c>
      <c r="P12" s="303">
        <v>410.92</v>
      </c>
      <c r="Q12" s="303" t="s">
        <v>1139</v>
      </c>
      <c r="R12" s="303" t="s">
        <v>1167</v>
      </c>
      <c r="S12" s="303"/>
      <c r="Z12" t="s">
        <v>1168</v>
      </c>
    </row>
    <row r="13" spans="1:39" ht="15.75" thickBot="1">
      <c r="A13" s="286" t="s">
        <v>1169</v>
      </c>
      <c r="B13" s="287" t="s">
        <v>1161</v>
      </c>
      <c r="C13" s="287">
        <v>0.02</v>
      </c>
      <c r="D13" s="287">
        <v>0</v>
      </c>
      <c r="E13" s="287">
        <v>0</v>
      </c>
      <c r="F13" s="287">
        <v>0</v>
      </c>
      <c r="G13" s="287">
        <v>0</v>
      </c>
      <c r="H13" s="287">
        <v>0</v>
      </c>
      <c r="I13" s="287">
        <v>0</v>
      </c>
      <c r="J13" s="287">
        <v>0</v>
      </c>
      <c r="K13" s="287">
        <v>0</v>
      </c>
      <c r="L13" s="287">
        <v>0</v>
      </c>
      <c r="M13" s="287">
        <v>0</v>
      </c>
      <c r="N13" s="287">
        <v>0</v>
      </c>
      <c r="O13" s="287">
        <v>0</v>
      </c>
      <c r="P13" s="287">
        <v>0.03</v>
      </c>
      <c r="Q13" s="287" t="s">
        <v>1170</v>
      </c>
      <c r="R13" s="287" t="s">
        <v>1139</v>
      </c>
      <c r="S13" s="288"/>
      <c r="Z13" s="163">
        <v>4515</v>
      </c>
      <c r="AA13">
        <v>5005</v>
      </c>
      <c r="AB13" t="s">
        <v>419</v>
      </c>
      <c r="AC13" t="s">
        <v>419</v>
      </c>
      <c r="AD13" t="s">
        <v>419</v>
      </c>
      <c r="AE13">
        <v>1850</v>
      </c>
      <c r="AF13">
        <v>816</v>
      </c>
      <c r="AG13">
        <v>16.3</v>
      </c>
      <c r="AH13">
        <v>761.6</v>
      </c>
      <c r="AI13">
        <v>435.2</v>
      </c>
      <c r="AJ13">
        <v>4.37</v>
      </c>
      <c r="AK13">
        <f>SUM(Z13:AJ13)</f>
        <v>13403.470000000001</v>
      </c>
      <c r="AL13">
        <f>AK13/1000</f>
        <v>13.40347</v>
      </c>
      <c r="AM13">
        <v>13.40347</v>
      </c>
    </row>
    <row r="15" spans="1:39">
      <c r="X15" s="336">
        <v>12.22</v>
      </c>
      <c r="Z15" s="163">
        <v>1.724</v>
      </c>
      <c r="AA15" s="163">
        <v>16.53</v>
      </c>
      <c r="AB15" s="163">
        <v>0.62580000000000002</v>
      </c>
      <c r="AC15" s="163">
        <v>0.26129999999999998</v>
      </c>
      <c r="AD15" s="163">
        <v>8.3169999999999994E-2</v>
      </c>
      <c r="AE15" s="163">
        <v>0.1363</v>
      </c>
      <c r="AF15" s="163">
        <v>0.62580000000000002</v>
      </c>
      <c r="AG15" s="163">
        <v>0.1603</v>
      </c>
      <c r="AH15">
        <v>0</v>
      </c>
      <c r="AI15" s="163">
        <v>-5.83</v>
      </c>
      <c r="AJ15" s="163">
        <v>12.59</v>
      </c>
    </row>
    <row r="16" spans="1:39">
      <c r="X16" s="336">
        <v>95.43</v>
      </c>
      <c r="Y16" s="163">
        <v>18.95</v>
      </c>
      <c r="Z16" s="163">
        <v>23.87</v>
      </c>
      <c r="AA16" s="163">
        <v>138.30000000000001</v>
      </c>
      <c r="AB16" s="163">
        <v>5.6740000000000004</v>
      </c>
      <c r="AC16" s="163">
        <v>2.5529999999999999</v>
      </c>
      <c r="AD16">
        <v>0</v>
      </c>
      <c r="AE16" s="163">
        <v>1.4530000000000001</v>
      </c>
      <c r="AF16" s="163">
        <v>5.6740000000000004</v>
      </c>
      <c r="AG16" s="163">
        <v>1.629</v>
      </c>
      <c r="AH16">
        <v>0</v>
      </c>
      <c r="AI16" s="163">
        <v>-43.03</v>
      </c>
      <c r="AJ16" s="163">
        <v>112.2</v>
      </c>
    </row>
    <row r="17" spans="1:36" ht="15.75" thickBot="1">
      <c r="A17" s="282" t="s">
        <v>1133</v>
      </c>
      <c r="B17" s="282" t="s">
        <v>11</v>
      </c>
      <c r="C17" s="282" t="s">
        <v>77</v>
      </c>
      <c r="D17" s="282" t="s">
        <v>78</v>
      </c>
      <c r="E17" s="282" t="s">
        <v>79</v>
      </c>
      <c r="F17" s="282" t="s">
        <v>80</v>
      </c>
      <c r="G17" s="282" t="s">
        <v>527</v>
      </c>
      <c r="H17" s="282" t="s">
        <v>81</v>
      </c>
      <c r="I17" s="282" t="s">
        <v>82</v>
      </c>
      <c r="J17" s="282" t="s">
        <v>528</v>
      </c>
      <c r="K17" s="282" t="s">
        <v>83</v>
      </c>
      <c r="L17" s="282" t="s">
        <v>84</v>
      </c>
      <c r="M17" s="282" t="s">
        <v>85</v>
      </c>
      <c r="N17" s="282" t="s">
        <v>86</v>
      </c>
      <c r="O17" s="282" t="s">
        <v>89</v>
      </c>
      <c r="P17" s="282" t="s">
        <v>90</v>
      </c>
      <c r="Q17" s="282" t="s">
        <v>1134</v>
      </c>
      <c r="R17" s="282" t="s">
        <v>1135</v>
      </c>
      <c r="S17" s="283"/>
      <c r="X17" s="336">
        <v>57.74</v>
      </c>
      <c r="Y17" s="163">
        <v>5.16</v>
      </c>
      <c r="Z17" s="163">
        <v>7.5</v>
      </c>
      <c r="AA17" s="163">
        <v>70.400000000000006</v>
      </c>
      <c r="AB17" s="163">
        <v>1.536</v>
      </c>
      <c r="AC17" s="163">
        <v>0.1641</v>
      </c>
      <c r="AD17">
        <v>0</v>
      </c>
      <c r="AE17" s="163">
        <v>9.3380000000000005E-2</v>
      </c>
      <c r="AF17" s="163">
        <v>1.536</v>
      </c>
      <c r="AG17" s="163">
        <v>0.1047</v>
      </c>
      <c r="AH17">
        <v>0</v>
      </c>
      <c r="AI17" s="163">
        <v>-14.9</v>
      </c>
      <c r="AJ17" s="163">
        <v>58.94</v>
      </c>
    </row>
    <row r="18" spans="1:36" ht="15.75" thickTop="1">
      <c r="A18" s="284"/>
      <c r="B18" s="284"/>
      <c r="C18" s="284"/>
      <c r="D18" s="284"/>
      <c r="E18" s="284"/>
      <c r="F18" s="284"/>
      <c r="G18" s="284"/>
      <c r="H18" s="284"/>
      <c r="I18" s="284"/>
      <c r="J18" s="284"/>
      <c r="K18" s="284"/>
      <c r="L18" s="284"/>
      <c r="M18" s="284"/>
      <c r="N18" s="284"/>
      <c r="O18" s="284"/>
      <c r="P18" s="284"/>
      <c r="Q18" s="284"/>
      <c r="R18" s="284"/>
      <c r="S18" s="285"/>
      <c r="X18" s="336">
        <v>3852</v>
      </c>
      <c r="Y18" s="163">
        <v>285</v>
      </c>
      <c r="Z18" s="163">
        <v>414.2</v>
      </c>
      <c r="AA18" s="163">
        <v>4551</v>
      </c>
      <c r="AB18" s="163">
        <v>98.15</v>
      </c>
      <c r="AC18" s="163">
        <v>29.64</v>
      </c>
      <c r="AD18">
        <v>0</v>
      </c>
      <c r="AE18" s="163">
        <v>16.87</v>
      </c>
      <c r="AF18" s="163">
        <v>98.15</v>
      </c>
      <c r="AG18" s="163">
        <v>18.91</v>
      </c>
      <c r="AH18">
        <v>0</v>
      </c>
      <c r="AI18" s="163">
        <v>-1902</v>
      </c>
      <c r="AJ18" s="163">
        <v>2911</v>
      </c>
    </row>
    <row r="19" spans="1:36" ht="15.75" thickBot="1">
      <c r="A19" s="287" t="s">
        <v>1136</v>
      </c>
      <c r="B19" s="287" t="s">
        <v>1137</v>
      </c>
      <c r="C19" s="287">
        <v>0</v>
      </c>
      <c r="D19" s="287">
        <v>0</v>
      </c>
      <c r="E19" s="287">
        <v>0</v>
      </c>
      <c r="F19" s="287">
        <v>0</v>
      </c>
      <c r="G19" s="287">
        <v>0</v>
      </c>
      <c r="H19" s="287">
        <v>0</v>
      </c>
      <c r="I19" s="287">
        <v>0</v>
      </c>
      <c r="J19" s="287">
        <v>0</v>
      </c>
      <c r="K19" s="287">
        <v>0</v>
      </c>
      <c r="L19" s="287">
        <v>0</v>
      </c>
      <c r="M19" s="287">
        <v>0</v>
      </c>
      <c r="N19" s="287">
        <v>0</v>
      </c>
      <c r="O19" s="287">
        <v>0</v>
      </c>
      <c r="P19" s="287">
        <v>0</v>
      </c>
      <c r="Q19" s="287" t="s">
        <v>1138</v>
      </c>
      <c r="R19" s="287" t="s">
        <v>1139</v>
      </c>
      <c r="S19" s="288"/>
    </row>
    <row r="20" spans="1:36" ht="15.75" thickBot="1">
      <c r="A20" s="302" t="s">
        <v>1140</v>
      </c>
      <c r="B20" s="303" t="s">
        <v>1137</v>
      </c>
      <c r="C20" s="303">
        <v>0</v>
      </c>
      <c r="D20" s="303">
        <v>0</v>
      </c>
      <c r="E20" s="303">
        <v>0</v>
      </c>
      <c r="F20" s="303">
        <v>0</v>
      </c>
      <c r="G20" s="303">
        <v>0</v>
      </c>
      <c r="H20" s="303">
        <v>0</v>
      </c>
      <c r="I20" s="303">
        <v>0</v>
      </c>
      <c r="J20" s="303">
        <v>0</v>
      </c>
      <c r="K20" s="303">
        <v>0</v>
      </c>
      <c r="L20" s="303">
        <v>0</v>
      </c>
      <c r="M20" s="303">
        <v>0</v>
      </c>
      <c r="N20" s="303">
        <v>0</v>
      </c>
      <c r="O20" s="303">
        <v>0</v>
      </c>
      <c r="P20" s="303">
        <v>0.01</v>
      </c>
      <c r="Q20" s="303" t="s">
        <v>1138</v>
      </c>
      <c r="R20" s="303" t="s">
        <v>1139</v>
      </c>
      <c r="S20" s="303"/>
    </row>
    <row r="21" spans="1:36" ht="15.75" thickBot="1">
      <c r="A21" s="286" t="s">
        <v>1144</v>
      </c>
      <c r="B21" s="287" t="s">
        <v>1145</v>
      </c>
      <c r="C21" s="287">
        <v>0</v>
      </c>
      <c r="D21" s="287">
        <v>0</v>
      </c>
      <c r="E21" s="287">
        <v>0.59</v>
      </c>
      <c r="F21" s="287">
        <v>0</v>
      </c>
      <c r="G21" s="287">
        <v>0</v>
      </c>
      <c r="H21" s="287">
        <v>0</v>
      </c>
      <c r="I21" s="287">
        <v>0</v>
      </c>
      <c r="J21" s="287">
        <v>0</v>
      </c>
      <c r="K21" s="287">
        <v>0.59</v>
      </c>
      <c r="L21" s="287">
        <v>0</v>
      </c>
      <c r="M21" s="287">
        <v>0</v>
      </c>
      <c r="N21" s="287">
        <v>0</v>
      </c>
      <c r="O21" s="287">
        <v>0</v>
      </c>
      <c r="P21" s="287">
        <v>1.18</v>
      </c>
      <c r="Q21" s="287" t="s">
        <v>1146</v>
      </c>
      <c r="R21" s="287" t="s">
        <v>1170</v>
      </c>
      <c r="S21" s="288"/>
    </row>
    <row r="22" spans="1:36" ht="15.75" thickBot="1">
      <c r="A22" s="302" t="s">
        <v>1149</v>
      </c>
      <c r="B22" s="303" t="s">
        <v>1150</v>
      </c>
      <c r="C22" s="303">
        <v>0</v>
      </c>
      <c r="D22" s="303">
        <v>0</v>
      </c>
      <c r="E22" s="303">
        <v>0</v>
      </c>
      <c r="F22" s="303">
        <v>0</v>
      </c>
      <c r="G22" s="303">
        <v>0</v>
      </c>
      <c r="H22" s="303">
        <v>0</v>
      </c>
      <c r="I22" s="303">
        <v>0</v>
      </c>
      <c r="J22" s="303">
        <v>0</v>
      </c>
      <c r="K22" s="303">
        <v>0</v>
      </c>
      <c r="L22" s="303">
        <v>0</v>
      </c>
      <c r="M22" s="303">
        <v>0</v>
      </c>
      <c r="N22" s="303">
        <v>0</v>
      </c>
      <c r="O22" s="303">
        <v>0</v>
      </c>
      <c r="P22" s="303">
        <v>0</v>
      </c>
      <c r="Q22" s="303">
        <v>30</v>
      </c>
      <c r="R22" s="303" t="s">
        <v>1139</v>
      </c>
      <c r="S22" s="303"/>
    </row>
    <row r="23" spans="1:36" ht="15.75" thickBot="1">
      <c r="A23" s="286" t="s">
        <v>1151</v>
      </c>
      <c r="B23" s="287" t="s">
        <v>1152</v>
      </c>
      <c r="C23" s="287">
        <v>0</v>
      </c>
      <c r="D23" s="287">
        <v>0</v>
      </c>
      <c r="E23" s="287">
        <v>0</v>
      </c>
      <c r="F23" s="287">
        <v>0</v>
      </c>
      <c r="G23" s="287">
        <v>0</v>
      </c>
      <c r="H23" s="287">
        <v>0</v>
      </c>
      <c r="I23" s="287">
        <v>0</v>
      </c>
      <c r="J23" s="287">
        <v>0</v>
      </c>
      <c r="K23" s="287">
        <v>0</v>
      </c>
      <c r="L23" s="287">
        <v>0</v>
      </c>
      <c r="M23" s="287">
        <v>0</v>
      </c>
      <c r="N23" s="287">
        <v>0</v>
      </c>
      <c r="O23" s="287">
        <v>0</v>
      </c>
      <c r="P23" s="287">
        <v>0</v>
      </c>
      <c r="Q23" s="287">
        <v>2</v>
      </c>
      <c r="R23" s="287" t="s">
        <v>1139</v>
      </c>
      <c r="S23" s="288"/>
    </row>
    <row r="24" spans="1:36" ht="15.75" thickBot="1">
      <c r="A24" s="302" t="s">
        <v>1153</v>
      </c>
      <c r="B24" s="303" t="s">
        <v>1154</v>
      </c>
      <c r="C24" s="303">
        <v>0</v>
      </c>
      <c r="D24" s="303">
        <v>0</v>
      </c>
      <c r="E24" s="303">
        <v>0</v>
      </c>
      <c r="F24" s="303">
        <v>0</v>
      </c>
      <c r="G24" s="303">
        <v>0</v>
      </c>
      <c r="H24" s="303">
        <v>0</v>
      </c>
      <c r="I24" s="303">
        <v>0</v>
      </c>
      <c r="J24" s="303">
        <v>0</v>
      </c>
      <c r="K24" s="303">
        <v>0</v>
      </c>
      <c r="L24" s="303">
        <v>0</v>
      </c>
      <c r="M24" s="303">
        <v>0</v>
      </c>
      <c r="N24" s="303">
        <v>0</v>
      </c>
      <c r="O24" s="303">
        <v>0</v>
      </c>
      <c r="P24" s="303">
        <v>0.01</v>
      </c>
      <c r="Q24" s="303">
        <v>4</v>
      </c>
      <c r="R24" s="303" t="s">
        <v>1167</v>
      </c>
      <c r="S24" s="303"/>
    </row>
    <row r="25" spans="1:36" ht="15.75" thickBot="1">
      <c r="A25" s="286" t="s">
        <v>1157</v>
      </c>
      <c r="B25" s="287" t="s">
        <v>1158</v>
      </c>
      <c r="C25" s="287">
        <v>0</v>
      </c>
      <c r="D25" s="287">
        <v>0</v>
      </c>
      <c r="E25" s="287">
        <v>0</v>
      </c>
      <c r="F25" s="287">
        <v>0</v>
      </c>
      <c r="G25" s="287">
        <v>0</v>
      </c>
      <c r="H25" s="287">
        <v>0</v>
      </c>
      <c r="I25" s="287">
        <v>0</v>
      </c>
      <c r="J25" s="287">
        <v>0</v>
      </c>
      <c r="K25" s="287">
        <v>0</v>
      </c>
      <c r="L25" s="287">
        <v>0</v>
      </c>
      <c r="M25" s="287">
        <v>0</v>
      </c>
      <c r="N25" s="287">
        <v>0</v>
      </c>
      <c r="O25" s="287">
        <v>0</v>
      </c>
      <c r="P25" s="287">
        <v>0</v>
      </c>
      <c r="Q25" s="287">
        <v>9</v>
      </c>
      <c r="R25" s="287" t="s">
        <v>1171</v>
      </c>
      <c r="S25" s="288"/>
    </row>
    <row r="26" spans="1:36" ht="15.75" thickBot="1">
      <c r="A26" s="302" t="s">
        <v>1160</v>
      </c>
      <c r="B26" s="303" t="s">
        <v>1161</v>
      </c>
      <c r="C26" s="303">
        <v>0</v>
      </c>
      <c r="D26" s="303">
        <v>0</v>
      </c>
      <c r="E26" s="303">
        <v>0.21</v>
      </c>
      <c r="F26" s="303">
        <v>0</v>
      </c>
      <c r="G26" s="303">
        <v>0</v>
      </c>
      <c r="H26" s="303">
        <v>0</v>
      </c>
      <c r="I26" s="303">
        <v>0</v>
      </c>
      <c r="J26" s="303">
        <v>0</v>
      </c>
      <c r="K26" s="303">
        <v>0.21</v>
      </c>
      <c r="L26" s="303">
        <v>0</v>
      </c>
      <c r="M26" s="303">
        <v>0</v>
      </c>
      <c r="N26" s="303">
        <v>0</v>
      </c>
      <c r="O26" s="303">
        <v>0</v>
      </c>
      <c r="P26" s="303">
        <v>0.43</v>
      </c>
      <c r="Q26" s="303" t="s">
        <v>1162</v>
      </c>
      <c r="R26" s="303" t="s">
        <v>1167</v>
      </c>
      <c r="S26" s="303"/>
    </row>
    <row r="27" spans="1:36" ht="15.75" thickBot="1">
      <c r="A27" s="286" t="s">
        <v>1164</v>
      </c>
      <c r="B27" s="287" t="s">
        <v>1161</v>
      </c>
      <c r="C27" s="287">
        <v>0</v>
      </c>
      <c r="D27" s="287">
        <v>0</v>
      </c>
      <c r="E27" s="287">
        <v>0</v>
      </c>
      <c r="F27" s="287">
        <v>0</v>
      </c>
      <c r="G27" s="287">
        <v>0</v>
      </c>
      <c r="H27" s="287">
        <v>0</v>
      </c>
      <c r="I27" s="287">
        <v>0</v>
      </c>
      <c r="J27" s="287">
        <v>0</v>
      </c>
      <c r="K27" s="287">
        <v>0</v>
      </c>
      <c r="L27" s="287">
        <v>0</v>
      </c>
      <c r="M27" s="287">
        <v>0</v>
      </c>
      <c r="N27" s="287">
        <v>0</v>
      </c>
      <c r="O27" s="287">
        <v>0</v>
      </c>
      <c r="P27" s="287">
        <v>0.01</v>
      </c>
      <c r="Q27" s="287" t="s">
        <v>1165</v>
      </c>
      <c r="R27" s="287" t="s">
        <v>1139</v>
      </c>
      <c r="S27" s="288"/>
    </row>
    <row r="28" spans="1:36" ht="15.75" thickBot="1">
      <c r="A28" s="302" t="s">
        <v>1166</v>
      </c>
      <c r="B28" s="303" t="s">
        <v>1161</v>
      </c>
      <c r="C28" s="303">
        <v>0</v>
      </c>
      <c r="D28" s="303">
        <v>0</v>
      </c>
      <c r="E28" s="303">
        <v>10.01</v>
      </c>
      <c r="F28" s="303">
        <v>0</v>
      </c>
      <c r="G28" s="303">
        <v>0</v>
      </c>
      <c r="H28" s="303">
        <v>0</v>
      </c>
      <c r="I28" s="303">
        <v>0</v>
      </c>
      <c r="J28" s="303">
        <v>0</v>
      </c>
      <c r="K28" s="303">
        <v>10.01</v>
      </c>
      <c r="L28" s="303">
        <v>0</v>
      </c>
      <c r="M28" s="303">
        <v>0</v>
      </c>
      <c r="N28" s="303">
        <v>0</v>
      </c>
      <c r="O28" s="303">
        <v>0</v>
      </c>
      <c r="P28" s="303">
        <v>20.02</v>
      </c>
      <c r="Q28" s="303" t="s">
        <v>1139</v>
      </c>
      <c r="R28" s="303" t="s">
        <v>1139</v>
      </c>
      <c r="S28" s="303"/>
    </row>
    <row r="29" spans="1:36" ht="15.75" thickBot="1">
      <c r="A29" s="286" t="s">
        <v>1169</v>
      </c>
      <c r="B29" s="287" t="s">
        <v>1161</v>
      </c>
      <c r="C29" s="287">
        <v>0</v>
      </c>
      <c r="D29" s="287">
        <v>0</v>
      </c>
      <c r="E29" s="287">
        <v>0</v>
      </c>
      <c r="F29" s="287">
        <v>0</v>
      </c>
      <c r="G29" s="287">
        <v>0</v>
      </c>
      <c r="H29" s="287">
        <v>0</v>
      </c>
      <c r="I29" s="287">
        <v>0</v>
      </c>
      <c r="J29" s="287">
        <v>0</v>
      </c>
      <c r="K29" s="287">
        <v>0</v>
      </c>
      <c r="L29" s="287">
        <v>0</v>
      </c>
      <c r="M29" s="287">
        <v>0</v>
      </c>
      <c r="N29" s="287">
        <v>0</v>
      </c>
      <c r="O29" s="287">
        <v>0</v>
      </c>
      <c r="P29" s="287">
        <v>0</v>
      </c>
      <c r="Q29" s="287" t="s">
        <v>1170</v>
      </c>
      <c r="R29" s="287" t="s">
        <v>1139</v>
      </c>
      <c r="S29" s="288"/>
    </row>
    <row r="31" spans="1:36">
      <c r="E31" s="211"/>
    </row>
    <row r="32" spans="1:36">
      <c r="E32" s="211">
        <v>1</v>
      </c>
      <c r="F32" t="s">
        <v>1172</v>
      </c>
      <c r="G32" t="s">
        <v>1173</v>
      </c>
      <c r="H32" t="s">
        <v>1174</v>
      </c>
      <c r="I32" t="s">
        <v>1175</v>
      </c>
      <c r="J32" t="s">
        <v>1176</v>
      </c>
      <c r="K32" s="211" t="s">
        <v>1059</v>
      </c>
      <c r="L32" t="s">
        <v>1177</v>
      </c>
      <c r="M32" s="163">
        <v>5.0899999999999997E-5</v>
      </c>
      <c r="N32" s="163">
        <v>0</v>
      </c>
      <c r="O32" s="163">
        <v>6.1199999999999997E-5</v>
      </c>
      <c r="P32" s="163">
        <v>1.4800000000000001E-5</v>
      </c>
      <c r="Q32" s="163">
        <v>7.85E-7</v>
      </c>
      <c r="R32" s="163">
        <v>0</v>
      </c>
      <c r="S32" s="163">
        <v>7.85E-7</v>
      </c>
      <c r="T32" s="163">
        <v>1.4800000000000001E-5</v>
      </c>
      <c r="U32" s="163">
        <v>0</v>
      </c>
      <c r="V32" s="163">
        <v>1.0700000000000001E-7</v>
      </c>
      <c r="W32" s="163">
        <v>-4.1499999999999999E-5</v>
      </c>
      <c r="Y32" t="s">
        <v>1178</v>
      </c>
      <c r="Z32">
        <v>34.51</v>
      </c>
    </row>
    <row r="33" spans="5:26">
      <c r="E33" s="211">
        <v>2</v>
      </c>
      <c r="F33" t="s">
        <v>1172</v>
      </c>
      <c r="G33" t="s">
        <v>1173</v>
      </c>
      <c r="H33" t="s">
        <v>1175</v>
      </c>
      <c r="I33" t="s">
        <v>1176</v>
      </c>
      <c r="J33" t="s">
        <v>1059</v>
      </c>
      <c r="K33" s="211" t="s">
        <v>1177</v>
      </c>
      <c r="L33" t="s">
        <v>1179</v>
      </c>
      <c r="M33" s="163">
        <v>0.316</v>
      </c>
      <c r="N33" s="163">
        <v>0</v>
      </c>
      <c r="O33" s="163">
        <v>0.22600000000000001</v>
      </c>
      <c r="P33" s="163">
        <v>5.8200000000000002E-2</v>
      </c>
      <c r="Q33" s="163">
        <v>1.15E-2</v>
      </c>
      <c r="R33" s="163">
        <v>0</v>
      </c>
      <c r="S33" s="163">
        <v>1.15E-2</v>
      </c>
      <c r="T33" s="163">
        <v>5.8200000000000002E-2</v>
      </c>
      <c r="U33" s="163">
        <v>0</v>
      </c>
      <c r="V33" s="163">
        <v>1.39E-3</v>
      </c>
      <c r="W33" s="163">
        <v>-5.1400000000000001E-2</v>
      </c>
      <c r="X33" t="s">
        <v>1178</v>
      </c>
      <c r="Y33">
        <v>0</v>
      </c>
    </row>
    <row r="34" spans="5:26">
      <c r="E34" s="211">
        <v>4</v>
      </c>
      <c r="F34" t="s">
        <v>1180</v>
      </c>
      <c r="G34" t="s">
        <v>1181</v>
      </c>
      <c r="H34" t="s">
        <v>1182</v>
      </c>
      <c r="I34" t="s">
        <v>1059</v>
      </c>
      <c r="J34" t="s">
        <v>1183</v>
      </c>
      <c r="K34" s="211" t="s">
        <v>1179</v>
      </c>
      <c r="M34" s="163">
        <v>642</v>
      </c>
      <c r="N34" s="163">
        <v>0</v>
      </c>
      <c r="O34" s="163">
        <v>631</v>
      </c>
      <c r="P34" s="163">
        <v>7.69</v>
      </c>
      <c r="Q34" s="163">
        <v>1.68</v>
      </c>
      <c r="R34" s="163">
        <v>0</v>
      </c>
      <c r="S34" s="163">
        <v>1.68</v>
      </c>
      <c r="T34" s="163">
        <v>7.69</v>
      </c>
      <c r="U34" s="163">
        <v>0</v>
      </c>
      <c r="V34" s="163">
        <v>9.5100000000000004E-2</v>
      </c>
      <c r="W34" s="163">
        <v>-7.48</v>
      </c>
      <c r="X34">
        <v>0.05</v>
      </c>
    </row>
    <row r="35" spans="5:26">
      <c r="E35" s="211">
        <v>5</v>
      </c>
      <c r="F35" t="s">
        <v>1184</v>
      </c>
      <c r="G35" t="s">
        <v>1185</v>
      </c>
      <c r="H35" t="s">
        <v>1186</v>
      </c>
      <c r="I35" t="s">
        <v>1187</v>
      </c>
      <c r="J35" t="s">
        <v>1059</v>
      </c>
      <c r="K35" s="211" t="s">
        <v>1188</v>
      </c>
      <c r="L35" t="s">
        <v>1179</v>
      </c>
      <c r="M35" s="163">
        <v>5.6200000000000004E-6</v>
      </c>
      <c r="N35" s="163">
        <v>0</v>
      </c>
      <c r="O35" s="163">
        <v>2.6199999999999999E-6</v>
      </c>
      <c r="P35" s="163">
        <v>1.53E-6</v>
      </c>
      <c r="Q35" s="163">
        <v>2.9200000000000002E-7</v>
      </c>
      <c r="R35" s="163">
        <v>0</v>
      </c>
      <c r="S35" s="163">
        <v>2.9200000000000002E-7</v>
      </c>
      <c r="T35" s="163">
        <v>1.53E-6</v>
      </c>
      <c r="U35" s="163">
        <v>0</v>
      </c>
      <c r="V35" s="163">
        <v>3.4300000000000003E-8</v>
      </c>
      <c r="W35" s="163">
        <v>-6.7100000000000001E-7</v>
      </c>
      <c r="X35" t="s">
        <v>1178</v>
      </c>
      <c r="Y35">
        <v>32.119999999999997</v>
      </c>
    </row>
    <row r="36" spans="5:26">
      <c r="E36" s="211">
        <v>6</v>
      </c>
      <c r="F36" t="s">
        <v>1189</v>
      </c>
      <c r="G36" t="s">
        <v>1190</v>
      </c>
      <c r="H36" t="s">
        <v>1191</v>
      </c>
      <c r="I36" t="s">
        <v>1059</v>
      </c>
      <c r="J36" t="s">
        <v>1192</v>
      </c>
      <c r="M36" s="211">
        <v>7.6899999999999998E-3</v>
      </c>
      <c r="N36" s="163">
        <v>0</v>
      </c>
      <c r="O36" s="163">
        <v>2.1900000000000001E-3</v>
      </c>
      <c r="P36" s="163">
        <v>4.8500000000000001E-3</v>
      </c>
      <c r="Q36" s="163">
        <v>5.5199999999999997E-4</v>
      </c>
      <c r="R36" s="163">
        <v>0</v>
      </c>
      <c r="S36" s="163">
        <v>5.5199999999999997E-4</v>
      </c>
      <c r="T36" s="163">
        <v>4.8500000000000001E-3</v>
      </c>
      <c r="U36" s="163">
        <v>0</v>
      </c>
      <c r="V36" s="163">
        <v>1.0399999999999999E-4</v>
      </c>
      <c r="W36" s="163">
        <v>-5.4200000000000003E-3</v>
      </c>
    </row>
    <row r="37" spans="5:26">
      <c r="E37" s="211">
        <v>7</v>
      </c>
      <c r="F37" t="s">
        <v>1193</v>
      </c>
      <c r="G37" t="s">
        <v>1194</v>
      </c>
      <c r="H37" t="s">
        <v>1059</v>
      </c>
      <c r="I37" t="s">
        <v>1195</v>
      </c>
      <c r="J37" t="s">
        <v>1179</v>
      </c>
      <c r="M37" s="211">
        <v>0.182</v>
      </c>
      <c r="N37" s="163">
        <v>0</v>
      </c>
      <c r="O37" s="163">
        <v>0.158</v>
      </c>
      <c r="P37" s="163">
        <v>2.8000000000000001E-2</v>
      </c>
      <c r="Q37" s="163">
        <v>4.9199999999999999E-3</v>
      </c>
      <c r="R37" s="163">
        <v>0</v>
      </c>
      <c r="S37" s="163">
        <v>4.9199999999999999E-3</v>
      </c>
      <c r="T37" s="163">
        <v>2.8000000000000001E-2</v>
      </c>
      <c r="U37" s="163">
        <v>0</v>
      </c>
      <c r="V37" s="163">
        <v>7.1699999999999997E-4</v>
      </c>
      <c r="W37" s="163">
        <v>-4.2900000000000001E-2</v>
      </c>
    </row>
    <row r="38" spans="5:26">
      <c r="E38" s="211">
        <v>8</v>
      </c>
      <c r="F38" t="s">
        <v>1196</v>
      </c>
      <c r="G38" t="s">
        <v>1197</v>
      </c>
      <c r="H38" t="s">
        <v>1059</v>
      </c>
      <c r="I38" t="s">
        <v>1198</v>
      </c>
      <c r="J38" t="s">
        <v>1179</v>
      </c>
      <c r="M38" s="211">
        <v>3.3500000000000002E-2</v>
      </c>
      <c r="N38" s="163">
        <v>0</v>
      </c>
      <c r="O38" s="163">
        <v>2.75E-2</v>
      </c>
      <c r="P38" s="163">
        <v>5.7099999999999998E-3</v>
      </c>
      <c r="Q38" s="163">
        <v>9.41E-4</v>
      </c>
      <c r="R38" s="163">
        <v>0</v>
      </c>
      <c r="S38" s="163">
        <v>9.41E-4</v>
      </c>
      <c r="T38" s="163">
        <v>5.7099999999999998E-3</v>
      </c>
      <c r="U38" s="163">
        <v>0</v>
      </c>
      <c r="V38" s="163">
        <v>1.36E-4</v>
      </c>
      <c r="W38" s="163">
        <v>-7.4599999999999996E-3</v>
      </c>
    </row>
    <row r="39" spans="5:26">
      <c r="E39" s="211">
        <v>9</v>
      </c>
      <c r="F39" t="s">
        <v>1199</v>
      </c>
      <c r="G39" t="s">
        <v>1200</v>
      </c>
      <c r="H39" t="s">
        <v>1201</v>
      </c>
      <c r="I39" t="s">
        <v>1059</v>
      </c>
      <c r="J39" t="s">
        <v>1202</v>
      </c>
      <c r="K39" s="211" t="s">
        <v>1179</v>
      </c>
      <c r="M39" s="163">
        <v>12.1</v>
      </c>
      <c r="N39" s="163">
        <v>0</v>
      </c>
      <c r="O39" s="163">
        <v>9.17</v>
      </c>
      <c r="P39" s="163">
        <v>2.71</v>
      </c>
      <c r="Q39" s="163">
        <v>0.41499999999999998</v>
      </c>
      <c r="R39" s="163">
        <v>0</v>
      </c>
      <c r="S39" s="163">
        <v>0.41499999999999998</v>
      </c>
      <c r="T39" s="163">
        <v>2.71</v>
      </c>
      <c r="U39" s="163">
        <v>0</v>
      </c>
      <c r="V39" s="163">
        <v>4.1300000000000003E-2</v>
      </c>
      <c r="W39" s="163">
        <v>-3.34</v>
      </c>
      <c r="X39">
        <v>0.3</v>
      </c>
    </row>
    <row r="40" spans="5:26">
      <c r="E40" s="211">
        <v>10</v>
      </c>
      <c r="F40" t="s">
        <v>1203</v>
      </c>
      <c r="G40" t="s">
        <v>1204</v>
      </c>
      <c r="H40" t="s">
        <v>1205</v>
      </c>
      <c r="I40" t="s">
        <v>1206</v>
      </c>
      <c r="J40" t="s">
        <v>1059</v>
      </c>
      <c r="K40" s="211" t="s">
        <v>1202</v>
      </c>
      <c r="L40" t="s">
        <v>1179</v>
      </c>
      <c r="M40" s="163">
        <v>0.54200000000000004</v>
      </c>
      <c r="N40" s="163">
        <v>0</v>
      </c>
      <c r="O40" s="163">
        <v>0.223</v>
      </c>
      <c r="P40" s="163">
        <v>0.17499999999999999</v>
      </c>
      <c r="Q40" s="163">
        <v>8.2199999999999999E-3</v>
      </c>
      <c r="R40" s="163">
        <v>0</v>
      </c>
      <c r="S40" s="163">
        <v>8.2199999999999999E-3</v>
      </c>
      <c r="T40" s="163">
        <v>0.17499999999999999</v>
      </c>
      <c r="U40" s="163">
        <v>0</v>
      </c>
      <c r="V40" s="163">
        <v>1E-3</v>
      </c>
      <c r="W40" s="163">
        <v>-4.7800000000000002E-2</v>
      </c>
      <c r="X40" t="s">
        <v>1178</v>
      </c>
      <c r="Y40">
        <v>1.0900000000000001</v>
      </c>
    </row>
    <row r="41" spans="5:26">
      <c r="E41" s="211">
        <v>12</v>
      </c>
      <c r="F41" t="s">
        <v>1207</v>
      </c>
      <c r="G41" t="s">
        <v>1208</v>
      </c>
      <c r="H41" t="s">
        <v>1205</v>
      </c>
      <c r="I41" t="s">
        <v>1209</v>
      </c>
      <c r="J41" t="s">
        <v>1059</v>
      </c>
      <c r="K41" s="211" t="s">
        <v>1202</v>
      </c>
      <c r="L41" t="s">
        <v>1179</v>
      </c>
      <c r="M41" s="163">
        <v>1780</v>
      </c>
      <c r="N41" s="163">
        <v>0</v>
      </c>
      <c r="O41" s="163">
        <v>1020</v>
      </c>
      <c r="P41" s="163">
        <v>457</v>
      </c>
      <c r="Q41" s="163">
        <v>27.5</v>
      </c>
      <c r="R41" s="163">
        <v>0</v>
      </c>
      <c r="S41" s="163">
        <v>27.5</v>
      </c>
      <c r="T41" s="163">
        <v>457</v>
      </c>
      <c r="U41" s="163">
        <v>0</v>
      </c>
      <c r="V41" s="163">
        <v>3.51</v>
      </c>
      <c r="W41" s="163">
        <v>-209</v>
      </c>
      <c r="X41" t="s">
        <v>1178</v>
      </c>
      <c r="Y41">
        <v>0.02</v>
      </c>
    </row>
    <row r="42" spans="5:26">
      <c r="E42" s="211">
        <v>14</v>
      </c>
      <c r="F42" t="s">
        <v>1203</v>
      </c>
      <c r="G42" t="s">
        <v>1210</v>
      </c>
      <c r="H42" t="s">
        <v>1211</v>
      </c>
      <c r="I42" t="s">
        <v>1059</v>
      </c>
      <c r="J42" t="s">
        <v>1202</v>
      </c>
      <c r="K42" s="211" t="s">
        <v>1179</v>
      </c>
      <c r="M42" s="163">
        <v>0.13400000000000001</v>
      </c>
      <c r="N42" s="163">
        <v>0</v>
      </c>
      <c r="O42" s="163">
        <v>0.11600000000000001</v>
      </c>
      <c r="P42" s="163">
        <v>1.6E-2</v>
      </c>
      <c r="Q42" s="163">
        <v>1.48E-3</v>
      </c>
      <c r="R42" s="163">
        <v>0</v>
      </c>
      <c r="S42" s="163">
        <v>1.48E-3</v>
      </c>
      <c r="T42" s="163">
        <v>1.6E-2</v>
      </c>
      <c r="U42" s="163">
        <v>0</v>
      </c>
      <c r="V42" s="163">
        <v>1.03E-4</v>
      </c>
      <c r="W42" s="163">
        <v>-1.7399999999999999E-2</v>
      </c>
      <c r="X42">
        <v>0.18</v>
      </c>
    </row>
    <row r="43" spans="5:26">
      <c r="E43" s="211">
        <v>101</v>
      </c>
      <c r="F43" t="s">
        <v>1212</v>
      </c>
      <c r="G43" t="s">
        <v>1213</v>
      </c>
      <c r="H43" t="s">
        <v>1214</v>
      </c>
      <c r="I43" t="s">
        <v>1215</v>
      </c>
      <c r="J43" t="s">
        <v>1216</v>
      </c>
      <c r="M43" s="163">
        <v>9450</v>
      </c>
      <c r="N43" s="163">
        <v>0</v>
      </c>
      <c r="O43" s="163">
        <v>9450</v>
      </c>
      <c r="P43" s="163">
        <v>2.08</v>
      </c>
      <c r="Q43" s="163">
        <v>0.186</v>
      </c>
      <c r="R43" s="163">
        <v>0</v>
      </c>
      <c r="S43" s="163">
        <v>0.186</v>
      </c>
      <c r="T43" s="163">
        <v>2.08</v>
      </c>
      <c r="U43" s="163">
        <v>0</v>
      </c>
      <c r="V43" s="163">
        <v>2.3699999999999999E-2</v>
      </c>
      <c r="W43" s="163">
        <v>-6.22</v>
      </c>
    </row>
    <row r="44" spans="5:26">
      <c r="E44" s="211">
        <v>102</v>
      </c>
      <c r="F44" t="s">
        <v>1212</v>
      </c>
      <c r="G44" t="s">
        <v>1213</v>
      </c>
      <c r="H44" t="s">
        <v>1217</v>
      </c>
      <c r="I44" t="s">
        <v>1215</v>
      </c>
      <c r="J44" t="s">
        <v>1216</v>
      </c>
      <c r="M44" s="163">
        <v>678</v>
      </c>
      <c r="N44" s="163">
        <v>0</v>
      </c>
      <c r="O44" s="163">
        <v>462</v>
      </c>
      <c r="P44" s="163">
        <v>133</v>
      </c>
      <c r="Q44" s="163">
        <v>25.6</v>
      </c>
      <c r="R44" s="163">
        <v>0</v>
      </c>
      <c r="S44" s="163">
        <v>25.6</v>
      </c>
      <c r="T44" s="163">
        <v>133</v>
      </c>
      <c r="U44" s="163">
        <v>0</v>
      </c>
      <c r="V44" s="163">
        <v>3.11</v>
      </c>
      <c r="W44" s="163">
        <v>-104</v>
      </c>
    </row>
    <row r="45" spans="5:26">
      <c r="E45" s="211">
        <v>103</v>
      </c>
      <c r="F45" t="s">
        <v>1212</v>
      </c>
      <c r="G45" t="s">
        <v>1218</v>
      </c>
      <c r="H45" t="s">
        <v>1215</v>
      </c>
      <c r="I45" t="s">
        <v>1216</v>
      </c>
      <c r="M45" s="163">
        <v>10100</v>
      </c>
      <c r="N45" s="163">
        <v>0</v>
      </c>
      <c r="O45" s="163">
        <v>9910</v>
      </c>
      <c r="P45" s="163">
        <v>135</v>
      </c>
      <c r="Q45" s="163">
        <v>25.8</v>
      </c>
      <c r="R45" s="163">
        <v>0</v>
      </c>
      <c r="S45" s="163">
        <v>25.8</v>
      </c>
      <c r="T45" s="163">
        <v>135</v>
      </c>
      <c r="U45" s="163">
        <v>0</v>
      </c>
      <c r="V45" s="163">
        <v>3.14</v>
      </c>
      <c r="W45" s="163">
        <v>-110</v>
      </c>
    </row>
    <row r="46" spans="5:26">
      <c r="E46" s="211">
        <v>104</v>
      </c>
      <c r="F46" t="s">
        <v>1219</v>
      </c>
      <c r="G46" t="s">
        <v>1204</v>
      </c>
      <c r="H46" t="s">
        <v>1205</v>
      </c>
      <c r="I46" t="s">
        <v>1220</v>
      </c>
      <c r="J46" t="s">
        <v>1221</v>
      </c>
      <c r="K46" t="s">
        <v>666</v>
      </c>
      <c r="M46" s="163">
        <v>-0.58399999999999996</v>
      </c>
      <c r="N46" s="163">
        <v>0</v>
      </c>
      <c r="O46" s="163">
        <v>1.86</v>
      </c>
      <c r="P46" s="163">
        <v>2.7E-2</v>
      </c>
      <c r="Q46" s="163">
        <v>2.4199999999999998E-3</v>
      </c>
      <c r="R46" s="163">
        <v>0</v>
      </c>
      <c r="S46" s="163">
        <v>2.4199999999999998E-3</v>
      </c>
      <c r="T46" s="163">
        <v>2.7E-2</v>
      </c>
      <c r="U46" s="163">
        <v>0</v>
      </c>
      <c r="V46" s="163">
        <v>2.8999999999999998E-3</v>
      </c>
      <c r="W46" s="163">
        <v>-2.5099999999999998</v>
      </c>
      <c r="X46">
        <v>0</v>
      </c>
    </row>
    <row r="47" spans="5:26">
      <c r="E47" s="211">
        <v>105</v>
      </c>
      <c r="F47" t="s">
        <v>1222</v>
      </c>
      <c r="G47" t="s">
        <v>1174</v>
      </c>
      <c r="H47" t="s">
        <v>1223</v>
      </c>
      <c r="I47" t="s">
        <v>1224</v>
      </c>
      <c r="J47" t="s">
        <v>1059</v>
      </c>
      <c r="M47" s="163">
        <v>44.9</v>
      </c>
      <c r="N47" s="163">
        <v>0</v>
      </c>
      <c r="O47" s="163">
        <v>5.94</v>
      </c>
      <c r="P47" s="163">
        <v>11</v>
      </c>
      <c r="Q47" s="163">
        <v>4.2900000000000001E-2</v>
      </c>
      <c r="R47" s="163">
        <v>0</v>
      </c>
      <c r="S47" s="163">
        <v>4.2900000000000001E-2</v>
      </c>
      <c r="T47" s="163">
        <v>11</v>
      </c>
      <c r="U47" s="163">
        <v>0</v>
      </c>
      <c r="V47" s="163">
        <v>18</v>
      </c>
      <c r="W47" s="163">
        <v>-1.01</v>
      </c>
    </row>
    <row r="48" spans="5:26">
      <c r="E48" s="211">
        <v>106</v>
      </c>
      <c r="F48" t="s">
        <v>1222</v>
      </c>
      <c r="G48" t="s">
        <v>1223</v>
      </c>
      <c r="H48" t="s">
        <v>1224</v>
      </c>
      <c r="I48" t="s">
        <v>1059</v>
      </c>
      <c r="M48" s="163">
        <v>4.1399999999999996E-3</v>
      </c>
      <c r="N48" s="163">
        <v>0</v>
      </c>
      <c r="O48" s="163">
        <v>2.4599999999999999E-3</v>
      </c>
      <c r="P48" s="163">
        <v>9.41E-4</v>
      </c>
      <c r="Q48" s="163">
        <v>1.7699999999999999E-4</v>
      </c>
      <c r="R48" s="163">
        <v>0</v>
      </c>
      <c r="S48" s="163">
        <v>1.7699999999999999E-4</v>
      </c>
      <c r="T48" s="163">
        <v>9.41E-4</v>
      </c>
      <c r="U48" s="163">
        <v>0</v>
      </c>
      <c r="V48" s="163">
        <v>2.1299999999999999E-5</v>
      </c>
      <c r="W48" s="163">
        <v>-5.7300000000000005E-4</v>
      </c>
      <c r="X48" s="163"/>
      <c r="Y48" s="163"/>
      <c r="Z48" s="163"/>
    </row>
    <row r="49" spans="5:27">
      <c r="E49" s="211"/>
      <c r="J49" s="163"/>
      <c r="K49" s="163"/>
      <c r="L49" s="163"/>
      <c r="M49" s="163"/>
      <c r="N49" s="163"/>
      <c r="O49" s="163"/>
      <c r="P49" s="163"/>
      <c r="Q49" s="163"/>
      <c r="R49" s="163"/>
      <c r="S49" s="163"/>
      <c r="T49" s="163"/>
      <c r="U49" s="163"/>
      <c r="V49" s="163"/>
      <c r="W49" s="163"/>
      <c r="X49" s="163"/>
      <c r="Y49" s="163"/>
      <c r="Z49" s="163"/>
    </row>
    <row r="50" spans="5:27">
      <c r="E50" s="211"/>
      <c r="I50" s="163"/>
      <c r="J50" s="163"/>
      <c r="K50" s="163"/>
      <c r="L50" s="163"/>
      <c r="M50" s="163"/>
      <c r="N50" s="163"/>
      <c r="Q50" s="163"/>
      <c r="R50" s="163"/>
      <c r="S50" s="163"/>
      <c r="T50" s="163"/>
      <c r="U50" s="163"/>
      <c r="V50" s="163"/>
      <c r="W50" s="163"/>
      <c r="X50" s="163"/>
      <c r="Y50" s="163"/>
      <c r="Z50" s="163"/>
    </row>
    <row r="51" spans="5:27">
      <c r="E51" s="211"/>
      <c r="I51" s="163"/>
      <c r="J51" s="163"/>
      <c r="K51" s="163"/>
      <c r="L51" s="163"/>
      <c r="M51" s="163"/>
      <c r="N51" s="163"/>
      <c r="P51" s="163"/>
      <c r="Q51" s="163"/>
      <c r="R51" s="163"/>
      <c r="S51" s="163"/>
      <c r="T51" s="163"/>
      <c r="U51" s="163"/>
      <c r="V51" s="163"/>
      <c r="W51" s="163"/>
      <c r="X51" s="163"/>
      <c r="Y51" s="163"/>
      <c r="Z51" s="163"/>
    </row>
    <row r="52" spans="5:27">
      <c r="E52" s="211"/>
      <c r="I52" s="163"/>
      <c r="J52" s="163"/>
      <c r="K52" s="163"/>
      <c r="L52" s="163"/>
      <c r="M52" s="163"/>
      <c r="Q52" s="163"/>
      <c r="R52" s="163"/>
      <c r="S52" s="163"/>
      <c r="T52" s="163"/>
      <c r="U52" s="163"/>
      <c r="V52" s="163"/>
      <c r="W52" s="163"/>
      <c r="X52" s="163"/>
      <c r="Y52" s="163"/>
      <c r="Z52" s="163"/>
    </row>
    <row r="53" spans="5:27">
      <c r="E53" s="211"/>
      <c r="I53" s="163"/>
      <c r="J53" s="163"/>
      <c r="K53" s="163"/>
      <c r="L53" s="163"/>
      <c r="M53" s="163"/>
      <c r="Q53" s="163"/>
      <c r="R53" s="163"/>
      <c r="S53" s="163"/>
      <c r="T53" s="163"/>
      <c r="U53" s="163"/>
      <c r="V53" s="163"/>
      <c r="W53" s="163"/>
      <c r="X53" s="163"/>
      <c r="Y53" s="163"/>
      <c r="Z53" s="163"/>
    </row>
    <row r="54" spans="5:27">
      <c r="I54" s="163"/>
      <c r="J54" s="163"/>
      <c r="K54" s="163"/>
      <c r="L54" s="163"/>
      <c r="M54" s="163"/>
      <c r="N54" s="163"/>
      <c r="O54" s="163"/>
      <c r="P54" s="163"/>
      <c r="Q54" s="163"/>
      <c r="R54" s="163"/>
      <c r="S54" s="163"/>
      <c r="T54" s="163"/>
      <c r="V54" s="163"/>
      <c r="W54" s="163"/>
      <c r="X54" s="163"/>
      <c r="Y54" s="163"/>
      <c r="Z54" s="163"/>
    </row>
    <row r="55" spans="5:27">
      <c r="E55" s="211"/>
      <c r="I55" s="163"/>
      <c r="J55" s="163"/>
      <c r="K55" s="163"/>
      <c r="L55" s="163"/>
      <c r="M55" s="163"/>
      <c r="N55" s="163"/>
      <c r="O55" s="163"/>
      <c r="P55" s="163"/>
      <c r="Q55" s="163"/>
      <c r="R55" s="163"/>
      <c r="S55" s="163"/>
      <c r="T55" s="163"/>
      <c r="X55" s="163"/>
      <c r="Y55" s="163"/>
      <c r="Z55" s="163"/>
    </row>
    <row r="56" spans="5:27">
      <c r="E56" s="211"/>
      <c r="G56" s="163"/>
      <c r="I56" s="163"/>
      <c r="J56" s="163"/>
      <c r="K56" s="163"/>
      <c r="L56" s="163"/>
      <c r="M56" s="163"/>
      <c r="N56" s="163"/>
      <c r="O56" s="163"/>
      <c r="P56" s="163"/>
      <c r="Q56" s="163"/>
      <c r="R56" s="163"/>
      <c r="S56" s="163"/>
      <c r="T56" s="163"/>
      <c r="X56" s="163"/>
      <c r="Y56" s="163"/>
      <c r="Z56" s="163"/>
    </row>
    <row r="57" spans="5:27">
      <c r="E57" s="211"/>
      <c r="G57" s="163"/>
      <c r="I57" s="163"/>
      <c r="J57" s="163"/>
      <c r="K57" s="163"/>
      <c r="L57" s="163"/>
      <c r="M57" s="163"/>
      <c r="N57" s="163"/>
      <c r="O57" s="163"/>
      <c r="P57" s="163"/>
      <c r="Q57" s="163"/>
      <c r="R57" s="163"/>
      <c r="S57" s="163"/>
      <c r="T57" s="163"/>
      <c r="W57" s="163"/>
      <c r="X57" s="163"/>
      <c r="Y57" s="163"/>
      <c r="Z57" s="163"/>
    </row>
    <row r="58" spans="5:27">
      <c r="E58" s="211"/>
      <c r="H58" s="163"/>
      <c r="I58" s="163"/>
      <c r="J58" s="163"/>
      <c r="K58" s="163"/>
      <c r="L58" s="163"/>
      <c r="M58" s="163"/>
      <c r="N58" s="163"/>
      <c r="O58" s="163"/>
      <c r="P58" s="163"/>
      <c r="Q58" s="163"/>
      <c r="R58" s="163"/>
      <c r="S58" s="163"/>
      <c r="T58" s="163"/>
    </row>
    <row r="59" spans="5:27">
      <c r="I59" s="163"/>
      <c r="J59" s="163"/>
      <c r="K59" s="163"/>
      <c r="L59" s="163"/>
      <c r="M59" s="163"/>
      <c r="N59" s="163"/>
      <c r="O59" s="163"/>
      <c r="P59" s="163"/>
      <c r="Q59" s="163"/>
      <c r="R59" s="163"/>
      <c r="S59" s="163"/>
      <c r="T59" s="163"/>
      <c r="U59" s="163"/>
      <c r="V59" s="163"/>
    </row>
    <row r="60" spans="5:27">
      <c r="I60" s="163"/>
      <c r="J60" s="163"/>
      <c r="K60" s="163"/>
      <c r="L60" s="163"/>
      <c r="M60" s="163"/>
      <c r="N60" s="163"/>
      <c r="O60" s="163"/>
      <c r="P60" s="163"/>
      <c r="Q60" s="163"/>
      <c r="R60" s="163"/>
      <c r="S60" s="163"/>
      <c r="T60" s="163"/>
      <c r="U60" s="163"/>
      <c r="V60" s="163"/>
    </row>
    <row r="61" spans="5:27">
      <c r="I61" s="163"/>
      <c r="J61" s="163"/>
      <c r="K61" s="163"/>
      <c r="L61" s="163"/>
      <c r="M61" s="163"/>
      <c r="N61" s="163"/>
      <c r="O61" s="163"/>
      <c r="P61" s="163"/>
      <c r="Q61" s="163"/>
      <c r="R61" s="163"/>
      <c r="S61" s="163"/>
      <c r="T61" s="163"/>
      <c r="U61" s="163"/>
      <c r="V61" s="163"/>
    </row>
    <row r="62" spans="5:27">
      <c r="G62" s="163"/>
      <c r="I62" s="163"/>
      <c r="J62" s="163"/>
      <c r="K62" s="163"/>
      <c r="L62" s="163"/>
      <c r="M62" s="163"/>
      <c r="N62" s="163"/>
      <c r="O62" s="163"/>
      <c r="P62" s="163"/>
      <c r="Q62" s="163"/>
      <c r="R62" s="163"/>
      <c r="S62" s="163"/>
      <c r="T62" s="163"/>
      <c r="V62" s="163"/>
      <c r="W62" s="163"/>
      <c r="X62" s="163"/>
      <c r="Y62" s="163"/>
      <c r="Z62" s="163"/>
    </row>
    <row r="63" spans="5:27">
      <c r="G63" s="163"/>
      <c r="H63" s="163"/>
      <c r="I63" s="163"/>
      <c r="J63" s="163"/>
      <c r="K63" s="163"/>
      <c r="L63" s="163"/>
      <c r="M63" s="163"/>
      <c r="N63" s="163"/>
      <c r="O63" s="163"/>
      <c r="P63" s="163"/>
      <c r="Q63" s="163"/>
      <c r="R63" s="163"/>
      <c r="S63" s="163"/>
      <c r="T63" s="163"/>
      <c r="W63" s="163"/>
      <c r="X63" s="163"/>
      <c r="Y63" s="163"/>
      <c r="Z63" s="163"/>
      <c r="AA63" s="163"/>
    </row>
    <row r="64" spans="5:27">
      <c r="G64" s="163"/>
      <c r="I64" s="163"/>
      <c r="J64" s="163"/>
      <c r="K64" s="163"/>
      <c r="L64" s="163"/>
      <c r="M64" s="163"/>
      <c r="N64" s="163"/>
      <c r="O64" s="163"/>
      <c r="P64" s="163"/>
      <c r="Q64" s="163"/>
      <c r="R64" s="163"/>
      <c r="S64" s="163"/>
      <c r="T64" s="163"/>
    </row>
    <row r="65" spans="7:24">
      <c r="G65" s="163"/>
      <c r="I65" s="163"/>
      <c r="J65" s="163"/>
      <c r="K65" s="163"/>
      <c r="L65" s="163"/>
      <c r="M65" s="163"/>
      <c r="N65" s="163"/>
      <c r="O65" s="163"/>
      <c r="P65" s="163"/>
      <c r="Q65" s="163"/>
      <c r="R65" s="163"/>
      <c r="S65" s="163"/>
      <c r="T65" s="163"/>
      <c r="V65" s="163"/>
    </row>
    <row r="66" spans="7:24">
      <c r="G66" s="163"/>
      <c r="H66" s="163"/>
      <c r="I66" s="163"/>
      <c r="K66" s="163"/>
      <c r="L66" s="163"/>
      <c r="M66" s="163"/>
      <c r="N66" s="163"/>
      <c r="O66" s="163"/>
      <c r="P66" s="163"/>
      <c r="Q66" s="163"/>
      <c r="R66" s="163"/>
      <c r="S66" s="163"/>
      <c r="T66" s="163"/>
      <c r="U66" s="163"/>
      <c r="V66" s="163"/>
    </row>
    <row r="67" spans="7:24">
      <c r="G67" s="163"/>
      <c r="H67" s="163"/>
      <c r="I67" s="163"/>
      <c r="J67" s="163"/>
      <c r="K67" s="163"/>
      <c r="L67" s="163"/>
      <c r="M67" s="163"/>
      <c r="N67" s="163"/>
      <c r="O67" s="163"/>
      <c r="P67" s="163"/>
      <c r="T67" s="163"/>
      <c r="U67" s="163"/>
      <c r="V67" s="163"/>
    </row>
    <row r="68" spans="7:24">
      <c r="G68" s="163"/>
      <c r="H68" s="163"/>
      <c r="I68" s="163"/>
      <c r="J68" s="163"/>
      <c r="K68" s="163"/>
      <c r="L68" s="163"/>
      <c r="M68" s="163"/>
      <c r="N68" s="163"/>
      <c r="O68" s="163"/>
      <c r="P68" s="163"/>
      <c r="T68" s="163"/>
      <c r="V68" s="163"/>
      <c r="W68" s="163"/>
      <c r="X68" s="163"/>
    </row>
    <row r="69" spans="7:24">
      <c r="G69" s="163"/>
      <c r="H69" s="163"/>
      <c r="I69" s="163"/>
      <c r="J69" s="163"/>
      <c r="K69" s="163"/>
      <c r="L69" s="163"/>
      <c r="M69" s="163"/>
      <c r="N69" s="163"/>
      <c r="O69" s="163"/>
      <c r="P69" s="163"/>
      <c r="T69" s="163"/>
      <c r="U69" s="163"/>
      <c r="V69" s="163"/>
      <c r="X69" s="163"/>
    </row>
    <row r="70" spans="7:24">
      <c r="G70" s="163"/>
      <c r="H70" s="163"/>
      <c r="I70" s="163"/>
      <c r="J70" s="163"/>
      <c r="K70" s="163"/>
      <c r="L70" s="163"/>
      <c r="M70" s="163"/>
      <c r="N70" s="163"/>
      <c r="O70" s="163"/>
      <c r="P70" s="163"/>
      <c r="T70" s="163"/>
      <c r="U70" s="163"/>
      <c r="V70" s="163"/>
      <c r="W70" s="163"/>
    </row>
    <row r="71" spans="7:24">
      <c r="G71" s="163"/>
      <c r="H71" s="163"/>
      <c r="I71" s="163"/>
      <c r="J71" s="163"/>
      <c r="K71" s="163"/>
      <c r="L71" s="163"/>
      <c r="M71" s="163"/>
      <c r="N71" s="163"/>
      <c r="O71" s="163"/>
      <c r="P71" s="163"/>
      <c r="T71" s="163"/>
      <c r="U71" s="163"/>
      <c r="V71" s="163"/>
      <c r="W71" s="163"/>
      <c r="X71" s="163"/>
    </row>
    <row r="72" spans="7:24">
      <c r="G72" s="163"/>
      <c r="H72" s="163"/>
      <c r="I72" s="163"/>
      <c r="J72" s="163"/>
      <c r="K72" s="163"/>
      <c r="L72" s="163"/>
      <c r="M72" s="163"/>
      <c r="N72" s="163"/>
      <c r="O72" s="163"/>
      <c r="P72" s="163"/>
      <c r="T72" s="163"/>
      <c r="U72" s="163"/>
      <c r="V72" s="163"/>
      <c r="W72" s="163"/>
      <c r="X72" s="163"/>
    </row>
    <row r="73" spans="7:24">
      <c r="G73" s="163"/>
      <c r="H73" s="163"/>
      <c r="I73" s="163"/>
      <c r="J73" s="163"/>
      <c r="K73" s="163"/>
      <c r="L73" s="163"/>
      <c r="M73" s="163"/>
      <c r="N73" s="163"/>
      <c r="O73" s="163"/>
      <c r="P73" s="163"/>
      <c r="T73" s="163"/>
      <c r="U73" s="163"/>
      <c r="V73" s="163"/>
      <c r="W73" s="163"/>
      <c r="X73" s="163"/>
    </row>
    <row r="74" spans="7:24">
      <c r="G74" s="163"/>
      <c r="H74" s="163"/>
      <c r="I74" s="163"/>
      <c r="J74" s="163"/>
      <c r="K74" s="163"/>
      <c r="L74" s="163"/>
      <c r="M74" s="163"/>
      <c r="N74" s="163"/>
      <c r="O74" s="163"/>
      <c r="P74" s="163"/>
    </row>
    <row r="75" spans="7:24">
      <c r="G75" s="163"/>
      <c r="H75" s="163"/>
      <c r="I75" s="163"/>
      <c r="J75" s="163"/>
      <c r="K75" s="163"/>
      <c r="L75" s="163"/>
      <c r="M75" s="163"/>
      <c r="N75" s="163"/>
      <c r="O75" s="163"/>
      <c r="P75" s="163"/>
    </row>
    <row r="76" spans="7:24">
      <c r="G76" s="163"/>
      <c r="H76" s="163"/>
      <c r="I76" s="163"/>
      <c r="J76" s="163"/>
      <c r="K76" s="163"/>
      <c r="L76" s="163"/>
      <c r="M76" s="163"/>
      <c r="N76" s="163"/>
      <c r="O76" s="163"/>
      <c r="P76" s="163"/>
    </row>
    <row r="77" spans="7:24">
      <c r="G77" s="163"/>
      <c r="H77" s="163"/>
      <c r="I77" s="163"/>
      <c r="J77" s="163"/>
      <c r="K77" s="163"/>
      <c r="L77" s="163"/>
      <c r="M77" s="163"/>
      <c r="N77" s="163"/>
      <c r="O77" s="163"/>
      <c r="P77" s="163"/>
    </row>
    <row r="78" spans="7:24">
      <c r="G78" s="163"/>
      <c r="H78" s="163"/>
      <c r="I78" s="163"/>
      <c r="J78" s="163"/>
      <c r="K78" s="163"/>
      <c r="L78" s="163"/>
      <c r="M78" s="163"/>
      <c r="N78" s="163"/>
      <c r="O78" s="163"/>
      <c r="P78" s="163"/>
    </row>
    <row r="79" spans="7:24">
      <c r="G79" s="163"/>
      <c r="H79" s="163"/>
      <c r="I79" s="163"/>
      <c r="J79" s="163"/>
      <c r="K79" s="163"/>
      <c r="L79" s="163"/>
      <c r="M79" s="163"/>
      <c r="N79" s="163"/>
      <c r="O79" s="163"/>
      <c r="P79" s="163"/>
    </row>
    <row r="80" spans="7:24">
      <c r="G80" s="163"/>
      <c r="H80" s="163"/>
      <c r="I80" s="163"/>
      <c r="J80" s="163"/>
      <c r="K80" s="163"/>
      <c r="L80" s="163"/>
      <c r="M80" s="163"/>
      <c r="N80" s="163"/>
      <c r="O80" s="163"/>
      <c r="P80" s="163"/>
    </row>
    <row r="81" spans="7:16">
      <c r="G81" s="163"/>
      <c r="H81" s="163"/>
      <c r="I81" s="163"/>
      <c r="J81" s="163"/>
      <c r="K81" s="163"/>
      <c r="L81" s="163"/>
      <c r="M81" s="163"/>
      <c r="N81" s="163"/>
      <c r="O81" s="163"/>
      <c r="P81" s="163"/>
    </row>
    <row r="82" spans="7:16">
      <c r="G82" s="163"/>
      <c r="H82" s="163"/>
      <c r="I82" s="163"/>
      <c r="J82" s="163"/>
      <c r="K82" s="163"/>
      <c r="L82" s="163"/>
      <c r="M82" s="163"/>
      <c r="N82" s="163"/>
      <c r="O82" s="163"/>
      <c r="P82" s="163"/>
    </row>
    <row r="83" spans="7:16">
      <c r="G83" s="163"/>
      <c r="H83" s="163"/>
      <c r="I83" s="163"/>
      <c r="J83" s="163"/>
      <c r="K83" s="163"/>
      <c r="L83" s="163"/>
      <c r="M83" s="163"/>
      <c r="N83" s="163"/>
      <c r="O83" s="163"/>
      <c r="P83" s="163"/>
    </row>
    <row r="84" spans="7:16">
      <c r="G84" s="163"/>
      <c r="H84" s="163"/>
      <c r="I84" s="163"/>
      <c r="J84" s="163"/>
      <c r="K84" s="163"/>
      <c r="L84" s="163"/>
      <c r="M84" s="163"/>
      <c r="N84" s="163"/>
      <c r="O84" s="163"/>
      <c r="P84" s="163"/>
    </row>
    <row r="85" spans="7:16">
      <c r="G85" s="163"/>
      <c r="H85" s="163"/>
      <c r="I85" s="163"/>
      <c r="J85" s="163"/>
      <c r="K85" s="163"/>
      <c r="L85" s="163"/>
      <c r="M85" s="163"/>
      <c r="N85" s="163"/>
      <c r="O85" s="163"/>
      <c r="P85" s="163"/>
    </row>
    <row r="86" spans="7:16">
      <c r="G86" s="163"/>
      <c r="H86" s="163"/>
      <c r="I86" s="163"/>
      <c r="J86" s="163"/>
      <c r="K86" s="163"/>
      <c r="L86" s="163"/>
      <c r="M86" s="163"/>
      <c r="N86" s="163"/>
      <c r="O86" s="163"/>
      <c r="P86" s="163"/>
    </row>
    <row r="87" spans="7:16">
      <c r="G87" s="163"/>
      <c r="H87" s="163"/>
      <c r="I87" s="163"/>
      <c r="J87" s="163"/>
      <c r="K87" s="163"/>
      <c r="L87" s="163"/>
      <c r="M87" s="163"/>
      <c r="N87" s="163"/>
      <c r="O87" s="163"/>
      <c r="P87" s="163"/>
    </row>
    <row r="88" spans="7:16">
      <c r="G88" s="163"/>
      <c r="H88" s="163"/>
      <c r="I88" s="163"/>
      <c r="J88" s="163"/>
      <c r="K88" s="163"/>
      <c r="L88" s="163"/>
      <c r="M88" s="163"/>
      <c r="N88" s="163"/>
      <c r="O88" s="163"/>
      <c r="P88" s="163"/>
    </row>
    <row r="89" spans="7:16">
      <c r="G89" s="163"/>
      <c r="H89" s="163"/>
      <c r="I89" s="163"/>
      <c r="J89" s="163"/>
      <c r="K89" s="163"/>
      <c r="L89" s="163"/>
      <c r="M89" s="163"/>
      <c r="N89" s="163"/>
      <c r="O89" s="163"/>
      <c r="P89" s="163"/>
    </row>
    <row r="90" spans="7:16">
      <c r="G90" s="163"/>
      <c r="H90" s="163"/>
      <c r="I90" s="163"/>
      <c r="J90" s="163"/>
      <c r="K90" s="163"/>
      <c r="L90" s="163"/>
      <c r="M90" s="163"/>
      <c r="N90" s="163"/>
      <c r="O90" s="163"/>
      <c r="P90" s="163"/>
    </row>
    <row r="91" spans="7:16">
      <c r="G91" s="163"/>
      <c r="H91" s="163"/>
      <c r="I91" s="163"/>
      <c r="J91" s="163"/>
      <c r="K91" s="163"/>
      <c r="L91" s="163"/>
      <c r="M91" s="163"/>
      <c r="N91" s="163"/>
      <c r="O91" s="163"/>
      <c r="P91" s="163"/>
    </row>
    <row r="92" spans="7:16">
      <c r="G92" s="163"/>
      <c r="H92" s="163"/>
      <c r="I92" s="163"/>
      <c r="J92" s="163"/>
      <c r="K92" s="163"/>
      <c r="L92" s="163"/>
      <c r="M92" s="163"/>
      <c r="N92" s="163"/>
      <c r="O92" s="163"/>
      <c r="P92" s="163"/>
    </row>
    <row r="93" spans="7:16">
      <c r="G93" s="163"/>
      <c r="H93" s="163"/>
      <c r="I93" s="163"/>
      <c r="J93" s="163"/>
      <c r="K93" s="163"/>
      <c r="L93" s="163"/>
      <c r="M93" s="163"/>
      <c r="N93" s="163"/>
      <c r="O93" s="163"/>
      <c r="P93" s="163"/>
    </row>
    <row r="94" spans="7:16">
      <c r="G94" s="163"/>
      <c r="H94" s="163"/>
      <c r="I94" s="163"/>
      <c r="J94" s="163"/>
      <c r="K94" s="163"/>
      <c r="L94" s="163"/>
      <c r="M94" s="163"/>
      <c r="N94" s="163"/>
      <c r="O94" s="163"/>
      <c r="P94" s="163"/>
    </row>
    <row r="95" spans="7:16">
      <c r="G95" s="163"/>
      <c r="H95" s="163"/>
      <c r="I95" s="163"/>
      <c r="J95" s="163"/>
      <c r="K95" s="163"/>
      <c r="L95" s="163"/>
      <c r="M95" s="163"/>
      <c r="N95" s="163"/>
      <c r="O95" s="163"/>
      <c r="P95" s="163"/>
    </row>
    <row r="96" spans="7:16">
      <c r="G96" s="163"/>
      <c r="H96" s="163"/>
      <c r="I96" s="163"/>
      <c r="J96" s="163"/>
      <c r="K96" s="163"/>
      <c r="L96" s="163"/>
      <c r="M96" s="163"/>
      <c r="N96" s="163"/>
      <c r="O96" s="163"/>
      <c r="P96" s="163"/>
    </row>
    <row r="97" spans="7:21">
      <c r="G97" s="163"/>
      <c r="H97" s="163"/>
      <c r="I97" s="163"/>
      <c r="J97" s="163"/>
      <c r="K97" s="163"/>
      <c r="L97" s="163"/>
      <c r="M97" s="163"/>
      <c r="N97" s="163"/>
      <c r="O97" s="163"/>
      <c r="P97" s="163"/>
    </row>
    <row r="98" spans="7:21">
      <c r="G98" s="163"/>
      <c r="H98" s="163"/>
      <c r="I98" s="163"/>
      <c r="J98" s="163"/>
      <c r="K98" s="163"/>
      <c r="L98" s="163"/>
      <c r="M98" s="163"/>
      <c r="N98" s="163"/>
      <c r="O98" s="163"/>
      <c r="P98" s="163"/>
    </row>
    <row r="99" spans="7:21">
      <c r="G99" s="163"/>
      <c r="H99" s="163"/>
      <c r="I99" s="163"/>
      <c r="J99" s="163"/>
      <c r="K99" s="163"/>
      <c r="L99" s="163"/>
      <c r="M99" s="163"/>
      <c r="N99" s="163"/>
      <c r="O99" s="163"/>
      <c r="P99" s="163"/>
    </row>
    <row r="100" spans="7:21">
      <c r="G100" s="163"/>
      <c r="H100" s="163"/>
      <c r="I100" s="163"/>
      <c r="J100" s="163"/>
      <c r="K100" s="163"/>
      <c r="L100" s="163"/>
      <c r="M100" s="163"/>
      <c r="N100" s="211"/>
      <c r="O100" s="163"/>
      <c r="P100" s="211"/>
      <c r="T100" s="304"/>
    </row>
    <row r="101" spans="7:21">
      <c r="G101" s="163"/>
      <c r="H101" s="163"/>
      <c r="I101" s="163"/>
      <c r="J101" s="163"/>
      <c r="K101" s="307"/>
      <c r="L101" s="163"/>
      <c r="M101" s="163"/>
      <c r="N101" s="163"/>
      <c r="O101" s="163"/>
      <c r="P101" s="163"/>
    </row>
    <row r="102" spans="7:21">
      <c r="G102" s="163"/>
      <c r="H102" s="163"/>
      <c r="I102" s="163"/>
      <c r="J102" s="163"/>
      <c r="K102" s="163"/>
      <c r="L102" s="211"/>
      <c r="M102" s="163"/>
      <c r="N102" s="307"/>
      <c r="O102" s="163"/>
      <c r="P102" s="163"/>
    </row>
    <row r="103" spans="7:21">
      <c r="G103" s="163"/>
      <c r="H103" s="163"/>
      <c r="I103" s="163"/>
      <c r="J103" s="163"/>
      <c r="K103" s="163"/>
      <c r="L103" s="163"/>
      <c r="M103" s="211"/>
      <c r="N103" s="163"/>
      <c r="O103" s="211"/>
      <c r="P103" s="163"/>
    </row>
    <row r="104" spans="7:21">
      <c r="G104" s="163"/>
      <c r="H104" s="163"/>
      <c r="I104" s="163"/>
      <c r="J104" s="163"/>
      <c r="K104" s="163"/>
      <c r="L104" s="211"/>
      <c r="M104" s="163"/>
      <c r="N104" s="211"/>
      <c r="O104" s="163"/>
      <c r="P104" s="163"/>
    </row>
    <row r="105" spans="7:21">
      <c r="G105" s="163"/>
      <c r="H105" s="163"/>
      <c r="I105" s="163"/>
      <c r="J105" s="163"/>
      <c r="K105" s="163"/>
      <c r="L105" s="163"/>
      <c r="M105" s="163"/>
      <c r="N105" s="163"/>
      <c r="O105" s="163"/>
      <c r="P105" s="163"/>
      <c r="T105" s="163"/>
      <c r="U105" s="211"/>
    </row>
    <row r="106" spans="7:21">
      <c r="G106" s="163"/>
      <c r="H106" s="163"/>
      <c r="I106" s="163"/>
      <c r="J106" s="163"/>
      <c r="K106" s="163"/>
      <c r="L106" s="163"/>
      <c r="M106" s="163"/>
      <c r="N106" s="163"/>
      <c r="O106" s="163"/>
      <c r="P106" s="163"/>
      <c r="T106" s="163"/>
      <c r="U106" s="211"/>
    </row>
    <row r="107" spans="7:21">
      <c r="G107" s="163"/>
      <c r="H107" s="163"/>
      <c r="I107" s="163"/>
      <c r="J107" s="163"/>
      <c r="K107" s="163"/>
      <c r="L107" s="163"/>
      <c r="M107" s="163"/>
      <c r="N107" s="163"/>
      <c r="O107" s="163"/>
      <c r="P107" s="163"/>
      <c r="T107" s="163"/>
      <c r="U107" s="211"/>
    </row>
    <row r="108" spans="7:21">
      <c r="G108" s="163"/>
      <c r="H108" s="163"/>
      <c r="I108" s="163"/>
      <c r="J108" s="163"/>
      <c r="K108" s="163"/>
      <c r="L108" s="163"/>
      <c r="M108" s="163"/>
      <c r="N108" s="163"/>
      <c r="O108" s="211"/>
      <c r="P108" s="163"/>
      <c r="U108" s="163"/>
    </row>
    <row r="109" spans="7:21">
      <c r="G109" s="163"/>
      <c r="H109" s="163"/>
      <c r="I109" s="163"/>
      <c r="J109" s="163"/>
      <c r="K109" s="211"/>
      <c r="L109" s="163"/>
      <c r="M109" s="163"/>
      <c r="N109" s="163"/>
      <c r="O109" s="163"/>
      <c r="P109" s="163"/>
    </row>
    <row r="110" spans="7:21">
      <c r="G110" s="163"/>
      <c r="H110" s="163"/>
      <c r="I110" s="163"/>
      <c r="J110" s="163"/>
      <c r="K110" s="211"/>
      <c r="L110" s="163"/>
      <c r="M110" s="163"/>
      <c r="N110" s="163"/>
      <c r="O110" s="163"/>
      <c r="P110" s="163"/>
    </row>
    <row r="111" spans="7:21">
      <c r="G111" s="163"/>
      <c r="H111" s="163"/>
      <c r="I111" s="163"/>
      <c r="J111" s="163"/>
      <c r="K111" s="163"/>
      <c r="L111" s="163"/>
      <c r="M111" s="211"/>
      <c r="N111" s="163"/>
      <c r="O111" s="163"/>
      <c r="P111" s="163"/>
      <c r="U111" s="163"/>
    </row>
    <row r="112" spans="7:21">
      <c r="G112" s="163"/>
      <c r="H112" s="163"/>
      <c r="I112" s="163"/>
      <c r="J112" s="163"/>
      <c r="K112" s="163"/>
      <c r="L112" s="163"/>
      <c r="M112" s="163"/>
      <c r="N112" s="163"/>
      <c r="O112" s="211"/>
      <c r="P112" s="163"/>
      <c r="T112" s="163"/>
      <c r="U112" s="163"/>
    </row>
    <row r="113" spans="6:40">
      <c r="G113" s="163"/>
      <c r="H113" s="163"/>
      <c r="I113" s="163"/>
      <c r="J113" s="163"/>
      <c r="K113" s="163"/>
      <c r="L113" s="163"/>
      <c r="M113" s="163"/>
      <c r="N113" s="211"/>
      <c r="Z113" t="s">
        <v>1225</v>
      </c>
    </row>
    <row r="114" spans="6:40">
      <c r="G114" s="163"/>
      <c r="H114" s="163"/>
      <c r="I114" s="163"/>
      <c r="J114" s="163"/>
      <c r="K114" s="163"/>
      <c r="L114" s="163"/>
      <c r="M114" s="163"/>
      <c r="N114" s="163"/>
      <c r="O114" t="s">
        <v>90</v>
      </c>
      <c r="P114" s="163" t="s">
        <v>1226</v>
      </c>
      <c r="Q114" s="163" t="s">
        <v>78</v>
      </c>
      <c r="R114" t="s">
        <v>79</v>
      </c>
      <c r="S114" t="s">
        <v>1227</v>
      </c>
      <c r="T114" t="s">
        <v>83</v>
      </c>
      <c r="U114" t="s">
        <v>84</v>
      </c>
      <c r="V114" t="s">
        <v>85</v>
      </c>
      <c r="W114" t="s">
        <v>86</v>
      </c>
      <c r="X114" t="s">
        <v>89</v>
      </c>
      <c r="AD114" t="s">
        <v>90</v>
      </c>
      <c r="AE114" s="163" t="s">
        <v>1226</v>
      </c>
      <c r="AF114" s="163" t="s">
        <v>78</v>
      </c>
      <c r="AG114" t="s">
        <v>79</v>
      </c>
      <c r="AH114" t="s">
        <v>1227</v>
      </c>
      <c r="AI114" t="s">
        <v>83</v>
      </c>
      <c r="AJ114" t="s">
        <v>84</v>
      </c>
      <c r="AK114" t="s">
        <v>85</v>
      </c>
      <c r="AL114" t="s">
        <v>86</v>
      </c>
      <c r="AM114" t="s">
        <v>89</v>
      </c>
    </row>
    <row r="115" spans="6:40">
      <c r="F115">
        <v>1</v>
      </c>
      <c r="G115" s="163" t="s">
        <v>1172</v>
      </c>
      <c r="H115" s="163" t="s">
        <v>1173</v>
      </c>
      <c r="I115" s="163" t="s">
        <v>1174</v>
      </c>
      <c r="J115" s="163" t="s">
        <v>1175</v>
      </c>
      <c r="K115" s="163" t="s">
        <v>1176</v>
      </c>
      <c r="L115" s="163" t="s">
        <v>1059</v>
      </c>
      <c r="M115" s="163" t="s">
        <v>1177</v>
      </c>
      <c r="N115" s="163" t="s">
        <v>1179</v>
      </c>
      <c r="O115" s="163">
        <v>3.8600000000000003E-6</v>
      </c>
      <c r="P115" s="163">
        <v>1.55E-6</v>
      </c>
      <c r="Q115" s="163">
        <v>4.14E-8</v>
      </c>
      <c r="R115" s="163">
        <v>2.1799999999999999E-6</v>
      </c>
      <c r="S115" s="163">
        <v>0</v>
      </c>
      <c r="T115" s="163">
        <v>6.4900000000000005E-8</v>
      </c>
      <c r="U115" s="163">
        <v>1.38E-9</v>
      </c>
      <c r="V115" s="163">
        <v>3.7499999999999998E-8</v>
      </c>
      <c r="W115" s="163">
        <v>0</v>
      </c>
      <c r="X115" s="163">
        <v>-5.7100000000000003E-9</v>
      </c>
      <c r="Z115" s="163">
        <f>SUM(O115:X115)</f>
        <v>7.7294700000000007E-6</v>
      </c>
      <c r="AB115">
        <v>0.16</v>
      </c>
      <c r="AD115" s="362">
        <f>O115*AB115</f>
        <v>6.1760000000000002E-7</v>
      </c>
      <c r="AE115" s="362">
        <f>P115*$AB115</f>
        <v>2.48E-7</v>
      </c>
      <c r="AF115" s="362">
        <f t="shared" ref="AF115:AF125" si="0">Q115*$AB115</f>
        <v>6.6240000000000003E-9</v>
      </c>
      <c r="AG115" s="362">
        <f t="shared" ref="AG115:AG125" si="1">R115*$AB115</f>
        <v>3.488E-7</v>
      </c>
      <c r="AH115" s="362">
        <f t="shared" ref="AH115:AH125" si="2">S115*$AB115</f>
        <v>0</v>
      </c>
      <c r="AI115" s="362">
        <f t="shared" ref="AI115:AI125" si="3">T115*$AB115</f>
        <v>1.0384000000000001E-8</v>
      </c>
      <c r="AJ115" s="362">
        <f t="shared" ref="AJ115:AJ125" si="4">U115*$AB115</f>
        <v>2.208E-10</v>
      </c>
      <c r="AK115" s="362">
        <f t="shared" ref="AK115:AK125" si="5">V115*$AB115</f>
        <v>6E-9</v>
      </c>
      <c r="AL115" s="362">
        <f t="shared" ref="AL115:AL125" si="6">W115*$AB115</f>
        <v>0</v>
      </c>
      <c r="AM115" s="362">
        <f t="shared" ref="AM115:AM125" si="7">X115*$AB115</f>
        <v>-9.1360000000000003E-10</v>
      </c>
      <c r="AN115" s="362"/>
    </row>
    <row r="116" spans="6:40">
      <c r="F116">
        <v>2</v>
      </c>
      <c r="G116" s="163" t="s">
        <v>1172</v>
      </c>
      <c r="H116" s="163" t="s">
        <v>1173</v>
      </c>
      <c r="I116" s="163" t="s">
        <v>1175</v>
      </c>
      <c r="J116" s="163" t="s">
        <v>1176</v>
      </c>
      <c r="K116" s="163" t="s">
        <v>1059</v>
      </c>
      <c r="L116" s="163" t="s">
        <v>1177</v>
      </c>
      <c r="M116" s="163" t="s">
        <v>1179</v>
      </c>
      <c r="O116" s="163">
        <v>9.5399999999999999E-2</v>
      </c>
      <c r="P116" s="163">
        <v>6.3E-2</v>
      </c>
      <c r="Q116" s="163">
        <v>1.63E-4</v>
      </c>
      <c r="R116" s="163">
        <v>3.2899999999999999E-2</v>
      </c>
      <c r="S116" s="163">
        <v>0</v>
      </c>
      <c r="T116" s="163">
        <v>9.4700000000000003E-4</v>
      </c>
      <c r="U116" s="163">
        <v>5.4399999999999996E-6</v>
      </c>
      <c r="V116" s="163">
        <v>7.9200000000000001E-5</v>
      </c>
      <c r="W116" s="163">
        <v>0</v>
      </c>
      <c r="X116" s="163">
        <v>-1.6299999999999999E-3</v>
      </c>
      <c r="Z116" s="163">
        <f t="shared" ref="Z116:Z125" si="8">SUM(O116:X116)</f>
        <v>0.19086464</v>
      </c>
      <c r="AB116">
        <v>0.16</v>
      </c>
      <c r="AD116" s="362">
        <f t="shared" ref="AD116:AD125" si="9">O116*AB116</f>
        <v>1.5264E-2</v>
      </c>
      <c r="AE116" s="362">
        <f t="shared" ref="AE116:AE125" si="10">P116*$AB116</f>
        <v>1.008E-2</v>
      </c>
      <c r="AF116" s="362">
        <f t="shared" si="0"/>
        <v>2.6080000000000001E-5</v>
      </c>
      <c r="AG116" s="362">
        <f t="shared" si="1"/>
        <v>5.2639999999999996E-3</v>
      </c>
      <c r="AH116" s="362">
        <f t="shared" si="2"/>
        <v>0</v>
      </c>
      <c r="AI116" s="362">
        <f t="shared" si="3"/>
        <v>1.5152000000000001E-4</v>
      </c>
      <c r="AJ116" s="362">
        <f t="shared" si="4"/>
        <v>8.7039999999999996E-7</v>
      </c>
      <c r="AK116" s="362">
        <f t="shared" si="5"/>
        <v>1.2672E-5</v>
      </c>
      <c r="AL116" s="362">
        <f t="shared" si="6"/>
        <v>0</v>
      </c>
      <c r="AM116" s="362">
        <f t="shared" si="7"/>
        <v>-2.608E-4</v>
      </c>
      <c r="AN116" s="362"/>
    </row>
    <row r="117" spans="6:40">
      <c r="F117">
        <v>4</v>
      </c>
      <c r="G117" t="s">
        <v>1180</v>
      </c>
      <c r="H117" t="s">
        <v>1181</v>
      </c>
      <c r="I117" t="s">
        <v>1182</v>
      </c>
      <c r="J117" t="s">
        <v>1059</v>
      </c>
      <c r="K117" t="s">
        <v>1183</v>
      </c>
      <c r="L117" t="s">
        <v>1179</v>
      </c>
      <c r="O117" s="163">
        <v>9.15</v>
      </c>
      <c r="P117" s="163">
        <v>4.3</v>
      </c>
      <c r="Q117" s="163">
        <v>2.1499999999999998E-2</v>
      </c>
      <c r="R117" s="163">
        <v>4.68</v>
      </c>
      <c r="S117" s="163">
        <v>0</v>
      </c>
      <c r="T117" s="163">
        <v>0.13900000000000001</v>
      </c>
      <c r="U117" s="163">
        <v>7.18E-4</v>
      </c>
      <c r="V117" s="163">
        <v>0.14399999999999999</v>
      </c>
      <c r="W117" s="163">
        <v>0</v>
      </c>
      <c r="X117" s="163">
        <v>-0.13100000000000001</v>
      </c>
      <c r="Z117" s="163">
        <f t="shared" si="8"/>
        <v>18.304217999999995</v>
      </c>
      <c r="AB117">
        <v>0.05</v>
      </c>
      <c r="AD117" s="362">
        <f t="shared" si="9"/>
        <v>0.45750000000000002</v>
      </c>
      <c r="AE117" s="362">
        <f t="shared" si="10"/>
        <v>0.215</v>
      </c>
      <c r="AF117" s="362">
        <f t="shared" si="0"/>
        <v>1.075E-3</v>
      </c>
      <c r="AG117" s="362">
        <f t="shared" si="1"/>
        <v>0.23399999999999999</v>
      </c>
      <c r="AH117" s="362">
        <f t="shared" si="2"/>
        <v>0</v>
      </c>
      <c r="AI117" s="362">
        <f t="shared" si="3"/>
        <v>6.9500000000000013E-3</v>
      </c>
      <c r="AJ117" s="362">
        <f t="shared" si="4"/>
        <v>3.5899999999999998E-5</v>
      </c>
      <c r="AK117" s="362">
        <f t="shared" si="5"/>
        <v>7.1999999999999998E-3</v>
      </c>
      <c r="AL117" s="362">
        <f t="shared" si="6"/>
        <v>0</v>
      </c>
      <c r="AM117" s="362">
        <f t="shared" si="7"/>
        <v>-6.5500000000000003E-3</v>
      </c>
      <c r="AN117" s="362"/>
    </row>
    <row r="118" spans="6:40">
      <c r="F118">
        <v>5</v>
      </c>
      <c r="G118" t="s">
        <v>1184</v>
      </c>
      <c r="H118" t="s">
        <v>1185</v>
      </c>
      <c r="I118" t="s">
        <v>1186</v>
      </c>
      <c r="J118" t="s">
        <v>1187</v>
      </c>
      <c r="K118" t="s">
        <v>1059</v>
      </c>
      <c r="L118" t="s">
        <v>1188</v>
      </c>
      <c r="M118" t="s">
        <v>1179</v>
      </c>
      <c r="O118" s="163">
        <v>8.78E-7</v>
      </c>
      <c r="P118" s="163">
        <v>6.3199999999999997E-8</v>
      </c>
      <c r="Q118" s="163">
        <v>4.2800000000000001E-9</v>
      </c>
      <c r="R118" s="163">
        <v>7.9299999999999997E-7</v>
      </c>
      <c r="S118" s="163">
        <v>0</v>
      </c>
      <c r="T118" s="163">
        <v>2.4100000000000001E-8</v>
      </c>
      <c r="U118" s="163">
        <v>1.43E-10</v>
      </c>
      <c r="V118" s="163">
        <v>1.0500000000000001E-9</v>
      </c>
      <c r="W118" s="163">
        <v>0</v>
      </c>
      <c r="X118" s="163">
        <v>-8.6699999999999992E-9</v>
      </c>
      <c r="Z118" s="163">
        <f t="shared" si="8"/>
        <v>1.7551029999999996E-6</v>
      </c>
      <c r="AB118">
        <v>30</v>
      </c>
      <c r="AD118" s="362">
        <f t="shared" si="9"/>
        <v>2.6339999999999999E-5</v>
      </c>
      <c r="AE118" s="362">
        <f t="shared" si="10"/>
        <v>1.8959999999999999E-6</v>
      </c>
      <c r="AF118" s="362">
        <f t="shared" si="0"/>
        <v>1.2840000000000001E-7</v>
      </c>
      <c r="AG118" s="362">
        <f t="shared" si="1"/>
        <v>2.3789999999999998E-5</v>
      </c>
      <c r="AH118" s="362">
        <f t="shared" si="2"/>
        <v>0</v>
      </c>
      <c r="AI118" s="362">
        <f t="shared" si="3"/>
        <v>7.23E-7</v>
      </c>
      <c r="AJ118" s="362">
        <f t="shared" si="4"/>
        <v>4.2899999999999999E-9</v>
      </c>
      <c r="AK118" s="362">
        <f t="shared" si="5"/>
        <v>3.1500000000000004E-8</v>
      </c>
      <c r="AL118" s="362">
        <f t="shared" si="6"/>
        <v>0</v>
      </c>
      <c r="AM118" s="362">
        <f t="shared" si="7"/>
        <v>-2.6009999999999995E-7</v>
      </c>
      <c r="AN118" s="362"/>
    </row>
    <row r="119" spans="6:40">
      <c r="F119">
        <v>6</v>
      </c>
      <c r="G119" t="s">
        <v>1189</v>
      </c>
      <c r="H119" t="s">
        <v>1190</v>
      </c>
      <c r="I119" t="s">
        <v>1191</v>
      </c>
      <c r="J119" t="s">
        <v>1059</v>
      </c>
      <c r="K119" t="s">
        <v>1192</v>
      </c>
      <c r="O119" s="163">
        <v>6.4999999999999997E-3</v>
      </c>
      <c r="P119" s="163">
        <v>4.8799999999999998E-3</v>
      </c>
      <c r="Q119" s="163">
        <v>1.36E-5</v>
      </c>
      <c r="R119" s="163">
        <v>1.64E-3</v>
      </c>
      <c r="S119" s="163">
        <v>0</v>
      </c>
      <c r="T119" s="163">
        <v>4.5599999999999997E-5</v>
      </c>
      <c r="U119" s="163">
        <v>4.5299999999999999E-7</v>
      </c>
      <c r="V119" s="163">
        <v>7.0500000000000003E-6</v>
      </c>
      <c r="W119" s="163">
        <v>0</v>
      </c>
      <c r="X119" s="163">
        <v>-8.6700000000000007E-5</v>
      </c>
      <c r="Z119" s="163">
        <f t="shared" si="8"/>
        <v>1.3000002999999998E-2</v>
      </c>
      <c r="AB119">
        <v>2</v>
      </c>
      <c r="AD119" s="362">
        <f t="shared" si="9"/>
        <v>1.2999999999999999E-2</v>
      </c>
      <c r="AE119" s="362">
        <f t="shared" si="10"/>
        <v>9.7599999999999996E-3</v>
      </c>
      <c r="AF119" s="362">
        <f t="shared" si="0"/>
        <v>2.72E-5</v>
      </c>
      <c r="AG119" s="362">
        <f t="shared" si="1"/>
        <v>3.2799999999999999E-3</v>
      </c>
      <c r="AH119" s="362">
        <f t="shared" si="2"/>
        <v>0</v>
      </c>
      <c r="AI119" s="362">
        <f t="shared" si="3"/>
        <v>9.1199999999999994E-5</v>
      </c>
      <c r="AJ119" s="362">
        <f t="shared" si="4"/>
        <v>9.0599999999999999E-7</v>
      </c>
      <c r="AK119" s="362">
        <f t="shared" si="5"/>
        <v>1.4100000000000001E-5</v>
      </c>
      <c r="AL119" s="362">
        <f t="shared" si="6"/>
        <v>0</v>
      </c>
      <c r="AM119" s="362">
        <f t="shared" si="7"/>
        <v>-1.7340000000000001E-4</v>
      </c>
      <c r="AN119" s="362"/>
    </row>
    <row r="120" spans="6:40">
      <c r="F120">
        <v>7</v>
      </c>
      <c r="G120" t="s">
        <v>1193</v>
      </c>
      <c r="H120" t="s">
        <v>1194</v>
      </c>
      <c r="I120" t="s">
        <v>1059</v>
      </c>
      <c r="J120" t="s">
        <v>1195</v>
      </c>
      <c r="K120" t="s">
        <v>1179</v>
      </c>
      <c r="O120" s="163">
        <v>2.98E-2</v>
      </c>
      <c r="P120" s="163">
        <v>1.5699999999999999E-2</v>
      </c>
      <c r="Q120" s="163">
        <v>7.86E-5</v>
      </c>
      <c r="R120" s="163">
        <v>1.38E-2</v>
      </c>
      <c r="S120" s="163">
        <v>0</v>
      </c>
      <c r="T120" s="163">
        <v>4.06E-4</v>
      </c>
      <c r="U120" s="163">
        <v>2.6199999999999999E-6</v>
      </c>
      <c r="V120" s="163">
        <v>4.7700000000000001E-5</v>
      </c>
      <c r="W120" s="163">
        <v>0</v>
      </c>
      <c r="X120" s="163">
        <v>-2.3499999999999999E-4</v>
      </c>
      <c r="Z120" s="163">
        <f t="shared" si="8"/>
        <v>5.9599919999999994E-2</v>
      </c>
      <c r="AB120">
        <v>4</v>
      </c>
      <c r="AD120" s="362">
        <f t="shared" si="9"/>
        <v>0.1192</v>
      </c>
      <c r="AE120" s="362">
        <f t="shared" si="10"/>
        <v>6.2799999999999995E-2</v>
      </c>
      <c r="AF120" s="362">
        <f t="shared" si="0"/>
        <v>3.144E-4</v>
      </c>
      <c r="AG120" s="362">
        <f t="shared" si="1"/>
        <v>5.5199999999999999E-2</v>
      </c>
      <c r="AH120" s="362">
        <f t="shared" si="2"/>
        <v>0</v>
      </c>
      <c r="AI120" s="362">
        <f t="shared" si="3"/>
        <v>1.624E-3</v>
      </c>
      <c r="AJ120" s="362">
        <f t="shared" si="4"/>
        <v>1.048E-5</v>
      </c>
      <c r="AK120" s="362">
        <f t="shared" si="5"/>
        <v>1.908E-4</v>
      </c>
      <c r="AL120" s="362">
        <f t="shared" si="6"/>
        <v>0</v>
      </c>
      <c r="AM120" s="362">
        <f t="shared" si="7"/>
        <v>-9.3999999999999997E-4</v>
      </c>
      <c r="AN120" s="362"/>
    </row>
    <row r="121" spans="6:40">
      <c r="F121">
        <v>8</v>
      </c>
      <c r="G121" t="s">
        <v>1196</v>
      </c>
      <c r="H121" t="s">
        <v>1197</v>
      </c>
      <c r="I121" t="s">
        <v>1059</v>
      </c>
      <c r="J121" t="s">
        <v>1198</v>
      </c>
      <c r="K121" t="s">
        <v>1179</v>
      </c>
      <c r="O121" s="163">
        <v>3.9899999999999996E-3</v>
      </c>
      <c r="P121" s="163">
        <v>1.31E-3</v>
      </c>
      <c r="Q121" s="163">
        <v>1.5999999999999999E-5</v>
      </c>
      <c r="R121" s="163">
        <v>2.5899999999999999E-3</v>
      </c>
      <c r="S121" s="163">
        <v>0</v>
      </c>
      <c r="T121" s="163">
        <v>7.7799999999999994E-5</v>
      </c>
      <c r="U121" s="163">
        <v>5.3300000000000002E-7</v>
      </c>
      <c r="V121" s="163">
        <v>1.13E-5</v>
      </c>
      <c r="W121" s="163">
        <v>0</v>
      </c>
      <c r="X121" s="163">
        <v>-1.9599999999999999E-5</v>
      </c>
      <c r="Z121" s="163">
        <f t="shared" si="8"/>
        <v>7.9760330000000004E-3</v>
      </c>
      <c r="AB121">
        <v>9</v>
      </c>
      <c r="AD121" s="362">
        <f t="shared" si="9"/>
        <v>3.5909999999999997E-2</v>
      </c>
      <c r="AE121" s="362">
        <f t="shared" si="10"/>
        <v>1.179E-2</v>
      </c>
      <c r="AF121" s="362">
        <f t="shared" si="0"/>
        <v>1.44E-4</v>
      </c>
      <c r="AG121" s="362">
        <f t="shared" si="1"/>
        <v>2.3309999999999997E-2</v>
      </c>
      <c r="AH121" s="362">
        <f t="shared" si="2"/>
        <v>0</v>
      </c>
      <c r="AI121" s="362">
        <f t="shared" si="3"/>
        <v>7.002E-4</v>
      </c>
      <c r="AJ121" s="362">
        <f t="shared" si="4"/>
        <v>4.797E-6</v>
      </c>
      <c r="AK121" s="362">
        <f t="shared" si="5"/>
        <v>1.0170000000000001E-4</v>
      </c>
      <c r="AL121" s="362">
        <f t="shared" si="6"/>
        <v>0</v>
      </c>
      <c r="AM121" s="362">
        <f t="shared" si="7"/>
        <v>-1.7639999999999998E-4</v>
      </c>
      <c r="AN121" s="362"/>
    </row>
    <row r="122" spans="6:40">
      <c r="F122">
        <v>9</v>
      </c>
      <c r="G122" t="s">
        <v>1199</v>
      </c>
      <c r="H122" t="s">
        <v>1200</v>
      </c>
      <c r="I122" t="s">
        <v>1201</v>
      </c>
      <c r="J122" t="s">
        <v>1059</v>
      </c>
      <c r="K122" t="s">
        <v>1202</v>
      </c>
      <c r="L122" t="s">
        <v>1179</v>
      </c>
      <c r="O122" s="163">
        <v>1.65</v>
      </c>
      <c r="P122" s="163">
        <v>0.45600000000000002</v>
      </c>
      <c r="Q122" s="163">
        <v>7.5900000000000004E-3</v>
      </c>
      <c r="R122" s="163">
        <v>1.1399999999999999</v>
      </c>
      <c r="S122" s="163">
        <v>0</v>
      </c>
      <c r="T122" s="163">
        <v>3.4299999999999997E-2</v>
      </c>
      <c r="U122" s="163">
        <v>2.5300000000000002E-4</v>
      </c>
      <c r="V122" s="163">
        <v>1.7600000000000001E-2</v>
      </c>
      <c r="W122" s="163">
        <v>0</v>
      </c>
      <c r="X122" s="163">
        <v>-5.0400000000000002E-3</v>
      </c>
      <c r="Z122" s="163">
        <f t="shared" si="8"/>
        <v>3.3007029999999995</v>
      </c>
      <c r="AB122">
        <v>0.09</v>
      </c>
      <c r="AD122" s="362">
        <f t="shared" si="9"/>
        <v>0.14849999999999999</v>
      </c>
      <c r="AE122" s="362">
        <f t="shared" si="10"/>
        <v>4.104E-2</v>
      </c>
      <c r="AF122" s="362">
        <f t="shared" si="0"/>
        <v>6.8309999999999996E-4</v>
      </c>
      <c r="AG122" s="362">
        <f t="shared" si="1"/>
        <v>0.10259999999999998</v>
      </c>
      <c r="AH122" s="362">
        <f t="shared" si="2"/>
        <v>0</v>
      </c>
      <c r="AI122" s="362">
        <f t="shared" si="3"/>
        <v>3.0869999999999995E-3</v>
      </c>
      <c r="AJ122" s="362">
        <f t="shared" si="4"/>
        <v>2.2770000000000001E-5</v>
      </c>
      <c r="AK122" s="362">
        <f t="shared" si="5"/>
        <v>1.5840000000000001E-3</v>
      </c>
      <c r="AL122" s="362">
        <f t="shared" si="6"/>
        <v>0</v>
      </c>
      <c r="AM122" s="362">
        <f t="shared" si="7"/>
        <v>-4.5360000000000002E-4</v>
      </c>
      <c r="AN122" s="362"/>
    </row>
    <row r="123" spans="6:40">
      <c r="F123">
        <v>10</v>
      </c>
      <c r="G123" t="s">
        <v>1203</v>
      </c>
      <c r="H123" t="s">
        <v>1204</v>
      </c>
      <c r="I123" t="s">
        <v>1205</v>
      </c>
      <c r="J123" t="s">
        <v>1206</v>
      </c>
      <c r="K123" t="s">
        <v>1059</v>
      </c>
      <c r="L123" t="s">
        <v>1202</v>
      </c>
      <c r="M123" t="s">
        <v>1179</v>
      </c>
      <c r="O123" s="163">
        <v>3.7100000000000001E-2</v>
      </c>
      <c r="P123" s="163">
        <v>1.17E-2</v>
      </c>
      <c r="Q123" s="163">
        <v>4.8899999999999996E-4</v>
      </c>
      <c r="R123" s="163">
        <v>2.2700000000000001E-2</v>
      </c>
      <c r="S123" s="163">
        <v>0</v>
      </c>
      <c r="T123" s="163">
        <v>6.7900000000000002E-4</v>
      </c>
      <c r="U123" s="163">
        <v>1.63E-5</v>
      </c>
      <c r="V123" s="163">
        <v>1.6199999999999999E-3</v>
      </c>
      <c r="W123" s="163">
        <v>0</v>
      </c>
      <c r="X123" s="163">
        <v>-1.2300000000000001E-4</v>
      </c>
      <c r="Z123" s="163">
        <f t="shared" si="8"/>
        <v>7.4181300000000006E-2</v>
      </c>
      <c r="AB123">
        <v>0.03</v>
      </c>
      <c r="AD123" s="362">
        <f t="shared" si="9"/>
        <v>1.1130000000000001E-3</v>
      </c>
      <c r="AE123" s="362">
        <f t="shared" si="10"/>
        <v>3.5100000000000002E-4</v>
      </c>
      <c r="AF123" s="362">
        <f t="shared" si="0"/>
        <v>1.4669999999999998E-5</v>
      </c>
      <c r="AG123" s="362">
        <f t="shared" si="1"/>
        <v>6.8099999999999996E-4</v>
      </c>
      <c r="AH123" s="362">
        <f t="shared" si="2"/>
        <v>0</v>
      </c>
      <c r="AI123" s="362">
        <f t="shared" si="3"/>
        <v>2.037E-5</v>
      </c>
      <c r="AJ123" s="362">
        <f t="shared" si="4"/>
        <v>4.89E-7</v>
      </c>
      <c r="AK123" s="362">
        <f t="shared" si="5"/>
        <v>4.8599999999999995E-5</v>
      </c>
      <c r="AL123" s="362">
        <f t="shared" si="6"/>
        <v>0</v>
      </c>
      <c r="AM123" s="362">
        <f t="shared" si="7"/>
        <v>-3.6900000000000002E-6</v>
      </c>
      <c r="AN123" s="362"/>
    </row>
    <row r="124" spans="6:40">
      <c r="F124">
        <v>12</v>
      </c>
      <c r="G124" t="s">
        <v>1207</v>
      </c>
      <c r="H124" t="s">
        <v>1208</v>
      </c>
      <c r="I124" t="s">
        <v>1205</v>
      </c>
      <c r="J124" t="s">
        <v>1209</v>
      </c>
      <c r="K124" t="s">
        <v>1059</v>
      </c>
      <c r="L124" t="s">
        <v>1202</v>
      </c>
      <c r="M124" t="s">
        <v>1179</v>
      </c>
      <c r="O124" s="163">
        <v>118</v>
      </c>
      <c r="P124" s="163">
        <v>36.799999999999997</v>
      </c>
      <c r="Q124" s="163">
        <v>1.28</v>
      </c>
      <c r="R124" s="163">
        <v>75.8</v>
      </c>
      <c r="S124" s="163">
        <v>0</v>
      </c>
      <c r="T124" s="163">
        <v>2.27</v>
      </c>
      <c r="U124" s="163">
        <v>4.2700000000000002E-2</v>
      </c>
      <c r="V124" s="163">
        <v>2.5</v>
      </c>
      <c r="W124" s="163">
        <v>0</v>
      </c>
      <c r="X124" s="163">
        <v>-0.32600000000000001</v>
      </c>
      <c r="Z124" s="163">
        <f t="shared" si="8"/>
        <v>236.36670000000001</v>
      </c>
      <c r="AB124">
        <v>1E-4</v>
      </c>
      <c r="AD124" s="362">
        <f t="shared" si="9"/>
        <v>1.18E-2</v>
      </c>
      <c r="AE124" s="362">
        <f t="shared" si="10"/>
        <v>3.6799999999999997E-3</v>
      </c>
      <c r="AF124" s="362">
        <f t="shared" si="0"/>
        <v>1.2800000000000002E-4</v>
      </c>
      <c r="AG124" s="362">
        <f t="shared" si="1"/>
        <v>7.5799999999999999E-3</v>
      </c>
      <c r="AH124" s="362">
        <f t="shared" si="2"/>
        <v>0</v>
      </c>
      <c r="AI124" s="362">
        <f t="shared" si="3"/>
        <v>2.2700000000000002E-4</v>
      </c>
      <c r="AJ124" s="362">
        <f t="shared" si="4"/>
        <v>4.2700000000000006E-6</v>
      </c>
      <c r="AK124" s="362">
        <f t="shared" si="5"/>
        <v>2.5000000000000001E-4</v>
      </c>
      <c r="AL124" s="362">
        <f t="shared" si="6"/>
        <v>0</v>
      </c>
      <c r="AM124" s="362">
        <f t="shared" si="7"/>
        <v>-3.26E-5</v>
      </c>
      <c r="AN124" s="362"/>
    </row>
    <row r="125" spans="6:40">
      <c r="F125">
        <v>14</v>
      </c>
      <c r="G125" t="s">
        <v>1203</v>
      </c>
      <c r="H125" t="s">
        <v>1210</v>
      </c>
      <c r="I125" t="s">
        <v>1211</v>
      </c>
      <c r="J125" t="s">
        <v>1059</v>
      </c>
      <c r="O125" s="163">
        <v>6.2700000000000004E-3</v>
      </c>
      <c r="P125" s="163">
        <v>2E-3</v>
      </c>
      <c r="Q125" s="163">
        <v>4.5000000000000003E-5</v>
      </c>
      <c r="R125" s="163">
        <v>4.0699999999999998E-3</v>
      </c>
      <c r="S125" s="163">
        <v>0</v>
      </c>
      <c r="T125" s="163">
        <v>1.22E-4</v>
      </c>
      <c r="U125" s="163">
        <v>1.5E-6</v>
      </c>
      <c r="V125" s="163">
        <v>4.8600000000000002E-5</v>
      </c>
      <c r="W125" s="163">
        <v>0</v>
      </c>
      <c r="X125" s="163">
        <v>-1.45E-5</v>
      </c>
      <c r="Z125" s="163">
        <f t="shared" si="8"/>
        <v>1.2542599999999999E-2</v>
      </c>
      <c r="AB125">
        <v>0.06</v>
      </c>
      <c r="AD125" s="362">
        <f t="shared" si="9"/>
        <v>3.7620000000000004E-4</v>
      </c>
      <c r="AE125" s="362">
        <f t="shared" si="10"/>
        <v>1.2E-4</v>
      </c>
      <c r="AF125" s="362">
        <f t="shared" si="0"/>
        <v>2.7E-6</v>
      </c>
      <c r="AG125" s="362">
        <f t="shared" si="1"/>
        <v>2.4419999999999997E-4</v>
      </c>
      <c r="AH125" s="362">
        <f t="shared" si="2"/>
        <v>0</v>
      </c>
      <c r="AI125" s="362">
        <f t="shared" si="3"/>
        <v>7.3199999999999994E-6</v>
      </c>
      <c r="AJ125" s="362">
        <f t="shared" si="4"/>
        <v>8.9999999999999999E-8</v>
      </c>
      <c r="AK125" s="362">
        <f t="shared" si="5"/>
        <v>2.9160000000000001E-6</v>
      </c>
      <c r="AL125" s="362">
        <f t="shared" si="6"/>
        <v>0</v>
      </c>
      <c r="AM125" s="362">
        <f t="shared" si="7"/>
        <v>-8.6999999999999993E-7</v>
      </c>
      <c r="AN125" s="362"/>
    </row>
    <row r="126" spans="6:40">
      <c r="F126" t="s">
        <v>1228</v>
      </c>
      <c r="G126" t="s">
        <v>1212</v>
      </c>
      <c r="H126" t="s">
        <v>1213</v>
      </c>
      <c r="I126" t="s">
        <v>1214</v>
      </c>
      <c r="J126" t="s">
        <v>1215</v>
      </c>
      <c r="O126" s="163">
        <v>4.45</v>
      </c>
      <c r="P126" s="163">
        <v>3.83</v>
      </c>
      <c r="Q126" s="163">
        <v>5.8300000000000001E-3</v>
      </c>
      <c r="R126" s="163">
        <v>0.62</v>
      </c>
      <c r="S126" s="163">
        <v>0</v>
      </c>
      <c r="T126" s="163">
        <v>1.54E-2</v>
      </c>
      <c r="U126" s="163">
        <v>1.94E-4</v>
      </c>
      <c r="V126" s="163">
        <v>7.4900000000000001E-3</v>
      </c>
      <c r="W126" s="163">
        <v>0</v>
      </c>
      <c r="X126" s="163">
        <v>-2.8199999999999999E-2</v>
      </c>
      <c r="AD126" s="362">
        <f>SUM(AD115:AD125)</f>
        <v>0.80269015760000006</v>
      </c>
      <c r="AE126" s="362">
        <f>SUM(AE115:AE125)</f>
        <v>0.35462314400000006</v>
      </c>
      <c r="AF126" s="362">
        <f t="shared" ref="AF126:AM126" si="11">SUM(AF115:AF125)</f>
        <v>2.415285024E-3</v>
      </c>
      <c r="AG126" s="362">
        <f t="shared" si="11"/>
        <v>0.43218333879999993</v>
      </c>
      <c r="AH126" s="362">
        <f t="shared" si="11"/>
        <v>0</v>
      </c>
      <c r="AI126" s="362">
        <f t="shared" si="11"/>
        <v>1.2859343384000001E-2</v>
      </c>
      <c r="AJ126" s="362">
        <f t="shared" si="11"/>
        <v>8.0576910799999991E-5</v>
      </c>
      <c r="AK126" s="362">
        <f t="shared" si="11"/>
        <v>9.4048255000000001E-3</v>
      </c>
      <c r="AL126" s="362">
        <f t="shared" si="11"/>
        <v>0</v>
      </c>
      <c r="AM126" s="362">
        <f t="shared" si="11"/>
        <v>-8.591621013600002E-3</v>
      </c>
      <c r="AN126" s="362"/>
    </row>
    <row r="127" spans="6:40">
      <c r="F127" t="s">
        <v>1229</v>
      </c>
      <c r="G127" t="s">
        <v>1212</v>
      </c>
      <c r="H127" t="s">
        <v>1213</v>
      </c>
      <c r="I127" t="s">
        <v>1217</v>
      </c>
      <c r="J127" t="s">
        <v>1215</v>
      </c>
      <c r="O127" s="163">
        <v>215</v>
      </c>
      <c r="P127" s="163">
        <v>143</v>
      </c>
      <c r="Q127" s="163">
        <v>0.372</v>
      </c>
      <c r="R127" s="163">
        <v>73.5</v>
      </c>
      <c r="S127" s="163">
        <v>0</v>
      </c>
      <c r="T127" s="163">
        <v>2.11</v>
      </c>
      <c r="U127" s="163">
        <v>1.24E-2</v>
      </c>
      <c r="V127" s="163">
        <v>0.17799999999999999</v>
      </c>
      <c r="W127" s="163">
        <v>0</v>
      </c>
      <c r="X127" s="163">
        <v>-3.57</v>
      </c>
      <c r="AE127">
        <v>0.35462314400000006</v>
      </c>
      <c r="AF127">
        <v>2.415285024E-3</v>
      </c>
      <c r="AG127">
        <v>0.43218333879999993</v>
      </c>
      <c r="AH127">
        <v>0</v>
      </c>
      <c r="AI127">
        <v>1.2859343384000001E-2</v>
      </c>
      <c r="AJ127">
        <v>8.0576910799999991E-5</v>
      </c>
      <c r="AK127">
        <v>9.4048255000000001E-3</v>
      </c>
      <c r="AL127">
        <v>0</v>
      </c>
      <c r="AM127">
        <v>-8.591621013600002E-3</v>
      </c>
    </row>
    <row r="128" spans="6:40">
      <c r="F128" t="s">
        <v>1230</v>
      </c>
      <c r="G128" t="s">
        <v>1219</v>
      </c>
      <c r="H128" t="s">
        <v>1204</v>
      </c>
      <c r="I128" t="s">
        <v>1205</v>
      </c>
      <c r="J128" t="s">
        <v>1220</v>
      </c>
      <c r="O128" s="163">
        <v>4.7600000000000003E-2</v>
      </c>
      <c r="P128" s="163">
        <v>3.9899999999999998E-2</v>
      </c>
      <c r="Q128" s="163">
        <v>7.5599999999999994E-5</v>
      </c>
      <c r="R128" s="163">
        <v>7.7400000000000004E-3</v>
      </c>
      <c r="S128" s="163">
        <v>0</v>
      </c>
      <c r="T128" s="163">
        <v>2.0000000000000001E-4</v>
      </c>
      <c r="U128" s="163">
        <v>2.52E-6</v>
      </c>
      <c r="V128" s="163">
        <v>8.9099999999999997E-5</v>
      </c>
      <c r="W128" s="163">
        <v>0</v>
      </c>
      <c r="X128" s="163">
        <v>-4.5199999999999998E-4</v>
      </c>
    </row>
    <row r="129" spans="6:40">
      <c r="F129">
        <v>106</v>
      </c>
      <c r="G129" t="s">
        <v>1222</v>
      </c>
      <c r="H129" t="s">
        <v>1223</v>
      </c>
      <c r="I129" t="s">
        <v>1224</v>
      </c>
      <c r="J129" t="s">
        <v>1059</v>
      </c>
      <c r="O129" s="163">
        <v>5.1000000000000004E-4</v>
      </c>
      <c r="P129" s="163">
        <v>1.5500000000000001E-5</v>
      </c>
      <c r="Q129" s="163">
        <v>2.6400000000000001E-6</v>
      </c>
      <c r="R129" s="163">
        <v>4.7899999999999999E-4</v>
      </c>
      <c r="S129" s="163">
        <v>0</v>
      </c>
      <c r="T129" s="163">
        <v>1.4600000000000001E-5</v>
      </c>
      <c r="U129" s="163">
        <v>8.7999999999999994E-8</v>
      </c>
      <c r="V129" s="163">
        <v>2.6E-7</v>
      </c>
      <c r="W129" s="163">
        <v>0</v>
      </c>
      <c r="X129" s="163">
        <v>-1.5999999999999999E-6</v>
      </c>
    </row>
    <row r="130" spans="6:40">
      <c r="F130">
        <v>105</v>
      </c>
      <c r="G130" t="s">
        <v>1222</v>
      </c>
      <c r="H130" t="s">
        <v>1174</v>
      </c>
      <c r="I130" t="s">
        <v>1223</v>
      </c>
      <c r="J130" t="s">
        <v>1224</v>
      </c>
      <c r="O130" s="163">
        <v>0.36699999999999999</v>
      </c>
      <c r="P130" s="163">
        <v>0.20100000000000001</v>
      </c>
      <c r="Q130" s="163">
        <v>3.0800000000000001E-2</v>
      </c>
      <c r="R130" s="163">
        <v>0.123</v>
      </c>
      <c r="S130" s="163">
        <v>0</v>
      </c>
      <c r="T130" s="163">
        <v>3.5500000000000002E-3</v>
      </c>
      <c r="U130" s="163">
        <v>1.0300000000000001E-3</v>
      </c>
      <c r="V130" s="163">
        <v>8.4700000000000001E-3</v>
      </c>
      <c r="W130" s="163">
        <v>0</v>
      </c>
      <c r="X130" s="163">
        <v>-1.07E-3</v>
      </c>
      <c r="Z130" s="163"/>
      <c r="AA130" s="163"/>
      <c r="AD130" s="163"/>
      <c r="AE130" s="163"/>
      <c r="AF130" s="163"/>
      <c r="AG130" s="163"/>
      <c r="AH130" s="163"/>
      <c r="AI130" s="163"/>
      <c r="AJ130" s="163"/>
      <c r="AK130" s="163"/>
      <c r="AL130" s="163"/>
      <c r="AM130" s="163"/>
    </row>
    <row r="131" spans="6:40">
      <c r="F131">
        <v>107</v>
      </c>
      <c r="G131" t="s">
        <v>1222</v>
      </c>
      <c r="H131" t="s">
        <v>1231</v>
      </c>
      <c r="I131" t="s">
        <v>1224</v>
      </c>
      <c r="J131" t="s">
        <v>1059</v>
      </c>
      <c r="O131" s="163">
        <v>5.2099999999999999E-5</v>
      </c>
      <c r="P131" s="163">
        <v>5.0599999999999997E-5</v>
      </c>
      <c r="Q131" s="163">
        <v>0</v>
      </c>
      <c r="R131" s="163">
        <v>1.5200000000000001E-6</v>
      </c>
      <c r="S131" s="163">
        <v>0</v>
      </c>
      <c r="T131" s="163">
        <v>0</v>
      </c>
      <c r="U131" s="163">
        <v>0</v>
      </c>
      <c r="V131" s="163">
        <v>6.0399999999999996E-7</v>
      </c>
      <c r="W131" s="163">
        <v>0</v>
      </c>
      <c r="X131" s="163">
        <v>-6.1799999999999995E-7</v>
      </c>
      <c r="Y131" s="163"/>
      <c r="Z131" s="163"/>
      <c r="AA131" s="163"/>
      <c r="AD131" s="163"/>
      <c r="AE131" s="163"/>
      <c r="AF131" s="163"/>
      <c r="AG131" s="163"/>
      <c r="AH131" s="163"/>
      <c r="AI131" s="163"/>
      <c r="AJ131" s="163"/>
      <c r="AK131" s="163"/>
      <c r="AL131" s="163"/>
      <c r="AM131" s="163"/>
    </row>
    <row r="132" spans="6:40">
      <c r="N132" s="163"/>
      <c r="O132" s="163"/>
      <c r="P132" s="163"/>
      <c r="Q132" s="163"/>
      <c r="R132" s="163"/>
      <c r="S132" s="163"/>
      <c r="T132" s="163"/>
      <c r="U132" s="163"/>
      <c r="V132" s="163"/>
      <c r="W132" s="163"/>
      <c r="AD132" s="163"/>
      <c r="AE132" s="163"/>
      <c r="AF132" s="163"/>
      <c r="AG132" s="163"/>
      <c r="AH132" s="163"/>
      <c r="AI132" s="163"/>
      <c r="AJ132" s="163"/>
      <c r="AK132" s="163"/>
      <c r="AL132" s="163"/>
      <c r="AM132" s="163"/>
    </row>
    <row r="133" spans="6:40">
      <c r="N133" s="163"/>
      <c r="O133" s="163"/>
      <c r="P133" s="163"/>
      <c r="Q133" s="163"/>
      <c r="R133" s="163"/>
      <c r="S133" s="163"/>
      <c r="T133" s="163"/>
      <c r="U133" s="163"/>
      <c r="V133" s="163"/>
      <c r="W133" s="163"/>
      <c r="AD133" s="163"/>
      <c r="AE133" s="163"/>
      <c r="AF133" s="163"/>
      <c r="AG133" s="163"/>
      <c r="AH133" s="163"/>
      <c r="AI133" s="163"/>
      <c r="AJ133" s="163"/>
      <c r="AK133" s="163"/>
      <c r="AL133" s="163"/>
      <c r="AM133" s="163"/>
    </row>
    <row r="134" spans="6:40">
      <c r="G134" s="163"/>
      <c r="H134" s="163"/>
      <c r="I134" s="163"/>
      <c r="J134" s="163"/>
      <c r="K134" s="163"/>
      <c r="L134" s="163"/>
      <c r="M134" s="163"/>
      <c r="N134" s="163"/>
      <c r="O134" t="s">
        <v>90</v>
      </c>
      <c r="P134" s="163" t="s">
        <v>1226</v>
      </c>
      <c r="Q134" s="163" t="s">
        <v>78</v>
      </c>
      <c r="R134" t="s">
        <v>79</v>
      </c>
      <c r="S134" t="s">
        <v>1227</v>
      </c>
      <c r="T134" t="s">
        <v>83</v>
      </c>
      <c r="U134" t="s">
        <v>84</v>
      </c>
      <c r="V134" t="s">
        <v>85</v>
      </c>
      <c r="W134" t="s">
        <v>86</v>
      </c>
      <c r="X134" t="s">
        <v>89</v>
      </c>
      <c r="AD134" t="s">
        <v>90</v>
      </c>
      <c r="AE134" s="163" t="s">
        <v>1226</v>
      </c>
      <c r="AF134" s="163" t="s">
        <v>78</v>
      </c>
      <c r="AG134" t="s">
        <v>79</v>
      </c>
      <c r="AH134" t="s">
        <v>1227</v>
      </c>
      <c r="AI134" t="s">
        <v>83</v>
      </c>
      <c r="AJ134" t="s">
        <v>84</v>
      </c>
      <c r="AK134" t="s">
        <v>85</v>
      </c>
      <c r="AL134" t="s">
        <v>86</v>
      </c>
      <c r="AM134" t="s">
        <v>89</v>
      </c>
    </row>
    <row r="135" spans="6:40">
      <c r="F135">
        <v>1</v>
      </c>
      <c r="G135" t="s">
        <v>1172</v>
      </c>
      <c r="H135" t="s">
        <v>1173</v>
      </c>
      <c r="I135" t="s">
        <v>1174</v>
      </c>
      <c r="J135" t="s">
        <v>1175</v>
      </c>
      <c r="K135" t="s">
        <v>1176</v>
      </c>
      <c r="L135" t="s">
        <v>1059</v>
      </c>
      <c r="O135" s="163">
        <v>5.8300000000000001E-6</v>
      </c>
      <c r="P135" s="163">
        <v>3.3699999999999999E-6</v>
      </c>
      <c r="Q135" s="163">
        <v>8.9999999999999999E-8</v>
      </c>
      <c r="R135" s="163">
        <v>2.2299999999999998E-6</v>
      </c>
      <c r="S135" s="163">
        <v>0</v>
      </c>
      <c r="T135" s="163">
        <v>6.4900000000000005E-8</v>
      </c>
      <c r="U135" s="163">
        <v>3E-9</v>
      </c>
      <c r="V135" s="163">
        <v>8.1699999999999997E-8</v>
      </c>
      <c r="W135" s="163">
        <v>0</v>
      </c>
      <c r="X135" s="163">
        <v>-1.24E-8</v>
      </c>
      <c r="AB135">
        <v>0.16</v>
      </c>
      <c r="AD135" s="362">
        <f>O135*AB135</f>
        <v>9.3279999999999999E-7</v>
      </c>
      <c r="AE135" s="362">
        <f>P135*$AB135</f>
        <v>5.3919999999999996E-7</v>
      </c>
      <c r="AF135" s="362">
        <f t="shared" ref="AF135:AF145" si="12">Q135*$AB135</f>
        <v>1.44E-8</v>
      </c>
      <c r="AG135" s="362">
        <f t="shared" ref="AG135:AG145" si="13">R135*$AB135</f>
        <v>3.5679999999999997E-7</v>
      </c>
      <c r="AH135" s="362">
        <f t="shared" ref="AH135:AH145" si="14">S135*$AB135</f>
        <v>0</v>
      </c>
      <c r="AI135" s="362">
        <f t="shared" ref="AI135:AI145" si="15">T135*$AB135</f>
        <v>1.0384000000000001E-8</v>
      </c>
      <c r="AJ135" s="362">
        <f t="shared" ref="AJ135:AJ145" si="16">U135*$AB135</f>
        <v>4.8E-10</v>
      </c>
      <c r="AK135" s="362">
        <f t="shared" ref="AK135:AK145" si="17">V135*$AB135</f>
        <v>1.3072E-8</v>
      </c>
      <c r="AL135" s="362">
        <f t="shared" ref="AL135:AL145" si="18">W135*$AB135</f>
        <v>0</v>
      </c>
      <c r="AM135" s="362">
        <f t="shared" ref="AM135:AM145" si="19">X135*$AB135</f>
        <v>-1.9840000000000002E-9</v>
      </c>
      <c r="AN135" s="362"/>
    </row>
    <row r="136" spans="6:40">
      <c r="F136">
        <v>2</v>
      </c>
      <c r="G136" t="s">
        <v>1172</v>
      </c>
      <c r="H136" t="s">
        <v>1173</v>
      </c>
      <c r="I136" t="s">
        <v>1175</v>
      </c>
      <c r="J136" t="s">
        <v>1176</v>
      </c>
      <c r="K136" t="s">
        <v>1059</v>
      </c>
      <c r="L136" t="s">
        <v>1177</v>
      </c>
      <c r="O136" s="163">
        <v>0.17</v>
      </c>
      <c r="P136" s="163">
        <v>0.13700000000000001</v>
      </c>
      <c r="Q136" s="163">
        <v>3.5500000000000001E-4</v>
      </c>
      <c r="R136" s="163">
        <v>3.5099999999999999E-2</v>
      </c>
      <c r="S136" s="163">
        <v>0</v>
      </c>
      <c r="T136" s="163">
        <v>9.4700000000000003E-4</v>
      </c>
      <c r="U136" s="163">
        <v>1.1800000000000001E-5</v>
      </c>
      <c r="V136" s="163">
        <v>1.7200000000000001E-4</v>
      </c>
      <c r="W136" s="163">
        <v>0</v>
      </c>
      <c r="X136" s="163">
        <v>-3.5500000000000002E-3</v>
      </c>
      <c r="AB136">
        <v>0.16</v>
      </c>
      <c r="AD136" s="362">
        <f t="shared" ref="AD136:AD145" si="20">O136*AB136</f>
        <v>2.7200000000000002E-2</v>
      </c>
      <c r="AE136" s="362">
        <f t="shared" ref="AE136:AE145" si="21">P136*$AB136</f>
        <v>2.1920000000000002E-2</v>
      </c>
      <c r="AF136" s="362">
        <f t="shared" si="12"/>
        <v>5.6800000000000005E-5</v>
      </c>
      <c r="AG136" s="362">
        <f t="shared" si="13"/>
        <v>5.6160000000000003E-3</v>
      </c>
      <c r="AH136" s="362">
        <f t="shared" si="14"/>
        <v>0</v>
      </c>
      <c r="AI136" s="362">
        <f t="shared" si="15"/>
        <v>1.5152000000000001E-4</v>
      </c>
      <c r="AJ136" s="362">
        <f t="shared" si="16"/>
        <v>1.8880000000000002E-6</v>
      </c>
      <c r="AK136" s="362">
        <f t="shared" si="17"/>
        <v>2.7520000000000001E-5</v>
      </c>
      <c r="AL136" s="362">
        <f t="shared" si="18"/>
        <v>0</v>
      </c>
      <c r="AM136" s="362">
        <f t="shared" si="19"/>
        <v>-5.6800000000000004E-4</v>
      </c>
      <c r="AN136" s="362"/>
    </row>
    <row r="137" spans="6:40">
      <c r="F137">
        <v>4</v>
      </c>
      <c r="G137" t="s">
        <v>1180</v>
      </c>
      <c r="H137" t="s">
        <v>1181</v>
      </c>
      <c r="I137" t="s">
        <v>1182</v>
      </c>
      <c r="J137" t="s">
        <v>1059</v>
      </c>
      <c r="K137" t="s">
        <v>1183</v>
      </c>
      <c r="L137" t="s">
        <v>1179</v>
      </c>
      <c r="O137" s="163">
        <v>14.4</v>
      </c>
      <c r="P137" s="163">
        <v>9.36</v>
      </c>
      <c r="Q137" s="163">
        <v>4.6899999999999997E-2</v>
      </c>
      <c r="R137" s="163">
        <v>4.83</v>
      </c>
      <c r="S137" s="163">
        <v>0</v>
      </c>
      <c r="T137" s="163">
        <v>0.13900000000000001</v>
      </c>
      <c r="U137" s="163">
        <v>1.56E-3</v>
      </c>
      <c r="V137" s="163">
        <v>0.313</v>
      </c>
      <c r="W137" s="163">
        <v>0</v>
      </c>
      <c r="X137" s="163">
        <v>-0.28599999999999998</v>
      </c>
      <c r="AB137">
        <v>0.05</v>
      </c>
      <c r="AD137" s="362">
        <f t="shared" si="20"/>
        <v>0.72000000000000008</v>
      </c>
      <c r="AE137" s="362">
        <f t="shared" si="21"/>
        <v>0.46799999999999997</v>
      </c>
      <c r="AF137" s="362">
        <f t="shared" si="12"/>
        <v>2.3449999999999999E-3</v>
      </c>
      <c r="AG137" s="362">
        <f t="shared" si="13"/>
        <v>0.24150000000000002</v>
      </c>
      <c r="AH137" s="362">
        <f t="shared" si="14"/>
        <v>0</v>
      </c>
      <c r="AI137" s="362">
        <f t="shared" si="15"/>
        <v>6.9500000000000013E-3</v>
      </c>
      <c r="AJ137" s="362">
        <f t="shared" si="16"/>
        <v>7.7999999999999999E-5</v>
      </c>
      <c r="AK137" s="362">
        <f t="shared" si="17"/>
        <v>1.5650000000000001E-2</v>
      </c>
      <c r="AL137" s="362">
        <f t="shared" si="18"/>
        <v>0</v>
      </c>
      <c r="AM137" s="362">
        <f t="shared" si="19"/>
        <v>-1.43E-2</v>
      </c>
      <c r="AN137" s="362"/>
    </row>
    <row r="138" spans="6:40">
      <c r="F138">
        <v>5</v>
      </c>
      <c r="G138" t="s">
        <v>1184</v>
      </c>
      <c r="H138" t="s">
        <v>1185</v>
      </c>
      <c r="I138" t="s">
        <v>1186</v>
      </c>
      <c r="J138" t="s">
        <v>1187</v>
      </c>
      <c r="K138" t="s">
        <v>1059</v>
      </c>
      <c r="L138" t="s">
        <v>1188</v>
      </c>
      <c r="O138" s="163">
        <v>9.5000000000000001E-7</v>
      </c>
      <c r="P138" s="163">
        <v>1.3799999999999999E-7</v>
      </c>
      <c r="Q138" s="163">
        <v>9.3200000000000001E-9</v>
      </c>
      <c r="R138" s="163">
        <v>7.9599999999999998E-7</v>
      </c>
      <c r="S138" s="163">
        <v>0</v>
      </c>
      <c r="T138" s="163">
        <v>2.4100000000000001E-8</v>
      </c>
      <c r="U138" s="163">
        <v>3.1100000000000001E-10</v>
      </c>
      <c r="V138" s="163">
        <v>2.28E-9</v>
      </c>
      <c r="W138" s="163">
        <v>0</v>
      </c>
      <c r="X138" s="163">
        <v>-1.89E-8</v>
      </c>
      <c r="AB138">
        <v>30</v>
      </c>
      <c r="AD138" s="362">
        <f t="shared" si="20"/>
        <v>2.8500000000000002E-5</v>
      </c>
      <c r="AE138" s="362">
        <f t="shared" si="21"/>
        <v>4.1399999999999993E-6</v>
      </c>
      <c r="AF138" s="362">
        <f t="shared" si="12"/>
        <v>2.7959999999999999E-7</v>
      </c>
      <c r="AG138" s="362">
        <f t="shared" si="13"/>
        <v>2.3879999999999998E-5</v>
      </c>
      <c r="AH138" s="362">
        <f t="shared" si="14"/>
        <v>0</v>
      </c>
      <c r="AI138" s="362">
        <f t="shared" si="15"/>
        <v>7.23E-7</v>
      </c>
      <c r="AJ138" s="362">
        <f t="shared" si="16"/>
        <v>9.3299999999999998E-9</v>
      </c>
      <c r="AK138" s="362">
        <f t="shared" si="17"/>
        <v>6.8400000000000004E-8</v>
      </c>
      <c r="AL138" s="362">
        <f t="shared" si="18"/>
        <v>0</v>
      </c>
      <c r="AM138" s="362">
        <f t="shared" si="19"/>
        <v>-5.6700000000000003E-7</v>
      </c>
      <c r="AN138" s="362"/>
    </row>
    <row r="139" spans="6:40">
      <c r="F139">
        <v>6</v>
      </c>
      <c r="G139" t="s">
        <v>1189</v>
      </c>
      <c r="H139" t="s">
        <v>1190</v>
      </c>
      <c r="I139" t="s">
        <v>1191</v>
      </c>
      <c r="J139" t="s">
        <v>1059</v>
      </c>
      <c r="K139" t="s">
        <v>1192</v>
      </c>
      <c r="O139" s="163">
        <v>1.23E-2</v>
      </c>
      <c r="P139" s="163">
        <v>1.06E-2</v>
      </c>
      <c r="Q139" s="163">
        <v>2.9600000000000001E-5</v>
      </c>
      <c r="R139" s="163">
        <v>1.81E-3</v>
      </c>
      <c r="S139" s="163">
        <v>0</v>
      </c>
      <c r="T139" s="163">
        <v>4.5599999999999997E-5</v>
      </c>
      <c r="U139" s="163">
        <v>9.8599999999999996E-7</v>
      </c>
      <c r="V139" s="163">
        <v>1.5299999999999999E-5</v>
      </c>
      <c r="W139" s="163">
        <v>0</v>
      </c>
      <c r="X139" s="163">
        <v>-1.8900000000000001E-4</v>
      </c>
      <c r="AB139">
        <v>2</v>
      </c>
      <c r="AD139" s="362">
        <f t="shared" si="20"/>
        <v>2.46E-2</v>
      </c>
      <c r="AE139" s="362">
        <f t="shared" si="21"/>
        <v>2.12E-2</v>
      </c>
      <c r="AF139" s="362">
        <f t="shared" si="12"/>
        <v>5.9200000000000002E-5</v>
      </c>
      <c r="AG139" s="362">
        <f t="shared" si="13"/>
        <v>3.62E-3</v>
      </c>
      <c r="AH139" s="362">
        <f t="shared" si="14"/>
        <v>0</v>
      </c>
      <c r="AI139" s="362">
        <f t="shared" si="15"/>
        <v>9.1199999999999994E-5</v>
      </c>
      <c r="AJ139" s="362">
        <f t="shared" si="16"/>
        <v>1.9719999999999999E-6</v>
      </c>
      <c r="AK139" s="362">
        <f t="shared" si="17"/>
        <v>3.0599999999999998E-5</v>
      </c>
      <c r="AL139" s="362">
        <f t="shared" si="18"/>
        <v>0</v>
      </c>
      <c r="AM139" s="362">
        <f t="shared" si="19"/>
        <v>-3.7800000000000003E-4</v>
      </c>
      <c r="AN139" s="362"/>
    </row>
    <row r="140" spans="6:40">
      <c r="F140">
        <v>7</v>
      </c>
      <c r="G140" t="s">
        <v>1193</v>
      </c>
      <c r="H140" t="s">
        <v>1194</v>
      </c>
      <c r="I140" t="s">
        <v>1059</v>
      </c>
      <c r="J140" t="s">
        <v>1195</v>
      </c>
      <c r="K140" t="s">
        <v>1179</v>
      </c>
      <c r="O140" s="163">
        <v>4.8800000000000003E-2</v>
      </c>
      <c r="P140" s="163">
        <v>3.4299999999999997E-2</v>
      </c>
      <c r="Q140" s="163">
        <v>1.7100000000000001E-4</v>
      </c>
      <c r="R140" s="163">
        <v>1.44E-2</v>
      </c>
      <c r="S140" s="163">
        <v>0</v>
      </c>
      <c r="T140" s="163">
        <v>4.06E-4</v>
      </c>
      <c r="U140" s="163">
        <v>5.6999999999999996E-6</v>
      </c>
      <c r="V140" s="163">
        <v>1.0399999999999999E-4</v>
      </c>
      <c r="W140" s="163">
        <v>0</v>
      </c>
      <c r="X140" s="163">
        <v>-5.1099999999999995E-4</v>
      </c>
      <c r="AB140">
        <v>4</v>
      </c>
      <c r="AD140" s="362">
        <f t="shared" si="20"/>
        <v>0.19520000000000001</v>
      </c>
      <c r="AE140" s="362">
        <f t="shared" si="21"/>
        <v>0.13719999999999999</v>
      </c>
      <c r="AF140" s="362">
        <f t="shared" si="12"/>
        <v>6.8400000000000004E-4</v>
      </c>
      <c r="AG140" s="362">
        <f t="shared" si="13"/>
        <v>5.7599999999999998E-2</v>
      </c>
      <c r="AH140" s="362">
        <f t="shared" si="14"/>
        <v>0</v>
      </c>
      <c r="AI140" s="362">
        <f t="shared" si="15"/>
        <v>1.624E-3</v>
      </c>
      <c r="AJ140" s="362">
        <f t="shared" si="16"/>
        <v>2.2799999999999999E-5</v>
      </c>
      <c r="AK140" s="362">
        <f t="shared" si="17"/>
        <v>4.1599999999999997E-4</v>
      </c>
      <c r="AL140" s="362">
        <f t="shared" si="18"/>
        <v>0</v>
      </c>
      <c r="AM140" s="362">
        <f t="shared" si="19"/>
        <v>-2.0439999999999998E-3</v>
      </c>
      <c r="AN140" s="362"/>
    </row>
    <row r="141" spans="6:40">
      <c r="F141">
        <v>8</v>
      </c>
      <c r="G141" t="s">
        <v>1196</v>
      </c>
      <c r="H141" t="s">
        <v>1197</v>
      </c>
      <c r="I141" t="s">
        <v>1059</v>
      </c>
      <c r="J141" t="s">
        <v>1198</v>
      </c>
      <c r="K141" t="s">
        <v>1179</v>
      </c>
      <c r="O141" s="163">
        <v>5.5900000000000004E-3</v>
      </c>
      <c r="P141" s="163">
        <v>2.8600000000000001E-3</v>
      </c>
      <c r="Q141" s="163">
        <v>3.4799999999999999E-5</v>
      </c>
      <c r="R141" s="163">
        <v>2.64E-3</v>
      </c>
      <c r="S141" s="163">
        <v>0</v>
      </c>
      <c r="T141" s="163">
        <v>7.7799999999999994E-5</v>
      </c>
      <c r="U141" s="163">
        <v>1.1599999999999999E-6</v>
      </c>
      <c r="V141" s="163">
        <v>2.4600000000000002E-5</v>
      </c>
      <c r="W141" s="163">
        <v>0</v>
      </c>
      <c r="X141" s="163">
        <v>-4.2599999999999999E-5</v>
      </c>
      <c r="AB141">
        <v>9</v>
      </c>
      <c r="AD141" s="362">
        <f t="shared" si="20"/>
        <v>5.0310000000000001E-2</v>
      </c>
      <c r="AE141" s="362">
        <f t="shared" si="21"/>
        <v>2.5740000000000002E-2</v>
      </c>
      <c r="AF141" s="362">
        <f t="shared" si="12"/>
        <v>3.1319999999999997E-4</v>
      </c>
      <c r="AG141" s="362">
        <f t="shared" si="13"/>
        <v>2.376E-2</v>
      </c>
      <c r="AH141" s="362">
        <f t="shared" si="14"/>
        <v>0</v>
      </c>
      <c r="AI141" s="362">
        <f t="shared" si="15"/>
        <v>7.002E-4</v>
      </c>
      <c r="AJ141" s="362">
        <f t="shared" si="16"/>
        <v>1.0439999999999998E-5</v>
      </c>
      <c r="AK141" s="362">
        <f t="shared" si="17"/>
        <v>2.2140000000000001E-4</v>
      </c>
      <c r="AL141" s="362">
        <f t="shared" si="18"/>
        <v>0</v>
      </c>
      <c r="AM141" s="362">
        <f t="shared" si="19"/>
        <v>-3.834E-4</v>
      </c>
      <c r="AN141" s="362"/>
    </row>
    <row r="142" spans="6:40">
      <c r="F142">
        <v>9</v>
      </c>
      <c r="G142" t="s">
        <v>1199</v>
      </c>
      <c r="H142" t="s">
        <v>1200</v>
      </c>
      <c r="I142" t="s">
        <v>1201</v>
      </c>
      <c r="J142" t="s">
        <v>1059</v>
      </c>
      <c r="K142" t="s">
        <v>1202</v>
      </c>
      <c r="L142" t="s">
        <v>1179</v>
      </c>
      <c r="O142" s="163">
        <v>2.23</v>
      </c>
      <c r="P142" s="163">
        <v>0.99199999999999999</v>
      </c>
      <c r="Q142" s="163">
        <v>1.6500000000000001E-2</v>
      </c>
      <c r="R142" s="163">
        <v>1.1599999999999999</v>
      </c>
      <c r="S142" s="163">
        <v>0</v>
      </c>
      <c r="T142" s="163">
        <v>3.4299999999999997E-2</v>
      </c>
      <c r="U142" s="163">
        <v>5.5000000000000003E-4</v>
      </c>
      <c r="V142" s="163">
        <v>3.8300000000000001E-2</v>
      </c>
      <c r="W142" s="163">
        <v>0</v>
      </c>
      <c r="X142" s="163">
        <v>-1.0999999999999999E-2</v>
      </c>
      <c r="AB142">
        <v>0.09</v>
      </c>
      <c r="AD142" s="362">
        <f t="shared" si="20"/>
        <v>0.20069999999999999</v>
      </c>
      <c r="AE142" s="362">
        <f t="shared" si="21"/>
        <v>8.9279999999999998E-2</v>
      </c>
      <c r="AF142" s="362">
        <f t="shared" si="12"/>
        <v>1.485E-3</v>
      </c>
      <c r="AG142" s="362">
        <f t="shared" si="13"/>
        <v>0.10439999999999999</v>
      </c>
      <c r="AH142" s="362">
        <f t="shared" si="14"/>
        <v>0</v>
      </c>
      <c r="AI142" s="362">
        <f t="shared" si="15"/>
        <v>3.0869999999999995E-3</v>
      </c>
      <c r="AJ142" s="362">
        <f t="shared" si="16"/>
        <v>4.9500000000000004E-5</v>
      </c>
      <c r="AK142" s="362">
        <f t="shared" si="17"/>
        <v>3.447E-3</v>
      </c>
      <c r="AL142" s="362">
        <f t="shared" si="18"/>
        <v>0</v>
      </c>
      <c r="AM142" s="362">
        <f t="shared" si="19"/>
        <v>-9.8999999999999999E-4</v>
      </c>
      <c r="AN142" s="362"/>
    </row>
    <row r="143" spans="6:40">
      <c r="F143">
        <v>10</v>
      </c>
      <c r="G143" t="s">
        <v>1203</v>
      </c>
      <c r="H143" t="s">
        <v>1204</v>
      </c>
      <c r="I143" t="s">
        <v>1205</v>
      </c>
      <c r="J143" t="s">
        <v>1206</v>
      </c>
      <c r="K143" t="s">
        <v>1059</v>
      </c>
      <c r="L143" t="s">
        <v>1202</v>
      </c>
      <c r="O143" s="163">
        <v>5.3699999999999998E-2</v>
      </c>
      <c r="P143" s="163">
        <v>2.5399999999999999E-2</v>
      </c>
      <c r="Q143" s="163">
        <v>1.06E-3</v>
      </c>
      <c r="R143" s="163">
        <v>2.3199999999999998E-2</v>
      </c>
      <c r="S143" s="163">
        <v>0</v>
      </c>
      <c r="T143" s="163">
        <v>6.7900000000000002E-4</v>
      </c>
      <c r="U143" s="163">
        <v>3.5500000000000002E-5</v>
      </c>
      <c r="V143" s="163">
        <v>3.5200000000000001E-3</v>
      </c>
      <c r="W143" s="163">
        <v>0</v>
      </c>
      <c r="X143" s="163">
        <v>-2.6899999999999998E-4</v>
      </c>
      <c r="AB143">
        <v>0.03</v>
      </c>
      <c r="AD143" s="362">
        <f t="shared" si="20"/>
        <v>1.6109999999999998E-3</v>
      </c>
      <c r="AE143" s="362">
        <f t="shared" si="21"/>
        <v>7.6199999999999998E-4</v>
      </c>
      <c r="AF143" s="362">
        <f t="shared" si="12"/>
        <v>3.18E-5</v>
      </c>
      <c r="AG143" s="362">
        <f t="shared" si="13"/>
        <v>6.959999999999999E-4</v>
      </c>
      <c r="AH143" s="362">
        <f t="shared" si="14"/>
        <v>0</v>
      </c>
      <c r="AI143" s="362">
        <f t="shared" si="15"/>
        <v>2.037E-5</v>
      </c>
      <c r="AJ143" s="362">
        <f t="shared" si="16"/>
        <v>1.065E-6</v>
      </c>
      <c r="AK143" s="362">
        <f t="shared" si="17"/>
        <v>1.0560000000000001E-4</v>
      </c>
      <c r="AL143" s="362">
        <f t="shared" si="18"/>
        <v>0</v>
      </c>
      <c r="AM143" s="362">
        <f t="shared" si="19"/>
        <v>-8.069999999999999E-6</v>
      </c>
      <c r="AN143" s="362"/>
    </row>
    <row r="144" spans="6:40">
      <c r="F144">
        <v>12</v>
      </c>
      <c r="G144" t="s">
        <v>1207</v>
      </c>
      <c r="H144" t="s">
        <v>1208</v>
      </c>
      <c r="I144" t="s">
        <v>1205</v>
      </c>
      <c r="J144" t="s">
        <v>1209</v>
      </c>
      <c r="K144" t="s">
        <v>1059</v>
      </c>
      <c r="L144" t="s">
        <v>1202</v>
      </c>
      <c r="O144" s="163">
        <v>167</v>
      </c>
      <c r="P144" s="163">
        <v>80.2</v>
      </c>
      <c r="Q144" s="163">
        <v>2.79</v>
      </c>
      <c r="R144" s="163">
        <v>77.2</v>
      </c>
      <c r="S144" s="163">
        <v>0</v>
      </c>
      <c r="T144" s="163">
        <v>2.27</v>
      </c>
      <c r="U144" s="163">
        <v>9.2899999999999996E-2</v>
      </c>
      <c r="V144" s="163">
        <v>5.45</v>
      </c>
      <c r="W144" s="163">
        <v>0</v>
      </c>
      <c r="X144" s="163">
        <v>-0.71099999999999997</v>
      </c>
      <c r="AB144">
        <v>1E-4</v>
      </c>
      <c r="AD144" s="362">
        <f t="shared" si="20"/>
        <v>1.67E-2</v>
      </c>
      <c r="AE144" s="362">
        <f t="shared" si="21"/>
        <v>8.0200000000000011E-3</v>
      </c>
      <c r="AF144" s="362">
        <f t="shared" si="12"/>
        <v>2.7900000000000001E-4</v>
      </c>
      <c r="AG144" s="362">
        <f t="shared" si="13"/>
        <v>7.7200000000000003E-3</v>
      </c>
      <c r="AH144" s="362">
        <f t="shared" si="14"/>
        <v>0</v>
      </c>
      <c r="AI144" s="362">
        <f t="shared" si="15"/>
        <v>2.2700000000000002E-4</v>
      </c>
      <c r="AJ144" s="362">
        <f t="shared" si="16"/>
        <v>9.2900000000000008E-6</v>
      </c>
      <c r="AK144" s="362">
        <f t="shared" si="17"/>
        <v>5.4500000000000002E-4</v>
      </c>
      <c r="AL144" s="362">
        <f t="shared" si="18"/>
        <v>0</v>
      </c>
      <c r="AM144" s="362">
        <f t="shared" si="19"/>
        <v>-7.1099999999999994E-5</v>
      </c>
      <c r="AN144" s="362"/>
    </row>
    <row r="145" spans="6:40">
      <c r="F145">
        <v>14</v>
      </c>
      <c r="G145" t="s">
        <v>1203</v>
      </c>
      <c r="H145" t="s">
        <v>1210</v>
      </c>
      <c r="I145" t="s">
        <v>1211</v>
      </c>
      <c r="J145" t="s">
        <v>1059</v>
      </c>
      <c r="K145" t="s">
        <v>1202</v>
      </c>
      <c r="L145" t="s">
        <v>1179</v>
      </c>
      <c r="O145" s="163">
        <v>8.7899999999999992E-3</v>
      </c>
      <c r="P145" s="163">
        <v>4.3499999999999997E-3</v>
      </c>
      <c r="Q145" s="163">
        <v>9.7899999999999994E-5</v>
      </c>
      <c r="R145" s="163">
        <v>4.1399999999999996E-3</v>
      </c>
      <c r="S145" s="163">
        <v>0</v>
      </c>
      <c r="T145" s="163">
        <v>1.22E-4</v>
      </c>
      <c r="U145" s="163">
        <v>3.2600000000000001E-6</v>
      </c>
      <c r="V145" s="163">
        <v>1.06E-4</v>
      </c>
      <c r="W145" s="163">
        <v>0</v>
      </c>
      <c r="X145" s="163">
        <v>-3.1600000000000002E-5</v>
      </c>
      <c r="AB145">
        <v>0.06</v>
      </c>
      <c r="AD145" s="362">
        <f t="shared" si="20"/>
        <v>5.2739999999999992E-4</v>
      </c>
      <c r="AE145" s="362">
        <f t="shared" si="21"/>
        <v>2.6099999999999995E-4</v>
      </c>
      <c r="AF145" s="362">
        <f t="shared" si="12"/>
        <v>5.8739999999999992E-6</v>
      </c>
      <c r="AG145" s="362">
        <f t="shared" si="13"/>
        <v>2.4839999999999997E-4</v>
      </c>
      <c r="AH145" s="362">
        <f t="shared" si="14"/>
        <v>0</v>
      </c>
      <c r="AI145" s="362">
        <f t="shared" si="15"/>
        <v>7.3199999999999994E-6</v>
      </c>
      <c r="AJ145" s="362">
        <f t="shared" si="16"/>
        <v>1.956E-7</v>
      </c>
      <c r="AK145" s="362">
        <f t="shared" si="17"/>
        <v>6.3600000000000001E-6</v>
      </c>
      <c r="AL145" s="362">
        <f t="shared" si="18"/>
        <v>0</v>
      </c>
      <c r="AM145" s="362">
        <f t="shared" si="19"/>
        <v>-1.8960000000000001E-6</v>
      </c>
      <c r="AN145" s="362"/>
    </row>
    <row r="146" spans="6:40">
      <c r="F146" t="s">
        <v>1228</v>
      </c>
      <c r="G146" t="s">
        <v>1212</v>
      </c>
      <c r="H146" t="s">
        <v>1213</v>
      </c>
      <c r="I146" t="s">
        <v>1214</v>
      </c>
      <c r="J146" t="s">
        <v>1215</v>
      </c>
      <c r="K146" t="s">
        <v>1216</v>
      </c>
      <c r="O146" s="163">
        <v>9.07</v>
      </c>
      <c r="P146" s="163">
        <v>8.33</v>
      </c>
      <c r="Q146" s="163">
        <v>1.2699999999999999E-2</v>
      </c>
      <c r="R146" s="163">
        <v>0.755</v>
      </c>
      <c r="S146" s="163">
        <v>0</v>
      </c>
      <c r="T146" s="163">
        <v>1.54E-2</v>
      </c>
      <c r="U146" s="163">
        <v>4.2299999999999998E-4</v>
      </c>
      <c r="V146" s="163">
        <v>1.6299999999999999E-2</v>
      </c>
      <c r="W146" s="163">
        <v>0</v>
      </c>
      <c r="X146" s="163">
        <v>-6.1400000000000003E-2</v>
      </c>
      <c r="AD146" s="362">
        <f t="shared" ref="AD146:AM146" si="22">SUM(AD135:AD145)</f>
        <v>1.2368778327999999</v>
      </c>
      <c r="AE146" s="362">
        <f t="shared" si="22"/>
        <v>0.77238767919999995</v>
      </c>
      <c r="AF146" s="362">
        <f t="shared" si="22"/>
        <v>5.260168E-3</v>
      </c>
      <c r="AG146" s="362">
        <f t="shared" si="22"/>
        <v>0.44518463679999998</v>
      </c>
      <c r="AH146" s="362">
        <f t="shared" si="22"/>
        <v>0</v>
      </c>
      <c r="AI146" s="362">
        <f t="shared" si="22"/>
        <v>1.2859343384000001E-2</v>
      </c>
      <c r="AJ146" s="362">
        <f t="shared" si="22"/>
        <v>1.7516041000000001E-4</v>
      </c>
      <c r="AK146" s="362">
        <f t="shared" si="22"/>
        <v>2.0449561472E-2</v>
      </c>
      <c r="AL146" s="362">
        <f t="shared" si="22"/>
        <v>0</v>
      </c>
      <c r="AM146" s="362">
        <f t="shared" si="22"/>
        <v>-1.8745034984E-2</v>
      </c>
      <c r="AN146" s="362"/>
    </row>
    <row r="147" spans="6:40">
      <c r="F147" t="s">
        <v>1229</v>
      </c>
      <c r="G147" t="s">
        <v>1212</v>
      </c>
      <c r="H147" t="s">
        <v>1213</v>
      </c>
      <c r="I147" t="s">
        <v>1217</v>
      </c>
      <c r="J147" t="s">
        <v>1215</v>
      </c>
      <c r="K147" t="s">
        <v>1216</v>
      </c>
      <c r="O147" s="163">
        <v>385</v>
      </c>
      <c r="P147" s="163">
        <v>311</v>
      </c>
      <c r="Q147" s="330">
        <v>0.81100000000000005</v>
      </c>
      <c r="R147" s="163">
        <v>78.400000000000006</v>
      </c>
      <c r="S147" s="163">
        <v>0</v>
      </c>
      <c r="T147" s="163">
        <v>2.11</v>
      </c>
      <c r="U147" s="163">
        <v>2.7E-2</v>
      </c>
      <c r="V147" s="163">
        <v>0.38800000000000001</v>
      </c>
      <c r="W147" s="163">
        <v>0</v>
      </c>
      <c r="X147" s="163">
        <v>-7.77</v>
      </c>
      <c r="AC147" s="330"/>
      <c r="AD147" s="211"/>
      <c r="AE147">
        <v>0.77238767919999995</v>
      </c>
      <c r="AF147">
        <v>5.260168E-3</v>
      </c>
      <c r="AG147">
        <v>0.44518463679999998</v>
      </c>
      <c r="AH147">
        <v>0</v>
      </c>
      <c r="AI147">
        <v>1.2859343384000001E-2</v>
      </c>
      <c r="AJ147">
        <v>1.7516041000000001E-4</v>
      </c>
      <c r="AK147">
        <v>2.0449561472E-2</v>
      </c>
      <c r="AL147">
        <v>0</v>
      </c>
      <c r="AM147">
        <v>-1.8745034984E-2</v>
      </c>
    </row>
    <row r="148" spans="6:40">
      <c r="F148" t="s">
        <v>1230</v>
      </c>
      <c r="G148" t="s">
        <v>1219</v>
      </c>
      <c r="H148" t="s">
        <v>1204</v>
      </c>
      <c r="I148" t="s">
        <v>1205</v>
      </c>
      <c r="J148" t="s">
        <v>1220</v>
      </c>
      <c r="K148" t="s">
        <v>1221</v>
      </c>
      <c r="L148" t="s">
        <v>666</v>
      </c>
      <c r="O148" s="163">
        <v>9.5600000000000004E-2</v>
      </c>
      <c r="P148" s="163">
        <v>8.6800000000000002E-2</v>
      </c>
      <c r="Q148" s="163">
        <v>1.65E-4</v>
      </c>
      <c r="R148" s="163">
        <v>9.1400000000000006E-3</v>
      </c>
      <c r="S148" s="163">
        <v>0</v>
      </c>
      <c r="T148" s="163">
        <v>2.0000000000000001E-4</v>
      </c>
      <c r="U148" s="163">
        <v>5.49E-6</v>
      </c>
      <c r="V148" s="163">
        <v>1.94E-4</v>
      </c>
      <c r="W148" s="163">
        <v>0</v>
      </c>
      <c r="X148" s="163">
        <v>-9.8499999999999998E-4</v>
      </c>
    </row>
    <row r="149" spans="6:40">
      <c r="F149">
        <v>106</v>
      </c>
      <c r="G149" t="s">
        <v>1222</v>
      </c>
      <c r="H149" t="s">
        <v>1223</v>
      </c>
      <c r="I149" t="s">
        <v>1224</v>
      </c>
      <c r="J149" t="s">
        <v>1059</v>
      </c>
      <c r="O149" s="163">
        <v>5.31E-4</v>
      </c>
      <c r="P149" s="163">
        <v>3.3599999999999997E-5</v>
      </c>
      <c r="Q149" s="163">
        <v>5.7400000000000001E-6</v>
      </c>
      <c r="R149" s="163">
        <v>4.8000000000000001E-4</v>
      </c>
      <c r="S149" s="163">
        <v>0</v>
      </c>
      <c r="T149" s="163">
        <v>1.4600000000000001E-5</v>
      </c>
      <c r="U149" s="163">
        <v>1.91E-7</v>
      </c>
      <c r="V149" s="163">
        <v>5.6599999999999996E-7</v>
      </c>
      <c r="W149" s="163">
        <v>0</v>
      </c>
      <c r="X149" s="163">
        <v>-3.4800000000000001E-6</v>
      </c>
    </row>
    <row r="150" spans="6:40">
      <c r="F150">
        <v>105</v>
      </c>
      <c r="G150" t="s">
        <v>1222</v>
      </c>
      <c r="H150" t="s">
        <v>1174</v>
      </c>
      <c r="I150" t="s">
        <v>1223</v>
      </c>
      <c r="J150" t="s">
        <v>1224</v>
      </c>
      <c r="O150" s="163">
        <v>0.65900000000000003</v>
      </c>
      <c r="P150" s="163">
        <v>0.438</v>
      </c>
      <c r="Q150" s="163">
        <v>6.6900000000000001E-2</v>
      </c>
      <c r="R150" s="163">
        <v>0.13200000000000001</v>
      </c>
      <c r="S150" s="163">
        <v>0</v>
      </c>
      <c r="T150" s="163">
        <v>3.5500000000000002E-3</v>
      </c>
      <c r="U150" s="163">
        <v>2.2300000000000002E-3</v>
      </c>
      <c r="V150" s="163">
        <v>1.84E-2</v>
      </c>
      <c r="W150" s="163">
        <v>0</v>
      </c>
      <c r="X150" s="163">
        <v>-2.33E-3</v>
      </c>
    </row>
    <row r="151" spans="6:40">
      <c r="F151">
        <v>107</v>
      </c>
      <c r="G151" t="s">
        <v>1222</v>
      </c>
      <c r="H151" t="s">
        <v>1231</v>
      </c>
      <c r="I151" t="s">
        <v>1224</v>
      </c>
      <c r="J151" t="s">
        <v>1059</v>
      </c>
      <c r="O151" s="163">
        <v>1.13E-4</v>
      </c>
      <c r="P151" s="163">
        <v>1.1E-4</v>
      </c>
      <c r="Q151" s="163">
        <v>0</v>
      </c>
      <c r="R151" s="163">
        <v>3.3000000000000002E-6</v>
      </c>
      <c r="S151" s="163">
        <v>0</v>
      </c>
      <c r="T151" s="163">
        <v>0</v>
      </c>
      <c r="U151" s="163">
        <v>0</v>
      </c>
      <c r="V151" s="163">
        <v>1.31E-6</v>
      </c>
      <c r="W151" s="163">
        <v>0</v>
      </c>
      <c r="X151" s="163">
        <v>-1.3400000000000001E-6</v>
      </c>
    </row>
    <row r="154" spans="6:40">
      <c r="G154" s="163"/>
      <c r="H154" s="163"/>
      <c r="I154" s="163"/>
      <c r="J154" s="163"/>
      <c r="K154" s="163"/>
      <c r="L154" s="163"/>
      <c r="M154" s="163"/>
      <c r="N154" s="163"/>
      <c r="O154" t="s">
        <v>90</v>
      </c>
      <c r="P154" s="163" t="s">
        <v>1226</v>
      </c>
      <c r="Q154" s="163" t="s">
        <v>78</v>
      </c>
      <c r="R154" t="s">
        <v>79</v>
      </c>
      <c r="S154" t="s">
        <v>1227</v>
      </c>
      <c r="T154" t="s">
        <v>83</v>
      </c>
      <c r="U154" t="s">
        <v>84</v>
      </c>
      <c r="V154" t="s">
        <v>85</v>
      </c>
      <c r="W154" t="s">
        <v>86</v>
      </c>
      <c r="X154" t="s">
        <v>89</v>
      </c>
      <c r="AD154" t="s">
        <v>90</v>
      </c>
      <c r="AE154" s="163" t="s">
        <v>1226</v>
      </c>
      <c r="AF154" s="163" t="s">
        <v>78</v>
      </c>
      <c r="AG154" t="s">
        <v>79</v>
      </c>
      <c r="AH154" t="s">
        <v>1227</v>
      </c>
      <c r="AI154" t="s">
        <v>83</v>
      </c>
      <c r="AJ154" t="s">
        <v>84</v>
      </c>
      <c r="AK154" t="s">
        <v>85</v>
      </c>
      <c r="AL154" t="s">
        <v>86</v>
      </c>
      <c r="AM154" t="s">
        <v>89</v>
      </c>
    </row>
    <row r="155" spans="6:40">
      <c r="F155">
        <v>1</v>
      </c>
      <c r="G155" t="s">
        <v>1172</v>
      </c>
      <c r="H155" t="s">
        <v>1173</v>
      </c>
      <c r="I155" t="s">
        <v>1174</v>
      </c>
      <c r="J155" t="s">
        <v>1175</v>
      </c>
      <c r="K155" t="s">
        <v>1176</v>
      </c>
      <c r="O155" s="163">
        <v>2.1800000000000001E-5</v>
      </c>
      <c r="P155" s="163">
        <v>1.4399999999999999E-5</v>
      </c>
      <c r="Q155" s="163">
        <v>3.84E-7</v>
      </c>
      <c r="R155" s="163">
        <v>4.87E-6</v>
      </c>
      <c r="S155" s="163">
        <v>0</v>
      </c>
      <c r="T155" s="163">
        <v>2.2199999999999999E-6</v>
      </c>
      <c r="U155" s="163">
        <v>3.5900000000000003E-7</v>
      </c>
      <c r="V155" s="163">
        <v>2.2099999999999999E-8</v>
      </c>
      <c r="W155" s="163">
        <v>1.13E-6</v>
      </c>
      <c r="X155" s="163">
        <v>-1.5400000000000001E-6</v>
      </c>
      <c r="AB155">
        <v>0.16</v>
      </c>
      <c r="AD155" s="362">
        <f>O155*AB155</f>
        <v>3.4880000000000003E-6</v>
      </c>
      <c r="AE155" s="362">
        <f>P155*$AB155</f>
        <v>2.3039999999999999E-6</v>
      </c>
      <c r="AF155" s="362">
        <f t="shared" ref="AF155:AF165" si="23">Q155*$AB155</f>
        <v>6.144E-8</v>
      </c>
      <c r="AG155" s="362">
        <f t="shared" ref="AG155:AG165" si="24">R155*$AB155</f>
        <v>7.7919999999999999E-7</v>
      </c>
      <c r="AH155" s="362">
        <f t="shared" ref="AH155:AH165" si="25">S155*$AB155</f>
        <v>0</v>
      </c>
      <c r="AI155" s="362">
        <f t="shared" ref="AI155:AI165" si="26">T155*$AB155</f>
        <v>3.552E-7</v>
      </c>
      <c r="AJ155" s="362">
        <f t="shared" ref="AJ155:AJ165" si="27">U155*$AB155</f>
        <v>5.7440000000000003E-8</v>
      </c>
      <c r="AK155" s="362">
        <f t="shared" ref="AK155:AK165" si="28">V155*$AB155</f>
        <v>3.5359999999999998E-9</v>
      </c>
      <c r="AL155" s="362">
        <f t="shared" ref="AL155:AL165" si="29">W155*$AB155</f>
        <v>1.808E-7</v>
      </c>
      <c r="AM155" s="362">
        <f t="shared" ref="AM155:AM165" si="30">X155*$AB155</f>
        <v>-2.4640000000000004E-7</v>
      </c>
      <c r="AN155" s="362"/>
    </row>
    <row r="156" spans="6:40">
      <c r="F156">
        <v>2</v>
      </c>
      <c r="G156" t="s">
        <v>1172</v>
      </c>
      <c r="H156" t="s">
        <v>1173</v>
      </c>
      <c r="I156" t="s">
        <v>1175</v>
      </c>
      <c r="J156" t="s">
        <v>1176</v>
      </c>
      <c r="K156" t="s">
        <v>1059</v>
      </c>
      <c r="O156" s="163">
        <v>0.46700000000000003</v>
      </c>
      <c r="P156" s="163">
        <v>0.58499999999999996</v>
      </c>
      <c r="Q156" s="163">
        <v>1.5200000000000001E-3</v>
      </c>
      <c r="R156" s="163">
        <v>7.5499999999999998E-2</v>
      </c>
      <c r="S156" s="163">
        <v>0</v>
      </c>
      <c r="T156" s="163">
        <v>3.2300000000000002E-2</v>
      </c>
      <c r="U156" s="163">
        <v>1.41E-3</v>
      </c>
      <c r="V156" s="163">
        <v>2.0699999999999999E-4</v>
      </c>
      <c r="W156" s="163">
        <v>3.4499999999999999E-3</v>
      </c>
      <c r="X156" s="163">
        <v>-0.23300000000000001</v>
      </c>
      <c r="AB156">
        <v>0.16</v>
      </c>
      <c r="AD156" s="362">
        <f t="shared" ref="AD156:AD165" si="31">O156*AB156</f>
        <v>7.4720000000000009E-2</v>
      </c>
      <c r="AE156" s="362">
        <f t="shared" ref="AE156:AE165" si="32">P156*$AB156</f>
        <v>9.3600000000000003E-2</v>
      </c>
      <c r="AF156" s="362">
        <f t="shared" si="23"/>
        <v>2.4320000000000003E-4</v>
      </c>
      <c r="AG156" s="362">
        <f t="shared" si="24"/>
        <v>1.208E-2</v>
      </c>
      <c r="AH156" s="362">
        <f t="shared" si="25"/>
        <v>0</v>
      </c>
      <c r="AI156" s="362">
        <f t="shared" si="26"/>
        <v>5.1680000000000007E-3</v>
      </c>
      <c r="AJ156" s="362">
        <f t="shared" si="27"/>
        <v>2.2560000000000001E-4</v>
      </c>
      <c r="AK156" s="362">
        <f t="shared" si="28"/>
        <v>3.3120000000000001E-5</v>
      </c>
      <c r="AL156" s="362">
        <f t="shared" si="29"/>
        <v>5.5199999999999997E-4</v>
      </c>
      <c r="AM156" s="362">
        <f t="shared" si="30"/>
        <v>-3.7280000000000001E-2</v>
      </c>
      <c r="AN156" s="362"/>
    </row>
    <row r="157" spans="6:40">
      <c r="F157">
        <v>4</v>
      </c>
      <c r="G157" t="s">
        <v>1180</v>
      </c>
      <c r="H157" t="s">
        <v>1181</v>
      </c>
      <c r="I157" t="s">
        <v>1182</v>
      </c>
      <c r="J157" t="s">
        <v>1059</v>
      </c>
      <c r="K157" t="s">
        <v>1183</v>
      </c>
      <c r="O157" s="163">
        <v>72.8</v>
      </c>
      <c r="P157" s="163">
        <v>40</v>
      </c>
      <c r="Q157" s="163">
        <v>0.2</v>
      </c>
      <c r="R157" s="163">
        <v>11.2</v>
      </c>
      <c r="S157" s="163">
        <v>0</v>
      </c>
      <c r="T157" s="163">
        <v>4.7300000000000004</v>
      </c>
      <c r="U157" s="163">
        <v>0.187</v>
      </c>
      <c r="V157" s="163">
        <v>0.20100000000000001</v>
      </c>
      <c r="W157" s="163">
        <v>40.9</v>
      </c>
      <c r="X157" s="163">
        <v>-24.6</v>
      </c>
      <c r="AB157">
        <v>0.05</v>
      </c>
      <c r="AD157" s="362">
        <f t="shared" si="31"/>
        <v>3.64</v>
      </c>
      <c r="AE157" s="362">
        <f t="shared" si="32"/>
        <v>2</v>
      </c>
      <c r="AF157" s="362">
        <f t="shared" si="23"/>
        <v>1.0000000000000002E-2</v>
      </c>
      <c r="AG157" s="362">
        <f t="shared" si="24"/>
        <v>0.55999999999999994</v>
      </c>
      <c r="AH157" s="362">
        <f t="shared" si="25"/>
        <v>0</v>
      </c>
      <c r="AI157" s="362">
        <f t="shared" si="26"/>
        <v>0.23650000000000004</v>
      </c>
      <c r="AJ157" s="362">
        <f t="shared" si="27"/>
        <v>9.3500000000000007E-3</v>
      </c>
      <c r="AK157" s="362">
        <f t="shared" si="28"/>
        <v>1.0050000000000002E-2</v>
      </c>
      <c r="AL157" s="362">
        <f t="shared" si="29"/>
        <v>2.0449999999999999</v>
      </c>
      <c r="AM157" s="362">
        <f t="shared" si="30"/>
        <v>-1.2300000000000002</v>
      </c>
      <c r="AN157" s="362"/>
    </row>
    <row r="158" spans="6:40">
      <c r="F158">
        <v>5</v>
      </c>
      <c r="G158" t="s">
        <v>1184</v>
      </c>
      <c r="H158" t="s">
        <v>1185</v>
      </c>
      <c r="I158" t="s">
        <v>1186</v>
      </c>
      <c r="J158" t="s">
        <v>1187</v>
      </c>
      <c r="K158" t="s">
        <v>1059</v>
      </c>
      <c r="O158" s="163">
        <v>4.0499999999999999E-7</v>
      </c>
      <c r="P158" s="163">
        <v>5.8800000000000002E-7</v>
      </c>
      <c r="Q158" s="163">
        <v>3.9799999999999999E-8</v>
      </c>
      <c r="R158" s="163">
        <v>1.59E-6</v>
      </c>
      <c r="S158" s="163">
        <v>0</v>
      </c>
      <c r="T158" s="163">
        <v>8.2500000000000004E-7</v>
      </c>
      <c r="U158" s="163">
        <v>3.7200000000000002E-8</v>
      </c>
      <c r="V158" s="163">
        <v>4.5399999999999996E-9</v>
      </c>
      <c r="W158" s="163">
        <v>5.1599999999999999E-8</v>
      </c>
      <c r="X158" s="163">
        <v>-2.7300000000000001E-6</v>
      </c>
      <c r="AB158">
        <v>30</v>
      </c>
      <c r="AD158" s="362">
        <f t="shared" si="31"/>
        <v>1.2149999999999999E-5</v>
      </c>
      <c r="AE158" s="362">
        <f t="shared" si="32"/>
        <v>1.7640000000000001E-5</v>
      </c>
      <c r="AF158" s="362">
        <f t="shared" si="23"/>
        <v>1.1939999999999999E-6</v>
      </c>
      <c r="AG158" s="362">
        <f t="shared" si="24"/>
        <v>4.7700000000000001E-5</v>
      </c>
      <c r="AH158" s="362">
        <f t="shared" si="25"/>
        <v>0</v>
      </c>
      <c r="AI158" s="362">
        <f t="shared" si="26"/>
        <v>2.4750000000000002E-5</v>
      </c>
      <c r="AJ158" s="362">
        <f t="shared" si="27"/>
        <v>1.116E-6</v>
      </c>
      <c r="AK158" s="362">
        <f t="shared" si="28"/>
        <v>1.3619999999999999E-7</v>
      </c>
      <c r="AL158" s="362">
        <f t="shared" si="29"/>
        <v>1.548E-6</v>
      </c>
      <c r="AM158" s="362">
        <f t="shared" si="30"/>
        <v>-8.1899999999999999E-5</v>
      </c>
      <c r="AN158" s="362"/>
    </row>
    <row r="159" spans="6:40">
      <c r="F159">
        <v>6</v>
      </c>
      <c r="G159" t="s">
        <v>1189</v>
      </c>
      <c r="H159" t="s">
        <v>1190</v>
      </c>
      <c r="I159" t="s">
        <v>1191</v>
      </c>
      <c r="J159" t="s">
        <v>1059</v>
      </c>
      <c r="K159" t="s">
        <v>1192</v>
      </c>
      <c r="O159" s="163">
        <v>4.7100000000000003E-2</v>
      </c>
      <c r="P159" s="163">
        <v>4.5400000000000003E-2</v>
      </c>
      <c r="Q159" s="163">
        <v>1.26E-4</v>
      </c>
      <c r="R159" s="163">
        <v>4.3499999999999997E-3</v>
      </c>
      <c r="S159" s="163">
        <v>0</v>
      </c>
      <c r="T159" s="163">
        <v>1.56E-3</v>
      </c>
      <c r="U159" s="163">
        <v>1.18E-4</v>
      </c>
      <c r="V159" s="163">
        <v>4.6100000000000002E-5</v>
      </c>
      <c r="W159" s="163">
        <v>2.5000000000000001E-4</v>
      </c>
      <c r="X159" s="163">
        <v>-4.7400000000000003E-3</v>
      </c>
      <c r="AB159">
        <v>2</v>
      </c>
      <c r="AD159" s="362">
        <f t="shared" si="31"/>
        <v>9.4200000000000006E-2</v>
      </c>
      <c r="AE159" s="362">
        <f t="shared" si="32"/>
        <v>9.0800000000000006E-2</v>
      </c>
      <c r="AF159" s="362">
        <f t="shared" si="23"/>
        <v>2.52E-4</v>
      </c>
      <c r="AG159" s="362">
        <f t="shared" si="24"/>
        <v>8.6999999999999994E-3</v>
      </c>
      <c r="AH159" s="362">
        <f t="shared" si="25"/>
        <v>0</v>
      </c>
      <c r="AI159" s="362">
        <f t="shared" si="26"/>
        <v>3.1199999999999999E-3</v>
      </c>
      <c r="AJ159" s="362">
        <f t="shared" si="27"/>
        <v>2.3599999999999999E-4</v>
      </c>
      <c r="AK159" s="362">
        <f t="shared" si="28"/>
        <v>9.2200000000000005E-5</v>
      </c>
      <c r="AL159" s="362">
        <f t="shared" si="29"/>
        <v>5.0000000000000001E-4</v>
      </c>
      <c r="AM159" s="362">
        <f t="shared" si="30"/>
        <v>-9.4800000000000006E-3</v>
      </c>
      <c r="AN159" s="362"/>
    </row>
    <row r="160" spans="6:40">
      <c r="F160">
        <v>7</v>
      </c>
      <c r="G160" t="s">
        <v>1193</v>
      </c>
      <c r="H160" t="s">
        <v>1194</v>
      </c>
      <c r="I160" t="s">
        <v>1059</v>
      </c>
      <c r="J160" t="s">
        <v>1195</v>
      </c>
      <c r="K160" t="s">
        <v>1179</v>
      </c>
      <c r="O160" s="163">
        <v>0.17899999999999999</v>
      </c>
      <c r="P160" s="163">
        <v>0.14599999999999999</v>
      </c>
      <c r="Q160" s="163">
        <v>7.2999999999999996E-4</v>
      </c>
      <c r="R160" s="163">
        <v>3.1800000000000002E-2</v>
      </c>
      <c r="S160" s="163">
        <v>0</v>
      </c>
      <c r="T160" s="163">
        <v>1.3899999999999999E-2</v>
      </c>
      <c r="U160" s="163">
        <v>6.8199999999999999E-4</v>
      </c>
      <c r="V160" s="163">
        <v>1.16E-4</v>
      </c>
      <c r="W160" s="163">
        <v>4.3899999999999998E-3</v>
      </c>
      <c r="X160" s="163">
        <v>-1.8800000000000001E-2</v>
      </c>
      <c r="AB160">
        <v>4</v>
      </c>
      <c r="AD160" s="362">
        <f t="shared" si="31"/>
        <v>0.71599999999999997</v>
      </c>
      <c r="AE160" s="362">
        <f t="shared" si="32"/>
        <v>0.58399999999999996</v>
      </c>
      <c r="AF160" s="362">
        <f t="shared" si="23"/>
        <v>2.9199999999999999E-3</v>
      </c>
      <c r="AG160" s="362">
        <f t="shared" si="24"/>
        <v>0.12720000000000001</v>
      </c>
      <c r="AH160" s="362">
        <f t="shared" si="25"/>
        <v>0</v>
      </c>
      <c r="AI160" s="362">
        <f t="shared" si="26"/>
        <v>5.5599999999999997E-2</v>
      </c>
      <c r="AJ160" s="362">
        <f t="shared" si="27"/>
        <v>2.728E-3</v>
      </c>
      <c r="AK160" s="362">
        <f t="shared" si="28"/>
        <v>4.64E-4</v>
      </c>
      <c r="AL160" s="362">
        <f t="shared" si="29"/>
        <v>1.7559999999999999E-2</v>
      </c>
      <c r="AM160" s="362">
        <f t="shared" si="30"/>
        <v>-7.5200000000000003E-2</v>
      </c>
      <c r="AN160" s="362"/>
    </row>
    <row r="161" spans="6:40">
      <c r="F161">
        <v>8</v>
      </c>
      <c r="G161" t="s">
        <v>1196</v>
      </c>
      <c r="H161" t="s">
        <v>1197</v>
      </c>
      <c r="I161" t="s">
        <v>1059</v>
      </c>
      <c r="J161" t="s">
        <v>1198</v>
      </c>
      <c r="K161" t="s">
        <v>1179</v>
      </c>
      <c r="O161" s="163">
        <v>0.02</v>
      </c>
      <c r="P161" s="163">
        <v>1.2200000000000001E-2</v>
      </c>
      <c r="Q161" s="163">
        <v>1.4899999999999999E-4</v>
      </c>
      <c r="R161" s="163">
        <v>5.6600000000000001E-3</v>
      </c>
      <c r="S161" s="163">
        <v>0</v>
      </c>
      <c r="T161" s="163">
        <v>2.66E-3</v>
      </c>
      <c r="U161" s="163">
        <v>1.3899999999999999E-4</v>
      </c>
      <c r="V161" s="163">
        <v>4.5399999999999999E-5</v>
      </c>
      <c r="W161" s="163">
        <v>1.64E-3</v>
      </c>
      <c r="X161" s="163">
        <v>-2.5000000000000001E-3</v>
      </c>
      <c r="AB161">
        <v>9</v>
      </c>
      <c r="AD161" s="362">
        <f t="shared" si="31"/>
        <v>0.18</v>
      </c>
      <c r="AE161" s="362">
        <f t="shared" si="32"/>
        <v>0.10980000000000001</v>
      </c>
      <c r="AF161" s="362">
        <f t="shared" si="23"/>
        <v>1.341E-3</v>
      </c>
      <c r="AG161" s="362">
        <f t="shared" si="24"/>
        <v>5.0939999999999999E-2</v>
      </c>
      <c r="AH161" s="362">
        <f t="shared" si="25"/>
        <v>0</v>
      </c>
      <c r="AI161" s="362">
        <f t="shared" si="26"/>
        <v>2.3939999999999999E-2</v>
      </c>
      <c r="AJ161" s="362">
        <f t="shared" si="27"/>
        <v>1.2509999999999999E-3</v>
      </c>
      <c r="AK161" s="362">
        <f t="shared" si="28"/>
        <v>4.0860000000000001E-4</v>
      </c>
      <c r="AL161" s="362">
        <f t="shared" si="29"/>
        <v>1.4759999999999999E-2</v>
      </c>
      <c r="AM161" s="362">
        <f t="shared" si="30"/>
        <v>-2.2499999999999999E-2</v>
      </c>
      <c r="AN161" s="362"/>
    </row>
    <row r="162" spans="6:40">
      <c r="F162">
        <v>9</v>
      </c>
      <c r="G162" t="s">
        <v>1199</v>
      </c>
      <c r="H162" t="s">
        <v>1200</v>
      </c>
      <c r="I162" t="s">
        <v>1201</v>
      </c>
      <c r="J162" t="s">
        <v>1059</v>
      </c>
      <c r="K162" t="s">
        <v>1202</v>
      </c>
      <c r="O162" s="163">
        <v>8.16</v>
      </c>
      <c r="P162" s="163">
        <v>4.24</v>
      </c>
      <c r="Q162" s="163">
        <v>7.0499999999999993E-2</v>
      </c>
      <c r="R162" s="163">
        <v>2.48</v>
      </c>
      <c r="S162" s="163">
        <v>0</v>
      </c>
      <c r="T162" s="163">
        <v>1.17</v>
      </c>
      <c r="U162" s="163">
        <v>6.5799999999999997E-2</v>
      </c>
      <c r="V162" s="163">
        <v>1.6199999999999999E-2</v>
      </c>
      <c r="W162" s="163">
        <v>1.36</v>
      </c>
      <c r="X162" s="163">
        <v>-1.25</v>
      </c>
      <c r="AB162">
        <v>0.09</v>
      </c>
      <c r="AD162" s="362">
        <f t="shared" si="31"/>
        <v>0.73439999999999994</v>
      </c>
      <c r="AE162" s="362">
        <f t="shared" si="32"/>
        <v>0.38159999999999999</v>
      </c>
      <c r="AF162" s="362">
        <f t="shared" si="23"/>
        <v>6.3449999999999991E-3</v>
      </c>
      <c r="AG162" s="362">
        <f t="shared" si="24"/>
        <v>0.22319999999999998</v>
      </c>
      <c r="AH162" s="362">
        <f t="shared" si="25"/>
        <v>0</v>
      </c>
      <c r="AI162" s="362">
        <f t="shared" si="26"/>
        <v>0.10529999999999999</v>
      </c>
      <c r="AJ162" s="362">
        <f t="shared" si="27"/>
        <v>5.9219999999999993E-3</v>
      </c>
      <c r="AK162" s="362">
        <f t="shared" si="28"/>
        <v>1.4579999999999999E-3</v>
      </c>
      <c r="AL162" s="362">
        <f t="shared" si="29"/>
        <v>0.12240000000000001</v>
      </c>
      <c r="AM162" s="362">
        <f t="shared" si="30"/>
        <v>-0.11249999999999999</v>
      </c>
      <c r="AN162" s="362"/>
    </row>
    <row r="163" spans="6:40">
      <c r="F163">
        <v>10</v>
      </c>
      <c r="G163" t="s">
        <v>1203</v>
      </c>
      <c r="H163" t="s">
        <v>1204</v>
      </c>
      <c r="I163" t="s">
        <v>1205</v>
      </c>
      <c r="J163" t="s">
        <v>1206</v>
      </c>
      <c r="K163" t="s">
        <v>1059</v>
      </c>
      <c r="O163" s="163">
        <v>0.67100000000000004</v>
      </c>
      <c r="P163" s="163">
        <v>0.109</v>
      </c>
      <c r="Q163" s="163">
        <v>4.5500000000000002E-3</v>
      </c>
      <c r="R163" s="163">
        <v>6.3899999999999998E-2</v>
      </c>
      <c r="S163" s="163">
        <v>0</v>
      </c>
      <c r="T163" s="163">
        <v>2.3199999999999998E-2</v>
      </c>
      <c r="U163" s="163">
        <v>4.2399999999999998E-3</v>
      </c>
      <c r="V163" s="163">
        <v>1.7100000000000001E-2</v>
      </c>
      <c r="W163" s="163">
        <v>0.46300000000000002</v>
      </c>
      <c r="X163" s="163">
        <v>-1.3899999999999999E-2</v>
      </c>
      <c r="AB163">
        <v>0.03</v>
      </c>
      <c r="AD163" s="362">
        <f t="shared" si="31"/>
        <v>2.0130000000000002E-2</v>
      </c>
      <c r="AE163" s="362">
        <f t="shared" si="32"/>
        <v>3.2699999999999999E-3</v>
      </c>
      <c r="AF163" s="362">
        <f t="shared" si="23"/>
        <v>1.3650000000000001E-4</v>
      </c>
      <c r="AG163" s="362">
        <f t="shared" si="24"/>
        <v>1.9169999999999999E-3</v>
      </c>
      <c r="AH163" s="362">
        <f t="shared" si="25"/>
        <v>0</v>
      </c>
      <c r="AI163" s="362">
        <f t="shared" si="26"/>
        <v>6.959999999999999E-4</v>
      </c>
      <c r="AJ163" s="362">
        <f t="shared" si="27"/>
        <v>1.272E-4</v>
      </c>
      <c r="AK163" s="362">
        <f t="shared" si="28"/>
        <v>5.13E-4</v>
      </c>
      <c r="AL163" s="362">
        <f t="shared" si="29"/>
        <v>1.389E-2</v>
      </c>
      <c r="AM163" s="362">
        <f t="shared" si="30"/>
        <v>-4.1699999999999994E-4</v>
      </c>
      <c r="AN163" s="362"/>
    </row>
    <row r="164" spans="6:40">
      <c r="F164">
        <v>12</v>
      </c>
      <c r="G164" t="s">
        <v>1207</v>
      </c>
      <c r="H164" t="s">
        <v>1208</v>
      </c>
      <c r="I164" t="s">
        <v>1205</v>
      </c>
      <c r="J164" t="s">
        <v>1209</v>
      </c>
      <c r="K164" t="s">
        <v>1059</v>
      </c>
      <c r="O164" s="163">
        <v>1260</v>
      </c>
      <c r="P164" s="163">
        <v>342</v>
      </c>
      <c r="Q164" s="163">
        <v>11.9</v>
      </c>
      <c r="R164" s="163">
        <v>185</v>
      </c>
      <c r="S164" s="163">
        <v>0</v>
      </c>
      <c r="T164" s="163">
        <v>77.7</v>
      </c>
      <c r="U164" s="163">
        <v>11.1</v>
      </c>
      <c r="V164" s="163">
        <v>17</v>
      </c>
      <c r="W164" s="163">
        <v>677</v>
      </c>
      <c r="X164" s="163">
        <v>-58.4</v>
      </c>
      <c r="AB164">
        <v>1E-4</v>
      </c>
      <c r="AD164" s="362">
        <f t="shared" si="31"/>
        <v>0.126</v>
      </c>
      <c r="AE164" s="362">
        <f t="shared" si="32"/>
        <v>3.4200000000000001E-2</v>
      </c>
      <c r="AF164" s="362">
        <f t="shared" si="23"/>
        <v>1.1900000000000001E-3</v>
      </c>
      <c r="AG164" s="362">
        <f t="shared" si="24"/>
        <v>1.8500000000000003E-2</v>
      </c>
      <c r="AH164" s="362">
        <f t="shared" si="25"/>
        <v>0</v>
      </c>
      <c r="AI164" s="362">
        <f t="shared" si="26"/>
        <v>7.7700000000000009E-3</v>
      </c>
      <c r="AJ164" s="362">
        <f t="shared" si="27"/>
        <v>1.1100000000000001E-3</v>
      </c>
      <c r="AK164" s="362">
        <f t="shared" si="28"/>
        <v>1.7000000000000001E-3</v>
      </c>
      <c r="AL164" s="362">
        <f t="shared" si="29"/>
        <v>6.770000000000001E-2</v>
      </c>
      <c r="AM164" s="362">
        <f t="shared" si="30"/>
        <v>-5.8399999999999997E-3</v>
      </c>
      <c r="AN164" s="362"/>
    </row>
    <row r="165" spans="6:40">
      <c r="F165">
        <v>14</v>
      </c>
      <c r="G165" t="s">
        <v>1203</v>
      </c>
      <c r="H165" t="s">
        <v>1210</v>
      </c>
      <c r="I165" t="s">
        <v>1211</v>
      </c>
      <c r="J165" t="s">
        <v>1059</v>
      </c>
      <c r="K165" t="s">
        <v>1202</v>
      </c>
      <c r="O165" s="163">
        <v>3.0499999999999999E-2</v>
      </c>
      <c r="P165" s="163">
        <v>1.8599999999999998E-2</v>
      </c>
      <c r="Q165" s="163">
        <v>4.1800000000000002E-4</v>
      </c>
      <c r="R165" s="163">
        <v>8.8599999999999998E-3</v>
      </c>
      <c r="S165" s="163">
        <v>0</v>
      </c>
      <c r="T165" s="163">
        <v>4.1700000000000001E-3</v>
      </c>
      <c r="U165" s="163">
        <v>3.8999999999999999E-4</v>
      </c>
      <c r="V165" s="163">
        <v>2.6599999999999999E-5</v>
      </c>
      <c r="W165" s="163">
        <v>1.9300000000000001E-3</v>
      </c>
      <c r="X165" s="163">
        <v>-3.8600000000000001E-3</v>
      </c>
      <c r="AB165">
        <v>0.06</v>
      </c>
      <c r="AD165" s="362">
        <f t="shared" si="31"/>
        <v>1.8299999999999998E-3</v>
      </c>
      <c r="AE165" s="362">
        <f t="shared" si="32"/>
        <v>1.1159999999999998E-3</v>
      </c>
      <c r="AF165" s="362">
        <f t="shared" si="23"/>
        <v>2.508E-5</v>
      </c>
      <c r="AG165" s="362">
        <f t="shared" si="24"/>
        <v>5.3160000000000002E-4</v>
      </c>
      <c r="AH165" s="362">
        <f t="shared" si="25"/>
        <v>0</v>
      </c>
      <c r="AI165" s="362">
        <f t="shared" si="26"/>
        <v>2.5020000000000001E-4</v>
      </c>
      <c r="AJ165" s="362">
        <f t="shared" si="27"/>
        <v>2.34E-5</v>
      </c>
      <c r="AK165" s="362">
        <f t="shared" si="28"/>
        <v>1.5959999999999998E-6</v>
      </c>
      <c r="AL165" s="362">
        <f t="shared" si="29"/>
        <v>1.158E-4</v>
      </c>
      <c r="AM165" s="362">
        <f t="shared" si="30"/>
        <v>-2.3159999999999999E-4</v>
      </c>
      <c r="AN165" s="362"/>
    </row>
    <row r="166" spans="6:40">
      <c r="F166" t="s">
        <v>1228</v>
      </c>
      <c r="G166" t="s">
        <v>1212</v>
      </c>
      <c r="H166" t="s">
        <v>1213</v>
      </c>
      <c r="I166" t="s">
        <v>1214</v>
      </c>
      <c r="J166" t="s">
        <v>1215</v>
      </c>
      <c r="K166" t="s">
        <v>1216</v>
      </c>
      <c r="O166" s="163">
        <v>37.200000000000003</v>
      </c>
      <c r="P166" s="163">
        <v>35.6</v>
      </c>
      <c r="Q166" s="163">
        <v>5.4100000000000002E-2</v>
      </c>
      <c r="R166" s="163">
        <v>2.09</v>
      </c>
      <c r="S166" s="163">
        <v>0</v>
      </c>
      <c r="T166" s="163">
        <v>0.52700000000000002</v>
      </c>
      <c r="U166" s="163">
        <v>5.0500000000000003E-2</v>
      </c>
      <c r="V166" s="163">
        <v>7.11E-3</v>
      </c>
      <c r="W166" s="163">
        <v>0.20799999999999999</v>
      </c>
      <c r="X166" s="163">
        <v>-1.29</v>
      </c>
      <c r="AD166" s="362">
        <f t="shared" ref="AD166:AM166" si="33">SUM(AD155:AD165)</f>
        <v>5.5872956379999996</v>
      </c>
      <c r="AE166" s="362">
        <f t="shared" si="33"/>
        <v>3.2984059440000002</v>
      </c>
      <c r="AF166" s="362">
        <f t="shared" si="33"/>
        <v>2.2454035440000002E-2</v>
      </c>
      <c r="AG166" s="362">
        <f t="shared" si="33"/>
        <v>1.0031170791999997</v>
      </c>
      <c r="AH166" s="362">
        <f t="shared" si="33"/>
        <v>0</v>
      </c>
      <c r="AI166" s="362">
        <f t="shared" si="33"/>
        <v>0.4383693052</v>
      </c>
      <c r="AJ166" s="362">
        <f t="shared" si="33"/>
        <v>2.0974373440000003E-2</v>
      </c>
      <c r="AK166" s="362">
        <f t="shared" si="33"/>
        <v>1.4720655736000003E-2</v>
      </c>
      <c r="AL166" s="362">
        <f t="shared" si="33"/>
        <v>2.2824795288000002</v>
      </c>
      <c r="AM166" s="362">
        <f t="shared" si="33"/>
        <v>-1.4935307464000001</v>
      </c>
      <c r="AN166" s="362"/>
    </row>
    <row r="167" spans="6:40">
      <c r="F167" t="s">
        <v>1229</v>
      </c>
      <c r="G167" t="s">
        <v>1212</v>
      </c>
      <c r="H167" t="s">
        <v>1213</v>
      </c>
      <c r="I167" t="s">
        <v>1217</v>
      </c>
      <c r="J167" t="s">
        <v>1215</v>
      </c>
      <c r="K167" t="s">
        <v>1216</v>
      </c>
      <c r="O167" s="163">
        <v>1100</v>
      </c>
      <c r="P167" s="163">
        <v>1330</v>
      </c>
      <c r="Q167" s="163">
        <v>3.46</v>
      </c>
      <c r="R167" s="163">
        <v>170</v>
      </c>
      <c r="S167" s="163">
        <v>0</v>
      </c>
      <c r="T167" s="163">
        <v>72.2</v>
      </c>
      <c r="U167" s="163">
        <v>3.23</v>
      </c>
      <c r="V167" s="163">
        <v>0.45800000000000002</v>
      </c>
      <c r="W167" s="163">
        <v>7.33</v>
      </c>
      <c r="X167" s="163">
        <v>-482</v>
      </c>
      <c r="AE167">
        <v>3.2984059440000002</v>
      </c>
      <c r="AF167">
        <v>2.2454035440000002E-2</v>
      </c>
      <c r="AG167">
        <v>1.0031170791999997</v>
      </c>
      <c r="AH167">
        <v>0</v>
      </c>
      <c r="AI167">
        <v>0.4383693052</v>
      </c>
      <c r="AJ167">
        <v>2.0974373440000003E-2</v>
      </c>
      <c r="AK167">
        <v>1.4720655736000003E-2</v>
      </c>
      <c r="AL167">
        <v>2.2824795288000002</v>
      </c>
      <c r="AM167">
        <v>-1.4935307464000001</v>
      </c>
    </row>
    <row r="168" spans="6:40">
      <c r="F168" t="s">
        <v>1230</v>
      </c>
      <c r="G168" t="s">
        <v>1219</v>
      </c>
      <c r="H168" t="s">
        <v>1204</v>
      </c>
      <c r="I168" t="s">
        <v>1205</v>
      </c>
      <c r="J168" t="s">
        <v>1220</v>
      </c>
      <c r="K168" t="s">
        <v>1221</v>
      </c>
      <c r="O168" s="163">
        <v>0.38100000000000001</v>
      </c>
      <c r="P168" s="163">
        <v>0.371</v>
      </c>
      <c r="Q168" s="163">
        <v>7.0299999999999996E-4</v>
      </c>
      <c r="R168" s="163">
        <v>2.41E-2</v>
      </c>
      <c r="S168" s="163">
        <v>0</v>
      </c>
      <c r="T168" s="163">
        <v>6.8199999999999997E-3</v>
      </c>
      <c r="U168" s="163">
        <v>6.5600000000000001E-4</v>
      </c>
      <c r="V168" s="163">
        <v>4.4099999999999999E-4</v>
      </c>
      <c r="W168" s="163">
        <v>5.0400000000000002E-3</v>
      </c>
      <c r="X168" s="163">
        <v>-2.81E-2</v>
      </c>
    </row>
    <row r="169" spans="6:40">
      <c r="F169">
        <v>106</v>
      </c>
      <c r="G169" t="s">
        <v>1222</v>
      </c>
      <c r="H169" t="s">
        <v>1223</v>
      </c>
      <c r="I169" t="s">
        <v>1224</v>
      </c>
      <c r="J169" t="s">
        <v>1059</v>
      </c>
      <c r="O169" s="163">
        <v>1.2199999999999999E-3</v>
      </c>
      <c r="P169" s="163">
        <v>1.44E-4</v>
      </c>
      <c r="Q169" s="163">
        <v>2.4499999999999999E-5</v>
      </c>
      <c r="R169" s="163">
        <v>9.8900000000000008E-4</v>
      </c>
      <c r="S169" s="163">
        <v>0</v>
      </c>
      <c r="T169" s="163">
        <v>4.9799999999999996E-4</v>
      </c>
      <c r="U169" s="163">
        <v>2.2900000000000001E-5</v>
      </c>
      <c r="V169" s="163">
        <v>3.3500000000000002E-7</v>
      </c>
      <c r="W169" s="163">
        <v>4.3300000000000002E-5</v>
      </c>
      <c r="X169" s="163">
        <v>-5.04E-4</v>
      </c>
    </row>
    <row r="170" spans="6:40">
      <c r="F170">
        <v>105</v>
      </c>
      <c r="G170" t="s">
        <v>1222</v>
      </c>
      <c r="H170" t="s">
        <v>1174</v>
      </c>
      <c r="I170" t="s">
        <v>1223</v>
      </c>
      <c r="J170" t="s">
        <v>1224</v>
      </c>
      <c r="K170" t="s">
        <v>1059</v>
      </c>
      <c r="O170" s="163">
        <v>4.8600000000000003</v>
      </c>
      <c r="P170" s="163">
        <v>1.87</v>
      </c>
      <c r="Q170" s="163">
        <v>0.28599999999999998</v>
      </c>
      <c r="R170" s="163">
        <v>0.373</v>
      </c>
      <c r="S170" s="163">
        <v>0</v>
      </c>
      <c r="T170" s="163">
        <v>0.121</v>
      </c>
      <c r="U170" s="163">
        <v>0.26700000000000002</v>
      </c>
      <c r="V170" s="163">
        <v>1.58</v>
      </c>
      <c r="W170" s="163">
        <v>0.502</v>
      </c>
      <c r="X170" s="163">
        <v>-0.13800000000000001</v>
      </c>
    </row>
    <row r="171" spans="6:40">
      <c r="F171">
        <v>107</v>
      </c>
      <c r="G171" t="s">
        <v>1222</v>
      </c>
      <c r="H171" t="s">
        <v>1231</v>
      </c>
      <c r="I171" t="s">
        <v>1224</v>
      </c>
      <c r="J171" t="s">
        <v>1059</v>
      </c>
      <c r="O171" s="163">
        <v>3.0800000000000001E-4</v>
      </c>
      <c r="P171" s="163">
        <v>4.6999999999999999E-4</v>
      </c>
      <c r="Q171" s="163">
        <v>0</v>
      </c>
      <c r="R171" s="163">
        <v>8.9600000000000006E-6</v>
      </c>
      <c r="S171" s="163">
        <v>0</v>
      </c>
      <c r="T171" s="163">
        <v>0</v>
      </c>
      <c r="U171" s="163">
        <v>0</v>
      </c>
      <c r="V171" s="163">
        <v>2.5900000000000002E-6</v>
      </c>
      <c r="W171" s="163">
        <v>1.8899999999999999E-5</v>
      </c>
      <c r="X171" s="163">
        <v>-1.93E-4</v>
      </c>
    </row>
    <row r="175" spans="6:40">
      <c r="Z175">
        <v>41.4</v>
      </c>
      <c r="AA175">
        <v>45.9</v>
      </c>
      <c r="AB175" t="s">
        <v>419</v>
      </c>
      <c r="AC175" t="s">
        <v>419</v>
      </c>
      <c r="AD175" t="s">
        <v>419</v>
      </c>
      <c r="AE175">
        <v>17</v>
      </c>
      <c r="AF175">
        <v>7.5</v>
      </c>
      <c r="AG175">
        <v>0.1</v>
      </c>
      <c r="AH175">
        <v>7</v>
      </c>
      <c r="AI175">
        <v>55.03</v>
      </c>
      <c r="AJ175">
        <f>SUM(Z175:AI175)</f>
        <v>173.93</v>
      </c>
      <c r="AK175">
        <f>AJ175/1000</f>
        <v>0.17393</v>
      </c>
    </row>
  </sheetData>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7F71F5-BC10-4AE7-AEF3-DBB5D2E1C4CA}">
  <sheetPr codeName="Sheet2"/>
  <dimension ref="A1:AX496"/>
  <sheetViews>
    <sheetView topLeftCell="A473" zoomScale="70" zoomScaleNormal="70" workbookViewId="0">
      <selection activeCell="G41" sqref="G41"/>
    </sheetView>
  </sheetViews>
  <sheetFormatPr defaultRowHeight="15"/>
  <cols>
    <col min="1" max="1" width="125.5703125" customWidth="1"/>
    <col min="2" max="2" width="23.85546875" customWidth="1"/>
  </cols>
  <sheetData>
    <row r="1" spans="1:50">
      <c r="A1" s="147" t="s">
        <v>1232</v>
      </c>
      <c r="B1" s="147"/>
    </row>
    <row r="2" spans="1:50">
      <c r="A2" t="s">
        <v>1233</v>
      </c>
      <c r="B2" s="147" t="s">
        <v>1225</v>
      </c>
      <c r="C2" t="s">
        <v>431</v>
      </c>
      <c r="D2" t="s">
        <v>432</v>
      </c>
      <c r="E2" t="s">
        <v>433</v>
      </c>
      <c r="F2" t="s">
        <v>434</v>
      </c>
      <c r="G2" t="s">
        <v>435</v>
      </c>
      <c r="H2" t="s">
        <v>436</v>
      </c>
      <c r="I2" t="s">
        <v>437</v>
      </c>
      <c r="J2" t="s">
        <v>438</v>
      </c>
      <c r="K2" t="s">
        <v>439</v>
      </c>
      <c r="L2" t="s">
        <v>440</v>
      </c>
      <c r="M2" t="s">
        <v>441</v>
      </c>
      <c r="N2" t="s">
        <v>442</v>
      </c>
      <c r="O2" t="s">
        <v>443</v>
      </c>
      <c r="P2" t="s">
        <v>444</v>
      </c>
      <c r="Q2" t="s">
        <v>445</v>
      </c>
      <c r="R2" t="s">
        <v>446</v>
      </c>
      <c r="S2" t="s">
        <v>447</v>
      </c>
      <c r="T2" t="s">
        <v>448</v>
      </c>
      <c r="U2" t="s">
        <v>449</v>
      </c>
      <c r="V2" t="s">
        <v>450</v>
      </c>
      <c r="W2" t="s">
        <v>451</v>
      </c>
      <c r="X2" t="s">
        <v>452</v>
      </c>
      <c r="Y2" t="s">
        <v>453</v>
      </c>
      <c r="Z2" t="s">
        <v>454</v>
      </c>
      <c r="AA2" t="s">
        <v>455</v>
      </c>
      <c r="AB2" t="s">
        <v>456</v>
      </c>
      <c r="AC2" t="s">
        <v>457</v>
      </c>
      <c r="AD2" t="s">
        <v>458</v>
      </c>
      <c r="AE2" t="s">
        <v>459</v>
      </c>
      <c r="AF2" t="s">
        <v>460</v>
      </c>
      <c r="AG2" t="s">
        <v>461</v>
      </c>
      <c r="AH2" t="s">
        <v>462</v>
      </c>
      <c r="AI2" t="s">
        <v>463</v>
      </c>
      <c r="AJ2" t="s">
        <v>464</v>
      </c>
      <c r="AK2" t="s">
        <v>465</v>
      </c>
      <c r="AL2" t="s">
        <v>466</v>
      </c>
      <c r="AM2" t="s">
        <v>467</v>
      </c>
      <c r="AN2" t="s">
        <v>468</v>
      </c>
      <c r="AO2" t="s">
        <v>469</v>
      </c>
      <c r="AP2" t="s">
        <v>470</v>
      </c>
      <c r="AQ2" t="s">
        <v>471</v>
      </c>
      <c r="AR2" t="s">
        <v>472</v>
      </c>
      <c r="AS2" t="s">
        <v>473</v>
      </c>
      <c r="AT2" t="s">
        <v>474</v>
      </c>
      <c r="AU2" t="s">
        <v>475</v>
      </c>
      <c r="AV2" t="s">
        <v>476</v>
      </c>
      <c r="AW2" t="s">
        <v>477</v>
      </c>
      <c r="AX2" t="s">
        <v>478</v>
      </c>
    </row>
    <row r="3" spans="1:50">
      <c r="A3" t="s">
        <v>1234</v>
      </c>
      <c r="C3" t="s">
        <v>1235</v>
      </c>
      <c r="D3" t="s">
        <v>1235</v>
      </c>
      <c r="E3" t="s">
        <v>1236</v>
      </c>
      <c r="F3" t="s">
        <v>1237</v>
      </c>
      <c r="G3" t="s">
        <v>1238</v>
      </c>
      <c r="H3" t="s">
        <v>1239</v>
      </c>
      <c r="I3" t="s">
        <v>1240</v>
      </c>
      <c r="J3" t="s">
        <v>1241</v>
      </c>
      <c r="K3" t="s">
        <v>1241</v>
      </c>
      <c r="L3" t="s">
        <v>1241</v>
      </c>
      <c r="M3" t="s">
        <v>1241</v>
      </c>
      <c r="N3" t="s">
        <v>1236</v>
      </c>
      <c r="O3" t="s">
        <v>1236</v>
      </c>
      <c r="P3" t="s">
        <v>1236</v>
      </c>
      <c r="Q3" t="s">
        <v>1236</v>
      </c>
      <c r="R3" t="s">
        <v>1242</v>
      </c>
      <c r="S3" t="s">
        <v>1243</v>
      </c>
      <c r="T3" t="s">
        <v>1244</v>
      </c>
      <c r="U3" t="s">
        <v>1245</v>
      </c>
      <c r="V3" t="s">
        <v>1246</v>
      </c>
      <c r="W3" t="s">
        <v>1247</v>
      </c>
      <c r="X3" t="s">
        <v>1235</v>
      </c>
      <c r="Y3" t="s">
        <v>1216</v>
      </c>
      <c r="Z3" t="s">
        <v>1248</v>
      </c>
      <c r="AA3" t="s">
        <v>1249</v>
      </c>
      <c r="AB3" t="s">
        <v>1250</v>
      </c>
      <c r="AC3" t="s">
        <v>1251</v>
      </c>
      <c r="AD3" t="s">
        <v>1252</v>
      </c>
      <c r="AE3" t="s">
        <v>1252</v>
      </c>
      <c r="AF3" t="s">
        <v>1253</v>
      </c>
      <c r="AG3" t="s">
        <v>1216</v>
      </c>
      <c r="AH3" t="s">
        <v>1216</v>
      </c>
      <c r="AI3" t="s">
        <v>1216</v>
      </c>
      <c r="AJ3" t="s">
        <v>1216</v>
      </c>
      <c r="AK3" t="s">
        <v>1216</v>
      </c>
      <c r="AL3" t="s">
        <v>1216</v>
      </c>
      <c r="AM3" t="s">
        <v>1059</v>
      </c>
      <c r="AN3" t="s">
        <v>1216</v>
      </c>
      <c r="AO3" t="s">
        <v>1216</v>
      </c>
      <c r="AP3" t="s">
        <v>666</v>
      </c>
      <c r="AQ3" t="s">
        <v>1059</v>
      </c>
      <c r="AR3" t="s">
        <v>1059</v>
      </c>
      <c r="AS3" t="s">
        <v>1059</v>
      </c>
      <c r="AT3" t="s">
        <v>1059</v>
      </c>
      <c r="AU3" t="s">
        <v>1059</v>
      </c>
      <c r="AV3" t="s">
        <v>1059</v>
      </c>
      <c r="AW3" t="s">
        <v>1216</v>
      </c>
      <c r="AX3" t="s">
        <v>1216</v>
      </c>
    </row>
    <row r="4" spans="1:50">
      <c r="A4" s="147" t="s">
        <v>1254</v>
      </c>
      <c r="B4" s="147"/>
    </row>
    <row r="5" spans="1:50">
      <c r="A5" t="s">
        <v>1255</v>
      </c>
      <c r="B5" s="189">
        <f>(C5*0.16)+(D5*0.16)+(E5*0.05)+(F5*30)+(G5*2)+(H5*4)+(I5*9)+(J5*0.09)+(K5*0.03)+(L5*0.0001)+(M5*0.06)</f>
        <v>0.37266249352927405</v>
      </c>
      <c r="C5" s="163">
        <v>1.9179013999999999E-6</v>
      </c>
      <c r="D5">
        <v>4.5658737999999997E-2</v>
      </c>
      <c r="E5">
        <v>4.6790246</v>
      </c>
      <c r="F5" s="163">
        <v>6.1237634999999995E-8</v>
      </c>
      <c r="G5">
        <v>3.5902883000000002E-3</v>
      </c>
      <c r="H5">
        <v>1.4261083000000001E-2</v>
      </c>
      <c r="I5">
        <v>1.3299302000000001E-3</v>
      </c>
      <c r="J5">
        <v>0.45027308999999999</v>
      </c>
      <c r="K5">
        <v>9.2153139999999995E-2</v>
      </c>
      <c r="L5">
        <v>118.41224</v>
      </c>
      <c r="M5">
        <v>1.3174126E-3</v>
      </c>
      <c r="N5">
        <v>4.9356141999999998</v>
      </c>
      <c r="O5">
        <v>4.8964249000000004</v>
      </c>
      <c r="P5">
        <v>3.9031121000000002E-2</v>
      </c>
      <c r="Q5">
        <v>1.5822319000000001E-4</v>
      </c>
      <c r="R5" s="163">
        <v>6.5969607999999995E-8</v>
      </c>
      <c r="S5">
        <v>1.6965129999999998E-2</v>
      </c>
      <c r="T5" s="163">
        <v>7.7327009000000005E-5</v>
      </c>
      <c r="U5">
        <v>2.8606082999999998E-3</v>
      </c>
      <c r="V5">
        <v>2.9264886E-2</v>
      </c>
      <c r="W5">
        <v>1.3367485E-2</v>
      </c>
      <c r="X5" s="163">
        <v>1.9179088E-6</v>
      </c>
      <c r="Y5">
        <v>92.363123999999999</v>
      </c>
      <c r="Z5">
        <v>2.4993900999999998</v>
      </c>
      <c r="AA5" s="163">
        <v>2.0152328000000001E-7</v>
      </c>
      <c r="AB5">
        <v>1.1914476E-2</v>
      </c>
      <c r="AC5">
        <v>53.688018999999997</v>
      </c>
      <c r="AD5" s="163">
        <v>9.935014300000001E-10</v>
      </c>
      <c r="AE5" s="163">
        <v>2.7170824999999999E-8</v>
      </c>
      <c r="AF5">
        <v>1.9597601</v>
      </c>
      <c r="AG5">
        <v>0</v>
      </c>
      <c r="AH5">
        <v>0</v>
      </c>
      <c r="AI5">
        <v>0.54287262999999997</v>
      </c>
      <c r="AJ5">
        <v>0</v>
      </c>
      <c r="AK5">
        <v>0</v>
      </c>
      <c r="AL5">
        <v>99.616401999999994</v>
      </c>
      <c r="AM5">
        <v>0</v>
      </c>
      <c r="AN5">
        <v>0</v>
      </c>
      <c r="AO5">
        <v>0</v>
      </c>
      <c r="AP5">
        <v>5.8476755999999998E-2</v>
      </c>
      <c r="AQ5" s="163">
        <v>7.3307568000000002E-6</v>
      </c>
      <c r="AR5">
        <v>0.21777653999999999</v>
      </c>
      <c r="AS5" s="163">
        <v>1.508545E-5</v>
      </c>
      <c r="AT5">
        <v>0</v>
      </c>
      <c r="AU5">
        <v>0</v>
      </c>
      <c r="AV5">
        <v>0</v>
      </c>
      <c r="AW5">
        <v>0</v>
      </c>
      <c r="AX5">
        <v>0</v>
      </c>
    </row>
    <row r="6" spans="1:50">
      <c r="A6" t="s">
        <v>1256</v>
      </c>
      <c r="B6" s="189">
        <f t="shared" ref="B6:B69" si="0">(C6*0.16)+(D6*0.16)+(E6*0.05)+(F6*30)+(G6*2)+(H6*4)+(I6*9)+(J6*0.09)+(K6*0.03)+(L6*0.0001)+(M6*0.06)</f>
        <v>2.8224556154803997</v>
      </c>
      <c r="C6">
        <v>7.9034194999999996E-4</v>
      </c>
      <c r="D6">
        <v>5.6151952999999998E-2</v>
      </c>
      <c r="E6">
        <v>7.5463564999999999</v>
      </c>
      <c r="F6" s="163">
        <v>6.8558027999999999E-7</v>
      </c>
      <c r="G6">
        <v>7.9252685000000007E-3</v>
      </c>
      <c r="H6">
        <v>0.10819727</v>
      </c>
      <c r="I6">
        <v>2.9583683999999999E-2</v>
      </c>
      <c r="J6">
        <v>17.452625999999999</v>
      </c>
      <c r="K6">
        <v>0.28489615000000001</v>
      </c>
      <c r="L6">
        <v>1386.2607</v>
      </c>
      <c r="M6">
        <v>5.3406473000000003E-2</v>
      </c>
      <c r="N6">
        <v>7.7588467999999997</v>
      </c>
      <c r="O6">
        <v>7.682334</v>
      </c>
      <c r="P6">
        <v>6.3485561999999995E-2</v>
      </c>
      <c r="Q6">
        <v>1.3027304E-2</v>
      </c>
      <c r="R6" s="163">
        <v>6.9751627000000004E-7</v>
      </c>
      <c r="S6">
        <v>0.12559119999999999</v>
      </c>
      <c r="T6">
        <v>8.2197772999999998E-3</v>
      </c>
      <c r="U6">
        <v>1.0730450000000001E-2</v>
      </c>
      <c r="V6">
        <v>0.13409682000000001</v>
      </c>
      <c r="W6">
        <v>3.9454063999999997E-2</v>
      </c>
      <c r="X6">
        <v>7.9036537000000005E-4</v>
      </c>
      <c r="Y6">
        <v>102.2266</v>
      </c>
      <c r="Z6">
        <v>3.1434904000000001</v>
      </c>
      <c r="AA6" s="163">
        <v>5.8974465000000002E-7</v>
      </c>
      <c r="AB6">
        <v>0.30520427999999999</v>
      </c>
      <c r="AC6">
        <v>793.92335000000003</v>
      </c>
      <c r="AD6" s="163">
        <v>3.3423925000000001E-8</v>
      </c>
      <c r="AE6" s="163">
        <v>1.0026850999999999E-6</v>
      </c>
      <c r="AF6">
        <v>41.344002000000003</v>
      </c>
      <c r="AG6">
        <v>0</v>
      </c>
      <c r="AH6">
        <v>0</v>
      </c>
      <c r="AI6">
        <v>11.366149999999999</v>
      </c>
      <c r="AJ6">
        <v>0</v>
      </c>
      <c r="AK6">
        <v>0</v>
      </c>
      <c r="AL6">
        <v>108.91316999999999</v>
      </c>
      <c r="AM6">
        <v>0</v>
      </c>
      <c r="AN6">
        <v>0</v>
      </c>
      <c r="AO6">
        <v>0</v>
      </c>
      <c r="AP6">
        <v>9.1823887000000007E-2</v>
      </c>
      <c r="AQ6">
        <v>3.8212529000000001E-3</v>
      </c>
      <c r="AR6">
        <v>2.0446756000000001</v>
      </c>
      <c r="AS6">
        <v>2.7380033999999998E-4</v>
      </c>
      <c r="AT6">
        <v>0</v>
      </c>
      <c r="AU6">
        <v>0</v>
      </c>
      <c r="AV6">
        <v>0</v>
      </c>
      <c r="AW6">
        <v>0</v>
      </c>
      <c r="AX6">
        <v>0</v>
      </c>
    </row>
    <row r="7" spans="1:50">
      <c r="A7" t="s">
        <v>1257</v>
      </c>
      <c r="B7" s="189">
        <f t="shared" si="0"/>
        <v>8.8085020420940001</v>
      </c>
      <c r="C7">
        <v>5.184864E-4</v>
      </c>
      <c r="D7">
        <v>0.11760977</v>
      </c>
      <c r="E7">
        <v>17.718321</v>
      </c>
      <c r="F7" s="163">
        <v>4.3131543000000003E-5</v>
      </c>
      <c r="G7">
        <v>5.9093778E-2</v>
      </c>
      <c r="H7">
        <v>1.3391519999999999</v>
      </c>
      <c r="I7">
        <v>2.6285262E-2</v>
      </c>
      <c r="J7">
        <v>20.031618999999999</v>
      </c>
      <c r="K7">
        <v>0.93029757000000002</v>
      </c>
      <c r="L7">
        <v>3548.2665000000002</v>
      </c>
      <c r="M7">
        <v>9.0788727999999999E-2</v>
      </c>
      <c r="N7">
        <v>18.240258000000001</v>
      </c>
      <c r="O7">
        <v>18.206845999999999</v>
      </c>
      <c r="P7">
        <v>-3.6284819000000003E-2</v>
      </c>
      <c r="Q7">
        <v>6.9697402000000006E-2</v>
      </c>
      <c r="R7" s="163">
        <v>3.7468727000000003E-5</v>
      </c>
      <c r="S7">
        <v>1.4764747</v>
      </c>
      <c r="T7">
        <v>5.7456612999999997E-3</v>
      </c>
      <c r="U7">
        <v>1.9660661999999999E-2</v>
      </c>
      <c r="V7">
        <v>0.26014649000000001</v>
      </c>
      <c r="W7">
        <v>0.14941698</v>
      </c>
      <c r="X7">
        <v>5.2830857999999997E-4</v>
      </c>
      <c r="Y7">
        <v>221.06299999999999</v>
      </c>
      <c r="Z7">
        <v>9.3308052999999997</v>
      </c>
      <c r="AA7" s="163">
        <v>1.9998006E-6</v>
      </c>
      <c r="AB7">
        <v>0.64570548999999999</v>
      </c>
      <c r="AC7">
        <v>1637.4458</v>
      </c>
      <c r="AD7" s="163">
        <v>1.7061252000000001E-8</v>
      </c>
      <c r="AE7" s="163">
        <v>5.5346409000000005E-7</v>
      </c>
      <c r="AF7">
        <v>65.703721999999999</v>
      </c>
      <c r="AG7">
        <v>0</v>
      </c>
      <c r="AH7">
        <v>0</v>
      </c>
      <c r="AI7">
        <v>20.944483999999999</v>
      </c>
      <c r="AJ7">
        <v>0</v>
      </c>
      <c r="AK7">
        <v>0</v>
      </c>
      <c r="AL7">
        <v>236.54786999999999</v>
      </c>
      <c r="AM7">
        <v>0</v>
      </c>
      <c r="AN7">
        <v>0</v>
      </c>
      <c r="AO7">
        <v>0</v>
      </c>
      <c r="AP7">
        <v>0.24608013000000001</v>
      </c>
      <c r="AQ7">
        <v>3.1457212E-4</v>
      </c>
      <c r="AR7">
        <v>5.4886473000000002</v>
      </c>
      <c r="AS7">
        <v>6.4131775999999997E-4</v>
      </c>
      <c r="AT7">
        <v>0</v>
      </c>
      <c r="AU7">
        <v>0</v>
      </c>
      <c r="AV7">
        <v>0</v>
      </c>
      <c r="AW7">
        <v>0</v>
      </c>
      <c r="AX7">
        <v>0</v>
      </c>
    </row>
    <row r="8" spans="1:50">
      <c r="A8" t="s">
        <v>1258</v>
      </c>
      <c r="B8" s="189">
        <f t="shared" si="0"/>
        <v>0.30432780844984003</v>
      </c>
      <c r="C8" s="163">
        <v>1.0578249000000001E-5</v>
      </c>
      <c r="D8">
        <v>1.4892004E-2</v>
      </c>
      <c r="E8">
        <v>1.8703093</v>
      </c>
      <c r="F8" s="163">
        <v>1.74749E-7</v>
      </c>
      <c r="G8">
        <v>1.7165395E-3</v>
      </c>
      <c r="H8">
        <v>1.9665866000000001E-2</v>
      </c>
      <c r="I8">
        <v>1.5861815E-3</v>
      </c>
      <c r="J8">
        <v>0.93758006000000005</v>
      </c>
      <c r="K8">
        <v>0.24938246999999999</v>
      </c>
      <c r="L8">
        <v>187.75698</v>
      </c>
      <c r="M8">
        <v>2.3518897E-2</v>
      </c>
      <c r="N8">
        <v>1.8443936999999999</v>
      </c>
      <c r="O8">
        <v>1.7685358</v>
      </c>
      <c r="P8">
        <v>-7.2161182000000004E-2</v>
      </c>
      <c r="Q8">
        <v>0.14801905000000001</v>
      </c>
      <c r="R8" s="163">
        <v>1.8626049000000001E-7</v>
      </c>
      <c r="S8">
        <v>2.2717824000000001E-2</v>
      </c>
      <c r="T8">
        <v>1.6413252999999999E-4</v>
      </c>
      <c r="U8">
        <v>2.2118938999999998E-3</v>
      </c>
      <c r="V8">
        <v>2.2277457000000001E-2</v>
      </c>
      <c r="W8">
        <v>7.0388098999999999E-3</v>
      </c>
      <c r="X8" s="163">
        <v>1.0550506999999999E-5</v>
      </c>
      <c r="Y8">
        <v>30.754458</v>
      </c>
      <c r="Z8">
        <v>1.7285752000000001</v>
      </c>
      <c r="AA8" s="163">
        <v>1.02456E-7</v>
      </c>
      <c r="AB8">
        <v>0.10412587</v>
      </c>
      <c r="AC8">
        <v>40.822906000000003</v>
      </c>
      <c r="AD8" s="163">
        <v>3.3596419E-9</v>
      </c>
      <c r="AE8" s="163">
        <v>4.5176261999999998E-8</v>
      </c>
      <c r="AF8">
        <v>19.952572</v>
      </c>
      <c r="AG8">
        <v>0</v>
      </c>
      <c r="AH8">
        <v>0</v>
      </c>
      <c r="AI8">
        <v>4.3689432000000004</v>
      </c>
      <c r="AJ8">
        <v>0</v>
      </c>
      <c r="AK8">
        <v>0</v>
      </c>
      <c r="AL8">
        <v>33.379303999999998</v>
      </c>
      <c r="AM8">
        <v>0</v>
      </c>
      <c r="AN8">
        <v>0</v>
      </c>
      <c r="AO8">
        <v>0</v>
      </c>
      <c r="AP8">
        <v>4.4833294000000003E-2</v>
      </c>
      <c r="AQ8" s="163">
        <v>3.0585546E-5</v>
      </c>
      <c r="AR8">
        <v>0.81207505000000002</v>
      </c>
      <c r="AS8">
        <v>1.0548963E-4</v>
      </c>
      <c r="AT8">
        <v>0</v>
      </c>
      <c r="AU8">
        <v>0</v>
      </c>
      <c r="AV8">
        <v>0</v>
      </c>
      <c r="AW8">
        <v>0</v>
      </c>
      <c r="AX8">
        <v>0</v>
      </c>
    </row>
    <row r="9" spans="1:50">
      <c r="A9" t="s">
        <v>1259</v>
      </c>
      <c r="B9" s="189">
        <f t="shared" si="0"/>
        <v>7.9338182199999993E-5</v>
      </c>
      <c r="C9">
        <v>0</v>
      </c>
      <c r="D9">
        <v>0</v>
      </c>
      <c r="E9">
        <v>0</v>
      </c>
      <c r="F9">
        <v>0</v>
      </c>
      <c r="G9">
        <v>0</v>
      </c>
      <c r="H9">
        <v>0</v>
      </c>
      <c r="I9">
        <v>0</v>
      </c>
      <c r="J9">
        <v>5.98399E-4</v>
      </c>
      <c r="K9">
        <v>1.4066324000000001E-4</v>
      </c>
      <c r="L9">
        <v>0.20764785999999999</v>
      </c>
      <c r="M9" s="163">
        <v>8.2931500000000004E-6</v>
      </c>
      <c r="N9">
        <v>0</v>
      </c>
      <c r="O9">
        <v>0</v>
      </c>
      <c r="P9">
        <v>0</v>
      </c>
      <c r="Q9">
        <v>0</v>
      </c>
      <c r="R9">
        <v>0</v>
      </c>
      <c r="S9">
        <v>0</v>
      </c>
      <c r="T9">
        <v>0</v>
      </c>
      <c r="U9">
        <v>0</v>
      </c>
      <c r="V9">
        <v>0</v>
      </c>
      <c r="W9">
        <v>0</v>
      </c>
      <c r="X9">
        <v>0</v>
      </c>
      <c r="Y9">
        <v>0</v>
      </c>
      <c r="Z9">
        <v>0</v>
      </c>
      <c r="AA9">
        <v>0</v>
      </c>
      <c r="AB9">
        <v>0</v>
      </c>
      <c r="AC9">
        <v>1.0095395E-2</v>
      </c>
      <c r="AD9" s="163">
        <v>1.736178E-12</v>
      </c>
      <c r="AE9" s="163">
        <v>1.1778788E-11</v>
      </c>
      <c r="AF9">
        <v>0</v>
      </c>
      <c r="AG9">
        <v>0</v>
      </c>
      <c r="AH9">
        <v>0</v>
      </c>
      <c r="AI9">
        <v>0</v>
      </c>
      <c r="AJ9">
        <v>0</v>
      </c>
      <c r="AK9">
        <v>0</v>
      </c>
      <c r="AL9">
        <v>0</v>
      </c>
      <c r="AM9">
        <v>0</v>
      </c>
      <c r="AN9">
        <v>0</v>
      </c>
      <c r="AO9">
        <v>0</v>
      </c>
      <c r="AP9">
        <v>0</v>
      </c>
      <c r="AQ9">
        <v>0</v>
      </c>
      <c r="AR9">
        <v>0</v>
      </c>
      <c r="AS9">
        <v>0</v>
      </c>
      <c r="AT9">
        <v>0</v>
      </c>
      <c r="AU9">
        <v>0</v>
      </c>
      <c r="AV9">
        <v>0</v>
      </c>
      <c r="AW9">
        <v>0</v>
      </c>
      <c r="AX9">
        <v>0</v>
      </c>
    </row>
    <row r="10" spans="1:50">
      <c r="A10" t="s">
        <v>1260</v>
      </c>
      <c r="B10" s="189">
        <f t="shared" si="0"/>
        <v>7.7630707172737998E-2</v>
      </c>
      <c r="C10" s="163">
        <v>2.5490777999999998E-6</v>
      </c>
      <c r="D10">
        <v>1.9025916999999999E-3</v>
      </c>
      <c r="E10">
        <v>0.30621521000000002</v>
      </c>
      <c r="F10" s="163">
        <v>2.1853742999999999E-8</v>
      </c>
      <c r="G10">
        <v>2.0876790000000001E-4</v>
      </c>
      <c r="H10">
        <v>1.6014904E-3</v>
      </c>
      <c r="I10">
        <v>3.1319512000000001E-4</v>
      </c>
      <c r="J10">
        <v>0.56202145999999997</v>
      </c>
      <c r="K10">
        <v>6.4977584000000003E-3</v>
      </c>
      <c r="L10">
        <v>14.661884000000001</v>
      </c>
      <c r="M10">
        <v>2.1527083999999998E-3</v>
      </c>
      <c r="N10">
        <v>0.18463861000000001</v>
      </c>
      <c r="O10">
        <v>0.27898088999999998</v>
      </c>
      <c r="P10">
        <v>-9.5232713999999996E-2</v>
      </c>
      <c r="Q10">
        <v>8.9042934999999999E-4</v>
      </c>
      <c r="R10" s="163">
        <v>2.4642457E-8</v>
      </c>
      <c r="S10">
        <v>1.9806623999999999E-3</v>
      </c>
      <c r="T10" s="163">
        <v>4.1124414E-5</v>
      </c>
      <c r="U10">
        <v>3.9183578000000002E-4</v>
      </c>
      <c r="V10">
        <v>4.5212061999999999E-3</v>
      </c>
      <c r="W10">
        <v>1.3162934E-3</v>
      </c>
      <c r="X10" s="163">
        <v>2.5485708999999999E-6</v>
      </c>
      <c r="Y10">
        <v>3.6207905</v>
      </c>
      <c r="Z10">
        <v>0.14121114000000001</v>
      </c>
      <c r="AA10" s="163">
        <v>2.5254513E-8</v>
      </c>
      <c r="AB10">
        <v>1.4203398000000001E-2</v>
      </c>
      <c r="AC10">
        <v>25.219304999999999</v>
      </c>
      <c r="AD10" s="163">
        <v>5.0738127000000003E-10</v>
      </c>
      <c r="AE10" s="163">
        <v>8.5182244999999993E-9</v>
      </c>
      <c r="AF10">
        <v>20.665106000000002</v>
      </c>
      <c r="AG10">
        <v>0</v>
      </c>
      <c r="AH10">
        <v>0</v>
      </c>
      <c r="AI10">
        <v>3.1008878000000002</v>
      </c>
      <c r="AJ10">
        <v>0</v>
      </c>
      <c r="AK10">
        <v>0</v>
      </c>
      <c r="AL10">
        <v>3.8545159999999998</v>
      </c>
      <c r="AM10">
        <v>0</v>
      </c>
      <c r="AN10">
        <v>0</v>
      </c>
      <c r="AO10">
        <v>0</v>
      </c>
      <c r="AP10">
        <v>3.8790207000000002E-3</v>
      </c>
      <c r="AQ10" s="163">
        <v>7.5038263000000002E-6</v>
      </c>
      <c r="AR10">
        <v>8.0171700999999998E-2</v>
      </c>
      <c r="AS10" s="163">
        <v>1.4254540999999999E-5</v>
      </c>
      <c r="AT10">
        <v>0</v>
      </c>
      <c r="AU10">
        <v>0</v>
      </c>
      <c r="AV10">
        <v>0</v>
      </c>
      <c r="AW10">
        <v>0</v>
      </c>
      <c r="AX10">
        <v>0</v>
      </c>
    </row>
    <row r="11" spans="1:50">
      <c r="A11" t="s">
        <v>1261</v>
      </c>
      <c r="B11" s="189">
        <f t="shared" si="0"/>
        <v>0.75004836324451996</v>
      </c>
      <c r="C11" s="163">
        <v>1.3378047E-5</v>
      </c>
      <c r="D11">
        <v>2.5708445999999999E-2</v>
      </c>
      <c r="E11">
        <v>3.5491223000000001</v>
      </c>
      <c r="F11" s="163">
        <v>4.3491989999999999E-7</v>
      </c>
      <c r="G11">
        <v>9.9030565000000001E-2</v>
      </c>
      <c r="H11">
        <v>2.8626393999999999E-2</v>
      </c>
      <c r="I11">
        <v>3.639106E-3</v>
      </c>
      <c r="J11">
        <v>1.8322929999999999</v>
      </c>
      <c r="K11">
        <v>0.69996312000000005</v>
      </c>
      <c r="L11">
        <v>289.95835</v>
      </c>
      <c r="M11">
        <v>0.13739916999999999</v>
      </c>
      <c r="N11">
        <v>3.1206968000000002</v>
      </c>
      <c r="O11">
        <v>2.6742930999999999</v>
      </c>
      <c r="P11">
        <v>-0.51450965000000004</v>
      </c>
      <c r="Q11">
        <v>0.96091327999999998</v>
      </c>
      <c r="R11" s="163">
        <v>4.8032777000000002E-7</v>
      </c>
      <c r="S11">
        <v>3.3248268999999997E-2</v>
      </c>
      <c r="T11">
        <v>2.5270012999999999E-4</v>
      </c>
      <c r="U11">
        <v>5.4594537000000002E-3</v>
      </c>
      <c r="V11">
        <v>3.5524515E-2</v>
      </c>
      <c r="W11">
        <v>1.4082089000000001E-2</v>
      </c>
      <c r="X11" s="163">
        <v>1.3199836E-5</v>
      </c>
      <c r="Y11">
        <v>52.233106999999997</v>
      </c>
      <c r="Z11">
        <v>2.5570517000000001</v>
      </c>
      <c r="AA11" s="163">
        <v>1.6079565999999999E-7</v>
      </c>
      <c r="AB11">
        <v>0.16083244999999999</v>
      </c>
      <c r="AC11">
        <v>67.473830000000007</v>
      </c>
      <c r="AD11" s="163">
        <v>5.6386225999999997E-9</v>
      </c>
      <c r="AE11" s="163">
        <v>7.3506093000000003E-8</v>
      </c>
      <c r="AF11">
        <v>77.147093999999996</v>
      </c>
      <c r="AG11">
        <v>0</v>
      </c>
      <c r="AH11">
        <v>0</v>
      </c>
      <c r="AI11">
        <v>14.956073999999999</v>
      </c>
      <c r="AJ11">
        <v>0</v>
      </c>
      <c r="AK11">
        <v>0</v>
      </c>
      <c r="AL11">
        <v>59.368189000000001</v>
      </c>
      <c r="AM11">
        <v>0</v>
      </c>
      <c r="AN11">
        <v>0</v>
      </c>
      <c r="AO11">
        <v>0</v>
      </c>
      <c r="AP11">
        <v>6.5595898999999999E-2</v>
      </c>
      <c r="AQ11" s="163">
        <v>4.5660123999999999E-5</v>
      </c>
      <c r="AR11">
        <v>1.1337478000000001</v>
      </c>
      <c r="AS11">
        <v>1.9555523000000001E-4</v>
      </c>
      <c r="AT11">
        <v>0</v>
      </c>
      <c r="AU11">
        <v>0</v>
      </c>
      <c r="AV11">
        <v>0</v>
      </c>
      <c r="AW11">
        <v>0</v>
      </c>
      <c r="AX11">
        <v>0</v>
      </c>
    </row>
    <row r="12" spans="1:50">
      <c r="A12" t="s">
        <v>1262</v>
      </c>
      <c r="B12" s="189">
        <f t="shared" si="0"/>
        <v>0.7662805959445399</v>
      </c>
      <c r="C12" s="163">
        <v>1.3281299E-5</v>
      </c>
      <c r="D12">
        <v>2.4947456E-2</v>
      </c>
      <c r="E12">
        <v>3.5963599999999998</v>
      </c>
      <c r="F12" s="163">
        <v>3.9725589000000002E-7</v>
      </c>
      <c r="G12">
        <v>0.10381814</v>
      </c>
      <c r="H12">
        <v>2.8425743999999999E-2</v>
      </c>
      <c r="I12">
        <v>3.8287654000000002E-3</v>
      </c>
      <c r="J12">
        <v>1.8478528999999999</v>
      </c>
      <c r="K12">
        <v>0.74470440999999998</v>
      </c>
      <c r="L12">
        <v>287.83456999999999</v>
      </c>
      <c r="M12">
        <v>0.15379108999999999</v>
      </c>
      <c r="N12">
        <v>3.1014046999999998</v>
      </c>
      <c r="O12">
        <v>2.6033008999999998</v>
      </c>
      <c r="P12">
        <v>-0.58169906999999998</v>
      </c>
      <c r="Q12">
        <v>1.0798029</v>
      </c>
      <c r="R12" s="163">
        <v>4.553258E-7</v>
      </c>
      <c r="S12">
        <v>3.3032044000000003E-2</v>
      </c>
      <c r="T12">
        <v>2.5711727999999998E-4</v>
      </c>
      <c r="U12">
        <v>5.7481594000000002E-3</v>
      </c>
      <c r="V12">
        <v>3.5374466E-2</v>
      </c>
      <c r="W12">
        <v>1.4092552E-2</v>
      </c>
      <c r="X12" s="163">
        <v>1.3081091E-5</v>
      </c>
      <c r="Y12">
        <v>50.746935000000001</v>
      </c>
      <c r="Z12">
        <v>2.4844140000000001</v>
      </c>
      <c r="AA12" s="163">
        <v>1.582856E-7</v>
      </c>
      <c r="AB12">
        <v>0.16100919999999999</v>
      </c>
      <c r="AC12">
        <v>67.492512000000005</v>
      </c>
      <c r="AD12" s="163">
        <v>5.6200481999999997E-9</v>
      </c>
      <c r="AE12" s="163">
        <v>7.4403240000000005E-8</v>
      </c>
      <c r="AF12">
        <v>84.602969000000002</v>
      </c>
      <c r="AG12">
        <v>0</v>
      </c>
      <c r="AH12">
        <v>0</v>
      </c>
      <c r="AI12">
        <v>16.322474</v>
      </c>
      <c r="AJ12">
        <v>0</v>
      </c>
      <c r="AK12">
        <v>0</v>
      </c>
      <c r="AL12">
        <v>58.185116999999998</v>
      </c>
      <c r="AM12">
        <v>0</v>
      </c>
      <c r="AN12">
        <v>0</v>
      </c>
      <c r="AO12">
        <v>0</v>
      </c>
      <c r="AP12">
        <v>6.3663512000000005E-2</v>
      </c>
      <c r="AQ12" s="163">
        <v>4.4955138000000003E-5</v>
      </c>
      <c r="AR12">
        <v>1.1338425999999999</v>
      </c>
      <c r="AS12">
        <v>1.9763944999999999E-4</v>
      </c>
      <c r="AT12">
        <v>0</v>
      </c>
      <c r="AU12">
        <v>0</v>
      </c>
      <c r="AV12">
        <v>0</v>
      </c>
      <c r="AW12">
        <v>0</v>
      </c>
      <c r="AX12">
        <v>0</v>
      </c>
    </row>
    <row r="13" spans="1:50">
      <c r="A13" t="s">
        <v>1263</v>
      </c>
      <c r="B13" s="189">
        <f t="shared" si="0"/>
        <v>0.27669433324292403</v>
      </c>
      <c r="C13" s="163">
        <v>9.3356663999999995E-6</v>
      </c>
      <c r="D13">
        <v>1.3536276999999999E-2</v>
      </c>
      <c r="E13">
        <v>2.2630458</v>
      </c>
      <c r="F13" s="163">
        <v>2.0817320999999999E-7</v>
      </c>
      <c r="G13">
        <v>1.9765843000000001E-3</v>
      </c>
      <c r="H13">
        <v>1.0047329000000001E-2</v>
      </c>
      <c r="I13">
        <v>1.9446081E-3</v>
      </c>
      <c r="J13">
        <v>0.84570098999999999</v>
      </c>
      <c r="K13">
        <v>0.26409462</v>
      </c>
      <c r="L13">
        <v>127.08637</v>
      </c>
      <c r="M13">
        <v>4.9666296999999998E-2</v>
      </c>
      <c r="N13">
        <v>2.1810429</v>
      </c>
      <c r="O13">
        <v>2.0200499000000001</v>
      </c>
      <c r="P13">
        <v>-0.17387142999999999</v>
      </c>
      <c r="Q13">
        <v>0.33486445999999997</v>
      </c>
      <c r="R13" s="163">
        <v>2.0989289999999999E-7</v>
      </c>
      <c r="S13">
        <v>1.243506E-2</v>
      </c>
      <c r="T13">
        <v>1.8176914000000001E-4</v>
      </c>
      <c r="U13">
        <v>2.8419908999999998E-3</v>
      </c>
      <c r="V13">
        <v>2.5607689999999999E-2</v>
      </c>
      <c r="W13">
        <v>7.9760986000000002E-3</v>
      </c>
      <c r="X13" s="163">
        <v>9.2723475999999992E-6</v>
      </c>
      <c r="Y13">
        <v>27.988015000000001</v>
      </c>
      <c r="Z13">
        <v>0.94880202999999996</v>
      </c>
      <c r="AA13" s="163">
        <v>9.9161623999999997E-8</v>
      </c>
      <c r="AB13">
        <v>0.11546508</v>
      </c>
      <c r="AC13">
        <v>47.103518000000001</v>
      </c>
      <c r="AD13" s="163">
        <v>2.8028226E-9</v>
      </c>
      <c r="AE13" s="163">
        <v>1.1174718000000001E-7</v>
      </c>
      <c r="AF13">
        <v>31.612010000000001</v>
      </c>
      <c r="AG13">
        <v>0</v>
      </c>
      <c r="AH13">
        <v>0</v>
      </c>
      <c r="AI13">
        <v>6.8220625000000004</v>
      </c>
      <c r="AJ13">
        <v>0</v>
      </c>
      <c r="AK13">
        <v>0</v>
      </c>
      <c r="AL13">
        <v>30.987476000000001</v>
      </c>
      <c r="AM13">
        <v>0</v>
      </c>
      <c r="AN13">
        <v>0</v>
      </c>
      <c r="AO13">
        <v>0</v>
      </c>
      <c r="AP13">
        <v>2.7974302999999999E-2</v>
      </c>
      <c r="AQ13" s="163">
        <v>3.1833396999999998E-5</v>
      </c>
      <c r="AR13">
        <v>0.59843252999999996</v>
      </c>
      <c r="AS13">
        <v>1.0884342E-4</v>
      </c>
      <c r="AT13">
        <v>0</v>
      </c>
      <c r="AU13">
        <v>0</v>
      </c>
      <c r="AV13">
        <v>0</v>
      </c>
      <c r="AW13">
        <v>0</v>
      </c>
      <c r="AX13">
        <v>0</v>
      </c>
    </row>
    <row r="14" spans="1:50">
      <c r="A14" t="s">
        <v>1264</v>
      </c>
      <c r="B14" s="189">
        <f t="shared" si="0"/>
        <v>5.1262359401964011E-2</v>
      </c>
      <c r="C14" s="163">
        <v>5.2679113999999998E-6</v>
      </c>
      <c r="D14">
        <v>2.0697317999999998E-3</v>
      </c>
      <c r="E14">
        <v>0.25761344000000003</v>
      </c>
      <c r="F14" s="163">
        <v>2.1632437999999999E-8</v>
      </c>
      <c r="G14">
        <v>2.4896306000000003E-4</v>
      </c>
      <c r="H14">
        <v>1.4766057E-3</v>
      </c>
      <c r="I14">
        <v>3.0751821999999999E-4</v>
      </c>
      <c r="J14">
        <v>0.29902165000000003</v>
      </c>
      <c r="K14">
        <v>5.8354762999999997E-3</v>
      </c>
      <c r="L14">
        <v>16.973099000000001</v>
      </c>
      <c r="M14">
        <v>1.5450481000000001E-3</v>
      </c>
      <c r="N14">
        <v>0.17491171</v>
      </c>
      <c r="O14">
        <v>0.26353821999999999</v>
      </c>
      <c r="P14">
        <v>-8.9337756000000004E-2</v>
      </c>
      <c r="Q14">
        <v>7.1124396999999999E-4</v>
      </c>
      <c r="R14" s="163">
        <v>2.5371351999999999E-8</v>
      </c>
      <c r="S14">
        <v>1.8488292E-3</v>
      </c>
      <c r="T14" s="163">
        <v>3.8472778000000002E-5</v>
      </c>
      <c r="U14">
        <v>3.909389E-4</v>
      </c>
      <c r="V14">
        <v>4.645939E-3</v>
      </c>
      <c r="W14">
        <v>1.4285319999999999E-3</v>
      </c>
      <c r="X14" s="163">
        <v>5.2680600000000002E-6</v>
      </c>
      <c r="Y14">
        <v>4.0947664000000001</v>
      </c>
      <c r="Z14">
        <v>0.16070828000000001</v>
      </c>
      <c r="AA14" s="163">
        <v>2.2323157000000001E-8</v>
      </c>
      <c r="AB14">
        <v>1.9064106000000001E-2</v>
      </c>
      <c r="AC14">
        <v>11.455664000000001</v>
      </c>
      <c r="AD14" s="163">
        <v>3.6508522999999998E-10</v>
      </c>
      <c r="AE14" s="163">
        <v>7.9663521999999998E-9</v>
      </c>
      <c r="AF14">
        <v>16.677716</v>
      </c>
      <c r="AG14">
        <v>0</v>
      </c>
      <c r="AH14">
        <v>0</v>
      </c>
      <c r="AI14">
        <v>2.6142373000000001</v>
      </c>
      <c r="AJ14">
        <v>0</v>
      </c>
      <c r="AK14">
        <v>0</v>
      </c>
      <c r="AL14">
        <v>4.3420110999999997</v>
      </c>
      <c r="AM14">
        <v>0</v>
      </c>
      <c r="AN14">
        <v>0</v>
      </c>
      <c r="AO14">
        <v>0</v>
      </c>
      <c r="AP14">
        <v>4.4933823000000003E-3</v>
      </c>
      <c r="AQ14" s="163">
        <v>7.1860691999999998E-6</v>
      </c>
      <c r="AR14">
        <v>7.1419027999999996E-2</v>
      </c>
      <c r="AS14" s="163">
        <v>1.6084852000000001E-5</v>
      </c>
      <c r="AT14">
        <v>0</v>
      </c>
      <c r="AU14">
        <v>0</v>
      </c>
      <c r="AV14">
        <v>0</v>
      </c>
      <c r="AW14">
        <v>0</v>
      </c>
      <c r="AX14">
        <v>0</v>
      </c>
    </row>
    <row r="15" spans="1:50">
      <c r="A15" t="s">
        <v>1265</v>
      </c>
      <c r="B15" s="189">
        <f t="shared" si="0"/>
        <v>0.84483620663850012</v>
      </c>
      <c r="C15">
        <v>2.7574336999999999E-4</v>
      </c>
      <c r="D15">
        <v>3.1062098E-2</v>
      </c>
      <c r="E15">
        <v>5.1238146999999996</v>
      </c>
      <c r="F15" s="163">
        <v>1.7311830999999999E-7</v>
      </c>
      <c r="G15">
        <v>2.1654486000000001E-3</v>
      </c>
      <c r="H15">
        <v>2.8469161E-2</v>
      </c>
      <c r="I15">
        <v>2.7091337000000001E-3</v>
      </c>
      <c r="J15">
        <v>4.6105195999999999</v>
      </c>
      <c r="K15">
        <v>3.5764411000000003E-2</v>
      </c>
      <c r="L15">
        <v>242.01272</v>
      </c>
      <c r="M15">
        <v>1.3591844E-2</v>
      </c>
      <c r="N15">
        <v>5.2711202000000004</v>
      </c>
      <c r="O15">
        <v>5.2644886</v>
      </c>
      <c r="P15">
        <v>-1.2307246000000001E-2</v>
      </c>
      <c r="Q15">
        <v>1.8938849000000001E-2</v>
      </c>
      <c r="R15" s="163">
        <v>1.9343718E-7</v>
      </c>
      <c r="S15">
        <v>3.3876732999999999E-2</v>
      </c>
      <c r="T15">
        <v>2.6681086000000001E-4</v>
      </c>
      <c r="U15">
        <v>5.1565303999999996E-3</v>
      </c>
      <c r="V15">
        <v>5.855142E-2</v>
      </c>
      <c r="W15">
        <v>1.6847937E-2</v>
      </c>
      <c r="X15">
        <v>2.7574347000000003E-4</v>
      </c>
      <c r="Y15">
        <v>49.172168999999997</v>
      </c>
      <c r="Z15">
        <v>1.3332132000000001</v>
      </c>
      <c r="AA15" s="163">
        <v>3.7487096000000001E-7</v>
      </c>
      <c r="AB15">
        <v>7.6771914999999996E-2</v>
      </c>
      <c r="AC15">
        <v>144.94246999999999</v>
      </c>
      <c r="AD15" s="163">
        <v>6.4128473000000002E-9</v>
      </c>
      <c r="AE15" s="163">
        <v>1.4473276000000001E-7</v>
      </c>
      <c r="AF15">
        <v>11.77243</v>
      </c>
      <c r="AG15">
        <v>0</v>
      </c>
      <c r="AH15">
        <v>0</v>
      </c>
      <c r="AI15">
        <v>6.5242901</v>
      </c>
      <c r="AJ15">
        <v>0</v>
      </c>
      <c r="AK15">
        <v>0</v>
      </c>
      <c r="AL15">
        <v>52.336869</v>
      </c>
      <c r="AM15">
        <v>0</v>
      </c>
      <c r="AN15">
        <v>0</v>
      </c>
      <c r="AO15">
        <v>0</v>
      </c>
      <c r="AP15">
        <v>4.9787273E-2</v>
      </c>
      <c r="AQ15">
        <v>2.5752958999999999E-3</v>
      </c>
      <c r="AR15">
        <v>0.87943603000000004</v>
      </c>
      <c r="AS15" s="163">
        <v>8.1048644000000002E-5</v>
      </c>
      <c r="AT15">
        <v>0</v>
      </c>
      <c r="AU15">
        <v>0</v>
      </c>
      <c r="AV15">
        <v>0</v>
      </c>
      <c r="AW15">
        <v>0</v>
      </c>
      <c r="AX15">
        <v>0</v>
      </c>
    </row>
    <row r="16" spans="1:50">
      <c r="A16" t="s">
        <v>1266</v>
      </c>
      <c r="B16" s="189">
        <f t="shared" si="0"/>
        <v>0.10487195254116999</v>
      </c>
      <c r="C16">
        <v>3.5597221E-4</v>
      </c>
      <c r="D16">
        <v>5.2611241000000003E-3</v>
      </c>
      <c r="E16">
        <v>0.87360453999999998</v>
      </c>
      <c r="F16" s="163">
        <v>6.0323919000000002E-8</v>
      </c>
      <c r="G16">
        <v>4.1024535000000001E-4</v>
      </c>
      <c r="H16">
        <v>4.7435936999999997E-3</v>
      </c>
      <c r="I16">
        <v>8.0173766999999999E-4</v>
      </c>
      <c r="J16">
        <v>0.31644798000000002</v>
      </c>
      <c r="K16">
        <v>1.1501997E-2</v>
      </c>
      <c r="L16">
        <v>40.099353000000001</v>
      </c>
      <c r="M16">
        <v>7.4227078999999996E-3</v>
      </c>
      <c r="N16">
        <v>0.89132401999999999</v>
      </c>
      <c r="O16">
        <v>0.88388858000000003</v>
      </c>
      <c r="P16">
        <v>6.4087251000000001E-3</v>
      </c>
      <c r="Q16">
        <v>1.0267213000000001E-3</v>
      </c>
      <c r="R16" s="163">
        <v>6.9108012000000003E-8</v>
      </c>
      <c r="S16">
        <v>5.8139131999999996E-3</v>
      </c>
      <c r="T16">
        <v>1.3019187000000001E-4</v>
      </c>
      <c r="U16">
        <v>9.7552135000000004E-4</v>
      </c>
      <c r="V16">
        <v>1.2177264E-2</v>
      </c>
      <c r="W16">
        <v>3.1509313000000001E-3</v>
      </c>
      <c r="X16">
        <v>3.5597234999999998E-4</v>
      </c>
      <c r="Y16">
        <v>9.5153715999999999</v>
      </c>
      <c r="Z16">
        <v>0.89877688</v>
      </c>
      <c r="AA16" s="163">
        <v>4.4729605999999998E-8</v>
      </c>
      <c r="AB16">
        <v>2.2806653E-2</v>
      </c>
      <c r="AC16">
        <v>46.374572000000001</v>
      </c>
      <c r="AD16" s="163">
        <v>7.9094786000000002E-10</v>
      </c>
      <c r="AE16" s="163">
        <v>5.5489308999999997E-8</v>
      </c>
      <c r="AF16">
        <v>5.5250688999999999</v>
      </c>
      <c r="AG16">
        <v>0</v>
      </c>
      <c r="AH16">
        <v>0</v>
      </c>
      <c r="AI16">
        <v>0.8914995</v>
      </c>
      <c r="AJ16">
        <v>0</v>
      </c>
      <c r="AK16">
        <v>0</v>
      </c>
      <c r="AL16">
        <v>10.238635</v>
      </c>
      <c r="AM16">
        <v>0</v>
      </c>
      <c r="AN16">
        <v>0</v>
      </c>
      <c r="AO16">
        <v>0</v>
      </c>
      <c r="AP16">
        <v>2.2950681000000001E-2</v>
      </c>
      <c r="AQ16">
        <v>3.2667264999999999E-3</v>
      </c>
      <c r="AR16">
        <v>0.16698502000000001</v>
      </c>
      <c r="AS16" s="163">
        <v>2.5411543E-5</v>
      </c>
      <c r="AT16">
        <v>0</v>
      </c>
      <c r="AU16">
        <v>0</v>
      </c>
      <c r="AV16">
        <v>0</v>
      </c>
      <c r="AW16">
        <v>0</v>
      </c>
      <c r="AX16">
        <v>0</v>
      </c>
    </row>
    <row r="17" spans="1:50">
      <c r="A17" t="s">
        <v>1267</v>
      </c>
      <c r="B17" s="189">
        <f t="shared" si="0"/>
        <v>0.25371158824900003</v>
      </c>
      <c r="C17">
        <v>3.3991140000000001E-4</v>
      </c>
      <c r="D17">
        <v>1.6325009000000001E-2</v>
      </c>
      <c r="E17">
        <v>2.3141003000000002</v>
      </c>
      <c r="F17" s="163">
        <v>2.3541550000000001E-7</v>
      </c>
      <c r="G17">
        <v>1.0707545000000001E-3</v>
      </c>
      <c r="H17">
        <v>1.0049695000000001E-2</v>
      </c>
      <c r="I17">
        <v>1.4879016E-3</v>
      </c>
      <c r="J17">
        <v>0.74358579000000002</v>
      </c>
      <c r="K17">
        <v>7.6533667999999999E-2</v>
      </c>
      <c r="L17">
        <v>98.56568</v>
      </c>
      <c r="M17">
        <v>8.7736829999999991E-3</v>
      </c>
      <c r="N17">
        <v>2.3670746</v>
      </c>
      <c r="O17">
        <v>2.3495067999999999</v>
      </c>
      <c r="P17">
        <v>1.561567E-2</v>
      </c>
      <c r="Q17">
        <v>1.9521597E-3</v>
      </c>
      <c r="R17" s="163">
        <v>2.4705903000000002E-7</v>
      </c>
      <c r="S17">
        <v>1.2360792000000001E-2</v>
      </c>
      <c r="T17">
        <v>2.0427094000000001E-4</v>
      </c>
      <c r="U17">
        <v>1.7142863000000001E-3</v>
      </c>
      <c r="V17">
        <v>2.3994094000000001E-2</v>
      </c>
      <c r="W17">
        <v>6.1288458999999998E-3</v>
      </c>
      <c r="X17">
        <v>3.3991153999999999E-4</v>
      </c>
      <c r="Y17">
        <v>32.691341999999999</v>
      </c>
      <c r="Z17">
        <v>1.2660283000000001</v>
      </c>
      <c r="AA17" s="163">
        <v>7.5256215999999998E-8</v>
      </c>
      <c r="AB17">
        <v>0.10103473</v>
      </c>
      <c r="AC17">
        <v>63.362609999999997</v>
      </c>
      <c r="AD17" s="163">
        <v>3.2825883999999998E-9</v>
      </c>
      <c r="AE17" s="163">
        <v>7.0830211000000004E-8</v>
      </c>
      <c r="AF17">
        <v>9.0254954999999999</v>
      </c>
      <c r="AG17">
        <v>0</v>
      </c>
      <c r="AH17">
        <v>0</v>
      </c>
      <c r="AI17">
        <v>2.4137634000000001</v>
      </c>
      <c r="AJ17">
        <v>0</v>
      </c>
      <c r="AK17">
        <v>0</v>
      </c>
      <c r="AL17">
        <v>35.286071999999997</v>
      </c>
      <c r="AM17">
        <v>0</v>
      </c>
      <c r="AN17">
        <v>0</v>
      </c>
      <c r="AO17">
        <v>0</v>
      </c>
      <c r="AP17">
        <v>3.5247721000000003E-2</v>
      </c>
      <c r="AQ17">
        <v>3.1010263999999999E-3</v>
      </c>
      <c r="AR17">
        <v>0.34098666</v>
      </c>
      <c r="AS17" s="163">
        <v>9.5865903000000001E-5</v>
      </c>
      <c r="AT17">
        <v>0</v>
      </c>
      <c r="AU17">
        <v>0</v>
      </c>
      <c r="AV17">
        <v>0</v>
      </c>
      <c r="AW17">
        <v>0</v>
      </c>
      <c r="AX17">
        <v>0</v>
      </c>
    </row>
    <row r="18" spans="1:50">
      <c r="A18" t="s">
        <v>1268</v>
      </c>
      <c r="B18" s="189">
        <f t="shared" si="0"/>
        <v>2.0956025503510602</v>
      </c>
      <c r="C18" s="163">
        <v>4.2006976000000001E-5</v>
      </c>
      <c r="D18">
        <v>7.3634242000000003E-2</v>
      </c>
      <c r="E18">
        <v>12.117704</v>
      </c>
      <c r="F18" s="163">
        <v>3.5659583000000002E-7</v>
      </c>
      <c r="G18">
        <v>5.1153348999999999E-3</v>
      </c>
      <c r="H18">
        <v>6.8744234000000001E-2</v>
      </c>
      <c r="I18">
        <v>6.1770321000000003E-3</v>
      </c>
      <c r="J18">
        <v>11.934499000000001</v>
      </c>
      <c r="K18">
        <v>7.7791518000000004E-2</v>
      </c>
      <c r="L18">
        <v>593.31755999999996</v>
      </c>
      <c r="M18">
        <v>2.2452440000000001E-2</v>
      </c>
      <c r="N18">
        <v>12.480282000000001</v>
      </c>
      <c r="O18">
        <v>12.474292999999999</v>
      </c>
      <c r="P18">
        <v>-4.2582274000000003E-2</v>
      </c>
      <c r="Q18">
        <v>4.8571186000000002E-2</v>
      </c>
      <c r="R18" s="163">
        <v>3.9533078E-7</v>
      </c>
      <c r="S18">
        <v>8.1415191999999997E-2</v>
      </c>
      <c r="T18">
        <v>5.9649485999999996E-4</v>
      </c>
      <c r="U18">
        <v>1.2076863E-2</v>
      </c>
      <c r="V18">
        <v>0.13516189000000001</v>
      </c>
      <c r="W18">
        <v>3.9583376000000003E-2</v>
      </c>
      <c r="X18" s="163">
        <v>4.2007464999999998E-5</v>
      </c>
      <c r="Y18">
        <v>114.55298000000001</v>
      </c>
      <c r="Z18">
        <v>1.9409835</v>
      </c>
      <c r="AA18" s="163">
        <v>9.2225928000000004E-7</v>
      </c>
      <c r="AB18">
        <v>0.16644413999999999</v>
      </c>
      <c r="AC18">
        <v>309.47823</v>
      </c>
      <c r="AD18" s="163">
        <v>1.5821495999999999E-8</v>
      </c>
      <c r="AE18" s="163">
        <v>2.9406481999999999E-7</v>
      </c>
      <c r="AF18">
        <v>22.297716000000001</v>
      </c>
      <c r="AG18">
        <v>0</v>
      </c>
      <c r="AH18">
        <v>0</v>
      </c>
      <c r="AI18">
        <v>15.917899999999999</v>
      </c>
      <c r="AJ18">
        <v>0</v>
      </c>
      <c r="AK18">
        <v>0</v>
      </c>
      <c r="AL18">
        <v>121.72931</v>
      </c>
      <c r="AM18">
        <v>0</v>
      </c>
      <c r="AN18">
        <v>0</v>
      </c>
      <c r="AO18">
        <v>0</v>
      </c>
      <c r="AP18">
        <v>9.1728743000000001E-2</v>
      </c>
      <c r="AQ18">
        <v>1.6331549E-3</v>
      </c>
      <c r="AR18">
        <v>2.0531217000000002</v>
      </c>
      <c r="AS18">
        <v>1.7270946999999999E-4</v>
      </c>
      <c r="AT18">
        <v>0</v>
      </c>
      <c r="AU18">
        <v>0</v>
      </c>
      <c r="AV18">
        <v>0</v>
      </c>
      <c r="AW18">
        <v>0</v>
      </c>
      <c r="AX18">
        <v>0</v>
      </c>
    </row>
    <row r="19" spans="1:50">
      <c r="A19" t="s">
        <v>1269</v>
      </c>
      <c r="B19" s="189">
        <f t="shared" si="0"/>
        <v>0.94949887298980007</v>
      </c>
      <c r="C19">
        <v>2.6447233000000001E-4</v>
      </c>
      <c r="D19">
        <v>4.0585626E-2</v>
      </c>
      <c r="E19">
        <v>6.3105665999999996</v>
      </c>
      <c r="F19" s="163">
        <v>3.4147590000000001E-7</v>
      </c>
      <c r="G19">
        <v>2.7211695E-3</v>
      </c>
      <c r="H19">
        <v>3.2358811000000001E-2</v>
      </c>
      <c r="I19">
        <v>3.2814232E-3</v>
      </c>
      <c r="J19">
        <v>4.7812948999999998</v>
      </c>
      <c r="K19">
        <v>9.9347580000000005E-2</v>
      </c>
      <c r="L19">
        <v>288.42451999999997</v>
      </c>
      <c r="M19">
        <v>1.4574513000000001E-2</v>
      </c>
      <c r="N19">
        <v>6.4853905000000003</v>
      </c>
      <c r="O19">
        <v>6.4685784999999996</v>
      </c>
      <c r="P19">
        <v>-1.9829299999999999E-3</v>
      </c>
      <c r="Q19">
        <v>1.8794907E-2</v>
      </c>
      <c r="R19" s="163">
        <v>3.6396555999999998E-7</v>
      </c>
      <c r="S19">
        <v>3.874822E-2</v>
      </c>
      <c r="T19">
        <v>3.3273356999999999E-4</v>
      </c>
      <c r="U19">
        <v>5.6456828999999998E-3</v>
      </c>
      <c r="V19">
        <v>6.7599644E-2</v>
      </c>
      <c r="W19">
        <v>1.900812E-2</v>
      </c>
      <c r="X19">
        <v>2.6447244E-4</v>
      </c>
      <c r="Y19">
        <v>69.980569000000003</v>
      </c>
      <c r="Z19">
        <v>1.6745281000000001</v>
      </c>
      <c r="AA19" s="163">
        <v>3.8568764000000002E-7</v>
      </c>
      <c r="AB19">
        <v>0.15177819000000001</v>
      </c>
      <c r="AC19">
        <v>156.04586</v>
      </c>
      <c r="AD19" s="163">
        <v>8.5688519999999996E-9</v>
      </c>
      <c r="AE19" s="163">
        <v>1.547457E-7</v>
      </c>
      <c r="AF19">
        <v>14.89988</v>
      </c>
      <c r="AG19">
        <v>0</v>
      </c>
      <c r="AH19">
        <v>0</v>
      </c>
      <c r="AI19">
        <v>7.7102681000000004</v>
      </c>
      <c r="AJ19">
        <v>0</v>
      </c>
      <c r="AK19">
        <v>0</v>
      </c>
      <c r="AL19">
        <v>74.870977999999994</v>
      </c>
      <c r="AM19">
        <v>0</v>
      </c>
      <c r="AN19">
        <v>0</v>
      </c>
      <c r="AO19">
        <v>0</v>
      </c>
      <c r="AP19">
        <v>6.0482129000000003E-2</v>
      </c>
      <c r="AQ19">
        <v>2.4508753E-3</v>
      </c>
      <c r="AR19">
        <v>1.0109033000000001</v>
      </c>
      <c r="AS19">
        <v>1.4818139000000001E-4</v>
      </c>
      <c r="AT19">
        <v>0</v>
      </c>
      <c r="AU19">
        <v>0</v>
      </c>
      <c r="AV19">
        <v>0</v>
      </c>
      <c r="AW19">
        <v>0</v>
      </c>
      <c r="AX19">
        <v>0</v>
      </c>
    </row>
    <row r="20" spans="1:50">
      <c r="A20" t="s">
        <v>1270</v>
      </c>
      <c r="B20" s="189">
        <f t="shared" si="0"/>
        <v>2.6344686713052998</v>
      </c>
      <c r="C20">
        <v>4.3644994999999999E-4</v>
      </c>
      <c r="D20">
        <v>5.7189391999999999E-2</v>
      </c>
      <c r="E20">
        <v>9.4630443999999994</v>
      </c>
      <c r="F20" s="163">
        <v>5.8079011000000003E-7</v>
      </c>
      <c r="G20">
        <v>5.7110950000000002E-3</v>
      </c>
      <c r="H20">
        <v>6.3535970999999997E-2</v>
      </c>
      <c r="I20">
        <v>5.1115207999999999E-3</v>
      </c>
      <c r="J20">
        <v>19.728052999999999</v>
      </c>
      <c r="K20">
        <v>8.3738455000000003E-2</v>
      </c>
      <c r="L20">
        <v>605.45639000000006</v>
      </c>
      <c r="M20">
        <v>3.2109484000000001E-2</v>
      </c>
      <c r="N20">
        <v>9.7554154000000004</v>
      </c>
      <c r="O20">
        <v>9.5629887</v>
      </c>
      <c r="P20">
        <v>2.8078104E-2</v>
      </c>
      <c r="Q20">
        <v>0.16434862</v>
      </c>
      <c r="R20" s="163">
        <v>5.9209743000000001E-7</v>
      </c>
      <c r="S20">
        <v>7.4221177999999999E-2</v>
      </c>
      <c r="T20">
        <v>5.8018510000000002E-4</v>
      </c>
      <c r="U20">
        <v>8.8187861999999995E-3</v>
      </c>
      <c r="V20">
        <v>0.10079415999999999</v>
      </c>
      <c r="W20">
        <v>3.2188943999999997E-2</v>
      </c>
      <c r="X20">
        <v>4.3644999E-4</v>
      </c>
      <c r="Y20">
        <v>110.49514000000001</v>
      </c>
      <c r="Z20">
        <v>2.5534224999999999</v>
      </c>
      <c r="AA20" s="163">
        <v>6.6826352999999997E-7</v>
      </c>
      <c r="AB20">
        <v>0.47607165000000001</v>
      </c>
      <c r="AC20">
        <v>252.32123999999999</v>
      </c>
      <c r="AD20" s="163">
        <v>2.1735279999999999E-8</v>
      </c>
      <c r="AE20" s="163">
        <v>3.6430054999999998E-7</v>
      </c>
      <c r="AF20">
        <v>13.718852999999999</v>
      </c>
      <c r="AG20">
        <v>0</v>
      </c>
      <c r="AH20">
        <v>0</v>
      </c>
      <c r="AI20">
        <v>41.167102999999997</v>
      </c>
      <c r="AJ20">
        <v>0</v>
      </c>
      <c r="AK20">
        <v>0</v>
      </c>
      <c r="AL20">
        <v>117.53342000000001</v>
      </c>
      <c r="AM20">
        <v>0</v>
      </c>
      <c r="AN20">
        <v>0</v>
      </c>
      <c r="AO20">
        <v>0</v>
      </c>
      <c r="AP20">
        <v>0.2344231</v>
      </c>
      <c r="AQ20">
        <v>6.6127614999999997E-4</v>
      </c>
      <c r="AR20">
        <v>2.3361493000000002</v>
      </c>
      <c r="AS20">
        <v>4.2359801999999999E-4</v>
      </c>
      <c r="AT20">
        <v>0</v>
      </c>
      <c r="AU20">
        <v>0</v>
      </c>
      <c r="AV20">
        <v>0</v>
      </c>
      <c r="AW20">
        <v>0</v>
      </c>
      <c r="AX20">
        <v>0</v>
      </c>
    </row>
    <row r="21" spans="1:50">
      <c r="A21" t="s">
        <v>1271</v>
      </c>
      <c r="B21" s="189">
        <f t="shared" si="0"/>
        <v>1.8012578319822801E-3</v>
      </c>
      <c r="C21" s="163">
        <v>2.4279332999999999E-8</v>
      </c>
      <c r="D21" s="163">
        <v>9.6045397000000006E-5</v>
      </c>
      <c r="E21">
        <v>1.7331922E-2</v>
      </c>
      <c r="F21" s="163">
        <v>2.0387483000000001E-9</v>
      </c>
      <c r="G21" s="163">
        <v>9.3530512999999994E-6</v>
      </c>
      <c r="H21" s="163">
        <v>7.5615292999999995E-5</v>
      </c>
      <c r="I21" s="163">
        <v>1.5220626000000001E-5</v>
      </c>
      <c r="J21">
        <v>4.6401067000000004E-3</v>
      </c>
      <c r="K21">
        <v>1.0662582000000001E-4</v>
      </c>
      <c r="L21">
        <v>0.38787487999999998</v>
      </c>
      <c r="M21" s="163">
        <v>2.4677452000000001E-5</v>
      </c>
      <c r="N21">
        <v>1.0847959000000001E-2</v>
      </c>
      <c r="O21">
        <v>1.0837144999999999E-2</v>
      </c>
      <c r="P21" s="163">
        <v>6.7443698999999998E-6</v>
      </c>
      <c r="Q21" s="163">
        <v>4.0694183000000003E-6</v>
      </c>
      <c r="R21" s="163">
        <v>2.3466869000000001E-9</v>
      </c>
      <c r="S21" s="163">
        <v>8.4279731000000004E-5</v>
      </c>
      <c r="T21" s="163">
        <v>1.9425944E-7</v>
      </c>
      <c r="U21" s="163">
        <v>3.1587671999999999E-5</v>
      </c>
      <c r="V21">
        <v>3.5035502999999999E-4</v>
      </c>
      <c r="W21" s="163">
        <v>9.7037529999999996E-5</v>
      </c>
      <c r="X21" s="163">
        <v>2.3241746999999999E-8</v>
      </c>
      <c r="Y21">
        <v>0.16074282000000001</v>
      </c>
      <c r="Z21">
        <v>1.4183695E-2</v>
      </c>
      <c r="AA21" s="163">
        <v>1.5630078000000001E-9</v>
      </c>
      <c r="AB21">
        <v>6.8893386E-4</v>
      </c>
      <c r="AC21">
        <v>0.11704588</v>
      </c>
      <c r="AD21" s="163">
        <v>4.8137658E-12</v>
      </c>
      <c r="AE21" s="163">
        <v>1.3259196999999999E-10</v>
      </c>
      <c r="AF21">
        <v>9.9894657999999997E-2</v>
      </c>
      <c r="AG21">
        <v>0</v>
      </c>
      <c r="AH21">
        <v>0</v>
      </c>
      <c r="AI21">
        <v>4.6490046999999998E-3</v>
      </c>
      <c r="AJ21">
        <v>0</v>
      </c>
      <c r="AK21">
        <v>0</v>
      </c>
      <c r="AL21">
        <v>0.20931157</v>
      </c>
      <c r="AM21">
        <v>0</v>
      </c>
      <c r="AN21">
        <v>0</v>
      </c>
      <c r="AO21">
        <v>0</v>
      </c>
      <c r="AP21">
        <v>3.5540636999999999E-4</v>
      </c>
      <c r="AQ21" s="163">
        <v>3.7523439999999998E-7</v>
      </c>
      <c r="AR21">
        <v>5.8523052000000004E-3</v>
      </c>
      <c r="AS21" s="163">
        <v>1.0649498E-6</v>
      </c>
      <c r="AT21">
        <v>0</v>
      </c>
      <c r="AU21">
        <v>0</v>
      </c>
      <c r="AV21">
        <v>0</v>
      </c>
      <c r="AW21">
        <v>0</v>
      </c>
      <c r="AX21">
        <v>0</v>
      </c>
    </row>
    <row r="22" spans="1:50">
      <c r="A22" t="s">
        <v>1272</v>
      </c>
      <c r="B22" s="189">
        <f t="shared" si="0"/>
        <v>1.466531244E-2</v>
      </c>
      <c r="C22" s="163">
        <v>1.3400000000000001E-7</v>
      </c>
      <c r="D22">
        <v>1.98E-3</v>
      </c>
      <c r="E22">
        <v>0.122</v>
      </c>
      <c r="F22" s="163">
        <v>1.5700000000000002E-8</v>
      </c>
      <c r="G22">
        <v>1.8799999999999999E-4</v>
      </c>
      <c r="H22">
        <v>7.0600000000000003E-4</v>
      </c>
      <c r="I22" s="163">
        <v>8.2299999999999995E-5</v>
      </c>
      <c r="J22">
        <v>3.32E-2</v>
      </c>
      <c r="K22">
        <v>2.8900000000000002E-3</v>
      </c>
      <c r="L22">
        <v>12.1</v>
      </c>
      <c r="M22">
        <v>3.77E-4</v>
      </c>
      <c r="N22">
        <v>0</v>
      </c>
      <c r="O22">
        <v>0</v>
      </c>
      <c r="P22">
        <v>0</v>
      </c>
      <c r="Q22">
        <v>0</v>
      </c>
      <c r="R22">
        <v>0</v>
      </c>
      <c r="S22">
        <v>0</v>
      </c>
      <c r="T22">
        <v>0</v>
      </c>
      <c r="U22">
        <v>0</v>
      </c>
      <c r="V22">
        <v>0</v>
      </c>
      <c r="W22">
        <v>0</v>
      </c>
      <c r="X22">
        <v>0</v>
      </c>
      <c r="Y22">
        <v>0</v>
      </c>
      <c r="Z22">
        <v>0</v>
      </c>
      <c r="AA22">
        <v>0</v>
      </c>
      <c r="AB22">
        <v>0</v>
      </c>
      <c r="AC22">
        <v>0</v>
      </c>
      <c r="AD22">
        <v>0</v>
      </c>
      <c r="AE22">
        <v>0</v>
      </c>
      <c r="AF22">
        <v>0</v>
      </c>
      <c r="AG22">
        <v>0</v>
      </c>
      <c r="AH22">
        <v>0</v>
      </c>
      <c r="AI22">
        <v>3.1600000000000003E-2</v>
      </c>
      <c r="AJ22">
        <v>0</v>
      </c>
      <c r="AK22">
        <v>0</v>
      </c>
      <c r="AL22">
        <v>4.12</v>
      </c>
      <c r="AM22">
        <v>0</v>
      </c>
      <c r="AN22">
        <v>0</v>
      </c>
      <c r="AO22">
        <v>0</v>
      </c>
      <c r="AP22">
        <v>3.56E-2</v>
      </c>
      <c r="AQ22" s="163">
        <v>2.04E-6</v>
      </c>
      <c r="AR22">
        <v>1.01</v>
      </c>
      <c r="AS22" s="163">
        <v>4.2699999999999998E-6</v>
      </c>
      <c r="AT22">
        <v>0</v>
      </c>
      <c r="AU22">
        <v>0</v>
      </c>
      <c r="AV22">
        <v>0</v>
      </c>
      <c r="AW22">
        <v>0</v>
      </c>
      <c r="AX22">
        <v>0</v>
      </c>
    </row>
    <row r="23" spans="1:50">
      <c r="A23" t="s">
        <v>1273</v>
      </c>
      <c r="B23" s="189">
        <f t="shared" si="0"/>
        <v>9.2979577814743183E-3</v>
      </c>
      <c r="C23" s="163">
        <v>5.8682527000000002E-8</v>
      </c>
      <c r="D23">
        <v>1.391848E-3</v>
      </c>
      <c r="E23">
        <v>7.0077688999999999E-2</v>
      </c>
      <c r="F23" s="163">
        <v>3.5994692999999997E-8</v>
      </c>
      <c r="G23" s="163">
        <v>9.1365081000000005E-5</v>
      </c>
      <c r="H23">
        <v>4.2526104000000002E-4</v>
      </c>
      <c r="I23" s="163">
        <v>7.8268834000000005E-5</v>
      </c>
      <c r="J23">
        <v>2.9048857000000001E-2</v>
      </c>
      <c r="K23">
        <v>9.7483664999999998E-4</v>
      </c>
      <c r="L23">
        <v>3.329034</v>
      </c>
      <c r="M23" s="163">
        <v>9.2482732999999998E-5</v>
      </c>
      <c r="N23">
        <v>7.1160297999999997E-2</v>
      </c>
      <c r="O23">
        <v>7.1053056000000003E-2</v>
      </c>
      <c r="P23" s="163">
        <v>9.3539275999999995E-5</v>
      </c>
      <c r="Q23" s="163">
        <v>1.3702727000000001E-5</v>
      </c>
      <c r="R23" s="163">
        <v>4.5289848999999999E-8</v>
      </c>
      <c r="S23">
        <v>5.3890616999999999E-4</v>
      </c>
      <c r="T23" s="163">
        <v>1.2072082E-6</v>
      </c>
      <c r="U23">
        <v>1.3984671000000001E-4</v>
      </c>
      <c r="V23">
        <v>1.5788631E-3</v>
      </c>
      <c r="W23">
        <v>5.4310092000000004E-4</v>
      </c>
      <c r="X23" s="163">
        <v>5.8683100999999999E-8</v>
      </c>
      <c r="Y23">
        <v>2.934774</v>
      </c>
      <c r="Z23">
        <v>1.1996717E-2</v>
      </c>
      <c r="AA23" s="163">
        <v>7.0977343999999998E-9</v>
      </c>
      <c r="AB23">
        <v>1.2461455999999999E-2</v>
      </c>
      <c r="AC23">
        <v>1.6741752000000001</v>
      </c>
      <c r="AD23" s="163">
        <v>2.0339580000000001E-11</v>
      </c>
      <c r="AE23" s="163">
        <v>6.5774933000000004E-10</v>
      </c>
      <c r="AF23">
        <v>0.41769918</v>
      </c>
      <c r="AG23">
        <v>0</v>
      </c>
      <c r="AH23">
        <v>0</v>
      </c>
      <c r="AI23">
        <v>1.9517044000000001E-2</v>
      </c>
      <c r="AJ23">
        <v>0</v>
      </c>
      <c r="AK23">
        <v>0</v>
      </c>
      <c r="AL23">
        <v>3.1195217</v>
      </c>
      <c r="AM23">
        <v>0</v>
      </c>
      <c r="AN23">
        <v>0</v>
      </c>
      <c r="AO23">
        <v>0</v>
      </c>
      <c r="AP23">
        <v>4.1139996000000002E-4</v>
      </c>
      <c r="AQ23" s="163">
        <v>1.1014247E-6</v>
      </c>
      <c r="AR23">
        <v>7.0249965000000001E-3</v>
      </c>
      <c r="AS23" s="163">
        <v>1.9999433000000001E-5</v>
      </c>
      <c r="AT23">
        <v>0</v>
      </c>
      <c r="AU23">
        <v>0</v>
      </c>
      <c r="AV23">
        <v>0</v>
      </c>
      <c r="AW23">
        <v>0</v>
      </c>
      <c r="AX23">
        <v>0</v>
      </c>
    </row>
    <row r="24" spans="1:50">
      <c r="A24" t="s">
        <v>1274</v>
      </c>
      <c r="B24" s="189">
        <f t="shared" si="0"/>
        <v>9.529950366634319E-3</v>
      </c>
      <c r="C24" s="163">
        <v>6.0306527000000003E-8</v>
      </c>
      <c r="D24">
        <v>1.4070323E-3</v>
      </c>
      <c r="E24">
        <v>7.2131363000000004E-2</v>
      </c>
      <c r="F24" s="163">
        <v>3.6318410999999997E-8</v>
      </c>
      <c r="G24" s="163">
        <v>9.2834495E-5</v>
      </c>
      <c r="H24">
        <v>4.3616918999999998E-4</v>
      </c>
      <c r="I24" s="163">
        <v>8.0645965000000004E-5</v>
      </c>
      <c r="J24">
        <v>2.9647831999999999E-2</v>
      </c>
      <c r="K24">
        <v>9.8757742999999992E-4</v>
      </c>
      <c r="L24">
        <v>3.3738744000000001</v>
      </c>
      <c r="M24" s="163">
        <v>9.4646156000000002E-5</v>
      </c>
      <c r="N24">
        <v>7.3242473000000002E-2</v>
      </c>
      <c r="O24">
        <v>7.3131442000000005E-2</v>
      </c>
      <c r="P24" s="163">
        <v>9.7036883000000006E-5</v>
      </c>
      <c r="Q24" s="163">
        <v>1.3993967999999999E-5</v>
      </c>
      <c r="R24" s="163">
        <v>4.5689694000000003E-8</v>
      </c>
      <c r="S24">
        <v>5.5397971E-4</v>
      </c>
      <c r="T24" s="163">
        <v>1.2359776E-6</v>
      </c>
      <c r="U24">
        <v>1.4593620999999999E-4</v>
      </c>
      <c r="V24">
        <v>1.6467944E-3</v>
      </c>
      <c r="W24">
        <v>5.6168701000000002E-4</v>
      </c>
      <c r="X24" s="163">
        <v>6.0307108000000007E-8</v>
      </c>
      <c r="Y24">
        <v>2.9655141</v>
      </c>
      <c r="Z24">
        <v>1.2167984999999999E-2</v>
      </c>
      <c r="AA24" s="163">
        <v>7.4453242999999998E-9</v>
      </c>
      <c r="AB24">
        <v>1.2563566E-2</v>
      </c>
      <c r="AC24">
        <v>1.6906778</v>
      </c>
      <c r="AD24" s="163">
        <v>2.0885525E-11</v>
      </c>
      <c r="AE24" s="163">
        <v>6.7286238999999999E-10</v>
      </c>
      <c r="AF24">
        <v>0.42527744000000001</v>
      </c>
      <c r="AG24">
        <v>0</v>
      </c>
      <c r="AH24">
        <v>0</v>
      </c>
      <c r="AI24">
        <v>1.9951724000000001E-2</v>
      </c>
      <c r="AJ24">
        <v>0</v>
      </c>
      <c r="AK24">
        <v>0</v>
      </c>
      <c r="AL24">
        <v>3.1524801999999998</v>
      </c>
      <c r="AM24">
        <v>0</v>
      </c>
      <c r="AN24">
        <v>0</v>
      </c>
      <c r="AO24">
        <v>0</v>
      </c>
      <c r="AP24">
        <v>4.1704143000000001E-4</v>
      </c>
      <c r="AQ24" s="163">
        <v>1.1277853000000001E-6</v>
      </c>
      <c r="AR24">
        <v>7.3967321000000001E-3</v>
      </c>
      <c r="AS24" s="163">
        <v>2.0159555999999999E-5</v>
      </c>
      <c r="AT24">
        <v>0</v>
      </c>
      <c r="AU24">
        <v>0</v>
      </c>
      <c r="AV24">
        <v>0</v>
      </c>
      <c r="AW24">
        <v>0</v>
      </c>
      <c r="AX24">
        <v>0</v>
      </c>
    </row>
    <row r="25" spans="1:50">
      <c r="A25" t="s">
        <v>1275</v>
      </c>
      <c r="B25" s="189">
        <f t="shared" si="0"/>
        <v>9.2979577814743183E-3</v>
      </c>
      <c r="C25" s="163">
        <v>5.8682527000000002E-8</v>
      </c>
      <c r="D25">
        <v>1.391848E-3</v>
      </c>
      <c r="E25">
        <v>7.0077688999999999E-2</v>
      </c>
      <c r="F25" s="163">
        <v>3.5994692999999997E-8</v>
      </c>
      <c r="G25" s="163">
        <v>9.1365081000000005E-5</v>
      </c>
      <c r="H25">
        <v>4.2526104000000002E-4</v>
      </c>
      <c r="I25" s="163">
        <v>7.8268834000000005E-5</v>
      </c>
      <c r="J25">
        <v>2.9048857000000001E-2</v>
      </c>
      <c r="K25">
        <v>9.7483664999999998E-4</v>
      </c>
      <c r="L25">
        <v>3.329034</v>
      </c>
      <c r="M25" s="163">
        <v>9.2482732999999998E-5</v>
      </c>
      <c r="N25">
        <v>7.1160297999999997E-2</v>
      </c>
      <c r="O25">
        <v>7.1053056000000003E-2</v>
      </c>
      <c r="P25" s="163">
        <v>9.3539275999999995E-5</v>
      </c>
      <c r="Q25" s="163">
        <v>1.3702727000000001E-5</v>
      </c>
      <c r="R25" s="163">
        <v>4.5289848999999999E-8</v>
      </c>
      <c r="S25">
        <v>5.3890616999999999E-4</v>
      </c>
      <c r="T25" s="163">
        <v>1.2072082E-6</v>
      </c>
      <c r="U25">
        <v>1.3984671000000001E-4</v>
      </c>
      <c r="V25">
        <v>1.5788631E-3</v>
      </c>
      <c r="W25">
        <v>5.4310092000000004E-4</v>
      </c>
      <c r="X25" s="163">
        <v>5.8683100999999999E-8</v>
      </c>
      <c r="Y25">
        <v>2.934774</v>
      </c>
      <c r="Z25">
        <v>1.1996717E-2</v>
      </c>
      <c r="AA25" s="163">
        <v>7.0977343999999998E-9</v>
      </c>
      <c r="AB25">
        <v>1.2461455999999999E-2</v>
      </c>
      <c r="AC25">
        <v>1.6741752000000001</v>
      </c>
      <c r="AD25" s="163">
        <v>2.0339580000000001E-11</v>
      </c>
      <c r="AE25" s="163">
        <v>6.5774933000000004E-10</v>
      </c>
      <c r="AF25">
        <v>0.41769918</v>
      </c>
      <c r="AG25">
        <v>0</v>
      </c>
      <c r="AH25">
        <v>0</v>
      </c>
      <c r="AI25">
        <v>1.9517044000000001E-2</v>
      </c>
      <c r="AJ25">
        <v>0</v>
      </c>
      <c r="AK25">
        <v>0</v>
      </c>
      <c r="AL25">
        <v>3.1195217</v>
      </c>
      <c r="AM25">
        <v>0</v>
      </c>
      <c r="AN25">
        <v>0</v>
      </c>
      <c r="AO25">
        <v>0</v>
      </c>
      <c r="AP25">
        <v>4.1139996000000002E-4</v>
      </c>
      <c r="AQ25" s="163">
        <v>1.1014247E-6</v>
      </c>
      <c r="AR25">
        <v>7.0249965000000001E-3</v>
      </c>
      <c r="AS25" s="163">
        <v>1.9999433000000001E-5</v>
      </c>
      <c r="AT25">
        <v>0</v>
      </c>
      <c r="AU25">
        <v>0</v>
      </c>
      <c r="AV25">
        <v>0</v>
      </c>
      <c r="AW25">
        <v>0</v>
      </c>
      <c r="AX25">
        <v>0</v>
      </c>
    </row>
    <row r="26" spans="1:50">
      <c r="A26" t="s">
        <v>1276</v>
      </c>
      <c r="B26" s="189">
        <f t="shared" si="0"/>
        <v>1.9272599040000001E-2</v>
      </c>
      <c r="C26" s="163">
        <v>1.4399999999999999E-7</v>
      </c>
      <c r="D26">
        <v>2.9099999999999998E-3</v>
      </c>
      <c r="E26">
        <v>0.159</v>
      </c>
      <c r="F26" s="163">
        <v>1.92E-8</v>
      </c>
      <c r="G26">
        <v>2.8400000000000002E-4</v>
      </c>
      <c r="H26">
        <v>9.1200000000000005E-4</v>
      </c>
      <c r="I26" s="163">
        <v>9.7700000000000003E-5</v>
      </c>
      <c r="J26">
        <v>4.1599999999999998E-2</v>
      </c>
      <c r="K26">
        <v>4.4400000000000004E-3</v>
      </c>
      <c r="L26">
        <v>18.5</v>
      </c>
      <c r="M26">
        <v>5.6499999999999996E-4</v>
      </c>
      <c r="N26">
        <v>0</v>
      </c>
      <c r="O26">
        <v>0</v>
      </c>
      <c r="P26">
        <v>0</v>
      </c>
      <c r="Q26">
        <v>0</v>
      </c>
      <c r="R26">
        <v>0</v>
      </c>
      <c r="S26">
        <v>0</v>
      </c>
      <c r="T26">
        <v>0</v>
      </c>
      <c r="U26">
        <v>0</v>
      </c>
      <c r="V26">
        <v>0</v>
      </c>
      <c r="W26">
        <v>0</v>
      </c>
      <c r="X26">
        <v>0</v>
      </c>
      <c r="Y26">
        <v>0</v>
      </c>
      <c r="Z26">
        <v>0</v>
      </c>
      <c r="AA26">
        <v>0</v>
      </c>
      <c r="AB26">
        <v>0</v>
      </c>
      <c r="AC26">
        <v>0</v>
      </c>
      <c r="AD26">
        <v>0</v>
      </c>
      <c r="AE26">
        <v>0</v>
      </c>
      <c r="AF26">
        <v>0</v>
      </c>
      <c r="AG26">
        <v>0</v>
      </c>
      <c r="AH26">
        <v>0</v>
      </c>
      <c r="AI26">
        <v>3.9100000000000003E-2</v>
      </c>
      <c r="AJ26">
        <v>0</v>
      </c>
      <c r="AK26">
        <v>0</v>
      </c>
      <c r="AL26">
        <v>6.11</v>
      </c>
      <c r="AM26">
        <v>0</v>
      </c>
      <c r="AN26">
        <v>0</v>
      </c>
      <c r="AO26">
        <v>0</v>
      </c>
      <c r="AP26">
        <v>5.8000000000000003E-2</v>
      </c>
      <c r="AQ26" s="163">
        <v>2.65E-6</v>
      </c>
      <c r="AR26">
        <v>1.02</v>
      </c>
      <c r="AS26" s="163">
        <v>4.4399999999999998E-6</v>
      </c>
      <c r="AT26">
        <v>0</v>
      </c>
      <c r="AU26">
        <v>0</v>
      </c>
      <c r="AV26">
        <v>0</v>
      </c>
      <c r="AW26">
        <v>0</v>
      </c>
      <c r="AX26">
        <v>0</v>
      </c>
    </row>
    <row r="27" spans="1:50">
      <c r="A27" t="s">
        <v>1277</v>
      </c>
      <c r="B27" s="189">
        <f t="shared" si="0"/>
        <v>3.28815188E-3</v>
      </c>
      <c r="C27" s="163">
        <v>1.7999999999999999E-8</v>
      </c>
      <c r="D27">
        <v>7.2900000000000005E-4</v>
      </c>
      <c r="E27">
        <v>3.3500000000000002E-2</v>
      </c>
      <c r="F27" s="163">
        <v>3.4999999999999999E-9</v>
      </c>
      <c r="G27" s="163">
        <v>2.48E-5</v>
      </c>
      <c r="H27">
        <v>1.3999999999999999E-4</v>
      </c>
      <c r="I27" s="163">
        <v>2.0400000000000001E-5</v>
      </c>
      <c r="J27">
        <v>6.1599999999999997E-3</v>
      </c>
      <c r="K27">
        <v>1.4100000000000001E-4</v>
      </c>
      <c r="L27">
        <v>1.39</v>
      </c>
      <c r="M27" s="163">
        <v>9.2899999999999995E-5</v>
      </c>
      <c r="N27">
        <v>0</v>
      </c>
      <c r="O27">
        <v>0</v>
      </c>
      <c r="P27">
        <v>0</v>
      </c>
      <c r="Q27">
        <v>0</v>
      </c>
      <c r="R27">
        <v>0</v>
      </c>
      <c r="S27">
        <v>0</v>
      </c>
      <c r="T27">
        <v>0</v>
      </c>
      <c r="U27">
        <v>0</v>
      </c>
      <c r="V27">
        <v>0</v>
      </c>
      <c r="W27">
        <v>0</v>
      </c>
      <c r="X27">
        <v>0</v>
      </c>
      <c r="Y27">
        <v>0</v>
      </c>
      <c r="Z27">
        <v>0</v>
      </c>
      <c r="AA27">
        <v>0</v>
      </c>
      <c r="AB27">
        <v>0</v>
      </c>
      <c r="AC27">
        <v>0</v>
      </c>
      <c r="AD27">
        <v>0</v>
      </c>
      <c r="AE27">
        <v>0</v>
      </c>
      <c r="AF27">
        <v>0</v>
      </c>
      <c r="AG27">
        <v>0</v>
      </c>
      <c r="AH27">
        <v>0</v>
      </c>
      <c r="AI27">
        <v>5.0499999999999998E-3</v>
      </c>
      <c r="AJ27">
        <v>0</v>
      </c>
      <c r="AK27">
        <v>0</v>
      </c>
      <c r="AL27">
        <v>0.57099999999999995</v>
      </c>
      <c r="AM27">
        <v>0</v>
      </c>
      <c r="AN27">
        <v>0</v>
      </c>
      <c r="AO27">
        <v>0</v>
      </c>
      <c r="AP27">
        <v>1.3599999999999999E-2</v>
      </c>
      <c r="AQ27">
        <v>1.34E-2</v>
      </c>
      <c r="AR27">
        <v>1.71222E-3</v>
      </c>
      <c r="AS27">
        <v>0</v>
      </c>
      <c r="AT27">
        <v>0</v>
      </c>
      <c r="AU27">
        <v>0</v>
      </c>
      <c r="AV27">
        <v>0</v>
      </c>
      <c r="AW27">
        <v>0</v>
      </c>
      <c r="AX27">
        <v>0</v>
      </c>
    </row>
    <row r="28" spans="1:50">
      <c r="A28" t="s">
        <v>1278</v>
      </c>
      <c r="B28" s="189">
        <f t="shared" si="0"/>
        <v>9.7853048713213604E-3</v>
      </c>
      <c r="C28" s="163">
        <v>6.2370696000000005E-8</v>
      </c>
      <c r="D28">
        <v>1.4522663999999999E-3</v>
      </c>
      <c r="E28">
        <v>7.5251984999999993E-2</v>
      </c>
      <c r="F28" s="163">
        <v>3.7432973000000003E-8</v>
      </c>
      <c r="G28" s="163">
        <v>9.4683467000000006E-5</v>
      </c>
      <c r="H28">
        <v>4.4202242999999999E-4</v>
      </c>
      <c r="I28" s="163">
        <v>8.1043193000000004E-5</v>
      </c>
      <c r="J28">
        <v>3.0195027999999999E-2</v>
      </c>
      <c r="K28">
        <v>1.0184549000000001E-3</v>
      </c>
      <c r="L28">
        <v>3.4827287999999998</v>
      </c>
      <c r="M28" s="163">
        <v>9.9759846999999995E-5</v>
      </c>
      <c r="N28">
        <v>7.6394139999999999E-2</v>
      </c>
      <c r="O28">
        <v>7.6277176000000002E-2</v>
      </c>
      <c r="P28">
        <v>1.0241430000000001E-4</v>
      </c>
      <c r="Q28" s="163">
        <v>1.4549224E-5</v>
      </c>
      <c r="R28" s="163">
        <v>4.7085730999999999E-8</v>
      </c>
      <c r="S28">
        <v>5.5970374000000002E-4</v>
      </c>
      <c r="T28" s="163">
        <v>1.3017129999999999E-6</v>
      </c>
      <c r="U28">
        <v>1.4378966999999999E-4</v>
      </c>
      <c r="V28">
        <v>1.627339E-3</v>
      </c>
      <c r="W28">
        <v>5.5975226999999995E-4</v>
      </c>
      <c r="X28" s="163">
        <v>6.2371301999999993E-8</v>
      </c>
      <c r="Y28">
        <v>3.0603156999999999</v>
      </c>
      <c r="Z28">
        <v>1.2704666E-2</v>
      </c>
      <c r="AA28" s="163">
        <v>7.1989693999999998E-9</v>
      </c>
      <c r="AB28">
        <v>1.2982296000000001E-2</v>
      </c>
      <c r="AC28">
        <v>1.7728680999999999</v>
      </c>
      <c r="AD28" s="163">
        <v>2.1429159E-11</v>
      </c>
      <c r="AE28" s="163">
        <v>7.0172109000000003E-10</v>
      </c>
      <c r="AF28">
        <v>0.4397837</v>
      </c>
      <c r="AG28">
        <v>0</v>
      </c>
      <c r="AH28">
        <v>0</v>
      </c>
      <c r="AI28">
        <v>2.1166480000000001E-2</v>
      </c>
      <c r="AJ28">
        <v>0</v>
      </c>
      <c r="AK28">
        <v>0</v>
      </c>
      <c r="AL28">
        <v>3.2530394999999999</v>
      </c>
      <c r="AM28">
        <v>0</v>
      </c>
      <c r="AN28">
        <v>0</v>
      </c>
      <c r="AO28">
        <v>0</v>
      </c>
      <c r="AP28">
        <v>4.3696924999999997E-4</v>
      </c>
      <c r="AQ28" s="163">
        <v>1.1561721000000001E-6</v>
      </c>
      <c r="AR28">
        <v>7.6525127E-3</v>
      </c>
      <c r="AS28" s="163">
        <v>2.0800479000000001E-5</v>
      </c>
      <c r="AT28">
        <v>0</v>
      </c>
      <c r="AU28">
        <v>0</v>
      </c>
      <c r="AV28">
        <v>0</v>
      </c>
      <c r="AW28">
        <v>0</v>
      </c>
      <c r="AX28">
        <v>0</v>
      </c>
    </row>
    <row r="29" spans="1:50">
      <c r="A29" t="s">
        <v>1279</v>
      </c>
      <c r="B29" s="189">
        <f t="shared" si="0"/>
        <v>1.29227492E-2</v>
      </c>
      <c r="C29" s="163">
        <v>1.4499999999999999E-7</v>
      </c>
      <c r="D29">
        <v>1.2600000000000001E-3</v>
      </c>
      <c r="E29">
        <v>9.8100000000000007E-2</v>
      </c>
      <c r="F29" s="163">
        <v>1.42E-8</v>
      </c>
      <c r="G29">
        <v>1.16E-4</v>
      </c>
      <c r="H29">
        <v>6.2200000000000005E-4</v>
      </c>
      <c r="I29" s="163">
        <v>7.9400000000000006E-5</v>
      </c>
      <c r="J29">
        <v>3.27E-2</v>
      </c>
      <c r="K29">
        <v>1.75E-3</v>
      </c>
      <c r="L29">
        <v>13.7</v>
      </c>
      <c r="M29">
        <v>2.5999999999999998E-4</v>
      </c>
      <c r="N29">
        <v>0</v>
      </c>
      <c r="O29">
        <v>0</v>
      </c>
      <c r="P29">
        <v>0</v>
      </c>
      <c r="Q29">
        <v>0</v>
      </c>
      <c r="R29">
        <v>0</v>
      </c>
      <c r="S29">
        <v>0</v>
      </c>
      <c r="T29">
        <v>0</v>
      </c>
      <c r="U29">
        <v>0</v>
      </c>
      <c r="V29">
        <v>0</v>
      </c>
      <c r="W29">
        <v>0</v>
      </c>
      <c r="X29">
        <v>0</v>
      </c>
      <c r="Y29">
        <v>0</v>
      </c>
      <c r="Z29">
        <v>0</v>
      </c>
      <c r="AA29">
        <v>0</v>
      </c>
      <c r="AB29">
        <v>0</v>
      </c>
      <c r="AC29">
        <v>0</v>
      </c>
      <c r="AD29">
        <v>0</v>
      </c>
      <c r="AE29">
        <v>0</v>
      </c>
      <c r="AF29">
        <v>0</v>
      </c>
      <c r="AG29">
        <v>0</v>
      </c>
      <c r="AH29">
        <v>0</v>
      </c>
      <c r="AI29">
        <v>2.7400000000000001E-2</v>
      </c>
      <c r="AJ29">
        <v>0</v>
      </c>
      <c r="AK29">
        <v>0</v>
      </c>
      <c r="AL29">
        <v>2.5099999999999998</v>
      </c>
      <c r="AM29">
        <v>0</v>
      </c>
      <c r="AN29">
        <v>0</v>
      </c>
      <c r="AO29">
        <v>0</v>
      </c>
      <c r="AP29">
        <v>1.7000000000000001E-2</v>
      </c>
      <c r="AQ29" s="163">
        <v>1.48E-6</v>
      </c>
      <c r="AR29">
        <v>1.01</v>
      </c>
      <c r="AS29" s="163">
        <v>4.3800000000000004E-6</v>
      </c>
      <c r="AT29">
        <v>0</v>
      </c>
      <c r="AU29">
        <v>0</v>
      </c>
      <c r="AV29">
        <v>0</v>
      </c>
      <c r="AW29">
        <v>0</v>
      </c>
      <c r="AX29">
        <v>0</v>
      </c>
    </row>
    <row r="30" spans="1:50">
      <c r="A30" t="s">
        <v>1280</v>
      </c>
      <c r="B30" s="189">
        <f t="shared" si="0"/>
        <v>6.0792812650738402E-3</v>
      </c>
      <c r="C30" s="163">
        <v>4.0466648999999998E-8</v>
      </c>
      <c r="D30">
        <v>8.3705770999999997E-4</v>
      </c>
      <c r="E30">
        <v>4.2810185000000001E-2</v>
      </c>
      <c r="F30" s="163">
        <v>2.1583496999999998E-8</v>
      </c>
      <c r="G30" s="163">
        <v>5.9355928000000002E-5</v>
      </c>
      <c r="H30">
        <v>2.9548667E-4</v>
      </c>
      <c r="I30" s="163">
        <v>5.7438824000000002E-5</v>
      </c>
      <c r="J30">
        <v>1.9561558E-2</v>
      </c>
      <c r="K30">
        <v>6.0098216999999998E-4</v>
      </c>
      <c r="L30">
        <v>2.0476323999999999</v>
      </c>
      <c r="M30" s="163">
        <v>5.4132080000000002E-5</v>
      </c>
      <c r="N30">
        <v>4.3527519000000001E-2</v>
      </c>
      <c r="O30">
        <v>4.3457220999999997E-2</v>
      </c>
      <c r="P30" s="163">
        <v>6.1678736999999997E-5</v>
      </c>
      <c r="Q30" s="163">
        <v>8.6191182999999992E-6</v>
      </c>
      <c r="R30" s="163">
        <v>2.7151772000000001E-8</v>
      </c>
      <c r="S30">
        <v>3.8294970999999998E-4</v>
      </c>
      <c r="T30" s="163">
        <v>7.1254038E-7</v>
      </c>
      <c r="U30">
        <v>1.1559886000000001E-4</v>
      </c>
      <c r="V30">
        <v>1.2918860999999999E-3</v>
      </c>
      <c r="W30">
        <v>4.1667967999999998E-4</v>
      </c>
      <c r="X30" s="163">
        <v>4.0466945E-8</v>
      </c>
      <c r="Y30">
        <v>1.7624823999999999</v>
      </c>
      <c r="Z30">
        <v>6.9857736999999996E-3</v>
      </c>
      <c r="AA30" s="163">
        <v>6.3541434000000004E-9</v>
      </c>
      <c r="AB30">
        <v>7.3407793999999997E-3</v>
      </c>
      <c r="AC30">
        <v>0.98461622999999998</v>
      </c>
      <c r="AD30" s="163">
        <v>1.3669732E-11</v>
      </c>
      <c r="AE30" s="163">
        <v>4.0013762000000002E-10</v>
      </c>
      <c r="AF30">
        <v>0.26909110000000003</v>
      </c>
      <c r="AG30">
        <v>0</v>
      </c>
      <c r="AH30">
        <v>0</v>
      </c>
      <c r="AI30">
        <v>1.102269E-2</v>
      </c>
      <c r="AJ30">
        <v>0</v>
      </c>
      <c r="AK30">
        <v>0</v>
      </c>
      <c r="AL30">
        <v>1.8749602000000001</v>
      </c>
      <c r="AM30">
        <v>0</v>
      </c>
      <c r="AN30">
        <v>0</v>
      </c>
      <c r="AO30">
        <v>0</v>
      </c>
      <c r="AP30">
        <v>2.3498305000000001E-4</v>
      </c>
      <c r="AQ30" s="163">
        <v>7.4227906999999996E-7</v>
      </c>
      <c r="AR30">
        <v>5.9544137000000002E-3</v>
      </c>
      <c r="AS30" s="163">
        <v>1.1867243E-5</v>
      </c>
      <c r="AT30">
        <v>0</v>
      </c>
      <c r="AU30">
        <v>0</v>
      </c>
      <c r="AV30">
        <v>0</v>
      </c>
      <c r="AW30">
        <v>0</v>
      </c>
      <c r="AX30">
        <v>0</v>
      </c>
    </row>
    <row r="31" spans="1:50">
      <c r="A31" t="s">
        <v>1281</v>
      </c>
      <c r="B31" s="189">
        <f t="shared" si="0"/>
        <v>6.1865416724491999E-3</v>
      </c>
      <c r="C31" s="163">
        <v>4.1464245000000002E-8</v>
      </c>
      <c r="D31">
        <v>8.2403013999999999E-4</v>
      </c>
      <c r="E31">
        <v>4.4210294999999997E-2</v>
      </c>
      <c r="F31" s="163">
        <v>2.1146660999999999E-8</v>
      </c>
      <c r="G31" s="163">
        <v>5.9108923000000002E-5</v>
      </c>
      <c r="H31">
        <v>3.0021721E-4</v>
      </c>
      <c r="I31" s="163">
        <v>5.8786322999999999E-5</v>
      </c>
      <c r="J31">
        <v>1.968044E-2</v>
      </c>
      <c r="K31">
        <v>5.9502581999999998E-4</v>
      </c>
      <c r="L31">
        <v>2.0296680999999999</v>
      </c>
      <c r="M31" s="163">
        <v>5.5338138999999998E-5</v>
      </c>
      <c r="N31">
        <v>4.4940765000000001E-2</v>
      </c>
      <c r="O31">
        <v>4.4867298999999999E-2</v>
      </c>
      <c r="P31" s="163">
        <v>6.4741827999999994E-5</v>
      </c>
      <c r="Q31" s="163">
        <v>8.7243474000000005E-6</v>
      </c>
      <c r="R31" s="163">
        <v>2.6591239E-8</v>
      </c>
      <c r="S31">
        <v>3.9062150000000002E-4</v>
      </c>
      <c r="T31" s="163">
        <v>7.2869521E-7</v>
      </c>
      <c r="U31">
        <v>1.2044134E-4</v>
      </c>
      <c r="V31">
        <v>1.3458337999999999E-3</v>
      </c>
      <c r="W31">
        <v>4.2858695E-4</v>
      </c>
      <c r="X31" s="163">
        <v>4.146454E-8</v>
      </c>
      <c r="Y31">
        <v>1.733241</v>
      </c>
      <c r="Z31">
        <v>6.9549104E-3</v>
      </c>
      <c r="AA31" s="163">
        <v>6.6412749999999997E-9</v>
      </c>
      <c r="AB31">
        <v>7.1827616000000004E-3</v>
      </c>
      <c r="AC31">
        <v>0.96796795999999996</v>
      </c>
      <c r="AD31" s="163">
        <v>1.3966302000000001E-11</v>
      </c>
      <c r="AE31" s="163">
        <v>4.0757318000000002E-10</v>
      </c>
      <c r="AF31">
        <v>0.27015426999999997</v>
      </c>
      <c r="AG31">
        <v>0</v>
      </c>
      <c r="AH31">
        <v>0</v>
      </c>
      <c r="AI31">
        <v>1.1255088E-2</v>
      </c>
      <c r="AJ31">
        <v>0</v>
      </c>
      <c r="AK31">
        <v>0</v>
      </c>
      <c r="AL31">
        <v>1.8441995</v>
      </c>
      <c r="AM31">
        <v>0</v>
      </c>
      <c r="AN31">
        <v>0</v>
      </c>
      <c r="AO31">
        <v>0</v>
      </c>
      <c r="AP31">
        <v>2.3383257999999999E-4</v>
      </c>
      <c r="AQ31" s="163">
        <v>7.5079336999999996E-7</v>
      </c>
      <c r="AR31">
        <v>6.3490211999999999E-3</v>
      </c>
      <c r="AS31" s="163">
        <v>1.1603536999999999E-5</v>
      </c>
      <c r="AT31">
        <v>0</v>
      </c>
      <c r="AU31">
        <v>0</v>
      </c>
      <c r="AV31">
        <v>0</v>
      </c>
      <c r="AW31">
        <v>0</v>
      </c>
      <c r="AX31">
        <v>0</v>
      </c>
    </row>
    <row r="32" spans="1:50">
      <c r="A32" t="s">
        <v>1282</v>
      </c>
      <c r="B32" s="189">
        <f t="shared" si="0"/>
        <v>6.1286713766588799E-3</v>
      </c>
      <c r="C32" s="163">
        <v>4.2747243E-8</v>
      </c>
      <c r="D32">
        <v>8.2174500999999999E-4</v>
      </c>
      <c r="E32">
        <v>4.3834662000000003E-2</v>
      </c>
      <c r="F32" s="163">
        <v>2.1081626E-8</v>
      </c>
      <c r="G32" s="163">
        <v>5.8492417000000002E-5</v>
      </c>
      <c r="H32">
        <v>2.9553951000000001E-4</v>
      </c>
      <c r="I32" s="163">
        <v>5.7676989E-5</v>
      </c>
      <c r="J32">
        <v>1.9573050000000002E-2</v>
      </c>
      <c r="K32">
        <v>5.9700968999999997E-4</v>
      </c>
      <c r="L32">
        <v>2.0376481000000002</v>
      </c>
      <c r="M32" s="163">
        <v>5.5573516999999999E-5</v>
      </c>
      <c r="N32">
        <v>4.4560080000000002E-2</v>
      </c>
      <c r="O32">
        <v>4.4486518000000003E-2</v>
      </c>
      <c r="P32" s="163">
        <v>6.4749931000000006E-5</v>
      </c>
      <c r="Q32" s="163">
        <v>8.8122989999999992E-6</v>
      </c>
      <c r="R32" s="163">
        <v>2.6508998999999999E-8</v>
      </c>
      <c r="S32">
        <v>3.8393086000000002E-4</v>
      </c>
      <c r="T32" s="163">
        <v>7.2996522000000004E-7</v>
      </c>
      <c r="U32">
        <v>1.1727354E-4</v>
      </c>
      <c r="V32">
        <v>1.3111120999999999E-3</v>
      </c>
      <c r="W32">
        <v>4.1916867999999998E-4</v>
      </c>
      <c r="X32" s="163">
        <v>4.2747526999999998E-8</v>
      </c>
      <c r="Y32">
        <v>1.7283269000000001</v>
      </c>
      <c r="Z32">
        <v>6.9435618999999999E-3</v>
      </c>
      <c r="AA32" s="163">
        <v>6.4327769999999997E-9</v>
      </c>
      <c r="AB32">
        <v>7.1610661999999999E-3</v>
      </c>
      <c r="AC32">
        <v>0.96652773000000003</v>
      </c>
      <c r="AD32" s="163">
        <v>1.3938869000000001E-11</v>
      </c>
      <c r="AE32" s="163">
        <v>4.0884729000000001E-10</v>
      </c>
      <c r="AF32">
        <v>0.27573741000000002</v>
      </c>
      <c r="AG32">
        <v>0</v>
      </c>
      <c r="AH32">
        <v>0</v>
      </c>
      <c r="AI32">
        <v>1.1267660000000001E-2</v>
      </c>
      <c r="AJ32">
        <v>0</v>
      </c>
      <c r="AK32">
        <v>0</v>
      </c>
      <c r="AL32">
        <v>1.8389808999999999</v>
      </c>
      <c r="AM32">
        <v>0</v>
      </c>
      <c r="AN32">
        <v>0</v>
      </c>
      <c r="AO32">
        <v>0</v>
      </c>
      <c r="AP32">
        <v>2.3360914999999999E-4</v>
      </c>
      <c r="AQ32" s="163">
        <v>7.5026404999999997E-7</v>
      </c>
      <c r="AR32">
        <v>6.8687186000000004E-3</v>
      </c>
      <c r="AS32" s="163">
        <v>1.156744E-5</v>
      </c>
      <c r="AT32">
        <v>0</v>
      </c>
      <c r="AU32">
        <v>0</v>
      </c>
      <c r="AV32">
        <v>0</v>
      </c>
      <c r="AW32">
        <v>0</v>
      </c>
      <c r="AX32">
        <v>0</v>
      </c>
    </row>
    <row r="33" spans="1:50">
      <c r="A33" t="s">
        <v>1283</v>
      </c>
      <c r="B33" s="189">
        <f t="shared" si="0"/>
        <v>8.2910590232991195E-3</v>
      </c>
      <c r="C33" s="163">
        <v>4.4572056999999999E-8</v>
      </c>
      <c r="D33">
        <v>1.3252602E-3</v>
      </c>
      <c r="E33">
        <v>6.5081885000000006E-2</v>
      </c>
      <c r="F33" s="163">
        <v>3.3416041000000003E-8</v>
      </c>
      <c r="G33" s="163">
        <v>8.2230878000000006E-5</v>
      </c>
      <c r="H33">
        <v>3.6538945999999999E-4</v>
      </c>
      <c r="I33" s="163">
        <v>6.5579110999999994E-5</v>
      </c>
      <c r="J33">
        <v>2.5192282999999999E-2</v>
      </c>
      <c r="K33">
        <v>9.0327679000000004E-4</v>
      </c>
      <c r="L33">
        <v>3.0857277000000001</v>
      </c>
      <c r="M33" s="163">
        <v>7.8423164E-5</v>
      </c>
      <c r="N33">
        <v>6.6188849999999994E-2</v>
      </c>
      <c r="O33">
        <v>6.6092145000000005E-2</v>
      </c>
      <c r="P33" s="163">
        <v>8.4623581999999998E-5</v>
      </c>
      <c r="Q33" s="163">
        <v>1.2080684000000001E-5</v>
      </c>
      <c r="R33" s="163">
        <v>4.1952926999999998E-8</v>
      </c>
      <c r="S33">
        <v>4.5874294999999999E-4</v>
      </c>
      <c r="T33" s="163">
        <v>1.0414129000000001E-6</v>
      </c>
      <c r="U33">
        <v>1.1163437999999999E-4</v>
      </c>
      <c r="V33">
        <v>1.2627536999999999E-3</v>
      </c>
      <c r="W33">
        <v>4.5213482000000001E-4</v>
      </c>
      <c r="X33" s="163">
        <v>4.4572561999999998E-8</v>
      </c>
      <c r="Y33">
        <v>2.7768370999999998</v>
      </c>
      <c r="Z33">
        <v>1.0828778000000001E-2</v>
      </c>
      <c r="AA33" s="163">
        <v>5.4762951000000003E-9</v>
      </c>
      <c r="AB33">
        <v>1.1241278E-2</v>
      </c>
      <c r="AC33">
        <v>1.4946579</v>
      </c>
      <c r="AD33" s="163">
        <v>1.7146145000000001E-11</v>
      </c>
      <c r="AE33" s="163">
        <v>5.4245397999999997E-10</v>
      </c>
      <c r="AF33">
        <v>0.34347407000000002</v>
      </c>
      <c r="AG33">
        <v>0</v>
      </c>
      <c r="AH33">
        <v>0</v>
      </c>
      <c r="AI33">
        <v>1.7031253E-2</v>
      </c>
      <c r="AJ33">
        <v>0</v>
      </c>
      <c r="AK33">
        <v>0</v>
      </c>
      <c r="AL33">
        <v>2.9580841000000002</v>
      </c>
      <c r="AM33">
        <v>0</v>
      </c>
      <c r="AN33">
        <v>0</v>
      </c>
      <c r="AO33">
        <v>0</v>
      </c>
      <c r="AP33">
        <v>3.6857922E-4</v>
      </c>
      <c r="AQ33" s="163">
        <v>1.1579915E-6</v>
      </c>
      <c r="AR33">
        <v>3.2365833E-3</v>
      </c>
      <c r="AS33" s="163">
        <v>1.8069512999999999E-5</v>
      </c>
      <c r="AT33">
        <v>0</v>
      </c>
      <c r="AU33">
        <v>0</v>
      </c>
      <c r="AV33">
        <v>0</v>
      </c>
      <c r="AW33">
        <v>0</v>
      </c>
      <c r="AX33">
        <v>0</v>
      </c>
    </row>
    <row r="34" spans="1:50">
      <c r="A34" t="s">
        <v>1284</v>
      </c>
      <c r="B34" s="189">
        <f t="shared" si="0"/>
        <v>9.7676205472354387E-3</v>
      </c>
      <c r="C34" s="163">
        <v>6.1423533999999998E-8</v>
      </c>
      <c r="D34">
        <v>1.8437518000000001E-3</v>
      </c>
      <c r="E34">
        <v>6.4781752999999997E-2</v>
      </c>
      <c r="F34" s="163">
        <v>4.7676461000000001E-8</v>
      </c>
      <c r="G34">
        <v>1.1492465E-4</v>
      </c>
      <c r="H34">
        <v>4.4897745999999999E-4</v>
      </c>
      <c r="I34" s="163">
        <v>7.8020271999999999E-5</v>
      </c>
      <c r="J34">
        <v>3.3694948000000002E-2</v>
      </c>
      <c r="K34">
        <v>1.2643952E-3</v>
      </c>
      <c r="L34">
        <v>4.2860550000000002</v>
      </c>
      <c r="M34" s="163">
        <v>8.4470393999999994E-5</v>
      </c>
      <c r="N34">
        <v>6.6180047000000006E-2</v>
      </c>
      <c r="O34">
        <v>6.6085229999999995E-2</v>
      </c>
      <c r="P34" s="163">
        <v>7.9184459999999998E-5</v>
      </c>
      <c r="Q34" s="163">
        <v>1.563178E-5</v>
      </c>
      <c r="R34" s="163">
        <v>5.9993013999999998E-8</v>
      </c>
      <c r="S34">
        <v>5.5212046000000002E-4</v>
      </c>
      <c r="T34" s="163">
        <v>1.1339572E-6</v>
      </c>
      <c r="U34">
        <v>1.1669939E-4</v>
      </c>
      <c r="V34">
        <v>1.3135856999999999E-3</v>
      </c>
      <c r="W34">
        <v>5.2592272999999997E-4</v>
      </c>
      <c r="X34" s="163">
        <v>6.1424131999999997E-8</v>
      </c>
      <c r="Y34">
        <v>3.8824651000000001</v>
      </c>
      <c r="Z34">
        <v>1.7958221999999999E-2</v>
      </c>
      <c r="AA34" s="163">
        <v>5.6877507000000001E-9</v>
      </c>
      <c r="AB34">
        <v>1.5969618000000001E-2</v>
      </c>
      <c r="AC34">
        <v>2.0587027</v>
      </c>
      <c r="AD34" s="163">
        <v>2.0740727000000001E-11</v>
      </c>
      <c r="AE34" s="163">
        <v>6.1894678000000005E-10</v>
      </c>
      <c r="AF34">
        <v>0.48806239000000001</v>
      </c>
      <c r="AG34">
        <v>0</v>
      </c>
      <c r="AH34">
        <v>0</v>
      </c>
      <c r="AI34">
        <v>1.7982577E-2</v>
      </c>
      <c r="AJ34">
        <v>0</v>
      </c>
      <c r="AK34">
        <v>0</v>
      </c>
      <c r="AL34">
        <v>4.1335943000000004</v>
      </c>
      <c r="AM34">
        <v>0</v>
      </c>
      <c r="AN34">
        <v>0</v>
      </c>
      <c r="AO34">
        <v>0</v>
      </c>
      <c r="AP34">
        <v>5.6477522999999995E-4</v>
      </c>
      <c r="AQ34" s="163">
        <v>1.5370099E-6</v>
      </c>
      <c r="AR34">
        <v>4.7388122999999999E-3</v>
      </c>
      <c r="AS34" s="163">
        <v>2.5916609999999999E-5</v>
      </c>
      <c r="AT34">
        <v>0</v>
      </c>
      <c r="AU34">
        <v>0</v>
      </c>
      <c r="AV34">
        <v>0</v>
      </c>
      <c r="AW34">
        <v>0</v>
      </c>
      <c r="AX34">
        <v>0</v>
      </c>
    </row>
    <row r="35" spans="1:50">
      <c r="A35" t="s">
        <v>1285</v>
      </c>
      <c r="B35" s="189">
        <f t="shared" si="0"/>
        <v>2.2116767642704E-2</v>
      </c>
      <c r="C35" s="163">
        <v>1.3853440000000001E-7</v>
      </c>
      <c r="D35">
        <v>4.4795588000000001E-3</v>
      </c>
      <c r="E35">
        <v>0.15590704999999999</v>
      </c>
      <c r="F35" s="163">
        <v>1.1727144E-7</v>
      </c>
      <c r="G35">
        <v>2.5744226000000002E-4</v>
      </c>
      <c r="H35">
        <v>9.5467295000000005E-4</v>
      </c>
      <c r="I35">
        <v>1.5305504000000001E-4</v>
      </c>
      <c r="J35">
        <v>7.5035429000000001E-2</v>
      </c>
      <c r="K35">
        <v>3.0377977999999999E-3</v>
      </c>
      <c r="L35">
        <v>10.321005</v>
      </c>
      <c r="M35">
        <v>2.2751170000000001E-4</v>
      </c>
      <c r="N35">
        <v>0.15874399</v>
      </c>
      <c r="O35">
        <v>0.15851831</v>
      </c>
      <c r="P35">
        <v>1.8690699E-4</v>
      </c>
      <c r="Q35" s="163">
        <v>3.8769254000000003E-5</v>
      </c>
      <c r="R35" s="163">
        <v>1.4771261000000001E-7</v>
      </c>
      <c r="S35">
        <v>1.1355247E-3</v>
      </c>
      <c r="T35" s="163">
        <v>2.9696877999999999E-6</v>
      </c>
      <c r="U35">
        <v>1.6481946999999999E-4</v>
      </c>
      <c r="V35">
        <v>1.9117568E-3</v>
      </c>
      <c r="W35">
        <v>9.4147681000000003E-4</v>
      </c>
      <c r="X35" s="163">
        <v>1.3853567000000001E-7</v>
      </c>
      <c r="Y35">
        <v>9.4679707000000004</v>
      </c>
      <c r="Z35">
        <v>3.5324517E-2</v>
      </c>
      <c r="AA35" s="163">
        <v>5.5608425000000004E-9</v>
      </c>
      <c r="AB35">
        <v>4.0344262999999998E-2</v>
      </c>
      <c r="AC35">
        <v>5.2203296000000003</v>
      </c>
      <c r="AD35" s="163">
        <v>4.6185711999999997E-11</v>
      </c>
      <c r="AE35" s="163">
        <v>1.5850509999999999E-9</v>
      </c>
      <c r="AF35">
        <v>1.1836055999999999</v>
      </c>
      <c r="AG35">
        <v>0</v>
      </c>
      <c r="AH35">
        <v>0</v>
      </c>
      <c r="AI35">
        <v>4.9617596E-2</v>
      </c>
      <c r="AJ35">
        <v>0</v>
      </c>
      <c r="AK35">
        <v>0</v>
      </c>
      <c r="AL35">
        <v>10.064536</v>
      </c>
      <c r="AM35">
        <v>0</v>
      </c>
      <c r="AN35">
        <v>0</v>
      </c>
      <c r="AO35">
        <v>0</v>
      </c>
      <c r="AP35">
        <v>1.2207774000000001E-3</v>
      </c>
      <c r="AQ35" s="163">
        <v>3.1578826999999998E-6</v>
      </c>
      <c r="AR35">
        <v>8.8760295000000003E-3</v>
      </c>
      <c r="AS35" s="163">
        <v>6.5021352000000003E-5</v>
      </c>
      <c r="AT35">
        <v>0</v>
      </c>
      <c r="AU35">
        <v>0</v>
      </c>
      <c r="AV35">
        <v>0</v>
      </c>
      <c r="AW35">
        <v>0</v>
      </c>
      <c r="AX35">
        <v>0</v>
      </c>
    </row>
    <row r="36" spans="1:50">
      <c r="A36" t="s">
        <v>1286</v>
      </c>
      <c r="B36" s="189">
        <f t="shared" si="0"/>
        <v>0.21744332288051998</v>
      </c>
      <c r="C36" s="163">
        <v>2.3557342E-5</v>
      </c>
      <c r="D36">
        <v>1.0240600000000001E-2</v>
      </c>
      <c r="E36">
        <v>1.6595399</v>
      </c>
      <c r="F36" s="163">
        <v>1.1573666E-7</v>
      </c>
      <c r="G36">
        <v>7.2675563999999998E-4</v>
      </c>
      <c r="H36">
        <v>1.3601904999999999E-2</v>
      </c>
      <c r="I36">
        <v>1.0595381999999999E-3</v>
      </c>
      <c r="J36">
        <v>0.63285765999999999</v>
      </c>
      <c r="K36">
        <v>2.7294303999999998E-2</v>
      </c>
      <c r="L36">
        <v>93.550951999999995</v>
      </c>
      <c r="M36">
        <v>4.8750301000000003E-3</v>
      </c>
      <c r="N36">
        <v>1.6868326</v>
      </c>
      <c r="O36">
        <v>1.6929513</v>
      </c>
      <c r="P36">
        <v>-6.6154906999999997E-3</v>
      </c>
      <c r="Q36">
        <v>4.9671016000000004E-4</v>
      </c>
      <c r="R36" s="163">
        <v>1.3079155000000001E-7</v>
      </c>
      <c r="S36">
        <v>1.6121521999999999E-2</v>
      </c>
      <c r="T36" s="163">
        <v>6.3199733999999997E-5</v>
      </c>
      <c r="U36">
        <v>2.3442148000000001E-3</v>
      </c>
      <c r="V36">
        <v>2.6671617000000002E-2</v>
      </c>
      <c r="W36">
        <v>7.2704616E-3</v>
      </c>
      <c r="X36" s="163">
        <v>2.3557349999999999E-5</v>
      </c>
      <c r="Y36">
        <v>16.577197999999999</v>
      </c>
      <c r="Z36">
        <v>0.26723365999999998</v>
      </c>
      <c r="AA36" s="163">
        <v>1.6813263E-7</v>
      </c>
      <c r="AB36">
        <v>2.9226933E-2</v>
      </c>
      <c r="AC36">
        <v>72.291959000000006</v>
      </c>
      <c r="AD36" s="163">
        <v>5.0914575000000001E-9</v>
      </c>
      <c r="AE36" s="163">
        <v>9.0228829999999999E-8</v>
      </c>
      <c r="AF36">
        <v>4.1062877000000002</v>
      </c>
      <c r="AG36">
        <v>0</v>
      </c>
      <c r="AH36">
        <v>0</v>
      </c>
      <c r="AI36">
        <v>0.56197885999999997</v>
      </c>
      <c r="AJ36">
        <v>0</v>
      </c>
      <c r="AK36">
        <v>0</v>
      </c>
      <c r="AL36">
        <v>17.603179000000001</v>
      </c>
      <c r="AM36">
        <v>0</v>
      </c>
      <c r="AN36">
        <v>0</v>
      </c>
      <c r="AO36">
        <v>0</v>
      </c>
      <c r="AP36">
        <v>6.9842586000000003E-3</v>
      </c>
      <c r="AQ36">
        <v>2.2199717000000001E-4</v>
      </c>
      <c r="AR36">
        <v>0.91422994000000002</v>
      </c>
      <c r="AS36" s="163">
        <v>3.7214069000000002E-5</v>
      </c>
      <c r="AT36">
        <v>0</v>
      </c>
      <c r="AU36">
        <v>0</v>
      </c>
      <c r="AV36">
        <v>0</v>
      </c>
      <c r="AW36">
        <v>0</v>
      </c>
      <c r="AX36">
        <v>0</v>
      </c>
    </row>
    <row r="37" spans="1:50">
      <c r="A37" t="s">
        <v>1287</v>
      </c>
      <c r="B37" s="189">
        <f t="shared" si="0"/>
        <v>0</v>
      </c>
      <c r="C37">
        <v>0</v>
      </c>
      <c r="D37">
        <v>0</v>
      </c>
      <c r="E37">
        <v>0</v>
      </c>
      <c r="F37">
        <v>0</v>
      </c>
      <c r="G37">
        <v>0</v>
      </c>
      <c r="H37">
        <v>0</v>
      </c>
      <c r="I37">
        <v>0</v>
      </c>
      <c r="J37">
        <v>0</v>
      </c>
      <c r="K37">
        <v>0</v>
      </c>
      <c r="L37">
        <v>0</v>
      </c>
      <c r="M37">
        <v>0</v>
      </c>
      <c r="N37">
        <v>0</v>
      </c>
      <c r="O37">
        <v>0</v>
      </c>
      <c r="P37">
        <v>0</v>
      </c>
      <c r="Q37">
        <v>0</v>
      </c>
      <c r="R37">
        <v>0</v>
      </c>
      <c r="S37">
        <v>0</v>
      </c>
      <c r="T37">
        <v>0</v>
      </c>
      <c r="U37">
        <v>0</v>
      </c>
      <c r="V37">
        <v>0</v>
      </c>
      <c r="W37">
        <v>0</v>
      </c>
      <c r="X37">
        <v>0</v>
      </c>
      <c r="Y37">
        <v>0</v>
      </c>
      <c r="Z37">
        <v>0</v>
      </c>
      <c r="AA37">
        <v>0</v>
      </c>
      <c r="AB37">
        <v>0</v>
      </c>
      <c r="AC37">
        <v>0</v>
      </c>
      <c r="AD37">
        <v>0</v>
      </c>
      <c r="AE37">
        <v>0</v>
      </c>
      <c r="AF37">
        <v>0</v>
      </c>
      <c r="AG37">
        <v>0</v>
      </c>
      <c r="AH37">
        <v>0</v>
      </c>
      <c r="AI37">
        <v>0</v>
      </c>
      <c r="AJ37">
        <v>0</v>
      </c>
      <c r="AK37">
        <v>0</v>
      </c>
      <c r="AL37">
        <v>0</v>
      </c>
      <c r="AM37">
        <v>0</v>
      </c>
      <c r="AN37">
        <v>0</v>
      </c>
      <c r="AO37">
        <v>0</v>
      </c>
      <c r="AP37">
        <v>0</v>
      </c>
      <c r="AQ37">
        <v>0</v>
      </c>
      <c r="AR37">
        <v>0</v>
      </c>
      <c r="AS37">
        <v>0</v>
      </c>
      <c r="AT37">
        <v>0</v>
      </c>
      <c r="AU37">
        <v>0</v>
      </c>
      <c r="AV37">
        <v>0</v>
      </c>
      <c r="AW37">
        <v>0</v>
      </c>
      <c r="AX37">
        <v>0</v>
      </c>
    </row>
    <row r="38" spans="1:50">
      <c r="A38" t="s">
        <v>1288</v>
      </c>
      <c r="B38" s="189">
        <f t="shared" si="0"/>
        <v>0.27906997965046998</v>
      </c>
      <c r="C38" s="163">
        <v>2.4974809999999999E-6</v>
      </c>
      <c r="D38">
        <v>3.2512495000000001E-3</v>
      </c>
      <c r="E38">
        <v>0.61572302000000001</v>
      </c>
      <c r="F38" s="163">
        <v>4.2105117E-8</v>
      </c>
      <c r="G38">
        <v>3.6392902000000001E-4</v>
      </c>
      <c r="H38">
        <v>4.9779997000000001E-3</v>
      </c>
      <c r="I38">
        <v>1.4666277E-2</v>
      </c>
      <c r="J38">
        <v>0.98179934000000002</v>
      </c>
      <c r="K38">
        <v>6.2313552000000001E-2</v>
      </c>
      <c r="L38">
        <v>41.732619999999997</v>
      </c>
      <c r="M38">
        <v>1.2016783E-2</v>
      </c>
      <c r="N38">
        <v>0.86361427999999996</v>
      </c>
      <c r="O38">
        <v>0.61354829</v>
      </c>
      <c r="P38">
        <v>0.2496573</v>
      </c>
      <c r="Q38">
        <v>4.0868227000000001E-4</v>
      </c>
      <c r="R38" s="163">
        <v>4.2719314999999998E-8</v>
      </c>
      <c r="S38">
        <v>6.8426731999999997E-3</v>
      </c>
      <c r="T38">
        <v>1.0882092E-3</v>
      </c>
      <c r="U38">
        <v>2.3407635999999999E-2</v>
      </c>
      <c r="V38">
        <v>1.9588712000000001E-2</v>
      </c>
      <c r="W38">
        <v>2.7975381000000001E-3</v>
      </c>
      <c r="X38" s="163">
        <v>2.4975339999999999E-6</v>
      </c>
      <c r="Y38">
        <v>6.9152163</v>
      </c>
      <c r="Z38">
        <v>-43.851404000000002</v>
      </c>
      <c r="AA38" s="163">
        <v>9.0063770000000004E-8</v>
      </c>
      <c r="AB38">
        <v>3.0482946E-2</v>
      </c>
      <c r="AC38">
        <v>458.68977000000001</v>
      </c>
      <c r="AD38" s="163">
        <v>7.3722464999999998E-9</v>
      </c>
      <c r="AE38" s="163">
        <v>1.1655547E-7</v>
      </c>
      <c r="AF38">
        <v>7.9158691000000001</v>
      </c>
      <c r="AG38">
        <v>0</v>
      </c>
      <c r="AH38">
        <v>0</v>
      </c>
      <c r="AI38">
        <v>0.66794485999999997</v>
      </c>
      <c r="AJ38">
        <v>0</v>
      </c>
      <c r="AK38">
        <v>0</v>
      </c>
      <c r="AL38">
        <v>7.3179588000000004</v>
      </c>
      <c r="AM38">
        <v>0</v>
      </c>
      <c r="AN38">
        <v>0</v>
      </c>
      <c r="AO38">
        <v>0</v>
      </c>
      <c r="AP38">
        <v>-1.0195236999999999</v>
      </c>
      <c r="AQ38">
        <v>1.5971358000000001E-4</v>
      </c>
      <c r="AR38">
        <v>0.85504709999999995</v>
      </c>
      <c r="AS38" s="163">
        <v>2.998289E-5</v>
      </c>
      <c r="AT38">
        <v>0</v>
      </c>
      <c r="AU38">
        <v>0</v>
      </c>
      <c r="AV38">
        <v>0</v>
      </c>
      <c r="AW38">
        <v>0</v>
      </c>
      <c r="AX38">
        <v>0</v>
      </c>
    </row>
    <row r="39" spans="1:50">
      <c r="A39" t="s">
        <v>1289</v>
      </c>
      <c r="B39" s="189">
        <f t="shared" si="0"/>
        <v>3.2300878280390001E-2</v>
      </c>
      <c r="C39" s="163">
        <v>7.2718375000000003E-7</v>
      </c>
      <c r="D39">
        <v>1.7284518E-3</v>
      </c>
      <c r="E39">
        <v>0.31631692</v>
      </c>
      <c r="F39" s="163">
        <v>2.7685352999999999E-8</v>
      </c>
      <c r="G39">
        <v>1.5915684000000001E-4</v>
      </c>
      <c r="H39">
        <v>9.2314153999999995E-4</v>
      </c>
      <c r="I39">
        <v>1.5232932999999999E-4</v>
      </c>
      <c r="J39">
        <v>0.10432808</v>
      </c>
      <c r="K39">
        <v>2.3774920000000001E-3</v>
      </c>
      <c r="L39">
        <v>13.455969</v>
      </c>
      <c r="M39">
        <v>3.2067354000000001E-4</v>
      </c>
      <c r="N39">
        <v>0.31345079999999997</v>
      </c>
      <c r="O39">
        <v>0.31977334000000002</v>
      </c>
      <c r="P39">
        <v>-6.430697E-3</v>
      </c>
      <c r="Q39">
        <v>1.0815302999999999E-4</v>
      </c>
      <c r="R39" s="163">
        <v>3.3614515999999998E-8</v>
      </c>
      <c r="S39">
        <v>1.1862499E-3</v>
      </c>
      <c r="T39" s="163">
        <v>7.9995524000000006E-6</v>
      </c>
      <c r="U39">
        <v>3.2165013000000001E-4</v>
      </c>
      <c r="V39">
        <v>3.6966763E-3</v>
      </c>
      <c r="W39">
        <v>1.1286853E-3</v>
      </c>
      <c r="X39" s="163">
        <v>7.2719593999999999E-7</v>
      </c>
      <c r="Y39">
        <v>3.3727014999999998</v>
      </c>
      <c r="Z39">
        <v>2.5129563000000001E-2</v>
      </c>
      <c r="AA39" s="163">
        <v>1.5933746000000001E-8</v>
      </c>
      <c r="AB39">
        <v>8.8957027000000008E-3</v>
      </c>
      <c r="AC39">
        <v>2.5952495999999998</v>
      </c>
      <c r="AD39" s="163">
        <v>3.4066518000000001E-10</v>
      </c>
      <c r="AE39" s="163">
        <v>2.8265593E-9</v>
      </c>
      <c r="AF39">
        <v>1.6534808000000001</v>
      </c>
      <c r="AG39">
        <v>0</v>
      </c>
      <c r="AH39">
        <v>0</v>
      </c>
      <c r="AI39">
        <v>0.18279537000000001</v>
      </c>
      <c r="AJ39">
        <v>0</v>
      </c>
      <c r="AK39">
        <v>0</v>
      </c>
      <c r="AL39">
        <v>3.6436035000000002</v>
      </c>
      <c r="AM39">
        <v>0</v>
      </c>
      <c r="AN39">
        <v>0</v>
      </c>
      <c r="AO39">
        <v>0</v>
      </c>
      <c r="AP39">
        <v>7.5108941999999998E-4</v>
      </c>
      <c r="AQ39" s="163">
        <v>7.7579337000000006E-6</v>
      </c>
      <c r="AR39">
        <v>6.1126961E-2</v>
      </c>
      <c r="AS39" s="163">
        <v>1.2115228E-5</v>
      </c>
      <c r="AT39">
        <v>0</v>
      </c>
      <c r="AU39">
        <v>0</v>
      </c>
      <c r="AV39">
        <v>0</v>
      </c>
      <c r="AW39">
        <v>0</v>
      </c>
      <c r="AX39">
        <v>0</v>
      </c>
    </row>
    <row r="40" spans="1:50">
      <c r="A40" t="s">
        <v>1290</v>
      </c>
      <c r="B40" s="189">
        <f t="shared" si="0"/>
        <v>0.17818312318134405</v>
      </c>
      <c r="C40" s="163">
        <v>1.7357034E-6</v>
      </c>
      <c r="D40">
        <v>9.9804670999999994E-3</v>
      </c>
      <c r="E40">
        <v>1.4121614</v>
      </c>
      <c r="F40" s="163">
        <v>8.9721560000000006E-8</v>
      </c>
      <c r="G40">
        <v>5.8928522000000004E-4</v>
      </c>
      <c r="H40">
        <v>9.9247242000000003E-3</v>
      </c>
      <c r="I40">
        <v>1.0748163E-3</v>
      </c>
      <c r="J40">
        <v>0.55259848</v>
      </c>
      <c r="K40">
        <v>1.0915751E-2</v>
      </c>
      <c r="L40">
        <v>52.296219000000001</v>
      </c>
      <c r="M40">
        <v>2.2239586E-3</v>
      </c>
      <c r="N40">
        <v>1.4433136</v>
      </c>
      <c r="O40">
        <v>1.4518376</v>
      </c>
      <c r="P40">
        <v>-8.845548E-3</v>
      </c>
      <c r="Q40">
        <v>3.2161595999999999E-4</v>
      </c>
      <c r="R40" s="163">
        <v>1.0857532E-7</v>
      </c>
      <c r="S40">
        <v>1.2299233E-2</v>
      </c>
      <c r="T40" s="163">
        <v>3.8191534000000002E-5</v>
      </c>
      <c r="U40">
        <v>2.5020466000000002E-3</v>
      </c>
      <c r="V40">
        <v>2.9492503999999999E-2</v>
      </c>
      <c r="W40">
        <v>7.4206004000000004E-3</v>
      </c>
      <c r="X40" s="163">
        <v>1.7360640000000001E-6</v>
      </c>
      <c r="Y40">
        <v>16.767372000000002</v>
      </c>
      <c r="Z40">
        <v>0.44692207</v>
      </c>
      <c r="AA40" s="163">
        <v>1.0431537E-7</v>
      </c>
      <c r="AB40">
        <v>3.3515063999999997E-2</v>
      </c>
      <c r="AC40">
        <v>29.438652000000001</v>
      </c>
      <c r="AD40" s="163">
        <v>2.1000958000000001E-9</v>
      </c>
      <c r="AE40" s="163">
        <v>1.4661569000000001E-8</v>
      </c>
      <c r="AF40">
        <v>4.0969401000000003</v>
      </c>
      <c r="AG40">
        <v>0</v>
      </c>
      <c r="AH40">
        <v>0</v>
      </c>
      <c r="AI40">
        <v>0.98183511999999995</v>
      </c>
      <c r="AJ40">
        <v>0</v>
      </c>
      <c r="AK40">
        <v>0</v>
      </c>
      <c r="AL40">
        <v>17.818560999999999</v>
      </c>
      <c r="AM40">
        <v>0</v>
      </c>
      <c r="AN40">
        <v>0</v>
      </c>
      <c r="AO40">
        <v>0</v>
      </c>
      <c r="AP40">
        <v>1.0791335000000001E-2</v>
      </c>
      <c r="AQ40" s="163">
        <v>2.0531509999999999E-5</v>
      </c>
      <c r="AR40">
        <v>0.18929455000000001</v>
      </c>
      <c r="AS40" s="163">
        <v>4.5862441000000002E-5</v>
      </c>
      <c r="AT40">
        <v>0</v>
      </c>
      <c r="AU40">
        <v>0</v>
      </c>
      <c r="AV40">
        <v>0</v>
      </c>
      <c r="AW40">
        <v>0</v>
      </c>
      <c r="AX40">
        <v>0</v>
      </c>
    </row>
    <row r="41" spans="1:50">
      <c r="A41" t="s">
        <v>1291</v>
      </c>
      <c r="B41" s="189">
        <f t="shared" si="0"/>
        <v>2.1367309220125998E-3</v>
      </c>
      <c r="C41" s="163">
        <v>2.7024334999999999E-8</v>
      </c>
      <c r="D41">
        <v>1.1552582000000001E-4</v>
      </c>
      <c r="E41">
        <v>1.6183498000000001E-2</v>
      </c>
      <c r="F41" s="163">
        <v>2.2815833000000001E-9</v>
      </c>
      <c r="G41" s="163">
        <v>1.357742E-5</v>
      </c>
      <c r="H41">
        <v>1.1936665E-4</v>
      </c>
      <c r="I41" s="163">
        <v>2.2256911E-5</v>
      </c>
      <c r="J41">
        <v>6.1002892000000001E-3</v>
      </c>
      <c r="K41">
        <v>1.3259639E-4</v>
      </c>
      <c r="L41">
        <v>0.49587734999999999</v>
      </c>
      <c r="M41" s="163">
        <v>2.4563762E-5</v>
      </c>
      <c r="N41">
        <v>1.6464155000000001E-2</v>
      </c>
      <c r="O41">
        <v>1.6364883E-2</v>
      </c>
      <c r="P41" s="163">
        <v>8.2634144000000003E-5</v>
      </c>
      <c r="Q41" s="163">
        <v>1.6637600000000001E-5</v>
      </c>
      <c r="R41" s="163">
        <v>2.7776662E-9</v>
      </c>
      <c r="S41">
        <v>1.6257513999999999E-4</v>
      </c>
      <c r="T41" s="163">
        <v>5.6553794000000001E-7</v>
      </c>
      <c r="U41" s="163">
        <v>5.0140377000000002E-5</v>
      </c>
      <c r="V41">
        <v>6.2179819999999997E-4</v>
      </c>
      <c r="W41">
        <v>1.5415350999999999E-4</v>
      </c>
      <c r="X41" s="163">
        <v>2.7023470000000001E-8</v>
      </c>
      <c r="Y41">
        <v>0.23696406</v>
      </c>
      <c r="Z41">
        <v>2.1692901E-3</v>
      </c>
      <c r="AA41" s="163">
        <v>2.1509295E-9</v>
      </c>
      <c r="AB41">
        <v>1.0679577E-3</v>
      </c>
      <c r="AC41">
        <v>2.4272325000000001</v>
      </c>
      <c r="AD41" s="163">
        <v>8.0784962000000006E-12</v>
      </c>
      <c r="AE41" s="163">
        <v>1.9042957000000001E-10</v>
      </c>
      <c r="AF41">
        <v>3.1572499000000001</v>
      </c>
      <c r="AG41">
        <v>0</v>
      </c>
      <c r="AH41">
        <v>0</v>
      </c>
      <c r="AI41">
        <v>9.5901401000000001E-3</v>
      </c>
      <c r="AJ41">
        <v>0</v>
      </c>
      <c r="AK41">
        <v>0</v>
      </c>
      <c r="AL41">
        <v>0.25151034</v>
      </c>
      <c r="AM41">
        <v>0</v>
      </c>
      <c r="AN41">
        <v>0</v>
      </c>
      <c r="AO41">
        <v>0</v>
      </c>
      <c r="AP41" s="163">
        <v>7.2768954999999998E-5</v>
      </c>
      <c r="AQ41" s="163">
        <v>6.5612874999999995E-7</v>
      </c>
      <c r="AR41">
        <v>5.3445463999999996E-3</v>
      </c>
      <c r="AS41" s="163">
        <v>1.4063887000000001E-6</v>
      </c>
      <c r="AT41">
        <v>0</v>
      </c>
      <c r="AU41">
        <v>0</v>
      </c>
      <c r="AV41">
        <v>0</v>
      </c>
      <c r="AW41">
        <v>0</v>
      </c>
      <c r="AX41">
        <v>0</v>
      </c>
    </row>
    <row r="42" spans="1:50">
      <c r="A42" t="s">
        <v>1292</v>
      </c>
      <c r="B42" s="189">
        <f t="shared" si="0"/>
        <v>5.8649140922739191E-3</v>
      </c>
      <c r="C42" s="163">
        <v>2.7118962000000001E-8</v>
      </c>
      <c r="D42">
        <v>2.0783604000000001E-4</v>
      </c>
      <c r="E42">
        <v>3.0888837999999998E-2</v>
      </c>
      <c r="F42" s="163">
        <v>4.6796839999999997E-9</v>
      </c>
      <c r="G42" s="163">
        <v>3.5627009000000001E-5</v>
      </c>
      <c r="H42">
        <v>5.8190553000000002E-4</v>
      </c>
      <c r="I42" s="163">
        <v>6.3797969999999999E-5</v>
      </c>
      <c r="J42">
        <v>1.3259926999999999E-2</v>
      </c>
      <c r="K42">
        <v>2.3079152999999999E-4</v>
      </c>
      <c r="L42">
        <v>1.1116112</v>
      </c>
      <c r="M42" s="163">
        <v>4.2292207000000001E-5</v>
      </c>
      <c r="N42">
        <v>3.1318447999999999E-2</v>
      </c>
      <c r="O42">
        <v>3.1312538000000001E-2</v>
      </c>
      <c r="P42" s="163">
        <v>-1.0278542999999999E-5</v>
      </c>
      <c r="Q42" s="163">
        <v>1.6188438E-5</v>
      </c>
      <c r="R42" s="163">
        <v>5.8053454999999998E-9</v>
      </c>
      <c r="S42">
        <v>7.3318595999999998E-4</v>
      </c>
      <c r="T42" s="163">
        <v>5.7435729999999996E-7</v>
      </c>
      <c r="U42">
        <v>1.5928067000000001E-4</v>
      </c>
      <c r="V42">
        <v>1.9306016999999999E-3</v>
      </c>
      <c r="W42">
        <v>4.7344492000000001E-4</v>
      </c>
      <c r="X42" s="163">
        <v>2.7116165999999999E-8</v>
      </c>
      <c r="Y42">
        <v>0.42945382999999998</v>
      </c>
      <c r="Z42">
        <v>2.2394285E-2</v>
      </c>
      <c r="AA42" s="163">
        <v>4.2609752999999996E-9</v>
      </c>
      <c r="AB42">
        <v>1.8566571999999999E-3</v>
      </c>
      <c r="AC42">
        <v>5.7859927999999998</v>
      </c>
      <c r="AD42" s="163">
        <v>1.0511144000000001E-11</v>
      </c>
      <c r="AE42" s="163">
        <v>2.5259978999999998E-10</v>
      </c>
      <c r="AF42">
        <v>0.16798251</v>
      </c>
      <c r="AG42">
        <v>0</v>
      </c>
      <c r="AH42">
        <v>0</v>
      </c>
      <c r="AI42">
        <v>1.1376219E-2</v>
      </c>
      <c r="AJ42">
        <v>0</v>
      </c>
      <c r="AK42">
        <v>0</v>
      </c>
      <c r="AL42">
        <v>0.45589447999999999</v>
      </c>
      <c r="AM42">
        <v>0</v>
      </c>
      <c r="AN42">
        <v>0</v>
      </c>
      <c r="AO42">
        <v>0</v>
      </c>
      <c r="AP42">
        <v>5.4478293999999999E-4</v>
      </c>
      <c r="AQ42" s="163">
        <v>2.7555758000000002E-7</v>
      </c>
      <c r="AR42">
        <v>1.3163817E-3</v>
      </c>
      <c r="AS42" s="163">
        <v>2.7341600000000002E-6</v>
      </c>
      <c r="AT42">
        <v>0</v>
      </c>
      <c r="AU42">
        <v>0</v>
      </c>
      <c r="AV42">
        <v>0</v>
      </c>
      <c r="AW42">
        <v>0</v>
      </c>
      <c r="AX42">
        <v>0</v>
      </c>
    </row>
    <row r="43" spans="1:50">
      <c r="A43" t="s">
        <v>1293</v>
      </c>
      <c r="B43" s="189">
        <f t="shared" si="0"/>
        <v>1.6211718316617999E-2</v>
      </c>
      <c r="C43" s="163">
        <v>3.1126965000000001E-7</v>
      </c>
      <c r="D43">
        <v>2.1530616000000002E-3</v>
      </c>
      <c r="E43">
        <v>0.16486121000000001</v>
      </c>
      <c r="F43" s="163">
        <v>7.8888558000000007E-9</v>
      </c>
      <c r="G43">
        <v>1.7893141E-4</v>
      </c>
      <c r="H43">
        <v>7.2868447000000002E-4</v>
      </c>
      <c r="I43" s="163">
        <v>8.9462378999999995E-5</v>
      </c>
      <c r="J43">
        <v>3.6946157E-2</v>
      </c>
      <c r="K43">
        <v>6.7803183999999995E-4</v>
      </c>
      <c r="L43">
        <v>1.936077</v>
      </c>
      <c r="M43">
        <v>1.1694326E-4</v>
      </c>
      <c r="N43">
        <v>0.16995411999999999</v>
      </c>
      <c r="O43">
        <v>0.17100712000000001</v>
      </c>
      <c r="P43">
        <v>-1.0957823999999999E-3</v>
      </c>
      <c r="Q43" s="163">
        <v>4.2774454999999999E-5</v>
      </c>
      <c r="R43" s="163">
        <v>9.1428227999999993E-9</v>
      </c>
      <c r="S43">
        <v>9.1895892999999996E-4</v>
      </c>
      <c r="T43" s="163">
        <v>4.0602460999999996E-6</v>
      </c>
      <c r="U43">
        <v>1.890784E-4</v>
      </c>
      <c r="V43">
        <v>2.3605481000000001E-3</v>
      </c>
      <c r="W43">
        <v>8.3306717000000002E-4</v>
      </c>
      <c r="X43" s="163">
        <v>3.112728E-7</v>
      </c>
      <c r="Y43">
        <v>4.6058696000000001</v>
      </c>
      <c r="Z43">
        <v>6.8172204E-2</v>
      </c>
      <c r="AA43" s="163">
        <v>1.1205043999999999E-8</v>
      </c>
      <c r="AB43">
        <v>4.5938706999999997E-3</v>
      </c>
      <c r="AC43">
        <v>1.9363572</v>
      </c>
      <c r="AD43" s="163">
        <v>4.6554266999999998E-11</v>
      </c>
      <c r="AE43" s="163">
        <v>1.6449208E-9</v>
      </c>
      <c r="AF43">
        <v>1.6187783</v>
      </c>
      <c r="AG43">
        <v>0</v>
      </c>
      <c r="AH43">
        <v>0</v>
      </c>
      <c r="AI43">
        <v>0.15015621000000001</v>
      </c>
      <c r="AJ43">
        <v>0</v>
      </c>
      <c r="AK43">
        <v>0</v>
      </c>
      <c r="AL43">
        <v>4.9299375000000003</v>
      </c>
      <c r="AM43">
        <v>0</v>
      </c>
      <c r="AN43">
        <v>0</v>
      </c>
      <c r="AO43">
        <v>0</v>
      </c>
      <c r="AP43">
        <v>1.7425372E-3</v>
      </c>
      <c r="AQ43" s="163">
        <v>1.42791E-6</v>
      </c>
      <c r="AR43">
        <v>1.4905267999999999E-2</v>
      </c>
      <c r="AS43" s="163">
        <v>5.4958181999999999E-6</v>
      </c>
      <c r="AT43">
        <v>0</v>
      </c>
      <c r="AU43">
        <v>0</v>
      </c>
      <c r="AV43">
        <v>0</v>
      </c>
      <c r="AW43">
        <v>0</v>
      </c>
      <c r="AX43">
        <v>0</v>
      </c>
    </row>
    <row r="44" spans="1:50">
      <c r="A44" t="s">
        <v>1294</v>
      </c>
      <c r="B44" s="189">
        <f t="shared" si="0"/>
        <v>0</v>
      </c>
      <c r="C44">
        <v>0</v>
      </c>
      <c r="D44">
        <v>0</v>
      </c>
      <c r="E44">
        <v>0</v>
      </c>
      <c r="F44">
        <v>0</v>
      </c>
      <c r="G44">
        <v>0</v>
      </c>
      <c r="H44">
        <v>0</v>
      </c>
      <c r="I44">
        <v>0</v>
      </c>
      <c r="J44">
        <v>0</v>
      </c>
      <c r="K44">
        <v>0</v>
      </c>
      <c r="L44">
        <v>0</v>
      </c>
      <c r="M44">
        <v>0</v>
      </c>
      <c r="N44">
        <v>0</v>
      </c>
      <c r="O44">
        <v>0</v>
      </c>
      <c r="P44">
        <v>0</v>
      </c>
      <c r="Q44">
        <v>0</v>
      </c>
      <c r="R44">
        <v>0</v>
      </c>
      <c r="S44">
        <v>0</v>
      </c>
      <c r="T44">
        <v>0</v>
      </c>
      <c r="U44">
        <v>0</v>
      </c>
      <c r="V44">
        <v>0</v>
      </c>
      <c r="W44">
        <v>0</v>
      </c>
      <c r="X44">
        <v>0</v>
      </c>
      <c r="Y44">
        <v>0</v>
      </c>
      <c r="Z44">
        <v>0</v>
      </c>
      <c r="AA44">
        <v>0</v>
      </c>
      <c r="AB44">
        <v>0</v>
      </c>
      <c r="AC44">
        <v>0</v>
      </c>
      <c r="AD44">
        <v>0</v>
      </c>
      <c r="AE44">
        <v>0</v>
      </c>
      <c r="AF44">
        <v>0</v>
      </c>
      <c r="AG44">
        <v>0</v>
      </c>
      <c r="AH44">
        <v>0</v>
      </c>
      <c r="AI44">
        <v>0</v>
      </c>
      <c r="AJ44">
        <v>0</v>
      </c>
      <c r="AK44">
        <v>0</v>
      </c>
      <c r="AL44">
        <v>0</v>
      </c>
      <c r="AM44">
        <v>0</v>
      </c>
      <c r="AN44">
        <v>0</v>
      </c>
      <c r="AO44">
        <v>0</v>
      </c>
      <c r="AP44">
        <v>0</v>
      </c>
      <c r="AQ44">
        <v>0</v>
      </c>
      <c r="AR44">
        <v>0</v>
      </c>
      <c r="AS44">
        <v>0</v>
      </c>
      <c r="AT44">
        <v>0</v>
      </c>
      <c r="AU44">
        <v>0</v>
      </c>
      <c r="AV44">
        <v>0</v>
      </c>
      <c r="AW44">
        <v>0</v>
      </c>
      <c r="AX44">
        <v>0</v>
      </c>
    </row>
    <row r="45" spans="1:50">
      <c r="A45" t="s">
        <v>1295</v>
      </c>
      <c r="B45" s="189">
        <f t="shared" si="0"/>
        <v>2.5307089535114402E-2</v>
      </c>
      <c r="C45" s="163">
        <v>6.7104458999999998E-7</v>
      </c>
      <c r="D45">
        <v>1.0329891E-3</v>
      </c>
      <c r="E45">
        <v>0.26403913000000001</v>
      </c>
      <c r="F45" s="163">
        <v>1.3294485999999999E-8</v>
      </c>
      <c r="G45" s="163">
        <v>8.9349112000000001E-5</v>
      </c>
      <c r="H45">
        <v>8.3905625999999996E-4</v>
      </c>
      <c r="I45">
        <v>1.2099573E-4</v>
      </c>
      <c r="J45">
        <v>7.2340030999999999E-2</v>
      </c>
      <c r="K45">
        <v>4.4242292000000001E-3</v>
      </c>
      <c r="L45">
        <v>6.4506641</v>
      </c>
      <c r="M45">
        <v>4.5112778999999999E-4</v>
      </c>
      <c r="N45">
        <v>0.26760725000000002</v>
      </c>
      <c r="O45">
        <v>0.26697694</v>
      </c>
      <c r="P45">
        <v>5.2664045000000003E-4</v>
      </c>
      <c r="Q45">
        <v>1.0367342E-4</v>
      </c>
      <c r="R45" s="163">
        <v>1.5855329000000001E-8</v>
      </c>
      <c r="S45">
        <v>1.0488685000000001E-3</v>
      </c>
      <c r="T45" s="163">
        <v>9.1830139E-6</v>
      </c>
      <c r="U45">
        <v>2.3249261E-4</v>
      </c>
      <c r="V45">
        <v>2.6952891000000001E-3</v>
      </c>
      <c r="W45">
        <v>7.4715899999999995E-4</v>
      </c>
      <c r="X45" s="163">
        <v>6.7104843000000004E-7</v>
      </c>
      <c r="Y45">
        <v>1.915324</v>
      </c>
      <c r="Z45">
        <v>9.0017688999999998E-2</v>
      </c>
      <c r="AA45" s="163">
        <v>9.7193120999999994E-9</v>
      </c>
      <c r="AB45">
        <v>5.9413914999999996E-3</v>
      </c>
      <c r="AC45">
        <v>3.4285109999999999</v>
      </c>
      <c r="AD45" s="163">
        <v>1.4908830999999999E-10</v>
      </c>
      <c r="AE45" s="163">
        <v>3.8408563E-9</v>
      </c>
      <c r="AF45">
        <v>0.98582811999999997</v>
      </c>
      <c r="AG45">
        <v>0</v>
      </c>
      <c r="AH45">
        <v>0</v>
      </c>
      <c r="AI45">
        <v>0.13301472</v>
      </c>
      <c r="AJ45">
        <v>0</v>
      </c>
      <c r="AK45">
        <v>0</v>
      </c>
      <c r="AL45">
        <v>2.0383271000000001</v>
      </c>
      <c r="AM45">
        <v>0</v>
      </c>
      <c r="AN45">
        <v>0</v>
      </c>
      <c r="AO45">
        <v>0</v>
      </c>
      <c r="AP45">
        <v>2.3146040000000001E-3</v>
      </c>
      <c r="AQ45" s="163">
        <v>3.4404078E-6</v>
      </c>
      <c r="AR45">
        <v>3.8848858999999999E-2</v>
      </c>
      <c r="AS45" s="163">
        <v>7.3416457000000003E-6</v>
      </c>
      <c r="AT45">
        <v>0</v>
      </c>
      <c r="AU45">
        <v>0</v>
      </c>
      <c r="AV45">
        <v>0</v>
      </c>
      <c r="AW45">
        <v>0</v>
      </c>
      <c r="AX45">
        <v>0</v>
      </c>
    </row>
    <row r="46" spans="1:50">
      <c r="A46" t="s">
        <v>1296</v>
      </c>
      <c r="B46" s="189">
        <f t="shared" si="0"/>
        <v>0</v>
      </c>
      <c r="C46">
        <v>0</v>
      </c>
      <c r="D46">
        <v>0</v>
      </c>
      <c r="E46">
        <v>0</v>
      </c>
      <c r="F46">
        <v>0</v>
      </c>
      <c r="G46">
        <v>0</v>
      </c>
      <c r="H46">
        <v>0</v>
      </c>
      <c r="I46">
        <v>0</v>
      </c>
      <c r="J46">
        <v>0</v>
      </c>
      <c r="K46">
        <v>0</v>
      </c>
      <c r="L46">
        <v>0</v>
      </c>
      <c r="M46">
        <v>0</v>
      </c>
      <c r="N46">
        <v>0</v>
      </c>
      <c r="O46">
        <v>0</v>
      </c>
      <c r="P46">
        <v>0</v>
      </c>
      <c r="Q46">
        <v>0</v>
      </c>
      <c r="R46">
        <v>0</v>
      </c>
      <c r="S46">
        <v>0</v>
      </c>
      <c r="T46">
        <v>0</v>
      </c>
      <c r="U46">
        <v>0</v>
      </c>
      <c r="V46">
        <v>0</v>
      </c>
      <c r="W46">
        <v>0</v>
      </c>
      <c r="X46">
        <v>0</v>
      </c>
      <c r="Y46">
        <v>0</v>
      </c>
      <c r="Z46">
        <v>0</v>
      </c>
      <c r="AA46">
        <v>0</v>
      </c>
      <c r="AB46">
        <v>0</v>
      </c>
      <c r="AC46">
        <v>0</v>
      </c>
      <c r="AD46">
        <v>0</v>
      </c>
      <c r="AE46">
        <v>0</v>
      </c>
      <c r="AF46">
        <v>0</v>
      </c>
      <c r="AG46">
        <v>0</v>
      </c>
      <c r="AH46">
        <v>0</v>
      </c>
      <c r="AI46">
        <v>0</v>
      </c>
      <c r="AJ46">
        <v>0</v>
      </c>
      <c r="AK46">
        <v>0</v>
      </c>
      <c r="AL46">
        <v>0</v>
      </c>
      <c r="AM46">
        <v>0</v>
      </c>
      <c r="AN46">
        <v>0</v>
      </c>
      <c r="AO46">
        <v>0</v>
      </c>
      <c r="AP46">
        <v>0</v>
      </c>
      <c r="AQ46">
        <v>0</v>
      </c>
      <c r="AR46">
        <v>0</v>
      </c>
      <c r="AS46">
        <v>0</v>
      </c>
      <c r="AT46">
        <v>0</v>
      </c>
      <c r="AU46">
        <v>0</v>
      </c>
      <c r="AV46">
        <v>0</v>
      </c>
      <c r="AW46">
        <v>0</v>
      </c>
      <c r="AX46">
        <v>0</v>
      </c>
    </row>
    <row r="47" spans="1:50">
      <c r="A47" t="s">
        <v>1297</v>
      </c>
      <c r="B47" s="328">
        <f t="shared" si="0"/>
        <v>1.0280889376814002E-2</v>
      </c>
      <c r="C47" s="163">
        <v>8.9988892999999992E-6</v>
      </c>
      <c r="D47">
        <v>3.9291692E-4</v>
      </c>
      <c r="E47">
        <v>0.14353795</v>
      </c>
      <c r="F47" s="163">
        <v>4.4070342000000003E-9</v>
      </c>
      <c r="G47" s="163">
        <v>3.1880530999999999E-5</v>
      </c>
      <c r="H47">
        <v>2.8885754000000001E-4</v>
      </c>
      <c r="I47" s="163">
        <v>6.6539816999999996E-5</v>
      </c>
      <c r="J47">
        <v>1.1588790999999999E-2</v>
      </c>
      <c r="K47">
        <v>2.9394813000000001E-4</v>
      </c>
      <c r="L47">
        <v>1.6078478</v>
      </c>
      <c r="M47">
        <v>1.4848579E-4</v>
      </c>
      <c r="N47">
        <v>2.2755731000000001E-2</v>
      </c>
      <c r="O47">
        <v>2.2683881999999999E-2</v>
      </c>
      <c r="P47" s="163">
        <v>4.7609489000000002E-5</v>
      </c>
      <c r="Q47" s="163">
        <v>2.4240101000000001E-5</v>
      </c>
      <c r="R47" s="163">
        <v>4.1684405000000003E-9</v>
      </c>
      <c r="S47">
        <v>1.8984500000000001E-4</v>
      </c>
      <c r="T47" s="163">
        <v>6.4324628E-7</v>
      </c>
      <c r="U47" s="163">
        <v>6.7779452999999995E-5</v>
      </c>
      <c r="V47">
        <v>7.6151919999999996E-4</v>
      </c>
      <c r="W47">
        <v>2.0169407999999999E-4</v>
      </c>
      <c r="X47" s="163">
        <v>4.9859658000000001E-8</v>
      </c>
      <c r="Y47">
        <v>0.31685007999999998</v>
      </c>
      <c r="Z47">
        <v>5.4088411000000003E-2</v>
      </c>
      <c r="AA47" s="163">
        <v>1.4634974E-9</v>
      </c>
      <c r="AB47">
        <v>1.3550776000000001E-3</v>
      </c>
      <c r="AC47">
        <v>0.27029194000000001</v>
      </c>
      <c r="AD47" s="163">
        <v>1.2489432E-11</v>
      </c>
      <c r="AE47" s="163">
        <v>2.7255138E-10</v>
      </c>
      <c r="AF47">
        <v>0.24364578000000001</v>
      </c>
      <c r="AG47">
        <v>0</v>
      </c>
      <c r="AH47">
        <v>0</v>
      </c>
      <c r="AI47">
        <v>2.8242733999999999E-2</v>
      </c>
      <c r="AJ47">
        <v>0</v>
      </c>
      <c r="AK47">
        <v>0</v>
      </c>
      <c r="AL47">
        <v>0.72382484000000002</v>
      </c>
      <c r="AM47">
        <v>0</v>
      </c>
      <c r="AN47">
        <v>0</v>
      </c>
      <c r="AO47">
        <v>0</v>
      </c>
      <c r="AP47">
        <v>1.4786411E-3</v>
      </c>
      <c r="AQ47" s="163">
        <v>3.2864292E-6</v>
      </c>
      <c r="AR47">
        <v>9.2997276E-3</v>
      </c>
      <c r="AS47" s="163">
        <v>1.9662090999999999E-6</v>
      </c>
      <c r="AT47">
        <v>0</v>
      </c>
      <c r="AU47">
        <v>0</v>
      </c>
      <c r="AV47">
        <v>0</v>
      </c>
      <c r="AW47">
        <v>0</v>
      </c>
      <c r="AX47">
        <v>0</v>
      </c>
    </row>
    <row r="48" spans="1:50">
      <c r="A48" t="s">
        <v>1298</v>
      </c>
      <c r="B48" s="328">
        <f t="shared" si="0"/>
        <v>5.6569903989423598E-3</v>
      </c>
      <c r="C48" s="163">
        <v>5.5837221E-8</v>
      </c>
      <c r="D48">
        <v>2.7424167999999999E-4</v>
      </c>
      <c r="E48">
        <v>6.4671858999999998E-2</v>
      </c>
      <c r="F48" s="163">
        <v>4.3911029E-9</v>
      </c>
      <c r="G48" s="163">
        <v>2.2791011999999999E-5</v>
      </c>
      <c r="H48">
        <v>2.2480104000000001E-4</v>
      </c>
      <c r="I48" s="163">
        <v>4.3505659E-5</v>
      </c>
      <c r="J48">
        <v>1.0423876E-2</v>
      </c>
      <c r="K48">
        <v>2.4411676999999999E-4</v>
      </c>
      <c r="L48">
        <v>0.91145151000000002</v>
      </c>
      <c r="M48">
        <v>1.070584E-4</v>
      </c>
      <c r="N48">
        <v>2.2504010000000001E-2</v>
      </c>
      <c r="O48">
        <v>2.2432756000000002E-2</v>
      </c>
      <c r="P48" s="163">
        <v>4.7287731000000003E-5</v>
      </c>
      <c r="Q48" s="163">
        <v>2.3967199E-5</v>
      </c>
      <c r="R48" s="163">
        <v>4.1239295000000001E-9</v>
      </c>
      <c r="S48">
        <v>1.8760373000000001E-4</v>
      </c>
      <c r="T48" s="163">
        <v>6.3497130999999996E-7</v>
      </c>
      <c r="U48" s="163">
        <v>6.7027882000000007E-5</v>
      </c>
      <c r="V48">
        <v>7.5308765000000005E-4</v>
      </c>
      <c r="W48">
        <v>1.9942509999999999E-4</v>
      </c>
      <c r="X48" s="163">
        <v>4.9162378999999999E-8</v>
      </c>
      <c r="Y48">
        <v>0.31339138</v>
      </c>
      <c r="Z48">
        <v>5.3361670999999999E-2</v>
      </c>
      <c r="AA48" s="163">
        <v>1.4444431E-9</v>
      </c>
      <c r="AB48">
        <v>1.3399962000000001E-3</v>
      </c>
      <c r="AC48">
        <v>0.26701569000000003</v>
      </c>
      <c r="AD48" s="163">
        <v>1.2322394E-11</v>
      </c>
      <c r="AE48" s="163">
        <v>2.6910453999999999E-10</v>
      </c>
      <c r="AF48">
        <v>0.24081870999999999</v>
      </c>
      <c r="AG48">
        <v>0</v>
      </c>
      <c r="AH48">
        <v>0</v>
      </c>
      <c r="AI48">
        <v>2.3715203000000001E-2</v>
      </c>
      <c r="AJ48">
        <v>0</v>
      </c>
      <c r="AK48">
        <v>0</v>
      </c>
      <c r="AL48">
        <v>0.58124801000000004</v>
      </c>
      <c r="AM48">
        <v>0</v>
      </c>
      <c r="AN48">
        <v>0</v>
      </c>
      <c r="AO48">
        <v>0</v>
      </c>
      <c r="AP48">
        <v>1.3522363E-3</v>
      </c>
      <c r="AQ48" s="163">
        <v>1.8449451E-6</v>
      </c>
      <c r="AR48">
        <v>8.7027469000000007E-3</v>
      </c>
      <c r="AS48" s="163">
        <v>1.9449581000000001E-6</v>
      </c>
      <c r="AT48">
        <v>0</v>
      </c>
      <c r="AU48">
        <v>0</v>
      </c>
      <c r="AV48">
        <v>0</v>
      </c>
      <c r="AW48">
        <v>0</v>
      </c>
      <c r="AX48">
        <v>0</v>
      </c>
    </row>
    <row r="49" spans="1:50">
      <c r="A49" t="s">
        <v>1299</v>
      </c>
      <c r="B49" s="328">
        <f t="shared" si="0"/>
        <v>7.3512085599299979E-3</v>
      </c>
      <c r="C49" s="163">
        <v>2.6969744000000001E-6</v>
      </c>
      <c r="D49">
        <v>3.2303839000000001E-4</v>
      </c>
      <c r="E49">
        <v>9.2593100999999997E-2</v>
      </c>
      <c r="F49" s="163">
        <v>4.5301341999999996E-9</v>
      </c>
      <c r="G49" s="163">
        <v>2.6454654E-5</v>
      </c>
      <c r="H49">
        <v>2.5347171E-4</v>
      </c>
      <c r="I49" s="163">
        <v>5.2153159999999998E-5</v>
      </c>
      <c r="J49">
        <v>1.113546E-2</v>
      </c>
      <c r="K49">
        <v>2.6754661999999998E-4</v>
      </c>
      <c r="L49">
        <v>1.1527155</v>
      </c>
      <c r="M49">
        <v>1.2726685E-4</v>
      </c>
      <c r="N49">
        <v>2.2701037E-2</v>
      </c>
      <c r="O49">
        <v>2.2629097000000001E-2</v>
      </c>
      <c r="P49" s="163">
        <v>4.7745036999999999E-5</v>
      </c>
      <c r="Q49" s="163">
        <v>2.4194311999999999E-5</v>
      </c>
      <c r="R49" s="163">
        <v>4.1639581E-9</v>
      </c>
      <c r="S49">
        <v>1.8920697E-4</v>
      </c>
      <c r="T49" s="163">
        <v>6.3947929000000002E-7</v>
      </c>
      <c r="U49" s="163">
        <v>6.7622093000000005E-5</v>
      </c>
      <c r="V49">
        <v>7.5972406999999997E-4</v>
      </c>
      <c r="W49">
        <v>2.0118830000000001E-4</v>
      </c>
      <c r="X49" s="163">
        <v>4.9550939000000002E-8</v>
      </c>
      <c r="Y49">
        <v>0.31629396999999998</v>
      </c>
      <c r="Z49">
        <v>5.2984491000000002E-2</v>
      </c>
      <c r="AA49" s="163">
        <v>1.4561582999999999E-9</v>
      </c>
      <c r="AB49">
        <v>1.3539981E-3</v>
      </c>
      <c r="AC49">
        <v>0.26927257999999998</v>
      </c>
      <c r="AD49" s="163">
        <v>1.2465942E-11</v>
      </c>
      <c r="AE49" s="163">
        <v>2.7246678000000002E-10</v>
      </c>
      <c r="AF49">
        <v>0.24296872999999999</v>
      </c>
      <c r="AG49">
        <v>0</v>
      </c>
      <c r="AH49">
        <v>0</v>
      </c>
      <c r="AI49">
        <v>2.6705712E-2</v>
      </c>
      <c r="AJ49">
        <v>0</v>
      </c>
      <c r="AK49">
        <v>0</v>
      </c>
      <c r="AL49">
        <v>0.65173957000000005</v>
      </c>
      <c r="AM49">
        <v>0</v>
      </c>
      <c r="AN49">
        <v>0</v>
      </c>
      <c r="AO49">
        <v>0</v>
      </c>
      <c r="AP49">
        <v>1.3832842999999999E-3</v>
      </c>
      <c r="AQ49" s="163">
        <v>2.3983871E-6</v>
      </c>
      <c r="AR49">
        <v>9.0647403000000005E-3</v>
      </c>
      <c r="AS49" s="163">
        <v>1.9647127999999999E-6</v>
      </c>
      <c r="AT49">
        <v>0</v>
      </c>
      <c r="AU49">
        <v>0</v>
      </c>
      <c r="AV49">
        <v>0</v>
      </c>
      <c r="AW49">
        <v>0</v>
      </c>
      <c r="AX49">
        <v>0</v>
      </c>
    </row>
    <row r="50" spans="1:50">
      <c r="A50" t="s">
        <v>1300</v>
      </c>
      <c r="B50" s="328">
        <f t="shared" si="0"/>
        <v>1.1636783900120001E-2</v>
      </c>
      <c r="C50" s="163">
        <v>1.0617521E-5</v>
      </c>
      <c r="D50">
        <v>4.3554157000000001E-4</v>
      </c>
      <c r="E50">
        <v>0.16537352</v>
      </c>
      <c r="F50" s="163">
        <v>4.5888020000000003E-9</v>
      </c>
      <c r="G50" s="163">
        <v>3.4972614999999999E-5</v>
      </c>
      <c r="H50">
        <v>3.1495002000000001E-4</v>
      </c>
      <c r="I50" s="163">
        <v>7.3452601999999994E-5</v>
      </c>
      <c r="J50">
        <v>1.2307731000000001E-2</v>
      </c>
      <c r="K50">
        <v>3.1506337000000001E-4</v>
      </c>
      <c r="L50">
        <v>1.7849444000000001</v>
      </c>
      <c r="M50">
        <v>1.6873204E-4</v>
      </c>
      <c r="N50">
        <v>2.2676760000000001E-2</v>
      </c>
      <c r="O50">
        <v>2.2605298999999999E-2</v>
      </c>
      <c r="P50" s="163">
        <v>4.7303543999999999E-5</v>
      </c>
      <c r="Q50" s="163">
        <v>2.4158003E-5</v>
      </c>
      <c r="R50" s="163">
        <v>4.1619090000000003E-9</v>
      </c>
      <c r="S50">
        <v>1.8903877999999999E-4</v>
      </c>
      <c r="T50" s="163">
        <v>6.3728360000000004E-7</v>
      </c>
      <c r="U50" s="163">
        <v>6.7599148000000006E-5</v>
      </c>
      <c r="V50">
        <v>7.5935075000000004E-4</v>
      </c>
      <c r="W50">
        <v>2.0110698000000001E-4</v>
      </c>
      <c r="X50" s="163">
        <v>4.9481373000000001E-8</v>
      </c>
      <c r="Y50">
        <v>0.31588276999999998</v>
      </c>
      <c r="Z50">
        <v>5.2979445999999999E-2</v>
      </c>
      <c r="AA50" s="163">
        <v>1.4548548999999999E-9</v>
      </c>
      <c r="AB50">
        <v>1.3511720999999999E-3</v>
      </c>
      <c r="AC50">
        <v>0.26884396999999999</v>
      </c>
      <c r="AD50" s="163">
        <v>1.2403013E-11</v>
      </c>
      <c r="AE50" s="163">
        <v>2.7106080999999998E-10</v>
      </c>
      <c r="AF50">
        <v>0.24285819</v>
      </c>
      <c r="AG50">
        <v>0</v>
      </c>
      <c r="AH50">
        <v>0</v>
      </c>
      <c r="AI50">
        <v>3.1703596000000001E-2</v>
      </c>
      <c r="AJ50">
        <v>0</v>
      </c>
      <c r="AK50">
        <v>0</v>
      </c>
      <c r="AL50">
        <v>0.79288431999999998</v>
      </c>
      <c r="AM50">
        <v>0</v>
      </c>
      <c r="AN50">
        <v>0</v>
      </c>
      <c r="AO50">
        <v>0</v>
      </c>
      <c r="AP50">
        <v>1.4845628000000001E-3</v>
      </c>
      <c r="AQ50" s="163">
        <v>3.7551414000000001E-6</v>
      </c>
      <c r="AR50">
        <v>9.6043428000000004E-3</v>
      </c>
      <c r="AS50" s="163">
        <v>1.9622377E-6</v>
      </c>
      <c r="AT50">
        <v>0</v>
      </c>
      <c r="AU50">
        <v>0</v>
      </c>
      <c r="AV50">
        <v>0</v>
      </c>
      <c r="AW50">
        <v>0</v>
      </c>
      <c r="AX50">
        <v>0</v>
      </c>
    </row>
    <row r="51" spans="1:50">
      <c r="A51" t="s">
        <v>1301</v>
      </c>
      <c r="B51" s="328">
        <f t="shared" si="0"/>
        <v>5.9217458270637196E-3</v>
      </c>
      <c r="C51" s="163">
        <v>5.6768892000000002E-8</v>
      </c>
      <c r="D51">
        <v>2.8548012999999998E-4</v>
      </c>
      <c r="E51">
        <v>6.8325158999999996E-2</v>
      </c>
      <c r="F51" s="163">
        <v>4.5097746999999997E-9</v>
      </c>
      <c r="G51" s="163">
        <v>2.3610622000000001E-5</v>
      </c>
      <c r="H51">
        <v>2.3293483000000001E-4</v>
      </c>
      <c r="I51" s="163">
        <v>4.5047184999999997E-5</v>
      </c>
      <c r="J51">
        <v>1.074172E-2</v>
      </c>
      <c r="K51">
        <v>2.5164386E-4</v>
      </c>
      <c r="L51">
        <v>0.94175973999999996</v>
      </c>
      <c r="M51">
        <v>1.1335602000000001E-4</v>
      </c>
      <c r="N51">
        <v>2.2701037E-2</v>
      </c>
      <c r="O51">
        <v>2.2629097000000001E-2</v>
      </c>
      <c r="P51" s="163">
        <v>4.7745036999999999E-5</v>
      </c>
      <c r="Q51" s="163">
        <v>2.4194311999999999E-5</v>
      </c>
      <c r="R51" s="163">
        <v>4.1639581E-9</v>
      </c>
      <c r="S51">
        <v>1.8920697E-4</v>
      </c>
      <c r="T51" s="163">
        <v>6.3947929000000002E-7</v>
      </c>
      <c r="U51" s="163">
        <v>6.7622093000000005E-5</v>
      </c>
      <c r="V51">
        <v>7.5972406999999997E-4</v>
      </c>
      <c r="W51">
        <v>2.0118830000000001E-4</v>
      </c>
      <c r="X51" s="163">
        <v>4.9550939000000002E-8</v>
      </c>
      <c r="Y51">
        <v>0.31629396999999998</v>
      </c>
      <c r="Z51">
        <v>5.2984491000000002E-2</v>
      </c>
      <c r="AA51" s="163">
        <v>1.4561582999999999E-9</v>
      </c>
      <c r="AB51">
        <v>1.3539981E-3</v>
      </c>
      <c r="AC51">
        <v>0.26927257999999998</v>
      </c>
      <c r="AD51" s="163">
        <v>1.2465942E-11</v>
      </c>
      <c r="AE51" s="163">
        <v>2.7246678000000002E-10</v>
      </c>
      <c r="AF51">
        <v>0.24296872999999999</v>
      </c>
      <c r="AG51">
        <v>0</v>
      </c>
      <c r="AH51">
        <v>0</v>
      </c>
      <c r="AI51">
        <v>2.5022447E-2</v>
      </c>
      <c r="AJ51">
        <v>0</v>
      </c>
      <c r="AK51">
        <v>0</v>
      </c>
      <c r="AL51">
        <v>0.60454724999999998</v>
      </c>
      <c r="AM51">
        <v>0</v>
      </c>
      <c r="AN51">
        <v>0</v>
      </c>
      <c r="AO51">
        <v>0</v>
      </c>
      <c r="AP51">
        <v>1.3493915999999999E-3</v>
      </c>
      <c r="AQ51" s="163">
        <v>1.9458441E-6</v>
      </c>
      <c r="AR51">
        <v>8.8833590000000004E-3</v>
      </c>
      <c r="AS51" s="163">
        <v>1.9647127999999999E-6</v>
      </c>
      <c r="AT51">
        <v>0</v>
      </c>
      <c r="AU51">
        <v>0</v>
      </c>
      <c r="AV51">
        <v>0</v>
      </c>
      <c r="AW51">
        <v>0</v>
      </c>
      <c r="AX51">
        <v>0</v>
      </c>
    </row>
    <row r="52" spans="1:50">
      <c r="A52" t="s">
        <v>1302</v>
      </c>
      <c r="B52" s="328">
        <f t="shared" si="0"/>
        <v>7.9456567148010002E-3</v>
      </c>
      <c r="C52" s="163">
        <v>3.0524741000000001E-6</v>
      </c>
      <c r="D52">
        <v>3.4405938999999998E-4</v>
      </c>
      <c r="E52">
        <v>0.10182409000000001</v>
      </c>
      <c r="F52" s="163">
        <v>4.6494814999999996E-9</v>
      </c>
      <c r="G52" s="163">
        <v>2.7915979000000001E-5</v>
      </c>
      <c r="H52">
        <v>2.6756071E-4</v>
      </c>
      <c r="I52" s="163">
        <v>5.5275212999999998E-5</v>
      </c>
      <c r="J52">
        <v>1.1523445E-2</v>
      </c>
      <c r="K52">
        <v>2.7733538999999999E-4</v>
      </c>
      <c r="L52">
        <v>1.2144075999999999</v>
      </c>
      <c r="M52">
        <v>1.3920409E-4</v>
      </c>
      <c r="N52">
        <v>2.2469632999999999E-2</v>
      </c>
      <c r="O52">
        <v>2.2397832999999999E-2</v>
      </c>
      <c r="P52" s="163">
        <v>4.7605585000000003E-5</v>
      </c>
      <c r="Q52" s="163">
        <v>2.4194182E-5</v>
      </c>
      <c r="R52" s="163">
        <v>4.1176774999999998E-9</v>
      </c>
      <c r="S52">
        <v>1.8781566E-4</v>
      </c>
      <c r="T52" s="163">
        <v>6.3122984000000002E-7</v>
      </c>
      <c r="U52" s="163">
        <v>6.7312690999999999E-5</v>
      </c>
      <c r="V52">
        <v>7.5612827000000001E-4</v>
      </c>
      <c r="W52">
        <v>2.0007293E-4</v>
      </c>
      <c r="X52" s="163">
        <v>4.8471470000000002E-8</v>
      </c>
      <c r="Y52">
        <v>0.31275903999999999</v>
      </c>
      <c r="Z52">
        <v>5.2003332999999999E-2</v>
      </c>
      <c r="AA52" s="163">
        <v>1.4264034E-9</v>
      </c>
      <c r="AB52">
        <v>1.3387427E-3</v>
      </c>
      <c r="AC52">
        <v>0.26593051000000001</v>
      </c>
      <c r="AD52" s="163">
        <v>1.2303466E-11</v>
      </c>
      <c r="AE52" s="163">
        <v>2.6807762000000002E-10</v>
      </c>
      <c r="AF52">
        <v>0.23978416</v>
      </c>
      <c r="AG52">
        <v>0</v>
      </c>
      <c r="AH52">
        <v>0</v>
      </c>
      <c r="AI52">
        <v>2.9038832000000001E-2</v>
      </c>
      <c r="AJ52">
        <v>0</v>
      </c>
      <c r="AK52">
        <v>0</v>
      </c>
      <c r="AL52">
        <v>0.69053735000000005</v>
      </c>
      <c r="AM52">
        <v>0</v>
      </c>
      <c r="AN52">
        <v>0</v>
      </c>
      <c r="AO52">
        <v>0</v>
      </c>
      <c r="AP52">
        <v>1.3722299000000001E-3</v>
      </c>
      <c r="AQ52" s="163">
        <v>2.6235960000000001E-6</v>
      </c>
      <c r="AR52">
        <v>9.0440963000000003E-3</v>
      </c>
      <c r="AS52" s="163">
        <v>1.9429564000000001E-6</v>
      </c>
      <c r="AT52">
        <v>0</v>
      </c>
      <c r="AU52">
        <v>0</v>
      </c>
      <c r="AV52">
        <v>0</v>
      </c>
      <c r="AW52">
        <v>0</v>
      </c>
      <c r="AX52">
        <v>0</v>
      </c>
    </row>
    <row r="53" spans="1:50">
      <c r="A53" t="s">
        <v>1303</v>
      </c>
      <c r="B53" s="328">
        <f t="shared" si="0"/>
        <v>1.2811644372118002E-2</v>
      </c>
      <c r="C53" s="163">
        <v>1.2039911999999999E-5</v>
      </c>
      <c r="D53">
        <v>4.7191023999999999E-4</v>
      </c>
      <c r="E53">
        <v>0.18443380000000001</v>
      </c>
      <c r="F53" s="163">
        <v>4.7187865999999997E-9</v>
      </c>
      <c r="G53" s="163">
        <v>3.7597257999999998E-5</v>
      </c>
      <c r="H53">
        <v>3.3746965999999998E-4</v>
      </c>
      <c r="I53" s="163">
        <v>7.9464434999999993E-5</v>
      </c>
      <c r="J53">
        <v>1.2863763E-2</v>
      </c>
      <c r="K53">
        <v>3.3146948000000001E-4</v>
      </c>
      <c r="L53">
        <v>1.9325151</v>
      </c>
      <c r="M53">
        <v>1.8655747999999999E-4</v>
      </c>
      <c r="N53">
        <v>2.2469632999999999E-2</v>
      </c>
      <c r="O53">
        <v>2.2397832999999999E-2</v>
      </c>
      <c r="P53" s="163">
        <v>4.7605585000000003E-5</v>
      </c>
      <c r="Q53" s="163">
        <v>2.4194182E-5</v>
      </c>
      <c r="R53" s="163">
        <v>4.1176774999999998E-9</v>
      </c>
      <c r="S53">
        <v>1.8781566E-4</v>
      </c>
      <c r="T53" s="163">
        <v>6.3122984000000002E-7</v>
      </c>
      <c r="U53" s="163">
        <v>6.7312690999999999E-5</v>
      </c>
      <c r="V53">
        <v>7.5612827000000001E-4</v>
      </c>
      <c r="W53">
        <v>2.0007293E-4</v>
      </c>
      <c r="X53" s="163">
        <v>4.8471470000000002E-8</v>
      </c>
      <c r="Y53">
        <v>0.31275903999999999</v>
      </c>
      <c r="Z53">
        <v>5.2003332999999999E-2</v>
      </c>
      <c r="AA53" s="163">
        <v>1.4264034E-9</v>
      </c>
      <c r="AB53">
        <v>1.3387427E-3</v>
      </c>
      <c r="AC53">
        <v>0.26593051000000001</v>
      </c>
      <c r="AD53" s="163">
        <v>1.2303466E-11</v>
      </c>
      <c r="AE53" s="163">
        <v>2.6807762000000002E-10</v>
      </c>
      <c r="AF53">
        <v>0.23978416</v>
      </c>
      <c r="AG53">
        <v>0</v>
      </c>
      <c r="AH53">
        <v>0</v>
      </c>
      <c r="AI53">
        <v>3.4768780999999999E-2</v>
      </c>
      <c r="AJ53">
        <v>0</v>
      </c>
      <c r="AK53">
        <v>0</v>
      </c>
      <c r="AL53">
        <v>0.85118322000000002</v>
      </c>
      <c r="AM53">
        <v>0</v>
      </c>
      <c r="AN53">
        <v>0</v>
      </c>
      <c r="AO53">
        <v>0</v>
      </c>
      <c r="AP53">
        <v>1.4876030999999999E-3</v>
      </c>
      <c r="AQ53" s="163">
        <v>4.1640828999999999E-6</v>
      </c>
      <c r="AR53">
        <v>9.6615303000000003E-3</v>
      </c>
      <c r="AS53" s="163">
        <v>1.9429564000000001E-6</v>
      </c>
      <c r="AT53">
        <v>0</v>
      </c>
      <c r="AU53">
        <v>0</v>
      </c>
      <c r="AV53">
        <v>0</v>
      </c>
      <c r="AW53">
        <v>0</v>
      </c>
      <c r="AX53">
        <v>0</v>
      </c>
    </row>
    <row r="54" spans="1:50">
      <c r="A54" t="s">
        <v>1304</v>
      </c>
      <c r="B54" s="328">
        <f t="shared" si="0"/>
        <v>6.3236605628159597E-3</v>
      </c>
      <c r="C54" s="163">
        <v>5.6661405999999997E-8</v>
      </c>
      <c r="D54">
        <v>3.0144244E-4</v>
      </c>
      <c r="E54">
        <v>7.4287514999999998E-2</v>
      </c>
      <c r="F54" s="163">
        <v>4.6263796999999998E-9</v>
      </c>
      <c r="G54" s="163">
        <v>2.4688887000000001E-5</v>
      </c>
      <c r="H54">
        <v>2.4425773000000001E-4</v>
      </c>
      <c r="I54" s="163">
        <v>4.7212139000000002E-5</v>
      </c>
      <c r="J54">
        <v>1.1076671999999999E-2</v>
      </c>
      <c r="K54">
        <v>2.5929069999999999E-4</v>
      </c>
      <c r="L54">
        <v>0.97503841999999996</v>
      </c>
      <c r="M54">
        <v>1.2341962000000001E-4</v>
      </c>
      <c r="N54">
        <v>2.2469632999999999E-2</v>
      </c>
      <c r="O54">
        <v>2.2397832999999999E-2</v>
      </c>
      <c r="P54" s="163">
        <v>4.7605585000000003E-5</v>
      </c>
      <c r="Q54" s="163">
        <v>2.4194182E-5</v>
      </c>
      <c r="R54" s="163">
        <v>4.1176774999999998E-9</v>
      </c>
      <c r="S54">
        <v>1.8781566E-4</v>
      </c>
      <c r="T54" s="163">
        <v>6.3122984000000002E-7</v>
      </c>
      <c r="U54" s="163">
        <v>6.7312690999999999E-5</v>
      </c>
      <c r="V54">
        <v>7.5612827000000001E-4</v>
      </c>
      <c r="W54">
        <v>2.0007293E-4</v>
      </c>
      <c r="X54" s="163">
        <v>4.8471470000000002E-8</v>
      </c>
      <c r="Y54">
        <v>0.31275903999999999</v>
      </c>
      <c r="Z54">
        <v>5.2003332999999999E-2</v>
      </c>
      <c r="AA54" s="163">
        <v>1.4264034E-9</v>
      </c>
      <c r="AB54">
        <v>1.3387427E-3</v>
      </c>
      <c r="AC54">
        <v>0.26593051000000001</v>
      </c>
      <c r="AD54" s="163">
        <v>1.2303466E-11</v>
      </c>
      <c r="AE54" s="163">
        <v>2.6807762000000002E-10</v>
      </c>
      <c r="AF54">
        <v>0.23978416</v>
      </c>
      <c r="AG54">
        <v>0</v>
      </c>
      <c r="AH54">
        <v>0</v>
      </c>
      <c r="AI54">
        <v>2.7128849E-2</v>
      </c>
      <c r="AJ54">
        <v>0</v>
      </c>
      <c r="AK54">
        <v>0</v>
      </c>
      <c r="AL54">
        <v>0.63698873</v>
      </c>
      <c r="AM54">
        <v>0</v>
      </c>
      <c r="AN54">
        <v>0</v>
      </c>
      <c r="AO54">
        <v>0</v>
      </c>
      <c r="AP54">
        <v>1.3337722000000001E-3</v>
      </c>
      <c r="AQ54" s="163">
        <v>2.1101004000000001E-6</v>
      </c>
      <c r="AR54">
        <v>8.8382849999999995E-3</v>
      </c>
      <c r="AS54" s="163">
        <v>1.9429564000000001E-6</v>
      </c>
      <c r="AT54">
        <v>0</v>
      </c>
      <c r="AU54">
        <v>0</v>
      </c>
      <c r="AV54">
        <v>0</v>
      </c>
      <c r="AW54">
        <v>0</v>
      </c>
      <c r="AX54">
        <v>0</v>
      </c>
    </row>
    <row r="55" spans="1:50">
      <c r="A55" t="s">
        <v>1305</v>
      </c>
      <c r="B55" s="328">
        <f t="shared" si="0"/>
        <v>6.3661581083736809E-3</v>
      </c>
      <c r="C55" s="163">
        <v>5.7364248000000003E-8</v>
      </c>
      <c r="D55">
        <v>3.0351095E-4</v>
      </c>
      <c r="E55">
        <v>7.4847440000000001E-2</v>
      </c>
      <c r="F55" s="163">
        <v>4.6601397999999999E-9</v>
      </c>
      <c r="G55" s="163">
        <v>2.4831436999999999E-5</v>
      </c>
      <c r="H55">
        <v>2.4499070999999998E-4</v>
      </c>
      <c r="I55" s="163">
        <v>4.7323982E-5</v>
      </c>
      <c r="J55">
        <v>1.1173448000000001E-2</v>
      </c>
      <c r="K55">
        <v>2.6208668999999998E-4</v>
      </c>
      <c r="L55">
        <v>0.98613472000000002</v>
      </c>
      <c r="M55">
        <v>1.2412381999999999E-4</v>
      </c>
      <c r="N55">
        <v>2.2527838000000001E-2</v>
      </c>
      <c r="O55">
        <v>2.2457184000000002E-2</v>
      </c>
      <c r="P55" s="163">
        <v>4.6747669000000002E-5</v>
      </c>
      <c r="Q55" s="163">
        <v>2.3906299999999998E-5</v>
      </c>
      <c r="R55" s="163">
        <v>4.1458806000000004E-9</v>
      </c>
      <c r="S55">
        <v>1.8738001E-4</v>
      </c>
      <c r="T55" s="163">
        <v>6.2904352999999997E-7</v>
      </c>
      <c r="U55" s="163">
        <v>6.7073992000000007E-5</v>
      </c>
      <c r="V55">
        <v>7.5333169000000005E-4</v>
      </c>
      <c r="W55">
        <v>1.9955115000000001E-4</v>
      </c>
      <c r="X55" s="163">
        <v>4.9095738000000001E-8</v>
      </c>
      <c r="Y55">
        <v>0.31409784000000002</v>
      </c>
      <c r="Z55">
        <v>5.182527E-2</v>
      </c>
      <c r="AA55" s="163">
        <v>1.4460496000000001E-9</v>
      </c>
      <c r="AB55">
        <v>1.3438046000000001E-3</v>
      </c>
      <c r="AC55">
        <v>0.26662997999999999</v>
      </c>
      <c r="AD55" s="163">
        <v>1.2277327E-11</v>
      </c>
      <c r="AE55" s="163">
        <v>2.6915874999999999E-10</v>
      </c>
      <c r="AF55">
        <v>0.24156901</v>
      </c>
      <c r="AG55">
        <v>0</v>
      </c>
      <c r="AH55">
        <v>0</v>
      </c>
      <c r="AI55">
        <v>2.7242603000000001E-2</v>
      </c>
      <c r="AJ55">
        <v>0</v>
      </c>
      <c r="AK55">
        <v>0</v>
      </c>
      <c r="AL55">
        <v>0.64134093999999997</v>
      </c>
      <c r="AM55">
        <v>0</v>
      </c>
      <c r="AN55">
        <v>0</v>
      </c>
      <c r="AO55">
        <v>0</v>
      </c>
      <c r="AP55">
        <v>1.3332448E-3</v>
      </c>
      <c r="AQ55" s="163">
        <v>2.1243874E-6</v>
      </c>
      <c r="AR55">
        <v>9.0976879E-3</v>
      </c>
      <c r="AS55" s="163">
        <v>1.9535479000000001E-6</v>
      </c>
      <c r="AT55">
        <v>0</v>
      </c>
      <c r="AU55">
        <v>0</v>
      </c>
      <c r="AV55">
        <v>0</v>
      </c>
      <c r="AW55">
        <v>0</v>
      </c>
      <c r="AX55">
        <v>0</v>
      </c>
    </row>
    <row r="56" spans="1:50">
      <c r="A56" t="s">
        <v>1306</v>
      </c>
      <c r="B56" s="328">
        <f t="shared" si="0"/>
        <v>8.7912019970330015E-3</v>
      </c>
      <c r="C56" s="163">
        <v>3.4346755999999999E-6</v>
      </c>
      <c r="D56">
        <v>3.8448513999999999E-4</v>
      </c>
      <c r="E56">
        <v>0.11299597</v>
      </c>
      <c r="F56" s="163">
        <v>5.0504679E-9</v>
      </c>
      <c r="G56" s="163">
        <v>3.0923416E-5</v>
      </c>
      <c r="H56">
        <v>2.9011255E-4</v>
      </c>
      <c r="I56" s="163">
        <v>5.9401010999999999E-5</v>
      </c>
      <c r="J56">
        <v>1.2988606999999999E-2</v>
      </c>
      <c r="K56">
        <v>3.0916039000000001E-4</v>
      </c>
      <c r="L56">
        <v>1.3479588</v>
      </c>
      <c r="M56">
        <v>1.5388933E-4</v>
      </c>
      <c r="N56">
        <v>2.3864831999999999E-2</v>
      </c>
      <c r="O56">
        <v>2.3794342999999999E-2</v>
      </c>
      <c r="P56" s="163">
        <v>4.5582433000000003E-5</v>
      </c>
      <c r="Q56" s="163">
        <v>2.4907035999999999E-5</v>
      </c>
      <c r="R56" s="163">
        <v>4.3767489000000003E-9</v>
      </c>
      <c r="S56">
        <v>1.9583512999999999E-4</v>
      </c>
      <c r="T56" s="163">
        <v>7.1195922000000001E-7</v>
      </c>
      <c r="U56" s="163">
        <v>6.8280498000000006E-5</v>
      </c>
      <c r="V56">
        <v>7.6799162E-4</v>
      </c>
      <c r="W56">
        <v>2.0494215999999999E-4</v>
      </c>
      <c r="X56" s="163">
        <v>6.0699706E-8</v>
      </c>
      <c r="Y56">
        <v>0.34562891000000001</v>
      </c>
      <c r="Z56">
        <v>5.1953099000000003E-2</v>
      </c>
      <c r="AA56" s="163">
        <v>1.5121091E-9</v>
      </c>
      <c r="AB56">
        <v>1.3922057999999999E-3</v>
      </c>
      <c r="AC56">
        <v>0.28808859999999997</v>
      </c>
      <c r="AD56" s="163">
        <v>1.3665378000000001E-11</v>
      </c>
      <c r="AE56" s="163">
        <v>2.8390150999999998E-10</v>
      </c>
      <c r="AF56">
        <v>0.24496145</v>
      </c>
      <c r="AG56">
        <v>0</v>
      </c>
      <c r="AH56">
        <v>0</v>
      </c>
      <c r="AI56">
        <v>3.2409044999999997E-2</v>
      </c>
      <c r="AJ56">
        <v>0</v>
      </c>
      <c r="AK56">
        <v>0</v>
      </c>
      <c r="AL56">
        <v>0.77006129999999995</v>
      </c>
      <c r="AM56">
        <v>0</v>
      </c>
      <c r="AN56">
        <v>0</v>
      </c>
      <c r="AO56">
        <v>0</v>
      </c>
      <c r="AP56">
        <v>1.3905128000000001E-3</v>
      </c>
      <c r="AQ56" s="163">
        <v>2.8893865E-6</v>
      </c>
      <c r="AR56">
        <v>9.6670426E-3</v>
      </c>
      <c r="AS56" s="163">
        <v>2.0030494000000002E-6</v>
      </c>
      <c r="AT56">
        <v>0</v>
      </c>
      <c r="AU56">
        <v>0</v>
      </c>
      <c r="AV56">
        <v>0</v>
      </c>
      <c r="AW56">
        <v>0</v>
      </c>
      <c r="AX56">
        <v>0</v>
      </c>
    </row>
    <row r="57" spans="1:50">
      <c r="A57" t="s">
        <v>1307</v>
      </c>
      <c r="B57" s="328">
        <f t="shared" si="0"/>
        <v>1.258141027745E-2</v>
      </c>
      <c r="C57" s="163">
        <v>2.1841049E-5</v>
      </c>
      <c r="D57">
        <v>4.7606854999999998E-4</v>
      </c>
      <c r="E57">
        <v>0.18041333000000001</v>
      </c>
      <c r="F57" s="163">
        <v>4.5575070000000002E-9</v>
      </c>
      <c r="G57" s="163">
        <v>3.5643874999999998E-5</v>
      </c>
      <c r="H57">
        <v>3.2005884000000002E-4</v>
      </c>
      <c r="I57" s="163">
        <v>6.9329353999999995E-5</v>
      </c>
      <c r="J57">
        <v>1.3811029000000001E-2</v>
      </c>
      <c r="K57">
        <v>3.4056088000000001E-4</v>
      </c>
      <c r="L57">
        <v>2.4081551000000001</v>
      </c>
      <c r="M57">
        <v>1.9048789999999999E-4</v>
      </c>
      <c r="N57">
        <v>1.7030375E-2</v>
      </c>
      <c r="O57">
        <v>1.6991800000000001E-2</v>
      </c>
      <c r="P57" s="163">
        <v>2.9453835000000002E-5</v>
      </c>
      <c r="Q57" s="163">
        <v>9.1208430000000001E-6</v>
      </c>
      <c r="R57" s="163">
        <v>3.1314766000000002E-9</v>
      </c>
      <c r="S57">
        <v>1.1522647E-4</v>
      </c>
      <c r="T57" s="163">
        <v>5.9922271999999996E-7</v>
      </c>
      <c r="U57" s="163">
        <v>3.3083722000000003E-5</v>
      </c>
      <c r="V57">
        <v>3.7991549999999999E-4</v>
      </c>
      <c r="W57">
        <v>1.0654887E-4</v>
      </c>
      <c r="X57" s="163">
        <v>6.2306113000000002E-8</v>
      </c>
      <c r="Y57">
        <v>0.26326637000000003</v>
      </c>
      <c r="Z57">
        <v>4.9392787E-2</v>
      </c>
      <c r="AA57" s="163">
        <v>1.4854432E-9</v>
      </c>
      <c r="AB57">
        <v>9.7763373000000001E-4</v>
      </c>
      <c r="AC57">
        <v>0.22286912</v>
      </c>
      <c r="AD57" s="163">
        <v>1.0599098E-11</v>
      </c>
      <c r="AE57" s="163">
        <v>2.4329752999999999E-10</v>
      </c>
      <c r="AF57">
        <v>0.17966278999999999</v>
      </c>
      <c r="AG57">
        <v>0</v>
      </c>
      <c r="AH57">
        <v>0</v>
      </c>
      <c r="AI57">
        <v>3.8669995999999998E-2</v>
      </c>
      <c r="AJ57">
        <v>0</v>
      </c>
      <c r="AK57">
        <v>0</v>
      </c>
      <c r="AL57">
        <v>0.84119604999999997</v>
      </c>
      <c r="AM57">
        <v>0</v>
      </c>
      <c r="AN57">
        <v>0</v>
      </c>
      <c r="AO57">
        <v>0</v>
      </c>
      <c r="AP57">
        <v>1.4048159999999999E-3</v>
      </c>
      <c r="AQ57" s="163">
        <v>3.9899925000000002E-6</v>
      </c>
      <c r="AR57">
        <v>1.1351348000000001E-2</v>
      </c>
      <c r="AS57" s="163">
        <v>1.3889504E-6</v>
      </c>
      <c r="AT57">
        <v>0</v>
      </c>
      <c r="AU57">
        <v>0</v>
      </c>
      <c r="AV57">
        <v>0</v>
      </c>
      <c r="AW57">
        <v>0</v>
      </c>
      <c r="AX57">
        <v>0</v>
      </c>
    </row>
    <row r="58" spans="1:50">
      <c r="A58" t="s">
        <v>1308</v>
      </c>
      <c r="B58" s="328">
        <f t="shared" si="0"/>
        <v>1.2144040791546001E-2</v>
      </c>
      <c r="C58" s="163">
        <v>7.9971018000000007E-6</v>
      </c>
      <c r="D58">
        <v>4.9302495E-4</v>
      </c>
      <c r="E58">
        <v>0.16638657000000001</v>
      </c>
      <c r="F58" s="163">
        <v>5.5338485999999998E-9</v>
      </c>
      <c r="G58" s="163">
        <v>3.8988753E-5</v>
      </c>
      <c r="H58">
        <v>3.5251112999999998E-4</v>
      </c>
      <c r="I58" s="163">
        <v>7.6326179000000004E-5</v>
      </c>
      <c r="J58">
        <v>1.515476E-2</v>
      </c>
      <c r="K58">
        <v>3.6820245999999999E-4</v>
      </c>
      <c r="L58">
        <v>1.8262487999999999</v>
      </c>
      <c r="M58">
        <v>1.9709594999999999E-4</v>
      </c>
      <c r="N58">
        <v>2.4980895999999999E-2</v>
      </c>
      <c r="O58">
        <v>2.4910493999999998E-2</v>
      </c>
      <c r="P58" s="163">
        <v>4.4453602000000003E-5</v>
      </c>
      <c r="Q58" s="163">
        <v>2.5948543000000002E-5</v>
      </c>
      <c r="R58" s="163">
        <v>4.5757471000000004E-9</v>
      </c>
      <c r="S58">
        <v>2.0308505999999999E-4</v>
      </c>
      <c r="T58" s="163">
        <v>7.7781227999999996E-7</v>
      </c>
      <c r="U58" s="163">
        <v>6.9547179000000006E-5</v>
      </c>
      <c r="V58">
        <v>7.8291367000000002E-4</v>
      </c>
      <c r="W58">
        <v>2.1009199999999999E-4</v>
      </c>
      <c r="X58" s="163">
        <v>7.0204470999999999E-8</v>
      </c>
      <c r="Y58">
        <v>0.37271641</v>
      </c>
      <c r="Z58">
        <v>5.0530001999999997E-2</v>
      </c>
      <c r="AA58" s="163">
        <v>1.5481509E-9</v>
      </c>
      <c r="AB58">
        <v>1.4307348E-3</v>
      </c>
      <c r="AC58">
        <v>0.30519139000000001</v>
      </c>
      <c r="AD58" s="163">
        <v>1.4787131E-11</v>
      </c>
      <c r="AE58" s="163">
        <v>2.939636E-10</v>
      </c>
      <c r="AF58">
        <v>0.24654023999999999</v>
      </c>
      <c r="AG58">
        <v>0</v>
      </c>
      <c r="AH58">
        <v>0</v>
      </c>
      <c r="AI58">
        <v>3.9763621999999998E-2</v>
      </c>
      <c r="AJ58">
        <v>0</v>
      </c>
      <c r="AK58">
        <v>0</v>
      </c>
      <c r="AL58">
        <v>0.94182907000000005</v>
      </c>
      <c r="AM58">
        <v>0</v>
      </c>
      <c r="AN58">
        <v>0</v>
      </c>
      <c r="AO58">
        <v>0</v>
      </c>
      <c r="AP58">
        <v>1.4332131000000001E-3</v>
      </c>
      <c r="AQ58" s="163">
        <v>3.9699560999999997E-6</v>
      </c>
      <c r="AR58">
        <v>1.0323453E-2</v>
      </c>
      <c r="AS58" s="163">
        <v>2.0424252000000001E-6</v>
      </c>
      <c r="AT58">
        <v>0</v>
      </c>
      <c r="AU58">
        <v>0</v>
      </c>
      <c r="AV58">
        <v>0</v>
      </c>
      <c r="AW58">
        <v>0</v>
      </c>
      <c r="AX58">
        <v>0</v>
      </c>
    </row>
    <row r="59" spans="1:50">
      <c r="A59" t="s">
        <v>1309</v>
      </c>
      <c r="B59" s="189">
        <f t="shared" si="0"/>
        <v>5.2832140665372406E-3</v>
      </c>
      <c r="C59" s="163">
        <v>5.3686814000000003E-8</v>
      </c>
      <c r="D59">
        <v>2.5495967E-4</v>
      </c>
      <c r="E59">
        <v>6.1203079000000001E-2</v>
      </c>
      <c r="F59" s="163">
        <v>3.9807849000000003E-9</v>
      </c>
      <c r="G59" s="163">
        <v>2.1033703999999999E-5</v>
      </c>
      <c r="H59">
        <v>2.0384628000000001E-4</v>
      </c>
      <c r="I59" s="163">
        <v>3.8970159999999999E-5</v>
      </c>
      <c r="J59">
        <v>9.7243916999999996E-3</v>
      </c>
      <c r="K59">
        <v>2.2729487E-4</v>
      </c>
      <c r="L59">
        <v>0.85797098999999999</v>
      </c>
      <c r="M59">
        <v>1.0238983E-4</v>
      </c>
      <c r="N59">
        <v>1.9849138999999998E-2</v>
      </c>
      <c r="O59">
        <v>1.9789296000000001E-2</v>
      </c>
      <c r="P59" s="163">
        <v>4.0519365000000001E-5</v>
      </c>
      <c r="Q59" s="163">
        <v>1.9324180999999998E-5</v>
      </c>
      <c r="R59" s="163">
        <v>3.6423134999999999E-9</v>
      </c>
      <c r="S59">
        <v>1.6094266000000001E-4</v>
      </c>
      <c r="T59" s="163">
        <v>5.7868747999999997E-7</v>
      </c>
      <c r="U59" s="163">
        <v>5.6073882000000003E-5</v>
      </c>
      <c r="V59">
        <v>6.3138617000000003E-4</v>
      </c>
      <c r="W59">
        <v>1.6821410000000001E-4</v>
      </c>
      <c r="X59" s="163">
        <v>4.7146154999999997E-8</v>
      </c>
      <c r="Y59">
        <v>0.27831908</v>
      </c>
      <c r="Z59">
        <v>5.1331139999999997E-2</v>
      </c>
      <c r="AA59" s="163">
        <v>1.3732222E-9</v>
      </c>
      <c r="AB59">
        <v>1.1844321000000001E-3</v>
      </c>
      <c r="AC59">
        <v>0.23992310999999999</v>
      </c>
      <c r="AD59" s="163">
        <v>1.1074264E-11</v>
      </c>
      <c r="AE59" s="163">
        <v>2.4835658000000002E-10</v>
      </c>
      <c r="AF59">
        <v>0.21604016000000001</v>
      </c>
      <c r="AG59">
        <v>0</v>
      </c>
      <c r="AH59">
        <v>0</v>
      </c>
      <c r="AI59">
        <v>2.2548664E-2</v>
      </c>
      <c r="AJ59">
        <v>0</v>
      </c>
      <c r="AK59">
        <v>0</v>
      </c>
      <c r="AL59">
        <v>0.53905656000000002</v>
      </c>
      <c r="AM59">
        <v>0</v>
      </c>
      <c r="AN59">
        <v>0</v>
      </c>
      <c r="AO59">
        <v>0</v>
      </c>
      <c r="AP59">
        <v>1.3002711E-3</v>
      </c>
      <c r="AQ59" s="163">
        <v>1.7817938E-6</v>
      </c>
      <c r="AR59">
        <v>8.5923760000000005E-3</v>
      </c>
      <c r="AS59" s="163">
        <v>1.7170905000000001E-6</v>
      </c>
      <c r="AT59">
        <v>0</v>
      </c>
      <c r="AU59">
        <v>0</v>
      </c>
      <c r="AV59">
        <v>0</v>
      </c>
      <c r="AW59">
        <v>0</v>
      </c>
      <c r="AX59">
        <v>0</v>
      </c>
    </row>
    <row r="60" spans="1:50">
      <c r="A60" t="s">
        <v>1310</v>
      </c>
      <c r="B60" s="189">
        <f t="shared" si="0"/>
        <v>5.8057636001257193E-3</v>
      </c>
      <c r="C60" s="163">
        <v>5.4877417E-8</v>
      </c>
      <c r="D60">
        <v>2.7948542E-4</v>
      </c>
      <c r="E60">
        <v>6.7282277000000001E-2</v>
      </c>
      <c r="F60" s="163">
        <v>4.3928013000000004E-9</v>
      </c>
      <c r="G60" s="163">
        <v>2.3018127E-5</v>
      </c>
      <c r="H60">
        <v>2.2696936000000001E-4</v>
      </c>
      <c r="I60" s="163">
        <v>4.3915631999999998E-5</v>
      </c>
      <c r="J60">
        <v>1.0461583999999999E-2</v>
      </c>
      <c r="K60">
        <v>2.4570517E-4</v>
      </c>
      <c r="L60">
        <v>0.92032294000000003</v>
      </c>
      <c r="M60">
        <v>1.1151879E-4</v>
      </c>
      <c r="N60">
        <v>2.1912535E-2</v>
      </c>
      <c r="O60">
        <v>2.1843329000000002E-2</v>
      </c>
      <c r="P60" s="163">
        <v>4.6010968999999999E-5</v>
      </c>
      <c r="Q60" s="163">
        <v>2.3194179000000002E-5</v>
      </c>
      <c r="R60" s="163">
        <v>4.0287647000000003E-9</v>
      </c>
      <c r="S60">
        <v>1.81948E-4</v>
      </c>
      <c r="T60" s="163">
        <v>6.1317779000000002E-7</v>
      </c>
      <c r="U60" s="163">
        <v>6.5104303000000001E-5</v>
      </c>
      <c r="V60">
        <v>7.3140068999999995E-4</v>
      </c>
      <c r="W60">
        <v>1.9369917E-4</v>
      </c>
      <c r="X60" s="163">
        <v>4.7701546999999997E-8</v>
      </c>
      <c r="Y60">
        <v>0.30553910000000001</v>
      </c>
      <c r="Z60">
        <v>5.0759163000000003E-2</v>
      </c>
      <c r="AA60" s="163">
        <v>1.4057222000000001E-9</v>
      </c>
      <c r="AB60">
        <v>1.3059496E-3</v>
      </c>
      <c r="AC60">
        <v>0.25928675000000001</v>
      </c>
      <c r="AD60" s="163">
        <v>1.1919826000000001E-11</v>
      </c>
      <c r="AE60" s="163">
        <v>2.6160263999999998E-10</v>
      </c>
      <c r="AF60">
        <v>0.23468686</v>
      </c>
      <c r="AG60">
        <v>0</v>
      </c>
      <c r="AH60">
        <v>0</v>
      </c>
      <c r="AI60">
        <v>2.4567176999999999E-2</v>
      </c>
      <c r="AJ60">
        <v>0</v>
      </c>
      <c r="AK60">
        <v>0</v>
      </c>
      <c r="AL60">
        <v>0.59157227000000001</v>
      </c>
      <c r="AM60">
        <v>0</v>
      </c>
      <c r="AN60">
        <v>0</v>
      </c>
      <c r="AO60">
        <v>0</v>
      </c>
      <c r="AP60">
        <v>1.2953011E-3</v>
      </c>
      <c r="AQ60" s="163">
        <v>1.9088651000000001E-6</v>
      </c>
      <c r="AR60">
        <v>8.7200887999999994E-3</v>
      </c>
      <c r="AS60" s="163">
        <v>1.8984838E-6</v>
      </c>
      <c r="AT60">
        <v>0</v>
      </c>
      <c r="AU60">
        <v>0</v>
      </c>
      <c r="AV60">
        <v>0</v>
      </c>
      <c r="AW60">
        <v>0</v>
      </c>
      <c r="AX60">
        <v>0</v>
      </c>
    </row>
    <row r="61" spans="1:50">
      <c r="A61" t="s">
        <v>1311</v>
      </c>
      <c r="B61" s="189">
        <f t="shared" si="0"/>
        <v>4.4260936204373186E-3</v>
      </c>
      <c r="C61" s="163">
        <v>4.9507027E-8</v>
      </c>
      <c r="D61">
        <v>2.1161638E-4</v>
      </c>
      <c r="E61">
        <v>5.4067379999999998E-2</v>
      </c>
      <c r="F61" s="163">
        <v>2.8384251000000002E-9</v>
      </c>
      <c r="G61" s="163">
        <v>1.6847658999999999E-5</v>
      </c>
      <c r="H61">
        <v>1.5295757999999999E-4</v>
      </c>
      <c r="I61" s="163">
        <v>2.7496789000000001E-5</v>
      </c>
      <c r="J61">
        <v>7.9430027E-3</v>
      </c>
      <c r="K61">
        <v>1.7786055999999999E-4</v>
      </c>
      <c r="L61">
        <v>0.70053080999999995</v>
      </c>
      <c r="M61" s="163">
        <v>9.1950766000000001E-5</v>
      </c>
      <c r="N61">
        <v>1.2778084E-2</v>
      </c>
      <c r="O61">
        <v>1.2740456000000001E-2</v>
      </c>
      <c r="P61" s="163">
        <v>3.0263047999999999E-5</v>
      </c>
      <c r="Q61" s="163">
        <v>7.3655570000000001E-6</v>
      </c>
      <c r="R61" s="163">
        <v>2.2047486999999999E-9</v>
      </c>
      <c r="S61" s="163">
        <v>9.0491380999999994E-5</v>
      </c>
      <c r="T61" s="163">
        <v>4.8112466999999996E-7</v>
      </c>
      <c r="U61" s="163">
        <v>2.5977612999999999E-5</v>
      </c>
      <c r="V61">
        <v>3.0025438000000002E-4</v>
      </c>
      <c r="W61" s="163">
        <v>8.2678009999999998E-5</v>
      </c>
      <c r="X61" s="163">
        <v>4.2990450000000001E-8</v>
      </c>
      <c r="Y61">
        <v>0.18694796</v>
      </c>
      <c r="Z61">
        <v>4.9973876E-2</v>
      </c>
      <c r="AA61" s="163">
        <v>1.1514861999999999E-9</v>
      </c>
      <c r="AB61">
        <v>7.3331967999999996E-4</v>
      </c>
      <c r="AC61">
        <v>0.16979664999999999</v>
      </c>
      <c r="AD61" s="163">
        <v>8.0785626000000001E-12</v>
      </c>
      <c r="AE61" s="163">
        <v>1.8723226E-10</v>
      </c>
      <c r="AF61">
        <v>0.13732272000000001</v>
      </c>
      <c r="AG61">
        <v>0</v>
      </c>
      <c r="AH61">
        <v>0</v>
      </c>
      <c r="AI61">
        <v>2.1147125999999999E-2</v>
      </c>
      <c r="AJ61">
        <v>0</v>
      </c>
      <c r="AK61">
        <v>0</v>
      </c>
      <c r="AL61">
        <v>0.44158248</v>
      </c>
      <c r="AM61">
        <v>0</v>
      </c>
      <c r="AN61">
        <v>0</v>
      </c>
      <c r="AO61">
        <v>0</v>
      </c>
      <c r="AP61">
        <v>1.2684327999999999E-3</v>
      </c>
      <c r="AQ61" s="163">
        <v>1.7143365000000001E-6</v>
      </c>
      <c r="AR61">
        <v>7.0345182999999997E-3</v>
      </c>
      <c r="AS61" s="163">
        <v>1.0254951999999999E-6</v>
      </c>
      <c r="AT61">
        <v>0</v>
      </c>
      <c r="AU61">
        <v>0</v>
      </c>
      <c r="AV61">
        <v>0</v>
      </c>
      <c r="AW61">
        <v>0</v>
      </c>
      <c r="AX61">
        <v>0</v>
      </c>
    </row>
    <row r="62" spans="1:50">
      <c r="A62" t="s">
        <v>1312</v>
      </c>
      <c r="B62" s="189">
        <f t="shared" si="0"/>
        <v>4.3680816746860399E-3</v>
      </c>
      <c r="C62" s="163">
        <v>4.6810593999999998E-8</v>
      </c>
      <c r="D62">
        <v>2.086813E-4</v>
      </c>
      <c r="E62">
        <v>5.3799346999999997E-2</v>
      </c>
      <c r="F62" s="163">
        <v>2.7951337E-9</v>
      </c>
      <c r="G62" s="163">
        <v>1.6382059000000001E-5</v>
      </c>
      <c r="H62">
        <v>1.4869884000000001E-4</v>
      </c>
      <c r="I62" s="163">
        <v>2.6918030000000001E-5</v>
      </c>
      <c r="J62">
        <v>7.7231597000000001E-3</v>
      </c>
      <c r="K62">
        <v>1.7569075000000001E-4</v>
      </c>
      <c r="L62">
        <v>0.68989151999999998</v>
      </c>
      <c r="M62" s="163">
        <v>9.1132958000000002E-5</v>
      </c>
      <c r="N62">
        <v>1.2187341000000001E-2</v>
      </c>
      <c r="O62">
        <v>1.2151719E-2</v>
      </c>
      <c r="P62" s="163">
        <v>2.8918491E-5</v>
      </c>
      <c r="Q62" s="163">
        <v>6.7041480000000004E-6</v>
      </c>
      <c r="R62" s="163">
        <v>2.1449941000000001E-9</v>
      </c>
      <c r="S62" s="163">
        <v>8.4304290000000005E-5</v>
      </c>
      <c r="T62" s="163">
        <v>4.4105250000000001E-7</v>
      </c>
      <c r="U62" s="163">
        <v>2.4469663999999999E-5</v>
      </c>
      <c r="V62">
        <v>2.8261166000000001E-4</v>
      </c>
      <c r="W62" s="163">
        <v>7.7846057999999998E-5</v>
      </c>
      <c r="X62" s="163">
        <v>4.0245812000000001E-8</v>
      </c>
      <c r="Y62">
        <v>0.17966879999999999</v>
      </c>
      <c r="Z62">
        <v>4.3248136999999999E-2</v>
      </c>
      <c r="AA62" s="163">
        <v>1.087605E-9</v>
      </c>
      <c r="AB62">
        <v>7.0282788999999997E-4</v>
      </c>
      <c r="AC62">
        <v>0.15921746000000001</v>
      </c>
      <c r="AD62" s="163">
        <v>7.4440277999999993E-12</v>
      </c>
      <c r="AE62" s="163">
        <v>1.7609261E-10</v>
      </c>
      <c r="AF62">
        <v>0.13098819</v>
      </c>
      <c r="AG62">
        <v>0</v>
      </c>
      <c r="AH62">
        <v>0</v>
      </c>
      <c r="AI62">
        <v>2.0774585000000002E-2</v>
      </c>
      <c r="AJ62">
        <v>0</v>
      </c>
      <c r="AK62">
        <v>0</v>
      </c>
      <c r="AL62">
        <v>0.43564620999999998</v>
      </c>
      <c r="AM62">
        <v>0</v>
      </c>
      <c r="AN62">
        <v>0</v>
      </c>
      <c r="AO62">
        <v>0</v>
      </c>
      <c r="AP62">
        <v>1.111513E-3</v>
      </c>
      <c r="AQ62" s="163">
        <v>1.6626097999999999E-6</v>
      </c>
      <c r="AR62">
        <v>7.1255375999999997E-3</v>
      </c>
      <c r="AS62" s="163">
        <v>9.9180160000000006E-7</v>
      </c>
      <c r="AT62">
        <v>0</v>
      </c>
      <c r="AU62">
        <v>0</v>
      </c>
      <c r="AV62">
        <v>0</v>
      </c>
      <c r="AW62">
        <v>0</v>
      </c>
      <c r="AX62">
        <v>0</v>
      </c>
    </row>
    <row r="63" spans="1:50">
      <c r="A63" t="s">
        <v>1313</v>
      </c>
      <c r="B63" s="189">
        <f t="shared" si="0"/>
        <v>5.0624210461408794E-3</v>
      </c>
      <c r="C63" s="163">
        <v>5.6962667999999999E-8</v>
      </c>
      <c r="D63">
        <v>2.4213964000000001E-4</v>
      </c>
      <c r="E63">
        <v>6.2348333999999998E-2</v>
      </c>
      <c r="F63" s="163">
        <v>3.1603938000000001E-9</v>
      </c>
      <c r="G63" s="163">
        <v>1.9103864E-5</v>
      </c>
      <c r="H63">
        <v>1.724618E-4</v>
      </c>
      <c r="I63" s="163">
        <v>3.0877891E-5</v>
      </c>
      <c r="J63">
        <v>8.9925483E-3</v>
      </c>
      <c r="K63">
        <v>2.0038763000000001E-4</v>
      </c>
      <c r="L63">
        <v>0.78509114000000002</v>
      </c>
      <c r="M63">
        <v>1.0586735000000001E-4</v>
      </c>
      <c r="N63">
        <v>1.3625076999999999E-2</v>
      </c>
      <c r="O63">
        <v>1.3587320999999999E-2</v>
      </c>
      <c r="P63" s="163">
        <v>2.9805329999999999E-5</v>
      </c>
      <c r="Q63" s="163">
        <v>7.9499110999999999E-6</v>
      </c>
      <c r="R63" s="163">
        <v>2.3559983E-9</v>
      </c>
      <c r="S63" s="163">
        <v>9.6033544999999998E-5</v>
      </c>
      <c r="T63" s="163">
        <v>5.2708579000000002E-7</v>
      </c>
      <c r="U63" s="163">
        <v>2.7005974000000001E-5</v>
      </c>
      <c r="V63">
        <v>3.1234439E-4</v>
      </c>
      <c r="W63" s="163">
        <v>8.6693004000000003E-5</v>
      </c>
      <c r="X63" s="163">
        <v>4.9276351E-8</v>
      </c>
      <c r="Y63">
        <v>0.20504639999999999</v>
      </c>
      <c r="Z63">
        <v>5.0626520000000001E-2</v>
      </c>
      <c r="AA63" s="163">
        <v>1.2038786E-9</v>
      </c>
      <c r="AB63">
        <v>7.6943493999999998E-4</v>
      </c>
      <c r="AC63">
        <v>0.18282403999999999</v>
      </c>
      <c r="AD63" s="163">
        <v>8.8708327E-12</v>
      </c>
      <c r="AE63" s="163">
        <v>1.9752621000000001E-10</v>
      </c>
      <c r="AF63">
        <v>0.14158818000000001</v>
      </c>
      <c r="AG63">
        <v>0</v>
      </c>
      <c r="AH63">
        <v>0</v>
      </c>
      <c r="AI63">
        <v>2.4307306000000001E-2</v>
      </c>
      <c r="AJ63">
        <v>0</v>
      </c>
      <c r="AK63">
        <v>0</v>
      </c>
      <c r="AL63">
        <v>0.50461487999999999</v>
      </c>
      <c r="AM63">
        <v>0</v>
      </c>
      <c r="AN63">
        <v>0</v>
      </c>
      <c r="AO63">
        <v>0</v>
      </c>
      <c r="AP63">
        <v>1.2971460000000001E-3</v>
      </c>
      <c r="AQ63" s="163">
        <v>1.9440167E-6</v>
      </c>
      <c r="AR63">
        <v>7.4459979000000001E-3</v>
      </c>
      <c r="AS63" s="163">
        <v>1.0681843E-6</v>
      </c>
      <c r="AT63">
        <v>0</v>
      </c>
      <c r="AU63">
        <v>0</v>
      </c>
      <c r="AV63">
        <v>0</v>
      </c>
      <c r="AW63">
        <v>0</v>
      </c>
      <c r="AX63">
        <v>0</v>
      </c>
    </row>
    <row r="64" spans="1:50">
      <c r="A64" t="s">
        <v>1314</v>
      </c>
      <c r="B64" s="189">
        <f t="shared" si="0"/>
        <v>5.0093575978795201E-3</v>
      </c>
      <c r="C64" s="163">
        <v>5.4333797E-8</v>
      </c>
      <c r="D64">
        <v>2.3944265999999999E-4</v>
      </c>
      <c r="E64">
        <v>6.2142386000000001E-2</v>
      </c>
      <c r="F64" s="163">
        <v>3.1196724000000002E-9</v>
      </c>
      <c r="G64" s="163">
        <v>1.8657045000000001E-5</v>
      </c>
      <c r="H64">
        <v>1.6836651999999999E-4</v>
      </c>
      <c r="I64" s="163">
        <v>3.0326710999999999E-5</v>
      </c>
      <c r="J64">
        <v>8.7814571000000008E-3</v>
      </c>
      <c r="K64">
        <v>1.9839354999999999E-4</v>
      </c>
      <c r="L64">
        <v>0.77512336999999998</v>
      </c>
      <c r="M64">
        <v>1.0515561999999999E-4</v>
      </c>
      <c r="N64">
        <v>1.3043361E-2</v>
      </c>
      <c r="O64">
        <v>1.3007601000000001E-2</v>
      </c>
      <c r="P64" s="163">
        <v>2.8463801E-5</v>
      </c>
      <c r="Q64" s="163">
        <v>7.2959361E-6</v>
      </c>
      <c r="R64" s="163">
        <v>2.2976382999999998E-9</v>
      </c>
      <c r="S64" s="163">
        <v>8.9916551000000005E-5</v>
      </c>
      <c r="T64" s="163">
        <v>4.8754155000000005E-7</v>
      </c>
      <c r="U64" s="163">
        <v>2.5512741999999999E-5</v>
      </c>
      <c r="V64">
        <v>2.9487428E-4</v>
      </c>
      <c r="W64" s="163">
        <v>8.1913495000000001E-5</v>
      </c>
      <c r="X64" s="163">
        <v>4.6590914000000002E-8</v>
      </c>
      <c r="Y64">
        <v>0.19793473</v>
      </c>
      <c r="Z64">
        <v>4.3937532000000001E-2</v>
      </c>
      <c r="AA64" s="163">
        <v>1.1406857E-9</v>
      </c>
      <c r="AB64">
        <v>7.3935324999999997E-4</v>
      </c>
      <c r="AC64">
        <v>0.17239077999999999</v>
      </c>
      <c r="AD64" s="163">
        <v>8.2451308999999993E-12</v>
      </c>
      <c r="AE64" s="163">
        <v>1.8651508999999999E-10</v>
      </c>
      <c r="AF64">
        <v>0.13531507000000001</v>
      </c>
      <c r="AG64">
        <v>0</v>
      </c>
      <c r="AH64">
        <v>0</v>
      </c>
      <c r="AI64">
        <v>2.3959741999999999E-2</v>
      </c>
      <c r="AJ64">
        <v>0</v>
      </c>
      <c r="AK64">
        <v>0</v>
      </c>
      <c r="AL64">
        <v>0.49916969</v>
      </c>
      <c r="AM64">
        <v>0</v>
      </c>
      <c r="AN64">
        <v>0</v>
      </c>
      <c r="AO64">
        <v>0</v>
      </c>
      <c r="AP64">
        <v>1.1411826999999999E-3</v>
      </c>
      <c r="AQ64" s="163">
        <v>1.8942223E-6</v>
      </c>
      <c r="AR64">
        <v>7.5396062999999996E-3</v>
      </c>
      <c r="AS64" s="163">
        <v>1.0349644000000001E-6</v>
      </c>
      <c r="AT64">
        <v>0</v>
      </c>
      <c r="AU64">
        <v>0</v>
      </c>
      <c r="AV64">
        <v>0</v>
      </c>
      <c r="AW64">
        <v>0</v>
      </c>
      <c r="AX64">
        <v>0</v>
      </c>
    </row>
    <row r="65" spans="1:50">
      <c r="A65" t="s">
        <v>1315</v>
      </c>
      <c r="B65" s="327">
        <f t="shared" si="0"/>
        <v>2.5307089535114402E-2</v>
      </c>
      <c r="C65" s="163">
        <v>6.7104458999999998E-7</v>
      </c>
      <c r="D65">
        <v>1.0329891E-3</v>
      </c>
      <c r="E65">
        <v>0.26403913000000001</v>
      </c>
      <c r="F65" s="163">
        <v>1.3294485999999999E-8</v>
      </c>
      <c r="G65" s="163">
        <v>8.9349112000000001E-5</v>
      </c>
      <c r="H65">
        <v>8.3905625999999996E-4</v>
      </c>
      <c r="I65">
        <v>1.2099573E-4</v>
      </c>
      <c r="J65">
        <v>7.2340030999999999E-2</v>
      </c>
      <c r="K65">
        <v>4.4242292000000001E-3</v>
      </c>
      <c r="L65">
        <v>6.4506641</v>
      </c>
      <c r="M65">
        <v>4.5112778999999999E-4</v>
      </c>
      <c r="N65">
        <v>0.26760725000000002</v>
      </c>
      <c r="O65">
        <v>0.26697694</v>
      </c>
      <c r="P65">
        <v>5.2664045000000003E-4</v>
      </c>
      <c r="Q65">
        <v>1.0367342E-4</v>
      </c>
      <c r="R65" s="163">
        <v>1.5855329000000001E-8</v>
      </c>
      <c r="S65">
        <v>1.0488685000000001E-3</v>
      </c>
      <c r="T65" s="163">
        <v>9.1830139E-6</v>
      </c>
      <c r="U65">
        <v>2.3249261E-4</v>
      </c>
      <c r="V65">
        <v>2.6952891000000001E-3</v>
      </c>
      <c r="W65">
        <v>7.4715899999999995E-4</v>
      </c>
      <c r="X65" s="163">
        <v>6.7104843000000004E-7</v>
      </c>
      <c r="Y65">
        <v>1.915324</v>
      </c>
      <c r="Z65">
        <v>9.0017688999999998E-2</v>
      </c>
      <c r="AA65" s="163">
        <v>9.7193120999999994E-9</v>
      </c>
      <c r="AB65">
        <v>5.9413914999999996E-3</v>
      </c>
      <c r="AC65">
        <v>3.4285109999999999</v>
      </c>
      <c r="AD65" s="163">
        <v>1.4908830999999999E-10</v>
      </c>
      <c r="AE65" s="163">
        <v>3.8408563E-9</v>
      </c>
      <c r="AF65">
        <v>0.98582811999999997</v>
      </c>
      <c r="AG65">
        <v>0</v>
      </c>
      <c r="AH65">
        <v>0</v>
      </c>
      <c r="AI65">
        <v>0.13301472</v>
      </c>
      <c r="AJ65">
        <v>0</v>
      </c>
      <c r="AK65">
        <v>0</v>
      </c>
      <c r="AL65">
        <v>2.0383271000000001</v>
      </c>
      <c r="AM65">
        <v>0</v>
      </c>
      <c r="AN65">
        <v>0</v>
      </c>
      <c r="AO65">
        <v>0</v>
      </c>
      <c r="AP65">
        <v>2.3146040000000001E-3</v>
      </c>
      <c r="AQ65" s="163">
        <v>3.4404078E-6</v>
      </c>
      <c r="AR65">
        <v>3.8848858999999999E-2</v>
      </c>
      <c r="AS65" s="163">
        <v>7.3416457000000003E-6</v>
      </c>
      <c r="AT65">
        <v>0</v>
      </c>
      <c r="AU65">
        <v>0</v>
      </c>
      <c r="AV65">
        <v>0</v>
      </c>
      <c r="AW65">
        <v>0</v>
      </c>
      <c r="AX65">
        <v>0</v>
      </c>
    </row>
    <row r="66" spans="1:50">
      <c r="A66" t="s">
        <v>1316</v>
      </c>
      <c r="B66" s="189">
        <f t="shared" si="0"/>
        <v>1.0709623953195199E-3</v>
      </c>
      <c r="C66" s="163">
        <v>2.2393022000000001E-8</v>
      </c>
      <c r="D66" s="163">
        <v>6.2801206999999997E-5</v>
      </c>
      <c r="E66">
        <v>8.4194050999999992E-3</v>
      </c>
      <c r="F66" s="163">
        <v>1.4169932000000001E-9</v>
      </c>
      <c r="G66" s="163">
        <v>6.8229154000000003E-6</v>
      </c>
      <c r="H66" s="163">
        <v>5.2716929999999999E-5</v>
      </c>
      <c r="I66" s="163">
        <v>8.5163516999999992E-6</v>
      </c>
      <c r="J66">
        <v>3.3886556000000002E-3</v>
      </c>
      <c r="K66" s="163">
        <v>8.2098579999999999E-5</v>
      </c>
      <c r="L66">
        <v>0.30478077999999997</v>
      </c>
      <c r="M66" s="163">
        <v>1.3618317E-5</v>
      </c>
      <c r="N66">
        <v>8.5285265999999992E-3</v>
      </c>
      <c r="O66">
        <v>8.5195775999999997E-3</v>
      </c>
      <c r="P66" s="163">
        <v>4.3287157000000004E-6</v>
      </c>
      <c r="Q66" s="163">
        <v>4.6203156000000003E-6</v>
      </c>
      <c r="R66" s="163">
        <v>1.7628997999999999E-9</v>
      </c>
      <c r="S66" s="163">
        <v>6.7764493000000006E-5</v>
      </c>
      <c r="T66" s="163">
        <v>2.6024889000000001E-7</v>
      </c>
      <c r="U66" s="163">
        <v>1.9423542E-5</v>
      </c>
      <c r="V66">
        <v>2.1775260999999999E-4</v>
      </c>
      <c r="W66" s="163">
        <v>6.3128613999999996E-5</v>
      </c>
      <c r="X66" s="163">
        <v>2.2393858E-8</v>
      </c>
      <c r="Y66">
        <v>0.12956187999999999</v>
      </c>
      <c r="Z66">
        <v>2.5206981E-2</v>
      </c>
      <c r="AA66" s="163">
        <v>7.4172750000000001E-10</v>
      </c>
      <c r="AB66">
        <v>5.5248497999999999E-4</v>
      </c>
      <c r="AC66">
        <v>0.10580982999999999</v>
      </c>
      <c r="AD66" s="163">
        <v>5.9892545000000003E-12</v>
      </c>
      <c r="AE66" s="163">
        <v>1.2088853999999999E-10</v>
      </c>
      <c r="AF66">
        <v>1.9037217</v>
      </c>
      <c r="AG66">
        <v>0</v>
      </c>
      <c r="AH66">
        <v>0</v>
      </c>
      <c r="AI66">
        <v>2.8334567000000001E-3</v>
      </c>
      <c r="AJ66">
        <v>0</v>
      </c>
      <c r="AK66">
        <v>0</v>
      </c>
      <c r="AL66">
        <v>0.13757962000000001</v>
      </c>
      <c r="AM66">
        <v>0</v>
      </c>
      <c r="AN66">
        <v>0</v>
      </c>
      <c r="AO66">
        <v>0</v>
      </c>
      <c r="AP66">
        <v>6.2836976000000004E-4</v>
      </c>
      <c r="AQ66" s="163">
        <v>5.4849493999999998E-7</v>
      </c>
      <c r="AR66">
        <v>4.9934632000000001E-3</v>
      </c>
      <c r="AS66" s="163">
        <v>8.1847422999999999E-7</v>
      </c>
      <c r="AT66">
        <v>0</v>
      </c>
      <c r="AU66">
        <v>0</v>
      </c>
      <c r="AV66">
        <v>0</v>
      </c>
      <c r="AW66">
        <v>0</v>
      </c>
      <c r="AX66">
        <v>0</v>
      </c>
    </row>
    <row r="67" spans="1:50">
      <c r="A67" t="s">
        <v>1317</v>
      </c>
      <c r="B67" s="189">
        <f t="shared" si="0"/>
        <v>1.1226768934187001</v>
      </c>
      <c r="C67" s="163">
        <v>2.0796695E-5</v>
      </c>
      <c r="D67">
        <v>4.8012124000000003E-2</v>
      </c>
      <c r="E67">
        <v>4.2476048999999998</v>
      </c>
      <c r="F67" s="163">
        <v>3.2477305000000002E-7</v>
      </c>
      <c r="G67">
        <v>1.0821346000000001E-2</v>
      </c>
      <c r="H67">
        <v>1.7758162000000001E-2</v>
      </c>
      <c r="I67">
        <v>3.2382954000000001E-3</v>
      </c>
      <c r="J67">
        <v>8.3330301999999996</v>
      </c>
      <c r="K67">
        <v>0.68082301000000001</v>
      </c>
      <c r="L67">
        <v>100.63565</v>
      </c>
      <c r="M67">
        <v>5.3444336000000002E-3</v>
      </c>
      <c r="N67">
        <v>4.3890947000000002</v>
      </c>
      <c r="O67">
        <v>4.3986834000000004</v>
      </c>
      <c r="P67">
        <v>-1.2031574E-2</v>
      </c>
      <c r="Q67">
        <v>2.4428352E-3</v>
      </c>
      <c r="R67" s="163">
        <v>3.2787697000000002E-7</v>
      </c>
      <c r="S67">
        <v>2.146696E-2</v>
      </c>
      <c r="T67">
        <v>2.8562219999999998E-4</v>
      </c>
      <c r="U67">
        <v>3.6478182999999998E-3</v>
      </c>
      <c r="V67">
        <v>4.0548594E-2</v>
      </c>
      <c r="W67">
        <v>2.7845233E-2</v>
      </c>
      <c r="X67" s="163">
        <v>2.0797716E-5</v>
      </c>
      <c r="Y67">
        <v>91.827057999999994</v>
      </c>
      <c r="Z67">
        <v>2.0581830000000001</v>
      </c>
      <c r="AA67" s="163">
        <v>1.9262564999999999E-7</v>
      </c>
      <c r="AB67">
        <v>0.11073432</v>
      </c>
      <c r="AC67">
        <v>125.86337</v>
      </c>
      <c r="AD67" s="163">
        <v>1.1452322000000001E-8</v>
      </c>
      <c r="AE67" s="163">
        <v>4.5707655999999998E-8</v>
      </c>
      <c r="AF67">
        <v>10.700248999999999</v>
      </c>
      <c r="AG67">
        <v>0</v>
      </c>
      <c r="AH67">
        <v>0</v>
      </c>
      <c r="AI67">
        <v>2.6367131000000001</v>
      </c>
      <c r="AJ67">
        <v>0</v>
      </c>
      <c r="AK67">
        <v>0</v>
      </c>
      <c r="AL67">
        <v>98.432342000000006</v>
      </c>
      <c r="AM67">
        <v>0</v>
      </c>
      <c r="AN67">
        <v>0</v>
      </c>
      <c r="AO67">
        <v>0</v>
      </c>
      <c r="AP67">
        <v>5.2515247000000001E-2</v>
      </c>
      <c r="AQ67" s="163">
        <v>4.6698403000000002E-5</v>
      </c>
      <c r="AR67">
        <v>0.53295501000000001</v>
      </c>
      <c r="AS67">
        <v>1.0523283E-4</v>
      </c>
      <c r="AT67">
        <v>0</v>
      </c>
      <c r="AU67">
        <v>0</v>
      </c>
      <c r="AV67">
        <v>0</v>
      </c>
      <c r="AW67">
        <v>0</v>
      </c>
      <c r="AX67">
        <v>0</v>
      </c>
    </row>
    <row r="68" spans="1:50">
      <c r="A68" t="s">
        <v>1318</v>
      </c>
      <c r="B68" s="189">
        <f t="shared" si="0"/>
        <v>0.10040566262383921</v>
      </c>
      <c r="C68" s="163">
        <v>6.5962087000000001E-7</v>
      </c>
      <c r="D68">
        <v>2.4630863999999999E-2</v>
      </c>
      <c r="E68">
        <v>0.50887835000000003</v>
      </c>
      <c r="F68" s="163">
        <v>6.6401955E-7</v>
      </c>
      <c r="G68">
        <v>1.4288467999999999E-3</v>
      </c>
      <c r="H68">
        <v>4.7510316000000004E-3</v>
      </c>
      <c r="I68">
        <v>7.4290554999999995E-4</v>
      </c>
      <c r="J68">
        <v>0.40339331</v>
      </c>
      <c r="K68">
        <v>1.6630589000000001E-2</v>
      </c>
      <c r="L68">
        <v>55.975335000000001</v>
      </c>
      <c r="M68">
        <v>8.4936229999999998E-4</v>
      </c>
      <c r="N68">
        <v>0.52158903999999995</v>
      </c>
      <c r="O68">
        <v>0.52104870000000003</v>
      </c>
      <c r="P68">
        <v>3.7102992E-4</v>
      </c>
      <c r="Q68">
        <v>1.6930567E-4</v>
      </c>
      <c r="R68" s="163">
        <v>8.3850012000000001E-7</v>
      </c>
      <c r="S68">
        <v>5.5243137000000001E-3</v>
      </c>
      <c r="T68" s="163">
        <v>1.0973507999999999E-5</v>
      </c>
      <c r="U68">
        <v>6.3213074999999999E-4</v>
      </c>
      <c r="V68">
        <v>7.1202028000000002E-3</v>
      </c>
      <c r="W68">
        <v>4.5150870000000001E-3</v>
      </c>
      <c r="X68" s="163">
        <v>6.5962893999999995E-7</v>
      </c>
      <c r="Y68">
        <v>52.369104999999998</v>
      </c>
      <c r="Z68">
        <v>0.17133150999999999</v>
      </c>
      <c r="AA68" s="163">
        <v>2.3837428000000001E-8</v>
      </c>
      <c r="AB68">
        <v>0.22710883000000001</v>
      </c>
      <c r="AC68">
        <v>26.126377999999999</v>
      </c>
      <c r="AD68" s="163">
        <v>2.0801472999999999E-10</v>
      </c>
      <c r="AE68" s="163">
        <v>6.6404688E-9</v>
      </c>
      <c r="AF68">
        <v>6.2340121000000002</v>
      </c>
      <c r="AG68">
        <v>0</v>
      </c>
      <c r="AH68">
        <v>0</v>
      </c>
      <c r="AI68">
        <v>0.17524058000000001</v>
      </c>
      <c r="AJ68">
        <v>0</v>
      </c>
      <c r="AK68">
        <v>0</v>
      </c>
      <c r="AL68">
        <v>55.632773</v>
      </c>
      <c r="AM68">
        <v>0</v>
      </c>
      <c r="AN68">
        <v>0</v>
      </c>
      <c r="AO68">
        <v>0</v>
      </c>
      <c r="AP68">
        <v>5.8408243000000002E-3</v>
      </c>
      <c r="AQ68" s="163">
        <v>1.5563034999999999E-5</v>
      </c>
      <c r="AR68">
        <v>2.7469548E-2</v>
      </c>
      <c r="AS68">
        <v>3.7002718000000003E-4</v>
      </c>
      <c r="AT68">
        <v>0</v>
      </c>
      <c r="AU68">
        <v>0</v>
      </c>
      <c r="AV68">
        <v>0</v>
      </c>
      <c r="AW68">
        <v>0</v>
      </c>
      <c r="AX68">
        <v>0</v>
      </c>
    </row>
    <row r="69" spans="1:50">
      <c r="A69" t="s">
        <v>1319</v>
      </c>
      <c r="B69" s="189">
        <f t="shared" si="0"/>
        <v>0.12483934405364801</v>
      </c>
      <c r="C69" s="163">
        <v>4.9081853000000003E-6</v>
      </c>
      <c r="D69">
        <v>1.9885863E-2</v>
      </c>
      <c r="E69">
        <v>0.71017503000000004</v>
      </c>
      <c r="F69" s="163">
        <v>4.8825020000000003E-7</v>
      </c>
      <c r="G69">
        <v>1.1346779E-3</v>
      </c>
      <c r="H69">
        <v>5.4240021999999999E-3</v>
      </c>
      <c r="I69">
        <v>8.4709906000000001E-4</v>
      </c>
      <c r="J69">
        <v>0.53894059000000005</v>
      </c>
      <c r="K69">
        <v>1.4832044000000001E-2</v>
      </c>
      <c r="L69">
        <v>54.970649999999999</v>
      </c>
      <c r="M69">
        <v>1.6247683000000001E-3</v>
      </c>
      <c r="N69">
        <v>0.72327439000000004</v>
      </c>
      <c r="O69">
        <v>0.72422394000000001</v>
      </c>
      <c r="P69">
        <v>-1.6878214000000001E-3</v>
      </c>
      <c r="Q69">
        <v>7.382787E-4</v>
      </c>
      <c r="R69" s="163">
        <v>6.1000760000000002E-7</v>
      </c>
      <c r="S69">
        <v>6.4302891999999997E-3</v>
      </c>
      <c r="T69" s="163">
        <v>6.1859497999999994E-5</v>
      </c>
      <c r="U69">
        <v>8.1473641999999999E-4</v>
      </c>
      <c r="V69">
        <v>9.9103598000000008E-3</v>
      </c>
      <c r="W69">
        <v>4.3319090000000001E-3</v>
      </c>
      <c r="X69" s="163">
        <v>4.908289E-6</v>
      </c>
      <c r="Y69">
        <v>41.906852000000001</v>
      </c>
      <c r="Z69">
        <v>0.21005926999999999</v>
      </c>
      <c r="AA69" s="163">
        <v>3.4031361999999998E-8</v>
      </c>
      <c r="AB69">
        <v>0.18704038000000001</v>
      </c>
      <c r="AC69">
        <v>27.803632</v>
      </c>
      <c r="AD69" s="163">
        <v>4.1798744999999998E-10</v>
      </c>
      <c r="AE69" s="163">
        <v>1.3068080999999999E-8</v>
      </c>
      <c r="AF69">
        <v>6.0711868000000004</v>
      </c>
      <c r="AG69">
        <v>0</v>
      </c>
      <c r="AH69">
        <v>0</v>
      </c>
      <c r="AI69">
        <v>0.77412227</v>
      </c>
      <c r="AJ69">
        <v>0</v>
      </c>
      <c r="AK69">
        <v>0</v>
      </c>
      <c r="AL69">
        <v>44.485017999999997</v>
      </c>
      <c r="AM69">
        <v>0</v>
      </c>
      <c r="AN69">
        <v>0</v>
      </c>
      <c r="AO69">
        <v>0</v>
      </c>
      <c r="AP69">
        <v>7.5536774999999997E-3</v>
      </c>
      <c r="AQ69" s="163">
        <v>1.9494355000000001E-5</v>
      </c>
      <c r="AR69">
        <v>7.4875453999999994E-2</v>
      </c>
      <c r="AS69">
        <v>2.8266705999999999E-4</v>
      </c>
      <c r="AT69">
        <v>0</v>
      </c>
      <c r="AU69">
        <v>0</v>
      </c>
      <c r="AV69">
        <v>0</v>
      </c>
      <c r="AW69">
        <v>0</v>
      </c>
      <c r="AX69">
        <v>0</v>
      </c>
    </row>
    <row r="70" spans="1:50">
      <c r="A70" t="s">
        <v>1320</v>
      </c>
      <c r="B70" s="189">
        <f t="shared" ref="B70:B133" si="1">(C70*0.16)+(D70*0.16)+(E70*0.05)+(F70*30)+(G70*2)+(H70*4)+(I70*9)+(J70*0.09)+(K70*0.03)+(L70*0.0001)+(M70*0.06)</f>
        <v>0.14075381647151999</v>
      </c>
      <c r="C70" s="163">
        <v>1.1115766999999999E-5</v>
      </c>
      <c r="D70">
        <v>2.0068725999999999E-2</v>
      </c>
      <c r="E70">
        <v>0.89645390000000003</v>
      </c>
      <c r="F70" s="163">
        <v>4.3316416E-7</v>
      </c>
      <c r="G70">
        <v>1.2646396999999999E-3</v>
      </c>
      <c r="H70">
        <v>5.8197576999999999E-3</v>
      </c>
      <c r="I70">
        <v>8.7889651999999998E-4</v>
      </c>
      <c r="J70">
        <v>0.58993611999999995</v>
      </c>
      <c r="K70">
        <v>1.4651439E-2</v>
      </c>
      <c r="L70">
        <v>53.409201000000003</v>
      </c>
      <c r="M70">
        <v>1.8709818999999999E-3</v>
      </c>
      <c r="N70">
        <v>0.91421472999999998</v>
      </c>
      <c r="O70">
        <v>0.91391823999999999</v>
      </c>
      <c r="P70">
        <v>-5.5826490999999999E-4</v>
      </c>
      <c r="Q70">
        <v>8.5475600000000003E-4</v>
      </c>
      <c r="R70" s="163">
        <v>5.3889597000000003E-7</v>
      </c>
      <c r="S70">
        <v>6.9341315000000002E-3</v>
      </c>
      <c r="T70" s="163">
        <v>7.2035683000000006E-5</v>
      </c>
      <c r="U70">
        <v>9.1853064999999998E-4</v>
      </c>
      <c r="V70">
        <v>1.1235841999999999E-2</v>
      </c>
      <c r="W70">
        <v>4.8396163999999998E-3</v>
      </c>
      <c r="X70" s="163">
        <v>1.1115774999999999E-5</v>
      </c>
      <c r="Y70">
        <v>42.228634999999997</v>
      </c>
      <c r="Z70">
        <v>0.33159140999999998</v>
      </c>
      <c r="AA70" s="163">
        <v>4.7110344E-8</v>
      </c>
      <c r="AB70">
        <v>0.17179085999999999</v>
      </c>
      <c r="AC70">
        <v>29.888828</v>
      </c>
      <c r="AD70" s="163">
        <v>4.8014039000000004E-10</v>
      </c>
      <c r="AE70" s="163">
        <v>1.3454382E-8</v>
      </c>
      <c r="AF70">
        <v>6.3573288999999997</v>
      </c>
      <c r="AG70">
        <v>0</v>
      </c>
      <c r="AH70">
        <v>0</v>
      </c>
      <c r="AI70">
        <v>0.99485309</v>
      </c>
      <c r="AJ70">
        <v>0</v>
      </c>
      <c r="AK70">
        <v>0</v>
      </c>
      <c r="AL70">
        <v>44.868817</v>
      </c>
      <c r="AM70">
        <v>0</v>
      </c>
      <c r="AN70">
        <v>0</v>
      </c>
      <c r="AO70">
        <v>0</v>
      </c>
      <c r="AP70">
        <v>1.0421959999999999E-2</v>
      </c>
      <c r="AQ70" s="163">
        <v>2.0129211E-5</v>
      </c>
      <c r="AR70">
        <v>9.1802400000000006E-2</v>
      </c>
      <c r="AS70">
        <v>2.5350509000000003E-4</v>
      </c>
      <c r="AT70">
        <v>0</v>
      </c>
      <c r="AU70">
        <v>0</v>
      </c>
      <c r="AV70">
        <v>0</v>
      </c>
      <c r="AW70">
        <v>0</v>
      </c>
      <c r="AX70">
        <v>0</v>
      </c>
    </row>
    <row r="71" spans="1:50">
      <c r="A71" t="s">
        <v>1321</v>
      </c>
      <c r="B71" s="189">
        <f t="shared" si="1"/>
        <v>1.1855543080963198E-3</v>
      </c>
      <c r="C71" s="163">
        <v>2.4918301999999999E-8</v>
      </c>
      <c r="D71" s="163">
        <v>6.3735372000000003E-5</v>
      </c>
      <c r="E71">
        <v>8.9932323000000008E-3</v>
      </c>
      <c r="F71" s="163">
        <v>1.1634776000000001E-9</v>
      </c>
      <c r="G71" s="163">
        <v>1.5085451000000001E-5</v>
      </c>
      <c r="H71" s="163">
        <v>4.5797112000000002E-5</v>
      </c>
      <c r="I71" s="163">
        <v>8.8826868000000001E-6</v>
      </c>
      <c r="J71">
        <v>4.4381146000000002E-3</v>
      </c>
      <c r="K71">
        <v>1.7029883000000001E-4</v>
      </c>
      <c r="L71">
        <v>0.24930267</v>
      </c>
      <c r="M71" s="163">
        <v>4.8051087000000003E-5</v>
      </c>
      <c r="N71">
        <v>-0.23573801</v>
      </c>
      <c r="O71">
        <v>9.0923120999999996E-3</v>
      </c>
      <c r="P71">
        <v>-0.24494223000000001</v>
      </c>
      <c r="Q71">
        <v>1.1190565E-4</v>
      </c>
      <c r="R71" s="163">
        <v>1.4066105999999999E-9</v>
      </c>
      <c r="S71" s="163">
        <v>5.9959661000000001E-5</v>
      </c>
      <c r="T71" s="163">
        <v>3.7702967999999999E-7</v>
      </c>
      <c r="U71" s="163">
        <v>1.8324340999999999E-5</v>
      </c>
      <c r="V71">
        <v>2.0627190000000001E-4</v>
      </c>
      <c r="W71" s="163">
        <v>7.5167007000000006E-5</v>
      </c>
      <c r="X71" s="163">
        <v>2.4892535000000001E-8</v>
      </c>
      <c r="Y71">
        <v>0.12695871</v>
      </c>
      <c r="Z71">
        <v>4.0449324000000004E-3</v>
      </c>
      <c r="AA71" s="163">
        <v>8.4274912000000002E-10</v>
      </c>
      <c r="AB71">
        <v>5.3727186000000001E-4</v>
      </c>
      <c r="AC71">
        <v>0.13978528000000001</v>
      </c>
      <c r="AD71" s="163">
        <v>8.6459571999999996E-12</v>
      </c>
      <c r="AE71" s="163">
        <v>1.709776E-10</v>
      </c>
      <c r="AF71">
        <v>19.040316000000001</v>
      </c>
      <c r="AG71">
        <v>0</v>
      </c>
      <c r="AH71">
        <v>0</v>
      </c>
      <c r="AI71">
        <v>2.7741338999999998</v>
      </c>
      <c r="AJ71">
        <v>0</v>
      </c>
      <c r="AK71">
        <v>0</v>
      </c>
      <c r="AL71">
        <v>0.13518240000000001</v>
      </c>
      <c r="AM71">
        <v>0</v>
      </c>
      <c r="AN71">
        <v>0</v>
      </c>
      <c r="AO71">
        <v>0</v>
      </c>
      <c r="AP71">
        <v>1.0909256E-4</v>
      </c>
      <c r="AQ71" s="163">
        <v>3.2914635E-7</v>
      </c>
      <c r="AR71">
        <v>2.1072347000000002E-3</v>
      </c>
      <c r="AS71" s="163">
        <v>6.8987878999999999E-7</v>
      </c>
      <c r="AT71">
        <v>0</v>
      </c>
      <c r="AU71">
        <v>0</v>
      </c>
      <c r="AV71">
        <v>0</v>
      </c>
      <c r="AW71">
        <v>0</v>
      </c>
      <c r="AX71">
        <v>0</v>
      </c>
    </row>
    <row r="72" spans="1:50">
      <c r="A72" t="s">
        <v>1322</v>
      </c>
      <c r="B72" s="189">
        <f t="shared" si="1"/>
        <v>1.2499778979929198E-2</v>
      </c>
      <c r="C72" s="163">
        <v>6.0161270000000005E-8</v>
      </c>
      <c r="D72">
        <v>7.7879242999999996E-4</v>
      </c>
      <c r="E72">
        <v>0.12024103</v>
      </c>
      <c r="F72" s="163">
        <v>4.7014042E-9</v>
      </c>
      <c r="G72">
        <v>1.3740700000000001E-4</v>
      </c>
      <c r="H72">
        <v>5.4243445E-4</v>
      </c>
      <c r="I72" s="163">
        <v>5.5387345000000001E-5</v>
      </c>
      <c r="J72">
        <v>3.4170048000000001E-2</v>
      </c>
      <c r="K72">
        <v>5.8206314000000005E-4</v>
      </c>
      <c r="L72">
        <v>3.1791136</v>
      </c>
      <c r="M72">
        <v>1.5424239999999999E-4</v>
      </c>
      <c r="N72">
        <v>0.13070767</v>
      </c>
      <c r="O72">
        <v>0.12889628</v>
      </c>
      <c r="P72">
        <v>1.7072553000000001E-3</v>
      </c>
      <c r="Q72">
        <v>1.0413107E-4</v>
      </c>
      <c r="R72" s="163">
        <v>4.996289E-9</v>
      </c>
      <c r="S72">
        <v>6.4499610000000004E-4</v>
      </c>
      <c r="T72" s="163">
        <v>5.8809333E-6</v>
      </c>
      <c r="U72" s="163">
        <v>8.3627498000000006E-5</v>
      </c>
      <c r="V72">
        <v>1.0244321000000001E-3</v>
      </c>
      <c r="W72">
        <v>4.4618464000000001E-4</v>
      </c>
      <c r="X72" s="163">
        <v>6.0164000999999999E-8</v>
      </c>
      <c r="Y72">
        <v>1.2992482000000001</v>
      </c>
      <c r="Z72">
        <v>1.4759921E-2</v>
      </c>
      <c r="AA72" s="163">
        <v>7.0239795999999998E-9</v>
      </c>
      <c r="AB72">
        <v>3.3034750000000002E-3</v>
      </c>
      <c r="AC72">
        <v>3.1512386999999999</v>
      </c>
      <c r="AD72" s="163">
        <v>3.9156717000000002E-11</v>
      </c>
      <c r="AE72" s="163">
        <v>4.8197718000000004E-9</v>
      </c>
      <c r="AF72">
        <v>0.49030564999999998</v>
      </c>
      <c r="AG72">
        <v>0</v>
      </c>
      <c r="AH72">
        <v>0</v>
      </c>
      <c r="AI72">
        <v>9.3134132999999994E-2</v>
      </c>
      <c r="AJ72">
        <v>0</v>
      </c>
      <c r="AK72">
        <v>0</v>
      </c>
      <c r="AL72">
        <v>1.3811097000000001</v>
      </c>
      <c r="AM72">
        <v>0</v>
      </c>
      <c r="AN72">
        <v>0</v>
      </c>
      <c r="AO72">
        <v>0</v>
      </c>
      <c r="AP72">
        <v>4.8735011E-4</v>
      </c>
      <c r="AQ72" s="163">
        <v>1.1928698999999999E-6</v>
      </c>
      <c r="AR72">
        <v>4.6864821000000001E-3</v>
      </c>
      <c r="AS72" s="163">
        <v>2.7390057999999998E-6</v>
      </c>
      <c r="AT72">
        <v>0</v>
      </c>
      <c r="AU72">
        <v>0</v>
      </c>
      <c r="AV72">
        <v>0</v>
      </c>
      <c r="AW72">
        <v>0</v>
      </c>
      <c r="AX72">
        <v>0</v>
      </c>
    </row>
    <row r="73" spans="1:50">
      <c r="A73" t="s">
        <v>1323</v>
      </c>
      <c r="B73" s="189">
        <f t="shared" si="1"/>
        <v>1.2132848104340719E-3</v>
      </c>
      <c r="C73" s="163">
        <v>1.5776292E-9</v>
      </c>
      <c r="D73" s="163">
        <v>3.2384568999999997E-5</v>
      </c>
      <c r="E73">
        <v>4.6780299999999997E-3</v>
      </c>
      <c r="F73" s="163">
        <v>8.4806217999999996E-10</v>
      </c>
      <c r="G73" s="163">
        <v>4.7399152000000002E-6</v>
      </c>
      <c r="H73" s="163">
        <v>3.5490429999999997E-5</v>
      </c>
      <c r="I73" s="163">
        <v>7.9858683999999998E-6</v>
      </c>
      <c r="J73">
        <v>8.2452072000000001E-3</v>
      </c>
      <c r="K73" s="163">
        <v>2.3487556000000002E-5</v>
      </c>
      <c r="L73">
        <v>7.9211429E-2</v>
      </c>
      <c r="M73" s="163">
        <v>2.7883587999999999E-6</v>
      </c>
      <c r="N73">
        <v>4.7286788000000003E-3</v>
      </c>
      <c r="O73">
        <v>4.7274969999999998E-3</v>
      </c>
      <c r="P73" s="163">
        <v>7.8019327E-7</v>
      </c>
      <c r="Q73" s="163">
        <v>4.0153754E-7</v>
      </c>
      <c r="R73" s="163">
        <v>1.0680238E-9</v>
      </c>
      <c r="S73" s="163">
        <v>4.9552329000000003E-5</v>
      </c>
      <c r="T73" s="163">
        <v>3.6108022999999999E-8</v>
      </c>
      <c r="U73" s="163">
        <v>2.1478863000000001E-5</v>
      </c>
      <c r="V73">
        <v>2.3604792000000001E-4</v>
      </c>
      <c r="W73" s="163">
        <v>6.4847430999999997E-5</v>
      </c>
      <c r="X73" s="163">
        <v>1.5776494E-9</v>
      </c>
      <c r="Y73">
        <v>6.8369226000000005E-2</v>
      </c>
      <c r="Z73">
        <v>3.685796E-4</v>
      </c>
      <c r="AA73" s="163">
        <v>6.1246574000000002E-9</v>
      </c>
      <c r="AB73">
        <v>2.9466588000000001E-4</v>
      </c>
      <c r="AC73">
        <v>3.8649870000000003E-2</v>
      </c>
      <c r="AD73" s="163">
        <v>1.3297420000000001E-12</v>
      </c>
      <c r="AE73" s="163">
        <v>3.3675694000000003E-11</v>
      </c>
      <c r="AF73">
        <v>8.6594285E-3</v>
      </c>
      <c r="AG73">
        <v>0</v>
      </c>
      <c r="AH73">
        <v>0</v>
      </c>
      <c r="AI73">
        <v>3.9607219999999999E-4</v>
      </c>
      <c r="AJ73">
        <v>0</v>
      </c>
      <c r="AK73">
        <v>0</v>
      </c>
      <c r="AL73">
        <v>7.2600860000000003E-2</v>
      </c>
      <c r="AM73">
        <v>0</v>
      </c>
      <c r="AN73">
        <v>0</v>
      </c>
      <c r="AO73">
        <v>0</v>
      </c>
      <c r="AP73" s="163">
        <v>9.3834250000000007E-6</v>
      </c>
      <c r="AQ73" s="163">
        <v>3.0487845000000002E-8</v>
      </c>
      <c r="AR73" s="163">
        <v>7.2863358000000003E-5</v>
      </c>
      <c r="AS73" s="163">
        <v>4.7490731999999998E-7</v>
      </c>
      <c r="AT73">
        <v>0</v>
      </c>
      <c r="AU73">
        <v>0</v>
      </c>
      <c r="AV73">
        <v>0</v>
      </c>
      <c r="AW73">
        <v>0</v>
      </c>
      <c r="AX73">
        <v>0</v>
      </c>
    </row>
    <row r="74" spans="1:50">
      <c r="A74" t="s">
        <v>1324</v>
      </c>
      <c r="B74" s="189">
        <f t="shared" si="1"/>
        <v>7.8936163767385006</v>
      </c>
      <c r="C74">
        <v>2.6911055999999998E-3</v>
      </c>
      <c r="D74">
        <v>3.1797313000000001E-2</v>
      </c>
      <c r="E74">
        <v>4.9105334999999997</v>
      </c>
      <c r="F74" s="163">
        <v>3.1276874999999998E-7</v>
      </c>
      <c r="G74">
        <v>1.8097308999999999E-2</v>
      </c>
      <c r="H74">
        <v>0.37589621000000001</v>
      </c>
      <c r="I74">
        <v>0.10300212</v>
      </c>
      <c r="J74">
        <v>51.655281000000002</v>
      </c>
      <c r="K74">
        <v>0.87754304999999999</v>
      </c>
      <c r="L74">
        <v>4915.9892</v>
      </c>
      <c r="M74">
        <v>0.14771887</v>
      </c>
      <c r="N74">
        <v>4.9763060000000001</v>
      </c>
      <c r="O74">
        <v>4.9833068999999997</v>
      </c>
      <c r="P74">
        <v>-1.3245062E-2</v>
      </c>
      <c r="Q74">
        <v>6.2441922999999996E-3</v>
      </c>
      <c r="R74" s="163">
        <v>3.4209171000000002E-7</v>
      </c>
      <c r="S74">
        <v>0.42766514</v>
      </c>
      <c r="T74">
        <v>3.0723250000000001E-2</v>
      </c>
      <c r="U74">
        <v>2.1299872000000001E-2</v>
      </c>
      <c r="V74">
        <v>0.28586526000000001</v>
      </c>
      <c r="W74">
        <v>7.8342698000000002E-2</v>
      </c>
      <c r="X74">
        <v>2.6912122000000002E-3</v>
      </c>
      <c r="Y74">
        <v>58.208654000000003</v>
      </c>
      <c r="Z74">
        <v>2.9099808</v>
      </c>
      <c r="AA74" s="163">
        <v>9.3031376999999999E-7</v>
      </c>
      <c r="AB74">
        <v>0.21767592999999999</v>
      </c>
      <c r="AC74">
        <v>3098.9627</v>
      </c>
      <c r="AD74" s="163">
        <v>3.9136102999999997E-8</v>
      </c>
      <c r="AE74" s="163">
        <v>3.6270223000000002E-6</v>
      </c>
      <c r="AF74">
        <v>71.380077999999997</v>
      </c>
      <c r="AG74">
        <v>0</v>
      </c>
      <c r="AH74">
        <v>0</v>
      </c>
      <c r="AI74">
        <v>11.606824</v>
      </c>
      <c r="AJ74">
        <v>0</v>
      </c>
      <c r="AK74">
        <v>0</v>
      </c>
      <c r="AL74">
        <v>61.974507000000003</v>
      </c>
      <c r="AM74">
        <v>0</v>
      </c>
      <c r="AN74">
        <v>0</v>
      </c>
      <c r="AO74">
        <v>0</v>
      </c>
      <c r="AP74">
        <v>7.7934401E-2</v>
      </c>
      <c r="AQ74">
        <v>1.2263464000000001E-4</v>
      </c>
      <c r="AR74">
        <v>1.8599706</v>
      </c>
      <c r="AS74">
        <v>1.9509443E-4</v>
      </c>
      <c r="AT74">
        <v>0</v>
      </c>
      <c r="AU74">
        <v>0</v>
      </c>
      <c r="AV74">
        <v>0</v>
      </c>
      <c r="AW74">
        <v>0</v>
      </c>
      <c r="AX74">
        <v>0</v>
      </c>
    </row>
    <row r="75" spans="1:50">
      <c r="A75" t="s">
        <v>1325</v>
      </c>
      <c r="B75" s="189">
        <f t="shared" si="1"/>
        <v>0</v>
      </c>
      <c r="C75">
        <v>0</v>
      </c>
      <c r="D75">
        <v>0</v>
      </c>
      <c r="E75">
        <v>0</v>
      </c>
      <c r="F75">
        <v>0</v>
      </c>
      <c r="G75">
        <v>0</v>
      </c>
      <c r="H75">
        <v>0</v>
      </c>
      <c r="I75">
        <v>0</v>
      </c>
      <c r="J75">
        <v>0</v>
      </c>
      <c r="K75">
        <v>0</v>
      </c>
      <c r="L75">
        <v>0</v>
      </c>
      <c r="M75">
        <v>0</v>
      </c>
      <c r="N75">
        <v>0</v>
      </c>
      <c r="O75">
        <v>0</v>
      </c>
      <c r="P75">
        <v>0</v>
      </c>
      <c r="Q75">
        <v>0</v>
      </c>
      <c r="R75">
        <v>0</v>
      </c>
      <c r="S75">
        <v>0</v>
      </c>
      <c r="T75">
        <v>0</v>
      </c>
      <c r="U75">
        <v>0</v>
      </c>
      <c r="V75">
        <v>0</v>
      </c>
      <c r="W75">
        <v>0</v>
      </c>
      <c r="X75">
        <v>0</v>
      </c>
      <c r="Y75">
        <v>0</v>
      </c>
      <c r="Z75">
        <v>0</v>
      </c>
      <c r="AA75">
        <v>0</v>
      </c>
      <c r="AB75">
        <v>0</v>
      </c>
      <c r="AC75">
        <v>0</v>
      </c>
      <c r="AD75">
        <v>0</v>
      </c>
      <c r="AE75">
        <v>0</v>
      </c>
      <c r="AF75">
        <v>0</v>
      </c>
      <c r="AG75">
        <v>0</v>
      </c>
      <c r="AH75">
        <v>0</v>
      </c>
      <c r="AI75">
        <v>0</v>
      </c>
      <c r="AJ75">
        <v>0</v>
      </c>
      <c r="AK75">
        <v>0</v>
      </c>
      <c r="AL75">
        <v>0</v>
      </c>
      <c r="AM75">
        <v>0</v>
      </c>
      <c r="AN75">
        <v>0</v>
      </c>
      <c r="AO75">
        <v>0</v>
      </c>
      <c r="AP75">
        <v>0</v>
      </c>
      <c r="AQ75">
        <v>0</v>
      </c>
      <c r="AR75">
        <v>0</v>
      </c>
      <c r="AS75">
        <v>0</v>
      </c>
      <c r="AT75">
        <v>0</v>
      </c>
      <c r="AU75">
        <v>0</v>
      </c>
      <c r="AV75">
        <v>0</v>
      </c>
      <c r="AW75">
        <v>0</v>
      </c>
      <c r="AX75">
        <v>0</v>
      </c>
    </row>
    <row r="76" spans="1:50">
      <c r="A76" t="s">
        <v>1326</v>
      </c>
      <c r="B76" s="189">
        <f t="shared" si="1"/>
        <v>2.5835365762010003E-2</v>
      </c>
      <c r="C76" s="163">
        <v>2.0657381000000001E-5</v>
      </c>
      <c r="D76">
        <v>1.4398194999999999E-3</v>
      </c>
      <c r="E76">
        <v>0.38909029000000001</v>
      </c>
      <c r="F76" s="163">
        <v>1.3799545E-8</v>
      </c>
      <c r="G76" s="163">
        <v>6.4846378000000003E-5</v>
      </c>
      <c r="H76">
        <v>5.3740399000000005E-4</v>
      </c>
      <c r="I76">
        <v>1.2826065999999999E-4</v>
      </c>
      <c r="J76">
        <v>2.6072538999999999E-2</v>
      </c>
      <c r="K76">
        <v>5.2093674999999999E-4</v>
      </c>
      <c r="L76">
        <v>3.2166960000000002</v>
      </c>
      <c r="M76">
        <v>4.8800177000000002E-4</v>
      </c>
      <c r="N76">
        <v>0.11339778</v>
      </c>
      <c r="O76">
        <v>0.11099721</v>
      </c>
      <c r="P76">
        <v>2.3788269E-3</v>
      </c>
      <c r="Q76" s="163">
        <v>2.1745617E-5</v>
      </c>
      <c r="R76" s="163">
        <v>1.2742977E-8</v>
      </c>
      <c r="S76">
        <v>2.6980503000000001E-4</v>
      </c>
      <c r="T76" s="163">
        <v>3.3500508000000002E-6</v>
      </c>
      <c r="U76" s="163">
        <v>6.1028393999999997E-5</v>
      </c>
      <c r="V76">
        <v>9.0431416000000004E-4</v>
      </c>
      <c r="W76">
        <v>1.9731233000000001E-4</v>
      </c>
      <c r="X76" s="163">
        <v>7.2474427000000005E-8</v>
      </c>
      <c r="Y76">
        <v>1.6572719</v>
      </c>
      <c r="Z76">
        <v>3.7029976999999999E-2</v>
      </c>
      <c r="AA76" s="163">
        <v>1.9736359000000002E-9</v>
      </c>
      <c r="AB76">
        <v>2.2461258000000001E-3</v>
      </c>
      <c r="AC76">
        <v>1.5533805000000001</v>
      </c>
      <c r="AD76" s="163">
        <v>2.1385273000000002E-11</v>
      </c>
      <c r="AE76" s="163">
        <v>4.6028215999999999E-10</v>
      </c>
      <c r="AF76">
        <v>0.22942582</v>
      </c>
      <c r="AG76">
        <v>0</v>
      </c>
      <c r="AH76">
        <v>0</v>
      </c>
      <c r="AI76">
        <v>0.10962395</v>
      </c>
      <c r="AJ76">
        <v>0</v>
      </c>
      <c r="AK76">
        <v>0</v>
      </c>
      <c r="AL76">
        <v>2.7026659</v>
      </c>
      <c r="AM76">
        <v>0</v>
      </c>
      <c r="AN76">
        <v>0</v>
      </c>
      <c r="AO76">
        <v>0</v>
      </c>
      <c r="AP76">
        <v>1.6085121999999999E-3</v>
      </c>
      <c r="AQ76" s="163">
        <v>9.1363251999999992E-6</v>
      </c>
      <c r="AR76">
        <v>8.9683557999999993E-3</v>
      </c>
      <c r="AS76" s="163">
        <v>2.7298079E-6</v>
      </c>
      <c r="AT76">
        <v>0</v>
      </c>
      <c r="AU76">
        <v>0</v>
      </c>
      <c r="AV76">
        <v>0</v>
      </c>
      <c r="AW76">
        <v>0</v>
      </c>
      <c r="AX76">
        <v>0</v>
      </c>
    </row>
    <row r="77" spans="1:50">
      <c r="A77" t="s">
        <v>1327</v>
      </c>
      <c r="B77" s="189">
        <f t="shared" si="1"/>
        <v>0.44981708613864002</v>
      </c>
      <c r="C77" s="163">
        <v>1.2493369E-5</v>
      </c>
      <c r="D77">
        <v>3.1610801000000001E-2</v>
      </c>
      <c r="E77">
        <v>4.0960973999999997</v>
      </c>
      <c r="F77" s="163">
        <v>6.9459251999999996E-7</v>
      </c>
      <c r="G77">
        <v>1.7934226E-3</v>
      </c>
      <c r="H77">
        <v>2.0055916999999999E-2</v>
      </c>
      <c r="I77">
        <v>2.4902745E-3</v>
      </c>
      <c r="J77">
        <v>1.3200126999999999</v>
      </c>
      <c r="K77">
        <v>3.4132482999999998E-2</v>
      </c>
      <c r="L77">
        <v>134.53711999999999</v>
      </c>
      <c r="M77">
        <v>7.1639679000000001E-3</v>
      </c>
      <c r="N77">
        <v>3.3295067999999999</v>
      </c>
      <c r="O77">
        <v>4.1707991</v>
      </c>
      <c r="P77">
        <v>-0.84561023999999996</v>
      </c>
      <c r="Q77">
        <v>4.31796E-3</v>
      </c>
      <c r="R77" s="163">
        <v>7.2488721000000002E-7</v>
      </c>
      <c r="S77">
        <v>2.4233429000000001E-2</v>
      </c>
      <c r="T77">
        <v>2.7025817999999999E-4</v>
      </c>
      <c r="U77">
        <v>3.7462099999999998E-3</v>
      </c>
      <c r="V77">
        <v>4.5402893999999999E-2</v>
      </c>
      <c r="W77">
        <v>1.2523446000000001E-2</v>
      </c>
      <c r="X77" s="163">
        <v>1.2493560000000001E-5</v>
      </c>
      <c r="Y77">
        <v>58.422274000000002</v>
      </c>
      <c r="Z77">
        <v>2.0356247000000001</v>
      </c>
      <c r="AA77" s="163">
        <v>2.5203827999999998E-7</v>
      </c>
      <c r="AB77">
        <v>0.18152531999999999</v>
      </c>
      <c r="AC77">
        <v>88.701311000000004</v>
      </c>
      <c r="AD77" s="163">
        <v>1.6148369E-9</v>
      </c>
      <c r="AE77" s="163">
        <v>1.1808104E-7</v>
      </c>
      <c r="AF77">
        <v>83.410854</v>
      </c>
      <c r="AG77">
        <v>0</v>
      </c>
      <c r="AH77">
        <v>0</v>
      </c>
      <c r="AI77">
        <v>30.093098000000001</v>
      </c>
      <c r="AJ77">
        <v>0</v>
      </c>
      <c r="AK77">
        <v>0</v>
      </c>
      <c r="AL77">
        <v>62.63693</v>
      </c>
      <c r="AM77">
        <v>0</v>
      </c>
      <c r="AN77">
        <v>0</v>
      </c>
      <c r="AO77">
        <v>0</v>
      </c>
      <c r="AP77">
        <v>5.5698698999999997E-2</v>
      </c>
      <c r="AQ77" s="163">
        <v>7.8955492000000005E-5</v>
      </c>
      <c r="AR77">
        <v>0.35707787000000002</v>
      </c>
      <c r="AS77">
        <v>1.7226306E-4</v>
      </c>
      <c r="AT77">
        <v>0</v>
      </c>
      <c r="AU77">
        <v>0</v>
      </c>
      <c r="AV77">
        <v>0</v>
      </c>
      <c r="AW77">
        <v>0</v>
      </c>
      <c r="AX77">
        <v>0</v>
      </c>
    </row>
    <row r="78" spans="1:50">
      <c r="A78" t="s">
        <v>695</v>
      </c>
      <c r="B78" s="189">
        <f t="shared" si="1"/>
        <v>3.9128984200961198E-2</v>
      </c>
      <c r="C78" s="163">
        <v>6.1645782000000004E-7</v>
      </c>
      <c r="D78">
        <v>1.6501090999999999E-3</v>
      </c>
      <c r="E78">
        <v>0.47210642000000003</v>
      </c>
      <c r="F78" s="163">
        <v>2.3544976999999999E-8</v>
      </c>
      <c r="G78">
        <v>1.0846457E-4</v>
      </c>
      <c r="H78">
        <v>1.0544292E-3</v>
      </c>
      <c r="I78">
        <v>1.5449944999999999E-4</v>
      </c>
      <c r="J78">
        <v>9.5795219000000001E-2</v>
      </c>
      <c r="K78">
        <v>1.6768861000000001E-3</v>
      </c>
      <c r="L78">
        <v>7.2616101000000004</v>
      </c>
      <c r="M78">
        <v>5.9437449000000005E-4</v>
      </c>
      <c r="N78">
        <v>0.47740834999999998</v>
      </c>
      <c r="O78">
        <v>0.47483524999999999</v>
      </c>
      <c r="P78">
        <v>2.3935622999999998E-3</v>
      </c>
      <c r="Q78">
        <v>1.7953551999999999E-4</v>
      </c>
      <c r="R78" s="163">
        <v>2.8204958E-8</v>
      </c>
      <c r="S78">
        <v>1.3286890000000001E-3</v>
      </c>
      <c r="T78" s="163">
        <v>1.0018206999999999E-5</v>
      </c>
      <c r="U78">
        <v>3.0368765999999999E-4</v>
      </c>
      <c r="V78">
        <v>3.5788116000000001E-3</v>
      </c>
      <c r="W78">
        <v>9.7229825E-4</v>
      </c>
      <c r="X78" s="163">
        <v>6.1646205999999996E-7</v>
      </c>
      <c r="Y78">
        <v>3.11829</v>
      </c>
      <c r="Z78">
        <v>6.7377489999999998E-2</v>
      </c>
      <c r="AA78" s="163">
        <v>1.0785242E-8</v>
      </c>
      <c r="AB78">
        <v>1.0448995000000001E-2</v>
      </c>
      <c r="AC78">
        <v>4.8760716999999998</v>
      </c>
      <c r="AD78" s="163">
        <v>1.2275704999999999E-10</v>
      </c>
      <c r="AE78" s="163">
        <v>4.0669444999999998E-9</v>
      </c>
      <c r="AF78">
        <v>1.1962987</v>
      </c>
      <c r="AG78">
        <v>0</v>
      </c>
      <c r="AH78">
        <v>0</v>
      </c>
      <c r="AI78">
        <v>0.22766908999999999</v>
      </c>
      <c r="AJ78">
        <v>0</v>
      </c>
      <c r="AK78">
        <v>0</v>
      </c>
      <c r="AL78">
        <v>3.3319857000000002</v>
      </c>
      <c r="AM78">
        <v>0</v>
      </c>
      <c r="AN78">
        <v>0</v>
      </c>
      <c r="AO78">
        <v>0</v>
      </c>
      <c r="AP78">
        <v>1.9126757E-3</v>
      </c>
      <c r="AQ78" s="163">
        <v>6.4670068000000002E-6</v>
      </c>
      <c r="AR78">
        <v>3.0471610999999999E-2</v>
      </c>
      <c r="AS78" s="163">
        <v>1.2785443000000001E-5</v>
      </c>
      <c r="AT78">
        <v>0</v>
      </c>
      <c r="AU78">
        <v>0</v>
      </c>
      <c r="AV78">
        <v>0</v>
      </c>
      <c r="AW78">
        <v>0</v>
      </c>
      <c r="AX78">
        <v>0</v>
      </c>
    </row>
    <row r="79" spans="1:50">
      <c r="A79" t="s">
        <v>1328</v>
      </c>
      <c r="B79" s="189">
        <f t="shared" si="1"/>
        <v>0.23173998799735201</v>
      </c>
      <c r="C79" s="163">
        <v>6.6979972000000001E-6</v>
      </c>
      <c r="D79">
        <v>1.3760313999999999E-2</v>
      </c>
      <c r="E79">
        <v>1.8482784999999999</v>
      </c>
      <c r="F79" s="163">
        <v>1.2204626E-7</v>
      </c>
      <c r="G79">
        <v>5.5611432000000004E-4</v>
      </c>
      <c r="H79">
        <v>7.3120811999999999E-3</v>
      </c>
      <c r="I79">
        <v>1.4046557999999999E-3</v>
      </c>
      <c r="J79">
        <v>0.97822668999999995</v>
      </c>
      <c r="K79">
        <v>1.3179035E-2</v>
      </c>
      <c r="L79">
        <v>55.155023</v>
      </c>
      <c r="M79">
        <v>2.7658100000000001E-3</v>
      </c>
      <c r="N79">
        <v>1.8237719999999999</v>
      </c>
      <c r="O79">
        <v>1.8717537</v>
      </c>
      <c r="P79">
        <v>-5.0126335000000001E-2</v>
      </c>
      <c r="Q79">
        <v>2.1446153E-3</v>
      </c>
      <c r="R79" s="163">
        <v>1.3160164999999999E-7</v>
      </c>
      <c r="S79">
        <v>9.1269999999999997E-3</v>
      </c>
      <c r="T79">
        <v>2.2542079000000001E-4</v>
      </c>
      <c r="U79">
        <v>1.8026769000000001E-3</v>
      </c>
      <c r="V79">
        <v>2.2081519000000001E-2</v>
      </c>
      <c r="W79">
        <v>5.5446727999999999E-3</v>
      </c>
      <c r="X79" s="163">
        <v>6.6978240000000003E-6</v>
      </c>
      <c r="Y79">
        <v>25.620543999999999</v>
      </c>
      <c r="Z79">
        <v>0.32266982999999999</v>
      </c>
      <c r="AA79" s="163">
        <v>6.3097881000000005E-8</v>
      </c>
      <c r="AB79">
        <v>7.5746892999999996E-2</v>
      </c>
      <c r="AC79">
        <v>41.963327</v>
      </c>
      <c r="AD79" s="163">
        <v>7.0169994000000001E-10</v>
      </c>
      <c r="AE79" s="163">
        <v>1.6340938000000001E-8</v>
      </c>
      <c r="AF79">
        <v>10.553723</v>
      </c>
      <c r="AG79">
        <v>0</v>
      </c>
      <c r="AH79">
        <v>0</v>
      </c>
      <c r="AI79">
        <v>2.7103383000000001</v>
      </c>
      <c r="AJ79">
        <v>0</v>
      </c>
      <c r="AK79">
        <v>0</v>
      </c>
      <c r="AL79">
        <v>27.590554999999998</v>
      </c>
      <c r="AM79">
        <v>0</v>
      </c>
      <c r="AN79">
        <v>0</v>
      </c>
      <c r="AO79">
        <v>0</v>
      </c>
      <c r="AP79">
        <v>1.0950563E-2</v>
      </c>
      <c r="AQ79" s="163">
        <v>3.5393481000000001E-5</v>
      </c>
      <c r="AR79">
        <v>0.18270818999999999</v>
      </c>
      <c r="AS79" s="163">
        <v>6.1013469999999999E-5</v>
      </c>
      <c r="AT79">
        <v>0</v>
      </c>
      <c r="AU79">
        <v>0</v>
      </c>
      <c r="AV79">
        <v>0</v>
      </c>
      <c r="AW79">
        <v>0</v>
      </c>
      <c r="AX79">
        <v>0</v>
      </c>
    </row>
    <row r="80" spans="1:50">
      <c r="A80" t="s">
        <v>1329</v>
      </c>
      <c r="B80" s="189">
        <f t="shared" si="1"/>
        <v>0.10457366203068602</v>
      </c>
      <c r="C80" s="163">
        <v>5.9847540999999998E-6</v>
      </c>
      <c r="D80">
        <v>4.1448379999999996E-3</v>
      </c>
      <c r="E80">
        <v>0.57456300000000005</v>
      </c>
      <c r="F80" s="163">
        <v>5.2258300999999997E-8</v>
      </c>
      <c r="G80">
        <v>3.5652109999999998E-4</v>
      </c>
      <c r="H80">
        <v>3.8248746E-3</v>
      </c>
      <c r="I80">
        <v>5.4591774000000001E-4</v>
      </c>
      <c r="J80">
        <v>0.57015519000000003</v>
      </c>
      <c r="K80">
        <v>8.4980414999999993E-3</v>
      </c>
      <c r="L80">
        <v>25.491727999999998</v>
      </c>
      <c r="M80">
        <v>2.2655205999999998E-3</v>
      </c>
      <c r="N80">
        <v>0.48206999</v>
      </c>
      <c r="O80">
        <v>0.55845184999999997</v>
      </c>
      <c r="P80">
        <v>-7.7389126000000003E-2</v>
      </c>
      <c r="Q80">
        <v>1.0072593E-3</v>
      </c>
      <c r="R80" s="163">
        <v>6.1351161000000006E-8</v>
      </c>
      <c r="S80">
        <v>4.6908458999999998E-3</v>
      </c>
      <c r="T80" s="163">
        <v>5.4261887999999997E-5</v>
      </c>
      <c r="U80">
        <v>9.1273126E-4</v>
      </c>
      <c r="V80">
        <v>1.0476437E-2</v>
      </c>
      <c r="W80">
        <v>2.9399482E-3</v>
      </c>
      <c r="X80" s="163">
        <v>5.9849061999999997E-6</v>
      </c>
      <c r="Y80">
        <v>7.8562586999999997</v>
      </c>
      <c r="Z80">
        <v>0.24327220999999999</v>
      </c>
      <c r="AA80" s="163">
        <v>5.6051335000000001E-8</v>
      </c>
      <c r="AB80">
        <v>2.6528429999999999E-2</v>
      </c>
      <c r="AC80">
        <v>28.374040999999998</v>
      </c>
      <c r="AD80" s="163">
        <v>5.3626769E-10</v>
      </c>
      <c r="AE80" s="163">
        <v>1.0909390000000001E-8</v>
      </c>
      <c r="AF80">
        <v>18.402273000000001</v>
      </c>
      <c r="AG80">
        <v>0</v>
      </c>
      <c r="AH80">
        <v>0</v>
      </c>
      <c r="AI80">
        <v>2.7079184999999999</v>
      </c>
      <c r="AJ80">
        <v>0</v>
      </c>
      <c r="AK80">
        <v>0</v>
      </c>
      <c r="AL80">
        <v>8.4147435000000002</v>
      </c>
      <c r="AM80">
        <v>0</v>
      </c>
      <c r="AN80">
        <v>0</v>
      </c>
      <c r="AO80">
        <v>0</v>
      </c>
      <c r="AP80">
        <v>6.5112781999999998E-3</v>
      </c>
      <c r="AQ80" s="163">
        <v>1.2813059000000001E-5</v>
      </c>
      <c r="AR80">
        <v>0.13319202999999999</v>
      </c>
      <c r="AS80" s="163">
        <v>2.915862E-5</v>
      </c>
      <c r="AT80">
        <v>0</v>
      </c>
      <c r="AU80">
        <v>0</v>
      </c>
      <c r="AV80">
        <v>0</v>
      </c>
      <c r="AW80">
        <v>0</v>
      </c>
      <c r="AX80">
        <v>0</v>
      </c>
    </row>
    <row r="81" spans="1:50">
      <c r="A81" t="s">
        <v>1330</v>
      </c>
      <c r="B81" s="189">
        <f t="shared" si="1"/>
        <v>6.9247447416127011E-2</v>
      </c>
      <c r="C81" s="163">
        <v>8.2055702E-5</v>
      </c>
      <c r="D81">
        <v>2.1863367999999999E-3</v>
      </c>
      <c r="E81">
        <v>1.1105653</v>
      </c>
      <c r="F81" s="163">
        <v>9.5048269000000008E-9</v>
      </c>
      <c r="G81">
        <v>1.6022013999999999E-4</v>
      </c>
      <c r="H81">
        <v>1.3547858999999999E-3</v>
      </c>
      <c r="I81">
        <v>3.5479285000000001E-4</v>
      </c>
      <c r="J81">
        <v>3.8033804999999997E-2</v>
      </c>
      <c r="K81">
        <v>1.0854091000000001E-3</v>
      </c>
      <c r="L81">
        <v>9.0543762000000001</v>
      </c>
      <c r="M81">
        <v>1.0365432999999999E-3</v>
      </c>
      <c r="N81">
        <v>0</v>
      </c>
      <c r="O81">
        <v>0</v>
      </c>
      <c r="P81">
        <v>0</v>
      </c>
      <c r="Q81">
        <v>0</v>
      </c>
      <c r="R81">
        <v>0</v>
      </c>
      <c r="S81">
        <v>0</v>
      </c>
      <c r="T81">
        <v>0</v>
      </c>
      <c r="U81">
        <v>0</v>
      </c>
      <c r="V81">
        <v>0</v>
      </c>
      <c r="W81">
        <v>0</v>
      </c>
      <c r="X81">
        <v>0</v>
      </c>
      <c r="Y81">
        <v>0</v>
      </c>
      <c r="Z81">
        <v>0</v>
      </c>
      <c r="AA81">
        <v>0</v>
      </c>
      <c r="AB81">
        <v>0</v>
      </c>
      <c r="AC81">
        <v>0</v>
      </c>
      <c r="AD81">
        <v>0</v>
      </c>
      <c r="AE81">
        <v>0</v>
      </c>
      <c r="AF81">
        <v>0</v>
      </c>
      <c r="AG81">
        <v>0</v>
      </c>
      <c r="AH81">
        <v>0</v>
      </c>
      <c r="AI81">
        <v>0.17928896</v>
      </c>
      <c r="AJ81">
        <v>0</v>
      </c>
      <c r="AK81">
        <v>0</v>
      </c>
      <c r="AL81">
        <v>3.5522022999999998</v>
      </c>
      <c r="AM81">
        <v>0</v>
      </c>
      <c r="AN81">
        <v>0</v>
      </c>
      <c r="AO81">
        <v>0</v>
      </c>
      <c r="AP81">
        <v>1.6343925999999999E-3</v>
      </c>
      <c r="AQ81" s="163">
        <v>2.4195108E-5</v>
      </c>
      <c r="AR81">
        <v>1.459035E-2</v>
      </c>
      <c r="AS81">
        <v>0</v>
      </c>
      <c r="AT81">
        <v>0</v>
      </c>
      <c r="AU81">
        <v>0</v>
      </c>
      <c r="AV81">
        <v>0</v>
      </c>
      <c r="AW81">
        <v>0</v>
      </c>
      <c r="AX81">
        <v>0</v>
      </c>
    </row>
    <row r="82" spans="1:50">
      <c r="A82" t="s">
        <v>1331</v>
      </c>
      <c r="B82" s="189">
        <f t="shared" si="1"/>
        <v>3.8764170037280013E-2</v>
      </c>
      <c r="C82">
        <v>1.4169724E-4</v>
      </c>
      <c r="D82">
        <v>1.3642086E-3</v>
      </c>
      <c r="E82">
        <v>0.57093548000000005</v>
      </c>
      <c r="F82" s="163">
        <v>1.0867965999999999E-8</v>
      </c>
      <c r="G82" s="163">
        <v>8.8534886999999996E-5</v>
      </c>
      <c r="H82">
        <v>1.0213408E-3</v>
      </c>
      <c r="I82">
        <v>2.0115719000000001E-4</v>
      </c>
      <c r="J82">
        <v>3.1955643999999998E-2</v>
      </c>
      <c r="K82">
        <v>7.5771523000000001E-4</v>
      </c>
      <c r="L82">
        <v>9.6633005000000001</v>
      </c>
      <c r="M82">
        <v>6.3679855000000002E-4</v>
      </c>
      <c r="N82">
        <v>0</v>
      </c>
      <c r="O82">
        <v>0</v>
      </c>
      <c r="P82">
        <v>0</v>
      </c>
      <c r="Q82">
        <v>0</v>
      </c>
      <c r="R82">
        <v>0</v>
      </c>
      <c r="S82">
        <v>0</v>
      </c>
      <c r="T82">
        <v>0</v>
      </c>
      <c r="U82">
        <v>0</v>
      </c>
      <c r="V82">
        <v>0</v>
      </c>
      <c r="W82">
        <v>0</v>
      </c>
      <c r="X82">
        <v>0</v>
      </c>
      <c r="Y82">
        <v>0</v>
      </c>
      <c r="Z82">
        <v>0</v>
      </c>
      <c r="AA82">
        <v>0</v>
      </c>
      <c r="AB82">
        <v>0</v>
      </c>
      <c r="AC82">
        <v>0</v>
      </c>
      <c r="AD82">
        <v>0</v>
      </c>
      <c r="AE82">
        <v>0</v>
      </c>
      <c r="AF82">
        <v>0</v>
      </c>
      <c r="AG82">
        <v>0</v>
      </c>
      <c r="AH82">
        <v>0</v>
      </c>
      <c r="AI82">
        <v>0.13953333000000001</v>
      </c>
      <c r="AJ82">
        <v>0</v>
      </c>
      <c r="AK82">
        <v>0</v>
      </c>
      <c r="AL82">
        <v>2.21</v>
      </c>
      <c r="AM82">
        <v>0</v>
      </c>
      <c r="AN82">
        <v>0</v>
      </c>
      <c r="AO82">
        <v>0</v>
      </c>
      <c r="AP82">
        <v>5.8543332999999999E-4</v>
      </c>
      <c r="AQ82" s="163">
        <v>1.0876667E-5</v>
      </c>
      <c r="AR82">
        <v>8.5193332999999993E-3</v>
      </c>
      <c r="AS82">
        <v>0</v>
      </c>
      <c r="AT82">
        <v>0</v>
      </c>
      <c r="AU82">
        <v>0</v>
      </c>
      <c r="AV82">
        <v>0</v>
      </c>
      <c r="AW82">
        <v>0</v>
      </c>
      <c r="AX82">
        <v>0</v>
      </c>
    </row>
    <row r="83" spans="1:50">
      <c r="A83" t="s">
        <v>1332</v>
      </c>
      <c r="B83" s="189">
        <f t="shared" si="1"/>
        <v>2.4851101139800002E-2</v>
      </c>
      <c r="C83" s="163">
        <v>5.6029999999999999E-8</v>
      </c>
      <c r="D83">
        <v>1.0198500000000001E-3</v>
      </c>
      <c r="E83">
        <v>0.35685</v>
      </c>
      <c r="F83" s="163">
        <v>8.8725000000000005E-9</v>
      </c>
      <c r="G83" s="163">
        <v>7.1890000000000005E-5</v>
      </c>
      <c r="H83">
        <v>7.1695000000000005E-4</v>
      </c>
      <c r="I83">
        <v>1.3409500000000001E-4</v>
      </c>
      <c r="J83">
        <v>2.5805000000000002E-2</v>
      </c>
      <c r="K83">
        <v>5.9150000000000001E-4</v>
      </c>
      <c r="L83">
        <v>2.5024999999999999</v>
      </c>
      <c r="M83">
        <v>6.045E-4</v>
      </c>
      <c r="N83">
        <v>0</v>
      </c>
      <c r="O83">
        <v>0</v>
      </c>
      <c r="P83">
        <v>0</v>
      </c>
      <c r="Q83">
        <v>0</v>
      </c>
      <c r="R83">
        <v>0</v>
      </c>
      <c r="S83">
        <v>0</v>
      </c>
      <c r="T83">
        <v>0</v>
      </c>
      <c r="U83">
        <v>0</v>
      </c>
      <c r="V83">
        <v>0</v>
      </c>
      <c r="W83">
        <v>0</v>
      </c>
      <c r="X83">
        <v>0</v>
      </c>
      <c r="Y83">
        <v>0</v>
      </c>
      <c r="Z83">
        <v>0</v>
      </c>
      <c r="AA83">
        <v>0</v>
      </c>
      <c r="AB83">
        <v>0</v>
      </c>
      <c r="AC83">
        <v>0</v>
      </c>
      <c r="AD83">
        <v>0</v>
      </c>
      <c r="AE83">
        <v>0</v>
      </c>
      <c r="AF83">
        <v>0</v>
      </c>
      <c r="AG83">
        <v>0</v>
      </c>
      <c r="AH83">
        <v>0</v>
      </c>
      <c r="AI83">
        <v>0.12701000000000001</v>
      </c>
      <c r="AJ83">
        <v>0</v>
      </c>
      <c r="AK83">
        <v>0</v>
      </c>
      <c r="AL83">
        <v>2.0865</v>
      </c>
      <c r="AM83">
        <v>0</v>
      </c>
      <c r="AN83">
        <v>0</v>
      </c>
      <c r="AO83">
        <v>0</v>
      </c>
      <c r="AP83">
        <v>5.8175000000000002E-4</v>
      </c>
      <c r="AQ83" s="163">
        <v>1.0139999999999999E-5</v>
      </c>
      <c r="AR83">
        <v>8.9569999999999997E-3</v>
      </c>
      <c r="AS83">
        <v>0</v>
      </c>
      <c r="AT83">
        <v>0</v>
      </c>
      <c r="AU83">
        <v>0</v>
      </c>
      <c r="AV83">
        <v>0</v>
      </c>
      <c r="AW83">
        <v>0</v>
      </c>
      <c r="AX83">
        <v>0</v>
      </c>
    </row>
    <row r="84" spans="1:50">
      <c r="A84" t="s">
        <v>1333</v>
      </c>
      <c r="B84" s="189">
        <f t="shared" si="1"/>
        <v>2.5770260538791598E-2</v>
      </c>
      <c r="C84" s="163">
        <v>2.0693701000000001E-7</v>
      </c>
      <c r="D84">
        <v>9.7952174999999995E-4</v>
      </c>
      <c r="E84">
        <v>0.26927994</v>
      </c>
      <c r="F84" s="163">
        <v>1.3124829E-8</v>
      </c>
      <c r="G84" s="163">
        <v>7.0726485999999996E-5</v>
      </c>
      <c r="H84">
        <v>8.0355536000000004E-4</v>
      </c>
      <c r="I84">
        <v>1.1405057000000001E-4</v>
      </c>
      <c r="J84">
        <v>8.0742795000000006E-2</v>
      </c>
      <c r="K84">
        <v>1.076217E-3</v>
      </c>
      <c r="L84">
        <v>4.4476668000000004</v>
      </c>
      <c r="M84">
        <v>3.8464869999999999E-4</v>
      </c>
      <c r="N84">
        <v>0.27179009999999998</v>
      </c>
      <c r="O84">
        <v>0.26622220000000002</v>
      </c>
      <c r="P84">
        <v>5.4578125E-3</v>
      </c>
      <c r="Q84">
        <v>1.1008896999999999E-4</v>
      </c>
      <c r="R84" s="163">
        <v>1.5922707999999999E-8</v>
      </c>
      <c r="S84">
        <v>1.0118826E-3</v>
      </c>
      <c r="T84" s="163">
        <v>5.9860933E-6</v>
      </c>
      <c r="U84">
        <v>2.4072169000000001E-4</v>
      </c>
      <c r="V84">
        <v>2.7671358999999999E-3</v>
      </c>
      <c r="W84">
        <v>7.4005128999999996E-4</v>
      </c>
      <c r="X84" s="163">
        <v>2.0692527999999999E-7</v>
      </c>
      <c r="Y84">
        <v>1.8083787</v>
      </c>
      <c r="Z84">
        <v>7.2848994E-2</v>
      </c>
      <c r="AA84" s="163">
        <v>1.0437247E-8</v>
      </c>
      <c r="AB84">
        <v>6.3613226000000002E-3</v>
      </c>
      <c r="AC84">
        <v>4.5489685</v>
      </c>
      <c r="AD84" s="163">
        <v>7.6194225E-11</v>
      </c>
      <c r="AE84" s="163">
        <v>2.3512801999999998E-9</v>
      </c>
      <c r="AF84">
        <v>1.5367633000000001</v>
      </c>
      <c r="AG84">
        <v>0</v>
      </c>
      <c r="AH84">
        <v>0</v>
      </c>
      <c r="AI84">
        <v>0.21749577</v>
      </c>
      <c r="AJ84">
        <v>0</v>
      </c>
      <c r="AK84">
        <v>0</v>
      </c>
      <c r="AL84">
        <v>1.9186449000000001</v>
      </c>
      <c r="AM84">
        <v>0</v>
      </c>
      <c r="AN84">
        <v>0</v>
      </c>
      <c r="AO84">
        <v>0</v>
      </c>
      <c r="AP84">
        <v>1.9361745999999999E-3</v>
      </c>
      <c r="AQ84" s="163">
        <v>3.9320027999999998E-6</v>
      </c>
      <c r="AR84">
        <v>3.3117049000000003E-2</v>
      </c>
      <c r="AS84" s="163">
        <v>8.0078278999999998E-6</v>
      </c>
      <c r="AT84">
        <v>0</v>
      </c>
      <c r="AU84">
        <v>0</v>
      </c>
      <c r="AV84">
        <v>0</v>
      </c>
      <c r="AW84">
        <v>0</v>
      </c>
      <c r="AX84">
        <v>0</v>
      </c>
    </row>
    <row r="85" spans="1:50">
      <c r="A85" t="s">
        <v>1334</v>
      </c>
      <c r="B85" s="189">
        <f t="shared" si="1"/>
        <v>2.3002468579873002E-2</v>
      </c>
      <c r="C85" s="163">
        <v>1.5807121000000001E-5</v>
      </c>
      <c r="D85">
        <v>9.6110778999999999E-4</v>
      </c>
      <c r="E85">
        <v>0.29732057000000001</v>
      </c>
      <c r="F85" s="163">
        <v>8.8985571000000002E-9</v>
      </c>
      <c r="G85" s="163">
        <v>8.6745009000000002E-5</v>
      </c>
      <c r="H85">
        <v>4.9108471000000001E-4</v>
      </c>
      <c r="I85">
        <v>1.0974887E-4</v>
      </c>
      <c r="J85">
        <v>4.8126112999999998E-2</v>
      </c>
      <c r="K85">
        <v>7.0446813000000002E-3</v>
      </c>
      <c r="L85">
        <v>2.9552043000000001</v>
      </c>
      <c r="M85">
        <v>2.6811684E-4</v>
      </c>
      <c r="N85">
        <v>8.8038447000000006E-2</v>
      </c>
      <c r="O85">
        <v>8.7686990000000006E-2</v>
      </c>
      <c r="P85">
        <v>3.225061E-4</v>
      </c>
      <c r="Q85" s="163">
        <v>2.8950617999999999E-5</v>
      </c>
      <c r="R85" s="163">
        <v>7.9481571999999999E-9</v>
      </c>
      <c r="S85">
        <v>2.9009830999999998E-4</v>
      </c>
      <c r="T85" s="163">
        <v>2.7825454999999999E-6</v>
      </c>
      <c r="U85" s="163">
        <v>6.1396832000000002E-5</v>
      </c>
      <c r="V85">
        <v>6.7880584999999995E-4</v>
      </c>
      <c r="W85">
        <v>2.4906766000000002E-4</v>
      </c>
      <c r="X85" s="163">
        <v>2.165411E-7</v>
      </c>
      <c r="Y85">
        <v>1.1180228000000001</v>
      </c>
      <c r="Z85">
        <v>6.2947034999999998E-2</v>
      </c>
      <c r="AA85" s="163">
        <v>2.4724533999999999E-9</v>
      </c>
      <c r="AB85">
        <v>2.7403184E-3</v>
      </c>
      <c r="AC85">
        <v>1.6583890999999999</v>
      </c>
      <c r="AD85" s="163">
        <v>7.1161974999999999E-11</v>
      </c>
      <c r="AE85" s="163">
        <v>8.0348734999999997E-10</v>
      </c>
      <c r="AF85">
        <v>0.31061290000000003</v>
      </c>
      <c r="AG85">
        <v>0</v>
      </c>
      <c r="AH85">
        <v>0</v>
      </c>
      <c r="AI85">
        <v>9.3452451000000006E-2</v>
      </c>
      <c r="AJ85">
        <v>0</v>
      </c>
      <c r="AK85">
        <v>0</v>
      </c>
      <c r="AL85">
        <v>1.8693682</v>
      </c>
      <c r="AM85">
        <v>0</v>
      </c>
      <c r="AN85">
        <v>0</v>
      </c>
      <c r="AO85">
        <v>0</v>
      </c>
      <c r="AP85">
        <v>1.9206850000000001E-3</v>
      </c>
      <c r="AQ85" s="163">
        <v>5.5683515999999997E-6</v>
      </c>
      <c r="AR85">
        <v>1.0258289E-2</v>
      </c>
      <c r="AS85" s="163">
        <v>3.2329800000000001E-6</v>
      </c>
      <c r="AT85">
        <v>0</v>
      </c>
      <c r="AU85">
        <v>0</v>
      </c>
      <c r="AV85">
        <v>0</v>
      </c>
      <c r="AW85">
        <v>0</v>
      </c>
      <c r="AX85">
        <v>0</v>
      </c>
    </row>
    <row r="86" spans="1:50">
      <c r="A86" t="s">
        <v>1335</v>
      </c>
      <c r="B86" s="189">
        <f t="shared" si="1"/>
        <v>0.25586683858372</v>
      </c>
      <c r="C86" s="163">
        <v>1.7336792000000001E-5</v>
      </c>
      <c r="D86">
        <v>1.2132965000000001E-2</v>
      </c>
      <c r="E86">
        <v>1.9807048</v>
      </c>
      <c r="F86" s="163">
        <v>2.397935E-7</v>
      </c>
      <c r="G86">
        <v>8.5366425000000005E-4</v>
      </c>
      <c r="H86">
        <v>1.2614815E-2</v>
      </c>
      <c r="I86">
        <v>1.9177605999999999E-3</v>
      </c>
      <c r="J86">
        <v>0.80964537999999997</v>
      </c>
      <c r="K86">
        <v>6.5041527000000002E-2</v>
      </c>
      <c r="L86">
        <v>104.2059</v>
      </c>
      <c r="M86">
        <v>3.5667097000000002E-3</v>
      </c>
      <c r="N86">
        <v>2.0578028000000002</v>
      </c>
      <c r="O86">
        <v>2.0536631999999999</v>
      </c>
      <c r="P86">
        <v>2.2813093000000001E-3</v>
      </c>
      <c r="Q86">
        <v>1.8582167E-3</v>
      </c>
      <c r="R86" s="163">
        <v>2.5775694000000002E-7</v>
      </c>
      <c r="S86">
        <v>1.5475877000000001E-2</v>
      </c>
      <c r="T86">
        <v>1.4710152E-4</v>
      </c>
      <c r="U86">
        <v>1.9154159E-3</v>
      </c>
      <c r="V86">
        <v>2.7989752999999999E-2</v>
      </c>
      <c r="W86">
        <v>6.0344531999999996E-3</v>
      </c>
      <c r="X86" s="163">
        <v>1.7341787000000002E-5</v>
      </c>
      <c r="Y86">
        <v>22.452594000000001</v>
      </c>
      <c r="Z86">
        <v>1.7408414999999999</v>
      </c>
      <c r="AA86" s="163">
        <v>1.2279330000000001E-7</v>
      </c>
      <c r="AB86">
        <v>6.9519578999999998E-2</v>
      </c>
      <c r="AC86">
        <v>46.399304000000001</v>
      </c>
      <c r="AD86" s="163">
        <v>1.7862565999999999E-9</v>
      </c>
      <c r="AE86" s="163">
        <v>4.4444335999999999E-8</v>
      </c>
      <c r="AF86">
        <v>8.9835366000000008</v>
      </c>
      <c r="AG86">
        <v>0</v>
      </c>
      <c r="AH86">
        <v>0</v>
      </c>
      <c r="AI86">
        <v>1.5543501</v>
      </c>
      <c r="AJ86">
        <v>0</v>
      </c>
      <c r="AK86">
        <v>0</v>
      </c>
      <c r="AL86">
        <v>24.100242999999999</v>
      </c>
      <c r="AM86">
        <v>0</v>
      </c>
      <c r="AN86">
        <v>0</v>
      </c>
      <c r="AO86">
        <v>0</v>
      </c>
      <c r="AP86">
        <v>4.3017623999999997E-2</v>
      </c>
      <c r="AQ86" s="163">
        <v>3.2696829000000001E-5</v>
      </c>
      <c r="AR86">
        <v>0.37454896999999998</v>
      </c>
      <c r="AS86" s="163">
        <v>6.9759358E-5</v>
      </c>
      <c r="AT86">
        <v>0</v>
      </c>
      <c r="AU86">
        <v>0</v>
      </c>
      <c r="AV86">
        <v>0</v>
      </c>
      <c r="AW86">
        <v>0</v>
      </c>
      <c r="AX86">
        <v>0</v>
      </c>
    </row>
    <row r="87" spans="1:50">
      <c r="A87" t="s">
        <v>1336</v>
      </c>
      <c r="B87" s="189">
        <f t="shared" si="1"/>
        <v>0.32464882416423996</v>
      </c>
      <c r="C87" s="163">
        <v>4.4958439999999997E-6</v>
      </c>
      <c r="D87">
        <v>2.9199894000000001E-2</v>
      </c>
      <c r="E87">
        <v>1.8769479</v>
      </c>
      <c r="F87" s="163">
        <v>1.4120444000000001E-7</v>
      </c>
      <c r="G87">
        <v>2.9162950000000002E-3</v>
      </c>
      <c r="H87">
        <v>7.0970559000000004E-3</v>
      </c>
      <c r="I87">
        <v>9.6342200999999998E-4</v>
      </c>
      <c r="J87">
        <v>1.9711388999999999</v>
      </c>
      <c r="K87">
        <v>1.9193024E-2</v>
      </c>
      <c r="L87">
        <v>51.373983000000003</v>
      </c>
      <c r="M87">
        <v>1.9531491E-3</v>
      </c>
      <c r="N87">
        <v>1.9554053</v>
      </c>
      <c r="O87">
        <v>1.9553807999999999</v>
      </c>
      <c r="P87">
        <v>-6.5898265000000002E-4</v>
      </c>
      <c r="Q87">
        <v>6.8348564E-4</v>
      </c>
      <c r="R87" s="163">
        <v>1.5484983999999999E-7</v>
      </c>
      <c r="S87">
        <v>8.7208580999999993E-3</v>
      </c>
      <c r="T87" s="163">
        <v>7.9246917999999998E-5</v>
      </c>
      <c r="U87">
        <v>1.3779218999999999E-3</v>
      </c>
      <c r="V87">
        <v>1.7825012000000001E-2</v>
      </c>
      <c r="W87">
        <v>8.8898346000000003E-3</v>
      </c>
      <c r="X87" s="163">
        <v>4.4964281999999996E-6</v>
      </c>
      <c r="Y87">
        <v>58.117311000000001</v>
      </c>
      <c r="Z87">
        <v>1.6445268</v>
      </c>
      <c r="AA87" s="163">
        <v>9.0489375999999998E-8</v>
      </c>
      <c r="AB87">
        <v>3.9961509999999999E-2</v>
      </c>
      <c r="AC87">
        <v>23.592289000000001</v>
      </c>
      <c r="AD87" s="163">
        <v>3.3971662999999998E-9</v>
      </c>
      <c r="AE87" s="163">
        <v>1.6423868E-8</v>
      </c>
      <c r="AF87">
        <v>3.1003221999999999</v>
      </c>
      <c r="AG87">
        <v>0</v>
      </c>
      <c r="AH87">
        <v>0</v>
      </c>
      <c r="AI87">
        <v>0.81786574000000001</v>
      </c>
      <c r="AJ87">
        <v>0</v>
      </c>
      <c r="AK87">
        <v>0</v>
      </c>
      <c r="AL87">
        <v>62.479405</v>
      </c>
      <c r="AM87">
        <v>0</v>
      </c>
      <c r="AN87">
        <v>0</v>
      </c>
      <c r="AO87">
        <v>0</v>
      </c>
      <c r="AP87">
        <v>3.9552354999999997E-2</v>
      </c>
      <c r="AQ87" s="163">
        <v>1.8209009999999999E-5</v>
      </c>
      <c r="AR87">
        <v>9.3544909999999995E-2</v>
      </c>
      <c r="AS87" s="163">
        <v>4.4340162999999998E-5</v>
      </c>
      <c r="AT87">
        <v>0</v>
      </c>
      <c r="AU87">
        <v>0</v>
      </c>
      <c r="AV87">
        <v>0</v>
      </c>
      <c r="AW87">
        <v>0</v>
      </c>
      <c r="AX87">
        <v>0</v>
      </c>
    </row>
    <row r="88" spans="1:50">
      <c r="A88" t="s">
        <v>1337</v>
      </c>
      <c r="B88" s="189">
        <f t="shared" si="1"/>
        <v>3.7358487290503205E-4</v>
      </c>
      <c r="C88" s="163">
        <v>8.0591077000000008E-9</v>
      </c>
      <c r="D88" s="163">
        <v>2.2464746000000001E-5</v>
      </c>
      <c r="E88">
        <v>3.0680805000000001E-3</v>
      </c>
      <c r="F88" s="163">
        <v>5.3231885999999997E-10</v>
      </c>
      <c r="G88" s="163">
        <v>1.8997169000000001E-6</v>
      </c>
      <c r="H88" s="163">
        <v>1.4593604E-5</v>
      </c>
      <c r="I88" s="163">
        <v>2.9605207999999999E-6</v>
      </c>
      <c r="J88">
        <v>1.2714756E-3</v>
      </c>
      <c r="K88" s="163">
        <v>3.3337624000000003E-5</v>
      </c>
      <c r="L88">
        <v>0.12031517999999999</v>
      </c>
      <c r="M88" s="163">
        <v>4.7706967000000002E-6</v>
      </c>
      <c r="N88">
        <v>3.0993932999999999E-3</v>
      </c>
      <c r="O88">
        <v>3.0982286E-3</v>
      </c>
      <c r="P88" s="163">
        <v>-7.9820867000000004E-8</v>
      </c>
      <c r="Q88" s="163">
        <v>1.2444978999999999E-6</v>
      </c>
      <c r="R88" s="163">
        <v>6.6572872999999996E-10</v>
      </c>
      <c r="S88" s="163">
        <v>1.9513346000000001E-5</v>
      </c>
      <c r="T88" s="163">
        <v>6.3345095000000003E-8</v>
      </c>
      <c r="U88" s="163">
        <v>6.9708915999999996E-6</v>
      </c>
      <c r="V88" s="163">
        <v>7.7308212000000006E-5</v>
      </c>
      <c r="W88" s="163">
        <v>2.1641064999999999E-5</v>
      </c>
      <c r="X88" s="163">
        <v>8.0590795000000001E-9</v>
      </c>
      <c r="Y88">
        <v>4.6462233999999998E-2</v>
      </c>
      <c r="Z88">
        <v>3.5268307E-4</v>
      </c>
      <c r="AA88" s="163">
        <v>2.7779895999999998E-10</v>
      </c>
      <c r="AB88">
        <v>1.9668489E-4</v>
      </c>
      <c r="AC88">
        <v>3.6513683999999998E-2</v>
      </c>
      <c r="AD88" s="163">
        <v>1.5639324E-12</v>
      </c>
      <c r="AE88" s="163">
        <v>4.4940813E-11</v>
      </c>
      <c r="AF88">
        <v>3.7631590999999999E-2</v>
      </c>
      <c r="AG88">
        <v>0</v>
      </c>
      <c r="AH88">
        <v>0</v>
      </c>
      <c r="AI88">
        <v>7.7219924999999997E-4</v>
      </c>
      <c r="AJ88">
        <v>0</v>
      </c>
      <c r="AK88">
        <v>0</v>
      </c>
      <c r="AL88">
        <v>4.9333231999999998E-2</v>
      </c>
      <c r="AM88">
        <v>0</v>
      </c>
      <c r="AN88">
        <v>0</v>
      </c>
      <c r="AO88">
        <v>0</v>
      </c>
      <c r="AP88" s="163">
        <v>1.0132026999999999E-5</v>
      </c>
      <c r="AQ88" s="163">
        <v>3.4785361000000003E-8</v>
      </c>
      <c r="AR88">
        <v>2.4930718000000002E-3</v>
      </c>
      <c r="AS88" s="163">
        <v>3.0228113999999998E-7</v>
      </c>
      <c r="AT88">
        <v>0</v>
      </c>
      <c r="AU88">
        <v>0</v>
      </c>
      <c r="AV88">
        <v>0</v>
      </c>
      <c r="AW88">
        <v>0</v>
      </c>
      <c r="AX88">
        <v>0</v>
      </c>
    </row>
    <row r="89" spans="1:50">
      <c r="A89" t="s">
        <v>1338</v>
      </c>
      <c r="B89" s="189">
        <f t="shared" si="1"/>
        <v>2.5307089535114402E-2</v>
      </c>
      <c r="C89" s="163">
        <v>6.7104458999999998E-7</v>
      </c>
      <c r="D89">
        <v>1.0329891E-3</v>
      </c>
      <c r="E89">
        <v>0.26403913000000001</v>
      </c>
      <c r="F89" s="163">
        <v>1.3294485999999999E-8</v>
      </c>
      <c r="G89" s="163">
        <v>8.9349112000000001E-5</v>
      </c>
      <c r="H89">
        <v>8.3905625999999996E-4</v>
      </c>
      <c r="I89">
        <v>1.2099573E-4</v>
      </c>
      <c r="J89">
        <v>7.2340030999999999E-2</v>
      </c>
      <c r="K89">
        <v>4.4242292000000001E-3</v>
      </c>
      <c r="L89">
        <v>6.4506641</v>
      </c>
      <c r="M89">
        <v>4.5112778999999999E-4</v>
      </c>
      <c r="N89">
        <v>0.26760725000000002</v>
      </c>
      <c r="O89">
        <v>0.26697694</v>
      </c>
      <c r="P89">
        <v>5.2664045000000003E-4</v>
      </c>
      <c r="Q89">
        <v>1.0367342E-4</v>
      </c>
      <c r="R89" s="163">
        <v>1.5855329000000001E-8</v>
      </c>
      <c r="S89">
        <v>1.0488685000000001E-3</v>
      </c>
      <c r="T89" s="163">
        <v>9.1830139E-6</v>
      </c>
      <c r="U89">
        <v>2.3249261E-4</v>
      </c>
      <c r="V89">
        <v>2.6952891000000001E-3</v>
      </c>
      <c r="W89">
        <v>7.4715899999999995E-4</v>
      </c>
      <c r="X89" s="163">
        <v>6.7104843000000004E-7</v>
      </c>
      <c r="Y89">
        <v>1.915324</v>
      </c>
      <c r="Z89">
        <v>9.0017688999999998E-2</v>
      </c>
      <c r="AA89" s="163">
        <v>9.7193120999999994E-9</v>
      </c>
      <c r="AB89">
        <v>5.9413914999999996E-3</v>
      </c>
      <c r="AC89">
        <v>3.4285109999999999</v>
      </c>
      <c r="AD89" s="163">
        <v>1.4908830999999999E-10</v>
      </c>
      <c r="AE89" s="163">
        <v>3.8408563E-9</v>
      </c>
      <c r="AF89">
        <v>0.98582811999999997</v>
      </c>
      <c r="AG89">
        <v>0</v>
      </c>
      <c r="AH89">
        <v>0</v>
      </c>
      <c r="AI89">
        <v>0.13301472</v>
      </c>
      <c r="AJ89">
        <v>0</v>
      </c>
      <c r="AK89">
        <v>0</v>
      </c>
      <c r="AL89">
        <v>2.0383271000000001</v>
      </c>
      <c r="AM89">
        <v>0</v>
      </c>
      <c r="AN89">
        <v>0</v>
      </c>
      <c r="AO89">
        <v>0</v>
      </c>
      <c r="AP89">
        <v>2.3146040000000001E-3</v>
      </c>
      <c r="AQ89" s="163">
        <v>3.4404078E-6</v>
      </c>
      <c r="AR89">
        <v>3.8848858999999999E-2</v>
      </c>
      <c r="AS89" s="163">
        <v>7.3416457000000003E-6</v>
      </c>
      <c r="AT89">
        <v>0</v>
      </c>
      <c r="AU89">
        <v>0</v>
      </c>
      <c r="AV89">
        <v>0</v>
      </c>
      <c r="AW89">
        <v>0</v>
      </c>
      <c r="AX89">
        <v>0</v>
      </c>
    </row>
    <row r="90" spans="1:50">
      <c r="A90" t="s">
        <v>1339</v>
      </c>
      <c r="B90" s="189">
        <f t="shared" si="1"/>
        <v>5.4184808095919995E-2</v>
      </c>
      <c r="C90" s="163">
        <v>7.3199574999999998E-7</v>
      </c>
      <c r="D90">
        <v>2.2893038999999998E-3</v>
      </c>
      <c r="E90">
        <v>0.43806752999999998</v>
      </c>
      <c r="F90" s="163">
        <v>3.5214179999999998E-8</v>
      </c>
      <c r="G90">
        <v>2.0121240000000001E-4</v>
      </c>
      <c r="H90">
        <v>1.1993456000000001E-3</v>
      </c>
      <c r="I90">
        <v>1.849299E-4</v>
      </c>
      <c r="J90">
        <v>0.23539778</v>
      </c>
      <c r="K90">
        <v>3.1283464999999999E-3</v>
      </c>
      <c r="L90">
        <v>37.472430000000003</v>
      </c>
      <c r="M90">
        <v>3.8165886999999999E-4</v>
      </c>
      <c r="N90">
        <v>0.44248679000000002</v>
      </c>
      <c r="O90">
        <v>0.44276049000000001</v>
      </c>
      <c r="P90">
        <v>-4.2452187000000002E-4</v>
      </c>
      <c r="Q90">
        <v>1.5081984000000001E-4</v>
      </c>
      <c r="R90" s="163">
        <v>4.2185222000000002E-8</v>
      </c>
      <c r="S90">
        <v>1.5316224E-3</v>
      </c>
      <c r="T90" s="163">
        <v>9.2189420000000007E-6</v>
      </c>
      <c r="U90">
        <v>3.9734089000000001E-4</v>
      </c>
      <c r="V90">
        <v>4.5859550999999997E-3</v>
      </c>
      <c r="W90">
        <v>1.4028967000000001E-3</v>
      </c>
      <c r="X90" s="163">
        <v>7.3200796000000001E-7</v>
      </c>
      <c r="Y90">
        <v>4.4690960999999998</v>
      </c>
      <c r="Z90">
        <v>2.8486362000000001E-2</v>
      </c>
      <c r="AA90" s="163">
        <v>1.8780158000000001E-8</v>
      </c>
      <c r="AB90">
        <v>1.1797747000000001E-2</v>
      </c>
      <c r="AC90">
        <v>3.1950378000000001</v>
      </c>
      <c r="AD90" s="163">
        <v>4.5028733999999999E-10</v>
      </c>
      <c r="AE90" s="163">
        <v>3.3708759000000002E-9</v>
      </c>
      <c r="AF90">
        <v>1.3178099999999999</v>
      </c>
      <c r="AG90">
        <v>0</v>
      </c>
      <c r="AH90">
        <v>0</v>
      </c>
      <c r="AI90">
        <v>0.13963785000000001</v>
      </c>
      <c r="AJ90">
        <v>0</v>
      </c>
      <c r="AK90">
        <v>0</v>
      </c>
      <c r="AL90">
        <v>4.8341646999999996</v>
      </c>
      <c r="AM90">
        <v>0</v>
      </c>
      <c r="AN90">
        <v>0</v>
      </c>
      <c r="AO90">
        <v>0</v>
      </c>
      <c r="AP90">
        <v>9.4251432E-4</v>
      </c>
      <c r="AQ90" s="163">
        <v>8.9777067999999997E-6</v>
      </c>
      <c r="AR90">
        <v>6.2627301999999996E-2</v>
      </c>
      <c r="AS90" s="163">
        <v>1.5017494999999999E-5</v>
      </c>
      <c r="AT90">
        <v>0</v>
      </c>
      <c r="AU90">
        <v>0</v>
      </c>
      <c r="AV90">
        <v>0</v>
      </c>
      <c r="AW90">
        <v>0</v>
      </c>
      <c r="AX90">
        <v>0</v>
      </c>
    </row>
    <row r="91" spans="1:50">
      <c r="A91" t="s">
        <v>1340</v>
      </c>
      <c r="B91" s="189">
        <f t="shared" si="1"/>
        <v>0.59211186716495201</v>
      </c>
      <c r="C91" s="163">
        <v>8.6308046999999993E-6</v>
      </c>
      <c r="D91">
        <v>3.8869300000000002E-2</v>
      </c>
      <c r="E91">
        <v>2.8280208</v>
      </c>
      <c r="F91" s="163">
        <v>2.3056633999999999E-7</v>
      </c>
      <c r="G91">
        <v>6.9976776999999997E-3</v>
      </c>
      <c r="H91">
        <v>1.0511962E-2</v>
      </c>
      <c r="I91">
        <v>1.357249E-3</v>
      </c>
      <c r="J91">
        <v>4.1036688000000003</v>
      </c>
      <c r="K91">
        <v>1.5320982E-2</v>
      </c>
      <c r="L91">
        <v>62.623883999999997</v>
      </c>
      <c r="M91">
        <v>2.8797830999999999E-3</v>
      </c>
      <c r="N91">
        <v>2.9119169</v>
      </c>
      <c r="O91">
        <v>2.9161370999999998</v>
      </c>
      <c r="P91">
        <v>-5.5200021999999996E-3</v>
      </c>
      <c r="Q91">
        <v>1.2998489E-3</v>
      </c>
      <c r="R91" s="163">
        <v>2.6168118999999997E-7</v>
      </c>
      <c r="S91">
        <v>1.2657095E-2</v>
      </c>
      <c r="T91">
        <v>1.3638231E-4</v>
      </c>
      <c r="U91">
        <v>2.0662635000000002E-3</v>
      </c>
      <c r="V91">
        <v>2.4047544000000001E-2</v>
      </c>
      <c r="W91">
        <v>1.7873845999999999E-2</v>
      </c>
      <c r="X91" s="163">
        <v>8.6309903999999999E-6</v>
      </c>
      <c r="Y91">
        <v>76.992957000000004</v>
      </c>
      <c r="Z91">
        <v>0.87471734000000001</v>
      </c>
      <c r="AA91" s="163">
        <v>1.1690983E-7</v>
      </c>
      <c r="AB91">
        <v>9.5102060000000002E-2</v>
      </c>
      <c r="AC91">
        <v>39.755347999999998</v>
      </c>
      <c r="AD91" s="163">
        <v>6.1455037999999999E-9</v>
      </c>
      <c r="AE91" s="163">
        <v>2.3412202E-8</v>
      </c>
      <c r="AF91">
        <v>6.629842</v>
      </c>
      <c r="AG91">
        <v>0</v>
      </c>
      <c r="AH91">
        <v>0</v>
      </c>
      <c r="AI91">
        <v>1.3938355</v>
      </c>
      <c r="AJ91">
        <v>0</v>
      </c>
      <c r="AK91">
        <v>0</v>
      </c>
      <c r="AL91">
        <v>82.274743000000001</v>
      </c>
      <c r="AM91">
        <v>0</v>
      </c>
      <c r="AN91">
        <v>0</v>
      </c>
      <c r="AO91">
        <v>0</v>
      </c>
      <c r="AP91">
        <v>2.3031317999999999E-2</v>
      </c>
      <c r="AQ91" s="163">
        <v>2.4373438E-5</v>
      </c>
      <c r="AR91">
        <v>0.20139714</v>
      </c>
      <c r="AS91">
        <v>1.1660177E-4</v>
      </c>
      <c r="AT91">
        <v>0</v>
      </c>
      <c r="AU91">
        <v>0</v>
      </c>
      <c r="AV91">
        <v>0</v>
      </c>
      <c r="AW91">
        <v>0</v>
      </c>
      <c r="AX91">
        <v>0</v>
      </c>
    </row>
    <row r="92" spans="1:50">
      <c r="A92" t="s">
        <v>1341</v>
      </c>
      <c r="B92" s="189">
        <f t="shared" si="1"/>
        <v>152.94454784800001</v>
      </c>
      <c r="C92">
        <v>0.35371218999999998</v>
      </c>
      <c r="D92">
        <v>6.6043336999999998</v>
      </c>
      <c r="E92">
        <v>935.80457999999999</v>
      </c>
      <c r="F92">
        <v>1.0232712000000001E-4</v>
      </c>
      <c r="G92">
        <v>0.36844599</v>
      </c>
      <c r="H92">
        <v>4.9067360000000004</v>
      </c>
      <c r="I92">
        <v>4.5641635000000003</v>
      </c>
      <c r="J92">
        <v>357.51632000000001</v>
      </c>
      <c r="K92">
        <v>45.180055000000003</v>
      </c>
      <c r="L92">
        <v>95545.004000000001</v>
      </c>
      <c r="M92">
        <v>8.5047227000000003</v>
      </c>
      <c r="N92">
        <v>955.77364999999998</v>
      </c>
      <c r="O92">
        <v>952.41521</v>
      </c>
      <c r="P92">
        <v>1.9238568</v>
      </c>
      <c r="Q92">
        <v>1.434582</v>
      </c>
      <c r="R92" s="163">
        <v>9.8503760999999997E-5</v>
      </c>
      <c r="S92">
        <v>6.1574654999999998</v>
      </c>
      <c r="T92">
        <v>1.3369871</v>
      </c>
      <c r="U92">
        <v>1.2353357</v>
      </c>
      <c r="V92">
        <v>15.007554000000001</v>
      </c>
      <c r="W92">
        <v>3.6564708000000001</v>
      </c>
      <c r="X92">
        <v>0.35371240999999998</v>
      </c>
      <c r="Y92">
        <v>12161.04</v>
      </c>
      <c r="Z92">
        <v>209.56255999999999</v>
      </c>
      <c r="AA92" s="163">
        <v>5.0678611999999999E-5</v>
      </c>
      <c r="AB92">
        <v>50.330117999999999</v>
      </c>
      <c r="AC92">
        <v>59285.063000000002</v>
      </c>
      <c r="AD92" s="163">
        <v>7.3257190000000001E-7</v>
      </c>
      <c r="AE92" s="163">
        <v>4.8078726999999998E-5</v>
      </c>
      <c r="AF92">
        <v>4350.2992000000004</v>
      </c>
      <c r="AG92">
        <v>0</v>
      </c>
      <c r="AH92">
        <v>0</v>
      </c>
      <c r="AI92">
        <v>1126.9716000000001</v>
      </c>
      <c r="AJ92">
        <v>0</v>
      </c>
      <c r="AK92">
        <v>0</v>
      </c>
      <c r="AL92">
        <v>12942.088</v>
      </c>
      <c r="AM92">
        <v>0</v>
      </c>
      <c r="AN92">
        <v>0</v>
      </c>
      <c r="AO92">
        <v>0</v>
      </c>
      <c r="AP92">
        <v>7.6114883000000004</v>
      </c>
      <c r="AQ92">
        <v>1.8901076999999999E-2</v>
      </c>
      <c r="AR92">
        <v>83.974177999999995</v>
      </c>
      <c r="AS92">
        <v>4.0879706000000002E-2</v>
      </c>
      <c r="AT92">
        <v>0</v>
      </c>
      <c r="AU92">
        <v>0</v>
      </c>
      <c r="AV92">
        <v>0</v>
      </c>
      <c r="AW92">
        <v>0</v>
      </c>
      <c r="AX92">
        <v>0</v>
      </c>
    </row>
    <row r="93" spans="1:50">
      <c r="A93" t="s">
        <v>1342</v>
      </c>
      <c r="B93" s="189">
        <f t="shared" si="1"/>
        <v>14.272438395655</v>
      </c>
      <c r="C93">
        <v>3.2512060000000002E-2</v>
      </c>
      <c r="D93">
        <v>0.41429112000000001</v>
      </c>
      <c r="E93">
        <v>58.547879000000002</v>
      </c>
      <c r="F93" s="163">
        <v>4.5945485E-6</v>
      </c>
      <c r="G93">
        <v>0.10508832</v>
      </c>
      <c r="H93">
        <v>0.58155098999999999</v>
      </c>
      <c r="I93">
        <v>0.36949110000000002</v>
      </c>
      <c r="J93">
        <v>49.554071</v>
      </c>
      <c r="K93">
        <v>2.4548401000000002</v>
      </c>
      <c r="L93">
        <v>8393.4334999999992</v>
      </c>
      <c r="M93">
        <v>0.64604428999999997</v>
      </c>
      <c r="N93">
        <v>59.252760000000002</v>
      </c>
      <c r="O93">
        <v>59.672282000000003</v>
      </c>
      <c r="P93">
        <v>-0.50588672000000001</v>
      </c>
      <c r="Q93">
        <v>8.6364472999999997E-2</v>
      </c>
      <c r="R93" s="163">
        <v>4.7281235999999997E-6</v>
      </c>
      <c r="S93">
        <v>0.70115658000000003</v>
      </c>
      <c r="T93">
        <v>0.10793959</v>
      </c>
      <c r="U93">
        <v>9.8813657999999999E-2</v>
      </c>
      <c r="V93">
        <v>1.2189327999999999</v>
      </c>
      <c r="W93">
        <v>0.42248194</v>
      </c>
      <c r="X93">
        <v>3.2512390000000002E-2</v>
      </c>
      <c r="Y93">
        <v>772.70358999999996</v>
      </c>
      <c r="Z93">
        <v>18.011042</v>
      </c>
      <c r="AA93" s="163">
        <v>4.4333887999999998E-6</v>
      </c>
      <c r="AB93">
        <v>2.8318745999999999</v>
      </c>
      <c r="AC93">
        <v>6142.4784</v>
      </c>
      <c r="AD93" s="163">
        <v>7.0066166999999997E-8</v>
      </c>
      <c r="AE93" s="163">
        <v>3.9697911E-6</v>
      </c>
      <c r="AF93">
        <v>561.59064999999998</v>
      </c>
      <c r="AG93">
        <v>0</v>
      </c>
      <c r="AH93">
        <v>0</v>
      </c>
      <c r="AI93">
        <v>74.821327999999994</v>
      </c>
      <c r="AJ93">
        <v>0</v>
      </c>
      <c r="AK93">
        <v>0</v>
      </c>
      <c r="AL93">
        <v>823.28620000000001</v>
      </c>
      <c r="AM93">
        <v>0</v>
      </c>
      <c r="AN93">
        <v>0</v>
      </c>
      <c r="AO93">
        <v>0</v>
      </c>
      <c r="AP93">
        <v>0.55645330000000004</v>
      </c>
      <c r="AQ93">
        <v>1.8627509999999999E-3</v>
      </c>
      <c r="AR93">
        <v>7.9254211999999997</v>
      </c>
      <c r="AS93">
        <v>2.4612089000000002E-3</v>
      </c>
      <c r="AT93">
        <v>0</v>
      </c>
      <c r="AU93">
        <v>0</v>
      </c>
      <c r="AV93">
        <v>0</v>
      </c>
      <c r="AW93">
        <v>0</v>
      </c>
      <c r="AX93">
        <v>0</v>
      </c>
    </row>
    <row r="94" spans="1:50">
      <c r="A94" t="s">
        <v>1343</v>
      </c>
      <c r="B94" s="189">
        <f t="shared" si="1"/>
        <v>60.281711902929999</v>
      </c>
      <c r="C94">
        <v>0.12110362</v>
      </c>
      <c r="D94">
        <v>2.3421547999999999</v>
      </c>
      <c r="E94">
        <v>334.80892</v>
      </c>
      <c r="F94" s="163">
        <v>3.8822991E-5</v>
      </c>
      <c r="G94">
        <v>0.16067335999999999</v>
      </c>
      <c r="H94">
        <v>2.0937853999999998</v>
      </c>
      <c r="I94">
        <v>1.6413111</v>
      </c>
      <c r="J94">
        <v>168.45948000000001</v>
      </c>
      <c r="K94">
        <v>17.173290999999999</v>
      </c>
      <c r="L94">
        <v>38214.754999999997</v>
      </c>
      <c r="M94">
        <v>2.9944036000000001</v>
      </c>
      <c r="N94">
        <v>341.70799</v>
      </c>
      <c r="O94">
        <v>340.73912000000001</v>
      </c>
      <c r="P94">
        <v>0.42725431000000003</v>
      </c>
      <c r="Q94">
        <v>0.54161110999999995</v>
      </c>
      <c r="R94" s="163">
        <v>3.8133852E-5</v>
      </c>
      <c r="S94">
        <v>2.5822083999999998</v>
      </c>
      <c r="T94">
        <v>0.47777517000000003</v>
      </c>
      <c r="U94">
        <v>0.46012371000000002</v>
      </c>
      <c r="V94">
        <v>5.5544194999999998</v>
      </c>
      <c r="W94">
        <v>1.3947198999999999</v>
      </c>
      <c r="X94">
        <v>0.12110388</v>
      </c>
      <c r="Y94">
        <v>4339.8742000000002</v>
      </c>
      <c r="Z94">
        <v>84.458890999999994</v>
      </c>
      <c r="AA94" s="163">
        <v>1.8346741000000001E-5</v>
      </c>
      <c r="AB94">
        <v>17.693200999999998</v>
      </c>
      <c r="AC94">
        <v>22400.637999999999</v>
      </c>
      <c r="AD94" s="163">
        <v>3.1237158E-7</v>
      </c>
      <c r="AE94" s="163">
        <v>1.9298932999999999E-5</v>
      </c>
      <c r="AF94">
        <v>1657.8251</v>
      </c>
      <c r="AG94">
        <v>0</v>
      </c>
      <c r="AH94">
        <v>0</v>
      </c>
      <c r="AI94">
        <v>389.85892999999999</v>
      </c>
      <c r="AJ94">
        <v>0</v>
      </c>
      <c r="AK94">
        <v>0</v>
      </c>
      <c r="AL94">
        <v>4621.9982</v>
      </c>
      <c r="AM94">
        <v>0</v>
      </c>
      <c r="AN94">
        <v>0</v>
      </c>
      <c r="AO94">
        <v>0</v>
      </c>
      <c r="AP94">
        <v>2.8875825000000002</v>
      </c>
      <c r="AQ94">
        <v>1.5024361E-2</v>
      </c>
      <c r="AR94">
        <v>40.837907000000001</v>
      </c>
      <c r="AS94">
        <v>1.4872130000000001E-2</v>
      </c>
      <c r="AT94">
        <v>0</v>
      </c>
      <c r="AU94">
        <v>0</v>
      </c>
      <c r="AV94">
        <v>0</v>
      </c>
      <c r="AW94">
        <v>0</v>
      </c>
      <c r="AX94">
        <v>0</v>
      </c>
    </row>
    <row r="95" spans="1:50">
      <c r="A95" t="s">
        <v>1344</v>
      </c>
      <c r="B95" s="189">
        <f t="shared" si="1"/>
        <v>0.32560468220513999</v>
      </c>
      <c r="C95" s="163">
        <v>8.6150414000000006E-5</v>
      </c>
      <c r="D95">
        <v>3.7807496000000003E-2</v>
      </c>
      <c r="E95">
        <v>2.7253341999999998</v>
      </c>
      <c r="F95" s="163">
        <v>5.3985062999999996E-7</v>
      </c>
      <c r="G95">
        <v>3.4642529E-3</v>
      </c>
      <c r="H95">
        <v>1.3393481E-2</v>
      </c>
      <c r="I95">
        <v>1.7536387999999999E-3</v>
      </c>
      <c r="J95">
        <v>1.0845819999999999</v>
      </c>
      <c r="K95">
        <v>2.2548875999999999E-2</v>
      </c>
      <c r="L95">
        <v>84.720215999999994</v>
      </c>
      <c r="M95">
        <v>3.5457729999999999E-3</v>
      </c>
      <c r="N95">
        <v>2.7441220999999998</v>
      </c>
      <c r="O95">
        <v>2.7906276000000001</v>
      </c>
      <c r="P95">
        <v>-4.8456793999999997E-2</v>
      </c>
      <c r="Q95">
        <v>1.9513126E-3</v>
      </c>
      <c r="R95" s="163">
        <v>6.5865240999999999E-7</v>
      </c>
      <c r="S95">
        <v>1.6137312000000001E-2</v>
      </c>
      <c r="T95">
        <v>1.5463103000000001E-4</v>
      </c>
      <c r="U95">
        <v>2.3465333000000001E-3</v>
      </c>
      <c r="V95">
        <v>2.9082655999999998E-2</v>
      </c>
      <c r="W95">
        <v>1.2923824E-2</v>
      </c>
      <c r="X95" s="163">
        <v>8.6150597000000007E-5</v>
      </c>
      <c r="Y95">
        <v>79.205179999999999</v>
      </c>
      <c r="Z95">
        <v>1.6806741000000001</v>
      </c>
      <c r="AA95" s="163">
        <v>1.9863581E-7</v>
      </c>
      <c r="AB95">
        <v>0.24102923000000001</v>
      </c>
      <c r="AC95">
        <v>50.639336</v>
      </c>
      <c r="AD95" s="163">
        <v>1.0860516999999999E-9</v>
      </c>
      <c r="AE95" s="163">
        <v>2.9253289E-8</v>
      </c>
      <c r="AF95">
        <v>14.941083000000001</v>
      </c>
      <c r="AG95">
        <v>0</v>
      </c>
      <c r="AH95">
        <v>0</v>
      </c>
      <c r="AI95">
        <v>3.0062342000000002</v>
      </c>
      <c r="AJ95">
        <v>0</v>
      </c>
      <c r="AK95">
        <v>0</v>
      </c>
      <c r="AL95">
        <v>84.385373000000001</v>
      </c>
      <c r="AM95">
        <v>0</v>
      </c>
      <c r="AN95">
        <v>0</v>
      </c>
      <c r="AO95">
        <v>0</v>
      </c>
      <c r="AP95">
        <v>4.3675546000000003E-2</v>
      </c>
      <c r="AQ95" s="163">
        <v>3.5657024E-5</v>
      </c>
      <c r="AR95">
        <v>0.23490754999999999</v>
      </c>
      <c r="AS95">
        <v>3.2625973999999999E-4</v>
      </c>
      <c r="AT95">
        <v>0</v>
      </c>
      <c r="AU95">
        <v>0</v>
      </c>
      <c r="AV95">
        <v>0</v>
      </c>
      <c r="AW95">
        <v>0</v>
      </c>
      <c r="AX95">
        <v>0</v>
      </c>
    </row>
    <row r="96" spans="1:50">
      <c r="A96" t="s">
        <v>1345</v>
      </c>
      <c r="B96" s="189">
        <f t="shared" si="1"/>
        <v>0.89050464071703983</v>
      </c>
      <c r="C96" s="163">
        <v>1.6386209E-5</v>
      </c>
      <c r="D96">
        <v>3.996268E-2</v>
      </c>
      <c r="E96">
        <v>3.9273532000000002</v>
      </c>
      <c r="F96" s="163">
        <v>4.6003712000000002E-7</v>
      </c>
      <c r="G96">
        <v>4.1221599999999997E-3</v>
      </c>
      <c r="H96">
        <v>1.4715766999999999E-2</v>
      </c>
      <c r="I96">
        <v>3.3421062000000001E-3</v>
      </c>
      <c r="J96">
        <v>6.0236786999999996</v>
      </c>
      <c r="K96">
        <v>1.3223567000000001</v>
      </c>
      <c r="L96">
        <v>84.246972999999997</v>
      </c>
      <c r="M96">
        <v>5.2283985000000002E-3</v>
      </c>
      <c r="N96">
        <v>4.0395019000000003</v>
      </c>
      <c r="O96">
        <v>4.0402348999999997</v>
      </c>
      <c r="P96">
        <v>-3.3363366999999999E-3</v>
      </c>
      <c r="Q96">
        <v>2.6033356999999998E-3</v>
      </c>
      <c r="R96" s="163">
        <v>4.5444161E-7</v>
      </c>
      <c r="S96">
        <v>1.7909527000000001E-2</v>
      </c>
      <c r="T96">
        <v>2.6059698999999998E-4</v>
      </c>
      <c r="U96">
        <v>2.8824506000000001E-3</v>
      </c>
      <c r="V96">
        <v>3.5397277999999997E-2</v>
      </c>
      <c r="W96">
        <v>1.5010172E-2</v>
      </c>
      <c r="X96" s="163">
        <v>1.6386556E-5</v>
      </c>
      <c r="Y96">
        <v>78.010838000000007</v>
      </c>
      <c r="Z96">
        <v>1.8710633999999999</v>
      </c>
      <c r="AA96" s="163">
        <v>1.4975457000000001E-7</v>
      </c>
      <c r="AB96">
        <v>0.12836692999999999</v>
      </c>
      <c r="AC96">
        <v>177.68270000000001</v>
      </c>
      <c r="AD96" s="163">
        <v>9.9554838999999992E-9</v>
      </c>
      <c r="AE96" s="163">
        <v>4.6223445000000003E-8</v>
      </c>
      <c r="AF96">
        <v>9.8231721000000007</v>
      </c>
      <c r="AG96">
        <v>0</v>
      </c>
      <c r="AH96">
        <v>0</v>
      </c>
      <c r="AI96">
        <v>3.006596</v>
      </c>
      <c r="AJ96">
        <v>0</v>
      </c>
      <c r="AK96">
        <v>0</v>
      </c>
      <c r="AL96">
        <v>83.528649999999999</v>
      </c>
      <c r="AM96">
        <v>0</v>
      </c>
      <c r="AN96">
        <v>0</v>
      </c>
      <c r="AO96">
        <v>0</v>
      </c>
      <c r="AP96">
        <v>4.9460377999999999E-2</v>
      </c>
      <c r="AQ96" s="163">
        <v>4.9833500000000003E-5</v>
      </c>
      <c r="AR96">
        <v>0.32600912999999998</v>
      </c>
      <c r="AS96">
        <v>1.1419599E-4</v>
      </c>
      <c r="AT96">
        <v>0</v>
      </c>
      <c r="AU96">
        <v>0</v>
      </c>
      <c r="AV96">
        <v>0</v>
      </c>
      <c r="AW96">
        <v>0</v>
      </c>
      <c r="AX96">
        <v>0</v>
      </c>
    </row>
    <row r="97" spans="1:50">
      <c r="A97" t="s">
        <v>1346</v>
      </c>
      <c r="B97" s="189">
        <f t="shared" si="1"/>
        <v>0.89050464071703983</v>
      </c>
      <c r="C97" s="163">
        <v>1.6386209E-5</v>
      </c>
      <c r="D97">
        <v>3.996268E-2</v>
      </c>
      <c r="E97">
        <v>3.9273532000000002</v>
      </c>
      <c r="F97" s="163">
        <v>4.6003712000000002E-7</v>
      </c>
      <c r="G97">
        <v>4.1221599999999997E-3</v>
      </c>
      <c r="H97">
        <v>1.4715766999999999E-2</v>
      </c>
      <c r="I97">
        <v>3.3421062000000001E-3</v>
      </c>
      <c r="J97">
        <v>6.0236786999999996</v>
      </c>
      <c r="K97">
        <v>1.3223567000000001</v>
      </c>
      <c r="L97">
        <v>84.246972999999997</v>
      </c>
      <c r="M97">
        <v>5.2283985000000002E-3</v>
      </c>
      <c r="N97">
        <v>4.0395019000000003</v>
      </c>
      <c r="O97">
        <v>4.0402348999999997</v>
      </c>
      <c r="P97">
        <v>-3.3363366999999999E-3</v>
      </c>
      <c r="Q97">
        <v>2.6033356999999998E-3</v>
      </c>
      <c r="R97" s="163">
        <v>4.5444161E-7</v>
      </c>
      <c r="S97">
        <v>1.7909527000000001E-2</v>
      </c>
      <c r="T97">
        <v>2.6059698999999998E-4</v>
      </c>
      <c r="U97">
        <v>2.8824506000000001E-3</v>
      </c>
      <c r="V97">
        <v>3.5397277999999997E-2</v>
      </c>
      <c r="W97">
        <v>1.5010172E-2</v>
      </c>
      <c r="X97" s="163">
        <v>1.6386556E-5</v>
      </c>
      <c r="Y97">
        <v>78.010838000000007</v>
      </c>
      <c r="Z97">
        <v>1.8710633999999999</v>
      </c>
      <c r="AA97" s="163">
        <v>1.4975457000000001E-7</v>
      </c>
      <c r="AB97">
        <v>0.12836692999999999</v>
      </c>
      <c r="AC97">
        <v>177.68270000000001</v>
      </c>
      <c r="AD97" s="163">
        <v>9.9554838999999992E-9</v>
      </c>
      <c r="AE97" s="163">
        <v>4.6223445000000003E-8</v>
      </c>
      <c r="AF97">
        <v>9.8231721000000007</v>
      </c>
      <c r="AG97">
        <v>0</v>
      </c>
      <c r="AH97">
        <v>0</v>
      </c>
      <c r="AI97">
        <v>3.006596</v>
      </c>
      <c r="AJ97">
        <v>0</v>
      </c>
      <c r="AK97">
        <v>0</v>
      </c>
      <c r="AL97">
        <v>83.528649999999999</v>
      </c>
      <c r="AM97">
        <v>0</v>
      </c>
      <c r="AN97">
        <v>0</v>
      </c>
      <c r="AO97">
        <v>0</v>
      </c>
      <c r="AP97">
        <v>4.9460377999999999E-2</v>
      </c>
      <c r="AQ97" s="163">
        <v>4.9833500000000003E-5</v>
      </c>
      <c r="AR97">
        <v>0.32600912999999998</v>
      </c>
      <c r="AS97">
        <v>1.1419599E-4</v>
      </c>
      <c r="AT97">
        <v>0</v>
      </c>
      <c r="AU97">
        <v>0</v>
      </c>
      <c r="AV97">
        <v>0</v>
      </c>
      <c r="AW97">
        <v>0</v>
      </c>
      <c r="AX97">
        <v>0</v>
      </c>
    </row>
    <row r="98" spans="1:50">
      <c r="A98" t="s">
        <v>1347</v>
      </c>
      <c r="B98" s="189">
        <f t="shared" si="1"/>
        <v>0.41595641981666004</v>
      </c>
      <c r="C98" s="163">
        <v>1.9080865999999999E-5</v>
      </c>
      <c r="D98">
        <v>3.0244028999999999E-2</v>
      </c>
      <c r="E98">
        <v>2.9022556000000002</v>
      </c>
      <c r="F98" s="163">
        <v>4.2338147000000001E-7</v>
      </c>
      <c r="G98">
        <v>2.4055945999999998E-3</v>
      </c>
      <c r="H98">
        <v>1.5714556000000001E-2</v>
      </c>
      <c r="I98">
        <v>2.5025711999999999E-3</v>
      </c>
      <c r="J98">
        <v>1.7199393999999999</v>
      </c>
      <c r="K98">
        <v>7.8712872000000003E-2</v>
      </c>
      <c r="L98">
        <v>181.90028000000001</v>
      </c>
      <c r="M98">
        <v>7.5054439000000004E-3</v>
      </c>
      <c r="N98">
        <v>2.9596038</v>
      </c>
      <c r="O98">
        <v>2.9685426000000001</v>
      </c>
      <c r="P98">
        <v>-1.0598679999999999E-2</v>
      </c>
      <c r="Q98">
        <v>1.6598843E-3</v>
      </c>
      <c r="R98" s="163">
        <v>5.0884085999999999E-7</v>
      </c>
      <c r="S98">
        <v>2.0947423E-2</v>
      </c>
      <c r="T98">
        <v>1.8262939999999999E-4</v>
      </c>
      <c r="U98">
        <v>2.6938755999999999E-3</v>
      </c>
      <c r="V98">
        <v>5.3138646999999997E-2</v>
      </c>
      <c r="W98">
        <v>1.0203851999999999E-2</v>
      </c>
      <c r="X98" s="163">
        <v>1.9086306E-5</v>
      </c>
      <c r="Y98">
        <v>57.656385</v>
      </c>
      <c r="Z98">
        <v>4.9963401000000003</v>
      </c>
      <c r="AA98" s="163">
        <v>3.1658314999999998E-7</v>
      </c>
      <c r="AB98">
        <v>0.10223777000000001</v>
      </c>
      <c r="AC98">
        <v>45.617193999999998</v>
      </c>
      <c r="AD98" s="163">
        <v>5.0633013999999999E-8</v>
      </c>
      <c r="AE98" s="163">
        <v>4.0159175000000002E-8</v>
      </c>
      <c r="AF98">
        <v>12.432074</v>
      </c>
      <c r="AG98">
        <v>0</v>
      </c>
      <c r="AH98">
        <v>0</v>
      </c>
      <c r="AI98">
        <v>1.2505921</v>
      </c>
      <c r="AJ98">
        <v>0</v>
      </c>
      <c r="AK98">
        <v>0</v>
      </c>
      <c r="AL98">
        <v>62.767341000000002</v>
      </c>
      <c r="AM98">
        <v>0</v>
      </c>
      <c r="AN98">
        <v>0</v>
      </c>
      <c r="AO98">
        <v>0</v>
      </c>
      <c r="AP98">
        <v>0.11828002</v>
      </c>
      <c r="AQ98" s="163">
        <v>6.4228145999999995E-5</v>
      </c>
      <c r="AR98">
        <v>0.37625291</v>
      </c>
      <c r="AS98">
        <v>1.3517779000000001E-4</v>
      </c>
      <c r="AT98">
        <v>0</v>
      </c>
      <c r="AU98">
        <v>0</v>
      </c>
      <c r="AV98">
        <v>0</v>
      </c>
      <c r="AW98">
        <v>0</v>
      </c>
      <c r="AX98">
        <v>0</v>
      </c>
    </row>
    <row r="99" spans="1:50">
      <c r="A99" t="s">
        <v>1348</v>
      </c>
      <c r="B99" s="189">
        <f t="shared" si="1"/>
        <v>24.772609760256543</v>
      </c>
      <c r="C99">
        <v>4.0958385E-4</v>
      </c>
      <c r="D99">
        <v>1.3830439999999999E-2</v>
      </c>
      <c r="E99">
        <v>2.0940037</v>
      </c>
      <c r="F99" s="163">
        <v>8.8375017999999995E-8</v>
      </c>
      <c r="G99">
        <v>1.728771E-3</v>
      </c>
      <c r="H99">
        <v>1.7986096E-2</v>
      </c>
      <c r="I99">
        <v>2.1618917999999998E-3</v>
      </c>
      <c r="J99">
        <v>272.76850000000002</v>
      </c>
      <c r="K99">
        <v>1.4639083000000001E-2</v>
      </c>
      <c r="L99">
        <v>65.695519000000004</v>
      </c>
      <c r="M99">
        <v>0.24326406</v>
      </c>
      <c r="N99">
        <v>2.1561811999999998</v>
      </c>
      <c r="O99">
        <v>2.1343185999999998</v>
      </c>
      <c r="P99">
        <v>1.9885313000000002E-2</v>
      </c>
      <c r="Q99">
        <v>1.9772818999999999E-3</v>
      </c>
      <c r="R99" s="163">
        <v>9.6152705000000003E-8</v>
      </c>
      <c r="S99">
        <v>2.2487002999999998E-2</v>
      </c>
      <c r="T99">
        <v>1.2014425E-4</v>
      </c>
      <c r="U99">
        <v>4.8046764E-3</v>
      </c>
      <c r="V99">
        <v>5.7161107000000003E-2</v>
      </c>
      <c r="W99">
        <v>1.5603789E-2</v>
      </c>
      <c r="X99">
        <v>4.0958386999999998E-4</v>
      </c>
      <c r="Y99">
        <v>23.642509</v>
      </c>
      <c r="Z99">
        <v>0.59061571000000002</v>
      </c>
      <c r="AA99" s="163">
        <v>2.5774229000000003E-7</v>
      </c>
      <c r="AB99">
        <v>7.7097717999999996E-2</v>
      </c>
      <c r="AC99">
        <v>159.22137000000001</v>
      </c>
      <c r="AD99" s="163">
        <v>2.4885727000000002E-7</v>
      </c>
      <c r="AE99" s="163">
        <v>2.5053424999999999E-8</v>
      </c>
      <c r="AF99">
        <v>14.536322</v>
      </c>
      <c r="AG99">
        <v>0</v>
      </c>
      <c r="AH99">
        <v>0</v>
      </c>
      <c r="AI99">
        <v>10.063688000000001</v>
      </c>
      <c r="AJ99">
        <v>0</v>
      </c>
      <c r="AK99">
        <v>0</v>
      </c>
      <c r="AL99">
        <v>25.046938999999998</v>
      </c>
      <c r="AM99">
        <v>0</v>
      </c>
      <c r="AN99">
        <v>0</v>
      </c>
      <c r="AO99">
        <v>0</v>
      </c>
      <c r="AP99">
        <v>1.7313282999999999E-2</v>
      </c>
      <c r="AQ99" s="163">
        <v>2.4605528999999999E-5</v>
      </c>
      <c r="AR99">
        <v>3.9444249999999998</v>
      </c>
      <c r="AS99" s="163">
        <v>6.7902054999999998E-5</v>
      </c>
      <c r="AT99">
        <v>0</v>
      </c>
      <c r="AU99">
        <v>0</v>
      </c>
      <c r="AV99">
        <v>0</v>
      </c>
      <c r="AW99">
        <v>0</v>
      </c>
      <c r="AX99">
        <v>0</v>
      </c>
    </row>
    <row r="100" spans="1:50">
      <c r="A100" t="s">
        <v>1349</v>
      </c>
      <c r="B100" s="189">
        <f t="shared" si="1"/>
        <v>1.2259252209917799</v>
      </c>
      <c r="C100" s="163">
        <v>4.3024678000000001E-5</v>
      </c>
      <c r="D100">
        <v>5.9753924E-2</v>
      </c>
      <c r="E100">
        <v>9.0529779999999995</v>
      </c>
      <c r="F100" s="163">
        <v>4.3895210999999997E-7</v>
      </c>
      <c r="G100">
        <v>3.2460013000000002E-3</v>
      </c>
      <c r="H100">
        <v>4.9512638999999997E-2</v>
      </c>
      <c r="I100">
        <v>4.8334381000000003E-3</v>
      </c>
      <c r="J100">
        <v>4.8749491000000003</v>
      </c>
      <c r="K100">
        <v>0.17325893000000001</v>
      </c>
      <c r="L100">
        <v>703.98338999999999</v>
      </c>
      <c r="M100">
        <v>2.1843554000000001E-2</v>
      </c>
      <c r="N100">
        <v>9.2835988999999994</v>
      </c>
      <c r="O100">
        <v>9.2112204999999996</v>
      </c>
      <c r="P100">
        <v>6.6507804000000004E-2</v>
      </c>
      <c r="Q100">
        <v>5.8705566000000001E-3</v>
      </c>
      <c r="R100" s="163">
        <v>4.9426505000000003E-7</v>
      </c>
      <c r="S100">
        <v>5.8916942999999999E-2</v>
      </c>
      <c r="T100">
        <v>5.2586554000000005E-4</v>
      </c>
      <c r="U100">
        <v>8.3203796999999999E-3</v>
      </c>
      <c r="V100">
        <v>9.8075209999999996E-2</v>
      </c>
      <c r="W100">
        <v>2.6899335E-2</v>
      </c>
      <c r="X100" s="163">
        <v>4.3025214999999997E-5</v>
      </c>
      <c r="Y100">
        <v>101.63449</v>
      </c>
      <c r="Z100">
        <v>1.0007330000000001</v>
      </c>
      <c r="AA100" s="163">
        <v>7.3713652000000002E-7</v>
      </c>
      <c r="AB100">
        <v>0.23853917999999999</v>
      </c>
      <c r="AC100">
        <v>267.89778999999999</v>
      </c>
      <c r="AD100" s="163">
        <v>5.0160106000000001E-9</v>
      </c>
      <c r="AE100" s="163">
        <v>2.8004086999999999E-7</v>
      </c>
      <c r="AF100">
        <v>55.435747999999997</v>
      </c>
      <c r="AG100">
        <v>0</v>
      </c>
      <c r="AH100">
        <v>0</v>
      </c>
      <c r="AI100">
        <v>29.573526000000001</v>
      </c>
      <c r="AJ100">
        <v>0</v>
      </c>
      <c r="AK100">
        <v>0</v>
      </c>
      <c r="AL100">
        <v>108.57317</v>
      </c>
      <c r="AM100">
        <v>0</v>
      </c>
      <c r="AN100">
        <v>0</v>
      </c>
      <c r="AO100">
        <v>0</v>
      </c>
      <c r="AP100">
        <v>3.3528369000000002E-2</v>
      </c>
      <c r="AQ100">
        <v>1.074361E-4</v>
      </c>
      <c r="AR100">
        <v>13.213825</v>
      </c>
      <c r="AS100">
        <v>2.2572173999999999E-4</v>
      </c>
      <c r="AT100">
        <v>0</v>
      </c>
      <c r="AU100">
        <v>0</v>
      </c>
      <c r="AV100">
        <v>0</v>
      </c>
      <c r="AW100">
        <v>0</v>
      </c>
      <c r="AX100">
        <v>0</v>
      </c>
    </row>
    <row r="101" spans="1:50">
      <c r="A101" t="s">
        <v>1350</v>
      </c>
      <c r="B101" s="189">
        <f t="shared" si="1"/>
        <v>1.06718517946414</v>
      </c>
      <c r="C101" s="163">
        <v>1.1569329000000001E-5</v>
      </c>
      <c r="D101">
        <v>8.2323694000000003E-2</v>
      </c>
      <c r="E101">
        <v>10.577628000000001</v>
      </c>
      <c r="F101" s="163">
        <v>6.1642204999999998E-7</v>
      </c>
      <c r="G101">
        <v>3.5313007E-3</v>
      </c>
      <c r="H101">
        <v>4.8093536999999999E-2</v>
      </c>
      <c r="I101">
        <v>6.1689450999999999E-3</v>
      </c>
      <c r="J101">
        <v>2.5755119999999998</v>
      </c>
      <c r="K101">
        <v>8.1714427000000006E-2</v>
      </c>
      <c r="L101">
        <v>347.48842000000002</v>
      </c>
      <c r="M101">
        <v>1.9300576E-2</v>
      </c>
      <c r="N101">
        <v>10.823898</v>
      </c>
      <c r="O101">
        <v>10.761488999999999</v>
      </c>
      <c r="P101">
        <v>4.5698189E-2</v>
      </c>
      <c r="Q101">
        <v>1.6710237999999999E-2</v>
      </c>
      <c r="R101" s="163">
        <v>5.9321799000000003E-7</v>
      </c>
      <c r="S101">
        <v>5.9050119999999998E-2</v>
      </c>
      <c r="T101">
        <v>7.3644407999999995E-4</v>
      </c>
      <c r="U101">
        <v>8.9130478000000006E-3</v>
      </c>
      <c r="V101">
        <v>0.11849314</v>
      </c>
      <c r="W101">
        <v>2.8368108E-2</v>
      </c>
      <c r="X101" s="163">
        <v>1.1569609E-5</v>
      </c>
      <c r="Y101">
        <v>162.00002000000001</v>
      </c>
      <c r="Z101">
        <v>2.9366384000000001</v>
      </c>
      <c r="AA101" s="163">
        <v>3.9702653000000001E-7</v>
      </c>
      <c r="AB101">
        <v>0.74005641</v>
      </c>
      <c r="AC101">
        <v>178.43445</v>
      </c>
      <c r="AD101" s="163">
        <v>2.8414827E-9</v>
      </c>
      <c r="AE101" s="163">
        <v>1.0146194000000001E-7</v>
      </c>
      <c r="AF101">
        <v>25.001394999999999</v>
      </c>
      <c r="AG101">
        <v>0</v>
      </c>
      <c r="AH101">
        <v>0</v>
      </c>
      <c r="AI101">
        <v>15.451131</v>
      </c>
      <c r="AJ101">
        <v>0</v>
      </c>
      <c r="AK101">
        <v>0</v>
      </c>
      <c r="AL101">
        <v>172.04420999999999</v>
      </c>
      <c r="AM101">
        <v>0</v>
      </c>
      <c r="AN101">
        <v>0</v>
      </c>
      <c r="AO101">
        <v>0</v>
      </c>
      <c r="AP101">
        <v>0.10397116000000001</v>
      </c>
      <c r="AQ101">
        <v>2.0094279E-4</v>
      </c>
      <c r="AR101">
        <v>0.85142083999999996</v>
      </c>
      <c r="AS101">
        <v>5.8927413000000001E-4</v>
      </c>
      <c r="AT101">
        <v>0</v>
      </c>
      <c r="AU101">
        <v>0</v>
      </c>
      <c r="AV101">
        <v>0</v>
      </c>
      <c r="AW101">
        <v>0</v>
      </c>
      <c r="AX101">
        <v>0</v>
      </c>
    </row>
    <row r="102" spans="1:50">
      <c r="A102" t="s">
        <v>1351</v>
      </c>
      <c r="B102" s="189">
        <f t="shared" si="1"/>
        <v>0</v>
      </c>
      <c r="C102">
        <v>0</v>
      </c>
      <c r="D102">
        <v>0</v>
      </c>
      <c r="E102">
        <v>0</v>
      </c>
      <c r="F102">
        <v>0</v>
      </c>
      <c r="G102">
        <v>0</v>
      </c>
      <c r="H102">
        <v>0</v>
      </c>
      <c r="I102">
        <v>0</v>
      </c>
      <c r="J102">
        <v>0</v>
      </c>
      <c r="K102">
        <v>0</v>
      </c>
      <c r="L102">
        <v>0</v>
      </c>
      <c r="M102">
        <v>0</v>
      </c>
      <c r="N102">
        <v>0</v>
      </c>
      <c r="O102">
        <v>0</v>
      </c>
      <c r="P102">
        <v>0</v>
      </c>
      <c r="Q102">
        <v>0</v>
      </c>
      <c r="R102">
        <v>0</v>
      </c>
      <c r="S102">
        <v>0</v>
      </c>
      <c r="T102">
        <v>0</v>
      </c>
      <c r="U102">
        <v>0</v>
      </c>
      <c r="V102">
        <v>0</v>
      </c>
      <c r="W102">
        <v>0</v>
      </c>
      <c r="X102">
        <v>0</v>
      </c>
      <c r="Y102">
        <v>0</v>
      </c>
      <c r="Z102">
        <v>0</v>
      </c>
      <c r="AA102">
        <v>0</v>
      </c>
      <c r="AB102">
        <v>0</v>
      </c>
      <c r="AC102">
        <v>0</v>
      </c>
      <c r="AD102">
        <v>0</v>
      </c>
      <c r="AE102">
        <v>0</v>
      </c>
      <c r="AF102">
        <v>0</v>
      </c>
      <c r="AG102">
        <v>0</v>
      </c>
      <c r="AH102">
        <v>0</v>
      </c>
      <c r="AI102">
        <v>0</v>
      </c>
      <c r="AJ102">
        <v>0</v>
      </c>
      <c r="AK102">
        <v>0</v>
      </c>
      <c r="AL102">
        <v>0</v>
      </c>
      <c r="AM102">
        <v>0</v>
      </c>
      <c r="AN102">
        <v>0</v>
      </c>
      <c r="AO102">
        <v>0</v>
      </c>
      <c r="AP102">
        <v>0</v>
      </c>
      <c r="AQ102">
        <v>0</v>
      </c>
      <c r="AR102">
        <v>0</v>
      </c>
      <c r="AS102">
        <v>0</v>
      </c>
      <c r="AT102">
        <v>0</v>
      </c>
      <c r="AU102">
        <v>0</v>
      </c>
      <c r="AV102">
        <v>0</v>
      </c>
      <c r="AW102">
        <v>0</v>
      </c>
      <c r="AX102">
        <v>0</v>
      </c>
    </row>
    <row r="103" spans="1:50">
      <c r="A103" t="s">
        <v>1352</v>
      </c>
      <c r="B103" s="189">
        <f t="shared" si="1"/>
        <v>0.88197704673889998</v>
      </c>
      <c r="C103" s="163">
        <v>1.1678845E-5</v>
      </c>
      <c r="D103">
        <v>3.6945861000000003E-2</v>
      </c>
      <c r="E103">
        <v>3.4358141</v>
      </c>
      <c r="F103" s="163">
        <v>4.5740938999999998E-7</v>
      </c>
      <c r="G103">
        <v>7.3595183000000003E-3</v>
      </c>
      <c r="H103">
        <v>2.1041706E-2</v>
      </c>
      <c r="I103">
        <v>2.9094555000000002E-3</v>
      </c>
      <c r="J103">
        <v>6.1890453000000001</v>
      </c>
      <c r="K103">
        <v>0.13812566000000001</v>
      </c>
      <c r="L103">
        <v>177.35051000000001</v>
      </c>
      <c r="M103">
        <v>4.9259196999999998E-3</v>
      </c>
      <c r="N103">
        <v>3.5408537999999998</v>
      </c>
      <c r="O103">
        <v>3.5403690000000001</v>
      </c>
      <c r="P103">
        <v>-1.6435951999999999E-3</v>
      </c>
      <c r="Q103">
        <v>2.1283726000000001E-3</v>
      </c>
      <c r="R103" s="163">
        <v>4.7846167000000003E-7</v>
      </c>
      <c r="S103">
        <v>2.4674050999999999E-2</v>
      </c>
      <c r="T103">
        <v>2.0178371000000001E-4</v>
      </c>
      <c r="U103">
        <v>2.9128572000000001E-3</v>
      </c>
      <c r="V103">
        <v>3.3567201999999997E-2</v>
      </c>
      <c r="W103">
        <v>2.0123021000000001E-2</v>
      </c>
      <c r="X103" s="163">
        <v>1.1678584E-5</v>
      </c>
      <c r="Y103">
        <v>71.558357000000001</v>
      </c>
      <c r="Z103">
        <v>2.0560830000000001</v>
      </c>
      <c r="AA103" s="163">
        <v>1.6721807E-7</v>
      </c>
      <c r="AB103">
        <v>0.12424799</v>
      </c>
      <c r="AC103">
        <v>108.53964999999999</v>
      </c>
      <c r="AD103" s="163">
        <v>7.9032212000000007E-9</v>
      </c>
      <c r="AE103" s="163">
        <v>9.7725101000000006E-8</v>
      </c>
      <c r="AF103">
        <v>11.245138000000001</v>
      </c>
      <c r="AG103">
        <v>0</v>
      </c>
      <c r="AH103">
        <v>0</v>
      </c>
      <c r="AI103">
        <v>2.631259</v>
      </c>
      <c r="AJ103">
        <v>0</v>
      </c>
      <c r="AK103">
        <v>0</v>
      </c>
      <c r="AL103">
        <v>76.593776000000005</v>
      </c>
      <c r="AM103">
        <v>0</v>
      </c>
      <c r="AN103">
        <v>0</v>
      </c>
      <c r="AO103">
        <v>0</v>
      </c>
      <c r="AP103">
        <v>5.240674E-2</v>
      </c>
      <c r="AQ103" s="163">
        <v>7.9338946000000006E-5</v>
      </c>
      <c r="AR103">
        <v>0.73056863000000005</v>
      </c>
      <c r="AS103">
        <v>1.3184433999999999E-4</v>
      </c>
      <c r="AT103">
        <v>0</v>
      </c>
      <c r="AU103">
        <v>0</v>
      </c>
      <c r="AV103">
        <v>0</v>
      </c>
      <c r="AW103">
        <v>0</v>
      </c>
      <c r="AX103">
        <v>0</v>
      </c>
    </row>
    <row r="104" spans="1:50">
      <c r="A104" t="s">
        <v>1353</v>
      </c>
      <c r="B104" s="189">
        <f t="shared" si="1"/>
        <v>0.25299053618833195</v>
      </c>
      <c r="C104" s="163">
        <v>1.3536402E-6</v>
      </c>
      <c r="D104">
        <v>1.3021435E-2</v>
      </c>
      <c r="E104">
        <v>1.7700359000000001</v>
      </c>
      <c r="F104" s="163">
        <v>1.0863453E-7</v>
      </c>
      <c r="G104">
        <v>2.4543961999999998E-3</v>
      </c>
      <c r="H104">
        <v>7.6941196000000003E-3</v>
      </c>
      <c r="I104">
        <v>9.6287244000000001E-4</v>
      </c>
      <c r="J104">
        <v>1.2040626999999999</v>
      </c>
      <c r="K104">
        <v>2.1951405E-2</v>
      </c>
      <c r="L104">
        <v>50.223641000000001</v>
      </c>
      <c r="M104">
        <v>6.6736065999999997E-2</v>
      </c>
      <c r="N104">
        <v>1.8443778</v>
      </c>
      <c r="O104">
        <v>1.8520273</v>
      </c>
      <c r="P104">
        <v>-8.5774877000000006E-3</v>
      </c>
      <c r="Q104">
        <v>9.2795096000000004E-4</v>
      </c>
      <c r="R104" s="163">
        <v>1.0820606E-7</v>
      </c>
      <c r="S104">
        <v>9.4363942999999995E-3</v>
      </c>
      <c r="T104" s="163">
        <v>9.0346405999999996E-5</v>
      </c>
      <c r="U104">
        <v>1.7611421999999999E-3</v>
      </c>
      <c r="V104">
        <v>2.0829738E-2</v>
      </c>
      <c r="W104">
        <v>9.0400254000000003E-3</v>
      </c>
      <c r="X104" s="163">
        <v>1.3536496E-6</v>
      </c>
      <c r="Y104">
        <v>20.916097000000001</v>
      </c>
      <c r="Z104">
        <v>0.31013379000000002</v>
      </c>
      <c r="AA104" s="163">
        <v>1.7440930000000001E-7</v>
      </c>
      <c r="AB104">
        <v>4.2831411999999999E-2</v>
      </c>
      <c r="AC104">
        <v>50.838996999999999</v>
      </c>
      <c r="AD104" s="163">
        <v>1.589124E-8</v>
      </c>
      <c r="AE104" s="163">
        <v>3.5092027999999998E-7</v>
      </c>
      <c r="AF104">
        <v>5.0441681000000003</v>
      </c>
      <c r="AG104">
        <v>0</v>
      </c>
      <c r="AH104">
        <v>0</v>
      </c>
      <c r="AI104">
        <v>0.81929269000000005</v>
      </c>
      <c r="AJ104">
        <v>0</v>
      </c>
      <c r="AK104">
        <v>0</v>
      </c>
      <c r="AL104">
        <v>22.156879</v>
      </c>
      <c r="AM104">
        <v>0</v>
      </c>
      <c r="AN104">
        <v>0</v>
      </c>
      <c r="AO104">
        <v>0</v>
      </c>
      <c r="AP104">
        <v>8.8164091999999999E-3</v>
      </c>
      <c r="AQ104">
        <v>1.3895640999999999E-4</v>
      </c>
      <c r="AR104">
        <v>0.25116495999999999</v>
      </c>
      <c r="AS104" s="163">
        <v>4.4297856000000001E-5</v>
      </c>
      <c r="AT104">
        <v>0</v>
      </c>
      <c r="AU104">
        <v>0</v>
      </c>
      <c r="AV104">
        <v>0</v>
      </c>
      <c r="AW104">
        <v>0</v>
      </c>
      <c r="AX104">
        <v>0</v>
      </c>
    </row>
    <row r="105" spans="1:50">
      <c r="A105" t="s">
        <v>1354</v>
      </c>
      <c r="B105" s="189">
        <f t="shared" si="1"/>
        <v>1.0497220991133479E-2</v>
      </c>
      <c r="C105" s="163">
        <v>8.4251703E-8</v>
      </c>
      <c r="D105">
        <v>7.3482968999999995E-4</v>
      </c>
      <c r="E105">
        <v>0.10038735</v>
      </c>
      <c r="F105" s="163">
        <v>9.5035487000000003E-9</v>
      </c>
      <c r="G105" s="163">
        <v>4.5644552999999998E-5</v>
      </c>
      <c r="H105">
        <v>5.2704173999999998E-4</v>
      </c>
      <c r="I105" s="163">
        <v>6.3381420999999993E-5</v>
      </c>
      <c r="J105">
        <v>2.5415861000000001E-2</v>
      </c>
      <c r="K105">
        <v>6.2196601999999998E-4</v>
      </c>
      <c r="L105">
        <v>2.772465</v>
      </c>
      <c r="M105">
        <v>1.1267214E-4</v>
      </c>
      <c r="N105">
        <v>0.10271623000000001</v>
      </c>
      <c r="O105">
        <v>0.10211023</v>
      </c>
      <c r="P105">
        <v>5.5279278999999996E-4</v>
      </c>
      <c r="Q105" s="163">
        <v>5.3199491E-5</v>
      </c>
      <c r="R105" s="163">
        <v>1.1235674000000001E-8</v>
      </c>
      <c r="S105">
        <v>6.5601717999999999E-4</v>
      </c>
      <c r="T105" s="163">
        <v>3.0160968000000001E-6</v>
      </c>
      <c r="U105">
        <v>1.3730685000000001E-4</v>
      </c>
      <c r="V105">
        <v>1.6246178999999999E-3</v>
      </c>
      <c r="W105">
        <v>4.3566200000000002E-4</v>
      </c>
      <c r="X105" s="163">
        <v>8.4253251999999994E-8</v>
      </c>
      <c r="Y105">
        <v>1.3576823</v>
      </c>
      <c r="Z105">
        <v>9.2064456999999995E-3</v>
      </c>
      <c r="AA105" s="163">
        <v>6.5434638E-9</v>
      </c>
      <c r="AB105">
        <v>3.3295817000000001E-3</v>
      </c>
      <c r="AC105">
        <v>4.0547871000000004</v>
      </c>
      <c r="AD105" s="163">
        <v>3.3293027999999999E-11</v>
      </c>
      <c r="AE105" s="163">
        <v>8.2315472999999997E-10</v>
      </c>
      <c r="AF105">
        <v>0.35115331</v>
      </c>
      <c r="AG105">
        <v>0</v>
      </c>
      <c r="AH105">
        <v>0</v>
      </c>
      <c r="AI105">
        <v>5.4393194999999998E-2</v>
      </c>
      <c r="AJ105">
        <v>0</v>
      </c>
      <c r="AK105">
        <v>0</v>
      </c>
      <c r="AL105">
        <v>1.4632255000000001</v>
      </c>
      <c r="AM105">
        <v>0</v>
      </c>
      <c r="AN105">
        <v>0</v>
      </c>
      <c r="AO105">
        <v>0</v>
      </c>
      <c r="AP105">
        <v>2.9419393000000002E-4</v>
      </c>
      <c r="AQ105" s="163">
        <v>2.7444209999999999E-6</v>
      </c>
      <c r="AR105">
        <v>1.6561330999999999E-2</v>
      </c>
      <c r="AS105" s="163">
        <v>4.0267838999999998E-6</v>
      </c>
      <c r="AT105">
        <v>0</v>
      </c>
      <c r="AU105">
        <v>0</v>
      </c>
      <c r="AV105">
        <v>0</v>
      </c>
      <c r="AW105">
        <v>0</v>
      </c>
      <c r="AX105">
        <v>0</v>
      </c>
    </row>
    <row r="106" spans="1:50">
      <c r="A106" t="s">
        <v>1355</v>
      </c>
      <c r="B106" s="189">
        <f t="shared" si="1"/>
        <v>4.344097646223239E-2</v>
      </c>
      <c r="C106" s="163">
        <v>3.0938063999999997E-7</v>
      </c>
      <c r="D106">
        <v>2.6190830999999999E-3</v>
      </c>
      <c r="E106">
        <v>0.39683682999999997</v>
      </c>
      <c r="F106" s="163">
        <v>2.1985551000000002E-8</v>
      </c>
      <c r="G106">
        <v>1.5729127999999999E-4</v>
      </c>
      <c r="H106">
        <v>2.3759927999999998E-3</v>
      </c>
      <c r="I106">
        <v>2.4514502999999999E-4</v>
      </c>
      <c r="J106">
        <v>0.11062828</v>
      </c>
      <c r="K106">
        <v>2.4381945E-3</v>
      </c>
      <c r="L106">
        <v>10.803981</v>
      </c>
      <c r="M106">
        <v>7.4040722999999995E-4</v>
      </c>
      <c r="N106">
        <v>0.37862853000000002</v>
      </c>
      <c r="O106">
        <v>0.40351604000000002</v>
      </c>
      <c r="P106">
        <v>-2.5266679E-2</v>
      </c>
      <c r="Q106">
        <v>3.7917646000000001E-4</v>
      </c>
      <c r="R106" s="163">
        <v>2.5095321E-8</v>
      </c>
      <c r="S106">
        <v>2.8562524999999998E-3</v>
      </c>
      <c r="T106" s="163">
        <v>1.7542021E-5</v>
      </c>
      <c r="U106">
        <v>4.6107252000000002E-4</v>
      </c>
      <c r="V106">
        <v>5.2268198999999996E-3</v>
      </c>
      <c r="W106">
        <v>1.3921159000000001E-3</v>
      </c>
      <c r="X106" s="163">
        <v>3.0375184000000001E-7</v>
      </c>
      <c r="Y106">
        <v>4.5405106000000002</v>
      </c>
      <c r="Z106">
        <v>6.6209423000000003E-2</v>
      </c>
      <c r="AA106" s="163">
        <v>3.2703833000000003E-8</v>
      </c>
      <c r="AB106">
        <v>1.2377601E-2</v>
      </c>
      <c r="AC106">
        <v>12.210827999999999</v>
      </c>
      <c r="AD106" s="163">
        <v>1.3173209E-10</v>
      </c>
      <c r="AE106" s="163">
        <v>3.9541689000000003E-9</v>
      </c>
      <c r="AF106">
        <v>4.4242512999999999</v>
      </c>
      <c r="AG106">
        <v>0</v>
      </c>
      <c r="AH106">
        <v>0</v>
      </c>
      <c r="AI106">
        <v>0.98630437000000004</v>
      </c>
      <c r="AJ106">
        <v>0</v>
      </c>
      <c r="AK106">
        <v>0</v>
      </c>
      <c r="AL106">
        <v>4.8353389</v>
      </c>
      <c r="AM106">
        <v>0</v>
      </c>
      <c r="AN106">
        <v>0</v>
      </c>
      <c r="AO106">
        <v>0</v>
      </c>
      <c r="AP106">
        <v>2.0782744999999999E-3</v>
      </c>
      <c r="AQ106" s="163">
        <v>1.6657127000000001E-5</v>
      </c>
      <c r="AR106">
        <v>3.7200046000000001E-2</v>
      </c>
      <c r="AS106" s="163">
        <v>1.2653626E-5</v>
      </c>
      <c r="AT106">
        <v>0</v>
      </c>
      <c r="AU106">
        <v>0</v>
      </c>
      <c r="AV106">
        <v>0</v>
      </c>
      <c r="AW106">
        <v>0</v>
      </c>
      <c r="AX106">
        <v>0</v>
      </c>
    </row>
    <row r="107" spans="1:50">
      <c r="A107" t="s">
        <v>1356</v>
      </c>
      <c r="B107" s="189">
        <f t="shared" si="1"/>
        <v>0.15569356053655603</v>
      </c>
      <c r="C107" s="163">
        <v>5.8287316000000001E-6</v>
      </c>
      <c r="D107">
        <v>7.1255774999999999E-3</v>
      </c>
      <c r="E107">
        <v>1.1949483000000001</v>
      </c>
      <c r="F107" s="163">
        <v>1.0984875E-7</v>
      </c>
      <c r="G107">
        <v>5.4761977000000002E-4</v>
      </c>
      <c r="H107">
        <v>1.0115633000000001E-2</v>
      </c>
      <c r="I107">
        <v>9.3078775000000002E-4</v>
      </c>
      <c r="J107">
        <v>0.44351449999999998</v>
      </c>
      <c r="K107">
        <v>9.4474333000000004E-3</v>
      </c>
      <c r="L107">
        <v>45.984017000000001</v>
      </c>
      <c r="M107">
        <v>1.1472348000000001E-3</v>
      </c>
      <c r="N107">
        <v>1.2050893</v>
      </c>
      <c r="O107">
        <v>1.1998789999999999</v>
      </c>
      <c r="P107">
        <v>4.7673929000000004E-3</v>
      </c>
      <c r="Q107">
        <v>4.4296351999999998E-4</v>
      </c>
      <c r="R107" s="163">
        <v>1.3353799E-7</v>
      </c>
      <c r="S107">
        <v>1.2278424E-2</v>
      </c>
      <c r="T107" s="163">
        <v>4.8489575999999998E-5</v>
      </c>
      <c r="U107">
        <v>1.9269904999999999E-3</v>
      </c>
      <c r="V107">
        <v>2.3787374E-2</v>
      </c>
      <c r="W107">
        <v>5.8515627000000001E-3</v>
      </c>
      <c r="X107" s="163">
        <v>5.8301472000000004E-6</v>
      </c>
      <c r="Y107">
        <v>13.731757999999999</v>
      </c>
      <c r="Z107">
        <v>0.29399041999999997</v>
      </c>
      <c r="AA107" s="163">
        <v>1.1953885000000001E-7</v>
      </c>
      <c r="AB107">
        <v>3.770892E-2</v>
      </c>
      <c r="AC107">
        <v>25.898652999999999</v>
      </c>
      <c r="AD107" s="163">
        <v>3.5066628000000001E-10</v>
      </c>
      <c r="AE107" s="163">
        <v>9.5889730000000004E-9</v>
      </c>
      <c r="AF107">
        <v>5.0177851000000002</v>
      </c>
      <c r="AG107">
        <v>0</v>
      </c>
      <c r="AH107">
        <v>0</v>
      </c>
      <c r="AI107">
        <v>0.65353285000000005</v>
      </c>
      <c r="AJ107">
        <v>0</v>
      </c>
      <c r="AK107">
        <v>0</v>
      </c>
      <c r="AL107">
        <v>14.799435000000001</v>
      </c>
      <c r="AM107">
        <v>0</v>
      </c>
      <c r="AN107">
        <v>0</v>
      </c>
      <c r="AO107">
        <v>0</v>
      </c>
      <c r="AP107">
        <v>7.6948054E-3</v>
      </c>
      <c r="AQ107" s="163">
        <v>1.8694309999999999E-5</v>
      </c>
      <c r="AR107">
        <v>0.14148353</v>
      </c>
      <c r="AS107" s="163">
        <v>5.0187067999999998E-5</v>
      </c>
      <c r="AT107">
        <v>0</v>
      </c>
      <c r="AU107">
        <v>0</v>
      </c>
      <c r="AV107">
        <v>0</v>
      </c>
      <c r="AW107">
        <v>0</v>
      </c>
      <c r="AX107">
        <v>0</v>
      </c>
    </row>
    <row r="108" spans="1:50">
      <c r="A108" t="s">
        <v>1357</v>
      </c>
      <c r="B108" s="189">
        <f t="shared" si="1"/>
        <v>0.39113717979143997</v>
      </c>
      <c r="C108" s="163">
        <v>1.3382409E-5</v>
      </c>
      <c r="D108">
        <v>1.7992721E-2</v>
      </c>
      <c r="E108">
        <v>2.5166350999999998</v>
      </c>
      <c r="F108" s="163">
        <v>1.7336140000000001E-7</v>
      </c>
      <c r="G108">
        <v>1.0963381999999999E-3</v>
      </c>
      <c r="H108">
        <v>1.5957837999999998E-2</v>
      </c>
      <c r="I108">
        <v>1.8538732999999999E-3</v>
      </c>
      <c r="J108">
        <v>1.8747478</v>
      </c>
      <c r="K108">
        <v>2.3433011E-2</v>
      </c>
      <c r="L108">
        <v>100.47148</v>
      </c>
      <c r="M108">
        <v>3.8819828999999998E-3</v>
      </c>
      <c r="N108">
        <v>2.5748872</v>
      </c>
      <c r="O108">
        <v>2.5692770999999999</v>
      </c>
      <c r="P108">
        <v>3.2768129999999999E-3</v>
      </c>
      <c r="Q108">
        <v>2.3332852000000001E-3</v>
      </c>
      <c r="R108" s="163">
        <v>1.8629189999999999E-7</v>
      </c>
      <c r="S108">
        <v>1.9576434E-2</v>
      </c>
      <c r="T108">
        <v>1.2559374000000001E-4</v>
      </c>
      <c r="U108">
        <v>3.7497901999999999E-3</v>
      </c>
      <c r="V108">
        <v>4.3586302E-2</v>
      </c>
      <c r="W108">
        <v>1.1475509E-2</v>
      </c>
      <c r="X108" s="163">
        <v>1.3383645999999999E-5</v>
      </c>
      <c r="Y108">
        <v>34.620547000000002</v>
      </c>
      <c r="Z108">
        <v>0.67664937000000003</v>
      </c>
      <c r="AA108" s="163">
        <v>1.4357211000000001E-7</v>
      </c>
      <c r="AB108">
        <v>0.10300101</v>
      </c>
      <c r="AC108">
        <v>35.372661999999998</v>
      </c>
      <c r="AD108" s="163">
        <v>2.2055333000000002E-9</v>
      </c>
      <c r="AE108" s="163">
        <v>1.3091778999999999E-7</v>
      </c>
      <c r="AF108">
        <v>5.9640307999999997</v>
      </c>
      <c r="AG108">
        <v>0</v>
      </c>
      <c r="AH108">
        <v>0</v>
      </c>
      <c r="AI108">
        <v>2.1150026</v>
      </c>
      <c r="AJ108">
        <v>0</v>
      </c>
      <c r="AK108">
        <v>0</v>
      </c>
      <c r="AL108">
        <v>37.302827000000001</v>
      </c>
      <c r="AM108">
        <v>0</v>
      </c>
      <c r="AN108">
        <v>0</v>
      </c>
      <c r="AO108">
        <v>0</v>
      </c>
      <c r="AP108">
        <v>2.0282818000000001E-2</v>
      </c>
      <c r="AQ108" s="163">
        <v>5.3559734000000001E-5</v>
      </c>
      <c r="AR108">
        <v>0.32678393999999999</v>
      </c>
      <c r="AS108" s="163">
        <v>8.9780328000000002E-5</v>
      </c>
      <c r="AT108">
        <v>0</v>
      </c>
      <c r="AU108">
        <v>0</v>
      </c>
      <c r="AV108">
        <v>0</v>
      </c>
      <c r="AW108">
        <v>0</v>
      </c>
      <c r="AX108">
        <v>0</v>
      </c>
    </row>
    <row r="109" spans="1:50">
      <c r="A109" t="s">
        <v>1358</v>
      </c>
      <c r="B109" s="189">
        <f t="shared" si="1"/>
        <v>0.39113717979143997</v>
      </c>
      <c r="C109" s="163">
        <v>1.3382409E-5</v>
      </c>
      <c r="D109">
        <v>1.7992721E-2</v>
      </c>
      <c r="E109">
        <v>2.5166350999999998</v>
      </c>
      <c r="F109" s="163">
        <v>1.7336140000000001E-7</v>
      </c>
      <c r="G109">
        <v>1.0963381999999999E-3</v>
      </c>
      <c r="H109">
        <v>1.5957837999999998E-2</v>
      </c>
      <c r="I109">
        <v>1.8538732999999999E-3</v>
      </c>
      <c r="J109">
        <v>1.8747478</v>
      </c>
      <c r="K109">
        <v>2.3433011E-2</v>
      </c>
      <c r="L109">
        <v>100.47148</v>
      </c>
      <c r="M109">
        <v>3.8819828999999998E-3</v>
      </c>
      <c r="N109">
        <v>2.5748872</v>
      </c>
      <c r="O109">
        <v>2.5692770999999999</v>
      </c>
      <c r="P109">
        <v>3.2768129999999999E-3</v>
      </c>
      <c r="Q109">
        <v>2.3332852000000001E-3</v>
      </c>
      <c r="R109" s="163">
        <v>1.8629189999999999E-7</v>
      </c>
      <c r="S109">
        <v>1.9576434E-2</v>
      </c>
      <c r="T109">
        <v>1.2559374000000001E-4</v>
      </c>
      <c r="U109">
        <v>3.7497901999999999E-3</v>
      </c>
      <c r="V109">
        <v>4.3586302E-2</v>
      </c>
      <c r="W109">
        <v>1.1475509E-2</v>
      </c>
      <c r="X109" s="163">
        <v>1.3383645999999999E-5</v>
      </c>
      <c r="Y109">
        <v>34.620547000000002</v>
      </c>
      <c r="Z109">
        <v>0.67664937000000003</v>
      </c>
      <c r="AA109" s="163">
        <v>1.4357211000000001E-7</v>
      </c>
      <c r="AB109">
        <v>0.10300101</v>
      </c>
      <c r="AC109">
        <v>35.372661999999998</v>
      </c>
      <c r="AD109" s="163">
        <v>2.2055333000000002E-9</v>
      </c>
      <c r="AE109" s="163">
        <v>1.3091778999999999E-7</v>
      </c>
      <c r="AF109">
        <v>5.9640307999999997</v>
      </c>
      <c r="AG109">
        <v>0</v>
      </c>
      <c r="AH109">
        <v>0</v>
      </c>
      <c r="AI109">
        <v>2.1150026</v>
      </c>
      <c r="AJ109">
        <v>0</v>
      </c>
      <c r="AK109">
        <v>0</v>
      </c>
      <c r="AL109">
        <v>37.302827000000001</v>
      </c>
      <c r="AM109">
        <v>0</v>
      </c>
      <c r="AN109">
        <v>0</v>
      </c>
      <c r="AO109">
        <v>0</v>
      </c>
      <c r="AP109">
        <v>2.0282818000000001E-2</v>
      </c>
      <c r="AQ109" s="163">
        <v>5.3559734000000001E-5</v>
      </c>
      <c r="AR109">
        <v>0.32678393999999999</v>
      </c>
      <c r="AS109" s="163">
        <v>8.9780328000000002E-5</v>
      </c>
      <c r="AT109">
        <v>0</v>
      </c>
      <c r="AU109">
        <v>0</v>
      </c>
      <c r="AV109">
        <v>0</v>
      </c>
      <c r="AW109">
        <v>0</v>
      </c>
      <c r="AX109">
        <v>0</v>
      </c>
    </row>
    <row r="110" spans="1:50">
      <c r="A110" t="s">
        <v>1359</v>
      </c>
      <c r="B110" s="189">
        <f t="shared" si="1"/>
        <v>0.35668921157319194</v>
      </c>
      <c r="C110" s="163">
        <v>5.6249086999999999E-6</v>
      </c>
      <c r="D110">
        <v>2.1709117E-2</v>
      </c>
      <c r="E110">
        <v>2.7018857000000001</v>
      </c>
      <c r="F110" s="163">
        <v>2.3325225999999999E-7</v>
      </c>
      <c r="G110">
        <v>1.3195957E-3</v>
      </c>
      <c r="H110">
        <v>1.5012027000000001E-2</v>
      </c>
      <c r="I110">
        <v>2.4969571000000002E-3</v>
      </c>
      <c r="J110">
        <v>1.3512185000000001</v>
      </c>
      <c r="K110">
        <v>3.3463728999999998E-2</v>
      </c>
      <c r="L110">
        <v>99.616139000000004</v>
      </c>
      <c r="M110">
        <v>6.3077704999999996E-3</v>
      </c>
      <c r="N110">
        <v>2.7633120999999998</v>
      </c>
      <c r="O110">
        <v>2.7398058999999999</v>
      </c>
      <c r="P110">
        <v>1.9419874E-2</v>
      </c>
      <c r="Q110">
        <v>4.0863888999999997E-3</v>
      </c>
      <c r="R110" s="163">
        <v>2.3174192000000001E-7</v>
      </c>
      <c r="S110">
        <v>2.0433138E-2</v>
      </c>
      <c r="T110">
        <v>1.9674503E-4</v>
      </c>
      <c r="U110">
        <v>3.4635903E-3</v>
      </c>
      <c r="V110">
        <v>6.0974838000000003E-2</v>
      </c>
      <c r="W110">
        <v>1.0663621E-2</v>
      </c>
      <c r="X110" s="163">
        <v>5.6249830999999996E-6</v>
      </c>
      <c r="Y110">
        <v>40.587328999999997</v>
      </c>
      <c r="Z110">
        <v>1.1557904999999999</v>
      </c>
      <c r="AA110" s="163">
        <v>1.4822399999999999E-7</v>
      </c>
      <c r="AB110">
        <v>0.12759446999999999</v>
      </c>
      <c r="AC110">
        <v>61.248651000000002</v>
      </c>
      <c r="AD110" s="163">
        <v>7.9486407000000002E-9</v>
      </c>
      <c r="AE110" s="163">
        <v>2.8997509999999999E-8</v>
      </c>
      <c r="AF110">
        <v>7.3144868000000001</v>
      </c>
      <c r="AG110">
        <v>0</v>
      </c>
      <c r="AH110">
        <v>0</v>
      </c>
      <c r="AI110">
        <v>3.0114716000000001</v>
      </c>
      <c r="AJ110">
        <v>0</v>
      </c>
      <c r="AK110">
        <v>0</v>
      </c>
      <c r="AL110">
        <v>43.568741000000003</v>
      </c>
      <c r="AM110">
        <v>0</v>
      </c>
      <c r="AN110">
        <v>0</v>
      </c>
      <c r="AO110">
        <v>0</v>
      </c>
      <c r="AP110">
        <v>3.2764414999999998E-2</v>
      </c>
      <c r="AQ110" s="163">
        <v>5.2161555999999998E-5</v>
      </c>
      <c r="AR110">
        <v>0.27766041000000002</v>
      </c>
      <c r="AS110">
        <v>1.0280987E-4</v>
      </c>
      <c r="AT110">
        <v>0</v>
      </c>
      <c r="AU110">
        <v>0</v>
      </c>
      <c r="AV110">
        <v>0</v>
      </c>
      <c r="AW110">
        <v>0</v>
      </c>
      <c r="AX110">
        <v>0</v>
      </c>
    </row>
    <row r="111" spans="1:50">
      <c r="A111" t="s">
        <v>1360</v>
      </c>
      <c r="B111" s="189">
        <f t="shared" si="1"/>
        <v>0.47474857059648806</v>
      </c>
      <c r="C111" s="163">
        <v>4.7386718000000002E-6</v>
      </c>
      <c r="D111">
        <v>6.6313492E-3</v>
      </c>
      <c r="E111">
        <v>1.6330616</v>
      </c>
      <c r="F111" s="163">
        <v>8.9276899999999994E-8</v>
      </c>
      <c r="G111">
        <v>6.7013122999999997E-4</v>
      </c>
      <c r="H111">
        <v>4.1706050000000001E-2</v>
      </c>
      <c r="I111">
        <v>1.7967229000000001E-2</v>
      </c>
      <c r="J111">
        <v>0.57309463000000005</v>
      </c>
      <c r="K111">
        <v>7.6546733000000006E-2</v>
      </c>
      <c r="L111">
        <v>47.724879999999999</v>
      </c>
      <c r="M111">
        <v>5.8568467999999999E-2</v>
      </c>
      <c r="N111">
        <v>0.33267551000000001</v>
      </c>
      <c r="O111">
        <v>1.7313791999999999</v>
      </c>
      <c r="P111">
        <v>-1.3995526</v>
      </c>
      <c r="Q111">
        <v>8.4887939000000004E-4</v>
      </c>
      <c r="R111" s="163">
        <v>1.0704169E-7</v>
      </c>
      <c r="S111">
        <v>7.4697620000000006E-2</v>
      </c>
      <c r="T111">
        <v>3.9104633999999998E-4</v>
      </c>
      <c r="U111">
        <v>2.1551744000000001E-2</v>
      </c>
      <c r="V111">
        <v>0.32258108000000002</v>
      </c>
      <c r="W111">
        <v>7.6388406000000002E-3</v>
      </c>
      <c r="X111" s="163">
        <v>4.7387043E-6</v>
      </c>
      <c r="Y111">
        <v>12.30419</v>
      </c>
      <c r="Z111">
        <v>0.11302571</v>
      </c>
      <c r="AA111" s="163">
        <v>5.1361272999999996E-7</v>
      </c>
      <c r="AB111">
        <v>4.5200558000000002E-2</v>
      </c>
      <c r="AC111">
        <v>27.485302999999998</v>
      </c>
      <c r="AD111" s="163">
        <v>4.4744026000000002E-9</v>
      </c>
      <c r="AE111" s="163">
        <v>4.7810426000000002E-7</v>
      </c>
      <c r="AF111">
        <v>761.01894000000004</v>
      </c>
      <c r="AG111">
        <v>0</v>
      </c>
      <c r="AH111">
        <v>0</v>
      </c>
      <c r="AI111">
        <v>16.992428</v>
      </c>
      <c r="AJ111">
        <v>0</v>
      </c>
      <c r="AK111">
        <v>0</v>
      </c>
      <c r="AL111">
        <v>13.049289999999999</v>
      </c>
      <c r="AM111">
        <v>0</v>
      </c>
      <c r="AN111">
        <v>0</v>
      </c>
      <c r="AO111">
        <v>0</v>
      </c>
      <c r="AP111">
        <v>3.8252580999999998E-3</v>
      </c>
      <c r="AQ111" s="163">
        <v>1.5484729E-5</v>
      </c>
      <c r="AR111">
        <v>7.0656167000000006E-2</v>
      </c>
      <c r="AS111" s="163">
        <v>5.5137038999999997E-5</v>
      </c>
      <c r="AT111">
        <v>0</v>
      </c>
      <c r="AU111">
        <v>0</v>
      </c>
      <c r="AV111">
        <v>0</v>
      </c>
      <c r="AW111">
        <v>0</v>
      </c>
      <c r="AX111">
        <v>0</v>
      </c>
    </row>
    <row r="112" spans="1:50">
      <c r="A112" t="s">
        <v>1361</v>
      </c>
      <c r="B112" s="189">
        <f t="shared" si="1"/>
        <v>9.4107509175252402E-2</v>
      </c>
      <c r="C112" s="163">
        <v>5.9481113999999997E-7</v>
      </c>
      <c r="D112">
        <v>3.9445202E-3</v>
      </c>
      <c r="E112">
        <v>0.79817731000000003</v>
      </c>
      <c r="F112" s="163">
        <v>5.9505449000000003E-8</v>
      </c>
      <c r="G112">
        <v>2.1045147999999999E-4</v>
      </c>
      <c r="H112">
        <v>2.2205014999999999E-3</v>
      </c>
      <c r="I112">
        <v>4.3159734999999999E-4</v>
      </c>
      <c r="J112">
        <v>0.37583701000000003</v>
      </c>
      <c r="K112">
        <v>4.5523020000000003E-3</v>
      </c>
      <c r="L112">
        <v>63.461672</v>
      </c>
      <c r="M112">
        <v>1.1714640000000001E-3</v>
      </c>
      <c r="N112">
        <v>0.81025144000000004</v>
      </c>
      <c r="O112">
        <v>0.80543766000000006</v>
      </c>
      <c r="P112">
        <v>4.1276361000000001E-3</v>
      </c>
      <c r="Q112">
        <v>6.8614757000000001E-4</v>
      </c>
      <c r="R112" s="163">
        <v>6.5674254000000005E-8</v>
      </c>
      <c r="S112">
        <v>2.9810460999999998E-3</v>
      </c>
      <c r="T112" s="163">
        <v>2.1332235000000001E-5</v>
      </c>
      <c r="U112">
        <v>9.0541574999999995E-4</v>
      </c>
      <c r="V112">
        <v>1.0961144000000001E-2</v>
      </c>
      <c r="W112">
        <v>2.5888383000000001E-3</v>
      </c>
      <c r="X112" s="163">
        <v>5.9472281000000005E-7</v>
      </c>
      <c r="Y112">
        <v>8.1867222000000002</v>
      </c>
      <c r="Z112">
        <v>7.3041399000000007E-2</v>
      </c>
      <c r="AA112" s="163">
        <v>1.2742759E-8</v>
      </c>
      <c r="AB112">
        <v>2.8874238E-2</v>
      </c>
      <c r="AC112">
        <v>5.4259474000000001</v>
      </c>
      <c r="AD112" s="163">
        <v>1.5374402E-10</v>
      </c>
      <c r="AE112" s="163">
        <v>3.9297432000000003E-9</v>
      </c>
      <c r="AF112">
        <v>2.2888232999999998</v>
      </c>
      <c r="AG112">
        <v>0</v>
      </c>
      <c r="AH112">
        <v>0</v>
      </c>
      <c r="AI112">
        <v>0.45641208999999999</v>
      </c>
      <c r="AJ112">
        <v>0</v>
      </c>
      <c r="AK112">
        <v>0</v>
      </c>
      <c r="AL112">
        <v>8.8249653000000006</v>
      </c>
      <c r="AM112">
        <v>0</v>
      </c>
      <c r="AN112">
        <v>0</v>
      </c>
      <c r="AO112">
        <v>0</v>
      </c>
      <c r="AP112">
        <v>3.1461430000000001E-3</v>
      </c>
      <c r="AQ112" s="163">
        <v>1.1040933999999999E-5</v>
      </c>
      <c r="AR112">
        <v>4.9682780000000003E-2</v>
      </c>
      <c r="AS112" s="163">
        <v>3.0884913999999998E-5</v>
      </c>
      <c r="AT112">
        <v>0</v>
      </c>
      <c r="AU112">
        <v>0</v>
      </c>
      <c r="AV112">
        <v>0</v>
      </c>
      <c r="AW112">
        <v>0</v>
      </c>
      <c r="AX112">
        <v>0</v>
      </c>
    </row>
    <row r="113" spans="1:50">
      <c r="A113" t="s">
        <v>1362</v>
      </c>
      <c r="B113" s="189">
        <f t="shared" si="1"/>
        <v>1.5027800218492E-3</v>
      </c>
      <c r="C113" s="163">
        <v>4.3543445000000001E-8</v>
      </c>
      <c r="D113" s="163">
        <v>8.4156317000000006E-5</v>
      </c>
      <c r="E113">
        <v>1.1809395E-2</v>
      </c>
      <c r="F113" s="163">
        <v>1.6905846E-9</v>
      </c>
      <c r="G113" s="163">
        <v>8.6634195000000008E-6</v>
      </c>
      <c r="H113" s="163">
        <v>7.2477672000000002E-5</v>
      </c>
      <c r="I113" s="163">
        <v>1.2015732E-5</v>
      </c>
      <c r="J113">
        <v>4.8842021000000003E-3</v>
      </c>
      <c r="K113">
        <v>1.0258008E-4</v>
      </c>
      <c r="L113">
        <v>0.39467853000000003</v>
      </c>
      <c r="M113" s="163">
        <v>2.1416953999999999E-5</v>
      </c>
      <c r="N113">
        <v>1.2019011E-2</v>
      </c>
      <c r="O113">
        <v>1.1995899000000001E-2</v>
      </c>
      <c r="P113" s="163">
        <v>1.5169922E-5</v>
      </c>
      <c r="Q113" s="163">
        <v>7.9420091000000008E-6</v>
      </c>
      <c r="R113" s="163">
        <v>2.0838117999999998E-9</v>
      </c>
      <c r="S113" s="163">
        <v>9.3763980000000004E-5</v>
      </c>
      <c r="T113" s="163">
        <v>4.6487534999999998E-7</v>
      </c>
      <c r="U113" s="163">
        <v>2.6875898999999999E-5</v>
      </c>
      <c r="V113">
        <v>3.0642519999999999E-4</v>
      </c>
      <c r="W113" s="163">
        <v>8.5379490000000004E-5</v>
      </c>
      <c r="X113" s="163">
        <v>4.3544419000000001E-8</v>
      </c>
      <c r="Y113">
        <v>0.16957087000000001</v>
      </c>
      <c r="Z113">
        <v>6.1220248999999997E-2</v>
      </c>
      <c r="AA113" s="163">
        <v>1.1761847E-9</v>
      </c>
      <c r="AB113">
        <v>7.1314021000000005E-4</v>
      </c>
      <c r="AC113">
        <v>0.16962844999999999</v>
      </c>
      <c r="AD113" s="163">
        <v>8.5265348E-12</v>
      </c>
      <c r="AE113" s="163">
        <v>1.9421668999999999E-10</v>
      </c>
      <c r="AF113">
        <v>0.14240800000000001</v>
      </c>
      <c r="AG113">
        <v>0</v>
      </c>
      <c r="AH113">
        <v>0</v>
      </c>
      <c r="AI113">
        <v>5.5118016000000004E-3</v>
      </c>
      <c r="AJ113">
        <v>0</v>
      </c>
      <c r="AK113">
        <v>0</v>
      </c>
      <c r="AL113">
        <v>0.18006156000000001</v>
      </c>
      <c r="AM113">
        <v>0</v>
      </c>
      <c r="AN113">
        <v>0</v>
      </c>
      <c r="AO113">
        <v>0</v>
      </c>
      <c r="AP113">
        <v>1.4369579000000001E-3</v>
      </c>
      <c r="AQ113" s="163">
        <v>6.1011165000000001E-7</v>
      </c>
      <c r="AR113">
        <v>5.4855327000000002E-3</v>
      </c>
      <c r="AS113" s="163">
        <v>9.9536388000000009E-7</v>
      </c>
      <c r="AT113">
        <v>0</v>
      </c>
      <c r="AU113">
        <v>0</v>
      </c>
      <c r="AV113">
        <v>0</v>
      </c>
      <c r="AW113">
        <v>0</v>
      </c>
      <c r="AX113">
        <v>0</v>
      </c>
    </row>
    <row r="114" spans="1:50">
      <c r="A114" t="s">
        <v>1363</v>
      </c>
      <c r="B114" s="189">
        <f t="shared" si="1"/>
        <v>0</v>
      </c>
      <c r="C114">
        <v>0</v>
      </c>
      <c r="D114">
        <v>0</v>
      </c>
      <c r="E114">
        <v>0</v>
      </c>
      <c r="F114">
        <v>0</v>
      </c>
      <c r="G114">
        <v>0</v>
      </c>
      <c r="H114">
        <v>0</v>
      </c>
      <c r="I114">
        <v>0</v>
      </c>
      <c r="J114">
        <v>0</v>
      </c>
      <c r="K114">
        <v>0</v>
      </c>
      <c r="L114">
        <v>0</v>
      </c>
      <c r="M114">
        <v>0</v>
      </c>
      <c r="N114">
        <v>0</v>
      </c>
      <c r="O114">
        <v>0</v>
      </c>
      <c r="P114">
        <v>0</v>
      </c>
      <c r="Q114">
        <v>0</v>
      </c>
      <c r="R114">
        <v>0</v>
      </c>
      <c r="S114">
        <v>0</v>
      </c>
      <c r="T114">
        <v>0</v>
      </c>
      <c r="U114">
        <v>0</v>
      </c>
      <c r="V114">
        <v>0</v>
      </c>
      <c r="W114">
        <v>0</v>
      </c>
      <c r="X114">
        <v>0</v>
      </c>
      <c r="Y114">
        <v>0</v>
      </c>
      <c r="Z114">
        <v>0</v>
      </c>
      <c r="AA114">
        <v>0</v>
      </c>
      <c r="AB114">
        <v>0</v>
      </c>
      <c r="AC114">
        <v>0</v>
      </c>
      <c r="AD114">
        <v>0</v>
      </c>
      <c r="AE114">
        <v>0</v>
      </c>
      <c r="AF114">
        <v>0</v>
      </c>
      <c r="AG114">
        <v>0</v>
      </c>
      <c r="AH114">
        <v>0</v>
      </c>
      <c r="AI114">
        <v>0</v>
      </c>
      <c r="AJ114">
        <v>0</v>
      </c>
      <c r="AK114">
        <v>0</v>
      </c>
      <c r="AL114">
        <v>0</v>
      </c>
      <c r="AM114">
        <v>0</v>
      </c>
      <c r="AN114">
        <v>0</v>
      </c>
      <c r="AO114">
        <v>0</v>
      </c>
      <c r="AP114">
        <v>0</v>
      </c>
      <c r="AQ114">
        <v>0</v>
      </c>
      <c r="AR114">
        <v>0</v>
      </c>
      <c r="AS114">
        <v>0</v>
      </c>
      <c r="AT114">
        <v>0</v>
      </c>
      <c r="AU114">
        <v>0</v>
      </c>
      <c r="AV114">
        <v>0</v>
      </c>
      <c r="AW114">
        <v>0</v>
      </c>
      <c r="AX114">
        <v>0</v>
      </c>
    </row>
    <row r="115" spans="1:50">
      <c r="A115" t="s">
        <v>1364</v>
      </c>
      <c r="B115" s="189">
        <f t="shared" si="1"/>
        <v>1.2948399152948398E-3</v>
      </c>
      <c r="C115" s="163">
        <v>1.9895974E-8</v>
      </c>
      <c r="D115" s="163">
        <v>7.5731297999999999E-5</v>
      </c>
      <c r="E115">
        <v>1.0410231000000001E-2</v>
      </c>
      <c r="F115" s="163">
        <v>1.9228233E-9</v>
      </c>
      <c r="G115" s="163">
        <v>7.8059576999999998E-6</v>
      </c>
      <c r="H115" s="163">
        <v>5.7731949000000003E-5</v>
      </c>
      <c r="I115" s="163">
        <v>1.2330514E-5</v>
      </c>
      <c r="J115">
        <v>4.0747817999999998E-3</v>
      </c>
      <c r="K115" s="163">
        <v>9.7248689999999995E-5</v>
      </c>
      <c r="L115">
        <v>0.34295725999999999</v>
      </c>
      <c r="M115" s="163">
        <v>1.1543391000000001E-5</v>
      </c>
      <c r="N115">
        <v>1.0511503E-2</v>
      </c>
      <c r="O115">
        <v>1.0506654000000001E-2</v>
      </c>
      <c r="P115" s="163">
        <v>2.5585582999999999E-6</v>
      </c>
      <c r="Q115" s="163">
        <v>2.2906196000000001E-6</v>
      </c>
      <c r="R115" s="163">
        <v>2.4176207E-9</v>
      </c>
      <c r="S115" s="163">
        <v>7.8751689000000004E-5</v>
      </c>
      <c r="T115" s="163">
        <v>1.2881513E-7</v>
      </c>
      <c r="U115" s="163">
        <v>3.1024091999999998E-5</v>
      </c>
      <c r="V115">
        <v>3.4201358000000002E-4</v>
      </c>
      <c r="W115" s="163">
        <v>9.5359534999999996E-5</v>
      </c>
      <c r="X115" s="163">
        <v>1.9895916000000001E-8</v>
      </c>
      <c r="Y115">
        <v>0.15883765</v>
      </c>
      <c r="Z115">
        <v>1.032313E-3</v>
      </c>
      <c r="AA115" s="163">
        <v>1.6717573E-9</v>
      </c>
      <c r="AB115">
        <v>6.7857854999999996E-4</v>
      </c>
      <c r="AC115">
        <v>0.10534195</v>
      </c>
      <c r="AD115" s="163">
        <v>3.8813478999999998E-12</v>
      </c>
      <c r="AE115" s="163">
        <v>1.2117995E-10</v>
      </c>
      <c r="AF115">
        <v>9.2247335E-2</v>
      </c>
      <c r="AG115">
        <v>0</v>
      </c>
      <c r="AH115">
        <v>0</v>
      </c>
      <c r="AI115">
        <v>1.3971840999999999E-3</v>
      </c>
      <c r="AJ115">
        <v>0</v>
      </c>
      <c r="AK115">
        <v>0</v>
      </c>
      <c r="AL115">
        <v>0.16866354</v>
      </c>
      <c r="AM115">
        <v>0</v>
      </c>
      <c r="AN115">
        <v>0</v>
      </c>
      <c r="AO115">
        <v>0</v>
      </c>
      <c r="AP115" s="163">
        <v>2.7042151999999999E-5</v>
      </c>
      <c r="AQ115" s="163">
        <v>9.0148634999999995E-8</v>
      </c>
      <c r="AR115">
        <v>6.2707902000000001E-3</v>
      </c>
      <c r="AS115" s="163">
        <v>1.0805161E-6</v>
      </c>
      <c r="AT115">
        <v>0</v>
      </c>
      <c r="AU115">
        <v>0</v>
      </c>
      <c r="AV115">
        <v>0</v>
      </c>
      <c r="AW115">
        <v>0</v>
      </c>
      <c r="AX115">
        <v>0</v>
      </c>
    </row>
    <row r="116" spans="1:50">
      <c r="A116" t="s">
        <v>1365</v>
      </c>
      <c r="B116" s="189">
        <f t="shared" si="1"/>
        <v>0</v>
      </c>
      <c r="C116">
        <v>0</v>
      </c>
      <c r="D116">
        <v>0</v>
      </c>
      <c r="E116">
        <v>0</v>
      </c>
      <c r="F116">
        <v>0</v>
      </c>
      <c r="G116">
        <v>0</v>
      </c>
      <c r="H116">
        <v>0</v>
      </c>
      <c r="I116">
        <v>0</v>
      </c>
      <c r="J116">
        <v>0</v>
      </c>
      <c r="K116">
        <v>0</v>
      </c>
      <c r="L116">
        <v>0</v>
      </c>
      <c r="M116">
        <v>0</v>
      </c>
      <c r="N116">
        <v>0</v>
      </c>
      <c r="O116">
        <v>0</v>
      </c>
      <c r="P116">
        <v>0</v>
      </c>
      <c r="Q116">
        <v>0</v>
      </c>
      <c r="R116">
        <v>0</v>
      </c>
      <c r="S116">
        <v>0</v>
      </c>
      <c r="T116">
        <v>0</v>
      </c>
      <c r="U116">
        <v>0</v>
      </c>
      <c r="V116">
        <v>0</v>
      </c>
      <c r="W116">
        <v>0</v>
      </c>
      <c r="X116">
        <v>0</v>
      </c>
      <c r="Y116">
        <v>0</v>
      </c>
      <c r="Z116">
        <v>0</v>
      </c>
      <c r="AA116">
        <v>0</v>
      </c>
      <c r="AB116">
        <v>0</v>
      </c>
      <c r="AC116">
        <v>0</v>
      </c>
      <c r="AD116">
        <v>0</v>
      </c>
      <c r="AE116">
        <v>0</v>
      </c>
      <c r="AF116">
        <v>0</v>
      </c>
      <c r="AG116">
        <v>0</v>
      </c>
      <c r="AH116">
        <v>0</v>
      </c>
      <c r="AI116">
        <v>0</v>
      </c>
      <c r="AJ116">
        <v>0</v>
      </c>
      <c r="AK116">
        <v>0</v>
      </c>
      <c r="AL116">
        <v>0</v>
      </c>
      <c r="AM116">
        <v>0</v>
      </c>
      <c r="AN116">
        <v>0</v>
      </c>
      <c r="AO116">
        <v>0</v>
      </c>
      <c r="AP116">
        <v>0</v>
      </c>
      <c r="AQ116">
        <v>0</v>
      </c>
      <c r="AR116">
        <v>0</v>
      </c>
      <c r="AS116">
        <v>0</v>
      </c>
      <c r="AT116">
        <v>0</v>
      </c>
      <c r="AU116">
        <v>0</v>
      </c>
      <c r="AV116">
        <v>0</v>
      </c>
      <c r="AW116">
        <v>0</v>
      </c>
      <c r="AX116">
        <v>0</v>
      </c>
    </row>
    <row r="117" spans="1:50">
      <c r="A117" t="s">
        <v>1366</v>
      </c>
      <c r="B117" s="189">
        <f t="shared" si="1"/>
        <v>1.7750786674428639E-2</v>
      </c>
      <c r="C117" s="163">
        <v>4.0021428999999999E-8</v>
      </c>
      <c r="D117">
        <v>7.2846428999999999E-4</v>
      </c>
      <c r="E117">
        <v>0.25489286</v>
      </c>
      <c r="F117" s="163">
        <v>6.3374999999999997E-9</v>
      </c>
      <c r="G117" s="163">
        <v>5.1350000000000001E-5</v>
      </c>
      <c r="H117">
        <v>5.1210714000000002E-4</v>
      </c>
      <c r="I117" s="163">
        <v>9.5782142999999997E-5</v>
      </c>
      <c r="J117">
        <v>1.8432143000000002E-2</v>
      </c>
      <c r="K117">
        <v>4.2250000000000002E-4</v>
      </c>
      <c r="L117">
        <v>1.7875000000000001</v>
      </c>
      <c r="M117">
        <v>4.3178571E-4</v>
      </c>
      <c r="N117">
        <v>0</v>
      </c>
      <c r="O117">
        <v>0</v>
      </c>
      <c r="P117">
        <v>0</v>
      </c>
      <c r="Q117">
        <v>0</v>
      </c>
      <c r="R117">
        <v>0</v>
      </c>
      <c r="S117">
        <v>0</v>
      </c>
      <c r="T117">
        <v>0</v>
      </c>
      <c r="U117">
        <v>0</v>
      </c>
      <c r="V117">
        <v>0</v>
      </c>
      <c r="W117">
        <v>0</v>
      </c>
      <c r="X117">
        <v>0</v>
      </c>
      <c r="Y117">
        <v>0</v>
      </c>
      <c r="Z117">
        <v>1.2271429E-2</v>
      </c>
      <c r="AA117">
        <v>0</v>
      </c>
      <c r="AB117">
        <v>0</v>
      </c>
      <c r="AC117">
        <v>0</v>
      </c>
      <c r="AD117">
        <v>0</v>
      </c>
      <c r="AE117">
        <v>0</v>
      </c>
      <c r="AF117">
        <v>0</v>
      </c>
      <c r="AG117">
        <v>0</v>
      </c>
      <c r="AH117">
        <v>0</v>
      </c>
      <c r="AI117">
        <v>9.0721429000000006E-2</v>
      </c>
      <c r="AJ117">
        <v>0</v>
      </c>
      <c r="AK117">
        <v>0</v>
      </c>
      <c r="AL117">
        <v>1.4903571</v>
      </c>
      <c r="AM117">
        <v>0</v>
      </c>
      <c r="AN117">
        <v>0</v>
      </c>
      <c r="AO117">
        <v>0</v>
      </c>
      <c r="AP117">
        <v>7.0125000000000005E-4</v>
      </c>
      <c r="AQ117" s="163">
        <v>7.2428571000000004E-6</v>
      </c>
      <c r="AR117">
        <v>6.3978571000000003E-3</v>
      </c>
      <c r="AS117">
        <v>0</v>
      </c>
      <c r="AT117">
        <v>0</v>
      </c>
      <c r="AU117">
        <v>0</v>
      </c>
      <c r="AV117">
        <v>0</v>
      </c>
      <c r="AW117">
        <v>0</v>
      </c>
      <c r="AX117">
        <v>0</v>
      </c>
    </row>
    <row r="118" spans="1:50">
      <c r="A118" t="s">
        <v>1367</v>
      </c>
      <c r="B118" s="189">
        <f t="shared" si="1"/>
        <v>0.182797342291912</v>
      </c>
      <c r="C118" s="163">
        <v>1.3441641999999999E-6</v>
      </c>
      <c r="D118">
        <v>8.8231809999999994E-3</v>
      </c>
      <c r="E118">
        <v>1.2717932000000001</v>
      </c>
      <c r="F118" s="163">
        <v>7.1727387999999996E-8</v>
      </c>
      <c r="G118">
        <v>1.6727214E-3</v>
      </c>
      <c r="H118">
        <v>7.8685821000000003E-3</v>
      </c>
      <c r="I118">
        <v>9.8487212000000009E-4</v>
      </c>
      <c r="J118">
        <v>0.77250026999999999</v>
      </c>
      <c r="K118">
        <v>2.8575672E-2</v>
      </c>
      <c r="L118">
        <v>33.054619000000002</v>
      </c>
      <c r="M118">
        <v>7.0371634000000001E-3</v>
      </c>
      <c r="N118">
        <v>-0.35383850999999999</v>
      </c>
      <c r="O118">
        <v>1.2809687000000001</v>
      </c>
      <c r="P118">
        <v>-1.6524814000000001</v>
      </c>
      <c r="Q118">
        <v>1.7674222E-2</v>
      </c>
      <c r="R118" s="163">
        <v>7.3062921000000002E-8</v>
      </c>
      <c r="S118">
        <v>9.6748774999999999E-3</v>
      </c>
      <c r="T118" s="163">
        <v>7.486177E-5</v>
      </c>
      <c r="U118">
        <v>1.6522632E-3</v>
      </c>
      <c r="V118">
        <v>2.0243622999999999E-2</v>
      </c>
      <c r="W118">
        <v>7.2193472000000002E-3</v>
      </c>
      <c r="X118" s="163">
        <v>1.3404133000000001E-6</v>
      </c>
      <c r="Y118">
        <v>15.184683</v>
      </c>
      <c r="Z118">
        <v>0.28288362</v>
      </c>
      <c r="AA118" s="163">
        <v>1.1096646E-7</v>
      </c>
      <c r="AB118">
        <v>3.8418613999999997E-2</v>
      </c>
      <c r="AC118">
        <v>36.460683000000003</v>
      </c>
      <c r="AD118" s="163">
        <v>4.5425093999999997E-9</v>
      </c>
      <c r="AE118" s="163">
        <v>1.8787827E-8</v>
      </c>
      <c r="AF118">
        <v>129.99047999999999</v>
      </c>
      <c r="AG118">
        <v>0</v>
      </c>
      <c r="AH118">
        <v>0</v>
      </c>
      <c r="AI118">
        <v>24.372223000000002</v>
      </c>
      <c r="AJ118">
        <v>0</v>
      </c>
      <c r="AK118">
        <v>0</v>
      </c>
      <c r="AL118">
        <v>16.160844999999998</v>
      </c>
      <c r="AM118">
        <v>0</v>
      </c>
      <c r="AN118">
        <v>0</v>
      </c>
      <c r="AO118">
        <v>0</v>
      </c>
      <c r="AP118">
        <v>8.3825792000000003E-3</v>
      </c>
      <c r="AQ118" s="163">
        <v>2.4221526999999999E-5</v>
      </c>
      <c r="AR118">
        <v>0.17698314000000001</v>
      </c>
      <c r="AS118" s="163">
        <v>3.9338899999999997E-5</v>
      </c>
      <c r="AT118">
        <v>0</v>
      </c>
      <c r="AU118">
        <v>0</v>
      </c>
      <c r="AV118">
        <v>0</v>
      </c>
      <c r="AW118">
        <v>0</v>
      </c>
      <c r="AX118">
        <v>0</v>
      </c>
    </row>
    <row r="119" spans="1:50">
      <c r="A119" t="s">
        <v>1368</v>
      </c>
      <c r="B119" s="189">
        <f t="shared" si="1"/>
        <v>0</v>
      </c>
      <c r="C119">
        <v>0</v>
      </c>
      <c r="D119">
        <v>0</v>
      </c>
      <c r="E119">
        <v>0</v>
      </c>
      <c r="F119">
        <v>0</v>
      </c>
      <c r="G119">
        <v>0</v>
      </c>
      <c r="H119">
        <v>0</v>
      </c>
      <c r="I119">
        <v>0</v>
      </c>
      <c r="J119">
        <v>0</v>
      </c>
      <c r="K119">
        <v>0</v>
      </c>
      <c r="L119">
        <v>0</v>
      </c>
      <c r="M119">
        <v>0</v>
      </c>
      <c r="N119">
        <v>0</v>
      </c>
      <c r="O119">
        <v>0</v>
      </c>
      <c r="P119">
        <v>0</v>
      </c>
      <c r="Q119">
        <v>0</v>
      </c>
      <c r="R119">
        <v>0</v>
      </c>
      <c r="S119">
        <v>0</v>
      </c>
      <c r="T119">
        <v>0</v>
      </c>
      <c r="U119">
        <v>0</v>
      </c>
      <c r="V119">
        <v>0</v>
      </c>
      <c r="W119">
        <v>0</v>
      </c>
      <c r="X119">
        <v>0</v>
      </c>
      <c r="Y119">
        <v>0</v>
      </c>
      <c r="Z119">
        <v>0</v>
      </c>
      <c r="AA119">
        <v>0</v>
      </c>
      <c r="AB119">
        <v>0</v>
      </c>
      <c r="AC119">
        <v>0</v>
      </c>
      <c r="AD119">
        <v>0</v>
      </c>
      <c r="AE119">
        <v>0</v>
      </c>
      <c r="AF119">
        <v>0</v>
      </c>
      <c r="AG119">
        <v>0</v>
      </c>
      <c r="AH119">
        <v>0</v>
      </c>
      <c r="AI119">
        <v>0</v>
      </c>
      <c r="AJ119">
        <v>0</v>
      </c>
      <c r="AK119">
        <v>0</v>
      </c>
      <c r="AL119">
        <v>0</v>
      </c>
      <c r="AM119">
        <v>0</v>
      </c>
      <c r="AN119">
        <v>0</v>
      </c>
      <c r="AO119">
        <v>0</v>
      </c>
      <c r="AP119">
        <v>0</v>
      </c>
      <c r="AQ119">
        <v>0</v>
      </c>
      <c r="AR119">
        <v>0</v>
      </c>
      <c r="AS119">
        <v>0</v>
      </c>
      <c r="AT119">
        <v>0</v>
      </c>
      <c r="AU119">
        <v>0</v>
      </c>
      <c r="AV119">
        <v>0</v>
      </c>
      <c r="AW119">
        <v>0</v>
      </c>
      <c r="AX119">
        <v>0</v>
      </c>
    </row>
    <row r="120" spans="1:50">
      <c r="A120" t="s">
        <v>1369</v>
      </c>
      <c r="B120" s="189">
        <f t="shared" si="1"/>
        <v>3.6156191318771604E-2</v>
      </c>
      <c r="C120" s="163">
        <v>1.1461901E-7</v>
      </c>
      <c r="D120">
        <v>1.3487524000000001E-3</v>
      </c>
      <c r="E120">
        <v>0.20043727</v>
      </c>
      <c r="F120" s="163">
        <v>3.1131751E-8</v>
      </c>
      <c r="G120">
        <v>2.4883833000000001E-4</v>
      </c>
      <c r="H120">
        <v>3.3543105999999999E-3</v>
      </c>
      <c r="I120">
        <v>3.2694472999999998E-4</v>
      </c>
      <c r="J120">
        <v>9.1579957000000003E-2</v>
      </c>
      <c r="K120">
        <v>2.0452477999999999E-3</v>
      </c>
      <c r="L120">
        <v>7.3204304000000002</v>
      </c>
      <c r="M120">
        <v>4.0928181999999998E-4</v>
      </c>
      <c r="N120">
        <v>-1.2856977000000001</v>
      </c>
      <c r="O120">
        <v>0.19513902</v>
      </c>
      <c r="P120">
        <v>-1.4813508</v>
      </c>
      <c r="Q120">
        <v>5.1409676999999998E-4</v>
      </c>
      <c r="R120" s="163">
        <v>3.8670367000000003E-8</v>
      </c>
      <c r="S120">
        <v>4.1104041999999999E-3</v>
      </c>
      <c r="T120" s="163">
        <v>3.6712055000000002E-6</v>
      </c>
      <c r="U120">
        <v>8.4983491999999995E-4</v>
      </c>
      <c r="V120">
        <v>9.5417282000000003E-3</v>
      </c>
      <c r="W120">
        <v>2.6454044999999998E-3</v>
      </c>
      <c r="X120" s="163">
        <v>1.1451137E-7</v>
      </c>
      <c r="Y120">
        <v>2.8063307000000002</v>
      </c>
      <c r="Z120">
        <v>1.9792651000000001E-2</v>
      </c>
      <c r="AA120" s="163">
        <v>1.2069276000000001E-8</v>
      </c>
      <c r="AB120">
        <v>1.2453037E-2</v>
      </c>
      <c r="AC120">
        <v>1.9873624999999999</v>
      </c>
      <c r="AD120" s="163">
        <v>8.4339822000000004E-11</v>
      </c>
      <c r="AE120" s="163">
        <v>1.9344378999999999E-9</v>
      </c>
      <c r="AF120">
        <v>11.961995</v>
      </c>
      <c r="AG120">
        <v>0</v>
      </c>
      <c r="AH120">
        <v>0</v>
      </c>
      <c r="AI120">
        <v>26.575915999999999</v>
      </c>
      <c r="AJ120">
        <v>0</v>
      </c>
      <c r="AK120">
        <v>0</v>
      </c>
      <c r="AL120">
        <v>2.9797128000000002</v>
      </c>
      <c r="AM120">
        <v>0</v>
      </c>
      <c r="AN120">
        <v>0</v>
      </c>
      <c r="AO120">
        <v>0</v>
      </c>
      <c r="AP120">
        <v>6.1184724000000002E-4</v>
      </c>
      <c r="AQ120" s="163">
        <v>3.0809398999999999E-6</v>
      </c>
      <c r="AR120">
        <v>3.3400221000000001E-2</v>
      </c>
      <c r="AS120" s="163">
        <v>1.8232993000000001E-5</v>
      </c>
      <c r="AT120">
        <v>0</v>
      </c>
      <c r="AU120">
        <v>0</v>
      </c>
      <c r="AV120">
        <v>0</v>
      </c>
      <c r="AW120">
        <v>0</v>
      </c>
      <c r="AX120">
        <v>0</v>
      </c>
    </row>
    <row r="121" spans="1:50">
      <c r="A121" t="s">
        <v>1370</v>
      </c>
      <c r="B121" s="189">
        <f t="shared" si="1"/>
        <v>4.7886043559183196E-2</v>
      </c>
      <c r="C121" s="163">
        <v>9.4474402000000005E-7</v>
      </c>
      <c r="D121">
        <v>2.707536E-3</v>
      </c>
      <c r="E121">
        <v>0.37036887000000002</v>
      </c>
      <c r="F121" s="163">
        <v>5.8074237999999998E-8</v>
      </c>
      <c r="G121">
        <v>4.7602335000000002E-4</v>
      </c>
      <c r="H121">
        <v>1.8821802999999999E-3</v>
      </c>
      <c r="I121">
        <v>3.8339881999999999E-4</v>
      </c>
      <c r="J121">
        <v>0.17041047000000001</v>
      </c>
      <c r="K121">
        <v>6.0405952999999998E-3</v>
      </c>
      <c r="L121">
        <v>14.071133</v>
      </c>
      <c r="M121">
        <v>1.2645028999999999E-3</v>
      </c>
      <c r="N121">
        <v>-2.1972683000000002</v>
      </c>
      <c r="O121">
        <v>0.37427304</v>
      </c>
      <c r="P121">
        <v>-2.5737798000000001</v>
      </c>
      <c r="Q121">
        <v>2.2383956E-3</v>
      </c>
      <c r="R121" s="163">
        <v>7.1926456999999995E-8</v>
      </c>
      <c r="S121">
        <v>2.5010738000000002E-3</v>
      </c>
      <c r="T121" s="163">
        <v>1.0145248E-5</v>
      </c>
      <c r="U121">
        <v>8.4700545999999996E-4</v>
      </c>
      <c r="V121">
        <v>9.4599451000000005E-3</v>
      </c>
      <c r="W121">
        <v>3.0470605E-3</v>
      </c>
      <c r="X121" s="163">
        <v>9.4426325E-7</v>
      </c>
      <c r="Y121">
        <v>5.5319466000000004</v>
      </c>
      <c r="Z121">
        <v>5.2610904999999999E-2</v>
      </c>
      <c r="AA121" s="163">
        <v>7.7377087000000003E-8</v>
      </c>
      <c r="AB121">
        <v>2.3703545999999999E-2</v>
      </c>
      <c r="AC121">
        <v>7.3320217999999997</v>
      </c>
      <c r="AD121" s="163">
        <v>2.5068354000000001E-10</v>
      </c>
      <c r="AE121" s="163">
        <v>7.5567861000000007E-9</v>
      </c>
      <c r="AF121">
        <v>157.08868000000001</v>
      </c>
      <c r="AG121">
        <v>0</v>
      </c>
      <c r="AH121">
        <v>0</v>
      </c>
      <c r="AI121">
        <v>30.461096000000001</v>
      </c>
      <c r="AJ121">
        <v>0</v>
      </c>
      <c r="AK121">
        <v>0</v>
      </c>
      <c r="AL121">
        <v>5.8801484999999998</v>
      </c>
      <c r="AM121">
        <v>0</v>
      </c>
      <c r="AN121">
        <v>0</v>
      </c>
      <c r="AO121">
        <v>0</v>
      </c>
      <c r="AP121">
        <v>1.5557441E-3</v>
      </c>
      <c r="AQ121" s="163">
        <v>7.3033570000000001E-6</v>
      </c>
      <c r="AR121">
        <v>0.25394176000000002</v>
      </c>
      <c r="AS121" s="163">
        <v>3.3932332999999997E-5</v>
      </c>
      <c r="AT121">
        <v>0</v>
      </c>
      <c r="AU121">
        <v>0</v>
      </c>
      <c r="AV121">
        <v>0</v>
      </c>
      <c r="AW121">
        <v>0</v>
      </c>
      <c r="AX121">
        <v>0</v>
      </c>
    </row>
    <row r="122" spans="1:50">
      <c r="A122" t="s">
        <v>1371</v>
      </c>
      <c r="B122" s="189">
        <f t="shared" si="1"/>
        <v>1.4687932095303599E-2</v>
      </c>
      <c r="C122" s="163">
        <v>5.8666956000000004E-7</v>
      </c>
      <c r="D122">
        <v>3.1461142000000002E-4</v>
      </c>
      <c r="E122">
        <v>6.1196198E-2</v>
      </c>
      <c r="F122" s="163">
        <v>6.0151357999999999E-9</v>
      </c>
      <c r="G122" s="163">
        <v>3.9056268E-5</v>
      </c>
      <c r="H122">
        <v>3.6710445999999999E-4</v>
      </c>
      <c r="I122">
        <v>7.0080692999999997E-4</v>
      </c>
      <c r="J122">
        <v>3.9926967000000001E-2</v>
      </c>
      <c r="K122">
        <v>-2.6585072999999999E-4</v>
      </c>
      <c r="L122">
        <v>1.4481198</v>
      </c>
      <c r="M122">
        <v>-1.0910312E-4</v>
      </c>
      <c r="N122">
        <v>-1.6979500000000001</v>
      </c>
      <c r="O122">
        <v>6.3769709999999993E-2</v>
      </c>
      <c r="P122">
        <v>-1.7617601000000001</v>
      </c>
      <c r="Q122" s="163">
        <v>4.0379102E-5</v>
      </c>
      <c r="R122" s="163">
        <v>7.3098508000000002E-9</v>
      </c>
      <c r="S122">
        <v>5.2970719999999999E-4</v>
      </c>
      <c r="T122" s="163">
        <v>5.2516523999999997E-5</v>
      </c>
      <c r="U122">
        <v>1.1639705E-3</v>
      </c>
      <c r="V122">
        <v>2.0036414000000002E-3</v>
      </c>
      <c r="W122">
        <v>3.6507446999999997E-4</v>
      </c>
      <c r="X122" s="163">
        <v>5.7463390999999995E-7</v>
      </c>
      <c r="Y122">
        <v>0.61492566999999998</v>
      </c>
      <c r="Z122">
        <v>1.5101183000000001E-2</v>
      </c>
      <c r="AA122" s="163">
        <v>3.5543939000000002E-9</v>
      </c>
      <c r="AB122">
        <v>2.1540594E-3</v>
      </c>
      <c r="AC122">
        <v>5.0783363000000001</v>
      </c>
      <c r="AD122" s="163">
        <v>2.2294052999999999E-10</v>
      </c>
      <c r="AE122" s="163">
        <v>-1.0722512000000001E-9</v>
      </c>
      <c r="AF122">
        <v>47.574475999999997</v>
      </c>
      <c r="AG122">
        <v>0</v>
      </c>
      <c r="AH122">
        <v>0</v>
      </c>
      <c r="AI122">
        <v>20.477121</v>
      </c>
      <c r="AJ122">
        <v>0</v>
      </c>
      <c r="AK122">
        <v>0</v>
      </c>
      <c r="AL122">
        <v>0.65559378000000001</v>
      </c>
      <c r="AM122">
        <v>0</v>
      </c>
      <c r="AN122">
        <v>0</v>
      </c>
      <c r="AO122">
        <v>0</v>
      </c>
      <c r="AP122">
        <v>3.8831171E-4</v>
      </c>
      <c r="AQ122" s="163">
        <v>1.1169019E-6</v>
      </c>
      <c r="AR122">
        <v>2.3378764999999999E-2</v>
      </c>
      <c r="AS122" s="163">
        <v>3.1016990000000001E-6</v>
      </c>
      <c r="AT122">
        <v>0</v>
      </c>
      <c r="AU122">
        <v>0</v>
      </c>
      <c r="AV122">
        <v>0</v>
      </c>
      <c r="AW122">
        <v>0</v>
      </c>
      <c r="AX122">
        <v>0</v>
      </c>
    </row>
    <row r="123" spans="1:50">
      <c r="A123" t="s">
        <v>1372</v>
      </c>
      <c r="B123" s="189">
        <f t="shared" si="1"/>
        <v>9.4347492411854E-2</v>
      </c>
      <c r="C123" s="163">
        <v>1.3057749000000001E-6</v>
      </c>
      <c r="D123">
        <v>4.4944067000000001E-3</v>
      </c>
      <c r="E123">
        <v>0.42418389000000001</v>
      </c>
      <c r="F123" s="163">
        <v>3.6060688999999998E-8</v>
      </c>
      <c r="G123">
        <v>8.9557334000000004E-4</v>
      </c>
      <c r="H123">
        <v>2.0327992000000001E-3</v>
      </c>
      <c r="I123">
        <v>3.9689804000000002E-4</v>
      </c>
      <c r="J123">
        <v>0.63002599000000004</v>
      </c>
      <c r="K123">
        <v>3.0801182999999999E-2</v>
      </c>
      <c r="L123">
        <v>12.463476999999999</v>
      </c>
      <c r="M123">
        <v>8.4589941999999995E-4</v>
      </c>
      <c r="N123">
        <v>-0.10110117</v>
      </c>
      <c r="O123">
        <v>0.43303589999999997</v>
      </c>
      <c r="P123">
        <v>-0.53511829</v>
      </c>
      <c r="Q123">
        <v>9.8121534000000007E-4</v>
      </c>
      <c r="R123" s="163">
        <v>3.9415544000000001E-8</v>
      </c>
      <c r="S123">
        <v>2.5842615999999998E-3</v>
      </c>
      <c r="T123" s="163">
        <v>2.4615634000000002E-5</v>
      </c>
      <c r="U123">
        <v>5.7965150999999995E-4</v>
      </c>
      <c r="V123">
        <v>7.0835591000000002E-3</v>
      </c>
      <c r="W123">
        <v>3.1863645999999999E-3</v>
      </c>
      <c r="X123" s="163">
        <v>1.3057485E-6</v>
      </c>
      <c r="Y123">
        <v>8.8179499999999997</v>
      </c>
      <c r="Z123">
        <v>0.18088306000000001</v>
      </c>
      <c r="AA123" s="163">
        <v>7.2177674999999998E-8</v>
      </c>
      <c r="AB123">
        <v>1.9722409E-2</v>
      </c>
      <c r="AC123">
        <v>11.645178</v>
      </c>
      <c r="AD123" s="163">
        <v>1.5209769999999999E-9</v>
      </c>
      <c r="AE123" s="163">
        <v>7.2622294000000003E-9</v>
      </c>
      <c r="AF123">
        <v>48.133347000000001</v>
      </c>
      <c r="AG123">
        <v>0</v>
      </c>
      <c r="AH123">
        <v>0</v>
      </c>
      <c r="AI123">
        <v>9.6758275999999999</v>
      </c>
      <c r="AJ123">
        <v>0</v>
      </c>
      <c r="AK123">
        <v>0</v>
      </c>
      <c r="AL123">
        <v>9.4226463999999996</v>
      </c>
      <c r="AM123">
        <v>0</v>
      </c>
      <c r="AN123">
        <v>0</v>
      </c>
      <c r="AO123">
        <v>0</v>
      </c>
      <c r="AP123">
        <v>5.2003068000000003E-3</v>
      </c>
      <c r="AQ123" s="163">
        <v>1.0000034E-5</v>
      </c>
      <c r="AR123">
        <v>7.8710856999999995E-2</v>
      </c>
      <c r="AS123" s="163">
        <v>2.0372039000000001E-5</v>
      </c>
      <c r="AT123">
        <v>0</v>
      </c>
      <c r="AU123">
        <v>0</v>
      </c>
      <c r="AV123">
        <v>0</v>
      </c>
      <c r="AW123">
        <v>0</v>
      </c>
      <c r="AX123">
        <v>0</v>
      </c>
    </row>
    <row r="124" spans="1:50">
      <c r="A124" t="s">
        <v>1373</v>
      </c>
      <c r="B124" s="189">
        <f t="shared" si="1"/>
        <v>0.11325964143479199</v>
      </c>
      <c r="C124" s="163">
        <v>3.1137761999999998E-6</v>
      </c>
      <c r="D124">
        <v>6.6953220000000001E-3</v>
      </c>
      <c r="E124">
        <v>0.78366433999999996</v>
      </c>
      <c r="F124" s="163">
        <v>1.1351622E-7</v>
      </c>
      <c r="G124">
        <v>1.4086407999999999E-3</v>
      </c>
      <c r="H124">
        <v>4.9504833999999996E-3</v>
      </c>
      <c r="I124">
        <v>1.0790966000000001E-3</v>
      </c>
      <c r="J124">
        <v>0.40410840999999997</v>
      </c>
      <c r="K124">
        <v>1.8726868000000001E-2</v>
      </c>
      <c r="L124">
        <v>35.204231999999998</v>
      </c>
      <c r="M124">
        <v>3.6366414000000001E-3</v>
      </c>
      <c r="N124">
        <v>-3.4979825</v>
      </c>
      <c r="O124">
        <v>0.79089021999999998</v>
      </c>
      <c r="P124">
        <v>-4.2939251000000001</v>
      </c>
      <c r="Q124">
        <v>5.0523629000000002E-3</v>
      </c>
      <c r="R124" s="163">
        <v>1.2537134000000001E-7</v>
      </c>
      <c r="S124">
        <v>6.7725657000000002E-3</v>
      </c>
      <c r="T124" s="163">
        <v>5.6192734999999997E-5</v>
      </c>
      <c r="U124">
        <v>1.5825975E-3</v>
      </c>
      <c r="V124">
        <v>2.2937190999999999E-2</v>
      </c>
      <c r="W124">
        <v>6.0467291000000003E-3</v>
      </c>
      <c r="X124" s="163">
        <v>3.1133780999999999E-6</v>
      </c>
      <c r="Y124">
        <v>14.861236</v>
      </c>
      <c r="Z124">
        <v>0.73869739999999995</v>
      </c>
      <c r="AA124" s="163">
        <v>3.7232673E-7</v>
      </c>
      <c r="AB124">
        <v>7.2692089000000001E-2</v>
      </c>
      <c r="AC124">
        <v>31.979717000000001</v>
      </c>
      <c r="AD124" s="163">
        <v>5.6812034E-9</v>
      </c>
      <c r="AE124" s="163">
        <v>2.7036125000000001E-8</v>
      </c>
      <c r="AF124">
        <v>271.53050999999999</v>
      </c>
      <c r="AG124">
        <v>0</v>
      </c>
      <c r="AH124">
        <v>0</v>
      </c>
      <c r="AI124">
        <v>64.923457999999997</v>
      </c>
      <c r="AJ124">
        <v>0</v>
      </c>
      <c r="AK124">
        <v>0</v>
      </c>
      <c r="AL124">
        <v>15.904188</v>
      </c>
      <c r="AM124">
        <v>0</v>
      </c>
      <c r="AN124">
        <v>0</v>
      </c>
      <c r="AO124">
        <v>0</v>
      </c>
      <c r="AP124">
        <v>2.0154869999999998E-2</v>
      </c>
      <c r="AQ124" s="163">
        <v>2.0859599999999999E-5</v>
      </c>
      <c r="AR124">
        <v>0.19385983000000001</v>
      </c>
      <c r="AS124" s="163">
        <v>7.4364005999999998E-5</v>
      </c>
      <c r="AT124">
        <v>0</v>
      </c>
      <c r="AU124">
        <v>0</v>
      </c>
      <c r="AV124">
        <v>0</v>
      </c>
      <c r="AW124">
        <v>0</v>
      </c>
      <c r="AX124">
        <v>0</v>
      </c>
    </row>
    <row r="125" spans="1:50">
      <c r="A125" t="s">
        <v>1374</v>
      </c>
      <c r="B125" s="189">
        <f t="shared" si="1"/>
        <v>0.14632176774526398</v>
      </c>
      <c r="C125" s="163">
        <v>4.4483279000000002E-6</v>
      </c>
      <c r="D125">
        <v>8.5502002000000001E-3</v>
      </c>
      <c r="E125">
        <v>1.0326721000000001</v>
      </c>
      <c r="F125" s="163">
        <v>1.4157455999999999E-7</v>
      </c>
      <c r="G125">
        <v>1.4932267999999999E-3</v>
      </c>
      <c r="H125">
        <v>6.5263936000000003E-3</v>
      </c>
      <c r="I125">
        <v>1.3319467000000001E-3</v>
      </c>
      <c r="J125">
        <v>0.51891686999999997</v>
      </c>
      <c r="K125">
        <v>2.0623642000000001E-2</v>
      </c>
      <c r="L125">
        <v>46.736029000000002</v>
      </c>
      <c r="M125">
        <v>4.0132164000000001E-3</v>
      </c>
      <c r="N125">
        <v>-3.2462767000000001</v>
      </c>
      <c r="O125">
        <v>1.0435601999999999</v>
      </c>
      <c r="P125">
        <v>-4.2950121000000001</v>
      </c>
      <c r="Q125">
        <v>5.17527E-3</v>
      </c>
      <c r="R125" s="163">
        <v>1.5942855E-7</v>
      </c>
      <c r="S125">
        <v>9.0727755999999993E-3</v>
      </c>
      <c r="T125" s="163">
        <v>6.9423462E-5</v>
      </c>
      <c r="U125">
        <v>1.7890472000000001E-3</v>
      </c>
      <c r="V125">
        <v>2.9926723999999998E-2</v>
      </c>
      <c r="W125">
        <v>6.5901138999999997E-3</v>
      </c>
      <c r="X125" s="163">
        <v>4.4484624999999998E-6</v>
      </c>
      <c r="Y125">
        <v>18.432634</v>
      </c>
      <c r="Z125">
        <v>1.2356381999999999</v>
      </c>
      <c r="AA125" s="163">
        <v>4.0423277E-7</v>
      </c>
      <c r="AB125">
        <v>8.2283555999999994E-2</v>
      </c>
      <c r="AC125">
        <v>35.305636</v>
      </c>
      <c r="AD125" s="163">
        <v>5.7846562999999998E-9</v>
      </c>
      <c r="AE125" s="163">
        <v>2.9766110999999999E-8</v>
      </c>
      <c r="AF125">
        <v>272.24682000000001</v>
      </c>
      <c r="AG125">
        <v>0</v>
      </c>
      <c r="AH125">
        <v>0</v>
      </c>
      <c r="AI125">
        <v>65.056263999999999</v>
      </c>
      <c r="AJ125">
        <v>0</v>
      </c>
      <c r="AK125">
        <v>0</v>
      </c>
      <c r="AL125">
        <v>19.760594999999999</v>
      </c>
      <c r="AM125">
        <v>0</v>
      </c>
      <c r="AN125">
        <v>0</v>
      </c>
      <c r="AO125">
        <v>0</v>
      </c>
      <c r="AP125">
        <v>3.1948061999999999E-2</v>
      </c>
      <c r="AQ125" s="163">
        <v>2.4576567000000001E-5</v>
      </c>
      <c r="AR125">
        <v>0.21107272999999999</v>
      </c>
      <c r="AS125" s="163">
        <v>8.6845335000000003E-5</v>
      </c>
      <c r="AT125">
        <v>0</v>
      </c>
      <c r="AU125">
        <v>0</v>
      </c>
      <c r="AV125">
        <v>0</v>
      </c>
      <c r="AW125">
        <v>0</v>
      </c>
      <c r="AX125">
        <v>0</v>
      </c>
    </row>
    <row r="126" spans="1:50">
      <c r="A126" t="s">
        <v>1375</v>
      </c>
      <c r="B126" s="189">
        <f t="shared" si="1"/>
        <v>9.1820184676292008E-2</v>
      </c>
      <c r="C126" s="163">
        <v>2.6415257000000001E-6</v>
      </c>
      <c r="D126">
        <v>5.4745315999999997E-3</v>
      </c>
      <c r="E126">
        <v>0.63042876000000003</v>
      </c>
      <c r="F126" s="163">
        <v>8.4513706000000004E-8</v>
      </c>
      <c r="G126">
        <v>9.3012170000000003E-4</v>
      </c>
      <c r="H126">
        <v>3.4931536999999999E-3</v>
      </c>
      <c r="I126">
        <v>7.4740129999999996E-4</v>
      </c>
      <c r="J126">
        <v>0.38315220999999999</v>
      </c>
      <c r="K126">
        <v>8.5923284999999995E-3</v>
      </c>
      <c r="L126">
        <v>19.917826000000002</v>
      </c>
      <c r="M126">
        <v>2.1190384999999999E-3</v>
      </c>
      <c r="N126">
        <v>-1.3680547999999999</v>
      </c>
      <c r="O126">
        <v>0.64816414</v>
      </c>
      <c r="P126">
        <v>-2.0177564000000001</v>
      </c>
      <c r="Q126">
        <v>1.5374778E-3</v>
      </c>
      <c r="R126" s="163">
        <v>9.2498564999999997E-8</v>
      </c>
      <c r="S126">
        <v>4.4896674000000003E-3</v>
      </c>
      <c r="T126" s="163">
        <v>4.2140500000000001E-5</v>
      </c>
      <c r="U126">
        <v>1.2483163000000001E-3</v>
      </c>
      <c r="V126">
        <v>1.3038657E-2</v>
      </c>
      <c r="W126">
        <v>4.3978432000000003E-3</v>
      </c>
      <c r="X126" s="163">
        <v>2.6420813E-6</v>
      </c>
      <c r="Y126">
        <v>10.71733</v>
      </c>
      <c r="Z126">
        <v>0.25284947000000002</v>
      </c>
      <c r="AA126" s="163">
        <v>4.1327501999999998E-8</v>
      </c>
      <c r="AB126">
        <v>3.1105384E-2</v>
      </c>
      <c r="AC126">
        <v>26.351576000000001</v>
      </c>
      <c r="AD126" s="163">
        <v>4.6503716999999997E-9</v>
      </c>
      <c r="AE126" s="163">
        <v>3.9868125E-8</v>
      </c>
      <c r="AF126">
        <v>179.43226000000001</v>
      </c>
      <c r="AG126">
        <v>0</v>
      </c>
      <c r="AH126">
        <v>0</v>
      </c>
      <c r="AI126">
        <v>30.047585000000002</v>
      </c>
      <c r="AJ126">
        <v>0</v>
      </c>
      <c r="AK126">
        <v>0</v>
      </c>
      <c r="AL126">
        <v>11.447312</v>
      </c>
      <c r="AM126">
        <v>0</v>
      </c>
      <c r="AN126">
        <v>0</v>
      </c>
      <c r="AO126">
        <v>0</v>
      </c>
      <c r="AP126">
        <v>7.0562013999999999E-3</v>
      </c>
      <c r="AQ126" s="163">
        <v>2.1344613000000001E-5</v>
      </c>
      <c r="AR126">
        <v>0.17261297</v>
      </c>
      <c r="AS126" s="163">
        <v>3.4708902000000001E-5</v>
      </c>
      <c r="AT126">
        <v>0</v>
      </c>
      <c r="AU126">
        <v>0</v>
      </c>
      <c r="AV126">
        <v>0</v>
      </c>
      <c r="AW126">
        <v>0</v>
      </c>
      <c r="AX126">
        <v>0</v>
      </c>
    </row>
    <row r="127" spans="1:50">
      <c r="A127" t="s">
        <v>1376</v>
      </c>
      <c r="B127" s="189">
        <f t="shared" si="1"/>
        <v>0.10040972842355798</v>
      </c>
      <c r="C127" s="163">
        <v>2.1162137999999998E-6</v>
      </c>
      <c r="D127">
        <v>4.9369638999999998E-3</v>
      </c>
      <c r="E127">
        <v>0.55333758</v>
      </c>
      <c r="F127" s="163">
        <v>7.0272444999999995E-8</v>
      </c>
      <c r="G127">
        <v>9.4204486999999995E-4</v>
      </c>
      <c r="H127">
        <v>3.6344265999999998E-3</v>
      </c>
      <c r="I127">
        <v>4.7169538E-4</v>
      </c>
      <c r="J127">
        <v>0.53861141999999995</v>
      </c>
      <c r="K127">
        <v>9.6937540000000006E-3</v>
      </c>
      <c r="L127">
        <v>24.343941999999998</v>
      </c>
      <c r="M127">
        <v>1.3866542E-3</v>
      </c>
      <c r="N127">
        <v>-0.9148984</v>
      </c>
      <c r="O127">
        <v>0.55010176</v>
      </c>
      <c r="P127">
        <v>-1.4663663</v>
      </c>
      <c r="Q127">
        <v>1.3661518E-3</v>
      </c>
      <c r="R127" s="163">
        <v>8.3368805999999995E-8</v>
      </c>
      <c r="S127">
        <v>4.6150595999999997E-3</v>
      </c>
      <c r="T127" s="163">
        <v>2.9180776000000001E-5</v>
      </c>
      <c r="U127">
        <v>7.3818988000000005E-4</v>
      </c>
      <c r="V127">
        <v>1.0788994E-2</v>
      </c>
      <c r="W127">
        <v>3.5282204E-3</v>
      </c>
      <c r="X127" s="163">
        <v>2.1166060999999999E-6</v>
      </c>
      <c r="Y127">
        <v>9.7216740000000001</v>
      </c>
      <c r="Z127">
        <v>0.49101207000000002</v>
      </c>
      <c r="AA127" s="163">
        <v>9.5746519000000006E-8</v>
      </c>
      <c r="AB127">
        <v>2.8060771000000002E-2</v>
      </c>
      <c r="AC127">
        <v>10.732065</v>
      </c>
      <c r="AD127" s="163">
        <v>3.7456494E-9</v>
      </c>
      <c r="AE127" s="163">
        <v>8.9063046E-9</v>
      </c>
      <c r="AF127">
        <v>51.233553000000001</v>
      </c>
      <c r="AG127">
        <v>0</v>
      </c>
      <c r="AH127">
        <v>0</v>
      </c>
      <c r="AI127">
        <v>28.128129999999999</v>
      </c>
      <c r="AJ127">
        <v>0</v>
      </c>
      <c r="AK127">
        <v>0</v>
      </c>
      <c r="AL127">
        <v>10.466354000000001</v>
      </c>
      <c r="AM127">
        <v>0</v>
      </c>
      <c r="AN127">
        <v>0</v>
      </c>
      <c r="AO127">
        <v>0</v>
      </c>
      <c r="AP127">
        <v>1.2553193000000001E-2</v>
      </c>
      <c r="AQ127" s="163">
        <v>1.5662667000000001E-5</v>
      </c>
      <c r="AR127">
        <v>0.10172920000000001</v>
      </c>
      <c r="AS127" s="163">
        <v>3.3459639999999997E-5</v>
      </c>
      <c r="AT127">
        <v>0</v>
      </c>
      <c r="AU127">
        <v>0</v>
      </c>
      <c r="AV127">
        <v>0</v>
      </c>
      <c r="AW127">
        <v>0</v>
      </c>
      <c r="AX127">
        <v>0</v>
      </c>
    </row>
    <row r="128" spans="1:50">
      <c r="A128" t="s">
        <v>1377</v>
      </c>
      <c r="B128" s="189">
        <f t="shared" si="1"/>
        <v>0</v>
      </c>
      <c r="C128">
        <v>0</v>
      </c>
      <c r="D128">
        <v>0</v>
      </c>
      <c r="E128">
        <v>0</v>
      </c>
      <c r="F128">
        <v>0</v>
      </c>
      <c r="G128">
        <v>0</v>
      </c>
      <c r="H128">
        <v>0</v>
      </c>
      <c r="I128">
        <v>0</v>
      </c>
      <c r="J128">
        <v>0</v>
      </c>
      <c r="K128">
        <v>0</v>
      </c>
      <c r="L128">
        <v>0</v>
      </c>
      <c r="M128">
        <v>0</v>
      </c>
      <c r="N128">
        <v>0</v>
      </c>
      <c r="O128">
        <v>0</v>
      </c>
      <c r="P128">
        <v>0</v>
      </c>
      <c r="Q128">
        <v>0</v>
      </c>
      <c r="R128">
        <v>0</v>
      </c>
      <c r="S128">
        <v>0</v>
      </c>
      <c r="T128">
        <v>0</v>
      </c>
      <c r="U128">
        <v>0</v>
      </c>
      <c r="V128">
        <v>0</v>
      </c>
      <c r="W128">
        <v>0</v>
      </c>
      <c r="X128">
        <v>0</v>
      </c>
      <c r="Y128">
        <v>0</v>
      </c>
      <c r="Z128">
        <v>0</v>
      </c>
      <c r="AA128">
        <v>0</v>
      </c>
      <c r="AB128">
        <v>0</v>
      </c>
      <c r="AC128">
        <v>0</v>
      </c>
      <c r="AD128">
        <v>0</v>
      </c>
      <c r="AE128">
        <v>0</v>
      </c>
      <c r="AF128">
        <v>0</v>
      </c>
      <c r="AG128">
        <v>0</v>
      </c>
      <c r="AH128">
        <v>0</v>
      </c>
      <c r="AI128">
        <v>0</v>
      </c>
      <c r="AJ128">
        <v>0</v>
      </c>
      <c r="AK128">
        <v>0</v>
      </c>
      <c r="AL128">
        <v>0</v>
      </c>
      <c r="AM128">
        <v>0</v>
      </c>
      <c r="AN128">
        <v>0</v>
      </c>
      <c r="AO128">
        <v>0</v>
      </c>
      <c r="AP128">
        <v>0</v>
      </c>
      <c r="AQ128">
        <v>0</v>
      </c>
      <c r="AR128">
        <v>0</v>
      </c>
      <c r="AS128">
        <v>0</v>
      </c>
      <c r="AT128">
        <v>0</v>
      </c>
      <c r="AU128">
        <v>0</v>
      </c>
      <c r="AV128">
        <v>0</v>
      </c>
      <c r="AW128">
        <v>0</v>
      </c>
      <c r="AX128">
        <v>0</v>
      </c>
    </row>
    <row r="129" spans="1:50">
      <c r="A129" t="s">
        <v>1378</v>
      </c>
      <c r="B129" s="189">
        <f t="shared" si="1"/>
        <v>6.4297062719650801E-3</v>
      </c>
      <c r="C129" s="163">
        <v>3.6224737999999998E-8</v>
      </c>
      <c r="D129">
        <v>3.4438167999999999E-4</v>
      </c>
      <c r="E129">
        <v>4.9111567000000002E-2</v>
      </c>
      <c r="F129" s="163">
        <v>8.9459588999999996E-9</v>
      </c>
      <c r="G129" s="163">
        <v>4.647087E-5</v>
      </c>
      <c r="H129">
        <v>3.4709492E-4</v>
      </c>
      <c r="I129" s="163">
        <v>7.7309431E-5</v>
      </c>
      <c r="J129">
        <v>1.8081421E-2</v>
      </c>
      <c r="K129">
        <v>3.0055735999999999E-4</v>
      </c>
      <c r="L129">
        <v>1.0316102</v>
      </c>
      <c r="M129" s="163">
        <v>3.5679144000000002E-5</v>
      </c>
      <c r="N129">
        <v>4.9629566999999999E-2</v>
      </c>
      <c r="O129">
        <v>4.9614498E-2</v>
      </c>
      <c r="P129" s="163">
        <v>9.1775677999999993E-6</v>
      </c>
      <c r="Q129" s="163">
        <v>5.8919509999999998E-6</v>
      </c>
      <c r="R129" s="163">
        <v>1.1261560000000001E-8</v>
      </c>
      <c r="S129">
        <v>4.8239415999999999E-4</v>
      </c>
      <c r="T129" s="163">
        <v>4.3722921E-7</v>
      </c>
      <c r="U129">
        <v>2.0536392999999999E-4</v>
      </c>
      <c r="V129">
        <v>2.2581827999999999E-3</v>
      </c>
      <c r="W129">
        <v>6.2205256000000004E-4</v>
      </c>
      <c r="X129" s="163">
        <v>3.6224827000000003E-8</v>
      </c>
      <c r="Y129">
        <v>0.72579464999999999</v>
      </c>
      <c r="Z129">
        <v>4.1239906999999999E-3</v>
      </c>
      <c r="AA129" s="163">
        <v>1.2154999E-8</v>
      </c>
      <c r="AB129">
        <v>3.1209179999999999E-3</v>
      </c>
      <c r="AC129">
        <v>0.42895878999999998</v>
      </c>
      <c r="AD129" s="163">
        <v>1.5066744E-11</v>
      </c>
      <c r="AE129" s="163">
        <v>4.0902689999999998E-10</v>
      </c>
      <c r="AF129">
        <v>0.17848220000000001</v>
      </c>
      <c r="AG129">
        <v>0</v>
      </c>
      <c r="AH129">
        <v>0</v>
      </c>
      <c r="AI129">
        <v>4.7770460999999997E-3</v>
      </c>
      <c r="AJ129">
        <v>0</v>
      </c>
      <c r="AK129">
        <v>0</v>
      </c>
      <c r="AL129">
        <v>0.77071065999999999</v>
      </c>
      <c r="AM129">
        <v>0</v>
      </c>
      <c r="AN129">
        <v>0</v>
      </c>
      <c r="AO129">
        <v>0</v>
      </c>
      <c r="AP129">
        <v>1.0590337E-4</v>
      </c>
      <c r="AQ129" s="163">
        <v>3.4683505999999997E-7</v>
      </c>
      <c r="AR129">
        <v>8.0953174999999992E-3</v>
      </c>
      <c r="AS129" s="163">
        <v>5.0141601999999998E-6</v>
      </c>
      <c r="AT129">
        <v>0</v>
      </c>
      <c r="AU129">
        <v>0</v>
      </c>
      <c r="AV129">
        <v>0</v>
      </c>
      <c r="AW129">
        <v>0</v>
      </c>
      <c r="AX129">
        <v>0</v>
      </c>
    </row>
    <row r="130" spans="1:50">
      <c r="A130" t="s">
        <v>1379</v>
      </c>
      <c r="B130" s="189">
        <f t="shared" si="1"/>
        <v>4.4691137193102394E-2</v>
      </c>
      <c r="C130" s="163">
        <v>3.5537514E-7</v>
      </c>
      <c r="D130">
        <v>1.9823505000000001E-3</v>
      </c>
      <c r="E130">
        <v>0.33433260999999997</v>
      </c>
      <c r="F130" s="163">
        <v>4.0039515999999998E-8</v>
      </c>
      <c r="G130">
        <v>2.8531573000000003E-4</v>
      </c>
      <c r="H130">
        <v>2.8375519000000001E-3</v>
      </c>
      <c r="I130">
        <v>3.6600184999999999E-4</v>
      </c>
      <c r="J130">
        <v>0.12717194000000001</v>
      </c>
      <c r="K130">
        <v>2.4113738999999999E-3</v>
      </c>
      <c r="L130">
        <v>8.9234329999999993</v>
      </c>
      <c r="M130">
        <v>5.1762900999999999E-4</v>
      </c>
      <c r="N130">
        <v>-1.6260573</v>
      </c>
      <c r="O130">
        <v>0.28434091</v>
      </c>
      <c r="P130">
        <v>-1.9107943000000001</v>
      </c>
      <c r="Q130">
        <v>3.9605652999999999E-4</v>
      </c>
      <c r="R130" s="163">
        <v>4.8854241000000003E-8</v>
      </c>
      <c r="S130">
        <v>3.5735471999999999E-3</v>
      </c>
      <c r="T130" s="163">
        <v>8.5694461000000004E-6</v>
      </c>
      <c r="U130">
        <v>8.8911212999999998E-4</v>
      </c>
      <c r="V130">
        <v>1.0048563E-2</v>
      </c>
      <c r="W130">
        <v>2.8264086000000001E-3</v>
      </c>
      <c r="X130" s="163">
        <v>3.5533078000000002E-7</v>
      </c>
      <c r="Y130">
        <v>4.0773929000000004</v>
      </c>
      <c r="Z130">
        <v>3.7948448000000003E-2</v>
      </c>
      <c r="AA130" s="163">
        <v>4.7403866000000002E-8</v>
      </c>
      <c r="AB130">
        <v>1.8443350000000001E-2</v>
      </c>
      <c r="AC130">
        <v>3.8731005999999999</v>
      </c>
      <c r="AD130" s="163">
        <v>1.3804032E-10</v>
      </c>
      <c r="AE130" s="163">
        <v>3.1326000000000001E-9</v>
      </c>
      <c r="AF130">
        <v>358.24869000000001</v>
      </c>
      <c r="AG130">
        <v>0</v>
      </c>
      <c r="AH130">
        <v>0</v>
      </c>
      <c r="AI130">
        <v>58.298574000000002</v>
      </c>
      <c r="AJ130">
        <v>0</v>
      </c>
      <c r="AK130">
        <v>0</v>
      </c>
      <c r="AL130">
        <v>4.3276794000000001</v>
      </c>
      <c r="AM130">
        <v>0</v>
      </c>
      <c r="AN130">
        <v>0</v>
      </c>
      <c r="AO130">
        <v>0</v>
      </c>
      <c r="AP130">
        <v>1.2425423E-3</v>
      </c>
      <c r="AQ130" s="163">
        <v>7.7379897000000006E-6</v>
      </c>
      <c r="AR130">
        <v>5.8299781000000002E-2</v>
      </c>
      <c r="AS130" s="163">
        <v>2.4560453000000001E-5</v>
      </c>
      <c r="AT130">
        <v>0</v>
      </c>
      <c r="AU130">
        <v>0</v>
      </c>
      <c r="AV130">
        <v>0</v>
      </c>
      <c r="AW130">
        <v>0</v>
      </c>
      <c r="AX130">
        <v>0</v>
      </c>
    </row>
    <row r="131" spans="1:50">
      <c r="A131" t="s">
        <v>1380</v>
      </c>
      <c r="B131" s="189">
        <f t="shared" si="1"/>
        <v>4.4229586234267607E-2</v>
      </c>
      <c r="C131" s="163">
        <v>4.0709135999999998E-7</v>
      </c>
      <c r="D131">
        <v>1.9368129999999999E-3</v>
      </c>
      <c r="E131">
        <v>0.27304545000000002</v>
      </c>
      <c r="F131" s="163">
        <v>4.0688435000000003E-8</v>
      </c>
      <c r="G131">
        <v>3.8504510000000002E-4</v>
      </c>
      <c r="H131">
        <v>3.2634055000000002E-3</v>
      </c>
      <c r="I131">
        <v>3.9349007000000002E-4</v>
      </c>
      <c r="J131">
        <v>0.13021240000000001</v>
      </c>
      <c r="K131">
        <v>3.8807273000000002E-3</v>
      </c>
      <c r="L131">
        <v>10.131093999999999</v>
      </c>
      <c r="M131">
        <v>8.7279695999999997E-4</v>
      </c>
      <c r="N131">
        <v>-1.3954002000000001</v>
      </c>
      <c r="O131">
        <v>0.27597321000000002</v>
      </c>
      <c r="P131">
        <v>-1.6728647000000001</v>
      </c>
      <c r="Q131">
        <v>1.4913033999999999E-3</v>
      </c>
      <c r="R131" s="163">
        <v>5.0164285999999997E-8</v>
      </c>
      <c r="S131">
        <v>4.0710440999999998E-3</v>
      </c>
      <c r="T131" s="163">
        <v>7.2882761000000003E-6</v>
      </c>
      <c r="U131">
        <v>9.5692675000000002E-4</v>
      </c>
      <c r="V131">
        <v>1.0756673E-2</v>
      </c>
      <c r="W131">
        <v>3.1555221E-3</v>
      </c>
      <c r="X131" s="163">
        <v>4.0677675999999999E-7</v>
      </c>
      <c r="Y131">
        <v>3.9623132000000001</v>
      </c>
      <c r="Z131">
        <v>3.5782016999999999E-2</v>
      </c>
      <c r="AA131" s="163">
        <v>4.6309812999999999E-8</v>
      </c>
      <c r="AB131">
        <v>1.7367569999999999E-2</v>
      </c>
      <c r="AC131">
        <v>4.9570599</v>
      </c>
      <c r="AD131" s="163">
        <v>1.6504336000000001E-10</v>
      </c>
      <c r="AE131" s="163">
        <v>4.5729965000000004E-9</v>
      </c>
      <c r="AF131">
        <v>101.30077</v>
      </c>
      <c r="AG131">
        <v>0</v>
      </c>
      <c r="AH131">
        <v>0</v>
      </c>
      <c r="AI131">
        <v>19.82405</v>
      </c>
      <c r="AJ131">
        <v>0</v>
      </c>
      <c r="AK131">
        <v>0</v>
      </c>
      <c r="AL131">
        <v>4.2102751999999999</v>
      </c>
      <c r="AM131">
        <v>0</v>
      </c>
      <c r="AN131">
        <v>0</v>
      </c>
      <c r="AO131">
        <v>0</v>
      </c>
      <c r="AP131">
        <v>1.1069406E-3</v>
      </c>
      <c r="AQ131" s="163">
        <v>4.9057913999999998E-6</v>
      </c>
      <c r="AR131">
        <v>9.0015689999999995E-2</v>
      </c>
      <c r="AS131" s="163">
        <v>2.4197918E-5</v>
      </c>
      <c r="AT131">
        <v>0</v>
      </c>
      <c r="AU131">
        <v>0</v>
      </c>
      <c r="AV131">
        <v>0</v>
      </c>
      <c r="AW131">
        <v>0</v>
      </c>
      <c r="AX131">
        <v>0</v>
      </c>
    </row>
    <row r="132" spans="1:50">
      <c r="A132" t="s">
        <v>1381</v>
      </c>
      <c r="B132" s="189">
        <f t="shared" si="1"/>
        <v>0.25765725066948997</v>
      </c>
      <c r="C132" s="163">
        <v>1.7817180000000001E-6</v>
      </c>
      <c r="D132">
        <v>6.5015908000000001E-3</v>
      </c>
      <c r="E132">
        <v>0.49819493999999998</v>
      </c>
      <c r="F132" s="163">
        <v>6.3649686999999994E-8</v>
      </c>
      <c r="G132">
        <v>6.6123057000000004E-3</v>
      </c>
      <c r="H132">
        <v>2.3707598999999999E-3</v>
      </c>
      <c r="I132">
        <v>4.1248069000000002E-4</v>
      </c>
      <c r="J132">
        <v>0.62631249</v>
      </c>
      <c r="K132">
        <v>4.9183200999999999</v>
      </c>
      <c r="L132">
        <v>13.121378999999999</v>
      </c>
      <c r="M132">
        <v>9.2020610000000005E-4</v>
      </c>
      <c r="N132">
        <v>-1.8607625000000001</v>
      </c>
      <c r="O132">
        <v>0.52428898000000002</v>
      </c>
      <c r="P132">
        <v>-2.3861987</v>
      </c>
      <c r="Q132">
        <v>1.1472729000000001E-3</v>
      </c>
      <c r="R132" s="163">
        <v>6.0881261999999998E-8</v>
      </c>
      <c r="S132">
        <v>2.9795501000000001E-3</v>
      </c>
      <c r="T132" s="163">
        <v>4.7601178999999997E-5</v>
      </c>
      <c r="U132">
        <v>6.6441644000000001E-4</v>
      </c>
      <c r="V132">
        <v>7.8324984000000004E-3</v>
      </c>
      <c r="W132">
        <v>1.5628547E-2</v>
      </c>
      <c r="X132" s="163">
        <v>1.7815516999999999E-6</v>
      </c>
      <c r="Y132">
        <v>10.287815</v>
      </c>
      <c r="Z132">
        <v>0.65645403000000002</v>
      </c>
      <c r="AA132" s="163">
        <v>8.0987882999999996E-8</v>
      </c>
      <c r="AB132">
        <v>1.6203085999999998E-2</v>
      </c>
      <c r="AC132">
        <v>620.54418999999996</v>
      </c>
      <c r="AD132" s="163">
        <v>4.6449374999999998E-8</v>
      </c>
      <c r="AE132" s="163">
        <v>1.1583837000000001E-8</v>
      </c>
      <c r="AF132">
        <v>215.34734</v>
      </c>
      <c r="AG132">
        <v>0</v>
      </c>
      <c r="AH132">
        <v>0</v>
      </c>
      <c r="AI132">
        <v>29.628601</v>
      </c>
      <c r="AJ132">
        <v>0</v>
      </c>
      <c r="AK132">
        <v>0</v>
      </c>
      <c r="AL132">
        <v>10.920883999999999</v>
      </c>
      <c r="AM132">
        <v>0</v>
      </c>
      <c r="AN132">
        <v>0</v>
      </c>
      <c r="AO132">
        <v>0</v>
      </c>
      <c r="AP132">
        <v>1.5841073000000001E-2</v>
      </c>
      <c r="AQ132" s="163">
        <v>1.2428098999999999E-5</v>
      </c>
      <c r="AR132">
        <v>7.9527972000000002E-2</v>
      </c>
      <c r="AS132" s="163">
        <v>1.8332478000000001E-5</v>
      </c>
      <c r="AT132">
        <v>0</v>
      </c>
      <c r="AU132">
        <v>0</v>
      </c>
      <c r="AV132">
        <v>0</v>
      </c>
      <c r="AW132">
        <v>0</v>
      </c>
      <c r="AX132">
        <v>0</v>
      </c>
    </row>
    <row r="133" spans="1:50">
      <c r="A133" t="s">
        <v>1382</v>
      </c>
      <c r="B133" s="189">
        <f t="shared" si="1"/>
        <v>6.7921607234570011E-2</v>
      </c>
      <c r="C133" s="163">
        <v>1.2227094E-5</v>
      </c>
      <c r="D133">
        <v>2.3901918000000001E-3</v>
      </c>
      <c r="E133">
        <v>0.36263514000000002</v>
      </c>
      <c r="F133" s="163">
        <v>3.2191951000000002E-8</v>
      </c>
      <c r="G133">
        <v>3.1354266000000001E-4</v>
      </c>
      <c r="H133">
        <v>3.0196936000000001E-3</v>
      </c>
      <c r="I133">
        <v>6.2825485000000004E-4</v>
      </c>
      <c r="J133">
        <v>0.31048012000000003</v>
      </c>
      <c r="K133">
        <v>8.9442579000000005E-3</v>
      </c>
      <c r="L133">
        <v>27.473434000000001</v>
      </c>
      <c r="M133">
        <v>1.4243691E-3</v>
      </c>
      <c r="N133">
        <v>-2.4937090999999998</v>
      </c>
      <c r="O133">
        <v>0.36788989</v>
      </c>
      <c r="P133">
        <v>-2.8629419</v>
      </c>
      <c r="Q133">
        <v>1.3428595E-3</v>
      </c>
      <c r="R133" s="163">
        <v>3.7843093000000003E-8</v>
      </c>
      <c r="S133">
        <v>3.7026219E-3</v>
      </c>
      <c r="T133">
        <v>1.1671951E-4</v>
      </c>
      <c r="U133">
        <v>6.3810769999999998E-4</v>
      </c>
      <c r="V133">
        <v>7.7706158999999997E-3</v>
      </c>
      <c r="W133">
        <v>2.1462398000000001E-3</v>
      </c>
      <c r="X133" s="163">
        <v>1.2227354E-5</v>
      </c>
      <c r="Y133">
        <v>4.5321347999999997</v>
      </c>
      <c r="Z133">
        <v>0.11712154</v>
      </c>
      <c r="AA133" s="163">
        <v>7.4539591999999993E-8</v>
      </c>
      <c r="AB133">
        <v>1.7189999000000001E-2</v>
      </c>
      <c r="AC133">
        <v>18.289508999999999</v>
      </c>
      <c r="AD133" s="163">
        <v>5.6622457000000002E-9</v>
      </c>
      <c r="AE133" s="163">
        <v>1.7464201000000001E-8</v>
      </c>
      <c r="AF133">
        <v>254.50387000000001</v>
      </c>
      <c r="AG133">
        <v>0</v>
      </c>
      <c r="AH133">
        <v>0</v>
      </c>
      <c r="AI133">
        <v>35.051389999999998</v>
      </c>
      <c r="AJ133">
        <v>0</v>
      </c>
      <c r="AK133">
        <v>0</v>
      </c>
      <c r="AL133">
        <v>4.8318143999999998</v>
      </c>
      <c r="AM133">
        <v>0</v>
      </c>
      <c r="AN133">
        <v>0</v>
      </c>
      <c r="AO133">
        <v>0</v>
      </c>
      <c r="AP133">
        <v>3.3515372E-3</v>
      </c>
      <c r="AQ133" s="163">
        <v>1.2265979999999999E-5</v>
      </c>
      <c r="AR133">
        <v>0.12532302000000001</v>
      </c>
      <c r="AS133" s="163">
        <v>1.9222077000000001E-5</v>
      </c>
      <c r="AT133">
        <v>0</v>
      </c>
      <c r="AU133">
        <v>0</v>
      </c>
      <c r="AV133">
        <v>0</v>
      </c>
      <c r="AW133">
        <v>0</v>
      </c>
      <c r="AX133">
        <v>0</v>
      </c>
    </row>
    <row r="134" spans="1:50">
      <c r="A134" t="s">
        <v>1383</v>
      </c>
      <c r="B134" s="189">
        <f t="shared" ref="B134:B197" si="2">(C134*0.16)+(D134*0.16)+(E134*0.05)+(F134*30)+(G134*2)+(H134*4)+(I134*9)+(J134*0.09)+(K134*0.03)+(L134*0.0001)+(M134*0.06)</f>
        <v>2.9746360569515198E-2</v>
      </c>
      <c r="C134" s="163">
        <v>9.2793946999999997E-7</v>
      </c>
      <c r="D134">
        <v>1.6261721E-3</v>
      </c>
      <c r="E134">
        <v>0.23058202</v>
      </c>
      <c r="F134" s="163">
        <v>2.501164E-8</v>
      </c>
      <c r="G134">
        <v>2.2065784999999999E-4</v>
      </c>
      <c r="H134">
        <v>1.2623635E-3</v>
      </c>
      <c r="I134">
        <v>2.3105660999999999E-4</v>
      </c>
      <c r="J134">
        <v>0.1062584</v>
      </c>
      <c r="K134">
        <v>2.7138501999999999E-3</v>
      </c>
      <c r="L134">
        <v>6.9319658000000004</v>
      </c>
      <c r="M134">
        <v>8.004323E-4</v>
      </c>
      <c r="N134">
        <v>-2.7385370999999998</v>
      </c>
      <c r="O134">
        <v>0.23362193000000001</v>
      </c>
      <c r="P134">
        <v>-2.9734359000000001</v>
      </c>
      <c r="Q134">
        <v>1.2768888E-3</v>
      </c>
      <c r="R134" s="163">
        <v>2.9819408000000002E-8</v>
      </c>
      <c r="S134">
        <v>1.6546041000000001E-3</v>
      </c>
      <c r="T134" s="163">
        <v>1.0885318999999999E-5</v>
      </c>
      <c r="U134">
        <v>4.7954686E-4</v>
      </c>
      <c r="V134">
        <v>5.5992304000000003E-3</v>
      </c>
      <c r="W134">
        <v>1.6187462E-3</v>
      </c>
      <c r="X134" s="163">
        <v>9.2771612999999999E-7</v>
      </c>
      <c r="Y134">
        <v>3.1756940999999999</v>
      </c>
      <c r="Z134">
        <v>3.6932054999999998E-2</v>
      </c>
      <c r="AA134" s="163">
        <v>6.7175324000000002E-8</v>
      </c>
      <c r="AB134">
        <v>1.3543417E-2</v>
      </c>
      <c r="AC134">
        <v>4.8454714000000001</v>
      </c>
      <c r="AD134" s="163">
        <v>1.8967152999999999E-10</v>
      </c>
      <c r="AE134" s="163">
        <v>4.3378369999999999E-9</v>
      </c>
      <c r="AF134">
        <v>262.55838999999997</v>
      </c>
      <c r="AG134">
        <v>0</v>
      </c>
      <c r="AH134">
        <v>0</v>
      </c>
      <c r="AI134">
        <v>36.263032000000003</v>
      </c>
      <c r="AJ134">
        <v>0</v>
      </c>
      <c r="AK134">
        <v>0</v>
      </c>
      <c r="AL134">
        <v>3.3759386999999998</v>
      </c>
      <c r="AM134">
        <v>0</v>
      </c>
      <c r="AN134">
        <v>0</v>
      </c>
      <c r="AO134">
        <v>0</v>
      </c>
      <c r="AP134">
        <v>1.3266401000000001E-3</v>
      </c>
      <c r="AQ134" s="163">
        <v>9.9350504000000005E-6</v>
      </c>
      <c r="AR134">
        <v>6.6792239000000003E-2</v>
      </c>
      <c r="AS134" s="163">
        <v>1.5876954000000001E-5</v>
      </c>
      <c r="AT134">
        <v>0</v>
      </c>
      <c r="AU134">
        <v>0</v>
      </c>
      <c r="AV134">
        <v>0</v>
      </c>
      <c r="AW134">
        <v>0</v>
      </c>
      <c r="AX134">
        <v>0</v>
      </c>
    </row>
    <row r="135" spans="1:50">
      <c r="A135" t="s">
        <v>1384</v>
      </c>
      <c r="B135" s="189">
        <f t="shared" si="2"/>
        <v>6.8008766636525997E-2</v>
      </c>
      <c r="C135" s="163">
        <v>1.4706310999999999E-6</v>
      </c>
      <c r="D135">
        <v>3.8214999999999998E-3</v>
      </c>
      <c r="E135">
        <v>0.51101023000000001</v>
      </c>
      <c r="F135" s="163">
        <v>6.3548185000000004E-8</v>
      </c>
      <c r="G135">
        <v>5.9565184E-4</v>
      </c>
      <c r="H135">
        <v>3.0469387000000001E-3</v>
      </c>
      <c r="I135">
        <v>6.0599695999999999E-4</v>
      </c>
      <c r="J135">
        <v>0.23234221999999999</v>
      </c>
      <c r="K135">
        <v>7.1538699999999997E-3</v>
      </c>
      <c r="L135">
        <v>17.814250000000001</v>
      </c>
      <c r="M135">
        <v>1.7466895E-3</v>
      </c>
      <c r="N135">
        <v>-3.0057344000000001</v>
      </c>
      <c r="O135">
        <v>0.51661551999999999</v>
      </c>
      <c r="P135">
        <v>-3.5243923000000001</v>
      </c>
      <c r="Q135">
        <v>2.0423277999999999E-3</v>
      </c>
      <c r="R135" s="163">
        <v>7.2664618E-8</v>
      </c>
      <c r="S135">
        <v>4.0628670000000004E-3</v>
      </c>
      <c r="T135" s="163">
        <v>2.8724017000000001E-5</v>
      </c>
      <c r="U135">
        <v>1.1195885000000001E-3</v>
      </c>
      <c r="V135">
        <v>1.3979715E-2</v>
      </c>
      <c r="W135">
        <v>3.7332144E-3</v>
      </c>
      <c r="X135" s="163">
        <v>1.4704029000000001E-6</v>
      </c>
      <c r="Y135">
        <v>8.0711583000000005</v>
      </c>
      <c r="Z135">
        <v>0.19374786999999999</v>
      </c>
      <c r="AA135" s="163">
        <v>1.7879114999999999E-7</v>
      </c>
      <c r="AB135">
        <v>3.9762565999999999E-2</v>
      </c>
      <c r="AC135">
        <v>16.194371</v>
      </c>
      <c r="AD135" s="163">
        <v>1.3621256E-9</v>
      </c>
      <c r="AE135" s="163">
        <v>1.3877020000000001E-8</v>
      </c>
      <c r="AF135">
        <v>324.21821</v>
      </c>
      <c r="AG135">
        <v>0</v>
      </c>
      <c r="AH135">
        <v>0</v>
      </c>
      <c r="AI135">
        <v>48.049872999999998</v>
      </c>
      <c r="AJ135">
        <v>0</v>
      </c>
      <c r="AK135">
        <v>0</v>
      </c>
      <c r="AL135">
        <v>8.5847233999999997</v>
      </c>
      <c r="AM135">
        <v>0</v>
      </c>
      <c r="AN135">
        <v>0</v>
      </c>
      <c r="AO135">
        <v>0</v>
      </c>
      <c r="AP135">
        <v>5.9692946000000002E-3</v>
      </c>
      <c r="AQ135" s="163">
        <v>2.0057522999999999E-5</v>
      </c>
      <c r="AR135">
        <v>0.14931090999999999</v>
      </c>
      <c r="AS135" s="163">
        <v>4.3211660999999998E-5</v>
      </c>
      <c r="AT135">
        <v>0</v>
      </c>
      <c r="AU135">
        <v>0</v>
      </c>
      <c r="AV135">
        <v>0</v>
      </c>
      <c r="AW135">
        <v>0</v>
      </c>
      <c r="AX135">
        <v>0</v>
      </c>
    </row>
    <row r="136" spans="1:50">
      <c r="A136" t="s">
        <v>1385</v>
      </c>
      <c r="B136" s="189">
        <f t="shared" si="2"/>
        <v>0.94421406357009996</v>
      </c>
      <c r="C136">
        <v>2.9806921000000001E-4</v>
      </c>
      <c r="D136">
        <v>1.4859870000000001E-2</v>
      </c>
      <c r="E136">
        <v>2.7508156000000001</v>
      </c>
      <c r="F136" s="163">
        <v>1.6720455E-7</v>
      </c>
      <c r="G136">
        <v>2.4194217E-3</v>
      </c>
      <c r="H136">
        <v>4.3717641000000002E-2</v>
      </c>
      <c r="I136">
        <v>1.027278E-2</v>
      </c>
      <c r="J136">
        <v>5.2667567000000002</v>
      </c>
      <c r="K136">
        <v>0.15889512</v>
      </c>
      <c r="L136">
        <v>523.69569999999999</v>
      </c>
      <c r="M136">
        <v>1.5567386000000001E-2</v>
      </c>
      <c r="N136">
        <v>2.7994648999999998</v>
      </c>
      <c r="O136">
        <v>2.7957174</v>
      </c>
      <c r="P136">
        <v>2.3854522000000002E-3</v>
      </c>
      <c r="Q136">
        <v>1.362048E-3</v>
      </c>
      <c r="R136" s="163">
        <v>1.9317208E-7</v>
      </c>
      <c r="S136">
        <v>5.0823497000000002E-2</v>
      </c>
      <c r="T136">
        <v>2.7868372E-3</v>
      </c>
      <c r="U136">
        <v>3.6953012999999999E-3</v>
      </c>
      <c r="V136">
        <v>5.1804635000000002E-2</v>
      </c>
      <c r="W136">
        <v>1.2922135E-2</v>
      </c>
      <c r="X136">
        <v>2.9808179E-4</v>
      </c>
      <c r="Y136">
        <v>26.941666000000001</v>
      </c>
      <c r="Z136">
        <v>1.3409833</v>
      </c>
      <c r="AA136" s="163">
        <v>2.1834108000000001E-7</v>
      </c>
      <c r="AB136">
        <v>6.4714963E-2</v>
      </c>
      <c r="AC136">
        <v>345.88929000000002</v>
      </c>
      <c r="AD136" s="163">
        <v>1.4659309E-7</v>
      </c>
      <c r="AE136" s="163">
        <v>3.4540181000000001E-7</v>
      </c>
      <c r="AF136">
        <v>15.991336</v>
      </c>
      <c r="AG136">
        <v>0</v>
      </c>
      <c r="AH136">
        <v>0</v>
      </c>
      <c r="AI136">
        <v>2.4212240999999999</v>
      </c>
      <c r="AJ136">
        <v>0</v>
      </c>
      <c r="AK136">
        <v>0</v>
      </c>
      <c r="AL136">
        <v>28.986003</v>
      </c>
      <c r="AM136">
        <v>0</v>
      </c>
      <c r="AN136">
        <v>0</v>
      </c>
      <c r="AO136">
        <v>0</v>
      </c>
      <c r="AP136">
        <v>3.3570863999999999E-2</v>
      </c>
      <c r="AQ136" s="163">
        <v>4.9319476000000002E-5</v>
      </c>
      <c r="AR136">
        <v>1.4965098999999999</v>
      </c>
      <c r="AS136" s="163">
        <v>7.2398534999999997E-5</v>
      </c>
      <c r="AT136">
        <v>0</v>
      </c>
      <c r="AU136">
        <v>0</v>
      </c>
      <c r="AV136">
        <v>0</v>
      </c>
      <c r="AW136">
        <v>0</v>
      </c>
      <c r="AX136">
        <v>0</v>
      </c>
    </row>
    <row r="137" spans="1:50">
      <c r="A137" t="s">
        <v>1386</v>
      </c>
      <c r="B137" s="189">
        <f t="shared" si="2"/>
        <v>0.12931355205512998</v>
      </c>
      <c r="C137" s="163">
        <v>2.2460510000000001E-6</v>
      </c>
      <c r="D137">
        <v>7.9188987999999991E-3</v>
      </c>
      <c r="E137">
        <v>1.0679639999999999</v>
      </c>
      <c r="F137" s="163">
        <v>6.0292298999999994E-8</v>
      </c>
      <c r="G137">
        <v>1.0847325000000001E-3</v>
      </c>
      <c r="H137">
        <v>6.0531392E-3</v>
      </c>
      <c r="I137">
        <v>7.9797655000000002E-4</v>
      </c>
      <c r="J137">
        <v>0.41844458000000001</v>
      </c>
      <c r="K137">
        <v>1.013322E-2</v>
      </c>
      <c r="L137">
        <v>29.614912</v>
      </c>
      <c r="M137">
        <v>2.6141559999999999E-3</v>
      </c>
      <c r="N137">
        <v>-0.19892249000000001</v>
      </c>
      <c r="O137">
        <v>1.0886826000000001</v>
      </c>
      <c r="P137">
        <v>-1.2898882</v>
      </c>
      <c r="Q137">
        <v>2.2830777999999999E-3</v>
      </c>
      <c r="R137" s="163">
        <v>6.6667196999999997E-8</v>
      </c>
      <c r="S137">
        <v>7.4705409000000002E-3</v>
      </c>
      <c r="T137" s="163">
        <v>6.0292443000000003E-5</v>
      </c>
      <c r="U137">
        <v>1.309532E-3</v>
      </c>
      <c r="V137">
        <v>1.6006155000000001E-2</v>
      </c>
      <c r="W137">
        <v>5.1791989999999998E-3</v>
      </c>
      <c r="X137" s="163">
        <v>2.2341575000000001E-6</v>
      </c>
      <c r="Y137">
        <v>14.383093000000001</v>
      </c>
      <c r="Z137">
        <v>0.37739526000000001</v>
      </c>
      <c r="AA137" s="163">
        <v>8.5463997999999996E-8</v>
      </c>
      <c r="AB137">
        <v>3.8188883E-2</v>
      </c>
      <c r="AC137">
        <v>28.292007000000002</v>
      </c>
      <c r="AD137" s="163">
        <v>1.5708412999999999E-9</v>
      </c>
      <c r="AE137" s="163">
        <v>1.7452158E-8</v>
      </c>
      <c r="AF137">
        <v>81.998047999999997</v>
      </c>
      <c r="AG137">
        <v>0</v>
      </c>
      <c r="AH137">
        <v>0</v>
      </c>
      <c r="AI137">
        <v>19.895562999999999</v>
      </c>
      <c r="AJ137">
        <v>0</v>
      </c>
      <c r="AK137">
        <v>0</v>
      </c>
      <c r="AL137">
        <v>15.338956</v>
      </c>
      <c r="AM137">
        <v>0</v>
      </c>
      <c r="AN137">
        <v>0</v>
      </c>
      <c r="AO137">
        <v>0</v>
      </c>
      <c r="AP137">
        <v>1.1302272E-2</v>
      </c>
      <c r="AQ137" s="163">
        <v>2.3048130999999999E-5</v>
      </c>
      <c r="AR137">
        <v>0.15199330999999999</v>
      </c>
      <c r="AS137" s="163">
        <v>3.7719200999999999E-5</v>
      </c>
      <c r="AT137">
        <v>0</v>
      </c>
      <c r="AU137">
        <v>0</v>
      </c>
      <c r="AV137">
        <v>0</v>
      </c>
      <c r="AW137">
        <v>0</v>
      </c>
      <c r="AX137">
        <v>0</v>
      </c>
    </row>
    <row r="138" spans="1:50">
      <c r="A138" t="s">
        <v>1387</v>
      </c>
      <c r="B138" s="189">
        <f t="shared" si="2"/>
        <v>6.60433878258396E-2</v>
      </c>
      <c r="C138" s="163">
        <v>7.5120305999999999E-7</v>
      </c>
      <c r="D138">
        <v>3.2799081999999999E-3</v>
      </c>
      <c r="E138">
        <v>0.74493281</v>
      </c>
      <c r="F138" s="163">
        <v>3.9921485000000003E-8</v>
      </c>
      <c r="G138">
        <v>3.3436054999999999E-4</v>
      </c>
      <c r="H138">
        <v>2.0771353E-3</v>
      </c>
      <c r="I138">
        <v>3.1507455000000001E-4</v>
      </c>
      <c r="J138">
        <v>0.16882359999999999</v>
      </c>
      <c r="K138">
        <v>2.9459307000000001E-3</v>
      </c>
      <c r="L138">
        <v>11.15855</v>
      </c>
      <c r="M138">
        <v>9.8923342999999997E-4</v>
      </c>
      <c r="N138">
        <v>0.64855646</v>
      </c>
      <c r="O138">
        <v>0.75210547999999999</v>
      </c>
      <c r="P138">
        <v>-0.10386405</v>
      </c>
      <c r="Q138">
        <v>3.1504029999999999E-4</v>
      </c>
      <c r="R138" s="163">
        <v>4.769999E-8</v>
      </c>
      <c r="S138">
        <v>2.6529481000000001E-3</v>
      </c>
      <c r="T138" s="163">
        <v>1.6210421000000001E-5</v>
      </c>
      <c r="U138">
        <v>6.4503599000000002E-4</v>
      </c>
      <c r="V138">
        <v>7.6906366E-3</v>
      </c>
      <c r="W138">
        <v>2.2816783000000002E-3</v>
      </c>
      <c r="X138" s="163">
        <v>7.5123766999999996E-7</v>
      </c>
      <c r="Y138">
        <v>6.4016393999999996</v>
      </c>
      <c r="Z138">
        <v>0.15140786000000001</v>
      </c>
      <c r="AA138" s="163">
        <v>2.6601238000000001E-8</v>
      </c>
      <c r="AB138">
        <v>1.7978909000000001E-2</v>
      </c>
      <c r="AC138">
        <v>7.3467475999999996</v>
      </c>
      <c r="AD138" s="163">
        <v>3.3784576000000001E-10</v>
      </c>
      <c r="AE138" s="163">
        <v>6.4443052000000002E-9</v>
      </c>
      <c r="AF138">
        <v>9.8710885000000008</v>
      </c>
      <c r="AG138">
        <v>0</v>
      </c>
      <c r="AH138">
        <v>0</v>
      </c>
      <c r="AI138">
        <v>1.7571665000000001</v>
      </c>
      <c r="AJ138">
        <v>0</v>
      </c>
      <c r="AK138">
        <v>0</v>
      </c>
      <c r="AL138">
        <v>6.8198505999999997</v>
      </c>
      <c r="AM138">
        <v>0</v>
      </c>
      <c r="AN138">
        <v>0</v>
      </c>
      <c r="AO138">
        <v>0</v>
      </c>
      <c r="AP138">
        <v>3.5712424999999998E-3</v>
      </c>
      <c r="AQ138" s="163">
        <v>1.0446403E-5</v>
      </c>
      <c r="AR138">
        <v>8.7602464000000005E-2</v>
      </c>
      <c r="AS138" s="163">
        <v>2.3148841999999999E-5</v>
      </c>
      <c r="AT138">
        <v>0</v>
      </c>
      <c r="AU138">
        <v>0</v>
      </c>
      <c r="AV138">
        <v>0</v>
      </c>
      <c r="AW138">
        <v>0</v>
      </c>
      <c r="AX138">
        <v>0</v>
      </c>
    </row>
    <row r="139" spans="1:50">
      <c r="A139" t="s">
        <v>1388</v>
      </c>
      <c r="B139" s="189">
        <f t="shared" si="2"/>
        <v>4.8389420270132801E-2</v>
      </c>
      <c r="C139" s="163">
        <v>6.9088457999999999E-7</v>
      </c>
      <c r="D139">
        <v>2.3073859000000002E-3</v>
      </c>
      <c r="E139">
        <v>0.54763165999999996</v>
      </c>
      <c r="F139" s="163">
        <v>3.1079399999999998E-8</v>
      </c>
      <c r="G139">
        <v>1.8337868000000001E-4</v>
      </c>
      <c r="H139">
        <v>1.609914E-3</v>
      </c>
      <c r="I139">
        <v>2.4376249000000001E-4</v>
      </c>
      <c r="J139">
        <v>0.11823067</v>
      </c>
      <c r="K139">
        <v>2.1925088E-3</v>
      </c>
      <c r="L139">
        <v>8.8368126999999994</v>
      </c>
      <c r="M139">
        <v>7.8533330999999999E-4</v>
      </c>
      <c r="N139">
        <v>0.46772606</v>
      </c>
      <c r="O139">
        <v>0.55278541999999997</v>
      </c>
      <c r="P139">
        <v>-8.5275382999999996E-2</v>
      </c>
      <c r="Q139">
        <v>2.1602146E-4</v>
      </c>
      <c r="R139" s="163">
        <v>3.7370631000000002E-8</v>
      </c>
      <c r="S139">
        <v>2.0546785000000001E-3</v>
      </c>
      <c r="T139" s="163">
        <v>1.2675097E-5</v>
      </c>
      <c r="U139">
        <v>5.0641339E-4</v>
      </c>
      <c r="V139">
        <v>5.9861897999999997E-3</v>
      </c>
      <c r="W139">
        <v>1.6367180999999999E-3</v>
      </c>
      <c r="X139" s="163">
        <v>6.9090160000000001E-7</v>
      </c>
      <c r="Y139">
        <v>4.4579165999999999</v>
      </c>
      <c r="Z139">
        <v>9.6475438999999996E-2</v>
      </c>
      <c r="AA139" s="163">
        <v>1.9926093999999999E-8</v>
      </c>
      <c r="AB139">
        <v>1.4512880000000001E-2</v>
      </c>
      <c r="AC139">
        <v>5.7438545999999997</v>
      </c>
      <c r="AD139" s="163">
        <v>2.1094111E-10</v>
      </c>
      <c r="AE139" s="163">
        <v>5.0629070999999997E-9</v>
      </c>
      <c r="AF139">
        <v>11.400378</v>
      </c>
      <c r="AG139">
        <v>0</v>
      </c>
      <c r="AH139">
        <v>0</v>
      </c>
      <c r="AI139">
        <v>1.2243637999999999</v>
      </c>
      <c r="AJ139">
        <v>0</v>
      </c>
      <c r="AK139">
        <v>0</v>
      </c>
      <c r="AL139">
        <v>4.7400850999999999</v>
      </c>
      <c r="AM139">
        <v>0</v>
      </c>
      <c r="AN139">
        <v>0</v>
      </c>
      <c r="AO139">
        <v>0</v>
      </c>
      <c r="AP139">
        <v>2.2907704999999999E-3</v>
      </c>
      <c r="AQ139" s="163">
        <v>9.0687957999999995E-6</v>
      </c>
      <c r="AR139">
        <v>8.2000009999999998E-2</v>
      </c>
      <c r="AS139" s="163">
        <v>1.8595515999999999E-5</v>
      </c>
      <c r="AT139">
        <v>0</v>
      </c>
      <c r="AU139">
        <v>0</v>
      </c>
      <c r="AV139">
        <v>0</v>
      </c>
      <c r="AW139">
        <v>0</v>
      </c>
      <c r="AX139">
        <v>0</v>
      </c>
    </row>
    <row r="140" spans="1:50">
      <c r="A140" t="s">
        <v>1389</v>
      </c>
      <c r="B140" s="189">
        <f t="shared" si="2"/>
        <v>2.1102891168818E-2</v>
      </c>
      <c r="C140" s="163">
        <v>1.5458554999999999E-7</v>
      </c>
      <c r="D140">
        <v>8.9437901999999997E-4</v>
      </c>
      <c r="E140">
        <v>0.13048794999999999</v>
      </c>
      <c r="F140" s="163">
        <v>1.6747281000000001E-8</v>
      </c>
      <c r="G140">
        <v>1.1061639E-4</v>
      </c>
      <c r="H140">
        <v>1.7973723999999999E-3</v>
      </c>
      <c r="I140">
        <v>2.0001072E-4</v>
      </c>
      <c r="J140">
        <v>5.2683662999999999E-2</v>
      </c>
      <c r="K140">
        <v>9.5907882999999997E-4</v>
      </c>
      <c r="L140">
        <v>4.4125806000000001</v>
      </c>
      <c r="M140">
        <v>2.0811530999999999E-4</v>
      </c>
      <c r="N140">
        <v>0.13260979000000001</v>
      </c>
      <c r="O140">
        <v>0.13214809999999999</v>
      </c>
      <c r="P140">
        <v>3.5761023999999998E-4</v>
      </c>
      <c r="Q140">
        <v>1.0408014E-4</v>
      </c>
      <c r="R140" s="163">
        <v>2.0354835E-8</v>
      </c>
      <c r="S140">
        <v>2.2450832000000002E-3</v>
      </c>
      <c r="T140" s="163">
        <v>4.1253320000000002E-6</v>
      </c>
      <c r="U140">
        <v>4.9179248000000004E-4</v>
      </c>
      <c r="V140">
        <v>5.7625597000000002E-3</v>
      </c>
      <c r="W140">
        <v>1.4641767E-3</v>
      </c>
      <c r="X140" s="163">
        <v>1.5457882000000001E-7</v>
      </c>
      <c r="Y140">
        <v>1.8021003</v>
      </c>
      <c r="Z140">
        <v>1.5326452000000001E-2</v>
      </c>
      <c r="AA140" s="163">
        <v>8.2201067999999995E-9</v>
      </c>
      <c r="AB140">
        <v>7.9467127000000005E-3</v>
      </c>
      <c r="AC140">
        <v>9.4477668000000001</v>
      </c>
      <c r="AD140" s="163">
        <v>5.1102511999999999E-11</v>
      </c>
      <c r="AE140" s="163">
        <v>1.2751931E-9</v>
      </c>
      <c r="AF140">
        <v>0.58993262000000002</v>
      </c>
      <c r="AG140">
        <v>0</v>
      </c>
      <c r="AH140">
        <v>0</v>
      </c>
      <c r="AI140">
        <v>8.1362659000000004E-2</v>
      </c>
      <c r="AJ140">
        <v>0</v>
      </c>
      <c r="AK140">
        <v>0</v>
      </c>
      <c r="AL140">
        <v>1.9114808000000001</v>
      </c>
      <c r="AM140">
        <v>0</v>
      </c>
      <c r="AN140">
        <v>0</v>
      </c>
      <c r="AO140">
        <v>0</v>
      </c>
      <c r="AP140">
        <v>5.3748159000000005E-4</v>
      </c>
      <c r="AQ140" s="163">
        <v>1.4844858000000001E-6</v>
      </c>
      <c r="AR140">
        <v>1.6010798999999999E-2</v>
      </c>
      <c r="AS140" s="163">
        <v>1.0387553E-5</v>
      </c>
      <c r="AT140">
        <v>0</v>
      </c>
      <c r="AU140">
        <v>0</v>
      </c>
      <c r="AV140">
        <v>0</v>
      </c>
      <c r="AW140">
        <v>0</v>
      </c>
      <c r="AX140">
        <v>0</v>
      </c>
    </row>
    <row r="141" spans="1:50">
      <c r="A141" t="s">
        <v>1390</v>
      </c>
      <c r="B141" s="189">
        <f t="shared" si="2"/>
        <v>0.22338115472587999</v>
      </c>
      <c r="C141" s="163">
        <v>1.2042802999999999E-5</v>
      </c>
      <c r="D141">
        <v>2.1079212999999999E-2</v>
      </c>
      <c r="E141">
        <v>1.1215913</v>
      </c>
      <c r="F141" s="163">
        <v>5.2385258000000001E-7</v>
      </c>
      <c r="G141">
        <v>2.2339082999999998E-3</v>
      </c>
      <c r="H141">
        <v>8.0547501000000007E-3</v>
      </c>
      <c r="I141">
        <v>2.9597619999999999E-3</v>
      </c>
      <c r="J141">
        <v>0.91974127999999999</v>
      </c>
      <c r="K141">
        <v>0.25792201999999997</v>
      </c>
      <c r="L141">
        <v>54.564700000000002</v>
      </c>
      <c r="M141">
        <v>7.6929206999999999E-2</v>
      </c>
      <c r="N141">
        <v>0.41068461000000001</v>
      </c>
      <c r="O141">
        <v>0.93264263000000003</v>
      </c>
      <c r="P141">
        <v>-0.73405288999999996</v>
      </c>
      <c r="Q141">
        <v>0.21209488000000001</v>
      </c>
      <c r="R141" s="163">
        <v>6.5501310999999999E-7</v>
      </c>
      <c r="S141">
        <v>1.0866011E-2</v>
      </c>
      <c r="T141">
        <v>1.0853401E-4</v>
      </c>
      <c r="U141">
        <v>4.1832967999999998E-3</v>
      </c>
      <c r="V141">
        <v>2.8075514999999999E-2</v>
      </c>
      <c r="W141">
        <v>4.5521396000000004E-3</v>
      </c>
      <c r="X141" s="163">
        <v>2.0993803999999998E-6</v>
      </c>
      <c r="Y141">
        <v>44.170242999999999</v>
      </c>
      <c r="Z141">
        <v>2.9904462999999999</v>
      </c>
      <c r="AA141" s="163">
        <v>1.0110849E-7</v>
      </c>
      <c r="AB141">
        <v>0.18278419000000001</v>
      </c>
      <c r="AC141">
        <v>53.326630000000002</v>
      </c>
      <c r="AD141" s="163">
        <v>4.9282742000000001E-9</v>
      </c>
      <c r="AE141" s="163">
        <v>1.0809656999999999E-7</v>
      </c>
      <c r="AF141">
        <v>43.072406000000001</v>
      </c>
      <c r="AG141">
        <v>0</v>
      </c>
      <c r="AH141">
        <v>0</v>
      </c>
      <c r="AI141">
        <v>16.978465</v>
      </c>
      <c r="AJ141">
        <v>0</v>
      </c>
      <c r="AK141">
        <v>0</v>
      </c>
      <c r="AL141">
        <v>49.204301000000001</v>
      </c>
      <c r="AM141">
        <v>0</v>
      </c>
      <c r="AN141">
        <v>0</v>
      </c>
      <c r="AO141">
        <v>0</v>
      </c>
      <c r="AP141">
        <v>0.11242035</v>
      </c>
      <c r="AQ141" s="163">
        <v>1.9196181999999998E-5</v>
      </c>
      <c r="AR141">
        <v>9.8865183999999995E-2</v>
      </c>
      <c r="AS141">
        <v>2.8699676999999999E-4</v>
      </c>
      <c r="AT141">
        <v>0</v>
      </c>
      <c r="AU141">
        <v>0</v>
      </c>
      <c r="AV141">
        <v>0</v>
      </c>
      <c r="AW141">
        <v>0</v>
      </c>
      <c r="AX141">
        <v>0</v>
      </c>
    </row>
    <row r="142" spans="1:50">
      <c r="A142" t="s">
        <v>1391</v>
      </c>
      <c r="B142" s="189">
        <f t="shared" si="2"/>
        <v>5.3827165721450001</v>
      </c>
      <c r="C142">
        <v>3.8685834999999998E-3</v>
      </c>
      <c r="D142">
        <v>0.1999678</v>
      </c>
      <c r="E142">
        <v>28.582882999999999</v>
      </c>
      <c r="F142" s="163">
        <v>2.0040895E-6</v>
      </c>
      <c r="G142">
        <v>2.8489508E-2</v>
      </c>
      <c r="H142">
        <v>0.18250975</v>
      </c>
      <c r="I142">
        <v>6.1428604999999997E-2</v>
      </c>
      <c r="J142">
        <v>25.493929999999999</v>
      </c>
      <c r="K142">
        <v>0.80745549000000005</v>
      </c>
      <c r="L142">
        <v>2546.5547999999999</v>
      </c>
      <c r="M142">
        <v>0.12816954</v>
      </c>
      <c r="N142">
        <v>29.093216999999999</v>
      </c>
      <c r="O142">
        <v>29.139842000000002</v>
      </c>
      <c r="P142">
        <v>-0.10669007</v>
      </c>
      <c r="Q142">
        <v>6.0064992999999997E-2</v>
      </c>
      <c r="R142" s="163">
        <v>2.0047484999999998E-6</v>
      </c>
      <c r="S142">
        <v>0.22111528999999999</v>
      </c>
      <c r="T142">
        <v>1.5470036E-2</v>
      </c>
      <c r="U142">
        <v>3.3492503999999999E-2</v>
      </c>
      <c r="V142">
        <v>0.40396082</v>
      </c>
      <c r="W142">
        <v>0.13001555000000001</v>
      </c>
      <c r="X142">
        <v>3.8686062000000002E-3</v>
      </c>
      <c r="Y142">
        <v>371.37502000000001</v>
      </c>
      <c r="Z142">
        <v>8.1027702000000001</v>
      </c>
      <c r="AA142" s="163">
        <v>1.5861761000000001E-6</v>
      </c>
      <c r="AB142">
        <v>1.3038137000000001</v>
      </c>
      <c r="AC142">
        <v>1757.7606000000001</v>
      </c>
      <c r="AD142" s="163">
        <v>2.9743700999999999E-8</v>
      </c>
      <c r="AE142" s="163">
        <v>1.1979432E-6</v>
      </c>
      <c r="AF142">
        <v>161.41901999999999</v>
      </c>
      <c r="AG142">
        <v>0</v>
      </c>
      <c r="AH142">
        <v>0</v>
      </c>
      <c r="AI142">
        <v>40.237934000000003</v>
      </c>
      <c r="AJ142">
        <v>0</v>
      </c>
      <c r="AK142">
        <v>0</v>
      </c>
      <c r="AL142">
        <v>396.04014000000001</v>
      </c>
      <c r="AM142">
        <v>0</v>
      </c>
      <c r="AN142">
        <v>0</v>
      </c>
      <c r="AO142">
        <v>0</v>
      </c>
      <c r="AP142">
        <v>0.26251511</v>
      </c>
      <c r="AQ142">
        <v>3.9203791999999999E-3</v>
      </c>
      <c r="AR142">
        <v>4.0941738000000001</v>
      </c>
      <c r="AS142">
        <v>1.0738656E-3</v>
      </c>
      <c r="AT142">
        <v>0</v>
      </c>
      <c r="AU142">
        <v>0</v>
      </c>
      <c r="AV142">
        <v>0</v>
      </c>
      <c r="AW142">
        <v>0</v>
      </c>
      <c r="AX142">
        <v>0</v>
      </c>
    </row>
    <row r="143" spans="1:50">
      <c r="A143" t="s">
        <v>1392</v>
      </c>
      <c r="B143" s="189">
        <f t="shared" si="2"/>
        <v>4.6962644867029999</v>
      </c>
      <c r="C143">
        <v>2.0917253000000001E-3</v>
      </c>
      <c r="D143">
        <v>8.5200394999999998E-2</v>
      </c>
      <c r="E143">
        <v>12.167133</v>
      </c>
      <c r="F143" s="163">
        <v>8.8453849999999996E-7</v>
      </c>
      <c r="G143">
        <v>1.7324201000000001E-2</v>
      </c>
      <c r="H143">
        <v>0.18159475999999999</v>
      </c>
      <c r="I143">
        <v>5.6774656999999999E-2</v>
      </c>
      <c r="J143">
        <v>28.078240000000001</v>
      </c>
      <c r="K143">
        <v>0.55045277000000004</v>
      </c>
      <c r="L143">
        <v>2516.7669999999998</v>
      </c>
      <c r="M143">
        <v>0.11138872</v>
      </c>
      <c r="N143">
        <v>12.384344</v>
      </c>
      <c r="O143">
        <v>12.402256</v>
      </c>
      <c r="P143">
        <v>-4.0267203000000001E-2</v>
      </c>
      <c r="Q143">
        <v>2.2355239999999998E-2</v>
      </c>
      <c r="R143" s="163">
        <v>8.8908315999999999E-7</v>
      </c>
      <c r="S143">
        <v>0.21169173999999999</v>
      </c>
      <c r="T143">
        <v>1.5962064000000002E-2</v>
      </c>
      <c r="U143">
        <v>1.8943814999999999E-2</v>
      </c>
      <c r="V143">
        <v>0.23820004</v>
      </c>
      <c r="W143">
        <v>7.4630413000000007E-2</v>
      </c>
      <c r="X143">
        <v>2.0917723000000001E-3</v>
      </c>
      <c r="Y143">
        <v>156.30194</v>
      </c>
      <c r="Z143">
        <v>4.1007283000000001</v>
      </c>
      <c r="AA143" s="163">
        <v>8.9646740999999996E-7</v>
      </c>
      <c r="AB143">
        <v>0.57512554999999999</v>
      </c>
      <c r="AC143">
        <v>1563.1782000000001</v>
      </c>
      <c r="AD143" s="163">
        <v>3.0123747000000001E-8</v>
      </c>
      <c r="AE143" s="163">
        <v>1.6689238999999999E-6</v>
      </c>
      <c r="AF143">
        <v>80.559163999999996</v>
      </c>
      <c r="AG143">
        <v>0</v>
      </c>
      <c r="AH143">
        <v>0</v>
      </c>
      <c r="AI143">
        <v>18.299745999999999</v>
      </c>
      <c r="AJ143">
        <v>0</v>
      </c>
      <c r="AK143">
        <v>0</v>
      </c>
      <c r="AL143">
        <v>166.47945999999999</v>
      </c>
      <c r="AM143">
        <v>0</v>
      </c>
      <c r="AN143">
        <v>0</v>
      </c>
      <c r="AO143">
        <v>0</v>
      </c>
      <c r="AP143">
        <v>0.12588885</v>
      </c>
      <c r="AQ143">
        <v>5.6459902000000001E-3</v>
      </c>
      <c r="AR143">
        <v>2.3581835</v>
      </c>
      <c r="AS143">
        <v>4.7840285000000002E-4</v>
      </c>
      <c r="AT143">
        <v>0</v>
      </c>
      <c r="AU143">
        <v>0</v>
      </c>
      <c r="AV143">
        <v>0</v>
      </c>
      <c r="AW143">
        <v>0</v>
      </c>
      <c r="AX143">
        <v>0</v>
      </c>
    </row>
    <row r="144" spans="1:50">
      <c r="A144" t="s">
        <v>1393</v>
      </c>
      <c r="B144" s="189">
        <f t="shared" si="2"/>
        <v>0.95210344418775195</v>
      </c>
      <c r="C144" s="163">
        <v>3.6855522000000002E-6</v>
      </c>
      <c r="D144">
        <v>4.2169591999999999E-2</v>
      </c>
      <c r="E144">
        <v>5.9378517999999998</v>
      </c>
      <c r="F144" s="163">
        <v>1.8028198000000001E-7</v>
      </c>
      <c r="G144">
        <v>1.8900954E-3</v>
      </c>
      <c r="H144">
        <v>3.1230304E-2</v>
      </c>
      <c r="I144">
        <v>1.4629956E-2</v>
      </c>
      <c r="J144">
        <v>4.0594590000000004</v>
      </c>
      <c r="K144">
        <v>0.12017897</v>
      </c>
      <c r="L144">
        <v>181.20846</v>
      </c>
      <c r="M144">
        <v>1.6819757000000001E-2</v>
      </c>
      <c r="N144">
        <v>0.71974669999999996</v>
      </c>
      <c r="O144">
        <v>5.5541432000000004</v>
      </c>
      <c r="P144">
        <v>-4.9117554999999999</v>
      </c>
      <c r="Q144">
        <v>7.7359002999999996E-2</v>
      </c>
      <c r="R144" s="163">
        <v>2.0171352000000001E-7</v>
      </c>
      <c r="S144">
        <v>4.4039707999999997E-2</v>
      </c>
      <c r="T144">
        <v>7.6316771999999998E-4</v>
      </c>
      <c r="U144">
        <v>9.8448852999999999E-3</v>
      </c>
      <c r="V144">
        <v>0.1358722</v>
      </c>
      <c r="W144">
        <v>1.7328685E-2</v>
      </c>
      <c r="X144" s="163">
        <v>3.6719815E-6</v>
      </c>
      <c r="Y144">
        <v>66.195061999999993</v>
      </c>
      <c r="Z144">
        <v>8.0183458999999999</v>
      </c>
      <c r="AA144" s="163">
        <v>2.5128042E-7</v>
      </c>
      <c r="AB144">
        <v>0.13574264</v>
      </c>
      <c r="AC144">
        <v>318.85570000000001</v>
      </c>
      <c r="AD144" s="163">
        <v>3.1661862999999999E-9</v>
      </c>
      <c r="AE144" s="163">
        <v>3.0324513999999999E-8</v>
      </c>
      <c r="AF144">
        <v>134.85963000000001</v>
      </c>
      <c r="AG144">
        <v>0</v>
      </c>
      <c r="AH144">
        <v>0</v>
      </c>
      <c r="AI144">
        <v>59.254621999999998</v>
      </c>
      <c r="AJ144">
        <v>0</v>
      </c>
      <c r="AK144">
        <v>0</v>
      </c>
      <c r="AL144">
        <v>70.210475000000002</v>
      </c>
      <c r="AM144">
        <v>0</v>
      </c>
      <c r="AN144">
        <v>0</v>
      </c>
      <c r="AO144">
        <v>0</v>
      </c>
      <c r="AP144">
        <v>0.23843046000000001</v>
      </c>
      <c r="AQ144" s="163">
        <v>5.4898572E-5</v>
      </c>
      <c r="AR144">
        <v>0.55025846</v>
      </c>
      <c r="AS144">
        <v>1.2513359000000001E-4</v>
      </c>
      <c r="AT144">
        <v>0</v>
      </c>
      <c r="AU144">
        <v>0</v>
      </c>
      <c r="AV144">
        <v>0</v>
      </c>
      <c r="AW144">
        <v>0</v>
      </c>
      <c r="AX144">
        <v>0</v>
      </c>
    </row>
    <row r="145" spans="1:50">
      <c r="A145" t="s">
        <v>1394</v>
      </c>
      <c r="B145" s="189">
        <f t="shared" si="2"/>
        <v>5.2994122912148812E-2</v>
      </c>
      <c r="C145" s="163">
        <v>8.5607054999999995E-8</v>
      </c>
      <c r="D145">
        <v>1.7127486E-3</v>
      </c>
      <c r="E145">
        <v>0.88016852999999995</v>
      </c>
      <c r="F145" s="163">
        <v>4.7059473999999997E-8</v>
      </c>
      <c r="G145">
        <v>1.9040305E-4</v>
      </c>
      <c r="H145">
        <v>8.6220795000000003E-4</v>
      </c>
      <c r="I145">
        <v>1.1850101E-4</v>
      </c>
      <c r="J145">
        <v>3.6850464999999999E-2</v>
      </c>
      <c r="K145">
        <v>1.466289E-3</v>
      </c>
      <c r="L145">
        <v>4.4301472999999998</v>
      </c>
      <c r="M145">
        <v>1.7564858E-4</v>
      </c>
      <c r="N145">
        <v>0.89228552000000005</v>
      </c>
      <c r="O145">
        <v>0.88668080999999999</v>
      </c>
      <c r="P145">
        <v>5.5427358999999999E-3</v>
      </c>
      <c r="Q145" s="163">
        <v>6.1973382000000003E-5</v>
      </c>
      <c r="R145" s="163">
        <v>5.8009759000000001E-8</v>
      </c>
      <c r="S145">
        <v>1.0747914E-3</v>
      </c>
      <c r="T145" s="163">
        <v>1.8236276E-6</v>
      </c>
      <c r="U145">
        <v>2.0463358999999999E-4</v>
      </c>
      <c r="V145">
        <v>2.5523881000000001E-3</v>
      </c>
      <c r="W145">
        <v>8.6172899999999999E-4</v>
      </c>
      <c r="X145" s="163">
        <v>8.5555019000000004E-8</v>
      </c>
      <c r="Y145">
        <v>3.8674992000000001</v>
      </c>
      <c r="Z145">
        <v>1.6101529E-2</v>
      </c>
      <c r="AA145" s="163">
        <v>4.7999630999999998E-9</v>
      </c>
      <c r="AB145">
        <v>2.1540558000000001E-2</v>
      </c>
      <c r="AC145">
        <v>5.3141730000000003</v>
      </c>
      <c r="AD145" s="163">
        <v>2.8585159999999999E-11</v>
      </c>
      <c r="AE145" s="163">
        <v>4.7888853999999998E-9</v>
      </c>
      <c r="AF145">
        <v>2.1456300000000001</v>
      </c>
      <c r="AG145">
        <v>0</v>
      </c>
      <c r="AH145">
        <v>0</v>
      </c>
      <c r="AI145">
        <v>0.53118666000000003</v>
      </c>
      <c r="AJ145">
        <v>0</v>
      </c>
      <c r="AK145">
        <v>0</v>
      </c>
      <c r="AL145">
        <v>4.0923290999999997</v>
      </c>
      <c r="AM145">
        <v>0</v>
      </c>
      <c r="AN145">
        <v>0</v>
      </c>
      <c r="AO145">
        <v>0</v>
      </c>
      <c r="AP145">
        <v>1.2245256E-3</v>
      </c>
      <c r="AQ145" s="163">
        <v>1.4203066E-6</v>
      </c>
      <c r="AR145">
        <v>1.5958422999999999E-2</v>
      </c>
      <c r="AS145" s="163">
        <v>2.8991478000000002E-5</v>
      </c>
      <c r="AT145">
        <v>0</v>
      </c>
      <c r="AU145">
        <v>0</v>
      </c>
      <c r="AV145">
        <v>0</v>
      </c>
      <c r="AW145">
        <v>0</v>
      </c>
      <c r="AX145">
        <v>0</v>
      </c>
    </row>
    <row r="146" spans="1:50">
      <c r="A146" t="s">
        <v>1395</v>
      </c>
      <c r="B146" s="189">
        <f t="shared" si="2"/>
        <v>8.2777277468343996E-4</v>
      </c>
      <c r="C146" s="163">
        <v>1.2058874E-8</v>
      </c>
      <c r="D146" s="163">
        <v>3.8409540999999998E-5</v>
      </c>
      <c r="E146">
        <v>5.5133324000000003E-3</v>
      </c>
      <c r="F146" s="163">
        <v>8.8689552000000001E-10</v>
      </c>
      <c r="G146" s="163">
        <v>6.5830560000000002E-6</v>
      </c>
      <c r="H146" s="163">
        <v>5.1363180999999998E-5</v>
      </c>
      <c r="I146" s="163">
        <v>1.1401877E-5</v>
      </c>
      <c r="J146">
        <v>2.2846780000000001E-3</v>
      </c>
      <c r="K146" s="163">
        <v>4.7529069000000001E-5</v>
      </c>
      <c r="L146">
        <v>0.17231018000000001</v>
      </c>
      <c r="M146" s="163">
        <v>6.9742127999999999E-6</v>
      </c>
      <c r="N146">
        <v>5.6304806000000004E-3</v>
      </c>
      <c r="O146">
        <v>5.6196932000000003E-3</v>
      </c>
      <c r="P146" s="163">
        <v>8.8578488999999992E-6</v>
      </c>
      <c r="Q146" s="163">
        <v>1.9295557999999999E-6</v>
      </c>
      <c r="R146" s="163">
        <v>1.1093048E-9</v>
      </c>
      <c r="S146" s="163">
        <v>7.5176237999999998E-5</v>
      </c>
      <c r="T146" s="163">
        <v>1.2173120999999999E-7</v>
      </c>
      <c r="U146" s="163">
        <v>2.5496458000000001E-5</v>
      </c>
      <c r="V146">
        <v>3.4373390999999998E-4</v>
      </c>
      <c r="W146" s="163">
        <v>7.7491700000000002E-5</v>
      </c>
      <c r="X146" s="163">
        <v>1.2057987E-8</v>
      </c>
      <c r="Y146">
        <v>7.8738563999999997E-2</v>
      </c>
      <c r="Z146">
        <v>3.9160458000000002E-3</v>
      </c>
      <c r="AA146" s="163">
        <v>1.0998740999999999E-9</v>
      </c>
      <c r="AB146">
        <v>3.2535803000000003E-4</v>
      </c>
      <c r="AC146">
        <v>2.2607377999999998</v>
      </c>
      <c r="AD146" s="163">
        <v>2.4118139999999999E-12</v>
      </c>
      <c r="AE146" s="163">
        <v>8.7769936999999994E-11</v>
      </c>
      <c r="AF146">
        <v>5.0458613999999999E-2</v>
      </c>
      <c r="AG146">
        <v>0</v>
      </c>
      <c r="AH146">
        <v>0</v>
      </c>
      <c r="AI146">
        <v>2.7387980999999998E-3</v>
      </c>
      <c r="AJ146">
        <v>0</v>
      </c>
      <c r="AK146">
        <v>0</v>
      </c>
      <c r="AL146">
        <v>8.3635005999999998E-2</v>
      </c>
      <c r="AM146">
        <v>0</v>
      </c>
      <c r="AN146">
        <v>0</v>
      </c>
      <c r="AO146">
        <v>0</v>
      </c>
      <c r="AP146" s="163">
        <v>9.3746144999999997E-5</v>
      </c>
      <c r="AQ146" s="163">
        <v>6.1547505999999998E-8</v>
      </c>
      <c r="AR146">
        <v>2.6084213000000002E-3</v>
      </c>
      <c r="AS146" s="163">
        <v>5.0075085999999998E-7</v>
      </c>
      <c r="AT146">
        <v>0</v>
      </c>
      <c r="AU146">
        <v>0</v>
      </c>
      <c r="AV146">
        <v>0</v>
      </c>
      <c r="AW146">
        <v>0</v>
      </c>
      <c r="AX146">
        <v>0</v>
      </c>
    </row>
    <row r="147" spans="1:50">
      <c r="A147" t="s">
        <v>1396</v>
      </c>
      <c r="B147" s="189">
        <f t="shared" si="2"/>
        <v>9.6964224734590002E-2</v>
      </c>
      <c r="C147" s="163">
        <v>4.8465145000000001E-5</v>
      </c>
      <c r="D147">
        <v>5.9699564000000004E-3</v>
      </c>
      <c r="E147">
        <v>0.81962572</v>
      </c>
      <c r="F147" s="163">
        <v>7.0591113E-8</v>
      </c>
      <c r="G147">
        <v>3.7386283999999998E-4</v>
      </c>
      <c r="H147">
        <v>3.8732997E-3</v>
      </c>
      <c r="I147">
        <v>5.4541241999999995E-4</v>
      </c>
      <c r="J147">
        <v>0.32516877999999999</v>
      </c>
      <c r="K147">
        <v>2.2715608000000002E-2</v>
      </c>
      <c r="L147">
        <v>38.189352999999997</v>
      </c>
      <c r="M147">
        <v>1.7107259000000001E-3</v>
      </c>
      <c r="N147">
        <v>0.82424142</v>
      </c>
      <c r="O147">
        <v>0.83490516999999997</v>
      </c>
      <c r="P147">
        <v>-1.140059E-2</v>
      </c>
      <c r="Q147">
        <v>7.3684110000000005E-4</v>
      </c>
      <c r="R147" s="163">
        <v>7.9587908999999998E-8</v>
      </c>
      <c r="S147">
        <v>4.7653948999999999E-3</v>
      </c>
      <c r="T147" s="163">
        <v>7.0706216999999997E-5</v>
      </c>
      <c r="U147">
        <v>7.7029552999999999E-4</v>
      </c>
      <c r="V147">
        <v>9.8644351000000009E-3</v>
      </c>
      <c r="W147">
        <v>2.5772888999999999E-3</v>
      </c>
      <c r="X147" s="163">
        <v>4.8465218000000001E-5</v>
      </c>
      <c r="Y147">
        <v>10.983739</v>
      </c>
      <c r="Z147">
        <v>0.23628244000000001</v>
      </c>
      <c r="AA147" s="163">
        <v>2.1173212999999998E-6</v>
      </c>
      <c r="AB147">
        <v>2.7112634E-2</v>
      </c>
      <c r="AC147">
        <v>19.672160000000002</v>
      </c>
      <c r="AD147" s="163">
        <v>6.6236628999999997E-10</v>
      </c>
      <c r="AE147" s="163">
        <v>2.3022927E-8</v>
      </c>
      <c r="AF147">
        <v>7.2851460000000001</v>
      </c>
      <c r="AG147">
        <v>0</v>
      </c>
      <c r="AH147">
        <v>0</v>
      </c>
      <c r="AI147">
        <v>0.8174169</v>
      </c>
      <c r="AJ147">
        <v>0</v>
      </c>
      <c r="AK147">
        <v>0</v>
      </c>
      <c r="AL147">
        <v>11.865453</v>
      </c>
      <c r="AM147">
        <v>0</v>
      </c>
      <c r="AN147">
        <v>0</v>
      </c>
      <c r="AO147">
        <v>0</v>
      </c>
      <c r="AP147">
        <v>6.5121277999999998E-3</v>
      </c>
      <c r="AQ147">
        <v>9.6436058999999994E-3</v>
      </c>
      <c r="AR147">
        <v>0.27026728</v>
      </c>
      <c r="AS147" s="163">
        <v>2.6732128000000001E-5</v>
      </c>
      <c r="AT147">
        <v>0</v>
      </c>
      <c r="AU147">
        <v>0</v>
      </c>
      <c r="AV147">
        <v>0</v>
      </c>
      <c r="AW147">
        <v>0</v>
      </c>
      <c r="AX147">
        <v>0</v>
      </c>
    </row>
    <row r="148" spans="1:50">
      <c r="A148" t="s">
        <v>1397</v>
      </c>
      <c r="B148" s="189">
        <f t="shared" si="2"/>
        <v>0.11902943318772202</v>
      </c>
      <c r="C148" s="163">
        <v>6.4972377000000002E-6</v>
      </c>
      <c r="D148">
        <v>1.5277738000000001E-2</v>
      </c>
      <c r="E148">
        <v>1.1191333999999999</v>
      </c>
      <c r="F148" s="163">
        <v>5.6859723000000002E-8</v>
      </c>
      <c r="G148">
        <v>8.7019701999999999E-4</v>
      </c>
      <c r="H148">
        <v>6.3368987999999999E-3</v>
      </c>
      <c r="I148">
        <v>7.475235E-4</v>
      </c>
      <c r="J148">
        <v>0.27496967</v>
      </c>
      <c r="K148">
        <v>6.6628774000000003E-3</v>
      </c>
      <c r="L148">
        <v>15.422845000000001</v>
      </c>
      <c r="M148">
        <v>5.3406316000000004E-3</v>
      </c>
      <c r="N148">
        <v>1.1491986999999999</v>
      </c>
      <c r="O148">
        <v>1.1424928000000001</v>
      </c>
      <c r="P148">
        <v>6.3423934000000001E-3</v>
      </c>
      <c r="Q148">
        <v>3.6355360000000001E-4</v>
      </c>
      <c r="R148" s="163">
        <v>5.6112989000000001E-8</v>
      </c>
      <c r="S148">
        <v>7.7554664000000001E-3</v>
      </c>
      <c r="T148" s="163">
        <v>5.1997645999999997E-5</v>
      </c>
      <c r="U148">
        <v>1.5193003E-3</v>
      </c>
      <c r="V148">
        <v>1.7019587999999999E-2</v>
      </c>
      <c r="W148">
        <v>5.3820138E-3</v>
      </c>
      <c r="X148" s="163">
        <v>5.3070924999999999E-6</v>
      </c>
      <c r="Y148">
        <v>31.312989999999999</v>
      </c>
      <c r="Z148">
        <v>0.95869161999999997</v>
      </c>
      <c r="AA148" s="163">
        <v>7.4253328999999999E-8</v>
      </c>
      <c r="AB148">
        <v>2.4778933E-2</v>
      </c>
      <c r="AC148">
        <v>16.348409</v>
      </c>
      <c r="AD148" s="163">
        <v>5.8569039999999999E-10</v>
      </c>
      <c r="AE148" s="163">
        <v>3.0134185999999997E-8</v>
      </c>
      <c r="AF148">
        <v>3.0760041999999999</v>
      </c>
      <c r="AG148">
        <v>0</v>
      </c>
      <c r="AH148">
        <v>0</v>
      </c>
      <c r="AI148">
        <v>0.79361006999999995</v>
      </c>
      <c r="AJ148">
        <v>0</v>
      </c>
      <c r="AK148">
        <v>0</v>
      </c>
      <c r="AL148">
        <v>33.783861000000002</v>
      </c>
      <c r="AM148">
        <v>0</v>
      </c>
      <c r="AN148">
        <v>0</v>
      </c>
      <c r="AO148">
        <v>0</v>
      </c>
      <c r="AP148">
        <v>2.4122507000000001E-2</v>
      </c>
      <c r="AQ148">
        <v>3.3985215000000002E-4</v>
      </c>
      <c r="AR148">
        <v>6.5216633999999996E-2</v>
      </c>
      <c r="AS148" s="163">
        <v>2.3026692999999998E-5</v>
      </c>
      <c r="AT148">
        <v>0</v>
      </c>
      <c r="AU148">
        <v>0</v>
      </c>
      <c r="AV148">
        <v>0</v>
      </c>
      <c r="AW148">
        <v>0</v>
      </c>
      <c r="AX148">
        <v>0</v>
      </c>
    </row>
    <row r="149" spans="1:50">
      <c r="A149" t="s">
        <v>1398</v>
      </c>
      <c r="B149" s="189">
        <f t="shared" si="2"/>
        <v>0.22270040652268003</v>
      </c>
      <c r="C149" s="163">
        <v>9.2469829999999999E-6</v>
      </c>
      <c r="D149">
        <v>2.0679647999999998E-2</v>
      </c>
      <c r="E149">
        <v>1.9608148999999999</v>
      </c>
      <c r="F149" s="163">
        <v>7.6798437999999998E-7</v>
      </c>
      <c r="G149">
        <v>1.8929566999999999E-3</v>
      </c>
      <c r="H149">
        <v>8.9156658E-3</v>
      </c>
      <c r="I149">
        <v>1.1281753E-3</v>
      </c>
      <c r="J149">
        <v>0.71835347000000005</v>
      </c>
      <c r="K149">
        <v>2.4134474999999999E-2</v>
      </c>
      <c r="L149">
        <v>61.531283999999999</v>
      </c>
      <c r="M149">
        <v>3.2544924E-3</v>
      </c>
      <c r="N149">
        <v>2.0426213</v>
      </c>
      <c r="O149">
        <v>2.0050571000000001</v>
      </c>
      <c r="P149">
        <v>3.6269020999999999E-2</v>
      </c>
      <c r="Q149">
        <v>1.2951811000000001E-3</v>
      </c>
      <c r="R149" s="163">
        <v>5.9762896999999995E-7</v>
      </c>
      <c r="S149">
        <v>1.0890566000000001E-2</v>
      </c>
      <c r="T149">
        <v>1.3112772999999999E-4</v>
      </c>
      <c r="U149">
        <v>1.6540967999999999E-3</v>
      </c>
      <c r="V149">
        <v>2.1162731000000001E-2</v>
      </c>
      <c r="W149">
        <v>7.5636940999999997E-3</v>
      </c>
      <c r="X149" s="163">
        <v>9.2471210000000007E-6</v>
      </c>
      <c r="Y149">
        <v>42.376576999999997</v>
      </c>
      <c r="Z149">
        <v>2.1434690999999999</v>
      </c>
      <c r="AA149" s="163">
        <v>8.9679401999999994E-8</v>
      </c>
      <c r="AB149">
        <v>7.9548355000000001E-2</v>
      </c>
      <c r="AC149">
        <v>32.686244000000002</v>
      </c>
      <c r="AD149" s="163">
        <v>1.5507241000000001E-9</v>
      </c>
      <c r="AE149" s="163">
        <v>2.9068275000000001E-8</v>
      </c>
      <c r="AF149">
        <v>8.9326336000000008</v>
      </c>
      <c r="AG149">
        <v>0</v>
      </c>
      <c r="AH149">
        <v>0</v>
      </c>
      <c r="AI149">
        <v>2.8514599999999999</v>
      </c>
      <c r="AJ149">
        <v>0</v>
      </c>
      <c r="AK149">
        <v>0</v>
      </c>
      <c r="AL149">
        <v>45.513278</v>
      </c>
      <c r="AM149">
        <v>0</v>
      </c>
      <c r="AN149">
        <v>0</v>
      </c>
      <c r="AO149">
        <v>0</v>
      </c>
      <c r="AP149">
        <v>5.8041834E-2</v>
      </c>
      <c r="AQ149" s="163">
        <v>2.6360243999999999E-5</v>
      </c>
      <c r="AR149">
        <v>0.16039128</v>
      </c>
      <c r="AS149" s="163">
        <v>7.1903801000000004E-5</v>
      </c>
      <c r="AT149">
        <v>0</v>
      </c>
      <c r="AU149">
        <v>0</v>
      </c>
      <c r="AV149">
        <v>0</v>
      </c>
      <c r="AW149">
        <v>0</v>
      </c>
      <c r="AX149">
        <v>0</v>
      </c>
    </row>
    <row r="150" spans="1:50">
      <c r="A150" t="s">
        <v>1399</v>
      </c>
      <c r="B150" s="189">
        <f t="shared" si="2"/>
        <v>0.22950979169555397</v>
      </c>
      <c r="C150" s="163">
        <v>7.0386899000000003E-6</v>
      </c>
      <c r="D150">
        <v>2.5640616000000001E-2</v>
      </c>
      <c r="E150">
        <v>2.2765114</v>
      </c>
      <c r="F150" s="163">
        <v>5.9111838999999998E-8</v>
      </c>
      <c r="G150">
        <v>2.1601697000000002E-3</v>
      </c>
      <c r="H150">
        <v>9.3662017E-3</v>
      </c>
      <c r="I150">
        <v>1.6755822E-3</v>
      </c>
      <c r="J150">
        <v>0.55426375999999999</v>
      </c>
      <c r="K150">
        <v>1.9029173999999999E-2</v>
      </c>
      <c r="L150">
        <v>40.461447</v>
      </c>
      <c r="M150">
        <v>3.5446545000000001E-3</v>
      </c>
      <c r="N150">
        <v>2.4175449000000002</v>
      </c>
      <c r="O150">
        <v>2.3596604999999999</v>
      </c>
      <c r="P150">
        <v>5.7380439999999998E-2</v>
      </c>
      <c r="Q150">
        <v>5.0396519999999995E-4</v>
      </c>
      <c r="R150" s="163">
        <v>6.1316876000000006E-8</v>
      </c>
      <c r="S150">
        <v>1.1389287999999999E-2</v>
      </c>
      <c r="T150">
        <v>2.3116063000000001E-4</v>
      </c>
      <c r="U150">
        <v>2.2612230000000001E-3</v>
      </c>
      <c r="V150">
        <v>2.1980994E-2</v>
      </c>
      <c r="W150">
        <v>8.6914440999999992E-3</v>
      </c>
      <c r="X150" s="163">
        <v>7.0387815999999996E-6</v>
      </c>
      <c r="Y150">
        <v>54.878070999999998</v>
      </c>
      <c r="Z150">
        <v>2.4670002000000002</v>
      </c>
      <c r="AA150" s="163">
        <v>2.3195386000000001E-7</v>
      </c>
      <c r="AB150">
        <v>3.5850725E-2</v>
      </c>
      <c r="AC150">
        <v>151.22393</v>
      </c>
      <c r="AD150" s="163">
        <v>1.4077647E-9</v>
      </c>
      <c r="AE150" s="163">
        <v>6.4534407999999998E-8</v>
      </c>
      <c r="AF150">
        <v>3.8630157000000001</v>
      </c>
      <c r="AG150">
        <v>0</v>
      </c>
      <c r="AH150">
        <v>0</v>
      </c>
      <c r="AI150">
        <v>2.5811660000000001</v>
      </c>
      <c r="AJ150">
        <v>0</v>
      </c>
      <c r="AK150">
        <v>0</v>
      </c>
      <c r="AL150">
        <v>58.812078</v>
      </c>
      <c r="AM150">
        <v>0</v>
      </c>
      <c r="AN150">
        <v>0</v>
      </c>
      <c r="AO150">
        <v>0</v>
      </c>
      <c r="AP150">
        <v>5.960414E-2</v>
      </c>
      <c r="AQ150" s="163">
        <v>1.2133376000000001E-5</v>
      </c>
      <c r="AR150">
        <v>0.12541331</v>
      </c>
      <c r="AS150" s="163">
        <v>3.4563909999999997E-5</v>
      </c>
      <c r="AT150">
        <v>0</v>
      </c>
      <c r="AU150">
        <v>0</v>
      </c>
      <c r="AV150">
        <v>0</v>
      </c>
      <c r="AW150">
        <v>0</v>
      </c>
      <c r="AX150">
        <v>0</v>
      </c>
    </row>
    <row r="151" spans="1:50">
      <c r="A151" t="s">
        <v>1400</v>
      </c>
      <c r="B151" s="189">
        <f t="shared" si="2"/>
        <v>1.9447404211261998E-3</v>
      </c>
      <c r="C151" s="163">
        <v>2.1455311999999999E-7</v>
      </c>
      <c r="D151" s="163">
        <v>6.6524737999999994E-5</v>
      </c>
      <c r="E151">
        <v>9.8963379999999993E-3</v>
      </c>
      <c r="F151" s="163">
        <v>1.2737689000000001E-9</v>
      </c>
      <c r="G151" s="163">
        <v>8.9265700999999998E-6</v>
      </c>
      <c r="H151" s="163">
        <v>6.6366772E-5</v>
      </c>
      <c r="I151" s="163">
        <v>1.4547771000000001E-5</v>
      </c>
      <c r="J151">
        <v>1.0830146000000001E-2</v>
      </c>
      <c r="K151">
        <v>1.2848186000000001E-4</v>
      </c>
      <c r="L151">
        <v>0.42823634999999999</v>
      </c>
      <c r="M151" s="163">
        <v>5.9427057999999997E-5</v>
      </c>
      <c r="N151">
        <v>1.000126E-2</v>
      </c>
      <c r="O151">
        <v>1.0064211E-2</v>
      </c>
      <c r="P151" s="163">
        <v>-7.1218236E-5</v>
      </c>
      <c r="Q151" s="163">
        <v>8.2677358000000007E-6</v>
      </c>
      <c r="R151" s="163">
        <v>1.5569509E-9</v>
      </c>
      <c r="S151" s="163">
        <v>8.8555286000000004E-5</v>
      </c>
      <c r="T151" s="163">
        <v>1.4683641999999999E-6</v>
      </c>
      <c r="U151" s="163">
        <v>2.4009028999999999E-5</v>
      </c>
      <c r="V151">
        <v>3.0393801999999999E-4</v>
      </c>
      <c r="W151" s="163">
        <v>7.7922357999999996E-5</v>
      </c>
      <c r="X151" s="163">
        <v>2.1455562E-7</v>
      </c>
      <c r="Y151">
        <v>0.12969264999999999</v>
      </c>
      <c r="Z151">
        <v>2.3243622E-3</v>
      </c>
      <c r="AA151" s="163">
        <v>1.4814297E-9</v>
      </c>
      <c r="AB151">
        <v>4.681075E-4</v>
      </c>
      <c r="AC151">
        <v>0.25892724</v>
      </c>
      <c r="AD151" s="163">
        <v>2.3070936000000002E-11</v>
      </c>
      <c r="AE151" s="163">
        <v>4.1625345999999999E-10</v>
      </c>
      <c r="AF151">
        <v>0.11745617999999999</v>
      </c>
      <c r="AG151">
        <v>0</v>
      </c>
      <c r="AH151">
        <v>0</v>
      </c>
      <c r="AI151">
        <v>5.9790486E-3</v>
      </c>
      <c r="AJ151">
        <v>0</v>
      </c>
      <c r="AK151">
        <v>0</v>
      </c>
      <c r="AL151">
        <v>0.137848</v>
      </c>
      <c r="AM151">
        <v>0</v>
      </c>
      <c r="AN151">
        <v>0</v>
      </c>
      <c r="AO151">
        <v>0</v>
      </c>
      <c r="AP151" s="163">
        <v>6.1065073000000005E-5</v>
      </c>
      <c r="AQ151" s="163">
        <v>3.1286699999999999E-7</v>
      </c>
      <c r="AR151">
        <v>5.6298980000000004E-3</v>
      </c>
      <c r="AS151" s="163">
        <v>6.9058124999999996E-7</v>
      </c>
      <c r="AT151">
        <v>0</v>
      </c>
      <c r="AU151">
        <v>0</v>
      </c>
      <c r="AV151">
        <v>0</v>
      </c>
      <c r="AW151">
        <v>0</v>
      </c>
      <c r="AX151">
        <v>0</v>
      </c>
    </row>
    <row r="152" spans="1:50">
      <c r="A152" t="s">
        <v>1401</v>
      </c>
      <c r="B152" s="189">
        <f t="shared" si="2"/>
        <v>4.90324992147564E-2</v>
      </c>
      <c r="C152" s="163">
        <v>4.7802928999999997E-7</v>
      </c>
      <c r="D152">
        <v>2.5457678999999999E-3</v>
      </c>
      <c r="E152">
        <v>0.42928459000000002</v>
      </c>
      <c r="F152" s="163">
        <v>1.2477389E-8</v>
      </c>
      <c r="G152">
        <v>1.7905575E-4</v>
      </c>
      <c r="H152">
        <v>2.9389645999999998E-3</v>
      </c>
      <c r="I152">
        <v>2.1812247E-4</v>
      </c>
      <c r="J152">
        <v>0.13285029000000001</v>
      </c>
      <c r="K152">
        <v>1.539805E-3</v>
      </c>
      <c r="L152">
        <v>10.454708999999999</v>
      </c>
      <c r="M152">
        <v>5.8721274000000001E-4</v>
      </c>
      <c r="N152">
        <v>0.44663508000000002</v>
      </c>
      <c r="O152">
        <v>0.43768901999999998</v>
      </c>
      <c r="P152">
        <v>8.8259433999999994E-3</v>
      </c>
      <c r="Q152">
        <v>1.2011648999999999E-4</v>
      </c>
      <c r="R152" s="163">
        <v>1.4882954E-8</v>
      </c>
      <c r="S152">
        <v>3.4415267000000001E-3</v>
      </c>
      <c r="T152" s="163">
        <v>1.9023263E-5</v>
      </c>
      <c r="U152">
        <v>4.2117340999999999E-4</v>
      </c>
      <c r="V152">
        <v>4.8282925999999999E-3</v>
      </c>
      <c r="W152">
        <v>1.3833898999999999E-3</v>
      </c>
      <c r="X152" s="163">
        <v>4.7799880000000001E-7</v>
      </c>
      <c r="Y152">
        <v>3.9319655999999998</v>
      </c>
      <c r="Z152">
        <v>2.6856468000000001E-2</v>
      </c>
      <c r="AA152" s="163">
        <v>4.9162985999999997E-8</v>
      </c>
      <c r="AB152">
        <v>6.1675439999999996E-3</v>
      </c>
      <c r="AC152">
        <v>14.226846</v>
      </c>
      <c r="AD152" s="163">
        <v>1.6425008E-10</v>
      </c>
      <c r="AE152" s="163">
        <v>4.3584389000000002E-9</v>
      </c>
      <c r="AF152">
        <v>2.3541058000000001</v>
      </c>
      <c r="AG152">
        <v>0</v>
      </c>
      <c r="AH152">
        <v>0</v>
      </c>
      <c r="AI152">
        <v>0.37791035000000001</v>
      </c>
      <c r="AJ152">
        <v>0</v>
      </c>
      <c r="AK152">
        <v>0</v>
      </c>
      <c r="AL152">
        <v>4.1498248000000002</v>
      </c>
      <c r="AM152">
        <v>0</v>
      </c>
      <c r="AN152">
        <v>0</v>
      </c>
      <c r="AO152">
        <v>0</v>
      </c>
      <c r="AP152">
        <v>8.6817190000000003E-4</v>
      </c>
      <c r="AQ152" s="163">
        <v>2.8161255000000002E-6</v>
      </c>
      <c r="AR152">
        <v>2.2538336999999999E-2</v>
      </c>
      <c r="AS152" s="163">
        <v>7.5102861999999998E-6</v>
      </c>
      <c r="AT152">
        <v>0</v>
      </c>
      <c r="AU152">
        <v>0</v>
      </c>
      <c r="AV152">
        <v>0</v>
      </c>
      <c r="AW152">
        <v>0</v>
      </c>
      <c r="AX152">
        <v>0</v>
      </c>
    </row>
    <row r="153" spans="1:50">
      <c r="A153" t="s">
        <v>1402</v>
      </c>
      <c r="B153" s="189">
        <f t="shared" si="2"/>
        <v>0.12284150586767882</v>
      </c>
      <c r="C153" s="163">
        <v>3.6602418000000001E-7</v>
      </c>
      <c r="D153">
        <v>9.0206955999999998E-3</v>
      </c>
      <c r="E153">
        <v>1.1195005</v>
      </c>
      <c r="F153" s="163">
        <v>4.0959426999999997E-8</v>
      </c>
      <c r="G153">
        <v>3.8786914999999999E-4</v>
      </c>
      <c r="H153">
        <v>7.0732236999999998E-3</v>
      </c>
      <c r="I153">
        <v>7.8602379000000005E-4</v>
      </c>
      <c r="J153">
        <v>0.28341638000000002</v>
      </c>
      <c r="K153">
        <v>5.5583511E-3</v>
      </c>
      <c r="L153">
        <v>35.381911000000002</v>
      </c>
      <c r="M153">
        <v>1.1103197E-3</v>
      </c>
      <c r="N153">
        <v>1.1259256</v>
      </c>
      <c r="O153">
        <v>1.1306172999999999</v>
      </c>
      <c r="P153">
        <v>-5.2535372E-3</v>
      </c>
      <c r="Q153">
        <v>5.6181004999999995E-4</v>
      </c>
      <c r="R153" s="163">
        <v>4.6097988000000003E-8</v>
      </c>
      <c r="S153">
        <v>8.6227039000000005E-3</v>
      </c>
      <c r="T153" s="163">
        <v>6.4517502000000006E-5</v>
      </c>
      <c r="U153">
        <v>1.5891766000000001E-3</v>
      </c>
      <c r="V153">
        <v>1.8476177999999999E-2</v>
      </c>
      <c r="W153">
        <v>4.7653267000000001E-3</v>
      </c>
      <c r="X153" s="163">
        <v>3.6601334000000003E-7</v>
      </c>
      <c r="Y153">
        <v>14.206868999999999</v>
      </c>
      <c r="Z153">
        <v>0.13886364000000001</v>
      </c>
      <c r="AA153" s="163">
        <v>2.3497236000000001E-8</v>
      </c>
      <c r="AB153">
        <v>3.0863607000000001E-2</v>
      </c>
      <c r="AC153">
        <v>26.234337</v>
      </c>
      <c r="AD153" s="163">
        <v>2.8225465000000002E-10</v>
      </c>
      <c r="AE153" s="163">
        <v>1.2662247E-8</v>
      </c>
      <c r="AF153">
        <v>2.1223996999999999</v>
      </c>
      <c r="AG153">
        <v>0</v>
      </c>
      <c r="AH153">
        <v>0</v>
      </c>
      <c r="AI153">
        <v>0.77684403000000002</v>
      </c>
      <c r="AJ153">
        <v>0</v>
      </c>
      <c r="AK153">
        <v>0</v>
      </c>
      <c r="AL153">
        <v>15.00104</v>
      </c>
      <c r="AM153">
        <v>0</v>
      </c>
      <c r="AN153">
        <v>0</v>
      </c>
      <c r="AO153">
        <v>0</v>
      </c>
      <c r="AP153">
        <v>4.2282092000000002E-3</v>
      </c>
      <c r="AQ153" s="163">
        <v>6.5808776E-6</v>
      </c>
      <c r="AR153">
        <v>8.0187044999999998E-2</v>
      </c>
      <c r="AS153" s="163">
        <v>2.9133709E-5</v>
      </c>
      <c r="AT153">
        <v>0</v>
      </c>
      <c r="AU153">
        <v>0</v>
      </c>
      <c r="AV153">
        <v>0</v>
      </c>
      <c r="AW153">
        <v>0</v>
      </c>
      <c r="AX153">
        <v>0</v>
      </c>
    </row>
    <row r="154" spans="1:50">
      <c r="A154" t="s">
        <v>1403</v>
      </c>
      <c r="B154" s="189">
        <f t="shared" si="2"/>
        <v>0.82558061188742005</v>
      </c>
      <c r="C154" s="163">
        <v>1.0481845000000001E-6</v>
      </c>
      <c r="D154">
        <v>7.2105787000000005E-2</v>
      </c>
      <c r="E154">
        <v>8.0274883999999993</v>
      </c>
      <c r="F154" s="163">
        <v>2.6523832999999999E-7</v>
      </c>
      <c r="G154">
        <v>2.9130318999999998E-3</v>
      </c>
      <c r="H154">
        <v>5.4203340000000003E-2</v>
      </c>
      <c r="I154">
        <v>4.9208233000000001E-3</v>
      </c>
      <c r="J154">
        <v>1.4287439</v>
      </c>
      <c r="K154">
        <v>2.3595924000000001E-2</v>
      </c>
      <c r="L154">
        <v>159.05187000000001</v>
      </c>
      <c r="M154">
        <v>8.9048648000000005E-3</v>
      </c>
      <c r="N154">
        <v>8.1772267000000003</v>
      </c>
      <c r="O154">
        <v>8.1851684999999996</v>
      </c>
      <c r="P154">
        <v>-1.0435623E-2</v>
      </c>
      <c r="Q154">
        <v>2.4938594999999999E-3</v>
      </c>
      <c r="R154" s="163">
        <v>2.7012847999999999E-7</v>
      </c>
      <c r="S154">
        <v>6.4288806000000004E-2</v>
      </c>
      <c r="T154">
        <v>5.9367819000000004E-4</v>
      </c>
      <c r="U154">
        <v>8.1327407999999997E-3</v>
      </c>
      <c r="V154">
        <v>9.9612778999999999E-2</v>
      </c>
      <c r="W154">
        <v>2.5710184000000001E-2</v>
      </c>
      <c r="X154" s="163">
        <v>1.0481223999999999E-6</v>
      </c>
      <c r="Y154">
        <v>113.46852</v>
      </c>
      <c r="Z154">
        <v>0.40727078</v>
      </c>
      <c r="AA154" s="163">
        <v>5.9665196999999999E-7</v>
      </c>
      <c r="AB154">
        <v>0.1966137</v>
      </c>
      <c r="AC154">
        <v>260.87633</v>
      </c>
      <c r="AD154" s="163">
        <v>1.5491837E-9</v>
      </c>
      <c r="AE154" s="163">
        <v>8.1470344999999995E-8</v>
      </c>
      <c r="AF154">
        <v>15.251791000000001</v>
      </c>
      <c r="AG154">
        <v>0</v>
      </c>
      <c r="AH154">
        <v>0</v>
      </c>
      <c r="AI154">
        <v>3.5832440000000001</v>
      </c>
      <c r="AJ154">
        <v>0</v>
      </c>
      <c r="AK154">
        <v>0</v>
      </c>
      <c r="AL154">
        <v>119.93849</v>
      </c>
      <c r="AM154">
        <v>0</v>
      </c>
      <c r="AN154">
        <v>0</v>
      </c>
      <c r="AO154">
        <v>0</v>
      </c>
      <c r="AP154">
        <v>1.953015E-2</v>
      </c>
      <c r="AQ154" s="163">
        <v>4.3592701000000003E-5</v>
      </c>
      <c r="AR154">
        <v>0.10967702</v>
      </c>
      <c r="AS154">
        <v>1.8261444999999999E-4</v>
      </c>
      <c r="AT154">
        <v>0</v>
      </c>
      <c r="AU154">
        <v>0</v>
      </c>
      <c r="AV154">
        <v>0</v>
      </c>
      <c r="AW154">
        <v>0</v>
      </c>
      <c r="AX154">
        <v>0</v>
      </c>
    </row>
    <row r="155" spans="1:50">
      <c r="A155" t="s">
        <v>1404</v>
      </c>
      <c r="B155" s="189">
        <f t="shared" si="2"/>
        <v>4.1881232808199993</v>
      </c>
      <c r="C155">
        <v>1.5855881E-3</v>
      </c>
      <c r="D155">
        <v>1.7202697999999999E-2</v>
      </c>
      <c r="E155">
        <v>2.6440340999999998</v>
      </c>
      <c r="F155" s="163">
        <v>1.9004479999999999E-7</v>
      </c>
      <c r="G155">
        <v>9.1991621999999995E-3</v>
      </c>
      <c r="H155">
        <v>0.18603523</v>
      </c>
      <c r="I155">
        <v>6.9193974000000005E-2</v>
      </c>
      <c r="J155">
        <v>26.589676000000001</v>
      </c>
      <c r="K155">
        <v>0.46782494000000002</v>
      </c>
      <c r="L155">
        <v>2559.8094000000001</v>
      </c>
      <c r="M155">
        <v>7.5636834999999999E-2</v>
      </c>
      <c r="N155">
        <v>2.6844035000000002</v>
      </c>
      <c r="O155">
        <v>2.6863925000000002</v>
      </c>
      <c r="P155">
        <v>-5.0390169999999998E-3</v>
      </c>
      <c r="Q155">
        <v>3.0500462999999999E-3</v>
      </c>
      <c r="R155" s="163">
        <v>2.0286778000000001E-7</v>
      </c>
      <c r="S155">
        <v>0.21325941000000001</v>
      </c>
      <c r="T155">
        <v>1.8216645E-2</v>
      </c>
      <c r="U155">
        <v>3.0715269999999999E-2</v>
      </c>
      <c r="V155">
        <v>0.16519648000000001</v>
      </c>
      <c r="W155">
        <v>4.2387606000000001E-2</v>
      </c>
      <c r="X155">
        <v>1.5856347000000001E-3</v>
      </c>
      <c r="Y155">
        <v>32.999521999999999</v>
      </c>
      <c r="Z155">
        <v>1.8297882000000001</v>
      </c>
      <c r="AA155" s="163">
        <v>4.9308434999999997E-7</v>
      </c>
      <c r="AB155">
        <v>0.13349800000000001</v>
      </c>
      <c r="AC155">
        <v>2523.8020999999999</v>
      </c>
      <c r="AD155" s="163">
        <v>2.0771291000000001E-8</v>
      </c>
      <c r="AE155" s="163">
        <v>1.9065481000000001E-6</v>
      </c>
      <c r="AF155">
        <v>41.520716</v>
      </c>
      <c r="AG155">
        <v>0</v>
      </c>
      <c r="AH155">
        <v>0</v>
      </c>
      <c r="AI155">
        <v>8.2676630000000007</v>
      </c>
      <c r="AJ155">
        <v>0</v>
      </c>
      <c r="AK155">
        <v>0</v>
      </c>
      <c r="AL155">
        <v>35.118659999999998</v>
      </c>
      <c r="AM155">
        <v>0</v>
      </c>
      <c r="AN155">
        <v>0</v>
      </c>
      <c r="AO155">
        <v>0</v>
      </c>
      <c r="AP155">
        <v>4.9820103999999997E-2</v>
      </c>
      <c r="AQ155" s="163">
        <v>6.6634463000000006E-5</v>
      </c>
      <c r="AR155">
        <v>6.3363073999999999</v>
      </c>
      <c r="AS155">
        <v>1.2411485E-4</v>
      </c>
      <c r="AT155">
        <v>0</v>
      </c>
      <c r="AU155">
        <v>0</v>
      </c>
      <c r="AV155">
        <v>0</v>
      </c>
      <c r="AW155">
        <v>0</v>
      </c>
      <c r="AX155">
        <v>0</v>
      </c>
    </row>
    <row r="156" spans="1:50">
      <c r="A156" t="s">
        <v>1405</v>
      </c>
      <c r="B156" s="189">
        <f t="shared" si="2"/>
        <v>1.7960573807519002</v>
      </c>
      <c r="C156">
        <v>6.7441698000000004E-4</v>
      </c>
      <c r="D156">
        <v>1.2629881000000001E-2</v>
      </c>
      <c r="E156">
        <v>1.9100583</v>
      </c>
      <c r="F156" s="163">
        <v>1.4039916999999999E-7</v>
      </c>
      <c r="G156">
        <v>3.9143138000000003E-3</v>
      </c>
      <c r="H156">
        <v>7.6312421000000005E-2</v>
      </c>
      <c r="I156">
        <v>3.4302037E-2</v>
      </c>
      <c r="J156">
        <v>10.691689999999999</v>
      </c>
      <c r="K156">
        <v>0.20658832999999999</v>
      </c>
      <c r="L156">
        <v>1061.9032</v>
      </c>
      <c r="M156">
        <v>3.3080859999999997E-2</v>
      </c>
      <c r="N156">
        <v>1.9463490999999999</v>
      </c>
      <c r="O156">
        <v>1.9406146</v>
      </c>
      <c r="P156">
        <v>3.5398357000000001E-3</v>
      </c>
      <c r="Q156">
        <v>2.1946652999999998E-3</v>
      </c>
      <c r="R156" s="163">
        <v>1.4160730999999999E-7</v>
      </c>
      <c r="S156">
        <v>8.8621571999999996E-2</v>
      </c>
      <c r="T156">
        <v>9.4407491999999992E-3</v>
      </c>
      <c r="U156">
        <v>1.2438918E-2</v>
      </c>
      <c r="V156">
        <v>8.7175833999999994E-2</v>
      </c>
      <c r="W156">
        <v>2.1006324E-2</v>
      </c>
      <c r="X156">
        <v>6.7443256000000002E-4</v>
      </c>
      <c r="Y156">
        <v>25.637454999999999</v>
      </c>
      <c r="Z156">
        <v>1.0407586</v>
      </c>
      <c r="AA156" s="163">
        <v>2.5110633E-7</v>
      </c>
      <c r="AB156">
        <v>0.12708222</v>
      </c>
      <c r="AC156">
        <v>1065.4356</v>
      </c>
      <c r="AD156" s="163">
        <v>9.6545784000000007E-9</v>
      </c>
      <c r="AE156" s="163">
        <v>8.4979210999999997E-7</v>
      </c>
      <c r="AF156">
        <v>26.078517999999999</v>
      </c>
      <c r="AG156">
        <v>0</v>
      </c>
      <c r="AH156">
        <v>0</v>
      </c>
      <c r="AI156">
        <v>5.4334582999999999</v>
      </c>
      <c r="AJ156">
        <v>0</v>
      </c>
      <c r="AK156">
        <v>0</v>
      </c>
      <c r="AL156">
        <v>27.137288000000002</v>
      </c>
      <c r="AM156">
        <v>0</v>
      </c>
      <c r="AN156">
        <v>0</v>
      </c>
      <c r="AO156">
        <v>0</v>
      </c>
      <c r="AP156">
        <v>3.2382853000000003E-2</v>
      </c>
      <c r="AQ156" s="163">
        <v>4.0962584999999999E-5</v>
      </c>
      <c r="AR156">
        <v>2.3142592999999998</v>
      </c>
      <c r="AS156">
        <v>1.1654040000000001E-4</v>
      </c>
      <c r="AT156">
        <v>0</v>
      </c>
      <c r="AU156">
        <v>0</v>
      </c>
      <c r="AV156">
        <v>0</v>
      </c>
      <c r="AW156">
        <v>0</v>
      </c>
      <c r="AX156">
        <v>0</v>
      </c>
    </row>
    <row r="157" spans="1:50">
      <c r="A157" t="s">
        <v>1406</v>
      </c>
      <c r="B157" s="189">
        <f t="shared" si="2"/>
        <v>0.25215908553225996</v>
      </c>
      <c r="C157" s="163">
        <v>3.2761159999999999E-6</v>
      </c>
      <c r="D157">
        <v>1.0296389E-2</v>
      </c>
      <c r="E157">
        <v>0.96313895000000005</v>
      </c>
      <c r="F157" s="163">
        <v>1.3951579E-7</v>
      </c>
      <c r="G157">
        <v>2.1759025000000001E-3</v>
      </c>
      <c r="H157">
        <v>3.6673261999999999E-3</v>
      </c>
      <c r="I157">
        <v>8.6048034E-4</v>
      </c>
      <c r="J157">
        <v>1.9217512999999999</v>
      </c>
      <c r="K157">
        <v>6.2231988000000004E-3</v>
      </c>
      <c r="L157">
        <v>23.598592</v>
      </c>
      <c r="M157">
        <v>1.3400186000000001E-3</v>
      </c>
      <c r="N157">
        <v>0.92232678000000001</v>
      </c>
      <c r="O157">
        <v>0.99123134000000002</v>
      </c>
      <c r="P157">
        <v>-6.9468803999999995E-2</v>
      </c>
      <c r="Q157">
        <v>5.6423927999999998E-4</v>
      </c>
      <c r="R157" s="163">
        <v>1.4545986E-7</v>
      </c>
      <c r="S157">
        <v>4.4352343999999998E-3</v>
      </c>
      <c r="T157" s="163">
        <v>5.1448668E-5</v>
      </c>
      <c r="U157">
        <v>7.4257562E-4</v>
      </c>
      <c r="V157">
        <v>8.5959387999999994E-3</v>
      </c>
      <c r="W157">
        <v>5.754795E-3</v>
      </c>
      <c r="X157" s="163">
        <v>3.2761724999999998E-6</v>
      </c>
      <c r="Y157">
        <v>20.05395</v>
      </c>
      <c r="Z157">
        <v>0.48829045999999998</v>
      </c>
      <c r="AA157" s="163">
        <v>4.1810381999999998E-8</v>
      </c>
      <c r="AB157">
        <v>3.2937713E-2</v>
      </c>
      <c r="AC157">
        <v>31.693625999999998</v>
      </c>
      <c r="AD157" s="163">
        <v>1.8581696000000001E-9</v>
      </c>
      <c r="AE157" s="163">
        <v>2.7737729E-8</v>
      </c>
      <c r="AF157">
        <v>2.9132456000000002</v>
      </c>
      <c r="AG157">
        <v>0</v>
      </c>
      <c r="AH157">
        <v>0</v>
      </c>
      <c r="AI157">
        <v>0.68577208999999995</v>
      </c>
      <c r="AJ157">
        <v>0</v>
      </c>
      <c r="AK157">
        <v>0</v>
      </c>
      <c r="AL157">
        <v>21.457757000000001</v>
      </c>
      <c r="AM157">
        <v>0</v>
      </c>
      <c r="AN157">
        <v>0</v>
      </c>
      <c r="AO157">
        <v>0</v>
      </c>
      <c r="AP157">
        <v>1.2524341E-2</v>
      </c>
      <c r="AQ157" s="163">
        <v>1.162563E-5</v>
      </c>
      <c r="AR157">
        <v>8.3127988E-2</v>
      </c>
      <c r="AS157" s="163">
        <v>3.5271112000000001E-5</v>
      </c>
      <c r="AT157">
        <v>0</v>
      </c>
      <c r="AU157">
        <v>0</v>
      </c>
      <c r="AV157">
        <v>0</v>
      </c>
      <c r="AW157">
        <v>0</v>
      </c>
      <c r="AX157">
        <v>0</v>
      </c>
    </row>
    <row r="158" spans="1:50">
      <c r="A158" t="s">
        <v>1407</v>
      </c>
      <c r="B158" s="189">
        <f t="shared" si="2"/>
        <v>0</v>
      </c>
      <c r="C158">
        <v>0</v>
      </c>
      <c r="D158">
        <v>0</v>
      </c>
      <c r="E158">
        <v>0</v>
      </c>
      <c r="F158">
        <v>0</v>
      </c>
      <c r="G158">
        <v>0</v>
      </c>
      <c r="H158">
        <v>0</v>
      </c>
      <c r="I158">
        <v>0</v>
      </c>
      <c r="J158">
        <v>0</v>
      </c>
      <c r="K158">
        <v>0</v>
      </c>
      <c r="L158">
        <v>0</v>
      </c>
      <c r="M158">
        <v>0</v>
      </c>
      <c r="N158">
        <v>0</v>
      </c>
      <c r="O158">
        <v>0</v>
      </c>
      <c r="P158">
        <v>0</v>
      </c>
      <c r="Q158">
        <v>0</v>
      </c>
      <c r="R158">
        <v>0</v>
      </c>
      <c r="S158">
        <v>0</v>
      </c>
      <c r="T158">
        <v>0</v>
      </c>
      <c r="U158">
        <v>0</v>
      </c>
      <c r="V158">
        <v>0</v>
      </c>
      <c r="W158">
        <v>0</v>
      </c>
      <c r="X158">
        <v>0</v>
      </c>
      <c r="Y158">
        <v>0</v>
      </c>
      <c r="Z158">
        <v>0</v>
      </c>
      <c r="AA158">
        <v>0</v>
      </c>
      <c r="AB158">
        <v>0</v>
      </c>
      <c r="AC158">
        <v>0</v>
      </c>
      <c r="AD158">
        <v>0</v>
      </c>
      <c r="AE158">
        <v>0</v>
      </c>
      <c r="AF158">
        <v>0</v>
      </c>
      <c r="AG158">
        <v>0</v>
      </c>
      <c r="AH158">
        <v>0</v>
      </c>
      <c r="AI158">
        <v>0</v>
      </c>
      <c r="AJ158">
        <v>0</v>
      </c>
      <c r="AK158">
        <v>0</v>
      </c>
      <c r="AL158">
        <v>0</v>
      </c>
      <c r="AM158">
        <v>0</v>
      </c>
      <c r="AN158">
        <v>0</v>
      </c>
      <c r="AO158">
        <v>0</v>
      </c>
      <c r="AP158">
        <v>0</v>
      </c>
      <c r="AQ158">
        <v>0</v>
      </c>
      <c r="AR158">
        <v>0</v>
      </c>
      <c r="AS158">
        <v>0</v>
      </c>
      <c r="AT158">
        <v>0</v>
      </c>
      <c r="AU158">
        <v>0</v>
      </c>
      <c r="AV158">
        <v>0</v>
      </c>
      <c r="AW158">
        <v>0</v>
      </c>
      <c r="AX158">
        <v>0</v>
      </c>
    </row>
    <row r="159" spans="1:50">
      <c r="A159" t="s">
        <v>1408</v>
      </c>
      <c r="B159" s="189">
        <f t="shared" si="2"/>
        <v>0.23021020076135601</v>
      </c>
      <c r="C159" s="163">
        <v>3.6079590999999999E-6</v>
      </c>
      <c r="D159">
        <v>1.4014647E-2</v>
      </c>
      <c r="E159">
        <v>1.8196646999999999</v>
      </c>
      <c r="F159" s="163">
        <v>1.3134953000000001E-7</v>
      </c>
      <c r="G159">
        <v>1.1229636E-3</v>
      </c>
      <c r="H159">
        <v>1.0461478E-2</v>
      </c>
      <c r="I159">
        <v>1.2035123E-3</v>
      </c>
      <c r="J159">
        <v>0.82807306000000003</v>
      </c>
      <c r="K159">
        <v>3.2078691999999999E-2</v>
      </c>
      <c r="L159">
        <v>63.544466999999997</v>
      </c>
      <c r="M159">
        <v>3.5545287000000002E-3</v>
      </c>
      <c r="N159">
        <v>-9.5757209999999997</v>
      </c>
      <c r="O159">
        <v>1.8534926</v>
      </c>
      <c r="P159">
        <v>-11.432536000000001</v>
      </c>
      <c r="Q159">
        <v>3.3228276000000002E-3</v>
      </c>
      <c r="R159" s="163">
        <v>1.4704382000000001E-7</v>
      </c>
      <c r="S159">
        <v>1.2999579000000001E-2</v>
      </c>
      <c r="T159">
        <v>1.0099038000000001E-4</v>
      </c>
      <c r="U159">
        <v>1.793113E-3</v>
      </c>
      <c r="V159">
        <v>2.6329000000000002E-2</v>
      </c>
      <c r="W159">
        <v>6.4191958000000002E-3</v>
      </c>
      <c r="X159" s="163">
        <v>3.6083651000000001E-6</v>
      </c>
      <c r="Y159">
        <v>25.920753000000001</v>
      </c>
      <c r="Z159">
        <v>0.97101395000000001</v>
      </c>
      <c r="AA159" s="163">
        <v>1.4277063999999999E-7</v>
      </c>
      <c r="AB159">
        <v>8.0529597999999994E-2</v>
      </c>
      <c r="AC159">
        <v>38.542603999999997</v>
      </c>
      <c r="AD159" s="163">
        <v>5.8870993000000003E-9</v>
      </c>
      <c r="AE159" s="163">
        <v>1.8907046E-8</v>
      </c>
      <c r="AF159">
        <v>310.49576000000002</v>
      </c>
      <c r="AG159">
        <v>0</v>
      </c>
      <c r="AH159">
        <v>0</v>
      </c>
      <c r="AI159">
        <v>125.83599</v>
      </c>
      <c r="AJ159">
        <v>0</v>
      </c>
      <c r="AK159">
        <v>0</v>
      </c>
      <c r="AL159">
        <v>27.697371</v>
      </c>
      <c r="AM159">
        <v>0</v>
      </c>
      <c r="AN159">
        <v>0</v>
      </c>
      <c r="AO159">
        <v>0</v>
      </c>
      <c r="AP159">
        <v>2.6377939E-2</v>
      </c>
      <c r="AQ159" s="163">
        <v>2.6536630000000001E-5</v>
      </c>
      <c r="AR159">
        <v>0.15770497999999999</v>
      </c>
      <c r="AS159" s="163">
        <v>7.8862255000000002E-5</v>
      </c>
      <c r="AT159">
        <v>0</v>
      </c>
      <c r="AU159">
        <v>0</v>
      </c>
      <c r="AV159">
        <v>0</v>
      </c>
      <c r="AW159">
        <v>0</v>
      </c>
      <c r="AX159">
        <v>0</v>
      </c>
    </row>
    <row r="160" spans="1:50">
      <c r="A160" t="s">
        <v>1409</v>
      </c>
      <c r="B160" s="189">
        <f t="shared" si="2"/>
        <v>0.19169759225345198</v>
      </c>
      <c r="C160" s="163">
        <v>8.6446201999999998E-6</v>
      </c>
      <c r="D160">
        <v>2.4967563000000002E-2</v>
      </c>
      <c r="E160">
        <v>1.7896117</v>
      </c>
      <c r="F160" s="163">
        <v>6.4025474000000005E-8</v>
      </c>
      <c r="G160">
        <v>1.3573559000000001E-3</v>
      </c>
      <c r="H160">
        <v>6.7025918000000002E-3</v>
      </c>
      <c r="I160">
        <v>9.3511636000000002E-4</v>
      </c>
      <c r="J160">
        <v>0.63832540999999998</v>
      </c>
      <c r="K160">
        <v>6.1461637999999999E-3</v>
      </c>
      <c r="L160">
        <v>25.096812</v>
      </c>
      <c r="M160">
        <v>2.2402336000000001E-3</v>
      </c>
      <c r="N160">
        <v>1.8598375</v>
      </c>
      <c r="O160">
        <v>1.8448764</v>
      </c>
      <c r="P160">
        <v>1.3672326E-2</v>
      </c>
      <c r="Q160">
        <v>1.2887873999999999E-3</v>
      </c>
      <c r="R160" s="163">
        <v>4.8351205000000003E-8</v>
      </c>
      <c r="S160">
        <v>8.3649514000000008E-3</v>
      </c>
      <c r="T160">
        <v>1.2530179000000001E-4</v>
      </c>
      <c r="U160">
        <v>1.1598043000000001E-3</v>
      </c>
      <c r="V160">
        <v>1.7379737999999999E-2</v>
      </c>
      <c r="W160">
        <v>5.4897191999999997E-3</v>
      </c>
      <c r="X160" s="163">
        <v>8.6447872E-6</v>
      </c>
      <c r="Y160">
        <v>54.824545000000001</v>
      </c>
      <c r="Z160">
        <v>1.1419349000000001</v>
      </c>
      <c r="AA160" s="163">
        <v>5.2955092000000003E-8</v>
      </c>
      <c r="AB160">
        <v>0.10264036</v>
      </c>
      <c r="AC160">
        <v>13.306010000000001</v>
      </c>
      <c r="AD160" s="163">
        <v>5.6551863999999997E-10</v>
      </c>
      <c r="AE160" s="163">
        <v>1.5169192E-8</v>
      </c>
      <c r="AF160">
        <v>4.1096015000000001</v>
      </c>
      <c r="AG160">
        <v>0</v>
      </c>
      <c r="AH160">
        <v>0</v>
      </c>
      <c r="AI160">
        <v>2.1831532999999999</v>
      </c>
      <c r="AJ160">
        <v>0</v>
      </c>
      <c r="AK160">
        <v>0</v>
      </c>
      <c r="AL160">
        <v>58.568170000000002</v>
      </c>
      <c r="AM160">
        <v>0</v>
      </c>
      <c r="AN160">
        <v>0</v>
      </c>
      <c r="AO160">
        <v>0</v>
      </c>
      <c r="AP160">
        <v>3.2111415999999997E-2</v>
      </c>
      <c r="AQ160" s="163">
        <v>1.7325426E-5</v>
      </c>
      <c r="AR160">
        <v>9.9062531999999995E-2</v>
      </c>
      <c r="AS160" s="163">
        <v>8.6687632999999997E-5</v>
      </c>
      <c r="AT160">
        <v>0</v>
      </c>
      <c r="AU160">
        <v>0</v>
      </c>
      <c r="AV160">
        <v>0</v>
      </c>
      <c r="AW160">
        <v>0</v>
      </c>
      <c r="AX160">
        <v>0</v>
      </c>
    </row>
    <row r="161" spans="1:50">
      <c r="A161" t="s">
        <v>1410</v>
      </c>
      <c r="B161" s="189">
        <f t="shared" si="2"/>
        <v>1.3164429297654401</v>
      </c>
      <c r="C161" s="163">
        <v>6.7421784000000002E-5</v>
      </c>
      <c r="D161">
        <v>5.3888903000000002E-2</v>
      </c>
      <c r="E161">
        <v>15.265433</v>
      </c>
      <c r="F161">
        <v>9.7303926000000002E-4</v>
      </c>
      <c r="G161">
        <v>1.1420034000000001E-2</v>
      </c>
      <c r="H161">
        <v>4.5337859000000001E-2</v>
      </c>
      <c r="I161">
        <v>4.2959864E-3</v>
      </c>
      <c r="J161">
        <v>2.7039979000000001</v>
      </c>
      <c r="K161">
        <v>5.1486999999999998E-2</v>
      </c>
      <c r="L161">
        <v>262.56506000000002</v>
      </c>
      <c r="M161">
        <v>2.2179689999999998E-2</v>
      </c>
      <c r="N161">
        <v>16.693325999999999</v>
      </c>
      <c r="O161">
        <v>16.695294000000001</v>
      </c>
      <c r="P161">
        <v>-7.4974632999999999E-3</v>
      </c>
      <c r="Q161">
        <v>5.5299177999999999E-3</v>
      </c>
      <c r="R161">
        <v>7.8425502999999997E-4</v>
      </c>
      <c r="S161">
        <v>5.3815638999999998E-2</v>
      </c>
      <c r="T161">
        <v>4.6859545000000003E-4</v>
      </c>
      <c r="U161">
        <v>7.5311166000000002E-3</v>
      </c>
      <c r="V161">
        <v>8.7390802000000004E-2</v>
      </c>
      <c r="W161">
        <v>3.7345372000000002E-2</v>
      </c>
      <c r="X161" s="163">
        <v>6.7429785999999998E-5</v>
      </c>
      <c r="Y161">
        <v>103.85181</v>
      </c>
      <c r="Z161">
        <v>5.4923438999999998</v>
      </c>
      <c r="AA161" s="163">
        <v>5.2675909999999995E-7</v>
      </c>
      <c r="AB161">
        <v>0.23136071</v>
      </c>
      <c r="AC161">
        <v>212.33295000000001</v>
      </c>
      <c r="AD161" s="163">
        <v>1.569931E-8</v>
      </c>
      <c r="AE161" s="163">
        <v>2.2088011999999999E-7</v>
      </c>
      <c r="AF161">
        <v>15.558291000000001</v>
      </c>
      <c r="AG161">
        <v>0</v>
      </c>
      <c r="AH161">
        <v>0</v>
      </c>
      <c r="AI161">
        <v>5.3672757000000004</v>
      </c>
      <c r="AJ161">
        <v>0</v>
      </c>
      <c r="AK161">
        <v>0</v>
      </c>
      <c r="AL161">
        <v>111.71353999999999</v>
      </c>
      <c r="AM161">
        <v>0</v>
      </c>
      <c r="AN161">
        <v>0</v>
      </c>
      <c r="AO161">
        <v>0</v>
      </c>
      <c r="AP161">
        <v>0.13749557000000001</v>
      </c>
      <c r="AQ161">
        <v>1.4018278999999999E-4</v>
      </c>
      <c r="AR161">
        <v>0.62072952000000003</v>
      </c>
      <c r="AS161">
        <v>2.0504968E-4</v>
      </c>
      <c r="AT161">
        <v>0</v>
      </c>
      <c r="AU161">
        <v>0</v>
      </c>
      <c r="AV161">
        <v>0</v>
      </c>
      <c r="AW161">
        <v>0</v>
      </c>
      <c r="AX161">
        <v>0</v>
      </c>
    </row>
    <row r="162" spans="1:50">
      <c r="A162" t="s">
        <v>1411</v>
      </c>
      <c r="B162" s="189">
        <f t="shared" si="2"/>
        <v>0.23001073917163645</v>
      </c>
      <c r="C162" s="163">
        <v>5.9294553999999999E-7</v>
      </c>
      <c r="D162">
        <v>4.0674125999999998E-2</v>
      </c>
      <c r="E162">
        <v>2.6965254999999999</v>
      </c>
      <c r="F162" s="163">
        <v>4.8875450000000002E-9</v>
      </c>
      <c r="G162">
        <v>1.9858736000000002E-3</v>
      </c>
      <c r="H162">
        <v>1.4974134E-2</v>
      </c>
      <c r="I162">
        <v>1.4723005999999999E-3</v>
      </c>
      <c r="J162">
        <v>0.1071011</v>
      </c>
      <c r="K162">
        <v>5.5049278E-3</v>
      </c>
      <c r="L162">
        <v>8.7088935999999997</v>
      </c>
      <c r="M162">
        <v>1.4703961999999999E-2</v>
      </c>
      <c r="N162">
        <v>2.7684891999999999</v>
      </c>
      <c r="O162">
        <v>2.7531903</v>
      </c>
      <c r="P162">
        <v>1.5285421E-2</v>
      </c>
      <c r="Q162" s="163">
        <v>1.3403104E-5</v>
      </c>
      <c r="R162" s="163">
        <v>6.0619032999999997E-9</v>
      </c>
      <c r="S162">
        <v>1.8322187E-2</v>
      </c>
      <c r="T162" s="163">
        <v>1.8040136E-6</v>
      </c>
      <c r="U162">
        <v>4.1238955000000004E-3</v>
      </c>
      <c r="V162">
        <v>4.3302574000000003E-2</v>
      </c>
      <c r="W162">
        <v>1.3989658E-2</v>
      </c>
      <c r="X162" s="163">
        <v>5.9294476000000002E-7</v>
      </c>
      <c r="Y162">
        <v>81.874668999999997</v>
      </c>
      <c r="Z162">
        <v>2.6969438999999999</v>
      </c>
      <c r="AA162" s="163">
        <v>1.9746324E-7</v>
      </c>
      <c r="AB162">
        <v>1.9345225000000001E-3</v>
      </c>
      <c r="AC162">
        <v>24.379861999999999</v>
      </c>
      <c r="AD162" s="163">
        <v>8.4787154999999997E-10</v>
      </c>
      <c r="AE162" s="163">
        <v>7.0349121999999996E-8</v>
      </c>
      <c r="AF162">
        <v>0.37171444999999997</v>
      </c>
      <c r="AG162">
        <v>0</v>
      </c>
      <c r="AH162">
        <v>0</v>
      </c>
      <c r="AI162">
        <v>1.0218784999999999E-2</v>
      </c>
      <c r="AJ162">
        <v>0</v>
      </c>
      <c r="AK162">
        <v>0</v>
      </c>
      <c r="AL162">
        <v>88.646128000000004</v>
      </c>
      <c r="AM162">
        <v>0</v>
      </c>
      <c r="AN162">
        <v>0</v>
      </c>
      <c r="AO162">
        <v>0</v>
      </c>
      <c r="AP162">
        <v>6.2810273999999999E-2</v>
      </c>
      <c r="AQ162">
        <v>1.1003218999999999E-3</v>
      </c>
      <c r="AR162">
        <v>5.9919796999999997E-2</v>
      </c>
      <c r="AS162" s="163">
        <v>2.8539763000000001E-6</v>
      </c>
      <c r="AT162">
        <v>0</v>
      </c>
      <c r="AU162">
        <v>0</v>
      </c>
      <c r="AV162">
        <v>0</v>
      </c>
      <c r="AW162">
        <v>0</v>
      </c>
      <c r="AX162">
        <v>0</v>
      </c>
    </row>
    <row r="163" spans="1:50">
      <c r="A163" t="s">
        <v>1412</v>
      </c>
      <c r="B163" s="189">
        <f t="shared" si="2"/>
        <v>39.977369241978003</v>
      </c>
      <c r="C163">
        <v>3.2286837999999998E-3</v>
      </c>
      <c r="D163">
        <v>2.0577371000000002</v>
      </c>
      <c r="E163">
        <v>288.32342</v>
      </c>
      <c r="F163" s="163">
        <v>1.5067019E-5</v>
      </c>
      <c r="G163">
        <v>0.10342923</v>
      </c>
      <c r="H163">
        <v>1.5854424</v>
      </c>
      <c r="I163">
        <v>0.37064427999999999</v>
      </c>
      <c r="J163">
        <v>148.18494000000001</v>
      </c>
      <c r="K163">
        <v>2.2892302</v>
      </c>
      <c r="L163">
        <v>19077.269</v>
      </c>
      <c r="M163">
        <v>0.558612</v>
      </c>
      <c r="N163">
        <v>294.40859999999998</v>
      </c>
      <c r="O163">
        <v>293.36694</v>
      </c>
      <c r="P163">
        <v>0.63536820999999999</v>
      </c>
      <c r="Q163">
        <v>0.40629770999999998</v>
      </c>
      <c r="R163" s="163">
        <v>1.5542344999999998E-5</v>
      </c>
      <c r="S163">
        <v>1.9440978</v>
      </c>
      <c r="T163">
        <v>7.5886052999999995E-2</v>
      </c>
      <c r="U163">
        <v>0.34156790999999997</v>
      </c>
      <c r="V163">
        <v>3.9857811999999999</v>
      </c>
      <c r="W163">
        <v>0.96983775999999999</v>
      </c>
      <c r="X163">
        <v>3.2288213999999999E-3</v>
      </c>
      <c r="Y163">
        <v>3752.3276000000001</v>
      </c>
      <c r="Z163">
        <v>89.365213999999995</v>
      </c>
      <c r="AA163" s="163">
        <v>1.4984239E-5</v>
      </c>
      <c r="AB163">
        <v>14.670597000000001</v>
      </c>
      <c r="AC163">
        <v>9047.1296999999995</v>
      </c>
      <c r="AD163" s="163">
        <v>1.1638255E-7</v>
      </c>
      <c r="AE163" s="163">
        <v>4.4735900999999999E-6</v>
      </c>
      <c r="AF163">
        <v>914.28138999999999</v>
      </c>
      <c r="AG163">
        <v>0</v>
      </c>
      <c r="AH163">
        <v>0</v>
      </c>
      <c r="AI163">
        <v>354.39724999999999</v>
      </c>
      <c r="AJ163">
        <v>0</v>
      </c>
      <c r="AK163">
        <v>0</v>
      </c>
      <c r="AL163">
        <v>3994.8951999999999</v>
      </c>
      <c r="AM163">
        <v>0</v>
      </c>
      <c r="AN163">
        <v>0</v>
      </c>
      <c r="AO163">
        <v>0</v>
      </c>
      <c r="AP163">
        <v>2.8257984</v>
      </c>
      <c r="AQ163">
        <v>5.8847472000000001E-3</v>
      </c>
      <c r="AR163">
        <v>27.956669999999999</v>
      </c>
      <c r="AS163">
        <v>1.1630438999999999E-2</v>
      </c>
      <c r="AT163">
        <v>0</v>
      </c>
      <c r="AU163">
        <v>0</v>
      </c>
      <c r="AV163">
        <v>0</v>
      </c>
      <c r="AW163">
        <v>0</v>
      </c>
      <c r="AX163">
        <v>0</v>
      </c>
    </row>
    <row r="164" spans="1:50">
      <c r="A164" t="s">
        <v>1413</v>
      </c>
      <c r="B164" s="189">
        <f t="shared" si="2"/>
        <v>1.2624474028022E-2</v>
      </c>
      <c r="C164" s="163">
        <v>2.8497095E-7</v>
      </c>
      <c r="D164">
        <v>7.7257667999999996E-4</v>
      </c>
      <c r="E164">
        <v>0.10884228</v>
      </c>
      <c r="F164" s="163">
        <v>1.4105709000000001E-8</v>
      </c>
      <c r="G164" s="163">
        <v>6.3232632000000003E-5</v>
      </c>
      <c r="H164">
        <v>5.4525373999999996E-4</v>
      </c>
      <c r="I164" s="163">
        <v>8.7233585999999999E-5</v>
      </c>
      <c r="J164">
        <v>3.9520112000000003E-2</v>
      </c>
      <c r="K164">
        <v>9.2749320000000001E-4</v>
      </c>
      <c r="L164">
        <v>3.7024518999999998</v>
      </c>
      <c r="M164">
        <v>1.8027380999999999E-4</v>
      </c>
      <c r="N164">
        <v>0.11076714999999999</v>
      </c>
      <c r="O164">
        <v>0.11034972</v>
      </c>
      <c r="P164">
        <v>3.4696516999999999E-4</v>
      </c>
      <c r="Q164" s="163">
        <v>7.0471009000000001E-5</v>
      </c>
      <c r="R164" s="163">
        <v>1.7333928999999999E-8</v>
      </c>
      <c r="S164">
        <v>6.9456786999999999E-4</v>
      </c>
      <c r="T164" s="163">
        <v>4.2567714000000001E-6</v>
      </c>
      <c r="U164">
        <v>1.8383498999999999E-4</v>
      </c>
      <c r="V164">
        <v>2.0869628000000002E-3</v>
      </c>
      <c r="W164">
        <v>5.9122961999999999E-4</v>
      </c>
      <c r="X164" s="163">
        <v>2.8498082000000001E-7</v>
      </c>
      <c r="Y164">
        <v>1.5205867</v>
      </c>
      <c r="Z164">
        <v>5.0319479E-2</v>
      </c>
      <c r="AA164" s="163">
        <v>9.4872885000000002E-9</v>
      </c>
      <c r="AB164">
        <v>6.1626086999999998E-3</v>
      </c>
      <c r="AC164">
        <v>1.771976</v>
      </c>
      <c r="AD164" s="163">
        <v>6.9847680000000002E-11</v>
      </c>
      <c r="AE164" s="163">
        <v>1.5195396E-9</v>
      </c>
      <c r="AF164">
        <v>0.93264913000000005</v>
      </c>
      <c r="AG164">
        <v>0</v>
      </c>
      <c r="AH164">
        <v>0</v>
      </c>
      <c r="AI164">
        <v>5.9356687999999998E-2</v>
      </c>
      <c r="AJ164">
        <v>0</v>
      </c>
      <c r="AK164">
        <v>0</v>
      </c>
      <c r="AL164">
        <v>1.6138049999999999</v>
      </c>
      <c r="AM164">
        <v>0</v>
      </c>
      <c r="AN164">
        <v>0</v>
      </c>
      <c r="AO164">
        <v>0</v>
      </c>
      <c r="AP164">
        <v>1.3109558E-3</v>
      </c>
      <c r="AQ164" s="163">
        <v>6.0942625000000002E-6</v>
      </c>
      <c r="AR164">
        <v>5.5206765999999997E-2</v>
      </c>
      <c r="AS164" s="163">
        <v>8.4029895000000003E-6</v>
      </c>
      <c r="AT164">
        <v>0</v>
      </c>
      <c r="AU164">
        <v>0</v>
      </c>
      <c r="AV164">
        <v>0</v>
      </c>
      <c r="AW164">
        <v>0</v>
      </c>
      <c r="AX164">
        <v>0</v>
      </c>
    </row>
    <row r="165" spans="1:50">
      <c r="A165" t="s">
        <v>1414</v>
      </c>
      <c r="B165" s="189">
        <f t="shared" si="2"/>
        <v>0</v>
      </c>
      <c r="C165">
        <v>0</v>
      </c>
      <c r="D165">
        <v>0</v>
      </c>
      <c r="E165">
        <v>0</v>
      </c>
      <c r="F165">
        <v>0</v>
      </c>
      <c r="G165">
        <v>0</v>
      </c>
      <c r="H165">
        <v>0</v>
      </c>
      <c r="I165">
        <v>0</v>
      </c>
      <c r="J165">
        <v>0</v>
      </c>
      <c r="K165">
        <v>0</v>
      </c>
      <c r="L165">
        <v>0</v>
      </c>
      <c r="M165">
        <v>0</v>
      </c>
      <c r="N165">
        <v>0</v>
      </c>
      <c r="O165">
        <v>0</v>
      </c>
      <c r="P165">
        <v>0</v>
      </c>
      <c r="Q165">
        <v>0</v>
      </c>
      <c r="R165">
        <v>0</v>
      </c>
      <c r="S165">
        <v>0</v>
      </c>
      <c r="T165">
        <v>0</v>
      </c>
      <c r="U165">
        <v>0</v>
      </c>
      <c r="V165">
        <v>0</v>
      </c>
      <c r="W165">
        <v>0</v>
      </c>
      <c r="X165">
        <v>0</v>
      </c>
      <c r="Y165">
        <v>0</v>
      </c>
      <c r="Z165">
        <v>0</v>
      </c>
      <c r="AA165">
        <v>0</v>
      </c>
      <c r="AB165">
        <v>0</v>
      </c>
      <c r="AC165">
        <v>0</v>
      </c>
      <c r="AD165">
        <v>0</v>
      </c>
      <c r="AE165">
        <v>0</v>
      </c>
      <c r="AF165">
        <v>0</v>
      </c>
      <c r="AG165">
        <v>0</v>
      </c>
      <c r="AH165">
        <v>0</v>
      </c>
      <c r="AI165">
        <v>0</v>
      </c>
      <c r="AJ165">
        <v>0</v>
      </c>
      <c r="AK165">
        <v>0</v>
      </c>
      <c r="AL165">
        <v>0</v>
      </c>
      <c r="AM165">
        <v>0</v>
      </c>
      <c r="AN165">
        <v>0</v>
      </c>
      <c r="AO165">
        <v>0</v>
      </c>
      <c r="AP165">
        <v>0</v>
      </c>
      <c r="AQ165">
        <v>0</v>
      </c>
      <c r="AR165">
        <v>0</v>
      </c>
      <c r="AS165">
        <v>0</v>
      </c>
      <c r="AT165">
        <v>0</v>
      </c>
      <c r="AU165">
        <v>0</v>
      </c>
      <c r="AV165">
        <v>0</v>
      </c>
      <c r="AW165">
        <v>0</v>
      </c>
      <c r="AX165">
        <v>0</v>
      </c>
    </row>
    <row r="166" spans="1:50">
      <c r="A166" t="s">
        <v>1415</v>
      </c>
      <c r="B166" s="189">
        <f t="shared" si="2"/>
        <v>0.60744474610159993</v>
      </c>
      <c r="C166" s="163">
        <v>1.7960159999999998E-5</v>
      </c>
      <c r="D166">
        <v>3.9735968000000003E-2</v>
      </c>
      <c r="E166">
        <v>3.3505604999999998</v>
      </c>
      <c r="F166" s="163">
        <v>3.4703040000000003E-7</v>
      </c>
      <c r="G166">
        <v>4.0316138000000001E-3</v>
      </c>
      <c r="H166">
        <v>1.3645321E-2</v>
      </c>
      <c r="I166">
        <v>2.7420075E-3</v>
      </c>
      <c r="J166">
        <v>3.5409663999999998</v>
      </c>
      <c r="K166">
        <v>0.66884977000000001</v>
      </c>
      <c r="L166">
        <v>71.923630000000003</v>
      </c>
      <c r="M166">
        <v>4.6378414000000003E-3</v>
      </c>
      <c r="N166">
        <v>3.4468504000000002</v>
      </c>
      <c r="O166">
        <v>3.4416221</v>
      </c>
      <c r="P166">
        <v>3.229432E-3</v>
      </c>
      <c r="Q166">
        <v>1.9988800000000002E-3</v>
      </c>
      <c r="R166" s="163">
        <v>3.4847000999999998E-7</v>
      </c>
      <c r="S166">
        <v>1.6629736999999999E-2</v>
      </c>
      <c r="T166">
        <v>2.3455451000000001E-4</v>
      </c>
      <c r="U166">
        <v>3.1056375999999998E-3</v>
      </c>
      <c r="V166">
        <v>3.2157505000000003E-2</v>
      </c>
      <c r="W166">
        <v>1.4212951E-2</v>
      </c>
      <c r="X166" s="163">
        <v>1.7960721E-5</v>
      </c>
      <c r="Y166">
        <v>79.776899</v>
      </c>
      <c r="Z166">
        <v>1.7823348000000001</v>
      </c>
      <c r="AA166" s="163">
        <v>1.3525387999999999E-7</v>
      </c>
      <c r="AB166">
        <v>0.11214224</v>
      </c>
      <c r="AC166">
        <v>126.67946999999999</v>
      </c>
      <c r="AD166" s="163">
        <v>6.3351016000000003E-9</v>
      </c>
      <c r="AE166" s="163">
        <v>4.1950706999999999E-8</v>
      </c>
      <c r="AF166">
        <v>9.6576312000000009</v>
      </c>
      <c r="AG166">
        <v>0</v>
      </c>
      <c r="AH166">
        <v>0</v>
      </c>
      <c r="AI166">
        <v>2.8584827000000002</v>
      </c>
      <c r="AJ166">
        <v>0</v>
      </c>
      <c r="AK166">
        <v>0</v>
      </c>
      <c r="AL166">
        <v>85.512929999999997</v>
      </c>
      <c r="AM166">
        <v>0</v>
      </c>
      <c r="AN166">
        <v>0</v>
      </c>
      <c r="AO166">
        <v>0</v>
      </c>
      <c r="AP166">
        <v>4.7090904000000003E-2</v>
      </c>
      <c r="AQ166" s="163">
        <v>4.4347331E-5</v>
      </c>
      <c r="AR166">
        <v>0.25818915999999997</v>
      </c>
      <c r="AS166">
        <v>1.0325637E-4</v>
      </c>
      <c r="AT166">
        <v>0</v>
      </c>
      <c r="AU166">
        <v>0</v>
      </c>
      <c r="AV166">
        <v>0</v>
      </c>
      <c r="AW166">
        <v>0</v>
      </c>
      <c r="AX166">
        <v>0</v>
      </c>
    </row>
    <row r="167" spans="1:50">
      <c r="A167" t="s">
        <v>1416</v>
      </c>
      <c r="B167" s="189">
        <f t="shared" si="2"/>
        <v>4.9878366840950004E-2</v>
      </c>
      <c r="C167" s="163">
        <v>3.0479442999999999E-5</v>
      </c>
      <c r="D167">
        <v>2.7648360000000001E-3</v>
      </c>
      <c r="E167">
        <v>0.61624902999999998</v>
      </c>
      <c r="F167" s="163">
        <v>2.9252509E-8</v>
      </c>
      <c r="G167">
        <v>2.6133638999999999E-4</v>
      </c>
      <c r="H167">
        <v>1.5475833E-3</v>
      </c>
      <c r="I167">
        <v>2.747739E-4</v>
      </c>
      <c r="J167">
        <v>8.3776900000000001E-2</v>
      </c>
      <c r="K167">
        <v>1.1601185999999999E-2</v>
      </c>
      <c r="L167">
        <v>14.999381</v>
      </c>
      <c r="M167">
        <v>7.3202558000000004E-4</v>
      </c>
      <c r="N167">
        <v>0.22391512</v>
      </c>
      <c r="O167">
        <v>0.22469338999999999</v>
      </c>
      <c r="P167">
        <v>-9.5351094999999997E-4</v>
      </c>
      <c r="Q167">
        <v>1.7523832E-4</v>
      </c>
      <c r="R167" s="163">
        <v>2.7564516E-8</v>
      </c>
      <c r="S167">
        <v>1.2970855000000001E-3</v>
      </c>
      <c r="T167" s="163">
        <v>1.5759986E-5</v>
      </c>
      <c r="U167">
        <v>1.9898297999999999E-4</v>
      </c>
      <c r="V167">
        <v>2.5421361E-3</v>
      </c>
      <c r="W167">
        <v>8.2154766999999998E-4</v>
      </c>
      <c r="X167" s="163">
        <v>9.3927031000000003E-7</v>
      </c>
      <c r="Y167">
        <v>4.0551437000000004</v>
      </c>
      <c r="Z167">
        <v>0.17174538</v>
      </c>
      <c r="AA167" s="163">
        <v>1.050831E-8</v>
      </c>
      <c r="AB167">
        <v>1.2967100000000001E-2</v>
      </c>
      <c r="AC167">
        <v>4.8125147999999998</v>
      </c>
      <c r="AD167" s="163">
        <v>2.0438365999999999E-10</v>
      </c>
      <c r="AE167" s="163">
        <v>8.7257749999999993E-9</v>
      </c>
      <c r="AF167">
        <v>1.8303469000000001</v>
      </c>
      <c r="AG167">
        <v>0</v>
      </c>
      <c r="AH167">
        <v>0</v>
      </c>
      <c r="AI167">
        <v>0.48643847000000001</v>
      </c>
      <c r="AJ167">
        <v>0</v>
      </c>
      <c r="AK167">
        <v>0</v>
      </c>
      <c r="AL167">
        <v>5.6109026999999996</v>
      </c>
      <c r="AM167">
        <v>0</v>
      </c>
      <c r="AN167">
        <v>0</v>
      </c>
      <c r="AO167">
        <v>0</v>
      </c>
      <c r="AP167">
        <v>5.2768153000000003E-3</v>
      </c>
      <c r="AQ167" s="163">
        <v>1.2413164E-5</v>
      </c>
      <c r="AR167">
        <v>5.3966334999999997E-2</v>
      </c>
      <c r="AS167" s="163">
        <v>1.3166952E-5</v>
      </c>
      <c r="AT167">
        <v>0</v>
      </c>
      <c r="AU167">
        <v>0</v>
      </c>
      <c r="AV167">
        <v>0</v>
      </c>
      <c r="AW167">
        <v>0</v>
      </c>
      <c r="AX167">
        <v>0</v>
      </c>
    </row>
    <row r="168" spans="1:50">
      <c r="A168" t="s">
        <v>1417</v>
      </c>
      <c r="B168" s="189">
        <f t="shared" si="2"/>
        <v>0.30763133363619999</v>
      </c>
      <c r="C168">
        <v>2.7832880000000001E-3</v>
      </c>
      <c r="D168">
        <v>7.1472669000000001E-3</v>
      </c>
      <c r="E168">
        <v>1.2184834</v>
      </c>
      <c r="F168" s="163">
        <v>1.7174033999999999E-7</v>
      </c>
      <c r="G168">
        <v>1.6359295999999999E-3</v>
      </c>
      <c r="H168">
        <v>3.0103445E-2</v>
      </c>
      <c r="I168">
        <v>3.0453605000000002E-3</v>
      </c>
      <c r="J168">
        <v>0.92977282999999999</v>
      </c>
      <c r="K168">
        <v>5.2111602999999999E-2</v>
      </c>
      <c r="L168">
        <v>84.551496</v>
      </c>
      <c r="M168">
        <v>5.3531092000000001E-3</v>
      </c>
      <c r="N168">
        <v>1.2473552999999999</v>
      </c>
      <c r="O168">
        <v>1.2381424999999999</v>
      </c>
      <c r="P168">
        <v>8.3762226999999998E-3</v>
      </c>
      <c r="Q168">
        <v>8.3659046999999998E-4</v>
      </c>
      <c r="R168" s="163">
        <v>1.7916174999999999E-7</v>
      </c>
      <c r="S168">
        <v>3.4841325999999999E-2</v>
      </c>
      <c r="T168">
        <v>6.4445786000000001E-4</v>
      </c>
      <c r="U168">
        <v>2.4348327999999999E-3</v>
      </c>
      <c r="V168">
        <v>3.4243402999999999E-2</v>
      </c>
      <c r="W168">
        <v>8.9468298999999998E-3</v>
      </c>
      <c r="X168">
        <v>2.7832880000000001E-3</v>
      </c>
      <c r="Y168">
        <v>12.657553</v>
      </c>
      <c r="Z168">
        <v>0.53755408999999998</v>
      </c>
      <c r="AA168" s="163">
        <v>1.6470753000000001E-7</v>
      </c>
      <c r="AB168">
        <v>3.7683883000000001E-2</v>
      </c>
      <c r="AC168">
        <v>278.94065999999998</v>
      </c>
      <c r="AD168" s="163">
        <v>7.3849168000000004E-9</v>
      </c>
      <c r="AE168" s="163">
        <v>6.8550301999999999E-7</v>
      </c>
      <c r="AF168">
        <v>6.3118391999999997</v>
      </c>
      <c r="AG168">
        <v>0</v>
      </c>
      <c r="AH168">
        <v>0</v>
      </c>
      <c r="AI168">
        <v>1.0881485</v>
      </c>
      <c r="AJ168">
        <v>0</v>
      </c>
      <c r="AK168">
        <v>0</v>
      </c>
      <c r="AL168">
        <v>13.493829</v>
      </c>
      <c r="AM168">
        <v>0</v>
      </c>
      <c r="AN168">
        <v>0</v>
      </c>
      <c r="AO168">
        <v>0</v>
      </c>
      <c r="AP168">
        <v>1.4076577999999999E-2</v>
      </c>
      <c r="AQ168" s="163">
        <v>1.9782446000000001E-5</v>
      </c>
      <c r="AR168">
        <v>0.32420666999999997</v>
      </c>
      <c r="AS168" s="163">
        <v>3.8277661999999997E-5</v>
      </c>
      <c r="AT168">
        <v>0</v>
      </c>
      <c r="AU168">
        <v>0</v>
      </c>
      <c r="AV168">
        <v>0</v>
      </c>
      <c r="AW168">
        <v>0</v>
      </c>
      <c r="AX168">
        <v>0</v>
      </c>
    </row>
    <row r="169" spans="1:50">
      <c r="A169" t="s">
        <v>1418</v>
      </c>
      <c r="B169" s="189">
        <f t="shared" si="2"/>
        <v>0.126544738484272</v>
      </c>
      <c r="C169" s="163">
        <v>3.6323067000000001E-6</v>
      </c>
      <c r="D169">
        <v>8.2537605999999999E-3</v>
      </c>
      <c r="E169">
        <v>0.96634967000000005</v>
      </c>
      <c r="F169" s="163">
        <v>1.0492544E-7</v>
      </c>
      <c r="G169">
        <v>9.9154758000000003E-4</v>
      </c>
      <c r="H169">
        <v>5.0113661999999998E-3</v>
      </c>
      <c r="I169">
        <v>8.4217288999999999E-4</v>
      </c>
      <c r="J169">
        <v>0.46813754000000002</v>
      </c>
      <c r="K169">
        <v>1.6415353000000001E-2</v>
      </c>
      <c r="L169">
        <v>45.236063000000001</v>
      </c>
      <c r="M169">
        <v>2.4393815999999998E-3</v>
      </c>
      <c r="N169">
        <v>0.24266768999999999</v>
      </c>
      <c r="O169">
        <v>0.98369368000000001</v>
      </c>
      <c r="P169">
        <v>-0.74227145999999999</v>
      </c>
      <c r="Q169">
        <v>1.2454808E-3</v>
      </c>
      <c r="R169" s="163">
        <v>1.2469386000000001E-7</v>
      </c>
      <c r="S169">
        <v>6.6789889999999998E-3</v>
      </c>
      <c r="T169" s="163">
        <v>5.4384720999999999E-5</v>
      </c>
      <c r="U169">
        <v>1.2393927E-3</v>
      </c>
      <c r="V169">
        <v>1.9329071E-2</v>
      </c>
      <c r="W169">
        <v>4.7679204000000003E-3</v>
      </c>
      <c r="X169" s="163">
        <v>3.6337043E-6</v>
      </c>
      <c r="Y169">
        <v>15.599118000000001</v>
      </c>
      <c r="Z169">
        <v>0.92338880000000001</v>
      </c>
      <c r="AA169" s="163">
        <v>1.041308E-7</v>
      </c>
      <c r="AB169">
        <v>3.8521857999999999E-2</v>
      </c>
      <c r="AC169">
        <v>21.817012999999999</v>
      </c>
      <c r="AD169" s="163">
        <v>8.3920565999999998E-9</v>
      </c>
      <c r="AE169" s="163">
        <v>1.6429667999999999E-8</v>
      </c>
      <c r="AF169">
        <v>75.861979000000005</v>
      </c>
      <c r="AG169">
        <v>0</v>
      </c>
      <c r="AH169">
        <v>0</v>
      </c>
      <c r="AI169">
        <v>13.604319</v>
      </c>
      <c r="AJ169">
        <v>0</v>
      </c>
      <c r="AK169">
        <v>0</v>
      </c>
      <c r="AL169">
        <v>16.861553000000001</v>
      </c>
      <c r="AM169">
        <v>0</v>
      </c>
      <c r="AN169">
        <v>0</v>
      </c>
      <c r="AO169">
        <v>0</v>
      </c>
      <c r="AP169">
        <v>2.2828195999999999E-2</v>
      </c>
      <c r="AQ169" s="163">
        <v>2.4842408E-5</v>
      </c>
      <c r="AR169">
        <v>0.18190554</v>
      </c>
      <c r="AS169" s="163">
        <v>4.4130052000000002E-5</v>
      </c>
      <c r="AT169">
        <v>0</v>
      </c>
      <c r="AU169">
        <v>0</v>
      </c>
      <c r="AV169">
        <v>0</v>
      </c>
      <c r="AW169">
        <v>0</v>
      </c>
      <c r="AX169">
        <v>0</v>
      </c>
    </row>
    <row r="170" spans="1:50">
      <c r="A170" t="s">
        <v>1419</v>
      </c>
      <c r="B170" s="189">
        <f t="shared" si="2"/>
        <v>0.59699420296116013</v>
      </c>
      <c r="C170" s="163">
        <v>2.7068825999999999E-5</v>
      </c>
      <c r="D170">
        <v>4.2064998999999999E-2</v>
      </c>
      <c r="E170">
        <v>4.5239821999999998</v>
      </c>
      <c r="F170" s="163">
        <v>6.1765870000000004E-7</v>
      </c>
      <c r="G170">
        <v>2.3247608999999998E-3</v>
      </c>
      <c r="H170">
        <v>2.5341068000000001E-2</v>
      </c>
      <c r="I170">
        <v>4.0031338000000001E-3</v>
      </c>
      <c r="J170">
        <v>2.1504783999999999</v>
      </c>
      <c r="K170">
        <v>7.9797558000000005E-2</v>
      </c>
      <c r="L170">
        <v>256.03616</v>
      </c>
      <c r="M170">
        <v>7.6539268000000004E-3</v>
      </c>
      <c r="N170">
        <v>4.5950557999999999</v>
      </c>
      <c r="O170">
        <v>4.6117103999999998</v>
      </c>
      <c r="P170">
        <v>-1.8556662000000002E-2</v>
      </c>
      <c r="Q170">
        <v>1.9020475E-3</v>
      </c>
      <c r="R170" s="163">
        <v>7.4409578999999997E-7</v>
      </c>
      <c r="S170">
        <v>3.5726297999999997E-2</v>
      </c>
      <c r="T170">
        <v>2.676655E-4</v>
      </c>
      <c r="U170">
        <v>3.5949218999999999E-3</v>
      </c>
      <c r="V170">
        <v>0.10103381</v>
      </c>
      <c r="W170">
        <v>1.1355194000000001E-2</v>
      </c>
      <c r="X170" s="163">
        <v>2.7078414999999999E-5</v>
      </c>
      <c r="Y170">
        <v>80.807225000000003</v>
      </c>
      <c r="Z170">
        <v>8.6244627000000005</v>
      </c>
      <c r="AA170" s="163">
        <v>5.2642250999999997E-7</v>
      </c>
      <c r="AB170">
        <v>0.16816236000000001</v>
      </c>
      <c r="AC170">
        <v>63.282704000000003</v>
      </c>
      <c r="AD170" s="163">
        <v>2.7606059000000001E-8</v>
      </c>
      <c r="AE170" s="163">
        <v>5.1423065999999998E-8</v>
      </c>
      <c r="AF170">
        <v>13.574548</v>
      </c>
      <c r="AG170">
        <v>0</v>
      </c>
      <c r="AH170">
        <v>0</v>
      </c>
      <c r="AI170">
        <v>2.2724047999999999</v>
      </c>
      <c r="AJ170">
        <v>0</v>
      </c>
      <c r="AK170">
        <v>0</v>
      </c>
      <c r="AL170">
        <v>87.869034999999997</v>
      </c>
      <c r="AM170">
        <v>0</v>
      </c>
      <c r="AN170">
        <v>0</v>
      </c>
      <c r="AO170">
        <v>0</v>
      </c>
      <c r="AP170">
        <v>0.20463302999999999</v>
      </c>
      <c r="AQ170" s="163">
        <v>8.4178133999999999E-5</v>
      </c>
      <c r="AR170">
        <v>0.36303073000000002</v>
      </c>
      <c r="AS170">
        <v>2.2121085E-4</v>
      </c>
      <c r="AT170">
        <v>0</v>
      </c>
      <c r="AU170">
        <v>0</v>
      </c>
      <c r="AV170">
        <v>0</v>
      </c>
      <c r="AW170">
        <v>0</v>
      </c>
      <c r="AX170">
        <v>0</v>
      </c>
    </row>
    <row r="171" spans="1:50">
      <c r="A171" t="s">
        <v>1420</v>
      </c>
      <c r="B171" s="189">
        <f t="shared" si="2"/>
        <v>0</v>
      </c>
      <c r="C171">
        <v>0</v>
      </c>
      <c r="D171">
        <v>0</v>
      </c>
      <c r="E171">
        <v>0</v>
      </c>
      <c r="F171">
        <v>0</v>
      </c>
      <c r="G171">
        <v>0</v>
      </c>
      <c r="H171">
        <v>0</v>
      </c>
      <c r="I171">
        <v>0</v>
      </c>
      <c r="J171">
        <v>0</v>
      </c>
      <c r="K171">
        <v>0</v>
      </c>
      <c r="L171">
        <v>0</v>
      </c>
      <c r="M171">
        <v>0</v>
      </c>
      <c r="N171">
        <v>0</v>
      </c>
      <c r="O171">
        <v>0</v>
      </c>
      <c r="P171">
        <v>0</v>
      </c>
      <c r="Q171">
        <v>0</v>
      </c>
      <c r="R171">
        <v>0</v>
      </c>
      <c r="S171">
        <v>0</v>
      </c>
      <c r="T171">
        <v>0</v>
      </c>
      <c r="U171">
        <v>0</v>
      </c>
      <c r="V171">
        <v>0</v>
      </c>
      <c r="W171">
        <v>0</v>
      </c>
      <c r="X171">
        <v>0</v>
      </c>
      <c r="Y171">
        <v>0</v>
      </c>
      <c r="Z171">
        <v>0</v>
      </c>
      <c r="AA171">
        <v>0</v>
      </c>
      <c r="AB171">
        <v>0</v>
      </c>
      <c r="AC171">
        <v>0</v>
      </c>
      <c r="AD171">
        <v>0</v>
      </c>
      <c r="AE171">
        <v>0</v>
      </c>
      <c r="AF171">
        <v>0</v>
      </c>
      <c r="AG171">
        <v>0</v>
      </c>
      <c r="AH171">
        <v>0</v>
      </c>
      <c r="AI171">
        <v>0</v>
      </c>
      <c r="AJ171">
        <v>0</v>
      </c>
      <c r="AK171">
        <v>0</v>
      </c>
      <c r="AL171">
        <v>0</v>
      </c>
      <c r="AM171">
        <v>0</v>
      </c>
      <c r="AN171">
        <v>0</v>
      </c>
      <c r="AO171">
        <v>0</v>
      </c>
      <c r="AP171">
        <v>0</v>
      </c>
      <c r="AQ171">
        <v>0</v>
      </c>
      <c r="AR171">
        <v>0</v>
      </c>
      <c r="AS171">
        <v>0</v>
      </c>
      <c r="AT171">
        <v>0</v>
      </c>
      <c r="AU171">
        <v>0</v>
      </c>
      <c r="AV171">
        <v>0</v>
      </c>
      <c r="AW171">
        <v>0</v>
      </c>
      <c r="AX171">
        <v>0</v>
      </c>
    </row>
    <row r="172" spans="1:50">
      <c r="A172" t="s">
        <v>1421</v>
      </c>
      <c r="B172" s="189">
        <f t="shared" si="2"/>
        <v>5.8977815383883003</v>
      </c>
      <c r="C172">
        <v>3.3331354999999998E-3</v>
      </c>
      <c r="D172">
        <v>2.7261186999999999E-2</v>
      </c>
      <c r="E172">
        <v>4.2483053000000002</v>
      </c>
      <c r="F172" s="163">
        <v>2.1929961E-7</v>
      </c>
      <c r="G172">
        <v>1.3140148000000001E-2</v>
      </c>
      <c r="H172">
        <v>0.27288833000000001</v>
      </c>
      <c r="I172">
        <v>7.7360337000000001E-2</v>
      </c>
      <c r="J172">
        <v>38.506464000000001</v>
      </c>
      <c r="K172">
        <v>0.67171177999999998</v>
      </c>
      <c r="L172">
        <v>3716.7609000000002</v>
      </c>
      <c r="M172">
        <v>0.14964584</v>
      </c>
      <c r="N172">
        <v>4.3110685999999996</v>
      </c>
      <c r="O172">
        <v>4.3155207000000004</v>
      </c>
      <c r="P172">
        <v>-1.2053391E-2</v>
      </c>
      <c r="Q172">
        <v>7.6012294999999999E-3</v>
      </c>
      <c r="R172" s="163">
        <v>2.4235453000000002E-7</v>
      </c>
      <c r="S172">
        <v>0.31058878000000001</v>
      </c>
      <c r="T172">
        <v>2.3105598000000001E-2</v>
      </c>
      <c r="U172">
        <v>1.5902361E-2</v>
      </c>
      <c r="V172">
        <v>0.21129313</v>
      </c>
      <c r="W172">
        <v>5.7802356999999999E-2</v>
      </c>
      <c r="X172">
        <v>3.3332142000000002E-3</v>
      </c>
      <c r="Y172">
        <v>47.169471999999999</v>
      </c>
      <c r="Z172">
        <v>2.2120563</v>
      </c>
      <c r="AA172" s="163">
        <v>6.9866911000000005E-7</v>
      </c>
      <c r="AB172">
        <v>0.13402360999999999</v>
      </c>
      <c r="AC172">
        <v>2282.6723000000002</v>
      </c>
      <c r="AD172" s="163">
        <v>3.0780213999999997E-8</v>
      </c>
      <c r="AE172" s="163">
        <v>2.9516561E-6</v>
      </c>
      <c r="AF172">
        <v>46.105276000000003</v>
      </c>
      <c r="AG172">
        <v>0</v>
      </c>
      <c r="AH172">
        <v>0</v>
      </c>
      <c r="AI172">
        <v>9.3372475000000001</v>
      </c>
      <c r="AJ172">
        <v>0</v>
      </c>
      <c r="AK172">
        <v>0</v>
      </c>
      <c r="AL172">
        <v>50.290388999999998</v>
      </c>
      <c r="AM172">
        <v>0</v>
      </c>
      <c r="AN172">
        <v>0</v>
      </c>
      <c r="AO172">
        <v>0</v>
      </c>
      <c r="AP172">
        <v>6.0979190000000003E-2</v>
      </c>
      <c r="AQ172">
        <v>1.0115174999999999E-3</v>
      </c>
      <c r="AR172">
        <v>1.4231278999999999</v>
      </c>
      <c r="AS172">
        <v>1.2154522E-4</v>
      </c>
      <c r="AT172">
        <v>0</v>
      </c>
      <c r="AU172">
        <v>0</v>
      </c>
      <c r="AV172">
        <v>0</v>
      </c>
      <c r="AW172">
        <v>0</v>
      </c>
      <c r="AX172">
        <v>0</v>
      </c>
    </row>
    <row r="173" spans="1:50">
      <c r="A173" t="s">
        <v>1422</v>
      </c>
      <c r="B173" s="189">
        <f t="shared" si="2"/>
        <v>0.50143245936629999</v>
      </c>
      <c r="C173">
        <v>1.1308226E-4</v>
      </c>
      <c r="D173">
        <v>2.3229909E-2</v>
      </c>
      <c r="E173">
        <v>2.3324061</v>
      </c>
      <c r="F173" s="163">
        <v>4.9272229000000003E-7</v>
      </c>
      <c r="G173">
        <v>4.4934435000000002E-2</v>
      </c>
      <c r="H173">
        <v>1.3200496000000001E-2</v>
      </c>
      <c r="I173">
        <v>2.5579285999999999E-3</v>
      </c>
      <c r="J173">
        <v>2.1491663000000001</v>
      </c>
      <c r="K173">
        <v>0.28274331000000003</v>
      </c>
      <c r="L173">
        <v>129.74841000000001</v>
      </c>
      <c r="M173">
        <v>8.1362566000000008E-3</v>
      </c>
      <c r="N173">
        <v>2.4359820999999999</v>
      </c>
      <c r="O173">
        <v>2.4076205000000002</v>
      </c>
      <c r="P173">
        <v>2.7087507E-2</v>
      </c>
      <c r="Q173">
        <v>1.2741273E-3</v>
      </c>
      <c r="R173" s="163">
        <v>4.7054675999999999E-7</v>
      </c>
      <c r="S173">
        <v>1.581598E-2</v>
      </c>
      <c r="T173">
        <v>2.7131151999999997E-4</v>
      </c>
      <c r="U173">
        <v>3.0163128E-3</v>
      </c>
      <c r="V173">
        <v>2.4840129999999998E-2</v>
      </c>
      <c r="W173">
        <v>9.0652857999999996E-3</v>
      </c>
      <c r="X173" s="163">
        <v>1.0803058999999999E-5</v>
      </c>
      <c r="Y173">
        <v>48.054040999999998</v>
      </c>
      <c r="Z173">
        <v>1.5595112</v>
      </c>
      <c r="AA173" s="163">
        <v>1.5754874000000001E-7</v>
      </c>
      <c r="AB173">
        <v>0.10659710999999999</v>
      </c>
      <c r="AC173">
        <v>149.48202000000001</v>
      </c>
      <c r="AD173" s="163">
        <v>8.2929974999999994E-9</v>
      </c>
      <c r="AE173" s="163">
        <v>1.2030428E-7</v>
      </c>
      <c r="AF173">
        <v>7.2559209999999998</v>
      </c>
      <c r="AG173">
        <v>0</v>
      </c>
      <c r="AH173">
        <v>0</v>
      </c>
      <c r="AI173">
        <v>2.5660322999999998</v>
      </c>
      <c r="AJ173">
        <v>0</v>
      </c>
      <c r="AK173">
        <v>0</v>
      </c>
      <c r="AL173">
        <v>51.455813999999997</v>
      </c>
      <c r="AM173">
        <v>0</v>
      </c>
      <c r="AN173">
        <v>0</v>
      </c>
      <c r="AO173">
        <v>0</v>
      </c>
      <c r="AP173">
        <v>4.0338055999999997E-2</v>
      </c>
      <c r="AQ173" s="163">
        <v>3.4480502999999998E-5</v>
      </c>
      <c r="AR173">
        <v>0.31788897999999999</v>
      </c>
      <c r="AS173">
        <v>1.1759986E-4</v>
      </c>
      <c r="AT173">
        <v>0</v>
      </c>
      <c r="AU173">
        <v>0</v>
      </c>
      <c r="AV173">
        <v>0</v>
      </c>
      <c r="AW173">
        <v>0</v>
      </c>
      <c r="AX173">
        <v>0</v>
      </c>
    </row>
    <row r="174" spans="1:50">
      <c r="A174" t="s">
        <v>1423</v>
      </c>
      <c r="B174" s="189">
        <f t="shared" si="2"/>
        <v>0</v>
      </c>
      <c r="C174">
        <v>0</v>
      </c>
      <c r="D174">
        <v>0</v>
      </c>
      <c r="E174">
        <v>0</v>
      </c>
      <c r="F174">
        <v>0</v>
      </c>
      <c r="G174">
        <v>0</v>
      </c>
      <c r="H174">
        <v>0</v>
      </c>
      <c r="I174">
        <v>0</v>
      </c>
      <c r="J174">
        <v>0</v>
      </c>
      <c r="K174">
        <v>0</v>
      </c>
      <c r="L174">
        <v>0</v>
      </c>
      <c r="M174">
        <v>0</v>
      </c>
      <c r="N174">
        <v>0</v>
      </c>
      <c r="O174">
        <v>0</v>
      </c>
      <c r="P174">
        <v>0</v>
      </c>
      <c r="Q174">
        <v>0</v>
      </c>
      <c r="R174">
        <v>0</v>
      </c>
      <c r="S174">
        <v>0</v>
      </c>
      <c r="T174">
        <v>0</v>
      </c>
      <c r="U174">
        <v>0</v>
      </c>
      <c r="V174">
        <v>0</v>
      </c>
      <c r="W174">
        <v>0</v>
      </c>
      <c r="X174">
        <v>0</v>
      </c>
      <c r="Y174">
        <v>0</v>
      </c>
      <c r="Z174">
        <v>0</v>
      </c>
      <c r="AA174">
        <v>0</v>
      </c>
      <c r="AB174">
        <v>0</v>
      </c>
      <c r="AC174">
        <v>0</v>
      </c>
      <c r="AD174">
        <v>0</v>
      </c>
      <c r="AE174">
        <v>0</v>
      </c>
      <c r="AF174">
        <v>0</v>
      </c>
      <c r="AG174">
        <v>0</v>
      </c>
      <c r="AH174">
        <v>0</v>
      </c>
      <c r="AI174">
        <v>0</v>
      </c>
      <c r="AJ174">
        <v>0</v>
      </c>
      <c r="AK174">
        <v>0</v>
      </c>
      <c r="AL174">
        <v>0</v>
      </c>
      <c r="AM174">
        <v>0</v>
      </c>
      <c r="AN174">
        <v>0</v>
      </c>
      <c r="AO174">
        <v>0</v>
      </c>
      <c r="AP174">
        <v>0</v>
      </c>
      <c r="AQ174">
        <v>0</v>
      </c>
      <c r="AR174">
        <v>0</v>
      </c>
      <c r="AS174">
        <v>0</v>
      </c>
      <c r="AT174">
        <v>0</v>
      </c>
      <c r="AU174">
        <v>0</v>
      </c>
      <c r="AV174">
        <v>0</v>
      </c>
      <c r="AW174">
        <v>0</v>
      </c>
      <c r="AX174">
        <v>0</v>
      </c>
    </row>
    <row r="175" spans="1:50">
      <c r="A175" t="s">
        <v>1424</v>
      </c>
      <c r="B175" s="189">
        <f t="shared" si="2"/>
        <v>0.10634994154150521</v>
      </c>
      <c r="C175" s="163">
        <v>3.4248922000000002E-7</v>
      </c>
      <c r="D175">
        <v>7.1441576999999997E-3</v>
      </c>
      <c r="E175">
        <v>0.99933159000000005</v>
      </c>
      <c r="F175" s="163">
        <v>7.2198740999999997E-8</v>
      </c>
      <c r="G175">
        <v>3.7465940999999999E-4</v>
      </c>
      <c r="H175">
        <v>4.9604445999999998E-3</v>
      </c>
      <c r="I175">
        <v>7.4862968999999996E-4</v>
      </c>
      <c r="J175">
        <v>0.27442833</v>
      </c>
      <c r="K175">
        <v>5.7920324999999996E-3</v>
      </c>
      <c r="L175">
        <v>29.417382</v>
      </c>
      <c r="M175">
        <v>1.5877123999999999E-3</v>
      </c>
      <c r="N175">
        <v>1.0172380999999999</v>
      </c>
      <c r="O175">
        <v>1.0143883</v>
      </c>
      <c r="P175">
        <v>1.4098909999999999E-3</v>
      </c>
      <c r="Q175">
        <v>1.4399390000000001E-3</v>
      </c>
      <c r="R175" s="163">
        <v>7.9756581000000006E-8</v>
      </c>
      <c r="S175">
        <v>6.2948261000000004E-3</v>
      </c>
      <c r="T175" s="163">
        <v>5.2736306000000002E-5</v>
      </c>
      <c r="U175">
        <v>1.5338005E-3</v>
      </c>
      <c r="V175">
        <v>1.7924078E-2</v>
      </c>
      <c r="W175">
        <v>4.6223593E-3</v>
      </c>
      <c r="X175" s="163">
        <v>3.4249530999999998E-7</v>
      </c>
      <c r="Y175">
        <v>13.525798999999999</v>
      </c>
      <c r="Z175">
        <v>0.20115784</v>
      </c>
      <c r="AA175" s="163">
        <v>1.8144142999999999E-6</v>
      </c>
      <c r="AB175">
        <v>6.1026961999999997E-2</v>
      </c>
      <c r="AC175">
        <v>15.839395</v>
      </c>
      <c r="AD175" s="163">
        <v>2.3313322000000002E-10</v>
      </c>
      <c r="AE175" s="163">
        <v>8.6463483000000003E-9</v>
      </c>
      <c r="AF175">
        <v>2.1063166</v>
      </c>
      <c r="AG175">
        <v>0</v>
      </c>
      <c r="AH175">
        <v>0</v>
      </c>
      <c r="AI175">
        <v>1.1234062</v>
      </c>
      <c r="AJ175">
        <v>0</v>
      </c>
      <c r="AK175">
        <v>0</v>
      </c>
      <c r="AL175">
        <v>14.364754</v>
      </c>
      <c r="AM175">
        <v>0</v>
      </c>
      <c r="AN175">
        <v>0</v>
      </c>
      <c r="AO175">
        <v>0</v>
      </c>
      <c r="AP175">
        <v>7.2245939000000004E-3</v>
      </c>
      <c r="AQ175" s="163">
        <v>1.6499361999999999E-5</v>
      </c>
      <c r="AR175">
        <v>7.5985266999999995E-2</v>
      </c>
      <c r="AS175" s="163">
        <v>5.5303204E-5</v>
      </c>
      <c r="AT175">
        <v>0</v>
      </c>
      <c r="AU175">
        <v>0</v>
      </c>
      <c r="AV175">
        <v>0</v>
      </c>
      <c r="AW175">
        <v>0</v>
      </c>
      <c r="AX175">
        <v>0</v>
      </c>
    </row>
    <row r="176" spans="1:50">
      <c r="A176" t="s">
        <v>1425</v>
      </c>
      <c r="B176" s="189">
        <f t="shared" si="2"/>
        <v>9.4699571655246003E-3</v>
      </c>
      <c r="C176" s="163">
        <v>6.3523381000000001E-7</v>
      </c>
      <c r="D176">
        <v>3.3123511999999999E-4</v>
      </c>
      <c r="E176">
        <v>6.1973733000000003E-2</v>
      </c>
      <c r="F176" s="163">
        <v>5.7795305000000004E-9</v>
      </c>
      <c r="G176" s="163">
        <v>3.6234469000000002E-5</v>
      </c>
      <c r="H176">
        <v>3.9079628000000002E-4</v>
      </c>
      <c r="I176">
        <v>2.6404101999999999E-4</v>
      </c>
      <c r="J176">
        <v>2.6245029999999999E-2</v>
      </c>
      <c r="K176">
        <v>-2.3104085000000001E-3</v>
      </c>
      <c r="L176">
        <v>0.75110809999999995</v>
      </c>
      <c r="M176">
        <v>-1.0312769999999999E-3</v>
      </c>
      <c r="N176">
        <v>-1.6220555000000001</v>
      </c>
      <c r="O176">
        <v>6.4660044999999999E-2</v>
      </c>
      <c r="P176">
        <v>-1.6867612999999999</v>
      </c>
      <c r="Q176" s="163">
        <v>4.5780671000000001E-5</v>
      </c>
      <c r="R176" s="163">
        <v>7.0292386000000004E-9</v>
      </c>
      <c r="S176">
        <v>5.1741761999999996E-4</v>
      </c>
      <c r="T176" s="163">
        <v>3.7901619000000002E-5</v>
      </c>
      <c r="U176">
        <v>2.9860339E-4</v>
      </c>
      <c r="V176">
        <v>1.6112607E-3</v>
      </c>
      <c r="W176">
        <v>3.6437009E-4</v>
      </c>
      <c r="X176" s="163">
        <v>6.2965264999999995E-7</v>
      </c>
      <c r="Y176">
        <v>0.64195018000000004</v>
      </c>
      <c r="Z176">
        <v>2.2777648000000001E-2</v>
      </c>
      <c r="AA176" s="163">
        <v>3.2290743E-9</v>
      </c>
      <c r="AB176">
        <v>2.1782837999999999E-3</v>
      </c>
      <c r="AC176">
        <v>12.644781999999999</v>
      </c>
      <c r="AD176" s="163">
        <v>9.4406670999999998E-11</v>
      </c>
      <c r="AE176" s="163">
        <v>-4.7398036E-9</v>
      </c>
      <c r="AF176">
        <v>31.508040999999999</v>
      </c>
      <c r="AG176">
        <v>0</v>
      </c>
      <c r="AH176">
        <v>0</v>
      </c>
      <c r="AI176">
        <v>19.751567000000001</v>
      </c>
      <c r="AJ176">
        <v>0</v>
      </c>
      <c r="AK176">
        <v>0</v>
      </c>
      <c r="AL176">
        <v>0.68628195999999997</v>
      </c>
      <c r="AM176">
        <v>0</v>
      </c>
      <c r="AN176">
        <v>0</v>
      </c>
      <c r="AO176">
        <v>0</v>
      </c>
      <c r="AP176">
        <v>5.788891E-4</v>
      </c>
      <c r="AQ176" s="163">
        <v>8.7519831000000001E-7</v>
      </c>
      <c r="AR176">
        <v>3.5869570000000003E-2</v>
      </c>
      <c r="AS176" s="163">
        <v>2.9753853E-6</v>
      </c>
      <c r="AT176">
        <v>0</v>
      </c>
      <c r="AU176">
        <v>0</v>
      </c>
      <c r="AV176">
        <v>0</v>
      </c>
      <c r="AW176">
        <v>0</v>
      </c>
      <c r="AX176">
        <v>0</v>
      </c>
    </row>
    <row r="177" spans="1:50">
      <c r="A177" t="s">
        <v>1426</v>
      </c>
      <c r="B177" s="189">
        <f t="shared" si="2"/>
        <v>0.17779785573894402</v>
      </c>
      <c r="C177" s="163">
        <v>2.1838108999999999E-6</v>
      </c>
      <c r="D177">
        <v>8.8230038999999993E-3</v>
      </c>
      <c r="E177">
        <v>1.4282151000000001</v>
      </c>
      <c r="F177" s="163">
        <v>7.1910840000000003E-8</v>
      </c>
      <c r="G177">
        <v>6.2510186999999997E-4</v>
      </c>
      <c r="H177">
        <v>9.0160741000000003E-3</v>
      </c>
      <c r="I177">
        <v>1.2968113E-3</v>
      </c>
      <c r="J177">
        <v>0.53350649999999999</v>
      </c>
      <c r="K177">
        <v>7.4518366000000003E-2</v>
      </c>
      <c r="L177">
        <v>38.877898000000002</v>
      </c>
      <c r="M177">
        <v>3.0803095999999999E-2</v>
      </c>
      <c r="N177">
        <v>0.42674124000000002</v>
      </c>
      <c r="O177">
        <v>1.4220067000000001</v>
      </c>
      <c r="P177">
        <v>-1.0149976000000001</v>
      </c>
      <c r="Q177">
        <v>1.9732075000000002E-2</v>
      </c>
      <c r="R177" s="163">
        <v>8.0329526999999997E-8</v>
      </c>
      <c r="S177">
        <v>1.1013007999999999E-2</v>
      </c>
      <c r="T177" s="163">
        <v>8.0455226000000006E-5</v>
      </c>
      <c r="U177">
        <v>2.2140243999999999E-3</v>
      </c>
      <c r="V177">
        <v>2.0788688E-2</v>
      </c>
      <c r="W177">
        <v>4.9316747999999999E-3</v>
      </c>
      <c r="X177" s="163">
        <v>2.0374564000000002E-6</v>
      </c>
      <c r="Y177">
        <v>15.321232</v>
      </c>
      <c r="Z177">
        <v>0.47404341999999999</v>
      </c>
      <c r="AA177" s="163">
        <v>1.2355616E-7</v>
      </c>
      <c r="AB177">
        <v>5.0003491999999997E-2</v>
      </c>
      <c r="AC177">
        <v>40.913384999999998</v>
      </c>
      <c r="AD177" s="163">
        <v>6.1636722000000004E-10</v>
      </c>
      <c r="AE177" s="163">
        <v>2.0644728E-8</v>
      </c>
      <c r="AF177">
        <v>52.763542000000001</v>
      </c>
      <c r="AG177">
        <v>0</v>
      </c>
      <c r="AH177">
        <v>0</v>
      </c>
      <c r="AI177">
        <v>13.288053</v>
      </c>
      <c r="AJ177">
        <v>0</v>
      </c>
      <c r="AK177">
        <v>0</v>
      </c>
      <c r="AL177">
        <v>16.242694</v>
      </c>
      <c r="AM177">
        <v>0</v>
      </c>
      <c r="AN177">
        <v>0</v>
      </c>
      <c r="AO177">
        <v>0</v>
      </c>
      <c r="AP177">
        <v>1.5371065999999999E-2</v>
      </c>
      <c r="AQ177" s="163">
        <v>1.6440093E-5</v>
      </c>
      <c r="AR177">
        <v>0.13111606000000001</v>
      </c>
      <c r="AS177" s="163">
        <v>5.0434428000000003E-5</v>
      </c>
      <c r="AT177">
        <v>0</v>
      </c>
      <c r="AU177">
        <v>0</v>
      </c>
      <c r="AV177">
        <v>0</v>
      </c>
      <c r="AW177">
        <v>0</v>
      </c>
      <c r="AX177">
        <v>0</v>
      </c>
    </row>
    <row r="178" spans="1:50">
      <c r="A178" t="s">
        <v>1427</v>
      </c>
      <c r="B178" s="189">
        <f t="shared" si="2"/>
        <v>0.19490821803778</v>
      </c>
      <c r="C178" s="163">
        <v>1.1933968E-5</v>
      </c>
      <c r="D178">
        <v>1.6382405999999999E-2</v>
      </c>
      <c r="E178">
        <v>1.3171999999999999</v>
      </c>
      <c r="F178" s="163">
        <v>2.1426943E-7</v>
      </c>
      <c r="G178">
        <v>1.3147555999999999E-3</v>
      </c>
      <c r="H178">
        <v>7.3913531999999999E-3</v>
      </c>
      <c r="I178">
        <v>8.1961415999999999E-4</v>
      </c>
      <c r="J178">
        <v>0.90114148000000005</v>
      </c>
      <c r="K178">
        <v>1.6831584E-2</v>
      </c>
      <c r="L178">
        <v>51.138570999999999</v>
      </c>
      <c r="M178">
        <v>2.0951049999999999E-3</v>
      </c>
      <c r="N178">
        <v>1.3575033999999999</v>
      </c>
      <c r="O178">
        <v>1.3575109999999999</v>
      </c>
      <c r="P178">
        <v>-1.0608131999999999E-3</v>
      </c>
      <c r="Q178">
        <v>1.0532412E-3</v>
      </c>
      <c r="R178" s="163">
        <v>2.2613722000000001E-7</v>
      </c>
      <c r="S178">
        <v>8.8546184E-3</v>
      </c>
      <c r="T178" s="163">
        <v>8.7723579000000004E-5</v>
      </c>
      <c r="U178">
        <v>1.2350504E-3</v>
      </c>
      <c r="V178">
        <v>1.5107346000000001E-2</v>
      </c>
      <c r="W178">
        <v>5.5312570000000004E-3</v>
      </c>
      <c r="X178" s="163">
        <v>1.1935753E-5</v>
      </c>
      <c r="Y178">
        <v>31.835642</v>
      </c>
      <c r="Z178">
        <v>1.0940428</v>
      </c>
      <c r="AA178" s="163">
        <v>6.9093021999999996E-8</v>
      </c>
      <c r="AB178">
        <v>4.8321414E-2</v>
      </c>
      <c r="AC178">
        <v>22.257992999999999</v>
      </c>
      <c r="AD178" s="163">
        <v>1.453565E-9</v>
      </c>
      <c r="AE178" s="163">
        <v>1.5364061000000001E-8</v>
      </c>
      <c r="AF178">
        <v>3.3370346999999998</v>
      </c>
      <c r="AG178">
        <v>0</v>
      </c>
      <c r="AH178">
        <v>0</v>
      </c>
      <c r="AI178">
        <v>0.97129571000000003</v>
      </c>
      <c r="AJ178">
        <v>0</v>
      </c>
      <c r="AK178">
        <v>0</v>
      </c>
      <c r="AL178">
        <v>34.281201000000003</v>
      </c>
      <c r="AM178">
        <v>0</v>
      </c>
      <c r="AN178">
        <v>0</v>
      </c>
      <c r="AO178">
        <v>0</v>
      </c>
      <c r="AP178">
        <v>2.7288611000000001E-2</v>
      </c>
      <c r="AQ178" s="163">
        <v>2.6544325000000001E-5</v>
      </c>
      <c r="AR178">
        <v>0.12974953</v>
      </c>
      <c r="AS178" s="163">
        <v>4.7303167000000001E-5</v>
      </c>
      <c r="AT178">
        <v>0</v>
      </c>
      <c r="AU178">
        <v>0</v>
      </c>
      <c r="AV178">
        <v>0</v>
      </c>
      <c r="AW178">
        <v>0</v>
      </c>
      <c r="AX178">
        <v>0</v>
      </c>
    </row>
    <row r="179" spans="1:50">
      <c r="A179" t="s">
        <v>1428</v>
      </c>
      <c r="B179" s="189">
        <f t="shared" si="2"/>
        <v>0.74164374611278194</v>
      </c>
      <c r="C179" s="163">
        <v>6.3749747000000001E-6</v>
      </c>
      <c r="D179">
        <v>6.3790537999999994E-2</v>
      </c>
      <c r="E179">
        <v>8.7658090000000009</v>
      </c>
      <c r="F179" s="163">
        <v>1.9151761000000002E-8</v>
      </c>
      <c r="G179">
        <v>9.3020205000000009E-3</v>
      </c>
      <c r="H179">
        <v>4.2944369000000003E-2</v>
      </c>
      <c r="I179">
        <v>3.5066006000000001E-3</v>
      </c>
      <c r="J179">
        <v>0.74140002999999999</v>
      </c>
      <c r="K179">
        <v>1.8337368999999999E-2</v>
      </c>
      <c r="L179">
        <v>38.083914999999998</v>
      </c>
      <c r="M179">
        <v>1.9962969000000001E-3</v>
      </c>
      <c r="N179">
        <v>9.2033707000000007</v>
      </c>
      <c r="O179">
        <v>9.1260396999999998</v>
      </c>
      <c r="P179">
        <v>7.7278762000000001E-2</v>
      </c>
      <c r="Q179" s="163">
        <v>5.2305310000000003E-5</v>
      </c>
      <c r="R179" s="163">
        <v>2.2751695E-8</v>
      </c>
      <c r="S179">
        <v>4.9889346000000001E-2</v>
      </c>
      <c r="T179">
        <v>2.2771434999999999E-4</v>
      </c>
      <c r="U179">
        <v>7.6079064000000004E-3</v>
      </c>
      <c r="V179">
        <v>6.5457754000000007E-2</v>
      </c>
      <c r="W179">
        <v>3.4036928000000001E-2</v>
      </c>
      <c r="X179" s="163">
        <v>6.3749846999999999E-6</v>
      </c>
      <c r="Y179">
        <v>134.58037999999999</v>
      </c>
      <c r="Z179">
        <v>1.4429187999999999</v>
      </c>
      <c r="AA179" s="163">
        <v>4.1363552999999997E-7</v>
      </c>
      <c r="AB179">
        <v>6.0963275000000001E-3</v>
      </c>
      <c r="AC179">
        <v>38.382266000000001</v>
      </c>
      <c r="AD179" s="163">
        <v>1.4972442E-9</v>
      </c>
      <c r="AE179" s="163">
        <v>2.1159225E-8</v>
      </c>
      <c r="AF179">
        <v>1.0272346999999999</v>
      </c>
      <c r="AG179">
        <v>0</v>
      </c>
      <c r="AH179">
        <v>0</v>
      </c>
      <c r="AI179">
        <v>1.3602566</v>
      </c>
      <c r="AJ179">
        <v>0</v>
      </c>
      <c r="AK179">
        <v>0</v>
      </c>
      <c r="AL179">
        <v>145.04637</v>
      </c>
      <c r="AM179">
        <v>0</v>
      </c>
      <c r="AN179">
        <v>0</v>
      </c>
      <c r="AO179">
        <v>0</v>
      </c>
      <c r="AP179">
        <v>3.3688175000000001E-2</v>
      </c>
      <c r="AQ179" s="163">
        <v>6.3666519E-6</v>
      </c>
      <c r="AR179">
        <v>0.15114929999999999</v>
      </c>
      <c r="AS179" s="163">
        <v>8.8377101000000007E-6</v>
      </c>
      <c r="AT179">
        <v>0</v>
      </c>
      <c r="AU179">
        <v>0</v>
      </c>
      <c r="AV179">
        <v>0</v>
      </c>
      <c r="AW179">
        <v>0</v>
      </c>
      <c r="AX179">
        <v>0</v>
      </c>
    </row>
    <row r="180" spans="1:50">
      <c r="A180" t="s">
        <v>1429</v>
      </c>
      <c r="B180" s="189">
        <f t="shared" si="2"/>
        <v>3.7308702852945999</v>
      </c>
      <c r="C180">
        <v>1.1358201E-4</v>
      </c>
      <c r="D180">
        <v>0.27998880999999998</v>
      </c>
      <c r="E180">
        <v>35.060147000000001</v>
      </c>
      <c r="F180" s="163">
        <v>4.2520651000000004E-6</v>
      </c>
      <c r="G180">
        <v>2.0922933000000001E-2</v>
      </c>
      <c r="H180">
        <v>0.12409555</v>
      </c>
      <c r="I180">
        <v>1.6429994E-2</v>
      </c>
      <c r="J180">
        <v>11.99155</v>
      </c>
      <c r="K180">
        <v>1.0763491999999999</v>
      </c>
      <c r="L180">
        <v>1318.7421999999999</v>
      </c>
      <c r="M180">
        <v>5.6946376999999999E-2</v>
      </c>
      <c r="N180">
        <v>35.757620000000003</v>
      </c>
      <c r="O180">
        <v>35.723013999999999</v>
      </c>
      <c r="P180">
        <v>-6.7697499999999994E-2</v>
      </c>
      <c r="Q180">
        <v>0.10230312</v>
      </c>
      <c r="R180" s="163">
        <v>4.4511607999999999E-6</v>
      </c>
      <c r="S180">
        <v>0.15026665</v>
      </c>
      <c r="T180">
        <v>1.8477190000000001E-3</v>
      </c>
      <c r="U180">
        <v>2.2712382999999999E-2</v>
      </c>
      <c r="V180">
        <v>0.27819168</v>
      </c>
      <c r="W180">
        <v>9.4144041999999997E-2</v>
      </c>
      <c r="X180">
        <v>1.1356080000000001E-4</v>
      </c>
      <c r="Y180">
        <v>531.36451</v>
      </c>
      <c r="Z180">
        <v>10.784172999999999</v>
      </c>
      <c r="AA180" s="163">
        <v>9.6595538000000008E-7</v>
      </c>
      <c r="AB180">
        <v>1.2553726000000001</v>
      </c>
      <c r="AC180">
        <v>540.19376999999997</v>
      </c>
      <c r="AD180" s="163">
        <v>2.0906733000000001E-8</v>
      </c>
      <c r="AE180" s="163">
        <v>9.8251665999999999E-7</v>
      </c>
      <c r="AF180">
        <v>83.229963999999995</v>
      </c>
      <c r="AG180">
        <v>0</v>
      </c>
      <c r="AH180">
        <v>0</v>
      </c>
      <c r="AI180">
        <v>29.783470999999999</v>
      </c>
      <c r="AJ180">
        <v>0</v>
      </c>
      <c r="AK180">
        <v>0</v>
      </c>
      <c r="AL180">
        <v>576.21477000000004</v>
      </c>
      <c r="AM180">
        <v>0</v>
      </c>
      <c r="AN180">
        <v>0</v>
      </c>
      <c r="AO180">
        <v>0</v>
      </c>
      <c r="AP180">
        <v>0.30452202</v>
      </c>
      <c r="AQ180">
        <v>7.3035403E-4</v>
      </c>
      <c r="AR180">
        <v>3.4434727000000001</v>
      </c>
      <c r="AS180">
        <v>1.0820345999999999E-3</v>
      </c>
      <c r="AT180">
        <v>0</v>
      </c>
      <c r="AU180">
        <v>0</v>
      </c>
      <c r="AV180">
        <v>0</v>
      </c>
      <c r="AW180">
        <v>0</v>
      </c>
      <c r="AX180">
        <v>0</v>
      </c>
    </row>
    <row r="181" spans="1:50">
      <c r="A181" t="s">
        <v>1430</v>
      </c>
      <c r="B181" s="189">
        <f t="shared" si="2"/>
        <v>0.69643611034511999</v>
      </c>
      <c r="C181" s="163">
        <v>6.5346588000000003E-5</v>
      </c>
      <c r="D181">
        <v>5.6040607999999999E-2</v>
      </c>
      <c r="E181">
        <v>9.3067940999999994</v>
      </c>
      <c r="F181" s="163">
        <v>1.9182968E-8</v>
      </c>
      <c r="G181">
        <v>4.9234861E-3</v>
      </c>
      <c r="H181">
        <v>3.0160765999999999E-2</v>
      </c>
      <c r="I181">
        <v>5.7837415999999996E-3</v>
      </c>
      <c r="J181">
        <v>0.37586859</v>
      </c>
      <c r="K181">
        <v>3.290266E-2</v>
      </c>
      <c r="L181">
        <v>46.955499000000003</v>
      </c>
      <c r="M181">
        <v>1.0727287E-3</v>
      </c>
      <c r="N181">
        <v>9.9381760000000003</v>
      </c>
      <c r="O181">
        <v>9.9187495999999999</v>
      </c>
      <c r="P181">
        <v>1.9377630999999999E-2</v>
      </c>
      <c r="Q181" s="163">
        <v>4.8792182999999997E-5</v>
      </c>
      <c r="R181" s="163">
        <v>2.2813919999999999E-8</v>
      </c>
      <c r="S181">
        <v>3.6894788999999997E-2</v>
      </c>
      <c r="T181">
        <v>1.1123908E-4</v>
      </c>
      <c r="U181">
        <v>8.5165781999999995E-3</v>
      </c>
      <c r="V181">
        <v>8.4305417999999993E-2</v>
      </c>
      <c r="W181">
        <v>2.8962049E-2</v>
      </c>
      <c r="X181" s="163">
        <v>6.5346588000000003E-5</v>
      </c>
      <c r="Y181">
        <v>113.54143999999999</v>
      </c>
      <c r="Z181">
        <v>2.9687459999999999</v>
      </c>
      <c r="AA181" s="163">
        <v>3.4846538000000002E-7</v>
      </c>
      <c r="AB181">
        <v>6.0552401000000004E-3</v>
      </c>
      <c r="AC181">
        <v>10.829122999999999</v>
      </c>
      <c r="AD181" s="163">
        <v>8.8206629999999999E-10</v>
      </c>
      <c r="AE181" s="163">
        <v>1.8898686999999999E-8</v>
      </c>
      <c r="AF181">
        <v>1.0941723000000001</v>
      </c>
      <c r="AG181">
        <v>0</v>
      </c>
      <c r="AH181">
        <v>0</v>
      </c>
      <c r="AI181">
        <v>0.58906720000000001</v>
      </c>
      <c r="AJ181">
        <v>0</v>
      </c>
      <c r="AK181">
        <v>0</v>
      </c>
      <c r="AL181">
        <v>122.78225</v>
      </c>
      <c r="AM181">
        <v>0</v>
      </c>
      <c r="AN181">
        <v>0</v>
      </c>
      <c r="AO181">
        <v>0</v>
      </c>
      <c r="AP181">
        <v>6.9212975999999996E-2</v>
      </c>
      <c r="AQ181" s="163">
        <v>1.6488230999999999E-6</v>
      </c>
      <c r="AR181">
        <v>0.14051441000000001</v>
      </c>
      <c r="AS181" s="163">
        <v>8.8323478999999998E-6</v>
      </c>
      <c r="AT181">
        <v>0</v>
      </c>
      <c r="AU181">
        <v>0</v>
      </c>
      <c r="AV181">
        <v>0</v>
      </c>
      <c r="AW181">
        <v>0</v>
      </c>
      <c r="AX181">
        <v>0</v>
      </c>
    </row>
    <row r="182" spans="1:50">
      <c r="A182" t="s">
        <v>1431</v>
      </c>
      <c r="B182" s="189">
        <f t="shared" si="2"/>
        <v>0.33233679357803209</v>
      </c>
      <c r="C182" s="163">
        <v>2.292337E-7</v>
      </c>
      <c r="D182">
        <v>4.5289728000000001E-2</v>
      </c>
      <c r="E182">
        <v>4.0754104</v>
      </c>
      <c r="F182" s="163">
        <v>1.5368608000000001E-8</v>
      </c>
      <c r="G182">
        <v>5.3283421999999999E-3</v>
      </c>
      <c r="H182">
        <v>2.0477184999999998E-2</v>
      </c>
      <c r="I182">
        <v>1.1197421E-3</v>
      </c>
      <c r="J182">
        <v>0.19038482000000001</v>
      </c>
      <c r="K182">
        <v>5.7118064E-3</v>
      </c>
      <c r="L182">
        <v>13.468192999999999</v>
      </c>
      <c r="M182">
        <v>3.9181284000000001E-4</v>
      </c>
      <c r="N182">
        <v>4.2033601000000003</v>
      </c>
      <c r="O182">
        <v>4.1827964</v>
      </c>
      <c r="P182">
        <v>2.0525176999999999E-2</v>
      </c>
      <c r="Q182" s="163">
        <v>3.8541078999999999E-5</v>
      </c>
      <c r="R182" s="163">
        <v>1.8846786000000001E-8</v>
      </c>
      <c r="S182">
        <v>2.3955500000000001E-2</v>
      </c>
      <c r="T182" s="163">
        <v>4.0299208000000002E-6</v>
      </c>
      <c r="U182">
        <v>3.2009158999999998E-3</v>
      </c>
      <c r="V182">
        <v>3.5041954E-2</v>
      </c>
      <c r="W182">
        <v>1.9009076E-2</v>
      </c>
      <c r="X182" s="163">
        <v>2.2923328999999999E-7</v>
      </c>
      <c r="Y182">
        <v>93.246943000000002</v>
      </c>
      <c r="Z182">
        <v>0.39769466999999997</v>
      </c>
      <c r="AA182" s="163">
        <v>2.0786351999999999E-7</v>
      </c>
      <c r="AB182">
        <v>5.4163513000000003E-3</v>
      </c>
      <c r="AC182">
        <v>7.50915</v>
      </c>
      <c r="AD182" s="163">
        <v>3.4286880000000001E-10</v>
      </c>
      <c r="AE182" s="163">
        <v>8.1844006999999994E-9</v>
      </c>
      <c r="AF182">
        <v>0.98077762999999996</v>
      </c>
      <c r="AG182">
        <v>0</v>
      </c>
      <c r="AH182">
        <v>0</v>
      </c>
      <c r="AI182">
        <v>0.43949991999999999</v>
      </c>
      <c r="AJ182">
        <v>0</v>
      </c>
      <c r="AK182">
        <v>0</v>
      </c>
      <c r="AL182">
        <v>100.14645</v>
      </c>
      <c r="AM182">
        <v>0</v>
      </c>
      <c r="AN182">
        <v>0</v>
      </c>
      <c r="AO182">
        <v>0</v>
      </c>
      <c r="AP182">
        <v>9.3265796000000008E-3</v>
      </c>
      <c r="AQ182" s="163">
        <v>1.1358457E-6</v>
      </c>
      <c r="AR182">
        <v>9.8870488000000006E-2</v>
      </c>
      <c r="AS182" s="163">
        <v>8.1261637000000003E-6</v>
      </c>
      <c r="AT182">
        <v>0</v>
      </c>
      <c r="AU182">
        <v>0</v>
      </c>
      <c r="AV182">
        <v>0</v>
      </c>
      <c r="AW182">
        <v>0</v>
      </c>
      <c r="AX182">
        <v>0</v>
      </c>
    </row>
    <row r="183" spans="1:50">
      <c r="A183" t="s">
        <v>1432</v>
      </c>
      <c r="B183" s="189">
        <f t="shared" si="2"/>
        <v>0.58002871707190196</v>
      </c>
      <c r="C183" s="163">
        <v>1.5735872E-6</v>
      </c>
      <c r="D183">
        <v>5.0367715E-2</v>
      </c>
      <c r="E183">
        <v>8.2027180000000008</v>
      </c>
      <c r="F183" s="163">
        <v>1.6697264999999999E-8</v>
      </c>
      <c r="G183">
        <v>3.6354101E-3</v>
      </c>
      <c r="H183">
        <v>2.5386104999999999E-2</v>
      </c>
      <c r="I183">
        <v>2.0244180000000001E-3</v>
      </c>
      <c r="J183">
        <v>0.32846604000000001</v>
      </c>
      <c r="K183">
        <v>3.1584398E-2</v>
      </c>
      <c r="L183">
        <v>26.514890999999999</v>
      </c>
      <c r="M183">
        <v>2.7287718999999998E-2</v>
      </c>
      <c r="N183">
        <v>8.6875052000000004</v>
      </c>
      <c r="O183">
        <v>8.6704968999999998</v>
      </c>
      <c r="P183">
        <v>1.6965917E-2</v>
      </c>
      <c r="Q183" s="163">
        <v>4.2404811999999997E-5</v>
      </c>
      <c r="R183" s="163">
        <v>2.0277658999999998E-8</v>
      </c>
      <c r="S183">
        <v>3.0173789999999999E-2</v>
      </c>
      <c r="T183">
        <v>1.0948495E-4</v>
      </c>
      <c r="U183">
        <v>4.9151812999999999E-3</v>
      </c>
      <c r="V183">
        <v>5.3861827000000001E-2</v>
      </c>
      <c r="W183">
        <v>1.9178132000000001E-2</v>
      </c>
      <c r="X183" s="163">
        <v>1.5735871000000001E-6</v>
      </c>
      <c r="Y183">
        <v>99.707098999999999</v>
      </c>
      <c r="Z183">
        <v>2.2659951999999999</v>
      </c>
      <c r="AA183" s="163">
        <v>6.3902515000000001E-7</v>
      </c>
      <c r="AB183">
        <v>5.7373811000000002E-3</v>
      </c>
      <c r="AC183">
        <v>179.90769</v>
      </c>
      <c r="AD183" s="163">
        <v>1.731817E-9</v>
      </c>
      <c r="AE183" s="163">
        <v>1.5877267999999999E-7</v>
      </c>
      <c r="AF183">
        <v>1.0526173000000001</v>
      </c>
      <c r="AG183">
        <v>0</v>
      </c>
      <c r="AH183">
        <v>0</v>
      </c>
      <c r="AI183">
        <v>0.49898050999999999</v>
      </c>
      <c r="AJ183">
        <v>0</v>
      </c>
      <c r="AK183">
        <v>0</v>
      </c>
      <c r="AL183">
        <v>108.27058</v>
      </c>
      <c r="AM183">
        <v>0</v>
      </c>
      <c r="AN183">
        <v>0</v>
      </c>
      <c r="AO183">
        <v>0</v>
      </c>
      <c r="AP183">
        <v>5.2841340000000001E-2</v>
      </c>
      <c r="AQ183" s="163">
        <v>1.3126082E-6</v>
      </c>
      <c r="AR183">
        <v>0.14503269999999999</v>
      </c>
      <c r="AS183" s="163">
        <v>8.5000678999999993E-6</v>
      </c>
      <c r="AT183">
        <v>0</v>
      </c>
      <c r="AU183">
        <v>0</v>
      </c>
      <c r="AV183">
        <v>0</v>
      </c>
      <c r="AW183">
        <v>0</v>
      </c>
      <c r="AX183">
        <v>0</v>
      </c>
    </row>
    <row r="184" spans="1:50">
      <c r="A184" t="s">
        <v>1433</v>
      </c>
      <c r="B184" s="189">
        <f t="shared" si="2"/>
        <v>1.05489258218406</v>
      </c>
      <c r="C184" s="163">
        <v>1.9214445999999999E-5</v>
      </c>
      <c r="D184">
        <v>5.4566563999999998E-2</v>
      </c>
      <c r="E184">
        <v>6.3003451999999998</v>
      </c>
      <c r="F184" s="163">
        <v>6.8007708999999996E-7</v>
      </c>
      <c r="G184">
        <v>4.9135135000000002E-3</v>
      </c>
      <c r="H184">
        <v>2.3157003999999998E-2</v>
      </c>
      <c r="I184">
        <v>6.4079361E-3</v>
      </c>
      <c r="J184">
        <v>6.1431744000000004</v>
      </c>
      <c r="K184">
        <v>5.6849979000000002E-2</v>
      </c>
      <c r="L184">
        <v>158.67758000000001</v>
      </c>
      <c r="M184">
        <v>8.9295675000000008E-3</v>
      </c>
      <c r="N184">
        <v>6.5405772000000004</v>
      </c>
      <c r="O184">
        <v>6.6122377999999999</v>
      </c>
      <c r="P184">
        <v>-7.5314796000000003E-2</v>
      </c>
      <c r="Q184">
        <v>3.6542083E-3</v>
      </c>
      <c r="R184" s="163">
        <v>6.8719826E-7</v>
      </c>
      <c r="S184">
        <v>2.8064470000000001E-2</v>
      </c>
      <c r="T184">
        <v>2.9952446999999998E-4</v>
      </c>
      <c r="U184">
        <v>4.2949898000000002E-3</v>
      </c>
      <c r="V184">
        <v>5.2187972999999999E-2</v>
      </c>
      <c r="W184">
        <v>1.9601477999999999E-2</v>
      </c>
      <c r="X184" s="163">
        <v>1.9213950999999999E-5</v>
      </c>
      <c r="Y184">
        <v>108.07637</v>
      </c>
      <c r="Z184">
        <v>4.4381485999999999</v>
      </c>
      <c r="AA184" s="163">
        <v>2.6863047999999998E-7</v>
      </c>
      <c r="AB184">
        <v>0.17851744999999999</v>
      </c>
      <c r="AC184">
        <v>176.07149000000001</v>
      </c>
      <c r="AD184" s="163">
        <v>4.6687473E-9</v>
      </c>
      <c r="AE184" s="163">
        <v>1.5777282E-7</v>
      </c>
      <c r="AF184">
        <v>22.417860000000001</v>
      </c>
      <c r="AG184">
        <v>0</v>
      </c>
      <c r="AH184">
        <v>0</v>
      </c>
      <c r="AI184">
        <v>5.7530982000000002</v>
      </c>
      <c r="AJ184">
        <v>0</v>
      </c>
      <c r="AK184">
        <v>0</v>
      </c>
      <c r="AL184">
        <v>115.87311</v>
      </c>
      <c r="AM184">
        <v>0</v>
      </c>
      <c r="AN184">
        <v>0</v>
      </c>
      <c r="AO184">
        <v>0</v>
      </c>
      <c r="AP184">
        <v>0.11216508</v>
      </c>
      <c r="AQ184" s="163">
        <v>7.4122344999999996E-5</v>
      </c>
      <c r="AR184">
        <v>0.39885649000000001</v>
      </c>
      <c r="AS184">
        <v>1.6212333999999999E-4</v>
      </c>
      <c r="AT184">
        <v>0</v>
      </c>
      <c r="AU184">
        <v>0</v>
      </c>
      <c r="AV184">
        <v>0</v>
      </c>
      <c r="AW184">
        <v>0</v>
      </c>
      <c r="AX184">
        <v>0</v>
      </c>
    </row>
    <row r="185" spans="1:50">
      <c r="A185" t="s">
        <v>1434</v>
      </c>
      <c r="B185" s="189">
        <f t="shared" si="2"/>
        <v>0.69764363049444011</v>
      </c>
      <c r="C185" s="163">
        <v>1.5759223999999999E-5</v>
      </c>
      <c r="D185">
        <v>3.2588200999999997E-2</v>
      </c>
      <c r="E185">
        <v>3.953433</v>
      </c>
      <c r="F185" s="163">
        <v>3.8315862000000002E-7</v>
      </c>
      <c r="G185">
        <v>8.5104176000000004E-3</v>
      </c>
      <c r="H185">
        <v>1.8812725999999998E-2</v>
      </c>
      <c r="I185">
        <v>3.6309959E-3</v>
      </c>
      <c r="J185">
        <v>3.9309628999999999</v>
      </c>
      <c r="K185">
        <v>8.3549310000000002E-2</v>
      </c>
      <c r="L185">
        <v>120.86027</v>
      </c>
      <c r="M185">
        <v>2.3566375000000001E-2</v>
      </c>
      <c r="N185">
        <v>4.0201637999999997</v>
      </c>
      <c r="O185">
        <v>3.9778807999999999</v>
      </c>
      <c r="P185">
        <v>-7.1189416000000005E-2</v>
      </c>
      <c r="Q185">
        <v>0.1134724</v>
      </c>
      <c r="R185" s="163">
        <v>4.0576997999999999E-7</v>
      </c>
      <c r="S185">
        <v>2.3079833000000001E-2</v>
      </c>
      <c r="T185">
        <v>1.9718544999999999E-4</v>
      </c>
      <c r="U185">
        <v>4.5895818999999996E-3</v>
      </c>
      <c r="V185">
        <v>4.9616816000000001E-2</v>
      </c>
      <c r="W185">
        <v>2.5048542E-2</v>
      </c>
      <c r="X185" s="163">
        <v>1.5724066000000001E-5</v>
      </c>
      <c r="Y185">
        <v>63.529446999999998</v>
      </c>
      <c r="Z185">
        <v>1.9451807000000001</v>
      </c>
      <c r="AA185" s="163">
        <v>1.9575153999999999E-7</v>
      </c>
      <c r="AB185">
        <v>0.13283508999999999</v>
      </c>
      <c r="AC185">
        <v>86.808509999999998</v>
      </c>
      <c r="AD185" s="163">
        <v>4.3206236000000002E-9</v>
      </c>
      <c r="AE185" s="163">
        <v>1.4415605000000001E-7</v>
      </c>
      <c r="AF185">
        <v>18.555858000000001</v>
      </c>
      <c r="AG185">
        <v>0</v>
      </c>
      <c r="AH185">
        <v>0</v>
      </c>
      <c r="AI185">
        <v>4.9446082999999996</v>
      </c>
      <c r="AJ185">
        <v>0</v>
      </c>
      <c r="AK185">
        <v>0</v>
      </c>
      <c r="AL185">
        <v>68.692750000000004</v>
      </c>
      <c r="AM185">
        <v>0</v>
      </c>
      <c r="AN185">
        <v>0</v>
      </c>
      <c r="AO185">
        <v>0</v>
      </c>
      <c r="AP185">
        <v>5.0513230999999999E-2</v>
      </c>
      <c r="AQ185" s="163">
        <v>7.0269294000000005E-5</v>
      </c>
      <c r="AR185">
        <v>0.47943342999999999</v>
      </c>
      <c r="AS185">
        <v>1.2961801000000001E-4</v>
      </c>
      <c r="AT185">
        <v>0</v>
      </c>
      <c r="AU185">
        <v>0</v>
      </c>
      <c r="AV185">
        <v>0</v>
      </c>
      <c r="AW185">
        <v>0</v>
      </c>
      <c r="AX185">
        <v>0</v>
      </c>
    </row>
    <row r="186" spans="1:50">
      <c r="A186" t="s">
        <v>1435</v>
      </c>
      <c r="B186" s="189">
        <f t="shared" si="2"/>
        <v>0.22380487989570161</v>
      </c>
      <c r="C186" s="163">
        <v>9.5013176000000003E-7</v>
      </c>
      <c r="D186">
        <v>3.7994723000000001E-2</v>
      </c>
      <c r="E186">
        <v>2.6561161000000002</v>
      </c>
      <c r="F186" s="163">
        <v>4.6662353999999998E-8</v>
      </c>
      <c r="G186">
        <v>2.9115634E-3</v>
      </c>
      <c r="H186">
        <v>9.5751745000000003E-3</v>
      </c>
      <c r="I186">
        <v>8.3718387999999998E-4</v>
      </c>
      <c r="J186">
        <v>0.33699995999999999</v>
      </c>
      <c r="K186">
        <v>9.1038724000000008E-3</v>
      </c>
      <c r="L186">
        <v>25.607458000000001</v>
      </c>
      <c r="M186">
        <v>1.6004871999999999E-3</v>
      </c>
      <c r="N186">
        <v>2.7089808</v>
      </c>
      <c r="O186">
        <v>2.7767143000000001</v>
      </c>
      <c r="P186">
        <v>-6.8772559999999996E-2</v>
      </c>
      <c r="Q186">
        <v>1.0390338E-3</v>
      </c>
      <c r="R186" s="163">
        <v>4.9009736000000002E-8</v>
      </c>
      <c r="S186">
        <v>1.1544375000000001E-2</v>
      </c>
      <c r="T186" s="163">
        <v>3.8352741999999998E-5</v>
      </c>
      <c r="U186">
        <v>1.9531004000000001E-3</v>
      </c>
      <c r="V186">
        <v>2.2486763999999999E-2</v>
      </c>
      <c r="W186">
        <v>1.0748939000000001E-2</v>
      </c>
      <c r="X186" s="163">
        <v>9.4904215999999998E-7</v>
      </c>
      <c r="Y186">
        <v>80.312800999999993</v>
      </c>
      <c r="Z186">
        <v>1.3678817000000001</v>
      </c>
      <c r="AA186" s="163">
        <v>1.0990887E-7</v>
      </c>
      <c r="AB186">
        <v>4.1351788E-2</v>
      </c>
      <c r="AC186">
        <v>13.098167999999999</v>
      </c>
      <c r="AD186" s="163">
        <v>4.7023248000000002E-10</v>
      </c>
      <c r="AE186" s="163">
        <v>2.1854348E-8</v>
      </c>
      <c r="AF186">
        <v>9.7205870000000001</v>
      </c>
      <c r="AG186">
        <v>0</v>
      </c>
      <c r="AH186">
        <v>0</v>
      </c>
      <c r="AI186">
        <v>2.8585756999999998</v>
      </c>
      <c r="AJ186">
        <v>0</v>
      </c>
      <c r="AK186">
        <v>0</v>
      </c>
      <c r="AL186">
        <v>86.118347999999997</v>
      </c>
      <c r="AM186">
        <v>0</v>
      </c>
      <c r="AN186">
        <v>0</v>
      </c>
      <c r="AO186">
        <v>0</v>
      </c>
      <c r="AP186">
        <v>3.3783971000000003E-2</v>
      </c>
      <c r="AQ186" s="163">
        <v>1.1762363999999999E-5</v>
      </c>
      <c r="AR186">
        <v>0.12875417</v>
      </c>
      <c r="AS186" s="163">
        <v>3.6453806000000003E-5</v>
      </c>
      <c r="AT186">
        <v>0</v>
      </c>
      <c r="AU186">
        <v>0</v>
      </c>
      <c r="AV186">
        <v>0</v>
      </c>
      <c r="AW186">
        <v>0</v>
      </c>
      <c r="AX186">
        <v>0</v>
      </c>
    </row>
    <row r="187" spans="1:50">
      <c r="A187" t="s">
        <v>1436</v>
      </c>
      <c r="B187" s="189">
        <f t="shared" si="2"/>
        <v>0.1569425379733628</v>
      </c>
      <c r="C187" s="163">
        <v>2.2440433000000001E-7</v>
      </c>
      <c r="D187">
        <v>3.3853086999999997E-2</v>
      </c>
      <c r="E187">
        <v>2.0786870999999998</v>
      </c>
      <c r="F187" s="163">
        <v>1.4725549000000001E-8</v>
      </c>
      <c r="G187">
        <v>2.7282640000000002E-3</v>
      </c>
      <c r="H187">
        <v>7.0157435000000002E-3</v>
      </c>
      <c r="I187">
        <v>5.1699983000000002E-4</v>
      </c>
      <c r="J187">
        <v>9.3823106000000003E-2</v>
      </c>
      <c r="K187">
        <v>4.0093728999999996E-3</v>
      </c>
      <c r="L187">
        <v>8.3829317000000003</v>
      </c>
      <c r="M187">
        <v>2.6761691999999999E-4</v>
      </c>
      <c r="N187">
        <v>2.2078864</v>
      </c>
      <c r="O187">
        <v>2.1898493999999999</v>
      </c>
      <c r="P187">
        <v>1.7999845E-2</v>
      </c>
      <c r="Q187" s="163">
        <v>3.7141872000000001E-5</v>
      </c>
      <c r="R187" s="163">
        <v>1.8159332000000001E-8</v>
      </c>
      <c r="S187">
        <v>8.3940364000000007E-3</v>
      </c>
      <c r="T187" s="163">
        <v>2.9629231E-6</v>
      </c>
      <c r="U187">
        <v>1.4648656000000001E-3</v>
      </c>
      <c r="V187">
        <v>1.6055685E-2</v>
      </c>
      <c r="W187">
        <v>9.2078627999999992E-3</v>
      </c>
      <c r="X187" s="163">
        <v>2.2440375E-7</v>
      </c>
      <c r="Y187">
        <v>72.289868999999996</v>
      </c>
      <c r="Z187">
        <v>0.54090667000000003</v>
      </c>
      <c r="AA187" s="163">
        <v>8.3673714999999997E-8</v>
      </c>
      <c r="AB187">
        <v>5.3341155000000001E-3</v>
      </c>
      <c r="AC187">
        <v>3.2443110000000002</v>
      </c>
      <c r="AD187" s="163">
        <v>2.0541352000000001E-10</v>
      </c>
      <c r="AE187" s="163">
        <v>1.6506856000000001E-8</v>
      </c>
      <c r="AF187">
        <v>0.95328482000000003</v>
      </c>
      <c r="AG187">
        <v>0</v>
      </c>
      <c r="AH187">
        <v>0</v>
      </c>
      <c r="AI187">
        <v>0.92140069999999996</v>
      </c>
      <c r="AJ187">
        <v>0</v>
      </c>
      <c r="AK187">
        <v>0</v>
      </c>
      <c r="AL187">
        <v>77.588122999999996</v>
      </c>
      <c r="AM187">
        <v>0</v>
      </c>
      <c r="AN187">
        <v>0</v>
      </c>
      <c r="AO187">
        <v>0</v>
      </c>
      <c r="AP187">
        <v>1.2657731E-2</v>
      </c>
      <c r="AQ187" s="163">
        <v>1.0526444999999999E-6</v>
      </c>
      <c r="AR187">
        <v>8.1787092000000006E-2</v>
      </c>
      <c r="AS187" s="163">
        <v>8.0073873999999998E-6</v>
      </c>
      <c r="AT187">
        <v>0</v>
      </c>
      <c r="AU187">
        <v>0</v>
      </c>
      <c r="AV187">
        <v>0</v>
      </c>
      <c r="AW187">
        <v>0</v>
      </c>
      <c r="AX187">
        <v>0</v>
      </c>
    </row>
    <row r="188" spans="1:50">
      <c r="A188" t="s">
        <v>1437</v>
      </c>
      <c r="B188" s="189">
        <f t="shared" si="2"/>
        <v>9.4404222912044006E-2</v>
      </c>
      <c r="C188" s="163">
        <v>1.4711174E-6</v>
      </c>
      <c r="D188">
        <v>3.6463679000000001E-3</v>
      </c>
      <c r="E188">
        <v>0.67637022999999996</v>
      </c>
      <c r="F188" s="163">
        <v>5.0372941999999999E-8</v>
      </c>
      <c r="G188">
        <v>2.4349872E-4</v>
      </c>
      <c r="H188">
        <v>2.3330593999999999E-3</v>
      </c>
      <c r="I188">
        <v>4.0586242E-4</v>
      </c>
      <c r="J188">
        <v>0.48722723000000001</v>
      </c>
      <c r="K188">
        <v>7.2741650999999996E-3</v>
      </c>
      <c r="L188">
        <v>22.768407</v>
      </c>
      <c r="M188">
        <v>3.0505468000000002E-3</v>
      </c>
      <c r="N188">
        <v>0.72933102000000005</v>
      </c>
      <c r="O188">
        <v>0.65978502999999999</v>
      </c>
      <c r="P188">
        <v>6.8867328000000005E-2</v>
      </c>
      <c r="Q188">
        <v>6.7865918999999997E-4</v>
      </c>
      <c r="R188" s="163">
        <v>4.9011852000000002E-8</v>
      </c>
      <c r="S188">
        <v>3.0015365000000001E-3</v>
      </c>
      <c r="T188" s="163">
        <v>4.2796722000000003E-5</v>
      </c>
      <c r="U188">
        <v>5.4506911000000002E-4</v>
      </c>
      <c r="V188">
        <v>7.5175605999999997E-3</v>
      </c>
      <c r="W188">
        <v>1.6909632E-3</v>
      </c>
      <c r="X188" s="163">
        <v>1.4710950000000001E-6</v>
      </c>
      <c r="Y188">
        <v>8.8275603</v>
      </c>
      <c r="Z188">
        <v>0.1491323</v>
      </c>
      <c r="AA188" s="163">
        <v>3.1080214999999997E-8</v>
      </c>
      <c r="AB188">
        <v>5.0492059999999998E-2</v>
      </c>
      <c r="AC188">
        <v>11.059279999999999</v>
      </c>
      <c r="AD188" s="163">
        <v>5.4690057E-10</v>
      </c>
      <c r="AE188" s="163">
        <v>8.7278938999999997E-9</v>
      </c>
      <c r="AF188">
        <v>4.9208083</v>
      </c>
      <c r="AG188">
        <v>0</v>
      </c>
      <c r="AH188">
        <v>0</v>
      </c>
      <c r="AI188">
        <v>0.98061074000000004</v>
      </c>
      <c r="AJ188">
        <v>0</v>
      </c>
      <c r="AK188">
        <v>0</v>
      </c>
      <c r="AL188">
        <v>9.3258016999999995</v>
      </c>
      <c r="AM188">
        <v>0</v>
      </c>
      <c r="AN188">
        <v>0</v>
      </c>
      <c r="AO188">
        <v>0</v>
      </c>
      <c r="AP188">
        <v>5.8082671000000002E-3</v>
      </c>
      <c r="AQ188" s="163">
        <v>1.0139623999999999E-5</v>
      </c>
      <c r="AR188">
        <v>0.22498998000000001</v>
      </c>
      <c r="AS188" s="163">
        <v>4.824864E-5</v>
      </c>
      <c r="AT188">
        <v>0</v>
      </c>
      <c r="AU188">
        <v>0</v>
      </c>
      <c r="AV188">
        <v>0</v>
      </c>
      <c r="AW188">
        <v>0</v>
      </c>
      <c r="AX188">
        <v>0</v>
      </c>
    </row>
    <row r="189" spans="1:50">
      <c r="A189" t="s">
        <v>1438</v>
      </c>
      <c r="B189" s="189">
        <f t="shared" si="2"/>
        <v>0.20874476994042082</v>
      </c>
      <c r="C189" s="163">
        <v>9.0999287999999998E-7</v>
      </c>
      <c r="D189">
        <v>3.7045144000000002E-2</v>
      </c>
      <c r="E189">
        <v>2.5298866000000002</v>
      </c>
      <c r="F189" s="163">
        <v>3.7197552000000003E-8</v>
      </c>
      <c r="G189">
        <v>2.8712179E-3</v>
      </c>
      <c r="H189">
        <v>9.2583144000000003E-3</v>
      </c>
      <c r="I189">
        <v>7.7349698999999998E-4</v>
      </c>
      <c r="J189">
        <v>0.26823153</v>
      </c>
      <c r="K189">
        <v>6.8776004999999999E-3</v>
      </c>
      <c r="L189">
        <v>21.670926000000001</v>
      </c>
      <c r="M189">
        <v>1.1755125E-3</v>
      </c>
      <c r="N189">
        <v>2.6145095999999999</v>
      </c>
      <c r="O189">
        <v>2.6485254</v>
      </c>
      <c r="P189">
        <v>-3.4705484000000002E-2</v>
      </c>
      <c r="Q189">
        <v>6.8968263999999999E-4</v>
      </c>
      <c r="R189" s="163">
        <v>3.9525105000000002E-8</v>
      </c>
      <c r="S189">
        <v>1.1129689E-2</v>
      </c>
      <c r="T189" s="163">
        <v>3.1983316E-5</v>
      </c>
      <c r="U189">
        <v>1.8598974E-3</v>
      </c>
      <c r="V189">
        <v>2.1281350000000001E-2</v>
      </c>
      <c r="W189">
        <v>1.0455013000000001E-2</v>
      </c>
      <c r="X189" s="163">
        <v>9.0999179999999998E-7</v>
      </c>
      <c r="Y189">
        <v>78.355834999999999</v>
      </c>
      <c r="Z189">
        <v>0.94280131</v>
      </c>
      <c r="AA189" s="163">
        <v>1.069569E-7</v>
      </c>
      <c r="AB189">
        <v>3.2827090000000003E-2</v>
      </c>
      <c r="AC189">
        <v>12.048878999999999</v>
      </c>
      <c r="AD189" s="163">
        <v>4.1319874999999999E-10</v>
      </c>
      <c r="AE189" s="163">
        <v>2.1004550000000001E-8</v>
      </c>
      <c r="AF189">
        <v>7.0931208000000003</v>
      </c>
      <c r="AG189">
        <v>0</v>
      </c>
      <c r="AH189">
        <v>0</v>
      </c>
      <c r="AI189">
        <v>2.2525506000000002</v>
      </c>
      <c r="AJ189">
        <v>0</v>
      </c>
      <c r="AK189">
        <v>0</v>
      </c>
      <c r="AL189">
        <v>84.018421000000004</v>
      </c>
      <c r="AM189">
        <v>0</v>
      </c>
      <c r="AN189">
        <v>0</v>
      </c>
      <c r="AO189">
        <v>0</v>
      </c>
      <c r="AP189">
        <v>2.347202E-2</v>
      </c>
      <c r="AQ189" s="163">
        <v>9.0939254999999992E-6</v>
      </c>
      <c r="AR189">
        <v>0.11831941999999999</v>
      </c>
      <c r="AS189" s="163">
        <v>2.9750561999999999E-5</v>
      </c>
      <c r="AT189">
        <v>0</v>
      </c>
      <c r="AU189">
        <v>0</v>
      </c>
      <c r="AV189">
        <v>0</v>
      </c>
      <c r="AW189">
        <v>0</v>
      </c>
      <c r="AX189">
        <v>0</v>
      </c>
    </row>
    <row r="190" spans="1:50">
      <c r="A190" t="s">
        <v>1439</v>
      </c>
      <c r="B190" s="189">
        <f t="shared" si="2"/>
        <v>0.24762559911800602</v>
      </c>
      <c r="C190" s="163">
        <v>1.3715196000000001E-6</v>
      </c>
      <c r="D190">
        <v>3.8791538E-2</v>
      </c>
      <c r="E190">
        <v>2.9223946000000001</v>
      </c>
      <c r="F190" s="163">
        <v>6.3704928999999994E-8</v>
      </c>
      <c r="G190">
        <v>3.0222345000000001E-3</v>
      </c>
      <c r="H190">
        <v>1.1501391E-2</v>
      </c>
      <c r="I190">
        <v>1.0004230000000001E-3</v>
      </c>
      <c r="J190">
        <v>0.34576515000000002</v>
      </c>
      <c r="K190">
        <v>9.7641606999999998E-3</v>
      </c>
      <c r="L190">
        <v>27.290866000000001</v>
      </c>
      <c r="M190">
        <v>1.7062920999999999E-3</v>
      </c>
      <c r="N190">
        <v>2.9781594999999998</v>
      </c>
      <c r="O190">
        <v>3.0434950000000001</v>
      </c>
      <c r="P190">
        <v>-6.6374796999999999E-2</v>
      </c>
      <c r="Q190">
        <v>1.0393739E-3</v>
      </c>
      <c r="R190" s="163">
        <v>6.7459032999999996E-8</v>
      </c>
      <c r="S190">
        <v>1.3890916E-2</v>
      </c>
      <c r="T190" s="163">
        <v>4.1950821000000002E-5</v>
      </c>
      <c r="U190">
        <v>2.3376849999999999E-3</v>
      </c>
      <c r="V190">
        <v>2.7222700999999998E-2</v>
      </c>
      <c r="W190">
        <v>1.2084546999999999E-2</v>
      </c>
      <c r="X190" s="163">
        <v>1.3704168E-6</v>
      </c>
      <c r="Y190">
        <v>84.895221000000006</v>
      </c>
      <c r="Z190">
        <v>1.6347018</v>
      </c>
      <c r="AA190" s="163">
        <v>1.2707950000000001E-7</v>
      </c>
      <c r="AB190">
        <v>5.3493751999999999E-2</v>
      </c>
      <c r="AC190">
        <v>12.197087</v>
      </c>
      <c r="AD190" s="163">
        <v>5.8121815999999996E-10</v>
      </c>
      <c r="AE190" s="163">
        <v>1.2850304E-8</v>
      </c>
      <c r="AF190">
        <v>10.83427</v>
      </c>
      <c r="AG190">
        <v>0</v>
      </c>
      <c r="AH190">
        <v>0</v>
      </c>
      <c r="AI190">
        <v>3.4456099</v>
      </c>
      <c r="AJ190">
        <v>0</v>
      </c>
      <c r="AK190">
        <v>0</v>
      </c>
      <c r="AL190">
        <v>90.873558000000003</v>
      </c>
      <c r="AM190">
        <v>0</v>
      </c>
      <c r="AN190">
        <v>0</v>
      </c>
      <c r="AO190">
        <v>0</v>
      </c>
      <c r="AP190">
        <v>4.0448979000000003E-2</v>
      </c>
      <c r="AQ190" s="163">
        <v>1.6903122000000001E-5</v>
      </c>
      <c r="AR190">
        <v>0.18972496</v>
      </c>
      <c r="AS190" s="163">
        <v>5.1050590000000001E-5</v>
      </c>
      <c r="AT190">
        <v>0</v>
      </c>
      <c r="AU190">
        <v>0</v>
      </c>
      <c r="AV190">
        <v>0</v>
      </c>
      <c r="AW190">
        <v>0</v>
      </c>
      <c r="AX190">
        <v>0</v>
      </c>
    </row>
    <row r="191" spans="1:50">
      <c r="A191" t="s">
        <v>1440</v>
      </c>
      <c r="B191" s="189">
        <f t="shared" si="2"/>
        <v>0.22385217657919557</v>
      </c>
      <c r="C191" s="163">
        <v>9.6607966000000007E-7</v>
      </c>
      <c r="D191">
        <v>3.7126429000000002E-2</v>
      </c>
      <c r="E191">
        <v>2.6896366</v>
      </c>
      <c r="F191" s="163">
        <v>4.6306114999999998E-8</v>
      </c>
      <c r="G191">
        <v>2.3763319000000001E-3</v>
      </c>
      <c r="H191">
        <v>9.2474794999999992E-3</v>
      </c>
      <c r="I191">
        <v>9.8568538999999999E-4</v>
      </c>
      <c r="J191">
        <v>0.33350971000000001</v>
      </c>
      <c r="K191">
        <v>8.4166786999999993E-3</v>
      </c>
      <c r="L191">
        <v>24.514386999999999</v>
      </c>
      <c r="M191">
        <v>1.5835152E-3</v>
      </c>
      <c r="N191">
        <v>2.7127112000000002</v>
      </c>
      <c r="O191">
        <v>2.7859702999999998</v>
      </c>
      <c r="P191">
        <v>-7.4296728000000006E-2</v>
      </c>
      <c r="Q191">
        <v>1.037669E-3</v>
      </c>
      <c r="R191" s="163">
        <v>4.8639403999999999E-8</v>
      </c>
      <c r="S191">
        <v>1.1196302999999999E-2</v>
      </c>
      <c r="T191" s="163">
        <v>8.0356348000000006E-5</v>
      </c>
      <c r="U191">
        <v>2.0010346999999999E-3</v>
      </c>
      <c r="V191">
        <v>2.2708968E-2</v>
      </c>
      <c r="W191">
        <v>9.7421159000000007E-3</v>
      </c>
      <c r="X191" s="163">
        <v>9.6498998999999998E-7</v>
      </c>
      <c r="Y191">
        <v>78.925742</v>
      </c>
      <c r="Z191">
        <v>1.5038058000000001</v>
      </c>
      <c r="AA191" s="163">
        <v>1.046199E-7</v>
      </c>
      <c r="AB191">
        <v>4.1233323000000002E-2</v>
      </c>
      <c r="AC191">
        <v>13.068533</v>
      </c>
      <c r="AD191" s="163">
        <v>4.4384070000000001E-10</v>
      </c>
      <c r="AE191" s="163">
        <v>1.4700629E-8</v>
      </c>
      <c r="AF191">
        <v>9.7060665000000004</v>
      </c>
      <c r="AG191">
        <v>0</v>
      </c>
      <c r="AH191">
        <v>0</v>
      </c>
      <c r="AI191">
        <v>2.4401815999999998</v>
      </c>
      <c r="AJ191">
        <v>0</v>
      </c>
      <c r="AK191">
        <v>0</v>
      </c>
      <c r="AL191">
        <v>84.424114000000003</v>
      </c>
      <c r="AM191">
        <v>0</v>
      </c>
      <c r="AN191">
        <v>0</v>
      </c>
      <c r="AO191">
        <v>0</v>
      </c>
      <c r="AP191">
        <v>3.694397E-2</v>
      </c>
      <c r="AQ191" s="163">
        <v>1.1711006E-5</v>
      </c>
      <c r="AR191">
        <v>0.12453843000000001</v>
      </c>
      <c r="AS191" s="163">
        <v>3.6342413000000002E-5</v>
      </c>
      <c r="AT191">
        <v>0</v>
      </c>
      <c r="AU191">
        <v>0</v>
      </c>
      <c r="AV191">
        <v>0</v>
      </c>
      <c r="AW191">
        <v>0</v>
      </c>
      <c r="AX191">
        <v>0</v>
      </c>
    </row>
    <row r="192" spans="1:50">
      <c r="A192" t="s">
        <v>1441</v>
      </c>
      <c r="B192" s="189">
        <f t="shared" si="2"/>
        <v>0.20879206582991641</v>
      </c>
      <c r="C192" s="163">
        <v>9.2594079000000005E-7</v>
      </c>
      <c r="D192">
        <v>3.6176850000000003E-2</v>
      </c>
      <c r="E192">
        <v>2.5634071</v>
      </c>
      <c r="F192" s="163">
        <v>3.6841313000000003E-8</v>
      </c>
      <c r="G192">
        <v>2.3359864000000001E-3</v>
      </c>
      <c r="H192">
        <v>8.9306193999999992E-3</v>
      </c>
      <c r="I192">
        <v>9.219985E-4</v>
      </c>
      <c r="J192">
        <v>0.26474126999999997</v>
      </c>
      <c r="K192">
        <v>6.1904068000000001E-3</v>
      </c>
      <c r="L192">
        <v>20.577856000000001</v>
      </c>
      <c r="M192">
        <v>1.1585406E-3</v>
      </c>
      <c r="N192">
        <v>2.6182400000000001</v>
      </c>
      <c r="O192">
        <v>2.6577814000000002</v>
      </c>
      <c r="P192">
        <v>-4.0229651999999998E-2</v>
      </c>
      <c r="Q192">
        <v>6.8831785999999996E-4</v>
      </c>
      <c r="R192" s="163">
        <v>3.9154772999999999E-8</v>
      </c>
      <c r="S192">
        <v>1.0781618E-2</v>
      </c>
      <c r="T192" s="163">
        <v>7.3986921999999995E-5</v>
      </c>
      <c r="U192">
        <v>1.9078317E-3</v>
      </c>
      <c r="V192">
        <v>2.1503554000000001E-2</v>
      </c>
      <c r="W192">
        <v>9.4481897999999995E-3</v>
      </c>
      <c r="X192" s="163">
        <v>9.2593962999999997E-7</v>
      </c>
      <c r="Y192">
        <v>76.968776000000005</v>
      </c>
      <c r="Z192">
        <v>1.0787253999999999</v>
      </c>
      <c r="AA192" s="163">
        <v>1.0166792E-7</v>
      </c>
      <c r="AB192">
        <v>3.2708624999999998E-2</v>
      </c>
      <c r="AC192">
        <v>12.019244</v>
      </c>
      <c r="AD192" s="163">
        <v>3.8680696999999998E-10</v>
      </c>
      <c r="AE192" s="163">
        <v>1.3850831E-8</v>
      </c>
      <c r="AF192">
        <v>7.0786002000000003</v>
      </c>
      <c r="AG192">
        <v>0</v>
      </c>
      <c r="AH192">
        <v>0</v>
      </c>
      <c r="AI192">
        <v>1.8341566</v>
      </c>
      <c r="AJ192">
        <v>0</v>
      </c>
      <c r="AK192">
        <v>0</v>
      </c>
      <c r="AL192">
        <v>82.324186999999995</v>
      </c>
      <c r="AM192">
        <v>0</v>
      </c>
      <c r="AN192">
        <v>0</v>
      </c>
      <c r="AO192">
        <v>0</v>
      </c>
      <c r="AP192">
        <v>2.6632019E-2</v>
      </c>
      <c r="AQ192" s="163">
        <v>9.0425680999999995E-6</v>
      </c>
      <c r="AR192">
        <v>0.11410367</v>
      </c>
      <c r="AS192" s="163">
        <v>2.9639169000000001E-5</v>
      </c>
      <c r="AT192">
        <v>0</v>
      </c>
      <c r="AU192">
        <v>0</v>
      </c>
      <c r="AV192">
        <v>0</v>
      </c>
      <c r="AW192">
        <v>0</v>
      </c>
      <c r="AX192">
        <v>0</v>
      </c>
    </row>
    <row r="193" spans="1:50">
      <c r="A193" t="s">
        <v>1442</v>
      </c>
      <c r="B193" s="189">
        <f t="shared" si="2"/>
        <v>0.15698983930405844</v>
      </c>
      <c r="C193" s="163">
        <v>2.4035223999999998E-7</v>
      </c>
      <c r="D193">
        <v>3.2984792999999998E-2</v>
      </c>
      <c r="E193">
        <v>2.1122076999999999</v>
      </c>
      <c r="F193" s="163">
        <v>1.4369310000000001E-8</v>
      </c>
      <c r="G193">
        <v>2.1930324999999999E-3</v>
      </c>
      <c r="H193">
        <v>6.6880485E-3</v>
      </c>
      <c r="I193">
        <v>6.6550134000000003E-4</v>
      </c>
      <c r="J193">
        <v>9.0332851000000006E-2</v>
      </c>
      <c r="K193">
        <v>3.3221792999999999E-3</v>
      </c>
      <c r="L193">
        <v>7.2898616000000001</v>
      </c>
      <c r="M193">
        <v>2.5064499000000001E-4</v>
      </c>
      <c r="N193">
        <v>2.2116167999999998</v>
      </c>
      <c r="O193">
        <v>2.1991054000000001</v>
      </c>
      <c r="P193">
        <v>1.2475676E-2</v>
      </c>
      <c r="Q193" s="163">
        <v>3.5777091999999998E-5</v>
      </c>
      <c r="R193" s="163">
        <v>1.7789000000000001E-8</v>
      </c>
      <c r="S193">
        <v>8.0459645000000007E-3</v>
      </c>
      <c r="T193" s="163">
        <v>4.4966528E-5</v>
      </c>
      <c r="U193">
        <v>1.5127999000000001E-3</v>
      </c>
      <c r="V193">
        <v>1.6277889E-2</v>
      </c>
      <c r="W193">
        <v>8.2010391999999994E-3</v>
      </c>
      <c r="X193" s="163">
        <v>2.4035158000000002E-7</v>
      </c>
      <c r="Y193">
        <v>70.902810000000002</v>
      </c>
      <c r="Z193">
        <v>0.67683075999999998</v>
      </c>
      <c r="AA193" s="163">
        <v>7.8384742000000001E-8</v>
      </c>
      <c r="AB193">
        <v>5.2156505000000002E-3</v>
      </c>
      <c r="AC193">
        <v>3.2146756000000001</v>
      </c>
      <c r="AD193" s="163">
        <v>1.7902175000000001E-10</v>
      </c>
      <c r="AE193" s="163">
        <v>9.3531375000000003E-9</v>
      </c>
      <c r="AF193">
        <v>0.93876428000000001</v>
      </c>
      <c r="AG193">
        <v>0</v>
      </c>
      <c r="AH193">
        <v>0</v>
      </c>
      <c r="AI193">
        <v>0.50300668999999998</v>
      </c>
      <c r="AJ193">
        <v>0</v>
      </c>
      <c r="AK193">
        <v>0</v>
      </c>
      <c r="AL193">
        <v>75.893889000000001</v>
      </c>
      <c r="AM193">
        <v>0</v>
      </c>
      <c r="AN193">
        <v>0</v>
      </c>
      <c r="AO193">
        <v>0</v>
      </c>
      <c r="AP193">
        <v>1.5817728999999999E-2</v>
      </c>
      <c r="AQ193" s="163">
        <v>1.0012871000000001E-6</v>
      </c>
      <c r="AR193">
        <v>7.7571345E-2</v>
      </c>
      <c r="AS193" s="163">
        <v>7.8959946000000002E-6</v>
      </c>
      <c r="AT193">
        <v>0</v>
      </c>
      <c r="AU193">
        <v>0</v>
      </c>
      <c r="AV193">
        <v>0</v>
      </c>
      <c r="AW193">
        <v>0</v>
      </c>
      <c r="AX193">
        <v>0</v>
      </c>
    </row>
    <row r="194" spans="1:50">
      <c r="A194" t="s">
        <v>1443</v>
      </c>
      <c r="B194" s="189">
        <f t="shared" si="2"/>
        <v>0.29655877732880004</v>
      </c>
      <c r="C194" s="163">
        <v>1.4762675E-6</v>
      </c>
      <c r="D194">
        <v>4.4056211999999997E-2</v>
      </c>
      <c r="E194">
        <v>3.4438295000000001</v>
      </c>
      <c r="F194" s="163">
        <v>1.3519159999999999E-7</v>
      </c>
      <c r="G194">
        <v>2.7209905000000001E-3</v>
      </c>
      <c r="H194">
        <v>1.2396542999999999E-2</v>
      </c>
      <c r="I194">
        <v>1.3976072E-3</v>
      </c>
      <c r="J194">
        <v>0.49092633000000002</v>
      </c>
      <c r="K194">
        <v>1.4369256E-2</v>
      </c>
      <c r="L194">
        <v>49.417088999999997</v>
      </c>
      <c r="M194">
        <v>2.5207062999999998E-3</v>
      </c>
      <c r="N194">
        <v>3.5025851000000001</v>
      </c>
      <c r="O194">
        <v>3.5529625</v>
      </c>
      <c r="P194">
        <v>-5.2265897999999998E-2</v>
      </c>
      <c r="Q194">
        <v>1.8884379000000001E-3</v>
      </c>
      <c r="R194" s="163">
        <v>1.4213202999999999E-7</v>
      </c>
      <c r="S194">
        <v>1.5045012999999999E-2</v>
      </c>
      <c r="T194">
        <v>1.2314299E-4</v>
      </c>
      <c r="U194">
        <v>2.5695077000000002E-3</v>
      </c>
      <c r="V194">
        <v>3.0220996999999999E-2</v>
      </c>
      <c r="W194">
        <v>1.1805059999999999E-2</v>
      </c>
      <c r="X194" s="163">
        <v>1.4762740000000001E-6</v>
      </c>
      <c r="Y194">
        <v>92.572936999999996</v>
      </c>
      <c r="Z194">
        <v>1.1282373999999999</v>
      </c>
      <c r="AA194" s="163">
        <v>1.2610775E-7</v>
      </c>
      <c r="AB194">
        <v>9.4480471999999996E-2</v>
      </c>
      <c r="AC194">
        <v>25.021985999999998</v>
      </c>
      <c r="AD194" s="163">
        <v>6.2469106999999995E-10</v>
      </c>
      <c r="AE194" s="163">
        <v>2.0933836999999998E-8</v>
      </c>
      <c r="AF194">
        <v>10.055151</v>
      </c>
      <c r="AG194">
        <v>0</v>
      </c>
      <c r="AH194">
        <v>0</v>
      </c>
      <c r="AI194">
        <v>3.0669366</v>
      </c>
      <c r="AJ194">
        <v>0</v>
      </c>
      <c r="AK194">
        <v>0</v>
      </c>
      <c r="AL194">
        <v>99.021225999999999</v>
      </c>
      <c r="AM194">
        <v>0</v>
      </c>
      <c r="AN194">
        <v>0</v>
      </c>
      <c r="AO194">
        <v>0</v>
      </c>
      <c r="AP194">
        <v>3.0240244999999999E-2</v>
      </c>
      <c r="AQ194" s="163">
        <v>6.0093624999999998E-5</v>
      </c>
      <c r="AR194">
        <v>0.16886234999999999</v>
      </c>
      <c r="AS194" s="163">
        <v>8.6325745000000002E-5</v>
      </c>
      <c r="AT194">
        <v>0</v>
      </c>
      <c r="AU194">
        <v>0</v>
      </c>
      <c r="AV194">
        <v>0</v>
      </c>
      <c r="AW194">
        <v>0</v>
      </c>
      <c r="AX194">
        <v>0</v>
      </c>
    </row>
    <row r="195" spans="1:50">
      <c r="A195" t="s">
        <v>1444</v>
      </c>
      <c r="B195" s="189">
        <f t="shared" si="2"/>
        <v>0.22385217657919557</v>
      </c>
      <c r="C195" s="163">
        <v>9.6607966000000007E-7</v>
      </c>
      <c r="D195">
        <v>3.7126429000000002E-2</v>
      </c>
      <c r="E195">
        <v>2.6896366</v>
      </c>
      <c r="F195" s="163">
        <v>4.6306114999999998E-8</v>
      </c>
      <c r="G195">
        <v>2.3763319000000001E-3</v>
      </c>
      <c r="H195">
        <v>9.2474794999999992E-3</v>
      </c>
      <c r="I195">
        <v>9.8568538999999999E-4</v>
      </c>
      <c r="J195">
        <v>0.33350971000000001</v>
      </c>
      <c r="K195">
        <v>8.4166786999999993E-3</v>
      </c>
      <c r="L195">
        <v>24.514386999999999</v>
      </c>
      <c r="M195">
        <v>1.5835152E-3</v>
      </c>
      <c r="N195">
        <v>2.7127112000000002</v>
      </c>
      <c r="O195">
        <v>2.7859702999999998</v>
      </c>
      <c r="P195">
        <v>-7.4296728000000006E-2</v>
      </c>
      <c r="Q195">
        <v>1.037669E-3</v>
      </c>
      <c r="R195" s="163">
        <v>4.8639403999999999E-8</v>
      </c>
      <c r="S195">
        <v>1.1196302999999999E-2</v>
      </c>
      <c r="T195" s="163">
        <v>8.0356348000000006E-5</v>
      </c>
      <c r="U195">
        <v>2.0010346999999999E-3</v>
      </c>
      <c r="V195">
        <v>2.2708968E-2</v>
      </c>
      <c r="W195">
        <v>9.7421159000000007E-3</v>
      </c>
      <c r="X195" s="163">
        <v>9.6498998999999998E-7</v>
      </c>
      <c r="Y195">
        <v>78.925742</v>
      </c>
      <c r="Z195">
        <v>1.5038058000000001</v>
      </c>
      <c r="AA195" s="163">
        <v>1.046199E-7</v>
      </c>
      <c r="AB195">
        <v>4.1233323000000002E-2</v>
      </c>
      <c r="AC195">
        <v>13.068533</v>
      </c>
      <c r="AD195" s="163">
        <v>4.4384070000000001E-10</v>
      </c>
      <c r="AE195" s="163">
        <v>1.4700629E-8</v>
      </c>
      <c r="AF195">
        <v>9.7060665000000004</v>
      </c>
      <c r="AG195">
        <v>0</v>
      </c>
      <c r="AH195">
        <v>0</v>
      </c>
      <c r="AI195">
        <v>2.4401815999999998</v>
      </c>
      <c r="AJ195">
        <v>0</v>
      </c>
      <c r="AK195">
        <v>0</v>
      </c>
      <c r="AL195">
        <v>84.424114000000003</v>
      </c>
      <c r="AM195">
        <v>0</v>
      </c>
      <c r="AN195">
        <v>0</v>
      </c>
      <c r="AO195">
        <v>0</v>
      </c>
      <c r="AP195">
        <v>3.694397E-2</v>
      </c>
      <c r="AQ195" s="163">
        <v>1.1711006E-5</v>
      </c>
      <c r="AR195">
        <v>0.12453843000000001</v>
      </c>
      <c r="AS195" s="163">
        <v>3.6342413000000002E-5</v>
      </c>
      <c r="AT195">
        <v>0</v>
      </c>
      <c r="AU195">
        <v>0</v>
      </c>
      <c r="AV195">
        <v>0</v>
      </c>
      <c r="AW195">
        <v>0</v>
      </c>
      <c r="AX195">
        <v>0</v>
      </c>
    </row>
    <row r="196" spans="1:50">
      <c r="A196" t="s">
        <v>1445</v>
      </c>
      <c r="B196" s="189">
        <f t="shared" si="2"/>
        <v>0.29833681374355642</v>
      </c>
      <c r="C196" s="163">
        <v>5.8780628999999996E-7</v>
      </c>
      <c r="D196">
        <v>4.0030586999999999E-2</v>
      </c>
      <c r="E196">
        <v>3.7476870999999998</v>
      </c>
      <c r="F196" s="163">
        <v>1.5909284999999999E-8</v>
      </c>
      <c r="G196">
        <v>2.2411255999999998E-3</v>
      </c>
      <c r="H196">
        <v>1.1981322000000001E-2</v>
      </c>
      <c r="I196">
        <v>8.2167749000000003E-4</v>
      </c>
      <c r="J196">
        <v>0.46147553000000002</v>
      </c>
      <c r="K196">
        <v>1.5868350999999999E-2</v>
      </c>
      <c r="L196">
        <v>26.645762000000001</v>
      </c>
      <c r="M196">
        <v>1.1822076E-3</v>
      </c>
      <c r="N196">
        <v>3.9815227000000002</v>
      </c>
      <c r="O196">
        <v>3.9429405000000002</v>
      </c>
      <c r="P196">
        <v>3.8544127999999997E-2</v>
      </c>
      <c r="Q196" s="163">
        <v>3.7981203000000003E-5</v>
      </c>
      <c r="R196" s="163">
        <v>1.9137711E-8</v>
      </c>
      <c r="S196">
        <v>1.4225440000000001E-2</v>
      </c>
      <c r="T196" s="163">
        <v>5.5120631999999996E-6</v>
      </c>
      <c r="U196">
        <v>2.3060876999999999E-3</v>
      </c>
      <c r="V196">
        <v>2.5067152999999998E-2</v>
      </c>
      <c r="W196">
        <v>1.0264941E-2</v>
      </c>
      <c r="X196" s="163">
        <v>5.8780582000000005E-7</v>
      </c>
      <c r="Y196">
        <v>82.530248</v>
      </c>
      <c r="Z196">
        <v>2.2571314999999998</v>
      </c>
      <c r="AA196" s="163">
        <v>1.3091621E-7</v>
      </c>
      <c r="AB196">
        <v>5.3580887000000002E-3</v>
      </c>
      <c r="AC196">
        <v>17.688291</v>
      </c>
      <c r="AD196" s="163">
        <v>6.6550889000000003E-10</v>
      </c>
      <c r="AE196" s="163">
        <v>1.0477998999999999E-8</v>
      </c>
      <c r="AF196">
        <v>0.97301296000000004</v>
      </c>
      <c r="AG196">
        <v>0</v>
      </c>
      <c r="AH196">
        <v>0</v>
      </c>
      <c r="AI196">
        <v>0.35002114000000001</v>
      </c>
      <c r="AJ196">
        <v>0</v>
      </c>
      <c r="AK196">
        <v>0</v>
      </c>
      <c r="AL196">
        <v>88.814839000000006</v>
      </c>
      <c r="AM196">
        <v>0</v>
      </c>
      <c r="AN196">
        <v>0</v>
      </c>
      <c r="AO196">
        <v>0</v>
      </c>
      <c r="AP196">
        <v>5.2615033999999998E-2</v>
      </c>
      <c r="AQ196" s="163">
        <v>1.1109571000000001E-6</v>
      </c>
      <c r="AR196">
        <v>9.0101613999999997E-2</v>
      </c>
      <c r="AS196" s="163">
        <v>8.0658106000000003E-6</v>
      </c>
      <c r="AT196">
        <v>0</v>
      </c>
      <c r="AU196">
        <v>0</v>
      </c>
      <c r="AV196">
        <v>0</v>
      </c>
      <c r="AW196">
        <v>0</v>
      </c>
      <c r="AX196">
        <v>0</v>
      </c>
    </row>
    <row r="197" spans="1:50">
      <c r="A197" t="s">
        <v>1446</v>
      </c>
      <c r="B197" s="189">
        <f t="shared" si="2"/>
        <v>0.36447853533354563</v>
      </c>
      <c r="C197" s="163">
        <v>8.9468715999999999E-7</v>
      </c>
      <c r="D197">
        <v>4.2342478000000003E-2</v>
      </c>
      <c r="E197">
        <v>4.0790401999999997</v>
      </c>
      <c r="F197" s="163">
        <v>1.2098372000000001E-7</v>
      </c>
      <c r="G197">
        <v>8.2565902000000004E-3</v>
      </c>
      <c r="H197">
        <v>1.443213E-2</v>
      </c>
      <c r="I197">
        <v>1.3616666000000001E-3</v>
      </c>
      <c r="J197">
        <v>0.68068386999999997</v>
      </c>
      <c r="K197">
        <v>1.5887924000000001E-2</v>
      </c>
      <c r="L197">
        <v>53.554329000000003</v>
      </c>
      <c r="M197">
        <v>2.6272912E-3</v>
      </c>
      <c r="N197">
        <v>4.3153686999999996</v>
      </c>
      <c r="O197">
        <v>4.2720669999999998</v>
      </c>
      <c r="P197">
        <v>4.2429437E-2</v>
      </c>
      <c r="Q197">
        <v>8.7230537000000002E-4</v>
      </c>
      <c r="R197" s="163">
        <v>1.1088312E-7</v>
      </c>
      <c r="S197">
        <v>1.7244013999999998E-2</v>
      </c>
      <c r="T197">
        <v>1.0400569E-4</v>
      </c>
      <c r="U197">
        <v>2.7253031000000001E-3</v>
      </c>
      <c r="V197">
        <v>3.0936129999999999E-2</v>
      </c>
      <c r="W197">
        <v>2.1822291000000001E-2</v>
      </c>
      <c r="X197" s="163">
        <v>8.9469876000000004E-7</v>
      </c>
      <c r="Y197">
        <v>86.908140000000003</v>
      </c>
      <c r="Z197">
        <v>2.6407295999999998</v>
      </c>
      <c r="AA197" s="163">
        <v>1.6136237E-7</v>
      </c>
      <c r="AB197">
        <v>5.0967549000000001E-2</v>
      </c>
      <c r="AC197">
        <v>30.719759</v>
      </c>
      <c r="AD197" s="163">
        <v>9.4319308E-10</v>
      </c>
      <c r="AE197" s="163">
        <v>1.5632129999999999E-8</v>
      </c>
      <c r="AF197">
        <v>4.5167565999999999</v>
      </c>
      <c r="AG197">
        <v>0</v>
      </c>
      <c r="AH197">
        <v>0</v>
      </c>
      <c r="AI197">
        <v>1.50118</v>
      </c>
      <c r="AJ197">
        <v>0</v>
      </c>
      <c r="AK197">
        <v>0</v>
      </c>
      <c r="AL197">
        <v>93.359840000000005</v>
      </c>
      <c r="AM197">
        <v>0</v>
      </c>
      <c r="AN197">
        <v>0</v>
      </c>
      <c r="AO197">
        <v>0</v>
      </c>
      <c r="AP197">
        <v>6.3876101000000005E-2</v>
      </c>
      <c r="AQ197" s="163">
        <v>1.8416702000000002E-5</v>
      </c>
      <c r="AR197">
        <v>0.17800905</v>
      </c>
      <c r="AS197" s="163">
        <v>4.9516917E-5</v>
      </c>
      <c r="AT197">
        <v>0</v>
      </c>
      <c r="AU197">
        <v>0</v>
      </c>
      <c r="AV197">
        <v>0</v>
      </c>
      <c r="AW197">
        <v>0</v>
      </c>
      <c r="AX197">
        <v>0</v>
      </c>
    </row>
    <row r="198" spans="1:50">
      <c r="A198" t="s">
        <v>1447</v>
      </c>
      <c r="B198" s="189">
        <f t="shared" ref="B198:B261" si="3">(C198*0.16)+(D198*0.16)+(E198*0.05)+(F198*30)+(G198*2)+(H198*4)+(I198*9)+(J198*0.09)+(K198*0.03)+(L198*0.0001)+(M198*0.06)</f>
        <v>1.1857474347410961</v>
      </c>
      <c r="C198" s="163">
        <v>8.3972806E-6</v>
      </c>
      <c r="D198">
        <v>3.9499841000000001E-2</v>
      </c>
      <c r="E198">
        <v>3.9238852</v>
      </c>
      <c r="F198" s="163">
        <v>1.9624774000000001E-7</v>
      </c>
      <c r="G198">
        <v>0.29531294000000002</v>
      </c>
      <c r="H198">
        <v>1.5181131E-2</v>
      </c>
      <c r="I198">
        <v>2.7162216000000002E-3</v>
      </c>
      <c r="J198">
        <v>3.1094366</v>
      </c>
      <c r="K198">
        <v>0.70616098000000005</v>
      </c>
      <c r="L198">
        <v>61.310921</v>
      </c>
      <c r="M198">
        <v>4.4059214000000003E-3</v>
      </c>
      <c r="N198">
        <v>4.1135815999999998</v>
      </c>
      <c r="O198">
        <v>4.0731428000000003</v>
      </c>
      <c r="P198">
        <v>3.9308451000000001E-2</v>
      </c>
      <c r="Q198">
        <v>1.1303916999999999E-3</v>
      </c>
      <c r="R198" s="163">
        <v>1.9319556E-7</v>
      </c>
      <c r="S198">
        <v>1.8321944999999999E-2</v>
      </c>
      <c r="T198">
        <v>2.2383108E-4</v>
      </c>
      <c r="U198">
        <v>3.7147094000000002E-3</v>
      </c>
      <c r="V198">
        <v>3.4479148000000001E-2</v>
      </c>
      <c r="W198">
        <v>0.50558161999999995</v>
      </c>
      <c r="X198" s="163">
        <v>8.3974461999999993E-6</v>
      </c>
      <c r="Y198">
        <v>81.293471999999994</v>
      </c>
      <c r="Z198">
        <v>2.8838648</v>
      </c>
      <c r="AA198" s="163">
        <v>2.5819565000000002E-7</v>
      </c>
      <c r="AB198">
        <v>5.8829214999999997E-2</v>
      </c>
      <c r="AC198">
        <v>173.09461999999999</v>
      </c>
      <c r="AD198" s="163">
        <v>2.4205032000000001E-8</v>
      </c>
      <c r="AE198" s="163">
        <v>7.6157662999999995E-8</v>
      </c>
      <c r="AF198">
        <v>4.9779713000000001</v>
      </c>
      <c r="AG198">
        <v>0</v>
      </c>
      <c r="AH198">
        <v>0</v>
      </c>
      <c r="AI198">
        <v>2.5318588000000002</v>
      </c>
      <c r="AJ198">
        <v>0</v>
      </c>
      <c r="AK198">
        <v>0</v>
      </c>
      <c r="AL198">
        <v>87.159316000000004</v>
      </c>
      <c r="AM198">
        <v>0</v>
      </c>
      <c r="AN198">
        <v>0</v>
      </c>
      <c r="AO198">
        <v>0</v>
      </c>
      <c r="AP198">
        <v>6.9819483000000002E-2</v>
      </c>
      <c r="AQ198" s="163">
        <v>3.0267187000000002E-5</v>
      </c>
      <c r="AR198">
        <v>0.21206580999999999</v>
      </c>
      <c r="AS198" s="163">
        <v>5.3691874000000002E-5</v>
      </c>
      <c r="AT198">
        <v>0</v>
      </c>
      <c r="AU198">
        <v>0</v>
      </c>
      <c r="AV198">
        <v>0</v>
      </c>
      <c r="AW198">
        <v>0</v>
      </c>
      <c r="AX198">
        <v>0</v>
      </c>
    </row>
    <row r="199" spans="1:50">
      <c r="A199" t="s">
        <v>1448</v>
      </c>
      <c r="B199" s="189">
        <f t="shared" si="3"/>
        <v>0.21077810981840001</v>
      </c>
      <c r="C199" s="163">
        <v>5.7486225000000002E-6</v>
      </c>
      <c r="D199">
        <v>1.5275804E-2</v>
      </c>
      <c r="E199">
        <v>1.9671539</v>
      </c>
      <c r="F199" s="163">
        <v>1.7136576E-7</v>
      </c>
      <c r="G199">
        <v>5.7408185000000001E-4</v>
      </c>
      <c r="H199">
        <v>5.6922179000000002E-3</v>
      </c>
      <c r="I199">
        <v>8.0928950999999995E-4</v>
      </c>
      <c r="J199">
        <v>0.80259272000000004</v>
      </c>
      <c r="K199">
        <v>1.7256078000000001E-2</v>
      </c>
      <c r="L199">
        <v>58.319543000000003</v>
      </c>
      <c r="M199">
        <v>3.1100516000000002E-3</v>
      </c>
      <c r="N199">
        <v>2.0114835000000002</v>
      </c>
      <c r="O199">
        <v>1.9741234000000001</v>
      </c>
      <c r="P199">
        <v>3.5906449999999999E-2</v>
      </c>
      <c r="Q199">
        <v>1.4535971000000001E-3</v>
      </c>
      <c r="R199" s="163">
        <v>1.9116905999999999E-7</v>
      </c>
      <c r="S199">
        <v>7.0622627000000004E-3</v>
      </c>
      <c r="T199" s="163">
        <v>8.7058151999999995E-5</v>
      </c>
      <c r="U199">
        <v>1.2800057000000001E-3</v>
      </c>
      <c r="V199">
        <v>1.6001773E-2</v>
      </c>
      <c r="W199">
        <v>4.2488902E-3</v>
      </c>
      <c r="X199" s="163">
        <v>5.7487879999999996E-6</v>
      </c>
      <c r="Y199">
        <v>28.339924</v>
      </c>
      <c r="Z199">
        <v>0.37620519000000002</v>
      </c>
      <c r="AA199" s="163">
        <v>2.1326992E-6</v>
      </c>
      <c r="AB199">
        <v>5.5862964000000001E-2</v>
      </c>
      <c r="AC199">
        <v>45.615369999999999</v>
      </c>
      <c r="AD199" s="163">
        <v>6.8477307000000003E-10</v>
      </c>
      <c r="AE199" s="163">
        <v>1.6317978000000001E-8</v>
      </c>
      <c r="AF199">
        <v>7.9012555000000004</v>
      </c>
      <c r="AG199">
        <v>0</v>
      </c>
      <c r="AH199">
        <v>0</v>
      </c>
      <c r="AI199">
        <v>1.3768130999999999</v>
      </c>
      <c r="AJ199">
        <v>0</v>
      </c>
      <c r="AK199">
        <v>0</v>
      </c>
      <c r="AL199">
        <v>30.868286000000001</v>
      </c>
      <c r="AM199">
        <v>0</v>
      </c>
      <c r="AN199">
        <v>0</v>
      </c>
      <c r="AO199">
        <v>0</v>
      </c>
      <c r="AP199">
        <v>1.0960015E-2</v>
      </c>
      <c r="AQ199">
        <v>1.4929510999999999E-4</v>
      </c>
      <c r="AR199">
        <v>0.37021996000000001</v>
      </c>
      <c r="AS199" s="163">
        <v>4.8959591E-5</v>
      </c>
      <c r="AT199">
        <v>0</v>
      </c>
      <c r="AU199">
        <v>0</v>
      </c>
      <c r="AV199">
        <v>0</v>
      </c>
      <c r="AW199">
        <v>0</v>
      </c>
      <c r="AX199">
        <v>0</v>
      </c>
    </row>
    <row r="200" spans="1:50">
      <c r="A200" t="s">
        <v>1449</v>
      </c>
      <c r="B200" s="189">
        <f t="shared" si="3"/>
        <v>0.44646692688929207</v>
      </c>
      <c r="C200" s="163">
        <v>5.5004912000000004E-6</v>
      </c>
      <c r="D200">
        <v>4.3249939000000001E-2</v>
      </c>
      <c r="E200">
        <v>5.3309841999999996</v>
      </c>
      <c r="F200" s="163">
        <v>2.6797090000000001E-8</v>
      </c>
      <c r="G200">
        <v>3.2097826999999998E-3</v>
      </c>
      <c r="H200">
        <v>2.2435152999999999E-2</v>
      </c>
      <c r="I200">
        <v>3.6623026999999999E-3</v>
      </c>
      <c r="J200">
        <v>0.42794916999999999</v>
      </c>
      <c r="K200">
        <v>2.2180886E-2</v>
      </c>
      <c r="L200">
        <v>43.669556999999998</v>
      </c>
      <c r="M200">
        <v>5.4555563E-3</v>
      </c>
      <c r="N200">
        <v>5.6652088000000003</v>
      </c>
      <c r="O200">
        <v>5.5474950999999999</v>
      </c>
      <c r="P200">
        <v>0.11747259</v>
      </c>
      <c r="Q200">
        <v>2.4106136000000001E-4</v>
      </c>
      <c r="R200" s="163">
        <v>2.7327857999999999E-8</v>
      </c>
      <c r="S200">
        <v>2.6930071999999999E-2</v>
      </c>
      <c r="T200">
        <v>3.3197339999999997E-4</v>
      </c>
      <c r="U200">
        <v>6.5104502000000002E-3</v>
      </c>
      <c r="V200">
        <v>4.8369558999999999E-2</v>
      </c>
      <c r="W200">
        <v>1.6496624000000001E-2</v>
      </c>
      <c r="X200" s="163">
        <v>5.5005799999999998E-6</v>
      </c>
      <c r="Y200">
        <v>95.741850999999997</v>
      </c>
      <c r="Z200">
        <v>5.2056798000000004</v>
      </c>
      <c r="AA200" s="163">
        <v>5.0868104000000004E-7</v>
      </c>
      <c r="AB200">
        <v>1.8054443999999999E-2</v>
      </c>
      <c r="AC200">
        <v>273.50423999999998</v>
      </c>
      <c r="AD200" s="163">
        <v>1.7002398000000001E-9</v>
      </c>
      <c r="AE200" s="163">
        <v>1.1374142E-7</v>
      </c>
      <c r="AF200">
        <v>1.9838100000000001</v>
      </c>
      <c r="AG200">
        <v>0</v>
      </c>
      <c r="AH200">
        <v>0</v>
      </c>
      <c r="AI200">
        <v>3.6774201</v>
      </c>
      <c r="AJ200">
        <v>0</v>
      </c>
      <c r="AK200">
        <v>0</v>
      </c>
      <c r="AL200">
        <v>102.63531999999999</v>
      </c>
      <c r="AM200">
        <v>0</v>
      </c>
      <c r="AN200">
        <v>0</v>
      </c>
      <c r="AO200">
        <v>0</v>
      </c>
      <c r="AP200">
        <v>0.12204693</v>
      </c>
      <c r="AQ200" s="163">
        <v>5.7151176E-6</v>
      </c>
      <c r="AR200">
        <v>0.17806132999999999</v>
      </c>
      <c r="AS200" s="163">
        <v>1.7788301E-5</v>
      </c>
      <c r="AT200">
        <v>0</v>
      </c>
      <c r="AU200">
        <v>0</v>
      </c>
      <c r="AV200">
        <v>0</v>
      </c>
      <c r="AW200">
        <v>0</v>
      </c>
      <c r="AX200">
        <v>0</v>
      </c>
    </row>
    <row r="201" spans="1:50">
      <c r="A201" t="s">
        <v>1450</v>
      </c>
      <c r="B201" s="189">
        <f t="shared" si="3"/>
        <v>0.75354249107229998</v>
      </c>
      <c r="C201" s="163">
        <v>2.5380349999999998E-5</v>
      </c>
      <c r="D201">
        <v>5.6522943999999999E-2</v>
      </c>
      <c r="E201">
        <v>5.8013760000000003</v>
      </c>
      <c r="F201" s="163">
        <v>9.1673120999999997E-7</v>
      </c>
      <c r="G201">
        <v>7.8069660999999999E-3</v>
      </c>
      <c r="H201">
        <v>2.9511341E-2</v>
      </c>
      <c r="I201">
        <v>7.3076831999999998E-3</v>
      </c>
      <c r="J201">
        <v>2.6399007999999999</v>
      </c>
      <c r="K201">
        <v>7.7883964E-2</v>
      </c>
      <c r="L201">
        <v>141.62781000000001</v>
      </c>
      <c r="M201">
        <v>1.4660672E-2</v>
      </c>
      <c r="N201">
        <v>6.1506322999999998</v>
      </c>
      <c r="O201">
        <v>6.0816743999999998</v>
      </c>
      <c r="P201">
        <v>6.5589220000000004E-2</v>
      </c>
      <c r="Q201">
        <v>3.3687083999999999E-3</v>
      </c>
      <c r="R201" s="163">
        <v>9.1854909999999999E-7</v>
      </c>
      <c r="S201">
        <v>3.6806341999999999E-2</v>
      </c>
      <c r="T201">
        <v>5.4429244000000002E-4</v>
      </c>
      <c r="U201">
        <v>9.3136838E-3</v>
      </c>
      <c r="V201">
        <v>7.5088192999999998E-2</v>
      </c>
      <c r="W201">
        <v>2.6358936999999999E-2</v>
      </c>
      <c r="X201" s="163">
        <v>2.5381514999999999E-5</v>
      </c>
      <c r="Y201">
        <v>117.61181999999999</v>
      </c>
      <c r="Z201">
        <v>4.9635864999999999</v>
      </c>
      <c r="AA201" s="163">
        <v>4.0348899000000001E-7</v>
      </c>
      <c r="AB201">
        <v>0.26412018999999998</v>
      </c>
      <c r="AC201">
        <v>414.69321000000002</v>
      </c>
      <c r="AD201" s="163">
        <v>6.8443738000000003E-8</v>
      </c>
      <c r="AE201" s="163">
        <v>6.5699098999999995E-7</v>
      </c>
      <c r="AF201">
        <v>14.860704999999999</v>
      </c>
      <c r="AG201">
        <v>0</v>
      </c>
      <c r="AH201">
        <v>0</v>
      </c>
      <c r="AI201">
        <v>6.4188741</v>
      </c>
      <c r="AJ201">
        <v>0</v>
      </c>
      <c r="AK201">
        <v>0</v>
      </c>
      <c r="AL201">
        <v>125.64422999999999</v>
      </c>
      <c r="AM201">
        <v>0</v>
      </c>
      <c r="AN201">
        <v>0</v>
      </c>
      <c r="AO201">
        <v>0</v>
      </c>
      <c r="AP201">
        <v>0.12695242000000001</v>
      </c>
      <c r="AQ201" s="163">
        <v>8.0786406999999995E-5</v>
      </c>
      <c r="AR201">
        <v>0.47956857000000003</v>
      </c>
      <c r="AS201">
        <v>2.6092988999999999E-4</v>
      </c>
      <c r="AT201">
        <v>0</v>
      </c>
      <c r="AU201">
        <v>0</v>
      </c>
      <c r="AV201">
        <v>0</v>
      </c>
      <c r="AW201">
        <v>0</v>
      </c>
      <c r="AX201">
        <v>0</v>
      </c>
    </row>
    <row r="202" spans="1:50">
      <c r="A202" t="s">
        <v>1451</v>
      </c>
      <c r="B202" s="189">
        <f t="shared" si="3"/>
        <v>0.23351043445980116</v>
      </c>
      <c r="C202" s="163">
        <v>9.4691782000000004E-7</v>
      </c>
      <c r="D202">
        <v>2.7214235E-2</v>
      </c>
      <c r="E202">
        <v>2.5852401</v>
      </c>
      <c r="F202" s="163">
        <v>4.6329964999999997E-8</v>
      </c>
      <c r="G202">
        <v>2.8959359E-3</v>
      </c>
      <c r="H202">
        <v>8.0894937000000004E-3</v>
      </c>
      <c r="I202">
        <v>1.0190036999999999E-3</v>
      </c>
      <c r="J202">
        <v>0.53237064999999995</v>
      </c>
      <c r="K202">
        <v>1.3488099999999999E-2</v>
      </c>
      <c r="L202">
        <v>37.727905999999997</v>
      </c>
      <c r="M202">
        <v>8.0156409000000008E-3</v>
      </c>
      <c r="N202">
        <v>2.5470220000000001</v>
      </c>
      <c r="O202">
        <v>2.6180629999999998</v>
      </c>
      <c r="P202">
        <v>-7.2078897000000003E-2</v>
      </c>
      <c r="Q202">
        <v>1.0378835E-3</v>
      </c>
      <c r="R202" s="163">
        <v>4.8696587E-8</v>
      </c>
      <c r="S202">
        <v>1.0046332E-2</v>
      </c>
      <c r="T202" s="163">
        <v>4.4529432999999998E-5</v>
      </c>
      <c r="U202">
        <v>2.2455093999999998E-3</v>
      </c>
      <c r="V202">
        <v>2.4912607E-2</v>
      </c>
      <c r="W202">
        <v>1.1421973E-2</v>
      </c>
      <c r="X202" s="163">
        <v>9.4582821999999999E-7</v>
      </c>
      <c r="Y202">
        <v>64.152365000000003</v>
      </c>
      <c r="Z202">
        <v>8.4913106999999997</v>
      </c>
      <c r="AA202" s="163">
        <v>9.0418204999999999E-8</v>
      </c>
      <c r="AB202">
        <v>4.1297301000000002E-2</v>
      </c>
      <c r="AC202">
        <v>38.389555000000001</v>
      </c>
      <c r="AD202" s="163">
        <v>1.3604584E-9</v>
      </c>
      <c r="AE202" s="163">
        <v>4.1228859000000003E-8</v>
      </c>
      <c r="AF202">
        <v>9.7281276999999999</v>
      </c>
      <c r="AG202">
        <v>0</v>
      </c>
      <c r="AH202">
        <v>0</v>
      </c>
      <c r="AI202">
        <v>2.8684101000000002</v>
      </c>
      <c r="AJ202">
        <v>0</v>
      </c>
      <c r="AK202">
        <v>0</v>
      </c>
      <c r="AL202">
        <v>68.294336999999999</v>
      </c>
      <c r="AM202">
        <v>0</v>
      </c>
      <c r="AN202">
        <v>0</v>
      </c>
      <c r="AO202">
        <v>0</v>
      </c>
      <c r="AP202">
        <v>0.19963649999999999</v>
      </c>
      <c r="AQ202" s="163">
        <v>1.1713956E-5</v>
      </c>
      <c r="AR202">
        <v>0.14368399000000001</v>
      </c>
      <c r="AS202" s="163">
        <v>3.6427234000000002E-5</v>
      </c>
      <c r="AT202">
        <v>0</v>
      </c>
      <c r="AU202">
        <v>0</v>
      </c>
      <c r="AV202">
        <v>0</v>
      </c>
      <c r="AW202">
        <v>0</v>
      </c>
      <c r="AX202">
        <v>0</v>
      </c>
    </row>
    <row r="203" spans="1:50">
      <c r="A203" t="s">
        <v>1452</v>
      </c>
      <c r="B203" s="189">
        <f t="shared" si="3"/>
        <v>0.21845032889152041</v>
      </c>
      <c r="C203" s="163">
        <v>9.0677893999999999E-7</v>
      </c>
      <c r="D203">
        <v>2.6264656000000001E-2</v>
      </c>
      <c r="E203">
        <v>2.4590106999999999</v>
      </c>
      <c r="F203" s="163">
        <v>3.6865163000000002E-8</v>
      </c>
      <c r="G203">
        <v>2.8555903E-3</v>
      </c>
      <c r="H203">
        <v>7.7726337E-3</v>
      </c>
      <c r="I203">
        <v>9.5531681999999998E-4</v>
      </c>
      <c r="J203">
        <v>0.46360221000000001</v>
      </c>
      <c r="K203">
        <v>1.1261828E-2</v>
      </c>
      <c r="L203">
        <v>33.791373999999998</v>
      </c>
      <c r="M203">
        <v>7.5906662000000003E-3</v>
      </c>
      <c r="N203">
        <v>2.4525508</v>
      </c>
      <c r="O203">
        <v>2.4898741000000002</v>
      </c>
      <c r="P203">
        <v>-3.8011821000000001E-2</v>
      </c>
      <c r="Q203">
        <v>6.8853231000000001E-4</v>
      </c>
      <c r="R203" s="163">
        <v>3.9211956E-8</v>
      </c>
      <c r="S203">
        <v>9.6316465000000004E-3</v>
      </c>
      <c r="T203" s="163">
        <v>3.8160008000000002E-5</v>
      </c>
      <c r="U203">
        <v>2.1523063999999998E-3</v>
      </c>
      <c r="V203">
        <v>2.3707193000000001E-2</v>
      </c>
      <c r="W203">
        <v>1.1128046000000001E-2</v>
      </c>
      <c r="X203" s="163">
        <v>9.0677785999999999E-7</v>
      </c>
      <c r="Y203">
        <v>62.195399000000002</v>
      </c>
      <c r="Z203">
        <v>8.0662303000000009</v>
      </c>
      <c r="AA203" s="163">
        <v>8.7466227E-8</v>
      </c>
      <c r="AB203">
        <v>3.2772602999999997E-2</v>
      </c>
      <c r="AC203">
        <v>37.340266</v>
      </c>
      <c r="AD203" s="163">
        <v>1.3034247000000001E-9</v>
      </c>
      <c r="AE203" s="163">
        <v>4.037906E-8</v>
      </c>
      <c r="AF203">
        <v>7.1006613999999999</v>
      </c>
      <c r="AG203">
        <v>0</v>
      </c>
      <c r="AH203">
        <v>0</v>
      </c>
      <c r="AI203">
        <v>2.2623850999999999</v>
      </c>
      <c r="AJ203">
        <v>0</v>
      </c>
      <c r="AK203">
        <v>0</v>
      </c>
      <c r="AL203">
        <v>66.194410000000005</v>
      </c>
      <c r="AM203">
        <v>0</v>
      </c>
      <c r="AN203">
        <v>0</v>
      </c>
      <c r="AO203">
        <v>0</v>
      </c>
      <c r="AP203">
        <v>0.18932455000000001</v>
      </c>
      <c r="AQ203" s="163">
        <v>9.0455180999999992E-6</v>
      </c>
      <c r="AR203">
        <v>0.13324923</v>
      </c>
      <c r="AS203" s="163">
        <v>2.9723990000000001E-5</v>
      </c>
      <c r="AT203">
        <v>0</v>
      </c>
      <c r="AU203">
        <v>0</v>
      </c>
      <c r="AV203">
        <v>0</v>
      </c>
      <c r="AW203">
        <v>0</v>
      </c>
      <c r="AX203">
        <v>0</v>
      </c>
    </row>
    <row r="204" spans="1:50">
      <c r="A204" t="s">
        <v>1453</v>
      </c>
      <c r="B204" s="189">
        <f t="shared" si="3"/>
        <v>0.16664809676826242</v>
      </c>
      <c r="C204" s="163">
        <v>2.2119039E-7</v>
      </c>
      <c r="D204">
        <v>2.3072598E-2</v>
      </c>
      <c r="E204">
        <v>2.0078111999999999</v>
      </c>
      <c r="F204" s="163">
        <v>1.439316E-8</v>
      </c>
      <c r="G204">
        <v>2.7126364000000002E-3</v>
      </c>
      <c r="H204">
        <v>5.5300627000000003E-3</v>
      </c>
      <c r="I204">
        <v>6.9881966000000001E-4</v>
      </c>
      <c r="J204">
        <v>0.28919379000000001</v>
      </c>
      <c r="K204">
        <v>8.3936008999999992E-3</v>
      </c>
      <c r="L204">
        <v>20.50338</v>
      </c>
      <c r="M204">
        <v>6.6827706000000004E-3</v>
      </c>
      <c r="N204">
        <v>2.0459276000000002</v>
      </c>
      <c r="O204">
        <v>2.0311981000000001</v>
      </c>
      <c r="P204">
        <v>1.4693507999999999E-2</v>
      </c>
      <c r="Q204" s="163">
        <v>3.5991541999999997E-5</v>
      </c>
      <c r="R204" s="163">
        <v>1.7846182999999999E-8</v>
      </c>
      <c r="S204">
        <v>6.8959935000000002E-3</v>
      </c>
      <c r="T204" s="163">
        <v>9.1396141999999995E-6</v>
      </c>
      <c r="U204">
        <v>1.7572746000000001E-3</v>
      </c>
      <c r="V204">
        <v>1.8481527000000001E-2</v>
      </c>
      <c r="W204">
        <v>9.8808959000000005E-3</v>
      </c>
      <c r="X204" s="163">
        <v>2.2118981000000001E-7</v>
      </c>
      <c r="Y204">
        <v>56.129432999999999</v>
      </c>
      <c r="Z204">
        <v>7.6643356999999996</v>
      </c>
      <c r="AA204" s="163">
        <v>6.4183045000000004E-8</v>
      </c>
      <c r="AB204">
        <v>5.2796283000000003E-3</v>
      </c>
      <c r="AC204">
        <v>28.535696999999999</v>
      </c>
      <c r="AD204" s="163">
        <v>1.0956394E-9</v>
      </c>
      <c r="AE204" s="163">
        <v>3.5881366999999997E-8</v>
      </c>
      <c r="AF204">
        <v>0.96082546000000002</v>
      </c>
      <c r="AG204">
        <v>0</v>
      </c>
      <c r="AH204">
        <v>0</v>
      </c>
      <c r="AI204">
        <v>0.93123513000000002</v>
      </c>
      <c r="AJ204">
        <v>0</v>
      </c>
      <c r="AK204">
        <v>0</v>
      </c>
      <c r="AL204">
        <v>59.764111999999997</v>
      </c>
      <c r="AM204">
        <v>0</v>
      </c>
      <c r="AN204">
        <v>0</v>
      </c>
      <c r="AO204">
        <v>0</v>
      </c>
      <c r="AP204">
        <v>0.17851026</v>
      </c>
      <c r="AQ204" s="163">
        <v>1.004237E-6</v>
      </c>
      <c r="AR204">
        <v>9.6716910000000003E-2</v>
      </c>
      <c r="AS204" s="163">
        <v>7.9808149999999992E-6</v>
      </c>
      <c r="AT204">
        <v>0</v>
      </c>
      <c r="AU204">
        <v>0</v>
      </c>
      <c r="AV204">
        <v>0</v>
      </c>
      <c r="AW204">
        <v>0</v>
      </c>
      <c r="AX204">
        <v>0</v>
      </c>
    </row>
    <row r="205" spans="1:50">
      <c r="A205" t="s">
        <v>1454</v>
      </c>
      <c r="B205" s="189">
        <f t="shared" si="3"/>
        <v>0.4804979572343</v>
      </c>
      <c r="C205">
        <v>1.7456392000000001E-4</v>
      </c>
      <c r="D205">
        <v>2.5448762E-2</v>
      </c>
      <c r="E205">
        <v>2.8140158999999998</v>
      </c>
      <c r="F205" s="163">
        <v>1.1565157E-7</v>
      </c>
      <c r="G205">
        <v>2.9565118E-3</v>
      </c>
      <c r="H205">
        <v>1.5359818000000001E-2</v>
      </c>
      <c r="I205">
        <v>2.7055815E-3</v>
      </c>
      <c r="J205">
        <v>2.6096300000000001</v>
      </c>
      <c r="K205">
        <v>2.7490135999999998E-2</v>
      </c>
      <c r="L205">
        <v>69.33005</v>
      </c>
      <c r="M205">
        <v>2.2783706000000001E-2</v>
      </c>
      <c r="N205">
        <v>2.8401969999999999</v>
      </c>
      <c r="O205">
        <v>2.8688213999999999</v>
      </c>
      <c r="P205">
        <v>-3.2244894000000003E-2</v>
      </c>
      <c r="Q205">
        <v>3.6204846E-3</v>
      </c>
      <c r="R205" s="163">
        <v>1.2394855E-7</v>
      </c>
      <c r="S205">
        <v>2.1599862000000001E-2</v>
      </c>
      <c r="T205">
        <v>2.3483187000000001E-4</v>
      </c>
      <c r="U205">
        <v>2.9986004999999999E-3</v>
      </c>
      <c r="V205">
        <v>6.6226769000000005E-2</v>
      </c>
      <c r="W205">
        <v>1.2728546E-2</v>
      </c>
      <c r="X205">
        <v>1.7456365999999999E-4</v>
      </c>
      <c r="Y205">
        <v>54.981726999999999</v>
      </c>
      <c r="Z205">
        <v>5.7120348999999999</v>
      </c>
      <c r="AA205" s="163">
        <v>2.0563452000000001E-7</v>
      </c>
      <c r="AB205">
        <v>6.7098756999999995E-2</v>
      </c>
      <c r="AC205">
        <v>73.033715999999998</v>
      </c>
      <c r="AD205" s="163">
        <v>6.9566143000000002E-9</v>
      </c>
      <c r="AE205" s="163">
        <v>1.2039192999999999E-7</v>
      </c>
      <c r="AF205">
        <v>14.437495</v>
      </c>
      <c r="AG205">
        <v>0</v>
      </c>
      <c r="AH205">
        <v>0</v>
      </c>
      <c r="AI205">
        <v>2.8754075000000001</v>
      </c>
      <c r="AJ205">
        <v>0</v>
      </c>
      <c r="AK205">
        <v>0</v>
      </c>
      <c r="AL205">
        <v>58.507430999999997</v>
      </c>
      <c r="AM205">
        <v>0</v>
      </c>
      <c r="AN205">
        <v>0</v>
      </c>
      <c r="AO205">
        <v>0</v>
      </c>
      <c r="AP205">
        <v>0.13648334000000001</v>
      </c>
      <c r="AQ205">
        <v>1.6868512E-4</v>
      </c>
      <c r="AR205">
        <v>0.48307391999999999</v>
      </c>
      <c r="AS205" s="163">
        <v>6.7901729999999996E-5</v>
      </c>
      <c r="AT205">
        <v>0</v>
      </c>
      <c r="AU205">
        <v>0</v>
      </c>
      <c r="AV205">
        <v>0</v>
      </c>
      <c r="AW205">
        <v>0</v>
      </c>
      <c r="AX205">
        <v>0</v>
      </c>
    </row>
    <row r="206" spans="1:50">
      <c r="A206" t="s">
        <v>1455</v>
      </c>
      <c r="B206" s="189">
        <f t="shared" si="3"/>
        <v>1.2946412720785202E-2</v>
      </c>
      <c r="C206" s="163">
        <v>4.0388546999999998E-7</v>
      </c>
      <c r="D206">
        <v>5.3073957999999997E-4</v>
      </c>
      <c r="E206">
        <v>0.11884753000000001</v>
      </c>
      <c r="F206" s="163">
        <v>1.0549677E-8</v>
      </c>
      <c r="G206" s="163">
        <v>7.2693156000000004E-5</v>
      </c>
      <c r="H206">
        <v>4.5458454000000002E-4</v>
      </c>
      <c r="I206">
        <v>3.8188326000000001E-4</v>
      </c>
      <c r="J206">
        <v>2.7956137999999998E-2</v>
      </c>
      <c r="K206">
        <v>-9.4813399999999996E-3</v>
      </c>
      <c r="L206">
        <v>-1.2059799</v>
      </c>
      <c r="M206">
        <v>-9.8825210999999996E-3</v>
      </c>
      <c r="N206">
        <v>-1.5257050000000001</v>
      </c>
      <c r="O206">
        <v>0.12574653999999999</v>
      </c>
      <c r="P206">
        <v>-1.6515177000000001</v>
      </c>
      <c r="Q206" s="163">
        <v>6.6123332000000005E-5</v>
      </c>
      <c r="R206" s="163">
        <v>1.3018437E-8</v>
      </c>
      <c r="S206">
        <v>6.0646576000000004E-4</v>
      </c>
      <c r="T206" s="163">
        <v>8.4709159000000007E-5</v>
      </c>
      <c r="U206">
        <v>2.1380474E-4</v>
      </c>
      <c r="V206">
        <v>2.3739604000000002E-3</v>
      </c>
      <c r="W206">
        <v>6.8998569000000001E-4</v>
      </c>
      <c r="X206" s="163">
        <v>4.0388227000000002E-7</v>
      </c>
      <c r="Y206">
        <v>1.050592</v>
      </c>
      <c r="Z206">
        <v>7.1844575999999993E-2</v>
      </c>
      <c r="AA206" s="163">
        <v>3.9710240999999999E-9</v>
      </c>
      <c r="AB206">
        <v>4.0376902000000001E-3</v>
      </c>
      <c r="AC206">
        <v>0.69456461999999997</v>
      </c>
      <c r="AD206" s="163">
        <v>-6.3392574999999999E-10</v>
      </c>
      <c r="AE206" s="163">
        <v>-9.1881494000000006E-8</v>
      </c>
      <c r="AF206">
        <v>291.31925999999999</v>
      </c>
      <c r="AG206">
        <v>0</v>
      </c>
      <c r="AH206">
        <v>0</v>
      </c>
      <c r="AI206">
        <v>17.651295999999999</v>
      </c>
      <c r="AJ206">
        <v>0</v>
      </c>
      <c r="AK206">
        <v>0</v>
      </c>
      <c r="AL206">
        <v>1.1156926</v>
      </c>
      <c r="AM206">
        <v>0</v>
      </c>
      <c r="AN206">
        <v>0</v>
      </c>
      <c r="AO206">
        <v>0</v>
      </c>
      <c r="AP206">
        <v>2.4935970000000002E-3</v>
      </c>
      <c r="AQ206" s="163">
        <v>1.4191748999999999E-6</v>
      </c>
      <c r="AR206">
        <v>2.2581522999999999E-2</v>
      </c>
      <c r="AS206" s="163">
        <v>5.9438651999999999E-6</v>
      </c>
      <c r="AT206">
        <v>0</v>
      </c>
      <c r="AU206">
        <v>0</v>
      </c>
      <c r="AV206">
        <v>0</v>
      </c>
      <c r="AW206">
        <v>0</v>
      </c>
      <c r="AX206">
        <v>0</v>
      </c>
    </row>
    <row r="207" spans="1:50">
      <c r="A207" t="s">
        <v>1456</v>
      </c>
      <c r="B207" s="189">
        <f t="shared" si="3"/>
        <v>7.9257993808896394</v>
      </c>
      <c r="C207" s="163">
        <v>3.2707009000000002E-5</v>
      </c>
      <c r="D207">
        <v>3.5105881999999998E-2</v>
      </c>
      <c r="E207">
        <v>46.041989999999998</v>
      </c>
      <c r="F207" s="163">
        <v>5.3043494000000005E-7</v>
      </c>
      <c r="G207">
        <v>1.2842396000000001E-2</v>
      </c>
      <c r="H207">
        <v>0.63715966000000002</v>
      </c>
      <c r="I207">
        <v>0.24262458000000001</v>
      </c>
      <c r="J207">
        <v>7.8601241000000002</v>
      </c>
      <c r="K207">
        <v>2.7678536999999999</v>
      </c>
      <c r="L207">
        <v>178.19614999999999</v>
      </c>
      <c r="M207">
        <v>0.86417911000000003</v>
      </c>
      <c r="N207">
        <v>44.046799</v>
      </c>
      <c r="O207">
        <v>15.349907999999999</v>
      </c>
      <c r="P207">
        <v>22.547689999999999</v>
      </c>
      <c r="Q207">
        <v>6.1492006999999997</v>
      </c>
      <c r="R207" s="163">
        <v>6.3120488000000001E-7</v>
      </c>
      <c r="S207">
        <v>1.1783387000000001</v>
      </c>
      <c r="T207">
        <v>1.0714036E-2</v>
      </c>
      <c r="U207">
        <v>0.19382186000000001</v>
      </c>
      <c r="V207">
        <v>5.1753821999999996</v>
      </c>
      <c r="W207">
        <v>5.3161951999999998E-2</v>
      </c>
      <c r="X207" s="163">
        <v>3.0841566E-5</v>
      </c>
      <c r="Y207">
        <v>66.271090000000001</v>
      </c>
      <c r="Z207">
        <v>32.294204000000001</v>
      </c>
      <c r="AA207" s="163">
        <v>8.2471441999999996E-6</v>
      </c>
      <c r="AB207">
        <v>0.21341360000000001</v>
      </c>
      <c r="AC207">
        <v>483.84134</v>
      </c>
      <c r="AD207" s="163">
        <v>9.5525275999999995E-9</v>
      </c>
      <c r="AE207" s="163">
        <v>2.3646286000000001E-7</v>
      </c>
      <c r="AF207">
        <v>5539.8248000000003</v>
      </c>
      <c r="AG207">
        <v>0</v>
      </c>
      <c r="AH207">
        <v>0</v>
      </c>
      <c r="AI207">
        <v>166.68908999999999</v>
      </c>
      <c r="AJ207">
        <v>0</v>
      </c>
      <c r="AK207">
        <v>0</v>
      </c>
      <c r="AL207">
        <v>92.418036999999998</v>
      </c>
      <c r="AM207">
        <v>0</v>
      </c>
      <c r="AN207">
        <v>0</v>
      </c>
      <c r="AO207">
        <v>0</v>
      </c>
      <c r="AP207">
        <v>1.017128</v>
      </c>
      <c r="AQ207" s="163">
        <v>9.7913029999999998E-5</v>
      </c>
      <c r="AR207">
        <v>2.7959546</v>
      </c>
      <c r="AS207">
        <v>2.6802382000000002E-4</v>
      </c>
      <c r="AT207">
        <v>0</v>
      </c>
      <c r="AU207">
        <v>0</v>
      </c>
      <c r="AV207">
        <v>0</v>
      </c>
      <c r="AW207">
        <v>0</v>
      </c>
      <c r="AX207">
        <v>0</v>
      </c>
    </row>
    <row r="208" spans="1:50">
      <c r="A208" t="s">
        <v>1457</v>
      </c>
      <c r="B208" s="189">
        <f t="shared" si="3"/>
        <v>1.4950661619189203E-3</v>
      </c>
      <c r="C208" s="163">
        <v>4.3540537000000001E-8</v>
      </c>
      <c r="D208" s="163">
        <v>8.3608906000000001E-5</v>
      </c>
      <c r="E208">
        <v>1.1732164999999999E-2</v>
      </c>
      <c r="F208" s="163">
        <v>1.6924831000000001E-9</v>
      </c>
      <c r="G208" s="163">
        <v>8.6225229000000005E-6</v>
      </c>
      <c r="H208" s="163">
        <v>7.2149051999999999E-5</v>
      </c>
      <c r="I208" s="163">
        <v>1.1990805000000001E-5</v>
      </c>
      <c r="J208">
        <v>4.8633371999999998E-3</v>
      </c>
      <c r="K208">
        <v>1.0218860999999999E-4</v>
      </c>
      <c r="L208">
        <v>0.39217220000000003</v>
      </c>
      <c r="M208" s="163">
        <v>2.1350347999999999E-5</v>
      </c>
      <c r="N208">
        <v>1.1940889999999999E-2</v>
      </c>
      <c r="O208">
        <v>1.1915639E-2</v>
      </c>
      <c r="P208" s="163">
        <v>1.7433311000000001E-5</v>
      </c>
      <c r="Q208" s="163">
        <v>7.8175324999999998E-6</v>
      </c>
      <c r="R208" s="163">
        <v>2.083959E-9</v>
      </c>
      <c r="S208" s="163">
        <v>9.3415166999999996E-5</v>
      </c>
      <c r="T208" s="163">
        <v>4.6109197000000001E-7</v>
      </c>
      <c r="U208" s="163">
        <v>2.6811702000000002E-5</v>
      </c>
      <c r="V208">
        <v>3.0614853000000001E-4</v>
      </c>
      <c r="W208" s="163">
        <v>8.5135598999999996E-5</v>
      </c>
      <c r="X208" s="163">
        <v>4.3541511E-8</v>
      </c>
      <c r="Y208">
        <v>0.16917175000000001</v>
      </c>
      <c r="Z208">
        <v>5.9091481000000001E-2</v>
      </c>
      <c r="AA208" s="163">
        <v>1.173222E-9</v>
      </c>
      <c r="AB208">
        <v>7.2249079999999995E-4</v>
      </c>
      <c r="AC208">
        <v>0.16784776000000001</v>
      </c>
      <c r="AD208" s="163">
        <v>8.5089346000000004E-12</v>
      </c>
      <c r="AE208" s="163">
        <v>1.9271466999999999E-10</v>
      </c>
      <c r="AF208">
        <v>0.14234010999999999</v>
      </c>
      <c r="AG208">
        <v>0</v>
      </c>
      <c r="AH208">
        <v>0</v>
      </c>
      <c r="AI208">
        <v>5.6578517999999996E-3</v>
      </c>
      <c r="AJ208">
        <v>0</v>
      </c>
      <c r="AK208">
        <v>0</v>
      </c>
      <c r="AL208">
        <v>0.17960533000000001</v>
      </c>
      <c r="AM208">
        <v>0</v>
      </c>
      <c r="AN208">
        <v>0</v>
      </c>
      <c r="AO208">
        <v>0</v>
      </c>
      <c r="AP208">
        <v>1.4373534000000001E-3</v>
      </c>
      <c r="AQ208" s="163">
        <v>6.0905645000000002E-7</v>
      </c>
      <c r="AR208">
        <v>5.4750800999999998E-3</v>
      </c>
      <c r="AS208" s="163">
        <v>1.0011231E-6</v>
      </c>
      <c r="AT208">
        <v>0</v>
      </c>
      <c r="AU208">
        <v>0</v>
      </c>
      <c r="AV208">
        <v>0</v>
      </c>
      <c r="AW208">
        <v>0</v>
      </c>
      <c r="AX208">
        <v>0</v>
      </c>
    </row>
    <row r="209" spans="1:50">
      <c r="A209" t="s">
        <v>1458</v>
      </c>
      <c r="B209" s="189">
        <f t="shared" si="3"/>
        <v>1.5177902136130003E-2</v>
      </c>
      <c r="C209" s="163">
        <v>1.3138186000000001E-5</v>
      </c>
      <c r="D209">
        <v>5.1933980999999997E-4</v>
      </c>
      <c r="E209">
        <v>0.23570371000000001</v>
      </c>
      <c r="F209" s="163">
        <v>3.1066590000000002E-9</v>
      </c>
      <c r="G209" s="163">
        <v>3.8067017E-5</v>
      </c>
      <c r="H209">
        <v>3.3843665000000002E-4</v>
      </c>
      <c r="I209" s="163">
        <v>7.9787912999999998E-5</v>
      </c>
      <c r="J209">
        <v>1.0544642E-2</v>
      </c>
      <c r="K209">
        <v>2.7291085999999999E-4</v>
      </c>
      <c r="L209">
        <v>1.8646318</v>
      </c>
      <c r="M209">
        <v>2.6311367000000002E-4</v>
      </c>
      <c r="N209">
        <v>9.2719191E-4</v>
      </c>
      <c r="O209">
        <v>9.2696019999999996E-4</v>
      </c>
      <c r="P209" s="163">
        <v>1.5297907E-7</v>
      </c>
      <c r="Q209" s="163">
        <v>7.8732850999999996E-8</v>
      </c>
      <c r="R209" s="163">
        <v>2.0941643000000001E-10</v>
      </c>
      <c r="S209" s="163">
        <v>9.7161428999999994E-6</v>
      </c>
      <c r="T209" s="163">
        <v>7.0800045000000001E-9</v>
      </c>
      <c r="U209" s="163">
        <v>4.2115418000000003E-6</v>
      </c>
      <c r="V209" s="163">
        <v>4.6283906000000002E-5</v>
      </c>
      <c r="W209" s="163">
        <v>1.2715183E-5</v>
      </c>
      <c r="X209" s="163">
        <v>3.0934301000000001E-10</v>
      </c>
      <c r="Y209">
        <v>1.3405731000000001E-2</v>
      </c>
      <c r="Z209">
        <v>1.2957270999999999E-2</v>
      </c>
      <c r="AA209" s="163">
        <v>2.5421518000000001E-10</v>
      </c>
      <c r="AB209" s="163">
        <v>5.7777624E-5</v>
      </c>
      <c r="AC209">
        <v>7.5784058000000001E-3</v>
      </c>
      <c r="AD209" s="163">
        <v>2.6073371999999998E-13</v>
      </c>
      <c r="AE209" s="163">
        <v>6.6030772000000002E-12</v>
      </c>
      <c r="AF209">
        <v>1.6979272E-3</v>
      </c>
      <c r="AG209">
        <v>0</v>
      </c>
      <c r="AH209">
        <v>0</v>
      </c>
      <c r="AI209">
        <v>4.9085495E-2</v>
      </c>
      <c r="AJ209">
        <v>0</v>
      </c>
      <c r="AK209">
        <v>0</v>
      </c>
      <c r="AL209">
        <v>0.91642783000000005</v>
      </c>
      <c r="AM209">
        <v>0</v>
      </c>
      <c r="AN209">
        <v>0</v>
      </c>
      <c r="AO209">
        <v>0</v>
      </c>
      <c r="AP209">
        <v>6.5642271000000002E-4</v>
      </c>
      <c r="AQ209" s="163">
        <v>5.4995954000000001E-6</v>
      </c>
      <c r="AR209">
        <v>3.7818629999999999E-3</v>
      </c>
      <c r="AS209" s="163">
        <v>9.3119081999999995E-8</v>
      </c>
      <c r="AT209">
        <v>0</v>
      </c>
      <c r="AU209">
        <v>0</v>
      </c>
      <c r="AV209">
        <v>0</v>
      </c>
      <c r="AW209">
        <v>0</v>
      </c>
      <c r="AX209">
        <v>0</v>
      </c>
    </row>
    <row r="210" spans="1:50">
      <c r="A210" t="s">
        <v>1459</v>
      </c>
      <c r="B210" s="189">
        <f t="shared" si="3"/>
        <v>0.31450216041662404</v>
      </c>
      <c r="C210" s="163">
        <v>6.8939538999999996E-6</v>
      </c>
      <c r="D210">
        <v>2.5941997000000001E-2</v>
      </c>
      <c r="E210">
        <v>3.0530339999999998</v>
      </c>
      <c r="F210" s="163">
        <v>1.9709051999999999E-6</v>
      </c>
      <c r="G210">
        <v>1.8661808000000001E-3</v>
      </c>
      <c r="H210">
        <v>1.3344158E-2</v>
      </c>
      <c r="I210">
        <v>1.6437428E-3</v>
      </c>
      <c r="J210">
        <v>0.82943137</v>
      </c>
      <c r="K210">
        <v>3.4899687999999998E-2</v>
      </c>
      <c r="L210">
        <v>97.324389999999994</v>
      </c>
      <c r="M210">
        <v>5.1429828000000002E-3</v>
      </c>
      <c r="N210">
        <v>3.1940767000000001</v>
      </c>
      <c r="O210">
        <v>3.1009858000000001</v>
      </c>
      <c r="P210">
        <v>9.0852537999999997E-2</v>
      </c>
      <c r="Q210">
        <v>2.2383171000000001E-3</v>
      </c>
      <c r="R210" s="163">
        <v>1.499506E-6</v>
      </c>
      <c r="S210">
        <v>1.6409647999999999E-2</v>
      </c>
      <c r="T210">
        <v>1.6049966999999999E-4</v>
      </c>
      <c r="U210">
        <v>2.6504073000000001E-3</v>
      </c>
      <c r="V210">
        <v>3.4031357999999998E-2</v>
      </c>
      <c r="W210">
        <v>9.5537629999999998E-3</v>
      </c>
      <c r="X210" s="163">
        <v>6.8942067000000002E-6</v>
      </c>
      <c r="Y210">
        <v>52.266492</v>
      </c>
      <c r="Z210">
        <v>4.6151850000000003</v>
      </c>
      <c r="AA210" s="163">
        <v>1.3259281E-7</v>
      </c>
      <c r="AB210">
        <v>0.12445595</v>
      </c>
      <c r="AC210">
        <v>54.939084000000001</v>
      </c>
      <c r="AD210" s="163">
        <v>2.4846239000000001E-9</v>
      </c>
      <c r="AE210" s="163">
        <v>3.9510507999999998E-8</v>
      </c>
      <c r="AF210">
        <v>14.534326</v>
      </c>
      <c r="AG210">
        <v>0</v>
      </c>
      <c r="AH210">
        <v>0</v>
      </c>
      <c r="AI210">
        <v>5.0201665000000002</v>
      </c>
      <c r="AJ210">
        <v>0</v>
      </c>
      <c r="AK210">
        <v>0</v>
      </c>
      <c r="AL210">
        <v>56.258546000000003</v>
      </c>
      <c r="AM210">
        <v>0</v>
      </c>
      <c r="AN210">
        <v>0</v>
      </c>
      <c r="AO210">
        <v>0</v>
      </c>
      <c r="AP210">
        <v>0.12394928</v>
      </c>
      <c r="AQ210" s="163">
        <v>4.1713915000000002E-5</v>
      </c>
      <c r="AR210">
        <v>0.21754556</v>
      </c>
      <c r="AS210">
        <v>1.0853667E-4</v>
      </c>
      <c r="AT210">
        <v>0</v>
      </c>
      <c r="AU210">
        <v>0</v>
      </c>
      <c r="AV210">
        <v>0</v>
      </c>
      <c r="AW210">
        <v>0</v>
      </c>
      <c r="AX210">
        <v>0</v>
      </c>
    </row>
    <row r="211" spans="1:50">
      <c r="A211" t="s">
        <v>1460</v>
      </c>
      <c r="B211" s="189">
        <f t="shared" si="3"/>
        <v>0.20941268194408</v>
      </c>
      <c r="C211" s="163">
        <v>1.1188968E-5</v>
      </c>
      <c r="D211">
        <v>3.0415073000000001E-2</v>
      </c>
      <c r="E211">
        <v>1.272384</v>
      </c>
      <c r="F211" s="163">
        <v>6.5712263999999999E-7</v>
      </c>
      <c r="G211">
        <v>1.1083445000000001E-2</v>
      </c>
      <c r="H211">
        <v>8.3334350999999997E-3</v>
      </c>
      <c r="I211">
        <v>1.2201048999999999E-3</v>
      </c>
      <c r="J211">
        <v>0.74146984000000005</v>
      </c>
      <c r="K211">
        <v>1.9508685000000001E-2</v>
      </c>
      <c r="L211">
        <v>69.569518000000002</v>
      </c>
      <c r="M211">
        <v>2.4915649999999998E-3</v>
      </c>
      <c r="N211">
        <v>1.3012087000000001</v>
      </c>
      <c r="O211">
        <v>1.2987379999999999</v>
      </c>
      <c r="P211">
        <v>1.5395273000000001E-3</v>
      </c>
      <c r="Q211">
        <v>9.3121032000000005E-4</v>
      </c>
      <c r="R211" s="163">
        <v>8.1102449999999998E-7</v>
      </c>
      <c r="S211">
        <v>9.9558991999999999E-3</v>
      </c>
      <c r="T211" s="163">
        <v>8.6458021999999998E-5</v>
      </c>
      <c r="U211">
        <v>1.2332606999999999E-3</v>
      </c>
      <c r="V211">
        <v>1.5882389E-2</v>
      </c>
      <c r="W211">
        <v>2.6471676E-2</v>
      </c>
      <c r="X211" s="163">
        <v>1.1189074999999999E-5</v>
      </c>
      <c r="Y211">
        <v>64.969048999999998</v>
      </c>
      <c r="Z211">
        <v>0.56951726000000003</v>
      </c>
      <c r="AA211" s="163">
        <v>6.2853840999999994E-8</v>
      </c>
      <c r="AB211">
        <v>0.25512581000000001</v>
      </c>
      <c r="AC211">
        <v>34.836373000000002</v>
      </c>
      <c r="AD211" s="163">
        <v>7.2827648999999997E-10</v>
      </c>
      <c r="AE211" s="163">
        <v>2.0470701999999999E-8</v>
      </c>
      <c r="AF211">
        <v>9.1833004999999996</v>
      </c>
      <c r="AG211">
        <v>0</v>
      </c>
      <c r="AH211">
        <v>0</v>
      </c>
      <c r="AI211">
        <v>1.295634</v>
      </c>
      <c r="AJ211">
        <v>0</v>
      </c>
      <c r="AK211">
        <v>0</v>
      </c>
      <c r="AL211">
        <v>69.114323999999996</v>
      </c>
      <c r="AM211">
        <v>0</v>
      </c>
      <c r="AN211">
        <v>0</v>
      </c>
      <c r="AO211">
        <v>0</v>
      </c>
      <c r="AP211">
        <v>1.6243919999999998E-2</v>
      </c>
      <c r="AQ211" s="163">
        <v>2.8283293000000002E-5</v>
      </c>
      <c r="AR211">
        <v>0.11534508</v>
      </c>
      <c r="AS211">
        <v>3.7762309000000002E-4</v>
      </c>
      <c r="AT211">
        <v>0</v>
      </c>
      <c r="AU211">
        <v>0</v>
      </c>
      <c r="AV211">
        <v>0</v>
      </c>
      <c r="AW211">
        <v>0</v>
      </c>
      <c r="AX211">
        <v>0</v>
      </c>
    </row>
    <row r="212" spans="1:50">
      <c r="A212" t="s">
        <v>1461</v>
      </c>
      <c r="B212" s="189">
        <f t="shared" si="3"/>
        <v>0.34252905057472005</v>
      </c>
      <c r="C212" s="163">
        <v>3.1261145000000001E-6</v>
      </c>
      <c r="D212">
        <v>1.9230396E-2</v>
      </c>
      <c r="E212">
        <v>2.7296681999999999</v>
      </c>
      <c r="F212" s="163">
        <v>1.8986267999999999E-7</v>
      </c>
      <c r="G212">
        <v>3.5802397000000001E-3</v>
      </c>
      <c r="H212">
        <v>1.0995546E-2</v>
      </c>
      <c r="I212">
        <v>1.3650673999999999E-3</v>
      </c>
      <c r="J212">
        <v>1.4690510999999999</v>
      </c>
      <c r="K212">
        <v>3.0182456999999999E-2</v>
      </c>
      <c r="L212">
        <v>61.429181999999997</v>
      </c>
      <c r="M212">
        <v>4.5220041000000001E-3</v>
      </c>
      <c r="N212">
        <v>2.8364595000000001</v>
      </c>
      <c r="O212">
        <v>2.8468241000000001</v>
      </c>
      <c r="P212">
        <v>-1.2645536000000001E-2</v>
      </c>
      <c r="Q212">
        <v>2.2810027000000001E-3</v>
      </c>
      <c r="R212" s="163">
        <v>1.9081792000000001E-7</v>
      </c>
      <c r="S212">
        <v>1.3431548E-2</v>
      </c>
      <c r="T212">
        <v>1.3162969E-4</v>
      </c>
      <c r="U212">
        <v>2.4033707E-3</v>
      </c>
      <c r="V212">
        <v>2.8488241000000001E-2</v>
      </c>
      <c r="W212">
        <v>1.2814101E-2</v>
      </c>
      <c r="X212" s="163">
        <v>3.1258435E-6</v>
      </c>
      <c r="Y212">
        <v>31.620882999999999</v>
      </c>
      <c r="Z212">
        <v>0.93309346000000004</v>
      </c>
      <c r="AA212" s="163">
        <v>1.961168E-7</v>
      </c>
      <c r="AB212">
        <v>6.1506337000000001E-2</v>
      </c>
      <c r="AC212">
        <v>71.150092999999998</v>
      </c>
      <c r="AD212" s="163">
        <v>1.0914927E-8</v>
      </c>
      <c r="AE212" s="163">
        <v>8.4713615000000006E-8</v>
      </c>
      <c r="AF212">
        <v>7.3409278999999996</v>
      </c>
      <c r="AG212">
        <v>0</v>
      </c>
      <c r="AH212">
        <v>0</v>
      </c>
      <c r="AI212">
        <v>1.3956476</v>
      </c>
      <c r="AJ212">
        <v>0</v>
      </c>
      <c r="AK212">
        <v>0</v>
      </c>
      <c r="AL212">
        <v>33.644157999999997</v>
      </c>
      <c r="AM212">
        <v>0</v>
      </c>
      <c r="AN212">
        <v>0</v>
      </c>
      <c r="AO212">
        <v>0</v>
      </c>
      <c r="AP212">
        <v>2.3958976999999999E-2</v>
      </c>
      <c r="AQ212">
        <v>1.9169284000000001E-4</v>
      </c>
      <c r="AR212">
        <v>0.40417588999999998</v>
      </c>
      <c r="AS212" s="163">
        <v>6.4008969000000005E-5</v>
      </c>
      <c r="AT212">
        <v>0</v>
      </c>
      <c r="AU212">
        <v>0</v>
      </c>
      <c r="AV212">
        <v>0</v>
      </c>
      <c r="AW212">
        <v>0</v>
      </c>
      <c r="AX212">
        <v>0</v>
      </c>
    </row>
    <row r="213" spans="1:50">
      <c r="A213" t="s">
        <v>1462</v>
      </c>
      <c r="B213" s="189">
        <f t="shared" si="3"/>
        <v>0</v>
      </c>
      <c r="C213">
        <v>0</v>
      </c>
      <c r="D213">
        <v>0</v>
      </c>
      <c r="E213">
        <v>0</v>
      </c>
      <c r="F213">
        <v>0</v>
      </c>
      <c r="G213">
        <v>0</v>
      </c>
      <c r="H213">
        <v>0</v>
      </c>
      <c r="I213">
        <v>0</v>
      </c>
      <c r="J213">
        <v>0</v>
      </c>
      <c r="K213">
        <v>0</v>
      </c>
      <c r="L213">
        <v>0</v>
      </c>
      <c r="M213">
        <v>0</v>
      </c>
      <c r="N213">
        <v>0</v>
      </c>
      <c r="O213">
        <v>0</v>
      </c>
      <c r="P213">
        <v>0</v>
      </c>
      <c r="Q213">
        <v>0</v>
      </c>
      <c r="R213">
        <v>0</v>
      </c>
      <c r="S213">
        <v>0</v>
      </c>
      <c r="T213">
        <v>0</v>
      </c>
      <c r="U213">
        <v>0</v>
      </c>
      <c r="V213">
        <v>0</v>
      </c>
      <c r="W213">
        <v>0</v>
      </c>
      <c r="X213">
        <v>0</v>
      </c>
      <c r="Y213">
        <v>0</v>
      </c>
      <c r="Z213">
        <v>0</v>
      </c>
      <c r="AA213">
        <v>0</v>
      </c>
      <c r="AB213">
        <v>0</v>
      </c>
      <c r="AC213">
        <v>0</v>
      </c>
      <c r="AD213">
        <v>0</v>
      </c>
      <c r="AE213">
        <v>0</v>
      </c>
      <c r="AF213">
        <v>0</v>
      </c>
      <c r="AG213">
        <v>0</v>
      </c>
      <c r="AH213">
        <v>0</v>
      </c>
      <c r="AI213">
        <v>0</v>
      </c>
      <c r="AJ213">
        <v>0</v>
      </c>
      <c r="AK213">
        <v>0</v>
      </c>
      <c r="AL213">
        <v>0</v>
      </c>
      <c r="AM213">
        <v>0</v>
      </c>
      <c r="AN213">
        <v>0</v>
      </c>
      <c r="AO213">
        <v>0</v>
      </c>
      <c r="AP213">
        <v>0</v>
      </c>
      <c r="AQ213">
        <v>0</v>
      </c>
      <c r="AR213">
        <v>0</v>
      </c>
      <c r="AS213">
        <v>0</v>
      </c>
      <c r="AT213">
        <v>0</v>
      </c>
      <c r="AU213">
        <v>0</v>
      </c>
      <c r="AV213">
        <v>0</v>
      </c>
      <c r="AW213">
        <v>0</v>
      </c>
      <c r="AX213">
        <v>0</v>
      </c>
    </row>
    <row r="214" spans="1:50">
      <c r="A214" t="s">
        <v>1463</v>
      </c>
      <c r="B214" s="189">
        <f t="shared" si="3"/>
        <v>7.0864431964184007</v>
      </c>
      <c r="C214">
        <v>1.2294123999999999E-4</v>
      </c>
      <c r="D214">
        <v>2.9854286000000001E-2</v>
      </c>
      <c r="E214">
        <v>4.5042198000000004</v>
      </c>
      <c r="F214" s="163">
        <v>2.2769800000000001E-7</v>
      </c>
      <c r="G214">
        <v>2.8940488E-3</v>
      </c>
      <c r="H214">
        <v>2.4892062E-2</v>
      </c>
      <c r="I214">
        <v>2.6630933000000002E-3</v>
      </c>
      <c r="J214">
        <v>74.366321999999997</v>
      </c>
      <c r="K214">
        <v>6.8405798000000004E-2</v>
      </c>
      <c r="L214">
        <v>266.44911000000002</v>
      </c>
      <c r="M214">
        <v>9.0646147999999996E-2</v>
      </c>
      <c r="N214">
        <v>4.6388901000000002</v>
      </c>
      <c r="O214">
        <v>4.6137465999999998</v>
      </c>
      <c r="P214">
        <v>2.2242089999999999E-2</v>
      </c>
      <c r="Q214">
        <v>2.9015027000000001E-3</v>
      </c>
      <c r="R214" s="163">
        <v>2.4865558999999999E-7</v>
      </c>
      <c r="S214">
        <v>3.0080742000000001E-2</v>
      </c>
      <c r="T214">
        <v>2.4831358000000002E-4</v>
      </c>
      <c r="U214">
        <v>4.9497342E-3</v>
      </c>
      <c r="V214">
        <v>5.8496683000000001E-2</v>
      </c>
      <c r="W214">
        <v>1.7922488E-2</v>
      </c>
      <c r="X214">
        <v>1.2294142E-4</v>
      </c>
      <c r="Y214">
        <v>50.277586999999997</v>
      </c>
      <c r="Z214">
        <v>0.69281433999999997</v>
      </c>
      <c r="AA214" s="163">
        <v>3.9663099000000002E-7</v>
      </c>
      <c r="AB214">
        <v>0.12191452</v>
      </c>
      <c r="AC214">
        <v>155.1052</v>
      </c>
      <c r="AD214" s="163">
        <v>7.5120417000000004E-8</v>
      </c>
      <c r="AE214" s="163">
        <v>2.0988252999999999E-7</v>
      </c>
      <c r="AF214">
        <v>24.592607999999998</v>
      </c>
      <c r="AG214">
        <v>0</v>
      </c>
      <c r="AH214">
        <v>0</v>
      </c>
      <c r="AI214">
        <v>12.572759</v>
      </c>
      <c r="AJ214">
        <v>0</v>
      </c>
      <c r="AK214">
        <v>0</v>
      </c>
      <c r="AL214">
        <v>53.549143999999998</v>
      </c>
      <c r="AM214">
        <v>0</v>
      </c>
      <c r="AN214">
        <v>0</v>
      </c>
      <c r="AO214">
        <v>0</v>
      </c>
      <c r="AP214">
        <v>2.1219176999999999E-2</v>
      </c>
      <c r="AQ214">
        <v>1.1515261E-4</v>
      </c>
      <c r="AR214">
        <v>5.4449638</v>
      </c>
      <c r="AS214">
        <v>1.1745668E-4</v>
      </c>
      <c r="AT214">
        <v>0</v>
      </c>
      <c r="AU214">
        <v>0</v>
      </c>
      <c r="AV214">
        <v>0</v>
      </c>
      <c r="AW214">
        <v>0</v>
      </c>
      <c r="AX214">
        <v>0</v>
      </c>
    </row>
    <row r="215" spans="1:50">
      <c r="A215" t="s">
        <v>1464</v>
      </c>
      <c r="B215" s="189">
        <f t="shared" si="3"/>
        <v>0.69487164079558006</v>
      </c>
      <c r="C215" s="163">
        <v>2.2031926999999999E-5</v>
      </c>
      <c r="D215">
        <v>1.1338489E-2</v>
      </c>
      <c r="E215">
        <v>1.6441555000000001</v>
      </c>
      <c r="F215" s="163">
        <v>9.7212242000000002E-8</v>
      </c>
      <c r="G215">
        <v>1.9741020000000001E-3</v>
      </c>
      <c r="H215">
        <v>7.6495021000000003E-3</v>
      </c>
      <c r="I215">
        <v>2.0202432000000002E-3</v>
      </c>
      <c r="J215">
        <v>6.1052641000000003</v>
      </c>
      <c r="K215">
        <v>1.9764904E-2</v>
      </c>
      <c r="L215">
        <v>59.545623999999997</v>
      </c>
      <c r="M215">
        <v>3.4893106E-2</v>
      </c>
      <c r="N215">
        <v>1.7077431999999999</v>
      </c>
      <c r="O215">
        <v>1.7113465999999999</v>
      </c>
      <c r="P215">
        <v>-4.4813683E-3</v>
      </c>
      <c r="Q215">
        <v>8.7789186000000003E-4</v>
      </c>
      <c r="R215" s="163">
        <v>9.9656412000000001E-8</v>
      </c>
      <c r="S215">
        <v>9.4329555999999991E-3</v>
      </c>
      <c r="T215">
        <v>4.3518506999999998E-4</v>
      </c>
      <c r="U215">
        <v>1.7703631000000001E-3</v>
      </c>
      <c r="V215">
        <v>2.1316814999999999E-2</v>
      </c>
      <c r="W215">
        <v>8.1605644000000005E-3</v>
      </c>
      <c r="X215" s="163">
        <v>2.2032445999999998E-5</v>
      </c>
      <c r="Y215">
        <v>18.554538999999998</v>
      </c>
      <c r="Z215">
        <v>0.45067131999999999</v>
      </c>
      <c r="AA215" s="163">
        <v>1.5814642999999999E-7</v>
      </c>
      <c r="AB215">
        <v>4.1226685999999998E-2</v>
      </c>
      <c r="AC215">
        <v>68.116955000000004</v>
      </c>
      <c r="AD215" s="163">
        <v>1.5027068000000001E-8</v>
      </c>
      <c r="AE215" s="163">
        <v>1.8035673E-7</v>
      </c>
      <c r="AF215">
        <v>6.1865490999999997</v>
      </c>
      <c r="AG215">
        <v>0</v>
      </c>
      <c r="AH215">
        <v>0</v>
      </c>
      <c r="AI215">
        <v>1.6656451000000001</v>
      </c>
      <c r="AJ215">
        <v>0</v>
      </c>
      <c r="AK215">
        <v>0</v>
      </c>
      <c r="AL215">
        <v>19.678625</v>
      </c>
      <c r="AM215">
        <v>0</v>
      </c>
      <c r="AN215">
        <v>0</v>
      </c>
      <c r="AO215">
        <v>0</v>
      </c>
      <c r="AP215">
        <v>1.2038352E-2</v>
      </c>
      <c r="AQ215">
        <v>1.0303473E-4</v>
      </c>
      <c r="AR215">
        <v>0.64058223999999997</v>
      </c>
      <c r="AS215" s="163">
        <v>4.2776906999999999E-5</v>
      </c>
      <c r="AT215">
        <v>0</v>
      </c>
      <c r="AU215">
        <v>0</v>
      </c>
      <c r="AV215">
        <v>0</v>
      </c>
      <c r="AW215">
        <v>0</v>
      </c>
      <c r="AX215">
        <v>0</v>
      </c>
    </row>
    <row r="216" spans="1:50">
      <c r="A216" t="s">
        <v>1465</v>
      </c>
      <c r="B216" s="189">
        <f t="shared" si="3"/>
        <v>1.1337003875246998</v>
      </c>
      <c r="C216" s="163">
        <v>3.6976759999999999E-5</v>
      </c>
      <c r="D216">
        <v>1.5110465E-2</v>
      </c>
      <c r="E216">
        <v>2.2580935000000002</v>
      </c>
      <c r="F216" s="163">
        <v>1.2318576999999999E-7</v>
      </c>
      <c r="G216">
        <v>3.1709517000000002E-3</v>
      </c>
      <c r="H216">
        <v>1.0411691000000001E-2</v>
      </c>
      <c r="I216">
        <v>3.0927849999999998E-3</v>
      </c>
      <c r="J216">
        <v>10.379372999999999</v>
      </c>
      <c r="K216">
        <v>2.0146529E-2</v>
      </c>
      <c r="L216">
        <v>70.755019000000004</v>
      </c>
      <c r="M216">
        <v>1.2020434999999999E-2</v>
      </c>
      <c r="N216">
        <v>2.3579267000000002</v>
      </c>
      <c r="O216">
        <v>2.3623873999999998</v>
      </c>
      <c r="P216">
        <v>-5.2709113999999998E-3</v>
      </c>
      <c r="Q216">
        <v>8.1027219000000001E-4</v>
      </c>
      <c r="R216" s="163">
        <v>1.1984131999999999E-7</v>
      </c>
      <c r="S216">
        <v>1.2832148999999999E-2</v>
      </c>
      <c r="T216">
        <v>7.1428126000000003E-4</v>
      </c>
      <c r="U216">
        <v>2.3256335999999999E-3</v>
      </c>
      <c r="V216">
        <v>2.8436815000000001E-2</v>
      </c>
      <c r="W216">
        <v>1.1832802E-2</v>
      </c>
      <c r="X216" s="163">
        <v>3.6976781999999999E-5</v>
      </c>
      <c r="Y216">
        <v>23.947192999999999</v>
      </c>
      <c r="Z216">
        <v>0.57466989000000002</v>
      </c>
      <c r="AA216" s="163">
        <v>2.0130528E-7</v>
      </c>
      <c r="AB216">
        <v>4.4929451000000002E-2</v>
      </c>
      <c r="AC216">
        <v>106.9875</v>
      </c>
      <c r="AD216" s="163">
        <v>1.9354129000000001E-8</v>
      </c>
      <c r="AE216" s="163">
        <v>8.0717539000000004E-8</v>
      </c>
      <c r="AF216">
        <v>8.1107607999999995</v>
      </c>
      <c r="AG216">
        <v>0</v>
      </c>
      <c r="AH216">
        <v>0</v>
      </c>
      <c r="AI216">
        <v>2.3828246000000002</v>
      </c>
      <c r="AJ216">
        <v>0</v>
      </c>
      <c r="AK216">
        <v>0</v>
      </c>
      <c r="AL216">
        <v>25.312781999999999</v>
      </c>
      <c r="AM216">
        <v>0</v>
      </c>
      <c r="AN216">
        <v>0</v>
      </c>
      <c r="AO216">
        <v>0</v>
      </c>
      <c r="AP216">
        <v>1.5095211000000001E-2</v>
      </c>
      <c r="AQ216">
        <v>1.7039892999999999E-4</v>
      </c>
      <c r="AR216">
        <v>0.93530917999999996</v>
      </c>
      <c r="AS216" s="163">
        <v>4.8747218999999998E-5</v>
      </c>
      <c r="AT216">
        <v>0</v>
      </c>
      <c r="AU216">
        <v>0</v>
      </c>
      <c r="AV216">
        <v>0</v>
      </c>
      <c r="AW216">
        <v>0</v>
      </c>
      <c r="AX216">
        <v>0</v>
      </c>
    </row>
    <row r="217" spans="1:50">
      <c r="A217" t="s">
        <v>1466</v>
      </c>
      <c r="B217" s="189">
        <f t="shared" si="3"/>
        <v>0.83132361438190006</v>
      </c>
      <c r="C217">
        <v>3.9751480999999998E-4</v>
      </c>
      <c r="D217">
        <v>1.5513374999999999E-2</v>
      </c>
      <c r="E217">
        <v>2.2890571</v>
      </c>
      <c r="F217" s="163">
        <v>1.4294841E-7</v>
      </c>
      <c r="G217">
        <v>2.3635991000000001E-3</v>
      </c>
      <c r="H217">
        <v>2.2008112999999999E-2</v>
      </c>
      <c r="I217">
        <v>4.9432790999999997E-3</v>
      </c>
      <c r="J217">
        <v>6.2578693999999997</v>
      </c>
      <c r="K217">
        <v>5.898511E-2</v>
      </c>
      <c r="L217">
        <v>88.635458999999997</v>
      </c>
      <c r="M217">
        <v>5.3837020999999999E-2</v>
      </c>
      <c r="N217">
        <v>2.3568631999999998</v>
      </c>
      <c r="O217">
        <v>2.3614234000000001</v>
      </c>
      <c r="P217">
        <v>-1.4323771000000001E-2</v>
      </c>
      <c r="Q217">
        <v>9.7636127999999999E-3</v>
      </c>
      <c r="R217" s="163">
        <v>1.4841271E-7</v>
      </c>
      <c r="S217">
        <v>3.3906978999999997E-2</v>
      </c>
      <c r="T217">
        <v>5.3901144000000002E-4</v>
      </c>
      <c r="U217">
        <v>3.1210456E-3</v>
      </c>
      <c r="V217">
        <v>0.11832423</v>
      </c>
      <c r="W217">
        <v>1.0641016E-2</v>
      </c>
      <c r="X217">
        <v>3.9751309999999998E-4</v>
      </c>
      <c r="Y217">
        <v>25.718235</v>
      </c>
      <c r="Z217">
        <v>1.2310715999999999</v>
      </c>
      <c r="AA217" s="163">
        <v>3.3078308E-7</v>
      </c>
      <c r="AB217">
        <v>5.7964034999999997E-2</v>
      </c>
      <c r="AC217">
        <v>114.52131</v>
      </c>
      <c r="AD217" s="163">
        <v>1.6562079999999999E-8</v>
      </c>
      <c r="AE217" s="163">
        <v>2.4117497000000001E-7</v>
      </c>
      <c r="AF217">
        <v>8.1915007000000006</v>
      </c>
      <c r="AG217">
        <v>0</v>
      </c>
      <c r="AH217">
        <v>0</v>
      </c>
      <c r="AI217">
        <v>2.2925353999999998</v>
      </c>
      <c r="AJ217">
        <v>0</v>
      </c>
      <c r="AK217">
        <v>0</v>
      </c>
      <c r="AL217">
        <v>27.360198</v>
      </c>
      <c r="AM217">
        <v>0</v>
      </c>
      <c r="AN217">
        <v>0</v>
      </c>
      <c r="AO217">
        <v>0</v>
      </c>
      <c r="AP217">
        <v>3.1592301000000003E-2</v>
      </c>
      <c r="AQ217">
        <v>2.8294661000000001E-4</v>
      </c>
      <c r="AR217">
        <v>0.76466338</v>
      </c>
      <c r="AS217" s="163">
        <v>5.8602318000000002E-5</v>
      </c>
      <c r="AT217">
        <v>0</v>
      </c>
      <c r="AU217">
        <v>0</v>
      </c>
      <c r="AV217">
        <v>0</v>
      </c>
      <c r="AW217">
        <v>0</v>
      </c>
      <c r="AX217">
        <v>0</v>
      </c>
    </row>
    <row r="218" spans="1:50">
      <c r="A218" t="s">
        <v>1467</v>
      </c>
      <c r="B218" s="189">
        <f t="shared" si="3"/>
        <v>0.19776576038662003</v>
      </c>
      <c r="C218" s="163">
        <v>1.6881695000000001E-6</v>
      </c>
      <c r="D218">
        <v>1.475722E-2</v>
      </c>
      <c r="E218">
        <v>1.9469287</v>
      </c>
      <c r="F218" s="163">
        <v>2.0786305000000001E-7</v>
      </c>
      <c r="G218">
        <v>6.7590236000000001E-4</v>
      </c>
      <c r="H218">
        <v>1.0275438E-2</v>
      </c>
      <c r="I218">
        <v>1.5011854000000001E-3</v>
      </c>
      <c r="J218">
        <v>0.40615818999999997</v>
      </c>
      <c r="K218">
        <v>1.7960928000000001E-2</v>
      </c>
      <c r="L218">
        <v>47.429737000000003</v>
      </c>
      <c r="M218">
        <v>4.1900037999999997E-3</v>
      </c>
      <c r="N218">
        <v>2.0076109999999998</v>
      </c>
      <c r="O218">
        <v>1.9651658000000001</v>
      </c>
      <c r="P218">
        <v>3.9317489999999997E-2</v>
      </c>
      <c r="Q218">
        <v>3.1276554000000002E-3</v>
      </c>
      <c r="R218" s="163">
        <v>1.7820099000000001E-7</v>
      </c>
      <c r="S218">
        <v>1.3300862E-2</v>
      </c>
      <c r="T218">
        <v>1.6655260999999999E-4</v>
      </c>
      <c r="U218">
        <v>1.952737E-3</v>
      </c>
      <c r="V218">
        <v>3.2530822000000001E-2</v>
      </c>
      <c r="W218">
        <v>6.0182467999999999E-3</v>
      </c>
      <c r="X218" s="163">
        <v>1.6881819999999999E-6</v>
      </c>
      <c r="Y218">
        <v>36.776308</v>
      </c>
      <c r="Z218">
        <v>0.46088570000000001</v>
      </c>
      <c r="AA218" s="163">
        <v>1.2739030000000001E-7</v>
      </c>
      <c r="AB218">
        <v>0.25505624999999998</v>
      </c>
      <c r="AC218">
        <v>29.761558000000001</v>
      </c>
      <c r="AD218" s="163">
        <v>1.4275771E-8</v>
      </c>
      <c r="AE218" s="163">
        <v>1.6358686E-8</v>
      </c>
      <c r="AF218">
        <v>8.0425204000000008</v>
      </c>
      <c r="AG218">
        <v>0</v>
      </c>
      <c r="AH218">
        <v>0</v>
      </c>
      <c r="AI218">
        <v>5.448226</v>
      </c>
      <c r="AJ218">
        <v>0</v>
      </c>
      <c r="AK218">
        <v>0</v>
      </c>
      <c r="AL218">
        <v>38.870072999999998</v>
      </c>
      <c r="AM218">
        <v>0</v>
      </c>
      <c r="AN218">
        <v>0</v>
      </c>
      <c r="AO218">
        <v>0</v>
      </c>
      <c r="AP218">
        <v>2.3974115000000001E-2</v>
      </c>
      <c r="AQ218" s="163">
        <v>4.4710350999999997E-5</v>
      </c>
      <c r="AR218">
        <v>0.40149762999999999</v>
      </c>
      <c r="AS218">
        <v>2.1848914E-4</v>
      </c>
      <c r="AT218">
        <v>0</v>
      </c>
      <c r="AU218">
        <v>0</v>
      </c>
      <c r="AV218">
        <v>0</v>
      </c>
      <c r="AW218">
        <v>0</v>
      </c>
      <c r="AX218">
        <v>0</v>
      </c>
    </row>
    <row r="219" spans="1:50">
      <c r="A219" t="s">
        <v>1468</v>
      </c>
      <c r="B219" s="189">
        <f t="shared" si="3"/>
        <v>0.38911704376020001</v>
      </c>
      <c r="C219">
        <v>3.7290674999999998E-4</v>
      </c>
      <c r="D219">
        <v>1.7151982999999999E-2</v>
      </c>
      <c r="E219">
        <v>2.4897111000000001</v>
      </c>
      <c r="F219" s="163">
        <v>1.5081334E-7</v>
      </c>
      <c r="G219">
        <v>3.4962266000000001E-3</v>
      </c>
      <c r="H219">
        <v>2.1966249E-2</v>
      </c>
      <c r="I219">
        <v>3.8446213E-3</v>
      </c>
      <c r="J219">
        <v>1.3883489</v>
      </c>
      <c r="K219">
        <v>1.9690340000000001E-2</v>
      </c>
      <c r="L219">
        <v>61.809054000000003</v>
      </c>
      <c r="M219">
        <v>1.0682074999999999E-2</v>
      </c>
      <c r="N219">
        <v>2.5924585000000002</v>
      </c>
      <c r="O219">
        <v>2.6008190999999998</v>
      </c>
      <c r="P219">
        <v>-9.9127092999999993E-3</v>
      </c>
      <c r="Q219">
        <v>1.552189E-3</v>
      </c>
      <c r="R219" s="163">
        <v>1.5197226E-7</v>
      </c>
      <c r="S219">
        <v>3.3784277000000001E-2</v>
      </c>
      <c r="T219">
        <v>1.9309049E-4</v>
      </c>
      <c r="U219">
        <v>3.0499047999999998E-3</v>
      </c>
      <c r="V219">
        <v>0.11743881</v>
      </c>
      <c r="W219">
        <v>1.2812565999999999E-2</v>
      </c>
      <c r="X219">
        <v>3.7290678000000002E-4</v>
      </c>
      <c r="Y219">
        <v>27.299600000000002</v>
      </c>
      <c r="Z219">
        <v>0.95471441999999995</v>
      </c>
      <c r="AA219" s="163">
        <v>3.3835876000000002E-7</v>
      </c>
      <c r="AB219">
        <v>4.7125167000000003E-2</v>
      </c>
      <c r="AC219">
        <v>100.58259</v>
      </c>
      <c r="AD219" s="163">
        <v>1.0691336999999999E-8</v>
      </c>
      <c r="AE219" s="163">
        <v>1.2316087000000001E-7</v>
      </c>
      <c r="AF219">
        <v>6.6056704000000002</v>
      </c>
      <c r="AG219">
        <v>0</v>
      </c>
      <c r="AH219">
        <v>0</v>
      </c>
      <c r="AI219">
        <v>1.2128882000000001</v>
      </c>
      <c r="AJ219">
        <v>0</v>
      </c>
      <c r="AK219">
        <v>0</v>
      </c>
      <c r="AL219">
        <v>28.954540000000001</v>
      </c>
      <c r="AM219">
        <v>0</v>
      </c>
      <c r="AN219">
        <v>0</v>
      </c>
      <c r="AO219">
        <v>0</v>
      </c>
      <c r="AP219">
        <v>2.433604E-2</v>
      </c>
      <c r="AQ219">
        <v>3.4596619000000001E-4</v>
      </c>
      <c r="AR219">
        <v>0.36695791</v>
      </c>
      <c r="AS219" s="163">
        <v>5.2817627999999997E-5</v>
      </c>
      <c r="AT219">
        <v>0</v>
      </c>
      <c r="AU219">
        <v>0</v>
      </c>
      <c r="AV219">
        <v>0</v>
      </c>
      <c r="AW219">
        <v>0</v>
      </c>
      <c r="AX219">
        <v>0</v>
      </c>
    </row>
    <row r="220" spans="1:50">
      <c r="A220" t="s">
        <v>1469</v>
      </c>
      <c r="B220" s="189">
        <f t="shared" si="3"/>
        <v>0.25008216780887998</v>
      </c>
      <c r="C220" s="163">
        <v>1.1855605E-6</v>
      </c>
      <c r="D220">
        <v>1.2700108E-2</v>
      </c>
      <c r="E220">
        <v>1.8836259</v>
      </c>
      <c r="F220" s="163">
        <v>1.0671734E-7</v>
      </c>
      <c r="G220">
        <v>2.9623738000000002E-3</v>
      </c>
      <c r="H220">
        <v>7.7369146999999999E-3</v>
      </c>
      <c r="I220">
        <v>9.4600743000000003E-4</v>
      </c>
      <c r="J220">
        <v>1.1647774</v>
      </c>
      <c r="K220">
        <v>9.3160115000000005E-3</v>
      </c>
      <c r="L220">
        <v>31.821332999999999</v>
      </c>
      <c r="M220">
        <v>3.1235234000000001E-3</v>
      </c>
      <c r="N220">
        <v>1.971795</v>
      </c>
      <c r="O220">
        <v>1.9811698</v>
      </c>
      <c r="P220">
        <v>-9.8951290000000008E-3</v>
      </c>
      <c r="Q220">
        <v>5.2030947999999997E-4</v>
      </c>
      <c r="R220" s="163">
        <v>1.0411634000000001E-7</v>
      </c>
      <c r="S220">
        <v>9.4613968000000007E-3</v>
      </c>
      <c r="T220" s="163">
        <v>8.7684649000000005E-5</v>
      </c>
      <c r="U220">
        <v>1.7538044E-3</v>
      </c>
      <c r="V220">
        <v>2.0566737000000002E-2</v>
      </c>
      <c r="W220">
        <v>1.0035201000000001E-2</v>
      </c>
      <c r="X220" s="163">
        <v>1.1855666000000001E-6</v>
      </c>
      <c r="Y220">
        <v>19.544516999999999</v>
      </c>
      <c r="Z220">
        <v>0.48519034999999999</v>
      </c>
      <c r="AA220" s="163">
        <v>1.6309826000000001E-7</v>
      </c>
      <c r="AB220">
        <v>2.9608365000000001E-2</v>
      </c>
      <c r="AC220">
        <v>55.616819</v>
      </c>
      <c r="AD220" s="163">
        <v>9.4293782999999994E-9</v>
      </c>
      <c r="AE220" s="163">
        <v>6.4306898999999999E-8</v>
      </c>
      <c r="AF220">
        <v>5.1245734000000001</v>
      </c>
      <c r="AG220">
        <v>0</v>
      </c>
      <c r="AH220">
        <v>0</v>
      </c>
      <c r="AI220">
        <v>0.65159279999999997</v>
      </c>
      <c r="AJ220">
        <v>0</v>
      </c>
      <c r="AK220">
        <v>0</v>
      </c>
      <c r="AL220">
        <v>20.632465</v>
      </c>
      <c r="AM220">
        <v>0</v>
      </c>
      <c r="AN220">
        <v>0</v>
      </c>
      <c r="AO220">
        <v>0</v>
      </c>
      <c r="AP220">
        <v>1.2158003000000001E-2</v>
      </c>
      <c r="AQ220">
        <v>1.6559108000000001E-4</v>
      </c>
      <c r="AR220">
        <v>0.28321188000000003</v>
      </c>
      <c r="AS220" s="163">
        <v>3.6042681000000001E-5</v>
      </c>
      <c r="AT220">
        <v>0</v>
      </c>
      <c r="AU220">
        <v>0</v>
      </c>
      <c r="AV220">
        <v>0</v>
      </c>
      <c r="AW220">
        <v>0</v>
      </c>
      <c r="AX220">
        <v>0</v>
      </c>
    </row>
    <row r="221" spans="1:50">
      <c r="A221" t="s">
        <v>1470</v>
      </c>
      <c r="B221" s="189">
        <f t="shared" si="3"/>
        <v>0.28261995333445999</v>
      </c>
      <c r="C221" s="163">
        <v>2.1673415999999999E-5</v>
      </c>
      <c r="D221">
        <v>1.2858277E-2</v>
      </c>
      <c r="E221">
        <v>1.9068252000000001</v>
      </c>
      <c r="F221" s="163">
        <v>1.0756712999999999E-7</v>
      </c>
      <c r="G221">
        <v>3.1843842999999998E-3</v>
      </c>
      <c r="H221">
        <v>8.1655979E-3</v>
      </c>
      <c r="I221">
        <v>2.8777002E-3</v>
      </c>
      <c r="J221">
        <v>1.2863589</v>
      </c>
      <c r="K221">
        <v>1.3133298999999999E-2</v>
      </c>
      <c r="L221">
        <v>39.221217000000003</v>
      </c>
      <c r="M221">
        <v>3.2631764000000001E-3</v>
      </c>
      <c r="N221">
        <v>2.0001603999999999</v>
      </c>
      <c r="O221">
        <v>2.0092506999999999</v>
      </c>
      <c r="P221">
        <v>-9.6080214999999993E-3</v>
      </c>
      <c r="Q221">
        <v>5.1768365000000002E-4</v>
      </c>
      <c r="R221" s="163">
        <v>1.0102746E-7</v>
      </c>
      <c r="S221">
        <v>1.0150361E-2</v>
      </c>
      <c r="T221">
        <v>6.9291606E-4</v>
      </c>
      <c r="U221">
        <v>1.9369442E-3</v>
      </c>
      <c r="V221">
        <v>2.3827091000000002E-2</v>
      </c>
      <c r="W221">
        <v>1.0886046999999999E-2</v>
      </c>
      <c r="X221" s="163">
        <v>2.1673413E-5</v>
      </c>
      <c r="Y221">
        <v>19.954160000000002</v>
      </c>
      <c r="Z221">
        <v>0.52402367000000005</v>
      </c>
      <c r="AA221" s="163">
        <v>1.7068496999999999E-7</v>
      </c>
      <c r="AB221">
        <v>3.3623894000000001E-2</v>
      </c>
      <c r="AC221">
        <v>94.253348000000003</v>
      </c>
      <c r="AD221" s="163">
        <v>1.2637262E-8</v>
      </c>
      <c r="AE221" s="163">
        <v>7.1352548999999996E-8</v>
      </c>
      <c r="AF221">
        <v>5.5315703000000003</v>
      </c>
      <c r="AG221">
        <v>0</v>
      </c>
      <c r="AH221">
        <v>0</v>
      </c>
      <c r="AI221">
        <v>0.82179597999999998</v>
      </c>
      <c r="AJ221">
        <v>0</v>
      </c>
      <c r="AK221">
        <v>0</v>
      </c>
      <c r="AL221">
        <v>21.035530000000001</v>
      </c>
      <c r="AM221">
        <v>0</v>
      </c>
      <c r="AN221">
        <v>0</v>
      </c>
      <c r="AO221">
        <v>0</v>
      </c>
      <c r="AP221">
        <v>1.3404509E-2</v>
      </c>
      <c r="AQ221">
        <v>1.7701338000000001E-4</v>
      </c>
      <c r="AR221">
        <v>0.23836625</v>
      </c>
      <c r="AS221" s="163">
        <v>3.8627034999999997E-5</v>
      </c>
      <c r="AT221">
        <v>0</v>
      </c>
      <c r="AU221">
        <v>0</v>
      </c>
      <c r="AV221">
        <v>0</v>
      </c>
      <c r="AW221">
        <v>0</v>
      </c>
      <c r="AX221">
        <v>0</v>
      </c>
    </row>
    <row r="222" spans="1:50">
      <c r="A222" t="s">
        <v>1471</v>
      </c>
      <c r="B222" s="189">
        <f t="shared" si="3"/>
        <v>0.39217194505220004</v>
      </c>
      <c r="C222">
        <v>2.7815798E-4</v>
      </c>
      <c r="D222">
        <v>1.7425947000000001E-2</v>
      </c>
      <c r="E222">
        <v>2.5303838999999999</v>
      </c>
      <c r="F222" s="163">
        <v>1.5433118E-7</v>
      </c>
      <c r="G222">
        <v>3.4591977E-3</v>
      </c>
      <c r="H222">
        <v>2.1948740000000001E-2</v>
      </c>
      <c r="I222">
        <v>3.8060304999999999E-3</v>
      </c>
      <c r="J222">
        <v>1.4095494</v>
      </c>
      <c r="K222">
        <v>1.9152008000000002E-2</v>
      </c>
      <c r="L222">
        <v>58.683357999999998</v>
      </c>
      <c r="M222">
        <v>9.0915230000000007E-3</v>
      </c>
      <c r="N222">
        <v>2.6336886000000002</v>
      </c>
      <c r="O222">
        <v>2.6437236</v>
      </c>
      <c r="P222">
        <v>-1.1506929000000001E-2</v>
      </c>
      <c r="Q222">
        <v>1.4719911E-3</v>
      </c>
      <c r="R222" s="163">
        <v>1.5440640000000001E-7</v>
      </c>
      <c r="S222">
        <v>3.3777952999999999E-2</v>
      </c>
      <c r="T222">
        <v>1.7742956000000001E-4</v>
      </c>
      <c r="U222">
        <v>3.0764551000000001E-3</v>
      </c>
      <c r="V222">
        <v>0.11771429999999999</v>
      </c>
      <c r="W222">
        <v>1.2786230000000001E-2</v>
      </c>
      <c r="X222">
        <v>2.7815803000000002E-4</v>
      </c>
      <c r="Y222">
        <v>27.860567</v>
      </c>
      <c r="Z222">
        <v>0.88893222999999999</v>
      </c>
      <c r="AA222" s="163">
        <v>3.3767783999999999E-7</v>
      </c>
      <c r="AB222">
        <v>5.1638773999999998E-2</v>
      </c>
      <c r="AC222">
        <v>94.241515000000007</v>
      </c>
      <c r="AD222" s="163">
        <v>1.0975311999999999E-8</v>
      </c>
      <c r="AE222" s="163">
        <v>1.1206546000000001E-7</v>
      </c>
      <c r="AF222">
        <v>6.9639138999999997</v>
      </c>
      <c r="AG222">
        <v>0</v>
      </c>
      <c r="AH222">
        <v>0</v>
      </c>
      <c r="AI222">
        <v>1.2855042000000001</v>
      </c>
      <c r="AJ222">
        <v>0</v>
      </c>
      <c r="AK222">
        <v>0</v>
      </c>
      <c r="AL222">
        <v>29.526707999999999</v>
      </c>
      <c r="AM222">
        <v>0</v>
      </c>
      <c r="AN222">
        <v>0</v>
      </c>
      <c r="AO222">
        <v>0</v>
      </c>
      <c r="AP222">
        <v>2.2899673999999998E-2</v>
      </c>
      <c r="AQ222">
        <v>3.0927966E-4</v>
      </c>
      <c r="AR222">
        <v>0.38037960999999998</v>
      </c>
      <c r="AS222" s="163">
        <v>5.6631281999999998E-5</v>
      </c>
      <c r="AT222">
        <v>0</v>
      </c>
      <c r="AU222">
        <v>0</v>
      </c>
      <c r="AV222">
        <v>0</v>
      </c>
      <c r="AW222">
        <v>0</v>
      </c>
      <c r="AX222">
        <v>0</v>
      </c>
    </row>
    <row r="223" spans="1:50">
      <c r="A223" t="s">
        <v>1472</v>
      </c>
      <c r="B223" s="189">
        <f t="shared" si="3"/>
        <v>0.16202579549319202</v>
      </c>
      <c r="C223" s="163">
        <v>1.7854131999999999E-6</v>
      </c>
      <c r="D223">
        <v>9.0254966000000002E-3</v>
      </c>
      <c r="E223">
        <v>1.2256928</v>
      </c>
      <c r="F223" s="163">
        <v>8.0624036000000006E-8</v>
      </c>
      <c r="G223">
        <v>1.2628750999999999E-3</v>
      </c>
      <c r="H223">
        <v>5.1446386000000002E-3</v>
      </c>
      <c r="I223">
        <v>6.9161327999999996E-4</v>
      </c>
      <c r="J223">
        <v>0.68305426999999996</v>
      </c>
      <c r="K223">
        <v>2.1288481000000001E-2</v>
      </c>
      <c r="L223">
        <v>47.255426</v>
      </c>
      <c r="M223">
        <v>5.2107769999999998E-2</v>
      </c>
      <c r="N223">
        <v>1.2649473</v>
      </c>
      <c r="O223">
        <v>1.2675833999999999</v>
      </c>
      <c r="P223">
        <v>-3.6197054000000001E-3</v>
      </c>
      <c r="Q223">
        <v>9.8362707000000009E-4</v>
      </c>
      <c r="R223" s="163">
        <v>8.4674408999999996E-8</v>
      </c>
      <c r="S223">
        <v>6.3233928E-3</v>
      </c>
      <c r="T223" s="163">
        <v>7.4484638999999995E-5</v>
      </c>
      <c r="U223">
        <v>1.1660098E-3</v>
      </c>
      <c r="V223">
        <v>1.3997536E-2</v>
      </c>
      <c r="W223">
        <v>5.3147994000000004E-3</v>
      </c>
      <c r="X223" s="163">
        <v>1.7858789E-6</v>
      </c>
      <c r="Y223">
        <v>15.679755</v>
      </c>
      <c r="Z223">
        <v>0.67506275999999998</v>
      </c>
      <c r="AA223" s="163">
        <v>1.2349924999999999E-7</v>
      </c>
      <c r="AB223">
        <v>4.3889539999999998E-2</v>
      </c>
      <c r="AC223">
        <v>28.304848</v>
      </c>
      <c r="AD223" s="163">
        <v>1.0226317E-8</v>
      </c>
      <c r="AE223" s="163">
        <v>2.6363529999999999E-7</v>
      </c>
      <c r="AF223">
        <v>3.7919244999999999</v>
      </c>
      <c r="AG223">
        <v>0</v>
      </c>
      <c r="AH223">
        <v>0</v>
      </c>
      <c r="AI223">
        <v>0.92077505000000004</v>
      </c>
      <c r="AJ223">
        <v>0</v>
      </c>
      <c r="AK223">
        <v>0</v>
      </c>
      <c r="AL223">
        <v>16.720023999999999</v>
      </c>
      <c r="AM223">
        <v>0</v>
      </c>
      <c r="AN223">
        <v>0</v>
      </c>
      <c r="AO223">
        <v>0</v>
      </c>
      <c r="AP223">
        <v>1.7458327999999999E-2</v>
      </c>
      <c r="AQ223" s="163">
        <v>5.7725675E-5</v>
      </c>
      <c r="AR223">
        <v>0.26543125000000001</v>
      </c>
      <c r="AS223" s="163">
        <v>4.0668374999999997E-5</v>
      </c>
      <c r="AT223">
        <v>0</v>
      </c>
      <c r="AU223">
        <v>0</v>
      </c>
      <c r="AV223">
        <v>0</v>
      </c>
      <c r="AW223">
        <v>0</v>
      </c>
      <c r="AX223">
        <v>0</v>
      </c>
    </row>
    <row r="224" spans="1:50">
      <c r="A224" t="s">
        <v>1473</v>
      </c>
      <c r="B224" s="189">
        <f t="shared" si="3"/>
        <v>0.29309320937379196</v>
      </c>
      <c r="C224" s="163">
        <v>5.7013711999999999E-6</v>
      </c>
      <c r="D224">
        <v>1.4831621999999999E-2</v>
      </c>
      <c r="E224">
        <v>2.2753676999999999</v>
      </c>
      <c r="F224" s="163">
        <v>1.2987748000000001E-7</v>
      </c>
      <c r="G224">
        <v>3.3053528E-3</v>
      </c>
      <c r="H224">
        <v>9.0062813999999998E-3</v>
      </c>
      <c r="I224">
        <v>1.1235856000000001E-3</v>
      </c>
      <c r="J224">
        <v>1.3070801999999999</v>
      </c>
      <c r="K224">
        <v>4.7433793000000002E-2</v>
      </c>
      <c r="L224">
        <v>41.253332</v>
      </c>
      <c r="M224">
        <v>1.6888162000000002E-2</v>
      </c>
      <c r="N224">
        <v>2.3647314000000001</v>
      </c>
      <c r="O224">
        <v>2.3757313</v>
      </c>
      <c r="P224">
        <v>-2.0514464999999999E-2</v>
      </c>
      <c r="Q224">
        <v>9.5145569000000003E-3</v>
      </c>
      <c r="R224" s="163">
        <v>1.2513382E-7</v>
      </c>
      <c r="S224">
        <v>1.1002319E-2</v>
      </c>
      <c r="T224">
        <v>1.0819992E-4</v>
      </c>
      <c r="U224">
        <v>1.9975320000000002E-3</v>
      </c>
      <c r="V224">
        <v>2.3243976999999999E-2</v>
      </c>
      <c r="W224">
        <v>1.115056E-2</v>
      </c>
      <c r="X224" s="163">
        <v>5.6988438E-6</v>
      </c>
      <c r="Y224">
        <v>23.242550999999999</v>
      </c>
      <c r="Z224">
        <v>1.2407999000000001</v>
      </c>
      <c r="AA224" s="163">
        <v>1.8238649999999999E-7</v>
      </c>
      <c r="AB224">
        <v>4.1050212000000003E-2</v>
      </c>
      <c r="AC224">
        <v>64.843253000000004</v>
      </c>
      <c r="AD224" s="163">
        <v>1.1309163E-8</v>
      </c>
      <c r="AE224" s="163">
        <v>7.7426398999999999E-8</v>
      </c>
      <c r="AF224">
        <v>6.1815578000000002</v>
      </c>
      <c r="AG224">
        <v>0</v>
      </c>
      <c r="AH224">
        <v>0</v>
      </c>
      <c r="AI224">
        <v>1.0082276999999999</v>
      </c>
      <c r="AJ224">
        <v>0</v>
      </c>
      <c r="AK224">
        <v>0</v>
      </c>
      <c r="AL224">
        <v>24.573249000000001</v>
      </c>
      <c r="AM224">
        <v>0</v>
      </c>
      <c r="AN224">
        <v>0</v>
      </c>
      <c r="AO224">
        <v>0</v>
      </c>
      <c r="AP224">
        <v>3.0510821E-2</v>
      </c>
      <c r="AQ224">
        <v>1.8467747E-4</v>
      </c>
      <c r="AR224">
        <v>0.38149853</v>
      </c>
      <c r="AS224" s="163">
        <v>4.5166598999999999E-5</v>
      </c>
      <c r="AT224">
        <v>0</v>
      </c>
      <c r="AU224">
        <v>0</v>
      </c>
      <c r="AV224">
        <v>0</v>
      </c>
      <c r="AW224">
        <v>0</v>
      </c>
      <c r="AX224">
        <v>0</v>
      </c>
    </row>
    <row r="225" spans="1:50">
      <c r="A225" t="s">
        <v>1474</v>
      </c>
      <c r="B225" s="189">
        <f t="shared" si="3"/>
        <v>0.11606451386709199</v>
      </c>
      <c r="C225" s="163">
        <v>3.8097727E-6</v>
      </c>
      <c r="D225">
        <v>6.1928799E-3</v>
      </c>
      <c r="E225">
        <v>0.85202628999999996</v>
      </c>
      <c r="F225" s="163">
        <v>6.0273982000000002E-8</v>
      </c>
      <c r="G225">
        <v>4.5331343000000002E-4</v>
      </c>
      <c r="H225">
        <v>3.7101362999999998E-3</v>
      </c>
      <c r="I225">
        <v>5.4402737999999999E-4</v>
      </c>
      <c r="J225">
        <v>0.47036372999999998</v>
      </c>
      <c r="K225">
        <v>3.4854087999999998E-2</v>
      </c>
      <c r="L225">
        <v>42.178111000000001</v>
      </c>
      <c r="M225">
        <v>7.0505548000000001E-2</v>
      </c>
      <c r="N225">
        <v>0.86682258999999995</v>
      </c>
      <c r="O225">
        <v>0.86810485000000004</v>
      </c>
      <c r="P225">
        <v>-6.1757838999999997E-3</v>
      </c>
      <c r="Q225">
        <v>4.8935285E-3</v>
      </c>
      <c r="R225" s="163">
        <v>6.4066969999999998E-8</v>
      </c>
      <c r="S225">
        <v>4.5838691000000004E-3</v>
      </c>
      <c r="T225" s="163">
        <v>6.3008361999999994E-5</v>
      </c>
      <c r="U225">
        <v>8.5456262999999998E-4</v>
      </c>
      <c r="V225">
        <v>1.0267969E-2</v>
      </c>
      <c r="W225">
        <v>2.8756631000000001E-3</v>
      </c>
      <c r="X225" s="163">
        <v>3.8091891000000002E-6</v>
      </c>
      <c r="Y225">
        <v>11.46204</v>
      </c>
      <c r="Z225">
        <v>0.61207400000000001</v>
      </c>
      <c r="AA225" s="163">
        <v>9.7029031999999998E-8</v>
      </c>
      <c r="AB225">
        <v>4.1534034999999997E-2</v>
      </c>
      <c r="AC225">
        <v>17.437394999999999</v>
      </c>
      <c r="AD225" s="163">
        <v>9.8869663000000003E-9</v>
      </c>
      <c r="AE225" s="163">
        <v>3.1253912999999999E-7</v>
      </c>
      <c r="AF225">
        <v>3.2837567000000001</v>
      </c>
      <c r="AG225">
        <v>0</v>
      </c>
      <c r="AH225">
        <v>0</v>
      </c>
      <c r="AI225">
        <v>0.9019933</v>
      </c>
      <c r="AJ225">
        <v>0</v>
      </c>
      <c r="AK225">
        <v>0</v>
      </c>
      <c r="AL225">
        <v>12.249067</v>
      </c>
      <c r="AM225">
        <v>0</v>
      </c>
      <c r="AN225">
        <v>0</v>
      </c>
      <c r="AO225">
        <v>0</v>
      </c>
      <c r="AP225">
        <v>1.6101904E-2</v>
      </c>
      <c r="AQ225" s="163">
        <v>1.9708739999999999E-5</v>
      </c>
      <c r="AR225">
        <v>0.23789098</v>
      </c>
      <c r="AS225" s="163">
        <v>3.6290117E-5</v>
      </c>
      <c r="AT225">
        <v>0</v>
      </c>
      <c r="AU225">
        <v>0</v>
      </c>
      <c r="AV225">
        <v>0</v>
      </c>
      <c r="AW225">
        <v>0</v>
      </c>
      <c r="AX225">
        <v>0</v>
      </c>
    </row>
    <row r="226" spans="1:50">
      <c r="A226" t="s">
        <v>1475</v>
      </c>
      <c r="B226" s="189">
        <f t="shared" si="3"/>
        <v>0.275518572149344</v>
      </c>
      <c r="C226" s="163">
        <v>1.2444409E-6</v>
      </c>
      <c r="D226">
        <v>1.4520086E-2</v>
      </c>
      <c r="E226">
        <v>2.1217505000000001</v>
      </c>
      <c r="F226" s="163">
        <v>1.1909416000000001E-7</v>
      </c>
      <c r="G226">
        <v>3.3044327000000002E-3</v>
      </c>
      <c r="H226">
        <v>8.4607155999999999E-3</v>
      </c>
      <c r="I226">
        <v>1.0248194000000001E-3</v>
      </c>
      <c r="J226">
        <v>1.2523161</v>
      </c>
      <c r="K226">
        <v>1.4314683E-2</v>
      </c>
      <c r="L226">
        <v>40.808580999999997</v>
      </c>
      <c r="M226">
        <v>3.5035244000000002E-3</v>
      </c>
      <c r="N226">
        <v>2.2176738</v>
      </c>
      <c r="O226">
        <v>2.2272381000000001</v>
      </c>
      <c r="P226">
        <v>-1.0298318000000001E-2</v>
      </c>
      <c r="Q226">
        <v>7.3403845000000005E-4</v>
      </c>
      <c r="R226" s="163">
        <v>1.1629665E-7</v>
      </c>
      <c r="S226">
        <v>1.0322291000000001E-2</v>
      </c>
      <c r="T226" s="163">
        <v>9.8842688000000002E-5</v>
      </c>
      <c r="U226">
        <v>1.8605E-3</v>
      </c>
      <c r="V226">
        <v>2.1905741999999999E-2</v>
      </c>
      <c r="W226">
        <v>1.0986091E-2</v>
      </c>
      <c r="X226" s="163">
        <v>1.2444496E-6</v>
      </c>
      <c r="Y226">
        <v>22.62771</v>
      </c>
      <c r="Z226">
        <v>0.83446286000000003</v>
      </c>
      <c r="AA226" s="163">
        <v>1.7723537E-7</v>
      </c>
      <c r="AB226">
        <v>3.5936696999999997E-2</v>
      </c>
      <c r="AC226">
        <v>60.574660999999999</v>
      </c>
      <c r="AD226" s="163">
        <v>1.0354588E-8</v>
      </c>
      <c r="AE226" s="163">
        <v>6.9868508000000004E-8</v>
      </c>
      <c r="AF226">
        <v>5.2392884000000004</v>
      </c>
      <c r="AG226">
        <v>0</v>
      </c>
      <c r="AH226">
        <v>0</v>
      </c>
      <c r="AI226">
        <v>0.82481501999999995</v>
      </c>
      <c r="AJ226">
        <v>0</v>
      </c>
      <c r="AK226">
        <v>0</v>
      </c>
      <c r="AL226">
        <v>23.947438999999999</v>
      </c>
      <c r="AM226">
        <v>0</v>
      </c>
      <c r="AN226">
        <v>0</v>
      </c>
      <c r="AO226">
        <v>0</v>
      </c>
      <c r="AP226">
        <v>2.0602835E-2</v>
      </c>
      <c r="AQ226">
        <v>1.7701469E-4</v>
      </c>
      <c r="AR226">
        <v>0.31389259000000003</v>
      </c>
      <c r="AS226" s="163">
        <v>4.0204433000000001E-5</v>
      </c>
      <c r="AT226">
        <v>0</v>
      </c>
      <c r="AU226">
        <v>0</v>
      </c>
      <c r="AV226">
        <v>0</v>
      </c>
      <c r="AW226">
        <v>0</v>
      </c>
      <c r="AX226">
        <v>0</v>
      </c>
    </row>
    <row r="227" spans="1:50">
      <c r="A227" t="s">
        <v>1476</v>
      </c>
      <c r="B227" s="189">
        <f t="shared" si="3"/>
        <v>0</v>
      </c>
      <c r="C227">
        <v>0</v>
      </c>
      <c r="D227">
        <v>0</v>
      </c>
      <c r="E227">
        <v>0</v>
      </c>
      <c r="F227">
        <v>0</v>
      </c>
      <c r="G227">
        <v>0</v>
      </c>
      <c r="H227">
        <v>0</v>
      </c>
      <c r="I227">
        <v>0</v>
      </c>
      <c r="J227">
        <v>0</v>
      </c>
      <c r="K227">
        <v>0</v>
      </c>
      <c r="L227">
        <v>0</v>
      </c>
      <c r="M227">
        <v>0</v>
      </c>
      <c r="N227">
        <v>0</v>
      </c>
      <c r="O227">
        <v>0</v>
      </c>
      <c r="P227">
        <v>0</v>
      </c>
      <c r="Q227">
        <v>0</v>
      </c>
      <c r="R227">
        <v>0</v>
      </c>
      <c r="S227">
        <v>0</v>
      </c>
      <c r="T227">
        <v>0</v>
      </c>
      <c r="U227">
        <v>0</v>
      </c>
      <c r="V227">
        <v>0</v>
      </c>
      <c r="W227">
        <v>0</v>
      </c>
      <c r="X227">
        <v>0</v>
      </c>
      <c r="Y227">
        <v>0</v>
      </c>
      <c r="Z227">
        <v>0</v>
      </c>
      <c r="AA227">
        <v>0</v>
      </c>
      <c r="AB227">
        <v>0</v>
      </c>
      <c r="AC227">
        <v>0</v>
      </c>
      <c r="AD227">
        <v>0</v>
      </c>
      <c r="AE227">
        <v>0</v>
      </c>
      <c r="AF227">
        <v>0</v>
      </c>
      <c r="AG227">
        <v>0</v>
      </c>
      <c r="AH227">
        <v>0</v>
      </c>
      <c r="AI227">
        <v>0</v>
      </c>
      <c r="AJ227">
        <v>0</v>
      </c>
      <c r="AK227">
        <v>0</v>
      </c>
      <c r="AL227">
        <v>0</v>
      </c>
      <c r="AM227">
        <v>0</v>
      </c>
      <c r="AN227">
        <v>0</v>
      </c>
      <c r="AO227">
        <v>0</v>
      </c>
      <c r="AP227">
        <v>0</v>
      </c>
      <c r="AQ227">
        <v>0</v>
      </c>
      <c r="AR227">
        <v>0</v>
      </c>
      <c r="AS227">
        <v>0</v>
      </c>
      <c r="AT227">
        <v>0</v>
      </c>
      <c r="AU227">
        <v>0</v>
      </c>
      <c r="AV227">
        <v>0</v>
      </c>
      <c r="AW227">
        <v>0</v>
      </c>
      <c r="AX227">
        <v>0</v>
      </c>
    </row>
    <row r="228" spans="1:50">
      <c r="A228" t="s">
        <v>1477</v>
      </c>
      <c r="B228" s="189">
        <f t="shared" si="3"/>
        <v>5.0407988274586398E-3</v>
      </c>
      <c r="C228" s="163">
        <v>5.7029378999999999E-8</v>
      </c>
      <c r="D228">
        <v>2.5350752999999998E-4</v>
      </c>
      <c r="E228">
        <v>5.4966428999999997E-2</v>
      </c>
      <c r="F228" s="163">
        <v>4.3020245999999998E-9</v>
      </c>
      <c r="G228" s="163">
        <v>2.2004351000000002E-5</v>
      </c>
      <c r="H228">
        <v>2.0604601E-4</v>
      </c>
      <c r="I228" s="163">
        <v>3.9843620000000001E-5</v>
      </c>
      <c r="J228">
        <v>1.0285615E-2</v>
      </c>
      <c r="K228">
        <v>2.3285242999999999E-4</v>
      </c>
      <c r="L228">
        <v>0.87040530000000005</v>
      </c>
      <c r="M228" s="163">
        <v>8.7686871999999999E-5</v>
      </c>
      <c r="N228">
        <v>2.3679821E-2</v>
      </c>
      <c r="O228">
        <v>2.3605912E-2</v>
      </c>
      <c r="P228" s="163">
        <v>5.4344832000000003E-5</v>
      </c>
      <c r="Q228" s="163">
        <v>1.9564296000000001E-5</v>
      </c>
      <c r="R228" s="163">
        <v>4.3453452000000002E-9</v>
      </c>
      <c r="S228">
        <v>1.9145974E-4</v>
      </c>
      <c r="T228" s="163">
        <v>6.7500398000000003E-7</v>
      </c>
      <c r="U228" s="163">
        <v>6.7378366000000006E-5</v>
      </c>
      <c r="V228">
        <v>7.6042036999999997E-4</v>
      </c>
      <c r="W228">
        <v>2.0313771E-4</v>
      </c>
      <c r="X228" s="163">
        <v>5.2060329E-8</v>
      </c>
      <c r="Y228">
        <v>0.33358022999999998</v>
      </c>
      <c r="Z228">
        <v>5.5535207000000003E-2</v>
      </c>
      <c r="AA228" s="163">
        <v>2.1263510000000001E-9</v>
      </c>
      <c r="AB228">
        <v>1.4029121999999999E-3</v>
      </c>
      <c r="AC228">
        <v>0.27874121000000002</v>
      </c>
      <c r="AD228" s="163">
        <v>1.2453343999999999E-11</v>
      </c>
      <c r="AE228" s="163">
        <v>2.8567767E-10</v>
      </c>
      <c r="AF228">
        <v>0.23375276</v>
      </c>
      <c r="AG228">
        <v>0</v>
      </c>
      <c r="AH228">
        <v>0</v>
      </c>
      <c r="AI228">
        <v>2.0589237E-2</v>
      </c>
      <c r="AJ228">
        <v>0</v>
      </c>
      <c r="AK228">
        <v>0</v>
      </c>
      <c r="AL228">
        <v>0.53930372999999998</v>
      </c>
      <c r="AM228">
        <v>0</v>
      </c>
      <c r="AN228">
        <v>0</v>
      </c>
      <c r="AO228">
        <v>0</v>
      </c>
      <c r="AP228">
        <v>1.3930863999999999E-3</v>
      </c>
      <c r="AQ228" s="163">
        <v>1.5879423E-6</v>
      </c>
      <c r="AR228">
        <v>9.1443558999999997E-3</v>
      </c>
      <c r="AS228" s="163">
        <v>2.0438450999999999E-6</v>
      </c>
      <c r="AT228">
        <v>0</v>
      </c>
      <c r="AU228">
        <v>0</v>
      </c>
      <c r="AV228">
        <v>0</v>
      </c>
      <c r="AW228">
        <v>0</v>
      </c>
      <c r="AX228">
        <v>0</v>
      </c>
    </row>
    <row r="229" spans="1:50">
      <c r="A229" t="s">
        <v>1478</v>
      </c>
      <c r="B229" s="189">
        <f t="shared" si="3"/>
        <v>0</v>
      </c>
      <c r="C229">
        <v>0</v>
      </c>
      <c r="D229">
        <v>0</v>
      </c>
      <c r="E229">
        <v>0</v>
      </c>
      <c r="F229">
        <v>0</v>
      </c>
      <c r="G229">
        <v>0</v>
      </c>
      <c r="H229">
        <v>0</v>
      </c>
      <c r="I229">
        <v>0</v>
      </c>
      <c r="J229">
        <v>0</v>
      </c>
      <c r="K229">
        <v>0</v>
      </c>
      <c r="L229">
        <v>0</v>
      </c>
      <c r="M229">
        <v>0</v>
      </c>
      <c r="N229">
        <v>0</v>
      </c>
      <c r="O229">
        <v>0</v>
      </c>
      <c r="P229">
        <v>0</v>
      </c>
      <c r="Q229">
        <v>0</v>
      </c>
      <c r="R229">
        <v>0</v>
      </c>
      <c r="S229">
        <v>0</v>
      </c>
      <c r="T229">
        <v>0</v>
      </c>
      <c r="U229">
        <v>0</v>
      </c>
      <c r="V229">
        <v>0</v>
      </c>
      <c r="W229">
        <v>0</v>
      </c>
      <c r="X229">
        <v>0</v>
      </c>
      <c r="Y229">
        <v>0</v>
      </c>
      <c r="Z229">
        <v>0</v>
      </c>
      <c r="AA229">
        <v>0</v>
      </c>
      <c r="AB229">
        <v>0</v>
      </c>
      <c r="AC229">
        <v>0</v>
      </c>
      <c r="AD229">
        <v>0</v>
      </c>
      <c r="AE229">
        <v>0</v>
      </c>
      <c r="AF229">
        <v>0</v>
      </c>
      <c r="AG229">
        <v>0</v>
      </c>
      <c r="AH229">
        <v>0</v>
      </c>
      <c r="AI229">
        <v>0</v>
      </c>
      <c r="AJ229">
        <v>0</v>
      </c>
      <c r="AK229">
        <v>0</v>
      </c>
      <c r="AL229">
        <v>0</v>
      </c>
      <c r="AM229">
        <v>0</v>
      </c>
      <c r="AN229">
        <v>0</v>
      </c>
      <c r="AO229">
        <v>0</v>
      </c>
      <c r="AP229">
        <v>0</v>
      </c>
      <c r="AQ229">
        <v>0</v>
      </c>
      <c r="AR229">
        <v>0</v>
      </c>
      <c r="AS229">
        <v>0</v>
      </c>
      <c r="AT229">
        <v>0</v>
      </c>
      <c r="AU229">
        <v>0</v>
      </c>
      <c r="AV229">
        <v>0</v>
      </c>
      <c r="AW229">
        <v>0</v>
      </c>
      <c r="AX229">
        <v>0</v>
      </c>
    </row>
    <row r="230" spans="1:50">
      <c r="A230" t="s">
        <v>1479</v>
      </c>
      <c r="B230" s="189">
        <f t="shared" si="3"/>
        <v>2.161776691672192E-3</v>
      </c>
      <c r="C230" s="163">
        <v>5.4753012000000003E-9</v>
      </c>
      <c r="D230">
        <v>1.1239351E-4</v>
      </c>
      <c r="E230">
        <v>1.6235515999999998E-2</v>
      </c>
      <c r="F230" s="163">
        <v>2.9432746000000001E-9</v>
      </c>
      <c r="G230" s="163">
        <v>1.6450294000000001E-5</v>
      </c>
      <c r="H230">
        <v>1.2317267000000001E-4</v>
      </c>
      <c r="I230" s="163">
        <v>2.7715661E-5</v>
      </c>
      <c r="J230">
        <v>5.8486600999999999E-3</v>
      </c>
      <c r="K230" s="163">
        <v>8.1515636000000001E-5</v>
      </c>
      <c r="L230">
        <v>0.27491026000000002</v>
      </c>
      <c r="M230" s="163">
        <v>9.6772451000000008E-6</v>
      </c>
      <c r="N230">
        <v>1.6411296999999998E-2</v>
      </c>
      <c r="O230">
        <v>1.6407195999999999E-2</v>
      </c>
      <c r="P230" s="163">
        <v>2.7077296000000002E-6</v>
      </c>
      <c r="Q230" s="163">
        <v>1.3935715E-6</v>
      </c>
      <c r="R230" s="163">
        <v>3.7066707999999998E-9</v>
      </c>
      <c r="S230">
        <v>1.7197573E-4</v>
      </c>
      <c r="T230" s="163">
        <v>1.2531608000000001E-7</v>
      </c>
      <c r="U230" s="163">
        <v>7.4544290000000003E-5</v>
      </c>
      <c r="V230">
        <v>8.1922514000000001E-4</v>
      </c>
      <c r="W230">
        <v>2.2505873E-4</v>
      </c>
      <c r="X230" s="163">
        <v>5.4753713000000003E-9</v>
      </c>
      <c r="Y230">
        <v>0.23728142999999999</v>
      </c>
      <c r="Z230">
        <v>1.2791879999999999E-3</v>
      </c>
      <c r="AA230" s="163">
        <v>4.4996086999999999E-9</v>
      </c>
      <c r="AB230">
        <v>1.022664E-3</v>
      </c>
      <c r="AC230">
        <v>0.13413778000000001</v>
      </c>
      <c r="AD230" s="163">
        <v>4.6149868999999997E-12</v>
      </c>
      <c r="AE230" s="163">
        <v>1.1687446999999999E-10</v>
      </c>
      <c r="AF230">
        <v>3.0053310999999999E-2</v>
      </c>
      <c r="AG230">
        <v>0</v>
      </c>
      <c r="AH230">
        <v>0</v>
      </c>
      <c r="AI230">
        <v>1.3746035E-3</v>
      </c>
      <c r="AJ230">
        <v>0</v>
      </c>
      <c r="AK230">
        <v>0</v>
      </c>
      <c r="AL230">
        <v>0.25196769000000002</v>
      </c>
      <c r="AM230">
        <v>0</v>
      </c>
      <c r="AN230">
        <v>0</v>
      </c>
      <c r="AO230">
        <v>0</v>
      </c>
      <c r="AP230" s="163">
        <v>3.2566003999999997E-5</v>
      </c>
      <c r="AQ230" s="163">
        <v>1.0581075E-7</v>
      </c>
      <c r="AR230">
        <v>2.5287870999999998E-4</v>
      </c>
      <c r="AS230" s="163">
        <v>1.6482076999999999E-6</v>
      </c>
      <c r="AT230">
        <v>0</v>
      </c>
      <c r="AU230">
        <v>0</v>
      </c>
      <c r="AV230">
        <v>0</v>
      </c>
      <c r="AW230">
        <v>0</v>
      </c>
      <c r="AX230">
        <v>0</v>
      </c>
    </row>
    <row r="231" spans="1:50">
      <c r="A231" t="s">
        <v>1480</v>
      </c>
      <c r="B231" s="189">
        <f t="shared" si="3"/>
        <v>0.200172361031486</v>
      </c>
      <c r="C231" s="163">
        <v>2.6292596E-6</v>
      </c>
      <c r="D231">
        <v>9.1005578000000007E-3</v>
      </c>
      <c r="E231">
        <v>1.2931729000000001</v>
      </c>
      <c r="F231" s="163">
        <v>7.9731865000000002E-8</v>
      </c>
      <c r="G231">
        <v>1.6652607E-3</v>
      </c>
      <c r="H231">
        <v>9.6918772000000007E-3</v>
      </c>
      <c r="I231">
        <v>9.0687595000000002E-4</v>
      </c>
      <c r="J231">
        <v>0.89269712000000001</v>
      </c>
      <c r="K231">
        <v>1.0490227E-2</v>
      </c>
      <c r="L231">
        <v>30.504249999999999</v>
      </c>
      <c r="M231">
        <v>1.4504631E-3</v>
      </c>
      <c r="N231">
        <v>1.3136517999999999</v>
      </c>
      <c r="O231">
        <v>1.3224047999999999</v>
      </c>
      <c r="P231">
        <v>-9.4191401000000008E-3</v>
      </c>
      <c r="Q231">
        <v>6.6612401999999995E-4</v>
      </c>
      <c r="R231" s="163">
        <v>7.9815393E-8</v>
      </c>
      <c r="S231">
        <v>1.1978020000000001E-2</v>
      </c>
      <c r="T231" s="163">
        <v>8.0488568999999996E-5</v>
      </c>
      <c r="U231">
        <v>1.162019E-3</v>
      </c>
      <c r="V231">
        <v>2.0847419999999998E-2</v>
      </c>
      <c r="W231">
        <v>6.0377746999999999E-3</v>
      </c>
      <c r="X231" s="163">
        <v>2.6294800999999998E-6</v>
      </c>
      <c r="Y231">
        <v>15.30463</v>
      </c>
      <c r="Z231">
        <v>0.3367734</v>
      </c>
      <c r="AA231" s="163">
        <v>6.7659247999999997E-8</v>
      </c>
      <c r="AB231">
        <v>2.5091379E-2</v>
      </c>
      <c r="AC231">
        <v>27.225335000000001</v>
      </c>
      <c r="AD231" s="163">
        <v>4.9152472999999999E-9</v>
      </c>
      <c r="AE231" s="163">
        <v>1.3385378E-8</v>
      </c>
      <c r="AF231">
        <v>6.4111753</v>
      </c>
      <c r="AG231">
        <v>0</v>
      </c>
      <c r="AH231">
        <v>0</v>
      </c>
      <c r="AI231">
        <v>0.77352124</v>
      </c>
      <c r="AJ231">
        <v>0</v>
      </c>
      <c r="AK231">
        <v>0</v>
      </c>
      <c r="AL231">
        <v>16.370667999999998</v>
      </c>
      <c r="AM231">
        <v>0</v>
      </c>
      <c r="AN231">
        <v>0</v>
      </c>
      <c r="AO231">
        <v>0</v>
      </c>
      <c r="AP231">
        <v>8.8905892E-3</v>
      </c>
      <c r="AQ231" s="163">
        <v>1.7617434000000001E-5</v>
      </c>
      <c r="AR231">
        <v>8.3109653000000006E-2</v>
      </c>
      <c r="AS231" s="163">
        <v>2.4510980000000002E-5</v>
      </c>
      <c r="AT231">
        <v>0</v>
      </c>
      <c r="AU231">
        <v>0</v>
      </c>
      <c r="AV231">
        <v>0</v>
      </c>
      <c r="AW231">
        <v>0</v>
      </c>
      <c r="AX231">
        <v>0</v>
      </c>
    </row>
    <row r="232" spans="1:50">
      <c r="A232" t="s">
        <v>1481</v>
      </c>
      <c r="B232" s="189">
        <f t="shared" si="3"/>
        <v>0.47470263268642404</v>
      </c>
      <c r="C232" s="163">
        <v>8.4574414E-6</v>
      </c>
      <c r="D232">
        <v>1.8723739E-2</v>
      </c>
      <c r="E232">
        <v>2.4389314999999998</v>
      </c>
      <c r="F232" s="163">
        <v>2.4046426000000002E-7</v>
      </c>
      <c r="G232">
        <v>2.5091419999999998E-3</v>
      </c>
      <c r="H232">
        <v>2.4923141999999999E-2</v>
      </c>
      <c r="I232">
        <v>1.7847389E-3</v>
      </c>
      <c r="J232">
        <v>2.1339743000000002</v>
      </c>
      <c r="K232">
        <v>0.46994519000000001</v>
      </c>
      <c r="L232">
        <v>226.05034000000001</v>
      </c>
      <c r="M232">
        <v>3.6185587999999999E-3</v>
      </c>
      <c r="N232">
        <v>2.5073582000000001</v>
      </c>
      <c r="O232">
        <v>2.4959174000000002</v>
      </c>
      <c r="P232">
        <v>9.9813808999999996E-3</v>
      </c>
      <c r="Q232">
        <v>1.4593811000000001E-3</v>
      </c>
      <c r="R232" s="163">
        <v>2.4934336999999998E-7</v>
      </c>
      <c r="S232">
        <v>2.8762497000000001E-2</v>
      </c>
      <c r="T232">
        <v>1.4819726E-4</v>
      </c>
      <c r="U232">
        <v>2.5339400000000002E-3</v>
      </c>
      <c r="V232">
        <v>2.9219393999999999E-2</v>
      </c>
      <c r="W232">
        <v>1.0291720000000001E-2</v>
      </c>
      <c r="X232" s="163">
        <v>8.4567240000000005E-6</v>
      </c>
      <c r="Y232">
        <v>37.191946999999999</v>
      </c>
      <c r="Z232">
        <v>1.8702021</v>
      </c>
      <c r="AA232" s="163">
        <v>1.3346351000000001E-7</v>
      </c>
      <c r="AB232">
        <v>0.10643544000000001</v>
      </c>
      <c r="AC232">
        <v>69.528673999999995</v>
      </c>
      <c r="AD232" s="163">
        <v>5.7924205999999999E-9</v>
      </c>
      <c r="AE232" s="163">
        <v>6.7019830000000006E-8</v>
      </c>
      <c r="AF232">
        <v>10.646735</v>
      </c>
      <c r="AG232">
        <v>0</v>
      </c>
      <c r="AH232">
        <v>0</v>
      </c>
      <c r="AI232">
        <v>2.604565</v>
      </c>
      <c r="AJ232">
        <v>0</v>
      </c>
      <c r="AK232">
        <v>0</v>
      </c>
      <c r="AL232">
        <v>39.807980999999998</v>
      </c>
      <c r="AM232">
        <v>0</v>
      </c>
      <c r="AN232">
        <v>0</v>
      </c>
      <c r="AO232">
        <v>0</v>
      </c>
      <c r="AP232">
        <v>4.8203509999999998E-2</v>
      </c>
      <c r="AQ232" s="163">
        <v>3.5535706000000002E-5</v>
      </c>
      <c r="AR232">
        <v>0.97595122000000001</v>
      </c>
      <c r="AS232">
        <v>1.0556926E-4</v>
      </c>
      <c r="AT232">
        <v>0</v>
      </c>
      <c r="AU232">
        <v>0</v>
      </c>
      <c r="AV232">
        <v>0</v>
      </c>
      <c r="AW232">
        <v>0</v>
      </c>
      <c r="AX232">
        <v>0</v>
      </c>
    </row>
    <row r="233" spans="1:50">
      <c r="A233" t="s">
        <v>1482</v>
      </c>
      <c r="B233" s="189">
        <f t="shared" si="3"/>
        <v>1.0744171570008803</v>
      </c>
      <c r="C233" s="163">
        <v>1.4084918000000001E-5</v>
      </c>
      <c r="D233">
        <v>3.5870489999999998E-2</v>
      </c>
      <c r="E233">
        <v>5.3600361000000003</v>
      </c>
      <c r="F233" s="163">
        <v>5.6850280000000003E-7</v>
      </c>
      <c r="G233">
        <v>5.8590481E-3</v>
      </c>
      <c r="H233">
        <v>9.5584111999999999E-2</v>
      </c>
      <c r="I233">
        <v>3.8750004000000001E-3</v>
      </c>
      <c r="J233">
        <v>2.6448195000000001</v>
      </c>
      <c r="K233">
        <v>1.1727882999999999</v>
      </c>
      <c r="L233">
        <v>979.91015000000004</v>
      </c>
      <c r="M233">
        <v>8.6466354999999995E-3</v>
      </c>
      <c r="N233">
        <v>5.5292364999999997</v>
      </c>
      <c r="O233">
        <v>5.4877254999999998</v>
      </c>
      <c r="P233">
        <v>3.8330367999999997E-2</v>
      </c>
      <c r="Q233">
        <v>3.1805990000000001E-3</v>
      </c>
      <c r="R233" s="163">
        <v>6.1163594000000003E-7</v>
      </c>
      <c r="S233">
        <v>0.10798639</v>
      </c>
      <c r="T233">
        <v>3.5423612999999998E-4</v>
      </c>
      <c r="U233">
        <v>6.3645663E-3</v>
      </c>
      <c r="V233">
        <v>6.8067467000000006E-2</v>
      </c>
      <c r="W233">
        <v>2.351901E-2</v>
      </c>
      <c r="X233" s="163">
        <v>1.4079830000000001E-5</v>
      </c>
      <c r="Y233">
        <v>70.659560999999997</v>
      </c>
      <c r="Z233">
        <v>6.8171530000000002</v>
      </c>
      <c r="AA233" s="163">
        <v>4.0244899999999998E-7</v>
      </c>
      <c r="AB233">
        <v>0.26518058999999999</v>
      </c>
      <c r="AC233">
        <v>153.22958</v>
      </c>
      <c r="AD233" s="163">
        <v>1.6812848000000001E-8</v>
      </c>
      <c r="AE233" s="163">
        <v>1.8059980999999999E-7</v>
      </c>
      <c r="AF233">
        <v>37.681668999999999</v>
      </c>
      <c r="AG233">
        <v>0</v>
      </c>
      <c r="AH233">
        <v>0</v>
      </c>
      <c r="AI233">
        <v>7.6492668000000004</v>
      </c>
      <c r="AJ233">
        <v>0</v>
      </c>
      <c r="AK233">
        <v>0</v>
      </c>
      <c r="AL233">
        <v>75.511956999999995</v>
      </c>
      <c r="AM233">
        <v>0</v>
      </c>
      <c r="AN233">
        <v>0</v>
      </c>
      <c r="AO233">
        <v>0</v>
      </c>
      <c r="AP233">
        <v>0.16917876000000001</v>
      </c>
      <c r="AQ233" s="163">
        <v>8.9357832000000001E-5</v>
      </c>
      <c r="AR233">
        <v>4.3037704000000003</v>
      </c>
      <c r="AS233">
        <v>2.8286108999999999E-4</v>
      </c>
      <c r="AT233">
        <v>0</v>
      </c>
      <c r="AU233">
        <v>0</v>
      </c>
      <c r="AV233">
        <v>0</v>
      </c>
      <c r="AW233">
        <v>0</v>
      </c>
      <c r="AX233">
        <v>0</v>
      </c>
    </row>
    <row r="234" spans="1:50">
      <c r="A234" t="s">
        <v>1483</v>
      </c>
      <c r="B234" s="189">
        <f t="shared" si="3"/>
        <v>6.8774727753614609E-2</v>
      </c>
      <c r="C234" s="163">
        <v>1.2335451E-7</v>
      </c>
      <c r="D234">
        <v>4.5924391999999998E-4</v>
      </c>
      <c r="E234">
        <v>1.3002104999999999</v>
      </c>
      <c r="F234" s="163">
        <v>5.2136030999999996E-9</v>
      </c>
      <c r="G234" s="163">
        <v>3.8740222999999997E-6</v>
      </c>
      <c r="H234">
        <v>3.2095718000000001E-4</v>
      </c>
      <c r="I234" s="163">
        <v>5.5785222999999999E-5</v>
      </c>
      <c r="J234">
        <v>1.8483910999999999E-2</v>
      </c>
      <c r="K234">
        <v>4.4911355999999999E-4</v>
      </c>
      <c r="L234">
        <v>2.0560266</v>
      </c>
      <c r="M234">
        <v>2.3792921999999999E-4</v>
      </c>
      <c r="N234">
        <v>1.2774945</v>
      </c>
      <c r="O234">
        <v>1.2772034000000001</v>
      </c>
      <c r="P234">
        <v>1.9889996000000001E-4</v>
      </c>
      <c r="Q234" s="163">
        <v>9.2153453000000003E-5</v>
      </c>
      <c r="R234" s="163">
        <v>5.9145941E-9</v>
      </c>
      <c r="S234">
        <v>4.0882959000000001E-4</v>
      </c>
      <c r="T234" s="163">
        <v>3.5709501E-6</v>
      </c>
      <c r="U234">
        <v>1.0034164E-4</v>
      </c>
      <c r="V234">
        <v>1.1814777E-3</v>
      </c>
      <c r="W234">
        <v>2.6737076000000001E-4</v>
      </c>
      <c r="X234" s="163">
        <v>1.2335430999999999E-7</v>
      </c>
      <c r="Y234">
        <v>15.657076</v>
      </c>
      <c r="Z234">
        <v>1.9476005000000001E-2</v>
      </c>
      <c r="AA234" s="163">
        <v>4.6363784E-9</v>
      </c>
      <c r="AB234">
        <v>3.8647281E-3</v>
      </c>
      <c r="AC234">
        <v>1.1496796</v>
      </c>
      <c r="AD234" s="163">
        <v>2.2819585999999999E-11</v>
      </c>
      <c r="AE234" s="163">
        <v>6.9533439999999997E-10</v>
      </c>
      <c r="AF234">
        <v>51.448630000000001</v>
      </c>
      <c r="AG234">
        <v>0</v>
      </c>
      <c r="AH234">
        <v>0</v>
      </c>
      <c r="AI234">
        <v>7.1138246000000002E-2</v>
      </c>
      <c r="AJ234">
        <v>0</v>
      </c>
      <c r="AK234">
        <v>0</v>
      </c>
      <c r="AL234">
        <v>14.367557</v>
      </c>
      <c r="AM234">
        <v>0</v>
      </c>
      <c r="AN234">
        <v>0</v>
      </c>
      <c r="AO234">
        <v>0</v>
      </c>
      <c r="AP234">
        <v>6.2136370999999998E-4</v>
      </c>
      <c r="AQ234" s="163">
        <v>1.1905108000000001E-6</v>
      </c>
      <c r="AR234">
        <v>1.1210573999999999E-2</v>
      </c>
      <c r="AS234" s="163">
        <v>3.7579015E-6</v>
      </c>
      <c r="AT234">
        <v>0</v>
      </c>
      <c r="AU234">
        <v>0</v>
      </c>
      <c r="AV234">
        <v>0</v>
      </c>
      <c r="AW234">
        <v>0</v>
      </c>
      <c r="AX234">
        <v>0</v>
      </c>
    </row>
    <row r="235" spans="1:50">
      <c r="A235" t="s">
        <v>1484</v>
      </c>
      <c r="B235" s="189">
        <f t="shared" si="3"/>
        <v>0.19546057204915199</v>
      </c>
      <c r="C235" s="163">
        <v>4.6306296999999999E-6</v>
      </c>
      <c r="D235">
        <v>1.1066604000000001E-2</v>
      </c>
      <c r="E235">
        <v>1.32498</v>
      </c>
      <c r="F235" s="163">
        <v>1.3441468000000001E-7</v>
      </c>
      <c r="G235">
        <v>8.3803692000000002E-4</v>
      </c>
      <c r="H235">
        <v>4.8220913000000002E-3</v>
      </c>
      <c r="I235">
        <v>1.2596516999999999E-3</v>
      </c>
      <c r="J235">
        <v>1.0172650000000001</v>
      </c>
      <c r="K235">
        <v>9.9995077999999998E-3</v>
      </c>
      <c r="L235">
        <v>31.552679999999999</v>
      </c>
      <c r="M235">
        <v>2.0955749000000001E-3</v>
      </c>
      <c r="N235">
        <v>1.3792629999999999</v>
      </c>
      <c r="O235">
        <v>1.3757386</v>
      </c>
      <c r="P235">
        <v>2.8462701000000002E-3</v>
      </c>
      <c r="Q235">
        <v>6.7810935999999995E-4</v>
      </c>
      <c r="R235" s="163">
        <v>1.3694362999999999E-7</v>
      </c>
      <c r="S235">
        <v>6.0128035000000003E-3</v>
      </c>
      <c r="T235" s="163">
        <v>9.0779666000000001E-5</v>
      </c>
      <c r="U235">
        <v>9.4447849E-4</v>
      </c>
      <c r="V235">
        <v>1.2933831999999999E-2</v>
      </c>
      <c r="W235">
        <v>3.8551826000000002E-3</v>
      </c>
      <c r="X235" s="163">
        <v>4.6308008000000001E-6</v>
      </c>
      <c r="Y235">
        <v>21.800059000000001</v>
      </c>
      <c r="Z235">
        <v>0.60465747000000003</v>
      </c>
      <c r="AA235" s="163">
        <v>5.5555412999999999E-8</v>
      </c>
      <c r="AB235">
        <v>4.2144858E-2</v>
      </c>
      <c r="AC235">
        <v>33.263230999999998</v>
      </c>
      <c r="AD235" s="163">
        <v>8.6925417000000004E-10</v>
      </c>
      <c r="AE235" s="163">
        <v>2.930035E-8</v>
      </c>
      <c r="AF235">
        <v>4.8376253</v>
      </c>
      <c r="AG235">
        <v>0</v>
      </c>
      <c r="AH235">
        <v>0</v>
      </c>
      <c r="AI235">
        <v>1.2483770999999999</v>
      </c>
      <c r="AJ235">
        <v>0</v>
      </c>
      <c r="AK235">
        <v>0</v>
      </c>
      <c r="AL235">
        <v>23.390908</v>
      </c>
      <c r="AM235">
        <v>0</v>
      </c>
      <c r="AN235">
        <v>0</v>
      </c>
      <c r="AO235">
        <v>0</v>
      </c>
      <c r="AP235">
        <v>1.7875096E-2</v>
      </c>
      <c r="AQ235" s="163">
        <v>2.5112591999999999E-5</v>
      </c>
      <c r="AR235">
        <v>0.25424075000000002</v>
      </c>
      <c r="AS235" s="163">
        <v>4.1441923999999999E-5</v>
      </c>
      <c r="AT235">
        <v>0</v>
      </c>
      <c r="AU235">
        <v>0</v>
      </c>
      <c r="AV235">
        <v>0</v>
      </c>
      <c r="AW235">
        <v>0</v>
      </c>
      <c r="AX235">
        <v>0</v>
      </c>
    </row>
    <row r="236" spans="1:50">
      <c r="A236" t="s">
        <v>1485</v>
      </c>
      <c r="B236" s="189">
        <f t="shared" si="3"/>
        <v>2.0196950942340641E-2</v>
      </c>
      <c r="C236" s="163">
        <v>7.2812004000000005E-8</v>
      </c>
      <c r="D236">
        <v>7.8606803E-4</v>
      </c>
      <c r="E236">
        <v>0.29766426000000001</v>
      </c>
      <c r="F236" s="163">
        <v>1.1379304E-8</v>
      </c>
      <c r="G236" s="163">
        <v>4.3395629000000001E-5</v>
      </c>
      <c r="H236">
        <v>5.6334509E-4</v>
      </c>
      <c r="I236" s="163">
        <v>9.8011371999999998E-5</v>
      </c>
      <c r="J236">
        <v>1.9136874000000002E-2</v>
      </c>
      <c r="K236">
        <v>4.9084594999999995E-4</v>
      </c>
      <c r="L236">
        <v>2.0613226999999998</v>
      </c>
      <c r="M236">
        <v>3.6939589999999999E-4</v>
      </c>
      <c r="N236">
        <v>0.29951100000000003</v>
      </c>
      <c r="O236">
        <v>0.29904444000000002</v>
      </c>
      <c r="P236">
        <v>4.3876281E-4</v>
      </c>
      <c r="Q236" s="163">
        <v>2.7798035E-5</v>
      </c>
      <c r="R236" s="163">
        <v>1.3293244E-8</v>
      </c>
      <c r="S236">
        <v>7.4900632E-4</v>
      </c>
      <c r="T236" s="163">
        <v>4.7946794999999998E-6</v>
      </c>
      <c r="U236">
        <v>1.9905484999999999E-4</v>
      </c>
      <c r="V236">
        <v>2.5292269000000002E-3</v>
      </c>
      <c r="W236">
        <v>5.8703203000000002E-4</v>
      </c>
      <c r="X236" s="163">
        <v>7.2813525999999994E-8</v>
      </c>
      <c r="Y236">
        <v>1.5401897</v>
      </c>
      <c r="Z236">
        <v>2.8013527E-2</v>
      </c>
      <c r="AA236" s="163">
        <v>4.2986642999999998E-9</v>
      </c>
      <c r="AB236">
        <v>7.3402935000000001E-3</v>
      </c>
      <c r="AC236">
        <v>3.9653749999999999</v>
      </c>
      <c r="AD236" s="163">
        <v>4.1258465000000001E-11</v>
      </c>
      <c r="AE236" s="163">
        <v>2.1263473999999998E-9</v>
      </c>
      <c r="AF236">
        <v>0.30711691000000002</v>
      </c>
      <c r="AG236">
        <v>0</v>
      </c>
      <c r="AH236">
        <v>0</v>
      </c>
      <c r="AI236">
        <v>8.8246292000000004E-2</v>
      </c>
      <c r="AJ236">
        <v>0</v>
      </c>
      <c r="AK236">
        <v>0</v>
      </c>
      <c r="AL236">
        <v>1.6220374</v>
      </c>
      <c r="AM236">
        <v>0</v>
      </c>
      <c r="AN236">
        <v>0</v>
      </c>
      <c r="AO236">
        <v>0</v>
      </c>
      <c r="AP236">
        <v>1.0374449999999999E-3</v>
      </c>
      <c r="AQ236" s="163">
        <v>6.4143562000000005E-7</v>
      </c>
      <c r="AR236">
        <v>5.1531459999999999E-3</v>
      </c>
      <c r="AS236" s="163">
        <v>8.1652582999999995E-6</v>
      </c>
      <c r="AT236">
        <v>0</v>
      </c>
      <c r="AU236">
        <v>0</v>
      </c>
      <c r="AV236">
        <v>0</v>
      </c>
      <c r="AW236">
        <v>0</v>
      </c>
      <c r="AX236">
        <v>0</v>
      </c>
    </row>
    <row r="237" spans="1:50">
      <c r="A237" t="s">
        <v>1486</v>
      </c>
      <c r="B237" s="189">
        <f t="shared" si="3"/>
        <v>0.66900165759206398</v>
      </c>
      <c r="C237" s="163">
        <v>4.8678504000000001E-6</v>
      </c>
      <c r="D237">
        <v>4.5618447999999999E-2</v>
      </c>
      <c r="E237">
        <v>9.6504917999999993</v>
      </c>
      <c r="F237" s="163">
        <v>1.7154072999999998E-5</v>
      </c>
      <c r="G237">
        <v>3.9135856E-3</v>
      </c>
      <c r="H237">
        <v>1.6221768000000001E-2</v>
      </c>
      <c r="I237">
        <v>1.6546783E-3</v>
      </c>
      <c r="J237">
        <v>0.92319362999999999</v>
      </c>
      <c r="K237">
        <v>2.0011986999999998E-2</v>
      </c>
      <c r="L237">
        <v>71.376671999999999</v>
      </c>
      <c r="M237">
        <v>3.8485576000000001E-3</v>
      </c>
      <c r="N237">
        <v>10.896807000000001</v>
      </c>
      <c r="O237">
        <v>10.860772000000001</v>
      </c>
      <c r="P237">
        <v>3.4429933000000003E-2</v>
      </c>
      <c r="Q237">
        <v>1.6046032999999999E-3</v>
      </c>
      <c r="R237" s="163">
        <v>1.3838536E-5</v>
      </c>
      <c r="S237">
        <v>1.9413643000000001E-2</v>
      </c>
      <c r="T237">
        <v>1.5166369E-4</v>
      </c>
      <c r="U237">
        <v>3.0896043999999998E-3</v>
      </c>
      <c r="V237">
        <v>3.5214769999999999E-2</v>
      </c>
      <c r="W237">
        <v>1.5415317E-2</v>
      </c>
      <c r="X237" s="163">
        <v>4.8681633999999996E-6</v>
      </c>
      <c r="Y237">
        <v>93.207127999999997</v>
      </c>
      <c r="Z237">
        <v>3.2616447000000002</v>
      </c>
      <c r="AA237" s="163">
        <v>1.7103715000000001E-7</v>
      </c>
      <c r="AB237">
        <v>6.8749570999999995E-2</v>
      </c>
      <c r="AC237">
        <v>38.121375999999998</v>
      </c>
      <c r="AD237" s="163">
        <v>1.5415363000000001E-9</v>
      </c>
      <c r="AE237" s="163">
        <v>2.5911639000000001E-8</v>
      </c>
      <c r="AF237">
        <v>4.6920640000000002</v>
      </c>
      <c r="AG237">
        <v>0</v>
      </c>
      <c r="AH237">
        <v>0</v>
      </c>
      <c r="AI237">
        <v>1.7966267</v>
      </c>
      <c r="AJ237">
        <v>0</v>
      </c>
      <c r="AK237">
        <v>0</v>
      </c>
      <c r="AL237">
        <v>100.10323</v>
      </c>
      <c r="AM237">
        <v>0</v>
      </c>
      <c r="AN237">
        <v>0</v>
      </c>
      <c r="AO237">
        <v>0</v>
      </c>
      <c r="AP237">
        <v>7.8936843000000007E-2</v>
      </c>
      <c r="AQ237" s="163">
        <v>2.2773497E-5</v>
      </c>
      <c r="AR237">
        <v>0.24214415</v>
      </c>
      <c r="AS237" s="163">
        <v>6.0459489999999999E-5</v>
      </c>
      <c r="AT237">
        <v>0</v>
      </c>
      <c r="AU237">
        <v>0</v>
      </c>
      <c r="AV237">
        <v>0</v>
      </c>
      <c r="AW237">
        <v>0</v>
      </c>
      <c r="AX237">
        <v>0</v>
      </c>
    </row>
    <row r="238" spans="1:50">
      <c r="A238" t="s">
        <v>1487</v>
      </c>
      <c r="B238" s="189">
        <f t="shared" si="3"/>
        <v>0</v>
      </c>
      <c r="C238">
        <v>0</v>
      </c>
      <c r="D238">
        <v>0</v>
      </c>
      <c r="E238">
        <v>0</v>
      </c>
      <c r="F238">
        <v>0</v>
      </c>
      <c r="G238">
        <v>0</v>
      </c>
      <c r="H238">
        <v>0</v>
      </c>
      <c r="I238">
        <v>0</v>
      </c>
      <c r="J238">
        <v>0</v>
      </c>
      <c r="K238">
        <v>0</v>
      </c>
      <c r="L238">
        <v>0</v>
      </c>
      <c r="M238">
        <v>0</v>
      </c>
      <c r="N238">
        <v>0</v>
      </c>
      <c r="O238">
        <v>0</v>
      </c>
      <c r="P238">
        <v>0</v>
      </c>
      <c r="Q238">
        <v>0</v>
      </c>
      <c r="R238">
        <v>0</v>
      </c>
      <c r="S238">
        <v>0</v>
      </c>
      <c r="T238">
        <v>0</v>
      </c>
      <c r="U238">
        <v>0</v>
      </c>
      <c r="V238">
        <v>0</v>
      </c>
      <c r="W238">
        <v>0</v>
      </c>
      <c r="X238">
        <v>0</v>
      </c>
      <c r="Y238">
        <v>0</v>
      </c>
      <c r="Z238">
        <v>0</v>
      </c>
      <c r="AA238">
        <v>0</v>
      </c>
      <c r="AB238">
        <v>0</v>
      </c>
      <c r="AC238">
        <v>0</v>
      </c>
      <c r="AD238">
        <v>0</v>
      </c>
      <c r="AE238">
        <v>0</v>
      </c>
      <c r="AF238">
        <v>0</v>
      </c>
      <c r="AG238">
        <v>0</v>
      </c>
      <c r="AH238">
        <v>0</v>
      </c>
      <c r="AI238">
        <v>0</v>
      </c>
      <c r="AJ238">
        <v>0</v>
      </c>
      <c r="AK238">
        <v>0</v>
      </c>
      <c r="AL238">
        <v>0</v>
      </c>
      <c r="AM238">
        <v>0</v>
      </c>
      <c r="AN238">
        <v>0</v>
      </c>
      <c r="AO238">
        <v>0</v>
      </c>
      <c r="AP238">
        <v>0</v>
      </c>
      <c r="AQ238">
        <v>0</v>
      </c>
      <c r="AR238">
        <v>0</v>
      </c>
      <c r="AS238">
        <v>0</v>
      </c>
      <c r="AT238">
        <v>0</v>
      </c>
      <c r="AU238">
        <v>0</v>
      </c>
      <c r="AV238">
        <v>0</v>
      </c>
      <c r="AW238">
        <v>0</v>
      </c>
      <c r="AX238">
        <v>0</v>
      </c>
    </row>
    <row r="239" spans="1:50">
      <c r="A239" t="s">
        <v>1488</v>
      </c>
      <c r="B239" s="189">
        <f t="shared" si="3"/>
        <v>3.1173422460917602E-3</v>
      </c>
      <c r="C239" s="163">
        <v>5.1034360999999998E-8</v>
      </c>
      <c r="D239">
        <v>1.6993282E-4</v>
      </c>
      <c r="E239">
        <v>2.5226917000000001E-2</v>
      </c>
      <c r="F239" s="163">
        <v>3.8159298E-9</v>
      </c>
      <c r="G239" s="163">
        <v>1.6777757E-5</v>
      </c>
      <c r="H239">
        <v>1.7348039000000001E-4</v>
      </c>
      <c r="I239" s="163">
        <v>3.4821628000000002E-5</v>
      </c>
      <c r="J239">
        <v>7.9759007E-3</v>
      </c>
      <c r="K239">
        <v>1.8253900000000001E-4</v>
      </c>
      <c r="L239">
        <v>0.62290263000000001</v>
      </c>
      <c r="M239" s="163">
        <v>3.6921324999999997E-5</v>
      </c>
      <c r="N239">
        <v>2.5635201999999999E-2</v>
      </c>
      <c r="O239">
        <v>2.5519733999999999E-2</v>
      </c>
      <c r="P239" s="163">
        <v>8.2704270000000005E-5</v>
      </c>
      <c r="Q239" s="163">
        <v>3.2763954000000001E-5</v>
      </c>
      <c r="R239" s="163">
        <v>4.6982815999999997E-9</v>
      </c>
      <c r="S239">
        <v>2.3496591999999999E-4</v>
      </c>
      <c r="T239" s="163">
        <v>7.2569043000000001E-7</v>
      </c>
      <c r="U239" s="163">
        <v>8.6354107999999996E-5</v>
      </c>
      <c r="V239">
        <v>9.6986933999999999E-4</v>
      </c>
      <c r="W239">
        <v>2.5390805999999999E-4</v>
      </c>
      <c r="X239" s="163">
        <v>5.1031392999999998E-8</v>
      </c>
      <c r="Y239">
        <v>0.35447589000000002</v>
      </c>
      <c r="Z239">
        <v>6.0635474000000002E-2</v>
      </c>
      <c r="AA239" s="163">
        <v>1.4621043999999999E-9</v>
      </c>
      <c r="AB239">
        <v>1.6008732999999999E-3</v>
      </c>
      <c r="AC239">
        <v>0.29545527999999999</v>
      </c>
      <c r="AD239" s="163">
        <v>1.4631911E-11</v>
      </c>
      <c r="AE239" s="163">
        <v>2.8963921999999998E-10</v>
      </c>
      <c r="AF239">
        <v>0.27382395999999998</v>
      </c>
      <c r="AG239">
        <v>0</v>
      </c>
      <c r="AH239">
        <v>0</v>
      </c>
      <c r="AI239">
        <v>1.0403671999999999E-2</v>
      </c>
      <c r="AJ239">
        <v>0</v>
      </c>
      <c r="AK239">
        <v>0</v>
      </c>
      <c r="AL239">
        <v>0.37604625000000003</v>
      </c>
      <c r="AM239">
        <v>0</v>
      </c>
      <c r="AN239">
        <v>0</v>
      </c>
      <c r="AO239">
        <v>0</v>
      </c>
      <c r="AP239">
        <v>1.4939926E-3</v>
      </c>
      <c r="AQ239" s="163">
        <v>7.4177388999999998E-7</v>
      </c>
      <c r="AR239">
        <v>5.9508655000000002E-3</v>
      </c>
      <c r="AS239" s="163">
        <v>2.2746568999999999E-6</v>
      </c>
      <c r="AT239">
        <v>0</v>
      </c>
      <c r="AU239">
        <v>0</v>
      </c>
      <c r="AV239">
        <v>0</v>
      </c>
      <c r="AW239">
        <v>0</v>
      </c>
      <c r="AX239">
        <v>0</v>
      </c>
    </row>
    <row r="240" spans="1:50">
      <c r="A240" t="s">
        <v>1489</v>
      </c>
      <c r="B240" s="189">
        <f t="shared" si="3"/>
        <v>1.4950661619189203E-3</v>
      </c>
      <c r="C240" s="163">
        <v>4.3540537000000001E-8</v>
      </c>
      <c r="D240" s="163">
        <v>8.3608906000000001E-5</v>
      </c>
      <c r="E240">
        <v>1.1732164999999999E-2</v>
      </c>
      <c r="F240" s="163">
        <v>1.6924831000000001E-9</v>
      </c>
      <c r="G240" s="163">
        <v>8.6225229000000005E-6</v>
      </c>
      <c r="H240" s="163">
        <v>7.2149051999999999E-5</v>
      </c>
      <c r="I240" s="163">
        <v>1.1990805000000001E-5</v>
      </c>
      <c r="J240">
        <v>4.8633371999999998E-3</v>
      </c>
      <c r="K240">
        <v>1.0218860999999999E-4</v>
      </c>
      <c r="L240">
        <v>0.39217220000000003</v>
      </c>
      <c r="M240" s="163">
        <v>2.1350347999999999E-5</v>
      </c>
      <c r="N240">
        <v>1.1940889999999999E-2</v>
      </c>
      <c r="O240">
        <v>1.1915639E-2</v>
      </c>
      <c r="P240" s="163">
        <v>1.7433311000000001E-5</v>
      </c>
      <c r="Q240" s="163">
        <v>7.8175324999999998E-6</v>
      </c>
      <c r="R240" s="163">
        <v>2.083959E-9</v>
      </c>
      <c r="S240" s="163">
        <v>9.3415166999999996E-5</v>
      </c>
      <c r="T240" s="163">
        <v>4.6109197000000001E-7</v>
      </c>
      <c r="U240" s="163">
        <v>2.6811702000000002E-5</v>
      </c>
      <c r="V240">
        <v>3.0614853000000001E-4</v>
      </c>
      <c r="W240" s="163">
        <v>8.5135598999999996E-5</v>
      </c>
      <c r="X240" s="163">
        <v>4.3541511E-8</v>
      </c>
      <c r="Y240">
        <v>0.16917175000000001</v>
      </c>
      <c r="Z240">
        <v>5.9091481000000001E-2</v>
      </c>
      <c r="AA240" s="163">
        <v>1.173222E-9</v>
      </c>
      <c r="AB240">
        <v>7.2249079999999995E-4</v>
      </c>
      <c r="AC240">
        <v>0.16784776000000001</v>
      </c>
      <c r="AD240" s="163">
        <v>8.5089346000000004E-12</v>
      </c>
      <c r="AE240" s="163">
        <v>1.9271466999999999E-10</v>
      </c>
      <c r="AF240">
        <v>0.14234010999999999</v>
      </c>
      <c r="AG240">
        <v>0</v>
      </c>
      <c r="AH240">
        <v>0</v>
      </c>
      <c r="AI240">
        <v>5.6578517999999996E-3</v>
      </c>
      <c r="AJ240">
        <v>0</v>
      </c>
      <c r="AK240">
        <v>0</v>
      </c>
      <c r="AL240">
        <v>0.17960533000000001</v>
      </c>
      <c r="AM240">
        <v>0</v>
      </c>
      <c r="AN240">
        <v>0</v>
      </c>
      <c r="AO240">
        <v>0</v>
      </c>
      <c r="AP240">
        <v>1.4373534000000001E-3</v>
      </c>
      <c r="AQ240" s="163">
        <v>6.0905645000000002E-7</v>
      </c>
      <c r="AR240">
        <v>5.4750800999999998E-3</v>
      </c>
      <c r="AS240" s="163">
        <v>1.0011231E-6</v>
      </c>
      <c r="AT240">
        <v>0</v>
      </c>
      <c r="AU240">
        <v>0</v>
      </c>
      <c r="AV240">
        <v>0</v>
      </c>
      <c r="AW240">
        <v>0</v>
      </c>
      <c r="AX240">
        <v>0</v>
      </c>
    </row>
    <row r="241" spans="1:50">
      <c r="A241" t="s">
        <v>1490</v>
      </c>
      <c r="B241" s="189">
        <f t="shared" si="3"/>
        <v>0</v>
      </c>
      <c r="C241">
        <v>0</v>
      </c>
      <c r="D241">
        <v>0</v>
      </c>
      <c r="E241">
        <v>0</v>
      </c>
      <c r="F241">
        <v>0</v>
      </c>
      <c r="G241">
        <v>0</v>
      </c>
      <c r="H241">
        <v>0</v>
      </c>
      <c r="I241">
        <v>0</v>
      </c>
      <c r="J241">
        <v>0</v>
      </c>
      <c r="K241">
        <v>0</v>
      </c>
      <c r="L241">
        <v>0</v>
      </c>
      <c r="M241">
        <v>0</v>
      </c>
      <c r="N241">
        <v>0</v>
      </c>
      <c r="O241">
        <v>0</v>
      </c>
      <c r="P241">
        <v>0</v>
      </c>
      <c r="Q241">
        <v>0</v>
      </c>
      <c r="R241">
        <v>0</v>
      </c>
      <c r="S241">
        <v>0</v>
      </c>
      <c r="T241">
        <v>0</v>
      </c>
      <c r="U241">
        <v>0</v>
      </c>
      <c r="V241">
        <v>0</v>
      </c>
      <c r="W241">
        <v>0</v>
      </c>
      <c r="X241">
        <v>0</v>
      </c>
      <c r="Y241">
        <v>0</v>
      </c>
      <c r="Z241">
        <v>0</v>
      </c>
      <c r="AA241">
        <v>0</v>
      </c>
      <c r="AB241">
        <v>0</v>
      </c>
      <c r="AC241">
        <v>0</v>
      </c>
      <c r="AD241">
        <v>0</v>
      </c>
      <c r="AE241">
        <v>0</v>
      </c>
      <c r="AF241">
        <v>0</v>
      </c>
      <c r="AG241">
        <v>0</v>
      </c>
      <c r="AH241">
        <v>0</v>
      </c>
      <c r="AI241">
        <v>0</v>
      </c>
      <c r="AJ241">
        <v>0</v>
      </c>
      <c r="AK241">
        <v>0</v>
      </c>
      <c r="AL241">
        <v>0</v>
      </c>
      <c r="AM241">
        <v>0</v>
      </c>
      <c r="AN241">
        <v>0</v>
      </c>
      <c r="AO241">
        <v>0</v>
      </c>
      <c r="AP241">
        <v>0</v>
      </c>
      <c r="AQ241">
        <v>0</v>
      </c>
      <c r="AR241">
        <v>0</v>
      </c>
      <c r="AS241">
        <v>0</v>
      </c>
      <c r="AT241">
        <v>0</v>
      </c>
      <c r="AU241">
        <v>0</v>
      </c>
      <c r="AV241">
        <v>0</v>
      </c>
      <c r="AW241">
        <v>0</v>
      </c>
      <c r="AX241">
        <v>0</v>
      </c>
    </row>
    <row r="242" spans="1:50">
      <c r="A242" t="s">
        <v>1491</v>
      </c>
      <c r="B242" s="189">
        <f t="shared" si="3"/>
        <v>2.4719778649903205E-3</v>
      </c>
      <c r="C242" s="163">
        <v>8.2618427000000006E-8</v>
      </c>
      <c r="D242">
        <v>1.5575760000000001E-4</v>
      </c>
      <c r="E242">
        <v>1.9991485999999999E-2</v>
      </c>
      <c r="F242" s="163">
        <v>2.3591193999999998E-9</v>
      </c>
      <c r="G242" s="163">
        <v>1.3759228E-5</v>
      </c>
      <c r="H242">
        <v>1.0959604E-4</v>
      </c>
      <c r="I242" s="163">
        <v>1.8537037E-5</v>
      </c>
      <c r="J242">
        <v>8.3877237000000004E-3</v>
      </c>
      <c r="K242">
        <v>1.517255E-4</v>
      </c>
      <c r="L242">
        <v>0.53425149000000005</v>
      </c>
      <c r="M242" s="163">
        <v>2.9839341E-5</v>
      </c>
      <c r="N242">
        <v>2.0393999999999999E-2</v>
      </c>
      <c r="O242">
        <v>2.0285759E-2</v>
      </c>
      <c r="P242" s="163">
        <v>9.8389226999999997E-5</v>
      </c>
      <c r="Q242" s="163">
        <v>9.8514823999999993E-6</v>
      </c>
      <c r="R242" s="163">
        <v>2.8913442000000002E-9</v>
      </c>
      <c r="S242">
        <v>1.4301881000000001E-4</v>
      </c>
      <c r="T242" s="163">
        <v>8.3912887999999998E-7</v>
      </c>
      <c r="U242" s="163">
        <v>3.9141974000000001E-5</v>
      </c>
      <c r="V242">
        <v>4.6682108999999999E-4</v>
      </c>
      <c r="W242">
        <v>1.2624606E-4</v>
      </c>
      <c r="X242" s="163">
        <v>8.2619879000000006E-8</v>
      </c>
      <c r="Y242">
        <v>0.31845709</v>
      </c>
      <c r="Z242">
        <v>5.5082443000000002E-2</v>
      </c>
      <c r="AA242" s="163">
        <v>1.9529501E-9</v>
      </c>
      <c r="AB242">
        <v>1.0197657E-3</v>
      </c>
      <c r="AC242">
        <v>0.37122369999999999</v>
      </c>
      <c r="AD242" s="163">
        <v>1.1832507000000001E-11</v>
      </c>
      <c r="AE242" s="163">
        <v>2.7236097000000001E-10</v>
      </c>
      <c r="AF242">
        <v>0.29133376</v>
      </c>
      <c r="AG242">
        <v>0</v>
      </c>
      <c r="AH242">
        <v>0</v>
      </c>
      <c r="AI242">
        <v>9.6843086000000002E-3</v>
      </c>
      <c r="AJ242">
        <v>0</v>
      </c>
      <c r="AK242">
        <v>0</v>
      </c>
      <c r="AL242">
        <v>0.33899790000000002</v>
      </c>
      <c r="AM242">
        <v>0</v>
      </c>
      <c r="AN242">
        <v>0</v>
      </c>
      <c r="AO242">
        <v>0</v>
      </c>
      <c r="AP242">
        <v>1.3445027E-3</v>
      </c>
      <c r="AQ242" s="163">
        <v>6.8840513999999995E-7</v>
      </c>
      <c r="AR242">
        <v>6.4958009999999998E-3</v>
      </c>
      <c r="AS242" s="163">
        <v>1.4082883E-6</v>
      </c>
      <c r="AT242">
        <v>0</v>
      </c>
      <c r="AU242">
        <v>0</v>
      </c>
      <c r="AV242">
        <v>0</v>
      </c>
      <c r="AW242">
        <v>0</v>
      </c>
      <c r="AX242">
        <v>0</v>
      </c>
    </row>
    <row r="243" spans="1:50">
      <c r="A243" t="s">
        <v>1492</v>
      </c>
      <c r="B243" s="189">
        <f t="shared" si="3"/>
        <v>1.9587602700777001E-2</v>
      </c>
      <c r="C243" s="163">
        <v>2.8174145E-7</v>
      </c>
      <c r="D243">
        <v>5.9607409000000001E-4</v>
      </c>
      <c r="E243">
        <v>0.20403278999999999</v>
      </c>
      <c r="F243" s="163">
        <v>8.7478915000000001E-9</v>
      </c>
      <c r="G243" s="163">
        <v>4.7715997E-5</v>
      </c>
      <c r="H243">
        <v>4.9049556000000001E-4</v>
      </c>
      <c r="I243" s="163">
        <v>8.0077963999999996E-5</v>
      </c>
      <c r="J243">
        <v>6.8711314999999995E-2</v>
      </c>
      <c r="K243">
        <v>7.7356593999999997E-4</v>
      </c>
      <c r="L243">
        <v>2.8561561000000002</v>
      </c>
      <c r="M243">
        <v>3.2211638E-4</v>
      </c>
      <c r="N243">
        <v>0.20500072</v>
      </c>
      <c r="O243">
        <v>0.20013047</v>
      </c>
      <c r="P243">
        <v>4.8017592999999997E-3</v>
      </c>
      <c r="Q243" s="163">
        <v>6.8492900999999999E-5</v>
      </c>
      <c r="R243" s="163">
        <v>1.0692917E-8</v>
      </c>
      <c r="S243">
        <v>6.3095690999999995E-4</v>
      </c>
      <c r="T243" s="163">
        <v>4.3240154000000004E-6</v>
      </c>
      <c r="U243">
        <v>1.6582835000000001E-4</v>
      </c>
      <c r="V243">
        <v>1.9299171E-3</v>
      </c>
      <c r="W243">
        <v>5.0599146999999998E-4</v>
      </c>
      <c r="X243" s="163">
        <v>2.8172908000000002E-7</v>
      </c>
      <c r="Y243">
        <v>1.1150183</v>
      </c>
      <c r="Z243">
        <v>6.2251833999999999E-2</v>
      </c>
      <c r="AA243" s="163">
        <v>5.9645209000000003E-9</v>
      </c>
      <c r="AB243">
        <v>3.9048189999999999E-3</v>
      </c>
      <c r="AC243">
        <v>3.3682639000000001</v>
      </c>
      <c r="AD243" s="163">
        <v>6.5768437999999999E-11</v>
      </c>
      <c r="AE243" s="163">
        <v>1.9081931E-9</v>
      </c>
      <c r="AF243">
        <v>1.2984325999999999</v>
      </c>
      <c r="AG243">
        <v>0</v>
      </c>
      <c r="AH243">
        <v>0</v>
      </c>
      <c r="AI243">
        <v>0.17195028000000001</v>
      </c>
      <c r="AJ243">
        <v>0</v>
      </c>
      <c r="AK243">
        <v>0</v>
      </c>
      <c r="AL243">
        <v>1.1836758999999999</v>
      </c>
      <c r="AM243">
        <v>0</v>
      </c>
      <c r="AN243">
        <v>0</v>
      </c>
      <c r="AO243">
        <v>0</v>
      </c>
      <c r="AP243">
        <v>1.6072416999999999E-3</v>
      </c>
      <c r="AQ243" s="163">
        <v>2.3840299999999999E-6</v>
      </c>
      <c r="AR243">
        <v>2.1574657000000001E-2</v>
      </c>
      <c r="AS243" s="163">
        <v>5.1670377999999997E-6</v>
      </c>
      <c r="AT243">
        <v>0</v>
      </c>
      <c r="AU243">
        <v>0</v>
      </c>
      <c r="AV243">
        <v>0</v>
      </c>
      <c r="AW243">
        <v>0</v>
      </c>
      <c r="AX243">
        <v>0</v>
      </c>
    </row>
    <row r="244" spans="1:50">
      <c r="A244" t="s">
        <v>1493</v>
      </c>
      <c r="B244" s="189">
        <f t="shared" si="3"/>
        <v>0.73172296879529997</v>
      </c>
      <c r="C244">
        <v>6.7832678999999998E-3</v>
      </c>
      <c r="D244">
        <v>3.0789337999999999E-2</v>
      </c>
      <c r="E244">
        <v>4.7125544000000001</v>
      </c>
      <c r="F244" s="163">
        <v>1.7317871E-7</v>
      </c>
      <c r="G244">
        <v>2.7189217999999999E-3</v>
      </c>
      <c r="H244">
        <v>4.6473843000000001E-2</v>
      </c>
      <c r="I244">
        <v>8.3288810999999994E-3</v>
      </c>
      <c r="J244">
        <v>2.0271176</v>
      </c>
      <c r="K244">
        <v>8.0915313000000003E-2</v>
      </c>
      <c r="L244">
        <v>312.19871000000001</v>
      </c>
      <c r="M244">
        <v>0.12828961</v>
      </c>
      <c r="N244">
        <v>4.8148619000000004</v>
      </c>
      <c r="O244">
        <v>4.8018707999999997</v>
      </c>
      <c r="P244">
        <v>-3.0904055999999999E-4</v>
      </c>
      <c r="Q244">
        <v>1.3300213999999999E-2</v>
      </c>
      <c r="R244" s="163">
        <v>1.9860309999999999E-7</v>
      </c>
      <c r="S244">
        <v>5.6305674E-2</v>
      </c>
      <c r="T244">
        <v>1.6448712000000001E-3</v>
      </c>
      <c r="U244">
        <v>8.0037033999999993E-3</v>
      </c>
      <c r="V244">
        <v>0.10404352</v>
      </c>
      <c r="W244">
        <v>2.4807025E-2</v>
      </c>
      <c r="X244">
        <v>6.7832680000000003E-3</v>
      </c>
      <c r="Y244">
        <v>49.845436999999997</v>
      </c>
      <c r="Z244">
        <v>1.4577385</v>
      </c>
      <c r="AA244" s="163">
        <v>3.7168680999999998E-7</v>
      </c>
      <c r="AB244">
        <v>8.5851713999999996E-2</v>
      </c>
      <c r="AC244">
        <v>696.07713000000001</v>
      </c>
      <c r="AD244" s="163">
        <v>7.6690277999999996E-9</v>
      </c>
      <c r="AE244" s="163">
        <v>9.0031855000000004E-7</v>
      </c>
      <c r="AF244">
        <v>14.533987</v>
      </c>
      <c r="AG244">
        <v>0</v>
      </c>
      <c r="AH244">
        <v>0</v>
      </c>
      <c r="AI244">
        <v>5.6067219000000001</v>
      </c>
      <c r="AJ244">
        <v>0</v>
      </c>
      <c r="AK244">
        <v>0</v>
      </c>
      <c r="AL244">
        <v>53.119587000000003</v>
      </c>
      <c r="AM244">
        <v>0</v>
      </c>
      <c r="AN244">
        <v>0</v>
      </c>
      <c r="AO244">
        <v>0</v>
      </c>
      <c r="AP244">
        <v>4.7641060999999998E-2</v>
      </c>
      <c r="AQ244">
        <v>3.0826879000000001E-3</v>
      </c>
      <c r="AR244">
        <v>0.43775233000000002</v>
      </c>
      <c r="AS244" s="163">
        <v>9.2611630999999998E-5</v>
      </c>
      <c r="AT244">
        <v>0</v>
      </c>
      <c r="AU244">
        <v>0</v>
      </c>
      <c r="AV244">
        <v>0</v>
      </c>
      <c r="AW244">
        <v>0</v>
      </c>
      <c r="AX244">
        <v>0</v>
      </c>
    </row>
    <row r="245" spans="1:50">
      <c r="A245" t="s">
        <v>1494</v>
      </c>
      <c r="B245" s="189">
        <f t="shared" si="3"/>
        <v>1.3737476618511997</v>
      </c>
      <c r="C245">
        <v>2.0739072E-4</v>
      </c>
      <c r="D245">
        <v>6.6632003999999995E-2</v>
      </c>
      <c r="E245">
        <v>9.2551752999999994</v>
      </c>
      <c r="F245" s="163">
        <v>4.2264020000000002E-7</v>
      </c>
      <c r="G245">
        <v>4.4731362999999996E-3</v>
      </c>
      <c r="H245">
        <v>4.5912329000000002E-2</v>
      </c>
      <c r="I245">
        <v>6.3888948000000003E-3</v>
      </c>
      <c r="J245">
        <v>6.7552743</v>
      </c>
      <c r="K245">
        <v>8.0252776999999997E-2</v>
      </c>
      <c r="L245">
        <v>378.59323000000001</v>
      </c>
      <c r="M245">
        <v>3.2411322999999999E-2</v>
      </c>
      <c r="N245">
        <v>9.4799214999999997</v>
      </c>
      <c r="O245">
        <v>9.4745358999999993</v>
      </c>
      <c r="P245">
        <v>-1.1355519999999999E-2</v>
      </c>
      <c r="Q245">
        <v>1.6741104E-2</v>
      </c>
      <c r="R245" s="163">
        <v>4.2191758000000002E-7</v>
      </c>
      <c r="S245">
        <v>5.5660038000000002E-2</v>
      </c>
      <c r="T245">
        <v>9.778032900000001E-4</v>
      </c>
      <c r="U245">
        <v>8.4686178999999993E-3</v>
      </c>
      <c r="V245">
        <v>0.10521171999999999</v>
      </c>
      <c r="W245">
        <v>2.9137792999999999E-2</v>
      </c>
      <c r="X245">
        <v>2.0739205E-4</v>
      </c>
      <c r="Y245">
        <v>120.81151</v>
      </c>
      <c r="Z245">
        <v>3.638207</v>
      </c>
      <c r="AA245" s="163">
        <v>7.2259944999999999E-7</v>
      </c>
      <c r="AB245">
        <v>0.40961672999999998</v>
      </c>
      <c r="AC245">
        <v>228.40835000000001</v>
      </c>
      <c r="AD245" s="163">
        <v>1.3387917999999999E-8</v>
      </c>
      <c r="AE245" s="163">
        <v>2.3953278E-7</v>
      </c>
      <c r="AF245">
        <v>29.046986</v>
      </c>
      <c r="AG245">
        <v>0</v>
      </c>
      <c r="AH245">
        <v>0</v>
      </c>
      <c r="AI245">
        <v>11.860651000000001</v>
      </c>
      <c r="AJ245">
        <v>0</v>
      </c>
      <c r="AK245">
        <v>0</v>
      </c>
      <c r="AL245">
        <v>128.60335000000001</v>
      </c>
      <c r="AM245">
        <v>0</v>
      </c>
      <c r="AN245">
        <v>0</v>
      </c>
      <c r="AO245">
        <v>0</v>
      </c>
      <c r="AP245">
        <v>0.10893886999999999</v>
      </c>
      <c r="AQ245">
        <v>1.3285541000000001E-3</v>
      </c>
      <c r="AR245">
        <v>1.2678552999999999</v>
      </c>
      <c r="AS245">
        <v>3.1617625999999998E-4</v>
      </c>
      <c r="AT245">
        <v>0</v>
      </c>
      <c r="AU245">
        <v>0</v>
      </c>
      <c r="AV245">
        <v>0</v>
      </c>
      <c r="AW245">
        <v>0</v>
      </c>
      <c r="AX245">
        <v>0</v>
      </c>
    </row>
    <row r="246" spans="1:50">
      <c r="A246" t="s">
        <v>1495</v>
      </c>
      <c r="B246" s="189">
        <f t="shared" si="3"/>
        <v>0.8779705564696999</v>
      </c>
      <c r="C246">
        <v>1.8999347E-4</v>
      </c>
      <c r="D246">
        <v>5.1498323999999998E-2</v>
      </c>
      <c r="E246">
        <v>7.3749780999999999</v>
      </c>
      <c r="F246" s="163">
        <v>4.0378415E-7</v>
      </c>
      <c r="G246">
        <v>2.2905193000000001E-3</v>
      </c>
      <c r="H246">
        <v>3.9234179000000001E-2</v>
      </c>
      <c r="I246">
        <v>9.3961637999999993E-3</v>
      </c>
      <c r="J246">
        <v>2.5148486999999999</v>
      </c>
      <c r="K246">
        <v>6.3700409E-2</v>
      </c>
      <c r="L246">
        <v>256.30482000000001</v>
      </c>
      <c r="M246">
        <v>1.6305018000000001E-2</v>
      </c>
      <c r="N246">
        <v>7.5920911000000002</v>
      </c>
      <c r="O246">
        <v>7.4658389999999999</v>
      </c>
      <c r="P246">
        <v>0.11556651</v>
      </c>
      <c r="Q246">
        <v>1.0685653999999999E-2</v>
      </c>
      <c r="R246" s="163">
        <v>4.0701792000000003E-7</v>
      </c>
      <c r="S246">
        <v>5.0664092000000001E-2</v>
      </c>
      <c r="T246">
        <v>1.8242186000000001E-3</v>
      </c>
      <c r="U246">
        <v>7.37187E-3</v>
      </c>
      <c r="V246">
        <v>0.1212968</v>
      </c>
      <c r="W246">
        <v>2.14617E-2</v>
      </c>
      <c r="X246">
        <v>1.8999353999999999E-4</v>
      </c>
      <c r="Y246">
        <v>96.384255999999993</v>
      </c>
      <c r="Z246">
        <v>1.6510562</v>
      </c>
      <c r="AA246" s="163">
        <v>4.5049585999999998E-7</v>
      </c>
      <c r="AB246">
        <v>0.34984443999999998</v>
      </c>
      <c r="AC246">
        <v>215.68117000000001</v>
      </c>
      <c r="AD246" s="163">
        <v>3.4884763E-9</v>
      </c>
      <c r="AE246" s="163">
        <v>1.0509588E-7</v>
      </c>
      <c r="AF246">
        <v>23.021069000000001</v>
      </c>
      <c r="AG246">
        <v>0</v>
      </c>
      <c r="AH246">
        <v>0</v>
      </c>
      <c r="AI246">
        <v>9.1829950999999994</v>
      </c>
      <c r="AJ246">
        <v>0</v>
      </c>
      <c r="AK246">
        <v>0</v>
      </c>
      <c r="AL246">
        <v>102.84757</v>
      </c>
      <c r="AM246">
        <v>0</v>
      </c>
      <c r="AN246">
        <v>0</v>
      </c>
      <c r="AO246">
        <v>0</v>
      </c>
      <c r="AP246">
        <v>5.6984979999999998E-2</v>
      </c>
      <c r="AQ246">
        <v>4.3376078999999998E-4</v>
      </c>
      <c r="AR246">
        <v>0.64089770000000001</v>
      </c>
      <c r="AS246">
        <v>3.2667725999999998E-4</v>
      </c>
      <c r="AT246">
        <v>0</v>
      </c>
      <c r="AU246">
        <v>0</v>
      </c>
      <c r="AV246">
        <v>0</v>
      </c>
      <c r="AW246">
        <v>0</v>
      </c>
      <c r="AX246">
        <v>0</v>
      </c>
    </row>
    <row r="247" spans="1:50">
      <c r="A247" t="s">
        <v>1496</v>
      </c>
      <c r="B247" s="189">
        <f t="shared" si="3"/>
        <v>1.2852443775496001</v>
      </c>
      <c r="C247">
        <v>2.3498061000000001E-4</v>
      </c>
      <c r="D247">
        <v>7.6841590000000001E-2</v>
      </c>
      <c r="E247">
        <v>10.868895</v>
      </c>
      <c r="F247" s="163">
        <v>1.0932913999999999E-6</v>
      </c>
      <c r="G247">
        <v>7.1301862999999998E-3</v>
      </c>
      <c r="H247">
        <v>5.0501378999999999E-2</v>
      </c>
      <c r="I247">
        <v>8.3607665999999997E-3</v>
      </c>
      <c r="J247">
        <v>4.3312876999999999</v>
      </c>
      <c r="K247">
        <v>9.0252047000000002E-2</v>
      </c>
      <c r="L247">
        <v>440.95213999999999</v>
      </c>
      <c r="M247">
        <v>2.1718685000000001E-2</v>
      </c>
      <c r="N247">
        <v>11.114277</v>
      </c>
      <c r="O247">
        <v>11.064624</v>
      </c>
      <c r="P247">
        <v>3.2859528999999998E-2</v>
      </c>
      <c r="Q247">
        <v>1.6793483000000001E-2</v>
      </c>
      <c r="R247" s="163">
        <v>1.0366773999999999E-6</v>
      </c>
      <c r="S247">
        <v>6.1840550000000001E-2</v>
      </c>
      <c r="T247">
        <v>1.1200253000000001E-3</v>
      </c>
      <c r="U247">
        <v>1.0912366999999999E-2</v>
      </c>
      <c r="V247">
        <v>0.12504773999999999</v>
      </c>
      <c r="W247">
        <v>3.8463962999999997E-2</v>
      </c>
      <c r="X247">
        <v>2.3497962E-4</v>
      </c>
      <c r="Y247">
        <v>139.81836000000001</v>
      </c>
      <c r="Z247">
        <v>9.0571067999999997</v>
      </c>
      <c r="AA247" s="163">
        <v>5.9438898999999995E-7</v>
      </c>
      <c r="AB247">
        <v>0.48069603999999999</v>
      </c>
      <c r="AC247">
        <v>271.05520000000001</v>
      </c>
      <c r="AD247" s="163">
        <v>6.3880797999999997E-9</v>
      </c>
      <c r="AE247" s="163">
        <v>3.0608244000000001E-7</v>
      </c>
      <c r="AF247">
        <v>33.036309000000003</v>
      </c>
      <c r="AG247">
        <v>0</v>
      </c>
      <c r="AH247">
        <v>0</v>
      </c>
      <c r="AI247">
        <v>22.908179000000001</v>
      </c>
      <c r="AJ247">
        <v>0</v>
      </c>
      <c r="AK247">
        <v>0</v>
      </c>
      <c r="AL247">
        <v>149.23676</v>
      </c>
      <c r="AM247">
        <v>0</v>
      </c>
      <c r="AN247">
        <v>0</v>
      </c>
      <c r="AO247">
        <v>0</v>
      </c>
      <c r="AP247">
        <v>0.31042181000000002</v>
      </c>
      <c r="AQ247">
        <v>5.0380030000000001E-3</v>
      </c>
      <c r="AR247">
        <v>1.3085941999999999</v>
      </c>
      <c r="AS247">
        <v>3.7790327000000002E-4</v>
      </c>
      <c r="AT247">
        <v>0</v>
      </c>
      <c r="AU247">
        <v>0</v>
      </c>
      <c r="AV247">
        <v>0</v>
      </c>
      <c r="AW247">
        <v>0</v>
      </c>
      <c r="AX247">
        <v>0</v>
      </c>
    </row>
    <row r="248" spans="1:50">
      <c r="A248" t="s">
        <v>1497</v>
      </c>
      <c r="B248" s="189">
        <f t="shared" si="3"/>
        <v>1.0237433677376999</v>
      </c>
      <c r="C248">
        <v>2.3413823E-4</v>
      </c>
      <c r="D248">
        <v>5.7839488000000001E-2</v>
      </c>
      <c r="E248">
        <v>8.2162562000000001</v>
      </c>
      <c r="F248" s="163">
        <v>9.8658803E-7</v>
      </c>
      <c r="G248">
        <v>6.5336591999999999E-3</v>
      </c>
      <c r="H248">
        <v>3.9421997E-2</v>
      </c>
      <c r="I248">
        <v>6.7869287E-3</v>
      </c>
      <c r="J248">
        <v>3.6988853000000002</v>
      </c>
      <c r="K248">
        <v>7.4129751999999993E-2</v>
      </c>
      <c r="L248">
        <v>356.26170000000002</v>
      </c>
      <c r="M248">
        <v>1.7029593999999999E-2</v>
      </c>
      <c r="N248">
        <v>8.4155023</v>
      </c>
      <c r="O248">
        <v>8.3639174000000001</v>
      </c>
      <c r="P248">
        <v>3.9209949000000001E-2</v>
      </c>
      <c r="Q248">
        <v>1.2375016000000001E-2</v>
      </c>
      <c r="R248" s="163">
        <v>9.2711146000000005E-7</v>
      </c>
      <c r="S248">
        <v>4.8454865E-2</v>
      </c>
      <c r="T248">
        <v>9.6985663000000004E-4</v>
      </c>
      <c r="U248">
        <v>8.6726458999999995E-3</v>
      </c>
      <c r="V248">
        <v>9.8846853999999998E-2</v>
      </c>
      <c r="W248">
        <v>3.170659E-2</v>
      </c>
      <c r="X248">
        <v>2.3413719000000001E-4</v>
      </c>
      <c r="Y248">
        <v>106.20799</v>
      </c>
      <c r="Z248">
        <v>10.031394000000001</v>
      </c>
      <c r="AA248" s="163">
        <v>4.9769169000000005E-7</v>
      </c>
      <c r="AB248">
        <v>0.34996047000000002</v>
      </c>
      <c r="AC248">
        <v>220.57140000000001</v>
      </c>
      <c r="AD248" s="163">
        <v>5.9008483999999998E-9</v>
      </c>
      <c r="AE248" s="163">
        <v>2.8286701E-7</v>
      </c>
      <c r="AF248">
        <v>29.083029</v>
      </c>
      <c r="AG248">
        <v>0</v>
      </c>
      <c r="AH248">
        <v>0</v>
      </c>
      <c r="AI248">
        <v>21.149336999999999</v>
      </c>
      <c r="AJ248">
        <v>0</v>
      </c>
      <c r="AK248">
        <v>0</v>
      </c>
      <c r="AL248">
        <v>113.41958</v>
      </c>
      <c r="AM248">
        <v>0</v>
      </c>
      <c r="AN248">
        <v>0</v>
      </c>
      <c r="AO248">
        <v>0</v>
      </c>
      <c r="AP248">
        <v>0.33686134000000001</v>
      </c>
      <c r="AQ248">
        <v>7.3727947E-3</v>
      </c>
      <c r="AR248">
        <v>0.84102056000000003</v>
      </c>
      <c r="AS248">
        <v>2.8641217999999998E-4</v>
      </c>
      <c r="AT248">
        <v>0</v>
      </c>
      <c r="AU248">
        <v>0</v>
      </c>
      <c r="AV248">
        <v>0</v>
      </c>
      <c r="AW248">
        <v>0</v>
      </c>
      <c r="AX248">
        <v>0</v>
      </c>
    </row>
    <row r="249" spans="1:50">
      <c r="A249" s="147" t="s">
        <v>1498</v>
      </c>
      <c r="B249" s="189">
        <f t="shared" si="3"/>
        <v>0</v>
      </c>
      <c r="F249" s="163"/>
      <c r="R249" s="163"/>
      <c r="AA249" s="163"/>
      <c r="AD249" s="163"/>
      <c r="AE249" s="163"/>
    </row>
    <row r="250" spans="1:50">
      <c r="A250" t="s">
        <v>1499</v>
      </c>
      <c r="B250" s="189">
        <f t="shared" si="3"/>
        <v>7.8068538017455197E-2</v>
      </c>
      <c r="C250" s="163">
        <v>2.2824147E-7</v>
      </c>
      <c r="D250">
        <v>4.6255764999999999E-3</v>
      </c>
      <c r="E250">
        <v>0.87111806999999997</v>
      </c>
      <c r="F250" s="163">
        <v>7.0516994E-8</v>
      </c>
      <c r="G250">
        <v>2.3853184E-4</v>
      </c>
      <c r="H250">
        <v>4.2165609999999997E-3</v>
      </c>
      <c r="I250">
        <v>3.7932150999999998E-4</v>
      </c>
      <c r="J250">
        <v>0.12746097000000001</v>
      </c>
      <c r="K250">
        <v>2.1140492999999999E-3</v>
      </c>
      <c r="L250">
        <v>14.11439</v>
      </c>
      <c r="M250">
        <v>1.1140200000000001E-3</v>
      </c>
      <c r="N250">
        <v>0.88620399000000005</v>
      </c>
      <c r="O250">
        <v>0.87754679999999996</v>
      </c>
      <c r="P250">
        <v>8.0631112000000005E-3</v>
      </c>
      <c r="Q250">
        <v>5.9408218000000005E-4</v>
      </c>
      <c r="R250" s="163">
        <v>6.927995E-8</v>
      </c>
      <c r="S250">
        <v>5.1348566999999999E-3</v>
      </c>
      <c r="T250" s="163">
        <v>3.183729E-5</v>
      </c>
      <c r="U250">
        <v>6.2914104999999996E-4</v>
      </c>
      <c r="V250">
        <v>9.0789492999999999E-3</v>
      </c>
      <c r="W250">
        <v>1.9883253000000001E-3</v>
      </c>
      <c r="X250" s="163">
        <v>2.2824344E-7</v>
      </c>
      <c r="Y250">
        <v>10.542835</v>
      </c>
      <c r="Z250">
        <v>0.10314853</v>
      </c>
      <c r="AA250" s="163">
        <v>4.0128509999999998E-8</v>
      </c>
      <c r="AB250">
        <v>5.2341049000000001E-2</v>
      </c>
      <c r="AC250">
        <v>10.372004</v>
      </c>
      <c r="AD250" s="163">
        <v>1.4411146999999999E-10</v>
      </c>
      <c r="AE250" s="163">
        <v>5.5876681000000002E-9</v>
      </c>
      <c r="AF250">
        <v>1.6556702999999999</v>
      </c>
      <c r="AG250">
        <v>0</v>
      </c>
      <c r="AH250">
        <v>0</v>
      </c>
      <c r="AI250">
        <v>0.89281412000000004</v>
      </c>
      <c r="AJ250">
        <v>0</v>
      </c>
      <c r="AK250">
        <v>0</v>
      </c>
      <c r="AL250">
        <v>11.317434</v>
      </c>
      <c r="AM250">
        <v>0</v>
      </c>
      <c r="AN250">
        <v>0</v>
      </c>
      <c r="AO250">
        <v>0</v>
      </c>
      <c r="AP250">
        <v>4.9867117000000002E-3</v>
      </c>
      <c r="AQ250" s="163">
        <v>1.2274674999999999E-5</v>
      </c>
      <c r="AR250">
        <v>4.6797212999999997E-2</v>
      </c>
      <c r="AS250" s="163">
        <v>4.6745366999999998E-5</v>
      </c>
      <c r="AT250">
        <v>0</v>
      </c>
      <c r="AU250">
        <v>0</v>
      </c>
      <c r="AV250">
        <v>0</v>
      </c>
      <c r="AW250">
        <v>0</v>
      </c>
      <c r="AX250">
        <v>0</v>
      </c>
    </row>
    <row r="251" spans="1:50">
      <c r="A251" t="s">
        <v>1500</v>
      </c>
      <c r="B251" s="189">
        <f t="shared" si="3"/>
        <v>5.3274503739617285E-2</v>
      </c>
      <c r="C251" s="163">
        <v>4.0308008000000002E-8</v>
      </c>
      <c r="D251">
        <v>1.7998105999999999E-4</v>
      </c>
      <c r="E251">
        <v>0.51951643000000003</v>
      </c>
      <c r="F251" s="163">
        <v>3.9228512000000003E-9</v>
      </c>
      <c r="G251" s="163">
        <v>1.3911892E-5</v>
      </c>
      <c r="H251">
        <v>2.2703373999999999E-4</v>
      </c>
      <c r="I251" s="163">
        <v>8.3061196999999995E-5</v>
      </c>
      <c r="J251">
        <v>9.0777567000000003E-2</v>
      </c>
      <c r="K251">
        <v>2.8358435000000001E-2</v>
      </c>
      <c r="L251">
        <v>165.30876000000001</v>
      </c>
      <c r="M251">
        <v>5.7735896999999996E-4</v>
      </c>
      <c r="N251">
        <v>1.2732517999999999</v>
      </c>
      <c r="O251">
        <v>0.52150492999999998</v>
      </c>
      <c r="P251">
        <v>0.75173966999999997</v>
      </c>
      <c r="Q251" s="163">
        <v>7.2550691000000004E-6</v>
      </c>
      <c r="R251" s="163">
        <v>4.4646824000000003E-9</v>
      </c>
      <c r="S251">
        <v>3.1246270000000003E-4</v>
      </c>
      <c r="T251" s="163">
        <v>8.3505534999999998E-7</v>
      </c>
      <c r="U251">
        <v>1.32986E-4</v>
      </c>
      <c r="V251">
        <v>1.3828617E-3</v>
      </c>
      <c r="W251">
        <v>3.4152124999999999E-4</v>
      </c>
      <c r="X251" s="163">
        <v>4.0314052000000003E-8</v>
      </c>
      <c r="Y251">
        <v>0.34883491999999999</v>
      </c>
      <c r="Z251">
        <v>6.7377694000000002E-2</v>
      </c>
      <c r="AA251" s="163">
        <v>2.6179433E-9</v>
      </c>
      <c r="AB251">
        <v>9.1530441999999998E-4</v>
      </c>
      <c r="AC251">
        <v>2.5958272</v>
      </c>
      <c r="AD251" s="163">
        <v>1.4356592999999999E-10</v>
      </c>
      <c r="AE251" s="163">
        <v>5.4580999999999996E-9</v>
      </c>
      <c r="AF251">
        <v>0.19145039</v>
      </c>
      <c r="AG251">
        <v>0</v>
      </c>
      <c r="AH251">
        <v>0</v>
      </c>
      <c r="AI251">
        <v>1.0170054E-2</v>
      </c>
      <c r="AJ251">
        <v>0</v>
      </c>
      <c r="AK251">
        <v>0</v>
      </c>
      <c r="AL251">
        <v>0.37658829999999999</v>
      </c>
      <c r="AM251">
        <v>0</v>
      </c>
      <c r="AN251">
        <v>0</v>
      </c>
      <c r="AO251">
        <v>0</v>
      </c>
      <c r="AP251">
        <v>1.1359390999999999E-3</v>
      </c>
      <c r="AQ251" s="163">
        <v>9.9854684999999996E-7</v>
      </c>
      <c r="AR251">
        <v>5.3305915000000002E-2</v>
      </c>
      <c r="AS251" s="163">
        <v>1.2409822000000001E-6</v>
      </c>
      <c r="AT251">
        <v>0</v>
      </c>
      <c r="AU251">
        <v>0</v>
      </c>
      <c r="AV251">
        <v>0</v>
      </c>
      <c r="AW251">
        <v>0</v>
      </c>
      <c r="AX251">
        <v>0</v>
      </c>
    </row>
    <row r="252" spans="1:50">
      <c r="A252" t="s">
        <v>1501</v>
      </c>
      <c r="B252" s="189">
        <f t="shared" si="3"/>
        <v>4.6607399986545997E-3</v>
      </c>
      <c r="C252" s="163">
        <v>2.4554110000000001E-8</v>
      </c>
      <c r="D252">
        <v>3.1873900000000001E-4</v>
      </c>
      <c r="E252">
        <v>3.960491E-2</v>
      </c>
      <c r="F252" s="163">
        <v>4.1191698999999999E-9</v>
      </c>
      <c r="G252" s="163">
        <v>2.6445491000000002E-5</v>
      </c>
      <c r="H252">
        <v>2.2146764999999999E-4</v>
      </c>
      <c r="I252" s="163">
        <v>2.9788123999999999E-5</v>
      </c>
      <c r="J252">
        <v>1.4309422E-2</v>
      </c>
      <c r="K252">
        <v>4.7214653E-4</v>
      </c>
      <c r="L252">
        <v>1.1604266999999999</v>
      </c>
      <c r="M252" s="163">
        <v>7.4316850000000003E-5</v>
      </c>
      <c r="N252">
        <v>4.1054424999999999E-2</v>
      </c>
      <c r="O252">
        <v>4.0593270000000001E-2</v>
      </c>
      <c r="P252">
        <v>4.2825032E-4</v>
      </c>
      <c r="Q252" s="163">
        <v>3.2904397000000001E-5</v>
      </c>
      <c r="R252" s="163">
        <v>4.9311920999999996E-9</v>
      </c>
      <c r="S252">
        <v>2.7635229999999999E-4</v>
      </c>
      <c r="T252" s="163">
        <v>1.7078631999999999E-6</v>
      </c>
      <c r="U252" s="163">
        <v>6.1899511000000003E-5</v>
      </c>
      <c r="V252">
        <v>7.1412606999999998E-4</v>
      </c>
      <c r="W252">
        <v>2.0693312999999999E-4</v>
      </c>
      <c r="X252" s="163">
        <v>2.4554761E-8</v>
      </c>
      <c r="Y252">
        <v>0.59804807000000004</v>
      </c>
      <c r="Z252">
        <v>1.6519842999999999E-2</v>
      </c>
      <c r="AA252" s="163">
        <v>3.6132752999999999E-9</v>
      </c>
      <c r="AB252">
        <v>2.125264E-3</v>
      </c>
      <c r="AC252">
        <v>619.73595999999998</v>
      </c>
      <c r="AD252" s="163">
        <v>3.4690142000000003E-11</v>
      </c>
      <c r="AE252" s="163">
        <v>9.7700827999999991E-10</v>
      </c>
      <c r="AF252">
        <v>0.69451489</v>
      </c>
      <c r="AG252">
        <v>0</v>
      </c>
      <c r="AH252">
        <v>0</v>
      </c>
      <c r="AI252">
        <v>3.2741373999999997E-2</v>
      </c>
      <c r="AJ252">
        <v>0</v>
      </c>
      <c r="AK252">
        <v>0</v>
      </c>
      <c r="AL252">
        <v>0.63587092000000001</v>
      </c>
      <c r="AM252">
        <v>0</v>
      </c>
      <c r="AN252">
        <v>0</v>
      </c>
      <c r="AO252">
        <v>0</v>
      </c>
      <c r="AP252">
        <v>4.4209598999999999E-4</v>
      </c>
      <c r="AQ252" s="163">
        <v>5.8382499000000004E-7</v>
      </c>
      <c r="AR252">
        <v>1.0167373</v>
      </c>
      <c r="AS252" s="163">
        <v>2.5240083999999999E-6</v>
      </c>
      <c r="AT252">
        <v>0</v>
      </c>
      <c r="AU252">
        <v>0</v>
      </c>
      <c r="AV252">
        <v>0</v>
      </c>
      <c r="AW252">
        <v>0</v>
      </c>
      <c r="AX252">
        <v>0</v>
      </c>
    </row>
    <row r="253" spans="1:50">
      <c r="A253" t="s">
        <v>1502</v>
      </c>
      <c r="B253" s="189">
        <f t="shared" si="3"/>
        <v>7.4328693640993582E-4</v>
      </c>
      <c r="C253" s="163">
        <v>5.9457370999999997E-9</v>
      </c>
      <c r="D253" s="163">
        <v>7.7202086000000006E-5</v>
      </c>
      <c r="E253">
        <v>5.2819605999999998E-3</v>
      </c>
      <c r="F253" s="163">
        <v>1.9045989999999999E-9</v>
      </c>
      <c r="G253" s="163">
        <v>5.7502302999999998E-6</v>
      </c>
      <c r="H253" s="163">
        <v>3.9821228000000001E-5</v>
      </c>
      <c r="I253" s="163">
        <v>7.5311986E-6</v>
      </c>
      <c r="J253">
        <v>2.2967348999999998E-3</v>
      </c>
      <c r="K253" s="163">
        <v>5.5625991000000001E-5</v>
      </c>
      <c r="L253">
        <v>0.19493342999999999</v>
      </c>
      <c r="M253" s="163">
        <v>5.7343271999999999E-6</v>
      </c>
      <c r="N253">
        <v>5.3969352999999999E-3</v>
      </c>
      <c r="O253">
        <v>5.3862720999999997E-3</v>
      </c>
      <c r="P253" s="163">
        <v>9.2073338000000006E-6</v>
      </c>
      <c r="Q253" s="163">
        <v>1.4559072999999999E-6</v>
      </c>
      <c r="R253" s="163">
        <v>2.3989378000000001E-9</v>
      </c>
      <c r="S253" s="163">
        <v>5.2256492999999998E-5</v>
      </c>
      <c r="T253" s="163">
        <v>9.4861178000000002E-8</v>
      </c>
      <c r="U253" s="163">
        <v>1.7140547000000002E-5</v>
      </c>
      <c r="V253">
        <v>1.8990607000000001E-4</v>
      </c>
      <c r="W253" s="163">
        <v>5.5303984000000001E-5</v>
      </c>
      <c r="X253" s="163">
        <v>5.9458232999999999E-9</v>
      </c>
      <c r="Y253">
        <v>0.16233148999999999</v>
      </c>
      <c r="Z253">
        <v>7.1710382999999999E-3</v>
      </c>
      <c r="AA253" s="163">
        <v>9.7683501000000001E-10</v>
      </c>
      <c r="AB253">
        <v>6.7183716000000001E-4</v>
      </c>
      <c r="AC253">
        <v>9.6042305999999994E-2</v>
      </c>
      <c r="AD253" s="163">
        <v>2.1108464E-12</v>
      </c>
      <c r="AE253" s="163">
        <v>6.8110913999999996E-11</v>
      </c>
      <c r="AF253">
        <v>0.31003019999999998</v>
      </c>
      <c r="AG253">
        <v>0</v>
      </c>
      <c r="AH253">
        <v>0</v>
      </c>
      <c r="AI253">
        <v>1.3278553000000001E-3</v>
      </c>
      <c r="AJ253">
        <v>0</v>
      </c>
      <c r="AK253">
        <v>0</v>
      </c>
      <c r="AL253">
        <v>0.17242046</v>
      </c>
      <c r="AM253">
        <v>0</v>
      </c>
      <c r="AN253">
        <v>0</v>
      </c>
      <c r="AO253">
        <v>0</v>
      </c>
      <c r="AP253">
        <v>1.693589E-4</v>
      </c>
      <c r="AQ253" s="163">
        <v>1.0858188E-7</v>
      </c>
      <c r="AR253">
        <v>0.99966131999999996</v>
      </c>
      <c r="AS253" s="163">
        <v>1.0735633E-6</v>
      </c>
      <c r="AT253">
        <v>0</v>
      </c>
      <c r="AU253">
        <v>0</v>
      </c>
      <c r="AV253">
        <v>0</v>
      </c>
      <c r="AW253">
        <v>0</v>
      </c>
      <c r="AX253">
        <v>0</v>
      </c>
    </row>
    <row r="254" spans="1:50">
      <c r="A254" t="s">
        <v>1503</v>
      </c>
      <c r="B254" s="189">
        <f t="shared" si="3"/>
        <v>8.3378195821044807E-3</v>
      </c>
      <c r="C254" s="163">
        <v>1.4294302999999999E-8</v>
      </c>
      <c r="D254">
        <v>1.3177353000000001E-4</v>
      </c>
      <c r="E254">
        <v>0.12820218</v>
      </c>
      <c r="F254" s="163">
        <v>2.8996091999999998E-9</v>
      </c>
      <c r="G254" s="163">
        <v>3.1866014999999997E-5</v>
      </c>
      <c r="H254">
        <v>1.3669473000000001E-4</v>
      </c>
      <c r="I254" s="163">
        <v>6.0323104000000003E-5</v>
      </c>
      <c r="J254">
        <v>6.1196871999999996E-3</v>
      </c>
      <c r="K254">
        <v>1.4166700000000001E-3</v>
      </c>
      <c r="L254">
        <v>1.5879749999999999</v>
      </c>
      <c r="M254" s="163">
        <v>1.7486799000000001E-5</v>
      </c>
      <c r="N254">
        <v>0.15003474999999999</v>
      </c>
      <c r="O254">
        <v>0.14993645999999999</v>
      </c>
      <c r="P254" s="163">
        <v>9.3186077999999999E-5</v>
      </c>
      <c r="Q254" s="163">
        <v>5.1095266999999998E-6</v>
      </c>
      <c r="R254" s="163">
        <v>3.6118016E-9</v>
      </c>
      <c r="S254">
        <v>1.6565281000000001E-4</v>
      </c>
      <c r="T254" s="163">
        <v>3.0472899999999998E-7</v>
      </c>
      <c r="U254">
        <v>1.2814626000000001E-4</v>
      </c>
      <c r="V254">
        <v>3.4854063999999998E-4</v>
      </c>
      <c r="W254">
        <v>1.3581737999999999E-4</v>
      </c>
      <c r="X254" s="163">
        <v>1.429448E-8</v>
      </c>
      <c r="Y254">
        <v>0.27616696000000002</v>
      </c>
      <c r="Z254">
        <v>1.1704641E-2</v>
      </c>
      <c r="AA254" s="163">
        <v>1.8075151000000001E-9</v>
      </c>
      <c r="AB254">
        <v>1.1235583000000001E-3</v>
      </c>
      <c r="AC254">
        <v>0.33253781999999998</v>
      </c>
      <c r="AD254" s="163">
        <v>7.0960705E-12</v>
      </c>
      <c r="AE254" s="163">
        <v>1.4315245E-10</v>
      </c>
      <c r="AF254">
        <v>0.59450387999999998</v>
      </c>
      <c r="AG254">
        <v>0</v>
      </c>
      <c r="AH254">
        <v>0</v>
      </c>
      <c r="AI254">
        <v>5.3879987000000004E-3</v>
      </c>
      <c r="AJ254">
        <v>0</v>
      </c>
      <c r="AK254">
        <v>0</v>
      </c>
      <c r="AL254">
        <v>0.29335673000000001</v>
      </c>
      <c r="AM254">
        <v>0</v>
      </c>
      <c r="AN254">
        <v>0</v>
      </c>
      <c r="AO254">
        <v>0</v>
      </c>
      <c r="AP254">
        <v>2.8343379000000002E-4</v>
      </c>
      <c r="AQ254" s="163">
        <v>2.164052E-7</v>
      </c>
      <c r="AR254">
        <v>1.0022709999999999</v>
      </c>
      <c r="AS254" s="163">
        <v>1.68477E-6</v>
      </c>
      <c r="AT254">
        <v>0</v>
      </c>
      <c r="AU254">
        <v>0</v>
      </c>
      <c r="AV254">
        <v>0</v>
      </c>
      <c r="AW254">
        <v>0</v>
      </c>
      <c r="AX254">
        <v>0</v>
      </c>
    </row>
    <row r="255" spans="1:50">
      <c r="A255" t="s">
        <v>1504</v>
      </c>
      <c r="B255" s="189">
        <f t="shared" si="3"/>
        <v>8.2584808004598411E-3</v>
      </c>
      <c r="C255" s="163">
        <v>1.4030348999999999E-8</v>
      </c>
      <c r="D255">
        <v>1.3172031999999999E-4</v>
      </c>
      <c r="E255">
        <v>0.133295</v>
      </c>
      <c r="F255" s="163">
        <v>2.8762808000000002E-9</v>
      </c>
      <c r="G255" s="163">
        <v>3.0256806000000001E-5</v>
      </c>
      <c r="H255" s="163">
        <v>7.4137250000000002E-5</v>
      </c>
      <c r="I255" s="163">
        <v>3.4506530000000001E-5</v>
      </c>
      <c r="J255">
        <v>7.0863183999999996E-3</v>
      </c>
      <c r="K255">
        <v>1.7312905000000001E-3</v>
      </c>
      <c r="L255">
        <v>2.1383988</v>
      </c>
      <c r="M255" s="163">
        <v>2.3306383000000001E-5</v>
      </c>
      <c r="N255">
        <v>0.15605466000000001</v>
      </c>
      <c r="O255">
        <v>0.15593853999999999</v>
      </c>
      <c r="P255">
        <v>1.1116333E-4</v>
      </c>
      <c r="Q255" s="163">
        <v>4.9568202000000001E-6</v>
      </c>
      <c r="R255" s="163">
        <v>3.5982519999999999E-9</v>
      </c>
      <c r="S255" s="163">
        <v>9.6901488000000001E-5</v>
      </c>
      <c r="T255" s="163">
        <v>2.8253351E-7</v>
      </c>
      <c r="U255" s="163">
        <v>6.8499090999999998E-5</v>
      </c>
      <c r="V255">
        <v>3.4244058999999998E-4</v>
      </c>
      <c r="W255">
        <v>1.3252570999999999E-4</v>
      </c>
      <c r="X255" s="163">
        <v>1.4030516E-8</v>
      </c>
      <c r="Y255">
        <v>0.27337302000000002</v>
      </c>
      <c r="Z255">
        <v>1.1655476999999999E-2</v>
      </c>
      <c r="AA255" s="163">
        <v>1.7663087999999999E-9</v>
      </c>
      <c r="AB255">
        <v>1.0795999E-3</v>
      </c>
      <c r="AC255">
        <v>0.33127275</v>
      </c>
      <c r="AD255" s="163">
        <v>7.4451648999999998E-12</v>
      </c>
      <c r="AE255" s="163">
        <v>1.9628894000000001E-10</v>
      </c>
      <c r="AF255">
        <v>0.59341739999999998</v>
      </c>
      <c r="AG255">
        <v>0</v>
      </c>
      <c r="AH255">
        <v>0</v>
      </c>
      <c r="AI255">
        <v>4.5945839999999996E-3</v>
      </c>
      <c r="AJ255">
        <v>0</v>
      </c>
      <c r="AK255">
        <v>0</v>
      </c>
      <c r="AL255">
        <v>0.29051076999999997</v>
      </c>
      <c r="AM255">
        <v>0</v>
      </c>
      <c r="AN255">
        <v>0</v>
      </c>
      <c r="AO255">
        <v>0</v>
      </c>
      <c r="AP255">
        <v>2.7987500000000001E-4</v>
      </c>
      <c r="AQ255" s="163">
        <v>2.1352927999999999E-7</v>
      </c>
      <c r="AR255">
        <v>1.0022495</v>
      </c>
      <c r="AS255" s="163">
        <v>1.6447065E-6</v>
      </c>
      <c r="AT255">
        <v>0</v>
      </c>
      <c r="AU255">
        <v>0</v>
      </c>
      <c r="AV255">
        <v>0</v>
      </c>
      <c r="AW255">
        <v>0</v>
      </c>
      <c r="AX255">
        <v>0</v>
      </c>
    </row>
    <row r="256" spans="1:50">
      <c r="A256" t="s">
        <v>1505</v>
      </c>
      <c r="B256" s="189">
        <f t="shared" si="3"/>
        <v>7.4328693640993582E-4</v>
      </c>
      <c r="C256" s="163">
        <v>5.9457370999999997E-9</v>
      </c>
      <c r="D256" s="163">
        <v>7.7202086000000006E-5</v>
      </c>
      <c r="E256">
        <v>5.2819605999999998E-3</v>
      </c>
      <c r="F256" s="163">
        <v>1.9045989999999999E-9</v>
      </c>
      <c r="G256" s="163">
        <v>5.7502302999999998E-6</v>
      </c>
      <c r="H256" s="163">
        <v>3.9821228000000001E-5</v>
      </c>
      <c r="I256" s="163">
        <v>7.5311986E-6</v>
      </c>
      <c r="J256">
        <v>2.2967348999999998E-3</v>
      </c>
      <c r="K256" s="163">
        <v>5.5625991000000001E-5</v>
      </c>
      <c r="L256">
        <v>0.19493342999999999</v>
      </c>
      <c r="M256" s="163">
        <v>5.7343271999999999E-6</v>
      </c>
      <c r="N256">
        <v>5.3969352999999999E-3</v>
      </c>
      <c r="O256">
        <v>5.3862720999999997E-3</v>
      </c>
      <c r="P256" s="163">
        <v>9.2073338000000006E-6</v>
      </c>
      <c r="Q256" s="163">
        <v>1.4559072999999999E-6</v>
      </c>
      <c r="R256" s="163">
        <v>2.3989378000000001E-9</v>
      </c>
      <c r="S256" s="163">
        <v>5.2256492999999998E-5</v>
      </c>
      <c r="T256" s="163">
        <v>9.4861178000000002E-8</v>
      </c>
      <c r="U256" s="163">
        <v>1.7140547000000002E-5</v>
      </c>
      <c r="V256">
        <v>1.8990607000000001E-4</v>
      </c>
      <c r="W256" s="163">
        <v>5.5303984000000001E-5</v>
      </c>
      <c r="X256" s="163">
        <v>5.9458232999999999E-9</v>
      </c>
      <c r="Y256">
        <v>0.16233148999999999</v>
      </c>
      <c r="Z256">
        <v>7.1710382999999999E-3</v>
      </c>
      <c r="AA256" s="163">
        <v>9.7683501000000001E-10</v>
      </c>
      <c r="AB256">
        <v>6.7183716000000001E-4</v>
      </c>
      <c r="AC256">
        <v>9.6042305999999994E-2</v>
      </c>
      <c r="AD256" s="163">
        <v>2.1108464E-12</v>
      </c>
      <c r="AE256" s="163">
        <v>6.8110913999999996E-11</v>
      </c>
      <c r="AF256">
        <v>0.31003019999999998</v>
      </c>
      <c r="AG256">
        <v>0</v>
      </c>
      <c r="AH256">
        <v>0</v>
      </c>
      <c r="AI256">
        <v>1.3278553000000001E-3</v>
      </c>
      <c r="AJ256">
        <v>0</v>
      </c>
      <c r="AK256">
        <v>0</v>
      </c>
      <c r="AL256">
        <v>0.17242046</v>
      </c>
      <c r="AM256">
        <v>0</v>
      </c>
      <c r="AN256">
        <v>0</v>
      </c>
      <c r="AO256">
        <v>0</v>
      </c>
      <c r="AP256">
        <v>1.693589E-4</v>
      </c>
      <c r="AQ256" s="163">
        <v>1.0858188E-7</v>
      </c>
      <c r="AR256">
        <v>0.99966131999999996</v>
      </c>
      <c r="AS256" s="163">
        <v>1.0735633E-6</v>
      </c>
      <c r="AT256">
        <v>0</v>
      </c>
      <c r="AU256">
        <v>0</v>
      </c>
      <c r="AV256">
        <v>0</v>
      </c>
      <c r="AW256">
        <v>0</v>
      </c>
      <c r="AX256">
        <v>0</v>
      </c>
    </row>
    <row r="257" spans="1:50">
      <c r="A257" t="s">
        <v>1506</v>
      </c>
      <c r="B257" s="189">
        <f t="shared" si="3"/>
        <v>6.090781351946159E-4</v>
      </c>
      <c r="C257" s="163">
        <v>4.6081726000000002E-9</v>
      </c>
      <c r="D257" s="163">
        <v>6.630311E-5</v>
      </c>
      <c r="E257">
        <v>4.2489334E-3</v>
      </c>
      <c r="F257" s="163">
        <v>1.7041044999999999E-9</v>
      </c>
      <c r="G257" s="163">
        <v>4.6556040000000001E-6</v>
      </c>
      <c r="H257" s="163">
        <v>3.1559641000000001E-5</v>
      </c>
      <c r="I257" s="163">
        <v>6.6989251000000003E-6</v>
      </c>
      <c r="J257">
        <v>1.9230670000000001E-3</v>
      </c>
      <c r="K257" s="163">
        <v>4.6449684E-5</v>
      </c>
      <c r="L257">
        <v>0.15399500999999999</v>
      </c>
      <c r="M257" s="163">
        <v>4.3664621999999997E-6</v>
      </c>
      <c r="N257">
        <v>4.3292916999999997E-3</v>
      </c>
      <c r="O257">
        <v>4.3111080000000001E-3</v>
      </c>
      <c r="P257" s="163">
        <v>1.7484945999999998E-5</v>
      </c>
      <c r="Q257" s="163">
        <v>6.9872313000000002E-7</v>
      </c>
      <c r="R257" s="163">
        <v>2.1395100000000002E-9</v>
      </c>
      <c r="S257" s="163">
        <v>4.2471510999999998E-5</v>
      </c>
      <c r="T257" s="163">
        <v>5.5920878000000002E-8</v>
      </c>
      <c r="U257" s="163">
        <v>1.5413779000000001E-5</v>
      </c>
      <c r="V257">
        <v>1.7199968000000001E-4</v>
      </c>
      <c r="W257" s="163">
        <v>4.8864783E-5</v>
      </c>
      <c r="X257" s="163">
        <v>4.6081679000000004E-9</v>
      </c>
      <c r="Y257">
        <v>0.14260996000000001</v>
      </c>
      <c r="Z257">
        <v>6.0156143000000004E-4</v>
      </c>
      <c r="AA257" s="163">
        <v>8.9651615999999998E-10</v>
      </c>
      <c r="AB257">
        <v>6.2896698E-4</v>
      </c>
      <c r="AC257">
        <v>7.3307683999999998E-2</v>
      </c>
      <c r="AD257" s="163">
        <v>1.5170128E-12</v>
      </c>
      <c r="AE257" s="163">
        <v>4.1060398000000002E-11</v>
      </c>
      <c r="AF257">
        <v>0.30428454999999999</v>
      </c>
      <c r="AG257">
        <v>0</v>
      </c>
      <c r="AH257">
        <v>0</v>
      </c>
      <c r="AI257">
        <v>1.8689557000000001E-3</v>
      </c>
      <c r="AJ257">
        <v>0</v>
      </c>
      <c r="AK257">
        <v>0</v>
      </c>
      <c r="AL257">
        <v>0.15137587999999999</v>
      </c>
      <c r="AM257">
        <v>0</v>
      </c>
      <c r="AN257">
        <v>0</v>
      </c>
      <c r="AO257">
        <v>0</v>
      </c>
      <c r="AP257">
        <v>1.6776382999999999E-4</v>
      </c>
      <c r="AQ257" s="163">
        <v>4.8725540000000001E-8</v>
      </c>
      <c r="AR257">
        <v>0.99937589000000004</v>
      </c>
      <c r="AS257" s="163">
        <v>9.7585599999999989E-7</v>
      </c>
      <c r="AT257">
        <v>0</v>
      </c>
      <c r="AU257">
        <v>0</v>
      </c>
      <c r="AV257">
        <v>0</v>
      </c>
      <c r="AW257">
        <v>0</v>
      </c>
      <c r="AX257">
        <v>0</v>
      </c>
    </row>
    <row r="258" spans="1:50">
      <c r="A258" t="s">
        <v>1507</v>
      </c>
      <c r="B258" s="189">
        <f t="shared" si="3"/>
        <v>5.0230384238808008E-3</v>
      </c>
      <c r="C258" s="163">
        <v>1.3980355000000001E-8</v>
      </c>
      <c r="D258">
        <v>1.3107457000000001E-4</v>
      </c>
      <c r="E258">
        <v>7.5535904000000001E-2</v>
      </c>
      <c r="F258" s="163">
        <v>2.8725008E-9</v>
      </c>
      <c r="G258" s="163">
        <v>2.4060901000000001E-5</v>
      </c>
      <c r="H258" s="163">
        <v>7.2875555999999997E-5</v>
      </c>
      <c r="I258" s="163">
        <v>2.9222579E-5</v>
      </c>
      <c r="J258">
        <v>6.3993708999999996E-3</v>
      </c>
      <c r="K258">
        <v>1.0294168E-4</v>
      </c>
      <c r="L258">
        <v>0.42316359999999997</v>
      </c>
      <c r="M258" s="163">
        <v>2.0127539999999999E-5</v>
      </c>
      <c r="N258">
        <v>0.11162893</v>
      </c>
      <c r="O258">
        <v>1.097966E-2</v>
      </c>
      <c r="P258">
        <v>0.10064446000000001</v>
      </c>
      <c r="Q258" s="163">
        <v>4.8063719000000004E-6</v>
      </c>
      <c r="R258" s="163">
        <v>3.5946019000000002E-9</v>
      </c>
      <c r="S258" s="163">
        <v>9.5437231999999996E-5</v>
      </c>
      <c r="T258" s="163">
        <v>3.0901047999999998E-7</v>
      </c>
      <c r="U258" s="163">
        <v>5.9393759000000002E-5</v>
      </c>
      <c r="V258">
        <v>3.4082684999999998E-4</v>
      </c>
      <c r="W258">
        <v>1.2172258E-4</v>
      </c>
      <c r="X258" s="163">
        <v>1.3980521000000001E-8</v>
      </c>
      <c r="Y258">
        <v>0.27220006000000002</v>
      </c>
      <c r="Z258">
        <v>1.1640147999999999E-2</v>
      </c>
      <c r="AA258" s="163">
        <v>1.7610383E-9</v>
      </c>
      <c r="AB258">
        <v>1.0745592E-3</v>
      </c>
      <c r="AC258">
        <v>0.24359697</v>
      </c>
      <c r="AD258" s="163">
        <v>6.8831428999999997E-12</v>
      </c>
      <c r="AE258" s="163">
        <v>2.6702834000000001E-10</v>
      </c>
      <c r="AF258">
        <v>0.59323042000000004</v>
      </c>
      <c r="AG258">
        <v>0</v>
      </c>
      <c r="AH258">
        <v>0</v>
      </c>
      <c r="AI258">
        <v>4.4704232000000003E-3</v>
      </c>
      <c r="AJ258">
        <v>0</v>
      </c>
      <c r="AK258">
        <v>0</v>
      </c>
      <c r="AL258">
        <v>0.28926481999999998</v>
      </c>
      <c r="AM258">
        <v>0</v>
      </c>
      <c r="AN258">
        <v>0</v>
      </c>
      <c r="AO258">
        <v>0</v>
      </c>
      <c r="AP258">
        <v>2.7925927999999998E-4</v>
      </c>
      <c r="AQ258" s="163">
        <v>2.1628934E-7</v>
      </c>
      <c r="AR258">
        <v>1.0022428000000001</v>
      </c>
      <c r="AS258" s="163">
        <v>1.640998E-6</v>
      </c>
      <c r="AT258">
        <v>0</v>
      </c>
      <c r="AU258">
        <v>0</v>
      </c>
      <c r="AV258">
        <v>0</v>
      </c>
      <c r="AW258">
        <v>0</v>
      </c>
      <c r="AX258">
        <v>0</v>
      </c>
    </row>
    <row r="259" spans="1:50">
      <c r="A259" t="s">
        <v>1508</v>
      </c>
      <c r="B259" s="189">
        <f t="shared" si="3"/>
        <v>5.0382812687684003E-3</v>
      </c>
      <c r="C259" s="163">
        <v>1.397944E-8</v>
      </c>
      <c r="D259">
        <v>1.3106068999999999E-4</v>
      </c>
      <c r="E259">
        <v>7.5805328000000005E-2</v>
      </c>
      <c r="F259" s="163">
        <v>2.8724726000000001E-9</v>
      </c>
      <c r="G259" s="163">
        <v>2.4071569E-5</v>
      </c>
      <c r="H259" s="163">
        <v>7.2862829999999998E-5</v>
      </c>
      <c r="I259" s="163">
        <v>2.9097886E-5</v>
      </c>
      <c r="J259">
        <v>6.3936948000000004E-3</v>
      </c>
      <c r="K259">
        <v>1.2529205000000001E-4</v>
      </c>
      <c r="L259">
        <v>0.45082439000000002</v>
      </c>
      <c r="M259" s="163">
        <v>2.0126383000000001E-5</v>
      </c>
      <c r="N259">
        <v>0.11170894000000001</v>
      </c>
      <c r="O259">
        <v>1.2065269999999999E-2</v>
      </c>
      <c r="P259">
        <v>9.9638867000000006E-2</v>
      </c>
      <c r="Q259" s="163">
        <v>4.8033158E-6</v>
      </c>
      <c r="R259" s="163">
        <v>3.5945543999999999E-9</v>
      </c>
      <c r="S259" s="163">
        <v>9.5421791000000004E-5</v>
      </c>
      <c r="T259" s="163">
        <v>3.0859878000000002E-7</v>
      </c>
      <c r="U259" s="163">
        <v>5.9102703000000001E-5</v>
      </c>
      <c r="V259">
        <v>3.4079284999999999E-4</v>
      </c>
      <c r="W259">
        <v>1.2173311E-4</v>
      </c>
      <c r="X259" s="163">
        <v>1.3979605E-8</v>
      </c>
      <c r="Y259">
        <v>0.27218131000000001</v>
      </c>
      <c r="Z259">
        <v>1.1639958000000001E-2</v>
      </c>
      <c r="AA259" s="163">
        <v>1.7608724000000001E-9</v>
      </c>
      <c r="AB259">
        <v>1.0745532000000001E-3</v>
      </c>
      <c r="AC259">
        <v>0.24314353999999999</v>
      </c>
      <c r="AD259" s="163">
        <v>6.9451937000000003E-12</v>
      </c>
      <c r="AE259" s="163">
        <v>2.6609963999999999E-10</v>
      </c>
      <c r="AF259">
        <v>0.59322969999999997</v>
      </c>
      <c r="AG259">
        <v>0</v>
      </c>
      <c r="AH259">
        <v>0</v>
      </c>
      <c r="AI259">
        <v>4.4696522000000002E-3</v>
      </c>
      <c r="AJ259">
        <v>0</v>
      </c>
      <c r="AK259">
        <v>0</v>
      </c>
      <c r="AL259">
        <v>0.28924460000000002</v>
      </c>
      <c r="AM259">
        <v>0</v>
      </c>
      <c r="AN259">
        <v>0</v>
      </c>
      <c r="AO259">
        <v>0</v>
      </c>
      <c r="AP259">
        <v>2.7925505000000003E-4</v>
      </c>
      <c r="AQ259" s="163">
        <v>2.1622468E-7</v>
      </c>
      <c r="AR259">
        <v>1.002243</v>
      </c>
      <c r="AS259" s="163">
        <v>1.641014E-6</v>
      </c>
      <c r="AT259">
        <v>0</v>
      </c>
      <c r="AU259">
        <v>0</v>
      </c>
      <c r="AV259">
        <v>0</v>
      </c>
      <c r="AW259">
        <v>0</v>
      </c>
      <c r="AX259">
        <v>0</v>
      </c>
    </row>
    <row r="260" spans="1:50">
      <c r="A260" t="s">
        <v>671</v>
      </c>
      <c r="B260" s="189">
        <f t="shared" si="3"/>
        <v>7.4328693680993595E-4</v>
      </c>
      <c r="C260" s="163">
        <v>5.9457370999999997E-9</v>
      </c>
      <c r="D260" s="163">
        <v>7.7202086000000006E-5</v>
      </c>
      <c r="E260">
        <v>5.2819605999999998E-3</v>
      </c>
      <c r="F260" s="163">
        <v>1.9045989999999999E-9</v>
      </c>
      <c r="G260" s="163">
        <v>5.7502304999999997E-6</v>
      </c>
      <c r="H260" s="163">
        <v>3.9821228000000001E-5</v>
      </c>
      <c r="I260" s="163">
        <v>7.5311986E-6</v>
      </c>
      <c r="J260">
        <v>2.2967348999999998E-3</v>
      </c>
      <c r="K260" s="163">
        <v>5.5625991000000001E-5</v>
      </c>
      <c r="L260">
        <v>0.19493342999999999</v>
      </c>
      <c r="M260" s="163">
        <v>5.7343271999999999E-6</v>
      </c>
      <c r="N260">
        <v>5.3969352999999999E-3</v>
      </c>
      <c r="O260">
        <v>5.3862720999999997E-3</v>
      </c>
      <c r="P260" s="163">
        <v>9.2073338000000006E-6</v>
      </c>
      <c r="Q260" s="163">
        <v>1.4559075E-6</v>
      </c>
      <c r="R260" s="163">
        <v>2.3989378000000001E-9</v>
      </c>
      <c r="S260" s="163">
        <v>5.2256492999999998E-5</v>
      </c>
      <c r="T260" s="163">
        <v>9.4861178000000002E-8</v>
      </c>
      <c r="U260" s="163">
        <v>1.7140547000000002E-5</v>
      </c>
      <c r="V260">
        <v>1.8990607000000001E-4</v>
      </c>
      <c r="W260" s="163">
        <v>5.5303984999999997E-5</v>
      </c>
      <c r="X260" s="163">
        <v>5.9458232999999999E-9</v>
      </c>
      <c r="Y260">
        <v>0.16233148999999999</v>
      </c>
      <c r="Z260">
        <v>7.1710430000000002E-3</v>
      </c>
      <c r="AA260" s="163">
        <v>9.7683501000000001E-10</v>
      </c>
      <c r="AB260">
        <v>6.7183716000000001E-4</v>
      </c>
      <c r="AC260">
        <v>9.6042305999999994E-2</v>
      </c>
      <c r="AD260" s="163">
        <v>2.1108464E-12</v>
      </c>
      <c r="AE260" s="163">
        <v>6.8110913999999996E-11</v>
      </c>
      <c r="AF260">
        <v>0.31003019999999998</v>
      </c>
      <c r="AG260">
        <v>0</v>
      </c>
      <c r="AH260">
        <v>0</v>
      </c>
      <c r="AI260">
        <v>1.3278553000000001E-3</v>
      </c>
      <c r="AJ260">
        <v>0</v>
      </c>
      <c r="AK260">
        <v>0</v>
      </c>
      <c r="AL260">
        <v>0.17242046</v>
      </c>
      <c r="AM260">
        <v>0</v>
      </c>
      <c r="AN260">
        <v>0</v>
      </c>
      <c r="AO260">
        <v>0</v>
      </c>
      <c r="AP260">
        <v>1.6935902E-4</v>
      </c>
      <c r="AQ260" s="163">
        <v>1.0858188E-7</v>
      </c>
      <c r="AR260">
        <v>0.99966131999999996</v>
      </c>
      <c r="AS260" s="163">
        <v>1.0735633E-6</v>
      </c>
      <c r="AT260">
        <v>0</v>
      </c>
      <c r="AU260">
        <v>0</v>
      </c>
      <c r="AV260">
        <v>0</v>
      </c>
      <c r="AW260">
        <v>0</v>
      </c>
      <c r="AX260">
        <v>0</v>
      </c>
    </row>
    <row r="261" spans="1:50">
      <c r="A261" t="s">
        <v>1509</v>
      </c>
      <c r="B261" s="189">
        <f t="shared" si="3"/>
        <v>1.6686968878042799E-3</v>
      </c>
      <c r="C261" s="163">
        <v>1.3007083E-8</v>
      </c>
      <c r="D261">
        <v>1.1215431000000001E-4</v>
      </c>
      <c r="E261">
        <v>8.9886937999999993E-3</v>
      </c>
      <c r="F261" s="163">
        <v>2.7915196999999998E-9</v>
      </c>
      <c r="G261" s="163">
        <v>8.9783207999999993E-6</v>
      </c>
      <c r="H261" s="163">
        <v>6.1189322999999997E-5</v>
      </c>
      <c r="I261" s="163">
        <v>1.2915888E-5</v>
      </c>
      <c r="J261">
        <v>7.5966171000000004E-3</v>
      </c>
      <c r="K261">
        <v>2.4557284E-3</v>
      </c>
      <c r="L261">
        <v>0.6378163</v>
      </c>
      <c r="M261" s="163">
        <v>1.8762247999999999E-5</v>
      </c>
      <c r="N261">
        <v>9.3929747000000008E-3</v>
      </c>
      <c r="O261">
        <v>9.1217395999999996E-3</v>
      </c>
      <c r="P261">
        <v>2.6936460000000001E-4</v>
      </c>
      <c r="Q261" s="163">
        <v>1.8704450000000001E-6</v>
      </c>
      <c r="R261" s="163">
        <v>3.3635708E-9</v>
      </c>
      <c r="S261" s="163">
        <v>8.3830108000000004E-5</v>
      </c>
      <c r="T261" s="163">
        <v>2.1045683000000001E-7</v>
      </c>
      <c r="U261" s="163">
        <v>2.8583413E-5</v>
      </c>
      <c r="V261">
        <v>3.4076301000000002E-4</v>
      </c>
      <c r="W261" s="163">
        <v>9.0742702000000007E-5</v>
      </c>
      <c r="X261" s="163">
        <v>1.300717E-8</v>
      </c>
      <c r="Y261">
        <v>0.26129277000000001</v>
      </c>
      <c r="Z261">
        <v>2.0633828000000002E-3</v>
      </c>
      <c r="AA261" s="163">
        <v>1.6515567E-9</v>
      </c>
      <c r="AB261">
        <v>1.5303657999999999E-3</v>
      </c>
      <c r="AC261">
        <v>1.1503937</v>
      </c>
      <c r="AD261" s="163">
        <v>1.0898191E-11</v>
      </c>
      <c r="AE261" s="163">
        <v>9.0450195999999997E-10</v>
      </c>
      <c r="AF261">
        <v>0.58729472000000005</v>
      </c>
      <c r="AG261">
        <v>0</v>
      </c>
      <c r="AH261">
        <v>0</v>
      </c>
      <c r="AI261">
        <v>1.4191466999999999E-2</v>
      </c>
      <c r="AJ261">
        <v>0</v>
      </c>
      <c r="AK261">
        <v>0</v>
      </c>
      <c r="AL261">
        <v>0.27627418999999998</v>
      </c>
      <c r="AM261">
        <v>0</v>
      </c>
      <c r="AN261">
        <v>0</v>
      </c>
      <c r="AO261">
        <v>0</v>
      </c>
      <c r="AP261">
        <v>3.1203441999999999E-4</v>
      </c>
      <c r="AQ261" s="163">
        <v>1.2599682E-7</v>
      </c>
      <c r="AR261">
        <v>1.0020693000000001</v>
      </c>
      <c r="AS261" s="163">
        <v>1.8311318000000001E-6</v>
      </c>
      <c r="AT261">
        <v>0</v>
      </c>
      <c r="AU261">
        <v>0</v>
      </c>
      <c r="AV261">
        <v>0</v>
      </c>
      <c r="AW261">
        <v>0</v>
      </c>
      <c r="AX261">
        <v>0</v>
      </c>
    </row>
    <row r="262" spans="1:50">
      <c r="A262" t="s">
        <v>1510</v>
      </c>
      <c r="B262" s="189">
        <f t="shared" ref="B262:B325" si="4">(C262*0.16)+(D262*0.16)+(E262*0.05)+(F262*30)+(G262*2)+(H262*4)+(I262*9)+(J262*0.09)+(K262*0.03)+(L262*0.0001)+(M262*0.06)</f>
        <v>7.644576561591919E-3</v>
      </c>
      <c r="C262" s="163">
        <v>1.4038361999999999E-8</v>
      </c>
      <c r="D262">
        <v>1.3177238E-4</v>
      </c>
      <c r="E262">
        <v>0.10999346</v>
      </c>
      <c r="F262" s="163">
        <v>2.8766618E-9</v>
      </c>
      <c r="G262" s="163">
        <v>2.6433641999999999E-5</v>
      </c>
      <c r="H262" s="163">
        <v>7.4349902999999999E-5</v>
      </c>
      <c r="I262" s="163">
        <v>3.6738089000000003E-5</v>
      </c>
      <c r="J262">
        <v>8.2310652999999998E-3</v>
      </c>
      <c r="K262">
        <v>5.2104593000000003E-3</v>
      </c>
      <c r="L262">
        <v>5.4447055999999998</v>
      </c>
      <c r="M262" s="163">
        <v>2.069203E-5</v>
      </c>
      <c r="N262">
        <v>0.12846774999999999</v>
      </c>
      <c r="O262">
        <v>0.12835952</v>
      </c>
      <c r="P262">
        <v>1.0325993000000001E-4</v>
      </c>
      <c r="Q262" s="163">
        <v>4.9719662000000002E-6</v>
      </c>
      <c r="R262" s="163">
        <v>3.5986091E-9</v>
      </c>
      <c r="S262" s="163">
        <v>9.7161569000000004E-5</v>
      </c>
      <c r="T262" s="163">
        <v>2.8307026999999998E-7</v>
      </c>
      <c r="U262" s="163">
        <v>7.5699639999999999E-5</v>
      </c>
      <c r="V262">
        <v>3.4292292000000002E-4</v>
      </c>
      <c r="W262">
        <v>1.2617488000000001E-4</v>
      </c>
      <c r="X262" s="163">
        <v>1.403853E-8</v>
      </c>
      <c r="Y262">
        <v>0.27347325</v>
      </c>
      <c r="Z262">
        <v>1.1657537000000001E-2</v>
      </c>
      <c r="AA262" s="163">
        <v>1.7648738000000001E-9</v>
      </c>
      <c r="AB262">
        <v>1.0800912000000001E-3</v>
      </c>
      <c r="AC262">
        <v>0.93821524000000001</v>
      </c>
      <c r="AD262" s="163">
        <v>7.2267886999999998E-12</v>
      </c>
      <c r="AE262" s="163">
        <v>2.9036834E-10</v>
      </c>
      <c r="AF262">
        <v>0.59341946999999995</v>
      </c>
      <c r="AG262">
        <v>0</v>
      </c>
      <c r="AH262">
        <v>0</v>
      </c>
      <c r="AI262">
        <v>4.6052018999999996E-3</v>
      </c>
      <c r="AJ262">
        <v>0</v>
      </c>
      <c r="AK262">
        <v>0</v>
      </c>
      <c r="AL262">
        <v>0.29061763000000002</v>
      </c>
      <c r="AM262">
        <v>0</v>
      </c>
      <c r="AN262">
        <v>0</v>
      </c>
      <c r="AO262">
        <v>0</v>
      </c>
      <c r="AP262">
        <v>2.7994842000000003E-4</v>
      </c>
      <c r="AQ262" s="163">
        <v>2.1362681000000001E-7</v>
      </c>
      <c r="AR262">
        <v>1.0022496999999999</v>
      </c>
      <c r="AS262" s="163">
        <v>1.6450517000000001E-6</v>
      </c>
      <c r="AT262">
        <v>0</v>
      </c>
      <c r="AU262">
        <v>0</v>
      </c>
      <c r="AV262">
        <v>0</v>
      </c>
      <c r="AW262">
        <v>0</v>
      </c>
      <c r="AX262">
        <v>0</v>
      </c>
    </row>
    <row r="263" spans="1:50">
      <c r="A263" t="s">
        <v>1511</v>
      </c>
      <c r="B263" s="189">
        <f t="shared" si="4"/>
        <v>7.4328693640991978E-4</v>
      </c>
      <c r="C263" s="163">
        <v>5.9457369999999996E-9</v>
      </c>
      <c r="D263" s="163">
        <v>7.7202086000000006E-5</v>
      </c>
      <c r="E263">
        <v>5.2819605999999998E-3</v>
      </c>
      <c r="F263" s="163">
        <v>1.9045989999999999E-9</v>
      </c>
      <c r="G263" s="163">
        <v>5.7502302999999998E-6</v>
      </c>
      <c r="H263" s="163">
        <v>3.9821228000000001E-5</v>
      </c>
      <c r="I263" s="163">
        <v>7.5311986E-6</v>
      </c>
      <c r="J263">
        <v>2.2967348999999998E-3</v>
      </c>
      <c r="K263" s="163">
        <v>5.5625991000000001E-5</v>
      </c>
      <c r="L263">
        <v>0.19493342999999999</v>
      </c>
      <c r="M263" s="163">
        <v>5.7343271999999999E-6</v>
      </c>
      <c r="N263">
        <v>5.3969352999999999E-3</v>
      </c>
      <c r="O263">
        <v>5.3862720999999997E-3</v>
      </c>
      <c r="P263" s="163">
        <v>9.2073337000000006E-6</v>
      </c>
      <c r="Q263" s="163">
        <v>1.4559072999999999E-6</v>
      </c>
      <c r="R263" s="163">
        <v>2.3989378000000001E-9</v>
      </c>
      <c r="S263" s="163">
        <v>5.2256492999999998E-5</v>
      </c>
      <c r="T263" s="163">
        <v>9.4861178000000002E-8</v>
      </c>
      <c r="U263" s="163">
        <v>1.7140547000000002E-5</v>
      </c>
      <c r="V263">
        <v>1.8990607000000001E-4</v>
      </c>
      <c r="W263" s="163">
        <v>5.5303984000000001E-5</v>
      </c>
      <c r="X263" s="163">
        <v>5.9458230999999998E-9</v>
      </c>
      <c r="Y263">
        <v>0.16233148999999999</v>
      </c>
      <c r="Z263">
        <v>7.1710432999999999E-3</v>
      </c>
      <c r="AA263" s="163">
        <v>9.7683501000000001E-10</v>
      </c>
      <c r="AB263">
        <v>6.7183716000000001E-4</v>
      </c>
      <c r="AC263">
        <v>9.6042304999999994E-2</v>
      </c>
      <c r="AD263" s="163">
        <v>2.1108464E-12</v>
      </c>
      <c r="AE263" s="163">
        <v>6.8110913999999996E-11</v>
      </c>
      <c r="AF263">
        <v>0.31003019999999998</v>
      </c>
      <c r="AG263">
        <v>0</v>
      </c>
      <c r="AH263">
        <v>0</v>
      </c>
      <c r="AI263">
        <v>1.3278553000000001E-3</v>
      </c>
      <c r="AJ263">
        <v>0</v>
      </c>
      <c r="AK263">
        <v>0</v>
      </c>
      <c r="AL263">
        <v>0.17242046</v>
      </c>
      <c r="AM263">
        <v>0</v>
      </c>
      <c r="AN263">
        <v>0</v>
      </c>
      <c r="AO263">
        <v>0</v>
      </c>
      <c r="AP263">
        <v>1.6935902999999999E-4</v>
      </c>
      <c r="AQ263" s="163">
        <v>1.0858188E-7</v>
      </c>
      <c r="AR263">
        <v>0.99966131999999996</v>
      </c>
      <c r="AS263" s="163">
        <v>1.0735633E-6</v>
      </c>
      <c r="AT263">
        <v>0</v>
      </c>
      <c r="AU263">
        <v>0</v>
      </c>
      <c r="AV263">
        <v>0</v>
      </c>
      <c r="AW263">
        <v>0</v>
      </c>
      <c r="AX263">
        <v>0</v>
      </c>
    </row>
    <row r="264" spans="1:50">
      <c r="A264" t="s">
        <v>1512</v>
      </c>
      <c r="B264" s="189">
        <f t="shared" si="4"/>
        <v>9.3061859483664407E-3</v>
      </c>
      <c r="C264" s="163">
        <v>1.3981133999999999E-8</v>
      </c>
      <c r="D264">
        <v>1.3124588E-4</v>
      </c>
      <c r="E264">
        <v>0.12697733</v>
      </c>
      <c r="F264" s="163">
        <v>2.8733214999999998E-9</v>
      </c>
      <c r="G264" s="163">
        <v>2.9201994999999999E-5</v>
      </c>
      <c r="H264" s="163">
        <v>7.3349062999999998E-5</v>
      </c>
      <c r="I264" s="163">
        <v>2.8747384000000002E-5</v>
      </c>
      <c r="J264">
        <v>1.0244993000000001E-2</v>
      </c>
      <c r="K264">
        <v>1.0802388E-2</v>
      </c>
      <c r="L264">
        <v>10.785741</v>
      </c>
      <c r="M264" s="163">
        <v>1.6831048999999999E-5</v>
      </c>
      <c r="N264">
        <v>0.14858627999999999</v>
      </c>
      <c r="O264">
        <v>0.14847039000000001</v>
      </c>
      <c r="P264">
        <v>1.1105388E-4</v>
      </c>
      <c r="Q264" s="163">
        <v>4.8408642000000003E-6</v>
      </c>
      <c r="R264" s="163">
        <v>3.5954168000000002E-9</v>
      </c>
      <c r="S264" s="163">
        <v>9.5957326999999997E-5</v>
      </c>
      <c r="T264" s="163">
        <v>2.7791033999999999E-7</v>
      </c>
      <c r="U264" s="163">
        <v>5.5847690000000003E-5</v>
      </c>
      <c r="V264">
        <v>3.4091804000000001E-4</v>
      </c>
      <c r="W264">
        <v>1.3045944000000001E-4</v>
      </c>
      <c r="X264" s="163">
        <v>1.3981299000000001E-8</v>
      </c>
      <c r="Y264">
        <v>0.27250467</v>
      </c>
      <c r="Z264">
        <v>1.1644313E-2</v>
      </c>
      <c r="AA264" s="163">
        <v>1.7629432999999999E-9</v>
      </c>
      <c r="AB264">
        <v>1.0757418999999999E-3</v>
      </c>
      <c r="AC264">
        <v>0.25887253999999998</v>
      </c>
      <c r="AD264" s="163">
        <v>6.9684189999999997E-12</v>
      </c>
      <c r="AE264" s="163">
        <v>1.7146801E-10</v>
      </c>
      <c r="AF264">
        <v>0.59329124</v>
      </c>
      <c r="AG264">
        <v>0</v>
      </c>
      <c r="AH264">
        <v>0</v>
      </c>
      <c r="AI264">
        <v>4.5012022999999998E-3</v>
      </c>
      <c r="AJ264">
        <v>0</v>
      </c>
      <c r="AK264">
        <v>0</v>
      </c>
      <c r="AL264">
        <v>0.28958825999999999</v>
      </c>
      <c r="AM264">
        <v>0</v>
      </c>
      <c r="AN264">
        <v>0</v>
      </c>
      <c r="AO264">
        <v>0</v>
      </c>
      <c r="AP264">
        <v>2.7941605999999997E-4</v>
      </c>
      <c r="AQ264" s="163">
        <v>2.1215778000000001E-7</v>
      </c>
      <c r="AR264">
        <v>1.0022454999999999</v>
      </c>
      <c r="AS264" s="163">
        <v>1.6418929999999999E-6</v>
      </c>
      <c r="AT264">
        <v>0</v>
      </c>
      <c r="AU264">
        <v>0</v>
      </c>
      <c r="AV264">
        <v>0</v>
      </c>
      <c r="AW264">
        <v>0</v>
      </c>
      <c r="AX264">
        <v>0</v>
      </c>
    </row>
    <row r="265" spans="1:50">
      <c r="A265" t="s">
        <v>1513</v>
      </c>
      <c r="B265" s="189">
        <f t="shared" si="4"/>
        <v>5.1522935422821207E-3</v>
      </c>
      <c r="C265" s="163">
        <v>1.3921832E-8</v>
      </c>
      <c r="D265">
        <v>1.3061542E-4</v>
      </c>
      <c r="E265">
        <v>7.2846798000000004E-2</v>
      </c>
      <c r="F265" s="163">
        <v>2.8694623E-9</v>
      </c>
      <c r="G265" s="163">
        <v>2.0366955E-5</v>
      </c>
      <c r="H265" s="163">
        <v>7.3875465000000005E-5</v>
      </c>
      <c r="I265" s="163">
        <v>2.4633768E-5</v>
      </c>
      <c r="J265">
        <v>7.1839208999999998E-3</v>
      </c>
      <c r="K265">
        <v>1.8289065000000001E-3</v>
      </c>
      <c r="L265">
        <v>2.2821677</v>
      </c>
      <c r="M265" s="163">
        <v>2.3172262000000001E-5</v>
      </c>
      <c r="N265">
        <v>8.4525452000000001E-2</v>
      </c>
      <c r="O265">
        <v>8.4409988000000005E-2</v>
      </c>
      <c r="P265">
        <v>1.1076855000000001E-4</v>
      </c>
      <c r="Q265" s="163">
        <v>4.6961108E-6</v>
      </c>
      <c r="R265" s="163">
        <v>3.5916750999999998E-9</v>
      </c>
      <c r="S265" s="163">
        <v>9.6460718999999995E-5</v>
      </c>
      <c r="T265" s="163">
        <v>2.7196477999999998E-7</v>
      </c>
      <c r="U265" s="163">
        <v>5.1071022E-5</v>
      </c>
      <c r="V265">
        <v>3.3957222E-4</v>
      </c>
      <c r="W265">
        <v>1.1531329000000001E-4</v>
      </c>
      <c r="X265" s="163">
        <v>1.3921995000000001E-8</v>
      </c>
      <c r="Y265">
        <v>0.27136268000000002</v>
      </c>
      <c r="Z265">
        <v>1.1628807999999999E-2</v>
      </c>
      <c r="AA265" s="163">
        <v>1.7590001000000001E-9</v>
      </c>
      <c r="AB265">
        <v>1.0708829999999999E-3</v>
      </c>
      <c r="AC265">
        <v>3.8562474</v>
      </c>
      <c r="AD265" s="163">
        <v>7.4040366000000005E-12</v>
      </c>
      <c r="AE265" s="163">
        <v>7.6472815999999998E-10</v>
      </c>
      <c r="AF265">
        <v>0.59310149000000001</v>
      </c>
      <c r="AG265">
        <v>0</v>
      </c>
      <c r="AH265">
        <v>0</v>
      </c>
      <c r="AI265">
        <v>4.3804943999999997E-3</v>
      </c>
      <c r="AJ265">
        <v>0</v>
      </c>
      <c r="AK265">
        <v>0</v>
      </c>
      <c r="AL265">
        <v>0.28837534999999997</v>
      </c>
      <c r="AM265">
        <v>0</v>
      </c>
      <c r="AN265">
        <v>0</v>
      </c>
      <c r="AO265">
        <v>0</v>
      </c>
      <c r="AP265">
        <v>2.7880597E-4</v>
      </c>
      <c r="AQ265" s="163">
        <v>2.1037600999999999E-7</v>
      </c>
      <c r="AR265">
        <v>1.0022389</v>
      </c>
      <c r="AS265" s="163">
        <v>1.6383059000000001E-6</v>
      </c>
      <c r="AT265">
        <v>0</v>
      </c>
      <c r="AU265">
        <v>0</v>
      </c>
      <c r="AV265">
        <v>0</v>
      </c>
      <c r="AW265">
        <v>0</v>
      </c>
      <c r="AX265">
        <v>0</v>
      </c>
    </row>
    <row r="266" spans="1:50">
      <c r="A266" t="s">
        <v>1514</v>
      </c>
      <c r="B266" s="189">
        <f t="shared" si="4"/>
        <v>7.4328693576991979E-4</v>
      </c>
      <c r="C266" s="163">
        <v>5.9457369999999996E-9</v>
      </c>
      <c r="D266" s="163">
        <v>7.7202081999999995E-5</v>
      </c>
      <c r="E266">
        <v>5.2819605999999998E-3</v>
      </c>
      <c r="F266" s="163">
        <v>1.9045989999999999E-9</v>
      </c>
      <c r="G266" s="163">
        <v>5.7502302999999998E-6</v>
      </c>
      <c r="H266" s="163">
        <v>3.9821228000000001E-5</v>
      </c>
      <c r="I266" s="163">
        <v>7.5311986E-6</v>
      </c>
      <c r="J266">
        <v>2.2967348999999998E-3</v>
      </c>
      <c r="K266" s="163">
        <v>5.5625991000000001E-5</v>
      </c>
      <c r="L266">
        <v>0.19493342999999999</v>
      </c>
      <c r="M266" s="163">
        <v>5.7343271999999999E-6</v>
      </c>
      <c r="N266">
        <v>5.3969352999999999E-3</v>
      </c>
      <c r="O266">
        <v>5.3862720999999997E-3</v>
      </c>
      <c r="P266" s="163">
        <v>9.2073337000000006E-6</v>
      </c>
      <c r="Q266" s="163">
        <v>1.4559072999999999E-6</v>
      </c>
      <c r="R266" s="163">
        <v>2.3989378000000001E-9</v>
      </c>
      <c r="S266" s="163">
        <v>5.2256492999999998E-5</v>
      </c>
      <c r="T266" s="163">
        <v>9.4861178000000002E-8</v>
      </c>
      <c r="U266" s="163">
        <v>1.7140547000000002E-5</v>
      </c>
      <c r="V266">
        <v>1.8990607000000001E-4</v>
      </c>
      <c r="W266" s="163">
        <v>5.5303984000000001E-5</v>
      </c>
      <c r="X266" s="163">
        <v>5.9458230999999998E-9</v>
      </c>
      <c r="Y266">
        <v>0.16233148</v>
      </c>
      <c r="Z266">
        <v>7.1710430999999998E-3</v>
      </c>
      <c r="AA266" s="163">
        <v>9.7683501000000001E-10</v>
      </c>
      <c r="AB266">
        <v>6.7183716000000001E-4</v>
      </c>
      <c r="AC266">
        <v>9.6042304999999994E-2</v>
      </c>
      <c r="AD266" s="163">
        <v>2.1108464E-12</v>
      </c>
      <c r="AE266" s="163">
        <v>6.8110913999999996E-11</v>
      </c>
      <c r="AF266">
        <v>0.31003019999999998</v>
      </c>
      <c r="AG266">
        <v>0</v>
      </c>
      <c r="AH266">
        <v>0</v>
      </c>
      <c r="AI266">
        <v>1.3278553000000001E-3</v>
      </c>
      <c r="AJ266">
        <v>0</v>
      </c>
      <c r="AK266">
        <v>0</v>
      </c>
      <c r="AL266">
        <v>0.17242045</v>
      </c>
      <c r="AM266">
        <v>0</v>
      </c>
      <c r="AN266">
        <v>0</v>
      </c>
      <c r="AO266">
        <v>0</v>
      </c>
      <c r="AP266">
        <v>1.6935902E-4</v>
      </c>
      <c r="AQ266" s="163">
        <v>1.0858188E-7</v>
      </c>
      <c r="AR266">
        <v>0.99966131999999996</v>
      </c>
      <c r="AS266" s="163">
        <v>1.0735633E-6</v>
      </c>
      <c r="AT266">
        <v>0</v>
      </c>
      <c r="AU266">
        <v>0</v>
      </c>
      <c r="AV266">
        <v>0</v>
      </c>
      <c r="AW266">
        <v>0</v>
      </c>
      <c r="AX266">
        <v>0</v>
      </c>
    </row>
    <row r="267" spans="1:50">
      <c r="A267" t="s">
        <v>1515</v>
      </c>
      <c r="B267" s="189">
        <f t="shared" si="4"/>
        <v>4.0849705722465109E-2</v>
      </c>
      <c r="C267" s="163">
        <v>2.0985631999999999E-8</v>
      </c>
      <c r="D267">
        <v>1.8307788999999999E-4</v>
      </c>
      <c r="E267">
        <v>0.63084161999999999</v>
      </c>
      <c r="F267" s="163">
        <v>3.2293328000000001E-9</v>
      </c>
      <c r="G267">
        <v>1.4311076999999999E-4</v>
      </c>
      <c r="H267">
        <v>1.4834616E-4</v>
      </c>
      <c r="I267">
        <v>5.9672971999999999E-4</v>
      </c>
      <c r="J267">
        <v>2.6144046000000001E-2</v>
      </c>
      <c r="K267">
        <v>2.4100107E-3</v>
      </c>
      <c r="L267">
        <v>5.9784147000000001</v>
      </c>
      <c r="M267" s="163">
        <v>8.2540523000000003E-5</v>
      </c>
      <c r="N267">
        <v>0.95761125000000002</v>
      </c>
      <c r="O267">
        <v>6.0587087999999997E-2</v>
      </c>
      <c r="P267">
        <v>0.89700833999999996</v>
      </c>
      <c r="Q267" s="163">
        <v>1.5819277999999999E-5</v>
      </c>
      <c r="R267" s="163">
        <v>3.9415190000000004E-9</v>
      </c>
      <c r="S267">
        <v>1.8657444000000001E-4</v>
      </c>
      <c r="T267" s="163">
        <v>5.6006600000000002E-6</v>
      </c>
      <c r="U267">
        <v>1.2693823E-3</v>
      </c>
      <c r="V267">
        <v>5.0010492999999999E-4</v>
      </c>
      <c r="W267">
        <v>3.5218324000000002E-4</v>
      </c>
      <c r="X267" s="163">
        <v>2.0986106000000001E-8</v>
      </c>
      <c r="Y267">
        <v>0.36695016000000003</v>
      </c>
      <c r="Z267">
        <v>1.2919081000000001E-2</v>
      </c>
      <c r="AA267" s="163">
        <v>2.1332089E-9</v>
      </c>
      <c r="AB267">
        <v>1.4841425000000001E-3</v>
      </c>
      <c r="AC267">
        <v>5.1170033999999998</v>
      </c>
      <c r="AD267" s="163">
        <v>3.1895107E-11</v>
      </c>
      <c r="AE267" s="163">
        <v>1.5452364E-9</v>
      </c>
      <c r="AF267">
        <v>0.6088481</v>
      </c>
      <c r="AG267">
        <v>0</v>
      </c>
      <c r="AH267">
        <v>0</v>
      </c>
      <c r="AI267">
        <v>1.4068028E-2</v>
      </c>
      <c r="AJ267">
        <v>0</v>
      </c>
      <c r="AK267">
        <v>0</v>
      </c>
      <c r="AL267">
        <v>0.38994102000000003</v>
      </c>
      <c r="AM267">
        <v>0</v>
      </c>
      <c r="AN267">
        <v>0</v>
      </c>
      <c r="AO267">
        <v>0</v>
      </c>
      <c r="AP267">
        <v>3.2829065000000002E-4</v>
      </c>
      <c r="AQ267" s="163">
        <v>1.0535691000000001E-6</v>
      </c>
      <c r="AR267">
        <v>1.0029116</v>
      </c>
      <c r="AS267" s="163">
        <v>1.9433134E-6</v>
      </c>
      <c r="AT267">
        <v>0</v>
      </c>
      <c r="AU267">
        <v>0</v>
      </c>
      <c r="AV267">
        <v>0</v>
      </c>
      <c r="AW267">
        <v>0</v>
      </c>
      <c r="AX267">
        <v>0</v>
      </c>
    </row>
    <row r="268" spans="1:50">
      <c r="A268" t="s">
        <v>1516</v>
      </c>
      <c r="B268" s="189">
        <f t="shared" si="4"/>
        <v>2.0640132905847203E-3</v>
      </c>
      <c r="C268" s="163">
        <v>3.1618942000000001E-8</v>
      </c>
      <c r="D268">
        <v>1.3618330999999999E-4</v>
      </c>
      <c r="E268">
        <v>1.3919753E-2</v>
      </c>
      <c r="F268" s="163">
        <v>2.8661857999999999E-9</v>
      </c>
      <c r="G268" s="163">
        <v>1.5382406999999999E-5</v>
      </c>
      <c r="H268" s="163">
        <v>7.1744949999999995E-5</v>
      </c>
      <c r="I268" s="163">
        <v>1.3194048000000001E-5</v>
      </c>
      <c r="J268">
        <v>9.5325771999999996E-3</v>
      </c>
      <c r="K268">
        <v>1.3642616E-4</v>
      </c>
      <c r="L268">
        <v>0.45769145999999999</v>
      </c>
      <c r="M268" s="163">
        <v>3.1005693000000001E-5</v>
      </c>
      <c r="N268">
        <v>1.4331908000000001E-2</v>
      </c>
      <c r="O268">
        <v>1.4224934E-2</v>
      </c>
      <c r="P268">
        <v>1.0269327999999999E-4</v>
      </c>
      <c r="Q268" s="163">
        <v>4.2814458000000003E-6</v>
      </c>
      <c r="R268" s="163">
        <v>3.5689800999999998E-9</v>
      </c>
      <c r="S268" s="163">
        <v>9.3377755000000003E-5</v>
      </c>
      <c r="T268" s="163">
        <v>4.2103089999999999E-7</v>
      </c>
      <c r="U268" s="163">
        <v>2.852187E-5</v>
      </c>
      <c r="V268">
        <v>3.2031710000000001E-4</v>
      </c>
      <c r="W268">
        <v>1.0034296E-4</v>
      </c>
      <c r="X268" s="163">
        <v>3.1618984999999999E-8</v>
      </c>
      <c r="Y268">
        <v>0.27838547000000002</v>
      </c>
      <c r="Z268">
        <v>-8.4662655000000003E-3</v>
      </c>
      <c r="AA268" s="163">
        <v>3.0135565999999998E-9</v>
      </c>
      <c r="AB268">
        <v>1.0284242000000001E-3</v>
      </c>
      <c r="AC268">
        <v>5.1683861000000002</v>
      </c>
      <c r="AD268" s="163">
        <v>2.1873308999999998E-11</v>
      </c>
      <c r="AE268" s="163">
        <v>5.4411748000000002E-10</v>
      </c>
      <c r="AF268">
        <v>0.37221899000000003</v>
      </c>
      <c r="AG268">
        <v>0</v>
      </c>
      <c r="AH268">
        <v>0</v>
      </c>
      <c r="AI268">
        <v>4.5244255999999997E-3</v>
      </c>
      <c r="AJ268">
        <v>0</v>
      </c>
      <c r="AK268">
        <v>0</v>
      </c>
      <c r="AL268">
        <v>0.29583868000000002</v>
      </c>
      <c r="AM268">
        <v>0</v>
      </c>
      <c r="AN268">
        <v>0</v>
      </c>
      <c r="AO268">
        <v>0</v>
      </c>
      <c r="AP268">
        <v>-1.8994112000000001E-4</v>
      </c>
      <c r="AQ268" s="163">
        <v>3.2607130000000001E-7</v>
      </c>
      <c r="AR268">
        <v>1.1109163999999999E-2</v>
      </c>
      <c r="AS268" s="163">
        <v>1.5980537E-6</v>
      </c>
      <c r="AT268">
        <v>0</v>
      </c>
      <c r="AU268">
        <v>0</v>
      </c>
      <c r="AV268">
        <v>0</v>
      </c>
      <c r="AW268">
        <v>0</v>
      </c>
      <c r="AX268">
        <v>0</v>
      </c>
    </row>
    <row r="269" spans="1:50">
      <c r="A269" t="s">
        <v>1517</v>
      </c>
      <c r="B269" s="189">
        <f t="shared" si="4"/>
        <v>2.5615186617395595E-3</v>
      </c>
      <c r="C269" s="163">
        <v>3.8889041000000002E-8</v>
      </c>
      <c r="D269">
        <v>1.7901144E-4</v>
      </c>
      <c r="E269">
        <v>1.7759021999999999E-2</v>
      </c>
      <c r="F269" s="163">
        <v>3.8250010999999999E-9</v>
      </c>
      <c r="G269" s="163">
        <v>1.8659096000000001E-5</v>
      </c>
      <c r="H269" s="163">
        <v>9.3732803000000006E-5</v>
      </c>
      <c r="I269" s="163">
        <v>1.7385989999999999E-5</v>
      </c>
      <c r="J269">
        <v>1.1177650000000001E-2</v>
      </c>
      <c r="K269">
        <v>1.781858E-4</v>
      </c>
      <c r="L269">
        <v>0.62584203000000005</v>
      </c>
      <c r="M269" s="163">
        <v>3.6052800999999997E-5</v>
      </c>
      <c r="N269">
        <v>2.0504418999999999E-2</v>
      </c>
      <c r="O269">
        <v>1.8131413999999998E-2</v>
      </c>
      <c r="P269">
        <v>2.3675704E-3</v>
      </c>
      <c r="Q269" s="163">
        <v>5.4350491000000003E-6</v>
      </c>
      <c r="R269" s="163">
        <v>4.7746409000000003E-9</v>
      </c>
      <c r="S269">
        <v>1.2214052E-4</v>
      </c>
      <c r="T269" s="163">
        <v>4.8633882000000001E-7</v>
      </c>
      <c r="U269" s="163">
        <v>3.8021944000000003E-5</v>
      </c>
      <c r="V269">
        <v>4.2433217E-4</v>
      </c>
      <c r="W269">
        <v>1.3114552E-4</v>
      </c>
      <c r="X269" s="163">
        <v>3.8889015999999997E-8</v>
      </c>
      <c r="Y269">
        <v>0.36802635</v>
      </c>
      <c r="Z269">
        <v>-4.5304025E-3</v>
      </c>
      <c r="AA269" s="163">
        <v>3.5102126E-9</v>
      </c>
      <c r="AB269">
        <v>1.3685915999999999E-3</v>
      </c>
      <c r="AC269">
        <v>0.39825869000000003</v>
      </c>
      <c r="AD269" s="163">
        <v>2.4512011999999999E-11</v>
      </c>
      <c r="AE269" s="163">
        <v>4.1320451000000001E-10</v>
      </c>
      <c r="AF269">
        <v>0.50646323000000004</v>
      </c>
      <c r="AG269">
        <v>0</v>
      </c>
      <c r="AH269">
        <v>0</v>
      </c>
      <c r="AI269">
        <v>5.5378106E-3</v>
      </c>
      <c r="AJ269">
        <v>0</v>
      </c>
      <c r="AK269">
        <v>0</v>
      </c>
      <c r="AL269">
        <v>0.39113943000000001</v>
      </c>
      <c r="AM269">
        <v>0</v>
      </c>
      <c r="AN269">
        <v>0</v>
      </c>
      <c r="AO269">
        <v>0</v>
      </c>
      <c r="AP269" s="163">
        <v>-9.6797044000000002E-5</v>
      </c>
      <c r="AQ269" s="163">
        <v>3.8530898000000001E-7</v>
      </c>
      <c r="AR269">
        <v>1.3052084E-2</v>
      </c>
      <c r="AS269" s="163">
        <v>2.1370809E-6</v>
      </c>
      <c r="AT269">
        <v>0</v>
      </c>
      <c r="AU269">
        <v>0</v>
      </c>
      <c r="AV269">
        <v>0</v>
      </c>
      <c r="AW269">
        <v>0</v>
      </c>
      <c r="AX269">
        <v>0</v>
      </c>
    </row>
    <row r="270" spans="1:50">
      <c r="A270" t="s">
        <v>1518</v>
      </c>
      <c r="B270" s="189">
        <f t="shared" si="4"/>
        <v>2.1196015883853999E-3</v>
      </c>
      <c r="C270" s="163">
        <v>2.5202365E-8</v>
      </c>
      <c r="D270" s="163">
        <v>9.8367798999999994E-5</v>
      </c>
      <c r="E270">
        <v>1.0583999E-2</v>
      </c>
      <c r="F270" s="163">
        <v>2.0141989E-9</v>
      </c>
      <c r="G270" s="163">
        <v>1.2537132E-5</v>
      </c>
      <c r="H270" s="163">
        <v>5.2235614999999999E-5</v>
      </c>
      <c r="I270" s="163">
        <v>9.5607910000000004E-6</v>
      </c>
      <c r="J270">
        <v>9.4515148999999993E-3</v>
      </c>
      <c r="K270">
        <v>3.7886707999999999E-3</v>
      </c>
      <c r="L270">
        <v>2.8862516</v>
      </c>
      <c r="M270" s="163">
        <v>2.688107E-5</v>
      </c>
      <c r="N270">
        <v>1.0943361E-2</v>
      </c>
      <c r="O270">
        <v>1.0836548999999999E-2</v>
      </c>
      <c r="P270">
        <v>1.0353062E-4</v>
      </c>
      <c r="Q270" s="163">
        <v>3.2810879E-6</v>
      </c>
      <c r="R270" s="163">
        <v>2.4983273E-9</v>
      </c>
      <c r="S270" s="163">
        <v>6.7688263999999995E-5</v>
      </c>
      <c r="T270" s="163">
        <v>3.8282341000000002E-7</v>
      </c>
      <c r="U270" s="163">
        <v>2.0090173999999998E-5</v>
      </c>
      <c r="V270">
        <v>2.2620151999999999E-4</v>
      </c>
      <c r="W270" s="163">
        <v>7.3093512E-5</v>
      </c>
      <c r="X270" s="163">
        <v>2.5202469E-8</v>
      </c>
      <c r="Y270">
        <v>0.19890288</v>
      </c>
      <c r="Z270">
        <v>-1.1963898000000001E-2</v>
      </c>
      <c r="AA270" s="163">
        <v>2.5788881000000002E-9</v>
      </c>
      <c r="AB270">
        <v>7.2406973000000005E-4</v>
      </c>
      <c r="AC270">
        <v>0.49340463000000001</v>
      </c>
      <c r="AD270" s="163">
        <v>3.1731847999999997E-11</v>
      </c>
      <c r="AE270" s="163">
        <v>3.4213898000000003E-10</v>
      </c>
      <c r="AF270">
        <v>0.25289728</v>
      </c>
      <c r="AG270">
        <v>0</v>
      </c>
      <c r="AH270">
        <v>0</v>
      </c>
      <c r="AI270">
        <v>3.6165228999999999E-3</v>
      </c>
      <c r="AJ270">
        <v>0</v>
      </c>
      <c r="AK270">
        <v>0</v>
      </c>
      <c r="AL270">
        <v>0.21134120000000001</v>
      </c>
      <c r="AM270">
        <v>0</v>
      </c>
      <c r="AN270">
        <v>0</v>
      </c>
      <c r="AO270">
        <v>0</v>
      </c>
      <c r="AP270">
        <v>-2.7289588E-4</v>
      </c>
      <c r="AQ270" s="163">
        <v>2.7402798E-7</v>
      </c>
      <c r="AR270">
        <v>9.4550639999999991E-3</v>
      </c>
      <c r="AS270" s="163">
        <v>1.1170157000000001E-6</v>
      </c>
      <c r="AT270">
        <v>0</v>
      </c>
      <c r="AU270">
        <v>0</v>
      </c>
      <c r="AV270">
        <v>0</v>
      </c>
      <c r="AW270">
        <v>0</v>
      </c>
      <c r="AX270">
        <v>0</v>
      </c>
    </row>
    <row r="271" spans="1:50">
      <c r="A271" t="s">
        <v>1519</v>
      </c>
      <c r="B271" s="189">
        <f t="shared" si="4"/>
        <v>4.1597527802336798E-3</v>
      </c>
      <c r="C271" s="163">
        <v>1.8290248E-8</v>
      </c>
      <c r="D271" s="163">
        <v>6.9631037999999995E-5</v>
      </c>
      <c r="E271">
        <v>8.7908980000000001E-3</v>
      </c>
      <c r="F271" s="163">
        <v>1.3427878E-9</v>
      </c>
      <c r="G271" s="163">
        <v>4.2152769999999999E-5</v>
      </c>
      <c r="H271">
        <v>2.0902415999999999E-4</v>
      </c>
      <c r="I271" s="163">
        <v>5.2174542999999998E-5</v>
      </c>
      <c r="J271">
        <v>2.5253121999999999E-2</v>
      </c>
      <c r="K271">
        <v>2.1107775000000001E-4</v>
      </c>
      <c r="L271">
        <v>0.38518639999999998</v>
      </c>
      <c r="M271" s="163">
        <v>2.3644742999999998E-5</v>
      </c>
      <c r="N271">
        <v>0.53349946000000004</v>
      </c>
      <c r="O271">
        <v>8.8620647E-3</v>
      </c>
      <c r="P271">
        <v>0.52463546999999999</v>
      </c>
      <c r="Q271" s="163">
        <v>1.9269226999999999E-6</v>
      </c>
      <c r="R271" s="163">
        <v>1.5826872E-9</v>
      </c>
      <c r="S271">
        <v>3.0791153000000001E-4</v>
      </c>
      <c r="T271" s="163">
        <v>3.3399193999999998E-7</v>
      </c>
      <c r="U271">
        <v>1.3979671000000001E-4</v>
      </c>
      <c r="V271">
        <v>1.6255783E-3</v>
      </c>
      <c r="W271">
        <v>4.3002867999999999E-4</v>
      </c>
      <c r="X271" s="163">
        <v>1.8293917999999999E-8</v>
      </c>
      <c r="Y271">
        <v>0.13666333</v>
      </c>
      <c r="Z271">
        <v>4.4331731999999999E-2</v>
      </c>
      <c r="AA271" s="163">
        <v>2.7361016000000002E-9</v>
      </c>
      <c r="AB271">
        <v>4.0679917999999999E-4</v>
      </c>
      <c r="AC271">
        <v>0.32014947999999999</v>
      </c>
      <c r="AD271" s="163">
        <v>2.8957306999999999E-10</v>
      </c>
      <c r="AE271" s="163">
        <v>6.0460463000000001E-10</v>
      </c>
      <c r="AF271">
        <v>0.1265037</v>
      </c>
      <c r="AG271">
        <v>0</v>
      </c>
      <c r="AH271">
        <v>0</v>
      </c>
      <c r="AI271">
        <v>3.6692068000000002E-3</v>
      </c>
      <c r="AJ271">
        <v>0</v>
      </c>
      <c r="AK271">
        <v>0</v>
      </c>
      <c r="AL271">
        <v>0.14648990000000001</v>
      </c>
      <c r="AM271">
        <v>0</v>
      </c>
      <c r="AN271">
        <v>0</v>
      </c>
      <c r="AO271">
        <v>0</v>
      </c>
      <c r="AP271">
        <v>5.1486355999999999E-4</v>
      </c>
      <c r="AQ271" s="163">
        <v>2.4403667999999998E-7</v>
      </c>
      <c r="AR271">
        <v>3.5216518E-3</v>
      </c>
      <c r="AS271" s="163">
        <v>5.6753397999999999E-7</v>
      </c>
      <c r="AT271">
        <v>0</v>
      </c>
      <c r="AU271">
        <v>0</v>
      </c>
      <c r="AV271">
        <v>0</v>
      </c>
      <c r="AW271">
        <v>0</v>
      </c>
      <c r="AX271">
        <v>0</v>
      </c>
    </row>
    <row r="272" spans="1:50">
      <c r="A272" t="s">
        <v>1520</v>
      </c>
      <c r="B272" s="189">
        <f t="shared" si="4"/>
        <v>0.12421076911571466</v>
      </c>
      <c r="C272" s="163">
        <v>8.2114573000000004E-8</v>
      </c>
      <c r="D272">
        <v>1.8157017000000001E-4</v>
      </c>
      <c r="E272">
        <v>2.3328750999999999</v>
      </c>
      <c r="F272" s="163">
        <v>9.2818661000000003E-9</v>
      </c>
      <c r="G272" s="163">
        <v>5.2700732000000003E-5</v>
      </c>
      <c r="H272">
        <v>4.6862991999999998E-4</v>
      </c>
      <c r="I272" s="163">
        <v>8.5304689000000007E-5</v>
      </c>
      <c r="J272">
        <v>4.5485564999999999E-2</v>
      </c>
      <c r="K272">
        <v>2.7394163999999999E-3</v>
      </c>
      <c r="L272">
        <v>6.1008633000000003</v>
      </c>
      <c r="M272" s="163">
        <v>6.7304619999999994E-5</v>
      </c>
      <c r="N272">
        <v>2.3346385999999999</v>
      </c>
      <c r="O272">
        <v>2.3341965</v>
      </c>
      <c r="P272">
        <v>4.2030529999999999E-4</v>
      </c>
      <c r="Q272" s="163">
        <v>2.1712748000000001E-5</v>
      </c>
      <c r="R272" s="163">
        <v>9.4902417000000002E-9</v>
      </c>
      <c r="S272">
        <v>6.2486441999999999E-4</v>
      </c>
      <c r="T272" s="163">
        <v>1.6227057000000001E-6</v>
      </c>
      <c r="U272">
        <v>2.0446483999999999E-4</v>
      </c>
      <c r="V272">
        <v>2.2913727000000001E-3</v>
      </c>
      <c r="W272">
        <v>5.9971305999999996E-4</v>
      </c>
      <c r="X272" s="163">
        <v>8.2120878999999996E-8</v>
      </c>
      <c r="Y272">
        <v>0.34990173000000002</v>
      </c>
      <c r="Z272">
        <v>5.7546188999999998E-2</v>
      </c>
      <c r="AA272" s="163">
        <v>4.5078641000000003E-9</v>
      </c>
      <c r="AB272">
        <v>1.3932526E-3</v>
      </c>
      <c r="AC272">
        <v>0.75039493000000002</v>
      </c>
      <c r="AD272" s="163">
        <v>3.2381736E-10</v>
      </c>
      <c r="AE272" s="163">
        <v>1.7528619999999999E-9</v>
      </c>
      <c r="AF272">
        <v>0.21829989999999999</v>
      </c>
      <c r="AG272">
        <v>0</v>
      </c>
      <c r="AH272">
        <v>0</v>
      </c>
      <c r="AI272">
        <v>2.3664840999999999E-2</v>
      </c>
      <c r="AJ272">
        <v>0</v>
      </c>
      <c r="AK272">
        <v>0</v>
      </c>
      <c r="AL272">
        <v>0.37301396999999997</v>
      </c>
      <c r="AM272">
        <v>0</v>
      </c>
      <c r="AN272">
        <v>0</v>
      </c>
      <c r="AO272">
        <v>0</v>
      </c>
      <c r="AP272">
        <v>8.7964650000000005E-4</v>
      </c>
      <c r="AQ272" s="163">
        <v>7.6784268000000001E-7</v>
      </c>
      <c r="AR272">
        <v>5.6922344E-2</v>
      </c>
      <c r="AS272" s="163">
        <v>1.3956226000000001E-6</v>
      </c>
      <c r="AT272">
        <v>0</v>
      </c>
      <c r="AU272">
        <v>0</v>
      </c>
      <c r="AV272">
        <v>0</v>
      </c>
      <c r="AW272">
        <v>0</v>
      </c>
      <c r="AX272">
        <v>0</v>
      </c>
    </row>
    <row r="273" spans="1:50">
      <c r="A273" t="s">
        <v>1521</v>
      </c>
      <c r="B273" s="189">
        <f t="shared" si="4"/>
        <v>0.16165133551716226</v>
      </c>
      <c r="C273" s="163">
        <v>6.5927989000000006E-8</v>
      </c>
      <c r="D273">
        <v>2.4342934999999999E-4</v>
      </c>
      <c r="E273">
        <v>3.1572756000000002</v>
      </c>
      <c r="F273" s="163">
        <v>6.5227427999999998E-9</v>
      </c>
      <c r="G273" s="163">
        <v>1.5801327000000001E-5</v>
      </c>
      <c r="H273">
        <v>3.4614484E-4</v>
      </c>
      <c r="I273">
        <v>1.0862712E-4</v>
      </c>
      <c r="J273">
        <v>1.3106972E-2</v>
      </c>
      <c r="K273">
        <v>6.1804891999999996E-4</v>
      </c>
      <c r="L273">
        <v>1.4517100000000001</v>
      </c>
      <c r="M273">
        <v>1.8724247999999999E-4</v>
      </c>
      <c r="N273">
        <v>3.1581001999999998</v>
      </c>
      <c r="O273">
        <v>3.1578556999999998</v>
      </c>
      <c r="P273">
        <v>2.3095405E-4</v>
      </c>
      <c r="Q273" s="163">
        <v>1.3534891E-5</v>
      </c>
      <c r="R273" s="163">
        <v>7.1203228999999998E-9</v>
      </c>
      <c r="S273">
        <v>4.694298E-4</v>
      </c>
      <c r="T273" s="163">
        <v>1.1288936999999999E-6</v>
      </c>
      <c r="U273">
        <v>1.7418064000000001E-4</v>
      </c>
      <c r="V273">
        <v>1.9515877000000001E-3</v>
      </c>
      <c r="W273">
        <v>4.7480147999999999E-4</v>
      </c>
      <c r="X273" s="163">
        <v>6.5938439999999999E-8</v>
      </c>
      <c r="Y273">
        <v>0.46939788999999998</v>
      </c>
      <c r="Z273">
        <v>0.16885998999999999</v>
      </c>
      <c r="AA273" s="163">
        <v>2.2940342999999999E-9</v>
      </c>
      <c r="AB273">
        <v>1.2705151000000001E-3</v>
      </c>
      <c r="AC273">
        <v>5.1451813</v>
      </c>
      <c r="AD273" s="163">
        <v>3.1802744999999997E-11</v>
      </c>
      <c r="AE273" s="163">
        <v>2.1191608999999998E-9</v>
      </c>
      <c r="AF273">
        <v>0.16500348000000001</v>
      </c>
      <c r="AG273">
        <v>0</v>
      </c>
      <c r="AH273">
        <v>0</v>
      </c>
      <c r="AI273">
        <v>2.0466393999999999E-2</v>
      </c>
      <c r="AJ273">
        <v>0</v>
      </c>
      <c r="AK273">
        <v>0</v>
      </c>
      <c r="AL273">
        <v>0.50734111000000004</v>
      </c>
      <c r="AM273">
        <v>0</v>
      </c>
      <c r="AN273">
        <v>0</v>
      </c>
      <c r="AO273">
        <v>0</v>
      </c>
      <c r="AP273">
        <v>3.9684743000000001E-3</v>
      </c>
      <c r="AQ273" s="163">
        <v>2.6478380000000001E-6</v>
      </c>
      <c r="AR273">
        <v>7.0211899999999994E-2</v>
      </c>
      <c r="AS273" s="163">
        <v>1.5578002E-6</v>
      </c>
      <c r="AT273">
        <v>0</v>
      </c>
      <c r="AU273">
        <v>0</v>
      </c>
      <c r="AV273">
        <v>0</v>
      </c>
      <c r="AW273">
        <v>0</v>
      </c>
      <c r="AX273">
        <v>0</v>
      </c>
    </row>
    <row r="274" spans="1:50">
      <c r="A274" t="s">
        <v>1522</v>
      </c>
      <c r="B274" s="189">
        <f t="shared" si="4"/>
        <v>0.17348134754607858</v>
      </c>
      <c r="C274" s="163">
        <v>2.8162646999999999E-8</v>
      </c>
      <c r="D274" s="163">
        <v>7.3274526999999998E-5</v>
      </c>
      <c r="E274">
        <v>3.1449232</v>
      </c>
      <c r="F274" s="163">
        <v>2.0830464999999999E-9</v>
      </c>
      <c r="G274" s="163">
        <v>4.2264210000000002E-5</v>
      </c>
      <c r="H274">
        <v>2.4641037000000001E-4</v>
      </c>
      <c r="I274" s="163">
        <v>6.5046057999999999E-5</v>
      </c>
      <c r="J274">
        <v>0.13854680999999999</v>
      </c>
      <c r="K274">
        <v>4.3633952E-3</v>
      </c>
      <c r="L274">
        <v>19.653203999999999</v>
      </c>
      <c r="M274" s="163">
        <v>3.9617438999999998E-5</v>
      </c>
      <c r="N274">
        <v>3.1460458999999998</v>
      </c>
      <c r="O274">
        <v>3.1458213000000002</v>
      </c>
      <c r="P274">
        <v>2.1990474000000001E-4</v>
      </c>
      <c r="Q274" s="163">
        <v>4.6608231999999998E-6</v>
      </c>
      <c r="R274" s="163">
        <v>2.2150050999999999E-9</v>
      </c>
      <c r="S274">
        <v>3.6056876999999998E-4</v>
      </c>
      <c r="T274" s="163">
        <v>5.4573251E-7</v>
      </c>
      <c r="U274">
        <v>1.6381577999999999E-4</v>
      </c>
      <c r="V274">
        <v>1.8597481999999999E-3</v>
      </c>
      <c r="W274">
        <v>4.8950052000000001E-4</v>
      </c>
      <c r="X274" s="163">
        <v>2.8167276999999999E-8</v>
      </c>
      <c r="Y274">
        <v>0.1398191</v>
      </c>
      <c r="Z274">
        <v>4.6247642999999998E-2</v>
      </c>
      <c r="AA274" s="163">
        <v>2.7538628999999999E-9</v>
      </c>
      <c r="AB274">
        <v>4.4536574E-4</v>
      </c>
      <c r="AC274">
        <v>15.008779000000001</v>
      </c>
      <c r="AD274" s="163">
        <v>4.5781388000000001E-10</v>
      </c>
      <c r="AE274" s="163">
        <v>4.0307482999999998E-9</v>
      </c>
      <c r="AF274">
        <v>6.0979397999999997E-2</v>
      </c>
      <c r="AG274">
        <v>0</v>
      </c>
      <c r="AH274">
        <v>0</v>
      </c>
      <c r="AI274">
        <v>6.8781246000000004E-3</v>
      </c>
      <c r="AJ274">
        <v>0</v>
      </c>
      <c r="AK274">
        <v>0</v>
      </c>
      <c r="AL274">
        <v>0.14991736999999999</v>
      </c>
      <c r="AM274">
        <v>0</v>
      </c>
      <c r="AN274">
        <v>0</v>
      </c>
      <c r="AO274">
        <v>0</v>
      </c>
      <c r="AP274">
        <v>5.2229166E-4</v>
      </c>
      <c r="AQ274" s="163">
        <v>1.1298289999999999E-6</v>
      </c>
      <c r="AR274">
        <v>2.6983975E-2</v>
      </c>
      <c r="AS274" s="163">
        <v>4.8605337999999997E-7</v>
      </c>
      <c r="AT274">
        <v>0</v>
      </c>
      <c r="AU274">
        <v>0</v>
      </c>
      <c r="AV274">
        <v>0</v>
      </c>
      <c r="AW274">
        <v>0</v>
      </c>
      <c r="AX274">
        <v>0</v>
      </c>
    </row>
    <row r="275" spans="1:50">
      <c r="A275" t="s">
        <v>795</v>
      </c>
      <c r="B275" s="189">
        <f t="shared" si="4"/>
        <v>4.2191878600450006E-3</v>
      </c>
      <c r="C275" s="163">
        <v>1.8422874999999999E-8</v>
      </c>
      <c r="D275" s="163">
        <v>4.999929E-5</v>
      </c>
      <c r="E275">
        <v>8.7707166000000007E-3</v>
      </c>
      <c r="F275" s="163">
        <v>1.0462575000000001E-9</v>
      </c>
      <c r="G275" s="163">
        <v>4.0666318000000003E-5</v>
      </c>
      <c r="H275">
        <v>2.1234611E-4</v>
      </c>
      <c r="I275" s="163">
        <v>5.5537631E-5</v>
      </c>
      <c r="J275">
        <v>2.5397038E-2</v>
      </c>
      <c r="K275">
        <v>1.9245039E-4</v>
      </c>
      <c r="L275">
        <v>0.49047109999999999</v>
      </c>
      <c r="M275" s="163">
        <v>2.5133526E-5</v>
      </c>
      <c r="N275">
        <v>1.4695623</v>
      </c>
      <c r="O275">
        <v>8.9102737000000005E-3</v>
      </c>
      <c r="P275">
        <v>1.4606498000000001</v>
      </c>
      <c r="Q275" s="163">
        <v>2.1705239000000001E-6</v>
      </c>
      <c r="R275" s="163">
        <v>1.1565513999999999E-9</v>
      </c>
      <c r="S275">
        <v>3.1390713000000001E-4</v>
      </c>
      <c r="T275" s="163">
        <v>3.5101168000000002E-7</v>
      </c>
      <c r="U275">
        <v>1.4521637E-4</v>
      </c>
      <c r="V275">
        <v>1.6707244999999999E-3</v>
      </c>
      <c r="W275">
        <v>4.3611205999999998E-4</v>
      </c>
      <c r="X275" s="163">
        <v>1.8426893999999999E-8</v>
      </c>
      <c r="Y275">
        <v>9.3371250000000003E-2</v>
      </c>
      <c r="Z275">
        <v>4.4434205999999997E-2</v>
      </c>
      <c r="AA275" s="163">
        <v>2.5197436000000001E-9</v>
      </c>
      <c r="AB275">
        <v>2.3963076000000001E-4</v>
      </c>
      <c r="AC275">
        <v>0.21721381000000001</v>
      </c>
      <c r="AD275" s="163">
        <v>2.9492991999999999E-10</v>
      </c>
      <c r="AE275" s="163">
        <v>9.2169399999999998E-10</v>
      </c>
      <c r="AF275">
        <v>2.8014366999999998E-2</v>
      </c>
      <c r="AG275">
        <v>0</v>
      </c>
      <c r="AH275">
        <v>0</v>
      </c>
      <c r="AI275">
        <v>3.4116898000000001E-3</v>
      </c>
      <c r="AJ275">
        <v>0</v>
      </c>
      <c r="AK275">
        <v>0</v>
      </c>
      <c r="AL275">
        <v>0.10053834</v>
      </c>
      <c r="AM275">
        <v>0</v>
      </c>
      <c r="AN275">
        <v>0</v>
      </c>
      <c r="AO275">
        <v>0</v>
      </c>
      <c r="AP275">
        <v>4.6256393000000001E-4</v>
      </c>
      <c r="AQ275" s="163">
        <v>2.6105236000000001E-7</v>
      </c>
      <c r="AR275">
        <v>5.6188966999999998E-3</v>
      </c>
      <c r="AS275" s="163">
        <v>2.9239294999999999E-7</v>
      </c>
      <c r="AT275">
        <v>0</v>
      </c>
      <c r="AU275">
        <v>0</v>
      </c>
      <c r="AV275">
        <v>0</v>
      </c>
      <c r="AW275">
        <v>0</v>
      </c>
      <c r="AX275">
        <v>0</v>
      </c>
    </row>
    <row r="276" spans="1:50">
      <c r="A276" t="s">
        <v>1523</v>
      </c>
      <c r="B276" s="189">
        <f t="shared" si="4"/>
        <v>4.3040722289463601E-3</v>
      </c>
      <c r="C276" s="163">
        <v>1.9333520999999999E-8</v>
      </c>
      <c r="D276" s="163">
        <v>5.1332307999999998E-5</v>
      </c>
      <c r="E276">
        <v>9.1516458999999998E-3</v>
      </c>
      <c r="F276" s="163">
        <v>1.0983080999999999E-9</v>
      </c>
      <c r="G276" s="163">
        <v>4.0773582999999999E-5</v>
      </c>
      <c r="H276">
        <v>2.1375978E-4</v>
      </c>
      <c r="I276" s="163">
        <v>5.5711328E-5</v>
      </c>
      <c r="J276">
        <v>2.5593299E-2</v>
      </c>
      <c r="K276">
        <v>1.1254507999999999E-3</v>
      </c>
      <c r="L276">
        <v>0.61555996000000002</v>
      </c>
      <c r="M276" s="163">
        <v>2.5600901E-5</v>
      </c>
      <c r="N276">
        <v>1.4599607999999999</v>
      </c>
      <c r="O276">
        <v>9.2938906000000002E-3</v>
      </c>
      <c r="P276">
        <v>1.4506646000000001</v>
      </c>
      <c r="Q276" s="163">
        <v>2.3017738E-6</v>
      </c>
      <c r="R276" s="163">
        <v>1.2104185E-9</v>
      </c>
      <c r="S276">
        <v>3.1565671000000002E-4</v>
      </c>
      <c r="T276" s="163">
        <v>3.6596176000000001E-7</v>
      </c>
      <c r="U276">
        <v>1.4553063E-4</v>
      </c>
      <c r="V276">
        <v>1.6746431E-3</v>
      </c>
      <c r="W276">
        <v>4.3709819000000002E-4</v>
      </c>
      <c r="X276" s="163">
        <v>1.9337563000000001E-8</v>
      </c>
      <c r="Y276">
        <v>9.6102607000000007E-2</v>
      </c>
      <c r="Z276">
        <v>4.4512393999999997E-2</v>
      </c>
      <c r="AA276" s="163">
        <v>2.5333183E-9</v>
      </c>
      <c r="AB276">
        <v>2.5466996000000002E-4</v>
      </c>
      <c r="AC276">
        <v>0.26378093000000002</v>
      </c>
      <c r="AD276" s="163">
        <v>3.8809876000000003E-9</v>
      </c>
      <c r="AE276" s="163">
        <v>9.4238698999999992E-10</v>
      </c>
      <c r="AF276">
        <v>3.1053503999999999E-2</v>
      </c>
      <c r="AG276">
        <v>0</v>
      </c>
      <c r="AH276">
        <v>0</v>
      </c>
      <c r="AI276">
        <v>3.6490361000000001E-3</v>
      </c>
      <c r="AJ276">
        <v>0</v>
      </c>
      <c r="AK276">
        <v>0</v>
      </c>
      <c r="AL276">
        <v>0.10342467</v>
      </c>
      <c r="AM276">
        <v>0</v>
      </c>
      <c r="AN276">
        <v>0</v>
      </c>
      <c r="AO276">
        <v>0</v>
      </c>
      <c r="AP276">
        <v>4.6590078999999998E-4</v>
      </c>
      <c r="AQ276" s="163">
        <v>6.0224522999999999E-7</v>
      </c>
      <c r="AR276">
        <v>7.7447399000000004E-3</v>
      </c>
      <c r="AS276" s="163">
        <v>3.0671887000000001E-7</v>
      </c>
      <c r="AT276">
        <v>0</v>
      </c>
      <c r="AU276">
        <v>0</v>
      </c>
      <c r="AV276">
        <v>0</v>
      </c>
      <c r="AW276">
        <v>0</v>
      </c>
      <c r="AX276">
        <v>0</v>
      </c>
    </row>
    <row r="277" spans="1:50">
      <c r="A277" t="s">
        <v>1524</v>
      </c>
      <c r="B277" s="189">
        <f t="shared" si="4"/>
        <v>0.1566420665276376</v>
      </c>
      <c r="C277" s="163">
        <v>6.5326111000000002E-7</v>
      </c>
      <c r="D277">
        <v>1.0307186999999999E-3</v>
      </c>
      <c r="E277">
        <v>2.6575202999999998</v>
      </c>
      <c r="F277" s="163">
        <v>8.1255561999999996E-8</v>
      </c>
      <c r="G277" s="163">
        <v>8.4823426999999999E-5</v>
      </c>
      <c r="H277">
        <v>9.1495624999999995E-4</v>
      </c>
      <c r="I277">
        <v>1.6179207999999999E-4</v>
      </c>
      <c r="J277">
        <v>0.16862326</v>
      </c>
      <c r="K277">
        <v>9.6547812000000004E-3</v>
      </c>
      <c r="L277">
        <v>28.220587999999999</v>
      </c>
      <c r="M277">
        <v>4.1996895E-4</v>
      </c>
      <c r="N277">
        <v>2.6610377999999999</v>
      </c>
      <c r="O277">
        <v>2.6606964999999998</v>
      </c>
      <c r="P277">
        <v>1.3775914999999999E-4</v>
      </c>
      <c r="Q277">
        <v>2.0362388999999999E-4</v>
      </c>
      <c r="R277" s="163">
        <v>8.0801863000000004E-8</v>
      </c>
      <c r="S277">
        <v>1.1811852E-3</v>
      </c>
      <c r="T277" s="163">
        <v>1.2496627E-5</v>
      </c>
      <c r="U277">
        <v>3.1014342999999999E-4</v>
      </c>
      <c r="V277">
        <v>3.5935365000000002E-3</v>
      </c>
      <c r="W277">
        <v>9.1706451000000001E-4</v>
      </c>
      <c r="X277" s="163">
        <v>6.5328082999999998E-7</v>
      </c>
      <c r="Y277">
        <v>1.9279866000000001</v>
      </c>
      <c r="Z277">
        <v>0.17582189000000001</v>
      </c>
      <c r="AA277" s="163">
        <v>8.6347540000000002E-9</v>
      </c>
      <c r="AB277">
        <v>8.4414357999999991E-3</v>
      </c>
      <c r="AC277">
        <v>33.126131000000001</v>
      </c>
      <c r="AD277" s="163">
        <v>4.8202447000000001E-10</v>
      </c>
      <c r="AE277" s="163">
        <v>1.0044643E-8</v>
      </c>
      <c r="AF277">
        <v>0.52394529000000001</v>
      </c>
      <c r="AG277">
        <v>0</v>
      </c>
      <c r="AH277">
        <v>0</v>
      </c>
      <c r="AI277">
        <v>0.18899643999999999</v>
      </c>
      <c r="AJ277">
        <v>0</v>
      </c>
      <c r="AK277">
        <v>0</v>
      </c>
      <c r="AL277">
        <v>2.0489335</v>
      </c>
      <c r="AM277">
        <v>0</v>
      </c>
      <c r="AN277">
        <v>0</v>
      </c>
      <c r="AO277">
        <v>0</v>
      </c>
      <c r="AP277">
        <v>3.9000489E-3</v>
      </c>
      <c r="AQ277" s="163">
        <v>4.9661878999999997E-6</v>
      </c>
      <c r="AR277">
        <v>3.7825722999999999E-2</v>
      </c>
      <c r="AS277" s="163">
        <v>7.1077899000000002E-6</v>
      </c>
      <c r="AT277">
        <v>0</v>
      </c>
      <c r="AU277">
        <v>0</v>
      </c>
      <c r="AV277">
        <v>0</v>
      </c>
      <c r="AW277">
        <v>0</v>
      </c>
      <c r="AX277">
        <v>0</v>
      </c>
    </row>
    <row r="278" spans="1:50">
      <c r="A278" t="s">
        <v>1525</v>
      </c>
      <c r="B278" s="189">
        <f t="shared" si="4"/>
        <v>0.177290522878364</v>
      </c>
      <c r="C278" s="163">
        <v>3.0384954E-6</v>
      </c>
      <c r="D278">
        <v>4.6849904000000001E-3</v>
      </c>
      <c r="E278">
        <v>2.3352531000000001</v>
      </c>
      <c r="F278" s="163">
        <v>3.8331957E-7</v>
      </c>
      <c r="G278">
        <v>2.4746396000000003E-4</v>
      </c>
      <c r="H278">
        <v>3.4265259E-3</v>
      </c>
      <c r="I278">
        <v>5.1477271000000002E-4</v>
      </c>
      <c r="J278">
        <v>0.40106552000000001</v>
      </c>
      <c r="K278">
        <v>9.4068725999999995E-3</v>
      </c>
      <c r="L278">
        <v>44.407114999999997</v>
      </c>
      <c r="M278">
        <v>1.8913879999999999E-3</v>
      </c>
      <c r="N278">
        <v>2.3478707000000001</v>
      </c>
      <c r="O278">
        <v>2.3467311</v>
      </c>
      <c r="P278">
        <v>1.7689088999999999E-4</v>
      </c>
      <c r="Q278">
        <v>9.6269661000000003E-4</v>
      </c>
      <c r="R278" s="163">
        <v>3.8064759E-7</v>
      </c>
      <c r="S278">
        <v>4.252207E-3</v>
      </c>
      <c r="T278" s="163">
        <v>5.8169669000000002E-5</v>
      </c>
      <c r="U278">
        <v>8.2982572000000001E-4</v>
      </c>
      <c r="V278">
        <v>9.8545631999999994E-3</v>
      </c>
      <c r="W278">
        <v>2.4707294999999998E-3</v>
      </c>
      <c r="X278" s="163">
        <v>3.0385716999999998E-6</v>
      </c>
      <c r="Y278">
        <v>8.7569096999999996</v>
      </c>
      <c r="Z278">
        <v>0.66944004000000001</v>
      </c>
      <c r="AA278" s="163">
        <v>3.0985118999999997E-8</v>
      </c>
      <c r="AB278">
        <v>3.9145262E-2</v>
      </c>
      <c r="AC278">
        <v>155.51165</v>
      </c>
      <c r="AD278" s="163">
        <v>7.8879434999999996E-10</v>
      </c>
      <c r="AE278" s="163">
        <v>3.7326437000000003E-8</v>
      </c>
      <c r="AF278">
        <v>2.3399795999999999</v>
      </c>
      <c r="AG278">
        <v>0</v>
      </c>
      <c r="AH278">
        <v>0</v>
      </c>
      <c r="AI278">
        <v>0.88630615999999995</v>
      </c>
      <c r="AJ278">
        <v>0</v>
      </c>
      <c r="AK278">
        <v>0</v>
      </c>
      <c r="AL278">
        <v>9.3002497000000002</v>
      </c>
      <c r="AM278">
        <v>0</v>
      </c>
      <c r="AN278">
        <v>0</v>
      </c>
      <c r="AO278">
        <v>0</v>
      </c>
      <c r="AP278">
        <v>1.6793658E-2</v>
      </c>
      <c r="AQ278" s="163">
        <v>2.0238339999999998E-5</v>
      </c>
      <c r="AR278">
        <v>0.12713361000000001</v>
      </c>
      <c r="AS278" s="163">
        <v>3.2553365000000003E-5</v>
      </c>
      <c r="AT278">
        <v>0</v>
      </c>
      <c r="AU278">
        <v>0</v>
      </c>
      <c r="AV278">
        <v>0</v>
      </c>
      <c r="AW278">
        <v>0</v>
      </c>
      <c r="AX278">
        <v>0</v>
      </c>
    </row>
    <row r="279" spans="1:50">
      <c r="A279" t="s">
        <v>1526</v>
      </c>
      <c r="B279" s="189">
        <f t="shared" si="4"/>
        <v>0.13127433628047105</v>
      </c>
      <c r="C279" s="163">
        <v>2.8875268999999999E-8</v>
      </c>
      <c r="D279">
        <v>1.1671035E-4</v>
      </c>
      <c r="E279">
        <v>2.3933426999999998</v>
      </c>
      <c r="F279" s="163">
        <v>2.1012476E-9</v>
      </c>
      <c r="G279" s="163">
        <v>8.7621113000000003E-6</v>
      </c>
      <c r="H279">
        <v>1.5230465999999999E-4</v>
      </c>
      <c r="I279" s="163">
        <v>6.7599478999999998E-5</v>
      </c>
      <c r="J279">
        <v>8.2019412999999999E-2</v>
      </c>
      <c r="K279">
        <v>7.1585855E-3</v>
      </c>
      <c r="L279">
        <v>27.184346000000001</v>
      </c>
      <c r="M279">
        <v>6.3970764000000004E-4</v>
      </c>
      <c r="N279">
        <v>2.3937751999999999</v>
      </c>
      <c r="O279">
        <v>2.3936774000000001</v>
      </c>
      <c r="P279" s="163">
        <v>9.3836608999999993E-5</v>
      </c>
      <c r="Q279" s="163">
        <v>3.9723404000000001E-6</v>
      </c>
      <c r="R279" s="163">
        <v>2.4010180999999999E-9</v>
      </c>
      <c r="S279">
        <v>2.1517861000000001E-4</v>
      </c>
      <c r="T279" s="163">
        <v>5.0247732999999999E-7</v>
      </c>
      <c r="U279" s="163">
        <v>9.4114696999999994E-5</v>
      </c>
      <c r="V279">
        <v>1.0496551000000001E-3</v>
      </c>
      <c r="W279">
        <v>2.5774674999999998E-4</v>
      </c>
      <c r="X279" s="163">
        <v>2.8879834000000001E-8</v>
      </c>
      <c r="Y279">
        <v>0.22090024</v>
      </c>
      <c r="Z279">
        <v>7.2285459999999998E-3</v>
      </c>
      <c r="AA279" s="163">
        <v>1.7130538E-9</v>
      </c>
      <c r="AB279">
        <v>4.7277810000000001E-4</v>
      </c>
      <c r="AC279">
        <v>0.63258846000000002</v>
      </c>
      <c r="AD279" s="163">
        <v>3.0695383E-9</v>
      </c>
      <c r="AE279" s="163">
        <v>9.3569428000000006E-9</v>
      </c>
      <c r="AF279">
        <v>8.0770312999999996E-2</v>
      </c>
      <c r="AG279">
        <v>0</v>
      </c>
      <c r="AH279">
        <v>0</v>
      </c>
      <c r="AI279">
        <v>5.6013675999999997E-3</v>
      </c>
      <c r="AJ279">
        <v>0</v>
      </c>
      <c r="AK279">
        <v>0</v>
      </c>
      <c r="AL279">
        <v>0.23952498999999999</v>
      </c>
      <c r="AM279">
        <v>0</v>
      </c>
      <c r="AN279">
        <v>0</v>
      </c>
      <c r="AO279">
        <v>0</v>
      </c>
      <c r="AP279">
        <v>1.7808491999999999E-4</v>
      </c>
      <c r="AQ279" s="163">
        <v>3.3017929999999999E-6</v>
      </c>
      <c r="AR279">
        <v>3.9423169000000001E-2</v>
      </c>
      <c r="AS279" s="163">
        <v>6.3427271000000001E-7</v>
      </c>
      <c r="AT279">
        <v>0</v>
      </c>
      <c r="AU279">
        <v>0</v>
      </c>
      <c r="AV279">
        <v>0</v>
      </c>
      <c r="AW279">
        <v>0</v>
      </c>
      <c r="AX279">
        <v>0</v>
      </c>
    </row>
    <row r="280" spans="1:50">
      <c r="A280" t="s">
        <v>1527</v>
      </c>
      <c r="B280" s="189">
        <f t="shared" si="4"/>
        <v>-2.4810773961103684E-3</v>
      </c>
      <c r="C280" s="163">
        <v>-2.6737898000000001E-9</v>
      </c>
      <c r="D280">
        <v>-3.7736760999999998E-4</v>
      </c>
      <c r="E280">
        <v>-4.1225985999999999E-2</v>
      </c>
      <c r="F280" s="163">
        <v>-4.7839707999999998E-9</v>
      </c>
      <c r="G280" s="163">
        <v>-5.8247101000000001E-6</v>
      </c>
      <c r="H280" s="163">
        <v>-2.6899715E-5</v>
      </c>
      <c r="I280" s="163">
        <v>-3.9720056000000002E-6</v>
      </c>
      <c r="J280">
        <v>-2.1495753E-3</v>
      </c>
      <c r="K280" s="163">
        <v>-2.1676575E-5</v>
      </c>
      <c r="L280">
        <v>-9.7456193999999996E-2</v>
      </c>
      <c r="M280" s="163">
        <v>-6.6884555000000004E-6</v>
      </c>
      <c r="N280">
        <v>-4.1738669999999999E-2</v>
      </c>
      <c r="O280">
        <v>-4.1727440999999997E-2</v>
      </c>
      <c r="P280" s="163">
        <v>-1.0072656000000001E-5</v>
      </c>
      <c r="Q280" s="163">
        <v>-1.1560419E-6</v>
      </c>
      <c r="R280" s="163">
        <v>-5.4298960999999996E-9</v>
      </c>
      <c r="S280" s="163">
        <v>-3.4704201999999998E-5</v>
      </c>
      <c r="T280" s="163">
        <v>-7.5197367000000003E-8</v>
      </c>
      <c r="U280" s="163">
        <v>-1.0239191000000001E-5</v>
      </c>
      <c r="V280">
        <v>-1.1436555E-4</v>
      </c>
      <c r="W280" s="163">
        <v>-3.7192786999999998E-5</v>
      </c>
      <c r="X280" s="163">
        <v>-2.6738797000000002E-9</v>
      </c>
      <c r="Y280">
        <v>-0.69760993000000004</v>
      </c>
      <c r="Z280">
        <v>-2.8926167E-3</v>
      </c>
      <c r="AA280" s="163">
        <v>-1.0053295E-10</v>
      </c>
      <c r="AB280">
        <v>-2.2736250999999999E-4</v>
      </c>
      <c r="AC280">
        <v>-3.8988018999999999E-2</v>
      </c>
      <c r="AD280" s="163">
        <v>-2.6268449999999998E-12</v>
      </c>
      <c r="AE280" s="163">
        <v>-3.5671188999999999E-11</v>
      </c>
      <c r="AF280">
        <v>-9.4894691999999996E-3</v>
      </c>
      <c r="AG280">
        <v>0</v>
      </c>
      <c r="AH280">
        <v>0</v>
      </c>
      <c r="AI280">
        <v>-1.4315452000000001E-3</v>
      </c>
      <c r="AJ280">
        <v>0</v>
      </c>
      <c r="AK280">
        <v>0</v>
      </c>
      <c r="AL280">
        <v>-0.77380296000000004</v>
      </c>
      <c r="AM280">
        <v>0</v>
      </c>
      <c r="AN280">
        <v>0</v>
      </c>
      <c r="AO280">
        <v>0</v>
      </c>
      <c r="AP280" s="163">
        <v>-3.6645045000000002E-5</v>
      </c>
      <c r="AQ280" s="163">
        <v>-8.8295983999999996E-7</v>
      </c>
      <c r="AR280">
        <v>-2.1955596999999999E-4</v>
      </c>
      <c r="AS280" s="163">
        <v>-3.3791370000000001E-7</v>
      </c>
      <c r="AT280">
        <v>0</v>
      </c>
      <c r="AU280">
        <v>0</v>
      </c>
      <c r="AV280">
        <v>0</v>
      </c>
      <c r="AW280">
        <v>0</v>
      </c>
      <c r="AX280">
        <v>0</v>
      </c>
    </row>
    <row r="281" spans="1:50">
      <c r="A281" t="s">
        <v>1528</v>
      </c>
      <c r="B281" s="189">
        <f t="shared" si="4"/>
        <v>-1.4052302433894479E-3</v>
      </c>
      <c r="C281" s="163">
        <v>-6.6067278000000001E-9</v>
      </c>
      <c r="D281" s="163">
        <v>-1.6799468E-5</v>
      </c>
      <c r="E281">
        <v>-3.056146E-3</v>
      </c>
      <c r="F281" s="163">
        <v>-1.0107291E-9</v>
      </c>
      <c r="G281" s="163">
        <v>-1.2828060000000001E-5</v>
      </c>
      <c r="H281" s="163">
        <v>-8.2009761999999998E-5</v>
      </c>
      <c r="I281" s="163">
        <v>-2.6751254999999999E-5</v>
      </c>
      <c r="J281">
        <v>-7.0212432E-3</v>
      </c>
      <c r="K281">
        <v>-1.5572361E-4</v>
      </c>
      <c r="L281">
        <v>-0.15793786000000001</v>
      </c>
      <c r="M281" s="163">
        <v>-4.7830071000000002E-5</v>
      </c>
      <c r="N281">
        <v>-3.5122885999999999E-3</v>
      </c>
      <c r="O281">
        <v>-3.1216163999999999E-3</v>
      </c>
      <c r="P281">
        <v>-3.4405950999999999E-4</v>
      </c>
      <c r="Q281" s="163">
        <v>-4.6612678000000002E-5</v>
      </c>
      <c r="R281" s="163">
        <v>-9.8342286000000002E-10</v>
      </c>
      <c r="S281">
        <v>-1.3003415000000001E-4</v>
      </c>
      <c r="T281" s="163">
        <v>-1.7885447999999999E-7</v>
      </c>
      <c r="U281" s="163">
        <v>-3.747012E-5</v>
      </c>
      <c r="V281">
        <v>-6.3052585999999998E-4</v>
      </c>
      <c r="W281">
        <v>-1.0753287999999999E-4</v>
      </c>
      <c r="X281" s="163">
        <v>-6.5972661999999999E-9</v>
      </c>
      <c r="Y281">
        <v>-3.4582114999999997E-2</v>
      </c>
      <c r="Z281">
        <v>-4.7558570999999998E-4</v>
      </c>
      <c r="AA281" s="163">
        <v>-1.7445984000000001E-9</v>
      </c>
      <c r="AB281">
        <v>-1.4100931E-4</v>
      </c>
      <c r="AC281">
        <v>-1.3037578000000001</v>
      </c>
      <c r="AD281" s="163">
        <v>-1.4624530000000001E-11</v>
      </c>
      <c r="AE281" s="163">
        <v>-5.3366121999999995E-10</v>
      </c>
      <c r="AF281">
        <v>-5.1755361000000004</v>
      </c>
      <c r="AG281">
        <v>0</v>
      </c>
      <c r="AH281">
        <v>0</v>
      </c>
      <c r="AI281">
        <v>-1.0857794000000001</v>
      </c>
      <c r="AJ281">
        <v>0</v>
      </c>
      <c r="AK281">
        <v>0</v>
      </c>
      <c r="AL281">
        <v>-3.6884716999999997E-2</v>
      </c>
      <c r="AM281">
        <v>0</v>
      </c>
      <c r="AN281">
        <v>0</v>
      </c>
      <c r="AO281">
        <v>0</v>
      </c>
      <c r="AP281" s="163">
        <v>-1.2434574E-5</v>
      </c>
      <c r="AQ281" s="163">
        <v>-2.0874177999999999E-6</v>
      </c>
      <c r="AR281">
        <v>-9.1359918999999996E-4</v>
      </c>
      <c r="AS281" s="163">
        <v>-2.1570548000000001E-7</v>
      </c>
      <c r="AT281">
        <v>0</v>
      </c>
      <c r="AU281">
        <v>0</v>
      </c>
      <c r="AV281">
        <v>0</v>
      </c>
      <c r="AW281">
        <v>0</v>
      </c>
      <c r="AX281">
        <v>0</v>
      </c>
    </row>
    <row r="282" spans="1:50">
      <c r="A282" t="s">
        <v>1529</v>
      </c>
      <c r="B282" s="189">
        <f t="shared" si="4"/>
        <v>-2.8104983866940998</v>
      </c>
      <c r="C282">
        <v>3.0800627E-4</v>
      </c>
      <c r="D282">
        <v>-9.7824540000000001E-2</v>
      </c>
      <c r="E282">
        <v>-16.050146999999999</v>
      </c>
      <c r="F282" s="163">
        <v>-4.1520090999999998E-7</v>
      </c>
      <c r="G282">
        <v>-6.6780933999999997E-3</v>
      </c>
      <c r="H282">
        <v>-9.0248383000000001E-2</v>
      </c>
      <c r="I282">
        <v>-7.1885734999999999E-3</v>
      </c>
      <c r="J282">
        <v>-16.359062999999999</v>
      </c>
      <c r="K282">
        <v>-9.0113894999999999E-2</v>
      </c>
      <c r="L282">
        <v>-769.08578</v>
      </c>
      <c r="M282">
        <v>-2.3356502000000001E-2</v>
      </c>
      <c r="N282">
        <v>-16.545843999999999</v>
      </c>
      <c r="O282">
        <v>-16.549544000000001</v>
      </c>
      <c r="P282">
        <v>7.2143457999999994E-2</v>
      </c>
      <c r="Q282">
        <v>-6.8443058000000001E-2</v>
      </c>
      <c r="R282" s="163">
        <v>-4.5782998999999998E-7</v>
      </c>
      <c r="S282">
        <v>-0.10672764</v>
      </c>
      <c r="T282">
        <v>-5.0002493000000003E-4</v>
      </c>
      <c r="U282">
        <v>-1.5913492000000001E-2</v>
      </c>
      <c r="V282">
        <v>-0.17627338000000001</v>
      </c>
      <c r="W282">
        <v>-5.2135741999999999E-2</v>
      </c>
      <c r="X282">
        <v>3.0800643000000001E-4</v>
      </c>
      <c r="Y282">
        <v>-149.89318</v>
      </c>
      <c r="Z282">
        <v>-1.6441895</v>
      </c>
      <c r="AA282" s="163">
        <v>-1.2545032999999999E-6</v>
      </c>
      <c r="AB282">
        <v>-0.20025838000000001</v>
      </c>
      <c r="AC282">
        <v>-373.62691000000001</v>
      </c>
      <c r="AD282" s="163">
        <v>-2.1418933E-8</v>
      </c>
      <c r="AE282" s="163">
        <v>-3.3837973000000002E-7</v>
      </c>
      <c r="AF282">
        <v>-22.781822999999999</v>
      </c>
      <c r="AG282">
        <v>0</v>
      </c>
      <c r="AH282">
        <v>0</v>
      </c>
      <c r="AI282">
        <v>-21.402054</v>
      </c>
      <c r="AJ282">
        <v>0</v>
      </c>
      <c r="AK282">
        <v>0</v>
      </c>
      <c r="AL282">
        <v>-159.08193</v>
      </c>
      <c r="AM282">
        <v>0</v>
      </c>
      <c r="AN282">
        <v>0</v>
      </c>
      <c r="AO282">
        <v>0</v>
      </c>
      <c r="AP282">
        <v>-0.10195029</v>
      </c>
      <c r="AQ282">
        <v>7.1807381000000003E-3</v>
      </c>
      <c r="AR282">
        <v>-2.6896876999999999</v>
      </c>
      <c r="AS282">
        <v>-2.0614984000000001E-4</v>
      </c>
      <c r="AT282">
        <v>0</v>
      </c>
      <c r="AU282">
        <v>0</v>
      </c>
      <c r="AV282">
        <v>0</v>
      </c>
      <c r="AW282">
        <v>0</v>
      </c>
      <c r="AX282">
        <v>0</v>
      </c>
    </row>
    <row r="283" spans="1:50">
      <c r="A283" t="s">
        <v>691</v>
      </c>
      <c r="B283" s="189">
        <f t="shared" si="4"/>
        <v>1.6935144139286801E-4</v>
      </c>
      <c r="C283" s="163">
        <v>1.0317498E-9</v>
      </c>
      <c r="D283" s="163">
        <v>1.1594588E-5</v>
      </c>
      <c r="E283">
        <v>1.6169176E-3</v>
      </c>
      <c r="F283" s="163">
        <v>1.8783623E-10</v>
      </c>
      <c r="G283" s="163">
        <v>9.2615999999999998E-7</v>
      </c>
      <c r="H283" s="163">
        <v>8.0580630000000004E-6</v>
      </c>
      <c r="I283" s="163">
        <v>1.8208868E-6</v>
      </c>
      <c r="J283">
        <v>3.7062785000000002E-4</v>
      </c>
      <c r="K283" s="163">
        <v>6.3440466000000002E-6</v>
      </c>
      <c r="L283">
        <v>2.3439153000000001E-2</v>
      </c>
      <c r="M283" s="163">
        <v>4.6888458E-6</v>
      </c>
      <c r="N283">
        <v>1.6492389E-3</v>
      </c>
      <c r="O283">
        <v>1.6342799000000001E-3</v>
      </c>
      <c r="P283" s="163">
        <v>1.457057E-5</v>
      </c>
      <c r="Q283" s="163">
        <v>3.8835483999999999E-7</v>
      </c>
      <c r="R283" s="163">
        <v>2.2352567E-10</v>
      </c>
      <c r="S283" s="163">
        <v>1.1281105999999999E-5</v>
      </c>
      <c r="T283" s="163">
        <v>6.8439462000000003E-8</v>
      </c>
      <c r="U283" s="163">
        <v>4.0743126000000001E-6</v>
      </c>
      <c r="V283" s="163">
        <v>4.9145108E-5</v>
      </c>
      <c r="W283" s="163">
        <v>1.2224816000000001E-5</v>
      </c>
      <c r="X283" s="163">
        <v>1.0317814E-9</v>
      </c>
      <c r="Y283">
        <v>2.2802543000000002E-2</v>
      </c>
      <c r="Z283">
        <v>1.6621852E-4</v>
      </c>
      <c r="AA283" s="163">
        <v>2.3195970999999999E-10</v>
      </c>
      <c r="AB283" s="163">
        <v>7.7716009000000004E-5</v>
      </c>
      <c r="AC283">
        <v>1.6361791000000001E-2</v>
      </c>
      <c r="AD283" s="163">
        <v>4.1215229999999998E-13</v>
      </c>
      <c r="AE283" s="163">
        <v>1.1064954999999999E-11</v>
      </c>
      <c r="AF283">
        <v>4.3297333000000002E-3</v>
      </c>
      <c r="AG283">
        <v>0</v>
      </c>
      <c r="AH283">
        <v>0</v>
      </c>
      <c r="AI283">
        <v>1.3025544E-3</v>
      </c>
      <c r="AJ283">
        <v>0</v>
      </c>
      <c r="AK283">
        <v>0</v>
      </c>
      <c r="AL283">
        <v>2.4306133000000001E-2</v>
      </c>
      <c r="AM283">
        <v>0</v>
      </c>
      <c r="AN283">
        <v>0</v>
      </c>
      <c r="AO283">
        <v>0</v>
      </c>
      <c r="AP283" s="163">
        <v>1.0688452999999999E-5</v>
      </c>
      <c r="AQ283" s="163">
        <v>3.7163920000000002E-8</v>
      </c>
      <c r="AR283">
        <v>3.0435968999999998E-3</v>
      </c>
      <c r="AS283" s="163">
        <v>1.0962164E-7</v>
      </c>
      <c r="AT283">
        <v>0</v>
      </c>
      <c r="AU283">
        <v>0</v>
      </c>
      <c r="AV283">
        <v>0</v>
      </c>
      <c r="AW283">
        <v>0</v>
      </c>
      <c r="AX283">
        <v>0</v>
      </c>
    </row>
    <row r="284" spans="1:50">
      <c r="A284" t="s">
        <v>672</v>
      </c>
      <c r="B284" s="189">
        <f t="shared" si="4"/>
        <v>-5.3644986978642012E-4</v>
      </c>
      <c r="C284" s="163">
        <v>-2.3272482E-8</v>
      </c>
      <c r="D284" s="163">
        <v>-2.8817663999999998E-5</v>
      </c>
      <c r="E284">
        <v>-4.1978388E-3</v>
      </c>
      <c r="F284" s="163">
        <v>-3.7635331000000001E-10</v>
      </c>
      <c r="G284" s="163">
        <v>-3.0395676999999998E-6</v>
      </c>
      <c r="H284" s="163">
        <v>-2.4055836999999999E-5</v>
      </c>
      <c r="I284" s="163">
        <v>-4.1870121000000002E-6</v>
      </c>
      <c r="J284">
        <v>-1.875828E-3</v>
      </c>
      <c r="K284" s="163">
        <v>-2.6843439000000001E-5</v>
      </c>
      <c r="L284">
        <v>-0.11729301</v>
      </c>
      <c r="M284" s="163">
        <v>-9.7895479999999997E-6</v>
      </c>
      <c r="N284">
        <v>-4.3144426999999997E-3</v>
      </c>
      <c r="O284">
        <v>-4.2975651000000002E-3</v>
      </c>
      <c r="P284" s="163">
        <v>-1.2450724E-5</v>
      </c>
      <c r="Q284" s="163">
        <v>-4.4268716000000002E-6</v>
      </c>
      <c r="R284" s="163">
        <v>-4.4155995000000001E-10</v>
      </c>
      <c r="S284" s="163">
        <v>-3.1422910999999997E-5</v>
      </c>
      <c r="T284" s="163">
        <v>-2.6223148000000001E-7</v>
      </c>
      <c r="U284" s="163">
        <v>-8.6794488999999994E-6</v>
      </c>
      <c r="V284">
        <v>-1.0331497999999999E-4</v>
      </c>
      <c r="W284" s="163">
        <v>-2.7835762000000001E-5</v>
      </c>
      <c r="X284" s="163">
        <v>-2.327265E-8</v>
      </c>
      <c r="Y284">
        <v>-5.4601802999999997E-2</v>
      </c>
      <c r="Z284">
        <v>-6.0355916000000003E-2</v>
      </c>
      <c r="AA284" s="163">
        <v>-5.2532237000000001E-10</v>
      </c>
      <c r="AB284">
        <v>-2.2124252999999999E-4</v>
      </c>
      <c r="AC284">
        <v>-7.911406E-2</v>
      </c>
      <c r="AD284" s="163">
        <v>-3.0315786999999999E-12</v>
      </c>
      <c r="AE284" s="163">
        <v>-8.4870342999999998E-11</v>
      </c>
      <c r="AF284">
        <v>-6.6847770000000001E-2</v>
      </c>
      <c r="AG284">
        <v>0</v>
      </c>
      <c r="AH284">
        <v>0</v>
      </c>
      <c r="AI284">
        <v>-3.5432950000000001E-3</v>
      </c>
      <c r="AJ284">
        <v>0</v>
      </c>
      <c r="AK284">
        <v>0</v>
      </c>
      <c r="AL284">
        <v>-5.7993410000000002E-2</v>
      </c>
      <c r="AM284">
        <v>0</v>
      </c>
      <c r="AN284">
        <v>0</v>
      </c>
      <c r="AO284">
        <v>0</v>
      </c>
      <c r="AP284">
        <v>-1.4122779000000001E-3</v>
      </c>
      <c r="AQ284" s="163">
        <v>-7.7342431999999997E-8</v>
      </c>
      <c r="AR284">
        <v>-5.4803877999999996E-4</v>
      </c>
      <c r="AS284" s="163">
        <v>-2.4443691999999998E-7</v>
      </c>
      <c r="AT284">
        <v>0</v>
      </c>
      <c r="AU284">
        <v>0</v>
      </c>
      <c r="AV284">
        <v>0</v>
      </c>
      <c r="AW284">
        <v>0</v>
      </c>
      <c r="AX284">
        <v>0</v>
      </c>
    </row>
    <row r="285" spans="1:50">
      <c r="A285" t="s">
        <v>1530</v>
      </c>
      <c r="B285" s="189">
        <f t="shared" si="4"/>
        <v>6.3756764647130999E-3</v>
      </c>
      <c r="C285" s="163">
        <v>3.6158605000000003E-8</v>
      </c>
      <c r="D285" s="163">
        <v>3.0927526999999999E-5</v>
      </c>
      <c r="E285">
        <v>1.2460125000000001E-2</v>
      </c>
      <c r="F285" s="163">
        <v>5.5228321000000001E-10</v>
      </c>
      <c r="G285" s="163">
        <v>4.7668316000000001E-6</v>
      </c>
      <c r="H285" s="163">
        <v>2.3764316999999999E-5</v>
      </c>
      <c r="I285" s="163">
        <v>5.9774579000000001E-6</v>
      </c>
      <c r="J285">
        <v>6.1564685000000001E-2</v>
      </c>
      <c r="K285">
        <v>1.4994009000000001E-4</v>
      </c>
      <c r="L285">
        <v>0.42542189000000002</v>
      </c>
      <c r="M285" s="163">
        <v>2.4156041999999999E-5</v>
      </c>
      <c r="N285">
        <v>1.7872081000000001E-2</v>
      </c>
      <c r="O285">
        <v>9.7891321000000003E-3</v>
      </c>
      <c r="P285">
        <v>8.0783560999999997E-3</v>
      </c>
      <c r="Q285" s="163">
        <v>4.5931795000000001E-6</v>
      </c>
      <c r="R285" s="163">
        <v>5.9177933999999995E-10</v>
      </c>
      <c r="S285" s="163">
        <v>3.1544617000000003E-5</v>
      </c>
      <c r="T285" s="163">
        <v>2.9595269000000002E-7</v>
      </c>
      <c r="U285" s="163">
        <v>1.0252677E-5</v>
      </c>
      <c r="V285" s="163">
        <v>9.7646533000000005E-5</v>
      </c>
      <c r="W285" s="163">
        <v>2.4999462999999999E-5</v>
      </c>
      <c r="X285" s="163">
        <v>3.6158714999999998E-8</v>
      </c>
      <c r="Y285">
        <v>7.1972362999999998E-2</v>
      </c>
      <c r="Z285">
        <v>5.4325789999999999E-3</v>
      </c>
      <c r="AA285" s="163">
        <v>4.9003177999999998E-10</v>
      </c>
      <c r="AB285">
        <v>4.3608128999999998E-4</v>
      </c>
      <c r="AC285">
        <v>3.5290371</v>
      </c>
      <c r="AD285" s="163">
        <v>2.8011464000000001E-11</v>
      </c>
      <c r="AE285" s="163">
        <v>1.4684146E-10</v>
      </c>
      <c r="AF285">
        <v>6.5051545000000002E-2</v>
      </c>
      <c r="AG285">
        <v>0</v>
      </c>
      <c r="AH285">
        <v>0</v>
      </c>
      <c r="AI285">
        <v>6.6047021000000001E-3</v>
      </c>
      <c r="AJ285">
        <v>0</v>
      </c>
      <c r="AK285">
        <v>0</v>
      </c>
      <c r="AL285">
        <v>7.5950920000000005E-2</v>
      </c>
      <c r="AM285">
        <v>0</v>
      </c>
      <c r="AN285">
        <v>0</v>
      </c>
      <c r="AO285">
        <v>0</v>
      </c>
      <c r="AP285">
        <v>1.4465189999999999E-4</v>
      </c>
      <c r="AQ285" s="163">
        <v>9.7982721999999995E-8</v>
      </c>
      <c r="AR285">
        <v>3.0020562000000001E-2</v>
      </c>
      <c r="AS285" s="163">
        <v>4.5552022999999998E-7</v>
      </c>
      <c r="AT285">
        <v>0</v>
      </c>
      <c r="AU285">
        <v>0</v>
      </c>
      <c r="AV285">
        <v>0</v>
      </c>
      <c r="AW285">
        <v>0</v>
      </c>
      <c r="AX285">
        <v>0</v>
      </c>
    </row>
    <row r="286" spans="1:50">
      <c r="A286" t="s">
        <v>1531</v>
      </c>
      <c r="B286" s="189">
        <f t="shared" si="4"/>
        <v>-3.8666231274829203E-2</v>
      </c>
      <c r="C286" s="163">
        <v>-9.7674737E-7</v>
      </c>
      <c r="D286">
        <v>-1.8886904000000001E-3</v>
      </c>
      <c r="E286">
        <v>-0.38086943000000001</v>
      </c>
      <c r="F286" s="163">
        <v>-1.3884555E-8</v>
      </c>
      <c r="G286" s="163">
        <v>-8.6773109000000002E-5</v>
      </c>
      <c r="H286">
        <v>-1.5634944E-3</v>
      </c>
      <c r="I286">
        <v>-2.1164929000000001E-4</v>
      </c>
      <c r="J286">
        <v>-0.11041242</v>
      </c>
      <c r="K286">
        <v>-2.1958475000000001E-3</v>
      </c>
      <c r="L286">
        <v>-9.5451671999999999</v>
      </c>
      <c r="M286">
        <v>-5.0198536000000001E-4</v>
      </c>
      <c r="N286">
        <v>-0.38580108000000002</v>
      </c>
      <c r="O286">
        <v>-0.38289510999999998</v>
      </c>
      <c r="P286">
        <v>-2.5635851000000002E-3</v>
      </c>
      <c r="Q286">
        <v>-3.4238668000000002E-4</v>
      </c>
      <c r="R286" s="163">
        <v>-1.4705230000000001E-8</v>
      </c>
      <c r="S286">
        <v>-2.0066305999999999E-3</v>
      </c>
      <c r="T286" s="163">
        <v>-2.3220759000000001E-5</v>
      </c>
      <c r="U286">
        <v>-2.6537225000000002E-4</v>
      </c>
      <c r="V286">
        <v>-4.5881593000000002E-3</v>
      </c>
      <c r="W286">
        <v>-7.9687549000000005E-4</v>
      </c>
      <c r="X286" s="163">
        <v>-9.7675599999999996E-7</v>
      </c>
      <c r="Y286">
        <v>-3.3952312999999998</v>
      </c>
      <c r="Z286">
        <v>-0.15878706000000001</v>
      </c>
      <c r="AA286" s="163">
        <v>-1.6841682000000001E-8</v>
      </c>
      <c r="AB286">
        <v>-1.2434324E-2</v>
      </c>
      <c r="AC286">
        <v>-12.331025</v>
      </c>
      <c r="AD286" s="163">
        <v>-1.0815668999999999E-10</v>
      </c>
      <c r="AE286" s="163">
        <v>-3.7625817000000002E-9</v>
      </c>
      <c r="AF286">
        <v>-1.3031451999999999</v>
      </c>
      <c r="AG286">
        <v>0</v>
      </c>
      <c r="AH286">
        <v>0</v>
      </c>
      <c r="AI286">
        <v>-0.39250445</v>
      </c>
      <c r="AJ286">
        <v>0</v>
      </c>
      <c r="AK286">
        <v>0</v>
      </c>
      <c r="AL286">
        <v>-3.6153189000000001</v>
      </c>
      <c r="AM286">
        <v>0</v>
      </c>
      <c r="AN286">
        <v>0</v>
      </c>
      <c r="AO286">
        <v>0</v>
      </c>
      <c r="AP286">
        <v>-4.3411741999999998E-3</v>
      </c>
      <c r="AQ286" s="163">
        <v>-4.8085805999999999E-6</v>
      </c>
      <c r="AR286">
        <v>-3.9230401999999998E-2</v>
      </c>
      <c r="AS286" s="163">
        <v>-1.0218935E-5</v>
      </c>
      <c r="AT286">
        <v>0</v>
      </c>
      <c r="AU286">
        <v>0</v>
      </c>
      <c r="AV286">
        <v>0</v>
      </c>
      <c r="AW286">
        <v>0</v>
      </c>
      <c r="AX286">
        <v>0</v>
      </c>
    </row>
    <row r="287" spans="1:50">
      <c r="A287" t="s">
        <v>1532</v>
      </c>
      <c r="B287" s="189">
        <f t="shared" si="4"/>
        <v>-5.6744294258620001E-2</v>
      </c>
      <c r="C287" s="163">
        <v>-1.1402825E-6</v>
      </c>
      <c r="D287">
        <v>-2.9963074999999999E-3</v>
      </c>
      <c r="E287">
        <v>-0.56661258999999997</v>
      </c>
      <c r="F287" s="163">
        <v>-1.9978014E-8</v>
      </c>
      <c r="G287">
        <v>-1.2368646999999999E-4</v>
      </c>
      <c r="H287">
        <v>-2.3595656999999999E-3</v>
      </c>
      <c r="I287">
        <v>-3.1293686000000002E-4</v>
      </c>
      <c r="J287">
        <v>-0.15388088</v>
      </c>
      <c r="K287">
        <v>-3.0517556E-3</v>
      </c>
      <c r="L287">
        <v>-14.412965</v>
      </c>
      <c r="M287">
        <v>-8.2129874999999997E-4</v>
      </c>
      <c r="N287">
        <v>-0.57460462000000001</v>
      </c>
      <c r="O287">
        <v>-0.57110236000000003</v>
      </c>
      <c r="P287">
        <v>-2.8564751999999999E-3</v>
      </c>
      <c r="Q287">
        <v>-6.4578317999999997E-4</v>
      </c>
      <c r="R287" s="163">
        <v>-2.0090848999999999E-8</v>
      </c>
      <c r="S287">
        <v>-2.9922822999999999E-3</v>
      </c>
      <c r="T287" s="163">
        <v>-3.5493127999999997E-5</v>
      </c>
      <c r="U287">
        <v>-4.1245448000000001E-4</v>
      </c>
      <c r="V287">
        <v>-6.6310689999999999E-3</v>
      </c>
      <c r="W287">
        <v>-1.228568E-3</v>
      </c>
      <c r="X287" s="163">
        <v>-1.1402942E-6</v>
      </c>
      <c r="Y287">
        <v>-5.4220512000000003</v>
      </c>
      <c r="Z287">
        <v>-0.19335587000000001</v>
      </c>
      <c r="AA287" s="163">
        <v>-2.3717703999999999E-8</v>
      </c>
      <c r="AB287">
        <v>-2.2623616999999999E-2</v>
      </c>
      <c r="AC287">
        <v>-16.239163999999999</v>
      </c>
      <c r="AD287" s="163">
        <v>-1.4860088999999999E-10</v>
      </c>
      <c r="AE287" s="163">
        <v>-5.4453519999999998E-9</v>
      </c>
      <c r="AF287">
        <v>-1.6449551</v>
      </c>
      <c r="AG287">
        <v>0</v>
      </c>
      <c r="AH287">
        <v>0</v>
      </c>
      <c r="AI287">
        <v>-0.63570939000000004</v>
      </c>
      <c r="AJ287">
        <v>0</v>
      </c>
      <c r="AK287">
        <v>0</v>
      </c>
      <c r="AL287">
        <v>-5.7561048000000001</v>
      </c>
      <c r="AM287">
        <v>0</v>
      </c>
      <c r="AN287">
        <v>0</v>
      </c>
      <c r="AO287">
        <v>0</v>
      </c>
      <c r="AP287">
        <v>-5.6716505E-3</v>
      </c>
      <c r="AQ287" s="163">
        <v>-7.7240588000000008E-6</v>
      </c>
      <c r="AR287">
        <v>-5.1659690000000001E-2</v>
      </c>
      <c r="AS287" s="163">
        <v>-1.7555568000000001E-5</v>
      </c>
      <c r="AT287">
        <v>0</v>
      </c>
      <c r="AU287">
        <v>0</v>
      </c>
      <c r="AV287">
        <v>0</v>
      </c>
      <c r="AW287">
        <v>0</v>
      </c>
      <c r="AX287">
        <v>0</v>
      </c>
    </row>
    <row r="288" spans="1:50">
      <c r="A288" t="s">
        <v>1533</v>
      </c>
      <c r="B288" s="189">
        <f t="shared" si="4"/>
        <v>-2.3052460860552397E-2</v>
      </c>
      <c r="C288" s="163">
        <v>-7.8364738999999996E-7</v>
      </c>
      <c r="D288">
        <v>-1.2319029999999999E-3</v>
      </c>
      <c r="E288">
        <v>-0.17601824999999999</v>
      </c>
      <c r="F288" s="163">
        <v>-1.6134019E-8</v>
      </c>
      <c r="G288">
        <v>-1.8239533E-4</v>
      </c>
      <c r="H288">
        <v>-9.6288711000000005E-4</v>
      </c>
      <c r="I288">
        <v>-1.7550886000000001E-4</v>
      </c>
      <c r="J288">
        <v>-8.4916432999999999E-2</v>
      </c>
      <c r="K288">
        <v>-2.2026096000000001E-3</v>
      </c>
      <c r="L288">
        <v>-5.0646694999999999</v>
      </c>
      <c r="M288">
        <v>-7.1485714000000004E-4</v>
      </c>
      <c r="N288">
        <v>2.6900723000000002</v>
      </c>
      <c r="O288">
        <v>-0.17847393</v>
      </c>
      <c r="P288">
        <v>2.8697292000000001</v>
      </c>
      <c r="Q288">
        <v>-1.1829617E-3</v>
      </c>
      <c r="R288" s="163">
        <v>-1.8791557999999999E-8</v>
      </c>
      <c r="S288">
        <v>-1.2605839999999999E-3</v>
      </c>
      <c r="T288" s="163">
        <v>-9.2866562999999998E-6</v>
      </c>
      <c r="U288">
        <v>-3.5179717000000002E-4</v>
      </c>
      <c r="V288">
        <v>-4.1679107999999998E-3</v>
      </c>
      <c r="W288">
        <v>-1.2175452000000001E-3</v>
      </c>
      <c r="X288" s="163">
        <v>-7.8341855000000004E-7</v>
      </c>
      <c r="Y288">
        <v>-2.3615542999999999</v>
      </c>
      <c r="Z288">
        <v>-2.9633998000000002E-2</v>
      </c>
      <c r="AA288" s="163">
        <v>-6.7041724999999994E-8</v>
      </c>
      <c r="AB288">
        <v>-9.9984961000000004E-3</v>
      </c>
      <c r="AC288">
        <v>-4.1309807999999997</v>
      </c>
      <c r="AD288" s="163">
        <v>-1.5197084000000001E-10</v>
      </c>
      <c r="AE288" s="163">
        <v>-3.5426344E-9</v>
      </c>
      <c r="AF288">
        <v>-215.19193000000001</v>
      </c>
      <c r="AG288">
        <v>0</v>
      </c>
      <c r="AH288">
        <v>0</v>
      </c>
      <c r="AI288">
        <v>-35.329321999999998</v>
      </c>
      <c r="AJ288">
        <v>0</v>
      </c>
      <c r="AK288">
        <v>0</v>
      </c>
      <c r="AL288">
        <v>-2.5116220999999999</v>
      </c>
      <c r="AM288">
        <v>0</v>
      </c>
      <c r="AN288">
        <v>0</v>
      </c>
      <c r="AO288">
        <v>0</v>
      </c>
      <c r="AP288">
        <v>-1.016018E-3</v>
      </c>
      <c r="AQ288" s="163">
        <v>-6.6819239000000002E-6</v>
      </c>
      <c r="AR288">
        <v>-3.4854455999999999E-2</v>
      </c>
      <c r="AS288" s="163">
        <v>-1.0713807E-5</v>
      </c>
      <c r="AT288">
        <v>0</v>
      </c>
      <c r="AU288">
        <v>0</v>
      </c>
      <c r="AV288">
        <v>0</v>
      </c>
      <c r="AW288">
        <v>0</v>
      </c>
      <c r="AX288">
        <v>0</v>
      </c>
    </row>
    <row r="289" spans="1:50">
      <c r="A289" t="s">
        <v>1534</v>
      </c>
      <c r="B289" s="189">
        <f t="shared" si="4"/>
        <v>-7.1338589962994005E-3</v>
      </c>
      <c r="C289" s="163">
        <v>-1.4067138999999999E-7</v>
      </c>
      <c r="D289">
        <v>-4.2686987000000002E-4</v>
      </c>
      <c r="E289">
        <v>-5.6613758E-2</v>
      </c>
      <c r="F289" s="163">
        <v>-7.3407258999999997E-9</v>
      </c>
      <c r="G289" s="163">
        <v>-6.1891473000000001E-5</v>
      </c>
      <c r="H289">
        <v>-3.2856748999999998E-4</v>
      </c>
      <c r="I289" s="163">
        <v>-6.2465117999999995E-5</v>
      </c>
      <c r="J289">
        <v>-2.2626166E-2</v>
      </c>
      <c r="K289">
        <v>-6.9738432999999999E-4</v>
      </c>
      <c r="L289">
        <v>-1.6476605</v>
      </c>
      <c r="M289">
        <v>-2.0579499999999999E-4</v>
      </c>
      <c r="N289">
        <v>0.58750479</v>
      </c>
      <c r="O289">
        <v>-5.7199139000000003E-2</v>
      </c>
      <c r="P289">
        <v>0.64500552</v>
      </c>
      <c r="Q289">
        <v>-3.0158963999999999E-4</v>
      </c>
      <c r="R289" s="163">
        <v>-8.0215790000000004E-9</v>
      </c>
      <c r="S289">
        <v>-4.3370923000000001E-4</v>
      </c>
      <c r="T289" s="163">
        <v>-3.6169627000000001E-6</v>
      </c>
      <c r="U289">
        <v>-1.1207045999999999E-4</v>
      </c>
      <c r="V289">
        <v>-1.4132675999999999E-3</v>
      </c>
      <c r="W289">
        <v>-3.8656070000000001E-4</v>
      </c>
      <c r="X289" s="163">
        <v>-1.4061515999999999E-7</v>
      </c>
      <c r="Y289">
        <v>-0.97188288</v>
      </c>
      <c r="Z289">
        <v>-1.3796589999999999E-2</v>
      </c>
      <c r="AA289" s="163">
        <v>-1.2376912999999999E-8</v>
      </c>
      <c r="AB289">
        <v>-5.7092150999999997E-3</v>
      </c>
      <c r="AC289">
        <v>-1.3598322</v>
      </c>
      <c r="AD289" s="163">
        <v>-4.2369337000000003E-11</v>
      </c>
      <c r="AE289" s="163">
        <v>-1.2540194E-9</v>
      </c>
      <c r="AF289">
        <v>-54.626389000000003</v>
      </c>
      <c r="AG289">
        <v>0</v>
      </c>
      <c r="AH289">
        <v>0</v>
      </c>
      <c r="AI289">
        <v>-7.8346720999999997</v>
      </c>
      <c r="AJ289">
        <v>0</v>
      </c>
      <c r="AK289">
        <v>0</v>
      </c>
      <c r="AL289">
        <v>-1.0276407000000001</v>
      </c>
      <c r="AM289">
        <v>0</v>
      </c>
      <c r="AN289">
        <v>0</v>
      </c>
      <c r="AO289">
        <v>0</v>
      </c>
      <c r="AP289">
        <v>-5.5471831000000001E-4</v>
      </c>
      <c r="AQ289" s="163">
        <v>-2.2978224000000002E-6</v>
      </c>
      <c r="AR289">
        <v>-1.4669974000000001E-2</v>
      </c>
      <c r="AS289" s="163">
        <v>-5.9418424000000001E-6</v>
      </c>
      <c r="AT289">
        <v>0</v>
      </c>
      <c r="AU289">
        <v>0</v>
      </c>
      <c r="AV289">
        <v>0</v>
      </c>
      <c r="AW289">
        <v>0</v>
      </c>
      <c r="AX289">
        <v>0</v>
      </c>
    </row>
    <row r="290" spans="1:50">
      <c r="A290" t="s">
        <v>1535</v>
      </c>
      <c r="B290" s="189">
        <f t="shared" si="4"/>
        <v>-1.5696736254009003</v>
      </c>
      <c r="C290">
        <v>-1.6465857999999999E-3</v>
      </c>
      <c r="D290">
        <v>-1.1999907000000001E-2</v>
      </c>
      <c r="E290">
        <v>-1.7719800999999999</v>
      </c>
      <c r="F290" s="163">
        <v>-1.6808643000000001E-7</v>
      </c>
      <c r="G290">
        <v>-3.6340297999999998E-3</v>
      </c>
      <c r="H290">
        <v>-6.2352801999999999E-2</v>
      </c>
      <c r="I290">
        <v>-4.7418316000000002E-2</v>
      </c>
      <c r="J290">
        <v>-7.8780231000000001</v>
      </c>
      <c r="K290">
        <v>-0.16302306999999999</v>
      </c>
      <c r="L290">
        <v>-801.85866999999996</v>
      </c>
      <c r="M290">
        <v>-2.2389821000000001E-2</v>
      </c>
      <c r="N290">
        <v>-1.8120604</v>
      </c>
      <c r="O290">
        <v>-1.8067325000000001</v>
      </c>
      <c r="P290">
        <v>-3.7196932000000001E-3</v>
      </c>
      <c r="Q290">
        <v>-1.6082271000000001E-3</v>
      </c>
      <c r="R290" s="163">
        <v>-1.7694026000000001E-7</v>
      </c>
      <c r="S290">
        <v>-7.4996918999999995E-2</v>
      </c>
      <c r="T290">
        <v>-8.8434777999999992E-3</v>
      </c>
      <c r="U290">
        <v>-4.5798012999999999E-2</v>
      </c>
      <c r="V290">
        <v>-0.11104072</v>
      </c>
      <c r="W290">
        <v>-2.3842089E-2</v>
      </c>
      <c r="X290">
        <v>-1.6465856999999999E-3</v>
      </c>
      <c r="Y290">
        <v>-25.328865</v>
      </c>
      <c r="Z290">
        <v>-1.4747705</v>
      </c>
      <c r="AA290" s="163">
        <v>-2.7767814999999999E-7</v>
      </c>
      <c r="AB290">
        <v>-0.12022202999999999</v>
      </c>
      <c r="AC290">
        <v>-2579.1381000000001</v>
      </c>
      <c r="AD290" s="163">
        <v>-7.1583856E-9</v>
      </c>
      <c r="AE290" s="163">
        <v>-6.0611329999999997E-7</v>
      </c>
      <c r="AF290">
        <v>-31.346439</v>
      </c>
      <c r="AG290">
        <v>0</v>
      </c>
      <c r="AH290">
        <v>0</v>
      </c>
      <c r="AI290">
        <v>-6.9353539</v>
      </c>
      <c r="AJ290">
        <v>0</v>
      </c>
      <c r="AK290">
        <v>0</v>
      </c>
      <c r="AL290">
        <v>-26.920596</v>
      </c>
      <c r="AM290">
        <v>0</v>
      </c>
      <c r="AN290">
        <v>0</v>
      </c>
      <c r="AO290">
        <v>0</v>
      </c>
      <c r="AP290">
        <v>-4.1092002000000002E-2</v>
      </c>
      <c r="AQ290" s="163">
        <v>-3.7786739000000002E-5</v>
      </c>
      <c r="AR290">
        <v>-11.313411</v>
      </c>
      <c r="AS290">
        <v>-1.2059032E-4</v>
      </c>
      <c r="AT290">
        <v>0</v>
      </c>
      <c r="AU290">
        <v>0</v>
      </c>
      <c r="AV290">
        <v>0</v>
      </c>
      <c r="AW290">
        <v>0</v>
      </c>
      <c r="AX290">
        <v>0</v>
      </c>
    </row>
    <row r="291" spans="1:50">
      <c r="A291" t="s">
        <v>1536</v>
      </c>
      <c r="B291" s="189">
        <f t="shared" si="4"/>
        <v>-9.7201531894668528E-2</v>
      </c>
      <c r="C291" s="163">
        <v>-2.0728027000000001E-8</v>
      </c>
      <c r="D291">
        <v>-2.2313738E-2</v>
      </c>
      <c r="E291">
        <v>-1.3400837999999999</v>
      </c>
      <c r="F291" s="163">
        <v>-7.6887413999999999E-10</v>
      </c>
      <c r="G291">
        <v>-1.7934775000000001E-3</v>
      </c>
      <c r="H291">
        <v>-4.3869154999999996E-3</v>
      </c>
      <c r="I291">
        <v>-2.9137321000000002E-4</v>
      </c>
      <c r="J291">
        <v>-2.7255109E-2</v>
      </c>
      <c r="K291">
        <v>-1.9829779999999998E-3</v>
      </c>
      <c r="L291">
        <v>-3.5423990999999999</v>
      </c>
      <c r="M291" s="163">
        <v>-5.7541365999999998E-5</v>
      </c>
      <c r="N291">
        <v>-1.4262672999999999</v>
      </c>
      <c r="O291">
        <v>-1.4145813</v>
      </c>
      <c r="P291">
        <v>-1.1684069E-2</v>
      </c>
      <c r="Q291" s="163">
        <v>-1.8876710999999999E-6</v>
      </c>
      <c r="R291" s="163">
        <v>-8.0230379000000004E-10</v>
      </c>
      <c r="S291">
        <v>-5.2158808000000003E-3</v>
      </c>
      <c r="T291" s="163">
        <v>-8.2608211000000003E-7</v>
      </c>
      <c r="U291">
        <v>-8.4966201000000001E-4</v>
      </c>
      <c r="V291">
        <v>-9.3152332999999997E-3</v>
      </c>
      <c r="W291">
        <v>-5.7636466999999997E-3</v>
      </c>
      <c r="X291" s="163">
        <v>-2.0728195000000001E-8</v>
      </c>
      <c r="Y291">
        <v>-47.677106000000002</v>
      </c>
      <c r="Z291">
        <v>-0.38995560000000001</v>
      </c>
      <c r="AA291" s="163">
        <v>-5.1337360999999998E-8</v>
      </c>
      <c r="AB291">
        <v>-1.7205568E-4</v>
      </c>
      <c r="AC291">
        <v>-0.75796145999999998</v>
      </c>
      <c r="AD291" s="163">
        <v>-1.0418563E-10</v>
      </c>
      <c r="AE291" s="163">
        <v>-1.0259318E-8</v>
      </c>
      <c r="AF291">
        <v>-2.7159136E-2</v>
      </c>
      <c r="AG291">
        <v>0</v>
      </c>
      <c r="AH291">
        <v>0</v>
      </c>
      <c r="AI291">
        <v>-0.60312379999999999</v>
      </c>
      <c r="AJ291">
        <v>0</v>
      </c>
      <c r="AK291">
        <v>0</v>
      </c>
      <c r="AL291">
        <v>-51.180725000000002</v>
      </c>
      <c r="AM291">
        <v>0</v>
      </c>
      <c r="AN291">
        <v>0</v>
      </c>
      <c r="AO291">
        <v>0</v>
      </c>
      <c r="AP291">
        <v>-9.0894014000000006E-3</v>
      </c>
      <c r="AQ291" s="163">
        <v>-9.7249333999999993E-8</v>
      </c>
      <c r="AR291">
        <v>-1.5911656E-2</v>
      </c>
      <c r="AS291" s="163">
        <v>-1.8051533999999999E-7</v>
      </c>
      <c r="AT291">
        <v>0</v>
      </c>
      <c r="AU291">
        <v>0</v>
      </c>
      <c r="AV291">
        <v>0</v>
      </c>
      <c r="AW291">
        <v>0</v>
      </c>
      <c r="AX291">
        <v>0</v>
      </c>
    </row>
    <row r="292" spans="1:50">
      <c r="A292" t="s">
        <v>1537</v>
      </c>
      <c r="B292" s="189">
        <f t="shared" si="4"/>
        <v>-9.7122055578991687E-2</v>
      </c>
      <c r="C292" s="163">
        <v>-3.2535955000000003E-8</v>
      </c>
      <c r="D292">
        <v>-2.1713257999999999E-2</v>
      </c>
      <c r="E292">
        <v>-1.3616729999999999</v>
      </c>
      <c r="F292" s="163">
        <v>-5.7105063000000002E-10</v>
      </c>
      <c r="G292">
        <v>-1.4334503000000001E-3</v>
      </c>
      <c r="H292">
        <v>-4.1641463000000002E-3</v>
      </c>
      <c r="I292">
        <v>-3.9066600999999998E-4</v>
      </c>
      <c r="J292">
        <v>-2.4364506000000001E-2</v>
      </c>
      <c r="K292">
        <v>-1.5149967E-3</v>
      </c>
      <c r="L292">
        <v>-2.8380364999999999</v>
      </c>
      <c r="M292" s="163">
        <v>-4.5383012000000002E-5</v>
      </c>
      <c r="N292">
        <v>-1.4278751999999999</v>
      </c>
      <c r="O292">
        <v>-1.4199185999999999</v>
      </c>
      <c r="P292">
        <v>-7.9552098999999994E-3</v>
      </c>
      <c r="Q292" s="163">
        <v>-1.3975329000000001E-6</v>
      </c>
      <c r="R292" s="163">
        <v>-5.9722028000000004E-10</v>
      </c>
      <c r="S292">
        <v>-4.9784145000000002E-3</v>
      </c>
      <c r="T292" s="163">
        <v>-2.8999510999999999E-5</v>
      </c>
      <c r="U292">
        <v>-8.814103E-4</v>
      </c>
      <c r="V292">
        <v>-9.4539653000000005E-3</v>
      </c>
      <c r="W292">
        <v>-5.0851851999999999E-3</v>
      </c>
      <c r="X292" s="163">
        <v>-3.2536062000000001E-8</v>
      </c>
      <c r="Y292">
        <v>-46.707703000000002</v>
      </c>
      <c r="Z292">
        <v>-0.44738228000000002</v>
      </c>
      <c r="AA292" s="163">
        <v>-4.7781888000000001E-8</v>
      </c>
      <c r="AB292">
        <v>-1.3347139000000001E-4</v>
      </c>
      <c r="AC292">
        <v>-0.64345476999999995</v>
      </c>
      <c r="AD292" s="163">
        <v>-8.6394405000000002E-11</v>
      </c>
      <c r="AE292" s="163">
        <v>-5.4690077E-9</v>
      </c>
      <c r="AF292">
        <v>-2.1662885E-2</v>
      </c>
      <c r="AG292">
        <v>0</v>
      </c>
      <c r="AH292">
        <v>0</v>
      </c>
      <c r="AI292">
        <v>-0.32299401</v>
      </c>
      <c r="AJ292">
        <v>0</v>
      </c>
      <c r="AK292">
        <v>0</v>
      </c>
      <c r="AL292">
        <v>-50.002460999999997</v>
      </c>
      <c r="AM292">
        <v>0</v>
      </c>
      <c r="AN292">
        <v>0</v>
      </c>
      <c r="AO292">
        <v>0</v>
      </c>
      <c r="AP292">
        <v>-1.0424327000000001E-2</v>
      </c>
      <c r="AQ292" s="163">
        <v>-7.2019397000000002E-8</v>
      </c>
      <c r="AR292">
        <v>-1.3254511E-2</v>
      </c>
      <c r="AS292" s="163">
        <v>-1.3992214999999999E-7</v>
      </c>
      <c r="AT292">
        <v>0</v>
      </c>
      <c r="AU292">
        <v>0</v>
      </c>
      <c r="AV292">
        <v>0</v>
      </c>
      <c r="AW292">
        <v>0</v>
      </c>
      <c r="AX292">
        <v>0</v>
      </c>
    </row>
    <row r="293" spans="1:50">
      <c r="A293" t="s">
        <v>1538</v>
      </c>
      <c r="B293" s="189">
        <f t="shared" si="4"/>
        <v>-9.9834844923531063E-2</v>
      </c>
      <c r="C293" s="163">
        <v>-1.9519796E-8</v>
      </c>
      <c r="D293">
        <v>-1.507125E-2</v>
      </c>
      <c r="E293">
        <v>-1.2907002999999999</v>
      </c>
      <c r="F293" s="163">
        <v>-5.7647879000000005E-10</v>
      </c>
      <c r="G293">
        <v>-1.7799414000000001E-3</v>
      </c>
      <c r="H293">
        <v>-3.3858229E-3</v>
      </c>
      <c r="I293">
        <v>-4.1107718000000002E-4</v>
      </c>
      <c r="J293">
        <v>-0.11691013</v>
      </c>
      <c r="K293">
        <v>-4.4713278E-3</v>
      </c>
      <c r="L293">
        <v>-11.751244</v>
      </c>
      <c r="M293">
        <v>-4.2394091999999996E-3</v>
      </c>
      <c r="N293">
        <v>-1.3162376</v>
      </c>
      <c r="O293">
        <v>-1.3081453999999999</v>
      </c>
      <c r="P293">
        <v>-8.0907468999999992E-3</v>
      </c>
      <c r="Q293" s="163">
        <v>-1.3635313E-6</v>
      </c>
      <c r="R293" s="163">
        <v>-6.1621869999999997E-10</v>
      </c>
      <c r="S293">
        <v>-4.2044242999999997E-3</v>
      </c>
      <c r="T293" s="163">
        <v>-4.9474954999999998E-6</v>
      </c>
      <c r="U293">
        <v>-1.0444709999999999E-3</v>
      </c>
      <c r="V293">
        <v>-1.091552E-2</v>
      </c>
      <c r="W293">
        <v>-6.2058104000000001E-3</v>
      </c>
      <c r="X293" s="163">
        <v>-1.9519963E-8</v>
      </c>
      <c r="Y293">
        <v>-36.808715999999997</v>
      </c>
      <c r="Z293">
        <v>-5.1290388</v>
      </c>
      <c r="AA293" s="163">
        <v>-3.7769924000000002E-8</v>
      </c>
      <c r="AB293">
        <v>-1.9037380999999999E-4</v>
      </c>
      <c r="AC293">
        <v>-15.064902</v>
      </c>
      <c r="AD293" s="163">
        <v>-6.8055778999999995E-10</v>
      </c>
      <c r="AE293" s="163">
        <v>-2.3164845E-8</v>
      </c>
      <c r="AF293">
        <v>-3.6460484000000001E-2</v>
      </c>
      <c r="AG293">
        <v>0</v>
      </c>
      <c r="AH293">
        <v>0</v>
      </c>
      <c r="AI293">
        <v>-0.61020856000000001</v>
      </c>
      <c r="AJ293">
        <v>0</v>
      </c>
      <c r="AK293">
        <v>0</v>
      </c>
      <c r="AL293">
        <v>-39.194592</v>
      </c>
      <c r="AM293">
        <v>0</v>
      </c>
      <c r="AN293">
        <v>0</v>
      </c>
      <c r="AO293">
        <v>0</v>
      </c>
      <c r="AP293">
        <v>-0.1194317</v>
      </c>
      <c r="AQ293" s="163">
        <v>-7.0506623000000006E-8</v>
      </c>
      <c r="AR293">
        <v>-2.7493989E-2</v>
      </c>
      <c r="AS293" s="163">
        <v>-1.9862307999999999E-7</v>
      </c>
      <c r="AT293">
        <v>0</v>
      </c>
      <c r="AU293">
        <v>0</v>
      </c>
      <c r="AV293">
        <v>0</v>
      </c>
      <c r="AW293">
        <v>0</v>
      </c>
      <c r="AX293">
        <v>0</v>
      </c>
    </row>
    <row r="294" spans="1:50">
      <c r="A294" t="s">
        <v>1539</v>
      </c>
      <c r="B294" s="189">
        <f t="shared" si="4"/>
        <v>-5.3644986978642012E-4</v>
      </c>
      <c r="C294" s="163">
        <v>-2.3272482E-8</v>
      </c>
      <c r="D294" s="163">
        <v>-2.8817663999999998E-5</v>
      </c>
      <c r="E294">
        <v>-4.1978388E-3</v>
      </c>
      <c r="F294" s="163">
        <v>-3.7635331000000001E-10</v>
      </c>
      <c r="G294" s="163">
        <v>-3.0395676999999998E-6</v>
      </c>
      <c r="H294" s="163">
        <v>-2.4055836999999999E-5</v>
      </c>
      <c r="I294" s="163">
        <v>-4.1870121000000002E-6</v>
      </c>
      <c r="J294">
        <v>-1.875828E-3</v>
      </c>
      <c r="K294" s="163">
        <v>-2.6843439000000001E-5</v>
      </c>
      <c r="L294">
        <v>-0.11729301</v>
      </c>
      <c r="M294" s="163">
        <v>-9.7895479999999997E-6</v>
      </c>
      <c r="N294">
        <v>-4.3144426999999997E-3</v>
      </c>
      <c r="O294">
        <v>-4.2975651000000002E-3</v>
      </c>
      <c r="P294" s="163">
        <v>-1.2450724E-5</v>
      </c>
      <c r="Q294" s="163">
        <v>-4.4268716000000002E-6</v>
      </c>
      <c r="R294" s="163">
        <v>-4.4155995000000001E-10</v>
      </c>
      <c r="S294" s="163">
        <v>-3.1422910999999997E-5</v>
      </c>
      <c r="T294" s="163">
        <v>-2.6223148000000001E-7</v>
      </c>
      <c r="U294" s="163">
        <v>-8.6794488999999994E-6</v>
      </c>
      <c r="V294">
        <v>-1.0331497999999999E-4</v>
      </c>
      <c r="W294" s="163">
        <v>-2.7835762000000001E-5</v>
      </c>
      <c r="X294" s="163">
        <v>-2.327265E-8</v>
      </c>
      <c r="Y294">
        <v>-5.4601802999999997E-2</v>
      </c>
      <c r="Z294">
        <v>-6.0355916000000003E-2</v>
      </c>
      <c r="AA294" s="163">
        <v>-5.2532237000000001E-10</v>
      </c>
      <c r="AB294">
        <v>-2.2124252999999999E-4</v>
      </c>
      <c r="AC294">
        <v>-7.911406E-2</v>
      </c>
      <c r="AD294" s="163">
        <v>-3.0315786999999999E-12</v>
      </c>
      <c r="AE294" s="163">
        <v>-8.4870342999999998E-11</v>
      </c>
      <c r="AF294">
        <v>-6.6847748999999998E-2</v>
      </c>
      <c r="AG294">
        <v>0</v>
      </c>
      <c r="AH294">
        <v>0</v>
      </c>
      <c r="AI294">
        <v>-3.5432950000000001E-3</v>
      </c>
      <c r="AJ294">
        <v>0</v>
      </c>
      <c r="AK294">
        <v>0</v>
      </c>
      <c r="AL294">
        <v>-5.7993410000000002E-2</v>
      </c>
      <c r="AM294">
        <v>0</v>
      </c>
      <c r="AN294">
        <v>0</v>
      </c>
      <c r="AO294">
        <v>0</v>
      </c>
      <c r="AP294">
        <v>-1.4122779000000001E-3</v>
      </c>
      <c r="AQ294" s="163">
        <v>-7.7342431999999997E-8</v>
      </c>
      <c r="AR294">
        <v>-5.4803877999999996E-4</v>
      </c>
      <c r="AS294" s="163">
        <v>-2.4443691999999998E-7</v>
      </c>
      <c r="AT294">
        <v>0</v>
      </c>
      <c r="AU294">
        <v>0</v>
      </c>
      <c r="AV294">
        <v>0</v>
      </c>
      <c r="AW294">
        <v>0</v>
      </c>
      <c r="AX294">
        <v>0</v>
      </c>
    </row>
    <row r="295" spans="1:50">
      <c r="A295" t="s">
        <v>1540</v>
      </c>
      <c r="B295" s="189">
        <f t="shared" si="4"/>
        <v>-0.58166574272714999</v>
      </c>
      <c r="C295">
        <v>-6.9220156999999999E-3</v>
      </c>
      <c r="D295">
        <v>-1.0790418E-2</v>
      </c>
      <c r="E295">
        <v>-2.0421284000000002</v>
      </c>
      <c r="F295" s="163">
        <v>-8.1162505000000001E-8</v>
      </c>
      <c r="G295">
        <v>-2.7366700000000001E-3</v>
      </c>
      <c r="H295">
        <v>-5.2171791000000002E-2</v>
      </c>
      <c r="I295">
        <v>-6.7644831000000004E-3</v>
      </c>
      <c r="J295">
        <v>-1.9943394999999999</v>
      </c>
      <c r="K295">
        <v>-0.12367264</v>
      </c>
      <c r="L295">
        <v>-178.28085999999999</v>
      </c>
      <c r="M295">
        <v>-1.0887106000000001E-2</v>
      </c>
      <c r="N295">
        <v>-2.0858647000000001</v>
      </c>
      <c r="O295">
        <v>-2.0686255</v>
      </c>
      <c r="P295">
        <v>-1.6278330000000001E-2</v>
      </c>
      <c r="Q295">
        <v>-9.608873E-4</v>
      </c>
      <c r="R295" s="163">
        <v>-9.4070618E-8</v>
      </c>
      <c r="S295">
        <v>-6.0835096999999998E-2</v>
      </c>
      <c r="T295">
        <v>-1.5421469E-3</v>
      </c>
      <c r="U295">
        <v>-4.5935626E-3</v>
      </c>
      <c r="V295">
        <v>-6.6186689000000007E-2</v>
      </c>
      <c r="W295">
        <v>-1.633341E-2</v>
      </c>
      <c r="X295">
        <v>-6.9220156999999999E-3</v>
      </c>
      <c r="Y295">
        <v>-18.464502</v>
      </c>
      <c r="Z295">
        <v>-0.79827625000000002</v>
      </c>
      <c r="AA295" s="163">
        <v>-2.3331979000000001E-7</v>
      </c>
      <c r="AB295">
        <v>-4.3232755999999997E-2</v>
      </c>
      <c r="AC295">
        <v>-611.9864</v>
      </c>
      <c r="AD295" s="163">
        <v>-1.8136009000000001E-8</v>
      </c>
      <c r="AE295" s="163">
        <v>-1.6950851E-6</v>
      </c>
      <c r="AF295">
        <v>-9.7584700000000009</v>
      </c>
      <c r="AG295">
        <v>0</v>
      </c>
      <c r="AH295">
        <v>0</v>
      </c>
      <c r="AI295">
        <v>-1.5386536</v>
      </c>
      <c r="AJ295">
        <v>0</v>
      </c>
      <c r="AK295">
        <v>0</v>
      </c>
      <c r="AL295">
        <v>-19.695640000000001</v>
      </c>
      <c r="AM295">
        <v>0</v>
      </c>
      <c r="AN295">
        <v>0</v>
      </c>
      <c r="AO295">
        <v>0</v>
      </c>
      <c r="AP295">
        <v>-2.0545270000000001E-2</v>
      </c>
      <c r="AQ295" s="163">
        <v>-2.3516857000000001E-5</v>
      </c>
      <c r="AR295">
        <v>-0.51316382999999999</v>
      </c>
      <c r="AS295" s="163">
        <v>-4.6550641E-5</v>
      </c>
      <c r="AT295">
        <v>0</v>
      </c>
      <c r="AU295">
        <v>0</v>
      </c>
      <c r="AV295">
        <v>0</v>
      </c>
      <c r="AW295">
        <v>0</v>
      </c>
      <c r="AX295">
        <v>0</v>
      </c>
    </row>
    <row r="296" spans="1:50">
      <c r="A296" t="s">
        <v>1541</v>
      </c>
      <c r="B296" s="189">
        <f t="shared" si="4"/>
        <v>-0.15810458736731722</v>
      </c>
      <c r="C296" s="163">
        <v>8.2994132999999999E-7</v>
      </c>
      <c r="D296">
        <v>-7.5644025999999998E-3</v>
      </c>
      <c r="E296">
        <v>-1.2404563</v>
      </c>
      <c r="F296" s="163">
        <v>-5.6879731000000001E-8</v>
      </c>
      <c r="G296">
        <v>-2.9089707000000001E-3</v>
      </c>
      <c r="H296">
        <v>-4.6538763E-3</v>
      </c>
      <c r="I296">
        <v>-4.7095234000000001E-4</v>
      </c>
      <c r="J296">
        <v>-0.79759789000000003</v>
      </c>
      <c r="K296">
        <v>1.0291315000000001E-2</v>
      </c>
      <c r="L296">
        <v>11.099818000000001</v>
      </c>
      <c r="M296">
        <v>6.9453535999999996E-2</v>
      </c>
      <c r="N296">
        <v>-1.3210416</v>
      </c>
      <c r="O296">
        <v>-1.329976</v>
      </c>
      <c r="P296">
        <v>8.5355889000000001E-3</v>
      </c>
      <c r="Q296">
        <v>3.9881105000000002E-4</v>
      </c>
      <c r="R296" s="163">
        <v>-4.6631826999999998E-8</v>
      </c>
      <c r="S296">
        <v>-5.6366806E-3</v>
      </c>
      <c r="T296" s="163">
        <v>-3.2133623000000003E-5</v>
      </c>
      <c r="U296">
        <v>-9.8411618000000009E-4</v>
      </c>
      <c r="V296">
        <v>-1.1402747E-2</v>
      </c>
      <c r="W296">
        <v>-8.0645317000000005E-3</v>
      </c>
      <c r="X296" s="163">
        <v>8.3068815999999998E-7</v>
      </c>
      <c r="Y296">
        <v>-9.6981941999999997</v>
      </c>
      <c r="Z296">
        <v>-0.22445156999999999</v>
      </c>
      <c r="AA296" s="163">
        <v>-7.2057773000000006E-8</v>
      </c>
      <c r="AB296">
        <v>8.6500871999999999E-3</v>
      </c>
      <c r="AC296">
        <v>-44.992452999999998</v>
      </c>
      <c r="AD296" s="163">
        <v>-1.6497550999999999E-10</v>
      </c>
      <c r="AE296" s="163">
        <v>2.7691095000000001E-7</v>
      </c>
      <c r="AF296">
        <v>-2.1986319000000001</v>
      </c>
      <c r="AG296">
        <v>0</v>
      </c>
      <c r="AH296">
        <v>0</v>
      </c>
      <c r="AI296">
        <v>0.11996252</v>
      </c>
      <c r="AJ296">
        <v>0</v>
      </c>
      <c r="AK296">
        <v>0</v>
      </c>
      <c r="AL296">
        <v>-10.066674000000001</v>
      </c>
      <c r="AM296">
        <v>0</v>
      </c>
      <c r="AN296">
        <v>0</v>
      </c>
      <c r="AO296">
        <v>0</v>
      </c>
      <c r="AP296">
        <v>-4.5609296999999998E-3</v>
      </c>
      <c r="AQ296">
        <v>-1.6967208E-4</v>
      </c>
      <c r="AR296">
        <v>-7.4404296999999994E-2</v>
      </c>
      <c r="AS296" s="163">
        <v>-2.6674072999999999E-6</v>
      </c>
      <c r="AT296">
        <v>0</v>
      </c>
      <c r="AU296">
        <v>0</v>
      </c>
      <c r="AV296">
        <v>0</v>
      </c>
      <c r="AW296">
        <v>0</v>
      </c>
      <c r="AX296">
        <v>0</v>
      </c>
    </row>
    <row r="297" spans="1:50">
      <c r="A297" t="s">
        <v>1542</v>
      </c>
      <c r="B297" s="189">
        <f t="shared" si="4"/>
        <v>-0.77122651334940007</v>
      </c>
      <c r="C297">
        <v>-7.1688994000000004E-3</v>
      </c>
      <c r="D297">
        <v>-3.2512531999999997E-2</v>
      </c>
      <c r="E297">
        <v>-4.9767950000000001</v>
      </c>
      <c r="F297" s="163">
        <v>-1.6875518E-7</v>
      </c>
      <c r="G297">
        <v>-2.7773334E-3</v>
      </c>
      <c r="H297">
        <v>-4.8758969999999999E-2</v>
      </c>
      <c r="I297">
        <v>-8.6643655999999996E-3</v>
      </c>
      <c r="J297">
        <v>-2.1454787999999998</v>
      </c>
      <c r="K297">
        <v>-8.6662349E-2</v>
      </c>
      <c r="L297">
        <v>-333.73075999999998</v>
      </c>
      <c r="M297">
        <v>-0.1399466</v>
      </c>
      <c r="N297">
        <v>-5.0886034000000002</v>
      </c>
      <c r="O297">
        <v>-5.0763039000000001</v>
      </c>
      <c r="P297">
        <v>6.2343241000000003E-4</v>
      </c>
      <c r="Q297">
        <v>-1.2922863E-2</v>
      </c>
      <c r="R297" s="163">
        <v>-1.9306139E-7</v>
      </c>
      <c r="S297">
        <v>-5.8848493000000002E-2</v>
      </c>
      <c r="T297">
        <v>-1.7405273000000001E-3</v>
      </c>
      <c r="U297">
        <v>-8.1504226999999999E-3</v>
      </c>
      <c r="V297">
        <v>-0.10542517</v>
      </c>
      <c r="W297">
        <v>-2.5277550999999999E-2</v>
      </c>
      <c r="X297">
        <v>-7.1688995999999996E-3</v>
      </c>
      <c r="Y297">
        <v>-52.145437000000001</v>
      </c>
      <c r="Z297">
        <v>-1.5393838</v>
      </c>
      <c r="AA297" s="163">
        <v>-3.8778983000000003E-7</v>
      </c>
      <c r="AB297">
        <v>-8.1016137000000002E-2</v>
      </c>
      <c r="AC297">
        <v>-696.15664000000004</v>
      </c>
      <c r="AD297" s="163">
        <v>-8.2988113999999998E-9</v>
      </c>
      <c r="AE297" s="163">
        <v>-9.762820299999999E-7</v>
      </c>
      <c r="AF297">
        <v>-13.973407999999999</v>
      </c>
      <c r="AG297">
        <v>0</v>
      </c>
      <c r="AH297">
        <v>0</v>
      </c>
      <c r="AI297">
        <v>-5.3677273000000003</v>
      </c>
      <c r="AJ297">
        <v>0</v>
      </c>
      <c r="AK297">
        <v>0</v>
      </c>
      <c r="AL297">
        <v>-55.579979000000002</v>
      </c>
      <c r="AM297">
        <v>0</v>
      </c>
      <c r="AN297">
        <v>0</v>
      </c>
      <c r="AO297">
        <v>0</v>
      </c>
      <c r="AP297">
        <v>-4.8470430000000002E-2</v>
      </c>
      <c r="AQ297">
        <v>-3.2676042E-3</v>
      </c>
      <c r="AR297">
        <v>-0.41750762000000002</v>
      </c>
      <c r="AS297" s="163">
        <v>-8.8465462999999994E-5</v>
      </c>
      <c r="AT297">
        <v>0</v>
      </c>
      <c r="AU297">
        <v>0</v>
      </c>
      <c r="AV297">
        <v>0</v>
      </c>
      <c r="AW297">
        <v>0</v>
      </c>
      <c r="AX297">
        <v>0</v>
      </c>
    </row>
    <row r="298" spans="1:50">
      <c r="A298" t="s">
        <v>1543</v>
      </c>
      <c r="B298" s="189">
        <f t="shared" si="4"/>
        <v>-3.8850199775599999E-3</v>
      </c>
      <c r="C298">
        <v>-2.7254773000000001E-3</v>
      </c>
      <c r="D298">
        <v>3.1233962000000001E-3</v>
      </c>
      <c r="E298">
        <v>0.29786012000000001</v>
      </c>
      <c r="F298" s="163">
        <v>5.0030648E-8</v>
      </c>
      <c r="G298">
        <v>-2.1596051999999999E-4</v>
      </c>
      <c r="H298">
        <v>-1.8683974000000001E-3</v>
      </c>
      <c r="I298">
        <v>-2.1854945999999998E-3</v>
      </c>
      <c r="J298">
        <v>7.6032954999999999E-2</v>
      </c>
      <c r="K298">
        <v>3.0654588999999999E-3</v>
      </c>
      <c r="L298">
        <v>15.43332</v>
      </c>
      <c r="M298">
        <v>4.2251067E-3</v>
      </c>
      <c r="N298">
        <v>0.30239111000000002</v>
      </c>
      <c r="O298">
        <v>0.29908813000000001</v>
      </c>
      <c r="P298">
        <v>3.0767434E-3</v>
      </c>
      <c r="Q298">
        <v>2.2623448E-4</v>
      </c>
      <c r="R298" s="163">
        <v>4.807978E-8</v>
      </c>
      <c r="S298">
        <v>-3.0920049000000001E-3</v>
      </c>
      <c r="T298">
        <v>-5.3995536000000003E-4</v>
      </c>
      <c r="U298">
        <v>-1.2114636000000001E-3</v>
      </c>
      <c r="V298">
        <v>-1.7754854E-2</v>
      </c>
      <c r="W298">
        <v>-3.4662259000000002E-3</v>
      </c>
      <c r="X298">
        <v>-2.7254772000000001E-3</v>
      </c>
      <c r="Y298">
        <v>6.9742443999999999</v>
      </c>
      <c r="Z298">
        <v>-0.1148551</v>
      </c>
      <c r="AA298" s="163">
        <v>-3.0915565000000001E-8</v>
      </c>
      <c r="AB298">
        <v>2.7138967E-2</v>
      </c>
      <c r="AC298">
        <v>-220.58960999999999</v>
      </c>
      <c r="AD298" s="163">
        <v>4.3149331000000002E-11</v>
      </c>
      <c r="AE298" s="163">
        <v>-1.9980814999999999E-8</v>
      </c>
      <c r="AF298">
        <v>0.19898362999999999</v>
      </c>
      <c r="AG298">
        <v>0</v>
      </c>
      <c r="AH298">
        <v>0</v>
      </c>
      <c r="AI298">
        <v>0.5354198</v>
      </c>
      <c r="AJ298">
        <v>0</v>
      </c>
      <c r="AK298">
        <v>0</v>
      </c>
      <c r="AL298">
        <v>7.5961873999999998</v>
      </c>
      <c r="AM298">
        <v>0</v>
      </c>
      <c r="AN298">
        <v>0</v>
      </c>
      <c r="AO298">
        <v>0</v>
      </c>
      <c r="AP298">
        <v>-1.3422118999999999E-3</v>
      </c>
      <c r="AQ298" s="163">
        <v>8.4640184999999995E-6</v>
      </c>
      <c r="AR298">
        <v>1.7179677000000001E-2</v>
      </c>
      <c r="AS298" s="163">
        <v>2.0893030999999999E-5</v>
      </c>
      <c r="AT298">
        <v>0</v>
      </c>
      <c r="AU298">
        <v>0</v>
      </c>
      <c r="AV298">
        <v>0</v>
      </c>
      <c r="AW298">
        <v>0</v>
      </c>
      <c r="AX298">
        <v>0</v>
      </c>
    </row>
    <row r="299" spans="1:50">
      <c r="A299" t="s">
        <v>1544</v>
      </c>
      <c r="B299" s="189">
        <f t="shared" si="4"/>
        <v>1.4122162942419361E-3</v>
      </c>
      <c r="C299" s="163">
        <v>5.2659771E-9</v>
      </c>
      <c r="D299">
        <v>1.0046722E-4</v>
      </c>
      <c r="E299">
        <v>1.4006012E-2</v>
      </c>
      <c r="F299" s="163">
        <v>7.4071752000000002E-10</v>
      </c>
      <c r="G299" s="163">
        <v>3.6640558E-6</v>
      </c>
      <c r="H299" s="163">
        <v>6.3979767000000003E-5</v>
      </c>
      <c r="I299" s="163">
        <v>8.0989687000000003E-6</v>
      </c>
      <c r="J299">
        <v>3.4747622999999998E-3</v>
      </c>
      <c r="K299" s="163">
        <v>8.0768836000000003E-5</v>
      </c>
      <c r="L299">
        <v>0.42834340999999998</v>
      </c>
      <c r="M299" s="163">
        <v>2.8232732999999998E-5</v>
      </c>
      <c r="N299">
        <v>1.4319439E-2</v>
      </c>
      <c r="O299">
        <v>1.4224193E-2</v>
      </c>
      <c r="P299" s="163">
        <v>7.0411372000000005E-5</v>
      </c>
      <c r="Q299" s="163">
        <v>2.4835054999999999E-5</v>
      </c>
      <c r="R299" s="163">
        <v>6.6863490000000001E-10</v>
      </c>
      <c r="S299" s="163">
        <v>7.8818262999999996E-5</v>
      </c>
      <c r="T299" s="163">
        <v>9.8567330000000007E-7</v>
      </c>
      <c r="U299" s="163">
        <v>1.1968932000000001E-5</v>
      </c>
      <c r="V299">
        <v>1.6096651000000001E-4</v>
      </c>
      <c r="W299" s="163">
        <v>3.6503930999999999E-5</v>
      </c>
      <c r="X299" s="163">
        <v>5.2661088999999998E-9</v>
      </c>
      <c r="Y299">
        <v>0.19652109000000001</v>
      </c>
      <c r="Z299">
        <v>2.6716566999999999E-3</v>
      </c>
      <c r="AA299" s="163">
        <v>5.2452349E-10</v>
      </c>
      <c r="AB299">
        <v>1.0273070999999999E-3</v>
      </c>
      <c r="AC299">
        <v>0.24118123999999999</v>
      </c>
      <c r="AD299" s="163">
        <v>4.9138848E-12</v>
      </c>
      <c r="AE299" s="163">
        <v>1.38065E-10</v>
      </c>
      <c r="AF299">
        <v>3.0138979999999999E-2</v>
      </c>
      <c r="AG299">
        <v>0</v>
      </c>
      <c r="AH299">
        <v>0</v>
      </c>
      <c r="AI299">
        <v>2.2022125E-2</v>
      </c>
      <c r="AJ299">
        <v>0</v>
      </c>
      <c r="AK299">
        <v>0</v>
      </c>
      <c r="AL299">
        <v>0.20816190000000001</v>
      </c>
      <c r="AM299">
        <v>0</v>
      </c>
      <c r="AN299">
        <v>0</v>
      </c>
      <c r="AO299">
        <v>0</v>
      </c>
      <c r="AP299">
        <v>1.1557295E-4</v>
      </c>
      <c r="AQ299" s="163">
        <v>2.8724929E-7</v>
      </c>
      <c r="AR299">
        <v>1.230126E-3</v>
      </c>
      <c r="AS299" s="163">
        <v>7.8487205000000004E-7</v>
      </c>
      <c r="AT299">
        <v>0</v>
      </c>
      <c r="AU299">
        <v>0</v>
      </c>
      <c r="AV299">
        <v>0</v>
      </c>
      <c r="AW299">
        <v>0</v>
      </c>
      <c r="AX299">
        <v>0</v>
      </c>
    </row>
    <row r="300" spans="1:50">
      <c r="A300" t="s">
        <v>793</v>
      </c>
      <c r="B300" s="189">
        <f t="shared" si="4"/>
        <v>3.7449408190738001E-3</v>
      </c>
      <c r="C300" s="163">
        <v>4.9358912999999998E-7</v>
      </c>
      <c r="D300">
        <v>1.6144638000000001E-4</v>
      </c>
      <c r="E300">
        <v>2.4545661999999999E-2</v>
      </c>
      <c r="F300" s="163">
        <v>1.2786991000000001E-9</v>
      </c>
      <c r="G300" s="163">
        <v>1.1714806E-5</v>
      </c>
      <c r="H300">
        <v>1.2304150000000001E-4</v>
      </c>
      <c r="I300" s="163">
        <v>1.8904223000000001E-5</v>
      </c>
      <c r="J300">
        <v>1.9128900000000001E-2</v>
      </c>
      <c r="K300">
        <v>1.6910843E-4</v>
      </c>
      <c r="L300">
        <v>0.73688765000000001</v>
      </c>
      <c r="M300" s="163">
        <v>9.3538769000000002E-5</v>
      </c>
      <c r="N300">
        <v>2.4100259999999998E-2</v>
      </c>
      <c r="O300">
        <v>2.4947036999999998E-2</v>
      </c>
      <c r="P300">
        <v>-8.7709805999999996E-4</v>
      </c>
      <c r="Q300" s="163">
        <v>3.0320476999999999E-5</v>
      </c>
      <c r="R300" s="163">
        <v>1.3372104999999999E-9</v>
      </c>
      <c r="S300">
        <v>1.6277503E-4</v>
      </c>
      <c r="T300" s="163">
        <v>1.8396169E-6</v>
      </c>
      <c r="U300" s="163">
        <v>2.5042377E-5</v>
      </c>
      <c r="V300">
        <v>4.3527662999999999E-4</v>
      </c>
      <c r="W300" s="163">
        <v>8.2448364999999999E-5</v>
      </c>
      <c r="X300" s="163">
        <v>4.9359013000000001E-7</v>
      </c>
      <c r="Y300">
        <v>0.29202107999999999</v>
      </c>
      <c r="Z300">
        <v>6.0322735000000001E-3</v>
      </c>
      <c r="AA300" s="163">
        <v>1.6070744000000001E-9</v>
      </c>
      <c r="AB300">
        <v>1.0930889E-3</v>
      </c>
      <c r="AC300">
        <v>0.50948906000000005</v>
      </c>
      <c r="AD300" s="163">
        <v>3.5287966999999998E-11</v>
      </c>
      <c r="AE300" s="163">
        <v>5.4390333E-10</v>
      </c>
      <c r="AF300">
        <v>0.34979940999999998</v>
      </c>
      <c r="AG300">
        <v>0</v>
      </c>
      <c r="AH300">
        <v>0</v>
      </c>
      <c r="AI300">
        <v>4.3204749000000001E-2</v>
      </c>
      <c r="AJ300">
        <v>0</v>
      </c>
      <c r="AK300">
        <v>0</v>
      </c>
      <c r="AL300">
        <v>0.31052305000000002</v>
      </c>
      <c r="AM300">
        <v>0</v>
      </c>
      <c r="AN300">
        <v>0</v>
      </c>
      <c r="AO300">
        <v>0</v>
      </c>
      <c r="AP300">
        <v>1.9157551999999999E-4</v>
      </c>
      <c r="AQ300" s="163">
        <v>8.6442384000000001E-7</v>
      </c>
      <c r="AR300">
        <v>1.0928644E-2</v>
      </c>
      <c r="AS300" s="163">
        <v>9.2039397999999998E-7</v>
      </c>
      <c r="AT300">
        <v>0</v>
      </c>
      <c r="AU300">
        <v>0</v>
      </c>
      <c r="AV300">
        <v>0</v>
      </c>
      <c r="AW300">
        <v>0</v>
      </c>
      <c r="AX300">
        <v>0</v>
      </c>
    </row>
    <row r="301" spans="1:50">
      <c r="A301" t="s">
        <v>1545</v>
      </c>
      <c r="B301" s="189">
        <f t="shared" si="4"/>
        <v>5.4407648637174406E-2</v>
      </c>
      <c r="C301" s="163">
        <v>8.4855684000000005E-7</v>
      </c>
      <c r="D301">
        <v>1.7080133999999999E-3</v>
      </c>
      <c r="E301">
        <v>0.36152851000000003</v>
      </c>
      <c r="F301" s="163">
        <v>2.2164236000000002E-8</v>
      </c>
      <c r="G301">
        <v>1.5652464E-4</v>
      </c>
      <c r="H301">
        <v>8.4527921999999998E-4</v>
      </c>
      <c r="I301">
        <v>1.5337810999999999E-4</v>
      </c>
      <c r="J301">
        <v>0.33222709</v>
      </c>
      <c r="K301">
        <v>3.7428918999999998E-3</v>
      </c>
      <c r="L301">
        <v>9.0609011000000006</v>
      </c>
      <c r="M301">
        <v>1.0626030000000001E-3</v>
      </c>
      <c r="N301">
        <v>0.36574446999999999</v>
      </c>
      <c r="O301">
        <v>0.36710648000000001</v>
      </c>
      <c r="P301">
        <v>-1.5364354E-3</v>
      </c>
      <c r="Q301">
        <v>1.7442719E-4</v>
      </c>
      <c r="R301" s="163">
        <v>2.6466356000000001E-8</v>
      </c>
      <c r="S301">
        <v>1.0836136E-3</v>
      </c>
      <c r="T301" s="163">
        <v>1.0641461E-5</v>
      </c>
      <c r="U301">
        <v>2.8261775999999998E-4</v>
      </c>
      <c r="V301">
        <v>3.2497248000000001E-3</v>
      </c>
      <c r="W301">
        <v>1.0111232999999999E-3</v>
      </c>
      <c r="X301" s="163">
        <v>8.4850602000000003E-7</v>
      </c>
      <c r="Y301">
        <v>3.6463041999999999</v>
      </c>
      <c r="Z301">
        <v>6.8528238000000005E-2</v>
      </c>
      <c r="AA301" s="163">
        <v>1.8521526E-8</v>
      </c>
      <c r="AB301">
        <v>1.0252598E-2</v>
      </c>
      <c r="AC301">
        <v>3.0710014999999999</v>
      </c>
      <c r="AD301" s="163">
        <v>3.7944202999999998E-10</v>
      </c>
      <c r="AE301" s="163">
        <v>4.9762551999999996E-9</v>
      </c>
      <c r="AF301">
        <v>2.8262651999999999</v>
      </c>
      <c r="AG301">
        <v>0</v>
      </c>
      <c r="AH301">
        <v>0</v>
      </c>
      <c r="AI301">
        <v>0.17080329</v>
      </c>
      <c r="AJ301">
        <v>0</v>
      </c>
      <c r="AK301">
        <v>0</v>
      </c>
      <c r="AL301">
        <v>3.8823818000000001</v>
      </c>
      <c r="AM301">
        <v>0</v>
      </c>
      <c r="AN301">
        <v>0</v>
      </c>
      <c r="AO301">
        <v>0</v>
      </c>
      <c r="AP301">
        <v>1.8278293999999999E-3</v>
      </c>
      <c r="AQ301" s="163">
        <v>3.0812479999999999E-6</v>
      </c>
      <c r="AR301">
        <v>0.1719494</v>
      </c>
      <c r="AS301" s="163">
        <v>1.3594202999999999E-5</v>
      </c>
      <c r="AT301">
        <v>0</v>
      </c>
      <c r="AU301">
        <v>0</v>
      </c>
      <c r="AV301">
        <v>0</v>
      </c>
      <c r="AW301">
        <v>0</v>
      </c>
      <c r="AX301">
        <v>0</v>
      </c>
    </row>
    <row r="302" spans="1:50">
      <c r="A302" t="s">
        <v>1546</v>
      </c>
      <c r="B302" s="189">
        <f t="shared" si="4"/>
        <v>1.141807263734804E-2</v>
      </c>
      <c r="C302" s="163">
        <v>4.6574118999999999E-8</v>
      </c>
      <c r="D302">
        <v>2.0203878000000001E-4</v>
      </c>
      <c r="E302">
        <v>6.0162857E-2</v>
      </c>
      <c r="F302" s="163">
        <v>3.4667162999999999E-9</v>
      </c>
      <c r="G302" s="163">
        <v>1.9177975E-5</v>
      </c>
      <c r="H302">
        <v>1.2309154999999999E-3</v>
      </c>
      <c r="I302">
        <v>2.7222169999999998E-4</v>
      </c>
      <c r="J302">
        <v>9.7613778000000002E-3</v>
      </c>
      <c r="K302">
        <v>2.0494892E-4</v>
      </c>
      <c r="L302">
        <v>0.74751016999999997</v>
      </c>
      <c r="M302">
        <v>1.0092321E-4</v>
      </c>
      <c r="N302">
        <v>0.28824319999999998</v>
      </c>
      <c r="O302">
        <v>3.3352532999999997E-2</v>
      </c>
      <c r="P302">
        <v>0.25486713999999999</v>
      </c>
      <c r="Q302" s="163">
        <v>2.3530254000000002E-5</v>
      </c>
      <c r="R302" s="163">
        <v>4.1895494000000001E-9</v>
      </c>
      <c r="S302">
        <v>2.2537702000000001E-3</v>
      </c>
      <c r="T302" s="163">
        <v>1.4438318E-6</v>
      </c>
      <c r="U302">
        <v>1.0051332E-4</v>
      </c>
      <c r="V302">
        <v>9.8042376999999993E-3</v>
      </c>
      <c r="W302">
        <v>1.154981E-4</v>
      </c>
      <c r="X302" s="163">
        <v>4.6575059000000001E-8</v>
      </c>
      <c r="Y302">
        <v>0.39863170999999997</v>
      </c>
      <c r="Z302">
        <v>-8.0143950999999995E-4</v>
      </c>
      <c r="AA302" s="163">
        <v>1.1630015E-8</v>
      </c>
      <c r="AB302">
        <v>1.6888930999999999E-3</v>
      </c>
      <c r="AC302">
        <v>8.7416645000000006</v>
      </c>
      <c r="AD302" s="163">
        <v>2.9678534000000001E-11</v>
      </c>
      <c r="AE302" s="163">
        <v>5.4043009999999999E-10</v>
      </c>
      <c r="AF302">
        <v>0.47569172999999998</v>
      </c>
      <c r="AG302">
        <v>0</v>
      </c>
      <c r="AH302">
        <v>0</v>
      </c>
      <c r="AI302">
        <v>6.3320734000000004E-2</v>
      </c>
      <c r="AJ302">
        <v>0</v>
      </c>
      <c r="AK302">
        <v>0</v>
      </c>
      <c r="AL302">
        <v>0.42336304000000002</v>
      </c>
      <c r="AM302">
        <v>0</v>
      </c>
      <c r="AN302">
        <v>0</v>
      </c>
      <c r="AO302">
        <v>0</v>
      </c>
      <c r="AP302" s="163">
        <v>2.0393549000000001E-5</v>
      </c>
      <c r="AQ302" s="163">
        <v>5.7123306E-7</v>
      </c>
      <c r="AR302">
        <v>0.16567154000000001</v>
      </c>
      <c r="AS302" s="163">
        <v>2.1238462000000002E-6</v>
      </c>
      <c r="AT302">
        <v>0</v>
      </c>
      <c r="AU302">
        <v>0</v>
      </c>
      <c r="AV302">
        <v>0</v>
      </c>
      <c r="AW302">
        <v>0</v>
      </c>
      <c r="AX302">
        <v>0</v>
      </c>
    </row>
    <row r="303" spans="1:50">
      <c r="A303" t="s">
        <v>1547</v>
      </c>
      <c r="B303" s="189">
        <f t="shared" si="4"/>
        <v>5.9466422455099598E-3</v>
      </c>
      <c r="C303" s="163">
        <v>3.4238681000000001E-8</v>
      </c>
      <c r="D303">
        <v>1.3750285E-4</v>
      </c>
      <c r="E303">
        <v>3.8021096999999997E-2</v>
      </c>
      <c r="F303" s="163">
        <v>2.7652726999999999E-9</v>
      </c>
      <c r="G303" s="163">
        <v>1.3079776000000001E-5</v>
      </c>
      <c r="H303">
        <v>1.8399757000000001E-4</v>
      </c>
      <c r="I303" s="163">
        <v>6.5596688999999998E-5</v>
      </c>
      <c r="J303">
        <v>2.3204425000000001E-2</v>
      </c>
      <c r="K303">
        <v>1.0047876E-3</v>
      </c>
      <c r="L303">
        <v>5.4698551000000002</v>
      </c>
      <c r="M303" s="163">
        <v>9.0851369000000004E-5</v>
      </c>
      <c r="N303">
        <v>0.55647502000000004</v>
      </c>
      <c r="O303">
        <v>4.0054351000000002E-2</v>
      </c>
      <c r="P303">
        <v>0.51641409000000005</v>
      </c>
      <c r="Q303" s="163">
        <v>6.5783997999999997E-6</v>
      </c>
      <c r="R303" s="163">
        <v>3.1866473999999999E-9</v>
      </c>
      <c r="S303">
        <v>2.5142901999999998E-4</v>
      </c>
      <c r="T303" s="163">
        <v>7.9602856999999996E-7</v>
      </c>
      <c r="U303">
        <v>1.0746699000000001E-4</v>
      </c>
      <c r="V303">
        <v>1.0855268999999999E-3</v>
      </c>
      <c r="W303">
        <v>2.7089497000000001E-4</v>
      </c>
      <c r="X303" s="163">
        <v>3.4243432000000003E-8</v>
      </c>
      <c r="Y303">
        <v>0.26079007999999998</v>
      </c>
      <c r="Z303">
        <v>2.3567926999999999E-2</v>
      </c>
      <c r="AA303" s="163">
        <v>2.6039452E-9</v>
      </c>
      <c r="AB303">
        <v>6.6442064999999999E-4</v>
      </c>
      <c r="AC303">
        <v>1.6170362</v>
      </c>
      <c r="AD303" s="163">
        <v>9.1862621000000001E-11</v>
      </c>
      <c r="AE303" s="163">
        <v>4.0362769000000003E-9</v>
      </c>
      <c r="AF303">
        <v>0.15442096999999999</v>
      </c>
      <c r="AG303">
        <v>0</v>
      </c>
      <c r="AH303">
        <v>0</v>
      </c>
      <c r="AI303">
        <v>7.6387158000000002E-3</v>
      </c>
      <c r="AJ303">
        <v>0</v>
      </c>
      <c r="AK303">
        <v>0</v>
      </c>
      <c r="AL303">
        <v>0.28078799999999998</v>
      </c>
      <c r="AM303">
        <v>0</v>
      </c>
      <c r="AN303">
        <v>0</v>
      </c>
      <c r="AO303">
        <v>0</v>
      </c>
      <c r="AP303">
        <v>5.6044920000000004E-4</v>
      </c>
      <c r="AQ303" s="163">
        <v>4.4665644999999999E-7</v>
      </c>
      <c r="AR303">
        <v>5.7306976000000003E-2</v>
      </c>
      <c r="AS303" s="163">
        <v>9.2102518999999995E-7</v>
      </c>
      <c r="AT303">
        <v>0</v>
      </c>
      <c r="AU303">
        <v>0</v>
      </c>
      <c r="AV303">
        <v>0</v>
      </c>
      <c r="AW303">
        <v>0</v>
      </c>
      <c r="AX303">
        <v>0</v>
      </c>
    </row>
    <row r="304" spans="1:50">
      <c r="A304" t="s">
        <v>1548</v>
      </c>
      <c r="B304" s="189">
        <f t="shared" si="4"/>
        <v>6.5473256906728797E-3</v>
      </c>
      <c r="C304" s="163">
        <v>1.3888793E-8</v>
      </c>
      <c r="D304">
        <v>1.2968674E-4</v>
      </c>
      <c r="E304">
        <v>0.10247833000000001</v>
      </c>
      <c r="F304" s="163">
        <v>2.8696842000000001E-9</v>
      </c>
      <c r="G304" s="163">
        <v>2.5127746999999999E-5</v>
      </c>
      <c r="H304" s="163">
        <v>7.1603010999999995E-5</v>
      </c>
      <c r="I304" s="163">
        <v>1.6753362000000001E-5</v>
      </c>
      <c r="J304">
        <v>5.8317650999999996E-3</v>
      </c>
      <c r="K304">
        <v>2.337979E-3</v>
      </c>
      <c r="L304">
        <v>3.1892426</v>
      </c>
      <c r="M304" s="163">
        <v>2.0011908999999999E-5</v>
      </c>
      <c r="N304">
        <v>0.11963020000000001</v>
      </c>
      <c r="O304">
        <v>0.11954069</v>
      </c>
      <c r="P304" s="163">
        <v>8.5005049999999993E-5</v>
      </c>
      <c r="Q304" s="163">
        <v>4.5007683E-6</v>
      </c>
      <c r="R304" s="163">
        <v>3.5898520999999998E-9</v>
      </c>
      <c r="S304" s="163">
        <v>9.3893171999999994E-5</v>
      </c>
      <c r="T304" s="163">
        <v>2.6784088000000001E-7</v>
      </c>
      <c r="U304" s="163">
        <v>3.0288102000000001E-5</v>
      </c>
      <c r="V304">
        <v>3.374265E-4</v>
      </c>
      <c r="W304">
        <v>1.2277594999999999E-4</v>
      </c>
      <c r="X304" s="163">
        <v>1.3888954E-8</v>
      </c>
      <c r="Y304">
        <v>0.27032484000000001</v>
      </c>
      <c r="Z304">
        <v>1.1621116000000001E-2</v>
      </c>
      <c r="AA304" s="163">
        <v>1.7444456E-9</v>
      </c>
      <c r="AB304">
        <v>1.0739559E-3</v>
      </c>
      <c r="AC304">
        <v>0.19825402</v>
      </c>
      <c r="AD304" s="163">
        <v>1.3088226999999999E-11</v>
      </c>
      <c r="AE304" s="163">
        <v>1.741584E-10</v>
      </c>
      <c r="AF304">
        <v>0.59315792000000001</v>
      </c>
      <c r="AG304">
        <v>0</v>
      </c>
      <c r="AH304">
        <v>0</v>
      </c>
      <c r="AI304">
        <v>4.3933176999999997E-3</v>
      </c>
      <c r="AJ304">
        <v>0</v>
      </c>
      <c r="AK304">
        <v>0</v>
      </c>
      <c r="AL304">
        <v>0.28724335000000001</v>
      </c>
      <c r="AM304">
        <v>0</v>
      </c>
      <c r="AN304">
        <v>0</v>
      </c>
      <c r="AO304">
        <v>0</v>
      </c>
      <c r="AP304">
        <v>2.7883587E-4</v>
      </c>
      <c r="AQ304" s="163">
        <v>2.0982308999999999E-7</v>
      </c>
      <c r="AR304">
        <v>1.0022564</v>
      </c>
      <c r="AS304" s="163">
        <v>1.6426013999999999E-6</v>
      </c>
      <c r="AT304">
        <v>0</v>
      </c>
      <c r="AU304">
        <v>0</v>
      </c>
      <c r="AV304">
        <v>0</v>
      </c>
      <c r="AW304">
        <v>0</v>
      </c>
      <c r="AX304">
        <v>0</v>
      </c>
    </row>
    <row r="305" spans="1:50">
      <c r="A305" t="s">
        <v>1549</v>
      </c>
      <c r="B305" s="189">
        <f t="shared" si="4"/>
        <v>1.1794492745238121E-2</v>
      </c>
      <c r="C305" s="163">
        <v>1.8095157000000001E-8</v>
      </c>
      <c r="D305">
        <v>1.7081088999999999E-4</v>
      </c>
      <c r="E305">
        <v>0.10769073</v>
      </c>
      <c r="F305" s="163">
        <v>3.1206591E-9</v>
      </c>
      <c r="G305" s="163">
        <v>2.6298951999999999E-5</v>
      </c>
      <c r="H305">
        <v>1.0649763E-4</v>
      </c>
      <c r="I305">
        <v>5.3687340000000002E-4</v>
      </c>
      <c r="J305">
        <v>8.5723768999999995E-3</v>
      </c>
      <c r="K305">
        <v>1.9094595E-3</v>
      </c>
      <c r="L305">
        <v>2.4035294999999999</v>
      </c>
      <c r="M305" s="163">
        <v>4.8838463999999998E-5</v>
      </c>
      <c r="N305">
        <v>0.12480291</v>
      </c>
      <c r="O305">
        <v>0.12466832</v>
      </c>
      <c r="P305">
        <v>1.2009308E-4</v>
      </c>
      <c r="Q305" s="163">
        <v>1.4493635E-5</v>
      </c>
      <c r="R305" s="163">
        <v>3.8326313000000002E-9</v>
      </c>
      <c r="S305">
        <v>1.3952598E-4</v>
      </c>
      <c r="T305" s="163">
        <v>6.6269647999999996E-7</v>
      </c>
      <c r="U305">
        <v>1.2266995000000001E-3</v>
      </c>
      <c r="V305">
        <v>4.7481128999999998E-4</v>
      </c>
      <c r="W305">
        <v>1.5099509000000001E-4</v>
      </c>
      <c r="X305" s="163">
        <v>1.8095505E-8</v>
      </c>
      <c r="Y305">
        <v>0.34496634999999998</v>
      </c>
      <c r="Z305">
        <v>1.2576412E-2</v>
      </c>
      <c r="AA305" s="163">
        <v>2.011272E-9</v>
      </c>
      <c r="AB305">
        <v>1.3970104999999999E-3</v>
      </c>
      <c r="AC305">
        <v>2.3456169</v>
      </c>
      <c r="AD305" s="163">
        <v>9.0242852000000002E-12</v>
      </c>
      <c r="AE305" s="163">
        <v>3.0894826000000001E-10</v>
      </c>
      <c r="AF305">
        <v>0.60377649</v>
      </c>
      <c r="AG305">
        <v>0</v>
      </c>
      <c r="AH305">
        <v>0</v>
      </c>
      <c r="AI305">
        <v>1.2260702E-2</v>
      </c>
      <c r="AJ305">
        <v>0</v>
      </c>
      <c r="AK305">
        <v>0</v>
      </c>
      <c r="AL305">
        <v>0.36657894000000002</v>
      </c>
      <c r="AM305">
        <v>0</v>
      </c>
      <c r="AN305">
        <v>0</v>
      </c>
      <c r="AO305">
        <v>0</v>
      </c>
      <c r="AP305">
        <v>3.1766534000000001E-4</v>
      </c>
      <c r="AQ305" s="163">
        <v>3.1916232000000001E-7</v>
      </c>
      <c r="AR305">
        <v>1.0025913</v>
      </c>
      <c r="AS305" s="163">
        <v>1.8762898E-6</v>
      </c>
      <c r="AT305">
        <v>0</v>
      </c>
      <c r="AU305">
        <v>0</v>
      </c>
      <c r="AV305">
        <v>0</v>
      </c>
      <c r="AW305">
        <v>0</v>
      </c>
      <c r="AX305">
        <v>0</v>
      </c>
    </row>
    <row r="306" spans="1:50">
      <c r="A306" t="s">
        <v>1550</v>
      </c>
      <c r="B306" s="189">
        <f t="shared" si="4"/>
        <v>1.0879935419444221E-2</v>
      </c>
      <c r="C306" s="163">
        <v>1.5077395000000001E-9</v>
      </c>
      <c r="D306" s="163">
        <v>3.0810523000000002E-5</v>
      </c>
      <c r="E306">
        <v>0.15353625000000001</v>
      </c>
      <c r="F306" s="163">
        <v>8.0662373000000002E-10</v>
      </c>
      <c r="G306" s="163">
        <v>3.2332929999999999E-5</v>
      </c>
      <c r="H306" s="163">
        <v>3.4498987999999997E-5</v>
      </c>
      <c r="I306">
        <v>2.1383618E-4</v>
      </c>
      <c r="J306">
        <v>4.6959997E-3</v>
      </c>
      <c r="K306">
        <v>3.9654149999999999E-3</v>
      </c>
      <c r="L306">
        <v>5.2878128999999996</v>
      </c>
      <c r="M306" s="163">
        <v>9.9608468999999999E-6</v>
      </c>
      <c r="N306">
        <v>0.1848707</v>
      </c>
      <c r="O306">
        <v>0.18486958000000001</v>
      </c>
      <c r="P306" s="163">
        <v>7.3741282000000005E-7</v>
      </c>
      <c r="Q306" s="163">
        <v>3.8308017999999998E-7</v>
      </c>
      <c r="R306" s="163">
        <v>1.0158152E-9</v>
      </c>
      <c r="S306" s="163">
        <v>4.8105378000000002E-5</v>
      </c>
      <c r="T306" s="163">
        <v>3.4519192000000001E-8</v>
      </c>
      <c r="U306">
        <v>4.9520692E-4</v>
      </c>
      <c r="V306">
        <v>2.2809997999999999E-4</v>
      </c>
      <c r="W306">
        <v>1.0935898999999999E-4</v>
      </c>
      <c r="X306" s="163">
        <v>1.5077589E-9</v>
      </c>
      <c r="Y306">
        <v>6.5040924999999999E-2</v>
      </c>
      <c r="Z306">
        <v>3.5103618999999999E-4</v>
      </c>
      <c r="AA306" s="163">
        <v>1.2336658E-9</v>
      </c>
      <c r="AB306">
        <v>2.8027553999999998E-4</v>
      </c>
      <c r="AC306">
        <v>0.90165947000000002</v>
      </c>
      <c r="AD306" s="163">
        <v>2.0899463999999999E-12</v>
      </c>
      <c r="AE306" s="163">
        <v>1.4856329999999999E-10</v>
      </c>
      <c r="AF306">
        <v>0.25379595999999999</v>
      </c>
      <c r="AG306">
        <v>0</v>
      </c>
      <c r="AH306">
        <v>0</v>
      </c>
      <c r="AI306">
        <v>3.7789939000000002E-4</v>
      </c>
      <c r="AJ306">
        <v>0</v>
      </c>
      <c r="AK306">
        <v>0</v>
      </c>
      <c r="AL306">
        <v>6.9066727999999994E-2</v>
      </c>
      <c r="AM306">
        <v>0</v>
      </c>
      <c r="AN306">
        <v>0</v>
      </c>
      <c r="AO306">
        <v>0</v>
      </c>
      <c r="AP306" s="163">
        <v>8.9373241000000006E-6</v>
      </c>
      <c r="AQ306" s="163">
        <v>2.9081032000000001E-8</v>
      </c>
      <c r="AR306" s="163">
        <v>6.9618037999999994E-5</v>
      </c>
      <c r="AS306" s="163">
        <v>4.5168348999999999E-7</v>
      </c>
      <c r="AT306">
        <v>0</v>
      </c>
      <c r="AU306">
        <v>0</v>
      </c>
      <c r="AV306">
        <v>0</v>
      </c>
      <c r="AW306">
        <v>0</v>
      </c>
      <c r="AX306">
        <v>0</v>
      </c>
    </row>
    <row r="307" spans="1:50">
      <c r="A307" t="s">
        <v>1551</v>
      </c>
      <c r="B307" s="189">
        <f t="shared" si="4"/>
        <v>3.5356363937113205E-3</v>
      </c>
      <c r="C307" s="163">
        <v>3.1927577000000001E-8</v>
      </c>
      <c r="D307">
        <v>1.3730985E-4</v>
      </c>
      <c r="E307">
        <v>1.4250000000000001E-2</v>
      </c>
      <c r="F307" s="163">
        <v>2.8833413000000001E-9</v>
      </c>
      <c r="G307" s="163">
        <v>1.5530645E-5</v>
      </c>
      <c r="H307" s="163">
        <v>7.3373544999999994E-5</v>
      </c>
      <c r="I307" s="163">
        <v>1.3837437E-5</v>
      </c>
      <c r="J307">
        <v>9.9448498000000007E-3</v>
      </c>
      <c r="K307">
        <v>2.7941520000000001E-2</v>
      </c>
      <c r="L307">
        <v>6.1673036000000003</v>
      </c>
      <c r="M307" s="163">
        <v>3.2839400999999999E-5</v>
      </c>
      <c r="N307">
        <v>2.5215143999999998E-2</v>
      </c>
      <c r="O307">
        <v>1.4576459E-2</v>
      </c>
      <c r="P307">
        <v>1.0634334E-2</v>
      </c>
      <c r="Q307" s="163">
        <v>4.3515038E-6</v>
      </c>
      <c r="R307" s="163">
        <v>3.5888678E-9</v>
      </c>
      <c r="S307" s="163">
        <v>9.5429698E-5</v>
      </c>
      <c r="T307" s="163">
        <v>4.2965342E-7</v>
      </c>
      <c r="U307" s="163">
        <v>2.9489120999999999E-5</v>
      </c>
      <c r="V307">
        <v>3.2828852999999998E-4</v>
      </c>
      <c r="W307">
        <v>1.0288197000000001E-4</v>
      </c>
      <c r="X307" s="163">
        <v>3.1927663999999999E-8</v>
      </c>
      <c r="Y307">
        <v>0.28014683000000001</v>
      </c>
      <c r="Z307">
        <v>-8.4450234999999992E-3</v>
      </c>
      <c r="AA307" s="163">
        <v>3.0360865000000001E-9</v>
      </c>
      <c r="AB307">
        <v>1.0290093000000001E-3</v>
      </c>
      <c r="AC307">
        <v>2.6098249</v>
      </c>
      <c r="AD307" s="163">
        <v>2.2784092999999999E-11</v>
      </c>
      <c r="AE307" s="163">
        <v>3.8073343000000002E-10</v>
      </c>
      <c r="AF307">
        <v>0.37211938</v>
      </c>
      <c r="AG307">
        <v>0</v>
      </c>
      <c r="AH307">
        <v>0</v>
      </c>
      <c r="AI307">
        <v>4.5580967E-3</v>
      </c>
      <c r="AJ307">
        <v>0</v>
      </c>
      <c r="AK307">
        <v>0</v>
      </c>
      <c r="AL307">
        <v>0.29775277</v>
      </c>
      <c r="AM307">
        <v>0</v>
      </c>
      <c r="AN307">
        <v>0</v>
      </c>
      <c r="AO307">
        <v>0</v>
      </c>
      <c r="AP307">
        <v>-1.8959719999999999E-4</v>
      </c>
      <c r="AQ307" s="163">
        <v>3.3045486E-7</v>
      </c>
      <c r="AR307">
        <v>1.1496776E-2</v>
      </c>
      <c r="AS307" s="163">
        <v>1.5994681E-6</v>
      </c>
      <c r="AT307">
        <v>0</v>
      </c>
      <c r="AU307">
        <v>0</v>
      </c>
      <c r="AV307">
        <v>0</v>
      </c>
      <c r="AW307">
        <v>0</v>
      </c>
      <c r="AX307">
        <v>0</v>
      </c>
    </row>
    <row r="308" spans="1:50">
      <c r="A308" t="s">
        <v>1552</v>
      </c>
      <c r="B308" s="189">
        <f t="shared" si="4"/>
        <v>1.1764862661048222E-2</v>
      </c>
      <c r="C308" s="163">
        <v>1.5077395000000001E-9</v>
      </c>
      <c r="D308" s="163">
        <v>3.0810523000000002E-5</v>
      </c>
      <c r="E308">
        <v>0.20654136000000001</v>
      </c>
      <c r="F308" s="163">
        <v>8.0662373000000002E-10</v>
      </c>
      <c r="G308" s="163">
        <v>4.2250109999999998E-5</v>
      </c>
      <c r="H308" s="163">
        <v>3.4839039999999999E-5</v>
      </c>
      <c r="I308" s="163">
        <v>2.1515406E-5</v>
      </c>
      <c r="J308">
        <v>4.4604120000000004E-3</v>
      </c>
      <c r="K308">
        <v>3.6472843999999999E-3</v>
      </c>
      <c r="L308">
        <v>5.0391439</v>
      </c>
      <c r="M308" s="163">
        <v>9.5916903000000008E-6</v>
      </c>
      <c r="N308">
        <v>0.24899915</v>
      </c>
      <c r="O308">
        <v>0.24899803000000001</v>
      </c>
      <c r="P308" s="163">
        <v>7.3741282000000005E-7</v>
      </c>
      <c r="Q308" s="163">
        <v>3.8308017999999998E-7</v>
      </c>
      <c r="R308" s="163">
        <v>1.0158152E-9</v>
      </c>
      <c r="S308" s="163">
        <v>4.8319724999999999E-5</v>
      </c>
      <c r="T308" s="163">
        <v>3.4519192000000001E-8</v>
      </c>
      <c r="U308" s="163">
        <v>3.5571365000000001E-5</v>
      </c>
      <c r="V308">
        <v>2.2465813E-4</v>
      </c>
      <c r="W308">
        <v>1.2524515000000001E-4</v>
      </c>
      <c r="X308" s="163">
        <v>1.5077589E-9</v>
      </c>
      <c r="Y308">
        <v>6.5040924999999999E-2</v>
      </c>
      <c r="Z308">
        <v>3.5103618999999999E-4</v>
      </c>
      <c r="AA308" s="163">
        <v>1.2341099E-9</v>
      </c>
      <c r="AB308">
        <v>2.8027553999999998E-4</v>
      </c>
      <c r="AC308">
        <v>0.13307921</v>
      </c>
      <c r="AD308" s="163">
        <v>1.9454545000000001E-12</v>
      </c>
      <c r="AE308" s="163">
        <v>1.0097799E-10</v>
      </c>
      <c r="AF308">
        <v>0.25379595999999999</v>
      </c>
      <c r="AG308">
        <v>0</v>
      </c>
      <c r="AH308">
        <v>0</v>
      </c>
      <c r="AI308">
        <v>3.7789939000000002E-4</v>
      </c>
      <c r="AJ308">
        <v>0</v>
      </c>
      <c r="AK308">
        <v>0</v>
      </c>
      <c r="AL308">
        <v>6.9066727999999994E-2</v>
      </c>
      <c r="AM308">
        <v>0</v>
      </c>
      <c r="AN308">
        <v>0</v>
      </c>
      <c r="AO308">
        <v>0</v>
      </c>
      <c r="AP308" s="163">
        <v>8.9373241000000006E-6</v>
      </c>
      <c r="AQ308" s="163">
        <v>2.9081032000000001E-8</v>
      </c>
      <c r="AR308" s="163">
        <v>6.9618037999999994E-5</v>
      </c>
      <c r="AS308" s="163">
        <v>4.5168348999999999E-7</v>
      </c>
      <c r="AT308">
        <v>0</v>
      </c>
      <c r="AU308">
        <v>0</v>
      </c>
      <c r="AV308">
        <v>0</v>
      </c>
      <c r="AW308">
        <v>0</v>
      </c>
      <c r="AX308">
        <v>0</v>
      </c>
    </row>
    <row r="309" spans="1:50">
      <c r="A309" t="s">
        <v>1553</v>
      </c>
      <c r="B309" s="189">
        <f t="shared" si="4"/>
        <v>-0.24547724685730798</v>
      </c>
      <c r="C309" s="163">
        <v>-3.0557180000000002E-7</v>
      </c>
      <c r="D309">
        <v>-3.5989981999999997E-2</v>
      </c>
      <c r="E309">
        <v>-3.1830280000000002</v>
      </c>
      <c r="F309" s="163">
        <v>-5.3056374000000002E-8</v>
      </c>
      <c r="G309">
        <v>-2.8009035000000002E-3</v>
      </c>
      <c r="H309">
        <v>-9.8259301999999993E-3</v>
      </c>
      <c r="I309">
        <v>-8.1537761999999996E-4</v>
      </c>
      <c r="J309">
        <v>-0.27976348000000001</v>
      </c>
      <c r="K309">
        <v>-8.7311425000000005E-3</v>
      </c>
      <c r="L309">
        <v>-28.406908000000001</v>
      </c>
      <c r="M309">
        <v>-6.7574165999999996E-4</v>
      </c>
      <c r="N309">
        <v>-3.3990729000000002</v>
      </c>
      <c r="O309">
        <v>-3.3695371999999999</v>
      </c>
      <c r="P309">
        <v>-2.9529586E-2</v>
      </c>
      <c r="Q309" s="163">
        <v>-6.1107736E-6</v>
      </c>
      <c r="R309" s="163">
        <v>-3.6984255999999998E-8</v>
      </c>
      <c r="S309">
        <v>-1.1593518000000001E-2</v>
      </c>
      <c r="T309" s="163">
        <v>-5.8870255999999997E-5</v>
      </c>
      <c r="U309">
        <v>-1.7436738999999999E-3</v>
      </c>
      <c r="V309">
        <v>-1.8862613E-2</v>
      </c>
      <c r="W309">
        <v>-1.0072671E-2</v>
      </c>
      <c r="X309" s="163">
        <v>-3.0557235999999999E-7</v>
      </c>
      <c r="Y309">
        <v>-74.579509000000002</v>
      </c>
      <c r="Z309">
        <v>-2.5046048999999999</v>
      </c>
      <c r="AA309" s="163">
        <v>-1.0627673000000001E-7</v>
      </c>
      <c r="AB309">
        <v>-5.0576397000000003E-4</v>
      </c>
      <c r="AC309">
        <v>-3.3997017999999999</v>
      </c>
      <c r="AD309" s="163">
        <v>-5.8369707999999998E-10</v>
      </c>
      <c r="AE309" s="163">
        <v>-6.9596624999999999E-9</v>
      </c>
      <c r="AF309">
        <v>-7.8794693999999998E-2</v>
      </c>
      <c r="AG309">
        <v>0</v>
      </c>
      <c r="AH309">
        <v>0</v>
      </c>
      <c r="AI309">
        <v>-0.38645203</v>
      </c>
      <c r="AJ309">
        <v>0</v>
      </c>
      <c r="AK309">
        <v>0</v>
      </c>
      <c r="AL309">
        <v>-80.250726999999998</v>
      </c>
      <c r="AM309">
        <v>0</v>
      </c>
      <c r="AN309">
        <v>0</v>
      </c>
      <c r="AO309">
        <v>0</v>
      </c>
      <c r="AP309">
        <v>-5.8335985E-2</v>
      </c>
      <c r="AQ309" s="163">
        <v>-3.2525462000000001E-7</v>
      </c>
      <c r="AR309">
        <v>-4.1728956999999997E-2</v>
      </c>
      <c r="AS309" s="163">
        <v>-5.4840584000000002E-7</v>
      </c>
      <c r="AT309">
        <v>0</v>
      </c>
      <c r="AU309">
        <v>0</v>
      </c>
      <c r="AV309">
        <v>0</v>
      </c>
      <c r="AW309">
        <v>0</v>
      </c>
      <c r="AX309">
        <v>0</v>
      </c>
    </row>
    <row r="310" spans="1:50">
      <c r="A310" t="s">
        <v>1554</v>
      </c>
      <c r="B310" s="189">
        <f t="shared" si="4"/>
        <v>0.14090895455738067</v>
      </c>
      <c r="C310" s="163">
        <v>3.1143116999999997E-8</v>
      </c>
      <c r="D310">
        <v>1.3581655E-4</v>
      </c>
      <c r="E310">
        <v>2.5536642999999999</v>
      </c>
      <c r="F310" s="163">
        <v>2.1981794000000002E-9</v>
      </c>
      <c r="G310" s="163">
        <v>8.9837288999999994E-6</v>
      </c>
      <c r="H310">
        <v>2.3605657E-4</v>
      </c>
      <c r="I310" s="163">
        <v>9.5638584000000006E-5</v>
      </c>
      <c r="J310">
        <v>6.9973263999999993E-2</v>
      </c>
      <c r="K310">
        <v>2.8937274999999998E-2</v>
      </c>
      <c r="L310">
        <v>42.109918</v>
      </c>
      <c r="M310" s="163">
        <v>7.1552955000000001E-5</v>
      </c>
      <c r="N310">
        <v>2.5546487999999998</v>
      </c>
      <c r="O310">
        <v>2.5545931999999998</v>
      </c>
      <c r="P310" s="163">
        <v>5.1394511999999997E-5</v>
      </c>
      <c r="Q310" s="163">
        <v>4.1880776999999998E-6</v>
      </c>
      <c r="R310" s="163">
        <v>2.5331882999999999E-9</v>
      </c>
      <c r="S310">
        <v>3.3667898999999998E-4</v>
      </c>
      <c r="T310" s="163">
        <v>4.9549317999999999E-7</v>
      </c>
      <c r="U310">
        <v>1.5720614E-4</v>
      </c>
      <c r="V310">
        <v>1.7074359999999999E-3</v>
      </c>
      <c r="W310">
        <v>4.1215331999999998E-4</v>
      </c>
      <c r="X310" s="163">
        <v>3.1150561999999998E-8</v>
      </c>
      <c r="Y310">
        <v>0.25254575000000001</v>
      </c>
      <c r="Z310">
        <v>6.5972642000000003E-3</v>
      </c>
      <c r="AA310" s="163">
        <v>1.6747584E-9</v>
      </c>
      <c r="AB310">
        <v>3.9443835E-4</v>
      </c>
      <c r="AC310">
        <v>0.57207668</v>
      </c>
      <c r="AD310" s="163">
        <v>8.9973836000000005E-11</v>
      </c>
      <c r="AE310" s="163">
        <v>3.5328708999999999E-9</v>
      </c>
      <c r="AF310">
        <v>6.3919184000000004E-2</v>
      </c>
      <c r="AG310">
        <v>0</v>
      </c>
      <c r="AH310">
        <v>0</v>
      </c>
      <c r="AI310">
        <v>4.8551792000000003E-3</v>
      </c>
      <c r="AJ310">
        <v>0</v>
      </c>
      <c r="AK310">
        <v>0</v>
      </c>
      <c r="AL310">
        <v>0.27514843999999999</v>
      </c>
      <c r="AM310">
        <v>0</v>
      </c>
      <c r="AN310">
        <v>0</v>
      </c>
      <c r="AO310">
        <v>0</v>
      </c>
      <c r="AP310">
        <v>1.5866084000000001E-4</v>
      </c>
      <c r="AQ310" s="163">
        <v>2.5948738000000002E-6</v>
      </c>
      <c r="AR310">
        <v>2.4010362E-2</v>
      </c>
      <c r="AS310" s="163">
        <v>5.3999274000000005E-7</v>
      </c>
      <c r="AT310">
        <v>0</v>
      </c>
      <c r="AU310">
        <v>0</v>
      </c>
      <c r="AV310">
        <v>0</v>
      </c>
      <c r="AW310">
        <v>0</v>
      </c>
      <c r="AX310">
        <v>0</v>
      </c>
    </row>
    <row r="311" spans="1:50">
      <c r="A311" t="s">
        <v>1555</v>
      </c>
      <c r="B311" s="189">
        <f t="shared" si="4"/>
        <v>0.16672827938090087</v>
      </c>
      <c r="C311" s="163">
        <v>3.4536874E-8</v>
      </c>
      <c r="D311">
        <v>1.5624730999999999E-4</v>
      </c>
      <c r="E311">
        <v>3.0235029999999998</v>
      </c>
      <c r="F311" s="163">
        <v>2.5371026999999999E-9</v>
      </c>
      <c r="G311" s="163">
        <v>9.3807301000000002E-6</v>
      </c>
      <c r="H311">
        <v>2.7687672000000001E-4</v>
      </c>
      <c r="I311">
        <v>1.1282196E-4</v>
      </c>
      <c r="J311">
        <v>8.1867005000000007E-2</v>
      </c>
      <c r="K311">
        <v>3.4265921999999997E-2</v>
      </c>
      <c r="L311">
        <v>49.854982</v>
      </c>
      <c r="M311" s="163">
        <v>8.1264702E-5</v>
      </c>
      <c r="N311">
        <v>3.0246230000000001</v>
      </c>
      <c r="O311">
        <v>3.0245589000000002</v>
      </c>
      <c r="P311" s="163">
        <v>5.9422855E-5</v>
      </c>
      <c r="Q311" s="163">
        <v>4.7137043000000002E-6</v>
      </c>
      <c r="R311" s="163">
        <v>2.9229607999999998E-9</v>
      </c>
      <c r="S311">
        <v>3.9538753000000002E-4</v>
      </c>
      <c r="T311" s="163">
        <v>5.3961329000000002E-7</v>
      </c>
      <c r="U311">
        <v>1.8546177E-4</v>
      </c>
      <c r="V311">
        <v>2.0137523999999999E-3</v>
      </c>
      <c r="W311">
        <v>4.8394102999999998E-4</v>
      </c>
      <c r="X311" s="163">
        <v>3.4545649000000001E-8</v>
      </c>
      <c r="Y311">
        <v>0.29087460999999998</v>
      </c>
      <c r="Z311">
        <v>1.1271223E-2</v>
      </c>
      <c r="AA311" s="163">
        <v>1.677189E-9</v>
      </c>
      <c r="AB311">
        <v>4.4276464E-4</v>
      </c>
      <c r="AC311">
        <v>0.66158826000000004</v>
      </c>
      <c r="AD311" s="163">
        <v>1.0332013E-10</v>
      </c>
      <c r="AE311" s="163">
        <v>4.1439256E-9</v>
      </c>
      <c r="AF311">
        <v>7.1867548000000003E-2</v>
      </c>
      <c r="AG311">
        <v>0</v>
      </c>
      <c r="AH311">
        <v>0</v>
      </c>
      <c r="AI311">
        <v>5.4086539000000001E-3</v>
      </c>
      <c r="AJ311">
        <v>0</v>
      </c>
      <c r="AK311">
        <v>0</v>
      </c>
      <c r="AL311">
        <v>0.31714289000000001</v>
      </c>
      <c r="AM311">
        <v>0</v>
      </c>
      <c r="AN311">
        <v>0</v>
      </c>
      <c r="AO311">
        <v>0</v>
      </c>
      <c r="AP311">
        <v>2.6791792000000001E-4</v>
      </c>
      <c r="AQ311" s="163">
        <v>3.0411733999999999E-6</v>
      </c>
      <c r="AR311">
        <v>2.7285098000000001E-2</v>
      </c>
      <c r="AS311" s="163">
        <v>6.0605106999999997E-7</v>
      </c>
      <c r="AT311">
        <v>0</v>
      </c>
      <c r="AU311">
        <v>0</v>
      </c>
      <c r="AV311">
        <v>0</v>
      </c>
      <c r="AW311">
        <v>0</v>
      </c>
      <c r="AX311">
        <v>0</v>
      </c>
    </row>
    <row r="312" spans="1:50">
      <c r="A312" t="s">
        <v>1556</v>
      </c>
      <c r="B312" s="189">
        <f t="shared" si="4"/>
        <v>0.14631714752275657</v>
      </c>
      <c r="C312" s="163">
        <v>7.2290791000000005E-8</v>
      </c>
      <c r="D312">
        <v>1.6300206000000001E-4</v>
      </c>
      <c r="E312">
        <v>2.8467761</v>
      </c>
      <c r="F312" s="163">
        <v>3.679469E-9</v>
      </c>
      <c r="G312" s="163">
        <v>1.1432134E-5</v>
      </c>
      <c r="H312">
        <v>1.8345909000000001E-4</v>
      </c>
      <c r="I312" s="163">
        <v>7.8276965E-5</v>
      </c>
      <c r="J312">
        <v>2.0934999999999999E-2</v>
      </c>
      <c r="K312">
        <v>8.4435515999999999E-3</v>
      </c>
      <c r="L312">
        <v>3.4983080000000002</v>
      </c>
      <c r="M312" s="163">
        <v>6.0993026000000001E-5</v>
      </c>
      <c r="N312">
        <v>2.8473082000000001</v>
      </c>
      <c r="O312">
        <v>2.847235</v>
      </c>
      <c r="P312" s="163">
        <v>6.3993517999999999E-5</v>
      </c>
      <c r="Q312" s="163">
        <v>9.1847864000000004E-6</v>
      </c>
      <c r="R312" s="163">
        <v>3.9851507999999999E-9</v>
      </c>
      <c r="S312">
        <v>2.6217207000000001E-4</v>
      </c>
      <c r="T312" s="163">
        <v>1.3066675E-5</v>
      </c>
      <c r="U312" s="163">
        <v>8.9325018999999995E-5</v>
      </c>
      <c r="V312">
        <v>1.1524370000000001E-3</v>
      </c>
      <c r="W312">
        <v>2.4712109000000001E-4</v>
      </c>
      <c r="X312" s="163">
        <v>7.2294779000000005E-8</v>
      </c>
      <c r="Y312">
        <v>0.30139674</v>
      </c>
      <c r="Z312">
        <v>3.8266690999999999E-2</v>
      </c>
      <c r="AA312" s="163">
        <v>1.0912359000000001E-8</v>
      </c>
      <c r="AB312">
        <v>6.3838871999999998E-4</v>
      </c>
      <c r="AC312">
        <v>0.97048568000000002</v>
      </c>
      <c r="AD312" s="163">
        <v>2.5942529000000001E-10</v>
      </c>
      <c r="AE312" s="163">
        <v>3.6074508999999999E-9</v>
      </c>
      <c r="AF312">
        <v>0.10172382000000001</v>
      </c>
      <c r="AG312">
        <v>0</v>
      </c>
      <c r="AH312">
        <v>0</v>
      </c>
      <c r="AI312">
        <v>1.2587048999999999E-2</v>
      </c>
      <c r="AJ312">
        <v>0</v>
      </c>
      <c r="AK312">
        <v>0</v>
      </c>
      <c r="AL312">
        <v>0.32611996999999998</v>
      </c>
      <c r="AM312">
        <v>0</v>
      </c>
      <c r="AN312">
        <v>0</v>
      </c>
      <c r="AO312">
        <v>0</v>
      </c>
      <c r="AP312">
        <v>9.1007456000000001E-4</v>
      </c>
      <c r="AQ312" s="163">
        <v>5.1870106E-6</v>
      </c>
      <c r="AR312">
        <v>3.5555576999999998E-2</v>
      </c>
      <c r="AS312" s="163">
        <v>7.6217214999999997E-7</v>
      </c>
      <c r="AT312">
        <v>0</v>
      </c>
      <c r="AU312">
        <v>0</v>
      </c>
      <c r="AV312">
        <v>0</v>
      </c>
      <c r="AW312">
        <v>0</v>
      </c>
      <c r="AX312">
        <v>0</v>
      </c>
    </row>
    <row r="313" spans="1:50">
      <c r="A313" t="s">
        <v>1557</v>
      </c>
      <c r="B313" s="189">
        <f t="shared" si="4"/>
        <v>1.1988969947446223E-2</v>
      </c>
      <c r="C313" s="163">
        <v>1.5077395000000001E-9</v>
      </c>
      <c r="D313" s="163">
        <v>3.0810523000000002E-5</v>
      </c>
      <c r="E313">
        <v>0.16596533999999999</v>
      </c>
      <c r="F313" s="163">
        <v>8.0662373000000002E-10</v>
      </c>
      <c r="G313" s="163">
        <v>3.4661191999999998E-5</v>
      </c>
      <c r="H313" s="163">
        <v>3.4335392000000001E-5</v>
      </c>
      <c r="I313" s="163">
        <v>1.7214587000000001E-5</v>
      </c>
      <c r="J313">
        <v>9.6464583000000007E-3</v>
      </c>
      <c r="K313">
        <v>1.8283397E-2</v>
      </c>
      <c r="L313">
        <v>19.072883999999998</v>
      </c>
      <c r="M313" s="163">
        <v>3.0338636E-6</v>
      </c>
      <c r="N313">
        <v>0.19990799000000001</v>
      </c>
      <c r="O313">
        <v>0.19990686999999999</v>
      </c>
      <c r="P313" s="163">
        <v>7.3741282000000005E-7</v>
      </c>
      <c r="Q313" s="163">
        <v>3.8308017999999998E-7</v>
      </c>
      <c r="R313" s="163">
        <v>1.0158152E-9</v>
      </c>
      <c r="S313" s="163">
        <v>4.7767656E-5</v>
      </c>
      <c r="T313" s="163">
        <v>3.4519192000000001E-8</v>
      </c>
      <c r="U313" s="163">
        <v>2.8968003999999999E-5</v>
      </c>
      <c r="V313">
        <v>2.2460868E-4</v>
      </c>
      <c r="W313">
        <v>1.1245874E-4</v>
      </c>
      <c r="X313" s="163">
        <v>1.5077589E-9</v>
      </c>
      <c r="Y313">
        <v>6.5040924999999999E-2</v>
      </c>
      <c r="Z313">
        <v>3.5103618999999999E-4</v>
      </c>
      <c r="AA313" s="163">
        <v>1.2336968E-9</v>
      </c>
      <c r="AB313">
        <v>2.8027553999999998E-4</v>
      </c>
      <c r="AC313">
        <v>8.8677066999999998E-2</v>
      </c>
      <c r="AD313" s="163">
        <v>1.4592588000000001E-12</v>
      </c>
      <c r="AE313" s="163">
        <v>7.5280750000000004E-11</v>
      </c>
      <c r="AF313">
        <v>0.25379595999999999</v>
      </c>
      <c r="AG313">
        <v>0</v>
      </c>
      <c r="AH313">
        <v>0</v>
      </c>
      <c r="AI313">
        <v>3.7789939000000002E-4</v>
      </c>
      <c r="AJ313">
        <v>0</v>
      </c>
      <c r="AK313">
        <v>0</v>
      </c>
      <c r="AL313">
        <v>6.9066727999999994E-2</v>
      </c>
      <c r="AM313">
        <v>0</v>
      </c>
      <c r="AN313">
        <v>0</v>
      </c>
      <c r="AO313">
        <v>0</v>
      </c>
      <c r="AP313" s="163">
        <v>8.9373241000000006E-6</v>
      </c>
      <c r="AQ313" s="163">
        <v>2.9081032000000001E-8</v>
      </c>
      <c r="AR313" s="163">
        <v>6.9618037999999994E-5</v>
      </c>
      <c r="AS313" s="163">
        <v>4.5168348999999999E-7</v>
      </c>
      <c r="AT313">
        <v>0</v>
      </c>
      <c r="AU313">
        <v>0</v>
      </c>
      <c r="AV313">
        <v>0</v>
      </c>
      <c r="AW313">
        <v>0</v>
      </c>
      <c r="AX313">
        <v>0</v>
      </c>
    </row>
    <row r="314" spans="1:50">
      <c r="A314" t="s">
        <v>1558</v>
      </c>
      <c r="B314" s="189">
        <f t="shared" si="4"/>
        <v>1.4089304889168222E-2</v>
      </c>
      <c r="C314" s="163">
        <v>1.5077395000000001E-9</v>
      </c>
      <c r="D314" s="163">
        <v>3.0810523000000002E-5</v>
      </c>
      <c r="E314">
        <v>0.19573333000000001</v>
      </c>
      <c r="F314" s="163">
        <v>8.0662373000000002E-10</v>
      </c>
      <c r="G314" s="163">
        <v>4.0218349000000002E-5</v>
      </c>
      <c r="H314" s="163">
        <v>3.4440694000000001E-5</v>
      </c>
      <c r="I314" s="163">
        <v>1.8987144E-5</v>
      </c>
      <c r="J314">
        <v>1.112843E-2</v>
      </c>
      <c r="K314">
        <v>2.1648708999999999E-2</v>
      </c>
      <c r="L314">
        <v>22.573944000000001</v>
      </c>
      <c r="M314" s="163">
        <v>3.1020922999999999E-6</v>
      </c>
      <c r="N314">
        <v>0.23592311999999999</v>
      </c>
      <c r="O314">
        <v>0.23592199999999999</v>
      </c>
      <c r="P314" s="163">
        <v>7.3741282000000005E-7</v>
      </c>
      <c r="Q314" s="163">
        <v>3.8308017999999998E-7</v>
      </c>
      <c r="R314" s="163">
        <v>1.0158152E-9</v>
      </c>
      <c r="S314" s="163">
        <v>4.7883148E-5</v>
      </c>
      <c r="T314" s="163">
        <v>3.4519192000000001E-8</v>
      </c>
      <c r="U314" s="163">
        <v>3.0541055999999998E-5</v>
      </c>
      <c r="V314">
        <v>2.2462046000000001E-4</v>
      </c>
      <c r="W314">
        <v>1.2181607000000001E-4</v>
      </c>
      <c r="X314" s="163">
        <v>1.5077589E-9</v>
      </c>
      <c r="Y314">
        <v>6.5040924999999999E-2</v>
      </c>
      <c r="Z314">
        <v>3.5103618999999999E-4</v>
      </c>
      <c r="AA314" s="163">
        <v>1.2337831E-9</v>
      </c>
      <c r="AB314">
        <v>2.8027553999999998E-4</v>
      </c>
      <c r="AC314">
        <v>9.8237961999999998E-2</v>
      </c>
      <c r="AD314" s="163">
        <v>1.4938145E-12</v>
      </c>
      <c r="AE314" s="163">
        <v>8.3239053999999998E-11</v>
      </c>
      <c r="AF314">
        <v>0.25379595999999999</v>
      </c>
      <c r="AG314">
        <v>0</v>
      </c>
      <c r="AH314">
        <v>0</v>
      </c>
      <c r="AI314">
        <v>3.7789939000000002E-4</v>
      </c>
      <c r="AJ314">
        <v>0</v>
      </c>
      <c r="AK314">
        <v>0</v>
      </c>
      <c r="AL314">
        <v>6.9066727999999994E-2</v>
      </c>
      <c r="AM314">
        <v>0</v>
      </c>
      <c r="AN314">
        <v>0</v>
      </c>
      <c r="AO314">
        <v>0</v>
      </c>
      <c r="AP314" s="163">
        <v>8.9373241000000006E-6</v>
      </c>
      <c r="AQ314" s="163">
        <v>2.9081032000000001E-8</v>
      </c>
      <c r="AR314" s="163">
        <v>6.9618037999999994E-5</v>
      </c>
      <c r="AS314" s="163">
        <v>4.5168348999999999E-7</v>
      </c>
      <c r="AT314">
        <v>0</v>
      </c>
      <c r="AU314">
        <v>0</v>
      </c>
      <c r="AV314">
        <v>0</v>
      </c>
      <c r="AW314">
        <v>0</v>
      </c>
      <c r="AX314">
        <v>0</v>
      </c>
    </row>
    <row r="315" spans="1:50">
      <c r="A315" t="s">
        <v>1559</v>
      </c>
      <c r="B315" s="189">
        <f t="shared" si="4"/>
        <v>4.9451855363458006E-3</v>
      </c>
      <c r="C315" s="163">
        <v>4.6833537999999999E-7</v>
      </c>
      <c r="D315">
        <v>1.6337740000000001E-4</v>
      </c>
      <c r="E315">
        <v>2.4410340999999999E-2</v>
      </c>
      <c r="F315" s="163">
        <v>3.1098874999999999E-9</v>
      </c>
      <c r="G315" s="163">
        <v>2.0282213999999999E-5</v>
      </c>
      <c r="H315">
        <v>2.2079091E-4</v>
      </c>
      <c r="I315" s="163">
        <v>4.9558592000000002E-5</v>
      </c>
      <c r="J315">
        <v>2.3784774000000002E-2</v>
      </c>
      <c r="K315">
        <v>3.5025232999999999E-4</v>
      </c>
      <c r="L315">
        <v>1.7273565</v>
      </c>
      <c r="M315" s="163">
        <v>7.8859935999999999E-5</v>
      </c>
      <c r="N315">
        <v>2.3304024E-2</v>
      </c>
      <c r="O315">
        <v>2.4692229E-2</v>
      </c>
      <c r="P315">
        <v>-1.4147350000000001E-3</v>
      </c>
      <c r="Q315" s="163">
        <v>2.6530036E-5</v>
      </c>
      <c r="R315" s="163">
        <v>3.6100030999999999E-9</v>
      </c>
      <c r="S315">
        <v>2.8005339000000001E-4</v>
      </c>
      <c r="T315" s="163">
        <v>7.8781624999999993E-6</v>
      </c>
      <c r="U315" s="163">
        <v>6.4406316000000004E-5</v>
      </c>
      <c r="V315">
        <v>7.7083318E-4</v>
      </c>
      <c r="W315">
        <v>2.0138936999999999E-4</v>
      </c>
      <c r="X315" s="163">
        <v>4.6835922000000002E-7</v>
      </c>
      <c r="Y315">
        <v>0.35205185999999999</v>
      </c>
      <c r="Z315">
        <v>4.6701229000000004E-3</v>
      </c>
      <c r="AA315" s="163">
        <v>3.723816E-9</v>
      </c>
      <c r="AB315">
        <v>1.7789990000000001E-3</v>
      </c>
      <c r="AC315">
        <v>0.93480742000000006</v>
      </c>
      <c r="AD315" s="163">
        <v>2.7857122000000001E-11</v>
      </c>
      <c r="AE315" s="163">
        <v>1.1391763000000001E-9</v>
      </c>
      <c r="AF315">
        <v>0.67992989999999998</v>
      </c>
      <c r="AG315">
        <v>0</v>
      </c>
      <c r="AH315">
        <v>0</v>
      </c>
      <c r="AI315">
        <v>5.2011889999999998E-2</v>
      </c>
      <c r="AJ315">
        <v>0</v>
      </c>
      <c r="AK315">
        <v>0</v>
      </c>
      <c r="AL315">
        <v>0.37270721000000001</v>
      </c>
      <c r="AM315">
        <v>0</v>
      </c>
      <c r="AN315">
        <v>0</v>
      </c>
      <c r="AO315">
        <v>0</v>
      </c>
      <c r="AP315">
        <v>1.7550296999999999E-4</v>
      </c>
      <c r="AQ315" s="163">
        <v>7.1755996999999997E-7</v>
      </c>
      <c r="AR315">
        <v>9.7018377000000003E-3</v>
      </c>
      <c r="AS315" s="163">
        <v>2.1329283000000001E-6</v>
      </c>
      <c r="AT315">
        <v>0</v>
      </c>
      <c r="AU315">
        <v>0</v>
      </c>
      <c r="AV315">
        <v>0</v>
      </c>
      <c r="AW315">
        <v>0</v>
      </c>
      <c r="AX315">
        <v>0</v>
      </c>
    </row>
    <row r="316" spans="1:50">
      <c r="A316" t="s">
        <v>1560</v>
      </c>
      <c r="B316" s="189">
        <f t="shared" si="4"/>
        <v>-5.326726777571901E-2</v>
      </c>
      <c r="C316" s="163">
        <v>-6.3119770999999999E-5</v>
      </c>
      <c r="D316">
        <v>-1.6817976000000001E-3</v>
      </c>
      <c r="E316">
        <v>-0.85428101000000001</v>
      </c>
      <c r="F316" s="163">
        <v>-7.3114053000000002E-9</v>
      </c>
      <c r="G316">
        <v>-1.2324626E-4</v>
      </c>
      <c r="H316">
        <v>-1.0421429999999999E-3</v>
      </c>
      <c r="I316">
        <v>-2.7291757999999998E-4</v>
      </c>
      <c r="J316">
        <v>-2.9256773E-2</v>
      </c>
      <c r="K316">
        <v>-8.3493010000000004E-4</v>
      </c>
      <c r="L316">
        <v>-6.9649048000000002</v>
      </c>
      <c r="M316">
        <v>-7.9734102000000005E-4</v>
      </c>
      <c r="N316">
        <v>0</v>
      </c>
      <c r="O316">
        <v>0</v>
      </c>
      <c r="P316">
        <v>0</v>
      </c>
      <c r="Q316">
        <v>0</v>
      </c>
      <c r="R316">
        <v>0</v>
      </c>
      <c r="S316">
        <v>0</v>
      </c>
      <c r="T316">
        <v>0</v>
      </c>
      <c r="U316">
        <v>0</v>
      </c>
      <c r="V316">
        <v>0</v>
      </c>
      <c r="W316">
        <v>0</v>
      </c>
      <c r="X316">
        <v>0</v>
      </c>
      <c r="Y316">
        <v>0</v>
      </c>
      <c r="Z316">
        <v>0</v>
      </c>
      <c r="AA316">
        <v>0</v>
      </c>
      <c r="AB316">
        <v>0</v>
      </c>
      <c r="AC316">
        <v>0</v>
      </c>
      <c r="AD316">
        <v>0</v>
      </c>
      <c r="AE316">
        <v>0</v>
      </c>
      <c r="AF316">
        <v>0</v>
      </c>
      <c r="AG316">
        <v>0</v>
      </c>
      <c r="AH316">
        <v>0</v>
      </c>
      <c r="AI316">
        <v>-0.13791459</v>
      </c>
      <c r="AJ316">
        <v>0</v>
      </c>
      <c r="AK316">
        <v>0</v>
      </c>
      <c r="AL316">
        <v>-2.7324633</v>
      </c>
      <c r="AM316">
        <v>0</v>
      </c>
      <c r="AN316">
        <v>0</v>
      </c>
      <c r="AO316">
        <v>0</v>
      </c>
      <c r="AP316">
        <v>-1.2572251000000001E-3</v>
      </c>
      <c r="AQ316" s="163">
        <v>-1.8611622E-5</v>
      </c>
      <c r="AR316">
        <v>-1.1223346E-2</v>
      </c>
      <c r="AS316">
        <v>0</v>
      </c>
      <c r="AT316">
        <v>0</v>
      </c>
      <c r="AU316">
        <v>0</v>
      </c>
      <c r="AV316">
        <v>0</v>
      </c>
      <c r="AW316">
        <v>0</v>
      </c>
      <c r="AX316">
        <v>0</v>
      </c>
    </row>
    <row r="317" spans="1:50">
      <c r="A317" t="s">
        <v>1561</v>
      </c>
      <c r="B317" s="189">
        <f t="shared" si="4"/>
        <v>-2.9818592278520007E-2</v>
      </c>
      <c r="C317">
        <v>-1.0899787999999999E-4</v>
      </c>
      <c r="D317">
        <v>-1.0493912000000001E-3</v>
      </c>
      <c r="E317">
        <v>-0.43918114000000003</v>
      </c>
      <c r="F317" s="163">
        <v>-8.3599740000000001E-9</v>
      </c>
      <c r="G317" s="163">
        <v>-6.8103758999999998E-5</v>
      </c>
      <c r="H317">
        <v>-7.8564675000000002E-4</v>
      </c>
      <c r="I317">
        <v>-1.5473630000000001E-4</v>
      </c>
      <c r="J317">
        <v>-2.4581263999999999E-2</v>
      </c>
      <c r="K317">
        <v>-5.8285786999999999E-4</v>
      </c>
      <c r="L317">
        <v>-7.4333080999999996</v>
      </c>
      <c r="M317">
        <v>-4.8984503999999999E-4</v>
      </c>
      <c r="N317">
        <v>0</v>
      </c>
      <c r="O317">
        <v>0</v>
      </c>
      <c r="P317">
        <v>0</v>
      </c>
      <c r="Q317">
        <v>0</v>
      </c>
      <c r="R317">
        <v>0</v>
      </c>
      <c r="S317">
        <v>0</v>
      </c>
      <c r="T317">
        <v>0</v>
      </c>
      <c r="U317">
        <v>0</v>
      </c>
      <c r="V317">
        <v>0</v>
      </c>
      <c r="W317">
        <v>0</v>
      </c>
      <c r="X317">
        <v>0</v>
      </c>
      <c r="Y317">
        <v>0</v>
      </c>
      <c r="Z317">
        <v>0</v>
      </c>
      <c r="AA317">
        <v>0</v>
      </c>
      <c r="AB317">
        <v>0</v>
      </c>
      <c r="AC317">
        <v>0</v>
      </c>
      <c r="AD317">
        <v>0</v>
      </c>
      <c r="AE317">
        <v>0</v>
      </c>
      <c r="AF317">
        <v>0</v>
      </c>
      <c r="AG317">
        <v>0</v>
      </c>
      <c r="AH317">
        <v>0</v>
      </c>
      <c r="AI317">
        <v>-0.10733333</v>
      </c>
      <c r="AJ317">
        <v>0</v>
      </c>
      <c r="AK317">
        <v>0</v>
      </c>
      <c r="AL317">
        <v>-1.7</v>
      </c>
      <c r="AM317">
        <v>0</v>
      </c>
      <c r="AN317">
        <v>0</v>
      </c>
      <c r="AO317">
        <v>0</v>
      </c>
      <c r="AP317">
        <v>-4.5033333000000001E-4</v>
      </c>
      <c r="AQ317" s="163">
        <v>-8.3666667000000006E-6</v>
      </c>
      <c r="AR317">
        <v>-6.5533333000000003E-3</v>
      </c>
      <c r="AS317">
        <v>0</v>
      </c>
      <c r="AT317">
        <v>0</v>
      </c>
      <c r="AU317">
        <v>0</v>
      </c>
      <c r="AV317">
        <v>0</v>
      </c>
      <c r="AW317">
        <v>0</v>
      </c>
      <c r="AX317">
        <v>0</v>
      </c>
    </row>
    <row r="318" spans="1:50">
      <c r="A318" t="s">
        <v>1562</v>
      </c>
      <c r="B318" s="189">
        <f t="shared" si="4"/>
        <v>-1.9116231646000008E-2</v>
      </c>
      <c r="C318" s="163">
        <v>-4.3100000000000002E-8</v>
      </c>
      <c r="D318">
        <v>-7.8450000000000004E-4</v>
      </c>
      <c r="E318">
        <v>-0.27450000000000002</v>
      </c>
      <c r="F318" s="163">
        <v>-6.8249999999999999E-9</v>
      </c>
      <c r="G318" s="163">
        <v>-5.5300000000000002E-5</v>
      </c>
      <c r="H318">
        <v>-5.5150000000000002E-4</v>
      </c>
      <c r="I318">
        <v>-1.0315E-4</v>
      </c>
      <c r="J318">
        <v>-1.985E-2</v>
      </c>
      <c r="K318">
        <v>-4.55E-4</v>
      </c>
      <c r="L318">
        <v>-1.925</v>
      </c>
      <c r="M318">
        <v>-4.6500000000000003E-4</v>
      </c>
      <c r="N318">
        <v>0</v>
      </c>
      <c r="O318">
        <v>0</v>
      </c>
      <c r="P318">
        <v>0</v>
      </c>
      <c r="Q318">
        <v>0</v>
      </c>
      <c r="R318">
        <v>0</v>
      </c>
      <c r="S318">
        <v>0</v>
      </c>
      <c r="T318">
        <v>0</v>
      </c>
      <c r="U318">
        <v>0</v>
      </c>
      <c r="V318">
        <v>0</v>
      </c>
      <c r="W318">
        <v>0</v>
      </c>
      <c r="X318">
        <v>0</v>
      </c>
      <c r="Y318">
        <v>0</v>
      </c>
      <c r="Z318">
        <v>0</v>
      </c>
      <c r="AA318">
        <v>0</v>
      </c>
      <c r="AB318">
        <v>0</v>
      </c>
      <c r="AC318">
        <v>0</v>
      </c>
      <c r="AD318">
        <v>0</v>
      </c>
      <c r="AE318">
        <v>0</v>
      </c>
      <c r="AF318">
        <v>0</v>
      </c>
      <c r="AG318">
        <v>0</v>
      </c>
      <c r="AH318">
        <v>0</v>
      </c>
      <c r="AI318">
        <v>-9.7699999999999995E-2</v>
      </c>
      <c r="AJ318">
        <v>0</v>
      </c>
      <c r="AK318">
        <v>0</v>
      </c>
      <c r="AL318">
        <v>-1.605</v>
      </c>
      <c r="AM318">
        <v>0</v>
      </c>
      <c r="AN318">
        <v>0</v>
      </c>
      <c r="AO318">
        <v>0</v>
      </c>
      <c r="AP318">
        <v>-4.4749999999999998E-4</v>
      </c>
      <c r="AQ318" s="163">
        <v>-7.7999999999999999E-6</v>
      </c>
      <c r="AR318">
        <v>-6.8900000000000003E-3</v>
      </c>
      <c r="AS318">
        <v>0</v>
      </c>
      <c r="AT318">
        <v>0</v>
      </c>
      <c r="AU318">
        <v>0</v>
      </c>
      <c r="AV318">
        <v>0</v>
      </c>
      <c r="AW318">
        <v>0</v>
      </c>
      <c r="AX318">
        <v>0</v>
      </c>
    </row>
    <row r="319" spans="1:50">
      <c r="A319" t="s">
        <v>1563</v>
      </c>
      <c r="B319" s="189">
        <f t="shared" si="4"/>
        <v>-1.6097512612783997E-3</v>
      </c>
      <c r="C319" s="163">
        <v>-2.0712879999999999E-7</v>
      </c>
      <c r="D319" s="163">
        <v>-4.6567231999999998E-5</v>
      </c>
      <c r="E319">
        <v>-7.2267711000000004E-3</v>
      </c>
      <c r="F319" s="163">
        <v>-7.9703268000000003E-10</v>
      </c>
      <c r="G319" s="163">
        <v>-7.3770200000000004E-6</v>
      </c>
      <c r="H319" s="163">
        <v>-5.4784200000000003E-5</v>
      </c>
      <c r="I319" s="163">
        <v>-1.2277416000000001E-5</v>
      </c>
      <c r="J319">
        <v>-9.5422793999999991E-3</v>
      </c>
      <c r="K319" s="163">
        <v>-9.7218886999999996E-5</v>
      </c>
      <c r="L319">
        <v>-0.31471371999999997</v>
      </c>
      <c r="M319" s="163">
        <v>-5.5403815999999997E-5</v>
      </c>
      <c r="N319">
        <v>-7.3413460999999999E-3</v>
      </c>
      <c r="O319">
        <v>-7.3732075000000003E-3</v>
      </c>
      <c r="P319" s="163">
        <v>3.9179323999999998E-5</v>
      </c>
      <c r="Q319" s="163">
        <v>-7.3179063000000003E-6</v>
      </c>
      <c r="R319" s="163">
        <v>-9.5314793000000005E-10</v>
      </c>
      <c r="S319" s="163">
        <v>-7.3281314999999993E-5</v>
      </c>
      <c r="T319" s="163">
        <v>-1.4269573E-6</v>
      </c>
      <c r="U319" s="163">
        <v>-1.8717409999999999E-5</v>
      </c>
      <c r="V319">
        <v>-2.4616414999999999E-4</v>
      </c>
      <c r="W319" s="163">
        <v>-6.1268891000000001E-5</v>
      </c>
      <c r="X319" s="163">
        <v>-2.0713130000000001E-7</v>
      </c>
      <c r="Y319">
        <v>-8.9165441999999998E-2</v>
      </c>
      <c r="Z319">
        <v>-1.8960175E-3</v>
      </c>
      <c r="AA319" s="163">
        <v>-1.2381940999999999E-9</v>
      </c>
      <c r="AB319">
        <v>-3.135112E-4</v>
      </c>
      <c r="AC319">
        <v>-0.22740598000000001</v>
      </c>
      <c r="AD319" s="163">
        <v>-2.1771468E-11</v>
      </c>
      <c r="AE319" s="163">
        <v>-3.7789568999999999E-10</v>
      </c>
      <c r="AF319">
        <v>-0.11345441000000001</v>
      </c>
      <c r="AG319">
        <v>0</v>
      </c>
      <c r="AH319">
        <v>0</v>
      </c>
      <c r="AI319">
        <v>-5.7785160999999996E-3</v>
      </c>
      <c r="AJ319">
        <v>0</v>
      </c>
      <c r="AK319">
        <v>0</v>
      </c>
      <c r="AL319">
        <v>-9.4766058E-2</v>
      </c>
      <c r="AM319">
        <v>0</v>
      </c>
      <c r="AN319">
        <v>0</v>
      </c>
      <c r="AO319">
        <v>0</v>
      </c>
      <c r="AP319" s="163">
        <v>-5.3905988000000002E-5</v>
      </c>
      <c r="AQ319" s="163">
        <v>-2.8137694000000001E-7</v>
      </c>
      <c r="AR319">
        <v>-1.8906876E-3</v>
      </c>
      <c r="AS319" s="163">
        <v>-4.3023925999999998E-7</v>
      </c>
      <c r="AT319">
        <v>0</v>
      </c>
      <c r="AU319">
        <v>0</v>
      </c>
      <c r="AV319">
        <v>0</v>
      </c>
      <c r="AW319">
        <v>0</v>
      </c>
      <c r="AX319">
        <v>0</v>
      </c>
    </row>
    <row r="320" spans="1:50">
      <c r="A320" t="s">
        <v>1564</v>
      </c>
      <c r="B320" s="189">
        <f t="shared" si="4"/>
        <v>-6.0018734882882402E-3</v>
      </c>
      <c r="C320" s="163">
        <v>-4.3929538999999999E-8</v>
      </c>
      <c r="D320">
        <v>-2.9681853999999997E-4</v>
      </c>
      <c r="E320">
        <v>-4.2309210999999999E-2</v>
      </c>
      <c r="F320" s="163">
        <v>-7.3018753999999998E-9</v>
      </c>
      <c r="G320" s="163">
        <v>-3.6713659999999998E-5</v>
      </c>
      <c r="H320">
        <v>-3.9726589000000002E-4</v>
      </c>
      <c r="I320" s="163">
        <v>-6.3823244999999999E-5</v>
      </c>
      <c r="J320">
        <v>-1.6332408E-2</v>
      </c>
      <c r="K320">
        <v>-3.1793305999999998E-4</v>
      </c>
      <c r="L320">
        <v>-1.1950451</v>
      </c>
      <c r="M320" s="163">
        <v>-4.7276335000000002E-5</v>
      </c>
      <c r="N320">
        <v>-4.2780366E-2</v>
      </c>
      <c r="O320">
        <v>-4.2725802E-2</v>
      </c>
      <c r="P320" s="163">
        <v>-3.5813518999999997E-5</v>
      </c>
      <c r="Q320" s="163">
        <v>-1.8750954000000001E-5</v>
      </c>
      <c r="R320" s="163">
        <v>-9.1117143000000007E-9</v>
      </c>
      <c r="S320">
        <v>-5.1908749999999995E-4</v>
      </c>
      <c r="T320" s="163">
        <v>-6.5828573000000002E-7</v>
      </c>
      <c r="U320">
        <v>-1.6565505999999999E-4</v>
      </c>
      <c r="V320">
        <v>-1.8408649000000001E-3</v>
      </c>
      <c r="W320">
        <v>-4.975464E-4</v>
      </c>
      <c r="X320" s="163">
        <v>-4.3928204999999997E-8</v>
      </c>
      <c r="Y320">
        <v>-0.62448530999999996</v>
      </c>
      <c r="Z320">
        <v>-4.2582773000000001E-3</v>
      </c>
      <c r="AA320" s="163">
        <v>-6.2306593000000003E-9</v>
      </c>
      <c r="AB320">
        <v>-2.7575004000000001E-3</v>
      </c>
      <c r="AC320">
        <v>-0.41382169000000002</v>
      </c>
      <c r="AD320" s="163">
        <v>-1.6037070999999999E-11</v>
      </c>
      <c r="AE320" s="163">
        <v>-4.0381482999999998E-10</v>
      </c>
      <c r="AF320">
        <v>-0.24769289999999999</v>
      </c>
      <c r="AG320">
        <v>0</v>
      </c>
      <c r="AH320">
        <v>0</v>
      </c>
      <c r="AI320">
        <v>-1.0014510000000001E-2</v>
      </c>
      <c r="AJ320">
        <v>0</v>
      </c>
      <c r="AK320">
        <v>0</v>
      </c>
      <c r="AL320">
        <v>-0.66280766999999996</v>
      </c>
      <c r="AM320">
        <v>0</v>
      </c>
      <c r="AN320">
        <v>0</v>
      </c>
      <c r="AO320">
        <v>0</v>
      </c>
      <c r="AP320">
        <v>-1.2362617E-4</v>
      </c>
      <c r="AQ320" s="163">
        <v>-3.7678293999999999E-7</v>
      </c>
      <c r="AR320">
        <v>-1.112497E-2</v>
      </c>
      <c r="AS320" s="163">
        <v>-4.2066553999999999E-6</v>
      </c>
      <c r="AT320">
        <v>0</v>
      </c>
      <c r="AU320">
        <v>0</v>
      </c>
      <c r="AV320">
        <v>0</v>
      </c>
      <c r="AW320">
        <v>0</v>
      </c>
      <c r="AX320">
        <v>0</v>
      </c>
    </row>
    <row r="321" spans="1:50">
      <c r="A321" t="s">
        <v>1565</v>
      </c>
      <c r="B321" s="189">
        <f t="shared" si="4"/>
        <v>0</v>
      </c>
      <c r="C321">
        <v>0</v>
      </c>
      <c r="D321">
        <v>0</v>
      </c>
      <c r="E321">
        <v>0</v>
      </c>
      <c r="F321">
        <v>0</v>
      </c>
      <c r="G321">
        <v>0</v>
      </c>
      <c r="H321">
        <v>0</v>
      </c>
      <c r="I321">
        <v>0</v>
      </c>
      <c r="J321">
        <v>0</v>
      </c>
      <c r="K321">
        <v>0</v>
      </c>
      <c r="L321">
        <v>0</v>
      </c>
      <c r="M321">
        <v>0</v>
      </c>
      <c r="N321">
        <v>0</v>
      </c>
      <c r="O321">
        <v>0</v>
      </c>
      <c r="P321">
        <v>0</v>
      </c>
      <c r="Q321">
        <v>0</v>
      </c>
      <c r="R321">
        <v>0</v>
      </c>
      <c r="S321">
        <v>0</v>
      </c>
      <c r="T321">
        <v>0</v>
      </c>
      <c r="U321">
        <v>0</v>
      </c>
      <c r="V321">
        <v>0</v>
      </c>
      <c r="W321">
        <v>0</v>
      </c>
      <c r="X321">
        <v>0</v>
      </c>
      <c r="Y321">
        <v>0</v>
      </c>
      <c r="Z321">
        <v>0</v>
      </c>
      <c r="AA321">
        <v>0</v>
      </c>
      <c r="AB321">
        <v>0</v>
      </c>
      <c r="AC321">
        <v>0</v>
      </c>
      <c r="AD321">
        <v>0</v>
      </c>
      <c r="AE321">
        <v>0</v>
      </c>
      <c r="AF321">
        <v>0</v>
      </c>
      <c r="AG321">
        <v>0</v>
      </c>
      <c r="AH321">
        <v>0</v>
      </c>
      <c r="AI321">
        <v>0</v>
      </c>
      <c r="AJ321">
        <v>0</v>
      </c>
      <c r="AK321">
        <v>0</v>
      </c>
      <c r="AL321">
        <v>0</v>
      </c>
      <c r="AM321">
        <v>0</v>
      </c>
      <c r="AN321">
        <v>0</v>
      </c>
      <c r="AO321">
        <v>0</v>
      </c>
      <c r="AP321">
        <v>0</v>
      </c>
      <c r="AQ321">
        <v>0</v>
      </c>
      <c r="AR321">
        <v>0</v>
      </c>
      <c r="AS321">
        <v>0</v>
      </c>
      <c r="AT321">
        <v>0</v>
      </c>
      <c r="AU321">
        <v>0</v>
      </c>
      <c r="AV321">
        <v>0</v>
      </c>
      <c r="AW321">
        <v>0</v>
      </c>
      <c r="AX321">
        <v>0</v>
      </c>
    </row>
    <row r="322" spans="1:50">
      <c r="A322" t="s">
        <v>1566</v>
      </c>
      <c r="B322" s="189">
        <f t="shared" si="4"/>
        <v>-5.1337456953940797E-4</v>
      </c>
      <c r="C322" s="163">
        <v>-4.1717962999999997E-9</v>
      </c>
      <c r="D322" s="163">
        <v>-1.8093224E-5</v>
      </c>
      <c r="E322">
        <v>-2.742389E-3</v>
      </c>
      <c r="F322" s="163">
        <v>-3.52973E-10</v>
      </c>
      <c r="G322" s="163">
        <v>-4.3222300000000003E-6</v>
      </c>
      <c r="H322" s="163">
        <v>-3.7631756000000001E-5</v>
      </c>
      <c r="I322" s="163">
        <v>-8.5978863999999992E-6</v>
      </c>
      <c r="J322">
        <v>-1.4429143000000001E-3</v>
      </c>
      <c r="K322" s="163">
        <v>-1.5991541999999999E-5</v>
      </c>
      <c r="L322">
        <v>-6.2636342999999997E-2</v>
      </c>
      <c r="M322" s="163">
        <v>-3.1802977E-6</v>
      </c>
      <c r="N322">
        <v>-2.7975807999999999E-3</v>
      </c>
      <c r="O322">
        <v>-2.8035473000000001E-3</v>
      </c>
      <c r="P322" s="163">
        <v>7.7522220000000003E-6</v>
      </c>
      <c r="Q322" s="163">
        <v>-1.7856928E-6</v>
      </c>
      <c r="R322" s="163">
        <v>-4.3355787000000002E-10</v>
      </c>
      <c r="S322" s="163">
        <v>-5.6528725999999997E-5</v>
      </c>
      <c r="T322" s="163">
        <v>-8.9342594000000004E-8</v>
      </c>
      <c r="U322" s="163">
        <v>-1.8991628999999999E-5</v>
      </c>
      <c r="V322">
        <v>-2.6838524999999998E-4</v>
      </c>
      <c r="W322" s="163">
        <v>-5.6478021000000001E-5</v>
      </c>
      <c r="X322" s="163">
        <v>-4.1709404999999998E-9</v>
      </c>
      <c r="Y322">
        <v>-3.6331101999999997E-2</v>
      </c>
      <c r="Z322">
        <v>-3.7790951000000003E-4</v>
      </c>
      <c r="AA322" s="163">
        <v>-9.8736954000000009E-10</v>
      </c>
      <c r="AB322">
        <v>-1.5237021000000001E-4</v>
      </c>
      <c r="AC322">
        <v>-2.2280681000000002</v>
      </c>
      <c r="AD322" s="163">
        <v>-1.0355603999999999E-12</v>
      </c>
      <c r="AE322" s="163">
        <v>-3.2805753999999999E-11</v>
      </c>
      <c r="AF322">
        <v>2.3375854000000001E-2</v>
      </c>
      <c r="AG322">
        <v>0</v>
      </c>
      <c r="AH322">
        <v>0</v>
      </c>
      <c r="AI322">
        <v>-1.4060564000000001E-3</v>
      </c>
      <c r="AJ322">
        <v>0</v>
      </c>
      <c r="AK322">
        <v>0</v>
      </c>
      <c r="AL322">
        <v>-3.8617224999999998E-2</v>
      </c>
      <c r="AM322">
        <v>0</v>
      </c>
      <c r="AN322">
        <v>0</v>
      </c>
      <c r="AO322">
        <v>0</v>
      </c>
      <c r="AP322" s="163">
        <v>-1.1599895E-5</v>
      </c>
      <c r="AQ322" s="163">
        <v>-3.9263165000000002E-8</v>
      </c>
      <c r="AR322">
        <v>-1.2718073E-4</v>
      </c>
      <c r="AS322" s="163">
        <v>-2.0750784999999999E-7</v>
      </c>
      <c r="AT322">
        <v>0</v>
      </c>
      <c r="AU322">
        <v>0</v>
      </c>
      <c r="AV322">
        <v>0</v>
      </c>
      <c r="AW322">
        <v>0</v>
      </c>
      <c r="AX322">
        <v>0</v>
      </c>
    </row>
    <row r="323" spans="1:50">
      <c r="A323" t="s">
        <v>1567</v>
      </c>
      <c r="B323" s="189">
        <f t="shared" si="4"/>
        <v>-9.8788222251256007E-4</v>
      </c>
      <c r="C323" s="163">
        <v>-6.7142660000000002E-9</v>
      </c>
      <c r="D323" s="163">
        <v>-4.9458217E-5</v>
      </c>
      <c r="E323">
        <v>-7.0187195000000003E-3</v>
      </c>
      <c r="F323" s="163">
        <v>-1.034944E-9</v>
      </c>
      <c r="G323" s="163">
        <v>-7.6424942000000002E-6</v>
      </c>
      <c r="H323" s="163">
        <v>-6.7417487999999997E-5</v>
      </c>
      <c r="I323" s="163">
        <v>-1.4305682E-5</v>
      </c>
      <c r="J323">
        <v>-2.1987383000000001E-3</v>
      </c>
      <c r="K323" s="163">
        <v>-4.2715637000000003E-5</v>
      </c>
      <c r="L323">
        <v>-0.15471746</v>
      </c>
      <c r="M323" s="163">
        <v>-1.0917828000000001E-5</v>
      </c>
      <c r="N323">
        <v>-7.2193073999999996E-3</v>
      </c>
      <c r="O323">
        <v>-7.0828002999999999E-3</v>
      </c>
      <c r="P323">
        <v>-1.2523330999999999E-4</v>
      </c>
      <c r="Q323" s="163">
        <v>-1.1273769000000001E-5</v>
      </c>
      <c r="R323" s="163">
        <v>-1.1467003999999999E-9</v>
      </c>
      <c r="S323" s="163">
        <v>-9.6955036999999997E-5</v>
      </c>
      <c r="T323" s="163">
        <v>-3.7867828999999999E-7</v>
      </c>
      <c r="U323" s="163">
        <v>-3.0532169000000001E-5</v>
      </c>
      <c r="V323">
        <v>-4.1612566000000001E-4</v>
      </c>
      <c r="W323" s="163">
        <v>-9.2147983999999996E-5</v>
      </c>
      <c r="X323" s="163">
        <v>-6.7125871000000002E-9</v>
      </c>
      <c r="Y323">
        <v>-0.1184711</v>
      </c>
      <c r="Z323">
        <v>-1.3172323000000001E-3</v>
      </c>
      <c r="AA323" s="163">
        <v>-1.4121816000000001E-9</v>
      </c>
      <c r="AB323">
        <v>-7.5324340000000004E-4</v>
      </c>
      <c r="AC323">
        <v>-2.2724228000000002</v>
      </c>
      <c r="AD323" s="163">
        <v>-2.1889003999999999E-12</v>
      </c>
      <c r="AE323" s="163">
        <v>-6.8561226999999998E-11</v>
      </c>
      <c r="AF323">
        <v>-3.0845101000000001</v>
      </c>
      <c r="AG323">
        <v>0</v>
      </c>
      <c r="AH323">
        <v>0</v>
      </c>
      <c r="AI323">
        <v>-9.8009558000000004E-3</v>
      </c>
      <c r="AJ323">
        <v>0</v>
      </c>
      <c r="AK323">
        <v>0</v>
      </c>
      <c r="AL323">
        <v>-0.12494522</v>
      </c>
      <c r="AM323">
        <v>0</v>
      </c>
      <c r="AN323">
        <v>0</v>
      </c>
      <c r="AO323">
        <v>0</v>
      </c>
      <c r="AP323" s="163">
        <v>-5.8285197999999997E-5</v>
      </c>
      <c r="AQ323" s="163">
        <v>-1.0386847999999999E-7</v>
      </c>
      <c r="AR323">
        <v>-3.3235671E-4</v>
      </c>
      <c r="AS323" s="163">
        <v>-8.2980439000000002E-7</v>
      </c>
      <c r="AT323">
        <v>0</v>
      </c>
      <c r="AU323">
        <v>0</v>
      </c>
      <c r="AV323">
        <v>0</v>
      </c>
      <c r="AW323">
        <v>0</v>
      </c>
      <c r="AX323">
        <v>0</v>
      </c>
    </row>
    <row r="324" spans="1:50">
      <c r="A324" t="s">
        <v>1568</v>
      </c>
      <c r="B324" s="189">
        <f t="shared" si="4"/>
        <v>-0.19143604597486005</v>
      </c>
      <c r="C324" s="163">
        <v>-5.7590480999999998E-5</v>
      </c>
      <c r="D324">
        <v>-2.3585286E-2</v>
      </c>
      <c r="E324">
        <v>-1.574864</v>
      </c>
      <c r="F324" s="163">
        <v>-3.6189672999999997E-7</v>
      </c>
      <c r="G324">
        <v>-2.2442716000000001E-3</v>
      </c>
      <c r="H324">
        <v>-8.1287292000000004E-3</v>
      </c>
      <c r="I324">
        <v>-1.1015491999999999E-3</v>
      </c>
      <c r="J324">
        <v>-0.63156783000000005</v>
      </c>
      <c r="K324">
        <v>-1.3151618E-2</v>
      </c>
      <c r="L324">
        <v>-46.16281</v>
      </c>
      <c r="M324">
        <v>-2.1631965999999998E-3</v>
      </c>
      <c r="N324">
        <v>-1.5873581000000001</v>
      </c>
      <c r="O324">
        <v>-1.6118129000000001</v>
      </c>
      <c r="P324">
        <v>2.5521230999999998E-2</v>
      </c>
      <c r="Q324">
        <v>-1.0663793E-3</v>
      </c>
      <c r="R324" s="163">
        <v>-4.3234621999999998E-7</v>
      </c>
      <c r="S324">
        <v>-9.8890443999999997E-3</v>
      </c>
      <c r="T324">
        <v>-1.0413403E-4</v>
      </c>
      <c r="U324">
        <v>-1.2560988E-3</v>
      </c>
      <c r="V324">
        <v>-1.7616568999999999E-2</v>
      </c>
      <c r="W324">
        <v>-7.6700795000000004E-3</v>
      </c>
      <c r="X324" s="163">
        <v>-5.7590602999999999E-5</v>
      </c>
      <c r="Y324">
        <v>-51.815347000000003</v>
      </c>
      <c r="Z324">
        <v>-1.1213013000000001</v>
      </c>
      <c r="AA324" s="163">
        <v>-1.1615193E-7</v>
      </c>
      <c r="AB324">
        <v>-0.18023265999999999</v>
      </c>
      <c r="AC324">
        <v>-27.871503000000001</v>
      </c>
      <c r="AD324" s="163">
        <v>-6.6802587999999997E-10</v>
      </c>
      <c r="AE324" s="163">
        <v>-1.7319006E-8</v>
      </c>
      <c r="AF324">
        <v>-9.8353442999999992</v>
      </c>
      <c r="AG324">
        <v>0</v>
      </c>
      <c r="AH324">
        <v>0</v>
      </c>
      <c r="AI324">
        <v>-2.2916306999999998</v>
      </c>
      <c r="AJ324">
        <v>0</v>
      </c>
      <c r="AK324">
        <v>0</v>
      </c>
      <c r="AL324">
        <v>-55.118555999999998</v>
      </c>
      <c r="AM324">
        <v>0</v>
      </c>
      <c r="AN324">
        <v>0</v>
      </c>
      <c r="AO324">
        <v>0</v>
      </c>
      <c r="AP324">
        <v>-3.0422873999999999E-2</v>
      </c>
      <c r="AQ324" s="163">
        <v>-2.0935784E-5</v>
      </c>
      <c r="AR324">
        <v>-0.10777781</v>
      </c>
      <c r="AS324">
        <v>-2.3528167999999999E-4</v>
      </c>
      <c r="AT324">
        <v>0</v>
      </c>
      <c r="AU324">
        <v>0</v>
      </c>
      <c r="AV324">
        <v>0</v>
      </c>
      <c r="AW324">
        <v>0</v>
      </c>
      <c r="AX324">
        <v>0</v>
      </c>
    </row>
    <row r="325" spans="1:50">
      <c r="A325" t="s">
        <v>1569</v>
      </c>
      <c r="B325" s="189">
        <f t="shared" si="4"/>
        <v>7.6024596888204399E-2</v>
      </c>
      <c r="C325" s="163">
        <v>7.6441059000000002E-7</v>
      </c>
      <c r="D325">
        <v>7.0981089000000004E-3</v>
      </c>
      <c r="E325">
        <v>0.97607242000000005</v>
      </c>
      <c r="F325" s="163">
        <v>7.4089917E-8</v>
      </c>
      <c r="G325">
        <v>1.6282937000000001E-4</v>
      </c>
      <c r="H325">
        <v>2.4090081999999999E-3</v>
      </c>
      <c r="I325">
        <v>5.0960230000000005E-4</v>
      </c>
      <c r="J325">
        <v>0.10898992</v>
      </c>
      <c r="K325">
        <v>3.4215908999999998E-3</v>
      </c>
      <c r="L325">
        <v>13.696374</v>
      </c>
      <c r="M325">
        <v>4.2240549000000004E-3</v>
      </c>
      <c r="N325">
        <v>0.99996240000000003</v>
      </c>
      <c r="O325">
        <v>0.98543685999999997</v>
      </c>
      <c r="P325">
        <v>1.4203469999999999E-2</v>
      </c>
      <c r="Q325">
        <v>3.2207762E-4</v>
      </c>
      <c r="R325" s="163">
        <v>8.0638709000000002E-8</v>
      </c>
      <c r="S325">
        <v>3.3107467000000001E-3</v>
      </c>
      <c r="T325" s="163">
        <v>6.1348833999999997E-5</v>
      </c>
      <c r="U325">
        <v>5.0594363999999995E-4</v>
      </c>
      <c r="V325">
        <v>9.8495821000000004E-3</v>
      </c>
      <c r="W325">
        <v>1.4960365E-3</v>
      </c>
      <c r="X325" s="163">
        <v>7.6443791000000002E-7</v>
      </c>
      <c r="Y325">
        <v>13.385671</v>
      </c>
      <c r="Z325">
        <v>0.10984518</v>
      </c>
      <c r="AA325" s="163">
        <v>1.4888942E-8</v>
      </c>
      <c r="AB325">
        <v>3.8070391000000002E-2</v>
      </c>
      <c r="AC325">
        <v>10.845806</v>
      </c>
      <c r="AD325" s="163">
        <v>2.3805051000000002E-10</v>
      </c>
      <c r="AE325" s="163">
        <v>5.7795628999999999E-9</v>
      </c>
      <c r="AF325">
        <v>3.0961655000000001</v>
      </c>
      <c r="AG325">
        <v>0</v>
      </c>
      <c r="AH325">
        <v>0</v>
      </c>
      <c r="AI325">
        <v>1.2191448</v>
      </c>
      <c r="AJ325">
        <v>0</v>
      </c>
      <c r="AK325">
        <v>0</v>
      </c>
      <c r="AL325">
        <v>14.302709999999999</v>
      </c>
      <c r="AM325">
        <v>0</v>
      </c>
      <c r="AN325">
        <v>0</v>
      </c>
      <c r="AO325">
        <v>0</v>
      </c>
      <c r="AP325">
        <v>9.1768334000000007E-3</v>
      </c>
      <c r="AQ325" s="163">
        <v>3.1923757999999999E-5</v>
      </c>
      <c r="AR325">
        <v>3.1883320999999999E-2</v>
      </c>
      <c r="AS325" s="163">
        <v>4.6013373000000002E-5</v>
      </c>
      <c r="AT325">
        <v>0</v>
      </c>
      <c r="AU325">
        <v>0</v>
      </c>
      <c r="AV325">
        <v>0</v>
      </c>
      <c r="AW325">
        <v>0</v>
      </c>
      <c r="AX325">
        <v>0</v>
      </c>
    </row>
    <row r="326" spans="1:50">
      <c r="A326" t="s">
        <v>1570</v>
      </c>
      <c r="B326" s="189">
        <f t="shared" ref="B326:B389" si="5">(C326*0.16)+(D326*0.16)+(E326*0.05)+(F326*30)+(G326*2)+(H326*4)+(I326*9)+(J326*0.09)+(K326*0.03)+(L326*0.0001)+(M326*0.06)</f>
        <v>1.3594047461116482E-2</v>
      </c>
      <c r="C326" s="163">
        <v>1.9355978000000001E-8</v>
      </c>
      <c r="D326">
        <v>1.1360026999999999E-3</v>
      </c>
      <c r="E326">
        <v>0.17125325</v>
      </c>
      <c r="F326" s="163">
        <v>3.0700851999999997E-8</v>
      </c>
      <c r="G326" s="163">
        <v>4.0741149000000003E-5</v>
      </c>
      <c r="H326">
        <v>4.0109457E-4</v>
      </c>
      <c r="I326" s="163">
        <v>5.0291067E-5</v>
      </c>
      <c r="J326">
        <v>2.5327685999999999E-2</v>
      </c>
      <c r="K326">
        <v>1.1081838000000001E-3</v>
      </c>
      <c r="L326">
        <v>3.9043633999999998</v>
      </c>
      <c r="M326">
        <v>1.1744386E-4</v>
      </c>
      <c r="N326">
        <v>0.17200494999999999</v>
      </c>
      <c r="O326">
        <v>0.17184968</v>
      </c>
      <c r="P326">
        <v>1.4526384999999999E-4</v>
      </c>
      <c r="Q326" s="163">
        <v>1.0006786000000001E-5</v>
      </c>
      <c r="R326" s="163">
        <v>3.8682009000000001E-8</v>
      </c>
      <c r="S326">
        <v>4.7775904999999998E-4</v>
      </c>
      <c r="T326" s="163">
        <v>6.5255649999999997E-7</v>
      </c>
      <c r="U326" s="163">
        <v>7.2041179999999996E-5</v>
      </c>
      <c r="V326">
        <v>8.2693095000000002E-4</v>
      </c>
      <c r="W326">
        <v>2.6007902E-4</v>
      </c>
      <c r="X326" s="163">
        <v>1.9355842000000001E-8</v>
      </c>
      <c r="Y326">
        <v>2.4300744999999999</v>
      </c>
      <c r="Z326">
        <v>8.6347000000000004E-3</v>
      </c>
      <c r="AA326" s="163">
        <v>2.3017732000000002E-9</v>
      </c>
      <c r="AB326">
        <v>1.0871848999999999E-2</v>
      </c>
      <c r="AC326">
        <v>1.2727141</v>
      </c>
      <c r="AD326" s="163">
        <v>5.5488353E-11</v>
      </c>
      <c r="AE326" s="163">
        <v>5.4550506999999997E-10</v>
      </c>
      <c r="AF326">
        <v>0.30492528000000002</v>
      </c>
      <c r="AG326">
        <v>0</v>
      </c>
      <c r="AH326">
        <v>0</v>
      </c>
      <c r="AI326">
        <v>1.6070566000000001E-2</v>
      </c>
      <c r="AJ326">
        <v>0</v>
      </c>
      <c r="AK326">
        <v>0</v>
      </c>
      <c r="AL326">
        <v>2.5792079999999999</v>
      </c>
      <c r="AM326">
        <v>0</v>
      </c>
      <c r="AN326">
        <v>0</v>
      </c>
      <c r="AO326">
        <v>0</v>
      </c>
      <c r="AP326">
        <v>3.1355681000000001E-4</v>
      </c>
      <c r="AQ326" s="163">
        <v>7.5425027999999998E-7</v>
      </c>
      <c r="AR326">
        <v>1.420714E-3</v>
      </c>
      <c r="AS326" s="163">
        <v>1.7397756000000001E-5</v>
      </c>
      <c r="AT326">
        <v>0</v>
      </c>
      <c r="AU326">
        <v>0</v>
      </c>
      <c r="AV326">
        <v>0</v>
      </c>
      <c r="AW326">
        <v>0</v>
      </c>
      <c r="AX326">
        <v>0</v>
      </c>
    </row>
    <row r="327" spans="1:50">
      <c r="A327" t="s">
        <v>1571</v>
      </c>
      <c r="B327" s="189">
        <f t="shared" si="5"/>
        <v>-1.0622982290897598E-4</v>
      </c>
      <c r="C327" s="163">
        <v>-2.1199085999999999E-9</v>
      </c>
      <c r="D327" s="163">
        <v>-7.5520134000000002E-6</v>
      </c>
      <c r="E327">
        <v>-8.1992256999999995E-4</v>
      </c>
      <c r="F327" s="163">
        <v>-1.0275912E-10</v>
      </c>
      <c r="G327" s="163">
        <v>-1.2057402000000001E-6</v>
      </c>
      <c r="H327" s="163">
        <v>-4.3596821999999998E-6</v>
      </c>
      <c r="I327" s="163">
        <v>-6.7420601999999996E-7</v>
      </c>
      <c r="J327">
        <v>-3.8840194000000001E-4</v>
      </c>
      <c r="K327" s="163">
        <v>-6.4986907999999998E-6</v>
      </c>
      <c r="L327">
        <v>-2.8328457000000001E-2</v>
      </c>
      <c r="M327" s="163">
        <v>-1.9984317E-6</v>
      </c>
      <c r="N327">
        <v>-8.3458002000000005E-4</v>
      </c>
      <c r="O327">
        <v>-8.3414842999999996E-4</v>
      </c>
      <c r="P327" s="163">
        <v>7.0354171999999995E-7</v>
      </c>
      <c r="Q327" s="163">
        <v>-1.1351414999999999E-6</v>
      </c>
      <c r="R327" s="163">
        <v>-1.2120576999999999E-10</v>
      </c>
      <c r="S327" s="163">
        <v>-5.4450496999999998E-6</v>
      </c>
      <c r="T327" s="163">
        <v>-5.5166592000000003E-8</v>
      </c>
      <c r="U327" s="163">
        <v>-1.2470152E-6</v>
      </c>
      <c r="V327" s="163">
        <v>-1.4264045000000001E-5</v>
      </c>
      <c r="W327" s="163">
        <v>-5.6596767999999999E-6</v>
      </c>
      <c r="X327" s="163">
        <v>-2.1199383999999999E-9</v>
      </c>
      <c r="Y327">
        <v>-1.4661633E-2</v>
      </c>
      <c r="Z327">
        <v>-2.5849553000000001E-2</v>
      </c>
      <c r="AA327" s="163">
        <v>-9.1567144000000006E-11</v>
      </c>
      <c r="AB327" s="163">
        <v>-6.0432493000000002E-5</v>
      </c>
      <c r="AC327">
        <v>-1.5861033E-2</v>
      </c>
      <c r="AD327" s="163">
        <v>-4.9687900000000003E-13</v>
      </c>
      <c r="AE327" s="163">
        <v>-1.1681464999999999E-11</v>
      </c>
      <c r="AF327">
        <v>-1.828117</v>
      </c>
      <c r="AG327">
        <v>0</v>
      </c>
      <c r="AH327">
        <v>0</v>
      </c>
      <c r="AI327">
        <v>-8.5417586999999998E-4</v>
      </c>
      <c r="AJ327">
        <v>0</v>
      </c>
      <c r="AK327">
        <v>0</v>
      </c>
      <c r="AL327">
        <v>-1.5584854E-2</v>
      </c>
      <c r="AM327">
        <v>0</v>
      </c>
      <c r="AN327">
        <v>0</v>
      </c>
      <c r="AO327">
        <v>0</v>
      </c>
      <c r="AP327">
        <v>-6.0369106000000004E-4</v>
      </c>
      <c r="AQ327" s="163">
        <v>-1.5094638000000001E-8</v>
      </c>
      <c r="AR327" s="163">
        <v>-5.6740090999999998E-5</v>
      </c>
      <c r="AS327" s="163">
        <v>-6.6522799000000005E-8</v>
      </c>
      <c r="AT327">
        <v>0</v>
      </c>
      <c r="AU327">
        <v>0</v>
      </c>
      <c r="AV327">
        <v>0</v>
      </c>
      <c r="AW327">
        <v>0</v>
      </c>
      <c r="AX327">
        <v>0</v>
      </c>
    </row>
    <row r="328" spans="1:50">
      <c r="A328" s="147" t="s">
        <v>1572</v>
      </c>
      <c r="B328" s="189">
        <f t="shared" si="5"/>
        <v>0</v>
      </c>
      <c r="C328" s="163"/>
      <c r="D328" s="163"/>
      <c r="F328" s="163"/>
      <c r="G328" s="163"/>
      <c r="H328" s="163"/>
      <c r="I328" s="163"/>
      <c r="K328" s="163"/>
      <c r="M328" s="163"/>
      <c r="P328" s="163"/>
      <c r="Q328" s="163"/>
      <c r="R328" s="163"/>
      <c r="S328" s="163"/>
      <c r="T328" s="163"/>
      <c r="U328" s="163"/>
      <c r="V328" s="163"/>
      <c r="W328" s="163"/>
      <c r="X328" s="163"/>
      <c r="AA328" s="163"/>
      <c r="AB328" s="163"/>
      <c r="AD328" s="163"/>
      <c r="AE328" s="163"/>
      <c r="AQ328" s="163"/>
      <c r="AR328" s="163"/>
      <c r="AS328" s="163"/>
    </row>
    <row r="329" spans="1:50">
      <c r="A329" t="s">
        <v>1573</v>
      </c>
      <c r="B329" s="189">
        <f t="shared" si="5"/>
        <v>2.4953064455695603E-2</v>
      </c>
      <c r="C329" s="163">
        <v>8.6024515999999996E-7</v>
      </c>
      <c r="D329">
        <v>2.7047577000000001E-3</v>
      </c>
      <c r="E329">
        <v>0.18470458000000001</v>
      </c>
      <c r="F329" s="163">
        <v>6.9834308999999998E-8</v>
      </c>
      <c r="G329">
        <v>1.4583287E-4</v>
      </c>
      <c r="H329">
        <v>9.8585943999999993E-4</v>
      </c>
      <c r="I329">
        <v>1.7202514E-4</v>
      </c>
      <c r="J329">
        <v>9.3046421000000004E-2</v>
      </c>
      <c r="K329">
        <v>2.7614955999999999E-3</v>
      </c>
      <c r="L329">
        <v>10.231356999999999</v>
      </c>
      <c r="M329">
        <v>3.2255561999999999E-4</v>
      </c>
      <c r="N329">
        <v>0.18729072999999999</v>
      </c>
      <c r="O329">
        <v>0.18709993</v>
      </c>
      <c r="P329">
        <v>1.0696472E-4</v>
      </c>
      <c r="Q329" s="163">
        <v>8.3838063999999994E-5</v>
      </c>
      <c r="R329" s="163">
        <v>8.7861134999999995E-8</v>
      </c>
      <c r="S329">
        <v>1.2384008E-3</v>
      </c>
      <c r="T329" s="163">
        <v>4.2399091000000002E-6</v>
      </c>
      <c r="U329">
        <v>3.1099152999999999E-4</v>
      </c>
      <c r="V329">
        <v>3.4686919000000002E-3</v>
      </c>
      <c r="W329">
        <v>1.0651092999999999E-3</v>
      </c>
      <c r="X329" s="163">
        <v>8.6024098000000004E-7</v>
      </c>
      <c r="Y329">
        <v>5.7038612000000004</v>
      </c>
      <c r="Z329">
        <v>3.3541316000000002E-2</v>
      </c>
      <c r="AA329" s="163">
        <v>1.3923105E-8</v>
      </c>
      <c r="AB329">
        <v>2.4599788000000001E-2</v>
      </c>
      <c r="AC329">
        <v>3.5974800999999998</v>
      </c>
      <c r="AD329" s="163">
        <v>8.0908819000000005E-11</v>
      </c>
      <c r="AE329" s="163">
        <v>2.6045825000000001E-9</v>
      </c>
      <c r="AF329">
        <v>2.1749592999999998</v>
      </c>
      <c r="AG329">
        <v>0</v>
      </c>
      <c r="AH329">
        <v>0</v>
      </c>
      <c r="AI329">
        <v>4.7283691000000003E-2</v>
      </c>
      <c r="AJ329">
        <v>0</v>
      </c>
      <c r="AK329">
        <v>0</v>
      </c>
      <c r="AL329">
        <v>6.0555234000000002</v>
      </c>
      <c r="AM329">
        <v>0</v>
      </c>
      <c r="AN329">
        <v>0</v>
      </c>
      <c r="AO329">
        <v>0</v>
      </c>
      <c r="AP329">
        <v>8.8408523999999997E-4</v>
      </c>
      <c r="AQ329" s="163">
        <v>3.0156648999999999E-6</v>
      </c>
      <c r="AR329">
        <v>0.12588255000000001</v>
      </c>
      <c r="AS329" s="163">
        <v>3.9344612000000002E-5</v>
      </c>
      <c r="AT329">
        <v>0</v>
      </c>
      <c r="AU329">
        <v>0</v>
      </c>
      <c r="AV329">
        <v>0</v>
      </c>
      <c r="AW329">
        <v>0</v>
      </c>
      <c r="AX329">
        <v>0</v>
      </c>
    </row>
    <row r="330" spans="1:50">
      <c r="A330" t="s">
        <v>1574</v>
      </c>
      <c r="B330" s="189">
        <f t="shared" si="5"/>
        <v>6.6576017460000005E-3</v>
      </c>
      <c r="C330">
        <v>0</v>
      </c>
      <c r="D330">
        <v>0</v>
      </c>
      <c r="E330">
        <v>9.9487999999999993E-2</v>
      </c>
      <c r="F330">
        <v>0</v>
      </c>
      <c r="G330" s="163">
        <v>1.4836552999999999E-5</v>
      </c>
      <c r="H330">
        <v>2.5119999999999998E-4</v>
      </c>
      <c r="I330" s="163">
        <v>6.6080000000000004E-5</v>
      </c>
      <c r="J330">
        <v>6.0009600000000005E-4</v>
      </c>
      <c r="K330">
        <v>0</v>
      </c>
      <c r="L330">
        <v>0</v>
      </c>
      <c r="M330">
        <v>0</v>
      </c>
      <c r="N330">
        <v>9.9985050000000006E-2</v>
      </c>
      <c r="O330">
        <v>9.9985050000000006E-2</v>
      </c>
      <c r="P330">
        <v>0</v>
      </c>
      <c r="Q330">
        <v>0</v>
      </c>
      <c r="R330">
        <v>0</v>
      </c>
      <c r="S330">
        <v>3.7131000000000002E-4</v>
      </c>
      <c r="T330">
        <v>0</v>
      </c>
      <c r="U330">
        <v>1.9450000000000001E-4</v>
      </c>
      <c r="V330">
        <v>2.1299999999999999E-3</v>
      </c>
      <c r="W330">
        <v>5.1243109999999997E-4</v>
      </c>
      <c r="X330">
        <v>0</v>
      </c>
      <c r="Y330">
        <v>0</v>
      </c>
      <c r="Z330">
        <v>0</v>
      </c>
      <c r="AA330" s="163">
        <v>8.08E-10</v>
      </c>
      <c r="AB330">
        <v>0</v>
      </c>
      <c r="AC330">
        <v>1.0524200000000001E-4</v>
      </c>
      <c r="AD330">
        <v>0</v>
      </c>
      <c r="AE330" s="163">
        <v>1.19688E-12</v>
      </c>
      <c r="AF330">
        <v>0</v>
      </c>
      <c r="AG330">
        <v>0</v>
      </c>
      <c r="AH330">
        <v>0</v>
      </c>
      <c r="AI330">
        <v>0</v>
      </c>
      <c r="AJ330">
        <v>0</v>
      </c>
      <c r="AK330">
        <v>0</v>
      </c>
      <c r="AL330">
        <v>0</v>
      </c>
      <c r="AM330">
        <v>0</v>
      </c>
      <c r="AN330">
        <v>0</v>
      </c>
      <c r="AO330">
        <v>0</v>
      </c>
      <c r="AP330">
        <v>0</v>
      </c>
      <c r="AQ330">
        <v>0</v>
      </c>
      <c r="AR330">
        <v>0</v>
      </c>
      <c r="AS330">
        <v>0</v>
      </c>
      <c r="AT330">
        <v>0</v>
      </c>
      <c r="AU330">
        <v>0</v>
      </c>
      <c r="AV330">
        <v>0</v>
      </c>
      <c r="AW330">
        <v>0</v>
      </c>
      <c r="AX330">
        <v>0</v>
      </c>
    </row>
    <row r="331" spans="1:50">
      <c r="A331" t="s">
        <v>1575</v>
      </c>
      <c r="B331" s="189">
        <f t="shared" si="5"/>
        <v>2.2026967268477998E-2</v>
      </c>
      <c r="C331" s="163">
        <v>1.4015848E-6</v>
      </c>
      <c r="D331">
        <v>1.5305045E-3</v>
      </c>
      <c r="E331">
        <v>0.19496461000000001</v>
      </c>
      <c r="F331" s="163">
        <v>1.4341797E-8</v>
      </c>
      <c r="G331" s="163">
        <v>8.6523036999999999E-5</v>
      </c>
      <c r="H331">
        <v>6.5305902000000002E-4</v>
      </c>
      <c r="I331">
        <v>1.3767129E-4</v>
      </c>
      <c r="J331">
        <v>7.9380630999999993E-2</v>
      </c>
      <c r="K331">
        <v>1.7744935E-3</v>
      </c>
      <c r="L331">
        <v>7.4800180999999997</v>
      </c>
      <c r="M331">
        <v>1.0564062E-3</v>
      </c>
      <c r="N331">
        <v>0.20041405000000001</v>
      </c>
      <c r="O331">
        <v>0.19754759999999999</v>
      </c>
      <c r="P331">
        <v>2.7322388E-3</v>
      </c>
      <c r="Q331">
        <v>1.3420228000000001E-4</v>
      </c>
      <c r="R331" s="163">
        <v>1.5213088E-8</v>
      </c>
      <c r="S331">
        <v>8.7053361999999996E-4</v>
      </c>
      <c r="T331" s="163">
        <v>1.9546874999999999E-5</v>
      </c>
      <c r="U331">
        <v>1.4207046999999999E-4</v>
      </c>
      <c r="V331">
        <v>2.4224213999999998E-3</v>
      </c>
      <c r="W331">
        <v>5.1075869E-4</v>
      </c>
      <c r="X331" s="163">
        <v>1.4015989000000001E-6</v>
      </c>
      <c r="Y331">
        <v>2.8429381</v>
      </c>
      <c r="Z331">
        <v>3.2226376000000001E-2</v>
      </c>
      <c r="AA331" s="163">
        <v>1.2711554E-8</v>
      </c>
      <c r="AB331">
        <v>7.7613928E-3</v>
      </c>
      <c r="AC331">
        <v>3.3699659</v>
      </c>
      <c r="AD331" s="163">
        <v>1.1715481E-10</v>
      </c>
      <c r="AE331" s="163">
        <v>3.5130817000000002E-9</v>
      </c>
      <c r="AF331">
        <v>2.1055335999999998</v>
      </c>
      <c r="AG331">
        <v>0</v>
      </c>
      <c r="AH331">
        <v>0</v>
      </c>
      <c r="AI331">
        <v>0.26664838000000002</v>
      </c>
      <c r="AJ331">
        <v>0</v>
      </c>
      <c r="AK331">
        <v>0</v>
      </c>
      <c r="AL331">
        <v>3.0372944999999998</v>
      </c>
      <c r="AM331">
        <v>0</v>
      </c>
      <c r="AN331">
        <v>0</v>
      </c>
      <c r="AO331">
        <v>0</v>
      </c>
      <c r="AP331">
        <v>2.0724604000000001E-3</v>
      </c>
      <c r="AQ331" s="163">
        <v>9.6639640000000008E-6</v>
      </c>
      <c r="AR331">
        <v>0.13066813999999999</v>
      </c>
      <c r="AS331" s="163">
        <v>8.8216743999999992E-6</v>
      </c>
      <c r="AT331">
        <v>0</v>
      </c>
      <c r="AU331">
        <v>0</v>
      </c>
      <c r="AV331">
        <v>0</v>
      </c>
      <c r="AW331">
        <v>0</v>
      </c>
      <c r="AX331">
        <v>0</v>
      </c>
    </row>
    <row r="332" spans="1:50">
      <c r="A332" t="s">
        <v>1576</v>
      </c>
      <c r="B332" s="189">
        <f t="shared" si="5"/>
        <v>6.1309452708040002</v>
      </c>
      <c r="C332" s="163">
        <v>1.5528325E-5</v>
      </c>
      <c r="D332">
        <v>0.31875559999999997</v>
      </c>
      <c r="E332">
        <v>46.045023999999998</v>
      </c>
      <c r="F332" s="163">
        <v>8.3473263999999997E-6</v>
      </c>
      <c r="G332">
        <v>4.6654147999999999E-2</v>
      </c>
      <c r="H332">
        <v>0.34932604</v>
      </c>
      <c r="I332">
        <v>7.8603492999999997E-2</v>
      </c>
      <c r="J332">
        <v>16.587197</v>
      </c>
      <c r="K332">
        <v>0.23118387000000001</v>
      </c>
      <c r="L332">
        <v>779.66412000000003</v>
      </c>
      <c r="M332">
        <v>2.7445323000000001E-2</v>
      </c>
      <c r="N332">
        <v>46.543550000000003</v>
      </c>
      <c r="O332">
        <v>46.531919000000002</v>
      </c>
      <c r="P332">
        <v>7.6793047000000003E-3</v>
      </c>
      <c r="Q332">
        <v>3.9522632000000002E-3</v>
      </c>
      <c r="R332" s="163">
        <v>1.0512370000000001E-5</v>
      </c>
      <c r="S332">
        <v>0.48773483000000001</v>
      </c>
      <c r="T332">
        <v>3.5540490000000001E-4</v>
      </c>
      <c r="U332">
        <v>0.21141266</v>
      </c>
      <c r="V332">
        <v>2.3233779999999999</v>
      </c>
      <c r="W332">
        <v>0.63828182</v>
      </c>
      <c r="X332" s="163">
        <v>1.5528524000000001E-5</v>
      </c>
      <c r="Y332">
        <v>672.94623000000001</v>
      </c>
      <c r="Z332">
        <v>3.6278640000000002</v>
      </c>
      <c r="AA332" s="163">
        <v>1.2761195E-5</v>
      </c>
      <c r="AB332">
        <v>2.9003443</v>
      </c>
      <c r="AC332">
        <v>380.42385000000002</v>
      </c>
      <c r="AD332" s="163">
        <v>1.3088416E-8</v>
      </c>
      <c r="AE332" s="163">
        <v>3.3146390999999997E-7</v>
      </c>
      <c r="AF332">
        <v>85.233226000000002</v>
      </c>
      <c r="AG332">
        <v>0</v>
      </c>
      <c r="AH332">
        <v>0</v>
      </c>
      <c r="AI332">
        <v>3.8984687999999998</v>
      </c>
      <c r="AJ332">
        <v>0</v>
      </c>
      <c r="AK332">
        <v>0</v>
      </c>
      <c r="AL332">
        <v>714.59744999999998</v>
      </c>
      <c r="AM332">
        <v>0</v>
      </c>
      <c r="AN332">
        <v>0</v>
      </c>
      <c r="AO332">
        <v>0</v>
      </c>
      <c r="AP332">
        <v>9.2359395999999996E-2</v>
      </c>
      <c r="AQ332">
        <v>3.0008646999999999E-4</v>
      </c>
      <c r="AR332">
        <v>0.71718117000000003</v>
      </c>
      <c r="AS332">
        <v>4.6744289000000003E-3</v>
      </c>
      <c r="AT332">
        <v>0</v>
      </c>
      <c r="AU332">
        <v>0</v>
      </c>
      <c r="AV332">
        <v>0</v>
      </c>
      <c r="AW332">
        <v>0</v>
      </c>
      <c r="AX332">
        <v>0</v>
      </c>
    </row>
    <row r="333" spans="1:50">
      <c r="A333" t="s">
        <v>1577</v>
      </c>
      <c r="B333" s="189">
        <f t="shared" si="5"/>
        <v>26.180578238746318</v>
      </c>
      <c r="C333" s="163">
        <v>6.6309601999999998E-5</v>
      </c>
      <c r="D333">
        <v>1.3611614000000001</v>
      </c>
      <c r="E333">
        <v>196.62307999999999</v>
      </c>
      <c r="F333" s="163">
        <v>3.5645046999999997E-5</v>
      </c>
      <c r="G333">
        <v>0.19922419</v>
      </c>
      <c r="H333">
        <v>1.4917043999999999</v>
      </c>
      <c r="I333">
        <v>0.33565539999999999</v>
      </c>
      <c r="J333">
        <v>70.831231000000002</v>
      </c>
      <c r="K333">
        <v>0.98720949999999996</v>
      </c>
      <c r="L333">
        <v>3329.3492000000001</v>
      </c>
      <c r="M333">
        <v>0.11719797999999999</v>
      </c>
      <c r="N333">
        <v>198.75191000000001</v>
      </c>
      <c r="O333">
        <v>198.70223999999999</v>
      </c>
      <c r="P333">
        <v>3.2792437000000001E-2</v>
      </c>
      <c r="Q333">
        <v>1.6877092999999999E-2</v>
      </c>
      <c r="R333" s="163">
        <v>4.4890291000000002E-5</v>
      </c>
      <c r="S333">
        <v>2.0827423999999999</v>
      </c>
      <c r="T333">
        <v>1.5176625000000001E-3</v>
      </c>
      <c r="U333">
        <v>0.90278177999999998</v>
      </c>
      <c r="V333">
        <v>9.9213705999999995</v>
      </c>
      <c r="W333">
        <v>2.7256135000000001</v>
      </c>
      <c r="X333" s="163">
        <v>6.6310450999999994E-5</v>
      </c>
      <c r="Y333">
        <v>2873.6387</v>
      </c>
      <c r="Z333">
        <v>15.491832</v>
      </c>
      <c r="AA333" s="163">
        <v>5.4493305999999999E-5</v>
      </c>
      <c r="AB333">
        <v>12.385152</v>
      </c>
      <c r="AC333">
        <v>1624.4992999999999</v>
      </c>
      <c r="AD333" s="163">
        <v>5.5890613E-8</v>
      </c>
      <c r="AE333" s="163">
        <v>1.4154289E-6</v>
      </c>
      <c r="AF333">
        <v>363.96591999999998</v>
      </c>
      <c r="AG333">
        <v>0</v>
      </c>
      <c r="AH333">
        <v>0</v>
      </c>
      <c r="AI333">
        <v>16.647379000000001</v>
      </c>
      <c r="AJ333">
        <v>0</v>
      </c>
      <c r="AK333">
        <v>0</v>
      </c>
      <c r="AL333">
        <v>3051.4992000000002</v>
      </c>
      <c r="AM333">
        <v>0</v>
      </c>
      <c r="AN333">
        <v>0</v>
      </c>
      <c r="AO333">
        <v>0</v>
      </c>
      <c r="AP333">
        <v>0.39439634000000001</v>
      </c>
      <c r="AQ333">
        <v>1.2814397999999999E-3</v>
      </c>
      <c r="AR333">
        <v>3.0625323</v>
      </c>
      <c r="AS333">
        <v>1.9960911000000001E-2</v>
      </c>
      <c r="AT333">
        <v>0</v>
      </c>
      <c r="AU333">
        <v>0</v>
      </c>
      <c r="AV333">
        <v>0</v>
      </c>
      <c r="AW333">
        <v>0</v>
      </c>
      <c r="AX333">
        <v>0</v>
      </c>
    </row>
    <row r="334" spans="1:50">
      <c r="A334" t="s">
        <v>1578</v>
      </c>
      <c r="B334" s="189">
        <f t="shared" si="5"/>
        <v>9.8390884406368002</v>
      </c>
      <c r="C334" s="163">
        <v>2.4920230000000001E-5</v>
      </c>
      <c r="D334">
        <v>0.51154666000000004</v>
      </c>
      <c r="E334">
        <v>73.894161999999994</v>
      </c>
      <c r="F334" s="163">
        <v>1.3395989999999999E-5</v>
      </c>
      <c r="G334">
        <v>7.4871699999999999E-2</v>
      </c>
      <c r="H334">
        <v>0.56060684000000005</v>
      </c>
      <c r="I334">
        <v>0.12614478000000001</v>
      </c>
      <c r="J334">
        <v>26.619532</v>
      </c>
      <c r="K334">
        <v>0.37100944000000002</v>
      </c>
      <c r="L334">
        <v>1251.2237</v>
      </c>
      <c r="M334">
        <v>4.4044914999999997E-2</v>
      </c>
      <c r="N334">
        <v>74.694209999999998</v>
      </c>
      <c r="O334">
        <v>74.675543000000005</v>
      </c>
      <c r="P334">
        <v>1.2323933E-2</v>
      </c>
      <c r="Q334">
        <v>6.3426869999999996E-3</v>
      </c>
      <c r="R334" s="163">
        <v>1.6870504000000001E-5</v>
      </c>
      <c r="S334">
        <v>0.78272858999999995</v>
      </c>
      <c r="T334">
        <v>5.7036233000000002E-4</v>
      </c>
      <c r="U334">
        <v>0.33928012000000002</v>
      </c>
      <c r="V334">
        <v>3.7286130000000002</v>
      </c>
      <c r="W334">
        <v>1.02433</v>
      </c>
      <c r="X334" s="163">
        <v>2.4920549E-5</v>
      </c>
      <c r="Y334">
        <v>1079.9603</v>
      </c>
      <c r="Z334">
        <v>5.8220834000000004</v>
      </c>
      <c r="AA334" s="163">
        <v>2.0479472999999999E-5</v>
      </c>
      <c r="AB334">
        <v>4.6545423000000001</v>
      </c>
      <c r="AC334">
        <v>610.51333999999997</v>
      </c>
      <c r="AD334" s="163">
        <v>2.1004604000000001E-8</v>
      </c>
      <c r="AE334" s="163">
        <v>5.3194126E-7</v>
      </c>
      <c r="AF334">
        <v>136.78433000000001</v>
      </c>
      <c r="AG334">
        <v>0</v>
      </c>
      <c r="AH334">
        <v>0</v>
      </c>
      <c r="AI334">
        <v>6.2563564999999999</v>
      </c>
      <c r="AJ334">
        <v>0</v>
      </c>
      <c r="AK334">
        <v>0</v>
      </c>
      <c r="AL334">
        <v>1146.8032000000001</v>
      </c>
      <c r="AM334">
        <v>0</v>
      </c>
      <c r="AN334">
        <v>0</v>
      </c>
      <c r="AO334">
        <v>0</v>
      </c>
      <c r="AP334">
        <v>0.14822057999999999</v>
      </c>
      <c r="AQ334">
        <v>4.8158598999999998E-4</v>
      </c>
      <c r="AR334">
        <v>1.1509495999999999</v>
      </c>
      <c r="AS334">
        <v>7.5016359999999999E-3</v>
      </c>
      <c r="AT334">
        <v>0</v>
      </c>
      <c r="AU334">
        <v>0</v>
      </c>
      <c r="AV334">
        <v>0</v>
      </c>
      <c r="AW334">
        <v>0</v>
      </c>
      <c r="AX334">
        <v>0</v>
      </c>
    </row>
    <row r="335" spans="1:50">
      <c r="A335" t="s">
        <v>1579</v>
      </c>
      <c r="B335" s="189">
        <f t="shared" si="5"/>
        <v>11.06897449305144</v>
      </c>
      <c r="C335" s="163">
        <v>2.8035259E-5</v>
      </c>
      <c r="D335">
        <v>0.57548999000000001</v>
      </c>
      <c r="E335">
        <v>83.130932999999999</v>
      </c>
      <c r="F335" s="163">
        <v>1.5070489000000001E-5</v>
      </c>
      <c r="G335">
        <v>8.4230661999999998E-2</v>
      </c>
      <c r="H335">
        <v>0.63068268999999999</v>
      </c>
      <c r="I335">
        <v>0.14191287</v>
      </c>
      <c r="J335">
        <v>29.946974000000001</v>
      </c>
      <c r="K335">
        <v>0.41738562000000001</v>
      </c>
      <c r="L335">
        <v>1407.6267</v>
      </c>
      <c r="M335">
        <v>4.9550529000000003E-2</v>
      </c>
      <c r="N335">
        <v>84.030985999999999</v>
      </c>
      <c r="O335">
        <v>84.009985999999998</v>
      </c>
      <c r="P335">
        <v>1.3864424E-2</v>
      </c>
      <c r="Q335">
        <v>7.1355228999999999E-3</v>
      </c>
      <c r="R335" s="163">
        <v>1.8979317E-5</v>
      </c>
      <c r="S335">
        <v>0.88056966000000003</v>
      </c>
      <c r="T335">
        <v>6.4165762000000003E-4</v>
      </c>
      <c r="U335">
        <v>0.38169014000000001</v>
      </c>
      <c r="V335">
        <v>4.1946896000000002</v>
      </c>
      <c r="W335">
        <v>1.1523713</v>
      </c>
      <c r="X335" s="163">
        <v>2.8035617999999999E-5</v>
      </c>
      <c r="Y335">
        <v>1214.9553000000001</v>
      </c>
      <c r="Z335">
        <v>6.5498437999999997</v>
      </c>
      <c r="AA335" s="163">
        <v>2.3039408E-5</v>
      </c>
      <c r="AB335">
        <v>5.2363600999999997</v>
      </c>
      <c r="AC335">
        <v>686.82750999999996</v>
      </c>
      <c r="AD335" s="163">
        <v>2.3630180000000002E-8</v>
      </c>
      <c r="AE335" s="163">
        <v>5.9843391999999997E-7</v>
      </c>
      <c r="AF335">
        <v>153.88237000000001</v>
      </c>
      <c r="AG335">
        <v>0</v>
      </c>
      <c r="AH335">
        <v>0</v>
      </c>
      <c r="AI335">
        <v>7.0384010999999997</v>
      </c>
      <c r="AJ335">
        <v>0</v>
      </c>
      <c r="AK335">
        <v>0</v>
      </c>
      <c r="AL335">
        <v>1290.1536000000001</v>
      </c>
      <c r="AM335">
        <v>0</v>
      </c>
      <c r="AN335">
        <v>0</v>
      </c>
      <c r="AO335">
        <v>0</v>
      </c>
      <c r="AP335">
        <v>0.16674815000000001</v>
      </c>
      <c r="AQ335">
        <v>5.4178424000000003E-4</v>
      </c>
      <c r="AR335">
        <v>1.2948183</v>
      </c>
      <c r="AS335">
        <v>8.4393404999999998E-3</v>
      </c>
      <c r="AT335">
        <v>0</v>
      </c>
      <c r="AU335">
        <v>0</v>
      </c>
      <c r="AV335">
        <v>0</v>
      </c>
      <c r="AW335">
        <v>0</v>
      </c>
      <c r="AX335">
        <v>0</v>
      </c>
    </row>
    <row r="336" spans="1:50">
      <c r="A336" t="s">
        <v>1580</v>
      </c>
      <c r="B336" s="189">
        <f t="shared" si="5"/>
        <v>3.5219464348375524</v>
      </c>
      <c r="C336" s="163">
        <v>8.9203097000000008E-6</v>
      </c>
      <c r="D336">
        <v>0.18311045000000001</v>
      </c>
      <c r="E336">
        <v>26.450751</v>
      </c>
      <c r="F336" s="163">
        <v>4.7951556000000001E-6</v>
      </c>
      <c r="G336">
        <v>2.6800665000000001E-2</v>
      </c>
      <c r="H336">
        <v>0.20067177</v>
      </c>
      <c r="I336">
        <v>4.5154095999999998E-2</v>
      </c>
      <c r="J336">
        <v>9.5285826</v>
      </c>
      <c r="K336">
        <v>0.13280450999999999</v>
      </c>
      <c r="L336">
        <v>447.88123000000002</v>
      </c>
      <c r="M336">
        <v>1.5766077E-2</v>
      </c>
      <c r="N336">
        <v>26.737131999999999</v>
      </c>
      <c r="O336">
        <v>26.730450000000001</v>
      </c>
      <c r="P336">
        <v>4.4114078000000003E-3</v>
      </c>
      <c r="Q336">
        <v>2.2703936000000001E-3</v>
      </c>
      <c r="R336" s="163">
        <v>6.0388734999999999E-6</v>
      </c>
      <c r="S336">
        <v>0.28018125999999999</v>
      </c>
      <c r="T336">
        <v>2.0416379E-4</v>
      </c>
      <c r="U336">
        <v>0.12144686</v>
      </c>
      <c r="V336">
        <v>1.3346739999999999</v>
      </c>
      <c r="W336">
        <v>0.36666358999999998</v>
      </c>
      <c r="X336" s="163">
        <v>8.9204240000000008E-6</v>
      </c>
      <c r="Y336">
        <v>386.57670000000002</v>
      </c>
      <c r="Z336">
        <v>2.0840412000000001</v>
      </c>
      <c r="AA336" s="163">
        <v>7.3307206000000002E-6</v>
      </c>
      <c r="AB336">
        <v>1.6661146</v>
      </c>
      <c r="AC336">
        <v>218.53603000000001</v>
      </c>
      <c r="AD336" s="163">
        <v>7.5186935999999993E-9</v>
      </c>
      <c r="AE336" s="163">
        <v>1.9041079E-7</v>
      </c>
      <c r="AF336">
        <v>48.962572999999999</v>
      </c>
      <c r="AG336">
        <v>0</v>
      </c>
      <c r="AH336">
        <v>0</v>
      </c>
      <c r="AI336">
        <v>2.2394913000000001</v>
      </c>
      <c r="AJ336">
        <v>0</v>
      </c>
      <c r="AK336">
        <v>0</v>
      </c>
      <c r="AL336">
        <v>410.50340999999997</v>
      </c>
      <c r="AM336">
        <v>0</v>
      </c>
      <c r="AN336">
        <v>0</v>
      </c>
      <c r="AO336">
        <v>0</v>
      </c>
      <c r="AP336">
        <v>5.3056231000000002E-2</v>
      </c>
      <c r="AQ336">
        <v>1.7238590000000001E-4</v>
      </c>
      <c r="AR336">
        <v>0.41198763999999999</v>
      </c>
      <c r="AS336">
        <v>2.6852447000000001E-3</v>
      </c>
      <c r="AT336">
        <v>0</v>
      </c>
      <c r="AU336">
        <v>0</v>
      </c>
      <c r="AV336">
        <v>0</v>
      </c>
      <c r="AW336">
        <v>0</v>
      </c>
      <c r="AX336">
        <v>0</v>
      </c>
    </row>
    <row r="337" spans="1:50">
      <c r="A337" t="s">
        <v>1581</v>
      </c>
      <c r="B337" s="189">
        <f t="shared" si="5"/>
        <v>0.24198556203805197</v>
      </c>
      <c r="C337" s="163">
        <v>7.4387322000000004E-6</v>
      </c>
      <c r="D337">
        <v>2.3985652999999999E-2</v>
      </c>
      <c r="E337">
        <v>2.8631951</v>
      </c>
      <c r="F337" s="163">
        <v>4.7874003000000001E-7</v>
      </c>
      <c r="G337">
        <v>8.1984191000000002E-4</v>
      </c>
      <c r="H337">
        <v>7.2668011000000003E-3</v>
      </c>
      <c r="I337">
        <v>1.0967037999999999E-3</v>
      </c>
      <c r="J337">
        <v>0.54253594000000005</v>
      </c>
      <c r="K337">
        <v>1.9481902999999998E-2</v>
      </c>
      <c r="L337">
        <v>47.669106999999997</v>
      </c>
      <c r="M337">
        <v>3.5954225000000002E-3</v>
      </c>
      <c r="N337">
        <v>2.9182014000000001</v>
      </c>
      <c r="O337">
        <v>2.8994300000000002</v>
      </c>
      <c r="P337">
        <v>1.7031340999999998E-2</v>
      </c>
      <c r="Q337">
        <v>1.7400963999999999E-3</v>
      </c>
      <c r="R337" s="163">
        <v>4.9059852999999997E-7</v>
      </c>
      <c r="S337">
        <v>9.2088693000000003E-3</v>
      </c>
      <c r="T337">
        <v>1.4101338E-4</v>
      </c>
      <c r="U337">
        <v>1.2937891000000001E-3</v>
      </c>
      <c r="V337">
        <v>2.0398701000000002E-2</v>
      </c>
      <c r="W337">
        <v>4.6900248000000004E-3</v>
      </c>
      <c r="X337" s="163">
        <v>7.4388721000000001E-6</v>
      </c>
      <c r="Y337">
        <v>49.496980999999998</v>
      </c>
      <c r="Z337">
        <v>0.62576584999999996</v>
      </c>
      <c r="AA337" s="163">
        <v>3.9689083999999999E-8</v>
      </c>
      <c r="AB337">
        <v>0.14860437000000001</v>
      </c>
      <c r="AC337">
        <v>21.767439</v>
      </c>
      <c r="AD337" s="163">
        <v>8.2533117000000002E-10</v>
      </c>
      <c r="AE337" s="163">
        <v>7.6859552999999995E-8</v>
      </c>
      <c r="AF337">
        <v>5.4494534999999997</v>
      </c>
      <c r="AG337">
        <v>0</v>
      </c>
      <c r="AH337">
        <v>0</v>
      </c>
      <c r="AI337">
        <v>2.6611155000000002</v>
      </c>
      <c r="AJ337">
        <v>0</v>
      </c>
      <c r="AK337">
        <v>0</v>
      </c>
      <c r="AL337">
        <v>53.832813999999999</v>
      </c>
      <c r="AM337">
        <v>0</v>
      </c>
      <c r="AN337">
        <v>0</v>
      </c>
      <c r="AO337">
        <v>0</v>
      </c>
      <c r="AP337">
        <v>2.1562107E-2</v>
      </c>
      <c r="AQ337" s="163">
        <v>6.695251E-5</v>
      </c>
      <c r="AR337">
        <v>0.13699112999999999</v>
      </c>
      <c r="AS337">
        <v>1.3704335000000001E-4</v>
      </c>
      <c r="AT337">
        <v>0</v>
      </c>
      <c r="AU337">
        <v>0</v>
      </c>
      <c r="AV337">
        <v>0</v>
      </c>
      <c r="AW337">
        <v>0</v>
      </c>
      <c r="AX337">
        <v>0</v>
      </c>
    </row>
    <row r="338" spans="1:50">
      <c r="A338" t="s">
        <v>1582</v>
      </c>
      <c r="B338" s="189">
        <f t="shared" si="5"/>
        <v>0.21962327290914799</v>
      </c>
      <c r="C338" s="163">
        <v>3.7485352999999999E-6</v>
      </c>
      <c r="D338">
        <v>1.2225755E-2</v>
      </c>
      <c r="E338">
        <v>1.7201515999999999</v>
      </c>
      <c r="F338" s="163">
        <v>2.0606024999999999E-7</v>
      </c>
      <c r="G338">
        <v>1.8159557E-3</v>
      </c>
      <c r="H338">
        <v>9.6218387999999992E-3</v>
      </c>
      <c r="I338">
        <v>1.8195415E-3</v>
      </c>
      <c r="J338">
        <v>0.74417206999999996</v>
      </c>
      <c r="K338">
        <v>2.1830876999999999E-2</v>
      </c>
      <c r="L338">
        <v>51.664337000000003</v>
      </c>
      <c r="M338">
        <v>6.0134020999999998E-3</v>
      </c>
      <c r="N338">
        <v>-24.224489999999999</v>
      </c>
      <c r="O338">
        <v>1.7419521</v>
      </c>
      <c r="P338">
        <v>-25.977059000000001</v>
      </c>
      <c r="Q338">
        <v>1.0616784000000001E-2</v>
      </c>
      <c r="R338" s="163">
        <v>2.4861149999999999E-7</v>
      </c>
      <c r="S338">
        <v>1.2637644999999999E-2</v>
      </c>
      <c r="T338" s="163">
        <v>7.3054850000000001E-5</v>
      </c>
      <c r="U338">
        <v>3.9342535000000001E-3</v>
      </c>
      <c r="V338">
        <v>4.4563710999999999E-2</v>
      </c>
      <c r="W338">
        <v>1.3318126E-2</v>
      </c>
      <c r="X338" s="163">
        <v>3.7465794000000001E-6</v>
      </c>
      <c r="Y338">
        <v>24.164787</v>
      </c>
      <c r="Z338">
        <v>0.25384092000000003</v>
      </c>
      <c r="AA338" s="163">
        <v>5.7228681000000002E-7</v>
      </c>
      <c r="AB338">
        <v>0.10383987</v>
      </c>
      <c r="AC338">
        <v>36.375073</v>
      </c>
      <c r="AD338" s="163">
        <v>1.3360722E-9</v>
      </c>
      <c r="AE338" s="163">
        <v>3.2502996999999999E-8</v>
      </c>
      <c r="AF338">
        <v>2315.2276000000002</v>
      </c>
      <c r="AG338">
        <v>0</v>
      </c>
      <c r="AH338">
        <v>0</v>
      </c>
      <c r="AI338">
        <v>316.40219999999999</v>
      </c>
      <c r="AJ338">
        <v>0</v>
      </c>
      <c r="AK338">
        <v>0</v>
      </c>
      <c r="AL338">
        <v>25.688696</v>
      </c>
      <c r="AM338">
        <v>0</v>
      </c>
      <c r="AN338">
        <v>0</v>
      </c>
      <c r="AO338">
        <v>0</v>
      </c>
      <c r="AP338">
        <v>9.1080573999999994E-3</v>
      </c>
      <c r="AQ338" s="163">
        <v>7.8431534000000003E-5</v>
      </c>
      <c r="AR338">
        <v>0.49230751</v>
      </c>
      <c r="AS338">
        <v>1.2807646E-4</v>
      </c>
      <c r="AT338">
        <v>0</v>
      </c>
      <c r="AU338">
        <v>0</v>
      </c>
      <c r="AV338">
        <v>0</v>
      </c>
      <c r="AW338">
        <v>0</v>
      </c>
      <c r="AX338">
        <v>0</v>
      </c>
    </row>
    <row r="339" spans="1:50">
      <c r="A339" t="s">
        <v>1583</v>
      </c>
      <c r="B339" s="189">
        <f t="shared" si="5"/>
        <v>2.7670443998610082E-3</v>
      </c>
      <c r="C339" s="163">
        <v>3.4423437999999999E-9</v>
      </c>
      <c r="D339">
        <v>2.2476958E-4</v>
      </c>
      <c r="E339">
        <v>3.5535948999999997E-2</v>
      </c>
      <c r="F339" s="163">
        <v>6.1320212000000001E-9</v>
      </c>
      <c r="G339" s="163">
        <v>8.4356807999999994E-6</v>
      </c>
      <c r="H339" s="163">
        <v>9.2659748000000001E-5</v>
      </c>
      <c r="I339" s="163">
        <v>1.7296366999999999E-5</v>
      </c>
      <c r="J339">
        <v>3.9206049999999997E-3</v>
      </c>
      <c r="K339">
        <v>1.5353563E-4</v>
      </c>
      <c r="L339">
        <v>0.52902791000000005</v>
      </c>
      <c r="M339" s="163">
        <v>9.3056524999999998E-6</v>
      </c>
      <c r="N339">
        <v>3.5733826000000003E-2</v>
      </c>
      <c r="O339">
        <v>3.5725443000000003E-2</v>
      </c>
      <c r="P339" s="163">
        <v>6.3914868000000001E-6</v>
      </c>
      <c r="Q339" s="163">
        <v>1.9917189999999998E-6</v>
      </c>
      <c r="R339" s="163">
        <v>7.7328736999999999E-9</v>
      </c>
      <c r="S339">
        <v>1.1899119E-4</v>
      </c>
      <c r="T339" s="163">
        <v>9.2402579000000005E-8</v>
      </c>
      <c r="U339" s="163">
        <v>3.5298310000000001E-5</v>
      </c>
      <c r="V339">
        <v>3.8837775000000001E-4</v>
      </c>
      <c r="W339">
        <v>1.0549999E-4</v>
      </c>
      <c r="X339" s="163">
        <v>3.4423508000000001E-9</v>
      </c>
      <c r="Y339">
        <v>0.47810148000000002</v>
      </c>
      <c r="Z339">
        <v>2.2468636999999998E-3</v>
      </c>
      <c r="AA339" s="163">
        <v>4.9158739000000001E-10</v>
      </c>
      <c r="AB339">
        <v>2.0982778999999998E-3</v>
      </c>
      <c r="AC339">
        <v>0.24287869000000001</v>
      </c>
      <c r="AD339" s="163">
        <v>1.6656419999999999E-12</v>
      </c>
      <c r="AE339" s="163">
        <v>6.7242601000000001E-11</v>
      </c>
      <c r="AF339">
        <v>5.9102306E-2</v>
      </c>
      <c r="AG339">
        <v>0</v>
      </c>
      <c r="AH339">
        <v>0</v>
      </c>
      <c r="AI339">
        <v>1.6600423999999999E-3</v>
      </c>
      <c r="AJ339">
        <v>0</v>
      </c>
      <c r="AK339">
        <v>0</v>
      </c>
      <c r="AL339">
        <v>0.50756071000000003</v>
      </c>
      <c r="AM339">
        <v>0</v>
      </c>
      <c r="AN339">
        <v>0</v>
      </c>
      <c r="AO339">
        <v>0</v>
      </c>
      <c r="AP339" s="163">
        <v>5.5904405E-5</v>
      </c>
      <c r="AQ339" s="163">
        <v>1.4928298000000001E-7</v>
      </c>
      <c r="AR339">
        <v>2.3176866999999999E-4</v>
      </c>
      <c r="AS339" s="163">
        <v>3.4139789999999999E-6</v>
      </c>
      <c r="AT339">
        <v>0</v>
      </c>
      <c r="AU339">
        <v>0</v>
      </c>
      <c r="AV339">
        <v>0</v>
      </c>
      <c r="AW339">
        <v>0</v>
      </c>
      <c r="AX339">
        <v>0</v>
      </c>
    </row>
    <row r="340" spans="1:50">
      <c r="A340" t="s">
        <v>1584</v>
      </c>
      <c r="B340" s="189">
        <f t="shared" si="5"/>
        <v>2.3517095413548794E-2</v>
      </c>
      <c r="C340" s="163">
        <v>3.520468E-8</v>
      </c>
      <c r="D340">
        <v>1.7335404999999999E-3</v>
      </c>
      <c r="E340">
        <v>0.26041421999999997</v>
      </c>
      <c r="F340" s="163">
        <v>4.6064919999999997E-8</v>
      </c>
      <c r="G340">
        <v>1.3377520999999999E-4</v>
      </c>
      <c r="H340">
        <v>4.8934830999999997E-4</v>
      </c>
      <c r="I340" s="163">
        <v>6.4266166999999994E-5</v>
      </c>
      <c r="J340">
        <v>7.5776620000000003E-2</v>
      </c>
      <c r="K340">
        <v>1.5710691000000001E-3</v>
      </c>
      <c r="L340">
        <v>5.4061446999999996</v>
      </c>
      <c r="M340">
        <v>1.1081411999999999E-4</v>
      </c>
      <c r="N340">
        <v>0.26246048</v>
      </c>
      <c r="O340">
        <v>0.26232651000000001</v>
      </c>
      <c r="P340">
        <v>1.1910482000000001E-4</v>
      </c>
      <c r="Q340" s="163">
        <v>1.4865088E-5</v>
      </c>
      <c r="R340" s="163">
        <v>5.8090504000000001E-8</v>
      </c>
      <c r="S340">
        <v>5.7482074000000005E-4</v>
      </c>
      <c r="T340" s="163">
        <v>8.8773460000000003E-7</v>
      </c>
      <c r="U340" s="163">
        <v>6.9673552999999995E-5</v>
      </c>
      <c r="V340">
        <v>8.1929199000000004E-4</v>
      </c>
      <c r="W340">
        <v>4.1114111000000001E-4</v>
      </c>
      <c r="X340" s="163">
        <v>3.5204956999999999E-8</v>
      </c>
      <c r="Y340">
        <v>3.7021039999999998</v>
      </c>
      <c r="Z340">
        <v>1.6957163000000001E-2</v>
      </c>
      <c r="AA340" s="163">
        <v>6.5883062E-9</v>
      </c>
      <c r="AB340">
        <v>1.6073838999999999E-2</v>
      </c>
      <c r="AC340">
        <v>1.8992939</v>
      </c>
      <c r="AD340" s="163">
        <v>3.0673853999999998E-11</v>
      </c>
      <c r="AE340" s="163">
        <v>1.3569456E-9</v>
      </c>
      <c r="AF340">
        <v>0.46582558000000002</v>
      </c>
      <c r="AG340">
        <v>0</v>
      </c>
      <c r="AH340">
        <v>0</v>
      </c>
      <c r="AI340">
        <v>1.9155520999999998E-2</v>
      </c>
      <c r="AJ340">
        <v>0</v>
      </c>
      <c r="AK340">
        <v>0</v>
      </c>
      <c r="AL340">
        <v>3.9305495000000001</v>
      </c>
      <c r="AM340">
        <v>0</v>
      </c>
      <c r="AN340">
        <v>0</v>
      </c>
      <c r="AO340">
        <v>0</v>
      </c>
      <c r="AP340">
        <v>4.4313497E-4</v>
      </c>
      <c r="AQ340" s="163">
        <v>1.1944550999999999E-6</v>
      </c>
      <c r="AR340">
        <v>1.8043611E-3</v>
      </c>
      <c r="AS340" s="163">
        <v>2.5980322999999999E-5</v>
      </c>
      <c r="AT340">
        <v>0</v>
      </c>
      <c r="AU340">
        <v>0</v>
      </c>
      <c r="AV340">
        <v>0</v>
      </c>
      <c r="AW340">
        <v>0</v>
      </c>
      <c r="AX340">
        <v>0</v>
      </c>
    </row>
    <row r="341" spans="1:50">
      <c r="A341" t="s">
        <v>1585</v>
      </c>
      <c r="B341" s="189">
        <f t="shared" si="5"/>
        <v>1.1790719335147762E-2</v>
      </c>
      <c r="C341" s="163">
        <v>2.0060236000000001E-8</v>
      </c>
      <c r="D341">
        <v>6.1238296999999999E-4</v>
      </c>
      <c r="E341">
        <v>9.2390367000000001E-2</v>
      </c>
      <c r="F341" s="163">
        <v>1.6251841000000001E-8</v>
      </c>
      <c r="G341" s="163">
        <v>9.0076418000000006E-5</v>
      </c>
      <c r="H341">
        <v>9.2769946000000004E-4</v>
      </c>
      <c r="I341">
        <v>2.0118900999999999E-4</v>
      </c>
      <c r="J341">
        <v>1.3381987E-2</v>
      </c>
      <c r="K341">
        <v>4.4433229000000001E-4</v>
      </c>
      <c r="L341">
        <v>1.5078267000000001</v>
      </c>
      <c r="M341" s="163">
        <v>4.3095173E-5</v>
      </c>
      <c r="N341">
        <v>9.4013386000000004E-2</v>
      </c>
      <c r="O341">
        <v>9.3966809999999998E-2</v>
      </c>
      <c r="P341" s="163">
        <v>4.1208217000000003E-5</v>
      </c>
      <c r="Q341" s="163">
        <v>5.3676451999999997E-6</v>
      </c>
      <c r="R341" s="163">
        <v>2.0492658E-8</v>
      </c>
      <c r="S341">
        <v>1.2914218999999999E-3</v>
      </c>
      <c r="T341" s="163">
        <v>4.4071927999999997E-7</v>
      </c>
      <c r="U341">
        <v>5.5581648999999999E-4</v>
      </c>
      <c r="V341">
        <v>6.0984276000000002E-3</v>
      </c>
      <c r="W341">
        <v>1.5979261E-3</v>
      </c>
      <c r="X341" s="163">
        <v>2.006073E-8</v>
      </c>
      <c r="Y341">
        <v>1.3073923000000001</v>
      </c>
      <c r="Z341">
        <v>6.0792149999999998E-3</v>
      </c>
      <c r="AA341" s="163">
        <v>2.0446951999999999E-9</v>
      </c>
      <c r="AB341">
        <v>5.6724434000000002E-3</v>
      </c>
      <c r="AC341">
        <v>0.66466574</v>
      </c>
      <c r="AD341" s="163">
        <v>7.0839949000000004E-12</v>
      </c>
      <c r="AE341" s="163">
        <v>1.0103078999999999E-9</v>
      </c>
      <c r="AF341">
        <v>0.16485088000000001</v>
      </c>
      <c r="AG341">
        <v>0</v>
      </c>
      <c r="AH341">
        <v>0</v>
      </c>
      <c r="AI341">
        <v>6.9329309999999998E-3</v>
      </c>
      <c r="AJ341">
        <v>0</v>
      </c>
      <c r="AK341">
        <v>0</v>
      </c>
      <c r="AL341">
        <v>1.3880778</v>
      </c>
      <c r="AM341">
        <v>0</v>
      </c>
      <c r="AN341">
        <v>0</v>
      </c>
      <c r="AO341">
        <v>0</v>
      </c>
      <c r="AP341">
        <v>1.5790846000000001E-4</v>
      </c>
      <c r="AQ341" s="163">
        <v>4.2722100999999999E-7</v>
      </c>
      <c r="AR341">
        <v>6.787923E-4</v>
      </c>
      <c r="AS341" s="163">
        <v>9.1655398000000001E-6</v>
      </c>
      <c r="AT341">
        <v>0</v>
      </c>
      <c r="AU341">
        <v>0</v>
      </c>
      <c r="AV341">
        <v>0</v>
      </c>
      <c r="AW341">
        <v>0</v>
      </c>
      <c r="AX341">
        <v>0</v>
      </c>
    </row>
    <row r="342" spans="1:50">
      <c r="A342" t="s">
        <v>1586</v>
      </c>
      <c r="B342" s="189">
        <f t="shared" si="5"/>
        <v>3.5344001404225597E-2</v>
      </c>
      <c r="C342" s="163">
        <v>3.5927840999999997E-7</v>
      </c>
      <c r="D342">
        <v>1.7995667000000001E-3</v>
      </c>
      <c r="E342">
        <v>0.27180045000000003</v>
      </c>
      <c r="F342" s="163">
        <v>4.6728316000000001E-8</v>
      </c>
      <c r="G342">
        <v>2.6157913999999999E-4</v>
      </c>
      <c r="H342">
        <v>2.6913416000000001E-3</v>
      </c>
      <c r="I342">
        <v>5.8172816999999997E-4</v>
      </c>
      <c r="J342">
        <v>4.9021122E-2</v>
      </c>
      <c r="K342">
        <v>1.3831918E-3</v>
      </c>
      <c r="L342">
        <v>4.7702168</v>
      </c>
      <c r="M342">
        <v>1.6820457E-4</v>
      </c>
      <c r="N342">
        <v>0.27672276000000001</v>
      </c>
      <c r="O342">
        <v>0.27643169000000001</v>
      </c>
      <c r="P342">
        <v>2.5179534999999998E-4</v>
      </c>
      <c r="Q342" s="163">
        <v>3.9278908999999999E-5</v>
      </c>
      <c r="R342" s="163">
        <v>5.8841424E-8</v>
      </c>
      <c r="S342">
        <v>3.7370936000000001E-3</v>
      </c>
      <c r="T342" s="163">
        <v>2.9144186000000001E-6</v>
      </c>
      <c r="U342">
        <v>1.5923652E-3</v>
      </c>
      <c r="V342">
        <v>1.7475653000000001E-2</v>
      </c>
      <c r="W342">
        <v>4.5825014999999998E-3</v>
      </c>
      <c r="X342" s="163">
        <v>3.5928198999999999E-7</v>
      </c>
      <c r="Y342">
        <v>3.8167165000000001</v>
      </c>
      <c r="Z342">
        <v>1.9183896999999998E-2</v>
      </c>
      <c r="AA342" s="163">
        <v>6.4377162E-9</v>
      </c>
      <c r="AB342">
        <v>1.6382018000000002E-2</v>
      </c>
      <c r="AC342">
        <v>2.2429926</v>
      </c>
      <c r="AD342" s="163">
        <v>3.9272614000000001E-11</v>
      </c>
      <c r="AE342" s="163">
        <v>3.2134974000000001E-9</v>
      </c>
      <c r="AF342">
        <v>0.49696264000000001</v>
      </c>
      <c r="AG342">
        <v>0</v>
      </c>
      <c r="AH342">
        <v>0</v>
      </c>
      <c r="AI342">
        <v>3.0352627E-2</v>
      </c>
      <c r="AJ342">
        <v>0</v>
      </c>
      <c r="AK342">
        <v>0</v>
      </c>
      <c r="AL342">
        <v>4.0524563000000002</v>
      </c>
      <c r="AM342">
        <v>0</v>
      </c>
      <c r="AN342">
        <v>0</v>
      </c>
      <c r="AO342">
        <v>0</v>
      </c>
      <c r="AP342">
        <v>5.1925194000000002E-4</v>
      </c>
      <c r="AQ342" s="163">
        <v>2.23125E-6</v>
      </c>
      <c r="AR342">
        <v>4.0619690999999999E-3</v>
      </c>
      <c r="AS342" s="163">
        <v>2.6328292000000001E-5</v>
      </c>
      <c r="AT342">
        <v>0</v>
      </c>
      <c r="AU342">
        <v>0</v>
      </c>
      <c r="AV342">
        <v>0</v>
      </c>
      <c r="AW342">
        <v>0</v>
      </c>
      <c r="AX342">
        <v>0</v>
      </c>
    </row>
    <row r="343" spans="1:50">
      <c r="A343" t="s">
        <v>1587</v>
      </c>
      <c r="B343" s="189">
        <f t="shared" si="5"/>
        <v>0.89435266922553602</v>
      </c>
      <c r="C343" s="163">
        <v>2.2651971E-6</v>
      </c>
      <c r="D343">
        <v>4.6498526999999998E-2</v>
      </c>
      <c r="E343">
        <v>6.7168256</v>
      </c>
      <c r="F343" s="163">
        <v>1.2176676E-6</v>
      </c>
      <c r="G343">
        <v>6.8056816999999999E-3</v>
      </c>
      <c r="H343">
        <v>5.0957994999999999E-2</v>
      </c>
      <c r="I343">
        <v>1.1466298E-2</v>
      </c>
      <c r="J343">
        <v>2.4196601000000002</v>
      </c>
      <c r="K343">
        <v>3.3723985999999997E-2</v>
      </c>
      <c r="L343">
        <v>113.73363000000001</v>
      </c>
      <c r="M343">
        <v>4.0035911000000004E-3</v>
      </c>
      <c r="N343">
        <v>6.7895481999999996</v>
      </c>
      <c r="O343">
        <v>6.7878515000000004</v>
      </c>
      <c r="P343">
        <v>1.1202199000000001E-3</v>
      </c>
      <c r="Q343">
        <v>5.7653705000000003E-4</v>
      </c>
      <c r="R343" s="163">
        <v>1.5334937E-6</v>
      </c>
      <c r="S343">
        <v>7.1148400000000001E-2</v>
      </c>
      <c r="T343" s="163">
        <v>5.1844749000000003E-5</v>
      </c>
      <c r="U343">
        <v>3.0839856999999998E-2</v>
      </c>
      <c r="V343">
        <v>0.33892316</v>
      </c>
      <c r="W343">
        <v>9.3109468000000001E-2</v>
      </c>
      <c r="X343" s="163">
        <v>2.2652261000000002E-6</v>
      </c>
      <c r="Y343">
        <v>98.166144000000003</v>
      </c>
      <c r="Z343">
        <v>0.52921525999999997</v>
      </c>
      <c r="AA343" s="163">
        <v>1.8615415000000001E-6</v>
      </c>
      <c r="AB343">
        <v>0.42308821000000002</v>
      </c>
      <c r="AC343">
        <v>55.494391999999998</v>
      </c>
      <c r="AD343" s="163">
        <v>1.9092747999999998E-9</v>
      </c>
      <c r="AE343" s="163">
        <v>4.8352354000000002E-8</v>
      </c>
      <c r="AF343">
        <v>12.433411</v>
      </c>
      <c r="AG343">
        <v>0</v>
      </c>
      <c r="AH343">
        <v>0</v>
      </c>
      <c r="AI343">
        <v>0.56868978999999997</v>
      </c>
      <c r="AJ343">
        <v>0</v>
      </c>
      <c r="AK343">
        <v>0</v>
      </c>
      <c r="AL343">
        <v>104.24202</v>
      </c>
      <c r="AM343">
        <v>0</v>
      </c>
      <c r="AN343">
        <v>0</v>
      </c>
      <c r="AO343">
        <v>0</v>
      </c>
      <c r="AP343">
        <v>1.3472942E-2</v>
      </c>
      <c r="AQ343" s="163">
        <v>4.3775164999999998E-5</v>
      </c>
      <c r="AR343">
        <v>0.10461892</v>
      </c>
      <c r="AS343">
        <v>6.8188310000000002E-4</v>
      </c>
      <c r="AT343">
        <v>0</v>
      </c>
      <c r="AU343">
        <v>0</v>
      </c>
      <c r="AV343">
        <v>0</v>
      </c>
      <c r="AW343">
        <v>0</v>
      </c>
      <c r="AX343">
        <v>0</v>
      </c>
    </row>
    <row r="344" spans="1:50">
      <c r="A344" t="s">
        <v>1588</v>
      </c>
      <c r="B344" s="189">
        <f t="shared" si="5"/>
        <v>8.6092024062221579</v>
      </c>
      <c r="C344" s="163">
        <v>2.1805200999999999E-5</v>
      </c>
      <c r="D344">
        <v>0.44760333000000002</v>
      </c>
      <c r="E344">
        <v>64.657392000000002</v>
      </c>
      <c r="F344" s="163">
        <v>1.1721491E-5</v>
      </c>
      <c r="G344">
        <v>6.5512737000000001E-2</v>
      </c>
      <c r="H344">
        <v>0.49053098000000001</v>
      </c>
      <c r="I344">
        <v>0.11037668</v>
      </c>
      <c r="J344">
        <v>23.292090999999999</v>
      </c>
      <c r="K344">
        <v>0.32463325999999998</v>
      </c>
      <c r="L344">
        <v>1094.8208</v>
      </c>
      <c r="M344">
        <v>3.8539300999999998E-2</v>
      </c>
      <c r="N344">
        <v>65.357433</v>
      </c>
      <c r="O344">
        <v>65.341099999999997</v>
      </c>
      <c r="P344">
        <v>1.0783441E-2</v>
      </c>
      <c r="Q344">
        <v>5.5498511000000002E-3</v>
      </c>
      <c r="R344" s="163">
        <v>1.4761691E-5</v>
      </c>
      <c r="S344">
        <v>0.68488751000000003</v>
      </c>
      <c r="T344">
        <v>4.9906704000000001E-4</v>
      </c>
      <c r="U344">
        <v>0.29687011000000002</v>
      </c>
      <c r="V344">
        <v>3.2625362999999998</v>
      </c>
      <c r="W344">
        <v>0.89628876999999996</v>
      </c>
      <c r="X344" s="163">
        <v>2.1805481000000001E-5</v>
      </c>
      <c r="Y344">
        <v>944.96525999999994</v>
      </c>
      <c r="Z344">
        <v>5.0943230000000002</v>
      </c>
      <c r="AA344" s="163">
        <v>1.7919539E-5</v>
      </c>
      <c r="AB344">
        <v>4.0727244999999996</v>
      </c>
      <c r="AC344">
        <v>534.19916999999998</v>
      </c>
      <c r="AD344" s="163">
        <v>1.8379029000000001E-8</v>
      </c>
      <c r="AE344" s="163">
        <v>4.6544859999999998E-7</v>
      </c>
      <c r="AF344">
        <v>119.68629</v>
      </c>
      <c r="AG344">
        <v>0</v>
      </c>
      <c r="AH344">
        <v>0</v>
      </c>
      <c r="AI344">
        <v>5.4743119</v>
      </c>
      <c r="AJ344">
        <v>0</v>
      </c>
      <c r="AK344">
        <v>0</v>
      </c>
      <c r="AL344">
        <v>1003.4528</v>
      </c>
      <c r="AM344">
        <v>0</v>
      </c>
      <c r="AN344">
        <v>0</v>
      </c>
      <c r="AO344">
        <v>0</v>
      </c>
      <c r="AP344">
        <v>0.12969301</v>
      </c>
      <c r="AQ344">
        <v>4.2138773999999998E-4</v>
      </c>
      <c r="AR344">
        <v>1.0070809000000001</v>
      </c>
      <c r="AS344">
        <v>6.5639315E-3</v>
      </c>
      <c r="AT344">
        <v>0</v>
      </c>
      <c r="AU344">
        <v>0</v>
      </c>
      <c r="AV344">
        <v>0</v>
      </c>
      <c r="AW344">
        <v>0</v>
      </c>
      <c r="AX344">
        <v>0</v>
      </c>
    </row>
    <row r="345" spans="1:50">
      <c r="A345" t="s">
        <v>1589</v>
      </c>
      <c r="B345" s="189">
        <f t="shared" si="5"/>
        <v>5.9027495755459594</v>
      </c>
      <c r="C345" s="163">
        <v>1.4950356E-5</v>
      </c>
      <c r="D345">
        <v>0.30689142000000003</v>
      </c>
      <c r="E345">
        <v>44.331214000000003</v>
      </c>
      <c r="F345" s="163">
        <v>8.0366363000000002E-6</v>
      </c>
      <c r="G345">
        <v>4.4917667000000001E-2</v>
      </c>
      <c r="H345">
        <v>0.33632402</v>
      </c>
      <c r="I345">
        <v>7.5677847000000006E-2</v>
      </c>
      <c r="J345">
        <v>15.969816</v>
      </c>
      <c r="K345">
        <v>0.22257914000000001</v>
      </c>
      <c r="L345">
        <v>750.64477999999997</v>
      </c>
      <c r="M345">
        <v>2.6423800000000001E-2</v>
      </c>
      <c r="N345">
        <v>44.811185000000002</v>
      </c>
      <c r="O345">
        <v>44.799985999999997</v>
      </c>
      <c r="P345">
        <v>7.3934786000000004E-3</v>
      </c>
      <c r="Q345">
        <v>3.8051587000000001E-3</v>
      </c>
      <c r="R345" s="163">
        <v>1.0121095999999999E-5</v>
      </c>
      <c r="S345">
        <v>0.46958118999999998</v>
      </c>
      <c r="T345">
        <v>3.4217661999999999E-4</v>
      </c>
      <c r="U345">
        <v>0.20354380999999999</v>
      </c>
      <c r="V345">
        <v>2.2369012000000001</v>
      </c>
      <c r="W345">
        <v>0.61452477000000005</v>
      </c>
      <c r="X345" s="163">
        <v>1.4950548E-5</v>
      </c>
      <c r="Y345">
        <v>647.89895999999999</v>
      </c>
      <c r="Z345">
        <v>3.4928338000000001</v>
      </c>
      <c r="AA345" s="163">
        <v>1.2286220000000001E-5</v>
      </c>
      <c r="AB345">
        <v>2.7923925999999999</v>
      </c>
      <c r="AC345">
        <v>366.26434999999998</v>
      </c>
      <c r="AD345" s="163">
        <v>1.2601261E-8</v>
      </c>
      <c r="AE345" s="163">
        <v>3.1912671999999999E-7</v>
      </c>
      <c r="AF345">
        <v>82.060818999999995</v>
      </c>
      <c r="AG345">
        <v>0</v>
      </c>
      <c r="AH345">
        <v>0</v>
      </c>
      <c r="AI345">
        <v>3.7533666000000001</v>
      </c>
      <c r="AJ345">
        <v>0</v>
      </c>
      <c r="AK345">
        <v>0</v>
      </c>
      <c r="AL345">
        <v>687.99991</v>
      </c>
      <c r="AM345">
        <v>0</v>
      </c>
      <c r="AN345">
        <v>0</v>
      </c>
      <c r="AO345">
        <v>0</v>
      </c>
      <c r="AP345">
        <v>8.8921750999999993E-2</v>
      </c>
      <c r="AQ345">
        <v>2.8891715999999998E-4</v>
      </c>
      <c r="AR345">
        <v>0.69048746999999999</v>
      </c>
      <c r="AS345">
        <v>4.5004451999999997E-3</v>
      </c>
      <c r="AT345">
        <v>0</v>
      </c>
      <c r="AU345">
        <v>0</v>
      </c>
      <c r="AV345">
        <v>0</v>
      </c>
      <c r="AW345">
        <v>0</v>
      </c>
      <c r="AX345">
        <v>0</v>
      </c>
    </row>
    <row r="346" spans="1:50">
      <c r="A346" t="s">
        <v>1590</v>
      </c>
      <c r="B346" s="189">
        <f t="shared" si="5"/>
        <v>78.047466589008806</v>
      </c>
      <c r="C346">
        <v>1.9767693000000001E-4</v>
      </c>
      <c r="D346">
        <v>4.0577864999999997</v>
      </c>
      <c r="E346">
        <v>586.15715999999998</v>
      </c>
      <c r="F346">
        <v>1.0626219000000001E-4</v>
      </c>
      <c r="G346">
        <v>0.59391137000000005</v>
      </c>
      <c r="H346">
        <v>4.4469509</v>
      </c>
      <c r="I346">
        <v>1.0006292999999999</v>
      </c>
      <c r="J346">
        <v>211.15646000000001</v>
      </c>
      <c r="K346">
        <v>2.9429908</v>
      </c>
      <c r="L346">
        <v>9925.1921000000002</v>
      </c>
      <c r="M346">
        <v>0.34938134999999998</v>
      </c>
      <c r="N346">
        <v>592.50345000000004</v>
      </c>
      <c r="O346">
        <v>592.35537999999997</v>
      </c>
      <c r="P346">
        <v>9.7758215999999995E-2</v>
      </c>
      <c r="Q346">
        <v>5.0312653999999998E-2</v>
      </c>
      <c r="R346">
        <v>1.3382338000000001E-4</v>
      </c>
      <c r="S346">
        <v>6.2089068000000003</v>
      </c>
      <c r="T346">
        <v>4.5243352999999997E-3</v>
      </c>
      <c r="U346">
        <v>2.6913016000000001</v>
      </c>
      <c r="V346">
        <v>29.576805</v>
      </c>
      <c r="W346">
        <v>8.1253831000000005</v>
      </c>
      <c r="X346">
        <v>1.9767946999999999E-4</v>
      </c>
      <c r="Y346">
        <v>8566.6641</v>
      </c>
      <c r="Z346">
        <v>46.183024000000003</v>
      </c>
      <c r="AA346">
        <v>1.6245113E-4</v>
      </c>
      <c r="AB346">
        <v>36.921635000000002</v>
      </c>
      <c r="AC346">
        <v>4842.8287</v>
      </c>
      <c r="AD346" s="163">
        <v>1.6661667000000001E-7</v>
      </c>
      <c r="AE346" s="163">
        <v>4.2195643999999998E-6</v>
      </c>
      <c r="AF346">
        <v>1085.0264</v>
      </c>
      <c r="AG346">
        <v>0</v>
      </c>
      <c r="AH346">
        <v>0</v>
      </c>
      <c r="AI346">
        <v>49.627847000000003</v>
      </c>
      <c r="AJ346">
        <v>0</v>
      </c>
      <c r="AK346">
        <v>0</v>
      </c>
      <c r="AL346">
        <v>9096.8878000000004</v>
      </c>
      <c r="AM346">
        <v>0</v>
      </c>
      <c r="AN346">
        <v>0</v>
      </c>
      <c r="AO346">
        <v>0</v>
      </c>
      <c r="AP346">
        <v>1.1757431</v>
      </c>
      <c r="AQ346">
        <v>3.8201269E-3</v>
      </c>
      <c r="AR346">
        <v>9.1297788000000004</v>
      </c>
      <c r="AS346">
        <v>5.9505887E-2</v>
      </c>
      <c r="AT346">
        <v>0</v>
      </c>
      <c r="AU346">
        <v>0</v>
      </c>
      <c r="AV346">
        <v>0</v>
      </c>
      <c r="AW346">
        <v>0</v>
      </c>
      <c r="AX346">
        <v>0</v>
      </c>
    </row>
    <row r="347" spans="1:50">
      <c r="A347" t="s">
        <v>1591</v>
      </c>
      <c r="B347" s="189">
        <f t="shared" si="5"/>
        <v>1.1280352973812718E-2</v>
      </c>
      <c r="C347" s="163">
        <v>1.5092642E-8</v>
      </c>
      <c r="D347">
        <v>5.9199744999999997E-4</v>
      </c>
      <c r="E347">
        <v>8.7344863999999994E-2</v>
      </c>
      <c r="F347" s="163">
        <v>1.6072856999999998E-8</v>
      </c>
      <c r="G347" s="163">
        <v>8.3534003000000005E-5</v>
      </c>
      <c r="H347">
        <v>8.9525518000000001E-4</v>
      </c>
      <c r="I347">
        <v>1.9981501000000001E-4</v>
      </c>
      <c r="J347">
        <v>1.2383261E-2</v>
      </c>
      <c r="K347">
        <v>4.1326637000000001E-4</v>
      </c>
      <c r="L347">
        <v>1.4229721</v>
      </c>
      <c r="M347" s="163">
        <v>3.8217903E-5</v>
      </c>
      <c r="N347">
        <v>8.8919312E-2</v>
      </c>
      <c r="O347">
        <v>8.8892961000000006E-2</v>
      </c>
      <c r="P347" s="163">
        <v>2.1732008999999999E-5</v>
      </c>
      <c r="Q347" s="163">
        <v>4.6195369E-6</v>
      </c>
      <c r="R347" s="163">
        <v>2.0307520000000001E-8</v>
      </c>
      <c r="S347">
        <v>1.2540763999999999E-3</v>
      </c>
      <c r="T347" s="163">
        <v>3.3453811E-7</v>
      </c>
      <c r="U347">
        <v>5.5314548000000004E-4</v>
      </c>
      <c r="V347">
        <v>6.0632207E-3</v>
      </c>
      <c r="W347">
        <v>1.5863879E-3</v>
      </c>
      <c r="X347" s="163">
        <v>1.5092976000000001E-8</v>
      </c>
      <c r="Y347">
        <v>1.2612719999999999</v>
      </c>
      <c r="Z347">
        <v>5.7187148999999996E-3</v>
      </c>
      <c r="AA347" s="163">
        <v>1.6492842E-9</v>
      </c>
      <c r="AB347">
        <v>5.5443198999999997E-3</v>
      </c>
      <c r="AC347">
        <v>0.64543381</v>
      </c>
      <c r="AD347" s="163">
        <v>6.1103819999999996E-12</v>
      </c>
      <c r="AE347" s="163">
        <v>9.7816989000000007E-10</v>
      </c>
      <c r="AF347">
        <v>0.15543544000000001</v>
      </c>
      <c r="AG347">
        <v>0</v>
      </c>
      <c r="AH347">
        <v>0</v>
      </c>
      <c r="AI347">
        <v>4.1259071000000003E-3</v>
      </c>
      <c r="AJ347">
        <v>0</v>
      </c>
      <c r="AK347">
        <v>0</v>
      </c>
      <c r="AL347">
        <v>1.3389374999999999</v>
      </c>
      <c r="AM347">
        <v>0</v>
      </c>
      <c r="AN347">
        <v>0</v>
      </c>
      <c r="AO347">
        <v>0</v>
      </c>
      <c r="AP347">
        <v>1.4271206999999999E-4</v>
      </c>
      <c r="AQ347" s="163">
        <v>3.6895627000000001E-7</v>
      </c>
      <c r="AR347">
        <v>6.0383628000000003E-4</v>
      </c>
      <c r="AS347" s="163">
        <v>9.0327004000000005E-6</v>
      </c>
      <c r="AT347">
        <v>0</v>
      </c>
      <c r="AU347">
        <v>0</v>
      </c>
      <c r="AV347">
        <v>0</v>
      </c>
      <c r="AW347">
        <v>0</v>
      </c>
      <c r="AX347">
        <v>0</v>
      </c>
    </row>
    <row r="348" spans="1:50">
      <c r="A348" t="s">
        <v>1592</v>
      </c>
      <c r="B348" s="189">
        <f t="shared" si="5"/>
        <v>3.3889985939933608E-2</v>
      </c>
      <c r="C348" s="163">
        <v>3.4512571000000002E-7</v>
      </c>
      <c r="D348">
        <v>1.7414886E-3</v>
      </c>
      <c r="E348">
        <v>0.25742594000000002</v>
      </c>
      <c r="F348" s="163">
        <v>4.6218393999999997E-8</v>
      </c>
      <c r="G348">
        <v>2.4293983999999999E-4</v>
      </c>
      <c r="H348">
        <v>2.5989096000000001E-3</v>
      </c>
      <c r="I348">
        <v>5.7781412999999998E-4</v>
      </c>
      <c r="J348">
        <v>4.6175755999999998E-2</v>
      </c>
      <c r="K348">
        <v>1.2946849E-3</v>
      </c>
      <c r="L348">
        <v>4.5284659999999999</v>
      </c>
      <c r="M348">
        <v>1.5430924999999999E-4</v>
      </c>
      <c r="N348">
        <v>0.26220988000000001</v>
      </c>
      <c r="O348">
        <v>0.26197642999999998</v>
      </c>
      <c r="P348">
        <v>1.9630752000000001E-4</v>
      </c>
      <c r="Q348" s="163">
        <v>3.7147536999999998E-5</v>
      </c>
      <c r="R348" s="163">
        <v>5.8313971000000003E-8</v>
      </c>
      <c r="S348">
        <v>3.6306988000000002E-3</v>
      </c>
      <c r="T348" s="163">
        <v>2.6119077999999998E-6</v>
      </c>
      <c r="U348">
        <v>1.584757E-3</v>
      </c>
      <c r="V348">
        <v>1.7375364000000001E-2</v>
      </c>
      <c r="W348">
        <v>4.549633E-3</v>
      </c>
      <c r="X348" s="163">
        <v>3.4512883000000001E-7</v>
      </c>
      <c r="Y348">
        <v>3.6853201000000002</v>
      </c>
      <c r="Z348">
        <v>1.8156563000000001E-2</v>
      </c>
      <c r="AA348" s="163">
        <v>5.3111913000000001E-9</v>
      </c>
      <c r="AB348">
        <v>1.6016992000000001E-2</v>
      </c>
      <c r="AC348">
        <v>2.1882008000000002</v>
      </c>
      <c r="AD348" s="163">
        <v>3.6498783999999999E-11</v>
      </c>
      <c r="AE348" s="163">
        <v>3.1219381999999999E-9</v>
      </c>
      <c r="AF348">
        <v>0.47013797000000002</v>
      </c>
      <c r="AG348">
        <v>0</v>
      </c>
      <c r="AH348">
        <v>0</v>
      </c>
      <c r="AI348">
        <v>2.2355399000000001E-2</v>
      </c>
      <c r="AJ348">
        <v>0</v>
      </c>
      <c r="AK348">
        <v>0</v>
      </c>
      <c r="AL348">
        <v>3.9124563999999999</v>
      </c>
      <c r="AM348">
        <v>0</v>
      </c>
      <c r="AN348">
        <v>0</v>
      </c>
      <c r="AO348">
        <v>0</v>
      </c>
      <c r="AP348">
        <v>4.7594706999999999E-4</v>
      </c>
      <c r="AQ348" s="163">
        <v>2.0652536000000002E-6</v>
      </c>
      <c r="AR348">
        <v>3.8484193000000002E-3</v>
      </c>
      <c r="AS348" s="163">
        <v>2.5949834E-5</v>
      </c>
      <c r="AT348">
        <v>0</v>
      </c>
      <c r="AU348">
        <v>0</v>
      </c>
      <c r="AV348">
        <v>0</v>
      </c>
      <c r="AW348">
        <v>0</v>
      </c>
      <c r="AX348">
        <v>0</v>
      </c>
    </row>
    <row r="349" spans="1:50">
      <c r="A349" t="s">
        <v>1593</v>
      </c>
      <c r="B349" s="189">
        <f t="shared" si="5"/>
        <v>0.37739053008145002</v>
      </c>
      <c r="C349" s="163">
        <v>7.1838823000000004E-5</v>
      </c>
      <c r="D349">
        <v>4.1859953000000002E-3</v>
      </c>
      <c r="E349">
        <v>0.60726232000000002</v>
      </c>
      <c r="F349" s="163">
        <v>3.6413459000000001E-8</v>
      </c>
      <c r="G349">
        <v>1.2392061999999999E-3</v>
      </c>
      <c r="H349">
        <v>1.6588281999999999E-2</v>
      </c>
      <c r="I349">
        <v>4.4415727999999998E-3</v>
      </c>
      <c r="J349">
        <v>2.3810229000000001</v>
      </c>
      <c r="K349">
        <v>4.0350523999999999E-2</v>
      </c>
      <c r="L349">
        <v>216.07718</v>
      </c>
      <c r="M349">
        <v>7.1512983E-3</v>
      </c>
      <c r="N349">
        <v>0.62996602000000002</v>
      </c>
      <c r="O349">
        <v>0.60266755999999999</v>
      </c>
      <c r="P349">
        <v>2.6504368E-2</v>
      </c>
      <c r="Q349">
        <v>7.9408927999999996E-4</v>
      </c>
      <c r="R349" s="163">
        <v>3.7539063999999997E-8</v>
      </c>
      <c r="S349">
        <v>1.8980598000000001E-2</v>
      </c>
      <c r="T349">
        <v>1.2932792999999999E-3</v>
      </c>
      <c r="U349">
        <v>1.1223373E-3</v>
      </c>
      <c r="V349">
        <v>1.4756997000000001E-2</v>
      </c>
      <c r="W349">
        <v>4.8350529999999997E-3</v>
      </c>
      <c r="X349" s="163">
        <v>7.1843220999999994E-5</v>
      </c>
      <c r="Y349">
        <v>7.9052680999999998</v>
      </c>
      <c r="Z349">
        <v>0.34890381999999998</v>
      </c>
      <c r="AA349" s="163">
        <v>5.5030959999999999E-8</v>
      </c>
      <c r="AB349">
        <v>3.2412464000000002E-2</v>
      </c>
      <c r="AC349">
        <v>134.40438</v>
      </c>
      <c r="AD349" s="163">
        <v>1.8056446E-9</v>
      </c>
      <c r="AE349" s="163">
        <v>1.5344545E-7</v>
      </c>
      <c r="AF349">
        <v>3.8051822</v>
      </c>
      <c r="AG349">
        <v>0</v>
      </c>
      <c r="AH349">
        <v>0</v>
      </c>
      <c r="AI349">
        <v>1.0610676999999999</v>
      </c>
      <c r="AJ349">
        <v>0</v>
      </c>
      <c r="AK349">
        <v>0</v>
      </c>
      <c r="AL349">
        <v>8.4081867999999993</v>
      </c>
      <c r="AM349">
        <v>0</v>
      </c>
      <c r="AN349">
        <v>0</v>
      </c>
      <c r="AO349">
        <v>0</v>
      </c>
      <c r="AP349">
        <v>9.7643707999999999E-3</v>
      </c>
      <c r="AQ349">
        <v>1.5473914E-2</v>
      </c>
      <c r="AR349">
        <v>9.7994652000000002E-2</v>
      </c>
      <c r="AS349" s="163">
        <v>2.7476849000000002E-5</v>
      </c>
      <c r="AT349">
        <v>0</v>
      </c>
      <c r="AU349">
        <v>0</v>
      </c>
      <c r="AV349">
        <v>0</v>
      </c>
      <c r="AW349">
        <v>0</v>
      </c>
      <c r="AX349">
        <v>0</v>
      </c>
    </row>
    <row r="350" spans="1:50">
      <c r="A350" t="s">
        <v>1594</v>
      </c>
      <c r="B350" s="189">
        <f t="shared" si="5"/>
        <v>11.56367325116536</v>
      </c>
      <c r="C350" s="163">
        <v>2.9288220999999999E-5</v>
      </c>
      <c r="D350">
        <v>0.60121000999999996</v>
      </c>
      <c r="E350">
        <v>86.846250999999995</v>
      </c>
      <c r="F350" s="163">
        <v>1.5744024999999999E-5</v>
      </c>
      <c r="G350">
        <v>8.7995131000000004E-2</v>
      </c>
      <c r="H350">
        <v>0.65886940000000005</v>
      </c>
      <c r="I350">
        <v>0.14825530000000001</v>
      </c>
      <c r="J350">
        <v>31.285374999999998</v>
      </c>
      <c r="K350">
        <v>0.43603956999999999</v>
      </c>
      <c r="L350">
        <v>1470.5369000000001</v>
      </c>
      <c r="M350">
        <v>5.1765060000000002E-2</v>
      </c>
      <c r="N350">
        <v>87.786529999999999</v>
      </c>
      <c r="O350">
        <v>87.764591999999993</v>
      </c>
      <c r="P350">
        <v>1.4484059000000001E-2</v>
      </c>
      <c r="Q350">
        <v>7.4544264000000002E-3</v>
      </c>
      <c r="R350" s="163">
        <v>1.9827548000000001E-5</v>
      </c>
      <c r="S350">
        <v>0.91992441000000003</v>
      </c>
      <c r="T350">
        <v>6.7033483000000001E-4</v>
      </c>
      <c r="U350">
        <v>0.39874878000000002</v>
      </c>
      <c r="V350">
        <v>4.3821602000000004</v>
      </c>
      <c r="W350">
        <v>1.2038735</v>
      </c>
      <c r="X350" s="163">
        <v>2.9288597000000001E-5</v>
      </c>
      <c r="Y350">
        <v>1269.2546</v>
      </c>
      <c r="Z350">
        <v>6.8425719000000003</v>
      </c>
      <c r="AA350" s="163">
        <v>2.4069094E-5</v>
      </c>
      <c r="AB350">
        <v>5.4703854999999999</v>
      </c>
      <c r="AC350">
        <v>717.52346</v>
      </c>
      <c r="AD350" s="163">
        <v>2.4686269E-8</v>
      </c>
      <c r="AE350" s="163">
        <v>6.2517935000000001E-7</v>
      </c>
      <c r="AF350">
        <v>160.75973999999999</v>
      </c>
      <c r="AG350">
        <v>0</v>
      </c>
      <c r="AH350">
        <v>0</v>
      </c>
      <c r="AI350">
        <v>7.3529638999999998</v>
      </c>
      <c r="AJ350">
        <v>0</v>
      </c>
      <c r="AK350">
        <v>0</v>
      </c>
      <c r="AL350">
        <v>1347.8136</v>
      </c>
      <c r="AM350">
        <v>0</v>
      </c>
      <c r="AN350">
        <v>0</v>
      </c>
      <c r="AO350">
        <v>0</v>
      </c>
      <c r="AP350">
        <v>0.17420052</v>
      </c>
      <c r="AQ350">
        <v>5.6599787000000004E-4</v>
      </c>
      <c r="AR350">
        <v>1.3526868000000001</v>
      </c>
      <c r="AS350">
        <v>8.8165146999999999E-3</v>
      </c>
      <c r="AT350">
        <v>0</v>
      </c>
      <c r="AU350">
        <v>0</v>
      </c>
      <c r="AV350">
        <v>0</v>
      </c>
      <c r="AW350">
        <v>0</v>
      </c>
      <c r="AX350">
        <v>0</v>
      </c>
    </row>
    <row r="351" spans="1:50">
      <c r="A351" t="s">
        <v>1595</v>
      </c>
      <c r="B351" s="189">
        <f t="shared" si="5"/>
        <v>2.8144898641232636</v>
      </c>
      <c r="C351" s="163">
        <v>3.7100579E-6</v>
      </c>
      <c r="D351">
        <v>7.6157712000000002E-2</v>
      </c>
      <c r="E351">
        <v>11.001167000000001</v>
      </c>
      <c r="F351" s="163">
        <v>1.9943595999999999E-6</v>
      </c>
      <c r="G351">
        <v>0.20533635</v>
      </c>
      <c r="H351">
        <v>8.3461662000000006E-2</v>
      </c>
      <c r="I351">
        <v>1.8780100000000001E-2</v>
      </c>
      <c r="J351">
        <v>14.633044999999999</v>
      </c>
      <c r="K351">
        <v>8.6021422E-2</v>
      </c>
      <c r="L351">
        <v>186.27887999999999</v>
      </c>
      <c r="M351">
        <v>7.7171191000000002E-3</v>
      </c>
      <c r="N351">
        <v>11.120276</v>
      </c>
      <c r="O351">
        <v>11.117497</v>
      </c>
      <c r="P351">
        <v>1.8347545E-3</v>
      </c>
      <c r="Q351">
        <v>9.4428245E-4</v>
      </c>
      <c r="R351" s="163">
        <v>2.511636E-6</v>
      </c>
      <c r="S351">
        <v>0.11653056000000001</v>
      </c>
      <c r="T351" s="163">
        <v>8.4914033999999993E-5</v>
      </c>
      <c r="U351">
        <v>5.0511127000000003E-2</v>
      </c>
      <c r="V351">
        <v>0.55510603000000003</v>
      </c>
      <c r="W351">
        <v>0.15249953999999999</v>
      </c>
      <c r="X351" s="163">
        <v>3.7101054E-6</v>
      </c>
      <c r="Y351">
        <v>160.78163000000001</v>
      </c>
      <c r="Z351">
        <v>0.86677636000000002</v>
      </c>
      <c r="AA351" s="163">
        <v>3.0489297999999998E-6</v>
      </c>
      <c r="AB351">
        <v>0.69295594000000005</v>
      </c>
      <c r="AC351">
        <v>150.44714999999999</v>
      </c>
      <c r="AD351" s="163">
        <v>3.1271098999999999E-9</v>
      </c>
      <c r="AE351" s="163">
        <v>1.3119074000000001E-7</v>
      </c>
      <c r="AF351">
        <v>20.364089</v>
      </c>
      <c r="AG351">
        <v>0</v>
      </c>
      <c r="AH351">
        <v>0</v>
      </c>
      <c r="AI351">
        <v>0.93142979999999997</v>
      </c>
      <c r="AJ351">
        <v>0</v>
      </c>
      <c r="AK351">
        <v>0</v>
      </c>
      <c r="AL351">
        <v>170.73302000000001</v>
      </c>
      <c r="AM351">
        <v>0</v>
      </c>
      <c r="AN351">
        <v>0</v>
      </c>
      <c r="AO351">
        <v>0</v>
      </c>
      <c r="AP351">
        <v>2.2066688000000001E-2</v>
      </c>
      <c r="AQ351">
        <v>0.82007169999999996</v>
      </c>
      <c r="AR351">
        <v>0.17135033</v>
      </c>
      <c r="AS351">
        <v>1.1168237000000001E-3</v>
      </c>
      <c r="AT351">
        <v>0</v>
      </c>
      <c r="AU351">
        <v>0</v>
      </c>
      <c r="AV351">
        <v>0</v>
      </c>
      <c r="AW351">
        <v>0</v>
      </c>
      <c r="AX351">
        <v>0</v>
      </c>
    </row>
    <row r="352" spans="1:50">
      <c r="A352" t="s">
        <v>1596</v>
      </c>
      <c r="B352" s="189">
        <f t="shared" si="5"/>
        <v>1.5561063555256001E-2</v>
      </c>
      <c r="C352" s="163">
        <v>3.7174134999999999E-7</v>
      </c>
      <c r="D352">
        <v>9.7725799999999995E-4</v>
      </c>
      <c r="E352">
        <v>0.13058052000000001</v>
      </c>
      <c r="F352" s="163">
        <v>2.4384288000000001E-8</v>
      </c>
      <c r="G352" s="163">
        <v>7.7468161000000005E-5</v>
      </c>
      <c r="H352">
        <v>5.6573443000000005E-4</v>
      </c>
      <c r="I352">
        <v>1.140981E-4</v>
      </c>
      <c r="J352">
        <v>5.3532431999999998E-2</v>
      </c>
      <c r="K352">
        <v>1.5552369000000001E-3</v>
      </c>
      <c r="L352">
        <v>5.5447635999999996</v>
      </c>
      <c r="M352">
        <v>1.8459965E-4</v>
      </c>
      <c r="N352">
        <v>0.13176552</v>
      </c>
      <c r="O352">
        <v>0.13168814000000001</v>
      </c>
      <c r="P352" s="163">
        <v>3.8225159000000002E-5</v>
      </c>
      <c r="Q352" s="163">
        <v>3.9149544999999998E-5</v>
      </c>
      <c r="R352" s="163">
        <v>3.063034E-8</v>
      </c>
      <c r="S352">
        <v>7.5279546999999997E-4</v>
      </c>
      <c r="T352" s="163">
        <v>1.9771501000000001E-6</v>
      </c>
      <c r="U352">
        <v>2.6407588999999998E-4</v>
      </c>
      <c r="V352">
        <v>2.9234498000000001E-3</v>
      </c>
      <c r="W352">
        <v>8.3115566000000005E-4</v>
      </c>
      <c r="X352" s="163">
        <v>3.7173985999999999E-7</v>
      </c>
      <c r="Y352">
        <v>2.0422796000000001</v>
      </c>
      <c r="Z352">
        <v>1.4530296E-2</v>
      </c>
      <c r="AA352" s="163">
        <v>1.1921932999999999E-8</v>
      </c>
      <c r="AB352">
        <v>8.6820817000000002E-3</v>
      </c>
      <c r="AC352">
        <v>1.4655087</v>
      </c>
      <c r="AD352" s="163">
        <v>5.5562106000000001E-11</v>
      </c>
      <c r="AE352" s="163">
        <v>1.8648070000000002E-9</v>
      </c>
      <c r="AF352">
        <v>1.7012579000000001</v>
      </c>
      <c r="AG352">
        <v>0</v>
      </c>
      <c r="AH352">
        <v>0</v>
      </c>
      <c r="AI352">
        <v>2.1371523E-2</v>
      </c>
      <c r="AJ352">
        <v>0</v>
      </c>
      <c r="AK352">
        <v>0</v>
      </c>
      <c r="AL352">
        <v>2.1685805</v>
      </c>
      <c r="AM352">
        <v>0</v>
      </c>
      <c r="AN352">
        <v>0</v>
      </c>
      <c r="AO352">
        <v>0</v>
      </c>
      <c r="AP352">
        <v>3.8514073999999999E-4</v>
      </c>
      <c r="AQ352" s="163">
        <v>1.2970777E-6</v>
      </c>
      <c r="AR352">
        <v>0.12420676</v>
      </c>
      <c r="AS352" s="163">
        <v>1.3730026E-5</v>
      </c>
      <c r="AT352">
        <v>0</v>
      </c>
      <c r="AU352">
        <v>0</v>
      </c>
      <c r="AV352">
        <v>0</v>
      </c>
      <c r="AW352">
        <v>0</v>
      </c>
      <c r="AX352">
        <v>0</v>
      </c>
    </row>
    <row r="353" spans="1:50">
      <c r="A353" t="s">
        <v>1597</v>
      </c>
      <c r="B353" s="189">
        <f t="shared" si="5"/>
        <v>2.2898428488117597</v>
      </c>
      <c r="C353" s="163">
        <v>2.4710635999999999E-5</v>
      </c>
      <c r="D353">
        <v>1.8920434999999999E-2</v>
      </c>
      <c r="E353">
        <v>4.6905621000000002</v>
      </c>
      <c r="F353" s="163">
        <v>2.4147839999999998E-7</v>
      </c>
      <c r="G353">
        <v>3.1566295000000001E-2</v>
      </c>
      <c r="H353">
        <v>0.28115466</v>
      </c>
      <c r="I353">
        <v>6.8926587999999997E-2</v>
      </c>
      <c r="J353">
        <v>2.5486380999999998</v>
      </c>
      <c r="K353">
        <v>3.7686903000000001E-2</v>
      </c>
      <c r="L353">
        <v>133.3047</v>
      </c>
      <c r="M353">
        <v>5.7874678000000004E-3</v>
      </c>
      <c r="N353">
        <v>5.0284202000000002</v>
      </c>
      <c r="O353">
        <v>5.0997971</v>
      </c>
      <c r="P353">
        <v>-7.6156048000000004E-2</v>
      </c>
      <c r="Q353">
        <v>4.7791520000000001E-3</v>
      </c>
      <c r="R353" s="163">
        <v>2.8669930999999998E-7</v>
      </c>
      <c r="S353">
        <v>0.45150933999999998</v>
      </c>
      <c r="T353">
        <v>2.4883118000000002E-4</v>
      </c>
      <c r="U353">
        <v>0.13876548999999999</v>
      </c>
      <c r="V353">
        <v>2.2826168999999998</v>
      </c>
      <c r="W353">
        <v>0.40736552999999998</v>
      </c>
      <c r="X353" s="163">
        <v>2.4699088999999999E-5</v>
      </c>
      <c r="Y353">
        <v>34.481855000000003</v>
      </c>
      <c r="Z353">
        <v>1.5063413000000001</v>
      </c>
      <c r="AA353" s="163">
        <v>3.3073986999999998E-6</v>
      </c>
      <c r="AB353">
        <v>8.4188451999999997E-2</v>
      </c>
      <c r="AC353">
        <v>28466.239000000001</v>
      </c>
      <c r="AD353" s="163">
        <v>2.7136693E-9</v>
      </c>
      <c r="AE353" s="163">
        <v>1.4819242E-7</v>
      </c>
      <c r="AF353">
        <v>14.368271999999999</v>
      </c>
      <c r="AG353">
        <v>0</v>
      </c>
      <c r="AH353">
        <v>0</v>
      </c>
      <c r="AI353">
        <v>3.3676582000000002</v>
      </c>
      <c r="AJ353">
        <v>0</v>
      </c>
      <c r="AK353">
        <v>0</v>
      </c>
      <c r="AL353">
        <v>37.036560999999999</v>
      </c>
      <c r="AM353">
        <v>0</v>
      </c>
      <c r="AN353">
        <v>0</v>
      </c>
      <c r="AO353">
        <v>0</v>
      </c>
      <c r="AP353">
        <v>4.0358090999999999E-2</v>
      </c>
      <c r="AQ353">
        <v>1.7241368E-4</v>
      </c>
      <c r="AR353">
        <v>0.43369037999999999</v>
      </c>
      <c r="AS353">
        <v>1.0818341000000001E-4</v>
      </c>
      <c r="AT353">
        <v>0</v>
      </c>
      <c r="AU353">
        <v>0</v>
      </c>
      <c r="AV353">
        <v>0</v>
      </c>
      <c r="AW353">
        <v>0</v>
      </c>
      <c r="AX353">
        <v>0</v>
      </c>
    </row>
    <row r="354" spans="1:50">
      <c r="A354" t="s">
        <v>1598</v>
      </c>
      <c r="B354" s="189">
        <f t="shared" si="5"/>
        <v>0.24574341440057798</v>
      </c>
      <c r="C354" s="163">
        <v>4.3354893E-6</v>
      </c>
      <c r="D354">
        <v>8.5280531999999999E-3</v>
      </c>
      <c r="E354">
        <v>1.3294873</v>
      </c>
      <c r="F354" s="163">
        <v>8.5063342999999999E-8</v>
      </c>
      <c r="G354">
        <v>4.4858220000000001E-4</v>
      </c>
      <c r="H354">
        <v>5.5377967999999996E-3</v>
      </c>
      <c r="I354">
        <v>9.6981045999999999E-4</v>
      </c>
      <c r="J354">
        <v>1.5461326</v>
      </c>
      <c r="K354">
        <v>3.1384911000000001E-2</v>
      </c>
      <c r="L354">
        <v>54.958302000000003</v>
      </c>
      <c r="M354">
        <v>8.9226340000000005E-3</v>
      </c>
      <c r="N354">
        <v>1.4279976999999999</v>
      </c>
      <c r="O354">
        <v>1.2505459999999999</v>
      </c>
      <c r="P354">
        <v>0.17567991999999999</v>
      </c>
      <c r="Q354">
        <v>1.7717481999999999E-3</v>
      </c>
      <c r="R354" s="163">
        <v>8.0175647999999996E-8</v>
      </c>
      <c r="S354">
        <v>6.9624318000000001E-3</v>
      </c>
      <c r="T354">
        <v>1.0027138E-4</v>
      </c>
      <c r="U354">
        <v>1.2989212E-3</v>
      </c>
      <c r="V354">
        <v>1.5179476000000001E-2</v>
      </c>
      <c r="W354">
        <v>3.2634843000000002E-3</v>
      </c>
      <c r="X354" s="163">
        <v>4.3355300999999997E-6</v>
      </c>
      <c r="Y354">
        <v>17.516052999999999</v>
      </c>
      <c r="Z354">
        <v>0.30323275</v>
      </c>
      <c r="AA354" s="163">
        <v>6.0741812999999999E-8</v>
      </c>
      <c r="AB354">
        <v>9.0090143999999997E-2</v>
      </c>
      <c r="AC354">
        <v>104.22117</v>
      </c>
      <c r="AD354" s="163">
        <v>1.0907665000000001E-9</v>
      </c>
      <c r="AE354" s="163">
        <v>1.7567164E-8</v>
      </c>
      <c r="AF354">
        <v>8.6320467999999995</v>
      </c>
      <c r="AG354">
        <v>0</v>
      </c>
      <c r="AH354">
        <v>0</v>
      </c>
      <c r="AI354">
        <v>2.0903882999999999</v>
      </c>
      <c r="AJ354">
        <v>0</v>
      </c>
      <c r="AK354">
        <v>0</v>
      </c>
      <c r="AL354">
        <v>18.611549</v>
      </c>
      <c r="AM354">
        <v>0</v>
      </c>
      <c r="AN354">
        <v>0</v>
      </c>
      <c r="AO354">
        <v>0</v>
      </c>
      <c r="AP354">
        <v>1.1434414E-2</v>
      </c>
      <c r="AQ354" s="163">
        <v>2.8867692E-5</v>
      </c>
      <c r="AR354">
        <v>0.14198579</v>
      </c>
      <c r="AS354" s="163">
        <v>7.3669674000000006E-5</v>
      </c>
      <c r="AT354">
        <v>0</v>
      </c>
      <c r="AU354">
        <v>0</v>
      </c>
      <c r="AV354">
        <v>0</v>
      </c>
      <c r="AW354">
        <v>0</v>
      </c>
      <c r="AX354">
        <v>0</v>
      </c>
    </row>
    <row r="355" spans="1:50">
      <c r="A355" t="s">
        <v>1599</v>
      </c>
      <c r="B355" s="189">
        <f t="shared" si="5"/>
        <v>0.10827494449326</v>
      </c>
      <c r="C355" s="163">
        <v>9.7773825000000002E-7</v>
      </c>
      <c r="D355">
        <v>6.7778283000000002E-3</v>
      </c>
      <c r="E355">
        <v>0.94954108999999998</v>
      </c>
      <c r="F355" s="163">
        <v>7.2215738000000005E-8</v>
      </c>
      <c r="G355">
        <v>2.6710200000000002E-4</v>
      </c>
      <c r="H355">
        <v>4.3820016999999998E-3</v>
      </c>
      <c r="I355">
        <v>5.7193027999999997E-4</v>
      </c>
      <c r="J355">
        <v>0.37044371999999998</v>
      </c>
      <c r="K355">
        <v>6.2438661000000003E-3</v>
      </c>
      <c r="L355">
        <v>28.560307000000002</v>
      </c>
      <c r="M355">
        <v>1.9708292E-3</v>
      </c>
      <c r="N355">
        <v>0.92036604</v>
      </c>
      <c r="O355">
        <v>0.95315123000000002</v>
      </c>
      <c r="P355">
        <v>-3.4670860999999997E-2</v>
      </c>
      <c r="Q355">
        <v>1.8856687000000001E-3</v>
      </c>
      <c r="R355" s="163">
        <v>6.4783044999999996E-8</v>
      </c>
      <c r="S355">
        <v>5.5011673000000001E-3</v>
      </c>
      <c r="T355" s="163">
        <v>6.7334662E-5</v>
      </c>
      <c r="U355">
        <v>7.4913118999999999E-4</v>
      </c>
      <c r="V355">
        <v>1.1571311000000001E-2</v>
      </c>
      <c r="W355">
        <v>2.2821424000000002E-3</v>
      </c>
      <c r="X355" s="163">
        <v>9.7765192000000005E-7</v>
      </c>
      <c r="Y355">
        <v>14.767761999999999</v>
      </c>
      <c r="Z355">
        <v>0.48029063999999999</v>
      </c>
      <c r="AA355" s="163">
        <v>3.4825998000000003E-8</v>
      </c>
      <c r="AB355">
        <v>8.2158732999999998E-2</v>
      </c>
      <c r="AC355">
        <v>21.168589000000001</v>
      </c>
      <c r="AD355" s="163">
        <v>4.4677735000000002E-10</v>
      </c>
      <c r="AE355" s="163">
        <v>1.070574E-8</v>
      </c>
      <c r="AF355">
        <v>8.1837871</v>
      </c>
      <c r="AG355">
        <v>0</v>
      </c>
      <c r="AH355">
        <v>0</v>
      </c>
      <c r="AI355">
        <v>2.5195679000000002</v>
      </c>
      <c r="AJ355">
        <v>0</v>
      </c>
      <c r="AK355">
        <v>0</v>
      </c>
      <c r="AL355">
        <v>15.673802</v>
      </c>
      <c r="AM355">
        <v>0</v>
      </c>
      <c r="AN355">
        <v>0</v>
      </c>
      <c r="AO355">
        <v>0</v>
      </c>
      <c r="AP355">
        <v>1.5959887999999998E-2</v>
      </c>
      <c r="AQ355">
        <v>1.6376493E-3</v>
      </c>
      <c r="AR355">
        <v>0.1196979</v>
      </c>
      <c r="AS355" s="163">
        <v>6.8551136E-5</v>
      </c>
      <c r="AT355">
        <v>0</v>
      </c>
      <c r="AU355">
        <v>0</v>
      </c>
      <c r="AV355">
        <v>0</v>
      </c>
      <c r="AW355">
        <v>0</v>
      </c>
      <c r="AX355">
        <v>0</v>
      </c>
    </row>
    <row r="356" spans="1:50">
      <c r="A356" t="s">
        <v>1600</v>
      </c>
      <c r="B356" s="189">
        <f t="shared" si="5"/>
        <v>5.1802230051858002E-2</v>
      </c>
      <c r="C356" s="163">
        <v>6.8558855000000002E-7</v>
      </c>
      <c r="D356">
        <v>3.1920570999999999E-3</v>
      </c>
      <c r="E356">
        <v>0.45119946999999999</v>
      </c>
      <c r="F356" s="163">
        <v>2.2472002999999999E-8</v>
      </c>
      <c r="G356">
        <v>1.4295388000000001E-4</v>
      </c>
      <c r="H356">
        <v>2.2425709E-3</v>
      </c>
      <c r="I356">
        <v>2.5649716000000002E-4</v>
      </c>
      <c r="J356">
        <v>0.17440842000000001</v>
      </c>
      <c r="K356">
        <v>2.8682274999999998E-3</v>
      </c>
      <c r="L356">
        <v>13.287993999999999</v>
      </c>
      <c r="M356">
        <v>9.0789560999999998E-4</v>
      </c>
      <c r="N356">
        <v>0.40662320000000002</v>
      </c>
      <c r="O356">
        <v>0.45867597999999998</v>
      </c>
      <c r="P356">
        <v>-5.2705329000000002E-2</v>
      </c>
      <c r="Q356">
        <v>6.5254077000000002E-4</v>
      </c>
      <c r="R356" s="163">
        <v>2.1365773000000001E-8</v>
      </c>
      <c r="S356">
        <v>2.7356530000000002E-3</v>
      </c>
      <c r="T356" s="163">
        <v>2.9020392999999998E-5</v>
      </c>
      <c r="U356">
        <v>3.9503185999999999E-4</v>
      </c>
      <c r="V356">
        <v>5.2256652999999997E-3</v>
      </c>
      <c r="W356">
        <v>1.2471505E-3</v>
      </c>
      <c r="X356" s="163">
        <v>6.8558805000000001E-7</v>
      </c>
      <c r="Y356">
        <v>6.0659656000000002</v>
      </c>
      <c r="Z356">
        <v>0.40189465000000002</v>
      </c>
      <c r="AA356" s="163">
        <v>2.3283183E-8</v>
      </c>
      <c r="AB356">
        <v>2.7492974999999999E-2</v>
      </c>
      <c r="AC356">
        <v>8.8045682999999997</v>
      </c>
      <c r="AD356" s="163">
        <v>2.0778521999999999E-10</v>
      </c>
      <c r="AE356" s="163">
        <v>4.497694E-9</v>
      </c>
      <c r="AF356">
        <v>6.1398358999999996</v>
      </c>
      <c r="AG356">
        <v>0</v>
      </c>
      <c r="AH356">
        <v>0</v>
      </c>
      <c r="AI356">
        <v>1.3311499</v>
      </c>
      <c r="AJ356">
        <v>0</v>
      </c>
      <c r="AK356">
        <v>0</v>
      </c>
      <c r="AL356">
        <v>6.4302980999999999</v>
      </c>
      <c r="AM356">
        <v>0</v>
      </c>
      <c r="AN356">
        <v>0</v>
      </c>
      <c r="AO356">
        <v>0</v>
      </c>
      <c r="AP356">
        <v>1.0814290000000001E-2</v>
      </c>
      <c r="AQ356" s="163">
        <v>8.0412811E-6</v>
      </c>
      <c r="AR356">
        <v>3.6532323999999998E-2</v>
      </c>
      <c r="AS356" s="163">
        <v>2.1743175E-5</v>
      </c>
      <c r="AT356">
        <v>0</v>
      </c>
      <c r="AU356">
        <v>0</v>
      </c>
      <c r="AV356">
        <v>0</v>
      </c>
      <c r="AW356">
        <v>0</v>
      </c>
      <c r="AX356">
        <v>0</v>
      </c>
    </row>
    <row r="357" spans="1:50">
      <c r="A357" t="s">
        <v>1601</v>
      </c>
      <c r="B357" s="189">
        <f t="shared" si="5"/>
        <v>6.6862338660508794E-2</v>
      </c>
      <c r="C357" s="163">
        <v>7.2572742999999997E-7</v>
      </c>
      <c r="D357">
        <v>4.1416366E-3</v>
      </c>
      <c r="E357">
        <v>0.57742892000000001</v>
      </c>
      <c r="F357" s="163">
        <v>3.1936804E-8</v>
      </c>
      <c r="G357">
        <v>1.8329946999999999E-4</v>
      </c>
      <c r="H357">
        <v>2.559431E-3</v>
      </c>
      <c r="I357">
        <v>3.2018405000000001E-4</v>
      </c>
      <c r="J357">
        <v>0.24317685999999999</v>
      </c>
      <c r="K357">
        <v>5.0944993999999999E-3</v>
      </c>
      <c r="L357">
        <v>17.224526000000001</v>
      </c>
      <c r="M357">
        <v>1.3328702E-3</v>
      </c>
      <c r="N357">
        <v>0.50109437999999995</v>
      </c>
      <c r="O357">
        <v>0.58686488999999997</v>
      </c>
      <c r="P357">
        <v>-8.6772404999999997E-2</v>
      </c>
      <c r="Q357">
        <v>1.0018920000000001E-3</v>
      </c>
      <c r="R357" s="163">
        <v>3.0850403999999998E-8</v>
      </c>
      <c r="S357">
        <v>3.1503384000000001E-3</v>
      </c>
      <c r="T357" s="163">
        <v>3.5389819000000003E-5</v>
      </c>
      <c r="U357">
        <v>4.8823483999999999E-4</v>
      </c>
      <c r="V357">
        <v>6.4310792999999998E-3</v>
      </c>
      <c r="W357">
        <v>1.5410767E-3</v>
      </c>
      <c r="X357" s="163">
        <v>7.2463841000000001E-7</v>
      </c>
      <c r="Y357">
        <v>8.0229318999999997</v>
      </c>
      <c r="Z357">
        <v>0.82697505000000004</v>
      </c>
      <c r="AA357" s="163">
        <v>2.6235160000000001E-8</v>
      </c>
      <c r="AB357">
        <v>3.6017673E-2</v>
      </c>
      <c r="AC357">
        <v>9.8538572999999996</v>
      </c>
      <c r="AD357" s="163">
        <v>2.6481895E-10</v>
      </c>
      <c r="AE357" s="163">
        <v>5.3474920000000003E-9</v>
      </c>
      <c r="AF357">
        <v>8.7673021999999996</v>
      </c>
      <c r="AG357">
        <v>0</v>
      </c>
      <c r="AH357">
        <v>0</v>
      </c>
      <c r="AI357">
        <v>1.9371750000000001</v>
      </c>
      <c r="AJ357">
        <v>0</v>
      </c>
      <c r="AK357">
        <v>0</v>
      </c>
      <c r="AL357">
        <v>8.5302249999999997</v>
      </c>
      <c r="AM357">
        <v>0</v>
      </c>
      <c r="AN357">
        <v>0</v>
      </c>
      <c r="AO357">
        <v>0</v>
      </c>
      <c r="AP357">
        <v>2.1126241E-2</v>
      </c>
      <c r="AQ357" s="163">
        <v>1.0709719E-5</v>
      </c>
      <c r="AR357">
        <v>4.6967080000000001E-2</v>
      </c>
      <c r="AS357" s="163">
        <v>2.8446419000000001E-5</v>
      </c>
      <c r="AT357">
        <v>0</v>
      </c>
      <c r="AU357">
        <v>0</v>
      </c>
      <c r="AV357">
        <v>0</v>
      </c>
      <c r="AW357">
        <v>0</v>
      </c>
      <c r="AX357">
        <v>0</v>
      </c>
    </row>
    <row r="358" spans="1:50">
      <c r="A358" t="s">
        <v>1602</v>
      </c>
      <c r="B358" s="189">
        <f t="shared" si="5"/>
        <v>7.9388270196614791E-2</v>
      </c>
      <c r="C358" s="163">
        <v>6.4296453E-7</v>
      </c>
      <c r="D358">
        <v>3.7760420999999999E-3</v>
      </c>
      <c r="E358">
        <v>0.553338</v>
      </c>
      <c r="F358" s="163">
        <v>4.0627842999999998E-8</v>
      </c>
      <c r="G358">
        <v>1.4770540000000001E-4</v>
      </c>
      <c r="H358">
        <v>2.3537985E-3</v>
      </c>
      <c r="I358">
        <v>2.9263864E-4</v>
      </c>
      <c r="J358">
        <v>0.40706328000000003</v>
      </c>
      <c r="K358">
        <v>5.2459763E-3</v>
      </c>
      <c r="L358">
        <v>18.887495000000001</v>
      </c>
      <c r="M358">
        <v>1.4950867000000001E-3</v>
      </c>
      <c r="N358">
        <v>0.56477031</v>
      </c>
      <c r="O358">
        <v>0.56322415000000003</v>
      </c>
      <c r="P358">
        <v>6.2575344999999999E-4</v>
      </c>
      <c r="Q358">
        <v>9.2040381999999995E-4</v>
      </c>
      <c r="R358" s="163">
        <v>3.7002127E-8</v>
      </c>
      <c r="S358">
        <v>2.8823563000000001E-3</v>
      </c>
      <c r="T358" s="163">
        <v>3.3796763E-5</v>
      </c>
      <c r="U358">
        <v>4.6801382000000001E-4</v>
      </c>
      <c r="V358">
        <v>5.8977346999999998E-3</v>
      </c>
      <c r="W358">
        <v>1.4406270999999999E-3</v>
      </c>
      <c r="X358" s="163">
        <v>6.4296503999999995E-7</v>
      </c>
      <c r="Y358">
        <v>7.044098</v>
      </c>
      <c r="Z358">
        <v>9.1980116000000001E-2</v>
      </c>
      <c r="AA358" s="163">
        <v>2.7547689E-8</v>
      </c>
      <c r="AB358">
        <v>3.2313389999999997E-2</v>
      </c>
      <c r="AC358">
        <v>9.9493641000000004</v>
      </c>
      <c r="AD358" s="163">
        <v>2.9581448999999998E-10</v>
      </c>
      <c r="AE358" s="163">
        <v>5.4400211000000003E-9</v>
      </c>
      <c r="AF358">
        <v>1.1946384999999999</v>
      </c>
      <c r="AG358">
        <v>0</v>
      </c>
      <c r="AH358">
        <v>0</v>
      </c>
      <c r="AI358">
        <v>0.72986861999999997</v>
      </c>
      <c r="AJ358">
        <v>0</v>
      </c>
      <c r="AK358">
        <v>0</v>
      </c>
      <c r="AL358">
        <v>7.4761207000000001</v>
      </c>
      <c r="AM358">
        <v>0</v>
      </c>
      <c r="AN358">
        <v>0</v>
      </c>
      <c r="AO358">
        <v>0</v>
      </c>
      <c r="AP358">
        <v>3.7438099000000002E-3</v>
      </c>
      <c r="AQ358" s="163">
        <v>1.0262707E-5</v>
      </c>
      <c r="AR358">
        <v>4.3503152000000003E-2</v>
      </c>
      <c r="AS358" s="163">
        <v>2.4255640000000001E-5</v>
      </c>
      <c r="AT358">
        <v>0</v>
      </c>
      <c r="AU358">
        <v>0</v>
      </c>
      <c r="AV358">
        <v>0</v>
      </c>
      <c r="AW358">
        <v>0</v>
      </c>
      <c r="AX358">
        <v>0</v>
      </c>
    </row>
    <row r="359" spans="1:50">
      <c r="A359" t="s">
        <v>1603</v>
      </c>
      <c r="B359" s="189">
        <f t="shared" si="5"/>
        <v>0.225078908755836</v>
      </c>
      <c r="C359" s="163">
        <v>3.9620961000000004E-6</v>
      </c>
      <c r="D359">
        <v>6.8076585999999996E-3</v>
      </c>
      <c r="E359">
        <v>1.1174717000000001</v>
      </c>
      <c r="F359" s="163">
        <v>6.6592882000000002E-8</v>
      </c>
      <c r="G359">
        <v>4.2289638999999998E-4</v>
      </c>
      <c r="H359">
        <v>4.7633913999999998E-3</v>
      </c>
      <c r="I359">
        <v>7.7963817E-4</v>
      </c>
      <c r="J359">
        <v>1.5023512999999999</v>
      </c>
      <c r="K359">
        <v>2.9596213999999999E-2</v>
      </c>
      <c r="L359">
        <v>46.909801000000002</v>
      </c>
      <c r="M359">
        <v>6.7813537999999998E-3</v>
      </c>
      <c r="N359">
        <v>1.2112407000000001</v>
      </c>
      <c r="O359">
        <v>1.0369225</v>
      </c>
      <c r="P359">
        <v>0.17329768000000001</v>
      </c>
      <c r="Q359">
        <v>1.0204916999999999E-3</v>
      </c>
      <c r="R359" s="163">
        <v>6.8065079999999993E-8</v>
      </c>
      <c r="S359">
        <v>5.886807E-3</v>
      </c>
      <c r="T359" s="163">
        <v>7.0357584000000002E-5</v>
      </c>
      <c r="U359">
        <v>1.1203127000000001E-3</v>
      </c>
      <c r="V359">
        <v>1.1811075000000001E-2</v>
      </c>
      <c r="W359">
        <v>2.7913015000000001E-3</v>
      </c>
      <c r="X359" s="163">
        <v>3.9621200000000003E-6</v>
      </c>
      <c r="Y359">
        <v>13.015267</v>
      </c>
      <c r="Z359">
        <v>0.22739829</v>
      </c>
      <c r="AA359" s="163">
        <v>6.4371194000000003E-8</v>
      </c>
      <c r="AB359">
        <v>5.0950627999999998E-2</v>
      </c>
      <c r="AC359">
        <v>102.70939</v>
      </c>
      <c r="AD359" s="163">
        <v>1.0248316E-9</v>
      </c>
      <c r="AE359" s="163">
        <v>1.5009481E-8</v>
      </c>
      <c r="AF359">
        <v>8.9283256000000009</v>
      </c>
      <c r="AG359">
        <v>0</v>
      </c>
      <c r="AH359">
        <v>0</v>
      </c>
      <c r="AI359">
        <v>1.4722862000000001</v>
      </c>
      <c r="AJ359">
        <v>0</v>
      </c>
      <c r="AK359">
        <v>0</v>
      </c>
      <c r="AL359">
        <v>13.886749</v>
      </c>
      <c r="AM359">
        <v>0</v>
      </c>
      <c r="AN359">
        <v>0</v>
      </c>
      <c r="AO359">
        <v>0</v>
      </c>
      <c r="AP359">
        <v>7.8433979999999997E-3</v>
      </c>
      <c r="AQ359" s="163">
        <v>2.1325268999999999E-5</v>
      </c>
      <c r="AR359">
        <v>0.11906567999999999</v>
      </c>
      <c r="AS359" s="163">
        <v>4.4016513999999999E-5</v>
      </c>
      <c r="AT359">
        <v>0</v>
      </c>
      <c r="AU359">
        <v>0</v>
      </c>
      <c r="AV359">
        <v>0</v>
      </c>
      <c r="AW359">
        <v>0</v>
      </c>
      <c r="AX359">
        <v>0</v>
      </c>
    </row>
    <row r="360" spans="1:50">
      <c r="A360" t="s">
        <v>1604</v>
      </c>
      <c r="B360" s="189">
        <f t="shared" si="5"/>
        <v>6.98798897177232</v>
      </c>
      <c r="C360" s="163">
        <v>1.7699027000000002E-5</v>
      </c>
      <c r="D360">
        <v>0.36331438999999999</v>
      </c>
      <c r="E360">
        <v>52.481648999999997</v>
      </c>
      <c r="F360" s="163">
        <v>9.5141975999999992E-6</v>
      </c>
      <c r="G360">
        <v>5.3175923E-2</v>
      </c>
      <c r="H360">
        <v>0.39815826999999998</v>
      </c>
      <c r="I360">
        <v>8.9591460999999997E-2</v>
      </c>
      <c r="J360">
        <v>18.905918</v>
      </c>
      <c r="K360">
        <v>0.26350101999999997</v>
      </c>
      <c r="L360">
        <v>888.65322000000003</v>
      </c>
      <c r="M360">
        <v>3.1281900000000001E-2</v>
      </c>
      <c r="N360">
        <v>53.049864999999997</v>
      </c>
      <c r="O360">
        <v>53.036606999999997</v>
      </c>
      <c r="P360">
        <v>8.7527931999999992E-3</v>
      </c>
      <c r="Q360">
        <v>4.5047493000000003E-3</v>
      </c>
      <c r="R360" s="163">
        <v>1.1981891999999999E-5</v>
      </c>
      <c r="S360">
        <v>0.55591519</v>
      </c>
      <c r="T360">
        <v>4.0508687999999998E-4</v>
      </c>
      <c r="U360">
        <v>0.24096600000000001</v>
      </c>
      <c r="V360">
        <v>2.6481626</v>
      </c>
      <c r="W360">
        <v>0.72750711999999995</v>
      </c>
      <c r="X360" s="163">
        <v>1.7699253999999999E-5</v>
      </c>
      <c r="Y360">
        <v>767.01725999999996</v>
      </c>
      <c r="Z360">
        <v>4.1350024000000003</v>
      </c>
      <c r="AA360" s="163">
        <v>1.4545081E-5</v>
      </c>
      <c r="AB360">
        <v>3.3057829000000001</v>
      </c>
      <c r="AC360">
        <v>433.60323</v>
      </c>
      <c r="AD360" s="163">
        <v>1.4918042999999999E-8</v>
      </c>
      <c r="AE360" s="163">
        <v>3.7779918999999998E-7</v>
      </c>
      <c r="AF360">
        <v>97.147963000000004</v>
      </c>
      <c r="AG360">
        <v>0</v>
      </c>
      <c r="AH360">
        <v>0</v>
      </c>
      <c r="AI360">
        <v>4.443435</v>
      </c>
      <c r="AJ360">
        <v>0</v>
      </c>
      <c r="AK360">
        <v>0</v>
      </c>
      <c r="AL360">
        <v>814.49090000000001</v>
      </c>
      <c r="AM360">
        <v>0</v>
      </c>
      <c r="AN360">
        <v>0</v>
      </c>
      <c r="AO360">
        <v>0</v>
      </c>
      <c r="AP360">
        <v>0.1052703</v>
      </c>
      <c r="AQ360">
        <v>3.4203551E-4</v>
      </c>
      <c r="AR360">
        <v>0.81743580000000005</v>
      </c>
      <c r="AS360">
        <v>5.3278665000000003E-3</v>
      </c>
      <c r="AT360">
        <v>0</v>
      </c>
      <c r="AU360">
        <v>0</v>
      </c>
      <c r="AV360">
        <v>0</v>
      </c>
      <c r="AW360">
        <v>0</v>
      </c>
      <c r="AX360">
        <v>0</v>
      </c>
    </row>
    <row r="361" spans="1:50">
      <c r="A361" t="s">
        <v>1605</v>
      </c>
      <c r="B361" s="189">
        <f t="shared" si="5"/>
        <v>7.9271746360441604</v>
      </c>
      <c r="C361" s="163">
        <v>2.0077776E-5</v>
      </c>
      <c r="D361">
        <v>0.41214383999999998</v>
      </c>
      <c r="E361">
        <v>59.535183000000004</v>
      </c>
      <c r="F361" s="163">
        <v>1.0792905999999999E-5</v>
      </c>
      <c r="G361">
        <v>6.0322766999999999E-2</v>
      </c>
      <c r="H361">
        <v>0.45167074000000001</v>
      </c>
      <c r="I361">
        <v>0.10163255</v>
      </c>
      <c r="J361">
        <v>21.446873</v>
      </c>
      <c r="K361">
        <v>0.29891556000000002</v>
      </c>
      <c r="L361">
        <v>1008.0882</v>
      </c>
      <c r="M361">
        <v>3.5486187000000002E-2</v>
      </c>
      <c r="N361">
        <v>60.179766999999998</v>
      </c>
      <c r="O361">
        <v>60.164726999999999</v>
      </c>
      <c r="P361">
        <v>9.9291685999999997E-3</v>
      </c>
      <c r="Q361">
        <v>5.1101875999999997E-3</v>
      </c>
      <c r="R361" s="163">
        <v>1.3592258E-5</v>
      </c>
      <c r="S361">
        <v>0.63063018999999998</v>
      </c>
      <c r="T361">
        <v>4.5953056000000003E-4</v>
      </c>
      <c r="U361">
        <v>0.27335183000000002</v>
      </c>
      <c r="V361">
        <v>3.0040757</v>
      </c>
      <c r="W361">
        <v>0.82528407999999998</v>
      </c>
      <c r="X361" s="163">
        <v>2.0078034E-5</v>
      </c>
      <c r="Y361">
        <v>870.10437999999999</v>
      </c>
      <c r="Z361">
        <v>4.6907467</v>
      </c>
      <c r="AA361" s="163">
        <v>1.6499939000000001E-5</v>
      </c>
      <c r="AB361">
        <v>3.7500800999999999</v>
      </c>
      <c r="AC361">
        <v>491.87950000000001</v>
      </c>
      <c r="AD361" s="163">
        <v>1.6923028000000001E-8</v>
      </c>
      <c r="AE361" s="163">
        <v>4.2857539999999998E-7</v>
      </c>
      <c r="AF361">
        <v>110.20465</v>
      </c>
      <c r="AG361">
        <v>0</v>
      </c>
      <c r="AH361">
        <v>0</v>
      </c>
      <c r="AI361">
        <v>5.0406326999999997</v>
      </c>
      <c r="AJ361">
        <v>0</v>
      </c>
      <c r="AK361">
        <v>0</v>
      </c>
      <c r="AL361">
        <v>923.95848000000001</v>
      </c>
      <c r="AM361">
        <v>0</v>
      </c>
      <c r="AN361">
        <v>0</v>
      </c>
      <c r="AO361">
        <v>0</v>
      </c>
      <c r="AP361">
        <v>0.11941863</v>
      </c>
      <c r="AQ361">
        <v>3.8800507999999997E-4</v>
      </c>
      <c r="AR361">
        <v>0.92729916999999995</v>
      </c>
      <c r="AS361">
        <v>6.0439316999999996E-3</v>
      </c>
      <c r="AT361">
        <v>0</v>
      </c>
      <c r="AU361">
        <v>0</v>
      </c>
      <c r="AV361">
        <v>0</v>
      </c>
      <c r="AW361">
        <v>0</v>
      </c>
      <c r="AX361">
        <v>0</v>
      </c>
    </row>
    <row r="362" spans="1:50">
      <c r="A362" t="s">
        <v>1606</v>
      </c>
      <c r="B362" s="189">
        <f t="shared" si="5"/>
        <v>1.8514685554582001E-2</v>
      </c>
      <c r="C362" s="163">
        <v>3.8613494999999999E-7</v>
      </c>
      <c r="D362">
        <v>1.1644242999999999E-3</v>
      </c>
      <c r="E362">
        <v>0.17534859</v>
      </c>
      <c r="F362" s="163">
        <v>1.6583432999999999E-8</v>
      </c>
      <c r="G362" s="163">
        <v>6.5575063E-5</v>
      </c>
      <c r="H362">
        <v>1.1238259E-3</v>
      </c>
      <c r="I362" s="163">
        <v>9.8586599999999996E-5</v>
      </c>
      <c r="J362">
        <v>3.8084681000000002E-2</v>
      </c>
      <c r="K362">
        <v>1.2293577E-3</v>
      </c>
      <c r="L362">
        <v>5.7570408000000004</v>
      </c>
      <c r="M362">
        <v>1.0749425E-4</v>
      </c>
      <c r="N362">
        <v>0.17751349</v>
      </c>
      <c r="O362">
        <v>0.17679595000000001</v>
      </c>
      <c r="P362">
        <v>6.8098259999999999E-4</v>
      </c>
      <c r="Q362" s="163">
        <v>3.6562593000000002E-5</v>
      </c>
      <c r="R362" s="163">
        <v>1.9830979000000001E-8</v>
      </c>
      <c r="S362">
        <v>1.362905E-3</v>
      </c>
      <c r="T362" s="163">
        <v>4.066815E-6</v>
      </c>
      <c r="U362">
        <v>2.1489892E-4</v>
      </c>
      <c r="V362">
        <v>2.6356609E-3</v>
      </c>
      <c r="W362">
        <v>6.6195972999999995E-4</v>
      </c>
      <c r="X362" s="163">
        <v>3.8613760000000002E-7</v>
      </c>
      <c r="Y362">
        <v>2.1972445999999999</v>
      </c>
      <c r="Z362">
        <v>3.4044063999999999E-2</v>
      </c>
      <c r="AA362" s="163">
        <v>1.2942731999999999E-8</v>
      </c>
      <c r="AB362">
        <v>3.5225106000000002E-3</v>
      </c>
      <c r="AC362">
        <v>2.7701965999999998</v>
      </c>
      <c r="AD362" s="163">
        <v>2.8049579999999999E-11</v>
      </c>
      <c r="AE362" s="163">
        <v>8.5793232000000005E-10</v>
      </c>
      <c r="AF362">
        <v>0.40127901999999999</v>
      </c>
      <c r="AG362">
        <v>0</v>
      </c>
      <c r="AH362">
        <v>0</v>
      </c>
      <c r="AI362">
        <v>5.9857938999999999E-2</v>
      </c>
      <c r="AJ362">
        <v>0</v>
      </c>
      <c r="AK362">
        <v>0</v>
      </c>
      <c r="AL362">
        <v>2.3981170000000001</v>
      </c>
      <c r="AM362">
        <v>0</v>
      </c>
      <c r="AN362">
        <v>0</v>
      </c>
      <c r="AO362">
        <v>0</v>
      </c>
      <c r="AP362">
        <v>8.4584264999999997E-4</v>
      </c>
      <c r="AQ362" s="163">
        <v>2.4070697E-6</v>
      </c>
      <c r="AR362">
        <v>8.0958121000000004E-3</v>
      </c>
      <c r="AS362" s="163">
        <v>4.8376264000000001E-6</v>
      </c>
      <c r="AT362">
        <v>0</v>
      </c>
      <c r="AU362">
        <v>0</v>
      </c>
      <c r="AV362">
        <v>0</v>
      </c>
      <c r="AW362">
        <v>0</v>
      </c>
      <c r="AX362">
        <v>0</v>
      </c>
    </row>
    <row r="363" spans="1:50">
      <c r="A363" t="s">
        <v>1607</v>
      </c>
      <c r="B363" s="189">
        <f t="shared" si="5"/>
        <v>12.443040095263921</v>
      </c>
      <c r="C363" s="163">
        <v>3.1515462000000003E-5</v>
      </c>
      <c r="D363">
        <v>0.64692939999999999</v>
      </c>
      <c r="E363">
        <v>93.450529000000003</v>
      </c>
      <c r="F363" s="163">
        <v>1.6941289E-5</v>
      </c>
      <c r="G363">
        <v>9.4686776E-2</v>
      </c>
      <c r="H363">
        <v>0.70897354000000001</v>
      </c>
      <c r="I363">
        <v>0.15952947000000001</v>
      </c>
      <c r="J363">
        <v>33.664490999999998</v>
      </c>
      <c r="K363">
        <v>0.46919846999999998</v>
      </c>
      <c r="L363">
        <v>1582.3648000000001</v>
      </c>
      <c r="M363">
        <v>5.5701567E-2</v>
      </c>
      <c r="N363">
        <v>94.462311999999997</v>
      </c>
      <c r="O363">
        <v>94.438704999999999</v>
      </c>
      <c r="P363">
        <v>1.5585508E-2</v>
      </c>
      <c r="Q363">
        <v>8.0213029000000009E-3</v>
      </c>
      <c r="R363" s="163">
        <v>2.1335346000000001E-5</v>
      </c>
      <c r="S363">
        <v>0.98988063999999998</v>
      </c>
      <c r="T363">
        <v>7.2131086E-4</v>
      </c>
      <c r="U363">
        <v>0.42907188000000002</v>
      </c>
      <c r="V363">
        <v>4.7154043999999997</v>
      </c>
      <c r="W363">
        <v>1.2954228000000001</v>
      </c>
      <c r="X363" s="163">
        <v>3.1515866000000001E-5</v>
      </c>
      <c r="Y363">
        <v>1365.7757999999999</v>
      </c>
      <c r="Z363">
        <v>7.3629195999999997</v>
      </c>
      <c r="AA363" s="163">
        <v>2.5899442999999999E-5</v>
      </c>
      <c r="AB363">
        <v>5.8863843999999999</v>
      </c>
      <c r="AC363">
        <v>772.08798999999999</v>
      </c>
      <c r="AD363" s="163">
        <v>2.6563552000000002E-8</v>
      </c>
      <c r="AE363" s="163">
        <v>6.7272151000000003E-7</v>
      </c>
      <c r="AF363">
        <v>172.98482000000001</v>
      </c>
      <c r="AG363">
        <v>0</v>
      </c>
      <c r="AH363">
        <v>0</v>
      </c>
      <c r="AI363">
        <v>7.9121246999999997</v>
      </c>
      <c r="AJ363">
        <v>0</v>
      </c>
      <c r="AK363">
        <v>0</v>
      </c>
      <c r="AL363">
        <v>1450.3089</v>
      </c>
      <c r="AM363">
        <v>0</v>
      </c>
      <c r="AN363">
        <v>0</v>
      </c>
      <c r="AO363">
        <v>0</v>
      </c>
      <c r="AP363">
        <v>0.18744770999999999</v>
      </c>
      <c r="AQ363">
        <v>6.0903952999999996E-4</v>
      </c>
      <c r="AR363">
        <v>1.4555526999999999</v>
      </c>
      <c r="AS363">
        <v>9.4869719999999998E-3</v>
      </c>
      <c r="AT363">
        <v>0</v>
      </c>
      <c r="AU363">
        <v>0</v>
      </c>
      <c r="AV363">
        <v>0</v>
      </c>
      <c r="AW363">
        <v>0</v>
      </c>
      <c r="AX363">
        <v>0</v>
      </c>
    </row>
    <row r="364" spans="1:50">
      <c r="A364" t="s">
        <v>1608</v>
      </c>
      <c r="B364" s="189">
        <f t="shared" si="5"/>
        <v>8.749699511878001</v>
      </c>
      <c r="C364" s="163">
        <v>2.216105E-5</v>
      </c>
      <c r="D364">
        <v>0.45490795000000001</v>
      </c>
      <c r="E364">
        <v>65.712563000000003</v>
      </c>
      <c r="F364" s="163">
        <v>1.1912779E-5</v>
      </c>
      <c r="G364">
        <v>6.6581867000000003E-2</v>
      </c>
      <c r="H364">
        <v>0.49853616000000001</v>
      </c>
      <c r="I364">
        <v>0.11217795999999999</v>
      </c>
      <c r="J364">
        <v>23.672204000000001</v>
      </c>
      <c r="K364">
        <v>0.32993107999999999</v>
      </c>
      <c r="L364">
        <v>1112.6876</v>
      </c>
      <c r="M364">
        <v>3.9168239000000001E-2</v>
      </c>
      <c r="N364">
        <v>66.424029000000004</v>
      </c>
      <c r="O364">
        <v>66.407428999999993</v>
      </c>
      <c r="P364">
        <v>1.0959421E-2</v>
      </c>
      <c r="Q364">
        <v>5.6404215000000002E-3</v>
      </c>
      <c r="R364" s="163">
        <v>1.5002593E-5</v>
      </c>
      <c r="S364">
        <v>0.69606447999999999</v>
      </c>
      <c r="T364">
        <v>5.0721152000000002E-4</v>
      </c>
      <c r="U364">
        <v>0.30171484999999998</v>
      </c>
      <c r="V364">
        <v>3.315779</v>
      </c>
      <c r="W364">
        <v>0.91091568000000001</v>
      </c>
      <c r="X364" s="163">
        <v>2.2161334E-5</v>
      </c>
      <c r="Y364">
        <v>960.38653999999997</v>
      </c>
      <c r="Z364">
        <v>5.1774592999999998</v>
      </c>
      <c r="AA364" s="163">
        <v>1.8211975999999999E-5</v>
      </c>
      <c r="AB364">
        <v>4.139189</v>
      </c>
      <c r="AC364">
        <v>542.91699000000006</v>
      </c>
      <c r="AD364" s="163">
        <v>1.8678964E-8</v>
      </c>
      <c r="AE364" s="163">
        <v>4.7304445E-7</v>
      </c>
      <c r="AF364">
        <v>121.6395</v>
      </c>
      <c r="AG364">
        <v>0</v>
      </c>
      <c r="AH364">
        <v>0</v>
      </c>
      <c r="AI364">
        <v>5.5636495000000004</v>
      </c>
      <c r="AJ364">
        <v>0</v>
      </c>
      <c r="AK364">
        <v>0</v>
      </c>
      <c r="AL364">
        <v>1019.8286000000001</v>
      </c>
      <c r="AM364">
        <v>0</v>
      </c>
      <c r="AN364">
        <v>0</v>
      </c>
      <c r="AO364">
        <v>0</v>
      </c>
      <c r="AP364">
        <v>0.13180952000000001</v>
      </c>
      <c r="AQ364">
        <v>4.2826455E-4</v>
      </c>
      <c r="AR364">
        <v>1.0235159</v>
      </c>
      <c r="AS364">
        <v>6.6710509999999999E-3</v>
      </c>
      <c r="AT364">
        <v>0</v>
      </c>
      <c r="AU364">
        <v>0</v>
      </c>
      <c r="AV364">
        <v>0</v>
      </c>
      <c r="AW364">
        <v>0</v>
      </c>
      <c r="AX364">
        <v>0</v>
      </c>
    </row>
    <row r="365" spans="1:50">
      <c r="A365" t="s">
        <v>1609</v>
      </c>
      <c r="B365" s="189">
        <f t="shared" si="5"/>
        <v>1.3534146002865999</v>
      </c>
      <c r="C365">
        <v>2.0097543000000001E-4</v>
      </c>
      <c r="D365">
        <v>3.4048421000000002E-2</v>
      </c>
      <c r="E365">
        <v>4.0549524999999997</v>
      </c>
      <c r="F365" s="163">
        <v>5.5486925999999995E-7</v>
      </c>
      <c r="G365">
        <v>3.4338560999999999E-3</v>
      </c>
      <c r="H365">
        <v>5.1413622999999999E-2</v>
      </c>
      <c r="I365">
        <v>1.4963736E-2</v>
      </c>
      <c r="J365">
        <v>6.9271630999999996</v>
      </c>
      <c r="K365">
        <v>2.3032566000000001</v>
      </c>
      <c r="L365">
        <v>1042.0253</v>
      </c>
      <c r="M365">
        <v>2.0494842999999999E-2</v>
      </c>
      <c r="N365">
        <v>4.1729257999999998</v>
      </c>
      <c r="O365">
        <v>4.1885712000000002</v>
      </c>
      <c r="P365">
        <v>-1.8914385999999998E-2</v>
      </c>
      <c r="Q365">
        <v>3.2689473E-3</v>
      </c>
      <c r="R365" s="163">
        <v>5.8185828999999999E-7</v>
      </c>
      <c r="S365">
        <v>6.0181933E-2</v>
      </c>
      <c r="T365">
        <v>3.2970299999999998E-3</v>
      </c>
      <c r="U365">
        <v>9.5168332999999994E-3</v>
      </c>
      <c r="V365">
        <v>6.6969256000000005E-2</v>
      </c>
      <c r="W365">
        <v>1.7172665E-2</v>
      </c>
      <c r="X365">
        <v>2.0098916000000001E-4</v>
      </c>
      <c r="Y365">
        <v>65.477361999999999</v>
      </c>
      <c r="Z365">
        <v>3.4955010999999998</v>
      </c>
      <c r="AA365" s="163">
        <v>2.6220639999999998E-7</v>
      </c>
      <c r="AB365">
        <v>0.13593536000000001</v>
      </c>
      <c r="AC365">
        <v>641.72811000000002</v>
      </c>
      <c r="AD365" s="163">
        <v>1.2193569E-8</v>
      </c>
      <c r="AE365" s="163">
        <v>4.2876875000000001E-7</v>
      </c>
      <c r="AF365">
        <v>50.796850999999997</v>
      </c>
      <c r="AG365">
        <v>0</v>
      </c>
      <c r="AH365">
        <v>0</v>
      </c>
      <c r="AI365">
        <v>3.8750333000000001</v>
      </c>
      <c r="AJ365">
        <v>0</v>
      </c>
      <c r="AK365">
        <v>0</v>
      </c>
      <c r="AL365">
        <v>70.216577999999998</v>
      </c>
      <c r="AM365">
        <v>0</v>
      </c>
      <c r="AN365">
        <v>0</v>
      </c>
      <c r="AO365">
        <v>0</v>
      </c>
      <c r="AP365">
        <v>8.6843937999999996E-2</v>
      </c>
      <c r="AQ365" s="163">
        <v>7.6302268000000002E-5</v>
      </c>
      <c r="AR365">
        <v>0.64494459000000004</v>
      </c>
      <c r="AS365">
        <v>1.3136705000000001E-4</v>
      </c>
      <c r="AT365">
        <v>0</v>
      </c>
      <c r="AU365">
        <v>0</v>
      </c>
      <c r="AV365">
        <v>0</v>
      </c>
      <c r="AW365">
        <v>0</v>
      </c>
      <c r="AX365">
        <v>0</v>
      </c>
    </row>
    <row r="366" spans="1:50">
      <c r="A366" t="s">
        <v>1610</v>
      </c>
      <c r="B366" s="189">
        <f t="shared" si="5"/>
        <v>0</v>
      </c>
      <c r="C366">
        <v>0</v>
      </c>
      <c r="D366">
        <v>0</v>
      </c>
      <c r="E366">
        <v>0</v>
      </c>
      <c r="F366">
        <v>0</v>
      </c>
      <c r="G366">
        <v>0</v>
      </c>
      <c r="H366">
        <v>0</v>
      </c>
      <c r="I366">
        <v>0</v>
      </c>
      <c r="J366">
        <v>0</v>
      </c>
      <c r="K366">
        <v>0</v>
      </c>
      <c r="L366">
        <v>0</v>
      </c>
      <c r="M366">
        <v>0</v>
      </c>
      <c r="N366">
        <v>0</v>
      </c>
      <c r="O366">
        <v>0</v>
      </c>
      <c r="P366">
        <v>0</v>
      </c>
      <c r="Q366">
        <v>0</v>
      </c>
      <c r="R366">
        <v>0</v>
      </c>
      <c r="S366">
        <v>0</v>
      </c>
      <c r="T366">
        <v>0</v>
      </c>
      <c r="U366">
        <v>0</v>
      </c>
      <c r="V366">
        <v>0</v>
      </c>
      <c r="W366">
        <v>0</v>
      </c>
      <c r="X366">
        <v>0</v>
      </c>
      <c r="Y366">
        <v>0</v>
      </c>
      <c r="Z366">
        <v>0</v>
      </c>
      <c r="AA366">
        <v>0</v>
      </c>
      <c r="AB366">
        <v>0</v>
      </c>
      <c r="AC366">
        <v>0</v>
      </c>
      <c r="AD366">
        <v>0</v>
      </c>
      <c r="AE366">
        <v>0</v>
      </c>
      <c r="AF366">
        <v>0</v>
      </c>
      <c r="AG366">
        <v>0</v>
      </c>
      <c r="AH366">
        <v>0</v>
      </c>
      <c r="AI366">
        <v>0</v>
      </c>
      <c r="AJ366">
        <v>0</v>
      </c>
      <c r="AK366">
        <v>0</v>
      </c>
      <c r="AL366">
        <v>0</v>
      </c>
      <c r="AM366">
        <v>0</v>
      </c>
      <c r="AN366">
        <v>0</v>
      </c>
      <c r="AO366">
        <v>0</v>
      </c>
      <c r="AP366">
        <v>0</v>
      </c>
      <c r="AQ366">
        <v>0</v>
      </c>
      <c r="AR366">
        <v>0</v>
      </c>
      <c r="AS366">
        <v>0</v>
      </c>
      <c r="AT366">
        <v>0</v>
      </c>
      <c r="AU366">
        <v>0</v>
      </c>
      <c r="AV366">
        <v>0</v>
      </c>
      <c r="AW366">
        <v>0</v>
      </c>
      <c r="AX366">
        <v>0</v>
      </c>
    </row>
    <row r="367" spans="1:50">
      <c r="A367" t="s">
        <v>1611</v>
      </c>
      <c r="B367" s="189">
        <f t="shared" si="5"/>
        <v>0.90076556437978006</v>
      </c>
      <c r="C367" s="163">
        <v>6.5552980000000001E-6</v>
      </c>
      <c r="D367">
        <v>8.0943505999999995E-3</v>
      </c>
      <c r="E367">
        <v>3.9970609000000001</v>
      </c>
      <c r="F367" s="163">
        <v>1.5200787E-7</v>
      </c>
      <c r="G367">
        <v>6.1033199000000002E-3</v>
      </c>
      <c r="H367">
        <v>4.0003904E-2</v>
      </c>
      <c r="I367">
        <v>1.7991719999999999E-2</v>
      </c>
      <c r="J367">
        <v>1.8353109000000001</v>
      </c>
      <c r="K367">
        <v>3.4830122000000001</v>
      </c>
      <c r="L367">
        <v>36.660553999999998</v>
      </c>
      <c r="M367">
        <v>1.5354946</v>
      </c>
      <c r="N367">
        <v>0.11045065</v>
      </c>
      <c r="O367">
        <v>1.3571746</v>
      </c>
      <c r="P367">
        <v>-3.9691662999999999</v>
      </c>
      <c r="Q367">
        <v>2.7224423999999998</v>
      </c>
      <c r="R367" s="163">
        <v>1.6702857999999999E-7</v>
      </c>
      <c r="S367">
        <v>5.9629406000000003E-2</v>
      </c>
      <c r="T367">
        <v>1.8073146999999999E-4</v>
      </c>
      <c r="U367">
        <v>4.0876640999999998E-2</v>
      </c>
      <c r="V367">
        <v>0.29894778999999999</v>
      </c>
      <c r="W367">
        <v>6.7288028E-2</v>
      </c>
      <c r="X367" s="163">
        <v>6.0242098999999998E-6</v>
      </c>
      <c r="Y367">
        <v>15.672516999999999</v>
      </c>
      <c r="Z367">
        <v>1.5318552000000001</v>
      </c>
      <c r="AA367" s="163">
        <v>4.5116703000000001E-7</v>
      </c>
      <c r="AB367">
        <v>4.2320836000000001E-2</v>
      </c>
      <c r="AC367">
        <v>169.20364000000001</v>
      </c>
      <c r="AD367" s="163">
        <v>6.3529588E-9</v>
      </c>
      <c r="AE367" s="163">
        <v>1.1539429E-7</v>
      </c>
      <c r="AF367">
        <v>138.71043</v>
      </c>
      <c r="AG367">
        <v>16.004999999999999</v>
      </c>
      <c r="AH367">
        <v>44</v>
      </c>
      <c r="AI367">
        <v>60.005206000000001</v>
      </c>
      <c r="AJ367">
        <v>20.462</v>
      </c>
      <c r="AK367">
        <v>0</v>
      </c>
      <c r="AL367">
        <v>20.461559999999999</v>
      </c>
      <c r="AM367">
        <v>1.24</v>
      </c>
      <c r="AN367">
        <v>0</v>
      </c>
      <c r="AO367">
        <v>0</v>
      </c>
      <c r="AP367">
        <v>5.8434310000000003E-2</v>
      </c>
      <c r="AQ367" s="163">
        <v>2.0541662999999999E-5</v>
      </c>
      <c r="AR367">
        <v>0.41879878999999998</v>
      </c>
      <c r="AS367" s="163">
        <v>5.0848898000000002E-5</v>
      </c>
      <c r="AT367">
        <v>0</v>
      </c>
      <c r="AU367">
        <v>0</v>
      </c>
      <c r="AV367">
        <v>0</v>
      </c>
      <c r="AW367">
        <v>0</v>
      </c>
      <c r="AX367">
        <v>0</v>
      </c>
    </row>
    <row r="368" spans="1:50">
      <c r="A368" t="s">
        <v>1612</v>
      </c>
      <c r="B368" s="189">
        <f t="shared" si="5"/>
        <v>0.77401201680208409</v>
      </c>
      <c r="C368" s="163">
        <v>6.8579048999999996E-6</v>
      </c>
      <c r="D368">
        <v>8.6476916000000001E-3</v>
      </c>
      <c r="E368">
        <v>4.0898836000000003</v>
      </c>
      <c r="F368" s="163">
        <v>1.6078271E-7</v>
      </c>
      <c r="G368">
        <v>4.9828633999999998E-3</v>
      </c>
      <c r="H368">
        <v>1.9899971999999998E-2</v>
      </c>
      <c r="I368">
        <v>1.2728873999999999E-2</v>
      </c>
      <c r="J368">
        <v>1.8148310000000001</v>
      </c>
      <c r="K368">
        <v>3.4838566000000002</v>
      </c>
      <c r="L368">
        <v>40.174626000000004</v>
      </c>
      <c r="M368">
        <v>1.5355809</v>
      </c>
      <c r="N368">
        <v>0.20418501999999999</v>
      </c>
      <c r="O368">
        <v>1.4511102</v>
      </c>
      <c r="P368">
        <v>-3.9693874999999998</v>
      </c>
      <c r="Q368">
        <v>2.7224623000000001</v>
      </c>
      <c r="R368" s="163">
        <v>1.7772624999999999E-7</v>
      </c>
      <c r="S368">
        <v>2.9849858999999999E-2</v>
      </c>
      <c r="T368">
        <v>1.8355846000000001E-4</v>
      </c>
      <c r="U368">
        <v>2.5023778E-2</v>
      </c>
      <c r="V368">
        <v>0.12612013</v>
      </c>
      <c r="W368">
        <v>2.6548669E-2</v>
      </c>
      <c r="X368" s="163">
        <v>6.3269797000000002E-6</v>
      </c>
      <c r="Y368">
        <v>16.744785</v>
      </c>
      <c r="Z368">
        <v>1.6799333000000001</v>
      </c>
      <c r="AA368" s="163">
        <v>3.9407465000000001E-7</v>
      </c>
      <c r="AB368">
        <v>4.4635146000000001E-2</v>
      </c>
      <c r="AC368">
        <v>169.96795</v>
      </c>
      <c r="AD368" s="163">
        <v>6.3811505000000002E-9</v>
      </c>
      <c r="AE368" s="163">
        <v>1.1603189E-7</v>
      </c>
      <c r="AF368">
        <v>138.85722999999999</v>
      </c>
      <c r="AG368">
        <v>16.026</v>
      </c>
      <c r="AH368">
        <v>44</v>
      </c>
      <c r="AI368">
        <v>60.025989000000003</v>
      </c>
      <c r="AJ368">
        <v>21.626999999999999</v>
      </c>
      <c r="AK368">
        <v>0</v>
      </c>
      <c r="AL368">
        <v>21.626660000000001</v>
      </c>
      <c r="AM368">
        <v>1.24</v>
      </c>
      <c r="AN368">
        <v>0</v>
      </c>
      <c r="AO368">
        <v>0</v>
      </c>
      <c r="AP368">
        <v>6.1914627E-2</v>
      </c>
      <c r="AQ368" s="163">
        <v>2.1557638999999998E-5</v>
      </c>
      <c r="AR368">
        <v>0.42243035000000001</v>
      </c>
      <c r="AS368" s="163">
        <v>5.4116870999999997E-5</v>
      </c>
      <c r="AT368">
        <v>0</v>
      </c>
      <c r="AU368">
        <v>0</v>
      </c>
      <c r="AV368">
        <v>0</v>
      </c>
      <c r="AW368">
        <v>0</v>
      </c>
      <c r="AX368">
        <v>0</v>
      </c>
    </row>
    <row r="369" spans="1:50">
      <c r="A369" t="s">
        <v>1613</v>
      </c>
      <c r="B369" s="189">
        <f t="shared" si="5"/>
        <v>0.86660964817977992</v>
      </c>
      <c r="C369" s="163">
        <v>6.5552980000000001E-6</v>
      </c>
      <c r="D369">
        <v>8.0943505999999995E-3</v>
      </c>
      <c r="E369">
        <v>3.9964168999999998</v>
      </c>
      <c r="F369" s="163">
        <v>1.5200787E-7</v>
      </c>
      <c r="G369">
        <v>5.5213425E-3</v>
      </c>
      <c r="H369">
        <v>3.5253904000000003E-2</v>
      </c>
      <c r="I369">
        <v>1.6756719999999999E-2</v>
      </c>
      <c r="J369">
        <v>1.8051318999999999</v>
      </c>
      <c r="K369">
        <v>3.4790276000000002</v>
      </c>
      <c r="L369">
        <v>36.656239999999997</v>
      </c>
      <c r="M369">
        <v>1.5353498999999999</v>
      </c>
      <c r="N369">
        <v>0.1098252</v>
      </c>
      <c r="O369">
        <v>1.3571746</v>
      </c>
      <c r="P369">
        <v>-3.9697917999999999</v>
      </c>
      <c r="Q369">
        <v>2.7224423999999998</v>
      </c>
      <c r="R369" s="163">
        <v>1.6702857999999999E-7</v>
      </c>
      <c r="S369">
        <v>5.2599406000000001E-2</v>
      </c>
      <c r="T369">
        <v>1.8073146999999999E-4</v>
      </c>
      <c r="U369">
        <v>3.7181141000000001E-2</v>
      </c>
      <c r="V369">
        <v>0.25847778999999999</v>
      </c>
      <c r="W369">
        <v>5.7146097999999999E-2</v>
      </c>
      <c r="X369" s="163">
        <v>6.0242098999999998E-6</v>
      </c>
      <c r="Y369">
        <v>15.672516999999999</v>
      </c>
      <c r="Z369">
        <v>1.5318552000000001</v>
      </c>
      <c r="AA369" s="163">
        <v>4.3870973000000002E-7</v>
      </c>
      <c r="AB369">
        <v>4.2320836000000001E-2</v>
      </c>
      <c r="AC369">
        <v>169.18466000000001</v>
      </c>
      <c r="AD369" s="163">
        <v>5.5945170999999997E-9</v>
      </c>
      <c r="AE369" s="163">
        <v>1.0536702E-7</v>
      </c>
      <c r="AF369">
        <v>138.71043</v>
      </c>
      <c r="AG369">
        <v>16.004999999999999</v>
      </c>
      <c r="AH369">
        <v>44</v>
      </c>
      <c r="AI369">
        <v>60.005206000000001</v>
      </c>
      <c r="AJ369">
        <v>20.462</v>
      </c>
      <c r="AK369">
        <v>0</v>
      </c>
      <c r="AL369">
        <v>20.461559999999999</v>
      </c>
      <c r="AM369">
        <v>1.24</v>
      </c>
      <c r="AN369">
        <v>0</v>
      </c>
      <c r="AO369">
        <v>0</v>
      </c>
      <c r="AP369">
        <v>5.8434310000000003E-2</v>
      </c>
      <c r="AQ369" s="163">
        <v>2.0541662999999999E-5</v>
      </c>
      <c r="AR369">
        <v>0.41879878999999998</v>
      </c>
      <c r="AS369" s="163">
        <v>5.0848898000000002E-5</v>
      </c>
      <c r="AT369">
        <v>0</v>
      </c>
      <c r="AU369">
        <v>0</v>
      </c>
      <c r="AV369">
        <v>0</v>
      </c>
      <c r="AW369">
        <v>0</v>
      </c>
      <c r="AX369">
        <v>0</v>
      </c>
    </row>
    <row r="370" spans="1:50">
      <c r="A370" t="s">
        <v>1614</v>
      </c>
      <c r="B370" s="189">
        <f t="shared" si="5"/>
        <v>0.63842330449805196</v>
      </c>
      <c r="C370" s="163">
        <v>1.6169846999999999E-6</v>
      </c>
      <c r="D370">
        <v>3.3192434999999999E-2</v>
      </c>
      <c r="E370">
        <v>4.7947281999999998</v>
      </c>
      <c r="F370" s="163">
        <v>8.6921794999999997E-7</v>
      </c>
      <c r="G370">
        <v>4.8581572000000002E-3</v>
      </c>
      <c r="H370">
        <v>3.6375774999999999E-2</v>
      </c>
      <c r="I370">
        <v>8.1850840000000005E-3</v>
      </c>
      <c r="J370">
        <v>1.7272464000000001</v>
      </c>
      <c r="K370">
        <v>2.4073476999999999E-2</v>
      </c>
      <c r="L370">
        <v>81.187438999999998</v>
      </c>
      <c r="M370">
        <v>2.8579171999999998E-3</v>
      </c>
      <c r="N370">
        <v>4.8466404000000001</v>
      </c>
      <c r="O370">
        <v>4.8454291999999999</v>
      </c>
      <c r="P370">
        <v>7.9965598000000001E-4</v>
      </c>
      <c r="Q370">
        <v>4.115543E-4</v>
      </c>
      <c r="R370" s="163">
        <v>1.0946667E-6</v>
      </c>
      <c r="S370">
        <v>5.0788461999999999E-2</v>
      </c>
      <c r="T370" s="163">
        <v>3.7008773999999999E-5</v>
      </c>
      <c r="U370">
        <v>2.2014675000000001E-2</v>
      </c>
      <c r="V370">
        <v>0.24193638000000001</v>
      </c>
      <c r="W370">
        <v>6.6465116000000005E-2</v>
      </c>
      <c r="X370" s="163">
        <v>1.6170054E-6</v>
      </c>
      <c r="Y370">
        <v>70.074765999999997</v>
      </c>
      <c r="Z370">
        <v>0.37777419000000001</v>
      </c>
      <c r="AA370" s="163">
        <v>1.3288399E-6</v>
      </c>
      <c r="AB370">
        <v>0.30201662000000001</v>
      </c>
      <c r="AC370">
        <v>39.61403</v>
      </c>
      <c r="AD370" s="163">
        <v>1.3629138E-9</v>
      </c>
      <c r="AE370" s="163">
        <v>3.4515768000000002E-8</v>
      </c>
      <c r="AF370">
        <v>8.8754466999999995</v>
      </c>
      <c r="AG370">
        <v>0</v>
      </c>
      <c r="AH370">
        <v>0</v>
      </c>
      <c r="AI370">
        <v>0.40595262999999998</v>
      </c>
      <c r="AJ370">
        <v>0</v>
      </c>
      <c r="AK370">
        <v>0</v>
      </c>
      <c r="AL370">
        <v>74.411962000000003</v>
      </c>
      <c r="AM370">
        <v>0</v>
      </c>
      <c r="AN370">
        <v>0</v>
      </c>
      <c r="AO370">
        <v>0</v>
      </c>
      <c r="AP370">
        <v>9.6175040000000007E-3</v>
      </c>
      <c r="AQ370" s="163">
        <v>3.1248394999999997E-5</v>
      </c>
      <c r="AR370">
        <v>7.4681007999999993E-2</v>
      </c>
      <c r="AS370">
        <v>4.8675436000000002E-4</v>
      </c>
      <c r="AT370">
        <v>0</v>
      </c>
      <c r="AU370">
        <v>0</v>
      </c>
      <c r="AV370">
        <v>0</v>
      </c>
      <c r="AW370">
        <v>0</v>
      </c>
      <c r="AX370">
        <v>0</v>
      </c>
    </row>
    <row r="371" spans="1:50">
      <c r="A371" t="s">
        <v>1615</v>
      </c>
      <c r="B371" s="189">
        <f t="shared" si="5"/>
        <v>9.6730346969144815E-2</v>
      </c>
      <c r="C371" s="163">
        <v>2.4499653E-7</v>
      </c>
      <c r="D371">
        <v>5.0291331000000003E-3</v>
      </c>
      <c r="E371">
        <v>0.72647054</v>
      </c>
      <c r="F371" s="163">
        <v>1.3169907000000001E-7</v>
      </c>
      <c r="G371">
        <v>7.3608094E-4</v>
      </c>
      <c r="H371">
        <v>5.5114550999999998E-3</v>
      </c>
      <c r="I371">
        <v>1.2401584E-3</v>
      </c>
      <c r="J371">
        <v>0.26170275999999998</v>
      </c>
      <c r="K371">
        <v>3.6474793E-3</v>
      </c>
      <c r="L371">
        <v>12.301069</v>
      </c>
      <c r="M371">
        <v>4.3301571000000001E-4</v>
      </c>
      <c r="N371">
        <v>0.73433599000000005</v>
      </c>
      <c r="O371">
        <v>0.73415248</v>
      </c>
      <c r="P371">
        <v>1.2115943E-4</v>
      </c>
      <c r="Q371" s="163">
        <v>6.2356417999999994E-5</v>
      </c>
      <c r="R371" s="163">
        <v>1.6585781E-7</v>
      </c>
      <c r="S371">
        <v>7.6951852000000003E-3</v>
      </c>
      <c r="T371" s="163">
        <v>5.6073636E-6</v>
      </c>
      <c r="U371">
        <v>3.3355411000000001E-3</v>
      </c>
      <c r="V371">
        <v>3.6656854000000003E-2</v>
      </c>
      <c r="W371">
        <v>1.0070424999999999E-2</v>
      </c>
      <c r="X371" s="163">
        <v>2.4499967E-7</v>
      </c>
      <c r="Y371">
        <v>10.617338999999999</v>
      </c>
      <c r="Z371">
        <v>5.7238244000000001E-2</v>
      </c>
      <c r="AA371" s="163">
        <v>2.0133843E-7</v>
      </c>
      <c r="AB371">
        <v>4.5759879000000003E-2</v>
      </c>
      <c r="AC371">
        <v>6.0020974000000002</v>
      </c>
      <c r="AD371" s="163">
        <v>2.0650110999999999E-10</v>
      </c>
      <c r="AE371" s="163">
        <v>5.2296371999999997E-9</v>
      </c>
      <c r="AF371">
        <v>1.3447583000000001</v>
      </c>
      <c r="AG371">
        <v>0</v>
      </c>
      <c r="AH371">
        <v>0</v>
      </c>
      <c r="AI371">
        <v>6.1507683E-2</v>
      </c>
      <c r="AJ371">
        <v>0</v>
      </c>
      <c r="AK371">
        <v>0</v>
      </c>
      <c r="AL371">
        <v>11.274487000000001</v>
      </c>
      <c r="AM371">
        <v>0</v>
      </c>
      <c r="AN371">
        <v>0</v>
      </c>
      <c r="AO371">
        <v>0</v>
      </c>
      <c r="AP371">
        <v>1.4571906999999999E-3</v>
      </c>
      <c r="AQ371" s="163">
        <v>4.7345828999999998E-6</v>
      </c>
      <c r="AR371">
        <v>1.1315251E-2</v>
      </c>
      <c r="AS371" s="163">
        <v>7.3750313E-5</v>
      </c>
      <c r="AT371">
        <v>0</v>
      </c>
      <c r="AU371">
        <v>0</v>
      </c>
      <c r="AV371">
        <v>0</v>
      </c>
      <c r="AW371">
        <v>0</v>
      </c>
      <c r="AX371">
        <v>0</v>
      </c>
    </row>
    <row r="372" spans="1:50">
      <c r="A372" t="s">
        <v>1616</v>
      </c>
      <c r="B372" s="189">
        <f t="shared" si="5"/>
        <v>4.3634296857120001E-4</v>
      </c>
      <c r="C372" s="163">
        <v>1.1051599999999999E-9</v>
      </c>
      <c r="D372" s="163">
        <v>2.2686022999999999E-5</v>
      </c>
      <c r="E372">
        <v>3.2770514000000001E-3</v>
      </c>
      <c r="F372" s="163">
        <v>5.9408412000000003E-10</v>
      </c>
      <c r="G372" s="163">
        <v>3.3204030999999998E-6</v>
      </c>
      <c r="H372" s="163">
        <v>2.4861739E-5</v>
      </c>
      <c r="I372" s="163">
        <v>5.5942567E-6</v>
      </c>
      <c r="J372">
        <v>1.1805205E-3</v>
      </c>
      <c r="K372" s="163">
        <v>1.6453491999999999E-5</v>
      </c>
      <c r="L372">
        <v>5.5489152999999999E-2</v>
      </c>
      <c r="M372" s="163">
        <v>1.9532997000000002E-6</v>
      </c>
      <c r="N372">
        <v>3.3125317999999999E-3</v>
      </c>
      <c r="O372">
        <v>3.3117039999999999E-3</v>
      </c>
      <c r="P372" s="163">
        <v>5.4654062000000005E-7</v>
      </c>
      <c r="Q372" s="163">
        <v>2.8128488999999999E-7</v>
      </c>
      <c r="R372" s="163">
        <v>7.4817151999999996E-10</v>
      </c>
      <c r="S372" s="163">
        <v>3.4712373999999999E-5</v>
      </c>
      <c r="T372" s="163">
        <v>2.5294374999999998E-8</v>
      </c>
      <c r="U372" s="163">
        <v>1.5046362999999999E-5</v>
      </c>
      <c r="V372">
        <v>1.6535618000000001E-4</v>
      </c>
      <c r="W372" s="163">
        <v>4.5426892000000002E-5</v>
      </c>
      <c r="X372" s="163">
        <v>1.1051741999999999E-9</v>
      </c>
      <c r="Y372">
        <v>4.7893977999999997E-2</v>
      </c>
      <c r="Z372">
        <v>2.5819721000000002E-4</v>
      </c>
      <c r="AA372" s="163">
        <v>9.0822177000000002E-10</v>
      </c>
      <c r="AB372">
        <v>2.0641921E-4</v>
      </c>
      <c r="AC372">
        <v>2.7074988000000001E-2</v>
      </c>
      <c r="AD372" s="163">
        <v>9.3151022000000002E-13</v>
      </c>
      <c r="AE372" s="163">
        <v>2.3590480999999999E-11</v>
      </c>
      <c r="AF372">
        <v>6.0660986999999996E-3</v>
      </c>
      <c r="AG372">
        <v>0</v>
      </c>
      <c r="AH372">
        <v>0</v>
      </c>
      <c r="AI372">
        <v>2.7745630999999999E-4</v>
      </c>
      <c r="AJ372">
        <v>0</v>
      </c>
      <c r="AK372">
        <v>0</v>
      </c>
      <c r="AL372">
        <v>5.0858319999999999E-2</v>
      </c>
      <c r="AM372">
        <v>0</v>
      </c>
      <c r="AN372">
        <v>0</v>
      </c>
      <c r="AO372">
        <v>0</v>
      </c>
      <c r="AP372" s="163">
        <v>6.5732724000000001E-6</v>
      </c>
      <c r="AQ372" s="163">
        <v>2.135733E-8</v>
      </c>
      <c r="AR372" s="163">
        <v>5.1042204999999998E-5</v>
      </c>
      <c r="AS372" s="163">
        <v>3.3268185000000003E-7</v>
      </c>
      <c r="AT372">
        <v>0</v>
      </c>
      <c r="AU372">
        <v>0</v>
      </c>
      <c r="AV372">
        <v>0</v>
      </c>
      <c r="AW372">
        <v>0</v>
      </c>
      <c r="AX372">
        <v>0</v>
      </c>
    </row>
    <row r="373" spans="1:50">
      <c r="A373" t="s">
        <v>789</v>
      </c>
      <c r="B373" s="189">
        <f t="shared" si="5"/>
        <v>11.56367325116536</v>
      </c>
      <c r="C373" s="163">
        <v>2.9288220999999999E-5</v>
      </c>
      <c r="D373">
        <v>0.60121000999999996</v>
      </c>
      <c r="E373">
        <v>86.846250999999995</v>
      </c>
      <c r="F373" s="163">
        <v>1.5744024999999999E-5</v>
      </c>
      <c r="G373">
        <v>8.7995131000000004E-2</v>
      </c>
      <c r="H373">
        <v>0.65886940000000005</v>
      </c>
      <c r="I373">
        <v>0.14825530000000001</v>
      </c>
      <c r="J373">
        <v>31.285374999999998</v>
      </c>
      <c r="K373">
        <v>0.43603956999999999</v>
      </c>
      <c r="L373">
        <v>1470.5369000000001</v>
      </c>
      <c r="M373">
        <v>5.1765060000000002E-2</v>
      </c>
      <c r="N373">
        <v>87.786529999999999</v>
      </c>
      <c r="O373">
        <v>87.764591999999993</v>
      </c>
      <c r="P373">
        <v>1.4484059000000001E-2</v>
      </c>
      <c r="Q373">
        <v>7.4544264000000002E-3</v>
      </c>
      <c r="R373" s="163">
        <v>1.9827548000000001E-5</v>
      </c>
      <c r="S373">
        <v>0.91992441000000003</v>
      </c>
      <c r="T373">
        <v>6.7033483000000001E-4</v>
      </c>
      <c r="U373">
        <v>0.39874878000000002</v>
      </c>
      <c r="V373">
        <v>4.3821602000000004</v>
      </c>
      <c r="W373">
        <v>1.2038735</v>
      </c>
      <c r="X373" s="163">
        <v>2.9288597000000001E-5</v>
      </c>
      <c r="Y373">
        <v>1269.2546</v>
      </c>
      <c r="Z373">
        <v>6.8425719000000003</v>
      </c>
      <c r="AA373" s="163">
        <v>2.4069094E-5</v>
      </c>
      <c r="AB373">
        <v>5.4703854999999999</v>
      </c>
      <c r="AC373">
        <v>717.52346</v>
      </c>
      <c r="AD373" s="163">
        <v>2.4686269E-8</v>
      </c>
      <c r="AE373" s="163">
        <v>6.2517935000000001E-7</v>
      </c>
      <c r="AF373">
        <v>160.75973999999999</v>
      </c>
      <c r="AG373">
        <v>0</v>
      </c>
      <c r="AH373">
        <v>0</v>
      </c>
      <c r="AI373">
        <v>7.3529638999999998</v>
      </c>
      <c r="AJ373">
        <v>0</v>
      </c>
      <c r="AK373">
        <v>0</v>
      </c>
      <c r="AL373">
        <v>1347.8136</v>
      </c>
      <c r="AM373">
        <v>0</v>
      </c>
      <c r="AN373">
        <v>0</v>
      </c>
      <c r="AO373">
        <v>0</v>
      </c>
      <c r="AP373">
        <v>0.17420052</v>
      </c>
      <c r="AQ373">
        <v>5.6599787000000004E-4</v>
      </c>
      <c r="AR373">
        <v>1.3526868000000001</v>
      </c>
      <c r="AS373">
        <v>8.8165146999999999E-3</v>
      </c>
      <c r="AT373">
        <v>0</v>
      </c>
      <c r="AU373">
        <v>0</v>
      </c>
      <c r="AV373">
        <v>0</v>
      </c>
      <c r="AW373">
        <v>0</v>
      </c>
      <c r="AX373">
        <v>0</v>
      </c>
    </row>
    <row r="374" spans="1:50">
      <c r="A374" t="s">
        <v>1617</v>
      </c>
      <c r="B374" s="189">
        <f t="shared" si="5"/>
        <v>9.7442268254079992E-2</v>
      </c>
      <c r="C374" s="163">
        <v>1.3362065000000001E-6</v>
      </c>
      <c r="D374">
        <v>1.2678479E-3</v>
      </c>
      <c r="E374">
        <v>0.17960597</v>
      </c>
      <c r="F374" s="163">
        <v>1.0737968E-8</v>
      </c>
      <c r="G374">
        <v>1.4584476999999999E-4</v>
      </c>
      <c r="H374">
        <v>8.1998574000000004E-4</v>
      </c>
      <c r="I374">
        <v>1.6239613999999999E-4</v>
      </c>
      <c r="J374">
        <v>0.86095259999999996</v>
      </c>
      <c r="K374">
        <v>9.0950011999999993E-3</v>
      </c>
      <c r="L374">
        <v>52.580084999999997</v>
      </c>
      <c r="M374">
        <v>3.4797977E-3</v>
      </c>
      <c r="N374">
        <v>0.18559274000000001</v>
      </c>
      <c r="O374">
        <v>0.1851082</v>
      </c>
      <c r="P374">
        <v>2.9180887E-4</v>
      </c>
      <c r="Q374">
        <v>1.9272460000000001E-4</v>
      </c>
      <c r="R374" s="163">
        <v>1.0382223E-8</v>
      </c>
      <c r="S374">
        <v>1.0131298E-3</v>
      </c>
      <c r="T374" s="163">
        <v>3.0040832999999999E-5</v>
      </c>
      <c r="U374">
        <v>1.7162640999999999E-4</v>
      </c>
      <c r="V374">
        <v>2.1960776E-3</v>
      </c>
      <c r="W374">
        <v>7.0265020000000004E-4</v>
      </c>
      <c r="X374" s="163">
        <v>1.3362358000000001E-6</v>
      </c>
      <c r="Y374">
        <v>2.3151090000000001</v>
      </c>
      <c r="Z374">
        <v>0.11096222</v>
      </c>
      <c r="AA374" s="163">
        <v>4.5704505999999999E-8</v>
      </c>
      <c r="AB374">
        <v>9.0691017000000002E-3</v>
      </c>
      <c r="AC374">
        <v>5.3435553999999996</v>
      </c>
      <c r="AD374" s="163">
        <v>3.2924315E-9</v>
      </c>
      <c r="AE374" s="163">
        <v>1.1077449E-8</v>
      </c>
      <c r="AF374">
        <v>0.54518069000000002</v>
      </c>
      <c r="AG374">
        <v>0</v>
      </c>
      <c r="AH374">
        <v>0</v>
      </c>
      <c r="AI374">
        <v>0.23054252</v>
      </c>
      <c r="AJ374">
        <v>0</v>
      </c>
      <c r="AK374">
        <v>0</v>
      </c>
      <c r="AL374">
        <v>2.4548614</v>
      </c>
      <c r="AM374">
        <v>0</v>
      </c>
      <c r="AN374">
        <v>0</v>
      </c>
      <c r="AO374">
        <v>0</v>
      </c>
      <c r="AP374">
        <v>3.0156277000000001E-3</v>
      </c>
      <c r="AQ374" s="163">
        <v>7.6652347999999999E-6</v>
      </c>
      <c r="AR374">
        <v>4.2352142000000002E-2</v>
      </c>
      <c r="AS374" s="163">
        <v>7.7049186000000003E-6</v>
      </c>
      <c r="AT374">
        <v>0</v>
      </c>
      <c r="AU374">
        <v>0</v>
      </c>
      <c r="AV374">
        <v>0</v>
      </c>
      <c r="AW374">
        <v>0</v>
      </c>
      <c r="AX374">
        <v>0</v>
      </c>
    </row>
    <row r="375" spans="1:50">
      <c r="A375" t="s">
        <v>1618</v>
      </c>
      <c r="B375" s="189">
        <f t="shared" si="5"/>
        <v>0.376922450538756</v>
      </c>
      <c r="C375" s="163">
        <v>2.5425465999999999E-6</v>
      </c>
      <c r="D375">
        <v>2.9561923E-2</v>
      </c>
      <c r="E375">
        <v>4.9061119</v>
      </c>
      <c r="F375" s="163">
        <v>2.9417950999999997E-7</v>
      </c>
      <c r="G375">
        <v>3.1948443000000002E-3</v>
      </c>
      <c r="H375">
        <v>9.7495994999999992E-3</v>
      </c>
      <c r="I375">
        <v>1.8888107999999999E-3</v>
      </c>
      <c r="J375">
        <v>0.51658521000000002</v>
      </c>
      <c r="K375">
        <v>4.6665972999999999E-2</v>
      </c>
      <c r="L375">
        <v>162.87689</v>
      </c>
      <c r="M375">
        <v>5.1665796000000003E-3</v>
      </c>
      <c r="N375">
        <v>5.2564801000000001</v>
      </c>
      <c r="O375">
        <v>5.2554116000000004</v>
      </c>
      <c r="P375">
        <v>6.1864977000000005E-4</v>
      </c>
      <c r="Q375">
        <v>4.4980052999999998E-4</v>
      </c>
      <c r="R375" s="163">
        <v>3.6050764999999999E-7</v>
      </c>
      <c r="S375">
        <v>1.3125103000000001E-2</v>
      </c>
      <c r="T375" s="163">
        <v>2.6786353999999999E-5</v>
      </c>
      <c r="U375">
        <v>4.8779454999999996E-3</v>
      </c>
      <c r="V375">
        <v>5.3822333E-2</v>
      </c>
      <c r="W375">
        <v>1.8241255000000001E-2</v>
      </c>
      <c r="X375" s="163">
        <v>2.5425664000000001E-6</v>
      </c>
      <c r="Y375">
        <v>56.050519999999999</v>
      </c>
      <c r="Z375">
        <v>-2.3131986000000002</v>
      </c>
      <c r="AA375" s="163">
        <v>5.8560158E-8</v>
      </c>
      <c r="AB375">
        <v>5.9761108E-2</v>
      </c>
      <c r="AC375">
        <v>23.200690000000002</v>
      </c>
      <c r="AD375" s="163">
        <v>1.3046716999999999E-9</v>
      </c>
      <c r="AE375" s="163">
        <v>4.3443314000000001E-8</v>
      </c>
      <c r="AF375">
        <v>5.4282189000000001</v>
      </c>
      <c r="AG375">
        <v>0.23899999999999999</v>
      </c>
      <c r="AH375">
        <v>0</v>
      </c>
      <c r="AI375">
        <v>0.23847129</v>
      </c>
      <c r="AJ375">
        <v>13.791</v>
      </c>
      <c r="AK375">
        <v>47.76</v>
      </c>
      <c r="AL375">
        <v>61.550972999999999</v>
      </c>
      <c r="AM375">
        <v>0</v>
      </c>
      <c r="AN375">
        <v>0</v>
      </c>
      <c r="AO375">
        <v>0</v>
      </c>
      <c r="AP375">
        <v>-5.3397958000000002E-2</v>
      </c>
      <c r="AQ375" s="163">
        <v>5.3168645000000001E-5</v>
      </c>
      <c r="AR375">
        <v>7.6526159999999996E-2</v>
      </c>
      <c r="AS375" s="163">
        <v>9.1885305000000006E-5</v>
      </c>
      <c r="AT375">
        <v>0</v>
      </c>
      <c r="AU375">
        <v>0</v>
      </c>
      <c r="AV375">
        <v>0</v>
      </c>
      <c r="AW375">
        <v>0</v>
      </c>
      <c r="AX375">
        <v>0</v>
      </c>
    </row>
    <row r="376" spans="1:50">
      <c r="A376" t="s">
        <v>1619</v>
      </c>
      <c r="B376" s="189">
        <f t="shared" si="5"/>
        <v>6.3951709574606808</v>
      </c>
      <c r="C376" s="163">
        <v>1.5799048E-5</v>
      </c>
      <c r="D376">
        <v>0.38203418</v>
      </c>
      <c r="E376">
        <v>52.826534000000002</v>
      </c>
      <c r="F376" s="163">
        <v>8.9042510999999997E-6</v>
      </c>
      <c r="G376">
        <v>4.6153481000000003E-2</v>
      </c>
      <c r="H376">
        <v>0.33843236999999998</v>
      </c>
      <c r="I376">
        <v>7.5131062999999998E-2</v>
      </c>
      <c r="J376">
        <v>16.299481</v>
      </c>
      <c r="K376">
        <v>0.2727735</v>
      </c>
      <c r="L376">
        <v>934.37947999999994</v>
      </c>
      <c r="M376">
        <v>2.7644688000000001E-2</v>
      </c>
      <c r="N376">
        <v>53.487969999999997</v>
      </c>
      <c r="O376">
        <v>53.474297</v>
      </c>
      <c r="P376">
        <v>9.5330610000000007E-3</v>
      </c>
      <c r="Q376">
        <v>4.1391759E-3</v>
      </c>
      <c r="R376" s="163">
        <v>1.1097743E-5</v>
      </c>
      <c r="S376">
        <v>0.47107618000000001</v>
      </c>
      <c r="T376">
        <v>3.637642E-4</v>
      </c>
      <c r="U376">
        <v>0.20188263000000001</v>
      </c>
      <c r="V376">
        <v>2.2188612999999999</v>
      </c>
      <c r="W376">
        <v>0.61248448</v>
      </c>
      <c r="X376" s="163">
        <v>1.5799256999999999E-5</v>
      </c>
      <c r="Y376">
        <v>784.89282000000003</v>
      </c>
      <c r="Z376">
        <v>3.9046093000000002</v>
      </c>
      <c r="AA376" s="163">
        <v>1.2045825000000001E-5</v>
      </c>
      <c r="AB376">
        <v>2.7651911999999998</v>
      </c>
      <c r="AC376">
        <v>383.76022999999998</v>
      </c>
      <c r="AD376" s="163">
        <v>1.3115374E-8</v>
      </c>
      <c r="AE376" s="163">
        <v>3.2926677000000002E-7</v>
      </c>
      <c r="AF376">
        <v>84.154607999999996</v>
      </c>
      <c r="AG376">
        <v>0</v>
      </c>
      <c r="AH376">
        <v>0</v>
      </c>
      <c r="AI376">
        <v>4.0180141000000003</v>
      </c>
      <c r="AJ376">
        <v>0</v>
      </c>
      <c r="AK376">
        <v>0</v>
      </c>
      <c r="AL376">
        <v>840.61521000000005</v>
      </c>
      <c r="AM376">
        <v>0</v>
      </c>
      <c r="AN376">
        <v>0</v>
      </c>
      <c r="AO376">
        <v>0</v>
      </c>
      <c r="AP376">
        <v>9.5754915999999995E-2</v>
      </c>
      <c r="AQ376">
        <v>4.8904324E-4</v>
      </c>
      <c r="AR376">
        <v>0.73635740999999999</v>
      </c>
      <c r="AS376">
        <v>4.4481724000000004E-3</v>
      </c>
      <c r="AT376">
        <v>0</v>
      </c>
      <c r="AU376">
        <v>0</v>
      </c>
      <c r="AV376">
        <v>0</v>
      </c>
      <c r="AW376">
        <v>0</v>
      </c>
      <c r="AX376">
        <v>0</v>
      </c>
    </row>
    <row r="377" spans="1:50">
      <c r="A377" t="s">
        <v>1620</v>
      </c>
      <c r="B377" s="189">
        <f t="shared" si="5"/>
        <v>8.4680520673748802E-2</v>
      </c>
      <c r="C377" s="163">
        <v>8.4804093E-7</v>
      </c>
      <c r="D377">
        <v>6.7910777000000002E-3</v>
      </c>
      <c r="E377">
        <v>0.91397624</v>
      </c>
      <c r="F377" s="163">
        <v>1.1706614E-7</v>
      </c>
      <c r="G377">
        <v>5.0141748999999998E-4</v>
      </c>
      <c r="H377">
        <v>3.9717021000000002E-3</v>
      </c>
      <c r="I377">
        <v>5.6836560000000003E-4</v>
      </c>
      <c r="J377">
        <v>0.14908935000000001</v>
      </c>
      <c r="K377">
        <v>4.9762054999999998E-3</v>
      </c>
      <c r="L377">
        <v>20.608991</v>
      </c>
      <c r="M377">
        <v>4.3054670999999999E-3</v>
      </c>
      <c r="N377">
        <v>0.93702384999999999</v>
      </c>
      <c r="O377">
        <v>0.92021196999999999</v>
      </c>
      <c r="P377">
        <v>1.5626721E-2</v>
      </c>
      <c r="Q377">
        <v>1.1851587E-3</v>
      </c>
      <c r="R377" s="163">
        <v>1.1535604E-7</v>
      </c>
      <c r="S377">
        <v>5.0529145999999997E-3</v>
      </c>
      <c r="T377" s="163">
        <v>6.9993636999999995E-5</v>
      </c>
      <c r="U377">
        <v>5.8049995000000005E-4</v>
      </c>
      <c r="V377">
        <v>1.0647113999999999E-2</v>
      </c>
      <c r="W377">
        <v>1.8216358000000001E-3</v>
      </c>
      <c r="X377" s="163">
        <v>8.4807025999999999E-7</v>
      </c>
      <c r="Y377">
        <v>16.766306</v>
      </c>
      <c r="Z377">
        <v>0.17457934</v>
      </c>
      <c r="AA377" s="163">
        <v>1.9699410999999999E-8</v>
      </c>
      <c r="AB377">
        <v>0.11186706</v>
      </c>
      <c r="AC377">
        <v>9.6261469999999996</v>
      </c>
      <c r="AD377" s="163">
        <v>3.0748549000000001E-10</v>
      </c>
      <c r="AE377" s="163">
        <v>7.2261653000000002E-9</v>
      </c>
      <c r="AF377">
        <v>2.9378079000000001</v>
      </c>
      <c r="AG377">
        <v>0</v>
      </c>
      <c r="AH377">
        <v>0</v>
      </c>
      <c r="AI377">
        <v>1.9353252000000001</v>
      </c>
      <c r="AJ377">
        <v>0</v>
      </c>
      <c r="AK377">
        <v>0</v>
      </c>
      <c r="AL377">
        <v>17.728521000000001</v>
      </c>
      <c r="AM377">
        <v>0</v>
      </c>
      <c r="AN377">
        <v>0</v>
      </c>
      <c r="AO377">
        <v>0</v>
      </c>
      <c r="AP377">
        <v>9.2334652000000007E-3</v>
      </c>
      <c r="AQ377" s="163">
        <v>1.8721030000000001E-5</v>
      </c>
      <c r="AR377">
        <v>3.9461382000000003E-2</v>
      </c>
      <c r="AS377">
        <v>1.0611816E-4</v>
      </c>
      <c r="AT377">
        <v>0</v>
      </c>
      <c r="AU377">
        <v>0</v>
      </c>
      <c r="AV377">
        <v>0</v>
      </c>
      <c r="AW377">
        <v>0</v>
      </c>
      <c r="AX377">
        <v>0</v>
      </c>
    </row>
    <row r="378" spans="1:50">
      <c r="A378" t="s">
        <v>1621</v>
      </c>
      <c r="B378" s="189">
        <f t="shared" si="5"/>
        <v>1.7543226940677998</v>
      </c>
      <c r="C378">
        <v>4.9912608000000002E-4</v>
      </c>
      <c r="D378">
        <v>7.8222206000000002E-2</v>
      </c>
      <c r="E378">
        <v>12.234531</v>
      </c>
      <c r="F378" s="163">
        <v>4.7397650000000002E-7</v>
      </c>
      <c r="G378">
        <v>4.3546662999999998E-3</v>
      </c>
      <c r="H378">
        <v>5.875818E-2</v>
      </c>
      <c r="I378">
        <v>6.5952008000000001E-3</v>
      </c>
      <c r="J378">
        <v>8.6120024999999991</v>
      </c>
      <c r="K378">
        <v>7.3032797999999996E-2</v>
      </c>
      <c r="L378">
        <v>472.26497999999998</v>
      </c>
      <c r="M378">
        <v>3.9832415000000003E-2</v>
      </c>
      <c r="N378">
        <v>12.586264999999999</v>
      </c>
      <c r="O378">
        <v>12.520554000000001</v>
      </c>
      <c r="P378">
        <v>3.0453302000000002E-2</v>
      </c>
      <c r="Q378">
        <v>3.5257708999999998E-2</v>
      </c>
      <c r="R378" s="163">
        <v>5.0519051000000004E-7</v>
      </c>
      <c r="S378">
        <v>7.1579267000000002E-2</v>
      </c>
      <c r="T378">
        <v>7.0738734000000002E-4</v>
      </c>
      <c r="U378">
        <v>1.0905434E-2</v>
      </c>
      <c r="V378">
        <v>0.13915565999999999</v>
      </c>
      <c r="W378">
        <v>3.4951286999999998E-2</v>
      </c>
      <c r="X378">
        <v>4.9912638000000002E-4</v>
      </c>
      <c r="Y378">
        <v>129.50617</v>
      </c>
      <c r="Z378">
        <v>2.7785172</v>
      </c>
      <c r="AA378" s="163">
        <v>7.2186938999999995E-7</v>
      </c>
      <c r="AB378">
        <v>0.23996743000000001</v>
      </c>
      <c r="AC378">
        <v>296.71931999999998</v>
      </c>
      <c r="AD378" s="163">
        <v>1.222628E-8</v>
      </c>
      <c r="AE378" s="163">
        <v>2.8010502000000003E-7</v>
      </c>
      <c r="AF378">
        <v>31.635300999999998</v>
      </c>
      <c r="AG378">
        <v>0</v>
      </c>
      <c r="AH378">
        <v>0</v>
      </c>
      <c r="AI378">
        <v>16.245671999999999</v>
      </c>
      <c r="AJ378">
        <v>0</v>
      </c>
      <c r="AK378">
        <v>0</v>
      </c>
      <c r="AL378">
        <v>138.07615999999999</v>
      </c>
      <c r="AM378">
        <v>0</v>
      </c>
      <c r="AN378">
        <v>0</v>
      </c>
      <c r="AO378">
        <v>0</v>
      </c>
      <c r="AP378">
        <v>0.12278380999999999</v>
      </c>
      <c r="AQ378">
        <v>4.7521700999999996E-3</v>
      </c>
      <c r="AR378">
        <v>1.6969771</v>
      </c>
      <c r="AS378">
        <v>2.5296828999999999E-4</v>
      </c>
      <c r="AT378">
        <v>0</v>
      </c>
      <c r="AU378">
        <v>0</v>
      </c>
      <c r="AV378">
        <v>0</v>
      </c>
      <c r="AW378">
        <v>0</v>
      </c>
      <c r="AX378">
        <v>0</v>
      </c>
    </row>
    <row r="379" spans="1:50">
      <c r="A379" t="s">
        <v>1622</v>
      </c>
      <c r="B379" s="189">
        <f t="shared" si="5"/>
        <v>0.56424902981556402</v>
      </c>
      <c r="C379" s="163">
        <v>2.5935478999999999E-6</v>
      </c>
      <c r="D379">
        <v>2.6171305999999998E-2</v>
      </c>
      <c r="E379">
        <v>3.8886402000000002</v>
      </c>
      <c r="F379" s="163">
        <v>7.1242693000000001E-7</v>
      </c>
      <c r="G379">
        <v>4.3681719000000004E-3</v>
      </c>
      <c r="H379">
        <v>3.9248672999999998E-2</v>
      </c>
      <c r="I379">
        <v>8.7001557999999996E-3</v>
      </c>
      <c r="J379">
        <v>1.2166055</v>
      </c>
      <c r="K379">
        <v>4.3815010000000001E-2</v>
      </c>
      <c r="L379">
        <v>97.746926999999999</v>
      </c>
      <c r="M379">
        <v>1.6529117999999999E-2</v>
      </c>
      <c r="N379">
        <v>3.9170663000000001</v>
      </c>
      <c r="O379">
        <v>3.9156227000000001</v>
      </c>
      <c r="P379">
        <v>9.5321752E-4</v>
      </c>
      <c r="Q379">
        <v>4.9031792999999996E-4</v>
      </c>
      <c r="R379" s="163">
        <v>8.9140571000000002E-7</v>
      </c>
      <c r="S379">
        <v>5.4926409000000002E-2</v>
      </c>
      <c r="T379" s="163">
        <v>2.8845534E-5</v>
      </c>
      <c r="U379">
        <v>2.4080317E-2</v>
      </c>
      <c r="V379">
        <v>0.26426863</v>
      </c>
      <c r="W379">
        <v>6.7145468999999999E-2</v>
      </c>
      <c r="X379" s="163">
        <v>2.5935658000000001E-6</v>
      </c>
      <c r="Y379">
        <v>55.512157999999999</v>
      </c>
      <c r="Z379">
        <v>0.29647363999999998</v>
      </c>
      <c r="AA379" s="163">
        <v>2.3188610000000001E-7</v>
      </c>
      <c r="AB379">
        <v>0.24224132000000001</v>
      </c>
      <c r="AC379">
        <v>30.956882</v>
      </c>
      <c r="AD379" s="163">
        <v>4.8747974999999998E-9</v>
      </c>
      <c r="AE379" s="163">
        <v>9.7699135999999997E-8</v>
      </c>
      <c r="AF379">
        <v>9.1312522999999999</v>
      </c>
      <c r="AG379">
        <v>0.316</v>
      </c>
      <c r="AH379">
        <v>0</v>
      </c>
      <c r="AI379">
        <v>0.31627962999999998</v>
      </c>
      <c r="AJ379">
        <v>16.137</v>
      </c>
      <c r="AK379">
        <v>42.8</v>
      </c>
      <c r="AL379">
        <v>58.936698999999997</v>
      </c>
      <c r="AM379">
        <v>0</v>
      </c>
      <c r="AN379">
        <v>0</v>
      </c>
      <c r="AO379">
        <v>0</v>
      </c>
      <c r="AP379">
        <v>7.5498227999999997E-3</v>
      </c>
      <c r="AQ379" s="163">
        <v>1.9502740000000002E-5</v>
      </c>
      <c r="AR379">
        <v>7.9956845999999998E-2</v>
      </c>
      <c r="AS379">
        <v>3.9175720999999998E-4</v>
      </c>
      <c r="AT379">
        <v>0</v>
      </c>
      <c r="AU379">
        <v>0</v>
      </c>
      <c r="AV379">
        <v>0</v>
      </c>
      <c r="AW379">
        <v>0</v>
      </c>
      <c r="AX379">
        <v>0</v>
      </c>
    </row>
    <row r="380" spans="1:50">
      <c r="A380" t="s">
        <v>1623</v>
      </c>
      <c r="B380" s="189">
        <f t="shared" si="5"/>
        <v>0.41516645596880392</v>
      </c>
      <c r="C380" s="163">
        <v>2.9494993999999998E-6</v>
      </c>
      <c r="D380">
        <v>2.6822192000000002E-2</v>
      </c>
      <c r="E380">
        <v>3.9978227999999998</v>
      </c>
      <c r="F380" s="163">
        <v>7.2274862999999999E-7</v>
      </c>
      <c r="G380">
        <v>3.0503293000000002E-3</v>
      </c>
      <c r="H380">
        <v>1.5603103E-2</v>
      </c>
      <c r="I380">
        <v>2.5101695000000002E-3</v>
      </c>
      <c r="J380">
        <v>1.1925209000000001</v>
      </c>
      <c r="K380">
        <v>4.4808242999999998E-2</v>
      </c>
      <c r="L380">
        <v>101.88047</v>
      </c>
      <c r="M380">
        <v>1.6630658E-2</v>
      </c>
      <c r="N380">
        <v>4.0273212999999997</v>
      </c>
      <c r="O380">
        <v>4.0261144</v>
      </c>
      <c r="P380">
        <v>6.9309544999999995E-4</v>
      </c>
      <c r="Q380">
        <v>5.1378207999999996E-4</v>
      </c>
      <c r="R380" s="163">
        <v>9.0398920000000005E-7</v>
      </c>
      <c r="S380">
        <v>1.9900701999999999E-2</v>
      </c>
      <c r="T380" s="163">
        <v>3.2170874999999999E-5</v>
      </c>
      <c r="U380">
        <v>5.4346856999999997E-3</v>
      </c>
      <c r="V380">
        <v>6.0994359999999997E-2</v>
      </c>
      <c r="W380">
        <v>1.9229141000000002E-2</v>
      </c>
      <c r="X380" s="163">
        <v>2.9497089999999999E-6</v>
      </c>
      <c r="Y380">
        <v>56.773449999999997</v>
      </c>
      <c r="Z380">
        <v>0.47065548000000001</v>
      </c>
      <c r="AA380" s="163">
        <v>1.6473679999999999E-7</v>
      </c>
      <c r="AB380">
        <v>0.2449636</v>
      </c>
      <c r="AC380">
        <v>31.855924999999999</v>
      </c>
      <c r="AD380" s="163">
        <v>4.9079589000000001E-9</v>
      </c>
      <c r="AE380" s="163">
        <v>9.8449133999999993E-8</v>
      </c>
      <c r="AF380">
        <v>9.3039275999999997</v>
      </c>
      <c r="AG380">
        <v>0.34100000000000003</v>
      </c>
      <c r="AH380">
        <v>0</v>
      </c>
      <c r="AI380">
        <v>0.34072612000000002</v>
      </c>
      <c r="AJ380">
        <v>17.507000000000001</v>
      </c>
      <c r="AK380">
        <v>42.8</v>
      </c>
      <c r="AL380">
        <v>60.307186999999999</v>
      </c>
      <c r="AM380">
        <v>0</v>
      </c>
      <c r="AN380">
        <v>0</v>
      </c>
      <c r="AO380">
        <v>0</v>
      </c>
      <c r="AP380">
        <v>1.1643662000000001E-2</v>
      </c>
      <c r="AQ380" s="163">
        <v>2.0697815000000001E-5</v>
      </c>
      <c r="AR380">
        <v>8.4228597000000002E-2</v>
      </c>
      <c r="AS380">
        <v>3.9560126999999999E-4</v>
      </c>
      <c r="AT380">
        <v>0</v>
      </c>
      <c r="AU380">
        <v>0</v>
      </c>
      <c r="AV380">
        <v>0</v>
      </c>
      <c r="AW380">
        <v>0</v>
      </c>
      <c r="AX380">
        <v>0</v>
      </c>
    </row>
    <row r="381" spans="1:50">
      <c r="A381" t="s">
        <v>1624</v>
      </c>
      <c r="B381" s="189">
        <f t="shared" si="5"/>
        <v>0.526113147005564</v>
      </c>
      <c r="C381" s="163">
        <v>2.5935478999999999E-6</v>
      </c>
      <c r="D381">
        <v>2.6171305999999998E-2</v>
      </c>
      <c r="E381">
        <v>3.8891802000000002</v>
      </c>
      <c r="F381" s="163">
        <v>7.1242693000000001E-7</v>
      </c>
      <c r="G381">
        <v>3.7526806000000002E-3</v>
      </c>
      <c r="H381">
        <v>3.3920672999999998E-2</v>
      </c>
      <c r="I381">
        <v>7.2961557999999998E-3</v>
      </c>
      <c r="J381">
        <v>1.1848805</v>
      </c>
      <c r="K381">
        <v>3.9830375000000001E-2</v>
      </c>
      <c r="L381">
        <v>97.742611999999994</v>
      </c>
      <c r="M381">
        <v>1.6384457000000002E-2</v>
      </c>
      <c r="N381">
        <v>3.9176776000000002</v>
      </c>
      <c r="O381">
        <v>3.9162340000000002</v>
      </c>
      <c r="P381">
        <v>9.5321752E-4</v>
      </c>
      <c r="Q381">
        <v>4.9031792999999996E-4</v>
      </c>
      <c r="R381" s="163">
        <v>8.9140571000000002E-7</v>
      </c>
      <c r="S381">
        <v>4.7013009000000001E-2</v>
      </c>
      <c r="T381" s="163">
        <v>2.8845534E-5</v>
      </c>
      <c r="U381">
        <v>1.9879117000000002E-2</v>
      </c>
      <c r="V381">
        <v>0.21826063000000001</v>
      </c>
      <c r="W381">
        <v>5.5714799000000002E-2</v>
      </c>
      <c r="X381" s="163">
        <v>2.5935658000000001E-6</v>
      </c>
      <c r="Y381">
        <v>55.512157999999999</v>
      </c>
      <c r="Z381">
        <v>0.29647363999999998</v>
      </c>
      <c r="AA381" s="163">
        <v>2.1837734000000001E-7</v>
      </c>
      <c r="AB381">
        <v>0.24224132000000001</v>
      </c>
      <c r="AC381">
        <v>30.937894</v>
      </c>
      <c r="AD381" s="163">
        <v>4.1163558000000004E-9</v>
      </c>
      <c r="AE381" s="163">
        <v>8.7673021999999994E-8</v>
      </c>
      <c r="AF381">
        <v>9.1312522999999999</v>
      </c>
      <c r="AG381">
        <v>0.316</v>
      </c>
      <c r="AH381">
        <v>0</v>
      </c>
      <c r="AI381">
        <v>0.31627962999999998</v>
      </c>
      <c r="AJ381">
        <v>16.137</v>
      </c>
      <c r="AK381">
        <v>42.8</v>
      </c>
      <c r="AL381">
        <v>58.936698999999997</v>
      </c>
      <c r="AM381">
        <v>0</v>
      </c>
      <c r="AN381">
        <v>0</v>
      </c>
      <c r="AO381">
        <v>0</v>
      </c>
      <c r="AP381">
        <v>7.5498227999999997E-3</v>
      </c>
      <c r="AQ381" s="163">
        <v>1.9502740000000002E-5</v>
      </c>
      <c r="AR381">
        <v>7.9956845999999998E-2</v>
      </c>
      <c r="AS381">
        <v>3.9175720999999998E-4</v>
      </c>
      <c r="AT381">
        <v>0</v>
      </c>
      <c r="AU381">
        <v>0</v>
      </c>
      <c r="AV381">
        <v>0</v>
      </c>
      <c r="AW381">
        <v>0</v>
      </c>
      <c r="AX381">
        <v>0</v>
      </c>
    </row>
    <row r="382" spans="1:50">
      <c r="A382" t="s">
        <v>1625</v>
      </c>
      <c r="B382" s="189">
        <f t="shared" si="5"/>
        <v>29.070034064332479</v>
      </c>
      <c r="C382" s="163">
        <v>7.3627953000000005E-5</v>
      </c>
      <c r="D382">
        <v>1.5113878999999999</v>
      </c>
      <c r="E382">
        <v>218.32365999999999</v>
      </c>
      <c r="F382" s="163">
        <v>3.9579061999999998E-5</v>
      </c>
      <c r="G382">
        <v>0.22121183999999999</v>
      </c>
      <c r="H382">
        <v>1.6563384000000001</v>
      </c>
      <c r="I382">
        <v>0.37270048</v>
      </c>
      <c r="J382">
        <v>78.648617999999999</v>
      </c>
      <c r="K382">
        <v>1.0961642</v>
      </c>
      <c r="L382">
        <v>3696.7973999999999</v>
      </c>
      <c r="M382">
        <v>0.13013269999999999</v>
      </c>
      <c r="N382">
        <v>220.68744000000001</v>
      </c>
      <c r="O382">
        <v>220.63229000000001</v>
      </c>
      <c r="P382">
        <v>3.6411619999999999E-2</v>
      </c>
      <c r="Q382">
        <v>1.8739756999999999E-2</v>
      </c>
      <c r="R382" s="163">
        <v>4.9844669999999999E-5</v>
      </c>
      <c r="S382">
        <v>2.3126072</v>
      </c>
      <c r="T382">
        <v>1.6851614E-3</v>
      </c>
      <c r="U382">
        <v>1.0024185000000001</v>
      </c>
      <c r="V382">
        <v>11.016356</v>
      </c>
      <c r="W382">
        <v>3.0264296000000002</v>
      </c>
      <c r="X382" s="163">
        <v>7.3628896000000005E-5</v>
      </c>
      <c r="Y382">
        <v>3190.7918</v>
      </c>
      <c r="Z382">
        <v>17.201609999999999</v>
      </c>
      <c r="AA382" s="163">
        <v>6.0507534999999999E-5</v>
      </c>
      <c r="AB382">
        <v>13.752057000000001</v>
      </c>
      <c r="AC382">
        <v>1803.7893999999999</v>
      </c>
      <c r="AD382" s="163">
        <v>6.2059059000000002E-8</v>
      </c>
      <c r="AE382" s="163">
        <v>1.5716445999999999E-6</v>
      </c>
      <c r="AF382">
        <v>404.13553000000002</v>
      </c>
      <c r="AG382">
        <v>0</v>
      </c>
      <c r="AH382">
        <v>0</v>
      </c>
      <c r="AI382">
        <v>18.484690000000001</v>
      </c>
      <c r="AJ382">
        <v>0</v>
      </c>
      <c r="AK382">
        <v>0</v>
      </c>
      <c r="AL382">
        <v>3388.2820999999999</v>
      </c>
      <c r="AM382">
        <v>0</v>
      </c>
      <c r="AN382">
        <v>0</v>
      </c>
      <c r="AO382">
        <v>0</v>
      </c>
      <c r="AP382">
        <v>0.43792444000000003</v>
      </c>
      <c r="AQ382">
        <v>1.4228677E-3</v>
      </c>
      <c r="AR382">
        <v>3.4005329</v>
      </c>
      <c r="AS382">
        <v>2.2163924000000002E-2</v>
      </c>
      <c r="AT382">
        <v>0</v>
      </c>
      <c r="AU382">
        <v>0</v>
      </c>
      <c r="AV382">
        <v>0</v>
      </c>
      <c r="AW382">
        <v>0</v>
      </c>
      <c r="AX382">
        <v>0</v>
      </c>
    </row>
    <row r="383" spans="1:50">
      <c r="A383" t="s">
        <v>1626</v>
      </c>
      <c r="B383" s="189">
        <f t="shared" si="5"/>
        <v>8.7268593291721592E-4</v>
      </c>
      <c r="C383" s="163">
        <v>2.2103200999999999E-9</v>
      </c>
      <c r="D383" s="163">
        <v>4.5372045999999998E-5</v>
      </c>
      <c r="E383">
        <v>6.5541026999999998E-3</v>
      </c>
      <c r="F383" s="163">
        <v>1.1881682000000001E-9</v>
      </c>
      <c r="G383" s="163">
        <v>6.6408061999999996E-6</v>
      </c>
      <c r="H383" s="163">
        <v>4.9723479000000002E-5</v>
      </c>
      <c r="I383" s="163">
        <v>1.1188513E-5</v>
      </c>
      <c r="J383">
        <v>2.3610409999999999E-3</v>
      </c>
      <c r="K383" s="163">
        <v>3.2906983000000002E-5</v>
      </c>
      <c r="L383">
        <v>0.11097831</v>
      </c>
      <c r="M383" s="163">
        <v>3.9065995000000003E-6</v>
      </c>
      <c r="N383">
        <v>6.6250635999999998E-3</v>
      </c>
      <c r="O383">
        <v>6.6234079000000003E-3</v>
      </c>
      <c r="P383" s="163">
        <v>1.0930812E-6</v>
      </c>
      <c r="Q383" s="163">
        <v>5.6256976999999995E-7</v>
      </c>
      <c r="R383" s="163">
        <v>1.4963429999999999E-9</v>
      </c>
      <c r="S383" s="163">
        <v>6.9424747999999997E-5</v>
      </c>
      <c r="T383" s="163">
        <v>5.0588749999999997E-8</v>
      </c>
      <c r="U383" s="163">
        <v>3.0092725999999998E-5</v>
      </c>
      <c r="V383">
        <v>3.3071235E-4</v>
      </c>
      <c r="W383" s="163">
        <v>9.0853782999999994E-5</v>
      </c>
      <c r="X383" s="163">
        <v>2.2103483999999998E-9</v>
      </c>
      <c r="Y383">
        <v>9.5787955999999994E-2</v>
      </c>
      <c r="Z383">
        <v>5.1639440999999998E-4</v>
      </c>
      <c r="AA383" s="163">
        <v>1.8164435000000001E-9</v>
      </c>
      <c r="AB383">
        <v>4.1283841E-4</v>
      </c>
      <c r="AC383">
        <v>5.4149977000000002E-2</v>
      </c>
      <c r="AD383" s="163">
        <v>1.8630204000000001E-12</v>
      </c>
      <c r="AE383" s="163">
        <v>4.7180961999999998E-11</v>
      </c>
      <c r="AF383">
        <v>1.2132197000000001E-2</v>
      </c>
      <c r="AG383">
        <v>0</v>
      </c>
      <c r="AH383">
        <v>0</v>
      </c>
      <c r="AI383">
        <v>5.5491261999999998E-4</v>
      </c>
      <c r="AJ383">
        <v>0</v>
      </c>
      <c r="AK383">
        <v>0</v>
      </c>
      <c r="AL383">
        <v>0.10171664</v>
      </c>
      <c r="AM383">
        <v>0</v>
      </c>
      <c r="AN383">
        <v>0</v>
      </c>
      <c r="AO383">
        <v>0</v>
      </c>
      <c r="AP383" s="163">
        <v>1.3146545E-5</v>
      </c>
      <c r="AQ383" s="163">
        <v>4.2714660999999997E-8</v>
      </c>
      <c r="AR383">
        <v>1.0208441E-4</v>
      </c>
      <c r="AS383" s="163">
        <v>6.6536370000000005E-7</v>
      </c>
      <c r="AT383">
        <v>0</v>
      </c>
      <c r="AU383">
        <v>0</v>
      </c>
      <c r="AV383">
        <v>0</v>
      </c>
      <c r="AW383">
        <v>0</v>
      </c>
      <c r="AX383">
        <v>0</v>
      </c>
    </row>
    <row r="384" spans="1:50">
      <c r="A384" t="s">
        <v>1627</v>
      </c>
      <c r="B384" s="189">
        <f t="shared" si="5"/>
        <v>3.6400328436990009E-2</v>
      </c>
      <c r="C384" s="163">
        <v>5.5893775000000003E-6</v>
      </c>
      <c r="D384">
        <v>1.7128372000000001E-3</v>
      </c>
      <c r="E384">
        <v>0.23329337999999999</v>
      </c>
      <c r="F384" s="163">
        <v>1.3905053E-8</v>
      </c>
      <c r="G384">
        <v>3.7891417999999998E-4</v>
      </c>
      <c r="H384">
        <v>1.3009654E-3</v>
      </c>
      <c r="I384">
        <v>2.4733463000000002E-4</v>
      </c>
      <c r="J384">
        <v>0.16537218000000001</v>
      </c>
      <c r="K384">
        <v>2.9855328999999998E-3</v>
      </c>
      <c r="L384">
        <v>12.289403</v>
      </c>
      <c r="M384">
        <v>1.1764986E-3</v>
      </c>
      <c r="N384">
        <v>0.23820121999999999</v>
      </c>
      <c r="O384">
        <v>0.23768267000000001</v>
      </c>
      <c r="P384">
        <v>1.3772991E-4</v>
      </c>
      <c r="Q384">
        <v>3.8081744999999997E-4</v>
      </c>
      <c r="R384" s="163">
        <v>1.4206552999999999E-8</v>
      </c>
      <c r="S384">
        <v>1.5667768E-3</v>
      </c>
      <c r="T384" s="163">
        <v>5.0819217999999999E-5</v>
      </c>
      <c r="U384">
        <v>2.2590471999999999E-4</v>
      </c>
      <c r="V384">
        <v>2.7859999999999998E-3</v>
      </c>
      <c r="W384">
        <v>1.2251105999999999E-3</v>
      </c>
      <c r="X384" s="163">
        <v>5.5894696000000003E-6</v>
      </c>
      <c r="Y384">
        <v>3.1597593000000002</v>
      </c>
      <c r="Z384">
        <v>5.3657743000000001E-2</v>
      </c>
      <c r="AA384" s="163">
        <v>1.330613E-8</v>
      </c>
      <c r="AB384">
        <v>1.2643440000000001E-2</v>
      </c>
      <c r="AC384">
        <v>7.0786607999999998</v>
      </c>
      <c r="AD384" s="163">
        <v>2.6087244000000001E-10</v>
      </c>
      <c r="AE384" s="163">
        <v>6.5754487000000001E-9</v>
      </c>
      <c r="AF384">
        <v>1.2495883999999999</v>
      </c>
      <c r="AG384">
        <v>0</v>
      </c>
      <c r="AH384">
        <v>0</v>
      </c>
      <c r="AI384">
        <v>0.31229235</v>
      </c>
      <c r="AJ384">
        <v>0</v>
      </c>
      <c r="AK384">
        <v>0</v>
      </c>
      <c r="AL384">
        <v>3.3591669999999998</v>
      </c>
      <c r="AM384">
        <v>0</v>
      </c>
      <c r="AN384">
        <v>0</v>
      </c>
      <c r="AO384">
        <v>0</v>
      </c>
      <c r="AP384">
        <v>1.8757549E-3</v>
      </c>
      <c r="AQ384" s="163">
        <v>1.7976676000000001E-5</v>
      </c>
      <c r="AR384">
        <v>7.7540755000000003E-2</v>
      </c>
      <c r="AS384" s="163">
        <v>1.0219574E-5</v>
      </c>
      <c r="AT384">
        <v>0</v>
      </c>
      <c r="AU384">
        <v>0</v>
      </c>
      <c r="AV384">
        <v>0</v>
      </c>
      <c r="AW384">
        <v>0</v>
      </c>
      <c r="AX384">
        <v>0</v>
      </c>
    </row>
    <row r="385" spans="1:50">
      <c r="A385" t="s">
        <v>1628</v>
      </c>
      <c r="B385" s="189">
        <f t="shared" si="5"/>
        <v>3.7626407096856003E-2</v>
      </c>
      <c r="C385" s="163">
        <v>2.9002336000000001E-6</v>
      </c>
      <c r="D385">
        <v>1.9592628000000001E-3</v>
      </c>
      <c r="E385">
        <v>0.28295352000000001</v>
      </c>
      <c r="F385" s="163">
        <v>4.4261056E-8</v>
      </c>
      <c r="G385">
        <v>2.0528222999999999E-4</v>
      </c>
      <c r="H385">
        <v>7.8059215000000003E-4</v>
      </c>
      <c r="I385">
        <v>1.2470316E-4</v>
      </c>
      <c r="J385">
        <v>0.1964089</v>
      </c>
      <c r="K385">
        <v>2.4767156000000002E-3</v>
      </c>
      <c r="L385">
        <v>7.3334058999999998</v>
      </c>
      <c r="M385">
        <v>3.9587702999999998E-4</v>
      </c>
      <c r="N385">
        <v>0.28619371999999998</v>
      </c>
      <c r="O385">
        <v>0.28630435999999998</v>
      </c>
      <c r="P385">
        <v>-2.0786471E-4</v>
      </c>
      <c r="Q385" s="163">
        <v>9.7221704000000002E-5</v>
      </c>
      <c r="R385" s="163">
        <v>5.4893564000000002E-8</v>
      </c>
      <c r="S385">
        <v>9.3204178999999998E-4</v>
      </c>
      <c r="T385" s="163">
        <v>1.2800464E-5</v>
      </c>
      <c r="U385">
        <v>1.3355027E-4</v>
      </c>
      <c r="V385">
        <v>1.5848652E-3</v>
      </c>
      <c r="W385">
        <v>7.1606915999999996E-4</v>
      </c>
      <c r="X385" s="163">
        <v>2.9002472999999998E-6</v>
      </c>
      <c r="Y385">
        <v>4.0536821999999999</v>
      </c>
      <c r="Z385">
        <v>3.7519546000000001E-2</v>
      </c>
      <c r="AA385" s="163">
        <v>1.0177962E-8</v>
      </c>
      <c r="AB385">
        <v>1.6412067999999998E-2</v>
      </c>
      <c r="AC385">
        <v>3.8394925999999998</v>
      </c>
      <c r="AD385" s="163">
        <v>1.8609357000000001E-10</v>
      </c>
      <c r="AE385" s="163">
        <v>3.5622161000000001E-9</v>
      </c>
      <c r="AF385">
        <v>1.5271821999999999</v>
      </c>
      <c r="AG385">
        <v>0</v>
      </c>
      <c r="AH385">
        <v>0</v>
      </c>
      <c r="AI385">
        <v>8.7653935000000002E-2</v>
      </c>
      <c r="AJ385">
        <v>0</v>
      </c>
      <c r="AK385">
        <v>0</v>
      </c>
      <c r="AL385">
        <v>4.3061543000000002</v>
      </c>
      <c r="AM385">
        <v>0</v>
      </c>
      <c r="AN385">
        <v>0</v>
      </c>
      <c r="AO385">
        <v>0</v>
      </c>
      <c r="AP385">
        <v>1.0452466000000001E-3</v>
      </c>
      <c r="AQ385" s="163">
        <v>7.0953504000000004E-6</v>
      </c>
      <c r="AR385">
        <v>8.9196247000000006E-2</v>
      </c>
      <c r="AS385" s="163">
        <v>2.4854327000000001E-5</v>
      </c>
      <c r="AT385">
        <v>0</v>
      </c>
      <c r="AU385">
        <v>0</v>
      </c>
      <c r="AV385">
        <v>0</v>
      </c>
      <c r="AW385">
        <v>0</v>
      </c>
      <c r="AX385">
        <v>0</v>
      </c>
    </row>
    <row r="386" spans="1:50">
      <c r="A386" t="s">
        <v>1629</v>
      </c>
      <c r="B386" s="189">
        <f t="shared" si="5"/>
        <v>3.6417176852006003E-2</v>
      </c>
      <c r="C386" s="163">
        <v>2.9129501000000001E-6</v>
      </c>
      <c r="D386">
        <v>1.6359453000000001E-3</v>
      </c>
      <c r="E386">
        <v>0.23034108</v>
      </c>
      <c r="F386" s="163">
        <v>3.6371193000000001E-8</v>
      </c>
      <c r="G386">
        <v>1.2999486000000001E-4</v>
      </c>
      <c r="H386">
        <v>8.9920411000000001E-4</v>
      </c>
      <c r="I386">
        <v>1.7519032999999999E-4</v>
      </c>
      <c r="J386">
        <v>0.20501406</v>
      </c>
      <c r="K386">
        <v>2.5819803999999999E-3</v>
      </c>
      <c r="L386">
        <v>6.5140535000000002</v>
      </c>
      <c r="M386">
        <v>3.8608506999999998E-4</v>
      </c>
      <c r="N386">
        <v>0.23259265000000001</v>
      </c>
      <c r="O386">
        <v>0.23273273999999999</v>
      </c>
      <c r="P386">
        <v>-2.3641588E-4</v>
      </c>
      <c r="Q386" s="163">
        <v>9.6323113000000002E-5</v>
      </c>
      <c r="R386" s="163">
        <v>4.4983978999999998E-8</v>
      </c>
      <c r="S386">
        <v>1.1478814E-3</v>
      </c>
      <c r="T386" s="163">
        <v>1.2287726E-5</v>
      </c>
      <c r="U386">
        <v>3.1119611000000001E-4</v>
      </c>
      <c r="V386">
        <v>3.5076523000000001E-3</v>
      </c>
      <c r="W386">
        <v>1.0474864E-3</v>
      </c>
      <c r="X386" s="163">
        <v>2.9129634000000001E-6</v>
      </c>
      <c r="Y386">
        <v>3.3604566999999999</v>
      </c>
      <c r="Z386">
        <v>3.4196954000000002E-2</v>
      </c>
      <c r="AA386" s="163">
        <v>1.8229383E-8</v>
      </c>
      <c r="AB386">
        <v>1.3569774E-2</v>
      </c>
      <c r="AC386">
        <v>3.5554909000000001</v>
      </c>
      <c r="AD386" s="163">
        <v>2.3206862000000001E-10</v>
      </c>
      <c r="AE386" s="163">
        <v>4.0037247999999998E-9</v>
      </c>
      <c r="AF386">
        <v>1.4383351</v>
      </c>
      <c r="AG386">
        <v>0</v>
      </c>
      <c r="AH386">
        <v>0</v>
      </c>
      <c r="AI386">
        <v>8.1590211999999995E-2</v>
      </c>
      <c r="AJ386">
        <v>0</v>
      </c>
      <c r="AK386">
        <v>0</v>
      </c>
      <c r="AL386">
        <v>3.5695920000000001</v>
      </c>
      <c r="AM386">
        <v>0</v>
      </c>
      <c r="AN386">
        <v>0</v>
      </c>
      <c r="AO386">
        <v>0</v>
      </c>
      <c r="AP386">
        <v>9.5490416000000003E-4</v>
      </c>
      <c r="AQ386" s="163">
        <v>7.3253794E-6</v>
      </c>
      <c r="AR386">
        <v>8.8940867000000007E-2</v>
      </c>
      <c r="AS386" s="163">
        <v>2.0361501000000001E-5</v>
      </c>
      <c r="AT386">
        <v>0</v>
      </c>
      <c r="AU386">
        <v>0</v>
      </c>
      <c r="AV386">
        <v>0</v>
      </c>
      <c r="AW386">
        <v>0</v>
      </c>
      <c r="AX386">
        <v>0</v>
      </c>
    </row>
    <row r="387" spans="1:50">
      <c r="A387" t="s">
        <v>1630</v>
      </c>
      <c r="B387" s="189">
        <f t="shared" si="5"/>
        <v>3.6572155800502E-2</v>
      </c>
      <c r="C387" s="163">
        <v>2.8985096999999999E-6</v>
      </c>
      <c r="D387">
        <v>1.8743863999999999E-3</v>
      </c>
      <c r="E387">
        <v>0.27017134999999998</v>
      </c>
      <c r="F387" s="163">
        <v>4.2005665000000001E-8</v>
      </c>
      <c r="G387">
        <v>2.0156853999999999E-4</v>
      </c>
      <c r="H387">
        <v>7.5278783000000003E-4</v>
      </c>
      <c r="I387">
        <v>1.2055314000000001E-4</v>
      </c>
      <c r="J387">
        <v>0.19393341</v>
      </c>
      <c r="K387">
        <v>2.4148346E-3</v>
      </c>
      <c r="L387">
        <v>7.1272614000000001</v>
      </c>
      <c r="M387">
        <v>3.9196344999999999E-4</v>
      </c>
      <c r="N387">
        <v>0.27333093000000003</v>
      </c>
      <c r="O387">
        <v>0.27344813000000001</v>
      </c>
      <c r="P387">
        <v>-2.1369613E-4</v>
      </c>
      <c r="Q387" s="163">
        <v>9.6493865999999995E-5</v>
      </c>
      <c r="R387" s="163">
        <v>5.2049386999999999E-8</v>
      </c>
      <c r="S387">
        <v>8.9819927000000003E-4</v>
      </c>
      <c r="T387" s="163">
        <v>1.2757E-5</v>
      </c>
      <c r="U387">
        <v>1.2713342000000001E-4</v>
      </c>
      <c r="V387">
        <v>1.5118299E-3</v>
      </c>
      <c r="W387">
        <v>6.9362595999999997E-4</v>
      </c>
      <c r="X387" s="163">
        <v>2.8985235E-6</v>
      </c>
      <c r="Y387">
        <v>3.8724223000000002</v>
      </c>
      <c r="Z387">
        <v>3.6690975000000001E-2</v>
      </c>
      <c r="AA387" s="163">
        <v>9.9963136999999997E-9</v>
      </c>
      <c r="AB387">
        <v>1.5625068999999998E-2</v>
      </c>
      <c r="AC387">
        <v>3.7491731000000001</v>
      </c>
      <c r="AD387" s="163">
        <v>1.8492972999999999E-10</v>
      </c>
      <c r="AE387" s="163">
        <v>3.5326785999999998E-9</v>
      </c>
      <c r="AF387">
        <v>1.5043747999999999</v>
      </c>
      <c r="AG387">
        <v>0</v>
      </c>
      <c r="AH387">
        <v>0</v>
      </c>
      <c r="AI387">
        <v>8.6716067999999993E-2</v>
      </c>
      <c r="AJ387">
        <v>0</v>
      </c>
      <c r="AK387">
        <v>0</v>
      </c>
      <c r="AL387">
        <v>4.1137094000000003</v>
      </c>
      <c r="AM387">
        <v>0</v>
      </c>
      <c r="AN387">
        <v>0</v>
      </c>
      <c r="AO387">
        <v>0</v>
      </c>
      <c r="AP387">
        <v>1.0235903999999999E-3</v>
      </c>
      <c r="AQ387" s="163">
        <v>7.0368706000000004E-6</v>
      </c>
      <c r="AR387">
        <v>8.9107894000000007E-2</v>
      </c>
      <c r="AS387" s="163">
        <v>2.35823E-5</v>
      </c>
      <c r="AT387">
        <v>0</v>
      </c>
      <c r="AU387">
        <v>0</v>
      </c>
      <c r="AV387">
        <v>0</v>
      </c>
      <c r="AW387">
        <v>0</v>
      </c>
      <c r="AX387">
        <v>0</v>
      </c>
    </row>
    <row r="388" spans="1:50">
      <c r="A388" t="s">
        <v>1631</v>
      </c>
      <c r="B388" s="189">
        <f t="shared" si="5"/>
        <v>3.6511677234006008E-2</v>
      </c>
      <c r="C388" s="163">
        <v>2.9129501000000001E-6</v>
      </c>
      <c r="D388">
        <v>1.6359453000000001E-3</v>
      </c>
      <c r="E388">
        <v>0.23033439</v>
      </c>
      <c r="F388" s="163">
        <v>3.6371193000000001E-8</v>
      </c>
      <c r="G388">
        <v>1.2909894E-4</v>
      </c>
      <c r="H388">
        <v>9.6745900000000005E-4</v>
      </c>
      <c r="I388">
        <v>1.9293660000000001E-4</v>
      </c>
      <c r="J388">
        <v>0.20129611</v>
      </c>
      <c r="K388">
        <v>2.5356465000000001E-3</v>
      </c>
      <c r="L388">
        <v>6.514005</v>
      </c>
      <c r="M388">
        <v>3.8443671999999999E-4</v>
      </c>
      <c r="N388">
        <v>0.23258433000000001</v>
      </c>
      <c r="O388">
        <v>0.23272441999999999</v>
      </c>
      <c r="P388">
        <v>-2.3641588E-4</v>
      </c>
      <c r="Q388" s="163">
        <v>9.6323113000000002E-5</v>
      </c>
      <c r="R388" s="163">
        <v>4.4983978999999998E-8</v>
      </c>
      <c r="S388">
        <v>1.2488987E-3</v>
      </c>
      <c r="T388" s="163">
        <v>1.2287726E-5</v>
      </c>
      <c r="U388">
        <v>3.6429840999999998E-4</v>
      </c>
      <c r="V388">
        <v>4.0891838999999996E-3</v>
      </c>
      <c r="W388">
        <v>1.1822255E-3</v>
      </c>
      <c r="X388" s="163">
        <v>2.9129634000000001E-6</v>
      </c>
      <c r="Y388">
        <v>3.3604566999999999</v>
      </c>
      <c r="Z388">
        <v>3.4196964000000003E-2</v>
      </c>
      <c r="AA388" s="163">
        <v>1.0165678E-8</v>
      </c>
      <c r="AB388">
        <v>1.3569774E-2</v>
      </c>
      <c r="AC388">
        <v>3.5553227999999999</v>
      </c>
      <c r="AD388" s="163">
        <v>2.2454421999999999E-10</v>
      </c>
      <c r="AE388" s="163">
        <v>3.8846777000000004E-9</v>
      </c>
      <c r="AF388">
        <v>1.4383349999999999</v>
      </c>
      <c r="AG388">
        <v>0</v>
      </c>
      <c r="AH388">
        <v>0</v>
      </c>
      <c r="AI388">
        <v>8.1590211999999995E-2</v>
      </c>
      <c r="AJ388">
        <v>0</v>
      </c>
      <c r="AK388">
        <v>0</v>
      </c>
      <c r="AL388">
        <v>3.5695920000000001</v>
      </c>
      <c r="AM388">
        <v>0</v>
      </c>
      <c r="AN388">
        <v>0</v>
      </c>
      <c r="AO388">
        <v>0</v>
      </c>
      <c r="AP388">
        <v>9.5490433E-4</v>
      </c>
      <c r="AQ388" s="163">
        <v>7.3253794E-6</v>
      </c>
      <c r="AR388">
        <v>8.8940867000000007E-2</v>
      </c>
      <c r="AS388" s="163">
        <v>2.0361501000000001E-5</v>
      </c>
      <c r="AT388">
        <v>0</v>
      </c>
      <c r="AU388">
        <v>0</v>
      </c>
      <c r="AV388">
        <v>0</v>
      </c>
      <c r="AW388">
        <v>0</v>
      </c>
      <c r="AX388">
        <v>0</v>
      </c>
    </row>
    <row r="389" spans="1:50">
      <c r="A389" t="s">
        <v>1632</v>
      </c>
      <c r="B389" s="189">
        <f t="shared" si="5"/>
        <v>4.8100090583778003E-2</v>
      </c>
      <c r="C389" s="163">
        <v>3.8633428000000002E-6</v>
      </c>
      <c r="D389">
        <v>2.449433E-3</v>
      </c>
      <c r="E389">
        <v>0.35295452999999999</v>
      </c>
      <c r="F389" s="163">
        <v>5.4697751000000001E-8</v>
      </c>
      <c r="G389">
        <v>2.4908794999999999E-4</v>
      </c>
      <c r="H389">
        <v>9.9078953E-4</v>
      </c>
      <c r="I389">
        <v>1.5919381999999999E-4</v>
      </c>
      <c r="J389">
        <v>0.25668655000000001</v>
      </c>
      <c r="K389">
        <v>3.1786908999999999E-3</v>
      </c>
      <c r="L389">
        <v>9.3579576000000007</v>
      </c>
      <c r="M389">
        <v>5.1952249000000001E-4</v>
      </c>
      <c r="N389">
        <v>0.35696791999999999</v>
      </c>
      <c r="O389">
        <v>0.35712840000000001</v>
      </c>
      <c r="P389">
        <v>-2.8858501999999998E-4</v>
      </c>
      <c r="Q389">
        <v>1.2810463000000001E-4</v>
      </c>
      <c r="R389" s="163">
        <v>6.7748583000000003E-8</v>
      </c>
      <c r="S389">
        <v>1.1827732000000001E-3</v>
      </c>
      <c r="T389" s="163">
        <v>1.6977141999999999E-5</v>
      </c>
      <c r="U389">
        <v>1.6844135000000001E-4</v>
      </c>
      <c r="V389">
        <v>2.0023251000000001E-3</v>
      </c>
      <c r="W389">
        <v>8.8500617E-4</v>
      </c>
      <c r="X389" s="163">
        <v>3.8633611000000001E-6</v>
      </c>
      <c r="Y389">
        <v>5.0572293999999998</v>
      </c>
      <c r="Z389">
        <v>4.837984E-2</v>
      </c>
      <c r="AA389" s="163">
        <v>1.3085671E-8</v>
      </c>
      <c r="AB389">
        <v>2.0373672999999998E-2</v>
      </c>
      <c r="AC389">
        <v>4.9434297999999997</v>
      </c>
      <c r="AD389" s="163">
        <v>2.4595111999999999E-10</v>
      </c>
      <c r="AE389" s="163">
        <v>4.5759639E-9</v>
      </c>
      <c r="AF389">
        <v>1.9699431999999999</v>
      </c>
      <c r="AG389">
        <v>0</v>
      </c>
      <c r="AH389">
        <v>0</v>
      </c>
      <c r="AI389">
        <v>0.11497764000000001</v>
      </c>
      <c r="AJ389">
        <v>0</v>
      </c>
      <c r="AK389">
        <v>0</v>
      </c>
      <c r="AL389">
        <v>5.3724021999999998</v>
      </c>
      <c r="AM389">
        <v>0</v>
      </c>
      <c r="AN389">
        <v>0</v>
      </c>
      <c r="AO389">
        <v>0</v>
      </c>
      <c r="AP389">
        <v>1.350508E-3</v>
      </c>
      <c r="AQ389" s="163">
        <v>9.3449593000000005E-6</v>
      </c>
      <c r="AR389">
        <v>0.11682637999999999</v>
      </c>
      <c r="AS389" s="163">
        <v>3.0703615000000003E-5</v>
      </c>
      <c r="AT389">
        <v>0</v>
      </c>
      <c r="AU389">
        <v>0</v>
      </c>
      <c r="AV389">
        <v>0</v>
      </c>
      <c r="AW389">
        <v>0</v>
      </c>
      <c r="AX389">
        <v>0</v>
      </c>
    </row>
    <row r="390" spans="1:50">
      <c r="A390" t="s">
        <v>1633</v>
      </c>
      <c r="B390" s="189">
        <f t="shared" ref="B390:B453" si="6">(C390*0.16)+(D390*0.16)+(E390*0.05)+(F390*30)+(G390*2)+(H390*4)+(I390*9)+(J390*0.09)+(K390*0.03)+(L390*0.0001)+(M390*0.06)</f>
        <v>4.8148430067712009E-2</v>
      </c>
      <c r="C390" s="163">
        <v>3.8833986999999999E-6</v>
      </c>
      <c r="D390">
        <v>2.1663712999999999E-3</v>
      </c>
      <c r="E390">
        <v>0.30510583000000002</v>
      </c>
      <c r="F390" s="163">
        <v>4.8103204000000003E-8</v>
      </c>
      <c r="G390">
        <v>1.7279567000000001E-4</v>
      </c>
      <c r="H390">
        <v>1.1110269000000001E-3</v>
      </c>
      <c r="I390">
        <v>2.1117048999999999E-4</v>
      </c>
      <c r="J390">
        <v>0.27618525999999999</v>
      </c>
      <c r="K390">
        <v>3.4692002E-3</v>
      </c>
      <c r="L390">
        <v>8.6258067999999994</v>
      </c>
      <c r="M390">
        <v>5.1485473000000004E-4</v>
      </c>
      <c r="N390">
        <v>0.30806492000000002</v>
      </c>
      <c r="O390">
        <v>0.30825303999999998</v>
      </c>
      <c r="P390">
        <v>-3.1631200000000002E-4</v>
      </c>
      <c r="Q390">
        <v>1.2819215999999999E-4</v>
      </c>
      <c r="R390" s="163">
        <v>5.9485228E-8</v>
      </c>
      <c r="S390">
        <v>1.4015324E-3</v>
      </c>
      <c r="T390" s="163">
        <v>1.6371004000000001E-5</v>
      </c>
      <c r="U390">
        <v>3.4889976000000001E-4</v>
      </c>
      <c r="V390">
        <v>3.9533221999999996E-3</v>
      </c>
      <c r="W390">
        <v>1.2259866000000001E-3</v>
      </c>
      <c r="X390" s="163">
        <v>3.8834164000000002E-6</v>
      </c>
      <c r="Y390">
        <v>4.4490546999999996</v>
      </c>
      <c r="Z390">
        <v>4.5401364E-2</v>
      </c>
      <c r="AA390" s="163">
        <v>2.1230768999999999E-8</v>
      </c>
      <c r="AB390">
        <v>1.7954439999999999E-2</v>
      </c>
      <c r="AC390">
        <v>4.7225842</v>
      </c>
      <c r="AD390" s="163">
        <v>3.1608899999999998E-10</v>
      </c>
      <c r="AE390" s="163">
        <v>5.4180024E-9</v>
      </c>
      <c r="AF390">
        <v>1.8912667999999999</v>
      </c>
      <c r="AG390">
        <v>0</v>
      </c>
      <c r="AH390">
        <v>0</v>
      </c>
      <c r="AI390">
        <v>0.10856201</v>
      </c>
      <c r="AJ390">
        <v>0</v>
      </c>
      <c r="AK390">
        <v>0</v>
      </c>
      <c r="AL390">
        <v>4.7259586999999996</v>
      </c>
      <c r="AM390">
        <v>0</v>
      </c>
      <c r="AN390">
        <v>0</v>
      </c>
      <c r="AO390">
        <v>0</v>
      </c>
      <c r="AP390">
        <v>1.2680456E-3</v>
      </c>
      <c r="AQ390" s="163">
        <v>9.7545794000000004E-6</v>
      </c>
      <c r="AR390">
        <v>0.11664121</v>
      </c>
      <c r="AS390" s="163">
        <v>2.6927181999999999E-5</v>
      </c>
      <c r="AT390">
        <v>0</v>
      </c>
      <c r="AU390">
        <v>0</v>
      </c>
      <c r="AV390">
        <v>0</v>
      </c>
      <c r="AW390">
        <v>0</v>
      </c>
      <c r="AX390">
        <v>0</v>
      </c>
    </row>
    <row r="391" spans="1:50">
      <c r="A391" t="s">
        <v>1634</v>
      </c>
      <c r="B391" s="189">
        <f t="shared" si="6"/>
        <v>4.6896897809029996E-2</v>
      </c>
      <c r="C391" s="163">
        <v>3.8615704999999997E-6</v>
      </c>
      <c r="D391">
        <v>2.3621699999999998E-3</v>
      </c>
      <c r="E391">
        <v>0.33981256999999998</v>
      </c>
      <c r="F391" s="163">
        <v>5.2378925000000001E-8</v>
      </c>
      <c r="G391">
        <v>2.4486350000000001E-4</v>
      </c>
      <c r="H391">
        <v>9.6208977000000002E-4</v>
      </c>
      <c r="I391">
        <v>1.548977E-4</v>
      </c>
      <c r="J391">
        <v>0.25283359999999999</v>
      </c>
      <c r="K391">
        <v>3.1138435E-3</v>
      </c>
      <c r="L391">
        <v>9.1460133999999993</v>
      </c>
      <c r="M391">
        <v>5.1544774999999997E-4</v>
      </c>
      <c r="N391">
        <v>0.34374178999999999</v>
      </c>
      <c r="O391">
        <v>0.34390901000000001</v>
      </c>
      <c r="P391">
        <v>-2.9458095000000001E-4</v>
      </c>
      <c r="Q391">
        <v>1.2735633999999999E-4</v>
      </c>
      <c r="R391" s="163">
        <v>6.4824410999999994E-8</v>
      </c>
      <c r="S391">
        <v>1.1478112E-3</v>
      </c>
      <c r="T391" s="163">
        <v>1.6932456000000001E-5</v>
      </c>
      <c r="U391">
        <v>1.6175614E-4</v>
      </c>
      <c r="V391">
        <v>1.9262731000000001E-3</v>
      </c>
      <c r="W391">
        <v>8.6091982999999996E-4</v>
      </c>
      <c r="X391" s="163">
        <v>3.8615887999999996E-6</v>
      </c>
      <c r="Y391">
        <v>4.8708727999999999</v>
      </c>
      <c r="Z391">
        <v>4.7524799E-2</v>
      </c>
      <c r="AA391" s="163">
        <v>1.2899090000000001E-8</v>
      </c>
      <c r="AB391">
        <v>1.9564544E-2</v>
      </c>
      <c r="AC391">
        <v>4.8505592999999996</v>
      </c>
      <c r="AD391" s="163">
        <v>2.4414535E-10</v>
      </c>
      <c r="AE391" s="163">
        <v>4.5418448000000004E-9</v>
      </c>
      <c r="AF391">
        <v>1.9464942999999999</v>
      </c>
      <c r="AG391">
        <v>0</v>
      </c>
      <c r="AH391">
        <v>0</v>
      </c>
      <c r="AI391">
        <v>0.11401341</v>
      </c>
      <c r="AJ391">
        <v>0</v>
      </c>
      <c r="AK391">
        <v>0</v>
      </c>
      <c r="AL391">
        <v>5.1745460000000003</v>
      </c>
      <c r="AM391">
        <v>0</v>
      </c>
      <c r="AN391">
        <v>0</v>
      </c>
      <c r="AO391">
        <v>0</v>
      </c>
      <c r="AP391">
        <v>1.3281597E-3</v>
      </c>
      <c r="AQ391" s="163">
        <v>9.2848338999999993E-6</v>
      </c>
      <c r="AR391">
        <v>0.11673554</v>
      </c>
      <c r="AS391" s="163">
        <v>2.9395812E-5</v>
      </c>
      <c r="AT391">
        <v>0</v>
      </c>
      <c r="AU391">
        <v>0</v>
      </c>
      <c r="AV391">
        <v>0</v>
      </c>
      <c r="AW391">
        <v>0</v>
      </c>
      <c r="AX391">
        <v>0</v>
      </c>
    </row>
    <row r="392" spans="1:50">
      <c r="A392" t="s">
        <v>1635</v>
      </c>
      <c r="B392" s="189">
        <f t="shared" si="6"/>
        <v>4.7708105391842004E-2</v>
      </c>
      <c r="C392" s="163">
        <v>3.8828301999999998E-6</v>
      </c>
      <c r="D392">
        <v>2.1210676000000001E-3</v>
      </c>
      <c r="E392">
        <v>0.29846275</v>
      </c>
      <c r="F392" s="163">
        <v>4.6868666999999997E-8</v>
      </c>
      <c r="G392">
        <v>1.7036614000000001E-4</v>
      </c>
      <c r="H392">
        <v>1.1694734E-3</v>
      </c>
      <c r="I392">
        <v>2.2759082000000001E-4</v>
      </c>
      <c r="J392">
        <v>0.27102862999999999</v>
      </c>
      <c r="K392">
        <v>3.3842714E-3</v>
      </c>
      <c r="L392">
        <v>8.5185153000000007</v>
      </c>
      <c r="M392">
        <v>5.1116884999999996E-4</v>
      </c>
      <c r="N392">
        <v>0.30139386000000001</v>
      </c>
      <c r="O392">
        <v>0.30158478</v>
      </c>
      <c r="P392">
        <v>-3.1878688E-4</v>
      </c>
      <c r="Q392">
        <v>1.2786467E-4</v>
      </c>
      <c r="R392" s="163">
        <v>5.7926291999999999E-8</v>
      </c>
      <c r="S392">
        <v>1.4912917999999999E-3</v>
      </c>
      <c r="T392" s="163">
        <v>1.6354199000000001E-5</v>
      </c>
      <c r="U392">
        <v>4.0110512000000002E-4</v>
      </c>
      <c r="V392">
        <v>4.5240643999999997E-3</v>
      </c>
      <c r="W392">
        <v>1.3555039E-3</v>
      </c>
      <c r="X392" s="163">
        <v>3.882848E-6</v>
      </c>
      <c r="Y392">
        <v>4.3523076999999999</v>
      </c>
      <c r="Z392">
        <v>4.4966378000000001E-2</v>
      </c>
      <c r="AA392" s="163">
        <v>1.2902149E-8</v>
      </c>
      <c r="AB392">
        <v>1.7526667999999999E-2</v>
      </c>
      <c r="AC392">
        <v>4.6740838</v>
      </c>
      <c r="AD392" s="163">
        <v>3.0705838999999999E-10</v>
      </c>
      <c r="AE392" s="163">
        <v>5.2676115999999999E-9</v>
      </c>
      <c r="AF392">
        <v>1.879129</v>
      </c>
      <c r="AG392">
        <v>0</v>
      </c>
      <c r="AH392">
        <v>0</v>
      </c>
      <c r="AI392">
        <v>0.10818671000000001</v>
      </c>
      <c r="AJ392">
        <v>0</v>
      </c>
      <c r="AK392">
        <v>0</v>
      </c>
      <c r="AL392">
        <v>4.6232658000000004</v>
      </c>
      <c r="AM392">
        <v>0</v>
      </c>
      <c r="AN392">
        <v>0</v>
      </c>
      <c r="AO392">
        <v>0</v>
      </c>
      <c r="AP392">
        <v>1.2569625000000001E-3</v>
      </c>
      <c r="AQ392" s="163">
        <v>9.7268063999999993E-6</v>
      </c>
      <c r="AR392">
        <v>0.1165987</v>
      </c>
      <c r="AS392" s="163">
        <v>2.6231558E-5</v>
      </c>
      <c r="AT392">
        <v>0</v>
      </c>
      <c r="AU392">
        <v>0</v>
      </c>
      <c r="AV392">
        <v>0</v>
      </c>
      <c r="AW392">
        <v>0</v>
      </c>
      <c r="AX392">
        <v>0</v>
      </c>
    </row>
    <row r="393" spans="1:50">
      <c r="A393" t="s">
        <v>1636</v>
      </c>
      <c r="B393" s="189">
        <f t="shared" si="6"/>
        <v>5.85716144079E-2</v>
      </c>
      <c r="C393" s="163">
        <v>4.8264464999999998E-6</v>
      </c>
      <c r="D393">
        <v>2.9393384999999998E-3</v>
      </c>
      <c r="E393">
        <v>0.42291613</v>
      </c>
      <c r="F393" s="163">
        <v>6.5127402000000001E-8</v>
      </c>
      <c r="G393">
        <v>2.9325740999999999E-4</v>
      </c>
      <c r="H393">
        <v>1.2009156999999999E-3</v>
      </c>
      <c r="I393">
        <v>1.9367547E-4</v>
      </c>
      <c r="J393">
        <v>0.31695933999999998</v>
      </c>
      <c r="K393">
        <v>3.8804797999999999E-3</v>
      </c>
      <c r="L393">
        <v>11.381864999999999</v>
      </c>
      <c r="M393">
        <v>6.4315583999999997E-4</v>
      </c>
      <c r="N393">
        <v>0.42769733999999998</v>
      </c>
      <c r="O393">
        <v>0.42790768000000001</v>
      </c>
      <c r="P393">
        <v>-3.6932350999999998E-4</v>
      </c>
      <c r="Q393">
        <v>1.5898529E-4</v>
      </c>
      <c r="R393" s="163">
        <v>8.0594720999999995E-8</v>
      </c>
      <c r="S393">
        <v>1.433422E-3</v>
      </c>
      <c r="T393" s="163">
        <v>2.1153680999999998E-5</v>
      </c>
      <c r="U393">
        <v>2.0332422E-4</v>
      </c>
      <c r="V393">
        <v>2.4196865000000001E-3</v>
      </c>
      <c r="W393">
        <v>1.0545375999999999E-3</v>
      </c>
      <c r="X393" s="163">
        <v>4.8264694000000003E-6</v>
      </c>
      <c r="Y393">
        <v>6.0602112999999997</v>
      </c>
      <c r="Z393">
        <v>5.9235774999999997E-2</v>
      </c>
      <c r="AA393" s="163">
        <v>1.5991908999999999E-8</v>
      </c>
      <c r="AB393">
        <v>2.4332820000000002E-2</v>
      </c>
      <c r="AC393">
        <v>6.0470857000000002</v>
      </c>
      <c r="AD393" s="163">
        <v>3.0580371E-10</v>
      </c>
      <c r="AE393" s="163">
        <v>5.5860665E-9</v>
      </c>
      <c r="AF393">
        <v>2.412633</v>
      </c>
      <c r="AG393">
        <v>0</v>
      </c>
      <c r="AH393">
        <v>0</v>
      </c>
      <c r="AI393">
        <v>0.14229848</v>
      </c>
      <c r="AJ393">
        <v>0</v>
      </c>
      <c r="AK393">
        <v>0</v>
      </c>
      <c r="AL393">
        <v>6.4380499000000002</v>
      </c>
      <c r="AM393">
        <v>0</v>
      </c>
      <c r="AN393">
        <v>0</v>
      </c>
      <c r="AO393">
        <v>0</v>
      </c>
      <c r="AP393">
        <v>1.6556489000000001E-3</v>
      </c>
      <c r="AQ393" s="163">
        <v>1.1594384999999999E-5</v>
      </c>
      <c r="AR393">
        <v>0.14445625000000001</v>
      </c>
      <c r="AS393" s="163">
        <v>3.6548921000000002E-5</v>
      </c>
      <c r="AT393">
        <v>0</v>
      </c>
      <c r="AU393">
        <v>0</v>
      </c>
      <c r="AV393">
        <v>0</v>
      </c>
      <c r="AW393">
        <v>0</v>
      </c>
      <c r="AX393">
        <v>0</v>
      </c>
    </row>
    <row r="394" spans="1:50">
      <c r="A394" t="s">
        <v>1637</v>
      </c>
      <c r="B394" s="189">
        <f t="shared" si="6"/>
        <v>5.9875286860691997E-2</v>
      </c>
      <c r="C394" s="163">
        <v>4.8538792000000002E-6</v>
      </c>
      <c r="D394">
        <v>2.699314E-3</v>
      </c>
      <c r="E394">
        <v>0.38023927000000002</v>
      </c>
      <c r="F394" s="163">
        <v>5.9903793999999999E-8</v>
      </c>
      <c r="G394">
        <v>2.1568172000000001E-4</v>
      </c>
      <c r="H394">
        <v>1.3188538000000001E-3</v>
      </c>
      <c r="I394">
        <v>2.4604355000000001E-4</v>
      </c>
      <c r="J394">
        <v>0.34737750000000001</v>
      </c>
      <c r="K394">
        <v>4.3579611999999997E-3</v>
      </c>
      <c r="L394">
        <v>10.743518999999999</v>
      </c>
      <c r="M394">
        <v>6.4371766999999996E-4</v>
      </c>
      <c r="N394">
        <v>0.38390752</v>
      </c>
      <c r="O394">
        <v>0.38414351000000002</v>
      </c>
      <c r="P394">
        <v>-3.9606830000000001E-4</v>
      </c>
      <c r="Q394">
        <v>1.6007943999999999E-4</v>
      </c>
      <c r="R394" s="163">
        <v>7.4073077000000006E-8</v>
      </c>
      <c r="S394">
        <v>1.6490883E-3</v>
      </c>
      <c r="T394" s="163">
        <v>2.0455218999999999E-5</v>
      </c>
      <c r="U394">
        <v>3.8312011000000003E-4</v>
      </c>
      <c r="V394">
        <v>4.3608997000000004E-3</v>
      </c>
      <c r="W394">
        <v>1.3956940000000001E-3</v>
      </c>
      <c r="X394" s="163">
        <v>4.8539013000000003E-6</v>
      </c>
      <c r="Y394">
        <v>5.5430273999999997</v>
      </c>
      <c r="Z394">
        <v>5.6628456000000001E-2</v>
      </c>
      <c r="AA394" s="163">
        <v>2.4015821000000001E-8</v>
      </c>
      <c r="AB394">
        <v>2.2362869E-2</v>
      </c>
      <c r="AC394">
        <v>5.8923613000000001</v>
      </c>
      <c r="AD394" s="163">
        <v>4.0015248999999999E-10</v>
      </c>
      <c r="AE394" s="163">
        <v>6.8325269999999996E-9</v>
      </c>
      <c r="AF394">
        <v>2.3448730000000002</v>
      </c>
      <c r="AG394">
        <v>0</v>
      </c>
      <c r="AH394">
        <v>0</v>
      </c>
      <c r="AI394">
        <v>0.13555466999999999</v>
      </c>
      <c r="AJ394">
        <v>0</v>
      </c>
      <c r="AK394">
        <v>0</v>
      </c>
      <c r="AL394">
        <v>5.8880303999999999</v>
      </c>
      <c r="AM394">
        <v>0</v>
      </c>
      <c r="AN394">
        <v>0</v>
      </c>
      <c r="AO394">
        <v>0</v>
      </c>
      <c r="AP394">
        <v>1.5817909999999999E-3</v>
      </c>
      <c r="AQ394" s="163">
        <v>1.2185322E-5</v>
      </c>
      <c r="AR394">
        <v>0.14434390999999999</v>
      </c>
      <c r="AS394" s="163">
        <v>3.3531504E-5</v>
      </c>
      <c r="AT394">
        <v>0</v>
      </c>
      <c r="AU394">
        <v>0</v>
      </c>
      <c r="AV394">
        <v>0</v>
      </c>
      <c r="AW394">
        <v>0</v>
      </c>
      <c r="AX394">
        <v>0</v>
      </c>
    </row>
    <row r="395" spans="1:50">
      <c r="A395" t="s">
        <v>1638</v>
      </c>
      <c r="B395" s="189">
        <f t="shared" si="6"/>
        <v>5.7217839571328005E-2</v>
      </c>
      <c r="C395" s="163">
        <v>4.8246257999999999E-6</v>
      </c>
      <c r="D395">
        <v>2.849688E-3</v>
      </c>
      <c r="E395">
        <v>0.40941360999999998</v>
      </c>
      <c r="F395" s="163">
        <v>6.2745140000000002E-8</v>
      </c>
      <c r="G395">
        <v>2.8845496999999997E-4</v>
      </c>
      <c r="H395">
        <v>1.1713214E-3</v>
      </c>
      <c r="I395">
        <v>1.8923329999999999E-4</v>
      </c>
      <c r="J395">
        <v>0.31171258000000002</v>
      </c>
      <c r="K395">
        <v>3.8126619E-3</v>
      </c>
      <c r="L395">
        <v>11.164122000000001</v>
      </c>
      <c r="M395">
        <v>6.3891999999999996E-4</v>
      </c>
      <c r="N395">
        <v>0.41410606</v>
      </c>
      <c r="O395">
        <v>0.41432331999999999</v>
      </c>
      <c r="P395">
        <v>-3.7548368000000002E-4</v>
      </c>
      <c r="Q395">
        <v>1.5821655999999999E-4</v>
      </c>
      <c r="R395" s="163">
        <v>7.7590550999999996E-8</v>
      </c>
      <c r="S395">
        <v>1.3973414E-3</v>
      </c>
      <c r="T395" s="163">
        <v>2.1107775E-5</v>
      </c>
      <c r="U395">
        <v>1.9637077000000001E-4</v>
      </c>
      <c r="V395">
        <v>2.3406192E-3</v>
      </c>
      <c r="W395">
        <v>1.0286929E-3</v>
      </c>
      <c r="X395" s="163">
        <v>4.8246487000000004E-6</v>
      </c>
      <c r="Y395">
        <v>5.8687559</v>
      </c>
      <c r="Z395">
        <v>5.8360396000000002E-2</v>
      </c>
      <c r="AA395" s="163">
        <v>1.5800869000000002E-8</v>
      </c>
      <c r="AB395">
        <v>2.3501554000000001E-2</v>
      </c>
      <c r="AC395">
        <v>5.9516627</v>
      </c>
      <c r="AD395" s="163">
        <v>3.0335719000000002E-10</v>
      </c>
      <c r="AE395" s="163">
        <v>5.5466994000000001E-9</v>
      </c>
      <c r="AF395">
        <v>2.3885424999999998</v>
      </c>
      <c r="AG395">
        <v>0</v>
      </c>
      <c r="AH395">
        <v>0</v>
      </c>
      <c r="AI395">
        <v>0.14130786000000001</v>
      </c>
      <c r="AJ395">
        <v>0</v>
      </c>
      <c r="AK395">
        <v>0</v>
      </c>
      <c r="AL395">
        <v>6.2347804</v>
      </c>
      <c r="AM395">
        <v>0</v>
      </c>
      <c r="AN395">
        <v>0</v>
      </c>
      <c r="AO395">
        <v>0</v>
      </c>
      <c r="AP395">
        <v>1.6327689E-3</v>
      </c>
      <c r="AQ395" s="163">
        <v>1.1532615E-5</v>
      </c>
      <c r="AR395">
        <v>0.14436293</v>
      </c>
      <c r="AS395" s="163">
        <v>3.5205342000000001E-5</v>
      </c>
      <c r="AT395">
        <v>0</v>
      </c>
      <c r="AU395">
        <v>0</v>
      </c>
      <c r="AV395">
        <v>0</v>
      </c>
      <c r="AW395">
        <v>0</v>
      </c>
      <c r="AX395">
        <v>0</v>
      </c>
    </row>
    <row r="396" spans="1:50">
      <c r="A396" t="s">
        <v>1639</v>
      </c>
      <c r="B396" s="189">
        <f t="shared" si="6"/>
        <v>5.9352410657247993E-2</v>
      </c>
      <c r="C396" s="163">
        <v>4.8532787999999999E-6</v>
      </c>
      <c r="D396">
        <v>2.6514931E-3</v>
      </c>
      <c r="E396">
        <v>0.37322846999999998</v>
      </c>
      <c r="F396" s="163">
        <v>5.8600688000000003E-8</v>
      </c>
      <c r="G396">
        <v>2.1302895999999999E-4</v>
      </c>
      <c r="H396">
        <v>1.376672E-3</v>
      </c>
      <c r="I396">
        <v>2.6236838999999998E-4</v>
      </c>
      <c r="J396">
        <v>0.34156467000000001</v>
      </c>
      <c r="K396">
        <v>4.2641689000000003E-3</v>
      </c>
      <c r="L396">
        <v>10.630262</v>
      </c>
      <c r="M396">
        <v>6.3967864999999997E-4</v>
      </c>
      <c r="N396">
        <v>0.37686735999999998</v>
      </c>
      <c r="O396">
        <v>0.37710630000000001</v>
      </c>
      <c r="P396">
        <v>-3.9868103E-4</v>
      </c>
      <c r="Q396">
        <v>1.5973377E-4</v>
      </c>
      <c r="R396" s="163">
        <v>7.2427552999999998E-8</v>
      </c>
      <c r="S396">
        <v>1.7380986E-3</v>
      </c>
      <c r="T396" s="163">
        <v>2.0437480000000001E-5</v>
      </c>
      <c r="U396">
        <v>4.3521032000000002E-4</v>
      </c>
      <c r="V396">
        <v>4.9303272E-3</v>
      </c>
      <c r="W396">
        <v>1.5244807E-3</v>
      </c>
      <c r="X396" s="163">
        <v>4.853301E-6</v>
      </c>
      <c r="Y396">
        <v>5.4409046999999999</v>
      </c>
      <c r="Z396">
        <v>5.6169917E-2</v>
      </c>
      <c r="AA396" s="163">
        <v>1.5683618000000001E-8</v>
      </c>
      <c r="AB396">
        <v>2.1911336999999999E-2</v>
      </c>
      <c r="AC396">
        <v>5.8411515999999999</v>
      </c>
      <c r="AD396" s="163">
        <v>3.8991094999999999E-10</v>
      </c>
      <c r="AE396" s="163">
        <v>6.6630043999999996E-9</v>
      </c>
      <c r="AF396">
        <v>2.3320609999999999</v>
      </c>
      <c r="AG396">
        <v>0</v>
      </c>
      <c r="AH396">
        <v>0</v>
      </c>
      <c r="AI396">
        <v>0.13515853</v>
      </c>
      <c r="AJ396">
        <v>0</v>
      </c>
      <c r="AK396">
        <v>0</v>
      </c>
      <c r="AL396">
        <v>5.7796314999999998</v>
      </c>
      <c r="AM396">
        <v>0</v>
      </c>
      <c r="AN396">
        <v>0</v>
      </c>
      <c r="AO396">
        <v>0</v>
      </c>
      <c r="AP396">
        <v>1.5701004E-3</v>
      </c>
      <c r="AQ396" s="163">
        <v>1.2156006E-5</v>
      </c>
      <c r="AR396">
        <v>0.14429905000000001</v>
      </c>
      <c r="AS396" s="163">
        <v>3.2797237E-5</v>
      </c>
      <c r="AT396">
        <v>0</v>
      </c>
      <c r="AU396">
        <v>0</v>
      </c>
      <c r="AV396">
        <v>0</v>
      </c>
      <c r="AW396">
        <v>0</v>
      </c>
      <c r="AX396">
        <v>0</v>
      </c>
    </row>
    <row r="397" spans="1:50">
      <c r="A397" t="s">
        <v>1640</v>
      </c>
      <c r="B397" s="189">
        <f t="shared" si="6"/>
        <v>0.53108716117477617</v>
      </c>
      <c r="C397" s="163">
        <v>1.3451261000000001E-6</v>
      </c>
      <c r="D397">
        <v>2.7611892999999998E-2</v>
      </c>
      <c r="E397">
        <v>3.9886053000000001</v>
      </c>
      <c r="F397" s="163">
        <v>7.2307902000000003E-7</v>
      </c>
      <c r="G397">
        <v>4.0413701999999999E-3</v>
      </c>
      <c r="H397">
        <v>3.0260028000000001E-2</v>
      </c>
      <c r="I397">
        <v>6.8089509999999997E-3</v>
      </c>
      <c r="J397">
        <v>1.4368498000000001</v>
      </c>
      <c r="K397">
        <v>2.0026077999999999E-2</v>
      </c>
      <c r="L397">
        <v>67.537644999999998</v>
      </c>
      <c r="M397">
        <v>2.3774244000000001E-3</v>
      </c>
      <c r="N397">
        <v>4.0317897</v>
      </c>
      <c r="O397">
        <v>4.0307820999999997</v>
      </c>
      <c r="P397">
        <v>6.6521227999999995E-4</v>
      </c>
      <c r="Q397">
        <v>3.4236094999999999E-4</v>
      </c>
      <c r="R397" s="163">
        <v>9.1062379000000002E-7</v>
      </c>
      <c r="S397">
        <v>4.2249554000000002E-2</v>
      </c>
      <c r="T397" s="163">
        <v>3.0786603000000003E-5</v>
      </c>
      <c r="U397">
        <v>1.8313415999999999E-2</v>
      </c>
      <c r="V397">
        <v>0.20126036</v>
      </c>
      <c r="W397">
        <v>5.5290540999999999E-2</v>
      </c>
      <c r="X397" s="163">
        <v>1.3451433E-6</v>
      </c>
      <c r="Y397">
        <v>58.293312</v>
      </c>
      <c r="Z397">
        <v>0.31426018</v>
      </c>
      <c r="AA397" s="163">
        <v>1.1054261000000001E-6</v>
      </c>
      <c r="AB397">
        <v>0.2512395</v>
      </c>
      <c r="AC397">
        <v>32.953845000000001</v>
      </c>
      <c r="AD397" s="163">
        <v>1.1337712999999999E-9</v>
      </c>
      <c r="AE397" s="163">
        <v>2.8712738E-8</v>
      </c>
      <c r="AF397">
        <v>7.3832452000000002</v>
      </c>
      <c r="AG397">
        <v>0</v>
      </c>
      <c r="AH397">
        <v>0</v>
      </c>
      <c r="AI397">
        <v>0.33770106</v>
      </c>
      <c r="AJ397">
        <v>0</v>
      </c>
      <c r="AK397">
        <v>0</v>
      </c>
      <c r="AL397">
        <v>61.901308</v>
      </c>
      <c r="AM397">
        <v>0</v>
      </c>
      <c r="AN397">
        <v>0</v>
      </c>
      <c r="AO397">
        <v>0</v>
      </c>
      <c r="AP397">
        <v>8.0005427E-3</v>
      </c>
      <c r="AQ397" s="163">
        <v>2.5994699000000001E-5</v>
      </c>
      <c r="AR397">
        <v>6.2125120999999998E-2</v>
      </c>
      <c r="AS397">
        <v>4.0491784999999999E-4</v>
      </c>
      <c r="AT397">
        <v>0</v>
      </c>
      <c r="AU397">
        <v>0</v>
      </c>
      <c r="AV397">
        <v>0</v>
      </c>
      <c r="AW397">
        <v>0</v>
      </c>
      <c r="AX397">
        <v>0</v>
      </c>
    </row>
    <row r="398" spans="1:50">
      <c r="A398" t="s">
        <v>1641</v>
      </c>
      <c r="B398" s="189">
        <f t="shared" si="6"/>
        <v>0</v>
      </c>
      <c r="C398">
        <v>0</v>
      </c>
      <c r="D398">
        <v>0</v>
      </c>
      <c r="E398">
        <v>0</v>
      </c>
      <c r="F398">
        <v>0</v>
      </c>
      <c r="G398">
        <v>0</v>
      </c>
      <c r="H398">
        <v>0</v>
      </c>
      <c r="I398">
        <v>0</v>
      </c>
      <c r="J398">
        <v>0</v>
      </c>
      <c r="K398">
        <v>0</v>
      </c>
      <c r="L398">
        <v>0</v>
      </c>
      <c r="M398">
        <v>0</v>
      </c>
      <c r="N398">
        <v>0</v>
      </c>
      <c r="O398">
        <v>0</v>
      </c>
      <c r="P398">
        <v>0</v>
      </c>
      <c r="Q398">
        <v>0</v>
      </c>
      <c r="R398">
        <v>0</v>
      </c>
      <c r="S398">
        <v>0</v>
      </c>
      <c r="T398">
        <v>0</v>
      </c>
      <c r="U398">
        <v>0</v>
      </c>
      <c r="V398">
        <v>0</v>
      </c>
      <c r="W398">
        <v>0</v>
      </c>
      <c r="X398">
        <v>0</v>
      </c>
      <c r="Y398">
        <v>0</v>
      </c>
      <c r="Z398">
        <v>0</v>
      </c>
      <c r="AA398">
        <v>0</v>
      </c>
      <c r="AB398">
        <v>0</v>
      </c>
      <c r="AC398">
        <v>0</v>
      </c>
      <c r="AD398">
        <v>0</v>
      </c>
      <c r="AE398">
        <v>0</v>
      </c>
      <c r="AF398">
        <v>0</v>
      </c>
      <c r="AG398">
        <v>0</v>
      </c>
      <c r="AH398">
        <v>0</v>
      </c>
      <c r="AI398">
        <v>0</v>
      </c>
      <c r="AJ398">
        <v>0</v>
      </c>
      <c r="AK398">
        <v>0</v>
      </c>
      <c r="AL398">
        <v>0</v>
      </c>
      <c r="AM398">
        <v>0</v>
      </c>
      <c r="AN398">
        <v>0</v>
      </c>
      <c r="AO398">
        <v>0</v>
      </c>
      <c r="AP398">
        <v>0</v>
      </c>
      <c r="AQ398">
        <v>0</v>
      </c>
      <c r="AR398">
        <v>0</v>
      </c>
      <c r="AS398">
        <v>0</v>
      </c>
      <c r="AT398">
        <v>0</v>
      </c>
      <c r="AU398">
        <v>0</v>
      </c>
      <c r="AV398">
        <v>0</v>
      </c>
      <c r="AW398">
        <v>0</v>
      </c>
      <c r="AX398">
        <v>0</v>
      </c>
    </row>
    <row r="399" spans="1:50">
      <c r="A399" t="s">
        <v>1642</v>
      </c>
      <c r="B399" s="189">
        <f t="shared" si="6"/>
        <v>7.4173708483447204E-3</v>
      </c>
      <c r="C399" s="163">
        <v>3.3372091999999999E-8</v>
      </c>
      <c r="D399">
        <v>5.4404088000000004E-4</v>
      </c>
      <c r="E399">
        <v>8.6922797999999996E-2</v>
      </c>
      <c r="F399" s="163">
        <v>1.3678949E-8</v>
      </c>
      <c r="G399" s="163">
        <v>4.1287634000000001E-5</v>
      </c>
      <c r="H399">
        <v>2.0856712000000001E-4</v>
      </c>
      <c r="I399" s="163">
        <v>3.3477742000000001E-5</v>
      </c>
      <c r="J399">
        <v>1.7897089000000001E-2</v>
      </c>
      <c r="K399">
        <v>4.0153026999999999E-4</v>
      </c>
      <c r="L399">
        <v>1.3947113</v>
      </c>
      <c r="M399" s="163">
        <v>5.6170423999999999E-5</v>
      </c>
      <c r="N399">
        <v>8.8137709999999994E-2</v>
      </c>
      <c r="O399">
        <v>8.8123617000000001E-2</v>
      </c>
      <c r="P399" s="163">
        <v>5.3880924999999996E-6</v>
      </c>
      <c r="Q399" s="163">
        <v>8.7049202999999998E-6</v>
      </c>
      <c r="R399" s="163">
        <v>1.7151403999999999E-8</v>
      </c>
      <c r="S399">
        <v>2.5970894999999999E-4</v>
      </c>
      <c r="T399" s="163">
        <v>7.8635357999999996E-7</v>
      </c>
      <c r="U399" s="163">
        <v>6.1902509000000004E-5</v>
      </c>
      <c r="V399">
        <v>6.8822410999999997E-4</v>
      </c>
      <c r="W399">
        <v>2.3515666E-4</v>
      </c>
      <c r="X399" s="163">
        <v>3.3373559999999997E-8</v>
      </c>
      <c r="Y399">
        <v>1.1339281000000001</v>
      </c>
      <c r="Z399">
        <v>6.4468559999999999E-3</v>
      </c>
      <c r="AA399" s="163">
        <v>2.8926691999999998E-9</v>
      </c>
      <c r="AB399">
        <v>4.6743173000000004E-3</v>
      </c>
      <c r="AC399">
        <v>0.69235868</v>
      </c>
      <c r="AD399" s="163">
        <v>2.6470663000000002E-11</v>
      </c>
      <c r="AE399" s="163">
        <v>8.7267501000000003E-10</v>
      </c>
      <c r="AF399">
        <v>0.15169450000000001</v>
      </c>
      <c r="AG399">
        <v>0</v>
      </c>
      <c r="AH399">
        <v>0</v>
      </c>
      <c r="AI399">
        <v>8.4593798999999994E-3</v>
      </c>
      <c r="AJ399">
        <v>0</v>
      </c>
      <c r="AK399">
        <v>0</v>
      </c>
      <c r="AL399">
        <v>1.2058276999999999</v>
      </c>
      <c r="AM399">
        <v>0</v>
      </c>
      <c r="AN399">
        <v>0</v>
      </c>
      <c r="AO399">
        <v>0</v>
      </c>
      <c r="AP399">
        <v>1.6635002000000001E-4</v>
      </c>
      <c r="AQ399" s="163">
        <v>6.0164432999999996E-7</v>
      </c>
      <c r="AR399">
        <v>2.0119310999999998E-3</v>
      </c>
      <c r="AS399" s="163">
        <v>7.4713233000000002E-6</v>
      </c>
      <c r="AT399">
        <v>0</v>
      </c>
      <c r="AU399">
        <v>0</v>
      </c>
      <c r="AV399">
        <v>0</v>
      </c>
      <c r="AW399">
        <v>0</v>
      </c>
      <c r="AX399">
        <v>0</v>
      </c>
    </row>
    <row r="400" spans="1:50">
      <c r="A400" t="s">
        <v>1643</v>
      </c>
      <c r="B400" s="189">
        <f t="shared" si="6"/>
        <v>111.49638041239919</v>
      </c>
      <c r="C400">
        <v>2.8239562000000003E-4</v>
      </c>
      <c r="D400">
        <v>5.7968378999999999</v>
      </c>
      <c r="E400">
        <v>837.36737000000005</v>
      </c>
      <c r="F400">
        <v>1.5180312999999999E-4</v>
      </c>
      <c r="G400">
        <v>0.84844481000000005</v>
      </c>
      <c r="H400">
        <v>6.3527870999999996</v>
      </c>
      <c r="I400">
        <v>1.4294704</v>
      </c>
      <c r="J400">
        <v>301.65208000000001</v>
      </c>
      <c r="K400">
        <v>4.2042726000000004</v>
      </c>
      <c r="L400">
        <v>14178.846</v>
      </c>
      <c r="M400">
        <v>0.49911622</v>
      </c>
      <c r="N400">
        <v>846.43349999999998</v>
      </c>
      <c r="O400">
        <v>846.22197000000006</v>
      </c>
      <c r="P400">
        <v>0.13965459</v>
      </c>
      <c r="Q400">
        <v>7.1875220000000004E-2</v>
      </c>
      <c r="R400">
        <v>1.9117626000000001E-4</v>
      </c>
      <c r="S400">
        <v>8.8698668999999999</v>
      </c>
      <c r="T400">
        <v>6.4633360999999997E-3</v>
      </c>
      <c r="U400">
        <v>3.8447165000000001</v>
      </c>
      <c r="V400">
        <v>42.252578</v>
      </c>
      <c r="W400">
        <v>11.60769</v>
      </c>
      <c r="X400">
        <v>2.8239923999999998E-4</v>
      </c>
      <c r="Y400">
        <v>12238.092000000001</v>
      </c>
      <c r="Z400">
        <v>65.975748999999993</v>
      </c>
      <c r="AA400">
        <v>2.3207303999999999E-4</v>
      </c>
      <c r="AB400">
        <v>52.745193</v>
      </c>
      <c r="AC400">
        <v>6918.3266999999996</v>
      </c>
      <c r="AD400" s="163">
        <v>2.3802382E-7</v>
      </c>
      <c r="AE400" s="163">
        <v>6.0279492000000001E-6</v>
      </c>
      <c r="AF400">
        <v>1550.0377000000001</v>
      </c>
      <c r="AG400">
        <v>0</v>
      </c>
      <c r="AH400">
        <v>0</v>
      </c>
      <c r="AI400">
        <v>70.896923999999999</v>
      </c>
      <c r="AJ400">
        <v>0</v>
      </c>
      <c r="AK400">
        <v>0</v>
      </c>
      <c r="AL400">
        <v>12995.554</v>
      </c>
      <c r="AM400">
        <v>0</v>
      </c>
      <c r="AN400">
        <v>0</v>
      </c>
      <c r="AO400">
        <v>0</v>
      </c>
      <c r="AP400">
        <v>1.6796331</v>
      </c>
      <c r="AQ400">
        <v>5.4573241999999996E-3</v>
      </c>
      <c r="AR400">
        <v>13.042541</v>
      </c>
      <c r="AS400">
        <v>8.5008410000000006E-2</v>
      </c>
      <c r="AT400">
        <v>0</v>
      </c>
      <c r="AU400">
        <v>0</v>
      </c>
      <c r="AV400">
        <v>0</v>
      </c>
      <c r="AW400">
        <v>0</v>
      </c>
      <c r="AX400">
        <v>0</v>
      </c>
    </row>
    <row r="401" spans="1:50">
      <c r="A401" t="s">
        <v>1644</v>
      </c>
      <c r="B401" s="189">
        <f t="shared" si="6"/>
        <v>295.46540842474241</v>
      </c>
      <c r="C401">
        <v>7.4834838999999998E-4</v>
      </c>
      <c r="D401">
        <v>15.36162</v>
      </c>
      <c r="E401">
        <v>2219.0234999999998</v>
      </c>
      <c r="F401">
        <v>4.0227829999999999E-4</v>
      </c>
      <c r="G401">
        <v>2.2483787999999998</v>
      </c>
      <c r="H401">
        <v>16.834886000000001</v>
      </c>
      <c r="I401">
        <v>3.7880967000000001</v>
      </c>
      <c r="J401">
        <v>799.37801000000002</v>
      </c>
      <c r="K401">
        <v>11.141322000000001</v>
      </c>
      <c r="L401">
        <v>37573.942000000003</v>
      </c>
      <c r="M401">
        <v>1.3226579999999999</v>
      </c>
      <c r="N401">
        <v>2243.0488</v>
      </c>
      <c r="O401">
        <v>2242.4881999999998</v>
      </c>
      <c r="P401">
        <v>0.37008468</v>
      </c>
      <c r="Q401">
        <v>0.19046932999999999</v>
      </c>
      <c r="R401">
        <v>5.0661708999999997E-4</v>
      </c>
      <c r="S401">
        <v>23.505147000000001</v>
      </c>
      <c r="T401">
        <v>1.7127841000000001E-2</v>
      </c>
      <c r="U401">
        <v>10.188499</v>
      </c>
      <c r="V401">
        <v>111.96933</v>
      </c>
      <c r="W401">
        <v>30.760379</v>
      </c>
      <c r="X401">
        <v>7.4835798000000005E-4</v>
      </c>
      <c r="Y401">
        <v>32430.942999999999</v>
      </c>
      <c r="Z401">
        <v>174.83573000000001</v>
      </c>
      <c r="AA401">
        <v>6.1499356000000002E-4</v>
      </c>
      <c r="AB401">
        <v>139.77475999999999</v>
      </c>
      <c r="AC401">
        <v>18333.565999999999</v>
      </c>
      <c r="AD401" s="163">
        <v>6.3076310999999997E-7</v>
      </c>
      <c r="AE401" s="163">
        <v>1.5974065000000001E-5</v>
      </c>
      <c r="AF401">
        <v>4107.5999000000002</v>
      </c>
      <c r="AG401">
        <v>0</v>
      </c>
      <c r="AH401">
        <v>0</v>
      </c>
      <c r="AI401">
        <v>187.87684999999999</v>
      </c>
      <c r="AJ401">
        <v>0</v>
      </c>
      <c r="AK401">
        <v>0</v>
      </c>
      <c r="AL401">
        <v>34438.218000000001</v>
      </c>
      <c r="AM401">
        <v>0</v>
      </c>
      <c r="AN401">
        <v>0</v>
      </c>
      <c r="AO401">
        <v>0</v>
      </c>
      <c r="AP401">
        <v>4.4510275999999998</v>
      </c>
      <c r="AQ401">
        <v>1.4461909E-2</v>
      </c>
      <c r="AR401">
        <v>34.562733999999999</v>
      </c>
      <c r="AS401">
        <v>0.22527228999999999</v>
      </c>
      <c r="AT401">
        <v>0</v>
      </c>
      <c r="AU401">
        <v>0</v>
      </c>
      <c r="AV401">
        <v>0</v>
      </c>
      <c r="AW401">
        <v>0</v>
      </c>
      <c r="AX401">
        <v>0</v>
      </c>
    </row>
    <row r="402" spans="1:50">
      <c r="A402" t="s">
        <v>1645</v>
      </c>
      <c r="B402" s="189">
        <f t="shared" si="6"/>
        <v>14.9954024583948</v>
      </c>
      <c r="C402" s="163">
        <v>3.7980030000000001E-5</v>
      </c>
      <c r="D402">
        <v>0.77962993000000003</v>
      </c>
      <c r="E402">
        <v>112.61945</v>
      </c>
      <c r="F402" s="163">
        <v>2.0416349E-5</v>
      </c>
      <c r="G402">
        <v>0.11410927999999999</v>
      </c>
      <c r="H402">
        <v>0.85440079999999996</v>
      </c>
      <c r="I402">
        <v>0.19225274000000001</v>
      </c>
      <c r="J402">
        <v>40.569875000000003</v>
      </c>
      <c r="K402">
        <v>0.56544218999999996</v>
      </c>
      <c r="L402">
        <v>1906.9453000000001</v>
      </c>
      <c r="M402">
        <v>6.7127276999999999E-2</v>
      </c>
      <c r="N402">
        <v>113.83877</v>
      </c>
      <c r="O402">
        <v>113.81032</v>
      </c>
      <c r="P402">
        <v>1.8782465000000002E-2</v>
      </c>
      <c r="Q402">
        <v>9.6666619999999995E-3</v>
      </c>
      <c r="R402" s="163">
        <v>2.5711729999999999E-5</v>
      </c>
      <c r="S402">
        <v>1.1929285999999999</v>
      </c>
      <c r="T402">
        <v>8.6926878999999996E-4</v>
      </c>
      <c r="U402">
        <v>0.51708467999999996</v>
      </c>
      <c r="V402">
        <v>5.6826454000000002</v>
      </c>
      <c r="W402">
        <v>1.5611447000000001</v>
      </c>
      <c r="X402" s="163">
        <v>3.7980517E-5</v>
      </c>
      <c r="Y402">
        <v>1645.9287999999999</v>
      </c>
      <c r="Z402">
        <v>8.8732287000000003</v>
      </c>
      <c r="AA402" s="163">
        <v>3.1212032E-5</v>
      </c>
      <c r="AB402">
        <v>7.0938211999999998</v>
      </c>
      <c r="AC402">
        <v>930.46150999999998</v>
      </c>
      <c r="AD402" s="163">
        <v>3.2012365000000003E-8</v>
      </c>
      <c r="AE402" s="163">
        <v>8.1071261999999996E-7</v>
      </c>
      <c r="AF402">
        <v>208.46809999999999</v>
      </c>
      <c r="AG402">
        <v>0</v>
      </c>
      <c r="AH402">
        <v>0</v>
      </c>
      <c r="AI402">
        <v>9.5350888000000005</v>
      </c>
      <c r="AJ402">
        <v>0</v>
      </c>
      <c r="AK402">
        <v>0</v>
      </c>
      <c r="AL402">
        <v>1747.8016</v>
      </c>
      <c r="AM402">
        <v>0</v>
      </c>
      <c r="AN402">
        <v>0</v>
      </c>
      <c r="AO402">
        <v>0</v>
      </c>
      <c r="AP402">
        <v>0.22589767999999999</v>
      </c>
      <c r="AQ402">
        <v>7.3396796000000004E-4</v>
      </c>
      <c r="AR402">
        <v>1.7541211000000001</v>
      </c>
      <c r="AS402">
        <v>1.1432975E-2</v>
      </c>
      <c r="AT402">
        <v>0</v>
      </c>
      <c r="AU402">
        <v>0</v>
      </c>
      <c r="AV402">
        <v>0</v>
      </c>
      <c r="AW402">
        <v>0</v>
      </c>
      <c r="AX402">
        <v>0</v>
      </c>
    </row>
    <row r="403" spans="1:50">
      <c r="A403" t="s">
        <v>1646</v>
      </c>
      <c r="B403" s="189">
        <f t="shared" si="6"/>
        <v>21.923102609787605</v>
      </c>
      <c r="C403" s="163">
        <v>5.5526360000000001E-5</v>
      </c>
      <c r="D403">
        <v>1.1398098000000001</v>
      </c>
      <c r="E403">
        <v>164.64831000000001</v>
      </c>
      <c r="F403" s="163">
        <v>2.9848462999999999E-5</v>
      </c>
      <c r="G403">
        <v>0.16682643</v>
      </c>
      <c r="H403">
        <v>1.2491239999999999</v>
      </c>
      <c r="I403">
        <v>0.28107124999999999</v>
      </c>
      <c r="J403">
        <v>59.312683</v>
      </c>
      <c r="K403">
        <v>0.82666987000000003</v>
      </c>
      <c r="L403">
        <v>2787.9317000000001</v>
      </c>
      <c r="M403">
        <v>9.8139293000000002E-2</v>
      </c>
      <c r="N403">
        <v>166.43095</v>
      </c>
      <c r="O403">
        <v>166.38936000000001</v>
      </c>
      <c r="P403">
        <v>2.7459743000000002E-2</v>
      </c>
      <c r="Q403">
        <v>1.4132547000000001E-2</v>
      </c>
      <c r="R403" s="163">
        <v>3.7590248999999999E-5</v>
      </c>
      <c r="S403">
        <v>1.7440477000000001</v>
      </c>
      <c r="T403">
        <v>1.2708608E-3</v>
      </c>
      <c r="U403">
        <v>0.75597175000000005</v>
      </c>
      <c r="V403">
        <v>8.3079611</v>
      </c>
      <c r="W403">
        <v>2.2823753</v>
      </c>
      <c r="X403" s="163">
        <v>5.5527071E-5</v>
      </c>
      <c r="Y403">
        <v>2406.3287</v>
      </c>
      <c r="Z403">
        <v>12.972557</v>
      </c>
      <c r="AA403" s="163">
        <v>4.5631625E-5</v>
      </c>
      <c r="AB403">
        <v>10.371084</v>
      </c>
      <c r="AC403">
        <v>1360.3237999999999</v>
      </c>
      <c r="AD403" s="163">
        <v>4.6801702999999999E-8</v>
      </c>
      <c r="AE403" s="163">
        <v>1.1852524E-6</v>
      </c>
      <c r="AF403">
        <v>304.77791999999999</v>
      </c>
      <c r="AG403">
        <v>0</v>
      </c>
      <c r="AH403">
        <v>0</v>
      </c>
      <c r="AI403">
        <v>13.940187999999999</v>
      </c>
      <c r="AJ403">
        <v>0</v>
      </c>
      <c r="AK403">
        <v>0</v>
      </c>
      <c r="AL403">
        <v>2555.2656000000002</v>
      </c>
      <c r="AM403">
        <v>0</v>
      </c>
      <c r="AN403">
        <v>0</v>
      </c>
      <c r="AO403">
        <v>0</v>
      </c>
      <c r="AP403">
        <v>0.33025976000000001</v>
      </c>
      <c r="AQ403">
        <v>1.0730526000000001E-3</v>
      </c>
      <c r="AR403">
        <v>2.5645045</v>
      </c>
      <c r="AS403">
        <v>1.6714875000000001E-2</v>
      </c>
      <c r="AT403">
        <v>0</v>
      </c>
      <c r="AU403">
        <v>0</v>
      </c>
      <c r="AV403">
        <v>0</v>
      </c>
      <c r="AW403">
        <v>0</v>
      </c>
      <c r="AX403">
        <v>0</v>
      </c>
    </row>
    <row r="404" spans="1:50">
      <c r="A404" t="s">
        <v>1647</v>
      </c>
      <c r="B404" s="189">
        <f t="shared" si="6"/>
        <v>0.22872233316110399</v>
      </c>
      <c r="C404" s="163">
        <v>5.6746439000000003E-6</v>
      </c>
      <c r="D404">
        <v>8.7692991000000008E-3</v>
      </c>
      <c r="E404">
        <v>1.1419079999999999</v>
      </c>
      <c r="F404" s="163">
        <v>8.9526236E-8</v>
      </c>
      <c r="G404">
        <v>6.7752689000000004E-4</v>
      </c>
      <c r="H404">
        <v>3.6456091999999998E-3</v>
      </c>
      <c r="I404">
        <v>7.1590960000000002E-4</v>
      </c>
      <c r="J404">
        <v>1.5956456999999999</v>
      </c>
      <c r="K404">
        <v>9.4132114999999992E-3</v>
      </c>
      <c r="L404">
        <v>33.510499000000003</v>
      </c>
      <c r="M404">
        <v>9.9669224999999993E-3</v>
      </c>
      <c r="N404">
        <v>1.1722395000000001</v>
      </c>
      <c r="O404">
        <v>1.1719063000000001</v>
      </c>
      <c r="P404">
        <v>-4.3582164000000002E-4</v>
      </c>
      <c r="Q404">
        <v>7.6904006999999996E-4</v>
      </c>
      <c r="R404" s="163">
        <v>9.7368632999999995E-8</v>
      </c>
      <c r="S404">
        <v>4.4876869000000002E-3</v>
      </c>
      <c r="T404">
        <v>1.2806553000000001E-4</v>
      </c>
      <c r="U404">
        <v>8.2813562000000004E-4</v>
      </c>
      <c r="V404">
        <v>9.9817245000000006E-3</v>
      </c>
      <c r="W404">
        <v>3.3599033000000001E-3</v>
      </c>
      <c r="X404" s="163">
        <v>5.6747010000000003E-6</v>
      </c>
      <c r="Y404">
        <v>15.676897</v>
      </c>
      <c r="Z404">
        <v>0.19616455999999999</v>
      </c>
      <c r="AA404" s="163">
        <v>5.1716492000000003E-8</v>
      </c>
      <c r="AB404">
        <v>3.0195195000000001E-2</v>
      </c>
      <c r="AC404">
        <v>23.110710999999998</v>
      </c>
      <c r="AD404" s="163">
        <v>3.8337790999999997E-9</v>
      </c>
      <c r="AE404" s="163">
        <v>4.7731143000000002E-8</v>
      </c>
      <c r="AF404">
        <v>2.3174473</v>
      </c>
      <c r="AG404">
        <v>0</v>
      </c>
      <c r="AH404">
        <v>0</v>
      </c>
      <c r="AI404">
        <v>0.85545590999999999</v>
      </c>
      <c r="AJ404">
        <v>0</v>
      </c>
      <c r="AK404">
        <v>0</v>
      </c>
      <c r="AL404">
        <v>16.978650999999999</v>
      </c>
      <c r="AM404">
        <v>0</v>
      </c>
      <c r="AN404">
        <v>0</v>
      </c>
      <c r="AO404">
        <v>0</v>
      </c>
      <c r="AP404">
        <v>5.7916733999999999E-3</v>
      </c>
      <c r="AQ404" s="163">
        <v>4.0538703E-5</v>
      </c>
      <c r="AR404">
        <v>0.27012839</v>
      </c>
      <c r="AS404" s="163">
        <v>2.6942328000000001E-5</v>
      </c>
      <c r="AT404">
        <v>0</v>
      </c>
      <c r="AU404">
        <v>0</v>
      </c>
      <c r="AV404">
        <v>0</v>
      </c>
      <c r="AW404">
        <v>0</v>
      </c>
      <c r="AX404">
        <v>0</v>
      </c>
    </row>
    <row r="405" spans="1:50">
      <c r="A405" t="s">
        <v>1648</v>
      </c>
      <c r="B405" s="189">
        <f t="shared" si="6"/>
        <v>1.315386156063056</v>
      </c>
      <c r="C405" s="163">
        <v>3.3315816000000002E-6</v>
      </c>
      <c r="D405">
        <v>6.8388590999999999E-2</v>
      </c>
      <c r="E405">
        <v>9.8788987000000006</v>
      </c>
      <c r="F405" s="163">
        <v>1.7909078E-6</v>
      </c>
      <c r="G405">
        <v>1.0009585999999999E-2</v>
      </c>
      <c r="H405">
        <v>7.4947438000000005E-2</v>
      </c>
      <c r="I405">
        <v>1.6864275000000001E-2</v>
      </c>
      <c r="J405">
        <v>3.5587610000000001</v>
      </c>
      <c r="K405">
        <v>4.9600192000000001E-2</v>
      </c>
      <c r="L405">
        <v>167.27590000000001</v>
      </c>
      <c r="M405">
        <v>5.8883575999999997E-3</v>
      </c>
      <c r="N405">
        <v>9.9858568999999999</v>
      </c>
      <c r="O405">
        <v>9.9833613999999997</v>
      </c>
      <c r="P405">
        <v>1.6475846000000001E-3</v>
      </c>
      <c r="Q405">
        <v>8.4795281000000003E-4</v>
      </c>
      <c r="R405" s="163">
        <v>2.2554149999999998E-6</v>
      </c>
      <c r="S405">
        <v>0.10464286</v>
      </c>
      <c r="T405" s="163">
        <v>7.6251647999999998E-5</v>
      </c>
      <c r="U405">
        <v>4.5358305000000002E-2</v>
      </c>
      <c r="V405">
        <v>0.49847766999999998</v>
      </c>
      <c r="W405">
        <v>0.13694252000000001</v>
      </c>
      <c r="X405" s="163">
        <v>3.3316243000000001E-6</v>
      </c>
      <c r="Y405">
        <v>144.37971999999999</v>
      </c>
      <c r="Z405">
        <v>0.77835339000000003</v>
      </c>
      <c r="AA405" s="163">
        <v>2.7378974999999999E-6</v>
      </c>
      <c r="AB405">
        <v>0.62226501999999995</v>
      </c>
      <c r="AC405">
        <v>81.619431000000006</v>
      </c>
      <c r="AD405" s="163">
        <v>2.8081022000000001E-9</v>
      </c>
      <c r="AE405" s="163">
        <v>7.1115141999999997E-8</v>
      </c>
      <c r="AF405">
        <v>18.286674999999999</v>
      </c>
      <c r="AG405">
        <v>0</v>
      </c>
      <c r="AH405">
        <v>0</v>
      </c>
      <c r="AI405">
        <v>0.83641129999999997</v>
      </c>
      <c r="AJ405">
        <v>0</v>
      </c>
      <c r="AK405">
        <v>0</v>
      </c>
      <c r="AL405">
        <v>153.31593000000001</v>
      </c>
      <c r="AM405">
        <v>0</v>
      </c>
      <c r="AN405">
        <v>0</v>
      </c>
      <c r="AO405">
        <v>0</v>
      </c>
      <c r="AP405">
        <v>1.9815586E-2</v>
      </c>
      <c r="AQ405" s="163">
        <v>6.4383154000000005E-5</v>
      </c>
      <c r="AR405">
        <v>0.15387027</v>
      </c>
      <c r="AS405">
        <v>1.0028925E-3</v>
      </c>
      <c r="AT405">
        <v>0</v>
      </c>
      <c r="AU405">
        <v>0</v>
      </c>
      <c r="AV405">
        <v>0</v>
      </c>
      <c r="AW405">
        <v>0</v>
      </c>
      <c r="AX405">
        <v>0</v>
      </c>
    </row>
    <row r="406" spans="1:50">
      <c r="A406" t="s">
        <v>1649</v>
      </c>
      <c r="B406" s="189">
        <f t="shared" si="6"/>
        <v>0.139568942042848</v>
      </c>
      <c r="C406" s="163">
        <v>1.2359152999999999E-6</v>
      </c>
      <c r="D406">
        <v>1.1071419000000001E-2</v>
      </c>
      <c r="E406">
        <v>1.3316219</v>
      </c>
      <c r="F406" s="163">
        <v>1.2082228E-7</v>
      </c>
      <c r="G406">
        <v>5.2795805000000005E-4</v>
      </c>
      <c r="H406">
        <v>5.7084941999999998E-3</v>
      </c>
      <c r="I406">
        <v>7.3210587000000003E-4</v>
      </c>
      <c r="J406">
        <v>0.40059348</v>
      </c>
      <c r="K406">
        <v>1.1047075999999999E-2</v>
      </c>
      <c r="L406">
        <v>42.127226999999998</v>
      </c>
      <c r="M406">
        <v>2.2700613E-3</v>
      </c>
      <c r="N406">
        <v>1.2909682</v>
      </c>
      <c r="O406">
        <v>1.3538572</v>
      </c>
      <c r="P406">
        <v>-6.4741573999999996E-2</v>
      </c>
      <c r="Q406">
        <v>1.8526608E-3</v>
      </c>
      <c r="R406" s="163">
        <v>1.2434302999999999E-7</v>
      </c>
      <c r="S406">
        <v>6.9990481000000004E-3</v>
      </c>
      <c r="T406" s="163">
        <v>7.8176462000000002E-5</v>
      </c>
      <c r="U406">
        <v>1.0567078999999999E-3</v>
      </c>
      <c r="V406">
        <v>1.3943107999999999E-2</v>
      </c>
      <c r="W406">
        <v>3.6040209000000002E-3</v>
      </c>
      <c r="X406" s="163">
        <v>1.2359224E-6</v>
      </c>
      <c r="Y406">
        <v>21.670127000000001</v>
      </c>
      <c r="Z406">
        <v>0.45140668</v>
      </c>
      <c r="AA406" s="163">
        <v>4.7723005999999999E-8</v>
      </c>
      <c r="AB406">
        <v>8.9264820999999994E-2</v>
      </c>
      <c r="AC406">
        <v>21.807310999999999</v>
      </c>
      <c r="AD406" s="163">
        <v>4.4566931999999999E-10</v>
      </c>
      <c r="AE406" s="163">
        <v>1.1580699E-8</v>
      </c>
      <c r="AF406">
        <v>9.1163869999999996</v>
      </c>
      <c r="AG406">
        <v>0</v>
      </c>
      <c r="AH406">
        <v>0</v>
      </c>
      <c r="AI406">
        <v>2.5639299000000002</v>
      </c>
      <c r="AJ406">
        <v>0</v>
      </c>
      <c r="AK406">
        <v>0</v>
      </c>
      <c r="AL406">
        <v>23.127337000000001</v>
      </c>
      <c r="AM406">
        <v>0</v>
      </c>
      <c r="AN406">
        <v>0</v>
      </c>
      <c r="AO406">
        <v>0</v>
      </c>
      <c r="AP406">
        <v>1.4422516E-2</v>
      </c>
      <c r="AQ406" s="163">
        <v>5.9092338000000001E-5</v>
      </c>
      <c r="AR406">
        <v>9.1291002999999996E-2</v>
      </c>
      <c r="AS406" s="163">
        <v>7.8429750999999998E-5</v>
      </c>
      <c r="AT406">
        <v>0</v>
      </c>
      <c r="AU406">
        <v>0</v>
      </c>
      <c r="AV406">
        <v>0</v>
      </c>
      <c r="AW406">
        <v>0</v>
      </c>
      <c r="AX406">
        <v>0</v>
      </c>
    </row>
    <row r="407" spans="1:50">
      <c r="A407" t="s">
        <v>1650</v>
      </c>
      <c r="B407" s="189">
        <f t="shared" si="6"/>
        <v>1.2223887349533521E-2</v>
      </c>
      <c r="C407" s="163">
        <v>3.0960396999999998E-8</v>
      </c>
      <c r="D407">
        <v>6.3553537000000005E-4</v>
      </c>
      <c r="E407">
        <v>9.1804633999999996E-2</v>
      </c>
      <c r="F407" s="163">
        <v>1.6642911E-8</v>
      </c>
      <c r="G407" s="163">
        <v>9.3019108E-5</v>
      </c>
      <c r="H407">
        <v>6.9648675999999996E-4</v>
      </c>
      <c r="I407">
        <v>1.5671975999999999E-4</v>
      </c>
      <c r="J407">
        <v>3.3071575999999998E-2</v>
      </c>
      <c r="K407">
        <v>4.6093472999999999E-4</v>
      </c>
      <c r="L407">
        <v>1.5544954</v>
      </c>
      <c r="M407" s="163">
        <v>5.4720523999999998E-5</v>
      </c>
      <c r="N407">
        <v>9.2798596999999997E-2</v>
      </c>
      <c r="O407">
        <v>9.2775406000000005E-2</v>
      </c>
      <c r="P407" s="163">
        <v>1.5311009000000001E-5</v>
      </c>
      <c r="Q407" s="163">
        <v>7.8800279000000008E-6</v>
      </c>
      <c r="R407" s="163">
        <v>2.0959578000000002E-8</v>
      </c>
      <c r="S407">
        <v>9.7244639999999999E-4</v>
      </c>
      <c r="T407" s="163">
        <v>7.0860679000000005E-7</v>
      </c>
      <c r="U407">
        <v>4.2151485999999998E-4</v>
      </c>
      <c r="V407">
        <v>4.6323544000000001E-3</v>
      </c>
      <c r="W407">
        <v>1.2726072000000001E-3</v>
      </c>
      <c r="X407" s="163">
        <v>3.0960794000000002E-8</v>
      </c>
      <c r="Y407">
        <v>1.3417212000000001</v>
      </c>
      <c r="Z407">
        <v>7.2332404000000003E-3</v>
      </c>
      <c r="AA407" s="163">
        <v>2.5443290000000001E-8</v>
      </c>
      <c r="AB407">
        <v>5.7827106000000001E-3</v>
      </c>
      <c r="AC407">
        <v>0.75848961000000004</v>
      </c>
      <c r="AD407" s="163">
        <v>2.6095702E-11</v>
      </c>
      <c r="AE407" s="163">
        <v>6.6087321999999999E-10</v>
      </c>
      <c r="AF407">
        <v>0.16993812999999999</v>
      </c>
      <c r="AG407">
        <v>0</v>
      </c>
      <c r="AH407">
        <v>0</v>
      </c>
      <c r="AI407">
        <v>7.7727726E-3</v>
      </c>
      <c r="AJ407">
        <v>0</v>
      </c>
      <c r="AK407">
        <v>0</v>
      </c>
      <c r="AL407">
        <v>1.4247654000000001</v>
      </c>
      <c r="AM407">
        <v>0</v>
      </c>
      <c r="AN407">
        <v>0</v>
      </c>
      <c r="AO407">
        <v>0</v>
      </c>
      <c r="AP407">
        <v>1.8414629999999999E-4</v>
      </c>
      <c r="AQ407" s="163">
        <v>5.9831284000000005E-7</v>
      </c>
      <c r="AR407">
        <v>1.4299168000000001E-3</v>
      </c>
      <c r="AS407" s="163">
        <v>9.3198830000000005E-6</v>
      </c>
      <c r="AT407">
        <v>0</v>
      </c>
      <c r="AU407">
        <v>0</v>
      </c>
      <c r="AV407">
        <v>0</v>
      </c>
      <c r="AW407">
        <v>0</v>
      </c>
      <c r="AX407">
        <v>0</v>
      </c>
    </row>
    <row r="408" spans="1:50">
      <c r="A408" t="s">
        <v>1651</v>
      </c>
      <c r="B408" s="189">
        <f t="shared" si="6"/>
        <v>3.6127743659725997</v>
      </c>
      <c r="C408">
        <v>2.9119326000000002E-4</v>
      </c>
      <c r="D408">
        <v>0.16059254000000001</v>
      </c>
      <c r="E408">
        <v>22.552638999999999</v>
      </c>
      <c r="F408" s="163">
        <v>3.5096716999999999E-6</v>
      </c>
      <c r="G408">
        <v>1.2840312E-2</v>
      </c>
      <c r="H408">
        <v>8.8568196000000002E-2</v>
      </c>
      <c r="I408">
        <v>1.7125066000000001E-2</v>
      </c>
      <c r="J408">
        <v>20.560188</v>
      </c>
      <c r="K408">
        <v>0.25546047999999999</v>
      </c>
      <c r="L408">
        <v>648.24328000000003</v>
      </c>
      <c r="M408">
        <v>3.8527735E-2</v>
      </c>
      <c r="N408">
        <v>22.773927</v>
      </c>
      <c r="O408">
        <v>22.794006</v>
      </c>
      <c r="P408">
        <v>-2.9877006000000001E-2</v>
      </c>
      <c r="Q408">
        <v>9.7985196999999993E-3</v>
      </c>
      <c r="R408" s="163">
        <v>4.3466497000000003E-6</v>
      </c>
      <c r="S408">
        <v>0.11272554</v>
      </c>
      <c r="T408">
        <v>1.2248223999999999E-3</v>
      </c>
      <c r="U408">
        <v>3.0290806999999999E-2</v>
      </c>
      <c r="V408">
        <v>0.33994837</v>
      </c>
      <c r="W408">
        <v>0.10234248999999999</v>
      </c>
      <c r="X408">
        <v>2.9119459999999998E-4</v>
      </c>
      <c r="Y408">
        <v>327.2158</v>
      </c>
      <c r="Z408">
        <v>3.3744421999999998</v>
      </c>
      <c r="AA408" s="163">
        <v>9.8189371999999995E-7</v>
      </c>
      <c r="AB408">
        <v>1.2940195000000001</v>
      </c>
      <c r="AC408">
        <v>356.74786999999998</v>
      </c>
      <c r="AD408" s="163">
        <v>2.307717E-8</v>
      </c>
      <c r="AE408" s="163">
        <v>3.9670704000000002E-7</v>
      </c>
      <c r="AF408">
        <v>140.4057</v>
      </c>
      <c r="AG408">
        <v>0</v>
      </c>
      <c r="AH408">
        <v>0</v>
      </c>
      <c r="AI408">
        <v>7.7744361</v>
      </c>
      <c r="AJ408">
        <v>0</v>
      </c>
      <c r="AK408">
        <v>0</v>
      </c>
      <c r="AL408">
        <v>347.67511999999999</v>
      </c>
      <c r="AM408">
        <v>0</v>
      </c>
      <c r="AN408">
        <v>0</v>
      </c>
      <c r="AO408">
        <v>0</v>
      </c>
      <c r="AP408">
        <v>9.2862337000000003E-2</v>
      </c>
      <c r="AQ408">
        <v>7.3098822999999996E-4</v>
      </c>
      <c r="AR408">
        <v>8.7449937999999996</v>
      </c>
      <c r="AS408">
        <v>1.9478651E-3</v>
      </c>
      <c r="AT408">
        <v>0</v>
      </c>
      <c r="AU408">
        <v>0</v>
      </c>
      <c r="AV408">
        <v>0</v>
      </c>
      <c r="AW408">
        <v>0</v>
      </c>
      <c r="AX408">
        <v>0</v>
      </c>
    </row>
    <row r="409" spans="1:50">
      <c r="A409" t="s">
        <v>1652</v>
      </c>
      <c r="B409" s="189">
        <f t="shared" si="6"/>
        <v>1.5561063555256001E-2</v>
      </c>
      <c r="C409" s="163">
        <v>3.7174134999999999E-7</v>
      </c>
      <c r="D409">
        <v>9.7725799999999995E-4</v>
      </c>
      <c r="E409">
        <v>0.13058052000000001</v>
      </c>
      <c r="F409" s="163">
        <v>2.4384288000000001E-8</v>
      </c>
      <c r="G409" s="163">
        <v>7.7468161000000005E-5</v>
      </c>
      <c r="H409">
        <v>5.6573443000000005E-4</v>
      </c>
      <c r="I409">
        <v>1.140981E-4</v>
      </c>
      <c r="J409">
        <v>5.3532431999999998E-2</v>
      </c>
      <c r="K409">
        <v>1.5552369000000001E-3</v>
      </c>
      <c r="L409">
        <v>5.5447635999999996</v>
      </c>
      <c r="M409">
        <v>1.8459965E-4</v>
      </c>
      <c r="N409">
        <v>0.13176552</v>
      </c>
      <c r="O409">
        <v>0.13168814000000001</v>
      </c>
      <c r="P409" s="163">
        <v>3.8225159000000002E-5</v>
      </c>
      <c r="Q409" s="163">
        <v>3.9149544999999998E-5</v>
      </c>
      <c r="R409" s="163">
        <v>3.063034E-8</v>
      </c>
      <c r="S409">
        <v>7.5279546999999997E-4</v>
      </c>
      <c r="T409" s="163">
        <v>1.9771501000000001E-6</v>
      </c>
      <c r="U409">
        <v>2.6407588999999998E-4</v>
      </c>
      <c r="V409">
        <v>2.9234498000000001E-3</v>
      </c>
      <c r="W409">
        <v>8.3115566000000005E-4</v>
      </c>
      <c r="X409" s="163">
        <v>3.7173985999999999E-7</v>
      </c>
      <c r="Y409">
        <v>2.0422796000000001</v>
      </c>
      <c r="Z409">
        <v>1.4530296E-2</v>
      </c>
      <c r="AA409" s="163">
        <v>1.1921932999999999E-8</v>
      </c>
      <c r="AB409">
        <v>8.6820817000000002E-3</v>
      </c>
      <c r="AC409">
        <v>1.4655087</v>
      </c>
      <c r="AD409" s="163">
        <v>5.5562106000000001E-11</v>
      </c>
      <c r="AE409" s="163">
        <v>1.8648070000000002E-9</v>
      </c>
      <c r="AF409">
        <v>1.7012579000000001</v>
      </c>
      <c r="AG409">
        <v>0</v>
      </c>
      <c r="AH409">
        <v>0</v>
      </c>
      <c r="AI409">
        <v>2.1371523E-2</v>
      </c>
      <c r="AJ409">
        <v>0</v>
      </c>
      <c r="AK409">
        <v>0</v>
      </c>
      <c r="AL409">
        <v>2.1685805</v>
      </c>
      <c r="AM409">
        <v>0</v>
      </c>
      <c r="AN409">
        <v>0</v>
      </c>
      <c r="AO409">
        <v>0</v>
      </c>
      <c r="AP409">
        <v>3.8514073999999999E-4</v>
      </c>
      <c r="AQ409" s="163">
        <v>1.2970777E-6</v>
      </c>
      <c r="AR409">
        <v>0.12420676</v>
      </c>
      <c r="AS409" s="163">
        <v>1.3730026E-5</v>
      </c>
      <c r="AT409">
        <v>0</v>
      </c>
      <c r="AU409">
        <v>0</v>
      </c>
      <c r="AV409">
        <v>0</v>
      </c>
      <c r="AW409">
        <v>0</v>
      </c>
      <c r="AX409">
        <v>0</v>
      </c>
    </row>
    <row r="410" spans="1:50">
      <c r="A410" t="s">
        <v>1653</v>
      </c>
      <c r="B410" s="189">
        <f t="shared" si="6"/>
        <v>16.900905756319681</v>
      </c>
      <c r="C410" s="163">
        <v>4.2806248000000002E-5</v>
      </c>
      <c r="D410">
        <v>0.87869947999999998</v>
      </c>
      <c r="E410">
        <v>126.93028</v>
      </c>
      <c r="F410" s="163">
        <v>2.3010706E-5</v>
      </c>
      <c r="G410">
        <v>0.12860943</v>
      </c>
      <c r="H410">
        <v>0.96297166999999995</v>
      </c>
      <c r="I410">
        <v>0.21668277999999999</v>
      </c>
      <c r="J410">
        <v>45.725192</v>
      </c>
      <c r="K410">
        <v>0.63729435999999995</v>
      </c>
      <c r="L410">
        <v>2149.2656000000002</v>
      </c>
      <c r="M410">
        <v>7.5657309000000006E-2</v>
      </c>
      <c r="N410">
        <v>128.30455000000001</v>
      </c>
      <c r="O410">
        <v>128.27248</v>
      </c>
      <c r="P410">
        <v>2.1169199999999999E-2</v>
      </c>
      <c r="Q410">
        <v>1.0895029000000001E-2</v>
      </c>
      <c r="R410" s="163">
        <v>2.8978985000000001E-5</v>
      </c>
      <c r="S410">
        <v>1.344517</v>
      </c>
      <c r="T410">
        <v>9.7972897000000005E-4</v>
      </c>
      <c r="U410">
        <v>0.58279192999999996</v>
      </c>
      <c r="V410">
        <v>6.4047535</v>
      </c>
      <c r="W410">
        <v>1.7595232999999999</v>
      </c>
      <c r="X410" s="163">
        <v>4.2806797000000003E-5</v>
      </c>
      <c r="Y410">
        <v>1855.0811000000001</v>
      </c>
      <c r="Z410">
        <v>10.000772</v>
      </c>
      <c r="AA410" s="163">
        <v>3.5178224E-5</v>
      </c>
      <c r="AB410">
        <v>7.9952509999999997</v>
      </c>
      <c r="AC410">
        <v>1048.6976</v>
      </c>
      <c r="AD410" s="163">
        <v>3.6080257000000002E-8</v>
      </c>
      <c r="AE410" s="163">
        <v>9.1373191999999999E-7</v>
      </c>
      <c r="AF410">
        <v>234.95867000000001</v>
      </c>
      <c r="AG410">
        <v>0</v>
      </c>
      <c r="AH410">
        <v>0</v>
      </c>
      <c r="AI410">
        <v>10.746737</v>
      </c>
      <c r="AJ410">
        <v>0</v>
      </c>
      <c r="AK410">
        <v>0</v>
      </c>
      <c r="AL410">
        <v>1969.8992000000001</v>
      </c>
      <c r="AM410">
        <v>0</v>
      </c>
      <c r="AN410">
        <v>0</v>
      </c>
      <c r="AO410">
        <v>0</v>
      </c>
      <c r="AP410">
        <v>0.25460305999999999</v>
      </c>
      <c r="AQ410">
        <v>8.2723512000000001E-4</v>
      </c>
      <c r="AR410">
        <v>1.9770216</v>
      </c>
      <c r="AS410">
        <v>1.2885792E-2</v>
      </c>
      <c r="AT410">
        <v>0</v>
      </c>
      <c r="AU410">
        <v>0</v>
      </c>
      <c r="AV410">
        <v>0</v>
      </c>
      <c r="AW410">
        <v>0</v>
      </c>
      <c r="AX410">
        <v>0</v>
      </c>
    </row>
    <row r="411" spans="1:50">
      <c r="A411" t="s">
        <v>1654</v>
      </c>
      <c r="B411" s="189">
        <f t="shared" si="6"/>
        <v>1.2829384534244079</v>
      </c>
      <c r="C411" s="163">
        <v>3.2775587999999998E-6</v>
      </c>
      <c r="D411">
        <v>6.6686192000000005E-2</v>
      </c>
      <c r="E411">
        <v>9.6354854000000003</v>
      </c>
      <c r="F411" s="163">
        <v>1.7348077000000001E-6</v>
      </c>
      <c r="G411">
        <v>9.8166975000000007E-3</v>
      </c>
      <c r="H411">
        <v>7.2766528999999996E-2</v>
      </c>
      <c r="I411">
        <v>1.6332998000000001E-2</v>
      </c>
      <c r="J411">
        <v>3.4958714999999998</v>
      </c>
      <c r="K411">
        <v>4.8370849E-2</v>
      </c>
      <c r="L411">
        <v>163.15052</v>
      </c>
      <c r="M411">
        <v>5.8453098999999998E-3</v>
      </c>
      <c r="N411">
        <v>9.7432646999999992</v>
      </c>
      <c r="O411">
        <v>9.7413329999999991</v>
      </c>
      <c r="P411">
        <v>1.0863155E-3</v>
      </c>
      <c r="Q411">
        <v>8.4534956000000005E-4</v>
      </c>
      <c r="R411" s="163">
        <v>2.1832198999999999E-6</v>
      </c>
      <c r="S411">
        <v>0.10152944999999999</v>
      </c>
      <c r="T411" s="163">
        <v>7.8103256000000001E-5</v>
      </c>
      <c r="U411">
        <v>4.3889058000000002E-2</v>
      </c>
      <c r="V411">
        <v>0.48239690000000002</v>
      </c>
      <c r="W411">
        <v>0.13274842000000001</v>
      </c>
      <c r="X411" s="163">
        <v>3.2776003E-6</v>
      </c>
      <c r="Y411">
        <v>140.41503</v>
      </c>
      <c r="Z411">
        <v>0.77635078999999996</v>
      </c>
      <c r="AA411" s="163">
        <v>2.6521305000000001E-6</v>
      </c>
      <c r="AB411">
        <v>0.60239153999999995</v>
      </c>
      <c r="AC411">
        <v>81.651121000000003</v>
      </c>
      <c r="AD411" s="163">
        <v>3.1925029E-9</v>
      </c>
      <c r="AE411" s="163">
        <v>7.1950995000000002E-8</v>
      </c>
      <c r="AF411">
        <v>17.919626000000001</v>
      </c>
      <c r="AG411">
        <v>0</v>
      </c>
      <c r="AH411">
        <v>0</v>
      </c>
      <c r="AI411">
        <v>0.84090012000000003</v>
      </c>
      <c r="AJ411">
        <v>0</v>
      </c>
      <c r="AK411">
        <v>0</v>
      </c>
      <c r="AL411">
        <v>149.09963999999999</v>
      </c>
      <c r="AM411">
        <v>0</v>
      </c>
      <c r="AN411">
        <v>0</v>
      </c>
      <c r="AO411">
        <v>0</v>
      </c>
      <c r="AP411">
        <v>1.9754701999999999E-2</v>
      </c>
      <c r="AQ411" s="163">
        <v>7.0615838E-5</v>
      </c>
      <c r="AR411">
        <v>0.16302648</v>
      </c>
      <c r="AS411">
        <v>9.7026730999999998E-4</v>
      </c>
      <c r="AT411">
        <v>0</v>
      </c>
      <c r="AU411">
        <v>0</v>
      </c>
      <c r="AV411">
        <v>0</v>
      </c>
      <c r="AW411">
        <v>0</v>
      </c>
      <c r="AX411">
        <v>0</v>
      </c>
    </row>
    <row r="412" spans="1:50">
      <c r="A412" t="s">
        <v>1655</v>
      </c>
      <c r="B412" s="189">
        <f t="shared" si="6"/>
        <v>0.31165764679232399</v>
      </c>
      <c r="C412" s="163">
        <v>5.7206064000000003E-6</v>
      </c>
      <c r="D412">
        <v>2.8927652000000002E-2</v>
      </c>
      <c r="E412">
        <v>3.9087529000000001</v>
      </c>
      <c r="F412" s="163">
        <v>2.1159951000000001E-7</v>
      </c>
      <c r="G412">
        <v>6.7334929999999995E-4</v>
      </c>
      <c r="H412">
        <v>1.0063572999999999E-2</v>
      </c>
      <c r="I412">
        <v>2.2959853000000001E-3</v>
      </c>
      <c r="J412">
        <v>0.47380527</v>
      </c>
      <c r="K412">
        <v>1.2036659E-2</v>
      </c>
      <c r="L412">
        <v>51.258279000000002</v>
      </c>
      <c r="M412">
        <v>1.9834232E-2</v>
      </c>
      <c r="N412">
        <v>4.0219053000000002</v>
      </c>
      <c r="O412">
        <v>3.9532683999999998</v>
      </c>
      <c r="P412">
        <v>6.7098880999999999E-2</v>
      </c>
      <c r="Q412">
        <v>1.5380292000000001E-3</v>
      </c>
      <c r="R412" s="163">
        <v>2.0472889E-7</v>
      </c>
      <c r="S412">
        <v>1.4091981E-2</v>
      </c>
      <c r="T412">
        <v>3.1417804999999999E-4</v>
      </c>
      <c r="U412">
        <v>2.1424428999999999E-3</v>
      </c>
      <c r="V412">
        <v>4.3941046999999997E-2</v>
      </c>
      <c r="W412">
        <v>6.2435981999999996E-3</v>
      </c>
      <c r="X412" s="163">
        <v>5.7208008999999998E-6</v>
      </c>
      <c r="Y412">
        <v>53.065097000000002</v>
      </c>
      <c r="Z412">
        <v>0.50323339</v>
      </c>
      <c r="AA412" s="163">
        <v>6.5505975999999997E-8</v>
      </c>
      <c r="AB412">
        <v>0.13144031</v>
      </c>
      <c r="AC412">
        <v>49.165235000000003</v>
      </c>
      <c r="AD412" s="163">
        <v>1.1811184000000001E-9</v>
      </c>
      <c r="AE412" s="163">
        <v>2.9202630999999998E-8</v>
      </c>
      <c r="AF412">
        <v>13.564469000000001</v>
      </c>
      <c r="AG412">
        <v>0</v>
      </c>
      <c r="AH412">
        <v>0</v>
      </c>
      <c r="AI412">
        <v>5.7929754999999998</v>
      </c>
      <c r="AJ412">
        <v>0</v>
      </c>
      <c r="AK412">
        <v>0</v>
      </c>
      <c r="AL412">
        <v>56.776732000000003</v>
      </c>
      <c r="AM412">
        <v>0</v>
      </c>
      <c r="AN412">
        <v>0</v>
      </c>
      <c r="AO412">
        <v>0</v>
      </c>
      <c r="AP412">
        <v>4.2870483000000001E-2</v>
      </c>
      <c r="AQ412">
        <v>1.6305802E-4</v>
      </c>
      <c r="AR412">
        <v>0.15761315000000001</v>
      </c>
      <c r="AS412">
        <v>1.3827425999999999E-4</v>
      </c>
      <c r="AT412">
        <v>0</v>
      </c>
      <c r="AU412">
        <v>0</v>
      </c>
      <c r="AV412">
        <v>0</v>
      </c>
      <c r="AW412">
        <v>0</v>
      </c>
      <c r="AX412">
        <v>0</v>
      </c>
    </row>
    <row r="413" spans="1:50">
      <c r="A413" t="s">
        <v>1656</v>
      </c>
      <c r="B413" s="189">
        <f t="shared" si="6"/>
        <v>6.9799706392129195E-6</v>
      </c>
      <c r="C413" s="163">
        <v>8.3299912E-11</v>
      </c>
      <c r="D413" s="163">
        <v>6.6658594000000003E-7</v>
      </c>
      <c r="E413" s="163">
        <v>8.9981815999999997E-5</v>
      </c>
      <c r="F413" s="163">
        <v>4.8510608999999998E-12</v>
      </c>
      <c r="G413" s="163">
        <v>1.3649924E-8</v>
      </c>
      <c r="H413" s="163">
        <v>2.2449231000000001E-7</v>
      </c>
      <c r="I413" s="163">
        <v>5.1352726999999999E-8</v>
      </c>
      <c r="J413" s="163">
        <v>9.3537526000000001E-6</v>
      </c>
      <c r="K413" s="163">
        <v>2.5864764000000002E-7</v>
      </c>
      <c r="L413">
        <v>1.0947836E-3</v>
      </c>
      <c r="M413" s="163">
        <v>4.5913458E-7</v>
      </c>
      <c r="N413" s="163">
        <v>9.2568762000000003E-5</v>
      </c>
      <c r="O413" s="163">
        <v>9.0962111000000005E-5</v>
      </c>
      <c r="P413" s="163">
        <v>1.5717604000000001E-6</v>
      </c>
      <c r="Q413" s="163">
        <v>3.4890695000000003E-8</v>
      </c>
      <c r="R413" s="163">
        <v>4.6909170999999999E-12</v>
      </c>
      <c r="S413" s="163">
        <v>3.1673868999999998E-7</v>
      </c>
      <c r="T413" s="163">
        <v>6.7860725000000003E-9</v>
      </c>
      <c r="U413" s="163">
        <v>4.8511930000000002E-8</v>
      </c>
      <c r="V413" s="163">
        <v>1.0087664000000001E-6</v>
      </c>
      <c r="W413" s="163">
        <v>1.3818470000000001E-7</v>
      </c>
      <c r="X413" s="163">
        <v>8.3302982000000002E-11</v>
      </c>
      <c r="Y413">
        <v>1.2248770000000001E-3</v>
      </c>
      <c r="Z413" s="163">
        <v>1.1315713E-5</v>
      </c>
      <c r="AA413" s="163">
        <v>1.4072929E-12</v>
      </c>
      <c r="AB413" s="163">
        <v>3.0408993999999999E-6</v>
      </c>
      <c r="AC413">
        <v>1.0703078E-3</v>
      </c>
      <c r="AD413" s="163">
        <v>2.0411136999999999E-14</v>
      </c>
      <c r="AE413" s="163">
        <v>5.8518738E-13</v>
      </c>
      <c r="AF413">
        <v>3.1207117E-4</v>
      </c>
      <c r="AG413">
        <v>0</v>
      </c>
      <c r="AH413">
        <v>0</v>
      </c>
      <c r="AI413">
        <v>1.3450823000000001E-4</v>
      </c>
      <c r="AJ413">
        <v>0</v>
      </c>
      <c r="AK413">
        <v>0</v>
      </c>
      <c r="AL413">
        <v>1.3107316999999999E-3</v>
      </c>
      <c r="AM413">
        <v>0</v>
      </c>
      <c r="AN413">
        <v>0</v>
      </c>
      <c r="AO413">
        <v>0</v>
      </c>
      <c r="AP413" s="163">
        <v>9.9094770999999997E-7</v>
      </c>
      <c r="AQ413" s="163">
        <v>3.4848683000000001E-9</v>
      </c>
      <c r="AR413" s="163">
        <v>3.4058342E-6</v>
      </c>
      <c r="AS413" s="163">
        <v>3.1993336999999999E-9</v>
      </c>
      <c r="AT413">
        <v>0</v>
      </c>
      <c r="AU413">
        <v>0</v>
      </c>
      <c r="AV413">
        <v>0</v>
      </c>
      <c r="AW413">
        <v>0</v>
      </c>
      <c r="AX413">
        <v>0</v>
      </c>
    </row>
    <row r="414" spans="1:50">
      <c r="A414" t="s">
        <v>1657</v>
      </c>
      <c r="B414" s="189">
        <f t="shared" si="6"/>
        <v>0.26381003630397598</v>
      </c>
      <c r="C414" s="163">
        <v>6.6817234999999998E-7</v>
      </c>
      <c r="D414">
        <v>1.3715817999999999E-2</v>
      </c>
      <c r="E414">
        <v>1.9812833000000001</v>
      </c>
      <c r="F414" s="163">
        <v>3.5917928E-7</v>
      </c>
      <c r="G414">
        <v>2.0074935000000001E-3</v>
      </c>
      <c r="H414">
        <v>1.5031241000000001E-2</v>
      </c>
      <c r="I414">
        <v>3.3822500999999999E-3</v>
      </c>
      <c r="J414">
        <v>0.7137348</v>
      </c>
      <c r="K414">
        <v>9.9476708000000007E-3</v>
      </c>
      <c r="L414">
        <v>33.548369999999998</v>
      </c>
      <c r="M414">
        <v>1.1809519000000001E-3</v>
      </c>
      <c r="N414">
        <v>2.0027344999999999</v>
      </c>
      <c r="O414">
        <v>2.0022340000000001</v>
      </c>
      <c r="P414">
        <v>3.304348E-4</v>
      </c>
      <c r="Q414">
        <v>1.7006296E-4</v>
      </c>
      <c r="R414" s="163">
        <v>4.5233948999999999E-7</v>
      </c>
      <c r="S414">
        <v>2.0986868999999998E-2</v>
      </c>
      <c r="T414" s="163">
        <v>1.5292810000000001E-5</v>
      </c>
      <c r="U414">
        <v>9.0969303000000001E-3</v>
      </c>
      <c r="V414">
        <v>9.9973237000000006E-2</v>
      </c>
      <c r="W414">
        <v>2.7464794000000001E-2</v>
      </c>
      <c r="X414" s="163">
        <v>6.6818091000000001E-7</v>
      </c>
      <c r="Y414">
        <v>28.956378000000001</v>
      </c>
      <c r="Z414">
        <v>0.1561043</v>
      </c>
      <c r="AA414" s="163">
        <v>5.4910480000000001E-7</v>
      </c>
      <c r="AB414">
        <v>0.12479967</v>
      </c>
      <c r="AC414">
        <v>16.369357000000001</v>
      </c>
      <c r="AD414" s="163">
        <v>5.6318483999999996E-10</v>
      </c>
      <c r="AE414" s="163">
        <v>1.4262647E-8</v>
      </c>
      <c r="AF414">
        <v>3.6675227000000001</v>
      </c>
      <c r="AG414">
        <v>0</v>
      </c>
      <c r="AH414">
        <v>0</v>
      </c>
      <c r="AI414">
        <v>0.16774823</v>
      </c>
      <c r="AJ414">
        <v>0</v>
      </c>
      <c r="AK414">
        <v>0</v>
      </c>
      <c r="AL414">
        <v>30.7486</v>
      </c>
      <c r="AM414">
        <v>0</v>
      </c>
      <c r="AN414">
        <v>0</v>
      </c>
      <c r="AO414">
        <v>0</v>
      </c>
      <c r="AP414">
        <v>3.9741565000000001E-3</v>
      </c>
      <c r="AQ414" s="163">
        <v>1.2912498999999999E-5</v>
      </c>
      <c r="AR414">
        <v>3.0859774999999999E-2</v>
      </c>
      <c r="AS414">
        <v>2.0113722000000001E-4</v>
      </c>
      <c r="AT414">
        <v>0</v>
      </c>
      <c r="AU414">
        <v>0</v>
      </c>
      <c r="AV414">
        <v>0</v>
      </c>
      <c r="AW414">
        <v>0</v>
      </c>
      <c r="AX414">
        <v>0</v>
      </c>
    </row>
    <row r="415" spans="1:50">
      <c r="A415" t="s">
        <v>1658</v>
      </c>
      <c r="B415" s="189">
        <f t="shared" si="6"/>
        <v>9.3877262930903602E-4</v>
      </c>
      <c r="C415" s="163">
        <v>5.2224370999999999E-9</v>
      </c>
      <c r="D415" s="163">
        <v>6.6035430000000003E-5</v>
      </c>
      <c r="E415">
        <v>9.0700743999999993E-3</v>
      </c>
      <c r="F415" s="163">
        <v>9.5509997000000001E-10</v>
      </c>
      <c r="G415" s="163">
        <v>2.7220990999999999E-6</v>
      </c>
      <c r="H415" s="163">
        <v>5.2650205E-5</v>
      </c>
      <c r="I415" s="163">
        <v>7.7628077E-6</v>
      </c>
      <c r="J415">
        <v>1.8210430000000001E-3</v>
      </c>
      <c r="K415" s="163">
        <v>4.7005897999999998E-5</v>
      </c>
      <c r="L415">
        <v>0.21944864</v>
      </c>
      <c r="M415" s="163">
        <v>2.5242558E-5</v>
      </c>
      <c r="N415">
        <v>9.4162800000000008E-3</v>
      </c>
      <c r="O415">
        <v>9.1349485000000001E-3</v>
      </c>
      <c r="P415">
        <v>2.6243193000000001E-4</v>
      </c>
      <c r="Q415" s="163">
        <v>1.8899514999999999E-5</v>
      </c>
      <c r="R415" s="163">
        <v>7.0123693000000002E-10</v>
      </c>
      <c r="S415" s="163">
        <v>6.8308159999999995E-5</v>
      </c>
      <c r="T415" s="163">
        <v>1.0395416000000001E-6</v>
      </c>
      <c r="U415" s="163">
        <v>7.4617185999999998E-6</v>
      </c>
      <c r="V415">
        <v>1.5319705000000001E-4</v>
      </c>
      <c r="W415" s="163">
        <v>2.2348423000000001E-5</v>
      </c>
      <c r="X415" s="163">
        <v>5.2225520000000001E-9</v>
      </c>
      <c r="Y415">
        <v>0.18520971</v>
      </c>
      <c r="Z415">
        <v>2.6984484000000001E-3</v>
      </c>
      <c r="AA415" s="163">
        <v>2.6042531999999999E-10</v>
      </c>
      <c r="AB415">
        <v>1.5965488E-3</v>
      </c>
      <c r="AC415">
        <v>0.11631026</v>
      </c>
      <c r="AD415" s="163">
        <v>4.2275329000000003E-12</v>
      </c>
      <c r="AE415" s="163">
        <v>1.00773E-10</v>
      </c>
      <c r="AF415">
        <v>3.8935686999999997E-2</v>
      </c>
      <c r="AG415">
        <v>0</v>
      </c>
      <c r="AH415">
        <v>0</v>
      </c>
      <c r="AI415">
        <v>2.8976907E-2</v>
      </c>
      <c r="AJ415">
        <v>0</v>
      </c>
      <c r="AK415">
        <v>0</v>
      </c>
      <c r="AL415">
        <v>0.19371360000000001</v>
      </c>
      <c r="AM415">
        <v>0</v>
      </c>
      <c r="AN415">
        <v>0</v>
      </c>
      <c r="AO415">
        <v>0</v>
      </c>
      <c r="AP415">
        <v>1.4795794E-4</v>
      </c>
      <c r="AQ415" s="163">
        <v>2.242962E-7</v>
      </c>
      <c r="AR415">
        <v>9.4568403000000001E-4</v>
      </c>
      <c r="AS415" s="163">
        <v>1.3443857E-6</v>
      </c>
      <c r="AT415">
        <v>0</v>
      </c>
      <c r="AU415">
        <v>0</v>
      </c>
      <c r="AV415">
        <v>0</v>
      </c>
      <c r="AW415">
        <v>0</v>
      </c>
      <c r="AX415">
        <v>0</v>
      </c>
    </row>
    <row r="416" spans="1:50">
      <c r="A416" t="s">
        <v>1659</v>
      </c>
      <c r="B416" s="189">
        <f t="shared" si="6"/>
        <v>1.6979179564092002</v>
      </c>
      <c r="C416">
        <v>4.6103669000000002E-3</v>
      </c>
      <c r="D416">
        <v>3.5256581000000002E-2</v>
      </c>
      <c r="E416">
        <v>4.8592956999999997</v>
      </c>
      <c r="F416" s="163">
        <v>3.9995684000000001E-7</v>
      </c>
      <c r="G416">
        <v>2.8646504E-3</v>
      </c>
      <c r="H416">
        <v>0.21150885999999999</v>
      </c>
      <c r="I416">
        <v>4.4516382E-2</v>
      </c>
      <c r="J416">
        <v>1.8063335</v>
      </c>
      <c r="K416">
        <v>6.7307335999999995E-2</v>
      </c>
      <c r="L416">
        <v>261.94279</v>
      </c>
      <c r="M416">
        <v>8.9446135999999996E-2</v>
      </c>
      <c r="N416">
        <v>4.9639300000000004</v>
      </c>
      <c r="O416">
        <v>4.9503621000000004</v>
      </c>
      <c r="P416">
        <v>3.1807095000000001E-3</v>
      </c>
      <c r="Q416">
        <v>1.0387201E-2</v>
      </c>
      <c r="R416" s="163">
        <v>4.3174548999999998E-7</v>
      </c>
      <c r="S416">
        <v>0.37416896999999999</v>
      </c>
      <c r="T416">
        <v>1.1944657E-3</v>
      </c>
      <c r="U416">
        <v>1.6517627999999999E-2</v>
      </c>
      <c r="V416">
        <v>1.5520124</v>
      </c>
      <c r="W416">
        <v>2.1502433000000001E-2</v>
      </c>
      <c r="X416">
        <v>4.6103673999999999E-3</v>
      </c>
      <c r="Y416">
        <v>61.313110999999999</v>
      </c>
      <c r="Z416">
        <v>1.7802865000000001</v>
      </c>
      <c r="AA416" s="163">
        <v>2.5847403000000001E-6</v>
      </c>
      <c r="AB416">
        <v>0.12846088999999999</v>
      </c>
      <c r="AC416">
        <v>510.90224999999998</v>
      </c>
      <c r="AD416" s="163">
        <v>5.8846556999999997E-9</v>
      </c>
      <c r="AE416" s="163">
        <v>6.8511796999999998E-7</v>
      </c>
      <c r="AF416">
        <v>13.136756999999999</v>
      </c>
      <c r="AG416">
        <v>0</v>
      </c>
      <c r="AH416">
        <v>0</v>
      </c>
      <c r="AI416">
        <v>5.1137531000000003</v>
      </c>
      <c r="AJ416">
        <v>0</v>
      </c>
      <c r="AK416">
        <v>0</v>
      </c>
      <c r="AL416">
        <v>65.825947999999997</v>
      </c>
      <c r="AM416">
        <v>0</v>
      </c>
      <c r="AN416">
        <v>0</v>
      </c>
      <c r="AO416">
        <v>0</v>
      </c>
      <c r="AP416">
        <v>5.3400073999999999E-2</v>
      </c>
      <c r="AQ416">
        <v>2.1301963000000001E-3</v>
      </c>
      <c r="AR416">
        <v>0.40687241000000002</v>
      </c>
      <c r="AS416">
        <v>1.2951329E-4</v>
      </c>
      <c r="AT416">
        <v>0</v>
      </c>
      <c r="AU416">
        <v>0</v>
      </c>
      <c r="AV416">
        <v>0</v>
      </c>
      <c r="AW416">
        <v>0</v>
      </c>
      <c r="AX416">
        <v>0</v>
      </c>
    </row>
    <row r="417" spans="1:50">
      <c r="A417" t="s">
        <v>1660</v>
      </c>
      <c r="B417" s="189">
        <f t="shared" si="6"/>
        <v>1.0561035087934001</v>
      </c>
      <c r="C417">
        <v>7.1271130999999996E-3</v>
      </c>
      <c r="D417">
        <v>4.9542005E-2</v>
      </c>
      <c r="E417">
        <v>7.4635185999999996</v>
      </c>
      <c r="F417" s="163">
        <v>4.4532658000000001E-7</v>
      </c>
      <c r="G417">
        <v>3.7422661000000002E-3</v>
      </c>
      <c r="H417">
        <v>6.3814659999999995E-2</v>
      </c>
      <c r="I417">
        <v>1.0165596000000001E-2</v>
      </c>
      <c r="J417">
        <v>2.9237313999999999</v>
      </c>
      <c r="K417">
        <v>0.13302154999999999</v>
      </c>
      <c r="L417">
        <v>438.86077</v>
      </c>
      <c r="M417">
        <v>0.14335123999999999</v>
      </c>
      <c r="N417">
        <v>7.6470288000000002</v>
      </c>
      <c r="O417">
        <v>7.6056274999999998</v>
      </c>
      <c r="P417">
        <v>2.6314046000000001E-2</v>
      </c>
      <c r="Q417">
        <v>1.5087277E-2</v>
      </c>
      <c r="R417" s="163">
        <v>4.8341186000000004E-7</v>
      </c>
      <c r="S417">
        <v>7.7626378999999995E-2</v>
      </c>
      <c r="T417">
        <v>1.8421078E-3</v>
      </c>
      <c r="U417">
        <v>1.0475906E-2</v>
      </c>
      <c r="V417">
        <v>0.14272213</v>
      </c>
      <c r="W417">
        <v>3.2655902000000001E-2</v>
      </c>
      <c r="X417">
        <v>7.1271136000000002E-3</v>
      </c>
      <c r="Y417">
        <v>81.82159</v>
      </c>
      <c r="Z417">
        <v>2.0705870000000002</v>
      </c>
      <c r="AA417" s="163">
        <v>5.8810449000000001E-7</v>
      </c>
      <c r="AB417">
        <v>0.14627676000000001</v>
      </c>
      <c r="AC417">
        <v>792.44344000000001</v>
      </c>
      <c r="AD417" s="163">
        <v>1.7891709999999999E-8</v>
      </c>
      <c r="AE417" s="163">
        <v>1.2860740999999999E-6</v>
      </c>
      <c r="AF417">
        <v>26.970202</v>
      </c>
      <c r="AG417">
        <v>0</v>
      </c>
      <c r="AH417">
        <v>0</v>
      </c>
      <c r="AI417">
        <v>8.4552571000000007</v>
      </c>
      <c r="AJ417">
        <v>0</v>
      </c>
      <c r="AK417">
        <v>0</v>
      </c>
      <c r="AL417">
        <v>87.411831000000006</v>
      </c>
      <c r="AM417">
        <v>0</v>
      </c>
      <c r="AN417">
        <v>0</v>
      </c>
      <c r="AO417">
        <v>0</v>
      </c>
      <c r="AP417">
        <v>6.6105003999999995E-2</v>
      </c>
      <c r="AQ417">
        <v>3.2688156000000002E-3</v>
      </c>
      <c r="AR417">
        <v>0.80835904999999997</v>
      </c>
      <c r="AS417">
        <v>1.5294974000000001E-4</v>
      </c>
      <c r="AT417">
        <v>0</v>
      </c>
      <c r="AU417">
        <v>0</v>
      </c>
      <c r="AV417">
        <v>0</v>
      </c>
      <c r="AW417">
        <v>0</v>
      </c>
      <c r="AX417">
        <v>0</v>
      </c>
    </row>
    <row r="418" spans="1:50">
      <c r="A418" t="s">
        <v>1661</v>
      </c>
      <c r="B418" s="189">
        <f t="shared" si="6"/>
        <v>1.1275967505560001E-2</v>
      </c>
      <c r="C418">
        <v>1.0446232E-4</v>
      </c>
      <c r="D418">
        <v>4.7415583000000002E-4</v>
      </c>
      <c r="E418">
        <v>7.2573313E-2</v>
      </c>
      <c r="F418" s="163">
        <v>2.666952E-9</v>
      </c>
      <c r="G418" s="163">
        <v>4.1871388000000001E-5</v>
      </c>
      <c r="H418">
        <v>7.1569714000000004E-4</v>
      </c>
      <c r="I418">
        <v>1.2826478E-4</v>
      </c>
      <c r="J418">
        <v>3.1284485000000001E-2</v>
      </c>
      <c r="K418">
        <v>1.2492562999999999E-3</v>
      </c>
      <c r="L418">
        <v>4.8198135999999998</v>
      </c>
      <c r="M418">
        <v>1.9777648000000002E-3</v>
      </c>
      <c r="N418">
        <v>7.4148849000000003E-2</v>
      </c>
      <c r="O418">
        <v>7.3948784000000004E-2</v>
      </c>
      <c r="P418" s="163">
        <v>-4.7586432999999996E-6</v>
      </c>
      <c r="Q418">
        <v>2.0482325E-4</v>
      </c>
      <c r="R418" s="163">
        <v>3.0584876999999999E-9</v>
      </c>
      <c r="S418">
        <v>8.6710735E-4</v>
      </c>
      <c r="T418" s="163">
        <v>2.5331015999999999E-5</v>
      </c>
      <c r="U418">
        <v>1.2325705999999999E-4</v>
      </c>
      <c r="V418">
        <v>1.6022705E-3</v>
      </c>
      <c r="W418">
        <v>3.8202823999999999E-4</v>
      </c>
      <c r="X418">
        <v>1.0446233E-4</v>
      </c>
      <c r="Y418">
        <v>0.76761977999999997</v>
      </c>
      <c r="Z418">
        <v>2.244908E-2</v>
      </c>
      <c r="AA418" s="163">
        <v>5.7239767999999997E-9</v>
      </c>
      <c r="AB418">
        <v>1.3221165999999999E-3</v>
      </c>
      <c r="AC418">
        <v>10.719702</v>
      </c>
      <c r="AD418" s="163">
        <v>1.1812014E-10</v>
      </c>
      <c r="AE418" s="163">
        <v>1.3879008999999999E-8</v>
      </c>
      <c r="AF418">
        <v>0.22382335</v>
      </c>
      <c r="AG418">
        <v>0</v>
      </c>
      <c r="AH418">
        <v>0</v>
      </c>
      <c r="AI418">
        <v>8.6343524000000005E-2</v>
      </c>
      <c r="AJ418">
        <v>0</v>
      </c>
      <c r="AK418">
        <v>0</v>
      </c>
      <c r="AL418">
        <v>0.81804169999999998</v>
      </c>
      <c r="AM418">
        <v>0</v>
      </c>
      <c r="AN418">
        <v>0</v>
      </c>
      <c r="AO418">
        <v>0</v>
      </c>
      <c r="AP418">
        <v>7.3368432999999995E-4</v>
      </c>
      <c r="AQ418" s="163">
        <v>4.7473392000000003E-5</v>
      </c>
      <c r="AR418">
        <v>6.7413860999999999E-3</v>
      </c>
      <c r="AS418" s="163">
        <v>1.4262192999999999E-6</v>
      </c>
      <c r="AT418">
        <v>0</v>
      </c>
      <c r="AU418">
        <v>0</v>
      </c>
      <c r="AV418">
        <v>0</v>
      </c>
      <c r="AW418">
        <v>0</v>
      </c>
      <c r="AX418">
        <v>0</v>
      </c>
    </row>
    <row r="419" spans="1:50">
      <c r="A419" t="s">
        <v>1662</v>
      </c>
      <c r="B419" s="189">
        <f t="shared" si="6"/>
        <v>9.8390884406368002</v>
      </c>
      <c r="C419" s="163">
        <v>2.4920230000000001E-5</v>
      </c>
      <c r="D419">
        <v>0.51154666000000004</v>
      </c>
      <c r="E419">
        <v>73.894161999999994</v>
      </c>
      <c r="F419" s="163">
        <v>1.3395989999999999E-5</v>
      </c>
      <c r="G419">
        <v>7.4871699999999999E-2</v>
      </c>
      <c r="H419">
        <v>0.56060684000000005</v>
      </c>
      <c r="I419">
        <v>0.12614478000000001</v>
      </c>
      <c r="J419">
        <v>26.619532</v>
      </c>
      <c r="K419">
        <v>0.37100944000000002</v>
      </c>
      <c r="L419">
        <v>1251.2237</v>
      </c>
      <c r="M419">
        <v>4.4044914999999997E-2</v>
      </c>
      <c r="N419">
        <v>74.694209999999998</v>
      </c>
      <c r="O419">
        <v>74.675543000000005</v>
      </c>
      <c r="P419">
        <v>1.2323933E-2</v>
      </c>
      <c r="Q419">
        <v>6.3426869999999996E-3</v>
      </c>
      <c r="R419" s="163">
        <v>1.6870504000000001E-5</v>
      </c>
      <c r="S419">
        <v>0.78272858999999995</v>
      </c>
      <c r="T419">
        <v>5.7036233000000002E-4</v>
      </c>
      <c r="U419">
        <v>0.33928012000000002</v>
      </c>
      <c r="V419">
        <v>3.7286130000000002</v>
      </c>
      <c r="W419">
        <v>1.02433</v>
      </c>
      <c r="X419" s="163">
        <v>2.4920549E-5</v>
      </c>
      <c r="Y419">
        <v>1079.9603</v>
      </c>
      <c r="Z419">
        <v>5.8220834000000004</v>
      </c>
      <c r="AA419" s="163">
        <v>2.0479472999999999E-5</v>
      </c>
      <c r="AB419">
        <v>4.6545423000000001</v>
      </c>
      <c r="AC419">
        <v>610.51333999999997</v>
      </c>
      <c r="AD419" s="163">
        <v>2.1004604000000001E-8</v>
      </c>
      <c r="AE419" s="163">
        <v>5.3194126E-7</v>
      </c>
      <c r="AF419">
        <v>136.78433000000001</v>
      </c>
      <c r="AG419">
        <v>0</v>
      </c>
      <c r="AH419">
        <v>0</v>
      </c>
      <c r="AI419">
        <v>6.2563564999999999</v>
      </c>
      <c r="AJ419">
        <v>0</v>
      </c>
      <c r="AK419">
        <v>0</v>
      </c>
      <c r="AL419">
        <v>1146.8032000000001</v>
      </c>
      <c r="AM419">
        <v>0</v>
      </c>
      <c r="AN419">
        <v>0</v>
      </c>
      <c r="AO419">
        <v>0</v>
      </c>
      <c r="AP419">
        <v>0.14822057999999999</v>
      </c>
      <c r="AQ419">
        <v>4.8158598999999998E-4</v>
      </c>
      <c r="AR419">
        <v>1.1509495999999999</v>
      </c>
      <c r="AS419">
        <v>7.5016359999999999E-3</v>
      </c>
      <c r="AT419">
        <v>0</v>
      </c>
      <c r="AU419">
        <v>0</v>
      </c>
      <c r="AV419">
        <v>0</v>
      </c>
      <c r="AW419">
        <v>0</v>
      </c>
      <c r="AX419">
        <v>0</v>
      </c>
    </row>
    <row r="420" spans="1:50">
      <c r="A420" t="s">
        <v>1663</v>
      </c>
      <c r="B420" s="189">
        <f t="shared" si="6"/>
        <v>9.8390884406368002</v>
      </c>
      <c r="C420" s="163">
        <v>2.4920230000000001E-5</v>
      </c>
      <c r="D420">
        <v>0.51154666000000004</v>
      </c>
      <c r="E420">
        <v>73.894161999999994</v>
      </c>
      <c r="F420" s="163">
        <v>1.3395989999999999E-5</v>
      </c>
      <c r="G420">
        <v>7.4871699999999999E-2</v>
      </c>
      <c r="H420">
        <v>0.56060684000000005</v>
      </c>
      <c r="I420">
        <v>0.12614478000000001</v>
      </c>
      <c r="J420">
        <v>26.619532</v>
      </c>
      <c r="K420">
        <v>0.37100944000000002</v>
      </c>
      <c r="L420">
        <v>1251.2237</v>
      </c>
      <c r="M420">
        <v>4.4044914999999997E-2</v>
      </c>
      <c r="N420">
        <v>74.694209999999998</v>
      </c>
      <c r="O420">
        <v>74.675543000000005</v>
      </c>
      <c r="P420">
        <v>1.2323933E-2</v>
      </c>
      <c r="Q420">
        <v>6.3426869999999996E-3</v>
      </c>
      <c r="R420" s="163">
        <v>1.6870504000000001E-5</v>
      </c>
      <c r="S420">
        <v>0.78272858999999995</v>
      </c>
      <c r="T420">
        <v>5.7036233000000002E-4</v>
      </c>
      <c r="U420">
        <v>0.33928012000000002</v>
      </c>
      <c r="V420">
        <v>3.7286130000000002</v>
      </c>
      <c r="W420">
        <v>1.02433</v>
      </c>
      <c r="X420" s="163">
        <v>2.4920549E-5</v>
      </c>
      <c r="Y420">
        <v>1079.9603</v>
      </c>
      <c r="Z420">
        <v>5.8220834000000004</v>
      </c>
      <c r="AA420" s="163">
        <v>2.0479472999999999E-5</v>
      </c>
      <c r="AB420">
        <v>4.6545423000000001</v>
      </c>
      <c r="AC420">
        <v>610.51333999999997</v>
      </c>
      <c r="AD420" s="163">
        <v>2.1004604000000001E-8</v>
      </c>
      <c r="AE420" s="163">
        <v>5.3194126E-7</v>
      </c>
      <c r="AF420">
        <v>136.78433000000001</v>
      </c>
      <c r="AG420">
        <v>0</v>
      </c>
      <c r="AH420">
        <v>0</v>
      </c>
      <c r="AI420">
        <v>6.2563564999999999</v>
      </c>
      <c r="AJ420">
        <v>0</v>
      </c>
      <c r="AK420">
        <v>0</v>
      </c>
      <c r="AL420">
        <v>1146.8032000000001</v>
      </c>
      <c r="AM420">
        <v>0</v>
      </c>
      <c r="AN420">
        <v>0</v>
      </c>
      <c r="AO420">
        <v>0</v>
      </c>
      <c r="AP420">
        <v>0.14822057999999999</v>
      </c>
      <c r="AQ420">
        <v>4.8158598999999998E-4</v>
      </c>
      <c r="AR420">
        <v>1.1509495999999999</v>
      </c>
      <c r="AS420">
        <v>7.5016359999999999E-3</v>
      </c>
      <c r="AT420">
        <v>0</v>
      </c>
      <c r="AU420">
        <v>0</v>
      </c>
      <c r="AV420">
        <v>0</v>
      </c>
      <c r="AW420">
        <v>0</v>
      </c>
      <c r="AX420">
        <v>0</v>
      </c>
    </row>
    <row r="421" spans="1:50">
      <c r="A421" t="s">
        <v>1664</v>
      </c>
      <c r="B421" s="189">
        <f t="shared" si="6"/>
        <v>9.7707420411798415E-3</v>
      </c>
      <c r="C421" s="163">
        <v>2.4747124E-8</v>
      </c>
      <c r="D421">
        <v>5.0799324E-4</v>
      </c>
      <c r="E421">
        <v>7.3380863000000005E-2</v>
      </c>
      <c r="F421" s="163">
        <v>1.3302936E-8</v>
      </c>
      <c r="G421" s="163">
        <v>7.4351609999999995E-5</v>
      </c>
      <c r="H421">
        <v>5.5671262999999998E-4</v>
      </c>
      <c r="I421">
        <v>1.2526852E-4</v>
      </c>
      <c r="J421">
        <v>2.6434622000000001E-2</v>
      </c>
      <c r="K421">
        <v>3.6843225E-4</v>
      </c>
      <c r="L421">
        <v>1.2425322000000001</v>
      </c>
      <c r="M421" s="163">
        <v>4.3738961000000003E-5</v>
      </c>
      <c r="N421">
        <v>7.4175352999999999E-2</v>
      </c>
      <c r="O421">
        <v>7.4156816E-2</v>
      </c>
      <c r="P421" s="163">
        <v>1.2238326000000001E-5</v>
      </c>
      <c r="Q421" s="163">
        <v>6.2986281E-6</v>
      </c>
      <c r="R421" s="163">
        <v>1.6753313999999999E-8</v>
      </c>
      <c r="S421">
        <v>7.7729142999999996E-4</v>
      </c>
      <c r="T421" s="163">
        <v>5.6640036000000002E-7</v>
      </c>
      <c r="U421">
        <v>3.3692333999999998E-4</v>
      </c>
      <c r="V421">
        <v>3.7027125000000001E-3</v>
      </c>
      <c r="W421">
        <v>1.0172146E-3</v>
      </c>
      <c r="X421" s="163">
        <v>2.4747441000000001E-8</v>
      </c>
      <c r="Y421">
        <v>1.0724585</v>
      </c>
      <c r="Z421">
        <v>5.7816407999999996E-3</v>
      </c>
      <c r="AA421" s="163">
        <v>2.0337215000000001E-8</v>
      </c>
      <c r="AB421">
        <v>4.6222099999999999E-3</v>
      </c>
      <c r="AC421">
        <v>0.60627246999999995</v>
      </c>
      <c r="AD421" s="163">
        <v>2.0858698000000001E-11</v>
      </c>
      <c r="AE421" s="163">
        <v>5.2824617999999995E-10</v>
      </c>
      <c r="AF421">
        <v>0.13583417</v>
      </c>
      <c r="AG421">
        <v>0</v>
      </c>
      <c r="AH421">
        <v>0</v>
      </c>
      <c r="AI421">
        <v>6.2128972999999999E-3</v>
      </c>
      <c r="AJ421">
        <v>0</v>
      </c>
      <c r="AK421">
        <v>0</v>
      </c>
      <c r="AL421">
        <v>1.1388370000000001</v>
      </c>
      <c r="AM421">
        <v>0</v>
      </c>
      <c r="AN421">
        <v>0</v>
      </c>
      <c r="AO421">
        <v>0</v>
      </c>
      <c r="AP421">
        <v>1.4719097999999999E-4</v>
      </c>
      <c r="AQ421" s="163">
        <v>4.7824069999999997E-7</v>
      </c>
      <c r="AR421">
        <v>1.1429546E-3</v>
      </c>
      <c r="AS421" s="163">
        <v>7.4495265000000004E-6</v>
      </c>
      <c r="AT421">
        <v>0</v>
      </c>
      <c r="AU421">
        <v>0</v>
      </c>
      <c r="AV421">
        <v>0</v>
      </c>
      <c r="AW421">
        <v>0</v>
      </c>
      <c r="AX421">
        <v>0</v>
      </c>
    </row>
    <row r="422" spans="1:50">
      <c r="A422" t="s">
        <v>1665</v>
      </c>
      <c r="B422" s="189">
        <f t="shared" si="6"/>
        <v>7.8469500111376406E-2</v>
      </c>
      <c r="C422" s="163">
        <v>6.8277203999999995E-7</v>
      </c>
      <c r="D422">
        <v>4.6411220000000001E-3</v>
      </c>
      <c r="E422">
        <v>0.64993814999999999</v>
      </c>
      <c r="F422" s="163">
        <v>3.2537095000000003E-8</v>
      </c>
      <c r="G422">
        <v>4.3350129999999998E-4</v>
      </c>
      <c r="H422">
        <v>2.7704734E-3</v>
      </c>
      <c r="I422">
        <v>3.1653820000000001E-4</v>
      </c>
      <c r="J422">
        <v>0.30978294000000001</v>
      </c>
      <c r="K422">
        <v>4.7674207000000003E-3</v>
      </c>
      <c r="L422">
        <v>23.353736999999999</v>
      </c>
      <c r="M422">
        <v>1.2054469000000001E-3</v>
      </c>
      <c r="N422">
        <v>0.66698707000000002</v>
      </c>
      <c r="O422">
        <v>0.65849046</v>
      </c>
      <c r="P422">
        <v>7.1743750999999998E-3</v>
      </c>
      <c r="Q422">
        <v>1.322234E-3</v>
      </c>
      <c r="R422" s="163">
        <v>3.4238902000000002E-8</v>
      </c>
      <c r="S422">
        <v>3.3448697000000001E-3</v>
      </c>
      <c r="T422" s="163">
        <v>3.373817E-5</v>
      </c>
      <c r="U422">
        <v>5.3613779999999995E-4</v>
      </c>
      <c r="V422">
        <v>6.3708209999999996E-3</v>
      </c>
      <c r="W422">
        <v>2.2087868000000002E-3</v>
      </c>
      <c r="X422" s="163">
        <v>6.8277717999999996E-7</v>
      </c>
      <c r="Y422">
        <v>8.2404887000000002</v>
      </c>
      <c r="Z422">
        <v>0.15038872</v>
      </c>
      <c r="AA422" s="163">
        <v>2.8314583999999999E-8</v>
      </c>
      <c r="AB422">
        <v>2.6504673999999999E-2</v>
      </c>
      <c r="AC422">
        <v>15.368243</v>
      </c>
      <c r="AD422" s="163">
        <v>3.3109350000000002E-10</v>
      </c>
      <c r="AE422" s="163">
        <v>7.6832059999999995E-9</v>
      </c>
      <c r="AF422">
        <v>1.1470823000000001</v>
      </c>
      <c r="AG422">
        <v>0</v>
      </c>
      <c r="AH422">
        <v>0</v>
      </c>
      <c r="AI422">
        <v>0.74989406000000003</v>
      </c>
      <c r="AJ422">
        <v>0</v>
      </c>
      <c r="AK422">
        <v>0</v>
      </c>
      <c r="AL422">
        <v>8.8138425999999992</v>
      </c>
      <c r="AM422">
        <v>0</v>
      </c>
      <c r="AN422">
        <v>0</v>
      </c>
      <c r="AO422">
        <v>0</v>
      </c>
      <c r="AP422">
        <v>5.2359930000000004E-3</v>
      </c>
      <c r="AQ422">
        <v>4.8292982999999998E-3</v>
      </c>
      <c r="AR422">
        <v>5.2549943000000002E-2</v>
      </c>
      <c r="AS422" s="163">
        <v>2.0529984000000001E-5</v>
      </c>
      <c r="AT422">
        <v>0</v>
      </c>
      <c r="AU422">
        <v>0</v>
      </c>
      <c r="AV422">
        <v>0</v>
      </c>
      <c r="AW422">
        <v>0</v>
      </c>
      <c r="AX422">
        <v>0</v>
      </c>
    </row>
    <row r="423" spans="1:50">
      <c r="A423" t="s">
        <v>1666</v>
      </c>
      <c r="B423" s="189">
        <f t="shared" si="6"/>
        <v>0.40811359029016198</v>
      </c>
      <c r="C423" s="163">
        <v>6.9804926999999997E-6</v>
      </c>
      <c r="D423">
        <v>4.4097403000000002E-3</v>
      </c>
      <c r="E423">
        <v>0.62784786000000004</v>
      </c>
      <c r="F423" s="163">
        <v>3.7464111000000003E-8</v>
      </c>
      <c r="G423">
        <v>3.7944418999999999E-4</v>
      </c>
      <c r="H423">
        <v>3.2340271E-3</v>
      </c>
      <c r="I423">
        <v>4.0444450000000001E-4</v>
      </c>
      <c r="J423">
        <v>3.9465385999999998</v>
      </c>
      <c r="K423">
        <v>9.5857382000000008E-3</v>
      </c>
      <c r="L423">
        <v>28.764717000000001</v>
      </c>
      <c r="M423">
        <v>5.4313818999999998E-3</v>
      </c>
      <c r="N423">
        <v>0.64315056000000004</v>
      </c>
      <c r="O423">
        <v>0.64112055000000001</v>
      </c>
      <c r="P423">
        <v>1.2648609999999999E-3</v>
      </c>
      <c r="Q423">
        <v>7.6515180999999995E-4</v>
      </c>
      <c r="R423" s="163">
        <v>3.8575141999999999E-8</v>
      </c>
      <c r="S423">
        <v>3.9716311000000002E-3</v>
      </c>
      <c r="T423" s="163">
        <v>3.9387649000000003E-5</v>
      </c>
      <c r="U423">
        <v>6.4076699000000003E-4</v>
      </c>
      <c r="V423">
        <v>8.2236692000000004E-3</v>
      </c>
      <c r="W423">
        <v>2.3414759999999999E-3</v>
      </c>
      <c r="X423" s="163">
        <v>6.9805655000000003E-6</v>
      </c>
      <c r="Y423">
        <v>8.2262872999999992</v>
      </c>
      <c r="Z423">
        <v>0.37509613000000003</v>
      </c>
      <c r="AA423" s="163">
        <v>3.6245539999999998E-8</v>
      </c>
      <c r="AB423">
        <v>3.364429E-2</v>
      </c>
      <c r="AC423">
        <v>15.755651</v>
      </c>
      <c r="AD423" s="163">
        <v>4.4378146000000002E-9</v>
      </c>
      <c r="AE423" s="163">
        <v>1.5074219E-8</v>
      </c>
      <c r="AF423">
        <v>2.4005738000000001</v>
      </c>
      <c r="AG423">
        <v>0</v>
      </c>
      <c r="AH423">
        <v>0</v>
      </c>
      <c r="AI423">
        <v>1.2294278000000001</v>
      </c>
      <c r="AJ423">
        <v>0</v>
      </c>
      <c r="AK423">
        <v>0</v>
      </c>
      <c r="AL423">
        <v>8.7413775000000005</v>
      </c>
      <c r="AM423">
        <v>0</v>
      </c>
      <c r="AN423">
        <v>0</v>
      </c>
      <c r="AO423">
        <v>0</v>
      </c>
      <c r="AP423">
        <v>1.0309637E-2</v>
      </c>
      <c r="AQ423" s="163">
        <v>1.3574238E-5</v>
      </c>
      <c r="AR423">
        <v>0.3450201</v>
      </c>
      <c r="AS423" s="163">
        <v>2.8811963E-5</v>
      </c>
      <c r="AT423">
        <v>0</v>
      </c>
      <c r="AU423">
        <v>0</v>
      </c>
      <c r="AV423">
        <v>0</v>
      </c>
      <c r="AW423">
        <v>0</v>
      </c>
      <c r="AX423">
        <v>0</v>
      </c>
    </row>
    <row r="424" spans="1:50">
      <c r="A424" t="s">
        <v>1667</v>
      </c>
      <c r="B424" s="189">
        <f t="shared" si="6"/>
        <v>2.71564837923132E-2</v>
      </c>
      <c r="C424" s="163">
        <v>1.4869177000000001E-7</v>
      </c>
      <c r="D424">
        <v>1.9971864999999999E-3</v>
      </c>
      <c r="E424">
        <v>0.25413058999999999</v>
      </c>
      <c r="F424" s="163">
        <v>2.6404681000000001E-8</v>
      </c>
      <c r="G424">
        <v>3.5774397000000002E-4</v>
      </c>
      <c r="H424">
        <v>8.8677677999999995E-4</v>
      </c>
      <c r="I424">
        <v>1.2296633E-4</v>
      </c>
      <c r="J424">
        <v>8.7904697000000004E-2</v>
      </c>
      <c r="K424">
        <v>4.6323872E-3</v>
      </c>
      <c r="L424">
        <v>6.8474228999999998</v>
      </c>
      <c r="M424">
        <v>4.1933092E-4</v>
      </c>
      <c r="N424">
        <v>0.26244989000000002</v>
      </c>
      <c r="O424">
        <v>0.26069590999999998</v>
      </c>
      <c r="P424">
        <v>1.5792412E-3</v>
      </c>
      <c r="Q424">
        <v>1.7474594000000001E-4</v>
      </c>
      <c r="R424" s="163">
        <v>2.6606980999999999E-8</v>
      </c>
      <c r="S424">
        <v>1.1185601E-3</v>
      </c>
      <c r="T424" s="163">
        <v>1.2615925000000001E-5</v>
      </c>
      <c r="U424">
        <v>1.7712332E-4</v>
      </c>
      <c r="V424">
        <v>2.5614572000000001E-3</v>
      </c>
      <c r="W424">
        <v>1.1546467000000001E-3</v>
      </c>
      <c r="X424" s="163">
        <v>1.4869334999999999E-7</v>
      </c>
      <c r="Y424">
        <v>4.0134992</v>
      </c>
      <c r="Z424">
        <v>0.35170551</v>
      </c>
      <c r="AA424" s="163">
        <v>1.4854099E-8</v>
      </c>
      <c r="AB424">
        <v>1.5212095E-2</v>
      </c>
      <c r="AC424">
        <v>4.0524915999999997</v>
      </c>
      <c r="AD424" s="163">
        <v>9.4117062000000004E-10</v>
      </c>
      <c r="AE424" s="163">
        <v>5.7053748E-9</v>
      </c>
      <c r="AF424">
        <v>0.64797769999999999</v>
      </c>
      <c r="AG424">
        <v>0</v>
      </c>
      <c r="AH424">
        <v>0</v>
      </c>
      <c r="AI424">
        <v>0.25891083999999998</v>
      </c>
      <c r="AJ424">
        <v>0</v>
      </c>
      <c r="AK424">
        <v>0</v>
      </c>
      <c r="AL424">
        <v>4.2978060999999999</v>
      </c>
      <c r="AM424">
        <v>0</v>
      </c>
      <c r="AN424">
        <v>0</v>
      </c>
      <c r="AO424">
        <v>0</v>
      </c>
      <c r="AP424">
        <v>8.8832144000000005E-3</v>
      </c>
      <c r="AQ424" s="163">
        <v>1.1699855999999999E-5</v>
      </c>
      <c r="AR424">
        <v>5.5273582000000002E-2</v>
      </c>
      <c r="AS424" s="163">
        <v>1.4502802999999999E-5</v>
      </c>
      <c r="AT424">
        <v>0</v>
      </c>
      <c r="AU424">
        <v>0</v>
      </c>
      <c r="AV424">
        <v>0</v>
      </c>
      <c r="AW424">
        <v>0</v>
      </c>
      <c r="AX424">
        <v>0</v>
      </c>
    </row>
    <row r="425" spans="1:50">
      <c r="A425" t="s">
        <v>1668</v>
      </c>
      <c r="B425" s="189">
        <f t="shared" si="6"/>
        <v>0.25979487472445284</v>
      </c>
      <c r="C425" s="163">
        <v>6.5800282999999998E-7</v>
      </c>
      <c r="D425">
        <v>1.3507063999999999E-2</v>
      </c>
      <c r="E425">
        <v>1.9511284</v>
      </c>
      <c r="F425" s="163">
        <v>3.5371260000000002E-7</v>
      </c>
      <c r="G425">
        <v>1.9769395999999998E-3</v>
      </c>
      <c r="H425">
        <v>1.4802467E-2</v>
      </c>
      <c r="I425">
        <v>3.3307725999999998E-3</v>
      </c>
      <c r="J425">
        <v>0.70287182000000004</v>
      </c>
      <c r="K425">
        <v>9.7962681999999995E-3</v>
      </c>
      <c r="L425">
        <v>33.037767000000002</v>
      </c>
      <c r="M425">
        <v>1.1629780000000001E-3</v>
      </c>
      <c r="N425">
        <v>1.9722531000000001</v>
      </c>
      <c r="O425">
        <v>1.9717602000000001</v>
      </c>
      <c r="P425">
        <v>3.2540561000000002E-4</v>
      </c>
      <c r="Q425">
        <v>1.6747461999999999E-4</v>
      </c>
      <c r="R425" s="163">
        <v>4.4545492000000002E-7</v>
      </c>
      <c r="S425">
        <v>2.066745E-2</v>
      </c>
      <c r="T425" s="163">
        <v>1.5060055E-5</v>
      </c>
      <c r="U425">
        <v>8.9584758000000007E-3</v>
      </c>
      <c r="V425">
        <v>9.8451654E-2</v>
      </c>
      <c r="W425">
        <v>2.7046783000000001E-2</v>
      </c>
      <c r="X425" s="163">
        <v>6.5801125999999997E-7</v>
      </c>
      <c r="Y425">
        <v>28.515664999999998</v>
      </c>
      <c r="Z425">
        <v>0.15372841000000001</v>
      </c>
      <c r="AA425" s="163">
        <v>5.4074747E-7</v>
      </c>
      <c r="AB425">
        <v>0.12290023</v>
      </c>
      <c r="AC425">
        <v>16.120217</v>
      </c>
      <c r="AD425" s="163">
        <v>5.5461321999999998E-10</v>
      </c>
      <c r="AE425" s="163">
        <v>1.4045570999999999E-8</v>
      </c>
      <c r="AF425">
        <v>3.6117032999999998</v>
      </c>
      <c r="AG425">
        <v>0</v>
      </c>
      <c r="AH425">
        <v>0</v>
      </c>
      <c r="AI425">
        <v>0.16519511000000001</v>
      </c>
      <c r="AJ425">
        <v>0</v>
      </c>
      <c r="AK425">
        <v>0</v>
      </c>
      <c r="AL425">
        <v>30.280608999999998</v>
      </c>
      <c r="AM425">
        <v>0</v>
      </c>
      <c r="AN425">
        <v>0</v>
      </c>
      <c r="AO425">
        <v>0</v>
      </c>
      <c r="AP425">
        <v>3.9136702000000002E-3</v>
      </c>
      <c r="AQ425" s="163">
        <v>1.2715972E-5</v>
      </c>
      <c r="AR425">
        <v>3.0390092E-2</v>
      </c>
      <c r="AS425">
        <v>1.9807593E-4</v>
      </c>
      <c r="AT425">
        <v>0</v>
      </c>
      <c r="AU425">
        <v>0</v>
      </c>
      <c r="AV425">
        <v>0</v>
      </c>
      <c r="AW425">
        <v>0</v>
      </c>
      <c r="AX425">
        <v>0</v>
      </c>
    </row>
    <row r="426" spans="1:50">
      <c r="A426" t="s">
        <v>1669</v>
      </c>
      <c r="B426" s="189">
        <f t="shared" si="6"/>
        <v>0.54242885961893617</v>
      </c>
      <c r="C426" s="163">
        <v>1.3738521E-6</v>
      </c>
      <c r="D426">
        <v>2.8201561999999999E-2</v>
      </c>
      <c r="E426">
        <v>4.0737845000000004</v>
      </c>
      <c r="F426" s="163">
        <v>7.3852082000000003E-7</v>
      </c>
      <c r="G426">
        <v>4.1276760999999999E-3</v>
      </c>
      <c r="H426">
        <v>3.090625E-2</v>
      </c>
      <c r="I426">
        <v>6.9543603999999998E-3</v>
      </c>
      <c r="J426">
        <v>1.4675346</v>
      </c>
      <c r="K426">
        <v>2.0453747000000001E-2</v>
      </c>
      <c r="L426">
        <v>68.979952999999995</v>
      </c>
      <c r="M426">
        <v>2.4281958E-3</v>
      </c>
      <c r="N426">
        <v>4.1178910999999996</v>
      </c>
      <c r="O426">
        <v>4.1168620000000002</v>
      </c>
      <c r="P426">
        <v>6.7941829999999999E-4</v>
      </c>
      <c r="Q426">
        <v>3.4967228E-4</v>
      </c>
      <c r="R426" s="163">
        <v>9.3007071999999998E-7</v>
      </c>
      <c r="S426">
        <v>4.315182E-2</v>
      </c>
      <c r="T426" s="163">
        <v>3.1444069999999997E-5</v>
      </c>
      <c r="U426">
        <v>1.8704510000000001E-2</v>
      </c>
      <c r="V426">
        <v>0.2055584</v>
      </c>
      <c r="W426">
        <v>5.6471304999999999E-2</v>
      </c>
      <c r="X426" s="163">
        <v>1.3738697000000001E-6</v>
      </c>
      <c r="Y426">
        <v>59.538201000000001</v>
      </c>
      <c r="Z426">
        <v>0.32097140000000002</v>
      </c>
      <c r="AA426" s="163">
        <v>1.1290332000000001E-6</v>
      </c>
      <c r="AB426">
        <v>0.25660486999999998</v>
      </c>
      <c r="AC426">
        <v>33.657595000000001</v>
      </c>
      <c r="AD426" s="163">
        <v>1.1579836000000001E-9</v>
      </c>
      <c r="AE426" s="163">
        <v>2.9325917000000001E-8</v>
      </c>
      <c r="AF426">
        <v>7.5409189999999997</v>
      </c>
      <c r="AG426">
        <v>0</v>
      </c>
      <c r="AH426">
        <v>0</v>
      </c>
      <c r="AI426">
        <v>0.34491287999999998</v>
      </c>
      <c r="AJ426">
        <v>0</v>
      </c>
      <c r="AK426">
        <v>0</v>
      </c>
      <c r="AL426">
        <v>63.223249000000003</v>
      </c>
      <c r="AM426">
        <v>0</v>
      </c>
      <c r="AN426">
        <v>0</v>
      </c>
      <c r="AO426">
        <v>0</v>
      </c>
      <c r="AP426">
        <v>8.1713992000000003E-3</v>
      </c>
      <c r="AQ426" s="163">
        <v>2.6549830999999999E-5</v>
      </c>
      <c r="AR426">
        <v>6.3451840999999995E-2</v>
      </c>
      <c r="AS426">
        <v>4.1356512000000002E-4</v>
      </c>
      <c r="AT426">
        <v>0</v>
      </c>
      <c r="AU426">
        <v>0</v>
      </c>
      <c r="AV426">
        <v>0</v>
      </c>
      <c r="AW426">
        <v>0</v>
      </c>
      <c r="AX426">
        <v>0</v>
      </c>
    </row>
    <row r="427" spans="1:50">
      <c r="A427" t="s">
        <v>1670</v>
      </c>
      <c r="B427" s="189">
        <f t="shared" si="6"/>
        <v>5.7789298282066799</v>
      </c>
      <c r="C427" s="163">
        <v>1.4636748E-5</v>
      </c>
      <c r="D427">
        <v>0.30045387000000001</v>
      </c>
      <c r="E427">
        <v>43.401294999999998</v>
      </c>
      <c r="F427" s="163">
        <v>7.8680549000000004E-6</v>
      </c>
      <c r="G427">
        <v>4.3975446000000001E-2</v>
      </c>
      <c r="H427">
        <v>0.32926907999999999</v>
      </c>
      <c r="I427">
        <v>7.4090381999999996E-2</v>
      </c>
      <c r="J427">
        <v>15.634823000000001</v>
      </c>
      <c r="K427">
        <v>0.21791018000000001</v>
      </c>
      <c r="L427">
        <v>734.89878999999996</v>
      </c>
      <c r="M427">
        <v>2.5869518000000001E-2</v>
      </c>
      <c r="N427">
        <v>43.871198</v>
      </c>
      <c r="O427">
        <v>43.860233999999998</v>
      </c>
      <c r="P427">
        <v>7.2383884000000003E-3</v>
      </c>
      <c r="Q427">
        <v>3.7253392999999999E-3</v>
      </c>
      <c r="R427" s="163">
        <v>9.9087897000000002E-6</v>
      </c>
      <c r="S427">
        <v>0.45973096000000002</v>
      </c>
      <c r="T427">
        <v>3.3499890999999998E-4</v>
      </c>
      <c r="U427">
        <v>0.19927415000000001</v>
      </c>
      <c r="V427">
        <v>2.1899785999999999</v>
      </c>
      <c r="W427">
        <v>0.60163412000000005</v>
      </c>
      <c r="X427" s="163">
        <v>1.4636936000000001E-5</v>
      </c>
      <c r="Y427">
        <v>634.30822999999998</v>
      </c>
      <c r="Z427">
        <v>3.4195658999999998</v>
      </c>
      <c r="AA427" s="163">
        <v>1.2028495999999999E-5</v>
      </c>
      <c r="AB427">
        <v>2.7338176000000001</v>
      </c>
      <c r="AC427">
        <v>358.58136999999999</v>
      </c>
      <c r="AD427" s="163">
        <v>1.2336929E-8</v>
      </c>
      <c r="AE427" s="163">
        <v>3.1243251999999998E-7</v>
      </c>
      <c r="AF427">
        <v>80.339461</v>
      </c>
      <c r="AG427">
        <v>0</v>
      </c>
      <c r="AH427">
        <v>0</v>
      </c>
      <c r="AI427">
        <v>3.6746335999999999</v>
      </c>
      <c r="AJ427">
        <v>0</v>
      </c>
      <c r="AK427">
        <v>0</v>
      </c>
      <c r="AL427">
        <v>673.56799999999998</v>
      </c>
      <c r="AM427">
        <v>0</v>
      </c>
      <c r="AN427">
        <v>0</v>
      </c>
      <c r="AO427">
        <v>0</v>
      </c>
      <c r="AP427">
        <v>8.7056472999999995E-2</v>
      </c>
      <c r="AQ427">
        <v>2.8285666000000002E-4</v>
      </c>
      <c r="AR427">
        <v>0.67600338000000004</v>
      </c>
      <c r="AS427">
        <v>4.4060410999999999E-3</v>
      </c>
      <c r="AT427">
        <v>0</v>
      </c>
      <c r="AU427">
        <v>0</v>
      </c>
      <c r="AV427">
        <v>0</v>
      </c>
      <c r="AW427">
        <v>0</v>
      </c>
      <c r="AX427">
        <v>0</v>
      </c>
    </row>
    <row r="428" spans="1:50">
      <c r="A428" t="s">
        <v>1671</v>
      </c>
      <c r="B428" s="189">
        <f t="shared" si="6"/>
        <v>1.0499353825846041</v>
      </c>
      <c r="C428" s="163">
        <v>5.9538294000000004E-6</v>
      </c>
      <c r="D428">
        <v>3.6505427999999999E-2</v>
      </c>
      <c r="E428">
        <v>7.8527247999999998</v>
      </c>
      <c r="F428" s="163">
        <v>9.3388972999999998E-7</v>
      </c>
      <c r="G428">
        <v>4.4818452000000002E-2</v>
      </c>
      <c r="H428">
        <v>2.3118156000000001E-2</v>
      </c>
      <c r="I428">
        <v>8.0449031000000004E-3</v>
      </c>
      <c r="J428">
        <v>3.7185261000000001</v>
      </c>
      <c r="K428">
        <v>0.99745870000000003</v>
      </c>
      <c r="L428">
        <v>93.066434999999998</v>
      </c>
      <c r="M428">
        <v>0.38363159000000002</v>
      </c>
      <c r="N428">
        <v>6.5575245000000004</v>
      </c>
      <c r="O428">
        <v>5.4898370999999999</v>
      </c>
      <c r="P428">
        <v>-1.6624336</v>
      </c>
      <c r="Q428">
        <v>2.7301209000000002</v>
      </c>
      <c r="R428" s="163">
        <v>1.1734666E-6</v>
      </c>
      <c r="S428">
        <v>3.0609750000000002E-2</v>
      </c>
      <c r="T428">
        <v>2.2553541E-4</v>
      </c>
      <c r="U428">
        <v>1.6241803999999999E-2</v>
      </c>
      <c r="V428">
        <v>0.10825298999999999</v>
      </c>
      <c r="W428">
        <v>0.11534613000000001</v>
      </c>
      <c r="X428" s="163">
        <v>5.4493239000000004E-6</v>
      </c>
      <c r="Y428">
        <v>76.832604000000003</v>
      </c>
      <c r="Z428">
        <v>0.61816349000000004</v>
      </c>
      <c r="AA428" s="163">
        <v>1.1848081E-7</v>
      </c>
      <c r="AB428">
        <v>0.32279008999999997</v>
      </c>
      <c r="AC428">
        <v>70.886171000000004</v>
      </c>
      <c r="AD428" s="163">
        <v>4.5494356999999998E-9</v>
      </c>
      <c r="AE428" s="163">
        <v>3.8643911000000001E-7</v>
      </c>
      <c r="AF428">
        <v>186.83715000000001</v>
      </c>
      <c r="AG428">
        <v>0</v>
      </c>
      <c r="AH428">
        <v>0</v>
      </c>
      <c r="AI428">
        <v>34.573092000000003</v>
      </c>
      <c r="AJ428">
        <v>0</v>
      </c>
      <c r="AK428">
        <v>0</v>
      </c>
      <c r="AL428">
        <v>91.417173000000005</v>
      </c>
      <c r="AM428">
        <v>0</v>
      </c>
      <c r="AN428">
        <v>0</v>
      </c>
      <c r="AO428">
        <v>0</v>
      </c>
      <c r="AP428">
        <v>1.7692237999999999E-2</v>
      </c>
      <c r="AQ428" s="163">
        <v>3.4709007000000002E-5</v>
      </c>
      <c r="AR428">
        <v>0.26051257</v>
      </c>
      <c r="AS428">
        <v>5.1559339000000002E-4</v>
      </c>
      <c r="AT428">
        <v>0</v>
      </c>
      <c r="AU428">
        <v>0</v>
      </c>
      <c r="AV428">
        <v>0</v>
      </c>
      <c r="AW428">
        <v>0</v>
      </c>
      <c r="AX428">
        <v>0</v>
      </c>
    </row>
    <row r="429" spans="1:50">
      <c r="A429" t="s">
        <v>1672</v>
      </c>
      <c r="B429" s="189">
        <f t="shared" si="6"/>
        <v>0.57462399999999991</v>
      </c>
      <c r="C429">
        <v>0</v>
      </c>
      <c r="D429">
        <v>2.4400000000000002E-2</v>
      </c>
      <c r="E429">
        <v>3.75</v>
      </c>
      <c r="F429">
        <v>0</v>
      </c>
      <c r="G429">
        <v>2.8500000000000001E-3</v>
      </c>
      <c r="H429">
        <v>3.6999999999999998E-2</v>
      </c>
      <c r="I429">
        <v>8.3800000000000003E-3</v>
      </c>
      <c r="J429">
        <v>1.36</v>
      </c>
      <c r="K429">
        <v>0.06</v>
      </c>
      <c r="L429">
        <v>287</v>
      </c>
      <c r="M429">
        <v>0.02</v>
      </c>
      <c r="N429">
        <v>0</v>
      </c>
      <c r="O429">
        <v>0</v>
      </c>
      <c r="P429">
        <v>0</v>
      </c>
      <c r="Q429">
        <v>0</v>
      </c>
      <c r="R429">
        <v>0</v>
      </c>
      <c r="S429">
        <v>0</v>
      </c>
      <c r="T429">
        <v>0</v>
      </c>
      <c r="U429">
        <v>0</v>
      </c>
      <c r="V429">
        <v>0</v>
      </c>
      <c r="W429">
        <v>0</v>
      </c>
      <c r="X429">
        <v>0</v>
      </c>
      <c r="Y429">
        <v>0</v>
      </c>
      <c r="Z429">
        <v>0</v>
      </c>
      <c r="AA429">
        <v>0</v>
      </c>
      <c r="AB429">
        <v>0</v>
      </c>
      <c r="AC429">
        <v>0</v>
      </c>
      <c r="AD429">
        <v>0</v>
      </c>
      <c r="AE429">
        <v>0</v>
      </c>
      <c r="AF429">
        <v>0</v>
      </c>
      <c r="AG429">
        <v>0</v>
      </c>
      <c r="AH429">
        <v>0</v>
      </c>
      <c r="AI429">
        <v>0</v>
      </c>
      <c r="AJ429">
        <v>0</v>
      </c>
      <c r="AK429">
        <v>0</v>
      </c>
      <c r="AL429">
        <v>0</v>
      </c>
      <c r="AM429">
        <v>0</v>
      </c>
      <c r="AN429">
        <v>0</v>
      </c>
      <c r="AO429">
        <v>0</v>
      </c>
      <c r="AP429">
        <v>0</v>
      </c>
      <c r="AQ429">
        <v>0</v>
      </c>
      <c r="AR429">
        <v>0</v>
      </c>
      <c r="AS429">
        <v>0</v>
      </c>
      <c r="AT429">
        <v>0</v>
      </c>
      <c r="AU429">
        <v>0</v>
      </c>
      <c r="AV429">
        <v>0</v>
      </c>
      <c r="AW429">
        <v>0</v>
      </c>
      <c r="AX429">
        <v>0</v>
      </c>
    </row>
    <row r="430" spans="1:50">
      <c r="A430" t="s">
        <v>1673</v>
      </c>
      <c r="B430" s="189">
        <f t="shared" si="6"/>
        <v>0.31767179999999995</v>
      </c>
      <c r="C430">
        <v>0</v>
      </c>
      <c r="D430">
        <v>9.3799999999999994E-3</v>
      </c>
      <c r="E430">
        <v>3.29</v>
      </c>
      <c r="F430">
        <v>0</v>
      </c>
      <c r="G430">
        <v>2E-3</v>
      </c>
      <c r="H430">
        <v>1.4200000000000001E-2</v>
      </c>
      <c r="I430">
        <v>3.46E-3</v>
      </c>
      <c r="J430">
        <v>0.56699999999999995</v>
      </c>
      <c r="K430">
        <v>1.3299999999999999E-2</v>
      </c>
      <c r="L430">
        <v>73</v>
      </c>
      <c r="M430">
        <v>1.67E-2</v>
      </c>
      <c r="N430">
        <v>0</v>
      </c>
      <c r="O430">
        <v>0</v>
      </c>
      <c r="P430">
        <v>0</v>
      </c>
      <c r="Q430">
        <v>0</v>
      </c>
      <c r="R430">
        <v>0</v>
      </c>
      <c r="S430">
        <v>0</v>
      </c>
      <c r="T430">
        <v>0</v>
      </c>
      <c r="U430">
        <v>0</v>
      </c>
      <c r="V430">
        <v>0</v>
      </c>
      <c r="W430">
        <v>0</v>
      </c>
      <c r="X430">
        <v>0</v>
      </c>
      <c r="Y430">
        <v>0</v>
      </c>
      <c r="Z430">
        <v>0</v>
      </c>
      <c r="AA430">
        <v>0</v>
      </c>
      <c r="AB430">
        <v>0</v>
      </c>
      <c r="AC430">
        <v>0</v>
      </c>
      <c r="AD430">
        <v>0</v>
      </c>
      <c r="AE430">
        <v>0</v>
      </c>
      <c r="AF430">
        <v>0</v>
      </c>
      <c r="AG430">
        <v>0</v>
      </c>
      <c r="AH430">
        <v>0</v>
      </c>
      <c r="AI430">
        <v>0</v>
      </c>
      <c r="AJ430">
        <v>0</v>
      </c>
      <c r="AK430">
        <v>0</v>
      </c>
      <c r="AL430">
        <v>0</v>
      </c>
      <c r="AM430">
        <v>0</v>
      </c>
      <c r="AN430">
        <v>0</v>
      </c>
      <c r="AO430">
        <v>0</v>
      </c>
      <c r="AP430">
        <v>0</v>
      </c>
      <c r="AQ430">
        <v>0</v>
      </c>
      <c r="AR430">
        <v>0</v>
      </c>
      <c r="AS430">
        <v>0</v>
      </c>
      <c r="AT430">
        <v>0</v>
      </c>
      <c r="AU430">
        <v>0</v>
      </c>
      <c r="AV430">
        <v>0</v>
      </c>
      <c r="AW430">
        <v>0</v>
      </c>
      <c r="AX430">
        <v>0</v>
      </c>
    </row>
    <row r="431" spans="1:50">
      <c r="A431" t="s">
        <v>1674</v>
      </c>
      <c r="B431" s="189">
        <f t="shared" si="6"/>
        <v>0.48063879999999998</v>
      </c>
      <c r="C431">
        <v>0</v>
      </c>
      <c r="D431">
        <v>3.3799999999999997E-2</v>
      </c>
      <c r="E431">
        <v>4.8499999999999996</v>
      </c>
      <c r="F431">
        <v>0</v>
      </c>
      <c r="G431">
        <v>1.8500000000000001E-3</v>
      </c>
      <c r="H431">
        <v>2.9000000000000001E-2</v>
      </c>
      <c r="I431">
        <v>7.1599999999999997E-3</v>
      </c>
      <c r="J431">
        <v>0.501</v>
      </c>
      <c r="K431">
        <v>2.6700000000000002E-2</v>
      </c>
      <c r="L431">
        <v>22</v>
      </c>
      <c r="M431">
        <v>8.3300000000000006E-3</v>
      </c>
      <c r="N431">
        <v>0</v>
      </c>
      <c r="O431">
        <v>0</v>
      </c>
      <c r="P431">
        <v>0</v>
      </c>
      <c r="Q431">
        <v>0</v>
      </c>
      <c r="R431">
        <v>0</v>
      </c>
      <c r="S431">
        <v>0</v>
      </c>
      <c r="T431">
        <v>0</v>
      </c>
      <c r="U431">
        <v>0</v>
      </c>
      <c r="V431">
        <v>0</v>
      </c>
      <c r="W431">
        <v>0</v>
      </c>
      <c r="X431">
        <v>0</v>
      </c>
      <c r="Y431">
        <v>0</v>
      </c>
      <c r="Z431">
        <v>0</v>
      </c>
      <c r="AA431">
        <v>0</v>
      </c>
      <c r="AB431">
        <v>0</v>
      </c>
      <c r="AC431">
        <v>0</v>
      </c>
      <c r="AD431">
        <v>0</v>
      </c>
      <c r="AE431">
        <v>0</v>
      </c>
      <c r="AF431">
        <v>0</v>
      </c>
      <c r="AG431">
        <v>0</v>
      </c>
      <c r="AH431">
        <v>0</v>
      </c>
      <c r="AI431">
        <v>0</v>
      </c>
      <c r="AJ431">
        <v>0</v>
      </c>
      <c r="AK431">
        <v>0</v>
      </c>
      <c r="AL431">
        <v>0</v>
      </c>
      <c r="AM431">
        <v>0</v>
      </c>
      <c r="AN431">
        <v>0</v>
      </c>
      <c r="AO431">
        <v>0</v>
      </c>
      <c r="AP431">
        <v>0</v>
      </c>
      <c r="AQ431">
        <v>0</v>
      </c>
      <c r="AR431">
        <v>0</v>
      </c>
      <c r="AS431">
        <v>0</v>
      </c>
      <c r="AT431">
        <v>0</v>
      </c>
      <c r="AU431">
        <v>0</v>
      </c>
      <c r="AV431">
        <v>0</v>
      </c>
      <c r="AW431">
        <v>0</v>
      </c>
      <c r="AX431">
        <v>0</v>
      </c>
    </row>
    <row r="432" spans="1:50">
      <c r="A432" t="s">
        <v>1675</v>
      </c>
      <c r="B432" s="189">
        <f t="shared" si="6"/>
        <v>0.46838299999999994</v>
      </c>
      <c r="C432">
        <v>0</v>
      </c>
      <c r="D432">
        <v>3.6900000000000002E-2</v>
      </c>
      <c r="E432">
        <v>3.59</v>
      </c>
      <c r="F432">
        <v>0</v>
      </c>
      <c r="G432">
        <v>1.4499999999999999E-3</v>
      </c>
      <c r="H432">
        <v>1.2699999999999999E-2</v>
      </c>
      <c r="I432">
        <v>2.0200000000000001E-3</v>
      </c>
      <c r="J432">
        <v>2.11</v>
      </c>
      <c r="K432">
        <v>3.6700000000000003E-2</v>
      </c>
      <c r="L432">
        <v>172</v>
      </c>
      <c r="M432">
        <v>4.8300000000000003E-2</v>
      </c>
      <c r="N432">
        <v>0</v>
      </c>
      <c r="O432">
        <v>0</v>
      </c>
      <c r="P432">
        <v>0</v>
      </c>
      <c r="Q432">
        <v>0</v>
      </c>
      <c r="R432">
        <v>0</v>
      </c>
      <c r="S432">
        <v>0</v>
      </c>
      <c r="T432">
        <v>0</v>
      </c>
      <c r="U432">
        <v>0</v>
      </c>
      <c r="V432">
        <v>0</v>
      </c>
      <c r="W432">
        <v>0</v>
      </c>
      <c r="X432">
        <v>0</v>
      </c>
      <c r="Y432">
        <v>0</v>
      </c>
      <c r="Z432">
        <v>0</v>
      </c>
      <c r="AA432">
        <v>0</v>
      </c>
      <c r="AB432">
        <v>0</v>
      </c>
      <c r="AC432">
        <v>0</v>
      </c>
      <c r="AD432">
        <v>0</v>
      </c>
      <c r="AE432">
        <v>0</v>
      </c>
      <c r="AF432">
        <v>0</v>
      </c>
      <c r="AG432">
        <v>0</v>
      </c>
      <c r="AH432">
        <v>0</v>
      </c>
      <c r="AI432">
        <v>0</v>
      </c>
      <c r="AJ432">
        <v>0</v>
      </c>
      <c r="AK432">
        <v>0</v>
      </c>
      <c r="AL432">
        <v>0</v>
      </c>
      <c r="AM432">
        <v>0</v>
      </c>
      <c r="AN432">
        <v>0</v>
      </c>
      <c r="AO432">
        <v>0</v>
      </c>
      <c r="AP432">
        <v>0</v>
      </c>
      <c r="AQ432">
        <v>0</v>
      </c>
      <c r="AR432">
        <v>0</v>
      </c>
      <c r="AS432">
        <v>0</v>
      </c>
      <c r="AT432">
        <v>0</v>
      </c>
      <c r="AU432">
        <v>0</v>
      </c>
      <c r="AV432">
        <v>0</v>
      </c>
      <c r="AW432">
        <v>0</v>
      </c>
      <c r="AX432">
        <v>0</v>
      </c>
    </row>
    <row r="433" spans="1:50">
      <c r="A433" t="s">
        <v>1676</v>
      </c>
      <c r="B433" s="189">
        <f t="shared" si="6"/>
        <v>0.68089000000000011</v>
      </c>
      <c r="C433">
        <v>0</v>
      </c>
      <c r="D433">
        <v>2.3800000000000002E-2</v>
      </c>
      <c r="E433">
        <v>3.83</v>
      </c>
      <c r="F433">
        <v>0</v>
      </c>
      <c r="G433">
        <v>2.8500000000000001E-3</v>
      </c>
      <c r="H433">
        <v>3.9899999999999998E-2</v>
      </c>
      <c r="I433">
        <v>9.2099999999999994E-3</v>
      </c>
      <c r="J433">
        <v>1.75</v>
      </c>
      <c r="K433">
        <v>0.13300000000000001</v>
      </c>
      <c r="L433">
        <v>737</v>
      </c>
      <c r="M433">
        <v>3.6700000000000003E-2</v>
      </c>
      <c r="N433">
        <v>0</v>
      </c>
      <c r="O433">
        <v>0</v>
      </c>
      <c r="P433">
        <v>0</v>
      </c>
      <c r="Q433">
        <v>0</v>
      </c>
      <c r="R433">
        <v>0</v>
      </c>
      <c r="S433">
        <v>0</v>
      </c>
      <c r="T433">
        <v>0</v>
      </c>
      <c r="U433">
        <v>0</v>
      </c>
      <c r="V433">
        <v>0</v>
      </c>
      <c r="W433">
        <v>0</v>
      </c>
      <c r="X433">
        <v>0</v>
      </c>
      <c r="Y433">
        <v>0</v>
      </c>
      <c r="Z433">
        <v>0</v>
      </c>
      <c r="AA433">
        <v>0</v>
      </c>
      <c r="AB433">
        <v>0</v>
      </c>
      <c r="AC433">
        <v>0</v>
      </c>
      <c r="AD433">
        <v>0</v>
      </c>
      <c r="AE433">
        <v>0</v>
      </c>
      <c r="AF433">
        <v>0</v>
      </c>
      <c r="AG433">
        <v>0</v>
      </c>
      <c r="AH433">
        <v>0</v>
      </c>
      <c r="AI433">
        <v>0</v>
      </c>
      <c r="AJ433">
        <v>0</v>
      </c>
      <c r="AK433">
        <v>0</v>
      </c>
      <c r="AL433">
        <v>0</v>
      </c>
      <c r="AM433">
        <v>0</v>
      </c>
      <c r="AN433">
        <v>0</v>
      </c>
      <c r="AO433">
        <v>0</v>
      </c>
      <c r="AP433">
        <v>0</v>
      </c>
      <c r="AQ433">
        <v>0</v>
      </c>
      <c r="AR433">
        <v>0</v>
      </c>
      <c r="AS433">
        <v>0</v>
      </c>
      <c r="AT433">
        <v>0</v>
      </c>
      <c r="AU433">
        <v>0</v>
      </c>
      <c r="AV433">
        <v>0</v>
      </c>
      <c r="AW433">
        <v>0</v>
      </c>
      <c r="AX433">
        <v>0</v>
      </c>
    </row>
    <row r="434" spans="1:50">
      <c r="A434" t="s">
        <v>1677</v>
      </c>
      <c r="B434" s="189">
        <f t="shared" si="6"/>
        <v>0.24726119999999999</v>
      </c>
      <c r="C434">
        <v>0</v>
      </c>
      <c r="D434">
        <v>0.03</v>
      </c>
      <c r="E434">
        <v>3.99</v>
      </c>
      <c r="F434">
        <v>0</v>
      </c>
      <c r="G434">
        <v>1.5E-3</v>
      </c>
      <c r="H434">
        <v>3.7299999999999998E-3</v>
      </c>
      <c r="I434">
        <v>8.8900000000000003E-4</v>
      </c>
      <c r="J434">
        <v>0.14599999999999999</v>
      </c>
      <c r="K434">
        <v>0.01</v>
      </c>
      <c r="L434">
        <v>32</v>
      </c>
      <c r="M434">
        <v>6.6699999999999997E-3</v>
      </c>
      <c r="N434">
        <v>0</v>
      </c>
      <c r="O434">
        <v>0</v>
      </c>
      <c r="P434">
        <v>0</v>
      </c>
      <c r="Q434">
        <v>0</v>
      </c>
      <c r="R434">
        <v>0</v>
      </c>
      <c r="S434">
        <v>0</v>
      </c>
      <c r="T434">
        <v>0</v>
      </c>
      <c r="U434">
        <v>0</v>
      </c>
      <c r="V434">
        <v>0</v>
      </c>
      <c r="W434">
        <v>0</v>
      </c>
      <c r="X434">
        <v>0</v>
      </c>
      <c r="Y434">
        <v>0</v>
      </c>
      <c r="Z434">
        <v>0</v>
      </c>
      <c r="AA434">
        <v>0</v>
      </c>
      <c r="AB434">
        <v>0</v>
      </c>
      <c r="AC434">
        <v>0</v>
      </c>
      <c r="AD434">
        <v>0</v>
      </c>
      <c r="AE434">
        <v>0</v>
      </c>
      <c r="AF434">
        <v>0</v>
      </c>
      <c r="AG434">
        <v>0</v>
      </c>
      <c r="AH434">
        <v>0</v>
      </c>
      <c r="AI434">
        <v>0</v>
      </c>
      <c r="AJ434">
        <v>0</v>
      </c>
      <c r="AK434">
        <v>0</v>
      </c>
      <c r="AL434">
        <v>0</v>
      </c>
      <c r="AM434">
        <v>0</v>
      </c>
      <c r="AN434">
        <v>0</v>
      </c>
      <c r="AO434">
        <v>0</v>
      </c>
      <c r="AP434">
        <v>0</v>
      </c>
      <c r="AQ434">
        <v>0</v>
      </c>
      <c r="AR434">
        <v>0</v>
      </c>
      <c r="AS434">
        <v>0</v>
      </c>
      <c r="AT434">
        <v>0</v>
      </c>
      <c r="AU434">
        <v>0</v>
      </c>
      <c r="AV434">
        <v>0</v>
      </c>
      <c r="AW434">
        <v>0</v>
      </c>
      <c r="AX434">
        <v>0</v>
      </c>
    </row>
    <row r="435" spans="1:50">
      <c r="A435" t="s">
        <v>1678</v>
      </c>
      <c r="B435" s="189">
        <f t="shared" si="6"/>
        <v>0.37472080000000002</v>
      </c>
      <c r="C435">
        <v>0</v>
      </c>
      <c r="D435">
        <v>5.6299999999999996E-3</v>
      </c>
      <c r="E435">
        <v>0.98</v>
      </c>
      <c r="F435">
        <v>0</v>
      </c>
      <c r="G435">
        <v>1.9E-3</v>
      </c>
      <c r="H435">
        <v>3.3000000000000002E-2</v>
      </c>
      <c r="I435">
        <v>8.6700000000000006E-3</v>
      </c>
      <c r="J435">
        <v>0.73299999999999998</v>
      </c>
      <c r="K435">
        <v>0.3</v>
      </c>
      <c r="L435">
        <v>281</v>
      </c>
      <c r="M435">
        <v>0.13200000000000001</v>
      </c>
      <c r="N435">
        <v>0</v>
      </c>
      <c r="O435">
        <v>0</v>
      </c>
      <c r="P435">
        <v>0</v>
      </c>
      <c r="Q435">
        <v>0</v>
      </c>
      <c r="R435">
        <v>0</v>
      </c>
      <c r="S435">
        <v>0</v>
      </c>
      <c r="T435">
        <v>0</v>
      </c>
      <c r="U435">
        <v>0</v>
      </c>
      <c r="V435">
        <v>0</v>
      </c>
      <c r="W435">
        <v>0</v>
      </c>
      <c r="X435">
        <v>0</v>
      </c>
      <c r="Y435">
        <v>0</v>
      </c>
      <c r="Z435">
        <v>0</v>
      </c>
      <c r="AA435">
        <v>0</v>
      </c>
      <c r="AB435">
        <v>0</v>
      </c>
      <c r="AC435">
        <v>0</v>
      </c>
      <c r="AD435">
        <v>0</v>
      </c>
      <c r="AE435">
        <v>0</v>
      </c>
      <c r="AF435">
        <v>0</v>
      </c>
      <c r="AG435">
        <v>0</v>
      </c>
      <c r="AH435">
        <v>0</v>
      </c>
      <c r="AI435">
        <v>0</v>
      </c>
      <c r="AJ435">
        <v>0</v>
      </c>
      <c r="AK435">
        <v>0</v>
      </c>
      <c r="AL435">
        <v>0</v>
      </c>
      <c r="AM435">
        <v>0</v>
      </c>
      <c r="AN435">
        <v>0</v>
      </c>
      <c r="AO435">
        <v>0</v>
      </c>
      <c r="AP435">
        <v>0</v>
      </c>
      <c r="AQ435">
        <v>0</v>
      </c>
      <c r="AR435">
        <v>0</v>
      </c>
      <c r="AS435">
        <v>0</v>
      </c>
      <c r="AT435">
        <v>0</v>
      </c>
      <c r="AU435">
        <v>0</v>
      </c>
      <c r="AV435">
        <v>0</v>
      </c>
      <c r="AW435">
        <v>0</v>
      </c>
      <c r="AX435">
        <v>0</v>
      </c>
    </row>
    <row r="436" spans="1:50">
      <c r="A436" t="s">
        <v>1679</v>
      </c>
      <c r="B436" s="189">
        <f t="shared" si="6"/>
        <v>1.1653146958258519E-2</v>
      </c>
      <c r="C436" s="163">
        <v>2.0089947E-8</v>
      </c>
      <c r="D436">
        <v>5.1832799999999997E-4</v>
      </c>
      <c r="E436">
        <v>6.2014609999999998E-2</v>
      </c>
      <c r="F436" s="163">
        <v>6.4498908999999998E-9</v>
      </c>
      <c r="G436">
        <v>3.7799505E-3</v>
      </c>
      <c r="H436" s="163">
        <v>7.6587726000000003E-5</v>
      </c>
      <c r="I436" s="163">
        <v>1.4768189E-5</v>
      </c>
      <c r="J436">
        <v>4.7541481999999998E-3</v>
      </c>
      <c r="K436" s="163">
        <v>7.9517398E-5</v>
      </c>
      <c r="L436">
        <v>0.33520345000000001</v>
      </c>
      <c r="M436">
        <v>1.0570762E-4</v>
      </c>
      <c r="N436">
        <v>8.9640584999999995E-2</v>
      </c>
      <c r="O436">
        <v>8.9283476000000001E-2</v>
      </c>
      <c r="P436">
        <v>3.4803284000000002E-4</v>
      </c>
      <c r="Q436" s="163">
        <v>9.0761192999999995E-6</v>
      </c>
      <c r="R436" s="163">
        <v>7.1485127000000002E-9</v>
      </c>
      <c r="S436">
        <v>1.0409279999999999E-4</v>
      </c>
      <c r="T436" s="163">
        <v>1.5254662E-6</v>
      </c>
      <c r="U436" s="163">
        <v>2.0202156000000001E-5</v>
      </c>
      <c r="V436">
        <v>3.2582979000000001E-4</v>
      </c>
      <c r="W436">
        <v>2.9419526000000001E-3</v>
      </c>
      <c r="X436" s="163">
        <v>2.0090547999999999E-8</v>
      </c>
      <c r="Y436">
        <v>0.95822890999999999</v>
      </c>
      <c r="Z436">
        <v>1.3358036E-2</v>
      </c>
      <c r="AA436" s="163">
        <v>4.3298273999999999E-10</v>
      </c>
      <c r="AB436">
        <v>9.5791593000000002E-4</v>
      </c>
      <c r="AC436">
        <v>0.28139707000000003</v>
      </c>
      <c r="AD436" s="163">
        <v>2.9951816000000001E-9</v>
      </c>
      <c r="AE436" s="163">
        <v>5.9841369E-10</v>
      </c>
      <c r="AF436">
        <v>7.5694884000000004E-2</v>
      </c>
      <c r="AG436">
        <v>0</v>
      </c>
      <c r="AH436">
        <v>0</v>
      </c>
      <c r="AI436">
        <v>3.0628913000000001E-2</v>
      </c>
      <c r="AJ436">
        <v>0</v>
      </c>
      <c r="AK436">
        <v>0</v>
      </c>
      <c r="AL436">
        <v>1.0524742</v>
      </c>
      <c r="AM436">
        <v>0</v>
      </c>
      <c r="AN436">
        <v>0</v>
      </c>
      <c r="AO436">
        <v>0</v>
      </c>
      <c r="AP436">
        <v>4.7210178000000003E-4</v>
      </c>
      <c r="AQ436" s="163">
        <v>1.6246622999999999E-6</v>
      </c>
      <c r="AR436">
        <v>9.769737599999999E-4</v>
      </c>
      <c r="AS436" s="163">
        <v>1.1271679E-6</v>
      </c>
      <c r="AT436">
        <v>0</v>
      </c>
      <c r="AU436">
        <v>0</v>
      </c>
      <c r="AV436">
        <v>0</v>
      </c>
      <c r="AW436">
        <v>0</v>
      </c>
      <c r="AX436">
        <v>0</v>
      </c>
    </row>
    <row r="437" spans="1:50">
      <c r="A437" s="147" t="s">
        <v>828</v>
      </c>
      <c r="B437" s="189">
        <f t="shared" si="6"/>
        <v>0</v>
      </c>
      <c r="C437" s="163"/>
      <c r="F437" s="163"/>
      <c r="H437" s="163"/>
      <c r="I437" s="163"/>
      <c r="K437" s="163"/>
      <c r="Q437" s="163"/>
      <c r="R437" s="163"/>
      <c r="T437" s="163"/>
      <c r="U437" s="163"/>
      <c r="X437" s="163"/>
      <c r="AA437" s="163"/>
      <c r="AD437" s="163"/>
      <c r="AE437" s="163"/>
      <c r="AQ437" s="163"/>
      <c r="AS437" s="163"/>
    </row>
    <row r="438" spans="1:50">
      <c r="A438" t="s">
        <v>786</v>
      </c>
      <c r="B438" s="189">
        <f t="shared" si="6"/>
        <v>1.5561063555256001E-2</v>
      </c>
      <c r="C438" s="163">
        <v>3.7174134999999999E-7</v>
      </c>
      <c r="D438">
        <v>9.7725799999999995E-4</v>
      </c>
      <c r="E438">
        <v>0.13058052000000001</v>
      </c>
      <c r="F438" s="163">
        <v>2.4384288000000001E-8</v>
      </c>
      <c r="G438" s="163">
        <v>7.7468161000000005E-5</v>
      </c>
      <c r="H438">
        <v>5.6573443000000005E-4</v>
      </c>
      <c r="I438">
        <v>1.140981E-4</v>
      </c>
      <c r="J438">
        <v>5.3532431999999998E-2</v>
      </c>
      <c r="K438">
        <v>1.5552369000000001E-3</v>
      </c>
      <c r="L438">
        <v>5.5447635999999996</v>
      </c>
      <c r="M438">
        <v>1.8459965E-4</v>
      </c>
      <c r="N438">
        <v>0.13176552</v>
      </c>
      <c r="O438">
        <v>0.13168814000000001</v>
      </c>
      <c r="P438" s="163">
        <v>3.8225159000000002E-5</v>
      </c>
      <c r="Q438" s="163">
        <v>3.9149544999999998E-5</v>
      </c>
      <c r="R438" s="163">
        <v>3.063034E-8</v>
      </c>
      <c r="S438">
        <v>7.5279546999999997E-4</v>
      </c>
      <c r="T438" s="163">
        <v>1.9771501000000001E-6</v>
      </c>
      <c r="U438">
        <v>2.6407588999999998E-4</v>
      </c>
      <c r="V438">
        <v>2.9234498000000001E-3</v>
      </c>
      <c r="W438">
        <v>8.3115566000000005E-4</v>
      </c>
      <c r="X438" s="163">
        <v>3.7173985999999999E-7</v>
      </c>
      <c r="Y438">
        <v>2.0422796000000001</v>
      </c>
      <c r="Z438">
        <v>1.4530296E-2</v>
      </c>
      <c r="AA438" s="163">
        <v>1.1921932999999999E-8</v>
      </c>
      <c r="AB438">
        <v>8.6820817000000002E-3</v>
      </c>
      <c r="AC438">
        <v>1.4655087</v>
      </c>
      <c r="AD438" s="163">
        <v>5.5562106000000001E-11</v>
      </c>
      <c r="AE438" s="163">
        <v>1.8648070000000002E-9</v>
      </c>
      <c r="AF438">
        <v>1.7012579000000001</v>
      </c>
      <c r="AG438">
        <v>0</v>
      </c>
      <c r="AH438">
        <v>0</v>
      </c>
      <c r="AI438">
        <v>2.1371523E-2</v>
      </c>
      <c r="AJ438">
        <v>0</v>
      </c>
      <c r="AK438">
        <v>0</v>
      </c>
      <c r="AL438">
        <v>2.1685805</v>
      </c>
      <c r="AM438">
        <v>0</v>
      </c>
      <c r="AN438">
        <v>0</v>
      </c>
      <c r="AO438">
        <v>0</v>
      </c>
      <c r="AP438">
        <v>3.8514073999999999E-4</v>
      </c>
      <c r="AQ438" s="163">
        <v>1.2970777E-6</v>
      </c>
      <c r="AR438">
        <v>0.12420676</v>
      </c>
      <c r="AS438" s="163">
        <v>1.3730026E-5</v>
      </c>
      <c r="AT438">
        <v>0</v>
      </c>
      <c r="AU438">
        <v>0</v>
      </c>
      <c r="AV438">
        <v>0</v>
      </c>
      <c r="AW438">
        <v>0</v>
      </c>
      <c r="AX438">
        <v>0</v>
      </c>
    </row>
    <row r="439" spans="1:50">
      <c r="A439" t="s">
        <v>1680</v>
      </c>
      <c r="B439" s="189">
        <f t="shared" si="6"/>
        <v>6.2704750545043205E-3</v>
      </c>
      <c r="C439" s="163">
        <v>7.9017776999999998E-8</v>
      </c>
      <c r="D439">
        <v>3.2567004000000002E-4</v>
      </c>
      <c r="E439">
        <v>4.7135199000000003E-2</v>
      </c>
      <c r="F439" s="163">
        <v>5.9275120000000002E-9</v>
      </c>
      <c r="G439" s="163">
        <v>3.2877879999999998E-5</v>
      </c>
      <c r="H439">
        <v>3.2158430000000002E-4</v>
      </c>
      <c r="I439" s="163">
        <v>6.3040276999999997E-5</v>
      </c>
      <c r="J439">
        <v>2.0145440000000001E-2</v>
      </c>
      <c r="K439">
        <v>2.8919162999999998E-4</v>
      </c>
      <c r="L439">
        <v>1.1377691000000001</v>
      </c>
      <c r="M439">
        <v>1.069953E-4</v>
      </c>
      <c r="N439">
        <v>4.8065455E-2</v>
      </c>
      <c r="O439">
        <v>4.7777840000000002E-2</v>
      </c>
      <c r="P439">
        <v>2.3391349E-4</v>
      </c>
      <c r="Q439" s="163">
        <v>5.3700871E-5</v>
      </c>
      <c r="R439" s="163">
        <v>6.6404195E-9</v>
      </c>
      <c r="S439">
        <v>4.3286091000000002E-4</v>
      </c>
      <c r="T439" s="163">
        <v>3.0179185000000001E-6</v>
      </c>
      <c r="U439">
        <v>1.4051156E-4</v>
      </c>
      <c r="V439">
        <v>1.6551815999999999E-3</v>
      </c>
      <c r="W439">
        <v>4.2216096E-4</v>
      </c>
      <c r="X439" s="163">
        <v>7.9017765999999998E-8</v>
      </c>
      <c r="Y439">
        <v>0.71799928999999996</v>
      </c>
      <c r="Z439">
        <v>9.4184995999999997E-3</v>
      </c>
      <c r="AA439" s="163">
        <v>3.6427537E-9</v>
      </c>
      <c r="AB439">
        <v>4.0060842999999997E-3</v>
      </c>
      <c r="AC439">
        <v>0.67237137000000002</v>
      </c>
      <c r="AD439" s="163">
        <v>4.4666761999999998E-11</v>
      </c>
      <c r="AE439" s="163">
        <v>8.0074018999999999E-10</v>
      </c>
      <c r="AF439">
        <v>0.46196996000000001</v>
      </c>
      <c r="AG439">
        <v>0</v>
      </c>
      <c r="AH439">
        <v>0</v>
      </c>
      <c r="AI439">
        <v>5.7990519999999997E-2</v>
      </c>
      <c r="AJ439">
        <v>0</v>
      </c>
      <c r="AK439">
        <v>0</v>
      </c>
      <c r="AL439">
        <v>0.75844193999999998</v>
      </c>
      <c r="AM439">
        <v>0</v>
      </c>
      <c r="AN439">
        <v>0</v>
      </c>
      <c r="AO439">
        <v>0</v>
      </c>
      <c r="AP439">
        <v>3.6683864999999998E-4</v>
      </c>
      <c r="AQ439" s="163">
        <v>9.7603480999999991E-7</v>
      </c>
      <c r="AR439">
        <v>8.5745466999999995E-3</v>
      </c>
      <c r="AS439" s="163">
        <v>4.4764591999999996E-6</v>
      </c>
      <c r="AT439">
        <v>0</v>
      </c>
      <c r="AU439">
        <v>0</v>
      </c>
      <c r="AV439">
        <v>0</v>
      </c>
      <c r="AW439">
        <v>0</v>
      </c>
      <c r="AX439">
        <v>0</v>
      </c>
    </row>
    <row r="440" spans="1:50">
      <c r="A440" t="s">
        <v>1681</v>
      </c>
      <c r="B440" s="189">
        <f t="shared" si="6"/>
        <v>5.5791669478233606E-3</v>
      </c>
      <c r="C440" s="163">
        <v>2.6206721000000001E-8</v>
      </c>
      <c r="D440">
        <v>2.9952226999999999E-4</v>
      </c>
      <c r="E440">
        <v>4.6697679999999998E-2</v>
      </c>
      <c r="F440" s="163">
        <v>7.0916356000000004E-9</v>
      </c>
      <c r="G440" s="163">
        <v>2.7675744E-5</v>
      </c>
      <c r="H440">
        <v>3.4252567999999998E-4</v>
      </c>
      <c r="I440" s="163">
        <v>7.6532703999999998E-5</v>
      </c>
      <c r="J440">
        <v>1.0965307000000001E-2</v>
      </c>
      <c r="K440">
        <v>2.77154E-4</v>
      </c>
      <c r="L440">
        <v>0.83454793000000005</v>
      </c>
      <c r="M440" s="163">
        <v>5.4114258000000003E-5</v>
      </c>
      <c r="N440">
        <v>4.7311025E-2</v>
      </c>
      <c r="O440">
        <v>4.7108591999999998E-2</v>
      </c>
      <c r="P440">
        <v>1.1748276E-4</v>
      </c>
      <c r="Q440" s="163">
        <v>8.4950259999999996E-5</v>
      </c>
      <c r="R440" s="163">
        <v>8.7929641999999999E-9</v>
      </c>
      <c r="S440">
        <v>4.7676670000000002E-4</v>
      </c>
      <c r="T440" s="163">
        <v>8.8066832999999999E-7</v>
      </c>
      <c r="U440">
        <v>2.0032857E-4</v>
      </c>
      <c r="V440">
        <v>2.2207116E-3</v>
      </c>
      <c r="W440">
        <v>5.6850184000000002E-4</v>
      </c>
      <c r="X440" s="163">
        <v>2.6193653999999998E-8</v>
      </c>
      <c r="Y440">
        <v>0.62631042999999997</v>
      </c>
      <c r="Z440">
        <v>5.7630972000000001E-3</v>
      </c>
      <c r="AA440" s="163">
        <v>1.0616911E-9</v>
      </c>
      <c r="AB440">
        <v>2.7917082E-3</v>
      </c>
      <c r="AC440">
        <v>0.46426824</v>
      </c>
      <c r="AD440" s="163">
        <v>2.0887098E-11</v>
      </c>
      <c r="AE440" s="163">
        <v>3.4290706999999998E-10</v>
      </c>
      <c r="AF440">
        <v>0.43929434000000001</v>
      </c>
      <c r="AG440">
        <v>0</v>
      </c>
      <c r="AH440">
        <v>0</v>
      </c>
      <c r="AI440">
        <v>1.3939073999999999E-2</v>
      </c>
      <c r="AJ440">
        <v>0</v>
      </c>
      <c r="AK440">
        <v>0</v>
      </c>
      <c r="AL440">
        <v>0.66460854999999996</v>
      </c>
      <c r="AM440">
        <v>0</v>
      </c>
      <c r="AN440">
        <v>0</v>
      </c>
      <c r="AO440">
        <v>0</v>
      </c>
      <c r="AP440">
        <v>1.8130843E-4</v>
      </c>
      <c r="AQ440" s="163">
        <v>4.8297956999999998E-7</v>
      </c>
      <c r="AR440">
        <v>1.8027975E-3</v>
      </c>
      <c r="AS440" s="163">
        <v>4.1367382000000002E-6</v>
      </c>
      <c r="AT440">
        <v>0</v>
      </c>
      <c r="AU440">
        <v>0</v>
      </c>
      <c r="AV440">
        <v>0</v>
      </c>
      <c r="AW440">
        <v>0</v>
      </c>
      <c r="AX440">
        <v>0</v>
      </c>
    </row>
    <row r="441" spans="1:50">
      <c r="A441" t="s">
        <v>1682</v>
      </c>
      <c r="B441" s="189">
        <f t="shared" si="6"/>
        <v>2.2603289539332239E-3</v>
      </c>
      <c r="C441" s="163">
        <v>2.5095139E-9</v>
      </c>
      <c r="D441" s="163">
        <v>7.7990184E-5</v>
      </c>
      <c r="E441">
        <v>1.127906E-2</v>
      </c>
      <c r="F441" s="163">
        <v>1.8000357E-9</v>
      </c>
      <c r="G441" s="163">
        <v>1.2281933E-5</v>
      </c>
      <c r="H441">
        <v>2.3698736E-4</v>
      </c>
      <c r="I441" s="163">
        <v>2.1345757000000001E-5</v>
      </c>
      <c r="J441">
        <v>5.2379567999999996E-3</v>
      </c>
      <c r="K441" s="163">
        <v>9.1719151999999996E-5</v>
      </c>
      <c r="L441">
        <v>0.44062722999999998</v>
      </c>
      <c r="M441" s="163">
        <v>1.6459889000000001E-5</v>
      </c>
      <c r="N441">
        <v>1.1403730000000001E-2</v>
      </c>
      <c r="O441">
        <v>1.1386220000000001E-2</v>
      </c>
      <c r="P441" s="163">
        <v>1.1488604E-5</v>
      </c>
      <c r="Q441" s="163">
        <v>6.0212601E-6</v>
      </c>
      <c r="R441" s="163">
        <v>2.2332724E-9</v>
      </c>
      <c r="S441">
        <v>2.8869736E-4</v>
      </c>
      <c r="T441" s="163">
        <v>1.9104787999999999E-7</v>
      </c>
      <c r="U441" s="163">
        <v>5.6576300999999998E-5</v>
      </c>
      <c r="V441">
        <v>6.3711531000000001E-4</v>
      </c>
      <c r="W441">
        <v>1.6776287E-4</v>
      </c>
      <c r="X441" s="163">
        <v>2.5092142E-9</v>
      </c>
      <c r="Y441">
        <v>0.16267055</v>
      </c>
      <c r="Z441">
        <v>1.0560756000000001E-3</v>
      </c>
      <c r="AA441" s="163">
        <v>3.4315990999999999E-10</v>
      </c>
      <c r="AB441">
        <v>7.3134318999999997E-4</v>
      </c>
      <c r="AC441">
        <v>0.10962263999999999</v>
      </c>
      <c r="AD441" s="163">
        <v>3.6460766000000002E-12</v>
      </c>
      <c r="AE441" s="163">
        <v>8.1840583000000006E-11</v>
      </c>
      <c r="AF441">
        <v>2.5387724E-2</v>
      </c>
      <c r="AG441">
        <v>0</v>
      </c>
      <c r="AH441">
        <v>0</v>
      </c>
      <c r="AI441">
        <v>3.7321432999999999E-3</v>
      </c>
      <c r="AJ441">
        <v>0</v>
      </c>
      <c r="AK441">
        <v>0</v>
      </c>
      <c r="AL441">
        <v>0.17262786999999999</v>
      </c>
      <c r="AM441">
        <v>0</v>
      </c>
      <c r="AN441">
        <v>0</v>
      </c>
      <c r="AO441">
        <v>0</v>
      </c>
      <c r="AP441" s="163">
        <v>3.3308900000000002E-5</v>
      </c>
      <c r="AQ441" s="163">
        <v>9.5968610999999996E-8</v>
      </c>
      <c r="AR441">
        <v>2.5571961000000001E-4</v>
      </c>
      <c r="AS441" s="163">
        <v>1.0616999E-6</v>
      </c>
      <c r="AT441">
        <v>0</v>
      </c>
      <c r="AU441">
        <v>0</v>
      </c>
      <c r="AV441">
        <v>0</v>
      </c>
      <c r="AW441">
        <v>0</v>
      </c>
      <c r="AX441">
        <v>0</v>
      </c>
    </row>
    <row r="442" spans="1:50">
      <c r="A442" t="s">
        <v>1683</v>
      </c>
      <c r="B442" s="189">
        <f t="shared" si="6"/>
        <v>1.0881934921351999E-2</v>
      </c>
      <c r="C442" s="163">
        <v>1.6826795000000001E-7</v>
      </c>
      <c r="D442">
        <v>6.8374319E-4</v>
      </c>
      <c r="E442">
        <v>8.9084038000000004E-2</v>
      </c>
      <c r="F442" s="163">
        <v>1.7241375999999999E-8</v>
      </c>
      <c r="G442" s="163">
        <v>5.5759822000000001E-5</v>
      </c>
      <c r="H442">
        <v>3.4963798000000001E-4</v>
      </c>
      <c r="I442" s="163">
        <v>6.8541188000000001E-5</v>
      </c>
      <c r="J442">
        <v>4.1268489999999998E-2</v>
      </c>
      <c r="K442">
        <v>1.1083848000000001E-3</v>
      </c>
      <c r="L442">
        <v>4.3578947000000001</v>
      </c>
      <c r="M442">
        <v>1.2737628E-4</v>
      </c>
      <c r="N442">
        <v>8.9886858E-2</v>
      </c>
      <c r="O442">
        <v>8.9819353000000005E-2</v>
      </c>
      <c r="P442" s="163">
        <v>4.4743539000000003E-5</v>
      </c>
      <c r="Q442" s="163">
        <v>2.2761055000000002E-5</v>
      </c>
      <c r="R442" s="163">
        <v>2.1652003999999999E-8</v>
      </c>
      <c r="S442">
        <v>4.6051271999999999E-4</v>
      </c>
      <c r="T442" s="163">
        <v>1.1772104999999999E-6</v>
      </c>
      <c r="U442">
        <v>1.5272338999999999E-4</v>
      </c>
      <c r="V442">
        <v>1.6971154E-3</v>
      </c>
      <c r="W442">
        <v>5.0321790000000001E-4</v>
      </c>
      <c r="X442" s="163">
        <v>1.6826751E-7</v>
      </c>
      <c r="Y442">
        <v>1.4352185</v>
      </c>
      <c r="Z442">
        <v>1.0648240999999999E-2</v>
      </c>
      <c r="AA442" s="163">
        <v>8.3290903000000003E-9</v>
      </c>
      <c r="AB442">
        <v>6.1917068000000002E-3</v>
      </c>
      <c r="AC442">
        <v>1.0002589</v>
      </c>
      <c r="AD442" s="163">
        <v>2.6150742E-11</v>
      </c>
      <c r="AE442" s="163">
        <v>1.2374308E-9</v>
      </c>
      <c r="AF442">
        <v>1.6009898</v>
      </c>
      <c r="AG442">
        <v>0</v>
      </c>
      <c r="AH442">
        <v>0</v>
      </c>
      <c r="AI442">
        <v>1.5202686999999999E-2</v>
      </c>
      <c r="AJ442">
        <v>0</v>
      </c>
      <c r="AK442">
        <v>0</v>
      </c>
      <c r="AL442">
        <v>1.5238095</v>
      </c>
      <c r="AM442">
        <v>0</v>
      </c>
      <c r="AN442">
        <v>0</v>
      </c>
      <c r="AO442">
        <v>0</v>
      </c>
      <c r="AP442">
        <v>2.8600617999999998E-4</v>
      </c>
      <c r="AQ442" s="163">
        <v>8.3171559000000003E-7</v>
      </c>
      <c r="AR442">
        <v>0.12210636</v>
      </c>
      <c r="AS442" s="163">
        <v>9.7538686000000004E-6</v>
      </c>
      <c r="AT442">
        <v>0</v>
      </c>
      <c r="AU442">
        <v>0</v>
      </c>
      <c r="AV442">
        <v>0</v>
      </c>
      <c r="AW442">
        <v>0</v>
      </c>
      <c r="AX442">
        <v>0</v>
      </c>
    </row>
    <row r="443" spans="1:50">
      <c r="A443" t="s">
        <v>1683</v>
      </c>
      <c r="B443" s="189">
        <f t="shared" si="6"/>
        <v>1.0881934921351999E-2</v>
      </c>
      <c r="C443" s="163">
        <v>1.6826795000000001E-7</v>
      </c>
      <c r="D443">
        <v>6.8374319E-4</v>
      </c>
      <c r="E443">
        <v>8.9084038000000004E-2</v>
      </c>
      <c r="F443" s="163">
        <v>1.7241375999999999E-8</v>
      </c>
      <c r="G443" s="163">
        <v>5.5759822000000001E-5</v>
      </c>
      <c r="H443">
        <v>3.4963798000000001E-4</v>
      </c>
      <c r="I443" s="163">
        <v>6.8541188000000001E-5</v>
      </c>
      <c r="J443">
        <v>4.1268489999999998E-2</v>
      </c>
      <c r="K443">
        <v>1.1083848000000001E-3</v>
      </c>
      <c r="L443">
        <v>4.3578947000000001</v>
      </c>
      <c r="M443">
        <v>1.2737628E-4</v>
      </c>
      <c r="N443">
        <v>8.9886858E-2</v>
      </c>
      <c r="O443">
        <v>8.9819353000000005E-2</v>
      </c>
      <c r="P443" s="163">
        <v>4.4743539000000003E-5</v>
      </c>
      <c r="Q443" s="163">
        <v>2.2761055000000002E-5</v>
      </c>
      <c r="R443" s="163">
        <v>2.1652003999999999E-8</v>
      </c>
      <c r="S443">
        <v>4.6051271999999999E-4</v>
      </c>
      <c r="T443" s="163">
        <v>1.1772104999999999E-6</v>
      </c>
      <c r="U443">
        <v>1.5272338999999999E-4</v>
      </c>
      <c r="V443">
        <v>1.6971154E-3</v>
      </c>
      <c r="W443">
        <v>5.0321790000000001E-4</v>
      </c>
      <c r="X443" s="163">
        <v>1.6826751E-7</v>
      </c>
      <c r="Y443">
        <v>1.4352185</v>
      </c>
      <c r="Z443">
        <v>1.0648240999999999E-2</v>
      </c>
      <c r="AA443" s="163">
        <v>8.3290903000000003E-9</v>
      </c>
      <c r="AB443">
        <v>6.1917068000000002E-3</v>
      </c>
      <c r="AC443">
        <v>1.0002589</v>
      </c>
      <c r="AD443" s="163">
        <v>2.6150742E-11</v>
      </c>
      <c r="AE443" s="163">
        <v>1.2374308E-9</v>
      </c>
      <c r="AF443">
        <v>1.6009898</v>
      </c>
      <c r="AG443">
        <v>0</v>
      </c>
      <c r="AH443">
        <v>0</v>
      </c>
      <c r="AI443">
        <v>1.5202686999999999E-2</v>
      </c>
      <c r="AJ443">
        <v>0</v>
      </c>
      <c r="AK443">
        <v>0</v>
      </c>
      <c r="AL443">
        <v>1.5238095</v>
      </c>
      <c r="AM443">
        <v>0</v>
      </c>
      <c r="AN443">
        <v>0</v>
      </c>
      <c r="AO443">
        <v>0</v>
      </c>
      <c r="AP443">
        <v>2.8600617999999998E-4</v>
      </c>
      <c r="AQ443" s="163">
        <v>8.3171559000000003E-7</v>
      </c>
      <c r="AR443">
        <v>0.12210636</v>
      </c>
      <c r="AS443" s="163">
        <v>9.7538686000000004E-6</v>
      </c>
      <c r="AT443">
        <v>0</v>
      </c>
      <c r="AU443">
        <v>0</v>
      </c>
      <c r="AV443">
        <v>0</v>
      </c>
      <c r="AW443">
        <v>0</v>
      </c>
      <c r="AX443">
        <v>0</v>
      </c>
    </row>
    <row r="444" spans="1:50">
      <c r="A444" t="s">
        <v>1684</v>
      </c>
      <c r="B444" s="189">
        <f t="shared" si="6"/>
        <v>9.570531843654799E-3</v>
      </c>
      <c r="C444" s="163">
        <v>1.6372377999999999E-7</v>
      </c>
      <c r="D444">
        <v>6.4556387000000003E-4</v>
      </c>
      <c r="E444">
        <v>8.5300170999999994E-2</v>
      </c>
      <c r="F444" s="163">
        <v>1.6958515000000001E-8</v>
      </c>
      <c r="G444" s="163">
        <v>5.3835397000000001E-5</v>
      </c>
      <c r="H444">
        <v>3.1109786000000001E-4</v>
      </c>
      <c r="I444" s="163">
        <v>6.3360997000000004E-5</v>
      </c>
      <c r="J444">
        <v>3.0039867000000001E-2</v>
      </c>
      <c r="K444">
        <v>1.9372401E-3</v>
      </c>
      <c r="L444">
        <v>5.0699978000000003</v>
      </c>
      <c r="M444">
        <v>1.7803172000000001E-4</v>
      </c>
      <c r="N444">
        <v>0</v>
      </c>
      <c r="O444">
        <v>0</v>
      </c>
      <c r="P444">
        <v>0</v>
      </c>
      <c r="Q444">
        <v>0</v>
      </c>
      <c r="R444">
        <v>0</v>
      </c>
      <c r="S444">
        <v>0</v>
      </c>
      <c r="T444">
        <v>0</v>
      </c>
      <c r="U444">
        <v>0</v>
      </c>
      <c r="V444">
        <v>0</v>
      </c>
      <c r="W444">
        <v>0</v>
      </c>
      <c r="X444">
        <v>0</v>
      </c>
      <c r="Y444">
        <v>0</v>
      </c>
      <c r="Z444">
        <v>0</v>
      </c>
      <c r="AA444">
        <v>0</v>
      </c>
      <c r="AB444">
        <v>0</v>
      </c>
      <c r="AC444">
        <v>0</v>
      </c>
      <c r="AD444">
        <v>0</v>
      </c>
      <c r="AE444">
        <v>0</v>
      </c>
      <c r="AF444">
        <v>0</v>
      </c>
      <c r="AG444">
        <v>0</v>
      </c>
      <c r="AH444">
        <v>0</v>
      </c>
      <c r="AI444">
        <v>2.306414E-2</v>
      </c>
      <c r="AJ444">
        <v>0</v>
      </c>
      <c r="AK444">
        <v>0</v>
      </c>
      <c r="AL444">
        <v>1.4747178000000001</v>
      </c>
      <c r="AM444">
        <v>0</v>
      </c>
      <c r="AN444">
        <v>0</v>
      </c>
      <c r="AO444">
        <v>0</v>
      </c>
      <c r="AP444">
        <v>2.9937888E-4</v>
      </c>
      <c r="AQ444" s="163">
        <v>1.0447165999999999E-5</v>
      </c>
      <c r="AR444">
        <v>0.12177706000000001</v>
      </c>
      <c r="AS444">
        <v>0</v>
      </c>
      <c r="AT444">
        <v>0</v>
      </c>
      <c r="AU444">
        <v>0</v>
      </c>
      <c r="AV444">
        <v>0</v>
      </c>
      <c r="AW444">
        <v>0</v>
      </c>
      <c r="AX444">
        <v>0</v>
      </c>
    </row>
    <row r="445" spans="1:50">
      <c r="A445" t="s">
        <v>1685</v>
      </c>
      <c r="B445" s="189">
        <f t="shared" si="6"/>
        <v>8.6972224437760013E-3</v>
      </c>
      <c r="C445" s="163">
        <v>2.0580955E-7</v>
      </c>
      <c r="D445">
        <v>2.8864768E-4</v>
      </c>
      <c r="E445">
        <v>3.8487441999999997E-2</v>
      </c>
      <c r="F445" s="163">
        <v>6.0631816000000002E-9</v>
      </c>
      <c r="G445" s="163">
        <v>5.2732806999999997E-5</v>
      </c>
      <c r="H445">
        <v>3.7579273000000002E-4</v>
      </c>
      <c r="I445">
        <v>1.4614608E-4</v>
      </c>
      <c r="J445">
        <v>2.8326627E-2</v>
      </c>
      <c r="K445">
        <v>1.4741120999999999E-2</v>
      </c>
      <c r="L445">
        <v>4.6234080000000004</v>
      </c>
      <c r="M445">
        <v>5.8088295999999999E-3</v>
      </c>
      <c r="N445">
        <v>0</v>
      </c>
      <c r="O445">
        <v>0</v>
      </c>
      <c r="P445">
        <v>0</v>
      </c>
      <c r="Q445">
        <v>0</v>
      </c>
      <c r="R445">
        <v>0</v>
      </c>
      <c r="S445">
        <v>0</v>
      </c>
      <c r="T445">
        <v>0</v>
      </c>
      <c r="U445">
        <v>0</v>
      </c>
      <c r="V445">
        <v>0</v>
      </c>
      <c r="W445">
        <v>0</v>
      </c>
      <c r="X445">
        <v>0</v>
      </c>
      <c r="Y445">
        <v>0</v>
      </c>
      <c r="Z445">
        <v>0</v>
      </c>
      <c r="AA445">
        <v>0</v>
      </c>
      <c r="AB445">
        <v>0</v>
      </c>
      <c r="AC445">
        <v>0</v>
      </c>
      <c r="AD445">
        <v>0</v>
      </c>
      <c r="AE445">
        <v>0</v>
      </c>
      <c r="AF445">
        <v>0</v>
      </c>
      <c r="AG445">
        <v>0</v>
      </c>
      <c r="AH445">
        <v>0</v>
      </c>
      <c r="AI445">
        <v>0.19651880999999999</v>
      </c>
      <c r="AJ445">
        <v>0</v>
      </c>
      <c r="AK445">
        <v>0</v>
      </c>
      <c r="AL445">
        <v>0.65246647000000002</v>
      </c>
      <c r="AM445">
        <v>0</v>
      </c>
      <c r="AN445">
        <v>0</v>
      </c>
      <c r="AO445">
        <v>0</v>
      </c>
      <c r="AP445">
        <v>1.6025995999999999E-3</v>
      </c>
      <c r="AQ445" s="163">
        <v>4.3346448999999998E-6</v>
      </c>
      <c r="AR445">
        <v>0.11849893</v>
      </c>
      <c r="AS445">
        <v>0</v>
      </c>
      <c r="AT445">
        <v>0</v>
      </c>
      <c r="AU445">
        <v>0</v>
      </c>
      <c r="AV445">
        <v>0</v>
      </c>
      <c r="AW445">
        <v>0</v>
      </c>
      <c r="AX445">
        <v>0</v>
      </c>
    </row>
    <row r="446" spans="1:50">
      <c r="A446" t="s">
        <v>1686</v>
      </c>
      <c r="B446" s="189">
        <f t="shared" si="6"/>
        <v>9.9376218954485979E-3</v>
      </c>
      <c r="C446" s="163">
        <v>2.6295830999999998E-7</v>
      </c>
      <c r="D446">
        <v>8.7118497000000003E-4</v>
      </c>
      <c r="E446">
        <v>9.8751410999999997E-2</v>
      </c>
      <c r="F446" s="163">
        <v>4.6151373000000002E-9</v>
      </c>
      <c r="G446" s="163">
        <v>4.8039842000000002E-5</v>
      </c>
      <c r="H446">
        <v>2.5925241000000001E-4</v>
      </c>
      <c r="I446" s="163">
        <v>5.7025024999999999E-5</v>
      </c>
      <c r="J446">
        <v>2.9898139000000001E-2</v>
      </c>
      <c r="K446">
        <v>1.7994833E-3</v>
      </c>
      <c r="L446">
        <v>4.5787960999999999</v>
      </c>
      <c r="M446">
        <v>1.9116757999999999E-4</v>
      </c>
      <c r="N446">
        <v>0</v>
      </c>
      <c r="O446">
        <v>0</v>
      </c>
      <c r="P446">
        <v>0</v>
      </c>
      <c r="Q446">
        <v>0</v>
      </c>
      <c r="R446">
        <v>0</v>
      </c>
      <c r="S446">
        <v>0</v>
      </c>
      <c r="T446">
        <v>0</v>
      </c>
      <c r="U446">
        <v>0</v>
      </c>
      <c r="V446">
        <v>0</v>
      </c>
      <c r="W446">
        <v>0</v>
      </c>
      <c r="X446">
        <v>0</v>
      </c>
      <c r="Y446">
        <v>0</v>
      </c>
      <c r="Z446">
        <v>0</v>
      </c>
      <c r="AA446">
        <v>0</v>
      </c>
      <c r="AB446">
        <v>0</v>
      </c>
      <c r="AC446">
        <v>0</v>
      </c>
      <c r="AD446">
        <v>0</v>
      </c>
      <c r="AE446">
        <v>0</v>
      </c>
      <c r="AF446">
        <v>0</v>
      </c>
      <c r="AG446">
        <v>0</v>
      </c>
      <c r="AH446">
        <v>0</v>
      </c>
      <c r="AI446">
        <v>2.6280746000000001E-2</v>
      </c>
      <c r="AJ446">
        <v>0</v>
      </c>
      <c r="AK446">
        <v>0</v>
      </c>
      <c r="AL446">
        <v>1.9050187999999999</v>
      </c>
      <c r="AM446">
        <v>0</v>
      </c>
      <c r="AN446">
        <v>0</v>
      </c>
      <c r="AO446">
        <v>0</v>
      </c>
      <c r="AP446">
        <v>2.6988564999999999E-4</v>
      </c>
      <c r="AQ446" s="163">
        <v>4.7164403000000004E-6</v>
      </c>
      <c r="AR446">
        <v>0.13044144999999999</v>
      </c>
      <c r="AS446">
        <v>0</v>
      </c>
      <c r="AT446">
        <v>0</v>
      </c>
      <c r="AU446">
        <v>0</v>
      </c>
      <c r="AV446">
        <v>0</v>
      </c>
      <c r="AW446">
        <v>0</v>
      </c>
      <c r="AX446">
        <v>0</v>
      </c>
    </row>
    <row r="447" spans="1:50">
      <c r="A447" t="s">
        <v>1687</v>
      </c>
      <c r="B447" s="189">
        <f t="shared" si="6"/>
        <v>8.1429332141587998E-3</v>
      </c>
      <c r="C447" s="163">
        <v>1.8756228000000001E-7</v>
      </c>
      <c r="D447">
        <v>2.4429161E-4</v>
      </c>
      <c r="E447">
        <v>4.0595556999999997E-2</v>
      </c>
      <c r="F447" s="163">
        <v>5.4322198E-9</v>
      </c>
      <c r="G447" s="163">
        <v>5.4208444999999997E-5</v>
      </c>
      <c r="H447">
        <v>2.7608341999999999E-4</v>
      </c>
      <c r="I447" s="163">
        <v>9.3144390000000001E-5</v>
      </c>
      <c r="J447">
        <v>3.0582972E-2</v>
      </c>
      <c r="K447">
        <v>1.4587809E-2</v>
      </c>
      <c r="L447">
        <v>4.8294813999999997</v>
      </c>
      <c r="M447">
        <v>5.8295960000000003E-3</v>
      </c>
      <c r="N447">
        <v>0</v>
      </c>
      <c r="O447">
        <v>0</v>
      </c>
      <c r="P447">
        <v>0</v>
      </c>
      <c r="Q447">
        <v>0</v>
      </c>
      <c r="R447">
        <v>0</v>
      </c>
      <c r="S447">
        <v>0</v>
      </c>
      <c r="T447">
        <v>0</v>
      </c>
      <c r="U447">
        <v>0</v>
      </c>
      <c r="V447">
        <v>0</v>
      </c>
      <c r="W447">
        <v>0</v>
      </c>
      <c r="X447">
        <v>0</v>
      </c>
      <c r="Y447">
        <v>0</v>
      </c>
      <c r="Z447">
        <v>0</v>
      </c>
      <c r="AA447">
        <v>0</v>
      </c>
      <c r="AB447">
        <v>0</v>
      </c>
      <c r="AC447">
        <v>0</v>
      </c>
      <c r="AD447">
        <v>0</v>
      </c>
      <c r="AE447">
        <v>0</v>
      </c>
      <c r="AF447">
        <v>0</v>
      </c>
      <c r="AG447">
        <v>0</v>
      </c>
      <c r="AH447">
        <v>0</v>
      </c>
      <c r="AI447">
        <v>7.7688775000000002E-2</v>
      </c>
      <c r="AJ447">
        <v>0</v>
      </c>
      <c r="AK447">
        <v>0</v>
      </c>
      <c r="AL447">
        <v>0.56245235999999998</v>
      </c>
      <c r="AM447">
        <v>0</v>
      </c>
      <c r="AN447">
        <v>0</v>
      </c>
      <c r="AO447">
        <v>0</v>
      </c>
      <c r="AP447">
        <v>6.8960226999999999E-4</v>
      </c>
      <c r="AQ447" s="163">
        <v>3.7810967999999999E-6</v>
      </c>
      <c r="AR447">
        <v>0.13312119</v>
      </c>
      <c r="AS447">
        <v>0</v>
      </c>
      <c r="AT447">
        <v>0</v>
      </c>
      <c r="AU447">
        <v>0</v>
      </c>
      <c r="AV447">
        <v>0</v>
      </c>
      <c r="AW447">
        <v>0</v>
      </c>
      <c r="AX447">
        <v>0</v>
      </c>
    </row>
    <row r="448" spans="1:50">
      <c r="A448" t="s">
        <v>1688</v>
      </c>
      <c r="B448" s="189">
        <f t="shared" si="6"/>
        <v>8.9943034961396003E-3</v>
      </c>
      <c r="C448" s="163">
        <v>1.6702081E-7</v>
      </c>
      <c r="D448">
        <v>6.5232881E-4</v>
      </c>
      <c r="E448">
        <v>8.5962616000000006E-2</v>
      </c>
      <c r="F448" s="163">
        <v>1.7083966999999999E-8</v>
      </c>
      <c r="G448" s="163">
        <v>5.284384E-5</v>
      </c>
      <c r="H448">
        <v>2.1481002000000001E-4</v>
      </c>
      <c r="I448" s="163">
        <v>3.7861546999999998E-5</v>
      </c>
      <c r="J448">
        <v>3.0083209E-2</v>
      </c>
      <c r="K448">
        <v>1.9381604000000001E-3</v>
      </c>
      <c r="L448">
        <v>5.0921386000000002</v>
      </c>
      <c r="M448">
        <v>1.7886131999999999E-4</v>
      </c>
      <c r="N448">
        <v>0</v>
      </c>
      <c r="O448">
        <v>0</v>
      </c>
      <c r="P448">
        <v>0</v>
      </c>
      <c r="Q448">
        <v>0</v>
      </c>
      <c r="R448">
        <v>0</v>
      </c>
      <c r="S448">
        <v>0</v>
      </c>
      <c r="T448">
        <v>0</v>
      </c>
      <c r="U448">
        <v>0</v>
      </c>
      <c r="V448">
        <v>0</v>
      </c>
      <c r="W448">
        <v>0</v>
      </c>
      <c r="X448">
        <v>0</v>
      </c>
      <c r="Y448">
        <v>0</v>
      </c>
      <c r="Z448">
        <v>0</v>
      </c>
      <c r="AA448">
        <v>0</v>
      </c>
      <c r="AB448">
        <v>0</v>
      </c>
      <c r="AC448">
        <v>0</v>
      </c>
      <c r="AD448">
        <v>0</v>
      </c>
      <c r="AE448">
        <v>0</v>
      </c>
      <c r="AF448">
        <v>0</v>
      </c>
      <c r="AG448">
        <v>0</v>
      </c>
      <c r="AH448">
        <v>0</v>
      </c>
      <c r="AI448">
        <v>2.3331046000000001E-2</v>
      </c>
      <c r="AJ448">
        <v>0</v>
      </c>
      <c r="AK448">
        <v>0</v>
      </c>
      <c r="AL448">
        <v>1.4897218999999999</v>
      </c>
      <c r="AM448">
        <v>0</v>
      </c>
      <c r="AN448">
        <v>0</v>
      </c>
      <c r="AO448">
        <v>0</v>
      </c>
      <c r="AP448">
        <v>3.0090040000000002E-4</v>
      </c>
      <c r="AQ448" s="163">
        <v>1.0507747E-5</v>
      </c>
      <c r="AR448">
        <v>0.12178235</v>
      </c>
      <c r="AS448">
        <v>0</v>
      </c>
      <c r="AT448">
        <v>0</v>
      </c>
      <c r="AU448">
        <v>0</v>
      </c>
      <c r="AV448">
        <v>0</v>
      </c>
      <c r="AW448">
        <v>0</v>
      </c>
      <c r="AX448">
        <v>0</v>
      </c>
    </row>
    <row r="449" spans="1:50">
      <c r="A449" t="s">
        <v>1689</v>
      </c>
      <c r="B449" s="189">
        <f t="shared" si="6"/>
        <v>8.0372191365746005E-3</v>
      </c>
      <c r="C449" s="163">
        <v>2.0893146000000001E-7</v>
      </c>
      <c r="D449">
        <v>2.9463088E-4</v>
      </c>
      <c r="E449">
        <v>3.9057548999999997E-2</v>
      </c>
      <c r="F449" s="163">
        <v>6.1700246999999996E-9</v>
      </c>
      <c r="G449" s="163">
        <v>5.221402E-5</v>
      </c>
      <c r="H449">
        <v>2.6658265000000002E-4</v>
      </c>
      <c r="I449">
        <v>1.1738054E-4</v>
      </c>
      <c r="J449">
        <v>2.8376611E-2</v>
      </c>
      <c r="K449">
        <v>1.4754562000000001E-2</v>
      </c>
      <c r="L449">
        <v>4.6436380000000002</v>
      </c>
      <c r="M449">
        <v>5.8150511000000004E-3</v>
      </c>
      <c r="N449">
        <v>0</v>
      </c>
      <c r="O449">
        <v>0</v>
      </c>
      <c r="P449">
        <v>0</v>
      </c>
      <c r="Q449">
        <v>0</v>
      </c>
      <c r="R449">
        <v>0</v>
      </c>
      <c r="S449">
        <v>0</v>
      </c>
      <c r="T449">
        <v>0</v>
      </c>
      <c r="U449">
        <v>0</v>
      </c>
      <c r="V449">
        <v>0</v>
      </c>
      <c r="W449">
        <v>0</v>
      </c>
      <c r="X449">
        <v>0</v>
      </c>
      <c r="Y449">
        <v>0</v>
      </c>
      <c r="Z449">
        <v>0</v>
      </c>
      <c r="AA449">
        <v>0</v>
      </c>
      <c r="AB449">
        <v>0</v>
      </c>
      <c r="AC449">
        <v>0</v>
      </c>
      <c r="AD449">
        <v>0</v>
      </c>
      <c r="AE449">
        <v>0</v>
      </c>
      <c r="AF449">
        <v>0</v>
      </c>
      <c r="AG449">
        <v>0</v>
      </c>
      <c r="AH449">
        <v>0</v>
      </c>
      <c r="AI449">
        <v>0.19693630000000001</v>
      </c>
      <c r="AJ449">
        <v>0</v>
      </c>
      <c r="AK449">
        <v>0</v>
      </c>
      <c r="AL449">
        <v>0.66570890999999999</v>
      </c>
      <c r="AM449">
        <v>0</v>
      </c>
      <c r="AN449">
        <v>0</v>
      </c>
      <c r="AO449">
        <v>0</v>
      </c>
      <c r="AP449">
        <v>1.6052893999999999E-3</v>
      </c>
      <c r="AQ449" s="163">
        <v>4.385462E-6</v>
      </c>
      <c r="AR449">
        <v>0.11850985</v>
      </c>
      <c r="AS449">
        <v>0</v>
      </c>
      <c r="AT449">
        <v>0</v>
      </c>
      <c r="AU449">
        <v>0</v>
      </c>
      <c r="AV449">
        <v>0</v>
      </c>
      <c r="AW449">
        <v>0</v>
      </c>
      <c r="AX449">
        <v>0</v>
      </c>
    </row>
    <row r="450" spans="1:50">
      <c r="A450" t="s">
        <v>1690</v>
      </c>
      <c r="B450" s="189">
        <f t="shared" si="6"/>
        <v>9.4494136142600008E-3</v>
      </c>
      <c r="C450" s="163">
        <v>2.6668959999999999E-7</v>
      </c>
      <c r="D450">
        <v>8.7900057999999997E-4</v>
      </c>
      <c r="E450">
        <v>9.9512105000000003E-2</v>
      </c>
      <c r="F450" s="163">
        <v>4.7373507999999998E-9</v>
      </c>
      <c r="G450" s="163">
        <v>4.7461594999999999E-5</v>
      </c>
      <c r="H450">
        <v>1.7417619999999999E-4</v>
      </c>
      <c r="I450" s="163">
        <v>3.4413087999999998E-5</v>
      </c>
      <c r="J450">
        <v>3.0063348E-2</v>
      </c>
      <c r="K450">
        <v>1.8013294999999999E-3</v>
      </c>
      <c r="L450">
        <v>4.6036590000000004</v>
      </c>
      <c r="M450">
        <v>1.9217656E-4</v>
      </c>
      <c r="N450">
        <v>0</v>
      </c>
      <c r="O450">
        <v>0</v>
      </c>
      <c r="P450">
        <v>0</v>
      </c>
      <c r="Q450">
        <v>0</v>
      </c>
      <c r="R450">
        <v>0</v>
      </c>
      <c r="S450">
        <v>0</v>
      </c>
      <c r="T450">
        <v>0</v>
      </c>
      <c r="U450">
        <v>0</v>
      </c>
      <c r="V450">
        <v>0</v>
      </c>
      <c r="W450">
        <v>0</v>
      </c>
      <c r="X450">
        <v>0</v>
      </c>
      <c r="Y450">
        <v>0</v>
      </c>
      <c r="Z450">
        <v>0</v>
      </c>
      <c r="AA450">
        <v>0</v>
      </c>
      <c r="AB450">
        <v>0</v>
      </c>
      <c r="AC450">
        <v>0</v>
      </c>
      <c r="AD450">
        <v>0</v>
      </c>
      <c r="AE450">
        <v>0</v>
      </c>
      <c r="AF450">
        <v>0</v>
      </c>
      <c r="AG450">
        <v>0</v>
      </c>
      <c r="AH450">
        <v>0</v>
      </c>
      <c r="AI450">
        <v>2.6580808000000001E-2</v>
      </c>
      <c r="AJ450">
        <v>0</v>
      </c>
      <c r="AK450">
        <v>0</v>
      </c>
      <c r="AL450">
        <v>1.9222672999999999</v>
      </c>
      <c r="AM450">
        <v>0</v>
      </c>
      <c r="AN450">
        <v>0</v>
      </c>
      <c r="AO450">
        <v>0</v>
      </c>
      <c r="AP450">
        <v>2.7159984999999999E-4</v>
      </c>
      <c r="AQ450" s="163">
        <v>4.7767323000000002E-6</v>
      </c>
      <c r="AR450">
        <v>0.13051887000000001</v>
      </c>
      <c r="AS450">
        <v>0</v>
      </c>
      <c r="AT450">
        <v>0</v>
      </c>
      <c r="AU450">
        <v>0</v>
      </c>
      <c r="AV450">
        <v>0</v>
      </c>
      <c r="AW450">
        <v>0</v>
      </c>
      <c r="AX450">
        <v>0</v>
      </c>
    </row>
    <row r="451" spans="1:50">
      <c r="A451" t="s">
        <v>1691</v>
      </c>
      <c r="B451" s="189">
        <f t="shared" si="6"/>
        <v>7.6477170353273999E-3</v>
      </c>
      <c r="C451" s="163">
        <v>1.9106609000000001E-7</v>
      </c>
      <c r="D451">
        <v>2.5100664000000001E-4</v>
      </c>
      <c r="E451">
        <v>4.1240776E-2</v>
      </c>
      <c r="F451" s="163">
        <v>5.5522451000000002E-9</v>
      </c>
      <c r="G451" s="163">
        <v>5.3616957000000001E-5</v>
      </c>
      <c r="H451">
        <v>1.9094034000000001E-4</v>
      </c>
      <c r="I451" s="163">
        <v>7.0555154999999995E-5</v>
      </c>
      <c r="J451">
        <v>3.0732099999999998E-2</v>
      </c>
      <c r="K451">
        <v>1.4601594000000001E-2</v>
      </c>
      <c r="L451">
        <v>4.8522202999999999</v>
      </c>
      <c r="M451">
        <v>5.8361586000000003E-3</v>
      </c>
      <c r="N451">
        <v>0</v>
      </c>
      <c r="O451">
        <v>0</v>
      </c>
      <c r="P451">
        <v>0</v>
      </c>
      <c r="Q451">
        <v>0</v>
      </c>
      <c r="R451">
        <v>0</v>
      </c>
      <c r="S451">
        <v>0</v>
      </c>
      <c r="T451">
        <v>0</v>
      </c>
      <c r="U451">
        <v>0</v>
      </c>
      <c r="V451">
        <v>0</v>
      </c>
      <c r="W451">
        <v>0</v>
      </c>
      <c r="X451">
        <v>0</v>
      </c>
      <c r="Y451">
        <v>0</v>
      </c>
      <c r="Z451">
        <v>0</v>
      </c>
      <c r="AA451">
        <v>0</v>
      </c>
      <c r="AB451">
        <v>0</v>
      </c>
      <c r="AC451">
        <v>0</v>
      </c>
      <c r="AD451">
        <v>0</v>
      </c>
      <c r="AE451">
        <v>0</v>
      </c>
      <c r="AF451">
        <v>0</v>
      </c>
      <c r="AG451">
        <v>0</v>
      </c>
      <c r="AH451">
        <v>0</v>
      </c>
      <c r="AI451">
        <v>7.8025710999999998E-2</v>
      </c>
      <c r="AJ451">
        <v>0</v>
      </c>
      <c r="AK451">
        <v>0</v>
      </c>
      <c r="AL451">
        <v>0.57732152000000003</v>
      </c>
      <c r="AM451">
        <v>0</v>
      </c>
      <c r="AN451">
        <v>0</v>
      </c>
      <c r="AO451">
        <v>0</v>
      </c>
      <c r="AP451">
        <v>6.9159565000000004E-4</v>
      </c>
      <c r="AQ451" s="163">
        <v>3.8378014999999999E-6</v>
      </c>
      <c r="AR451">
        <v>0.13313775999999999</v>
      </c>
      <c r="AS451">
        <v>0</v>
      </c>
      <c r="AT451">
        <v>0</v>
      </c>
      <c r="AU451">
        <v>0</v>
      </c>
      <c r="AV451">
        <v>0</v>
      </c>
      <c r="AW451">
        <v>0</v>
      </c>
      <c r="AX451">
        <v>0</v>
      </c>
    </row>
    <row r="452" spans="1:50">
      <c r="A452" t="s">
        <v>1692</v>
      </c>
      <c r="B452" s="189">
        <f t="shared" si="6"/>
        <v>7.75743048728764E-3</v>
      </c>
      <c r="C452" s="163">
        <v>7.8161528999999994E-8</v>
      </c>
      <c r="D452">
        <v>3.8079918000000001E-4</v>
      </c>
      <c r="E452">
        <v>5.6224804000000003E-2</v>
      </c>
      <c r="F452" s="163">
        <v>8.5502841E-9</v>
      </c>
      <c r="G452" s="163">
        <v>5.0418262999999997E-5</v>
      </c>
      <c r="H452">
        <v>4.4279365999999999E-4</v>
      </c>
      <c r="I452" s="163">
        <v>9.7803005000000006E-5</v>
      </c>
      <c r="J452">
        <v>2.2196409E-2</v>
      </c>
      <c r="K452">
        <v>3.3019594000000002E-4</v>
      </c>
      <c r="L452">
        <v>1.1918639</v>
      </c>
      <c r="M452" s="163">
        <v>9.9768582000000003E-5</v>
      </c>
      <c r="N452">
        <v>5.6956481000000003E-2</v>
      </c>
      <c r="O452">
        <v>5.7030520000000001E-2</v>
      </c>
      <c r="P452">
        <v>-1.0309805E-4</v>
      </c>
      <c r="Q452" s="163">
        <v>2.9059453999999999E-5</v>
      </c>
      <c r="R452" s="163">
        <v>1.0618878E-8</v>
      </c>
      <c r="S452">
        <v>6.1334501000000002E-4</v>
      </c>
      <c r="T452" s="163">
        <v>1.7318524999999999E-6</v>
      </c>
      <c r="U452">
        <v>2.5515373E-4</v>
      </c>
      <c r="V452">
        <v>2.8193112000000002E-3</v>
      </c>
      <c r="W452">
        <v>7.5533478999999996E-4</v>
      </c>
      <c r="X452" s="163">
        <v>7.8161510999999995E-8</v>
      </c>
      <c r="Y452">
        <v>0.77675362999999997</v>
      </c>
      <c r="Z452">
        <v>7.3939946000000003E-3</v>
      </c>
      <c r="AA452" s="163">
        <v>5.7747089000000003E-9</v>
      </c>
      <c r="AB452">
        <v>3.2537652000000001E-3</v>
      </c>
      <c r="AC452">
        <v>0.68286769000000003</v>
      </c>
      <c r="AD452" s="163">
        <v>4.2928982000000001E-11</v>
      </c>
      <c r="AE452" s="163">
        <v>8.2848483999999997E-10</v>
      </c>
      <c r="AF452">
        <v>0.44825063999999998</v>
      </c>
      <c r="AG452">
        <v>0</v>
      </c>
      <c r="AH452">
        <v>0</v>
      </c>
      <c r="AI452">
        <v>2.1048407000000002E-2</v>
      </c>
      <c r="AJ452">
        <v>0</v>
      </c>
      <c r="AK452">
        <v>0</v>
      </c>
      <c r="AL452">
        <v>0.82456271000000003</v>
      </c>
      <c r="AM452">
        <v>0</v>
      </c>
      <c r="AN452">
        <v>0</v>
      </c>
      <c r="AO452">
        <v>0</v>
      </c>
      <c r="AP452">
        <v>2.1070021999999999E-4</v>
      </c>
      <c r="AQ452" s="163">
        <v>7.9147115999999995E-7</v>
      </c>
      <c r="AR452">
        <v>7.9462457999999996E-3</v>
      </c>
      <c r="AS452" s="163">
        <v>4.8789884999999996E-6</v>
      </c>
      <c r="AT452">
        <v>0</v>
      </c>
      <c r="AU452">
        <v>0</v>
      </c>
      <c r="AV452">
        <v>0</v>
      </c>
      <c r="AW452">
        <v>0</v>
      </c>
      <c r="AX452">
        <v>0</v>
      </c>
    </row>
    <row r="453" spans="1:50">
      <c r="A453" t="s">
        <v>1693</v>
      </c>
      <c r="B453" s="189">
        <f t="shared" si="6"/>
        <v>5.1160129944636005E-3</v>
      </c>
      <c r="C453" s="163">
        <v>7.9682560000000005E-8</v>
      </c>
      <c r="D453">
        <v>2.8286804999999999E-4</v>
      </c>
      <c r="E453">
        <v>4.0078098E-2</v>
      </c>
      <c r="F453" s="163">
        <v>3.8912117999999996E-9</v>
      </c>
      <c r="G453" s="163">
        <v>1.9259653999999999E-5</v>
      </c>
      <c r="H453">
        <v>2.2747810000000001E-4</v>
      </c>
      <c r="I453" s="163">
        <v>3.6050726999999997E-5</v>
      </c>
      <c r="J453">
        <v>1.8553081999999999E-2</v>
      </c>
      <c r="K453">
        <v>2.5735621000000001E-4</v>
      </c>
      <c r="L453">
        <v>1.0957703999999999</v>
      </c>
      <c r="M453">
        <v>1.1260606E-4</v>
      </c>
      <c r="N453">
        <v>4.1162529000000003E-2</v>
      </c>
      <c r="O453">
        <v>4.0594129999999999E-2</v>
      </c>
      <c r="P453">
        <v>4.9556660000000001E-4</v>
      </c>
      <c r="Q453" s="163">
        <v>7.2832267999999996E-5</v>
      </c>
      <c r="R453" s="163">
        <v>3.5515745000000002E-9</v>
      </c>
      <c r="S453">
        <v>2.9273419000000001E-4</v>
      </c>
      <c r="T453" s="163">
        <v>4.0164110000000003E-6</v>
      </c>
      <c r="U453" s="163">
        <v>5.1504129E-5</v>
      </c>
      <c r="V453">
        <v>7.5135915999999996E-4</v>
      </c>
      <c r="W453">
        <v>1.6348702999999999E-4</v>
      </c>
      <c r="X453" s="163">
        <v>7.9682555E-8</v>
      </c>
      <c r="Y453">
        <v>0.67238262000000004</v>
      </c>
      <c r="Z453">
        <v>1.0990573E-2</v>
      </c>
      <c r="AA453" s="163">
        <v>1.9875174000000002E-9</v>
      </c>
      <c r="AB453">
        <v>4.5901802999999998E-3</v>
      </c>
      <c r="AC453">
        <v>0.66422210000000004</v>
      </c>
      <c r="AD453" s="163">
        <v>4.6015957999999999E-11</v>
      </c>
      <c r="AE453" s="163">
        <v>7.7919936E-10</v>
      </c>
      <c r="AF453">
        <v>0.47262159999999998</v>
      </c>
      <c r="AG453">
        <v>0</v>
      </c>
      <c r="AH453">
        <v>0</v>
      </c>
      <c r="AI453">
        <v>8.6672086999999995E-2</v>
      </c>
      <c r="AJ453">
        <v>0</v>
      </c>
      <c r="AK453">
        <v>0</v>
      </c>
      <c r="AL453">
        <v>0.70710600999999995</v>
      </c>
      <c r="AM453">
        <v>0</v>
      </c>
      <c r="AN453">
        <v>0</v>
      </c>
      <c r="AO453">
        <v>0</v>
      </c>
      <c r="AP453">
        <v>4.8807013999999999E-4</v>
      </c>
      <c r="AQ453" s="163">
        <v>1.1193286999999999E-6</v>
      </c>
      <c r="AR453">
        <v>9.0623548000000002E-3</v>
      </c>
      <c r="AS453" s="163">
        <v>4.1639391E-6</v>
      </c>
      <c r="AT453">
        <v>0</v>
      </c>
      <c r="AU453">
        <v>0</v>
      </c>
      <c r="AV453">
        <v>0</v>
      </c>
      <c r="AW453">
        <v>0</v>
      </c>
      <c r="AX453">
        <v>0</v>
      </c>
    </row>
    <row r="454" spans="1:50">
      <c r="A454" t="s">
        <v>1694</v>
      </c>
      <c r="B454" s="189">
        <f t="shared" ref="B454:B496" si="7">(C454*0.16)+(D454*0.16)+(E454*0.05)+(F454*30)+(G454*2)+(H454*4)+(I454*9)+(J454*0.09)+(K454*0.03)+(L454*0.0001)+(M454*0.06)</f>
        <v>7.6231664968300005E-3</v>
      </c>
      <c r="C454" s="163">
        <v>2.1002E-7</v>
      </c>
      <c r="D454">
        <v>7.9290527E-4</v>
      </c>
      <c r="E454">
        <v>5.3544318E-2</v>
      </c>
      <c r="F454" s="163">
        <v>1.0417200999999999E-8</v>
      </c>
      <c r="G454" s="163">
        <v>6.0528910999999999E-5</v>
      </c>
      <c r="H454">
        <v>2.0446835000000001E-4</v>
      </c>
      <c r="I454" s="163">
        <v>2.9608233999999999E-5</v>
      </c>
      <c r="J454">
        <v>3.5861622000000003E-2</v>
      </c>
      <c r="K454">
        <v>8.3284218000000002E-4</v>
      </c>
      <c r="L454">
        <v>3.5087780999999998</v>
      </c>
      <c r="M454">
        <v>1.6542084999999999E-4</v>
      </c>
      <c r="N454">
        <v>5.6251058E-2</v>
      </c>
      <c r="O454">
        <v>5.5989230000000001E-2</v>
      </c>
      <c r="P454">
        <v>2.2981440999999999E-4</v>
      </c>
      <c r="Q454" s="163">
        <v>3.2013106000000003E-5</v>
      </c>
      <c r="R454" s="163">
        <v>1.1174429999999999E-8</v>
      </c>
      <c r="S454">
        <v>2.5637979999999999E-4</v>
      </c>
      <c r="T454" s="163">
        <v>1.986341E-6</v>
      </c>
      <c r="U454" s="163">
        <v>5.5121392000000002E-5</v>
      </c>
      <c r="V454">
        <v>6.5495343000000002E-4</v>
      </c>
      <c r="W454">
        <v>2.6104732000000001E-4</v>
      </c>
      <c r="X454" s="163">
        <v>2.1002055999999999E-7</v>
      </c>
      <c r="Y454">
        <v>1.6265261</v>
      </c>
      <c r="Z454">
        <v>3.5607950999999999E-2</v>
      </c>
      <c r="AA454" s="163">
        <v>7.8334312999999999E-9</v>
      </c>
      <c r="AB454">
        <v>2.6098774000000002E-3</v>
      </c>
      <c r="AC454">
        <v>0.67273316999999999</v>
      </c>
      <c r="AD454" s="163">
        <v>2.7194946000000001E-11</v>
      </c>
      <c r="AE454" s="163">
        <v>1.3252671E-9</v>
      </c>
      <c r="AF454">
        <v>1.5086132999999999</v>
      </c>
      <c r="AG454">
        <v>0</v>
      </c>
      <c r="AH454">
        <v>0</v>
      </c>
      <c r="AI454">
        <v>3.3040409999999999E-2</v>
      </c>
      <c r="AJ454">
        <v>0</v>
      </c>
      <c r="AK454">
        <v>0</v>
      </c>
      <c r="AL454">
        <v>1.748356</v>
      </c>
      <c r="AM454">
        <v>0</v>
      </c>
      <c r="AN454">
        <v>0</v>
      </c>
      <c r="AO454">
        <v>0</v>
      </c>
      <c r="AP454">
        <v>9.0745938999999996E-4</v>
      </c>
      <c r="AQ454" s="163">
        <v>9.6300787999999993E-7</v>
      </c>
      <c r="AR454">
        <v>0.12303993000000001</v>
      </c>
      <c r="AS454" s="163">
        <v>3.180497E-6</v>
      </c>
      <c r="AT454">
        <v>0</v>
      </c>
      <c r="AU454">
        <v>0</v>
      </c>
      <c r="AV454">
        <v>0</v>
      </c>
      <c r="AW454">
        <v>0</v>
      </c>
      <c r="AX454">
        <v>0</v>
      </c>
    </row>
    <row r="455" spans="1:50">
      <c r="A455" t="s">
        <v>1695</v>
      </c>
      <c r="B455" s="189">
        <f t="shared" si="7"/>
        <v>2.2603289539332239E-3</v>
      </c>
      <c r="C455" s="163">
        <v>2.5095139E-9</v>
      </c>
      <c r="D455" s="163">
        <v>7.7990184E-5</v>
      </c>
      <c r="E455">
        <v>1.127906E-2</v>
      </c>
      <c r="F455" s="163">
        <v>1.8000357E-9</v>
      </c>
      <c r="G455" s="163">
        <v>1.2281933E-5</v>
      </c>
      <c r="H455">
        <v>2.3698736E-4</v>
      </c>
      <c r="I455" s="163">
        <v>2.1345757000000001E-5</v>
      </c>
      <c r="J455">
        <v>5.2379567999999996E-3</v>
      </c>
      <c r="K455" s="163">
        <v>9.1719151999999996E-5</v>
      </c>
      <c r="L455">
        <v>0.44062722999999998</v>
      </c>
      <c r="M455" s="163">
        <v>1.6459889000000001E-5</v>
      </c>
      <c r="N455">
        <v>1.1403730000000001E-2</v>
      </c>
      <c r="O455">
        <v>1.1386220000000001E-2</v>
      </c>
      <c r="P455" s="163">
        <v>1.1488604E-5</v>
      </c>
      <c r="Q455" s="163">
        <v>6.0212601E-6</v>
      </c>
      <c r="R455" s="163">
        <v>2.2332724E-9</v>
      </c>
      <c r="S455">
        <v>2.8869736E-4</v>
      </c>
      <c r="T455" s="163">
        <v>1.9104787999999999E-7</v>
      </c>
      <c r="U455" s="163">
        <v>5.6576300999999998E-5</v>
      </c>
      <c r="V455">
        <v>6.3711531000000001E-4</v>
      </c>
      <c r="W455">
        <v>1.6776287E-4</v>
      </c>
      <c r="X455" s="163">
        <v>2.5092142E-9</v>
      </c>
      <c r="Y455">
        <v>0.16267055</v>
      </c>
      <c r="Z455">
        <v>1.0560756000000001E-3</v>
      </c>
      <c r="AA455" s="163">
        <v>3.4315990999999999E-10</v>
      </c>
      <c r="AB455">
        <v>7.3134318999999997E-4</v>
      </c>
      <c r="AC455">
        <v>0.10962263999999999</v>
      </c>
      <c r="AD455" s="163">
        <v>3.6460766000000002E-12</v>
      </c>
      <c r="AE455" s="163">
        <v>8.1840583000000006E-11</v>
      </c>
      <c r="AF455">
        <v>2.5387724E-2</v>
      </c>
      <c r="AG455">
        <v>0</v>
      </c>
      <c r="AH455">
        <v>0</v>
      </c>
      <c r="AI455">
        <v>3.7321432999999999E-3</v>
      </c>
      <c r="AJ455">
        <v>0</v>
      </c>
      <c r="AK455">
        <v>0</v>
      </c>
      <c r="AL455">
        <v>0.17262786999999999</v>
      </c>
      <c r="AM455">
        <v>0</v>
      </c>
      <c r="AN455">
        <v>0</v>
      </c>
      <c r="AO455">
        <v>0</v>
      </c>
      <c r="AP455" s="163">
        <v>3.3308900000000002E-5</v>
      </c>
      <c r="AQ455" s="163">
        <v>9.5968610999999996E-8</v>
      </c>
      <c r="AR455">
        <v>2.5571961000000001E-4</v>
      </c>
      <c r="AS455" s="163">
        <v>1.0616999E-6</v>
      </c>
      <c r="AT455">
        <v>0</v>
      </c>
      <c r="AU455">
        <v>0</v>
      </c>
      <c r="AV455">
        <v>0</v>
      </c>
      <c r="AW455">
        <v>0</v>
      </c>
      <c r="AX455">
        <v>0</v>
      </c>
    </row>
    <row r="456" spans="1:50">
      <c r="A456" s="147" t="s">
        <v>1696</v>
      </c>
      <c r="B456" s="189">
        <f t="shared" si="7"/>
        <v>0</v>
      </c>
    </row>
    <row r="457" spans="1:50">
      <c r="A457" t="s">
        <v>1697</v>
      </c>
      <c r="B457" s="189">
        <f t="shared" si="7"/>
        <v>0</v>
      </c>
      <c r="C457">
        <v>0</v>
      </c>
      <c r="D457">
        <v>0</v>
      </c>
      <c r="E457">
        <v>0</v>
      </c>
      <c r="F457">
        <v>0</v>
      </c>
      <c r="G457">
        <v>0</v>
      </c>
      <c r="H457">
        <v>0</v>
      </c>
      <c r="I457">
        <v>0</v>
      </c>
      <c r="J457">
        <v>0</v>
      </c>
      <c r="K457">
        <v>0</v>
      </c>
      <c r="L457">
        <v>0</v>
      </c>
      <c r="M457">
        <v>0</v>
      </c>
      <c r="N457">
        <v>0</v>
      </c>
      <c r="O457">
        <v>0</v>
      </c>
      <c r="P457">
        <v>0</v>
      </c>
      <c r="Q457">
        <v>0</v>
      </c>
      <c r="R457">
        <v>0</v>
      </c>
      <c r="S457">
        <v>0</v>
      </c>
      <c r="T457">
        <v>0</v>
      </c>
      <c r="U457">
        <v>0</v>
      </c>
      <c r="V457">
        <v>0</v>
      </c>
      <c r="W457">
        <v>0</v>
      </c>
      <c r="X457">
        <v>0</v>
      </c>
      <c r="Y457">
        <v>0</v>
      </c>
      <c r="Z457">
        <v>0</v>
      </c>
      <c r="AA457">
        <v>0</v>
      </c>
      <c r="AB457">
        <v>0</v>
      </c>
      <c r="AC457">
        <v>67</v>
      </c>
      <c r="AD457">
        <v>0</v>
      </c>
      <c r="AE457">
        <v>0</v>
      </c>
      <c r="AF457">
        <v>0</v>
      </c>
      <c r="AG457">
        <v>0</v>
      </c>
      <c r="AH457">
        <v>0</v>
      </c>
      <c r="AI457">
        <v>0</v>
      </c>
      <c r="AJ457">
        <v>0</v>
      </c>
      <c r="AK457">
        <v>0</v>
      </c>
      <c r="AL457">
        <v>0</v>
      </c>
      <c r="AM457">
        <v>0</v>
      </c>
      <c r="AN457">
        <v>0</v>
      </c>
      <c r="AO457">
        <v>0</v>
      </c>
      <c r="AP457">
        <v>0</v>
      </c>
      <c r="AQ457">
        <v>0</v>
      </c>
      <c r="AR457">
        <v>0</v>
      </c>
      <c r="AS457">
        <v>0</v>
      </c>
      <c r="AT457">
        <v>0</v>
      </c>
      <c r="AU457">
        <v>0</v>
      </c>
      <c r="AV457">
        <v>0</v>
      </c>
      <c r="AW457">
        <v>0</v>
      </c>
      <c r="AX457">
        <v>0</v>
      </c>
    </row>
    <row r="458" spans="1:50">
      <c r="A458" t="s">
        <v>1698</v>
      </c>
      <c r="B458" s="189">
        <f t="shared" si="7"/>
        <v>0</v>
      </c>
      <c r="C458">
        <v>0</v>
      </c>
      <c r="D458">
        <v>0</v>
      </c>
      <c r="E458">
        <v>0</v>
      </c>
      <c r="F458">
        <v>0</v>
      </c>
      <c r="G458">
        <v>0</v>
      </c>
      <c r="H458">
        <v>0</v>
      </c>
      <c r="I458">
        <v>0</v>
      </c>
      <c r="J458">
        <v>0</v>
      </c>
      <c r="K458">
        <v>0</v>
      </c>
      <c r="L458">
        <v>0</v>
      </c>
      <c r="M458">
        <v>0</v>
      </c>
      <c r="N458">
        <v>0</v>
      </c>
      <c r="O458">
        <v>0</v>
      </c>
      <c r="P458">
        <v>0</v>
      </c>
      <c r="Q458">
        <v>0</v>
      </c>
      <c r="R458">
        <v>0</v>
      </c>
      <c r="S458">
        <v>0</v>
      </c>
      <c r="T458">
        <v>0</v>
      </c>
      <c r="U458">
        <v>0</v>
      </c>
      <c r="V458">
        <v>0</v>
      </c>
      <c r="W458">
        <v>0</v>
      </c>
      <c r="X458">
        <v>0</v>
      </c>
      <c r="Y458">
        <v>0</v>
      </c>
      <c r="Z458">
        <v>0</v>
      </c>
      <c r="AA458">
        <v>0</v>
      </c>
      <c r="AB458">
        <v>0</v>
      </c>
      <c r="AC458">
        <v>73.2</v>
      </c>
      <c r="AD458">
        <v>0</v>
      </c>
      <c r="AE458">
        <v>0</v>
      </c>
      <c r="AF458">
        <v>0</v>
      </c>
      <c r="AG458">
        <v>0</v>
      </c>
      <c r="AH458">
        <v>0</v>
      </c>
      <c r="AI458">
        <v>0</v>
      </c>
      <c r="AJ458">
        <v>0</v>
      </c>
      <c r="AK458">
        <v>0</v>
      </c>
      <c r="AL458">
        <v>0</v>
      </c>
      <c r="AM458">
        <v>0</v>
      </c>
      <c r="AN458">
        <v>0</v>
      </c>
      <c r="AO458">
        <v>0</v>
      </c>
      <c r="AP458">
        <v>0</v>
      </c>
      <c r="AQ458">
        <v>0</v>
      </c>
      <c r="AR458">
        <v>0</v>
      </c>
      <c r="AS458">
        <v>0</v>
      </c>
      <c r="AT458">
        <v>0</v>
      </c>
      <c r="AU458">
        <v>0</v>
      </c>
      <c r="AV458">
        <v>0</v>
      </c>
      <c r="AW458">
        <v>0</v>
      </c>
      <c r="AX458">
        <v>0</v>
      </c>
    </row>
    <row r="459" spans="1:50">
      <c r="A459" t="s">
        <v>1699</v>
      </c>
      <c r="B459" s="189">
        <f t="shared" si="7"/>
        <v>30.826499999999999</v>
      </c>
      <c r="C459">
        <v>0</v>
      </c>
      <c r="D459">
        <v>0</v>
      </c>
      <c r="E459">
        <v>0</v>
      </c>
      <c r="F459">
        <v>0</v>
      </c>
      <c r="G459">
        <v>0</v>
      </c>
      <c r="H459">
        <v>0</v>
      </c>
      <c r="I459">
        <v>0</v>
      </c>
      <c r="J459">
        <v>1.25</v>
      </c>
      <c r="K459">
        <v>595</v>
      </c>
      <c r="L459">
        <v>120000</v>
      </c>
      <c r="M459">
        <v>14.4</v>
      </c>
      <c r="N459">
        <v>0</v>
      </c>
      <c r="O459">
        <v>0</v>
      </c>
      <c r="P459">
        <v>0</v>
      </c>
      <c r="Q459">
        <v>0</v>
      </c>
      <c r="R459">
        <v>0</v>
      </c>
      <c r="S459">
        <v>0</v>
      </c>
      <c r="T459">
        <v>0</v>
      </c>
      <c r="U459">
        <v>0</v>
      </c>
      <c r="V459">
        <v>0</v>
      </c>
      <c r="W459">
        <v>0</v>
      </c>
      <c r="X459">
        <v>0</v>
      </c>
      <c r="Y459">
        <v>0</v>
      </c>
      <c r="Z459">
        <v>0</v>
      </c>
      <c r="AA459">
        <v>0</v>
      </c>
      <c r="AB459">
        <v>0</v>
      </c>
      <c r="AC459">
        <v>52400</v>
      </c>
      <c r="AD459">
        <v>0</v>
      </c>
      <c r="AE459" s="163">
        <v>5.7051000000000004E-7</v>
      </c>
      <c r="AF459">
        <v>0</v>
      </c>
      <c r="AG459">
        <v>0</v>
      </c>
      <c r="AH459">
        <v>0</v>
      </c>
      <c r="AI459">
        <v>0</v>
      </c>
      <c r="AJ459">
        <v>0</v>
      </c>
      <c r="AK459">
        <v>0</v>
      </c>
      <c r="AL459">
        <v>0</v>
      </c>
      <c r="AM459">
        <v>0</v>
      </c>
      <c r="AN459">
        <v>0</v>
      </c>
      <c r="AO459">
        <v>0</v>
      </c>
      <c r="AP459">
        <v>0</v>
      </c>
      <c r="AQ459">
        <v>0</v>
      </c>
      <c r="AR459">
        <v>0</v>
      </c>
      <c r="AS459">
        <v>0</v>
      </c>
      <c r="AT459">
        <v>0</v>
      </c>
      <c r="AU459">
        <v>0</v>
      </c>
      <c r="AV459">
        <v>0</v>
      </c>
      <c r="AW459">
        <v>0</v>
      </c>
      <c r="AX459">
        <v>0</v>
      </c>
    </row>
    <row r="460" spans="1:50">
      <c r="A460" t="s">
        <v>1700</v>
      </c>
      <c r="B460" s="189">
        <f t="shared" si="7"/>
        <v>2.5938072000000001</v>
      </c>
      <c r="C460">
        <v>0</v>
      </c>
      <c r="D460">
        <v>0</v>
      </c>
      <c r="E460">
        <v>0</v>
      </c>
      <c r="F460">
        <v>0</v>
      </c>
      <c r="G460">
        <v>0</v>
      </c>
      <c r="H460">
        <v>0</v>
      </c>
      <c r="I460">
        <v>0</v>
      </c>
      <c r="J460">
        <v>0.36208000000000001</v>
      </c>
      <c r="K460">
        <v>56.853999999999999</v>
      </c>
      <c r="L460">
        <v>8556</v>
      </c>
      <c r="M460" s="163">
        <v>1.5686E-21</v>
      </c>
      <c r="N460">
        <v>0</v>
      </c>
      <c r="O460">
        <v>0</v>
      </c>
      <c r="P460">
        <v>0</v>
      </c>
      <c r="Q460">
        <v>0</v>
      </c>
      <c r="R460">
        <v>0</v>
      </c>
      <c r="S460">
        <v>0</v>
      </c>
      <c r="T460">
        <v>0</v>
      </c>
      <c r="U460">
        <v>0</v>
      </c>
      <c r="V460">
        <v>0</v>
      </c>
      <c r="W460">
        <v>0</v>
      </c>
      <c r="X460">
        <v>0</v>
      </c>
      <c r="Y460">
        <v>0</v>
      </c>
      <c r="Z460">
        <v>0</v>
      </c>
      <c r="AA460">
        <v>0</v>
      </c>
      <c r="AB460">
        <v>0</v>
      </c>
      <c r="AC460">
        <v>412.3</v>
      </c>
      <c r="AD460">
        <v>0</v>
      </c>
      <c r="AE460" s="163">
        <v>8.8709600000000004E-7</v>
      </c>
      <c r="AF460">
        <v>0</v>
      </c>
      <c r="AG460">
        <v>0</v>
      </c>
      <c r="AH460">
        <v>0</v>
      </c>
      <c r="AI460">
        <v>0</v>
      </c>
      <c r="AJ460">
        <v>0</v>
      </c>
      <c r="AK460">
        <v>0</v>
      </c>
      <c r="AL460">
        <v>0</v>
      </c>
      <c r="AM460">
        <v>0</v>
      </c>
      <c r="AN460">
        <v>0</v>
      </c>
      <c r="AO460">
        <v>0</v>
      </c>
      <c r="AP460">
        <v>0</v>
      </c>
      <c r="AQ460">
        <v>0</v>
      </c>
      <c r="AR460">
        <v>0</v>
      </c>
      <c r="AS460">
        <v>0</v>
      </c>
      <c r="AT460">
        <v>0</v>
      </c>
      <c r="AU460">
        <v>0</v>
      </c>
      <c r="AV460">
        <v>0</v>
      </c>
      <c r="AW460">
        <v>0</v>
      </c>
      <c r="AX460">
        <v>0</v>
      </c>
    </row>
    <row r="461" spans="1:50">
      <c r="A461" t="s">
        <v>1701</v>
      </c>
      <c r="B461" s="189">
        <f t="shared" si="7"/>
        <v>3.6659800000000002</v>
      </c>
      <c r="C461">
        <v>0</v>
      </c>
      <c r="D461">
        <v>0</v>
      </c>
      <c r="E461">
        <v>0</v>
      </c>
      <c r="F461">
        <v>0</v>
      </c>
      <c r="G461">
        <v>0</v>
      </c>
      <c r="H461">
        <v>0</v>
      </c>
      <c r="I461">
        <v>0</v>
      </c>
      <c r="J461">
        <v>0.42199999999999999</v>
      </c>
      <c r="K461">
        <v>47.7</v>
      </c>
      <c r="L461">
        <v>7210</v>
      </c>
      <c r="M461">
        <v>24.6</v>
      </c>
      <c r="N461">
        <v>0</v>
      </c>
      <c r="O461">
        <v>0</v>
      </c>
      <c r="P461">
        <v>0</v>
      </c>
      <c r="Q461">
        <v>0</v>
      </c>
      <c r="R461">
        <v>0</v>
      </c>
      <c r="S461">
        <v>0</v>
      </c>
      <c r="T461">
        <v>0</v>
      </c>
      <c r="U461">
        <v>0</v>
      </c>
      <c r="V461">
        <v>0</v>
      </c>
      <c r="W461">
        <v>0</v>
      </c>
      <c r="X461">
        <v>0</v>
      </c>
      <c r="Y461">
        <v>0</v>
      </c>
      <c r="Z461">
        <v>0</v>
      </c>
      <c r="AA461">
        <v>0</v>
      </c>
      <c r="AB461">
        <v>0</v>
      </c>
      <c r="AC461">
        <v>730</v>
      </c>
      <c r="AD461">
        <v>0</v>
      </c>
      <c r="AE461" s="163">
        <v>9.9195000000000001E-5</v>
      </c>
      <c r="AF461">
        <v>0</v>
      </c>
      <c r="AG461">
        <v>0</v>
      </c>
      <c r="AH461">
        <v>0</v>
      </c>
      <c r="AI461">
        <v>0</v>
      </c>
      <c r="AJ461">
        <v>0</v>
      </c>
      <c r="AK461">
        <v>0</v>
      </c>
      <c r="AL461">
        <v>0</v>
      </c>
      <c r="AM461">
        <v>0</v>
      </c>
      <c r="AN461">
        <v>0</v>
      </c>
      <c r="AO461">
        <v>0</v>
      </c>
      <c r="AP461">
        <v>0</v>
      </c>
      <c r="AQ461">
        <v>0</v>
      </c>
      <c r="AR461">
        <v>0</v>
      </c>
      <c r="AS461">
        <v>0</v>
      </c>
      <c r="AT461">
        <v>0</v>
      </c>
      <c r="AU461">
        <v>0</v>
      </c>
      <c r="AV461">
        <v>0</v>
      </c>
      <c r="AW461">
        <v>0</v>
      </c>
      <c r="AX461">
        <v>0</v>
      </c>
    </row>
    <row r="462" spans="1:50">
      <c r="A462" t="s">
        <v>1702</v>
      </c>
      <c r="B462" s="189">
        <f t="shared" si="7"/>
        <v>4.1835599999999999</v>
      </c>
      <c r="C462">
        <v>0</v>
      </c>
      <c r="D462">
        <v>0</v>
      </c>
      <c r="E462">
        <v>0</v>
      </c>
      <c r="F462">
        <v>0</v>
      </c>
      <c r="G462">
        <v>0</v>
      </c>
      <c r="H462">
        <v>0</v>
      </c>
      <c r="I462">
        <v>0</v>
      </c>
      <c r="J462">
        <v>0.58399999999999996</v>
      </c>
      <c r="K462">
        <v>91.7</v>
      </c>
      <c r="L462">
        <v>13800</v>
      </c>
      <c r="M462" s="163">
        <v>2.5299999999999999E-21</v>
      </c>
      <c r="N462">
        <v>0</v>
      </c>
      <c r="O462">
        <v>0</v>
      </c>
      <c r="P462">
        <v>0</v>
      </c>
      <c r="Q462">
        <v>0</v>
      </c>
      <c r="R462">
        <v>0</v>
      </c>
      <c r="S462">
        <v>0</v>
      </c>
      <c r="T462">
        <v>0</v>
      </c>
      <c r="U462">
        <v>0</v>
      </c>
      <c r="V462">
        <v>0</v>
      </c>
      <c r="W462">
        <v>0</v>
      </c>
      <c r="X462">
        <v>0</v>
      </c>
      <c r="Y462">
        <v>0</v>
      </c>
      <c r="Z462">
        <v>0</v>
      </c>
      <c r="AA462">
        <v>0</v>
      </c>
      <c r="AB462">
        <v>0</v>
      </c>
      <c r="AC462">
        <v>665</v>
      </c>
      <c r="AD462">
        <v>0</v>
      </c>
      <c r="AE462" s="163">
        <v>1.4307999999999999E-6</v>
      </c>
      <c r="AF462">
        <v>0</v>
      </c>
      <c r="AG462">
        <v>0</v>
      </c>
      <c r="AH462">
        <v>0</v>
      </c>
      <c r="AI462">
        <v>0</v>
      </c>
      <c r="AJ462">
        <v>0</v>
      </c>
      <c r="AK462">
        <v>0</v>
      </c>
      <c r="AL462">
        <v>0</v>
      </c>
      <c r="AM462">
        <v>0</v>
      </c>
      <c r="AN462">
        <v>0</v>
      </c>
      <c r="AO462">
        <v>0</v>
      </c>
      <c r="AP462">
        <v>0</v>
      </c>
      <c r="AQ462">
        <v>0</v>
      </c>
      <c r="AR462">
        <v>0</v>
      </c>
      <c r="AS462">
        <v>0</v>
      </c>
      <c r="AT462">
        <v>0</v>
      </c>
      <c r="AU462">
        <v>0</v>
      </c>
      <c r="AV462">
        <v>0</v>
      </c>
      <c r="AW462">
        <v>0</v>
      </c>
      <c r="AX462">
        <v>0</v>
      </c>
    </row>
    <row r="463" spans="1:50">
      <c r="A463" t="s">
        <v>1703</v>
      </c>
      <c r="B463" s="189">
        <f t="shared" si="7"/>
        <v>11.488000000000001</v>
      </c>
      <c r="C463">
        <v>0</v>
      </c>
      <c r="D463">
        <v>0</v>
      </c>
      <c r="E463">
        <v>0</v>
      </c>
      <c r="F463">
        <v>0</v>
      </c>
      <c r="G463">
        <v>0</v>
      </c>
      <c r="H463">
        <v>0</v>
      </c>
      <c r="I463">
        <v>0</v>
      </c>
      <c r="J463">
        <v>3.2</v>
      </c>
      <c r="K463" s="163">
        <v>1.76E-21</v>
      </c>
      <c r="L463">
        <v>112000</v>
      </c>
      <c r="M463" s="163">
        <v>1.95E-20</v>
      </c>
      <c r="N463">
        <v>0</v>
      </c>
      <c r="O463">
        <v>0</v>
      </c>
      <c r="P463">
        <v>0</v>
      </c>
      <c r="Q463">
        <v>0</v>
      </c>
      <c r="R463">
        <v>0</v>
      </c>
      <c r="S463">
        <v>0</v>
      </c>
      <c r="T463">
        <v>0</v>
      </c>
      <c r="U463">
        <v>0</v>
      </c>
      <c r="V463">
        <v>0</v>
      </c>
      <c r="W463">
        <v>0</v>
      </c>
      <c r="X463">
        <v>0</v>
      </c>
      <c r="Y463">
        <v>0</v>
      </c>
      <c r="Z463">
        <v>0</v>
      </c>
      <c r="AA463">
        <v>0</v>
      </c>
      <c r="AB463">
        <v>0</v>
      </c>
      <c r="AC463" s="163">
        <v>1.05E-17</v>
      </c>
      <c r="AD463">
        <v>0</v>
      </c>
      <c r="AE463" s="163">
        <v>2.2259000000000001E-7</v>
      </c>
      <c r="AF463">
        <v>0</v>
      </c>
      <c r="AG463">
        <v>0</v>
      </c>
      <c r="AH463">
        <v>0</v>
      </c>
      <c r="AI463">
        <v>0</v>
      </c>
      <c r="AJ463">
        <v>0</v>
      </c>
      <c r="AK463">
        <v>0</v>
      </c>
      <c r="AL463">
        <v>0</v>
      </c>
      <c r="AM463">
        <v>0</v>
      </c>
      <c r="AN463">
        <v>0</v>
      </c>
      <c r="AO463">
        <v>0</v>
      </c>
      <c r="AP463">
        <v>0</v>
      </c>
      <c r="AQ463">
        <v>0</v>
      </c>
      <c r="AR463">
        <v>0</v>
      </c>
      <c r="AS463">
        <v>0</v>
      </c>
      <c r="AT463">
        <v>0</v>
      </c>
      <c r="AU463">
        <v>0</v>
      </c>
      <c r="AV463">
        <v>0</v>
      </c>
      <c r="AW463">
        <v>0</v>
      </c>
      <c r="AX463">
        <v>0</v>
      </c>
    </row>
    <row r="464" spans="1:50">
      <c r="A464" t="s">
        <v>1704</v>
      </c>
      <c r="B464" s="189">
        <f t="shared" si="7"/>
        <v>-0.05</v>
      </c>
      <c r="C464">
        <v>0</v>
      </c>
      <c r="D464">
        <v>0</v>
      </c>
      <c r="E464">
        <v>-1</v>
      </c>
      <c r="F464">
        <v>0</v>
      </c>
      <c r="G464">
        <v>0</v>
      </c>
      <c r="H464">
        <v>0</v>
      </c>
      <c r="I464">
        <v>0</v>
      </c>
      <c r="J464">
        <v>0</v>
      </c>
      <c r="K464">
        <v>0</v>
      </c>
      <c r="L464">
        <v>0</v>
      </c>
      <c r="M464">
        <v>0</v>
      </c>
      <c r="N464">
        <v>-1</v>
      </c>
      <c r="O464">
        <v>-1</v>
      </c>
      <c r="P464">
        <v>0</v>
      </c>
      <c r="Q464">
        <v>0</v>
      </c>
      <c r="R464">
        <v>0</v>
      </c>
      <c r="S464">
        <v>0</v>
      </c>
      <c r="T464">
        <v>0</v>
      </c>
      <c r="U464">
        <v>0</v>
      </c>
      <c r="V464">
        <v>0</v>
      </c>
      <c r="W464">
        <v>0</v>
      </c>
      <c r="X464">
        <v>0</v>
      </c>
      <c r="Y464">
        <v>0</v>
      </c>
      <c r="Z464">
        <v>0</v>
      </c>
      <c r="AA464">
        <v>0</v>
      </c>
      <c r="AB464">
        <v>0</v>
      </c>
      <c r="AC464">
        <v>0</v>
      </c>
      <c r="AD464">
        <v>0</v>
      </c>
      <c r="AE464">
        <v>0</v>
      </c>
      <c r="AF464">
        <v>0</v>
      </c>
      <c r="AG464">
        <v>0</v>
      </c>
      <c r="AH464">
        <v>0</v>
      </c>
      <c r="AI464">
        <v>0</v>
      </c>
      <c r="AJ464">
        <v>0</v>
      </c>
      <c r="AK464">
        <v>0</v>
      </c>
      <c r="AL464">
        <v>0</v>
      </c>
      <c r="AM464">
        <v>0</v>
      </c>
      <c r="AN464">
        <v>0</v>
      </c>
      <c r="AO464">
        <v>0</v>
      </c>
      <c r="AP464">
        <v>0</v>
      </c>
      <c r="AQ464">
        <v>0</v>
      </c>
      <c r="AR464">
        <v>0</v>
      </c>
      <c r="AS464">
        <v>0</v>
      </c>
      <c r="AT464">
        <v>0</v>
      </c>
      <c r="AU464">
        <v>0</v>
      </c>
      <c r="AV464">
        <v>0</v>
      </c>
      <c r="AW464">
        <v>0</v>
      </c>
      <c r="AX464">
        <v>0</v>
      </c>
    </row>
    <row r="465" spans="1:50">
      <c r="A465" t="s">
        <v>1705</v>
      </c>
      <c r="B465" s="189">
        <f t="shared" si="7"/>
        <v>8.8693349000000001E-5</v>
      </c>
      <c r="C465">
        <v>0</v>
      </c>
      <c r="D465">
        <v>0</v>
      </c>
      <c r="E465">
        <v>0</v>
      </c>
      <c r="F465">
        <v>0</v>
      </c>
      <c r="G465">
        <v>0</v>
      </c>
      <c r="H465">
        <v>0</v>
      </c>
      <c r="I465">
        <v>0</v>
      </c>
      <c r="J465">
        <v>3.7361970000000002E-4</v>
      </c>
      <c r="K465">
        <v>1.6302836000000001E-4</v>
      </c>
      <c r="L465">
        <v>0.3578189</v>
      </c>
      <c r="M465">
        <v>2.3991392E-4</v>
      </c>
      <c r="N465">
        <v>0</v>
      </c>
      <c r="O465">
        <v>0</v>
      </c>
      <c r="P465">
        <v>0</v>
      </c>
      <c r="Q465">
        <v>0</v>
      </c>
      <c r="R465">
        <v>0</v>
      </c>
      <c r="S465">
        <v>0</v>
      </c>
      <c r="T465">
        <v>0</v>
      </c>
      <c r="U465">
        <v>0</v>
      </c>
      <c r="V465">
        <v>0</v>
      </c>
      <c r="W465">
        <v>0</v>
      </c>
      <c r="X465">
        <v>0</v>
      </c>
      <c r="Y465">
        <v>0</v>
      </c>
      <c r="Z465">
        <v>0</v>
      </c>
      <c r="AA465">
        <v>0</v>
      </c>
      <c r="AB465">
        <v>0</v>
      </c>
      <c r="AC465">
        <v>4.8333550000000001E-3</v>
      </c>
      <c r="AD465" s="163">
        <v>4.1972083999999999E-12</v>
      </c>
      <c r="AE465" s="163">
        <v>2.7238290999999998E-10</v>
      </c>
      <c r="AF465">
        <v>0</v>
      </c>
      <c r="AG465">
        <v>0</v>
      </c>
      <c r="AH465">
        <v>0</v>
      </c>
      <c r="AI465">
        <v>0</v>
      </c>
      <c r="AJ465">
        <v>0</v>
      </c>
      <c r="AK465">
        <v>0</v>
      </c>
      <c r="AL465">
        <v>0</v>
      </c>
      <c r="AM465">
        <v>0</v>
      </c>
      <c r="AN465">
        <v>0</v>
      </c>
      <c r="AO465">
        <v>0</v>
      </c>
      <c r="AP465">
        <v>0</v>
      </c>
      <c r="AQ465">
        <v>0</v>
      </c>
      <c r="AR465">
        <v>0</v>
      </c>
      <c r="AS465">
        <v>0</v>
      </c>
      <c r="AT465">
        <v>0</v>
      </c>
      <c r="AU465">
        <v>0</v>
      </c>
      <c r="AV465">
        <v>0</v>
      </c>
      <c r="AW465">
        <v>0</v>
      </c>
      <c r="AX465">
        <v>0</v>
      </c>
    </row>
    <row r="466" spans="1:50">
      <c r="A466" s="147" t="s">
        <v>1706</v>
      </c>
      <c r="B466" s="189">
        <f t="shared" si="7"/>
        <v>0</v>
      </c>
    </row>
    <row r="467" spans="1:50">
      <c r="A467" t="s">
        <v>1707</v>
      </c>
      <c r="B467" s="189">
        <f t="shared" si="7"/>
        <v>4.9705851329405998E-2</v>
      </c>
      <c r="C467" s="163">
        <v>5.9319634999999999E-7</v>
      </c>
      <c r="D467">
        <v>4.7468998999999996E-3</v>
      </c>
      <c r="E467">
        <v>0.6407796</v>
      </c>
      <c r="F467" s="163">
        <v>3.4545432999999998E-8</v>
      </c>
      <c r="G467" s="163">
        <v>9.7204000999999996E-5</v>
      </c>
      <c r="H467">
        <v>1.5986573E-3</v>
      </c>
      <c r="I467">
        <v>3.6569366000000002E-4</v>
      </c>
      <c r="J467">
        <v>6.6610056000000001E-2</v>
      </c>
      <c r="K467">
        <v>1.8418847E-3</v>
      </c>
      <c r="L467">
        <v>7.7961866000000004</v>
      </c>
      <c r="M467">
        <v>3.2695948000000001E-3</v>
      </c>
      <c r="N467">
        <v>0.65920179000000001</v>
      </c>
      <c r="O467">
        <v>0.64776049000000002</v>
      </c>
      <c r="P467">
        <v>1.1192840000000001E-2</v>
      </c>
      <c r="Q467">
        <v>2.4846404E-4</v>
      </c>
      <c r="R467" s="163">
        <v>3.3405015999999999E-8</v>
      </c>
      <c r="S467">
        <v>2.2555634000000001E-3</v>
      </c>
      <c r="T467" s="163">
        <v>4.8325061999999999E-5</v>
      </c>
      <c r="U467">
        <v>3.4546374999999999E-4</v>
      </c>
      <c r="V467">
        <v>7.1836395000000001E-3</v>
      </c>
      <c r="W467">
        <v>9.840425900000001E-4</v>
      </c>
      <c r="X467" s="163">
        <v>5.9321820999999998E-7</v>
      </c>
      <c r="Y467">
        <v>8.7226087000000003</v>
      </c>
      <c r="Z467">
        <v>8.0581591999999994E-2</v>
      </c>
      <c r="AA467" s="163">
        <v>1.0021631E-8</v>
      </c>
      <c r="AB467">
        <v>2.165489E-2</v>
      </c>
      <c r="AC467">
        <v>7.6218886000000001</v>
      </c>
      <c r="AD467" s="163">
        <v>1.4535204000000001E-10</v>
      </c>
      <c r="AE467" s="163">
        <v>4.1672435000000001E-9</v>
      </c>
      <c r="AF467">
        <v>2.2223250000000001</v>
      </c>
      <c r="AG467">
        <v>0</v>
      </c>
      <c r="AH467">
        <v>0</v>
      </c>
      <c r="AI467">
        <v>0.95786165999999995</v>
      </c>
      <c r="AJ467">
        <v>0</v>
      </c>
      <c r="AK467">
        <v>0</v>
      </c>
      <c r="AL467">
        <v>9.3339987999999998</v>
      </c>
      <c r="AM467">
        <v>0</v>
      </c>
      <c r="AN467">
        <v>0</v>
      </c>
      <c r="AO467">
        <v>0</v>
      </c>
      <c r="AP467">
        <v>7.0567488000000001E-3</v>
      </c>
      <c r="AQ467" s="163">
        <v>2.4816487E-5</v>
      </c>
      <c r="AR467">
        <v>2.4253667999999999E-2</v>
      </c>
      <c r="AS467" s="163">
        <v>2.2783133999999998E-5</v>
      </c>
      <c r="AT467">
        <v>0</v>
      </c>
      <c r="AU467">
        <v>0</v>
      </c>
      <c r="AV467">
        <v>0</v>
      </c>
      <c r="AW467">
        <v>0</v>
      </c>
      <c r="AX467">
        <v>0</v>
      </c>
    </row>
    <row r="468" spans="1:50">
      <c r="A468" t="s">
        <v>1708</v>
      </c>
      <c r="B468" s="189">
        <f t="shared" si="7"/>
        <v>1.5748530337573001E-2</v>
      </c>
      <c r="C468" s="163">
        <v>3.7116983000000002E-6</v>
      </c>
      <c r="D468">
        <v>6.3149685000000002E-4</v>
      </c>
      <c r="E468">
        <v>9.1291805000000004E-2</v>
      </c>
      <c r="F468" s="163">
        <v>9.3096814999999997E-9</v>
      </c>
      <c r="G468" s="163">
        <v>7.6172075999999996E-5</v>
      </c>
      <c r="H468">
        <v>5.9648239999999999E-4</v>
      </c>
      <c r="I468">
        <v>1.228983E-4</v>
      </c>
      <c r="J468">
        <v>7.5041809000000001E-2</v>
      </c>
      <c r="K468">
        <v>1.2677828999999999E-3</v>
      </c>
      <c r="L468">
        <v>6.2869079000000001</v>
      </c>
      <c r="M468">
        <v>2.8636484E-4</v>
      </c>
      <c r="N468">
        <v>9.3488241E-2</v>
      </c>
      <c r="O468">
        <v>9.3080666000000006E-2</v>
      </c>
      <c r="P468">
        <v>2.4211265999999999E-4</v>
      </c>
      <c r="Q468">
        <v>1.6546261000000001E-4</v>
      </c>
      <c r="R468" s="163">
        <v>8.8575448999999995E-9</v>
      </c>
      <c r="S468">
        <v>7.1566510999999998E-4</v>
      </c>
      <c r="T468" s="163">
        <v>2.5905652E-5</v>
      </c>
      <c r="U468">
        <v>1.0194282E-4</v>
      </c>
      <c r="V468">
        <v>1.1835183E-3</v>
      </c>
      <c r="W468">
        <v>3.7342229999999998E-4</v>
      </c>
      <c r="X468" s="163">
        <v>3.7117429000000002E-6</v>
      </c>
      <c r="Y468">
        <v>1.143931</v>
      </c>
      <c r="Z468">
        <v>9.0453012999999999E-2</v>
      </c>
      <c r="AA468" s="163">
        <v>6.0362295999999998E-9</v>
      </c>
      <c r="AB468">
        <v>3.5799510000000001E-3</v>
      </c>
      <c r="AC468">
        <v>3.8344632000000001</v>
      </c>
      <c r="AD468" s="163">
        <v>1.0442323E-10</v>
      </c>
      <c r="AE468" s="163">
        <v>4.6098923E-9</v>
      </c>
      <c r="AF468">
        <v>0.34025835999999998</v>
      </c>
      <c r="AG468">
        <v>0</v>
      </c>
      <c r="AH468">
        <v>0</v>
      </c>
      <c r="AI468">
        <v>4.0587517000000002</v>
      </c>
      <c r="AJ468">
        <v>0</v>
      </c>
      <c r="AK468">
        <v>0</v>
      </c>
      <c r="AL468">
        <v>1.2206881000000001</v>
      </c>
      <c r="AM468">
        <v>0</v>
      </c>
      <c r="AN468">
        <v>0</v>
      </c>
      <c r="AO468">
        <v>0</v>
      </c>
      <c r="AP468">
        <v>3.0348437E-3</v>
      </c>
      <c r="AQ468" s="163">
        <v>7.1199941000000001E-5</v>
      </c>
      <c r="AR468">
        <v>1.1896824E-2</v>
      </c>
      <c r="AS468" s="163">
        <v>2.9809934000000001E-6</v>
      </c>
      <c r="AT468">
        <v>0</v>
      </c>
      <c r="AU468">
        <v>0</v>
      </c>
      <c r="AV468">
        <v>0</v>
      </c>
      <c r="AW468">
        <v>0</v>
      </c>
      <c r="AX468">
        <v>0</v>
      </c>
    </row>
    <row r="469" spans="1:50">
      <c r="A469" t="s">
        <v>1709</v>
      </c>
      <c r="B469" s="189">
        <f t="shared" si="7"/>
        <v>1.7141999952880002E-2</v>
      </c>
      <c r="C469" s="163">
        <v>3.5989608999999998E-6</v>
      </c>
      <c r="D469">
        <v>7.4649495E-4</v>
      </c>
      <c r="E469">
        <v>0.10717305000000001</v>
      </c>
      <c r="F469" s="163">
        <v>9.6261511999999999E-9</v>
      </c>
      <c r="G469" s="163">
        <v>7.7216794999999995E-5</v>
      </c>
      <c r="H469">
        <v>6.5924538000000003E-4</v>
      </c>
      <c r="I469">
        <v>1.313939E-4</v>
      </c>
      <c r="J469">
        <v>7.7291571000000003E-2</v>
      </c>
      <c r="K469">
        <v>1.3514543999999999E-3</v>
      </c>
      <c r="L469">
        <v>6.7356704000000001</v>
      </c>
      <c r="M469">
        <v>3.1218951000000001E-4</v>
      </c>
      <c r="N469">
        <v>0.10961032</v>
      </c>
      <c r="O469">
        <v>0.10924229000000001</v>
      </c>
      <c r="P469">
        <v>1.7696935999999999E-4</v>
      </c>
      <c r="Q469">
        <v>1.9105918E-4</v>
      </c>
      <c r="R469" s="163">
        <v>9.2240210000000005E-9</v>
      </c>
      <c r="S469">
        <v>7.9115182E-4</v>
      </c>
      <c r="T469" s="163">
        <v>2.6548292999999999E-5</v>
      </c>
      <c r="U469">
        <v>1.1437308E-4</v>
      </c>
      <c r="V469">
        <v>1.3304422000000001E-3</v>
      </c>
      <c r="W469">
        <v>4.0789807000000001E-4</v>
      </c>
      <c r="X469" s="163">
        <v>3.5990064000000001E-6</v>
      </c>
      <c r="Y469">
        <v>1.3461388999999999</v>
      </c>
      <c r="Z469">
        <v>7.7677628999999998E-2</v>
      </c>
      <c r="AA469" s="163">
        <v>6.4869961E-9</v>
      </c>
      <c r="AB469">
        <v>4.4130094999999996E-3</v>
      </c>
      <c r="AC469">
        <v>4.0987431000000001</v>
      </c>
      <c r="AD469" s="163">
        <v>1.0391198E-10</v>
      </c>
      <c r="AE469" s="163">
        <v>4.6285843000000003E-9</v>
      </c>
      <c r="AF469">
        <v>0.35471651999999998</v>
      </c>
      <c r="AG469">
        <v>0</v>
      </c>
      <c r="AH469">
        <v>0</v>
      </c>
      <c r="AI469">
        <v>4.0609136000000001</v>
      </c>
      <c r="AJ469">
        <v>0</v>
      </c>
      <c r="AK469">
        <v>0</v>
      </c>
      <c r="AL469">
        <v>1.4360784</v>
      </c>
      <c r="AM469">
        <v>0</v>
      </c>
      <c r="AN469">
        <v>0</v>
      </c>
      <c r="AO469">
        <v>0</v>
      </c>
      <c r="AP469">
        <v>2.6538203E-3</v>
      </c>
      <c r="AQ469" s="163">
        <v>4.9092029000000003E-5</v>
      </c>
      <c r="AR469">
        <v>1.4965009E-2</v>
      </c>
      <c r="AS469" s="163">
        <v>3.5390226000000002E-6</v>
      </c>
      <c r="AT469">
        <v>0</v>
      </c>
      <c r="AU469">
        <v>0</v>
      </c>
      <c r="AV469">
        <v>0</v>
      </c>
      <c r="AW469">
        <v>0</v>
      </c>
      <c r="AX469">
        <v>0</v>
      </c>
    </row>
    <row r="470" spans="1:50">
      <c r="A470" t="s">
        <v>1710</v>
      </c>
      <c r="B470" s="189">
        <f t="shared" si="7"/>
        <v>0.10785686454623999</v>
      </c>
      <c r="C470" s="163">
        <v>1.245065E-7</v>
      </c>
      <c r="D470">
        <v>1.5633256000000002E-2</v>
      </c>
      <c r="E470">
        <v>1.7756257</v>
      </c>
      <c r="F470" s="163">
        <v>2.3090408000000001E-7</v>
      </c>
      <c r="G470">
        <v>2.7534656999999999E-4</v>
      </c>
      <c r="H470">
        <v>1.2687217E-3</v>
      </c>
      <c r="I470">
        <v>1.7665965E-4</v>
      </c>
      <c r="J470">
        <v>9.8442549000000004E-2</v>
      </c>
      <c r="K470">
        <v>1.0460565E-3</v>
      </c>
      <c r="L470">
        <v>4.4122506000000001</v>
      </c>
      <c r="M470">
        <v>3.2264312999999998E-4</v>
      </c>
      <c r="N470">
        <v>1.8001464</v>
      </c>
      <c r="O470">
        <v>1.7995079</v>
      </c>
      <c r="P470">
        <v>5.7534622999999997E-4</v>
      </c>
      <c r="Q470" s="163">
        <v>6.3199037000000004E-5</v>
      </c>
      <c r="R470" s="163">
        <v>2.6227839000000003E-7</v>
      </c>
      <c r="S470">
        <v>1.6240435000000001E-3</v>
      </c>
      <c r="T470" s="163">
        <v>3.9431727000000003E-6</v>
      </c>
      <c r="U470">
        <v>4.5227709000000003E-4</v>
      </c>
      <c r="V470">
        <v>5.0836587000000003E-3</v>
      </c>
      <c r="W470">
        <v>1.6881980999999999E-3</v>
      </c>
      <c r="X470" s="163">
        <v>1.2450641E-7</v>
      </c>
      <c r="Y470">
        <v>28.936954</v>
      </c>
      <c r="Z470">
        <v>3.1191377999999999E-2</v>
      </c>
      <c r="AA470" s="163">
        <v>5.312958E-9</v>
      </c>
      <c r="AB470">
        <v>1.1887656999999999E-2</v>
      </c>
      <c r="AC470">
        <v>1.7983628</v>
      </c>
      <c r="AD470" s="163">
        <v>1.3678420000000001E-10</v>
      </c>
      <c r="AE470" s="163">
        <v>1.7141949E-9</v>
      </c>
      <c r="AF470">
        <v>0.44055148</v>
      </c>
      <c r="AG470">
        <v>0</v>
      </c>
      <c r="AH470">
        <v>0</v>
      </c>
      <c r="AI470">
        <v>7.9972496000000004E-2</v>
      </c>
      <c r="AJ470">
        <v>0</v>
      </c>
      <c r="AK470">
        <v>0</v>
      </c>
      <c r="AL470">
        <v>32.090004</v>
      </c>
      <c r="AM470">
        <v>0</v>
      </c>
      <c r="AN470">
        <v>0</v>
      </c>
      <c r="AO470">
        <v>0</v>
      </c>
      <c r="AP470">
        <v>7.0033715000000004E-4</v>
      </c>
      <c r="AQ470" s="163">
        <v>3.7200346000000003E-5</v>
      </c>
      <c r="AR470">
        <v>1.0306684E-2</v>
      </c>
      <c r="AS470" s="163">
        <v>1.7299349999999999E-5</v>
      </c>
      <c r="AT470">
        <v>0</v>
      </c>
      <c r="AU470">
        <v>0</v>
      </c>
      <c r="AV470">
        <v>0</v>
      </c>
      <c r="AW470">
        <v>0</v>
      </c>
      <c r="AX470">
        <v>0</v>
      </c>
    </row>
    <row r="471" spans="1:50">
      <c r="A471" t="s">
        <v>1711</v>
      </c>
      <c r="B471" s="189">
        <f t="shared" si="7"/>
        <v>0.35981156278945764</v>
      </c>
      <c r="C471" s="163">
        <v>5.3863161000000002E-7</v>
      </c>
      <c r="D471">
        <v>2.6523169999999999E-2</v>
      </c>
      <c r="E471">
        <v>3.9843375999999999</v>
      </c>
      <c r="F471" s="163">
        <v>7.0479327999999999E-7</v>
      </c>
      <c r="G471">
        <v>2.0467608000000002E-3</v>
      </c>
      <c r="H471">
        <v>7.4870290999999997E-3</v>
      </c>
      <c r="I471">
        <v>9.8327235999999996E-4</v>
      </c>
      <c r="J471">
        <v>1.1593823000000001</v>
      </c>
      <c r="K471">
        <v>2.4037356999999999E-2</v>
      </c>
      <c r="L471">
        <v>82.714012999999994</v>
      </c>
      <c r="M471">
        <v>1.6954559999999999E-3</v>
      </c>
      <c r="N471">
        <v>4.0156453000000001</v>
      </c>
      <c r="O471">
        <v>4.0135956000000004</v>
      </c>
      <c r="P471">
        <v>1.8223037E-3</v>
      </c>
      <c r="Q471">
        <v>2.2743584000000001E-4</v>
      </c>
      <c r="R471" s="163">
        <v>8.8878472000000002E-7</v>
      </c>
      <c r="S471">
        <v>8.7947574000000004E-3</v>
      </c>
      <c r="T471" s="163">
        <v>1.3582339E-5</v>
      </c>
      <c r="U471">
        <v>1.0660054E-3</v>
      </c>
      <c r="V471">
        <v>1.2535167E-2</v>
      </c>
      <c r="W471">
        <v>6.290459E-3</v>
      </c>
      <c r="X471" s="163">
        <v>5.3863584000000001E-7</v>
      </c>
      <c r="Y471">
        <v>56.642190999999997</v>
      </c>
      <c r="Z471">
        <v>0.25944458999999997</v>
      </c>
      <c r="AA471" s="163">
        <v>1.0080109E-7</v>
      </c>
      <c r="AB471">
        <v>0.24592974000000001</v>
      </c>
      <c r="AC471">
        <v>29.059197000000001</v>
      </c>
      <c r="AD471" s="163">
        <v>4.6930996999999998E-10</v>
      </c>
      <c r="AE471" s="163">
        <v>2.0761267999999999E-8</v>
      </c>
      <c r="AF471">
        <v>7.1271313000000003</v>
      </c>
      <c r="AG471">
        <v>0</v>
      </c>
      <c r="AH471">
        <v>0</v>
      </c>
      <c r="AI471">
        <v>0.29307948</v>
      </c>
      <c r="AJ471">
        <v>0</v>
      </c>
      <c r="AK471">
        <v>0</v>
      </c>
      <c r="AL471">
        <v>60.137407000000003</v>
      </c>
      <c r="AM471">
        <v>0</v>
      </c>
      <c r="AN471">
        <v>0</v>
      </c>
      <c r="AO471">
        <v>0</v>
      </c>
      <c r="AP471">
        <v>6.7799649999999998E-3</v>
      </c>
      <c r="AQ471" s="163">
        <v>1.8275163E-5</v>
      </c>
      <c r="AR471">
        <v>2.7606724999999999E-2</v>
      </c>
      <c r="AS471">
        <v>3.9749894999999998E-4</v>
      </c>
      <c r="AT471">
        <v>0</v>
      </c>
      <c r="AU471">
        <v>0</v>
      </c>
      <c r="AV471">
        <v>0</v>
      </c>
      <c r="AW471">
        <v>0</v>
      </c>
      <c r="AX471">
        <v>0</v>
      </c>
    </row>
    <row r="472" spans="1:50">
      <c r="A472" t="s">
        <v>1584</v>
      </c>
      <c r="B472" s="189">
        <f t="shared" si="7"/>
        <v>2.3517095413548794E-2</v>
      </c>
      <c r="C472" s="163">
        <v>3.520468E-8</v>
      </c>
      <c r="D472">
        <v>1.7335404999999999E-3</v>
      </c>
      <c r="E472">
        <v>0.26041421999999997</v>
      </c>
      <c r="F472" s="163">
        <v>4.6064919999999997E-8</v>
      </c>
      <c r="G472">
        <v>1.3377520999999999E-4</v>
      </c>
      <c r="H472">
        <v>4.8934830999999997E-4</v>
      </c>
      <c r="I472" s="163">
        <v>6.4266166999999994E-5</v>
      </c>
      <c r="J472">
        <v>7.5776620000000003E-2</v>
      </c>
      <c r="K472">
        <v>1.5710691000000001E-3</v>
      </c>
      <c r="L472">
        <v>5.4061446999999996</v>
      </c>
      <c r="M472">
        <v>1.1081411999999999E-4</v>
      </c>
      <c r="N472">
        <v>0.26246048</v>
      </c>
      <c r="O472">
        <v>0.26232651000000001</v>
      </c>
      <c r="P472">
        <v>1.1910482000000001E-4</v>
      </c>
      <c r="Q472" s="163">
        <v>1.4865088E-5</v>
      </c>
      <c r="R472" s="163">
        <v>5.8090504000000001E-8</v>
      </c>
      <c r="S472">
        <v>5.7482074000000005E-4</v>
      </c>
      <c r="T472" s="163">
        <v>8.8773460000000003E-7</v>
      </c>
      <c r="U472" s="163">
        <v>6.9673552999999995E-5</v>
      </c>
      <c r="V472">
        <v>8.1929199000000004E-4</v>
      </c>
      <c r="W472">
        <v>4.1114111000000001E-4</v>
      </c>
      <c r="X472" s="163">
        <v>3.5204956999999999E-8</v>
      </c>
      <c r="Y472">
        <v>3.7021039999999998</v>
      </c>
      <c r="Z472">
        <v>1.6957163000000001E-2</v>
      </c>
      <c r="AA472" s="163">
        <v>6.5883062E-9</v>
      </c>
      <c r="AB472">
        <v>1.6073838999999999E-2</v>
      </c>
      <c r="AC472">
        <v>1.8992939</v>
      </c>
      <c r="AD472" s="163">
        <v>3.0673853999999998E-11</v>
      </c>
      <c r="AE472" s="163">
        <v>1.3569456E-9</v>
      </c>
      <c r="AF472">
        <v>0.46582558000000002</v>
      </c>
      <c r="AG472">
        <v>0</v>
      </c>
      <c r="AH472">
        <v>0</v>
      </c>
      <c r="AI472">
        <v>1.9155520999999998E-2</v>
      </c>
      <c r="AJ472">
        <v>0</v>
      </c>
      <c r="AK472">
        <v>0</v>
      </c>
      <c r="AL472">
        <v>3.9305495000000001</v>
      </c>
      <c r="AM472">
        <v>0</v>
      </c>
      <c r="AN472">
        <v>0</v>
      </c>
      <c r="AO472">
        <v>0</v>
      </c>
      <c r="AP472">
        <v>4.4313497E-4</v>
      </c>
      <c r="AQ472" s="163">
        <v>1.1944550999999999E-6</v>
      </c>
      <c r="AR472">
        <v>1.8043611E-3</v>
      </c>
      <c r="AS472" s="163">
        <v>2.5980322999999999E-5</v>
      </c>
      <c r="AT472">
        <v>0</v>
      </c>
      <c r="AU472">
        <v>0</v>
      </c>
      <c r="AV472">
        <v>0</v>
      </c>
      <c r="AW472">
        <v>0</v>
      </c>
      <c r="AX472">
        <v>0</v>
      </c>
    </row>
    <row r="473" spans="1:50">
      <c r="A473" t="s">
        <v>1712</v>
      </c>
      <c r="B473" s="189">
        <f t="shared" si="7"/>
        <v>0.43724070296110806</v>
      </c>
      <c r="C473" s="163">
        <v>1.1074338E-6</v>
      </c>
      <c r="D473">
        <v>2.2732697999999999E-2</v>
      </c>
      <c r="E473">
        <v>3.2837936000000001</v>
      </c>
      <c r="F473" s="163">
        <v>5.9530639000000004E-7</v>
      </c>
      <c r="G473">
        <v>3.3272345999999999E-3</v>
      </c>
      <c r="H473">
        <v>2.491289E-2</v>
      </c>
      <c r="I473">
        <v>5.6057664E-3</v>
      </c>
      <c r="J473">
        <v>1.1829493</v>
      </c>
      <c r="K473">
        <v>1.6487343000000002E-2</v>
      </c>
      <c r="L473">
        <v>55.603316999999997</v>
      </c>
      <c r="M473">
        <v>1.9573185000000002E-3</v>
      </c>
      <c r="N473">
        <v>3.319347</v>
      </c>
      <c r="O473">
        <v>3.3185175</v>
      </c>
      <c r="P473">
        <v>5.4766508000000003E-4</v>
      </c>
      <c r="Q473">
        <v>2.8186360999999998E-4</v>
      </c>
      <c r="R473" s="163">
        <v>7.4971081999999996E-7</v>
      </c>
      <c r="S473">
        <v>3.4783792000000001E-2</v>
      </c>
      <c r="T473" s="163">
        <v>2.5346415999999999E-5</v>
      </c>
      <c r="U473">
        <v>1.507732E-2</v>
      </c>
      <c r="V473">
        <v>0.16569638</v>
      </c>
      <c r="W473">
        <v>4.5520353999999999E-2</v>
      </c>
      <c r="X473" s="163">
        <v>1.107448E-6</v>
      </c>
      <c r="Y473">
        <v>47.992516000000002</v>
      </c>
      <c r="Z473">
        <v>0.25872843000000001</v>
      </c>
      <c r="AA473" s="163">
        <v>9.1009035999999995E-7</v>
      </c>
      <c r="AB473">
        <v>0.2068439</v>
      </c>
      <c r="AC473">
        <v>27.130693000000001</v>
      </c>
      <c r="AD473" s="163">
        <v>9.3342673000000007E-10</v>
      </c>
      <c r="AE473" s="163">
        <v>2.3639015999999999E-8</v>
      </c>
      <c r="AF473">
        <v>6.0785792000000001</v>
      </c>
      <c r="AG473">
        <v>0</v>
      </c>
      <c r="AH473">
        <v>0</v>
      </c>
      <c r="AI473">
        <v>0.27802715</v>
      </c>
      <c r="AJ473">
        <v>0</v>
      </c>
      <c r="AK473">
        <v>0</v>
      </c>
      <c r="AL473">
        <v>50.962957000000003</v>
      </c>
      <c r="AM473">
        <v>0</v>
      </c>
      <c r="AN473">
        <v>0</v>
      </c>
      <c r="AO473">
        <v>0</v>
      </c>
      <c r="AP473">
        <v>6.5867963000000003E-3</v>
      </c>
      <c r="AQ473" s="163">
        <v>2.1401270999999999E-5</v>
      </c>
      <c r="AR473">
        <v>5.114722E-2</v>
      </c>
      <c r="AS473">
        <v>3.3336630999999999E-4</v>
      </c>
      <c r="AT473">
        <v>0</v>
      </c>
      <c r="AU473">
        <v>0</v>
      </c>
      <c r="AV473">
        <v>0</v>
      </c>
      <c r="AW473">
        <v>0</v>
      </c>
      <c r="AX473">
        <v>0</v>
      </c>
    </row>
    <row r="474" spans="1:50">
      <c r="A474" t="s">
        <v>1713</v>
      </c>
      <c r="B474" s="189">
        <f t="shared" si="7"/>
        <v>1.22134276267848E-2</v>
      </c>
      <c r="C474" s="163">
        <v>3.0933904999999997E-8</v>
      </c>
      <c r="D474">
        <v>6.3499156000000005E-4</v>
      </c>
      <c r="E474">
        <v>9.1726079000000002E-2</v>
      </c>
      <c r="F474" s="163">
        <v>1.662867E-8</v>
      </c>
      <c r="G474" s="163">
        <v>9.2939512999999996E-5</v>
      </c>
      <c r="H474">
        <v>6.9589078999999999E-4</v>
      </c>
      <c r="I474">
        <v>1.5658565E-4</v>
      </c>
      <c r="J474">
        <v>3.3043278000000002E-2</v>
      </c>
      <c r="K474">
        <v>4.6054031999999997E-4</v>
      </c>
      <c r="L474">
        <v>1.5531653000000001</v>
      </c>
      <c r="M474" s="163">
        <v>5.4673701000000001E-5</v>
      </c>
      <c r="N474">
        <v>9.2719191000000006E-2</v>
      </c>
      <c r="O474">
        <v>9.2696020000000004E-2</v>
      </c>
      <c r="P474" s="163">
        <v>1.5297907000000001E-5</v>
      </c>
      <c r="Q474" s="163">
        <v>7.8732851000000002E-6</v>
      </c>
      <c r="R474" s="163">
        <v>2.0941642999999999E-8</v>
      </c>
      <c r="S474">
        <v>9.7161429000000002E-4</v>
      </c>
      <c r="T474" s="163">
        <v>7.0800044999999998E-7</v>
      </c>
      <c r="U474">
        <v>4.2115418000000001E-4</v>
      </c>
      <c r="V474">
        <v>4.6283905999999998E-3</v>
      </c>
      <c r="W474">
        <v>1.2715183E-3</v>
      </c>
      <c r="X474" s="163">
        <v>3.0934300999999998E-8</v>
      </c>
      <c r="Y474">
        <v>1.3405731000000001</v>
      </c>
      <c r="Z474">
        <v>7.227051E-3</v>
      </c>
      <c r="AA474" s="163">
        <v>2.5421517999999999E-8</v>
      </c>
      <c r="AB474">
        <v>5.7777623999999998E-3</v>
      </c>
      <c r="AC474">
        <v>0.75784057999999999</v>
      </c>
      <c r="AD474" s="163">
        <v>2.6073372000000002E-11</v>
      </c>
      <c r="AE474" s="163">
        <v>6.6030772000000005E-10</v>
      </c>
      <c r="AF474">
        <v>0.16979272000000001</v>
      </c>
      <c r="AG474">
        <v>0</v>
      </c>
      <c r="AH474">
        <v>0</v>
      </c>
      <c r="AI474">
        <v>7.7661216000000002E-3</v>
      </c>
      <c r="AJ474">
        <v>0</v>
      </c>
      <c r="AK474">
        <v>0</v>
      </c>
      <c r="AL474">
        <v>1.4235462999999999</v>
      </c>
      <c r="AM474">
        <v>0</v>
      </c>
      <c r="AN474">
        <v>0</v>
      </c>
      <c r="AO474">
        <v>0</v>
      </c>
      <c r="AP474">
        <v>1.8398872E-4</v>
      </c>
      <c r="AQ474" s="163">
        <v>5.9780088000000004E-7</v>
      </c>
      <c r="AR474">
        <v>1.4286933000000001E-3</v>
      </c>
      <c r="AS474" s="163">
        <v>9.3119081999999998E-6</v>
      </c>
      <c r="AT474">
        <v>0</v>
      </c>
      <c r="AU474">
        <v>0</v>
      </c>
      <c r="AV474">
        <v>0</v>
      </c>
      <c r="AW474">
        <v>0</v>
      </c>
      <c r="AX474">
        <v>0</v>
      </c>
    </row>
    <row r="475" spans="1:50">
      <c r="A475" t="s">
        <v>1714</v>
      </c>
      <c r="B475" s="189">
        <f t="shared" si="7"/>
        <v>0.1177393852291448</v>
      </c>
      <c r="C475" s="163">
        <v>3.9146653000000001E-7</v>
      </c>
      <c r="D475">
        <v>2.5561006000000001E-2</v>
      </c>
      <c r="E475">
        <v>0.66452613999999999</v>
      </c>
      <c r="F475" s="163">
        <v>6.9733915000000001E-7</v>
      </c>
      <c r="G475">
        <v>8.9497776999999999E-4</v>
      </c>
      <c r="H475">
        <v>6.3564027000000004E-3</v>
      </c>
      <c r="I475">
        <v>8.1904614000000001E-4</v>
      </c>
      <c r="J475">
        <v>0.43569745999999998</v>
      </c>
      <c r="K475">
        <v>1.7431067000000001E-2</v>
      </c>
      <c r="L475">
        <v>60.161546000000001</v>
      </c>
      <c r="M475">
        <v>1.0582475E-3</v>
      </c>
      <c r="N475">
        <v>0.67791727999999996</v>
      </c>
      <c r="O475">
        <v>0.67696392999999999</v>
      </c>
      <c r="P475">
        <v>7.2684582999999999E-4</v>
      </c>
      <c r="Q475">
        <v>2.2650014000000001E-4</v>
      </c>
      <c r="R475" s="163">
        <v>8.7938959000000004E-7</v>
      </c>
      <c r="S475">
        <v>7.3439823000000003E-3</v>
      </c>
      <c r="T475" s="163">
        <v>1.0508106999999999E-5</v>
      </c>
      <c r="U475">
        <v>7.6137758999999996E-4</v>
      </c>
      <c r="V475">
        <v>8.5449848000000005E-3</v>
      </c>
      <c r="W475">
        <v>3.6351530999999999E-3</v>
      </c>
      <c r="X475" s="163">
        <v>3.9146733E-7</v>
      </c>
      <c r="Y475">
        <v>54.370145000000001</v>
      </c>
      <c r="Z475">
        <v>0.25551542999999999</v>
      </c>
      <c r="AA475" s="163">
        <v>4.2524734999999997E-8</v>
      </c>
      <c r="AB475">
        <v>0.23861810999999999</v>
      </c>
      <c r="AC475">
        <v>27.620374000000002</v>
      </c>
      <c r="AD475" s="163">
        <v>1.8941835999999999E-10</v>
      </c>
      <c r="AE475" s="163">
        <v>7.6432742000000007E-9</v>
      </c>
      <c r="AF475">
        <v>6.7211692000000003</v>
      </c>
      <c r="AG475">
        <v>0</v>
      </c>
      <c r="AH475">
        <v>0</v>
      </c>
      <c r="AI475">
        <v>0.18878155999999999</v>
      </c>
      <c r="AJ475">
        <v>0</v>
      </c>
      <c r="AK475">
        <v>0</v>
      </c>
      <c r="AL475">
        <v>57.720275999999998</v>
      </c>
      <c r="AM475">
        <v>0</v>
      </c>
      <c r="AN475">
        <v>0</v>
      </c>
      <c r="AO475">
        <v>0</v>
      </c>
      <c r="AP475">
        <v>6.3575009000000002E-3</v>
      </c>
      <c r="AQ475" s="163">
        <v>1.6976599999999999E-5</v>
      </c>
      <c r="AR475">
        <v>2.6356948000000002E-2</v>
      </c>
      <c r="AS475">
        <v>3.8824086999999998E-4</v>
      </c>
      <c r="AT475">
        <v>0</v>
      </c>
      <c r="AU475">
        <v>0</v>
      </c>
      <c r="AV475">
        <v>0</v>
      </c>
      <c r="AW475">
        <v>0</v>
      </c>
      <c r="AX475">
        <v>0</v>
      </c>
    </row>
    <row r="476" spans="1:50">
      <c r="A476" t="s">
        <v>1715</v>
      </c>
      <c r="B476" s="189">
        <f t="shared" si="7"/>
        <v>4.2053784683667996E-5</v>
      </c>
      <c r="C476" s="163">
        <v>1.0400238000000001E-9</v>
      </c>
      <c r="D476" s="163">
        <v>2.5653695999999999E-6</v>
      </c>
      <c r="E476">
        <v>3.4992838E-4</v>
      </c>
      <c r="F476" s="163">
        <v>3.6040562E-11</v>
      </c>
      <c r="G476" s="163">
        <v>2.1133506000000001E-7</v>
      </c>
      <c r="H476" s="163">
        <v>1.9786307999999999E-6</v>
      </c>
      <c r="I476" s="163">
        <v>2.7637498999999998E-7</v>
      </c>
      <c r="J476">
        <v>1.337922E-4</v>
      </c>
      <c r="K476" s="163">
        <v>2.8637553000000001E-6</v>
      </c>
      <c r="L476">
        <v>9.5411482999999998E-3</v>
      </c>
      <c r="M476" s="163">
        <v>3.9960868000000001E-6</v>
      </c>
      <c r="N476">
        <v>3.6293993999999999E-4</v>
      </c>
      <c r="O476">
        <v>3.5579664000000001E-4</v>
      </c>
      <c r="P476" s="163">
        <v>6.6004581999999997E-6</v>
      </c>
      <c r="Q476" s="163">
        <v>5.4283518999999998E-7</v>
      </c>
      <c r="R476" s="163">
        <v>3.0634092999999999E-11</v>
      </c>
      <c r="S476" s="163">
        <v>2.5144767E-6</v>
      </c>
      <c r="T476" s="163">
        <v>3.2826150999999997E-8</v>
      </c>
      <c r="U476" s="163">
        <v>3.4303418999999997E-7</v>
      </c>
      <c r="V476" s="163">
        <v>5.5813346000000004E-6</v>
      </c>
      <c r="W476" s="163">
        <v>1.2158582000000001E-6</v>
      </c>
      <c r="X476" s="163">
        <v>1.0400349999999999E-9</v>
      </c>
      <c r="Y476">
        <v>6.1475658999999997E-3</v>
      </c>
      <c r="Z476">
        <v>4.3025417000000003E-2</v>
      </c>
      <c r="AA476" s="163">
        <v>1.948665E-11</v>
      </c>
      <c r="AB476" s="163">
        <v>4.2248817000000001E-5</v>
      </c>
      <c r="AC476">
        <v>6.4078965000000003E-3</v>
      </c>
      <c r="AD476" s="163">
        <v>9.4080661000000005E-13</v>
      </c>
      <c r="AE476" s="163">
        <v>2.1019740000000001E-11</v>
      </c>
      <c r="AF476">
        <v>1.6525171000000001E-3</v>
      </c>
      <c r="AG476">
        <v>0</v>
      </c>
      <c r="AH476">
        <v>0</v>
      </c>
      <c r="AI476">
        <v>7.7609781999999998E-4</v>
      </c>
      <c r="AJ476">
        <v>0</v>
      </c>
      <c r="AK476">
        <v>0</v>
      </c>
      <c r="AL476">
        <v>6.4620716999999996E-3</v>
      </c>
      <c r="AM476">
        <v>0</v>
      </c>
      <c r="AN476">
        <v>0</v>
      </c>
      <c r="AO476">
        <v>0</v>
      </c>
      <c r="AP476">
        <v>1.0059756999999999E-3</v>
      </c>
      <c r="AQ476" s="163">
        <v>1.3075730999999999E-8</v>
      </c>
      <c r="AR476" s="163">
        <v>6.7892826999999995E-5</v>
      </c>
      <c r="AS476" s="163">
        <v>3.7003244999999999E-8</v>
      </c>
      <c r="AT476">
        <v>0</v>
      </c>
      <c r="AU476">
        <v>0</v>
      </c>
      <c r="AV476">
        <v>0</v>
      </c>
      <c r="AW476">
        <v>0</v>
      </c>
      <c r="AX476">
        <v>0</v>
      </c>
    </row>
    <row r="477" spans="1:50">
      <c r="A477" t="s">
        <v>1716</v>
      </c>
      <c r="B477" s="189">
        <f t="shared" si="7"/>
        <v>0.31869948840000001</v>
      </c>
      <c r="C477" s="163">
        <v>1.61E-6</v>
      </c>
      <c r="D477">
        <v>2.3499709000000001E-2</v>
      </c>
      <c r="E477">
        <v>3.4394198999999999</v>
      </c>
      <c r="F477" s="163">
        <v>5.99E-7</v>
      </c>
      <c r="G477">
        <v>1.1324060000000001E-3</v>
      </c>
      <c r="H477">
        <v>1.008739E-2</v>
      </c>
      <c r="I477">
        <v>1.930027E-3</v>
      </c>
      <c r="J477">
        <v>0.85150820999999999</v>
      </c>
      <c r="K477">
        <v>1.6863027999999999E-2</v>
      </c>
      <c r="L477">
        <v>56.423310999999998</v>
      </c>
      <c r="M477">
        <v>3.0289420000000002E-3</v>
      </c>
      <c r="N477">
        <v>0</v>
      </c>
      <c r="O477">
        <v>0</v>
      </c>
      <c r="P477">
        <v>0</v>
      </c>
      <c r="Q477">
        <v>0</v>
      </c>
      <c r="R477">
        <v>0</v>
      </c>
      <c r="S477">
        <v>0</v>
      </c>
      <c r="T477">
        <v>0</v>
      </c>
      <c r="U477">
        <v>0</v>
      </c>
      <c r="V477">
        <v>0</v>
      </c>
      <c r="W477">
        <v>0</v>
      </c>
      <c r="X477">
        <v>0</v>
      </c>
      <c r="Y477">
        <v>0</v>
      </c>
      <c r="Z477">
        <v>0</v>
      </c>
      <c r="AA477">
        <v>0</v>
      </c>
      <c r="AB477">
        <v>0</v>
      </c>
      <c r="AC477">
        <v>0</v>
      </c>
      <c r="AD477">
        <v>0</v>
      </c>
      <c r="AE477">
        <v>0</v>
      </c>
      <c r="AF477">
        <v>0</v>
      </c>
      <c r="AG477">
        <v>0</v>
      </c>
      <c r="AH477">
        <v>0</v>
      </c>
      <c r="AI477">
        <v>0.38251135000000003</v>
      </c>
      <c r="AJ477">
        <v>0</v>
      </c>
      <c r="AK477">
        <v>0</v>
      </c>
      <c r="AL477">
        <v>52.453285999999999</v>
      </c>
      <c r="AM477">
        <v>0</v>
      </c>
      <c r="AN477">
        <v>0</v>
      </c>
      <c r="AO477">
        <v>0</v>
      </c>
      <c r="AP477">
        <v>4.9554630000000002E-3</v>
      </c>
      <c r="AQ477">
        <v>3.6210099999999998E-4</v>
      </c>
      <c r="AR477">
        <v>8.7994408999999996E-2</v>
      </c>
      <c r="AS477">
        <v>0</v>
      </c>
      <c r="AT477">
        <v>0</v>
      </c>
      <c r="AU477">
        <v>0</v>
      </c>
      <c r="AV477">
        <v>0</v>
      </c>
      <c r="AW477">
        <v>0</v>
      </c>
      <c r="AX477">
        <v>0</v>
      </c>
    </row>
    <row r="478" spans="1:50">
      <c r="A478" t="s">
        <v>1717</v>
      </c>
      <c r="B478" s="189">
        <f t="shared" si="7"/>
        <v>0.28076039002679998</v>
      </c>
      <c r="C478" s="163">
        <v>3.7459800000000001E-6</v>
      </c>
      <c r="D478">
        <v>8.1911569999999993E-3</v>
      </c>
      <c r="E478">
        <v>1.4120326000000001</v>
      </c>
      <c r="F478" s="163">
        <v>1.3318500000000001E-7</v>
      </c>
      <c r="G478">
        <v>1.161933E-3</v>
      </c>
      <c r="H478">
        <v>1.2621103E-2</v>
      </c>
      <c r="I478">
        <v>5.4177339999999996E-3</v>
      </c>
      <c r="J478">
        <v>0.78706969999999998</v>
      </c>
      <c r="K478">
        <v>0.56908066999999996</v>
      </c>
      <c r="L478">
        <v>47.065843000000001</v>
      </c>
      <c r="M478">
        <v>0.24434031</v>
      </c>
      <c r="N478">
        <v>0</v>
      </c>
      <c r="O478">
        <v>0</v>
      </c>
      <c r="P478">
        <v>0</v>
      </c>
      <c r="Q478">
        <v>0</v>
      </c>
      <c r="R478">
        <v>0</v>
      </c>
      <c r="S478">
        <v>0</v>
      </c>
      <c r="T478">
        <v>0</v>
      </c>
      <c r="U478">
        <v>0</v>
      </c>
      <c r="V478">
        <v>0</v>
      </c>
      <c r="W478">
        <v>0</v>
      </c>
      <c r="X478">
        <v>0</v>
      </c>
      <c r="Y478">
        <v>0</v>
      </c>
      <c r="Z478">
        <v>0</v>
      </c>
      <c r="AA478">
        <v>0</v>
      </c>
      <c r="AB478">
        <v>0</v>
      </c>
      <c r="AC478">
        <v>0</v>
      </c>
      <c r="AD478">
        <v>0</v>
      </c>
      <c r="AE478">
        <v>0</v>
      </c>
      <c r="AF478">
        <v>0</v>
      </c>
      <c r="AG478">
        <v>0</v>
      </c>
      <c r="AH478">
        <v>0</v>
      </c>
      <c r="AI478">
        <v>7.8425852000000003</v>
      </c>
      <c r="AJ478">
        <v>0</v>
      </c>
      <c r="AK478">
        <v>0</v>
      </c>
      <c r="AL478">
        <v>17.282464999999998</v>
      </c>
      <c r="AM478">
        <v>0</v>
      </c>
      <c r="AN478">
        <v>0</v>
      </c>
      <c r="AO478">
        <v>0</v>
      </c>
      <c r="AP478">
        <v>6.1195511000000001E-2</v>
      </c>
      <c r="AQ478">
        <v>1.01375E-4</v>
      </c>
      <c r="AR478">
        <v>0.28137313000000003</v>
      </c>
      <c r="AS478">
        <v>0</v>
      </c>
      <c r="AT478">
        <v>0</v>
      </c>
      <c r="AU478">
        <v>0</v>
      </c>
      <c r="AV478">
        <v>0</v>
      </c>
      <c r="AW478">
        <v>0</v>
      </c>
      <c r="AX478">
        <v>0</v>
      </c>
    </row>
    <row r="479" spans="1:50">
      <c r="A479" t="s">
        <v>1718</v>
      </c>
      <c r="B479" s="189">
        <f t="shared" si="7"/>
        <v>0.30084471720160005</v>
      </c>
      <c r="C479" s="163">
        <v>4.9766099999999998E-6</v>
      </c>
      <c r="D479">
        <v>2.9557997999999999E-2</v>
      </c>
      <c r="E479">
        <v>3.6464679000000002</v>
      </c>
      <c r="F479" s="163">
        <v>4.8496800000000003E-8</v>
      </c>
      <c r="G479">
        <v>7.3272599999999995E-4</v>
      </c>
      <c r="H479">
        <v>7.5222819999999999E-3</v>
      </c>
      <c r="I479">
        <v>1.6170069999999999E-3</v>
      </c>
      <c r="J479">
        <v>0.72401855000000004</v>
      </c>
      <c r="K479">
        <v>5.7505819999999997E-3</v>
      </c>
      <c r="L479">
        <v>21.711936000000001</v>
      </c>
      <c r="M479">
        <v>2.9461299999999999E-3</v>
      </c>
      <c r="N479">
        <v>0</v>
      </c>
      <c r="O479">
        <v>0</v>
      </c>
      <c r="P479">
        <v>0</v>
      </c>
      <c r="Q479">
        <v>0</v>
      </c>
      <c r="R479">
        <v>0</v>
      </c>
      <c r="S479">
        <v>0</v>
      </c>
      <c r="T479">
        <v>0</v>
      </c>
      <c r="U479">
        <v>0</v>
      </c>
      <c r="V479">
        <v>0</v>
      </c>
      <c r="W479">
        <v>0</v>
      </c>
      <c r="X479">
        <v>0</v>
      </c>
      <c r="Y479">
        <v>0</v>
      </c>
      <c r="Z479">
        <v>0</v>
      </c>
      <c r="AA479">
        <v>0</v>
      </c>
      <c r="AB479">
        <v>0</v>
      </c>
      <c r="AC479">
        <v>0</v>
      </c>
      <c r="AD479">
        <v>0</v>
      </c>
      <c r="AE479">
        <v>0</v>
      </c>
      <c r="AF479">
        <v>0</v>
      </c>
      <c r="AG479">
        <v>0</v>
      </c>
      <c r="AH479">
        <v>0</v>
      </c>
      <c r="AI479">
        <v>0.43101465</v>
      </c>
      <c r="AJ479">
        <v>0</v>
      </c>
      <c r="AK479">
        <v>0</v>
      </c>
      <c r="AL479">
        <v>63.038445000000003</v>
      </c>
      <c r="AM479">
        <v>0</v>
      </c>
      <c r="AN479">
        <v>0</v>
      </c>
      <c r="AO479">
        <v>0</v>
      </c>
      <c r="AP479">
        <v>2.815166E-3</v>
      </c>
      <c r="AQ479" s="163">
        <v>9.6151599999999996E-5</v>
      </c>
      <c r="AR479">
        <v>0.10683953</v>
      </c>
      <c r="AS479">
        <v>0</v>
      </c>
      <c r="AT479">
        <v>0</v>
      </c>
      <c r="AU479">
        <v>0</v>
      </c>
      <c r="AV479">
        <v>0</v>
      </c>
      <c r="AW479">
        <v>0</v>
      </c>
      <c r="AX479">
        <v>0</v>
      </c>
    </row>
    <row r="480" spans="1:50">
      <c r="A480" t="s">
        <v>1719</v>
      </c>
      <c r="B480" s="189">
        <f t="shared" si="7"/>
        <v>0.2316278957258</v>
      </c>
      <c r="C480" s="163">
        <v>2.1015300000000001E-6</v>
      </c>
      <c r="D480">
        <v>5.2707159999999999E-3</v>
      </c>
      <c r="E480">
        <v>1.3518270999999999</v>
      </c>
      <c r="F480" s="163">
        <v>8.2030699999999999E-8</v>
      </c>
      <c r="G480">
        <v>9.9116999999999999E-4</v>
      </c>
      <c r="H480">
        <v>8.2648489999999995E-3</v>
      </c>
      <c r="I480">
        <v>3.0546729999999999E-3</v>
      </c>
      <c r="J480">
        <v>0.76225082</v>
      </c>
      <c r="K480">
        <v>0.50941270999999999</v>
      </c>
      <c r="L480">
        <v>32.793705000000003</v>
      </c>
      <c r="M480">
        <v>0.22487183999999999</v>
      </c>
      <c r="N480">
        <v>0</v>
      </c>
      <c r="O480">
        <v>0</v>
      </c>
      <c r="P480">
        <v>0</v>
      </c>
      <c r="Q480">
        <v>0</v>
      </c>
      <c r="R480">
        <v>0</v>
      </c>
      <c r="S480">
        <v>0</v>
      </c>
      <c r="T480">
        <v>0</v>
      </c>
      <c r="U480">
        <v>0</v>
      </c>
      <c r="V480">
        <v>0</v>
      </c>
      <c r="W480">
        <v>0</v>
      </c>
      <c r="X480">
        <v>0</v>
      </c>
      <c r="Y480">
        <v>0</v>
      </c>
      <c r="Z480">
        <v>0</v>
      </c>
      <c r="AA480">
        <v>0</v>
      </c>
      <c r="AB480">
        <v>0</v>
      </c>
      <c r="AC480">
        <v>0</v>
      </c>
      <c r="AD480">
        <v>0</v>
      </c>
      <c r="AE480">
        <v>0</v>
      </c>
      <c r="AF480">
        <v>0</v>
      </c>
      <c r="AG480">
        <v>0</v>
      </c>
      <c r="AH480">
        <v>0</v>
      </c>
      <c r="AI480">
        <v>2.4626125999999999</v>
      </c>
      <c r="AJ480">
        <v>0</v>
      </c>
      <c r="AK480">
        <v>0</v>
      </c>
      <c r="AL480">
        <v>11.032173999999999</v>
      </c>
      <c r="AM480">
        <v>0</v>
      </c>
      <c r="AN480">
        <v>0</v>
      </c>
      <c r="AO480">
        <v>0</v>
      </c>
      <c r="AP480">
        <v>1.9411060000000001E-2</v>
      </c>
      <c r="AQ480" s="163">
        <v>6.1032700000000003E-5</v>
      </c>
      <c r="AR480">
        <v>0.24398971</v>
      </c>
      <c r="AS480">
        <v>0</v>
      </c>
      <c r="AT480">
        <v>0</v>
      </c>
      <c r="AU480">
        <v>0</v>
      </c>
      <c r="AV480">
        <v>0</v>
      </c>
      <c r="AW480">
        <v>0</v>
      </c>
      <c r="AX480">
        <v>0</v>
      </c>
    </row>
    <row r="481" spans="1:50">
      <c r="A481" t="s">
        <v>1720</v>
      </c>
      <c r="B481" s="189">
        <f t="shared" si="7"/>
        <v>0.26030556364120006</v>
      </c>
      <c r="C481" s="163">
        <v>3.87857E-6</v>
      </c>
      <c r="D481">
        <v>8.4429610000000006E-3</v>
      </c>
      <c r="E481">
        <v>1.4396163</v>
      </c>
      <c r="F481" s="163">
        <v>1.3768700000000001E-7</v>
      </c>
      <c r="G481">
        <v>1.173456E-3</v>
      </c>
      <c r="H481">
        <v>8.9956229999999995E-3</v>
      </c>
      <c r="I481">
        <v>4.4612139999999998E-3</v>
      </c>
      <c r="J481">
        <v>0.79949965000000001</v>
      </c>
      <c r="K481">
        <v>0.56927326</v>
      </c>
      <c r="L481">
        <v>47.928832</v>
      </c>
      <c r="M481">
        <v>0.24437907</v>
      </c>
      <c r="N481">
        <v>0</v>
      </c>
      <c r="O481">
        <v>0</v>
      </c>
      <c r="P481">
        <v>0</v>
      </c>
      <c r="Q481">
        <v>0</v>
      </c>
      <c r="R481">
        <v>0</v>
      </c>
      <c r="S481">
        <v>0</v>
      </c>
      <c r="T481">
        <v>0</v>
      </c>
      <c r="U481">
        <v>0</v>
      </c>
      <c r="V481">
        <v>0</v>
      </c>
      <c r="W481">
        <v>0</v>
      </c>
      <c r="X481">
        <v>0</v>
      </c>
      <c r="Y481">
        <v>0</v>
      </c>
      <c r="Z481">
        <v>0</v>
      </c>
      <c r="AA481">
        <v>0</v>
      </c>
      <c r="AB481">
        <v>0</v>
      </c>
      <c r="AC481">
        <v>0</v>
      </c>
      <c r="AD481">
        <v>0</v>
      </c>
      <c r="AE481">
        <v>0</v>
      </c>
      <c r="AF481">
        <v>0</v>
      </c>
      <c r="AG481">
        <v>0</v>
      </c>
      <c r="AH481">
        <v>0</v>
      </c>
      <c r="AI481">
        <v>7.8533024999999999</v>
      </c>
      <c r="AJ481">
        <v>0</v>
      </c>
      <c r="AK481">
        <v>0</v>
      </c>
      <c r="AL481">
        <v>17.840087</v>
      </c>
      <c r="AM481">
        <v>0</v>
      </c>
      <c r="AN481">
        <v>0</v>
      </c>
      <c r="AO481">
        <v>0</v>
      </c>
      <c r="AP481">
        <v>6.1255324999999999E-2</v>
      </c>
      <c r="AQ481">
        <v>1.03501E-4</v>
      </c>
      <c r="AR481">
        <v>0.28268589</v>
      </c>
      <c r="AS481">
        <v>0</v>
      </c>
      <c r="AT481">
        <v>0</v>
      </c>
      <c r="AU481">
        <v>0</v>
      </c>
      <c r="AV481">
        <v>0</v>
      </c>
      <c r="AW481">
        <v>0</v>
      </c>
      <c r="AX481">
        <v>0</v>
      </c>
    </row>
    <row r="482" spans="1:50">
      <c r="A482" t="s">
        <v>1721</v>
      </c>
      <c r="B482" s="189">
        <f t="shared" si="7"/>
        <v>0.29875556898119998</v>
      </c>
      <c r="C482" s="163">
        <v>1.7565700000000001E-6</v>
      </c>
      <c r="D482">
        <v>2.3772814E-2</v>
      </c>
      <c r="E482">
        <v>3.4693345</v>
      </c>
      <c r="F482" s="163">
        <v>6.0382300000000005E-7</v>
      </c>
      <c r="G482">
        <v>1.141829E-3</v>
      </c>
      <c r="H482">
        <v>6.6512869999999997E-3</v>
      </c>
      <c r="I482">
        <v>1.0215700000000001E-3</v>
      </c>
      <c r="J482">
        <v>0.85502149999999999</v>
      </c>
      <c r="K482">
        <v>1.7058931999999999E-2</v>
      </c>
      <c r="L482">
        <v>57.359029999999997</v>
      </c>
      <c r="M482">
        <v>3.070934E-3</v>
      </c>
      <c r="N482">
        <v>0</v>
      </c>
      <c r="O482">
        <v>0</v>
      </c>
      <c r="P482">
        <v>0</v>
      </c>
      <c r="Q482">
        <v>0</v>
      </c>
      <c r="R482">
        <v>0</v>
      </c>
      <c r="S482">
        <v>0</v>
      </c>
      <c r="T482">
        <v>0</v>
      </c>
      <c r="U482">
        <v>0</v>
      </c>
      <c r="V482">
        <v>0</v>
      </c>
      <c r="W482">
        <v>0</v>
      </c>
      <c r="X482">
        <v>0</v>
      </c>
      <c r="Y482">
        <v>0</v>
      </c>
      <c r="Z482">
        <v>0</v>
      </c>
      <c r="AA482">
        <v>0</v>
      </c>
      <c r="AB482">
        <v>0</v>
      </c>
      <c r="AC482">
        <v>0</v>
      </c>
      <c r="AD482">
        <v>0</v>
      </c>
      <c r="AE482">
        <v>0</v>
      </c>
      <c r="AF482">
        <v>0</v>
      </c>
      <c r="AG482">
        <v>0</v>
      </c>
      <c r="AH482">
        <v>0</v>
      </c>
      <c r="AI482">
        <v>0.39413535999999999</v>
      </c>
      <c r="AJ482">
        <v>0</v>
      </c>
      <c r="AK482">
        <v>0</v>
      </c>
      <c r="AL482">
        <v>53.058078999999999</v>
      </c>
      <c r="AM482">
        <v>0</v>
      </c>
      <c r="AN482">
        <v>0</v>
      </c>
      <c r="AO482">
        <v>0</v>
      </c>
      <c r="AP482">
        <v>5.0203380000000001E-3</v>
      </c>
      <c r="AQ482">
        <v>3.6440799999999998E-4</v>
      </c>
      <c r="AR482">
        <v>8.9418212999999996E-2</v>
      </c>
      <c r="AS482">
        <v>0</v>
      </c>
      <c r="AT482">
        <v>0</v>
      </c>
      <c r="AU482">
        <v>0</v>
      </c>
      <c r="AV482">
        <v>0</v>
      </c>
      <c r="AW482">
        <v>0</v>
      </c>
      <c r="AX482">
        <v>0</v>
      </c>
    </row>
    <row r="483" spans="1:50">
      <c r="A483" t="s">
        <v>1722</v>
      </c>
      <c r="B483" s="189">
        <f t="shared" si="7"/>
        <v>0.28275466945459998</v>
      </c>
      <c r="C483" s="163">
        <v>5.1140100000000004E-6</v>
      </c>
      <c r="D483">
        <v>2.9818931E-2</v>
      </c>
      <c r="E483">
        <v>3.6750563000000001</v>
      </c>
      <c r="F483" s="163">
        <v>5.3162100000000002E-8</v>
      </c>
      <c r="G483">
        <v>7.4466599999999995E-4</v>
      </c>
      <c r="H483">
        <v>4.2393200000000004E-3</v>
      </c>
      <c r="I483">
        <v>7.4903800000000005E-4</v>
      </c>
      <c r="J483">
        <v>0.73802394000000004</v>
      </c>
      <c r="K483">
        <v>5.9501629999999996E-3</v>
      </c>
      <c r="L483">
        <v>22.606211999999999</v>
      </c>
      <c r="M483">
        <v>2.9862949999999999E-3</v>
      </c>
      <c r="N483">
        <v>0</v>
      </c>
      <c r="O483">
        <v>0</v>
      </c>
      <c r="P483">
        <v>0</v>
      </c>
      <c r="Q483">
        <v>0</v>
      </c>
      <c r="R483">
        <v>0</v>
      </c>
      <c r="S483">
        <v>0</v>
      </c>
      <c r="T483">
        <v>0</v>
      </c>
      <c r="U483">
        <v>0</v>
      </c>
      <c r="V483">
        <v>0</v>
      </c>
      <c r="W483">
        <v>0</v>
      </c>
      <c r="X483">
        <v>0</v>
      </c>
      <c r="Y483">
        <v>0</v>
      </c>
      <c r="Z483">
        <v>0</v>
      </c>
      <c r="AA483">
        <v>0</v>
      </c>
      <c r="AB483">
        <v>0</v>
      </c>
      <c r="AC483">
        <v>0</v>
      </c>
      <c r="AD483">
        <v>0</v>
      </c>
      <c r="AE483">
        <v>0</v>
      </c>
      <c r="AF483">
        <v>0</v>
      </c>
      <c r="AG483">
        <v>0</v>
      </c>
      <c r="AH483">
        <v>0</v>
      </c>
      <c r="AI483">
        <v>0.44212059999999997</v>
      </c>
      <c r="AJ483">
        <v>0</v>
      </c>
      <c r="AK483">
        <v>0</v>
      </c>
      <c r="AL483">
        <v>63.616281999999998</v>
      </c>
      <c r="AM483">
        <v>0</v>
      </c>
      <c r="AN483">
        <v>0</v>
      </c>
      <c r="AO483">
        <v>0</v>
      </c>
      <c r="AP483">
        <v>2.8771489999999999E-3</v>
      </c>
      <c r="AQ483" s="163">
        <v>9.8355600000000004E-5</v>
      </c>
      <c r="AR483">
        <v>0.10819988</v>
      </c>
      <c r="AS483">
        <v>0</v>
      </c>
      <c r="AT483">
        <v>0</v>
      </c>
      <c r="AU483">
        <v>0</v>
      </c>
      <c r="AV483">
        <v>0</v>
      </c>
      <c r="AW483">
        <v>0</v>
      </c>
      <c r="AX483">
        <v>0</v>
      </c>
    </row>
    <row r="484" spans="1:50">
      <c r="A484" t="s">
        <v>1723</v>
      </c>
      <c r="B484" s="189">
        <f t="shared" si="7"/>
        <v>0.21343236504980001</v>
      </c>
      <c r="C484" s="163">
        <v>2.2397299999999999E-6</v>
      </c>
      <c r="D484">
        <v>5.5331699999999996E-3</v>
      </c>
      <c r="E484">
        <v>1.3805822000000001</v>
      </c>
      <c r="F484" s="163">
        <v>8.6723099999999994E-8</v>
      </c>
      <c r="G484">
        <v>1.00318E-3</v>
      </c>
      <c r="H484">
        <v>4.9627439999999998E-3</v>
      </c>
      <c r="I484">
        <v>2.181643E-3</v>
      </c>
      <c r="J484">
        <v>0.77633786000000005</v>
      </c>
      <c r="K484">
        <v>0.50961345000000002</v>
      </c>
      <c r="L484">
        <v>33.693195000000003</v>
      </c>
      <c r="M484">
        <v>0.22491224000000001</v>
      </c>
      <c r="N484">
        <v>0</v>
      </c>
      <c r="O484">
        <v>0</v>
      </c>
      <c r="P484">
        <v>0</v>
      </c>
      <c r="Q484">
        <v>0</v>
      </c>
      <c r="R484">
        <v>0</v>
      </c>
      <c r="S484">
        <v>0</v>
      </c>
      <c r="T484">
        <v>0</v>
      </c>
      <c r="U484">
        <v>0</v>
      </c>
      <c r="V484">
        <v>0</v>
      </c>
      <c r="W484">
        <v>0</v>
      </c>
      <c r="X484">
        <v>0</v>
      </c>
      <c r="Y484">
        <v>0</v>
      </c>
      <c r="Z484">
        <v>0</v>
      </c>
      <c r="AA484">
        <v>0</v>
      </c>
      <c r="AB484">
        <v>0</v>
      </c>
      <c r="AC484">
        <v>0</v>
      </c>
      <c r="AD484">
        <v>0</v>
      </c>
      <c r="AE484">
        <v>0</v>
      </c>
      <c r="AF484">
        <v>0</v>
      </c>
      <c r="AG484">
        <v>0</v>
      </c>
      <c r="AH484">
        <v>0</v>
      </c>
      <c r="AI484">
        <v>2.4737833</v>
      </c>
      <c r="AJ484">
        <v>0</v>
      </c>
      <c r="AK484">
        <v>0</v>
      </c>
      <c r="AL484">
        <v>11.613381</v>
      </c>
      <c r="AM484">
        <v>0</v>
      </c>
      <c r="AN484">
        <v>0</v>
      </c>
      <c r="AO484">
        <v>0</v>
      </c>
      <c r="AP484">
        <v>1.9473404E-2</v>
      </c>
      <c r="AQ484" s="163">
        <v>6.3249600000000005E-5</v>
      </c>
      <c r="AR484">
        <v>0.24535799</v>
      </c>
      <c r="AS484">
        <v>0</v>
      </c>
      <c r="AT484">
        <v>0</v>
      </c>
      <c r="AU484">
        <v>0</v>
      </c>
      <c r="AV484">
        <v>0</v>
      </c>
      <c r="AW484">
        <v>0</v>
      </c>
      <c r="AX484">
        <v>0</v>
      </c>
    </row>
    <row r="485" spans="1:50">
      <c r="A485" t="s">
        <v>1724</v>
      </c>
      <c r="B485" s="189">
        <f t="shared" si="7"/>
        <v>0.26030390364120004</v>
      </c>
      <c r="C485" s="163">
        <v>3.87857E-6</v>
      </c>
      <c r="D485">
        <v>8.4429610000000006E-3</v>
      </c>
      <c r="E485">
        <v>1.4396209</v>
      </c>
      <c r="F485" s="163">
        <v>1.3768700000000001E-7</v>
      </c>
      <c r="G485">
        <v>1.173456E-3</v>
      </c>
      <c r="H485">
        <v>8.9956229999999995E-3</v>
      </c>
      <c r="I485">
        <v>4.4612139999999998E-3</v>
      </c>
      <c r="J485">
        <v>0.79947864999999996</v>
      </c>
      <c r="K485">
        <v>0.56927326</v>
      </c>
      <c r="L485">
        <v>47.928832</v>
      </c>
      <c r="M485">
        <v>0.24437907</v>
      </c>
      <c r="N485">
        <v>0</v>
      </c>
      <c r="O485">
        <v>0</v>
      </c>
      <c r="P485">
        <v>0</v>
      </c>
      <c r="Q485">
        <v>0</v>
      </c>
      <c r="R485">
        <v>0</v>
      </c>
      <c r="S485">
        <v>0</v>
      </c>
      <c r="T485">
        <v>0</v>
      </c>
      <c r="U485">
        <v>0</v>
      </c>
      <c r="V485">
        <v>0</v>
      </c>
      <c r="W485">
        <v>0</v>
      </c>
      <c r="X485">
        <v>0</v>
      </c>
      <c r="Y485">
        <v>0</v>
      </c>
      <c r="Z485">
        <v>0</v>
      </c>
      <c r="AA485">
        <v>0</v>
      </c>
      <c r="AB485">
        <v>0</v>
      </c>
      <c r="AC485">
        <v>0</v>
      </c>
      <c r="AD485">
        <v>0</v>
      </c>
      <c r="AE485">
        <v>0</v>
      </c>
      <c r="AF485">
        <v>0</v>
      </c>
      <c r="AG485">
        <v>0</v>
      </c>
      <c r="AH485">
        <v>0</v>
      </c>
      <c r="AI485">
        <v>7.8533024999999999</v>
      </c>
      <c r="AJ485">
        <v>0</v>
      </c>
      <c r="AK485">
        <v>0</v>
      </c>
      <c r="AL485">
        <v>17.840087</v>
      </c>
      <c r="AM485">
        <v>0</v>
      </c>
      <c r="AN485">
        <v>0</v>
      </c>
      <c r="AO485">
        <v>0</v>
      </c>
      <c r="AP485">
        <v>6.1255324999999999E-2</v>
      </c>
      <c r="AQ485">
        <v>1.03501E-4</v>
      </c>
      <c r="AR485">
        <v>0.28268589</v>
      </c>
      <c r="AS485">
        <v>0</v>
      </c>
      <c r="AT485">
        <v>0</v>
      </c>
      <c r="AU485">
        <v>0</v>
      </c>
      <c r="AV485">
        <v>0</v>
      </c>
      <c r="AW485">
        <v>0</v>
      </c>
      <c r="AX485">
        <v>0</v>
      </c>
    </row>
    <row r="486" spans="1:50">
      <c r="A486" t="s">
        <v>1725</v>
      </c>
      <c r="B486" s="189">
        <f t="shared" si="7"/>
        <v>0.29875315518119999</v>
      </c>
      <c r="C486" s="163">
        <v>1.7565700000000001E-6</v>
      </c>
      <c r="D486">
        <v>2.3772814E-2</v>
      </c>
      <c r="E486">
        <v>3.4693345</v>
      </c>
      <c r="F486" s="163">
        <v>6.0382300000000005E-7</v>
      </c>
      <c r="G486">
        <v>1.141829E-3</v>
      </c>
      <c r="H486">
        <v>6.6512869999999997E-3</v>
      </c>
      <c r="I486">
        <v>1.0215700000000001E-3</v>
      </c>
      <c r="J486">
        <v>0.85499468000000001</v>
      </c>
      <c r="K486">
        <v>1.7058931999999999E-2</v>
      </c>
      <c r="L486">
        <v>57.359029999999997</v>
      </c>
      <c r="M486">
        <v>3.070934E-3</v>
      </c>
      <c r="N486">
        <v>0</v>
      </c>
      <c r="O486">
        <v>0</v>
      </c>
      <c r="P486">
        <v>0</v>
      </c>
      <c r="Q486">
        <v>0</v>
      </c>
      <c r="R486">
        <v>0</v>
      </c>
      <c r="S486">
        <v>0</v>
      </c>
      <c r="T486">
        <v>0</v>
      </c>
      <c r="U486">
        <v>0</v>
      </c>
      <c r="V486">
        <v>0</v>
      </c>
      <c r="W486">
        <v>0</v>
      </c>
      <c r="X486">
        <v>0</v>
      </c>
      <c r="Y486">
        <v>0</v>
      </c>
      <c r="Z486">
        <v>0</v>
      </c>
      <c r="AA486">
        <v>0</v>
      </c>
      <c r="AB486">
        <v>0</v>
      </c>
      <c r="AC486">
        <v>0</v>
      </c>
      <c r="AD486">
        <v>0</v>
      </c>
      <c r="AE486">
        <v>0</v>
      </c>
      <c r="AF486">
        <v>0</v>
      </c>
      <c r="AG486">
        <v>0</v>
      </c>
      <c r="AH486">
        <v>0</v>
      </c>
      <c r="AI486">
        <v>0.39413535999999999</v>
      </c>
      <c r="AJ486">
        <v>0</v>
      </c>
      <c r="AK486">
        <v>0</v>
      </c>
      <c r="AL486">
        <v>53.058078999999999</v>
      </c>
      <c r="AM486">
        <v>0</v>
      </c>
      <c r="AN486">
        <v>0</v>
      </c>
      <c r="AO486">
        <v>0</v>
      </c>
      <c r="AP486">
        <v>5.0203380000000001E-3</v>
      </c>
      <c r="AQ486">
        <v>3.6440799999999998E-4</v>
      </c>
      <c r="AR486">
        <v>8.9418212999999996E-2</v>
      </c>
      <c r="AS486">
        <v>0</v>
      </c>
      <c r="AT486">
        <v>0</v>
      </c>
      <c r="AU486">
        <v>0</v>
      </c>
      <c r="AV486">
        <v>0</v>
      </c>
      <c r="AW486">
        <v>0</v>
      </c>
      <c r="AX486">
        <v>0</v>
      </c>
    </row>
    <row r="487" spans="1:50">
      <c r="A487" t="s">
        <v>1726</v>
      </c>
      <c r="B487" s="189">
        <f t="shared" si="7"/>
        <v>0.28275261115459999</v>
      </c>
      <c r="C487" s="163">
        <v>5.1140100000000004E-6</v>
      </c>
      <c r="D487">
        <v>2.9818931E-2</v>
      </c>
      <c r="E487">
        <v>3.6750563000000001</v>
      </c>
      <c r="F487" s="163">
        <v>5.3162100000000002E-8</v>
      </c>
      <c r="G487">
        <v>7.4466599999999995E-4</v>
      </c>
      <c r="H487">
        <v>4.2393200000000004E-3</v>
      </c>
      <c r="I487">
        <v>7.4903800000000005E-4</v>
      </c>
      <c r="J487">
        <v>0.73800107000000004</v>
      </c>
      <c r="K487">
        <v>5.9501629999999996E-3</v>
      </c>
      <c r="L487">
        <v>22.606211999999999</v>
      </c>
      <c r="M487">
        <v>2.9862949999999999E-3</v>
      </c>
      <c r="N487">
        <v>0</v>
      </c>
      <c r="O487">
        <v>0</v>
      </c>
      <c r="P487">
        <v>0</v>
      </c>
      <c r="Q487">
        <v>0</v>
      </c>
      <c r="R487">
        <v>0</v>
      </c>
      <c r="S487">
        <v>0</v>
      </c>
      <c r="T487">
        <v>0</v>
      </c>
      <c r="U487">
        <v>0</v>
      </c>
      <c r="V487">
        <v>0</v>
      </c>
      <c r="W487">
        <v>0</v>
      </c>
      <c r="X487">
        <v>0</v>
      </c>
      <c r="Y487">
        <v>0</v>
      </c>
      <c r="Z487">
        <v>0</v>
      </c>
      <c r="AA487">
        <v>0</v>
      </c>
      <c r="AB487">
        <v>0</v>
      </c>
      <c r="AC487">
        <v>0</v>
      </c>
      <c r="AD487">
        <v>0</v>
      </c>
      <c r="AE487">
        <v>0</v>
      </c>
      <c r="AF487">
        <v>0</v>
      </c>
      <c r="AG487">
        <v>0</v>
      </c>
      <c r="AH487">
        <v>0</v>
      </c>
      <c r="AI487">
        <v>0.44212059999999997</v>
      </c>
      <c r="AJ487">
        <v>0</v>
      </c>
      <c r="AK487">
        <v>0</v>
      </c>
      <c r="AL487">
        <v>63.616281999999998</v>
      </c>
      <c r="AM487">
        <v>0</v>
      </c>
      <c r="AN487">
        <v>0</v>
      </c>
      <c r="AO487">
        <v>0</v>
      </c>
      <c r="AP487">
        <v>2.8771489999999999E-3</v>
      </c>
      <c r="AQ487" s="163">
        <v>9.8355600000000004E-5</v>
      </c>
      <c r="AR487">
        <v>0.10819988</v>
      </c>
      <c r="AS487">
        <v>0</v>
      </c>
      <c r="AT487">
        <v>0</v>
      </c>
      <c r="AU487">
        <v>0</v>
      </c>
      <c r="AV487">
        <v>0</v>
      </c>
      <c r="AW487">
        <v>0</v>
      </c>
      <c r="AX487">
        <v>0</v>
      </c>
    </row>
    <row r="488" spans="1:50">
      <c r="A488" t="s">
        <v>1727</v>
      </c>
      <c r="B488" s="189">
        <f t="shared" si="7"/>
        <v>0.21343029504979999</v>
      </c>
      <c r="C488" s="163">
        <v>2.2397299999999999E-6</v>
      </c>
      <c r="D488">
        <v>5.5331699999999996E-3</v>
      </c>
      <c r="E488">
        <v>1.3805822000000001</v>
      </c>
      <c r="F488" s="163">
        <v>8.6723099999999994E-8</v>
      </c>
      <c r="G488">
        <v>1.00318E-3</v>
      </c>
      <c r="H488">
        <v>4.9627439999999998E-3</v>
      </c>
      <c r="I488">
        <v>2.181643E-3</v>
      </c>
      <c r="J488">
        <v>0.77631486000000005</v>
      </c>
      <c r="K488">
        <v>0.50961345000000002</v>
      </c>
      <c r="L488">
        <v>33.693195000000003</v>
      </c>
      <c r="M488">
        <v>0.22491224000000001</v>
      </c>
      <c r="N488">
        <v>0</v>
      </c>
      <c r="O488">
        <v>0</v>
      </c>
      <c r="P488">
        <v>0</v>
      </c>
      <c r="Q488">
        <v>0</v>
      </c>
      <c r="R488">
        <v>0</v>
      </c>
      <c r="S488">
        <v>0</v>
      </c>
      <c r="T488">
        <v>0</v>
      </c>
      <c r="U488">
        <v>0</v>
      </c>
      <c r="V488">
        <v>0</v>
      </c>
      <c r="W488">
        <v>0</v>
      </c>
      <c r="X488">
        <v>0</v>
      </c>
      <c r="Y488">
        <v>0</v>
      </c>
      <c r="Z488">
        <v>0</v>
      </c>
      <c r="AA488">
        <v>0</v>
      </c>
      <c r="AB488">
        <v>0</v>
      </c>
      <c r="AC488">
        <v>0</v>
      </c>
      <c r="AD488">
        <v>0</v>
      </c>
      <c r="AE488">
        <v>0</v>
      </c>
      <c r="AF488">
        <v>0</v>
      </c>
      <c r="AG488">
        <v>0</v>
      </c>
      <c r="AH488">
        <v>0</v>
      </c>
      <c r="AI488">
        <v>2.4737833</v>
      </c>
      <c r="AJ488">
        <v>0</v>
      </c>
      <c r="AK488">
        <v>0</v>
      </c>
      <c r="AL488">
        <v>11.613381</v>
      </c>
      <c r="AM488">
        <v>0</v>
      </c>
      <c r="AN488">
        <v>0</v>
      </c>
      <c r="AO488">
        <v>0</v>
      </c>
      <c r="AP488">
        <v>1.9473404E-2</v>
      </c>
      <c r="AQ488" s="163">
        <v>6.3249600000000005E-5</v>
      </c>
      <c r="AR488">
        <v>0.24535799</v>
      </c>
      <c r="AS488">
        <v>0</v>
      </c>
      <c r="AT488">
        <v>0</v>
      </c>
      <c r="AU488">
        <v>0</v>
      </c>
      <c r="AV488">
        <v>0</v>
      </c>
      <c r="AW488">
        <v>0</v>
      </c>
      <c r="AX488">
        <v>0</v>
      </c>
    </row>
    <row r="489" spans="1:50">
      <c r="A489" s="147" t="s">
        <v>1728</v>
      </c>
      <c r="B489" s="189">
        <f t="shared" si="7"/>
        <v>0</v>
      </c>
    </row>
    <row r="490" spans="1:50">
      <c r="A490" t="s">
        <v>1729</v>
      </c>
      <c r="B490" s="189">
        <f t="shared" si="7"/>
        <v>3.0055386135771998E-3</v>
      </c>
      <c r="C490" s="163">
        <v>5.2475254000000004E-7</v>
      </c>
      <c r="D490" s="163">
        <v>3.5662391999999997E-5</v>
      </c>
      <c r="E490">
        <v>5.3891358999999996E-3</v>
      </c>
      <c r="F490" s="163">
        <v>7.6716835999999998E-10</v>
      </c>
      <c r="G490" s="163">
        <v>8.1536918999999994E-6</v>
      </c>
      <c r="H490">
        <v>1.0545104999999999E-4</v>
      </c>
      <c r="I490" s="163">
        <v>2.7334167E-5</v>
      </c>
      <c r="J490">
        <v>1.9115475E-2</v>
      </c>
      <c r="K490">
        <v>4.3812612000000001E-4</v>
      </c>
      <c r="L490">
        <v>1.3378764999999999</v>
      </c>
      <c r="M490">
        <v>2.9804265000000002E-3</v>
      </c>
      <c r="N490">
        <v>5.5794323999999998E-3</v>
      </c>
      <c r="O490">
        <v>5.5384197E-3</v>
      </c>
      <c r="P490" s="163">
        <v>3.4673559000000001E-5</v>
      </c>
      <c r="Q490" s="163">
        <v>6.3391986000000002E-6</v>
      </c>
      <c r="R490" s="163">
        <v>7.2390194000000001E-10</v>
      </c>
      <c r="S490">
        <v>1.2165119E-4</v>
      </c>
      <c r="T490" s="163">
        <v>7.6511355000000008E-6</v>
      </c>
      <c r="U490" s="163">
        <v>9.6606479E-6</v>
      </c>
      <c r="V490">
        <v>1.1871487E-4</v>
      </c>
      <c r="W490" s="163">
        <v>3.7390563E-5</v>
      </c>
      <c r="X490" s="163">
        <v>5.2478017E-7</v>
      </c>
      <c r="Y490">
        <v>6.3570291000000001E-2</v>
      </c>
      <c r="Z490">
        <v>2.4955789999999999E-3</v>
      </c>
      <c r="AA490" s="163">
        <v>8.3511822999999998E-10</v>
      </c>
      <c r="AB490">
        <v>1.6055156999999999E-4</v>
      </c>
      <c r="AC490">
        <v>0.80270330000000001</v>
      </c>
      <c r="AD490" s="163">
        <v>5.5614463E-11</v>
      </c>
      <c r="AE490" s="163">
        <v>1.0221040000000001E-9</v>
      </c>
      <c r="AF490">
        <v>9.8264719E-2</v>
      </c>
      <c r="AG490">
        <v>0</v>
      </c>
      <c r="AH490">
        <v>0</v>
      </c>
      <c r="AI490">
        <v>2.0495118E-2</v>
      </c>
      <c r="AJ490">
        <v>0</v>
      </c>
      <c r="AK490">
        <v>0</v>
      </c>
      <c r="AL490">
        <v>6.7568101000000005E-2</v>
      </c>
      <c r="AM490">
        <v>0</v>
      </c>
      <c r="AN490">
        <v>0</v>
      </c>
      <c r="AO490">
        <v>0</v>
      </c>
      <c r="AP490" s="163">
        <v>7.1606929000000007E-5</v>
      </c>
      <c r="AQ490" s="163">
        <v>5.3469550000000002E-7</v>
      </c>
      <c r="AR490">
        <v>1.0823856E-2</v>
      </c>
      <c r="AS490" s="163">
        <v>1.7727090999999999E-7</v>
      </c>
      <c r="AT490">
        <v>0</v>
      </c>
      <c r="AU490">
        <v>0</v>
      </c>
      <c r="AV490">
        <v>0</v>
      </c>
      <c r="AW490">
        <v>0</v>
      </c>
      <c r="AX490">
        <v>0</v>
      </c>
    </row>
    <row r="491" spans="1:50">
      <c r="A491" t="s">
        <v>1730</v>
      </c>
      <c r="B491" s="189">
        <f t="shared" si="7"/>
        <v>8.4305249430185001E-3</v>
      </c>
      <c r="C491" s="163">
        <v>6.7247584999999998E-7</v>
      </c>
      <c r="D491">
        <v>1.0975861E-4</v>
      </c>
      <c r="E491">
        <v>1.619E-2</v>
      </c>
      <c r="F491" s="163">
        <v>8.9037275000000005E-10</v>
      </c>
      <c r="G491" s="163">
        <v>1.7811914999999999E-5</v>
      </c>
      <c r="H491">
        <v>1.6139546E-4</v>
      </c>
      <c r="I491" s="163">
        <v>3.8640119000000002E-5</v>
      </c>
      <c r="J491">
        <v>6.8719173999999994E-2</v>
      </c>
      <c r="K491">
        <v>6.1619877000000005E-4</v>
      </c>
      <c r="L491">
        <v>1.8407213</v>
      </c>
      <c r="M491">
        <v>3.1179794E-3</v>
      </c>
      <c r="N491">
        <v>1.672301E-2</v>
      </c>
      <c r="O491">
        <v>1.6681656999999999E-2</v>
      </c>
      <c r="P491" s="163">
        <v>2.8222481000000001E-5</v>
      </c>
      <c r="Q491" s="163">
        <v>1.3130529E-5</v>
      </c>
      <c r="R491" s="163">
        <v>9.5220918000000003E-10</v>
      </c>
      <c r="S491">
        <v>1.8902483999999999E-4</v>
      </c>
      <c r="T491" s="163">
        <v>9.7499459000000005E-6</v>
      </c>
      <c r="U491" s="163">
        <v>2.1659437999999999E-5</v>
      </c>
      <c r="V491">
        <v>2.4226978000000001E-4</v>
      </c>
      <c r="W491" s="163">
        <v>8.1350358000000005E-5</v>
      </c>
      <c r="X491" s="163">
        <v>6.7250567999999998E-7</v>
      </c>
      <c r="Y491">
        <v>0.19621525000000001</v>
      </c>
      <c r="Z491">
        <v>8.6850685000000004E-3</v>
      </c>
      <c r="AA491" s="163">
        <v>1.7141521E-9</v>
      </c>
      <c r="AB491">
        <v>4.4010894999999998E-4</v>
      </c>
      <c r="AC491">
        <v>1.1623176</v>
      </c>
      <c r="AD491" s="163">
        <v>1.3345818000000001E-10</v>
      </c>
      <c r="AE491" s="163">
        <v>1.7221779000000001E-9</v>
      </c>
      <c r="AF491">
        <v>0.52728257999999995</v>
      </c>
      <c r="AG491">
        <v>0</v>
      </c>
      <c r="AH491">
        <v>0</v>
      </c>
      <c r="AI491">
        <v>3.2781721999999999E-2</v>
      </c>
      <c r="AJ491">
        <v>0</v>
      </c>
      <c r="AK491">
        <v>0</v>
      </c>
      <c r="AL491">
        <v>0.20903857000000001</v>
      </c>
      <c r="AM491">
        <v>0</v>
      </c>
      <c r="AN491">
        <v>0</v>
      </c>
      <c r="AO491">
        <v>0</v>
      </c>
      <c r="AP491">
        <v>2.2688909E-4</v>
      </c>
      <c r="AQ491" s="163">
        <v>1.5773386999999999E-6</v>
      </c>
      <c r="AR491">
        <v>2.0187729000000001E-2</v>
      </c>
      <c r="AS491" s="163">
        <v>4.4863363999999998E-7</v>
      </c>
      <c r="AT491">
        <v>0</v>
      </c>
      <c r="AU491">
        <v>0</v>
      </c>
      <c r="AV491">
        <v>0</v>
      </c>
      <c r="AW491">
        <v>0</v>
      </c>
      <c r="AX491">
        <v>0</v>
      </c>
    </row>
    <row r="492" spans="1:50">
      <c r="A492" t="s">
        <v>1731</v>
      </c>
      <c r="B492" s="189">
        <f t="shared" si="7"/>
        <v>1.699252409387E-2</v>
      </c>
      <c r="C492" s="163">
        <v>3.2988564000000001E-6</v>
      </c>
      <c r="D492">
        <v>6.6820891000000005E-4</v>
      </c>
      <c r="E492">
        <v>9.7286418E-2</v>
      </c>
      <c r="F492" s="163">
        <v>9.5596082000000001E-9</v>
      </c>
      <c r="G492" s="163">
        <v>8.0768640000000001E-5</v>
      </c>
      <c r="H492">
        <v>6.0635634999999996E-4</v>
      </c>
      <c r="I492">
        <v>1.1183952999999999E-4</v>
      </c>
      <c r="J492">
        <v>8.4408649000000002E-2</v>
      </c>
      <c r="K492">
        <v>1.3911111E-3</v>
      </c>
      <c r="L492">
        <v>5.9387996999999997</v>
      </c>
      <c r="M492">
        <v>3.24275E-3</v>
      </c>
      <c r="N492">
        <v>9.9770937000000004E-2</v>
      </c>
      <c r="O492">
        <v>9.9345892000000005E-2</v>
      </c>
      <c r="P492">
        <v>2.2759287000000001E-4</v>
      </c>
      <c r="Q492">
        <v>1.9745232999999999E-4</v>
      </c>
      <c r="R492" s="163">
        <v>9.1825005999999999E-9</v>
      </c>
      <c r="S492">
        <v>7.3296332000000002E-4</v>
      </c>
      <c r="T492" s="163">
        <v>2.1392962999999999E-5</v>
      </c>
      <c r="U492">
        <v>1.063866E-4</v>
      </c>
      <c r="V492">
        <v>1.2794223E-3</v>
      </c>
      <c r="W492">
        <v>3.9497898000000003E-4</v>
      </c>
      <c r="X492" s="163">
        <v>3.2988833999999998E-6</v>
      </c>
      <c r="Y492">
        <v>1.1968684999999999</v>
      </c>
      <c r="Z492">
        <v>9.1813117E-2</v>
      </c>
      <c r="AA492" s="163">
        <v>6.8245120999999999E-9</v>
      </c>
      <c r="AB492">
        <v>3.6093581E-3</v>
      </c>
      <c r="AC492">
        <v>3.6679789</v>
      </c>
      <c r="AD492" s="163">
        <v>1.6597162999999999E-10</v>
      </c>
      <c r="AE492" s="163">
        <v>4.6137003000000004E-9</v>
      </c>
      <c r="AF492">
        <v>14.666233</v>
      </c>
      <c r="AG492">
        <v>0</v>
      </c>
      <c r="AH492">
        <v>0</v>
      </c>
      <c r="AI492">
        <v>0.22530378000000001</v>
      </c>
      <c r="AJ492">
        <v>0</v>
      </c>
      <c r="AK492">
        <v>0</v>
      </c>
      <c r="AL492">
        <v>1.2764945000000001</v>
      </c>
      <c r="AM492">
        <v>0</v>
      </c>
      <c r="AN492">
        <v>0</v>
      </c>
      <c r="AO492">
        <v>0</v>
      </c>
      <c r="AP492">
        <v>3.0748161999999998E-3</v>
      </c>
      <c r="AQ492" s="163">
        <v>6.7941663999999995E-5</v>
      </c>
      <c r="AR492">
        <v>2.5008744999999999E-2</v>
      </c>
      <c r="AS492" s="163">
        <v>3.1085721000000002E-6</v>
      </c>
      <c r="AT492">
        <v>0</v>
      </c>
      <c r="AU492">
        <v>0</v>
      </c>
      <c r="AV492">
        <v>0</v>
      </c>
      <c r="AW492">
        <v>0</v>
      </c>
      <c r="AX492">
        <v>0</v>
      </c>
    </row>
    <row r="493" spans="1:50">
      <c r="A493" t="s">
        <v>1732</v>
      </c>
      <c r="B493" s="189">
        <f t="shared" si="7"/>
        <v>2.9092681899566004E-3</v>
      </c>
      <c r="C493" s="163">
        <v>5.4428024999999995E-7</v>
      </c>
      <c r="D493" s="163">
        <v>3.7564346000000001E-5</v>
      </c>
      <c r="E493">
        <v>5.6715719999999997E-3</v>
      </c>
      <c r="F493" s="163">
        <v>3.7709521999999998E-10</v>
      </c>
      <c r="G493" s="163">
        <v>8.4491898999999997E-6</v>
      </c>
      <c r="H493">
        <v>1.148273E-4</v>
      </c>
      <c r="I493" s="163">
        <v>2.9366948999999999E-5</v>
      </c>
      <c r="J493">
        <v>1.7164341999999999E-2</v>
      </c>
      <c r="K493">
        <v>4.4295126999999997E-4</v>
      </c>
      <c r="L493">
        <v>1.4254256000000001</v>
      </c>
      <c r="M493">
        <v>2.9741482999999999E-3</v>
      </c>
      <c r="N493">
        <v>5.8670084000000001E-3</v>
      </c>
      <c r="O493">
        <v>5.8199323000000004E-3</v>
      </c>
      <c r="P493" s="163">
        <v>4.0593857E-5</v>
      </c>
      <c r="Q493" s="163">
        <v>6.4823077000000002E-6</v>
      </c>
      <c r="R493" s="163">
        <v>4.2600315E-10</v>
      </c>
      <c r="S493">
        <v>1.3273319999999999E-4</v>
      </c>
      <c r="T493" s="163">
        <v>8.1476850000000006E-6</v>
      </c>
      <c r="U493" s="163">
        <v>1.1078464000000001E-5</v>
      </c>
      <c r="V493">
        <v>1.3582935999999999E-4</v>
      </c>
      <c r="W493" s="163">
        <v>4.1629555000000002E-5</v>
      </c>
      <c r="X493" s="163">
        <v>5.4430785999999995E-7</v>
      </c>
      <c r="Y493">
        <v>6.7291349E-2</v>
      </c>
      <c r="Z493">
        <v>2.3270757999999999E-3</v>
      </c>
      <c r="AA493" s="163">
        <v>9.2044013999999998E-10</v>
      </c>
      <c r="AB493">
        <v>1.6304097000000001E-4</v>
      </c>
      <c r="AC493">
        <v>0.85265142000000005</v>
      </c>
      <c r="AD493" s="163">
        <v>5.1736329000000001E-11</v>
      </c>
      <c r="AE493" s="163">
        <v>1.0560155000000001E-9</v>
      </c>
      <c r="AF493">
        <v>0.13949078000000001</v>
      </c>
      <c r="AG493">
        <v>0</v>
      </c>
      <c r="AH493">
        <v>0</v>
      </c>
      <c r="AI493">
        <v>2.0616817999999999E-2</v>
      </c>
      <c r="AJ493">
        <v>0</v>
      </c>
      <c r="AK493">
        <v>0</v>
      </c>
      <c r="AL493">
        <v>7.1502992000000001E-2</v>
      </c>
      <c r="AM493">
        <v>0</v>
      </c>
      <c r="AN493">
        <v>0</v>
      </c>
      <c r="AO493">
        <v>0</v>
      </c>
      <c r="AP493" s="163">
        <v>6.8793932000000006E-5</v>
      </c>
      <c r="AQ493" s="163">
        <v>4.7616702999999998E-7</v>
      </c>
      <c r="AR493">
        <v>9.5278351999999993E-3</v>
      </c>
      <c r="AS493" s="163">
        <v>1.9094064000000001E-7</v>
      </c>
      <c r="AT493">
        <v>0</v>
      </c>
      <c r="AU493">
        <v>0</v>
      </c>
      <c r="AV493">
        <v>0</v>
      </c>
      <c r="AW493">
        <v>0</v>
      </c>
      <c r="AX493">
        <v>0</v>
      </c>
    </row>
    <row r="494" spans="1:50">
      <c r="A494" t="s">
        <v>1733</v>
      </c>
      <c r="B494" s="189">
        <f t="shared" si="7"/>
        <v>6.27098112920456E-5</v>
      </c>
      <c r="C494" s="163">
        <v>6.4638216E-10</v>
      </c>
      <c r="D494" s="163">
        <v>3.3919433E-6</v>
      </c>
      <c r="E494">
        <v>4.6509721000000001E-4</v>
      </c>
      <c r="F494" s="163">
        <v>1.2892373E-10</v>
      </c>
      <c r="G494" s="163">
        <v>3.2179903000000001E-7</v>
      </c>
      <c r="H494" s="163">
        <v>3.1102026E-6</v>
      </c>
      <c r="I494" s="163">
        <v>6.3978793000000005E-7</v>
      </c>
      <c r="J494">
        <v>2.0770658000000001E-4</v>
      </c>
      <c r="K494" s="163">
        <v>3.3768829E-6</v>
      </c>
      <c r="L494">
        <v>1.071047E-2</v>
      </c>
      <c r="M494" s="163">
        <v>3.3303868999999998E-6</v>
      </c>
      <c r="N494">
        <v>5.3050723999999996E-4</v>
      </c>
      <c r="O494">
        <v>4.7080423999999998E-4</v>
      </c>
      <c r="P494" s="163">
        <v>5.9343618000000001E-5</v>
      </c>
      <c r="Q494" s="163">
        <v>3.5937499000000002E-7</v>
      </c>
      <c r="R494" s="163">
        <v>7.7724656000000003E-11</v>
      </c>
      <c r="S494" s="163">
        <v>4.8983548999999999E-6</v>
      </c>
      <c r="T494" s="163">
        <v>4.4775427000000003E-8</v>
      </c>
      <c r="U494" s="163">
        <v>4.3222948000000002E-7</v>
      </c>
      <c r="V494" s="163">
        <v>1.7682681000000001E-5</v>
      </c>
      <c r="W494" s="163">
        <v>1.4122506999999999E-6</v>
      </c>
      <c r="X494" s="163">
        <v>6.4639484000000003E-10</v>
      </c>
      <c r="Y494">
        <v>2.0226707999999999E-2</v>
      </c>
      <c r="Z494">
        <v>2.6500720000000001E-4</v>
      </c>
      <c r="AA494" s="163">
        <v>4.0964438999999997E-11</v>
      </c>
      <c r="AB494">
        <v>3.5748055E-4</v>
      </c>
      <c r="AC494">
        <v>1.0331254999999999E-2</v>
      </c>
      <c r="AD494" s="163">
        <v>9.5674829000000008E-13</v>
      </c>
      <c r="AE494" s="163">
        <v>1.2019907000000001E-11</v>
      </c>
      <c r="AF494">
        <v>1.6031575E-3</v>
      </c>
      <c r="AG494">
        <v>0</v>
      </c>
      <c r="AH494">
        <v>0</v>
      </c>
      <c r="AI494">
        <v>6.1785603999999997E-3</v>
      </c>
      <c r="AJ494">
        <v>0</v>
      </c>
      <c r="AK494">
        <v>0</v>
      </c>
      <c r="AL494">
        <v>2.0657360999999999E-2</v>
      </c>
      <c r="AM494">
        <v>0</v>
      </c>
      <c r="AN494">
        <v>0</v>
      </c>
      <c r="AO494">
        <v>0</v>
      </c>
      <c r="AP494" s="163">
        <v>2.5151201E-5</v>
      </c>
      <c r="AQ494" s="163">
        <v>2.3104956E-8</v>
      </c>
      <c r="AR494" s="163">
        <v>7.7215087999999999E-5</v>
      </c>
      <c r="AS494" s="163">
        <v>2.2309034999999999E-7</v>
      </c>
      <c r="AT494">
        <v>0</v>
      </c>
      <c r="AU494">
        <v>0</v>
      </c>
      <c r="AV494">
        <v>0</v>
      </c>
      <c r="AW494">
        <v>0</v>
      </c>
      <c r="AX494">
        <v>0</v>
      </c>
    </row>
    <row r="495" spans="1:50">
      <c r="A495" t="s">
        <v>1734</v>
      </c>
      <c r="B495" s="189">
        <f t="shared" si="7"/>
        <v>1.8628950627447999E-4</v>
      </c>
      <c r="C495" s="163">
        <v>1.9428943E-8</v>
      </c>
      <c r="D495" s="163">
        <v>5.3237611999999996E-6</v>
      </c>
      <c r="E495">
        <v>7.5238184999999996E-4</v>
      </c>
      <c r="F495" s="163">
        <v>1.4485952000000001E-10</v>
      </c>
      <c r="G495" s="163">
        <v>6.1803595000000002E-7</v>
      </c>
      <c r="H495" s="163">
        <v>5.8583869E-6</v>
      </c>
      <c r="I495" s="163">
        <v>1.2982166999999999E-6</v>
      </c>
      <c r="J495">
        <v>1.1829395E-3</v>
      </c>
      <c r="K495" s="163">
        <v>1.1749677000000001E-5</v>
      </c>
      <c r="L495">
        <v>4.2337608999999998E-2</v>
      </c>
      <c r="M495" s="163">
        <v>6.7796925999999999E-6</v>
      </c>
      <c r="N495">
        <v>8.2547637000000005E-4</v>
      </c>
      <c r="O495">
        <v>7.6510021999999999E-4</v>
      </c>
      <c r="P495" s="163">
        <v>5.8322209E-5</v>
      </c>
      <c r="Q495" s="163">
        <v>2.0539461999999998E-6</v>
      </c>
      <c r="R495" s="163">
        <v>9.4540466999999996E-11</v>
      </c>
      <c r="S495" s="163">
        <v>8.1240894000000004E-6</v>
      </c>
      <c r="T495" s="163">
        <v>2.1499385999999999E-7</v>
      </c>
      <c r="U495" s="163">
        <v>7.7386512000000001E-7</v>
      </c>
      <c r="V495" s="163">
        <v>2.1868982000000001E-5</v>
      </c>
      <c r="W495" s="163">
        <v>2.7697069999999999E-6</v>
      </c>
      <c r="X495" s="163">
        <v>1.9429101000000001E-8</v>
      </c>
      <c r="Y495">
        <v>2.3514502999999999E-2</v>
      </c>
      <c r="Z495">
        <v>3.6377563999999998E-4</v>
      </c>
      <c r="AA495" s="163">
        <v>6.4803864000000006E-11</v>
      </c>
      <c r="AB495">
        <v>3.6549993E-4</v>
      </c>
      <c r="AC495">
        <v>3.1371621000000002E-2</v>
      </c>
      <c r="AD495" s="163">
        <v>2.5411455999999998E-12</v>
      </c>
      <c r="AE495" s="163">
        <v>4.1145781000000002E-11</v>
      </c>
      <c r="AF495">
        <v>2.9419735999999998E-3</v>
      </c>
      <c r="AG495">
        <v>0</v>
      </c>
      <c r="AH495">
        <v>0</v>
      </c>
      <c r="AI495">
        <v>6.5611554000000001E-3</v>
      </c>
      <c r="AJ495">
        <v>0</v>
      </c>
      <c r="AK495">
        <v>0</v>
      </c>
      <c r="AL495">
        <v>2.4167417E-2</v>
      </c>
      <c r="AM495">
        <v>0</v>
      </c>
      <c r="AN495">
        <v>0</v>
      </c>
      <c r="AO495">
        <v>0</v>
      </c>
      <c r="AP495" s="163">
        <v>2.7889463E-5</v>
      </c>
      <c r="AQ495" s="163">
        <v>5.0078597999999999E-8</v>
      </c>
      <c r="AR495">
        <v>1.7183243999999999E-4</v>
      </c>
      <c r="AS495" s="163">
        <v>2.3056347000000001E-7</v>
      </c>
      <c r="AT495">
        <v>0</v>
      </c>
      <c r="AU495">
        <v>0</v>
      </c>
      <c r="AV495">
        <v>0</v>
      </c>
      <c r="AW495">
        <v>0</v>
      </c>
      <c r="AX495">
        <v>0</v>
      </c>
    </row>
    <row r="496" spans="1:50">
      <c r="A496" t="s">
        <v>1735</v>
      </c>
      <c r="B496" s="189">
        <f t="shared" si="7"/>
        <v>1.3178493714033601E-2</v>
      </c>
      <c r="C496" s="163">
        <v>1.7499146000000001E-7</v>
      </c>
      <c r="D496">
        <v>1.0068951000000001E-3</v>
      </c>
      <c r="E496">
        <v>0.16181872999999999</v>
      </c>
      <c r="F496" s="163">
        <v>1.6033192000000001E-7</v>
      </c>
      <c r="G496" s="163">
        <v>6.9655917000000005E-5</v>
      </c>
      <c r="H496">
        <v>3.6137342999999997E-4</v>
      </c>
      <c r="I496" s="163">
        <v>6.3433428999999994E-5</v>
      </c>
      <c r="J496">
        <v>2.7190742E-2</v>
      </c>
      <c r="K496">
        <v>4.4193092E-4</v>
      </c>
      <c r="L496">
        <v>2.9373159000000002</v>
      </c>
      <c r="M496">
        <v>1.9588882E-4</v>
      </c>
      <c r="N496">
        <v>0.17626913999999999</v>
      </c>
      <c r="O496">
        <v>0.17661589999999999</v>
      </c>
      <c r="P496">
        <v>-3.8494804999999999E-4</v>
      </c>
      <c r="Q496" s="163">
        <v>3.8188415000000003E-5</v>
      </c>
      <c r="R496" s="163">
        <v>1.8257522999999999E-7</v>
      </c>
      <c r="S496">
        <v>4.7116068999999999E-4</v>
      </c>
      <c r="T496" s="163">
        <v>3.0429393E-6</v>
      </c>
      <c r="U496">
        <v>1.4971504E-4</v>
      </c>
      <c r="V496">
        <v>1.6563457000000001E-3</v>
      </c>
      <c r="W496">
        <v>5.1617291999999997E-4</v>
      </c>
      <c r="X496" s="163">
        <v>1.7499140999999999E-7</v>
      </c>
      <c r="Y496">
        <v>1.8645493</v>
      </c>
      <c r="Z496">
        <v>1.2923298999999999E-2</v>
      </c>
      <c r="AA496" s="163">
        <v>2.5722671000000002E-9</v>
      </c>
      <c r="AB496">
        <v>1.0026435000000001E-3</v>
      </c>
      <c r="AC496">
        <v>0.86075972999999995</v>
      </c>
      <c r="AD496" s="163">
        <v>7.7087468999999995E-11</v>
      </c>
      <c r="AE496" s="163">
        <v>1.2168747E-9</v>
      </c>
      <c r="AF496">
        <v>0.23315564999999999</v>
      </c>
      <c r="AG496">
        <v>0</v>
      </c>
      <c r="AH496">
        <v>0</v>
      </c>
      <c r="AI496">
        <v>1.9106287999999999E-2</v>
      </c>
      <c r="AJ496">
        <v>0</v>
      </c>
      <c r="AK496">
        <v>0</v>
      </c>
      <c r="AL496">
        <v>2.0537440999999999</v>
      </c>
      <c r="AM496">
        <v>0</v>
      </c>
      <c r="AN496">
        <v>0</v>
      </c>
      <c r="AO496">
        <v>0</v>
      </c>
      <c r="AP496">
        <v>3.2735163000000001E-4</v>
      </c>
      <c r="AQ496" s="163">
        <v>4.2339020999999998E-6</v>
      </c>
      <c r="AR496">
        <v>1.2017273E-2</v>
      </c>
      <c r="AS496" s="163">
        <v>1.3451540000000001E-6</v>
      </c>
      <c r="AT496">
        <v>0</v>
      </c>
      <c r="AU496">
        <v>0</v>
      </c>
      <c r="AV496">
        <v>0</v>
      </c>
      <c r="AW496">
        <v>0</v>
      </c>
      <c r="AX496">
        <v>0</v>
      </c>
    </row>
  </sheetData>
  <pageMargins left="0.7" right="0.7" top="0.75" bottom="0.75" header="0.3" footer="0.3"/>
  <pageSetup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DB5BE7-66B7-496B-AC6E-E48988DC3804}">
  <sheetPr codeName="Blad9"/>
  <dimension ref="A1:AH151"/>
  <sheetViews>
    <sheetView topLeftCell="E61" zoomScale="40" zoomScaleNormal="40" workbookViewId="0">
      <selection activeCell="R124" sqref="R124"/>
    </sheetView>
  </sheetViews>
  <sheetFormatPr defaultColWidth="8.85546875" defaultRowHeight="15"/>
  <cols>
    <col min="1" max="1" width="34.28515625" customWidth="1"/>
    <col min="2" max="2" width="43.28515625" customWidth="1"/>
    <col min="3" max="3" width="25.28515625" customWidth="1"/>
    <col min="4" max="4" width="25.42578125" bestFit="1" customWidth="1"/>
    <col min="5" max="10" width="32.5703125" customWidth="1"/>
    <col min="11" max="13" width="27.42578125" customWidth="1"/>
    <col min="16" max="16" width="33.85546875" bestFit="1" customWidth="1"/>
    <col min="18" max="18" width="32.7109375" bestFit="1" customWidth="1"/>
    <col min="20" max="20" width="21.85546875" customWidth="1"/>
    <col min="24" max="24" width="39.7109375" customWidth="1"/>
    <col min="25" max="25" width="10.5703125" customWidth="1"/>
    <col min="26" max="26" width="21" bestFit="1" customWidth="1"/>
    <col min="27" max="27" width="24" customWidth="1"/>
    <col min="28" max="28" width="13.140625" customWidth="1"/>
    <col min="29" max="29" width="24" customWidth="1"/>
    <col min="30" max="30" width="23.85546875" customWidth="1"/>
    <col min="31" max="31" width="21.5703125" bestFit="1" customWidth="1"/>
    <col min="32" max="32" width="16.85546875" customWidth="1"/>
    <col min="33" max="33" width="17" customWidth="1"/>
  </cols>
  <sheetData>
    <row r="1" spans="1:33">
      <c r="A1" s="4" t="s">
        <v>6</v>
      </c>
      <c r="B1" t="s">
        <v>237</v>
      </c>
      <c r="C1" t="s">
        <v>40</v>
      </c>
      <c r="D1" s="10" t="s">
        <v>48</v>
      </c>
      <c r="E1" t="s">
        <v>664</v>
      </c>
      <c r="F1" t="s">
        <v>1736</v>
      </c>
      <c r="G1" t="s">
        <v>55</v>
      </c>
      <c r="H1" t="s">
        <v>246</v>
      </c>
      <c r="I1" t="s">
        <v>1737</v>
      </c>
      <c r="J1" t="s">
        <v>1738</v>
      </c>
      <c r="K1" t="s">
        <v>1739</v>
      </c>
      <c r="L1" t="s">
        <v>556</v>
      </c>
      <c r="P1" t="s">
        <v>828</v>
      </c>
      <c r="R1" s="8" t="s">
        <v>1740</v>
      </c>
      <c r="T1" t="s">
        <v>1741</v>
      </c>
      <c r="X1" t="s">
        <v>1742</v>
      </c>
      <c r="Z1" t="s">
        <v>1743</v>
      </c>
      <c r="AB1" s="149" t="s">
        <v>11</v>
      </c>
      <c r="AD1" t="s">
        <v>209</v>
      </c>
      <c r="AF1" t="s">
        <v>9</v>
      </c>
      <c r="AG1" t="s">
        <v>294</v>
      </c>
    </row>
    <row r="2" spans="1:33">
      <c r="A2" t="s">
        <v>1744</v>
      </c>
      <c r="B2" s="33" t="s">
        <v>525</v>
      </c>
      <c r="C2" s="33" t="s">
        <v>41</v>
      </c>
      <c r="D2" s="33" t="s">
        <v>51</v>
      </c>
      <c r="E2" t="s">
        <v>663</v>
      </c>
      <c r="F2" t="s">
        <v>595</v>
      </c>
      <c r="G2" t="s">
        <v>228</v>
      </c>
      <c r="H2" s="33" t="s">
        <v>715</v>
      </c>
      <c r="I2" s="33" t="s">
        <v>780</v>
      </c>
      <c r="J2" s="33" t="s">
        <v>816</v>
      </c>
      <c r="K2" s="11" t="str">
        <f>'Cat. 1 LCA''s'!A4</f>
        <v>Voorbeeld: AC Surf 11 30% PR</v>
      </c>
      <c r="L2" s="338" t="s">
        <v>555</v>
      </c>
      <c r="M2" s="11"/>
      <c r="P2" t="s">
        <v>830</v>
      </c>
      <c r="R2" s="33" t="s">
        <v>239</v>
      </c>
      <c r="T2" t="s">
        <v>223</v>
      </c>
      <c r="X2" t="s">
        <v>39</v>
      </c>
      <c r="Z2" t="s">
        <v>854</v>
      </c>
      <c r="AB2" t="s">
        <v>389</v>
      </c>
      <c r="AD2" t="s">
        <v>1745</v>
      </c>
      <c r="AF2" t="s">
        <v>1746</v>
      </c>
      <c r="AG2" s="259">
        <v>0.03</v>
      </c>
    </row>
    <row r="3" spans="1:33">
      <c r="A3" s="203" t="s">
        <v>237</v>
      </c>
      <c r="B3" s="33" t="s">
        <v>529</v>
      </c>
      <c r="C3" s="33" t="s">
        <v>46</v>
      </c>
      <c r="D3" s="33" t="s">
        <v>260</v>
      </c>
      <c r="E3" t="s">
        <v>682</v>
      </c>
      <c r="F3" t="s">
        <v>565</v>
      </c>
      <c r="G3" t="s">
        <v>601</v>
      </c>
      <c r="H3" s="33" t="s">
        <v>718</v>
      </c>
      <c r="I3" s="33" t="s">
        <v>796</v>
      </c>
      <c r="J3" s="33" t="s">
        <v>818</v>
      </c>
      <c r="K3" s="11" t="str">
        <f>'Cat. 1 LCA''s'!A5</f>
        <v>Voorbeeld: AC Bin Base 70% PR</v>
      </c>
      <c r="L3" t="s">
        <v>559</v>
      </c>
      <c r="M3" s="11"/>
      <c r="P3" t="s">
        <v>224</v>
      </c>
      <c r="R3" s="33" t="s">
        <v>873</v>
      </c>
      <c r="T3" t="s">
        <v>1034</v>
      </c>
      <c r="X3" t="s">
        <v>45</v>
      </c>
      <c r="Z3" t="s">
        <v>135</v>
      </c>
      <c r="AB3" t="s">
        <v>385</v>
      </c>
      <c r="AD3" t="s">
        <v>308</v>
      </c>
      <c r="AF3" t="s">
        <v>1747</v>
      </c>
      <c r="AG3" s="259">
        <v>0.05</v>
      </c>
    </row>
    <row r="4" spans="1:33">
      <c r="A4" t="s">
        <v>40</v>
      </c>
      <c r="B4" s="33" t="s">
        <v>530</v>
      </c>
      <c r="C4" s="33" t="s">
        <v>776</v>
      </c>
      <c r="D4" s="33" t="s">
        <v>61</v>
      </c>
      <c r="E4" t="s">
        <v>696</v>
      </c>
      <c r="F4" t="s">
        <v>561</v>
      </c>
      <c r="G4" t="s">
        <v>603</v>
      </c>
      <c r="H4" s="33" t="s">
        <v>721</v>
      </c>
      <c r="I4" s="33" t="s">
        <v>799</v>
      </c>
      <c r="J4" s="33" t="s">
        <v>819</v>
      </c>
      <c r="K4" s="11" t="str">
        <f>'Cat. 1 LCA''s'!A6</f>
        <v>Voorbeeld: BSS 21x10,5x8</v>
      </c>
      <c r="L4" t="s">
        <v>560</v>
      </c>
      <c r="M4" s="11"/>
      <c r="P4" t="s">
        <v>835</v>
      </c>
      <c r="R4" s="33" t="s">
        <v>875</v>
      </c>
      <c r="T4" t="s">
        <v>1037</v>
      </c>
      <c r="AB4" t="s">
        <v>666</v>
      </c>
      <c r="AD4" t="s">
        <v>1748</v>
      </c>
      <c r="AF4" t="s">
        <v>1749</v>
      </c>
      <c r="AG4" s="259">
        <v>0.15</v>
      </c>
    </row>
    <row r="5" spans="1:33">
      <c r="A5" s="203" t="s">
        <v>48</v>
      </c>
      <c r="B5" s="33" t="s">
        <v>531</v>
      </c>
      <c r="C5" s="33" t="s">
        <v>772</v>
      </c>
      <c r="D5" s="33" t="s">
        <v>699</v>
      </c>
      <c r="G5" t="s">
        <v>605</v>
      </c>
      <c r="H5" s="33" t="s">
        <v>722</v>
      </c>
      <c r="I5" s="33" t="s">
        <v>802</v>
      </c>
      <c r="J5" s="33" t="s">
        <v>805</v>
      </c>
      <c r="K5" s="11" t="str">
        <f>'Cat. 1 LCA''s'!A7</f>
        <v>Voorbeeld: Trottoirband 15x25</v>
      </c>
      <c r="L5" s="11"/>
      <c r="M5" s="11"/>
      <c r="P5" t="s">
        <v>838</v>
      </c>
      <c r="R5" s="33" t="s">
        <v>878</v>
      </c>
      <c r="T5" t="s">
        <v>1040</v>
      </c>
      <c r="AB5" t="s">
        <v>1750</v>
      </c>
      <c r="AD5" t="s">
        <v>1751</v>
      </c>
    </row>
    <row r="6" spans="1:33">
      <c r="A6" s="203" t="s">
        <v>55</v>
      </c>
      <c r="B6" s="33" t="s">
        <v>241</v>
      </c>
      <c r="C6" s="33" t="s">
        <v>778</v>
      </c>
      <c r="D6" s="33" t="s">
        <v>701</v>
      </c>
      <c r="G6" t="s">
        <v>606</v>
      </c>
      <c r="H6" s="33" t="s">
        <v>723</v>
      </c>
      <c r="I6" s="33"/>
      <c r="J6" s="33" t="s">
        <v>812</v>
      </c>
      <c r="K6" s="11">
        <f>'Cat. 1 LCA''s'!A8</f>
        <v>0</v>
      </c>
      <c r="L6" s="11"/>
      <c r="M6" s="11"/>
      <c r="P6" t="s">
        <v>841</v>
      </c>
      <c r="R6" s="33" t="s">
        <v>880</v>
      </c>
      <c r="T6" t="s">
        <v>1042</v>
      </c>
      <c r="AB6" t="s">
        <v>868</v>
      </c>
      <c r="AD6" t="s">
        <v>213</v>
      </c>
    </row>
    <row r="7" spans="1:33">
      <c r="A7" s="203" t="s">
        <v>246</v>
      </c>
      <c r="B7" s="33" t="s">
        <v>532</v>
      </c>
      <c r="C7" s="33"/>
      <c r="D7" s="33" t="s">
        <v>702</v>
      </c>
      <c r="G7" t="s">
        <v>608</v>
      </c>
      <c r="H7" s="33" t="s">
        <v>726</v>
      </c>
      <c r="I7" s="33"/>
      <c r="J7" s="33" t="s">
        <v>813</v>
      </c>
      <c r="K7" s="11">
        <f>'Cat. 1 LCA''s'!A9</f>
        <v>0</v>
      </c>
      <c r="L7" s="11"/>
      <c r="M7" s="11"/>
      <c r="P7" t="s">
        <v>844</v>
      </c>
      <c r="R7" s="33" t="s">
        <v>882</v>
      </c>
      <c r="T7" t="s">
        <v>1044</v>
      </c>
    </row>
    <row r="8" spans="1:33">
      <c r="A8" s="273" t="s">
        <v>664</v>
      </c>
      <c r="B8" s="33" t="s">
        <v>238</v>
      </c>
      <c r="C8" s="33"/>
      <c r="D8" s="33" t="s">
        <v>703</v>
      </c>
      <c r="G8" t="s">
        <v>266</v>
      </c>
      <c r="H8" s="33" t="s">
        <v>254</v>
      </c>
      <c r="I8" s="33"/>
      <c r="J8" s="33" t="s">
        <v>814</v>
      </c>
      <c r="K8" s="11">
        <f>'Cat. 1 LCA''s'!A10</f>
        <v>0</v>
      </c>
      <c r="L8" s="11"/>
      <c r="M8" s="11"/>
      <c r="P8" t="s">
        <v>846</v>
      </c>
      <c r="R8" s="33" t="s">
        <v>1752</v>
      </c>
      <c r="S8" s="7"/>
      <c r="T8" t="s">
        <v>1046</v>
      </c>
    </row>
    <row r="9" spans="1:33">
      <c r="A9" s="33" t="s">
        <v>556</v>
      </c>
      <c r="B9" s="33" t="s">
        <v>533</v>
      </c>
      <c r="C9" s="33"/>
      <c r="D9" s="33" t="s">
        <v>705</v>
      </c>
      <c r="G9" t="s">
        <v>610</v>
      </c>
      <c r="H9" s="33" t="s">
        <v>257</v>
      </c>
      <c r="I9" s="33"/>
      <c r="J9" s="33" t="s">
        <v>815</v>
      </c>
      <c r="K9" s="11">
        <f>'Cat. 1 LCA''s'!A11</f>
        <v>0</v>
      </c>
      <c r="L9" s="11"/>
      <c r="M9" s="11"/>
      <c r="P9" t="s">
        <v>848</v>
      </c>
      <c r="R9" s="33" t="s">
        <v>1753</v>
      </c>
      <c r="S9" s="7"/>
      <c r="T9" t="s">
        <v>1048</v>
      </c>
    </row>
    <row r="10" spans="1:33">
      <c r="A10" s="274" t="s">
        <v>1736</v>
      </c>
      <c r="B10" s="33" t="s">
        <v>534</v>
      </c>
      <c r="C10" s="33"/>
      <c r="D10" s="33" t="s">
        <v>706</v>
      </c>
      <c r="G10" t="s">
        <v>611</v>
      </c>
      <c r="H10" s="33" t="s">
        <v>731</v>
      </c>
      <c r="I10" s="33"/>
      <c r="J10" s="33"/>
      <c r="K10" s="11">
        <f>'Cat. 1 LCA''s'!A12</f>
        <v>0</v>
      </c>
      <c r="L10" s="11"/>
      <c r="M10" s="11"/>
      <c r="P10" t="s">
        <v>850</v>
      </c>
      <c r="R10" s="33" t="s">
        <v>1754</v>
      </c>
      <c r="S10" s="7"/>
      <c r="T10" t="s">
        <v>1050</v>
      </c>
    </row>
    <row r="11" spans="1:33">
      <c r="A11" s="204" t="s">
        <v>1755</v>
      </c>
      <c r="B11" s="33" t="s">
        <v>535</v>
      </c>
      <c r="C11" s="33"/>
      <c r="D11" s="33" t="s">
        <v>710</v>
      </c>
      <c r="G11" t="s">
        <v>613</v>
      </c>
      <c r="H11" s="33" t="s">
        <v>733</v>
      </c>
      <c r="I11" s="33"/>
      <c r="J11" s="33"/>
      <c r="K11" s="11">
        <f>'Cat. 1 LCA''s'!A13</f>
        <v>0</v>
      </c>
      <c r="L11" s="11"/>
      <c r="M11" s="11"/>
      <c r="P11" t="s">
        <v>852</v>
      </c>
      <c r="R11" s="33" t="s">
        <v>884</v>
      </c>
      <c r="S11" s="7"/>
      <c r="T11" t="s">
        <v>1056</v>
      </c>
    </row>
    <row r="12" spans="1:33">
      <c r="A12" s="268" t="s">
        <v>1756</v>
      </c>
      <c r="B12" s="33" t="s">
        <v>536</v>
      </c>
      <c r="C12" s="33"/>
      <c r="D12" t="s">
        <v>244</v>
      </c>
      <c r="G12" t="s">
        <v>226</v>
      </c>
      <c r="H12" s="33" t="s">
        <v>1757</v>
      </c>
      <c r="I12" s="33"/>
      <c r="J12" s="33"/>
      <c r="K12" s="11">
        <f>'Cat. 1 LCA''s'!A14</f>
        <v>0</v>
      </c>
      <c r="P12" t="s">
        <v>855</v>
      </c>
      <c r="R12" s="33" t="s">
        <v>886</v>
      </c>
      <c r="S12" s="7"/>
      <c r="T12" t="s">
        <v>1052</v>
      </c>
    </row>
    <row r="13" spans="1:33">
      <c r="A13" t="s">
        <v>1737</v>
      </c>
      <c r="B13" s="33" t="s">
        <v>537</v>
      </c>
      <c r="D13" s="33" t="s">
        <v>708</v>
      </c>
      <c r="G13" t="s">
        <v>616</v>
      </c>
      <c r="H13" s="33" t="s">
        <v>247</v>
      </c>
      <c r="K13" s="11">
        <f>'Cat. 1 LCA''s'!A15</f>
        <v>0</v>
      </c>
      <c r="P13" t="s">
        <v>857</v>
      </c>
      <c r="R13" s="33" t="s">
        <v>887</v>
      </c>
      <c r="S13" s="7"/>
      <c r="T13" s="398" t="s">
        <v>1058</v>
      </c>
    </row>
    <row r="14" spans="1:33">
      <c r="A14" t="s">
        <v>1738</v>
      </c>
      <c r="B14" s="33" t="s">
        <v>538</v>
      </c>
      <c r="C14" s="205" t="s">
        <v>773</v>
      </c>
      <c r="D14" s="33" t="s">
        <v>710</v>
      </c>
      <c r="G14" t="s">
        <v>617</v>
      </c>
      <c r="H14" s="33" t="s">
        <v>740</v>
      </c>
      <c r="K14" s="11">
        <f>'Cat. 1 LCA''s'!A16</f>
        <v>0</v>
      </c>
      <c r="P14" t="s">
        <v>859</v>
      </c>
      <c r="R14" s="33" t="s">
        <v>888</v>
      </c>
      <c r="T14" t="s">
        <v>1062</v>
      </c>
    </row>
    <row r="15" spans="1:33">
      <c r="B15" s="33" t="s">
        <v>539</v>
      </c>
      <c r="C15" s="206" t="s">
        <v>774</v>
      </c>
      <c r="D15" s="33" t="s">
        <v>711</v>
      </c>
      <c r="G15" t="s">
        <v>619</v>
      </c>
      <c r="H15" s="33" t="s">
        <v>742</v>
      </c>
      <c r="K15" s="11">
        <f>'Cat. 1 LCA''s'!A17</f>
        <v>0</v>
      </c>
      <c r="P15" t="s">
        <v>861</v>
      </c>
      <c r="R15" s="33" t="s">
        <v>889</v>
      </c>
      <c r="T15" t="s">
        <v>1064</v>
      </c>
    </row>
    <row r="16" spans="1:33">
      <c r="B16" s="33" t="s">
        <v>540</v>
      </c>
      <c r="C16" s="205" t="s">
        <v>775</v>
      </c>
      <c r="D16" s="33" t="s">
        <v>713</v>
      </c>
      <c r="G16" t="s">
        <v>222</v>
      </c>
      <c r="H16" s="33" t="s">
        <v>743</v>
      </c>
      <c r="K16" s="11">
        <f>'Cat. 1 LCA''s'!A18</f>
        <v>0</v>
      </c>
      <c r="P16" t="s">
        <v>863</v>
      </c>
      <c r="R16" s="33" t="s">
        <v>890</v>
      </c>
      <c r="T16" t="s">
        <v>1066</v>
      </c>
    </row>
    <row r="17" spans="2:33">
      <c r="B17" s="33" t="s">
        <v>541</v>
      </c>
      <c r="C17" s="206" t="s">
        <v>44</v>
      </c>
      <c r="D17" s="33" t="s">
        <v>60</v>
      </c>
      <c r="G17" t="s">
        <v>620</v>
      </c>
      <c r="H17" s="33" t="s">
        <v>744</v>
      </c>
      <c r="K17" s="11">
        <f>'Cat. 1 LCA''s'!A19</f>
        <v>0</v>
      </c>
      <c r="P17" s="33"/>
      <c r="R17" s="47" t="s">
        <v>891</v>
      </c>
    </row>
    <row r="18" spans="2:33">
      <c r="B18" s="33" t="s">
        <v>542</v>
      </c>
      <c r="C18" s="205" t="s">
        <v>629</v>
      </c>
      <c r="D18" s="33" t="s">
        <v>49</v>
      </c>
      <c r="G18" t="s">
        <v>262</v>
      </c>
      <c r="H18" s="33" t="s">
        <v>747</v>
      </c>
      <c r="K18" s="11">
        <f>'Cat. 1 LCA''s'!A20</f>
        <v>0</v>
      </c>
      <c r="R18" s="47" t="s">
        <v>894</v>
      </c>
      <c r="X18" s="147" t="s">
        <v>1758</v>
      </c>
    </row>
    <row r="19" spans="2:33">
      <c r="B19" s="33" t="s">
        <v>543</v>
      </c>
      <c r="D19" s="33" t="s">
        <v>1759</v>
      </c>
      <c r="G19" t="s">
        <v>622</v>
      </c>
      <c r="H19" s="33" t="s">
        <v>749</v>
      </c>
      <c r="K19" s="11">
        <f>'Cat. 1 LCA''s'!A21</f>
        <v>0</v>
      </c>
      <c r="R19" s="47" t="s">
        <v>895</v>
      </c>
    </row>
    <row r="20" spans="2:33">
      <c r="B20" s="33" t="s">
        <v>544</v>
      </c>
      <c r="D20" s="33" t="s">
        <v>63</v>
      </c>
      <c r="G20" t="s">
        <v>235</v>
      </c>
      <c r="H20" s="33" t="s">
        <v>750</v>
      </c>
      <c r="K20" s="11">
        <f>'Cat. 1 LCA''s'!A22</f>
        <v>0</v>
      </c>
      <c r="R20" s="47" t="s">
        <v>896</v>
      </c>
      <c r="X20" s="386" t="s">
        <v>1760</v>
      </c>
    </row>
    <row r="21" spans="2:33">
      <c r="B21" s="33" t="s">
        <v>545</v>
      </c>
      <c r="D21" s="33" t="s">
        <v>762</v>
      </c>
      <c r="G21" t="s">
        <v>634</v>
      </c>
      <c r="K21" s="11">
        <f>'Cat. 1 LCA''s'!A23</f>
        <v>0</v>
      </c>
      <c r="R21" s="47" t="s">
        <v>897</v>
      </c>
    </row>
    <row r="22" spans="2:33">
      <c r="B22" s="33" t="s">
        <v>547</v>
      </c>
      <c r="G22" t="s">
        <v>635</v>
      </c>
      <c r="K22" s="11">
        <f>'Cat. 1 LCA''s'!A24</f>
        <v>0</v>
      </c>
      <c r="R22" s="47" t="s">
        <v>898</v>
      </c>
      <c r="X22" s="147" t="s">
        <v>421</v>
      </c>
      <c r="Y22" s="147" t="s">
        <v>1761</v>
      </c>
      <c r="Z22" s="147" t="s">
        <v>1031</v>
      </c>
      <c r="AA22" s="147" t="s">
        <v>1762</v>
      </c>
      <c r="AB22" s="147" t="s">
        <v>1763</v>
      </c>
      <c r="AC22" s="147" t="s">
        <v>1764</v>
      </c>
      <c r="AD22" s="147" t="s">
        <v>1765</v>
      </c>
      <c r="AE22" s="147" t="s">
        <v>1766</v>
      </c>
      <c r="AF22" s="147" t="s">
        <v>1059</v>
      </c>
      <c r="AG22" s="147" t="s">
        <v>1767</v>
      </c>
    </row>
    <row r="23" spans="2:33">
      <c r="B23" s="33" t="s">
        <v>548</v>
      </c>
      <c r="G23" t="s">
        <v>638</v>
      </c>
      <c r="K23" s="11">
        <f>'Cat. 1 LCA''s'!A25</f>
        <v>0</v>
      </c>
      <c r="R23" s="47"/>
      <c r="X23" t="str">
        <f>Brandstofmachines_Omrekentabel[[#This Row],[Stage]]&amp;", "&amp;Brandstofmachines_Omrekentabel[[#This Row],[Brandstof]]</f>
        <v>Categorie IIIB, Diesel</v>
      </c>
      <c r="Y23" t="s">
        <v>1768</v>
      </c>
      <c r="Z23" t="s">
        <v>1032</v>
      </c>
      <c r="AA23" t="s">
        <v>1030</v>
      </c>
      <c r="AB23">
        <v>1</v>
      </c>
      <c r="AC23" s="211">
        <f>AD23/3.6</f>
        <v>9.9722222222222214</v>
      </c>
      <c r="AD23">
        <v>35.9</v>
      </c>
      <c r="AE23" s="211">
        <v>9.3698999999999995</v>
      </c>
      <c r="AF23">
        <v>0.83199999999999996</v>
      </c>
      <c r="AG23" t="s">
        <v>1769</v>
      </c>
    </row>
    <row r="24" spans="2:33">
      <c r="B24" s="333" t="s">
        <v>553</v>
      </c>
      <c r="G24" t="s">
        <v>639</v>
      </c>
      <c r="K24" s="11">
        <f>'Cat. 1 LCA''s'!A26</f>
        <v>0</v>
      </c>
      <c r="R24" s="47"/>
      <c r="X24" t="str">
        <f>Brandstofmachines_Omrekentabel[[#This Row],[Stage]]&amp;", "&amp;Brandstofmachines_Omrekentabel[[#This Row],[Brandstof]]</f>
        <v>Categorie IV, Diesel</v>
      </c>
      <c r="Y24" t="s">
        <v>1770</v>
      </c>
      <c r="Z24" t="s">
        <v>1032</v>
      </c>
      <c r="AA24" t="s">
        <v>1030</v>
      </c>
      <c r="AB24">
        <v>1</v>
      </c>
      <c r="AC24" s="211">
        <f t="shared" ref="AC24:AC25" si="0">AD24/3.6</f>
        <v>9.9722222222222214</v>
      </c>
      <c r="AD24">
        <v>35.9</v>
      </c>
      <c r="AE24" s="211">
        <v>9.3698999999999995</v>
      </c>
      <c r="AF24">
        <v>0.83199999999999996</v>
      </c>
      <c r="AG24" t="s">
        <v>1769</v>
      </c>
    </row>
    <row r="25" spans="2:33">
      <c r="B25" s="256" t="s">
        <v>514</v>
      </c>
      <c r="G25" t="s">
        <v>640</v>
      </c>
      <c r="K25" s="11">
        <f>'Cat. 1 LCA''s'!A27</f>
        <v>0</v>
      </c>
      <c r="R25" s="47"/>
      <c r="X25" t="str">
        <f>Brandstofmachines_Omrekentabel[[#This Row],[Stage]]&amp;", "&amp;Brandstofmachines_Omrekentabel[[#This Row],[Brandstof]]</f>
        <v>Categorie V, Diesel</v>
      </c>
      <c r="Y25" t="s">
        <v>1771</v>
      </c>
      <c r="Z25" t="s">
        <v>1032</v>
      </c>
      <c r="AA25" t="s">
        <v>1030</v>
      </c>
      <c r="AB25">
        <v>1</v>
      </c>
      <c r="AC25" s="211">
        <f t="shared" si="0"/>
        <v>9.9722222222222214</v>
      </c>
      <c r="AD25">
        <v>35.9</v>
      </c>
      <c r="AE25" s="211">
        <v>9.3698999999999995</v>
      </c>
      <c r="AF25">
        <v>0.83199999999999996</v>
      </c>
      <c r="AG25" t="s">
        <v>1769</v>
      </c>
    </row>
    <row r="26" spans="2:33">
      <c r="B26" t="s">
        <v>520</v>
      </c>
      <c r="G26" t="s">
        <v>641</v>
      </c>
      <c r="K26" s="11">
        <f>'Cat. 1 LCA''s'!A28</f>
        <v>0</v>
      </c>
      <c r="X26" t="str">
        <f>Brandstofmachines_Omrekentabel[[#This Row],[Stage]]&amp;", "&amp;Brandstofmachines_Omrekentabel[[#This Row],[Brandstof]]</f>
        <v>Categorie IIIB, Biodiesel</v>
      </c>
      <c r="Y26" t="s">
        <v>1768</v>
      </c>
      <c r="Z26" t="s">
        <v>1071</v>
      </c>
      <c r="AA26" t="s">
        <v>1030</v>
      </c>
      <c r="AB26">
        <v>1</v>
      </c>
      <c r="AC26" s="211">
        <f>AD26/3.6</f>
        <v>9.1944444444444446</v>
      </c>
      <c r="AD26">
        <v>33.1</v>
      </c>
      <c r="AE26" s="211">
        <v>8.6391000000000009</v>
      </c>
      <c r="AF26">
        <v>0.876</v>
      </c>
      <c r="AG26" t="s">
        <v>1769</v>
      </c>
    </row>
    <row r="27" spans="2:33">
      <c r="B27" s="254" t="s">
        <v>490</v>
      </c>
      <c r="G27" t="s">
        <v>644</v>
      </c>
      <c r="K27" s="11">
        <f>'Cat. 1 LCA''s'!A29</f>
        <v>0</v>
      </c>
      <c r="X27" t="str">
        <f>Brandstofmachines_Omrekentabel[[#This Row],[Stage]]&amp;", "&amp;Brandstofmachines_Omrekentabel[[#This Row],[Brandstof]]</f>
        <v>Categorie IV, Biodiesel</v>
      </c>
      <c r="Y27" t="s">
        <v>1770</v>
      </c>
      <c r="Z27" t="s">
        <v>1071</v>
      </c>
      <c r="AA27" t="s">
        <v>1030</v>
      </c>
      <c r="AB27">
        <v>1</v>
      </c>
      <c r="AC27" s="211">
        <f t="shared" ref="AC27:AC28" si="1">AD27/3.6</f>
        <v>9.1944444444444446</v>
      </c>
      <c r="AD27">
        <v>33.1</v>
      </c>
      <c r="AE27" s="211">
        <v>8.6391000000000009</v>
      </c>
      <c r="AF27">
        <v>0.876</v>
      </c>
      <c r="AG27" t="s">
        <v>1769</v>
      </c>
    </row>
    <row r="28" spans="2:33">
      <c r="B28" s="255" t="s">
        <v>491</v>
      </c>
      <c r="G28" t="s">
        <v>645</v>
      </c>
      <c r="K28" s="11">
        <f>'Cat. 1 LCA''s'!A30</f>
        <v>0</v>
      </c>
      <c r="X28" t="str">
        <f>Brandstofmachines_Omrekentabel[[#This Row],[Stage]]&amp;", "&amp;Brandstofmachines_Omrekentabel[[#This Row],[Brandstof]]</f>
        <v>Categorie V, Biodiesel</v>
      </c>
      <c r="Y28" t="s">
        <v>1771</v>
      </c>
      <c r="Z28" t="s">
        <v>1071</v>
      </c>
      <c r="AA28" t="s">
        <v>1030</v>
      </c>
      <c r="AB28">
        <v>1</v>
      </c>
      <c r="AC28" s="211">
        <f t="shared" si="1"/>
        <v>9.1944444444444446</v>
      </c>
      <c r="AD28">
        <v>33.1</v>
      </c>
      <c r="AE28" s="211">
        <v>8.6391000000000009</v>
      </c>
      <c r="AF28">
        <v>0.876</v>
      </c>
      <c r="AG28" t="s">
        <v>1769</v>
      </c>
    </row>
    <row r="29" spans="2:33">
      <c r="B29" s="254" t="s">
        <v>492</v>
      </c>
      <c r="G29" t="s">
        <v>646</v>
      </c>
      <c r="K29" s="11">
        <f>'Cat. 1 LCA''s'!A31</f>
        <v>0</v>
      </c>
      <c r="X29" t="str">
        <f>Brandstofmachines_Omrekentabel[[#This Row],[Stage]]&amp;", "&amp;Brandstofmachines_Omrekentabel[[#This Row],[Brandstof]]</f>
        <v>Categorie IIIB, HVO</v>
      </c>
      <c r="Y29" t="s">
        <v>1768</v>
      </c>
      <c r="Z29" t="s">
        <v>1035</v>
      </c>
      <c r="AA29" t="s">
        <v>1030</v>
      </c>
      <c r="AB29">
        <v>1</v>
      </c>
      <c r="AC29" s="211">
        <f>AD29/3.6</f>
        <v>9.5277777777777768</v>
      </c>
      <c r="AD29">
        <v>34.299999999999997</v>
      </c>
      <c r="AE29" s="211">
        <v>8.9522999999999993</v>
      </c>
      <c r="AF29">
        <v>0.77900000000000003</v>
      </c>
      <c r="AG29" t="s">
        <v>1769</v>
      </c>
    </row>
    <row r="30" spans="2:33">
      <c r="B30" s="255" t="s">
        <v>496</v>
      </c>
      <c r="G30" t="s">
        <v>273</v>
      </c>
      <c r="K30" s="11">
        <f>'Cat. 1 LCA''s'!A32</f>
        <v>0</v>
      </c>
      <c r="X30" t="str">
        <f>Brandstofmachines_Omrekentabel[[#This Row],[Stage]]&amp;", "&amp;Brandstofmachines_Omrekentabel[[#This Row],[Brandstof]]</f>
        <v>Categorie IV, HVO</v>
      </c>
      <c r="Y30" t="s">
        <v>1770</v>
      </c>
      <c r="Z30" t="s">
        <v>1035</v>
      </c>
      <c r="AA30" t="s">
        <v>1030</v>
      </c>
      <c r="AB30">
        <v>1</v>
      </c>
      <c r="AC30" s="211">
        <f t="shared" ref="AC30:AC31" si="2">AD30/3.6</f>
        <v>9.5277777777777768</v>
      </c>
      <c r="AD30">
        <v>34.299999999999997</v>
      </c>
      <c r="AE30" s="211">
        <v>8.9522999999999993</v>
      </c>
      <c r="AF30">
        <v>0.77900000000000003</v>
      </c>
      <c r="AG30" t="s">
        <v>1769</v>
      </c>
    </row>
    <row r="31" spans="2:33">
      <c r="B31" s="254" t="s">
        <v>488</v>
      </c>
      <c r="G31" t="s">
        <v>649</v>
      </c>
      <c r="K31" s="11">
        <f>'Cat. 1 LCA''s'!A33</f>
        <v>0</v>
      </c>
      <c r="X31" t="str">
        <f>Brandstofmachines_Omrekentabel[[#This Row],[Stage]]&amp;", "&amp;Brandstofmachines_Omrekentabel[[#This Row],[Brandstof]]</f>
        <v>Categorie V, HVO</v>
      </c>
      <c r="Y31" t="s">
        <v>1771</v>
      </c>
      <c r="Z31" t="s">
        <v>1035</v>
      </c>
      <c r="AA31" t="s">
        <v>1030</v>
      </c>
      <c r="AB31">
        <v>1</v>
      </c>
      <c r="AC31" s="211">
        <f t="shared" si="2"/>
        <v>9.5277777777777768</v>
      </c>
      <c r="AD31">
        <v>34.299999999999997</v>
      </c>
      <c r="AE31" s="211">
        <v>8.9522999999999993</v>
      </c>
      <c r="AF31">
        <v>0.77900000000000003</v>
      </c>
      <c r="AG31" t="s">
        <v>1769</v>
      </c>
    </row>
    <row r="32" spans="2:33">
      <c r="B32" s="255" t="s">
        <v>489</v>
      </c>
      <c r="G32" t="s">
        <v>650</v>
      </c>
      <c r="K32" s="11">
        <f>'Cat. 1 LCA''s'!A34</f>
        <v>0</v>
      </c>
      <c r="X32" t="str">
        <f>Brandstofmachines_Omrekentabel[[#This Row],[Stage]]&amp;", "&amp;Brandstofmachines_Omrekentabel[[#This Row],[Brandstof]]</f>
        <v>Categorie IIIB, GTL</v>
      </c>
      <c r="Y32" t="s">
        <v>1768</v>
      </c>
      <c r="Z32" t="s">
        <v>1038</v>
      </c>
      <c r="AA32" t="s">
        <v>1030</v>
      </c>
      <c r="AB32">
        <v>1</v>
      </c>
      <c r="AC32" s="211">
        <f>AD32/3.6</f>
        <v>9.5277777777777768</v>
      </c>
      <c r="AD32">
        <v>34.299999999999997</v>
      </c>
      <c r="AE32" s="211">
        <v>8.9522999999999993</v>
      </c>
      <c r="AF32">
        <v>0.78100000000000003</v>
      </c>
      <c r="AG32" t="s">
        <v>1769</v>
      </c>
    </row>
    <row r="33" spans="2:33">
      <c r="B33" s="254" t="s">
        <v>511</v>
      </c>
      <c r="G33" t="s">
        <v>651</v>
      </c>
      <c r="K33" s="11">
        <f>'Cat. 1 LCA''s'!A35</f>
        <v>0</v>
      </c>
      <c r="X33" t="str">
        <f>Brandstofmachines_Omrekentabel[[#This Row],[Stage]]&amp;", "&amp;Brandstofmachines_Omrekentabel[[#This Row],[Brandstof]]</f>
        <v>Categorie IV, GTL</v>
      </c>
      <c r="Y33" t="s">
        <v>1770</v>
      </c>
      <c r="Z33" t="s">
        <v>1038</v>
      </c>
      <c r="AA33" t="s">
        <v>1030</v>
      </c>
      <c r="AB33">
        <v>1</v>
      </c>
      <c r="AC33" s="211">
        <f t="shared" ref="AC33:AC34" si="3">AD33/3.6</f>
        <v>9.5277777777777768</v>
      </c>
      <c r="AD33">
        <v>34.299999999999997</v>
      </c>
      <c r="AE33" s="211">
        <v>8.9522999999999993</v>
      </c>
      <c r="AF33">
        <v>0.78100000000000003</v>
      </c>
      <c r="AG33" t="s">
        <v>1769</v>
      </c>
    </row>
    <row r="34" spans="2:33">
      <c r="B34" s="255" t="s">
        <v>497</v>
      </c>
      <c r="G34" t="s">
        <v>652</v>
      </c>
      <c r="K34" s="11">
        <f>'Cat. 1 LCA''s'!A36</f>
        <v>0</v>
      </c>
      <c r="X34" t="str">
        <f>Brandstofmachines_Omrekentabel[[#This Row],[Stage]]&amp;", "&amp;Brandstofmachines_Omrekentabel[[#This Row],[Brandstof]]</f>
        <v>Categorie V, GTL</v>
      </c>
      <c r="Y34" t="s">
        <v>1771</v>
      </c>
      <c r="Z34" t="s">
        <v>1038</v>
      </c>
      <c r="AA34" t="s">
        <v>1030</v>
      </c>
      <c r="AB34">
        <v>1</v>
      </c>
      <c r="AC34" s="211">
        <f t="shared" si="3"/>
        <v>9.5277777777777768</v>
      </c>
      <c r="AD34">
        <v>34.299999999999997</v>
      </c>
      <c r="AE34" s="211">
        <v>8.9522999999999993</v>
      </c>
      <c r="AF34">
        <v>0.78100000000000003</v>
      </c>
      <c r="AG34" t="s">
        <v>1769</v>
      </c>
    </row>
    <row r="35" spans="2:33">
      <c r="B35" s="254" t="s">
        <v>498</v>
      </c>
      <c r="G35" t="s">
        <v>657</v>
      </c>
      <c r="K35" s="11">
        <f>'Cat. 1 LCA''s'!A37</f>
        <v>0</v>
      </c>
      <c r="X35" t="s">
        <v>1056</v>
      </c>
      <c r="Y35" t="s">
        <v>419</v>
      </c>
      <c r="Z35" s="385" t="s">
        <v>1054</v>
      </c>
      <c r="AA35" s="387" t="s">
        <v>1053</v>
      </c>
      <c r="AB35" s="391">
        <v>0</v>
      </c>
      <c r="AC35" s="392">
        <f>AD35/3.6</f>
        <v>1</v>
      </c>
      <c r="AD35" s="387">
        <v>3.6</v>
      </c>
      <c r="AE35" s="392">
        <v>2.75</v>
      </c>
      <c r="AF35" s="391">
        <v>0</v>
      </c>
      <c r="AG35" s="388" t="s">
        <v>1772</v>
      </c>
    </row>
    <row r="36" spans="2:33">
      <c r="B36" s="255" t="s">
        <v>487</v>
      </c>
      <c r="G36" t="s">
        <v>56</v>
      </c>
      <c r="K36" s="11">
        <f>'Cat. 1 LCA''s'!A38</f>
        <v>0</v>
      </c>
      <c r="X36" t="s">
        <v>1052</v>
      </c>
      <c r="Y36" t="s">
        <v>419</v>
      </c>
      <c r="Z36" s="385" t="s">
        <v>1054</v>
      </c>
      <c r="AA36" s="387" t="s">
        <v>1053</v>
      </c>
      <c r="AB36" s="391">
        <v>0</v>
      </c>
      <c r="AC36" s="392">
        <f>AD36/3.6</f>
        <v>1</v>
      </c>
      <c r="AD36" s="387">
        <v>3.6</v>
      </c>
      <c r="AE36" s="392">
        <v>2.75</v>
      </c>
      <c r="AF36" s="391">
        <v>0</v>
      </c>
      <c r="AG36" s="388" t="s">
        <v>1772</v>
      </c>
    </row>
    <row r="37" spans="2:33">
      <c r="B37" s="254" t="s">
        <v>482</v>
      </c>
      <c r="G37" t="s">
        <v>658</v>
      </c>
      <c r="K37" s="11">
        <f>'Cat. 1 LCA''s'!A39</f>
        <v>0</v>
      </c>
      <c r="X37" s="398" t="s">
        <v>1058</v>
      </c>
      <c r="Y37" s="398" t="s">
        <v>419</v>
      </c>
      <c r="Z37" s="393" t="s">
        <v>1060</v>
      </c>
      <c r="AA37" s="394" t="s">
        <v>1059</v>
      </c>
      <c r="AB37" s="395">
        <v>0</v>
      </c>
      <c r="AC37" s="396">
        <v>33.299999999999997</v>
      </c>
      <c r="AD37" s="394">
        <v>120</v>
      </c>
      <c r="AE37" s="396">
        <v>34.1</v>
      </c>
      <c r="AF37" s="394">
        <v>1</v>
      </c>
      <c r="AG37" s="397" t="s">
        <v>1773</v>
      </c>
    </row>
    <row r="38" spans="2:33">
      <c r="B38" s="255" t="s">
        <v>486</v>
      </c>
      <c r="G38" t="s">
        <v>231</v>
      </c>
      <c r="K38" s="11">
        <f>'Cat. 1 LCA''s'!A40</f>
        <v>0</v>
      </c>
      <c r="X38" t="s">
        <v>1062</v>
      </c>
      <c r="Y38" t="s">
        <v>419</v>
      </c>
      <c r="Z38" t="s">
        <v>1060</v>
      </c>
      <c r="AA38" t="s">
        <v>1059</v>
      </c>
      <c r="AB38" s="391">
        <v>0</v>
      </c>
      <c r="AC38" s="211">
        <v>33.299999999999997</v>
      </c>
      <c r="AD38">
        <v>120</v>
      </c>
      <c r="AE38" s="211">
        <v>34.1</v>
      </c>
      <c r="AF38">
        <v>1</v>
      </c>
      <c r="AG38" t="s">
        <v>1773</v>
      </c>
    </row>
    <row r="39" spans="2:33">
      <c r="B39" s="254" t="s">
        <v>502</v>
      </c>
      <c r="G39" t="s">
        <v>233</v>
      </c>
      <c r="K39" s="11"/>
      <c r="X39" t="s">
        <v>1064</v>
      </c>
      <c r="Y39" t="s">
        <v>419</v>
      </c>
      <c r="Z39" t="s">
        <v>1060</v>
      </c>
      <c r="AA39" t="s">
        <v>1059</v>
      </c>
      <c r="AB39" s="391">
        <v>0</v>
      </c>
      <c r="AC39" s="211">
        <v>33.299999999999997</v>
      </c>
      <c r="AD39">
        <v>120</v>
      </c>
      <c r="AE39" s="211">
        <v>34.1</v>
      </c>
      <c r="AF39">
        <v>1</v>
      </c>
      <c r="AG39" t="s">
        <v>1773</v>
      </c>
    </row>
    <row r="40" spans="2:33">
      <c r="B40" s="255" t="s">
        <v>500</v>
      </c>
      <c r="G40" t="s">
        <v>268</v>
      </c>
      <c r="K40" s="11"/>
      <c r="X40" t="s">
        <v>1066</v>
      </c>
      <c r="Y40" t="s">
        <v>419</v>
      </c>
      <c r="Z40" t="s">
        <v>1060</v>
      </c>
      <c r="AA40" t="s">
        <v>1059</v>
      </c>
      <c r="AB40" s="391">
        <v>0</v>
      </c>
      <c r="AC40" s="211">
        <v>33.299999999999997</v>
      </c>
      <c r="AD40">
        <v>120</v>
      </c>
      <c r="AE40" s="211">
        <v>34.1</v>
      </c>
      <c r="AF40">
        <v>1</v>
      </c>
      <c r="AG40" t="s">
        <v>1773</v>
      </c>
    </row>
    <row r="41" spans="2:33">
      <c r="B41" s="254" t="s">
        <v>503</v>
      </c>
      <c r="G41" t="s">
        <v>660</v>
      </c>
      <c r="K41" s="11"/>
    </row>
    <row r="42" spans="2:33">
      <c r="B42" s="255" t="s">
        <v>505</v>
      </c>
      <c r="G42" t="s">
        <v>661</v>
      </c>
    </row>
    <row r="43" spans="2:33">
      <c r="B43" s="254" t="s">
        <v>499</v>
      </c>
      <c r="G43" t="s">
        <v>662</v>
      </c>
    </row>
    <row r="44" spans="2:33">
      <c r="B44" s="255" t="s">
        <v>509</v>
      </c>
    </row>
    <row r="45" spans="2:33">
      <c r="B45" s="254" t="s">
        <v>507</v>
      </c>
    </row>
    <row r="46" spans="2:33">
      <c r="B46" s="255" t="s">
        <v>553</v>
      </c>
    </row>
    <row r="47" spans="2:33">
      <c r="B47" s="256" t="s">
        <v>549</v>
      </c>
    </row>
    <row r="48" spans="2:33">
      <c r="B48" s="257" t="s">
        <v>551</v>
      </c>
    </row>
    <row r="49" spans="2:34">
      <c r="B49" s="258" t="s">
        <v>493</v>
      </c>
    </row>
    <row r="50" spans="2:34">
      <c r="B50" s="257" t="s">
        <v>512</v>
      </c>
    </row>
    <row r="51" spans="2:34">
      <c r="B51" s="256" t="s">
        <v>514</v>
      </c>
    </row>
    <row r="52" spans="2:34">
      <c r="B52" t="s">
        <v>515</v>
      </c>
    </row>
    <row r="53" spans="2:34">
      <c r="B53" t="s">
        <v>517</v>
      </c>
    </row>
    <row r="54" spans="2:34">
      <c r="B54" t="s">
        <v>518</v>
      </c>
      <c r="AH54" s="402"/>
    </row>
    <row r="55" spans="2:34">
      <c r="B55" t="s">
        <v>520</v>
      </c>
    </row>
    <row r="56" spans="2:34">
      <c r="B56" t="s">
        <v>521</v>
      </c>
    </row>
    <row r="57" spans="2:34">
      <c r="B57" t="s">
        <v>522</v>
      </c>
    </row>
    <row r="58" spans="2:34">
      <c r="B58" s="172" t="s">
        <v>523</v>
      </c>
    </row>
    <row r="59" spans="2:34">
      <c r="B59" s="173" t="s">
        <v>524</v>
      </c>
      <c r="U59" s="181"/>
    </row>
    <row r="62" spans="2:34">
      <c r="X62" s="147" t="s">
        <v>1774</v>
      </c>
    </row>
    <row r="64" spans="2:34">
      <c r="X64" s="386" t="s">
        <v>1775</v>
      </c>
    </row>
    <row r="66" spans="2:33">
      <c r="B66" t="s">
        <v>1776</v>
      </c>
      <c r="C66" t="s">
        <v>769</v>
      </c>
      <c r="D66" t="s">
        <v>700</v>
      </c>
      <c r="X66" t="s">
        <v>7</v>
      </c>
      <c r="Y66" t="s">
        <v>11</v>
      </c>
      <c r="Z66" t="s">
        <v>1777</v>
      </c>
      <c r="AA66" t="s">
        <v>1778</v>
      </c>
      <c r="AB66" t="s">
        <v>866</v>
      </c>
      <c r="AC66" t="s">
        <v>1779</v>
      </c>
      <c r="AD66" t="s">
        <v>1780</v>
      </c>
      <c r="AE66" t="s">
        <v>1781</v>
      </c>
      <c r="AF66" t="s">
        <v>1782</v>
      </c>
      <c r="AG66" t="s">
        <v>1783</v>
      </c>
    </row>
    <row r="67" spans="2:33">
      <c r="B67" t="s">
        <v>377</v>
      </c>
      <c r="C67" t="s">
        <v>627</v>
      </c>
      <c r="D67" t="s">
        <v>50</v>
      </c>
      <c r="X67" s="338" t="s">
        <v>228</v>
      </c>
      <c r="Y67" t="s">
        <v>389</v>
      </c>
      <c r="Z67" s="404">
        <v>0.18</v>
      </c>
      <c r="AA67" s="211">
        <f>473/35.9</f>
        <v>13.175487465181059</v>
      </c>
      <c r="AB67" s="280">
        <v>18</v>
      </c>
      <c r="AC67">
        <f>19.5/(18)</f>
        <v>1.0833333333333333</v>
      </c>
      <c r="AD67" s="211">
        <f t="shared" ref="AD67:AD72" si="4">572/35.9</f>
        <v>15.933147632311979</v>
      </c>
      <c r="AE67" s="280">
        <v>50</v>
      </c>
      <c r="AF67" t="s">
        <v>1784</v>
      </c>
    </row>
    <row r="68" spans="2:33">
      <c r="B68" t="s">
        <v>494</v>
      </c>
      <c r="C68" t="s">
        <v>1785</v>
      </c>
      <c r="D68" t="s">
        <v>1786</v>
      </c>
      <c r="X68" s="338" t="s">
        <v>603</v>
      </c>
      <c r="Y68" t="s">
        <v>389</v>
      </c>
      <c r="Z68" s="404">
        <v>0.18</v>
      </c>
      <c r="AA68" s="211">
        <f>473/35.9</f>
        <v>13.175487465181059</v>
      </c>
      <c r="AB68" s="280">
        <v>18</v>
      </c>
      <c r="AD68" s="211">
        <f t="shared" si="4"/>
        <v>15.933147632311979</v>
      </c>
      <c r="AE68" s="280">
        <v>50</v>
      </c>
    </row>
    <row r="69" spans="2:33">
      <c r="B69" t="s">
        <v>381</v>
      </c>
      <c r="C69" t="s">
        <v>1787</v>
      </c>
      <c r="D69" t="s">
        <v>1788</v>
      </c>
      <c r="X69" s="338" t="s">
        <v>606</v>
      </c>
      <c r="Y69" t="s">
        <v>389</v>
      </c>
      <c r="Z69" s="404">
        <v>0.18</v>
      </c>
      <c r="AA69" s="211">
        <f t="shared" ref="AA69:AA76" si="5">473/35.9</f>
        <v>13.175487465181059</v>
      </c>
      <c r="AB69" s="280">
        <v>16</v>
      </c>
      <c r="AD69" s="211">
        <f t="shared" si="4"/>
        <v>15.933147632311979</v>
      </c>
      <c r="AE69" s="280">
        <v>50</v>
      </c>
    </row>
    <row r="70" spans="2:33">
      <c r="B70" t="s">
        <v>1789</v>
      </c>
      <c r="C70" t="s">
        <v>1790</v>
      </c>
      <c r="D70" t="s">
        <v>1791</v>
      </c>
      <c r="X70" s="338" t="s">
        <v>266</v>
      </c>
      <c r="Y70" t="s">
        <v>389</v>
      </c>
      <c r="Z70" s="404">
        <v>0.18</v>
      </c>
      <c r="AA70" s="211">
        <f t="shared" si="5"/>
        <v>13.175487465181059</v>
      </c>
      <c r="AB70" s="280">
        <v>16</v>
      </c>
      <c r="AD70" s="211">
        <f t="shared" si="4"/>
        <v>15.933147632311979</v>
      </c>
      <c r="AE70" s="280">
        <v>50</v>
      </c>
    </row>
    <row r="71" spans="2:33">
      <c r="B71" t="s">
        <v>1792</v>
      </c>
      <c r="X71" s="172" t="s">
        <v>611</v>
      </c>
      <c r="Y71" t="s">
        <v>389</v>
      </c>
      <c r="Z71" s="404">
        <v>0.18</v>
      </c>
      <c r="AA71" s="211">
        <f t="shared" si="5"/>
        <v>13.175487465181059</v>
      </c>
      <c r="AB71" s="280">
        <v>14</v>
      </c>
      <c r="AD71" s="211">
        <f t="shared" si="4"/>
        <v>15.933147632311979</v>
      </c>
      <c r="AE71" s="280">
        <v>50</v>
      </c>
    </row>
    <row r="72" spans="2:33">
      <c r="B72" t="s">
        <v>1793</v>
      </c>
      <c r="X72" s="172" t="s">
        <v>226</v>
      </c>
      <c r="Y72" t="s">
        <v>389</v>
      </c>
      <c r="Z72" s="404">
        <v>0.18</v>
      </c>
      <c r="AA72" s="211">
        <f t="shared" si="5"/>
        <v>13.175487465181059</v>
      </c>
      <c r="AB72" s="280">
        <v>14</v>
      </c>
      <c r="AD72" s="211">
        <f t="shared" si="4"/>
        <v>15.933147632311979</v>
      </c>
      <c r="AE72" s="280">
        <v>50</v>
      </c>
    </row>
    <row r="73" spans="2:33">
      <c r="B73" t="s">
        <v>501</v>
      </c>
      <c r="X73" s="172" t="s">
        <v>617</v>
      </c>
      <c r="Y73" t="s">
        <v>389</v>
      </c>
      <c r="Z73" s="404">
        <v>0.18</v>
      </c>
      <c r="AA73" s="211">
        <f t="shared" si="5"/>
        <v>13.175487465181059</v>
      </c>
      <c r="AB73" s="280">
        <v>14</v>
      </c>
      <c r="AC73" s="211">
        <f t="shared" ref="AC73" si="6">AD73/AE73</f>
        <v>0.31866295264623956</v>
      </c>
      <c r="AD73" s="211">
        <f>572/35.9</f>
        <v>15.933147632311979</v>
      </c>
      <c r="AE73" s="280">
        <v>50</v>
      </c>
    </row>
    <row r="74" spans="2:33">
      <c r="X74" s="172" t="s">
        <v>222</v>
      </c>
      <c r="Y74" t="s">
        <v>389</v>
      </c>
      <c r="Z74" s="404">
        <v>0.18</v>
      </c>
      <c r="AA74" s="211">
        <f t="shared" si="5"/>
        <v>13.175487465181059</v>
      </c>
      <c r="AB74" s="280">
        <v>16</v>
      </c>
      <c r="AD74" s="211">
        <f>572/35.9</f>
        <v>15.933147632311979</v>
      </c>
      <c r="AE74" s="280">
        <v>50</v>
      </c>
    </row>
    <row r="75" spans="2:33">
      <c r="B75" t="s">
        <v>1794</v>
      </c>
      <c r="X75" s="172" t="s">
        <v>262</v>
      </c>
      <c r="Y75" t="s">
        <v>389</v>
      </c>
      <c r="Z75" s="404">
        <v>0.18</v>
      </c>
      <c r="AA75" s="211">
        <f t="shared" si="5"/>
        <v>13.175487465181059</v>
      </c>
      <c r="AB75" s="280">
        <v>16</v>
      </c>
      <c r="AC75">
        <f>(19.5*0.042)</f>
        <v>0.81900000000000006</v>
      </c>
      <c r="AD75" s="211">
        <f>572/35.9</f>
        <v>15.933147632311979</v>
      </c>
      <c r="AE75" s="280">
        <v>50</v>
      </c>
      <c r="AF75" t="s">
        <v>1795</v>
      </c>
      <c r="AG75" t="s">
        <v>1796</v>
      </c>
    </row>
    <row r="76" spans="2:33">
      <c r="X76" s="172" t="s">
        <v>623</v>
      </c>
      <c r="Y76" t="s">
        <v>389</v>
      </c>
      <c r="Z76" s="404">
        <v>0.18</v>
      </c>
      <c r="AA76" s="211">
        <f t="shared" si="5"/>
        <v>13.175487465181059</v>
      </c>
      <c r="AB76" s="280">
        <v>14</v>
      </c>
      <c r="AC76">
        <f>(19.5*0.042)</f>
        <v>0.81900000000000006</v>
      </c>
      <c r="AD76" s="211">
        <f>572/35.9</f>
        <v>15.933147632311979</v>
      </c>
      <c r="AE76" s="280">
        <v>50</v>
      </c>
      <c r="AF76" t="s">
        <v>1795</v>
      </c>
      <c r="AG76" t="s">
        <v>1796</v>
      </c>
    </row>
    <row r="77" spans="2:33">
      <c r="X77" s="173" t="s">
        <v>44</v>
      </c>
      <c r="Y77" t="s">
        <v>385</v>
      </c>
      <c r="Z77" s="211">
        <f t="shared" ref="Z77" si="7">AA77/AB77</f>
        <v>3.9E-2</v>
      </c>
      <c r="AA77">
        <v>19.5</v>
      </c>
      <c r="AB77">
        <f>1/0.002</f>
        <v>500</v>
      </c>
      <c r="AC77" s="211">
        <f t="shared" ref="AC77" si="8">AD77/AE77</f>
        <v>2.1139999999999999E-2</v>
      </c>
      <c r="AD77">
        <v>21.14</v>
      </c>
      <c r="AE77">
        <f>1/0.001</f>
        <v>1000</v>
      </c>
      <c r="AF77" t="s">
        <v>1797</v>
      </c>
      <c r="AG77" t="s">
        <v>1798</v>
      </c>
    </row>
    <row r="78" spans="2:33">
      <c r="X78" s="172" t="s">
        <v>629</v>
      </c>
    </row>
    <row r="79" spans="2:33">
      <c r="X79" s="173" t="s">
        <v>235</v>
      </c>
      <c r="Y79" t="s">
        <v>385</v>
      </c>
      <c r="Z79">
        <v>0.18</v>
      </c>
      <c r="AA79" s="211">
        <f>473/35.9</f>
        <v>13.175487465181059</v>
      </c>
      <c r="AB79" s="280">
        <f>AA79/Z79</f>
        <v>73.197152584339221</v>
      </c>
      <c r="AC79">
        <v>0.18</v>
      </c>
      <c r="AD79" s="211">
        <f t="shared" ref="AD79:AD81" si="9">572/35.9</f>
        <v>15.933147632311979</v>
      </c>
      <c r="AE79" s="280">
        <v>50</v>
      </c>
      <c r="AF79" t="s">
        <v>1799</v>
      </c>
    </row>
    <row r="80" spans="2:33">
      <c r="X80" s="173" t="s">
        <v>635</v>
      </c>
      <c r="Y80" t="s">
        <v>385</v>
      </c>
      <c r="Z80">
        <v>0.18</v>
      </c>
      <c r="AA80" s="211">
        <f>473/35.9</f>
        <v>13.175487465181059</v>
      </c>
      <c r="AB80" s="280">
        <f>AA80/Z80</f>
        <v>73.197152584339221</v>
      </c>
      <c r="AC80">
        <v>0.18</v>
      </c>
      <c r="AD80" s="211">
        <f t="shared" si="9"/>
        <v>15.933147632311979</v>
      </c>
      <c r="AE80" s="280">
        <v>50</v>
      </c>
      <c r="AF80" t="s">
        <v>1799</v>
      </c>
    </row>
    <row r="81" spans="24:33">
      <c r="X81" s="173" t="s">
        <v>639</v>
      </c>
      <c r="Y81" t="s">
        <v>385</v>
      </c>
      <c r="Z81">
        <v>0.18</v>
      </c>
      <c r="AA81" s="211">
        <f>473/35.9</f>
        <v>13.175487465181059</v>
      </c>
      <c r="AB81" s="280">
        <f>AA81/Z81</f>
        <v>73.197152584339221</v>
      </c>
      <c r="AC81">
        <v>0.18</v>
      </c>
      <c r="AD81" s="211">
        <f t="shared" si="9"/>
        <v>15.933147632311979</v>
      </c>
      <c r="AE81" s="280">
        <v>50</v>
      </c>
      <c r="AF81" t="s">
        <v>1799</v>
      </c>
    </row>
    <row r="82" spans="24:33">
      <c r="X82" s="173" t="s">
        <v>641</v>
      </c>
      <c r="Y82" t="s">
        <v>385</v>
      </c>
      <c r="Z82" s="211">
        <f t="shared" ref="Z82:Z86" si="10">AA82/AB82</f>
        <v>1.95</v>
      </c>
      <c r="AA82">
        <v>19.5</v>
      </c>
      <c r="AB82">
        <v>10</v>
      </c>
      <c r="AC82" s="211">
        <f t="shared" ref="AC82:AC87" si="11">AD82/AE82</f>
        <v>0.48749999999999999</v>
      </c>
      <c r="AD82">
        <v>19.5</v>
      </c>
      <c r="AE82">
        <f t="shared" ref="AE82:AE83" si="12">1/0.025</f>
        <v>40</v>
      </c>
    </row>
    <row r="83" spans="24:33">
      <c r="X83" s="173" t="s">
        <v>645</v>
      </c>
      <c r="Y83" t="s">
        <v>385</v>
      </c>
      <c r="Z83" s="211">
        <f t="shared" si="10"/>
        <v>1.95</v>
      </c>
      <c r="AA83">
        <v>19.5</v>
      </c>
      <c r="AB83">
        <v>10</v>
      </c>
      <c r="AC83" s="211">
        <f t="shared" si="11"/>
        <v>0.48749999999999999</v>
      </c>
      <c r="AD83">
        <v>19.5</v>
      </c>
      <c r="AE83">
        <f t="shared" si="12"/>
        <v>40</v>
      </c>
    </row>
    <row r="84" spans="24:33">
      <c r="X84" s="173" t="s">
        <v>273</v>
      </c>
      <c r="Y84" t="s">
        <v>385</v>
      </c>
      <c r="Z84" s="211">
        <f t="shared" si="10"/>
        <v>1.62435</v>
      </c>
      <c r="AA84">
        <v>19.5</v>
      </c>
      <c r="AB84" s="211">
        <f>1/0.0833</f>
        <v>12.004801920768308</v>
      </c>
      <c r="AC84" s="211">
        <f t="shared" si="11"/>
        <v>0.48749999999999999</v>
      </c>
      <c r="AD84">
        <v>19.5</v>
      </c>
      <c r="AE84">
        <f>1/0.025</f>
        <v>40</v>
      </c>
    </row>
    <row r="85" spans="24:33">
      <c r="X85" s="173" t="s">
        <v>650</v>
      </c>
      <c r="Y85" t="s">
        <v>385</v>
      </c>
      <c r="Z85" s="211">
        <f t="shared" si="10"/>
        <v>1.62435</v>
      </c>
      <c r="AA85">
        <v>19.5</v>
      </c>
      <c r="AB85" s="211">
        <f>1/0.0833</f>
        <v>12.004801920768308</v>
      </c>
      <c r="AC85" s="211">
        <f t="shared" si="11"/>
        <v>0.48749999999999999</v>
      </c>
      <c r="AD85">
        <v>19.5</v>
      </c>
      <c r="AE85">
        <f>1/0.025</f>
        <v>40</v>
      </c>
    </row>
    <row r="86" spans="24:33">
      <c r="X86" s="173" t="s">
        <v>652</v>
      </c>
      <c r="Y86" t="s">
        <v>385</v>
      </c>
      <c r="Z86" s="211">
        <f t="shared" si="10"/>
        <v>1.62435</v>
      </c>
      <c r="AA86">
        <v>19.5</v>
      </c>
      <c r="AB86" s="211">
        <f>1/0.0833</f>
        <v>12.004801920768308</v>
      </c>
      <c r="AC86" s="211">
        <f t="shared" si="11"/>
        <v>0.156</v>
      </c>
      <c r="AD86">
        <v>19.5</v>
      </c>
      <c r="AE86">
        <f>1/0.008</f>
        <v>125</v>
      </c>
    </row>
    <row r="87" spans="24:33">
      <c r="X87" s="173" t="s">
        <v>56</v>
      </c>
      <c r="Y87" t="s">
        <v>385</v>
      </c>
      <c r="Z87">
        <v>0.18</v>
      </c>
      <c r="AA87" s="211">
        <f>473/35.9</f>
        <v>13.175487465181059</v>
      </c>
      <c r="AB87" s="280">
        <f>AA87/Z87</f>
        <v>73.197152584339221</v>
      </c>
      <c r="AC87" s="211">
        <f t="shared" si="11"/>
        <v>0.31866295264623956</v>
      </c>
      <c r="AD87" s="211">
        <f>572/35.9</f>
        <v>15.933147632311979</v>
      </c>
      <c r="AE87" s="280">
        <v>50</v>
      </c>
    </row>
    <row r="88" spans="24:33">
      <c r="X88" s="403" t="s">
        <v>231</v>
      </c>
      <c r="Y88" t="s">
        <v>385</v>
      </c>
      <c r="Z88">
        <f>(19.5*0.0833)+(5*0.0189)</f>
        <v>1.71885</v>
      </c>
      <c r="AA88">
        <v>19.5</v>
      </c>
      <c r="AB88" s="211">
        <f>1/0.0833</f>
        <v>12.004801920768308</v>
      </c>
      <c r="AC88">
        <f t="shared" ref="AC88:AC90" si="13">(19.5*0.008)</f>
        <v>0.156</v>
      </c>
      <c r="AD88">
        <v>19.5</v>
      </c>
      <c r="AE88">
        <f>1/0.008</f>
        <v>125</v>
      </c>
    </row>
    <row r="89" spans="24:33">
      <c r="X89" s="338" t="s">
        <v>268</v>
      </c>
      <c r="Y89" t="s">
        <v>385</v>
      </c>
      <c r="Z89">
        <f>(19.5*0.0833)+(5*0.0189)</f>
        <v>1.71885</v>
      </c>
      <c r="AA89">
        <v>19.5</v>
      </c>
      <c r="AB89" s="211">
        <f>1/0.0833</f>
        <v>12.004801920768308</v>
      </c>
      <c r="AC89">
        <f t="shared" si="13"/>
        <v>0.156</v>
      </c>
      <c r="AD89">
        <v>19.5</v>
      </c>
      <c r="AE89">
        <f>1/0.008</f>
        <v>125</v>
      </c>
      <c r="AF89" t="s">
        <v>1800</v>
      </c>
      <c r="AG89" t="s">
        <v>1801</v>
      </c>
    </row>
    <row r="90" spans="24:33">
      <c r="X90" s="338" t="s">
        <v>661</v>
      </c>
      <c r="Y90" t="s">
        <v>385</v>
      </c>
      <c r="Z90">
        <f>(19.5*0.0833)+(5*0.0189)</f>
        <v>1.71885</v>
      </c>
      <c r="AA90">
        <v>19.5</v>
      </c>
      <c r="AB90" s="211">
        <f>1/0.0833</f>
        <v>12.004801920768308</v>
      </c>
      <c r="AC90">
        <f t="shared" si="13"/>
        <v>0.156</v>
      </c>
      <c r="AD90">
        <v>19.5</v>
      </c>
      <c r="AE90">
        <f>1/0.008</f>
        <v>125</v>
      </c>
      <c r="AF90" t="s">
        <v>1800</v>
      </c>
      <c r="AG90" t="s">
        <v>1801</v>
      </c>
    </row>
    <row r="91" spans="24:33">
      <c r="X91" s="173" t="s">
        <v>51</v>
      </c>
      <c r="Y91" t="s">
        <v>385</v>
      </c>
      <c r="Z91">
        <f>(19.5*0.02)+(10*0.02)</f>
        <v>0.59000000000000008</v>
      </c>
      <c r="AA91">
        <v>19.5</v>
      </c>
      <c r="AB91">
        <f>1/0.02</f>
        <v>50</v>
      </c>
      <c r="AC91">
        <f>(19.5*0.01)</f>
        <v>0.19500000000000001</v>
      </c>
      <c r="AD91">
        <v>19.5</v>
      </c>
      <c r="AE91">
        <f>1/0.01</f>
        <v>100</v>
      </c>
      <c r="AF91" t="s">
        <v>1802</v>
      </c>
      <c r="AG91" t="s">
        <v>1803</v>
      </c>
    </row>
    <row r="92" spans="24:33">
      <c r="X92" s="173" t="s">
        <v>260</v>
      </c>
      <c r="Y92" t="s">
        <v>385</v>
      </c>
      <c r="Z92">
        <f t="shared" ref="Z92:Z104" si="14">(19.5*0.02)+(10*0.02)</f>
        <v>0.59000000000000008</v>
      </c>
      <c r="AA92">
        <v>19.5</v>
      </c>
      <c r="AB92">
        <f t="shared" ref="AB92:AB104" si="15">1/0.02</f>
        <v>50</v>
      </c>
      <c r="AC92">
        <f t="shared" ref="AC92:AC104" si="16">(19.5*0.01)</f>
        <v>0.19500000000000001</v>
      </c>
      <c r="AD92">
        <v>19.5</v>
      </c>
      <c r="AE92">
        <f t="shared" ref="AE92:AE104" si="17">1/0.01</f>
        <v>100</v>
      </c>
      <c r="AF92" t="s">
        <v>1802</v>
      </c>
      <c r="AG92" t="s">
        <v>1803</v>
      </c>
    </row>
    <row r="93" spans="24:33">
      <c r="X93" s="172" t="s">
        <v>61</v>
      </c>
      <c r="Y93" t="s">
        <v>385</v>
      </c>
      <c r="Z93">
        <f t="shared" si="14"/>
        <v>0.59000000000000008</v>
      </c>
      <c r="AA93">
        <v>19.5</v>
      </c>
      <c r="AB93">
        <f t="shared" si="15"/>
        <v>50</v>
      </c>
      <c r="AC93">
        <f t="shared" si="16"/>
        <v>0.19500000000000001</v>
      </c>
      <c r="AD93">
        <v>19.5</v>
      </c>
      <c r="AE93">
        <f t="shared" si="17"/>
        <v>100</v>
      </c>
      <c r="AF93" t="s">
        <v>1802</v>
      </c>
      <c r="AG93" t="s">
        <v>1803</v>
      </c>
    </row>
    <row r="94" spans="24:33">
      <c r="X94" s="172" t="s">
        <v>699</v>
      </c>
      <c r="Y94" t="s">
        <v>385</v>
      </c>
      <c r="Z94">
        <f t="shared" si="14"/>
        <v>0.59000000000000008</v>
      </c>
      <c r="AA94">
        <v>19.5</v>
      </c>
      <c r="AB94">
        <f t="shared" si="15"/>
        <v>50</v>
      </c>
      <c r="AC94">
        <f t="shared" si="16"/>
        <v>0.19500000000000001</v>
      </c>
      <c r="AD94">
        <v>19.5</v>
      </c>
      <c r="AE94">
        <f t="shared" si="17"/>
        <v>100</v>
      </c>
      <c r="AF94" t="s">
        <v>1802</v>
      </c>
      <c r="AG94" t="s">
        <v>1803</v>
      </c>
    </row>
    <row r="95" spans="24:33">
      <c r="X95" s="173" t="s">
        <v>701</v>
      </c>
      <c r="Y95" t="s">
        <v>385</v>
      </c>
      <c r="Z95">
        <f t="shared" si="14"/>
        <v>0.59000000000000008</v>
      </c>
      <c r="AA95">
        <v>19.5</v>
      </c>
      <c r="AB95">
        <f t="shared" si="15"/>
        <v>50</v>
      </c>
      <c r="AC95">
        <f t="shared" si="16"/>
        <v>0.19500000000000001</v>
      </c>
      <c r="AD95">
        <v>19.5</v>
      </c>
      <c r="AE95">
        <f t="shared" si="17"/>
        <v>100</v>
      </c>
      <c r="AF95" t="s">
        <v>1802</v>
      </c>
      <c r="AG95" t="s">
        <v>1803</v>
      </c>
    </row>
    <row r="96" spans="24:33">
      <c r="X96" s="172" t="s">
        <v>702</v>
      </c>
      <c r="Y96" t="s">
        <v>385</v>
      </c>
      <c r="Z96">
        <f t="shared" si="14"/>
        <v>0.59000000000000008</v>
      </c>
      <c r="AA96">
        <v>19.5</v>
      </c>
      <c r="AB96">
        <f t="shared" si="15"/>
        <v>50</v>
      </c>
      <c r="AC96">
        <f t="shared" si="16"/>
        <v>0.19500000000000001</v>
      </c>
      <c r="AD96">
        <v>19.5</v>
      </c>
      <c r="AE96">
        <f t="shared" si="17"/>
        <v>100</v>
      </c>
      <c r="AF96" t="s">
        <v>1802</v>
      </c>
      <c r="AG96" t="s">
        <v>1803</v>
      </c>
    </row>
    <row r="97" spans="1:33">
      <c r="X97" s="172" t="s">
        <v>703</v>
      </c>
      <c r="Y97" t="s">
        <v>385</v>
      </c>
      <c r="Z97">
        <f t="shared" si="14"/>
        <v>0.59000000000000008</v>
      </c>
      <c r="AA97">
        <v>19.5</v>
      </c>
      <c r="AB97">
        <f t="shared" si="15"/>
        <v>50</v>
      </c>
      <c r="AC97">
        <f t="shared" si="16"/>
        <v>0.19500000000000001</v>
      </c>
      <c r="AD97">
        <v>19.5</v>
      </c>
      <c r="AE97">
        <f t="shared" si="17"/>
        <v>100</v>
      </c>
      <c r="AF97" t="s">
        <v>1802</v>
      </c>
      <c r="AG97" t="s">
        <v>1803</v>
      </c>
    </row>
    <row r="98" spans="1:33">
      <c r="X98" s="173" t="s">
        <v>705</v>
      </c>
      <c r="Y98" t="s">
        <v>385</v>
      </c>
      <c r="Z98">
        <f t="shared" si="14"/>
        <v>0.59000000000000008</v>
      </c>
      <c r="AA98">
        <v>19.5</v>
      </c>
      <c r="AB98">
        <f t="shared" si="15"/>
        <v>50</v>
      </c>
      <c r="AC98">
        <f t="shared" si="16"/>
        <v>0.19500000000000001</v>
      </c>
      <c r="AD98">
        <v>19.5</v>
      </c>
      <c r="AE98">
        <f t="shared" si="17"/>
        <v>100</v>
      </c>
      <c r="AF98" t="s">
        <v>1802</v>
      </c>
      <c r="AG98" t="s">
        <v>1803</v>
      </c>
    </row>
    <row r="99" spans="1:33">
      <c r="X99" s="173" t="s">
        <v>706</v>
      </c>
      <c r="Y99" t="s">
        <v>385</v>
      </c>
      <c r="Z99">
        <f t="shared" si="14"/>
        <v>0.59000000000000008</v>
      </c>
      <c r="AA99">
        <v>19.5</v>
      </c>
      <c r="AB99">
        <f t="shared" si="15"/>
        <v>50</v>
      </c>
      <c r="AC99">
        <f t="shared" si="16"/>
        <v>0.19500000000000001</v>
      </c>
      <c r="AD99">
        <v>19.5</v>
      </c>
      <c r="AE99">
        <f t="shared" si="17"/>
        <v>100</v>
      </c>
      <c r="AF99" t="s">
        <v>1802</v>
      </c>
      <c r="AG99" t="s">
        <v>1803</v>
      </c>
    </row>
    <row r="100" spans="1:33">
      <c r="X100" s="403" t="s">
        <v>244</v>
      </c>
      <c r="Y100" t="s">
        <v>385</v>
      </c>
      <c r="Z100">
        <f t="shared" si="14"/>
        <v>0.59000000000000008</v>
      </c>
      <c r="AA100">
        <v>19.5</v>
      </c>
      <c r="AB100">
        <f t="shared" si="15"/>
        <v>50</v>
      </c>
      <c r="AC100">
        <f t="shared" si="16"/>
        <v>0.19500000000000001</v>
      </c>
      <c r="AD100">
        <v>19.5</v>
      </c>
      <c r="AE100">
        <f t="shared" si="17"/>
        <v>100</v>
      </c>
      <c r="AF100" t="s">
        <v>1802</v>
      </c>
      <c r="AG100" t="s">
        <v>1803</v>
      </c>
    </row>
    <row r="101" spans="1:33">
      <c r="X101" s="173" t="s">
        <v>708</v>
      </c>
      <c r="Y101" t="s">
        <v>385</v>
      </c>
      <c r="Z101">
        <f t="shared" si="14"/>
        <v>0.59000000000000008</v>
      </c>
      <c r="AA101">
        <v>19.5</v>
      </c>
      <c r="AB101">
        <f t="shared" si="15"/>
        <v>50</v>
      </c>
      <c r="AC101">
        <f t="shared" si="16"/>
        <v>0.19500000000000001</v>
      </c>
      <c r="AD101">
        <v>19.5</v>
      </c>
      <c r="AE101">
        <f t="shared" si="17"/>
        <v>100</v>
      </c>
      <c r="AF101" t="s">
        <v>1802</v>
      </c>
      <c r="AG101" t="s">
        <v>1803</v>
      </c>
    </row>
    <row r="102" spans="1:33">
      <c r="X102" s="173" t="s">
        <v>710</v>
      </c>
      <c r="Y102" t="s">
        <v>385</v>
      </c>
      <c r="Z102">
        <f t="shared" si="14"/>
        <v>0.59000000000000008</v>
      </c>
      <c r="AA102">
        <v>19.5</v>
      </c>
      <c r="AB102">
        <f t="shared" si="15"/>
        <v>50</v>
      </c>
      <c r="AC102">
        <f t="shared" si="16"/>
        <v>0.19500000000000001</v>
      </c>
      <c r="AD102">
        <v>19.5</v>
      </c>
      <c r="AE102">
        <f t="shared" si="17"/>
        <v>100</v>
      </c>
      <c r="AF102" t="s">
        <v>1802</v>
      </c>
      <c r="AG102" t="s">
        <v>1803</v>
      </c>
    </row>
    <row r="103" spans="1:33">
      <c r="X103" s="173" t="s">
        <v>711</v>
      </c>
      <c r="Y103" t="s">
        <v>385</v>
      </c>
      <c r="Z103">
        <f t="shared" si="14"/>
        <v>0.59000000000000008</v>
      </c>
      <c r="AA103">
        <v>19.5</v>
      </c>
      <c r="AB103">
        <f t="shared" si="15"/>
        <v>50</v>
      </c>
      <c r="AC103">
        <f t="shared" si="16"/>
        <v>0.19500000000000001</v>
      </c>
      <c r="AD103">
        <v>19.5</v>
      </c>
      <c r="AE103">
        <f t="shared" si="17"/>
        <v>100</v>
      </c>
      <c r="AF103" t="s">
        <v>1802</v>
      </c>
      <c r="AG103" t="s">
        <v>1803</v>
      </c>
    </row>
    <row r="104" spans="1:33">
      <c r="X104" s="172" t="s">
        <v>713</v>
      </c>
      <c r="Y104" t="s">
        <v>385</v>
      </c>
      <c r="Z104">
        <f t="shared" si="14"/>
        <v>0.59000000000000008</v>
      </c>
      <c r="AA104">
        <v>19.5</v>
      </c>
      <c r="AB104">
        <f t="shared" si="15"/>
        <v>50</v>
      </c>
      <c r="AC104">
        <f t="shared" si="16"/>
        <v>0.19500000000000001</v>
      </c>
      <c r="AD104">
        <v>19.5</v>
      </c>
      <c r="AE104">
        <f t="shared" si="17"/>
        <v>100</v>
      </c>
      <c r="AF104" t="s">
        <v>1802</v>
      </c>
      <c r="AG104" t="s">
        <v>1803</v>
      </c>
    </row>
    <row r="105" spans="1:33">
      <c r="X105" s="173" t="s">
        <v>715</v>
      </c>
      <c r="Y105" t="s">
        <v>389</v>
      </c>
      <c r="Z105" s="211">
        <f t="shared" ref="Z105:Z108" si="18">AA105/AB105</f>
        <v>0.27079999999999999</v>
      </c>
      <c r="AA105">
        <v>13.54</v>
      </c>
      <c r="AB105">
        <f>1/0.02</f>
        <v>50</v>
      </c>
      <c r="AC105" s="211">
        <f t="shared" ref="AC105:AC108" si="19">AD105/AE105</f>
        <v>5.416E-2</v>
      </c>
      <c r="AD105">
        <v>13.54</v>
      </c>
      <c r="AE105">
        <f>1/0.004</f>
        <v>250</v>
      </c>
    </row>
    <row r="106" spans="1:33">
      <c r="X106" s="172" t="s">
        <v>718</v>
      </c>
      <c r="Y106" t="s">
        <v>389</v>
      </c>
      <c r="Z106" s="211">
        <f t="shared" si="18"/>
        <v>1.3215999999999999</v>
      </c>
      <c r="AA106" s="211">
        <f>13.54+19.5</f>
        <v>33.04</v>
      </c>
      <c r="AB106">
        <v>25</v>
      </c>
      <c r="AC106" s="211">
        <f t="shared" si="19"/>
        <v>0.8058536585365853</v>
      </c>
      <c r="AD106" s="211">
        <f>13.54+19.5</f>
        <v>33.04</v>
      </c>
      <c r="AE106">
        <v>41</v>
      </c>
    </row>
    <row r="107" spans="1:33">
      <c r="X107" s="173" t="s">
        <v>721</v>
      </c>
      <c r="Y107" t="s">
        <v>389</v>
      </c>
      <c r="Z107" s="211">
        <f t="shared" si="18"/>
        <v>1.3215999999999999</v>
      </c>
      <c r="AA107" s="211">
        <f>13.54+19.5</f>
        <v>33.04</v>
      </c>
      <c r="AB107">
        <v>25</v>
      </c>
      <c r="AC107" s="211">
        <f t="shared" si="19"/>
        <v>0.8058536585365853</v>
      </c>
      <c r="AD107" s="211">
        <f>13.54+19.5</f>
        <v>33.04</v>
      </c>
      <c r="AE107">
        <v>41</v>
      </c>
    </row>
    <row r="108" spans="1:33">
      <c r="X108" s="172" t="s">
        <v>722</v>
      </c>
      <c r="Y108" t="s">
        <v>389</v>
      </c>
      <c r="Z108" s="211">
        <f t="shared" si="18"/>
        <v>2.7533333333333334</v>
      </c>
      <c r="AA108" s="211">
        <f>13.54+19.5</f>
        <v>33.04</v>
      </c>
      <c r="AB108">
        <v>12</v>
      </c>
      <c r="AC108" s="211">
        <f t="shared" si="19"/>
        <v>1.3766666666666667</v>
      </c>
      <c r="AD108" s="211">
        <f>13.54+19.5</f>
        <v>33.04</v>
      </c>
      <c r="AE108">
        <v>24</v>
      </c>
    </row>
    <row r="109" spans="1:33">
      <c r="A109" s="183" t="s">
        <v>1804</v>
      </c>
      <c r="B109" s="184" t="s">
        <v>11</v>
      </c>
      <c r="C109" s="183" t="s">
        <v>1805</v>
      </c>
      <c r="X109" s="173" t="s">
        <v>723</v>
      </c>
      <c r="Y109" t="s">
        <v>389</v>
      </c>
    </row>
    <row r="110" spans="1:33">
      <c r="A110" s="185" t="s">
        <v>1806</v>
      </c>
      <c r="B110" s="186" t="s">
        <v>1807</v>
      </c>
      <c r="C110" s="187">
        <v>0.16</v>
      </c>
      <c r="X110" s="172" t="s">
        <v>726</v>
      </c>
      <c r="Y110" t="s">
        <v>389</v>
      </c>
      <c r="Z110" s="211">
        <f>AA110/AB110</f>
        <v>1.1643454038997216</v>
      </c>
      <c r="AA110" s="211">
        <f>(473+572)/35.9</f>
        <v>29.108635097493039</v>
      </c>
      <c r="AB110">
        <f>1/0.04</f>
        <v>25</v>
      </c>
      <c r="AC110" s="211">
        <f>AD110/AE110</f>
        <v>0.47799442896935934</v>
      </c>
      <c r="AD110" s="211">
        <f t="shared" ref="AD110:AD118" si="20">572/35.9</f>
        <v>15.933147632311979</v>
      </c>
      <c r="AE110" s="211">
        <f>1/0.03</f>
        <v>33.333333333333336</v>
      </c>
    </row>
    <row r="111" spans="1:33">
      <c r="A111" s="185" t="s">
        <v>1808</v>
      </c>
      <c r="B111" s="185" t="s">
        <v>1807</v>
      </c>
      <c r="C111" s="187">
        <v>0.16</v>
      </c>
      <c r="X111" s="173" t="s">
        <v>254</v>
      </c>
      <c r="Y111" t="s">
        <v>389</v>
      </c>
      <c r="Z111" s="211">
        <f>AA111/AB111</f>
        <v>2.0376044568245129</v>
      </c>
      <c r="AA111" s="211">
        <f t="shared" ref="AA111:AA112" si="21">(473+572)/35.9</f>
        <v>29.108635097493039</v>
      </c>
      <c r="AB111" s="280">
        <f>1/0.07</f>
        <v>14.285714285714285</v>
      </c>
      <c r="AC111" s="211">
        <f>AD111/AE111</f>
        <v>1.1153203342618385</v>
      </c>
      <c r="AD111" s="211">
        <f t="shared" si="20"/>
        <v>15.933147632311979</v>
      </c>
      <c r="AE111" s="211">
        <f>1/0.07</f>
        <v>14.285714285714285</v>
      </c>
    </row>
    <row r="112" spans="1:33">
      <c r="A112" s="185" t="s">
        <v>1809</v>
      </c>
      <c r="B112" s="185" t="s">
        <v>1810</v>
      </c>
      <c r="C112" s="187">
        <v>0.05</v>
      </c>
      <c r="X112" s="172" t="s">
        <v>257</v>
      </c>
      <c r="Y112" t="s">
        <v>389</v>
      </c>
      <c r="Z112" s="211">
        <f>AA112/AB112</f>
        <v>3.201949860724234</v>
      </c>
      <c r="AA112" s="211">
        <f t="shared" si="21"/>
        <v>29.108635097493039</v>
      </c>
      <c r="AB112" s="280">
        <f>1/0.11</f>
        <v>9.0909090909090917</v>
      </c>
      <c r="AC112" s="211">
        <f>AD112/AE112</f>
        <v>1.7526462395543174</v>
      </c>
      <c r="AD112" s="211">
        <f t="shared" si="20"/>
        <v>15.933147632311979</v>
      </c>
      <c r="AE112" s="211">
        <f>1/0.11</f>
        <v>9.0909090909090917</v>
      </c>
    </row>
    <row r="113" spans="1:31">
      <c r="A113" s="185" t="s">
        <v>1811</v>
      </c>
      <c r="B113" s="185" t="s">
        <v>1812</v>
      </c>
      <c r="C113" s="187">
        <v>30</v>
      </c>
      <c r="X113" s="173" t="s">
        <v>731</v>
      </c>
      <c r="Y113" t="s">
        <v>389</v>
      </c>
      <c r="Z113" s="211">
        <f>AA113/AB113</f>
        <v>10.242399999999998</v>
      </c>
      <c r="AA113" s="211">
        <f>13.54+19.5</f>
        <v>33.04</v>
      </c>
      <c r="AB113" s="211">
        <f>1/0.31</f>
        <v>3.2258064516129035</v>
      </c>
      <c r="AC113" s="211">
        <f>AD113/AE113</f>
        <v>4.1973999999999991</v>
      </c>
      <c r="AD113" s="211">
        <v>13.54</v>
      </c>
      <c r="AE113" s="211">
        <f>1/0.31</f>
        <v>3.2258064516129035</v>
      </c>
    </row>
    <row r="114" spans="1:31">
      <c r="A114" s="185" t="s">
        <v>1813</v>
      </c>
      <c r="B114" s="1" t="s">
        <v>1238</v>
      </c>
      <c r="C114" s="187">
        <v>2</v>
      </c>
      <c r="X114" s="173" t="s">
        <v>733</v>
      </c>
      <c r="Y114" t="s">
        <v>389</v>
      </c>
      <c r="Z114" s="211">
        <f>AA114/AB114</f>
        <v>2.2026666666666666</v>
      </c>
      <c r="AA114" s="211">
        <f>13.54+19.5</f>
        <v>33.04</v>
      </c>
      <c r="AB114">
        <v>15</v>
      </c>
      <c r="AC114" s="211">
        <f>AD114/AE114</f>
        <v>1.3215999999999999</v>
      </c>
      <c r="AD114" s="211">
        <f>13.54+19.5</f>
        <v>33.04</v>
      </c>
      <c r="AE114" s="407">
        <v>25</v>
      </c>
    </row>
    <row r="115" spans="1:31">
      <c r="A115" s="185" t="s">
        <v>1814</v>
      </c>
      <c r="B115" s="185" t="s">
        <v>1815</v>
      </c>
      <c r="C115" s="187">
        <v>4</v>
      </c>
      <c r="X115" s="173" t="s">
        <v>247</v>
      </c>
      <c r="Y115" t="s">
        <v>783</v>
      </c>
      <c r="Z115" s="211">
        <f t="shared" ref="Z115:Z122" si="22">AA115/AB115</f>
        <v>7.9665738161559894</v>
      </c>
      <c r="AA115" s="211">
        <f t="shared" ref="AA115:AA118" si="23">572/35.9</f>
        <v>15.933147632311979</v>
      </c>
      <c r="AB115" s="211">
        <f>1/0.5</f>
        <v>2</v>
      </c>
      <c r="AC115" s="211">
        <f t="shared" ref="AC115:AC122" si="24">AD115/AE115</f>
        <v>7.9665738161559894</v>
      </c>
      <c r="AD115" s="211">
        <f t="shared" si="20"/>
        <v>15.933147632311979</v>
      </c>
      <c r="AE115" s="211">
        <f>1/0.5</f>
        <v>2</v>
      </c>
    </row>
    <row r="116" spans="1:31">
      <c r="A116" s="185" t="s">
        <v>1816</v>
      </c>
      <c r="B116" s="1" t="s">
        <v>1817</v>
      </c>
      <c r="C116" s="187">
        <v>9</v>
      </c>
      <c r="X116" s="172" t="s">
        <v>740</v>
      </c>
      <c r="Y116" t="s">
        <v>783</v>
      </c>
      <c r="Z116" s="211">
        <f t="shared" si="22"/>
        <v>7.9665738161559894</v>
      </c>
      <c r="AA116" s="211">
        <f t="shared" si="23"/>
        <v>15.933147632311979</v>
      </c>
      <c r="AB116" s="211">
        <f t="shared" ref="AB116:AB118" si="25">1/0.5</f>
        <v>2</v>
      </c>
      <c r="AC116" s="211">
        <f t="shared" si="24"/>
        <v>7.9665738161559894</v>
      </c>
      <c r="AD116" s="211">
        <f t="shared" si="20"/>
        <v>15.933147632311979</v>
      </c>
      <c r="AE116" s="211">
        <f t="shared" ref="AE116:AE118" si="26">1/0.5</f>
        <v>2</v>
      </c>
    </row>
    <row r="117" spans="1:31">
      <c r="A117" s="185" t="s">
        <v>1818</v>
      </c>
      <c r="B117" s="1" t="s">
        <v>1241</v>
      </c>
      <c r="C117" s="187">
        <v>0.09</v>
      </c>
      <c r="X117" s="172" t="s">
        <v>742</v>
      </c>
      <c r="Y117" t="s">
        <v>783</v>
      </c>
      <c r="Z117" s="211">
        <f t="shared" si="22"/>
        <v>7.9665738161559894</v>
      </c>
      <c r="AA117" s="211">
        <f t="shared" si="23"/>
        <v>15.933147632311979</v>
      </c>
      <c r="AB117" s="211">
        <f t="shared" si="25"/>
        <v>2</v>
      </c>
      <c r="AC117" s="211">
        <f t="shared" si="24"/>
        <v>7.9665738161559894</v>
      </c>
      <c r="AD117" s="211">
        <f t="shared" si="20"/>
        <v>15.933147632311979</v>
      </c>
      <c r="AE117" s="211">
        <f t="shared" si="26"/>
        <v>2</v>
      </c>
    </row>
    <row r="118" spans="1:31">
      <c r="A118" s="185" t="s">
        <v>1819</v>
      </c>
      <c r="B118" s="1" t="s">
        <v>1241</v>
      </c>
      <c r="C118" s="187">
        <v>0.03</v>
      </c>
      <c r="X118" s="173" t="s">
        <v>743</v>
      </c>
      <c r="Y118" t="s">
        <v>783</v>
      </c>
      <c r="Z118" s="211">
        <f t="shared" si="22"/>
        <v>7.9665738161559894</v>
      </c>
      <c r="AA118" s="211">
        <f t="shared" si="23"/>
        <v>15.933147632311979</v>
      </c>
      <c r="AB118" s="211">
        <f t="shared" si="25"/>
        <v>2</v>
      </c>
      <c r="AC118" s="211">
        <f t="shared" si="24"/>
        <v>7.9665738161559894</v>
      </c>
      <c r="AD118" s="211">
        <f t="shared" si="20"/>
        <v>15.933147632311979</v>
      </c>
      <c r="AE118" s="211">
        <f t="shared" si="26"/>
        <v>2</v>
      </c>
    </row>
    <row r="119" spans="1:31">
      <c r="A119" s="185" t="s">
        <v>1820</v>
      </c>
      <c r="B119" s="1" t="s">
        <v>1241</v>
      </c>
      <c r="C119" s="188">
        <v>1E-4</v>
      </c>
      <c r="X119" s="173" t="s">
        <v>744</v>
      </c>
      <c r="Y119" t="s">
        <v>783</v>
      </c>
      <c r="Z119" s="211">
        <f t="shared" si="22"/>
        <v>1.5933147632311979</v>
      </c>
      <c r="AA119" s="211">
        <f>572/35.9</f>
        <v>15.933147632311979</v>
      </c>
      <c r="AB119">
        <f>1/0.1</f>
        <v>10</v>
      </c>
      <c r="AC119" s="211">
        <f t="shared" si="24"/>
        <v>1.5933147632311979</v>
      </c>
      <c r="AD119" s="211">
        <f t="shared" ref="AD119:AD122" si="27">572/35.9</f>
        <v>15.933147632311979</v>
      </c>
      <c r="AE119">
        <f>1/0.1</f>
        <v>10</v>
      </c>
    </row>
    <row r="120" spans="1:31">
      <c r="A120" s="185" t="s">
        <v>1821</v>
      </c>
      <c r="B120" s="1" t="s">
        <v>1241</v>
      </c>
      <c r="C120" s="187">
        <v>0.06</v>
      </c>
      <c r="X120" s="172" t="s">
        <v>747</v>
      </c>
      <c r="Y120" t="s">
        <v>783</v>
      </c>
      <c r="Z120" s="211">
        <f t="shared" si="22"/>
        <v>14.55431754874652</v>
      </c>
      <c r="AA120" s="211">
        <f>(473+572)/35.9</f>
        <v>29.108635097493039</v>
      </c>
      <c r="AB120">
        <f>1/0.5</f>
        <v>2</v>
      </c>
      <c r="AC120" s="211">
        <f t="shared" si="24"/>
        <v>9.5598885793871862</v>
      </c>
      <c r="AD120" s="211">
        <f t="shared" si="27"/>
        <v>15.933147632311979</v>
      </c>
      <c r="AE120" s="211">
        <f>1/0.6</f>
        <v>1.6666666666666667</v>
      </c>
    </row>
    <row r="121" spans="1:31">
      <c r="A121" s="185" t="s">
        <v>1822</v>
      </c>
      <c r="B121" s="185" t="s">
        <v>1216</v>
      </c>
      <c r="C121" s="187">
        <v>0</v>
      </c>
      <c r="X121" s="173" t="s">
        <v>749</v>
      </c>
      <c r="Y121" t="s">
        <v>783</v>
      </c>
      <c r="Z121" s="211">
        <f t="shared" si="22"/>
        <v>23.286908077994433</v>
      </c>
      <c r="AA121" s="211">
        <f t="shared" ref="AA121:AA122" si="28">(473+572)/35.9</f>
        <v>29.108635097493039</v>
      </c>
      <c r="AB121">
        <f>1/0.8</f>
        <v>1.25</v>
      </c>
      <c r="AC121" s="211">
        <f t="shared" si="24"/>
        <v>11.153203342618385</v>
      </c>
      <c r="AD121" s="211">
        <f t="shared" si="27"/>
        <v>15.933147632311979</v>
      </c>
      <c r="AE121" s="211">
        <f>1/0.7</f>
        <v>1.4285714285714286</v>
      </c>
    </row>
    <row r="122" spans="1:31">
      <c r="A122" s="185" t="s">
        <v>1823</v>
      </c>
      <c r="B122" s="185" t="s">
        <v>1216</v>
      </c>
      <c r="C122" s="187">
        <v>0</v>
      </c>
      <c r="X122" s="173" t="s">
        <v>750</v>
      </c>
      <c r="Y122" t="s">
        <v>783</v>
      </c>
      <c r="Z122" s="211">
        <f t="shared" si="22"/>
        <v>46.573816155988865</v>
      </c>
      <c r="AA122" s="211">
        <f t="shared" si="28"/>
        <v>29.108635097493039</v>
      </c>
      <c r="AB122">
        <f>1/1.6</f>
        <v>0.625</v>
      </c>
      <c r="AC122" s="211">
        <f t="shared" si="24"/>
        <v>19.119777158774372</v>
      </c>
      <c r="AD122" s="211">
        <f t="shared" si="27"/>
        <v>15.933147632311979</v>
      </c>
      <c r="AE122" s="211">
        <f>1/1.2</f>
        <v>0.83333333333333337</v>
      </c>
    </row>
    <row r="123" spans="1:31">
      <c r="A123" s="185" t="s">
        <v>1824</v>
      </c>
      <c r="B123" s="185" t="s">
        <v>1216</v>
      </c>
      <c r="C123" s="187">
        <v>0</v>
      </c>
      <c r="X123" s="405" t="s">
        <v>41</v>
      </c>
      <c r="Y123" t="s">
        <v>666</v>
      </c>
      <c r="Z123" s="211">
        <f>AA123/AB123</f>
        <v>0.48749999999999999</v>
      </c>
      <c r="AA123">
        <v>19.5</v>
      </c>
      <c r="AB123">
        <v>40</v>
      </c>
      <c r="AC123" s="211">
        <f>AD123/AE123</f>
        <v>0.22566666666666665</v>
      </c>
      <c r="AD123">
        <v>13.54</v>
      </c>
      <c r="AE123">
        <v>60</v>
      </c>
    </row>
    <row r="124" spans="1:31">
      <c r="A124" s="185" t="s">
        <v>1825</v>
      </c>
      <c r="B124" s="185" t="s">
        <v>1826</v>
      </c>
      <c r="C124" s="187">
        <v>0</v>
      </c>
      <c r="X124" s="406" t="s">
        <v>46</v>
      </c>
      <c r="Y124" t="s">
        <v>666</v>
      </c>
      <c r="Z124" s="211">
        <f>AA124/AB124</f>
        <v>0.58057142857142863</v>
      </c>
      <c r="AA124">
        <f>19.5+21.14</f>
        <v>40.64</v>
      </c>
      <c r="AB124">
        <f>(40+100)/2</f>
        <v>70</v>
      </c>
      <c r="AC124" s="211">
        <f>AD124/AE124</f>
        <v>0.1177391304347826</v>
      </c>
      <c r="AD124">
        <v>13.54</v>
      </c>
      <c r="AE124">
        <f>115</f>
        <v>115</v>
      </c>
    </row>
    <row r="125" spans="1:31">
      <c r="A125" s="185" t="s">
        <v>1827</v>
      </c>
      <c r="B125" s="185" t="s">
        <v>1059</v>
      </c>
      <c r="C125" s="187">
        <v>0</v>
      </c>
      <c r="X125" s="406" t="s">
        <v>776</v>
      </c>
      <c r="Y125" t="s">
        <v>666</v>
      </c>
      <c r="Z125" s="211">
        <f>AA125/AB125</f>
        <v>0.58057142857142863</v>
      </c>
      <c r="AA125">
        <f>19.5+21.14</f>
        <v>40.64</v>
      </c>
      <c r="AB125">
        <f>(40+100)/2</f>
        <v>70</v>
      </c>
      <c r="AC125" s="211">
        <f>AD125/AE125</f>
        <v>0.1177391304347826</v>
      </c>
      <c r="AD125">
        <v>13.54</v>
      </c>
      <c r="AE125">
        <f>115</f>
        <v>115</v>
      </c>
    </row>
    <row r="126" spans="1:31">
      <c r="A126" s="185" t="s">
        <v>1828</v>
      </c>
      <c r="B126" s="185" t="s">
        <v>1059</v>
      </c>
      <c r="C126" s="187">
        <v>0</v>
      </c>
      <c r="X126" s="405" t="s">
        <v>778</v>
      </c>
      <c r="Y126" t="s">
        <v>666</v>
      </c>
      <c r="Z126" s="211">
        <f>AA126/AB126</f>
        <v>0.48749999999999999</v>
      </c>
      <c r="AA126">
        <v>19.5</v>
      </c>
      <c r="AB126">
        <f>1/0.025</f>
        <v>40</v>
      </c>
      <c r="AC126" s="211">
        <f>AD126/AE126</f>
        <v>0.48749999999999999</v>
      </c>
      <c r="AD126">
        <v>19.5</v>
      </c>
      <c r="AE126">
        <f>1/0.025</f>
        <v>40</v>
      </c>
    </row>
    <row r="127" spans="1:31">
      <c r="A127" s="185" t="s">
        <v>1829</v>
      </c>
      <c r="B127" s="185" t="s">
        <v>1059</v>
      </c>
      <c r="C127" s="187">
        <v>0</v>
      </c>
      <c r="X127" s="405" t="s">
        <v>555</v>
      </c>
      <c r="Y127" t="s">
        <v>389</v>
      </c>
      <c r="Z127" s="211">
        <v>1.4279999999999999E-2</v>
      </c>
      <c r="AA127">
        <v>10</v>
      </c>
      <c r="AB127">
        <v>700</v>
      </c>
      <c r="AC127" s="211">
        <v>0.02</v>
      </c>
      <c r="AD127">
        <v>10</v>
      </c>
      <c r="AE127">
        <f>AD127/AC127</f>
        <v>500</v>
      </c>
    </row>
    <row r="128" spans="1:31">
      <c r="X128" s="406" t="s">
        <v>559</v>
      </c>
      <c r="Y128" t="s">
        <v>389</v>
      </c>
      <c r="Z128" s="211">
        <v>7.1500000000000001E-3</v>
      </c>
      <c r="AA128">
        <v>10</v>
      </c>
      <c r="AB128">
        <v>140</v>
      </c>
      <c r="AC128" s="211">
        <v>0.01</v>
      </c>
      <c r="AD128">
        <v>10</v>
      </c>
      <c r="AE128">
        <f>AD128/AC128</f>
        <v>1000</v>
      </c>
    </row>
    <row r="129" spans="24:31">
      <c r="X129" s="405" t="s">
        <v>560</v>
      </c>
      <c r="Y129" t="s">
        <v>389</v>
      </c>
      <c r="AA129">
        <v>10</v>
      </c>
      <c r="AD129">
        <v>10</v>
      </c>
    </row>
    <row r="130" spans="24:31">
      <c r="X130" s="408" t="s">
        <v>772</v>
      </c>
      <c r="Y130" t="s">
        <v>666</v>
      </c>
      <c r="Z130" s="211">
        <f>AA130/AB130</f>
        <v>0.58057142857142863</v>
      </c>
      <c r="AA130">
        <f>19.5+21.14</f>
        <v>40.64</v>
      </c>
      <c r="AB130">
        <f>(40+100)/2</f>
        <v>70</v>
      </c>
      <c r="AC130" s="211">
        <f>AD130/AE130</f>
        <v>0.1177391304347826</v>
      </c>
      <c r="AD130">
        <v>13.54</v>
      </c>
      <c r="AE130">
        <f>115</f>
        <v>115</v>
      </c>
    </row>
    <row r="131" spans="24:31">
      <c r="X131" s="408" t="s">
        <v>601</v>
      </c>
      <c r="Y131" t="s">
        <v>389</v>
      </c>
      <c r="Z131" s="404">
        <v>0.18</v>
      </c>
      <c r="AA131" s="211">
        <f>473/35.9</f>
        <v>13.175487465181059</v>
      </c>
      <c r="AB131" s="280">
        <v>18</v>
      </c>
      <c r="AC131">
        <f>19.5/(18)</f>
        <v>1.0833333333333333</v>
      </c>
      <c r="AD131" s="211">
        <f t="shared" ref="AD131:AD136" si="29">572/35.9</f>
        <v>15.933147632311979</v>
      </c>
      <c r="AE131" s="280">
        <v>50</v>
      </c>
    </row>
    <row r="132" spans="24:31">
      <c r="X132" s="408" t="s">
        <v>605</v>
      </c>
      <c r="Y132" t="s">
        <v>389</v>
      </c>
      <c r="Z132" s="404">
        <v>0.18</v>
      </c>
      <c r="AA132" s="211">
        <f>473/35.9</f>
        <v>13.175487465181059</v>
      </c>
      <c r="AB132" s="280">
        <v>18</v>
      </c>
      <c r="AD132" s="211">
        <f t="shared" si="29"/>
        <v>15.933147632311979</v>
      </c>
      <c r="AE132" s="280">
        <v>50</v>
      </c>
    </row>
    <row r="133" spans="24:31">
      <c r="X133" s="408" t="s">
        <v>608</v>
      </c>
      <c r="Y133" t="s">
        <v>389</v>
      </c>
      <c r="Z133" s="404">
        <v>0.18</v>
      </c>
      <c r="AA133" s="211">
        <f t="shared" ref="AA133:AA139" si="30">473/35.9</f>
        <v>13.175487465181059</v>
      </c>
      <c r="AB133" s="280">
        <v>16</v>
      </c>
      <c r="AD133" s="211">
        <f t="shared" si="29"/>
        <v>15.933147632311979</v>
      </c>
      <c r="AE133" s="280">
        <v>50</v>
      </c>
    </row>
    <row r="134" spans="24:31">
      <c r="X134" s="408" t="s">
        <v>610</v>
      </c>
      <c r="Y134" t="s">
        <v>389</v>
      </c>
      <c r="Z134" s="404">
        <v>0.18</v>
      </c>
      <c r="AA134" s="211">
        <f t="shared" si="30"/>
        <v>13.175487465181059</v>
      </c>
      <c r="AB134" s="280">
        <v>16</v>
      </c>
      <c r="AD134" s="211">
        <f t="shared" si="29"/>
        <v>15.933147632311979</v>
      </c>
      <c r="AE134" s="280">
        <v>50</v>
      </c>
    </row>
    <row r="135" spans="24:31">
      <c r="X135" s="408" t="s">
        <v>613</v>
      </c>
      <c r="Y135" t="s">
        <v>389</v>
      </c>
      <c r="Z135" s="404">
        <v>0.18</v>
      </c>
      <c r="AA135" s="211">
        <f t="shared" si="30"/>
        <v>13.175487465181059</v>
      </c>
      <c r="AB135" s="280">
        <v>14</v>
      </c>
      <c r="AD135" s="211">
        <f t="shared" si="29"/>
        <v>15.933147632311979</v>
      </c>
      <c r="AE135" s="280">
        <v>50</v>
      </c>
    </row>
    <row r="136" spans="24:31">
      <c r="X136" s="408" t="s">
        <v>616</v>
      </c>
      <c r="Y136" t="s">
        <v>389</v>
      </c>
      <c r="Z136" s="404">
        <v>0.18</v>
      </c>
      <c r="AA136" s="211">
        <f t="shared" si="30"/>
        <v>13.175487465181059</v>
      </c>
      <c r="AB136" s="280">
        <v>14</v>
      </c>
      <c r="AD136" s="211">
        <f t="shared" si="29"/>
        <v>15.933147632311979</v>
      </c>
      <c r="AE136" s="280">
        <v>50</v>
      </c>
    </row>
    <row r="137" spans="24:31">
      <c r="X137" s="408" t="s">
        <v>619</v>
      </c>
      <c r="Y137" t="s">
        <v>389</v>
      </c>
      <c r="Z137" s="404">
        <v>0.18</v>
      </c>
      <c r="AA137" s="211">
        <f t="shared" si="30"/>
        <v>13.175487465181059</v>
      </c>
      <c r="AB137" s="280">
        <v>14</v>
      </c>
      <c r="AC137" s="211">
        <f t="shared" ref="AC137" si="31">AD137/AE137</f>
        <v>0.31866295264623956</v>
      </c>
      <c r="AD137" s="211">
        <f>572/35.9</f>
        <v>15.933147632311979</v>
      </c>
      <c r="AE137" s="280">
        <v>50</v>
      </c>
    </row>
    <row r="138" spans="24:31">
      <c r="X138" s="408" t="s">
        <v>620</v>
      </c>
      <c r="Y138" t="s">
        <v>389</v>
      </c>
      <c r="Z138" s="404">
        <v>0.18</v>
      </c>
      <c r="AA138" s="211">
        <f t="shared" si="30"/>
        <v>13.175487465181059</v>
      </c>
      <c r="AB138" s="280">
        <v>16</v>
      </c>
      <c r="AD138" s="211">
        <f>572/35.9</f>
        <v>15.933147632311979</v>
      </c>
      <c r="AE138" s="280">
        <v>50</v>
      </c>
    </row>
    <row r="139" spans="24:31">
      <c r="X139" s="408" t="s">
        <v>622</v>
      </c>
      <c r="Y139" t="s">
        <v>389</v>
      </c>
      <c r="Z139" s="404">
        <v>0.18</v>
      </c>
      <c r="AA139" s="211">
        <f t="shared" si="30"/>
        <v>13.175487465181059</v>
      </c>
      <c r="AB139" s="280">
        <v>16</v>
      </c>
      <c r="AC139">
        <f>(19.5*0.042)</f>
        <v>0.81900000000000006</v>
      </c>
      <c r="AD139" s="211">
        <f>572/35.9</f>
        <v>15.933147632311979</v>
      </c>
      <c r="AE139" s="280">
        <v>50</v>
      </c>
    </row>
    <row r="140" spans="24:31">
      <c r="X140" s="408" t="s">
        <v>634</v>
      </c>
      <c r="Y140" t="s">
        <v>385</v>
      </c>
      <c r="Z140">
        <v>0.18</v>
      </c>
      <c r="AA140" s="211">
        <f>473/35.9</f>
        <v>13.175487465181059</v>
      </c>
      <c r="AB140" s="280">
        <f>AA140/Z140</f>
        <v>73.197152584339221</v>
      </c>
      <c r="AC140">
        <v>0.18</v>
      </c>
      <c r="AD140" s="211">
        <f t="shared" ref="AD140:AD142" si="32">572/35.9</f>
        <v>15.933147632311979</v>
      </c>
      <c r="AE140" s="280">
        <v>50</v>
      </c>
    </row>
    <row r="141" spans="24:31">
      <c r="X141" s="408" t="s">
        <v>638</v>
      </c>
      <c r="Y141" t="s">
        <v>385</v>
      </c>
      <c r="Z141">
        <v>0.18</v>
      </c>
      <c r="AA141" s="211">
        <f>473/35.9</f>
        <v>13.175487465181059</v>
      </c>
      <c r="AB141" s="280">
        <f>AA141/Z141</f>
        <v>73.197152584339221</v>
      </c>
      <c r="AC141">
        <v>0.18</v>
      </c>
      <c r="AD141" s="211">
        <f t="shared" si="32"/>
        <v>15.933147632311979</v>
      </c>
      <c r="AE141" s="280">
        <v>50</v>
      </c>
    </row>
    <row r="142" spans="24:31">
      <c r="X142" s="408" t="s">
        <v>640</v>
      </c>
      <c r="Y142" t="s">
        <v>385</v>
      </c>
      <c r="Z142">
        <v>0.18</v>
      </c>
      <c r="AA142" s="211">
        <f>473/35.9</f>
        <v>13.175487465181059</v>
      </c>
      <c r="AB142" s="280">
        <f>AA142/Z142</f>
        <v>73.197152584339221</v>
      </c>
      <c r="AC142">
        <v>0.18</v>
      </c>
      <c r="AD142" s="211">
        <f t="shared" si="32"/>
        <v>15.933147632311979</v>
      </c>
      <c r="AE142" s="280">
        <v>50</v>
      </c>
    </row>
    <row r="143" spans="24:31">
      <c r="X143" s="408" t="s">
        <v>644</v>
      </c>
      <c r="Y143" t="s">
        <v>385</v>
      </c>
      <c r="Z143" s="211">
        <f t="shared" ref="Z143:Z147" si="33">AA143/AB143</f>
        <v>1.95</v>
      </c>
      <c r="AA143">
        <v>19.5</v>
      </c>
      <c r="AB143">
        <v>10</v>
      </c>
      <c r="AC143" s="211">
        <f t="shared" ref="AC143:AC148" si="34">AD143/AE143</f>
        <v>0.48749999999999999</v>
      </c>
      <c r="AD143">
        <v>19.5</v>
      </c>
      <c r="AE143">
        <f t="shared" ref="AE143:AE144" si="35">1/0.025</f>
        <v>40</v>
      </c>
    </row>
    <row r="144" spans="24:31">
      <c r="X144" s="408" t="s">
        <v>646</v>
      </c>
      <c r="Y144" t="s">
        <v>385</v>
      </c>
      <c r="Z144" s="211">
        <f t="shared" si="33"/>
        <v>1.95</v>
      </c>
      <c r="AA144">
        <v>19.5</v>
      </c>
      <c r="AB144">
        <v>10</v>
      </c>
      <c r="AC144" s="211">
        <f t="shared" si="34"/>
        <v>0.48749999999999999</v>
      </c>
      <c r="AD144">
        <v>19.5</v>
      </c>
      <c r="AE144">
        <f t="shared" si="35"/>
        <v>40</v>
      </c>
    </row>
    <row r="145" spans="24:31">
      <c r="X145" s="408" t="s">
        <v>649</v>
      </c>
      <c r="Y145" t="s">
        <v>385</v>
      </c>
      <c r="Z145" s="211">
        <f t="shared" si="33"/>
        <v>1.62435</v>
      </c>
      <c r="AA145">
        <v>19.5</v>
      </c>
      <c r="AB145" s="211">
        <f>1/0.0833</f>
        <v>12.004801920768308</v>
      </c>
      <c r="AC145" s="211">
        <f t="shared" si="34"/>
        <v>0.48749999999999999</v>
      </c>
      <c r="AD145">
        <v>19.5</v>
      </c>
      <c r="AE145">
        <f>1/0.025</f>
        <v>40</v>
      </c>
    </row>
    <row r="146" spans="24:31">
      <c r="X146" s="408" t="s">
        <v>651</v>
      </c>
      <c r="Y146" t="s">
        <v>385</v>
      </c>
      <c r="Z146" s="211">
        <f t="shared" si="33"/>
        <v>1.62435</v>
      </c>
      <c r="AA146">
        <v>19.5</v>
      </c>
      <c r="AB146" s="211">
        <f>1/0.0833</f>
        <v>12.004801920768308</v>
      </c>
      <c r="AC146" s="211">
        <f t="shared" si="34"/>
        <v>0.48749999999999999</v>
      </c>
      <c r="AD146">
        <v>19.5</v>
      </c>
      <c r="AE146">
        <f>1/0.025</f>
        <v>40</v>
      </c>
    </row>
    <row r="147" spans="24:31">
      <c r="X147" s="408" t="s">
        <v>657</v>
      </c>
      <c r="Y147" t="s">
        <v>385</v>
      </c>
      <c r="Z147" s="211">
        <f t="shared" si="33"/>
        <v>1.62435</v>
      </c>
      <c r="AA147">
        <v>19.5</v>
      </c>
      <c r="AB147" s="211">
        <f>1/0.0833</f>
        <v>12.004801920768308</v>
      </c>
      <c r="AC147" s="211">
        <f t="shared" si="34"/>
        <v>0.156</v>
      </c>
      <c r="AD147">
        <v>19.5</v>
      </c>
      <c r="AE147">
        <f>1/0.008</f>
        <v>125</v>
      </c>
    </row>
    <row r="148" spans="24:31">
      <c r="X148" s="408" t="s">
        <v>658</v>
      </c>
      <c r="Y148" t="s">
        <v>385</v>
      </c>
      <c r="Z148">
        <v>0.18</v>
      </c>
      <c r="AA148" s="211">
        <f>473/35.9</f>
        <v>13.175487465181059</v>
      </c>
      <c r="AB148" s="280">
        <f>AA148/Z148</f>
        <v>73.197152584339221</v>
      </c>
      <c r="AC148" s="211">
        <f t="shared" si="34"/>
        <v>0.31866295264623956</v>
      </c>
      <c r="AD148" s="211">
        <f>572/35.9</f>
        <v>15.933147632311979</v>
      </c>
      <c r="AE148" s="280">
        <v>50</v>
      </c>
    </row>
    <row r="149" spans="24:31">
      <c r="X149" s="408" t="s">
        <v>233</v>
      </c>
      <c r="Y149" t="s">
        <v>385</v>
      </c>
      <c r="Z149">
        <f>(19.5*0.0833)+(5*0.0189)</f>
        <v>1.71885</v>
      </c>
      <c r="AA149">
        <v>19.5</v>
      </c>
      <c r="AB149" s="211">
        <f>1/0.0833</f>
        <v>12.004801920768308</v>
      </c>
      <c r="AC149">
        <f t="shared" ref="AC149:AC151" si="36">(19.5*0.008)</f>
        <v>0.156</v>
      </c>
      <c r="AD149">
        <v>19.5</v>
      </c>
      <c r="AE149">
        <f>1/0.008</f>
        <v>125</v>
      </c>
    </row>
    <row r="150" spans="24:31">
      <c r="X150" s="408" t="s">
        <v>660</v>
      </c>
      <c r="Y150" t="s">
        <v>385</v>
      </c>
      <c r="Z150">
        <f>(19.5*0.0833)+(5*0.0189)</f>
        <v>1.71885</v>
      </c>
      <c r="AA150">
        <v>19.5</v>
      </c>
      <c r="AB150" s="211">
        <f>1/0.0833</f>
        <v>12.004801920768308</v>
      </c>
      <c r="AC150">
        <f t="shared" si="36"/>
        <v>0.156</v>
      </c>
      <c r="AD150">
        <v>19.5</v>
      </c>
      <c r="AE150">
        <f>1/0.008</f>
        <v>125</v>
      </c>
    </row>
    <row r="151" spans="24:31">
      <c r="X151" s="408" t="s">
        <v>662</v>
      </c>
      <c r="Y151" t="s">
        <v>385</v>
      </c>
      <c r="Z151">
        <f>(19.5*0.0833)+(5*0.0189)</f>
        <v>1.71885</v>
      </c>
      <c r="AA151">
        <v>19.5</v>
      </c>
      <c r="AB151" s="211">
        <f>1/0.0833</f>
        <v>12.004801920768308</v>
      </c>
      <c r="AC151">
        <f t="shared" si="36"/>
        <v>0.156</v>
      </c>
      <c r="AD151">
        <v>19.5</v>
      </c>
      <c r="AE151">
        <f>1/0.008</f>
        <v>125</v>
      </c>
    </row>
  </sheetData>
  <phoneticPr fontId="11" type="noConversion"/>
  <conditionalFormatting sqref="A5">
    <cfRule type="containsText" dxfId="95" priority="7" operator="containsText" text="NULL">
      <formula>NOT(ISERROR(SEARCH("NULL",A5)))</formula>
    </cfRule>
    <cfRule type="expression" dxfId="94" priority="8">
      <formula>NULL</formula>
    </cfRule>
  </conditionalFormatting>
  <conditionalFormatting sqref="D1">
    <cfRule type="containsText" dxfId="93" priority="9" operator="containsText" text="NULL">
      <formula>NOT(ISERROR(SEARCH("NULL",D1)))</formula>
    </cfRule>
    <cfRule type="expression" dxfId="92" priority="10">
      <formula>NULL</formula>
    </cfRule>
  </conditionalFormatting>
  <conditionalFormatting sqref="P17">
    <cfRule type="expression" dxfId="91" priority="3">
      <formula>IF($D$2:$D$700=Transport,#REF!=0)</formula>
    </cfRule>
  </conditionalFormatting>
  <conditionalFormatting sqref="R2:R22 R58:R60">
    <cfRule type="expression" dxfId="90" priority="5">
      <formula>IF($D$2:$D$676=Transport,#REF!=0)</formula>
    </cfRule>
  </conditionalFormatting>
  <conditionalFormatting sqref="R14:R16 R58:R60">
    <cfRule type="expression" dxfId="89" priority="4">
      <formula>IF($D$2:$D$676=Transport,#REF!=0)</formula>
    </cfRule>
  </conditionalFormatting>
  <conditionalFormatting sqref="R17:R22">
    <cfRule type="expression" dxfId="88" priority="2">
      <formula>IF($D$2:$D$700=Transport,#REF!=0)</formula>
    </cfRule>
  </conditionalFormatting>
  <conditionalFormatting sqref="S8:S13">
    <cfRule type="expression" dxfId="87" priority="11">
      <formula>IF($D$2:$D$517=Transport,#REF!=0)</formula>
    </cfRule>
  </conditionalFormatting>
  <pageMargins left="0.7" right="0.7" top="0.75" bottom="0.75" header="0.3" footer="0.3"/>
  <tableParts count="23">
    <tablePart r:id="rId1"/>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 r:id="rId17"/>
    <tablePart r:id="rId18"/>
    <tablePart r:id="rId19"/>
    <tablePart r:id="rId20"/>
    <tablePart r:id="rId21"/>
    <tablePart r:id="rId22"/>
    <tablePart r:id="rId23"/>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2E5EAD-CA76-4F50-99DF-E307CD605F6E}">
  <sheetPr codeName="Blad12"/>
  <dimension ref="A1:DY59"/>
  <sheetViews>
    <sheetView topLeftCell="B1" zoomScale="70" zoomScaleNormal="70" workbookViewId="0">
      <selection activeCell="O7" sqref="O7"/>
    </sheetView>
  </sheetViews>
  <sheetFormatPr defaultRowHeight="15"/>
  <cols>
    <col min="1" max="1" width="21.42578125" bestFit="1" customWidth="1"/>
    <col min="2" max="2" width="17.140625" bestFit="1" customWidth="1"/>
    <col min="3" max="3" width="16.85546875" bestFit="1" customWidth="1"/>
    <col min="4" max="4" width="23.85546875" bestFit="1" customWidth="1"/>
    <col min="5" max="5" width="20" bestFit="1" customWidth="1"/>
    <col min="6" max="6" width="13.5703125" bestFit="1" customWidth="1"/>
    <col min="7" max="7" width="15.28515625" bestFit="1" customWidth="1"/>
    <col min="8" max="8" width="17.7109375" bestFit="1" customWidth="1"/>
    <col min="9" max="9" width="9.5703125" bestFit="1" customWidth="1"/>
    <col min="10" max="10" width="67.85546875" bestFit="1" customWidth="1"/>
    <col min="11" max="11" width="19.140625" bestFit="1" customWidth="1"/>
    <col min="12" max="12" width="11" bestFit="1" customWidth="1"/>
    <col min="13" max="13" width="27.28515625" bestFit="1" customWidth="1"/>
    <col min="14" max="14" width="31" bestFit="1" customWidth="1"/>
    <col min="15" max="16" width="18.85546875" bestFit="1" customWidth="1"/>
    <col min="17" max="17" width="20.140625" bestFit="1" customWidth="1"/>
    <col min="18" max="18" width="33.140625" bestFit="1" customWidth="1"/>
    <col min="19" max="19" width="18.5703125" bestFit="1" customWidth="1"/>
    <col min="20" max="20" width="59.7109375" bestFit="1" customWidth="1"/>
    <col min="21" max="21" width="18.85546875" bestFit="1" customWidth="1"/>
    <col min="22" max="22" width="21.42578125" bestFit="1" customWidth="1"/>
    <col min="23" max="23" width="61.5703125" bestFit="1" customWidth="1"/>
    <col min="24" max="24" width="62.42578125" bestFit="1" customWidth="1"/>
    <col min="25" max="25" width="52.140625" bestFit="1" customWidth="1"/>
    <col min="26" max="26" width="39.28515625" bestFit="1" customWidth="1"/>
    <col min="27" max="27" width="45.7109375" bestFit="1" customWidth="1"/>
    <col min="28" max="28" width="37.7109375" bestFit="1" customWidth="1"/>
    <col min="29" max="29" width="39.28515625" bestFit="1" customWidth="1"/>
    <col min="30" max="30" width="52" bestFit="1" customWidth="1"/>
    <col min="31" max="31" width="43.140625" bestFit="1" customWidth="1"/>
    <col min="32" max="32" width="25.85546875" bestFit="1" customWidth="1"/>
    <col min="33" max="33" width="19.28515625" bestFit="1" customWidth="1"/>
    <col min="34" max="34" width="18.7109375" bestFit="1" customWidth="1"/>
    <col min="35" max="36" width="19.140625" bestFit="1" customWidth="1"/>
    <col min="37" max="37" width="23.140625" bestFit="1" customWidth="1"/>
    <col min="38" max="39" width="19.140625" bestFit="1" customWidth="1"/>
    <col min="40" max="40" width="18.7109375" bestFit="1" customWidth="1"/>
    <col min="41" max="41" width="19.140625" bestFit="1" customWidth="1"/>
    <col min="42" max="42" width="18.7109375" bestFit="1" customWidth="1"/>
    <col min="43" max="45" width="19.140625" bestFit="1" customWidth="1"/>
    <col min="46" max="46" width="18.7109375" bestFit="1" customWidth="1"/>
    <col min="47" max="47" width="19.140625" bestFit="1" customWidth="1"/>
    <col min="48" max="48" width="17.7109375" bestFit="1" customWidth="1"/>
    <col min="49" max="49" width="21.42578125" bestFit="1" customWidth="1"/>
    <col min="50" max="50" width="20.140625" bestFit="1" customWidth="1"/>
    <col min="51" max="52" width="20.5703125" bestFit="1" customWidth="1"/>
    <col min="53" max="53" width="24.42578125" bestFit="1" customWidth="1"/>
    <col min="54" max="55" width="20.5703125" bestFit="1" customWidth="1"/>
    <col min="56" max="56" width="20.140625" bestFit="1" customWidth="1"/>
    <col min="57" max="57" width="20.5703125" bestFit="1" customWidth="1"/>
    <col min="58" max="58" width="20.140625" bestFit="1" customWidth="1"/>
    <col min="59" max="61" width="20.5703125" bestFit="1" customWidth="1"/>
    <col min="62" max="62" width="20.140625" bestFit="1" customWidth="1"/>
    <col min="63" max="63" width="20.5703125" bestFit="1" customWidth="1"/>
    <col min="64" max="64" width="18.85546875" bestFit="1" customWidth="1"/>
    <col min="65" max="65" width="22.5703125" bestFit="1" customWidth="1"/>
    <col min="66" max="66" width="35.85546875" bestFit="1" customWidth="1"/>
    <col min="67" max="67" width="36" bestFit="1" customWidth="1"/>
    <col min="68" max="68" width="35.7109375" bestFit="1" customWidth="1"/>
    <col min="69" max="69" width="39.28515625" bestFit="1" customWidth="1"/>
    <col min="70" max="70" width="53.140625" bestFit="1" customWidth="1"/>
    <col min="71" max="71" width="53" bestFit="1" customWidth="1"/>
    <col min="72" max="72" width="56.85546875" bestFit="1" customWidth="1"/>
    <col min="73" max="73" width="42.42578125" bestFit="1" customWidth="1"/>
    <col min="74" max="74" width="46.28515625" bestFit="1" customWidth="1"/>
    <col min="75" max="75" width="32.42578125" bestFit="1" customWidth="1"/>
    <col min="76" max="76" width="37.42578125" bestFit="1" customWidth="1"/>
    <col min="77" max="78" width="37.85546875" bestFit="1" customWidth="1"/>
    <col min="79" max="79" width="42" bestFit="1" customWidth="1"/>
    <col min="80" max="81" width="37.85546875" bestFit="1" customWidth="1"/>
    <col min="82" max="82" width="37.42578125" bestFit="1" customWidth="1"/>
    <col min="83" max="83" width="37.85546875" bestFit="1" customWidth="1"/>
    <col min="84" max="84" width="37.42578125" bestFit="1" customWidth="1"/>
    <col min="85" max="87" width="37.85546875" bestFit="1" customWidth="1"/>
    <col min="88" max="88" width="37.42578125" bestFit="1" customWidth="1"/>
    <col min="89" max="89" width="37.85546875" bestFit="1" customWidth="1"/>
    <col min="90" max="90" width="36.42578125" bestFit="1" customWidth="1"/>
    <col min="91" max="91" width="40.140625" bestFit="1" customWidth="1"/>
    <col min="92" max="92" width="31.42578125" bestFit="1" customWidth="1"/>
    <col min="93" max="94" width="31.7109375" bestFit="1" customWidth="1"/>
    <col min="95" max="95" width="35.85546875" bestFit="1" customWidth="1"/>
    <col min="96" max="97" width="31.7109375" bestFit="1" customWidth="1"/>
    <col min="98" max="98" width="31.42578125" bestFit="1" customWidth="1"/>
    <col min="99" max="99" width="31.7109375" bestFit="1" customWidth="1"/>
    <col min="100" max="100" width="31.42578125" bestFit="1" customWidth="1"/>
    <col min="101" max="103" width="31.7109375" bestFit="1" customWidth="1"/>
    <col min="104" max="104" width="31.42578125" bestFit="1" customWidth="1"/>
    <col min="105" max="105" width="31.7109375" bestFit="1" customWidth="1"/>
    <col min="106" max="106" width="30.28515625" bestFit="1" customWidth="1"/>
    <col min="107" max="107" width="33.85546875" bestFit="1" customWidth="1"/>
    <col min="108" max="108" width="65.85546875" bestFit="1" customWidth="1"/>
    <col min="109" max="109" width="56.85546875" bestFit="1" customWidth="1"/>
    <col min="110" max="110" width="77.85546875" bestFit="1" customWidth="1"/>
    <col min="111" max="111" width="68.85546875" bestFit="1" customWidth="1"/>
    <col min="112" max="112" width="52" bestFit="1" customWidth="1"/>
    <col min="113" max="113" width="81.140625" bestFit="1" customWidth="1"/>
    <col min="114" max="114" width="74.28515625" bestFit="1" customWidth="1"/>
    <col min="115" max="115" width="75" bestFit="1" customWidth="1"/>
    <col min="116" max="116" width="58.7109375" bestFit="1" customWidth="1"/>
    <col min="117" max="117" width="64.5703125" bestFit="1" customWidth="1"/>
    <col min="118" max="118" width="41" bestFit="1" customWidth="1"/>
    <col min="119" max="119" width="67.42578125" bestFit="1" customWidth="1"/>
    <col min="120" max="120" width="61.7109375" bestFit="1" customWidth="1"/>
    <col min="121" max="121" width="65.85546875" bestFit="1" customWidth="1"/>
    <col min="122" max="122" width="60" bestFit="1" customWidth="1"/>
    <col min="123" max="123" width="71.5703125" bestFit="1" customWidth="1"/>
    <col min="124" max="124" width="81.140625" bestFit="1" customWidth="1"/>
    <col min="125" max="125" width="78.28515625" bestFit="1" customWidth="1"/>
    <col min="126" max="126" width="81.140625" bestFit="1" customWidth="1"/>
    <col min="127" max="127" width="60.5703125" bestFit="1" customWidth="1"/>
    <col min="128" max="128" width="23" bestFit="1" customWidth="1"/>
    <col min="129" max="129" width="24.28515625" bestFit="1" customWidth="1"/>
    <col min="130" max="130" width="30" bestFit="1" customWidth="1"/>
    <col min="131" max="131" width="29.28515625" bestFit="1" customWidth="1"/>
    <col min="132" max="132" width="30.7109375" bestFit="1" customWidth="1"/>
    <col min="133" max="133" width="30.28515625" bestFit="1" customWidth="1"/>
    <col min="134" max="134" width="24.42578125" bestFit="1" customWidth="1"/>
    <col min="135" max="135" width="25.42578125" bestFit="1" customWidth="1"/>
    <col min="136" max="136" width="33.85546875" bestFit="1" customWidth="1"/>
    <col min="137" max="137" width="34.42578125" customWidth="1"/>
    <col min="138" max="138" width="36.28515625" bestFit="1" customWidth="1"/>
    <col min="139" max="139" width="35.140625" bestFit="1" customWidth="1"/>
    <col min="140" max="140" width="36.7109375" bestFit="1" customWidth="1"/>
    <col min="141" max="141" width="35.7109375" bestFit="1" customWidth="1"/>
    <col min="142" max="143" width="67.7109375" bestFit="1" customWidth="1"/>
    <col min="144" max="144" width="20.7109375" bestFit="1" customWidth="1"/>
    <col min="145" max="145" width="21.140625" bestFit="1" customWidth="1"/>
    <col min="146" max="146" width="22.7109375" bestFit="1" customWidth="1"/>
    <col min="147" max="147" width="65.85546875" bestFit="1" customWidth="1"/>
    <col min="148" max="148" width="55.42578125" bestFit="1" customWidth="1"/>
    <col min="149" max="149" width="41.140625" bestFit="1" customWidth="1"/>
    <col min="150" max="150" width="47.140625" bestFit="1" customWidth="1"/>
    <col min="151" max="151" width="40.7109375" bestFit="1" customWidth="1"/>
    <col min="152" max="152" width="40.85546875" bestFit="1" customWidth="1"/>
    <col min="153" max="153" width="56" bestFit="1" customWidth="1"/>
    <col min="154" max="154" width="46.5703125" bestFit="1" customWidth="1"/>
    <col min="155" max="155" width="39.85546875" bestFit="1" customWidth="1"/>
    <col min="156" max="157" width="21.42578125" bestFit="1" customWidth="1"/>
    <col min="158" max="160" width="22.28515625" bestFit="1" customWidth="1"/>
    <col min="161" max="161" width="22" bestFit="1" customWidth="1"/>
    <col min="162" max="162" width="21.42578125" bestFit="1" customWidth="1"/>
    <col min="163" max="163" width="22.28515625" bestFit="1" customWidth="1"/>
    <col min="164" max="164" width="21.42578125" bestFit="1" customWidth="1"/>
    <col min="165" max="167" width="22.28515625" bestFit="1" customWidth="1"/>
    <col min="168" max="168" width="21.42578125" bestFit="1" customWidth="1"/>
    <col min="169" max="169" width="22.28515625" bestFit="1" customWidth="1"/>
    <col min="170" max="170" width="25.140625" bestFit="1" customWidth="1"/>
    <col min="171" max="171" width="22.7109375" bestFit="1" customWidth="1"/>
    <col min="172" max="174" width="23.28515625" bestFit="1" customWidth="1"/>
    <col min="175" max="175" width="23" bestFit="1" customWidth="1"/>
    <col min="176" max="176" width="22.7109375" bestFit="1" customWidth="1"/>
    <col min="177" max="177" width="23.28515625" bestFit="1" customWidth="1"/>
    <col min="178" max="178" width="22.7109375" bestFit="1" customWidth="1"/>
    <col min="179" max="181" width="23.28515625" bestFit="1" customWidth="1"/>
    <col min="182" max="182" width="22.7109375" bestFit="1" customWidth="1"/>
    <col min="183" max="183" width="23.28515625" bestFit="1" customWidth="1"/>
    <col min="184" max="184" width="26.140625" bestFit="1" customWidth="1"/>
    <col min="185" max="185" width="40.140625" bestFit="1" customWidth="1"/>
    <col min="186" max="186" width="38.85546875" bestFit="1" customWidth="1"/>
    <col min="187" max="187" width="40.140625" bestFit="1" customWidth="1"/>
    <col min="188" max="188" width="43.28515625" bestFit="1" customWidth="1"/>
    <col min="189" max="190" width="58" bestFit="1" customWidth="1"/>
    <col min="191" max="191" width="61.42578125" bestFit="1" customWidth="1"/>
    <col min="192" max="192" width="47.7109375" bestFit="1" customWidth="1"/>
    <col min="193" max="193" width="51" bestFit="1" customWidth="1"/>
    <col min="194" max="194" width="37.28515625" bestFit="1" customWidth="1"/>
    <col min="195" max="195" width="39.85546875" bestFit="1" customWidth="1"/>
    <col min="196" max="198" width="40.42578125" bestFit="1" customWidth="1"/>
    <col min="199" max="199" width="40.140625" bestFit="1" customWidth="1"/>
    <col min="200" max="200" width="39.85546875" bestFit="1" customWidth="1"/>
    <col min="201" max="201" width="40.42578125" bestFit="1" customWidth="1"/>
    <col min="202" max="202" width="39.85546875" bestFit="1" customWidth="1"/>
    <col min="203" max="205" width="40.42578125" bestFit="1" customWidth="1"/>
    <col min="206" max="206" width="39.85546875" bestFit="1" customWidth="1"/>
    <col min="207" max="207" width="40.42578125" bestFit="1" customWidth="1"/>
    <col min="208" max="208" width="43.28515625" bestFit="1" customWidth="1"/>
    <col min="209" max="209" width="34.42578125" bestFit="1" customWidth="1"/>
    <col min="210" max="212" width="35" bestFit="1" customWidth="1"/>
    <col min="213" max="213" width="34.7109375" bestFit="1" customWidth="1"/>
    <col min="214" max="214" width="34.42578125" bestFit="1" customWidth="1"/>
    <col min="215" max="215" width="35" bestFit="1" customWidth="1"/>
    <col min="216" max="216" width="34.42578125" bestFit="1" customWidth="1"/>
    <col min="217" max="219" width="35" bestFit="1" customWidth="1"/>
    <col min="220" max="220" width="34.42578125" bestFit="1" customWidth="1"/>
    <col min="221" max="221" width="35" bestFit="1" customWidth="1"/>
    <col min="222" max="222" width="37.85546875" bestFit="1" customWidth="1"/>
    <col min="223" max="223" width="71.5703125" bestFit="1" customWidth="1"/>
    <col min="224" max="224" width="62.7109375" bestFit="1" customWidth="1"/>
    <col min="225" max="225" width="81.140625" bestFit="1" customWidth="1"/>
    <col min="226" max="226" width="74.140625" bestFit="1" customWidth="1"/>
    <col min="227" max="227" width="56.7109375" bestFit="1" customWidth="1"/>
    <col min="228" max="228" width="81.140625" bestFit="1" customWidth="1"/>
    <col min="229" max="229" width="79.85546875" bestFit="1" customWidth="1"/>
    <col min="230" max="230" width="80.42578125" bestFit="1" customWidth="1"/>
    <col min="231" max="231" width="64.28515625" bestFit="1" customWidth="1"/>
    <col min="232" max="232" width="70.28515625" bestFit="1" customWidth="1"/>
    <col min="233" max="233" width="46.42578125" bestFit="1" customWidth="1"/>
    <col min="234" max="234" width="72.140625" bestFit="1" customWidth="1"/>
    <col min="235" max="235" width="66.42578125" bestFit="1" customWidth="1"/>
    <col min="236" max="236" width="70" bestFit="1" customWidth="1"/>
    <col min="237" max="237" width="64.28515625" bestFit="1" customWidth="1"/>
    <col min="238" max="238" width="76" bestFit="1" customWidth="1"/>
    <col min="239" max="239" width="81.140625" customWidth="1"/>
    <col min="240" max="240" width="81.140625" bestFit="1" customWidth="1"/>
    <col min="241" max="241" width="81.140625" customWidth="1"/>
    <col min="242" max="242" width="65.5703125" bestFit="1" customWidth="1"/>
    <col min="243" max="245" width="81.140625" bestFit="1" customWidth="1"/>
    <col min="246" max="246" width="74.140625" bestFit="1" customWidth="1"/>
    <col min="247" max="247" width="52.5703125" bestFit="1" customWidth="1"/>
    <col min="248" max="248" width="38.85546875" bestFit="1" customWidth="1"/>
    <col min="249" max="249" width="45.42578125" bestFit="1" customWidth="1"/>
    <col min="250" max="250" width="38.5703125" bestFit="1" customWidth="1"/>
    <col min="251" max="251" width="39.140625" bestFit="1" customWidth="1"/>
    <col min="252" max="252" width="52.42578125" bestFit="1" customWidth="1"/>
    <col min="253" max="253" width="43.140625" bestFit="1" customWidth="1"/>
    <col min="254" max="254" width="38.28515625" bestFit="1" customWidth="1"/>
    <col min="255" max="256" width="19.28515625" bestFit="1" customWidth="1"/>
    <col min="257" max="260" width="20" bestFit="1" customWidth="1"/>
    <col min="261" max="261" width="19.28515625" bestFit="1" customWidth="1"/>
    <col min="262" max="262" width="20" bestFit="1" customWidth="1"/>
    <col min="263" max="263" width="19.28515625" bestFit="1" customWidth="1"/>
    <col min="264" max="266" width="20" bestFit="1" customWidth="1"/>
    <col min="267" max="267" width="19.28515625" bestFit="1" customWidth="1"/>
    <col min="268" max="268" width="20" bestFit="1" customWidth="1"/>
    <col min="269" max="269" width="22.5703125" bestFit="1" customWidth="1"/>
    <col min="270" max="270" width="20.7109375" bestFit="1" customWidth="1"/>
    <col min="271" max="274" width="21.140625" bestFit="1" customWidth="1"/>
    <col min="275" max="275" width="20.7109375" bestFit="1" customWidth="1"/>
    <col min="276" max="276" width="21.140625" bestFit="1" customWidth="1"/>
    <col min="277" max="277" width="20.7109375" bestFit="1" customWidth="1"/>
    <col min="278" max="280" width="21.140625" bestFit="1" customWidth="1"/>
    <col min="281" max="281" width="20.7109375" bestFit="1" customWidth="1"/>
    <col min="282" max="282" width="21.140625" bestFit="1" customWidth="1"/>
    <col min="283" max="283" width="23.85546875" bestFit="1" customWidth="1"/>
    <col min="284" max="284" width="36.7109375" bestFit="1" customWidth="1"/>
    <col min="285" max="285" width="37.140625" bestFit="1" customWidth="1"/>
    <col min="286" max="286" width="36.42578125" bestFit="1" customWidth="1"/>
    <col min="287" max="287" width="40.5703125" bestFit="1" customWidth="1"/>
    <col min="288" max="288" width="54.85546875" bestFit="1" customWidth="1"/>
    <col min="289" max="289" width="54.5703125" bestFit="1" customWidth="1"/>
    <col min="290" max="290" width="58.7109375" bestFit="1" customWidth="1"/>
    <col min="291" max="291" width="43.85546875" bestFit="1" customWidth="1"/>
    <col min="292" max="292" width="47.85546875" bestFit="1" customWidth="1"/>
    <col min="293" max="293" width="33.5703125" bestFit="1" customWidth="1"/>
    <col min="294" max="294" width="38.140625" bestFit="1" customWidth="1"/>
    <col min="295" max="298" width="38.5703125" bestFit="1" customWidth="1"/>
    <col min="299" max="299" width="38.140625" bestFit="1" customWidth="1"/>
    <col min="300" max="300" width="38.5703125" bestFit="1" customWidth="1"/>
    <col min="301" max="301" width="38.140625" bestFit="1" customWidth="1"/>
    <col min="302" max="304" width="38.5703125" bestFit="1" customWidth="1"/>
    <col min="305" max="305" width="38.140625" bestFit="1" customWidth="1"/>
    <col min="306" max="306" width="38.5703125" bestFit="1" customWidth="1"/>
    <col min="307" max="307" width="41.42578125" bestFit="1" customWidth="1"/>
    <col min="308" max="308" width="32" bestFit="1" customWidth="1"/>
    <col min="309" max="312" width="32.42578125" bestFit="1" customWidth="1"/>
    <col min="313" max="313" width="32" bestFit="1" customWidth="1"/>
    <col min="314" max="314" width="32.42578125" bestFit="1" customWidth="1"/>
    <col min="315" max="315" width="32" bestFit="1" customWidth="1"/>
    <col min="316" max="318" width="32.42578125" bestFit="1" customWidth="1"/>
    <col min="319" max="319" width="32" bestFit="1" customWidth="1"/>
    <col min="320" max="320" width="32.42578125" bestFit="1" customWidth="1"/>
    <col min="321" max="321" width="35.28515625" bestFit="1" customWidth="1"/>
    <col min="322" max="322" width="66.42578125" bestFit="1" customWidth="1"/>
    <col min="323" max="323" width="57.7109375" bestFit="1" customWidth="1"/>
    <col min="324" max="324" width="78.28515625" bestFit="1" customWidth="1"/>
    <col min="325" max="325" width="69.5703125" bestFit="1" customWidth="1"/>
    <col min="326" max="326" width="53" bestFit="1" customWidth="1"/>
    <col min="327" max="327" width="81.140625" bestFit="1" customWidth="1"/>
    <col min="328" max="328" width="74.85546875" bestFit="1" customWidth="1"/>
    <col min="329" max="329" width="76.28515625" bestFit="1" customWidth="1"/>
    <col min="330" max="330" width="60.5703125" bestFit="1" customWidth="1"/>
    <col min="331" max="331" width="66.42578125" bestFit="1" customWidth="1"/>
    <col min="332" max="332" width="42.85546875" bestFit="1" customWidth="1"/>
    <col min="333" max="333" width="78.7109375" bestFit="1" customWidth="1"/>
    <col min="334" max="334" width="76.42578125" bestFit="1" customWidth="1"/>
    <col min="335" max="335" width="73.5703125" bestFit="1" customWidth="1"/>
    <col min="336" max="336" width="71.42578125" bestFit="1" customWidth="1"/>
    <col min="337" max="338" width="81.140625" bestFit="1" customWidth="1"/>
    <col min="339" max="339" width="76.42578125" bestFit="1" customWidth="1"/>
    <col min="340" max="340" width="81.140625" bestFit="1" customWidth="1"/>
    <col min="341" max="341" width="72.140625" bestFit="1" customWidth="1"/>
    <col min="342" max="346" width="81.140625" bestFit="1" customWidth="1"/>
    <col min="347" max="347" width="79.140625" bestFit="1" customWidth="1"/>
    <col min="348" max="348" width="81.140625" bestFit="1" customWidth="1"/>
    <col min="349" max="349" width="61.5703125" bestFit="1" customWidth="1"/>
    <col min="350" max="350" width="34.5703125" bestFit="1" customWidth="1"/>
    <col min="351" max="353" width="35.140625" bestFit="1" customWidth="1"/>
    <col min="354" max="354" width="34.85546875" bestFit="1" customWidth="1"/>
    <col min="355" max="355" width="34.5703125" bestFit="1" customWidth="1"/>
    <col min="356" max="356" width="35.140625" bestFit="1" customWidth="1"/>
    <col min="357" max="357" width="34.5703125" bestFit="1" customWidth="1"/>
    <col min="358" max="360" width="35.140625" bestFit="1" customWidth="1"/>
    <col min="361" max="361" width="34.5703125" bestFit="1" customWidth="1"/>
    <col min="362" max="362" width="35.140625" bestFit="1" customWidth="1"/>
    <col min="363" max="363" width="38" bestFit="1" customWidth="1"/>
    <col min="364" max="364" width="35.5703125" bestFit="1" customWidth="1"/>
    <col min="365" max="367" width="36.140625" bestFit="1" customWidth="1"/>
    <col min="368" max="368" width="35.85546875" bestFit="1" customWidth="1"/>
    <col min="369" max="369" width="35.5703125" bestFit="1" customWidth="1"/>
    <col min="370" max="370" width="36.140625" bestFit="1" customWidth="1"/>
    <col min="371" max="371" width="35.5703125" bestFit="1" customWidth="1"/>
    <col min="372" max="374" width="36.140625" bestFit="1" customWidth="1"/>
    <col min="375" max="375" width="35.5703125" bestFit="1" customWidth="1"/>
    <col min="376" max="376" width="36.140625" bestFit="1" customWidth="1"/>
    <col min="377" max="377" width="39.28515625" bestFit="1" customWidth="1"/>
    <col min="378" max="378" width="53" bestFit="1" customWidth="1"/>
    <col min="379" max="379" width="51.7109375" bestFit="1" customWidth="1"/>
    <col min="380" max="380" width="53" bestFit="1" customWidth="1"/>
    <col min="381" max="381" width="56.42578125" bestFit="1" customWidth="1"/>
    <col min="382" max="383" width="71.7109375" bestFit="1" customWidth="1"/>
    <col min="384" max="384" width="74.85546875" bestFit="1" customWidth="1"/>
    <col min="385" max="385" width="61.28515625" bestFit="1" customWidth="1"/>
    <col min="386" max="386" width="64.42578125" bestFit="1" customWidth="1"/>
    <col min="387" max="387" width="50.42578125" bestFit="1" customWidth="1"/>
    <col min="388" max="388" width="53.28515625" bestFit="1" customWidth="1"/>
    <col min="389" max="391" width="53.85546875" bestFit="1" customWidth="1"/>
    <col min="392" max="392" width="53.5703125" bestFit="1" customWidth="1"/>
    <col min="393" max="393" width="53.28515625" bestFit="1" customWidth="1"/>
    <col min="394" max="394" width="53.85546875" bestFit="1" customWidth="1"/>
    <col min="395" max="395" width="53.28515625" bestFit="1" customWidth="1"/>
    <col min="396" max="398" width="53.85546875" bestFit="1" customWidth="1"/>
    <col min="399" max="399" width="53.28515625" bestFit="1" customWidth="1"/>
    <col min="400" max="400" width="53.85546875" bestFit="1" customWidth="1"/>
    <col min="401" max="401" width="56.85546875" bestFit="1" customWidth="1"/>
    <col min="402" max="402" width="47.85546875" bestFit="1" customWidth="1"/>
    <col min="403" max="405" width="48.28515625" bestFit="1" customWidth="1"/>
    <col min="406" max="406" width="48.140625" bestFit="1" customWidth="1"/>
    <col min="407" max="407" width="47.85546875" bestFit="1" customWidth="1"/>
    <col min="408" max="408" width="48.28515625" bestFit="1" customWidth="1"/>
    <col min="409" max="409" width="47.85546875" bestFit="1" customWidth="1"/>
    <col min="410" max="412" width="48.28515625" bestFit="1" customWidth="1"/>
    <col min="413" max="413" width="47.85546875" bestFit="1" customWidth="1"/>
    <col min="414" max="414" width="48.28515625" bestFit="1" customWidth="1"/>
    <col min="415" max="415" width="51.42578125" bestFit="1" customWidth="1"/>
    <col min="416" max="416" width="81.140625" bestFit="1" customWidth="1"/>
    <col min="417" max="417" width="75.5703125" bestFit="1" customWidth="1"/>
    <col min="418" max="419" width="81.140625" bestFit="1" customWidth="1"/>
    <col min="420" max="420" width="70.140625" bestFit="1" customWidth="1"/>
    <col min="421" max="423" width="81.140625" bestFit="1" customWidth="1"/>
    <col min="424" max="424" width="78.42578125" bestFit="1" customWidth="1"/>
    <col min="425" max="425" width="81.140625" bestFit="1" customWidth="1"/>
    <col min="426" max="426" width="59.7109375" bestFit="1" customWidth="1"/>
    <col min="427" max="442" width="81.140625" bestFit="1" customWidth="1"/>
    <col min="443" max="444" width="79" bestFit="1" customWidth="1"/>
    <col min="445" max="445" width="16.7109375" bestFit="1" customWidth="1"/>
    <col min="446" max="446" width="36.42578125" bestFit="1" customWidth="1"/>
    <col min="447" max="447" width="9.28515625" bestFit="1" customWidth="1"/>
    <col min="448" max="448" width="11" bestFit="1" customWidth="1"/>
    <col min="449" max="449" width="21.5703125" bestFit="1" customWidth="1"/>
    <col min="450" max="450" width="27.28515625" bestFit="1" customWidth="1"/>
    <col min="451" max="451" width="30.28515625" bestFit="1" customWidth="1"/>
    <col min="452" max="452" width="27.7109375" bestFit="1" customWidth="1"/>
    <col min="453" max="453" width="37.140625" bestFit="1" customWidth="1"/>
    <col min="454" max="454" width="25.42578125" bestFit="1" customWidth="1"/>
    <col min="455" max="455" width="25" bestFit="1" customWidth="1"/>
    <col min="456" max="456" width="21" bestFit="1" customWidth="1"/>
    <col min="457" max="457" width="56" bestFit="1" customWidth="1"/>
    <col min="458" max="458" width="49.140625" bestFit="1" customWidth="1"/>
    <col min="459" max="459" width="38.5703125" bestFit="1" customWidth="1"/>
    <col min="460" max="460" width="42.5703125" bestFit="1" customWidth="1"/>
    <col min="461" max="461" width="38.5703125" bestFit="1" customWidth="1"/>
    <col min="462" max="462" width="47.7109375" bestFit="1" customWidth="1"/>
    <col min="463" max="463" width="53.85546875" bestFit="1" customWidth="1"/>
    <col min="464" max="464" width="47.140625" bestFit="1" customWidth="1"/>
    <col min="465" max="465" width="38.28515625" bestFit="1" customWidth="1"/>
    <col min="466" max="466" width="23.140625" bestFit="1" customWidth="1"/>
    <col min="467" max="467" width="32.140625" bestFit="1" customWidth="1"/>
    <col min="468" max="471" width="32.5703125" bestFit="1" customWidth="1"/>
    <col min="472" max="472" width="32.140625" bestFit="1" customWidth="1"/>
    <col min="473" max="473" width="32.5703125" bestFit="1" customWidth="1"/>
    <col min="474" max="474" width="32.140625" bestFit="1" customWidth="1"/>
    <col min="475" max="477" width="32.5703125" bestFit="1" customWidth="1"/>
    <col min="478" max="478" width="32.140625" bestFit="1" customWidth="1"/>
    <col min="479" max="479" width="32.5703125" bestFit="1" customWidth="1"/>
    <col min="480" max="480" width="36.85546875" bestFit="1" customWidth="1"/>
    <col min="481" max="481" width="33" bestFit="1" customWidth="1"/>
    <col min="482" max="485" width="33.42578125" bestFit="1" customWidth="1"/>
    <col min="486" max="486" width="33" bestFit="1" customWidth="1"/>
    <col min="487" max="487" width="33.42578125" bestFit="1" customWidth="1"/>
    <col min="488" max="488" width="33" bestFit="1" customWidth="1"/>
    <col min="489" max="491" width="33.42578125" bestFit="1" customWidth="1"/>
    <col min="492" max="492" width="33" bestFit="1" customWidth="1"/>
    <col min="493" max="493" width="33.42578125" bestFit="1" customWidth="1"/>
    <col min="494" max="494" width="37.7109375" bestFit="1" customWidth="1"/>
    <col min="495" max="495" width="56.85546875" bestFit="1" customWidth="1"/>
    <col min="496" max="496" width="51" bestFit="1" customWidth="1"/>
    <col min="497" max="497" width="64.85546875" bestFit="1" customWidth="1"/>
    <col min="498" max="498" width="68.85546875" bestFit="1" customWidth="1"/>
    <col min="499" max="499" width="73.85546875" bestFit="1" customWidth="1"/>
    <col min="500" max="501" width="81.140625" bestFit="1" customWidth="1"/>
    <col min="502" max="502" width="72.42578125" bestFit="1" customWidth="1"/>
    <col min="503" max="503" width="76.42578125" bestFit="1" customWidth="1"/>
    <col min="504" max="504" width="63.5703125" bestFit="1" customWidth="1"/>
    <col min="505" max="505" width="54.42578125" bestFit="1" customWidth="1"/>
    <col min="506" max="509" width="54.85546875" bestFit="1" customWidth="1"/>
    <col min="510" max="510" width="54.42578125" bestFit="1" customWidth="1"/>
    <col min="511" max="511" width="54.85546875" bestFit="1" customWidth="1"/>
    <col min="512" max="512" width="54.42578125" bestFit="1" customWidth="1"/>
    <col min="513" max="515" width="54.85546875" bestFit="1" customWidth="1"/>
    <col min="516" max="516" width="54.42578125" bestFit="1" customWidth="1"/>
    <col min="517" max="517" width="54.85546875" bestFit="1" customWidth="1"/>
    <col min="518" max="518" width="59.140625" bestFit="1" customWidth="1"/>
    <col min="519" max="519" width="48.140625" bestFit="1" customWidth="1"/>
    <col min="520" max="523" width="48.5703125" bestFit="1" customWidth="1"/>
    <col min="524" max="524" width="48.140625" bestFit="1" customWidth="1"/>
    <col min="525" max="525" width="48.5703125" bestFit="1" customWidth="1"/>
    <col min="526" max="526" width="48.140625" bestFit="1" customWidth="1"/>
    <col min="527" max="529" width="48.5703125" bestFit="1" customWidth="1"/>
    <col min="530" max="530" width="48.140625" bestFit="1" customWidth="1"/>
    <col min="531" max="531" width="48.5703125" bestFit="1" customWidth="1"/>
    <col min="532" max="532" width="52.85546875" bestFit="1" customWidth="1"/>
    <col min="533" max="533" width="74" bestFit="1" customWidth="1"/>
    <col min="534" max="534" width="72" bestFit="1" customWidth="1"/>
    <col min="535" max="536" width="81.140625" bestFit="1" customWidth="1"/>
    <col min="537" max="537" width="62" bestFit="1" customWidth="1"/>
    <col min="538" max="539" width="81.140625" bestFit="1" customWidth="1"/>
    <col min="540" max="540" width="78.85546875" bestFit="1" customWidth="1"/>
    <col min="541" max="541" width="70" bestFit="1" customWidth="1"/>
    <col min="542" max="542" width="75.28515625" bestFit="1" customWidth="1"/>
    <col min="543" max="543" width="55.85546875" bestFit="1" customWidth="1"/>
    <col min="544" max="544" width="64.5703125" bestFit="1" customWidth="1"/>
    <col min="545" max="545" width="65.7109375" bestFit="1" customWidth="1"/>
    <col min="546" max="546" width="69.140625" bestFit="1" customWidth="1"/>
    <col min="547" max="547" width="70" bestFit="1" customWidth="1"/>
    <col min="548" max="548" width="72.42578125" bestFit="1" customWidth="1"/>
    <col min="549" max="549" width="70.140625" bestFit="1" customWidth="1"/>
    <col min="550" max="550" width="74.85546875" bestFit="1" customWidth="1"/>
    <col min="551" max="551" width="70.7109375" bestFit="1" customWidth="1"/>
    <col min="552" max="552" width="66.42578125" bestFit="1" customWidth="1"/>
    <col min="553" max="557" width="81.140625" bestFit="1" customWidth="1"/>
    <col min="558" max="558" width="74.5703125" bestFit="1" customWidth="1"/>
    <col min="559" max="559" width="80" bestFit="1" customWidth="1"/>
    <col min="560" max="560" width="60.5703125" bestFit="1" customWidth="1"/>
    <col min="561" max="561" width="64.28515625" bestFit="1" customWidth="1"/>
  </cols>
  <sheetData>
    <row r="1" spans="1:129">
      <c r="A1" t="s">
        <v>1830</v>
      </c>
      <c r="B1" t="s">
        <v>1831</v>
      </c>
      <c r="C1" t="s">
        <v>1832</v>
      </c>
      <c r="D1" t="s">
        <v>1833</v>
      </c>
      <c r="E1" t="s">
        <v>1834</v>
      </c>
      <c r="F1" t="s">
        <v>210</v>
      </c>
      <c r="G1" t="s">
        <v>8</v>
      </c>
      <c r="H1" t="s">
        <v>1835</v>
      </c>
      <c r="I1" t="s">
        <v>1234</v>
      </c>
      <c r="J1" t="s">
        <v>1836</v>
      </c>
      <c r="K1" t="s">
        <v>1837</v>
      </c>
      <c r="L1" t="s">
        <v>1838</v>
      </c>
      <c r="M1" t="s">
        <v>1839</v>
      </c>
      <c r="N1" t="s">
        <v>7</v>
      </c>
      <c r="O1" t="s">
        <v>9</v>
      </c>
      <c r="P1" t="s">
        <v>1840</v>
      </c>
      <c r="Q1" t="s">
        <v>1841</v>
      </c>
      <c r="R1" t="s">
        <v>1842</v>
      </c>
      <c r="S1" t="s">
        <v>1843</v>
      </c>
      <c r="T1" t="s">
        <v>316</v>
      </c>
      <c r="U1" t="s">
        <v>1844</v>
      </c>
      <c r="V1" t="s">
        <v>1845</v>
      </c>
      <c r="W1" t="s">
        <v>220</v>
      </c>
      <c r="X1" t="s">
        <v>1846</v>
      </c>
      <c r="Y1" t="s">
        <v>1847</v>
      </c>
      <c r="Z1" t="s">
        <v>1848</v>
      </c>
      <c r="AA1" t="s">
        <v>1849</v>
      </c>
      <c r="AB1" t="s">
        <v>1850</v>
      </c>
      <c r="AC1" t="s">
        <v>1851</v>
      </c>
      <c r="AD1" t="s">
        <v>1852</v>
      </c>
      <c r="AE1" t="s">
        <v>1853</v>
      </c>
      <c r="AF1" t="s">
        <v>1854</v>
      </c>
      <c r="AG1" t="s">
        <v>1855</v>
      </c>
      <c r="AH1" t="s">
        <v>1856</v>
      </c>
      <c r="AI1" t="s">
        <v>1857</v>
      </c>
      <c r="AJ1" t="s">
        <v>1858</v>
      </c>
      <c r="AK1" t="s">
        <v>1859</v>
      </c>
      <c r="AL1" t="s">
        <v>1860</v>
      </c>
      <c r="AM1" t="s">
        <v>1861</v>
      </c>
      <c r="AN1" t="s">
        <v>1862</v>
      </c>
      <c r="AO1" t="s">
        <v>1863</v>
      </c>
      <c r="AP1" t="s">
        <v>1864</v>
      </c>
      <c r="AQ1" t="s">
        <v>1865</v>
      </c>
      <c r="AR1" t="s">
        <v>1866</v>
      </c>
      <c r="AS1" t="s">
        <v>1867</v>
      </c>
      <c r="AT1" t="s">
        <v>1868</v>
      </c>
      <c r="AU1" t="s">
        <v>1869</v>
      </c>
      <c r="AV1" t="s">
        <v>1870</v>
      </c>
      <c r="AW1" t="s">
        <v>1871</v>
      </c>
      <c r="AX1" t="s">
        <v>1872</v>
      </c>
      <c r="AY1" t="s">
        <v>1873</v>
      </c>
      <c r="AZ1" t="s">
        <v>1874</v>
      </c>
      <c r="BA1" t="s">
        <v>1875</v>
      </c>
      <c r="BB1" t="s">
        <v>1876</v>
      </c>
      <c r="BC1" t="s">
        <v>1877</v>
      </c>
      <c r="BD1" t="s">
        <v>1878</v>
      </c>
      <c r="BE1" t="s">
        <v>1879</v>
      </c>
      <c r="BF1" t="s">
        <v>1880</v>
      </c>
      <c r="BG1" t="s">
        <v>1881</v>
      </c>
      <c r="BH1" t="s">
        <v>1882</v>
      </c>
      <c r="BI1" t="s">
        <v>1883</v>
      </c>
      <c r="BJ1" t="s">
        <v>1884</v>
      </c>
      <c r="BK1" t="s">
        <v>1885</v>
      </c>
      <c r="BL1" t="s">
        <v>1886</v>
      </c>
      <c r="BM1" t="s">
        <v>1887</v>
      </c>
      <c r="BN1" t="s">
        <v>1888</v>
      </c>
      <c r="BO1" t="s">
        <v>1889</v>
      </c>
      <c r="BP1" t="s">
        <v>1890</v>
      </c>
      <c r="BQ1" t="s">
        <v>1891</v>
      </c>
      <c r="BR1" t="s">
        <v>1892</v>
      </c>
      <c r="BS1" t="s">
        <v>1893</v>
      </c>
      <c r="BT1" t="s">
        <v>1894</v>
      </c>
      <c r="BU1" t="s">
        <v>1895</v>
      </c>
      <c r="BV1" t="s">
        <v>1896</v>
      </c>
      <c r="BW1" t="s">
        <v>1897</v>
      </c>
      <c r="BX1" t="s">
        <v>1898</v>
      </c>
      <c r="BY1" t="s">
        <v>1899</v>
      </c>
      <c r="BZ1" t="s">
        <v>1900</v>
      </c>
      <c r="CA1" t="s">
        <v>1901</v>
      </c>
      <c r="CB1" t="s">
        <v>1902</v>
      </c>
      <c r="CC1" t="s">
        <v>1903</v>
      </c>
      <c r="CD1" t="s">
        <v>1904</v>
      </c>
      <c r="CE1" t="s">
        <v>1905</v>
      </c>
      <c r="CF1" t="s">
        <v>1906</v>
      </c>
      <c r="CG1" t="s">
        <v>1907</v>
      </c>
      <c r="CH1" t="s">
        <v>1908</v>
      </c>
      <c r="CI1" t="s">
        <v>1909</v>
      </c>
      <c r="CJ1" t="s">
        <v>1910</v>
      </c>
      <c r="CK1" t="s">
        <v>1911</v>
      </c>
      <c r="CL1" t="s">
        <v>1912</v>
      </c>
      <c r="CM1" t="s">
        <v>1913</v>
      </c>
      <c r="CN1" t="s">
        <v>1914</v>
      </c>
      <c r="CO1" t="s">
        <v>1915</v>
      </c>
      <c r="CP1" t="s">
        <v>1916</v>
      </c>
      <c r="CQ1" t="s">
        <v>1917</v>
      </c>
      <c r="CR1" t="s">
        <v>1918</v>
      </c>
      <c r="CS1" t="s">
        <v>1919</v>
      </c>
      <c r="CT1" t="s">
        <v>1920</v>
      </c>
      <c r="CU1" t="s">
        <v>1921</v>
      </c>
      <c r="CV1" t="s">
        <v>1922</v>
      </c>
      <c r="CW1" t="s">
        <v>1923</v>
      </c>
      <c r="CX1" t="s">
        <v>1924</v>
      </c>
      <c r="CY1" t="s">
        <v>1925</v>
      </c>
      <c r="CZ1" t="s">
        <v>1926</v>
      </c>
      <c r="DA1" t="s">
        <v>1927</v>
      </c>
      <c r="DB1" t="s">
        <v>1928</v>
      </c>
      <c r="DC1" t="s">
        <v>1929</v>
      </c>
      <c r="DD1" t="s">
        <v>1930</v>
      </c>
      <c r="DE1" t="s">
        <v>1931</v>
      </c>
      <c r="DF1" t="s">
        <v>1932</v>
      </c>
      <c r="DG1" t="s">
        <v>1933</v>
      </c>
      <c r="DH1" t="s">
        <v>1934</v>
      </c>
      <c r="DI1" t="s">
        <v>1935</v>
      </c>
      <c r="DJ1" t="s">
        <v>1936</v>
      </c>
      <c r="DK1" t="s">
        <v>1937</v>
      </c>
      <c r="DL1" t="s">
        <v>1938</v>
      </c>
      <c r="DM1" t="s">
        <v>1939</v>
      </c>
      <c r="DN1" t="s">
        <v>1940</v>
      </c>
      <c r="DO1" t="s">
        <v>1941</v>
      </c>
      <c r="DP1" t="s">
        <v>1942</v>
      </c>
      <c r="DQ1" t="s">
        <v>1943</v>
      </c>
      <c r="DR1" t="s">
        <v>1944</v>
      </c>
      <c r="DS1" t="s">
        <v>1945</v>
      </c>
      <c r="DT1" t="s">
        <v>1946</v>
      </c>
      <c r="DU1" t="s">
        <v>1947</v>
      </c>
      <c r="DV1" t="s">
        <v>1948</v>
      </c>
      <c r="DW1" t="s">
        <v>1949</v>
      </c>
      <c r="DX1" t="s">
        <v>1950</v>
      </c>
      <c r="DY1" t="s">
        <v>1951</v>
      </c>
    </row>
    <row r="2" spans="1:129">
      <c r="A2" t="s">
        <v>1952</v>
      </c>
      <c r="B2" t="s">
        <v>1953</v>
      </c>
      <c r="C2" t="s">
        <v>1954</v>
      </c>
      <c r="D2">
        <v>1</v>
      </c>
      <c r="E2" s="195">
        <v>44600</v>
      </c>
      <c r="F2">
        <v>1</v>
      </c>
      <c r="G2">
        <v>2</v>
      </c>
      <c r="H2">
        <v>169.02375000000004</v>
      </c>
      <c r="I2" t="s">
        <v>378</v>
      </c>
      <c r="J2" t="s">
        <v>1955</v>
      </c>
      <c r="K2" t="s">
        <v>39</v>
      </c>
      <c r="M2" t="s">
        <v>237</v>
      </c>
      <c r="N2" t="s">
        <v>540</v>
      </c>
      <c r="O2" t="s">
        <v>501</v>
      </c>
      <c r="P2">
        <v>0</v>
      </c>
      <c r="R2">
        <v>2.35</v>
      </c>
      <c r="S2">
        <v>71.925000000000011</v>
      </c>
      <c r="U2">
        <v>169.02375000000004</v>
      </c>
      <c r="V2">
        <v>0</v>
      </c>
      <c r="AB2" t="s">
        <v>239</v>
      </c>
      <c r="AD2">
        <v>50</v>
      </c>
      <c r="AE2" t="s">
        <v>224</v>
      </c>
      <c r="AH2">
        <v>0</v>
      </c>
      <c r="AI2">
        <v>0</v>
      </c>
      <c r="AJ2">
        <v>0</v>
      </c>
      <c r="AK2">
        <v>0</v>
      </c>
      <c r="AL2">
        <v>0</v>
      </c>
      <c r="AM2">
        <v>0</v>
      </c>
      <c r="AN2">
        <v>0</v>
      </c>
      <c r="AO2">
        <v>0</v>
      </c>
      <c r="AP2">
        <v>22.888524892883748</v>
      </c>
      <c r="AQ2">
        <v>80.112051029919357</v>
      </c>
      <c r="AR2">
        <v>0</v>
      </c>
      <c r="AS2">
        <v>0</v>
      </c>
      <c r="AT2">
        <v>0</v>
      </c>
      <c r="AU2">
        <v>0</v>
      </c>
      <c r="AV2">
        <v>-738.29346642930489</v>
      </c>
      <c r="AW2">
        <v>-635.29289050650175</v>
      </c>
      <c r="AX2">
        <v>0</v>
      </c>
      <c r="AY2">
        <v>0</v>
      </c>
      <c r="AZ2">
        <v>0</v>
      </c>
      <c r="BA2">
        <v>0</v>
      </c>
      <c r="BB2">
        <v>0</v>
      </c>
      <c r="BC2">
        <v>0</v>
      </c>
      <c r="BD2">
        <v>0</v>
      </c>
      <c r="BE2">
        <v>0</v>
      </c>
      <c r="BF2">
        <v>243.26149945387508</v>
      </c>
      <c r="BG2">
        <v>714.02214629943762</v>
      </c>
      <c r="BH2">
        <v>0</v>
      </c>
      <c r="BI2">
        <v>0</v>
      </c>
      <c r="BJ2">
        <v>0</v>
      </c>
      <c r="BK2">
        <v>0</v>
      </c>
      <c r="BL2">
        <v>-5489.3482102578555</v>
      </c>
      <c r="BM2">
        <v>-4532.0645645045424</v>
      </c>
      <c r="BN2">
        <v>169.02375000000004</v>
      </c>
      <c r="BO2">
        <v>0</v>
      </c>
      <c r="BP2">
        <v>169.02375000000004</v>
      </c>
      <c r="BQ2">
        <v>0</v>
      </c>
      <c r="BR2">
        <v>0</v>
      </c>
      <c r="BS2">
        <v>0</v>
      </c>
      <c r="BT2">
        <v>0</v>
      </c>
      <c r="BU2">
        <v>169.02375000000004</v>
      </c>
      <c r="BV2">
        <v>0</v>
      </c>
      <c r="BW2">
        <v>169.02375000000004</v>
      </c>
      <c r="BX2">
        <v>0</v>
      </c>
      <c r="BY2">
        <v>0</v>
      </c>
      <c r="BZ2">
        <v>0</v>
      </c>
      <c r="CA2">
        <v>0</v>
      </c>
      <c r="CB2">
        <v>0</v>
      </c>
      <c r="CC2">
        <v>0</v>
      </c>
      <c r="CD2">
        <v>0</v>
      </c>
      <c r="CE2">
        <v>0</v>
      </c>
      <c r="CF2">
        <v>13.871965257648752</v>
      </c>
      <c r="CG2">
        <v>193.06299227118754</v>
      </c>
      <c r="CH2">
        <v>0</v>
      </c>
      <c r="CI2">
        <v>0</v>
      </c>
      <c r="CJ2">
        <v>0</v>
      </c>
      <c r="CK2">
        <v>0</v>
      </c>
      <c r="CL2">
        <v>-2748.7784565295519</v>
      </c>
      <c r="CM2">
        <v>-2541.8434990007158</v>
      </c>
      <c r="CN2">
        <v>0</v>
      </c>
      <c r="CO2">
        <v>0</v>
      </c>
      <c r="CP2">
        <v>0</v>
      </c>
      <c r="CQ2">
        <v>0</v>
      </c>
      <c r="CR2">
        <v>0</v>
      </c>
      <c r="CS2">
        <v>0</v>
      </c>
      <c r="CT2">
        <v>0</v>
      </c>
      <c r="CU2">
        <v>0</v>
      </c>
      <c r="CV2">
        <v>2680.1507834850008</v>
      </c>
      <c r="CW2">
        <v>12344.419708950003</v>
      </c>
      <c r="CX2">
        <v>0</v>
      </c>
      <c r="CY2">
        <v>0</v>
      </c>
      <c r="CZ2">
        <v>0</v>
      </c>
      <c r="DA2">
        <v>0</v>
      </c>
      <c r="DB2">
        <v>-284614.40266919165</v>
      </c>
      <c r="DC2">
        <v>-269589.83217675664</v>
      </c>
      <c r="DD2">
        <v>0</v>
      </c>
      <c r="DE2">
        <v>8451.1875000000018</v>
      </c>
      <c r="DF2" t="s">
        <v>135</v>
      </c>
      <c r="DG2" t="s">
        <v>135</v>
      </c>
      <c r="DH2">
        <v>0</v>
      </c>
      <c r="DI2">
        <v>0</v>
      </c>
      <c r="DJ2">
        <v>0</v>
      </c>
      <c r="DK2">
        <v>0</v>
      </c>
      <c r="DL2">
        <v>0</v>
      </c>
      <c r="DM2">
        <v>8451.1875000000018</v>
      </c>
      <c r="DN2">
        <v>8451.1875000000018</v>
      </c>
      <c r="DO2">
        <v>0</v>
      </c>
      <c r="DP2">
        <v>3.3804750000000006</v>
      </c>
      <c r="DQ2" t="s">
        <v>135</v>
      </c>
      <c r="DR2" t="s">
        <v>135</v>
      </c>
      <c r="DS2">
        <v>0</v>
      </c>
      <c r="DT2">
        <v>0</v>
      </c>
      <c r="DU2">
        <v>0</v>
      </c>
      <c r="DV2">
        <v>3.3804750000000006</v>
      </c>
      <c r="DW2">
        <v>3.3804750000000006</v>
      </c>
      <c r="DX2">
        <v>0</v>
      </c>
      <c r="DY2">
        <v>0</v>
      </c>
    </row>
    <row r="3" spans="1:129">
      <c r="A3" t="s">
        <v>1952</v>
      </c>
      <c r="B3" t="s">
        <v>1953</v>
      </c>
      <c r="C3" t="s">
        <v>1954</v>
      </c>
      <c r="D3">
        <v>1</v>
      </c>
      <c r="E3" s="195">
        <v>44600</v>
      </c>
      <c r="F3">
        <v>1</v>
      </c>
      <c r="G3">
        <v>2</v>
      </c>
      <c r="H3">
        <v>18.96</v>
      </c>
      <c r="I3" t="s">
        <v>378</v>
      </c>
      <c r="J3" t="s">
        <v>1956</v>
      </c>
      <c r="K3" t="s">
        <v>39</v>
      </c>
      <c r="M3" t="s">
        <v>237</v>
      </c>
      <c r="N3" t="s">
        <v>238</v>
      </c>
      <c r="O3" t="s">
        <v>381</v>
      </c>
      <c r="P3">
        <v>0</v>
      </c>
      <c r="R3">
        <v>2.37</v>
      </c>
      <c r="S3">
        <v>8</v>
      </c>
      <c r="U3">
        <v>18.96</v>
      </c>
      <c r="V3">
        <v>0</v>
      </c>
      <c r="AB3" t="s">
        <v>239</v>
      </c>
      <c r="AD3">
        <v>50</v>
      </c>
      <c r="AE3" t="s">
        <v>224</v>
      </c>
      <c r="AH3">
        <v>0</v>
      </c>
      <c r="AI3">
        <v>0</v>
      </c>
      <c r="AJ3">
        <v>0</v>
      </c>
      <c r="AK3">
        <v>0</v>
      </c>
      <c r="AL3">
        <v>0</v>
      </c>
      <c r="AM3">
        <v>0</v>
      </c>
      <c r="AN3">
        <v>0</v>
      </c>
      <c r="AO3">
        <v>0</v>
      </c>
      <c r="AP3">
        <v>2.5674878942697448</v>
      </c>
      <c r="AQ3">
        <v>8.9864559715854764</v>
      </c>
      <c r="AR3">
        <v>0</v>
      </c>
      <c r="AS3">
        <v>0</v>
      </c>
      <c r="AT3">
        <v>0</v>
      </c>
      <c r="AU3">
        <v>0</v>
      </c>
      <c r="AV3">
        <v>-44.095599022546587</v>
      </c>
      <c r="AW3">
        <v>-32.541655156691363</v>
      </c>
      <c r="AX3">
        <v>0</v>
      </c>
      <c r="AY3">
        <v>0</v>
      </c>
      <c r="AZ3">
        <v>0</v>
      </c>
      <c r="BA3">
        <v>0</v>
      </c>
      <c r="BB3">
        <v>0</v>
      </c>
      <c r="BC3">
        <v>0</v>
      </c>
      <c r="BD3">
        <v>0</v>
      </c>
      <c r="BE3">
        <v>0</v>
      </c>
      <c r="BF3">
        <v>27.287514504000004</v>
      </c>
      <c r="BG3">
        <v>80.094423971999987</v>
      </c>
      <c r="BH3">
        <v>0</v>
      </c>
      <c r="BI3">
        <v>0</v>
      </c>
      <c r="BJ3">
        <v>0</v>
      </c>
      <c r="BK3">
        <v>0</v>
      </c>
      <c r="BL3">
        <v>-328.11091468117411</v>
      </c>
      <c r="BM3">
        <v>-220.72897620517412</v>
      </c>
      <c r="BN3">
        <v>18.96</v>
      </c>
      <c r="BO3">
        <v>0.5</v>
      </c>
      <c r="BP3">
        <v>9.48</v>
      </c>
      <c r="BQ3">
        <v>9.48</v>
      </c>
      <c r="BR3">
        <v>0</v>
      </c>
      <c r="BS3">
        <v>0</v>
      </c>
      <c r="BT3">
        <v>0</v>
      </c>
      <c r="BU3">
        <v>9.48</v>
      </c>
      <c r="BV3">
        <v>9.48</v>
      </c>
      <c r="BW3">
        <v>18.96</v>
      </c>
      <c r="BX3">
        <v>0</v>
      </c>
      <c r="BY3">
        <v>0</v>
      </c>
      <c r="BZ3">
        <v>0</v>
      </c>
      <c r="CA3">
        <v>0</v>
      </c>
      <c r="CB3">
        <v>0</v>
      </c>
      <c r="CC3">
        <v>0</v>
      </c>
      <c r="CD3">
        <v>0</v>
      </c>
      <c r="CE3">
        <v>0</v>
      </c>
      <c r="CF3">
        <v>1.55606807496</v>
      </c>
      <c r="CG3">
        <v>21.656567987999999</v>
      </c>
      <c r="CH3">
        <v>0</v>
      </c>
      <c r="CI3">
        <v>0</v>
      </c>
      <c r="CJ3">
        <v>0</v>
      </c>
      <c r="CK3">
        <v>0</v>
      </c>
      <c r="CL3">
        <v>-155.85914699549662</v>
      </c>
      <c r="CM3">
        <v>-132.64651093253661</v>
      </c>
      <c r="CN3">
        <v>0</v>
      </c>
      <c r="CO3">
        <v>0</v>
      </c>
      <c r="CP3">
        <v>0</v>
      </c>
      <c r="CQ3">
        <v>0</v>
      </c>
      <c r="CR3">
        <v>0</v>
      </c>
      <c r="CS3">
        <v>0</v>
      </c>
      <c r="CT3">
        <v>0</v>
      </c>
      <c r="CU3">
        <v>0</v>
      </c>
      <c r="CV3">
        <v>300.64212192000002</v>
      </c>
      <c r="CW3">
        <v>1384.7178144</v>
      </c>
      <c r="CX3">
        <v>0</v>
      </c>
      <c r="CY3">
        <v>0</v>
      </c>
      <c r="CZ3">
        <v>0</v>
      </c>
      <c r="DA3">
        <v>0</v>
      </c>
      <c r="DB3">
        <v>-17231.231851138575</v>
      </c>
      <c r="DC3">
        <v>-15545.871914818574</v>
      </c>
      <c r="DD3">
        <v>0</v>
      </c>
      <c r="DE3">
        <v>948</v>
      </c>
      <c r="DF3" t="s">
        <v>135</v>
      </c>
      <c r="DG3" t="s">
        <v>135</v>
      </c>
      <c r="DH3">
        <v>0</v>
      </c>
      <c r="DI3">
        <v>0</v>
      </c>
      <c r="DJ3">
        <v>0</v>
      </c>
      <c r="DK3">
        <v>0</v>
      </c>
      <c r="DL3">
        <v>0</v>
      </c>
      <c r="DM3">
        <v>948</v>
      </c>
      <c r="DN3">
        <v>948</v>
      </c>
      <c r="DO3">
        <v>0</v>
      </c>
      <c r="DP3">
        <v>0.37920000000000004</v>
      </c>
      <c r="DQ3" t="s">
        <v>135</v>
      </c>
      <c r="DR3" t="s">
        <v>135</v>
      </c>
      <c r="DS3">
        <v>0</v>
      </c>
      <c r="DT3">
        <v>0</v>
      </c>
      <c r="DU3">
        <v>0</v>
      </c>
      <c r="DV3">
        <v>0.37920000000000004</v>
      </c>
      <c r="DW3">
        <v>0.37920000000000004</v>
      </c>
      <c r="DX3">
        <v>0</v>
      </c>
      <c r="DY3">
        <v>0</v>
      </c>
    </row>
    <row r="4" spans="1:129">
      <c r="A4" t="s">
        <v>1952</v>
      </c>
      <c r="B4" t="s">
        <v>1953</v>
      </c>
      <c r="C4" t="s">
        <v>1954</v>
      </c>
      <c r="D4">
        <v>1</v>
      </c>
      <c r="E4" s="195">
        <v>44600</v>
      </c>
      <c r="F4">
        <v>1</v>
      </c>
      <c r="G4">
        <v>2</v>
      </c>
      <c r="H4">
        <v>5.9250000000000007</v>
      </c>
      <c r="I4" t="s">
        <v>378</v>
      </c>
      <c r="J4" t="s">
        <v>1957</v>
      </c>
      <c r="K4" t="s">
        <v>39</v>
      </c>
      <c r="M4" t="s">
        <v>237</v>
      </c>
      <c r="N4" t="s">
        <v>238</v>
      </c>
      <c r="O4" t="s">
        <v>381</v>
      </c>
      <c r="P4">
        <v>0</v>
      </c>
      <c r="R4">
        <v>2.37</v>
      </c>
      <c r="S4">
        <v>2.5</v>
      </c>
      <c r="U4">
        <v>5.9250000000000007</v>
      </c>
      <c r="V4">
        <v>0</v>
      </c>
      <c r="AB4" t="s">
        <v>239</v>
      </c>
      <c r="AD4">
        <v>50</v>
      </c>
      <c r="AE4" t="s">
        <v>224</v>
      </c>
      <c r="AH4">
        <v>0</v>
      </c>
      <c r="AI4">
        <v>0</v>
      </c>
      <c r="AJ4">
        <v>0</v>
      </c>
      <c r="AK4">
        <v>0</v>
      </c>
      <c r="AL4">
        <v>0</v>
      </c>
      <c r="AM4">
        <v>0</v>
      </c>
      <c r="AN4">
        <v>0</v>
      </c>
      <c r="AO4">
        <v>0</v>
      </c>
      <c r="AP4">
        <v>0.80233996695929533</v>
      </c>
      <c r="AQ4">
        <v>2.8082674911204619</v>
      </c>
      <c r="AR4">
        <v>0</v>
      </c>
      <c r="AS4">
        <v>0</v>
      </c>
      <c r="AT4">
        <v>0</v>
      </c>
      <c r="AU4">
        <v>0</v>
      </c>
      <c r="AV4">
        <v>-13.779874694545809</v>
      </c>
      <c r="AW4">
        <v>-10.169267236466052</v>
      </c>
      <c r="AX4">
        <v>0</v>
      </c>
      <c r="AY4">
        <v>0</v>
      </c>
      <c r="AZ4">
        <v>0</v>
      </c>
      <c r="BA4">
        <v>0</v>
      </c>
      <c r="BB4">
        <v>0</v>
      </c>
      <c r="BC4">
        <v>0</v>
      </c>
      <c r="BD4">
        <v>0</v>
      </c>
      <c r="BE4">
        <v>0</v>
      </c>
      <c r="BF4">
        <v>8.527348282500002</v>
      </c>
      <c r="BG4">
        <v>25.029507491250001</v>
      </c>
      <c r="BH4">
        <v>0</v>
      </c>
      <c r="BI4">
        <v>0</v>
      </c>
      <c r="BJ4">
        <v>0</v>
      </c>
      <c r="BK4">
        <v>0</v>
      </c>
      <c r="BL4">
        <v>-102.53466083786691</v>
      </c>
      <c r="BM4">
        <v>-68.977805064116907</v>
      </c>
      <c r="BN4">
        <v>5.9250000000000007</v>
      </c>
      <c r="BO4">
        <v>0.5</v>
      </c>
      <c r="BP4">
        <v>2.9625000000000004</v>
      </c>
      <c r="BQ4">
        <v>2.9625000000000004</v>
      </c>
      <c r="BR4">
        <v>0</v>
      </c>
      <c r="BS4">
        <v>0</v>
      </c>
      <c r="BT4">
        <v>0</v>
      </c>
      <c r="BU4">
        <v>2.9625000000000004</v>
      </c>
      <c r="BV4">
        <v>2.9625000000000004</v>
      </c>
      <c r="BW4">
        <v>5.9250000000000007</v>
      </c>
      <c r="BX4">
        <v>0</v>
      </c>
      <c r="BY4">
        <v>0</v>
      </c>
      <c r="BZ4">
        <v>0</v>
      </c>
      <c r="CA4">
        <v>0</v>
      </c>
      <c r="CB4">
        <v>0</v>
      </c>
      <c r="CC4">
        <v>0</v>
      </c>
      <c r="CD4">
        <v>0</v>
      </c>
      <c r="CE4">
        <v>0</v>
      </c>
      <c r="CF4">
        <v>0.48627127342500004</v>
      </c>
      <c r="CG4">
        <v>6.767677496250001</v>
      </c>
      <c r="CH4">
        <v>0</v>
      </c>
      <c r="CI4">
        <v>0</v>
      </c>
      <c r="CJ4">
        <v>0</v>
      </c>
      <c r="CK4">
        <v>0</v>
      </c>
      <c r="CL4">
        <v>-48.705983436092694</v>
      </c>
      <c r="CM4">
        <v>-41.452034666417696</v>
      </c>
      <c r="CN4">
        <v>0</v>
      </c>
      <c r="CO4">
        <v>0</v>
      </c>
      <c r="CP4">
        <v>0</v>
      </c>
      <c r="CQ4">
        <v>0</v>
      </c>
      <c r="CR4">
        <v>0</v>
      </c>
      <c r="CS4">
        <v>0</v>
      </c>
      <c r="CT4">
        <v>0</v>
      </c>
      <c r="CU4">
        <v>0</v>
      </c>
      <c r="CV4">
        <v>93.950663100000014</v>
      </c>
      <c r="CW4">
        <v>432.7243170000001</v>
      </c>
      <c r="CX4">
        <v>0</v>
      </c>
      <c r="CY4">
        <v>0</v>
      </c>
      <c r="CZ4">
        <v>0</v>
      </c>
      <c r="DA4">
        <v>0</v>
      </c>
      <c r="DB4">
        <v>-5384.7599534808051</v>
      </c>
      <c r="DC4">
        <v>-4858.0849733808045</v>
      </c>
      <c r="DD4">
        <v>0</v>
      </c>
      <c r="DE4">
        <v>296.25000000000006</v>
      </c>
      <c r="DF4" t="s">
        <v>135</v>
      </c>
      <c r="DG4" t="s">
        <v>135</v>
      </c>
      <c r="DH4">
        <v>0</v>
      </c>
      <c r="DI4">
        <v>0</v>
      </c>
      <c r="DJ4">
        <v>0</v>
      </c>
      <c r="DK4">
        <v>0</v>
      </c>
      <c r="DL4">
        <v>0</v>
      </c>
      <c r="DM4">
        <v>296.25000000000006</v>
      </c>
      <c r="DN4">
        <v>296.25000000000006</v>
      </c>
      <c r="DO4">
        <v>0</v>
      </c>
      <c r="DP4">
        <v>0.11850000000000001</v>
      </c>
      <c r="DQ4" t="s">
        <v>135</v>
      </c>
      <c r="DR4" t="s">
        <v>135</v>
      </c>
      <c r="DS4">
        <v>0</v>
      </c>
      <c r="DT4">
        <v>0</v>
      </c>
      <c r="DU4">
        <v>0</v>
      </c>
      <c r="DV4">
        <v>0.11850000000000001</v>
      </c>
      <c r="DW4">
        <v>0.11850000000000001</v>
      </c>
      <c r="DX4">
        <v>0</v>
      </c>
      <c r="DY4">
        <v>0</v>
      </c>
    </row>
    <row r="5" spans="1:129">
      <c r="A5" t="s">
        <v>1952</v>
      </c>
      <c r="B5" t="s">
        <v>1953</v>
      </c>
      <c r="C5" t="s">
        <v>1954</v>
      </c>
      <c r="D5">
        <v>1</v>
      </c>
      <c r="E5" s="195">
        <v>44600</v>
      </c>
      <c r="F5">
        <v>1</v>
      </c>
      <c r="G5">
        <v>3</v>
      </c>
      <c r="H5">
        <v>130</v>
      </c>
      <c r="I5" t="s">
        <v>385</v>
      </c>
      <c r="J5" t="s">
        <v>1958</v>
      </c>
      <c r="K5" t="s">
        <v>39</v>
      </c>
      <c r="M5" t="s">
        <v>55</v>
      </c>
      <c r="N5" t="s">
        <v>56</v>
      </c>
      <c r="O5" t="s">
        <v>384</v>
      </c>
      <c r="P5">
        <v>0</v>
      </c>
      <c r="R5">
        <v>2.4</v>
      </c>
      <c r="S5">
        <v>9.7283333333333353</v>
      </c>
      <c r="U5">
        <v>23.348000000000003</v>
      </c>
      <c r="V5">
        <v>0</v>
      </c>
      <c r="W5">
        <v>40</v>
      </c>
      <c r="AC5" t="s">
        <v>937</v>
      </c>
      <c r="AD5">
        <v>50</v>
      </c>
      <c r="AE5" t="s">
        <v>224</v>
      </c>
      <c r="AH5">
        <v>0</v>
      </c>
      <c r="AI5">
        <v>0</v>
      </c>
      <c r="AJ5">
        <v>0</v>
      </c>
      <c r="AK5">
        <v>0</v>
      </c>
      <c r="AL5">
        <v>0</v>
      </c>
      <c r="AM5">
        <v>0</v>
      </c>
      <c r="AN5">
        <v>0</v>
      </c>
      <c r="AO5">
        <v>0</v>
      </c>
      <c r="AP5">
        <v>13.651492674275278</v>
      </c>
      <c r="AQ5">
        <v>11.066232807203466</v>
      </c>
      <c r="AR5">
        <v>0</v>
      </c>
      <c r="AS5">
        <v>0.17079908300000002</v>
      </c>
      <c r="AT5">
        <v>0</v>
      </c>
      <c r="AU5">
        <v>0</v>
      </c>
      <c r="AV5">
        <v>-12.280187400000001</v>
      </c>
      <c r="AW5">
        <v>12.608337164478742</v>
      </c>
      <c r="AX5">
        <v>0</v>
      </c>
      <c r="AY5">
        <v>0</v>
      </c>
      <c r="AZ5">
        <v>0</v>
      </c>
      <c r="BA5">
        <v>0</v>
      </c>
      <c r="BB5">
        <v>0</v>
      </c>
      <c r="BC5">
        <v>0</v>
      </c>
      <c r="BD5">
        <v>0</v>
      </c>
      <c r="BE5">
        <v>0</v>
      </c>
      <c r="BF5">
        <v>147.3275514165</v>
      </c>
      <c r="BG5">
        <v>98.631044878599994</v>
      </c>
      <c r="BH5">
        <v>0</v>
      </c>
      <c r="BI5">
        <v>1</v>
      </c>
      <c r="BJ5">
        <v>0</v>
      </c>
      <c r="BK5">
        <v>0</v>
      </c>
      <c r="BL5">
        <v>-101.1504637</v>
      </c>
      <c r="BM5">
        <v>146.05541520309998</v>
      </c>
      <c r="BN5">
        <v>23.348000000000003</v>
      </c>
      <c r="BO5">
        <v>5.7906458797327399E-2</v>
      </c>
      <c r="BP5">
        <v>21.996000000000002</v>
      </c>
      <c r="BQ5">
        <v>1.3520000000000003</v>
      </c>
      <c r="BR5">
        <v>0</v>
      </c>
      <c r="BS5">
        <v>0</v>
      </c>
      <c r="BT5">
        <v>0</v>
      </c>
      <c r="BU5">
        <v>21.996000000000002</v>
      </c>
      <c r="BV5">
        <v>1.3520000000000003</v>
      </c>
      <c r="BW5">
        <v>23.348000000000003</v>
      </c>
      <c r="BX5">
        <v>0</v>
      </c>
      <c r="BY5">
        <v>0</v>
      </c>
      <c r="BZ5">
        <v>0</v>
      </c>
      <c r="CA5">
        <v>0</v>
      </c>
      <c r="CB5">
        <v>0</v>
      </c>
      <c r="CC5">
        <v>0</v>
      </c>
      <c r="CD5">
        <v>0</v>
      </c>
      <c r="CE5">
        <v>0</v>
      </c>
      <c r="CF5">
        <v>16.384873677249999</v>
      </c>
      <c r="CG5">
        <v>26.668647119400003</v>
      </c>
      <c r="CH5">
        <v>0</v>
      </c>
      <c r="CI5">
        <v>1</v>
      </c>
      <c r="CJ5">
        <v>0</v>
      </c>
      <c r="CK5">
        <v>0</v>
      </c>
      <c r="CL5">
        <v>-82.306975399999999</v>
      </c>
      <c r="CM5">
        <v>-38.344248084349992</v>
      </c>
      <c r="CN5">
        <v>0</v>
      </c>
      <c r="CO5">
        <v>0</v>
      </c>
      <c r="CP5">
        <v>0</v>
      </c>
      <c r="CQ5">
        <v>0</v>
      </c>
      <c r="CR5">
        <v>0</v>
      </c>
      <c r="CS5">
        <v>0</v>
      </c>
      <c r="CT5">
        <v>0</v>
      </c>
      <c r="CU5">
        <v>0</v>
      </c>
      <c r="CV5">
        <v>2246.8365058099998</v>
      </c>
      <c r="CW5">
        <v>1705.18942672</v>
      </c>
      <c r="CX5">
        <v>0</v>
      </c>
      <c r="CY5">
        <v>38</v>
      </c>
      <c r="CZ5">
        <v>0</v>
      </c>
      <c r="DA5">
        <v>0</v>
      </c>
      <c r="DB5">
        <v>-1346.8235300000001</v>
      </c>
      <c r="DC5">
        <v>2643.1194973299998</v>
      </c>
      <c r="DD5">
        <v>0</v>
      </c>
      <c r="DE5">
        <v>1167.4000000000001</v>
      </c>
      <c r="DF5" t="s">
        <v>135</v>
      </c>
      <c r="DG5" t="s">
        <v>135</v>
      </c>
      <c r="DH5">
        <v>0</v>
      </c>
      <c r="DI5">
        <v>0</v>
      </c>
      <c r="DJ5">
        <v>0</v>
      </c>
      <c r="DK5">
        <v>0</v>
      </c>
      <c r="DL5">
        <v>0</v>
      </c>
      <c r="DM5">
        <v>1167.4000000000001</v>
      </c>
      <c r="DN5">
        <v>1167.4000000000001</v>
      </c>
      <c r="DO5">
        <v>0</v>
      </c>
      <c r="DP5">
        <v>3.25</v>
      </c>
      <c r="DQ5" t="s">
        <v>135</v>
      </c>
      <c r="DR5" t="s">
        <v>135</v>
      </c>
      <c r="DS5">
        <v>0</v>
      </c>
      <c r="DT5">
        <v>0</v>
      </c>
      <c r="DU5">
        <v>0</v>
      </c>
      <c r="DV5">
        <v>3.25</v>
      </c>
      <c r="DW5">
        <v>3.25</v>
      </c>
      <c r="DX5">
        <v>0</v>
      </c>
      <c r="DY5">
        <v>0</v>
      </c>
    </row>
    <row r="6" spans="1:129">
      <c r="A6" t="s">
        <v>1952</v>
      </c>
      <c r="B6" t="s">
        <v>1953</v>
      </c>
      <c r="C6" t="s">
        <v>1954</v>
      </c>
      <c r="D6">
        <v>1</v>
      </c>
      <c r="E6" s="195">
        <v>44600</v>
      </c>
      <c r="F6">
        <v>1</v>
      </c>
      <c r="G6">
        <v>3</v>
      </c>
      <c r="H6">
        <v>95</v>
      </c>
      <c r="I6" t="s">
        <v>385</v>
      </c>
      <c r="J6" t="s">
        <v>1959</v>
      </c>
      <c r="K6" t="s">
        <v>39</v>
      </c>
      <c r="M6" t="s">
        <v>55</v>
      </c>
      <c r="N6" t="s">
        <v>235</v>
      </c>
      <c r="O6" t="s">
        <v>630</v>
      </c>
      <c r="P6">
        <v>0</v>
      </c>
      <c r="R6">
        <v>2.4</v>
      </c>
      <c r="S6">
        <v>4.1364583333333336</v>
      </c>
      <c r="U6">
        <v>9.9275000000000002</v>
      </c>
      <c r="V6">
        <v>0</v>
      </c>
      <c r="W6">
        <v>40</v>
      </c>
      <c r="AC6" t="s">
        <v>937</v>
      </c>
      <c r="AD6">
        <v>50</v>
      </c>
      <c r="AE6" t="s">
        <v>224</v>
      </c>
      <c r="AH6">
        <v>0</v>
      </c>
      <c r="AI6">
        <v>0</v>
      </c>
      <c r="AJ6">
        <v>0</v>
      </c>
      <c r="AK6">
        <v>0</v>
      </c>
      <c r="AL6">
        <v>0</v>
      </c>
      <c r="AM6">
        <v>0</v>
      </c>
      <c r="AN6">
        <v>0</v>
      </c>
      <c r="AO6">
        <v>0</v>
      </c>
      <c r="AP6">
        <v>9.9760908004319351</v>
      </c>
      <c r="AQ6">
        <v>4.7053292013668155</v>
      </c>
      <c r="AR6">
        <v>0</v>
      </c>
      <c r="AS6">
        <v>7.1383000000000001</v>
      </c>
      <c r="AT6">
        <v>-5.1014999999999997</v>
      </c>
      <c r="AU6">
        <v>0</v>
      </c>
      <c r="AV6">
        <v>-5.1014999999999997</v>
      </c>
      <c r="AW6">
        <v>16.718220001798748</v>
      </c>
      <c r="AX6">
        <v>0</v>
      </c>
      <c r="AY6">
        <v>0</v>
      </c>
      <c r="AZ6">
        <v>0</v>
      </c>
      <c r="BA6">
        <v>0</v>
      </c>
      <c r="BB6">
        <v>0</v>
      </c>
      <c r="BC6">
        <v>0</v>
      </c>
      <c r="BD6">
        <v>0</v>
      </c>
      <c r="BE6">
        <v>0</v>
      </c>
      <c r="BF6">
        <v>107.66244141975</v>
      </c>
      <c r="BG6">
        <v>41.937626264875</v>
      </c>
      <c r="BH6">
        <v>0</v>
      </c>
      <c r="BI6">
        <v>1</v>
      </c>
      <c r="BJ6">
        <v>0</v>
      </c>
      <c r="BK6">
        <v>0</v>
      </c>
      <c r="BL6">
        <v>-37.584094749999998</v>
      </c>
      <c r="BM6">
        <v>112.52246112162501</v>
      </c>
      <c r="BN6">
        <v>9.9275000000000002</v>
      </c>
      <c r="BO6">
        <v>0.11177052423343201</v>
      </c>
      <c r="BP6">
        <v>8.8178981206726021</v>
      </c>
      <c r="BQ6">
        <v>1.1096018793273985</v>
      </c>
      <c r="BR6">
        <v>0</v>
      </c>
      <c r="BS6">
        <v>0</v>
      </c>
      <c r="BT6">
        <v>0</v>
      </c>
      <c r="BU6">
        <v>8.8178981206726021</v>
      </c>
      <c r="BV6">
        <v>1.1096018793273985</v>
      </c>
      <c r="BW6">
        <v>9.9275000000000002</v>
      </c>
      <c r="BX6">
        <v>0</v>
      </c>
      <c r="BY6">
        <v>0</v>
      </c>
      <c r="BZ6">
        <v>0</v>
      </c>
      <c r="CA6">
        <v>0</v>
      </c>
      <c r="CB6">
        <v>0</v>
      </c>
      <c r="CC6">
        <v>0</v>
      </c>
      <c r="CD6">
        <v>0</v>
      </c>
      <c r="CE6">
        <v>0</v>
      </c>
      <c r="CF6">
        <v>11.973561533374998</v>
      </c>
      <c r="CG6">
        <v>11.339429256375</v>
      </c>
      <c r="CH6">
        <v>0</v>
      </c>
      <c r="CI6">
        <v>0</v>
      </c>
      <c r="CJ6">
        <v>0</v>
      </c>
      <c r="CK6">
        <v>0</v>
      </c>
      <c r="CL6">
        <v>-30.582491199999996</v>
      </c>
      <c r="CM6">
        <v>-6.9002958967499985</v>
      </c>
      <c r="CN6">
        <v>0</v>
      </c>
      <c r="CO6">
        <v>0</v>
      </c>
      <c r="CP6">
        <v>0</v>
      </c>
      <c r="CQ6">
        <v>0</v>
      </c>
      <c r="CR6">
        <v>0</v>
      </c>
      <c r="CS6">
        <v>0</v>
      </c>
      <c r="CT6">
        <v>0</v>
      </c>
      <c r="CU6">
        <v>0</v>
      </c>
      <c r="CV6">
        <v>1641.9189850150001</v>
      </c>
      <c r="CW6">
        <v>725.04146109999999</v>
      </c>
      <c r="CX6">
        <v>0</v>
      </c>
      <c r="CY6">
        <v>15</v>
      </c>
      <c r="CZ6">
        <v>0</v>
      </c>
      <c r="DA6">
        <v>0</v>
      </c>
      <c r="DB6">
        <v>-500.43411250000003</v>
      </c>
      <c r="DC6">
        <v>1881.9234538650003</v>
      </c>
      <c r="DD6">
        <v>0</v>
      </c>
      <c r="DE6">
        <v>496.375</v>
      </c>
      <c r="DF6" t="s">
        <v>135</v>
      </c>
      <c r="DG6" t="s">
        <v>135</v>
      </c>
      <c r="DH6">
        <v>0</v>
      </c>
      <c r="DI6">
        <v>0</v>
      </c>
      <c r="DJ6">
        <v>0</v>
      </c>
      <c r="DK6">
        <v>0</v>
      </c>
      <c r="DL6">
        <v>0</v>
      </c>
      <c r="DM6">
        <v>496.375</v>
      </c>
      <c r="DN6">
        <v>496.375</v>
      </c>
      <c r="DO6">
        <v>0</v>
      </c>
      <c r="DP6">
        <v>2.375</v>
      </c>
      <c r="DQ6" t="s">
        <v>135</v>
      </c>
      <c r="DR6" t="s">
        <v>135</v>
      </c>
      <c r="DS6">
        <v>0</v>
      </c>
      <c r="DT6">
        <v>0</v>
      </c>
      <c r="DU6">
        <v>0</v>
      </c>
      <c r="DV6">
        <v>2.375</v>
      </c>
      <c r="DW6">
        <v>2.375</v>
      </c>
      <c r="DX6">
        <v>0</v>
      </c>
      <c r="DY6">
        <v>0</v>
      </c>
    </row>
    <row r="7" spans="1:129">
      <c r="A7" t="s">
        <v>1952</v>
      </c>
      <c r="B7" t="s">
        <v>1953</v>
      </c>
      <c r="C7" t="s">
        <v>1954</v>
      </c>
      <c r="D7">
        <v>1</v>
      </c>
      <c r="E7" s="195">
        <v>44600</v>
      </c>
      <c r="F7">
        <v>1</v>
      </c>
      <c r="G7">
        <v>3</v>
      </c>
      <c r="H7">
        <v>290</v>
      </c>
      <c r="I7" t="s">
        <v>389</v>
      </c>
      <c r="J7" t="s">
        <v>1960</v>
      </c>
      <c r="K7" t="s">
        <v>39</v>
      </c>
      <c r="M7" t="s">
        <v>55</v>
      </c>
      <c r="N7" t="s">
        <v>617</v>
      </c>
      <c r="O7" t="s">
        <v>388</v>
      </c>
      <c r="P7">
        <v>0</v>
      </c>
      <c r="R7">
        <v>2.4</v>
      </c>
      <c r="S7">
        <v>23.091249999999999</v>
      </c>
      <c r="U7">
        <v>55.418999999999997</v>
      </c>
      <c r="V7">
        <v>0</v>
      </c>
      <c r="W7">
        <v>50</v>
      </c>
      <c r="AC7" t="s">
        <v>937</v>
      </c>
      <c r="AD7">
        <v>50</v>
      </c>
      <c r="AE7" t="s">
        <v>224</v>
      </c>
      <c r="AH7">
        <v>0</v>
      </c>
      <c r="AI7">
        <v>0</v>
      </c>
      <c r="AJ7">
        <v>0</v>
      </c>
      <c r="AK7">
        <v>0</v>
      </c>
      <c r="AL7">
        <v>0</v>
      </c>
      <c r="AM7">
        <v>0</v>
      </c>
      <c r="AN7">
        <v>0</v>
      </c>
      <c r="AO7">
        <v>0</v>
      </c>
      <c r="AP7">
        <v>24.362663849475883</v>
      </c>
      <c r="AQ7">
        <v>26.266898918211787</v>
      </c>
      <c r="AR7">
        <v>0</v>
      </c>
      <c r="AS7">
        <v>0.40193999999999996</v>
      </c>
      <c r="AT7">
        <v>0</v>
      </c>
      <c r="AU7">
        <v>0</v>
      </c>
      <c r="AV7">
        <v>0</v>
      </c>
      <c r="AW7">
        <v>51.031502767687677</v>
      </c>
      <c r="AX7">
        <v>0</v>
      </c>
      <c r="AY7">
        <v>0</v>
      </c>
      <c r="AZ7">
        <v>0</v>
      </c>
      <c r="BA7">
        <v>0</v>
      </c>
      <c r="BB7">
        <v>0</v>
      </c>
      <c r="BC7">
        <v>0</v>
      </c>
      <c r="BD7">
        <v>0</v>
      </c>
      <c r="BE7">
        <v>0</v>
      </c>
      <c r="BF7">
        <v>262.92301483559999</v>
      </c>
      <c r="BG7">
        <v>234.11143892954996</v>
      </c>
      <c r="BH7">
        <v>0</v>
      </c>
      <c r="BI7">
        <v>3</v>
      </c>
      <c r="BJ7">
        <v>0</v>
      </c>
      <c r="BK7">
        <v>0</v>
      </c>
      <c r="BL7">
        <v>0</v>
      </c>
      <c r="BM7">
        <v>499.95597341234992</v>
      </c>
      <c r="BN7">
        <v>55.418999999999997</v>
      </c>
      <c r="BO7">
        <v>0</v>
      </c>
      <c r="BP7">
        <v>55.418999999999997</v>
      </c>
      <c r="BQ7">
        <v>0</v>
      </c>
      <c r="BR7">
        <v>0</v>
      </c>
      <c r="BS7">
        <v>0</v>
      </c>
      <c r="BT7">
        <v>0</v>
      </c>
      <c r="BU7">
        <v>55.418999999999997</v>
      </c>
      <c r="BV7">
        <v>0</v>
      </c>
      <c r="BW7">
        <v>55.418999999999997</v>
      </c>
      <c r="BX7">
        <v>0</v>
      </c>
      <c r="BY7">
        <v>0</v>
      </c>
      <c r="BZ7">
        <v>0</v>
      </c>
      <c r="CA7">
        <v>0</v>
      </c>
      <c r="CB7">
        <v>0</v>
      </c>
      <c r="CC7">
        <v>0</v>
      </c>
      <c r="CD7">
        <v>0</v>
      </c>
      <c r="CE7">
        <v>0</v>
      </c>
      <c r="CF7">
        <v>29.240697639399993</v>
      </c>
      <c r="CG7">
        <v>63.300914626949996</v>
      </c>
      <c r="CH7">
        <v>0</v>
      </c>
      <c r="CI7">
        <v>2</v>
      </c>
      <c r="CJ7">
        <v>0</v>
      </c>
      <c r="CK7">
        <v>0</v>
      </c>
      <c r="CL7">
        <v>0</v>
      </c>
      <c r="CM7">
        <v>94.671253598349992</v>
      </c>
      <c r="CN7">
        <v>0</v>
      </c>
      <c r="CO7">
        <v>0</v>
      </c>
      <c r="CP7">
        <v>0</v>
      </c>
      <c r="CQ7">
        <v>0</v>
      </c>
      <c r="CR7">
        <v>0</v>
      </c>
      <c r="CS7">
        <v>0</v>
      </c>
      <c r="CT7">
        <v>0</v>
      </c>
      <c r="CU7">
        <v>0</v>
      </c>
      <c r="CV7">
        <v>4009.7389949839999</v>
      </c>
      <c r="CW7">
        <v>4047.4512951599995</v>
      </c>
      <c r="CX7">
        <v>0</v>
      </c>
      <c r="CY7">
        <v>89</v>
      </c>
      <c r="CZ7">
        <v>0</v>
      </c>
      <c r="DA7">
        <v>0</v>
      </c>
      <c r="DB7">
        <v>0</v>
      </c>
      <c r="DC7">
        <v>8146.0037917459986</v>
      </c>
      <c r="DD7">
        <v>0</v>
      </c>
      <c r="DE7">
        <v>2770.95</v>
      </c>
      <c r="DF7" t="s">
        <v>135</v>
      </c>
      <c r="DG7" t="s">
        <v>135</v>
      </c>
      <c r="DH7">
        <v>0</v>
      </c>
      <c r="DI7">
        <v>0</v>
      </c>
      <c r="DJ7">
        <v>0</v>
      </c>
      <c r="DK7">
        <v>0</v>
      </c>
      <c r="DL7">
        <v>0</v>
      </c>
      <c r="DM7">
        <v>2770.95</v>
      </c>
      <c r="DN7">
        <v>2770.95</v>
      </c>
      <c r="DO7">
        <v>0</v>
      </c>
      <c r="DP7">
        <v>5.8</v>
      </c>
      <c r="DQ7" t="s">
        <v>135</v>
      </c>
      <c r="DR7" t="s">
        <v>135</v>
      </c>
      <c r="DS7">
        <v>0</v>
      </c>
      <c r="DT7">
        <v>0</v>
      </c>
      <c r="DU7">
        <v>0</v>
      </c>
      <c r="DV7">
        <v>5.8</v>
      </c>
      <c r="DW7">
        <v>5.8</v>
      </c>
      <c r="DX7">
        <v>0</v>
      </c>
      <c r="DY7">
        <v>0</v>
      </c>
    </row>
    <row r="8" spans="1:129">
      <c r="A8" t="s">
        <v>1952</v>
      </c>
      <c r="B8" t="s">
        <v>1953</v>
      </c>
      <c r="C8" t="s">
        <v>1954</v>
      </c>
      <c r="D8">
        <v>1</v>
      </c>
      <c r="E8" s="195">
        <v>44600</v>
      </c>
      <c r="F8">
        <v>1</v>
      </c>
      <c r="G8">
        <v>3</v>
      </c>
      <c r="H8">
        <v>35</v>
      </c>
      <c r="I8" t="s">
        <v>389</v>
      </c>
      <c r="J8" t="s">
        <v>1961</v>
      </c>
      <c r="K8" t="s">
        <v>39</v>
      </c>
      <c r="M8" t="s">
        <v>55</v>
      </c>
      <c r="N8" t="s">
        <v>603</v>
      </c>
      <c r="O8" t="s">
        <v>599</v>
      </c>
      <c r="P8">
        <v>0</v>
      </c>
      <c r="R8">
        <v>2.4</v>
      </c>
      <c r="S8">
        <v>0.53083333333333338</v>
      </c>
      <c r="U8">
        <v>1.274</v>
      </c>
      <c r="V8">
        <v>0</v>
      </c>
      <c r="W8">
        <v>50</v>
      </c>
      <c r="AC8" t="s">
        <v>937</v>
      </c>
      <c r="AD8">
        <v>50</v>
      </c>
      <c r="AE8" t="s">
        <v>224</v>
      </c>
      <c r="AH8">
        <v>0</v>
      </c>
      <c r="AI8">
        <v>0</v>
      </c>
      <c r="AJ8">
        <v>0</v>
      </c>
      <c r="AK8">
        <v>0</v>
      </c>
      <c r="AL8">
        <v>0</v>
      </c>
      <c r="AM8">
        <v>0</v>
      </c>
      <c r="AN8">
        <v>0</v>
      </c>
      <c r="AO8">
        <v>0</v>
      </c>
      <c r="AP8">
        <v>2.9403214990746753</v>
      </c>
      <c r="AQ8">
        <v>0.60383675674050086</v>
      </c>
      <c r="AR8">
        <v>0</v>
      </c>
      <c r="AS8">
        <v>9.2399999999999999E-3</v>
      </c>
      <c r="AT8">
        <v>0</v>
      </c>
      <c r="AU8">
        <v>0</v>
      </c>
      <c r="AV8">
        <v>-0.66108000000000011</v>
      </c>
      <c r="AW8">
        <v>2.8923182558151761</v>
      </c>
      <c r="AX8">
        <v>0</v>
      </c>
      <c r="AY8">
        <v>0</v>
      </c>
      <c r="AZ8">
        <v>0</v>
      </c>
      <c r="BA8">
        <v>0</v>
      </c>
      <c r="BB8">
        <v>0</v>
      </c>
      <c r="BC8">
        <v>0</v>
      </c>
      <c r="BD8">
        <v>0</v>
      </c>
      <c r="BE8">
        <v>0</v>
      </c>
      <c r="BF8">
        <v>31.732087997399997</v>
      </c>
      <c r="BG8">
        <v>5.3818721592999994</v>
      </c>
      <c r="BH8">
        <v>0</v>
      </c>
      <c r="BI8">
        <v>0</v>
      </c>
      <c r="BJ8">
        <v>0</v>
      </c>
      <c r="BK8">
        <v>0</v>
      </c>
      <c r="BL8">
        <v>0</v>
      </c>
      <c r="BM8">
        <v>37.181121527899997</v>
      </c>
      <c r="BN8">
        <v>1.274</v>
      </c>
      <c r="BO8">
        <v>0</v>
      </c>
      <c r="BP8">
        <v>1.274</v>
      </c>
      <c r="BQ8">
        <v>0</v>
      </c>
      <c r="BR8">
        <v>0</v>
      </c>
      <c r="BS8">
        <v>0</v>
      </c>
      <c r="BT8">
        <v>0</v>
      </c>
      <c r="BU8">
        <v>1.274</v>
      </c>
      <c r="BV8">
        <v>0</v>
      </c>
      <c r="BW8">
        <v>1.274</v>
      </c>
      <c r="BX8">
        <v>0</v>
      </c>
      <c r="BY8">
        <v>0</v>
      </c>
      <c r="BZ8">
        <v>0</v>
      </c>
      <c r="CA8">
        <v>0</v>
      </c>
      <c r="CB8">
        <v>0</v>
      </c>
      <c r="CC8">
        <v>0</v>
      </c>
      <c r="CD8">
        <v>0</v>
      </c>
      <c r="CE8">
        <v>0</v>
      </c>
      <c r="CF8">
        <v>3.5290497150999993</v>
      </c>
      <c r="CG8">
        <v>1.4551934397000001</v>
      </c>
      <c r="CH8">
        <v>0</v>
      </c>
      <c r="CI8">
        <v>0</v>
      </c>
      <c r="CJ8">
        <v>0</v>
      </c>
      <c r="CK8">
        <v>0</v>
      </c>
      <c r="CL8">
        <v>-4.0602290399999994</v>
      </c>
      <c r="CM8">
        <v>0.97297138680000028</v>
      </c>
      <c r="CN8">
        <v>0</v>
      </c>
      <c r="CO8">
        <v>0</v>
      </c>
      <c r="CP8">
        <v>0</v>
      </c>
      <c r="CQ8">
        <v>0</v>
      </c>
      <c r="CR8">
        <v>0</v>
      </c>
      <c r="CS8">
        <v>0</v>
      </c>
      <c r="CT8">
        <v>0</v>
      </c>
      <c r="CU8">
        <v>0</v>
      </c>
      <c r="CV8">
        <v>483.93401663599997</v>
      </c>
      <c r="CW8">
        <v>93.044857360000009</v>
      </c>
      <c r="CX8">
        <v>0</v>
      </c>
      <c r="CY8">
        <v>2</v>
      </c>
      <c r="CZ8">
        <v>0</v>
      </c>
      <c r="DA8">
        <v>0</v>
      </c>
      <c r="DB8">
        <v>-66.439228800000009</v>
      </c>
      <c r="DC8">
        <v>512.5813348879999</v>
      </c>
      <c r="DD8">
        <v>0</v>
      </c>
      <c r="DE8">
        <v>63.7</v>
      </c>
      <c r="DF8" t="s">
        <v>135</v>
      </c>
      <c r="DG8" t="s">
        <v>135</v>
      </c>
      <c r="DH8">
        <v>0</v>
      </c>
      <c r="DI8">
        <v>0</v>
      </c>
      <c r="DJ8">
        <v>0</v>
      </c>
      <c r="DK8">
        <v>0</v>
      </c>
      <c r="DL8">
        <v>0</v>
      </c>
      <c r="DM8">
        <v>63.7</v>
      </c>
      <c r="DN8">
        <v>63.7</v>
      </c>
      <c r="DO8">
        <v>0</v>
      </c>
      <c r="DP8">
        <v>0.7</v>
      </c>
      <c r="DQ8" t="s">
        <v>135</v>
      </c>
      <c r="DR8" t="s">
        <v>135</v>
      </c>
      <c r="DS8">
        <v>0</v>
      </c>
      <c r="DT8">
        <v>0</v>
      </c>
      <c r="DU8">
        <v>0</v>
      </c>
      <c r="DV8">
        <v>0.7</v>
      </c>
      <c r="DW8">
        <v>0.7</v>
      </c>
      <c r="DX8">
        <v>0</v>
      </c>
      <c r="DY8">
        <v>0</v>
      </c>
    </row>
    <row r="9" spans="1:129">
      <c r="A9" t="s">
        <v>1952</v>
      </c>
      <c r="B9" t="s">
        <v>1953</v>
      </c>
      <c r="C9" t="s">
        <v>1954</v>
      </c>
      <c r="D9">
        <v>1</v>
      </c>
      <c r="E9" s="195">
        <v>44600</v>
      </c>
      <c r="F9">
        <v>1</v>
      </c>
      <c r="G9">
        <v>3</v>
      </c>
      <c r="H9">
        <v>3</v>
      </c>
      <c r="I9" t="s">
        <v>724</v>
      </c>
      <c r="J9" t="s">
        <v>1962</v>
      </c>
      <c r="K9" t="s">
        <v>39</v>
      </c>
      <c r="M9" t="s">
        <v>246</v>
      </c>
      <c r="N9" t="s">
        <v>247</v>
      </c>
      <c r="O9" t="s">
        <v>736</v>
      </c>
      <c r="P9">
        <v>0</v>
      </c>
      <c r="S9">
        <v>0</v>
      </c>
      <c r="U9">
        <v>0.60851999999999995</v>
      </c>
      <c r="V9">
        <v>0</v>
      </c>
      <c r="W9">
        <v>2</v>
      </c>
      <c r="AC9" t="s">
        <v>937</v>
      </c>
      <c r="AD9">
        <v>50</v>
      </c>
      <c r="AE9" t="s">
        <v>224</v>
      </c>
      <c r="AH9">
        <v>0</v>
      </c>
      <c r="AI9">
        <v>0</v>
      </c>
      <c r="AJ9">
        <v>0</v>
      </c>
      <c r="AK9">
        <v>0</v>
      </c>
      <c r="AL9">
        <v>0</v>
      </c>
      <c r="AM9">
        <v>0</v>
      </c>
      <c r="AN9">
        <v>0</v>
      </c>
      <c r="AO9">
        <v>0</v>
      </c>
      <c r="AP9">
        <v>6.3006889265885899</v>
      </c>
      <c r="AQ9">
        <v>0.28841973564499968</v>
      </c>
      <c r="AR9">
        <v>0</v>
      </c>
      <c r="AS9">
        <v>0</v>
      </c>
      <c r="AT9">
        <v>-11.34</v>
      </c>
      <c r="AU9">
        <v>0</v>
      </c>
      <c r="AV9">
        <v>-11.34</v>
      </c>
      <c r="AW9">
        <v>-4.7508913377664106</v>
      </c>
      <c r="AX9">
        <v>0</v>
      </c>
      <c r="AY9">
        <v>0</v>
      </c>
      <c r="AZ9">
        <v>0</v>
      </c>
      <c r="BA9">
        <v>0</v>
      </c>
      <c r="BB9">
        <v>0</v>
      </c>
      <c r="BC9">
        <v>0</v>
      </c>
      <c r="BD9">
        <v>0</v>
      </c>
      <c r="BE9">
        <v>0</v>
      </c>
      <c r="BF9">
        <v>67.997331422999991</v>
      </c>
      <c r="BG9">
        <v>2.5706254681139997</v>
      </c>
      <c r="BH9">
        <v>0</v>
      </c>
      <c r="BI9">
        <v>0</v>
      </c>
      <c r="BJ9">
        <v>-94.86</v>
      </c>
      <c r="BK9">
        <v>0</v>
      </c>
      <c r="BL9">
        <v>-129.19251</v>
      </c>
      <c r="BM9">
        <v>-58.575512273886005</v>
      </c>
      <c r="BN9">
        <v>0.60851999999999995</v>
      </c>
      <c r="BO9">
        <v>0</v>
      </c>
      <c r="BP9">
        <v>0.60851999999999995</v>
      </c>
      <c r="BQ9">
        <v>0</v>
      </c>
      <c r="BR9">
        <v>0</v>
      </c>
      <c r="BS9">
        <v>0</v>
      </c>
      <c r="BT9">
        <v>0</v>
      </c>
      <c r="BU9">
        <v>0.60851999999999995</v>
      </c>
      <c r="BV9">
        <v>0</v>
      </c>
      <c r="BW9">
        <v>0.60851999999999995</v>
      </c>
      <c r="BX9">
        <v>0</v>
      </c>
      <c r="BY9">
        <v>0</v>
      </c>
      <c r="BZ9">
        <v>0</v>
      </c>
      <c r="CA9">
        <v>0</v>
      </c>
      <c r="CB9">
        <v>0</v>
      </c>
      <c r="CC9">
        <v>0</v>
      </c>
      <c r="CD9">
        <v>0</v>
      </c>
      <c r="CE9">
        <v>0</v>
      </c>
      <c r="CF9">
        <v>7.5622493894999989</v>
      </c>
      <c r="CG9">
        <v>0.69506617890599998</v>
      </c>
      <c r="CH9">
        <v>0</v>
      </c>
      <c r="CI9">
        <v>0</v>
      </c>
      <c r="CJ9">
        <v>0</v>
      </c>
      <c r="CK9">
        <v>0</v>
      </c>
      <c r="CL9">
        <v>-25.143359400000001</v>
      </c>
      <c r="CM9">
        <v>-16.850295519593999</v>
      </c>
      <c r="CN9">
        <v>0</v>
      </c>
      <c r="CO9">
        <v>0</v>
      </c>
      <c r="CP9">
        <v>0</v>
      </c>
      <c r="CQ9">
        <v>0</v>
      </c>
      <c r="CR9">
        <v>0</v>
      </c>
      <c r="CS9">
        <v>0</v>
      </c>
      <c r="CT9">
        <v>0</v>
      </c>
      <c r="CU9">
        <v>0</v>
      </c>
      <c r="CV9">
        <v>1037.0014642199999</v>
      </c>
      <c r="CW9">
        <v>44.442430612799996</v>
      </c>
      <c r="CX9">
        <v>0</v>
      </c>
      <c r="CY9">
        <v>1</v>
      </c>
      <c r="CZ9">
        <v>0</v>
      </c>
      <c r="DA9">
        <v>0</v>
      </c>
      <c r="DB9">
        <v>-1378.47891</v>
      </c>
      <c r="DC9">
        <v>-295.54418541719997</v>
      </c>
      <c r="DD9">
        <v>0</v>
      </c>
      <c r="DE9">
        <v>30.425999999999998</v>
      </c>
      <c r="DF9" t="s">
        <v>135</v>
      </c>
      <c r="DG9" t="s">
        <v>135</v>
      </c>
      <c r="DH9">
        <v>0</v>
      </c>
      <c r="DI9">
        <v>0</v>
      </c>
      <c r="DJ9">
        <v>0</v>
      </c>
      <c r="DK9">
        <v>0</v>
      </c>
      <c r="DL9">
        <v>0</v>
      </c>
      <c r="DM9">
        <v>30.425999999999998</v>
      </c>
      <c r="DN9">
        <v>30.425999999999998</v>
      </c>
      <c r="DO9">
        <v>0</v>
      </c>
      <c r="DP9">
        <v>1.5</v>
      </c>
      <c r="DQ9" t="s">
        <v>135</v>
      </c>
      <c r="DR9" t="s">
        <v>135</v>
      </c>
      <c r="DS9">
        <v>0</v>
      </c>
      <c r="DT9">
        <v>0</v>
      </c>
      <c r="DU9">
        <v>0</v>
      </c>
      <c r="DV9">
        <v>1.5</v>
      </c>
      <c r="DW9">
        <v>1.5</v>
      </c>
      <c r="DX9">
        <v>0</v>
      </c>
      <c r="DY9">
        <v>0</v>
      </c>
    </row>
    <row r="10" spans="1:129">
      <c r="A10" t="s">
        <v>1952</v>
      </c>
      <c r="B10" t="s">
        <v>1953</v>
      </c>
      <c r="C10" t="s">
        <v>1954</v>
      </c>
      <c r="D10">
        <v>1</v>
      </c>
      <c r="E10" s="195">
        <v>44600</v>
      </c>
      <c r="F10">
        <v>1</v>
      </c>
      <c r="G10">
        <v>3</v>
      </c>
      <c r="H10">
        <v>15</v>
      </c>
      <c r="I10" t="s">
        <v>385</v>
      </c>
      <c r="J10" t="s">
        <v>1963</v>
      </c>
      <c r="K10" t="s">
        <v>45</v>
      </c>
      <c r="M10" t="s">
        <v>48</v>
      </c>
      <c r="N10" t="s">
        <v>51</v>
      </c>
      <c r="O10" t="s">
        <v>50</v>
      </c>
      <c r="P10">
        <v>0</v>
      </c>
      <c r="R10">
        <v>1.95</v>
      </c>
      <c r="S10">
        <v>3.0000000000000004</v>
      </c>
      <c r="T10">
        <v>10</v>
      </c>
      <c r="U10">
        <v>5.8500000000000005</v>
      </c>
      <c r="V10">
        <v>0</v>
      </c>
      <c r="X10">
        <v>10</v>
      </c>
      <c r="Y10" t="s">
        <v>1964</v>
      </c>
      <c r="AA10" t="s">
        <v>937</v>
      </c>
      <c r="AH10">
        <v>0</v>
      </c>
      <c r="AI10">
        <v>0</v>
      </c>
      <c r="AJ10">
        <v>0</v>
      </c>
      <c r="AK10">
        <v>0</v>
      </c>
      <c r="AL10">
        <v>0.25946172174757282</v>
      </c>
      <c r="AM10">
        <v>6.3006889265885899</v>
      </c>
      <c r="AN10">
        <v>0.41234999999999999</v>
      </c>
      <c r="AO10">
        <v>0</v>
      </c>
      <c r="AP10">
        <v>0</v>
      </c>
      <c r="AQ10">
        <v>0</v>
      </c>
      <c r="AR10">
        <v>0</v>
      </c>
      <c r="AS10">
        <v>0</v>
      </c>
      <c r="AT10">
        <v>0</v>
      </c>
      <c r="AU10">
        <v>0</v>
      </c>
      <c r="AV10">
        <v>0</v>
      </c>
      <c r="AW10">
        <v>6.9725006483361627</v>
      </c>
      <c r="AX10">
        <v>0</v>
      </c>
      <c r="AY10">
        <v>0</v>
      </c>
      <c r="AZ10">
        <v>0</v>
      </c>
      <c r="BA10">
        <v>0</v>
      </c>
      <c r="BB10">
        <v>1.3517475728155341</v>
      </c>
      <c r="BC10">
        <v>67.997331422999991</v>
      </c>
      <c r="BD10">
        <v>0</v>
      </c>
      <c r="BE10">
        <v>0</v>
      </c>
      <c r="BF10">
        <v>0</v>
      </c>
      <c r="BG10">
        <v>0</v>
      </c>
      <c r="BH10">
        <v>0</v>
      </c>
      <c r="BI10">
        <v>0</v>
      </c>
      <c r="BJ10">
        <v>0</v>
      </c>
      <c r="BK10">
        <v>0</v>
      </c>
      <c r="BL10">
        <v>0</v>
      </c>
      <c r="BM10">
        <v>69.349078995815532</v>
      </c>
      <c r="BN10">
        <v>5.8500000000000005</v>
      </c>
      <c r="BO10">
        <v>1</v>
      </c>
      <c r="BP10">
        <v>0</v>
      </c>
      <c r="BQ10">
        <v>5.8500000000000005</v>
      </c>
      <c r="BR10">
        <v>0</v>
      </c>
      <c r="BS10">
        <v>0</v>
      </c>
      <c r="BT10">
        <v>0</v>
      </c>
      <c r="BU10">
        <v>0</v>
      </c>
      <c r="BV10">
        <v>5.8500000000000005</v>
      </c>
      <c r="BW10">
        <v>5.8500000000000005</v>
      </c>
      <c r="BX10">
        <v>0</v>
      </c>
      <c r="BY10">
        <v>0</v>
      </c>
      <c r="BZ10">
        <v>0</v>
      </c>
      <c r="CA10">
        <v>0</v>
      </c>
      <c r="CB10">
        <v>31.749029126213593</v>
      </c>
      <c r="CC10">
        <v>7.5622493894999989</v>
      </c>
      <c r="CD10">
        <v>0</v>
      </c>
      <c r="CE10">
        <v>0</v>
      </c>
      <c r="CF10">
        <v>0</v>
      </c>
      <c r="CG10">
        <v>0</v>
      </c>
      <c r="CH10">
        <v>0</v>
      </c>
      <c r="CI10">
        <v>0</v>
      </c>
      <c r="CJ10">
        <v>0</v>
      </c>
      <c r="CK10">
        <v>0</v>
      </c>
      <c r="CL10">
        <v>0</v>
      </c>
      <c r="CM10">
        <v>39.311278515713589</v>
      </c>
      <c r="CN10">
        <v>0</v>
      </c>
      <c r="CO10">
        <v>0</v>
      </c>
      <c r="CP10">
        <v>0</v>
      </c>
      <c r="CQ10">
        <v>0</v>
      </c>
      <c r="CR10">
        <v>28.568446601941748</v>
      </c>
      <c r="CS10">
        <v>1037.0014642199999</v>
      </c>
      <c r="CT10">
        <v>0</v>
      </c>
      <c r="CU10">
        <v>0</v>
      </c>
      <c r="CV10">
        <v>0</v>
      </c>
      <c r="CW10">
        <v>0</v>
      </c>
      <c r="CX10">
        <v>0</v>
      </c>
      <c r="CY10">
        <v>0</v>
      </c>
      <c r="CZ10">
        <v>0</v>
      </c>
      <c r="DA10">
        <v>0</v>
      </c>
      <c r="DB10">
        <v>0</v>
      </c>
      <c r="DC10">
        <v>1065.5699108219417</v>
      </c>
      <c r="DD10">
        <v>58.500000000000007</v>
      </c>
      <c r="DE10">
        <v>0</v>
      </c>
      <c r="DF10" t="s">
        <v>854</v>
      </c>
      <c r="DG10" t="s">
        <v>135</v>
      </c>
      <c r="DH10">
        <v>58</v>
      </c>
      <c r="DI10">
        <v>0</v>
      </c>
      <c r="DJ10">
        <v>0</v>
      </c>
      <c r="DK10">
        <v>0</v>
      </c>
      <c r="DL10">
        <v>58.500000000000007</v>
      </c>
      <c r="DM10">
        <v>0</v>
      </c>
      <c r="DN10">
        <v>58.500000000000007</v>
      </c>
      <c r="DO10">
        <v>1.5</v>
      </c>
      <c r="DP10">
        <v>0</v>
      </c>
      <c r="DQ10" t="s">
        <v>135</v>
      </c>
      <c r="DR10" t="s">
        <v>135</v>
      </c>
      <c r="DS10">
        <v>0</v>
      </c>
      <c r="DT10">
        <v>0</v>
      </c>
      <c r="DU10">
        <v>0</v>
      </c>
      <c r="DV10">
        <v>1.5</v>
      </c>
      <c r="DW10">
        <v>1.5</v>
      </c>
      <c r="DX10">
        <v>0</v>
      </c>
      <c r="DY10">
        <v>0</v>
      </c>
    </row>
    <row r="11" spans="1:129">
      <c r="A11" t="s">
        <v>1952</v>
      </c>
      <c r="B11" t="s">
        <v>1953</v>
      </c>
      <c r="C11" t="s">
        <v>1954</v>
      </c>
      <c r="D11">
        <v>1</v>
      </c>
      <c r="E11" s="195">
        <v>44600</v>
      </c>
      <c r="F11">
        <v>1</v>
      </c>
      <c r="G11">
        <v>2</v>
      </c>
      <c r="H11">
        <v>5.9</v>
      </c>
      <c r="I11" t="s">
        <v>378</v>
      </c>
      <c r="J11" t="s">
        <v>1965</v>
      </c>
      <c r="K11" t="s">
        <v>45</v>
      </c>
      <c r="M11" t="s">
        <v>237</v>
      </c>
      <c r="N11" t="s">
        <v>238</v>
      </c>
      <c r="O11" t="s">
        <v>381</v>
      </c>
      <c r="P11">
        <v>0</v>
      </c>
      <c r="R11">
        <v>2.37</v>
      </c>
      <c r="S11">
        <v>2.4894514767932492</v>
      </c>
      <c r="U11">
        <v>5.9</v>
      </c>
      <c r="V11">
        <v>0</v>
      </c>
      <c r="X11">
        <v>10</v>
      </c>
      <c r="Y11" t="s">
        <v>1964</v>
      </c>
      <c r="Z11" t="s">
        <v>895</v>
      </c>
      <c r="AH11">
        <v>16.367161382334682</v>
      </c>
      <c r="AI11">
        <v>8.6458025028176202</v>
      </c>
      <c r="AJ11">
        <v>9.8481781123782213</v>
      </c>
      <c r="AK11">
        <v>34.861141997530517</v>
      </c>
      <c r="AL11">
        <v>0.26167934330097087</v>
      </c>
      <c r="AM11">
        <v>0.32096946037860002</v>
      </c>
      <c r="AN11">
        <v>0</v>
      </c>
      <c r="AO11">
        <v>0</v>
      </c>
      <c r="AP11">
        <v>0</v>
      </c>
      <c r="AQ11">
        <v>0</v>
      </c>
      <c r="AR11">
        <v>0</v>
      </c>
      <c r="AS11">
        <v>0</v>
      </c>
      <c r="AT11">
        <v>0</v>
      </c>
      <c r="AU11">
        <v>0</v>
      </c>
      <c r="AV11">
        <v>0</v>
      </c>
      <c r="AW11">
        <v>35.443790801210085</v>
      </c>
      <c r="AX11">
        <v>126.70226132286322</v>
      </c>
      <c r="AY11">
        <v>72.338758234076209</v>
      </c>
      <c r="AZ11">
        <v>139.25570830757377</v>
      </c>
      <c r="BA11">
        <v>338.29672786451317</v>
      </c>
      <c r="BB11">
        <v>1.3633009708737864</v>
      </c>
      <c r="BC11">
        <v>1.1111175000000002</v>
      </c>
      <c r="BD11">
        <v>0</v>
      </c>
      <c r="BE11">
        <v>0</v>
      </c>
      <c r="BF11">
        <v>0</v>
      </c>
      <c r="BG11">
        <v>0</v>
      </c>
      <c r="BH11">
        <v>0</v>
      </c>
      <c r="BI11">
        <v>0</v>
      </c>
      <c r="BJ11">
        <v>0</v>
      </c>
      <c r="BK11">
        <v>0</v>
      </c>
      <c r="BL11">
        <v>0</v>
      </c>
      <c r="BM11">
        <v>340.77114633538696</v>
      </c>
      <c r="BN11">
        <v>5.9</v>
      </c>
      <c r="BO11">
        <v>0.5</v>
      </c>
      <c r="BP11">
        <v>2.95</v>
      </c>
      <c r="BQ11">
        <v>2.95</v>
      </c>
      <c r="BR11">
        <v>0</v>
      </c>
      <c r="BS11">
        <v>0</v>
      </c>
      <c r="BT11">
        <v>0</v>
      </c>
      <c r="BU11">
        <v>2.95</v>
      </c>
      <c r="BV11">
        <v>2.95</v>
      </c>
      <c r="BW11">
        <v>5.9</v>
      </c>
      <c r="BX11">
        <v>51.461350247798961</v>
      </c>
      <c r="BY11">
        <v>20.16886171272801</v>
      </c>
      <c r="BZ11">
        <v>30.012753377494434</v>
      </c>
      <c r="CA11">
        <v>101.64296533802143</v>
      </c>
      <c r="CB11">
        <v>32.020388349514562</v>
      </c>
      <c r="CC11">
        <v>42.963210000000004</v>
      </c>
      <c r="CD11">
        <v>0</v>
      </c>
      <c r="CE11">
        <v>0</v>
      </c>
      <c r="CF11">
        <v>0</v>
      </c>
      <c r="CG11">
        <v>0</v>
      </c>
      <c r="CH11">
        <v>0</v>
      </c>
      <c r="CI11">
        <v>0</v>
      </c>
      <c r="CJ11">
        <v>0</v>
      </c>
      <c r="CK11">
        <v>0</v>
      </c>
      <c r="CL11">
        <v>0</v>
      </c>
      <c r="CM11">
        <v>176.62656368753599</v>
      </c>
      <c r="CN11">
        <v>6504.842812538921</v>
      </c>
      <c r="CO11">
        <v>1016.7006071780914</v>
      </c>
      <c r="CP11">
        <v>2439.4812737455663</v>
      </c>
      <c r="CQ11">
        <v>9961.0246934625775</v>
      </c>
      <c r="CR11">
        <v>28.8126213592233</v>
      </c>
      <c r="CS11">
        <v>15.160581000000002</v>
      </c>
      <c r="CT11">
        <v>0</v>
      </c>
      <c r="CU11">
        <v>0</v>
      </c>
      <c r="CV11">
        <v>0</v>
      </c>
      <c r="CW11">
        <v>0</v>
      </c>
      <c r="CX11">
        <v>0</v>
      </c>
      <c r="CY11">
        <v>0</v>
      </c>
      <c r="CZ11">
        <v>0</v>
      </c>
      <c r="DA11">
        <v>0</v>
      </c>
      <c r="DB11">
        <v>0</v>
      </c>
      <c r="DC11">
        <v>10004.997895821802</v>
      </c>
      <c r="DD11">
        <v>59</v>
      </c>
      <c r="DE11">
        <v>0</v>
      </c>
      <c r="DF11" t="s">
        <v>854</v>
      </c>
      <c r="DG11" t="s">
        <v>135</v>
      </c>
      <c r="DH11">
        <v>59</v>
      </c>
      <c r="DI11">
        <v>0</v>
      </c>
      <c r="DJ11">
        <v>0</v>
      </c>
      <c r="DK11">
        <v>0</v>
      </c>
      <c r="DL11">
        <v>59</v>
      </c>
      <c r="DM11">
        <v>0</v>
      </c>
      <c r="DN11">
        <v>59</v>
      </c>
      <c r="DO11">
        <v>2.3600000000000003E-2</v>
      </c>
      <c r="DP11">
        <v>0</v>
      </c>
      <c r="DQ11" t="s">
        <v>854</v>
      </c>
      <c r="DR11" t="s">
        <v>135</v>
      </c>
      <c r="DS11">
        <v>2.3600000000000003E-2</v>
      </c>
      <c r="DT11">
        <v>0</v>
      </c>
      <c r="DU11">
        <v>2.3600000000000003E-2</v>
      </c>
      <c r="DV11">
        <v>0</v>
      </c>
      <c r="DW11">
        <v>2.3600000000000003E-2</v>
      </c>
      <c r="DX11">
        <v>5.9086681351746639</v>
      </c>
      <c r="DY11">
        <v>57.338428451612401</v>
      </c>
    </row>
    <row r="12" spans="1:129">
      <c r="A12" t="s">
        <v>1952</v>
      </c>
      <c r="B12" t="s">
        <v>1953</v>
      </c>
      <c r="C12" t="s">
        <v>1954</v>
      </c>
      <c r="D12">
        <v>1</v>
      </c>
      <c r="E12" s="195">
        <v>44600</v>
      </c>
      <c r="F12">
        <v>1</v>
      </c>
      <c r="G12">
        <v>2</v>
      </c>
      <c r="H12">
        <v>28.44</v>
      </c>
      <c r="I12" t="s">
        <v>378</v>
      </c>
      <c r="J12" t="s">
        <v>1966</v>
      </c>
      <c r="K12" t="s">
        <v>45</v>
      </c>
      <c r="M12" t="s">
        <v>237</v>
      </c>
      <c r="N12" t="s">
        <v>238</v>
      </c>
      <c r="O12" t="s">
        <v>381</v>
      </c>
      <c r="P12">
        <v>0</v>
      </c>
      <c r="R12">
        <v>2.37</v>
      </c>
      <c r="S12">
        <v>12</v>
      </c>
      <c r="U12">
        <v>28.44</v>
      </c>
      <c r="V12">
        <v>0</v>
      </c>
      <c r="X12">
        <v>10</v>
      </c>
      <c r="Y12" t="s">
        <v>1964</v>
      </c>
      <c r="Z12" t="s">
        <v>891</v>
      </c>
      <c r="AH12">
        <v>78.89526605315227</v>
      </c>
      <c r="AI12">
        <v>41.675698844090356</v>
      </c>
      <c r="AJ12">
        <v>47.471556867124846</v>
      </c>
      <c r="AK12">
        <v>168.04252176436745</v>
      </c>
      <c r="AL12">
        <v>1.2613831395728157</v>
      </c>
      <c r="AM12">
        <v>3.3235752936830401</v>
      </c>
      <c r="AN12">
        <v>0</v>
      </c>
      <c r="AO12">
        <v>0</v>
      </c>
      <c r="AP12">
        <v>0</v>
      </c>
      <c r="AQ12">
        <v>0</v>
      </c>
      <c r="AR12">
        <v>0</v>
      </c>
      <c r="AS12">
        <v>0</v>
      </c>
      <c r="AT12">
        <v>0</v>
      </c>
      <c r="AU12">
        <v>0</v>
      </c>
      <c r="AV12">
        <v>0</v>
      </c>
      <c r="AW12">
        <v>172.6274801976233</v>
      </c>
      <c r="AX12">
        <v>610.74784949529317</v>
      </c>
      <c r="AY12">
        <v>348.69733630120805</v>
      </c>
      <c r="AZ12">
        <v>671.2597193673555</v>
      </c>
      <c r="BA12">
        <v>1630.7049051638567</v>
      </c>
      <c r="BB12">
        <v>6.5715728155339814</v>
      </c>
      <c r="BC12">
        <v>11.505402</v>
      </c>
      <c r="BD12">
        <v>0</v>
      </c>
      <c r="BE12">
        <v>0</v>
      </c>
      <c r="BF12">
        <v>0</v>
      </c>
      <c r="BG12">
        <v>0</v>
      </c>
      <c r="BH12">
        <v>0</v>
      </c>
      <c r="BI12">
        <v>0</v>
      </c>
      <c r="BJ12">
        <v>0</v>
      </c>
      <c r="BK12">
        <v>0</v>
      </c>
      <c r="BL12">
        <v>0</v>
      </c>
      <c r="BM12">
        <v>1648.7818799793906</v>
      </c>
      <c r="BN12">
        <v>28.44</v>
      </c>
      <c r="BO12">
        <v>0.5</v>
      </c>
      <c r="BP12">
        <v>14.22</v>
      </c>
      <c r="BQ12">
        <v>14.22</v>
      </c>
      <c r="BR12">
        <v>0</v>
      </c>
      <c r="BS12">
        <v>0</v>
      </c>
      <c r="BT12">
        <v>0</v>
      </c>
      <c r="BU12">
        <v>14.22</v>
      </c>
      <c r="BV12">
        <v>14.22</v>
      </c>
      <c r="BW12">
        <v>28.44</v>
      </c>
      <c r="BX12">
        <v>248.06115271989873</v>
      </c>
      <c r="BY12">
        <v>97.220750357624496</v>
      </c>
      <c r="BZ12">
        <v>144.67164509422742</v>
      </c>
      <c r="CA12">
        <v>489.9535481717507</v>
      </c>
      <c r="CB12">
        <v>154.34912621359223</v>
      </c>
      <c r="CC12">
        <v>444.87554399999993</v>
      </c>
      <c r="CD12">
        <v>0</v>
      </c>
      <c r="CE12">
        <v>0</v>
      </c>
      <c r="CF12">
        <v>0</v>
      </c>
      <c r="CG12">
        <v>0</v>
      </c>
      <c r="CH12">
        <v>0</v>
      </c>
      <c r="CI12">
        <v>0</v>
      </c>
      <c r="CJ12">
        <v>0</v>
      </c>
      <c r="CK12">
        <v>0</v>
      </c>
      <c r="CL12">
        <v>0</v>
      </c>
      <c r="CM12">
        <v>1089.1782183853429</v>
      </c>
      <c r="CN12">
        <v>31355.547387899474</v>
      </c>
      <c r="CO12">
        <v>4900.8415708720204</v>
      </c>
      <c r="CP12">
        <v>11759.126682258289</v>
      </c>
      <c r="CQ12">
        <v>48015.515641029786</v>
      </c>
      <c r="CR12">
        <v>138.88660194174759</v>
      </c>
      <c r="CS12">
        <v>156.98481839999999</v>
      </c>
      <c r="CT12">
        <v>0</v>
      </c>
      <c r="CU12">
        <v>0</v>
      </c>
      <c r="CV12">
        <v>0</v>
      </c>
      <c r="CW12">
        <v>0</v>
      </c>
      <c r="CX12">
        <v>0</v>
      </c>
      <c r="CY12">
        <v>0</v>
      </c>
      <c r="CZ12">
        <v>0</v>
      </c>
      <c r="DA12">
        <v>0</v>
      </c>
      <c r="DB12">
        <v>0</v>
      </c>
      <c r="DC12">
        <v>48311.387061371533</v>
      </c>
      <c r="DD12">
        <v>284.40000000000003</v>
      </c>
      <c r="DE12">
        <v>0</v>
      </c>
      <c r="DF12" t="s">
        <v>854</v>
      </c>
      <c r="DG12" t="s">
        <v>135</v>
      </c>
      <c r="DH12">
        <v>284</v>
      </c>
      <c r="DI12">
        <v>0</v>
      </c>
      <c r="DJ12">
        <v>0</v>
      </c>
      <c r="DK12">
        <v>0</v>
      </c>
      <c r="DL12">
        <v>284.40000000000003</v>
      </c>
      <c r="DM12">
        <v>0</v>
      </c>
      <c r="DN12">
        <v>284.40000000000003</v>
      </c>
      <c r="DO12">
        <v>0.56879999999999997</v>
      </c>
      <c r="DP12">
        <v>0</v>
      </c>
      <c r="DQ12" t="s">
        <v>854</v>
      </c>
      <c r="DR12" t="s">
        <v>135</v>
      </c>
      <c r="DS12">
        <v>0.56879999999999997</v>
      </c>
      <c r="DT12">
        <v>0</v>
      </c>
      <c r="DU12">
        <v>0.56879999999999997</v>
      </c>
      <c r="DV12">
        <v>0</v>
      </c>
      <c r="DW12">
        <v>0.56879999999999997</v>
      </c>
      <c r="DX12">
        <v>5.9086681351746639</v>
      </c>
      <c r="DY12">
        <v>57.338428451612401</v>
      </c>
    </row>
    <row r="13" spans="1:129">
      <c r="A13" t="s">
        <v>1952</v>
      </c>
      <c r="B13" t="s">
        <v>1953</v>
      </c>
      <c r="C13" t="s">
        <v>1954</v>
      </c>
      <c r="D13">
        <v>1</v>
      </c>
      <c r="E13" s="195">
        <v>44600</v>
      </c>
      <c r="F13">
        <v>1</v>
      </c>
      <c r="G13">
        <v>2</v>
      </c>
      <c r="H13">
        <v>169</v>
      </c>
      <c r="I13" t="s">
        <v>378</v>
      </c>
      <c r="J13" t="s">
        <v>1967</v>
      </c>
      <c r="K13" t="s">
        <v>45</v>
      </c>
      <c r="M13" t="s">
        <v>237</v>
      </c>
      <c r="N13" t="s">
        <v>525</v>
      </c>
      <c r="O13" t="s">
        <v>377</v>
      </c>
      <c r="P13">
        <v>0</v>
      </c>
      <c r="R13">
        <v>2.35</v>
      </c>
      <c r="S13">
        <v>71.914893617021278</v>
      </c>
      <c r="U13">
        <v>169</v>
      </c>
      <c r="V13">
        <v>0</v>
      </c>
      <c r="X13">
        <v>10</v>
      </c>
      <c r="Y13" t="s">
        <v>1964</v>
      </c>
      <c r="Z13" t="s">
        <v>895</v>
      </c>
      <c r="AH13">
        <v>1267.8739074652747</v>
      </c>
      <c r="AI13">
        <v>629.1955646813592</v>
      </c>
      <c r="AJ13">
        <v>289.29900492182583</v>
      </c>
      <c r="AK13">
        <v>2186.3684770684595</v>
      </c>
      <c r="AL13">
        <v>7.495560850485437</v>
      </c>
      <c r="AM13">
        <v>9.1938709837260006</v>
      </c>
      <c r="AN13">
        <v>13.871495414613253</v>
      </c>
      <c r="AO13">
        <v>0</v>
      </c>
      <c r="AP13">
        <v>0</v>
      </c>
      <c r="AQ13">
        <v>0</v>
      </c>
      <c r="AR13">
        <v>0</v>
      </c>
      <c r="AS13">
        <v>0</v>
      </c>
      <c r="AT13">
        <v>0</v>
      </c>
      <c r="AU13">
        <v>0</v>
      </c>
      <c r="AV13">
        <v>0</v>
      </c>
      <c r="AW13">
        <v>2216.929404317284</v>
      </c>
      <c r="AX13">
        <v>9997.9201068359525</v>
      </c>
      <c r="AY13">
        <v>5265.0158696485987</v>
      </c>
      <c r="AZ13">
        <v>4054.1160476768746</v>
      </c>
      <c r="BA13">
        <v>19317.052024161425</v>
      </c>
      <c r="BB13">
        <v>39.050485436893204</v>
      </c>
      <c r="BC13">
        <v>31.826925000000003</v>
      </c>
      <c r="BD13">
        <v>0</v>
      </c>
      <c r="BE13">
        <v>0</v>
      </c>
      <c r="BF13">
        <v>0</v>
      </c>
      <c r="BG13">
        <v>0</v>
      </c>
      <c r="BH13">
        <v>0</v>
      </c>
      <c r="BI13">
        <v>0</v>
      </c>
      <c r="BJ13">
        <v>0</v>
      </c>
      <c r="BK13">
        <v>0</v>
      </c>
      <c r="BL13">
        <v>0</v>
      </c>
      <c r="BM13">
        <v>19387.929434598318</v>
      </c>
      <c r="BN13">
        <v>169</v>
      </c>
      <c r="BO13">
        <v>0</v>
      </c>
      <c r="BP13">
        <v>169</v>
      </c>
      <c r="BQ13">
        <v>0</v>
      </c>
      <c r="BR13">
        <v>0</v>
      </c>
      <c r="BS13">
        <v>0</v>
      </c>
      <c r="BT13">
        <v>0</v>
      </c>
      <c r="BU13">
        <v>169</v>
      </c>
      <c r="BV13">
        <v>0</v>
      </c>
      <c r="BW13">
        <v>169</v>
      </c>
      <c r="BX13">
        <v>4280.0002402034606</v>
      </c>
      <c r="BY13">
        <v>1474.0837693404737</v>
      </c>
      <c r="BZ13">
        <v>1189.4472656600599</v>
      </c>
      <c r="CA13">
        <v>6943.5312752039945</v>
      </c>
      <c r="CB13">
        <v>917.19417475728142</v>
      </c>
      <c r="CC13">
        <v>1230.6411000000001</v>
      </c>
      <c r="CD13">
        <v>0</v>
      </c>
      <c r="CE13">
        <v>0</v>
      </c>
      <c r="CF13">
        <v>0</v>
      </c>
      <c r="CG13">
        <v>0</v>
      </c>
      <c r="CH13">
        <v>0</v>
      </c>
      <c r="CI13">
        <v>0</v>
      </c>
      <c r="CJ13">
        <v>0</v>
      </c>
      <c r="CK13">
        <v>0</v>
      </c>
      <c r="CL13">
        <v>0</v>
      </c>
      <c r="CM13">
        <v>9091.3665499612762</v>
      </c>
      <c r="CN13">
        <v>529656.75466923928</v>
      </c>
      <c r="CO13">
        <v>73852.960912209193</v>
      </c>
      <c r="CP13">
        <v>70153.899925742982</v>
      </c>
      <c r="CQ13">
        <v>673663.6155071914</v>
      </c>
      <c r="CR13">
        <v>825.31067961165047</v>
      </c>
      <c r="CS13">
        <v>434.26071000000002</v>
      </c>
      <c r="CT13">
        <v>0</v>
      </c>
      <c r="CU13">
        <v>0</v>
      </c>
      <c r="CV13">
        <v>0</v>
      </c>
      <c r="CW13">
        <v>0</v>
      </c>
      <c r="CX13">
        <v>0</v>
      </c>
      <c r="CY13">
        <v>0</v>
      </c>
      <c r="CZ13">
        <v>0</v>
      </c>
      <c r="DA13">
        <v>0</v>
      </c>
      <c r="DB13">
        <v>0</v>
      </c>
      <c r="DC13">
        <v>674923.18689680297</v>
      </c>
      <c r="DD13">
        <v>1690</v>
      </c>
      <c r="DE13">
        <v>0</v>
      </c>
      <c r="DF13" t="s">
        <v>854</v>
      </c>
      <c r="DG13" t="s">
        <v>135</v>
      </c>
      <c r="DH13">
        <v>1690</v>
      </c>
      <c r="DI13">
        <v>0</v>
      </c>
      <c r="DJ13">
        <v>0</v>
      </c>
      <c r="DK13">
        <v>0</v>
      </c>
      <c r="DL13">
        <v>1690</v>
      </c>
      <c r="DM13">
        <v>0</v>
      </c>
      <c r="DN13">
        <v>1690</v>
      </c>
      <c r="DO13">
        <v>0.67600000000000005</v>
      </c>
      <c r="DP13">
        <v>0</v>
      </c>
      <c r="DQ13" t="s">
        <v>854</v>
      </c>
      <c r="DR13" t="s">
        <v>135</v>
      </c>
      <c r="DS13">
        <v>0.67600000000000005</v>
      </c>
      <c r="DT13">
        <v>0</v>
      </c>
      <c r="DU13">
        <v>0.67600000000000005</v>
      </c>
      <c r="DV13">
        <v>0</v>
      </c>
      <c r="DW13">
        <v>0.67600000000000005</v>
      </c>
      <c r="DX13">
        <v>12.937091580286742</v>
      </c>
      <c r="DY13">
        <v>114.3020829832037</v>
      </c>
    </row>
    <row r="14" spans="1:129">
      <c r="A14" t="s">
        <v>1952</v>
      </c>
      <c r="B14" t="s">
        <v>1953</v>
      </c>
      <c r="C14" t="s">
        <v>1954</v>
      </c>
      <c r="D14">
        <v>1</v>
      </c>
      <c r="E14" s="195">
        <v>44600</v>
      </c>
      <c r="F14">
        <v>1</v>
      </c>
      <c r="G14">
        <v>3</v>
      </c>
      <c r="H14">
        <v>130</v>
      </c>
      <c r="I14" t="s">
        <v>385</v>
      </c>
      <c r="J14" t="s">
        <v>1968</v>
      </c>
      <c r="K14" t="s">
        <v>45</v>
      </c>
      <c r="M14" t="s">
        <v>55</v>
      </c>
      <c r="N14" t="s">
        <v>56</v>
      </c>
      <c r="O14" t="s">
        <v>384</v>
      </c>
      <c r="P14">
        <v>0</v>
      </c>
      <c r="R14">
        <v>2.4</v>
      </c>
      <c r="S14">
        <v>9.7283333333333353</v>
      </c>
      <c r="T14">
        <v>12.5</v>
      </c>
      <c r="U14">
        <v>23.348000000000003</v>
      </c>
      <c r="V14">
        <v>0</v>
      </c>
      <c r="X14">
        <v>10</v>
      </c>
      <c r="Y14" t="s">
        <v>1964</v>
      </c>
      <c r="AA14" t="s">
        <v>937</v>
      </c>
      <c r="AH14">
        <v>206.173565</v>
      </c>
      <c r="AI14">
        <v>14.8080049</v>
      </c>
      <c r="AJ14">
        <v>10.80842854</v>
      </c>
      <c r="AK14">
        <v>231.78999844000001</v>
      </c>
      <c r="AL14">
        <v>1.0355405605747574</v>
      </c>
      <c r="AM14">
        <v>50.669542727698143</v>
      </c>
      <c r="AN14">
        <v>0</v>
      </c>
      <c r="AO14">
        <v>0</v>
      </c>
      <c r="AP14">
        <v>0</v>
      </c>
      <c r="AQ14">
        <v>0</v>
      </c>
      <c r="AR14">
        <v>0</v>
      </c>
      <c r="AS14">
        <v>0</v>
      </c>
      <c r="AT14">
        <v>0</v>
      </c>
      <c r="AU14">
        <v>0</v>
      </c>
      <c r="AV14">
        <v>0</v>
      </c>
      <c r="AW14">
        <v>283.49508172827291</v>
      </c>
      <c r="AX14">
        <v>2859.6438000000003</v>
      </c>
      <c r="AY14">
        <v>125.3176756</v>
      </c>
      <c r="AZ14">
        <v>151.83574899999999</v>
      </c>
      <c r="BA14">
        <v>3136.7972246000004</v>
      </c>
      <c r="BB14">
        <v>5.3949747572815534</v>
      </c>
      <c r="BC14">
        <v>565.71393051351845</v>
      </c>
      <c r="BD14">
        <v>0</v>
      </c>
      <c r="BE14">
        <v>0</v>
      </c>
      <c r="BF14">
        <v>0</v>
      </c>
      <c r="BG14">
        <v>0</v>
      </c>
      <c r="BH14">
        <v>0</v>
      </c>
      <c r="BI14">
        <v>0</v>
      </c>
      <c r="BJ14">
        <v>0</v>
      </c>
      <c r="BK14">
        <v>0</v>
      </c>
      <c r="BL14">
        <v>0</v>
      </c>
      <c r="BM14">
        <v>3707.9061298708002</v>
      </c>
      <c r="BN14">
        <v>23.348000000000003</v>
      </c>
      <c r="BO14">
        <v>5.7906458797327399E-2</v>
      </c>
      <c r="BP14">
        <v>21.996000000000002</v>
      </c>
      <c r="BQ14">
        <v>1.3520000000000003</v>
      </c>
      <c r="BR14">
        <v>0</v>
      </c>
      <c r="BS14">
        <v>0</v>
      </c>
      <c r="BT14">
        <v>0</v>
      </c>
      <c r="BU14">
        <v>21.996000000000002</v>
      </c>
      <c r="BV14">
        <v>1.3520000000000003</v>
      </c>
      <c r="BW14">
        <v>23.348000000000003</v>
      </c>
      <c r="BX14">
        <v>2498.0458100000001</v>
      </c>
      <c r="BY14">
        <v>26.390113100000001</v>
      </c>
      <c r="BZ14">
        <v>192.26862199999999</v>
      </c>
      <c r="CA14">
        <v>2716.7045450999999</v>
      </c>
      <c r="CB14">
        <v>126.71390291262135</v>
      </c>
      <c r="CC14">
        <v>137.73414920757864</v>
      </c>
      <c r="CD14">
        <v>0</v>
      </c>
      <c r="CE14">
        <v>0</v>
      </c>
      <c r="CF14">
        <v>0</v>
      </c>
      <c r="CG14">
        <v>0</v>
      </c>
      <c r="CH14">
        <v>0</v>
      </c>
      <c r="CI14">
        <v>0</v>
      </c>
      <c r="CJ14">
        <v>0</v>
      </c>
      <c r="CK14">
        <v>0</v>
      </c>
      <c r="CL14">
        <v>0</v>
      </c>
      <c r="CM14">
        <v>2981.1525972201998</v>
      </c>
      <c r="CN14">
        <v>16098.9894</v>
      </c>
      <c r="CO14">
        <v>2062.1188900000002</v>
      </c>
      <c r="CP14">
        <v>2489.7521999999999</v>
      </c>
      <c r="CQ14">
        <v>20650.860489999999</v>
      </c>
      <c r="CR14">
        <v>114.01984466019418</v>
      </c>
      <c r="CS14">
        <v>7812.8232286318053</v>
      </c>
      <c r="CT14">
        <v>0</v>
      </c>
      <c r="CU14">
        <v>0</v>
      </c>
      <c r="CV14">
        <v>0</v>
      </c>
      <c r="CW14">
        <v>0</v>
      </c>
      <c r="CX14">
        <v>0</v>
      </c>
      <c r="CY14">
        <v>0</v>
      </c>
      <c r="CZ14">
        <v>0</v>
      </c>
      <c r="DA14">
        <v>0</v>
      </c>
      <c r="DB14">
        <v>0</v>
      </c>
      <c r="DC14">
        <v>28577.703563291998</v>
      </c>
      <c r="DD14">
        <v>233.48000000000002</v>
      </c>
      <c r="DE14">
        <v>0</v>
      </c>
      <c r="DF14" t="s">
        <v>854</v>
      </c>
      <c r="DG14" t="s">
        <v>135</v>
      </c>
      <c r="DH14">
        <v>233</v>
      </c>
      <c r="DI14">
        <v>0</v>
      </c>
      <c r="DJ14">
        <v>0</v>
      </c>
      <c r="DK14">
        <v>0</v>
      </c>
      <c r="DL14">
        <v>233.48000000000002</v>
      </c>
      <c r="DM14">
        <v>0</v>
      </c>
      <c r="DN14">
        <v>233.48000000000002</v>
      </c>
      <c r="DO14">
        <v>10.4</v>
      </c>
      <c r="DP14">
        <v>0</v>
      </c>
      <c r="DQ14" t="s">
        <v>135</v>
      </c>
      <c r="DR14" t="s">
        <v>135</v>
      </c>
      <c r="DS14">
        <v>0</v>
      </c>
      <c r="DT14">
        <v>0</v>
      </c>
      <c r="DU14">
        <v>0</v>
      </c>
      <c r="DV14">
        <v>10.4</v>
      </c>
      <c r="DW14">
        <v>10.4</v>
      </c>
      <c r="DX14">
        <v>1.782999988</v>
      </c>
      <c r="DY14">
        <v>24.129209420000002</v>
      </c>
    </row>
    <row r="15" spans="1:129">
      <c r="A15" t="s">
        <v>1952</v>
      </c>
      <c r="B15" t="s">
        <v>1953</v>
      </c>
      <c r="C15" t="s">
        <v>1954</v>
      </c>
      <c r="D15">
        <v>1</v>
      </c>
      <c r="E15" s="195">
        <v>44600</v>
      </c>
      <c r="F15">
        <v>1</v>
      </c>
      <c r="G15">
        <v>3</v>
      </c>
      <c r="H15">
        <v>110</v>
      </c>
      <c r="I15" t="s">
        <v>385</v>
      </c>
      <c r="J15" t="s">
        <v>1969</v>
      </c>
      <c r="K15" t="s">
        <v>45</v>
      </c>
      <c r="M15" t="s">
        <v>55</v>
      </c>
      <c r="N15" t="s">
        <v>56</v>
      </c>
      <c r="O15" t="s">
        <v>384</v>
      </c>
      <c r="P15">
        <v>0</v>
      </c>
      <c r="R15">
        <v>2.4</v>
      </c>
      <c r="S15">
        <v>8.2316666666666674</v>
      </c>
      <c r="T15">
        <v>12.5</v>
      </c>
      <c r="U15">
        <v>19.756</v>
      </c>
      <c r="V15">
        <v>0</v>
      </c>
      <c r="X15">
        <v>10</v>
      </c>
      <c r="Y15" t="s">
        <v>224</v>
      </c>
      <c r="AA15" t="s">
        <v>937</v>
      </c>
      <c r="AH15">
        <v>174.454555</v>
      </c>
      <c r="AI15">
        <v>12.5298503</v>
      </c>
      <c r="AJ15">
        <v>9.1455933799999993</v>
      </c>
      <c r="AK15">
        <v>196.12999868</v>
      </c>
      <c r="AL15">
        <v>1.8727470904498171</v>
      </c>
      <c r="AM15">
        <v>42.904124075766561</v>
      </c>
      <c r="AN15">
        <v>0</v>
      </c>
      <c r="AO15">
        <v>0</v>
      </c>
      <c r="AP15">
        <v>0</v>
      </c>
      <c r="AQ15">
        <v>0</v>
      </c>
      <c r="AR15">
        <v>0</v>
      </c>
      <c r="AS15">
        <v>0</v>
      </c>
      <c r="AT15">
        <v>0</v>
      </c>
      <c r="AU15">
        <v>0</v>
      </c>
      <c r="AV15">
        <v>0</v>
      </c>
      <c r="AW15">
        <v>240.90686984621638</v>
      </c>
      <c r="AX15">
        <v>2419.6986000000002</v>
      </c>
      <c r="AY15">
        <v>106.0380332</v>
      </c>
      <c r="AZ15">
        <v>128.476403</v>
      </c>
      <c r="BA15">
        <v>2654.2130362000003</v>
      </c>
      <c r="BB15">
        <v>16.691407594839998</v>
      </c>
      <c r="BC15">
        <v>479.04481099544523</v>
      </c>
      <c r="BD15">
        <v>0</v>
      </c>
      <c r="BE15">
        <v>0</v>
      </c>
      <c r="BF15">
        <v>0</v>
      </c>
      <c r="BG15">
        <v>0</v>
      </c>
      <c r="BH15">
        <v>0</v>
      </c>
      <c r="BI15">
        <v>0</v>
      </c>
      <c r="BJ15">
        <v>0</v>
      </c>
      <c r="BK15">
        <v>0</v>
      </c>
      <c r="BL15">
        <v>0</v>
      </c>
      <c r="BM15">
        <v>3149.9492547902855</v>
      </c>
      <c r="BN15">
        <v>19.756</v>
      </c>
      <c r="BO15">
        <v>5.7906458797327399E-2</v>
      </c>
      <c r="BP15">
        <v>18.612000000000002</v>
      </c>
      <c r="BQ15">
        <v>1.1440000000000001</v>
      </c>
      <c r="BR15">
        <v>0</v>
      </c>
      <c r="BS15">
        <v>0</v>
      </c>
      <c r="BT15">
        <v>0</v>
      </c>
      <c r="BU15">
        <v>18.612000000000002</v>
      </c>
      <c r="BV15">
        <v>1.1440000000000001</v>
      </c>
      <c r="BW15">
        <v>19.756</v>
      </c>
      <c r="BX15">
        <v>2113.7310700000003</v>
      </c>
      <c r="BY15">
        <v>22.330095700000001</v>
      </c>
      <c r="BZ15">
        <v>162.68883399999999</v>
      </c>
      <c r="CA15">
        <v>2298.7499997</v>
      </c>
      <c r="CB15">
        <v>4.5131556663600003</v>
      </c>
      <c r="CC15">
        <v>113.46309107939081</v>
      </c>
      <c r="CD15">
        <v>0</v>
      </c>
      <c r="CE15">
        <v>0</v>
      </c>
      <c r="CF15">
        <v>0</v>
      </c>
      <c r="CG15">
        <v>0</v>
      </c>
      <c r="CH15">
        <v>0</v>
      </c>
      <c r="CI15">
        <v>0</v>
      </c>
      <c r="CJ15">
        <v>0</v>
      </c>
      <c r="CK15">
        <v>0</v>
      </c>
      <c r="CL15">
        <v>0</v>
      </c>
      <c r="CM15">
        <v>2416.7262464457508</v>
      </c>
      <c r="CN15">
        <v>13622.221799999999</v>
      </c>
      <c r="CO15">
        <v>1744.8698300000001</v>
      </c>
      <c r="CP15">
        <v>2106.7134000000001</v>
      </c>
      <c r="CQ15">
        <v>17473.80503</v>
      </c>
      <c r="CR15">
        <v>288.57051836800002</v>
      </c>
      <c r="CS15">
        <v>6616.6131898750409</v>
      </c>
      <c r="CT15">
        <v>0</v>
      </c>
      <c r="CU15">
        <v>0</v>
      </c>
      <c r="CV15">
        <v>0</v>
      </c>
      <c r="CW15">
        <v>0</v>
      </c>
      <c r="CX15">
        <v>0</v>
      </c>
      <c r="CY15">
        <v>0</v>
      </c>
      <c r="CZ15">
        <v>0</v>
      </c>
      <c r="DA15">
        <v>0</v>
      </c>
      <c r="DB15">
        <v>0</v>
      </c>
      <c r="DC15">
        <v>24378.988738243039</v>
      </c>
      <c r="DD15">
        <v>197.56</v>
      </c>
      <c r="DE15">
        <v>0</v>
      </c>
      <c r="DF15" t="s">
        <v>135</v>
      </c>
      <c r="DG15" t="s">
        <v>135</v>
      </c>
      <c r="DH15">
        <v>0</v>
      </c>
      <c r="DI15">
        <v>0</v>
      </c>
      <c r="DJ15">
        <v>0</v>
      </c>
      <c r="DK15">
        <v>0</v>
      </c>
      <c r="DL15">
        <v>0</v>
      </c>
      <c r="DM15">
        <v>197.56</v>
      </c>
      <c r="DN15">
        <v>197.56</v>
      </c>
      <c r="DO15">
        <v>8.8000000000000007</v>
      </c>
      <c r="DP15">
        <v>0</v>
      </c>
      <c r="DQ15" t="s">
        <v>135</v>
      </c>
      <c r="DR15" t="s">
        <v>135</v>
      </c>
      <c r="DS15">
        <v>0</v>
      </c>
      <c r="DT15">
        <v>0</v>
      </c>
      <c r="DU15">
        <v>0</v>
      </c>
      <c r="DV15">
        <v>8.8000000000000007</v>
      </c>
      <c r="DW15">
        <v>8.8000000000000007</v>
      </c>
      <c r="DX15">
        <v>1.782999988</v>
      </c>
      <c r="DY15">
        <v>24.129209420000002</v>
      </c>
    </row>
    <row r="16" spans="1:129">
      <c r="A16" t="s">
        <v>1952</v>
      </c>
      <c r="B16" t="s">
        <v>1953</v>
      </c>
      <c r="C16" t="s">
        <v>1954</v>
      </c>
      <c r="D16">
        <v>1</v>
      </c>
      <c r="E16" s="195">
        <v>44600</v>
      </c>
      <c r="F16">
        <v>1</v>
      </c>
      <c r="G16">
        <v>3</v>
      </c>
      <c r="H16">
        <v>95</v>
      </c>
      <c r="I16" t="s">
        <v>385</v>
      </c>
      <c r="J16" t="s">
        <v>1970</v>
      </c>
      <c r="K16" t="s">
        <v>45</v>
      </c>
      <c r="M16" t="s">
        <v>55</v>
      </c>
      <c r="N16" t="s">
        <v>235</v>
      </c>
      <c r="O16" t="s">
        <v>630</v>
      </c>
      <c r="P16">
        <v>0</v>
      </c>
      <c r="R16">
        <v>2.4</v>
      </c>
      <c r="S16">
        <v>4.1364583333333336</v>
      </c>
      <c r="T16">
        <v>12.5</v>
      </c>
      <c r="U16">
        <v>9.9275000000000002</v>
      </c>
      <c r="V16">
        <v>0</v>
      </c>
      <c r="X16">
        <v>10</v>
      </c>
      <c r="Y16" t="s">
        <v>224</v>
      </c>
      <c r="AA16" t="s">
        <v>937</v>
      </c>
      <c r="AH16">
        <v>144.49879999999996</v>
      </c>
      <c r="AI16">
        <v>0</v>
      </c>
      <c r="AJ16">
        <v>0</v>
      </c>
      <c r="AK16">
        <v>91.494500000000002</v>
      </c>
      <c r="AL16">
        <v>0.94106584027336304</v>
      </c>
      <c r="AM16">
        <v>34.69655753659039</v>
      </c>
      <c r="AN16">
        <v>0</v>
      </c>
      <c r="AO16">
        <v>0</v>
      </c>
      <c r="AP16">
        <v>0</v>
      </c>
      <c r="AQ16">
        <v>0</v>
      </c>
      <c r="AR16">
        <v>0</v>
      </c>
      <c r="AS16">
        <v>0</v>
      </c>
      <c r="AT16">
        <v>0</v>
      </c>
      <c r="AU16">
        <v>0</v>
      </c>
      <c r="AV16">
        <v>0</v>
      </c>
      <c r="AW16">
        <v>127.13212337686376</v>
      </c>
      <c r="AX16">
        <v>1165.1019450000001</v>
      </c>
      <c r="AY16">
        <v>68.402234399999998</v>
      </c>
      <c r="AZ16">
        <v>62.413253900000001</v>
      </c>
      <c r="BA16">
        <v>1295.9174333000001</v>
      </c>
      <c r="BB16">
        <v>8.3875252529749993</v>
      </c>
      <c r="BC16">
        <v>383.64896129978922</v>
      </c>
      <c r="BD16">
        <v>0</v>
      </c>
      <c r="BE16">
        <v>0</v>
      </c>
      <c r="BF16">
        <v>0</v>
      </c>
      <c r="BG16">
        <v>0</v>
      </c>
      <c r="BH16">
        <v>0</v>
      </c>
      <c r="BI16">
        <v>0</v>
      </c>
      <c r="BJ16">
        <v>0</v>
      </c>
      <c r="BK16">
        <v>0</v>
      </c>
      <c r="BL16">
        <v>0</v>
      </c>
      <c r="BM16">
        <v>1687.9539198527641</v>
      </c>
      <c r="BN16">
        <v>9.9275000000000002</v>
      </c>
      <c r="BO16">
        <v>0.11177052423343201</v>
      </c>
      <c r="BP16">
        <v>8.8178981206726021</v>
      </c>
      <c r="BQ16">
        <v>1.1096018793273985</v>
      </c>
      <c r="BR16">
        <v>0</v>
      </c>
      <c r="BS16">
        <v>0</v>
      </c>
      <c r="BT16">
        <v>0</v>
      </c>
      <c r="BU16">
        <v>8.8178981206726021</v>
      </c>
      <c r="BV16">
        <v>1.1096018793273985</v>
      </c>
      <c r="BW16">
        <v>9.9275000000000002</v>
      </c>
      <c r="BX16">
        <v>1021.77269</v>
      </c>
      <c r="BY16">
        <v>14.404534600000002</v>
      </c>
      <c r="BZ16">
        <v>79.033497249999996</v>
      </c>
      <c r="CA16">
        <v>1115.21072185</v>
      </c>
      <c r="CB16">
        <v>2.267885851275</v>
      </c>
      <c r="CC16">
        <v>71.839755137838239</v>
      </c>
      <c r="CD16">
        <v>0</v>
      </c>
      <c r="CE16">
        <v>0</v>
      </c>
      <c r="CF16">
        <v>0</v>
      </c>
      <c r="CG16">
        <v>0</v>
      </c>
      <c r="CH16">
        <v>0</v>
      </c>
      <c r="CI16">
        <v>0</v>
      </c>
      <c r="CJ16">
        <v>0</v>
      </c>
      <c r="CK16">
        <v>0</v>
      </c>
      <c r="CL16">
        <v>0</v>
      </c>
      <c r="CM16">
        <v>1189.3183628391132</v>
      </c>
      <c r="CN16">
        <v>6462.5334599999996</v>
      </c>
      <c r="CO16">
        <v>1125.5677900000001</v>
      </c>
      <c r="CP16">
        <v>1023.43177</v>
      </c>
      <c r="CQ16">
        <v>8611.5330200000008</v>
      </c>
      <c r="CR16">
        <v>145.00829222000002</v>
      </c>
      <c r="CS16">
        <v>5516.8369914145997</v>
      </c>
      <c r="CT16">
        <v>0</v>
      </c>
      <c r="CU16">
        <v>0</v>
      </c>
      <c r="CV16">
        <v>0</v>
      </c>
      <c r="CW16">
        <v>0</v>
      </c>
      <c r="CX16">
        <v>0</v>
      </c>
      <c r="CY16">
        <v>0</v>
      </c>
      <c r="CZ16">
        <v>0</v>
      </c>
      <c r="DA16">
        <v>0</v>
      </c>
      <c r="DB16">
        <v>0</v>
      </c>
      <c r="DC16">
        <v>14273.378303634599</v>
      </c>
      <c r="DD16">
        <v>99.275000000000006</v>
      </c>
      <c r="DE16">
        <v>0</v>
      </c>
      <c r="DF16" t="s">
        <v>135</v>
      </c>
      <c r="DG16" t="s">
        <v>135</v>
      </c>
      <c r="DH16">
        <v>0</v>
      </c>
      <c r="DI16">
        <v>0</v>
      </c>
      <c r="DJ16">
        <v>0</v>
      </c>
      <c r="DK16">
        <v>0</v>
      </c>
      <c r="DL16">
        <v>0</v>
      </c>
      <c r="DM16">
        <v>99.275000000000006</v>
      </c>
      <c r="DN16">
        <v>99.275000000000006</v>
      </c>
      <c r="DO16">
        <v>7.6</v>
      </c>
      <c r="DP16">
        <v>0</v>
      </c>
      <c r="DQ16" t="s">
        <v>135</v>
      </c>
      <c r="DR16" t="s">
        <v>135</v>
      </c>
      <c r="DS16">
        <v>0</v>
      </c>
      <c r="DT16">
        <v>0</v>
      </c>
      <c r="DU16">
        <v>0</v>
      </c>
      <c r="DV16">
        <v>7.6</v>
      </c>
      <c r="DW16">
        <v>7.6</v>
      </c>
      <c r="DX16">
        <v>0.96310000000000007</v>
      </c>
      <c r="DY16">
        <v>13.64123614</v>
      </c>
    </row>
    <row r="17" spans="1:129">
      <c r="A17" t="s">
        <v>1952</v>
      </c>
      <c r="B17" t="s">
        <v>1953</v>
      </c>
      <c r="C17" t="s">
        <v>1954</v>
      </c>
      <c r="D17">
        <v>1</v>
      </c>
      <c r="E17" s="195">
        <v>44600</v>
      </c>
      <c r="F17">
        <v>1</v>
      </c>
      <c r="G17">
        <v>3</v>
      </c>
      <c r="H17">
        <v>225</v>
      </c>
      <c r="I17" t="s">
        <v>389</v>
      </c>
      <c r="J17" t="s">
        <v>1971</v>
      </c>
      <c r="K17" t="s">
        <v>45</v>
      </c>
      <c r="M17" t="s">
        <v>55</v>
      </c>
      <c r="N17" t="s">
        <v>617</v>
      </c>
      <c r="O17" t="s">
        <v>388</v>
      </c>
      <c r="P17">
        <v>0</v>
      </c>
      <c r="R17">
        <v>2.4</v>
      </c>
      <c r="S17">
        <v>17.915624999999999</v>
      </c>
      <c r="T17">
        <v>18</v>
      </c>
      <c r="U17">
        <v>42.997499999999995</v>
      </c>
      <c r="V17">
        <v>0</v>
      </c>
      <c r="X17">
        <v>10</v>
      </c>
      <c r="Y17" t="s">
        <v>224</v>
      </c>
      <c r="AA17" t="s">
        <v>937</v>
      </c>
      <c r="AH17">
        <v>0</v>
      </c>
      <c r="AI17">
        <v>0</v>
      </c>
      <c r="AJ17">
        <v>0</v>
      </c>
      <c r="AK17">
        <v>403.44884999999999</v>
      </c>
      <c r="AL17">
        <v>4.0758981079983805</v>
      </c>
      <c r="AM17">
        <v>64.731483498144868</v>
      </c>
      <c r="AN17">
        <v>0</v>
      </c>
      <c r="AO17">
        <v>0</v>
      </c>
      <c r="AP17">
        <v>0</v>
      </c>
      <c r="AQ17">
        <v>0</v>
      </c>
      <c r="AR17">
        <v>0</v>
      </c>
      <c r="AS17">
        <v>0</v>
      </c>
      <c r="AT17">
        <v>0</v>
      </c>
      <c r="AU17">
        <v>0</v>
      </c>
      <c r="AV17">
        <v>0</v>
      </c>
      <c r="AW17">
        <v>472.25623160614327</v>
      </c>
      <c r="AX17">
        <v>5150.977177499999</v>
      </c>
      <c r="AY17">
        <v>302.40987525000003</v>
      </c>
      <c r="AZ17">
        <v>275.93227934999999</v>
      </c>
      <c r="BA17">
        <v>5729.3193320999999</v>
      </c>
      <c r="BB17">
        <v>36.327637075274993</v>
      </c>
      <c r="BC17">
        <v>739.61383760025819</v>
      </c>
      <c r="BD17">
        <v>0</v>
      </c>
      <c r="BE17">
        <v>0</v>
      </c>
      <c r="BF17">
        <v>0</v>
      </c>
      <c r="BG17">
        <v>0</v>
      </c>
      <c r="BH17">
        <v>0</v>
      </c>
      <c r="BI17">
        <v>0</v>
      </c>
      <c r="BJ17">
        <v>0</v>
      </c>
      <c r="BK17">
        <v>0</v>
      </c>
      <c r="BL17">
        <v>0</v>
      </c>
      <c r="BM17">
        <v>6505.2608067755327</v>
      </c>
      <c r="BN17">
        <v>42.997499999999995</v>
      </c>
      <c r="BO17">
        <v>0</v>
      </c>
      <c r="BP17">
        <v>42.997499999999995</v>
      </c>
      <c r="BQ17">
        <v>0</v>
      </c>
      <c r="BR17">
        <v>0</v>
      </c>
      <c r="BS17">
        <v>0</v>
      </c>
      <c r="BT17">
        <v>0</v>
      </c>
      <c r="BU17">
        <v>42.997499999999995</v>
      </c>
      <c r="BV17">
        <v>0</v>
      </c>
      <c r="BW17">
        <v>42.997499999999995</v>
      </c>
      <c r="BX17">
        <v>4517.3110185000005</v>
      </c>
      <c r="BY17">
        <v>63.68320413</v>
      </c>
      <c r="BZ17">
        <v>349.41125520000003</v>
      </c>
      <c r="CA17">
        <v>4930.4054778300006</v>
      </c>
      <c r="CB17">
        <v>9.8225557179749998</v>
      </c>
      <c r="CC17">
        <v>211.22558591893923</v>
      </c>
      <c r="CD17">
        <v>0</v>
      </c>
      <c r="CE17">
        <v>0</v>
      </c>
      <c r="CF17">
        <v>0</v>
      </c>
      <c r="CG17">
        <v>0</v>
      </c>
      <c r="CH17">
        <v>0</v>
      </c>
      <c r="CI17">
        <v>0</v>
      </c>
      <c r="CJ17">
        <v>0</v>
      </c>
      <c r="CK17">
        <v>0</v>
      </c>
      <c r="CL17">
        <v>0</v>
      </c>
      <c r="CM17">
        <v>5151.4536194669145</v>
      </c>
      <c r="CN17">
        <v>28571.200874999999</v>
      </c>
      <c r="CO17">
        <v>4976.1944190000004</v>
      </c>
      <c r="CP17">
        <v>4524.6458249999996</v>
      </c>
      <c r="CQ17">
        <v>38072.041119000001</v>
      </c>
      <c r="CR17">
        <v>628.05278718</v>
      </c>
      <c r="CS17">
        <v>9802.6816856853984</v>
      </c>
      <c r="CT17">
        <v>0</v>
      </c>
      <c r="CU17">
        <v>0</v>
      </c>
      <c r="CV17">
        <v>0</v>
      </c>
      <c r="CW17">
        <v>0</v>
      </c>
      <c r="CX17">
        <v>0</v>
      </c>
      <c r="CY17">
        <v>0</v>
      </c>
      <c r="CZ17">
        <v>0</v>
      </c>
      <c r="DA17">
        <v>0</v>
      </c>
      <c r="DB17">
        <v>0</v>
      </c>
      <c r="DC17">
        <v>48502.7755918654</v>
      </c>
      <c r="DD17">
        <v>429.97499999999997</v>
      </c>
      <c r="DE17">
        <v>0</v>
      </c>
      <c r="DF17" t="s">
        <v>135</v>
      </c>
      <c r="DG17" t="s">
        <v>135</v>
      </c>
      <c r="DH17">
        <v>0</v>
      </c>
      <c r="DI17">
        <v>0</v>
      </c>
      <c r="DJ17">
        <v>0</v>
      </c>
      <c r="DK17">
        <v>0</v>
      </c>
      <c r="DL17">
        <v>0</v>
      </c>
      <c r="DM17">
        <v>429.97499999999997</v>
      </c>
      <c r="DN17">
        <v>429.97499999999997</v>
      </c>
      <c r="DO17">
        <v>12.5</v>
      </c>
      <c r="DP17">
        <v>0</v>
      </c>
      <c r="DQ17" t="s">
        <v>135</v>
      </c>
      <c r="DR17" t="s">
        <v>135</v>
      </c>
      <c r="DS17">
        <v>0</v>
      </c>
      <c r="DT17">
        <v>0</v>
      </c>
      <c r="DU17">
        <v>0</v>
      </c>
      <c r="DV17">
        <v>12.5</v>
      </c>
      <c r="DW17">
        <v>12.5</v>
      </c>
      <c r="DX17">
        <v>1.7931059999999999</v>
      </c>
      <c r="DY17">
        <v>25.463641475999999</v>
      </c>
    </row>
    <row r="18" spans="1:129">
      <c r="A18" t="s">
        <v>1952</v>
      </c>
      <c r="B18" t="s">
        <v>1953</v>
      </c>
      <c r="C18" t="s">
        <v>1954</v>
      </c>
      <c r="D18">
        <v>1</v>
      </c>
      <c r="E18" s="195">
        <v>44600</v>
      </c>
      <c r="F18">
        <v>1</v>
      </c>
      <c r="G18">
        <v>3</v>
      </c>
      <c r="H18">
        <v>70</v>
      </c>
      <c r="I18" t="s">
        <v>389</v>
      </c>
      <c r="J18" t="s">
        <v>1972</v>
      </c>
      <c r="K18" t="s">
        <v>45</v>
      </c>
      <c r="M18" t="s">
        <v>55</v>
      </c>
      <c r="N18" t="s">
        <v>617</v>
      </c>
      <c r="O18" t="s">
        <v>388</v>
      </c>
      <c r="P18">
        <v>0</v>
      </c>
      <c r="R18">
        <v>2.4</v>
      </c>
      <c r="S18">
        <v>5.5737499999999995</v>
      </c>
      <c r="T18">
        <v>18</v>
      </c>
      <c r="U18">
        <v>13.376999999999999</v>
      </c>
      <c r="V18">
        <v>0</v>
      </c>
      <c r="X18">
        <v>10</v>
      </c>
      <c r="Y18" t="s">
        <v>224</v>
      </c>
      <c r="AA18" t="s">
        <v>937</v>
      </c>
      <c r="AH18">
        <v>0</v>
      </c>
      <c r="AI18">
        <v>0</v>
      </c>
      <c r="AJ18">
        <v>0</v>
      </c>
      <c r="AK18">
        <v>125.51741999999999</v>
      </c>
      <c r="AL18">
        <v>1.2680571891550516</v>
      </c>
      <c r="AM18">
        <v>20.138683754978405</v>
      </c>
      <c r="AN18">
        <v>0</v>
      </c>
      <c r="AO18">
        <v>0</v>
      </c>
      <c r="AP18">
        <v>0</v>
      </c>
      <c r="AQ18">
        <v>0</v>
      </c>
      <c r="AR18">
        <v>0</v>
      </c>
      <c r="AS18">
        <v>0</v>
      </c>
      <c r="AT18">
        <v>0</v>
      </c>
      <c r="AU18">
        <v>0</v>
      </c>
      <c r="AV18">
        <v>0</v>
      </c>
      <c r="AW18">
        <v>146.92416094413346</v>
      </c>
      <c r="AX18">
        <v>1602.5262329999998</v>
      </c>
      <c r="AY18">
        <v>94.083072299999998</v>
      </c>
      <c r="AZ18">
        <v>85.845598019999983</v>
      </c>
      <c r="BA18">
        <v>1782.4549033199999</v>
      </c>
      <c r="BB18">
        <v>11.301931534529997</v>
      </c>
      <c r="BC18">
        <v>230.10208280896921</v>
      </c>
      <c r="BD18">
        <v>0</v>
      </c>
      <c r="BE18">
        <v>0</v>
      </c>
      <c r="BF18">
        <v>0</v>
      </c>
      <c r="BG18">
        <v>0</v>
      </c>
      <c r="BH18">
        <v>0</v>
      </c>
      <c r="BI18">
        <v>0</v>
      </c>
      <c r="BJ18">
        <v>0</v>
      </c>
      <c r="BK18">
        <v>0</v>
      </c>
      <c r="BL18">
        <v>0</v>
      </c>
      <c r="BM18">
        <v>2023.8589176634991</v>
      </c>
      <c r="BN18">
        <v>13.376999999999999</v>
      </c>
      <c r="BO18">
        <v>0</v>
      </c>
      <c r="BP18">
        <v>13.376999999999999</v>
      </c>
      <c r="BQ18">
        <v>0</v>
      </c>
      <c r="BR18">
        <v>0</v>
      </c>
      <c r="BS18">
        <v>0</v>
      </c>
      <c r="BT18">
        <v>0</v>
      </c>
      <c r="BU18">
        <v>13.376999999999999</v>
      </c>
      <c r="BV18">
        <v>0</v>
      </c>
      <c r="BW18">
        <v>13.376999999999999</v>
      </c>
      <c r="BX18">
        <v>1405.3856502000001</v>
      </c>
      <c r="BY18">
        <v>19.812552396000001</v>
      </c>
      <c r="BZ18">
        <v>108.70572384</v>
      </c>
      <c r="CA18">
        <v>1533.9039264360001</v>
      </c>
      <c r="CB18">
        <v>3.0559062233699996</v>
      </c>
      <c r="CC18">
        <v>65.714626730336647</v>
      </c>
      <c r="CD18">
        <v>0</v>
      </c>
      <c r="CE18">
        <v>0</v>
      </c>
      <c r="CF18">
        <v>0</v>
      </c>
      <c r="CG18">
        <v>0</v>
      </c>
      <c r="CH18">
        <v>0</v>
      </c>
      <c r="CI18">
        <v>0</v>
      </c>
      <c r="CJ18">
        <v>0</v>
      </c>
      <c r="CK18">
        <v>0</v>
      </c>
      <c r="CL18">
        <v>0</v>
      </c>
      <c r="CM18">
        <v>1602.6744593897067</v>
      </c>
      <c r="CN18">
        <v>8888.8180499999999</v>
      </c>
      <c r="CO18">
        <v>1548.1493748</v>
      </c>
      <c r="CP18">
        <v>1407.66759</v>
      </c>
      <c r="CQ18">
        <v>11844.6350148</v>
      </c>
      <c r="CR18">
        <v>195.39420045599996</v>
      </c>
      <c r="CS18">
        <v>3049.7231911021245</v>
      </c>
      <c r="CT18">
        <v>0</v>
      </c>
      <c r="CU18">
        <v>0</v>
      </c>
      <c r="CV18">
        <v>0</v>
      </c>
      <c r="CW18">
        <v>0</v>
      </c>
      <c r="CX18">
        <v>0</v>
      </c>
      <c r="CY18">
        <v>0</v>
      </c>
      <c r="CZ18">
        <v>0</v>
      </c>
      <c r="DA18">
        <v>0</v>
      </c>
      <c r="DB18">
        <v>0</v>
      </c>
      <c r="DC18">
        <v>15089.752406358124</v>
      </c>
      <c r="DD18">
        <v>133.76999999999998</v>
      </c>
      <c r="DE18">
        <v>0</v>
      </c>
      <c r="DF18" t="s">
        <v>135</v>
      </c>
      <c r="DG18" t="s">
        <v>135</v>
      </c>
      <c r="DH18">
        <v>0</v>
      </c>
      <c r="DI18">
        <v>0</v>
      </c>
      <c r="DJ18">
        <v>0</v>
      </c>
      <c r="DK18">
        <v>0</v>
      </c>
      <c r="DL18">
        <v>0</v>
      </c>
      <c r="DM18">
        <v>133.76999999999998</v>
      </c>
      <c r="DN18">
        <v>133.76999999999998</v>
      </c>
      <c r="DO18">
        <v>3.8888888888888888</v>
      </c>
      <c r="DP18">
        <v>0</v>
      </c>
      <c r="DQ18" t="s">
        <v>135</v>
      </c>
      <c r="DR18" t="s">
        <v>135</v>
      </c>
      <c r="DS18">
        <v>0</v>
      </c>
      <c r="DT18">
        <v>0</v>
      </c>
      <c r="DU18">
        <v>0</v>
      </c>
      <c r="DV18">
        <v>3.8888888888888888</v>
      </c>
      <c r="DW18">
        <v>3.8888888888888888</v>
      </c>
      <c r="DX18">
        <v>1.7931059999999999</v>
      </c>
      <c r="DY18">
        <v>25.463641475999999</v>
      </c>
    </row>
    <row r="19" spans="1:129">
      <c r="A19" t="s">
        <v>1952</v>
      </c>
      <c r="B19" t="s">
        <v>1953</v>
      </c>
      <c r="C19" t="s">
        <v>1954</v>
      </c>
      <c r="D19">
        <v>1</v>
      </c>
      <c r="E19" s="195">
        <v>44600</v>
      </c>
      <c r="F19">
        <v>1</v>
      </c>
      <c r="G19">
        <v>3</v>
      </c>
      <c r="H19">
        <v>25</v>
      </c>
      <c r="I19" t="s">
        <v>389</v>
      </c>
      <c r="J19" t="s">
        <v>1973</v>
      </c>
      <c r="K19" t="s">
        <v>45</v>
      </c>
      <c r="M19" t="s">
        <v>55</v>
      </c>
      <c r="N19" t="s">
        <v>603</v>
      </c>
      <c r="O19" t="s">
        <v>599</v>
      </c>
      <c r="P19">
        <v>0</v>
      </c>
      <c r="R19">
        <v>2.4</v>
      </c>
      <c r="S19">
        <v>0.37916666666666671</v>
      </c>
      <c r="T19">
        <v>18</v>
      </c>
      <c r="U19">
        <v>0.91</v>
      </c>
      <c r="V19">
        <v>0</v>
      </c>
      <c r="X19">
        <v>10</v>
      </c>
      <c r="Y19" t="s">
        <v>224</v>
      </c>
      <c r="AA19" t="s">
        <v>937</v>
      </c>
      <c r="AH19">
        <v>0</v>
      </c>
      <c r="AI19">
        <v>0</v>
      </c>
      <c r="AJ19">
        <v>0</v>
      </c>
      <c r="AK19">
        <v>8.5386000000000006</v>
      </c>
      <c r="AL19">
        <v>8.6262393820071545E-2</v>
      </c>
      <c r="AM19">
        <v>6.0927171001373708</v>
      </c>
      <c r="AN19">
        <v>0</v>
      </c>
      <c r="AO19">
        <v>0</v>
      </c>
      <c r="AP19">
        <v>0</v>
      </c>
      <c r="AQ19">
        <v>0</v>
      </c>
      <c r="AR19">
        <v>0</v>
      </c>
      <c r="AS19">
        <v>0</v>
      </c>
      <c r="AT19">
        <v>0</v>
      </c>
      <c r="AU19">
        <v>0</v>
      </c>
      <c r="AV19">
        <v>0</v>
      </c>
      <c r="AW19">
        <v>14.717579493957443</v>
      </c>
      <c r="AX19">
        <v>109.01539</v>
      </c>
      <c r="AY19">
        <v>6.4002089999999994</v>
      </c>
      <c r="AZ19">
        <v>5.8398366000000008</v>
      </c>
      <c r="BA19">
        <v>121.2554356</v>
      </c>
      <c r="BB19">
        <v>0.76883887989999988</v>
      </c>
      <c r="BC19">
        <v>66.621220292730328</v>
      </c>
      <c r="BD19">
        <v>0</v>
      </c>
      <c r="BE19">
        <v>0</v>
      </c>
      <c r="BF19">
        <v>0</v>
      </c>
      <c r="BG19">
        <v>0</v>
      </c>
      <c r="BH19">
        <v>0</v>
      </c>
      <c r="BI19">
        <v>0</v>
      </c>
      <c r="BJ19">
        <v>0</v>
      </c>
      <c r="BK19">
        <v>0</v>
      </c>
      <c r="BL19">
        <v>0</v>
      </c>
      <c r="BM19">
        <v>188.64549477263034</v>
      </c>
      <c r="BN19">
        <v>0.91</v>
      </c>
      <c r="BO19">
        <v>0</v>
      </c>
      <c r="BP19">
        <v>0.91</v>
      </c>
      <c r="BQ19">
        <v>0</v>
      </c>
      <c r="BR19">
        <v>0</v>
      </c>
      <c r="BS19">
        <v>0</v>
      </c>
      <c r="BT19">
        <v>0</v>
      </c>
      <c r="BU19">
        <v>0.91</v>
      </c>
      <c r="BV19">
        <v>0</v>
      </c>
      <c r="BW19">
        <v>0.91</v>
      </c>
      <c r="BX19">
        <v>95.604466000000016</v>
      </c>
      <c r="BY19">
        <v>1.3477926800000002</v>
      </c>
      <c r="BZ19">
        <v>7.3949471999999998</v>
      </c>
      <c r="CA19">
        <v>104.34720588000002</v>
      </c>
      <c r="CB19">
        <v>0.2078847771</v>
      </c>
      <c r="CC19">
        <v>10.138735487768555</v>
      </c>
      <c r="CD19">
        <v>0</v>
      </c>
      <c r="CE19">
        <v>0</v>
      </c>
      <c r="CF19">
        <v>0</v>
      </c>
      <c r="CG19">
        <v>0</v>
      </c>
      <c r="CH19">
        <v>0</v>
      </c>
      <c r="CI19">
        <v>0</v>
      </c>
      <c r="CJ19">
        <v>0</v>
      </c>
      <c r="CK19">
        <v>0</v>
      </c>
      <c r="CL19">
        <v>0</v>
      </c>
      <c r="CM19">
        <v>114.69382614486858</v>
      </c>
      <c r="CN19">
        <v>604.68150000000003</v>
      </c>
      <c r="CO19">
        <v>105.31628400000001</v>
      </c>
      <c r="CP19">
        <v>95.759700000000009</v>
      </c>
      <c r="CQ19">
        <v>805.75748399999986</v>
      </c>
      <c r="CR19">
        <v>13.29212248</v>
      </c>
      <c r="CS19">
        <v>984.75802913884445</v>
      </c>
      <c r="CT19">
        <v>0</v>
      </c>
      <c r="CU19">
        <v>0</v>
      </c>
      <c r="CV19">
        <v>0</v>
      </c>
      <c r="CW19">
        <v>0</v>
      </c>
      <c r="CX19">
        <v>0</v>
      </c>
      <c r="CY19">
        <v>0</v>
      </c>
      <c r="CZ19">
        <v>0</v>
      </c>
      <c r="DA19">
        <v>0</v>
      </c>
      <c r="DB19">
        <v>0</v>
      </c>
      <c r="DC19">
        <v>1803.8076356188444</v>
      </c>
      <c r="DD19">
        <v>9.1</v>
      </c>
      <c r="DE19">
        <v>0</v>
      </c>
      <c r="DF19" t="s">
        <v>135</v>
      </c>
      <c r="DG19" t="s">
        <v>135</v>
      </c>
      <c r="DH19">
        <v>0</v>
      </c>
      <c r="DI19">
        <v>0</v>
      </c>
      <c r="DJ19">
        <v>0</v>
      </c>
      <c r="DK19">
        <v>0</v>
      </c>
      <c r="DL19">
        <v>0</v>
      </c>
      <c r="DM19">
        <v>9.1</v>
      </c>
      <c r="DN19">
        <v>9.1</v>
      </c>
      <c r="DO19">
        <v>1.3888888888888888</v>
      </c>
      <c r="DP19">
        <v>0</v>
      </c>
      <c r="DQ19" t="s">
        <v>135</v>
      </c>
      <c r="DR19" t="s">
        <v>135</v>
      </c>
      <c r="DS19">
        <v>0</v>
      </c>
      <c r="DT19">
        <v>0</v>
      </c>
      <c r="DU19">
        <v>0</v>
      </c>
      <c r="DV19">
        <v>1.3888888888888888</v>
      </c>
      <c r="DW19">
        <v>1.3888888888888888</v>
      </c>
      <c r="DX19">
        <v>0.34154400000000001</v>
      </c>
      <c r="DY19">
        <v>4.8502174240000002</v>
      </c>
    </row>
    <row r="20" spans="1:129">
      <c r="A20" t="s">
        <v>1952</v>
      </c>
      <c r="B20" t="s">
        <v>1953</v>
      </c>
      <c r="C20" t="s">
        <v>1954</v>
      </c>
      <c r="D20">
        <v>1</v>
      </c>
      <c r="E20" s="195">
        <v>44600</v>
      </c>
      <c r="F20">
        <v>1</v>
      </c>
      <c r="G20">
        <v>3</v>
      </c>
      <c r="H20">
        <v>3</v>
      </c>
      <c r="I20" t="s">
        <v>724</v>
      </c>
      <c r="J20" t="s">
        <v>1974</v>
      </c>
      <c r="K20" t="s">
        <v>45</v>
      </c>
      <c r="M20" t="s">
        <v>246</v>
      </c>
      <c r="N20" t="s">
        <v>247</v>
      </c>
      <c r="O20" t="s">
        <v>736</v>
      </c>
      <c r="P20">
        <v>0</v>
      </c>
      <c r="S20">
        <v>0</v>
      </c>
      <c r="T20">
        <v>2.5</v>
      </c>
      <c r="U20">
        <v>0.60851999999999995</v>
      </c>
      <c r="V20">
        <v>0</v>
      </c>
      <c r="X20">
        <v>10</v>
      </c>
      <c r="Y20" t="s">
        <v>224</v>
      </c>
      <c r="AA20" t="s">
        <v>937</v>
      </c>
      <c r="AH20">
        <v>23.28</v>
      </c>
      <c r="AI20">
        <v>0</v>
      </c>
      <c r="AJ20">
        <v>0</v>
      </c>
      <c r="AK20">
        <v>23.28</v>
      </c>
      <c r="AL20">
        <v>5.7683947128999935E-2</v>
      </c>
      <c r="AM20">
        <v>5.7406816596847419</v>
      </c>
      <c r="AN20">
        <v>0</v>
      </c>
      <c r="AO20">
        <v>0</v>
      </c>
      <c r="AP20">
        <v>0</v>
      </c>
      <c r="AQ20">
        <v>0</v>
      </c>
      <c r="AR20">
        <v>0</v>
      </c>
      <c r="AS20">
        <v>0</v>
      </c>
      <c r="AT20">
        <v>0</v>
      </c>
      <c r="AU20">
        <v>0</v>
      </c>
      <c r="AV20">
        <v>0</v>
      </c>
      <c r="AW20">
        <v>29.078365606813744</v>
      </c>
      <c r="AX20">
        <v>195.986763</v>
      </c>
      <c r="AY20">
        <v>5.2462581000000004</v>
      </c>
      <c r="AZ20">
        <v>3.3267218999999999</v>
      </c>
      <c r="BA20">
        <v>204.55974299999997</v>
      </c>
      <c r="BB20">
        <v>0.5141250936227999</v>
      </c>
      <c r="BC20">
        <v>60.550081181208682</v>
      </c>
      <c r="BD20">
        <v>0</v>
      </c>
      <c r="BE20">
        <v>0</v>
      </c>
      <c r="BF20">
        <v>0</v>
      </c>
      <c r="BG20">
        <v>0</v>
      </c>
      <c r="BH20">
        <v>0</v>
      </c>
      <c r="BI20">
        <v>0</v>
      </c>
      <c r="BJ20">
        <v>0</v>
      </c>
      <c r="BK20">
        <v>0</v>
      </c>
      <c r="BL20">
        <v>0</v>
      </c>
      <c r="BM20">
        <v>265.62394927483143</v>
      </c>
      <c r="BN20">
        <v>0.60851999999999995</v>
      </c>
      <c r="BO20">
        <v>0</v>
      </c>
      <c r="BP20">
        <v>0.60851999999999995</v>
      </c>
      <c r="BQ20">
        <v>0</v>
      </c>
      <c r="BR20">
        <v>0</v>
      </c>
      <c r="BS20">
        <v>0</v>
      </c>
      <c r="BT20">
        <v>0</v>
      </c>
      <c r="BU20">
        <v>0.60851999999999995</v>
      </c>
      <c r="BV20">
        <v>0</v>
      </c>
      <c r="BW20">
        <v>0.60851999999999995</v>
      </c>
      <c r="BX20">
        <v>106.95078000000001</v>
      </c>
      <c r="BY20">
        <v>1.1047870500000001</v>
      </c>
      <c r="BZ20">
        <v>4.2126063</v>
      </c>
      <c r="CA20">
        <v>112.26817335000001</v>
      </c>
      <c r="CB20">
        <v>0.13901323578119998</v>
      </c>
      <c r="CC20">
        <v>9.4220151091734348</v>
      </c>
      <c r="CD20">
        <v>0</v>
      </c>
      <c r="CE20">
        <v>0</v>
      </c>
      <c r="CF20">
        <v>0</v>
      </c>
      <c r="CG20">
        <v>0</v>
      </c>
      <c r="CH20">
        <v>0</v>
      </c>
      <c r="CI20">
        <v>0</v>
      </c>
      <c r="CJ20">
        <v>0</v>
      </c>
      <c r="CK20">
        <v>0</v>
      </c>
      <c r="CL20">
        <v>0</v>
      </c>
      <c r="CM20">
        <v>121.82920169495465</v>
      </c>
      <c r="CN20">
        <v>2096.45883</v>
      </c>
      <c r="CO20">
        <v>86.327865000000003</v>
      </c>
      <c r="CP20">
        <v>54.550478999999996</v>
      </c>
      <c r="CQ20">
        <v>2237.3371739999998</v>
      </c>
      <c r="CR20">
        <v>8.8884861225599998</v>
      </c>
      <c r="CS20">
        <v>896.9879411796768</v>
      </c>
      <c r="CT20">
        <v>0</v>
      </c>
      <c r="CU20">
        <v>0</v>
      </c>
      <c r="CV20">
        <v>0</v>
      </c>
      <c r="CW20">
        <v>0</v>
      </c>
      <c r="CX20">
        <v>0</v>
      </c>
      <c r="CY20">
        <v>0</v>
      </c>
      <c r="CZ20">
        <v>0</v>
      </c>
      <c r="DA20">
        <v>0</v>
      </c>
      <c r="DB20">
        <v>0</v>
      </c>
      <c r="DC20">
        <v>3143.2136013022368</v>
      </c>
      <c r="DD20">
        <v>6.0851999999999995</v>
      </c>
      <c r="DE20">
        <v>0</v>
      </c>
      <c r="DF20" t="s">
        <v>135</v>
      </c>
      <c r="DG20" t="s">
        <v>135</v>
      </c>
      <c r="DH20">
        <v>0</v>
      </c>
      <c r="DI20">
        <v>0</v>
      </c>
      <c r="DJ20">
        <v>0</v>
      </c>
      <c r="DK20">
        <v>0</v>
      </c>
      <c r="DL20">
        <v>0</v>
      </c>
      <c r="DM20">
        <v>6.0851999999999995</v>
      </c>
      <c r="DN20">
        <v>6.0851999999999995</v>
      </c>
      <c r="DO20">
        <v>1.2</v>
      </c>
      <c r="DP20">
        <v>0</v>
      </c>
      <c r="DQ20" t="s">
        <v>135</v>
      </c>
      <c r="DR20" t="s">
        <v>135</v>
      </c>
      <c r="DS20">
        <v>0</v>
      </c>
      <c r="DT20">
        <v>0</v>
      </c>
      <c r="DU20">
        <v>0</v>
      </c>
      <c r="DV20">
        <v>1.2</v>
      </c>
      <c r="DW20">
        <v>1.2</v>
      </c>
      <c r="DX20">
        <v>7.7600000000000007</v>
      </c>
      <c r="DY20">
        <v>68.18658099999999</v>
      </c>
    </row>
    <row r="53" spans="1:1">
      <c r="A53" s="147"/>
    </row>
    <row r="59" spans="1:1">
      <c r="A59" s="147"/>
    </row>
  </sheetData>
  <phoneticPr fontId="11" type="noConversion"/>
  <pageMargins left="0.7" right="0.7" top="0.75" bottom="0.75" header="0.3" footer="0.3"/>
  <pageSetup orientation="portrait" r:id="rId1"/>
  <tableParts count="1">
    <tablePart r:id="rId2"/>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7DCA21-83F6-4902-AF3B-959079FFA578}">
  <sheetPr codeName="Blad13"/>
  <dimension ref="A1:DY61"/>
  <sheetViews>
    <sheetView zoomScale="55" zoomScaleNormal="55" workbookViewId="0">
      <selection activeCell="G41" sqref="G41"/>
    </sheetView>
  </sheetViews>
  <sheetFormatPr defaultRowHeight="15"/>
  <cols>
    <col min="1" max="1" width="21.140625" bestFit="1" customWidth="1"/>
    <col min="2" max="2" width="19.42578125" bestFit="1" customWidth="1"/>
    <col min="3" max="3" width="19.140625" bestFit="1" customWidth="1"/>
    <col min="4" max="4" width="26.140625" bestFit="1" customWidth="1"/>
    <col min="5" max="5" width="22" bestFit="1" customWidth="1"/>
    <col min="6" max="6" width="15.42578125" bestFit="1" customWidth="1"/>
    <col min="7" max="7" width="17.28515625" bestFit="1" customWidth="1"/>
    <col min="8" max="8" width="19.85546875" bestFit="1" customWidth="1"/>
    <col min="9" max="9" width="11.28515625" bestFit="1" customWidth="1"/>
    <col min="10" max="10" width="81.140625" bestFit="1" customWidth="1"/>
    <col min="11" max="11" width="19.5703125" bestFit="1" customWidth="1"/>
    <col min="12" max="12" width="12.28515625" bestFit="1" customWidth="1"/>
    <col min="13" max="13" width="26.5703125" bestFit="1" customWidth="1"/>
    <col min="14" max="14" width="40.85546875" bestFit="1" customWidth="1"/>
    <col min="15" max="15" width="27.42578125" bestFit="1" customWidth="1"/>
    <col min="16" max="16" width="20.7109375" bestFit="1" customWidth="1"/>
    <col min="17" max="17" width="22" bestFit="1" customWidth="1"/>
    <col min="18" max="18" width="36.5703125" bestFit="1" customWidth="1"/>
    <col min="19" max="19" width="20.7109375" bestFit="1" customWidth="1"/>
    <col min="20" max="20" width="63.7109375" bestFit="1" customWidth="1"/>
    <col min="21" max="21" width="21.140625" bestFit="1" customWidth="1"/>
    <col min="22" max="22" width="22.7109375" bestFit="1" customWidth="1"/>
    <col min="23" max="23" width="66.140625" bestFit="1" customWidth="1"/>
    <col min="24" max="24" width="68" bestFit="1" customWidth="1"/>
    <col min="25" max="25" width="57" bestFit="1" customWidth="1"/>
    <col min="26" max="26" width="42.28515625" bestFit="1" customWidth="1"/>
    <col min="27" max="27" width="48.42578125" bestFit="1" customWidth="1"/>
    <col min="28" max="28" width="39.85546875" bestFit="1" customWidth="1"/>
    <col min="29" max="29" width="42.28515625" bestFit="1" customWidth="1"/>
    <col min="30" max="30" width="57" bestFit="1" customWidth="1"/>
    <col min="31" max="31" width="47.7109375" bestFit="1" customWidth="1"/>
    <col min="32" max="32" width="28.42578125" bestFit="1" customWidth="1"/>
    <col min="33" max="34" width="21.42578125" bestFit="1" customWidth="1"/>
    <col min="35" max="36" width="22.28515625" bestFit="1" customWidth="1"/>
    <col min="37" max="37" width="26.140625" bestFit="1" customWidth="1"/>
    <col min="38" max="38" width="22.28515625" bestFit="1" customWidth="1"/>
    <col min="39" max="39" width="22" bestFit="1" customWidth="1"/>
    <col min="40" max="40" width="21.42578125" bestFit="1" customWidth="1"/>
    <col min="41" max="41" width="22.28515625" bestFit="1" customWidth="1"/>
    <col min="42" max="42" width="21.42578125" bestFit="1" customWidth="1"/>
    <col min="43" max="45" width="22.28515625" bestFit="1" customWidth="1"/>
    <col min="46" max="46" width="21.42578125" bestFit="1" customWidth="1"/>
    <col min="47" max="47" width="22.28515625" bestFit="1" customWidth="1"/>
    <col min="48" max="48" width="20.42578125" bestFit="1" customWidth="1"/>
    <col min="49" max="49" width="24.5703125" bestFit="1" customWidth="1"/>
    <col min="50" max="50" width="22.7109375" bestFit="1" customWidth="1"/>
    <col min="51" max="52" width="23.28515625" bestFit="1" customWidth="1"/>
    <col min="53" max="53" width="27.42578125" bestFit="1" customWidth="1"/>
    <col min="54" max="54" width="23.28515625" bestFit="1" customWidth="1"/>
    <col min="55" max="55" width="23" bestFit="1" customWidth="1"/>
    <col min="56" max="56" width="22.7109375" bestFit="1" customWidth="1"/>
    <col min="57" max="57" width="23.28515625" bestFit="1" customWidth="1"/>
    <col min="58" max="58" width="22.7109375" bestFit="1" customWidth="1"/>
    <col min="59" max="61" width="23.28515625" bestFit="1" customWidth="1"/>
    <col min="62" max="62" width="22.7109375" bestFit="1" customWidth="1"/>
    <col min="63" max="63" width="23.28515625" bestFit="1" customWidth="1"/>
    <col min="64" max="64" width="21.42578125" bestFit="1" customWidth="1"/>
    <col min="65" max="65" width="25.5703125" bestFit="1" customWidth="1"/>
    <col min="66" max="66" width="39.5703125" bestFit="1" customWidth="1"/>
    <col min="67" max="67" width="38.5703125" bestFit="1" customWidth="1"/>
    <col min="68" max="68" width="40.140625" bestFit="1" customWidth="1"/>
    <col min="69" max="69" width="43" bestFit="1" customWidth="1"/>
    <col min="70" max="70" width="57.28515625" bestFit="1" customWidth="1"/>
    <col min="71" max="71" width="57.85546875" bestFit="1" customWidth="1"/>
    <col min="72" max="72" width="60.85546875" bestFit="1" customWidth="1"/>
    <col min="73" max="73" width="47.7109375" bestFit="1" customWidth="1"/>
    <col min="74" max="74" width="50.85546875" bestFit="1" customWidth="1"/>
    <col min="75" max="75" width="36.7109375" bestFit="1" customWidth="1"/>
    <col min="76" max="76" width="40.140625" bestFit="1" customWidth="1"/>
    <col min="77" max="78" width="40.7109375" bestFit="1" customWidth="1"/>
    <col min="79" max="79" width="44.85546875" bestFit="1" customWidth="1"/>
    <col min="80" max="80" width="40.7109375" bestFit="1" customWidth="1"/>
    <col min="81" max="81" width="40.42578125" bestFit="1" customWidth="1"/>
    <col min="82" max="82" width="40.140625" bestFit="1" customWidth="1"/>
    <col min="83" max="83" width="40.7109375" bestFit="1" customWidth="1"/>
    <col min="84" max="84" width="40.140625" bestFit="1" customWidth="1"/>
    <col min="85" max="87" width="40.7109375" bestFit="1" customWidth="1"/>
    <col min="88" max="88" width="40.140625" bestFit="1" customWidth="1"/>
    <col min="89" max="89" width="40.7109375" bestFit="1" customWidth="1"/>
    <col min="90" max="90" width="39.140625" bestFit="1" customWidth="1"/>
    <col min="91" max="91" width="43" bestFit="1" customWidth="1"/>
    <col min="92" max="92" width="34.7109375" bestFit="1" customWidth="1"/>
    <col min="93" max="94" width="35.140625" bestFit="1" customWidth="1"/>
    <col min="95" max="95" width="39.42578125" bestFit="1" customWidth="1"/>
    <col min="96" max="96" width="35.140625" bestFit="1" customWidth="1"/>
    <col min="97" max="97" width="35" bestFit="1" customWidth="1"/>
    <col min="98" max="98" width="34.7109375" bestFit="1" customWidth="1"/>
    <col min="99" max="99" width="35.140625" bestFit="1" customWidth="1"/>
    <col min="100" max="100" width="34.7109375" bestFit="1" customWidth="1"/>
    <col min="101" max="103" width="35.140625" bestFit="1" customWidth="1"/>
    <col min="104" max="104" width="34.7109375" bestFit="1" customWidth="1"/>
    <col min="105" max="105" width="35.140625" bestFit="1" customWidth="1"/>
    <col min="106" max="106" width="33.7109375" bestFit="1" customWidth="1"/>
    <col min="107" max="107" width="37.5703125" bestFit="1" customWidth="1"/>
    <col min="108" max="108" width="72.5703125" bestFit="1" customWidth="1"/>
    <col min="109" max="109" width="63.28515625" bestFit="1" customWidth="1"/>
    <col min="110" max="110" width="81.140625" bestFit="1" customWidth="1"/>
    <col min="111" max="111" width="75.42578125" bestFit="1" customWidth="1"/>
    <col min="112" max="112" width="57" bestFit="1" customWidth="1"/>
    <col min="113" max="113" width="81.140625" bestFit="1" customWidth="1"/>
    <col min="114" max="114" width="80.85546875" bestFit="1" customWidth="1"/>
    <col min="115" max="115" width="81.140625" bestFit="1" customWidth="1"/>
    <col min="116" max="116" width="64.5703125" bestFit="1" customWidth="1"/>
    <col min="117" max="117" width="70.5703125" bestFit="1" customWidth="1"/>
    <col min="118" max="118" width="45.85546875" bestFit="1" customWidth="1"/>
    <col min="119" max="119" width="72.85546875" bestFit="1" customWidth="1"/>
    <col min="120" max="120" width="66.85546875" bestFit="1" customWidth="1"/>
    <col min="121" max="121" width="71" bestFit="1" customWidth="1"/>
    <col min="122" max="122" width="64.85546875" bestFit="1" customWidth="1"/>
    <col min="123" max="123" width="77.28515625" bestFit="1" customWidth="1"/>
    <col min="124" max="126" width="81.140625" bestFit="1" customWidth="1"/>
    <col min="127" max="127" width="66.140625" bestFit="1" customWidth="1"/>
    <col min="128" max="128" width="25.5703125" bestFit="1" customWidth="1"/>
    <col min="129" max="129" width="26.5703125" bestFit="1" customWidth="1"/>
    <col min="130" max="130" width="33.85546875" bestFit="1" customWidth="1"/>
    <col min="131" max="131" width="33.42578125" bestFit="1" customWidth="1"/>
    <col min="132" max="132" width="34.42578125" bestFit="1" customWidth="1"/>
    <col min="133" max="133" width="33.85546875" bestFit="1" customWidth="1"/>
    <col min="134" max="134" width="28.140625" bestFit="1" customWidth="1"/>
    <col min="135" max="136" width="28.7109375" bestFit="1" customWidth="1"/>
    <col min="137" max="137" width="30.28515625" bestFit="1" customWidth="1"/>
    <col min="138" max="138" width="32.5703125" bestFit="1" customWidth="1"/>
    <col min="139" max="139" width="31.5703125" bestFit="1" customWidth="1"/>
    <col min="140" max="140" width="33.42578125" bestFit="1" customWidth="1"/>
    <col min="141" max="141" width="32.42578125" bestFit="1" customWidth="1"/>
    <col min="142" max="142" width="80.140625" bestFit="1" customWidth="1"/>
    <col min="143" max="143" width="81.140625" bestFit="1" customWidth="1"/>
    <col min="144" max="145" width="62.42578125" bestFit="1" customWidth="1"/>
    <col min="146" max="146" width="33.42578125" bestFit="1" customWidth="1"/>
    <col min="147" max="147" width="18.5703125" bestFit="1" customWidth="1"/>
    <col min="148" max="148" width="18.85546875" bestFit="1" customWidth="1"/>
    <col min="149" max="149" width="21.42578125" bestFit="1" customWidth="1"/>
    <col min="150" max="150" width="62.140625" bestFit="1" customWidth="1"/>
    <col min="151" max="151" width="52.140625" bestFit="1" customWidth="1"/>
    <col min="152" max="152" width="39.140625" bestFit="1" customWidth="1"/>
    <col min="153" max="153" width="45.7109375" bestFit="1" customWidth="1"/>
    <col min="154" max="154" width="32.85546875" bestFit="1" customWidth="1"/>
    <col min="155" max="155" width="39.140625" bestFit="1" customWidth="1"/>
    <col min="156" max="156" width="52" bestFit="1" customWidth="1"/>
    <col min="157" max="157" width="43.140625" bestFit="1" customWidth="1"/>
    <col min="158" max="158" width="25.85546875" bestFit="1" customWidth="1"/>
    <col min="159" max="159" width="19.28515625" bestFit="1" customWidth="1"/>
    <col min="160" max="160" width="19.140625" bestFit="1" customWidth="1"/>
    <col min="161" max="164" width="19.7109375" bestFit="1" customWidth="1"/>
    <col min="165" max="165" width="19.140625" bestFit="1" customWidth="1"/>
    <col min="166" max="166" width="19.7109375" bestFit="1" customWidth="1"/>
    <col min="167" max="167" width="19.140625" bestFit="1" customWidth="1"/>
    <col min="168" max="170" width="19.7109375" bestFit="1" customWidth="1"/>
    <col min="171" max="171" width="19.140625" bestFit="1" customWidth="1"/>
    <col min="172" max="172" width="19.7109375" bestFit="1" customWidth="1"/>
    <col min="173" max="173" width="22.42578125" bestFit="1" customWidth="1"/>
    <col min="174" max="174" width="20.5703125" bestFit="1" customWidth="1"/>
    <col min="175" max="178" width="21" bestFit="1" customWidth="1"/>
    <col min="179" max="179" width="20.5703125" bestFit="1" customWidth="1"/>
    <col min="180" max="180" width="21" bestFit="1" customWidth="1"/>
    <col min="181" max="181" width="20.5703125" bestFit="1" customWidth="1"/>
    <col min="182" max="184" width="21" bestFit="1" customWidth="1"/>
    <col min="185" max="185" width="20.5703125" bestFit="1" customWidth="1"/>
    <col min="186" max="186" width="21" bestFit="1" customWidth="1"/>
    <col min="187" max="187" width="23.5703125" bestFit="1" customWidth="1"/>
    <col min="188" max="188" width="36.42578125" bestFit="1" customWidth="1"/>
    <col min="189" max="189" width="36.85546875" bestFit="1" customWidth="1"/>
    <col min="190" max="190" width="36.28515625" bestFit="1" customWidth="1"/>
    <col min="191" max="191" width="40.28515625" bestFit="1" customWidth="1"/>
    <col min="192" max="192" width="54.42578125" bestFit="1" customWidth="1"/>
    <col min="193" max="193" width="54.28515625" bestFit="1" customWidth="1"/>
    <col min="194" max="194" width="58.28515625" bestFit="1" customWidth="1"/>
    <col min="195" max="195" width="43.42578125" bestFit="1" customWidth="1"/>
    <col min="196" max="196" width="47.42578125" bestFit="1" customWidth="1"/>
    <col min="197" max="197" width="33.42578125" bestFit="1" customWidth="1"/>
    <col min="198" max="198" width="37.7109375" bestFit="1" customWidth="1"/>
    <col min="199" max="202" width="38.140625" bestFit="1" customWidth="1"/>
    <col min="203" max="203" width="37.7109375" bestFit="1" customWidth="1"/>
    <col min="204" max="204" width="38.140625" bestFit="1" customWidth="1"/>
    <col min="205" max="205" width="37.7109375" bestFit="1" customWidth="1"/>
    <col min="206" max="208" width="38.140625" bestFit="1" customWidth="1"/>
    <col min="209" max="209" width="37.7109375" bestFit="1" customWidth="1"/>
    <col min="210" max="210" width="38.140625" bestFit="1" customWidth="1"/>
    <col min="211" max="211" width="41" bestFit="1" customWidth="1"/>
    <col min="212" max="212" width="31.5703125" bestFit="1" customWidth="1"/>
    <col min="213" max="216" width="32" bestFit="1" customWidth="1"/>
    <col min="217" max="217" width="31.5703125" bestFit="1" customWidth="1"/>
    <col min="218" max="218" width="32" bestFit="1" customWidth="1"/>
    <col min="219" max="219" width="31.5703125" bestFit="1" customWidth="1"/>
    <col min="220" max="222" width="32" bestFit="1" customWidth="1"/>
    <col min="223" max="223" width="31.5703125" bestFit="1" customWidth="1"/>
    <col min="224" max="224" width="32" bestFit="1" customWidth="1"/>
    <col min="225" max="225" width="34.5703125" bestFit="1" customWidth="1"/>
    <col min="226" max="226" width="66.42578125" bestFit="1" customWidth="1"/>
    <col min="227" max="227" width="57.7109375" bestFit="1" customWidth="1"/>
    <col min="228" max="228" width="78.140625" bestFit="1" customWidth="1"/>
    <col min="229" max="229" width="69.28515625" bestFit="1" customWidth="1"/>
    <col min="230" max="230" width="52.5703125" bestFit="1" customWidth="1"/>
    <col min="231" max="231" width="81.140625" bestFit="1" customWidth="1"/>
    <col min="232" max="232" width="75.85546875" bestFit="1" customWidth="1"/>
    <col min="233" max="233" width="76.42578125" bestFit="1" customWidth="1"/>
    <col min="234" max="234" width="59.7109375" bestFit="1" customWidth="1"/>
    <col min="235" max="235" width="65.85546875" bestFit="1" customWidth="1"/>
    <col min="236" max="236" width="42.42578125" bestFit="1" customWidth="1"/>
    <col min="237" max="237" width="67.85546875" bestFit="1" customWidth="1"/>
    <col min="238" max="238" width="62.85546875" bestFit="1" customWidth="1"/>
    <col min="239" max="239" width="65.85546875" bestFit="1" customWidth="1"/>
    <col min="240" max="240" width="60.7109375" bestFit="1" customWidth="1"/>
    <col min="241" max="241" width="71.7109375" bestFit="1" customWidth="1"/>
    <col min="242" max="242" width="81.140625" bestFit="1" customWidth="1"/>
    <col min="243" max="243" width="78.85546875" bestFit="1" customWidth="1"/>
    <col min="244" max="244" width="81.140625" customWidth="1"/>
    <col min="245" max="245" width="61.5703125" bestFit="1" customWidth="1"/>
    <col min="246" max="246" width="81.140625" bestFit="1" customWidth="1"/>
    <col min="247" max="247" width="78.85546875" bestFit="1" customWidth="1"/>
    <col min="248" max="248" width="81.140625" bestFit="1" customWidth="1"/>
    <col min="249" max="250" width="61.5703125" bestFit="1" customWidth="1"/>
    <col min="251" max="251" width="21.42578125" bestFit="1" customWidth="1"/>
    <col min="252" max="252" width="63" bestFit="1" customWidth="1"/>
    <col min="253" max="253" width="52.85546875" bestFit="1" customWidth="1"/>
    <col min="254" max="254" width="39.28515625" bestFit="1" customWidth="1"/>
    <col min="255" max="255" width="46" bestFit="1" customWidth="1"/>
    <col min="256" max="256" width="32.85546875" bestFit="1" customWidth="1"/>
    <col min="257" max="257" width="39.140625" bestFit="1" customWidth="1"/>
    <col min="258" max="258" width="52.42578125" bestFit="1" customWidth="1"/>
    <col min="259" max="259" width="43.5703125" bestFit="1" customWidth="1"/>
    <col min="260" max="260" width="25.85546875" bestFit="1" customWidth="1"/>
    <col min="261" max="262" width="19.28515625" bestFit="1" customWidth="1"/>
    <col min="263" max="266" width="20" bestFit="1" customWidth="1"/>
    <col min="267" max="267" width="19.28515625" bestFit="1" customWidth="1"/>
    <col min="268" max="268" width="20" bestFit="1" customWidth="1"/>
    <col min="269" max="269" width="19.28515625" bestFit="1" customWidth="1"/>
    <col min="270" max="272" width="20" bestFit="1" customWidth="1"/>
    <col min="273" max="273" width="19.28515625" bestFit="1" customWidth="1"/>
    <col min="274" max="274" width="20" bestFit="1" customWidth="1"/>
    <col min="275" max="275" width="22.5703125" bestFit="1" customWidth="1"/>
    <col min="276" max="276" width="20.7109375" bestFit="1" customWidth="1"/>
    <col min="277" max="280" width="21.140625" bestFit="1" customWidth="1"/>
    <col min="281" max="281" width="20.7109375" bestFit="1" customWidth="1"/>
    <col min="282" max="282" width="21.140625" bestFit="1" customWidth="1"/>
    <col min="283" max="283" width="20.7109375" bestFit="1" customWidth="1"/>
    <col min="284" max="286" width="21.140625" bestFit="1" customWidth="1"/>
    <col min="287" max="287" width="20.7109375" bestFit="1" customWidth="1"/>
    <col min="288" max="288" width="21.140625" bestFit="1" customWidth="1"/>
    <col min="289" max="289" width="23.85546875" bestFit="1" customWidth="1"/>
    <col min="290" max="290" width="36.7109375" bestFit="1" customWidth="1"/>
    <col min="291" max="291" width="37.140625" bestFit="1" customWidth="1"/>
    <col min="292" max="292" width="36.42578125" bestFit="1" customWidth="1"/>
    <col min="293" max="293" width="40.5703125" bestFit="1" customWidth="1"/>
    <col min="294" max="294" width="54.85546875" bestFit="1" customWidth="1"/>
    <col min="295" max="295" width="54.5703125" bestFit="1" customWidth="1"/>
    <col min="296" max="296" width="58.7109375" bestFit="1" customWidth="1"/>
    <col min="297" max="297" width="43.85546875" bestFit="1" customWidth="1"/>
    <col min="298" max="298" width="47.85546875" bestFit="1" customWidth="1"/>
    <col min="299" max="299" width="33.5703125" bestFit="1" customWidth="1"/>
    <col min="300" max="300" width="38.140625" bestFit="1" customWidth="1"/>
    <col min="301" max="304" width="38.5703125" bestFit="1" customWidth="1"/>
    <col min="305" max="305" width="38.140625" bestFit="1" customWidth="1"/>
    <col min="306" max="306" width="38.5703125" bestFit="1" customWidth="1"/>
    <col min="307" max="307" width="38.140625" bestFit="1" customWidth="1"/>
    <col min="308" max="310" width="38.5703125" bestFit="1" customWidth="1"/>
    <col min="311" max="311" width="38.140625" bestFit="1" customWidth="1"/>
    <col min="312" max="312" width="38.5703125" bestFit="1" customWidth="1"/>
    <col min="313" max="313" width="41.42578125" bestFit="1" customWidth="1"/>
    <col min="314" max="314" width="32" bestFit="1" customWidth="1"/>
    <col min="315" max="318" width="32.42578125" bestFit="1" customWidth="1"/>
    <col min="319" max="319" width="32" bestFit="1" customWidth="1"/>
    <col min="320" max="320" width="32.42578125" bestFit="1" customWidth="1"/>
    <col min="321" max="321" width="32" bestFit="1" customWidth="1"/>
    <col min="322" max="324" width="32.42578125" bestFit="1" customWidth="1"/>
    <col min="325" max="325" width="32" bestFit="1" customWidth="1"/>
    <col min="326" max="326" width="32.42578125" bestFit="1" customWidth="1"/>
    <col min="327" max="327" width="35.28515625" bestFit="1" customWidth="1"/>
    <col min="328" max="328" width="66.7109375" bestFit="1" customWidth="1"/>
    <col min="329" max="329" width="57.85546875" bestFit="1" customWidth="1"/>
    <col min="330" max="330" width="78.5703125" bestFit="1" customWidth="1"/>
    <col min="331" max="331" width="69.7109375" bestFit="1" customWidth="1"/>
    <col min="332" max="332" width="53" bestFit="1" customWidth="1"/>
    <col min="333" max="333" width="81.140625" bestFit="1" customWidth="1"/>
    <col min="334" max="334" width="76.28515625" bestFit="1" customWidth="1"/>
    <col min="335" max="335" width="76.85546875" bestFit="1" customWidth="1"/>
    <col min="336" max="336" width="58.5703125" bestFit="1" customWidth="1"/>
    <col min="337" max="337" width="64.42578125" bestFit="1" customWidth="1"/>
    <col min="338" max="338" width="41.140625" bestFit="1" customWidth="1"/>
    <col min="339" max="339" width="68.28515625" bestFit="1" customWidth="1"/>
    <col min="340" max="340" width="63.140625" bestFit="1" customWidth="1"/>
    <col min="341" max="341" width="66.28515625" bestFit="1" customWidth="1"/>
    <col min="342" max="342" width="61.140625" bestFit="1" customWidth="1"/>
    <col min="343" max="343" width="81.140625" bestFit="1" customWidth="1"/>
    <col min="344" max="344" width="81" bestFit="1" customWidth="1"/>
    <col min="345" max="346" width="81.140625" bestFit="1" customWidth="1"/>
    <col min="347" max="347" width="79.5703125" bestFit="1" customWidth="1"/>
    <col min="348" max="348" width="81.140625" bestFit="1" customWidth="1"/>
    <col min="349" max="349" width="62" bestFit="1" customWidth="1"/>
    <col min="350" max="354" width="25" bestFit="1" customWidth="1"/>
    <col min="355" max="360" width="24.85546875" bestFit="1" customWidth="1"/>
    <col min="361" max="362" width="25" bestFit="1" customWidth="1"/>
    <col min="363" max="363" width="27.140625" bestFit="1" customWidth="1"/>
    <col min="364" max="368" width="25.85546875" bestFit="1" customWidth="1"/>
    <col min="369" max="374" width="25.7109375" bestFit="1" customWidth="1"/>
    <col min="375" max="376" width="25.85546875" bestFit="1" customWidth="1"/>
    <col min="377" max="377" width="28.140625" bestFit="1" customWidth="1"/>
    <col min="378" max="378" width="39.5703125" bestFit="1" customWidth="1"/>
    <col min="379" max="379" width="38.7109375" bestFit="1" customWidth="1"/>
    <col min="380" max="380" width="39.28515625" bestFit="1" customWidth="1"/>
    <col min="381" max="381" width="41.7109375" bestFit="1" customWidth="1"/>
    <col min="382" max="382" width="53.7109375" bestFit="1" customWidth="1"/>
    <col min="383" max="383" width="53.42578125" bestFit="1" customWidth="1"/>
    <col min="384" max="384" width="55.7109375" bestFit="1" customWidth="1"/>
    <col min="385" max="385" width="45" bestFit="1" customWidth="1"/>
    <col min="386" max="386" width="47.28515625" bestFit="1" customWidth="1"/>
    <col min="387" max="387" width="36.85546875" bestFit="1" customWidth="1"/>
    <col min="388" max="392" width="39.7109375" bestFit="1" customWidth="1"/>
    <col min="393" max="398" width="39.5703125" bestFit="1" customWidth="1"/>
    <col min="399" max="400" width="39.7109375" bestFit="1" customWidth="1"/>
    <col min="401" max="401" width="42" bestFit="1" customWidth="1"/>
    <col min="402" max="406" width="34.5703125" bestFit="1" customWidth="1"/>
    <col min="407" max="412" width="34.42578125" bestFit="1" customWidth="1"/>
    <col min="413" max="414" width="34.5703125" bestFit="1" customWidth="1"/>
    <col min="415" max="415" width="36.85546875" bestFit="1" customWidth="1"/>
    <col min="416" max="416" width="61.5703125" bestFit="1" customWidth="1"/>
    <col min="417" max="417" width="54.5703125" bestFit="1" customWidth="1"/>
    <col min="418" max="418" width="70.28515625" bestFit="1" customWidth="1"/>
    <col min="419" max="419" width="63.28515625" bestFit="1" customWidth="1"/>
    <col min="420" max="420" width="51" bestFit="1" customWidth="1"/>
    <col min="421" max="421" width="75.28515625" bestFit="1" customWidth="1"/>
    <col min="422" max="422" width="68.5703125" bestFit="1" customWidth="1"/>
    <col min="423" max="423" width="69.85546875" bestFit="1" customWidth="1"/>
    <col min="424" max="424" width="55.7109375" bestFit="1" customWidth="1"/>
    <col min="425" max="425" width="60.28515625" bestFit="1" customWidth="1"/>
    <col min="426" max="426" width="42.28515625" bestFit="1" customWidth="1"/>
    <col min="427" max="427" width="62.7109375" bestFit="1" customWidth="1"/>
    <col min="428" max="428" width="59" bestFit="1" customWidth="1"/>
    <col min="429" max="429" width="61.140625" bestFit="1" customWidth="1"/>
    <col min="430" max="430" width="57.42578125" bestFit="1" customWidth="1"/>
    <col min="431" max="431" width="76.42578125" bestFit="1" customWidth="1"/>
    <col min="432" max="432" width="72.7109375" bestFit="1" customWidth="1"/>
    <col min="433" max="434" width="81.140625" bestFit="1" customWidth="1"/>
    <col min="435" max="435" width="71" bestFit="1" customWidth="1"/>
    <col min="436" max="436" width="75.5703125" bestFit="1" customWidth="1"/>
    <col min="437" max="437" width="57.28515625" bestFit="1" customWidth="1"/>
    <col min="438" max="439" width="46.42578125" bestFit="1" customWidth="1"/>
    <col min="440" max="441" width="57.28515625" bestFit="1" customWidth="1"/>
    <col min="442" max="442" width="53.7109375" bestFit="1" customWidth="1"/>
    <col min="443" max="444" width="59.5703125" bestFit="1" customWidth="1"/>
    <col min="445" max="445" width="66.85546875" bestFit="1" customWidth="1"/>
    <col min="446" max="446" width="59.7109375" bestFit="1" customWidth="1"/>
    <col min="447" max="447" width="64.140625" bestFit="1" customWidth="1"/>
    <col min="448" max="448" width="48.5703125" bestFit="1" customWidth="1"/>
    <col min="449" max="450" width="46.42578125" bestFit="1" customWidth="1"/>
    <col min="451" max="452" width="57.28515625" bestFit="1" customWidth="1"/>
    <col min="453" max="453" width="53.7109375" bestFit="1" customWidth="1"/>
    <col min="454" max="455" width="59.5703125" bestFit="1" customWidth="1"/>
    <col min="456" max="456" width="66.85546875" bestFit="1" customWidth="1"/>
    <col min="457" max="457" width="59.7109375" bestFit="1" customWidth="1"/>
    <col min="458" max="458" width="64.140625" bestFit="1" customWidth="1"/>
    <col min="459" max="459" width="48.5703125" bestFit="1" customWidth="1"/>
    <col min="460" max="464" width="39" bestFit="1" customWidth="1"/>
    <col min="465" max="470" width="38.85546875" bestFit="1" customWidth="1"/>
    <col min="471" max="472" width="39" bestFit="1" customWidth="1"/>
    <col min="473" max="473" width="42.28515625" bestFit="1" customWidth="1"/>
    <col min="474" max="474" width="59.5703125" bestFit="1" customWidth="1"/>
    <col min="475" max="475" width="58.42578125" bestFit="1" customWidth="1"/>
    <col min="476" max="476" width="66.42578125" bestFit="1" customWidth="1"/>
    <col min="477" max="477" width="65.28515625" bestFit="1" customWidth="1"/>
    <col min="478" max="478" width="49.85546875" bestFit="1" customWidth="1"/>
    <col min="479" max="479" width="72.7109375" bestFit="1" customWidth="1"/>
    <col min="480" max="480" width="71.5703125" bestFit="1" customWidth="1"/>
    <col min="481" max="481" width="63" bestFit="1" customWidth="1"/>
    <col min="482" max="482" width="55.85546875" bestFit="1" customWidth="1"/>
    <col min="483" max="483" width="60.28515625" bestFit="1" customWidth="1"/>
    <col min="484" max="484" width="44.7109375" bestFit="1" customWidth="1"/>
    <col min="485" max="486" width="46.42578125" bestFit="1" customWidth="1"/>
    <col min="487" max="488" width="57.28515625" bestFit="1" customWidth="1"/>
    <col min="489" max="489" width="53.7109375" bestFit="1" customWidth="1"/>
    <col min="490" max="491" width="59.5703125" bestFit="1" customWidth="1"/>
    <col min="492" max="492" width="66.85546875" bestFit="1" customWidth="1"/>
    <col min="493" max="493" width="59.7109375" bestFit="1" customWidth="1"/>
    <col min="494" max="494" width="64.140625" bestFit="1" customWidth="1"/>
    <col min="495" max="495" width="48.5703125" bestFit="1" customWidth="1"/>
    <col min="496" max="497" width="44.7109375" bestFit="1" customWidth="1"/>
    <col min="498" max="498" width="47.85546875" bestFit="1" customWidth="1"/>
    <col min="499" max="503" width="39" bestFit="1" customWidth="1"/>
    <col min="504" max="509" width="38.85546875" bestFit="1" customWidth="1"/>
    <col min="510" max="511" width="39" bestFit="1" customWidth="1"/>
    <col min="512" max="512" width="42.28515625" bestFit="1" customWidth="1"/>
    <col min="513" max="513" width="59.5703125" bestFit="1" customWidth="1"/>
    <col min="514" max="514" width="58.42578125" bestFit="1" customWidth="1"/>
    <col min="515" max="515" width="66.42578125" bestFit="1" customWidth="1"/>
    <col min="516" max="516" width="65.28515625" bestFit="1" customWidth="1"/>
    <col min="517" max="517" width="49.85546875" bestFit="1" customWidth="1"/>
    <col min="518" max="518" width="72.7109375" bestFit="1" customWidth="1"/>
    <col min="519" max="519" width="71.5703125" bestFit="1" customWidth="1"/>
    <col min="520" max="520" width="63" bestFit="1" customWidth="1"/>
    <col min="521" max="521" width="55.85546875" bestFit="1" customWidth="1"/>
    <col min="522" max="522" width="60.28515625" bestFit="1" customWidth="1"/>
    <col min="523" max="523" width="44.7109375" bestFit="1" customWidth="1"/>
    <col min="524" max="525" width="46.42578125" bestFit="1" customWidth="1"/>
    <col min="526" max="527" width="57.28515625" bestFit="1" customWidth="1"/>
    <col min="528" max="528" width="53.7109375" bestFit="1" customWidth="1"/>
    <col min="529" max="530" width="59.5703125" bestFit="1" customWidth="1"/>
    <col min="531" max="531" width="66.85546875" bestFit="1" customWidth="1"/>
    <col min="532" max="532" width="59.7109375" bestFit="1" customWidth="1"/>
    <col min="533" max="533" width="64.140625" bestFit="1" customWidth="1"/>
    <col min="534" max="534" width="48.5703125" bestFit="1" customWidth="1"/>
    <col min="535" max="535" width="55.85546875" bestFit="1" customWidth="1"/>
    <col min="536" max="536" width="60.28515625" bestFit="1" customWidth="1"/>
    <col min="537" max="537" width="44.7109375" bestFit="1" customWidth="1"/>
    <col min="538" max="539" width="46.42578125" bestFit="1" customWidth="1"/>
    <col min="540" max="541" width="57.28515625" bestFit="1" customWidth="1"/>
    <col min="542" max="542" width="53.7109375" bestFit="1" customWidth="1"/>
    <col min="543" max="544" width="59.5703125" bestFit="1" customWidth="1"/>
    <col min="545" max="545" width="66.85546875" bestFit="1" customWidth="1"/>
    <col min="546" max="546" width="59.7109375" bestFit="1" customWidth="1"/>
    <col min="547" max="547" width="64.140625" bestFit="1" customWidth="1"/>
    <col min="548" max="548" width="48.5703125" bestFit="1" customWidth="1"/>
    <col min="549" max="549" width="64.140625" bestFit="1" customWidth="1"/>
    <col min="550" max="550" width="48.5703125" customWidth="1"/>
    <col min="551" max="551" width="17.5703125" bestFit="1" customWidth="1"/>
  </cols>
  <sheetData>
    <row r="1" spans="1:129">
      <c r="A1" t="s">
        <v>1830</v>
      </c>
      <c r="B1" t="s">
        <v>1831</v>
      </c>
      <c r="C1" t="s">
        <v>1832</v>
      </c>
      <c r="D1" t="s">
        <v>1833</v>
      </c>
      <c r="E1" t="s">
        <v>1834</v>
      </c>
      <c r="F1" t="s">
        <v>210</v>
      </c>
      <c r="G1" t="s">
        <v>8</v>
      </c>
      <c r="H1" t="s">
        <v>1835</v>
      </c>
      <c r="I1" t="s">
        <v>1234</v>
      </c>
      <c r="J1" t="s">
        <v>1836</v>
      </c>
      <c r="K1" t="s">
        <v>1837</v>
      </c>
      <c r="L1" t="s">
        <v>1838</v>
      </c>
      <c r="M1" t="s">
        <v>1839</v>
      </c>
      <c r="N1" t="s">
        <v>7</v>
      </c>
      <c r="O1" t="s">
        <v>9</v>
      </c>
      <c r="P1" t="s">
        <v>1840</v>
      </c>
      <c r="Q1" t="s">
        <v>1841</v>
      </c>
      <c r="R1" t="s">
        <v>1842</v>
      </c>
      <c r="S1" t="s">
        <v>1843</v>
      </c>
      <c r="T1" t="s">
        <v>316</v>
      </c>
      <c r="U1" t="s">
        <v>1844</v>
      </c>
      <c r="V1" t="s">
        <v>1845</v>
      </c>
      <c r="W1" t="s">
        <v>220</v>
      </c>
      <c r="X1" t="s">
        <v>1846</v>
      </c>
      <c r="Y1" t="s">
        <v>1847</v>
      </c>
      <c r="Z1" t="s">
        <v>1848</v>
      </c>
      <c r="AA1" t="s">
        <v>1849</v>
      </c>
      <c r="AB1" t="s">
        <v>1850</v>
      </c>
      <c r="AC1" t="s">
        <v>1851</v>
      </c>
      <c r="AD1" t="s">
        <v>1852</v>
      </c>
      <c r="AE1" t="s">
        <v>1853</v>
      </c>
      <c r="AF1" t="s">
        <v>1854</v>
      </c>
      <c r="AG1" t="s">
        <v>1855</v>
      </c>
      <c r="AH1" t="s">
        <v>1856</v>
      </c>
      <c r="AI1" t="s">
        <v>1857</v>
      </c>
      <c r="AJ1" t="s">
        <v>1858</v>
      </c>
      <c r="AK1" t="s">
        <v>1859</v>
      </c>
      <c r="AL1" t="s">
        <v>1860</v>
      </c>
      <c r="AM1" t="s">
        <v>1861</v>
      </c>
      <c r="AN1" t="s">
        <v>1862</v>
      </c>
      <c r="AO1" t="s">
        <v>1863</v>
      </c>
      <c r="AP1" t="s">
        <v>1864</v>
      </c>
      <c r="AQ1" t="s">
        <v>1865</v>
      </c>
      <c r="AR1" t="s">
        <v>1866</v>
      </c>
      <c r="AS1" t="s">
        <v>1867</v>
      </c>
      <c r="AT1" t="s">
        <v>1868</v>
      </c>
      <c r="AU1" t="s">
        <v>1869</v>
      </c>
      <c r="AV1" t="s">
        <v>1870</v>
      </c>
      <c r="AW1" t="s">
        <v>1871</v>
      </c>
      <c r="AX1" t="s">
        <v>1872</v>
      </c>
      <c r="AY1" t="s">
        <v>1873</v>
      </c>
      <c r="AZ1" t="s">
        <v>1874</v>
      </c>
      <c r="BA1" t="s">
        <v>1875</v>
      </c>
      <c r="BB1" t="s">
        <v>1876</v>
      </c>
      <c r="BC1" t="s">
        <v>1877</v>
      </c>
      <c r="BD1" t="s">
        <v>1878</v>
      </c>
      <c r="BE1" t="s">
        <v>1879</v>
      </c>
      <c r="BF1" t="s">
        <v>1880</v>
      </c>
      <c r="BG1" t="s">
        <v>1881</v>
      </c>
      <c r="BH1" t="s">
        <v>1882</v>
      </c>
      <c r="BI1" t="s">
        <v>1883</v>
      </c>
      <c r="BJ1" t="s">
        <v>1884</v>
      </c>
      <c r="BK1" t="s">
        <v>1885</v>
      </c>
      <c r="BL1" t="s">
        <v>1886</v>
      </c>
      <c r="BM1" t="s">
        <v>1887</v>
      </c>
      <c r="BN1" t="s">
        <v>1888</v>
      </c>
      <c r="BO1" t="s">
        <v>1889</v>
      </c>
      <c r="BP1" t="s">
        <v>1890</v>
      </c>
      <c r="BQ1" t="s">
        <v>1891</v>
      </c>
      <c r="BR1" t="s">
        <v>1892</v>
      </c>
      <c r="BS1" t="s">
        <v>1893</v>
      </c>
      <c r="BT1" t="s">
        <v>1894</v>
      </c>
      <c r="BU1" t="s">
        <v>1895</v>
      </c>
      <c r="BV1" t="s">
        <v>1896</v>
      </c>
      <c r="BW1" t="s">
        <v>1897</v>
      </c>
      <c r="BX1" t="s">
        <v>1898</v>
      </c>
      <c r="BY1" t="s">
        <v>1899</v>
      </c>
      <c r="BZ1" t="s">
        <v>1900</v>
      </c>
      <c r="CA1" t="s">
        <v>1901</v>
      </c>
      <c r="CB1" t="s">
        <v>1902</v>
      </c>
      <c r="CC1" t="s">
        <v>1903</v>
      </c>
      <c r="CD1" t="s">
        <v>1904</v>
      </c>
      <c r="CE1" t="s">
        <v>1905</v>
      </c>
      <c r="CF1" t="s">
        <v>1906</v>
      </c>
      <c r="CG1" t="s">
        <v>1907</v>
      </c>
      <c r="CH1" t="s">
        <v>1908</v>
      </c>
      <c r="CI1" t="s">
        <v>1909</v>
      </c>
      <c r="CJ1" t="s">
        <v>1910</v>
      </c>
      <c r="CK1" t="s">
        <v>1911</v>
      </c>
      <c r="CL1" t="s">
        <v>1912</v>
      </c>
      <c r="CM1" t="s">
        <v>1913</v>
      </c>
      <c r="CN1" t="s">
        <v>1914</v>
      </c>
      <c r="CO1" t="s">
        <v>1915</v>
      </c>
      <c r="CP1" t="s">
        <v>1916</v>
      </c>
      <c r="CQ1" t="s">
        <v>1917</v>
      </c>
      <c r="CR1" t="s">
        <v>1918</v>
      </c>
      <c r="CS1" t="s">
        <v>1919</v>
      </c>
      <c r="CT1" t="s">
        <v>1920</v>
      </c>
      <c r="CU1" t="s">
        <v>1921</v>
      </c>
      <c r="CV1" t="s">
        <v>1922</v>
      </c>
      <c r="CW1" t="s">
        <v>1923</v>
      </c>
      <c r="CX1" t="s">
        <v>1924</v>
      </c>
      <c r="CY1" t="s">
        <v>1925</v>
      </c>
      <c r="CZ1" t="s">
        <v>1926</v>
      </c>
      <c r="DA1" t="s">
        <v>1927</v>
      </c>
      <c r="DB1" t="s">
        <v>1928</v>
      </c>
      <c r="DC1" t="s">
        <v>1929</v>
      </c>
      <c r="DD1" t="s">
        <v>1930</v>
      </c>
      <c r="DE1" t="s">
        <v>1931</v>
      </c>
      <c r="DF1" t="s">
        <v>1932</v>
      </c>
      <c r="DG1" t="s">
        <v>1933</v>
      </c>
      <c r="DH1" t="s">
        <v>1934</v>
      </c>
      <c r="DI1" t="s">
        <v>1935</v>
      </c>
      <c r="DJ1" t="s">
        <v>1936</v>
      </c>
      <c r="DK1" t="s">
        <v>1937</v>
      </c>
      <c r="DL1" t="s">
        <v>1938</v>
      </c>
      <c r="DM1" t="s">
        <v>1939</v>
      </c>
      <c r="DN1" t="s">
        <v>1940</v>
      </c>
      <c r="DO1" t="s">
        <v>1941</v>
      </c>
      <c r="DP1" t="s">
        <v>1942</v>
      </c>
      <c r="DQ1" t="s">
        <v>1943</v>
      </c>
      <c r="DR1" t="s">
        <v>1944</v>
      </c>
      <c r="DS1" t="s">
        <v>1945</v>
      </c>
      <c r="DT1" t="s">
        <v>1946</v>
      </c>
      <c r="DU1" t="s">
        <v>1947</v>
      </c>
      <c r="DV1" t="s">
        <v>1948</v>
      </c>
      <c r="DW1" t="s">
        <v>1949</v>
      </c>
      <c r="DX1" t="s">
        <v>1950</v>
      </c>
      <c r="DY1" t="s">
        <v>1951</v>
      </c>
    </row>
    <row r="2" spans="1:129">
      <c r="A2" t="s">
        <v>1952</v>
      </c>
      <c r="C2" t="s">
        <v>1954</v>
      </c>
      <c r="D2">
        <v>1</v>
      </c>
      <c r="E2" s="195">
        <v>44562</v>
      </c>
      <c r="F2">
        <v>1</v>
      </c>
      <c r="G2">
        <v>3</v>
      </c>
      <c r="H2">
        <v>80</v>
      </c>
      <c r="I2" t="s">
        <v>385</v>
      </c>
      <c r="J2" t="s">
        <v>1975</v>
      </c>
      <c r="K2" t="s">
        <v>45</v>
      </c>
      <c r="M2" t="s">
        <v>55</v>
      </c>
      <c r="N2" t="s">
        <v>639</v>
      </c>
      <c r="O2" t="s">
        <v>630</v>
      </c>
      <c r="P2">
        <v>0</v>
      </c>
      <c r="R2">
        <v>2.4</v>
      </c>
      <c r="S2">
        <v>6.1933666666666669</v>
      </c>
      <c r="T2">
        <v>12.5</v>
      </c>
      <c r="U2">
        <v>14.86408</v>
      </c>
      <c r="V2">
        <v>0</v>
      </c>
      <c r="X2">
        <v>50</v>
      </c>
      <c r="Y2" t="s">
        <v>224</v>
      </c>
      <c r="AA2" t="s">
        <v>937</v>
      </c>
      <c r="AH2">
        <v>135.93664000000001</v>
      </c>
      <c r="AI2">
        <v>0</v>
      </c>
      <c r="AJ2">
        <v>0</v>
      </c>
      <c r="AK2">
        <v>135.93664000000001</v>
      </c>
      <c r="AL2">
        <v>7.0451160589727975</v>
      </c>
      <c r="AM2">
        <v>31.172392101880504</v>
      </c>
      <c r="AN2">
        <v>0</v>
      </c>
      <c r="AO2">
        <v>0</v>
      </c>
      <c r="AP2">
        <v>0</v>
      </c>
      <c r="AQ2">
        <v>0</v>
      </c>
      <c r="AR2">
        <v>0</v>
      </c>
      <c r="AS2">
        <v>0</v>
      </c>
      <c r="AT2">
        <v>0</v>
      </c>
      <c r="AU2">
        <v>0</v>
      </c>
      <c r="AV2">
        <v>0</v>
      </c>
      <c r="AW2">
        <v>174.15414816085331</v>
      </c>
      <c r="AX2">
        <v>1739.8856776000002</v>
      </c>
      <c r="AY2">
        <v>102.14733670400001</v>
      </c>
      <c r="AZ2">
        <v>93.203792136000004</v>
      </c>
      <c r="BA2">
        <v>1935.23680644</v>
      </c>
      <c r="BB2">
        <v>62.791662735955988</v>
      </c>
      <c r="BC2">
        <v>350.06280148007863</v>
      </c>
      <c r="BD2">
        <v>0</v>
      </c>
      <c r="BE2">
        <v>0</v>
      </c>
      <c r="BF2">
        <v>0</v>
      </c>
      <c r="BG2">
        <v>0</v>
      </c>
      <c r="BH2">
        <v>0</v>
      </c>
      <c r="BI2">
        <v>0</v>
      </c>
      <c r="BJ2">
        <v>0</v>
      </c>
      <c r="BK2">
        <v>0</v>
      </c>
      <c r="BL2">
        <v>0</v>
      </c>
      <c r="BM2">
        <v>2348.0912706560348</v>
      </c>
      <c r="BN2">
        <v>14.86408</v>
      </c>
      <c r="BO2">
        <v>0.111358574610245</v>
      </c>
      <c r="BP2">
        <v>13.20883723830735</v>
      </c>
      <c r="BQ2">
        <v>1.6552427616926504</v>
      </c>
      <c r="BR2">
        <v>0</v>
      </c>
      <c r="BS2">
        <v>0</v>
      </c>
      <c r="BT2">
        <v>0</v>
      </c>
      <c r="BU2">
        <v>13.20883723830735</v>
      </c>
      <c r="BV2">
        <v>1.6552427616926504</v>
      </c>
      <c r="BW2">
        <v>14.86408</v>
      </c>
      <c r="BX2">
        <v>1525.8472879999999</v>
      </c>
      <c r="BY2">
        <v>21.510770960000002</v>
      </c>
      <c r="BZ2">
        <v>118.02335943999999</v>
      </c>
      <c r="CA2">
        <v>1665.3814184</v>
      </c>
      <c r="CB2">
        <v>16.978109657123998</v>
      </c>
      <c r="CC2">
        <v>82.73638323691371</v>
      </c>
      <c r="CD2">
        <v>0</v>
      </c>
      <c r="CE2">
        <v>0</v>
      </c>
      <c r="CF2">
        <v>0</v>
      </c>
      <c r="CG2">
        <v>0</v>
      </c>
      <c r="CH2">
        <v>0</v>
      </c>
      <c r="CI2">
        <v>0</v>
      </c>
      <c r="CJ2">
        <v>0</v>
      </c>
      <c r="CK2">
        <v>0</v>
      </c>
      <c r="CL2">
        <v>0</v>
      </c>
      <c r="CM2">
        <v>1765.0959112940377</v>
      </c>
      <c r="CN2">
        <v>1793.1128012395138</v>
      </c>
      <c r="CO2">
        <v>312.30320743886881</v>
      </c>
      <c r="CP2">
        <v>283.96427839441202</v>
      </c>
      <c r="CQ2">
        <v>2389.3802870727945</v>
      </c>
      <c r="CR2">
        <v>1085.5778676512</v>
      </c>
      <c r="CS2">
        <v>4528.7883253137197</v>
      </c>
      <c r="CT2">
        <v>0</v>
      </c>
      <c r="CU2">
        <v>0</v>
      </c>
      <c r="CV2">
        <v>0</v>
      </c>
      <c r="CW2">
        <v>0</v>
      </c>
      <c r="CX2">
        <v>0</v>
      </c>
      <c r="CY2">
        <v>0</v>
      </c>
      <c r="CZ2">
        <v>0</v>
      </c>
      <c r="DA2">
        <v>0</v>
      </c>
      <c r="DB2">
        <v>0</v>
      </c>
      <c r="DC2">
        <v>8003.7464800377147</v>
      </c>
      <c r="DD2">
        <v>743.20399999999995</v>
      </c>
      <c r="DE2">
        <v>0</v>
      </c>
      <c r="DF2" t="s">
        <v>135</v>
      </c>
      <c r="DG2" t="s">
        <v>135</v>
      </c>
      <c r="DH2">
        <v>0</v>
      </c>
      <c r="DI2">
        <v>0</v>
      </c>
      <c r="DJ2">
        <v>0</v>
      </c>
      <c r="DK2">
        <v>0</v>
      </c>
      <c r="DL2">
        <v>0</v>
      </c>
      <c r="DM2">
        <v>743.20399999999995</v>
      </c>
      <c r="DN2">
        <v>743.20399999999995</v>
      </c>
      <c r="DQ2" t="s">
        <v>135</v>
      </c>
      <c r="DR2" t="s">
        <v>135</v>
      </c>
      <c r="DS2">
        <v>0</v>
      </c>
      <c r="DT2">
        <v>0</v>
      </c>
      <c r="DU2">
        <v>0</v>
      </c>
      <c r="DV2">
        <v>6.4</v>
      </c>
      <c r="DW2">
        <v>6.4</v>
      </c>
      <c r="DX2">
        <v>1.6992080000000001</v>
      </c>
      <c r="DY2">
        <v>24.190460080499999</v>
      </c>
    </row>
    <row r="3" spans="1:129">
      <c r="A3" t="s">
        <v>1952</v>
      </c>
      <c r="C3" t="s">
        <v>1954</v>
      </c>
      <c r="D3">
        <v>1</v>
      </c>
      <c r="E3" s="195">
        <v>44562</v>
      </c>
      <c r="F3">
        <v>1</v>
      </c>
      <c r="G3">
        <v>3</v>
      </c>
      <c r="H3">
        <v>1050</v>
      </c>
      <c r="I3" t="s">
        <v>385</v>
      </c>
      <c r="J3" t="s">
        <v>1976</v>
      </c>
      <c r="K3" t="s">
        <v>45</v>
      </c>
      <c r="M3" t="s">
        <v>55</v>
      </c>
      <c r="N3" t="s">
        <v>235</v>
      </c>
      <c r="O3" t="s">
        <v>630</v>
      </c>
      <c r="P3">
        <v>0</v>
      </c>
      <c r="R3">
        <v>2.4</v>
      </c>
      <c r="S3">
        <v>45.71875</v>
      </c>
      <c r="T3">
        <v>12.5</v>
      </c>
      <c r="U3">
        <v>109.72499999999999</v>
      </c>
      <c r="V3">
        <v>0</v>
      </c>
      <c r="X3">
        <v>50</v>
      </c>
      <c r="Y3" t="s">
        <v>224</v>
      </c>
      <c r="AA3" t="s">
        <v>937</v>
      </c>
      <c r="AH3">
        <v>1597.0919999999994</v>
      </c>
      <c r="AI3">
        <v>0</v>
      </c>
      <c r="AJ3">
        <v>0</v>
      </c>
      <c r="AK3">
        <v>1011.255</v>
      </c>
      <c r="AL3">
        <v>52.006270120370061</v>
      </c>
      <c r="AM3">
        <v>384.73641799257217</v>
      </c>
      <c r="AN3">
        <v>0</v>
      </c>
      <c r="AO3">
        <v>0</v>
      </c>
      <c r="AP3">
        <v>0</v>
      </c>
      <c r="AQ3">
        <v>0</v>
      </c>
      <c r="AR3">
        <v>0</v>
      </c>
      <c r="AS3">
        <v>0</v>
      </c>
      <c r="AT3">
        <v>0</v>
      </c>
      <c r="AU3">
        <v>0</v>
      </c>
      <c r="AV3">
        <v>0</v>
      </c>
      <c r="AW3">
        <v>1447.9976881129421</v>
      </c>
      <c r="AX3">
        <v>12877.44255</v>
      </c>
      <c r="AY3">
        <v>756.02469600000006</v>
      </c>
      <c r="AZ3">
        <v>689.83070100000009</v>
      </c>
      <c r="BA3">
        <v>14323.297947000001</v>
      </c>
      <c r="BB3">
        <v>463.52113240124999</v>
      </c>
      <c r="BC3">
        <v>4251.4551320700375</v>
      </c>
      <c r="BD3">
        <v>0</v>
      </c>
      <c r="BE3">
        <v>0</v>
      </c>
      <c r="BF3">
        <v>0</v>
      </c>
      <c r="BG3">
        <v>0</v>
      </c>
      <c r="BH3">
        <v>0</v>
      </c>
      <c r="BI3">
        <v>0</v>
      </c>
      <c r="BJ3">
        <v>0</v>
      </c>
      <c r="BK3">
        <v>0</v>
      </c>
      <c r="BL3">
        <v>0</v>
      </c>
      <c r="BM3">
        <v>19038.274211471289</v>
      </c>
      <c r="BN3">
        <v>109.72499999999999</v>
      </c>
      <c r="BO3">
        <v>0.11177052423343201</v>
      </c>
      <c r="BP3">
        <v>97.460979228486636</v>
      </c>
      <c r="BQ3">
        <v>12.264020771513351</v>
      </c>
      <c r="BR3">
        <v>0</v>
      </c>
      <c r="BS3">
        <v>0</v>
      </c>
      <c r="BT3">
        <v>0</v>
      </c>
      <c r="BU3">
        <v>97.460979228486636</v>
      </c>
      <c r="BV3">
        <v>12.264020771513351</v>
      </c>
      <c r="BW3">
        <v>109.72499999999999</v>
      </c>
      <c r="BX3">
        <v>11293.277099999999</v>
      </c>
      <c r="BY3">
        <v>159.20801400000002</v>
      </c>
      <c r="BZ3">
        <v>873.52812749999998</v>
      </c>
      <c r="CA3">
        <v>12326.013241499999</v>
      </c>
      <c r="CB3">
        <v>125.33053388625</v>
      </c>
      <c r="CC3">
        <v>797.02627907358738</v>
      </c>
      <c r="CD3">
        <v>0</v>
      </c>
      <c r="CE3">
        <v>0</v>
      </c>
      <c r="CF3">
        <v>0</v>
      </c>
      <c r="CG3">
        <v>0</v>
      </c>
      <c r="CH3">
        <v>0</v>
      </c>
      <c r="CI3">
        <v>0</v>
      </c>
      <c r="CJ3">
        <v>0</v>
      </c>
      <c r="CK3">
        <v>0</v>
      </c>
      <c r="CL3">
        <v>0</v>
      </c>
      <c r="CM3">
        <v>13248.370054459836</v>
      </c>
      <c r="CN3">
        <v>7464.2261462999995</v>
      </c>
      <c r="CO3">
        <v>1300.0307974499999</v>
      </c>
      <c r="CP3">
        <v>1182.0636943499999</v>
      </c>
      <c r="CQ3">
        <v>9946.3206381</v>
      </c>
      <c r="CR3">
        <v>8013.6161490000004</v>
      </c>
      <c r="CS3">
        <v>58610.880099932998</v>
      </c>
      <c r="CT3">
        <v>0</v>
      </c>
      <c r="CU3">
        <v>0</v>
      </c>
      <c r="CV3">
        <v>0</v>
      </c>
      <c r="CW3">
        <v>0</v>
      </c>
      <c r="CX3">
        <v>0</v>
      </c>
      <c r="CY3">
        <v>0</v>
      </c>
      <c r="CZ3">
        <v>0</v>
      </c>
      <c r="DA3">
        <v>0</v>
      </c>
      <c r="DB3">
        <v>0</v>
      </c>
      <c r="DC3">
        <v>76570.816887032997</v>
      </c>
      <c r="DD3">
        <v>5486.25</v>
      </c>
      <c r="DE3">
        <v>0</v>
      </c>
      <c r="DF3" t="s">
        <v>135</v>
      </c>
      <c r="DG3" t="s">
        <v>135</v>
      </c>
      <c r="DH3">
        <v>0</v>
      </c>
      <c r="DI3">
        <v>0</v>
      </c>
      <c r="DJ3">
        <v>0</v>
      </c>
      <c r="DK3">
        <v>0</v>
      </c>
      <c r="DL3">
        <v>0</v>
      </c>
      <c r="DM3">
        <v>5486.25</v>
      </c>
      <c r="DN3">
        <v>5486.25</v>
      </c>
      <c r="DQ3" t="s">
        <v>135</v>
      </c>
      <c r="DR3" t="s">
        <v>135</v>
      </c>
      <c r="DS3">
        <v>0</v>
      </c>
      <c r="DT3">
        <v>0</v>
      </c>
      <c r="DU3">
        <v>0</v>
      </c>
      <c r="DV3">
        <v>84</v>
      </c>
      <c r="DW3">
        <v>84</v>
      </c>
      <c r="DX3">
        <v>0.96309999999999996</v>
      </c>
      <c r="DY3">
        <v>13.64123614</v>
      </c>
    </row>
    <row r="4" spans="1:129">
      <c r="A4" t="s">
        <v>1952</v>
      </c>
      <c r="C4" t="s">
        <v>1954</v>
      </c>
      <c r="D4">
        <v>1</v>
      </c>
      <c r="E4" s="195">
        <v>44562</v>
      </c>
      <c r="F4">
        <v>1</v>
      </c>
      <c r="G4">
        <v>3</v>
      </c>
      <c r="H4">
        <v>175</v>
      </c>
      <c r="I4" t="s">
        <v>385</v>
      </c>
      <c r="J4" t="s">
        <v>1977</v>
      </c>
      <c r="K4" t="s">
        <v>45</v>
      </c>
      <c r="M4" t="s">
        <v>55</v>
      </c>
      <c r="N4" t="s">
        <v>235</v>
      </c>
      <c r="O4" t="s">
        <v>630</v>
      </c>
      <c r="P4">
        <v>0</v>
      </c>
      <c r="R4">
        <v>2.4</v>
      </c>
      <c r="S4">
        <v>7.6197916666666661</v>
      </c>
      <c r="T4">
        <v>12.5</v>
      </c>
      <c r="U4">
        <v>18.287499999999998</v>
      </c>
      <c r="V4">
        <v>0</v>
      </c>
      <c r="X4">
        <v>50</v>
      </c>
      <c r="Y4" t="s">
        <v>224</v>
      </c>
      <c r="AA4" t="s">
        <v>937</v>
      </c>
      <c r="AH4">
        <v>266.1819999999999</v>
      </c>
      <c r="AI4">
        <v>0</v>
      </c>
      <c r="AJ4">
        <v>0</v>
      </c>
      <c r="AK4">
        <v>168.54249999999999</v>
      </c>
      <c r="AL4">
        <v>8.6677116867283424</v>
      </c>
      <c r="AM4">
        <v>64.122736332095357</v>
      </c>
      <c r="AN4">
        <v>0</v>
      </c>
      <c r="AO4">
        <v>0</v>
      </c>
      <c r="AP4">
        <v>0</v>
      </c>
      <c r="AQ4">
        <v>0</v>
      </c>
      <c r="AR4">
        <v>0</v>
      </c>
      <c r="AS4">
        <v>0</v>
      </c>
      <c r="AT4">
        <v>0</v>
      </c>
      <c r="AU4">
        <v>0</v>
      </c>
      <c r="AV4">
        <v>0</v>
      </c>
      <c r="AW4">
        <v>241.33294801882369</v>
      </c>
      <c r="AX4">
        <v>2146.240425</v>
      </c>
      <c r="AY4">
        <v>126.00411600000001</v>
      </c>
      <c r="AZ4">
        <v>114.9717835</v>
      </c>
      <c r="BA4">
        <v>2387.2163245000002</v>
      </c>
      <c r="BB4">
        <v>77.253522066874979</v>
      </c>
      <c r="BC4">
        <v>708.57585534500618</v>
      </c>
      <c r="BD4">
        <v>0</v>
      </c>
      <c r="BE4">
        <v>0</v>
      </c>
      <c r="BF4">
        <v>0</v>
      </c>
      <c r="BG4">
        <v>0</v>
      </c>
      <c r="BH4">
        <v>0</v>
      </c>
      <c r="BI4">
        <v>0</v>
      </c>
      <c r="BJ4">
        <v>0</v>
      </c>
      <c r="BK4">
        <v>0</v>
      </c>
      <c r="BL4">
        <v>0</v>
      </c>
      <c r="BM4">
        <v>3173.0457019118812</v>
      </c>
      <c r="BN4">
        <v>18.287499999999998</v>
      </c>
      <c r="BO4">
        <v>0.11177052423343201</v>
      </c>
      <c r="BP4">
        <v>16.243496538081107</v>
      </c>
      <c r="BQ4">
        <v>2.044003461918892</v>
      </c>
      <c r="BR4">
        <v>0</v>
      </c>
      <c r="BS4">
        <v>0</v>
      </c>
      <c r="BT4">
        <v>0</v>
      </c>
      <c r="BU4">
        <v>16.243496538081107</v>
      </c>
      <c r="BV4">
        <v>2.044003461918892</v>
      </c>
      <c r="BW4">
        <v>18.287499999999998</v>
      </c>
      <c r="BX4">
        <v>1882.2128499999999</v>
      </c>
      <c r="BY4">
        <v>26.534669000000001</v>
      </c>
      <c r="BZ4">
        <v>145.58802125</v>
      </c>
      <c r="CA4">
        <v>2054.3355402500001</v>
      </c>
      <c r="CB4">
        <v>20.888422314374996</v>
      </c>
      <c r="CC4">
        <v>132.83771317893124</v>
      </c>
      <c r="CD4">
        <v>0</v>
      </c>
      <c r="CE4">
        <v>0</v>
      </c>
      <c r="CF4">
        <v>0</v>
      </c>
      <c r="CG4">
        <v>0</v>
      </c>
      <c r="CH4">
        <v>0</v>
      </c>
      <c r="CI4">
        <v>0</v>
      </c>
      <c r="CJ4">
        <v>0</v>
      </c>
      <c r="CK4">
        <v>0</v>
      </c>
      <c r="CL4">
        <v>0</v>
      </c>
      <c r="CM4">
        <v>2208.0616757433063</v>
      </c>
      <c r="CN4">
        <v>1244.0376910499999</v>
      </c>
      <c r="CO4">
        <v>216.67179957499997</v>
      </c>
      <c r="CP4">
        <v>197.01061572499998</v>
      </c>
      <c r="CQ4">
        <v>1657.7201063499999</v>
      </c>
      <c r="CR4">
        <v>1335.6026914999998</v>
      </c>
      <c r="CS4">
        <v>9768.4800166554996</v>
      </c>
      <c r="CT4">
        <v>0</v>
      </c>
      <c r="CU4">
        <v>0</v>
      </c>
      <c r="CV4">
        <v>0</v>
      </c>
      <c r="CW4">
        <v>0</v>
      </c>
      <c r="CX4">
        <v>0</v>
      </c>
      <c r="CY4">
        <v>0</v>
      </c>
      <c r="CZ4">
        <v>0</v>
      </c>
      <c r="DA4">
        <v>0</v>
      </c>
      <c r="DB4">
        <v>0</v>
      </c>
      <c r="DC4">
        <v>12761.8028145055</v>
      </c>
      <c r="DD4">
        <v>914.37499999999989</v>
      </c>
      <c r="DE4">
        <v>0</v>
      </c>
      <c r="DF4" t="s">
        <v>135</v>
      </c>
      <c r="DG4" t="s">
        <v>135</v>
      </c>
      <c r="DH4">
        <v>0</v>
      </c>
      <c r="DI4">
        <v>0</v>
      </c>
      <c r="DJ4">
        <v>0</v>
      </c>
      <c r="DK4">
        <v>0</v>
      </c>
      <c r="DL4">
        <v>0</v>
      </c>
      <c r="DM4">
        <v>914.37499999999989</v>
      </c>
      <c r="DN4">
        <v>914.37499999999989</v>
      </c>
      <c r="DQ4" t="s">
        <v>135</v>
      </c>
      <c r="DR4" t="s">
        <v>135</v>
      </c>
      <c r="DS4">
        <v>0</v>
      </c>
      <c r="DT4">
        <v>0</v>
      </c>
      <c r="DU4">
        <v>0</v>
      </c>
      <c r="DV4">
        <v>14</v>
      </c>
      <c r="DW4">
        <v>14</v>
      </c>
      <c r="DX4">
        <v>0.96309999999999996</v>
      </c>
      <c r="DY4">
        <v>13.64123614</v>
      </c>
    </row>
    <row r="5" spans="1:129">
      <c r="A5" t="s">
        <v>1952</v>
      </c>
      <c r="C5" t="s">
        <v>1954</v>
      </c>
      <c r="D5">
        <v>1</v>
      </c>
      <c r="E5" s="195">
        <v>44562</v>
      </c>
      <c r="F5">
        <v>1</v>
      </c>
      <c r="G5">
        <v>3</v>
      </c>
      <c r="H5">
        <v>100</v>
      </c>
      <c r="I5" t="s">
        <v>385</v>
      </c>
      <c r="J5" t="s">
        <v>1978</v>
      </c>
      <c r="K5" t="s">
        <v>45</v>
      </c>
      <c r="M5" t="s">
        <v>55</v>
      </c>
      <c r="N5" t="s">
        <v>639</v>
      </c>
      <c r="O5" t="s">
        <v>630</v>
      </c>
      <c r="P5">
        <v>0</v>
      </c>
      <c r="R5">
        <v>2.4</v>
      </c>
      <c r="S5">
        <v>7.7417083333333325</v>
      </c>
      <c r="T5">
        <v>12.5</v>
      </c>
      <c r="U5">
        <v>18.580099999999998</v>
      </c>
      <c r="V5">
        <v>0</v>
      </c>
      <c r="X5">
        <v>50</v>
      </c>
      <c r="Y5" t="s">
        <v>224</v>
      </c>
      <c r="AA5" t="s">
        <v>937</v>
      </c>
      <c r="AH5">
        <v>169.92080000000001</v>
      </c>
      <c r="AI5">
        <v>0</v>
      </c>
      <c r="AJ5">
        <v>0</v>
      </c>
      <c r="AK5">
        <v>169.92080000000001</v>
      </c>
      <c r="AL5">
        <v>8.8063950737159953</v>
      </c>
      <c r="AM5">
        <v>38.965490127350627</v>
      </c>
      <c r="AN5">
        <v>0</v>
      </c>
      <c r="AO5">
        <v>0</v>
      </c>
      <c r="AP5">
        <v>0</v>
      </c>
      <c r="AQ5">
        <v>0</v>
      </c>
      <c r="AR5">
        <v>0</v>
      </c>
      <c r="AS5">
        <v>0</v>
      </c>
      <c r="AT5">
        <v>0</v>
      </c>
      <c r="AU5">
        <v>0</v>
      </c>
      <c r="AV5">
        <v>0</v>
      </c>
      <c r="AW5">
        <v>217.69268520106664</v>
      </c>
      <c r="AX5">
        <v>2174.8570970000001</v>
      </c>
      <c r="AY5">
        <v>127.68417088000001</v>
      </c>
      <c r="AZ5">
        <v>116.50474017000001</v>
      </c>
      <c r="BA5">
        <v>2419.0460080499997</v>
      </c>
      <c r="BB5">
        <v>78.489578419944991</v>
      </c>
      <c r="BC5">
        <v>437.57850185009829</v>
      </c>
      <c r="BD5">
        <v>0</v>
      </c>
      <c r="BE5">
        <v>0</v>
      </c>
      <c r="BF5">
        <v>0</v>
      </c>
      <c r="BG5">
        <v>0</v>
      </c>
      <c r="BH5">
        <v>0</v>
      </c>
      <c r="BI5">
        <v>0</v>
      </c>
      <c r="BJ5">
        <v>0</v>
      </c>
      <c r="BK5">
        <v>0</v>
      </c>
      <c r="BL5">
        <v>0</v>
      </c>
      <c r="BM5">
        <v>2935.1140883200428</v>
      </c>
      <c r="BN5">
        <v>18.580099999999998</v>
      </c>
      <c r="BO5">
        <v>0.111358574610245</v>
      </c>
      <c r="BP5">
        <v>16.511046547884185</v>
      </c>
      <c r="BQ5">
        <v>2.069053452115813</v>
      </c>
      <c r="BR5">
        <v>0</v>
      </c>
      <c r="BS5">
        <v>0</v>
      </c>
      <c r="BT5">
        <v>0</v>
      </c>
      <c r="BU5">
        <v>16.511046547884185</v>
      </c>
      <c r="BV5">
        <v>2.069053452115813</v>
      </c>
      <c r="BW5">
        <v>18.580099999999998</v>
      </c>
      <c r="BX5">
        <v>1907.3091099999999</v>
      </c>
      <c r="BY5">
        <v>26.888463700000003</v>
      </c>
      <c r="BZ5">
        <v>147.52919929999999</v>
      </c>
      <c r="CA5">
        <v>2081.7267730000003</v>
      </c>
      <c r="CB5">
        <v>21.222637071404996</v>
      </c>
      <c r="CC5">
        <v>103.42047904614216</v>
      </c>
      <c r="CD5">
        <v>0</v>
      </c>
      <c r="CE5">
        <v>0</v>
      </c>
      <c r="CF5">
        <v>0</v>
      </c>
      <c r="CG5">
        <v>0</v>
      </c>
      <c r="CH5">
        <v>0</v>
      </c>
      <c r="CI5">
        <v>0</v>
      </c>
      <c r="CJ5">
        <v>0</v>
      </c>
      <c r="CK5">
        <v>0</v>
      </c>
      <c r="CL5">
        <v>0</v>
      </c>
      <c r="CM5">
        <v>2206.3698891175477</v>
      </c>
      <c r="CN5">
        <v>2241.3910015493921</v>
      </c>
      <c r="CO5">
        <v>390.37900929858597</v>
      </c>
      <c r="CP5">
        <v>354.95534799301498</v>
      </c>
      <c r="CQ5">
        <v>2986.7253588409931</v>
      </c>
      <c r="CR5">
        <v>1356.9723345639998</v>
      </c>
      <c r="CS5">
        <v>5660.9854066421494</v>
      </c>
      <c r="CT5">
        <v>0</v>
      </c>
      <c r="CU5">
        <v>0</v>
      </c>
      <c r="CV5">
        <v>0</v>
      </c>
      <c r="CW5">
        <v>0</v>
      </c>
      <c r="CX5">
        <v>0</v>
      </c>
      <c r="CY5">
        <v>0</v>
      </c>
      <c r="CZ5">
        <v>0</v>
      </c>
      <c r="DA5">
        <v>0</v>
      </c>
      <c r="DB5">
        <v>0</v>
      </c>
      <c r="DC5">
        <v>10004.683100047143</v>
      </c>
      <c r="DD5">
        <v>929.00499999999988</v>
      </c>
      <c r="DE5">
        <v>0</v>
      </c>
      <c r="DF5" t="s">
        <v>135</v>
      </c>
      <c r="DG5" t="s">
        <v>135</v>
      </c>
      <c r="DH5">
        <v>0</v>
      </c>
      <c r="DI5">
        <v>0</v>
      </c>
      <c r="DJ5">
        <v>0</v>
      </c>
      <c r="DK5">
        <v>0</v>
      </c>
      <c r="DL5">
        <v>0</v>
      </c>
      <c r="DM5">
        <v>929.00499999999988</v>
      </c>
      <c r="DN5">
        <v>929.00499999999988</v>
      </c>
      <c r="DQ5" t="s">
        <v>135</v>
      </c>
      <c r="DR5" t="s">
        <v>135</v>
      </c>
      <c r="DS5">
        <v>0</v>
      </c>
      <c r="DT5">
        <v>0</v>
      </c>
      <c r="DU5">
        <v>0</v>
      </c>
      <c r="DV5">
        <v>8</v>
      </c>
      <c r="DW5">
        <v>8</v>
      </c>
      <c r="DX5">
        <v>1.6992080000000001</v>
      </c>
      <c r="DY5">
        <v>24.190460080499996</v>
      </c>
    </row>
    <row r="6" spans="1:129">
      <c r="A6" t="s">
        <v>1952</v>
      </c>
      <c r="C6" t="s">
        <v>1954</v>
      </c>
      <c r="D6">
        <v>1</v>
      </c>
      <c r="E6" s="195">
        <v>44562</v>
      </c>
      <c r="F6">
        <v>1</v>
      </c>
      <c r="G6">
        <v>3</v>
      </c>
      <c r="H6">
        <v>1215</v>
      </c>
      <c r="I6" t="s">
        <v>389</v>
      </c>
      <c r="J6" t="s">
        <v>1979</v>
      </c>
      <c r="K6" t="s">
        <v>45</v>
      </c>
      <c r="M6" t="s">
        <v>55</v>
      </c>
      <c r="N6" t="s">
        <v>623</v>
      </c>
      <c r="O6" t="s">
        <v>624</v>
      </c>
      <c r="P6">
        <v>0</v>
      </c>
      <c r="R6">
        <v>2.23</v>
      </c>
      <c r="S6">
        <v>58.200134529147988</v>
      </c>
      <c r="T6">
        <v>25</v>
      </c>
      <c r="U6">
        <v>129.78630000000001</v>
      </c>
      <c r="V6">
        <v>0</v>
      </c>
      <c r="X6">
        <v>50</v>
      </c>
      <c r="Y6" t="s">
        <v>224</v>
      </c>
      <c r="AA6" t="s">
        <v>937</v>
      </c>
      <c r="AH6">
        <v>0</v>
      </c>
      <c r="AI6">
        <v>0</v>
      </c>
      <c r="AJ6">
        <v>0</v>
      </c>
      <c r="AK6">
        <v>878.91885000000002</v>
      </c>
      <c r="AL6">
        <v>61.514708368406339</v>
      </c>
      <c r="AM6">
        <v>232.3553279725225</v>
      </c>
      <c r="AN6">
        <v>0</v>
      </c>
      <c r="AO6">
        <v>0</v>
      </c>
      <c r="AP6">
        <v>0</v>
      </c>
      <c r="AQ6">
        <v>0</v>
      </c>
      <c r="AR6">
        <v>0</v>
      </c>
      <c r="AS6">
        <v>0</v>
      </c>
      <c r="AT6">
        <v>0</v>
      </c>
      <c r="AU6">
        <v>0</v>
      </c>
      <c r="AV6">
        <v>0</v>
      </c>
      <c r="AW6">
        <v>1172.7888863409289</v>
      </c>
      <c r="AX6">
        <v>0</v>
      </c>
      <c r="AY6">
        <v>0</v>
      </c>
      <c r="AZ6">
        <v>0</v>
      </c>
      <c r="BA6">
        <v>13243.5</v>
      </c>
      <c r="BB6">
        <v>548.267876474535</v>
      </c>
      <c r="BC6">
        <v>2616.8665743994361</v>
      </c>
      <c r="BD6">
        <v>0</v>
      </c>
      <c r="BE6">
        <v>0</v>
      </c>
      <c r="BF6">
        <v>0</v>
      </c>
      <c r="BG6">
        <v>0</v>
      </c>
      <c r="BH6">
        <v>0</v>
      </c>
      <c r="BI6">
        <v>0</v>
      </c>
      <c r="BJ6">
        <v>0</v>
      </c>
      <c r="BK6">
        <v>0</v>
      </c>
      <c r="BL6">
        <v>0</v>
      </c>
      <c r="BM6">
        <v>16408.634450873971</v>
      </c>
      <c r="BN6">
        <v>129.78630000000001</v>
      </c>
      <c r="BO6">
        <v>0.15</v>
      </c>
      <c r="BP6">
        <v>110.31835500000001</v>
      </c>
      <c r="BQ6">
        <v>19.467945</v>
      </c>
      <c r="BR6">
        <v>0</v>
      </c>
      <c r="BS6">
        <v>0</v>
      </c>
      <c r="BT6">
        <v>0</v>
      </c>
      <c r="BU6">
        <v>110.31835500000001</v>
      </c>
      <c r="BV6">
        <v>19.467945</v>
      </c>
      <c r="BW6">
        <v>129.78630000000001</v>
      </c>
      <c r="BX6">
        <v>0</v>
      </c>
      <c r="BY6">
        <v>0</v>
      </c>
      <c r="BZ6">
        <v>0</v>
      </c>
      <c r="CA6">
        <v>9707.85</v>
      </c>
      <c r="CB6">
        <v>148.24503322051501</v>
      </c>
      <c r="CC6">
        <v>540.69973121641544</v>
      </c>
      <c r="CD6">
        <v>0</v>
      </c>
      <c r="CE6">
        <v>0</v>
      </c>
      <c r="CF6">
        <v>0</v>
      </c>
      <c r="CG6">
        <v>0</v>
      </c>
      <c r="CH6">
        <v>0</v>
      </c>
      <c r="CI6">
        <v>0</v>
      </c>
      <c r="CJ6">
        <v>0</v>
      </c>
      <c r="CK6">
        <v>0</v>
      </c>
      <c r="CL6">
        <v>0</v>
      </c>
      <c r="CM6">
        <v>10396.794764436931</v>
      </c>
      <c r="CN6">
        <v>0</v>
      </c>
      <c r="CO6">
        <v>0</v>
      </c>
      <c r="CP6">
        <v>0</v>
      </c>
      <c r="CQ6">
        <v>11031.835500000001</v>
      </c>
      <c r="CR6">
        <v>9478.7659111320008</v>
      </c>
      <c r="CS6">
        <v>34214.165483061959</v>
      </c>
      <c r="CT6">
        <v>0</v>
      </c>
      <c r="CU6">
        <v>0</v>
      </c>
      <c r="CV6">
        <v>0</v>
      </c>
      <c r="CW6">
        <v>0</v>
      </c>
      <c r="CX6">
        <v>0</v>
      </c>
      <c r="CY6">
        <v>0</v>
      </c>
      <c r="CZ6">
        <v>0</v>
      </c>
      <c r="DA6">
        <v>0</v>
      </c>
      <c r="DB6">
        <v>0</v>
      </c>
      <c r="DC6">
        <v>54724.766894193963</v>
      </c>
      <c r="DD6">
        <v>6489.3150000000005</v>
      </c>
      <c r="DE6">
        <v>0</v>
      </c>
      <c r="DF6" t="s">
        <v>135</v>
      </c>
      <c r="DG6" t="s">
        <v>135</v>
      </c>
      <c r="DH6">
        <v>0</v>
      </c>
      <c r="DI6">
        <v>0</v>
      </c>
      <c r="DJ6">
        <v>0</v>
      </c>
      <c r="DK6">
        <v>0</v>
      </c>
      <c r="DL6">
        <v>0</v>
      </c>
      <c r="DM6">
        <v>6489.3150000000005</v>
      </c>
      <c r="DN6">
        <v>6489.3150000000005</v>
      </c>
      <c r="DQ6" t="s">
        <v>135</v>
      </c>
      <c r="DR6" t="s">
        <v>135</v>
      </c>
      <c r="DS6">
        <v>0</v>
      </c>
      <c r="DT6">
        <v>0</v>
      </c>
      <c r="DU6">
        <v>0</v>
      </c>
      <c r="DV6">
        <v>48.6</v>
      </c>
      <c r="DW6">
        <v>48.6</v>
      </c>
      <c r="DX6">
        <v>0.72338999999999998</v>
      </c>
      <c r="DY6">
        <v>10.9</v>
      </c>
    </row>
    <row r="7" spans="1:129">
      <c r="A7" t="s">
        <v>1952</v>
      </c>
      <c r="C7" t="s">
        <v>1954</v>
      </c>
      <c r="D7">
        <v>1</v>
      </c>
      <c r="E7" s="195">
        <v>44562</v>
      </c>
      <c r="F7">
        <v>1</v>
      </c>
      <c r="G7">
        <v>3</v>
      </c>
      <c r="H7">
        <v>180</v>
      </c>
      <c r="I7" t="s">
        <v>389</v>
      </c>
      <c r="J7" t="s">
        <v>1980</v>
      </c>
      <c r="K7" t="s">
        <v>45</v>
      </c>
      <c r="M7" t="s">
        <v>55</v>
      </c>
      <c r="N7" t="s">
        <v>228</v>
      </c>
      <c r="O7" t="s">
        <v>599</v>
      </c>
      <c r="P7">
        <v>0</v>
      </c>
      <c r="R7">
        <v>2.4</v>
      </c>
      <c r="S7">
        <v>3.4125000000000001</v>
      </c>
      <c r="T7">
        <v>25</v>
      </c>
      <c r="U7">
        <v>8.19</v>
      </c>
      <c r="V7">
        <v>0</v>
      </c>
      <c r="X7">
        <v>50</v>
      </c>
      <c r="Y7" t="s">
        <v>224</v>
      </c>
      <c r="AA7" t="s">
        <v>937</v>
      </c>
      <c r="AH7">
        <v>0</v>
      </c>
      <c r="AI7">
        <v>0</v>
      </c>
      <c r="AJ7">
        <v>0</v>
      </c>
      <c r="AK7">
        <v>76.847399999999993</v>
      </c>
      <c r="AL7">
        <v>3.8818077219032201</v>
      </c>
      <c r="AM7">
        <v>32.665183079282329</v>
      </c>
      <c r="AN7">
        <v>0</v>
      </c>
      <c r="AO7">
        <v>0</v>
      </c>
      <c r="AP7">
        <v>0</v>
      </c>
      <c r="AQ7">
        <v>0</v>
      </c>
      <c r="AR7">
        <v>0</v>
      </c>
      <c r="AS7">
        <v>0</v>
      </c>
      <c r="AT7">
        <v>0</v>
      </c>
      <c r="AU7">
        <v>0</v>
      </c>
      <c r="AV7">
        <v>0</v>
      </c>
      <c r="AW7">
        <v>113.39439080118554</v>
      </c>
      <c r="AX7">
        <v>981.13851</v>
      </c>
      <c r="AY7">
        <v>57.601880999999999</v>
      </c>
      <c r="AZ7">
        <v>52.558529400000005</v>
      </c>
      <c r="BA7">
        <v>1091.2989203999998</v>
      </c>
      <c r="BB7">
        <v>34.597749595499998</v>
      </c>
      <c r="BC7">
        <v>360.16409093026499</v>
      </c>
      <c r="BD7">
        <v>0</v>
      </c>
      <c r="BE7">
        <v>0</v>
      </c>
      <c r="BF7">
        <v>0</v>
      </c>
      <c r="BG7">
        <v>0</v>
      </c>
      <c r="BH7">
        <v>0</v>
      </c>
      <c r="BI7">
        <v>0</v>
      </c>
      <c r="BJ7">
        <v>0</v>
      </c>
      <c r="BK7">
        <v>0</v>
      </c>
      <c r="BL7">
        <v>0</v>
      </c>
      <c r="BM7">
        <v>1486.060760925765</v>
      </c>
      <c r="BN7">
        <v>8.19</v>
      </c>
      <c r="BO7">
        <v>0</v>
      </c>
      <c r="BP7">
        <v>8.19</v>
      </c>
      <c r="BQ7">
        <v>0</v>
      </c>
      <c r="BR7">
        <v>0</v>
      </c>
      <c r="BS7">
        <v>0</v>
      </c>
      <c r="BT7">
        <v>0</v>
      </c>
      <c r="BU7">
        <v>8.19</v>
      </c>
      <c r="BV7">
        <v>0</v>
      </c>
      <c r="BW7">
        <v>8.19</v>
      </c>
      <c r="BX7">
        <v>860.44019400000002</v>
      </c>
      <c r="BY7">
        <v>12.130134120000001</v>
      </c>
      <c r="BZ7">
        <v>66.55452480000001</v>
      </c>
      <c r="CA7">
        <v>939.12485292000008</v>
      </c>
      <c r="CB7">
        <v>9.3548149694999996</v>
      </c>
      <c r="CC7">
        <v>64.753187106284997</v>
      </c>
      <c r="CD7">
        <v>0</v>
      </c>
      <c r="CE7">
        <v>0</v>
      </c>
      <c r="CF7">
        <v>0</v>
      </c>
      <c r="CG7">
        <v>0</v>
      </c>
      <c r="CH7">
        <v>0</v>
      </c>
      <c r="CI7">
        <v>0</v>
      </c>
      <c r="CJ7">
        <v>0</v>
      </c>
      <c r="CK7">
        <v>0</v>
      </c>
      <c r="CL7">
        <v>0</v>
      </c>
      <c r="CM7">
        <v>1013.2328549957851</v>
      </c>
      <c r="CN7">
        <v>247.61707425</v>
      </c>
      <c r="CO7">
        <v>43.127018298000003</v>
      </c>
      <c r="CP7">
        <v>39.213597149999998</v>
      </c>
      <c r="CQ7">
        <v>329.95768969799997</v>
      </c>
      <c r="CR7">
        <v>598.14551159999996</v>
      </c>
      <c r="CS7">
        <v>5005.45012429494</v>
      </c>
      <c r="CT7">
        <v>0</v>
      </c>
      <c r="CU7">
        <v>0</v>
      </c>
      <c r="CV7">
        <v>0</v>
      </c>
      <c r="CW7">
        <v>0</v>
      </c>
      <c r="CX7">
        <v>0</v>
      </c>
      <c r="CY7">
        <v>0</v>
      </c>
      <c r="CZ7">
        <v>0</v>
      </c>
      <c r="DA7">
        <v>0</v>
      </c>
      <c r="DB7">
        <v>0</v>
      </c>
      <c r="DC7">
        <v>5933.5533255929404</v>
      </c>
      <c r="DD7">
        <v>409.5</v>
      </c>
      <c r="DE7">
        <v>0</v>
      </c>
      <c r="DF7" t="s">
        <v>135</v>
      </c>
      <c r="DG7" t="s">
        <v>135</v>
      </c>
      <c r="DH7">
        <v>0</v>
      </c>
      <c r="DI7">
        <v>0</v>
      </c>
      <c r="DJ7">
        <v>0</v>
      </c>
      <c r="DK7">
        <v>0</v>
      </c>
      <c r="DL7">
        <v>0</v>
      </c>
      <c r="DM7">
        <v>409.5</v>
      </c>
      <c r="DN7">
        <v>409.5</v>
      </c>
      <c r="DQ7" t="s">
        <v>135</v>
      </c>
      <c r="DR7" t="s">
        <v>135</v>
      </c>
      <c r="DS7">
        <v>0</v>
      </c>
      <c r="DT7">
        <v>0</v>
      </c>
      <c r="DU7">
        <v>0</v>
      </c>
      <c r="DV7">
        <v>7.2</v>
      </c>
      <c r="DW7">
        <v>7.2</v>
      </c>
      <c r="DX7">
        <v>0.42692999999999998</v>
      </c>
      <c r="DY7">
        <v>6.0627717799999994</v>
      </c>
    </row>
    <row r="8" spans="1:129">
      <c r="A8" t="s">
        <v>1952</v>
      </c>
      <c r="C8" t="s">
        <v>1954</v>
      </c>
      <c r="D8">
        <v>1</v>
      </c>
      <c r="E8" s="195">
        <v>44562</v>
      </c>
      <c r="F8">
        <v>1</v>
      </c>
      <c r="G8">
        <v>3</v>
      </c>
      <c r="H8">
        <v>194</v>
      </c>
      <c r="I8" t="s">
        <v>389</v>
      </c>
      <c r="J8" t="s">
        <v>1981</v>
      </c>
      <c r="K8" t="s">
        <v>45</v>
      </c>
      <c r="M8" t="s">
        <v>55</v>
      </c>
      <c r="N8" t="s">
        <v>228</v>
      </c>
      <c r="O8" t="s">
        <v>599</v>
      </c>
      <c r="P8">
        <v>0</v>
      </c>
      <c r="R8">
        <v>2.4</v>
      </c>
      <c r="S8">
        <v>3.6779166666666669</v>
      </c>
      <c r="T8">
        <v>25</v>
      </c>
      <c r="U8">
        <v>8.827</v>
      </c>
      <c r="V8">
        <v>0</v>
      </c>
      <c r="X8">
        <v>50</v>
      </c>
      <c r="Y8" t="s">
        <v>224</v>
      </c>
      <c r="AA8" t="s">
        <v>937</v>
      </c>
      <c r="AH8">
        <v>0</v>
      </c>
      <c r="AI8">
        <v>0</v>
      </c>
      <c r="AJ8">
        <v>0</v>
      </c>
      <c r="AK8">
        <v>82.824419999999989</v>
      </c>
      <c r="AL8">
        <v>4.1837261002734705</v>
      </c>
      <c r="AM8">
        <v>35.205808429893175</v>
      </c>
      <c r="AN8">
        <v>0</v>
      </c>
      <c r="AO8">
        <v>0</v>
      </c>
      <c r="AP8">
        <v>0</v>
      </c>
      <c r="AQ8">
        <v>0</v>
      </c>
      <c r="AR8">
        <v>0</v>
      </c>
      <c r="AS8">
        <v>0</v>
      </c>
      <c r="AT8">
        <v>0</v>
      </c>
      <c r="AU8">
        <v>0</v>
      </c>
      <c r="AV8">
        <v>0</v>
      </c>
      <c r="AW8">
        <v>122.21395453016663</v>
      </c>
      <c r="AX8">
        <v>1057.4492829999999</v>
      </c>
      <c r="AY8">
        <v>62.0820273</v>
      </c>
      <c r="AZ8">
        <v>56.646415019999999</v>
      </c>
      <c r="BA8">
        <v>1176.1777253199998</v>
      </c>
      <c r="BB8">
        <v>37.288685675149999</v>
      </c>
      <c r="BC8">
        <v>388.17685355817446</v>
      </c>
      <c r="BD8">
        <v>0</v>
      </c>
      <c r="BE8">
        <v>0</v>
      </c>
      <c r="BF8">
        <v>0</v>
      </c>
      <c r="BG8">
        <v>0</v>
      </c>
      <c r="BH8">
        <v>0</v>
      </c>
      <c r="BI8">
        <v>0</v>
      </c>
      <c r="BJ8">
        <v>0</v>
      </c>
      <c r="BK8">
        <v>0</v>
      </c>
      <c r="BL8">
        <v>0</v>
      </c>
      <c r="BM8">
        <v>1601.6432645533241</v>
      </c>
      <c r="BN8">
        <v>8.827</v>
      </c>
      <c r="BO8">
        <v>0</v>
      </c>
      <c r="BP8">
        <v>8.827</v>
      </c>
      <c r="BQ8">
        <v>0</v>
      </c>
      <c r="BR8">
        <v>0</v>
      </c>
      <c r="BS8">
        <v>0</v>
      </c>
      <c r="BT8">
        <v>0</v>
      </c>
      <c r="BU8">
        <v>8.827</v>
      </c>
      <c r="BV8">
        <v>0</v>
      </c>
      <c r="BW8">
        <v>8.827</v>
      </c>
      <c r="BX8">
        <v>927.36332020000009</v>
      </c>
      <c r="BY8">
        <v>13.073588996000002</v>
      </c>
      <c r="BZ8">
        <v>71.730987840000012</v>
      </c>
      <c r="CA8">
        <v>1012.1678970360001</v>
      </c>
      <c r="CB8">
        <v>10.08241168935</v>
      </c>
      <c r="CC8">
        <v>69.7895461034405</v>
      </c>
      <c r="CD8">
        <v>0</v>
      </c>
      <c r="CE8">
        <v>0</v>
      </c>
      <c r="CF8">
        <v>0</v>
      </c>
      <c r="CG8">
        <v>0</v>
      </c>
      <c r="CH8">
        <v>0</v>
      </c>
      <c r="CI8">
        <v>0</v>
      </c>
      <c r="CJ8">
        <v>0</v>
      </c>
      <c r="CK8">
        <v>0</v>
      </c>
      <c r="CL8">
        <v>0</v>
      </c>
      <c r="CM8">
        <v>1092.0398548287906</v>
      </c>
      <c r="CN8">
        <v>266.876180025</v>
      </c>
      <c r="CO8">
        <v>46.481341943400004</v>
      </c>
      <c r="CP8">
        <v>42.263543595000002</v>
      </c>
      <c r="CQ8">
        <v>355.62106556339995</v>
      </c>
      <c r="CR8">
        <v>644.66794028000004</v>
      </c>
      <c r="CS8">
        <v>5394.7629117401011</v>
      </c>
      <c r="CT8">
        <v>0</v>
      </c>
      <c r="CU8">
        <v>0</v>
      </c>
      <c r="CV8">
        <v>0</v>
      </c>
      <c r="CW8">
        <v>0</v>
      </c>
      <c r="CX8">
        <v>0</v>
      </c>
      <c r="CY8">
        <v>0</v>
      </c>
      <c r="CZ8">
        <v>0</v>
      </c>
      <c r="DA8">
        <v>0</v>
      </c>
      <c r="DB8">
        <v>0</v>
      </c>
      <c r="DC8">
        <v>6395.0519175835016</v>
      </c>
      <c r="DD8">
        <v>441.35</v>
      </c>
      <c r="DE8">
        <v>0</v>
      </c>
      <c r="DF8" t="s">
        <v>135</v>
      </c>
      <c r="DG8" t="s">
        <v>135</v>
      </c>
      <c r="DH8">
        <v>0</v>
      </c>
      <c r="DI8">
        <v>0</v>
      </c>
      <c r="DJ8">
        <v>0</v>
      </c>
      <c r="DK8">
        <v>0</v>
      </c>
      <c r="DL8">
        <v>0</v>
      </c>
      <c r="DM8">
        <v>441.35</v>
      </c>
      <c r="DN8">
        <v>441.35</v>
      </c>
      <c r="DQ8" t="s">
        <v>135</v>
      </c>
      <c r="DR8" t="s">
        <v>135</v>
      </c>
      <c r="DS8">
        <v>0</v>
      </c>
      <c r="DT8">
        <v>0</v>
      </c>
      <c r="DU8">
        <v>0</v>
      </c>
      <c r="DV8">
        <v>7.76</v>
      </c>
      <c r="DW8">
        <v>7.76</v>
      </c>
      <c r="DX8">
        <v>0.42692999999999992</v>
      </c>
      <c r="DY8">
        <v>6.0627717799999994</v>
      </c>
    </row>
    <row r="9" spans="1:129">
      <c r="A9" t="s">
        <v>1952</v>
      </c>
      <c r="C9" t="s">
        <v>1954</v>
      </c>
      <c r="D9">
        <v>1</v>
      </c>
      <c r="E9" s="195">
        <v>44562</v>
      </c>
      <c r="F9">
        <v>1</v>
      </c>
      <c r="G9">
        <v>3</v>
      </c>
      <c r="H9">
        <v>853</v>
      </c>
      <c r="I9" t="s">
        <v>389</v>
      </c>
      <c r="J9" t="s">
        <v>1982</v>
      </c>
      <c r="K9" t="s">
        <v>45</v>
      </c>
      <c r="M9" t="s">
        <v>55</v>
      </c>
      <c r="N9" t="s">
        <v>228</v>
      </c>
      <c r="O9" t="s">
        <v>599</v>
      </c>
      <c r="P9">
        <v>0</v>
      </c>
      <c r="R9">
        <v>2.4</v>
      </c>
      <c r="S9">
        <v>16.171458333333334</v>
      </c>
      <c r="T9">
        <v>25</v>
      </c>
      <c r="U9">
        <v>38.811500000000002</v>
      </c>
      <c r="V9">
        <v>0</v>
      </c>
      <c r="X9">
        <v>50</v>
      </c>
      <c r="Y9" t="s">
        <v>224</v>
      </c>
      <c r="AA9" t="s">
        <v>937</v>
      </c>
      <c r="AH9">
        <v>0</v>
      </c>
      <c r="AI9">
        <v>0</v>
      </c>
      <c r="AJ9">
        <v>0</v>
      </c>
      <c r="AK9">
        <v>364.17129</v>
      </c>
      <c r="AL9">
        <v>18.395455482130259</v>
      </c>
      <c r="AM9">
        <v>154.79667314793238</v>
      </c>
      <c r="AN9">
        <v>0</v>
      </c>
      <c r="AO9">
        <v>0</v>
      </c>
      <c r="AP9">
        <v>0</v>
      </c>
      <c r="AQ9">
        <v>0</v>
      </c>
      <c r="AR9">
        <v>0</v>
      </c>
      <c r="AS9">
        <v>0</v>
      </c>
      <c r="AT9">
        <v>0</v>
      </c>
      <c r="AU9">
        <v>0</v>
      </c>
      <c r="AV9">
        <v>0</v>
      </c>
      <c r="AW9">
        <v>537.3634186300626</v>
      </c>
      <c r="AX9">
        <v>4649.5063835000001</v>
      </c>
      <c r="AY9">
        <v>272.96891384999998</v>
      </c>
      <c r="AZ9">
        <v>249.06903099000002</v>
      </c>
      <c r="BA9">
        <v>5171.5443283399991</v>
      </c>
      <c r="BB9">
        <v>163.95489113867498</v>
      </c>
      <c r="BC9">
        <v>1706.7776086862</v>
      </c>
      <c r="BD9">
        <v>0</v>
      </c>
      <c r="BE9">
        <v>0</v>
      </c>
      <c r="BF9">
        <v>0</v>
      </c>
      <c r="BG9">
        <v>0</v>
      </c>
      <c r="BH9">
        <v>0</v>
      </c>
      <c r="BI9">
        <v>0</v>
      </c>
      <c r="BJ9">
        <v>0</v>
      </c>
      <c r="BK9">
        <v>0</v>
      </c>
      <c r="BL9">
        <v>0</v>
      </c>
      <c r="BM9">
        <v>7042.2768281648732</v>
      </c>
      <c r="BN9">
        <v>38.811500000000002</v>
      </c>
      <c r="BO9">
        <v>0</v>
      </c>
      <c r="BP9">
        <v>38.811500000000002</v>
      </c>
      <c r="BQ9">
        <v>0</v>
      </c>
      <c r="BR9">
        <v>0</v>
      </c>
      <c r="BS9">
        <v>0</v>
      </c>
      <c r="BT9">
        <v>0</v>
      </c>
      <c r="BU9">
        <v>38.811500000000002</v>
      </c>
      <c r="BV9">
        <v>0</v>
      </c>
      <c r="BW9">
        <v>38.811500000000002</v>
      </c>
      <c r="BX9">
        <v>4077.5304749000002</v>
      </c>
      <c r="BY9">
        <v>57.483357802</v>
      </c>
      <c r="BZ9">
        <v>315.39449808000001</v>
      </c>
      <c r="CA9">
        <v>4450.4083307820001</v>
      </c>
      <c r="CB9">
        <v>44.331428716574997</v>
      </c>
      <c r="CC9">
        <v>306.85815889811721</v>
      </c>
      <c r="CD9">
        <v>0</v>
      </c>
      <c r="CE9">
        <v>0</v>
      </c>
      <c r="CF9">
        <v>0</v>
      </c>
      <c r="CG9">
        <v>0</v>
      </c>
      <c r="CH9">
        <v>0</v>
      </c>
      <c r="CI9">
        <v>0</v>
      </c>
      <c r="CJ9">
        <v>0</v>
      </c>
      <c r="CK9">
        <v>0</v>
      </c>
      <c r="CL9">
        <v>0</v>
      </c>
      <c r="CM9">
        <v>4801.597918396692</v>
      </c>
      <c r="CN9">
        <v>1173.4298018625002</v>
      </c>
      <c r="CO9">
        <v>204.37414782330004</v>
      </c>
      <c r="CP9">
        <v>185.8288798275</v>
      </c>
      <c r="CQ9">
        <v>1563.6328295133001</v>
      </c>
      <c r="CR9">
        <v>2834.54511886</v>
      </c>
      <c r="CS9">
        <v>23720.271977908797</v>
      </c>
      <c r="CT9">
        <v>0</v>
      </c>
      <c r="CU9">
        <v>0</v>
      </c>
      <c r="CV9">
        <v>0</v>
      </c>
      <c r="CW9">
        <v>0</v>
      </c>
      <c r="CX9">
        <v>0</v>
      </c>
      <c r="CY9">
        <v>0</v>
      </c>
      <c r="CZ9">
        <v>0</v>
      </c>
      <c r="DA9">
        <v>0</v>
      </c>
      <c r="DB9">
        <v>0</v>
      </c>
      <c r="DC9">
        <v>28118.449926282097</v>
      </c>
      <c r="DD9">
        <v>1940.575</v>
      </c>
      <c r="DE9">
        <v>0</v>
      </c>
      <c r="DF9" t="s">
        <v>135</v>
      </c>
      <c r="DG9" t="s">
        <v>135</v>
      </c>
      <c r="DH9">
        <v>0</v>
      </c>
      <c r="DI9">
        <v>0</v>
      </c>
      <c r="DJ9">
        <v>0</v>
      </c>
      <c r="DK9">
        <v>0</v>
      </c>
      <c r="DL9">
        <v>0</v>
      </c>
      <c r="DM9">
        <v>1940.575</v>
      </c>
      <c r="DN9">
        <v>1940.575</v>
      </c>
      <c r="DQ9" t="s">
        <v>135</v>
      </c>
      <c r="DR9" t="s">
        <v>135</v>
      </c>
      <c r="DS9">
        <v>0</v>
      </c>
      <c r="DT9">
        <v>0</v>
      </c>
      <c r="DU9">
        <v>0</v>
      </c>
      <c r="DV9">
        <v>34.119999999999997</v>
      </c>
      <c r="DW9">
        <v>34.119999999999997</v>
      </c>
      <c r="DX9">
        <v>0.42692999999999998</v>
      </c>
      <c r="DY9">
        <v>6.0627717799999985</v>
      </c>
    </row>
    <row r="10" spans="1:129">
      <c r="A10" t="s">
        <v>1952</v>
      </c>
      <c r="C10" t="s">
        <v>1954</v>
      </c>
      <c r="D10">
        <v>1</v>
      </c>
      <c r="E10" s="195">
        <v>44562</v>
      </c>
      <c r="F10">
        <v>1</v>
      </c>
      <c r="G10">
        <v>3</v>
      </c>
      <c r="H10">
        <v>136</v>
      </c>
      <c r="I10" t="s">
        <v>389</v>
      </c>
      <c r="J10" t="s">
        <v>1983</v>
      </c>
      <c r="K10" t="s">
        <v>45</v>
      </c>
      <c r="M10" t="s">
        <v>55</v>
      </c>
      <c r="N10" t="s">
        <v>228</v>
      </c>
      <c r="O10" t="s">
        <v>599</v>
      </c>
      <c r="P10">
        <v>0</v>
      </c>
      <c r="R10">
        <v>2.4</v>
      </c>
      <c r="S10">
        <v>2.5783333333333331</v>
      </c>
      <c r="T10">
        <v>25</v>
      </c>
      <c r="U10">
        <v>6.1879999999999997</v>
      </c>
      <c r="V10">
        <v>0</v>
      </c>
      <c r="X10">
        <v>50</v>
      </c>
      <c r="Y10" t="s">
        <v>224</v>
      </c>
      <c r="AA10" t="s">
        <v>937</v>
      </c>
      <c r="AH10">
        <v>0</v>
      </c>
      <c r="AI10">
        <v>0</v>
      </c>
      <c r="AJ10">
        <v>0</v>
      </c>
      <c r="AK10">
        <v>58.062479999999994</v>
      </c>
      <c r="AL10">
        <v>2.9329213898824325</v>
      </c>
      <c r="AM10">
        <v>24.680360548791096</v>
      </c>
      <c r="AN10">
        <v>0</v>
      </c>
      <c r="AO10">
        <v>0</v>
      </c>
      <c r="AP10">
        <v>0</v>
      </c>
      <c r="AQ10">
        <v>0</v>
      </c>
      <c r="AR10">
        <v>0</v>
      </c>
      <c r="AS10">
        <v>0</v>
      </c>
      <c r="AT10">
        <v>0</v>
      </c>
      <c r="AU10">
        <v>0</v>
      </c>
      <c r="AV10">
        <v>0</v>
      </c>
      <c r="AW10">
        <v>85.675761938673517</v>
      </c>
      <c r="AX10">
        <v>741.30465200000003</v>
      </c>
      <c r="AY10">
        <v>43.521421199999999</v>
      </c>
      <c r="AZ10">
        <v>39.710888879999999</v>
      </c>
      <c r="BA10">
        <v>824.53696207999997</v>
      </c>
      <c r="BB10">
        <v>26.140521916599997</v>
      </c>
      <c r="BC10">
        <v>272.123979813978</v>
      </c>
      <c r="BD10">
        <v>0</v>
      </c>
      <c r="BE10">
        <v>0</v>
      </c>
      <c r="BF10">
        <v>0</v>
      </c>
      <c r="BG10">
        <v>0</v>
      </c>
      <c r="BH10">
        <v>0</v>
      </c>
      <c r="BI10">
        <v>0</v>
      </c>
      <c r="BJ10">
        <v>0</v>
      </c>
      <c r="BK10">
        <v>0</v>
      </c>
      <c r="BL10">
        <v>0</v>
      </c>
      <c r="BM10">
        <v>1122.8014638105781</v>
      </c>
      <c r="BN10">
        <v>6.1879999999999997</v>
      </c>
      <c r="BO10">
        <v>0</v>
      </c>
      <c r="BP10">
        <v>6.1879999999999997</v>
      </c>
      <c r="BQ10">
        <v>0</v>
      </c>
      <c r="BR10">
        <v>0</v>
      </c>
      <c r="BS10">
        <v>0</v>
      </c>
      <c r="BT10">
        <v>0</v>
      </c>
      <c r="BU10">
        <v>6.1879999999999997</v>
      </c>
      <c r="BV10">
        <v>0</v>
      </c>
      <c r="BW10">
        <v>6.1879999999999997</v>
      </c>
      <c r="BX10">
        <v>650.11036880000006</v>
      </c>
      <c r="BY10">
        <v>9.1649902240000003</v>
      </c>
      <c r="BZ10">
        <v>50.285640960000002</v>
      </c>
      <c r="CA10">
        <v>709.56099998400009</v>
      </c>
      <c r="CB10">
        <v>7.0680824213999998</v>
      </c>
      <c r="CC10">
        <v>48.924630258082004</v>
      </c>
      <c r="CD10">
        <v>0</v>
      </c>
      <c r="CE10">
        <v>0</v>
      </c>
      <c r="CF10">
        <v>0</v>
      </c>
      <c r="CG10">
        <v>0</v>
      </c>
      <c r="CH10">
        <v>0</v>
      </c>
      <c r="CI10">
        <v>0</v>
      </c>
      <c r="CJ10">
        <v>0</v>
      </c>
      <c r="CK10">
        <v>0</v>
      </c>
      <c r="CL10">
        <v>0</v>
      </c>
      <c r="CM10">
        <v>765.5537126634822</v>
      </c>
      <c r="CN10">
        <v>187.0884561</v>
      </c>
      <c r="CO10">
        <v>32.584858269599998</v>
      </c>
      <c r="CP10">
        <v>29.62805118</v>
      </c>
      <c r="CQ10">
        <v>249.30136554959998</v>
      </c>
      <c r="CR10">
        <v>451.93216431999997</v>
      </c>
      <c r="CS10">
        <v>3781.8956494672884</v>
      </c>
      <c r="CT10">
        <v>0</v>
      </c>
      <c r="CU10">
        <v>0</v>
      </c>
      <c r="CV10">
        <v>0</v>
      </c>
      <c r="CW10">
        <v>0</v>
      </c>
      <c r="CX10">
        <v>0</v>
      </c>
      <c r="CY10">
        <v>0</v>
      </c>
      <c r="CZ10">
        <v>0</v>
      </c>
      <c r="DA10">
        <v>0</v>
      </c>
      <c r="DB10">
        <v>0</v>
      </c>
      <c r="DC10">
        <v>4483.1291793368882</v>
      </c>
      <c r="DD10">
        <v>309.39999999999998</v>
      </c>
      <c r="DE10">
        <v>0</v>
      </c>
      <c r="DF10" t="s">
        <v>135</v>
      </c>
      <c r="DG10" t="s">
        <v>135</v>
      </c>
      <c r="DH10">
        <v>0</v>
      </c>
      <c r="DI10">
        <v>0</v>
      </c>
      <c r="DJ10">
        <v>0</v>
      </c>
      <c r="DK10">
        <v>0</v>
      </c>
      <c r="DL10">
        <v>0</v>
      </c>
      <c r="DM10">
        <v>309.39999999999998</v>
      </c>
      <c r="DN10">
        <v>309.39999999999998</v>
      </c>
      <c r="DQ10" t="s">
        <v>135</v>
      </c>
      <c r="DR10" t="s">
        <v>135</v>
      </c>
      <c r="DS10">
        <v>0</v>
      </c>
      <c r="DT10">
        <v>0</v>
      </c>
      <c r="DU10">
        <v>0</v>
      </c>
      <c r="DV10">
        <v>5.44</v>
      </c>
      <c r="DW10">
        <v>5.44</v>
      </c>
      <c r="DX10">
        <v>0.42692999999999998</v>
      </c>
      <c r="DY10">
        <v>6.0627717799999994</v>
      </c>
    </row>
    <row r="11" spans="1:129">
      <c r="A11" t="s">
        <v>1952</v>
      </c>
      <c r="C11" t="s">
        <v>1954</v>
      </c>
      <c r="D11">
        <v>1</v>
      </c>
      <c r="E11" s="195">
        <v>44562</v>
      </c>
      <c r="F11">
        <v>1</v>
      </c>
      <c r="G11">
        <v>3</v>
      </c>
      <c r="H11">
        <v>200</v>
      </c>
      <c r="I11" t="s">
        <v>389</v>
      </c>
      <c r="J11" t="s">
        <v>1984</v>
      </c>
      <c r="K11" t="s">
        <v>45</v>
      </c>
      <c r="M11" t="s">
        <v>55</v>
      </c>
      <c r="N11" t="s">
        <v>228</v>
      </c>
      <c r="O11" t="s">
        <v>599</v>
      </c>
      <c r="P11">
        <v>0</v>
      </c>
      <c r="R11">
        <v>2.4</v>
      </c>
      <c r="S11">
        <v>3.7916666666666665</v>
      </c>
      <c r="T11">
        <v>25</v>
      </c>
      <c r="U11">
        <v>9.1</v>
      </c>
      <c r="V11">
        <v>0</v>
      </c>
      <c r="X11">
        <v>50</v>
      </c>
      <c r="Y11" t="s">
        <v>224</v>
      </c>
      <c r="AA11" t="s">
        <v>937</v>
      </c>
      <c r="AH11">
        <v>0</v>
      </c>
      <c r="AI11">
        <v>0</v>
      </c>
      <c r="AJ11">
        <v>0</v>
      </c>
      <c r="AK11">
        <v>85.385999999999996</v>
      </c>
      <c r="AL11">
        <v>4.3131196910035774</v>
      </c>
      <c r="AM11">
        <v>36.294647865869258</v>
      </c>
      <c r="AN11">
        <v>0</v>
      </c>
      <c r="AO11">
        <v>0</v>
      </c>
      <c r="AP11">
        <v>0</v>
      </c>
      <c r="AQ11">
        <v>0</v>
      </c>
      <c r="AR11">
        <v>0</v>
      </c>
      <c r="AS11">
        <v>0</v>
      </c>
      <c r="AT11">
        <v>0</v>
      </c>
      <c r="AU11">
        <v>0</v>
      </c>
      <c r="AV11">
        <v>0</v>
      </c>
      <c r="AW11">
        <v>125.99376755687283</v>
      </c>
      <c r="AX11">
        <v>1090.1539</v>
      </c>
      <c r="AY11">
        <v>64.002089999999995</v>
      </c>
      <c r="AZ11">
        <v>58.398366000000003</v>
      </c>
      <c r="BA11">
        <v>1212.5543559999999</v>
      </c>
      <c r="BB11">
        <v>38.441943994999995</v>
      </c>
      <c r="BC11">
        <v>400.18232325585001</v>
      </c>
      <c r="BD11">
        <v>0</v>
      </c>
      <c r="BE11">
        <v>0</v>
      </c>
      <c r="BF11">
        <v>0</v>
      </c>
      <c r="BG11">
        <v>0</v>
      </c>
      <c r="BH11">
        <v>0</v>
      </c>
      <c r="BI11">
        <v>0</v>
      </c>
      <c r="BJ11">
        <v>0</v>
      </c>
      <c r="BK11">
        <v>0</v>
      </c>
      <c r="BL11">
        <v>0</v>
      </c>
      <c r="BM11">
        <v>1651.1786232508498</v>
      </c>
      <c r="BN11">
        <v>9.1</v>
      </c>
      <c r="BO11">
        <v>0</v>
      </c>
      <c r="BP11">
        <v>9.1</v>
      </c>
      <c r="BQ11">
        <v>0</v>
      </c>
      <c r="BR11">
        <v>0</v>
      </c>
      <c r="BS11">
        <v>0</v>
      </c>
      <c r="BT11">
        <v>0</v>
      </c>
      <c r="BU11">
        <v>9.1</v>
      </c>
      <c r="BV11">
        <v>0</v>
      </c>
      <c r="BW11">
        <v>9.1</v>
      </c>
      <c r="BX11">
        <v>956.04466000000002</v>
      </c>
      <c r="BY11">
        <v>13.477926800000001</v>
      </c>
      <c r="BZ11">
        <v>73.949472</v>
      </c>
      <c r="CA11">
        <v>1043.4720588</v>
      </c>
      <c r="CB11">
        <v>10.394238854999999</v>
      </c>
      <c r="CC11">
        <v>71.947985673649995</v>
      </c>
      <c r="CD11">
        <v>0</v>
      </c>
      <c r="CE11">
        <v>0</v>
      </c>
      <c r="CF11">
        <v>0</v>
      </c>
      <c r="CG11">
        <v>0</v>
      </c>
      <c r="CH11">
        <v>0</v>
      </c>
      <c r="CI11">
        <v>0</v>
      </c>
      <c r="CJ11">
        <v>0</v>
      </c>
      <c r="CK11">
        <v>0</v>
      </c>
      <c r="CL11">
        <v>0</v>
      </c>
      <c r="CM11">
        <v>1125.8142833286499</v>
      </c>
      <c r="CN11">
        <v>275.13008250000001</v>
      </c>
      <c r="CO11">
        <v>47.918909220000003</v>
      </c>
      <c r="CP11">
        <v>43.570663499999995</v>
      </c>
      <c r="CQ11">
        <v>366.61965521999997</v>
      </c>
      <c r="CR11">
        <v>664.60612400000002</v>
      </c>
      <c r="CS11">
        <v>5561.6112492166003</v>
      </c>
      <c r="CT11">
        <v>0</v>
      </c>
      <c r="CU11">
        <v>0</v>
      </c>
      <c r="CV11">
        <v>0</v>
      </c>
      <c r="CW11">
        <v>0</v>
      </c>
      <c r="CX11">
        <v>0</v>
      </c>
      <c r="CY11">
        <v>0</v>
      </c>
      <c r="CZ11">
        <v>0</v>
      </c>
      <c r="DA11">
        <v>0</v>
      </c>
      <c r="DB11">
        <v>0</v>
      </c>
      <c r="DC11">
        <v>6592.8370284366001</v>
      </c>
      <c r="DD11">
        <v>455</v>
      </c>
      <c r="DE11">
        <v>0</v>
      </c>
      <c r="DF11" t="s">
        <v>135</v>
      </c>
      <c r="DG11" t="s">
        <v>135</v>
      </c>
      <c r="DH11">
        <v>0</v>
      </c>
      <c r="DI11">
        <v>0</v>
      </c>
      <c r="DJ11">
        <v>0</v>
      </c>
      <c r="DK11">
        <v>0</v>
      </c>
      <c r="DL11">
        <v>0</v>
      </c>
      <c r="DM11">
        <v>455</v>
      </c>
      <c r="DN11">
        <v>455</v>
      </c>
      <c r="DQ11" t="s">
        <v>135</v>
      </c>
      <c r="DR11" t="s">
        <v>135</v>
      </c>
      <c r="DS11">
        <v>0</v>
      </c>
      <c r="DT11">
        <v>0</v>
      </c>
      <c r="DU11">
        <v>0</v>
      </c>
      <c r="DV11">
        <v>8</v>
      </c>
      <c r="DW11">
        <v>8</v>
      </c>
      <c r="DX11">
        <v>0.42692999999999998</v>
      </c>
      <c r="DY11">
        <v>6.0627717799999994</v>
      </c>
    </row>
    <row r="12" spans="1:129">
      <c r="A12" t="s">
        <v>1952</v>
      </c>
      <c r="C12" t="s">
        <v>1954</v>
      </c>
      <c r="D12">
        <v>1</v>
      </c>
      <c r="E12" s="195">
        <v>44562</v>
      </c>
      <c r="F12">
        <v>1</v>
      </c>
      <c r="G12">
        <v>3</v>
      </c>
      <c r="H12">
        <v>200</v>
      </c>
      <c r="I12" t="s">
        <v>389</v>
      </c>
      <c r="J12" t="s">
        <v>1985</v>
      </c>
      <c r="K12" t="s">
        <v>45</v>
      </c>
      <c r="M12" t="s">
        <v>55</v>
      </c>
      <c r="N12" t="s">
        <v>228</v>
      </c>
      <c r="O12" t="s">
        <v>599</v>
      </c>
      <c r="P12">
        <v>0</v>
      </c>
      <c r="R12">
        <v>2.4</v>
      </c>
      <c r="S12">
        <v>3.7916666666666665</v>
      </c>
      <c r="T12">
        <v>25</v>
      </c>
      <c r="U12">
        <v>9.1</v>
      </c>
      <c r="V12">
        <v>0</v>
      </c>
      <c r="X12">
        <v>50</v>
      </c>
      <c r="Y12" t="s">
        <v>224</v>
      </c>
      <c r="AA12" t="s">
        <v>937</v>
      </c>
      <c r="AH12">
        <v>0</v>
      </c>
      <c r="AI12">
        <v>0</v>
      </c>
      <c r="AJ12">
        <v>0</v>
      </c>
      <c r="AK12">
        <v>85.385999999999996</v>
      </c>
      <c r="AL12">
        <v>4.3131196910035774</v>
      </c>
      <c r="AM12">
        <v>36.294647865869258</v>
      </c>
      <c r="AN12">
        <v>0</v>
      </c>
      <c r="AO12">
        <v>0</v>
      </c>
      <c r="AP12">
        <v>0</v>
      </c>
      <c r="AQ12">
        <v>0</v>
      </c>
      <c r="AR12">
        <v>0</v>
      </c>
      <c r="AS12">
        <v>0</v>
      </c>
      <c r="AT12">
        <v>0</v>
      </c>
      <c r="AU12">
        <v>0</v>
      </c>
      <c r="AV12">
        <v>0</v>
      </c>
      <c r="AW12">
        <v>125.99376755687283</v>
      </c>
      <c r="AX12">
        <v>1090.1539</v>
      </c>
      <c r="AY12">
        <v>64.002089999999995</v>
      </c>
      <c r="AZ12">
        <v>58.398366000000003</v>
      </c>
      <c r="BA12">
        <v>1212.5543559999999</v>
      </c>
      <c r="BB12">
        <v>38.441943994999995</v>
      </c>
      <c r="BC12">
        <v>400.18232325585001</v>
      </c>
      <c r="BD12">
        <v>0</v>
      </c>
      <c r="BE12">
        <v>0</v>
      </c>
      <c r="BF12">
        <v>0</v>
      </c>
      <c r="BG12">
        <v>0</v>
      </c>
      <c r="BH12">
        <v>0</v>
      </c>
      <c r="BI12">
        <v>0</v>
      </c>
      <c r="BJ12">
        <v>0</v>
      </c>
      <c r="BK12">
        <v>0</v>
      </c>
      <c r="BL12">
        <v>0</v>
      </c>
      <c r="BM12">
        <v>1651.1786232508498</v>
      </c>
      <c r="BN12">
        <v>9.1</v>
      </c>
      <c r="BO12">
        <v>0</v>
      </c>
      <c r="BP12">
        <v>9.1</v>
      </c>
      <c r="BQ12">
        <v>0</v>
      </c>
      <c r="BR12">
        <v>0</v>
      </c>
      <c r="BS12">
        <v>0</v>
      </c>
      <c r="BT12">
        <v>0</v>
      </c>
      <c r="BU12">
        <v>9.1</v>
      </c>
      <c r="BV12">
        <v>0</v>
      </c>
      <c r="BW12">
        <v>9.1</v>
      </c>
      <c r="BX12">
        <v>956.04466000000002</v>
      </c>
      <c r="BY12">
        <v>13.477926800000001</v>
      </c>
      <c r="BZ12">
        <v>73.949472</v>
      </c>
      <c r="CA12">
        <v>1043.4720588</v>
      </c>
      <c r="CB12">
        <v>10.394238854999999</v>
      </c>
      <c r="CC12">
        <v>71.947985673649995</v>
      </c>
      <c r="CD12">
        <v>0</v>
      </c>
      <c r="CE12">
        <v>0</v>
      </c>
      <c r="CF12">
        <v>0</v>
      </c>
      <c r="CG12">
        <v>0</v>
      </c>
      <c r="CH12">
        <v>0</v>
      </c>
      <c r="CI12">
        <v>0</v>
      </c>
      <c r="CJ12">
        <v>0</v>
      </c>
      <c r="CK12">
        <v>0</v>
      </c>
      <c r="CL12">
        <v>0</v>
      </c>
      <c r="CM12">
        <v>1125.8142833286499</v>
      </c>
      <c r="CN12">
        <v>275.13008250000001</v>
      </c>
      <c r="CO12">
        <v>47.918909220000003</v>
      </c>
      <c r="CP12">
        <v>43.570663499999995</v>
      </c>
      <c r="CQ12">
        <v>366.61965521999997</v>
      </c>
      <c r="CR12">
        <v>664.60612400000002</v>
      </c>
      <c r="CS12">
        <v>5561.6112492166003</v>
      </c>
      <c r="CT12">
        <v>0</v>
      </c>
      <c r="CU12">
        <v>0</v>
      </c>
      <c r="CV12">
        <v>0</v>
      </c>
      <c r="CW12">
        <v>0</v>
      </c>
      <c r="CX12">
        <v>0</v>
      </c>
      <c r="CY12">
        <v>0</v>
      </c>
      <c r="CZ12">
        <v>0</v>
      </c>
      <c r="DA12">
        <v>0</v>
      </c>
      <c r="DB12">
        <v>0</v>
      </c>
      <c r="DC12">
        <v>6592.8370284366001</v>
      </c>
      <c r="DD12">
        <v>455</v>
      </c>
      <c r="DE12">
        <v>0</v>
      </c>
      <c r="DF12" t="s">
        <v>135</v>
      </c>
      <c r="DG12" t="s">
        <v>135</v>
      </c>
      <c r="DH12">
        <v>0</v>
      </c>
      <c r="DI12">
        <v>0</v>
      </c>
      <c r="DJ12">
        <v>0</v>
      </c>
      <c r="DK12">
        <v>0</v>
      </c>
      <c r="DL12">
        <v>0</v>
      </c>
      <c r="DM12">
        <v>455</v>
      </c>
      <c r="DN12">
        <v>455</v>
      </c>
      <c r="DQ12" t="s">
        <v>135</v>
      </c>
      <c r="DR12" t="s">
        <v>135</v>
      </c>
      <c r="DS12">
        <v>0</v>
      </c>
      <c r="DT12">
        <v>0</v>
      </c>
      <c r="DU12">
        <v>0</v>
      </c>
      <c r="DV12">
        <v>8</v>
      </c>
      <c r="DW12">
        <v>8</v>
      </c>
      <c r="DX12">
        <v>0.42692999999999998</v>
      </c>
      <c r="DY12">
        <v>6.0627717799999994</v>
      </c>
    </row>
    <row r="13" spans="1:129">
      <c r="A13" t="s">
        <v>1952</v>
      </c>
      <c r="C13" t="s">
        <v>1954</v>
      </c>
      <c r="D13">
        <v>1</v>
      </c>
      <c r="E13" s="195">
        <v>44562</v>
      </c>
      <c r="F13">
        <v>1</v>
      </c>
      <c r="G13">
        <v>3</v>
      </c>
      <c r="H13">
        <v>82</v>
      </c>
      <c r="I13" t="s">
        <v>385</v>
      </c>
      <c r="J13" t="s">
        <v>1986</v>
      </c>
      <c r="K13" t="s">
        <v>45</v>
      </c>
      <c r="M13" t="s">
        <v>55</v>
      </c>
      <c r="N13" t="s">
        <v>268</v>
      </c>
      <c r="O13" t="s">
        <v>659</v>
      </c>
      <c r="P13">
        <v>0</v>
      </c>
      <c r="R13">
        <v>1.45</v>
      </c>
      <c r="S13">
        <v>4.0999999999999996</v>
      </c>
      <c r="T13">
        <v>12.5</v>
      </c>
      <c r="U13">
        <v>5.9449999999999994</v>
      </c>
      <c r="V13">
        <v>0</v>
      </c>
      <c r="X13">
        <v>50</v>
      </c>
      <c r="Y13" t="s">
        <v>224</v>
      </c>
      <c r="AA13" t="s">
        <v>937</v>
      </c>
      <c r="AH13">
        <v>0</v>
      </c>
      <c r="AI13">
        <v>0</v>
      </c>
      <c r="AJ13">
        <v>0</v>
      </c>
      <c r="AK13">
        <v>192.02513999999999</v>
      </c>
      <c r="AL13">
        <v>2.8177468750567325</v>
      </c>
      <c r="AM13">
        <v>33.400299511865803</v>
      </c>
      <c r="AN13">
        <v>0</v>
      </c>
      <c r="AO13">
        <v>0</v>
      </c>
      <c r="AP13">
        <v>0</v>
      </c>
      <c r="AQ13">
        <v>0</v>
      </c>
      <c r="AR13">
        <v>0</v>
      </c>
      <c r="AS13">
        <v>0</v>
      </c>
      <c r="AT13">
        <v>0</v>
      </c>
      <c r="AU13">
        <v>0</v>
      </c>
      <c r="AV13">
        <v>0</v>
      </c>
      <c r="AW13">
        <v>228.24318638692253</v>
      </c>
      <c r="AX13">
        <v>0</v>
      </c>
      <c r="AY13">
        <v>0</v>
      </c>
      <c r="AZ13">
        <v>0</v>
      </c>
      <c r="BA13">
        <v>1025</v>
      </c>
      <c r="BB13">
        <v>25.113995280249995</v>
      </c>
      <c r="BC13">
        <v>328.87841594832747</v>
      </c>
      <c r="BD13">
        <v>0</v>
      </c>
      <c r="BE13">
        <v>0</v>
      </c>
      <c r="BF13">
        <v>0</v>
      </c>
      <c r="BG13">
        <v>0</v>
      </c>
      <c r="BH13">
        <v>0</v>
      </c>
      <c r="BI13">
        <v>0</v>
      </c>
      <c r="BJ13">
        <v>0</v>
      </c>
      <c r="BK13">
        <v>0</v>
      </c>
      <c r="BL13">
        <v>0</v>
      </c>
      <c r="BM13">
        <v>1378.9924112285776</v>
      </c>
      <c r="BN13">
        <v>5.9449999999999994</v>
      </c>
      <c r="BO13">
        <v>0</v>
      </c>
      <c r="BP13">
        <v>5.9449999999999994</v>
      </c>
      <c r="BQ13">
        <v>0</v>
      </c>
      <c r="BR13">
        <v>0</v>
      </c>
      <c r="BS13">
        <v>0</v>
      </c>
      <c r="BT13">
        <v>0</v>
      </c>
      <c r="BU13">
        <v>5.9449999999999994</v>
      </c>
      <c r="BV13">
        <v>0</v>
      </c>
      <c r="BW13">
        <v>5.9449999999999994</v>
      </c>
      <c r="BX13">
        <v>0</v>
      </c>
      <c r="BY13">
        <v>0</v>
      </c>
      <c r="BZ13">
        <v>0</v>
      </c>
      <c r="CA13">
        <v>753.57999999999993</v>
      </c>
      <c r="CB13">
        <v>6.7905219772499983</v>
      </c>
      <c r="CC13">
        <v>55.883352989397494</v>
      </c>
      <c r="CD13">
        <v>0</v>
      </c>
      <c r="CE13">
        <v>0</v>
      </c>
      <c r="CF13">
        <v>0</v>
      </c>
      <c r="CG13">
        <v>0</v>
      </c>
      <c r="CH13">
        <v>0</v>
      </c>
      <c r="CI13">
        <v>0</v>
      </c>
      <c r="CJ13">
        <v>0</v>
      </c>
      <c r="CK13">
        <v>0</v>
      </c>
      <c r="CL13">
        <v>0</v>
      </c>
      <c r="CM13">
        <v>816.25387496664746</v>
      </c>
      <c r="CN13">
        <v>0</v>
      </c>
      <c r="CO13">
        <v>0</v>
      </c>
      <c r="CP13">
        <v>0</v>
      </c>
      <c r="CQ13">
        <v>580.82650000000001</v>
      </c>
      <c r="CR13">
        <v>434.18498979999993</v>
      </c>
      <c r="CS13">
        <v>4565.6034148827994</v>
      </c>
      <c r="CT13">
        <v>0</v>
      </c>
      <c r="CU13">
        <v>0</v>
      </c>
      <c r="CV13">
        <v>0</v>
      </c>
      <c r="CW13">
        <v>0</v>
      </c>
      <c r="CX13">
        <v>0</v>
      </c>
      <c r="CY13">
        <v>0</v>
      </c>
      <c r="CZ13">
        <v>0</v>
      </c>
      <c r="DA13">
        <v>0</v>
      </c>
      <c r="DB13">
        <v>0</v>
      </c>
      <c r="DC13">
        <v>5580.6149046827995</v>
      </c>
      <c r="DD13">
        <v>297.24999999999994</v>
      </c>
      <c r="DE13">
        <v>0</v>
      </c>
      <c r="DF13" t="s">
        <v>135</v>
      </c>
      <c r="DG13" t="s">
        <v>135</v>
      </c>
      <c r="DH13">
        <v>0</v>
      </c>
      <c r="DI13">
        <v>0</v>
      </c>
      <c r="DJ13">
        <v>0</v>
      </c>
      <c r="DK13">
        <v>0</v>
      </c>
      <c r="DL13">
        <v>0</v>
      </c>
      <c r="DM13">
        <v>297.24999999999994</v>
      </c>
      <c r="DN13">
        <v>297.24999999999994</v>
      </c>
      <c r="DQ13" t="s">
        <v>135</v>
      </c>
      <c r="DR13" t="s">
        <v>135</v>
      </c>
      <c r="DS13">
        <v>0</v>
      </c>
      <c r="DT13">
        <v>0</v>
      </c>
      <c r="DU13">
        <v>0</v>
      </c>
      <c r="DV13">
        <v>6.56</v>
      </c>
      <c r="DW13">
        <v>6.56</v>
      </c>
      <c r="DX13">
        <v>2.3417699999999999</v>
      </c>
      <c r="DY13">
        <v>12.5</v>
      </c>
    </row>
    <row r="14" spans="1:129">
      <c r="A14" t="s">
        <v>1952</v>
      </c>
      <c r="C14" t="s">
        <v>1954</v>
      </c>
      <c r="D14">
        <v>1</v>
      </c>
      <c r="E14" s="195">
        <v>44562</v>
      </c>
      <c r="F14">
        <v>1</v>
      </c>
      <c r="G14">
        <v>3</v>
      </c>
      <c r="H14">
        <v>401</v>
      </c>
      <c r="I14" t="s">
        <v>389</v>
      </c>
      <c r="J14" t="s">
        <v>1987</v>
      </c>
      <c r="K14" t="s">
        <v>45</v>
      </c>
      <c r="M14" t="s">
        <v>55</v>
      </c>
      <c r="N14" t="s">
        <v>222</v>
      </c>
      <c r="O14" t="s">
        <v>388</v>
      </c>
      <c r="P14">
        <v>0</v>
      </c>
      <c r="R14">
        <v>2.4</v>
      </c>
      <c r="S14">
        <v>14.085125</v>
      </c>
      <c r="T14">
        <v>25</v>
      </c>
      <c r="U14">
        <v>33.804299999999998</v>
      </c>
      <c r="V14">
        <v>0</v>
      </c>
      <c r="X14">
        <v>50</v>
      </c>
      <c r="Y14" t="s">
        <v>224</v>
      </c>
      <c r="AA14" t="s">
        <v>937</v>
      </c>
      <c r="AH14">
        <v>0</v>
      </c>
      <c r="AI14">
        <v>0</v>
      </c>
      <c r="AJ14">
        <v>0</v>
      </c>
      <c r="AK14">
        <v>323.3664</v>
      </c>
      <c r="AL14">
        <v>16.0221969198453</v>
      </c>
      <c r="AM14">
        <v>77.557024829249357</v>
      </c>
      <c r="AN14">
        <v>0</v>
      </c>
      <c r="AO14">
        <v>0</v>
      </c>
      <c r="AP14">
        <v>0</v>
      </c>
      <c r="AQ14">
        <v>0</v>
      </c>
      <c r="AR14">
        <v>0</v>
      </c>
      <c r="AS14">
        <v>0</v>
      </c>
      <c r="AT14">
        <v>0</v>
      </c>
      <c r="AU14">
        <v>0</v>
      </c>
      <c r="AV14">
        <v>0</v>
      </c>
      <c r="AW14">
        <v>416.9456217490947</v>
      </c>
      <c r="AX14">
        <v>4152.9412620000003</v>
      </c>
      <c r="AY14">
        <v>243.81596385999998</v>
      </c>
      <c r="AZ14">
        <v>222.46857648</v>
      </c>
      <c r="BA14">
        <v>4619.2258023400009</v>
      </c>
      <c r="BB14">
        <v>142.80252828463497</v>
      </c>
      <c r="BC14">
        <v>869.97898060201896</v>
      </c>
      <c r="BD14">
        <v>0</v>
      </c>
      <c r="BE14">
        <v>0</v>
      </c>
      <c r="BF14">
        <v>0</v>
      </c>
      <c r="BG14">
        <v>0</v>
      </c>
      <c r="BH14">
        <v>0</v>
      </c>
      <c r="BI14">
        <v>0</v>
      </c>
      <c r="BJ14">
        <v>0</v>
      </c>
      <c r="BK14">
        <v>0</v>
      </c>
      <c r="BL14">
        <v>0</v>
      </c>
      <c r="BM14">
        <v>5632.0073112266546</v>
      </c>
      <c r="BN14">
        <v>33.804299999999998</v>
      </c>
      <c r="BO14">
        <v>0.111506524317912</v>
      </c>
      <c r="BP14">
        <v>30.0349</v>
      </c>
      <c r="BQ14">
        <v>3.7693999999999996</v>
      </c>
      <c r="BR14">
        <v>0</v>
      </c>
      <c r="BS14">
        <v>0</v>
      </c>
      <c r="BT14">
        <v>0</v>
      </c>
      <c r="BU14">
        <v>30.0349</v>
      </c>
      <c r="BV14">
        <v>3.7693999999999996</v>
      </c>
      <c r="BW14">
        <v>33.804299999999998</v>
      </c>
      <c r="BX14">
        <v>3642.0521042</v>
      </c>
      <c r="BY14">
        <v>51.344160299999999</v>
      </c>
      <c r="BZ14">
        <v>281.71051198000004</v>
      </c>
      <c r="CA14">
        <v>3975.10677648</v>
      </c>
      <c r="CB14">
        <v>38.612084453415001</v>
      </c>
      <c r="CC14">
        <v>201.27721929972242</v>
      </c>
      <c r="CD14">
        <v>0</v>
      </c>
      <c r="CE14">
        <v>0</v>
      </c>
      <c r="CF14">
        <v>0</v>
      </c>
      <c r="CG14">
        <v>0</v>
      </c>
      <c r="CH14">
        <v>0</v>
      </c>
      <c r="CI14">
        <v>0</v>
      </c>
      <c r="CJ14">
        <v>0</v>
      </c>
      <c r="CK14">
        <v>0</v>
      </c>
      <c r="CL14">
        <v>0</v>
      </c>
      <c r="CM14">
        <v>4214.996080233137</v>
      </c>
      <c r="CN14">
        <v>1941.8792919905998</v>
      </c>
      <c r="CO14">
        <v>338.21361030209994</v>
      </c>
      <c r="CP14">
        <v>307.52351791787999</v>
      </c>
      <c r="CQ14">
        <v>2587.6164202105797</v>
      </c>
      <c r="CR14">
        <v>2468.8510766519998</v>
      </c>
      <c r="CS14">
        <v>11240.696348965077</v>
      </c>
      <c r="CT14">
        <v>0</v>
      </c>
      <c r="CU14">
        <v>0</v>
      </c>
      <c r="CV14">
        <v>0</v>
      </c>
      <c r="CW14">
        <v>0</v>
      </c>
      <c r="CX14">
        <v>0</v>
      </c>
      <c r="CY14">
        <v>0</v>
      </c>
      <c r="CZ14">
        <v>0</v>
      </c>
      <c r="DA14">
        <v>0</v>
      </c>
      <c r="DB14">
        <v>0</v>
      </c>
      <c r="DC14">
        <v>16297.163845827657</v>
      </c>
      <c r="DD14">
        <v>1690.2149999999999</v>
      </c>
      <c r="DE14">
        <v>0</v>
      </c>
      <c r="DF14" t="s">
        <v>135</v>
      </c>
      <c r="DG14" t="s">
        <v>135</v>
      </c>
      <c r="DH14">
        <v>0</v>
      </c>
      <c r="DI14">
        <v>0</v>
      </c>
      <c r="DJ14">
        <v>0</v>
      </c>
      <c r="DK14">
        <v>0</v>
      </c>
      <c r="DL14">
        <v>0</v>
      </c>
      <c r="DM14">
        <v>1690.2149999999999</v>
      </c>
      <c r="DN14">
        <v>1690.2149999999999</v>
      </c>
      <c r="DQ14" t="s">
        <v>135</v>
      </c>
      <c r="DR14" t="s">
        <v>135</v>
      </c>
      <c r="DS14">
        <v>0</v>
      </c>
      <c r="DT14">
        <v>0</v>
      </c>
      <c r="DU14">
        <v>0</v>
      </c>
      <c r="DV14">
        <v>16.04</v>
      </c>
      <c r="DW14">
        <v>16.04</v>
      </c>
      <c r="DX14">
        <v>0.80640000000000001</v>
      </c>
      <c r="DY14">
        <v>11.519266340000001</v>
      </c>
    </row>
    <row r="15" spans="1:129">
      <c r="A15" t="s">
        <v>1952</v>
      </c>
      <c r="C15" t="s">
        <v>1954</v>
      </c>
      <c r="D15">
        <v>1</v>
      </c>
      <c r="E15" s="195">
        <v>44562</v>
      </c>
      <c r="F15">
        <v>1</v>
      </c>
      <c r="G15">
        <v>3</v>
      </c>
      <c r="H15">
        <v>793</v>
      </c>
      <c r="I15" t="s">
        <v>389</v>
      </c>
      <c r="J15" t="s">
        <v>1988</v>
      </c>
      <c r="K15" t="s">
        <v>45</v>
      </c>
      <c r="M15" t="s">
        <v>55</v>
      </c>
      <c r="N15" t="s">
        <v>222</v>
      </c>
      <c r="O15" t="s">
        <v>388</v>
      </c>
      <c r="P15">
        <v>0</v>
      </c>
      <c r="R15">
        <v>2.4</v>
      </c>
      <c r="S15">
        <v>27.854125000000003</v>
      </c>
      <c r="T15">
        <v>25</v>
      </c>
      <c r="U15">
        <v>66.849900000000005</v>
      </c>
      <c r="V15">
        <v>0</v>
      </c>
      <c r="X15">
        <v>50</v>
      </c>
      <c r="Y15" t="s">
        <v>224</v>
      </c>
      <c r="AA15" t="s">
        <v>937</v>
      </c>
      <c r="AH15">
        <v>0</v>
      </c>
      <c r="AI15">
        <v>0</v>
      </c>
      <c r="AJ15">
        <v>0</v>
      </c>
      <c r="AK15">
        <v>639.47519999999997</v>
      </c>
      <c r="AL15">
        <v>31.684793410068142</v>
      </c>
      <c r="AM15">
        <v>153.37336830322877</v>
      </c>
      <c r="AN15">
        <v>0</v>
      </c>
      <c r="AO15">
        <v>0</v>
      </c>
      <c r="AP15">
        <v>0</v>
      </c>
      <c r="AQ15">
        <v>0</v>
      </c>
      <c r="AR15">
        <v>0</v>
      </c>
      <c r="AS15">
        <v>0</v>
      </c>
      <c r="AT15">
        <v>0</v>
      </c>
      <c r="AU15">
        <v>0</v>
      </c>
      <c r="AV15">
        <v>0</v>
      </c>
      <c r="AW15">
        <v>824.53336171329681</v>
      </c>
      <c r="AX15">
        <v>8212.6743660000011</v>
      </c>
      <c r="AY15">
        <v>482.15974897999996</v>
      </c>
      <c r="AZ15">
        <v>439.94409264000001</v>
      </c>
      <c r="BA15">
        <v>9134.7782076200019</v>
      </c>
      <c r="BB15">
        <v>282.40001229355499</v>
      </c>
      <c r="BC15">
        <v>1720.4322484224467</v>
      </c>
      <c r="BD15">
        <v>0</v>
      </c>
      <c r="BE15">
        <v>0</v>
      </c>
      <c r="BF15">
        <v>0</v>
      </c>
      <c r="BG15">
        <v>0</v>
      </c>
      <c r="BH15">
        <v>0</v>
      </c>
      <c r="BI15">
        <v>0</v>
      </c>
      <c r="BJ15">
        <v>0</v>
      </c>
      <c r="BK15">
        <v>0</v>
      </c>
      <c r="BL15">
        <v>0</v>
      </c>
      <c r="BM15">
        <v>11137.610468336004</v>
      </c>
      <c r="BN15">
        <v>66.849900000000005</v>
      </c>
      <c r="BO15">
        <v>0.111506524317912</v>
      </c>
      <c r="BP15">
        <v>59.395700000000005</v>
      </c>
      <c r="BQ15">
        <v>7.454200000000001</v>
      </c>
      <c r="BR15">
        <v>0</v>
      </c>
      <c r="BS15">
        <v>0</v>
      </c>
      <c r="BT15">
        <v>0</v>
      </c>
      <c r="BU15">
        <v>59.395700000000005</v>
      </c>
      <c r="BV15">
        <v>7.454200000000001</v>
      </c>
      <c r="BW15">
        <v>66.849900000000005</v>
      </c>
      <c r="BX15">
        <v>7202.3623906000003</v>
      </c>
      <c r="BY15">
        <v>101.5359579</v>
      </c>
      <c r="BZ15">
        <v>557.09834413999999</v>
      </c>
      <c r="CA15">
        <v>7860.9966926400002</v>
      </c>
      <c r="CB15">
        <v>76.357563520095013</v>
      </c>
      <c r="CC15">
        <v>398.03699477476283</v>
      </c>
      <c r="CD15">
        <v>0</v>
      </c>
      <c r="CE15">
        <v>0</v>
      </c>
      <c r="CF15">
        <v>0</v>
      </c>
      <c r="CG15">
        <v>0</v>
      </c>
      <c r="CH15">
        <v>0</v>
      </c>
      <c r="CI15">
        <v>0</v>
      </c>
      <c r="CJ15">
        <v>0</v>
      </c>
      <c r="CK15">
        <v>0</v>
      </c>
      <c r="CL15">
        <v>0</v>
      </c>
      <c r="CM15">
        <v>8335.3912509348575</v>
      </c>
      <c r="CN15">
        <v>3840.1752582258</v>
      </c>
      <c r="CO15">
        <v>668.83639144530002</v>
      </c>
      <c r="CP15">
        <v>608.14501174283998</v>
      </c>
      <c r="CQ15">
        <v>5117.1566614139401</v>
      </c>
      <c r="CR15">
        <v>4882.2915306360001</v>
      </c>
      <c r="CS15">
        <v>22229.107742467098</v>
      </c>
      <c r="CT15">
        <v>0</v>
      </c>
      <c r="CU15">
        <v>0</v>
      </c>
      <c r="CV15">
        <v>0</v>
      </c>
      <c r="CW15">
        <v>0</v>
      </c>
      <c r="CX15">
        <v>0</v>
      </c>
      <c r="CY15">
        <v>0</v>
      </c>
      <c r="CZ15">
        <v>0</v>
      </c>
      <c r="DA15">
        <v>0</v>
      </c>
      <c r="DB15">
        <v>0</v>
      </c>
      <c r="DC15">
        <v>32228.55593451704</v>
      </c>
      <c r="DD15">
        <v>3342.4950000000003</v>
      </c>
      <c r="DE15">
        <v>0</v>
      </c>
      <c r="DF15" t="s">
        <v>135</v>
      </c>
      <c r="DG15" t="s">
        <v>135</v>
      </c>
      <c r="DH15">
        <v>0</v>
      </c>
      <c r="DI15">
        <v>0</v>
      </c>
      <c r="DJ15">
        <v>0</v>
      </c>
      <c r="DK15">
        <v>0</v>
      </c>
      <c r="DL15">
        <v>0</v>
      </c>
      <c r="DM15">
        <v>3342.4950000000003</v>
      </c>
      <c r="DN15">
        <v>3342.4950000000003</v>
      </c>
      <c r="DQ15" t="s">
        <v>135</v>
      </c>
      <c r="DR15" t="s">
        <v>135</v>
      </c>
      <c r="DS15">
        <v>0</v>
      </c>
      <c r="DT15">
        <v>0</v>
      </c>
      <c r="DU15">
        <v>0</v>
      </c>
      <c r="DV15">
        <v>31.72</v>
      </c>
      <c r="DW15">
        <v>31.72</v>
      </c>
      <c r="DX15">
        <v>0.80640000000000001</v>
      </c>
      <c r="DY15">
        <v>11.519266340000003</v>
      </c>
    </row>
    <row r="16" spans="1:129">
      <c r="A16" t="s">
        <v>1952</v>
      </c>
      <c r="C16" t="s">
        <v>1954</v>
      </c>
      <c r="D16">
        <v>1</v>
      </c>
      <c r="E16" s="195">
        <v>44562</v>
      </c>
      <c r="F16">
        <v>1</v>
      </c>
      <c r="G16">
        <v>3</v>
      </c>
      <c r="H16">
        <v>825</v>
      </c>
      <c r="I16" t="s">
        <v>385</v>
      </c>
      <c r="J16" t="s">
        <v>1989</v>
      </c>
      <c r="K16" t="s">
        <v>39</v>
      </c>
      <c r="M16" t="s">
        <v>55</v>
      </c>
      <c r="N16" t="s">
        <v>56</v>
      </c>
      <c r="O16" t="s">
        <v>384</v>
      </c>
      <c r="P16">
        <v>0</v>
      </c>
      <c r="R16">
        <v>2.4</v>
      </c>
      <c r="S16">
        <v>61.737500000000011</v>
      </c>
      <c r="U16">
        <v>148.17000000000002</v>
      </c>
      <c r="V16">
        <v>0</v>
      </c>
      <c r="W16">
        <v>12.5</v>
      </c>
      <c r="AC16" t="s">
        <v>937</v>
      </c>
      <c r="AE16" t="s">
        <v>224</v>
      </c>
      <c r="AH16">
        <v>0</v>
      </c>
      <c r="AI16">
        <v>0</v>
      </c>
      <c r="AJ16">
        <v>0</v>
      </c>
      <c r="AK16">
        <v>0</v>
      </c>
      <c r="AL16">
        <v>0</v>
      </c>
      <c r="AM16">
        <v>0</v>
      </c>
      <c r="AN16">
        <v>0</v>
      </c>
      <c r="AO16">
        <v>0</v>
      </c>
      <c r="AP16">
        <v>64.970018850000002</v>
      </c>
      <c r="AQ16">
        <v>0</v>
      </c>
      <c r="AR16">
        <v>23.766838425</v>
      </c>
      <c r="AS16">
        <v>1.0839172575</v>
      </c>
      <c r="AT16">
        <v>0</v>
      </c>
      <c r="AU16">
        <v>0</v>
      </c>
      <c r="AV16">
        <v>-77.931958500000007</v>
      </c>
      <c r="AW16">
        <v>11.888816032500003</v>
      </c>
      <c r="AX16">
        <v>0</v>
      </c>
      <c r="AY16">
        <v>0</v>
      </c>
      <c r="AZ16">
        <v>0</v>
      </c>
      <c r="BA16">
        <v>0</v>
      </c>
      <c r="BB16">
        <v>0</v>
      </c>
      <c r="BC16">
        <v>0</v>
      </c>
      <c r="BD16">
        <v>0</v>
      </c>
      <c r="BE16">
        <v>0</v>
      </c>
      <c r="BF16">
        <v>490.85255999999998</v>
      </c>
      <c r="BG16">
        <v>0</v>
      </c>
      <c r="BH16">
        <v>234.007092</v>
      </c>
      <c r="BI16">
        <v>8</v>
      </c>
      <c r="BJ16">
        <v>0</v>
      </c>
      <c r="BK16">
        <v>0</v>
      </c>
      <c r="BL16">
        <v>-641.91640425000003</v>
      </c>
      <c r="BM16">
        <v>90.858695069999953</v>
      </c>
      <c r="BN16">
        <v>148.17000000000002</v>
      </c>
      <c r="BO16">
        <v>5.7906458797327399E-2</v>
      </c>
      <c r="BP16">
        <v>139.59000000000003</v>
      </c>
      <c r="BQ16">
        <v>8.5800000000000018</v>
      </c>
      <c r="BR16">
        <v>0</v>
      </c>
      <c r="BS16">
        <v>0</v>
      </c>
      <c r="BT16">
        <v>0</v>
      </c>
      <c r="BU16">
        <v>139.59000000000003</v>
      </c>
      <c r="BV16">
        <v>8.5800000000000018</v>
      </c>
      <c r="BW16">
        <v>148.17000000000004</v>
      </c>
      <c r="BX16">
        <v>0</v>
      </c>
      <c r="BY16">
        <v>0</v>
      </c>
      <c r="BZ16">
        <v>0</v>
      </c>
      <c r="CA16">
        <v>0</v>
      </c>
      <c r="CB16">
        <v>0</v>
      </c>
      <c r="CC16">
        <v>0</v>
      </c>
      <c r="CD16">
        <v>0</v>
      </c>
      <c r="CE16">
        <v>0</v>
      </c>
      <c r="CF16">
        <v>40.789792724999998</v>
      </c>
      <c r="CG16">
        <v>0</v>
      </c>
      <c r="CH16">
        <v>34.101506267400005</v>
      </c>
      <c r="CI16">
        <v>1</v>
      </c>
      <c r="CJ16">
        <v>0</v>
      </c>
      <c r="CK16">
        <v>0</v>
      </c>
      <c r="CL16">
        <v>-93.810958038600006</v>
      </c>
      <c r="CM16">
        <v>-17.883373431428993</v>
      </c>
      <c r="CN16">
        <v>0</v>
      </c>
      <c r="CO16">
        <v>0</v>
      </c>
      <c r="CP16">
        <v>0</v>
      </c>
      <c r="CQ16">
        <v>0</v>
      </c>
      <c r="CR16">
        <v>0</v>
      </c>
      <c r="CS16">
        <v>0</v>
      </c>
      <c r="CT16">
        <v>0</v>
      </c>
      <c r="CU16">
        <v>0</v>
      </c>
      <c r="CV16">
        <v>7597.0236375000004</v>
      </c>
      <c r="CW16">
        <v>0</v>
      </c>
      <c r="CX16">
        <v>662.97475213200005</v>
      </c>
      <c r="CY16">
        <v>43</v>
      </c>
      <c r="CZ16">
        <v>0</v>
      </c>
      <c r="DA16">
        <v>0</v>
      </c>
      <c r="DB16">
        <v>-1535.0680187700002</v>
      </c>
      <c r="DC16">
        <v>6768.1471088352009</v>
      </c>
      <c r="DD16">
        <v>0</v>
      </c>
      <c r="DE16">
        <v>7408.5000000000009</v>
      </c>
      <c r="DF16" t="s">
        <v>135</v>
      </c>
      <c r="DG16" t="s">
        <v>135</v>
      </c>
      <c r="DH16">
        <v>0</v>
      </c>
      <c r="DI16">
        <v>0</v>
      </c>
      <c r="DJ16">
        <v>0</v>
      </c>
      <c r="DK16">
        <v>0</v>
      </c>
      <c r="DL16">
        <v>0</v>
      </c>
      <c r="DM16">
        <v>7408.5000000000009</v>
      </c>
      <c r="DN16">
        <v>7408.5000000000009</v>
      </c>
      <c r="DQ16" t="s">
        <v>135</v>
      </c>
      <c r="DR16" t="s">
        <v>135</v>
      </c>
      <c r="DS16">
        <v>0</v>
      </c>
      <c r="DT16">
        <v>0</v>
      </c>
      <c r="DU16">
        <v>0</v>
      </c>
      <c r="DV16">
        <v>66</v>
      </c>
      <c r="DW16">
        <v>66</v>
      </c>
      <c r="DX16">
        <v>0</v>
      </c>
      <c r="DY16">
        <v>0</v>
      </c>
    </row>
    <row r="17" spans="1:129">
      <c r="A17" t="s">
        <v>1952</v>
      </c>
      <c r="C17" t="s">
        <v>1954</v>
      </c>
      <c r="D17">
        <v>1</v>
      </c>
      <c r="E17" s="195">
        <v>44562</v>
      </c>
      <c r="F17">
        <v>1</v>
      </c>
      <c r="G17">
        <v>3</v>
      </c>
      <c r="H17">
        <v>685</v>
      </c>
      <c r="I17" t="s">
        <v>385</v>
      </c>
      <c r="J17" t="s">
        <v>1990</v>
      </c>
      <c r="K17" t="s">
        <v>39</v>
      </c>
      <c r="M17" t="s">
        <v>55</v>
      </c>
      <c r="N17" t="s">
        <v>56</v>
      </c>
      <c r="O17" t="s">
        <v>384</v>
      </c>
      <c r="P17">
        <v>0</v>
      </c>
      <c r="R17">
        <v>2.4</v>
      </c>
      <c r="S17">
        <v>51.260833333333338</v>
      </c>
      <c r="U17">
        <v>123.02600000000001</v>
      </c>
      <c r="V17">
        <v>0</v>
      </c>
      <c r="W17">
        <v>12.5</v>
      </c>
      <c r="AC17" t="s">
        <v>937</v>
      </c>
      <c r="AD17">
        <v>50</v>
      </c>
      <c r="AE17" t="s">
        <v>224</v>
      </c>
      <c r="AH17">
        <v>0</v>
      </c>
      <c r="AI17">
        <v>0</v>
      </c>
      <c r="AJ17">
        <v>0</v>
      </c>
      <c r="AK17">
        <v>0</v>
      </c>
      <c r="AL17">
        <v>0</v>
      </c>
      <c r="AM17">
        <v>0</v>
      </c>
      <c r="AN17">
        <v>0</v>
      </c>
      <c r="AO17">
        <v>0</v>
      </c>
      <c r="AP17">
        <v>53.944803529999994</v>
      </c>
      <c r="AQ17">
        <v>58.31053440718749</v>
      </c>
      <c r="AR17">
        <v>19.733677965000002</v>
      </c>
      <c r="AS17">
        <v>0.89997978350000007</v>
      </c>
      <c r="AT17">
        <v>0</v>
      </c>
      <c r="AU17">
        <v>0</v>
      </c>
      <c r="AV17">
        <v>-64.707141300000004</v>
      </c>
      <c r="AW17">
        <v>68.181854385687458</v>
      </c>
      <c r="AX17">
        <v>0</v>
      </c>
      <c r="AY17">
        <v>0</v>
      </c>
      <c r="AZ17">
        <v>0</v>
      </c>
      <c r="BA17">
        <v>0</v>
      </c>
      <c r="BB17">
        <v>0</v>
      </c>
      <c r="BC17">
        <v>0</v>
      </c>
      <c r="BD17">
        <v>0</v>
      </c>
      <c r="BE17">
        <v>0</v>
      </c>
      <c r="BF17">
        <v>407.55636799999996</v>
      </c>
      <c r="BG17">
        <v>519.70973647569997</v>
      </c>
      <c r="BH17">
        <v>194.29679759999999</v>
      </c>
      <c r="BI17">
        <v>7</v>
      </c>
      <c r="BJ17">
        <v>0</v>
      </c>
      <c r="BK17">
        <v>0</v>
      </c>
      <c r="BL17">
        <v>-532.98513564999996</v>
      </c>
      <c r="BM17">
        <v>595.14998632169988</v>
      </c>
      <c r="BN17">
        <v>123.02600000000001</v>
      </c>
      <c r="BO17">
        <v>5.7906458797327399E-2</v>
      </c>
      <c r="BP17">
        <v>115.90200000000002</v>
      </c>
      <c r="BQ17">
        <v>7.1240000000000014</v>
      </c>
      <c r="BR17">
        <v>0</v>
      </c>
      <c r="BS17">
        <v>0</v>
      </c>
      <c r="BT17">
        <v>0</v>
      </c>
      <c r="BU17">
        <v>115.90200000000002</v>
      </c>
      <c r="BV17">
        <v>7.1240000000000014</v>
      </c>
      <c r="BW17">
        <v>123.02600000000001</v>
      </c>
      <c r="BX17">
        <v>0</v>
      </c>
      <c r="BY17">
        <v>0</v>
      </c>
      <c r="BZ17">
        <v>0</v>
      </c>
      <c r="CA17">
        <v>0</v>
      </c>
      <c r="CB17">
        <v>0</v>
      </c>
      <c r="CC17">
        <v>0</v>
      </c>
      <c r="CD17">
        <v>0</v>
      </c>
      <c r="CE17">
        <v>0</v>
      </c>
      <c r="CF17">
        <v>33.867888504999996</v>
      </c>
      <c r="CG17">
        <v>140.5232559753</v>
      </c>
      <c r="CH17">
        <v>28.314583991720003</v>
      </c>
      <c r="CI17">
        <v>1</v>
      </c>
      <c r="CJ17">
        <v>0</v>
      </c>
      <c r="CK17">
        <v>0</v>
      </c>
      <c r="CL17">
        <v>-77.891522735080002</v>
      </c>
      <c r="CM17">
        <v>125.6746368231438</v>
      </c>
      <c r="CN17">
        <v>0</v>
      </c>
      <c r="CO17">
        <v>0</v>
      </c>
      <c r="CP17">
        <v>0</v>
      </c>
      <c r="CQ17">
        <v>0</v>
      </c>
      <c r="CR17">
        <v>0</v>
      </c>
      <c r="CS17">
        <v>0</v>
      </c>
      <c r="CT17">
        <v>0</v>
      </c>
      <c r="CU17">
        <v>0</v>
      </c>
      <c r="CV17">
        <v>6307.8317475000003</v>
      </c>
      <c r="CW17">
        <v>8985.0365946399997</v>
      </c>
      <c r="CX17">
        <v>550.4699457096001</v>
      </c>
      <c r="CY17">
        <v>36</v>
      </c>
      <c r="CZ17">
        <v>0</v>
      </c>
      <c r="DA17">
        <v>0</v>
      </c>
      <c r="DB17">
        <v>-1274.5716277060003</v>
      </c>
      <c r="DC17">
        <v>14604.649648642559</v>
      </c>
      <c r="DD17">
        <v>0</v>
      </c>
      <c r="DE17">
        <v>6151.3</v>
      </c>
      <c r="DF17" t="s">
        <v>135</v>
      </c>
      <c r="DG17" t="s">
        <v>135</v>
      </c>
      <c r="DH17">
        <v>0</v>
      </c>
      <c r="DI17">
        <v>0</v>
      </c>
      <c r="DJ17">
        <v>0</v>
      </c>
      <c r="DK17">
        <v>0</v>
      </c>
      <c r="DL17">
        <v>0</v>
      </c>
      <c r="DM17">
        <v>6151.3</v>
      </c>
      <c r="DN17">
        <v>6151.3</v>
      </c>
      <c r="DQ17" t="s">
        <v>135</v>
      </c>
      <c r="DR17" t="s">
        <v>135</v>
      </c>
      <c r="DS17">
        <v>0</v>
      </c>
      <c r="DT17">
        <v>0</v>
      </c>
      <c r="DU17">
        <v>0</v>
      </c>
      <c r="DV17">
        <v>54.8</v>
      </c>
      <c r="DW17">
        <v>54.8</v>
      </c>
      <c r="DX17">
        <v>0</v>
      </c>
      <c r="DY17">
        <v>0</v>
      </c>
    </row>
    <row r="18" spans="1:129">
      <c r="A18" t="s">
        <v>1952</v>
      </c>
      <c r="C18" t="s">
        <v>1954</v>
      </c>
      <c r="D18">
        <v>1</v>
      </c>
      <c r="E18" s="195">
        <v>44562</v>
      </c>
      <c r="F18">
        <v>1</v>
      </c>
      <c r="G18">
        <v>2</v>
      </c>
      <c r="H18">
        <v>28.05</v>
      </c>
      <c r="I18" t="s">
        <v>378</v>
      </c>
      <c r="J18" t="s">
        <v>1991</v>
      </c>
      <c r="K18" t="s">
        <v>45</v>
      </c>
      <c r="M18" t="s">
        <v>237</v>
      </c>
      <c r="N18" t="s">
        <v>241</v>
      </c>
      <c r="O18" t="s">
        <v>494</v>
      </c>
      <c r="P18">
        <v>0</v>
      </c>
      <c r="R18">
        <v>2.35</v>
      </c>
      <c r="S18">
        <v>11.936170212765957</v>
      </c>
      <c r="U18">
        <v>28.05</v>
      </c>
      <c r="V18">
        <v>0</v>
      </c>
      <c r="X18">
        <v>50</v>
      </c>
      <c r="Y18" t="s">
        <v>224</v>
      </c>
      <c r="Z18" t="s">
        <v>239</v>
      </c>
      <c r="AH18">
        <v>562.05446803806626</v>
      </c>
      <c r="AI18">
        <v>94.515022966280256</v>
      </c>
      <c r="AJ18">
        <v>47.166460977476873</v>
      </c>
      <c r="AK18">
        <v>703.7359519818234</v>
      </c>
      <c r="AL18">
        <v>13.294835970620918</v>
      </c>
      <c r="AM18">
        <v>7.3286380077172089</v>
      </c>
      <c r="AN18">
        <v>3.3170490024293366</v>
      </c>
      <c r="AO18">
        <v>0</v>
      </c>
      <c r="AP18">
        <v>0</v>
      </c>
      <c r="AQ18">
        <v>0</v>
      </c>
      <c r="AR18">
        <v>0</v>
      </c>
      <c r="AS18">
        <v>0</v>
      </c>
      <c r="AT18">
        <v>0</v>
      </c>
      <c r="AU18">
        <v>0</v>
      </c>
      <c r="AV18">
        <v>0</v>
      </c>
      <c r="AW18">
        <v>727.67647496259099</v>
      </c>
      <c r="AX18">
        <v>4210.5448782641615</v>
      </c>
      <c r="AY18">
        <v>711.70171736985731</v>
      </c>
      <c r="AZ18">
        <v>657.8923485080619</v>
      </c>
      <c r="BA18">
        <v>5580.1389441420806</v>
      </c>
      <c r="BB18">
        <v>118.49412407249999</v>
      </c>
      <c r="BC18">
        <v>71.609672474999996</v>
      </c>
      <c r="BD18">
        <v>0</v>
      </c>
      <c r="BE18">
        <v>0</v>
      </c>
      <c r="BF18">
        <v>0</v>
      </c>
      <c r="BG18">
        <v>0</v>
      </c>
      <c r="BH18">
        <v>0</v>
      </c>
      <c r="BI18">
        <v>0</v>
      </c>
      <c r="BJ18">
        <v>0</v>
      </c>
      <c r="BK18">
        <v>0</v>
      </c>
      <c r="BL18">
        <v>0</v>
      </c>
      <c r="BM18">
        <v>5770.2427406895804</v>
      </c>
      <c r="BN18">
        <v>28.05</v>
      </c>
      <c r="BO18">
        <v>0</v>
      </c>
      <c r="BP18">
        <v>28.05</v>
      </c>
      <c r="BQ18">
        <v>0</v>
      </c>
      <c r="BR18">
        <v>0</v>
      </c>
      <c r="BS18">
        <v>0</v>
      </c>
      <c r="BT18">
        <v>0</v>
      </c>
      <c r="BU18">
        <v>28.05</v>
      </c>
      <c r="BV18">
        <v>0</v>
      </c>
      <c r="BW18">
        <v>28.05</v>
      </c>
      <c r="BX18">
        <v>2783.0105358486771</v>
      </c>
      <c r="BY18">
        <v>166.87878943822599</v>
      </c>
      <c r="BZ18">
        <v>202.38303448047139</v>
      </c>
      <c r="CA18">
        <v>3152.2723597673744</v>
      </c>
      <c r="CB18">
        <v>32.0393846025</v>
      </c>
      <c r="CC18">
        <v>4.6036798830000007</v>
      </c>
      <c r="CD18">
        <v>0</v>
      </c>
      <c r="CE18">
        <v>0</v>
      </c>
      <c r="CF18">
        <v>0</v>
      </c>
      <c r="CG18">
        <v>0</v>
      </c>
      <c r="CH18">
        <v>0</v>
      </c>
      <c r="CI18">
        <v>0</v>
      </c>
      <c r="CJ18">
        <v>0</v>
      </c>
      <c r="CK18">
        <v>0</v>
      </c>
      <c r="CL18">
        <v>0</v>
      </c>
      <c r="CM18">
        <v>3188.9154242528743</v>
      </c>
      <c r="CN18">
        <v>123100.51911433705</v>
      </c>
      <c r="CO18">
        <v>10368.714328510398</v>
      </c>
      <c r="CP18">
        <v>11357.845488052431</v>
      </c>
      <c r="CQ18">
        <v>144827.07893089988</v>
      </c>
      <c r="CR18">
        <v>2048.5936019999999</v>
      </c>
      <c r="CS18">
        <v>831.49229294999998</v>
      </c>
      <c r="CT18">
        <v>0</v>
      </c>
      <c r="CU18">
        <v>0</v>
      </c>
      <c r="CV18">
        <v>0</v>
      </c>
      <c r="CW18">
        <v>0</v>
      </c>
      <c r="CX18">
        <v>0</v>
      </c>
      <c r="CY18">
        <v>0</v>
      </c>
      <c r="CZ18">
        <v>0</v>
      </c>
      <c r="DA18">
        <v>0</v>
      </c>
      <c r="DB18">
        <v>0</v>
      </c>
      <c r="DC18">
        <v>147707.16482584988</v>
      </c>
      <c r="DD18">
        <v>1402.5</v>
      </c>
      <c r="DE18">
        <v>0</v>
      </c>
      <c r="DF18" t="s">
        <v>135</v>
      </c>
      <c r="DG18" t="s">
        <v>135</v>
      </c>
      <c r="DH18">
        <v>0</v>
      </c>
      <c r="DI18">
        <v>0</v>
      </c>
      <c r="DJ18">
        <v>0</v>
      </c>
      <c r="DK18">
        <v>0</v>
      </c>
      <c r="DL18">
        <v>0</v>
      </c>
      <c r="DM18">
        <v>1402.5</v>
      </c>
      <c r="DN18">
        <v>1402.5</v>
      </c>
      <c r="DQ18" t="s">
        <v>135</v>
      </c>
      <c r="DR18" t="s">
        <v>135</v>
      </c>
      <c r="DS18">
        <v>0</v>
      </c>
      <c r="DT18">
        <v>0</v>
      </c>
      <c r="DU18">
        <v>0</v>
      </c>
      <c r="DV18">
        <v>0.56100000000000005</v>
      </c>
      <c r="DW18">
        <v>0.56100000000000005</v>
      </c>
      <c r="DX18">
        <v>25.088625739102437</v>
      </c>
      <c r="DY18">
        <v>198.93543472877292</v>
      </c>
    </row>
    <row r="19" spans="1:129">
      <c r="A19" t="s">
        <v>1952</v>
      </c>
      <c r="C19" t="s">
        <v>1954</v>
      </c>
      <c r="D19">
        <v>1</v>
      </c>
      <c r="E19" s="195">
        <v>44562</v>
      </c>
      <c r="F19">
        <v>1</v>
      </c>
      <c r="G19">
        <v>2</v>
      </c>
      <c r="H19">
        <v>75.75</v>
      </c>
      <c r="I19" t="s">
        <v>378</v>
      </c>
      <c r="J19" t="s">
        <v>1992</v>
      </c>
      <c r="K19" t="s">
        <v>45</v>
      </c>
      <c r="M19" t="s">
        <v>237</v>
      </c>
      <c r="N19" t="s">
        <v>241</v>
      </c>
      <c r="O19" t="s">
        <v>494</v>
      </c>
      <c r="P19">
        <v>0</v>
      </c>
      <c r="R19">
        <v>2.35</v>
      </c>
      <c r="S19">
        <v>32.234042553191486</v>
      </c>
      <c r="U19">
        <v>75.75</v>
      </c>
      <c r="V19">
        <v>0</v>
      </c>
      <c r="X19">
        <v>50</v>
      </c>
      <c r="Y19" t="s">
        <v>224</v>
      </c>
      <c r="Z19" t="s">
        <v>239</v>
      </c>
      <c r="AH19">
        <v>1517.8476275894302</v>
      </c>
      <c r="AI19">
        <v>255.24110480198678</v>
      </c>
      <c r="AJ19">
        <v>127.37466734559263</v>
      </c>
      <c r="AK19">
        <v>1900.4633997370095</v>
      </c>
      <c r="AL19">
        <v>35.903166658628685</v>
      </c>
      <c r="AM19">
        <v>19.791241678594602</v>
      </c>
      <c r="AN19">
        <v>8.9578061295551592</v>
      </c>
      <c r="AO19">
        <v>0</v>
      </c>
      <c r="AP19">
        <v>0</v>
      </c>
      <c r="AQ19">
        <v>0</v>
      </c>
      <c r="AR19">
        <v>0</v>
      </c>
      <c r="AS19">
        <v>0</v>
      </c>
      <c r="AT19">
        <v>0</v>
      </c>
      <c r="AU19">
        <v>0</v>
      </c>
      <c r="AV19">
        <v>0</v>
      </c>
      <c r="AW19">
        <v>1965.1156142037878</v>
      </c>
      <c r="AX19">
        <v>11370.722799590381</v>
      </c>
      <c r="AY19">
        <v>1921.9752260522885</v>
      </c>
      <c r="AZ19">
        <v>1776.6611550618782</v>
      </c>
      <c r="BA19">
        <v>15069.359180704549</v>
      </c>
      <c r="BB19">
        <v>319.99750083749996</v>
      </c>
      <c r="BC19">
        <v>193.38440962499999</v>
      </c>
      <c r="BD19">
        <v>0</v>
      </c>
      <c r="BE19">
        <v>0</v>
      </c>
      <c r="BF19">
        <v>0</v>
      </c>
      <c r="BG19">
        <v>0</v>
      </c>
      <c r="BH19">
        <v>0</v>
      </c>
      <c r="BI19">
        <v>0</v>
      </c>
      <c r="BJ19">
        <v>0</v>
      </c>
      <c r="BK19">
        <v>0</v>
      </c>
      <c r="BL19">
        <v>0</v>
      </c>
      <c r="BM19">
        <v>15582.741091167049</v>
      </c>
      <c r="BN19">
        <v>75.75</v>
      </c>
      <c r="BO19">
        <v>0</v>
      </c>
      <c r="BP19">
        <v>75.75</v>
      </c>
      <c r="BQ19">
        <v>0</v>
      </c>
      <c r="BR19">
        <v>0</v>
      </c>
      <c r="BS19">
        <v>0</v>
      </c>
      <c r="BT19">
        <v>0</v>
      </c>
      <c r="BU19">
        <v>75.75</v>
      </c>
      <c r="BV19">
        <v>0</v>
      </c>
      <c r="BW19">
        <v>75.75</v>
      </c>
      <c r="BX19">
        <v>7515.6166877196893</v>
      </c>
      <c r="BY19">
        <v>450.66197147756213</v>
      </c>
      <c r="BZ19">
        <v>546.54241931892</v>
      </c>
      <c r="CA19">
        <v>8512.8210785161718</v>
      </c>
      <c r="CB19">
        <v>86.5234717875</v>
      </c>
      <c r="CC19">
        <v>12.432397545000001</v>
      </c>
      <c r="CD19">
        <v>0</v>
      </c>
      <c r="CE19">
        <v>0</v>
      </c>
      <c r="CF19">
        <v>0</v>
      </c>
      <c r="CG19">
        <v>0</v>
      </c>
      <c r="CH19">
        <v>0</v>
      </c>
      <c r="CI19">
        <v>0</v>
      </c>
      <c r="CJ19">
        <v>0</v>
      </c>
      <c r="CK19">
        <v>0</v>
      </c>
      <c r="CL19">
        <v>0</v>
      </c>
      <c r="CM19">
        <v>8611.7769478486716</v>
      </c>
      <c r="CN19">
        <v>332437.23076331662</v>
      </c>
      <c r="CO19">
        <v>28001.073453998666</v>
      </c>
      <c r="CP19">
        <v>30672.256531906296</v>
      </c>
      <c r="CQ19">
        <v>391110.56074922159</v>
      </c>
      <c r="CR19">
        <v>5532.2982300000003</v>
      </c>
      <c r="CS19">
        <v>2245.4738392499999</v>
      </c>
      <c r="CT19">
        <v>0</v>
      </c>
      <c r="CU19">
        <v>0</v>
      </c>
      <c r="CV19">
        <v>0</v>
      </c>
      <c r="CW19">
        <v>0</v>
      </c>
      <c r="CX19">
        <v>0</v>
      </c>
      <c r="CY19">
        <v>0</v>
      </c>
      <c r="CZ19">
        <v>0</v>
      </c>
      <c r="DA19">
        <v>0</v>
      </c>
      <c r="DB19">
        <v>0</v>
      </c>
      <c r="DC19">
        <v>398888.33281847159</v>
      </c>
      <c r="DD19">
        <v>3787.5</v>
      </c>
      <c r="DE19">
        <v>0</v>
      </c>
      <c r="DF19" t="s">
        <v>135</v>
      </c>
      <c r="DG19" t="s">
        <v>135</v>
      </c>
      <c r="DH19">
        <v>0</v>
      </c>
      <c r="DI19">
        <v>0</v>
      </c>
      <c r="DJ19">
        <v>0</v>
      </c>
      <c r="DK19">
        <v>0</v>
      </c>
      <c r="DL19">
        <v>0</v>
      </c>
      <c r="DM19">
        <v>3787.5</v>
      </c>
      <c r="DN19">
        <v>3787.5</v>
      </c>
      <c r="DQ19" t="s">
        <v>135</v>
      </c>
      <c r="DR19" t="s">
        <v>135</v>
      </c>
      <c r="DS19">
        <v>0</v>
      </c>
      <c r="DT19">
        <v>0</v>
      </c>
      <c r="DU19">
        <v>0</v>
      </c>
      <c r="DV19">
        <v>1.5149999999999999</v>
      </c>
      <c r="DW19">
        <v>1.5149999999999999</v>
      </c>
      <c r="DX19">
        <v>25.088625739102437</v>
      </c>
      <c r="DY19">
        <v>198.93543472877292</v>
      </c>
    </row>
    <row r="20" spans="1:129">
      <c r="A20" t="s">
        <v>1952</v>
      </c>
      <c r="C20" t="s">
        <v>1954</v>
      </c>
      <c r="D20">
        <v>1</v>
      </c>
      <c r="E20" s="195">
        <v>44562</v>
      </c>
      <c r="F20">
        <v>1</v>
      </c>
      <c r="G20">
        <v>2</v>
      </c>
      <c r="H20">
        <v>38.25</v>
      </c>
      <c r="I20" t="s">
        <v>378</v>
      </c>
      <c r="J20" t="s">
        <v>1993</v>
      </c>
      <c r="K20" t="s">
        <v>45</v>
      </c>
      <c r="M20" t="s">
        <v>237</v>
      </c>
      <c r="N20" t="s">
        <v>529</v>
      </c>
      <c r="O20" t="s">
        <v>377</v>
      </c>
      <c r="P20">
        <v>0</v>
      </c>
      <c r="R20">
        <v>2.35</v>
      </c>
      <c r="S20">
        <v>16.276595744680851</v>
      </c>
      <c r="U20">
        <v>38.25</v>
      </c>
      <c r="V20">
        <v>0</v>
      </c>
      <c r="X20">
        <v>50</v>
      </c>
      <c r="Y20" t="s">
        <v>224</v>
      </c>
      <c r="Z20" t="s">
        <v>239</v>
      </c>
      <c r="AH20">
        <v>219.84531969745254</v>
      </c>
      <c r="AI20">
        <v>108.50207216637369</v>
      </c>
      <c r="AJ20">
        <v>66.104010797281134</v>
      </c>
      <c r="AK20">
        <v>394.45140266110735</v>
      </c>
      <c r="AL20">
        <v>18.129321778119433</v>
      </c>
      <c r="AM20">
        <v>9.9935972832507396</v>
      </c>
      <c r="AN20">
        <v>3.1395544355559579</v>
      </c>
      <c r="AO20">
        <v>0</v>
      </c>
      <c r="AP20">
        <v>0</v>
      </c>
      <c r="AQ20">
        <v>0</v>
      </c>
      <c r="AR20">
        <v>0</v>
      </c>
      <c r="AS20">
        <v>0</v>
      </c>
      <c r="AT20">
        <v>0</v>
      </c>
      <c r="AU20">
        <v>0</v>
      </c>
      <c r="AV20">
        <v>0</v>
      </c>
      <c r="AW20">
        <v>425.71387615803349</v>
      </c>
      <c r="AX20">
        <v>1712.9929995985451</v>
      </c>
      <c r="AY20">
        <v>908.04458721918843</v>
      </c>
      <c r="AZ20">
        <v>931.7848284135315</v>
      </c>
      <c r="BA20">
        <v>3552.822415231265</v>
      </c>
      <c r="BB20">
        <v>161.58289646249997</v>
      </c>
      <c r="BC20">
        <v>97.649553374999996</v>
      </c>
      <c r="BD20">
        <v>0</v>
      </c>
      <c r="BE20">
        <v>0</v>
      </c>
      <c r="BF20">
        <v>0</v>
      </c>
      <c r="BG20">
        <v>0</v>
      </c>
      <c r="BH20">
        <v>0</v>
      </c>
      <c r="BI20">
        <v>0</v>
      </c>
      <c r="BJ20">
        <v>0</v>
      </c>
      <c r="BK20">
        <v>0</v>
      </c>
      <c r="BL20">
        <v>0</v>
      </c>
      <c r="BM20">
        <v>3812.0548650687647</v>
      </c>
      <c r="BN20">
        <v>38.25</v>
      </c>
      <c r="BO20">
        <v>0.3</v>
      </c>
      <c r="BP20">
        <v>26.774999999999999</v>
      </c>
      <c r="BQ20">
        <v>11.475</v>
      </c>
      <c r="BR20">
        <v>0</v>
      </c>
      <c r="BS20">
        <v>0</v>
      </c>
      <c r="BT20">
        <v>0</v>
      </c>
      <c r="BU20">
        <v>26.774999999999999</v>
      </c>
      <c r="BV20">
        <v>11.475</v>
      </c>
      <c r="BW20">
        <v>38.25</v>
      </c>
      <c r="BX20">
        <v>700.72911489950184</v>
      </c>
      <c r="BY20">
        <v>255.4395342923502</v>
      </c>
      <c r="BZ20">
        <v>246.53601932925335</v>
      </c>
      <c r="CA20">
        <v>1202.7046685211055</v>
      </c>
      <c r="CB20">
        <v>43.6900699125</v>
      </c>
      <c r="CC20">
        <v>6.2777452950000008</v>
      </c>
      <c r="CD20">
        <v>0</v>
      </c>
      <c r="CE20">
        <v>0</v>
      </c>
      <c r="CF20">
        <v>0</v>
      </c>
      <c r="CG20">
        <v>0</v>
      </c>
      <c r="CH20">
        <v>0</v>
      </c>
      <c r="CI20">
        <v>0</v>
      </c>
      <c r="CJ20">
        <v>0</v>
      </c>
      <c r="CK20">
        <v>0</v>
      </c>
      <c r="CL20">
        <v>0</v>
      </c>
      <c r="CM20">
        <v>1252.6724837286054</v>
      </c>
      <c r="CN20">
        <v>94254.720217578259</v>
      </c>
      <c r="CO20">
        <v>12708.642180814997</v>
      </c>
      <c r="CP20">
        <v>16198.613427289014</v>
      </c>
      <c r="CQ20">
        <v>123161.97582568227</v>
      </c>
      <c r="CR20">
        <v>2793.5367299999998</v>
      </c>
      <c r="CS20">
        <v>1133.85312675</v>
      </c>
      <c r="CT20">
        <v>0</v>
      </c>
      <c r="CU20">
        <v>0</v>
      </c>
      <c r="CV20">
        <v>0</v>
      </c>
      <c r="CW20">
        <v>0</v>
      </c>
      <c r="CX20">
        <v>0</v>
      </c>
      <c r="CY20">
        <v>0</v>
      </c>
      <c r="CZ20">
        <v>0</v>
      </c>
      <c r="DA20">
        <v>0</v>
      </c>
      <c r="DB20">
        <v>0</v>
      </c>
      <c r="DC20">
        <v>127089.36568243227</v>
      </c>
      <c r="DD20">
        <v>1912.5</v>
      </c>
      <c r="DE20">
        <v>0</v>
      </c>
      <c r="DF20" t="s">
        <v>135</v>
      </c>
      <c r="DG20" t="s">
        <v>135</v>
      </c>
      <c r="DH20">
        <v>0</v>
      </c>
      <c r="DI20">
        <v>0</v>
      </c>
      <c r="DJ20">
        <v>0</v>
      </c>
      <c r="DK20">
        <v>0</v>
      </c>
      <c r="DL20">
        <v>0</v>
      </c>
      <c r="DM20">
        <v>1912.5</v>
      </c>
      <c r="DN20">
        <v>1912.5</v>
      </c>
      <c r="DQ20" t="s">
        <v>135</v>
      </c>
      <c r="DR20" t="s">
        <v>135</v>
      </c>
      <c r="DS20">
        <v>0</v>
      </c>
      <c r="DT20">
        <v>0</v>
      </c>
      <c r="DU20">
        <v>0</v>
      </c>
      <c r="DV20">
        <v>0.76500000000000001</v>
      </c>
      <c r="DW20">
        <v>0.76500000000000001</v>
      </c>
      <c r="DX20">
        <v>10.312454971532219</v>
      </c>
      <c r="DY20">
        <v>92.884246149836997</v>
      </c>
    </row>
    <row r="21" spans="1:129">
      <c r="A21" t="s">
        <v>1952</v>
      </c>
      <c r="C21" t="s">
        <v>1954</v>
      </c>
      <c r="D21">
        <v>1</v>
      </c>
      <c r="E21" s="195">
        <v>44562</v>
      </c>
      <c r="F21">
        <v>1</v>
      </c>
      <c r="G21">
        <v>2</v>
      </c>
      <c r="H21">
        <v>516.25</v>
      </c>
      <c r="I21" t="s">
        <v>378</v>
      </c>
      <c r="J21" t="s">
        <v>1994</v>
      </c>
      <c r="K21" t="s">
        <v>45</v>
      </c>
      <c r="M21" t="s">
        <v>237</v>
      </c>
      <c r="N21" t="s">
        <v>540</v>
      </c>
      <c r="O21" t="s">
        <v>501</v>
      </c>
      <c r="P21">
        <v>0</v>
      </c>
      <c r="R21">
        <v>2.35</v>
      </c>
      <c r="S21">
        <v>219.68085106382978</v>
      </c>
      <c r="U21">
        <v>516.25</v>
      </c>
      <c r="V21">
        <v>0</v>
      </c>
      <c r="X21">
        <v>50</v>
      </c>
      <c r="Y21" t="s">
        <v>224</v>
      </c>
      <c r="Z21" t="s">
        <v>239</v>
      </c>
      <c r="AH21">
        <v>4417.2720226171978</v>
      </c>
      <c r="AI21">
        <v>1871.2175080358427</v>
      </c>
      <c r="AJ21">
        <v>843.45246947473834</v>
      </c>
      <c r="AK21">
        <v>7131.9420001277786</v>
      </c>
      <c r="AL21">
        <v>244.68659785501066</v>
      </c>
      <c r="AM21">
        <v>134.88090450923383</v>
      </c>
      <c r="AN21">
        <v>61.04907477733137</v>
      </c>
      <c r="AO21">
        <v>0</v>
      </c>
      <c r="AP21">
        <v>0</v>
      </c>
      <c r="AQ21">
        <v>0</v>
      </c>
      <c r="AR21">
        <v>0</v>
      </c>
      <c r="AS21">
        <v>0</v>
      </c>
      <c r="AT21">
        <v>0</v>
      </c>
      <c r="AU21">
        <v>0</v>
      </c>
      <c r="AV21">
        <v>0</v>
      </c>
      <c r="AW21">
        <v>7572.5585772693539</v>
      </c>
      <c r="AX21">
        <v>33139.497712744749</v>
      </c>
      <c r="AY21">
        <v>15658.094046796143</v>
      </c>
      <c r="AZ21">
        <v>11675.608254793755</v>
      </c>
      <c r="BA21">
        <v>60473.200014334652</v>
      </c>
      <c r="BB21">
        <v>2180.8410535624998</v>
      </c>
      <c r="BC21">
        <v>1317.9498543749999</v>
      </c>
      <c r="BD21">
        <v>0</v>
      </c>
      <c r="BE21">
        <v>0</v>
      </c>
      <c r="BF21">
        <v>0</v>
      </c>
      <c r="BG21">
        <v>0</v>
      </c>
      <c r="BH21">
        <v>0</v>
      </c>
      <c r="BI21">
        <v>0</v>
      </c>
      <c r="BJ21">
        <v>0</v>
      </c>
      <c r="BK21">
        <v>0</v>
      </c>
      <c r="BL21">
        <v>0</v>
      </c>
      <c r="BM21">
        <v>63971.990922272154</v>
      </c>
      <c r="BN21">
        <v>516.25</v>
      </c>
      <c r="BO21">
        <v>0</v>
      </c>
      <c r="BP21">
        <v>516.25</v>
      </c>
      <c r="BQ21">
        <v>0</v>
      </c>
      <c r="BR21">
        <v>0</v>
      </c>
      <c r="BS21">
        <v>0</v>
      </c>
      <c r="BT21">
        <v>0</v>
      </c>
      <c r="BU21">
        <v>516.25</v>
      </c>
      <c r="BV21">
        <v>0</v>
      </c>
      <c r="BW21">
        <v>516.25</v>
      </c>
      <c r="BX21">
        <v>16912.777403492706</v>
      </c>
      <c r="BY21">
        <v>4384.1316098778279</v>
      </c>
      <c r="BZ21">
        <v>3858.5699418158429</v>
      </c>
      <c r="CA21">
        <v>25155.478955186376</v>
      </c>
      <c r="CB21">
        <v>589.67316581249997</v>
      </c>
      <c r="CC21">
        <v>84.729045975000005</v>
      </c>
      <c r="CD21">
        <v>0</v>
      </c>
      <c r="CE21">
        <v>0</v>
      </c>
      <c r="CF21">
        <v>0</v>
      </c>
      <c r="CG21">
        <v>0</v>
      </c>
      <c r="CH21">
        <v>0</v>
      </c>
      <c r="CI21">
        <v>0</v>
      </c>
      <c r="CJ21">
        <v>0</v>
      </c>
      <c r="CK21">
        <v>0</v>
      </c>
      <c r="CL21">
        <v>0</v>
      </c>
      <c r="CM21">
        <v>25829.881166973875</v>
      </c>
      <c r="CN21">
        <v>1875306.9952449349</v>
      </c>
      <c r="CO21">
        <v>219632.51225018263</v>
      </c>
      <c r="CP21">
        <v>200809.57699393795</v>
      </c>
      <c r="CQ21">
        <v>2295749.0844890554</v>
      </c>
      <c r="CR21">
        <v>37703.616649999996</v>
      </c>
      <c r="CS21">
        <v>15303.311808749999</v>
      </c>
      <c r="CT21">
        <v>0</v>
      </c>
      <c r="CU21">
        <v>0</v>
      </c>
      <c r="CV21">
        <v>0</v>
      </c>
      <c r="CW21">
        <v>0</v>
      </c>
      <c r="CX21">
        <v>0</v>
      </c>
      <c r="CY21">
        <v>0</v>
      </c>
      <c r="CZ21">
        <v>0</v>
      </c>
      <c r="DA21">
        <v>0</v>
      </c>
      <c r="DB21">
        <v>0</v>
      </c>
      <c r="DC21">
        <v>2348756.0129478057</v>
      </c>
      <c r="DD21">
        <v>25812.5</v>
      </c>
      <c r="DE21">
        <v>0</v>
      </c>
      <c r="DF21" t="s">
        <v>135</v>
      </c>
      <c r="DG21" t="s">
        <v>135</v>
      </c>
      <c r="DH21">
        <v>0</v>
      </c>
      <c r="DI21">
        <v>0</v>
      </c>
      <c r="DJ21">
        <v>0</v>
      </c>
      <c r="DK21">
        <v>0</v>
      </c>
      <c r="DL21">
        <v>0</v>
      </c>
      <c r="DM21">
        <v>25812.5</v>
      </c>
      <c r="DN21">
        <v>25812.5</v>
      </c>
      <c r="DQ21" t="s">
        <v>135</v>
      </c>
      <c r="DR21" t="s">
        <v>135</v>
      </c>
      <c r="DS21">
        <v>0</v>
      </c>
      <c r="DT21">
        <v>0</v>
      </c>
      <c r="DU21">
        <v>0</v>
      </c>
      <c r="DV21">
        <v>10.324999999999999</v>
      </c>
      <c r="DW21">
        <v>10.324999999999999</v>
      </c>
      <c r="DX21">
        <v>13.814899758116763</v>
      </c>
      <c r="DY21">
        <v>117.13937048781531</v>
      </c>
    </row>
    <row r="22" spans="1:129">
      <c r="A22" t="s">
        <v>1952</v>
      </c>
      <c r="C22" t="s">
        <v>1954</v>
      </c>
      <c r="D22">
        <v>1</v>
      </c>
      <c r="E22" s="195">
        <v>44562</v>
      </c>
      <c r="F22">
        <v>1</v>
      </c>
      <c r="G22">
        <v>3</v>
      </c>
      <c r="H22">
        <v>1110</v>
      </c>
      <c r="I22" t="s">
        <v>385</v>
      </c>
      <c r="J22" t="s">
        <v>1995</v>
      </c>
      <c r="K22" t="s">
        <v>45</v>
      </c>
      <c r="M22" t="s">
        <v>48</v>
      </c>
      <c r="N22" t="s">
        <v>260</v>
      </c>
      <c r="O22" t="s">
        <v>50</v>
      </c>
      <c r="P22">
        <v>0</v>
      </c>
      <c r="R22">
        <v>1.95</v>
      </c>
      <c r="S22">
        <v>277.5</v>
      </c>
      <c r="T22">
        <v>60</v>
      </c>
      <c r="U22">
        <v>541.125</v>
      </c>
      <c r="V22">
        <v>0</v>
      </c>
      <c r="X22">
        <v>50</v>
      </c>
      <c r="Y22" t="s">
        <v>224</v>
      </c>
      <c r="AA22" t="s">
        <v>937</v>
      </c>
      <c r="AH22">
        <v>0</v>
      </c>
      <c r="AI22">
        <v>0</v>
      </c>
      <c r="AJ22">
        <v>0</v>
      </c>
      <c r="AK22">
        <v>0</v>
      </c>
      <c r="AL22">
        <v>256.47658162574845</v>
      </c>
      <c r="AM22">
        <v>77.708496761259283</v>
      </c>
      <c r="AN22">
        <v>38.150700000000001</v>
      </c>
      <c r="AO22">
        <v>0</v>
      </c>
      <c r="AP22">
        <v>0</v>
      </c>
      <c r="AQ22">
        <v>0</v>
      </c>
      <c r="AR22">
        <v>0</v>
      </c>
      <c r="AS22">
        <v>0</v>
      </c>
      <c r="AT22">
        <v>0</v>
      </c>
      <c r="AU22">
        <v>0</v>
      </c>
      <c r="AV22">
        <v>0</v>
      </c>
      <c r="AW22">
        <v>372.33577838700774</v>
      </c>
      <c r="AX22">
        <v>0</v>
      </c>
      <c r="AY22">
        <v>0</v>
      </c>
      <c r="AZ22">
        <v>0</v>
      </c>
      <c r="BA22">
        <v>0</v>
      </c>
      <c r="BB22">
        <v>2285.9227411312499</v>
      </c>
      <c r="BC22">
        <v>838.63375421699993</v>
      </c>
      <c r="BD22">
        <v>0</v>
      </c>
      <c r="BE22">
        <v>0</v>
      </c>
      <c r="BF22">
        <v>0</v>
      </c>
      <c r="BG22">
        <v>0</v>
      </c>
      <c r="BH22">
        <v>0</v>
      </c>
      <c r="BI22">
        <v>0</v>
      </c>
      <c r="BJ22">
        <v>0</v>
      </c>
      <c r="BK22">
        <v>0</v>
      </c>
      <c r="BL22">
        <v>0</v>
      </c>
      <c r="BM22">
        <v>3124.5564953482499</v>
      </c>
      <c r="BN22">
        <v>541.125</v>
      </c>
      <c r="BO22">
        <v>1</v>
      </c>
      <c r="BP22">
        <v>0</v>
      </c>
      <c r="BQ22">
        <v>541.125</v>
      </c>
      <c r="BR22">
        <v>0</v>
      </c>
      <c r="BS22">
        <v>0</v>
      </c>
      <c r="BT22">
        <v>0</v>
      </c>
      <c r="BU22">
        <v>0</v>
      </c>
      <c r="BV22">
        <v>541.125</v>
      </c>
      <c r="BW22">
        <v>541.125</v>
      </c>
      <c r="BX22">
        <v>0</v>
      </c>
      <c r="BY22">
        <v>0</v>
      </c>
      <c r="BZ22">
        <v>0</v>
      </c>
      <c r="CA22">
        <v>0</v>
      </c>
      <c r="CB22">
        <v>618.08598905625001</v>
      </c>
      <c r="CC22">
        <v>93.267742470499982</v>
      </c>
      <c r="CD22">
        <v>0</v>
      </c>
      <c r="CE22">
        <v>0</v>
      </c>
      <c r="CF22">
        <v>0</v>
      </c>
      <c r="CG22">
        <v>0</v>
      </c>
      <c r="CH22">
        <v>0</v>
      </c>
      <c r="CI22">
        <v>0</v>
      </c>
      <c r="CJ22">
        <v>0</v>
      </c>
      <c r="CK22">
        <v>0</v>
      </c>
      <c r="CL22">
        <v>0</v>
      </c>
      <c r="CM22">
        <v>711.35373152675004</v>
      </c>
      <c r="CN22">
        <v>0</v>
      </c>
      <c r="CO22">
        <v>0</v>
      </c>
      <c r="CP22">
        <v>0</v>
      </c>
      <c r="CQ22">
        <v>0</v>
      </c>
      <c r="CR22">
        <v>39520.328444999999</v>
      </c>
      <c r="CS22">
        <v>12789.684725380001</v>
      </c>
      <c r="CT22">
        <v>0</v>
      </c>
      <c r="CU22">
        <v>0</v>
      </c>
      <c r="CV22">
        <v>0</v>
      </c>
      <c r="CW22">
        <v>0</v>
      </c>
      <c r="CX22">
        <v>0</v>
      </c>
      <c r="CY22">
        <v>0</v>
      </c>
      <c r="CZ22">
        <v>0</v>
      </c>
      <c r="DA22">
        <v>0</v>
      </c>
      <c r="DB22">
        <v>0</v>
      </c>
      <c r="DC22">
        <v>52310.01317038</v>
      </c>
      <c r="DD22">
        <v>27056.25</v>
      </c>
      <c r="DE22">
        <v>0</v>
      </c>
      <c r="DF22" t="s">
        <v>135</v>
      </c>
      <c r="DG22" t="s">
        <v>135</v>
      </c>
      <c r="DH22">
        <v>0</v>
      </c>
      <c r="DI22">
        <v>0</v>
      </c>
      <c r="DJ22">
        <v>0</v>
      </c>
      <c r="DK22">
        <v>0</v>
      </c>
      <c r="DL22">
        <v>0</v>
      </c>
      <c r="DM22">
        <v>27056.25</v>
      </c>
      <c r="DN22">
        <v>27056.25</v>
      </c>
      <c r="DQ22" t="s">
        <v>135</v>
      </c>
      <c r="DR22" t="s">
        <v>135</v>
      </c>
      <c r="DS22">
        <v>0</v>
      </c>
      <c r="DT22">
        <v>0</v>
      </c>
      <c r="DU22">
        <v>0</v>
      </c>
      <c r="DV22">
        <v>18.5</v>
      </c>
      <c r="DW22">
        <v>18.5</v>
      </c>
      <c r="DX22">
        <v>0</v>
      </c>
      <c r="DY22">
        <v>0</v>
      </c>
    </row>
    <row r="23" spans="1:129">
      <c r="A23" t="s">
        <v>1952</v>
      </c>
      <c r="C23" t="s">
        <v>1954</v>
      </c>
      <c r="D23">
        <v>1</v>
      </c>
      <c r="E23" s="195">
        <v>44562</v>
      </c>
      <c r="F23">
        <v>1</v>
      </c>
      <c r="G23">
        <v>3</v>
      </c>
      <c r="H23">
        <v>580</v>
      </c>
      <c r="I23" t="s">
        <v>385</v>
      </c>
      <c r="J23" t="s">
        <v>1996</v>
      </c>
      <c r="K23" t="s">
        <v>45</v>
      </c>
      <c r="M23" t="s">
        <v>48</v>
      </c>
      <c r="N23" t="s">
        <v>260</v>
      </c>
      <c r="O23" t="s">
        <v>50</v>
      </c>
      <c r="P23">
        <v>0</v>
      </c>
      <c r="R23">
        <v>1.95</v>
      </c>
      <c r="S23">
        <v>145</v>
      </c>
      <c r="T23">
        <v>60</v>
      </c>
      <c r="U23">
        <v>282.75</v>
      </c>
      <c r="V23">
        <v>0</v>
      </c>
      <c r="X23">
        <v>50</v>
      </c>
      <c r="Y23" t="s">
        <v>224</v>
      </c>
      <c r="AA23" t="s">
        <v>937</v>
      </c>
      <c r="AH23">
        <v>0</v>
      </c>
      <c r="AI23">
        <v>0</v>
      </c>
      <c r="AJ23">
        <v>0</v>
      </c>
      <c r="AK23">
        <v>0</v>
      </c>
      <c r="AL23">
        <v>134.01479039903973</v>
      </c>
      <c r="AM23">
        <v>40.60443974912647</v>
      </c>
      <c r="AN23">
        <v>19.9346</v>
      </c>
      <c r="AO23">
        <v>0</v>
      </c>
      <c r="AP23">
        <v>0</v>
      </c>
      <c r="AQ23">
        <v>0</v>
      </c>
      <c r="AR23">
        <v>0</v>
      </c>
      <c r="AS23">
        <v>0</v>
      </c>
      <c r="AT23">
        <v>0</v>
      </c>
      <c r="AU23">
        <v>0</v>
      </c>
      <c r="AV23">
        <v>0</v>
      </c>
      <c r="AW23">
        <v>194.55383014816618</v>
      </c>
      <c r="AX23">
        <v>0</v>
      </c>
      <c r="AY23">
        <v>0</v>
      </c>
      <c r="AZ23">
        <v>0</v>
      </c>
      <c r="BA23">
        <v>0</v>
      </c>
      <c r="BB23">
        <v>1194.4461169874999</v>
      </c>
      <c r="BC23">
        <v>438.20502472599998</v>
      </c>
      <c r="BD23">
        <v>0</v>
      </c>
      <c r="BE23">
        <v>0</v>
      </c>
      <c r="BF23">
        <v>0</v>
      </c>
      <c r="BG23">
        <v>0</v>
      </c>
      <c r="BH23">
        <v>0</v>
      </c>
      <c r="BI23">
        <v>0</v>
      </c>
      <c r="BJ23">
        <v>0</v>
      </c>
      <c r="BK23">
        <v>0</v>
      </c>
      <c r="BL23">
        <v>0</v>
      </c>
      <c r="BM23">
        <v>1632.6511417134998</v>
      </c>
      <c r="BN23">
        <v>282.75</v>
      </c>
      <c r="BO23">
        <v>1</v>
      </c>
      <c r="BP23">
        <v>0</v>
      </c>
      <c r="BQ23">
        <v>282.75</v>
      </c>
      <c r="BR23">
        <v>0</v>
      </c>
      <c r="BS23">
        <v>0</v>
      </c>
      <c r="BT23">
        <v>0</v>
      </c>
      <c r="BU23">
        <v>0</v>
      </c>
      <c r="BV23">
        <v>282.75</v>
      </c>
      <c r="BW23">
        <v>282.75</v>
      </c>
      <c r="BX23">
        <v>0</v>
      </c>
      <c r="BY23">
        <v>0</v>
      </c>
      <c r="BZ23">
        <v>0</v>
      </c>
      <c r="CA23">
        <v>0</v>
      </c>
      <c r="CB23">
        <v>322.9638501375</v>
      </c>
      <c r="CC23">
        <v>48.734496065666654</v>
      </c>
      <c r="CD23">
        <v>0</v>
      </c>
      <c r="CE23">
        <v>0</v>
      </c>
      <c r="CF23">
        <v>0</v>
      </c>
      <c r="CG23">
        <v>0</v>
      </c>
      <c r="CH23">
        <v>0</v>
      </c>
      <c r="CI23">
        <v>0</v>
      </c>
      <c r="CJ23">
        <v>0</v>
      </c>
      <c r="CK23">
        <v>0</v>
      </c>
      <c r="CL23">
        <v>0</v>
      </c>
      <c r="CM23">
        <v>371.69834620316664</v>
      </c>
      <c r="CN23">
        <v>0</v>
      </c>
      <c r="CO23">
        <v>0</v>
      </c>
      <c r="CP23">
        <v>0</v>
      </c>
      <c r="CQ23">
        <v>0</v>
      </c>
      <c r="CR23">
        <v>20650.261709999999</v>
      </c>
      <c r="CS23">
        <v>6682.8983249733328</v>
      </c>
      <c r="CT23">
        <v>0</v>
      </c>
      <c r="CU23">
        <v>0</v>
      </c>
      <c r="CV23">
        <v>0</v>
      </c>
      <c r="CW23">
        <v>0</v>
      </c>
      <c r="CX23">
        <v>0</v>
      </c>
      <c r="CY23">
        <v>0</v>
      </c>
      <c r="CZ23">
        <v>0</v>
      </c>
      <c r="DA23">
        <v>0</v>
      </c>
      <c r="DB23">
        <v>0</v>
      </c>
      <c r="DC23">
        <v>27333.160034973331</v>
      </c>
      <c r="DD23">
        <v>14137.5</v>
      </c>
      <c r="DE23">
        <v>0</v>
      </c>
      <c r="DF23" t="s">
        <v>135</v>
      </c>
      <c r="DG23" t="s">
        <v>135</v>
      </c>
      <c r="DH23">
        <v>0</v>
      </c>
      <c r="DI23">
        <v>0</v>
      </c>
      <c r="DJ23">
        <v>0</v>
      </c>
      <c r="DK23">
        <v>0</v>
      </c>
      <c r="DL23">
        <v>0</v>
      </c>
      <c r="DM23">
        <v>14137.5</v>
      </c>
      <c r="DN23">
        <v>14137.5</v>
      </c>
      <c r="DQ23" t="s">
        <v>135</v>
      </c>
      <c r="DR23" t="s">
        <v>135</v>
      </c>
      <c r="DS23">
        <v>0</v>
      </c>
      <c r="DT23">
        <v>0</v>
      </c>
      <c r="DU23">
        <v>0</v>
      </c>
      <c r="DV23">
        <v>9.6666666666666661</v>
      </c>
      <c r="DW23">
        <v>9.6666666666666661</v>
      </c>
      <c r="DX23">
        <v>0</v>
      </c>
      <c r="DY23">
        <v>0</v>
      </c>
    </row>
    <row r="24" spans="1:129">
      <c r="A24" t="s">
        <v>1952</v>
      </c>
      <c r="C24" t="s">
        <v>1954</v>
      </c>
      <c r="D24">
        <v>1</v>
      </c>
      <c r="E24" s="195">
        <v>44562</v>
      </c>
      <c r="F24">
        <v>1</v>
      </c>
      <c r="G24">
        <v>2</v>
      </c>
      <c r="H24">
        <v>51.34</v>
      </c>
      <c r="I24" t="s">
        <v>378</v>
      </c>
      <c r="J24" t="s">
        <v>1997</v>
      </c>
      <c r="K24" t="s">
        <v>45</v>
      </c>
      <c r="M24" t="s">
        <v>237</v>
      </c>
      <c r="N24" t="s">
        <v>238</v>
      </c>
      <c r="O24" t="s">
        <v>381</v>
      </c>
      <c r="P24">
        <v>0</v>
      </c>
      <c r="R24">
        <v>2.37</v>
      </c>
      <c r="S24">
        <v>21.662447257383967</v>
      </c>
      <c r="U24">
        <v>51.34</v>
      </c>
      <c r="V24">
        <v>0</v>
      </c>
      <c r="X24">
        <v>50</v>
      </c>
      <c r="Y24" t="s">
        <v>224</v>
      </c>
      <c r="Z24" t="s">
        <v>896</v>
      </c>
      <c r="AH24">
        <v>142.42204497780722</v>
      </c>
      <c r="AI24">
        <v>75.233135677060446</v>
      </c>
      <c r="AJ24">
        <v>85.695841404999641</v>
      </c>
      <c r="AK24">
        <v>303.35102205986726</v>
      </c>
      <c r="AL24">
        <v>24.333578564409194</v>
      </c>
      <c r="AM24">
        <v>7.6978875216385196</v>
      </c>
      <c r="AN24">
        <v>0</v>
      </c>
      <c r="AO24">
        <v>0</v>
      </c>
      <c r="AP24">
        <v>0</v>
      </c>
      <c r="AQ24">
        <v>0</v>
      </c>
      <c r="AR24">
        <v>0</v>
      </c>
      <c r="AS24">
        <v>0</v>
      </c>
      <c r="AT24">
        <v>0</v>
      </c>
      <c r="AU24">
        <v>0</v>
      </c>
      <c r="AV24">
        <v>0</v>
      </c>
      <c r="AW24">
        <v>335.38248814591498</v>
      </c>
      <c r="AX24">
        <v>1102.5244231043725</v>
      </c>
      <c r="AY24">
        <v>629.46980470126653</v>
      </c>
      <c r="AZ24">
        <v>1211.7606889001418</v>
      </c>
      <c r="BA24">
        <v>2943.7549167057809</v>
      </c>
      <c r="BB24">
        <v>216.88015436299997</v>
      </c>
      <c r="BC24">
        <v>63.970358759999989</v>
      </c>
      <c r="BD24">
        <v>0</v>
      </c>
      <c r="BE24">
        <v>0</v>
      </c>
      <c r="BF24">
        <v>0</v>
      </c>
      <c r="BG24">
        <v>0</v>
      </c>
      <c r="BH24">
        <v>0</v>
      </c>
      <c r="BI24">
        <v>0</v>
      </c>
      <c r="BJ24">
        <v>0</v>
      </c>
      <c r="BK24">
        <v>0</v>
      </c>
      <c r="BL24">
        <v>0</v>
      </c>
      <c r="BM24">
        <v>3224.6054298287813</v>
      </c>
      <c r="BN24">
        <v>51.34</v>
      </c>
      <c r="BO24">
        <v>0.5</v>
      </c>
      <c r="BP24">
        <v>25.67</v>
      </c>
      <c r="BQ24">
        <v>25.67</v>
      </c>
      <c r="BR24">
        <v>0</v>
      </c>
      <c r="BS24">
        <v>0</v>
      </c>
      <c r="BT24">
        <v>0</v>
      </c>
      <c r="BU24">
        <v>25.67</v>
      </c>
      <c r="BV24">
        <v>25.67</v>
      </c>
      <c r="BW24">
        <v>51.34</v>
      </c>
      <c r="BX24">
        <v>447.80096978338963</v>
      </c>
      <c r="BY24">
        <v>175.50328141211119</v>
      </c>
      <c r="BZ24">
        <v>261.16182345772273</v>
      </c>
      <c r="CA24">
        <v>884.4660746532237</v>
      </c>
      <c r="CB24">
        <v>58.641782726999999</v>
      </c>
      <c r="CC24">
        <v>22.061927479999998</v>
      </c>
      <c r="CD24">
        <v>0</v>
      </c>
      <c r="CE24">
        <v>0</v>
      </c>
      <c r="CF24">
        <v>0</v>
      </c>
      <c r="CG24">
        <v>0</v>
      </c>
      <c r="CH24">
        <v>0</v>
      </c>
      <c r="CI24">
        <v>0</v>
      </c>
      <c r="CJ24">
        <v>0</v>
      </c>
      <c r="CK24">
        <v>0</v>
      </c>
      <c r="CL24">
        <v>0</v>
      </c>
      <c r="CM24">
        <v>965.16978486022367</v>
      </c>
      <c r="CN24">
        <v>56603.157626398002</v>
      </c>
      <c r="CO24">
        <v>8847.018503817495</v>
      </c>
      <c r="CP24">
        <v>21227.621795609724</v>
      </c>
      <c r="CQ24">
        <v>86677.797925825216</v>
      </c>
      <c r="CR24">
        <v>3749.5470776000002</v>
      </c>
      <c r="CS24">
        <v>1006.171588</v>
      </c>
      <c r="CT24">
        <v>0</v>
      </c>
      <c r="CU24">
        <v>0</v>
      </c>
      <c r="CV24">
        <v>0</v>
      </c>
      <c r="CW24">
        <v>0</v>
      </c>
      <c r="CX24">
        <v>0</v>
      </c>
      <c r="CY24">
        <v>0</v>
      </c>
      <c r="CZ24">
        <v>0</v>
      </c>
      <c r="DA24">
        <v>0</v>
      </c>
      <c r="DB24">
        <v>0</v>
      </c>
      <c r="DC24">
        <v>91433.516591425214</v>
      </c>
      <c r="DD24">
        <v>2567</v>
      </c>
      <c r="DE24">
        <v>0</v>
      </c>
      <c r="DF24" t="s">
        <v>135</v>
      </c>
      <c r="DG24" t="s">
        <v>135</v>
      </c>
      <c r="DH24">
        <v>0</v>
      </c>
      <c r="DI24">
        <v>0</v>
      </c>
      <c r="DJ24">
        <v>0</v>
      </c>
      <c r="DK24">
        <v>0</v>
      </c>
      <c r="DL24">
        <v>0</v>
      </c>
      <c r="DM24">
        <v>2567</v>
      </c>
      <c r="DN24">
        <v>2567</v>
      </c>
      <c r="DQ24" t="s">
        <v>135</v>
      </c>
      <c r="DR24" t="s">
        <v>135</v>
      </c>
      <c r="DS24">
        <v>1</v>
      </c>
      <c r="DT24">
        <v>0</v>
      </c>
      <c r="DU24">
        <v>1.0268000000000002</v>
      </c>
      <c r="DV24">
        <v>0</v>
      </c>
      <c r="DW24">
        <v>1.0268000000000002</v>
      </c>
      <c r="DX24">
        <v>5.9086681351746639</v>
      </c>
      <c r="DY24">
        <v>57.338428451612401</v>
      </c>
    </row>
    <row r="25" spans="1:129">
      <c r="A25" t="s">
        <v>1952</v>
      </c>
      <c r="C25" t="s">
        <v>1954</v>
      </c>
      <c r="D25">
        <v>1</v>
      </c>
      <c r="E25" s="195">
        <v>44562</v>
      </c>
      <c r="F25">
        <v>1</v>
      </c>
      <c r="G25">
        <v>2</v>
      </c>
      <c r="H25">
        <v>176.75</v>
      </c>
      <c r="I25" t="s">
        <v>378</v>
      </c>
      <c r="J25" t="s">
        <v>1998</v>
      </c>
      <c r="K25" t="s">
        <v>45</v>
      </c>
      <c r="M25" t="s">
        <v>237</v>
      </c>
      <c r="N25" t="s">
        <v>238</v>
      </c>
      <c r="O25" t="s">
        <v>381</v>
      </c>
      <c r="P25">
        <v>0</v>
      </c>
      <c r="R25">
        <v>2.37</v>
      </c>
      <c r="S25">
        <v>74.578059071729953</v>
      </c>
      <c r="U25">
        <v>176.75</v>
      </c>
      <c r="V25">
        <v>0</v>
      </c>
      <c r="X25">
        <v>50</v>
      </c>
      <c r="Y25" t="s">
        <v>224</v>
      </c>
      <c r="Z25" t="s">
        <v>239</v>
      </c>
      <c r="AH25">
        <v>490.32131768265339</v>
      </c>
      <c r="AI25">
        <v>259.00772752084987</v>
      </c>
      <c r="AJ25">
        <v>295.0280476886187</v>
      </c>
      <c r="AK25">
        <v>1044.357092892122</v>
      </c>
      <c r="AL25">
        <v>83.774055536800262</v>
      </c>
      <c r="AM25">
        <v>46.179563916720738</v>
      </c>
      <c r="AN25">
        <v>0</v>
      </c>
      <c r="AO25">
        <v>0</v>
      </c>
      <c r="AP25">
        <v>0</v>
      </c>
      <c r="AQ25">
        <v>0</v>
      </c>
      <c r="AR25">
        <v>0</v>
      </c>
      <c r="AS25">
        <v>0</v>
      </c>
      <c r="AT25">
        <v>0</v>
      </c>
      <c r="AU25">
        <v>0</v>
      </c>
      <c r="AV25">
        <v>0</v>
      </c>
      <c r="AW25">
        <v>1174.310712345643</v>
      </c>
      <c r="AX25">
        <v>3795.6990997993344</v>
      </c>
      <c r="AY25">
        <v>2167.0975454021982</v>
      </c>
      <c r="AZ25">
        <v>4171.7705836209598</v>
      </c>
      <c r="BA25">
        <v>10134.567228822492</v>
      </c>
      <c r="BB25">
        <v>746.66083528749994</v>
      </c>
      <c r="BC25">
        <v>451.23028912499996</v>
      </c>
      <c r="BD25">
        <v>0</v>
      </c>
      <c r="BE25">
        <v>0</v>
      </c>
      <c r="BF25">
        <v>0</v>
      </c>
      <c r="BG25">
        <v>0</v>
      </c>
      <c r="BH25">
        <v>0</v>
      </c>
      <c r="BI25">
        <v>0</v>
      </c>
      <c r="BJ25">
        <v>0</v>
      </c>
      <c r="BK25">
        <v>0</v>
      </c>
      <c r="BL25">
        <v>0</v>
      </c>
      <c r="BM25">
        <v>11332.458353234992</v>
      </c>
      <c r="BN25">
        <v>176.75</v>
      </c>
      <c r="BO25">
        <v>0.5</v>
      </c>
      <c r="BP25">
        <v>88.375</v>
      </c>
      <c r="BQ25">
        <v>88.375</v>
      </c>
      <c r="BR25">
        <v>0</v>
      </c>
      <c r="BS25">
        <v>0</v>
      </c>
      <c r="BT25">
        <v>0</v>
      </c>
      <c r="BU25">
        <v>88.375</v>
      </c>
      <c r="BV25">
        <v>88.375</v>
      </c>
      <c r="BW25">
        <v>176.75</v>
      </c>
      <c r="BX25">
        <v>1541.6599417455027</v>
      </c>
      <c r="BY25">
        <v>604.2112385974026</v>
      </c>
      <c r="BZ25">
        <v>899.1108744868036</v>
      </c>
      <c r="CA25">
        <v>3044.9820548297093</v>
      </c>
      <c r="CB25">
        <v>201.88810083749999</v>
      </c>
      <c r="CC25">
        <v>29.008927605000004</v>
      </c>
      <c r="CD25">
        <v>0</v>
      </c>
      <c r="CE25">
        <v>0</v>
      </c>
      <c r="CF25">
        <v>0</v>
      </c>
      <c r="CG25">
        <v>0</v>
      </c>
      <c r="CH25">
        <v>0</v>
      </c>
      <c r="CI25">
        <v>0</v>
      </c>
      <c r="CJ25">
        <v>0</v>
      </c>
      <c r="CK25">
        <v>0</v>
      </c>
      <c r="CL25">
        <v>0</v>
      </c>
      <c r="CM25">
        <v>3275.8790832722093</v>
      </c>
      <c r="CN25">
        <v>194869.65544343292</v>
      </c>
      <c r="CO25">
        <v>30457.93768114028</v>
      </c>
      <c r="CP25">
        <v>73081.070361784543</v>
      </c>
      <c r="CQ25">
        <v>298408.66348635772</v>
      </c>
      <c r="CR25">
        <v>12908.69587</v>
      </c>
      <c r="CS25">
        <v>5239.4389582499998</v>
      </c>
      <c r="CT25">
        <v>0</v>
      </c>
      <c r="CU25">
        <v>0</v>
      </c>
      <c r="CV25">
        <v>0</v>
      </c>
      <c r="CW25">
        <v>0</v>
      </c>
      <c r="CX25">
        <v>0</v>
      </c>
      <c r="CY25">
        <v>0</v>
      </c>
      <c r="CZ25">
        <v>0</v>
      </c>
      <c r="DA25">
        <v>0</v>
      </c>
      <c r="DB25">
        <v>0</v>
      </c>
      <c r="DC25">
        <v>316556.7983146077</v>
      </c>
      <c r="DD25">
        <v>8837.5</v>
      </c>
      <c r="DE25">
        <v>0</v>
      </c>
      <c r="DF25" t="s">
        <v>135</v>
      </c>
      <c r="DG25" t="s">
        <v>135</v>
      </c>
      <c r="DH25">
        <v>0</v>
      </c>
      <c r="DI25">
        <v>0</v>
      </c>
      <c r="DJ25">
        <v>0</v>
      </c>
      <c r="DK25">
        <v>0</v>
      </c>
      <c r="DL25">
        <v>0</v>
      </c>
      <c r="DM25">
        <v>8837.5</v>
      </c>
      <c r="DN25">
        <v>8837.5</v>
      </c>
      <c r="DQ25" t="s">
        <v>135</v>
      </c>
      <c r="DR25" t="s">
        <v>135</v>
      </c>
      <c r="DS25">
        <v>0</v>
      </c>
      <c r="DT25">
        <v>0</v>
      </c>
      <c r="DU25">
        <v>0</v>
      </c>
      <c r="DV25">
        <v>3.5350000000000001</v>
      </c>
      <c r="DW25">
        <v>3.5350000000000001</v>
      </c>
      <c r="DX25">
        <v>5.9086681351746648</v>
      </c>
      <c r="DY25">
        <v>57.338428451612401</v>
      </c>
    </row>
    <row r="26" spans="1:129">
      <c r="A26" t="s">
        <v>1952</v>
      </c>
      <c r="C26" t="s">
        <v>1954</v>
      </c>
      <c r="D26">
        <v>1</v>
      </c>
      <c r="E26" s="195">
        <v>44562</v>
      </c>
      <c r="F26">
        <v>1</v>
      </c>
      <c r="G26">
        <v>2</v>
      </c>
      <c r="H26">
        <v>89.25</v>
      </c>
      <c r="I26" t="s">
        <v>378</v>
      </c>
      <c r="J26" t="s">
        <v>1999</v>
      </c>
      <c r="K26" t="s">
        <v>45</v>
      </c>
      <c r="M26" t="s">
        <v>237</v>
      </c>
      <c r="N26" t="s">
        <v>238</v>
      </c>
      <c r="O26" t="s">
        <v>381</v>
      </c>
      <c r="P26">
        <v>0</v>
      </c>
      <c r="R26">
        <v>2.37</v>
      </c>
      <c r="S26">
        <v>37.658227848101262</v>
      </c>
      <c r="U26">
        <v>89.25</v>
      </c>
      <c r="V26">
        <v>0</v>
      </c>
      <c r="X26">
        <v>50</v>
      </c>
      <c r="Y26" t="s">
        <v>224</v>
      </c>
      <c r="Z26" t="s">
        <v>239</v>
      </c>
      <c r="AH26">
        <v>247.5879920971814</v>
      </c>
      <c r="AI26">
        <v>130.78608023330042</v>
      </c>
      <c r="AJ26">
        <v>148.97455873385698</v>
      </c>
      <c r="AK26">
        <v>527.34863106433875</v>
      </c>
      <c r="AL26">
        <v>42.30175081561201</v>
      </c>
      <c r="AM26">
        <v>23.318393660918392</v>
      </c>
      <c r="AN26">
        <v>0</v>
      </c>
      <c r="AO26">
        <v>0</v>
      </c>
      <c r="AP26">
        <v>0</v>
      </c>
      <c r="AQ26">
        <v>0</v>
      </c>
      <c r="AR26">
        <v>0</v>
      </c>
      <c r="AS26">
        <v>0</v>
      </c>
      <c r="AT26">
        <v>0</v>
      </c>
      <c r="AU26">
        <v>0</v>
      </c>
      <c r="AV26">
        <v>0</v>
      </c>
      <c r="AW26">
        <v>592.96877554086916</v>
      </c>
      <c r="AX26">
        <v>1916.6401395026342</v>
      </c>
      <c r="AY26">
        <v>1094.276978371407</v>
      </c>
      <c r="AZ26">
        <v>2106.5376214323655</v>
      </c>
      <c r="BA26">
        <v>5117.4547393064067</v>
      </c>
      <c r="BB26">
        <v>377.02675841249999</v>
      </c>
      <c r="BC26">
        <v>227.848957875</v>
      </c>
      <c r="BD26">
        <v>0</v>
      </c>
      <c r="BE26">
        <v>0</v>
      </c>
      <c r="BF26">
        <v>0</v>
      </c>
      <c r="BG26">
        <v>0</v>
      </c>
      <c r="BH26">
        <v>0</v>
      </c>
      <c r="BI26">
        <v>0</v>
      </c>
      <c r="BJ26">
        <v>0</v>
      </c>
      <c r="BK26">
        <v>0</v>
      </c>
      <c r="BL26">
        <v>0</v>
      </c>
      <c r="BM26">
        <v>5722.3304555939067</v>
      </c>
      <c r="BN26">
        <v>89.25</v>
      </c>
      <c r="BO26">
        <v>0.5</v>
      </c>
      <c r="BP26">
        <v>44.625</v>
      </c>
      <c r="BQ26">
        <v>44.625</v>
      </c>
      <c r="BR26">
        <v>0</v>
      </c>
      <c r="BS26">
        <v>0</v>
      </c>
      <c r="BT26">
        <v>0</v>
      </c>
      <c r="BU26">
        <v>44.625</v>
      </c>
      <c r="BV26">
        <v>44.625</v>
      </c>
      <c r="BW26">
        <v>89.25</v>
      </c>
      <c r="BX26">
        <v>778.46195078238259</v>
      </c>
      <c r="BY26">
        <v>305.096764044233</v>
      </c>
      <c r="BZ26">
        <v>454.00648117650474</v>
      </c>
      <c r="CA26">
        <v>1537.5651960031205</v>
      </c>
      <c r="CB26">
        <v>101.94349646249999</v>
      </c>
      <c r="CC26">
        <v>14.648072355000002</v>
      </c>
      <c r="CD26">
        <v>0</v>
      </c>
      <c r="CE26">
        <v>0</v>
      </c>
      <c r="CF26">
        <v>0</v>
      </c>
      <c r="CG26">
        <v>0</v>
      </c>
      <c r="CH26">
        <v>0</v>
      </c>
      <c r="CI26">
        <v>0</v>
      </c>
      <c r="CJ26">
        <v>0</v>
      </c>
      <c r="CK26">
        <v>0</v>
      </c>
      <c r="CL26">
        <v>0</v>
      </c>
      <c r="CM26">
        <v>1654.1567648206205</v>
      </c>
      <c r="CN26">
        <v>98399.5289862879</v>
      </c>
      <c r="CO26">
        <v>15379.750710278755</v>
      </c>
      <c r="CP26">
        <v>36902.32265793081</v>
      </c>
      <c r="CQ26">
        <v>150681.60235449747</v>
      </c>
      <c r="CR26">
        <v>6518.2523700000002</v>
      </c>
      <c r="CS26">
        <v>2645.6572957499998</v>
      </c>
      <c r="CT26">
        <v>0</v>
      </c>
      <c r="CU26">
        <v>0</v>
      </c>
      <c r="CV26">
        <v>0</v>
      </c>
      <c r="CW26">
        <v>0</v>
      </c>
      <c r="CX26">
        <v>0</v>
      </c>
      <c r="CY26">
        <v>0</v>
      </c>
      <c r="CZ26">
        <v>0</v>
      </c>
      <c r="DA26">
        <v>0</v>
      </c>
      <c r="DB26">
        <v>0</v>
      </c>
      <c r="DC26">
        <v>159845.51202024746</v>
      </c>
      <c r="DD26">
        <v>4462.5</v>
      </c>
      <c r="DE26">
        <v>0</v>
      </c>
      <c r="DF26" t="s">
        <v>135</v>
      </c>
      <c r="DG26" t="s">
        <v>135</v>
      </c>
      <c r="DH26">
        <v>0</v>
      </c>
      <c r="DI26">
        <v>0</v>
      </c>
      <c r="DJ26">
        <v>0</v>
      </c>
      <c r="DK26">
        <v>0</v>
      </c>
      <c r="DL26">
        <v>0</v>
      </c>
      <c r="DM26">
        <v>4462.5</v>
      </c>
      <c r="DN26">
        <v>4462.5</v>
      </c>
      <c r="DQ26" t="s">
        <v>135</v>
      </c>
      <c r="DR26" t="s">
        <v>135</v>
      </c>
      <c r="DS26">
        <v>0</v>
      </c>
      <c r="DT26">
        <v>0</v>
      </c>
      <c r="DU26">
        <v>0</v>
      </c>
      <c r="DV26">
        <v>1.7849999999999999</v>
      </c>
      <c r="DW26">
        <v>1.7849999999999999</v>
      </c>
      <c r="DX26">
        <v>5.9086681351746639</v>
      </c>
      <c r="DY26">
        <v>57.338428451612401</v>
      </c>
    </row>
    <row r="27" spans="1:129">
      <c r="A27" t="s">
        <v>1952</v>
      </c>
      <c r="C27" t="s">
        <v>1954</v>
      </c>
      <c r="D27">
        <v>1</v>
      </c>
      <c r="E27" s="195">
        <v>44562</v>
      </c>
      <c r="F27">
        <v>1</v>
      </c>
      <c r="G27">
        <v>2</v>
      </c>
      <c r="H27">
        <v>965.4</v>
      </c>
      <c r="I27" t="s">
        <v>378</v>
      </c>
      <c r="J27" t="s">
        <v>2000</v>
      </c>
      <c r="K27" t="s">
        <v>45</v>
      </c>
      <c r="M27" t="s">
        <v>237</v>
      </c>
      <c r="N27" t="s">
        <v>238</v>
      </c>
      <c r="O27" t="s">
        <v>381</v>
      </c>
      <c r="P27">
        <v>0</v>
      </c>
      <c r="R27">
        <v>2.37</v>
      </c>
      <c r="S27">
        <v>407.34177215189868</v>
      </c>
      <c r="U27">
        <v>965.4</v>
      </c>
      <c r="V27">
        <v>0</v>
      </c>
      <c r="X27">
        <v>50</v>
      </c>
      <c r="Y27" t="s">
        <v>224</v>
      </c>
      <c r="Z27" t="s">
        <v>239</v>
      </c>
      <c r="AH27">
        <v>2678.1114573738814</v>
      </c>
      <c r="AI27">
        <v>1414.6877519017169</v>
      </c>
      <c r="AJ27">
        <v>1611.4290084220227</v>
      </c>
      <c r="AK27">
        <v>5704.2282176976205</v>
      </c>
      <c r="AL27">
        <v>457.56986260383007</v>
      </c>
      <c r="AM27">
        <v>252.23055731373239</v>
      </c>
      <c r="AN27">
        <v>0</v>
      </c>
      <c r="AO27">
        <v>0</v>
      </c>
      <c r="AP27">
        <v>0</v>
      </c>
      <c r="AQ27">
        <v>0</v>
      </c>
      <c r="AR27">
        <v>0</v>
      </c>
      <c r="AS27">
        <v>0</v>
      </c>
      <c r="AT27">
        <v>0</v>
      </c>
      <c r="AU27">
        <v>0</v>
      </c>
      <c r="AV27">
        <v>0</v>
      </c>
      <c r="AW27">
        <v>6414.0286376151835</v>
      </c>
      <c r="AX27">
        <v>20731.92594594782</v>
      </c>
      <c r="AY27">
        <v>11836.582576131723</v>
      </c>
      <c r="AZ27">
        <v>22786.010305107066</v>
      </c>
      <c r="BA27">
        <v>55354.518827186614</v>
      </c>
      <c r="BB27">
        <v>4078.2255750299996</v>
      </c>
      <c r="BC27">
        <v>2464.5981392999997</v>
      </c>
      <c r="BD27">
        <v>0</v>
      </c>
      <c r="BE27">
        <v>0</v>
      </c>
      <c r="BF27">
        <v>0</v>
      </c>
      <c r="BG27">
        <v>0</v>
      </c>
      <c r="BH27">
        <v>0</v>
      </c>
      <c r="BI27">
        <v>0</v>
      </c>
      <c r="BJ27">
        <v>0</v>
      </c>
      <c r="BK27">
        <v>0</v>
      </c>
      <c r="BL27">
        <v>0</v>
      </c>
      <c r="BM27">
        <v>61897.342541516613</v>
      </c>
      <c r="BN27">
        <v>965.4</v>
      </c>
      <c r="BO27">
        <v>0.5</v>
      </c>
      <c r="BP27">
        <v>482.7</v>
      </c>
      <c r="BQ27">
        <v>482.7</v>
      </c>
      <c r="BR27">
        <v>0</v>
      </c>
      <c r="BS27">
        <v>0</v>
      </c>
      <c r="BT27">
        <v>0</v>
      </c>
      <c r="BU27">
        <v>482.7</v>
      </c>
      <c r="BV27">
        <v>482.7</v>
      </c>
      <c r="BW27">
        <v>965.4</v>
      </c>
      <c r="BX27">
        <v>8420.4724625805284</v>
      </c>
      <c r="BY27">
        <v>3300.172728384342</v>
      </c>
      <c r="BZ27">
        <v>4910.9003577344274</v>
      </c>
      <c r="CA27">
        <v>16631.545548699301</v>
      </c>
      <c r="CB27">
        <v>1102.70309787</v>
      </c>
      <c r="CC27">
        <v>158.44536752400001</v>
      </c>
      <c r="CD27">
        <v>0</v>
      </c>
      <c r="CE27">
        <v>0</v>
      </c>
      <c r="CF27">
        <v>0</v>
      </c>
      <c r="CG27">
        <v>0</v>
      </c>
      <c r="CH27">
        <v>0</v>
      </c>
      <c r="CI27">
        <v>0</v>
      </c>
      <c r="CJ27">
        <v>0</v>
      </c>
      <c r="CK27">
        <v>0</v>
      </c>
      <c r="CL27">
        <v>0</v>
      </c>
      <c r="CM27">
        <v>17892.6940140933</v>
      </c>
      <c r="CN27">
        <v>1064368.6866483176</v>
      </c>
      <c r="CO27">
        <v>166359.79087622534</v>
      </c>
      <c r="CP27">
        <v>399165.2918091474</v>
      </c>
      <c r="CQ27">
        <v>1629893.7693336902</v>
      </c>
      <c r="CR27">
        <v>70506.676055999997</v>
      </c>
      <c r="CS27">
        <v>28617.563622599999</v>
      </c>
      <c r="CT27">
        <v>0</v>
      </c>
      <c r="CU27">
        <v>0</v>
      </c>
      <c r="CV27">
        <v>0</v>
      </c>
      <c r="CW27">
        <v>0</v>
      </c>
      <c r="CX27">
        <v>0</v>
      </c>
      <c r="CY27">
        <v>0</v>
      </c>
      <c r="CZ27">
        <v>0</v>
      </c>
      <c r="DA27">
        <v>0</v>
      </c>
      <c r="DB27">
        <v>0</v>
      </c>
      <c r="DC27">
        <v>1729018.00901229</v>
      </c>
      <c r="DD27">
        <v>48270</v>
      </c>
      <c r="DE27">
        <v>0</v>
      </c>
      <c r="DF27" t="s">
        <v>135</v>
      </c>
      <c r="DG27" t="s">
        <v>135</v>
      </c>
      <c r="DH27">
        <v>0</v>
      </c>
      <c r="DI27">
        <v>0</v>
      </c>
      <c r="DJ27">
        <v>0</v>
      </c>
      <c r="DK27">
        <v>0</v>
      </c>
      <c r="DL27">
        <v>0</v>
      </c>
      <c r="DM27">
        <v>48270</v>
      </c>
      <c r="DN27">
        <v>48270</v>
      </c>
      <c r="DQ27" t="s">
        <v>135</v>
      </c>
      <c r="DR27" t="s">
        <v>135</v>
      </c>
      <c r="DS27">
        <v>0</v>
      </c>
      <c r="DT27">
        <v>0</v>
      </c>
      <c r="DU27">
        <v>0</v>
      </c>
      <c r="DV27">
        <v>19.308</v>
      </c>
      <c r="DW27">
        <v>19.308</v>
      </c>
      <c r="DX27">
        <v>5.9086681351746639</v>
      </c>
      <c r="DY27">
        <v>57.338428451612401</v>
      </c>
    </row>
    <row r="28" spans="1:129">
      <c r="A28" t="s">
        <v>1952</v>
      </c>
      <c r="C28" t="s">
        <v>1954</v>
      </c>
      <c r="D28">
        <v>1</v>
      </c>
      <c r="E28" s="195">
        <v>44562</v>
      </c>
      <c r="F28">
        <v>1</v>
      </c>
      <c r="G28">
        <v>2</v>
      </c>
      <c r="H28">
        <v>126.25</v>
      </c>
      <c r="I28" t="s">
        <v>378</v>
      </c>
      <c r="J28" t="s">
        <v>2001</v>
      </c>
      <c r="K28" t="s">
        <v>45</v>
      </c>
      <c r="M28" t="s">
        <v>237</v>
      </c>
      <c r="N28" t="s">
        <v>238</v>
      </c>
      <c r="O28" t="s">
        <v>381</v>
      </c>
      <c r="P28">
        <v>0</v>
      </c>
      <c r="R28">
        <v>2.37</v>
      </c>
      <c r="S28">
        <v>53.270042194092824</v>
      </c>
      <c r="U28">
        <v>126.25</v>
      </c>
      <c r="V28">
        <v>0</v>
      </c>
      <c r="X28">
        <v>50</v>
      </c>
      <c r="Y28" t="s">
        <v>224</v>
      </c>
      <c r="Z28" t="s">
        <v>239</v>
      </c>
      <c r="AH28">
        <v>350.22951263046667</v>
      </c>
      <c r="AI28">
        <v>185.00551965774991</v>
      </c>
      <c r="AJ28">
        <v>210.7343197775848</v>
      </c>
      <c r="AK28">
        <v>745.96935206580133</v>
      </c>
      <c r="AL28">
        <v>59.83861109771447</v>
      </c>
      <c r="AM28">
        <v>32.98540279765767</v>
      </c>
      <c r="AN28">
        <v>0</v>
      </c>
      <c r="AO28">
        <v>0</v>
      </c>
      <c r="AP28">
        <v>0</v>
      </c>
      <c r="AQ28">
        <v>0</v>
      </c>
      <c r="AR28">
        <v>0</v>
      </c>
      <c r="AS28">
        <v>0</v>
      </c>
      <c r="AT28">
        <v>0</v>
      </c>
      <c r="AU28">
        <v>0</v>
      </c>
      <c r="AV28">
        <v>0</v>
      </c>
      <c r="AW28">
        <v>838.79336596117344</v>
      </c>
      <c r="AX28">
        <v>2711.2136427138103</v>
      </c>
      <c r="AY28">
        <v>1547.9268181444272</v>
      </c>
      <c r="AZ28">
        <v>2979.8361311578283</v>
      </c>
      <c r="BA28">
        <v>7238.9765920160653</v>
      </c>
      <c r="BB28">
        <v>533.3291680625</v>
      </c>
      <c r="BC28">
        <v>322.307349375</v>
      </c>
      <c r="BD28">
        <v>0</v>
      </c>
      <c r="BE28">
        <v>0</v>
      </c>
      <c r="BF28">
        <v>0</v>
      </c>
      <c r="BG28">
        <v>0</v>
      </c>
      <c r="BH28">
        <v>0</v>
      </c>
      <c r="BI28">
        <v>0</v>
      </c>
      <c r="BJ28">
        <v>0</v>
      </c>
      <c r="BK28">
        <v>0</v>
      </c>
      <c r="BL28">
        <v>0</v>
      </c>
      <c r="BM28">
        <v>8094.6131094535649</v>
      </c>
      <c r="BN28">
        <v>126.25</v>
      </c>
      <c r="BO28">
        <v>0.5</v>
      </c>
      <c r="BP28">
        <v>63.125</v>
      </c>
      <c r="BQ28">
        <v>63.125</v>
      </c>
      <c r="BR28">
        <v>0</v>
      </c>
      <c r="BS28">
        <v>0</v>
      </c>
      <c r="BT28">
        <v>0</v>
      </c>
      <c r="BU28">
        <v>63.125</v>
      </c>
      <c r="BV28">
        <v>63.125</v>
      </c>
      <c r="BW28">
        <v>126.25</v>
      </c>
      <c r="BX28">
        <v>1101.185672675359</v>
      </c>
      <c r="BY28">
        <v>431.57945614100186</v>
      </c>
      <c r="BZ28">
        <v>642.22205320485966</v>
      </c>
      <c r="CA28">
        <v>2174.9871820212211</v>
      </c>
      <c r="CB28">
        <v>144.20578631250001</v>
      </c>
      <c r="CC28">
        <v>20.720662575000002</v>
      </c>
      <c r="CD28">
        <v>0</v>
      </c>
      <c r="CE28">
        <v>0</v>
      </c>
      <c r="CF28">
        <v>0</v>
      </c>
      <c r="CG28">
        <v>0</v>
      </c>
      <c r="CH28">
        <v>0</v>
      </c>
      <c r="CI28">
        <v>0</v>
      </c>
      <c r="CJ28">
        <v>0</v>
      </c>
      <c r="CK28">
        <v>0</v>
      </c>
      <c r="CL28">
        <v>0</v>
      </c>
      <c r="CM28">
        <v>2339.9136309087212</v>
      </c>
      <c r="CN28">
        <v>139192.61103102349</v>
      </c>
      <c r="CO28">
        <v>21755.669772243058</v>
      </c>
      <c r="CP28">
        <v>52200.764544131816</v>
      </c>
      <c r="CQ28">
        <v>213149.04534739838</v>
      </c>
      <c r="CR28">
        <v>9220.4970499999999</v>
      </c>
      <c r="CS28">
        <v>3742.4563987499996</v>
      </c>
      <c r="CT28">
        <v>0</v>
      </c>
      <c r="CU28">
        <v>0</v>
      </c>
      <c r="CV28">
        <v>0</v>
      </c>
      <c r="CW28">
        <v>0</v>
      </c>
      <c r="CX28">
        <v>0</v>
      </c>
      <c r="CY28">
        <v>0</v>
      </c>
      <c r="CZ28">
        <v>0</v>
      </c>
      <c r="DA28">
        <v>0</v>
      </c>
      <c r="DB28">
        <v>0</v>
      </c>
      <c r="DC28">
        <v>226111.99879614837</v>
      </c>
      <c r="DD28">
        <v>6312.5</v>
      </c>
      <c r="DE28">
        <v>0</v>
      </c>
      <c r="DF28" t="s">
        <v>135</v>
      </c>
      <c r="DG28" t="s">
        <v>135</v>
      </c>
      <c r="DH28">
        <v>0</v>
      </c>
      <c r="DI28">
        <v>0</v>
      </c>
      <c r="DJ28">
        <v>0</v>
      </c>
      <c r="DK28">
        <v>0</v>
      </c>
      <c r="DL28">
        <v>0</v>
      </c>
      <c r="DM28">
        <v>6312.5</v>
      </c>
      <c r="DN28">
        <v>6312.5</v>
      </c>
      <c r="DQ28" t="s">
        <v>135</v>
      </c>
      <c r="DR28" t="s">
        <v>135</v>
      </c>
      <c r="DS28">
        <v>0</v>
      </c>
      <c r="DT28">
        <v>0</v>
      </c>
      <c r="DU28">
        <v>0</v>
      </c>
      <c r="DV28">
        <v>2.5249999999999999</v>
      </c>
      <c r="DW28">
        <v>2.5249999999999999</v>
      </c>
      <c r="DX28">
        <v>5.9086681351746639</v>
      </c>
      <c r="DY28">
        <v>57.338428451612401</v>
      </c>
    </row>
    <row r="29" spans="1:129">
      <c r="A29" t="s">
        <v>1952</v>
      </c>
      <c r="C29" t="s">
        <v>1954</v>
      </c>
      <c r="D29">
        <v>1</v>
      </c>
      <c r="E29" s="195">
        <v>44562</v>
      </c>
      <c r="F29">
        <v>1</v>
      </c>
      <c r="G29">
        <v>2</v>
      </c>
      <c r="H29">
        <v>63.75</v>
      </c>
      <c r="I29" t="s">
        <v>378</v>
      </c>
      <c r="J29" t="s">
        <v>2002</v>
      </c>
      <c r="K29" t="s">
        <v>45</v>
      </c>
      <c r="M29" t="s">
        <v>237</v>
      </c>
      <c r="N29" t="s">
        <v>238</v>
      </c>
      <c r="O29" t="s">
        <v>381</v>
      </c>
      <c r="P29">
        <v>0</v>
      </c>
      <c r="R29">
        <v>2.37</v>
      </c>
      <c r="S29">
        <v>26.898734177215189</v>
      </c>
      <c r="U29">
        <v>63.75</v>
      </c>
      <c r="V29">
        <v>0</v>
      </c>
      <c r="X29">
        <v>50</v>
      </c>
      <c r="Y29" t="s">
        <v>224</v>
      </c>
      <c r="Z29" t="s">
        <v>239</v>
      </c>
      <c r="AH29">
        <v>176.84856578370102</v>
      </c>
      <c r="AI29">
        <v>93.418628738071732</v>
      </c>
      <c r="AJ29">
        <v>106.41039909561212</v>
      </c>
      <c r="AK29">
        <v>376.67759361738484</v>
      </c>
      <c r="AL29">
        <v>30.215536296865722</v>
      </c>
      <c r="AM29">
        <v>16.655995472084566</v>
      </c>
      <c r="AN29">
        <v>0</v>
      </c>
      <c r="AO29">
        <v>0</v>
      </c>
      <c r="AP29">
        <v>0</v>
      </c>
      <c r="AQ29">
        <v>0</v>
      </c>
      <c r="AR29">
        <v>0</v>
      </c>
      <c r="AS29">
        <v>0</v>
      </c>
      <c r="AT29">
        <v>0</v>
      </c>
      <c r="AU29">
        <v>0</v>
      </c>
      <c r="AV29">
        <v>0</v>
      </c>
      <c r="AW29">
        <v>423.54912538633511</v>
      </c>
      <c r="AX29">
        <v>1369.0286710733101</v>
      </c>
      <c r="AY29">
        <v>781.62641312243363</v>
      </c>
      <c r="AZ29">
        <v>1504.6697295945469</v>
      </c>
      <c r="BA29">
        <v>3655.3248137902906</v>
      </c>
      <c r="BB29">
        <v>269.30482743749997</v>
      </c>
      <c r="BC29">
        <v>162.74925562499999</v>
      </c>
      <c r="BD29">
        <v>0</v>
      </c>
      <c r="BE29">
        <v>0</v>
      </c>
      <c r="BF29">
        <v>0</v>
      </c>
      <c r="BG29">
        <v>0</v>
      </c>
      <c r="BH29">
        <v>0</v>
      </c>
      <c r="BI29">
        <v>0</v>
      </c>
      <c r="BJ29">
        <v>0</v>
      </c>
      <c r="BK29">
        <v>0</v>
      </c>
      <c r="BL29">
        <v>0</v>
      </c>
      <c r="BM29">
        <v>4087.3788968527906</v>
      </c>
      <c r="BN29">
        <v>63.75</v>
      </c>
      <c r="BO29">
        <v>0.5</v>
      </c>
      <c r="BP29">
        <v>31.875</v>
      </c>
      <c r="BQ29">
        <v>31.875</v>
      </c>
      <c r="BR29">
        <v>0</v>
      </c>
      <c r="BS29">
        <v>0</v>
      </c>
      <c r="BT29">
        <v>0</v>
      </c>
      <c r="BU29">
        <v>31.875</v>
      </c>
      <c r="BV29">
        <v>31.875</v>
      </c>
      <c r="BW29">
        <v>63.75</v>
      </c>
      <c r="BX29">
        <v>556.04425055884474</v>
      </c>
      <c r="BY29">
        <v>217.92626003159501</v>
      </c>
      <c r="BZ29">
        <v>324.29034369750337</v>
      </c>
      <c r="CA29">
        <v>1098.2608542879432</v>
      </c>
      <c r="CB29">
        <v>72.816783187499993</v>
      </c>
      <c r="CC29">
        <v>10.462908825000001</v>
      </c>
      <c r="CD29">
        <v>0</v>
      </c>
      <c r="CE29">
        <v>0</v>
      </c>
      <c r="CF29">
        <v>0</v>
      </c>
      <c r="CG29">
        <v>0</v>
      </c>
      <c r="CH29">
        <v>0</v>
      </c>
      <c r="CI29">
        <v>0</v>
      </c>
      <c r="CJ29">
        <v>0</v>
      </c>
      <c r="CK29">
        <v>0</v>
      </c>
      <c r="CL29">
        <v>0</v>
      </c>
      <c r="CM29">
        <v>1181.5405463004433</v>
      </c>
      <c r="CN29">
        <v>70285.3778473485</v>
      </c>
      <c r="CO29">
        <v>10985.536221627683</v>
      </c>
      <c r="CP29">
        <v>26358.801898522008</v>
      </c>
      <c r="CQ29">
        <v>107629.7159674982</v>
      </c>
      <c r="CR29">
        <v>4655.89455</v>
      </c>
      <c r="CS29">
        <v>1889.75521125</v>
      </c>
      <c r="CT29">
        <v>0</v>
      </c>
      <c r="CU29">
        <v>0</v>
      </c>
      <c r="CV29">
        <v>0</v>
      </c>
      <c r="CW29">
        <v>0</v>
      </c>
      <c r="CX29">
        <v>0</v>
      </c>
      <c r="CY29">
        <v>0</v>
      </c>
      <c r="CZ29">
        <v>0</v>
      </c>
      <c r="DA29">
        <v>0</v>
      </c>
      <c r="DB29">
        <v>0</v>
      </c>
      <c r="DC29">
        <v>114175.36572874819</v>
      </c>
      <c r="DD29">
        <v>3187.5</v>
      </c>
      <c r="DE29">
        <v>0</v>
      </c>
      <c r="DF29" t="s">
        <v>135</v>
      </c>
      <c r="DG29" t="s">
        <v>135</v>
      </c>
      <c r="DH29">
        <v>0</v>
      </c>
      <c r="DI29">
        <v>0</v>
      </c>
      <c r="DJ29">
        <v>0</v>
      </c>
      <c r="DK29">
        <v>0</v>
      </c>
      <c r="DL29">
        <v>0</v>
      </c>
      <c r="DM29">
        <v>3187.5</v>
      </c>
      <c r="DN29">
        <v>3187.5</v>
      </c>
      <c r="DQ29" t="s">
        <v>135</v>
      </c>
      <c r="DR29" t="s">
        <v>135</v>
      </c>
      <c r="DS29">
        <v>0</v>
      </c>
      <c r="DT29">
        <v>0</v>
      </c>
      <c r="DU29">
        <v>0</v>
      </c>
      <c r="DV29">
        <v>1.2749999999999999</v>
      </c>
      <c r="DW29">
        <v>1.2749999999999999</v>
      </c>
      <c r="DX29">
        <v>5.9086681351746639</v>
      </c>
      <c r="DY29">
        <v>57.338428451612401</v>
      </c>
    </row>
    <row r="30" spans="1:129">
      <c r="A30" t="s">
        <v>1952</v>
      </c>
      <c r="C30" t="s">
        <v>1954</v>
      </c>
      <c r="D30">
        <v>1</v>
      </c>
      <c r="E30" s="195">
        <v>44562</v>
      </c>
      <c r="F30">
        <v>1</v>
      </c>
      <c r="G30">
        <v>2</v>
      </c>
      <c r="H30">
        <v>965.4</v>
      </c>
      <c r="I30" t="s">
        <v>378</v>
      </c>
      <c r="J30" t="s">
        <v>2003</v>
      </c>
      <c r="K30" t="s">
        <v>45</v>
      </c>
      <c r="M30" t="s">
        <v>237</v>
      </c>
      <c r="N30" t="s">
        <v>238</v>
      </c>
      <c r="O30" t="s">
        <v>381</v>
      </c>
      <c r="P30">
        <v>0</v>
      </c>
      <c r="R30">
        <v>2.37</v>
      </c>
      <c r="S30">
        <v>407.34177215189868</v>
      </c>
      <c r="U30">
        <v>965.4</v>
      </c>
      <c r="V30">
        <v>0</v>
      </c>
      <c r="X30">
        <v>50</v>
      </c>
      <c r="Y30" t="s">
        <v>224</v>
      </c>
      <c r="Z30" t="s">
        <v>239</v>
      </c>
      <c r="AH30">
        <v>2678.1114573738814</v>
      </c>
      <c r="AI30">
        <v>1414.6877519017169</v>
      </c>
      <c r="AJ30">
        <v>1611.4290084220227</v>
      </c>
      <c r="AK30">
        <v>5704.2282176976205</v>
      </c>
      <c r="AL30">
        <v>457.56986260383007</v>
      </c>
      <c r="AM30">
        <v>252.23055731373239</v>
      </c>
      <c r="AN30">
        <v>0</v>
      </c>
      <c r="AO30">
        <v>0</v>
      </c>
      <c r="AP30">
        <v>0</v>
      </c>
      <c r="AQ30">
        <v>0</v>
      </c>
      <c r="AR30">
        <v>0</v>
      </c>
      <c r="AS30">
        <v>0</v>
      </c>
      <c r="AT30">
        <v>0</v>
      </c>
      <c r="AU30">
        <v>0</v>
      </c>
      <c r="AV30">
        <v>0</v>
      </c>
      <c r="AW30">
        <v>6414.0286376151835</v>
      </c>
      <c r="AX30">
        <v>20731.92594594782</v>
      </c>
      <c r="AY30">
        <v>11836.582576131723</v>
      </c>
      <c r="AZ30">
        <v>22786.010305107066</v>
      </c>
      <c r="BA30">
        <v>55354.518827186614</v>
      </c>
      <c r="BB30">
        <v>4078.2255750299996</v>
      </c>
      <c r="BC30">
        <v>2464.5981392999997</v>
      </c>
      <c r="BD30">
        <v>0</v>
      </c>
      <c r="BE30">
        <v>0</v>
      </c>
      <c r="BF30">
        <v>0</v>
      </c>
      <c r="BG30">
        <v>0</v>
      </c>
      <c r="BH30">
        <v>0</v>
      </c>
      <c r="BI30">
        <v>0</v>
      </c>
      <c r="BJ30">
        <v>0</v>
      </c>
      <c r="BK30">
        <v>0</v>
      </c>
      <c r="BL30">
        <v>0</v>
      </c>
      <c r="BM30">
        <v>61897.342541516613</v>
      </c>
      <c r="BN30">
        <v>965.4</v>
      </c>
      <c r="BO30">
        <v>0.5</v>
      </c>
      <c r="BP30">
        <v>482.7</v>
      </c>
      <c r="BQ30">
        <v>482.7</v>
      </c>
      <c r="BR30">
        <v>0</v>
      </c>
      <c r="BS30">
        <v>0</v>
      </c>
      <c r="BT30">
        <v>0</v>
      </c>
      <c r="BU30">
        <v>482.7</v>
      </c>
      <c r="BV30">
        <v>482.7</v>
      </c>
      <c r="BW30">
        <v>965.4</v>
      </c>
      <c r="BX30">
        <v>8420.4724625805284</v>
      </c>
      <c r="BY30">
        <v>3300.172728384342</v>
      </c>
      <c r="BZ30">
        <v>4910.9003577344274</v>
      </c>
      <c r="CA30">
        <v>16631.545548699301</v>
      </c>
      <c r="CB30">
        <v>1102.70309787</v>
      </c>
      <c r="CC30">
        <v>158.44536752400001</v>
      </c>
      <c r="CD30">
        <v>0</v>
      </c>
      <c r="CE30">
        <v>0</v>
      </c>
      <c r="CF30">
        <v>0</v>
      </c>
      <c r="CG30">
        <v>0</v>
      </c>
      <c r="CH30">
        <v>0</v>
      </c>
      <c r="CI30">
        <v>0</v>
      </c>
      <c r="CJ30">
        <v>0</v>
      </c>
      <c r="CK30">
        <v>0</v>
      </c>
      <c r="CL30">
        <v>0</v>
      </c>
      <c r="CM30">
        <v>17892.6940140933</v>
      </c>
      <c r="CN30">
        <v>1064368.6866483176</v>
      </c>
      <c r="CO30">
        <v>166359.79087622534</v>
      </c>
      <c r="CP30">
        <v>399165.2918091474</v>
      </c>
      <c r="CQ30">
        <v>1629893.7693336902</v>
      </c>
      <c r="CR30">
        <v>70506.676055999997</v>
      </c>
      <c r="CS30">
        <v>28617.563622599999</v>
      </c>
      <c r="CT30">
        <v>0</v>
      </c>
      <c r="CU30">
        <v>0</v>
      </c>
      <c r="CV30">
        <v>0</v>
      </c>
      <c r="CW30">
        <v>0</v>
      </c>
      <c r="CX30">
        <v>0</v>
      </c>
      <c r="CY30">
        <v>0</v>
      </c>
      <c r="CZ30">
        <v>0</v>
      </c>
      <c r="DA30">
        <v>0</v>
      </c>
      <c r="DB30">
        <v>0</v>
      </c>
      <c r="DC30">
        <v>1729018.00901229</v>
      </c>
      <c r="DD30">
        <v>48270</v>
      </c>
      <c r="DE30">
        <v>0</v>
      </c>
      <c r="DF30" t="s">
        <v>135</v>
      </c>
      <c r="DG30" t="s">
        <v>135</v>
      </c>
      <c r="DH30">
        <v>0</v>
      </c>
      <c r="DI30">
        <v>0</v>
      </c>
      <c r="DJ30">
        <v>0</v>
      </c>
      <c r="DK30">
        <v>0</v>
      </c>
      <c r="DL30">
        <v>0</v>
      </c>
      <c r="DM30">
        <v>48270</v>
      </c>
      <c r="DN30">
        <v>48270</v>
      </c>
      <c r="DQ30" t="s">
        <v>135</v>
      </c>
      <c r="DR30" t="s">
        <v>135</v>
      </c>
      <c r="DS30">
        <v>0</v>
      </c>
      <c r="DT30">
        <v>0</v>
      </c>
      <c r="DU30">
        <v>0</v>
      </c>
      <c r="DV30">
        <v>19.308</v>
      </c>
      <c r="DW30">
        <v>19.308</v>
      </c>
      <c r="DX30">
        <v>5.9086681351746639</v>
      </c>
      <c r="DY30">
        <v>57.338428451612401</v>
      </c>
    </row>
    <row r="31" spans="1:129">
      <c r="A31" t="s">
        <v>1952</v>
      </c>
      <c r="C31" t="s">
        <v>1954</v>
      </c>
      <c r="D31">
        <v>1</v>
      </c>
      <c r="E31" s="195">
        <v>44562</v>
      </c>
      <c r="F31">
        <v>1</v>
      </c>
      <c r="G31">
        <v>3</v>
      </c>
      <c r="H31">
        <v>428</v>
      </c>
      <c r="I31" t="s">
        <v>385</v>
      </c>
      <c r="J31" t="s">
        <v>2004</v>
      </c>
      <c r="K31" t="s">
        <v>45</v>
      </c>
      <c r="M31" t="s">
        <v>48</v>
      </c>
      <c r="N31" t="s">
        <v>260</v>
      </c>
      <c r="O31" t="s">
        <v>50</v>
      </c>
      <c r="P31">
        <v>0</v>
      </c>
      <c r="R31">
        <v>1.95</v>
      </c>
      <c r="S31">
        <v>107</v>
      </c>
      <c r="T31">
        <v>60</v>
      </c>
      <c r="U31">
        <v>208.65</v>
      </c>
      <c r="V31">
        <v>0</v>
      </c>
      <c r="X31">
        <v>50</v>
      </c>
      <c r="Y31" t="s">
        <v>224</v>
      </c>
      <c r="AA31" t="s">
        <v>937</v>
      </c>
      <c r="AH31">
        <v>0</v>
      </c>
      <c r="AI31">
        <v>0</v>
      </c>
      <c r="AJ31">
        <v>0</v>
      </c>
      <c r="AK31">
        <v>0</v>
      </c>
      <c r="AL31">
        <v>98.893672915153459</v>
      </c>
      <c r="AM31">
        <v>29.963276228665741</v>
      </c>
      <c r="AN31">
        <v>14.71036</v>
      </c>
      <c r="AO31">
        <v>0</v>
      </c>
      <c r="AP31">
        <v>0</v>
      </c>
      <c r="AQ31">
        <v>0</v>
      </c>
      <c r="AR31">
        <v>0</v>
      </c>
      <c r="AS31">
        <v>0</v>
      </c>
      <c r="AT31">
        <v>0</v>
      </c>
      <c r="AU31">
        <v>0</v>
      </c>
      <c r="AV31">
        <v>0</v>
      </c>
      <c r="AW31">
        <v>143.56730914381922</v>
      </c>
      <c r="AX31">
        <v>0</v>
      </c>
      <c r="AY31">
        <v>0</v>
      </c>
      <c r="AZ31">
        <v>0</v>
      </c>
      <c r="BA31">
        <v>0</v>
      </c>
      <c r="BB31">
        <v>881.41885874249988</v>
      </c>
      <c r="BC31">
        <v>323.36508721159998</v>
      </c>
      <c r="BD31">
        <v>0</v>
      </c>
      <c r="BE31">
        <v>0</v>
      </c>
      <c r="BF31">
        <v>0</v>
      </c>
      <c r="BG31">
        <v>0</v>
      </c>
      <c r="BH31">
        <v>0</v>
      </c>
      <c r="BI31">
        <v>0</v>
      </c>
      <c r="BJ31">
        <v>0</v>
      </c>
      <c r="BK31">
        <v>0</v>
      </c>
      <c r="BL31">
        <v>0</v>
      </c>
      <c r="BM31">
        <v>1204.7839459540999</v>
      </c>
      <c r="BN31">
        <v>208.65</v>
      </c>
      <c r="BO31">
        <v>1</v>
      </c>
      <c r="BP31">
        <v>0</v>
      </c>
      <c r="BQ31">
        <v>208.65</v>
      </c>
      <c r="BR31">
        <v>0</v>
      </c>
      <c r="BS31">
        <v>0</v>
      </c>
      <c r="BT31">
        <v>0</v>
      </c>
      <c r="BU31">
        <v>0</v>
      </c>
      <c r="BV31">
        <v>208.65</v>
      </c>
      <c r="BW31">
        <v>208.65</v>
      </c>
      <c r="BX31">
        <v>0</v>
      </c>
      <c r="BY31">
        <v>0</v>
      </c>
      <c r="BZ31">
        <v>0</v>
      </c>
      <c r="CA31">
        <v>0</v>
      </c>
      <c r="CB31">
        <v>238.32504803250001</v>
      </c>
      <c r="CC31">
        <v>35.962697096733329</v>
      </c>
      <c r="CD31">
        <v>0</v>
      </c>
      <c r="CE31">
        <v>0</v>
      </c>
      <c r="CF31">
        <v>0</v>
      </c>
      <c r="CG31">
        <v>0</v>
      </c>
      <c r="CH31">
        <v>0</v>
      </c>
      <c r="CI31">
        <v>0</v>
      </c>
      <c r="CJ31">
        <v>0</v>
      </c>
      <c r="CK31">
        <v>0</v>
      </c>
      <c r="CL31">
        <v>0</v>
      </c>
      <c r="CM31">
        <v>274.28774512923331</v>
      </c>
      <c r="CN31">
        <v>0</v>
      </c>
      <c r="CO31">
        <v>0</v>
      </c>
      <c r="CP31">
        <v>0</v>
      </c>
      <c r="CQ31">
        <v>0</v>
      </c>
      <c r="CR31">
        <v>15238.468986</v>
      </c>
      <c r="CS31">
        <v>4931.5180742906668</v>
      </c>
      <c r="CT31">
        <v>0</v>
      </c>
      <c r="CU31">
        <v>0</v>
      </c>
      <c r="CV31">
        <v>0</v>
      </c>
      <c r="CW31">
        <v>0</v>
      </c>
      <c r="CX31">
        <v>0</v>
      </c>
      <c r="CY31">
        <v>0</v>
      </c>
      <c r="CZ31">
        <v>0</v>
      </c>
      <c r="DA31">
        <v>0</v>
      </c>
      <c r="DB31">
        <v>0</v>
      </c>
      <c r="DC31">
        <v>20169.987060290667</v>
      </c>
      <c r="DD31">
        <v>10432.5</v>
      </c>
      <c r="DE31">
        <v>0</v>
      </c>
      <c r="DF31" t="s">
        <v>135</v>
      </c>
      <c r="DG31" t="s">
        <v>135</v>
      </c>
      <c r="DH31">
        <v>0</v>
      </c>
      <c r="DI31">
        <v>0</v>
      </c>
      <c r="DJ31">
        <v>0</v>
      </c>
      <c r="DK31">
        <v>0</v>
      </c>
      <c r="DL31">
        <v>0</v>
      </c>
      <c r="DM31">
        <v>10432.5</v>
      </c>
      <c r="DN31">
        <v>10432.5</v>
      </c>
      <c r="DQ31" t="s">
        <v>135</v>
      </c>
      <c r="DR31" t="s">
        <v>135</v>
      </c>
      <c r="DS31">
        <v>0</v>
      </c>
      <c r="DT31">
        <v>0</v>
      </c>
      <c r="DU31">
        <v>0</v>
      </c>
      <c r="DV31">
        <v>7.1333333333333337</v>
      </c>
      <c r="DW31">
        <v>7.1333333333333337</v>
      </c>
      <c r="DX31">
        <v>0</v>
      </c>
      <c r="DY31">
        <v>0</v>
      </c>
    </row>
    <row r="32" spans="1:129">
      <c r="A32" t="s">
        <v>1952</v>
      </c>
      <c r="C32" t="s">
        <v>1954</v>
      </c>
      <c r="D32">
        <v>1</v>
      </c>
      <c r="E32" s="195">
        <v>44562</v>
      </c>
      <c r="F32">
        <v>1</v>
      </c>
      <c r="G32">
        <v>3</v>
      </c>
      <c r="H32">
        <v>5794</v>
      </c>
      <c r="I32" t="s">
        <v>385</v>
      </c>
      <c r="J32" t="s">
        <v>2005</v>
      </c>
      <c r="K32" t="s">
        <v>45</v>
      </c>
      <c r="M32" t="s">
        <v>48</v>
      </c>
      <c r="N32" t="s">
        <v>706</v>
      </c>
      <c r="O32" t="s">
        <v>704</v>
      </c>
      <c r="P32">
        <v>0</v>
      </c>
      <c r="R32">
        <v>1.95</v>
      </c>
      <c r="S32">
        <v>1520.9992820512821</v>
      </c>
      <c r="T32">
        <v>60</v>
      </c>
      <c r="U32">
        <v>2965.9486000000002</v>
      </c>
      <c r="V32">
        <v>0</v>
      </c>
      <c r="X32">
        <v>50</v>
      </c>
      <c r="Y32" t="s">
        <v>224</v>
      </c>
      <c r="AA32" t="s">
        <v>937</v>
      </c>
      <c r="AH32">
        <v>0</v>
      </c>
      <c r="AI32">
        <v>0</v>
      </c>
      <c r="AJ32">
        <v>0</v>
      </c>
      <c r="AK32">
        <v>7.1729719999999997</v>
      </c>
      <c r="AL32">
        <v>1405.7682757323621</v>
      </c>
      <c r="AM32">
        <v>405.62435156282544</v>
      </c>
      <c r="AN32">
        <v>238.94456</v>
      </c>
      <c r="AO32">
        <v>0</v>
      </c>
      <c r="AP32">
        <v>0</v>
      </c>
      <c r="AQ32">
        <v>0</v>
      </c>
      <c r="AR32">
        <v>0</v>
      </c>
      <c r="AS32">
        <v>0</v>
      </c>
      <c r="AT32">
        <v>0</v>
      </c>
      <c r="AU32">
        <v>0</v>
      </c>
      <c r="AV32">
        <v>0</v>
      </c>
      <c r="AW32">
        <v>2057.5101592951878</v>
      </c>
      <c r="AX32">
        <v>0</v>
      </c>
      <c r="AY32">
        <v>0</v>
      </c>
      <c r="AZ32">
        <v>0</v>
      </c>
      <c r="BA32">
        <v>683.69200000000001</v>
      </c>
      <c r="BB32">
        <v>12529.321975082272</v>
      </c>
      <c r="BC32">
        <v>4377.5170918317999</v>
      </c>
      <c r="BD32">
        <v>0</v>
      </c>
      <c r="BE32">
        <v>0</v>
      </c>
      <c r="BF32">
        <v>0</v>
      </c>
      <c r="BG32">
        <v>0</v>
      </c>
      <c r="BH32">
        <v>0</v>
      </c>
      <c r="BI32">
        <v>0</v>
      </c>
      <c r="BJ32">
        <v>0</v>
      </c>
      <c r="BK32">
        <v>0</v>
      </c>
      <c r="BL32">
        <v>0</v>
      </c>
      <c r="BM32">
        <v>17590.531066914071</v>
      </c>
      <c r="BN32">
        <v>2965.9486000000002</v>
      </c>
      <c r="BO32">
        <v>0</v>
      </c>
      <c r="BP32">
        <v>2965.9486000000002</v>
      </c>
      <c r="BQ32">
        <v>0</v>
      </c>
      <c r="BR32">
        <v>0</v>
      </c>
      <c r="BS32">
        <v>0</v>
      </c>
      <c r="BT32">
        <v>0</v>
      </c>
      <c r="BU32">
        <v>2965.9486000000002</v>
      </c>
      <c r="BV32">
        <v>0</v>
      </c>
      <c r="BW32">
        <v>2965.9486000000002</v>
      </c>
      <c r="BX32">
        <v>0</v>
      </c>
      <c r="BY32">
        <v>0</v>
      </c>
      <c r="BZ32">
        <v>0</v>
      </c>
      <c r="CA32">
        <v>551.58879999999999</v>
      </c>
      <c r="CB32">
        <v>3387.7778219838306</v>
      </c>
      <c r="CC32">
        <v>486.84081069736658</v>
      </c>
      <c r="CD32">
        <v>0</v>
      </c>
      <c r="CE32">
        <v>0</v>
      </c>
      <c r="CF32">
        <v>0</v>
      </c>
      <c r="CG32">
        <v>0</v>
      </c>
      <c r="CH32">
        <v>0</v>
      </c>
      <c r="CI32">
        <v>0</v>
      </c>
      <c r="CJ32">
        <v>0</v>
      </c>
      <c r="CK32">
        <v>0</v>
      </c>
      <c r="CL32">
        <v>0</v>
      </c>
      <c r="CM32">
        <v>4426.2074326811971</v>
      </c>
      <c r="CN32">
        <v>0</v>
      </c>
      <c r="CO32">
        <v>0</v>
      </c>
      <c r="CP32">
        <v>0</v>
      </c>
      <c r="CQ32">
        <v>5279.388508</v>
      </c>
      <c r="CR32">
        <v>216614.02231090402</v>
      </c>
      <c r="CS32">
        <v>66759.849818785326</v>
      </c>
      <c r="CT32">
        <v>0</v>
      </c>
      <c r="CU32">
        <v>0</v>
      </c>
      <c r="CV32">
        <v>0</v>
      </c>
      <c r="CW32">
        <v>0</v>
      </c>
      <c r="CX32">
        <v>0</v>
      </c>
      <c r="CY32">
        <v>0</v>
      </c>
      <c r="CZ32">
        <v>0</v>
      </c>
      <c r="DA32">
        <v>0</v>
      </c>
      <c r="DB32">
        <v>0</v>
      </c>
      <c r="DC32">
        <v>288653.26063768938</v>
      </c>
      <c r="DD32">
        <v>148297.43000000002</v>
      </c>
      <c r="DE32">
        <v>0</v>
      </c>
      <c r="DF32" t="s">
        <v>135</v>
      </c>
      <c r="DG32" t="s">
        <v>135</v>
      </c>
      <c r="DH32">
        <v>0</v>
      </c>
      <c r="DI32">
        <v>0</v>
      </c>
      <c r="DJ32">
        <v>0</v>
      </c>
      <c r="DK32">
        <v>0</v>
      </c>
      <c r="DL32">
        <v>0</v>
      </c>
      <c r="DM32">
        <v>148297.43000000002</v>
      </c>
      <c r="DN32">
        <v>148297.43000000002</v>
      </c>
      <c r="DQ32" t="s">
        <v>135</v>
      </c>
      <c r="DR32" t="s">
        <v>135</v>
      </c>
      <c r="DS32">
        <v>0</v>
      </c>
      <c r="DT32">
        <v>0</v>
      </c>
      <c r="DU32">
        <v>0</v>
      </c>
      <c r="DV32">
        <v>96.566666666666663</v>
      </c>
      <c r="DW32">
        <v>96.566666666666663</v>
      </c>
      <c r="DX32">
        <v>1.238E-3</v>
      </c>
      <c r="DY32">
        <v>0.11800000000000001</v>
      </c>
    </row>
    <row r="33" spans="1:129">
      <c r="A33" t="s">
        <v>1952</v>
      </c>
      <c r="C33" t="s">
        <v>1954</v>
      </c>
      <c r="D33">
        <v>1</v>
      </c>
      <c r="E33" s="195">
        <v>44562</v>
      </c>
      <c r="F33">
        <v>1</v>
      </c>
      <c r="G33">
        <v>2</v>
      </c>
      <c r="H33">
        <v>201.45</v>
      </c>
      <c r="I33" t="s">
        <v>378</v>
      </c>
      <c r="J33" t="s">
        <v>2006</v>
      </c>
      <c r="K33" t="s">
        <v>39</v>
      </c>
      <c r="M33" t="s">
        <v>237</v>
      </c>
      <c r="N33" t="s">
        <v>238</v>
      </c>
      <c r="O33" t="s">
        <v>381</v>
      </c>
      <c r="P33">
        <v>0</v>
      </c>
      <c r="R33">
        <v>2.37</v>
      </c>
      <c r="S33">
        <v>84.999999999999986</v>
      </c>
      <c r="U33">
        <v>201.45</v>
      </c>
      <c r="V33">
        <v>0</v>
      </c>
      <c r="AB33" t="s">
        <v>239</v>
      </c>
      <c r="AD33">
        <v>50</v>
      </c>
      <c r="AE33" t="s">
        <v>224</v>
      </c>
      <c r="AH33">
        <v>0</v>
      </c>
      <c r="AI33">
        <v>0</v>
      </c>
      <c r="AJ33">
        <v>0</v>
      </c>
      <c r="AK33">
        <v>0</v>
      </c>
      <c r="AL33">
        <v>0</v>
      </c>
      <c r="AM33">
        <v>0</v>
      </c>
      <c r="AN33">
        <v>0</v>
      </c>
      <c r="AO33">
        <v>0</v>
      </c>
      <c r="AP33">
        <v>63.631518952251021</v>
      </c>
      <c r="AQ33">
        <v>95.481094698095688</v>
      </c>
      <c r="AR33">
        <v>32.090977904543273</v>
      </c>
      <c r="AS33">
        <v>0</v>
      </c>
      <c r="AT33">
        <v>0</v>
      </c>
      <c r="AU33">
        <v>0</v>
      </c>
      <c r="AV33">
        <v>-468.51573961455745</v>
      </c>
      <c r="AW33">
        <v>-277.31214805966749</v>
      </c>
      <c r="AX33">
        <v>0</v>
      </c>
      <c r="AY33">
        <v>0</v>
      </c>
      <c r="AZ33">
        <v>0</v>
      </c>
      <c r="BA33">
        <v>0</v>
      </c>
      <c r="BB33">
        <v>0</v>
      </c>
      <c r="BC33">
        <v>0</v>
      </c>
      <c r="BD33">
        <v>0</v>
      </c>
      <c r="BE33">
        <v>0</v>
      </c>
      <c r="BF33">
        <v>676.50296352244004</v>
      </c>
      <c r="BG33">
        <v>851.00325470249993</v>
      </c>
      <c r="BH33">
        <v>325.07285260169238</v>
      </c>
      <c r="BI33">
        <v>0</v>
      </c>
      <c r="BJ33">
        <v>0</v>
      </c>
      <c r="BK33">
        <v>0</v>
      </c>
      <c r="BL33">
        <v>-3486.1784684874742</v>
      </c>
      <c r="BM33">
        <v>-1633.599397660842</v>
      </c>
      <c r="BN33">
        <v>201.45</v>
      </c>
      <c r="BO33">
        <v>0.5</v>
      </c>
      <c r="BP33">
        <v>100.72499999999999</v>
      </c>
      <c r="BQ33">
        <v>100.72499999999999</v>
      </c>
      <c r="BR33">
        <v>0</v>
      </c>
      <c r="BS33">
        <v>0</v>
      </c>
      <c r="BT33">
        <v>0</v>
      </c>
      <c r="BU33">
        <v>100.72499999999999</v>
      </c>
      <c r="BV33">
        <v>100.72499999999999</v>
      </c>
      <c r="BW33">
        <v>201.45</v>
      </c>
      <c r="BX33">
        <v>0</v>
      </c>
      <c r="BY33">
        <v>0</v>
      </c>
      <c r="BZ33">
        <v>0</v>
      </c>
      <c r="CA33">
        <v>0</v>
      </c>
      <c r="CB33">
        <v>0</v>
      </c>
      <c r="CC33">
        <v>0</v>
      </c>
      <c r="CD33">
        <v>0</v>
      </c>
      <c r="CE33">
        <v>0</v>
      </c>
      <c r="CF33">
        <v>38.577302376967033</v>
      </c>
      <c r="CG33">
        <v>230.10103487250001</v>
      </c>
      <c r="CH33">
        <v>18.537145298023077</v>
      </c>
      <c r="CI33">
        <v>0</v>
      </c>
      <c r="CJ33">
        <v>0</v>
      </c>
      <c r="CK33">
        <v>0</v>
      </c>
      <c r="CL33">
        <v>-1656.0034368271515</v>
      </c>
      <c r="CM33">
        <v>-1368.7879542796613</v>
      </c>
      <c r="CN33">
        <v>0</v>
      </c>
      <c r="CO33">
        <v>0</v>
      </c>
      <c r="CP33">
        <v>0</v>
      </c>
      <c r="CQ33">
        <v>0</v>
      </c>
      <c r="CR33">
        <v>0</v>
      </c>
      <c r="CS33">
        <v>0</v>
      </c>
      <c r="CT33">
        <v>0</v>
      </c>
      <c r="CU33">
        <v>0</v>
      </c>
      <c r="CV33">
        <v>7453.4520098006878</v>
      </c>
      <c r="CW33">
        <v>14712.626778</v>
      </c>
      <c r="CX33">
        <v>3581.5288878263036</v>
      </c>
      <c r="CY33">
        <v>0</v>
      </c>
      <c r="CZ33">
        <v>0</v>
      </c>
      <c r="DA33">
        <v>0</v>
      </c>
      <c r="DB33">
        <v>-183081.83841834735</v>
      </c>
      <c r="DC33">
        <v>-157334.23074272036</v>
      </c>
      <c r="DD33">
        <v>0</v>
      </c>
      <c r="DE33">
        <v>10072.5</v>
      </c>
      <c r="DF33" t="s">
        <v>135</v>
      </c>
      <c r="DG33" t="s">
        <v>135</v>
      </c>
      <c r="DH33">
        <v>0</v>
      </c>
      <c r="DI33">
        <v>0</v>
      </c>
      <c r="DJ33">
        <v>0</v>
      </c>
      <c r="DK33">
        <v>0</v>
      </c>
      <c r="DL33">
        <v>0</v>
      </c>
      <c r="DM33">
        <v>10072.5</v>
      </c>
      <c r="DN33">
        <v>10072.5</v>
      </c>
      <c r="DQ33" t="s">
        <v>135</v>
      </c>
      <c r="DR33" t="s">
        <v>135</v>
      </c>
      <c r="DS33">
        <v>0</v>
      </c>
      <c r="DT33">
        <v>0</v>
      </c>
      <c r="DU33">
        <v>0</v>
      </c>
      <c r="DV33">
        <v>4.0289999999999999</v>
      </c>
      <c r="DW33">
        <v>4.0289999999999999</v>
      </c>
      <c r="DX33">
        <v>0</v>
      </c>
      <c r="DY33">
        <v>0</v>
      </c>
    </row>
    <row r="34" spans="1:129">
      <c r="A34" t="s">
        <v>1952</v>
      </c>
      <c r="C34" t="s">
        <v>1954</v>
      </c>
      <c r="D34">
        <v>1</v>
      </c>
      <c r="E34" s="195">
        <v>44562</v>
      </c>
      <c r="F34">
        <v>1</v>
      </c>
      <c r="G34">
        <v>3</v>
      </c>
      <c r="H34">
        <v>850</v>
      </c>
      <c r="I34" t="s">
        <v>385</v>
      </c>
      <c r="J34" t="s">
        <v>2007</v>
      </c>
      <c r="K34" t="s">
        <v>39</v>
      </c>
      <c r="M34" t="s">
        <v>48</v>
      </c>
      <c r="N34" t="s">
        <v>260</v>
      </c>
      <c r="O34" t="s">
        <v>50</v>
      </c>
      <c r="P34">
        <v>0</v>
      </c>
      <c r="R34">
        <v>1.95</v>
      </c>
      <c r="S34">
        <v>212.5</v>
      </c>
      <c r="U34">
        <v>414.375</v>
      </c>
      <c r="V34">
        <v>0</v>
      </c>
      <c r="W34">
        <v>60</v>
      </c>
      <c r="AC34" t="s">
        <v>937</v>
      </c>
      <c r="AD34">
        <v>50</v>
      </c>
      <c r="AE34" t="s">
        <v>224</v>
      </c>
      <c r="AH34">
        <v>0</v>
      </c>
      <c r="AI34">
        <v>0</v>
      </c>
      <c r="AJ34">
        <v>0</v>
      </c>
      <c r="AK34">
        <v>0</v>
      </c>
      <c r="AL34">
        <v>0</v>
      </c>
      <c r="AM34">
        <v>0</v>
      </c>
      <c r="AN34">
        <v>0</v>
      </c>
      <c r="AO34">
        <v>0</v>
      </c>
      <c r="AP34">
        <v>5.2827500000000001</v>
      </c>
      <c r="AQ34">
        <v>196.40098592962721</v>
      </c>
      <c r="AR34">
        <v>0</v>
      </c>
      <c r="AS34">
        <v>3.077</v>
      </c>
      <c r="AT34">
        <v>0</v>
      </c>
      <c r="AU34">
        <v>0</v>
      </c>
      <c r="AV34">
        <v>6.2305000000000001</v>
      </c>
      <c r="AW34">
        <v>210.99123592962721</v>
      </c>
      <c r="AX34">
        <v>0</v>
      </c>
      <c r="AY34">
        <v>0</v>
      </c>
      <c r="AZ34">
        <v>0</v>
      </c>
      <c r="BA34">
        <v>0</v>
      </c>
      <c r="BB34">
        <v>0</v>
      </c>
      <c r="BC34">
        <v>0</v>
      </c>
      <c r="BD34">
        <v>0</v>
      </c>
      <c r="BE34">
        <v>0</v>
      </c>
      <c r="BF34">
        <v>570.35</v>
      </c>
      <c r="BG34">
        <v>1750.4813783437498</v>
      </c>
      <c r="BH34">
        <v>0</v>
      </c>
      <c r="BI34">
        <v>22</v>
      </c>
      <c r="BJ34">
        <v>0</v>
      </c>
      <c r="BK34">
        <v>0</v>
      </c>
      <c r="BL34">
        <v>17.425000000000001</v>
      </c>
      <c r="BM34">
        <v>2360.1013783437497</v>
      </c>
      <c r="BN34">
        <v>414.375</v>
      </c>
      <c r="BO34">
        <v>1</v>
      </c>
      <c r="BP34">
        <v>0</v>
      </c>
      <c r="BQ34">
        <v>414.375</v>
      </c>
      <c r="BR34">
        <v>0</v>
      </c>
      <c r="BS34">
        <v>0</v>
      </c>
      <c r="BT34">
        <v>0</v>
      </c>
      <c r="BU34">
        <v>0</v>
      </c>
      <c r="BV34">
        <v>414.375</v>
      </c>
      <c r="BW34">
        <v>414.375</v>
      </c>
      <c r="BX34">
        <v>0</v>
      </c>
      <c r="BY34">
        <v>0</v>
      </c>
      <c r="BZ34">
        <v>0</v>
      </c>
      <c r="CA34">
        <v>0</v>
      </c>
      <c r="CB34">
        <v>0</v>
      </c>
      <c r="CC34">
        <v>0</v>
      </c>
      <c r="CD34">
        <v>0</v>
      </c>
      <c r="CE34">
        <v>0</v>
      </c>
      <c r="CF34">
        <v>63.41</v>
      </c>
      <c r="CG34">
        <v>473.30909071874999</v>
      </c>
      <c r="CH34">
        <v>0</v>
      </c>
      <c r="CI34">
        <v>3</v>
      </c>
      <c r="CJ34">
        <v>0</v>
      </c>
      <c r="CK34">
        <v>0</v>
      </c>
      <c r="CL34">
        <v>7.1686874999999999</v>
      </c>
      <c r="CM34">
        <v>546.56878446874998</v>
      </c>
      <c r="CN34">
        <v>0</v>
      </c>
      <c r="CO34">
        <v>0</v>
      </c>
      <c r="CP34">
        <v>0</v>
      </c>
      <c r="CQ34">
        <v>0</v>
      </c>
      <c r="CR34">
        <v>0</v>
      </c>
      <c r="CS34">
        <v>0</v>
      </c>
      <c r="CT34">
        <v>0</v>
      </c>
      <c r="CU34">
        <v>0</v>
      </c>
      <c r="CV34">
        <v>8670</v>
      </c>
      <c r="CW34">
        <v>30263.314575</v>
      </c>
      <c r="CX34">
        <v>0</v>
      </c>
      <c r="CY34">
        <v>348</v>
      </c>
      <c r="CZ34">
        <v>0</v>
      </c>
      <c r="DA34">
        <v>0</v>
      </c>
      <c r="DB34">
        <v>117.26812499999998</v>
      </c>
      <c r="DC34">
        <v>39399.072074999996</v>
      </c>
      <c r="DD34">
        <v>0</v>
      </c>
      <c r="DE34">
        <v>20718.75</v>
      </c>
      <c r="DF34" t="s">
        <v>135</v>
      </c>
      <c r="DG34" t="s">
        <v>135</v>
      </c>
      <c r="DH34">
        <v>0</v>
      </c>
      <c r="DI34">
        <v>0</v>
      </c>
      <c r="DJ34">
        <v>0</v>
      </c>
      <c r="DK34">
        <v>0</v>
      </c>
      <c r="DL34">
        <v>0</v>
      </c>
      <c r="DM34">
        <v>20718.75</v>
      </c>
      <c r="DN34">
        <v>20718.75</v>
      </c>
      <c r="DQ34" t="s">
        <v>135</v>
      </c>
      <c r="DR34" t="s">
        <v>135</v>
      </c>
      <c r="DS34">
        <v>0</v>
      </c>
      <c r="DT34">
        <v>0</v>
      </c>
      <c r="DU34">
        <v>0</v>
      </c>
      <c r="DV34">
        <v>14.166666666666666</v>
      </c>
      <c r="DW34">
        <v>14.166666666666666</v>
      </c>
      <c r="DX34">
        <v>0</v>
      </c>
      <c r="DY34">
        <v>0</v>
      </c>
    </row>
    <row r="35" spans="1:129">
      <c r="A35" t="s">
        <v>1952</v>
      </c>
      <c r="C35" t="s">
        <v>1954</v>
      </c>
      <c r="D35">
        <v>1</v>
      </c>
      <c r="E35" s="195">
        <v>44562</v>
      </c>
      <c r="F35">
        <v>1</v>
      </c>
      <c r="G35">
        <v>3</v>
      </c>
      <c r="H35">
        <v>146</v>
      </c>
      <c r="I35" t="s">
        <v>389</v>
      </c>
      <c r="J35" t="s">
        <v>2008</v>
      </c>
      <c r="K35" t="s">
        <v>45</v>
      </c>
      <c r="M35" t="s">
        <v>246</v>
      </c>
      <c r="N35" t="s">
        <v>726</v>
      </c>
      <c r="O35" t="s">
        <v>727</v>
      </c>
      <c r="P35">
        <v>0</v>
      </c>
      <c r="R35">
        <v>2.4</v>
      </c>
      <c r="S35">
        <v>11.193333333333333</v>
      </c>
      <c r="T35">
        <v>12.5</v>
      </c>
      <c r="U35">
        <v>26.864000000000001</v>
      </c>
      <c r="V35">
        <v>0</v>
      </c>
      <c r="X35">
        <v>50</v>
      </c>
      <c r="Y35" t="s">
        <v>224</v>
      </c>
      <c r="AA35" t="s">
        <v>937</v>
      </c>
      <c r="AH35">
        <v>218.78100000000001</v>
      </c>
      <c r="AI35">
        <v>0</v>
      </c>
      <c r="AJ35">
        <v>0</v>
      </c>
      <c r="AK35">
        <v>218.78100000000001</v>
      </c>
      <c r="AL35">
        <v>12.732708503200012</v>
      </c>
      <c r="AM35">
        <v>56.006775696799153</v>
      </c>
      <c r="AN35">
        <v>0</v>
      </c>
      <c r="AO35">
        <v>0</v>
      </c>
      <c r="AP35">
        <v>0</v>
      </c>
      <c r="AQ35">
        <v>0</v>
      </c>
      <c r="AR35">
        <v>0</v>
      </c>
      <c r="AS35">
        <v>0</v>
      </c>
      <c r="AT35">
        <v>0</v>
      </c>
      <c r="AU35">
        <v>0</v>
      </c>
      <c r="AV35">
        <v>0</v>
      </c>
      <c r="AW35">
        <v>287.52048419999915</v>
      </c>
      <c r="AX35">
        <v>2599.540074</v>
      </c>
      <c r="AY35">
        <v>151.03819720000001</v>
      </c>
      <c r="AZ35">
        <v>164.12860099999997</v>
      </c>
      <c r="BA35">
        <v>2914.7068721999999</v>
      </c>
      <c r="BB35">
        <v>113.4839981848</v>
      </c>
      <c r="BC35">
        <v>620.318280125304</v>
      </c>
      <c r="BD35">
        <v>0</v>
      </c>
      <c r="BE35">
        <v>0</v>
      </c>
      <c r="BF35">
        <v>0</v>
      </c>
      <c r="BG35">
        <v>0</v>
      </c>
      <c r="BH35">
        <v>0</v>
      </c>
      <c r="BI35">
        <v>0</v>
      </c>
      <c r="BJ35">
        <v>0</v>
      </c>
      <c r="BK35">
        <v>0</v>
      </c>
      <c r="BL35">
        <v>0</v>
      </c>
      <c r="BM35">
        <v>3648.5091505101036</v>
      </c>
      <c r="BN35">
        <v>26.864000000000001</v>
      </c>
      <c r="BO35">
        <v>0</v>
      </c>
      <c r="BP35">
        <v>26.864000000000001</v>
      </c>
      <c r="BQ35">
        <v>0</v>
      </c>
      <c r="BR35">
        <v>0</v>
      </c>
      <c r="BS35">
        <v>0</v>
      </c>
      <c r="BT35">
        <v>0</v>
      </c>
      <c r="BU35">
        <v>26.864000000000001</v>
      </c>
      <c r="BV35">
        <v>0</v>
      </c>
      <c r="BW35">
        <v>26.864000000000001</v>
      </c>
      <c r="BX35">
        <v>2099.708052</v>
      </c>
      <c r="BY35">
        <v>31.806488359999999</v>
      </c>
      <c r="BZ35">
        <v>207.8349858</v>
      </c>
      <c r="CA35">
        <v>2339.3495261600001</v>
      </c>
      <c r="CB35">
        <v>30.6847068792</v>
      </c>
      <c r="CC35">
        <v>129.98574223741599</v>
      </c>
      <c r="CD35">
        <v>0</v>
      </c>
      <c r="CE35">
        <v>0</v>
      </c>
      <c r="CF35">
        <v>0</v>
      </c>
      <c r="CG35">
        <v>0</v>
      </c>
      <c r="CH35">
        <v>0</v>
      </c>
      <c r="CI35">
        <v>0</v>
      </c>
      <c r="CJ35">
        <v>0</v>
      </c>
      <c r="CK35">
        <v>0</v>
      </c>
      <c r="CL35">
        <v>0</v>
      </c>
      <c r="CM35">
        <v>2500.0199752766162</v>
      </c>
      <c r="CN35">
        <v>3131.8180147200001</v>
      </c>
      <c r="CO35">
        <v>457.30503921600001</v>
      </c>
      <c r="CP35">
        <v>495.20404508799999</v>
      </c>
      <c r="CQ35">
        <v>4084.3270990239994</v>
      </c>
      <c r="CR35">
        <v>1961.97570496</v>
      </c>
      <c r="CS35">
        <v>8256.1738188459203</v>
      </c>
      <c r="CT35">
        <v>0</v>
      </c>
      <c r="CU35">
        <v>0</v>
      </c>
      <c r="CV35">
        <v>0</v>
      </c>
      <c r="CW35">
        <v>0</v>
      </c>
      <c r="CX35">
        <v>0</v>
      </c>
      <c r="CY35">
        <v>0</v>
      </c>
      <c r="CZ35">
        <v>0</v>
      </c>
      <c r="DA35">
        <v>0</v>
      </c>
      <c r="DB35">
        <v>0</v>
      </c>
      <c r="DC35">
        <v>14302.47662282992</v>
      </c>
      <c r="DD35">
        <v>1343.2</v>
      </c>
      <c r="DE35">
        <v>0</v>
      </c>
      <c r="DF35" t="s">
        <v>135</v>
      </c>
      <c r="DG35" t="s">
        <v>135</v>
      </c>
      <c r="DH35">
        <v>0</v>
      </c>
      <c r="DI35">
        <v>0</v>
      </c>
      <c r="DJ35">
        <v>0</v>
      </c>
      <c r="DK35">
        <v>0</v>
      </c>
      <c r="DL35">
        <v>0</v>
      </c>
      <c r="DM35">
        <v>1343.2</v>
      </c>
      <c r="DN35">
        <v>1343.2</v>
      </c>
      <c r="DQ35" t="s">
        <v>135</v>
      </c>
      <c r="DR35" t="s">
        <v>135</v>
      </c>
      <c r="DS35">
        <v>0</v>
      </c>
      <c r="DT35">
        <v>0</v>
      </c>
      <c r="DU35">
        <v>0</v>
      </c>
      <c r="DV35">
        <v>11.68</v>
      </c>
      <c r="DW35">
        <v>11.68</v>
      </c>
      <c r="DX35">
        <v>1.4984999999999999</v>
      </c>
      <c r="DY35">
        <v>19.9637457</v>
      </c>
    </row>
    <row r="36" spans="1:129">
      <c r="A36" t="s">
        <v>1952</v>
      </c>
      <c r="C36" t="s">
        <v>1954</v>
      </c>
      <c r="D36">
        <v>1</v>
      </c>
      <c r="E36" s="195">
        <v>44562</v>
      </c>
      <c r="F36">
        <v>1</v>
      </c>
      <c r="G36">
        <v>3</v>
      </c>
      <c r="H36">
        <v>576</v>
      </c>
      <c r="I36" t="s">
        <v>389</v>
      </c>
      <c r="J36" t="s">
        <v>2009</v>
      </c>
      <c r="K36" t="s">
        <v>45</v>
      </c>
      <c r="M36" t="s">
        <v>246</v>
      </c>
      <c r="N36" t="s">
        <v>726</v>
      </c>
      <c r="O36" t="s">
        <v>727</v>
      </c>
      <c r="P36">
        <v>0</v>
      </c>
      <c r="R36">
        <v>2.4</v>
      </c>
      <c r="S36">
        <v>44.16</v>
      </c>
      <c r="T36">
        <v>12.5</v>
      </c>
      <c r="U36">
        <v>105.98399999999999</v>
      </c>
      <c r="V36">
        <v>0</v>
      </c>
      <c r="X36">
        <v>50</v>
      </c>
      <c r="Y36" t="s">
        <v>224</v>
      </c>
      <c r="AA36" t="s">
        <v>937</v>
      </c>
      <c r="AH36">
        <v>863.13599999999997</v>
      </c>
      <c r="AI36">
        <v>0</v>
      </c>
      <c r="AJ36">
        <v>0</v>
      </c>
      <c r="AK36">
        <v>863.13599999999997</v>
      </c>
      <c r="AL36">
        <v>50.233151355090456</v>
      </c>
      <c r="AM36">
        <v>220.95823836545418</v>
      </c>
      <c r="AN36">
        <v>0</v>
      </c>
      <c r="AO36">
        <v>0</v>
      </c>
      <c r="AP36">
        <v>0</v>
      </c>
      <c r="AQ36">
        <v>0</v>
      </c>
      <c r="AR36">
        <v>0</v>
      </c>
      <c r="AS36">
        <v>0</v>
      </c>
      <c r="AT36">
        <v>0</v>
      </c>
      <c r="AU36">
        <v>0</v>
      </c>
      <c r="AV36">
        <v>0</v>
      </c>
      <c r="AW36">
        <v>1134.3273897205447</v>
      </c>
      <c r="AX36">
        <v>10255.719744</v>
      </c>
      <c r="AY36">
        <v>595.87672320000001</v>
      </c>
      <c r="AZ36">
        <v>647.52105599999993</v>
      </c>
      <c r="BA36">
        <v>11499.117523200001</v>
      </c>
      <c r="BB36">
        <v>447.71769146879996</v>
      </c>
      <c r="BC36">
        <v>2447.2830777546242</v>
      </c>
      <c r="BD36">
        <v>0</v>
      </c>
      <c r="BE36">
        <v>0</v>
      </c>
      <c r="BF36">
        <v>0</v>
      </c>
      <c r="BG36">
        <v>0</v>
      </c>
      <c r="BH36">
        <v>0</v>
      </c>
      <c r="BI36">
        <v>0</v>
      </c>
      <c r="BJ36">
        <v>0</v>
      </c>
      <c r="BK36">
        <v>0</v>
      </c>
      <c r="BL36">
        <v>0</v>
      </c>
      <c r="BM36">
        <v>14394.118292423425</v>
      </c>
      <c r="BN36">
        <v>105.98399999999999</v>
      </c>
      <c r="BO36">
        <v>0</v>
      </c>
      <c r="BP36">
        <v>105.98399999999999</v>
      </c>
      <c r="BQ36">
        <v>0</v>
      </c>
      <c r="BR36">
        <v>0</v>
      </c>
      <c r="BS36">
        <v>0</v>
      </c>
      <c r="BT36">
        <v>0</v>
      </c>
      <c r="BU36">
        <v>105.98399999999999</v>
      </c>
      <c r="BV36">
        <v>0</v>
      </c>
      <c r="BW36">
        <v>105.98399999999999</v>
      </c>
      <c r="BX36">
        <v>8283.7797119999996</v>
      </c>
      <c r="BY36">
        <v>125.48313216</v>
      </c>
      <c r="BZ36">
        <v>819.95172479999997</v>
      </c>
      <c r="CA36">
        <v>9229.2145689600002</v>
      </c>
      <c r="CB36">
        <v>121.05747371519999</v>
      </c>
      <c r="CC36">
        <v>512.82046252569592</v>
      </c>
      <c r="CD36">
        <v>0</v>
      </c>
      <c r="CE36">
        <v>0</v>
      </c>
      <c r="CF36">
        <v>0</v>
      </c>
      <c r="CG36">
        <v>0</v>
      </c>
      <c r="CH36">
        <v>0</v>
      </c>
      <c r="CI36">
        <v>0</v>
      </c>
      <c r="CJ36">
        <v>0</v>
      </c>
      <c r="CK36">
        <v>0</v>
      </c>
      <c r="CL36">
        <v>0</v>
      </c>
      <c r="CM36">
        <v>9863.092505200897</v>
      </c>
      <c r="CN36">
        <v>12355.66559232</v>
      </c>
      <c r="CO36">
        <v>1804.1623464959998</v>
      </c>
      <c r="CP36">
        <v>1953.6817121279998</v>
      </c>
      <c r="CQ36">
        <v>16113.509650943997</v>
      </c>
      <c r="CR36">
        <v>7740.3973017600001</v>
      </c>
      <c r="CS36">
        <v>32572.302189419519</v>
      </c>
      <c r="CT36">
        <v>0</v>
      </c>
      <c r="CU36">
        <v>0</v>
      </c>
      <c r="CV36">
        <v>0</v>
      </c>
      <c r="CW36">
        <v>0</v>
      </c>
      <c r="CX36">
        <v>0</v>
      </c>
      <c r="CY36">
        <v>0</v>
      </c>
      <c r="CZ36">
        <v>0</v>
      </c>
      <c r="DA36">
        <v>0</v>
      </c>
      <c r="DB36">
        <v>0</v>
      </c>
      <c r="DC36">
        <v>56426.209142123516</v>
      </c>
      <c r="DD36">
        <v>5299.2</v>
      </c>
      <c r="DE36">
        <v>0</v>
      </c>
      <c r="DF36" t="s">
        <v>135</v>
      </c>
      <c r="DG36" t="s">
        <v>135</v>
      </c>
      <c r="DH36">
        <v>0</v>
      </c>
      <c r="DI36">
        <v>0</v>
      </c>
      <c r="DJ36">
        <v>0</v>
      </c>
      <c r="DK36">
        <v>0</v>
      </c>
      <c r="DL36">
        <v>0</v>
      </c>
      <c r="DM36">
        <v>5299.2</v>
      </c>
      <c r="DN36">
        <v>5299.2</v>
      </c>
      <c r="DQ36" t="s">
        <v>135</v>
      </c>
      <c r="DR36" t="s">
        <v>135</v>
      </c>
      <c r="DS36">
        <v>0</v>
      </c>
      <c r="DT36">
        <v>0</v>
      </c>
      <c r="DU36">
        <v>0</v>
      </c>
      <c r="DV36">
        <v>46.08</v>
      </c>
      <c r="DW36">
        <v>46.08</v>
      </c>
      <c r="DX36">
        <v>1.4984999999999999</v>
      </c>
      <c r="DY36">
        <v>19.9637457</v>
      </c>
    </row>
    <row r="37" spans="1:129">
      <c r="A37" t="s">
        <v>1952</v>
      </c>
      <c r="C37" t="s">
        <v>1954</v>
      </c>
      <c r="D37">
        <v>1</v>
      </c>
      <c r="E37" s="195">
        <v>44562</v>
      </c>
      <c r="F37">
        <v>1</v>
      </c>
      <c r="G37">
        <v>3</v>
      </c>
      <c r="H37">
        <v>192</v>
      </c>
      <c r="I37" t="s">
        <v>389</v>
      </c>
      <c r="J37" t="s">
        <v>2010</v>
      </c>
      <c r="K37" t="s">
        <v>45</v>
      </c>
      <c r="M37" t="s">
        <v>246</v>
      </c>
      <c r="N37" t="s">
        <v>254</v>
      </c>
      <c r="O37" t="s">
        <v>727</v>
      </c>
      <c r="P37">
        <v>0</v>
      </c>
      <c r="R37">
        <v>2.4</v>
      </c>
      <c r="S37">
        <v>26.24</v>
      </c>
      <c r="T37">
        <v>12.5</v>
      </c>
      <c r="U37">
        <v>62.975999999999992</v>
      </c>
      <c r="V37">
        <v>0</v>
      </c>
      <c r="X37">
        <v>50</v>
      </c>
      <c r="Y37" t="s">
        <v>224</v>
      </c>
      <c r="AA37" t="s">
        <v>937</v>
      </c>
      <c r="AH37">
        <v>518.40000000000009</v>
      </c>
      <c r="AI37">
        <v>0</v>
      </c>
      <c r="AJ37">
        <v>0</v>
      </c>
      <c r="AK37">
        <v>518.40000000000009</v>
      </c>
      <c r="AL37">
        <v>29.848684138532011</v>
      </c>
      <c r="AM37">
        <v>80.966515132423126</v>
      </c>
      <c r="AN37">
        <v>0</v>
      </c>
      <c r="AO37">
        <v>0</v>
      </c>
      <c r="AP37">
        <v>0</v>
      </c>
      <c r="AQ37">
        <v>0</v>
      </c>
      <c r="AR37">
        <v>0</v>
      </c>
      <c r="AS37">
        <v>0</v>
      </c>
      <c r="AT37">
        <v>0</v>
      </c>
      <c r="AU37">
        <v>0</v>
      </c>
      <c r="AV37">
        <v>0</v>
      </c>
      <c r="AW37">
        <v>629.21519927095528</v>
      </c>
      <c r="AX37">
        <v>6179.6000640000002</v>
      </c>
      <c r="AY37">
        <v>439.28785919999996</v>
      </c>
      <c r="AZ37">
        <v>389.63389440000003</v>
      </c>
      <c r="BA37">
        <v>7008.5218175999998</v>
      </c>
      <c r="BB37">
        <v>266.03515000319993</v>
      </c>
      <c r="BC37">
        <v>914.52938279961597</v>
      </c>
      <c r="BD37">
        <v>0</v>
      </c>
      <c r="BE37">
        <v>0</v>
      </c>
      <c r="BF37">
        <v>0</v>
      </c>
      <c r="BG37">
        <v>0</v>
      </c>
      <c r="BH37">
        <v>0</v>
      </c>
      <c r="BI37">
        <v>0</v>
      </c>
      <c r="BJ37">
        <v>0</v>
      </c>
      <c r="BK37">
        <v>0</v>
      </c>
      <c r="BL37">
        <v>0</v>
      </c>
      <c r="BM37">
        <v>8189.0863504028157</v>
      </c>
      <c r="BN37">
        <v>62.975999999999992</v>
      </c>
      <c r="BO37">
        <v>0</v>
      </c>
      <c r="BP37">
        <v>62.975999999999992</v>
      </c>
      <c r="BQ37">
        <v>0</v>
      </c>
      <c r="BR37">
        <v>0</v>
      </c>
      <c r="BS37">
        <v>0</v>
      </c>
      <c r="BT37">
        <v>0</v>
      </c>
      <c r="BU37">
        <v>62.975999999999992</v>
      </c>
      <c r="BV37">
        <v>0</v>
      </c>
      <c r="BW37">
        <v>62.975999999999992</v>
      </c>
      <c r="BX37">
        <v>4993.2696960000003</v>
      </c>
      <c r="BY37">
        <v>92.507752319999994</v>
      </c>
      <c r="BZ37">
        <v>493.3908672</v>
      </c>
      <c r="CA37">
        <v>5579.1683155200008</v>
      </c>
      <c r="CB37">
        <v>71.932701772799987</v>
      </c>
      <c r="CC37">
        <v>246.97046426726399</v>
      </c>
      <c r="CD37">
        <v>0</v>
      </c>
      <c r="CE37">
        <v>0</v>
      </c>
      <c r="CF37">
        <v>0</v>
      </c>
      <c r="CG37">
        <v>0</v>
      </c>
      <c r="CH37">
        <v>0</v>
      </c>
      <c r="CI37">
        <v>0</v>
      </c>
      <c r="CJ37">
        <v>0</v>
      </c>
      <c r="CK37">
        <v>0</v>
      </c>
      <c r="CL37">
        <v>0</v>
      </c>
      <c r="CM37">
        <v>5898.071481560065</v>
      </c>
      <c r="CN37">
        <v>13335.597496319999</v>
      </c>
      <c r="CO37">
        <v>2370.9609415679997</v>
      </c>
      <c r="CP37">
        <v>2095.6206120960001</v>
      </c>
      <c r="CQ37">
        <v>17802.179049983999</v>
      </c>
      <c r="CR37">
        <v>4599.3665126399992</v>
      </c>
      <c r="CS37">
        <v>11290.941360491519</v>
      </c>
      <c r="CT37">
        <v>0</v>
      </c>
      <c r="CU37">
        <v>0</v>
      </c>
      <c r="CV37">
        <v>0</v>
      </c>
      <c r="CW37">
        <v>0</v>
      </c>
      <c r="CX37">
        <v>0</v>
      </c>
      <c r="CY37">
        <v>0</v>
      </c>
      <c r="CZ37">
        <v>0</v>
      </c>
      <c r="DA37">
        <v>0</v>
      </c>
      <c r="DB37">
        <v>0</v>
      </c>
      <c r="DC37">
        <v>33692.486923115517</v>
      </c>
      <c r="DD37">
        <v>3148.7999999999997</v>
      </c>
      <c r="DE37">
        <v>0</v>
      </c>
      <c r="DF37" t="s">
        <v>135</v>
      </c>
      <c r="DG37" t="s">
        <v>135</v>
      </c>
      <c r="DH37">
        <v>0</v>
      </c>
      <c r="DI37">
        <v>0</v>
      </c>
      <c r="DJ37">
        <v>0</v>
      </c>
      <c r="DK37">
        <v>0</v>
      </c>
      <c r="DL37">
        <v>0</v>
      </c>
      <c r="DM37">
        <v>3148.7999999999997</v>
      </c>
      <c r="DN37">
        <v>3148.7999999999997</v>
      </c>
      <c r="DQ37" t="s">
        <v>135</v>
      </c>
      <c r="DR37" t="s">
        <v>135</v>
      </c>
      <c r="DS37">
        <v>0</v>
      </c>
      <c r="DT37">
        <v>0</v>
      </c>
      <c r="DU37">
        <v>0</v>
      </c>
      <c r="DV37">
        <v>15.36</v>
      </c>
      <c r="DW37">
        <v>15.36</v>
      </c>
      <c r="DX37">
        <v>2.7000000000000006</v>
      </c>
      <c r="DY37">
        <v>36.502717799999999</v>
      </c>
    </row>
    <row r="38" spans="1:129">
      <c r="A38" t="s">
        <v>1952</v>
      </c>
      <c r="C38" t="s">
        <v>1954</v>
      </c>
      <c r="D38">
        <v>1</v>
      </c>
      <c r="E38" s="195">
        <v>44562</v>
      </c>
      <c r="F38">
        <v>1</v>
      </c>
      <c r="G38">
        <v>3</v>
      </c>
      <c r="H38">
        <v>17</v>
      </c>
      <c r="I38" t="s">
        <v>389</v>
      </c>
      <c r="J38" t="s">
        <v>2011</v>
      </c>
      <c r="K38" t="s">
        <v>45</v>
      </c>
      <c r="M38" t="s">
        <v>246</v>
      </c>
      <c r="N38" t="s">
        <v>254</v>
      </c>
      <c r="O38" t="s">
        <v>727</v>
      </c>
      <c r="P38">
        <v>0</v>
      </c>
      <c r="R38">
        <v>2.4</v>
      </c>
      <c r="S38">
        <v>2.3233333333333333</v>
      </c>
      <c r="T38">
        <v>12.5</v>
      </c>
      <c r="U38">
        <v>5.5759999999999996</v>
      </c>
      <c r="V38">
        <v>0</v>
      </c>
      <c r="X38">
        <v>50</v>
      </c>
      <c r="Y38" t="s">
        <v>224</v>
      </c>
      <c r="AA38" t="s">
        <v>937</v>
      </c>
      <c r="AH38">
        <v>45.900000000000006</v>
      </c>
      <c r="AI38">
        <v>0</v>
      </c>
      <c r="AJ38">
        <v>0</v>
      </c>
      <c r="AK38">
        <v>45.900000000000006</v>
      </c>
      <c r="AL38">
        <v>2.6428522414325215</v>
      </c>
      <c r="AM38">
        <v>7.1689101940166315</v>
      </c>
      <c r="AN38">
        <v>0</v>
      </c>
      <c r="AO38">
        <v>0</v>
      </c>
      <c r="AP38">
        <v>0</v>
      </c>
      <c r="AQ38">
        <v>0</v>
      </c>
      <c r="AR38">
        <v>0</v>
      </c>
      <c r="AS38">
        <v>0</v>
      </c>
      <c r="AT38">
        <v>0</v>
      </c>
      <c r="AU38">
        <v>0</v>
      </c>
      <c r="AV38">
        <v>0</v>
      </c>
      <c r="AW38">
        <v>55.71176243544916</v>
      </c>
      <c r="AX38">
        <v>547.15208900000005</v>
      </c>
      <c r="AY38">
        <v>38.895279199999997</v>
      </c>
      <c r="AZ38">
        <v>34.4988344</v>
      </c>
      <c r="BA38">
        <v>620.54620260000002</v>
      </c>
      <c r="BB38">
        <v>23.555195573199995</v>
      </c>
      <c r="BC38">
        <v>80.973955768715996</v>
      </c>
      <c r="BD38">
        <v>0</v>
      </c>
      <c r="BE38">
        <v>0</v>
      </c>
      <c r="BF38">
        <v>0</v>
      </c>
      <c r="BG38">
        <v>0</v>
      </c>
      <c r="BH38">
        <v>0</v>
      </c>
      <c r="BI38">
        <v>0</v>
      </c>
      <c r="BJ38">
        <v>0</v>
      </c>
      <c r="BK38">
        <v>0</v>
      </c>
      <c r="BL38">
        <v>0</v>
      </c>
      <c r="BM38">
        <v>725.07535394191598</v>
      </c>
      <c r="BN38">
        <v>5.5759999999999996</v>
      </c>
      <c r="BO38">
        <v>0</v>
      </c>
      <c r="BP38">
        <v>5.5759999999999996</v>
      </c>
      <c r="BQ38">
        <v>0</v>
      </c>
      <c r="BR38">
        <v>0</v>
      </c>
      <c r="BS38">
        <v>0</v>
      </c>
      <c r="BT38">
        <v>0</v>
      </c>
      <c r="BU38">
        <v>5.5759999999999996</v>
      </c>
      <c r="BV38">
        <v>0</v>
      </c>
      <c r="BW38">
        <v>5.5759999999999996</v>
      </c>
      <c r="BX38">
        <v>442.11242100000004</v>
      </c>
      <c r="BY38">
        <v>8.190790569999999</v>
      </c>
      <c r="BZ38">
        <v>43.685649699999999</v>
      </c>
      <c r="CA38">
        <v>493.98886127000003</v>
      </c>
      <c r="CB38">
        <v>6.3690413027999986</v>
      </c>
      <c r="CC38">
        <v>21.867176523664</v>
      </c>
      <c r="CD38">
        <v>0</v>
      </c>
      <c r="CE38">
        <v>0</v>
      </c>
      <c r="CF38">
        <v>0</v>
      </c>
      <c r="CG38">
        <v>0</v>
      </c>
      <c r="CH38">
        <v>0</v>
      </c>
      <c r="CI38">
        <v>0</v>
      </c>
      <c r="CJ38">
        <v>0</v>
      </c>
      <c r="CK38">
        <v>0</v>
      </c>
      <c r="CL38">
        <v>0</v>
      </c>
      <c r="CM38">
        <v>522.22507909646401</v>
      </c>
      <c r="CN38">
        <v>1180.75602832</v>
      </c>
      <c r="CO38">
        <v>209.92883336799997</v>
      </c>
      <c r="CP38">
        <v>185.54974169599998</v>
      </c>
      <c r="CQ38">
        <v>1576.2346033839999</v>
      </c>
      <c r="CR38">
        <v>407.23557663999992</v>
      </c>
      <c r="CS38">
        <v>999.71876629352005</v>
      </c>
      <c r="CT38">
        <v>0</v>
      </c>
      <c r="CU38">
        <v>0</v>
      </c>
      <c r="CV38">
        <v>0</v>
      </c>
      <c r="CW38">
        <v>0</v>
      </c>
      <c r="CX38">
        <v>0</v>
      </c>
      <c r="CY38">
        <v>0</v>
      </c>
      <c r="CZ38">
        <v>0</v>
      </c>
      <c r="DA38">
        <v>0</v>
      </c>
      <c r="DB38">
        <v>0</v>
      </c>
      <c r="DC38">
        <v>2983.1889463175198</v>
      </c>
      <c r="DD38">
        <v>278.79999999999995</v>
      </c>
      <c r="DE38">
        <v>0</v>
      </c>
      <c r="DF38" t="s">
        <v>135</v>
      </c>
      <c r="DG38" t="s">
        <v>135</v>
      </c>
      <c r="DH38">
        <v>0</v>
      </c>
      <c r="DI38">
        <v>0</v>
      </c>
      <c r="DJ38">
        <v>0</v>
      </c>
      <c r="DK38">
        <v>0</v>
      </c>
      <c r="DL38">
        <v>0</v>
      </c>
      <c r="DM38">
        <v>278.79999999999995</v>
      </c>
      <c r="DN38">
        <v>278.79999999999995</v>
      </c>
      <c r="DQ38" t="s">
        <v>135</v>
      </c>
      <c r="DR38" t="s">
        <v>135</v>
      </c>
      <c r="DS38">
        <v>0</v>
      </c>
      <c r="DT38">
        <v>0</v>
      </c>
      <c r="DU38">
        <v>0</v>
      </c>
      <c r="DV38">
        <v>1.36</v>
      </c>
      <c r="DW38">
        <v>1.36</v>
      </c>
      <c r="DX38">
        <v>2.7</v>
      </c>
      <c r="DY38">
        <v>36.502717799999999</v>
      </c>
    </row>
    <row r="39" spans="1:129">
      <c r="A39" t="s">
        <v>1952</v>
      </c>
      <c r="C39" t="s">
        <v>1954</v>
      </c>
      <c r="D39">
        <v>1</v>
      </c>
      <c r="E39" s="195">
        <v>44562</v>
      </c>
      <c r="F39">
        <v>1</v>
      </c>
      <c r="G39">
        <v>3</v>
      </c>
      <c r="H39">
        <v>277</v>
      </c>
      <c r="I39" t="s">
        <v>389</v>
      </c>
      <c r="J39" t="s">
        <v>2012</v>
      </c>
      <c r="K39" t="s">
        <v>45</v>
      </c>
      <c r="M39" t="s">
        <v>246</v>
      </c>
      <c r="N39" t="s">
        <v>254</v>
      </c>
      <c r="O39" t="s">
        <v>727</v>
      </c>
      <c r="P39">
        <v>0</v>
      </c>
      <c r="R39">
        <v>2.4</v>
      </c>
      <c r="S39">
        <v>37.856666666666669</v>
      </c>
      <c r="T39">
        <v>12.5</v>
      </c>
      <c r="U39">
        <v>90.855999999999995</v>
      </c>
      <c r="V39">
        <v>0</v>
      </c>
      <c r="X39">
        <v>50</v>
      </c>
      <c r="Y39" t="s">
        <v>224</v>
      </c>
      <c r="AA39" t="s">
        <v>937</v>
      </c>
      <c r="AH39">
        <v>747.90000000000009</v>
      </c>
      <c r="AI39">
        <v>0</v>
      </c>
      <c r="AJ39">
        <v>0</v>
      </c>
      <c r="AK39">
        <v>747.90000000000009</v>
      </c>
      <c r="AL39">
        <v>43.062945345694615</v>
      </c>
      <c r="AM39">
        <v>116.81106610250629</v>
      </c>
      <c r="AN39">
        <v>0</v>
      </c>
      <c r="AO39">
        <v>0</v>
      </c>
      <c r="AP39">
        <v>0</v>
      </c>
      <c r="AQ39">
        <v>0</v>
      </c>
      <c r="AR39">
        <v>0</v>
      </c>
      <c r="AS39">
        <v>0</v>
      </c>
      <c r="AT39">
        <v>0</v>
      </c>
      <c r="AU39">
        <v>0</v>
      </c>
      <c r="AV39">
        <v>0</v>
      </c>
      <c r="AW39">
        <v>907.77401144820101</v>
      </c>
      <c r="AX39">
        <v>8915.3605090000001</v>
      </c>
      <c r="AY39">
        <v>633.76425519999998</v>
      </c>
      <c r="AZ39">
        <v>562.12806639999997</v>
      </c>
      <c r="BA39">
        <v>10111.2528306</v>
      </c>
      <c r="BB39">
        <v>383.81112786919994</v>
      </c>
      <c r="BC39">
        <v>1319.3991616431958</v>
      </c>
      <c r="BD39">
        <v>0</v>
      </c>
      <c r="BE39">
        <v>0</v>
      </c>
      <c r="BF39">
        <v>0</v>
      </c>
      <c r="BG39">
        <v>0</v>
      </c>
      <c r="BH39">
        <v>0</v>
      </c>
      <c r="BI39">
        <v>0</v>
      </c>
      <c r="BJ39">
        <v>0</v>
      </c>
      <c r="BK39">
        <v>0</v>
      </c>
      <c r="BL39">
        <v>0</v>
      </c>
      <c r="BM39">
        <v>11814.463120112396</v>
      </c>
      <c r="BN39">
        <v>90.855999999999995</v>
      </c>
      <c r="BO39">
        <v>0</v>
      </c>
      <c r="BP39">
        <v>90.855999999999995</v>
      </c>
      <c r="BQ39">
        <v>0</v>
      </c>
      <c r="BR39">
        <v>0</v>
      </c>
      <c r="BS39">
        <v>0</v>
      </c>
      <c r="BT39">
        <v>0</v>
      </c>
      <c r="BU39">
        <v>90.855999999999995</v>
      </c>
      <c r="BV39">
        <v>0</v>
      </c>
      <c r="BW39">
        <v>90.855999999999995</v>
      </c>
      <c r="BX39">
        <v>7203.8318010000003</v>
      </c>
      <c r="BY39">
        <v>133.46170516999999</v>
      </c>
      <c r="BZ39">
        <v>711.8191157</v>
      </c>
      <c r="CA39">
        <v>8049.112621870001</v>
      </c>
      <c r="CB39">
        <v>103.77790828679998</v>
      </c>
      <c r="CC39">
        <v>356.30634688558399</v>
      </c>
      <c r="CD39">
        <v>0</v>
      </c>
      <c r="CE39">
        <v>0</v>
      </c>
      <c r="CF39">
        <v>0</v>
      </c>
      <c r="CG39">
        <v>0</v>
      </c>
      <c r="CH39">
        <v>0</v>
      </c>
      <c r="CI39">
        <v>0</v>
      </c>
      <c r="CJ39">
        <v>0</v>
      </c>
      <c r="CK39">
        <v>0</v>
      </c>
      <c r="CL39">
        <v>0</v>
      </c>
      <c r="CM39">
        <v>8509.1968770423846</v>
      </c>
      <c r="CN39">
        <v>19239.377637919999</v>
      </c>
      <c r="CO39">
        <v>3420.605108408</v>
      </c>
      <c r="CP39">
        <v>3023.3693205760001</v>
      </c>
      <c r="CQ39">
        <v>25683.352066904001</v>
      </c>
      <c r="CR39">
        <v>6635.5443958399992</v>
      </c>
      <c r="CS39">
        <v>16289.535191959119</v>
      </c>
      <c r="CT39">
        <v>0</v>
      </c>
      <c r="CU39">
        <v>0</v>
      </c>
      <c r="CV39">
        <v>0</v>
      </c>
      <c r="CW39">
        <v>0</v>
      </c>
      <c r="CX39">
        <v>0</v>
      </c>
      <c r="CY39">
        <v>0</v>
      </c>
      <c r="CZ39">
        <v>0</v>
      </c>
      <c r="DA39">
        <v>0</v>
      </c>
      <c r="DB39">
        <v>0</v>
      </c>
      <c r="DC39">
        <v>48608.431654703119</v>
      </c>
      <c r="DD39">
        <v>4542.7999999999993</v>
      </c>
      <c r="DE39">
        <v>0</v>
      </c>
      <c r="DF39" t="s">
        <v>135</v>
      </c>
      <c r="DG39" t="s">
        <v>135</v>
      </c>
      <c r="DH39">
        <v>0</v>
      </c>
      <c r="DI39">
        <v>0</v>
      </c>
      <c r="DJ39">
        <v>0</v>
      </c>
      <c r="DK39">
        <v>0</v>
      </c>
      <c r="DL39">
        <v>0</v>
      </c>
      <c r="DM39">
        <v>4542.7999999999993</v>
      </c>
      <c r="DN39">
        <v>4542.7999999999993</v>
      </c>
      <c r="DQ39" t="s">
        <v>135</v>
      </c>
      <c r="DR39" t="s">
        <v>135</v>
      </c>
      <c r="DS39">
        <v>0</v>
      </c>
      <c r="DT39">
        <v>0</v>
      </c>
      <c r="DU39">
        <v>0</v>
      </c>
      <c r="DV39">
        <v>22.16</v>
      </c>
      <c r="DW39">
        <v>22.16</v>
      </c>
      <c r="DX39">
        <v>2.7</v>
      </c>
      <c r="DY39">
        <v>36.502717799999999</v>
      </c>
    </row>
    <row r="40" spans="1:129">
      <c r="A40" t="s">
        <v>1952</v>
      </c>
      <c r="C40" t="s">
        <v>1954</v>
      </c>
      <c r="D40">
        <v>1</v>
      </c>
      <c r="E40" s="195">
        <v>44562</v>
      </c>
      <c r="F40">
        <v>1</v>
      </c>
      <c r="G40">
        <v>3</v>
      </c>
      <c r="H40">
        <v>236</v>
      </c>
      <c r="I40" t="s">
        <v>666</v>
      </c>
      <c r="J40" t="s">
        <v>2013</v>
      </c>
      <c r="K40" t="s">
        <v>39</v>
      </c>
      <c r="M40" t="s">
        <v>40</v>
      </c>
      <c r="N40" t="s">
        <v>41</v>
      </c>
      <c r="O40" t="s">
        <v>769</v>
      </c>
      <c r="P40">
        <v>0</v>
      </c>
      <c r="R40">
        <v>1.625</v>
      </c>
      <c r="S40">
        <v>236</v>
      </c>
      <c r="U40">
        <v>383.5</v>
      </c>
      <c r="V40">
        <v>0</v>
      </c>
      <c r="W40">
        <v>60</v>
      </c>
      <c r="AC40" t="s">
        <v>937</v>
      </c>
      <c r="AD40">
        <v>50</v>
      </c>
      <c r="AE40" t="s">
        <v>224</v>
      </c>
      <c r="AH40">
        <v>0</v>
      </c>
      <c r="AI40">
        <v>0</v>
      </c>
      <c r="AJ40">
        <v>0</v>
      </c>
      <c r="AK40">
        <v>0</v>
      </c>
      <c r="AL40">
        <v>0</v>
      </c>
      <c r="AM40">
        <v>0</v>
      </c>
      <c r="AN40">
        <v>0</v>
      </c>
      <c r="AO40">
        <v>0</v>
      </c>
      <c r="AP40">
        <v>16.973119999999998</v>
      </c>
      <c r="AQ40">
        <v>181.76718697800791</v>
      </c>
      <c r="AR40">
        <v>0</v>
      </c>
      <c r="AS40">
        <v>2.8508800000000001</v>
      </c>
      <c r="AT40">
        <v>0</v>
      </c>
      <c r="AU40">
        <v>0</v>
      </c>
      <c r="AV40">
        <v>0</v>
      </c>
      <c r="AW40">
        <v>201.5911869780079</v>
      </c>
      <c r="AX40">
        <v>0</v>
      </c>
      <c r="AY40">
        <v>0</v>
      </c>
      <c r="AZ40">
        <v>0</v>
      </c>
      <c r="BA40">
        <v>0</v>
      </c>
      <c r="BB40">
        <v>0</v>
      </c>
      <c r="BC40">
        <v>0</v>
      </c>
      <c r="BD40">
        <v>0</v>
      </c>
      <c r="BE40">
        <v>0</v>
      </c>
      <c r="BF40">
        <v>183.17569968399999</v>
      </c>
      <c r="BG40">
        <v>1620.0533540749998</v>
      </c>
      <c r="BH40">
        <v>0</v>
      </c>
      <c r="BI40">
        <v>21</v>
      </c>
      <c r="BJ40">
        <v>0</v>
      </c>
      <c r="BK40">
        <v>0</v>
      </c>
      <c r="BL40">
        <v>0</v>
      </c>
      <c r="BM40">
        <v>1824.4690537589997</v>
      </c>
      <c r="BN40">
        <v>383.5</v>
      </c>
      <c r="BO40">
        <v>1</v>
      </c>
      <c r="BP40">
        <v>0</v>
      </c>
      <c r="BQ40">
        <v>383.5</v>
      </c>
      <c r="BR40">
        <v>0</v>
      </c>
      <c r="BS40">
        <v>0</v>
      </c>
      <c r="BT40">
        <v>0</v>
      </c>
      <c r="BU40">
        <v>0</v>
      </c>
      <c r="BV40">
        <v>383.5</v>
      </c>
      <c r="BW40">
        <v>383.5</v>
      </c>
      <c r="BX40">
        <v>0</v>
      </c>
      <c r="BY40">
        <v>0</v>
      </c>
      <c r="BZ40">
        <v>0</v>
      </c>
      <c r="CA40">
        <v>0</v>
      </c>
      <c r="CB40">
        <v>0</v>
      </c>
      <c r="CC40">
        <v>0</v>
      </c>
      <c r="CD40">
        <v>0</v>
      </c>
      <c r="CE40">
        <v>0</v>
      </c>
      <c r="CF40">
        <v>0</v>
      </c>
      <c r="CG40">
        <v>438.042923175</v>
      </c>
      <c r="CH40">
        <v>0</v>
      </c>
      <c r="CI40">
        <v>8</v>
      </c>
      <c r="CJ40">
        <v>0</v>
      </c>
      <c r="CK40">
        <v>0</v>
      </c>
      <c r="CL40">
        <v>0</v>
      </c>
      <c r="CM40">
        <v>446.32652317499998</v>
      </c>
      <c r="CN40">
        <v>0</v>
      </c>
      <c r="CO40">
        <v>0</v>
      </c>
      <c r="CP40">
        <v>0</v>
      </c>
      <c r="CQ40">
        <v>0</v>
      </c>
      <c r="CR40">
        <v>0</v>
      </c>
      <c r="CS40">
        <v>0</v>
      </c>
      <c r="CT40">
        <v>0</v>
      </c>
      <c r="CU40">
        <v>0</v>
      </c>
      <c r="CV40">
        <v>0</v>
      </c>
      <c r="CW40">
        <v>28008.40094</v>
      </c>
      <c r="CX40">
        <v>0</v>
      </c>
      <c r="CY40">
        <v>1074</v>
      </c>
      <c r="CZ40">
        <v>0</v>
      </c>
      <c r="DA40">
        <v>0</v>
      </c>
      <c r="DB40">
        <v>0</v>
      </c>
      <c r="DC40">
        <v>29082.200939999999</v>
      </c>
      <c r="DD40">
        <v>0</v>
      </c>
      <c r="DE40">
        <v>19175</v>
      </c>
      <c r="DF40" t="s">
        <v>135</v>
      </c>
      <c r="DG40" t="s">
        <v>135</v>
      </c>
      <c r="DH40">
        <v>0</v>
      </c>
      <c r="DI40">
        <v>0</v>
      </c>
      <c r="DJ40">
        <v>0</v>
      </c>
      <c r="DK40">
        <v>0</v>
      </c>
      <c r="DL40">
        <v>0</v>
      </c>
      <c r="DM40">
        <v>19175</v>
      </c>
      <c r="DN40">
        <v>19175</v>
      </c>
      <c r="DQ40" t="s">
        <v>135</v>
      </c>
      <c r="DR40" t="s">
        <v>135</v>
      </c>
      <c r="DS40">
        <v>0</v>
      </c>
      <c r="DT40">
        <v>0</v>
      </c>
      <c r="DU40">
        <v>0</v>
      </c>
      <c r="DV40">
        <v>3.9333333333333331</v>
      </c>
      <c r="DW40">
        <v>3.9333333333333331</v>
      </c>
      <c r="DX40">
        <v>0</v>
      </c>
      <c r="DY40">
        <v>0</v>
      </c>
    </row>
    <row r="41" spans="1:129">
      <c r="A41" t="s">
        <v>1952</v>
      </c>
      <c r="C41" t="s">
        <v>1954</v>
      </c>
      <c r="D41">
        <v>1</v>
      </c>
      <c r="E41" s="195">
        <v>44562</v>
      </c>
      <c r="F41">
        <v>1</v>
      </c>
      <c r="G41">
        <v>3</v>
      </c>
      <c r="H41">
        <v>168</v>
      </c>
      <c r="I41" t="s">
        <v>666</v>
      </c>
      <c r="J41" t="s">
        <v>2014</v>
      </c>
      <c r="K41" t="s">
        <v>39</v>
      </c>
      <c r="M41" t="s">
        <v>40</v>
      </c>
      <c r="N41" t="s">
        <v>41</v>
      </c>
      <c r="O41" t="s">
        <v>769</v>
      </c>
      <c r="P41">
        <v>0</v>
      </c>
      <c r="R41">
        <v>1.625</v>
      </c>
      <c r="S41">
        <v>168</v>
      </c>
      <c r="U41">
        <v>273</v>
      </c>
      <c r="V41">
        <v>0</v>
      </c>
      <c r="W41">
        <v>60</v>
      </c>
      <c r="AC41" t="s">
        <v>937</v>
      </c>
      <c r="AD41">
        <v>50</v>
      </c>
      <c r="AE41" t="s">
        <v>224</v>
      </c>
      <c r="AH41">
        <v>0</v>
      </c>
      <c r="AI41">
        <v>0</v>
      </c>
      <c r="AJ41">
        <v>0</v>
      </c>
      <c r="AK41">
        <v>0</v>
      </c>
      <c r="AL41">
        <v>0</v>
      </c>
      <c r="AM41">
        <v>0</v>
      </c>
      <c r="AN41">
        <v>0</v>
      </c>
      <c r="AO41">
        <v>0</v>
      </c>
      <c r="AP41">
        <v>12.082559999999999</v>
      </c>
      <c r="AQ41">
        <v>129.39359073010732</v>
      </c>
      <c r="AR41">
        <v>0</v>
      </c>
      <c r="AS41">
        <v>2.0294400000000001</v>
      </c>
      <c r="AT41">
        <v>0</v>
      </c>
      <c r="AU41">
        <v>0</v>
      </c>
      <c r="AV41">
        <v>0</v>
      </c>
      <c r="AW41">
        <v>143.50559073010731</v>
      </c>
      <c r="AX41">
        <v>0</v>
      </c>
      <c r="AY41">
        <v>0</v>
      </c>
      <c r="AZ41">
        <v>0</v>
      </c>
      <c r="BA41">
        <v>0</v>
      </c>
      <c r="BB41">
        <v>0</v>
      </c>
      <c r="BC41">
        <v>0</v>
      </c>
      <c r="BD41">
        <v>0</v>
      </c>
      <c r="BE41">
        <v>0</v>
      </c>
      <c r="BF41">
        <v>130.39626079199999</v>
      </c>
      <c r="BG41">
        <v>1153.2583198499999</v>
      </c>
      <c r="BH41">
        <v>0</v>
      </c>
      <c r="BI41">
        <v>15</v>
      </c>
      <c r="BJ41">
        <v>0</v>
      </c>
      <c r="BK41">
        <v>0</v>
      </c>
      <c r="BL41">
        <v>0</v>
      </c>
      <c r="BM41">
        <v>1298.7745806419998</v>
      </c>
      <c r="BN41">
        <v>273</v>
      </c>
      <c r="BO41">
        <v>1</v>
      </c>
      <c r="BP41">
        <v>0</v>
      </c>
      <c r="BQ41">
        <v>273</v>
      </c>
      <c r="BR41">
        <v>0</v>
      </c>
      <c r="BS41">
        <v>0</v>
      </c>
      <c r="BT41">
        <v>0</v>
      </c>
      <c r="BU41">
        <v>0</v>
      </c>
      <c r="BV41">
        <v>273</v>
      </c>
      <c r="BW41">
        <v>273</v>
      </c>
      <c r="BX41">
        <v>0</v>
      </c>
      <c r="BY41">
        <v>0</v>
      </c>
      <c r="BZ41">
        <v>0</v>
      </c>
      <c r="CA41">
        <v>0</v>
      </c>
      <c r="CB41">
        <v>0</v>
      </c>
      <c r="CC41">
        <v>0</v>
      </c>
      <c r="CD41">
        <v>0</v>
      </c>
      <c r="CE41">
        <v>0</v>
      </c>
      <c r="CF41">
        <v>0</v>
      </c>
      <c r="CG41">
        <v>311.82716564999998</v>
      </c>
      <c r="CH41">
        <v>0</v>
      </c>
      <c r="CI41">
        <v>6</v>
      </c>
      <c r="CJ41">
        <v>0</v>
      </c>
      <c r="CK41">
        <v>0</v>
      </c>
      <c r="CL41">
        <v>0</v>
      </c>
      <c r="CM41">
        <v>317.72396564999997</v>
      </c>
      <c r="CN41">
        <v>0</v>
      </c>
      <c r="CO41">
        <v>0</v>
      </c>
      <c r="CP41">
        <v>0</v>
      </c>
      <c r="CQ41">
        <v>0</v>
      </c>
      <c r="CR41">
        <v>0</v>
      </c>
      <c r="CS41">
        <v>0</v>
      </c>
      <c r="CT41">
        <v>0</v>
      </c>
      <c r="CU41">
        <v>0</v>
      </c>
      <c r="CV41">
        <v>0</v>
      </c>
      <c r="CW41">
        <v>19938.183720000001</v>
      </c>
      <c r="CX41">
        <v>0</v>
      </c>
      <c r="CY41">
        <v>764</v>
      </c>
      <c r="CZ41">
        <v>0</v>
      </c>
      <c r="DA41">
        <v>0</v>
      </c>
      <c r="DB41">
        <v>0</v>
      </c>
      <c r="DC41">
        <v>20702.583720000002</v>
      </c>
      <c r="DD41">
        <v>0</v>
      </c>
      <c r="DE41">
        <v>13650</v>
      </c>
      <c r="DF41" t="s">
        <v>135</v>
      </c>
      <c r="DG41" t="s">
        <v>135</v>
      </c>
      <c r="DH41">
        <v>0</v>
      </c>
      <c r="DI41">
        <v>0</v>
      </c>
      <c r="DJ41">
        <v>0</v>
      </c>
      <c r="DK41">
        <v>0</v>
      </c>
      <c r="DL41">
        <v>0</v>
      </c>
      <c r="DM41">
        <v>13650</v>
      </c>
      <c r="DN41">
        <v>13650</v>
      </c>
      <c r="DQ41" t="s">
        <v>135</v>
      </c>
      <c r="DR41" t="s">
        <v>135</v>
      </c>
      <c r="DS41">
        <v>0</v>
      </c>
      <c r="DT41">
        <v>0</v>
      </c>
      <c r="DU41">
        <v>0</v>
      </c>
      <c r="DV41">
        <v>2.8</v>
      </c>
      <c r="DW41">
        <v>2.8</v>
      </c>
      <c r="DX41">
        <v>0</v>
      </c>
      <c r="DY41">
        <v>0</v>
      </c>
    </row>
    <row r="42" spans="1:129">
      <c r="A42" t="s">
        <v>1952</v>
      </c>
      <c r="C42" t="s">
        <v>1954</v>
      </c>
      <c r="D42">
        <v>1</v>
      </c>
      <c r="E42" s="195">
        <v>44562</v>
      </c>
      <c r="F42">
        <v>1</v>
      </c>
      <c r="G42">
        <v>3</v>
      </c>
      <c r="H42">
        <v>202.78</v>
      </c>
      <c r="I42" t="s">
        <v>666</v>
      </c>
      <c r="J42" t="s">
        <v>2015</v>
      </c>
      <c r="K42" t="s">
        <v>39</v>
      </c>
      <c r="M42" t="s">
        <v>40</v>
      </c>
      <c r="N42" t="s">
        <v>41</v>
      </c>
      <c r="O42" t="s">
        <v>769</v>
      </c>
      <c r="P42">
        <v>0</v>
      </c>
      <c r="R42">
        <v>1.625</v>
      </c>
      <c r="S42">
        <v>202.78</v>
      </c>
      <c r="U42">
        <v>329.51749999999998</v>
      </c>
      <c r="V42">
        <v>0</v>
      </c>
      <c r="W42">
        <v>60</v>
      </c>
      <c r="AC42" t="s">
        <v>937</v>
      </c>
      <c r="AD42">
        <v>50</v>
      </c>
      <c r="AE42" t="s">
        <v>224</v>
      </c>
      <c r="AH42">
        <v>0</v>
      </c>
      <c r="AI42">
        <v>0</v>
      </c>
      <c r="AJ42">
        <v>0</v>
      </c>
      <c r="AK42">
        <v>0</v>
      </c>
      <c r="AL42">
        <v>0</v>
      </c>
      <c r="AM42">
        <v>0</v>
      </c>
      <c r="AN42">
        <v>0</v>
      </c>
      <c r="AO42">
        <v>0</v>
      </c>
      <c r="AP42">
        <v>14.583937600000001</v>
      </c>
      <c r="AQ42">
        <v>156.18114481101884</v>
      </c>
      <c r="AR42">
        <v>0</v>
      </c>
      <c r="AS42">
        <v>2.4495824000000002</v>
      </c>
      <c r="AT42">
        <v>0</v>
      </c>
      <c r="AU42">
        <v>0</v>
      </c>
      <c r="AV42">
        <v>0</v>
      </c>
      <c r="AW42">
        <v>173.21466481101885</v>
      </c>
      <c r="AX42">
        <v>0</v>
      </c>
      <c r="AY42">
        <v>0</v>
      </c>
      <c r="AZ42">
        <v>0</v>
      </c>
      <c r="BA42">
        <v>0</v>
      </c>
      <c r="BB42">
        <v>0</v>
      </c>
      <c r="BC42">
        <v>0</v>
      </c>
      <c r="BD42">
        <v>0</v>
      </c>
      <c r="BE42">
        <v>0</v>
      </c>
      <c r="BF42">
        <v>157.39139144882</v>
      </c>
      <c r="BG42">
        <v>1392.0102505903749</v>
      </c>
      <c r="BH42">
        <v>0</v>
      </c>
      <c r="BI42">
        <v>18</v>
      </c>
      <c r="BJ42">
        <v>0</v>
      </c>
      <c r="BK42">
        <v>0</v>
      </c>
      <c r="BL42">
        <v>0</v>
      </c>
      <c r="BM42">
        <v>1567.6518420391949</v>
      </c>
      <c r="BN42">
        <v>329.51749999999998</v>
      </c>
      <c r="BO42">
        <v>1</v>
      </c>
      <c r="BP42">
        <v>0</v>
      </c>
      <c r="BQ42">
        <v>329.51749999999998</v>
      </c>
      <c r="BR42">
        <v>0</v>
      </c>
      <c r="BS42">
        <v>0</v>
      </c>
      <c r="BT42">
        <v>0</v>
      </c>
      <c r="BU42">
        <v>0</v>
      </c>
      <c r="BV42">
        <v>329.51749999999998</v>
      </c>
      <c r="BW42">
        <v>329.51749999999998</v>
      </c>
      <c r="BX42">
        <v>0</v>
      </c>
      <c r="BY42">
        <v>0</v>
      </c>
      <c r="BZ42">
        <v>0</v>
      </c>
      <c r="CA42">
        <v>0</v>
      </c>
      <c r="CB42">
        <v>0</v>
      </c>
      <c r="CC42">
        <v>0</v>
      </c>
      <c r="CD42">
        <v>0</v>
      </c>
      <c r="CE42">
        <v>0</v>
      </c>
      <c r="CF42">
        <v>0</v>
      </c>
      <c r="CG42">
        <v>376.38281339587502</v>
      </c>
      <c r="CH42">
        <v>0</v>
      </c>
      <c r="CI42">
        <v>7</v>
      </c>
      <c r="CJ42">
        <v>0</v>
      </c>
      <c r="CK42">
        <v>0</v>
      </c>
      <c r="CL42">
        <v>0</v>
      </c>
      <c r="CM42">
        <v>383.500391395875</v>
      </c>
      <c r="CN42">
        <v>0</v>
      </c>
      <c r="CO42">
        <v>0</v>
      </c>
      <c r="CP42">
        <v>0</v>
      </c>
      <c r="CQ42">
        <v>0</v>
      </c>
      <c r="CR42">
        <v>0</v>
      </c>
      <c r="CS42">
        <v>0</v>
      </c>
      <c r="CT42">
        <v>0</v>
      </c>
      <c r="CU42">
        <v>0</v>
      </c>
      <c r="CV42">
        <v>0</v>
      </c>
      <c r="CW42">
        <v>24065.862468700001</v>
      </c>
      <c r="CX42">
        <v>0</v>
      </c>
      <c r="CY42">
        <v>923</v>
      </c>
      <c r="CZ42">
        <v>0</v>
      </c>
      <c r="DA42">
        <v>0</v>
      </c>
      <c r="DB42">
        <v>0</v>
      </c>
      <c r="DC42">
        <v>24988.511468700002</v>
      </c>
      <c r="DD42">
        <v>0</v>
      </c>
      <c r="DE42">
        <v>16475.875</v>
      </c>
      <c r="DF42" t="s">
        <v>135</v>
      </c>
      <c r="DG42" t="s">
        <v>135</v>
      </c>
      <c r="DH42">
        <v>0</v>
      </c>
      <c r="DI42">
        <v>0</v>
      </c>
      <c r="DJ42">
        <v>0</v>
      </c>
      <c r="DK42">
        <v>0</v>
      </c>
      <c r="DL42">
        <v>0</v>
      </c>
      <c r="DM42">
        <v>16475.875</v>
      </c>
      <c r="DN42">
        <v>16475.875</v>
      </c>
      <c r="DQ42" t="s">
        <v>135</v>
      </c>
      <c r="DR42" t="s">
        <v>135</v>
      </c>
      <c r="DS42">
        <v>0</v>
      </c>
      <c r="DT42">
        <v>0</v>
      </c>
      <c r="DU42">
        <v>0</v>
      </c>
      <c r="DV42">
        <v>3.3796666666666666</v>
      </c>
      <c r="DW42">
        <v>3.3796666666666666</v>
      </c>
      <c r="DX42">
        <v>0</v>
      </c>
      <c r="DY42">
        <v>0</v>
      </c>
    </row>
    <row r="43" spans="1:129">
      <c r="A43" t="s">
        <v>1952</v>
      </c>
      <c r="C43" t="s">
        <v>1954</v>
      </c>
      <c r="D43">
        <v>1</v>
      </c>
      <c r="E43" s="195">
        <v>44562</v>
      </c>
      <c r="F43">
        <v>1</v>
      </c>
      <c r="G43">
        <v>3</v>
      </c>
      <c r="H43">
        <v>432</v>
      </c>
      <c r="I43" t="s">
        <v>666</v>
      </c>
      <c r="J43" t="s">
        <v>2016</v>
      </c>
      <c r="K43" t="s">
        <v>39</v>
      </c>
      <c r="M43" t="s">
        <v>40</v>
      </c>
      <c r="N43" t="s">
        <v>41</v>
      </c>
      <c r="O43" t="s">
        <v>769</v>
      </c>
      <c r="P43">
        <v>0</v>
      </c>
      <c r="R43">
        <v>1.625</v>
      </c>
      <c r="S43">
        <v>432</v>
      </c>
      <c r="U43">
        <v>702</v>
      </c>
      <c r="V43">
        <v>0</v>
      </c>
      <c r="W43">
        <v>60</v>
      </c>
      <c r="AC43" t="s">
        <v>937</v>
      </c>
      <c r="AD43">
        <v>50</v>
      </c>
      <c r="AE43" t="s">
        <v>224</v>
      </c>
      <c r="AH43">
        <v>0</v>
      </c>
      <c r="AI43">
        <v>0</v>
      </c>
      <c r="AJ43">
        <v>0</v>
      </c>
      <c r="AK43">
        <v>0</v>
      </c>
      <c r="AL43">
        <v>0</v>
      </c>
      <c r="AM43">
        <v>0</v>
      </c>
      <c r="AN43">
        <v>0</v>
      </c>
      <c r="AO43">
        <v>0</v>
      </c>
      <c r="AP43">
        <v>31.06944</v>
      </c>
      <c r="AQ43">
        <v>332.72637616313312</v>
      </c>
      <c r="AR43">
        <v>0</v>
      </c>
      <c r="AS43">
        <v>5.2185600000000001</v>
      </c>
      <c r="AT43">
        <v>0</v>
      </c>
      <c r="AU43">
        <v>0</v>
      </c>
      <c r="AV43">
        <v>0</v>
      </c>
      <c r="AW43">
        <v>369.01437616313314</v>
      </c>
      <c r="AX43">
        <v>0</v>
      </c>
      <c r="AY43">
        <v>0</v>
      </c>
      <c r="AZ43">
        <v>0</v>
      </c>
      <c r="BA43">
        <v>0</v>
      </c>
      <c r="BB43">
        <v>0</v>
      </c>
      <c r="BC43">
        <v>0</v>
      </c>
      <c r="BD43">
        <v>0</v>
      </c>
      <c r="BE43">
        <v>0</v>
      </c>
      <c r="BF43">
        <v>335.30467060799998</v>
      </c>
      <c r="BG43">
        <v>2965.5213938999996</v>
      </c>
      <c r="BH43">
        <v>0</v>
      </c>
      <c r="BI43">
        <v>39</v>
      </c>
      <c r="BJ43">
        <v>0</v>
      </c>
      <c r="BK43">
        <v>0</v>
      </c>
      <c r="BL43">
        <v>0</v>
      </c>
      <c r="BM43">
        <v>3339.7060645079996</v>
      </c>
      <c r="BN43">
        <v>702</v>
      </c>
      <c r="BO43">
        <v>1</v>
      </c>
      <c r="BP43">
        <v>0</v>
      </c>
      <c r="BQ43">
        <v>702</v>
      </c>
      <c r="BR43">
        <v>0</v>
      </c>
      <c r="BS43">
        <v>0</v>
      </c>
      <c r="BT43">
        <v>0</v>
      </c>
      <c r="BU43">
        <v>0</v>
      </c>
      <c r="BV43">
        <v>702</v>
      </c>
      <c r="BW43">
        <v>702</v>
      </c>
      <c r="BX43">
        <v>0</v>
      </c>
      <c r="BY43">
        <v>0</v>
      </c>
      <c r="BZ43">
        <v>0</v>
      </c>
      <c r="CA43">
        <v>0</v>
      </c>
      <c r="CB43">
        <v>0</v>
      </c>
      <c r="CC43">
        <v>0</v>
      </c>
      <c r="CD43">
        <v>0</v>
      </c>
      <c r="CE43">
        <v>0</v>
      </c>
      <c r="CF43">
        <v>0</v>
      </c>
      <c r="CG43">
        <v>801.84128309999994</v>
      </c>
      <c r="CH43">
        <v>0</v>
      </c>
      <c r="CI43">
        <v>15</v>
      </c>
      <c r="CJ43">
        <v>0</v>
      </c>
      <c r="CK43">
        <v>0</v>
      </c>
      <c r="CL43">
        <v>0</v>
      </c>
      <c r="CM43">
        <v>817.0044830999999</v>
      </c>
      <c r="CN43">
        <v>0</v>
      </c>
      <c r="CO43">
        <v>0</v>
      </c>
      <c r="CP43">
        <v>0</v>
      </c>
      <c r="CQ43">
        <v>0</v>
      </c>
      <c r="CR43">
        <v>0</v>
      </c>
      <c r="CS43">
        <v>0</v>
      </c>
      <c r="CT43">
        <v>0</v>
      </c>
      <c r="CU43">
        <v>0</v>
      </c>
      <c r="CV43">
        <v>0</v>
      </c>
      <c r="CW43">
        <v>51269.615279999998</v>
      </c>
      <c r="CX43">
        <v>0</v>
      </c>
      <c r="CY43">
        <v>1966</v>
      </c>
      <c r="CZ43">
        <v>0</v>
      </c>
      <c r="DA43">
        <v>0</v>
      </c>
      <c r="DB43">
        <v>0</v>
      </c>
      <c r="DC43">
        <v>53235.215279999997</v>
      </c>
      <c r="DD43">
        <v>0</v>
      </c>
      <c r="DE43">
        <v>35100</v>
      </c>
      <c r="DF43" t="s">
        <v>135</v>
      </c>
      <c r="DG43" t="s">
        <v>135</v>
      </c>
      <c r="DH43">
        <v>0</v>
      </c>
      <c r="DI43">
        <v>0</v>
      </c>
      <c r="DJ43">
        <v>0</v>
      </c>
      <c r="DK43">
        <v>0</v>
      </c>
      <c r="DL43">
        <v>0</v>
      </c>
      <c r="DM43">
        <v>35100</v>
      </c>
      <c r="DN43">
        <v>35100</v>
      </c>
      <c r="DQ43" t="s">
        <v>135</v>
      </c>
      <c r="DR43" t="s">
        <v>135</v>
      </c>
      <c r="DS43">
        <v>0</v>
      </c>
      <c r="DT43">
        <v>0</v>
      </c>
      <c r="DU43">
        <v>0</v>
      </c>
      <c r="DV43">
        <v>7.2</v>
      </c>
      <c r="DW43">
        <v>7.2</v>
      </c>
      <c r="DX43">
        <v>0</v>
      </c>
      <c r="DY43">
        <v>0</v>
      </c>
    </row>
    <row r="44" spans="1:129">
      <c r="A44" t="s">
        <v>1952</v>
      </c>
      <c r="C44" t="s">
        <v>1954</v>
      </c>
      <c r="D44">
        <v>1</v>
      </c>
      <c r="E44" s="195">
        <v>44562</v>
      </c>
      <c r="F44">
        <v>1</v>
      </c>
      <c r="G44">
        <v>3</v>
      </c>
      <c r="H44">
        <v>2749</v>
      </c>
      <c r="I44" t="s">
        <v>666</v>
      </c>
      <c r="J44" t="s">
        <v>2017</v>
      </c>
      <c r="K44" t="s">
        <v>39</v>
      </c>
      <c r="M44" t="s">
        <v>40</v>
      </c>
      <c r="N44" t="s">
        <v>41</v>
      </c>
      <c r="O44" t="s">
        <v>769</v>
      </c>
      <c r="P44">
        <v>0</v>
      </c>
      <c r="R44">
        <v>1.625</v>
      </c>
      <c r="S44">
        <v>2749</v>
      </c>
      <c r="U44">
        <v>4467.125</v>
      </c>
      <c r="V44">
        <v>0</v>
      </c>
      <c r="W44">
        <v>60</v>
      </c>
      <c r="AC44" t="s">
        <v>937</v>
      </c>
      <c r="AD44">
        <v>50</v>
      </c>
      <c r="AE44" t="s">
        <v>224</v>
      </c>
      <c r="AH44">
        <v>0</v>
      </c>
      <c r="AI44">
        <v>0</v>
      </c>
      <c r="AJ44">
        <v>0</v>
      </c>
      <c r="AK44">
        <v>0</v>
      </c>
      <c r="AL44">
        <v>0</v>
      </c>
      <c r="AM44">
        <v>0</v>
      </c>
      <c r="AN44">
        <v>0</v>
      </c>
      <c r="AO44">
        <v>0</v>
      </c>
      <c r="AP44">
        <v>197.70808</v>
      </c>
      <c r="AQ44">
        <v>2117.2796483158636</v>
      </c>
      <c r="AR44">
        <v>0</v>
      </c>
      <c r="AS44">
        <v>33.207920000000001</v>
      </c>
      <c r="AT44">
        <v>0</v>
      </c>
      <c r="AU44">
        <v>0</v>
      </c>
      <c r="AV44">
        <v>0</v>
      </c>
      <c r="AW44">
        <v>2348.1956483158633</v>
      </c>
      <c r="AX44">
        <v>0</v>
      </c>
      <c r="AY44">
        <v>0</v>
      </c>
      <c r="AZ44">
        <v>0</v>
      </c>
      <c r="BA44">
        <v>0</v>
      </c>
      <c r="BB44">
        <v>0</v>
      </c>
      <c r="BC44">
        <v>0</v>
      </c>
      <c r="BD44">
        <v>0</v>
      </c>
      <c r="BE44">
        <v>0</v>
      </c>
      <c r="BF44">
        <v>2133.6864340309999</v>
      </c>
      <c r="BG44">
        <v>18870.875721831249</v>
      </c>
      <c r="BH44">
        <v>0</v>
      </c>
      <c r="BI44">
        <v>247</v>
      </c>
      <c r="BJ44">
        <v>0</v>
      </c>
      <c r="BK44">
        <v>0</v>
      </c>
      <c r="BL44">
        <v>0</v>
      </c>
      <c r="BM44">
        <v>21251.972155862248</v>
      </c>
      <c r="BN44">
        <v>4467.125</v>
      </c>
      <c r="BO44">
        <v>1</v>
      </c>
      <c r="BP44">
        <v>0</v>
      </c>
      <c r="BQ44">
        <v>4467.125</v>
      </c>
      <c r="BR44">
        <v>0</v>
      </c>
      <c r="BS44">
        <v>0</v>
      </c>
      <c r="BT44">
        <v>0</v>
      </c>
      <c r="BU44">
        <v>0</v>
      </c>
      <c r="BV44">
        <v>4467.125</v>
      </c>
      <c r="BW44">
        <v>4467.125</v>
      </c>
      <c r="BX44">
        <v>0</v>
      </c>
      <c r="BY44">
        <v>0</v>
      </c>
      <c r="BZ44">
        <v>0</v>
      </c>
      <c r="CA44">
        <v>0</v>
      </c>
      <c r="CB44">
        <v>0</v>
      </c>
      <c r="CC44">
        <v>0</v>
      </c>
      <c r="CD44">
        <v>0</v>
      </c>
      <c r="CE44">
        <v>0</v>
      </c>
      <c r="CF44">
        <v>0</v>
      </c>
      <c r="CG44">
        <v>5102.45760935625</v>
      </c>
      <c r="CH44">
        <v>0</v>
      </c>
      <c r="CI44">
        <v>96</v>
      </c>
      <c r="CJ44">
        <v>0</v>
      </c>
      <c r="CK44">
        <v>0</v>
      </c>
      <c r="CL44">
        <v>0</v>
      </c>
      <c r="CM44">
        <v>5198.9475093562496</v>
      </c>
      <c r="CN44">
        <v>0</v>
      </c>
      <c r="CO44">
        <v>0</v>
      </c>
      <c r="CP44">
        <v>0</v>
      </c>
      <c r="CQ44">
        <v>0</v>
      </c>
      <c r="CR44">
        <v>0</v>
      </c>
      <c r="CS44">
        <v>0</v>
      </c>
      <c r="CT44">
        <v>0</v>
      </c>
      <c r="CU44">
        <v>0</v>
      </c>
      <c r="CV44">
        <v>0</v>
      </c>
      <c r="CW44">
        <v>326250.39908499998</v>
      </c>
      <c r="CX44">
        <v>0</v>
      </c>
      <c r="CY44">
        <v>12508</v>
      </c>
      <c r="CZ44">
        <v>0</v>
      </c>
      <c r="DA44">
        <v>0</v>
      </c>
      <c r="DB44">
        <v>0</v>
      </c>
      <c r="DC44">
        <v>338758.34908499999</v>
      </c>
      <c r="DD44">
        <v>0</v>
      </c>
      <c r="DE44">
        <v>223356.25</v>
      </c>
      <c r="DF44" t="s">
        <v>135</v>
      </c>
      <c r="DG44" t="s">
        <v>135</v>
      </c>
      <c r="DH44">
        <v>0</v>
      </c>
      <c r="DI44">
        <v>0</v>
      </c>
      <c r="DJ44">
        <v>0</v>
      </c>
      <c r="DK44">
        <v>0</v>
      </c>
      <c r="DL44">
        <v>0</v>
      </c>
      <c r="DM44">
        <v>223356.25</v>
      </c>
      <c r="DN44">
        <v>223356.25</v>
      </c>
      <c r="DQ44" t="s">
        <v>135</v>
      </c>
      <c r="DR44" t="s">
        <v>135</v>
      </c>
      <c r="DS44">
        <v>0</v>
      </c>
      <c r="DT44">
        <v>0</v>
      </c>
      <c r="DU44">
        <v>0</v>
      </c>
      <c r="DV44">
        <v>45.81666666666667</v>
      </c>
      <c r="DW44">
        <v>45.81666666666667</v>
      </c>
      <c r="DX44">
        <v>0</v>
      </c>
      <c r="DY44">
        <v>0</v>
      </c>
    </row>
    <row r="45" spans="1:129">
      <c r="A45" t="s">
        <v>1952</v>
      </c>
      <c r="C45" t="s">
        <v>1954</v>
      </c>
      <c r="D45">
        <v>1</v>
      </c>
      <c r="E45" s="195">
        <v>44562</v>
      </c>
      <c r="F45">
        <v>1</v>
      </c>
      <c r="G45">
        <v>3</v>
      </c>
      <c r="H45">
        <v>463.65</v>
      </c>
      <c r="I45" t="s">
        <v>666</v>
      </c>
      <c r="J45" t="s">
        <v>2018</v>
      </c>
      <c r="K45" t="s">
        <v>39</v>
      </c>
      <c r="M45" t="s">
        <v>40</v>
      </c>
      <c r="N45" t="s">
        <v>41</v>
      </c>
      <c r="O45" t="s">
        <v>769</v>
      </c>
      <c r="P45">
        <v>0</v>
      </c>
      <c r="R45">
        <v>1.625</v>
      </c>
      <c r="S45">
        <v>463.65</v>
      </c>
      <c r="U45">
        <v>753.43124999999998</v>
      </c>
      <c r="V45">
        <v>0</v>
      </c>
      <c r="W45">
        <v>60</v>
      </c>
      <c r="AC45" t="s">
        <v>937</v>
      </c>
      <c r="AD45">
        <v>50</v>
      </c>
      <c r="AE45" t="s">
        <v>224</v>
      </c>
      <c r="AH45">
        <v>0</v>
      </c>
      <c r="AI45">
        <v>0</v>
      </c>
      <c r="AJ45">
        <v>0</v>
      </c>
      <c r="AK45">
        <v>0</v>
      </c>
      <c r="AL45">
        <v>0</v>
      </c>
      <c r="AM45">
        <v>0</v>
      </c>
      <c r="AN45">
        <v>0</v>
      </c>
      <c r="AO45">
        <v>0</v>
      </c>
      <c r="AP45">
        <v>33.345707999999995</v>
      </c>
      <c r="AQ45">
        <v>357.10320441675157</v>
      </c>
      <c r="AR45">
        <v>0</v>
      </c>
      <c r="AS45">
        <v>5.600892</v>
      </c>
      <c r="AT45">
        <v>0</v>
      </c>
      <c r="AU45">
        <v>0</v>
      </c>
      <c r="AV45">
        <v>0</v>
      </c>
      <c r="AW45">
        <v>396.04980441675156</v>
      </c>
      <c r="AX45">
        <v>0</v>
      </c>
      <c r="AY45">
        <v>0</v>
      </c>
      <c r="AZ45">
        <v>0</v>
      </c>
      <c r="BA45">
        <v>0</v>
      </c>
      <c r="BB45">
        <v>0</v>
      </c>
      <c r="BC45">
        <v>0</v>
      </c>
      <c r="BD45">
        <v>0</v>
      </c>
      <c r="BE45">
        <v>0</v>
      </c>
      <c r="BF45">
        <v>359.87039473934999</v>
      </c>
      <c r="BG45">
        <v>3182.7870238003125</v>
      </c>
      <c r="BH45">
        <v>0</v>
      </c>
      <c r="BI45">
        <v>42</v>
      </c>
      <c r="BJ45">
        <v>0</v>
      </c>
      <c r="BK45">
        <v>0</v>
      </c>
      <c r="BL45">
        <v>0</v>
      </c>
      <c r="BM45">
        <v>3584.3859185396627</v>
      </c>
      <c r="BN45">
        <v>753.43124999999998</v>
      </c>
      <c r="BO45">
        <v>1</v>
      </c>
      <c r="BP45">
        <v>0</v>
      </c>
      <c r="BQ45">
        <v>753.43124999999998</v>
      </c>
      <c r="BR45">
        <v>0</v>
      </c>
      <c r="BS45">
        <v>0</v>
      </c>
      <c r="BT45">
        <v>0</v>
      </c>
      <c r="BU45">
        <v>0</v>
      </c>
      <c r="BV45">
        <v>753.43124999999998</v>
      </c>
      <c r="BW45">
        <v>753.43124999999998</v>
      </c>
      <c r="BX45">
        <v>0</v>
      </c>
      <c r="BY45">
        <v>0</v>
      </c>
      <c r="BZ45">
        <v>0</v>
      </c>
      <c r="CA45">
        <v>0</v>
      </c>
      <c r="CB45">
        <v>0</v>
      </c>
      <c r="CC45">
        <v>0</v>
      </c>
      <c r="CD45">
        <v>0</v>
      </c>
      <c r="CE45">
        <v>0</v>
      </c>
      <c r="CF45">
        <v>0</v>
      </c>
      <c r="CG45">
        <v>860.58729377156249</v>
      </c>
      <c r="CH45">
        <v>0</v>
      </c>
      <c r="CI45">
        <v>16</v>
      </c>
      <c r="CJ45">
        <v>0</v>
      </c>
      <c r="CK45">
        <v>0</v>
      </c>
      <c r="CL45">
        <v>0</v>
      </c>
      <c r="CM45">
        <v>876.86140877156254</v>
      </c>
      <c r="CN45">
        <v>0</v>
      </c>
      <c r="CO45">
        <v>0</v>
      </c>
      <c r="CP45">
        <v>0</v>
      </c>
      <c r="CQ45">
        <v>0</v>
      </c>
      <c r="CR45">
        <v>0</v>
      </c>
      <c r="CS45">
        <v>0</v>
      </c>
      <c r="CT45">
        <v>0</v>
      </c>
      <c r="CU45">
        <v>0</v>
      </c>
      <c r="CV45">
        <v>0</v>
      </c>
      <c r="CW45">
        <v>55025.826677249999</v>
      </c>
      <c r="CX45">
        <v>0</v>
      </c>
      <c r="CY45">
        <v>2110</v>
      </c>
      <c r="CZ45">
        <v>0</v>
      </c>
      <c r="DA45">
        <v>0</v>
      </c>
      <c r="DB45">
        <v>0</v>
      </c>
      <c r="DC45">
        <v>57135.434177249997</v>
      </c>
      <c r="DD45">
        <v>0</v>
      </c>
      <c r="DE45">
        <v>37671.5625</v>
      </c>
      <c r="DF45" t="s">
        <v>135</v>
      </c>
      <c r="DG45" t="s">
        <v>135</v>
      </c>
      <c r="DH45">
        <v>0</v>
      </c>
      <c r="DI45">
        <v>0</v>
      </c>
      <c r="DJ45">
        <v>0</v>
      </c>
      <c r="DK45">
        <v>0</v>
      </c>
      <c r="DL45">
        <v>0</v>
      </c>
      <c r="DM45">
        <v>37671.5625</v>
      </c>
      <c r="DN45">
        <v>37671.5625</v>
      </c>
      <c r="DQ45" t="s">
        <v>135</v>
      </c>
      <c r="DR45" t="s">
        <v>135</v>
      </c>
      <c r="DS45">
        <v>0</v>
      </c>
      <c r="DT45">
        <v>0</v>
      </c>
      <c r="DU45">
        <v>0</v>
      </c>
      <c r="DV45">
        <v>7.7275</v>
      </c>
      <c r="DW45">
        <v>7.7275</v>
      </c>
      <c r="DX45">
        <v>0</v>
      </c>
      <c r="DY45">
        <v>0</v>
      </c>
    </row>
    <row r="46" spans="1:129">
      <c r="A46" t="s">
        <v>1952</v>
      </c>
      <c r="C46" t="s">
        <v>1954</v>
      </c>
      <c r="D46">
        <v>1</v>
      </c>
      <c r="E46" s="195">
        <v>44562</v>
      </c>
      <c r="F46">
        <v>1</v>
      </c>
      <c r="G46">
        <v>3</v>
      </c>
      <c r="H46">
        <v>3511</v>
      </c>
      <c r="I46" t="s">
        <v>666</v>
      </c>
      <c r="J46" t="s">
        <v>2019</v>
      </c>
      <c r="K46" t="s">
        <v>39</v>
      </c>
      <c r="M46" t="s">
        <v>40</v>
      </c>
      <c r="N46" t="s">
        <v>41</v>
      </c>
      <c r="O46" t="s">
        <v>769</v>
      </c>
      <c r="P46">
        <v>0</v>
      </c>
      <c r="R46">
        <v>1.625</v>
      </c>
      <c r="S46">
        <v>3511</v>
      </c>
      <c r="U46">
        <v>5705.375</v>
      </c>
      <c r="V46">
        <v>0</v>
      </c>
      <c r="W46">
        <v>60</v>
      </c>
      <c r="AC46" t="s">
        <v>937</v>
      </c>
      <c r="AD46">
        <v>50</v>
      </c>
      <c r="AE46" t="s">
        <v>224</v>
      </c>
      <c r="AH46">
        <v>0</v>
      </c>
      <c r="AI46">
        <v>0</v>
      </c>
      <c r="AJ46">
        <v>0</v>
      </c>
      <c r="AK46">
        <v>0</v>
      </c>
      <c r="AL46">
        <v>0</v>
      </c>
      <c r="AM46">
        <v>0</v>
      </c>
      <c r="AN46">
        <v>0</v>
      </c>
      <c r="AO46">
        <v>0</v>
      </c>
      <c r="AP46">
        <v>252.51112000000001</v>
      </c>
      <c r="AQ46">
        <v>2704.1720062702789</v>
      </c>
      <c r="AR46">
        <v>0</v>
      </c>
      <c r="AS46">
        <v>42.412880000000001</v>
      </c>
      <c r="AT46">
        <v>0</v>
      </c>
      <c r="AU46">
        <v>0</v>
      </c>
      <c r="AV46">
        <v>0</v>
      </c>
      <c r="AW46">
        <v>2999.0960062702788</v>
      </c>
      <c r="AX46">
        <v>0</v>
      </c>
      <c r="AY46">
        <v>0</v>
      </c>
      <c r="AZ46">
        <v>0</v>
      </c>
      <c r="BA46">
        <v>0</v>
      </c>
      <c r="BB46">
        <v>0</v>
      </c>
      <c r="BC46">
        <v>0</v>
      </c>
      <c r="BD46">
        <v>0</v>
      </c>
      <c r="BE46">
        <v>0</v>
      </c>
      <c r="BF46">
        <v>2725.1266169089999</v>
      </c>
      <c r="BG46">
        <v>24101.725958293748</v>
      </c>
      <c r="BH46">
        <v>0</v>
      </c>
      <c r="BI46">
        <v>316</v>
      </c>
      <c r="BJ46">
        <v>0</v>
      </c>
      <c r="BK46">
        <v>0</v>
      </c>
      <c r="BL46">
        <v>0</v>
      </c>
      <c r="BM46">
        <v>27142.842575202751</v>
      </c>
      <c r="BN46">
        <v>5705.375</v>
      </c>
      <c r="BO46">
        <v>1</v>
      </c>
      <c r="BP46">
        <v>0</v>
      </c>
      <c r="BQ46">
        <v>5705.375</v>
      </c>
      <c r="BR46">
        <v>0</v>
      </c>
      <c r="BS46">
        <v>0</v>
      </c>
      <c r="BT46">
        <v>0</v>
      </c>
      <c r="BU46">
        <v>0</v>
      </c>
      <c r="BV46">
        <v>5705.375</v>
      </c>
      <c r="BW46">
        <v>5705.375</v>
      </c>
      <c r="BX46">
        <v>0</v>
      </c>
      <c r="BY46">
        <v>0</v>
      </c>
      <c r="BZ46">
        <v>0</v>
      </c>
      <c r="CA46">
        <v>0</v>
      </c>
      <c r="CB46">
        <v>0</v>
      </c>
      <c r="CC46">
        <v>0</v>
      </c>
      <c r="CD46">
        <v>0</v>
      </c>
      <c r="CE46">
        <v>0</v>
      </c>
      <c r="CF46">
        <v>0</v>
      </c>
      <c r="CG46">
        <v>6516.8165392687497</v>
      </c>
      <c r="CH46">
        <v>0</v>
      </c>
      <c r="CI46">
        <v>123</v>
      </c>
      <c r="CJ46">
        <v>0</v>
      </c>
      <c r="CK46">
        <v>0</v>
      </c>
      <c r="CL46">
        <v>0</v>
      </c>
      <c r="CM46">
        <v>6640.0526392687498</v>
      </c>
      <c r="CN46">
        <v>0</v>
      </c>
      <c r="CO46">
        <v>0</v>
      </c>
      <c r="CP46">
        <v>0</v>
      </c>
      <c r="CQ46">
        <v>0</v>
      </c>
      <c r="CR46">
        <v>0</v>
      </c>
      <c r="CS46">
        <v>0</v>
      </c>
      <c r="CT46">
        <v>0</v>
      </c>
      <c r="CU46">
        <v>0</v>
      </c>
      <c r="CV46">
        <v>0</v>
      </c>
      <c r="CW46">
        <v>416684.30381499999</v>
      </c>
      <c r="CX46">
        <v>0</v>
      </c>
      <c r="CY46">
        <v>15975</v>
      </c>
      <c r="CZ46">
        <v>0</v>
      </c>
      <c r="DA46">
        <v>0</v>
      </c>
      <c r="DB46">
        <v>0</v>
      </c>
      <c r="DC46">
        <v>432659.35381499998</v>
      </c>
      <c r="DD46">
        <v>0</v>
      </c>
      <c r="DE46">
        <v>285268.75</v>
      </c>
      <c r="DF46" t="s">
        <v>135</v>
      </c>
      <c r="DG46" t="s">
        <v>135</v>
      </c>
      <c r="DH46">
        <v>0</v>
      </c>
      <c r="DI46">
        <v>0</v>
      </c>
      <c r="DJ46">
        <v>0</v>
      </c>
      <c r="DK46">
        <v>0</v>
      </c>
      <c r="DL46">
        <v>0</v>
      </c>
      <c r="DM46">
        <v>285268.75</v>
      </c>
      <c r="DN46">
        <v>285268.75</v>
      </c>
      <c r="DQ46" t="s">
        <v>135</v>
      </c>
      <c r="DR46" t="s">
        <v>135</v>
      </c>
      <c r="DS46">
        <v>0</v>
      </c>
      <c r="DT46">
        <v>0</v>
      </c>
      <c r="DU46">
        <v>0</v>
      </c>
      <c r="DV46">
        <v>58.516666666666666</v>
      </c>
      <c r="DW46">
        <v>58.516666666666666</v>
      </c>
      <c r="DX46">
        <v>0</v>
      </c>
      <c r="DY46">
        <v>0</v>
      </c>
    </row>
    <row r="47" spans="1:129">
      <c r="A47" t="s">
        <v>1952</v>
      </c>
      <c r="C47" t="s">
        <v>1954</v>
      </c>
      <c r="D47">
        <v>1</v>
      </c>
      <c r="E47" s="195">
        <v>44562</v>
      </c>
      <c r="F47">
        <v>1</v>
      </c>
      <c r="G47">
        <v>3</v>
      </c>
      <c r="H47">
        <v>300</v>
      </c>
      <c r="I47" t="s">
        <v>666</v>
      </c>
      <c r="J47" t="s">
        <v>2020</v>
      </c>
      <c r="K47" t="s">
        <v>39</v>
      </c>
      <c r="M47" t="s">
        <v>40</v>
      </c>
      <c r="N47" t="s">
        <v>41</v>
      </c>
      <c r="O47" t="s">
        <v>769</v>
      </c>
      <c r="P47">
        <v>0</v>
      </c>
      <c r="R47">
        <v>1.625</v>
      </c>
      <c r="S47">
        <v>300</v>
      </c>
      <c r="U47">
        <v>487.5</v>
      </c>
      <c r="V47">
        <v>0</v>
      </c>
      <c r="W47">
        <v>60</v>
      </c>
      <c r="AC47" t="s">
        <v>937</v>
      </c>
      <c r="AD47">
        <v>50</v>
      </c>
      <c r="AE47" t="s">
        <v>224</v>
      </c>
      <c r="AH47">
        <v>0</v>
      </c>
      <c r="AI47">
        <v>0</v>
      </c>
      <c r="AJ47">
        <v>0</v>
      </c>
      <c r="AK47">
        <v>0</v>
      </c>
      <c r="AL47">
        <v>0</v>
      </c>
      <c r="AM47">
        <v>0</v>
      </c>
      <c r="AN47">
        <v>0</v>
      </c>
      <c r="AO47">
        <v>0</v>
      </c>
      <c r="AP47">
        <v>21.576000000000001</v>
      </c>
      <c r="AQ47">
        <v>231.05998344662024</v>
      </c>
      <c r="AR47">
        <v>0</v>
      </c>
      <c r="AS47">
        <v>3.6240000000000001</v>
      </c>
      <c r="AT47">
        <v>0</v>
      </c>
      <c r="AU47">
        <v>0</v>
      </c>
      <c r="AV47">
        <v>0</v>
      </c>
      <c r="AW47">
        <v>256.25998344662025</v>
      </c>
      <c r="AX47">
        <v>0</v>
      </c>
      <c r="AY47">
        <v>0</v>
      </c>
      <c r="AZ47">
        <v>0</v>
      </c>
      <c r="BA47">
        <v>0</v>
      </c>
      <c r="BB47">
        <v>0</v>
      </c>
      <c r="BC47">
        <v>0</v>
      </c>
      <c r="BD47">
        <v>0</v>
      </c>
      <c r="BE47">
        <v>0</v>
      </c>
      <c r="BF47">
        <v>232.8504657</v>
      </c>
      <c r="BG47">
        <v>2059.3898568749996</v>
      </c>
      <c r="BH47">
        <v>0</v>
      </c>
      <c r="BI47">
        <v>27</v>
      </c>
      <c r="BJ47">
        <v>0</v>
      </c>
      <c r="BK47">
        <v>0</v>
      </c>
      <c r="BL47">
        <v>0</v>
      </c>
      <c r="BM47">
        <v>2319.2403225749995</v>
      </c>
      <c r="BN47">
        <v>487.5</v>
      </c>
      <c r="BO47">
        <v>1</v>
      </c>
      <c r="BP47">
        <v>0</v>
      </c>
      <c r="BQ47">
        <v>487.5</v>
      </c>
      <c r="BR47">
        <v>0</v>
      </c>
      <c r="BS47">
        <v>0</v>
      </c>
      <c r="BT47">
        <v>0</v>
      </c>
      <c r="BU47">
        <v>0</v>
      </c>
      <c r="BV47">
        <v>487.5</v>
      </c>
      <c r="BW47">
        <v>487.5</v>
      </c>
      <c r="BX47">
        <v>0</v>
      </c>
      <c r="BY47">
        <v>0</v>
      </c>
      <c r="BZ47">
        <v>0</v>
      </c>
      <c r="CA47">
        <v>0</v>
      </c>
      <c r="CB47">
        <v>0</v>
      </c>
      <c r="CC47">
        <v>0</v>
      </c>
      <c r="CD47">
        <v>0</v>
      </c>
      <c r="CE47">
        <v>0</v>
      </c>
      <c r="CF47">
        <v>0</v>
      </c>
      <c r="CG47">
        <v>556.83422437499996</v>
      </c>
      <c r="CH47">
        <v>0</v>
      </c>
      <c r="CI47">
        <v>11</v>
      </c>
      <c r="CJ47">
        <v>0</v>
      </c>
      <c r="CK47">
        <v>0</v>
      </c>
      <c r="CL47">
        <v>0</v>
      </c>
      <c r="CM47">
        <v>567.36422437499994</v>
      </c>
      <c r="CN47">
        <v>0</v>
      </c>
      <c r="CO47">
        <v>0</v>
      </c>
      <c r="CP47">
        <v>0</v>
      </c>
      <c r="CQ47">
        <v>0</v>
      </c>
      <c r="CR47">
        <v>0</v>
      </c>
      <c r="CS47">
        <v>0</v>
      </c>
      <c r="CT47">
        <v>0</v>
      </c>
      <c r="CU47">
        <v>0</v>
      </c>
      <c r="CV47">
        <v>0</v>
      </c>
      <c r="CW47">
        <v>35603.8995</v>
      </c>
      <c r="CX47">
        <v>0</v>
      </c>
      <c r="CY47">
        <v>1365</v>
      </c>
      <c r="CZ47">
        <v>0</v>
      </c>
      <c r="DA47">
        <v>0</v>
      </c>
      <c r="DB47">
        <v>0</v>
      </c>
      <c r="DC47">
        <v>36968.8995</v>
      </c>
      <c r="DD47">
        <v>0</v>
      </c>
      <c r="DE47">
        <v>24375</v>
      </c>
      <c r="DF47" t="s">
        <v>135</v>
      </c>
      <c r="DG47" t="s">
        <v>135</v>
      </c>
      <c r="DH47">
        <v>0</v>
      </c>
      <c r="DI47">
        <v>0</v>
      </c>
      <c r="DJ47">
        <v>0</v>
      </c>
      <c r="DK47">
        <v>0</v>
      </c>
      <c r="DL47">
        <v>0</v>
      </c>
      <c r="DM47">
        <v>24375</v>
      </c>
      <c r="DN47">
        <v>24375</v>
      </c>
      <c r="DQ47" t="s">
        <v>135</v>
      </c>
      <c r="DR47" t="s">
        <v>135</v>
      </c>
      <c r="DS47">
        <v>0</v>
      </c>
      <c r="DT47">
        <v>0</v>
      </c>
      <c r="DU47">
        <v>0</v>
      </c>
      <c r="DV47">
        <v>5</v>
      </c>
      <c r="DW47">
        <v>5</v>
      </c>
      <c r="DX47">
        <v>0</v>
      </c>
      <c r="DY47">
        <v>0</v>
      </c>
    </row>
    <row r="48" spans="1:129">
      <c r="A48" t="s">
        <v>1952</v>
      </c>
      <c r="C48" t="s">
        <v>1954</v>
      </c>
      <c r="D48">
        <v>1</v>
      </c>
      <c r="E48" s="195">
        <v>44562</v>
      </c>
      <c r="F48">
        <v>1</v>
      </c>
      <c r="G48">
        <v>3</v>
      </c>
      <c r="H48">
        <v>240</v>
      </c>
      <c r="I48" t="s">
        <v>666</v>
      </c>
      <c r="J48" t="s">
        <v>2021</v>
      </c>
      <c r="K48" t="s">
        <v>39</v>
      </c>
      <c r="M48" t="s">
        <v>40</v>
      </c>
      <c r="N48" t="s">
        <v>41</v>
      </c>
      <c r="O48" t="s">
        <v>769</v>
      </c>
      <c r="P48">
        <v>0</v>
      </c>
      <c r="R48">
        <v>1.625</v>
      </c>
      <c r="S48">
        <v>240</v>
      </c>
      <c r="U48">
        <v>390</v>
      </c>
      <c r="V48">
        <v>0</v>
      </c>
      <c r="W48">
        <v>60</v>
      </c>
      <c r="AC48" t="s">
        <v>937</v>
      </c>
      <c r="AD48">
        <v>50</v>
      </c>
      <c r="AE48" t="s">
        <v>224</v>
      </c>
      <c r="AH48">
        <v>0</v>
      </c>
      <c r="AI48">
        <v>0</v>
      </c>
      <c r="AJ48">
        <v>0</v>
      </c>
      <c r="AK48">
        <v>0</v>
      </c>
      <c r="AL48">
        <v>0</v>
      </c>
      <c r="AM48">
        <v>0</v>
      </c>
      <c r="AN48">
        <v>0</v>
      </c>
      <c r="AO48">
        <v>0</v>
      </c>
      <c r="AP48">
        <v>17.2608</v>
      </c>
      <c r="AQ48">
        <v>184.84798675729618</v>
      </c>
      <c r="AR48">
        <v>0</v>
      </c>
      <c r="AS48">
        <v>2.8992</v>
      </c>
      <c r="AT48">
        <v>0</v>
      </c>
      <c r="AU48">
        <v>0</v>
      </c>
      <c r="AV48">
        <v>0</v>
      </c>
      <c r="AW48">
        <v>205.00798675729618</v>
      </c>
      <c r="AX48">
        <v>0</v>
      </c>
      <c r="AY48">
        <v>0</v>
      </c>
      <c r="AZ48">
        <v>0</v>
      </c>
      <c r="BA48">
        <v>0</v>
      </c>
      <c r="BB48">
        <v>0</v>
      </c>
      <c r="BC48">
        <v>0</v>
      </c>
      <c r="BD48">
        <v>0</v>
      </c>
      <c r="BE48">
        <v>0</v>
      </c>
      <c r="BF48">
        <v>186.28037255999999</v>
      </c>
      <c r="BG48">
        <v>1647.5118854999998</v>
      </c>
      <c r="BH48">
        <v>0</v>
      </c>
      <c r="BI48">
        <v>22</v>
      </c>
      <c r="BJ48">
        <v>0</v>
      </c>
      <c r="BK48">
        <v>0</v>
      </c>
      <c r="BL48">
        <v>0</v>
      </c>
      <c r="BM48">
        <v>1855.3922580599997</v>
      </c>
      <c r="BN48">
        <v>390</v>
      </c>
      <c r="BO48">
        <v>1</v>
      </c>
      <c r="BP48">
        <v>0</v>
      </c>
      <c r="BQ48">
        <v>390</v>
      </c>
      <c r="BR48">
        <v>0</v>
      </c>
      <c r="BS48">
        <v>0</v>
      </c>
      <c r="BT48">
        <v>0</v>
      </c>
      <c r="BU48">
        <v>0</v>
      </c>
      <c r="BV48">
        <v>390</v>
      </c>
      <c r="BW48">
        <v>390</v>
      </c>
      <c r="BX48">
        <v>0</v>
      </c>
      <c r="BY48">
        <v>0</v>
      </c>
      <c r="BZ48">
        <v>0</v>
      </c>
      <c r="CA48">
        <v>0</v>
      </c>
      <c r="CB48">
        <v>0</v>
      </c>
      <c r="CC48">
        <v>0</v>
      </c>
      <c r="CD48">
        <v>0</v>
      </c>
      <c r="CE48">
        <v>0</v>
      </c>
      <c r="CF48">
        <v>0</v>
      </c>
      <c r="CG48">
        <v>445.46737949999999</v>
      </c>
      <c r="CH48">
        <v>0</v>
      </c>
      <c r="CI48">
        <v>8</v>
      </c>
      <c r="CJ48">
        <v>0</v>
      </c>
      <c r="CK48">
        <v>0</v>
      </c>
      <c r="CL48">
        <v>0</v>
      </c>
      <c r="CM48">
        <v>453.89137949999997</v>
      </c>
      <c r="CN48">
        <v>0</v>
      </c>
      <c r="CO48">
        <v>0</v>
      </c>
      <c r="CP48">
        <v>0</v>
      </c>
      <c r="CQ48">
        <v>0</v>
      </c>
      <c r="CR48">
        <v>0</v>
      </c>
      <c r="CS48">
        <v>0</v>
      </c>
      <c r="CT48">
        <v>0</v>
      </c>
      <c r="CU48">
        <v>0</v>
      </c>
      <c r="CV48">
        <v>0</v>
      </c>
      <c r="CW48">
        <v>28483.119599999998</v>
      </c>
      <c r="CX48">
        <v>0</v>
      </c>
      <c r="CY48">
        <v>1092</v>
      </c>
      <c r="CZ48">
        <v>0</v>
      </c>
      <c r="DA48">
        <v>0</v>
      </c>
      <c r="DB48">
        <v>0</v>
      </c>
      <c r="DC48">
        <v>29575.119599999998</v>
      </c>
      <c r="DD48">
        <v>0</v>
      </c>
      <c r="DE48">
        <v>19500</v>
      </c>
      <c r="DF48" t="s">
        <v>135</v>
      </c>
      <c r="DG48" t="s">
        <v>135</v>
      </c>
      <c r="DH48">
        <v>0</v>
      </c>
      <c r="DI48">
        <v>0</v>
      </c>
      <c r="DJ48">
        <v>0</v>
      </c>
      <c r="DK48">
        <v>0</v>
      </c>
      <c r="DL48">
        <v>0</v>
      </c>
      <c r="DM48">
        <v>19500</v>
      </c>
      <c r="DN48">
        <v>19500</v>
      </c>
      <c r="DQ48" t="s">
        <v>135</v>
      </c>
      <c r="DR48" t="s">
        <v>135</v>
      </c>
      <c r="DS48">
        <v>0</v>
      </c>
      <c r="DT48">
        <v>0</v>
      </c>
      <c r="DU48">
        <v>0</v>
      </c>
      <c r="DV48">
        <v>4</v>
      </c>
      <c r="DW48">
        <v>4</v>
      </c>
      <c r="DX48">
        <v>0</v>
      </c>
      <c r="DY48">
        <v>0</v>
      </c>
    </row>
    <row r="49" spans="1:129">
      <c r="A49" t="s">
        <v>1952</v>
      </c>
      <c r="C49" t="s">
        <v>1954</v>
      </c>
      <c r="D49">
        <v>1</v>
      </c>
      <c r="E49" s="195">
        <v>44562</v>
      </c>
      <c r="F49">
        <v>1</v>
      </c>
      <c r="G49">
        <v>3</v>
      </c>
      <c r="H49">
        <v>295</v>
      </c>
      <c r="I49" t="s">
        <v>666</v>
      </c>
      <c r="J49" t="s">
        <v>2022</v>
      </c>
      <c r="K49" t="s">
        <v>45</v>
      </c>
      <c r="M49" t="s">
        <v>40</v>
      </c>
      <c r="N49" t="s">
        <v>46</v>
      </c>
      <c r="O49" t="s">
        <v>627</v>
      </c>
      <c r="P49">
        <v>0</v>
      </c>
      <c r="R49">
        <v>1.5</v>
      </c>
      <c r="S49">
        <v>295</v>
      </c>
      <c r="T49">
        <v>60</v>
      </c>
      <c r="U49">
        <v>442.5</v>
      </c>
      <c r="V49">
        <v>0</v>
      </c>
      <c r="X49">
        <v>50</v>
      </c>
      <c r="Y49" t="s">
        <v>224</v>
      </c>
      <c r="AA49" t="s">
        <v>937</v>
      </c>
      <c r="AH49">
        <v>0</v>
      </c>
      <c r="AI49">
        <v>0</v>
      </c>
      <c r="AJ49">
        <v>0</v>
      </c>
      <c r="AK49">
        <v>661.51390000000004</v>
      </c>
      <c r="AL49">
        <v>209.73136959000914</v>
      </c>
      <c r="AM49">
        <v>64.214521627763077</v>
      </c>
      <c r="AN49">
        <v>0</v>
      </c>
      <c r="AO49">
        <v>0</v>
      </c>
      <c r="AP49">
        <v>0</v>
      </c>
      <c r="AQ49">
        <v>0</v>
      </c>
      <c r="AR49">
        <v>0</v>
      </c>
      <c r="AS49">
        <v>0</v>
      </c>
      <c r="AT49">
        <v>0</v>
      </c>
      <c r="AU49">
        <v>0</v>
      </c>
      <c r="AV49">
        <v>0</v>
      </c>
      <c r="AW49">
        <v>935.45979121777236</v>
      </c>
      <c r="AX49">
        <v>0</v>
      </c>
      <c r="AY49">
        <v>0</v>
      </c>
      <c r="AZ49">
        <v>0</v>
      </c>
      <c r="BA49">
        <v>5192</v>
      </c>
      <c r="BB49">
        <v>1869.2923316249999</v>
      </c>
      <c r="BC49">
        <v>575.94475846775003</v>
      </c>
      <c r="BD49">
        <v>0</v>
      </c>
      <c r="BE49">
        <v>0</v>
      </c>
      <c r="BF49">
        <v>0</v>
      </c>
      <c r="BG49">
        <v>0</v>
      </c>
      <c r="BH49">
        <v>0</v>
      </c>
      <c r="BI49">
        <v>0</v>
      </c>
      <c r="BJ49">
        <v>0</v>
      </c>
      <c r="BK49">
        <v>0</v>
      </c>
      <c r="BL49">
        <v>0</v>
      </c>
      <c r="BM49">
        <v>7637.2370900927499</v>
      </c>
      <c r="BN49">
        <v>442.5</v>
      </c>
      <c r="BO49">
        <v>0</v>
      </c>
      <c r="BP49">
        <v>442.5</v>
      </c>
      <c r="BQ49">
        <v>0</v>
      </c>
      <c r="BR49">
        <v>0</v>
      </c>
      <c r="BS49">
        <v>0</v>
      </c>
      <c r="BT49">
        <v>0</v>
      </c>
      <c r="BU49">
        <v>442.5</v>
      </c>
      <c r="BV49">
        <v>0</v>
      </c>
      <c r="BW49">
        <v>442.5</v>
      </c>
      <c r="BX49">
        <v>0</v>
      </c>
      <c r="BY49">
        <v>0</v>
      </c>
      <c r="BZ49">
        <v>0</v>
      </c>
      <c r="CA49">
        <v>2504.5500000000002</v>
      </c>
      <c r="CB49">
        <v>505.43414212499999</v>
      </c>
      <c r="CC49">
        <v>175.28658010516671</v>
      </c>
      <c r="CD49">
        <v>0</v>
      </c>
      <c r="CE49">
        <v>0</v>
      </c>
      <c r="CF49">
        <v>0</v>
      </c>
      <c r="CG49">
        <v>0</v>
      </c>
      <c r="CH49">
        <v>0</v>
      </c>
      <c r="CI49">
        <v>0</v>
      </c>
      <c r="CJ49">
        <v>0</v>
      </c>
      <c r="CK49">
        <v>0</v>
      </c>
      <c r="CL49">
        <v>0</v>
      </c>
      <c r="CM49">
        <v>3185.2707222301669</v>
      </c>
      <c r="CN49">
        <v>0</v>
      </c>
      <c r="CO49">
        <v>0</v>
      </c>
      <c r="CP49">
        <v>0</v>
      </c>
      <c r="CQ49">
        <v>119032.5</v>
      </c>
      <c r="CR49">
        <v>32317.385699999999</v>
      </c>
      <c r="CS49">
        <v>10966.554639943333</v>
      </c>
      <c r="CT49">
        <v>0</v>
      </c>
      <c r="CU49">
        <v>0</v>
      </c>
      <c r="CV49">
        <v>0</v>
      </c>
      <c r="CW49">
        <v>0</v>
      </c>
      <c r="CX49">
        <v>0</v>
      </c>
      <c r="CY49">
        <v>0</v>
      </c>
      <c r="CZ49">
        <v>0</v>
      </c>
      <c r="DA49">
        <v>0</v>
      </c>
      <c r="DB49">
        <v>0</v>
      </c>
      <c r="DC49">
        <v>162316.44033994331</v>
      </c>
      <c r="DD49">
        <v>22125</v>
      </c>
      <c r="DE49">
        <v>0</v>
      </c>
      <c r="DF49" t="s">
        <v>135</v>
      </c>
      <c r="DG49" t="s">
        <v>135</v>
      </c>
      <c r="DH49">
        <v>0</v>
      </c>
      <c r="DI49">
        <v>0</v>
      </c>
      <c r="DJ49">
        <v>0</v>
      </c>
      <c r="DK49">
        <v>0</v>
      </c>
      <c r="DL49">
        <v>0</v>
      </c>
      <c r="DM49">
        <v>22125</v>
      </c>
      <c r="DN49">
        <v>22125</v>
      </c>
      <c r="DQ49" t="s">
        <v>135</v>
      </c>
      <c r="DR49" t="s">
        <v>135</v>
      </c>
      <c r="DS49">
        <v>0</v>
      </c>
      <c r="DT49">
        <v>0</v>
      </c>
      <c r="DU49">
        <v>0</v>
      </c>
      <c r="DV49">
        <v>4.916666666666667</v>
      </c>
      <c r="DW49">
        <v>4.916666666666667</v>
      </c>
      <c r="DX49">
        <v>2.2424200000000001</v>
      </c>
      <c r="DY49">
        <v>17.600000000000001</v>
      </c>
    </row>
    <row r="50" spans="1:129">
      <c r="A50" t="s">
        <v>1952</v>
      </c>
      <c r="C50" t="s">
        <v>1954</v>
      </c>
      <c r="D50">
        <v>1</v>
      </c>
      <c r="E50" s="195">
        <v>44562</v>
      </c>
      <c r="F50">
        <v>1</v>
      </c>
      <c r="G50">
        <v>3</v>
      </c>
      <c r="H50">
        <v>3240</v>
      </c>
      <c r="I50" t="s">
        <v>666</v>
      </c>
      <c r="J50" t="s">
        <v>2023</v>
      </c>
      <c r="K50" t="s">
        <v>45</v>
      </c>
      <c r="M50" t="s">
        <v>40</v>
      </c>
      <c r="N50" t="s">
        <v>46</v>
      </c>
      <c r="O50" t="s">
        <v>627</v>
      </c>
      <c r="P50">
        <v>0</v>
      </c>
      <c r="R50">
        <v>1.5</v>
      </c>
      <c r="S50">
        <v>3240</v>
      </c>
      <c r="T50">
        <v>60</v>
      </c>
      <c r="U50">
        <v>4860</v>
      </c>
      <c r="V50">
        <v>0</v>
      </c>
      <c r="X50">
        <v>50</v>
      </c>
      <c r="Y50" t="s">
        <v>224</v>
      </c>
      <c r="AA50" t="s">
        <v>937</v>
      </c>
      <c r="AH50">
        <v>0</v>
      </c>
      <c r="AI50">
        <v>0</v>
      </c>
      <c r="AJ50">
        <v>0</v>
      </c>
      <c r="AK50">
        <v>7265.4408000000003</v>
      </c>
      <c r="AL50">
        <v>2303.4902965139986</v>
      </c>
      <c r="AM50">
        <v>705.27135618288924</v>
      </c>
      <c r="AN50">
        <v>0</v>
      </c>
      <c r="AO50">
        <v>0</v>
      </c>
      <c r="AP50">
        <v>0</v>
      </c>
      <c r="AQ50">
        <v>0</v>
      </c>
      <c r="AR50">
        <v>0</v>
      </c>
      <c r="AS50">
        <v>0</v>
      </c>
      <c r="AT50">
        <v>0</v>
      </c>
      <c r="AU50">
        <v>0</v>
      </c>
      <c r="AV50">
        <v>0</v>
      </c>
      <c r="AW50">
        <v>10274.202452696889</v>
      </c>
      <c r="AX50">
        <v>0</v>
      </c>
      <c r="AY50">
        <v>0</v>
      </c>
      <c r="AZ50">
        <v>0</v>
      </c>
      <c r="BA50">
        <v>57024.000000000007</v>
      </c>
      <c r="BB50">
        <v>20530.532726999998</v>
      </c>
      <c r="BC50">
        <v>6325.6305675780004</v>
      </c>
      <c r="BD50">
        <v>0</v>
      </c>
      <c r="BE50">
        <v>0</v>
      </c>
      <c r="BF50">
        <v>0</v>
      </c>
      <c r="BG50">
        <v>0</v>
      </c>
      <c r="BH50">
        <v>0</v>
      </c>
      <c r="BI50">
        <v>0</v>
      </c>
      <c r="BJ50">
        <v>0</v>
      </c>
      <c r="BK50">
        <v>0</v>
      </c>
      <c r="BL50">
        <v>0</v>
      </c>
      <c r="BM50">
        <v>83880.163294578015</v>
      </c>
      <c r="BN50">
        <v>4860</v>
      </c>
      <c r="BO50">
        <v>0</v>
      </c>
      <c r="BP50">
        <v>4860</v>
      </c>
      <c r="BQ50">
        <v>0</v>
      </c>
      <c r="BR50">
        <v>0</v>
      </c>
      <c r="BS50">
        <v>0</v>
      </c>
      <c r="BT50">
        <v>0</v>
      </c>
      <c r="BU50">
        <v>4860</v>
      </c>
      <c r="BV50">
        <v>0</v>
      </c>
      <c r="BW50">
        <v>4860</v>
      </c>
      <c r="BX50">
        <v>0</v>
      </c>
      <c r="BY50">
        <v>0</v>
      </c>
      <c r="BZ50">
        <v>0</v>
      </c>
      <c r="CA50">
        <v>27507.600000000002</v>
      </c>
      <c r="CB50">
        <v>5551.2088830000002</v>
      </c>
      <c r="CC50">
        <v>1925.1814221720003</v>
      </c>
      <c r="CD50">
        <v>0</v>
      </c>
      <c r="CE50">
        <v>0</v>
      </c>
      <c r="CF50">
        <v>0</v>
      </c>
      <c r="CG50">
        <v>0</v>
      </c>
      <c r="CH50">
        <v>0</v>
      </c>
      <c r="CI50">
        <v>0</v>
      </c>
      <c r="CJ50">
        <v>0</v>
      </c>
      <c r="CK50">
        <v>0</v>
      </c>
      <c r="CL50">
        <v>0</v>
      </c>
      <c r="CM50">
        <v>34983.990305172003</v>
      </c>
      <c r="CN50">
        <v>0</v>
      </c>
      <c r="CO50">
        <v>0</v>
      </c>
      <c r="CP50">
        <v>0</v>
      </c>
      <c r="CQ50">
        <v>1307340</v>
      </c>
      <c r="CR50">
        <v>354943.49040000001</v>
      </c>
      <c r="CS50">
        <v>120446.22723192</v>
      </c>
      <c r="CT50">
        <v>0</v>
      </c>
      <c r="CU50">
        <v>0</v>
      </c>
      <c r="CV50">
        <v>0</v>
      </c>
      <c r="CW50">
        <v>0</v>
      </c>
      <c r="CX50">
        <v>0</v>
      </c>
      <c r="CY50">
        <v>0</v>
      </c>
      <c r="CZ50">
        <v>0</v>
      </c>
      <c r="DA50">
        <v>0</v>
      </c>
      <c r="DB50">
        <v>0</v>
      </c>
      <c r="DC50">
        <v>1782729.71763192</v>
      </c>
      <c r="DD50">
        <v>243000</v>
      </c>
      <c r="DE50">
        <v>0</v>
      </c>
      <c r="DF50" t="s">
        <v>135</v>
      </c>
      <c r="DG50" t="s">
        <v>135</v>
      </c>
      <c r="DH50">
        <v>0</v>
      </c>
      <c r="DI50">
        <v>0</v>
      </c>
      <c r="DJ50">
        <v>0</v>
      </c>
      <c r="DK50">
        <v>0</v>
      </c>
      <c r="DL50">
        <v>0</v>
      </c>
      <c r="DM50">
        <v>243000</v>
      </c>
      <c r="DN50">
        <v>243000</v>
      </c>
      <c r="DQ50" t="s">
        <v>135</v>
      </c>
      <c r="DR50" t="s">
        <v>135</v>
      </c>
      <c r="DS50">
        <v>0</v>
      </c>
      <c r="DT50">
        <v>0</v>
      </c>
      <c r="DU50">
        <v>0</v>
      </c>
      <c r="DV50">
        <v>54</v>
      </c>
      <c r="DW50">
        <v>54</v>
      </c>
      <c r="DX50">
        <v>2.2424200000000001</v>
      </c>
      <c r="DY50">
        <v>17.600000000000001</v>
      </c>
    </row>
    <row r="51" spans="1:129">
      <c r="A51" t="s">
        <v>1952</v>
      </c>
      <c r="C51" t="s">
        <v>1954</v>
      </c>
      <c r="D51">
        <v>1</v>
      </c>
      <c r="E51" s="195">
        <v>44562</v>
      </c>
      <c r="F51">
        <v>1</v>
      </c>
      <c r="G51">
        <v>3</v>
      </c>
      <c r="H51">
        <v>199</v>
      </c>
      <c r="I51" t="s">
        <v>666</v>
      </c>
      <c r="J51" t="s">
        <v>2024</v>
      </c>
      <c r="K51" t="s">
        <v>45</v>
      </c>
      <c r="M51" t="s">
        <v>40</v>
      </c>
      <c r="N51" t="s">
        <v>46</v>
      </c>
      <c r="O51" t="s">
        <v>627</v>
      </c>
      <c r="P51">
        <v>0</v>
      </c>
      <c r="R51">
        <v>1.5</v>
      </c>
      <c r="S51">
        <v>199</v>
      </c>
      <c r="T51">
        <v>60</v>
      </c>
      <c r="U51">
        <v>298.5</v>
      </c>
      <c r="V51">
        <v>0</v>
      </c>
      <c r="X51">
        <v>50</v>
      </c>
      <c r="Y51" t="s">
        <v>224</v>
      </c>
      <c r="AA51" t="s">
        <v>937</v>
      </c>
      <c r="AH51">
        <v>0</v>
      </c>
      <c r="AI51">
        <v>0</v>
      </c>
      <c r="AJ51">
        <v>0</v>
      </c>
      <c r="AK51">
        <v>446.24158</v>
      </c>
      <c r="AL51">
        <v>141.47980524885361</v>
      </c>
      <c r="AM51">
        <v>43.317592555677457</v>
      </c>
      <c r="AN51">
        <v>0</v>
      </c>
      <c r="AO51">
        <v>0</v>
      </c>
      <c r="AP51">
        <v>0</v>
      </c>
      <c r="AQ51">
        <v>0</v>
      </c>
      <c r="AR51">
        <v>0</v>
      </c>
      <c r="AS51">
        <v>0</v>
      </c>
      <c r="AT51">
        <v>0</v>
      </c>
      <c r="AU51">
        <v>0</v>
      </c>
      <c r="AV51">
        <v>0</v>
      </c>
      <c r="AW51">
        <v>631.0389778045311</v>
      </c>
      <c r="AX51">
        <v>0</v>
      </c>
      <c r="AY51">
        <v>0</v>
      </c>
      <c r="AZ51">
        <v>0</v>
      </c>
      <c r="BA51">
        <v>3502.4</v>
      </c>
      <c r="BB51">
        <v>1260.980250825</v>
      </c>
      <c r="BC51">
        <v>388.51866757655</v>
      </c>
      <c r="BD51">
        <v>0</v>
      </c>
      <c r="BE51">
        <v>0</v>
      </c>
      <c r="BF51">
        <v>0</v>
      </c>
      <c r="BG51">
        <v>0</v>
      </c>
      <c r="BH51">
        <v>0</v>
      </c>
      <c r="BI51">
        <v>0</v>
      </c>
      <c r="BJ51">
        <v>0</v>
      </c>
      <c r="BK51">
        <v>0</v>
      </c>
      <c r="BL51">
        <v>0</v>
      </c>
      <c r="BM51">
        <v>5151.89891840155</v>
      </c>
      <c r="BN51">
        <v>298.5</v>
      </c>
      <c r="BO51">
        <v>0</v>
      </c>
      <c r="BP51">
        <v>298.5</v>
      </c>
      <c r="BQ51">
        <v>0</v>
      </c>
      <c r="BR51">
        <v>0</v>
      </c>
      <c r="BS51">
        <v>0</v>
      </c>
      <c r="BT51">
        <v>0</v>
      </c>
      <c r="BU51">
        <v>298.5</v>
      </c>
      <c r="BV51">
        <v>0</v>
      </c>
      <c r="BW51">
        <v>298.5</v>
      </c>
      <c r="BX51">
        <v>0</v>
      </c>
      <c r="BY51">
        <v>0</v>
      </c>
      <c r="BZ51">
        <v>0</v>
      </c>
      <c r="CA51">
        <v>1689.51</v>
      </c>
      <c r="CB51">
        <v>340.95387892499997</v>
      </c>
      <c r="CC51">
        <v>118.24416759636667</v>
      </c>
      <c r="CD51">
        <v>0</v>
      </c>
      <c r="CE51">
        <v>0</v>
      </c>
      <c r="CF51">
        <v>0</v>
      </c>
      <c r="CG51">
        <v>0</v>
      </c>
      <c r="CH51">
        <v>0</v>
      </c>
      <c r="CI51">
        <v>0</v>
      </c>
      <c r="CJ51">
        <v>0</v>
      </c>
      <c r="CK51">
        <v>0</v>
      </c>
      <c r="CL51">
        <v>0</v>
      </c>
      <c r="CM51">
        <v>2148.7080465213667</v>
      </c>
      <c r="CN51">
        <v>0</v>
      </c>
      <c r="CO51">
        <v>0</v>
      </c>
      <c r="CP51">
        <v>0</v>
      </c>
      <c r="CQ51">
        <v>80296.5</v>
      </c>
      <c r="CR51">
        <v>21800.541539999998</v>
      </c>
      <c r="CS51">
        <v>7397.7775367753338</v>
      </c>
      <c r="CT51">
        <v>0</v>
      </c>
      <c r="CU51">
        <v>0</v>
      </c>
      <c r="CV51">
        <v>0</v>
      </c>
      <c r="CW51">
        <v>0</v>
      </c>
      <c r="CX51">
        <v>0</v>
      </c>
      <c r="CY51">
        <v>0</v>
      </c>
      <c r="CZ51">
        <v>0</v>
      </c>
      <c r="DA51">
        <v>0</v>
      </c>
      <c r="DB51">
        <v>0</v>
      </c>
      <c r="DC51">
        <v>109494.81907677534</v>
      </c>
      <c r="DD51">
        <v>14925</v>
      </c>
      <c r="DE51">
        <v>0</v>
      </c>
      <c r="DF51" t="s">
        <v>135</v>
      </c>
      <c r="DG51" t="s">
        <v>135</v>
      </c>
      <c r="DH51">
        <v>0</v>
      </c>
      <c r="DI51">
        <v>0</v>
      </c>
      <c r="DJ51">
        <v>0</v>
      </c>
      <c r="DK51">
        <v>0</v>
      </c>
      <c r="DL51">
        <v>0</v>
      </c>
      <c r="DM51">
        <v>14925</v>
      </c>
      <c r="DN51">
        <v>14925</v>
      </c>
      <c r="DQ51" t="s">
        <v>135</v>
      </c>
      <c r="DR51" t="s">
        <v>135</v>
      </c>
      <c r="DS51">
        <v>0</v>
      </c>
      <c r="DT51">
        <v>0</v>
      </c>
      <c r="DU51">
        <v>0</v>
      </c>
      <c r="DV51">
        <v>3.3166666666666669</v>
      </c>
      <c r="DW51">
        <v>3.3166666666666669</v>
      </c>
      <c r="DX51">
        <v>2.2424200000000001</v>
      </c>
      <c r="DY51">
        <v>17.600000000000001</v>
      </c>
    </row>
    <row r="52" spans="1:129">
      <c r="A52" t="s">
        <v>1952</v>
      </c>
      <c r="C52" t="s">
        <v>1954</v>
      </c>
      <c r="D52">
        <v>1</v>
      </c>
      <c r="E52" s="195">
        <v>44562</v>
      </c>
      <c r="F52">
        <v>1</v>
      </c>
      <c r="G52">
        <v>3</v>
      </c>
      <c r="H52">
        <v>218</v>
      </c>
      <c r="I52" t="s">
        <v>666</v>
      </c>
      <c r="J52" t="s">
        <v>2025</v>
      </c>
      <c r="K52" t="s">
        <v>45</v>
      </c>
      <c r="M52" t="s">
        <v>40</v>
      </c>
      <c r="N52" t="s">
        <v>46</v>
      </c>
      <c r="O52" t="s">
        <v>627</v>
      </c>
      <c r="P52">
        <v>0</v>
      </c>
      <c r="R52">
        <v>1.5</v>
      </c>
      <c r="S52">
        <v>218</v>
      </c>
      <c r="T52">
        <v>60</v>
      </c>
      <c r="U52">
        <v>327</v>
      </c>
      <c r="V52">
        <v>0</v>
      </c>
      <c r="X52">
        <v>50</v>
      </c>
      <c r="Y52" t="s">
        <v>224</v>
      </c>
      <c r="AA52" t="s">
        <v>937</v>
      </c>
      <c r="AH52">
        <v>0</v>
      </c>
      <c r="AI52">
        <v>0</v>
      </c>
      <c r="AJ52">
        <v>0</v>
      </c>
      <c r="AK52">
        <v>488.84756000000004</v>
      </c>
      <c r="AL52">
        <v>154.98792735804065</v>
      </c>
      <c r="AM52">
        <v>47.453443101194395</v>
      </c>
      <c r="AN52">
        <v>0</v>
      </c>
      <c r="AO52">
        <v>0</v>
      </c>
      <c r="AP52">
        <v>0</v>
      </c>
      <c r="AQ52">
        <v>0</v>
      </c>
      <c r="AR52">
        <v>0</v>
      </c>
      <c r="AS52">
        <v>0</v>
      </c>
      <c r="AT52">
        <v>0</v>
      </c>
      <c r="AU52">
        <v>0</v>
      </c>
      <c r="AV52">
        <v>0</v>
      </c>
      <c r="AW52">
        <v>691.28893045923508</v>
      </c>
      <c r="AX52">
        <v>0</v>
      </c>
      <c r="AY52">
        <v>0</v>
      </c>
      <c r="AZ52">
        <v>0</v>
      </c>
      <c r="BA52">
        <v>3836.8</v>
      </c>
      <c r="BB52">
        <v>1381.3753501499998</v>
      </c>
      <c r="BC52">
        <v>425.61341473209995</v>
      </c>
      <c r="BD52">
        <v>0</v>
      </c>
      <c r="BE52">
        <v>0</v>
      </c>
      <c r="BF52">
        <v>0</v>
      </c>
      <c r="BG52">
        <v>0</v>
      </c>
      <c r="BH52">
        <v>0</v>
      </c>
      <c r="BI52">
        <v>0</v>
      </c>
      <c r="BJ52">
        <v>0</v>
      </c>
      <c r="BK52">
        <v>0</v>
      </c>
      <c r="BL52">
        <v>0</v>
      </c>
      <c r="BM52">
        <v>5643.7887648820997</v>
      </c>
      <c r="BN52">
        <v>327</v>
      </c>
      <c r="BO52">
        <v>0</v>
      </c>
      <c r="BP52">
        <v>327</v>
      </c>
      <c r="BQ52">
        <v>0</v>
      </c>
      <c r="BR52">
        <v>0</v>
      </c>
      <c r="BS52">
        <v>0</v>
      </c>
      <c r="BT52">
        <v>0</v>
      </c>
      <c r="BU52">
        <v>327</v>
      </c>
      <c r="BV52">
        <v>0</v>
      </c>
      <c r="BW52">
        <v>327</v>
      </c>
      <c r="BX52">
        <v>0</v>
      </c>
      <c r="BY52">
        <v>0</v>
      </c>
      <c r="BZ52">
        <v>0</v>
      </c>
      <c r="CA52">
        <v>1850.82</v>
      </c>
      <c r="CB52">
        <v>373.50726435000001</v>
      </c>
      <c r="CC52">
        <v>129.53381173873333</v>
      </c>
      <c r="CD52">
        <v>0</v>
      </c>
      <c r="CE52">
        <v>0</v>
      </c>
      <c r="CF52">
        <v>0</v>
      </c>
      <c r="CG52">
        <v>0</v>
      </c>
      <c r="CH52">
        <v>0</v>
      </c>
      <c r="CI52">
        <v>0</v>
      </c>
      <c r="CJ52">
        <v>0</v>
      </c>
      <c r="CK52">
        <v>0</v>
      </c>
      <c r="CL52">
        <v>0</v>
      </c>
      <c r="CM52">
        <v>2353.8610760887332</v>
      </c>
      <c r="CN52">
        <v>0</v>
      </c>
      <c r="CO52">
        <v>0</v>
      </c>
      <c r="CP52">
        <v>0</v>
      </c>
      <c r="CQ52">
        <v>87963</v>
      </c>
      <c r="CR52">
        <v>23882.00028</v>
      </c>
      <c r="CS52">
        <v>8104.0980051106671</v>
      </c>
      <c r="CT52">
        <v>0</v>
      </c>
      <c r="CU52">
        <v>0</v>
      </c>
      <c r="CV52">
        <v>0</v>
      </c>
      <c r="CW52">
        <v>0</v>
      </c>
      <c r="CX52">
        <v>0</v>
      </c>
      <c r="CY52">
        <v>0</v>
      </c>
      <c r="CZ52">
        <v>0</v>
      </c>
      <c r="DA52">
        <v>0</v>
      </c>
      <c r="DB52">
        <v>0</v>
      </c>
      <c r="DC52">
        <v>119949.09828511067</v>
      </c>
      <c r="DD52">
        <v>16350</v>
      </c>
      <c r="DE52">
        <v>0</v>
      </c>
      <c r="DF52" t="s">
        <v>135</v>
      </c>
      <c r="DG52" t="s">
        <v>135</v>
      </c>
      <c r="DH52">
        <v>0</v>
      </c>
      <c r="DI52">
        <v>0</v>
      </c>
      <c r="DJ52">
        <v>0</v>
      </c>
      <c r="DK52">
        <v>0</v>
      </c>
      <c r="DL52">
        <v>0</v>
      </c>
      <c r="DM52">
        <v>16350</v>
      </c>
      <c r="DN52">
        <v>16350</v>
      </c>
      <c r="DQ52" t="s">
        <v>135</v>
      </c>
      <c r="DR52" t="s">
        <v>135</v>
      </c>
      <c r="DS52">
        <v>0</v>
      </c>
      <c r="DT52">
        <v>0</v>
      </c>
      <c r="DU52">
        <v>0</v>
      </c>
      <c r="DV52">
        <v>3.6333333333333333</v>
      </c>
      <c r="DW52">
        <v>3.6333333333333333</v>
      </c>
      <c r="DX52">
        <v>2.2424200000000001</v>
      </c>
      <c r="DY52">
        <v>17.600000000000001</v>
      </c>
    </row>
    <row r="53" spans="1:129">
      <c r="A53" t="s">
        <v>1952</v>
      </c>
      <c r="C53" t="s">
        <v>1954</v>
      </c>
      <c r="D53">
        <v>1</v>
      </c>
      <c r="E53" s="195">
        <v>44562</v>
      </c>
      <c r="F53">
        <v>1</v>
      </c>
      <c r="G53">
        <v>3</v>
      </c>
      <c r="H53">
        <v>67</v>
      </c>
      <c r="I53" t="s">
        <v>666</v>
      </c>
      <c r="J53" t="s">
        <v>2026</v>
      </c>
      <c r="K53" t="s">
        <v>45</v>
      </c>
      <c r="M53" t="s">
        <v>40</v>
      </c>
      <c r="N53" t="s">
        <v>46</v>
      </c>
      <c r="O53" t="s">
        <v>627</v>
      </c>
      <c r="P53">
        <v>0</v>
      </c>
      <c r="R53">
        <v>1.5</v>
      </c>
      <c r="S53">
        <v>67</v>
      </c>
      <c r="T53">
        <v>60</v>
      </c>
      <c r="U53">
        <v>100.5</v>
      </c>
      <c r="V53">
        <v>0</v>
      </c>
      <c r="X53">
        <v>50</v>
      </c>
      <c r="Y53" t="s">
        <v>224</v>
      </c>
      <c r="AA53" t="s">
        <v>937</v>
      </c>
      <c r="AH53">
        <v>0</v>
      </c>
      <c r="AI53">
        <v>0</v>
      </c>
      <c r="AJ53">
        <v>0</v>
      </c>
      <c r="AK53">
        <v>150.24214000000001</v>
      </c>
      <c r="AL53">
        <v>47.633904279764785</v>
      </c>
      <c r="AM53">
        <v>14.584315081559746</v>
      </c>
      <c r="AN53">
        <v>0</v>
      </c>
      <c r="AO53">
        <v>0</v>
      </c>
      <c r="AP53">
        <v>0</v>
      </c>
      <c r="AQ53">
        <v>0</v>
      </c>
      <c r="AR53">
        <v>0</v>
      </c>
      <c r="AS53">
        <v>0</v>
      </c>
      <c r="AT53">
        <v>0</v>
      </c>
      <c r="AU53">
        <v>0</v>
      </c>
      <c r="AV53">
        <v>0</v>
      </c>
      <c r="AW53">
        <v>212.46035936132452</v>
      </c>
      <c r="AX53">
        <v>0</v>
      </c>
      <c r="AY53">
        <v>0</v>
      </c>
      <c r="AZ53">
        <v>0</v>
      </c>
      <c r="BA53">
        <v>1179.2</v>
      </c>
      <c r="BB53">
        <v>424.55113972499998</v>
      </c>
      <c r="BC53">
        <v>130.80779260115</v>
      </c>
      <c r="BD53">
        <v>0</v>
      </c>
      <c r="BE53">
        <v>0</v>
      </c>
      <c r="BF53">
        <v>0</v>
      </c>
      <c r="BG53">
        <v>0</v>
      </c>
      <c r="BH53">
        <v>0</v>
      </c>
      <c r="BI53">
        <v>0</v>
      </c>
      <c r="BJ53">
        <v>0</v>
      </c>
      <c r="BK53">
        <v>0</v>
      </c>
      <c r="BL53">
        <v>0</v>
      </c>
      <c r="BM53">
        <v>1734.5589323261499</v>
      </c>
      <c r="BN53">
        <v>100.5</v>
      </c>
      <c r="BO53">
        <v>0</v>
      </c>
      <c r="BP53">
        <v>100.5</v>
      </c>
      <c r="BQ53">
        <v>0</v>
      </c>
      <c r="BR53">
        <v>0</v>
      </c>
      <c r="BS53">
        <v>0</v>
      </c>
      <c r="BT53">
        <v>0</v>
      </c>
      <c r="BU53">
        <v>100.5</v>
      </c>
      <c r="BV53">
        <v>0</v>
      </c>
      <c r="BW53">
        <v>100.5</v>
      </c>
      <c r="BX53">
        <v>0</v>
      </c>
      <c r="BY53">
        <v>0</v>
      </c>
      <c r="BZ53">
        <v>0</v>
      </c>
      <c r="CA53">
        <v>568.83000000000004</v>
      </c>
      <c r="CB53">
        <v>114.793517025</v>
      </c>
      <c r="CC53">
        <v>39.810850396766668</v>
      </c>
      <c r="CD53">
        <v>0</v>
      </c>
      <c r="CE53">
        <v>0</v>
      </c>
      <c r="CF53">
        <v>0</v>
      </c>
      <c r="CG53">
        <v>0</v>
      </c>
      <c r="CH53">
        <v>0</v>
      </c>
      <c r="CI53">
        <v>0</v>
      </c>
      <c r="CJ53">
        <v>0</v>
      </c>
      <c r="CK53">
        <v>0</v>
      </c>
      <c r="CL53">
        <v>0</v>
      </c>
      <c r="CM53">
        <v>723.43436742176675</v>
      </c>
      <c r="CN53">
        <v>0</v>
      </c>
      <c r="CO53">
        <v>0</v>
      </c>
      <c r="CP53">
        <v>0</v>
      </c>
      <c r="CQ53">
        <v>27034.5</v>
      </c>
      <c r="CR53">
        <v>7339.8808200000003</v>
      </c>
      <c r="CS53">
        <v>2490.7090199193335</v>
      </c>
      <c r="CT53">
        <v>0</v>
      </c>
      <c r="CU53">
        <v>0</v>
      </c>
      <c r="CV53">
        <v>0</v>
      </c>
      <c r="CW53">
        <v>0</v>
      </c>
      <c r="CX53">
        <v>0</v>
      </c>
      <c r="CY53">
        <v>0</v>
      </c>
      <c r="CZ53">
        <v>0</v>
      </c>
      <c r="DA53">
        <v>0</v>
      </c>
      <c r="DB53">
        <v>0</v>
      </c>
      <c r="DC53">
        <v>36865.089839919332</v>
      </c>
      <c r="DD53">
        <v>5025</v>
      </c>
      <c r="DE53">
        <v>0</v>
      </c>
      <c r="DF53" t="s">
        <v>135</v>
      </c>
      <c r="DG53" t="s">
        <v>135</v>
      </c>
      <c r="DH53">
        <v>0</v>
      </c>
      <c r="DI53">
        <v>0</v>
      </c>
      <c r="DJ53">
        <v>0</v>
      </c>
      <c r="DK53">
        <v>0</v>
      </c>
      <c r="DL53">
        <v>0</v>
      </c>
      <c r="DM53">
        <v>5025</v>
      </c>
      <c r="DN53">
        <v>5025</v>
      </c>
      <c r="DQ53" t="s">
        <v>135</v>
      </c>
      <c r="DR53" t="s">
        <v>135</v>
      </c>
      <c r="DS53">
        <v>0</v>
      </c>
      <c r="DT53">
        <v>0</v>
      </c>
      <c r="DU53">
        <v>0</v>
      </c>
      <c r="DV53">
        <v>1.1166666666666667</v>
      </c>
      <c r="DW53">
        <v>1.1166666666666667</v>
      </c>
      <c r="DX53">
        <v>2.2424200000000001</v>
      </c>
      <c r="DY53">
        <v>17.600000000000001</v>
      </c>
    </row>
    <row r="54" spans="1:129">
      <c r="A54" t="s">
        <v>1952</v>
      </c>
      <c r="C54" t="s">
        <v>1954</v>
      </c>
      <c r="D54">
        <v>1</v>
      </c>
      <c r="E54" s="195">
        <v>44562</v>
      </c>
      <c r="F54">
        <v>1</v>
      </c>
      <c r="G54">
        <v>3</v>
      </c>
      <c r="H54">
        <v>1130</v>
      </c>
      <c r="I54" t="s">
        <v>385</v>
      </c>
      <c r="J54" t="s">
        <v>2027</v>
      </c>
      <c r="K54" t="s">
        <v>45</v>
      </c>
      <c r="M54" t="s">
        <v>40</v>
      </c>
      <c r="N54" t="s">
        <v>44</v>
      </c>
      <c r="O54" t="s">
        <v>627</v>
      </c>
      <c r="P54">
        <v>0</v>
      </c>
      <c r="R54">
        <v>1.65</v>
      </c>
      <c r="S54">
        <v>565.68484848484854</v>
      </c>
      <c r="T54">
        <v>60</v>
      </c>
      <c r="U54">
        <v>933.38</v>
      </c>
      <c r="V54">
        <v>0</v>
      </c>
      <c r="X54">
        <v>50</v>
      </c>
      <c r="Y54" t="s">
        <v>224</v>
      </c>
      <c r="AA54" t="s">
        <v>937</v>
      </c>
      <c r="AH54">
        <v>0</v>
      </c>
      <c r="AI54">
        <v>0</v>
      </c>
      <c r="AJ54">
        <v>0</v>
      </c>
      <c r="AK54">
        <v>697.67330000000004</v>
      </c>
      <c r="AL54">
        <v>442.39336892185929</v>
      </c>
      <c r="AM54">
        <v>136.11198330214972</v>
      </c>
      <c r="AN54">
        <v>0</v>
      </c>
      <c r="AO54">
        <v>0</v>
      </c>
      <c r="AP54">
        <v>0</v>
      </c>
      <c r="AQ54">
        <v>0</v>
      </c>
      <c r="AR54">
        <v>0</v>
      </c>
      <c r="AS54">
        <v>0</v>
      </c>
      <c r="AT54">
        <v>0</v>
      </c>
      <c r="AU54">
        <v>0</v>
      </c>
      <c r="AV54">
        <v>0</v>
      </c>
      <c r="AW54">
        <v>1276.1786522240091</v>
      </c>
      <c r="AX54">
        <v>0</v>
      </c>
      <c r="AY54">
        <v>0</v>
      </c>
      <c r="AZ54">
        <v>0</v>
      </c>
      <c r="BA54">
        <v>5480.5</v>
      </c>
      <c r="BB54">
        <v>3942.9606248409996</v>
      </c>
      <c r="BC54">
        <v>1324.9173035530498</v>
      </c>
      <c r="BD54">
        <v>0</v>
      </c>
      <c r="BE54">
        <v>0</v>
      </c>
      <c r="BF54">
        <v>0</v>
      </c>
      <c r="BG54">
        <v>0</v>
      </c>
      <c r="BH54">
        <v>0</v>
      </c>
      <c r="BI54">
        <v>0</v>
      </c>
      <c r="BJ54">
        <v>0</v>
      </c>
      <c r="BK54">
        <v>0</v>
      </c>
      <c r="BL54">
        <v>0</v>
      </c>
      <c r="BM54">
        <v>10748.377928394049</v>
      </c>
      <c r="BN54">
        <v>933.38</v>
      </c>
      <c r="BO54">
        <v>0.5</v>
      </c>
      <c r="BP54">
        <v>466.69</v>
      </c>
      <c r="BQ54">
        <v>466.69</v>
      </c>
      <c r="BR54">
        <v>0</v>
      </c>
      <c r="BS54">
        <v>0</v>
      </c>
      <c r="BT54">
        <v>0</v>
      </c>
      <c r="BU54">
        <v>466.69</v>
      </c>
      <c r="BV54">
        <v>466.69</v>
      </c>
      <c r="BW54">
        <v>933.38</v>
      </c>
      <c r="BX54">
        <v>0</v>
      </c>
      <c r="BY54">
        <v>0</v>
      </c>
      <c r="BZ54">
        <v>0</v>
      </c>
      <c r="CA54">
        <v>2610.3000000000002</v>
      </c>
      <c r="CB54">
        <v>1066.1290837889999</v>
      </c>
      <c r="CC54">
        <v>278.76969652428335</v>
      </c>
      <c r="CD54">
        <v>0</v>
      </c>
      <c r="CE54">
        <v>0</v>
      </c>
      <c r="CF54">
        <v>0</v>
      </c>
      <c r="CG54">
        <v>0</v>
      </c>
      <c r="CH54">
        <v>0</v>
      </c>
      <c r="CI54">
        <v>0</v>
      </c>
      <c r="CJ54">
        <v>0</v>
      </c>
      <c r="CK54">
        <v>0</v>
      </c>
      <c r="CL54">
        <v>0</v>
      </c>
      <c r="CM54">
        <v>3955.1987803132838</v>
      </c>
      <c r="CN54">
        <v>0</v>
      </c>
      <c r="CO54">
        <v>0</v>
      </c>
      <c r="CP54">
        <v>0</v>
      </c>
      <c r="CQ54">
        <v>69536.81</v>
      </c>
      <c r="CR54">
        <v>68168.138903200001</v>
      </c>
      <c r="CS54">
        <v>19905.376940366667</v>
      </c>
      <c r="CT54">
        <v>0</v>
      </c>
      <c r="CU54">
        <v>0</v>
      </c>
      <c r="CV54">
        <v>0</v>
      </c>
      <c r="CW54">
        <v>0</v>
      </c>
      <c r="CX54">
        <v>0</v>
      </c>
      <c r="CY54">
        <v>0</v>
      </c>
      <c r="CZ54">
        <v>0</v>
      </c>
      <c r="DA54">
        <v>0</v>
      </c>
      <c r="DB54">
        <v>0</v>
      </c>
      <c r="DC54">
        <v>157610.32584356665</v>
      </c>
      <c r="DD54">
        <v>46669</v>
      </c>
      <c r="DE54">
        <v>0</v>
      </c>
      <c r="DF54" t="s">
        <v>135</v>
      </c>
      <c r="DG54" t="s">
        <v>135</v>
      </c>
      <c r="DH54">
        <v>0</v>
      </c>
      <c r="DI54">
        <v>0</v>
      </c>
      <c r="DJ54">
        <v>0</v>
      </c>
      <c r="DK54">
        <v>0</v>
      </c>
      <c r="DL54">
        <v>0</v>
      </c>
      <c r="DM54">
        <v>46669</v>
      </c>
      <c r="DN54">
        <v>46669</v>
      </c>
      <c r="DQ54" t="s">
        <v>135</v>
      </c>
      <c r="DR54" t="s">
        <v>135</v>
      </c>
      <c r="DS54">
        <v>0</v>
      </c>
      <c r="DT54">
        <v>0</v>
      </c>
      <c r="DU54">
        <v>0</v>
      </c>
      <c r="DV54">
        <v>18.833333333333332</v>
      </c>
      <c r="DW54">
        <v>18.833333333333332</v>
      </c>
      <c r="DX54">
        <v>0.61741000000000001</v>
      </c>
      <c r="DY54">
        <v>4.8499999999999996</v>
      </c>
    </row>
    <row r="55" spans="1:129">
      <c r="A55" t="s">
        <v>1952</v>
      </c>
      <c r="C55" t="s">
        <v>1954</v>
      </c>
      <c r="D55">
        <v>1</v>
      </c>
      <c r="E55" s="195">
        <v>44562</v>
      </c>
      <c r="F55">
        <v>1</v>
      </c>
      <c r="G55">
        <v>3</v>
      </c>
      <c r="H55">
        <v>275</v>
      </c>
      <c r="I55" t="s">
        <v>385</v>
      </c>
      <c r="J55" t="s">
        <v>2028</v>
      </c>
      <c r="K55" t="s">
        <v>45</v>
      </c>
      <c r="M55" t="s">
        <v>40</v>
      </c>
      <c r="N55" t="s">
        <v>44</v>
      </c>
      <c r="O55" t="s">
        <v>627</v>
      </c>
      <c r="P55">
        <v>0</v>
      </c>
      <c r="R55">
        <v>1.65</v>
      </c>
      <c r="S55">
        <v>137.66666666666666</v>
      </c>
      <c r="T55">
        <v>60</v>
      </c>
      <c r="U55">
        <v>227.14999999999998</v>
      </c>
      <c r="V55">
        <v>0</v>
      </c>
      <c r="X55">
        <v>50</v>
      </c>
      <c r="Y55" t="s">
        <v>224</v>
      </c>
      <c r="AA55" t="s">
        <v>937</v>
      </c>
      <c r="AH55">
        <v>0</v>
      </c>
      <c r="AI55">
        <v>0</v>
      </c>
      <c r="AJ55">
        <v>0</v>
      </c>
      <c r="AK55">
        <v>169.78775000000002</v>
      </c>
      <c r="AL55">
        <v>107.66210305620467</v>
      </c>
      <c r="AM55">
        <v>33.124597706275374</v>
      </c>
      <c r="AN55">
        <v>0</v>
      </c>
      <c r="AO55">
        <v>0</v>
      </c>
      <c r="AP55">
        <v>0</v>
      </c>
      <c r="AQ55">
        <v>0</v>
      </c>
      <c r="AR55">
        <v>0</v>
      </c>
      <c r="AS55">
        <v>0</v>
      </c>
      <c r="AT55">
        <v>0</v>
      </c>
      <c r="AU55">
        <v>0</v>
      </c>
      <c r="AV55">
        <v>0</v>
      </c>
      <c r="AW55">
        <v>310.57445076248007</v>
      </c>
      <c r="AX55">
        <v>0</v>
      </c>
      <c r="AY55">
        <v>0</v>
      </c>
      <c r="AZ55">
        <v>0</v>
      </c>
      <c r="BA55">
        <v>1333.75</v>
      </c>
      <c r="BB55">
        <v>959.5700635674998</v>
      </c>
      <c r="BC55">
        <v>322.43562697087498</v>
      </c>
      <c r="BD55">
        <v>0</v>
      </c>
      <c r="BE55">
        <v>0</v>
      </c>
      <c r="BF55">
        <v>0</v>
      </c>
      <c r="BG55">
        <v>0</v>
      </c>
      <c r="BH55">
        <v>0</v>
      </c>
      <c r="BI55">
        <v>0</v>
      </c>
      <c r="BJ55">
        <v>0</v>
      </c>
      <c r="BK55">
        <v>0</v>
      </c>
      <c r="BL55">
        <v>0</v>
      </c>
      <c r="BM55">
        <v>2615.7556905383749</v>
      </c>
      <c r="BN55">
        <v>227.14999999999998</v>
      </c>
      <c r="BO55">
        <v>0.5</v>
      </c>
      <c r="BP55">
        <v>113.57499999999999</v>
      </c>
      <c r="BQ55">
        <v>113.57499999999999</v>
      </c>
      <c r="BR55">
        <v>0</v>
      </c>
      <c r="BS55">
        <v>0</v>
      </c>
      <c r="BT55">
        <v>0</v>
      </c>
      <c r="BU55">
        <v>113.57499999999999</v>
      </c>
      <c r="BV55">
        <v>113.57499999999999</v>
      </c>
      <c r="BW55">
        <v>227.14999999999998</v>
      </c>
      <c r="BX55">
        <v>0</v>
      </c>
      <c r="BY55">
        <v>0</v>
      </c>
      <c r="BZ55">
        <v>0</v>
      </c>
      <c r="CA55">
        <v>635.25</v>
      </c>
      <c r="CB55">
        <v>259.45619295749998</v>
      </c>
      <c r="CC55">
        <v>67.842182782458323</v>
      </c>
      <c r="CD55">
        <v>0</v>
      </c>
      <c r="CE55">
        <v>0</v>
      </c>
      <c r="CF55">
        <v>0</v>
      </c>
      <c r="CG55">
        <v>0</v>
      </c>
      <c r="CH55">
        <v>0</v>
      </c>
      <c r="CI55">
        <v>0</v>
      </c>
      <c r="CJ55">
        <v>0</v>
      </c>
      <c r="CK55">
        <v>0</v>
      </c>
      <c r="CL55">
        <v>0</v>
      </c>
      <c r="CM55">
        <v>962.54837573995826</v>
      </c>
      <c r="CN55">
        <v>0</v>
      </c>
      <c r="CO55">
        <v>0</v>
      </c>
      <c r="CP55">
        <v>0</v>
      </c>
      <c r="CQ55">
        <v>16922.674999999999</v>
      </c>
      <c r="CR55">
        <v>16589.591325999998</v>
      </c>
      <c r="CS55">
        <v>4844.2289014166663</v>
      </c>
      <c r="CT55">
        <v>0</v>
      </c>
      <c r="CU55">
        <v>0</v>
      </c>
      <c r="CV55">
        <v>0</v>
      </c>
      <c r="CW55">
        <v>0</v>
      </c>
      <c r="CX55">
        <v>0</v>
      </c>
      <c r="CY55">
        <v>0</v>
      </c>
      <c r="CZ55">
        <v>0</v>
      </c>
      <c r="DA55">
        <v>0</v>
      </c>
      <c r="DB55">
        <v>0</v>
      </c>
      <c r="DC55">
        <v>38356.495227416664</v>
      </c>
      <c r="DD55">
        <v>11357.499999999998</v>
      </c>
      <c r="DE55">
        <v>0</v>
      </c>
      <c r="DF55" t="s">
        <v>135</v>
      </c>
      <c r="DG55" t="s">
        <v>135</v>
      </c>
      <c r="DH55">
        <v>0</v>
      </c>
      <c r="DI55">
        <v>0</v>
      </c>
      <c r="DJ55">
        <v>0</v>
      </c>
      <c r="DK55">
        <v>0</v>
      </c>
      <c r="DL55">
        <v>0</v>
      </c>
      <c r="DM55">
        <v>11357.499999999998</v>
      </c>
      <c r="DN55">
        <v>11357.499999999998</v>
      </c>
      <c r="DQ55" t="s">
        <v>135</v>
      </c>
      <c r="DR55" t="s">
        <v>135</v>
      </c>
      <c r="DS55">
        <v>0</v>
      </c>
      <c r="DT55">
        <v>0</v>
      </c>
      <c r="DU55">
        <v>0</v>
      </c>
      <c r="DV55">
        <v>4.583333333333333</v>
      </c>
      <c r="DW55">
        <v>4.583333333333333</v>
      </c>
      <c r="DX55">
        <v>0.61741000000000001</v>
      </c>
      <c r="DY55">
        <v>4.8499999999999996</v>
      </c>
    </row>
    <row r="56" spans="1:129">
      <c r="A56" t="s">
        <v>1952</v>
      </c>
      <c r="C56" t="s">
        <v>1954</v>
      </c>
      <c r="D56">
        <v>1</v>
      </c>
      <c r="E56" s="195">
        <v>44562</v>
      </c>
      <c r="F56">
        <v>1</v>
      </c>
      <c r="G56">
        <v>3</v>
      </c>
      <c r="H56">
        <v>580</v>
      </c>
      <c r="I56" t="s">
        <v>385</v>
      </c>
      <c r="J56" t="s">
        <v>2029</v>
      </c>
      <c r="K56" t="s">
        <v>45</v>
      </c>
      <c r="M56" t="s">
        <v>40</v>
      </c>
      <c r="N56" t="s">
        <v>44</v>
      </c>
      <c r="O56" t="s">
        <v>627</v>
      </c>
      <c r="P56">
        <v>0</v>
      </c>
      <c r="R56">
        <v>1.65</v>
      </c>
      <c r="S56">
        <v>290.35151515151517</v>
      </c>
      <c r="T56">
        <v>60</v>
      </c>
      <c r="U56">
        <v>479.08</v>
      </c>
      <c r="V56">
        <v>0</v>
      </c>
      <c r="X56">
        <v>50</v>
      </c>
      <c r="Y56" t="s">
        <v>224</v>
      </c>
      <c r="AA56" t="s">
        <v>937</v>
      </c>
      <c r="AH56">
        <v>0</v>
      </c>
      <c r="AI56">
        <v>0</v>
      </c>
      <c r="AJ56">
        <v>0</v>
      </c>
      <c r="AK56">
        <v>358.09780000000001</v>
      </c>
      <c r="AL56">
        <v>227.06916280944989</v>
      </c>
      <c r="AM56">
        <v>69.862787889598962</v>
      </c>
      <c r="AN56">
        <v>0</v>
      </c>
      <c r="AO56">
        <v>0</v>
      </c>
      <c r="AP56">
        <v>0</v>
      </c>
      <c r="AQ56">
        <v>0</v>
      </c>
      <c r="AR56">
        <v>0</v>
      </c>
      <c r="AS56">
        <v>0</v>
      </c>
      <c r="AT56">
        <v>0</v>
      </c>
      <c r="AU56">
        <v>0</v>
      </c>
      <c r="AV56">
        <v>0</v>
      </c>
      <c r="AW56">
        <v>655.0297506990488</v>
      </c>
      <c r="AX56">
        <v>0</v>
      </c>
      <c r="AY56">
        <v>0</v>
      </c>
      <c r="AZ56">
        <v>0</v>
      </c>
      <c r="BA56">
        <v>2813</v>
      </c>
      <c r="BB56">
        <v>2023.8204977059997</v>
      </c>
      <c r="BC56">
        <v>680.04604961129996</v>
      </c>
      <c r="BD56">
        <v>0</v>
      </c>
      <c r="BE56">
        <v>0</v>
      </c>
      <c r="BF56">
        <v>0</v>
      </c>
      <c r="BG56">
        <v>0</v>
      </c>
      <c r="BH56">
        <v>0</v>
      </c>
      <c r="BI56">
        <v>0</v>
      </c>
      <c r="BJ56">
        <v>0</v>
      </c>
      <c r="BK56">
        <v>0</v>
      </c>
      <c r="BL56">
        <v>0</v>
      </c>
      <c r="BM56">
        <v>5516.8665473172996</v>
      </c>
      <c r="BN56">
        <v>479.08</v>
      </c>
      <c r="BO56">
        <v>0.5</v>
      </c>
      <c r="BP56">
        <v>239.54</v>
      </c>
      <c r="BQ56">
        <v>239.54</v>
      </c>
      <c r="BR56">
        <v>0</v>
      </c>
      <c r="BS56">
        <v>0</v>
      </c>
      <c r="BT56">
        <v>0</v>
      </c>
      <c r="BU56">
        <v>239.54</v>
      </c>
      <c r="BV56">
        <v>239.54</v>
      </c>
      <c r="BW56">
        <v>479.08</v>
      </c>
      <c r="BX56">
        <v>0</v>
      </c>
      <c r="BY56">
        <v>0</v>
      </c>
      <c r="BZ56">
        <v>0</v>
      </c>
      <c r="CA56">
        <v>1339.8</v>
      </c>
      <c r="CB56">
        <v>547.21669787400003</v>
      </c>
      <c r="CC56">
        <v>143.08533095936664</v>
      </c>
      <c r="CD56">
        <v>0</v>
      </c>
      <c r="CE56">
        <v>0</v>
      </c>
      <c r="CF56">
        <v>0</v>
      </c>
      <c r="CG56">
        <v>0</v>
      </c>
      <c r="CH56">
        <v>0</v>
      </c>
      <c r="CI56">
        <v>0</v>
      </c>
      <c r="CJ56">
        <v>0</v>
      </c>
      <c r="CK56">
        <v>0</v>
      </c>
      <c r="CL56">
        <v>0</v>
      </c>
      <c r="CM56">
        <v>2030.1020288333666</v>
      </c>
      <c r="CN56">
        <v>0</v>
      </c>
      <c r="CO56">
        <v>0</v>
      </c>
      <c r="CP56">
        <v>0</v>
      </c>
      <c r="CQ56">
        <v>35691.46</v>
      </c>
      <c r="CR56">
        <v>34988.956251199997</v>
      </c>
      <c r="CS56">
        <v>10216.919137533332</v>
      </c>
      <c r="CT56">
        <v>0</v>
      </c>
      <c r="CU56">
        <v>0</v>
      </c>
      <c r="CV56">
        <v>0</v>
      </c>
      <c r="CW56">
        <v>0</v>
      </c>
      <c r="CX56">
        <v>0</v>
      </c>
      <c r="CY56">
        <v>0</v>
      </c>
      <c r="CZ56">
        <v>0</v>
      </c>
      <c r="DA56">
        <v>0</v>
      </c>
      <c r="DB56">
        <v>0</v>
      </c>
      <c r="DC56">
        <v>80897.335388733321</v>
      </c>
      <c r="DD56">
        <v>23954</v>
      </c>
      <c r="DE56">
        <v>0</v>
      </c>
      <c r="DF56" t="s">
        <v>135</v>
      </c>
      <c r="DG56" t="s">
        <v>135</v>
      </c>
      <c r="DH56">
        <v>0</v>
      </c>
      <c r="DI56">
        <v>0</v>
      </c>
      <c r="DJ56">
        <v>0</v>
      </c>
      <c r="DK56">
        <v>0</v>
      </c>
      <c r="DL56">
        <v>0</v>
      </c>
      <c r="DM56">
        <v>23954</v>
      </c>
      <c r="DN56">
        <v>23954</v>
      </c>
      <c r="DQ56" t="s">
        <v>135</v>
      </c>
      <c r="DR56" t="s">
        <v>135</v>
      </c>
      <c r="DS56">
        <v>0</v>
      </c>
      <c r="DT56">
        <v>0</v>
      </c>
      <c r="DU56">
        <v>0</v>
      </c>
      <c r="DV56">
        <v>9.6666666666666661</v>
      </c>
      <c r="DW56">
        <v>9.6666666666666661</v>
      </c>
      <c r="DX56">
        <v>0.61741000000000001</v>
      </c>
      <c r="DY56">
        <v>4.8499999999999996</v>
      </c>
    </row>
    <row r="57" spans="1:129">
      <c r="A57" t="s">
        <v>1952</v>
      </c>
      <c r="C57" t="s">
        <v>1954</v>
      </c>
      <c r="D57">
        <v>1</v>
      </c>
      <c r="E57" s="195">
        <v>44562</v>
      </c>
      <c r="F57">
        <v>1</v>
      </c>
      <c r="G57">
        <v>3</v>
      </c>
      <c r="H57">
        <v>53</v>
      </c>
      <c r="I57" t="s">
        <v>666</v>
      </c>
      <c r="J57" t="s">
        <v>2030</v>
      </c>
      <c r="K57" t="s">
        <v>45</v>
      </c>
      <c r="M57" t="s">
        <v>40</v>
      </c>
      <c r="N57" t="s">
        <v>46</v>
      </c>
      <c r="O57" t="s">
        <v>627</v>
      </c>
      <c r="P57">
        <v>0</v>
      </c>
      <c r="R57">
        <v>1.5</v>
      </c>
      <c r="S57">
        <v>53</v>
      </c>
      <c r="T57">
        <v>60</v>
      </c>
      <c r="U57">
        <v>79.5</v>
      </c>
      <c r="V57">
        <v>0</v>
      </c>
      <c r="X57">
        <v>50</v>
      </c>
      <c r="Y57" t="s">
        <v>224</v>
      </c>
      <c r="AA57" t="s">
        <v>937</v>
      </c>
      <c r="AH57">
        <v>0</v>
      </c>
      <c r="AI57">
        <v>0</v>
      </c>
      <c r="AJ57">
        <v>0</v>
      </c>
      <c r="AK57">
        <v>118.84826000000001</v>
      </c>
      <c r="AL57">
        <v>37.680551146679605</v>
      </c>
      <c r="AM57">
        <v>11.536846258547262</v>
      </c>
      <c r="AN57">
        <v>0</v>
      </c>
      <c r="AO57">
        <v>0</v>
      </c>
      <c r="AP57">
        <v>0</v>
      </c>
      <c r="AQ57">
        <v>0</v>
      </c>
      <c r="AR57">
        <v>0</v>
      </c>
      <c r="AS57">
        <v>0</v>
      </c>
      <c r="AT57">
        <v>0</v>
      </c>
      <c r="AU57">
        <v>0</v>
      </c>
      <c r="AV57">
        <v>0</v>
      </c>
      <c r="AW57">
        <v>168.06565740522689</v>
      </c>
      <c r="AX57">
        <v>0</v>
      </c>
      <c r="AY57">
        <v>0</v>
      </c>
      <c r="AZ57">
        <v>0</v>
      </c>
      <c r="BA57">
        <v>932.80000000000007</v>
      </c>
      <c r="BB57">
        <v>335.83896127499997</v>
      </c>
      <c r="BC57">
        <v>103.47482101285</v>
      </c>
      <c r="BD57">
        <v>0</v>
      </c>
      <c r="BE57">
        <v>0</v>
      </c>
      <c r="BF57">
        <v>0</v>
      </c>
      <c r="BG57">
        <v>0</v>
      </c>
      <c r="BH57">
        <v>0</v>
      </c>
      <c r="BI57">
        <v>0</v>
      </c>
      <c r="BJ57">
        <v>0</v>
      </c>
      <c r="BK57">
        <v>0</v>
      </c>
      <c r="BL57">
        <v>0</v>
      </c>
      <c r="BM57">
        <v>1372.11378228785</v>
      </c>
      <c r="BN57">
        <v>79.5</v>
      </c>
      <c r="BO57">
        <v>0</v>
      </c>
      <c r="BP57">
        <v>79.5</v>
      </c>
      <c r="BQ57">
        <v>0</v>
      </c>
      <c r="BR57">
        <v>0</v>
      </c>
      <c r="BS57">
        <v>0</v>
      </c>
      <c r="BT57">
        <v>0</v>
      </c>
      <c r="BU57">
        <v>79.5</v>
      </c>
      <c r="BV57">
        <v>0</v>
      </c>
      <c r="BW57">
        <v>79.5</v>
      </c>
      <c r="BX57">
        <v>0</v>
      </c>
      <c r="BY57">
        <v>0</v>
      </c>
      <c r="BZ57">
        <v>0</v>
      </c>
      <c r="CA57">
        <v>449.97</v>
      </c>
      <c r="CB57">
        <v>90.806811975000002</v>
      </c>
      <c r="CC57">
        <v>31.49216523923333</v>
      </c>
      <c r="CD57">
        <v>0</v>
      </c>
      <c r="CE57">
        <v>0</v>
      </c>
      <c r="CF57">
        <v>0</v>
      </c>
      <c r="CG57">
        <v>0</v>
      </c>
      <c r="CH57">
        <v>0</v>
      </c>
      <c r="CI57">
        <v>0</v>
      </c>
      <c r="CJ57">
        <v>0</v>
      </c>
      <c r="CK57">
        <v>0</v>
      </c>
      <c r="CL57">
        <v>0</v>
      </c>
      <c r="CM57">
        <v>572.26897721423336</v>
      </c>
      <c r="CN57">
        <v>0</v>
      </c>
      <c r="CO57">
        <v>0</v>
      </c>
      <c r="CP57">
        <v>0</v>
      </c>
      <c r="CQ57">
        <v>21385.5</v>
      </c>
      <c r="CR57">
        <v>5806.1743800000004</v>
      </c>
      <c r="CS57">
        <v>1970.262359040667</v>
      </c>
      <c r="CT57">
        <v>0</v>
      </c>
      <c r="CU57">
        <v>0</v>
      </c>
      <c r="CV57">
        <v>0</v>
      </c>
      <c r="CW57">
        <v>0</v>
      </c>
      <c r="CX57">
        <v>0</v>
      </c>
      <c r="CY57">
        <v>0</v>
      </c>
      <c r="CZ57">
        <v>0</v>
      </c>
      <c r="DA57">
        <v>0</v>
      </c>
      <c r="DB57">
        <v>0</v>
      </c>
      <c r="DC57">
        <v>29161.936739040666</v>
      </c>
      <c r="DD57">
        <v>3975</v>
      </c>
      <c r="DE57">
        <v>0</v>
      </c>
      <c r="DF57" t="s">
        <v>135</v>
      </c>
      <c r="DG57" t="s">
        <v>135</v>
      </c>
      <c r="DH57">
        <v>0</v>
      </c>
      <c r="DI57">
        <v>0</v>
      </c>
      <c r="DJ57">
        <v>0</v>
      </c>
      <c r="DK57">
        <v>0</v>
      </c>
      <c r="DL57">
        <v>0</v>
      </c>
      <c r="DM57">
        <v>3975</v>
      </c>
      <c r="DN57">
        <v>3975</v>
      </c>
      <c r="DQ57" t="s">
        <v>135</v>
      </c>
      <c r="DR57" t="s">
        <v>135</v>
      </c>
      <c r="DS57">
        <v>0</v>
      </c>
      <c r="DT57">
        <v>0</v>
      </c>
      <c r="DU57">
        <v>0</v>
      </c>
      <c r="DV57">
        <v>0.8833333333333333</v>
      </c>
      <c r="DW57">
        <v>0.8833333333333333</v>
      </c>
      <c r="DX57">
        <v>2.2424200000000001</v>
      </c>
      <c r="DY57">
        <v>17.600000000000001</v>
      </c>
    </row>
    <row r="58" spans="1:129">
      <c r="A58" t="s">
        <v>1952</v>
      </c>
      <c r="C58" t="s">
        <v>1954</v>
      </c>
      <c r="D58">
        <v>1</v>
      </c>
      <c r="E58" s="195">
        <v>44562</v>
      </c>
      <c r="F58">
        <v>1</v>
      </c>
      <c r="G58">
        <v>3</v>
      </c>
      <c r="H58">
        <v>172.96</v>
      </c>
      <c r="I58" t="s">
        <v>666</v>
      </c>
      <c r="J58" t="s">
        <v>2031</v>
      </c>
      <c r="K58" t="s">
        <v>45</v>
      </c>
      <c r="M58" t="s">
        <v>40</v>
      </c>
      <c r="N58" t="s">
        <v>46</v>
      </c>
      <c r="O58" t="s">
        <v>627</v>
      </c>
      <c r="P58">
        <v>0</v>
      </c>
      <c r="R58">
        <v>1.5</v>
      </c>
      <c r="S58">
        <v>172.96</v>
      </c>
      <c r="T58">
        <v>60</v>
      </c>
      <c r="U58">
        <v>259.44</v>
      </c>
      <c r="V58">
        <v>0</v>
      </c>
      <c r="X58">
        <v>50</v>
      </c>
      <c r="Y58" t="s">
        <v>224</v>
      </c>
      <c r="AA58" t="s">
        <v>937</v>
      </c>
      <c r="AH58">
        <v>0</v>
      </c>
      <c r="AI58">
        <v>0</v>
      </c>
      <c r="AJ58">
        <v>0</v>
      </c>
      <c r="AK58">
        <v>387.84896320000001</v>
      </c>
      <c r="AL58">
        <v>122.96656842131519</v>
      </c>
      <c r="AM58">
        <v>37.649300544874237</v>
      </c>
      <c r="AN58">
        <v>0</v>
      </c>
      <c r="AO58">
        <v>0</v>
      </c>
      <c r="AP58">
        <v>0</v>
      </c>
      <c r="AQ58">
        <v>0</v>
      </c>
      <c r="AR58">
        <v>0</v>
      </c>
      <c r="AS58">
        <v>0</v>
      </c>
      <c r="AT58">
        <v>0</v>
      </c>
      <c r="AU58">
        <v>0</v>
      </c>
      <c r="AV58">
        <v>0</v>
      </c>
      <c r="AW58">
        <v>548.46483216618947</v>
      </c>
      <c r="AX58">
        <v>0</v>
      </c>
      <c r="AY58">
        <v>0</v>
      </c>
      <c r="AZ58">
        <v>0</v>
      </c>
      <c r="BA58">
        <v>3044.0960000000005</v>
      </c>
      <c r="BB58">
        <v>1095.9755989079999</v>
      </c>
      <c r="BC58">
        <v>337.67934042231201</v>
      </c>
      <c r="BD58">
        <v>0</v>
      </c>
      <c r="BE58">
        <v>0</v>
      </c>
      <c r="BF58">
        <v>0</v>
      </c>
      <c r="BG58">
        <v>0</v>
      </c>
      <c r="BH58">
        <v>0</v>
      </c>
      <c r="BI58">
        <v>0</v>
      </c>
      <c r="BJ58">
        <v>0</v>
      </c>
      <c r="BK58">
        <v>0</v>
      </c>
      <c r="BL58">
        <v>0</v>
      </c>
      <c r="BM58">
        <v>4477.7509393303117</v>
      </c>
      <c r="BN58">
        <v>259.44</v>
      </c>
      <c r="BO58">
        <v>0</v>
      </c>
      <c r="BP58">
        <v>259.44</v>
      </c>
      <c r="BQ58">
        <v>0</v>
      </c>
      <c r="BR58">
        <v>0</v>
      </c>
      <c r="BS58">
        <v>0</v>
      </c>
      <c r="BT58">
        <v>0</v>
      </c>
      <c r="BU58">
        <v>259.44</v>
      </c>
      <c r="BV58">
        <v>0</v>
      </c>
      <c r="BW58">
        <v>259.44</v>
      </c>
      <c r="BX58">
        <v>0</v>
      </c>
      <c r="BY58">
        <v>0</v>
      </c>
      <c r="BZ58">
        <v>0</v>
      </c>
      <c r="CA58">
        <v>1468.4304000000002</v>
      </c>
      <c r="CB58">
        <v>296.33860753200003</v>
      </c>
      <c r="CC58">
        <v>102.77141320335468</v>
      </c>
      <c r="CD58">
        <v>0</v>
      </c>
      <c r="CE58">
        <v>0</v>
      </c>
      <c r="CF58">
        <v>0</v>
      </c>
      <c r="CG58">
        <v>0</v>
      </c>
      <c r="CH58">
        <v>0</v>
      </c>
      <c r="CI58">
        <v>0</v>
      </c>
      <c r="CJ58">
        <v>0</v>
      </c>
      <c r="CK58">
        <v>0</v>
      </c>
      <c r="CL58">
        <v>0</v>
      </c>
      <c r="CM58">
        <v>1867.5404207353549</v>
      </c>
      <c r="CN58">
        <v>0</v>
      </c>
      <c r="CO58">
        <v>0</v>
      </c>
      <c r="CP58">
        <v>0</v>
      </c>
      <c r="CQ58">
        <v>69789.36</v>
      </c>
      <c r="CR58">
        <v>18947.8475616</v>
      </c>
      <c r="CS58">
        <v>6429.7467475410131</v>
      </c>
      <c r="CT58">
        <v>0</v>
      </c>
      <c r="CU58">
        <v>0</v>
      </c>
      <c r="CV58">
        <v>0</v>
      </c>
      <c r="CW58">
        <v>0</v>
      </c>
      <c r="CX58">
        <v>0</v>
      </c>
      <c r="CY58">
        <v>0</v>
      </c>
      <c r="CZ58">
        <v>0</v>
      </c>
      <c r="DA58">
        <v>0</v>
      </c>
      <c r="DB58">
        <v>0</v>
      </c>
      <c r="DC58">
        <v>95166.954309141001</v>
      </c>
      <c r="DD58">
        <v>12972</v>
      </c>
      <c r="DE58">
        <v>0</v>
      </c>
      <c r="DF58" t="s">
        <v>135</v>
      </c>
      <c r="DG58" t="s">
        <v>135</v>
      </c>
      <c r="DH58">
        <v>0</v>
      </c>
      <c r="DI58">
        <v>0</v>
      </c>
      <c r="DJ58">
        <v>0</v>
      </c>
      <c r="DK58">
        <v>0</v>
      </c>
      <c r="DL58">
        <v>0</v>
      </c>
      <c r="DM58">
        <v>12972</v>
      </c>
      <c r="DN58">
        <v>12972</v>
      </c>
      <c r="DQ58" t="s">
        <v>135</v>
      </c>
      <c r="DR58" t="s">
        <v>135</v>
      </c>
      <c r="DS58">
        <v>0</v>
      </c>
      <c r="DT58">
        <v>0</v>
      </c>
      <c r="DU58">
        <v>0</v>
      </c>
      <c r="DV58">
        <v>2.8826666666666667</v>
      </c>
      <c r="DW58">
        <v>2.8826666666666667</v>
      </c>
      <c r="DX58">
        <v>2.2424200000000001</v>
      </c>
      <c r="DY58">
        <v>17.600000000000001</v>
      </c>
    </row>
    <row r="59" spans="1:129">
      <c r="A59" t="s">
        <v>1952</v>
      </c>
      <c r="C59" t="s">
        <v>1954</v>
      </c>
      <c r="D59">
        <v>1</v>
      </c>
      <c r="E59" s="195">
        <v>44562</v>
      </c>
      <c r="F59">
        <v>1</v>
      </c>
      <c r="G59">
        <v>3</v>
      </c>
      <c r="H59">
        <v>50</v>
      </c>
      <c r="I59" t="s">
        <v>666</v>
      </c>
      <c r="J59" t="s">
        <v>2032</v>
      </c>
      <c r="K59" t="s">
        <v>45</v>
      </c>
      <c r="M59" t="s">
        <v>40</v>
      </c>
      <c r="N59" t="s">
        <v>46</v>
      </c>
      <c r="O59" t="s">
        <v>627</v>
      </c>
      <c r="P59">
        <v>0</v>
      </c>
      <c r="R59">
        <v>1.5</v>
      </c>
      <c r="S59">
        <v>50</v>
      </c>
      <c r="T59">
        <v>60</v>
      </c>
      <c r="U59">
        <v>75</v>
      </c>
      <c r="V59">
        <v>0</v>
      </c>
      <c r="X59">
        <v>50</v>
      </c>
      <c r="Y59" t="s">
        <v>224</v>
      </c>
      <c r="AA59" t="s">
        <v>937</v>
      </c>
      <c r="AH59">
        <v>0</v>
      </c>
      <c r="AI59">
        <v>0</v>
      </c>
      <c r="AJ59">
        <v>0</v>
      </c>
      <c r="AK59">
        <v>112.12100000000001</v>
      </c>
      <c r="AL59">
        <v>35.547689761018496</v>
      </c>
      <c r="AM59">
        <v>10.883817225044586</v>
      </c>
      <c r="AN59">
        <v>0</v>
      </c>
      <c r="AO59">
        <v>0</v>
      </c>
      <c r="AP59">
        <v>0</v>
      </c>
      <c r="AQ59">
        <v>0</v>
      </c>
      <c r="AR59">
        <v>0</v>
      </c>
      <c r="AS59">
        <v>0</v>
      </c>
      <c r="AT59">
        <v>0</v>
      </c>
      <c r="AU59">
        <v>0</v>
      </c>
      <c r="AV59">
        <v>0</v>
      </c>
      <c r="AW59">
        <v>158.55250698606309</v>
      </c>
      <c r="AX59">
        <v>0</v>
      </c>
      <c r="AY59">
        <v>0</v>
      </c>
      <c r="AZ59">
        <v>0</v>
      </c>
      <c r="BA59">
        <v>880.00000000000011</v>
      </c>
      <c r="BB59">
        <v>316.82920874999996</v>
      </c>
      <c r="BC59">
        <v>97.61775567250001</v>
      </c>
      <c r="BD59">
        <v>0</v>
      </c>
      <c r="BE59">
        <v>0</v>
      </c>
      <c r="BF59">
        <v>0</v>
      </c>
      <c r="BG59">
        <v>0</v>
      </c>
      <c r="BH59">
        <v>0</v>
      </c>
      <c r="BI59">
        <v>0</v>
      </c>
      <c r="BJ59">
        <v>0</v>
      </c>
      <c r="BK59">
        <v>0</v>
      </c>
      <c r="BL59">
        <v>0</v>
      </c>
      <c r="BM59">
        <v>1294.4469644225001</v>
      </c>
      <c r="BN59">
        <v>75</v>
      </c>
      <c r="BO59">
        <v>0</v>
      </c>
      <c r="BP59">
        <v>75</v>
      </c>
      <c r="BQ59">
        <v>0</v>
      </c>
      <c r="BR59">
        <v>0</v>
      </c>
      <c r="BS59">
        <v>0</v>
      </c>
      <c r="BT59">
        <v>0</v>
      </c>
      <c r="BU59">
        <v>75</v>
      </c>
      <c r="BV59">
        <v>0</v>
      </c>
      <c r="BW59">
        <v>75</v>
      </c>
      <c r="BX59">
        <v>0</v>
      </c>
      <c r="BY59">
        <v>0</v>
      </c>
      <c r="BZ59">
        <v>0</v>
      </c>
      <c r="CA59">
        <v>424.5</v>
      </c>
      <c r="CB59">
        <v>85.66680375</v>
      </c>
      <c r="CC59">
        <v>29.709589848333334</v>
      </c>
      <c r="CD59">
        <v>0</v>
      </c>
      <c r="CE59">
        <v>0</v>
      </c>
      <c r="CF59">
        <v>0</v>
      </c>
      <c r="CG59">
        <v>0</v>
      </c>
      <c r="CH59">
        <v>0</v>
      </c>
      <c r="CI59">
        <v>0</v>
      </c>
      <c r="CJ59">
        <v>0</v>
      </c>
      <c r="CK59">
        <v>0</v>
      </c>
      <c r="CL59">
        <v>0</v>
      </c>
      <c r="CM59">
        <v>539.87639359833327</v>
      </c>
      <c r="CN59">
        <v>0</v>
      </c>
      <c r="CO59">
        <v>0</v>
      </c>
      <c r="CP59">
        <v>0</v>
      </c>
      <c r="CQ59">
        <v>20175</v>
      </c>
      <c r="CR59">
        <v>5477.5230000000001</v>
      </c>
      <c r="CS59">
        <v>1858.7380745666669</v>
      </c>
      <c r="CT59">
        <v>0</v>
      </c>
      <c r="CU59">
        <v>0</v>
      </c>
      <c r="CV59">
        <v>0</v>
      </c>
      <c r="CW59">
        <v>0</v>
      </c>
      <c r="CX59">
        <v>0</v>
      </c>
      <c r="CY59">
        <v>0</v>
      </c>
      <c r="CZ59">
        <v>0</v>
      </c>
      <c r="DA59">
        <v>0</v>
      </c>
      <c r="DB59">
        <v>0</v>
      </c>
      <c r="DC59">
        <v>27511.261074566668</v>
      </c>
      <c r="DD59">
        <v>3750</v>
      </c>
      <c r="DE59">
        <v>0</v>
      </c>
      <c r="DF59" t="s">
        <v>135</v>
      </c>
      <c r="DG59" t="s">
        <v>135</v>
      </c>
      <c r="DH59">
        <v>0</v>
      </c>
      <c r="DI59">
        <v>0</v>
      </c>
      <c r="DJ59">
        <v>0</v>
      </c>
      <c r="DK59">
        <v>0</v>
      </c>
      <c r="DL59">
        <v>0</v>
      </c>
      <c r="DM59">
        <v>3750</v>
      </c>
      <c r="DN59">
        <v>3750</v>
      </c>
      <c r="DQ59" t="s">
        <v>135</v>
      </c>
      <c r="DR59" t="s">
        <v>135</v>
      </c>
      <c r="DS59">
        <v>0</v>
      </c>
      <c r="DT59">
        <v>0</v>
      </c>
      <c r="DU59">
        <v>0</v>
      </c>
      <c r="DV59">
        <v>0.83333333333333337</v>
      </c>
      <c r="DW59">
        <v>0.83333333333333337</v>
      </c>
      <c r="DX59">
        <v>2.2424200000000001</v>
      </c>
      <c r="DY59">
        <v>17.600000000000001</v>
      </c>
    </row>
    <row r="60" spans="1:129">
      <c r="A60" t="s">
        <v>1952</v>
      </c>
      <c r="C60" t="s">
        <v>1954</v>
      </c>
      <c r="D60">
        <v>1</v>
      </c>
      <c r="E60" s="195">
        <v>44562</v>
      </c>
      <c r="F60">
        <v>1</v>
      </c>
      <c r="G60">
        <v>3</v>
      </c>
      <c r="H60">
        <v>187.2</v>
      </c>
      <c r="I60" t="s">
        <v>666</v>
      </c>
      <c r="J60" t="s">
        <v>2033</v>
      </c>
      <c r="K60" t="s">
        <v>45</v>
      </c>
      <c r="M60" t="s">
        <v>40</v>
      </c>
      <c r="N60" t="s">
        <v>46</v>
      </c>
      <c r="O60" t="s">
        <v>627</v>
      </c>
      <c r="P60">
        <v>0</v>
      </c>
      <c r="R60">
        <v>1.5</v>
      </c>
      <c r="S60">
        <v>187.19999999999996</v>
      </c>
      <c r="T60">
        <v>60</v>
      </c>
      <c r="U60">
        <v>280.79999999999995</v>
      </c>
      <c r="V60">
        <v>0</v>
      </c>
      <c r="X60">
        <v>50</v>
      </c>
      <c r="Y60" t="s">
        <v>224</v>
      </c>
      <c r="AA60" t="s">
        <v>937</v>
      </c>
      <c r="AH60">
        <v>0</v>
      </c>
      <c r="AI60">
        <v>0</v>
      </c>
      <c r="AJ60">
        <v>0</v>
      </c>
      <c r="AK60">
        <v>419.781024</v>
      </c>
      <c r="AL60">
        <v>133.09055046525324</v>
      </c>
      <c r="AM60">
        <v>40.749011690566931</v>
      </c>
      <c r="AN60">
        <v>0</v>
      </c>
      <c r="AO60">
        <v>0</v>
      </c>
      <c r="AP60">
        <v>0</v>
      </c>
      <c r="AQ60">
        <v>0</v>
      </c>
      <c r="AR60">
        <v>0</v>
      </c>
      <c r="AS60">
        <v>0</v>
      </c>
      <c r="AT60">
        <v>0</v>
      </c>
      <c r="AU60">
        <v>0</v>
      </c>
      <c r="AV60">
        <v>0</v>
      </c>
      <c r="AW60">
        <v>593.62058615582021</v>
      </c>
      <c r="AX60">
        <v>0</v>
      </c>
      <c r="AY60">
        <v>0</v>
      </c>
      <c r="AZ60">
        <v>0</v>
      </c>
      <c r="BA60">
        <v>3294.7200000000003</v>
      </c>
      <c r="BB60">
        <v>1186.2085575599997</v>
      </c>
      <c r="BC60">
        <v>365.48087723783999</v>
      </c>
      <c r="BD60">
        <v>0</v>
      </c>
      <c r="BE60">
        <v>0</v>
      </c>
      <c r="BF60">
        <v>0</v>
      </c>
      <c r="BG60">
        <v>0</v>
      </c>
      <c r="BH60">
        <v>0</v>
      </c>
      <c r="BI60">
        <v>0</v>
      </c>
      <c r="BJ60">
        <v>0</v>
      </c>
      <c r="BK60">
        <v>0</v>
      </c>
      <c r="BL60">
        <v>0</v>
      </c>
      <c r="BM60">
        <v>4846.4094347978398</v>
      </c>
      <c r="BN60">
        <v>280.79999999999995</v>
      </c>
      <c r="BO60">
        <v>0</v>
      </c>
      <c r="BP60">
        <v>280.79999999999995</v>
      </c>
      <c r="BQ60">
        <v>0</v>
      </c>
      <c r="BR60">
        <v>0</v>
      </c>
      <c r="BS60">
        <v>0</v>
      </c>
      <c r="BT60">
        <v>0</v>
      </c>
      <c r="BU60">
        <v>280.79999999999995</v>
      </c>
      <c r="BV60">
        <v>0</v>
      </c>
      <c r="BW60">
        <v>280.79999999999995</v>
      </c>
      <c r="BX60">
        <v>0</v>
      </c>
      <c r="BY60">
        <v>0</v>
      </c>
      <c r="BZ60">
        <v>0</v>
      </c>
      <c r="CA60">
        <v>1589.328</v>
      </c>
      <c r="CB60">
        <v>320.73651323999997</v>
      </c>
      <c r="CC60">
        <v>111.23270439216</v>
      </c>
      <c r="CD60">
        <v>0</v>
      </c>
      <c r="CE60">
        <v>0</v>
      </c>
      <c r="CF60">
        <v>0</v>
      </c>
      <c r="CG60">
        <v>0</v>
      </c>
      <c r="CH60">
        <v>0</v>
      </c>
      <c r="CI60">
        <v>0</v>
      </c>
      <c r="CJ60">
        <v>0</v>
      </c>
      <c r="CK60">
        <v>0</v>
      </c>
      <c r="CL60">
        <v>0</v>
      </c>
      <c r="CM60">
        <v>2021.29721763216</v>
      </c>
      <c r="CN60">
        <v>0</v>
      </c>
      <c r="CO60">
        <v>0</v>
      </c>
      <c r="CP60">
        <v>0</v>
      </c>
      <c r="CQ60">
        <v>75535.199999999983</v>
      </c>
      <c r="CR60">
        <v>20507.846111999996</v>
      </c>
      <c r="CS60">
        <v>6959.1153511775992</v>
      </c>
      <c r="CT60">
        <v>0</v>
      </c>
      <c r="CU60">
        <v>0</v>
      </c>
      <c r="CV60">
        <v>0</v>
      </c>
      <c r="CW60">
        <v>0</v>
      </c>
      <c r="CX60">
        <v>0</v>
      </c>
      <c r="CY60">
        <v>0</v>
      </c>
      <c r="CZ60">
        <v>0</v>
      </c>
      <c r="DA60">
        <v>0</v>
      </c>
      <c r="DB60">
        <v>0</v>
      </c>
      <c r="DC60">
        <v>103002.16146317759</v>
      </c>
      <c r="DD60">
        <v>14039.999999999998</v>
      </c>
      <c r="DE60">
        <v>0</v>
      </c>
      <c r="DF60" t="s">
        <v>135</v>
      </c>
      <c r="DG60" t="s">
        <v>135</v>
      </c>
      <c r="DH60">
        <v>0</v>
      </c>
      <c r="DI60">
        <v>0</v>
      </c>
      <c r="DJ60">
        <v>0</v>
      </c>
      <c r="DK60">
        <v>0</v>
      </c>
      <c r="DL60">
        <v>0</v>
      </c>
      <c r="DM60">
        <v>14039.999999999998</v>
      </c>
      <c r="DN60">
        <v>14039.999999999998</v>
      </c>
      <c r="DQ60" t="s">
        <v>135</v>
      </c>
      <c r="DR60" t="s">
        <v>135</v>
      </c>
      <c r="DS60">
        <v>0</v>
      </c>
      <c r="DT60">
        <v>0</v>
      </c>
      <c r="DU60">
        <v>0</v>
      </c>
      <c r="DV60">
        <v>3.1199999999999997</v>
      </c>
      <c r="DW60">
        <v>3.1199999999999997</v>
      </c>
      <c r="DX60">
        <v>2.2424200000000001</v>
      </c>
      <c r="DY60">
        <v>17.600000000000001</v>
      </c>
    </row>
    <row r="61" spans="1:129">
      <c r="A61" t="s">
        <v>1952</v>
      </c>
      <c r="C61" t="s">
        <v>1954</v>
      </c>
      <c r="D61">
        <v>1</v>
      </c>
      <c r="E61" s="195">
        <v>44562</v>
      </c>
      <c r="F61">
        <v>1</v>
      </c>
      <c r="G61">
        <v>3</v>
      </c>
      <c r="H61">
        <v>700</v>
      </c>
      <c r="I61" t="s">
        <v>666</v>
      </c>
      <c r="J61" t="s">
        <v>2034</v>
      </c>
      <c r="K61" t="s">
        <v>45</v>
      </c>
      <c r="M61" t="s">
        <v>40</v>
      </c>
      <c r="N61" t="s">
        <v>46</v>
      </c>
      <c r="O61" t="s">
        <v>627</v>
      </c>
      <c r="P61">
        <v>0</v>
      </c>
      <c r="R61">
        <v>1.5</v>
      </c>
      <c r="S61">
        <v>700</v>
      </c>
      <c r="T61">
        <v>60</v>
      </c>
      <c r="U61">
        <v>1050</v>
      </c>
      <c r="V61">
        <v>0</v>
      </c>
      <c r="X61">
        <v>50</v>
      </c>
      <c r="Y61" t="s">
        <v>224</v>
      </c>
      <c r="AA61" t="s">
        <v>937</v>
      </c>
      <c r="AH61">
        <v>0</v>
      </c>
      <c r="AI61">
        <v>0</v>
      </c>
      <c r="AJ61">
        <v>0</v>
      </c>
      <c r="AK61">
        <v>1569.694</v>
      </c>
      <c r="AL61">
        <v>497.66765665425896</v>
      </c>
      <c r="AM61">
        <v>152.37344115062422</v>
      </c>
      <c r="AN61">
        <v>0</v>
      </c>
      <c r="AO61">
        <v>0</v>
      </c>
      <c r="AP61">
        <v>0</v>
      </c>
      <c r="AQ61">
        <v>0</v>
      </c>
      <c r="AR61">
        <v>0</v>
      </c>
      <c r="AS61">
        <v>0</v>
      </c>
      <c r="AT61">
        <v>0</v>
      </c>
      <c r="AU61">
        <v>0</v>
      </c>
      <c r="AV61">
        <v>0</v>
      </c>
      <c r="AW61">
        <v>2219.735097804883</v>
      </c>
      <c r="AX61">
        <v>0</v>
      </c>
      <c r="AY61">
        <v>0</v>
      </c>
      <c r="AZ61">
        <v>0</v>
      </c>
      <c r="BA61">
        <v>12320.000000000002</v>
      </c>
      <c r="BB61">
        <v>4435.6089224999996</v>
      </c>
      <c r="BC61">
        <v>1366.6485794150003</v>
      </c>
      <c r="BD61">
        <v>0</v>
      </c>
      <c r="BE61">
        <v>0</v>
      </c>
      <c r="BF61">
        <v>0</v>
      </c>
      <c r="BG61">
        <v>0</v>
      </c>
      <c r="BH61">
        <v>0</v>
      </c>
      <c r="BI61">
        <v>0</v>
      </c>
      <c r="BJ61">
        <v>0</v>
      </c>
      <c r="BK61">
        <v>0</v>
      </c>
      <c r="BL61">
        <v>0</v>
      </c>
      <c r="BM61">
        <v>18122.257501915003</v>
      </c>
      <c r="BN61">
        <v>1050</v>
      </c>
      <c r="BO61">
        <v>0</v>
      </c>
      <c r="BP61">
        <v>1050</v>
      </c>
      <c r="BQ61">
        <v>0</v>
      </c>
      <c r="BR61">
        <v>0</v>
      </c>
      <c r="BS61">
        <v>0</v>
      </c>
      <c r="BT61">
        <v>0</v>
      </c>
      <c r="BU61">
        <v>1050</v>
      </c>
      <c r="BV61">
        <v>0</v>
      </c>
      <c r="BW61">
        <v>1050</v>
      </c>
      <c r="BX61">
        <v>0</v>
      </c>
      <c r="BY61">
        <v>0</v>
      </c>
      <c r="BZ61">
        <v>0</v>
      </c>
      <c r="CA61">
        <v>5943</v>
      </c>
      <c r="CB61">
        <v>1199.3352525</v>
      </c>
      <c r="CC61">
        <v>415.93425787666672</v>
      </c>
      <c r="CD61">
        <v>0</v>
      </c>
      <c r="CE61">
        <v>0</v>
      </c>
      <c r="CF61">
        <v>0</v>
      </c>
      <c r="CG61">
        <v>0</v>
      </c>
      <c r="CH61">
        <v>0</v>
      </c>
      <c r="CI61">
        <v>0</v>
      </c>
      <c r="CJ61">
        <v>0</v>
      </c>
      <c r="CK61">
        <v>0</v>
      </c>
      <c r="CL61">
        <v>0</v>
      </c>
      <c r="CM61">
        <v>7558.2695103766664</v>
      </c>
      <c r="CN61">
        <v>0</v>
      </c>
      <c r="CO61">
        <v>0</v>
      </c>
      <c r="CP61">
        <v>0</v>
      </c>
      <c r="CQ61">
        <v>282450</v>
      </c>
      <c r="CR61">
        <v>76685.322</v>
      </c>
      <c r="CS61">
        <v>26022.333043933333</v>
      </c>
      <c r="CT61">
        <v>0</v>
      </c>
      <c r="CU61">
        <v>0</v>
      </c>
      <c r="CV61">
        <v>0</v>
      </c>
      <c r="CW61">
        <v>0</v>
      </c>
      <c r="CX61">
        <v>0</v>
      </c>
      <c r="CY61">
        <v>0</v>
      </c>
      <c r="CZ61">
        <v>0</v>
      </c>
      <c r="DA61">
        <v>0</v>
      </c>
      <c r="DB61">
        <v>0</v>
      </c>
      <c r="DC61">
        <v>385157.65504393331</v>
      </c>
      <c r="DD61">
        <v>52500</v>
      </c>
      <c r="DE61">
        <v>0</v>
      </c>
      <c r="DF61" t="s">
        <v>135</v>
      </c>
      <c r="DG61" t="s">
        <v>135</v>
      </c>
      <c r="DH61">
        <v>0</v>
      </c>
      <c r="DI61">
        <v>0</v>
      </c>
      <c r="DJ61">
        <v>0</v>
      </c>
      <c r="DK61">
        <v>0</v>
      </c>
      <c r="DL61">
        <v>0</v>
      </c>
      <c r="DM61">
        <v>52500</v>
      </c>
      <c r="DN61">
        <v>52500</v>
      </c>
      <c r="DQ61" t="s">
        <v>135</v>
      </c>
      <c r="DR61" t="s">
        <v>135</v>
      </c>
      <c r="DS61">
        <v>0</v>
      </c>
      <c r="DT61">
        <v>0</v>
      </c>
      <c r="DU61">
        <v>0</v>
      </c>
      <c r="DV61">
        <v>11.666666666666666</v>
      </c>
      <c r="DW61">
        <v>11.666666666666666</v>
      </c>
      <c r="DX61">
        <v>2.2424200000000001</v>
      </c>
      <c r="DY61">
        <v>17.600000000000001</v>
      </c>
    </row>
  </sheetData>
  <phoneticPr fontId="11" type="noConversion"/>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
</file>

<file path=customXml/item3.xml><?xml version="1.0" encoding="utf-8"?>
<ct:contentTypeSchema xmlns:ct="http://schemas.microsoft.com/office/2006/metadata/contentType" xmlns:ma="http://schemas.microsoft.com/office/2006/metadata/properties/metaAttributes" ct:_="" ma:_="" ma:contentTypeName="Document" ma:contentTypeID="0x010100F2E66D647C8FD247BEFC8031A8C13626" ma:contentTypeVersion="3" ma:contentTypeDescription="Een nieuw document maken." ma:contentTypeScope="" ma:versionID="4bc1b0115cbc3d347a808691305e2cdf">
  <xsd:schema xmlns:xsd="http://www.w3.org/2001/XMLSchema" xmlns:xs="http://www.w3.org/2001/XMLSchema" xmlns:p="http://schemas.microsoft.com/office/2006/metadata/properties" xmlns:ns2="8eec4602-1cda-45fc-bb1d-4ff29676e3e7" targetNamespace="http://schemas.microsoft.com/office/2006/metadata/properties" ma:root="true" ma:fieldsID="bce95c835aa736b70814da7d101d3fe6" ns2:_="">
    <xsd:import namespace="8eec4602-1cda-45fc-bb1d-4ff29676e3e7"/>
    <xsd:element name="properties">
      <xsd:complexType>
        <xsd:sequence>
          <xsd:element name="documentManagement">
            <xsd:complexType>
              <xsd:all>
                <xsd:element ref="ns2:MediaServiceMetadata" minOccurs="0"/>
                <xsd:element ref="ns2:MediaServiceFastMetadata"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eec4602-1cda-45fc-bb1d-4ff29676e3e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B361503-6B31-4A6F-B647-E82A322D0A58}"/>
</file>

<file path=customXml/itemProps2.xml><?xml version="1.0" encoding="utf-8"?>
<ds:datastoreItem xmlns:ds="http://schemas.openxmlformats.org/officeDocument/2006/customXml" ds:itemID="{FB325788-EA2C-4858-BF40-00276C58F10A}"/>
</file>

<file path=customXml/itemProps3.xml><?xml version="1.0" encoding="utf-8"?>
<ds:datastoreItem xmlns:ds="http://schemas.openxmlformats.org/officeDocument/2006/customXml" ds:itemID="{21A8F6F5-689C-465A-BB5F-86661275C607}"/>
</file>

<file path=customXml/itemProps4.xml><?xml version="1.0" encoding="utf-8"?>
<ds:datastoreItem xmlns:ds="http://schemas.openxmlformats.org/officeDocument/2006/customXml" ds:itemID="{788E9F23-B7F2-4D4C-BF1D-2E9AB3BD7289}"/>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 Bakker</dc:creator>
  <cp:keywords/>
  <dc:description/>
  <cp:lastModifiedBy>Steven Bookelmann</cp:lastModifiedBy>
  <cp:revision/>
  <dcterms:created xsi:type="dcterms:W3CDTF">2021-10-12T06:48:09Z</dcterms:created>
  <dcterms:modified xsi:type="dcterms:W3CDTF">2023-08-31T13:29:17Z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0x010100F2E66D647C8FD247BEFC8031A8C13626</vt:lpwstr>
  </property>
</Properties>
</file>